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 ContentType="application/vnd.visi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90EAB418-B921-4DD9-9827-62072CD552B8}" xr6:coauthVersionLast="47" xr6:coauthVersionMax="47" xr10:uidLastSave="{00000000-0000-0000-0000-000000000000}"/>
  <bookViews>
    <workbookView xWindow="-120" yWindow="-120" windowWidth="38640" windowHeight="21240" tabRatio="666" xr2:uid="{00000000-000D-0000-FFFF-FFFF00000000}"/>
  </bookViews>
  <sheets>
    <sheet name="Sheet1" sheetId="1" r:id="rId1"/>
    <sheet name="ReadMe" sheetId="14" r:id="rId2"/>
    <sheet name="ConservationType" sheetId="12" r:id="rId3"/>
    <sheet name="Explanation" sheetId="2" r:id="rId4"/>
    <sheet name="ExperimentID" sheetId="10" r:id="rId5"/>
    <sheet name="UnitsConvertion" sheetId="3" r:id="rId6"/>
    <sheet name="RsUnitsConvertion" sheetId="4" r:id="rId7"/>
    <sheet name="SoilClassfication" sheetId="5" r:id="rId8"/>
    <sheet name="SoilDepth" sheetId="15" r:id="rId9"/>
    <sheet name="CoverCropGroup" sheetId="7" r:id="rId10"/>
    <sheet name="GrainCropGroup" sheetId="8" r:id="rId11"/>
    <sheet name="TillageGroup" sheetId="11" r:id="rId12"/>
    <sheet name="SD_SE" sheetId="9" r:id="rId13"/>
    <sheet name="Notes" sheetId="6" r:id="rId14"/>
    <sheet name="References" sheetId="13" r:id="rId15"/>
    <sheet name="Sheet2" sheetId="16" r:id="rId16"/>
  </sheets>
  <definedNames>
    <definedName name="_0raw" localSheetId="0">Sheet1!$FO$5262:$FP$5269</definedName>
    <definedName name="_0raw_1" localSheetId="0">Sheet1!$FP$5262:$FR$5269</definedName>
    <definedName name="_0raw_2" localSheetId="0">Sheet1!$FP$5270:$FR$5277</definedName>
    <definedName name="_0raw_3" localSheetId="0">Sheet1!$FO$5270:$FP$5277</definedName>
    <definedName name="_0raw_5" localSheetId="0">Sheet1!$FP$5286:$FR$5293</definedName>
    <definedName name="_0raw_6" localSheetId="0">Sheet1!$FP$5278:$FR$5285</definedName>
    <definedName name="_0raw_7" localSheetId="0">Sheet1!$FO$5278:$FP$5285</definedName>
    <definedName name="_0raw_8" localSheetId="0">Sheet1!$FJ$5262:$FK$5269</definedName>
    <definedName name="_xlnm._FilterDatabase" localSheetId="0" hidden="1">Sheet1!$A$1:$JZ$1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D4863" i="1" l="1"/>
  <c r="CD4864" i="1"/>
  <c r="CD4865" i="1"/>
  <c r="CD4866" i="1"/>
  <c r="CD4867" i="1"/>
  <c r="CD4868" i="1"/>
  <c r="CD4869" i="1"/>
  <c r="CD4870" i="1"/>
  <c r="CD4871" i="1"/>
  <c r="CD4872" i="1"/>
  <c r="CD4873" i="1"/>
  <c r="CD4862" i="1"/>
  <c r="CD2574" i="1"/>
  <c r="CD2575" i="1"/>
  <c r="CD2576" i="1"/>
  <c r="CD2577" i="1"/>
  <c r="CD2578" i="1"/>
  <c r="CD2579" i="1"/>
  <c r="CD2580" i="1"/>
  <c r="CD2581" i="1"/>
  <c r="CD2582" i="1"/>
  <c r="CD2583" i="1"/>
  <c r="CD2584" i="1"/>
  <c r="CD2585" i="1"/>
  <c r="CD2586" i="1"/>
  <c r="CD2587" i="1"/>
  <c r="CD2588" i="1"/>
  <c r="CD2589" i="1"/>
  <c r="CD2590" i="1"/>
  <c r="CD2591" i="1"/>
  <c r="CD2592" i="1"/>
  <c r="CD2593" i="1"/>
  <c r="CD2594" i="1"/>
  <c r="CD2595" i="1"/>
  <c r="CD2596" i="1"/>
  <c r="CD2557" i="1"/>
  <c r="CD2558" i="1"/>
  <c r="CD2559" i="1"/>
  <c r="CD2560" i="1"/>
  <c r="CD2561" i="1"/>
  <c r="CD2562" i="1"/>
  <c r="CD2563" i="1"/>
  <c r="CD2564" i="1"/>
  <c r="CD2565" i="1"/>
  <c r="CD2566" i="1"/>
  <c r="CD2567" i="1"/>
  <c r="CD2568" i="1"/>
  <c r="CD2569" i="1"/>
  <c r="CD2570" i="1"/>
  <c r="CD2571" i="1"/>
  <c r="CD2572" i="1"/>
  <c r="CD2573" i="1"/>
  <c r="BJ4934" i="1"/>
  <c r="BJ4933" i="1"/>
  <c r="BI767" i="1"/>
  <c r="BI768" i="1"/>
  <c r="BI769"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103" i="1"/>
  <c r="E5104" i="1"/>
  <c r="E5105" i="1"/>
  <c r="E5106" i="1"/>
  <c r="E5107" i="1"/>
  <c r="E5108" i="1"/>
  <c r="E5109" i="1"/>
  <c r="E5110" i="1"/>
  <c r="E5111" i="1"/>
  <c r="E5112" i="1"/>
  <c r="E5113" i="1"/>
  <c r="E5114" i="1"/>
  <c r="E5115" i="1"/>
  <c r="E5116" i="1"/>
  <c r="E5117" i="1"/>
  <c r="E5118" i="1"/>
  <c r="E5119" i="1"/>
  <c r="E5120" i="1"/>
  <c r="E5082" i="1"/>
  <c r="E5083" i="1"/>
  <c r="E5084" i="1"/>
  <c r="E5085" i="1"/>
  <c r="E5086" i="1"/>
  <c r="E5087" i="1"/>
  <c r="E5088" i="1"/>
  <c r="E5089" i="1"/>
  <c r="E5090" i="1"/>
  <c r="E5091" i="1"/>
  <c r="E5092" i="1"/>
  <c r="E5093" i="1"/>
  <c r="E5094" i="1"/>
  <c r="E5095" i="1"/>
  <c r="E5096" i="1"/>
  <c r="E5097" i="1"/>
  <c r="E5098" i="1"/>
  <c r="E5099" i="1"/>
  <c r="E5100" i="1"/>
  <c r="E5101" i="1"/>
  <c r="E5102" i="1"/>
  <c r="E5066" i="1"/>
  <c r="E5067" i="1"/>
  <c r="E5068" i="1"/>
  <c r="E5069" i="1"/>
  <c r="E5070" i="1"/>
  <c r="E5071" i="1"/>
  <c r="E5072" i="1"/>
  <c r="E5073" i="1"/>
  <c r="E5074" i="1"/>
  <c r="E5075" i="1"/>
  <c r="E5076" i="1"/>
  <c r="E5077" i="1"/>
  <c r="E5078" i="1"/>
  <c r="E5079" i="1"/>
  <c r="E5080" i="1"/>
  <c r="E5081" i="1"/>
  <c r="E5045" i="1"/>
  <c r="E5046" i="1"/>
  <c r="E5047" i="1"/>
  <c r="E5048" i="1"/>
  <c r="E5049" i="1"/>
  <c r="E5050" i="1"/>
  <c r="E5051" i="1"/>
  <c r="E5052" i="1"/>
  <c r="E5053" i="1"/>
  <c r="E5054" i="1"/>
  <c r="E5055" i="1"/>
  <c r="E5056" i="1"/>
  <c r="E5057" i="1"/>
  <c r="E5058" i="1"/>
  <c r="E5059" i="1"/>
  <c r="E5060" i="1"/>
  <c r="E5061" i="1"/>
  <c r="E5062" i="1"/>
  <c r="E5063" i="1"/>
  <c r="E5064" i="1"/>
  <c r="E5065" i="1"/>
  <c r="E5023" i="1"/>
  <c r="E5024" i="1"/>
  <c r="E5025" i="1"/>
  <c r="E5026" i="1"/>
  <c r="E5027" i="1"/>
  <c r="E5028" i="1"/>
  <c r="E5029" i="1"/>
  <c r="E5030" i="1"/>
  <c r="E5031" i="1"/>
  <c r="E5032" i="1"/>
  <c r="E5033" i="1"/>
  <c r="E5034" i="1"/>
  <c r="E5035" i="1"/>
  <c r="E5036" i="1"/>
  <c r="E5037" i="1"/>
  <c r="E5038" i="1"/>
  <c r="E5039" i="1"/>
  <c r="E5040" i="1"/>
  <c r="E5041" i="1"/>
  <c r="E5042" i="1"/>
  <c r="E5043" i="1"/>
  <c r="E5044" i="1"/>
  <c r="E5006" i="1"/>
  <c r="E5007" i="1"/>
  <c r="E5008" i="1"/>
  <c r="E5009" i="1"/>
  <c r="E5010" i="1"/>
  <c r="E5011" i="1"/>
  <c r="E5012" i="1"/>
  <c r="E5013" i="1"/>
  <c r="E5014" i="1"/>
  <c r="E5015" i="1"/>
  <c r="E5016" i="1"/>
  <c r="E5017" i="1"/>
  <c r="E5018" i="1"/>
  <c r="E5019" i="1"/>
  <c r="E5020" i="1"/>
  <c r="E5021" i="1"/>
  <c r="E5022" i="1"/>
  <c r="E4987" i="1"/>
  <c r="E4988" i="1"/>
  <c r="E4989" i="1"/>
  <c r="E4990" i="1"/>
  <c r="E4991" i="1"/>
  <c r="E4992" i="1"/>
  <c r="E4993" i="1"/>
  <c r="E4994" i="1"/>
  <c r="E4995" i="1"/>
  <c r="E4996" i="1"/>
  <c r="E4997" i="1"/>
  <c r="E4998" i="1"/>
  <c r="E4999" i="1"/>
  <c r="E5000" i="1"/>
  <c r="E5001" i="1"/>
  <c r="E5002" i="1"/>
  <c r="E5003" i="1"/>
  <c r="E5004" i="1"/>
  <c r="E5005" i="1"/>
  <c r="E4968" i="1"/>
  <c r="E4969" i="1"/>
  <c r="E4970" i="1"/>
  <c r="E4971" i="1"/>
  <c r="E4972" i="1"/>
  <c r="E4973" i="1"/>
  <c r="E4974" i="1"/>
  <c r="E4975" i="1"/>
  <c r="E4976" i="1"/>
  <c r="E4977" i="1"/>
  <c r="E4978" i="1"/>
  <c r="E4979" i="1"/>
  <c r="E4980" i="1"/>
  <c r="E4981" i="1"/>
  <c r="E4982" i="1"/>
  <c r="E4983" i="1"/>
  <c r="E4984" i="1"/>
  <c r="E4985" i="1"/>
  <c r="E4986" i="1"/>
  <c r="E4947" i="1"/>
  <c r="E4948" i="1"/>
  <c r="E4949" i="1"/>
  <c r="E4950" i="1"/>
  <c r="E4951" i="1"/>
  <c r="E4952" i="1"/>
  <c r="E4953" i="1"/>
  <c r="E4954" i="1"/>
  <c r="E4955" i="1"/>
  <c r="E4956" i="1"/>
  <c r="E4957" i="1"/>
  <c r="E4958" i="1"/>
  <c r="E4959" i="1"/>
  <c r="E4960" i="1"/>
  <c r="E4961" i="1"/>
  <c r="E4962" i="1"/>
  <c r="E4963" i="1"/>
  <c r="E4964" i="1"/>
  <c r="E4965" i="1"/>
  <c r="E4966" i="1"/>
  <c r="E4967"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879" i="1"/>
  <c r="E4880" i="1"/>
  <c r="E4881" i="1"/>
  <c r="E4882" i="1"/>
  <c r="E4883" i="1"/>
  <c r="E4884" i="1"/>
  <c r="E4885" i="1"/>
  <c r="E4886" i="1"/>
  <c r="E4887" i="1"/>
  <c r="E4888" i="1"/>
  <c r="E4889" i="1"/>
  <c r="E4890" i="1"/>
  <c r="E4891" i="1"/>
  <c r="E4892" i="1"/>
  <c r="E4893" i="1"/>
  <c r="E4894" i="1"/>
  <c r="E4895" i="1"/>
  <c r="E4896" i="1"/>
  <c r="E4897" i="1"/>
  <c r="E4898" i="1"/>
  <c r="E4899" i="1"/>
  <c r="E4900" i="1"/>
  <c r="E4861" i="1"/>
  <c r="E4862" i="1"/>
  <c r="E4863" i="1"/>
  <c r="E4864" i="1"/>
  <c r="E4865" i="1"/>
  <c r="E4866" i="1"/>
  <c r="E4867" i="1"/>
  <c r="E4868" i="1"/>
  <c r="E4869" i="1"/>
  <c r="E4870" i="1"/>
  <c r="E4871" i="1"/>
  <c r="E4872" i="1"/>
  <c r="E4873" i="1"/>
  <c r="E4874" i="1"/>
  <c r="E4875" i="1"/>
  <c r="E4876" i="1"/>
  <c r="E4877" i="1"/>
  <c r="E4878"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15" i="1"/>
  <c r="E4816" i="1"/>
  <c r="E4817" i="1"/>
  <c r="E4818" i="1"/>
  <c r="E4819" i="1"/>
  <c r="E4820" i="1"/>
  <c r="E4821" i="1"/>
  <c r="E4822" i="1"/>
  <c r="E4823" i="1"/>
  <c r="E4824" i="1"/>
  <c r="E4825" i="1"/>
  <c r="E4826" i="1"/>
  <c r="E4827" i="1"/>
  <c r="E4828" i="1"/>
  <c r="E4829" i="1"/>
  <c r="E4830" i="1"/>
  <c r="E4831" i="1"/>
  <c r="E4832" i="1"/>
  <c r="E4833" i="1"/>
  <c r="E4834" i="1"/>
  <c r="E4835" i="1"/>
  <c r="E4836"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774" i="1"/>
  <c r="E4775" i="1"/>
  <c r="E4776" i="1"/>
  <c r="E4777" i="1"/>
  <c r="E4778" i="1"/>
  <c r="E4779" i="1"/>
  <c r="E4780" i="1"/>
  <c r="E4781" i="1"/>
  <c r="E4782" i="1"/>
  <c r="E4783" i="1"/>
  <c r="E4784" i="1"/>
  <c r="E4785" i="1"/>
  <c r="E4786" i="1"/>
  <c r="E4787" i="1"/>
  <c r="E4788" i="1"/>
  <c r="E4789" i="1"/>
  <c r="E4790" i="1"/>
  <c r="E4791"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39" i="1"/>
  <c r="E5240" i="1"/>
  <c r="E5241" i="1"/>
  <c r="E5242" i="1"/>
  <c r="E5239" i="1"/>
  <c r="S5908" i="1"/>
  <c r="N5908" i="1"/>
  <c r="M5908" i="1"/>
  <c r="S5907" i="1"/>
  <c r="N5907" i="1"/>
  <c r="M5907" i="1"/>
  <c r="S5906" i="1"/>
  <c r="N5906" i="1"/>
  <c r="M5906" i="1"/>
  <c r="S5905" i="1"/>
  <c r="N5905" i="1"/>
  <c r="M5905" i="1"/>
  <c r="S5904" i="1"/>
  <c r="N5904" i="1"/>
  <c r="M5904" i="1"/>
  <c r="S5903" i="1"/>
  <c r="N5903" i="1"/>
  <c r="M5903" i="1"/>
  <c r="S5902" i="1"/>
  <c r="N5902" i="1"/>
  <c r="M5902" i="1"/>
  <c r="S5901" i="1"/>
  <c r="N5901" i="1"/>
  <c r="M5901" i="1"/>
  <c r="S5900" i="1"/>
  <c r="N5900" i="1"/>
  <c r="M5900" i="1"/>
  <c r="S5899" i="1"/>
  <c r="N5899" i="1"/>
  <c r="M5899" i="1"/>
  <c r="S5898" i="1"/>
  <c r="N5898" i="1"/>
  <c r="M5898" i="1"/>
  <c r="S5897" i="1"/>
  <c r="N5897" i="1"/>
  <c r="M5897" i="1"/>
  <c r="S5896" i="1"/>
  <c r="N5896" i="1"/>
  <c r="M5896" i="1"/>
  <c r="S5895" i="1"/>
  <c r="N5895" i="1"/>
  <c r="M5895" i="1"/>
  <c r="S5894" i="1"/>
  <c r="N5894" i="1"/>
  <c r="M5894" i="1"/>
  <c r="S5893" i="1"/>
  <c r="N5893" i="1"/>
  <c r="M5893" i="1"/>
  <c r="S5892" i="1"/>
  <c r="N5892" i="1"/>
  <c r="M5892" i="1"/>
  <c r="S5891" i="1"/>
  <c r="N5891" i="1"/>
  <c r="M5891" i="1"/>
  <c r="N5890" i="1" l="1"/>
  <c r="M5890" i="1"/>
  <c r="N5889" i="1"/>
  <c r="M5889" i="1"/>
  <c r="N5888" i="1"/>
  <c r="M5888" i="1"/>
  <c r="N5887" i="1"/>
  <c r="M5887" i="1"/>
  <c r="FH5885" i="1"/>
  <c r="FG5885" i="1"/>
  <c r="CK5886" i="1"/>
  <c r="CK5885" i="1"/>
  <c r="CJ5886" i="1"/>
  <c r="CJ5885" i="1"/>
  <c r="EX5886" i="1"/>
  <c r="EX5885" i="1"/>
  <c r="EW5886" i="1"/>
  <c r="EW5885" i="1"/>
  <c r="N5886" i="1"/>
  <c r="M5886" i="1"/>
  <c r="M5885" i="1"/>
  <c r="N5885" i="1"/>
  <c r="FQ5869" i="1"/>
  <c r="FQ5870" i="1"/>
  <c r="FQ5871" i="1"/>
  <c r="FQ5872" i="1"/>
  <c r="FQ5868" i="1"/>
  <c r="FQ5864" i="1"/>
  <c r="FQ5865" i="1"/>
  <c r="FQ5866" i="1"/>
  <c r="FQ5867" i="1"/>
  <c r="FQ5863" i="1"/>
  <c r="FR5859" i="1"/>
  <c r="FR5858" i="1"/>
  <c r="FQ5859" i="1"/>
  <c r="FQ5860" i="1"/>
  <c r="FQ5861" i="1"/>
  <c r="FQ5862" i="1"/>
  <c r="FQ5858" i="1"/>
  <c r="N5797" i="1"/>
  <c r="N5796" i="1"/>
  <c r="N5795" i="1"/>
  <c r="N5794" i="1"/>
  <c r="N5793" i="1"/>
  <c r="N5792" i="1"/>
  <c r="N5791" i="1"/>
  <c r="N5790" i="1"/>
  <c r="M5790" i="1"/>
  <c r="M5791" i="1"/>
  <c r="M5792" i="1"/>
  <c r="M5793" i="1"/>
  <c r="M5794" i="1"/>
  <c r="M5795" i="1"/>
  <c r="M5796" i="1"/>
  <c r="M5797" i="1"/>
  <c r="FH5838" i="1"/>
  <c r="FH5835" i="1"/>
  <c r="FG5829" i="1"/>
  <c r="FH5832" i="1"/>
  <c r="FH5829" i="1"/>
  <c r="N5828" i="1"/>
  <c r="M5828" i="1"/>
  <c r="N5827" i="1"/>
  <c r="M5827" i="1"/>
  <c r="N5826" i="1"/>
  <c r="M5826" i="1"/>
  <c r="N5825" i="1"/>
  <c r="M5825" i="1"/>
  <c r="N5824" i="1"/>
  <c r="M5824" i="1"/>
  <c r="N5823" i="1"/>
  <c r="M5823" i="1"/>
  <c r="FO5789" i="1"/>
  <c r="FO5788" i="1"/>
  <c r="FO5787" i="1"/>
  <c r="FO5786" i="1"/>
  <c r="C40" i="3" l="1"/>
  <c r="FH5757" i="1" l="1"/>
  <c r="FH5756" i="1"/>
  <c r="FH5755" i="1"/>
  <c r="FH5754" i="1"/>
  <c r="FH5753" i="1"/>
  <c r="FH5752" i="1"/>
  <c r="FG5757" i="1"/>
  <c r="FG5756" i="1"/>
  <c r="FG5755" i="1"/>
  <c r="FG5754" i="1"/>
  <c r="FG5752" i="1"/>
  <c r="FG5753" i="1"/>
  <c r="N5726" i="1"/>
  <c r="M5726" i="1"/>
  <c r="N5725" i="1"/>
  <c r="M5725" i="1"/>
  <c r="N5724" i="1"/>
  <c r="M5724" i="1"/>
  <c r="N5723" i="1"/>
  <c r="M5723" i="1"/>
  <c r="N5722" i="1"/>
  <c r="M5722" i="1"/>
  <c r="N5721" i="1"/>
  <c r="M5721" i="1"/>
  <c r="N5720" i="1"/>
  <c r="M5720" i="1"/>
  <c r="N5719" i="1"/>
  <c r="M5719" i="1"/>
  <c r="N5718" i="1"/>
  <c r="M5718" i="1"/>
  <c r="N5717" i="1"/>
  <c r="M5717" i="1"/>
  <c r="N5716" i="1"/>
  <c r="M5716" i="1"/>
  <c r="N5715" i="1"/>
  <c r="M5715" i="1"/>
  <c r="O5714" i="1"/>
  <c r="M5714" i="1"/>
  <c r="O5713" i="1"/>
  <c r="M5713" i="1"/>
  <c r="O5712" i="1"/>
  <c r="M5712" i="1"/>
  <c r="N5701" i="1" l="1"/>
  <c r="M5701" i="1"/>
  <c r="N5700" i="1"/>
  <c r="M5700" i="1"/>
  <c r="N5699" i="1"/>
  <c r="M5699" i="1"/>
  <c r="N5698" i="1"/>
  <c r="M5698" i="1"/>
  <c r="N5697" i="1"/>
  <c r="M5697" i="1"/>
  <c r="N5696" i="1"/>
  <c r="M5696" i="1"/>
  <c r="N5695" i="1"/>
  <c r="M5695" i="1"/>
  <c r="N5694" i="1"/>
  <c r="M5694" i="1"/>
  <c r="N5693" i="1"/>
  <c r="M5693" i="1"/>
  <c r="N5692" i="1"/>
  <c r="M5692" i="1"/>
  <c r="N5691" i="1"/>
  <c r="M5691" i="1"/>
  <c r="N5690" i="1"/>
  <c r="M5690" i="1"/>
  <c r="N5685" i="1"/>
  <c r="M5685" i="1"/>
  <c r="N5684" i="1"/>
  <c r="M5684" i="1"/>
  <c r="N5683" i="1"/>
  <c r="M5683" i="1"/>
  <c r="N5682" i="1"/>
  <c r="M5682" i="1"/>
  <c r="N5681" i="1"/>
  <c r="M5681" i="1"/>
  <c r="N5680" i="1"/>
  <c r="M5680" i="1"/>
  <c r="N5679" i="1"/>
  <c r="M5679" i="1"/>
  <c r="N5678" i="1"/>
  <c r="M5678" i="1"/>
  <c r="N5677" i="1"/>
  <c r="M5677" i="1"/>
  <c r="N5676" i="1"/>
  <c r="M5676" i="1"/>
  <c r="N5675" i="1"/>
  <c r="M5675" i="1"/>
  <c r="N5674" i="1"/>
  <c r="M5674" i="1"/>
  <c r="N5689" i="1"/>
  <c r="M5689" i="1"/>
  <c r="N5688" i="1"/>
  <c r="M5688" i="1"/>
  <c r="N5687" i="1"/>
  <c r="M5687" i="1"/>
  <c r="N5686" i="1"/>
  <c r="M5686" i="1"/>
  <c r="N5673" i="1"/>
  <c r="M5673" i="1"/>
  <c r="N5672" i="1"/>
  <c r="M5672" i="1"/>
  <c r="N5671" i="1"/>
  <c r="M5671" i="1"/>
  <c r="N5670" i="1"/>
  <c r="M5670" i="1"/>
  <c r="FP5668" i="1"/>
  <c r="FP5669" i="1"/>
  <c r="FO5669" i="1"/>
  <c r="FO5668" i="1"/>
  <c r="N5669" i="1"/>
  <c r="M5669" i="1"/>
  <c r="N5668" i="1"/>
  <c r="M5668" i="1"/>
  <c r="FH5634" i="1"/>
  <c r="FG5634" i="1"/>
  <c r="FH5622" i="1"/>
  <c r="FG5622" i="1"/>
  <c r="GE5424" i="1"/>
  <c r="GE5423" i="1"/>
  <c r="N5592" i="1"/>
  <c r="M5592" i="1"/>
  <c r="N5591" i="1"/>
  <c r="M5591" i="1"/>
  <c r="N5590" i="1"/>
  <c r="M5590" i="1"/>
  <c r="N5589" i="1"/>
  <c r="M5589" i="1"/>
  <c r="N5588" i="1"/>
  <c r="M5588" i="1"/>
  <c r="N5587" i="1"/>
  <c r="M5587" i="1"/>
  <c r="N5586" i="1"/>
  <c r="M5586" i="1"/>
  <c r="N5585" i="1"/>
  <c r="M5585" i="1"/>
  <c r="N5584" i="1"/>
  <c r="M5584" i="1"/>
  <c r="N5583" i="1"/>
  <c r="M5583" i="1"/>
  <c r="N5582" i="1"/>
  <c r="M5582" i="1"/>
  <c r="N5581" i="1"/>
  <c r="M5581" i="1"/>
  <c r="N5580" i="1"/>
  <c r="M5580" i="1"/>
  <c r="N5579" i="1"/>
  <c r="M5579" i="1"/>
  <c r="N5578" i="1"/>
  <c r="M5578" i="1"/>
  <c r="N5577" i="1"/>
  <c r="M5577" i="1"/>
  <c r="N5576" i="1"/>
  <c r="M5576" i="1"/>
  <c r="N5575" i="1"/>
  <c r="M5575" i="1"/>
  <c r="N5574" i="1"/>
  <c r="M5574" i="1"/>
  <c r="N5573" i="1"/>
  <c r="M5573" i="1"/>
  <c r="N5572" i="1"/>
  <c r="M5572" i="1"/>
  <c r="N5571" i="1"/>
  <c r="M5571" i="1"/>
  <c r="N5570" i="1"/>
  <c r="M5570" i="1"/>
  <c r="N5569" i="1"/>
  <c r="M5569" i="1"/>
  <c r="N5568" i="1"/>
  <c r="M5568" i="1"/>
  <c r="N5567" i="1"/>
  <c r="M5567" i="1"/>
  <c r="N5566" i="1"/>
  <c r="M5566" i="1"/>
  <c r="N5565" i="1"/>
  <c r="M5565" i="1"/>
  <c r="N5564" i="1"/>
  <c r="M5564" i="1"/>
  <c r="N5563" i="1"/>
  <c r="M5563" i="1"/>
  <c r="N5562" i="1"/>
  <c r="M5562" i="1"/>
  <c r="N5561" i="1"/>
  <c r="M5561" i="1"/>
  <c r="N5560" i="1"/>
  <c r="M5560" i="1"/>
  <c r="N5559" i="1"/>
  <c r="M5559" i="1"/>
  <c r="N5558" i="1"/>
  <c r="M5558" i="1"/>
  <c r="N5557" i="1"/>
  <c r="M5557" i="1"/>
  <c r="N5556" i="1"/>
  <c r="M5556" i="1"/>
  <c r="N5555" i="1"/>
  <c r="M5555" i="1"/>
  <c r="N5554" i="1"/>
  <c r="M5554" i="1"/>
  <c r="FK5553" i="1"/>
  <c r="FK5552" i="1"/>
  <c r="AE5538" i="1"/>
  <c r="AG5538" i="1" s="1"/>
  <c r="AE5551" i="1"/>
  <c r="AG5551" i="1" s="1"/>
  <c r="AE5550" i="1"/>
  <c r="AG5550" i="1" s="1"/>
  <c r="AE5549" i="1"/>
  <c r="AG5549" i="1" s="1"/>
  <c r="AE5548" i="1"/>
  <c r="AG5548" i="1" s="1"/>
  <c r="AE5547" i="1"/>
  <c r="AG5547" i="1" s="1"/>
  <c r="AE5546" i="1"/>
  <c r="AG5546" i="1" s="1"/>
  <c r="AE5545" i="1"/>
  <c r="AG5545" i="1" s="1"/>
  <c r="AE5544" i="1"/>
  <c r="AG5544" i="1" s="1"/>
  <c r="AE5543" i="1"/>
  <c r="AG5543" i="1" s="1"/>
  <c r="AE5542" i="1"/>
  <c r="AG5542" i="1" s="1"/>
  <c r="AE5541" i="1"/>
  <c r="AG5541" i="1" s="1"/>
  <c r="AE5540" i="1"/>
  <c r="AG5540" i="1" s="1"/>
  <c r="AE5537" i="1"/>
  <c r="AG5537" i="1" s="1"/>
  <c r="AE5536" i="1"/>
  <c r="AG5536" i="1" s="1"/>
  <c r="AE5535" i="1"/>
  <c r="AG5535" i="1" s="1"/>
  <c r="AE5534" i="1"/>
  <c r="AG5534" i="1" s="1"/>
  <c r="AE5533" i="1"/>
  <c r="AG5533" i="1" s="1"/>
  <c r="AE5532" i="1"/>
  <c r="AG5532" i="1" s="1"/>
  <c r="AE5531" i="1"/>
  <c r="AG5531" i="1" s="1"/>
  <c r="AE5530" i="1"/>
  <c r="AG5530" i="1" s="1"/>
  <c r="AE5529" i="1"/>
  <c r="AG5529" i="1" s="1"/>
  <c r="AE5528" i="1"/>
  <c r="AG5528" i="1" s="1"/>
  <c r="AE5527" i="1"/>
  <c r="AG5527" i="1" s="1"/>
  <c r="AE5525" i="1"/>
  <c r="AG5525" i="1" s="1"/>
  <c r="AE5524" i="1"/>
  <c r="AG5524" i="1" s="1"/>
  <c r="AE5523" i="1"/>
  <c r="AG5523" i="1" s="1"/>
  <c r="AE5522" i="1"/>
  <c r="AG5522" i="1" s="1"/>
  <c r="AE5521" i="1"/>
  <c r="AG5521" i="1" s="1"/>
  <c r="AE5520" i="1"/>
  <c r="AG5520" i="1" s="1"/>
  <c r="AE5519" i="1"/>
  <c r="AG5519" i="1" s="1"/>
  <c r="AE5518" i="1"/>
  <c r="AG5518" i="1" s="1"/>
  <c r="AE5517" i="1"/>
  <c r="AG5517" i="1" s="1"/>
  <c r="AE5516" i="1"/>
  <c r="AG5516" i="1" s="1"/>
  <c r="AE5515" i="1"/>
  <c r="AG5515" i="1" s="1"/>
  <c r="AE5514" i="1"/>
  <c r="AG5514" i="1" s="1"/>
  <c r="AE5539" i="1"/>
  <c r="AG5539" i="1" s="1"/>
  <c r="AE5526" i="1"/>
  <c r="AG5526" i="1" s="1"/>
  <c r="AE5513" i="1"/>
  <c r="AG5513" i="1" s="1"/>
  <c r="FO5471" i="1" l="1"/>
  <c r="FH5480" i="1"/>
  <c r="FH5477" i="1"/>
  <c r="FH5474" i="1"/>
  <c r="FH5471" i="1"/>
  <c r="FG5477" i="1"/>
  <c r="FG5471" i="1"/>
  <c r="N5470" i="1" l="1"/>
  <c r="M5470" i="1"/>
  <c r="N5469" i="1"/>
  <c r="M5469" i="1"/>
  <c r="N5468" i="1"/>
  <c r="M5468" i="1"/>
  <c r="N5467" i="1"/>
  <c r="M5467" i="1"/>
  <c r="N5466" i="1"/>
  <c r="M5466" i="1"/>
  <c r="N5465" i="1"/>
  <c r="M5465" i="1"/>
  <c r="N5464" i="1"/>
  <c r="M5464" i="1"/>
  <c r="N5463" i="1"/>
  <c r="M5463" i="1"/>
  <c r="N5462" i="1"/>
  <c r="M5462" i="1"/>
  <c r="N5461" i="1"/>
  <c r="M5461" i="1"/>
  <c r="N5460" i="1"/>
  <c r="M5460" i="1"/>
  <c r="N5459" i="1"/>
  <c r="M5459" i="1"/>
  <c r="N5458" i="1"/>
  <c r="M5458" i="1"/>
  <c r="N5457" i="1"/>
  <c r="M5457" i="1"/>
  <c r="N5456" i="1"/>
  <c r="M5456" i="1"/>
  <c r="N5455" i="1"/>
  <c r="M5455" i="1"/>
  <c r="N5454" i="1"/>
  <c r="M5454" i="1"/>
  <c r="N5453" i="1"/>
  <c r="M5453" i="1"/>
  <c r="N5452" i="1"/>
  <c r="M5452" i="1"/>
  <c r="N5451" i="1"/>
  <c r="M5451" i="1"/>
  <c r="N5450" i="1"/>
  <c r="M5450" i="1"/>
  <c r="N5449" i="1"/>
  <c r="M5449" i="1"/>
  <c r="N5448" i="1"/>
  <c r="M5448" i="1"/>
  <c r="N5447" i="1"/>
  <c r="M5447" i="1"/>
  <c r="N5446" i="1"/>
  <c r="M5446" i="1"/>
  <c r="N5445" i="1"/>
  <c r="M5445" i="1"/>
  <c r="N5444" i="1"/>
  <c r="M5444" i="1"/>
  <c r="N5443" i="1"/>
  <c r="M5443" i="1"/>
  <c r="N5442" i="1"/>
  <c r="M5442" i="1"/>
  <c r="N5441" i="1"/>
  <c r="M5441" i="1"/>
  <c r="N5440" i="1"/>
  <c r="M5440" i="1"/>
  <c r="N5439" i="1"/>
  <c r="M5439" i="1"/>
  <c r="N5438" i="1"/>
  <c r="M5438" i="1"/>
  <c r="N5437" i="1"/>
  <c r="M5437" i="1"/>
  <c r="N5436" i="1"/>
  <c r="M5436" i="1"/>
  <c r="N5435" i="1"/>
  <c r="M5435" i="1"/>
  <c r="N5434" i="1"/>
  <c r="M5434" i="1"/>
  <c r="N5433" i="1"/>
  <c r="M5433" i="1"/>
  <c r="N5432" i="1"/>
  <c r="M5432" i="1"/>
  <c r="N5431" i="1"/>
  <c r="M5431" i="1"/>
  <c r="N5430" i="1"/>
  <c r="M5430" i="1"/>
  <c r="N5429" i="1"/>
  <c r="M5429" i="1"/>
  <c r="N5428" i="1"/>
  <c r="M5428" i="1"/>
  <c r="N5427" i="1"/>
  <c r="M5427" i="1"/>
  <c r="N5426" i="1"/>
  <c r="M5426" i="1"/>
  <c r="N5422" i="1" l="1"/>
  <c r="M5422" i="1"/>
  <c r="N5421" i="1"/>
  <c r="M5421" i="1"/>
  <c r="N5420" i="1"/>
  <c r="M5420" i="1"/>
  <c r="N5419" i="1"/>
  <c r="M5419" i="1"/>
  <c r="N5418" i="1"/>
  <c r="M5418" i="1"/>
  <c r="N5417" i="1"/>
  <c r="M5417" i="1"/>
  <c r="N5416" i="1"/>
  <c r="M5416" i="1"/>
  <c r="N5415" i="1"/>
  <c r="M5415" i="1"/>
  <c r="N5414" i="1"/>
  <c r="M5414" i="1"/>
  <c r="N5413" i="1"/>
  <c r="M5413" i="1"/>
  <c r="N5412" i="1"/>
  <c r="M5412" i="1"/>
  <c r="N5411" i="1"/>
  <c r="M5411" i="1"/>
  <c r="N5410" i="1"/>
  <c r="M5410" i="1"/>
  <c r="N5409" i="1"/>
  <c r="M5409" i="1"/>
  <c r="N5408" i="1"/>
  <c r="M5408" i="1"/>
  <c r="N5407" i="1"/>
  <c r="M5407" i="1"/>
  <c r="N5406" i="1"/>
  <c r="M5406" i="1"/>
  <c r="N5405" i="1"/>
  <c r="M5405" i="1"/>
  <c r="N5404" i="1"/>
  <c r="M5404" i="1"/>
  <c r="N5403" i="1"/>
  <c r="M5403" i="1"/>
  <c r="N5402" i="1"/>
  <c r="M5402" i="1"/>
  <c r="N5401" i="1"/>
  <c r="M5401" i="1"/>
  <c r="N5400" i="1"/>
  <c r="M5400" i="1"/>
  <c r="N5399" i="1"/>
  <c r="M5399" i="1"/>
  <c r="N5398" i="1"/>
  <c r="M5398" i="1"/>
  <c r="N5397" i="1"/>
  <c r="M5397" i="1"/>
  <c r="N5396" i="1"/>
  <c r="M5396" i="1"/>
  <c r="N5395" i="1"/>
  <c r="M5395" i="1"/>
  <c r="N5394" i="1"/>
  <c r="M5394" i="1"/>
  <c r="N5393" i="1"/>
  <c r="M5393" i="1"/>
  <c r="N5392" i="1"/>
  <c r="M5392" i="1"/>
  <c r="N5391" i="1"/>
  <c r="M5391" i="1"/>
  <c r="N5390" i="1"/>
  <c r="M5390" i="1"/>
  <c r="N5389" i="1"/>
  <c r="M5389" i="1"/>
  <c r="N5388" i="1"/>
  <c r="M5388" i="1"/>
  <c r="N5387" i="1"/>
  <c r="M5387" i="1"/>
  <c r="N5386" i="1"/>
  <c r="M5386" i="1"/>
  <c r="N5385" i="1"/>
  <c r="M5385" i="1"/>
  <c r="N5384" i="1"/>
  <c r="M5384" i="1"/>
  <c r="N5383" i="1"/>
  <c r="M5383" i="1"/>
  <c r="N5382" i="1"/>
  <c r="M5382" i="1"/>
  <c r="N5381" i="1"/>
  <c r="M5381" i="1"/>
  <c r="N5380" i="1"/>
  <c r="M5380" i="1"/>
  <c r="N5379" i="1"/>
  <c r="M5379" i="1"/>
  <c r="N5378" i="1"/>
  <c r="M5378" i="1"/>
  <c r="N5377" i="1"/>
  <c r="M5377" i="1"/>
  <c r="N5376" i="1"/>
  <c r="M5376" i="1"/>
  <c r="N5375" i="1"/>
  <c r="M5375" i="1"/>
  <c r="N5374" i="1"/>
  <c r="M5374" i="1"/>
  <c r="N5373" i="1"/>
  <c r="M5373" i="1"/>
  <c r="N5372" i="1"/>
  <c r="M5372" i="1"/>
  <c r="N5371" i="1"/>
  <c r="M5371" i="1"/>
  <c r="N5370" i="1"/>
  <c r="M5370" i="1"/>
  <c r="N5369" i="1"/>
  <c r="M5369" i="1"/>
  <c r="N5368" i="1"/>
  <c r="M5368" i="1"/>
  <c r="N5367" i="1"/>
  <c r="M5367" i="1"/>
  <c r="N5366" i="1"/>
  <c r="M5366" i="1"/>
  <c r="N5365" i="1"/>
  <c r="M5365" i="1"/>
  <c r="N5364" i="1"/>
  <c r="M5364" i="1"/>
  <c r="N5363" i="1"/>
  <c r="M5363" i="1"/>
  <c r="N5362" i="1"/>
  <c r="M5362" i="1"/>
  <c r="N5361" i="1"/>
  <c r="M5361" i="1"/>
  <c r="N5360" i="1"/>
  <c r="M5360" i="1"/>
  <c r="N5359" i="1"/>
  <c r="M5359" i="1"/>
  <c r="N5358" i="1"/>
  <c r="M5358" i="1"/>
  <c r="N5357" i="1"/>
  <c r="M5357" i="1"/>
  <c r="N5356" i="1"/>
  <c r="M5356" i="1"/>
  <c r="N5355" i="1"/>
  <c r="M5355" i="1"/>
  <c r="N5354" i="1"/>
  <c r="M5354" i="1"/>
  <c r="N5353" i="1"/>
  <c r="M5353" i="1"/>
  <c r="N5337" i="1"/>
  <c r="M5337" i="1"/>
  <c r="N5336" i="1"/>
  <c r="M5336" i="1"/>
  <c r="N5335" i="1"/>
  <c r="M5335" i="1"/>
  <c r="N5334" i="1"/>
  <c r="M5334" i="1"/>
  <c r="N5333" i="1"/>
  <c r="M5333" i="1"/>
  <c r="N5332" i="1"/>
  <c r="M5332" i="1"/>
  <c r="N5331" i="1"/>
  <c r="M5331" i="1"/>
  <c r="N5330" i="1"/>
  <c r="M5330" i="1"/>
  <c r="N5329" i="1"/>
  <c r="M5329" i="1"/>
  <c r="N5328" i="1"/>
  <c r="M5328" i="1"/>
  <c r="N5327" i="1"/>
  <c r="M5327" i="1"/>
  <c r="N5326" i="1"/>
  <c r="M5326" i="1"/>
  <c r="N5325" i="1"/>
  <c r="M5325" i="1"/>
  <c r="N5324" i="1"/>
  <c r="M5324" i="1"/>
  <c r="N5323" i="1"/>
  <c r="M5323" i="1"/>
  <c r="N5322" i="1"/>
  <c r="M5322" i="1"/>
  <c r="N5321" i="1"/>
  <c r="M5321" i="1"/>
  <c r="N5320" i="1"/>
  <c r="M5320" i="1"/>
  <c r="N5319" i="1"/>
  <c r="M5319" i="1"/>
  <c r="N5318" i="1"/>
  <c r="M5318" i="1"/>
  <c r="E105" i="3"/>
  <c r="N5352" i="1"/>
  <c r="M5352" i="1"/>
  <c r="N5351" i="1"/>
  <c r="M5351" i="1"/>
  <c r="N5350" i="1"/>
  <c r="M5350" i="1"/>
  <c r="N5349" i="1"/>
  <c r="M5349" i="1"/>
  <c r="N5348" i="1"/>
  <c r="M5348" i="1"/>
  <c r="N5347" i="1"/>
  <c r="M5347" i="1"/>
  <c r="N5346" i="1"/>
  <c r="M5346" i="1"/>
  <c r="N5345" i="1"/>
  <c r="M5345" i="1"/>
  <c r="N5344" i="1"/>
  <c r="M5344" i="1"/>
  <c r="N5343" i="1"/>
  <c r="M5343" i="1"/>
  <c r="N5342" i="1"/>
  <c r="M5342" i="1"/>
  <c r="N5341" i="1"/>
  <c r="M5341" i="1"/>
  <c r="N5340" i="1"/>
  <c r="M5340" i="1"/>
  <c r="N5339" i="1"/>
  <c r="M5339" i="1"/>
  <c r="N5338" i="1"/>
  <c r="M5338" i="1"/>
  <c r="FJ5316" i="1" l="1"/>
  <c r="FJ5317" i="1"/>
  <c r="FJ5315" i="1"/>
  <c r="C95" i="3"/>
  <c r="E95" i="3" s="1"/>
  <c r="O5302" i="1"/>
  <c r="N5302" i="1"/>
  <c r="M5302" i="1"/>
  <c r="O5301" i="1"/>
  <c r="N5301" i="1"/>
  <c r="M5301" i="1"/>
  <c r="O5300" i="1"/>
  <c r="N5300" i="1"/>
  <c r="M5300" i="1"/>
  <c r="O5299" i="1"/>
  <c r="N5299" i="1"/>
  <c r="M5299" i="1"/>
  <c r="O5298" i="1"/>
  <c r="N5298" i="1"/>
  <c r="M5298" i="1"/>
  <c r="O5297" i="1"/>
  <c r="N5297" i="1"/>
  <c r="M5297" i="1"/>
  <c r="N5296" i="1"/>
  <c r="M5296" i="1"/>
  <c r="N5295" i="1"/>
  <c r="M5295" i="1"/>
  <c r="FU5294" i="1"/>
  <c r="FT5294" i="1"/>
  <c r="FP5294" i="1"/>
  <c r="FO5294" i="1"/>
  <c r="N5294" i="1"/>
  <c r="M5294" i="1"/>
  <c r="N5293" i="1"/>
  <c r="M5293" i="1"/>
  <c r="N5292" i="1"/>
  <c r="M5292" i="1"/>
  <c r="N5291" i="1"/>
  <c r="M5291" i="1"/>
  <c r="N5290" i="1"/>
  <c r="M5290" i="1"/>
  <c r="N5289" i="1"/>
  <c r="M5289" i="1"/>
  <c r="N5288" i="1"/>
  <c r="M5288" i="1"/>
  <c r="N5287" i="1"/>
  <c r="M5287" i="1"/>
  <c r="N5286" i="1"/>
  <c r="M5286" i="1"/>
  <c r="N5285" i="1"/>
  <c r="M5285" i="1"/>
  <c r="N5284" i="1"/>
  <c r="M5284" i="1"/>
  <c r="N5283" i="1"/>
  <c r="M5283" i="1"/>
  <c r="N5282" i="1"/>
  <c r="M5282" i="1"/>
  <c r="N5281" i="1"/>
  <c r="M5281" i="1"/>
  <c r="N5280" i="1"/>
  <c r="M5280" i="1"/>
  <c r="N5279" i="1"/>
  <c r="M5279" i="1"/>
  <c r="N5278" i="1"/>
  <c r="M5278" i="1"/>
  <c r="N5277" i="1"/>
  <c r="M5277" i="1"/>
  <c r="N5276" i="1"/>
  <c r="M5276" i="1"/>
  <c r="N5275" i="1"/>
  <c r="M5275" i="1"/>
  <c r="N5274" i="1"/>
  <c r="M5274" i="1"/>
  <c r="N5273" i="1"/>
  <c r="M5273" i="1"/>
  <c r="N5272" i="1"/>
  <c r="M5272" i="1"/>
  <c r="N5271" i="1"/>
  <c r="M5271" i="1"/>
  <c r="N5270" i="1"/>
  <c r="M5270" i="1"/>
  <c r="M5264" i="1"/>
  <c r="N5264" i="1"/>
  <c r="M5265" i="1"/>
  <c r="N5265" i="1"/>
  <c r="M5266" i="1"/>
  <c r="N5266" i="1"/>
  <c r="M5267" i="1"/>
  <c r="N5267" i="1"/>
  <c r="M5268" i="1"/>
  <c r="N5268" i="1"/>
  <c r="M5269" i="1"/>
  <c r="N5269" i="1"/>
  <c r="N5263" i="1"/>
  <c r="M5263" i="1"/>
  <c r="E104" i="3"/>
  <c r="N5262" i="1"/>
  <c r="M5262" i="1"/>
  <c r="FP3028" i="1" l="1"/>
  <c r="FP609" i="1" l="1"/>
  <c r="FP608" i="1"/>
  <c r="FO609" i="1"/>
  <c r="FO608" i="1"/>
  <c r="FO568" i="1"/>
  <c r="FO569" i="1"/>
  <c r="FP3054" i="1"/>
  <c r="FP3053" i="1"/>
  <c r="FP3052" i="1"/>
  <c r="FP3051" i="1"/>
  <c r="FO3054" i="1"/>
  <c r="FO3053" i="1"/>
  <c r="FO3052" i="1"/>
  <c r="FO3051" i="1"/>
  <c r="FP3050" i="1"/>
  <c r="FP3049" i="1"/>
  <c r="FP3048" i="1"/>
  <c r="FP3047" i="1"/>
  <c r="FO3050" i="1"/>
  <c r="FO3049" i="1"/>
  <c r="FO3048" i="1"/>
  <c r="FO3047" i="1"/>
  <c r="FP3046" i="1"/>
  <c r="FP3045" i="1"/>
  <c r="FP3044" i="1"/>
  <c r="FP3043" i="1"/>
  <c r="FO3046" i="1"/>
  <c r="FO3045" i="1"/>
  <c r="FO3044" i="1"/>
  <c r="FO3043" i="1"/>
  <c r="FP3042" i="1"/>
  <c r="FP3041" i="1"/>
  <c r="FP3040" i="1"/>
  <c r="FP3039" i="1"/>
  <c r="FO3042" i="1"/>
  <c r="FO3041" i="1"/>
  <c r="FO3040" i="1"/>
  <c r="FO3039" i="1"/>
  <c r="FP3038" i="1"/>
  <c r="FP3037" i="1"/>
  <c r="FP3036" i="1"/>
  <c r="FP3035" i="1"/>
  <c r="FO3038" i="1"/>
  <c r="FO3037" i="1"/>
  <c r="FO3036" i="1"/>
  <c r="FO3035" i="1"/>
  <c r="FP3034" i="1"/>
  <c r="FP3033" i="1"/>
  <c r="FP3032" i="1"/>
  <c r="FP3031" i="1"/>
  <c r="FO3034" i="1"/>
  <c r="FO3033" i="1"/>
  <c r="FO3032" i="1"/>
  <c r="FO3031" i="1"/>
  <c r="FP3030" i="1"/>
  <c r="FP3029" i="1"/>
  <c r="FP3027" i="1"/>
  <c r="FP3026" i="1"/>
  <c r="FP3025" i="1"/>
  <c r="FP3024" i="1"/>
  <c r="FP3023" i="1"/>
  <c r="FP3022" i="1"/>
  <c r="FP3021" i="1"/>
  <c r="FP3020" i="1"/>
  <c r="FP3019" i="1"/>
  <c r="FP3018" i="1"/>
  <c r="FP3017" i="1"/>
  <c r="FP3016" i="1"/>
  <c r="FP3015" i="1"/>
  <c r="FP3014" i="1"/>
  <c r="FP3013" i="1"/>
  <c r="FP3012" i="1"/>
  <c r="FP3011" i="1"/>
  <c r="FO3030" i="1"/>
  <c r="FO3029" i="1"/>
  <c r="FO3028" i="1"/>
  <c r="FO3027" i="1"/>
  <c r="FO3026" i="1"/>
  <c r="FO3025" i="1"/>
  <c r="FO3024" i="1"/>
  <c r="FO3023" i="1"/>
  <c r="FO3022" i="1"/>
  <c r="FO3021" i="1"/>
  <c r="FO3020" i="1"/>
  <c r="FO3019" i="1"/>
  <c r="FO3018" i="1"/>
  <c r="FO3017" i="1"/>
  <c r="FO3016" i="1"/>
  <c r="FO3015" i="1"/>
  <c r="FO3014" i="1"/>
  <c r="FO3013" i="1"/>
  <c r="FO3012" i="1"/>
  <c r="FO3011" i="1"/>
  <c r="FP3010" i="1"/>
  <c r="FP3009" i="1"/>
  <c r="FP3008" i="1"/>
  <c r="FP3007" i="1"/>
  <c r="FO3009" i="1"/>
  <c r="FO3010" i="1"/>
  <c r="FO3008" i="1"/>
  <c r="FO3007" i="1"/>
  <c r="FP2952" i="1"/>
  <c r="FP2951" i="1"/>
  <c r="FO2952" i="1"/>
  <c r="FO2951" i="1"/>
  <c r="FP1689" i="1"/>
  <c r="FP1688" i="1"/>
  <c r="FP1687" i="1"/>
  <c r="FP1686" i="1"/>
  <c r="FP1685" i="1"/>
  <c r="FP1684" i="1"/>
  <c r="FP1683" i="1"/>
  <c r="FP1682" i="1"/>
  <c r="FP1681" i="1"/>
  <c r="FP1680" i="1"/>
  <c r="FP1679" i="1"/>
  <c r="FP1678" i="1"/>
  <c r="FO1689" i="1"/>
  <c r="FO1688" i="1"/>
  <c r="FO1687" i="1"/>
  <c r="FO1686" i="1"/>
  <c r="FO1685" i="1"/>
  <c r="FO1684" i="1"/>
  <c r="FO1683" i="1"/>
  <c r="FO1682" i="1"/>
  <c r="FO1681" i="1"/>
  <c r="FO1680" i="1"/>
  <c r="FO1679" i="1"/>
  <c r="FO1678" i="1"/>
  <c r="FP748" i="1"/>
  <c r="FP747" i="1"/>
  <c r="FO748" i="1"/>
  <c r="FO747" i="1"/>
  <c r="FP607" i="1"/>
  <c r="FP606" i="1"/>
  <c r="FP605" i="1"/>
  <c r="FP604" i="1"/>
  <c r="FP603" i="1"/>
  <c r="FP602" i="1"/>
  <c r="FP601" i="1"/>
  <c r="FP600" i="1"/>
  <c r="FP599" i="1"/>
  <c r="FP598" i="1"/>
  <c r="FP597" i="1"/>
  <c r="FP596" i="1"/>
  <c r="FP595" i="1"/>
  <c r="FP594" i="1"/>
  <c r="FP593" i="1"/>
  <c r="FP592" i="1"/>
  <c r="FP591" i="1"/>
  <c r="FP590" i="1"/>
  <c r="FP589" i="1"/>
  <c r="FP588" i="1"/>
  <c r="FP587" i="1"/>
  <c r="FP586" i="1"/>
  <c r="FP585" i="1"/>
  <c r="FP584" i="1"/>
  <c r="FP583" i="1"/>
  <c r="FP582" i="1"/>
  <c r="FP581" i="1"/>
  <c r="FP580" i="1"/>
  <c r="FP577" i="1"/>
  <c r="FP576" i="1"/>
  <c r="FP575" i="1"/>
  <c r="FP574" i="1"/>
  <c r="FP573" i="1"/>
  <c r="FP572" i="1"/>
  <c r="FP571" i="1"/>
  <c r="FP570" i="1"/>
  <c r="FP569" i="1"/>
  <c r="FP568" i="1"/>
  <c r="FO607" i="1"/>
  <c r="FO606" i="1"/>
  <c r="FO605" i="1"/>
  <c r="FO604" i="1"/>
  <c r="FO603" i="1"/>
  <c r="FO602" i="1"/>
  <c r="FO601" i="1"/>
  <c r="FO600" i="1"/>
  <c r="FO599" i="1"/>
  <c r="FO598" i="1"/>
  <c r="FO597" i="1"/>
  <c r="FO596" i="1"/>
  <c r="FO595" i="1"/>
  <c r="FO594" i="1"/>
  <c r="FO593" i="1"/>
  <c r="FO592" i="1"/>
  <c r="FO591" i="1"/>
  <c r="FO590" i="1"/>
  <c r="FO589" i="1"/>
  <c r="FO588" i="1"/>
  <c r="FO587" i="1"/>
  <c r="FO586" i="1"/>
  <c r="FO585" i="1"/>
  <c r="FO584" i="1"/>
  <c r="FO583" i="1"/>
  <c r="FO582" i="1"/>
  <c r="FO581" i="1"/>
  <c r="FO580" i="1"/>
  <c r="FO577" i="1"/>
  <c r="FO576" i="1"/>
  <c r="FO575" i="1"/>
  <c r="FO574" i="1"/>
  <c r="FO571" i="1"/>
  <c r="FO570" i="1"/>
  <c r="E103" i="3"/>
  <c r="FK4860" i="1"/>
  <c r="FK4859" i="1"/>
  <c r="FK4858" i="1"/>
  <c r="FK4857" i="1"/>
  <c r="FJ4860" i="1"/>
  <c r="FJ4859" i="1"/>
  <c r="FJ4858" i="1"/>
  <c r="FJ4857" i="1"/>
  <c r="FK4696" i="1"/>
  <c r="FK4695" i="1"/>
  <c r="FK4694" i="1"/>
  <c r="FK4693" i="1"/>
  <c r="FK4692" i="1"/>
  <c r="FK4691" i="1"/>
  <c r="FK4690" i="1"/>
  <c r="FK4689" i="1"/>
  <c r="FK4688" i="1"/>
  <c r="FK4687" i="1"/>
  <c r="FK4686" i="1"/>
  <c r="FJ4696" i="1"/>
  <c r="FJ4695" i="1"/>
  <c r="FJ4694" i="1"/>
  <c r="FJ4693" i="1"/>
  <c r="FJ4692" i="1"/>
  <c r="FJ4691" i="1"/>
  <c r="FJ4690" i="1"/>
  <c r="FJ4689" i="1"/>
  <c r="FJ4688" i="1"/>
  <c r="FJ4687" i="1"/>
  <c r="FJ4686" i="1"/>
  <c r="FK4646" i="1"/>
  <c r="FJ4646" i="1"/>
  <c r="FK4643" i="1"/>
  <c r="FK4640" i="1"/>
  <c r="FJ4643" i="1"/>
  <c r="FJ4640" i="1"/>
  <c r="FK4603" i="1"/>
  <c r="FK4602" i="1"/>
  <c r="FJ4602" i="1"/>
  <c r="FJ4603" i="1"/>
  <c r="FK1689" i="1"/>
  <c r="FK1688" i="1"/>
  <c r="FK1687" i="1"/>
  <c r="FK1686" i="1"/>
  <c r="FK1685" i="1"/>
  <c r="FK1684" i="1"/>
  <c r="FK1683" i="1"/>
  <c r="FK1682" i="1"/>
  <c r="FK1681" i="1"/>
  <c r="FK1680" i="1"/>
  <c r="FK1679" i="1"/>
  <c r="FK1678" i="1"/>
  <c r="FJ1689" i="1"/>
  <c r="FJ1688" i="1"/>
  <c r="FJ1687" i="1"/>
  <c r="FJ1686" i="1"/>
  <c r="FJ1685" i="1"/>
  <c r="FJ1684" i="1"/>
  <c r="FJ1683" i="1"/>
  <c r="FJ1682" i="1"/>
  <c r="FJ1681" i="1"/>
  <c r="FJ1680" i="1"/>
  <c r="FJ1679" i="1"/>
  <c r="FJ1678" i="1"/>
  <c r="D93" i="3"/>
  <c r="E93" i="3" s="1"/>
  <c r="D92" i="3"/>
  <c r="E92" i="3" s="1"/>
  <c r="E94" i="3"/>
  <c r="FJ1667" i="1"/>
  <c r="FJ1666" i="1"/>
  <c r="FJ1664" i="1"/>
  <c r="FJ1663" i="1"/>
  <c r="FJ1662" i="1"/>
  <c r="FJ1661" i="1"/>
  <c r="FJ1659" i="1"/>
  <c r="FJ1658" i="1"/>
  <c r="FK1657" i="1"/>
  <c r="FK1656" i="1"/>
  <c r="FK1654" i="1"/>
  <c r="FJ1657" i="1"/>
  <c r="FJ1656" i="1"/>
  <c r="FJ1654" i="1"/>
  <c r="FJ1653" i="1"/>
  <c r="FJ1652" i="1"/>
  <c r="FJ1651" i="1"/>
  <c r="FJ1650" i="1"/>
  <c r="FJ1649" i="1"/>
  <c r="FJ1648" i="1"/>
  <c r="FJ1647" i="1"/>
  <c r="FJ1646" i="1"/>
  <c r="FJ1645" i="1"/>
  <c r="FJ1644" i="1"/>
  <c r="FJ1643" i="1"/>
  <c r="FK1642" i="1"/>
  <c r="FK1638" i="1"/>
  <c r="FK1637" i="1"/>
  <c r="FK1634" i="1"/>
  <c r="FJ1642" i="1"/>
  <c r="FJ1641" i="1"/>
  <c r="FJ1640" i="1"/>
  <c r="FJ1639" i="1"/>
  <c r="FJ1638" i="1"/>
  <c r="FJ1637" i="1"/>
  <c r="FJ1636" i="1"/>
  <c r="FJ1635" i="1"/>
  <c r="FJ1634" i="1"/>
  <c r="FJ1633" i="1"/>
  <c r="FK1632" i="1"/>
  <c r="FK1629" i="1"/>
  <c r="FJ1632" i="1"/>
  <c r="FJ1631" i="1"/>
  <c r="FJ1630" i="1"/>
  <c r="FJ1629" i="1"/>
  <c r="FJ1628" i="1"/>
  <c r="FK1627" i="1"/>
  <c r="FK1624" i="1"/>
  <c r="FJ1627" i="1"/>
  <c r="FJ1626" i="1"/>
  <c r="FJ1625" i="1"/>
  <c r="FJ1624" i="1"/>
  <c r="FJ1623" i="1"/>
  <c r="FK1543" i="1"/>
  <c r="FK1542" i="1"/>
  <c r="FK1541" i="1"/>
  <c r="FK1540" i="1"/>
  <c r="FJ1543" i="1"/>
  <c r="FJ1542" i="1"/>
  <c r="FJ1541" i="1"/>
  <c r="FJ1540" i="1"/>
  <c r="FP2184" i="1" l="1"/>
  <c r="FP2183" i="1"/>
  <c r="FP2182" i="1"/>
  <c r="FO2182" i="1"/>
  <c r="FP2181" i="1"/>
  <c r="FP2180" i="1"/>
  <c r="FP2179" i="1"/>
  <c r="FO2179" i="1"/>
  <c r="FO2184" i="1"/>
  <c r="FO2183" i="1"/>
  <c r="FO2181" i="1"/>
  <c r="FO2180" i="1"/>
  <c r="E4" i="4" l="1"/>
  <c r="E5" i="4"/>
  <c r="E6" i="4"/>
  <c r="E7" i="4"/>
  <c r="E8" i="4"/>
  <c r="E9" i="4"/>
  <c r="E10" i="4"/>
  <c r="E11" i="4"/>
  <c r="E12" i="4"/>
  <c r="E13" i="4"/>
  <c r="E14" i="4"/>
  <c r="E15" i="4"/>
  <c r="E16" i="4"/>
  <c r="E17" i="4"/>
  <c r="E18" i="4"/>
  <c r="E19" i="4"/>
  <c r="E20" i="4"/>
  <c r="E21" i="4"/>
  <c r="E22" i="4"/>
  <c r="E3" i="4"/>
  <c r="CN4641" i="1" l="1"/>
  <c r="CN4642" i="1"/>
  <c r="CN4643" i="1"/>
  <c r="CN4644" i="1"/>
  <c r="CN4645" i="1"/>
  <c r="CN4646" i="1"/>
  <c r="CN4647" i="1"/>
  <c r="CN4648" i="1"/>
  <c r="CN4640" i="1"/>
  <c r="CM4641" i="1"/>
  <c r="CM4642" i="1"/>
  <c r="CM4643" i="1"/>
  <c r="CM4644" i="1"/>
  <c r="CM4645" i="1"/>
  <c r="CM4646" i="1"/>
  <c r="CM4647" i="1"/>
  <c r="CM4648" i="1"/>
  <c r="CM4640" i="1"/>
  <c r="CN4875" i="1"/>
  <c r="CN4876" i="1"/>
  <c r="CN4877" i="1"/>
  <c r="CN4878" i="1"/>
  <c r="CN4879" i="1"/>
  <c r="CN4880" i="1"/>
  <c r="CN4881" i="1"/>
  <c r="CN4882" i="1"/>
  <c r="CN4874" i="1"/>
  <c r="CM4880" i="1"/>
  <c r="CM4881" i="1"/>
  <c r="CM4882" i="1"/>
  <c r="CM4878" i="1"/>
  <c r="CM4879" i="1"/>
  <c r="CM4877" i="1"/>
  <c r="CM4876" i="1"/>
  <c r="CM4875" i="1"/>
  <c r="CM4874" i="1"/>
  <c r="IP5057" i="1" l="1"/>
  <c r="IP5056" i="1"/>
  <c r="IP5055" i="1"/>
  <c r="IP5051" i="1"/>
  <c r="IP5050" i="1"/>
  <c r="IP5049" i="1"/>
  <c r="IP5048" i="1"/>
  <c r="IP5047" i="1"/>
  <c r="IP5046" i="1"/>
  <c r="IO5060" i="1"/>
  <c r="IO5059" i="1"/>
  <c r="IO5058" i="1"/>
  <c r="IO5056" i="1"/>
  <c r="IO5053" i="1"/>
  <c r="IO5055" i="1"/>
  <c r="IO5054" i="1"/>
  <c r="IO5052" i="1"/>
  <c r="IO5051" i="1"/>
  <c r="IO5050" i="1"/>
  <c r="IO5049" i="1"/>
  <c r="IO5048" i="1"/>
  <c r="IO5047" i="1"/>
  <c r="IO5046" i="1"/>
  <c r="BJ5060" i="1"/>
  <c r="BJ5059" i="1"/>
  <c r="BJ5058" i="1"/>
  <c r="BJ5057" i="1"/>
  <c r="BJ5056" i="1"/>
  <c r="BJ5055" i="1"/>
  <c r="BJ5054" i="1"/>
  <c r="BJ5053" i="1"/>
  <c r="BJ5052" i="1"/>
  <c r="BJ5051" i="1"/>
  <c r="BJ5050" i="1"/>
  <c r="BJ5049" i="1"/>
  <c r="BJ5048" i="1"/>
  <c r="BJ5047" i="1"/>
  <c r="BJ5131" i="1" l="1"/>
  <c r="BJ5130" i="1"/>
  <c r="BJ5129" i="1"/>
  <c r="BJ5128" i="1"/>
  <c r="BJ5127" i="1"/>
  <c r="BJ5126" i="1"/>
  <c r="BJ5125" i="1"/>
  <c r="BJ5019" i="1"/>
  <c r="BJ5018" i="1"/>
  <c r="BJ5017" i="1"/>
  <c r="BJ5016" i="1"/>
  <c r="BJ5015" i="1"/>
  <c r="BJ5014" i="1"/>
  <c r="CS4950" i="1"/>
  <c r="CX4950" i="1" s="1"/>
  <c r="CS4945" i="1"/>
  <c r="CX4945" i="1" s="1"/>
  <c r="CS4946" i="1"/>
  <c r="CX4946" i="1" s="1"/>
  <c r="CS4947" i="1"/>
  <c r="CX4947" i="1" s="1"/>
  <c r="CS4948" i="1"/>
  <c r="CX4948" i="1" s="1"/>
  <c r="CS4949" i="1"/>
  <c r="CX4949" i="1" s="1"/>
  <c r="CS4951" i="1"/>
  <c r="CX4951" i="1" s="1"/>
  <c r="CS4952" i="1"/>
  <c r="CX4952" i="1" s="1"/>
  <c r="CS4953" i="1"/>
  <c r="CX4953" i="1" s="1"/>
  <c r="CS4954" i="1"/>
  <c r="CX4954" i="1" s="1"/>
  <c r="CS4955" i="1"/>
  <c r="CX4955" i="1" s="1"/>
  <c r="CS4944" i="1"/>
  <c r="CX4944" i="1" s="1"/>
  <c r="CR4945" i="1"/>
  <c r="CW4945" i="1" s="1"/>
  <c r="CR4946" i="1"/>
  <c r="CW4946" i="1" s="1"/>
  <c r="CR4947" i="1"/>
  <c r="CW4947" i="1" s="1"/>
  <c r="CR4948" i="1"/>
  <c r="CW4948" i="1" s="1"/>
  <c r="CR4949" i="1"/>
  <c r="CW4949" i="1" s="1"/>
  <c r="CR4950" i="1"/>
  <c r="CW4950" i="1" s="1"/>
  <c r="CR4951" i="1"/>
  <c r="CW4951" i="1" s="1"/>
  <c r="CR4952" i="1"/>
  <c r="CW4952" i="1" s="1"/>
  <c r="CR4953" i="1"/>
  <c r="CW4953" i="1" s="1"/>
  <c r="CR4954" i="1"/>
  <c r="CW4954" i="1" s="1"/>
  <c r="CR4955" i="1"/>
  <c r="CW4955" i="1" s="1"/>
  <c r="CR4944" i="1"/>
  <c r="AJ4944" i="1"/>
  <c r="BJ4955" i="1"/>
  <c r="BJ4954" i="1"/>
  <c r="BJ4953" i="1"/>
  <c r="BJ4952" i="1"/>
  <c r="BJ4951" i="1"/>
  <c r="BJ4950" i="1"/>
  <c r="BJ4949" i="1"/>
  <c r="BJ4948" i="1"/>
  <c r="BJ4947" i="1"/>
  <c r="BJ4946" i="1"/>
  <c r="EN4915" i="1"/>
  <c r="EN4914" i="1"/>
  <c r="EN4913" i="1"/>
  <c r="EN4911" i="1"/>
  <c r="EN4910" i="1"/>
  <c r="EN4912" i="1"/>
  <c r="EM4915" i="1"/>
  <c r="EM4914" i="1"/>
  <c r="EM4913" i="1"/>
  <c r="EM4911" i="1"/>
  <c r="EM4912" i="1"/>
  <c r="EM4910" i="1"/>
  <c r="DT4910" i="1"/>
  <c r="DT4911" i="1"/>
  <c r="DT4912" i="1"/>
  <c r="DT4913" i="1"/>
  <c r="DT4914" i="1"/>
  <c r="DT4915" i="1"/>
  <c r="DS4911" i="1"/>
  <c r="DS4912" i="1"/>
  <c r="DS4913" i="1"/>
  <c r="DS4914" i="1"/>
  <c r="DS4915" i="1"/>
  <c r="DS4910" i="1"/>
  <c r="DE4911" i="1"/>
  <c r="DJ4915" i="1"/>
  <c r="DJ4914" i="1"/>
  <c r="DJ4913" i="1"/>
  <c r="DJ4912" i="1"/>
  <c r="DJ4911" i="1"/>
  <c r="DJ4910" i="1"/>
  <c r="DI4915" i="1"/>
  <c r="DI4914" i="1"/>
  <c r="DI4913" i="1"/>
  <c r="DI4912" i="1"/>
  <c r="DI4911" i="1"/>
  <c r="DI4910" i="1"/>
  <c r="DE4915" i="1"/>
  <c r="DE4914" i="1"/>
  <c r="DE4913" i="1"/>
  <c r="DE4912" i="1"/>
  <c r="DE4910" i="1"/>
  <c r="DD4913" i="1"/>
  <c r="DD4915" i="1"/>
  <c r="DD4914" i="1"/>
  <c r="DD4911" i="1"/>
  <c r="DD4912" i="1"/>
  <c r="DD4910" i="1"/>
  <c r="CK4914" i="1"/>
  <c r="CK4911" i="1"/>
  <c r="CK4910" i="1"/>
  <c r="CK4912" i="1"/>
  <c r="CK4913" i="1"/>
  <c r="CK4915" i="1"/>
  <c r="CJ4915" i="1"/>
  <c r="CJ4914" i="1"/>
  <c r="CJ4913" i="1"/>
  <c r="CJ4912" i="1"/>
  <c r="CJ4911" i="1"/>
  <c r="CJ4910" i="1"/>
  <c r="AK4915" i="1"/>
  <c r="AK4914" i="1"/>
  <c r="AK4913" i="1"/>
  <c r="AK4912" i="1"/>
  <c r="AK4911" i="1"/>
  <c r="AK4910" i="1"/>
  <c r="BJ4900" i="1"/>
  <c r="BJ4899" i="1"/>
  <c r="BJ4898" i="1"/>
  <c r="BJ4897" i="1"/>
  <c r="BJ4896" i="1"/>
  <c r="BJ4895" i="1"/>
  <c r="BJ4894" i="1"/>
  <c r="BJ4893" i="1"/>
  <c r="BJ4892" i="1"/>
  <c r="BJ4891" i="1"/>
  <c r="BJ4890" i="1"/>
  <c r="BJ4889" i="1"/>
  <c r="BJ4888" i="1"/>
  <c r="BJ4887" i="1"/>
  <c r="BJ4886" i="1"/>
  <c r="BJ4885" i="1"/>
  <c r="BJ4884" i="1"/>
  <c r="BJ4883" i="1"/>
  <c r="DB4901" i="1"/>
  <c r="BJ4882" i="1"/>
  <c r="BJ4881" i="1"/>
  <c r="BJ4880" i="1"/>
  <c r="BJ4879" i="1"/>
  <c r="BJ4878" i="1"/>
  <c r="BJ4877" i="1"/>
  <c r="BJ4800" i="1"/>
  <c r="BJ4799" i="1"/>
  <c r="BJ4798" i="1"/>
  <c r="BJ4797" i="1"/>
  <c r="BJ4796" i="1"/>
  <c r="BJ4795" i="1"/>
  <c r="BJ4794" i="1"/>
  <c r="BJ4793" i="1"/>
  <c r="BJ4792" i="1"/>
  <c r="BJ4791" i="1"/>
  <c r="BJ4790" i="1"/>
  <c r="BJ4789" i="1"/>
  <c r="BJ4785" i="1"/>
  <c r="BJ4784" i="1"/>
  <c r="BJ4783" i="1"/>
  <c r="BJ4782" i="1"/>
  <c r="BJ4781" i="1"/>
  <c r="BJ4780" i="1"/>
  <c r="DW4776" i="1"/>
  <c r="DW4775" i="1"/>
  <c r="DW4774" i="1"/>
  <c r="DV4775" i="1"/>
  <c r="DV4776" i="1"/>
  <c r="DV4774" i="1"/>
  <c r="DW4779" i="1"/>
  <c r="DW4778" i="1"/>
  <c r="DW4777" i="1"/>
  <c r="DV4778" i="1"/>
  <c r="DV4779" i="1"/>
  <c r="DV4777" i="1"/>
  <c r="DW4788" i="1"/>
  <c r="DW4787" i="1"/>
  <c r="DW4786" i="1"/>
  <c r="DV4787" i="1"/>
  <c r="DV4788" i="1"/>
  <c r="DV4786" i="1"/>
  <c r="BJ4776" i="1"/>
  <c r="BJ4775" i="1"/>
  <c r="BJ4774" i="1"/>
  <c r="BJ4779" i="1"/>
  <c r="AA4754" i="1"/>
  <c r="AA4753" i="1"/>
  <c r="AA4752" i="1"/>
  <c r="CM5233" i="1"/>
  <c r="CN5233" i="1"/>
  <c r="DW5238" i="1"/>
  <c r="DV5238" i="1"/>
  <c r="DW5237" i="1"/>
  <c r="DV5237" i="1"/>
  <c r="DW5236" i="1"/>
  <c r="DV5236" i="1"/>
  <c r="DV5235" i="1"/>
  <c r="DW5235" i="1"/>
  <c r="DW5234" i="1"/>
  <c r="DV5234" i="1"/>
  <c r="DV5233" i="1"/>
  <c r="DW5233" i="1"/>
  <c r="BJ5229" i="1" l="1"/>
  <c r="AK5229" i="1"/>
  <c r="AJ5229" i="1"/>
  <c r="N5229" i="1"/>
  <c r="M5229" i="1"/>
  <c r="BJ5228" i="1"/>
  <c r="AK5228" i="1"/>
  <c r="AJ5228" i="1"/>
  <c r="N5228" i="1"/>
  <c r="M5228" i="1"/>
  <c r="BJ5227" i="1"/>
  <c r="AK5227" i="1"/>
  <c r="AJ5227" i="1"/>
  <c r="N5227" i="1"/>
  <c r="M5227" i="1"/>
  <c r="BJ5226" i="1"/>
  <c r="AK5226" i="1"/>
  <c r="AJ5226" i="1"/>
  <c r="N5226" i="1"/>
  <c r="M5226" i="1"/>
  <c r="BJ5225" i="1"/>
  <c r="AK5225" i="1"/>
  <c r="AJ5225" i="1"/>
  <c r="N5225" i="1"/>
  <c r="M5225" i="1"/>
  <c r="BJ5224" i="1"/>
  <c r="AK5224" i="1"/>
  <c r="AJ5224" i="1"/>
  <c r="N5224" i="1"/>
  <c r="M5224" i="1"/>
  <c r="BJ5223" i="1"/>
  <c r="AK5223" i="1"/>
  <c r="AJ5223" i="1"/>
  <c r="N5223" i="1"/>
  <c r="M5223" i="1"/>
  <c r="BJ5222" i="1"/>
  <c r="AK5222" i="1"/>
  <c r="AJ5222" i="1"/>
  <c r="N5222" i="1"/>
  <c r="M5222" i="1"/>
  <c r="BJ5221" i="1"/>
  <c r="AK5221" i="1"/>
  <c r="AJ5221" i="1"/>
  <c r="N5221" i="1"/>
  <c r="M5221" i="1"/>
  <c r="BJ5220" i="1"/>
  <c r="AK5220" i="1"/>
  <c r="AJ5220" i="1"/>
  <c r="N5220" i="1"/>
  <c r="M5220" i="1"/>
  <c r="BJ5232" i="1"/>
  <c r="AK5232" i="1"/>
  <c r="AJ5232" i="1"/>
  <c r="N5232" i="1"/>
  <c r="M5232" i="1"/>
  <c r="BJ5231" i="1"/>
  <c r="AK5231" i="1"/>
  <c r="AJ5231" i="1"/>
  <c r="N5231" i="1"/>
  <c r="M5231" i="1"/>
  <c r="BJ5230" i="1"/>
  <c r="AK5230" i="1"/>
  <c r="AJ5230" i="1"/>
  <c r="N5230" i="1"/>
  <c r="M5230" i="1"/>
  <c r="AK5217" i="1"/>
  <c r="AK5219" i="1"/>
  <c r="AK5218" i="1"/>
  <c r="AJ5217" i="1"/>
  <c r="AJ5219" i="1"/>
  <c r="AJ5218" i="1"/>
  <c r="M5217" i="1"/>
  <c r="N5217" i="1"/>
  <c r="M5219" i="1"/>
  <c r="N5219" i="1"/>
  <c r="N5218" i="1"/>
  <c r="M5218" i="1"/>
  <c r="AE5214" i="1"/>
  <c r="AE5215" i="1"/>
  <c r="AE5216" i="1"/>
  <c r="AE5213" i="1"/>
  <c r="M5214" i="1"/>
  <c r="N5214" i="1"/>
  <c r="M5215" i="1"/>
  <c r="N5215" i="1"/>
  <c r="M5216" i="1"/>
  <c r="N5216" i="1"/>
  <c r="M5213" i="1"/>
  <c r="N5213" i="1"/>
  <c r="IZ5210" i="1"/>
  <c r="IZ5211" i="1"/>
  <c r="IZ5212" i="1"/>
  <c r="IZ5209" i="1"/>
  <c r="IZ5208" i="1"/>
  <c r="IZ5207" i="1"/>
  <c r="IY5212" i="1"/>
  <c r="IY5211" i="1"/>
  <c r="IY5210" i="1"/>
  <c r="IY5209" i="1"/>
  <c r="IY5208" i="1"/>
  <c r="IY5207" i="1"/>
  <c r="IF5212" i="1"/>
  <c r="IF5211" i="1"/>
  <c r="IF5210" i="1"/>
  <c r="IF5209" i="1"/>
  <c r="IF5208" i="1"/>
  <c r="IF5207" i="1"/>
  <c r="IE5212" i="1"/>
  <c r="IE5211" i="1"/>
  <c r="IE5210" i="1"/>
  <c r="IE5209" i="1"/>
  <c r="IE5208" i="1"/>
  <c r="IE5207" i="1"/>
  <c r="JN5210" i="1"/>
  <c r="JN5207" i="1"/>
  <c r="JO5212" i="1"/>
  <c r="JI5212" i="1"/>
  <c r="JI5207" i="1"/>
  <c r="BJ5212" i="1"/>
  <c r="N5212" i="1"/>
  <c r="M5212" i="1"/>
  <c r="BJ5211" i="1"/>
  <c r="N5211" i="1"/>
  <c r="M5211" i="1"/>
  <c r="BJ5210" i="1"/>
  <c r="N5210" i="1"/>
  <c r="M5210" i="1"/>
  <c r="CP5209" i="1"/>
  <c r="DE5209" i="1"/>
  <c r="DD5207" i="1"/>
  <c r="M5208" i="1"/>
  <c r="N5208" i="1"/>
  <c r="M5209" i="1"/>
  <c r="N5209" i="1"/>
  <c r="N5207" i="1"/>
  <c r="M5207" i="1"/>
  <c r="HF5202" i="1"/>
  <c r="HG5204" i="1"/>
  <c r="CX5201" i="1"/>
  <c r="CX5200" i="1"/>
  <c r="CW5201" i="1"/>
  <c r="CW5200" i="1"/>
  <c r="CW4984" i="1"/>
  <c r="BJ5201" i="1" l="1"/>
  <c r="BJ5200" i="1"/>
  <c r="BJ5199" i="1" l="1"/>
  <c r="BJ5198" i="1"/>
  <c r="BJ5197" i="1"/>
  <c r="BJ5196" i="1"/>
  <c r="BJ5195" i="1"/>
  <c r="BJ5194" i="1"/>
  <c r="BJ5193" i="1"/>
  <c r="BJ5192" i="1"/>
  <c r="BJ5191" i="1"/>
  <c r="BJ5190" i="1"/>
  <c r="BJ5189" i="1"/>
  <c r="BJ5188" i="1"/>
  <c r="BJ5187" i="1"/>
  <c r="BJ5186" i="1"/>
  <c r="BJ5185" i="1"/>
  <c r="BJ5184" i="1"/>
  <c r="BJ5183" i="1"/>
  <c r="BJ5182" i="1"/>
  <c r="BJ5181" i="1"/>
  <c r="BJ5180" i="1"/>
  <c r="BJ5179" i="1"/>
  <c r="BJ5178" i="1"/>
  <c r="BJ5177" i="1"/>
  <c r="BJ5176" i="1"/>
  <c r="BJ5175" i="1"/>
  <c r="BJ5174" i="1"/>
  <c r="BJ5173" i="1"/>
  <c r="BJ5172" i="1"/>
  <c r="BJ5171" i="1"/>
  <c r="BJ5170" i="1"/>
  <c r="BJ5169" i="1"/>
  <c r="BJ5168" i="1"/>
  <c r="BJ5167" i="1"/>
  <c r="BJ5166" i="1"/>
  <c r="BJ5165" i="1"/>
  <c r="BJ5164" i="1"/>
  <c r="BJ5163" i="1"/>
  <c r="BJ5162" i="1"/>
  <c r="BJ5161" i="1"/>
  <c r="FW5146" i="1"/>
  <c r="FV5147" i="1"/>
  <c r="FV5146" i="1"/>
  <c r="CW5146" i="1"/>
  <c r="CR5146" i="1"/>
  <c r="BJ5153" i="1"/>
  <c r="N5153" i="1"/>
  <c r="M5153" i="1"/>
  <c r="BJ5152" i="1"/>
  <c r="N5152" i="1"/>
  <c r="M5152" i="1"/>
  <c r="BJ5151" i="1"/>
  <c r="N5151" i="1"/>
  <c r="M5151" i="1"/>
  <c r="BJ5150" i="1"/>
  <c r="N5150" i="1"/>
  <c r="M5150" i="1"/>
  <c r="BJ5157" i="1"/>
  <c r="N5157" i="1"/>
  <c r="M5157" i="1"/>
  <c r="BJ5156" i="1"/>
  <c r="N5156" i="1"/>
  <c r="M5156" i="1"/>
  <c r="BJ5155" i="1"/>
  <c r="N5155" i="1"/>
  <c r="M5155" i="1"/>
  <c r="BJ5154" i="1"/>
  <c r="N5154" i="1"/>
  <c r="M5154" i="1"/>
  <c r="BJ5149" i="1"/>
  <c r="N5149" i="1"/>
  <c r="M5149" i="1"/>
  <c r="BJ5148" i="1"/>
  <c r="N5148" i="1"/>
  <c r="M5148" i="1"/>
  <c r="BJ5147" i="1"/>
  <c r="N5147" i="1"/>
  <c r="M5147" i="1"/>
  <c r="N5146" i="1"/>
  <c r="M5146" i="1"/>
  <c r="AJ5144" i="1" l="1"/>
  <c r="AJ5143" i="1"/>
  <c r="AJ5142" i="1"/>
  <c r="AJ5141" i="1"/>
  <c r="AE5142" i="1"/>
  <c r="AE5143" i="1"/>
  <c r="AE5144" i="1"/>
  <c r="AE5141" i="1"/>
  <c r="BJ5139" i="1" l="1"/>
  <c r="N5139" i="1"/>
  <c r="M5139" i="1"/>
  <c r="BJ5138" i="1"/>
  <c r="N5138" i="1"/>
  <c r="M5138" i="1"/>
  <c r="BJ5137" i="1"/>
  <c r="N5137" i="1"/>
  <c r="M5137" i="1"/>
  <c r="BJ5136" i="1"/>
  <c r="N5136" i="1"/>
  <c r="M5136" i="1"/>
  <c r="M5135" i="1"/>
  <c r="N5135" i="1"/>
  <c r="N5134" i="1"/>
  <c r="M5134" i="1"/>
  <c r="DY5133" i="1"/>
  <c r="DY5132" i="1"/>
  <c r="DX5133" i="1"/>
  <c r="DX5132" i="1"/>
  <c r="DW5133" i="1"/>
  <c r="DW5132" i="1"/>
  <c r="DV5133" i="1"/>
  <c r="DV5132" i="1"/>
  <c r="BJ5117" i="1"/>
  <c r="BJ5116" i="1"/>
  <c r="BJ5115" i="1"/>
  <c r="BJ5114" i="1"/>
  <c r="BJ5113" i="1"/>
  <c r="BJ5112" i="1"/>
  <c r="CN5111" i="1"/>
  <c r="CM5111" i="1"/>
  <c r="BJ5110" i="1"/>
  <c r="N5110" i="1"/>
  <c r="M5110" i="1"/>
  <c r="BJ5109" i="1"/>
  <c r="N5109" i="1"/>
  <c r="M5109" i="1"/>
  <c r="N5108" i="1"/>
  <c r="M5108" i="1"/>
  <c r="HU5106" i="1"/>
  <c r="HQ5106" i="1"/>
  <c r="HP5106" i="1"/>
  <c r="HQ5107" i="1"/>
  <c r="HP5107" i="1"/>
  <c r="CO5107" i="1"/>
  <c r="BJ5107" i="1"/>
  <c r="N5107" i="1"/>
  <c r="M5107" i="1"/>
  <c r="DJ5106" i="1"/>
  <c r="DI5106" i="1"/>
  <c r="DY5106" i="1"/>
  <c r="DX5106" i="1"/>
  <c r="DW5106" i="1"/>
  <c r="DV5106" i="1"/>
  <c r="DO5106" i="1"/>
  <c r="DN5106" i="1"/>
  <c r="DT5106" i="1"/>
  <c r="DS5106" i="1"/>
  <c r="CO5106" i="1"/>
  <c r="N5106" i="1"/>
  <c r="M5106" i="1"/>
  <c r="BJ5105" i="1"/>
  <c r="AK5105" i="1"/>
  <c r="AJ5105" i="1"/>
  <c r="AF5105" i="1"/>
  <c r="AE5105" i="1"/>
  <c r="BJ5104" i="1"/>
  <c r="AK5104" i="1"/>
  <c r="AJ5104" i="1"/>
  <c r="AF5104" i="1"/>
  <c r="AE5104" i="1"/>
  <c r="BJ5103" i="1"/>
  <c r="AK5103" i="1"/>
  <c r="AJ5103" i="1"/>
  <c r="AF5103" i="1"/>
  <c r="AE5103" i="1"/>
  <c r="BJ5102" i="1"/>
  <c r="AK5102" i="1"/>
  <c r="AJ5102" i="1"/>
  <c r="AF5102" i="1"/>
  <c r="AE5102" i="1"/>
  <c r="HG5100" i="1"/>
  <c r="HF5100" i="1"/>
  <c r="IA5100" i="1"/>
  <c r="HZ5100" i="1"/>
  <c r="CP5101" i="1"/>
  <c r="CO5101" i="1"/>
  <c r="CP5100" i="1"/>
  <c r="CO5100" i="1"/>
  <c r="CN5101" i="1"/>
  <c r="CM5101" i="1"/>
  <c r="CN5100" i="1"/>
  <c r="CM5100" i="1"/>
  <c r="AK5101" i="1"/>
  <c r="AK5100" i="1"/>
  <c r="AJ5101" i="1"/>
  <c r="AJ5100" i="1"/>
  <c r="AE5101" i="1"/>
  <c r="AF5101" i="1"/>
  <c r="AF5100" i="1"/>
  <c r="AE5100" i="1"/>
  <c r="BJ5101" i="1"/>
  <c r="HQ5092" i="1"/>
  <c r="HP5092" i="1"/>
  <c r="IU5092" i="1"/>
  <c r="IT5092" i="1"/>
  <c r="IV85" i="1"/>
  <c r="JO5092" i="1"/>
  <c r="JN5092" i="1"/>
  <c r="DJ5092" i="1"/>
  <c r="DI5092" i="1"/>
  <c r="DE5092" i="1"/>
  <c r="DD5092" i="1"/>
  <c r="JJ5098" i="1"/>
  <c r="JJ5094" i="1"/>
  <c r="JI5098" i="1"/>
  <c r="JI5097" i="1"/>
  <c r="JI5096" i="1"/>
  <c r="JI5092" i="1"/>
  <c r="M5097" i="1"/>
  <c r="N5097" i="1"/>
  <c r="M5098" i="1"/>
  <c r="N5098" i="1"/>
  <c r="M5099" i="1"/>
  <c r="N5099" i="1"/>
  <c r="N5096" i="1"/>
  <c r="M5096" i="1"/>
  <c r="M5093" i="1"/>
  <c r="N5093" i="1"/>
  <c r="M5094" i="1"/>
  <c r="N5094" i="1"/>
  <c r="M5095" i="1"/>
  <c r="N5095" i="1"/>
  <c r="N5092" i="1"/>
  <c r="M5092" i="1"/>
  <c r="IK5091" i="1"/>
  <c r="IJ5091" i="1"/>
  <c r="CX5091" i="1"/>
  <c r="CW5091" i="1"/>
  <c r="AJ5091" i="1"/>
  <c r="N5091" i="1"/>
  <c r="M5091" i="1"/>
  <c r="EL5089" i="1"/>
  <c r="EL5085" i="1"/>
  <c r="EL5090" i="1"/>
  <c r="EL5088" i="1"/>
  <c r="EL5087" i="1"/>
  <c r="EL5086" i="1"/>
  <c r="EL5084" i="1"/>
  <c r="EL5083" i="1"/>
  <c r="EL5082" i="1"/>
  <c r="EL5081" i="1"/>
  <c r="EL5080" i="1"/>
  <c r="EL5079" i="1"/>
  <c r="EL5078" i="1"/>
  <c r="EL5077" i="1"/>
  <c r="EL5076" i="1"/>
  <c r="EL5075" i="1"/>
  <c r="EK5088" i="1"/>
  <c r="EK5089" i="1"/>
  <c r="EK5090" i="1"/>
  <c r="EK5087" i="1"/>
  <c r="EK5084" i="1"/>
  <c r="EK5085" i="1"/>
  <c r="EK5086" i="1"/>
  <c r="EK5083" i="1"/>
  <c r="EK5080" i="1"/>
  <c r="EK5081" i="1"/>
  <c r="EK5082" i="1"/>
  <c r="EK5079" i="1"/>
  <c r="EK5076" i="1"/>
  <c r="EK5077" i="1"/>
  <c r="EK5078" i="1"/>
  <c r="EK5075" i="1"/>
  <c r="BJ5090" i="1"/>
  <c r="BJ5089" i="1"/>
  <c r="BJ5088" i="1"/>
  <c r="BJ5087" i="1"/>
  <c r="BJ5086" i="1"/>
  <c r="BJ5085" i="1"/>
  <c r="BJ5084" i="1"/>
  <c r="BJ5083" i="1"/>
  <c r="IU5082" i="1"/>
  <c r="IU5081" i="1"/>
  <c r="IU5080" i="1"/>
  <c r="IU5079" i="1"/>
  <c r="IU5078" i="1"/>
  <c r="IU5077" i="1"/>
  <c r="IU5076" i="1"/>
  <c r="IU5075" i="1"/>
  <c r="IS5082" i="1"/>
  <c r="IS5081" i="1"/>
  <c r="IS5080" i="1"/>
  <c r="IS5079" i="1"/>
  <c r="IS5078" i="1"/>
  <c r="IS5077" i="1"/>
  <c r="IS5076" i="1"/>
  <c r="IS5075" i="1"/>
  <c r="IT5080" i="1"/>
  <c r="IT5081" i="1"/>
  <c r="IT5082" i="1"/>
  <c r="IT5079" i="1"/>
  <c r="IT5076" i="1"/>
  <c r="IT5077" i="1"/>
  <c r="IT5078" i="1"/>
  <c r="IT5075" i="1"/>
  <c r="IR5080" i="1"/>
  <c r="IR5081" i="1"/>
  <c r="IR5082" i="1"/>
  <c r="IR5079" i="1"/>
  <c r="IR5076" i="1"/>
  <c r="IR5077" i="1"/>
  <c r="IR5078" i="1"/>
  <c r="IR5075" i="1"/>
  <c r="CN5074" i="1" l="1"/>
  <c r="CM5074" i="1"/>
  <c r="CN5070" i="1"/>
  <c r="CM5070" i="1"/>
  <c r="BJ5073" i="1"/>
  <c r="AJ5073" i="1"/>
  <c r="AG5073" i="1"/>
  <c r="AF5073" i="1"/>
  <c r="AE5073" i="1"/>
  <c r="N5073" i="1"/>
  <c r="M5073" i="1"/>
  <c r="BJ5072" i="1"/>
  <c r="AJ5072" i="1"/>
  <c r="AG5072" i="1"/>
  <c r="AF5072" i="1"/>
  <c r="AE5072" i="1"/>
  <c r="N5072" i="1"/>
  <c r="M5072" i="1"/>
  <c r="BJ5071" i="1"/>
  <c r="AJ5071" i="1"/>
  <c r="AG5071" i="1"/>
  <c r="AF5071" i="1"/>
  <c r="AE5071" i="1"/>
  <c r="N5071" i="1"/>
  <c r="M5071" i="1"/>
  <c r="AJ5074" i="1"/>
  <c r="AJ5070" i="1"/>
  <c r="AF5074" i="1"/>
  <c r="AG5074" i="1"/>
  <c r="AE5074" i="1"/>
  <c r="AG5070" i="1"/>
  <c r="AF5070" i="1"/>
  <c r="AE5070" i="1"/>
  <c r="M5074" i="1"/>
  <c r="N5074" i="1"/>
  <c r="N5070" i="1"/>
  <c r="M5070" i="1"/>
  <c r="HV5069" i="1"/>
  <c r="HV5068" i="1"/>
  <c r="HV5067" i="1"/>
  <c r="HV5066" i="1"/>
  <c r="HV5065" i="1"/>
  <c r="HV5064" i="1"/>
  <c r="HV5063" i="1"/>
  <c r="HV5062" i="1"/>
  <c r="HV5061" i="1"/>
  <c r="HU5068" i="1"/>
  <c r="HU5069" i="1"/>
  <c r="HU5067" i="1"/>
  <c r="HU5065" i="1"/>
  <c r="HU5066" i="1"/>
  <c r="HU5064" i="1"/>
  <c r="HU5062" i="1"/>
  <c r="HU5063" i="1"/>
  <c r="HU5061" i="1"/>
  <c r="CP5066" i="1"/>
  <c r="CP5065" i="1"/>
  <c r="CP5064" i="1"/>
  <c r="CP5069" i="1"/>
  <c r="CP5068" i="1"/>
  <c r="CP5067" i="1"/>
  <c r="CP5062" i="1"/>
  <c r="CP5063" i="1"/>
  <c r="CP5061" i="1"/>
  <c r="CO5065" i="1"/>
  <c r="CO5066" i="1"/>
  <c r="CO5064" i="1"/>
  <c r="CO5069" i="1"/>
  <c r="CO5068" i="1"/>
  <c r="CO5067" i="1"/>
  <c r="CO5062" i="1"/>
  <c r="CO5063" i="1"/>
  <c r="CO5061" i="1"/>
  <c r="BJ5066" i="1"/>
  <c r="BJ5065" i="1"/>
  <c r="BJ5064" i="1"/>
  <c r="BJ5069" i="1"/>
  <c r="BJ5068" i="1"/>
  <c r="BJ5067" i="1"/>
  <c r="BJ5063" i="1"/>
  <c r="BJ5062" i="1"/>
  <c r="DJ5045" i="1" l="1"/>
  <c r="DJ5044" i="1"/>
  <c r="DJ5043" i="1"/>
  <c r="DJ5042" i="1"/>
  <c r="DJ5041" i="1"/>
  <c r="DJ5040" i="1"/>
  <c r="DJ5039" i="1"/>
  <c r="DJ5038" i="1"/>
  <c r="DI5045" i="1"/>
  <c r="DI5044" i="1"/>
  <c r="DI5043" i="1"/>
  <c r="DI5042" i="1"/>
  <c r="DI5041" i="1"/>
  <c r="DI5040" i="1"/>
  <c r="DI5039" i="1"/>
  <c r="DI5038" i="1"/>
  <c r="DE5045" i="1"/>
  <c r="DE5044" i="1"/>
  <c r="DD5045" i="1"/>
  <c r="DD5044" i="1"/>
  <c r="DE5043" i="1"/>
  <c r="DE5042" i="1"/>
  <c r="DE5041" i="1"/>
  <c r="DE5040" i="1"/>
  <c r="DE5039" i="1"/>
  <c r="DE5038" i="1"/>
  <c r="DD5043" i="1"/>
  <c r="DD5042" i="1"/>
  <c r="DD5041" i="1"/>
  <c r="DD5040" i="1"/>
  <c r="DD5039" i="1"/>
  <c r="DD5038" i="1"/>
  <c r="HV5045" i="1"/>
  <c r="HV5044" i="1"/>
  <c r="HU5045" i="1"/>
  <c r="HU5044" i="1"/>
  <c r="BJ5045" i="1"/>
  <c r="BJ5044" i="1"/>
  <c r="HV5043" i="1"/>
  <c r="HV5042" i="1"/>
  <c r="HV5041" i="1"/>
  <c r="HV5040" i="1"/>
  <c r="HV5039" i="1"/>
  <c r="HV5038" i="1"/>
  <c r="HU5043" i="1"/>
  <c r="HU5042" i="1"/>
  <c r="HU5041" i="1"/>
  <c r="HU5040" i="1"/>
  <c r="HU5039" i="1"/>
  <c r="HU5038" i="1"/>
  <c r="DT5043" i="1"/>
  <c r="DT5042" i="1"/>
  <c r="DT5041" i="1"/>
  <c r="DT5040" i="1"/>
  <c r="DT5039" i="1"/>
  <c r="DT5038" i="1"/>
  <c r="DS5043" i="1"/>
  <c r="DS5042" i="1"/>
  <c r="DS5041" i="1"/>
  <c r="DS5040" i="1"/>
  <c r="DS5039" i="1"/>
  <c r="DS5038" i="1"/>
  <c r="HV5037" i="1" l="1"/>
  <c r="HV5036" i="1"/>
  <c r="HV5035" i="1"/>
  <c r="HV5034" i="1"/>
  <c r="HU5035" i="1"/>
  <c r="HU5036" i="1"/>
  <c r="HU5037" i="1"/>
  <c r="HU5034" i="1"/>
  <c r="IA5037" i="1"/>
  <c r="IA5036" i="1"/>
  <c r="IA5035" i="1"/>
  <c r="IA5034" i="1"/>
  <c r="HZ5034" i="1"/>
  <c r="HZ5035" i="1"/>
  <c r="HZ5036" i="1"/>
  <c r="HZ5037" i="1"/>
  <c r="IF5037" i="1"/>
  <c r="IF5036" i="1"/>
  <c r="IF5035" i="1"/>
  <c r="IF5034" i="1"/>
  <c r="IE5035" i="1"/>
  <c r="IE5036" i="1"/>
  <c r="IE5037" i="1"/>
  <c r="IE5034" i="1"/>
  <c r="JO5037" i="1"/>
  <c r="JO5036" i="1"/>
  <c r="JO5035" i="1"/>
  <c r="JO5034" i="1"/>
  <c r="JN5035" i="1"/>
  <c r="JN5036" i="1"/>
  <c r="JN5037" i="1"/>
  <c r="JN5034" i="1"/>
  <c r="JJ5037" i="1"/>
  <c r="JJ5036" i="1"/>
  <c r="JJ5035" i="1"/>
  <c r="JJ5034" i="1"/>
  <c r="JI5035" i="1"/>
  <c r="JI5036" i="1"/>
  <c r="JI5037" i="1"/>
  <c r="JI5034" i="1"/>
  <c r="IZ5037" i="1"/>
  <c r="IZ5036" i="1"/>
  <c r="IZ5035" i="1"/>
  <c r="IZ5034" i="1"/>
  <c r="IY5035" i="1"/>
  <c r="IY5036" i="1"/>
  <c r="IY5037" i="1"/>
  <c r="IY5034" i="1"/>
  <c r="DJ5037" i="1"/>
  <c r="DJ5036" i="1"/>
  <c r="DJ5035" i="1"/>
  <c r="DJ5034" i="1"/>
  <c r="DI5035" i="1"/>
  <c r="DI5036" i="1"/>
  <c r="DI5037" i="1"/>
  <c r="DI5034" i="1"/>
  <c r="DE5037" i="1"/>
  <c r="DE5036" i="1"/>
  <c r="DE5035" i="1"/>
  <c r="DE5034" i="1"/>
  <c r="DD5035" i="1"/>
  <c r="DD5036" i="1"/>
  <c r="DD5037" i="1"/>
  <c r="DD5034" i="1"/>
  <c r="CP5037" i="1"/>
  <c r="CP5036" i="1"/>
  <c r="CP5035" i="1"/>
  <c r="CP5034" i="1"/>
  <c r="CO5037" i="1"/>
  <c r="CO5035" i="1"/>
  <c r="CO5036" i="1"/>
  <c r="CO5034" i="1"/>
  <c r="BJ5037" i="1"/>
  <c r="DE5027" i="1"/>
  <c r="DE5028" i="1"/>
  <c r="DE5029" i="1"/>
  <c r="DE5030" i="1"/>
  <c r="DE5031" i="1"/>
  <c r="DE5032" i="1"/>
  <c r="DE5033" i="1"/>
  <c r="DD5028" i="1"/>
  <c r="DD5029" i="1"/>
  <c r="DD5030" i="1"/>
  <c r="DD5031" i="1"/>
  <c r="DD5032" i="1"/>
  <c r="DD5033" i="1"/>
  <c r="DD5027" i="1"/>
  <c r="DE5020" i="1"/>
  <c r="DE5021" i="1"/>
  <c r="DE5022" i="1"/>
  <c r="DE5023" i="1"/>
  <c r="DE5024" i="1"/>
  <c r="DE5025" i="1"/>
  <c r="DE5026" i="1"/>
  <c r="DD5021" i="1"/>
  <c r="DD5022" i="1"/>
  <c r="DD5023" i="1"/>
  <c r="DD5024" i="1"/>
  <c r="DD5025" i="1"/>
  <c r="DD5026" i="1"/>
  <c r="DD5020" i="1"/>
  <c r="CP5020" i="1"/>
  <c r="CP5021" i="1"/>
  <c r="CP5022" i="1"/>
  <c r="CP5023" i="1"/>
  <c r="CP5024" i="1"/>
  <c r="CP5025" i="1"/>
  <c r="CP5026" i="1"/>
  <c r="CP5027" i="1"/>
  <c r="CP5028" i="1"/>
  <c r="CP5029" i="1"/>
  <c r="CP5030" i="1"/>
  <c r="CP5031" i="1"/>
  <c r="CP5032" i="1"/>
  <c r="CP5033" i="1"/>
  <c r="CO5028" i="1"/>
  <c r="CO5029" i="1"/>
  <c r="CO5030" i="1"/>
  <c r="CO5031" i="1"/>
  <c r="CO5032" i="1"/>
  <c r="CO5033" i="1"/>
  <c r="CO5027" i="1"/>
  <c r="CO5020" i="1"/>
  <c r="CO5026" i="1"/>
  <c r="CO5021" i="1"/>
  <c r="CO5022" i="1"/>
  <c r="CO5023" i="1"/>
  <c r="CO5024" i="1"/>
  <c r="CO5025" i="1"/>
  <c r="BJ5033" i="1"/>
  <c r="BJ5032" i="1"/>
  <c r="BJ5031" i="1"/>
  <c r="BJ5030" i="1"/>
  <c r="BJ5029" i="1"/>
  <c r="BJ5028" i="1"/>
  <c r="BJ5027" i="1"/>
  <c r="BJ5026" i="1"/>
  <c r="BJ5025" i="1"/>
  <c r="BJ5024" i="1"/>
  <c r="BJ5023" i="1"/>
  <c r="BJ5022" i="1"/>
  <c r="BJ4836" i="1"/>
  <c r="N4836" i="1"/>
  <c r="M4836" i="1"/>
  <c r="BJ4835" i="1"/>
  <c r="N4835" i="1"/>
  <c r="M4835" i="1"/>
  <c r="BJ4834" i="1"/>
  <c r="N4834" i="1"/>
  <c r="M4834" i="1"/>
  <c r="BJ4833" i="1"/>
  <c r="N4833" i="1"/>
  <c r="M4833" i="1"/>
  <c r="BJ4832" i="1"/>
  <c r="N4832" i="1"/>
  <c r="M4832" i="1"/>
  <c r="CP4828" i="1"/>
  <c r="CP4827" i="1"/>
  <c r="CP4826" i="1"/>
  <c r="CP4825" i="1"/>
  <c r="CO4826" i="1"/>
  <c r="CO4825" i="1"/>
  <c r="BJ4828" i="1"/>
  <c r="BJ4827" i="1"/>
  <c r="CF4808" i="1"/>
  <c r="CF4807" i="1"/>
  <c r="CF4806" i="1"/>
  <c r="CF4805" i="1"/>
  <c r="CF4804" i="1"/>
  <c r="CF4803" i="1"/>
  <c r="CF4802" i="1"/>
  <c r="CF4801" i="1"/>
  <c r="CE4806" i="1"/>
  <c r="CE4807" i="1"/>
  <c r="CE4808" i="1"/>
  <c r="CE4805" i="1"/>
  <c r="CE4802" i="1"/>
  <c r="CE4803" i="1"/>
  <c r="CE4804" i="1"/>
  <c r="CE4801" i="1"/>
  <c r="IK4804" i="1"/>
  <c r="IK4803" i="1"/>
  <c r="IK4802" i="1"/>
  <c r="IK4801" i="1"/>
  <c r="IJ4802" i="1"/>
  <c r="IJ4803" i="1"/>
  <c r="IJ4804" i="1"/>
  <c r="IJ4801" i="1"/>
  <c r="IZ4804" i="1"/>
  <c r="IZ4803" i="1"/>
  <c r="IZ4802" i="1"/>
  <c r="IZ4801" i="1"/>
  <c r="IY4802" i="1"/>
  <c r="IY4803" i="1"/>
  <c r="IY4804" i="1"/>
  <c r="IY4801" i="1"/>
  <c r="HV4824" i="1"/>
  <c r="HV4823" i="1"/>
  <c r="HV4822" i="1"/>
  <c r="HV4821" i="1"/>
  <c r="HV4820" i="1"/>
  <c r="HV4819" i="1"/>
  <c r="HV4818" i="1"/>
  <c r="HV4817" i="1"/>
  <c r="HV4816" i="1"/>
  <c r="HV4815" i="1"/>
  <c r="HV4814" i="1"/>
  <c r="HV4813" i="1"/>
  <c r="HV4812" i="1"/>
  <c r="HV4811" i="1"/>
  <c r="HV4810" i="1"/>
  <c r="HV4809" i="1"/>
  <c r="HV4808" i="1"/>
  <c r="HV4807" i="1"/>
  <c r="HV4806" i="1"/>
  <c r="HV4805" i="1"/>
  <c r="HV4804" i="1"/>
  <c r="HV4803" i="1"/>
  <c r="HV4802" i="1"/>
  <c r="HV4801" i="1"/>
  <c r="HU4822" i="1"/>
  <c r="HU4823" i="1"/>
  <c r="HU4824" i="1"/>
  <c r="HU4821" i="1"/>
  <c r="HU4818" i="1"/>
  <c r="HU4819" i="1"/>
  <c r="HU4820" i="1"/>
  <c r="HU4817" i="1"/>
  <c r="HU4814" i="1"/>
  <c r="HU4815" i="1"/>
  <c r="HU4816" i="1"/>
  <c r="HU4813" i="1"/>
  <c r="HU4810" i="1"/>
  <c r="HU4811" i="1"/>
  <c r="HU4812" i="1"/>
  <c r="HU4809" i="1"/>
  <c r="HU4806" i="1"/>
  <c r="HU4807" i="1"/>
  <c r="HU4808" i="1"/>
  <c r="HU4805" i="1"/>
  <c r="HU4802" i="1"/>
  <c r="HU4803" i="1"/>
  <c r="HU4804" i="1"/>
  <c r="HU4801" i="1"/>
  <c r="IF4824" i="1"/>
  <c r="IF4823" i="1"/>
  <c r="IF4822" i="1"/>
  <c r="IF4821" i="1"/>
  <c r="IF4820" i="1"/>
  <c r="IF4819" i="1"/>
  <c r="IF4818" i="1"/>
  <c r="IF4817" i="1"/>
  <c r="IF4816" i="1"/>
  <c r="IF4815" i="1"/>
  <c r="IF4814" i="1"/>
  <c r="IF4813" i="1"/>
  <c r="IF4811" i="1"/>
  <c r="IF4812" i="1"/>
  <c r="IF4810" i="1"/>
  <c r="IF4809" i="1"/>
  <c r="IF4808" i="1"/>
  <c r="IF4807" i="1"/>
  <c r="IF4806" i="1"/>
  <c r="IF4805" i="1"/>
  <c r="IF4804" i="1"/>
  <c r="IF4803" i="1"/>
  <c r="IF4802" i="1"/>
  <c r="IF4801" i="1"/>
  <c r="IE4822" i="1"/>
  <c r="IE4823" i="1"/>
  <c r="IE4824" i="1"/>
  <c r="IE4821" i="1"/>
  <c r="IE4818" i="1"/>
  <c r="IE4819" i="1"/>
  <c r="IE4820" i="1"/>
  <c r="IE4817" i="1"/>
  <c r="IE4814" i="1"/>
  <c r="IE4815" i="1"/>
  <c r="IE4816" i="1"/>
  <c r="IE4813" i="1"/>
  <c r="IE4810" i="1"/>
  <c r="IE4811" i="1"/>
  <c r="IE4812" i="1"/>
  <c r="IE4809" i="1"/>
  <c r="IE4806" i="1"/>
  <c r="IE4807" i="1"/>
  <c r="IE4808" i="1"/>
  <c r="IE4805" i="1"/>
  <c r="IE4802" i="1"/>
  <c r="IE4803" i="1"/>
  <c r="IE4804" i="1"/>
  <c r="IE4801" i="1"/>
  <c r="JO4824" i="1"/>
  <c r="JO4821" i="1"/>
  <c r="JO4819" i="1"/>
  <c r="JO4818" i="1"/>
  <c r="JO4816" i="1"/>
  <c r="JO4813" i="1"/>
  <c r="JO4811" i="1"/>
  <c r="JO4810" i="1"/>
  <c r="JO4808" i="1"/>
  <c r="JO4807" i="1"/>
  <c r="JO4805" i="1"/>
  <c r="JO4802" i="1"/>
  <c r="JO4803" i="1"/>
  <c r="JO4801" i="1"/>
  <c r="JO4822" i="1"/>
  <c r="JO4823" i="1"/>
  <c r="JO4820" i="1"/>
  <c r="JO4817" i="1"/>
  <c r="JO4814" i="1"/>
  <c r="JO4815" i="1"/>
  <c r="JO4812" i="1"/>
  <c r="JO4809" i="1"/>
  <c r="JO4806" i="1"/>
  <c r="JO4804" i="1"/>
  <c r="JN4822" i="1"/>
  <c r="JN4823" i="1"/>
  <c r="JN4824" i="1"/>
  <c r="JN4821" i="1"/>
  <c r="JN4818" i="1"/>
  <c r="JN4819" i="1"/>
  <c r="JN4820" i="1"/>
  <c r="JN4817" i="1"/>
  <c r="JN4814" i="1"/>
  <c r="JN4815" i="1"/>
  <c r="JN4816" i="1"/>
  <c r="JN4813" i="1"/>
  <c r="JN4810" i="1"/>
  <c r="JN4811" i="1"/>
  <c r="JN4812" i="1"/>
  <c r="JN4809" i="1"/>
  <c r="JN4806" i="1"/>
  <c r="JN4807" i="1"/>
  <c r="JN4808" i="1"/>
  <c r="JN4805" i="1"/>
  <c r="JN4802" i="1"/>
  <c r="JN4803" i="1"/>
  <c r="JN4804" i="1"/>
  <c r="JN4801" i="1"/>
  <c r="BJ4824" i="1"/>
  <c r="N4824" i="1"/>
  <c r="M4824" i="1"/>
  <c r="BJ4823" i="1"/>
  <c r="N4823" i="1"/>
  <c r="M4823" i="1"/>
  <c r="BJ4822" i="1"/>
  <c r="N4822" i="1"/>
  <c r="M4822" i="1"/>
  <c r="BJ4821" i="1"/>
  <c r="N4821" i="1"/>
  <c r="M4821" i="1"/>
  <c r="BJ4820" i="1"/>
  <c r="N4820" i="1"/>
  <c r="M4820" i="1"/>
  <c r="BJ4819" i="1"/>
  <c r="N4819" i="1"/>
  <c r="M4819" i="1"/>
  <c r="BJ4818" i="1"/>
  <c r="N4818" i="1"/>
  <c r="M4818" i="1"/>
  <c r="BJ4817" i="1"/>
  <c r="N4817" i="1"/>
  <c r="M4817" i="1"/>
  <c r="BJ4816" i="1"/>
  <c r="N4816" i="1"/>
  <c r="M4816" i="1"/>
  <c r="BJ4815" i="1"/>
  <c r="N4815" i="1"/>
  <c r="M4815" i="1"/>
  <c r="BJ4814" i="1"/>
  <c r="N4814" i="1"/>
  <c r="M4814" i="1"/>
  <c r="BJ4813" i="1"/>
  <c r="N4813" i="1"/>
  <c r="M4813" i="1"/>
  <c r="BJ4812" i="1"/>
  <c r="N4812" i="1"/>
  <c r="M4812" i="1"/>
  <c r="BJ4811" i="1"/>
  <c r="N4811" i="1"/>
  <c r="M4811" i="1"/>
  <c r="BJ4810" i="1"/>
  <c r="N4810" i="1"/>
  <c r="M4810" i="1"/>
  <c r="BJ4809" i="1"/>
  <c r="N4809" i="1"/>
  <c r="M4809" i="1"/>
  <c r="CS4805" i="1"/>
  <c r="CS4806" i="1"/>
  <c r="CS4807" i="1"/>
  <c r="CS4808" i="1"/>
  <c r="CR4806" i="1"/>
  <c r="CR4807" i="1"/>
  <c r="CR4808" i="1"/>
  <c r="CR4805" i="1"/>
  <c r="CP4808" i="1"/>
  <c r="CU4808" i="1" s="1"/>
  <c r="CP4807" i="1"/>
  <c r="CU4807" i="1" s="1"/>
  <c r="CP4806" i="1"/>
  <c r="CU4806" i="1" s="1"/>
  <c r="CP4805" i="1"/>
  <c r="CU4805" i="1" s="1"/>
  <c r="CP4804" i="1"/>
  <c r="CP4803" i="1"/>
  <c r="CP4802" i="1"/>
  <c r="CP4801" i="1"/>
  <c r="CO4806" i="1"/>
  <c r="CT4806" i="1" s="1"/>
  <c r="CO4807" i="1"/>
  <c r="CT4807" i="1" s="1"/>
  <c r="CO4808" i="1"/>
  <c r="CT4808" i="1" s="1"/>
  <c r="CO4805" i="1"/>
  <c r="CT4805" i="1" s="1"/>
  <c r="CO4802" i="1"/>
  <c r="CO4803" i="1"/>
  <c r="CO4804" i="1"/>
  <c r="CO4801" i="1"/>
  <c r="CK4804" i="1"/>
  <c r="CK4803" i="1"/>
  <c r="CK4802" i="1"/>
  <c r="CK4801" i="1"/>
  <c r="CJ4802" i="1"/>
  <c r="CJ4803" i="1"/>
  <c r="CJ4804" i="1"/>
  <c r="CJ4801" i="1"/>
  <c r="CI4803" i="1"/>
  <c r="CS4803" i="1" s="1"/>
  <c r="CI4802" i="1"/>
  <c r="CS4802" i="1" s="1"/>
  <c r="CI4801" i="1"/>
  <c r="CS4801" i="1" s="1"/>
  <c r="CI4804" i="1"/>
  <c r="CH4802" i="1"/>
  <c r="CR4802" i="1" s="1"/>
  <c r="CH4803" i="1"/>
  <c r="CR4803" i="1" s="1"/>
  <c r="CH4804" i="1"/>
  <c r="CR4804" i="1" s="1"/>
  <c r="CH4801" i="1"/>
  <c r="CR4801" i="1" s="1"/>
  <c r="BJ4808" i="1"/>
  <c r="N4808" i="1"/>
  <c r="M4808" i="1"/>
  <c r="BJ4807" i="1"/>
  <c r="N4807" i="1"/>
  <c r="M4807" i="1"/>
  <c r="BJ4806" i="1"/>
  <c r="N4806" i="1"/>
  <c r="M4806" i="1"/>
  <c r="BJ4805" i="1"/>
  <c r="N4805" i="1"/>
  <c r="M4805" i="1"/>
  <c r="BJ4804" i="1"/>
  <c r="N4804" i="1"/>
  <c r="M4804" i="1"/>
  <c r="HQ4773" i="1"/>
  <c r="HP4773" i="1"/>
  <c r="IZ4773" i="1"/>
  <c r="IY4773" i="1"/>
  <c r="HZ4773" i="1"/>
  <c r="CO4773" i="1"/>
  <c r="AF4773" i="1"/>
  <c r="CC4773" i="1"/>
  <c r="CB4773" i="1"/>
  <c r="GK4772" i="1"/>
  <c r="GF4770" i="1"/>
  <c r="GA4771" i="1"/>
  <c r="GA4770" i="1"/>
  <c r="CP4770" i="1"/>
  <c r="CP4771" i="1"/>
  <c r="CP4772" i="1"/>
  <c r="CO4771" i="1"/>
  <c r="CO4772" i="1"/>
  <c r="CO4770" i="1"/>
  <c r="DX4768" i="1"/>
  <c r="DY4769" i="1"/>
  <c r="DY4768" i="1"/>
  <c r="DX4769" i="1"/>
  <c r="DO4769" i="1"/>
  <c r="DO4768" i="1"/>
  <c r="DN4769" i="1"/>
  <c r="DN4768" i="1"/>
  <c r="BJ4767" i="1"/>
  <c r="N4767" i="1"/>
  <c r="M4767" i="1"/>
  <c r="BJ4766" i="1"/>
  <c r="N4766" i="1"/>
  <c r="M4766" i="1"/>
  <c r="HV4764" i="1"/>
  <c r="HV4763" i="1"/>
  <c r="HV4762" i="1"/>
  <c r="HV4759" i="1"/>
  <c r="HV4758" i="1"/>
  <c r="HV4757" i="1"/>
  <c r="HV4756" i="1"/>
  <c r="HV4755" i="1"/>
  <c r="HU4760" i="1"/>
  <c r="HU4759" i="1"/>
  <c r="HU4756" i="1"/>
  <c r="HU4755" i="1"/>
  <c r="CO4764" i="1"/>
  <c r="CO4763" i="1"/>
  <c r="CP4764" i="1"/>
  <c r="CP4763" i="1"/>
  <c r="CP4762" i="1"/>
  <c r="CP4761" i="1"/>
  <c r="CP4760" i="1"/>
  <c r="CP4759" i="1"/>
  <c r="CP4758" i="1"/>
  <c r="CP4757" i="1"/>
  <c r="CP4756" i="1"/>
  <c r="CP4755" i="1"/>
  <c r="CO4762" i="1"/>
  <c r="CO4761" i="1"/>
  <c r="CO4760" i="1"/>
  <c r="CO4759" i="1"/>
  <c r="CO4758" i="1"/>
  <c r="CO4757" i="1"/>
  <c r="CO4756" i="1"/>
  <c r="CO4755" i="1"/>
  <c r="CN4763" i="1"/>
  <c r="DT4764" i="1"/>
  <c r="DT4763" i="1"/>
  <c r="DT4762" i="1"/>
  <c r="DT4761" i="1"/>
  <c r="DS4764" i="1"/>
  <c r="DS4763" i="1"/>
  <c r="DS4762" i="1"/>
  <c r="DS4761" i="1"/>
  <c r="DT4760" i="1"/>
  <c r="DT4759" i="1"/>
  <c r="DT4757" i="1"/>
  <c r="DT4756" i="1"/>
  <c r="DT4755" i="1"/>
  <c r="DT4758" i="1"/>
  <c r="DS4759" i="1"/>
  <c r="DS4760" i="1"/>
  <c r="DS4758" i="1"/>
  <c r="DS4756" i="1"/>
  <c r="DS4757" i="1"/>
  <c r="DS4755" i="1"/>
  <c r="BJ4751" i="1"/>
  <c r="CX4745" i="1"/>
  <c r="CX4746" i="1"/>
  <c r="CX4747" i="1"/>
  <c r="CX4748" i="1"/>
  <c r="CX4749" i="1"/>
  <c r="CX4750" i="1"/>
  <c r="CW4746" i="1"/>
  <c r="CW4747" i="1"/>
  <c r="CW4748" i="1"/>
  <c r="CW4749" i="1"/>
  <c r="CW4750" i="1"/>
  <c r="CW4745" i="1"/>
  <c r="BJ4750" i="1"/>
  <c r="BJ4749" i="1"/>
  <c r="BJ4748" i="1"/>
  <c r="BJ4747" i="1"/>
  <c r="BJ4746" i="1"/>
  <c r="BJ4745" i="1"/>
  <c r="BJ4744" i="1"/>
  <c r="BJ4743" i="1"/>
  <c r="BJ4742" i="1"/>
  <c r="BJ4741" i="1"/>
  <c r="BJ4740" i="1"/>
  <c r="CU4804" i="1" l="1"/>
  <c r="CU4803" i="1"/>
  <c r="CT4803" i="1"/>
  <c r="CT4801" i="1"/>
  <c r="CU4801" i="1"/>
  <c r="CT4804" i="1"/>
  <c r="CU4802" i="1"/>
  <c r="CT4802" i="1"/>
  <c r="CW4805" i="1"/>
  <c r="CX4805" i="1"/>
  <c r="CW4808" i="1"/>
  <c r="CX4807" i="1"/>
  <c r="CW4807" i="1"/>
  <c r="CX4806" i="1"/>
  <c r="CW4801" i="1"/>
  <c r="CW4806" i="1"/>
  <c r="CS4804" i="1"/>
  <c r="CX4808" i="1" s="1"/>
  <c r="CW4804" i="1"/>
  <c r="CW4803" i="1"/>
  <c r="CW4802" i="1"/>
  <c r="JJ5009" i="1"/>
  <c r="JJ5008" i="1"/>
  <c r="JJ5007" i="1"/>
  <c r="JJ5006" i="1"/>
  <c r="JJ5005" i="1"/>
  <c r="JJ5004" i="1"/>
  <c r="JI5007" i="1"/>
  <c r="JI5005" i="1"/>
  <c r="JI5004" i="1"/>
  <c r="BJ5010" i="1"/>
  <c r="HV5003" i="1"/>
  <c r="HV5002" i="1"/>
  <c r="HV5001" i="1"/>
  <c r="HV5000" i="1"/>
  <c r="HU5000" i="1"/>
  <c r="HQ5003" i="1"/>
  <c r="HQ5002" i="1"/>
  <c r="HQ5001" i="1"/>
  <c r="HQ5000" i="1"/>
  <c r="HP5003" i="1"/>
  <c r="HP5002" i="1"/>
  <c r="HP5001" i="1"/>
  <c r="HP5000" i="1"/>
  <c r="IF5003" i="1"/>
  <c r="IF5002" i="1"/>
  <c r="IF5001" i="1"/>
  <c r="IF5000" i="1"/>
  <c r="IE5003" i="1"/>
  <c r="IE5002" i="1"/>
  <c r="IE5000" i="1"/>
  <c r="IA5003" i="1"/>
  <c r="IA5002" i="1"/>
  <c r="IA5001" i="1"/>
  <c r="IA5000" i="1"/>
  <c r="HZ5003" i="1"/>
  <c r="HZ5002" i="1"/>
  <c r="HZ5001" i="1"/>
  <c r="HZ5000" i="1"/>
  <c r="IZ5003" i="1"/>
  <c r="IY5003" i="1"/>
  <c r="IY5002" i="1"/>
  <c r="IZ5000" i="1"/>
  <c r="BJ5003" i="1"/>
  <c r="N5003" i="1"/>
  <c r="M5003" i="1"/>
  <c r="BJ5002" i="1"/>
  <c r="N5002" i="1"/>
  <c r="M5002" i="1"/>
  <c r="M5001" i="1"/>
  <c r="N5001" i="1"/>
  <c r="N5000" i="1"/>
  <c r="M5000" i="1"/>
  <c r="BJ4999" i="1"/>
  <c r="N4999" i="1"/>
  <c r="M4999" i="1"/>
  <c r="BJ4998" i="1"/>
  <c r="N4998" i="1"/>
  <c r="M4998" i="1"/>
  <c r="BJ4997" i="1"/>
  <c r="N4997" i="1"/>
  <c r="M4997" i="1"/>
  <c r="BJ4996" i="1"/>
  <c r="N4996" i="1"/>
  <c r="M4996" i="1"/>
  <c r="BJ4995" i="1"/>
  <c r="N4995" i="1"/>
  <c r="M4995" i="1"/>
  <c r="N4994" i="1"/>
  <c r="M4994" i="1"/>
  <c r="IA4993" i="1"/>
  <c r="IA4992" i="1"/>
  <c r="HZ4993" i="1"/>
  <c r="HZ4992" i="1"/>
  <c r="IF4993" i="1"/>
  <c r="IF4992" i="1"/>
  <c r="IE4993" i="1"/>
  <c r="IE4992" i="1"/>
  <c r="JO4993" i="1"/>
  <c r="JO4992" i="1"/>
  <c r="JN4993" i="1"/>
  <c r="JN4992" i="1"/>
  <c r="JJ4993" i="1"/>
  <c r="JJ4992" i="1"/>
  <c r="JI4993" i="1"/>
  <c r="JI4992" i="1"/>
  <c r="CO4993" i="1"/>
  <c r="CP4992" i="1"/>
  <c r="CO4992" i="1"/>
  <c r="BJ4993" i="1"/>
  <c r="N4993" i="1"/>
  <c r="M4993" i="1"/>
  <c r="N4992" i="1"/>
  <c r="M4992" i="1"/>
  <c r="IZ5242" i="1" l="1"/>
  <c r="IY5242" i="1"/>
  <c r="IZ4991" i="1"/>
  <c r="IY4991" i="1"/>
  <c r="IU5242" i="1"/>
  <c r="IT5242" i="1"/>
  <c r="IU4991" i="1"/>
  <c r="IT4991" i="1"/>
  <c r="DE5242" i="1"/>
  <c r="DD5242" i="1"/>
  <c r="DE4991" i="1"/>
  <c r="DD4991" i="1"/>
  <c r="DT5242" i="1"/>
  <c r="DS5242" i="1"/>
  <c r="DT4991" i="1"/>
  <c r="DS4991" i="1"/>
  <c r="N5241" i="1"/>
  <c r="N5242" i="1"/>
  <c r="M5242" i="1"/>
  <c r="N4991" i="1"/>
  <c r="N4990" i="1"/>
  <c r="M4990" i="1"/>
  <c r="CO4986" i="1"/>
  <c r="CP4986" i="1"/>
  <c r="CO4987" i="1"/>
  <c r="CP4987" i="1"/>
  <c r="CO4988" i="1"/>
  <c r="CP4988" i="1"/>
  <c r="CO4989" i="1"/>
  <c r="CP4989" i="1"/>
  <c r="CP4985" i="1"/>
  <c r="CO4985" i="1"/>
  <c r="CN4985" i="1"/>
  <c r="CN4986" i="1"/>
  <c r="CN4987" i="1"/>
  <c r="CN4988" i="1"/>
  <c r="CN4989" i="1"/>
  <c r="CM4986" i="1"/>
  <c r="CM4987" i="1"/>
  <c r="CM4988" i="1"/>
  <c r="CM4989" i="1"/>
  <c r="CM4985" i="1"/>
  <c r="AK4988" i="1"/>
  <c r="M4985" i="1"/>
  <c r="DC4984" i="1"/>
  <c r="DC4983" i="1"/>
  <c r="DC4982" i="1"/>
  <c r="DC4981" i="1"/>
  <c r="DC4980" i="1"/>
  <c r="DC4979" i="1"/>
  <c r="DB4984" i="1"/>
  <c r="DB4983" i="1"/>
  <c r="DB4982" i="1"/>
  <c r="DB4981" i="1"/>
  <c r="DB4980" i="1"/>
  <c r="DB4979" i="1"/>
  <c r="CX4979" i="1"/>
  <c r="CX4980" i="1"/>
  <c r="CX4981" i="1"/>
  <c r="CX4982" i="1"/>
  <c r="CX4983" i="1"/>
  <c r="CX4984" i="1"/>
  <c r="CW4980" i="1"/>
  <c r="CW4981" i="1"/>
  <c r="CW4982" i="1"/>
  <c r="CW4983" i="1"/>
  <c r="CW4979" i="1"/>
  <c r="AJ4979" i="1"/>
  <c r="CM4982" i="1"/>
  <c r="CN4982" i="1"/>
  <c r="CM4983" i="1"/>
  <c r="CN4983" i="1"/>
  <c r="CM4984" i="1"/>
  <c r="CN4984" i="1"/>
  <c r="CN4979" i="1"/>
  <c r="CN4980" i="1"/>
  <c r="CN4981" i="1"/>
  <c r="CM4980" i="1"/>
  <c r="CM4981" i="1"/>
  <c r="CM4979" i="1"/>
  <c r="AK4983" i="1"/>
  <c r="AK4984" i="1"/>
  <c r="AK4982" i="1"/>
  <c r="AK4979" i="1"/>
  <c r="AK4980" i="1"/>
  <c r="AK4981" i="1"/>
  <c r="BJ4984" i="1"/>
  <c r="AJ4984" i="1"/>
  <c r="N4984" i="1"/>
  <c r="M4984" i="1"/>
  <c r="BJ4983" i="1"/>
  <c r="AJ4983" i="1"/>
  <c r="N4983" i="1"/>
  <c r="M4983" i="1"/>
  <c r="BJ4982" i="1"/>
  <c r="AJ4982" i="1"/>
  <c r="N4982" i="1"/>
  <c r="M4982" i="1"/>
  <c r="BJ4981" i="1"/>
  <c r="AJ4981" i="1"/>
  <c r="N4981" i="1"/>
  <c r="M4981" i="1"/>
  <c r="AJ4980" i="1"/>
  <c r="M4980" i="1"/>
  <c r="N4980" i="1"/>
  <c r="N4979" i="1"/>
  <c r="M4979" i="1"/>
  <c r="AF4976" i="1"/>
  <c r="AF4977" i="1"/>
  <c r="AF4978" i="1"/>
  <c r="AF4975" i="1"/>
  <c r="CX4968" i="1" l="1"/>
  <c r="CX4969" i="1"/>
  <c r="CX4970" i="1"/>
  <c r="CX4971" i="1"/>
  <c r="CX4972" i="1"/>
  <c r="CW4969" i="1"/>
  <c r="CW4970" i="1"/>
  <c r="CW4971" i="1"/>
  <c r="CW4972" i="1"/>
  <c r="CW4968" i="1"/>
  <c r="CN4963" i="1"/>
  <c r="CN4964" i="1"/>
  <c r="CN4965" i="1"/>
  <c r="CN4966" i="1"/>
  <c r="CN4967" i="1"/>
  <c r="CN4968" i="1"/>
  <c r="CN4969" i="1"/>
  <c r="CN4970" i="1"/>
  <c r="CN4971" i="1"/>
  <c r="CN4972" i="1"/>
  <c r="CM4969" i="1"/>
  <c r="CM4970" i="1"/>
  <c r="CM4971" i="1"/>
  <c r="CM4972" i="1"/>
  <c r="CM4968" i="1"/>
  <c r="CM4967" i="1"/>
  <c r="CM4964" i="1"/>
  <c r="CM4965" i="1"/>
  <c r="CM4966" i="1"/>
  <c r="CM4963" i="1"/>
  <c r="BJ4967" i="1"/>
  <c r="AD4967" i="1"/>
  <c r="N4967" i="1"/>
  <c r="M4967" i="1"/>
  <c r="BJ4966" i="1"/>
  <c r="AD4966" i="1"/>
  <c r="N4966" i="1"/>
  <c r="M4966" i="1"/>
  <c r="BJ4965" i="1"/>
  <c r="AD4965" i="1"/>
  <c r="N4965" i="1"/>
  <c r="M4965" i="1"/>
  <c r="BJ4964" i="1"/>
  <c r="AD4964" i="1"/>
  <c r="N4964" i="1"/>
  <c r="M4964" i="1"/>
  <c r="BJ4963" i="1"/>
  <c r="AD4963" i="1"/>
  <c r="N4963" i="1"/>
  <c r="M4963" i="1"/>
  <c r="BJ4972" i="1"/>
  <c r="AD4972" i="1"/>
  <c r="N4972" i="1"/>
  <c r="M4972" i="1"/>
  <c r="BJ4971" i="1"/>
  <c r="AD4971" i="1"/>
  <c r="N4971" i="1"/>
  <c r="M4971" i="1"/>
  <c r="AD4969" i="1"/>
  <c r="AD4970" i="1"/>
  <c r="AD4968" i="1"/>
  <c r="M4969" i="1"/>
  <c r="N4969" i="1"/>
  <c r="M4970" i="1"/>
  <c r="N4970" i="1"/>
  <c r="N4968" i="1"/>
  <c r="M4968" i="1"/>
  <c r="BJ4962" i="1"/>
  <c r="AF4962" i="1"/>
  <c r="N4962" i="1"/>
  <c r="M4962" i="1"/>
  <c r="AF4961" i="1"/>
  <c r="N4961" i="1"/>
  <c r="M4961" i="1"/>
  <c r="EQ4960" i="1"/>
  <c r="EP4960" i="1"/>
  <c r="DC4960" i="1"/>
  <c r="DB4960" i="1"/>
  <c r="GK4956" i="1"/>
  <c r="GK4959" i="1"/>
  <c r="CT4959" i="1"/>
  <c r="CU4959" i="1"/>
  <c r="CR4958" i="1"/>
  <c r="CS4958" i="1"/>
  <c r="CR4959" i="1"/>
  <c r="CS4959" i="1"/>
  <c r="CS4957" i="1"/>
  <c r="CR4957" i="1"/>
  <c r="M35" i="3"/>
  <c r="CP4958" i="1"/>
  <c r="CU4958" i="1" s="1"/>
  <c r="CO4958" i="1"/>
  <c r="CT4958" i="1" s="1"/>
  <c r="CP4957" i="1"/>
  <c r="CU4957" i="1" s="1"/>
  <c r="CO4957" i="1"/>
  <c r="CT4957" i="1" s="1"/>
  <c r="CJ4959" i="1"/>
  <c r="CK4959" i="1" s="1"/>
  <c r="CJ4958" i="1"/>
  <c r="CK4958" i="1" s="1"/>
  <c r="CJ4957" i="1"/>
  <c r="CK4957" i="1" s="1"/>
  <c r="CJ4956" i="1"/>
  <c r="CK4956" i="1" s="1"/>
  <c r="BJ4959" i="1"/>
  <c r="AJ4959" i="1"/>
  <c r="N4959" i="1"/>
  <c r="M4959" i="1"/>
  <c r="BJ4958" i="1"/>
  <c r="AJ4958" i="1"/>
  <c r="N4958" i="1"/>
  <c r="M4958" i="1"/>
  <c r="BJ4957" i="1"/>
  <c r="AJ4957" i="1"/>
  <c r="N4957" i="1"/>
  <c r="M4957" i="1"/>
  <c r="AJ4956" i="1"/>
  <c r="N4956" i="1"/>
  <c r="M4956" i="1"/>
  <c r="HZ4938" i="1"/>
  <c r="BJ4943" i="1"/>
  <c r="AJ4943" i="1"/>
  <c r="N4943" i="1"/>
  <c r="M4943" i="1"/>
  <c r="BJ4942" i="1"/>
  <c r="AJ4942" i="1"/>
  <c r="N4942" i="1"/>
  <c r="M4942" i="1"/>
  <c r="BJ4941" i="1"/>
  <c r="AJ4941" i="1"/>
  <c r="N4941" i="1"/>
  <c r="M4941" i="1"/>
  <c r="DE4938" i="1"/>
  <c r="DE4939" i="1"/>
  <c r="DE4940" i="1"/>
  <c r="DD4939" i="1"/>
  <c r="DD4940" i="1"/>
  <c r="DD4938" i="1"/>
  <c r="DC4938" i="1"/>
  <c r="DC4939" i="1"/>
  <c r="DC4940" i="1"/>
  <c r="DB4939" i="1"/>
  <c r="DB4940" i="1"/>
  <c r="DB4938" i="1"/>
  <c r="N35" i="3"/>
  <c r="AJ4939" i="1"/>
  <c r="AJ4940" i="1"/>
  <c r="AJ4938" i="1"/>
  <c r="M4940" i="1"/>
  <c r="N4940" i="1"/>
  <c r="M4939" i="1"/>
  <c r="N4939" i="1"/>
  <c r="N4938" i="1"/>
  <c r="M4938" i="1"/>
  <c r="CX4957" i="1" l="1"/>
  <c r="CW4958" i="1"/>
  <c r="CX4959" i="1"/>
  <c r="CW4957" i="1"/>
  <c r="CX4958" i="1"/>
  <c r="CW4959" i="1"/>
  <c r="CU4926" i="1"/>
  <c r="CU4925" i="1"/>
  <c r="CU4924" i="1"/>
  <c r="CT4925" i="1"/>
  <c r="CT4926" i="1"/>
  <c r="CT4924" i="1"/>
  <c r="DB4925" i="1"/>
  <c r="DB4926" i="1"/>
  <c r="DB4924" i="1"/>
  <c r="CX4641" i="1"/>
  <c r="CP4926" i="1"/>
  <c r="CP4925" i="1"/>
  <c r="CP4924" i="1"/>
  <c r="CO4925" i="1"/>
  <c r="CO4926" i="1"/>
  <c r="CO4924" i="1"/>
  <c r="CK4926" i="1"/>
  <c r="CK4925" i="1"/>
  <c r="CK4924" i="1"/>
  <c r="CJ4925" i="1"/>
  <c r="CJ4926" i="1"/>
  <c r="CJ4924" i="1"/>
  <c r="CN4919" i="1"/>
  <c r="CM4919" i="1"/>
  <c r="BJ4919" i="1"/>
  <c r="DO4917" i="1"/>
  <c r="DO4916" i="1"/>
  <c r="DN4917" i="1"/>
  <c r="DN4916" i="1"/>
  <c r="DY4917" i="1"/>
  <c r="DY4916" i="1"/>
  <c r="DX4917" i="1"/>
  <c r="DX4916" i="1"/>
  <c r="DE4917" i="1"/>
  <c r="DE4916" i="1"/>
  <c r="DD4917" i="1"/>
  <c r="DD4916" i="1"/>
  <c r="DJ4917" i="1"/>
  <c r="DJ4916" i="1"/>
  <c r="DI4917" i="1"/>
  <c r="DI4916" i="1"/>
  <c r="ED4917" i="1"/>
  <c r="ED4916" i="1"/>
  <c r="EC4917" i="1"/>
  <c r="EC4916" i="1"/>
  <c r="DT4917" i="1"/>
  <c r="DT4916" i="1"/>
  <c r="DS4917" i="1"/>
  <c r="DS4916" i="1"/>
  <c r="CS4917" i="1"/>
  <c r="CR4917" i="1"/>
  <c r="CP4917" i="1"/>
  <c r="CU4917" i="1" s="1"/>
  <c r="CO4917" i="1"/>
  <c r="CT4917" i="1" s="1"/>
  <c r="CO4916" i="1"/>
  <c r="CP4916" i="1"/>
  <c r="BJ4917" i="1"/>
  <c r="BJ4909" i="1"/>
  <c r="BJ4908" i="1"/>
  <c r="BJ4907" i="1"/>
  <c r="BJ4903" i="1"/>
  <c r="BJ4902" i="1"/>
  <c r="DE4901" i="1"/>
  <c r="DD4901" i="1"/>
  <c r="DC4901" i="1"/>
  <c r="BJ4861" i="1"/>
  <c r="BJ4873" i="1"/>
  <c r="BJ4872" i="1"/>
  <c r="BJ4871" i="1"/>
  <c r="BJ4870" i="1"/>
  <c r="BJ4869" i="1"/>
  <c r="BJ4868" i="1"/>
  <c r="BJ4867" i="1"/>
  <c r="BJ4866" i="1"/>
  <c r="BJ4865" i="1"/>
  <c r="BJ4864" i="1"/>
  <c r="BJ4863" i="1"/>
  <c r="FU4860" i="1"/>
  <c r="FU4859" i="1"/>
  <c r="FU4858" i="1"/>
  <c r="FU4857" i="1"/>
  <c r="FT4860" i="1"/>
  <c r="FT4859" i="1"/>
  <c r="FT4858" i="1"/>
  <c r="FT4857" i="1"/>
  <c r="M4858" i="1"/>
  <c r="N4858" i="1"/>
  <c r="M4859" i="1"/>
  <c r="N4859" i="1"/>
  <c r="M4860" i="1"/>
  <c r="N4860" i="1"/>
  <c r="N4857" i="1"/>
  <c r="M4857" i="1"/>
  <c r="DJ4856" i="1"/>
  <c r="DJ4855" i="1"/>
  <c r="DJ4854" i="1"/>
  <c r="DI4855" i="1"/>
  <c r="DI4856" i="1"/>
  <c r="DI4854" i="1"/>
  <c r="IF4856" i="1"/>
  <c r="IF4855" i="1"/>
  <c r="IF4854" i="1"/>
  <c r="IE4855" i="1"/>
  <c r="IE4856" i="1"/>
  <c r="IE4854" i="1"/>
  <c r="ID4856" i="1"/>
  <c r="ID4855" i="1"/>
  <c r="ID4854" i="1"/>
  <c r="IC4855" i="1"/>
  <c r="IC4856" i="1"/>
  <c r="IC4854" i="1"/>
  <c r="IA4856" i="1"/>
  <c r="IA4855" i="1"/>
  <c r="IA4854" i="1"/>
  <c r="HZ4855" i="1"/>
  <c r="HZ4856" i="1"/>
  <c r="HZ4854" i="1"/>
  <c r="HX4855" i="1"/>
  <c r="HX4856" i="1"/>
  <c r="HX4854" i="1"/>
  <c r="JJ4856" i="1"/>
  <c r="JJ4855" i="1"/>
  <c r="JJ4854" i="1"/>
  <c r="JI4855" i="1"/>
  <c r="JI4856" i="1"/>
  <c r="JI4854" i="1"/>
  <c r="JG4855" i="1"/>
  <c r="JG4856" i="1"/>
  <c r="JG4854" i="1"/>
  <c r="DE4856" i="1"/>
  <c r="DE4855" i="1"/>
  <c r="DE4854" i="1"/>
  <c r="DD4855" i="1"/>
  <c r="DD4856" i="1"/>
  <c r="DD4854" i="1"/>
  <c r="DC4856" i="1"/>
  <c r="DC4855" i="1"/>
  <c r="DC4854" i="1"/>
  <c r="DB4855" i="1"/>
  <c r="DB4856" i="1"/>
  <c r="DB4854" i="1"/>
  <c r="JO4856" i="1"/>
  <c r="JO4855" i="1"/>
  <c r="JO4854" i="1"/>
  <c r="JN4855" i="1"/>
  <c r="JN4856" i="1"/>
  <c r="JN4854" i="1"/>
  <c r="CS4856" i="1"/>
  <c r="CS4855" i="1"/>
  <c r="CS4854" i="1"/>
  <c r="CR4855" i="1"/>
  <c r="CR4856" i="1"/>
  <c r="CR4854" i="1"/>
  <c r="C37" i="3"/>
  <c r="CP4856" i="1"/>
  <c r="CU4856" i="1" s="1"/>
  <c r="CP4855" i="1"/>
  <c r="CU4855" i="1" s="1"/>
  <c r="CP4854" i="1"/>
  <c r="CU4854" i="1" s="1"/>
  <c r="CO4855" i="1"/>
  <c r="CT4855" i="1" s="1"/>
  <c r="CO4856" i="1"/>
  <c r="CT4856" i="1" s="1"/>
  <c r="CO4854" i="1"/>
  <c r="CT4854" i="1" s="1"/>
  <c r="BJ4856" i="1"/>
  <c r="BJ5240" i="1"/>
  <c r="DE4847" i="1"/>
  <c r="DD4847" i="1"/>
  <c r="DY4847" i="1"/>
  <c r="DX4847" i="1"/>
  <c r="DW4847" i="1"/>
  <c r="DV4847" i="1"/>
  <c r="DJ4847" i="1"/>
  <c r="DI4847" i="1"/>
  <c r="DO4847" i="1"/>
  <c r="DN4847" i="1"/>
  <c r="DT4847" i="1"/>
  <c r="DS4847" i="1"/>
  <c r="N4847" i="1"/>
  <c r="M4847" i="1"/>
  <c r="M4845" i="1" l="1"/>
  <c r="N4845" i="1"/>
  <c r="M4846" i="1"/>
  <c r="N4846" i="1"/>
  <c r="M4844" i="1"/>
  <c r="M4841" i="1"/>
  <c r="N4841" i="1"/>
  <c r="M4842" i="1"/>
  <c r="N4842" i="1"/>
  <c r="M4843" i="1"/>
  <c r="N4843" i="1"/>
  <c r="N4844" i="1"/>
  <c r="N4840" i="1"/>
  <c r="M4840" i="1"/>
  <c r="M4830" i="1"/>
  <c r="N4830" i="1"/>
  <c r="M4831" i="1"/>
  <c r="N4831" i="1"/>
  <c r="N4829" i="1"/>
  <c r="M4829" i="1"/>
  <c r="M4802" i="1"/>
  <c r="N4802" i="1"/>
  <c r="M4803" i="1"/>
  <c r="N4803" i="1"/>
  <c r="N4801" i="1"/>
  <c r="M4801" i="1"/>
  <c r="CW4640" i="1" l="1"/>
  <c r="CZ4738" i="1"/>
  <c r="CZ4737" i="1"/>
  <c r="CX4738" i="1"/>
  <c r="CX4737" i="1"/>
  <c r="N4765" i="1"/>
  <c r="M4765" i="1"/>
  <c r="BJ4739" i="1"/>
  <c r="BJ4769" i="1" l="1"/>
  <c r="BJ4755" i="1"/>
  <c r="BJ4756" i="1"/>
  <c r="BJ4757" i="1"/>
  <c r="BJ4758" i="1"/>
  <c r="BJ4759" i="1"/>
  <c r="BJ4760" i="1"/>
  <c r="BJ4761" i="1"/>
  <c r="BJ4762" i="1"/>
  <c r="BJ4763" i="1"/>
  <c r="BJ4764" i="1"/>
  <c r="BJ4753" i="1"/>
  <c r="BJ4752" i="1"/>
  <c r="BJ4754" i="1"/>
  <c r="BJ4765" i="1"/>
  <c r="BJ4768" i="1"/>
  <c r="BJ4770" i="1"/>
  <c r="BJ4771" i="1"/>
  <c r="BJ4772" i="1"/>
  <c r="BJ4773" i="1"/>
  <c r="BJ4786" i="1"/>
  <c r="BJ4787" i="1"/>
  <c r="BJ4788" i="1"/>
  <c r="BJ4777" i="1"/>
  <c r="BJ4778" i="1"/>
  <c r="BJ4801" i="1"/>
  <c r="BJ4802" i="1"/>
  <c r="BJ4803" i="1"/>
  <c r="BJ4826" i="1"/>
  <c r="BJ4825" i="1"/>
  <c r="BJ4829" i="1"/>
  <c r="BJ4830" i="1"/>
  <c r="BJ4831" i="1"/>
  <c r="BJ4840" i="1"/>
  <c r="BJ4841" i="1"/>
  <c r="BJ4842" i="1"/>
  <c r="BJ4843" i="1"/>
  <c r="BJ4844" i="1"/>
  <c r="BJ4845" i="1"/>
  <c r="BJ4846" i="1"/>
  <c r="BJ4847" i="1"/>
  <c r="BJ4848" i="1"/>
  <c r="BJ4849" i="1"/>
  <c r="BJ5239" i="1"/>
  <c r="BJ4853" i="1"/>
  <c r="BJ4851" i="1"/>
  <c r="BJ4852" i="1"/>
  <c r="BJ4850" i="1"/>
  <c r="BJ4854" i="1"/>
  <c r="BJ4855" i="1"/>
  <c r="BJ4857" i="1"/>
  <c r="BJ4858" i="1"/>
  <c r="BJ4859" i="1"/>
  <c r="BJ4860" i="1"/>
  <c r="BJ4862" i="1"/>
  <c r="BJ4874" i="1"/>
  <c r="BJ4875" i="1"/>
  <c r="BJ4876" i="1"/>
  <c r="BJ4901" i="1"/>
  <c r="BJ4904" i="1"/>
  <c r="BJ4906" i="1"/>
  <c r="BJ4905" i="1"/>
  <c r="BJ4911" i="1"/>
  <c r="BJ4914" i="1"/>
  <c r="BJ4910" i="1"/>
  <c r="BJ4913" i="1"/>
  <c r="BJ4912" i="1"/>
  <c r="BJ4915" i="1"/>
  <c r="BJ4916" i="1"/>
  <c r="BJ4918" i="1"/>
  <c r="BJ4920" i="1"/>
  <c r="BJ4921" i="1"/>
  <c r="BJ4922" i="1"/>
  <c r="BJ4923" i="1"/>
  <c r="BJ4924" i="1"/>
  <c r="BJ4925" i="1"/>
  <c r="BJ4926" i="1"/>
  <c r="BJ4927" i="1"/>
  <c r="BJ4928" i="1"/>
  <c r="BJ4929" i="1"/>
  <c r="BJ4930" i="1"/>
  <c r="BJ4931" i="1"/>
  <c r="BJ4932" i="1"/>
  <c r="BJ4935" i="1"/>
  <c r="BJ4936" i="1"/>
  <c r="BJ4937" i="1"/>
  <c r="BJ4938" i="1"/>
  <c r="BJ4940" i="1"/>
  <c r="BJ4939" i="1"/>
  <c r="BJ4944" i="1"/>
  <c r="BJ4945" i="1"/>
  <c r="BJ4956" i="1"/>
  <c r="BJ4960" i="1"/>
  <c r="BJ4961" i="1"/>
  <c r="BJ4968" i="1"/>
  <c r="BJ4969" i="1"/>
  <c r="BJ4970" i="1"/>
  <c r="BJ4973" i="1"/>
  <c r="BJ4974" i="1"/>
  <c r="BJ4975" i="1"/>
  <c r="BJ4976" i="1"/>
  <c r="BJ4977" i="1"/>
  <c r="BJ4978" i="1"/>
  <c r="BJ4979" i="1"/>
  <c r="BJ4980" i="1"/>
  <c r="BJ4985" i="1"/>
  <c r="BJ4986" i="1"/>
  <c r="BJ4988" i="1"/>
  <c r="BJ4987" i="1"/>
  <c r="BJ4989" i="1"/>
  <c r="BJ4990" i="1"/>
  <c r="BJ4991" i="1"/>
  <c r="BJ4992" i="1"/>
  <c r="BJ5242" i="1"/>
  <c r="BJ4994" i="1"/>
  <c r="BJ5000" i="1"/>
  <c r="BJ5001" i="1"/>
  <c r="BJ5004" i="1"/>
  <c r="BJ5005" i="1"/>
  <c r="BJ5006" i="1"/>
  <c r="BJ5007" i="1"/>
  <c r="BJ5008" i="1"/>
  <c r="BJ5009" i="1"/>
  <c r="BJ5012" i="1"/>
  <c r="BJ5013" i="1"/>
  <c r="BJ5011" i="1"/>
  <c r="BJ5020" i="1"/>
  <c r="BJ5021" i="1"/>
  <c r="BJ5034" i="1"/>
  <c r="BJ5035" i="1"/>
  <c r="BJ5036" i="1"/>
  <c r="BJ5038" i="1"/>
  <c r="BJ5039" i="1"/>
  <c r="BJ5042" i="1"/>
  <c r="BJ5043" i="1"/>
  <c r="BJ5040" i="1"/>
  <c r="BJ5041" i="1"/>
  <c r="BJ5046" i="1"/>
  <c r="BJ5061" i="1"/>
  <c r="BJ5070" i="1"/>
  <c r="BJ5074" i="1"/>
  <c r="BJ5075" i="1"/>
  <c r="BJ5076" i="1"/>
  <c r="BJ5077" i="1"/>
  <c r="BJ5078" i="1"/>
  <c r="BJ5079" i="1"/>
  <c r="BJ5080" i="1"/>
  <c r="BJ5081" i="1"/>
  <c r="BJ5082" i="1"/>
  <c r="BJ5091" i="1"/>
  <c r="BJ5092" i="1"/>
  <c r="BJ5094" i="1"/>
  <c r="BJ5095" i="1"/>
  <c r="BJ5093" i="1"/>
  <c r="BJ5096" i="1"/>
  <c r="BJ5098" i="1"/>
  <c r="BJ5099" i="1"/>
  <c r="BJ5097" i="1"/>
  <c r="BJ5100" i="1"/>
  <c r="BJ5106" i="1"/>
  <c r="BJ5108" i="1"/>
  <c r="BJ5111" i="1"/>
  <c r="BJ5120" i="1"/>
  <c r="BJ5123" i="1"/>
  <c r="BJ5124" i="1"/>
  <c r="BJ5121" i="1"/>
  <c r="BJ5118" i="1"/>
  <c r="BJ5119" i="1"/>
  <c r="BJ5122" i="1"/>
  <c r="BJ5133" i="1"/>
  <c r="BJ5132" i="1"/>
  <c r="BJ5134" i="1"/>
  <c r="BJ5135" i="1"/>
  <c r="BJ5140" i="1"/>
  <c r="BJ5141" i="1"/>
  <c r="BJ5142" i="1"/>
  <c r="BJ5143" i="1"/>
  <c r="BJ5144" i="1"/>
  <c r="BJ5145" i="1"/>
  <c r="BJ5146" i="1"/>
  <c r="BJ5158" i="1"/>
  <c r="BJ5159" i="1"/>
  <c r="BJ5160" i="1"/>
  <c r="BJ5202" i="1"/>
  <c r="BJ5203" i="1"/>
  <c r="BJ5204" i="1"/>
  <c r="BJ5205" i="1"/>
  <c r="BJ5206" i="1"/>
  <c r="BJ5207" i="1"/>
  <c r="BJ5208" i="1"/>
  <c r="BJ5209" i="1"/>
  <c r="BJ5213" i="1"/>
  <c r="BJ5214" i="1"/>
  <c r="BJ5215" i="1"/>
  <c r="BJ5216" i="1"/>
  <c r="BJ5218" i="1"/>
  <c r="BJ5217" i="1"/>
  <c r="BJ5219" i="1"/>
  <c r="S4738" i="1" l="1"/>
  <c r="Q4738" i="1"/>
  <c r="N4738" i="1"/>
  <c r="M4738" i="1"/>
  <c r="N4737" i="1"/>
  <c r="M4737" i="1"/>
  <c r="S4737" i="1"/>
  <c r="Q4737" i="1"/>
  <c r="AJ4736" i="1"/>
  <c r="AI4736" i="1"/>
  <c r="AF4736" i="1"/>
  <c r="AE4736" i="1"/>
  <c r="N4736" i="1"/>
  <c r="M4736" i="1"/>
  <c r="AJ4735" i="1"/>
  <c r="AI4735" i="1"/>
  <c r="AF4735" i="1"/>
  <c r="AE4735" i="1"/>
  <c r="N4735" i="1"/>
  <c r="M4735" i="1"/>
  <c r="AJ4734" i="1"/>
  <c r="AI4734" i="1"/>
  <c r="AF4734" i="1"/>
  <c r="AE4734" i="1"/>
  <c r="N4734" i="1"/>
  <c r="M4734" i="1"/>
  <c r="AJ4733" i="1"/>
  <c r="AI4733" i="1"/>
  <c r="AF4733" i="1"/>
  <c r="AE4733" i="1"/>
  <c r="N4733" i="1"/>
  <c r="M4733" i="1"/>
  <c r="AJ4732" i="1"/>
  <c r="AI4732" i="1"/>
  <c r="AF4732" i="1"/>
  <c r="AE4732" i="1"/>
  <c r="N4732" i="1"/>
  <c r="M4732" i="1"/>
  <c r="AJ4731" i="1"/>
  <c r="AI4731" i="1"/>
  <c r="AF4731" i="1"/>
  <c r="AE4731" i="1"/>
  <c r="N4731" i="1"/>
  <c r="M4731" i="1"/>
  <c r="AJ4730" i="1"/>
  <c r="AI4730" i="1"/>
  <c r="AF4730" i="1"/>
  <c r="AE4730" i="1"/>
  <c r="N4730" i="1"/>
  <c r="M4730" i="1"/>
  <c r="AJ4729" i="1"/>
  <c r="AI4729" i="1"/>
  <c r="AF4729" i="1"/>
  <c r="AE4729" i="1"/>
  <c r="N4729" i="1"/>
  <c r="M4729" i="1"/>
  <c r="AJ4728" i="1"/>
  <c r="AI4728" i="1"/>
  <c r="AF4728" i="1"/>
  <c r="AE4728" i="1"/>
  <c r="N4728" i="1"/>
  <c r="M4728" i="1"/>
  <c r="AJ4727" i="1"/>
  <c r="AI4727" i="1"/>
  <c r="AF4727" i="1"/>
  <c r="AE4727" i="1"/>
  <c r="N4727" i="1"/>
  <c r="M4727" i="1"/>
  <c r="AJ4726" i="1"/>
  <c r="AI4726" i="1"/>
  <c r="AF4726" i="1"/>
  <c r="AE4726" i="1"/>
  <c r="N4726" i="1"/>
  <c r="M4726" i="1"/>
  <c r="AJ4725" i="1"/>
  <c r="AI4725" i="1"/>
  <c r="AF4725" i="1"/>
  <c r="AE4725" i="1"/>
  <c r="N4725" i="1"/>
  <c r="M4725" i="1"/>
  <c r="AJ4724" i="1"/>
  <c r="AI4724" i="1"/>
  <c r="AF4724" i="1"/>
  <c r="AE4724" i="1"/>
  <c r="N4724" i="1"/>
  <c r="M4724" i="1"/>
  <c r="AJ4723" i="1"/>
  <c r="AI4723" i="1"/>
  <c r="AF4723" i="1"/>
  <c r="AE4723" i="1"/>
  <c r="N4723" i="1"/>
  <c r="M4723" i="1"/>
  <c r="AJ4722" i="1"/>
  <c r="AI4722" i="1"/>
  <c r="AF4722" i="1"/>
  <c r="AE4722" i="1"/>
  <c r="N4722" i="1"/>
  <c r="M4722" i="1"/>
  <c r="AJ4721" i="1"/>
  <c r="AI4721" i="1"/>
  <c r="AF4721" i="1"/>
  <c r="AE4721" i="1"/>
  <c r="N4721" i="1"/>
  <c r="M4721" i="1"/>
  <c r="AJ4720" i="1"/>
  <c r="AI4720" i="1"/>
  <c r="AF4720" i="1"/>
  <c r="AE4720" i="1"/>
  <c r="N4720" i="1"/>
  <c r="M4720" i="1"/>
  <c r="AJ4719" i="1"/>
  <c r="AI4719" i="1"/>
  <c r="AF4719" i="1"/>
  <c r="AE4719" i="1"/>
  <c r="N4719" i="1"/>
  <c r="M4719" i="1"/>
  <c r="AJ4718" i="1"/>
  <c r="AI4718" i="1"/>
  <c r="AF4718" i="1"/>
  <c r="AE4718" i="1"/>
  <c r="N4718" i="1"/>
  <c r="M4718" i="1"/>
  <c r="AJ4717" i="1"/>
  <c r="AI4717" i="1"/>
  <c r="AF4717" i="1"/>
  <c r="AE4717" i="1"/>
  <c r="N4717" i="1"/>
  <c r="M4717" i="1"/>
  <c r="AJ4716" i="1"/>
  <c r="AI4716" i="1"/>
  <c r="AF4716" i="1"/>
  <c r="AE4716" i="1"/>
  <c r="N4716" i="1"/>
  <c r="M4716" i="1"/>
  <c r="AJ4715" i="1"/>
  <c r="AI4715" i="1"/>
  <c r="AF4715" i="1"/>
  <c r="AE4715" i="1"/>
  <c r="N4715" i="1"/>
  <c r="M4715" i="1"/>
  <c r="AJ4714" i="1"/>
  <c r="AI4714" i="1"/>
  <c r="AF4714" i="1"/>
  <c r="AE4714" i="1"/>
  <c r="N4714" i="1"/>
  <c r="M4714" i="1"/>
  <c r="AJ4713" i="1"/>
  <c r="AI4713" i="1"/>
  <c r="AF4713" i="1"/>
  <c r="AE4713" i="1"/>
  <c r="N4713" i="1"/>
  <c r="M4713" i="1"/>
  <c r="AJ4712" i="1"/>
  <c r="AI4712" i="1"/>
  <c r="AF4712" i="1"/>
  <c r="AE4712" i="1"/>
  <c r="N4712" i="1"/>
  <c r="M4712" i="1"/>
  <c r="AJ4711" i="1"/>
  <c r="AI4711" i="1"/>
  <c r="AF4711" i="1"/>
  <c r="AE4711" i="1"/>
  <c r="N4711" i="1"/>
  <c r="M4711" i="1"/>
  <c r="AJ4710" i="1"/>
  <c r="AI4710" i="1"/>
  <c r="AF4710" i="1"/>
  <c r="AE4710" i="1"/>
  <c r="N4710" i="1"/>
  <c r="M4710" i="1"/>
  <c r="AJ4709" i="1"/>
  <c r="AI4709" i="1"/>
  <c r="AF4709" i="1"/>
  <c r="AE4709" i="1"/>
  <c r="N4709" i="1"/>
  <c r="M4709" i="1"/>
  <c r="AJ4708" i="1"/>
  <c r="AI4708" i="1"/>
  <c r="AF4708" i="1"/>
  <c r="AE4708" i="1"/>
  <c r="N4708" i="1"/>
  <c r="M4708" i="1"/>
  <c r="AJ4707" i="1"/>
  <c r="AI4707" i="1"/>
  <c r="AF4707" i="1"/>
  <c r="AE4707" i="1"/>
  <c r="N4707" i="1"/>
  <c r="M4707" i="1"/>
  <c r="AJ4706" i="1"/>
  <c r="AI4706" i="1"/>
  <c r="AF4706" i="1"/>
  <c r="AE4706" i="1"/>
  <c r="N4706" i="1"/>
  <c r="M4706" i="1"/>
  <c r="AJ4705" i="1"/>
  <c r="AI4705" i="1"/>
  <c r="AF4705" i="1"/>
  <c r="AE4705" i="1"/>
  <c r="N4705" i="1"/>
  <c r="M4705" i="1"/>
  <c r="AJ4704" i="1"/>
  <c r="AI4704" i="1"/>
  <c r="AF4704" i="1"/>
  <c r="AE4704" i="1"/>
  <c r="N4704" i="1"/>
  <c r="M4704" i="1"/>
  <c r="AJ4703" i="1"/>
  <c r="AI4703" i="1"/>
  <c r="AF4703" i="1"/>
  <c r="AE4703" i="1"/>
  <c r="N4703" i="1"/>
  <c r="M4703" i="1"/>
  <c r="AJ4702" i="1"/>
  <c r="AI4702" i="1"/>
  <c r="AF4702" i="1"/>
  <c r="AE4702" i="1"/>
  <c r="N4702" i="1"/>
  <c r="M4702" i="1"/>
  <c r="AJ4701" i="1"/>
  <c r="AI4701" i="1"/>
  <c r="AF4701" i="1"/>
  <c r="AE4701" i="1"/>
  <c r="N4701" i="1"/>
  <c r="M4701" i="1"/>
  <c r="AJ4700" i="1"/>
  <c r="AI4700" i="1"/>
  <c r="AF4700" i="1"/>
  <c r="AE4700" i="1"/>
  <c r="N4700" i="1"/>
  <c r="M4700" i="1"/>
  <c r="AJ4699" i="1"/>
  <c r="AI4699" i="1"/>
  <c r="AF4699" i="1"/>
  <c r="AE4699" i="1"/>
  <c r="N4699" i="1"/>
  <c r="M4699" i="1"/>
  <c r="AJ4698" i="1"/>
  <c r="AI4698" i="1"/>
  <c r="AF4698" i="1"/>
  <c r="AE4698" i="1"/>
  <c r="N4698" i="1"/>
  <c r="M4698" i="1"/>
  <c r="AJ4697" i="1"/>
  <c r="AF4697" i="1"/>
  <c r="AE4697" i="1"/>
  <c r="AI4697" i="1"/>
  <c r="N4697" i="1"/>
  <c r="M4697" i="1"/>
  <c r="ER4685" i="1"/>
  <c r="S4685" i="1"/>
  <c r="N4685" i="1"/>
  <c r="M4685" i="1"/>
  <c r="CX4648" i="1"/>
  <c r="CX4647" i="1"/>
  <c r="CX4645" i="1"/>
  <c r="CX4644" i="1"/>
  <c r="CW4648" i="1"/>
  <c r="CW4647" i="1"/>
  <c r="CW4645" i="1"/>
  <c r="CW4644" i="1"/>
  <c r="CX4640" i="1"/>
  <c r="CX4646" i="1"/>
  <c r="CW4646" i="1"/>
  <c r="CX4643" i="1"/>
  <c r="CW4643" i="1"/>
  <c r="CW4642" i="1"/>
  <c r="CW4641" i="1"/>
  <c r="CX4642" i="1"/>
  <c r="N4639" i="1" l="1"/>
  <c r="M4639" i="1"/>
  <c r="N4638" i="1"/>
  <c r="M4638" i="1"/>
  <c r="N4637" i="1"/>
  <c r="M4637" i="1"/>
  <c r="N4636" i="1"/>
  <c r="M4636" i="1"/>
  <c r="N4635" i="1"/>
  <c r="M4635" i="1"/>
  <c r="N4634" i="1"/>
  <c r="M4634" i="1"/>
  <c r="N4633" i="1"/>
  <c r="M4633" i="1"/>
  <c r="N4632" i="1"/>
  <c r="M4632" i="1"/>
  <c r="N4631" i="1"/>
  <c r="M4631" i="1"/>
  <c r="N4630" i="1"/>
  <c r="M4630" i="1"/>
  <c r="N4629" i="1"/>
  <c r="M4629" i="1"/>
  <c r="N4628" i="1"/>
  <c r="M4628" i="1"/>
  <c r="N4627" i="1"/>
  <c r="M4627" i="1"/>
  <c r="N4626" i="1"/>
  <c r="M4626" i="1"/>
  <c r="N4625" i="1"/>
  <c r="M4625" i="1"/>
  <c r="N4624" i="1"/>
  <c r="M4624" i="1"/>
  <c r="N4623" i="1"/>
  <c r="M4623" i="1"/>
  <c r="N4622" i="1"/>
  <c r="M4622" i="1"/>
  <c r="N4621" i="1" l="1"/>
  <c r="M4621" i="1"/>
  <c r="N4620" i="1"/>
  <c r="M4620" i="1"/>
  <c r="N4619" i="1"/>
  <c r="M4619" i="1"/>
  <c r="N4618" i="1"/>
  <c r="M4618" i="1"/>
  <c r="N4617" i="1"/>
  <c r="M4617" i="1"/>
  <c r="N4616" i="1"/>
  <c r="M4616" i="1"/>
  <c r="N4615" i="1"/>
  <c r="M4615" i="1"/>
  <c r="N4614" i="1"/>
  <c r="M4614" i="1"/>
  <c r="CC4610" i="1"/>
  <c r="CB4610" i="1"/>
  <c r="CC4606" i="1"/>
  <c r="CB4606" i="1"/>
  <c r="M4611" i="1"/>
  <c r="N4611" i="1"/>
  <c r="M4612" i="1"/>
  <c r="N4612" i="1"/>
  <c r="M4613" i="1"/>
  <c r="N4613" i="1"/>
  <c r="N4610" i="1"/>
  <c r="M4610" i="1"/>
  <c r="M4607" i="1"/>
  <c r="N4607" i="1"/>
  <c r="M4608" i="1"/>
  <c r="N4608" i="1"/>
  <c r="M4609" i="1"/>
  <c r="N4609" i="1"/>
  <c r="N4606" i="1"/>
  <c r="M4606" i="1"/>
  <c r="N4605" i="1"/>
  <c r="M4605" i="1"/>
  <c r="N4604" i="1"/>
  <c r="M4604" i="1"/>
  <c r="N4603" i="1"/>
  <c r="M4603" i="1"/>
  <c r="N4602" i="1"/>
  <c r="M4602" i="1"/>
  <c r="HQ4601" i="1"/>
  <c r="HP4601" i="1"/>
  <c r="HV4601" i="1"/>
  <c r="HU4601" i="1"/>
  <c r="DJ4601" i="1"/>
  <c r="DI4601" i="1"/>
  <c r="DE4601" i="1"/>
  <c r="DD4601" i="1"/>
  <c r="CO4601" i="1"/>
  <c r="CP4601" i="1"/>
  <c r="ED4601" i="1"/>
  <c r="EC4601" i="1"/>
  <c r="DT4601" i="1"/>
  <c r="DS4601" i="1"/>
  <c r="N4601" i="1"/>
  <c r="M4601" i="1"/>
  <c r="N2165" i="1" l="1"/>
  <c r="N2172" i="1"/>
  <c r="N2171" i="1"/>
  <c r="N2170" i="1"/>
  <c r="N2169" i="1"/>
  <c r="N2168" i="1"/>
  <c r="N2167" i="1"/>
  <c r="N2166" i="1"/>
  <c r="N2178" i="1" l="1"/>
  <c r="N2177" i="1"/>
  <c r="N2176" i="1"/>
  <c r="N2175" i="1"/>
  <c r="N2174" i="1"/>
  <c r="N2173" i="1"/>
  <c r="E131" i="2" l="1"/>
  <c r="DW1454" i="1" l="1"/>
  <c r="DV1454" i="1"/>
  <c r="DW1453" i="1"/>
  <c r="DV1453" i="1"/>
  <c r="DW1452" i="1"/>
  <c r="DV1452" i="1"/>
  <c r="DW1451" i="1"/>
  <c r="DV1451" i="1"/>
  <c r="DW902" i="1"/>
  <c r="DW901" i="1"/>
  <c r="DW900" i="1"/>
  <c r="DW899" i="1"/>
  <c r="DW898" i="1"/>
  <c r="DW897" i="1"/>
  <c r="DW896" i="1"/>
  <c r="DW895" i="1"/>
  <c r="DW894" i="1"/>
  <c r="DV901" i="1"/>
  <c r="DV902" i="1"/>
  <c r="DV900" i="1"/>
  <c r="DV898" i="1"/>
  <c r="DV899" i="1"/>
  <c r="DV897" i="1"/>
  <c r="DV895" i="1"/>
  <c r="DV896" i="1"/>
  <c r="DV894" i="1"/>
  <c r="DW793" i="1"/>
  <c r="DW794" i="1"/>
  <c r="DV794" i="1"/>
  <c r="DV793" i="1"/>
  <c r="CP2128" i="1" l="1"/>
  <c r="CP2129" i="1"/>
  <c r="CP2130" i="1"/>
  <c r="CP2131" i="1"/>
  <c r="CP2127" i="1"/>
  <c r="CO2128" i="1"/>
  <c r="CO2129" i="1"/>
  <c r="CO2130" i="1"/>
  <c r="CO2131" i="1"/>
  <c r="CO2127" i="1"/>
  <c r="CN2128" i="1"/>
  <c r="CN2129" i="1"/>
  <c r="CN2130" i="1"/>
  <c r="CN2131" i="1"/>
  <c r="CN2127" i="1"/>
  <c r="CM2128" i="1"/>
  <c r="CM2129" i="1"/>
  <c r="CM2130" i="1"/>
  <c r="CM2131" i="1"/>
  <c r="CM2127" i="1"/>
  <c r="CO1972" i="1" l="1"/>
  <c r="CP1972" i="1"/>
  <c r="CO1973" i="1"/>
  <c r="CP1973" i="1"/>
  <c r="CO1974" i="1"/>
  <c r="CP1974" i="1"/>
  <c r="CO1975" i="1"/>
  <c r="CP1975" i="1"/>
  <c r="CP1971" i="1"/>
  <c r="CO1971" i="1"/>
  <c r="CO1927" i="1"/>
  <c r="CP1927" i="1"/>
  <c r="CO1928" i="1"/>
  <c r="CP1928" i="1"/>
  <c r="CO1929" i="1"/>
  <c r="CP1929" i="1"/>
  <c r="CO1930" i="1"/>
  <c r="CP1930" i="1"/>
  <c r="CP1926" i="1"/>
  <c r="CO1926" i="1"/>
  <c r="CO1882" i="1"/>
  <c r="CP1882" i="1"/>
  <c r="CO1883" i="1"/>
  <c r="CP1883" i="1"/>
  <c r="CO1884" i="1"/>
  <c r="CP1884" i="1"/>
  <c r="CO1885" i="1"/>
  <c r="CP1885" i="1"/>
  <c r="CP1881" i="1"/>
  <c r="CO1881" i="1"/>
  <c r="CM2420" i="1"/>
  <c r="CN2420" i="1"/>
  <c r="CM2421" i="1"/>
  <c r="CN2421" i="1"/>
  <c r="CM2422" i="1"/>
  <c r="CN2422" i="1"/>
  <c r="CN2419" i="1"/>
  <c r="CM2419" i="1"/>
  <c r="CM2342" i="1"/>
  <c r="CN2342" i="1"/>
  <c r="CM2343" i="1"/>
  <c r="CN2343" i="1"/>
  <c r="CM2344" i="1"/>
  <c r="CN2344" i="1"/>
  <c r="CM2345" i="1"/>
  <c r="CN2345" i="1"/>
  <c r="CM2346" i="1"/>
  <c r="CN2346" i="1"/>
  <c r="CM2347" i="1"/>
  <c r="CN2347" i="1"/>
  <c r="CM2348" i="1"/>
  <c r="CN2348" i="1"/>
  <c r="CM2349" i="1"/>
  <c r="CN2349" i="1"/>
  <c r="CM2350" i="1"/>
  <c r="CN2350" i="1"/>
  <c r="CM2351" i="1"/>
  <c r="CN2351" i="1"/>
  <c r="CM2352" i="1"/>
  <c r="CN2352" i="1"/>
  <c r="CM2353" i="1"/>
  <c r="CN2353" i="1"/>
  <c r="CM2354" i="1"/>
  <c r="CN2354" i="1"/>
  <c r="CM2355" i="1"/>
  <c r="CN2355" i="1"/>
  <c r="CM2356" i="1"/>
  <c r="CN2356" i="1"/>
  <c r="CM2357" i="1"/>
  <c r="CN2357" i="1"/>
  <c r="CM2358" i="1"/>
  <c r="CN2358" i="1"/>
  <c r="CM2359" i="1"/>
  <c r="CN2359" i="1"/>
  <c r="CM2360" i="1"/>
  <c r="CN2360" i="1"/>
  <c r="CM2361" i="1"/>
  <c r="CN2361" i="1"/>
  <c r="CN2341" i="1"/>
  <c r="CM2341" i="1"/>
  <c r="CM2339" i="1"/>
  <c r="CN2339" i="1"/>
  <c r="CN2338" i="1"/>
  <c r="CM2338" i="1"/>
  <c r="CM2334" i="1"/>
  <c r="CN2334" i="1"/>
  <c r="CN2333" i="1"/>
  <c r="CM2333" i="1"/>
  <c r="CM2336" i="1"/>
  <c r="CN2336" i="1"/>
  <c r="CM2337" i="1"/>
  <c r="CN2337" i="1"/>
  <c r="CM2340" i="1"/>
  <c r="CN2340" i="1"/>
  <c r="CM2362" i="1"/>
  <c r="CN2362" i="1"/>
  <c r="CM2363" i="1"/>
  <c r="CN2363" i="1"/>
  <c r="CM2364" i="1"/>
  <c r="CN2364" i="1"/>
  <c r="CM2365" i="1"/>
  <c r="CN2365" i="1"/>
  <c r="CM2366" i="1"/>
  <c r="CN2366" i="1"/>
  <c r="CM2367" i="1"/>
  <c r="CN2367" i="1"/>
  <c r="CM2368" i="1"/>
  <c r="CN2368" i="1"/>
  <c r="CM2369" i="1"/>
  <c r="CN2369" i="1"/>
  <c r="CM2370" i="1"/>
  <c r="CN2370" i="1"/>
  <c r="CM2371" i="1"/>
  <c r="CN2371" i="1"/>
  <c r="CM2372" i="1"/>
  <c r="CN2372" i="1"/>
  <c r="CM2373" i="1"/>
  <c r="CN2373" i="1"/>
  <c r="CM2374" i="1"/>
  <c r="CN2374" i="1"/>
  <c r="CM2375" i="1"/>
  <c r="CN2375" i="1"/>
  <c r="CM2376" i="1"/>
  <c r="CN2376" i="1"/>
  <c r="CM2377" i="1"/>
  <c r="CN2377" i="1"/>
  <c r="CM2378" i="1"/>
  <c r="CN2378" i="1"/>
  <c r="CM2379" i="1"/>
  <c r="CN2379" i="1"/>
  <c r="CM2380" i="1"/>
  <c r="CN2380" i="1"/>
  <c r="CM2381" i="1"/>
  <c r="CN2381" i="1"/>
  <c r="CM2382" i="1"/>
  <c r="CN2382" i="1"/>
  <c r="CM2383" i="1"/>
  <c r="CN2383" i="1"/>
  <c r="CM2384" i="1"/>
  <c r="CN2384" i="1"/>
  <c r="CM2385" i="1"/>
  <c r="CN2385" i="1"/>
  <c r="CM2386" i="1"/>
  <c r="CN2386" i="1"/>
  <c r="CM2387" i="1"/>
  <c r="CN2387" i="1"/>
  <c r="CM2388" i="1"/>
  <c r="CN2388" i="1"/>
  <c r="CM2389" i="1"/>
  <c r="CN2389" i="1"/>
  <c r="CM2390" i="1"/>
  <c r="CN2390" i="1"/>
  <c r="CM2391" i="1"/>
  <c r="CN2391" i="1"/>
  <c r="CM2392" i="1"/>
  <c r="CN2392" i="1"/>
  <c r="CM2393" i="1"/>
  <c r="CN2393" i="1"/>
  <c r="CM2394" i="1"/>
  <c r="CN2394" i="1"/>
  <c r="CM2395" i="1"/>
  <c r="CN2395" i="1"/>
  <c r="CM2396" i="1"/>
  <c r="CN2396" i="1"/>
  <c r="CM2397" i="1"/>
  <c r="CN2397" i="1"/>
  <c r="CM2398" i="1"/>
  <c r="CN2398" i="1"/>
  <c r="CM2399" i="1"/>
  <c r="CN2399" i="1"/>
  <c r="CM2400" i="1"/>
  <c r="CN2400" i="1"/>
  <c r="CM2401" i="1"/>
  <c r="CN2401" i="1"/>
  <c r="CM2402" i="1"/>
  <c r="CN2402" i="1"/>
  <c r="CM2403" i="1"/>
  <c r="CN2403" i="1"/>
  <c r="CM2404" i="1"/>
  <c r="CN2404" i="1"/>
  <c r="CM2405" i="1"/>
  <c r="CN2405" i="1"/>
  <c r="CM2406" i="1"/>
  <c r="CN2406" i="1"/>
  <c r="CM2407" i="1"/>
  <c r="CN2407" i="1"/>
  <c r="CM2408" i="1"/>
  <c r="CN2408" i="1"/>
  <c r="CM2409" i="1"/>
  <c r="CN2409" i="1"/>
  <c r="CM2410" i="1"/>
  <c r="CN2410" i="1"/>
  <c r="CM2411" i="1"/>
  <c r="CN2411" i="1"/>
  <c r="CM2412" i="1"/>
  <c r="CN2412" i="1"/>
  <c r="CM2413" i="1"/>
  <c r="CN2413" i="1"/>
  <c r="CM2414" i="1"/>
  <c r="CN2414" i="1"/>
  <c r="CM2415" i="1"/>
  <c r="CN2415" i="1"/>
  <c r="CM2416" i="1"/>
  <c r="CN2416" i="1"/>
  <c r="CM2417" i="1"/>
  <c r="CN2417" i="1"/>
  <c r="CM2418" i="1"/>
  <c r="CN2418" i="1"/>
  <c r="CM2423" i="1"/>
  <c r="CN2423" i="1"/>
  <c r="CM2424" i="1"/>
  <c r="CN2424" i="1"/>
  <c r="CM2425" i="1"/>
  <c r="CN2425" i="1"/>
  <c r="CN2335" i="1"/>
  <c r="CM2335" i="1"/>
  <c r="CM2249" i="1"/>
  <c r="CM2429" i="1"/>
  <c r="CN2429" i="1"/>
  <c r="CM2466" i="1"/>
  <c r="CM2467" i="1"/>
  <c r="CN2250" i="1" l="1"/>
  <c r="CN2249" i="1"/>
  <c r="CN2248" i="1"/>
  <c r="CN2247" i="1"/>
  <c r="CN2246" i="1"/>
  <c r="CN2245" i="1"/>
  <c r="CN2244" i="1"/>
  <c r="CN2243" i="1"/>
  <c r="CN2242" i="1"/>
  <c r="CN2241" i="1"/>
  <c r="CN2240" i="1"/>
  <c r="CN2239" i="1"/>
  <c r="CN2238" i="1"/>
  <c r="CN2236" i="1"/>
  <c r="CN2235" i="1"/>
  <c r="CN2234" i="1"/>
  <c r="CN2233" i="1"/>
  <c r="CM2250" i="1"/>
  <c r="CM2248" i="1"/>
  <c r="CM2247" i="1"/>
  <c r="CM2246" i="1"/>
  <c r="CM2245" i="1"/>
  <c r="CM2244" i="1"/>
  <c r="CM2243" i="1"/>
  <c r="CM2242" i="1"/>
  <c r="CM2241" i="1"/>
  <c r="CM2240" i="1"/>
  <c r="CM2239" i="1"/>
  <c r="CM2238" i="1"/>
  <c r="CM2236" i="1"/>
  <c r="CM2235" i="1"/>
  <c r="CM2234" i="1"/>
  <c r="CM2233" i="1"/>
  <c r="CN2226" i="1"/>
  <c r="CN2227" i="1"/>
  <c r="CN2228" i="1"/>
  <c r="CN2229" i="1"/>
  <c r="CN2230" i="1"/>
  <c r="CN2225" i="1"/>
  <c r="CM2226" i="1"/>
  <c r="CM2227" i="1"/>
  <c r="CM2228" i="1"/>
  <c r="CM2229" i="1"/>
  <c r="CM2230" i="1"/>
  <c r="CM2225" i="1"/>
  <c r="CN2206" i="1"/>
  <c r="CN2205" i="1"/>
  <c r="CM2206" i="1"/>
  <c r="CM2205" i="1"/>
  <c r="CM2094" i="1"/>
  <c r="CM2148" i="1"/>
  <c r="CN2148" i="1"/>
  <c r="CM2149" i="1"/>
  <c r="CN2149" i="1"/>
  <c r="CM2150" i="1"/>
  <c r="CN2150" i="1"/>
  <c r="CM2151" i="1"/>
  <c r="CN2151" i="1"/>
  <c r="CM2152" i="1"/>
  <c r="CN2152" i="1"/>
  <c r="CM2153" i="1"/>
  <c r="CN2153" i="1"/>
  <c r="CM2154" i="1"/>
  <c r="CN2154" i="1"/>
  <c r="CM2155" i="1"/>
  <c r="CN2155" i="1"/>
  <c r="CM2156" i="1"/>
  <c r="CN2156" i="1"/>
  <c r="CM2157" i="1"/>
  <c r="CN2157" i="1"/>
  <c r="CM2158" i="1"/>
  <c r="CN2158" i="1"/>
  <c r="CM2159" i="1"/>
  <c r="CN2159" i="1"/>
  <c r="CM2160" i="1"/>
  <c r="CN2160" i="1"/>
  <c r="CM2161" i="1"/>
  <c r="CN2161" i="1"/>
  <c r="CM2162" i="1"/>
  <c r="CN2162" i="1"/>
  <c r="CM2163" i="1"/>
  <c r="CN2163" i="1"/>
  <c r="CM2164" i="1"/>
  <c r="CN2164" i="1"/>
  <c r="CM2165" i="1"/>
  <c r="CN2165" i="1"/>
  <c r="CM2166" i="1"/>
  <c r="CN2166" i="1"/>
  <c r="CM2167" i="1"/>
  <c r="CN2167" i="1"/>
  <c r="CM2168" i="1"/>
  <c r="CN2168" i="1"/>
  <c r="CM2169" i="1"/>
  <c r="CN2169" i="1"/>
  <c r="CM2170" i="1"/>
  <c r="CN2170" i="1"/>
  <c r="CM2171" i="1"/>
  <c r="CN2171" i="1"/>
  <c r="CM2172" i="1"/>
  <c r="CN2172" i="1"/>
  <c r="CM2173" i="1"/>
  <c r="CN2173" i="1"/>
  <c r="CM2174" i="1"/>
  <c r="CN2174" i="1"/>
  <c r="CM2175" i="1"/>
  <c r="CN2175" i="1"/>
  <c r="CM2176" i="1"/>
  <c r="CN2176" i="1"/>
  <c r="CM2177" i="1"/>
  <c r="CN2177" i="1"/>
  <c r="CM2178" i="1"/>
  <c r="CN2178" i="1"/>
  <c r="CM2179" i="1"/>
  <c r="CN2179" i="1"/>
  <c r="CM2180" i="1"/>
  <c r="CN2180" i="1"/>
  <c r="CM2181" i="1"/>
  <c r="CN2181" i="1"/>
  <c r="CM2182" i="1"/>
  <c r="CN2182" i="1"/>
  <c r="CM2183" i="1"/>
  <c r="CN2183" i="1"/>
  <c r="CM2184" i="1"/>
  <c r="CN2184" i="1"/>
  <c r="CN2147" i="1"/>
  <c r="CM2147" i="1"/>
  <c r="CM2017" i="1"/>
  <c r="CN2017" i="1"/>
  <c r="CM2018" i="1"/>
  <c r="CN2018" i="1"/>
  <c r="CM2019" i="1"/>
  <c r="CN2019" i="1"/>
  <c r="CM2020" i="1"/>
  <c r="CN2020" i="1"/>
  <c r="CM2021" i="1"/>
  <c r="CN2021" i="1"/>
  <c r="CM2025" i="1"/>
  <c r="CN2025" i="1"/>
  <c r="CM2026" i="1"/>
  <c r="CN2026" i="1"/>
  <c r="CM2027" i="1"/>
  <c r="CN2027" i="1"/>
  <c r="CM2028" i="1"/>
  <c r="CN2028" i="1"/>
  <c r="CM2029" i="1"/>
  <c r="CN2029" i="1"/>
  <c r="CM2030" i="1"/>
  <c r="CN2030" i="1"/>
  <c r="CM2031" i="1"/>
  <c r="CN2031" i="1"/>
  <c r="CM2032" i="1"/>
  <c r="CN2032" i="1"/>
  <c r="CM2033" i="1"/>
  <c r="CN2033" i="1"/>
  <c r="CM2034" i="1"/>
  <c r="CN2034" i="1"/>
  <c r="CM2035" i="1"/>
  <c r="CN2035" i="1"/>
  <c r="CM2036" i="1"/>
  <c r="CN2036" i="1"/>
  <c r="CM2041" i="1"/>
  <c r="CN2041" i="1"/>
  <c r="CM2042" i="1"/>
  <c r="CN2042" i="1"/>
  <c r="CM2043" i="1"/>
  <c r="CN2043" i="1"/>
  <c r="CM2044" i="1"/>
  <c r="CN2044" i="1"/>
  <c r="CM2045" i="1"/>
  <c r="CN2045" i="1"/>
  <c r="CM2046" i="1"/>
  <c r="CN2046" i="1"/>
  <c r="CM2047" i="1"/>
  <c r="CN2047" i="1"/>
  <c r="CM2048" i="1"/>
  <c r="CN2048" i="1"/>
  <c r="CM2049" i="1"/>
  <c r="CN2049" i="1"/>
  <c r="CM2050" i="1"/>
  <c r="CN2050" i="1"/>
  <c r="CM2051" i="1"/>
  <c r="CN2051" i="1"/>
  <c r="CM2052" i="1"/>
  <c r="CN2052" i="1"/>
  <c r="CM2053" i="1"/>
  <c r="CN2053" i="1"/>
  <c r="CM2054" i="1"/>
  <c r="CN2054" i="1"/>
  <c r="CM2055" i="1"/>
  <c r="CN2055" i="1"/>
  <c r="CM2056" i="1"/>
  <c r="CN2056" i="1"/>
  <c r="CM2057" i="1"/>
  <c r="CN2057" i="1"/>
  <c r="CM2058" i="1"/>
  <c r="CN2058" i="1"/>
  <c r="CM2059" i="1"/>
  <c r="CN2059" i="1"/>
  <c r="CM2060" i="1"/>
  <c r="CN2060" i="1"/>
  <c r="CM2061" i="1"/>
  <c r="CN2061" i="1"/>
  <c r="CM2062" i="1"/>
  <c r="CN2062" i="1"/>
  <c r="CM2063" i="1"/>
  <c r="CN2063" i="1"/>
  <c r="CM2064" i="1"/>
  <c r="CN2064" i="1"/>
  <c r="CM2065" i="1"/>
  <c r="CN2065" i="1"/>
  <c r="CM2066" i="1"/>
  <c r="CN2066" i="1"/>
  <c r="CM2067" i="1"/>
  <c r="CN2067" i="1"/>
  <c r="CM2068" i="1"/>
  <c r="CN2068" i="1"/>
  <c r="CM2069" i="1"/>
  <c r="CN2069" i="1"/>
  <c r="CM2070" i="1"/>
  <c r="CN2070" i="1"/>
  <c r="CM2071" i="1"/>
  <c r="CN2071" i="1"/>
  <c r="CM2072" i="1"/>
  <c r="CN2072" i="1"/>
  <c r="CM2073" i="1"/>
  <c r="CN2073" i="1"/>
  <c r="CM2074" i="1"/>
  <c r="CN2074" i="1"/>
  <c r="CM2075" i="1"/>
  <c r="CN2075" i="1"/>
  <c r="CM2076" i="1"/>
  <c r="CN2076" i="1"/>
  <c r="CM2077" i="1"/>
  <c r="CN2077" i="1"/>
  <c r="CM2078" i="1"/>
  <c r="CN2078" i="1"/>
  <c r="CM2079" i="1"/>
  <c r="CN2079" i="1"/>
  <c r="CM2080" i="1"/>
  <c r="CN2080" i="1"/>
  <c r="CM2081" i="1"/>
  <c r="CN2081" i="1"/>
  <c r="CM2082" i="1"/>
  <c r="CN2082" i="1"/>
  <c r="CM2083" i="1"/>
  <c r="CN2083" i="1"/>
  <c r="CM2084" i="1"/>
  <c r="CN2084" i="1"/>
  <c r="CM2085" i="1"/>
  <c r="CN2085" i="1"/>
  <c r="CM2086" i="1"/>
  <c r="CN2086" i="1"/>
  <c r="CM2087" i="1"/>
  <c r="CN2087" i="1"/>
  <c r="CM2088" i="1"/>
  <c r="CN2088" i="1"/>
  <c r="CM2089" i="1"/>
  <c r="CN2089" i="1"/>
  <c r="CM2090" i="1"/>
  <c r="CN2090" i="1"/>
  <c r="CM2091" i="1"/>
  <c r="CN2091" i="1"/>
  <c r="CM2092" i="1"/>
  <c r="CN2092" i="1"/>
  <c r="CM2093" i="1"/>
  <c r="CN2093" i="1"/>
  <c r="CN2094" i="1"/>
  <c r="CN2016" i="1"/>
  <c r="CM2016" i="1"/>
  <c r="CR1318" i="1"/>
  <c r="N37" i="3"/>
  <c r="M37" i="3"/>
  <c r="CR2119" i="1" l="1"/>
  <c r="CS1326" i="1"/>
  <c r="CS1327" i="1"/>
  <c r="CS1328" i="1"/>
  <c r="CR1327" i="1"/>
  <c r="CR1328" i="1"/>
  <c r="CR1326" i="1"/>
  <c r="CS1318" i="1"/>
  <c r="CS1319" i="1"/>
  <c r="CS1320" i="1"/>
  <c r="CS1321" i="1"/>
  <c r="CR1319" i="1"/>
  <c r="CR1320" i="1"/>
  <c r="CR1321" i="1"/>
  <c r="R4560" i="1" l="1"/>
  <c r="R4561" i="1"/>
  <c r="R4562" i="1"/>
  <c r="R4563" i="1"/>
  <c r="R4564" i="1"/>
  <c r="P4560" i="1"/>
  <c r="P4561" i="1"/>
  <c r="P4562" i="1"/>
  <c r="P4563" i="1"/>
  <c r="P4564" i="1"/>
  <c r="N4564" i="1"/>
  <c r="M4564" i="1"/>
  <c r="N4563" i="1"/>
  <c r="M4563" i="1"/>
  <c r="N4562" i="1"/>
  <c r="M4562" i="1"/>
  <c r="N4561" i="1"/>
  <c r="M4561" i="1"/>
  <c r="N4560" i="1"/>
  <c r="M4560" i="1"/>
  <c r="N4559" i="1"/>
  <c r="M4559" i="1"/>
  <c r="R4558" i="1"/>
  <c r="P4558" i="1"/>
  <c r="N4558" i="1"/>
  <c r="M4558" i="1"/>
  <c r="R4557" i="1"/>
  <c r="P4557" i="1"/>
  <c r="N4557" i="1"/>
  <c r="M4557" i="1"/>
  <c r="R4556" i="1"/>
  <c r="P4556" i="1"/>
  <c r="N4556" i="1"/>
  <c r="M4556" i="1"/>
  <c r="R4555" i="1"/>
  <c r="P4555" i="1"/>
  <c r="N4555" i="1"/>
  <c r="M4555" i="1"/>
  <c r="R4554" i="1"/>
  <c r="P4554" i="1"/>
  <c r="N4554" i="1"/>
  <c r="M4554" i="1"/>
  <c r="R4553" i="1"/>
  <c r="P4553" i="1"/>
  <c r="N4553" i="1"/>
  <c r="M4553" i="1"/>
  <c r="R4552" i="1"/>
  <c r="P4552" i="1"/>
  <c r="N4552" i="1"/>
  <c r="M4552" i="1"/>
  <c r="R4551" i="1"/>
  <c r="P4551" i="1"/>
  <c r="N4551" i="1"/>
  <c r="M4551" i="1"/>
  <c r="R4550" i="1"/>
  <c r="P4550" i="1"/>
  <c r="N4550" i="1"/>
  <c r="M4550" i="1"/>
  <c r="R4549" i="1"/>
  <c r="P4549" i="1"/>
  <c r="N4549" i="1"/>
  <c r="M4549" i="1"/>
  <c r="R4548" i="1"/>
  <c r="P4548" i="1"/>
  <c r="N4548" i="1"/>
  <c r="M4548" i="1"/>
  <c r="R4547" i="1"/>
  <c r="P4547" i="1"/>
  <c r="N4547" i="1"/>
  <c r="M4547" i="1"/>
  <c r="P4559" i="1"/>
  <c r="P4540" i="1"/>
  <c r="R4540" i="1"/>
  <c r="P4541" i="1"/>
  <c r="R4541" i="1"/>
  <c r="P4542" i="1"/>
  <c r="R4542" i="1"/>
  <c r="P4543" i="1"/>
  <c r="R4543" i="1"/>
  <c r="P4544" i="1"/>
  <c r="R4544" i="1"/>
  <c r="P4545" i="1"/>
  <c r="R4545" i="1"/>
  <c r="P4546" i="1"/>
  <c r="R4546" i="1"/>
  <c r="R4539" i="1"/>
  <c r="R4538" i="1"/>
  <c r="P4539" i="1"/>
  <c r="P4538" i="1"/>
  <c r="P4529" i="1"/>
  <c r="R4529" i="1"/>
  <c r="P4530" i="1"/>
  <c r="R4530" i="1"/>
  <c r="P4531" i="1"/>
  <c r="R4531" i="1"/>
  <c r="P4532" i="1"/>
  <c r="R4532" i="1"/>
  <c r="P4533" i="1"/>
  <c r="R4533" i="1"/>
  <c r="P4534" i="1"/>
  <c r="R4534" i="1"/>
  <c r="P4535" i="1"/>
  <c r="R4535" i="1"/>
  <c r="P4536" i="1"/>
  <c r="R4536" i="1"/>
  <c r="P4537" i="1"/>
  <c r="R4537" i="1"/>
  <c r="R4528" i="1"/>
  <c r="P4528" i="1"/>
  <c r="R4527" i="1"/>
  <c r="P4527" i="1"/>
  <c r="P4517" i="1"/>
  <c r="R4517" i="1"/>
  <c r="P4518" i="1"/>
  <c r="R4518" i="1"/>
  <c r="P4519" i="1"/>
  <c r="R4519" i="1"/>
  <c r="P4520" i="1"/>
  <c r="R4520" i="1"/>
  <c r="P4521" i="1"/>
  <c r="R4521" i="1"/>
  <c r="P4522" i="1"/>
  <c r="R4522" i="1"/>
  <c r="P4523" i="1"/>
  <c r="R4523" i="1"/>
  <c r="P4524" i="1"/>
  <c r="R4524" i="1"/>
  <c r="P4525" i="1"/>
  <c r="R4525" i="1"/>
  <c r="P4526" i="1"/>
  <c r="R4526" i="1"/>
  <c r="R4516" i="1"/>
  <c r="P4516" i="1"/>
  <c r="R4515" i="1"/>
  <c r="P4515" i="1"/>
  <c r="P4514" i="1"/>
  <c r="P4513" i="1"/>
  <c r="P4512" i="1"/>
  <c r="P4511" i="1"/>
  <c r="P4510" i="1"/>
  <c r="P4509" i="1"/>
  <c r="P4508" i="1"/>
  <c r="P4507" i="1"/>
  <c r="R4559" i="1"/>
  <c r="R4514" i="1"/>
  <c r="R4513" i="1"/>
  <c r="R4512" i="1"/>
  <c r="R4511" i="1"/>
  <c r="R4510" i="1"/>
  <c r="R4509" i="1"/>
  <c r="R4508" i="1"/>
  <c r="R4507" i="1"/>
  <c r="N4546" i="1" l="1"/>
  <c r="M4546" i="1"/>
  <c r="N4545" i="1"/>
  <c r="M4545" i="1"/>
  <c r="N4544" i="1"/>
  <c r="M4544" i="1"/>
  <c r="N4543" i="1"/>
  <c r="M4543" i="1"/>
  <c r="N4542" i="1"/>
  <c r="M4542" i="1"/>
  <c r="N4541" i="1"/>
  <c r="M4541" i="1"/>
  <c r="N4540" i="1"/>
  <c r="M4540" i="1"/>
  <c r="N4539" i="1"/>
  <c r="M4539" i="1"/>
  <c r="N4538" i="1"/>
  <c r="M4538" i="1"/>
  <c r="N4537" i="1"/>
  <c r="M4537" i="1"/>
  <c r="N4536" i="1"/>
  <c r="M4536" i="1"/>
  <c r="N4535" i="1"/>
  <c r="M4535" i="1"/>
  <c r="N4534" i="1"/>
  <c r="M4534" i="1"/>
  <c r="N4533" i="1"/>
  <c r="M4533" i="1"/>
  <c r="N4532" i="1"/>
  <c r="M4532" i="1"/>
  <c r="N4531" i="1"/>
  <c r="M4531" i="1"/>
  <c r="N4530" i="1"/>
  <c r="M4530" i="1"/>
  <c r="N4529" i="1"/>
  <c r="M4529" i="1"/>
  <c r="N4528" i="1"/>
  <c r="M4528" i="1"/>
  <c r="N4527" i="1"/>
  <c r="M4527" i="1"/>
  <c r="N4526" i="1"/>
  <c r="M4526" i="1"/>
  <c r="N4525" i="1"/>
  <c r="M4525" i="1"/>
  <c r="N4524" i="1"/>
  <c r="M4524" i="1"/>
  <c r="N4523" i="1"/>
  <c r="M4523" i="1"/>
  <c r="N4522" i="1"/>
  <c r="M4522" i="1"/>
  <c r="N4521" i="1"/>
  <c r="M4521" i="1"/>
  <c r="N4520" i="1"/>
  <c r="M4520" i="1"/>
  <c r="N4519" i="1"/>
  <c r="M4519" i="1"/>
  <c r="N4518" i="1"/>
  <c r="M4518" i="1"/>
  <c r="N4517" i="1"/>
  <c r="M4517" i="1"/>
  <c r="N4516" i="1"/>
  <c r="M4516" i="1"/>
  <c r="N4515" i="1"/>
  <c r="M4515" i="1"/>
  <c r="CK4508" i="1"/>
  <c r="CK4507" i="1"/>
  <c r="CJ4508" i="1"/>
  <c r="CJ4507" i="1"/>
  <c r="N4514" i="1"/>
  <c r="M4514" i="1"/>
  <c r="N4513" i="1"/>
  <c r="M4513" i="1"/>
  <c r="N4512" i="1"/>
  <c r="M4512" i="1"/>
  <c r="N4511" i="1"/>
  <c r="M4511" i="1"/>
  <c r="N4510" i="1"/>
  <c r="M4510" i="1"/>
  <c r="N4509" i="1"/>
  <c r="M4509" i="1"/>
  <c r="N4508" i="1"/>
  <c r="M4508" i="1"/>
  <c r="N4507" i="1" l="1"/>
  <c r="M4507" i="1"/>
  <c r="N4506" i="1"/>
  <c r="M4506" i="1"/>
  <c r="N4505" i="1"/>
  <c r="M4505" i="1"/>
  <c r="N4504" i="1"/>
  <c r="M4504" i="1"/>
  <c r="N4503" i="1"/>
  <c r="M4503" i="1"/>
  <c r="N4502" i="1"/>
  <c r="M4502" i="1"/>
  <c r="N4501" i="1"/>
  <c r="M4501" i="1"/>
  <c r="N4500" i="1"/>
  <c r="M4500" i="1"/>
  <c r="N4499" i="1"/>
  <c r="M4499" i="1"/>
  <c r="N4498" i="1"/>
  <c r="M4498" i="1"/>
  <c r="N4497" i="1"/>
  <c r="M4497" i="1"/>
  <c r="N4496" i="1"/>
  <c r="M4496" i="1"/>
  <c r="N4495" i="1"/>
  <c r="M4495" i="1"/>
  <c r="N4494" i="1"/>
  <c r="M4494" i="1"/>
  <c r="N4493" i="1"/>
  <c r="M4493" i="1"/>
  <c r="N4492" i="1"/>
  <c r="M4492" i="1"/>
  <c r="N4491" i="1"/>
  <c r="M4491" i="1"/>
  <c r="N4490" i="1"/>
  <c r="M4490" i="1"/>
  <c r="N4489" i="1"/>
  <c r="M4489" i="1"/>
  <c r="N4488" i="1"/>
  <c r="M4488" i="1"/>
  <c r="N4487" i="1"/>
  <c r="M4487" i="1"/>
  <c r="N4486" i="1"/>
  <c r="M4486" i="1"/>
  <c r="N4485" i="1"/>
  <c r="M4485" i="1"/>
  <c r="N4484" i="1"/>
  <c r="M4484" i="1"/>
  <c r="N4483" i="1"/>
  <c r="M4483" i="1"/>
  <c r="N4482" i="1"/>
  <c r="M4482" i="1"/>
  <c r="N4481" i="1"/>
  <c r="M4481" i="1"/>
  <c r="N4480" i="1"/>
  <c r="M4480" i="1"/>
  <c r="N4479" i="1"/>
  <c r="M4479" i="1"/>
  <c r="N4478" i="1"/>
  <c r="M4478" i="1"/>
  <c r="N4477" i="1"/>
  <c r="M4477" i="1"/>
  <c r="N4476" i="1"/>
  <c r="M4476" i="1"/>
  <c r="N4475" i="1"/>
  <c r="M4475" i="1"/>
  <c r="N4474" i="1"/>
  <c r="M4474" i="1"/>
  <c r="N4473" i="1"/>
  <c r="M4473" i="1"/>
  <c r="N4472" i="1"/>
  <c r="M4472" i="1"/>
  <c r="N4471" i="1"/>
  <c r="M4471" i="1"/>
  <c r="DE4470" i="1"/>
  <c r="DE4469" i="1"/>
  <c r="DE4468" i="1"/>
  <c r="DE4467" i="1"/>
  <c r="DE4466" i="1"/>
  <c r="DE4465" i="1"/>
  <c r="DE4464" i="1"/>
  <c r="DE4463" i="1"/>
  <c r="DE4462" i="1"/>
  <c r="DE4461" i="1"/>
  <c r="DE4451" i="1"/>
  <c r="DD4461" i="1"/>
  <c r="DE4450" i="1"/>
  <c r="DE4449" i="1"/>
  <c r="DE4448" i="1"/>
  <c r="DE4447" i="1"/>
  <c r="DE4446" i="1"/>
  <c r="DE4445" i="1"/>
  <c r="DE4444" i="1"/>
  <c r="DE4443" i="1"/>
  <c r="DE4442" i="1"/>
  <c r="DE4441" i="1"/>
  <c r="DD4441" i="1"/>
  <c r="DE4440" i="1"/>
  <c r="DE4439" i="1"/>
  <c r="DE4438" i="1"/>
  <c r="DE4437" i="1"/>
  <c r="DE4436" i="1"/>
  <c r="DE4435" i="1"/>
  <c r="DE4434" i="1"/>
  <c r="DE4433" i="1"/>
  <c r="DE4432" i="1"/>
  <c r="DE4431" i="1"/>
  <c r="DE4430" i="1"/>
  <c r="DE4429" i="1"/>
  <c r="DE4428" i="1"/>
  <c r="DE4427" i="1"/>
  <c r="DE4426" i="1"/>
  <c r="DE4425" i="1"/>
  <c r="DE4424" i="1"/>
  <c r="DE4423" i="1"/>
  <c r="DE4422" i="1"/>
  <c r="DE4421" i="1"/>
  <c r="DE4420" i="1"/>
  <c r="DE4419" i="1"/>
  <c r="DE4418" i="1"/>
  <c r="DE4417" i="1"/>
  <c r="DE4416" i="1"/>
  <c r="DE4415" i="1"/>
  <c r="DE4414" i="1"/>
  <c r="DE4413" i="1"/>
  <c r="DE4412" i="1"/>
  <c r="DE4411" i="1"/>
  <c r="DD4440" i="1"/>
  <c r="DD4439" i="1"/>
  <c r="DD4438" i="1"/>
  <c r="DD4437" i="1"/>
  <c r="DD4436" i="1"/>
  <c r="DD4435" i="1"/>
  <c r="DD4434" i="1"/>
  <c r="DD4433" i="1"/>
  <c r="DD4432" i="1"/>
  <c r="DD4431" i="1"/>
  <c r="DD4420" i="1"/>
  <c r="DD4419" i="1"/>
  <c r="DD4418" i="1"/>
  <c r="DD4417" i="1"/>
  <c r="DD4416" i="1"/>
  <c r="DD4415" i="1"/>
  <c r="DD4414" i="1"/>
  <c r="DD4413" i="1"/>
  <c r="DD4412" i="1"/>
  <c r="DD4411" i="1"/>
  <c r="N4470" i="1"/>
  <c r="M4470" i="1"/>
  <c r="N4469" i="1"/>
  <c r="M4469" i="1"/>
  <c r="N4468" i="1"/>
  <c r="M4468" i="1"/>
  <c r="N4467" i="1"/>
  <c r="M4467" i="1"/>
  <c r="N4466" i="1"/>
  <c r="M4466" i="1"/>
  <c r="N4465" i="1"/>
  <c r="M4465" i="1"/>
  <c r="N4464" i="1"/>
  <c r="M4464" i="1"/>
  <c r="N4463" i="1"/>
  <c r="M4463" i="1"/>
  <c r="N4462" i="1"/>
  <c r="M4462" i="1"/>
  <c r="N4461" i="1"/>
  <c r="M4461" i="1"/>
  <c r="N4460" i="1"/>
  <c r="M4460" i="1"/>
  <c r="N4459" i="1"/>
  <c r="M4459" i="1"/>
  <c r="N4458" i="1"/>
  <c r="M4458" i="1"/>
  <c r="N4457" i="1"/>
  <c r="M4457" i="1"/>
  <c r="N4456" i="1"/>
  <c r="M4456" i="1"/>
  <c r="N4455" i="1"/>
  <c r="M4455" i="1"/>
  <c r="N4454" i="1"/>
  <c r="M4454" i="1"/>
  <c r="N4453" i="1"/>
  <c r="M4453" i="1"/>
  <c r="N4452" i="1"/>
  <c r="M4452" i="1"/>
  <c r="N4451" i="1"/>
  <c r="M4451" i="1"/>
  <c r="N4450" i="1"/>
  <c r="M4450" i="1"/>
  <c r="N4449" i="1"/>
  <c r="M4449" i="1"/>
  <c r="N4448" i="1"/>
  <c r="M4448" i="1"/>
  <c r="N4447" i="1"/>
  <c r="M4447" i="1"/>
  <c r="N4446" i="1"/>
  <c r="M4446" i="1"/>
  <c r="N4445" i="1"/>
  <c r="M4445" i="1"/>
  <c r="N4444" i="1"/>
  <c r="M4444" i="1"/>
  <c r="N4443" i="1"/>
  <c r="M4443" i="1"/>
  <c r="N4442" i="1"/>
  <c r="M4442" i="1"/>
  <c r="N4441" i="1"/>
  <c r="M4441" i="1"/>
  <c r="N4440" i="1"/>
  <c r="M4440" i="1"/>
  <c r="N4439" i="1"/>
  <c r="M4439" i="1"/>
  <c r="N4438" i="1"/>
  <c r="M4438" i="1"/>
  <c r="N4437" i="1"/>
  <c r="M4437" i="1"/>
  <c r="N4436" i="1"/>
  <c r="M4436" i="1"/>
  <c r="N4435" i="1"/>
  <c r="M4435" i="1"/>
  <c r="N4434" i="1"/>
  <c r="M4434" i="1"/>
  <c r="N4433" i="1"/>
  <c r="M4433" i="1"/>
  <c r="N4432" i="1"/>
  <c r="M4432" i="1"/>
  <c r="N4431" i="1"/>
  <c r="M4431" i="1"/>
  <c r="N4430" i="1"/>
  <c r="M4430" i="1"/>
  <c r="N4429" i="1"/>
  <c r="M4429" i="1"/>
  <c r="N4428" i="1"/>
  <c r="M4428" i="1"/>
  <c r="N4427" i="1"/>
  <c r="M4427" i="1"/>
  <c r="N4426" i="1"/>
  <c r="M4426" i="1"/>
  <c r="N4425" i="1"/>
  <c r="M4425" i="1"/>
  <c r="N4424" i="1"/>
  <c r="M4424" i="1"/>
  <c r="N4423" i="1"/>
  <c r="M4423" i="1"/>
  <c r="N4422" i="1"/>
  <c r="M4422" i="1"/>
  <c r="N4421" i="1"/>
  <c r="M4421" i="1"/>
  <c r="N4420" i="1"/>
  <c r="M4420" i="1"/>
  <c r="N4419" i="1"/>
  <c r="M4419" i="1"/>
  <c r="N4418" i="1"/>
  <c r="M4418" i="1"/>
  <c r="N4417" i="1"/>
  <c r="M4417" i="1"/>
  <c r="N4416" i="1"/>
  <c r="M4416" i="1"/>
  <c r="N4415" i="1"/>
  <c r="M4415" i="1"/>
  <c r="N4414" i="1"/>
  <c r="M4414" i="1"/>
  <c r="N4413" i="1"/>
  <c r="M4413" i="1"/>
  <c r="N4412" i="1"/>
  <c r="M4412" i="1"/>
  <c r="N4411" i="1"/>
  <c r="M4411" i="1"/>
  <c r="DE4410" i="1"/>
  <c r="DE4409" i="1"/>
  <c r="DE4408" i="1"/>
  <c r="DE4407" i="1"/>
  <c r="DE4406" i="1"/>
  <c r="DE4405" i="1"/>
  <c r="DE4404" i="1"/>
  <c r="DE4403" i="1"/>
  <c r="DE4402" i="1"/>
  <c r="DE4401" i="1"/>
  <c r="DE4392" i="1"/>
  <c r="DE4391" i="1"/>
  <c r="DE4390" i="1"/>
  <c r="DE4389" i="1"/>
  <c r="DE4388" i="1"/>
  <c r="DE4387" i="1"/>
  <c r="DE4386" i="1"/>
  <c r="DE4385" i="1"/>
  <c r="DE4384" i="1"/>
  <c r="DE4383" i="1"/>
  <c r="DE4382" i="1"/>
  <c r="DE4381" i="1"/>
  <c r="DD4410" i="1"/>
  <c r="DD4409" i="1"/>
  <c r="DD4408" i="1"/>
  <c r="DD4407" i="1"/>
  <c r="DD4406" i="1"/>
  <c r="DD4405" i="1"/>
  <c r="DD4404" i="1"/>
  <c r="DD4403" i="1"/>
  <c r="DD4402" i="1"/>
  <c r="DD4401" i="1"/>
  <c r="DD4390" i="1"/>
  <c r="DD4389" i="1"/>
  <c r="DD4388" i="1"/>
  <c r="DD4387" i="1"/>
  <c r="DD4386" i="1"/>
  <c r="DD4385" i="1"/>
  <c r="DD4384" i="1"/>
  <c r="DD4383" i="1"/>
  <c r="DD4382" i="1"/>
  <c r="DD4381" i="1"/>
  <c r="N4410" i="1"/>
  <c r="M4410" i="1"/>
  <c r="N4409" i="1"/>
  <c r="M4409" i="1"/>
  <c r="N4408" i="1"/>
  <c r="M4408" i="1"/>
  <c r="N4407" i="1"/>
  <c r="M4407" i="1"/>
  <c r="N4406" i="1"/>
  <c r="M4406" i="1"/>
  <c r="N4405" i="1"/>
  <c r="M4405" i="1"/>
  <c r="N4404" i="1"/>
  <c r="M4404" i="1"/>
  <c r="N4403" i="1"/>
  <c r="M4403" i="1"/>
  <c r="N4402" i="1"/>
  <c r="M4402" i="1"/>
  <c r="N4401" i="1"/>
  <c r="M4401" i="1"/>
  <c r="N4400" i="1"/>
  <c r="M4400" i="1"/>
  <c r="N4399" i="1"/>
  <c r="M4399" i="1"/>
  <c r="N4398" i="1"/>
  <c r="M4398" i="1"/>
  <c r="N4397" i="1"/>
  <c r="M4397" i="1"/>
  <c r="N4396" i="1"/>
  <c r="M4396" i="1"/>
  <c r="N4395" i="1"/>
  <c r="M4395" i="1"/>
  <c r="N4394" i="1"/>
  <c r="M4394" i="1"/>
  <c r="N4393" i="1"/>
  <c r="M4393" i="1"/>
  <c r="N4392" i="1"/>
  <c r="M4392" i="1"/>
  <c r="N4391" i="1"/>
  <c r="M4391" i="1"/>
  <c r="N4390" i="1"/>
  <c r="M4390" i="1"/>
  <c r="N4389" i="1"/>
  <c r="M4389" i="1"/>
  <c r="N4388" i="1"/>
  <c r="M4388" i="1"/>
  <c r="N4387" i="1"/>
  <c r="M4387" i="1"/>
  <c r="N4386" i="1"/>
  <c r="M4386" i="1"/>
  <c r="N4385" i="1"/>
  <c r="M4385" i="1"/>
  <c r="N4384" i="1"/>
  <c r="M4384" i="1"/>
  <c r="N4383" i="1"/>
  <c r="M4383" i="1"/>
  <c r="N4382" i="1"/>
  <c r="M4382" i="1"/>
  <c r="N4381" i="1"/>
  <c r="M4381" i="1"/>
  <c r="N4380" i="1"/>
  <c r="M4380" i="1"/>
  <c r="N4379" i="1"/>
  <c r="M4379" i="1"/>
  <c r="N4378" i="1"/>
  <c r="M4378" i="1"/>
  <c r="N4377" i="1"/>
  <c r="M4377" i="1"/>
  <c r="N4376" i="1"/>
  <c r="M4376" i="1"/>
  <c r="N4375" i="1"/>
  <c r="M4375" i="1"/>
  <c r="N4374" i="1"/>
  <c r="M4374" i="1"/>
  <c r="N4373" i="1"/>
  <c r="M4373" i="1"/>
  <c r="N4372" i="1"/>
  <c r="M4372" i="1"/>
  <c r="N4371" i="1"/>
  <c r="M4371" i="1"/>
  <c r="N4370" i="1"/>
  <c r="M4370" i="1"/>
  <c r="N4369" i="1" l="1"/>
  <c r="M4369" i="1"/>
  <c r="IE4363" i="1"/>
  <c r="IE4364" i="1"/>
  <c r="IE4365" i="1"/>
  <c r="IE4366" i="1"/>
  <c r="IE4367" i="1"/>
  <c r="IE4368" i="1"/>
  <c r="IF4367" i="1"/>
  <c r="IF4366" i="1"/>
  <c r="IF4365" i="1"/>
  <c r="IF4364" i="1"/>
  <c r="IF4363" i="1"/>
  <c r="IF4368" i="1"/>
  <c r="IF4360" i="1"/>
  <c r="IF4358" i="1"/>
  <c r="IF4357" i="1"/>
  <c r="IE4360" i="1"/>
  <c r="IE4359" i="1"/>
  <c r="IE4358" i="1"/>
  <c r="IE4357" i="1"/>
  <c r="IE4344" i="1"/>
  <c r="IE4343" i="1"/>
  <c r="IE4342" i="1"/>
  <c r="IE4341" i="1"/>
  <c r="IE4340" i="1"/>
  <c r="IE4339" i="1"/>
  <c r="IF4341" i="1"/>
  <c r="IF4340" i="1"/>
  <c r="IF4339" i="1"/>
  <c r="IF4353" i="1"/>
  <c r="IF4352" i="1"/>
  <c r="IF4337" i="1" l="1"/>
  <c r="IF4338" i="1"/>
  <c r="IF4336" i="1"/>
  <c r="IF4335" i="1"/>
  <c r="IF4334" i="1"/>
  <c r="IF4333" i="1"/>
  <c r="N4368" i="1"/>
  <c r="M4368" i="1"/>
  <c r="N4367" i="1"/>
  <c r="M4367" i="1"/>
  <c r="N4366" i="1"/>
  <c r="M4366" i="1"/>
  <c r="N4365" i="1"/>
  <c r="M4365" i="1"/>
  <c r="N4364" i="1"/>
  <c r="M4364" i="1"/>
  <c r="N4363" i="1"/>
  <c r="M4363" i="1"/>
  <c r="N4362" i="1"/>
  <c r="M4362" i="1"/>
  <c r="N4361" i="1"/>
  <c r="M4361" i="1"/>
  <c r="N4360" i="1"/>
  <c r="M4360" i="1"/>
  <c r="N4359" i="1"/>
  <c r="M4359" i="1"/>
  <c r="N4358" i="1"/>
  <c r="M4358" i="1"/>
  <c r="N4357" i="1"/>
  <c r="M4357" i="1"/>
  <c r="N4356" i="1"/>
  <c r="M4356" i="1"/>
  <c r="N4355" i="1"/>
  <c r="M4355" i="1"/>
  <c r="N4354" i="1"/>
  <c r="M4354" i="1"/>
  <c r="N4353" i="1"/>
  <c r="M4353" i="1"/>
  <c r="N4352" i="1"/>
  <c r="M4352" i="1"/>
  <c r="N4351" i="1"/>
  <c r="M4351" i="1"/>
  <c r="N4350" i="1"/>
  <c r="M4350" i="1"/>
  <c r="N4349" i="1"/>
  <c r="M4349" i="1"/>
  <c r="N4348" i="1"/>
  <c r="M4348" i="1"/>
  <c r="N4347" i="1"/>
  <c r="M4347" i="1"/>
  <c r="N4346" i="1"/>
  <c r="M4346" i="1"/>
  <c r="N4345" i="1"/>
  <c r="M4345" i="1"/>
  <c r="N4344" i="1"/>
  <c r="M4344" i="1"/>
  <c r="N4343" i="1"/>
  <c r="M4343" i="1"/>
  <c r="N4342" i="1"/>
  <c r="M4342" i="1"/>
  <c r="N4341" i="1"/>
  <c r="M4341" i="1"/>
  <c r="N4340" i="1"/>
  <c r="M4340" i="1"/>
  <c r="N4339" i="1"/>
  <c r="M4339" i="1"/>
  <c r="N4338" i="1"/>
  <c r="M4338" i="1"/>
  <c r="N4337" i="1"/>
  <c r="M4337" i="1"/>
  <c r="N4336" i="1"/>
  <c r="M4336" i="1"/>
  <c r="N4335" i="1"/>
  <c r="M4335" i="1"/>
  <c r="N4334" i="1"/>
  <c r="M4334" i="1"/>
  <c r="N4333" i="1"/>
  <c r="M4333" i="1"/>
  <c r="CF4332" i="1"/>
  <c r="CF4331" i="1"/>
  <c r="CF4330" i="1"/>
  <c r="CF4329" i="1"/>
  <c r="CE4332" i="1"/>
  <c r="CE4331" i="1"/>
  <c r="CE4330" i="1"/>
  <c r="CE4329" i="1"/>
  <c r="N4332" i="1"/>
  <c r="M4332" i="1"/>
  <c r="N4331" i="1"/>
  <c r="M4331" i="1"/>
  <c r="N4330" i="1"/>
  <c r="M4330" i="1"/>
  <c r="N4329" i="1"/>
  <c r="M4329" i="1"/>
  <c r="N4328" i="1" l="1"/>
  <c r="M4328" i="1"/>
  <c r="N4327" i="1"/>
  <c r="M4327" i="1"/>
  <c r="N4326" i="1"/>
  <c r="M4326" i="1"/>
  <c r="N4325" i="1"/>
  <c r="M4325" i="1"/>
  <c r="N4324" i="1"/>
  <c r="M4324" i="1"/>
  <c r="N4323" i="1"/>
  <c r="M4323" i="1"/>
  <c r="N4322" i="1"/>
  <c r="M4322" i="1"/>
  <c r="N4321" i="1"/>
  <c r="M4321" i="1"/>
  <c r="FW4314" i="1"/>
  <c r="FW4317" i="1"/>
  <c r="FV4314" i="1"/>
  <c r="FV4315" i="1"/>
  <c r="FV4316" i="1"/>
  <c r="FV4313" i="1"/>
  <c r="FV4318" i="1"/>
  <c r="FV4319" i="1"/>
  <c r="FV4320" i="1"/>
  <c r="FV4317" i="1"/>
  <c r="CF4316" i="1"/>
  <c r="CF4315" i="1"/>
  <c r="CF4314" i="1"/>
  <c r="CF4313" i="1"/>
  <c r="CE4314" i="1"/>
  <c r="CE4315" i="1"/>
  <c r="CE4316" i="1"/>
  <c r="CE4313" i="1"/>
  <c r="CF4320" i="1"/>
  <c r="CF4319" i="1"/>
  <c r="CF4318" i="1"/>
  <c r="CF4317" i="1"/>
  <c r="CE4318" i="1"/>
  <c r="CE4319" i="1"/>
  <c r="CE4320" i="1"/>
  <c r="CE4317" i="1"/>
  <c r="CF4311" i="1"/>
  <c r="CE4311" i="1"/>
  <c r="CC4311" i="1"/>
  <c r="CB4311" i="1"/>
  <c r="N4316" i="1"/>
  <c r="M4316" i="1"/>
  <c r="N4315" i="1"/>
  <c r="M4315" i="1"/>
  <c r="N4314" i="1"/>
  <c r="M4314" i="1"/>
  <c r="N4313" i="1"/>
  <c r="M4313" i="1"/>
  <c r="N4320" i="1"/>
  <c r="M4320" i="1"/>
  <c r="N4319" i="1"/>
  <c r="M4319" i="1"/>
  <c r="N4318" i="1"/>
  <c r="M4318" i="1"/>
  <c r="N4317" i="1"/>
  <c r="M4317" i="1"/>
  <c r="R4312" i="1"/>
  <c r="R4311" i="1"/>
  <c r="P4312" i="1"/>
  <c r="P4311" i="1"/>
  <c r="DE4312" i="1"/>
  <c r="DE4311" i="1"/>
  <c r="DD4312" i="1"/>
  <c r="DD4311" i="1"/>
  <c r="HQ4312" i="1"/>
  <c r="HQ4311" i="1"/>
  <c r="IK4311" i="1"/>
  <c r="IJ4311" i="1"/>
  <c r="HP4312" i="1"/>
  <c r="HP4311" i="1"/>
  <c r="N4312" i="1"/>
  <c r="M4312" i="1"/>
  <c r="N4311" i="1"/>
  <c r="M4311" i="1"/>
  <c r="CR2123" i="1"/>
  <c r="CS2123" i="1"/>
  <c r="CR2124" i="1"/>
  <c r="CS2124" i="1"/>
  <c r="CR2125" i="1"/>
  <c r="CS2125" i="1"/>
  <c r="CR2126" i="1"/>
  <c r="CS2126" i="1"/>
  <c r="CS2120" i="1"/>
  <c r="CS2121" i="1"/>
  <c r="CS2122" i="1"/>
  <c r="CS2119" i="1"/>
  <c r="CR2120" i="1"/>
  <c r="CR2121" i="1"/>
  <c r="CR2122" i="1"/>
  <c r="CS1423" i="1" l="1"/>
  <c r="CN1423" i="1" s="1"/>
  <c r="CS1422" i="1"/>
  <c r="CN1422" i="1" s="1"/>
  <c r="CS1421" i="1"/>
  <c r="CN1421" i="1" s="1"/>
  <c r="CS1418" i="1"/>
  <c r="CN1418" i="1" s="1"/>
  <c r="CS1417" i="1"/>
  <c r="CN1417" i="1" s="1"/>
  <c r="CS1416" i="1"/>
  <c r="CN1416" i="1" s="1"/>
  <c r="CR1423" i="1"/>
  <c r="CM1423" i="1" s="1"/>
  <c r="CR1422" i="1"/>
  <c r="CM1422" i="1" s="1"/>
  <c r="CR1421" i="1"/>
  <c r="CM1421" i="1" s="1"/>
  <c r="CR1418" i="1"/>
  <c r="CM1418" i="1" s="1"/>
  <c r="CR1417" i="1"/>
  <c r="CM1417" i="1" s="1"/>
  <c r="CR1416" i="1"/>
  <c r="CM1416" i="1" s="1"/>
  <c r="CR799" i="1"/>
  <c r="CR798" i="1"/>
  <c r="CR797" i="1"/>
  <c r="CR796" i="1"/>
  <c r="CR795" i="1"/>
  <c r="CS173" i="1"/>
  <c r="CN173" i="1" s="1"/>
  <c r="CS172" i="1"/>
  <c r="CN172" i="1" s="1"/>
  <c r="CS171" i="1"/>
  <c r="CN171" i="1" s="1"/>
  <c r="CS170" i="1"/>
  <c r="CN170" i="1" s="1"/>
  <c r="CS169" i="1"/>
  <c r="CN169" i="1" s="1"/>
  <c r="CS168" i="1"/>
  <c r="CN168" i="1" s="1"/>
  <c r="CS167" i="1"/>
  <c r="CN167" i="1" s="1"/>
  <c r="CS166" i="1"/>
  <c r="CN166" i="1" s="1"/>
  <c r="CS165" i="1"/>
  <c r="CN165" i="1" s="1"/>
  <c r="CS164" i="1"/>
  <c r="CN164" i="1" s="1"/>
  <c r="CS163" i="1"/>
  <c r="CN163" i="1" s="1"/>
  <c r="CS162" i="1"/>
  <c r="CN162" i="1" s="1"/>
  <c r="CS161" i="1"/>
  <c r="CN161" i="1" s="1"/>
  <c r="CS160" i="1"/>
  <c r="CN160" i="1" s="1"/>
  <c r="CS159" i="1"/>
  <c r="CN159" i="1" s="1"/>
  <c r="CS158" i="1"/>
  <c r="CN158" i="1" s="1"/>
  <c r="CS157" i="1"/>
  <c r="CN157" i="1" s="1"/>
  <c r="CS156" i="1"/>
  <c r="CN156" i="1" s="1"/>
  <c r="CS155" i="1"/>
  <c r="CN155" i="1" s="1"/>
  <c r="CS154" i="1"/>
  <c r="CN154" i="1" s="1"/>
  <c r="CR173" i="1"/>
  <c r="CM173" i="1" s="1"/>
  <c r="CR172" i="1"/>
  <c r="CM172" i="1" s="1"/>
  <c r="CR171" i="1"/>
  <c r="CM171" i="1" s="1"/>
  <c r="CR169" i="1"/>
  <c r="CM169" i="1" s="1"/>
  <c r="CR170" i="1"/>
  <c r="CM170" i="1" s="1"/>
  <c r="CR168" i="1"/>
  <c r="CM168" i="1" s="1"/>
  <c r="CR167" i="1"/>
  <c r="CM167" i="1" s="1"/>
  <c r="CR166" i="1"/>
  <c r="CM166" i="1" s="1"/>
  <c r="CR165" i="1"/>
  <c r="CM165" i="1" s="1"/>
  <c r="CR164" i="1"/>
  <c r="CM164" i="1" s="1"/>
  <c r="CR163" i="1"/>
  <c r="CM163" i="1" s="1"/>
  <c r="CR162" i="1"/>
  <c r="CM162" i="1" s="1"/>
  <c r="CR161" i="1"/>
  <c r="CM161" i="1" s="1"/>
  <c r="CR160" i="1"/>
  <c r="CM160" i="1" s="1"/>
  <c r="CR159" i="1"/>
  <c r="CM159" i="1" s="1"/>
  <c r="CR158" i="1"/>
  <c r="CM158" i="1" s="1"/>
  <c r="CR157" i="1"/>
  <c r="CM157" i="1" s="1"/>
  <c r="CR156" i="1"/>
  <c r="CM156" i="1" s="1"/>
  <c r="CR155" i="1"/>
  <c r="CM155" i="1" s="1"/>
  <c r="CR154" i="1"/>
  <c r="CM154" i="1" s="1"/>
  <c r="M2565" i="1"/>
  <c r="N2565" i="1"/>
  <c r="M2566" i="1"/>
  <c r="N2566" i="1"/>
  <c r="GD4310" i="1"/>
  <c r="GD4309" i="1"/>
  <c r="GD4308" i="1"/>
  <c r="GD4307" i="1"/>
  <c r="GD4306" i="1"/>
  <c r="GD4305" i="1"/>
  <c r="GD4304" i="1"/>
  <c r="GD4303" i="1"/>
  <c r="GD4302" i="1"/>
  <c r="GD4301" i="1"/>
  <c r="GD4300" i="1"/>
  <c r="GD4299" i="1"/>
  <c r="GD4298" i="1"/>
  <c r="GD4297" i="1"/>
  <c r="GD4296" i="1"/>
  <c r="GD4295" i="1"/>
  <c r="GD4294" i="1"/>
  <c r="GD4293" i="1"/>
  <c r="GD4292" i="1"/>
  <c r="GD4291" i="1"/>
  <c r="GD4290" i="1"/>
  <c r="GD4289" i="1"/>
  <c r="GD4288" i="1"/>
  <c r="GD4287" i="1"/>
  <c r="GD4286" i="1"/>
  <c r="GD4285" i="1"/>
  <c r="GD4284" i="1"/>
  <c r="GD4283" i="1"/>
  <c r="GD4282" i="1"/>
  <c r="GD4281" i="1"/>
  <c r="GD4280" i="1"/>
  <c r="GD4279" i="1"/>
  <c r="GD4278" i="1"/>
  <c r="GD4277" i="1"/>
  <c r="GD4276" i="1"/>
  <c r="GE4270" i="1"/>
  <c r="GE4269" i="1"/>
  <c r="GE4268" i="1"/>
  <c r="GE4267" i="1"/>
  <c r="GE4266" i="1"/>
  <c r="GE4310" i="1"/>
  <c r="GE4309" i="1"/>
  <c r="GE4308" i="1"/>
  <c r="GE4307" i="1"/>
  <c r="GE4306" i="1"/>
  <c r="GE4305" i="1"/>
  <c r="GE4304" i="1"/>
  <c r="GE4303" i="1"/>
  <c r="GE4302" i="1"/>
  <c r="GE4301" i="1"/>
  <c r="GE4300" i="1"/>
  <c r="GE4299" i="1"/>
  <c r="GE4298" i="1"/>
  <c r="GE4297" i="1"/>
  <c r="GE4296" i="1"/>
  <c r="GE4295" i="1"/>
  <c r="GE4294" i="1"/>
  <c r="GE4293" i="1"/>
  <c r="GE4292" i="1"/>
  <c r="GE4291" i="1"/>
  <c r="GE4290" i="1"/>
  <c r="GE4289" i="1"/>
  <c r="GE4288" i="1"/>
  <c r="GE4287" i="1"/>
  <c r="GE4286" i="1"/>
  <c r="GE4285" i="1"/>
  <c r="GE4284" i="1"/>
  <c r="GE4283" i="1"/>
  <c r="GE4282" i="1"/>
  <c r="GE4281" i="1"/>
  <c r="GE4280" i="1"/>
  <c r="GE4279" i="1"/>
  <c r="GE4278" i="1"/>
  <c r="GE4277" i="1"/>
  <c r="GE4276" i="1"/>
  <c r="GD4270" i="1"/>
  <c r="GD4269" i="1"/>
  <c r="GD4268" i="1"/>
  <c r="GD4267" i="1"/>
  <c r="GD4266" i="1"/>
  <c r="C7" i="3"/>
  <c r="AD4310" i="1"/>
  <c r="N4310" i="1"/>
  <c r="M4310" i="1"/>
  <c r="AD4309" i="1"/>
  <c r="N4309" i="1"/>
  <c r="M4309" i="1"/>
  <c r="AD4308" i="1"/>
  <c r="N4308" i="1"/>
  <c r="M4308" i="1"/>
  <c r="AD4307" i="1"/>
  <c r="N4307" i="1"/>
  <c r="M4307" i="1"/>
  <c r="AD4306" i="1"/>
  <c r="N4306" i="1"/>
  <c r="M4306" i="1"/>
  <c r="AD4295" i="1"/>
  <c r="N4295" i="1"/>
  <c r="M4295" i="1"/>
  <c r="AD4294" i="1"/>
  <c r="N4294" i="1"/>
  <c r="M4294" i="1"/>
  <c r="AD4293" i="1"/>
  <c r="N4293" i="1"/>
  <c r="M4293" i="1"/>
  <c r="AD4292" i="1"/>
  <c r="N4292" i="1"/>
  <c r="M4292" i="1"/>
  <c r="AD4291" i="1"/>
  <c r="N4291" i="1"/>
  <c r="M4291" i="1"/>
  <c r="AD4280" i="1"/>
  <c r="N4280" i="1"/>
  <c r="M4280" i="1"/>
  <c r="AD4279" i="1"/>
  <c r="N4279" i="1"/>
  <c r="M4279" i="1"/>
  <c r="AD4278" i="1"/>
  <c r="N4278" i="1"/>
  <c r="M4278" i="1"/>
  <c r="AD4277" i="1"/>
  <c r="N4277" i="1"/>
  <c r="M4277" i="1"/>
  <c r="AD4276" i="1"/>
  <c r="N4276" i="1"/>
  <c r="M4276" i="1"/>
  <c r="AD4305" i="1"/>
  <c r="N4305" i="1"/>
  <c r="M4305" i="1"/>
  <c r="AD4304" i="1"/>
  <c r="N4304" i="1"/>
  <c r="M4304" i="1"/>
  <c r="AD4303" i="1"/>
  <c r="N4303" i="1"/>
  <c r="M4303" i="1"/>
  <c r="AD4302" i="1"/>
  <c r="N4302" i="1"/>
  <c r="M4302" i="1"/>
  <c r="AD4301" i="1"/>
  <c r="N4301" i="1"/>
  <c r="M4301" i="1"/>
  <c r="AD4300" i="1"/>
  <c r="N4300" i="1"/>
  <c r="M4300" i="1"/>
  <c r="AD4299" i="1"/>
  <c r="N4299" i="1"/>
  <c r="M4299" i="1"/>
  <c r="AD4298" i="1"/>
  <c r="N4298" i="1"/>
  <c r="M4298" i="1"/>
  <c r="AD4297" i="1"/>
  <c r="N4297" i="1"/>
  <c r="M4297" i="1"/>
  <c r="AD4296" i="1"/>
  <c r="N4296" i="1"/>
  <c r="M4296" i="1"/>
  <c r="N4290" i="1"/>
  <c r="M4290" i="1"/>
  <c r="N4289" i="1"/>
  <c r="M4289" i="1"/>
  <c r="N4288" i="1"/>
  <c r="M4288" i="1"/>
  <c r="N4287" i="1"/>
  <c r="M4287" i="1"/>
  <c r="N4286" i="1"/>
  <c r="M4286" i="1"/>
  <c r="N4285" i="1"/>
  <c r="M4285" i="1"/>
  <c r="N4284" i="1"/>
  <c r="M4284" i="1"/>
  <c r="N4283" i="1"/>
  <c r="M4283" i="1"/>
  <c r="N4282" i="1"/>
  <c r="M4282" i="1"/>
  <c r="N4281" i="1"/>
  <c r="M4281" i="1"/>
  <c r="AD4275" i="1"/>
  <c r="N4275" i="1"/>
  <c r="M4275" i="1"/>
  <c r="AD4274" i="1"/>
  <c r="N4274" i="1"/>
  <c r="M4274" i="1"/>
  <c r="AD4273" i="1"/>
  <c r="N4273" i="1"/>
  <c r="M4273" i="1"/>
  <c r="AD4272" i="1"/>
  <c r="N4272" i="1"/>
  <c r="M4272" i="1"/>
  <c r="AD4271" i="1"/>
  <c r="N4271" i="1"/>
  <c r="M4271" i="1"/>
  <c r="AD4270" i="1"/>
  <c r="N4270" i="1"/>
  <c r="M4270" i="1"/>
  <c r="AD4269" i="1"/>
  <c r="N4269" i="1"/>
  <c r="M4269" i="1"/>
  <c r="AD4268" i="1"/>
  <c r="N4268" i="1"/>
  <c r="M4268" i="1"/>
  <c r="AD4267" i="1"/>
  <c r="N4267" i="1"/>
  <c r="M4267" i="1"/>
  <c r="AD4266" i="1"/>
  <c r="N4266" i="1"/>
  <c r="M4266" i="1"/>
  <c r="CE4223" i="1" l="1"/>
  <c r="CE4222" i="1"/>
  <c r="CE4219" i="1"/>
  <c r="CE4218" i="1"/>
  <c r="CC4223" i="1"/>
  <c r="CC4222" i="1"/>
  <c r="CC4219" i="1"/>
  <c r="CC4218" i="1"/>
  <c r="CF4223" i="1"/>
  <c r="CB4223" i="1"/>
  <c r="CF4222" i="1"/>
  <c r="CB4222" i="1"/>
  <c r="CF4219" i="1"/>
  <c r="CB4219" i="1"/>
  <c r="CF4218" i="1"/>
  <c r="CB4218" i="1"/>
  <c r="IK4225" i="1"/>
  <c r="IK4224" i="1"/>
  <c r="IK4223" i="1"/>
  <c r="IK4222" i="1"/>
  <c r="IK4221" i="1"/>
  <c r="IK4220" i="1"/>
  <c r="IK4219" i="1"/>
  <c r="IK4218" i="1"/>
  <c r="IJ4220" i="1"/>
  <c r="IJ4221" i="1"/>
  <c r="II4225" i="1"/>
  <c r="II4224" i="1"/>
  <c r="II4223" i="1"/>
  <c r="II4222" i="1"/>
  <c r="II4221" i="1"/>
  <c r="II4220" i="1"/>
  <c r="II4219" i="1"/>
  <c r="II4218" i="1"/>
  <c r="IJ4225" i="1"/>
  <c r="IH4225" i="1"/>
  <c r="IJ4224" i="1"/>
  <c r="IH4224" i="1"/>
  <c r="IJ4223" i="1"/>
  <c r="IH4223" i="1"/>
  <c r="IJ4222" i="1"/>
  <c r="IH4222" i="1"/>
  <c r="IH4221" i="1"/>
  <c r="IH4220" i="1"/>
  <c r="IJ4219" i="1"/>
  <c r="IH4219" i="1"/>
  <c r="IJ4218" i="1"/>
  <c r="IH4218" i="1"/>
  <c r="JC4225" i="1"/>
  <c r="JC4224" i="1"/>
  <c r="JC4223" i="1"/>
  <c r="JC4222" i="1"/>
  <c r="JE4225" i="1"/>
  <c r="JE4224" i="1"/>
  <c r="JE4223" i="1"/>
  <c r="JE4222" i="1"/>
  <c r="JE4221" i="1"/>
  <c r="JE4220" i="1"/>
  <c r="JE4219" i="1"/>
  <c r="JE4218" i="1"/>
  <c r="JC4221" i="1"/>
  <c r="JC4220" i="1"/>
  <c r="JC4219" i="1"/>
  <c r="JC4218" i="1"/>
  <c r="JB4218" i="1"/>
  <c r="JD4218" i="1"/>
  <c r="JB4219" i="1"/>
  <c r="JD4219" i="1"/>
  <c r="JB4220" i="1"/>
  <c r="JD4220" i="1"/>
  <c r="JB4221" i="1"/>
  <c r="JD4221" i="1"/>
  <c r="JB4222" i="1"/>
  <c r="JD4222" i="1"/>
  <c r="JB4223" i="1"/>
  <c r="JD4223" i="1"/>
  <c r="JB4224" i="1"/>
  <c r="JD4224" i="1"/>
  <c r="JB4225" i="1"/>
  <c r="JD4225" i="1"/>
  <c r="N4225" i="1"/>
  <c r="M4225" i="1"/>
  <c r="N4224" i="1"/>
  <c r="M4224" i="1"/>
  <c r="N4223" i="1"/>
  <c r="M4223" i="1"/>
  <c r="N4222" i="1"/>
  <c r="M4222" i="1"/>
  <c r="N4221" i="1"/>
  <c r="M4221" i="1"/>
  <c r="N4220" i="1"/>
  <c r="M4220" i="1"/>
  <c r="N4219" i="1"/>
  <c r="M4219" i="1"/>
  <c r="N4218" i="1"/>
  <c r="M4218" i="1"/>
  <c r="HQ4217" i="1" l="1"/>
  <c r="HQ4216" i="1"/>
  <c r="HQ4215" i="1"/>
  <c r="HQ4214" i="1"/>
  <c r="HQ4213" i="1"/>
  <c r="HQ4212" i="1"/>
  <c r="HQ4211" i="1"/>
  <c r="HQ4210" i="1"/>
  <c r="HQ4209" i="1"/>
  <c r="HQ4208" i="1"/>
  <c r="HQ4207" i="1"/>
  <c r="HQ4206" i="1"/>
  <c r="HQ4205" i="1"/>
  <c r="HQ4204" i="1"/>
  <c r="HQ4203" i="1"/>
  <c r="HQ4202" i="1"/>
  <c r="HQ4201" i="1"/>
  <c r="HQ4200" i="1"/>
  <c r="HQ4199" i="1"/>
  <c r="HQ4198" i="1"/>
  <c r="HQ4197" i="1"/>
  <c r="HQ4196" i="1"/>
  <c r="HQ4195" i="1"/>
  <c r="HQ4194" i="1"/>
  <c r="HP4217" i="1"/>
  <c r="HP4216" i="1"/>
  <c r="HP4215" i="1"/>
  <c r="HP4214" i="1"/>
  <c r="HP4213" i="1"/>
  <c r="HP4212" i="1"/>
  <c r="HP4211" i="1"/>
  <c r="HP4210" i="1"/>
  <c r="HP4209" i="1"/>
  <c r="HP4208" i="1"/>
  <c r="HP4207" i="1"/>
  <c r="HP4206" i="1"/>
  <c r="HP4205" i="1"/>
  <c r="HP4204" i="1"/>
  <c r="HP4203" i="1"/>
  <c r="HP4202" i="1"/>
  <c r="HP4201" i="1"/>
  <c r="HP4200" i="1"/>
  <c r="HP4199" i="1"/>
  <c r="HP4198" i="1"/>
  <c r="HP4197" i="1"/>
  <c r="HP4196" i="1"/>
  <c r="HP4195" i="1"/>
  <c r="HP4194" i="1"/>
  <c r="HL4217" i="1"/>
  <c r="HL4216" i="1"/>
  <c r="HL4215" i="1"/>
  <c r="HL4214" i="1"/>
  <c r="HL4213" i="1"/>
  <c r="HL4212" i="1"/>
  <c r="HL4211" i="1"/>
  <c r="HL4210" i="1"/>
  <c r="HL4209" i="1"/>
  <c r="HL4208" i="1"/>
  <c r="HL4207" i="1"/>
  <c r="HL4206" i="1"/>
  <c r="HL4205" i="1"/>
  <c r="HL4204" i="1"/>
  <c r="HL4203" i="1"/>
  <c r="HL4202" i="1"/>
  <c r="HL4201" i="1"/>
  <c r="HL4200" i="1"/>
  <c r="HL4199" i="1"/>
  <c r="HL4198" i="1"/>
  <c r="HL4197" i="1"/>
  <c r="HL4196" i="1"/>
  <c r="HL4195" i="1"/>
  <c r="HL4194" i="1"/>
  <c r="HK4217" i="1"/>
  <c r="HK4216" i="1"/>
  <c r="HK4215" i="1"/>
  <c r="HK4214" i="1"/>
  <c r="HK4213" i="1"/>
  <c r="HK4212" i="1"/>
  <c r="HK4211" i="1"/>
  <c r="HK4210" i="1"/>
  <c r="HK4209" i="1"/>
  <c r="HK4208" i="1"/>
  <c r="HK4207" i="1"/>
  <c r="HK4206" i="1"/>
  <c r="HK4205" i="1"/>
  <c r="HK4204" i="1"/>
  <c r="HK4203" i="1"/>
  <c r="HK4202" i="1"/>
  <c r="HK4201" i="1"/>
  <c r="HK4200" i="1"/>
  <c r="HK4199" i="1"/>
  <c r="HK4198" i="1"/>
  <c r="HK4197" i="1"/>
  <c r="HK4196" i="1"/>
  <c r="HK4195" i="1"/>
  <c r="HK4194" i="1"/>
  <c r="HV4217" i="1"/>
  <c r="HV4216" i="1"/>
  <c r="HV4215" i="1"/>
  <c r="HV4214" i="1"/>
  <c r="HV4213" i="1"/>
  <c r="HV4212" i="1"/>
  <c r="HV4211" i="1"/>
  <c r="HV4210" i="1"/>
  <c r="HV4209" i="1"/>
  <c r="HV4208" i="1"/>
  <c r="HV4207" i="1"/>
  <c r="HV4206" i="1"/>
  <c r="HV4205" i="1"/>
  <c r="HV4204" i="1"/>
  <c r="HV4203" i="1"/>
  <c r="HV4202" i="1"/>
  <c r="HV4201" i="1"/>
  <c r="HV4200" i="1"/>
  <c r="HV4199" i="1"/>
  <c r="HV4198" i="1"/>
  <c r="HV4197" i="1"/>
  <c r="HV4196" i="1"/>
  <c r="HV4195" i="1"/>
  <c r="HV4194" i="1"/>
  <c r="HU4217" i="1"/>
  <c r="HU4216" i="1"/>
  <c r="HU4215" i="1"/>
  <c r="HU4214" i="1"/>
  <c r="HU4213" i="1"/>
  <c r="HU4212" i="1"/>
  <c r="HU4211" i="1"/>
  <c r="HU4210" i="1"/>
  <c r="HU4209" i="1"/>
  <c r="HU4208" i="1"/>
  <c r="HU4207" i="1"/>
  <c r="HU4206" i="1"/>
  <c r="HU4205" i="1"/>
  <c r="HU4204" i="1"/>
  <c r="HU4203" i="1"/>
  <c r="HU4202" i="1"/>
  <c r="HU4201" i="1"/>
  <c r="HU4200" i="1"/>
  <c r="HU4199" i="1"/>
  <c r="HU4198" i="1"/>
  <c r="HU4197" i="1"/>
  <c r="HU4196" i="1"/>
  <c r="HU4195" i="1"/>
  <c r="HU4194" i="1"/>
  <c r="N4217" i="1"/>
  <c r="M4217" i="1"/>
  <c r="N4216" i="1"/>
  <c r="M4216" i="1"/>
  <c r="N4215" i="1"/>
  <c r="M4215" i="1"/>
  <c r="N4214" i="1"/>
  <c r="M4214" i="1"/>
  <c r="N4213" i="1"/>
  <c r="M4213" i="1"/>
  <c r="N4212" i="1"/>
  <c r="M4212" i="1"/>
  <c r="N4211" i="1"/>
  <c r="M4211" i="1"/>
  <c r="N4210" i="1"/>
  <c r="M4210" i="1"/>
  <c r="N4209" i="1"/>
  <c r="M4209" i="1"/>
  <c r="N4208" i="1"/>
  <c r="M4208" i="1"/>
  <c r="N4207" i="1"/>
  <c r="M4207" i="1"/>
  <c r="N4206" i="1"/>
  <c r="M4206" i="1"/>
  <c r="N4205" i="1"/>
  <c r="M4205" i="1"/>
  <c r="N4204" i="1"/>
  <c r="M4204" i="1"/>
  <c r="N4203" i="1"/>
  <c r="M4203" i="1"/>
  <c r="N4202" i="1"/>
  <c r="M4202" i="1"/>
  <c r="N4201" i="1"/>
  <c r="M4201" i="1"/>
  <c r="N4200" i="1"/>
  <c r="M4200" i="1"/>
  <c r="N4199" i="1"/>
  <c r="M4199" i="1"/>
  <c r="N4198" i="1"/>
  <c r="M4198" i="1"/>
  <c r="N4197" i="1"/>
  <c r="M4197" i="1"/>
  <c r="N4196" i="1"/>
  <c r="M4196" i="1"/>
  <c r="N4195" i="1"/>
  <c r="M4195" i="1"/>
  <c r="N4194" i="1"/>
  <c r="M4194" i="1"/>
  <c r="CF4191" i="1"/>
  <c r="CF4190" i="1"/>
  <c r="CF4187" i="1"/>
  <c r="CF4186" i="1"/>
  <c r="CE4191" i="1"/>
  <c r="CE4190" i="1"/>
  <c r="CE4187" i="1"/>
  <c r="CE4186" i="1"/>
  <c r="CC4191" i="1"/>
  <c r="CC4190" i="1"/>
  <c r="CC4187" i="1"/>
  <c r="CC4186" i="1"/>
  <c r="CB4191" i="1"/>
  <c r="CB4190" i="1"/>
  <c r="CB4187" i="1"/>
  <c r="CB4186" i="1"/>
  <c r="II4193" i="1"/>
  <c r="II4192" i="1"/>
  <c r="II4191" i="1"/>
  <c r="II4190" i="1"/>
  <c r="II4189" i="1"/>
  <c r="II4188" i="1"/>
  <c r="II4187" i="1"/>
  <c r="II4186" i="1"/>
  <c r="IH4193" i="1"/>
  <c r="IH4192" i="1"/>
  <c r="IH4191" i="1"/>
  <c r="IH4190" i="1"/>
  <c r="IH4189" i="1"/>
  <c r="IH4188" i="1"/>
  <c r="IH4187" i="1"/>
  <c r="IH4186" i="1"/>
  <c r="IK4193" i="1"/>
  <c r="IK4192" i="1"/>
  <c r="IK4191" i="1"/>
  <c r="IK4190" i="1"/>
  <c r="IK4189" i="1"/>
  <c r="IK4188" i="1"/>
  <c r="IK4187" i="1"/>
  <c r="IK4186" i="1"/>
  <c r="IJ4193" i="1"/>
  <c r="IJ4192" i="1"/>
  <c r="IJ4191" i="1"/>
  <c r="IJ4190" i="1"/>
  <c r="IJ4189" i="1"/>
  <c r="IJ4188" i="1"/>
  <c r="IJ4187" i="1"/>
  <c r="IJ4186" i="1"/>
  <c r="JE4193" i="1"/>
  <c r="JE4192" i="1"/>
  <c r="JE4191" i="1"/>
  <c r="JE4190" i="1"/>
  <c r="JE4189" i="1"/>
  <c r="JE4188" i="1"/>
  <c r="JE4187" i="1"/>
  <c r="JE4186" i="1"/>
  <c r="JD4193" i="1"/>
  <c r="JD4192" i="1"/>
  <c r="JD4191" i="1"/>
  <c r="JD4190" i="1"/>
  <c r="JD4189" i="1"/>
  <c r="JD4188" i="1"/>
  <c r="JD4187" i="1"/>
  <c r="JD4186" i="1"/>
  <c r="JC4193" i="1"/>
  <c r="JC4192" i="1"/>
  <c r="JC4191" i="1"/>
  <c r="JC4190" i="1"/>
  <c r="JC4189" i="1"/>
  <c r="JC4188" i="1"/>
  <c r="JC4187" i="1"/>
  <c r="JC4186" i="1"/>
  <c r="JB4193" i="1"/>
  <c r="JB4192" i="1"/>
  <c r="JB4191" i="1"/>
  <c r="JB4190" i="1"/>
  <c r="JB4189" i="1"/>
  <c r="JB4188" i="1"/>
  <c r="JB4187" i="1"/>
  <c r="JB4186" i="1"/>
  <c r="N4193" i="1"/>
  <c r="M4193" i="1"/>
  <c r="N4192" i="1"/>
  <c r="M4192" i="1"/>
  <c r="N4191" i="1"/>
  <c r="M4191" i="1"/>
  <c r="N4190" i="1"/>
  <c r="M4190" i="1"/>
  <c r="N4189" i="1"/>
  <c r="M4189" i="1"/>
  <c r="N4188" i="1"/>
  <c r="M4188" i="1"/>
  <c r="N4187" i="1"/>
  <c r="M4187" i="1"/>
  <c r="N4186" i="1"/>
  <c r="M4186" i="1"/>
  <c r="BS4145" i="1"/>
  <c r="BS4144" i="1"/>
  <c r="BS4143" i="1"/>
  <c r="BS4142" i="1"/>
  <c r="BS4141" i="1"/>
  <c r="BT4183" i="1"/>
  <c r="BT4184" i="1"/>
  <c r="BT4185" i="1"/>
  <c r="BT4182" i="1"/>
  <c r="BT4179" i="1"/>
  <c r="BT4180" i="1"/>
  <c r="BT4181" i="1"/>
  <c r="BT4178" i="1"/>
  <c r="BT4175" i="1"/>
  <c r="BT4176" i="1"/>
  <c r="BT4177" i="1"/>
  <c r="BT4174" i="1"/>
  <c r="BT4171" i="1"/>
  <c r="BT4172" i="1"/>
  <c r="BT4173" i="1"/>
  <c r="BT4170" i="1"/>
  <c r="BT4167" i="1"/>
  <c r="BT4168" i="1"/>
  <c r="BT4169" i="1"/>
  <c r="BT4166" i="1"/>
  <c r="BT4163" i="1"/>
  <c r="BT4164" i="1"/>
  <c r="BT4165" i="1"/>
  <c r="BT4162" i="1"/>
  <c r="BT4159" i="1"/>
  <c r="BT4160" i="1"/>
  <c r="BT4161" i="1"/>
  <c r="BT4158" i="1"/>
  <c r="BT4155" i="1"/>
  <c r="BT4156" i="1"/>
  <c r="BT4157" i="1"/>
  <c r="BT4154" i="1"/>
  <c r="BT4153" i="1"/>
  <c r="BT4150" i="1"/>
  <c r="BT4151" i="1"/>
  <c r="BT4152" i="1"/>
  <c r="BT4147" i="1"/>
  <c r="BT4148" i="1"/>
  <c r="BT4149" i="1"/>
  <c r="BT4146" i="1"/>
  <c r="CC4145" i="1"/>
  <c r="CF4145" i="1" s="1"/>
  <c r="CC4144" i="1"/>
  <c r="CF4144" i="1" s="1"/>
  <c r="CC4143" i="1"/>
  <c r="CF4143" i="1" s="1"/>
  <c r="CC4142" i="1"/>
  <c r="CF4142" i="1" s="1"/>
  <c r="CC4141" i="1"/>
  <c r="CF4141" i="1" s="1"/>
  <c r="CB4145" i="1"/>
  <c r="CE4145" i="1" s="1"/>
  <c r="CB4144" i="1"/>
  <c r="CE4144" i="1" s="1"/>
  <c r="CB4143" i="1"/>
  <c r="CE4143" i="1" s="1"/>
  <c r="CB4142" i="1"/>
  <c r="CE4142" i="1" s="1"/>
  <c r="CB4141" i="1"/>
  <c r="CE4141" i="1" s="1"/>
  <c r="N4185" i="1"/>
  <c r="M4185" i="1"/>
  <c r="N4184" i="1"/>
  <c r="M4184" i="1"/>
  <c r="N4183" i="1"/>
  <c r="M4183" i="1"/>
  <c r="N4182" i="1"/>
  <c r="M4182" i="1"/>
  <c r="N4181" i="1"/>
  <c r="M4181" i="1"/>
  <c r="N4180" i="1"/>
  <c r="M4180" i="1"/>
  <c r="N4179" i="1"/>
  <c r="M4179" i="1"/>
  <c r="N4178" i="1"/>
  <c r="M4178" i="1"/>
  <c r="N4177" i="1"/>
  <c r="M4177" i="1"/>
  <c r="N4176" i="1"/>
  <c r="M4176" i="1"/>
  <c r="N4175" i="1"/>
  <c r="M4175" i="1"/>
  <c r="N4174" i="1"/>
  <c r="M4174" i="1"/>
  <c r="N4173" i="1"/>
  <c r="M4173" i="1"/>
  <c r="N4172" i="1"/>
  <c r="M4172" i="1"/>
  <c r="N4171" i="1"/>
  <c r="M4171" i="1"/>
  <c r="N4170" i="1"/>
  <c r="M4170" i="1"/>
  <c r="N4169" i="1"/>
  <c r="M4169" i="1"/>
  <c r="N4168" i="1"/>
  <c r="M4168" i="1"/>
  <c r="N4167" i="1"/>
  <c r="M4167" i="1"/>
  <c r="N4166" i="1"/>
  <c r="M4166" i="1"/>
  <c r="N4165" i="1"/>
  <c r="M4165" i="1"/>
  <c r="N4164" i="1"/>
  <c r="M4164" i="1"/>
  <c r="N4163" i="1"/>
  <c r="M4163" i="1"/>
  <c r="N4162" i="1"/>
  <c r="M4162" i="1"/>
  <c r="N4161" i="1"/>
  <c r="M4161" i="1"/>
  <c r="N4160" i="1"/>
  <c r="M4160" i="1"/>
  <c r="N4159" i="1"/>
  <c r="M4159" i="1"/>
  <c r="N4158" i="1"/>
  <c r="M4158" i="1"/>
  <c r="N4157" i="1"/>
  <c r="M4157" i="1"/>
  <c r="N4156" i="1"/>
  <c r="M4156" i="1"/>
  <c r="N4155" i="1"/>
  <c r="M4155" i="1"/>
  <c r="N4154" i="1"/>
  <c r="M4154" i="1"/>
  <c r="N4153" i="1"/>
  <c r="M4153" i="1"/>
  <c r="N4152" i="1"/>
  <c r="M4152" i="1"/>
  <c r="N4151" i="1"/>
  <c r="M4151" i="1"/>
  <c r="N4150" i="1"/>
  <c r="M4150" i="1"/>
  <c r="N4149" i="1"/>
  <c r="M4149" i="1"/>
  <c r="N4148" i="1"/>
  <c r="M4148" i="1"/>
  <c r="N4147" i="1"/>
  <c r="M4147" i="1"/>
  <c r="N4146" i="1"/>
  <c r="M4146" i="1"/>
  <c r="N4145" i="1"/>
  <c r="M4145" i="1"/>
  <c r="N4144" i="1"/>
  <c r="M4144" i="1"/>
  <c r="N4143" i="1"/>
  <c r="M4143" i="1"/>
  <c r="N4142" i="1"/>
  <c r="M4142" i="1"/>
  <c r="N4141" i="1"/>
  <c r="M4141" i="1"/>
  <c r="P4140" i="1"/>
  <c r="P4139" i="1"/>
  <c r="P4138" i="1"/>
  <c r="P4137" i="1"/>
  <c r="P4136" i="1"/>
  <c r="P4135" i="1"/>
  <c r="P4134" i="1"/>
  <c r="P4133" i="1"/>
  <c r="P4132" i="1"/>
  <c r="P4131" i="1"/>
  <c r="P4130" i="1"/>
  <c r="P4129" i="1"/>
  <c r="R4140" i="1"/>
  <c r="R4139" i="1"/>
  <c r="R4138" i="1"/>
  <c r="R4137" i="1"/>
  <c r="R4136" i="1"/>
  <c r="R4135" i="1"/>
  <c r="R4134" i="1"/>
  <c r="R4133" i="1"/>
  <c r="R4132" i="1"/>
  <c r="R4131" i="1"/>
  <c r="R4130" i="1"/>
  <c r="R4129" i="1"/>
  <c r="HQ4139" i="1"/>
  <c r="HQ4138" i="1"/>
  <c r="HQ4137" i="1"/>
  <c r="HQ4136" i="1"/>
  <c r="HQ4135" i="1"/>
  <c r="HP4140" i="1"/>
  <c r="HP4139" i="1"/>
  <c r="HP4138" i="1"/>
  <c r="HP4137" i="1"/>
  <c r="HP4136" i="1"/>
  <c r="HP4135" i="1"/>
  <c r="HQ4134" i="1"/>
  <c r="HQ4133" i="1"/>
  <c r="HQ4132" i="1"/>
  <c r="HQ4131" i="1"/>
  <c r="HQ4130" i="1"/>
  <c r="HQ4129" i="1"/>
  <c r="HP4134" i="1"/>
  <c r="HP4133" i="1"/>
  <c r="HP4132" i="1"/>
  <c r="HP4131" i="1"/>
  <c r="HP4130" i="1"/>
  <c r="HP4129" i="1"/>
  <c r="Q4140" i="1"/>
  <c r="N4140" i="1"/>
  <c r="M4140" i="1"/>
  <c r="Q4139" i="1"/>
  <c r="N4139" i="1"/>
  <c r="M4139" i="1"/>
  <c r="Q4138" i="1"/>
  <c r="N4138" i="1"/>
  <c r="M4138" i="1"/>
  <c r="Q4137" i="1"/>
  <c r="N4137" i="1"/>
  <c r="M4137" i="1"/>
  <c r="Q4136" i="1"/>
  <c r="N4136" i="1"/>
  <c r="M4136" i="1"/>
  <c r="Q4135" i="1"/>
  <c r="N4135" i="1"/>
  <c r="M4135" i="1"/>
  <c r="Q4134" i="1"/>
  <c r="N4134" i="1"/>
  <c r="M4134" i="1"/>
  <c r="Q4133" i="1"/>
  <c r="N4133" i="1"/>
  <c r="M4133" i="1"/>
  <c r="Q4132" i="1"/>
  <c r="N4132" i="1"/>
  <c r="M4132" i="1"/>
  <c r="Q4131" i="1"/>
  <c r="N4131" i="1"/>
  <c r="M4131" i="1"/>
  <c r="Q4130" i="1"/>
  <c r="N4130" i="1"/>
  <c r="M4130" i="1"/>
  <c r="Q4129" i="1"/>
  <c r="N4129" i="1"/>
  <c r="M4129" i="1"/>
  <c r="IZ4127" i="1"/>
  <c r="IZ4128" i="1"/>
  <c r="IY4128" i="1"/>
  <c r="IY4127" i="1"/>
  <c r="JE4127" i="1"/>
  <c r="IK4127" i="1"/>
  <c r="IK4128" i="1"/>
  <c r="IJ4128" i="1"/>
  <c r="IJ4127" i="1"/>
  <c r="JE4128" i="1"/>
  <c r="JD4128" i="1"/>
  <c r="JD4127" i="1"/>
  <c r="DW4128" i="1"/>
  <c r="DW4127" i="1"/>
  <c r="DV4128" i="1"/>
  <c r="DV4127" i="1"/>
  <c r="N4128" i="1"/>
  <c r="M4128" i="1"/>
  <c r="N4127" i="1"/>
  <c r="M4127" i="1"/>
  <c r="BT4145" i="1" l="1"/>
  <c r="BT4141" i="1"/>
  <c r="BT4143" i="1"/>
  <c r="BT4142" i="1"/>
  <c r="BT4144" i="1"/>
  <c r="CF4110" i="1"/>
  <c r="CF4109" i="1"/>
  <c r="CF4108" i="1"/>
  <c r="CF4107" i="1"/>
  <c r="CF4106" i="1"/>
  <c r="CF4105" i="1"/>
  <c r="CF4104" i="1"/>
  <c r="CF4103" i="1"/>
  <c r="CF4102" i="1"/>
  <c r="CF4101" i="1"/>
  <c r="CF4100" i="1"/>
  <c r="CF4099" i="1"/>
  <c r="CF4098" i="1"/>
  <c r="CF4097" i="1"/>
  <c r="CF4096" i="1"/>
  <c r="CF4095" i="1"/>
  <c r="CE4104" i="1"/>
  <c r="CE4105" i="1"/>
  <c r="CE4106" i="1"/>
  <c r="CE4107" i="1"/>
  <c r="CE4108" i="1"/>
  <c r="CE4109" i="1"/>
  <c r="CE4110" i="1"/>
  <c r="CE4103" i="1"/>
  <c r="CE4096" i="1"/>
  <c r="CE4097" i="1"/>
  <c r="CE4098" i="1"/>
  <c r="CE4099" i="1"/>
  <c r="CE4100" i="1"/>
  <c r="CE4101" i="1"/>
  <c r="CE4102" i="1"/>
  <c r="CE4095" i="1"/>
  <c r="N4094" i="1"/>
  <c r="M4094" i="1"/>
  <c r="N4093" i="1"/>
  <c r="M4093" i="1"/>
  <c r="N4092" i="1"/>
  <c r="M4092" i="1"/>
  <c r="N4091" i="1"/>
  <c r="M4091" i="1"/>
  <c r="AF4090" i="1"/>
  <c r="AE4090" i="1"/>
  <c r="N4090" i="1"/>
  <c r="M4090" i="1"/>
  <c r="AF4089" i="1"/>
  <c r="AE4089" i="1"/>
  <c r="N4089" i="1"/>
  <c r="M4089" i="1"/>
  <c r="AF4088" i="1"/>
  <c r="AE4088" i="1"/>
  <c r="N4088" i="1"/>
  <c r="M4088" i="1"/>
  <c r="AF4087" i="1"/>
  <c r="AE4087" i="1"/>
  <c r="N4087" i="1"/>
  <c r="M4087" i="1"/>
  <c r="AF4086" i="1"/>
  <c r="AE4086" i="1"/>
  <c r="N4086" i="1"/>
  <c r="M4086" i="1"/>
  <c r="AF4085" i="1"/>
  <c r="AE4085" i="1"/>
  <c r="N4085" i="1"/>
  <c r="M4085" i="1"/>
  <c r="AF4084" i="1"/>
  <c r="AE4084" i="1"/>
  <c r="N4084" i="1"/>
  <c r="M4084" i="1"/>
  <c r="AF4083" i="1"/>
  <c r="AE4083" i="1"/>
  <c r="N4083" i="1"/>
  <c r="M4083" i="1"/>
  <c r="AF4082" i="1"/>
  <c r="AE4082" i="1"/>
  <c r="N4082" i="1"/>
  <c r="M4082" i="1"/>
  <c r="AF4081" i="1"/>
  <c r="AE4081" i="1"/>
  <c r="N4081" i="1"/>
  <c r="M4081" i="1"/>
  <c r="AF4080" i="1"/>
  <c r="AE4080" i="1"/>
  <c r="N4080" i="1"/>
  <c r="M4080" i="1"/>
  <c r="AF4079" i="1"/>
  <c r="AE4079" i="1"/>
  <c r="N4079" i="1"/>
  <c r="M4079" i="1"/>
  <c r="N4078" i="1"/>
  <c r="M4078" i="1"/>
  <c r="N4077" i="1"/>
  <c r="M4077" i="1"/>
  <c r="N4076" i="1"/>
  <c r="M4076" i="1"/>
  <c r="N4075" i="1"/>
  <c r="M4075" i="1"/>
  <c r="N4074" i="1"/>
  <c r="M4074" i="1"/>
  <c r="N4073" i="1"/>
  <c r="M4073" i="1"/>
  <c r="N4072" i="1"/>
  <c r="M4072" i="1"/>
  <c r="N4071" i="1"/>
  <c r="M4071" i="1"/>
  <c r="N4070" i="1"/>
  <c r="M4070" i="1"/>
  <c r="N4069" i="1"/>
  <c r="M4069" i="1"/>
  <c r="N4068" i="1"/>
  <c r="M4068" i="1"/>
  <c r="N4067" i="1"/>
  <c r="M4067" i="1"/>
  <c r="N4066" i="1"/>
  <c r="M4066" i="1"/>
  <c r="N4065" i="1"/>
  <c r="M4065" i="1"/>
  <c r="N4064" i="1"/>
  <c r="M4064" i="1"/>
  <c r="N4063" i="1"/>
  <c r="M4063" i="1"/>
  <c r="N4062" i="1"/>
  <c r="M4062" i="1"/>
  <c r="N4061" i="1"/>
  <c r="M4061" i="1"/>
  <c r="N4060" i="1"/>
  <c r="M4060" i="1"/>
  <c r="GE4059" i="1"/>
  <c r="GE4058" i="1"/>
  <c r="GE4057" i="1"/>
  <c r="GE4056" i="1"/>
  <c r="GE4055" i="1"/>
  <c r="GE4054" i="1"/>
  <c r="GE4053" i="1"/>
  <c r="GE4052" i="1"/>
  <c r="GE4051" i="1"/>
  <c r="GE4050" i="1"/>
  <c r="GE4049" i="1"/>
  <c r="GE4048" i="1"/>
  <c r="GE4047" i="1"/>
  <c r="GE4046" i="1"/>
  <c r="GE4045" i="1"/>
  <c r="GE4044" i="1"/>
  <c r="GE4043" i="1"/>
  <c r="GE4042" i="1"/>
  <c r="GE4041" i="1"/>
  <c r="GE4040" i="1"/>
  <c r="GE4039" i="1"/>
  <c r="GE4038" i="1"/>
  <c r="GE4037" i="1"/>
  <c r="GE4036" i="1"/>
  <c r="GE4035" i="1"/>
  <c r="GE4034" i="1"/>
  <c r="GE4033" i="1"/>
  <c r="GD4033" i="1"/>
  <c r="GD4049" i="1"/>
  <c r="GD4050" i="1"/>
  <c r="GD4048" i="1"/>
  <c r="GD4046" i="1"/>
  <c r="GD4047" i="1"/>
  <c r="GD4045" i="1"/>
  <c r="GD4043" i="1"/>
  <c r="GD4044" i="1"/>
  <c r="GD4042" i="1"/>
  <c r="GD4040" i="1"/>
  <c r="GD4041" i="1"/>
  <c r="GD4039" i="1"/>
  <c r="GD4037" i="1"/>
  <c r="GD4038" i="1"/>
  <c r="GD4036" i="1"/>
  <c r="GD4034" i="1"/>
  <c r="GD4035" i="1"/>
  <c r="GE4032" i="1"/>
  <c r="GE4031" i="1"/>
  <c r="GE4030" i="1"/>
  <c r="GE4029" i="1"/>
  <c r="GE4028" i="1"/>
  <c r="GE4027" i="1"/>
  <c r="GE4026" i="1"/>
  <c r="GE4025" i="1"/>
  <c r="GE4024" i="1"/>
  <c r="GD4031" i="1"/>
  <c r="GD4032" i="1"/>
  <c r="GD4030" i="1"/>
  <c r="GD4028" i="1"/>
  <c r="GD4029" i="1"/>
  <c r="GD4027" i="1"/>
  <c r="GD4025" i="1"/>
  <c r="GD4026" i="1"/>
  <c r="GD4024" i="1"/>
  <c r="N4059" i="1"/>
  <c r="M4059" i="1"/>
  <c r="N4058" i="1"/>
  <c r="M4058" i="1"/>
  <c r="N4057" i="1"/>
  <c r="M4057" i="1"/>
  <c r="N4056" i="1"/>
  <c r="M4056" i="1"/>
  <c r="N4055" i="1"/>
  <c r="M4055" i="1"/>
  <c r="N4054" i="1"/>
  <c r="M4054" i="1"/>
  <c r="N4053" i="1"/>
  <c r="M4053" i="1"/>
  <c r="N4052" i="1"/>
  <c r="M4052" i="1"/>
  <c r="N4051" i="1"/>
  <c r="M4051" i="1"/>
  <c r="N4050" i="1"/>
  <c r="M4050" i="1"/>
  <c r="N4049" i="1"/>
  <c r="M4049" i="1"/>
  <c r="N4048" i="1"/>
  <c r="M4048" i="1"/>
  <c r="N4047" i="1"/>
  <c r="M4047" i="1"/>
  <c r="N4046" i="1"/>
  <c r="M4046" i="1"/>
  <c r="N4045" i="1"/>
  <c r="M4045" i="1"/>
  <c r="N4044" i="1"/>
  <c r="M4044" i="1"/>
  <c r="N4043" i="1"/>
  <c r="M4043" i="1"/>
  <c r="N4042" i="1"/>
  <c r="M4042" i="1"/>
  <c r="N4041" i="1"/>
  <c r="M4041" i="1"/>
  <c r="N4040" i="1"/>
  <c r="M4040" i="1"/>
  <c r="N4039" i="1"/>
  <c r="M4039" i="1"/>
  <c r="N4038" i="1"/>
  <c r="M4038" i="1"/>
  <c r="N4037" i="1"/>
  <c r="M4037" i="1"/>
  <c r="N4036" i="1"/>
  <c r="M4036" i="1"/>
  <c r="N4035" i="1"/>
  <c r="M4035" i="1"/>
  <c r="N4034" i="1"/>
  <c r="M4034" i="1"/>
  <c r="N4033" i="1"/>
  <c r="M4033" i="1"/>
  <c r="N4032" i="1"/>
  <c r="M4032" i="1"/>
  <c r="N4031" i="1"/>
  <c r="M4031" i="1"/>
  <c r="N4030" i="1"/>
  <c r="M4030" i="1"/>
  <c r="N4029" i="1"/>
  <c r="M4029" i="1"/>
  <c r="N4028" i="1"/>
  <c r="M4028" i="1"/>
  <c r="N4027" i="1"/>
  <c r="M4027" i="1"/>
  <c r="N4026" i="1"/>
  <c r="M4026" i="1"/>
  <c r="N4025" i="1"/>
  <c r="M4025" i="1"/>
  <c r="N4024" i="1"/>
  <c r="M4024" i="1"/>
  <c r="HL4022" i="1" l="1"/>
  <c r="HL4023" i="1"/>
  <c r="HK4023" i="1"/>
  <c r="HK4022" i="1"/>
  <c r="HV4023" i="1"/>
  <c r="HV4022" i="1"/>
  <c r="DJ4023" i="1"/>
  <c r="DJ4022" i="1"/>
  <c r="DI4023" i="1"/>
  <c r="DI4022" i="1"/>
  <c r="CP4023" i="1"/>
  <c r="CP4022" i="1"/>
  <c r="CO4023" i="1"/>
  <c r="CO4022" i="1"/>
  <c r="CN4022" i="1"/>
  <c r="CM4023" i="1"/>
  <c r="CM4022" i="1"/>
  <c r="DT4023" i="1"/>
  <c r="DT4022" i="1"/>
  <c r="DS4023" i="1"/>
  <c r="DS4022" i="1"/>
  <c r="N4023" i="1"/>
  <c r="M4023" i="1"/>
  <c r="N4022" i="1"/>
  <c r="M4022" i="1"/>
  <c r="HB4021" i="1"/>
  <c r="HB4020" i="1"/>
  <c r="HB4019" i="1"/>
  <c r="HA4020" i="1"/>
  <c r="HA4021" i="1"/>
  <c r="HA4019" i="1"/>
  <c r="HB4018" i="1"/>
  <c r="HA4017" i="1"/>
  <c r="HA4018" i="1"/>
  <c r="HA4016" i="1"/>
  <c r="HB4016" i="1"/>
  <c r="HB4017" i="1"/>
  <c r="N4021" i="1"/>
  <c r="M4021" i="1"/>
  <c r="N4020" i="1"/>
  <c r="M4020" i="1"/>
  <c r="N4019" i="1"/>
  <c r="M4019" i="1"/>
  <c r="N4018" i="1"/>
  <c r="M4018" i="1"/>
  <c r="N4017" i="1"/>
  <c r="M4017" i="1"/>
  <c r="N4016" i="1"/>
  <c r="M4016" i="1"/>
  <c r="N4007" i="1" l="1"/>
  <c r="M4007" i="1"/>
  <c r="N4004" i="1"/>
  <c r="M4004" i="1"/>
  <c r="N4015" i="1"/>
  <c r="M4015" i="1"/>
  <c r="N4014" i="1"/>
  <c r="M4014" i="1"/>
  <c r="N4013" i="1"/>
  <c r="M4013" i="1"/>
  <c r="N4012" i="1"/>
  <c r="M4012" i="1"/>
  <c r="N4011" i="1"/>
  <c r="M4011" i="1"/>
  <c r="N4010" i="1"/>
  <c r="M4010" i="1"/>
  <c r="N4009" i="1"/>
  <c r="M4009" i="1"/>
  <c r="N4008" i="1"/>
  <c r="M4008" i="1"/>
  <c r="N4006" i="1"/>
  <c r="M4006" i="1"/>
  <c r="N4005" i="1"/>
  <c r="M4005" i="1"/>
  <c r="N4003" i="1"/>
  <c r="M4003" i="1"/>
  <c r="N4002" i="1"/>
  <c r="M4002" i="1"/>
  <c r="DW3872" i="1"/>
  <c r="DW3871" i="1"/>
  <c r="DW3870" i="1"/>
  <c r="DV3871" i="1"/>
  <c r="DV3872" i="1"/>
  <c r="DV3870" i="1"/>
  <c r="DW3868" i="1"/>
  <c r="DW3867" i="1"/>
  <c r="DW3866" i="1"/>
  <c r="DV3867" i="1"/>
  <c r="DV3868" i="1"/>
  <c r="DV3866" i="1"/>
  <c r="DW3864" i="1"/>
  <c r="DW3863" i="1"/>
  <c r="DW3862" i="1"/>
  <c r="DV3863" i="1"/>
  <c r="DV3864" i="1"/>
  <c r="DV3862" i="1"/>
  <c r="DW3860" i="1"/>
  <c r="DW3859" i="1"/>
  <c r="DW3858" i="1"/>
  <c r="DV3859" i="1"/>
  <c r="DV3860" i="1"/>
  <c r="DV3858" i="1"/>
  <c r="DW3824" i="1"/>
  <c r="DW3823" i="1"/>
  <c r="DW3822" i="1"/>
  <c r="DV3823" i="1"/>
  <c r="DV3824" i="1"/>
  <c r="DV3822" i="1"/>
  <c r="DW3820" i="1"/>
  <c r="DW3819" i="1"/>
  <c r="DW3818" i="1"/>
  <c r="DV3819" i="1"/>
  <c r="DV3820" i="1"/>
  <c r="DV3818" i="1"/>
  <c r="DW3816" i="1"/>
  <c r="DW3815" i="1"/>
  <c r="DW3814" i="1"/>
  <c r="DV3815" i="1"/>
  <c r="DV3816" i="1"/>
  <c r="DV3814" i="1"/>
  <c r="DW3812" i="1"/>
  <c r="DW3811" i="1"/>
  <c r="DW3810" i="1"/>
  <c r="DV3811" i="1"/>
  <c r="DV3812" i="1"/>
  <c r="DV3810"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58" i="1"/>
  <c r="N3810" i="1"/>
  <c r="BT3809" i="1"/>
  <c r="BT3808" i="1"/>
  <c r="BT3807" i="1"/>
  <c r="BT3806" i="1"/>
  <c r="BT3805" i="1"/>
  <c r="BT3804" i="1"/>
  <c r="BT3803" i="1"/>
  <c r="BT3802" i="1"/>
  <c r="BT3801" i="1"/>
  <c r="BT3800" i="1"/>
  <c r="BT3799" i="1"/>
  <c r="BT3798" i="1"/>
  <c r="BT3797" i="1"/>
  <c r="BT3796" i="1"/>
  <c r="BT3795" i="1"/>
  <c r="BT3794" i="1"/>
  <c r="BT3793" i="1"/>
  <c r="BT3791" i="1"/>
  <c r="BT3792" i="1"/>
  <c r="BT3790" i="1"/>
  <c r="BT3789" i="1"/>
  <c r="BT3788" i="1"/>
  <c r="BT3787" i="1"/>
  <c r="M3800" i="1"/>
  <c r="N3800" i="1"/>
  <c r="M3801" i="1"/>
  <c r="N3801" i="1"/>
  <c r="M3802" i="1"/>
  <c r="N3802" i="1"/>
  <c r="M3803" i="1"/>
  <c r="N3803" i="1"/>
  <c r="M3804" i="1"/>
  <c r="N3804" i="1"/>
  <c r="M3805" i="1"/>
  <c r="N3805" i="1"/>
  <c r="M3806" i="1"/>
  <c r="N3806" i="1"/>
  <c r="M3807" i="1"/>
  <c r="N3807" i="1"/>
  <c r="M3808" i="1"/>
  <c r="N3808" i="1"/>
  <c r="M3809" i="1"/>
  <c r="N3809" i="1"/>
  <c r="N3799" i="1"/>
  <c r="M3799" i="1"/>
  <c r="N3798" i="1"/>
  <c r="M3798" i="1"/>
  <c r="N3797" i="1"/>
  <c r="M3797" i="1"/>
  <c r="N3796" i="1"/>
  <c r="M3796" i="1"/>
  <c r="N3795" i="1"/>
  <c r="M3795" i="1"/>
  <c r="N3794" i="1"/>
  <c r="M3794" i="1"/>
  <c r="N3793" i="1"/>
  <c r="M3793" i="1"/>
  <c r="N3792" i="1"/>
  <c r="M3792" i="1"/>
  <c r="N3791" i="1"/>
  <c r="M3791" i="1"/>
  <c r="N3790" i="1"/>
  <c r="M3790" i="1"/>
  <c r="N3789" i="1"/>
  <c r="M3789" i="1"/>
  <c r="N3788" i="1"/>
  <c r="M3788" i="1"/>
  <c r="N3787" i="1"/>
  <c r="M3787" i="1"/>
  <c r="AI3786" i="1"/>
  <c r="N3786" i="1"/>
  <c r="M3786" i="1"/>
  <c r="AI3785" i="1"/>
  <c r="N3785" i="1"/>
  <c r="M3785" i="1"/>
  <c r="AI3784" i="1"/>
  <c r="N3784" i="1"/>
  <c r="M3784" i="1"/>
  <c r="AI3783" i="1"/>
  <c r="N3783" i="1"/>
  <c r="M3783" i="1"/>
  <c r="AI3782" i="1"/>
  <c r="N3782" i="1"/>
  <c r="M3782" i="1"/>
  <c r="AI3781" i="1"/>
  <c r="N3781" i="1"/>
  <c r="M3781" i="1"/>
  <c r="AI3780" i="1"/>
  <c r="N3780" i="1"/>
  <c r="M3780" i="1"/>
  <c r="AI3779" i="1"/>
  <c r="N3779" i="1"/>
  <c r="M3779" i="1"/>
  <c r="AI3778" i="1"/>
  <c r="N3778" i="1"/>
  <c r="M3778" i="1"/>
  <c r="AI3777" i="1"/>
  <c r="N3777" i="1"/>
  <c r="M3777" i="1"/>
  <c r="AI3776" i="1"/>
  <c r="N3776" i="1"/>
  <c r="M3776" i="1"/>
  <c r="AI3775" i="1"/>
  <c r="N3775" i="1"/>
  <c r="M3775" i="1"/>
  <c r="AI3774" i="1"/>
  <c r="N3774" i="1"/>
  <c r="M3774" i="1"/>
  <c r="AI3773" i="1"/>
  <c r="N3773" i="1"/>
  <c r="M3773" i="1"/>
  <c r="AI3772" i="1"/>
  <c r="N3772" i="1"/>
  <c r="M3772" i="1"/>
  <c r="AI3771" i="1"/>
  <c r="N3771" i="1"/>
  <c r="M3771" i="1"/>
  <c r="AI3770" i="1"/>
  <c r="N3770" i="1"/>
  <c r="M3770" i="1"/>
  <c r="AI3769" i="1"/>
  <c r="N3769" i="1"/>
  <c r="M3769" i="1"/>
  <c r="AI3768" i="1"/>
  <c r="N3768" i="1"/>
  <c r="M3768" i="1"/>
  <c r="AI3767" i="1"/>
  <c r="N3767" i="1"/>
  <c r="M3767" i="1"/>
  <c r="AI3766" i="1"/>
  <c r="N3766" i="1"/>
  <c r="M3766" i="1"/>
  <c r="AI3765" i="1"/>
  <c r="N3765" i="1"/>
  <c r="M3765" i="1"/>
  <c r="AI3764" i="1"/>
  <c r="N3764" i="1"/>
  <c r="M3764" i="1"/>
  <c r="AI3763" i="1"/>
  <c r="N3763" i="1"/>
  <c r="M3763" i="1"/>
  <c r="AI3762" i="1"/>
  <c r="N3762" i="1"/>
  <c r="M3762" i="1"/>
  <c r="AI3761" i="1"/>
  <c r="N3761" i="1"/>
  <c r="M3761" i="1"/>
  <c r="AI3760" i="1"/>
  <c r="N3760" i="1"/>
  <c r="M3760" i="1"/>
  <c r="AI3759" i="1"/>
  <c r="N3759" i="1"/>
  <c r="M3759" i="1"/>
  <c r="AI3758" i="1"/>
  <c r="N3758" i="1"/>
  <c r="M3758" i="1"/>
  <c r="AI3757" i="1"/>
  <c r="N3757" i="1"/>
  <c r="M3757" i="1"/>
  <c r="AI3756" i="1"/>
  <c r="N3756" i="1"/>
  <c r="M3756" i="1"/>
  <c r="AI3755" i="1"/>
  <c r="N3755" i="1"/>
  <c r="M3755" i="1"/>
  <c r="AI3754" i="1"/>
  <c r="N3754" i="1"/>
  <c r="M3754" i="1"/>
  <c r="AI3753" i="1"/>
  <c r="N3753" i="1"/>
  <c r="M3753" i="1"/>
  <c r="AI3752" i="1"/>
  <c r="N3752" i="1"/>
  <c r="M3752" i="1"/>
  <c r="AI3751" i="1"/>
  <c r="N3751" i="1"/>
  <c r="M3751" i="1"/>
  <c r="AI3750" i="1"/>
  <c r="N3750" i="1"/>
  <c r="M3750" i="1"/>
  <c r="AI3749" i="1"/>
  <c r="N3749" i="1"/>
  <c r="M3749" i="1"/>
  <c r="AI3748" i="1"/>
  <c r="N3748" i="1"/>
  <c r="M3748" i="1"/>
  <c r="AI3747" i="1"/>
  <c r="N3747" i="1"/>
  <c r="M3747" i="1"/>
  <c r="DE3743" i="1" l="1"/>
  <c r="DE3744" i="1"/>
  <c r="DE3745" i="1"/>
  <c r="DE3746" i="1"/>
  <c r="DD3744" i="1"/>
  <c r="DD3745" i="1"/>
  <c r="DD3746" i="1"/>
  <c r="DD3743" i="1"/>
  <c r="DI3744" i="1"/>
  <c r="DJ3744" i="1"/>
  <c r="DI3745" i="1"/>
  <c r="DJ3745" i="1"/>
  <c r="DI3746" i="1"/>
  <c r="DJ3746" i="1"/>
  <c r="DJ3743" i="1"/>
  <c r="DI3743" i="1"/>
  <c r="CP3743" i="1"/>
  <c r="CP3744" i="1"/>
  <c r="CP3745" i="1"/>
  <c r="CP3746" i="1"/>
  <c r="CO3744" i="1"/>
  <c r="CO3745" i="1"/>
  <c r="CO3746" i="1"/>
  <c r="CO3743" i="1"/>
  <c r="AF3746" i="1"/>
  <c r="N3746" i="1"/>
  <c r="M3746" i="1"/>
  <c r="AF3745" i="1"/>
  <c r="N3745" i="1"/>
  <c r="M3745" i="1"/>
  <c r="AF3744" i="1"/>
  <c r="N3744" i="1"/>
  <c r="M3744" i="1"/>
  <c r="AF3743" i="1"/>
  <c r="N3743" i="1"/>
  <c r="M3743" i="1"/>
  <c r="FA3638" i="1"/>
  <c r="FA3637" i="1"/>
  <c r="FA3636" i="1"/>
  <c r="FA3635" i="1"/>
  <c r="EZ3636" i="1"/>
  <c r="EZ3637" i="1"/>
  <c r="EZ3638" i="1"/>
  <c r="EZ3635" i="1"/>
  <c r="FA3626" i="1"/>
  <c r="FA3625" i="1"/>
  <c r="FA3624" i="1"/>
  <c r="FA3623" i="1"/>
  <c r="EZ3624" i="1"/>
  <c r="EZ3625" i="1"/>
  <c r="EZ3626" i="1"/>
  <c r="EZ3623" i="1"/>
  <c r="N3638" i="1"/>
  <c r="M3638" i="1"/>
  <c r="N3637" i="1"/>
  <c r="M3637" i="1"/>
  <c r="N3636" i="1"/>
  <c r="M3636" i="1"/>
  <c r="N3635" i="1"/>
  <c r="M3635" i="1"/>
  <c r="FA3599" i="1"/>
  <c r="FA3590" i="1"/>
  <c r="EZ3590" i="1"/>
  <c r="C83" i="3"/>
  <c r="E83" i="3" s="1"/>
  <c r="CF3613" i="1"/>
  <c r="CF3612" i="1"/>
  <c r="CF3609" i="1"/>
  <c r="CF3608" i="1"/>
  <c r="CE3608" i="1"/>
  <c r="CE3609" i="1"/>
  <c r="CE3610" i="1"/>
  <c r="CE3611" i="1"/>
  <c r="CE3590" i="1"/>
  <c r="CF3607" i="1"/>
  <c r="CF3606" i="1"/>
  <c r="CF3605" i="1"/>
  <c r="CF3604" i="1"/>
  <c r="CF3603" i="1"/>
  <c r="CF3602" i="1"/>
  <c r="CF3601" i="1"/>
  <c r="CF3600" i="1"/>
  <c r="CF3599" i="1"/>
  <c r="CF3598" i="1"/>
  <c r="CF3597" i="1"/>
  <c r="CF3596" i="1"/>
  <c r="CF3595" i="1"/>
  <c r="CF3594" i="1"/>
  <c r="CF3593" i="1"/>
  <c r="CF3592" i="1"/>
  <c r="CF3591" i="1"/>
  <c r="CF3590" i="1"/>
  <c r="CE3596" i="1"/>
  <c r="CE3598" i="1"/>
  <c r="CE3592" i="1"/>
  <c r="CE3591" i="1"/>
  <c r="DV3581" i="1"/>
  <c r="DV3582" i="1"/>
  <c r="DV3583" i="1"/>
  <c r="DV3584" i="1"/>
  <c r="DV3585" i="1"/>
  <c r="DV3586" i="1"/>
  <c r="DV3587" i="1"/>
  <c r="DV3588" i="1"/>
  <c r="DV3589" i="1"/>
  <c r="DV3580" i="1"/>
  <c r="DV3571" i="1"/>
  <c r="DV3572" i="1"/>
  <c r="DV3573" i="1"/>
  <c r="DV3574" i="1"/>
  <c r="DV3575" i="1"/>
  <c r="DV3576" i="1"/>
  <c r="DV3577" i="1"/>
  <c r="DV3578" i="1"/>
  <c r="DV3579" i="1"/>
  <c r="DV3570" i="1"/>
  <c r="N3589" i="1"/>
  <c r="M3589" i="1"/>
  <c r="N3588" i="1"/>
  <c r="M3588" i="1"/>
  <c r="N3587" i="1"/>
  <c r="M3587" i="1"/>
  <c r="N3586" i="1"/>
  <c r="M3586" i="1"/>
  <c r="N3585" i="1"/>
  <c r="M3585" i="1"/>
  <c r="N3584" i="1"/>
  <c r="M3584" i="1"/>
  <c r="N3583" i="1"/>
  <c r="M3583" i="1"/>
  <c r="N3582" i="1"/>
  <c r="M3582" i="1"/>
  <c r="N3581" i="1"/>
  <c r="M3581" i="1"/>
  <c r="N3580" i="1"/>
  <c r="M3580" i="1"/>
  <c r="N3579" i="1"/>
  <c r="M3579" i="1"/>
  <c r="N3578" i="1"/>
  <c r="M3578" i="1"/>
  <c r="N3577" i="1"/>
  <c r="M3577" i="1"/>
  <c r="N3576" i="1"/>
  <c r="M3576" i="1"/>
  <c r="N3575" i="1"/>
  <c r="M3575" i="1"/>
  <c r="N3574" i="1"/>
  <c r="M3574" i="1"/>
  <c r="N3573" i="1"/>
  <c r="M3573" i="1"/>
  <c r="N3572" i="1"/>
  <c r="M3572" i="1"/>
  <c r="N3571" i="1"/>
  <c r="M3571" i="1"/>
  <c r="N3570" i="1"/>
  <c r="M3570" i="1"/>
  <c r="S3542" i="1"/>
  <c r="S3541" i="1"/>
  <c r="S3540" i="1"/>
  <c r="S3539" i="1"/>
  <c r="S3538" i="1"/>
  <c r="S3537" i="1"/>
  <c r="S3536" i="1"/>
  <c r="S3535" i="1"/>
  <c r="S3534" i="1"/>
  <c r="S3533" i="1"/>
  <c r="S3532" i="1"/>
  <c r="S3531" i="1"/>
  <c r="S3530" i="1"/>
  <c r="S3529" i="1"/>
  <c r="S3528" i="1"/>
  <c r="S3527" i="1"/>
  <c r="S3526" i="1"/>
  <c r="S3525" i="1"/>
  <c r="N3519" i="1"/>
  <c r="M3519" i="1"/>
  <c r="S3518" i="1"/>
  <c r="N3518" i="1"/>
  <c r="M3518" i="1"/>
  <c r="S3517" i="1"/>
  <c r="N3517" i="1"/>
  <c r="M3517" i="1"/>
  <c r="S3516" i="1"/>
  <c r="N3516" i="1"/>
  <c r="M3516" i="1"/>
  <c r="S3515" i="1"/>
  <c r="N3515" i="1"/>
  <c r="M3515" i="1"/>
  <c r="BT3514" i="1"/>
  <c r="N3514" i="1"/>
  <c r="M3514" i="1"/>
  <c r="BT3513" i="1"/>
  <c r="S3513" i="1"/>
  <c r="N3513" i="1"/>
  <c r="M3513" i="1"/>
  <c r="BT3512" i="1"/>
  <c r="S3512" i="1"/>
  <c r="N3512" i="1"/>
  <c r="M3512" i="1"/>
  <c r="BT3511" i="1"/>
  <c r="S3511" i="1"/>
  <c r="N3511" i="1"/>
  <c r="M3511" i="1"/>
  <c r="BT3510" i="1"/>
  <c r="S3510" i="1"/>
  <c r="N3510" i="1"/>
  <c r="M3510" i="1"/>
  <c r="BT3504" i="1"/>
  <c r="N3504" i="1"/>
  <c r="M3504" i="1"/>
  <c r="BT3503" i="1"/>
  <c r="S3503" i="1"/>
  <c r="N3503" i="1"/>
  <c r="M3503" i="1"/>
  <c r="S3502" i="1"/>
  <c r="N3502" i="1"/>
  <c r="M3502" i="1"/>
  <c r="BT3501" i="1"/>
  <c r="S3501" i="1"/>
  <c r="N3501" i="1"/>
  <c r="M3501" i="1"/>
  <c r="BT3500" i="1"/>
  <c r="S3500" i="1"/>
  <c r="N3500" i="1"/>
  <c r="M3500" i="1"/>
  <c r="N3524" i="1"/>
  <c r="M3524" i="1"/>
  <c r="S3523" i="1"/>
  <c r="N3523" i="1"/>
  <c r="M3523" i="1"/>
  <c r="S3522" i="1"/>
  <c r="N3522" i="1"/>
  <c r="M3522" i="1"/>
  <c r="S3521" i="1"/>
  <c r="N3521" i="1"/>
  <c r="M3521" i="1"/>
  <c r="S3520" i="1"/>
  <c r="N3520" i="1"/>
  <c r="M3520" i="1"/>
  <c r="BT3506" i="1"/>
  <c r="BT3507" i="1"/>
  <c r="BT3508" i="1"/>
  <c r="BT3509" i="1"/>
  <c r="BT3505" i="1"/>
  <c r="BT3499" i="1"/>
  <c r="BT3498" i="1"/>
  <c r="BT3496" i="1"/>
  <c r="BT3495" i="1"/>
  <c r="N3509" i="1"/>
  <c r="M3509" i="1"/>
  <c r="S3508" i="1"/>
  <c r="N3508" i="1"/>
  <c r="M3508" i="1"/>
  <c r="S3507" i="1"/>
  <c r="N3507" i="1"/>
  <c r="M3507" i="1"/>
  <c r="S3506" i="1"/>
  <c r="N3506" i="1"/>
  <c r="M3506" i="1"/>
  <c r="S3505" i="1"/>
  <c r="N3505" i="1"/>
  <c r="M3505" i="1"/>
  <c r="S3498" i="1"/>
  <c r="S3497" i="1"/>
  <c r="S3496" i="1"/>
  <c r="S3495" i="1"/>
  <c r="N3499" i="1"/>
  <c r="N3498" i="1"/>
  <c r="N3497" i="1"/>
  <c r="N3496" i="1"/>
  <c r="N3495" i="1"/>
  <c r="M3499" i="1"/>
  <c r="M3498" i="1"/>
  <c r="M3497" i="1"/>
  <c r="M3496" i="1"/>
  <c r="M3495" i="1"/>
  <c r="CP3482" i="1" l="1"/>
  <c r="CP3481" i="1"/>
  <c r="CP3480" i="1"/>
  <c r="CP3479" i="1"/>
  <c r="CO3482" i="1"/>
  <c r="CO3481" i="1"/>
  <c r="CO3480" i="1"/>
  <c r="CO3479" i="1"/>
  <c r="DE3481" i="1"/>
  <c r="DE3482" i="1"/>
  <c r="DE3479" i="1"/>
  <c r="DE3480" i="1"/>
  <c r="DD3481" i="1"/>
  <c r="DD3482" i="1"/>
  <c r="DD3479" i="1"/>
  <c r="DD3480" i="1"/>
  <c r="R3490" i="1"/>
  <c r="R3489" i="1"/>
  <c r="R3487" i="1"/>
  <c r="R3486" i="1"/>
  <c r="R3485" i="1"/>
  <c r="R3484" i="1"/>
  <c r="R3483" i="1"/>
  <c r="R3482" i="1"/>
  <c r="R3481" i="1"/>
  <c r="R3480" i="1"/>
  <c r="R3479" i="1"/>
  <c r="N3494" i="1"/>
  <c r="M3494" i="1"/>
  <c r="N3493" i="1"/>
  <c r="M3493" i="1"/>
  <c r="N3492" i="1"/>
  <c r="M3492" i="1"/>
  <c r="N3491" i="1"/>
  <c r="M3491" i="1"/>
  <c r="N3490" i="1"/>
  <c r="M3490" i="1"/>
  <c r="N3489" i="1"/>
  <c r="M3489" i="1"/>
  <c r="N3488" i="1"/>
  <c r="M3488" i="1"/>
  <c r="N3487" i="1"/>
  <c r="M3487" i="1"/>
  <c r="N3486" i="1"/>
  <c r="M3486" i="1"/>
  <c r="N3485" i="1"/>
  <c r="M3485" i="1"/>
  <c r="N3484" i="1"/>
  <c r="M3484" i="1"/>
  <c r="N3483" i="1"/>
  <c r="M3483" i="1"/>
  <c r="N3482" i="1"/>
  <c r="M3482" i="1"/>
  <c r="N3481" i="1"/>
  <c r="M3481" i="1"/>
  <c r="N3479" i="1"/>
  <c r="N3480" i="1"/>
  <c r="M3480" i="1"/>
  <c r="M3479" i="1"/>
  <c r="R3474" i="1"/>
  <c r="R3473" i="1"/>
  <c r="R3472" i="1"/>
  <c r="R3471" i="1"/>
  <c r="R3466" i="1"/>
  <c r="R3465" i="1"/>
  <c r="R3464" i="1"/>
  <c r="R3463" i="1"/>
  <c r="R3458" i="1"/>
  <c r="R3457" i="1"/>
  <c r="R3456" i="1"/>
  <c r="R3455" i="1"/>
  <c r="R3448" i="1"/>
  <c r="R3449" i="1"/>
  <c r="R3450" i="1"/>
  <c r="R3447" i="1"/>
  <c r="N3454" i="1"/>
  <c r="N3453" i="1"/>
  <c r="N3452" i="1"/>
  <c r="N3451" i="1"/>
  <c r="N3450" i="1"/>
  <c r="N3449" i="1"/>
  <c r="N3448" i="1"/>
  <c r="N3447" i="1"/>
  <c r="AL3446" i="1" l="1"/>
  <c r="N3446" i="1"/>
  <c r="M3446" i="1"/>
  <c r="AL3445" i="1"/>
  <c r="N3445" i="1"/>
  <c r="M3445" i="1"/>
  <c r="AL3444" i="1"/>
  <c r="N3444" i="1"/>
  <c r="M3444" i="1"/>
  <c r="AL3443" i="1"/>
  <c r="N3443" i="1"/>
  <c r="M3443" i="1"/>
  <c r="AL3442" i="1"/>
  <c r="N3442" i="1"/>
  <c r="M3442" i="1"/>
  <c r="AL3441" i="1"/>
  <c r="N3441" i="1"/>
  <c r="M3441" i="1"/>
  <c r="AL3440" i="1"/>
  <c r="N3440" i="1"/>
  <c r="M3440" i="1"/>
  <c r="AL3439" i="1"/>
  <c r="N3439" i="1"/>
  <c r="M3439" i="1"/>
  <c r="AL3438" i="1"/>
  <c r="N3438" i="1"/>
  <c r="M3438" i="1"/>
  <c r="AL3437" i="1"/>
  <c r="N3437" i="1"/>
  <c r="M3437" i="1"/>
  <c r="AL3436" i="1"/>
  <c r="N3436" i="1"/>
  <c r="M3436" i="1"/>
  <c r="AL3435" i="1"/>
  <c r="N3435" i="1"/>
  <c r="M3435" i="1"/>
  <c r="AL3434" i="1"/>
  <c r="N3434" i="1"/>
  <c r="M3434" i="1"/>
  <c r="AL3433" i="1"/>
  <c r="N3433" i="1"/>
  <c r="M3433" i="1"/>
  <c r="AL3432" i="1"/>
  <c r="N3432" i="1"/>
  <c r="M3432" i="1"/>
  <c r="AL3431" i="1"/>
  <c r="N3431" i="1"/>
  <c r="M3431" i="1"/>
  <c r="AL3430" i="1"/>
  <c r="N3430" i="1"/>
  <c r="M3430" i="1"/>
  <c r="AL3429" i="1"/>
  <c r="N3429" i="1"/>
  <c r="M3429" i="1"/>
  <c r="AL3428" i="1"/>
  <c r="N3428" i="1"/>
  <c r="M3428" i="1"/>
  <c r="AL3427" i="1"/>
  <c r="N3427" i="1"/>
  <c r="M3427" i="1"/>
  <c r="AL3426" i="1"/>
  <c r="N3426" i="1"/>
  <c r="M3426" i="1"/>
  <c r="AL3425" i="1"/>
  <c r="N3425" i="1"/>
  <c r="M3425" i="1"/>
  <c r="AL3424" i="1"/>
  <c r="N3424" i="1"/>
  <c r="M3424" i="1"/>
  <c r="AL3423" i="1"/>
  <c r="N3423" i="1"/>
  <c r="M3423" i="1"/>
  <c r="AL3422" i="1"/>
  <c r="N3422" i="1"/>
  <c r="M3422" i="1"/>
  <c r="AL3421" i="1"/>
  <c r="N3421" i="1"/>
  <c r="M3421" i="1"/>
  <c r="AL3420" i="1"/>
  <c r="N3420" i="1"/>
  <c r="M3420" i="1"/>
  <c r="AL3419" i="1"/>
  <c r="N3419" i="1"/>
  <c r="M3419" i="1"/>
  <c r="AL3418" i="1"/>
  <c r="N3418" i="1"/>
  <c r="M3418" i="1"/>
  <c r="AL3417" i="1"/>
  <c r="N3417" i="1"/>
  <c r="M3417" i="1"/>
  <c r="AL3416" i="1"/>
  <c r="N3416" i="1"/>
  <c r="M3416" i="1"/>
  <c r="AL3415" i="1"/>
  <c r="N3415" i="1"/>
  <c r="M3415" i="1"/>
  <c r="AL3414" i="1"/>
  <c r="N3414" i="1"/>
  <c r="M3414" i="1"/>
  <c r="AL3413" i="1"/>
  <c r="N3413" i="1"/>
  <c r="M3413" i="1"/>
  <c r="AL3412" i="1"/>
  <c r="N3412" i="1"/>
  <c r="M3412" i="1"/>
  <c r="AL3411" i="1"/>
  <c r="N3411" i="1"/>
  <c r="M3411" i="1"/>
  <c r="AL3410" i="1"/>
  <c r="N3410" i="1"/>
  <c r="M3410" i="1"/>
  <c r="AL3409" i="1"/>
  <c r="N3409" i="1"/>
  <c r="M3409" i="1"/>
  <c r="AL3408" i="1"/>
  <c r="N3408" i="1"/>
  <c r="M3408" i="1"/>
  <c r="AL3407" i="1"/>
  <c r="N3407" i="1"/>
  <c r="M3407" i="1"/>
  <c r="AL3406" i="1"/>
  <c r="N3406" i="1"/>
  <c r="M3406" i="1"/>
  <c r="FP3405" i="1"/>
  <c r="FO3405" i="1"/>
  <c r="FP3404" i="1"/>
  <c r="FO3404" i="1"/>
  <c r="AL3405" i="1"/>
  <c r="N3405" i="1"/>
  <c r="M3405" i="1"/>
  <c r="AL3404" i="1"/>
  <c r="C84" i="3"/>
  <c r="E84" i="3" s="1"/>
  <c r="N3404" i="1"/>
  <c r="M3404" i="1"/>
  <c r="N3403" i="1"/>
  <c r="M3403" i="1"/>
  <c r="N3402" i="1"/>
  <c r="M3402" i="1"/>
  <c r="N3401" i="1"/>
  <c r="M3401" i="1"/>
  <c r="N3400" i="1"/>
  <c r="M3400" i="1"/>
  <c r="N3399" i="1"/>
  <c r="M3399" i="1"/>
  <c r="N3398" i="1"/>
  <c r="M3398" i="1"/>
  <c r="N3397" i="1"/>
  <c r="M3397" i="1"/>
  <c r="N3396" i="1"/>
  <c r="M3396" i="1"/>
  <c r="N3395" i="1"/>
  <c r="M3395" i="1"/>
  <c r="N3394" i="1"/>
  <c r="M3394" i="1"/>
  <c r="N3393" i="1"/>
  <c r="M3393" i="1"/>
  <c r="N3392" i="1"/>
  <c r="M3392" i="1"/>
  <c r="N3391" i="1"/>
  <c r="M3391" i="1"/>
  <c r="N3390" i="1"/>
  <c r="M3390" i="1"/>
  <c r="N3389" i="1"/>
  <c r="M3389" i="1"/>
  <c r="N3388" i="1"/>
  <c r="M3388" i="1"/>
  <c r="N3387" i="1"/>
  <c r="M3387" i="1"/>
  <c r="N3386" i="1"/>
  <c r="M3386" i="1"/>
  <c r="N3385" i="1"/>
  <c r="M3385" i="1"/>
  <c r="N3384" i="1"/>
  <c r="M3384" i="1"/>
  <c r="N3383" i="1"/>
  <c r="M3383" i="1"/>
  <c r="M3381" i="1"/>
  <c r="N3381" i="1"/>
  <c r="M3382" i="1"/>
  <c r="N3382" i="1"/>
  <c r="N3380" i="1"/>
  <c r="M3380" i="1"/>
  <c r="N3379" i="1"/>
  <c r="M3379" i="1"/>
  <c r="N3378" i="1"/>
  <c r="M3378" i="1"/>
  <c r="N3377" i="1"/>
  <c r="M3377" i="1"/>
  <c r="N3376" i="1"/>
  <c r="M3376" i="1"/>
  <c r="N3375" i="1"/>
  <c r="M3375" i="1"/>
  <c r="N3374" i="1"/>
  <c r="M3374" i="1"/>
  <c r="N3373" i="1"/>
  <c r="M3373" i="1"/>
  <c r="N3372" i="1"/>
  <c r="M3372" i="1"/>
  <c r="N3371" i="1"/>
  <c r="M3371" i="1"/>
  <c r="CN3364" i="1"/>
  <c r="CN3363" i="1"/>
  <c r="CN3362" i="1"/>
  <c r="CM3363" i="1"/>
  <c r="CM3364" i="1"/>
  <c r="CM3362" i="1"/>
  <c r="DD3360" i="1"/>
  <c r="DE3360" i="1"/>
  <c r="DD3361" i="1"/>
  <c r="DE3361" i="1"/>
  <c r="DE3359" i="1"/>
  <c r="DD3359" i="1"/>
  <c r="DD3357" i="1"/>
  <c r="DE3357" i="1"/>
  <c r="DD3358" i="1"/>
  <c r="DE3358" i="1"/>
  <c r="DE3356" i="1"/>
  <c r="DD3356" i="1"/>
  <c r="DD3354" i="1"/>
  <c r="DE3354" i="1"/>
  <c r="DD3355" i="1"/>
  <c r="DE3355" i="1"/>
  <c r="DE3353" i="1"/>
  <c r="DD3353" i="1"/>
  <c r="CE3360" i="1"/>
  <c r="CF3360" i="1"/>
  <c r="CE3361" i="1"/>
  <c r="CF3361" i="1"/>
  <c r="CF3359" i="1"/>
  <c r="CE3359" i="1"/>
  <c r="CE3357" i="1"/>
  <c r="CF3357" i="1"/>
  <c r="CE3358" i="1"/>
  <c r="CF3358" i="1"/>
  <c r="CF3356" i="1"/>
  <c r="CE3356" i="1"/>
  <c r="CF3353" i="1"/>
  <c r="CF3354" i="1"/>
  <c r="CF3355" i="1"/>
  <c r="CE3354" i="1"/>
  <c r="CE3355" i="1"/>
  <c r="CE3353" i="1"/>
  <c r="CF3350" i="1"/>
  <c r="CF3351" i="1"/>
  <c r="CF3352" i="1"/>
  <c r="CE3351" i="1"/>
  <c r="CE3352" i="1"/>
  <c r="CE3350" i="1"/>
  <c r="CF3347" i="1"/>
  <c r="CF3348" i="1"/>
  <c r="CF3349" i="1"/>
  <c r="CE3348" i="1"/>
  <c r="CE3349" i="1"/>
  <c r="CE3347" i="1"/>
  <c r="CE3345" i="1"/>
  <c r="CF3345" i="1"/>
  <c r="CE3346" i="1"/>
  <c r="CF3346" i="1"/>
  <c r="CF3344" i="1"/>
  <c r="CE3344" i="1"/>
  <c r="AI3361" i="1"/>
  <c r="AI3360" i="1"/>
  <c r="AI3359" i="1"/>
  <c r="AI3358" i="1"/>
  <c r="AI3357" i="1"/>
  <c r="AI3356" i="1"/>
  <c r="AI3355" i="1"/>
  <c r="AI3354" i="1"/>
  <c r="AI3353" i="1"/>
  <c r="AI3352" i="1"/>
  <c r="AI3351" i="1"/>
  <c r="AI3350" i="1"/>
  <c r="AI3349" i="1"/>
  <c r="AI3348" i="1"/>
  <c r="AI3347" i="1"/>
  <c r="AI3346" i="1"/>
  <c r="AI3345" i="1"/>
  <c r="CE3335" i="1" l="1"/>
  <c r="CF3335" i="1"/>
  <c r="CE3336" i="1"/>
  <c r="CF3336" i="1"/>
  <c r="CE3337" i="1"/>
  <c r="CF3337" i="1"/>
  <c r="CE3338" i="1"/>
  <c r="CF3338" i="1"/>
  <c r="CF3334" i="1"/>
  <c r="CE3334" i="1"/>
  <c r="CE3325" i="1"/>
  <c r="CF3325" i="1"/>
  <c r="CE3326" i="1"/>
  <c r="CF3326" i="1"/>
  <c r="CE3327" i="1"/>
  <c r="CF3327" i="1"/>
  <c r="CE3328" i="1"/>
  <c r="CF3328" i="1"/>
  <c r="CF3324" i="1"/>
  <c r="CE3324" i="1"/>
  <c r="CE3320" i="1"/>
  <c r="CF3320" i="1"/>
  <c r="CE3321" i="1"/>
  <c r="CF3321" i="1"/>
  <c r="CE3322" i="1"/>
  <c r="CF3322" i="1"/>
  <c r="CE3323" i="1"/>
  <c r="CF3323" i="1"/>
  <c r="CF3319" i="1"/>
  <c r="CE3319" i="1"/>
  <c r="AJ3343" i="1"/>
  <c r="AI3343" i="1"/>
  <c r="AJ3342" i="1"/>
  <c r="AI3342" i="1"/>
  <c r="AJ3341" i="1"/>
  <c r="AI3341" i="1"/>
  <c r="AJ3340" i="1"/>
  <c r="AI3340" i="1"/>
  <c r="AJ3339" i="1"/>
  <c r="AI3339" i="1"/>
  <c r="AJ3338" i="1"/>
  <c r="AI3338" i="1"/>
  <c r="AJ3337" i="1"/>
  <c r="AI3337" i="1"/>
  <c r="AJ3336" i="1"/>
  <c r="AI3336" i="1"/>
  <c r="AJ3335" i="1"/>
  <c r="AI3335" i="1"/>
  <c r="AJ3334" i="1"/>
  <c r="AI3334" i="1"/>
  <c r="AJ3333" i="1"/>
  <c r="AI3333" i="1"/>
  <c r="AJ3332" i="1"/>
  <c r="AI3332" i="1"/>
  <c r="AJ3331" i="1"/>
  <c r="AI3331" i="1"/>
  <c r="AJ3330" i="1"/>
  <c r="AI3330" i="1"/>
  <c r="AJ3329" i="1"/>
  <c r="AI3329" i="1"/>
  <c r="AJ3328" i="1"/>
  <c r="AI3328" i="1"/>
  <c r="AJ3327" i="1"/>
  <c r="AI3327" i="1"/>
  <c r="AJ3326" i="1"/>
  <c r="AI3326" i="1"/>
  <c r="AJ3325" i="1"/>
  <c r="AI3325" i="1"/>
  <c r="AJ3324" i="1"/>
  <c r="AI3324" i="1"/>
  <c r="AJ3323" i="1"/>
  <c r="AI3323" i="1"/>
  <c r="AJ3322" i="1"/>
  <c r="AI3322" i="1"/>
  <c r="AJ3321" i="1"/>
  <c r="AI3321" i="1"/>
  <c r="AJ3320" i="1"/>
  <c r="AI3320" i="1"/>
  <c r="AJ3319" i="1"/>
  <c r="AI3344" i="1"/>
  <c r="AI3319" i="1"/>
  <c r="CE3310" i="1"/>
  <c r="CF3310" i="1"/>
  <c r="CE3311" i="1"/>
  <c r="CF3311" i="1"/>
  <c r="CE3312" i="1"/>
  <c r="CF3312" i="1"/>
  <c r="CE3313" i="1"/>
  <c r="CF3313" i="1"/>
  <c r="CF3309" i="1"/>
  <c r="CE3309" i="1"/>
  <c r="BT3272" i="1"/>
  <c r="BT3271" i="1"/>
  <c r="BT3270" i="1"/>
  <c r="BT3269" i="1"/>
  <c r="BT3268" i="1"/>
  <c r="BT3267" i="1"/>
  <c r="BT3290" i="1"/>
  <c r="BT3289" i="1"/>
  <c r="BT3288" i="1"/>
  <c r="BT3287" i="1"/>
  <c r="BT3286" i="1"/>
  <c r="BT3285" i="1"/>
  <c r="BT3284" i="1"/>
  <c r="BT3283" i="1"/>
  <c r="BT3282" i="1"/>
  <c r="BT3281" i="1"/>
  <c r="BT3280" i="1"/>
  <c r="BT3279" i="1"/>
  <c r="BT3300" i="1"/>
  <c r="BT3299" i="1"/>
  <c r="BT3298" i="1"/>
  <c r="BT3297" i="1"/>
  <c r="BT3296" i="1"/>
  <c r="BT3295" i="1"/>
  <c r="BT3294" i="1"/>
  <c r="BT3293" i="1"/>
  <c r="BT3292" i="1"/>
  <c r="BT329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l="1"/>
  <c r="S3266" i="1"/>
  <c r="N3266" i="1"/>
  <c r="S3265" i="1"/>
  <c r="N3265" i="1"/>
  <c r="S3264" i="1"/>
  <c r="N3264" i="1"/>
  <c r="S3263" i="1"/>
  <c r="N3263" i="1"/>
  <c r="S3262" i="1"/>
  <c r="N3262" i="1"/>
  <c r="S3261" i="1"/>
  <c r="N3261" i="1"/>
  <c r="S3260" i="1"/>
  <c r="N3260" i="1"/>
  <c r="S3259" i="1"/>
  <c r="N3259" i="1"/>
  <c r="S3258" i="1"/>
  <c r="N3258" i="1"/>
  <c r="S3257" i="1"/>
  <c r="N3257" i="1"/>
  <c r="S3256" i="1"/>
  <c r="N3256" i="1"/>
  <c r="S3255" i="1"/>
  <c r="N3255" i="1"/>
  <c r="S3254" i="1"/>
  <c r="N3254" i="1"/>
  <c r="S3253" i="1"/>
  <c r="N3253" i="1"/>
  <c r="S3252" i="1"/>
  <c r="N3252" i="1"/>
  <c r="S3251" i="1"/>
  <c r="N3251" i="1"/>
  <c r="S3250" i="1"/>
  <c r="N3250" i="1"/>
  <c r="S3249" i="1"/>
  <c r="N3249" i="1"/>
  <c r="S3248" i="1"/>
  <c r="N3248" i="1"/>
  <c r="S3247" i="1"/>
  <c r="N3247" i="1"/>
  <c r="S3246" i="1"/>
  <c r="N3246" i="1"/>
  <c r="S3245" i="1"/>
  <c r="N3245" i="1"/>
  <c r="S3244" i="1"/>
  <c r="N3244" i="1"/>
  <c r="S3243" i="1"/>
  <c r="N3243" i="1"/>
  <c r="S3242" i="1"/>
  <c r="N3242" i="1"/>
  <c r="S3241" i="1"/>
  <c r="N3241" i="1"/>
  <c r="S3240" i="1"/>
  <c r="N3240" i="1"/>
  <c r="S3239" i="1"/>
  <c r="N3239" i="1"/>
  <c r="S3238" i="1"/>
  <c r="N3238" i="1"/>
  <c r="S3237" i="1"/>
  <c r="N3237" i="1"/>
  <c r="S3236" i="1"/>
  <c r="N3236" i="1"/>
  <c r="S3235" i="1"/>
  <c r="N3235" i="1"/>
  <c r="S3234" i="1"/>
  <c r="N3234" i="1"/>
  <c r="S3233" i="1"/>
  <c r="N3233" i="1"/>
  <c r="S3232" i="1"/>
  <c r="N3232" i="1"/>
  <c r="S3231" i="1"/>
  <c r="N3231" i="1"/>
  <c r="S3230" i="1"/>
  <c r="N3230" i="1"/>
  <c r="S3229" i="1"/>
  <c r="N3229" i="1"/>
  <c r="S3228" i="1"/>
  <c r="N3228" i="1"/>
  <c r="S3227" i="1"/>
  <c r="N3227" i="1"/>
  <c r="S3226" i="1"/>
  <c r="N3226" i="1"/>
  <c r="S3225" i="1"/>
  <c r="N3225" i="1"/>
  <c r="S3224" i="1"/>
  <c r="N3224" i="1"/>
  <c r="S3223" i="1"/>
  <c r="N3223" i="1"/>
  <c r="S3222" i="1"/>
  <c r="N3222" i="1"/>
  <c r="S3221" i="1"/>
  <c r="N3221" i="1"/>
  <c r="S3220" i="1"/>
  <c r="N3220" i="1"/>
  <c r="S3219" i="1"/>
  <c r="N3219" i="1"/>
  <c r="S3218" i="1"/>
  <c r="N3218" i="1"/>
  <c r="S3217" i="1"/>
  <c r="N3217" i="1"/>
  <c r="S3216" i="1"/>
  <c r="N3216" i="1"/>
  <c r="S3215" i="1"/>
  <c r="N3215" i="1"/>
  <c r="S3214" i="1"/>
  <c r="N3214" i="1"/>
  <c r="S3213" i="1"/>
  <c r="N3213" i="1"/>
  <c r="S3212" i="1"/>
  <c r="N3212" i="1"/>
  <c r="S3211" i="1"/>
  <c r="N3211" i="1"/>
  <c r="S3210" i="1"/>
  <c r="N3210" i="1"/>
  <c r="S3209" i="1"/>
  <c r="N3209" i="1"/>
  <c r="S3208" i="1"/>
  <c r="N3208" i="1"/>
  <c r="S3207" i="1"/>
  <c r="N3207" i="1"/>
  <c r="S3206" i="1"/>
  <c r="N3206" i="1"/>
  <c r="S3205" i="1"/>
  <c r="N3205" i="1"/>
  <c r="S3204" i="1"/>
  <c r="N3204" i="1"/>
  <c r="S3203" i="1"/>
  <c r="N3203" i="1"/>
  <c r="S3202" i="1"/>
  <c r="N3202" i="1"/>
  <c r="S3201" i="1"/>
  <c r="N3201" i="1"/>
  <c r="AF3196" i="1"/>
  <c r="N3196" i="1"/>
  <c r="M3196" i="1"/>
  <c r="AF3195" i="1"/>
  <c r="AF3194" i="1"/>
  <c r="N3195" i="1"/>
  <c r="M3195" i="1"/>
  <c r="N3194" i="1"/>
  <c r="CF3171" i="1" l="1"/>
  <c r="CF3172" i="1"/>
  <c r="CF3173" i="1"/>
  <c r="CE3172" i="1"/>
  <c r="CE3173" i="1"/>
  <c r="CE3171" i="1"/>
  <c r="CF3168" i="1"/>
  <c r="CF3169" i="1"/>
  <c r="CF3170" i="1"/>
  <c r="CE3169" i="1"/>
  <c r="CE3170" i="1"/>
  <c r="CE3168" i="1"/>
  <c r="CF3156" i="1"/>
  <c r="CF3157" i="1"/>
  <c r="CF3158" i="1"/>
  <c r="CE3157" i="1"/>
  <c r="CE3158" i="1"/>
  <c r="CE3156" i="1"/>
  <c r="CF3153" i="1"/>
  <c r="CF3154" i="1"/>
  <c r="CF3155" i="1"/>
  <c r="CE3154" i="1"/>
  <c r="CE3155" i="1"/>
  <c r="CE3153" i="1"/>
  <c r="CF3150" i="1"/>
  <c r="CF3151" i="1"/>
  <c r="CF3152" i="1"/>
  <c r="CE3151" i="1"/>
  <c r="CE3152" i="1"/>
  <c r="CE3150" i="1"/>
  <c r="CF3179" i="1"/>
  <c r="CE3179" i="1"/>
  <c r="Q3179" i="1"/>
  <c r="N3179" i="1"/>
  <c r="M3179" i="1"/>
  <c r="CF3178" i="1"/>
  <c r="CE3178" i="1"/>
  <c r="Q3178" i="1"/>
  <c r="N3178" i="1"/>
  <c r="M3178" i="1"/>
  <c r="CF3177" i="1"/>
  <c r="CE3177" i="1"/>
  <c r="Q3177" i="1"/>
  <c r="N3177" i="1"/>
  <c r="M3177" i="1"/>
  <c r="CF3176" i="1"/>
  <c r="CE3176" i="1"/>
  <c r="Q3176" i="1"/>
  <c r="N3176" i="1"/>
  <c r="M3176" i="1"/>
  <c r="CF3175" i="1"/>
  <c r="CE3175" i="1"/>
  <c r="Q3175" i="1"/>
  <c r="N3175" i="1"/>
  <c r="M3175" i="1"/>
  <c r="CF3174" i="1"/>
  <c r="CE3174" i="1"/>
  <c r="Q3174" i="1"/>
  <c r="N3174" i="1"/>
  <c r="M3174" i="1"/>
  <c r="Q3173" i="1"/>
  <c r="N3173" i="1"/>
  <c r="M3173" i="1"/>
  <c r="Q3172" i="1"/>
  <c r="N3172" i="1"/>
  <c r="M3172" i="1"/>
  <c r="Q3171" i="1"/>
  <c r="N3171" i="1"/>
  <c r="M3171" i="1"/>
  <c r="Q3170" i="1"/>
  <c r="N3170" i="1"/>
  <c r="M3170" i="1"/>
  <c r="Q3169" i="1"/>
  <c r="N3169" i="1"/>
  <c r="M3169" i="1"/>
  <c r="Q3168" i="1"/>
  <c r="N3168" i="1"/>
  <c r="M3168" i="1"/>
  <c r="Q3167" i="1"/>
  <c r="N3167" i="1"/>
  <c r="M3167" i="1"/>
  <c r="Q3166" i="1"/>
  <c r="N3166" i="1"/>
  <c r="M3166" i="1"/>
  <c r="Q3165" i="1"/>
  <c r="N3165" i="1"/>
  <c r="M3165" i="1"/>
  <c r="Q3164" i="1"/>
  <c r="N3164" i="1"/>
  <c r="M3164" i="1"/>
  <c r="Q3163" i="1"/>
  <c r="N3163" i="1"/>
  <c r="M3163" i="1"/>
  <c r="Q3162" i="1"/>
  <c r="N3162" i="1"/>
  <c r="M3162" i="1"/>
  <c r="Q3155" i="1"/>
  <c r="N3155" i="1"/>
  <c r="M3155" i="1"/>
  <c r="Q3154" i="1"/>
  <c r="N3154" i="1"/>
  <c r="M3154" i="1"/>
  <c r="Q3153" i="1"/>
  <c r="N3153" i="1"/>
  <c r="M3153" i="1"/>
  <c r="Q3152" i="1"/>
  <c r="N3152" i="1"/>
  <c r="M3152" i="1"/>
  <c r="Q3151" i="1"/>
  <c r="N3151" i="1"/>
  <c r="M3151" i="1"/>
  <c r="Q3150" i="1"/>
  <c r="N3150" i="1"/>
  <c r="M3150" i="1"/>
  <c r="Q3161" i="1"/>
  <c r="N3161" i="1"/>
  <c r="M3161" i="1"/>
  <c r="Q3160" i="1"/>
  <c r="N3160" i="1"/>
  <c r="M3160" i="1"/>
  <c r="Q3158" i="1"/>
  <c r="N3158" i="1"/>
  <c r="M3158" i="1"/>
  <c r="Q3157" i="1"/>
  <c r="N3157" i="1"/>
  <c r="M3157" i="1"/>
  <c r="Q3156" i="1"/>
  <c r="N3156" i="1"/>
  <c r="M3156" i="1"/>
  <c r="Q3159" i="1"/>
  <c r="N3159" i="1"/>
  <c r="M3159" i="1"/>
  <c r="CB3149" i="1"/>
  <c r="CB3148" i="1"/>
  <c r="CB3147" i="1"/>
  <c r="CB3146" i="1"/>
  <c r="CB3145" i="1"/>
  <c r="CB3144" i="1"/>
  <c r="CB3143" i="1"/>
  <c r="CB3142" i="1"/>
  <c r="CB3141" i="1"/>
  <c r="CB3140" i="1"/>
  <c r="CB3139" i="1"/>
  <c r="CB3138" i="1"/>
  <c r="CB3137" i="1"/>
  <c r="CB3136" i="1"/>
  <c r="CB3135" i="1"/>
  <c r="CB3134" i="1"/>
  <c r="CB3133" i="1"/>
  <c r="CB3132" i="1"/>
  <c r="CB3131" i="1"/>
  <c r="CB3130" i="1"/>
  <c r="CB3129" i="1"/>
  <c r="CB3128" i="1"/>
  <c r="CB3127" i="1"/>
  <c r="CB3126" i="1"/>
  <c r="CB3125" i="1"/>
  <c r="CB3124" i="1"/>
  <c r="CB3123" i="1"/>
  <c r="AF3149" i="1"/>
  <c r="N3149" i="1"/>
  <c r="M3149" i="1"/>
  <c r="AF3148" i="1"/>
  <c r="N3148" i="1"/>
  <c r="M3148" i="1"/>
  <c r="AF3147" i="1"/>
  <c r="N3147" i="1"/>
  <c r="M3147" i="1"/>
  <c r="AF3146" i="1"/>
  <c r="N3146" i="1"/>
  <c r="M3146" i="1"/>
  <c r="AF3145" i="1"/>
  <c r="N3145" i="1"/>
  <c r="M3145" i="1"/>
  <c r="AF3144" i="1"/>
  <c r="N3144" i="1"/>
  <c r="M3144" i="1"/>
  <c r="AF3143" i="1"/>
  <c r="N3143" i="1"/>
  <c r="M3143" i="1"/>
  <c r="AF3142" i="1"/>
  <c r="N3142" i="1"/>
  <c r="M3142" i="1"/>
  <c r="AF3141" i="1"/>
  <c r="N3141" i="1"/>
  <c r="M3141" i="1"/>
  <c r="AF3140" i="1"/>
  <c r="N3140" i="1"/>
  <c r="M3140" i="1"/>
  <c r="AF3139" i="1"/>
  <c r="N3139" i="1"/>
  <c r="M3139" i="1"/>
  <c r="AF3138" i="1"/>
  <c r="N3138" i="1"/>
  <c r="M3138" i="1"/>
  <c r="AF3137" i="1"/>
  <c r="N3137" i="1"/>
  <c r="M3137" i="1"/>
  <c r="AF3136" i="1"/>
  <c r="N3136" i="1"/>
  <c r="M3136" i="1"/>
  <c r="AF3135" i="1"/>
  <c r="N3135" i="1"/>
  <c r="M3135" i="1"/>
  <c r="AF3134" i="1"/>
  <c r="N3134" i="1"/>
  <c r="M3134" i="1"/>
  <c r="AF3133" i="1"/>
  <c r="N3133" i="1"/>
  <c r="M3133" i="1"/>
  <c r="AF3132" i="1"/>
  <c r="N3132" i="1"/>
  <c r="M3132" i="1"/>
  <c r="AF3131" i="1"/>
  <c r="N3131" i="1"/>
  <c r="M3131" i="1"/>
  <c r="AF3130" i="1"/>
  <c r="N3130" i="1"/>
  <c r="M3130" i="1"/>
  <c r="AF3129" i="1"/>
  <c r="N3129" i="1"/>
  <c r="M3129" i="1"/>
  <c r="AF3128" i="1"/>
  <c r="N3128" i="1"/>
  <c r="M3128" i="1"/>
  <c r="AF3127" i="1"/>
  <c r="N3127" i="1"/>
  <c r="M3127" i="1"/>
  <c r="AF3126" i="1"/>
  <c r="N3126" i="1"/>
  <c r="M3126" i="1"/>
  <c r="AF3125" i="1"/>
  <c r="N3125" i="1"/>
  <c r="M3125" i="1"/>
  <c r="AF3124" i="1"/>
  <c r="N3124" i="1"/>
  <c r="M3124" i="1"/>
  <c r="AF3123" i="1"/>
  <c r="N3123" i="1"/>
  <c r="M3123" i="1"/>
  <c r="N3122" i="1"/>
  <c r="M3122" i="1"/>
  <c r="N3121" i="1"/>
  <c r="M3121" i="1"/>
  <c r="N3120" i="1"/>
  <c r="M3120" i="1"/>
  <c r="N3119" i="1"/>
  <c r="M3119" i="1"/>
  <c r="N3118" i="1"/>
  <c r="M3118" i="1"/>
  <c r="N3117" i="1"/>
  <c r="M3117" i="1"/>
  <c r="N3116" i="1"/>
  <c r="M3116" i="1"/>
  <c r="N3115" i="1"/>
  <c r="M3115" i="1"/>
  <c r="N3114" i="1"/>
  <c r="M3114" i="1"/>
  <c r="N3113" i="1"/>
  <c r="M3113" i="1"/>
  <c r="N3112" i="1"/>
  <c r="M3112" i="1"/>
  <c r="N3111" i="1"/>
  <c r="M3111" i="1"/>
  <c r="N3110" i="1"/>
  <c r="M3110" i="1"/>
  <c r="N3109" i="1"/>
  <c r="M3109" i="1"/>
  <c r="N3108" i="1"/>
  <c r="M3108" i="1"/>
  <c r="N3107" i="1"/>
  <c r="M3107" i="1"/>
  <c r="N3106" i="1"/>
  <c r="M3106" i="1"/>
  <c r="N3105" i="1"/>
  <c r="M3105" i="1"/>
  <c r="N3104" i="1"/>
  <c r="M3104" i="1"/>
  <c r="N3103" i="1"/>
  <c r="M3103" i="1"/>
  <c r="N3102" i="1"/>
  <c r="M3102" i="1"/>
  <c r="N3101" i="1"/>
  <c r="M3101" i="1"/>
  <c r="N3100" i="1"/>
  <c r="M3100" i="1"/>
  <c r="N3099" i="1"/>
  <c r="M3099" i="1"/>
  <c r="N3098" i="1"/>
  <c r="M3098" i="1"/>
  <c r="N3097" i="1"/>
  <c r="M3097" i="1"/>
  <c r="N3096" i="1"/>
  <c r="M3096" i="1"/>
  <c r="N3095" i="1"/>
  <c r="M3095" i="1"/>
  <c r="N3094" i="1"/>
  <c r="M3094" i="1"/>
  <c r="N3093" i="1"/>
  <c r="M3093" i="1"/>
  <c r="N3092" i="1"/>
  <c r="M3092" i="1"/>
  <c r="N3091" i="1"/>
  <c r="M3091" i="1"/>
  <c r="N3090" i="1"/>
  <c r="M3090" i="1"/>
  <c r="N3089" i="1"/>
  <c r="M3089" i="1"/>
  <c r="N3088" i="1"/>
  <c r="M3088" i="1"/>
  <c r="N3087" i="1"/>
  <c r="M3087" i="1"/>
  <c r="N3086" i="1"/>
  <c r="M3086" i="1"/>
  <c r="N3085" i="1"/>
  <c r="M3085" i="1"/>
  <c r="N3084" i="1"/>
  <c r="M3084" i="1"/>
  <c r="N3083" i="1"/>
  <c r="M3083" i="1"/>
  <c r="N3082" i="1"/>
  <c r="M3082" i="1"/>
  <c r="N3081" i="1"/>
  <c r="M3081" i="1"/>
  <c r="N3080" i="1"/>
  <c r="M3080" i="1"/>
  <c r="N3079" i="1"/>
  <c r="M3079" i="1"/>
  <c r="N3078" i="1"/>
  <c r="M3078" i="1"/>
  <c r="N3077" i="1"/>
  <c r="M3077" i="1"/>
  <c r="N3076" i="1"/>
  <c r="M3076" i="1"/>
  <c r="N3075" i="1"/>
  <c r="M3075" i="1"/>
  <c r="N3074" i="1"/>
  <c r="M3074" i="1"/>
  <c r="N3073" i="1"/>
  <c r="M3073" i="1"/>
  <c r="N3072" i="1"/>
  <c r="M3072" i="1"/>
  <c r="N3071" i="1"/>
  <c r="M3071" i="1"/>
  <c r="N3070" i="1"/>
  <c r="M3070" i="1"/>
  <c r="N3069" i="1"/>
  <c r="M3069" i="1"/>
  <c r="N3068" i="1"/>
  <c r="M3068" i="1"/>
  <c r="N3067" i="1"/>
  <c r="M3067" i="1"/>
  <c r="N3066" i="1"/>
  <c r="M3066" i="1"/>
  <c r="N3065" i="1"/>
  <c r="M3065" i="1"/>
  <c r="N3064" i="1"/>
  <c r="M3064" i="1"/>
  <c r="N3063" i="1"/>
  <c r="M3063" i="1"/>
  <c r="N3062" i="1"/>
  <c r="M3062" i="1"/>
  <c r="N3061" i="1"/>
  <c r="M3061" i="1"/>
  <c r="N3060" i="1"/>
  <c r="M3060" i="1"/>
  <c r="N3059" i="1"/>
  <c r="M3059" i="1"/>
  <c r="N3058" i="1"/>
  <c r="M3058" i="1"/>
  <c r="N3057" i="1"/>
  <c r="M3057" i="1"/>
  <c r="N3056" i="1"/>
  <c r="M3056" i="1"/>
  <c r="N3055" i="1"/>
  <c r="M3055" i="1"/>
  <c r="N2976" i="1" l="1"/>
  <c r="M2976" i="1"/>
  <c r="N2975" i="1"/>
  <c r="M2975" i="1"/>
  <c r="N2974" i="1"/>
  <c r="M2974" i="1"/>
  <c r="N2973" i="1"/>
  <c r="M2973" i="1"/>
  <c r="N2972" i="1"/>
  <c r="M2972" i="1"/>
  <c r="N2971" i="1"/>
  <c r="M2971" i="1"/>
  <c r="N2970" i="1"/>
  <c r="M2970" i="1"/>
  <c r="N2969" i="1"/>
  <c r="M2969" i="1"/>
  <c r="N2968" i="1"/>
  <c r="M2968" i="1"/>
  <c r="N2967" i="1"/>
  <c r="M2967" i="1"/>
  <c r="N2966" i="1"/>
  <c r="M2966" i="1"/>
  <c r="N2965" i="1"/>
  <c r="M2965" i="1"/>
  <c r="N2964" i="1"/>
  <c r="M2964" i="1"/>
  <c r="N2963" i="1"/>
  <c r="M2963" i="1"/>
  <c r="N2962" i="1"/>
  <c r="M2962" i="1"/>
  <c r="N2961" i="1"/>
  <c r="M2961" i="1"/>
  <c r="N2960" i="1"/>
  <c r="M2960" i="1"/>
  <c r="N2959" i="1"/>
  <c r="M2959" i="1"/>
  <c r="N2958" i="1"/>
  <c r="M2958" i="1"/>
  <c r="N2957" i="1"/>
  <c r="M2957" i="1"/>
  <c r="N2956" i="1"/>
  <c r="M2956" i="1"/>
  <c r="N2955" i="1"/>
  <c r="M2955" i="1"/>
  <c r="N2954" i="1"/>
  <c r="M2954" i="1"/>
  <c r="N2953" i="1"/>
  <c r="M2953" i="1"/>
  <c r="FK2952" i="1"/>
  <c r="FK2951" i="1"/>
  <c r="N2952" i="1"/>
  <c r="M2952" i="1"/>
  <c r="N2951" i="1"/>
  <c r="M2951" i="1"/>
  <c r="AI2950" i="1"/>
  <c r="N2950" i="1"/>
  <c r="M2950" i="1"/>
  <c r="AI2949" i="1"/>
  <c r="N2949" i="1"/>
  <c r="M2949" i="1"/>
  <c r="AI2948" i="1"/>
  <c r="N2948" i="1"/>
  <c r="M2948" i="1"/>
  <c r="N2945" i="1"/>
  <c r="M2945" i="1"/>
  <c r="N2947" i="1"/>
  <c r="M2947" i="1"/>
  <c r="N2946" i="1"/>
  <c r="M2946" i="1"/>
  <c r="N2944" i="1"/>
  <c r="M2944" i="1"/>
  <c r="CF2936" i="1"/>
  <c r="CF2937" i="1"/>
  <c r="CF2938" i="1"/>
  <c r="CF2939" i="1"/>
  <c r="CE2939" i="1"/>
  <c r="CE2937" i="1"/>
  <c r="CE2938" i="1"/>
  <c r="CE2936" i="1"/>
  <c r="CF2928" i="1"/>
  <c r="CF2929" i="1"/>
  <c r="CF2930" i="1"/>
  <c r="CF2931" i="1"/>
  <c r="CE2929" i="1"/>
  <c r="CE2930" i="1"/>
  <c r="CE2931" i="1"/>
  <c r="CE2928" i="1"/>
  <c r="EI2931" i="1"/>
  <c r="EH2931" i="1"/>
  <c r="DJ2939" i="1"/>
  <c r="DJ2943" i="1"/>
  <c r="DI2943" i="1"/>
  <c r="DI2939" i="1"/>
  <c r="CP2939" i="1"/>
  <c r="CO2939" i="1"/>
  <c r="CP2931" i="1"/>
  <c r="CO2931" i="1"/>
  <c r="AF2943" i="1"/>
  <c r="N2943" i="1"/>
  <c r="M2943" i="1"/>
  <c r="AF2942" i="1"/>
  <c r="N2942" i="1"/>
  <c r="M2942" i="1"/>
  <c r="AF2941" i="1"/>
  <c r="N2941" i="1"/>
  <c r="M2941" i="1"/>
  <c r="AF2940" i="1"/>
  <c r="N2940" i="1"/>
  <c r="M2940" i="1"/>
  <c r="AF2939" i="1"/>
  <c r="N2939" i="1"/>
  <c r="M2939" i="1"/>
  <c r="AF2938" i="1"/>
  <c r="N2938" i="1"/>
  <c r="M2938" i="1"/>
  <c r="AF2936" i="1"/>
  <c r="N2936" i="1"/>
  <c r="M2936" i="1"/>
  <c r="AF2935" i="1"/>
  <c r="N2935" i="1"/>
  <c r="M2935" i="1"/>
  <c r="AF2934" i="1"/>
  <c r="N2934" i="1"/>
  <c r="M2934" i="1"/>
  <c r="AF2933" i="1"/>
  <c r="N2933" i="1"/>
  <c r="M2933" i="1"/>
  <c r="AF2932" i="1"/>
  <c r="N2932" i="1"/>
  <c r="M2932" i="1"/>
  <c r="AF2931" i="1"/>
  <c r="N2931" i="1"/>
  <c r="M2931" i="1"/>
  <c r="AF2930" i="1"/>
  <c r="N2930" i="1"/>
  <c r="M2930" i="1"/>
  <c r="AF2929" i="1"/>
  <c r="N2929" i="1"/>
  <c r="M2929" i="1"/>
  <c r="AF2937" i="1"/>
  <c r="AF2928" i="1"/>
  <c r="N2937" i="1"/>
  <c r="M2937" i="1"/>
  <c r="N2928" i="1"/>
  <c r="M2928" i="1"/>
  <c r="BS2927" i="1"/>
  <c r="BT2927" i="1" s="1"/>
  <c r="BS2926" i="1"/>
  <c r="BT2926" i="1" s="1"/>
  <c r="BS2925" i="1"/>
  <c r="BT2925" i="1" s="1"/>
  <c r="BS2924" i="1"/>
  <c r="BT2924" i="1" s="1"/>
  <c r="BS2923" i="1"/>
  <c r="BT2923" i="1" s="1"/>
  <c r="BS2922" i="1"/>
  <c r="BT2922" i="1" s="1"/>
  <c r="AF2921" i="1" l="1"/>
  <c r="N2921" i="1"/>
  <c r="M2921" i="1"/>
  <c r="AF2920" i="1"/>
  <c r="N2920" i="1"/>
  <c r="M2920" i="1"/>
  <c r="AF2918" i="1"/>
  <c r="N2918" i="1"/>
  <c r="M2918" i="1"/>
  <c r="AF2917" i="1"/>
  <c r="N2917" i="1"/>
  <c r="M2917" i="1"/>
  <c r="AF2916" i="1"/>
  <c r="N2916" i="1"/>
  <c r="M2916" i="1"/>
  <c r="AF2919" i="1"/>
  <c r="AF2915" i="1"/>
  <c r="N2919" i="1"/>
  <c r="M2919" i="1"/>
  <c r="N2915" i="1"/>
  <c r="M2915" i="1"/>
  <c r="AF2914" i="1"/>
  <c r="AF2913" i="1"/>
  <c r="BT2911" i="1"/>
  <c r="BT2907" i="1"/>
  <c r="BT2906" i="1"/>
  <c r="BT2905" i="1"/>
  <c r="BT2902" i="1"/>
  <c r="BT2901" i="1"/>
  <c r="DW2912" i="1"/>
  <c r="DW2911" i="1"/>
  <c r="DW2910" i="1"/>
  <c r="DW2909" i="1"/>
  <c r="DW2908" i="1"/>
  <c r="DW2907" i="1"/>
  <c r="DV2912" i="1"/>
  <c r="DV2911" i="1"/>
  <c r="DV2910" i="1"/>
  <c r="DV2909" i="1"/>
  <c r="DV2908" i="1"/>
  <c r="DV2907" i="1"/>
  <c r="N2912" i="1"/>
  <c r="N2911" i="1"/>
  <c r="N2910" i="1"/>
  <c r="N2909" i="1"/>
  <c r="N2908" i="1"/>
  <c r="DW2906" i="1"/>
  <c r="DW2905" i="1"/>
  <c r="DV2906" i="1"/>
  <c r="DV2905" i="1"/>
  <c r="DW2904" i="1"/>
  <c r="DW2903" i="1"/>
  <c r="DV2904" i="1"/>
  <c r="DV2903" i="1"/>
  <c r="DW2902" i="1"/>
  <c r="DW2901" i="1"/>
  <c r="DV2902" i="1"/>
  <c r="DV2901" i="1"/>
  <c r="N2906" i="1"/>
  <c r="N2905" i="1"/>
  <c r="N2904" i="1"/>
  <c r="N2903" i="1"/>
  <c r="N2902" i="1"/>
  <c r="N2901" i="1"/>
  <c r="N2907" i="1"/>
  <c r="N2900" i="1"/>
  <c r="M2900" i="1"/>
  <c r="N2899" i="1"/>
  <c r="M2899" i="1"/>
  <c r="N2898" i="1"/>
  <c r="M2898" i="1"/>
  <c r="N2897" i="1"/>
  <c r="M2897" i="1"/>
  <c r="N2896" i="1"/>
  <c r="M2896" i="1"/>
  <c r="N2895" i="1"/>
  <c r="M2895" i="1"/>
  <c r="DE2883" i="1"/>
  <c r="DE2884" i="1"/>
  <c r="DE2885" i="1"/>
  <c r="DD2884" i="1"/>
  <c r="DD2885" i="1"/>
  <c r="DD2883" i="1"/>
  <c r="DE2880" i="1"/>
  <c r="DE2881" i="1"/>
  <c r="DE2882" i="1"/>
  <c r="DD2881" i="1"/>
  <c r="DD2882" i="1"/>
  <c r="DD2880" i="1"/>
  <c r="DE2877" i="1"/>
  <c r="DE2878" i="1"/>
  <c r="DE2879" i="1"/>
  <c r="DD2878" i="1"/>
  <c r="DD2879" i="1"/>
  <c r="DD2877" i="1"/>
  <c r="DE2892" i="1"/>
  <c r="DE2893" i="1"/>
  <c r="DE2894" i="1"/>
  <c r="DD2893" i="1"/>
  <c r="DD2894" i="1"/>
  <c r="DD2892" i="1"/>
  <c r="DE2889" i="1"/>
  <c r="DE2890" i="1"/>
  <c r="DE2891" i="1"/>
  <c r="DD2890" i="1"/>
  <c r="DD2891" i="1"/>
  <c r="DD2889" i="1"/>
  <c r="DE2886" i="1"/>
  <c r="DE2887" i="1"/>
  <c r="DE2888" i="1"/>
  <c r="DD2887" i="1"/>
  <c r="DD2888" i="1"/>
  <c r="DD2886" i="1"/>
  <c r="CE2877" i="1"/>
  <c r="CE2878" i="1"/>
  <c r="CE2879" i="1"/>
  <c r="CE2883" i="1"/>
  <c r="CE2884" i="1"/>
  <c r="CE2885" i="1"/>
  <c r="CF2878" i="1"/>
  <c r="CF2879" i="1"/>
  <c r="CF2884" i="1"/>
  <c r="CF2885" i="1"/>
  <c r="CF2883" i="1"/>
  <c r="CF2877" i="1"/>
  <c r="CE2892" i="1"/>
  <c r="CE2893" i="1"/>
  <c r="CE2894" i="1"/>
  <c r="CF2893" i="1"/>
  <c r="CF2894" i="1"/>
  <c r="CF2892" i="1"/>
  <c r="N2894" i="1"/>
  <c r="M2894" i="1"/>
  <c r="N2893" i="1"/>
  <c r="M2893" i="1"/>
  <c r="N2892" i="1"/>
  <c r="M2892" i="1"/>
  <c r="N2891" i="1"/>
  <c r="M2891" i="1"/>
  <c r="N2890" i="1"/>
  <c r="M2890" i="1"/>
  <c r="N2889" i="1"/>
  <c r="M2889" i="1"/>
  <c r="N2888" i="1"/>
  <c r="M2888" i="1"/>
  <c r="N2887" i="1"/>
  <c r="M2887" i="1"/>
  <c r="N2886" i="1"/>
  <c r="M2886" i="1"/>
  <c r="N2885" i="1"/>
  <c r="M2885" i="1"/>
  <c r="N2884" i="1"/>
  <c r="M2884" i="1"/>
  <c r="N2883" i="1"/>
  <c r="M2883" i="1"/>
  <c r="N2882" i="1"/>
  <c r="M2882" i="1"/>
  <c r="N2881" i="1"/>
  <c r="M2881" i="1"/>
  <c r="N2880" i="1"/>
  <c r="M2880" i="1"/>
  <c r="N2879" i="1"/>
  <c r="M2879" i="1"/>
  <c r="N2878" i="1"/>
  <c r="M2878" i="1"/>
  <c r="N2877" i="1"/>
  <c r="M2877" i="1"/>
  <c r="DV2876" i="1" l="1"/>
  <c r="DV2875" i="1"/>
  <c r="DU2875" i="1"/>
  <c r="DV2874" i="1"/>
  <c r="DV2873" i="1"/>
  <c r="DU2876" i="1"/>
  <c r="DU2874" i="1"/>
  <c r="DU2873" i="1"/>
  <c r="N2876" i="1"/>
  <c r="M2876" i="1"/>
  <c r="N2875" i="1"/>
  <c r="M2875" i="1"/>
  <c r="N2874" i="1"/>
  <c r="M2874" i="1"/>
  <c r="N2873" i="1"/>
  <c r="M2873" i="1"/>
  <c r="BU2871" i="1"/>
  <c r="BU2872" i="1"/>
  <c r="BU2870" i="1"/>
  <c r="BU2868" i="1"/>
  <c r="BU2869" i="1"/>
  <c r="BU2867" i="1"/>
  <c r="BU2865" i="1"/>
  <c r="BU2866" i="1"/>
  <c r="BU2864" i="1"/>
  <c r="DC2872" i="1"/>
  <c r="DC2871" i="1"/>
  <c r="DC2870" i="1"/>
  <c r="DC2869" i="1"/>
  <c r="DC2868" i="1"/>
  <c r="DC2867" i="1"/>
  <c r="DC2866" i="1"/>
  <c r="DC2865" i="1"/>
  <c r="DC2864" i="1"/>
  <c r="DB2865" i="1"/>
  <c r="DB2866" i="1"/>
  <c r="DB2867" i="1"/>
  <c r="DB2868" i="1"/>
  <c r="DB2869" i="1"/>
  <c r="DB2870" i="1"/>
  <c r="DB2871" i="1"/>
  <c r="DB2872" i="1"/>
  <c r="DB2864" i="1"/>
  <c r="N2872" i="1"/>
  <c r="N2871" i="1"/>
  <c r="N2870" i="1"/>
  <c r="N2869" i="1"/>
  <c r="N2868" i="1"/>
  <c r="N2867" i="1"/>
  <c r="N2866" i="1"/>
  <c r="N2865" i="1"/>
  <c r="BS2863" i="1"/>
  <c r="BU2863" i="1" s="1"/>
  <c r="BS2862" i="1"/>
  <c r="BU2862" i="1" s="1"/>
  <c r="BS2861" i="1"/>
  <c r="BU2861" i="1" s="1"/>
  <c r="BS2860" i="1"/>
  <c r="BU2860" i="1" s="1"/>
  <c r="BS2859" i="1"/>
  <c r="BU2859" i="1" s="1"/>
  <c r="BS2858" i="1"/>
  <c r="BU2858" i="1" s="1"/>
  <c r="BS2857" i="1"/>
  <c r="BU2857" i="1" s="1"/>
  <c r="BS2856" i="1"/>
  <c r="BU2856" i="1" s="1"/>
  <c r="BS2855" i="1"/>
  <c r="BU2855" i="1" s="1"/>
  <c r="DC2863" i="1"/>
  <c r="DC2862" i="1"/>
  <c r="DC2861" i="1"/>
  <c r="DC2860" i="1"/>
  <c r="DC2859" i="1"/>
  <c r="DC2858" i="1"/>
  <c r="DC2857" i="1"/>
  <c r="DC2856" i="1"/>
  <c r="DC2855" i="1"/>
  <c r="DB2856" i="1"/>
  <c r="DB2857" i="1"/>
  <c r="DB2858" i="1"/>
  <c r="DB2859" i="1"/>
  <c r="DB2860" i="1"/>
  <c r="DB2861" i="1"/>
  <c r="DB2862" i="1"/>
  <c r="DB2863" i="1"/>
  <c r="DB2855" i="1"/>
  <c r="N2863" i="1"/>
  <c r="N2862" i="1"/>
  <c r="N2861" i="1"/>
  <c r="N2860" i="1"/>
  <c r="N2859" i="1"/>
  <c r="N2858" i="1"/>
  <c r="N2857" i="1"/>
  <c r="N2856" i="1"/>
  <c r="N2864" i="1"/>
  <c r="N2855" i="1"/>
  <c r="N2854" i="1"/>
  <c r="M2854" i="1"/>
  <c r="N2853" i="1"/>
  <c r="M2853" i="1"/>
  <c r="N2852" i="1"/>
  <c r="M2852" i="1"/>
  <c r="N2851" i="1"/>
  <c r="M2851" i="1"/>
  <c r="N2850" i="1"/>
  <c r="M2850" i="1"/>
  <c r="N2849" i="1"/>
  <c r="M2849" i="1"/>
  <c r="N2848" i="1"/>
  <c r="M2848" i="1"/>
  <c r="N2847" i="1"/>
  <c r="M2847" i="1"/>
  <c r="N2846" i="1"/>
  <c r="M2846" i="1"/>
  <c r="N2845" i="1"/>
  <c r="M2845" i="1"/>
  <c r="N2844" i="1"/>
  <c r="M2844" i="1"/>
  <c r="N2843" i="1"/>
  <c r="M2843" i="1"/>
  <c r="N2842" i="1"/>
  <c r="M2842" i="1"/>
  <c r="N2841" i="1"/>
  <c r="M2841" i="1"/>
  <c r="N2840" i="1"/>
  <c r="M2840" i="1"/>
  <c r="N2839" i="1"/>
  <c r="M2839" i="1"/>
  <c r="N2838" i="1"/>
  <c r="M2838" i="1"/>
  <c r="N2837" i="1"/>
  <c r="M2837" i="1"/>
  <c r="N2836" i="1"/>
  <c r="M2836" i="1"/>
  <c r="N2835" i="1"/>
  <c r="M2835" i="1"/>
  <c r="N2834" i="1"/>
  <c r="M2834" i="1"/>
  <c r="N2833" i="1"/>
  <c r="M2833" i="1"/>
  <c r="N2832" i="1"/>
  <c r="M2832" i="1"/>
  <c r="N2831" i="1"/>
  <c r="M2831" i="1"/>
  <c r="N2830" i="1"/>
  <c r="M2830" i="1"/>
  <c r="N2829" i="1"/>
  <c r="M2829" i="1"/>
  <c r="N2828" i="1"/>
  <c r="M2828" i="1"/>
  <c r="N2827" i="1"/>
  <c r="M2827" i="1"/>
  <c r="N2826" i="1"/>
  <c r="M2826" i="1"/>
  <c r="N2825" i="1"/>
  <c r="M2825" i="1"/>
  <c r="N2824" i="1"/>
  <c r="M2824" i="1"/>
  <c r="N2823" i="1"/>
  <c r="M2823" i="1"/>
  <c r="N2822" i="1"/>
  <c r="M2822" i="1"/>
  <c r="N2821" i="1"/>
  <c r="M2821" i="1"/>
  <c r="N2820" i="1"/>
  <c r="M2820" i="1"/>
  <c r="N2819" i="1"/>
  <c r="M2819" i="1"/>
  <c r="N2818" i="1"/>
  <c r="M2818" i="1"/>
  <c r="N2817" i="1"/>
  <c r="M2817" i="1"/>
  <c r="N2816" i="1"/>
  <c r="M2816" i="1"/>
  <c r="N2815" i="1"/>
  <c r="M2815" i="1"/>
  <c r="N2814" i="1"/>
  <c r="M2814" i="1"/>
  <c r="N2813" i="1"/>
  <c r="M2813" i="1"/>
  <c r="N2812" i="1"/>
  <c r="M2812" i="1"/>
  <c r="N2811" i="1"/>
  <c r="M2811" i="1"/>
  <c r="N2810" i="1"/>
  <c r="M2810" i="1"/>
  <c r="N2809" i="1"/>
  <c r="M2809" i="1"/>
  <c r="N2808" i="1"/>
  <c r="M2808" i="1"/>
  <c r="N2807" i="1"/>
  <c r="M2807" i="1"/>
  <c r="N2806" i="1"/>
  <c r="M2806" i="1"/>
  <c r="N2805" i="1"/>
  <c r="M2805" i="1"/>
  <c r="N2804" i="1"/>
  <c r="M2804" i="1"/>
  <c r="N2803" i="1"/>
  <c r="M2803" i="1"/>
  <c r="N2802" i="1"/>
  <c r="N3536" i="1" s="1"/>
  <c r="M2802" i="1"/>
  <c r="N2801" i="1"/>
  <c r="M2801" i="1"/>
  <c r="N2800" i="1"/>
  <c r="M2800" i="1"/>
  <c r="N2799" i="1"/>
  <c r="M2799" i="1"/>
  <c r="N2798" i="1"/>
  <c r="M2798" i="1"/>
  <c r="N2797" i="1"/>
  <c r="M2797" i="1"/>
  <c r="N2796" i="1"/>
  <c r="M2796" i="1"/>
  <c r="N2795" i="1"/>
  <c r="M2795" i="1"/>
  <c r="N2794" i="1"/>
  <c r="M2794" i="1"/>
  <c r="N2793" i="1"/>
  <c r="M2793" i="1"/>
  <c r="N2792" i="1"/>
  <c r="M2792" i="1"/>
  <c r="N2791" i="1"/>
  <c r="M2791" i="1"/>
  <c r="N2790" i="1"/>
  <c r="M2790" i="1"/>
  <c r="N2789" i="1"/>
  <c r="M2789" i="1"/>
  <c r="N2788" i="1"/>
  <c r="M2788" i="1"/>
  <c r="N2787" i="1"/>
  <c r="M2787" i="1"/>
  <c r="N2786" i="1"/>
  <c r="M2786" i="1"/>
  <c r="N2785" i="1"/>
  <c r="M2785" i="1"/>
  <c r="N2784" i="1"/>
  <c r="M2784" i="1"/>
  <c r="N2783" i="1"/>
  <c r="M2783" i="1"/>
  <c r="GQ2780" i="1"/>
  <c r="GQ2779" i="1"/>
  <c r="GQ2778" i="1"/>
  <c r="GQ2775" i="1"/>
  <c r="GQ2774" i="1"/>
  <c r="GQ2773" i="1"/>
  <c r="N2782" i="1"/>
  <c r="M2782" i="1"/>
  <c r="N2781" i="1"/>
  <c r="M2781" i="1"/>
  <c r="N2780" i="1"/>
  <c r="M2780" i="1"/>
  <c r="N2779" i="1"/>
  <c r="M2779" i="1"/>
  <c r="N2778" i="1"/>
  <c r="M2778" i="1"/>
  <c r="N2777" i="1"/>
  <c r="M2777" i="1"/>
  <c r="N2776" i="1"/>
  <c r="M2776" i="1"/>
  <c r="N2775" i="1"/>
  <c r="M2775" i="1"/>
  <c r="N2774" i="1"/>
  <c r="M2774" i="1"/>
  <c r="N2773" i="1"/>
  <c r="M2773" i="1"/>
  <c r="N2772" i="1"/>
  <c r="M2772" i="1"/>
  <c r="N2771" i="1"/>
  <c r="M2771" i="1"/>
  <c r="N2770" i="1"/>
  <c r="M2770" i="1"/>
  <c r="CC2769" i="1"/>
  <c r="CB2769" i="1"/>
  <c r="N2769" i="1"/>
  <c r="M2769" i="1"/>
  <c r="IF2719" i="1"/>
  <c r="IF2720" i="1"/>
  <c r="IE2720" i="1"/>
  <c r="IE2719" i="1"/>
  <c r="FW2719" i="1"/>
  <c r="FW2720" i="1"/>
  <c r="FV2720" i="1"/>
  <c r="FV2719" i="1"/>
  <c r="FU2720" i="1"/>
  <c r="FU2719" i="1"/>
  <c r="FT2720" i="1"/>
  <c r="FT2719" i="1"/>
  <c r="ID2720" i="1"/>
  <c r="IC2720" i="1"/>
  <c r="ID2719" i="1"/>
  <c r="IC2719" i="1"/>
  <c r="S2718" i="1"/>
  <c r="N2718" i="1"/>
  <c r="M2718" i="1"/>
  <c r="S2717" i="1"/>
  <c r="N2717" i="1"/>
  <c r="M2717" i="1"/>
  <c r="S2716" i="1"/>
  <c r="N2716" i="1"/>
  <c r="M2716" i="1"/>
  <c r="S2715" i="1"/>
  <c r="N2715" i="1"/>
  <c r="M2715" i="1"/>
  <c r="S2714" i="1"/>
  <c r="N2714" i="1"/>
  <c r="M2714" i="1"/>
  <c r="S2713" i="1"/>
  <c r="N2713" i="1"/>
  <c r="M2713" i="1"/>
  <c r="S2712" i="1"/>
  <c r="N2712" i="1"/>
  <c r="M2712" i="1"/>
  <c r="S2711" i="1"/>
  <c r="N2711" i="1"/>
  <c r="M2711" i="1"/>
  <c r="S2710" i="1"/>
  <c r="N2710" i="1"/>
  <c r="M2710" i="1"/>
  <c r="S2709" i="1"/>
  <c r="N2709" i="1"/>
  <c r="M2709" i="1"/>
  <c r="S2708" i="1"/>
  <c r="N2708" i="1"/>
  <c r="M2708" i="1"/>
  <c r="S2707" i="1"/>
  <c r="N2707" i="1"/>
  <c r="M2707" i="1"/>
  <c r="S2706" i="1"/>
  <c r="N2706" i="1"/>
  <c r="M2706" i="1"/>
  <c r="S2705" i="1"/>
  <c r="N2705" i="1"/>
  <c r="M2705" i="1"/>
  <c r="S2704" i="1"/>
  <c r="N2704" i="1"/>
  <c r="M2704" i="1"/>
  <c r="S2703" i="1"/>
  <c r="N2703" i="1"/>
  <c r="M2703" i="1"/>
  <c r="S2702" i="1"/>
  <c r="N2702" i="1"/>
  <c r="M2702" i="1"/>
  <c r="N3531" i="1" l="1"/>
  <c r="M3536" i="1"/>
  <c r="N3525" i="1"/>
  <c r="N3526" i="1"/>
  <c r="N3527" i="1"/>
  <c r="N3532" i="1"/>
  <c r="M3533" i="1"/>
  <c r="M3525" i="1"/>
  <c r="M3526" i="1"/>
  <c r="M3527" i="1"/>
  <c r="M3532" i="1"/>
  <c r="N3533" i="1"/>
  <c r="M3534" i="1"/>
  <c r="N3534" i="1"/>
  <c r="M3535" i="1"/>
  <c r="N3535" i="1"/>
  <c r="M3531" i="1"/>
  <c r="M3528" i="1"/>
  <c r="N3528" i="1"/>
  <c r="M3529" i="1"/>
  <c r="N3529" i="1"/>
  <c r="M3530" i="1"/>
  <c r="N3530" i="1"/>
  <c r="S2701" i="1"/>
  <c r="N2701" i="1"/>
  <c r="M2701" i="1"/>
  <c r="FP2698" i="1" l="1"/>
  <c r="AF2676" i="1"/>
  <c r="M2676" i="1"/>
  <c r="AF2675" i="1"/>
  <c r="M2675" i="1"/>
  <c r="AF2674" i="1"/>
  <c r="M2674" i="1"/>
  <c r="AF2673" i="1"/>
  <c r="M2673" i="1"/>
  <c r="AF2672" i="1"/>
  <c r="M2672" i="1"/>
  <c r="AF2671" i="1"/>
  <c r="M2671" i="1"/>
  <c r="AF2670" i="1"/>
  <c r="M2670" i="1"/>
  <c r="AF2669" i="1"/>
  <c r="M2669" i="1"/>
  <c r="AF2668" i="1"/>
  <c r="M2668" i="1"/>
  <c r="AF2667" i="1"/>
  <c r="M2667" i="1"/>
  <c r="AF2666" i="1"/>
  <c r="M2666" i="1"/>
  <c r="AF2665" i="1"/>
  <c r="M2665" i="1"/>
  <c r="AF2664" i="1"/>
  <c r="M2664" i="1"/>
  <c r="AF2663" i="1"/>
  <c r="M2663" i="1"/>
  <c r="AF2662" i="1"/>
  <c r="M2662" i="1"/>
  <c r="AF2661" i="1"/>
  <c r="M2661" i="1"/>
  <c r="BT2625" i="1"/>
  <c r="BT2624" i="1"/>
  <c r="BT2623" i="1"/>
  <c r="BT2622" i="1"/>
  <c r="BT2621" i="1"/>
  <c r="BT2620" i="1"/>
  <c r="BT2611" i="1"/>
  <c r="BT2610" i="1"/>
  <c r="BT2609" i="1"/>
  <c r="BT2608" i="1"/>
  <c r="BT2607" i="1"/>
  <c r="BT2606" i="1"/>
  <c r="EV2605" i="1"/>
  <c r="EV2606" i="1"/>
  <c r="EV2607" i="1"/>
  <c r="EV2608" i="1"/>
  <c r="EV2609" i="1"/>
  <c r="EV2610" i="1"/>
  <c r="EV2611" i="1"/>
  <c r="EU2606" i="1"/>
  <c r="EU2607" i="1"/>
  <c r="EU2608" i="1"/>
  <c r="EU2609" i="1"/>
  <c r="EU2610" i="1"/>
  <c r="EU2611" i="1"/>
  <c r="EU2605" i="1"/>
  <c r="AF2660" i="1"/>
  <c r="M2660" i="1"/>
  <c r="AF2659" i="1"/>
  <c r="M2659" i="1"/>
  <c r="AF2658" i="1"/>
  <c r="M2658" i="1"/>
  <c r="AF2657" i="1"/>
  <c r="M2657" i="1"/>
  <c r="AF2656" i="1"/>
  <c r="M2656" i="1"/>
  <c r="AF2655" i="1"/>
  <c r="M2655" i="1"/>
  <c r="AF2654" i="1"/>
  <c r="M2654" i="1"/>
  <c r="AF2653" i="1"/>
  <c r="M2653" i="1"/>
  <c r="AF2652" i="1"/>
  <c r="M2652" i="1"/>
  <c r="AF2651" i="1"/>
  <c r="M2651" i="1"/>
  <c r="AF2650" i="1"/>
  <c r="M2650" i="1"/>
  <c r="AF2649" i="1"/>
  <c r="M2649" i="1"/>
  <c r="AF2648" i="1"/>
  <c r="M2648" i="1"/>
  <c r="AF2647" i="1"/>
  <c r="M2647" i="1"/>
  <c r="AF2646" i="1"/>
  <c r="M2646" i="1"/>
  <c r="AF2645" i="1"/>
  <c r="M2645" i="1"/>
  <c r="AF2644" i="1"/>
  <c r="M2644" i="1"/>
  <c r="AF2643" i="1"/>
  <c r="M2643" i="1"/>
  <c r="AF2642" i="1"/>
  <c r="M2642" i="1"/>
  <c r="AF2641" i="1"/>
  <c r="M2641" i="1"/>
  <c r="AF2640" i="1"/>
  <c r="M2640" i="1"/>
  <c r="AF2639" i="1"/>
  <c r="M2639" i="1"/>
  <c r="AF2638" i="1"/>
  <c r="M2638" i="1"/>
  <c r="AF2637" i="1"/>
  <c r="M2637" i="1"/>
  <c r="AF2636" i="1"/>
  <c r="M2636" i="1"/>
  <c r="AF2635" i="1"/>
  <c r="M2635" i="1"/>
  <c r="AF2634" i="1"/>
  <c r="M2634" i="1"/>
  <c r="AF2633" i="1"/>
  <c r="M2633" i="1"/>
  <c r="AF2632" i="1"/>
  <c r="M2632" i="1"/>
  <c r="AF2631" i="1"/>
  <c r="M2631" i="1"/>
  <c r="AF2630" i="1"/>
  <c r="M2630" i="1"/>
  <c r="AF2629" i="1"/>
  <c r="M2629" i="1"/>
  <c r="AF2628" i="1"/>
  <c r="M2628" i="1"/>
  <c r="AF2627" i="1"/>
  <c r="M2627" i="1"/>
  <c r="AF2626" i="1"/>
  <c r="M2626" i="1"/>
  <c r="AF2618" i="1"/>
  <c r="M2618" i="1"/>
  <c r="AF2617" i="1"/>
  <c r="M2617" i="1"/>
  <c r="AF2616" i="1"/>
  <c r="M2616" i="1"/>
  <c r="AF2615" i="1"/>
  <c r="M2615" i="1"/>
  <c r="AF2614" i="1"/>
  <c r="M2614" i="1"/>
  <c r="AF2613" i="1"/>
  <c r="M2613" i="1"/>
  <c r="AF2612" i="1"/>
  <c r="M2612" i="1"/>
  <c r="AF2625" i="1"/>
  <c r="M2625" i="1"/>
  <c r="AF2624" i="1"/>
  <c r="M2624" i="1"/>
  <c r="AF2623" i="1"/>
  <c r="M2623" i="1"/>
  <c r="AF2622" i="1"/>
  <c r="M2622" i="1"/>
  <c r="AF2621" i="1"/>
  <c r="M2621" i="1"/>
  <c r="AF2620" i="1"/>
  <c r="M2620" i="1"/>
  <c r="AF2619" i="1"/>
  <c r="M2619" i="1"/>
  <c r="AF2611" i="1"/>
  <c r="M2611" i="1"/>
  <c r="AF2610" i="1"/>
  <c r="M2610" i="1"/>
  <c r="AF2609" i="1"/>
  <c r="M2609" i="1"/>
  <c r="AF2608" i="1"/>
  <c r="M2608" i="1"/>
  <c r="AF2607" i="1"/>
  <c r="M2607" i="1"/>
  <c r="AF2606" i="1"/>
  <c r="M2606" i="1"/>
  <c r="AF2605" i="1"/>
  <c r="M2605" i="1"/>
  <c r="BT2603" i="1"/>
  <c r="BT2602" i="1"/>
  <c r="BT2601" i="1"/>
  <c r="BT2599" i="1"/>
  <c r="BT2598" i="1"/>
  <c r="BT2597" i="1"/>
  <c r="Q2604" i="1"/>
  <c r="N2604" i="1"/>
  <c r="M2604" i="1"/>
  <c r="Q2603" i="1"/>
  <c r="N2603" i="1"/>
  <c r="M2603" i="1"/>
  <c r="Q2602" i="1"/>
  <c r="N2602" i="1"/>
  <c r="M2602" i="1"/>
  <c r="Q2601" i="1"/>
  <c r="N2601" i="1"/>
  <c r="M2601" i="1"/>
  <c r="Q2600" i="1"/>
  <c r="N2600" i="1"/>
  <c r="M2600" i="1"/>
  <c r="Q2599" i="1"/>
  <c r="N2599" i="1"/>
  <c r="M2599" i="1"/>
  <c r="Q2598" i="1"/>
  <c r="N2598" i="1"/>
  <c r="M2598" i="1"/>
  <c r="AF2596" i="1"/>
  <c r="Q2597" i="1"/>
  <c r="N2597" i="1"/>
  <c r="M2597" i="1"/>
  <c r="AF2595" i="1"/>
  <c r="AF2594" i="1"/>
  <c r="AF2593" i="1"/>
  <c r="AF2592" i="1"/>
  <c r="AF2591" i="1"/>
  <c r="AF2590" i="1"/>
  <c r="AF2589" i="1"/>
  <c r="AF2588" i="1"/>
  <c r="AF2587" i="1"/>
  <c r="AF2586" i="1"/>
  <c r="AF2585" i="1"/>
  <c r="AF2584" i="1"/>
  <c r="N2584" i="1"/>
  <c r="M2584" i="1"/>
  <c r="AF2583" i="1"/>
  <c r="N2583" i="1"/>
  <c r="M2583" i="1"/>
  <c r="AF2582" i="1"/>
  <c r="N2582" i="1"/>
  <c r="M2582" i="1"/>
  <c r="AF2581" i="1"/>
  <c r="N2581" i="1"/>
  <c r="M2581" i="1"/>
  <c r="AF2580" i="1"/>
  <c r="N2580" i="1"/>
  <c r="M2580" i="1"/>
  <c r="AF2579" i="1"/>
  <c r="N2579" i="1"/>
  <c r="M2579" i="1"/>
  <c r="AF2578" i="1"/>
  <c r="N2578" i="1"/>
  <c r="M2578" i="1"/>
  <c r="AF2577" i="1"/>
  <c r="N2577" i="1"/>
  <c r="M2577" i="1"/>
  <c r="AF2576" i="1"/>
  <c r="N2576" i="1"/>
  <c r="M2576" i="1"/>
  <c r="AF2575" i="1"/>
  <c r="N2575" i="1"/>
  <c r="M2575" i="1"/>
  <c r="AF2574" i="1"/>
  <c r="N2574" i="1"/>
  <c r="M2574" i="1"/>
  <c r="AF2573" i="1"/>
  <c r="N2573" i="1"/>
  <c r="M2573" i="1"/>
  <c r="DB2558" i="1"/>
  <c r="DB2559" i="1"/>
  <c r="DB2560" i="1"/>
  <c r="DB2557" i="1"/>
  <c r="AF2572" i="1"/>
  <c r="N2572" i="1"/>
  <c r="M2572" i="1"/>
  <c r="AF2571" i="1"/>
  <c r="N2571" i="1"/>
  <c r="M2571" i="1"/>
  <c r="AF2570" i="1"/>
  <c r="N2570" i="1"/>
  <c r="M2570" i="1"/>
  <c r="AF2569" i="1"/>
  <c r="N2569" i="1"/>
  <c r="M2569" i="1"/>
  <c r="AF2564" i="1"/>
  <c r="N2564" i="1"/>
  <c r="M2564" i="1"/>
  <c r="AF2563" i="1"/>
  <c r="N2563" i="1"/>
  <c r="M2563" i="1"/>
  <c r="AF2562" i="1"/>
  <c r="N2562" i="1"/>
  <c r="M2562" i="1"/>
  <c r="AF2561" i="1"/>
  <c r="N2561" i="1"/>
  <c r="M2561" i="1"/>
  <c r="AF2568" i="1"/>
  <c r="N2568" i="1"/>
  <c r="M2568" i="1"/>
  <c r="AF2567" i="1"/>
  <c r="N2567" i="1"/>
  <c r="M2567" i="1"/>
  <c r="AF2566" i="1"/>
  <c r="AF2560" i="1"/>
  <c r="N2560" i="1"/>
  <c r="M2560" i="1"/>
  <c r="AF2559" i="1"/>
  <c r="N2559" i="1"/>
  <c r="M2559" i="1"/>
  <c r="AF2558" i="1"/>
  <c r="N2558" i="1"/>
  <c r="M2558" i="1"/>
  <c r="AF2565" i="1"/>
  <c r="AF2557" i="1"/>
  <c r="N2557" i="1"/>
  <c r="M2557" i="1"/>
  <c r="BS2556" i="1"/>
  <c r="BS2555" i="1"/>
  <c r="BS2554" i="1"/>
  <c r="BS2553" i="1"/>
  <c r="M2556" i="1"/>
  <c r="M2554" i="1"/>
  <c r="CB2553" i="1"/>
  <c r="M2555" i="1"/>
  <c r="M2553" i="1"/>
  <c r="DW2525" i="1"/>
  <c r="DW2524" i="1"/>
  <c r="DW2523" i="1"/>
  <c r="DW2521" i="1"/>
  <c r="DW2520" i="1"/>
  <c r="DW2518" i="1"/>
  <c r="DW2519" i="1"/>
  <c r="DW2522" i="1"/>
  <c r="DW2517" i="1"/>
  <c r="DV2525" i="1"/>
  <c r="DV2524" i="1"/>
  <c r="DV2523" i="1"/>
  <c r="DV2522" i="1"/>
  <c r="DV2521" i="1"/>
  <c r="DV2520" i="1"/>
  <c r="DV2519" i="1"/>
  <c r="DV2518" i="1"/>
  <c r="DV2517" i="1"/>
  <c r="BS2478" i="1"/>
  <c r="BS2477" i="1"/>
  <c r="BS2476" i="1"/>
  <c r="BS2475" i="1"/>
  <c r="BS2474" i="1"/>
  <c r="BT2474" i="1" s="1"/>
  <c r="BS2473" i="1"/>
  <c r="BT2473" i="1" s="1"/>
  <c r="BS2472" i="1"/>
  <c r="BS2471" i="1"/>
  <c r="BS2470" i="1"/>
  <c r="BS2469" i="1"/>
  <c r="N2516" i="1"/>
  <c r="M2516" i="1"/>
  <c r="N2515" i="1"/>
  <c r="M2515" i="1"/>
  <c r="N2514" i="1"/>
  <c r="M2514" i="1"/>
  <c r="N2513" i="1"/>
  <c r="M2513" i="1"/>
  <c r="N2512" i="1"/>
  <c r="M2512" i="1"/>
  <c r="N2511" i="1"/>
  <c r="M2511" i="1"/>
  <c r="N2510" i="1"/>
  <c r="M2510" i="1"/>
  <c r="N2509" i="1"/>
  <c r="M2509" i="1"/>
  <c r="N2508" i="1"/>
  <c r="M2508" i="1"/>
  <c r="N2507" i="1"/>
  <c r="M2507" i="1"/>
  <c r="N2506" i="1"/>
  <c r="M2506" i="1"/>
  <c r="N2505" i="1"/>
  <c r="M2505" i="1"/>
  <c r="N2504" i="1"/>
  <c r="M2504" i="1"/>
  <c r="N2503" i="1"/>
  <c r="M2503" i="1"/>
  <c r="N2502" i="1"/>
  <c r="M2502" i="1"/>
  <c r="N2501" i="1"/>
  <c r="M2501" i="1"/>
  <c r="N2500" i="1"/>
  <c r="M2500" i="1"/>
  <c r="N2499" i="1"/>
  <c r="M2499" i="1"/>
  <c r="N2498" i="1"/>
  <c r="M2498" i="1"/>
  <c r="N2497" i="1"/>
  <c r="M2497" i="1"/>
  <c r="N2496" i="1"/>
  <c r="M2496" i="1"/>
  <c r="N2495" i="1"/>
  <c r="M2495" i="1"/>
  <c r="N2494" i="1"/>
  <c r="M2494" i="1"/>
  <c r="N2493" i="1"/>
  <c r="M2493" i="1"/>
  <c r="N2492" i="1"/>
  <c r="M2492" i="1"/>
  <c r="N2491" i="1"/>
  <c r="M2491" i="1"/>
  <c r="N2490" i="1"/>
  <c r="M2490" i="1"/>
  <c r="N2489" i="1"/>
  <c r="M2489" i="1"/>
  <c r="N2488" i="1"/>
  <c r="M2488" i="1"/>
  <c r="N2487" i="1"/>
  <c r="M2487" i="1"/>
  <c r="N2486" i="1"/>
  <c r="M2486" i="1"/>
  <c r="N2485" i="1"/>
  <c r="M2485" i="1"/>
  <c r="N2484" i="1"/>
  <c r="M2484" i="1"/>
  <c r="N2483" i="1"/>
  <c r="M2483" i="1"/>
  <c r="N2482" i="1"/>
  <c r="M2482" i="1"/>
  <c r="N2481" i="1"/>
  <c r="M2481" i="1"/>
  <c r="N2480" i="1"/>
  <c r="M2480" i="1"/>
  <c r="N2479" i="1"/>
  <c r="M2479" i="1"/>
  <c r="N2478" i="1"/>
  <c r="M2478" i="1"/>
  <c r="N2477" i="1"/>
  <c r="M2477" i="1"/>
  <c r="N2476" i="1"/>
  <c r="M2476" i="1"/>
  <c r="N2475" i="1"/>
  <c r="M2475" i="1"/>
  <c r="N2474" i="1"/>
  <c r="M2474" i="1"/>
  <c r="N2473" i="1"/>
  <c r="M2473" i="1"/>
  <c r="N2472" i="1"/>
  <c r="M2472" i="1"/>
  <c r="N2471" i="1"/>
  <c r="M2471" i="1"/>
  <c r="N2470" i="1"/>
  <c r="M2470" i="1"/>
  <c r="N2469" i="1"/>
  <c r="M2469" i="1"/>
  <c r="DW2468" i="1"/>
  <c r="DW2467" i="1"/>
  <c r="DW2466" i="1"/>
  <c r="DV2468" i="1"/>
  <c r="DV2467" i="1"/>
  <c r="DV2466" i="1"/>
  <c r="N2468" i="1"/>
  <c r="M2468" i="1"/>
  <c r="N2467" i="1"/>
  <c r="M2467" i="1"/>
  <c r="N2466" i="1"/>
  <c r="M2466" i="1"/>
  <c r="N2465" i="1"/>
  <c r="M2465" i="1"/>
  <c r="N2464" i="1"/>
  <c r="M2464" i="1"/>
  <c r="N2463" i="1"/>
  <c r="M2463" i="1"/>
  <c r="N2462" i="1"/>
  <c r="M2462" i="1"/>
  <c r="N2461" i="1"/>
  <c r="M2461" i="1"/>
  <c r="N2460" i="1"/>
  <c r="M2460" i="1"/>
  <c r="N2459" i="1"/>
  <c r="M2459" i="1"/>
  <c r="N2458" i="1"/>
  <c r="M2458" i="1"/>
  <c r="M3542" i="1" l="1"/>
  <c r="M3540" i="1"/>
  <c r="M3538" i="1"/>
  <c r="M3539" i="1"/>
  <c r="M3541" i="1"/>
  <c r="N3542" i="1"/>
  <c r="N3540" i="1"/>
  <c r="N3541" i="1"/>
  <c r="N3539" i="1"/>
  <c r="N3538" i="1"/>
  <c r="DB2447" i="1"/>
  <c r="DB2448" i="1"/>
  <c r="DB2446" i="1"/>
  <c r="N2457" i="1"/>
  <c r="M2457" i="1"/>
  <c r="N2456" i="1"/>
  <c r="M2456" i="1"/>
  <c r="N2455" i="1"/>
  <c r="M2455" i="1"/>
  <c r="N2454" i="1"/>
  <c r="M2454" i="1"/>
  <c r="N2453" i="1"/>
  <c r="M2453" i="1"/>
  <c r="N2451" i="1"/>
  <c r="M2451" i="1"/>
  <c r="N2450" i="1"/>
  <c r="M2450" i="1"/>
  <c r="N2449" i="1"/>
  <c r="M2449" i="1"/>
  <c r="N2448" i="1"/>
  <c r="M2448" i="1"/>
  <c r="N2447" i="1"/>
  <c r="M2447" i="1"/>
  <c r="N2452" i="1"/>
  <c r="M2452" i="1"/>
  <c r="N2446" i="1"/>
  <c r="M2446" i="1"/>
  <c r="GJ2445" i="1"/>
  <c r="GJ2444" i="1"/>
  <c r="GJ2443" i="1"/>
  <c r="GI2444" i="1"/>
  <c r="GI2445" i="1"/>
  <c r="GI2443" i="1"/>
  <c r="CB2443" i="1"/>
  <c r="BN2445" i="1"/>
  <c r="BN2444" i="1"/>
  <c r="BN2443" i="1"/>
  <c r="AF2442" i="1" l="1"/>
  <c r="AF2441" i="1"/>
  <c r="N2442" i="1"/>
  <c r="M2442" i="1"/>
  <c r="N2440" i="1"/>
  <c r="M2440" i="1"/>
  <c r="N2441" i="1"/>
  <c r="M2441" i="1"/>
  <c r="N2439" i="1"/>
  <c r="M2439" i="1"/>
  <c r="BP2438" i="1"/>
  <c r="N2438" i="1"/>
  <c r="M2438" i="1"/>
  <c r="BP2437" i="1"/>
  <c r="N2437" i="1"/>
  <c r="M2437" i="1"/>
  <c r="BP2436" i="1"/>
  <c r="N2436" i="1"/>
  <c r="M2436" i="1"/>
  <c r="BP2435" i="1"/>
  <c r="N2435" i="1"/>
  <c r="M2435" i="1"/>
  <c r="BP2434" i="1"/>
  <c r="N2434" i="1"/>
  <c r="M2434" i="1"/>
  <c r="BP2433" i="1"/>
  <c r="N2433" i="1"/>
  <c r="M2433" i="1"/>
  <c r="JH2432" i="1"/>
  <c r="JG2432" i="1"/>
  <c r="BP2432" i="1"/>
  <c r="N2432" i="1"/>
  <c r="M2432" i="1"/>
  <c r="JH2431" i="1"/>
  <c r="JG2431" i="1"/>
  <c r="BP2431" i="1"/>
  <c r="N2431" i="1"/>
  <c r="M2431" i="1"/>
  <c r="DG2429" i="1"/>
  <c r="DM2430" i="1"/>
  <c r="DM2429" i="1"/>
  <c r="DL2430" i="1"/>
  <c r="DL2429" i="1"/>
  <c r="JH2430" i="1"/>
  <c r="JH2429" i="1"/>
  <c r="JG2430" i="1"/>
  <c r="JG2429" i="1"/>
  <c r="DC2430" i="1"/>
  <c r="DC2429" i="1"/>
  <c r="DB2430" i="1"/>
  <c r="DB2429" i="1"/>
  <c r="BP2430" i="1"/>
  <c r="N2430" i="1"/>
  <c r="M2430" i="1"/>
  <c r="BP2429" i="1"/>
  <c r="N2429" i="1"/>
  <c r="M2429" i="1"/>
  <c r="EN2428" i="1"/>
  <c r="EM2428" i="1"/>
  <c r="EN2427" i="1"/>
  <c r="EM2427" i="1"/>
  <c r="EN2426" i="1"/>
  <c r="EM2426" i="1"/>
  <c r="BP2428" i="1" l="1"/>
  <c r="N2428" i="1"/>
  <c r="M2428" i="1"/>
  <c r="BP2427" i="1"/>
  <c r="N2427" i="1"/>
  <c r="M2427" i="1"/>
  <c r="BP2426" i="1"/>
  <c r="N2426" i="1"/>
  <c r="M2426" i="1"/>
  <c r="CK2268" i="1" l="1"/>
  <c r="CK2267" i="1"/>
  <c r="CK2266" i="1"/>
  <c r="CK2265" i="1"/>
  <c r="CK2264" i="1"/>
  <c r="CK2263" i="1"/>
  <c r="CK2262" i="1"/>
  <c r="CK2261" i="1"/>
  <c r="CK2260" i="1"/>
  <c r="CK2259" i="1"/>
  <c r="CK2258" i="1"/>
  <c r="CK2257" i="1"/>
  <c r="CK2256" i="1"/>
  <c r="CK2255" i="1"/>
  <c r="CK2254" i="1"/>
  <c r="CK2253" i="1"/>
  <c r="CJ2261" i="1"/>
  <c r="CJ2262" i="1"/>
  <c r="CJ2263" i="1"/>
  <c r="CJ2264" i="1"/>
  <c r="CJ2265" i="1"/>
  <c r="CJ2266" i="1"/>
  <c r="CJ2267" i="1"/>
  <c r="CJ2268" i="1"/>
  <c r="CJ2254" i="1"/>
  <c r="CJ2255" i="1"/>
  <c r="CJ2256" i="1"/>
  <c r="CJ2257" i="1"/>
  <c r="CJ2258" i="1"/>
  <c r="CJ2259" i="1"/>
  <c r="CJ2260" i="1"/>
  <c r="CJ2253" i="1"/>
  <c r="DW2252" i="1"/>
  <c r="DW2251" i="1"/>
  <c r="DV2252" i="1"/>
  <c r="DV2251" i="1"/>
  <c r="M2234" i="1"/>
  <c r="N2234" i="1"/>
  <c r="M2235" i="1"/>
  <c r="N2235" i="1"/>
  <c r="M2236" i="1"/>
  <c r="N2236" i="1"/>
  <c r="M2237" i="1"/>
  <c r="N2237" i="1"/>
  <c r="N2233" i="1"/>
  <c r="M2233" i="1"/>
  <c r="BX2212" i="1"/>
  <c r="BX2211" i="1"/>
  <c r="BX2210" i="1"/>
  <c r="BW2212" i="1"/>
  <c r="BW2211" i="1"/>
  <c r="BW2210" i="1"/>
  <c r="BR2212" i="1"/>
  <c r="BR2211" i="1"/>
  <c r="BR2210" i="1"/>
  <c r="CI2224" i="1"/>
  <c r="CI2223" i="1"/>
  <c r="CI2222" i="1"/>
  <c r="CI2221" i="1"/>
  <c r="CI2220" i="1"/>
  <c r="CI2219" i="1"/>
  <c r="CI2218" i="1"/>
  <c r="CI2217" i="1"/>
  <c r="CI2216" i="1"/>
  <c r="CH2217" i="1"/>
  <c r="CH2218" i="1"/>
  <c r="CH2219" i="1"/>
  <c r="CH2220" i="1"/>
  <c r="CH2221" i="1"/>
  <c r="CH2222" i="1"/>
  <c r="CH2223" i="1"/>
  <c r="CH2224" i="1"/>
  <c r="CH2216" i="1"/>
  <c r="CC2198" i="1" l="1"/>
  <c r="CC2197" i="1"/>
  <c r="CC2196" i="1"/>
  <c r="CC2195" i="1"/>
  <c r="CC2194" i="1"/>
  <c r="CC2193" i="1"/>
  <c r="CC2192" i="1"/>
  <c r="CC2191" i="1"/>
  <c r="CC2190" i="1"/>
  <c r="CC2189" i="1"/>
  <c r="CC2188" i="1"/>
  <c r="CC2187" i="1"/>
  <c r="CC2186" i="1"/>
  <c r="CC2185" i="1"/>
  <c r="CB2185" i="1"/>
  <c r="CB2198" i="1"/>
  <c r="CB2197" i="1"/>
  <c r="CB2196" i="1"/>
  <c r="CB2195" i="1"/>
  <c r="CB2194" i="1"/>
  <c r="CB2193" i="1"/>
  <c r="CB2192" i="1"/>
  <c r="CB2191" i="1"/>
  <c r="CB2190" i="1"/>
  <c r="CB2189" i="1"/>
  <c r="CB2188" i="1"/>
  <c r="CB2187" i="1"/>
  <c r="CB2186" i="1"/>
  <c r="CB2184" i="1"/>
  <c r="CC2184" i="1"/>
  <c r="CC2183" i="1"/>
  <c r="CC2182" i="1"/>
  <c r="CC2181" i="1"/>
  <c r="CB2183" i="1"/>
  <c r="CB2182" i="1"/>
  <c r="CB2181" i="1"/>
  <c r="CC2180" i="1"/>
  <c r="CC2179" i="1"/>
  <c r="CB2180" i="1"/>
  <c r="CB2179" i="1"/>
  <c r="N2198" i="1"/>
  <c r="N2197" i="1"/>
  <c r="N2196" i="1"/>
  <c r="N2195" i="1"/>
  <c r="N2194" i="1"/>
  <c r="N2193" i="1"/>
  <c r="N2192" i="1"/>
  <c r="M2192" i="1"/>
  <c r="N2191" i="1"/>
  <c r="M2191" i="1"/>
  <c r="N2190" i="1"/>
  <c r="M2190" i="1"/>
  <c r="N2189" i="1"/>
  <c r="M2189" i="1"/>
  <c r="N2188" i="1"/>
  <c r="M2188" i="1"/>
  <c r="N2187" i="1"/>
  <c r="M2187" i="1"/>
  <c r="N2186" i="1"/>
  <c r="M2186" i="1"/>
  <c r="N2185" i="1"/>
  <c r="M2185" i="1"/>
  <c r="DE2184" i="1"/>
  <c r="DE2183" i="1"/>
  <c r="DE2182" i="1"/>
  <c r="DE2181" i="1"/>
  <c r="DE2180" i="1"/>
  <c r="DE2179" i="1"/>
  <c r="DD2184" i="1"/>
  <c r="DD2183" i="1"/>
  <c r="DD2182" i="1"/>
  <c r="DD2181" i="1"/>
  <c r="DD2180" i="1"/>
  <c r="DD2179" i="1"/>
  <c r="CU2184" i="1"/>
  <c r="CP2184" i="1" s="1"/>
  <c r="CU2183" i="1"/>
  <c r="CP2183" i="1" s="1"/>
  <c r="CU2182" i="1"/>
  <c r="CP2182" i="1" s="1"/>
  <c r="CU2181" i="1"/>
  <c r="CP2181" i="1" s="1"/>
  <c r="CU2180" i="1"/>
  <c r="CP2180" i="1" s="1"/>
  <c r="CU2179" i="1"/>
  <c r="CP2179" i="1" s="1"/>
  <c r="CT2184" i="1"/>
  <c r="CO2184" i="1" s="1"/>
  <c r="CT2183" i="1"/>
  <c r="CO2183" i="1" s="1"/>
  <c r="CT2182" i="1"/>
  <c r="CO2182" i="1" s="1"/>
  <c r="CT2181" i="1"/>
  <c r="CO2181" i="1" s="1"/>
  <c r="CT2180" i="1"/>
  <c r="CO2180" i="1" s="1"/>
  <c r="CT2179" i="1"/>
  <c r="CO2179" i="1" s="1"/>
  <c r="N2183" i="1"/>
  <c r="N2184" i="1"/>
  <c r="N2182" i="1"/>
  <c r="N2181" i="1"/>
  <c r="M2181" i="1"/>
  <c r="M2180" i="1"/>
  <c r="N2180" i="1"/>
  <c r="N2179" i="1"/>
  <c r="M2179" i="1"/>
  <c r="AJ2166" i="1"/>
  <c r="AJ2165" i="1"/>
  <c r="M2178" i="1"/>
  <c r="M2177" i="1"/>
  <c r="M2176" i="1"/>
  <c r="M2175" i="1"/>
  <c r="M2174" i="1"/>
  <c r="M2173" i="1"/>
  <c r="M2172" i="1"/>
  <c r="M2171" i="1"/>
  <c r="M2170" i="1"/>
  <c r="M2169" i="1"/>
  <c r="M2168" i="1"/>
  <c r="M2167" i="1"/>
  <c r="M2166" i="1"/>
  <c r="M2165" i="1"/>
  <c r="AE2159" i="1"/>
  <c r="AF2160" i="1"/>
  <c r="AF2161" i="1"/>
  <c r="AF2162" i="1"/>
  <c r="AF2163" i="1"/>
  <c r="AF2164" i="1"/>
  <c r="AF2159" i="1"/>
  <c r="AE2160" i="1"/>
  <c r="AE2161" i="1"/>
  <c r="AE2162" i="1"/>
  <c r="AE2163" i="1"/>
  <c r="AE2164" i="1"/>
  <c r="N2158" i="1"/>
  <c r="M2158" i="1"/>
  <c r="N2157" i="1"/>
  <c r="M2157" i="1"/>
  <c r="N2156" i="1"/>
  <c r="M2156" i="1"/>
  <c r="N2154" i="1"/>
  <c r="M2154" i="1"/>
  <c r="N2150" i="1"/>
  <c r="M2150" i="1"/>
  <c r="N2153" i="1"/>
  <c r="M2153" i="1"/>
  <c r="N2152" i="1"/>
  <c r="M2152" i="1"/>
  <c r="N2148" i="1"/>
  <c r="M2148" i="1"/>
  <c r="N2149" i="1"/>
  <c r="M2149" i="1"/>
  <c r="N2155" i="1"/>
  <c r="M2155" i="1"/>
  <c r="N2151" i="1"/>
  <c r="M2151" i="1"/>
  <c r="N2147" i="1"/>
  <c r="M2147" i="1"/>
  <c r="BT2125" i="1" l="1"/>
  <c r="BT2124" i="1"/>
  <c r="BT2123" i="1"/>
  <c r="BT2122" i="1"/>
  <c r="BT2121" i="1"/>
  <c r="BT2120" i="1"/>
  <c r="BT2119" i="1"/>
  <c r="AJ2118" i="1"/>
  <c r="N2118" i="1"/>
  <c r="M2118" i="1"/>
  <c r="AJ2117" i="1"/>
  <c r="N2117" i="1"/>
  <c r="M2117" i="1"/>
  <c r="AJ2116" i="1"/>
  <c r="N2116" i="1"/>
  <c r="M2116" i="1"/>
  <c r="AJ2115" i="1"/>
  <c r="N2115" i="1"/>
  <c r="M2115" i="1"/>
  <c r="JH2113" i="1"/>
  <c r="JG2113" i="1"/>
  <c r="AJ2114" i="1"/>
  <c r="N2114" i="1"/>
  <c r="M2114" i="1"/>
  <c r="AJ2113" i="1"/>
  <c r="N2113" i="1"/>
  <c r="M2113" i="1"/>
  <c r="AJ2112" i="1"/>
  <c r="N2112" i="1"/>
  <c r="M2112" i="1"/>
  <c r="AJ2111" i="1"/>
  <c r="N2111" i="1"/>
  <c r="M2111" i="1"/>
  <c r="AJ2110" i="1"/>
  <c r="N2110" i="1"/>
  <c r="M2110" i="1"/>
  <c r="AJ2109" i="1"/>
  <c r="N2109" i="1"/>
  <c r="M2109" i="1"/>
  <c r="AJ2108" i="1"/>
  <c r="N2108" i="1"/>
  <c r="M2108" i="1"/>
  <c r="AJ2107" i="1"/>
  <c r="N2107" i="1" l="1"/>
  <c r="M2107" i="1"/>
  <c r="CI2095" i="1" l="1"/>
  <c r="CH2095" i="1"/>
  <c r="P2100" i="1"/>
  <c r="P2099" i="1"/>
  <c r="P2098" i="1"/>
  <c r="P2097" i="1"/>
  <c r="P2096" i="1"/>
  <c r="P2095" i="1"/>
  <c r="P2102" i="1"/>
  <c r="P2103" i="1"/>
  <c r="P2101" i="1"/>
  <c r="Q2097" i="1"/>
  <c r="Q2096" i="1"/>
  <c r="Q2095" i="1"/>
  <c r="Q2102" i="1"/>
  <c r="Q2103" i="1"/>
  <c r="Q2101" i="1"/>
  <c r="CJ2095" i="1"/>
  <c r="CK2095" i="1"/>
  <c r="CJ2096" i="1"/>
  <c r="CK2096" i="1"/>
  <c r="CJ2097" i="1"/>
  <c r="CK2097" i="1"/>
  <c r="AJ2100" i="1"/>
  <c r="AJ2099" i="1"/>
  <c r="AJ2098" i="1"/>
  <c r="AJ2097" i="1"/>
  <c r="AJ2096" i="1"/>
  <c r="AJ2095" i="1"/>
  <c r="AJ2102" i="1"/>
  <c r="AJ2103" i="1"/>
  <c r="AJ2101" i="1"/>
  <c r="CI2096" i="1"/>
  <c r="CI2097" i="1"/>
  <c r="CH2096" i="1"/>
  <c r="CH2097" i="1"/>
  <c r="CR2040" i="1" l="1"/>
  <c r="CM2040" i="1" s="1"/>
  <c r="CR2039" i="1"/>
  <c r="CM2039" i="1" s="1"/>
  <c r="CR2038" i="1"/>
  <c r="CM2038" i="1" s="1"/>
  <c r="CR2037" i="1"/>
  <c r="CM2037" i="1" s="1"/>
  <c r="DC2037" i="1"/>
  <c r="DC2040" i="1"/>
  <c r="DB2040" i="1"/>
  <c r="DC2039" i="1"/>
  <c r="DB2039" i="1"/>
  <c r="DC2038" i="1"/>
  <c r="DB2038" i="1"/>
  <c r="DB2037" i="1"/>
  <c r="CS2037" i="1"/>
  <c r="CN2037" i="1" s="1"/>
  <c r="CS2038" i="1"/>
  <c r="CN2038" i="1" s="1"/>
  <c r="CS2039" i="1"/>
  <c r="CN2039" i="1" s="1"/>
  <c r="CS2040" i="1"/>
  <c r="CN2040" i="1" s="1"/>
  <c r="AJ2094" i="1"/>
  <c r="AJ2093" i="1"/>
  <c r="AJ2092" i="1"/>
  <c r="AJ2091" i="1"/>
  <c r="AJ2090" i="1"/>
  <c r="AJ2089" i="1"/>
  <c r="AJ2088" i="1"/>
  <c r="AJ2087" i="1"/>
  <c r="AJ2086" i="1"/>
  <c r="AJ2085" i="1"/>
  <c r="AJ2084" i="1"/>
  <c r="AJ2083" i="1"/>
  <c r="AJ2082" i="1"/>
  <c r="AJ2081" i="1"/>
  <c r="AJ2080" i="1"/>
  <c r="AJ2079" i="1"/>
  <c r="AJ2078" i="1"/>
  <c r="AJ2077" i="1"/>
  <c r="AJ2076" i="1"/>
  <c r="AJ2075" i="1"/>
  <c r="AJ2074" i="1"/>
  <c r="AJ2073" i="1"/>
  <c r="AJ2072" i="1"/>
  <c r="AJ2071" i="1"/>
  <c r="AJ2070" i="1"/>
  <c r="AJ2069" i="1"/>
  <c r="AJ2068" i="1"/>
  <c r="AJ2067" i="1"/>
  <c r="AJ2066" i="1"/>
  <c r="AJ2065" i="1"/>
  <c r="AJ2064" i="1"/>
  <c r="AJ2063" i="1"/>
  <c r="AJ2062" i="1"/>
  <c r="AJ2061" i="1"/>
  <c r="AJ2060" i="1"/>
  <c r="AJ2059" i="1"/>
  <c r="AJ2058" i="1"/>
  <c r="AJ2057" i="1"/>
  <c r="AJ2056" i="1"/>
  <c r="AJ2055" i="1"/>
  <c r="AJ2054" i="1"/>
  <c r="AJ2053" i="1"/>
  <c r="AJ2052" i="1"/>
  <c r="AJ2051" i="1"/>
  <c r="AJ2050" i="1"/>
  <c r="AJ2049" i="1"/>
  <c r="AJ2048" i="1"/>
  <c r="AJ2047" i="1"/>
  <c r="AJ2046" i="1"/>
  <c r="AJ2045" i="1"/>
  <c r="AJ2044" i="1"/>
  <c r="AJ2043" i="1"/>
  <c r="AJ2042" i="1"/>
  <c r="AJ2041" i="1"/>
  <c r="AJ2040" i="1"/>
  <c r="BS1916" i="1"/>
  <c r="BS1911" i="1"/>
  <c r="BS1906" i="1"/>
  <c r="BS1901" i="1"/>
  <c r="BS1896" i="1"/>
  <c r="BS1891" i="1"/>
  <c r="BS1886" i="1"/>
  <c r="BS1881" i="1"/>
  <c r="C36" i="3" l="1"/>
  <c r="CH1881" i="1" l="1"/>
  <c r="CH1882" i="1"/>
  <c r="CH1883" i="1"/>
  <c r="CH1884" i="1"/>
  <c r="CH1885" i="1"/>
  <c r="CH1886" i="1"/>
  <c r="CH1887" i="1"/>
  <c r="CH1888" i="1"/>
  <c r="CH1889" i="1"/>
  <c r="CH1890" i="1"/>
  <c r="CH1891" i="1"/>
  <c r="CH1892" i="1"/>
  <c r="CH1893" i="1"/>
  <c r="CH1894" i="1"/>
  <c r="CH1895" i="1"/>
  <c r="CH1896" i="1"/>
  <c r="CH1897" i="1"/>
  <c r="CH1898" i="1"/>
  <c r="CH1899" i="1"/>
  <c r="CH1900" i="1"/>
  <c r="CH1901" i="1"/>
  <c r="CH1902" i="1"/>
  <c r="CH1903" i="1"/>
  <c r="CH1904" i="1"/>
  <c r="CH1905" i="1"/>
  <c r="CH1906" i="1"/>
  <c r="CH1907" i="1"/>
  <c r="CH1908" i="1"/>
  <c r="CH1909" i="1"/>
  <c r="CH1910" i="1"/>
  <c r="CH1911" i="1"/>
  <c r="CH1912" i="1"/>
  <c r="CH1913" i="1"/>
  <c r="CH1914" i="1"/>
  <c r="CH1915" i="1"/>
  <c r="CH1916" i="1"/>
  <c r="CH1917" i="1"/>
  <c r="CH1918" i="1"/>
  <c r="CH1919" i="1"/>
  <c r="CH1920" i="1"/>
  <c r="CH1921" i="1"/>
  <c r="CH1922" i="1"/>
  <c r="CH1923" i="1"/>
  <c r="CH1924" i="1"/>
  <c r="CH1925" i="1"/>
  <c r="CH1926" i="1"/>
  <c r="CH1927" i="1"/>
  <c r="CH1928" i="1"/>
  <c r="CH1929" i="1"/>
  <c r="CH1930" i="1"/>
  <c r="CH1931" i="1"/>
  <c r="CH1932" i="1"/>
  <c r="CH1933" i="1"/>
  <c r="CH1934" i="1"/>
  <c r="CH1935" i="1"/>
  <c r="CH1936" i="1"/>
  <c r="CH1937" i="1"/>
  <c r="CH1938" i="1"/>
  <c r="CH1939" i="1"/>
  <c r="CH1940" i="1"/>
  <c r="CH1941" i="1"/>
  <c r="CH1942" i="1"/>
  <c r="CH1943" i="1"/>
  <c r="CH1944" i="1"/>
  <c r="CH1945" i="1"/>
  <c r="CH1946" i="1"/>
  <c r="CH1947" i="1"/>
  <c r="CH1948" i="1"/>
  <c r="CH1949" i="1"/>
  <c r="CH1950" i="1"/>
  <c r="CH1951" i="1"/>
  <c r="CH1952" i="1"/>
  <c r="CH1953" i="1"/>
  <c r="CH1954" i="1"/>
  <c r="CH1955" i="1"/>
  <c r="CH1956" i="1"/>
  <c r="CH1957" i="1"/>
  <c r="CH1958" i="1"/>
  <c r="CH1959" i="1"/>
  <c r="CH1960" i="1"/>
  <c r="CH1961" i="1"/>
  <c r="CH1962" i="1"/>
  <c r="CH1963" i="1"/>
  <c r="CH1964" i="1"/>
  <c r="CH1965" i="1"/>
  <c r="CH1966" i="1"/>
  <c r="CH1967" i="1"/>
  <c r="CH1968" i="1"/>
  <c r="CH1969" i="1"/>
  <c r="CH1970" i="1"/>
  <c r="CH1971" i="1"/>
  <c r="CH1972" i="1"/>
  <c r="CH1973" i="1"/>
  <c r="CH1974" i="1"/>
  <c r="CH1975" i="1"/>
  <c r="CH1976" i="1"/>
  <c r="CH1977" i="1"/>
  <c r="CH1978" i="1"/>
  <c r="CH1979" i="1"/>
  <c r="CH1980" i="1"/>
  <c r="CH1981" i="1"/>
  <c r="CH1982" i="1"/>
  <c r="CH1983" i="1"/>
  <c r="CH1984" i="1"/>
  <c r="CH1985" i="1"/>
  <c r="CH1986" i="1"/>
  <c r="CH1987" i="1"/>
  <c r="CH1988" i="1"/>
  <c r="CH1989" i="1"/>
  <c r="CH1990" i="1"/>
  <c r="CH1991" i="1"/>
  <c r="CH1992" i="1"/>
  <c r="CH1993" i="1"/>
  <c r="CH1994" i="1"/>
  <c r="CH1995" i="1"/>
  <c r="CH1996" i="1"/>
  <c r="CH1997" i="1"/>
  <c r="CH1998" i="1"/>
  <c r="CH1999" i="1"/>
  <c r="CH2000" i="1"/>
  <c r="CH2001" i="1"/>
  <c r="CH2002" i="1"/>
  <c r="CH2003" i="1"/>
  <c r="CH2004" i="1"/>
  <c r="CH2005" i="1"/>
  <c r="CH2006" i="1"/>
  <c r="CH2007" i="1"/>
  <c r="CH2008" i="1"/>
  <c r="CH2009" i="1"/>
  <c r="CH2010" i="1"/>
  <c r="CH2011" i="1"/>
  <c r="CH2012" i="1"/>
  <c r="CH2013" i="1"/>
  <c r="CH2014" i="1"/>
  <c r="CH2015" i="1"/>
  <c r="CB1880" i="1"/>
  <c r="AD1823" i="1"/>
  <c r="AD1824" i="1"/>
  <c r="AD1825" i="1"/>
  <c r="AD1826" i="1"/>
  <c r="AD1827" i="1"/>
  <c r="AD1828" i="1"/>
  <c r="AD1829" i="1"/>
  <c r="AD1830" i="1"/>
  <c r="AD1831" i="1"/>
  <c r="AD1832" i="1"/>
  <c r="AD1833" i="1"/>
  <c r="AD1834" i="1"/>
  <c r="AD1835" i="1"/>
  <c r="AD1836" i="1"/>
  <c r="AD1837" i="1"/>
  <c r="AD1838" i="1"/>
  <c r="AD1839" i="1"/>
  <c r="AD1840" i="1"/>
  <c r="AD1841" i="1"/>
  <c r="AD1842"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2023" i="1"/>
  <c r="AD2024" i="1"/>
  <c r="AJ2037" i="1"/>
  <c r="AJ2038" i="1"/>
  <c r="AJ2039" i="1"/>
  <c r="AD2119" i="1"/>
  <c r="AD2120" i="1"/>
  <c r="AD2121" i="1"/>
  <c r="AD2122" i="1"/>
  <c r="AD2123" i="1"/>
  <c r="AD2124" i="1"/>
  <c r="AD2125" i="1"/>
  <c r="AD2126" i="1"/>
  <c r="AD2022" i="1" l="1"/>
  <c r="CM2022" i="1" s="1"/>
  <c r="AD1929" i="1"/>
  <c r="AD1961" i="1"/>
  <c r="AD2001" i="1"/>
  <c r="AD2014" i="1"/>
  <c r="AD2010" i="1"/>
  <c r="AD2006" i="1"/>
  <c r="AD2002" i="1"/>
  <c r="AD1998" i="1"/>
  <c r="AD1994" i="1"/>
  <c r="AD1990" i="1"/>
  <c r="AD1986" i="1"/>
  <c r="AD1982" i="1"/>
  <c r="AD1978" i="1"/>
  <c r="AD1974" i="1"/>
  <c r="AD1970" i="1"/>
  <c r="AD1966" i="1"/>
  <c r="AD1962" i="1"/>
  <c r="AD1958" i="1"/>
  <c r="AD1954" i="1"/>
  <c r="AD1950" i="1"/>
  <c r="AD1946" i="1"/>
  <c r="AD1942" i="1"/>
  <c r="AD1938" i="1"/>
  <c r="AD1934" i="1"/>
  <c r="AD1930" i="1"/>
  <c r="AD1926" i="1"/>
  <c r="AD1922" i="1"/>
  <c r="AD1918" i="1"/>
  <c r="AD1914" i="1"/>
  <c r="AD1910" i="1"/>
  <c r="AD1906" i="1"/>
  <c r="AD1902" i="1"/>
  <c r="AD1898" i="1"/>
  <c r="AD1894" i="1"/>
  <c r="AD1890" i="1"/>
  <c r="AD1886" i="1"/>
  <c r="AD1882" i="1"/>
  <c r="AD2013" i="1"/>
  <c r="AD2009" i="1"/>
  <c r="AD2005" i="1"/>
  <c r="AD1997" i="1"/>
  <c r="AD1993" i="1"/>
  <c r="AD1989" i="1"/>
  <c r="AD1985" i="1"/>
  <c r="AD1981" i="1"/>
  <c r="AD1977" i="1"/>
  <c r="AD1973" i="1"/>
  <c r="AD1969" i="1"/>
  <c r="AD1965" i="1"/>
  <c r="AD1957" i="1"/>
  <c r="AD1953" i="1"/>
  <c r="AD1949" i="1"/>
  <c r="AD1945" i="1"/>
  <c r="AD1941" i="1"/>
  <c r="AD1937" i="1"/>
  <c r="AD1933" i="1"/>
  <c r="AD1925" i="1"/>
  <c r="AD1921" i="1"/>
  <c r="AD1917" i="1"/>
  <c r="AD1913" i="1"/>
  <c r="AD1909" i="1"/>
  <c r="AD1905" i="1"/>
  <c r="AD1901" i="1"/>
  <c r="AD1897" i="1"/>
  <c r="AD1893" i="1"/>
  <c r="AD1889" i="1"/>
  <c r="AD1885" i="1"/>
  <c r="AD1881" i="1"/>
  <c r="AD2012" i="1"/>
  <c r="AD2008" i="1"/>
  <c r="AD2004" i="1"/>
  <c r="AD2000" i="1"/>
  <c r="AD1996" i="1"/>
  <c r="AD1992" i="1"/>
  <c r="AD1988" i="1"/>
  <c r="AD1984" i="1"/>
  <c r="AD1980" i="1"/>
  <c r="AD1976" i="1"/>
  <c r="AD1972" i="1"/>
  <c r="AD1968" i="1"/>
  <c r="AD1964" i="1"/>
  <c r="AD1960" i="1"/>
  <c r="AD1956" i="1"/>
  <c r="AD1952" i="1"/>
  <c r="AD1948" i="1"/>
  <c r="AD1944" i="1"/>
  <c r="AD1940" i="1"/>
  <c r="AD1936" i="1"/>
  <c r="AD1932" i="1"/>
  <c r="AD1928" i="1"/>
  <c r="AD1924" i="1"/>
  <c r="AD1920" i="1"/>
  <c r="AD1916" i="1"/>
  <c r="AD1912" i="1"/>
  <c r="AD1908" i="1"/>
  <c r="AD1904" i="1"/>
  <c r="AD1900" i="1"/>
  <c r="AD1896" i="1"/>
  <c r="AD1892" i="1"/>
  <c r="AD1888" i="1"/>
  <c r="AD1884" i="1"/>
  <c r="AD2015" i="1"/>
  <c r="AD2011" i="1"/>
  <c r="AD2007" i="1"/>
  <c r="AD2003" i="1"/>
  <c r="AD1999" i="1"/>
  <c r="AD1995" i="1"/>
  <c r="AD1991" i="1"/>
  <c r="AD1987" i="1"/>
  <c r="AD1983" i="1"/>
  <c r="AD1979" i="1"/>
  <c r="AD1975" i="1"/>
  <c r="AD1971" i="1"/>
  <c r="AD1967" i="1"/>
  <c r="AD1963" i="1"/>
  <c r="AD1959" i="1"/>
  <c r="AD1955" i="1"/>
  <c r="AD1951" i="1"/>
  <c r="AD1947" i="1"/>
  <c r="AD1943" i="1"/>
  <c r="AD1939" i="1"/>
  <c r="AD1935" i="1"/>
  <c r="AD1931" i="1"/>
  <c r="AD1927" i="1"/>
  <c r="AD1923" i="1"/>
  <c r="AD1919" i="1"/>
  <c r="AD1915" i="1"/>
  <c r="AD1911" i="1"/>
  <c r="AD1907" i="1"/>
  <c r="AD1903" i="1"/>
  <c r="AD1899" i="1"/>
  <c r="AD1895" i="1"/>
  <c r="AD1891" i="1"/>
  <c r="AD1887" i="1"/>
  <c r="AD1883" i="1"/>
  <c r="CM2023" i="1"/>
  <c r="CN2023" i="1"/>
  <c r="CM2024" i="1"/>
  <c r="CN2024" i="1"/>
  <c r="CP1676" i="1"/>
  <c r="CN2022" i="1" l="1"/>
  <c r="CP1675" i="1"/>
  <c r="CO1676" i="1"/>
  <c r="CO1675" i="1"/>
  <c r="GQ228" i="1" l="1"/>
  <c r="GR228" i="1"/>
  <c r="GQ229" i="1"/>
  <c r="GR229" i="1"/>
  <c r="GQ230" i="1"/>
  <c r="GR230" i="1"/>
  <c r="GQ231" i="1"/>
  <c r="GR231" i="1"/>
  <c r="GQ232" i="1"/>
  <c r="GR232" i="1"/>
  <c r="GQ233" i="1"/>
  <c r="GR233" i="1"/>
  <c r="GQ234" i="1"/>
  <c r="GR234" i="1"/>
  <c r="GQ235" i="1"/>
  <c r="GR235" i="1"/>
  <c r="GQ236" i="1"/>
  <c r="GR236" i="1"/>
  <c r="GQ237" i="1"/>
  <c r="GR237" i="1"/>
  <c r="GQ238" i="1"/>
  <c r="GR238" i="1"/>
  <c r="GQ239" i="1"/>
  <c r="GR239" i="1"/>
  <c r="GQ240" i="1"/>
  <c r="GR240" i="1"/>
  <c r="GQ241" i="1"/>
  <c r="GR241" i="1"/>
  <c r="GQ242" i="1"/>
  <c r="GR242" i="1"/>
  <c r="GQ243" i="1"/>
  <c r="GR243" i="1"/>
  <c r="GQ244" i="1"/>
  <c r="GR244" i="1"/>
  <c r="GQ245" i="1"/>
  <c r="GR245" i="1"/>
  <c r="GQ246" i="1"/>
  <c r="GR246" i="1"/>
  <c r="GQ247" i="1"/>
  <c r="GR247" i="1"/>
  <c r="GQ248" i="1"/>
  <c r="GR248" i="1"/>
  <c r="GQ249" i="1"/>
  <c r="GR249" i="1"/>
  <c r="GQ250" i="1"/>
  <c r="GR250" i="1"/>
  <c r="GQ251" i="1"/>
  <c r="GR251" i="1"/>
  <c r="GQ252" i="1"/>
  <c r="GR252" i="1"/>
  <c r="GQ253" i="1"/>
  <c r="GR253" i="1"/>
  <c r="GQ254" i="1"/>
  <c r="GR254" i="1"/>
  <c r="GQ255" i="1"/>
  <c r="GR255" i="1"/>
  <c r="GQ256" i="1"/>
  <c r="GR256" i="1"/>
  <c r="GQ257" i="1"/>
  <c r="GR257" i="1"/>
  <c r="GQ258" i="1"/>
  <c r="GR258" i="1"/>
  <c r="GQ259" i="1"/>
  <c r="GR259" i="1"/>
  <c r="GQ260" i="1"/>
  <c r="GR260" i="1"/>
  <c r="GQ261" i="1"/>
  <c r="GR261" i="1"/>
  <c r="FW1381" i="1"/>
  <c r="FW1380" i="1"/>
  <c r="FV1381" i="1"/>
  <c r="FV1380" i="1"/>
  <c r="GZ93" i="1" l="1"/>
  <c r="GZ92" i="1"/>
  <c r="GY93" i="1"/>
  <c r="GY92" i="1"/>
  <c r="BS93" i="1"/>
  <c r="N93" i="1"/>
  <c r="M93" i="1"/>
  <c r="BS92" i="1"/>
  <c r="N92" i="1"/>
  <c r="M92" i="1"/>
  <c r="AD1782" i="1" l="1"/>
  <c r="N1782" i="1"/>
  <c r="M1782" i="1"/>
  <c r="AD1781" i="1"/>
  <c r="N1781" i="1"/>
  <c r="M1781" i="1"/>
  <c r="AD1780" i="1"/>
  <c r="N1780" i="1"/>
  <c r="M1780" i="1"/>
  <c r="AD1779" i="1"/>
  <c r="N1779" i="1"/>
  <c r="M1779" i="1"/>
  <c r="AD1778" i="1"/>
  <c r="N1778" i="1"/>
  <c r="M1778" i="1"/>
  <c r="AD1777" i="1"/>
  <c r="N1777" i="1"/>
  <c r="M1777" i="1"/>
  <c r="JH1506" i="1" l="1"/>
  <c r="JH1505" i="1"/>
  <c r="JH1504" i="1"/>
  <c r="JH1503" i="1"/>
  <c r="JG1506" i="1"/>
  <c r="JG1505" i="1"/>
  <c r="JG1504" i="1"/>
  <c r="JG1503" i="1"/>
  <c r="JG1502" i="1"/>
  <c r="FA60" i="1"/>
  <c r="EZ60" i="1"/>
  <c r="FA58" i="1"/>
  <c r="EZ58" i="1"/>
  <c r="GE64" i="1"/>
  <c r="GD64" i="1"/>
  <c r="GE63" i="1"/>
  <c r="GD63" i="1"/>
  <c r="GE62" i="1"/>
  <c r="GE61" i="1"/>
  <c r="GD62" i="1"/>
  <c r="GD61" i="1"/>
  <c r="FT736" i="1" l="1"/>
  <c r="FT737" i="1"/>
  <c r="FT738" i="1"/>
  <c r="DB910" i="1" l="1"/>
  <c r="DL910" i="1"/>
  <c r="DM910" i="1"/>
  <c r="GZ91" i="1"/>
  <c r="GY91" i="1"/>
  <c r="GZ90" i="1"/>
  <c r="GY90" i="1"/>
  <c r="CC4" i="1" l="1"/>
  <c r="I57" i="1"/>
  <c r="CM57" i="1"/>
  <c r="CN57" i="1"/>
  <c r="EZ57" i="1"/>
  <c r="FA57" i="1"/>
  <c r="I58" i="1"/>
  <c r="CM58" i="1"/>
  <c r="CN58" i="1"/>
  <c r="I59" i="1"/>
  <c r="CM59" i="1"/>
  <c r="CN59" i="1"/>
  <c r="EZ59" i="1"/>
  <c r="FA59" i="1"/>
  <c r="I60" i="1"/>
  <c r="CM60" i="1"/>
  <c r="CN60" i="1"/>
  <c r="I61" i="1"/>
  <c r="CM61" i="1"/>
  <c r="CN61" i="1"/>
  <c r="I62" i="1"/>
  <c r="CM62" i="1"/>
  <c r="CN62" i="1"/>
  <c r="I63" i="1"/>
  <c r="CM63" i="1"/>
  <c r="CN63" i="1"/>
  <c r="I64" i="1"/>
  <c r="CM64" i="1"/>
  <c r="CN64" i="1"/>
  <c r="CM65" i="1"/>
  <c r="EK65" i="1"/>
  <c r="EL65" i="1"/>
  <c r="CM66" i="1"/>
  <c r="EK66" i="1"/>
  <c r="EL66" i="1"/>
  <c r="CM67" i="1"/>
  <c r="EK67" i="1"/>
  <c r="EL67" i="1"/>
  <c r="CM68" i="1"/>
  <c r="EK68" i="1"/>
  <c r="EL68" i="1"/>
  <c r="CM69" i="1"/>
  <c r="EK69" i="1"/>
  <c r="EL69" i="1"/>
  <c r="CM70" i="1"/>
  <c r="EK70" i="1"/>
  <c r="EL70" i="1"/>
  <c r="CM71" i="1"/>
  <c r="EK71" i="1"/>
  <c r="EL71" i="1"/>
  <c r="CM72" i="1"/>
  <c r="EK72" i="1"/>
  <c r="EL72" i="1"/>
  <c r="CM73" i="1"/>
  <c r="CM74" i="1"/>
  <c r="CM75" i="1"/>
  <c r="CM76" i="1"/>
  <c r="CM77" i="1"/>
  <c r="CM78" i="1"/>
  <c r="CM79" i="1"/>
  <c r="CM80" i="1"/>
  <c r="AE81" i="1"/>
  <c r="AF81" i="1"/>
  <c r="BS81" i="1"/>
  <c r="AE82" i="1"/>
  <c r="AF82" i="1"/>
  <c r="BS82" i="1"/>
  <c r="AE83" i="1"/>
  <c r="AF83" i="1"/>
  <c r="BS83" i="1"/>
  <c r="AE84" i="1"/>
  <c r="AF84" i="1"/>
  <c r="BS84" i="1"/>
  <c r="AE85" i="1"/>
  <c r="AF85" i="1"/>
  <c r="AJ85" i="1"/>
  <c r="IR85" i="1"/>
  <c r="IS85" i="1"/>
  <c r="AE86" i="1"/>
  <c r="AF86" i="1"/>
  <c r="AJ86" i="1"/>
  <c r="IR86" i="1"/>
  <c r="IS86" i="1"/>
  <c r="IV86" i="1"/>
  <c r="AE87" i="1"/>
  <c r="AF87" i="1"/>
  <c r="AJ87" i="1"/>
  <c r="IR87" i="1"/>
  <c r="IS87" i="1"/>
  <c r="IV87" i="1"/>
  <c r="AE88" i="1"/>
  <c r="AF88" i="1"/>
  <c r="AJ88" i="1"/>
  <c r="IR88" i="1"/>
  <c r="IS88" i="1"/>
  <c r="IV88" i="1"/>
  <c r="AE89" i="1"/>
  <c r="AF89" i="1"/>
  <c r="AJ89" i="1"/>
  <c r="IR89" i="1"/>
  <c r="IS89" i="1"/>
  <c r="IV89" i="1"/>
  <c r="M90" i="1"/>
  <c r="N90" i="1"/>
  <c r="BS90" i="1"/>
  <c r="CB90" i="1"/>
  <c r="CC90" i="1"/>
  <c r="GN90" i="1"/>
  <c r="GO90" i="1"/>
  <c r="M91" i="1"/>
  <c r="N91" i="1"/>
  <c r="BS91" i="1"/>
  <c r="CB91" i="1"/>
  <c r="CC91" i="1"/>
  <c r="GN91" i="1"/>
  <c r="GO91" i="1"/>
  <c r="M94" i="1"/>
  <c r="N94" i="1"/>
  <c r="AE94" i="1"/>
  <c r="AF94" i="1"/>
  <c r="EK94" i="1"/>
  <c r="EL94" i="1"/>
  <c r="EZ94" i="1"/>
  <c r="FA94" i="1"/>
  <c r="M95" i="1"/>
  <c r="N95" i="1"/>
  <c r="AE95" i="1"/>
  <c r="AF95" i="1"/>
  <c r="EK95" i="1"/>
  <c r="EL95" i="1"/>
  <c r="EZ95" i="1"/>
  <c r="FA95" i="1"/>
  <c r="M96" i="1"/>
  <c r="N96" i="1"/>
  <c r="AE96" i="1"/>
  <c r="AF96" i="1"/>
  <c r="EK96" i="1"/>
  <c r="EL96" i="1"/>
  <c r="EZ96" i="1"/>
  <c r="FA96" i="1"/>
  <c r="M97" i="1"/>
  <c r="N97" i="1"/>
  <c r="AE97" i="1"/>
  <c r="AF97" i="1"/>
  <c r="EK97" i="1"/>
  <c r="EL97" i="1"/>
  <c r="EZ97" i="1"/>
  <c r="FA97" i="1"/>
  <c r="M98" i="1"/>
  <c r="N98" i="1"/>
  <c r="AE98" i="1"/>
  <c r="AF98" i="1"/>
  <c r="EK98" i="1"/>
  <c r="EL98" i="1"/>
  <c r="EZ98" i="1"/>
  <c r="FA98" i="1"/>
  <c r="M99" i="1"/>
  <c r="N99" i="1"/>
  <c r="AE99" i="1"/>
  <c r="AF99" i="1"/>
  <c r="EK99" i="1"/>
  <c r="EL99" i="1"/>
  <c r="EZ99" i="1"/>
  <c r="FA99" i="1"/>
  <c r="CB100" i="1"/>
  <c r="CC100" i="1"/>
  <c r="CB103" i="1"/>
  <c r="CC103" i="1"/>
  <c r="CB106" i="1"/>
  <c r="CC106" i="1"/>
  <c r="CB109" i="1"/>
  <c r="CC109" i="1"/>
  <c r="AE112" i="1"/>
  <c r="AF112" i="1"/>
  <c r="HN112" i="1"/>
  <c r="HO112" i="1"/>
  <c r="AE113" i="1"/>
  <c r="AF113" i="1"/>
  <c r="HN113" i="1"/>
  <c r="HO113" i="1"/>
  <c r="AE114" i="1"/>
  <c r="AF114" i="1"/>
  <c r="HN114" i="1"/>
  <c r="HO114" i="1"/>
  <c r="AE115" i="1"/>
  <c r="AF115" i="1"/>
  <c r="HN115" i="1"/>
  <c r="HO115" i="1"/>
  <c r="AE116" i="1"/>
  <c r="AF116" i="1"/>
  <c r="HN116" i="1"/>
  <c r="HO116" i="1"/>
  <c r="AE117" i="1"/>
  <c r="AF117" i="1"/>
  <c r="HN117" i="1"/>
  <c r="HO117" i="1"/>
  <c r="AE118" i="1"/>
  <c r="AF118" i="1"/>
  <c r="AE119" i="1"/>
  <c r="AF119" i="1"/>
  <c r="AE120" i="1"/>
  <c r="AF120" i="1"/>
  <c r="AE121" i="1"/>
  <c r="AF121" i="1"/>
  <c r="AE122" i="1"/>
  <c r="AF122" i="1"/>
  <c r="AE123" i="1"/>
  <c r="AF123" i="1"/>
  <c r="AE124" i="1"/>
  <c r="AF124" i="1"/>
  <c r="AE125" i="1"/>
  <c r="AF125" i="1"/>
  <c r="AE126" i="1"/>
  <c r="AF126" i="1"/>
  <c r="AE127" i="1"/>
  <c r="AF127" i="1"/>
  <c r="AE128" i="1"/>
  <c r="AF128" i="1"/>
  <c r="AE129" i="1"/>
  <c r="AF129" i="1"/>
  <c r="CB130" i="1"/>
  <c r="CC130" i="1"/>
  <c r="GD130" i="1"/>
  <c r="GE130" i="1"/>
  <c r="CB131" i="1"/>
  <c r="CC131" i="1"/>
  <c r="CB132" i="1"/>
  <c r="CC132" i="1"/>
  <c r="CB133" i="1"/>
  <c r="CC133" i="1"/>
  <c r="CB134" i="1"/>
  <c r="CC134" i="1"/>
  <c r="CB135" i="1"/>
  <c r="CC135" i="1"/>
  <c r="CB136" i="1"/>
  <c r="CC136" i="1"/>
  <c r="CB137" i="1"/>
  <c r="CC137" i="1"/>
  <c r="CB138" i="1"/>
  <c r="CC138" i="1"/>
  <c r="CB139" i="1"/>
  <c r="CC139" i="1"/>
  <c r="CB140" i="1"/>
  <c r="CC140" i="1"/>
  <c r="CB141" i="1"/>
  <c r="CC141" i="1"/>
  <c r="CB142" i="1"/>
  <c r="CC142" i="1"/>
  <c r="CB144" i="1"/>
  <c r="CC144" i="1"/>
  <c r="CB145" i="1"/>
  <c r="CC145" i="1"/>
  <c r="CB146" i="1"/>
  <c r="CC146" i="1"/>
  <c r="CB147" i="1"/>
  <c r="CC147" i="1"/>
  <c r="CB148" i="1"/>
  <c r="CC148" i="1"/>
  <c r="CB149" i="1"/>
  <c r="CC149" i="1"/>
  <c r="CB150" i="1"/>
  <c r="CC150" i="1"/>
  <c r="CB151" i="1"/>
  <c r="CC151" i="1"/>
  <c r="CB152" i="1"/>
  <c r="CC152" i="1"/>
  <c r="CB153" i="1"/>
  <c r="CC153" i="1"/>
  <c r="N154" i="1"/>
  <c r="AD154" i="1"/>
  <c r="BR154" i="1"/>
  <c r="BT154" i="1"/>
  <c r="DB154" i="1"/>
  <c r="DC154" i="1"/>
  <c r="IR154" i="1"/>
  <c r="IS154" i="1"/>
  <c r="JG154" i="1"/>
  <c r="JH154" i="1"/>
  <c r="JL154" i="1"/>
  <c r="JM154" i="1"/>
  <c r="N155" i="1"/>
  <c r="AD155" i="1"/>
  <c r="BR155" i="1"/>
  <c r="BT155" i="1"/>
  <c r="DB155" i="1"/>
  <c r="DC155" i="1"/>
  <c r="IR155" i="1"/>
  <c r="IS155" i="1"/>
  <c r="JG155" i="1"/>
  <c r="JH155" i="1"/>
  <c r="JL155" i="1"/>
  <c r="JM155" i="1"/>
  <c r="N156" i="1"/>
  <c r="AD156" i="1"/>
  <c r="BR156" i="1"/>
  <c r="BT156" i="1"/>
  <c r="DB156" i="1"/>
  <c r="DC156" i="1"/>
  <c r="IR156" i="1"/>
  <c r="IS156" i="1"/>
  <c r="JG156" i="1"/>
  <c r="JH156" i="1"/>
  <c r="JL156" i="1"/>
  <c r="JM156" i="1"/>
  <c r="N157" i="1"/>
  <c r="AD157" i="1"/>
  <c r="BR157" i="1"/>
  <c r="BT157" i="1"/>
  <c r="DB157" i="1"/>
  <c r="DC157" i="1"/>
  <c r="IR157" i="1"/>
  <c r="IS157" i="1"/>
  <c r="JG157" i="1"/>
  <c r="JH157" i="1"/>
  <c r="JL157" i="1"/>
  <c r="JM157" i="1"/>
  <c r="N158" i="1"/>
  <c r="AD158" i="1"/>
  <c r="BR158" i="1"/>
  <c r="BT158" i="1"/>
  <c r="DB158" i="1"/>
  <c r="DC158" i="1"/>
  <c r="IR158" i="1"/>
  <c r="IS158" i="1"/>
  <c r="JG158" i="1"/>
  <c r="JH158" i="1"/>
  <c r="JL158" i="1"/>
  <c r="JM158" i="1"/>
  <c r="N159" i="1"/>
  <c r="AD159" i="1"/>
  <c r="BR159" i="1"/>
  <c r="BT159" i="1"/>
  <c r="DB159" i="1"/>
  <c r="DC159" i="1"/>
  <c r="IR159" i="1"/>
  <c r="IS159" i="1"/>
  <c r="JG159" i="1"/>
  <c r="JH159" i="1"/>
  <c r="JM159" i="1"/>
  <c r="N160" i="1"/>
  <c r="AD160" i="1"/>
  <c r="BR160" i="1"/>
  <c r="BT160" i="1"/>
  <c r="DB160" i="1"/>
  <c r="DC160" i="1"/>
  <c r="IR160" i="1"/>
  <c r="IS160" i="1"/>
  <c r="JG160" i="1"/>
  <c r="JH160" i="1"/>
  <c r="JM160" i="1"/>
  <c r="N161" i="1"/>
  <c r="AD161" i="1"/>
  <c r="BR161" i="1"/>
  <c r="BT161" i="1"/>
  <c r="DB161" i="1"/>
  <c r="DC161" i="1"/>
  <c r="IR161" i="1"/>
  <c r="IS161" i="1"/>
  <c r="JG161" i="1"/>
  <c r="JH161" i="1"/>
  <c r="JM161" i="1"/>
  <c r="N162" i="1"/>
  <c r="AD162" i="1"/>
  <c r="BR162" i="1"/>
  <c r="BT162" i="1"/>
  <c r="DB162" i="1"/>
  <c r="DC162" i="1"/>
  <c r="IR162" i="1"/>
  <c r="IS162" i="1"/>
  <c r="JG162" i="1"/>
  <c r="JH162" i="1"/>
  <c r="JM162" i="1"/>
  <c r="N163" i="1"/>
  <c r="AD163" i="1"/>
  <c r="BR163" i="1"/>
  <c r="BT163" i="1"/>
  <c r="DB163" i="1"/>
  <c r="DC163" i="1"/>
  <c r="IR163" i="1"/>
  <c r="IS163" i="1"/>
  <c r="JG163" i="1"/>
  <c r="JH163" i="1"/>
  <c r="JM163" i="1"/>
  <c r="N164" i="1"/>
  <c r="AD164" i="1"/>
  <c r="BR164" i="1"/>
  <c r="BT164" i="1"/>
  <c r="DB164" i="1"/>
  <c r="DC164" i="1"/>
  <c r="IR164" i="1"/>
  <c r="IS164" i="1"/>
  <c r="JG164" i="1"/>
  <c r="JH164" i="1"/>
  <c r="JM164" i="1"/>
  <c r="N165" i="1"/>
  <c r="AD165" i="1"/>
  <c r="BR165" i="1"/>
  <c r="BT165" i="1"/>
  <c r="DB165" i="1"/>
  <c r="DC165" i="1"/>
  <c r="IR165" i="1"/>
  <c r="IS165" i="1"/>
  <c r="JG165" i="1"/>
  <c r="JH165" i="1"/>
  <c r="JM165" i="1"/>
  <c r="N166" i="1"/>
  <c r="AD166" i="1"/>
  <c r="BR166" i="1"/>
  <c r="BT166" i="1"/>
  <c r="DB166" i="1"/>
  <c r="DC166" i="1"/>
  <c r="IR166" i="1"/>
  <c r="IS166" i="1"/>
  <c r="JG166" i="1"/>
  <c r="JH166" i="1"/>
  <c r="JM166" i="1"/>
  <c r="N167" i="1"/>
  <c r="AD167" i="1"/>
  <c r="BR167" i="1"/>
  <c r="BT167" i="1"/>
  <c r="DB167" i="1"/>
  <c r="DC167" i="1"/>
  <c r="IR167" i="1"/>
  <c r="IS167" i="1"/>
  <c r="JG167" i="1"/>
  <c r="JH167" i="1"/>
  <c r="JM167" i="1"/>
  <c r="N168" i="1"/>
  <c r="AD168" i="1"/>
  <c r="BR168" i="1"/>
  <c r="BT168" i="1"/>
  <c r="DB168" i="1"/>
  <c r="DC168" i="1"/>
  <c r="IR168" i="1"/>
  <c r="IS168" i="1"/>
  <c r="JG168" i="1"/>
  <c r="JH168" i="1"/>
  <c r="JM168" i="1"/>
  <c r="N169" i="1"/>
  <c r="AD169" i="1"/>
  <c r="BR169" i="1"/>
  <c r="BT169" i="1"/>
  <c r="DB169" i="1"/>
  <c r="DC169" i="1"/>
  <c r="IR169" i="1"/>
  <c r="IS169" i="1"/>
  <c r="JG169" i="1"/>
  <c r="JH169" i="1"/>
  <c r="JM169" i="1"/>
  <c r="N170" i="1"/>
  <c r="AD170" i="1"/>
  <c r="BR170" i="1"/>
  <c r="BT170" i="1"/>
  <c r="DB170" i="1"/>
  <c r="DC170" i="1"/>
  <c r="IR170" i="1"/>
  <c r="IS170" i="1"/>
  <c r="JG170" i="1"/>
  <c r="JH170" i="1"/>
  <c r="JM170" i="1"/>
  <c r="N171" i="1"/>
  <c r="AD171" i="1"/>
  <c r="BR171" i="1"/>
  <c r="BT171" i="1"/>
  <c r="DB171" i="1"/>
  <c r="DC171" i="1"/>
  <c r="IR171" i="1"/>
  <c r="IS171" i="1"/>
  <c r="JG171" i="1"/>
  <c r="JH171" i="1"/>
  <c r="JM171" i="1"/>
  <c r="N172" i="1"/>
  <c r="AD172" i="1"/>
  <c r="BR172" i="1"/>
  <c r="BT172" i="1"/>
  <c r="DB172" i="1"/>
  <c r="DC172" i="1"/>
  <c r="IR172" i="1"/>
  <c r="IS172" i="1"/>
  <c r="JG172" i="1"/>
  <c r="JH172" i="1"/>
  <c r="JM172" i="1"/>
  <c r="N173" i="1"/>
  <c r="AD173" i="1"/>
  <c r="BR173" i="1"/>
  <c r="BT173" i="1"/>
  <c r="DB173" i="1"/>
  <c r="DC173" i="1"/>
  <c r="IR173" i="1"/>
  <c r="IS173" i="1"/>
  <c r="JG173" i="1"/>
  <c r="JH173" i="1"/>
  <c r="JM173" i="1"/>
  <c r="M219" i="1"/>
  <c r="N219" i="1"/>
  <c r="BS219" i="1"/>
  <c r="CB219" i="1"/>
  <c r="CC219" i="1"/>
  <c r="GN219" i="1"/>
  <c r="GO219" i="1"/>
  <c r="M220" i="1"/>
  <c r="N220" i="1"/>
  <c r="CB220" i="1"/>
  <c r="CC220" i="1"/>
  <c r="GN220" i="1"/>
  <c r="GO220" i="1"/>
  <c r="CB221" i="1"/>
  <c r="CC221" i="1"/>
  <c r="GN221" i="1"/>
  <c r="GO221" i="1"/>
  <c r="CB222" i="1"/>
  <c r="CC222" i="1"/>
  <c r="GN222" i="1"/>
  <c r="GO222" i="1"/>
  <c r="M223" i="1"/>
  <c r="N223" i="1"/>
  <c r="CB223" i="1"/>
  <c r="CC223" i="1"/>
  <c r="GN223" i="1"/>
  <c r="GO223" i="1"/>
  <c r="M224" i="1"/>
  <c r="N224" i="1"/>
  <c r="CB224" i="1"/>
  <c r="CC224" i="1"/>
  <c r="GN224" i="1"/>
  <c r="GO224" i="1"/>
  <c r="AD225" i="1"/>
  <c r="CH225" i="1"/>
  <c r="CI225" i="1"/>
  <c r="EP225" i="1"/>
  <c r="EQ225" i="1"/>
  <c r="FE225" i="1"/>
  <c r="FF225" i="1"/>
  <c r="GD225" i="1"/>
  <c r="GE225" i="1"/>
  <c r="AD226" i="1"/>
  <c r="CH226" i="1"/>
  <c r="CI226" i="1"/>
  <c r="EP226" i="1"/>
  <c r="EQ226" i="1"/>
  <c r="FE226" i="1"/>
  <c r="FF226" i="1"/>
  <c r="GD226" i="1"/>
  <c r="GE226" i="1"/>
  <c r="AD227" i="1"/>
  <c r="CH227" i="1"/>
  <c r="CI227" i="1"/>
  <c r="EP227" i="1"/>
  <c r="EQ227" i="1"/>
  <c r="FE227" i="1"/>
  <c r="FF227" i="1"/>
  <c r="GD227" i="1"/>
  <c r="GE227" i="1"/>
  <c r="M228" i="1"/>
  <c r="N228" i="1"/>
  <c r="DB228" i="1"/>
  <c r="M229" i="1"/>
  <c r="N229" i="1"/>
  <c r="DB229" i="1"/>
  <c r="M230" i="1"/>
  <c r="N230" i="1"/>
  <c r="DB230" i="1"/>
  <c r="M231" i="1"/>
  <c r="N231" i="1"/>
  <c r="DB231" i="1"/>
  <c r="M232" i="1"/>
  <c r="N232" i="1"/>
  <c r="DB232" i="1"/>
  <c r="M233" i="1"/>
  <c r="N233" i="1"/>
  <c r="DB233" i="1"/>
  <c r="M234" i="1"/>
  <c r="N234" i="1"/>
  <c r="DB234" i="1"/>
  <c r="M235" i="1"/>
  <c r="N235" i="1"/>
  <c r="DB235" i="1"/>
  <c r="M236" i="1"/>
  <c r="N236" i="1"/>
  <c r="DB236" i="1"/>
  <c r="M237" i="1"/>
  <c r="N237" i="1"/>
  <c r="DB237" i="1"/>
  <c r="M238" i="1"/>
  <c r="N238" i="1"/>
  <c r="DB238" i="1"/>
  <c r="M239" i="1"/>
  <c r="N239" i="1"/>
  <c r="DB239" i="1"/>
  <c r="M240" i="1"/>
  <c r="N240" i="1"/>
  <c r="DB240" i="1"/>
  <c r="M241" i="1"/>
  <c r="N241" i="1"/>
  <c r="DB241" i="1"/>
  <c r="M242" i="1"/>
  <c r="N242" i="1"/>
  <c r="DB242" i="1"/>
  <c r="M243" i="1"/>
  <c r="N243" i="1"/>
  <c r="DB243" i="1"/>
  <c r="M244" i="1"/>
  <c r="N244" i="1"/>
  <c r="M245" i="1"/>
  <c r="N245" i="1"/>
  <c r="DB245" i="1"/>
  <c r="M246" i="1"/>
  <c r="N246" i="1"/>
  <c r="DB246" i="1"/>
  <c r="M247" i="1"/>
  <c r="N247" i="1"/>
  <c r="DB247" i="1"/>
  <c r="M248" i="1"/>
  <c r="N248" i="1"/>
  <c r="DB248" i="1"/>
  <c r="M249" i="1"/>
  <c r="N249" i="1"/>
  <c r="DB249" i="1"/>
  <c r="M250" i="1"/>
  <c r="N250" i="1"/>
  <c r="DB250" i="1"/>
  <c r="M251" i="1"/>
  <c r="N251" i="1"/>
  <c r="DB251" i="1"/>
  <c r="M252" i="1"/>
  <c r="N252" i="1"/>
  <c r="DB252" i="1"/>
  <c r="M253" i="1"/>
  <c r="N253" i="1"/>
  <c r="DB253" i="1"/>
  <c r="M254" i="1"/>
  <c r="N254" i="1"/>
  <c r="DB254" i="1"/>
  <c r="M255" i="1"/>
  <c r="N255" i="1"/>
  <c r="DB255" i="1"/>
  <c r="M256" i="1"/>
  <c r="N256" i="1"/>
  <c r="DB256" i="1"/>
  <c r="M257" i="1"/>
  <c r="N257" i="1"/>
  <c r="DB257" i="1"/>
  <c r="M258" i="1"/>
  <c r="N258" i="1"/>
  <c r="DB258" i="1"/>
  <c r="M259" i="1"/>
  <c r="N259" i="1"/>
  <c r="DB259" i="1"/>
  <c r="M260" i="1"/>
  <c r="N260" i="1"/>
  <c r="DB260" i="1"/>
  <c r="M261" i="1"/>
  <c r="N261" i="1"/>
  <c r="DB261" i="1"/>
  <c r="BS290" i="1"/>
  <c r="BT290" i="1"/>
  <c r="CB290" i="1"/>
  <c r="CC290" i="1"/>
  <c r="CM290" i="1"/>
  <c r="DB290" i="1"/>
  <c r="BS291" i="1"/>
  <c r="BT291" i="1"/>
  <c r="CB291" i="1"/>
  <c r="CC291" i="1"/>
  <c r="CM291" i="1"/>
  <c r="DB291" i="1"/>
  <c r="BS292" i="1"/>
  <c r="BT292" i="1"/>
  <c r="CB292" i="1"/>
  <c r="CC292" i="1"/>
  <c r="CM292" i="1"/>
  <c r="DB292" i="1"/>
  <c r="BS293" i="1"/>
  <c r="BT293" i="1"/>
  <c r="CB293" i="1"/>
  <c r="CC293" i="1"/>
  <c r="CM293" i="1"/>
  <c r="DB293" i="1"/>
  <c r="BS294" i="1"/>
  <c r="BT294" i="1"/>
  <c r="CB294" i="1"/>
  <c r="CC294" i="1"/>
  <c r="CM294" i="1"/>
  <c r="DB294" i="1"/>
  <c r="BS295" i="1"/>
  <c r="BT295" i="1"/>
  <c r="CB295" i="1"/>
  <c r="CC295" i="1"/>
  <c r="DB295" i="1"/>
  <c r="CB296" i="1"/>
  <c r="CC296" i="1"/>
  <c r="DB296" i="1"/>
  <c r="BS297" i="1"/>
  <c r="BT297" i="1"/>
  <c r="CB297" i="1"/>
  <c r="CC297" i="1"/>
  <c r="DB297" i="1"/>
  <c r="BS298" i="1"/>
  <c r="BT298" i="1"/>
  <c r="CB298" i="1"/>
  <c r="CC298" i="1"/>
  <c r="DB298" i="1"/>
  <c r="BS299" i="1"/>
  <c r="BT299" i="1"/>
  <c r="CB299" i="1"/>
  <c r="CC299" i="1"/>
  <c r="DB299" i="1"/>
  <c r="BS300" i="1"/>
  <c r="BT300" i="1"/>
  <c r="CB300" i="1"/>
  <c r="CC300" i="1"/>
  <c r="DB300" i="1"/>
  <c r="CB301" i="1"/>
  <c r="CC301" i="1"/>
  <c r="DB301" i="1"/>
  <c r="BS302" i="1"/>
  <c r="BT302" i="1"/>
  <c r="CB302" i="1"/>
  <c r="CC302" i="1"/>
  <c r="DB302" i="1"/>
  <c r="BS303" i="1"/>
  <c r="BT303" i="1"/>
  <c r="CB303" i="1"/>
  <c r="CC303" i="1"/>
  <c r="DB303" i="1"/>
  <c r="BS304" i="1"/>
  <c r="BT304" i="1"/>
  <c r="CB304" i="1"/>
  <c r="CC304" i="1"/>
  <c r="DB304" i="1"/>
  <c r="BS305" i="1"/>
  <c r="BT305" i="1"/>
  <c r="CB305" i="1"/>
  <c r="CC305" i="1"/>
  <c r="BS306" i="1"/>
  <c r="BT306" i="1"/>
  <c r="CB306" i="1"/>
  <c r="CC306" i="1"/>
  <c r="BS307" i="1"/>
  <c r="BT307" i="1"/>
  <c r="CB307" i="1"/>
  <c r="CC307" i="1"/>
  <c r="BS308" i="1"/>
  <c r="BT308" i="1"/>
  <c r="CB308" i="1"/>
  <c r="CC308" i="1"/>
  <c r="BS309" i="1"/>
  <c r="BT309" i="1"/>
  <c r="CB309" i="1"/>
  <c r="CC309" i="1"/>
  <c r="BS310" i="1"/>
  <c r="BT310" i="1"/>
  <c r="CB310" i="1"/>
  <c r="CC310" i="1"/>
  <c r="CB311" i="1"/>
  <c r="CC311" i="1"/>
  <c r="BS312" i="1"/>
  <c r="BT312" i="1"/>
  <c r="CB312" i="1"/>
  <c r="CC312" i="1"/>
  <c r="BS313" i="1"/>
  <c r="BT313" i="1"/>
  <c r="CB313" i="1"/>
  <c r="CC313" i="1"/>
  <c r="BS314" i="1"/>
  <c r="BT314" i="1"/>
  <c r="CB314" i="1"/>
  <c r="CC314" i="1"/>
  <c r="BS315" i="1"/>
  <c r="BT315" i="1"/>
  <c r="CB315" i="1"/>
  <c r="CC315" i="1"/>
  <c r="CB316" i="1"/>
  <c r="CC316" i="1"/>
  <c r="BS317" i="1"/>
  <c r="BT317" i="1"/>
  <c r="CB317" i="1"/>
  <c r="CC317" i="1"/>
  <c r="BS318" i="1"/>
  <c r="BT318" i="1"/>
  <c r="CB318" i="1"/>
  <c r="CC318" i="1"/>
  <c r="BS319" i="1"/>
  <c r="BT319" i="1"/>
  <c r="CB319" i="1"/>
  <c r="CC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AD426" i="1"/>
  <c r="BS426" i="1"/>
  <c r="CB426" i="1"/>
  <c r="CC426" i="1"/>
  <c r="CH426" i="1"/>
  <c r="CI426" i="1"/>
  <c r="CM426" i="1"/>
  <c r="FE426" i="1"/>
  <c r="FF426" i="1"/>
  <c r="AD427" i="1"/>
  <c r="BS427" i="1"/>
  <c r="CB427" i="1"/>
  <c r="CC427" i="1"/>
  <c r="CM427" i="1"/>
  <c r="AD428" i="1"/>
  <c r="BS428" i="1"/>
  <c r="CB428" i="1"/>
  <c r="CC428" i="1"/>
  <c r="CM428" i="1"/>
  <c r="AD429" i="1"/>
  <c r="BS429" i="1"/>
  <c r="CB429" i="1"/>
  <c r="CC429" i="1"/>
  <c r="FE429" i="1"/>
  <c r="FF429" i="1"/>
  <c r="AD430" i="1"/>
  <c r="BS430" i="1"/>
  <c r="CB430" i="1"/>
  <c r="CC430" i="1"/>
  <c r="AD431" i="1"/>
  <c r="BS431" i="1"/>
  <c r="CB431" i="1"/>
  <c r="CC431" i="1"/>
  <c r="AD432" i="1"/>
  <c r="BS432" i="1"/>
  <c r="CB432" i="1"/>
  <c r="CC432" i="1"/>
  <c r="FE432" i="1"/>
  <c r="FF432" i="1"/>
  <c r="AD433" i="1"/>
  <c r="BS433" i="1"/>
  <c r="CB433" i="1"/>
  <c r="CC433" i="1"/>
  <c r="AD434" i="1"/>
  <c r="BS434" i="1"/>
  <c r="CB434" i="1"/>
  <c r="CC434" i="1"/>
  <c r="M435" i="1"/>
  <c r="N435" i="1"/>
  <c r="AE435" i="1"/>
  <c r="AF435" i="1"/>
  <c r="CM435" i="1"/>
  <c r="EK435" i="1"/>
  <c r="M436" i="1"/>
  <c r="N436" i="1"/>
  <c r="AE436" i="1"/>
  <c r="AF436" i="1"/>
  <c r="EK436" i="1"/>
  <c r="M437" i="1"/>
  <c r="N437" i="1"/>
  <c r="AE437" i="1"/>
  <c r="AF437" i="1"/>
  <c r="EK437" i="1"/>
  <c r="M438" i="1"/>
  <c r="N438" i="1"/>
  <c r="AE438" i="1"/>
  <c r="AF438" i="1"/>
  <c r="EK438" i="1"/>
  <c r="M439" i="1"/>
  <c r="N439" i="1"/>
  <c r="BS439" i="1"/>
  <c r="BT439" i="1" s="1"/>
  <c r="M440" i="1"/>
  <c r="N440" i="1"/>
  <c r="BS440" i="1"/>
  <c r="BT440" i="1" s="1"/>
  <c r="M441" i="1"/>
  <c r="N441" i="1"/>
  <c r="BS441" i="1"/>
  <c r="BT441" i="1" s="1"/>
  <c r="M442" i="1"/>
  <c r="N442" i="1"/>
  <c r="BS442" i="1"/>
  <c r="BT442" i="1" s="1"/>
  <c r="M443" i="1"/>
  <c r="N443" i="1"/>
  <c r="BS443" i="1"/>
  <c r="BT443" i="1" s="1"/>
  <c r="M444" i="1"/>
  <c r="N444" i="1"/>
  <c r="BS444" i="1"/>
  <c r="BT444" i="1" s="1"/>
  <c r="M445" i="1"/>
  <c r="N445" i="1"/>
  <c r="BS445" i="1"/>
  <c r="BT445" i="1" s="1"/>
  <c r="M446" i="1"/>
  <c r="N446" i="1"/>
  <c r="BS446" i="1"/>
  <c r="BT446" i="1" s="1"/>
  <c r="M447" i="1"/>
  <c r="N447" i="1"/>
  <c r="BS447" i="1"/>
  <c r="BT447" i="1" s="1"/>
  <c r="M448" i="1"/>
  <c r="N448" i="1"/>
  <c r="BS448" i="1"/>
  <c r="BT448" i="1" s="1"/>
  <c r="M449" i="1"/>
  <c r="N449" i="1"/>
  <c r="BS449" i="1"/>
  <c r="BT449" i="1" s="1"/>
  <c r="M450" i="1"/>
  <c r="N450" i="1"/>
  <c r="BS450" i="1"/>
  <c r="BT450" i="1" s="1"/>
  <c r="M451" i="1"/>
  <c r="N451" i="1"/>
  <c r="BS451" i="1"/>
  <c r="BT451" i="1" s="1"/>
  <c r="M452" i="1"/>
  <c r="N452" i="1"/>
  <c r="BS452" i="1"/>
  <c r="BT452" i="1" s="1"/>
  <c r="M453" i="1"/>
  <c r="N453" i="1"/>
  <c r="BS453" i="1"/>
  <c r="BT453" i="1" s="1"/>
  <c r="M454" i="1"/>
  <c r="N454" i="1"/>
  <c r="BS454" i="1"/>
  <c r="BT454" i="1" s="1"/>
  <c r="M455" i="1"/>
  <c r="N455" i="1"/>
  <c r="BS455" i="1"/>
  <c r="BT455" i="1" s="1"/>
  <c r="M456" i="1"/>
  <c r="N456" i="1"/>
  <c r="BS456" i="1"/>
  <c r="BT456" i="1" s="1"/>
  <c r="M457" i="1"/>
  <c r="N457" i="1"/>
  <c r="BS457" i="1"/>
  <c r="BT457" i="1" s="1"/>
  <c r="M458" i="1"/>
  <c r="N458" i="1"/>
  <c r="BS458" i="1"/>
  <c r="BT458" i="1" s="1"/>
  <c r="M459" i="1"/>
  <c r="N459" i="1"/>
  <c r="BS459" i="1"/>
  <c r="BT459" i="1" s="1"/>
  <c r="M460" i="1"/>
  <c r="N460" i="1"/>
  <c r="BS460" i="1"/>
  <c r="BT460" i="1" s="1"/>
  <c r="M461" i="1"/>
  <c r="N461" i="1"/>
  <c r="BS461" i="1"/>
  <c r="BT461" i="1" s="1"/>
  <c r="M462" i="1"/>
  <c r="N462" i="1"/>
  <c r="BS462" i="1"/>
  <c r="BT462" i="1" s="1"/>
  <c r="M463" i="1"/>
  <c r="N463" i="1"/>
  <c r="BS463" i="1"/>
  <c r="BT463" i="1" s="1"/>
  <c r="M464" i="1"/>
  <c r="N464" i="1"/>
  <c r="BS464" i="1"/>
  <c r="BT464" i="1" s="1"/>
  <c r="M465" i="1"/>
  <c r="N465" i="1"/>
  <c r="BS465" i="1"/>
  <c r="BT465" i="1" s="1"/>
  <c r="M466" i="1"/>
  <c r="N466" i="1"/>
  <c r="BS466" i="1"/>
  <c r="BT466" i="1" s="1"/>
  <c r="M467" i="1"/>
  <c r="N467" i="1"/>
  <c r="BS467" i="1"/>
  <c r="BT467" i="1" s="1"/>
  <c r="M468" i="1"/>
  <c r="N468" i="1"/>
  <c r="BS468" i="1"/>
  <c r="BT468" i="1" s="1"/>
  <c r="M469" i="1"/>
  <c r="N469" i="1"/>
  <c r="BS469" i="1"/>
  <c r="BT469" i="1" s="1"/>
  <c r="M470" i="1"/>
  <c r="N470" i="1"/>
  <c r="BS470" i="1"/>
  <c r="BT470" i="1" s="1"/>
  <c r="M471" i="1"/>
  <c r="N471" i="1"/>
  <c r="BS471" i="1"/>
  <c r="BT471" i="1" s="1"/>
  <c r="M472" i="1"/>
  <c r="N472" i="1"/>
  <c r="BS472" i="1"/>
  <c r="BT472" i="1" s="1"/>
  <c r="M473" i="1"/>
  <c r="N473" i="1"/>
  <c r="BS473" i="1"/>
  <c r="BT473" i="1" s="1"/>
  <c r="M474" i="1"/>
  <c r="N474" i="1"/>
  <c r="BS474" i="1"/>
  <c r="BT474" i="1" s="1"/>
  <c r="M475" i="1"/>
  <c r="N475" i="1"/>
  <c r="BS475" i="1"/>
  <c r="BT475" i="1" s="1"/>
  <c r="M476" i="1"/>
  <c r="N476" i="1"/>
  <c r="BS476" i="1"/>
  <c r="BT476" i="1" s="1"/>
  <c r="M477" i="1"/>
  <c r="N477" i="1"/>
  <c r="BS477" i="1"/>
  <c r="BT477" i="1" s="1"/>
  <c r="M478" i="1"/>
  <c r="N478" i="1"/>
  <c r="BS478" i="1"/>
  <c r="BT478" i="1" s="1"/>
  <c r="M479" i="1"/>
  <c r="N479" i="1"/>
  <c r="BS479" i="1"/>
  <c r="BT479" i="1" s="1"/>
  <c r="M480" i="1"/>
  <c r="N480" i="1"/>
  <c r="BS480" i="1"/>
  <c r="BT480" i="1" s="1"/>
  <c r="M481" i="1"/>
  <c r="N481" i="1"/>
  <c r="BS481" i="1"/>
  <c r="BT481" i="1" s="1"/>
  <c r="M482" i="1"/>
  <c r="N482" i="1"/>
  <c r="BS482" i="1"/>
  <c r="BT482" i="1" s="1"/>
  <c r="M483" i="1"/>
  <c r="N483" i="1"/>
  <c r="BS483" i="1"/>
  <c r="BT483" i="1" s="1"/>
  <c r="M484" i="1"/>
  <c r="N484" i="1"/>
  <c r="BS484" i="1"/>
  <c r="BT484" i="1" s="1"/>
  <c r="M485" i="1"/>
  <c r="N485" i="1"/>
  <c r="BS485" i="1"/>
  <c r="BT485" i="1" s="1"/>
  <c r="M486" i="1"/>
  <c r="N486" i="1"/>
  <c r="BS486" i="1"/>
  <c r="BT486" i="1" s="1"/>
  <c r="M487" i="1"/>
  <c r="N487" i="1"/>
  <c r="BS487" i="1"/>
  <c r="BT487" i="1" s="1"/>
  <c r="M488" i="1"/>
  <c r="N488" i="1"/>
  <c r="BS488" i="1"/>
  <c r="BT488" i="1" s="1"/>
  <c r="M489" i="1"/>
  <c r="N489" i="1"/>
  <c r="BS489" i="1"/>
  <c r="BT489" i="1" s="1"/>
  <c r="M490" i="1"/>
  <c r="N490" i="1"/>
  <c r="BS490" i="1"/>
  <c r="BT490" i="1" s="1"/>
  <c r="M491" i="1"/>
  <c r="N491" i="1"/>
  <c r="BS491" i="1"/>
  <c r="BT491" i="1" s="1"/>
  <c r="M492" i="1"/>
  <c r="N492" i="1"/>
  <c r="BS492" i="1"/>
  <c r="BT492" i="1" s="1"/>
  <c r="M493" i="1"/>
  <c r="N493" i="1"/>
  <c r="BS493" i="1"/>
  <c r="BT493" i="1" s="1"/>
  <c r="M494" i="1"/>
  <c r="N494" i="1"/>
  <c r="BS494" i="1"/>
  <c r="BT494" i="1" s="1"/>
  <c r="M495" i="1"/>
  <c r="N495" i="1"/>
  <c r="BS495" i="1"/>
  <c r="BT495" i="1" s="1"/>
  <c r="M496" i="1"/>
  <c r="N496" i="1"/>
  <c r="BS496" i="1"/>
  <c r="BT496" i="1" s="1"/>
  <c r="M497" i="1"/>
  <c r="N497" i="1"/>
  <c r="BS497" i="1"/>
  <c r="BT497" i="1" s="1"/>
  <c r="M498" i="1"/>
  <c r="N498" i="1"/>
  <c r="BS498" i="1"/>
  <c r="BT498" i="1" s="1"/>
  <c r="M499" i="1"/>
  <c r="N499" i="1"/>
  <c r="BS499" i="1"/>
  <c r="BT499" i="1" s="1"/>
  <c r="M500" i="1"/>
  <c r="N500" i="1"/>
  <c r="BS500" i="1"/>
  <c r="BT500" i="1" s="1"/>
  <c r="M501" i="1"/>
  <c r="N501" i="1"/>
  <c r="BS501" i="1"/>
  <c r="BT501" i="1" s="1"/>
  <c r="M502" i="1"/>
  <c r="N502" i="1"/>
  <c r="BS502" i="1"/>
  <c r="BT502" i="1" s="1"/>
  <c r="M503" i="1"/>
  <c r="N503" i="1"/>
  <c r="BS503" i="1"/>
  <c r="BT503" i="1" s="1"/>
  <c r="M504" i="1"/>
  <c r="N504" i="1"/>
  <c r="BS504" i="1"/>
  <c r="BT504" i="1" s="1"/>
  <c r="M505" i="1"/>
  <c r="N505" i="1"/>
  <c r="BS505" i="1"/>
  <c r="BT505" i="1" s="1"/>
  <c r="M506" i="1"/>
  <c r="N506" i="1"/>
  <c r="BS506" i="1"/>
  <c r="BT506" i="1" s="1"/>
  <c r="M507" i="1"/>
  <c r="N507" i="1"/>
  <c r="BS507" i="1"/>
  <c r="BT507" i="1" s="1"/>
  <c r="M508" i="1"/>
  <c r="N508" i="1"/>
  <c r="BS508" i="1"/>
  <c r="BT508" i="1" s="1"/>
  <c r="M509" i="1"/>
  <c r="N509" i="1"/>
  <c r="BS509" i="1"/>
  <c r="BT509" i="1" s="1"/>
  <c r="M510" i="1"/>
  <c r="N510" i="1"/>
  <c r="BS510" i="1"/>
  <c r="BT510" i="1" s="1"/>
  <c r="M511" i="1"/>
  <c r="N511" i="1"/>
  <c r="BS511" i="1"/>
  <c r="BT511" i="1" s="1"/>
  <c r="M512" i="1"/>
  <c r="N512" i="1"/>
  <c r="BS512" i="1"/>
  <c r="BT512" i="1" s="1"/>
  <c r="M513" i="1"/>
  <c r="N513" i="1"/>
  <c r="BS513" i="1"/>
  <c r="BT513" i="1" s="1"/>
  <c r="M514" i="1"/>
  <c r="N514" i="1"/>
  <c r="BS514" i="1"/>
  <c r="BT514" i="1" s="1"/>
  <c r="M515" i="1"/>
  <c r="N515" i="1"/>
  <c r="BS515" i="1"/>
  <c r="BT515" i="1" s="1"/>
  <c r="M516" i="1"/>
  <c r="N516" i="1"/>
  <c r="BS516" i="1"/>
  <c r="BT516" i="1" s="1"/>
  <c r="M517" i="1"/>
  <c r="N517" i="1"/>
  <c r="BS517" i="1"/>
  <c r="BT517" i="1" s="1"/>
  <c r="M518" i="1"/>
  <c r="N518" i="1"/>
  <c r="BS518" i="1"/>
  <c r="BT518" i="1" s="1"/>
  <c r="M519" i="1"/>
  <c r="N519" i="1"/>
  <c r="BS519" i="1"/>
  <c r="BT519" i="1" s="1"/>
  <c r="M520" i="1"/>
  <c r="N520" i="1"/>
  <c r="BS520" i="1"/>
  <c r="BT520" i="1" s="1"/>
  <c r="M521" i="1"/>
  <c r="N521" i="1"/>
  <c r="BS521" i="1"/>
  <c r="BT521" i="1" s="1"/>
  <c r="M522" i="1"/>
  <c r="N522" i="1"/>
  <c r="BS522" i="1"/>
  <c r="BT522" i="1" s="1"/>
  <c r="M523" i="1"/>
  <c r="N523" i="1"/>
  <c r="GN523" i="1"/>
  <c r="M524" i="1"/>
  <c r="N524" i="1"/>
  <c r="GN524" i="1"/>
  <c r="M525" i="1"/>
  <c r="N525" i="1"/>
  <c r="GN525" i="1"/>
  <c r="M526" i="1"/>
  <c r="N526" i="1"/>
  <c r="M527" i="1"/>
  <c r="N527" i="1"/>
  <c r="M528" i="1"/>
  <c r="N528" i="1"/>
  <c r="M529" i="1"/>
  <c r="N529" i="1"/>
  <c r="AF529" i="1"/>
  <c r="AE529" i="1" s="1"/>
  <c r="AI529" i="1"/>
  <c r="AJ529" i="1"/>
  <c r="FE529" i="1"/>
  <c r="FF529" i="1"/>
  <c r="M530" i="1"/>
  <c r="N530" i="1"/>
  <c r="AF530" i="1"/>
  <c r="AE530" i="1" s="1"/>
  <c r="AI530" i="1"/>
  <c r="AJ530" i="1"/>
  <c r="FE530" i="1"/>
  <c r="FF530" i="1"/>
  <c r="M531" i="1"/>
  <c r="N531" i="1"/>
  <c r="AF531" i="1"/>
  <c r="AE531" i="1" s="1"/>
  <c r="AI531" i="1"/>
  <c r="AJ531" i="1"/>
  <c r="FE531" i="1"/>
  <c r="FF531" i="1"/>
  <c r="M532" i="1"/>
  <c r="N532" i="1"/>
  <c r="AD532" i="1"/>
  <c r="AI532" i="1"/>
  <c r="JG532" i="1"/>
  <c r="JH532" i="1"/>
  <c r="M533" i="1"/>
  <c r="N533" i="1"/>
  <c r="AD533" i="1"/>
  <c r="AI533" i="1"/>
  <c r="JG533" i="1"/>
  <c r="JH533" i="1"/>
  <c r="M534" i="1"/>
  <c r="N534" i="1"/>
  <c r="AD534" i="1"/>
  <c r="AI534" i="1"/>
  <c r="JG534" i="1"/>
  <c r="JH534" i="1"/>
  <c r="M535" i="1"/>
  <c r="N535" i="1"/>
  <c r="AD535" i="1"/>
  <c r="AI535" i="1"/>
  <c r="JG535" i="1"/>
  <c r="JH535" i="1"/>
  <c r="M536" i="1"/>
  <c r="N536" i="1"/>
  <c r="AD536" i="1"/>
  <c r="AI536" i="1"/>
  <c r="JG536" i="1"/>
  <c r="JH536" i="1"/>
  <c r="M537" i="1"/>
  <c r="N537" i="1"/>
  <c r="AD537" i="1"/>
  <c r="AI537" i="1"/>
  <c r="JG537" i="1"/>
  <c r="JH537" i="1"/>
  <c r="M538" i="1"/>
  <c r="N538" i="1"/>
  <c r="AD538" i="1"/>
  <c r="AI538" i="1"/>
  <c r="JG538" i="1"/>
  <c r="JH538" i="1"/>
  <c r="M539" i="1"/>
  <c r="N539" i="1"/>
  <c r="AD539" i="1"/>
  <c r="AI539" i="1"/>
  <c r="JG539" i="1"/>
  <c r="JH539" i="1"/>
  <c r="M540" i="1"/>
  <c r="N540" i="1"/>
  <c r="AD540" i="1"/>
  <c r="AI540" i="1"/>
  <c r="JG540" i="1"/>
  <c r="JH540" i="1"/>
  <c r="M541" i="1"/>
  <c r="N541" i="1"/>
  <c r="AD541" i="1"/>
  <c r="AI541" i="1"/>
  <c r="JG541" i="1"/>
  <c r="JH541" i="1"/>
  <c r="M542" i="1"/>
  <c r="N542" i="1"/>
  <c r="AD542" i="1"/>
  <c r="AI542" i="1"/>
  <c r="JG542" i="1"/>
  <c r="JH542" i="1"/>
  <c r="M543" i="1"/>
  <c r="N543" i="1"/>
  <c r="AD543" i="1"/>
  <c r="AI543" i="1"/>
  <c r="JG543" i="1"/>
  <c r="JH543" i="1"/>
  <c r="M544" i="1"/>
  <c r="N544" i="1"/>
  <c r="AD544" i="1"/>
  <c r="AI544" i="1"/>
  <c r="JG544" i="1"/>
  <c r="JH544" i="1"/>
  <c r="M545" i="1"/>
  <c r="N545" i="1"/>
  <c r="AD545" i="1"/>
  <c r="AI545" i="1"/>
  <c r="JG545" i="1"/>
  <c r="JH545" i="1"/>
  <c r="M546" i="1"/>
  <c r="N546" i="1"/>
  <c r="AD546" i="1"/>
  <c r="AI546" i="1"/>
  <c r="JG546" i="1"/>
  <c r="JH546" i="1"/>
  <c r="M547" i="1"/>
  <c r="N547" i="1"/>
  <c r="AD547" i="1"/>
  <c r="AI547" i="1"/>
  <c r="JG547" i="1"/>
  <c r="JH547" i="1"/>
  <c r="M548" i="1"/>
  <c r="N548" i="1"/>
  <c r="AD548" i="1"/>
  <c r="AI548" i="1"/>
  <c r="JG548" i="1"/>
  <c r="JH548" i="1"/>
  <c r="M549" i="1"/>
  <c r="N549" i="1"/>
  <c r="AD549" i="1"/>
  <c r="AI549" i="1"/>
  <c r="JG549" i="1"/>
  <c r="JH549" i="1"/>
  <c r="M550" i="1"/>
  <c r="N550" i="1"/>
  <c r="AD550" i="1"/>
  <c r="AI550" i="1"/>
  <c r="JG550" i="1"/>
  <c r="JH550" i="1"/>
  <c r="M551" i="1"/>
  <c r="N551" i="1"/>
  <c r="AD551" i="1"/>
  <c r="AI551" i="1"/>
  <c r="JG551" i="1"/>
  <c r="JH551" i="1"/>
  <c r="M552" i="1"/>
  <c r="N552" i="1"/>
  <c r="AD552" i="1"/>
  <c r="AI552" i="1"/>
  <c r="JG552" i="1"/>
  <c r="JH552" i="1"/>
  <c r="M553" i="1"/>
  <c r="N553" i="1"/>
  <c r="AD553" i="1"/>
  <c r="AI553" i="1"/>
  <c r="JG553" i="1"/>
  <c r="JH553" i="1"/>
  <c r="M554" i="1"/>
  <c r="N554" i="1"/>
  <c r="AD554" i="1"/>
  <c r="AI554" i="1"/>
  <c r="JG554" i="1"/>
  <c r="JH554" i="1"/>
  <c r="M555" i="1"/>
  <c r="N555" i="1"/>
  <c r="AD555" i="1"/>
  <c r="AI555" i="1"/>
  <c r="JG555" i="1"/>
  <c r="JH555" i="1"/>
  <c r="M556" i="1"/>
  <c r="N556" i="1"/>
  <c r="AD556" i="1"/>
  <c r="AI556" i="1"/>
  <c r="M557" i="1"/>
  <c r="N557" i="1"/>
  <c r="AD557" i="1"/>
  <c r="AI557" i="1"/>
  <c r="M558" i="1"/>
  <c r="N558" i="1"/>
  <c r="AD558" i="1"/>
  <c r="AI558" i="1"/>
  <c r="M559" i="1"/>
  <c r="N559" i="1"/>
  <c r="AD559" i="1"/>
  <c r="AI559" i="1"/>
  <c r="M560" i="1"/>
  <c r="N560" i="1"/>
  <c r="AD560" i="1"/>
  <c r="AI560" i="1"/>
  <c r="M561" i="1"/>
  <c r="N561" i="1"/>
  <c r="AD561" i="1"/>
  <c r="AI561" i="1"/>
  <c r="M562" i="1"/>
  <c r="N562" i="1"/>
  <c r="AD562" i="1"/>
  <c r="AI562" i="1"/>
  <c r="M563" i="1"/>
  <c r="M3537" i="1" s="1"/>
  <c r="N563" i="1"/>
  <c r="N3537" i="1" s="1"/>
  <c r="AD563" i="1"/>
  <c r="AI563" i="1"/>
  <c r="M564" i="1"/>
  <c r="N564" i="1"/>
  <c r="AD564" i="1"/>
  <c r="AI564" i="1"/>
  <c r="M565" i="1"/>
  <c r="N565" i="1"/>
  <c r="AD565" i="1"/>
  <c r="AI565" i="1"/>
  <c r="M566" i="1"/>
  <c r="N566" i="1"/>
  <c r="AD566" i="1"/>
  <c r="AI566" i="1"/>
  <c r="M567" i="1"/>
  <c r="N567" i="1"/>
  <c r="AD567" i="1"/>
  <c r="AI567" i="1"/>
  <c r="M568" i="1"/>
  <c r="N568" i="1"/>
  <c r="M569" i="1"/>
  <c r="N569" i="1"/>
  <c r="M570" i="1"/>
  <c r="N570" i="1"/>
  <c r="M571" i="1"/>
  <c r="N571" i="1"/>
  <c r="M572" i="1"/>
  <c r="N572" i="1"/>
  <c r="M573" i="1"/>
  <c r="N573" i="1"/>
  <c r="M574" i="1"/>
  <c r="N574" i="1"/>
  <c r="M575" i="1"/>
  <c r="N575" i="1"/>
  <c r="M576" i="1"/>
  <c r="N576" i="1"/>
  <c r="M577" i="1"/>
  <c r="N577" i="1"/>
  <c r="M578" i="1"/>
  <c r="N578" i="1"/>
  <c r="M579" i="1"/>
  <c r="N579" i="1"/>
  <c r="M580" i="1"/>
  <c r="N580" i="1"/>
  <c r="M581" i="1"/>
  <c r="N581" i="1"/>
  <c r="M582" i="1"/>
  <c r="N582" i="1"/>
  <c r="M583" i="1"/>
  <c r="N583" i="1"/>
  <c r="M584" i="1"/>
  <c r="N584" i="1"/>
  <c r="M585" i="1"/>
  <c r="N585" i="1"/>
  <c r="M586" i="1"/>
  <c r="N586" i="1"/>
  <c r="M587" i="1"/>
  <c r="N587" i="1"/>
  <c r="M588" i="1"/>
  <c r="N588" i="1"/>
  <c r="M589" i="1"/>
  <c r="N589" i="1"/>
  <c r="M590" i="1"/>
  <c r="N590" i="1"/>
  <c r="M591" i="1"/>
  <c r="N591" i="1"/>
  <c r="M592" i="1"/>
  <c r="N592" i="1"/>
  <c r="M593" i="1"/>
  <c r="N593" i="1"/>
  <c r="M594" i="1"/>
  <c r="N594" i="1"/>
  <c r="M595" i="1"/>
  <c r="N595" i="1"/>
  <c r="M596" i="1"/>
  <c r="N596" i="1"/>
  <c r="M597" i="1"/>
  <c r="N597" i="1"/>
  <c r="M598" i="1"/>
  <c r="N598" i="1"/>
  <c r="M599" i="1"/>
  <c r="N599" i="1"/>
  <c r="M600" i="1"/>
  <c r="N600" i="1"/>
  <c r="M601" i="1"/>
  <c r="N601" i="1"/>
  <c r="M602" i="1"/>
  <c r="N602" i="1"/>
  <c r="M603" i="1"/>
  <c r="N603" i="1"/>
  <c r="M604" i="1"/>
  <c r="N604" i="1"/>
  <c r="M605" i="1"/>
  <c r="N605" i="1"/>
  <c r="M606" i="1"/>
  <c r="N606" i="1"/>
  <c r="M607" i="1"/>
  <c r="N607" i="1"/>
  <c r="M608" i="1"/>
  <c r="N608" i="1"/>
  <c r="M609" i="1"/>
  <c r="N609" i="1"/>
  <c r="M610" i="1"/>
  <c r="N610" i="1"/>
  <c r="M611" i="1"/>
  <c r="N611" i="1"/>
  <c r="M612" i="1"/>
  <c r="N612" i="1"/>
  <c r="M613" i="1"/>
  <c r="N613" i="1"/>
  <c r="M614" i="1"/>
  <c r="N614" i="1"/>
  <c r="M615" i="1"/>
  <c r="N615" i="1"/>
  <c r="M616" i="1"/>
  <c r="N616" i="1"/>
  <c r="M617" i="1"/>
  <c r="N617" i="1"/>
  <c r="M618" i="1"/>
  <c r="N618" i="1"/>
  <c r="M619" i="1"/>
  <c r="N619" i="1"/>
  <c r="M620" i="1"/>
  <c r="N620" i="1"/>
  <c r="M621" i="1"/>
  <c r="N621" i="1"/>
  <c r="M622" i="1"/>
  <c r="N622" i="1"/>
  <c r="M623" i="1"/>
  <c r="N623" i="1"/>
  <c r="M624" i="1"/>
  <c r="N624" i="1"/>
  <c r="M625" i="1"/>
  <c r="N625" i="1"/>
  <c r="M626" i="1"/>
  <c r="N626" i="1"/>
  <c r="M627" i="1"/>
  <c r="N627" i="1"/>
  <c r="M628" i="1"/>
  <c r="N628" i="1"/>
  <c r="M629" i="1"/>
  <c r="N629" i="1"/>
  <c r="M630" i="1"/>
  <c r="N630" i="1"/>
  <c r="M631" i="1"/>
  <c r="N631" i="1"/>
  <c r="M632" i="1"/>
  <c r="N632" i="1"/>
  <c r="M633" i="1"/>
  <c r="N633" i="1"/>
  <c r="M634" i="1"/>
  <c r="N634" i="1"/>
  <c r="M635" i="1"/>
  <c r="N635" i="1"/>
  <c r="M636" i="1"/>
  <c r="N636" i="1"/>
  <c r="M637" i="1"/>
  <c r="N637" i="1"/>
  <c r="M638" i="1"/>
  <c r="N638" i="1"/>
  <c r="M639" i="1"/>
  <c r="N639" i="1"/>
  <c r="M640" i="1"/>
  <c r="N640" i="1"/>
  <c r="M641" i="1"/>
  <c r="N641" i="1"/>
  <c r="M642" i="1"/>
  <c r="N642" i="1"/>
  <c r="M643" i="1"/>
  <c r="N643" i="1"/>
  <c r="M644" i="1"/>
  <c r="N644" i="1"/>
  <c r="M645" i="1"/>
  <c r="N645" i="1"/>
  <c r="M646" i="1"/>
  <c r="N646" i="1"/>
  <c r="M647" i="1"/>
  <c r="N647" i="1"/>
  <c r="M648" i="1"/>
  <c r="N648" i="1"/>
  <c r="M649" i="1"/>
  <c r="N649" i="1"/>
  <c r="M650" i="1"/>
  <c r="N650" i="1"/>
  <c r="M651" i="1"/>
  <c r="N651" i="1"/>
  <c r="M652" i="1"/>
  <c r="N652" i="1"/>
  <c r="M653" i="1"/>
  <c r="N653" i="1"/>
  <c r="M654" i="1"/>
  <c r="N654" i="1"/>
  <c r="M655" i="1"/>
  <c r="N655" i="1"/>
  <c r="M656" i="1"/>
  <c r="N656" i="1"/>
  <c r="M657" i="1"/>
  <c r="N657" i="1"/>
  <c r="M658" i="1"/>
  <c r="N658" i="1"/>
  <c r="M659" i="1"/>
  <c r="N659" i="1"/>
  <c r="M660" i="1"/>
  <c r="N660" i="1"/>
  <c r="M661" i="1"/>
  <c r="N661" i="1"/>
  <c r="M662" i="1"/>
  <c r="N662" i="1"/>
  <c r="M663" i="1"/>
  <c r="N663" i="1"/>
  <c r="M664" i="1"/>
  <c r="N664" i="1"/>
  <c r="M665" i="1"/>
  <c r="N665" i="1"/>
  <c r="M666" i="1"/>
  <c r="N666" i="1"/>
  <c r="M667" i="1"/>
  <c r="N667" i="1"/>
  <c r="M668" i="1"/>
  <c r="N668" i="1"/>
  <c r="M669" i="1"/>
  <c r="N669" i="1"/>
  <c r="M670" i="1"/>
  <c r="N670" i="1"/>
  <c r="M671" i="1"/>
  <c r="N671" i="1"/>
  <c r="M672" i="1"/>
  <c r="N672" i="1"/>
  <c r="M673" i="1"/>
  <c r="N673" i="1"/>
  <c r="M674" i="1"/>
  <c r="N674" i="1"/>
  <c r="M675" i="1"/>
  <c r="N675" i="1"/>
  <c r="M676" i="1"/>
  <c r="N676" i="1"/>
  <c r="M677" i="1"/>
  <c r="N677" i="1"/>
  <c r="M678" i="1"/>
  <c r="N678" i="1"/>
  <c r="M679" i="1"/>
  <c r="N679" i="1"/>
  <c r="M680" i="1"/>
  <c r="N680" i="1"/>
  <c r="M681" i="1"/>
  <c r="N681" i="1"/>
  <c r="M682" i="1"/>
  <c r="N682" i="1"/>
  <c r="M683" i="1"/>
  <c r="N683" i="1"/>
  <c r="M684" i="1"/>
  <c r="N684" i="1"/>
  <c r="M685" i="1"/>
  <c r="N685" i="1"/>
  <c r="M686" i="1"/>
  <c r="N686" i="1"/>
  <c r="M687" i="1"/>
  <c r="N687" i="1"/>
  <c r="M688" i="1"/>
  <c r="N688" i="1"/>
  <c r="M689" i="1"/>
  <c r="N689" i="1"/>
  <c r="M690" i="1"/>
  <c r="N690" i="1"/>
  <c r="M691" i="1"/>
  <c r="N691" i="1"/>
  <c r="M692" i="1"/>
  <c r="N692" i="1"/>
  <c r="M693" i="1"/>
  <c r="N693" i="1"/>
  <c r="M694" i="1"/>
  <c r="N694" i="1"/>
  <c r="M695" i="1"/>
  <c r="N695" i="1"/>
  <c r="CB696" i="1"/>
  <c r="CC696" i="1"/>
  <c r="CB697" i="1"/>
  <c r="CC697" i="1"/>
  <c r="M702" i="1"/>
  <c r="N702" i="1"/>
  <c r="DB702" i="1"/>
  <c r="DC702" i="1"/>
  <c r="M703" i="1"/>
  <c r="N703" i="1"/>
  <c r="DB703" i="1"/>
  <c r="DC703" i="1"/>
  <c r="M704" i="1"/>
  <c r="N704" i="1"/>
  <c r="CB704" i="1"/>
  <c r="CC704" i="1"/>
  <c r="DB704" i="1"/>
  <c r="DC704" i="1"/>
  <c r="M705" i="1"/>
  <c r="N705" i="1"/>
  <c r="BS705" i="1"/>
  <c r="BT705" i="1" s="1"/>
  <c r="CB705" i="1"/>
  <c r="CC705" i="1"/>
  <c r="DB705" i="1"/>
  <c r="DC705" i="1"/>
  <c r="M706" i="1"/>
  <c r="N706" i="1"/>
  <c r="BS706" i="1"/>
  <c r="BT706" i="1" s="1"/>
  <c r="CB706" i="1"/>
  <c r="CC706" i="1"/>
  <c r="DB706" i="1"/>
  <c r="DC706" i="1"/>
  <c r="M707" i="1"/>
  <c r="N707" i="1"/>
  <c r="BS707" i="1"/>
  <c r="BT707" i="1" s="1"/>
  <c r="CB707" i="1"/>
  <c r="CC707" i="1"/>
  <c r="DB707" i="1"/>
  <c r="DC707" i="1"/>
  <c r="M708" i="1"/>
  <c r="N708" i="1"/>
  <c r="BS708" i="1"/>
  <c r="BT708" i="1" s="1"/>
  <c r="CB708" i="1"/>
  <c r="CC708" i="1"/>
  <c r="DB708" i="1"/>
  <c r="DC708" i="1"/>
  <c r="M709" i="1"/>
  <c r="N709" i="1"/>
  <c r="BS709" i="1"/>
  <c r="BT709" i="1" s="1"/>
  <c r="CB709" i="1"/>
  <c r="CC709" i="1"/>
  <c r="DB709" i="1"/>
  <c r="DC709" i="1"/>
  <c r="M710" i="1"/>
  <c r="N710" i="1"/>
  <c r="BS710" i="1"/>
  <c r="BT710" i="1" s="1"/>
  <c r="CB710" i="1"/>
  <c r="CC710" i="1"/>
  <c r="DB710" i="1"/>
  <c r="DC710" i="1"/>
  <c r="M711" i="1"/>
  <c r="N711" i="1"/>
  <c r="BS711" i="1"/>
  <c r="BT711" i="1" s="1"/>
  <c r="CB711" i="1"/>
  <c r="CC711" i="1"/>
  <c r="DB711" i="1"/>
  <c r="DC711" i="1"/>
  <c r="CB712" i="1"/>
  <c r="CC712" i="1"/>
  <c r="CB713" i="1"/>
  <c r="CC713" i="1"/>
  <c r="CB714" i="1"/>
  <c r="CC714" i="1"/>
  <c r="CB715" i="1"/>
  <c r="CC715" i="1"/>
  <c r="CB716" i="1"/>
  <c r="CC716" i="1"/>
  <c r="CB717" i="1"/>
  <c r="CC717" i="1"/>
  <c r="CB718" i="1"/>
  <c r="CC718" i="1"/>
  <c r="CB719" i="1"/>
  <c r="CC719" i="1"/>
  <c r="CB720" i="1"/>
  <c r="CC720" i="1"/>
  <c r="CB721" i="1"/>
  <c r="CC721" i="1"/>
  <c r="CB722" i="1"/>
  <c r="CC722" i="1"/>
  <c r="CB723" i="1"/>
  <c r="CC723" i="1"/>
  <c r="CB724" i="1"/>
  <c r="CC724" i="1"/>
  <c r="CB725" i="1"/>
  <c r="CC725" i="1"/>
  <c r="CB726" i="1"/>
  <c r="CC726" i="1"/>
  <c r="CB727" i="1"/>
  <c r="CC727" i="1"/>
  <c r="CB728" i="1"/>
  <c r="CC728" i="1"/>
  <c r="CB729" i="1"/>
  <c r="CC729" i="1"/>
  <c r="CB731" i="1"/>
  <c r="CC731" i="1"/>
  <c r="M736" i="1"/>
  <c r="N736" i="1"/>
  <c r="CB736" i="1"/>
  <c r="CC736" i="1"/>
  <c r="FU736" i="1"/>
  <c r="M737" i="1"/>
  <c r="N737" i="1"/>
  <c r="CB737" i="1"/>
  <c r="CC737" i="1"/>
  <c r="FU737" i="1"/>
  <c r="M738" i="1"/>
  <c r="N738" i="1"/>
  <c r="CB738" i="1"/>
  <c r="CC738" i="1"/>
  <c r="FU738" i="1"/>
  <c r="M739" i="1"/>
  <c r="N739" i="1"/>
  <c r="HN739" i="1"/>
  <c r="HO739" i="1"/>
  <c r="IR739" i="1"/>
  <c r="IS739" i="1"/>
  <c r="M740" i="1"/>
  <c r="N740" i="1"/>
  <c r="HN740" i="1"/>
  <c r="HO740" i="1"/>
  <c r="IR740" i="1"/>
  <c r="IS740" i="1"/>
  <c r="M741" i="1"/>
  <c r="N741" i="1"/>
  <c r="HN741" i="1"/>
  <c r="HO741" i="1"/>
  <c r="IR741" i="1"/>
  <c r="IS741" i="1"/>
  <c r="M742" i="1"/>
  <c r="N742" i="1"/>
  <c r="HN742" i="1"/>
  <c r="HO742" i="1"/>
  <c r="IR742" i="1"/>
  <c r="IS742" i="1"/>
  <c r="M743" i="1"/>
  <c r="N743" i="1"/>
  <c r="IR743" i="1"/>
  <c r="IS743" i="1"/>
  <c r="M744" i="1"/>
  <c r="N744" i="1"/>
  <c r="IR744" i="1"/>
  <c r="IS744" i="1"/>
  <c r="M745" i="1"/>
  <c r="N745" i="1"/>
  <c r="M746" i="1"/>
  <c r="N746" i="1"/>
  <c r="IR746" i="1"/>
  <c r="IS746" i="1"/>
  <c r="M747" i="1"/>
  <c r="N747" i="1"/>
  <c r="CB747" i="1"/>
  <c r="CC747" i="1"/>
  <c r="DB747" i="1"/>
  <c r="EK747" i="1"/>
  <c r="EL747" i="1"/>
  <c r="M748" i="1"/>
  <c r="N748" i="1"/>
  <c r="CB748" i="1"/>
  <c r="CC748" i="1"/>
  <c r="EK748" i="1"/>
  <c r="EL748" i="1"/>
  <c r="M749" i="1"/>
  <c r="N749" i="1"/>
  <c r="CB749" i="1"/>
  <c r="CC749" i="1"/>
  <c r="EK749" i="1"/>
  <c r="EL749" i="1"/>
  <c r="M750" i="1"/>
  <c r="N750" i="1"/>
  <c r="CB750" i="1"/>
  <c r="CC750" i="1"/>
  <c r="DB750" i="1"/>
  <c r="EK750" i="1"/>
  <c r="EL750" i="1"/>
  <c r="M751" i="1"/>
  <c r="N751" i="1"/>
  <c r="CB751" i="1"/>
  <c r="CC751" i="1"/>
  <c r="EK751" i="1"/>
  <c r="M752" i="1"/>
  <c r="N752" i="1"/>
  <c r="CB752" i="1"/>
  <c r="CC752" i="1"/>
  <c r="EK752" i="1"/>
  <c r="M753" i="1"/>
  <c r="N753" i="1"/>
  <c r="AF753" i="1"/>
  <c r="M754" i="1"/>
  <c r="N754" i="1"/>
  <c r="AF754" i="1"/>
  <c r="M755" i="1"/>
  <c r="N755" i="1"/>
  <c r="AF755" i="1"/>
  <c r="M756" i="1"/>
  <c r="N756" i="1"/>
  <c r="AF756" i="1"/>
  <c r="M757" i="1"/>
  <c r="N757" i="1"/>
  <c r="AF757" i="1"/>
  <c r="M758" i="1"/>
  <c r="N758" i="1"/>
  <c r="AF758" i="1"/>
  <c r="M759" i="1"/>
  <c r="N759" i="1"/>
  <c r="AF759" i="1"/>
  <c r="M760" i="1"/>
  <c r="N760" i="1"/>
  <c r="AF760" i="1"/>
  <c r="M761" i="1"/>
  <c r="N761" i="1"/>
  <c r="AF761" i="1"/>
  <c r="M762" i="1"/>
  <c r="N762" i="1"/>
  <c r="AF762" i="1"/>
  <c r="M763" i="1"/>
  <c r="N763" i="1"/>
  <c r="AF763" i="1"/>
  <c r="M764" i="1"/>
  <c r="N764" i="1"/>
  <c r="AF764" i="1"/>
  <c r="M765" i="1"/>
  <c r="N765" i="1"/>
  <c r="AF765" i="1"/>
  <c r="M766" i="1"/>
  <c r="N766" i="1"/>
  <c r="AF766" i="1"/>
  <c r="IR767" i="1"/>
  <c r="JG767" i="1"/>
  <c r="JH767" i="1"/>
  <c r="JL767" i="1"/>
  <c r="JM767" i="1"/>
  <c r="IR768" i="1"/>
  <c r="JG768" i="1"/>
  <c r="JH768" i="1"/>
  <c r="JL768" i="1"/>
  <c r="JM768" i="1"/>
  <c r="IR769" i="1"/>
  <c r="JG769" i="1"/>
  <c r="JH769" i="1"/>
  <c r="JL769" i="1"/>
  <c r="JM769" i="1"/>
  <c r="IR770" i="1"/>
  <c r="JG770" i="1"/>
  <c r="JH770" i="1"/>
  <c r="JL770" i="1"/>
  <c r="JM770" i="1"/>
  <c r="IR771" i="1"/>
  <c r="JG771" i="1"/>
  <c r="JH771" i="1"/>
  <c r="JL771" i="1"/>
  <c r="JM771" i="1"/>
  <c r="JG772" i="1"/>
  <c r="JH772" i="1"/>
  <c r="JL772" i="1"/>
  <c r="JM772" i="1"/>
  <c r="JG773" i="1"/>
  <c r="JH773" i="1"/>
  <c r="JL773" i="1"/>
  <c r="JM773" i="1"/>
  <c r="JG774" i="1"/>
  <c r="JH774" i="1"/>
  <c r="JL774" i="1"/>
  <c r="JM774" i="1"/>
  <c r="JG775" i="1"/>
  <c r="JH775" i="1"/>
  <c r="JL775" i="1"/>
  <c r="JM775" i="1"/>
  <c r="JG776" i="1"/>
  <c r="JH776" i="1"/>
  <c r="JL776" i="1"/>
  <c r="JM776" i="1"/>
  <c r="JG777" i="1"/>
  <c r="JH777" i="1"/>
  <c r="JL777" i="1"/>
  <c r="JM777" i="1"/>
  <c r="JG778" i="1"/>
  <c r="JH778" i="1"/>
  <c r="JL778" i="1"/>
  <c r="JM778" i="1"/>
  <c r="JG779" i="1"/>
  <c r="JH779" i="1"/>
  <c r="JL779" i="1"/>
  <c r="JM779" i="1"/>
  <c r="JG780" i="1"/>
  <c r="JH780" i="1"/>
  <c r="JL780" i="1"/>
  <c r="JM780" i="1"/>
  <c r="JG781" i="1"/>
  <c r="JH781" i="1"/>
  <c r="JL781" i="1"/>
  <c r="JM781" i="1"/>
  <c r="JG782" i="1"/>
  <c r="JH782" i="1"/>
  <c r="JL782" i="1"/>
  <c r="JM782" i="1"/>
  <c r="JG783" i="1"/>
  <c r="JH783" i="1"/>
  <c r="JL783" i="1"/>
  <c r="JM783" i="1"/>
  <c r="JG784" i="1"/>
  <c r="JH784" i="1"/>
  <c r="JL784" i="1"/>
  <c r="JM784" i="1"/>
  <c r="JL785" i="1"/>
  <c r="JM785" i="1"/>
  <c r="JG786" i="1"/>
  <c r="JH786" i="1"/>
  <c r="JL786" i="1"/>
  <c r="JM786" i="1"/>
  <c r="JG787" i="1"/>
  <c r="JH787" i="1"/>
  <c r="JL787" i="1"/>
  <c r="JM787" i="1"/>
  <c r="JG788" i="1"/>
  <c r="JH788" i="1"/>
  <c r="JL788" i="1"/>
  <c r="JM788" i="1"/>
  <c r="JG789" i="1"/>
  <c r="JH789" i="1"/>
  <c r="JL789" i="1"/>
  <c r="JM789" i="1"/>
  <c r="JG790" i="1"/>
  <c r="JH790" i="1"/>
  <c r="JL790" i="1"/>
  <c r="JM790" i="1"/>
  <c r="M791" i="1"/>
  <c r="N791" i="1"/>
  <c r="M792" i="1"/>
  <c r="N792" i="1"/>
  <c r="AD793" i="1"/>
  <c r="IR793" i="1"/>
  <c r="IS793" i="1"/>
  <c r="AD794" i="1"/>
  <c r="IR794" i="1"/>
  <c r="IS794" i="1"/>
  <c r="AD795" i="1"/>
  <c r="AD796" i="1"/>
  <c r="AD797" i="1"/>
  <c r="AD798" i="1"/>
  <c r="AD799" i="1"/>
  <c r="AD800" i="1"/>
  <c r="AD801" i="1"/>
  <c r="AD802" i="1"/>
  <c r="AD803" i="1"/>
  <c r="AD804" i="1"/>
  <c r="AD805" i="1"/>
  <c r="AD806" i="1"/>
  <c r="AD807" i="1"/>
  <c r="AD808" i="1"/>
  <c r="AD809" i="1"/>
  <c r="AD810" i="1"/>
  <c r="AJ885" i="1"/>
  <c r="BT885" i="1"/>
  <c r="AJ886" i="1"/>
  <c r="BT886" i="1"/>
  <c r="AJ887" i="1"/>
  <c r="BT887" i="1"/>
  <c r="AJ888" i="1"/>
  <c r="BT888" i="1"/>
  <c r="AJ889" i="1"/>
  <c r="BT889" i="1"/>
  <c r="AJ890" i="1"/>
  <c r="BT890" i="1"/>
  <c r="AJ891" i="1"/>
  <c r="BT891" i="1"/>
  <c r="AJ892" i="1"/>
  <c r="BT892" i="1"/>
  <c r="AJ893" i="1"/>
  <c r="BT893" i="1"/>
  <c r="CM894" i="1"/>
  <c r="DB894" i="1"/>
  <c r="DC894" i="1"/>
  <c r="CM895" i="1"/>
  <c r="DB895" i="1"/>
  <c r="CM896" i="1"/>
  <c r="DB896" i="1"/>
  <c r="CM897" i="1"/>
  <c r="CM898" i="1"/>
  <c r="CM899" i="1"/>
  <c r="CM903" i="1"/>
  <c r="CM904" i="1"/>
  <c r="DB909" i="1"/>
  <c r="DL909" i="1"/>
  <c r="DM909" i="1"/>
  <c r="DL913" i="1"/>
  <c r="DM913" i="1"/>
  <c r="DL914" i="1"/>
  <c r="DM914" i="1"/>
  <c r="DB943" i="1"/>
  <c r="DC943" i="1"/>
  <c r="DB944" i="1"/>
  <c r="DC944" i="1"/>
  <c r="DB945" i="1"/>
  <c r="DC945" i="1"/>
  <c r="DB947" i="1"/>
  <c r="DC947" i="1"/>
  <c r="DB948" i="1"/>
  <c r="DC948" i="1"/>
  <c r="DB949" i="1"/>
  <c r="DC949" i="1"/>
  <c r="DB951" i="1"/>
  <c r="DC951" i="1"/>
  <c r="DB952" i="1"/>
  <c r="DC952" i="1"/>
  <c r="DB953" i="1"/>
  <c r="DC953" i="1"/>
  <c r="DB955" i="1"/>
  <c r="DC955" i="1"/>
  <c r="DB956" i="1"/>
  <c r="DC956" i="1"/>
  <c r="DB958" i="1"/>
  <c r="DC958" i="1"/>
  <c r="DB959" i="1"/>
  <c r="DC959" i="1"/>
  <c r="DB960" i="1"/>
  <c r="DC960" i="1"/>
  <c r="DB962" i="1"/>
  <c r="DC962" i="1"/>
  <c r="DB963" i="1"/>
  <c r="DC963" i="1"/>
  <c r="DB964" i="1"/>
  <c r="DC964" i="1"/>
  <c r="DB966" i="1"/>
  <c r="DC966" i="1"/>
  <c r="M967" i="1"/>
  <c r="N967" i="1"/>
  <c r="BS967" i="1"/>
  <c r="BT967" i="1" s="1"/>
  <c r="DB967" i="1"/>
  <c r="DC967" i="1"/>
  <c r="GD967" i="1"/>
  <c r="GE967" i="1"/>
  <c r="M968" i="1"/>
  <c r="N968" i="1"/>
  <c r="BT968" i="1"/>
  <c r="DB968" i="1"/>
  <c r="DC968" i="1"/>
  <c r="GD968" i="1"/>
  <c r="GE968" i="1"/>
  <c r="M969" i="1"/>
  <c r="N969" i="1"/>
  <c r="BS969" i="1"/>
  <c r="BT969" i="1" s="1"/>
  <c r="DB969" i="1"/>
  <c r="DC969" i="1"/>
  <c r="GD969" i="1"/>
  <c r="GE969" i="1"/>
  <c r="M970" i="1"/>
  <c r="N970" i="1"/>
  <c r="BT970" i="1"/>
  <c r="DB970" i="1"/>
  <c r="DC970" i="1"/>
  <c r="GD970" i="1"/>
  <c r="GE970" i="1"/>
  <c r="M971" i="1"/>
  <c r="N971" i="1"/>
  <c r="BT971" i="1"/>
  <c r="DB971" i="1"/>
  <c r="DC971" i="1"/>
  <c r="GD971" i="1"/>
  <c r="GE971" i="1"/>
  <c r="M972" i="1"/>
  <c r="N972" i="1"/>
  <c r="BS972" i="1"/>
  <c r="BT972" i="1" s="1"/>
  <c r="DB972" i="1"/>
  <c r="DC972" i="1"/>
  <c r="GD972" i="1"/>
  <c r="GE972" i="1"/>
  <c r="M973" i="1"/>
  <c r="N973" i="1"/>
  <c r="BT973" i="1"/>
  <c r="DB973" i="1"/>
  <c r="DC973" i="1"/>
  <c r="GD973" i="1"/>
  <c r="GE973" i="1"/>
  <c r="M974" i="1"/>
  <c r="N974" i="1"/>
  <c r="BS974" i="1"/>
  <c r="BT974" i="1" s="1"/>
  <c r="DB974" i="1"/>
  <c r="DC974" i="1"/>
  <c r="GD974" i="1"/>
  <c r="GE974" i="1"/>
  <c r="M975" i="1"/>
  <c r="N975" i="1"/>
  <c r="BT975" i="1"/>
  <c r="DB975" i="1"/>
  <c r="DC975" i="1"/>
  <c r="GD975" i="1"/>
  <c r="GE975" i="1"/>
  <c r="M976" i="1"/>
  <c r="N976" i="1"/>
  <c r="BT976" i="1"/>
  <c r="DB976" i="1"/>
  <c r="GD976" i="1"/>
  <c r="GE976" i="1"/>
  <c r="M977" i="1"/>
  <c r="N977" i="1"/>
  <c r="BS977" i="1"/>
  <c r="BT977" i="1" s="1"/>
  <c r="GD977" i="1"/>
  <c r="GE977" i="1"/>
  <c r="M978" i="1"/>
  <c r="N978" i="1"/>
  <c r="BT978" i="1"/>
  <c r="GD978" i="1"/>
  <c r="GE978" i="1"/>
  <c r="M979" i="1"/>
  <c r="N979" i="1"/>
  <c r="BS979" i="1"/>
  <c r="BT979" i="1" s="1"/>
  <c r="GD979" i="1"/>
  <c r="GE979" i="1"/>
  <c r="M980" i="1"/>
  <c r="N980" i="1"/>
  <c r="BT980" i="1"/>
  <c r="GD980" i="1"/>
  <c r="GE980" i="1"/>
  <c r="M981" i="1"/>
  <c r="N981" i="1"/>
  <c r="BT981" i="1"/>
  <c r="GD981" i="1"/>
  <c r="GE981" i="1"/>
  <c r="M982" i="1"/>
  <c r="N982" i="1"/>
  <c r="BS982" i="1"/>
  <c r="BT982" i="1" s="1"/>
  <c r="GD982" i="1"/>
  <c r="GE982" i="1"/>
  <c r="M983" i="1"/>
  <c r="N983" i="1"/>
  <c r="BT983" i="1"/>
  <c r="GD983" i="1"/>
  <c r="GE983" i="1"/>
  <c r="M984" i="1"/>
  <c r="N984" i="1"/>
  <c r="BS984" i="1"/>
  <c r="BT984" i="1" s="1"/>
  <c r="GD984" i="1"/>
  <c r="GE984" i="1"/>
  <c r="M985" i="1"/>
  <c r="N985" i="1"/>
  <c r="BT985" i="1"/>
  <c r="GD985" i="1"/>
  <c r="GE985" i="1"/>
  <c r="M986" i="1"/>
  <c r="N986" i="1"/>
  <c r="BT986" i="1"/>
  <c r="GD986" i="1"/>
  <c r="GE986" i="1"/>
  <c r="M987" i="1"/>
  <c r="N987" i="1"/>
  <c r="BS987" i="1"/>
  <c r="BT987" i="1" s="1"/>
  <c r="GD987" i="1"/>
  <c r="GE987" i="1"/>
  <c r="M988" i="1"/>
  <c r="N988" i="1"/>
  <c r="BT988" i="1"/>
  <c r="GD988" i="1"/>
  <c r="GE988" i="1"/>
  <c r="M989" i="1"/>
  <c r="N989" i="1"/>
  <c r="BS989" i="1"/>
  <c r="BT989" i="1" s="1"/>
  <c r="GD989" i="1"/>
  <c r="GE989" i="1"/>
  <c r="M990" i="1"/>
  <c r="N990" i="1"/>
  <c r="BT990" i="1"/>
  <c r="GD990" i="1"/>
  <c r="GE990" i="1"/>
  <c r="M991" i="1"/>
  <c r="N991" i="1"/>
  <c r="BT991" i="1"/>
  <c r="GD991" i="1"/>
  <c r="GE991" i="1"/>
  <c r="M992" i="1"/>
  <c r="N992" i="1"/>
  <c r="BS992" i="1"/>
  <c r="BT992" i="1" s="1"/>
  <c r="GD992" i="1"/>
  <c r="GE992" i="1"/>
  <c r="M993" i="1"/>
  <c r="N993" i="1"/>
  <c r="BT993" i="1"/>
  <c r="GD993" i="1"/>
  <c r="GE993" i="1"/>
  <c r="M994" i="1"/>
  <c r="N994" i="1"/>
  <c r="BS994" i="1"/>
  <c r="BT994" i="1" s="1"/>
  <c r="GD994" i="1"/>
  <c r="GE994" i="1"/>
  <c r="M995" i="1"/>
  <c r="N995" i="1"/>
  <c r="BT995" i="1"/>
  <c r="GD995" i="1"/>
  <c r="GE995" i="1"/>
  <c r="M996" i="1"/>
  <c r="N996" i="1"/>
  <c r="BT996" i="1"/>
  <c r="GD996" i="1"/>
  <c r="GE996" i="1"/>
  <c r="CM997" i="1"/>
  <c r="CN997" i="1"/>
  <c r="EK997" i="1"/>
  <c r="EL997" i="1"/>
  <c r="FJ997" i="1"/>
  <c r="FK997" i="1"/>
  <c r="CM998" i="1"/>
  <c r="CN998" i="1"/>
  <c r="EK998" i="1"/>
  <c r="EL998" i="1"/>
  <c r="FJ998" i="1"/>
  <c r="FK998" i="1"/>
  <c r="CM999" i="1"/>
  <c r="CN999" i="1"/>
  <c r="EK999" i="1"/>
  <c r="EL999" i="1"/>
  <c r="FJ999" i="1"/>
  <c r="FK999" i="1"/>
  <c r="M1000" i="1"/>
  <c r="N1000" i="1"/>
  <c r="HD1000" i="1"/>
  <c r="HE1000" i="1"/>
  <c r="M1001" i="1"/>
  <c r="N1001" i="1"/>
  <c r="HD1001" i="1"/>
  <c r="HE1001" i="1"/>
  <c r="M1002" i="1"/>
  <c r="N1002" i="1"/>
  <c r="HD1002" i="1"/>
  <c r="HE1002" i="1"/>
  <c r="M1003" i="1"/>
  <c r="N1003" i="1"/>
  <c r="HD1003" i="1"/>
  <c r="HE1003" i="1"/>
  <c r="M1004" i="1"/>
  <c r="N1004" i="1"/>
  <c r="HD1004" i="1"/>
  <c r="HE1004" i="1"/>
  <c r="M1005" i="1"/>
  <c r="N1005" i="1"/>
  <c r="HD1005" i="1"/>
  <c r="HE1005" i="1"/>
  <c r="M1006" i="1"/>
  <c r="N1006" i="1"/>
  <c r="HD1006" i="1"/>
  <c r="HE1006" i="1"/>
  <c r="M1007" i="1"/>
  <c r="N1007" i="1"/>
  <c r="HD1007" i="1"/>
  <c r="HE1007" i="1"/>
  <c r="M1008" i="1"/>
  <c r="N1008" i="1"/>
  <c r="HD1008" i="1"/>
  <c r="HE1008" i="1"/>
  <c r="M1009" i="1"/>
  <c r="N1009" i="1"/>
  <c r="HD1009" i="1"/>
  <c r="HE1009" i="1"/>
  <c r="M1010" i="1"/>
  <c r="N1010" i="1"/>
  <c r="HD1010" i="1"/>
  <c r="HE1010" i="1"/>
  <c r="M1011" i="1"/>
  <c r="N1011" i="1"/>
  <c r="HD1011" i="1"/>
  <c r="HE1011" i="1"/>
  <c r="M1012" i="1"/>
  <c r="N1012" i="1"/>
  <c r="HD1012" i="1"/>
  <c r="HE1012" i="1"/>
  <c r="M1013" i="1"/>
  <c r="N1013" i="1"/>
  <c r="HD1013" i="1"/>
  <c r="HE1013" i="1"/>
  <c r="M1014" i="1"/>
  <c r="N1014" i="1"/>
  <c r="HD1014" i="1"/>
  <c r="HE1014" i="1"/>
  <c r="M1015" i="1"/>
  <c r="N1015" i="1"/>
  <c r="HD1015" i="1"/>
  <c r="HE1015" i="1"/>
  <c r="BT1042" i="1"/>
  <c r="BT1043" i="1"/>
  <c r="BT1044" i="1"/>
  <c r="BT1045" i="1"/>
  <c r="BT1048" i="1"/>
  <c r="BT1049" i="1"/>
  <c r="BT1050" i="1"/>
  <c r="BT1051" i="1"/>
  <c r="BT1054" i="1"/>
  <c r="BT1055" i="1"/>
  <c r="BT1056" i="1"/>
  <c r="BT1057" i="1"/>
  <c r="BT1060" i="1"/>
  <c r="BT1061" i="1"/>
  <c r="BT1062" i="1"/>
  <c r="BT1063" i="1"/>
  <c r="DB1066" i="1"/>
  <c r="DC1066" i="1"/>
  <c r="DB1067" i="1"/>
  <c r="DC1067" i="1"/>
  <c r="DB1070" i="1"/>
  <c r="DC1070" i="1"/>
  <c r="DB1071" i="1"/>
  <c r="DC1071" i="1"/>
  <c r="DB1074" i="1"/>
  <c r="DC1074" i="1"/>
  <c r="DB1078" i="1"/>
  <c r="DC1078" i="1"/>
  <c r="DB1082" i="1"/>
  <c r="DC1082" i="1"/>
  <c r="DB1085" i="1"/>
  <c r="DC1085" i="1"/>
  <c r="R1088" i="1"/>
  <c r="S1088" i="1"/>
  <c r="AE1088" i="1"/>
  <c r="AF1088" i="1"/>
  <c r="BS1088" i="1"/>
  <c r="DB1088" i="1"/>
  <c r="DC1088" i="1"/>
  <c r="R1089" i="1"/>
  <c r="S1089" i="1"/>
  <c r="AE1089" i="1"/>
  <c r="AF1089" i="1"/>
  <c r="BS1089" i="1"/>
  <c r="DB1089" i="1"/>
  <c r="DC1089" i="1"/>
  <c r="R1090" i="1"/>
  <c r="S1090" i="1"/>
  <c r="AE1090" i="1"/>
  <c r="AF1090" i="1"/>
  <c r="BS1090" i="1"/>
  <c r="DB1090" i="1"/>
  <c r="DC1090" i="1"/>
  <c r="R1091" i="1"/>
  <c r="S1091" i="1"/>
  <c r="AE1091" i="1"/>
  <c r="AF1091" i="1"/>
  <c r="BS1091" i="1"/>
  <c r="DC1091" i="1"/>
  <c r="R1092" i="1"/>
  <c r="S1092" i="1"/>
  <c r="AE1092" i="1"/>
  <c r="AF1092" i="1"/>
  <c r="BS1092" i="1"/>
  <c r="DC1092" i="1"/>
  <c r="R1093" i="1"/>
  <c r="S1093" i="1"/>
  <c r="AE1093" i="1"/>
  <c r="AF1093" i="1"/>
  <c r="BS1093" i="1"/>
  <c r="DC1093" i="1"/>
  <c r="R1094" i="1"/>
  <c r="S1094" i="1"/>
  <c r="AE1094" i="1"/>
  <c r="AF1094" i="1"/>
  <c r="BS1094" i="1"/>
  <c r="DB1094" i="1"/>
  <c r="DC1094" i="1"/>
  <c r="R1095" i="1"/>
  <c r="S1095" i="1"/>
  <c r="AE1095" i="1"/>
  <c r="AF1095" i="1"/>
  <c r="BS1095" i="1"/>
  <c r="DB1095" i="1"/>
  <c r="DC1095" i="1"/>
  <c r="R1096" i="1"/>
  <c r="S1096" i="1"/>
  <c r="AE1096" i="1"/>
  <c r="AF1096" i="1"/>
  <c r="BS1096" i="1"/>
  <c r="DB1096" i="1"/>
  <c r="DC1096" i="1"/>
  <c r="R1097" i="1"/>
  <c r="S1097" i="1"/>
  <c r="AE1097" i="1"/>
  <c r="AF1097" i="1"/>
  <c r="BS1097" i="1"/>
  <c r="DB1097" i="1"/>
  <c r="DC1097" i="1"/>
  <c r="R1098" i="1"/>
  <c r="S1098" i="1"/>
  <c r="AE1098" i="1"/>
  <c r="AF1098" i="1"/>
  <c r="BS1098" i="1"/>
  <c r="R1099" i="1"/>
  <c r="S1099" i="1"/>
  <c r="AE1099" i="1"/>
  <c r="AF1099" i="1"/>
  <c r="BS1099" i="1"/>
  <c r="R1100" i="1"/>
  <c r="S1100" i="1"/>
  <c r="AE1100" i="1"/>
  <c r="AF1100" i="1"/>
  <c r="BS1100" i="1"/>
  <c r="DB1100" i="1"/>
  <c r="DC1100" i="1"/>
  <c r="R1101" i="1"/>
  <c r="S1101" i="1"/>
  <c r="AE1101" i="1"/>
  <c r="AF1101" i="1"/>
  <c r="BS1101" i="1"/>
  <c r="R1102" i="1"/>
  <c r="S1102" i="1"/>
  <c r="AE1102" i="1"/>
  <c r="AF1102" i="1"/>
  <c r="BS1102" i="1"/>
  <c r="R1103" i="1"/>
  <c r="S1103" i="1"/>
  <c r="AE1103" i="1"/>
  <c r="AF1103" i="1"/>
  <c r="R1104" i="1"/>
  <c r="S1104" i="1"/>
  <c r="AE1104" i="1"/>
  <c r="AF1104" i="1"/>
  <c r="R1105" i="1"/>
  <c r="S1105" i="1"/>
  <c r="AE1105" i="1"/>
  <c r="AF1105" i="1"/>
  <c r="R1106" i="1"/>
  <c r="S1106" i="1"/>
  <c r="AE1106" i="1"/>
  <c r="AF1106" i="1"/>
  <c r="R1107" i="1"/>
  <c r="S1107" i="1"/>
  <c r="AE1107" i="1"/>
  <c r="AF1107" i="1"/>
  <c r="R1108" i="1"/>
  <c r="S1108" i="1"/>
  <c r="AE1108" i="1"/>
  <c r="AF1108" i="1"/>
  <c r="R1109" i="1"/>
  <c r="S1109" i="1"/>
  <c r="AE1109" i="1"/>
  <c r="AF1109" i="1"/>
  <c r="R1110" i="1"/>
  <c r="S1110" i="1"/>
  <c r="AE1110" i="1"/>
  <c r="AF1110" i="1"/>
  <c r="R1111" i="1"/>
  <c r="S1111" i="1"/>
  <c r="AE1111" i="1"/>
  <c r="AF1111" i="1"/>
  <c r="S1112" i="1"/>
  <c r="AE1112" i="1"/>
  <c r="AF1112" i="1"/>
  <c r="S1113" i="1"/>
  <c r="AE1113" i="1"/>
  <c r="AF1113" i="1"/>
  <c r="S1114" i="1"/>
  <c r="AE1114" i="1"/>
  <c r="AF1114" i="1"/>
  <c r="S1115" i="1"/>
  <c r="AE1115" i="1"/>
  <c r="AF1115" i="1"/>
  <c r="S1116" i="1"/>
  <c r="AE1116" i="1"/>
  <c r="AF1116" i="1"/>
  <c r="S1117" i="1"/>
  <c r="AE1117" i="1"/>
  <c r="AF1117" i="1"/>
  <c r="S1118" i="1"/>
  <c r="AE1118" i="1"/>
  <c r="AF1118" i="1"/>
  <c r="S1119" i="1"/>
  <c r="AE1119" i="1"/>
  <c r="AF1119" i="1"/>
  <c r="S1120" i="1"/>
  <c r="AE1120" i="1"/>
  <c r="AF1120" i="1"/>
  <c r="R1121" i="1"/>
  <c r="S1121" i="1"/>
  <c r="AE1121" i="1"/>
  <c r="AF1121" i="1"/>
  <c r="BS1121" i="1"/>
  <c r="R1122" i="1"/>
  <c r="S1122" i="1"/>
  <c r="AE1122" i="1"/>
  <c r="AF1122" i="1"/>
  <c r="R1123" i="1"/>
  <c r="S1123" i="1"/>
  <c r="AE1123" i="1"/>
  <c r="AF1123" i="1"/>
  <c r="R1124" i="1"/>
  <c r="S1124" i="1"/>
  <c r="AE1124" i="1"/>
  <c r="AF1124" i="1"/>
  <c r="R1125" i="1"/>
  <c r="S1125" i="1"/>
  <c r="AE1125" i="1"/>
  <c r="AF1125" i="1"/>
  <c r="R1126" i="1"/>
  <c r="S1126" i="1"/>
  <c r="AE1126" i="1"/>
  <c r="AF1126" i="1"/>
  <c r="S1127" i="1"/>
  <c r="AE1127" i="1"/>
  <c r="AF1127" i="1"/>
  <c r="S1128" i="1"/>
  <c r="AE1128" i="1"/>
  <c r="AF1128" i="1"/>
  <c r="S1129" i="1"/>
  <c r="AE1129" i="1"/>
  <c r="AF1129" i="1"/>
  <c r="S1130" i="1"/>
  <c r="AE1130" i="1"/>
  <c r="AF1130" i="1"/>
  <c r="S1131" i="1"/>
  <c r="AE1131" i="1"/>
  <c r="AF1131" i="1"/>
  <c r="S1132" i="1"/>
  <c r="AE1132" i="1"/>
  <c r="AF1132" i="1"/>
  <c r="S1133" i="1"/>
  <c r="AE1133" i="1"/>
  <c r="AF1133" i="1"/>
  <c r="S1134" i="1"/>
  <c r="AE1134" i="1"/>
  <c r="AF1134" i="1"/>
  <c r="S1135" i="1"/>
  <c r="AE1135" i="1"/>
  <c r="AF1135" i="1"/>
  <c r="S1136" i="1"/>
  <c r="AE1136" i="1"/>
  <c r="AF1136" i="1"/>
  <c r="S1137" i="1"/>
  <c r="AE1137" i="1"/>
  <c r="AF1137" i="1"/>
  <c r="S1138" i="1"/>
  <c r="AE1138" i="1"/>
  <c r="AF1138" i="1"/>
  <c r="R1139" i="1"/>
  <c r="S1139" i="1"/>
  <c r="AE1139" i="1"/>
  <c r="AF1139" i="1"/>
  <c r="BS1139" i="1"/>
  <c r="R1140" i="1"/>
  <c r="S1140" i="1"/>
  <c r="AE1140" i="1"/>
  <c r="AF1140" i="1"/>
  <c r="R1141" i="1"/>
  <c r="S1141" i="1"/>
  <c r="AE1141" i="1"/>
  <c r="AF1141" i="1"/>
  <c r="R1142" i="1"/>
  <c r="S1142" i="1"/>
  <c r="AE1142" i="1"/>
  <c r="AF1142" i="1"/>
  <c r="R1143" i="1"/>
  <c r="S1143" i="1"/>
  <c r="AE1143" i="1"/>
  <c r="AF1143" i="1"/>
  <c r="R1144" i="1"/>
  <c r="S1144" i="1"/>
  <c r="AE1144" i="1"/>
  <c r="AF1144" i="1"/>
  <c r="S1145" i="1"/>
  <c r="AE1145" i="1"/>
  <c r="AF1145" i="1"/>
  <c r="S1146" i="1"/>
  <c r="AE1146" i="1"/>
  <c r="AF1146" i="1"/>
  <c r="S1147" i="1"/>
  <c r="AE1147" i="1"/>
  <c r="AF1147" i="1"/>
  <c r="S1148" i="1"/>
  <c r="AE1148" i="1"/>
  <c r="AF1148" i="1"/>
  <c r="S1149" i="1"/>
  <c r="AE1149" i="1"/>
  <c r="AF1149" i="1"/>
  <c r="S1150" i="1"/>
  <c r="AE1150" i="1"/>
  <c r="AF1150" i="1"/>
  <c r="S1151" i="1"/>
  <c r="AE1151" i="1"/>
  <c r="AF1151" i="1"/>
  <c r="S1152" i="1"/>
  <c r="AE1152" i="1"/>
  <c r="AF1152" i="1"/>
  <c r="S1153" i="1"/>
  <c r="AE1153" i="1"/>
  <c r="AF1153" i="1"/>
  <c r="S1154" i="1"/>
  <c r="AE1154" i="1"/>
  <c r="AF1154" i="1"/>
  <c r="S1155" i="1"/>
  <c r="AE1155" i="1"/>
  <c r="AF1155" i="1"/>
  <c r="S1156" i="1"/>
  <c r="AE1156" i="1"/>
  <c r="AF1156" i="1"/>
  <c r="IC1186" i="1"/>
  <c r="ID1186" i="1"/>
  <c r="IR1186" i="1"/>
  <c r="IC1187" i="1"/>
  <c r="ID1187" i="1"/>
  <c r="IC1188" i="1"/>
  <c r="ID1188" i="1"/>
  <c r="IC1189" i="1"/>
  <c r="ID1189" i="1"/>
  <c r="GI1206" i="1"/>
  <c r="GJ1206" i="1"/>
  <c r="GI1209" i="1"/>
  <c r="GJ1209" i="1"/>
  <c r="GI1212" i="1"/>
  <c r="GJ1212" i="1"/>
  <c r="BT1247" i="1"/>
  <c r="BT1248" i="1"/>
  <c r="BT1249" i="1"/>
  <c r="BT1250" i="1"/>
  <c r="BT1251" i="1"/>
  <c r="BT1296" i="1"/>
  <c r="BT1297" i="1"/>
  <c r="BT1298" i="1"/>
  <c r="BT1299" i="1"/>
  <c r="BT1300" i="1"/>
  <c r="BT1301" i="1"/>
  <c r="BT1302" i="1"/>
  <c r="BT1303" i="1"/>
  <c r="BT1304" i="1"/>
  <c r="BT1305" i="1"/>
  <c r="BT1308" i="1"/>
  <c r="BT1309" i="1"/>
  <c r="BT1310" i="1"/>
  <c r="BT1311" i="1"/>
  <c r="BT1312" i="1"/>
  <c r="BT1313" i="1"/>
  <c r="BT1314" i="1"/>
  <c r="BT1315" i="1"/>
  <c r="BT1316" i="1"/>
  <c r="BT1317" i="1"/>
  <c r="M1318" i="1"/>
  <c r="N1318" i="1"/>
  <c r="EZ1318" i="1"/>
  <c r="FA1318" i="1"/>
  <c r="FE1318" i="1"/>
  <c r="FF1318" i="1"/>
  <c r="M1319" i="1"/>
  <c r="N1319" i="1"/>
  <c r="EZ1319" i="1"/>
  <c r="FA1319" i="1"/>
  <c r="FE1319" i="1"/>
  <c r="FF1319" i="1"/>
  <c r="M1320" i="1"/>
  <c r="N1320" i="1"/>
  <c r="EZ1320" i="1"/>
  <c r="FA1320" i="1"/>
  <c r="FE1320" i="1"/>
  <c r="FF1320" i="1"/>
  <c r="M1321" i="1"/>
  <c r="N1321" i="1"/>
  <c r="M1322" i="1"/>
  <c r="N1322" i="1"/>
  <c r="FA1322" i="1"/>
  <c r="FE1322" i="1"/>
  <c r="FF1322" i="1"/>
  <c r="M1323" i="1"/>
  <c r="N1323" i="1"/>
  <c r="EZ1323" i="1"/>
  <c r="FA1323" i="1"/>
  <c r="FE1323" i="1"/>
  <c r="FF1323" i="1"/>
  <c r="M1324" i="1"/>
  <c r="N1324" i="1"/>
  <c r="EZ1324" i="1"/>
  <c r="FA1324" i="1"/>
  <c r="FE1324" i="1"/>
  <c r="FF1324" i="1"/>
  <c r="M1325" i="1"/>
  <c r="N1325" i="1"/>
  <c r="M1326" i="1"/>
  <c r="N1326" i="1"/>
  <c r="EZ1326" i="1"/>
  <c r="FA1326" i="1"/>
  <c r="FE1326" i="1"/>
  <c r="FF1326" i="1"/>
  <c r="M1327" i="1"/>
  <c r="N1327" i="1"/>
  <c r="EZ1327" i="1"/>
  <c r="FA1327" i="1"/>
  <c r="FE1327" i="1"/>
  <c r="FF1327" i="1"/>
  <c r="M1328" i="1"/>
  <c r="N1328" i="1"/>
  <c r="M1329" i="1"/>
  <c r="N1329" i="1"/>
  <c r="M1330" i="1"/>
  <c r="N1330" i="1"/>
  <c r="M1331" i="1"/>
  <c r="N1331" i="1"/>
  <c r="GD1332" i="1"/>
  <c r="GE1332" i="1"/>
  <c r="GD1333" i="1"/>
  <c r="GE1333" i="1"/>
  <c r="GD1334" i="1"/>
  <c r="GE1334" i="1"/>
  <c r="GD1335" i="1"/>
  <c r="GE1335" i="1"/>
  <c r="GD1336" i="1"/>
  <c r="GE1336" i="1"/>
  <c r="GD1337" i="1"/>
  <c r="GE1337" i="1"/>
  <c r="GD1338" i="1"/>
  <c r="GE1338" i="1"/>
  <c r="GD1339" i="1"/>
  <c r="GE1339" i="1"/>
  <c r="GD1340" i="1"/>
  <c r="GE1340" i="1"/>
  <c r="GD1341" i="1"/>
  <c r="GE1341" i="1"/>
  <c r="GD1342" i="1"/>
  <c r="GE1342" i="1"/>
  <c r="GD1343" i="1"/>
  <c r="GE1343" i="1"/>
  <c r="GD1344" i="1"/>
  <c r="GE1344" i="1"/>
  <c r="GD1345" i="1"/>
  <c r="GE1345" i="1"/>
  <c r="GD1346" i="1"/>
  <c r="GE1346" i="1"/>
  <c r="GD1347" i="1"/>
  <c r="GE1347" i="1"/>
  <c r="GD1352" i="1"/>
  <c r="GE1352" i="1"/>
  <c r="GD1353" i="1"/>
  <c r="GE1353" i="1"/>
  <c r="GD1354" i="1"/>
  <c r="GE1354" i="1"/>
  <c r="GD1355" i="1"/>
  <c r="GE1355" i="1"/>
  <c r="GD1356" i="1"/>
  <c r="GE1356" i="1"/>
  <c r="GD1357" i="1"/>
  <c r="GE1357" i="1"/>
  <c r="GD1358" i="1"/>
  <c r="GE1358" i="1"/>
  <c r="GD1359" i="1"/>
  <c r="GE1359" i="1"/>
  <c r="GD1360" i="1"/>
  <c r="GE1360" i="1"/>
  <c r="GD1361" i="1"/>
  <c r="GE1361" i="1"/>
  <c r="GD1362" i="1"/>
  <c r="GE1362" i="1"/>
  <c r="GD1363" i="1"/>
  <c r="GE1363" i="1"/>
  <c r="GD1364" i="1"/>
  <c r="GE1364" i="1"/>
  <c r="GD1365" i="1"/>
  <c r="GE1365" i="1"/>
  <c r="GD1366" i="1"/>
  <c r="GE1366" i="1"/>
  <c r="GD1367" i="1"/>
  <c r="GE1367" i="1"/>
  <c r="GD1368" i="1"/>
  <c r="GE1368" i="1"/>
  <c r="GD1369" i="1"/>
  <c r="GE1369" i="1"/>
  <c r="GD1370" i="1"/>
  <c r="GE1370" i="1"/>
  <c r="GD1371" i="1"/>
  <c r="GE1371" i="1"/>
  <c r="GD1372" i="1"/>
  <c r="GE1372" i="1"/>
  <c r="GD1373" i="1"/>
  <c r="GE1373" i="1"/>
  <c r="GD1374" i="1"/>
  <c r="GE1374" i="1"/>
  <c r="GD1375" i="1"/>
  <c r="GE1375" i="1"/>
  <c r="GD1376" i="1"/>
  <c r="GE1376" i="1"/>
  <c r="GD1377" i="1"/>
  <c r="GE1377" i="1"/>
  <c r="GD1378" i="1"/>
  <c r="GE1378" i="1"/>
  <c r="GD1379" i="1"/>
  <c r="GE1379" i="1"/>
  <c r="BT1380" i="1"/>
  <c r="BT1381" i="1"/>
  <c r="BT1382" i="1"/>
  <c r="BT1383" i="1"/>
  <c r="BT1384" i="1"/>
  <c r="BT1385" i="1"/>
  <c r="BT1386" i="1"/>
  <c r="BT1387" i="1"/>
  <c r="FY1388" i="1"/>
  <c r="FZ1388" i="1"/>
  <c r="FY1389" i="1"/>
  <c r="FZ1389" i="1"/>
  <c r="FY1390" i="1"/>
  <c r="FZ1390" i="1"/>
  <c r="FY1391" i="1"/>
  <c r="FZ1391" i="1"/>
  <c r="M1414" i="1"/>
  <c r="N1414" i="1"/>
  <c r="O1414" i="1"/>
  <c r="AE1414" i="1"/>
  <c r="AF1414" i="1" s="1"/>
  <c r="AJ1414" i="1"/>
  <c r="M1415" i="1"/>
  <c r="N1415" i="1"/>
  <c r="O1415" i="1"/>
  <c r="AE1415" i="1"/>
  <c r="AF1415" i="1" s="1"/>
  <c r="AJ1415" i="1"/>
  <c r="M1416" i="1"/>
  <c r="N1416" i="1"/>
  <c r="O1416" i="1"/>
  <c r="AE1416" i="1"/>
  <c r="AF1416" i="1" s="1"/>
  <c r="AJ1416" i="1"/>
  <c r="M1417" i="1"/>
  <c r="N1417" i="1"/>
  <c r="O1417" i="1"/>
  <c r="AE1417" i="1"/>
  <c r="AF1417" i="1" s="1"/>
  <c r="AJ1417" i="1"/>
  <c r="M1418" i="1"/>
  <c r="N1418" i="1"/>
  <c r="O1418" i="1"/>
  <c r="AE1418" i="1"/>
  <c r="AF1418" i="1" s="1"/>
  <c r="AJ1418" i="1"/>
  <c r="M1419" i="1"/>
  <c r="N1419" i="1"/>
  <c r="M1420" i="1"/>
  <c r="N1420" i="1"/>
  <c r="M1421" i="1"/>
  <c r="N1421" i="1"/>
  <c r="M1422" i="1"/>
  <c r="N1422" i="1"/>
  <c r="M1423" i="1"/>
  <c r="N1423" i="1"/>
  <c r="DB1451" i="1"/>
  <c r="DC1451" i="1"/>
  <c r="HX1451" i="1"/>
  <c r="HY1451" i="1"/>
  <c r="AD1453" i="1"/>
  <c r="CM1453" i="1"/>
  <c r="CN1453" i="1"/>
  <c r="AD1454" i="1"/>
  <c r="M1479" i="1"/>
  <c r="N1479" i="1"/>
  <c r="JG1479" i="1"/>
  <c r="JH1479" i="1"/>
  <c r="M1480" i="1"/>
  <c r="N1480" i="1"/>
  <c r="JG1480" i="1"/>
  <c r="JH1480" i="1"/>
  <c r="M1481" i="1"/>
  <c r="N1481" i="1"/>
  <c r="JG1481" i="1"/>
  <c r="JH1481" i="1"/>
  <c r="M1482" i="1"/>
  <c r="N1482" i="1"/>
  <c r="JG1482" i="1"/>
  <c r="JH1482" i="1"/>
  <c r="M1483" i="1"/>
  <c r="N1483" i="1"/>
  <c r="JG1483" i="1"/>
  <c r="JH1483" i="1"/>
  <c r="M1484" i="1"/>
  <c r="N1484" i="1"/>
  <c r="JG1484" i="1"/>
  <c r="JH1484" i="1"/>
  <c r="M1485" i="1"/>
  <c r="N1485" i="1"/>
  <c r="JG1485" i="1"/>
  <c r="JH1485" i="1"/>
  <c r="M1486" i="1"/>
  <c r="N1486" i="1"/>
  <c r="JG1486" i="1"/>
  <c r="JH1486" i="1"/>
  <c r="M1487" i="1"/>
  <c r="N1487" i="1"/>
  <c r="JG1487" i="1"/>
  <c r="JH1487" i="1"/>
  <c r="M1488" i="1"/>
  <c r="N1488" i="1"/>
  <c r="JG1488" i="1"/>
  <c r="JH1488" i="1"/>
  <c r="M1489" i="1"/>
  <c r="N1489" i="1"/>
  <c r="JG1489" i="1"/>
  <c r="JH1489" i="1"/>
  <c r="M1490" i="1"/>
  <c r="N1490" i="1"/>
  <c r="JG1490" i="1"/>
  <c r="JH1490" i="1"/>
  <c r="M1491" i="1"/>
  <c r="N1491" i="1"/>
  <c r="JG1491" i="1"/>
  <c r="JH1491" i="1"/>
  <c r="M1492" i="1"/>
  <c r="N1492" i="1"/>
  <c r="JG1492" i="1"/>
  <c r="JH1492" i="1"/>
  <c r="M1493" i="1"/>
  <c r="N1493" i="1"/>
  <c r="JG1493" i="1"/>
  <c r="JH1493" i="1"/>
  <c r="M1494" i="1"/>
  <c r="N1494" i="1"/>
  <c r="JG1494" i="1"/>
  <c r="JH1494" i="1"/>
  <c r="M1495" i="1"/>
  <c r="N1495" i="1"/>
  <c r="JG1495" i="1"/>
  <c r="JH1495" i="1"/>
  <c r="M1496" i="1"/>
  <c r="N1496" i="1"/>
  <c r="JG1496" i="1"/>
  <c r="JH1496" i="1"/>
  <c r="M1497" i="1"/>
  <c r="N1497" i="1"/>
  <c r="JG1497" i="1"/>
  <c r="M1498" i="1"/>
  <c r="N1498" i="1"/>
  <c r="JG1498" i="1"/>
  <c r="M1499" i="1"/>
  <c r="N1499" i="1"/>
  <c r="JG1499" i="1"/>
  <c r="M1500" i="1"/>
  <c r="N1500" i="1"/>
  <c r="JG1500" i="1"/>
  <c r="M1501" i="1"/>
  <c r="N1501" i="1"/>
  <c r="JG1501" i="1"/>
  <c r="M1502" i="1"/>
  <c r="N1502" i="1"/>
  <c r="GD1507" i="1"/>
  <c r="GE1507" i="1"/>
  <c r="GD1508" i="1"/>
  <c r="GE1508" i="1"/>
  <c r="GD1509" i="1"/>
  <c r="GE1509" i="1"/>
  <c r="GD1510" i="1"/>
  <c r="GE1510" i="1"/>
  <c r="GD1511" i="1"/>
  <c r="GE1511" i="1"/>
  <c r="GD1512" i="1"/>
  <c r="GE1512" i="1"/>
  <c r="GD1513" i="1"/>
  <c r="GE1513" i="1"/>
  <c r="GD1514" i="1"/>
  <c r="GE1514" i="1"/>
  <c r="GD1515" i="1"/>
  <c r="GE1515" i="1"/>
  <c r="GD1516" i="1"/>
  <c r="GE1516" i="1"/>
  <c r="GD1517" i="1"/>
  <c r="GE1517" i="1"/>
  <c r="GD1518" i="1"/>
  <c r="GE1518" i="1"/>
  <c r="GD1519" i="1"/>
  <c r="GE1519" i="1"/>
  <c r="BT1520" i="1"/>
  <c r="BT1521" i="1"/>
  <c r="BT1522" i="1"/>
  <c r="BT1523" i="1"/>
  <c r="BT1524" i="1"/>
  <c r="BT1525" i="1"/>
  <c r="BT1526" i="1"/>
  <c r="BT1527" i="1"/>
  <c r="BT1528" i="1"/>
  <c r="BT1529" i="1"/>
  <c r="BT1530" i="1"/>
  <c r="BT1531" i="1"/>
  <c r="BT1532" i="1"/>
  <c r="BT1533" i="1"/>
  <c r="BT1534" i="1"/>
  <c r="BT1535" i="1"/>
  <c r="BT1536" i="1"/>
  <c r="BT1537" i="1"/>
  <c r="BT1538" i="1"/>
  <c r="BT1539" i="1"/>
  <c r="AE1544" i="1"/>
  <c r="AE1545" i="1"/>
  <c r="AD1546" i="1"/>
  <c r="DB1546" i="1"/>
  <c r="DC1546" i="1"/>
  <c r="AD1547" i="1"/>
  <c r="DB1547" i="1"/>
  <c r="DC1547" i="1"/>
  <c r="AD1548" i="1"/>
  <c r="DB1548" i="1"/>
  <c r="DC1548" i="1"/>
  <c r="AD1549" i="1"/>
  <c r="DB1549" i="1"/>
  <c r="DC1549" i="1"/>
  <c r="AD1550" i="1"/>
  <c r="DB1550" i="1"/>
  <c r="DC1550" i="1"/>
  <c r="AD1551" i="1"/>
  <c r="DB1551" i="1"/>
  <c r="DC1551" i="1"/>
  <c r="AD1552" i="1"/>
  <c r="DB1552" i="1"/>
  <c r="DC1552" i="1"/>
  <c r="AD1553" i="1"/>
  <c r="DB1553" i="1"/>
  <c r="DC1553" i="1"/>
  <c r="AD1554" i="1"/>
  <c r="DB1554" i="1"/>
  <c r="DC1554" i="1"/>
  <c r="AD1555" i="1"/>
  <c r="DB1555" i="1"/>
  <c r="DC1555" i="1"/>
  <c r="AD1556" i="1"/>
  <c r="DB1556" i="1"/>
  <c r="DC1556" i="1"/>
  <c r="AD1557" i="1"/>
  <c r="DB1557" i="1"/>
  <c r="DC1557" i="1"/>
  <c r="DB1570" i="1"/>
  <c r="DC1570" i="1"/>
  <c r="DB1571" i="1"/>
  <c r="DC1571" i="1"/>
  <c r="DB1572" i="1"/>
  <c r="DC1572" i="1"/>
  <c r="DB1573" i="1"/>
  <c r="DC1573" i="1"/>
  <c r="DB1574" i="1"/>
  <c r="DC1574" i="1"/>
  <c r="DB1575" i="1"/>
  <c r="DC1575" i="1"/>
  <c r="DB1576" i="1"/>
  <c r="DC1576" i="1"/>
  <c r="DB1577" i="1"/>
  <c r="DC1577" i="1"/>
  <c r="DB1578" i="1"/>
  <c r="DC1578" i="1"/>
  <c r="DB1579" i="1"/>
  <c r="DC1579" i="1"/>
  <c r="DB1580" i="1"/>
  <c r="DC1580" i="1"/>
  <c r="DB1581" i="1"/>
  <c r="DC1581" i="1"/>
  <c r="DB1582" i="1"/>
  <c r="DC1582" i="1"/>
  <c r="DB1583" i="1"/>
  <c r="DC1583" i="1"/>
  <c r="DB1584" i="1"/>
  <c r="DC1584" i="1"/>
  <c r="DB1585" i="1"/>
  <c r="DC1585" i="1"/>
  <c r="DB1586" i="1"/>
  <c r="DC1586" i="1"/>
  <c r="DB1587" i="1"/>
  <c r="DC1587" i="1"/>
  <c r="DB1588" i="1"/>
  <c r="DC1588" i="1"/>
  <c r="DB1589" i="1"/>
  <c r="DC1589" i="1"/>
  <c r="DB1590" i="1"/>
  <c r="DC1590" i="1"/>
  <c r="DB1591" i="1"/>
  <c r="DC1591" i="1"/>
  <c r="DB1592" i="1"/>
  <c r="DC1592" i="1"/>
  <c r="DB1593" i="1"/>
  <c r="DC1593" i="1"/>
  <c r="DB1594" i="1"/>
  <c r="DC1594" i="1"/>
  <c r="DB1595" i="1"/>
  <c r="DC1595" i="1"/>
  <c r="DB1596" i="1"/>
  <c r="DC1596" i="1"/>
  <c r="DB1597" i="1"/>
  <c r="DC1597" i="1"/>
  <c r="DB1598" i="1"/>
  <c r="DC1598" i="1"/>
  <c r="DB1599" i="1"/>
  <c r="DC1599" i="1"/>
  <c r="DB1600" i="1"/>
  <c r="DC1600" i="1"/>
  <c r="DB1601" i="1"/>
  <c r="DC1601" i="1"/>
  <c r="DB1602" i="1"/>
  <c r="DC1602" i="1"/>
  <c r="DB1603" i="1"/>
  <c r="DC1603" i="1"/>
  <c r="DB1604" i="1"/>
  <c r="DC1604" i="1"/>
  <c r="DB1605" i="1"/>
  <c r="DC1605" i="1"/>
  <c r="DB1606" i="1"/>
  <c r="DC1606" i="1"/>
  <c r="DB1607" i="1"/>
  <c r="DC1607" i="1"/>
  <c r="DB1608" i="1"/>
  <c r="DC1608" i="1"/>
  <c r="DB1609" i="1"/>
  <c r="DC1609" i="1"/>
  <c r="DB1610" i="1"/>
  <c r="DC1610" i="1"/>
  <c r="DB1611" i="1"/>
  <c r="DC1611" i="1"/>
  <c r="DB1612" i="1"/>
  <c r="DC1612" i="1"/>
  <c r="DB1613" i="1"/>
  <c r="DC1613" i="1"/>
  <c r="DB1614" i="1"/>
  <c r="DC1614" i="1"/>
  <c r="DB1615" i="1"/>
  <c r="DC1615" i="1"/>
  <c r="DB1616" i="1"/>
  <c r="DC1616" i="1"/>
  <c r="DB1617" i="1"/>
  <c r="DC1617" i="1"/>
  <c r="HX1668" i="1"/>
  <c r="HY1668" i="1"/>
  <c r="JG1668" i="1"/>
  <c r="JH1668" i="1"/>
  <c r="HX1669" i="1"/>
  <c r="HY1669" i="1"/>
  <c r="JG1669" i="1"/>
  <c r="JH1669" i="1"/>
  <c r="M1670" i="1"/>
  <c r="N1670" i="1"/>
  <c r="AF1670" i="1"/>
  <c r="AE1670" i="1" s="1"/>
  <c r="AJ1670" i="1"/>
  <c r="CM1670" i="1"/>
  <c r="CN1670" i="1"/>
  <c r="EK1670" i="1"/>
  <c r="EL1670" i="1"/>
  <c r="EZ1670" i="1"/>
  <c r="M1671" i="1"/>
  <c r="AF1671" i="1"/>
  <c r="M1672" i="1"/>
  <c r="AF1672" i="1"/>
  <c r="M1673" i="1"/>
  <c r="AF1673" i="1"/>
  <c r="M1674" i="1"/>
  <c r="AF1674" i="1"/>
  <c r="EV58" i="1"/>
  <c r="DB1503" i="1"/>
  <c r="DC1503" i="1"/>
  <c r="DB1504" i="1"/>
  <c r="DC1504" i="1"/>
  <c r="M1783" i="1"/>
  <c r="N1783" i="1"/>
  <c r="M1784" i="1"/>
  <c r="N1784" i="1"/>
  <c r="M1785" i="1"/>
  <c r="N1785" i="1"/>
  <c r="M1786" i="1"/>
  <c r="N1786" i="1"/>
  <c r="M1787" i="1"/>
  <c r="N1787" i="1"/>
  <c r="M1788" i="1"/>
  <c r="N1788" i="1"/>
  <c r="M1789" i="1"/>
  <c r="N1789" i="1"/>
  <c r="M1790" i="1"/>
  <c r="N1790" i="1"/>
  <c r="M1791" i="1"/>
  <c r="N1791" i="1"/>
  <c r="M1792" i="1"/>
  <c r="N1792" i="1"/>
  <c r="M1793" i="1"/>
  <c r="N1793" i="1"/>
  <c r="M1794" i="1"/>
  <c r="N1794" i="1"/>
  <c r="CB1795" i="1"/>
  <c r="CC1795" i="1"/>
  <c r="CB1796" i="1"/>
  <c r="CC1796" i="1"/>
  <c r="CB1797" i="1"/>
  <c r="CC1797" i="1"/>
  <c r="CB1798" i="1"/>
  <c r="CC1798" i="1"/>
  <c r="AD1799" i="1"/>
  <c r="DB1799" i="1"/>
  <c r="DC1799" i="1"/>
  <c r="AD1800" i="1"/>
  <c r="DB1800" i="1"/>
  <c r="DC1800" i="1"/>
  <c r="AD1801" i="1"/>
  <c r="DB1801" i="1"/>
  <c r="DC1801" i="1"/>
  <c r="AD1802" i="1"/>
  <c r="DB1802" i="1"/>
  <c r="DC1802" i="1"/>
  <c r="AD1803" i="1"/>
  <c r="DB1803" i="1"/>
  <c r="DC1803" i="1"/>
  <c r="AD1804" i="1"/>
  <c r="DB1804" i="1"/>
  <c r="DC1804" i="1"/>
  <c r="AD1805" i="1"/>
  <c r="DB1805" i="1"/>
  <c r="DC1805" i="1"/>
  <c r="AD1806" i="1"/>
  <c r="DB1806" i="1"/>
  <c r="DC1806" i="1"/>
  <c r="AD1807" i="1"/>
  <c r="DB1807" i="1"/>
  <c r="DC1807" i="1"/>
  <c r="AD1808" i="1"/>
  <c r="DB1808" i="1"/>
  <c r="DC1808" i="1"/>
  <c r="AD1809" i="1"/>
  <c r="DB1809" i="1"/>
  <c r="DC1809" i="1"/>
  <c r="AD1810" i="1"/>
  <c r="DB1810" i="1"/>
  <c r="DC1810" i="1"/>
  <c r="AD1811" i="1"/>
  <c r="DB1811" i="1"/>
  <c r="DC1811" i="1"/>
  <c r="AD1812" i="1"/>
  <c r="DB1812" i="1"/>
  <c r="DC1812" i="1"/>
  <c r="AD1813" i="1"/>
  <c r="DB1813" i="1"/>
  <c r="DC1813" i="1"/>
  <c r="AD1814" i="1"/>
  <c r="DB1814" i="1"/>
  <c r="DC1814" i="1"/>
  <c r="AD1815" i="1"/>
  <c r="DB1815" i="1"/>
  <c r="DC1815" i="1"/>
  <c r="AD1816" i="1"/>
  <c r="DB1816" i="1"/>
  <c r="DC1816" i="1"/>
  <c r="AD1817" i="1"/>
  <c r="DB1817" i="1"/>
  <c r="DC1817" i="1"/>
  <c r="AD1818" i="1"/>
  <c r="DB1818" i="1"/>
  <c r="DC1818" i="1"/>
  <c r="AD1819" i="1"/>
  <c r="DB1819" i="1"/>
  <c r="DC1819" i="1"/>
  <c r="AD1820" i="1"/>
  <c r="DB1820" i="1"/>
  <c r="DC1820" i="1"/>
  <c r="AD1821" i="1"/>
  <c r="DB1821" i="1"/>
  <c r="DC1821" i="1"/>
  <c r="AD1822" i="1"/>
  <c r="DB1822" i="1"/>
  <c r="DC1822" i="1"/>
  <c r="CN808" i="1" l="1"/>
  <c r="CM808" i="1"/>
  <c r="CN804" i="1"/>
  <c r="CM804" i="1"/>
  <c r="CM800" i="1"/>
  <c r="CN800" i="1"/>
  <c r="CN796" i="1"/>
  <c r="CM796" i="1"/>
  <c r="CM807" i="1"/>
  <c r="CN807" i="1"/>
  <c r="CM803" i="1"/>
  <c r="CN803" i="1"/>
  <c r="CN799" i="1"/>
  <c r="CM799" i="1"/>
  <c r="CN795" i="1"/>
  <c r="CM795" i="1"/>
  <c r="CM810" i="1"/>
  <c r="CN810" i="1"/>
  <c r="CM806" i="1"/>
  <c r="CN806" i="1"/>
  <c r="CN802" i="1"/>
  <c r="CM802" i="1"/>
  <c r="CN798" i="1"/>
  <c r="CM798" i="1"/>
  <c r="CM809" i="1"/>
  <c r="CN809" i="1"/>
  <c r="CM805" i="1"/>
  <c r="CN805" i="1"/>
  <c r="CM801" i="1"/>
  <c r="CN801" i="1"/>
  <c r="CN797" i="1"/>
  <c r="CM797" i="1"/>
  <c r="K45" i="3"/>
  <c r="C45" i="3" s="1"/>
  <c r="C26" i="3"/>
  <c r="E34" i="3"/>
  <c r="C35" i="3"/>
  <c r="E35" i="3" s="1"/>
  <c r="C67" i="3" l="1"/>
  <c r="E67" i="3" s="1"/>
  <c r="F131" i="2" l="1"/>
  <c r="C66" i="3" l="1"/>
  <c r="E37" i="3" l="1"/>
  <c r="G50" i="3"/>
  <c r="C50" i="3" s="1"/>
  <c r="E50" i="3" s="1"/>
  <c r="E38" i="3" l="1"/>
  <c r="C64" i="3" l="1"/>
  <c r="O38" i="3"/>
  <c r="N38" i="3"/>
  <c r="M38" i="3"/>
  <c r="O37" i="3"/>
  <c r="C82" i="3" l="1"/>
  <c r="E82" i="3" s="1"/>
  <c r="E36" i="3"/>
  <c r="I45" i="3"/>
  <c r="J45" i="3" l="1"/>
  <c r="C73" i="3" l="1"/>
  <c r="C74" i="3" s="1"/>
  <c r="G73" i="3"/>
  <c r="C58" i="3"/>
  <c r="E58" i="3" s="1"/>
  <c r="E56" i="3"/>
  <c r="I56" i="3"/>
  <c r="C55" i="3"/>
  <c r="I55" i="3"/>
  <c r="H66" i="3"/>
  <c r="C65" i="3"/>
  <c r="E65" i="3" s="1"/>
  <c r="E64" i="3"/>
  <c r="E73" i="3" l="1"/>
  <c r="E49" i="3" l="1"/>
  <c r="E48" i="3" l="1"/>
  <c r="E46" i="3"/>
  <c r="E47" i="3"/>
  <c r="E66" i="3"/>
  <c r="L57" i="3"/>
  <c r="C57" i="3" s="1"/>
  <c r="E57" i="3" s="1"/>
  <c r="E45" i="3" l="1"/>
  <c r="E25" i="3" l="1"/>
  <c r="E55" i="3" l="1"/>
  <c r="E24" i="3" l="1"/>
  <c r="E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0raw" type="6" refreshedVersion="4" background="1" saveData="1">
    <textPr codePage="437" firstRow="2" sourceFile="G:\My Drive\MyResearch\Papers\12.SoilHealth\CoverCrop\282ChinaInChinese\PapersInChinese\0Figures\0raw.txt" comma="1">
      <textFields count="2">
        <textField/>
        <textField/>
      </textFields>
    </textPr>
  </connection>
  <connection id="2" xr16:uid="{00000000-0015-0000-FFFF-FFFF01000000}" name="0raw1" type="6" refreshedVersion="4" background="1" saveData="1">
    <textPr codePage="437" firstRow="2" sourceFile="G:\My Drive\MyResearch\Papers\12.SoilHealth\CoverCrop\282ChinaInChinese\PapersInChinese\0Figures\0raw.txt" comma="1">
      <textFields count="2">
        <textField/>
        <textField/>
      </textFields>
    </textPr>
  </connection>
  <connection id="3" xr16:uid="{00000000-0015-0000-FFFF-FFFF02000000}" name="0raw11" type="6" refreshedVersion="4" background="1" saveData="1">
    <textPr codePage="437" firstRow="2" sourceFile="G:\My Drive\MyResearch\Papers\12.SoilHealth\CoverCrop\282ChinaInChinese\PapersInChinese\0Figures\0raw.txt" comma="1">
      <textFields count="2">
        <textField/>
        <textField/>
      </textFields>
    </textPr>
  </connection>
  <connection id="4" xr16:uid="{00000000-0015-0000-FFFF-FFFF03000000}" name="0raw111" type="6" refreshedVersion="4" background="1" saveData="1">
    <textPr codePage="437" firstRow="2" sourceFile="G:\My Drive\MyResearch\Papers\12.SoilHealth\CoverCrop\282ChinaInChinese\PapersInChinese\0Figures\0raw.txt" comma="1">
      <textFields count="2">
        <textField/>
        <textField/>
      </textFields>
    </textPr>
  </connection>
  <connection id="5" xr16:uid="{00000000-0015-0000-FFFF-FFFF04000000}" name="0raw12" type="6" refreshedVersion="4" background="1" saveData="1">
    <textPr codePage="437" firstRow="2" sourceFile="G:\My Drive\MyResearch\Papers\12.SoilHealth\CoverCrop\282ChinaInChinese\PapersInChinese\0Figures\0raw.txt" comma="1">
      <textFields count="2">
        <textField/>
        <textField/>
      </textFields>
    </textPr>
  </connection>
  <connection id="6" xr16:uid="{00000000-0015-0000-FFFF-FFFF05000000}" name="0raw2" type="6" refreshedVersion="4" background="1" saveData="1">
    <textPr codePage="437" firstRow="2" sourceFile="G:\My Drive\MyResearch\Papers\12.SoilHealth\CoverCrop\282ChinaInChinese\PapersInChinese\0Figures\0raw.txt" comma="1">
      <textFields count="2">
        <textField/>
        <textField/>
      </textFields>
    </textPr>
  </connection>
  <connection id="7" xr16:uid="{00000000-0015-0000-FFFF-FFFF06000000}" name="0raw3" type="6" refreshedVersion="4" background="1" saveData="1">
    <textPr codePage="437" firstRow="2" sourceFile="G:\My Drive\MyResearch\Papers\12.SoilHealth\CoverCrop\282ChinaInChinese\PapersInChinese\0Figures\0raw.txt" comma="1">
      <textFields count="2">
        <textField/>
        <textField/>
      </textFields>
    </textPr>
  </connection>
  <connection id="8" xr16:uid="{00000000-0015-0000-FFFF-FFFF07000000}" name="0raw4" type="6" refreshedVersion="4" background="1" saveData="1">
    <textPr codePage="437" firstRow="2" sourceFile="G:\My Drive\MyResearch\Papers\12.SoilHealth\CoverCrop\282ChinaInChinese\PapersInChinese\0Figures\0raw.txt" comma="1">
      <textFields count="2">
        <textField/>
        <textField/>
      </textFields>
    </textPr>
  </connection>
</connections>
</file>

<file path=xl/sharedStrings.xml><?xml version="1.0" encoding="utf-8"?>
<sst xmlns="http://schemas.openxmlformats.org/spreadsheetml/2006/main" count="188167" uniqueCount="7497">
  <si>
    <t>CoverCrop</t>
  </si>
  <si>
    <t>GrainCrop</t>
  </si>
  <si>
    <t>Longitude</t>
  </si>
  <si>
    <t>Latitude</t>
  </si>
  <si>
    <t>SiteInfor</t>
  </si>
  <si>
    <t>Meta information</t>
  </si>
  <si>
    <t>YearPublication</t>
  </si>
  <si>
    <t>SoilDepthOfSample</t>
  </si>
  <si>
    <t>YearsAfterCoverCrop</t>
  </si>
  <si>
    <t>OC_T</t>
  </si>
  <si>
    <t>OC_C</t>
  </si>
  <si>
    <t>pH_T</t>
  </si>
  <si>
    <t>pH_C</t>
  </si>
  <si>
    <t>yield_T</t>
  </si>
  <si>
    <t>yield_C</t>
  </si>
  <si>
    <t>Texture</t>
  </si>
  <si>
    <t>MAT</t>
  </si>
  <si>
    <t>MAP</t>
  </si>
  <si>
    <t>ClimateType</t>
  </si>
  <si>
    <t>P_T</t>
  </si>
  <si>
    <t>P_C</t>
  </si>
  <si>
    <t>K_T</t>
  </si>
  <si>
    <t>K_C</t>
  </si>
  <si>
    <t>BD_T</t>
  </si>
  <si>
    <t>BD_C</t>
  </si>
  <si>
    <t>Aggre_T</t>
  </si>
  <si>
    <t>Aggre_C</t>
  </si>
  <si>
    <t>Penetration_T</t>
  </si>
  <si>
    <t>Penetration_C</t>
  </si>
  <si>
    <t>CEC_T</t>
  </si>
  <si>
    <t>CEC_C</t>
  </si>
  <si>
    <t>EC_T</t>
  </si>
  <si>
    <t>EC_C</t>
  </si>
  <si>
    <t>BS_T</t>
  </si>
  <si>
    <t>BS_C</t>
  </si>
  <si>
    <t>Tannual</t>
  </si>
  <si>
    <t>Pannual</t>
  </si>
  <si>
    <t>AWHC_T</t>
  </si>
  <si>
    <t>AWHC_C</t>
  </si>
  <si>
    <t>Infiltration_T</t>
  </si>
  <si>
    <t>Infiltration_C</t>
  </si>
  <si>
    <t>Notes</t>
  </si>
  <si>
    <t>Target data</t>
  </si>
  <si>
    <t>Author_F</t>
  </si>
  <si>
    <t>Author_G</t>
  </si>
  <si>
    <t>First author's Given name</t>
  </si>
  <si>
    <t>Paper publication year</t>
  </si>
  <si>
    <t>Site information</t>
  </si>
  <si>
    <t>Annual average precipitation</t>
  </si>
  <si>
    <t>Soil texture</t>
  </si>
  <si>
    <t>Phosphorus of treatment (mean value)</t>
  </si>
  <si>
    <t>Phosphorus of control (mean value)</t>
  </si>
  <si>
    <t>Potassium of treatment (mean value)</t>
  </si>
  <si>
    <t>Potassium of control (mean value)</t>
  </si>
  <si>
    <t>pH of treatment (mean value)</t>
  </si>
  <si>
    <t>pH of control (mean value)</t>
  </si>
  <si>
    <t>CEC of treatment (mean value)</t>
  </si>
  <si>
    <t>CEC of control (mean value)</t>
  </si>
  <si>
    <t>Available water hold capacity of treatment (mean value)</t>
  </si>
  <si>
    <t>ST_C</t>
  </si>
  <si>
    <t>ST_T</t>
  </si>
  <si>
    <t>SWC_C</t>
  </si>
  <si>
    <t>SWC_T</t>
  </si>
  <si>
    <t>Soil temperature of control (mean value)</t>
  </si>
  <si>
    <t>Soil temperature of treatment (mean value)</t>
  </si>
  <si>
    <t>ControlDescription</t>
  </si>
  <si>
    <t>Units: %</t>
  </si>
  <si>
    <t>CCDryBiomass</t>
  </si>
  <si>
    <t>CCFreshBiomass</t>
  </si>
  <si>
    <t xml:space="preserve">Fresh biomass (and to be manure) of cover crop </t>
  </si>
  <si>
    <t xml:space="preserve">Dry biomass (and to be manure) of cover crop </t>
  </si>
  <si>
    <t>Conversion_factor</t>
  </si>
  <si>
    <t>Sample_土壤含水量</t>
  </si>
  <si>
    <t>cm3/cm3</t>
  </si>
  <si>
    <t>g/cm3</t>
  </si>
  <si>
    <t>BD</t>
  </si>
  <si>
    <t>1*BD</t>
  </si>
  <si>
    <t>g/g</t>
  </si>
  <si>
    <t>Sample_土壤容重</t>
  </si>
  <si>
    <t>Unit</t>
    <phoneticPr fontId="0" type="noConversion"/>
  </si>
  <si>
    <t>Mg/m3</t>
  </si>
  <si>
    <t>1 Mg/m3 = 1 g/cm3 (1Mg = 1 million g = 10^6 g)</t>
  </si>
  <si>
    <t>Soil water content (SWC) units conversion</t>
  </si>
  <si>
    <t>Soil bulk density units conversion</t>
  </si>
  <si>
    <t>VWC=GWC*BD</t>
  </si>
  <si>
    <t>need update</t>
  </si>
  <si>
    <t>Elevation</t>
  </si>
  <si>
    <t>Journal</t>
  </si>
  <si>
    <t>Journal name of paper</t>
  </si>
  <si>
    <t>Base Satuation of treatment (mean value)</t>
  </si>
  <si>
    <t>g/g=cm3/cm3 * BD</t>
  </si>
  <si>
    <t>Family author's Family name</t>
  </si>
  <si>
    <t>Cmina_T</t>
  </si>
  <si>
    <t>Cmina_C</t>
  </si>
  <si>
    <t>Nmina_T</t>
  </si>
  <si>
    <t>Nmina_C</t>
  </si>
  <si>
    <t>SIR_T</t>
  </si>
  <si>
    <t>SIR_C</t>
  </si>
  <si>
    <t>CO2BTest_T</t>
  </si>
  <si>
    <t>CO2BTest_C</t>
  </si>
  <si>
    <t>MBC_T</t>
  </si>
  <si>
    <t>Substract induced respiration of treatment (mean value)</t>
  </si>
  <si>
    <t>Substract induced respiration of control (mean value)</t>
  </si>
  <si>
    <t>CO2 burst test respiration of treatment (mean value)</t>
  </si>
  <si>
    <t>CO2 burst test respiration respiration of control (mean value)</t>
  </si>
  <si>
    <t>Microbe Biomass Carbon of treatment (mean value)</t>
  </si>
  <si>
    <t>Microbe Biomass Carbon of control (mean value)</t>
  </si>
  <si>
    <t>Field satuted hydrolic conductivity of treatment (mean value)</t>
  </si>
  <si>
    <t>Field satuted hydrolic conductivity of control (mean value)</t>
  </si>
  <si>
    <t>StudyID</t>
  </si>
  <si>
    <t>Abawi</t>
  </si>
  <si>
    <t>G.S.</t>
  </si>
  <si>
    <t>Applied Soil Ecology</t>
  </si>
  <si>
    <t>New York</t>
  </si>
  <si>
    <t>Alfalfa</t>
  </si>
  <si>
    <t>Ryegrass</t>
  </si>
  <si>
    <t>Wheat</t>
  </si>
  <si>
    <t>Rapeseed</t>
  </si>
  <si>
    <t>TimeAfterCoverCrop</t>
  </si>
  <si>
    <t>Fallow</t>
  </si>
  <si>
    <t>Root diseases determined by root rot, ranged from 1(no root rot observed) to 9 (80% roots infected)</t>
  </si>
  <si>
    <t>SandPerc</t>
  </si>
  <si>
    <t>SiltPerc</t>
  </si>
  <si>
    <t>Percentage of sand</t>
  </si>
  <si>
    <t>Percentage of silt</t>
  </si>
  <si>
    <t>Bandic</t>
  </si>
  <si>
    <t>Anna</t>
  </si>
  <si>
    <t>Soil Biology and Biochemistry</t>
  </si>
  <si>
    <t xml:space="preserve">North  Willamette  Research  and Extension  Center,  Aurora,  Oregon </t>
  </si>
  <si>
    <t>Units: m</t>
  </si>
  <si>
    <t>Vegetable crop rotation</t>
  </si>
  <si>
    <t>Rye</t>
  </si>
  <si>
    <t>Corn</t>
  </si>
  <si>
    <t xml:space="preserve"> Mediterranean</t>
  </si>
  <si>
    <t>Units: mm</t>
  </si>
  <si>
    <t>Blackshaw</t>
  </si>
  <si>
    <t>R.E.</t>
  </si>
  <si>
    <t xml:space="preserve">Crop Protection </t>
  </si>
  <si>
    <t>Lethbridge, AB, Canada</t>
  </si>
  <si>
    <t>Loam</t>
  </si>
  <si>
    <t>ExperimentDesign</t>
  </si>
  <si>
    <t>RCBD</t>
  </si>
  <si>
    <t>Others</t>
  </si>
  <si>
    <t>No herbicide</t>
  </si>
  <si>
    <t>With herbicide</t>
  </si>
  <si>
    <t>Weed_T</t>
  </si>
  <si>
    <t>Weed_C</t>
  </si>
  <si>
    <t>Weed of treatment (mean value)</t>
  </si>
  <si>
    <t>Weed of control (mean value)</t>
  </si>
  <si>
    <t>Blanco-Canqui</t>
  </si>
  <si>
    <t>Humberto</t>
  </si>
  <si>
    <t>Soil and Water Management and Conservation</t>
  </si>
  <si>
    <t>Hesston,  KS</t>
  </si>
  <si>
    <t>MBC_C</t>
  </si>
  <si>
    <t>Organic Matter</t>
  </si>
  <si>
    <t>cm</t>
  </si>
  <si>
    <t>No tillage</t>
  </si>
  <si>
    <t>Wheat-grain sorghum rotation</t>
  </si>
  <si>
    <t>Soybean</t>
  </si>
  <si>
    <t>Hemp</t>
  </si>
  <si>
    <t>No cover crop</t>
  </si>
  <si>
    <t>0 kg N per ha</t>
  </si>
  <si>
    <t>66 kg N per ha</t>
  </si>
  <si>
    <t>SOC</t>
  </si>
  <si>
    <t>%</t>
  </si>
  <si>
    <t>g/kg</t>
  </si>
  <si>
    <t xml:space="preserve"> Garden City, KS</t>
  </si>
  <si>
    <t>Subplot, Cover</t>
  </si>
  <si>
    <t>Subplot, Hayed</t>
  </si>
  <si>
    <t>1 g/kg = 0.1 %</t>
  </si>
  <si>
    <t>Bloszies</t>
  </si>
  <si>
    <t>Sean Alaric</t>
  </si>
  <si>
    <t>PhD Dissertation</t>
  </si>
  <si>
    <t xml:space="preserve"> Split-split-plot RCBD</t>
  </si>
  <si>
    <t>Loamy sand</t>
  </si>
  <si>
    <t>Conventional disk tillage</t>
  </si>
  <si>
    <t>No</t>
  </si>
  <si>
    <t>g/m2</t>
  </si>
  <si>
    <t>kg/ha</t>
  </si>
  <si>
    <t>1 g/m² x 1 kg/1000 g x 10000 m²/ha = 10 kg/ha = 10 kg/hm2</t>
  </si>
  <si>
    <t>Mg / ha</t>
  </si>
  <si>
    <t>1 Mg = 1000000 g = 1000 kg/ha</t>
  </si>
  <si>
    <t>more</t>
  </si>
  <si>
    <t>Aggregate mean weight diameter (mm)</t>
  </si>
  <si>
    <t>SamplingYear</t>
  </si>
  <si>
    <t>Bottomley</t>
  </si>
  <si>
    <t>P.J.</t>
  </si>
  <si>
    <t>Aurora, OR</t>
  </si>
  <si>
    <t>SoilpH</t>
  </si>
  <si>
    <t>SoilTC</t>
  </si>
  <si>
    <t>SoilKsat</t>
  </si>
  <si>
    <t>Soil pH</t>
  </si>
  <si>
    <t>Soil Ksat</t>
  </si>
  <si>
    <t>Unit</t>
  </si>
  <si>
    <t>mg CO2 kg−1 soil d−1</t>
  </si>
  <si>
    <t>1 mg = 22.7273 mu mol</t>
  </si>
  <si>
    <t>Brainard</t>
  </si>
  <si>
    <t>D.C.</t>
  </si>
  <si>
    <t>Agriculture, Ecosystems and Environment</t>
  </si>
  <si>
    <t>Benton Harbor MI USA</t>
  </si>
  <si>
    <t>May</t>
  </si>
  <si>
    <t>Sand</t>
  </si>
  <si>
    <t>Sweet corn ratation with broccoli</t>
  </si>
  <si>
    <t>NPK fertilization</t>
  </si>
  <si>
    <t>Hiniker1 Model 6000 two-row strip-tiller tillage</t>
  </si>
  <si>
    <t>Rotation with sweet corn</t>
  </si>
  <si>
    <t>t/ha</t>
  </si>
  <si>
    <t>Bruce</t>
  </si>
  <si>
    <t>R.R.</t>
  </si>
  <si>
    <t>Watkinsville, GA</t>
  </si>
  <si>
    <t>March</t>
  </si>
  <si>
    <t>E1, slightly erosion</t>
  </si>
  <si>
    <t>E2, Moderately erosion</t>
  </si>
  <si>
    <t>E3, Severely erosion</t>
  </si>
  <si>
    <t>Fertilization_T</t>
  </si>
  <si>
    <t>Fertilization_C</t>
  </si>
  <si>
    <t>No-tillage</t>
  </si>
  <si>
    <t xml:space="preserve"> Disk-harrowed seedbed</t>
  </si>
  <si>
    <t>Sorghum</t>
  </si>
  <si>
    <t>Bulan</t>
  </si>
  <si>
    <t>Mary T. Saunders</t>
  </si>
  <si>
    <t>Weed Science</t>
  </si>
  <si>
    <t xml:space="preserve"> University of Wisconsin West Madison Agricultural Research Station</t>
  </si>
  <si>
    <t xml:space="preserve"> University of Wisconsin Arlington Agricultural Research Station</t>
  </si>
  <si>
    <t>July</t>
  </si>
  <si>
    <t>August</t>
  </si>
  <si>
    <t>September</t>
  </si>
  <si>
    <t>Vegetable</t>
  </si>
  <si>
    <t>Buckwheat</t>
  </si>
  <si>
    <t>Conventional tillage</t>
  </si>
  <si>
    <t>N_C</t>
  </si>
  <si>
    <t>N_T</t>
  </si>
  <si>
    <t>TN</t>
  </si>
  <si>
    <t>Weed-free and weedy aggregated</t>
  </si>
  <si>
    <t>Buyer</t>
  </si>
  <si>
    <t>Jeffrey S.</t>
  </si>
  <si>
    <t>Bare</t>
  </si>
  <si>
    <t xml:space="preserve"> Beltsville, Maryland</t>
  </si>
  <si>
    <t>Sandy loam</t>
  </si>
  <si>
    <t>Lime and nutrients were applied</t>
  </si>
  <si>
    <t>Tomato</t>
  </si>
  <si>
    <t>Vetch</t>
  </si>
  <si>
    <t>n mol / g</t>
  </si>
  <si>
    <t xml:space="preserve">SIR or CO2 Burst Test </t>
  </si>
  <si>
    <t>mg kg-1 soil</t>
  </si>
  <si>
    <t>Campbell</t>
  </si>
  <si>
    <t>R.B.</t>
  </si>
  <si>
    <t>Soil and tillage research</t>
  </si>
  <si>
    <t xml:space="preserve">Standing residues </t>
  </si>
  <si>
    <t>76-cm row spacing</t>
  </si>
  <si>
    <t>97-cm row spacing</t>
  </si>
  <si>
    <t>DE vs HE</t>
  </si>
  <si>
    <t>DL vs HL</t>
  </si>
  <si>
    <t>Darlington  County  South  Carolina</t>
  </si>
  <si>
    <t>Florence  of  South  Carolina</t>
  </si>
  <si>
    <t>C.A.</t>
  </si>
  <si>
    <t>Canadian  Journal Of Soil Science</t>
  </si>
  <si>
    <t>Indian Head,  Saskatchewan</t>
  </si>
  <si>
    <t>Sweetclover</t>
  </si>
  <si>
    <t>6 kg N per ha</t>
  </si>
  <si>
    <t>Fallow-Wheat at spring</t>
  </si>
  <si>
    <t>24 kg N per ha</t>
  </si>
  <si>
    <t>kg/ha/day</t>
  </si>
  <si>
    <t>SoilBD</t>
  </si>
  <si>
    <t>Bulk density</t>
  </si>
  <si>
    <t>1 kg=10^6 mg</t>
  </si>
  <si>
    <t>1627500 Kg when BD = 1.085 (Study No. 13)</t>
  </si>
  <si>
    <t>GM-(W)-W</t>
  </si>
  <si>
    <t>(GM)-W-W</t>
  </si>
  <si>
    <t>(F)-W-W-H-H-H</t>
  </si>
  <si>
    <t>F-W-W-(H)-H-H</t>
  </si>
  <si>
    <t>1 ha = 100*100*0.15*BD*1000 kg</t>
  </si>
  <si>
    <t>Microbial biomass N available</t>
  </si>
  <si>
    <t>Carr</t>
  </si>
  <si>
    <t>Patrick M.</t>
  </si>
  <si>
    <t>Dickinson, North Dakota</t>
  </si>
  <si>
    <t>Renewable Agriculture and Food Systems</t>
  </si>
  <si>
    <t>Disk</t>
  </si>
  <si>
    <t>Sweep</t>
  </si>
  <si>
    <t>Roller</t>
  </si>
  <si>
    <t>Duiker</t>
  </si>
  <si>
    <t>Sjoerd</t>
  </si>
  <si>
    <t>Agronomy Journal</t>
  </si>
  <si>
    <t>Rock Springs, Center County, PA</t>
  </si>
  <si>
    <t>71 kg N per ha</t>
  </si>
  <si>
    <t>Early plant</t>
  </si>
  <si>
    <t>Late plant</t>
  </si>
  <si>
    <t>Ess</t>
  </si>
  <si>
    <t>D.R.</t>
  </si>
  <si>
    <t>American Society of Agricultural Engineers</t>
  </si>
  <si>
    <t xml:space="preserve">Virginia Tech Whitethorne Research Farm </t>
  </si>
  <si>
    <t>Tilled to 0.3m</t>
  </si>
  <si>
    <t>Fertilized</t>
  </si>
  <si>
    <t>Fallow with herbicide</t>
  </si>
  <si>
    <t>Noncapillary porosity (%)</t>
  </si>
  <si>
    <t>Maximum dry density</t>
  </si>
  <si>
    <t>Finney</t>
  </si>
  <si>
    <t>Denise M.</t>
  </si>
  <si>
    <t>Larson Agricultural Research Center, Rock Springs, PA</t>
  </si>
  <si>
    <t>Oat–corn</t>
  </si>
  <si>
    <t xml:space="preserve"> 150 kg N per ha</t>
  </si>
  <si>
    <t>8CCa</t>
  </si>
  <si>
    <t>8CCb</t>
  </si>
  <si>
    <t>Potential leachable nitrate: kg No3-n per ha</t>
  </si>
  <si>
    <t>1 ha = Mg</t>
  </si>
  <si>
    <t>1 ha = Kg</t>
  </si>
  <si>
    <t>Chloroform fumigation±extraction method</t>
  </si>
  <si>
    <t>Sno.13</t>
  </si>
  <si>
    <t>Potentially mineralizable C</t>
  </si>
  <si>
    <t>Journal Of Soil And Water Conservation</t>
  </si>
  <si>
    <t>Other 6 microbial indicators available, fungal to bacterial available</t>
  </si>
  <si>
    <t>mu g C per g per day</t>
  </si>
  <si>
    <t>Hargrove</t>
  </si>
  <si>
    <t>W.L.</t>
  </si>
  <si>
    <t>Bledsoe Research Farm near Griffin, GA</t>
  </si>
  <si>
    <t>Split-split-plot RCBD</t>
  </si>
  <si>
    <t>0 N fertilization</t>
  </si>
  <si>
    <t>112 N fertilization</t>
  </si>
  <si>
    <t>0 Kg N per ha</t>
  </si>
  <si>
    <t>112 Kg N per ha</t>
  </si>
  <si>
    <t>Year and soil depth interaction not valid</t>
  </si>
  <si>
    <t>%=0.01g/g</t>
  </si>
  <si>
    <t>10mg/g</t>
  </si>
  <si>
    <t>10000 mg / kg</t>
  </si>
  <si>
    <t>Nitrate-nitrogen in ppm</t>
  </si>
  <si>
    <t>PPM</t>
  </si>
  <si>
    <t>ppm=0.0001%</t>
  </si>
  <si>
    <t>Soil inorganic N</t>
  </si>
  <si>
    <t>Units of N need check</t>
  </si>
  <si>
    <t>Inorganic N available</t>
  </si>
  <si>
    <t>Michigan State University Horticulture Teaching and Research Center in Holt, MI</t>
  </si>
  <si>
    <t>Hayden</t>
  </si>
  <si>
    <t>Zachary</t>
  </si>
  <si>
    <t>Crop Ecology and Physiology</t>
  </si>
  <si>
    <t>Control set as 100, no units</t>
  </si>
  <si>
    <t>Hinds</t>
  </si>
  <si>
    <t>Jermaine</t>
  </si>
  <si>
    <t>Crop Protection</t>
  </si>
  <si>
    <t>5-10-10(N-P-K)</t>
  </si>
  <si>
    <t>UM, Research and Education Center in Upper Marlboro, MD</t>
  </si>
  <si>
    <t>QT, Research and Education Center in Upper Marlboro, MD</t>
  </si>
  <si>
    <t>Diseases_T</t>
  </si>
  <si>
    <t>Diseases_C</t>
  </si>
  <si>
    <t>Beetles per plant</t>
  </si>
  <si>
    <t>Spots cucumber beetles, spider number available</t>
  </si>
  <si>
    <t>Zucchini</t>
  </si>
  <si>
    <t>Organic fertilizer</t>
  </si>
  <si>
    <t>Synthetic fertilizer</t>
  </si>
  <si>
    <t>Nematode enrichment</t>
  </si>
  <si>
    <t>Other nematode indicators available</t>
  </si>
  <si>
    <t>Biological Agriculture and Horticulture</t>
  </si>
  <si>
    <t>29 days</t>
  </si>
  <si>
    <t>Journal of Nematology</t>
  </si>
  <si>
    <t>Hubbard</t>
  </si>
  <si>
    <t>Robert K.</t>
  </si>
  <si>
    <t>Tifton, GA</t>
  </si>
  <si>
    <t>Conservation tillage</t>
  </si>
  <si>
    <t>Rotation with cover crop</t>
  </si>
  <si>
    <t>133 Kg N per ha</t>
  </si>
  <si>
    <t>67 Kg N per ha</t>
  </si>
  <si>
    <t>mg/g</t>
  </si>
  <si>
    <t>Idowu</t>
  </si>
  <si>
    <t>Q.J.</t>
  </si>
  <si>
    <t>Bean–beet–sweet corn–cabbage–bean</t>
  </si>
  <si>
    <t>Bean–ﬁeld corn–clover/grain–sweet corn–bean</t>
  </si>
  <si>
    <t>Four sites averaged</t>
  </si>
  <si>
    <t>No tillage, plow-till, and zone tillage</t>
  </si>
  <si>
    <t>AWC</t>
  </si>
  <si>
    <t>Active carbon</t>
  </si>
  <si>
    <t>Mg, Fe, Zn, CSHI available</t>
  </si>
  <si>
    <t>Jani</t>
  </si>
  <si>
    <t>Arun D.</t>
  </si>
  <si>
    <t>Goldsboro</t>
  </si>
  <si>
    <t xml:space="preserve">Kinston </t>
  </si>
  <si>
    <t>Conventional tillage,Disked</t>
  </si>
  <si>
    <t>Pea</t>
  </si>
  <si>
    <t>Clover</t>
  </si>
  <si>
    <t>0 week</t>
  </si>
  <si>
    <t>2 week</t>
  </si>
  <si>
    <t>4 week</t>
  </si>
  <si>
    <t>6 week</t>
  </si>
  <si>
    <t>8 week</t>
  </si>
  <si>
    <t>12 week</t>
  </si>
  <si>
    <t>16 week</t>
  </si>
  <si>
    <t>Conventional tillage,Roller Crimped</t>
  </si>
  <si>
    <t>NH4-NO3</t>
  </si>
  <si>
    <t>Disked</t>
  </si>
  <si>
    <t>Roller Crimping</t>
  </si>
  <si>
    <t>N release dynamic indicator available</t>
  </si>
  <si>
    <t>Jernigan</t>
  </si>
  <si>
    <t>Ashley B.</t>
  </si>
  <si>
    <t>Weed Science Society of America</t>
  </si>
  <si>
    <t>Freeville, NY</t>
  </si>
  <si>
    <t>Rotated with 6 cash crops</t>
  </si>
  <si>
    <t>Compost</t>
  </si>
  <si>
    <t>Jiang</t>
  </si>
  <si>
    <t>P.</t>
  </si>
  <si>
    <t>SSSA</t>
  </si>
  <si>
    <t>Centrralia in Missouri</t>
  </si>
  <si>
    <t>Silt</t>
  </si>
  <si>
    <t>Corn-soybean-wheat rotation</t>
  </si>
  <si>
    <t>multch tillage</t>
  </si>
  <si>
    <t>150 kg N per ha</t>
  </si>
  <si>
    <t>190 kg N per ha</t>
  </si>
  <si>
    <t>0.01  Kpa</t>
  </si>
  <si>
    <t>Macro porse</t>
  </si>
  <si>
    <t>William E.</t>
  </si>
  <si>
    <t>Prairie du Sac, WI</t>
  </si>
  <si>
    <t>Forage</t>
  </si>
  <si>
    <t>No-cover, manured</t>
  </si>
  <si>
    <t>No-cover, N ferterlized</t>
  </si>
  <si>
    <t>Active C</t>
  </si>
  <si>
    <t>Water-stable macroaggregates</t>
  </si>
  <si>
    <t>SQI available</t>
  </si>
  <si>
    <t>Total microbial Biomass</t>
  </si>
  <si>
    <t>Diff</t>
  </si>
  <si>
    <t>Joyce</t>
  </si>
  <si>
    <t>B.A.</t>
  </si>
  <si>
    <t xml:space="preserve">American Society of Agricultural Engineers </t>
  </si>
  <si>
    <t>Agronomy Farm at the University of California</t>
  </si>
  <si>
    <t>Tomato-Safflower-Corn-Bean Rotation</t>
  </si>
  <si>
    <t>Low input</t>
  </si>
  <si>
    <t>Organic</t>
  </si>
  <si>
    <t>VMW</t>
  </si>
  <si>
    <t>Hydrolic conductivity</t>
  </si>
  <si>
    <t>Kabir</t>
  </si>
  <si>
    <t>Z.</t>
  </si>
  <si>
    <t xml:space="preserve">Agriculture, Ecosystems and Environment </t>
  </si>
  <si>
    <t>Dandelion</t>
  </si>
  <si>
    <t>8 days</t>
  </si>
  <si>
    <t>25 days</t>
  </si>
  <si>
    <t>54 days</t>
  </si>
  <si>
    <t>% root affected by Mycorrhizal</t>
  </si>
  <si>
    <t>Shoot biomass:g per plant</t>
  </si>
  <si>
    <t>450 kg N per ha</t>
  </si>
  <si>
    <t>Kaspar</t>
  </si>
  <si>
    <t>T.C.</t>
  </si>
  <si>
    <t>Boone County, IA</t>
  </si>
  <si>
    <t>Corn, Soy bean Rotation</t>
  </si>
  <si>
    <t>Light tillage</t>
  </si>
  <si>
    <t>Gamagrass</t>
  </si>
  <si>
    <t>Plant N indicator available</t>
  </si>
  <si>
    <t>Inorganic N</t>
  </si>
  <si>
    <t>N concentration in runoff (mg N per L)</t>
  </si>
  <si>
    <t>Keene</t>
  </si>
  <si>
    <t>C.L.</t>
  </si>
  <si>
    <t>Crop Economics, Production and Management</t>
  </si>
  <si>
    <t>Reduced or no tillage</t>
  </si>
  <si>
    <t>Kladivko</t>
  </si>
  <si>
    <t>E.J.</t>
  </si>
  <si>
    <t>Journal of environmental quality</t>
  </si>
  <si>
    <t>SouthEastern Purdue Agricultural, Indiana</t>
  </si>
  <si>
    <t>285 kg N per ha</t>
  </si>
  <si>
    <t>177 kg N per ha</t>
  </si>
  <si>
    <t>Chisel</t>
  </si>
  <si>
    <t>5 m drain space</t>
  </si>
  <si>
    <t>10 m drain space</t>
  </si>
  <si>
    <t>20 m drain space</t>
  </si>
  <si>
    <t>Kong</t>
  </si>
  <si>
    <t xml:space="preserve">Angela Y.Y. </t>
  </si>
  <si>
    <t>Long-term Research on Agricultural Systems</t>
  </si>
  <si>
    <t>Mediterranean</t>
  </si>
  <si>
    <t>CRD</t>
  </si>
  <si>
    <t>170 kg N, 51 kg N-P-K per ha</t>
  </si>
  <si>
    <t>Conventional</t>
  </si>
  <si>
    <t>Root C release</t>
  </si>
  <si>
    <t>373 kg composed N per ha</t>
  </si>
  <si>
    <t>69 days</t>
  </si>
  <si>
    <t>100 days</t>
  </si>
  <si>
    <t>154 days</t>
  </si>
  <si>
    <t>Langdale</t>
  </si>
  <si>
    <t>G.W.</t>
  </si>
  <si>
    <t>Soil Technology</t>
  </si>
  <si>
    <t xml:space="preserve"> Watkinsville, Georgia</t>
  </si>
  <si>
    <t>No-tilling</t>
  </si>
  <si>
    <t>70 Kg N per ha</t>
  </si>
  <si>
    <t>115 Kg N per ha</t>
  </si>
  <si>
    <t>45 Kg N per ha</t>
  </si>
  <si>
    <t>Fert_Diff</t>
  </si>
  <si>
    <t>Yes</t>
  </si>
  <si>
    <t>Rainfed, sligh erosion level</t>
  </si>
  <si>
    <t>Rainfed, moderate erosion level</t>
  </si>
  <si>
    <t>Rainfed, severe erosion level</t>
  </si>
  <si>
    <t>Irrigated, sligh erosion level</t>
  </si>
  <si>
    <t>Irrigated, moderate erosion level</t>
  </si>
  <si>
    <t>Irrigated, severe erosion level</t>
  </si>
  <si>
    <t>Sligh erosion level</t>
  </si>
  <si>
    <t>Moderate erosion level</t>
  </si>
  <si>
    <t>Severe erosion level</t>
  </si>
  <si>
    <t>Total Kjeldahl Nitrogen</t>
  </si>
  <si>
    <t>Air dry soil pass sieve</t>
  </si>
  <si>
    <t>Lehman</t>
  </si>
  <si>
    <t>R.Michael</t>
  </si>
  <si>
    <t>Brookings, South Dakota</t>
  </si>
  <si>
    <t>Sandy clay loam</t>
  </si>
  <si>
    <t>November</t>
  </si>
  <si>
    <t>Oat</t>
  </si>
  <si>
    <t>Slit tillage</t>
  </si>
  <si>
    <t>Arbuscular mycorrrhizal fungi (AMF)</t>
  </si>
  <si>
    <t>Canola</t>
  </si>
  <si>
    <t>Liebig</t>
  </si>
  <si>
    <t>M.</t>
  </si>
  <si>
    <t>Akron, CO</t>
  </si>
  <si>
    <t>Millet</t>
  </si>
  <si>
    <t>Varied N</t>
  </si>
  <si>
    <t>Brookings, SD</t>
  </si>
  <si>
    <t>Chisel plow and disk</t>
  </si>
  <si>
    <t>Rotation_T</t>
  </si>
  <si>
    <t>Rotation_C</t>
  </si>
  <si>
    <t>Rotation_Diff</t>
  </si>
  <si>
    <t>Tillage_T</t>
  </si>
  <si>
    <t>Tillage_C</t>
  </si>
  <si>
    <t>Tillage_Diff</t>
  </si>
  <si>
    <t>Type of tillage for cover crop</t>
  </si>
  <si>
    <t>Type of tillage for control</t>
  </si>
  <si>
    <t>High N</t>
  </si>
  <si>
    <t>Bushland, TX</t>
  </si>
  <si>
    <t>WW-C-M</t>
  </si>
  <si>
    <t>C-SB-SW</t>
  </si>
  <si>
    <t>C-C</t>
  </si>
  <si>
    <t>WW-SO-F</t>
  </si>
  <si>
    <t>WW-WW</t>
  </si>
  <si>
    <t>Fargo, ND</t>
  </si>
  <si>
    <t>Silty clay</t>
  </si>
  <si>
    <t>DW-P</t>
  </si>
  <si>
    <t>Fall plow</t>
  </si>
  <si>
    <t>Mandan, ND</t>
  </si>
  <si>
    <t>Sunflower</t>
  </si>
  <si>
    <t>SW-F</t>
  </si>
  <si>
    <t>SW-WW-SU</t>
  </si>
  <si>
    <t>Medium</t>
  </si>
  <si>
    <t>Mead, NE</t>
  </si>
  <si>
    <t>C-SB-SO-OCL</t>
  </si>
  <si>
    <t>High</t>
  </si>
  <si>
    <t>Sidney, MT</t>
  </si>
  <si>
    <t>SW-SW</t>
  </si>
  <si>
    <t>Tandem disk</t>
  </si>
  <si>
    <t>Swift Current, SK</t>
  </si>
  <si>
    <t>Lentil</t>
  </si>
  <si>
    <t>SW-L</t>
  </si>
  <si>
    <t>Chisel plow and harrow</t>
  </si>
  <si>
    <t>Type of rotation/crop sequence for cover crop treatment</t>
  </si>
  <si>
    <t>Type of rotation/crop sequence for control</t>
  </si>
  <si>
    <t>WW-F</t>
  </si>
  <si>
    <t>qCO2,mg CO2 per mg MBC</t>
  </si>
  <si>
    <t>kg per ha</t>
  </si>
  <si>
    <t>Marriott</t>
  </si>
  <si>
    <t xml:space="preserve">Emily E. </t>
  </si>
  <si>
    <t>Composed mannure 4480 kg per ha</t>
  </si>
  <si>
    <t>170 Kg N per ha</t>
  </si>
  <si>
    <t>Chisel plow</t>
  </si>
  <si>
    <t>C-CC-C-AR-SB-W-RC</t>
  </si>
  <si>
    <t>CC-SB-W</t>
  </si>
  <si>
    <t>Legume</t>
  </si>
  <si>
    <t>Control vs M</t>
  </si>
  <si>
    <t>Control vs L</t>
  </si>
  <si>
    <t>Paper's ID number</t>
  </si>
  <si>
    <t>Mbuthia</t>
  </si>
  <si>
    <t>Lilian Wanjiru</t>
  </si>
  <si>
    <t>Everage of 31 years data</t>
  </si>
  <si>
    <t>Cotton</t>
  </si>
  <si>
    <t>Total bacterial</t>
  </si>
  <si>
    <t>Tillage</t>
  </si>
  <si>
    <t>1 ha = 100*100*0.075*1.4Mg</t>
  </si>
  <si>
    <t>No40</t>
  </si>
  <si>
    <t>MG</t>
  </si>
  <si>
    <t>kg</t>
  </si>
  <si>
    <t>McCracken</t>
  </si>
  <si>
    <t xml:space="preserve">Daniel V.  </t>
  </si>
  <si>
    <t xml:space="preserve">West Tennessee Research and Education Center </t>
  </si>
  <si>
    <t>Kentucky Agricultural Experiment  Station  Farm near Lexington</t>
  </si>
  <si>
    <t>NH4-N discharge (%)</t>
  </si>
  <si>
    <t>June</t>
  </si>
  <si>
    <t>Augest</t>
  </si>
  <si>
    <t>October</t>
  </si>
  <si>
    <t>December</t>
  </si>
  <si>
    <t xml:space="preserve">April </t>
  </si>
  <si>
    <t>Suptember</t>
  </si>
  <si>
    <t>January</t>
  </si>
  <si>
    <t>February</t>
  </si>
  <si>
    <t>McVay</t>
  </si>
  <si>
    <t xml:space="preserve">K. A. </t>
  </si>
  <si>
    <t>Valley  location, Georgia</t>
  </si>
  <si>
    <t>Coastal  Plain, Altamaha, upper Coastal  Plain of Georgia</t>
  </si>
  <si>
    <t>&gt;250 mum (%)</t>
  </si>
  <si>
    <t>SQI, Ca, Mg, MBN and MBC/N indicators available</t>
  </si>
  <si>
    <t>Ca,Mg,Al,Mn available</t>
  </si>
  <si>
    <t>Varied</t>
  </si>
  <si>
    <t>CCTermination</t>
  </si>
  <si>
    <t>Mendes</t>
  </si>
  <si>
    <t xml:space="preserve">I. C. </t>
  </si>
  <si>
    <t>Sweet corn and broccoli</t>
  </si>
  <si>
    <t>Cereal</t>
  </si>
  <si>
    <t>TC</t>
  </si>
  <si>
    <t>Kjeldahl N (TKN)</t>
  </si>
  <si>
    <t>SMBC</t>
  </si>
  <si>
    <t>mu g n gdw soil per week?</t>
  </si>
  <si>
    <t>beta-Glucoside activity</t>
  </si>
  <si>
    <t>Fluorescein diacetate hydrolysis (FDA),distribution of TOC,TNC,and emzyme activity indicator available</t>
  </si>
  <si>
    <t>Ndiaye</t>
  </si>
  <si>
    <t xml:space="preserve">E.L. </t>
  </si>
  <si>
    <t>American Journal of Alternative Agriculture</t>
  </si>
  <si>
    <t>Silverton(OF), Oregon</t>
  </si>
  <si>
    <t>Salem(OF), Oregon</t>
  </si>
  <si>
    <t>Gervais(OF), Oregon</t>
  </si>
  <si>
    <t>Molalla(OF), Oregon-122.577</t>
  </si>
  <si>
    <t>NWREC(R), Oregon</t>
  </si>
  <si>
    <t>Southern Willamette Valley, VF(R), Oregon</t>
  </si>
  <si>
    <t>Cauliflower</t>
  </si>
  <si>
    <t>Broccoli</t>
  </si>
  <si>
    <t>Mixed</t>
  </si>
  <si>
    <t>Corn-Cauliflower</t>
  </si>
  <si>
    <t>Corn-corn</t>
  </si>
  <si>
    <t>Corn-grass</t>
  </si>
  <si>
    <t>Broccoli-Corn</t>
  </si>
  <si>
    <t>Corn-Bean</t>
  </si>
  <si>
    <t>Ca</t>
  </si>
  <si>
    <t>c mol / kg</t>
  </si>
  <si>
    <t>mg CO2/m2/s</t>
  </si>
  <si>
    <t>K need *39</t>
  </si>
  <si>
    <t>1 nmol = 1/1000000000 mol</t>
  </si>
  <si>
    <t>1mol=12g</t>
  </si>
  <si>
    <t>1 cmol = 0.01 mol</t>
  </si>
  <si>
    <t>No29</t>
  </si>
  <si>
    <t>1 ha = 1627.5Mg</t>
  </si>
  <si>
    <t>mu mol CO2 /kg soil/ d</t>
  </si>
  <si>
    <t>1 mu mol=1/1000000 mol</t>
  </si>
  <si>
    <t>1 nmol=1/1000000000 mol * 44 g/mol</t>
  </si>
  <si>
    <t>Canopy closure</t>
  </si>
  <si>
    <t>Spring</t>
  </si>
  <si>
    <t>Harvest</t>
  </si>
  <si>
    <t>mu g g-1 soil</t>
  </si>
  <si>
    <t>Cotton stip decomposition indicator available</t>
  </si>
  <si>
    <t>Nielsen</t>
  </si>
  <si>
    <t>David C.</t>
  </si>
  <si>
    <t>Sweep tillage</t>
  </si>
  <si>
    <t>1.1 Kg N-P per ha</t>
  </si>
  <si>
    <t>mm</t>
  </si>
  <si>
    <t>J.K.</t>
  </si>
  <si>
    <t>ODea</t>
  </si>
  <si>
    <t>Big Sandy site, north-central Montan</t>
  </si>
  <si>
    <t>Box elder site, north-central Montan</t>
  </si>
  <si>
    <t>Joplin, north-central Montan</t>
  </si>
  <si>
    <t>Sunburst site, north-central Montan</t>
  </si>
  <si>
    <t>Oilmont site, north-central Montan</t>
  </si>
  <si>
    <t>Clay loam</t>
  </si>
  <si>
    <t>Herbicide, June_18</t>
  </si>
  <si>
    <t>Herbicide, June_23</t>
  </si>
  <si>
    <t>Herbicide, June_26</t>
  </si>
  <si>
    <t>Herbicide, June_27</t>
  </si>
  <si>
    <t>Herbicide, July_9</t>
  </si>
  <si>
    <t>NO3-N+NH4-N, kg/ha</t>
  </si>
  <si>
    <t>NO3-N, kg/ha</t>
  </si>
  <si>
    <t>1/(Available Nitrogen Use Efficiency)</t>
  </si>
  <si>
    <t>Residue C, N returned available</t>
  </si>
  <si>
    <t>Osborne</t>
  </si>
  <si>
    <t xml:space="preserve">Shannon L. </t>
  </si>
  <si>
    <t>Bioenerg. Res.</t>
  </si>
  <si>
    <t>Corn-soybean</t>
  </si>
  <si>
    <t>Low residue romoval</t>
  </si>
  <si>
    <t>Medium residue romoval</t>
  </si>
  <si>
    <t>High residue romoval</t>
  </si>
  <si>
    <t>Quinn</t>
  </si>
  <si>
    <t>N.F.</t>
  </si>
  <si>
    <t>Environmental Entomology</t>
  </si>
  <si>
    <t>Harbor, MI</t>
  </si>
  <si>
    <t xml:space="preserve"> 86.25 N-P-K- kg per ha</t>
  </si>
  <si>
    <t>Herbicide, Glyphosate, clomazone etc</t>
  </si>
  <si>
    <t>Strip-tilled</t>
  </si>
  <si>
    <t>full-tilled</t>
  </si>
  <si>
    <t>a</t>
  </si>
  <si>
    <t>b</t>
  </si>
  <si>
    <t>c</t>
  </si>
  <si>
    <t>d</t>
  </si>
  <si>
    <t>e</t>
  </si>
  <si>
    <t>f</t>
  </si>
  <si>
    <t>g</t>
  </si>
  <si>
    <t>h</t>
  </si>
  <si>
    <t>Number of arthropods (density activity)</t>
  </si>
  <si>
    <t>No. 46</t>
  </si>
  <si>
    <t>mm to VMW</t>
  </si>
  <si>
    <t>Notes2</t>
  </si>
  <si>
    <t>Microbe activity/Enzyme/nematode/earthwarm</t>
  </si>
  <si>
    <t>Termination</t>
  </si>
  <si>
    <t>Beetles as diseases</t>
  </si>
  <si>
    <t>Multiple rotation, tillage and fertilization</t>
  </si>
  <si>
    <t>Root infected by rot</t>
  </si>
  <si>
    <t>Disk vs crimping</t>
  </si>
  <si>
    <t>Runoff to erosion, hydrolic conductivity to Ks</t>
  </si>
  <si>
    <t>Other notes, comments 2</t>
  </si>
  <si>
    <t>Earthwarm, 4.75-2 mm water stable aggregates, percentage of soil remaining in sieves, other 5 indicator available</t>
  </si>
  <si>
    <t>Geometric mean Diameter of dry aggregates, water-stable, available</t>
  </si>
  <si>
    <t>Weed density, averaged from 5</t>
  </si>
  <si>
    <t>pests</t>
  </si>
  <si>
    <t>Active C to Cmin, root health to microAnimal, units for Nmin need check</t>
  </si>
  <si>
    <t>Root C release to CO2BTest</t>
  </si>
  <si>
    <t>Runoff (%)</t>
  </si>
  <si>
    <t>AMF as total microAnimal indicator</t>
  </si>
  <si>
    <t>MBN and MBC/SOC available, qCO2 as CO2 burst test indicator</t>
  </si>
  <si>
    <t>CF,OPOM,FPOM,CHF methods for Nmin, Cmin</t>
  </si>
  <si>
    <t>NH4-N discharg as erosion indicator</t>
  </si>
  <si>
    <t>mm for AWHC</t>
  </si>
  <si>
    <t xml:space="preserve">Authopods number to MicroAnimal </t>
  </si>
  <si>
    <t>Raper</t>
  </si>
  <si>
    <t>R.L.</t>
  </si>
  <si>
    <t>Applied Engineering in Agriculture</t>
  </si>
  <si>
    <t>Spring shallow</t>
  </si>
  <si>
    <t>Spring deep</t>
  </si>
  <si>
    <t>Autumn shallow</t>
  </si>
  <si>
    <t>Autumn deep</t>
  </si>
  <si>
    <t>Cone index for root penetration</t>
  </si>
  <si>
    <t>Rasse</t>
  </si>
  <si>
    <t>Daniel P.</t>
  </si>
  <si>
    <t>Environmental Quality</t>
  </si>
  <si>
    <t>Tennessee Valley Substation in Belle Mina, Alabama</t>
  </si>
  <si>
    <t>101 Kg N per ha</t>
  </si>
  <si>
    <t>202 Kg N per ha</t>
  </si>
  <si>
    <t>Ap</t>
  </si>
  <si>
    <t>Ap, Bt, C1 and C2</t>
  </si>
  <si>
    <t>Inorganic N, NH4-N</t>
  </si>
  <si>
    <t>Bt</t>
  </si>
  <si>
    <t>C1</t>
  </si>
  <si>
    <t>C2</t>
  </si>
  <si>
    <t>Total NO3-N leaching (kg per ha)</t>
  </si>
  <si>
    <t>Rivers</t>
  </si>
  <si>
    <t xml:space="preserve">Ariel </t>
  </si>
  <si>
    <t>Carabidae community species richness</t>
  </si>
  <si>
    <t>Ritter</t>
  </si>
  <si>
    <t xml:space="preserve">W.F. </t>
  </si>
  <si>
    <t>Journal of Contaminant Hydrology</t>
  </si>
  <si>
    <t>Poultry manure</t>
  </si>
  <si>
    <t>Composted poultry manure</t>
  </si>
  <si>
    <t>Commercial fertilizer</t>
  </si>
  <si>
    <t>OC_Comments</t>
  </si>
  <si>
    <t>N_Comments</t>
  </si>
  <si>
    <t>P_Comments</t>
  </si>
  <si>
    <t>Aggre_Comments</t>
  </si>
  <si>
    <t>EC_Comments</t>
  </si>
  <si>
    <t>Infiltration_Comments</t>
  </si>
  <si>
    <t>Mass of N leached on lage plots (kg per ha)</t>
  </si>
  <si>
    <t>N concentration in drainage as prevent_erosion due to multiple erosion indicator available</t>
  </si>
  <si>
    <t>Sainju</t>
  </si>
  <si>
    <t>Upendra M.</t>
  </si>
  <si>
    <t>Europ. J. Agronomy</t>
  </si>
  <si>
    <t>Agricultural Research Station Farm, Georgia</t>
  </si>
  <si>
    <t>Strip tillage</t>
  </si>
  <si>
    <t>Chisel tillage</t>
  </si>
  <si>
    <t>60 Kg N per ha</t>
  </si>
  <si>
    <t>120 Kg N per ha</t>
  </si>
  <si>
    <t>65 Kg N per ha</t>
  </si>
  <si>
    <t>130 Kg N per ha</t>
  </si>
  <si>
    <t>Cotton-Sorghum</t>
  </si>
  <si>
    <t>Fallow and winter weeds</t>
  </si>
  <si>
    <t>Apr</t>
  </si>
  <si>
    <t>Nov</t>
  </si>
  <si>
    <t>Schipanski</t>
  </si>
  <si>
    <t>Meagan E.</t>
  </si>
  <si>
    <t>Agricultural Systems</t>
  </si>
  <si>
    <t>Soybean-wheat-corn</t>
  </si>
  <si>
    <t>Simulated 30-year period</t>
  </si>
  <si>
    <t>Ecosystem services, Simulated 30-year period</t>
  </si>
  <si>
    <t>Schutter</t>
  </si>
  <si>
    <t xml:space="preserve">M.E. </t>
  </si>
  <si>
    <t>NWREC</t>
  </si>
  <si>
    <t>Triticale</t>
  </si>
  <si>
    <t>Salem</t>
  </si>
  <si>
    <t>Silverton</t>
  </si>
  <si>
    <t>Biol Fertil Soils</t>
  </si>
  <si>
    <t>VRS, Vegetable Research Station, Corvallis,  Oregon</t>
  </si>
  <si>
    <t>Clay</t>
  </si>
  <si>
    <t>Sweetcorn</t>
  </si>
  <si>
    <t>Broccoli-Sweetcorn-Green bean</t>
  </si>
  <si>
    <t>Oat-common vetch-Green bean-Green bean</t>
  </si>
  <si>
    <t>Sweet corn and CC</t>
  </si>
  <si>
    <t>Cauliflower-Sweetcorn</t>
  </si>
  <si>
    <t>Nematodes biomass (mu g per g soil)</t>
  </si>
  <si>
    <t>Bacterial, fungal biomass available</t>
  </si>
  <si>
    <t>Greenbean</t>
  </si>
  <si>
    <t>Microbial fatty acid methyl esters (FAMEs)</t>
  </si>
  <si>
    <t>mg C per kg soil per 10 day</t>
  </si>
  <si>
    <t>Incubation in tube for 10 days at 25 C</t>
  </si>
  <si>
    <t>BiomassCashCrop_C</t>
  </si>
  <si>
    <t>BiomassCashCrop_T</t>
  </si>
  <si>
    <t>Yield_C</t>
  </si>
  <si>
    <t>Yield_T</t>
  </si>
  <si>
    <t>BD_Comments</t>
  </si>
  <si>
    <t>From CN ratio, t per ha of 15 cm soil</t>
  </si>
  <si>
    <t>pH_Comments</t>
  </si>
  <si>
    <t>Units (%), &lt; 0.84 mm aggregates</t>
  </si>
  <si>
    <t>Penetration_Comments</t>
  </si>
  <si>
    <t>CEC_Comments</t>
  </si>
  <si>
    <t>BS_Comments</t>
  </si>
  <si>
    <t>AWHC_Comments</t>
  </si>
  <si>
    <t>ST_Comments</t>
  </si>
  <si>
    <t>SWC_Comments</t>
  </si>
  <si>
    <t>Weed_Comments</t>
  </si>
  <si>
    <t>Diseases_Comments</t>
  </si>
  <si>
    <t>Cmina_Comments</t>
  </si>
  <si>
    <t>SIR_Comments</t>
  </si>
  <si>
    <t>CO2BTest_Comments</t>
  </si>
  <si>
    <t>MBC_Comments</t>
  </si>
  <si>
    <t>Nmina_Comments</t>
  </si>
  <si>
    <t>yield_Comments</t>
  </si>
  <si>
    <t>K_Coments</t>
  </si>
  <si>
    <t>Notes1</t>
  </si>
  <si>
    <t>Other notes, comments 1</t>
  </si>
  <si>
    <t>BiomassCashCrop_Comments</t>
  </si>
  <si>
    <t>Shoot dry weight (g)</t>
  </si>
  <si>
    <t>Scott</t>
  </si>
  <si>
    <t>H.D.</t>
  </si>
  <si>
    <t>Delta branch experiment station clarkedale</t>
  </si>
  <si>
    <t>Dubba-Dundee soil</t>
  </si>
  <si>
    <t>Lupine</t>
  </si>
  <si>
    <t>Arkansas agriculture experiment station bulletin</t>
  </si>
  <si>
    <t>448 (13-13-13)+112 NH4NO3 Kg per ha</t>
  </si>
  <si>
    <t>112 (13-13-13) Kg per ha</t>
  </si>
  <si>
    <t>336 (13-13-13) Kg per ha</t>
  </si>
  <si>
    <t>280 NH4NO3 Kg per ha</t>
  </si>
  <si>
    <t>280 (13-13-13)+112 NH4NO3 Kg per ha</t>
  </si>
  <si>
    <t>308 (13-13-13) Kg per ha</t>
  </si>
  <si>
    <t>140 NH4NO3+4 urea Kg per ha</t>
  </si>
  <si>
    <t>336 (13-13-13)+112 NH4NO3 Kg per ha</t>
  </si>
  <si>
    <t>190 (0-0-60)+112 NH4NO3 Kg per ha</t>
  </si>
  <si>
    <t>Soil properties indicator were 16 years average (set as 8)</t>
  </si>
  <si>
    <t>SWC(33)-SWC(1500)</t>
  </si>
  <si>
    <t>SWC(30)-SWC(1500)</t>
  </si>
  <si>
    <t>Infiltration rate of control (mean value), water</t>
  </si>
  <si>
    <t>Infiltration rate of treatment (mean value), water</t>
  </si>
  <si>
    <t>Penetration resistance of treatment (mean value), root</t>
  </si>
  <si>
    <t>Active C as Cmin, MBC to small, units convert?, We determined penetration resistance using a constant rate recording cone penetrometer with a cone base of 129 mm2 and a penetration rate of 8 mm s–1 (Lowery, 1986).</t>
  </si>
  <si>
    <t>Penetrometer resisteance (Fig 2)</t>
  </si>
  <si>
    <t>Cone index (Mpa), similar as studyID 29</t>
  </si>
  <si>
    <t>Capillary porosity as root penetration indicator</t>
  </si>
  <si>
    <t>Micro and macro porse, Macro porse as penetration indicator</t>
  </si>
  <si>
    <t>Staver</t>
  </si>
  <si>
    <t>K.W.</t>
  </si>
  <si>
    <t>Journal of  Soil  and Water  Conservation</t>
  </si>
  <si>
    <t>Winter CC</t>
  </si>
  <si>
    <t>OCT-10, Winter CC</t>
  </si>
  <si>
    <t>Time_Comments</t>
  </si>
  <si>
    <t>OCT-22, Winter CC</t>
  </si>
  <si>
    <t>OCT-28, Winter CC</t>
  </si>
  <si>
    <t>OCT-6, Winter CC</t>
  </si>
  <si>
    <t>Sep-22, Winter CC</t>
  </si>
  <si>
    <t>Sep-28, Winter CC</t>
  </si>
  <si>
    <t>OCT-8, Winter CC</t>
  </si>
  <si>
    <t>OCT-7, Winter CC</t>
  </si>
  <si>
    <t>OCT-13, Winter CC</t>
  </si>
  <si>
    <t>OCT-1, Winter CC</t>
  </si>
  <si>
    <t>OCT-2, Winter CC</t>
  </si>
  <si>
    <t>OCT-27, Winter CC</t>
  </si>
  <si>
    <t>OCT</t>
  </si>
  <si>
    <t>DEC</t>
  </si>
  <si>
    <t>Jan</t>
  </si>
  <si>
    <t>Jun</t>
  </si>
  <si>
    <t>Sep</t>
  </si>
  <si>
    <t>Oct</t>
  </si>
  <si>
    <t>Aug</t>
  </si>
  <si>
    <t>Soil-nitrate-N</t>
  </si>
  <si>
    <t>Queen Annes County, Maryland</t>
  </si>
  <si>
    <t>Stover (kg per ha)</t>
  </si>
  <si>
    <t>156 kg N per ha</t>
  </si>
  <si>
    <t>Units varied</t>
  </si>
  <si>
    <t>Leachate Nitrate-N (mg per l)</t>
  </si>
  <si>
    <t>Steele</t>
  </si>
  <si>
    <t>M.K.</t>
  </si>
  <si>
    <t>Coastal  Plain, Maryland (Site 2)</t>
  </si>
  <si>
    <t>Piedmont, Maryland (Site 3)</t>
  </si>
  <si>
    <t>According to University of Maryland extension recommendation</t>
  </si>
  <si>
    <t>Season</t>
  </si>
  <si>
    <t>Off-season</t>
  </si>
  <si>
    <t>Water stable aggregates (WSA) &lt; 2 but &gt; 0.5</t>
  </si>
  <si>
    <t>Water stable aggregates (WSA) &gt; 2 ( g per g to %)</t>
  </si>
  <si>
    <t>Mg/ha</t>
  </si>
  <si>
    <t>Units for OC need double check</t>
  </si>
  <si>
    <t>TOC, Mg per ha = 0.073 %</t>
  </si>
  <si>
    <t>Labile C</t>
  </si>
  <si>
    <t>Site1, mm/s = mm/h*3600</t>
  </si>
  <si>
    <t>Site2, mm/s = mm/h*3600</t>
  </si>
  <si>
    <t>Site3, mm/s = mm/h*3600</t>
  </si>
  <si>
    <t>Ks, Hydrulic conductivity</t>
  </si>
  <si>
    <t>mm / s</t>
  </si>
  <si>
    <t>mm/s=360cm/h</t>
  </si>
  <si>
    <t>Air permeability (mu m2)</t>
  </si>
  <si>
    <t>Porosity_C</t>
  </si>
  <si>
    <t>Porosity_T</t>
  </si>
  <si>
    <t>Porosity_Comments</t>
  </si>
  <si>
    <t>Porosity, air permeability of control (mean value)</t>
  </si>
  <si>
    <t>Porosity, air permeability of treatment (mean value)</t>
  </si>
  <si>
    <t>Stipesevic</t>
  </si>
  <si>
    <t>Bojan</t>
  </si>
  <si>
    <t>Purdue University PhD dissertation</t>
  </si>
  <si>
    <t>Southeast Purdue Agricultural Center (SEPAC)</t>
  </si>
  <si>
    <t xml:space="preserve">Throckmorton Purdue Agricultural Center (TPAC) </t>
  </si>
  <si>
    <t>Early desccation</t>
  </si>
  <si>
    <t>Regular desiccation</t>
  </si>
  <si>
    <t>Before corn plant</t>
  </si>
  <si>
    <t>After corn plant</t>
  </si>
  <si>
    <t>% vol/vol (total)</t>
  </si>
  <si>
    <t>Air fill porosity</t>
  </si>
  <si>
    <t>Mean weight diameter (mm)</t>
  </si>
  <si>
    <t>cm/h to mm per h</t>
  </si>
  <si>
    <t>cm/h</t>
  </si>
  <si>
    <t>5-31 VMW to GMW</t>
  </si>
  <si>
    <t>6-5 VWM to GMW</t>
  </si>
  <si>
    <t>4-26 VMW</t>
  </si>
  <si>
    <t>5-15 VMW</t>
  </si>
  <si>
    <t>6-20 VMW</t>
  </si>
  <si>
    <t>5-10 VMW</t>
  </si>
  <si>
    <t>5-14 VMW</t>
  </si>
  <si>
    <t>5-24 VMW</t>
  </si>
  <si>
    <t>Other indicators in fig</t>
  </si>
  <si>
    <t>Soybean-corn</t>
  </si>
  <si>
    <t>Vane shear strength measurement of soil compaction (Mpa)</t>
  </si>
  <si>
    <t>Strock</t>
  </si>
  <si>
    <t>J.S.</t>
  </si>
  <si>
    <t>Journal of Environmental Quality</t>
  </si>
  <si>
    <t>Southwest research and outreach center</t>
  </si>
  <si>
    <t>Urea, P and K</t>
  </si>
  <si>
    <t>Disk cultivation</t>
  </si>
  <si>
    <t>Teasdale</t>
  </si>
  <si>
    <t xml:space="preserve">J.R.  </t>
  </si>
  <si>
    <t>Beltsville, MD</t>
  </si>
  <si>
    <t>Bare soil</t>
  </si>
  <si>
    <t>DOY 220</t>
  </si>
  <si>
    <t>DOY 224</t>
  </si>
  <si>
    <t>DOY 228</t>
  </si>
  <si>
    <t>DOY 232</t>
  </si>
  <si>
    <t>DOY 236</t>
  </si>
  <si>
    <t>DOY 240</t>
  </si>
  <si>
    <t>DOY 244</t>
  </si>
  <si>
    <t>DOY 248</t>
  </si>
  <si>
    <t>DOY 252</t>
  </si>
  <si>
    <t>DOY 256</t>
  </si>
  <si>
    <t>DOY 260</t>
  </si>
  <si>
    <t>Transmittance, hotosynthetically active radiation at indicators available</t>
  </si>
  <si>
    <t>Terra</t>
  </si>
  <si>
    <t>J.A.</t>
  </si>
  <si>
    <t>Ithaca, NY</t>
  </si>
  <si>
    <t>Agricultural Experiment Station, Alabama</t>
  </si>
  <si>
    <t>No manure</t>
  </si>
  <si>
    <t>Conservation</t>
  </si>
  <si>
    <t>With manure</t>
  </si>
  <si>
    <t>CNOfCoverCrop</t>
  </si>
  <si>
    <t>Corn-cotton</t>
  </si>
  <si>
    <t>Dairy manure</t>
  </si>
  <si>
    <t>Coton</t>
  </si>
  <si>
    <t>Total microbial Biomass, measurement of phospholipid fatty acids</t>
  </si>
  <si>
    <t>Using Cover Crops In Oregon</t>
  </si>
  <si>
    <t xml:space="preserve">Richard </t>
  </si>
  <si>
    <t>Dick</t>
  </si>
  <si>
    <t>North Willamette Research and Extension Center</t>
  </si>
  <si>
    <t>NOV</t>
  </si>
  <si>
    <t>Feb</t>
  </si>
  <si>
    <t>Mar</t>
  </si>
  <si>
    <t>Dec</t>
  </si>
  <si>
    <t>Veum</t>
  </si>
  <si>
    <t xml:space="preserve">K.S. </t>
  </si>
  <si>
    <t>Salt River Basin Central Claypan Region,Missouri</t>
  </si>
  <si>
    <t>Corn–soybean</t>
  </si>
  <si>
    <t>Corn–soybean–wheat</t>
  </si>
  <si>
    <t xml:space="preserve">Water stable aggregates (%) </t>
  </si>
  <si>
    <t>OC</t>
  </si>
  <si>
    <t>β-glucosidase (mg PNP kg–1 h–1)</t>
  </si>
  <si>
    <t>mg/kg</t>
  </si>
  <si>
    <t>dS m–1</t>
  </si>
  <si>
    <t xml:space="preserve">Extractable P (mg kg–1) </t>
  </si>
  <si>
    <t xml:space="preserve">Extractable K (mg kg–1) </t>
  </si>
  <si>
    <t>Ca,Mg,Cu,Fe,Mg,Zn,SQI or SMAF available</t>
  </si>
  <si>
    <t>NTCS-17 vs NTCSW14</t>
  </si>
  <si>
    <t>NTCS-4 vs NTCSWM5</t>
  </si>
  <si>
    <t>Mulch tillage</t>
  </si>
  <si>
    <t>Beef livestock manure of 11 Mg N per ha</t>
  </si>
  <si>
    <t>Villamil</t>
  </si>
  <si>
    <t>M.B.</t>
  </si>
  <si>
    <t>Urbana, IL, USA</t>
  </si>
  <si>
    <t>135 kg N per ha</t>
  </si>
  <si>
    <t>SOM</t>
  </si>
  <si>
    <t>Kg/Mg</t>
  </si>
  <si>
    <t>NO3-N</t>
  </si>
  <si>
    <t>Increase PR (MPa) means closer contact between particles</t>
  </si>
  <si>
    <t>Erosion_C</t>
  </si>
  <si>
    <t>Erosion_T</t>
  </si>
  <si>
    <t>Erosion_Comments</t>
  </si>
  <si>
    <t xml:space="preserve">Water erosion, wind erosion of control </t>
  </si>
  <si>
    <t>Water erosion, wind erosion of cover crop</t>
  </si>
  <si>
    <t>Comments on water erosion, wind erosion</t>
  </si>
  <si>
    <t>Total porosity</t>
  </si>
  <si>
    <t>Plant available water (PAW, %)</t>
  </si>
  <si>
    <t>Jokela</t>
  </si>
  <si>
    <t>William</t>
  </si>
  <si>
    <t>1990 to 2008</t>
  </si>
  <si>
    <t xml:space="preserve"> Wisconsin Integrated Cropping Systems Trial</t>
  </si>
  <si>
    <t>CS3-C vs CS1-C</t>
  </si>
  <si>
    <t>CS4-C vs CS1-C</t>
  </si>
  <si>
    <t>CS4-A vs CS1-C</t>
  </si>
  <si>
    <t>CS5-C vs CS1-C</t>
  </si>
  <si>
    <t>CS5-A vs CS1-C</t>
  </si>
  <si>
    <t>CS6-P vs CS1-C</t>
  </si>
  <si>
    <t>Chisel and none</t>
  </si>
  <si>
    <t>145-5-20 kg N per ha</t>
  </si>
  <si>
    <t>146 kg N per ha</t>
  </si>
  <si>
    <t>241-23-160 kg N per ha</t>
  </si>
  <si>
    <t>240-24-160 kg N per ha</t>
  </si>
  <si>
    <t>182-17-120 kg N per ha</t>
  </si>
  <si>
    <t>176-16-117 kg N per ha</t>
  </si>
  <si>
    <t>52-5-31 kg N per ha</t>
  </si>
  <si>
    <t>n mol / kg</t>
  </si>
  <si>
    <t xml:space="preserve">nmol per kg to mgkg-1 </t>
  </si>
  <si>
    <t>CS3-C vs CS2-C</t>
  </si>
  <si>
    <t>CS4-C vs CS2-C</t>
  </si>
  <si>
    <t>CS4-A vs CS2-C</t>
  </si>
  <si>
    <t>CS5-C vs CS2-C</t>
  </si>
  <si>
    <t>CS5-A vs CS2-C</t>
  </si>
  <si>
    <t>CS6-P vs CS2-C</t>
  </si>
  <si>
    <t>136-4-19 kg N per ha</t>
  </si>
  <si>
    <t>no tillage</t>
  </si>
  <si>
    <t>nmol per kg to mgkg-1</t>
  </si>
  <si>
    <t>Water-stable aggregates (g/kg)</t>
  </si>
  <si>
    <t>Williams</t>
  </si>
  <si>
    <t>M.M.</t>
  </si>
  <si>
    <t>Agricultural Research Development Center, Ithaca</t>
  </si>
  <si>
    <t>Silty clay loam</t>
  </si>
  <si>
    <t>Barley</t>
  </si>
  <si>
    <t>Irrigated</t>
  </si>
  <si>
    <t>Rainfed</t>
  </si>
  <si>
    <t>Spray at June 6</t>
  </si>
  <si>
    <t>Spray at May 23</t>
  </si>
  <si>
    <t>Spray at May 13</t>
  </si>
  <si>
    <t>Canopy volume available</t>
  </si>
  <si>
    <t>Wyland</t>
  </si>
  <si>
    <t xml:space="preserve">L.J. </t>
  </si>
  <si>
    <t xml:space="preserve"> Agriculture,  Ecosystems and Environment </t>
  </si>
  <si>
    <t>Salinas Valley of California</t>
  </si>
  <si>
    <t>Phacelia</t>
  </si>
  <si>
    <t>5-17-1993</t>
  </si>
  <si>
    <t>6-1-1993</t>
  </si>
  <si>
    <t>6-24-1993</t>
  </si>
  <si>
    <t>7-13-1993</t>
  </si>
  <si>
    <t>7-27-1993</t>
  </si>
  <si>
    <t>No.70</t>
  </si>
  <si>
    <t>NO3-N (g/m2 to mg/kg)</t>
  </si>
  <si>
    <t>1m2=657kg</t>
  </si>
  <si>
    <t>Jul</t>
  </si>
  <si>
    <t>MBN available</t>
  </si>
  <si>
    <t>VMW to GMW</t>
  </si>
  <si>
    <t>Springtails(No. Per sample)</t>
  </si>
  <si>
    <t>Mites (No. per sample)</t>
  </si>
  <si>
    <t>Yoo</t>
  </si>
  <si>
    <t>K.H.</t>
  </si>
  <si>
    <t>Soil and Tillage Research</t>
  </si>
  <si>
    <t>101 kg N per ha</t>
  </si>
  <si>
    <t>Belle Mina,  Alabama</t>
  </si>
  <si>
    <t>Soil N (TN, Inorganic N, NO3-N, NH4-N, Nox, NHx, Nox+NHx)</t>
  </si>
  <si>
    <t>Electric Conductivity of control (mean value)</t>
  </si>
  <si>
    <t>Electric Conductivity of treatment (mean value)</t>
  </si>
  <si>
    <t>Base Satuation of control (mean value)</t>
  </si>
  <si>
    <t>MBN_C</t>
  </si>
  <si>
    <t>MBN_T</t>
  </si>
  <si>
    <t>MBN_Comments</t>
  </si>
  <si>
    <t>Microbe Biomass Nitrogen of control (mean value)</t>
  </si>
  <si>
    <t>Microbe Biomass Nitrogen of treatment (mean value)</t>
  </si>
  <si>
    <t>Zelles</t>
  </si>
  <si>
    <t>L.</t>
  </si>
  <si>
    <t>Potatoes</t>
  </si>
  <si>
    <t>No rotation</t>
  </si>
  <si>
    <t>Winter wheat-oats-potatoes-barley-red clover</t>
  </si>
  <si>
    <t>110-105-140 N/P/K</t>
  </si>
  <si>
    <t>130-130-185 N/P/K</t>
  </si>
  <si>
    <t>150-130-215 N/P/K</t>
  </si>
  <si>
    <t>Lipid phosphate (mu g g-1)</t>
  </si>
  <si>
    <t>beta-glucosidase</t>
  </si>
  <si>
    <t>Several  enzymatic indicators</t>
  </si>
  <si>
    <t>Summer CC</t>
  </si>
  <si>
    <t>Zentner</t>
  </si>
  <si>
    <t xml:space="preserve">R.P. </t>
  </si>
  <si>
    <t>Canadian Journal Of Plant Science</t>
  </si>
  <si>
    <t>Germany</t>
  </si>
  <si>
    <t>Summer fallow</t>
  </si>
  <si>
    <t>28 kg N per ha</t>
  </si>
  <si>
    <t>389 kg N per ha</t>
  </si>
  <si>
    <t>1987-1998</t>
  </si>
  <si>
    <t>F-(W)-W vs Leg-(W)-W</t>
  </si>
  <si>
    <t>Straw</t>
  </si>
  <si>
    <t>BiomassCash_C</t>
  </si>
  <si>
    <t>BiomassCash_T</t>
  </si>
  <si>
    <t>N yield and N concentration available</t>
  </si>
  <si>
    <t>Available spring soil water (AvSpSW) = SpSW minus lower limit of available water (mm/120 cm).</t>
  </si>
  <si>
    <t>spSW(mm/120 cm)</t>
  </si>
  <si>
    <t>F-W-(W) vs Leg-W-(W)</t>
  </si>
  <si>
    <t>No.17,D=1.2, BS=1.25</t>
  </si>
  <si>
    <t>No.73</t>
  </si>
  <si>
    <t>Zhou</t>
  </si>
  <si>
    <t>X.G.</t>
  </si>
  <si>
    <t>Plant Disease Management Reports</t>
  </si>
  <si>
    <t>Texas A&amp;M University System’s Agrilife Research and Extension Center, Beaumont, TX.</t>
  </si>
  <si>
    <t>Rice</t>
  </si>
  <si>
    <t>Brassica</t>
  </si>
  <si>
    <t>Sheath blight severity (0-9)</t>
  </si>
  <si>
    <t>Unsprayed control</t>
  </si>
  <si>
    <t>MBI-600 (108 cfu/ml)</t>
  </si>
  <si>
    <t>MBI-600 (108 cfu/ml) plus Quadris (4.5 fl oz/A)</t>
  </si>
  <si>
    <t>Quadris (9 fl oz/A)</t>
  </si>
  <si>
    <t>Quadris (4.5 fl oz/A)</t>
  </si>
  <si>
    <t>Swift  Current,  Saskatchewan, Canada</t>
  </si>
  <si>
    <t>Zhu</t>
  </si>
  <si>
    <t>J.C.</t>
  </si>
  <si>
    <t>Kingdom City, MO</t>
  </si>
  <si>
    <t>Estblishment period</t>
  </si>
  <si>
    <t>Maturing crop period</t>
  </si>
  <si>
    <t>Residue or stubble period</t>
  </si>
  <si>
    <t>Annual</t>
  </si>
  <si>
    <t>Seed bed</t>
  </si>
  <si>
    <t xml:space="preserve"> 6-10-20 N-P-K</t>
  </si>
  <si>
    <t>Run off (mm)</t>
  </si>
  <si>
    <t>Microelement</t>
  </si>
  <si>
    <t>MBC/K/MBN</t>
  </si>
  <si>
    <t>&gt; 19.2 mm aggregates</t>
  </si>
  <si>
    <t>Labile C, g per ha to 100 g per ha</t>
  </si>
  <si>
    <t>soybean</t>
  </si>
  <si>
    <t>ItalianRyegrass</t>
  </si>
  <si>
    <t>WinterRye</t>
  </si>
  <si>
    <t>Summer</t>
  </si>
  <si>
    <t>Maize-tomato</t>
  </si>
  <si>
    <t>Harrowed</t>
  </si>
  <si>
    <t>Cut with disk</t>
  </si>
  <si>
    <t>CaMg</t>
  </si>
  <si>
    <t>SOIL ORDER</t>
  </si>
  <si>
    <t>SOIL</t>
  </si>
  <si>
    <t>DESCRIPTION</t>
  </si>
  <si>
    <t>SOIL FAMILY</t>
  </si>
  <si>
    <t>ALFISOLS</t>
  </si>
  <si>
    <t>Soil 1</t>
  </si>
  <si>
    <t>Fine_loamy, mixed</t>
  </si>
  <si>
    <t>Typic Cryoboralfs</t>
  </si>
  <si>
    <t>Soil 2 (Santa Series)</t>
  </si>
  <si>
    <t>Coarse-silty, mixed, frigid</t>
  </si>
  <si>
    <t>Ochreptic Fragixeralfs</t>
  </si>
  <si>
    <t>Soil 3 (Porthill Series)</t>
  </si>
  <si>
    <t>Fine, mixed, frigid Typic</t>
  </si>
  <si>
    <t>Hapioxeralfs</t>
  </si>
  <si>
    <t>ARIDISOLS</t>
  </si>
  <si>
    <t>Soil 4 (Chilcott Series)</t>
  </si>
  <si>
    <t>Fine, montmorillonitic, mesic</t>
  </si>
  <si>
    <t>Abruptic Xerollic Durargids</t>
  </si>
  <si>
    <t>Soil 5 (Colthorp Series)</t>
  </si>
  <si>
    <t>Loamy, mixed, mesic, shallow</t>
  </si>
  <si>
    <t>Xerollic Durargids</t>
  </si>
  <si>
    <t>Soil 6 (Sebree Series)</t>
  </si>
  <si>
    <t>Fine-silty, mixed, mesic</t>
  </si>
  <si>
    <t>Xerollic Nadurargids</t>
  </si>
  <si>
    <t>Soil 7 (Gooding Series)</t>
  </si>
  <si>
    <t>Xerollic Paleargids</t>
  </si>
  <si>
    <t>Soil 8 (Portneuf Series)</t>
  </si>
  <si>
    <t>Coarse-silty, mixed, mesic</t>
  </si>
  <si>
    <t>Durixerollic Calciorthids</t>
  </si>
  <si>
    <t>Soil 9 (Trevino Series</t>
  </si>
  <si>
    <t>Loamy, mixed, mesic Lithic</t>
  </si>
  <si>
    <t>Xerollic Camborthids</t>
  </si>
  <si>
    <t>Soil IO (Owhyee Series)</t>
  </si>
  <si>
    <t>Soil 11 (Minidoka Series)</t>
  </si>
  <si>
    <t>Xerollic Durorthids</t>
  </si>
  <si>
    <t>Soil 12</t>
  </si>
  <si>
    <t>Loamy, mixed, frigid</t>
  </si>
  <si>
    <t>ENTISOLS</t>
  </si>
  <si>
    <t>Soil 13 (Garbutt Series)</t>
  </si>
  <si>
    <t>Coarse-silty, mixed (calcareous), mesic</t>
  </si>
  <si>
    <t>Typic Torriorthents</t>
  </si>
  <si>
    <t>Soil 14 (Flybow Series)</t>
  </si>
  <si>
    <t>Loamy-skeletal, mixed, monacid, mesic</t>
  </si>
  <si>
    <t>Lithic Xerorthents</t>
  </si>
  <si>
    <t>Soil 15 (Pyle Series)</t>
  </si>
  <si>
    <t>Alfic Cryopsamments</t>
  </si>
  <si>
    <t>Soil 16 (Gruincy Series)</t>
  </si>
  <si>
    <t>Mixed, mesic</t>
  </si>
  <si>
    <t>Xeric Torripsamments</t>
  </si>
  <si>
    <t>Soil 17 (Shollrock Series)</t>
  </si>
  <si>
    <t>Mixed, frigid</t>
  </si>
  <si>
    <t>Typic Xeropsamments</t>
  </si>
  <si>
    <t>HISTISOLS</t>
  </si>
  <si>
    <t>Soil 18 (Pywell Series)</t>
  </si>
  <si>
    <t>Euic Typic Borosaprists</t>
  </si>
  <si>
    <t>INCEPTISOLS</t>
  </si>
  <si>
    <t>Soil 19 (Vay Series)</t>
  </si>
  <si>
    <t>Medial over loamy-skeletal, mixed</t>
  </si>
  <si>
    <t>Entic Cryandepts</t>
  </si>
  <si>
    <t>Soil 20 (Bluehill Series)</t>
  </si>
  <si>
    <t>Ashy, mesic</t>
  </si>
  <si>
    <t>Typic Vitrandepts</t>
  </si>
  <si>
    <t>Soil 21</t>
  </si>
  <si>
    <t>Medial over loamy, mixed, frigid</t>
  </si>
  <si>
    <t>Soil 22 (Moonville Series)</t>
  </si>
  <si>
    <t>Cindery, frigid</t>
  </si>
  <si>
    <t>Mollic Vitrandepts</t>
  </si>
  <si>
    <t>Soil 23 (Roseberry Series)</t>
  </si>
  <si>
    <t>Sandy, mixed</t>
  </si>
  <si>
    <t>Humic Cryaquepts</t>
  </si>
  <si>
    <t>Soil 24</t>
  </si>
  <si>
    <t>Loamy-skeletal, mixed</t>
  </si>
  <si>
    <t>Andic Cryochrepts</t>
  </si>
  <si>
    <t>Soil 25</t>
  </si>
  <si>
    <t>Dystric Cryochrepts</t>
  </si>
  <si>
    <t>Soil 26</t>
  </si>
  <si>
    <t>Fine-loamy, mixed</t>
  </si>
  <si>
    <t>Soil 27</t>
  </si>
  <si>
    <t>Coarse-loamy, mixed, frigid</t>
  </si>
  <si>
    <t>Andic Dystrochrepts</t>
  </si>
  <si>
    <t>Soil 28 (Moonville Variant)</t>
  </si>
  <si>
    <t>Andic Xerochrepts</t>
  </si>
  <si>
    <t>Soil 29 (Bonner Series)</t>
  </si>
  <si>
    <t>Coarse-loamy over sandy or sandy skeletal, mixed, frigid</t>
  </si>
  <si>
    <t>Soil 30 (Oxford Series)</t>
  </si>
  <si>
    <t>Fine, montmorillonitic, frigid</t>
  </si>
  <si>
    <t>Vertic Xerochrepts</t>
  </si>
  <si>
    <t>Soil 31 (McCall Series)</t>
  </si>
  <si>
    <t>Typic Cryumbrepts</t>
  </si>
  <si>
    <t>Soil 32</t>
  </si>
  <si>
    <t>Coarse-loamy, mixed</t>
  </si>
  <si>
    <t>Andic Cryumbrepts</t>
  </si>
  <si>
    <t>MOLLISOLS</t>
  </si>
  <si>
    <t>Soil 33 (Southwick Series)</t>
  </si>
  <si>
    <t>Argiaquic Xeric Argialbolls</t>
  </si>
  <si>
    <t>Soil 34 (Houk Series)</t>
  </si>
  <si>
    <t>Soil 35 (Nez Perce Series)</t>
  </si>
  <si>
    <t>Xeric Argialbolls</t>
  </si>
  <si>
    <t>Soil 36 (Drigge Variant)</t>
  </si>
  <si>
    <t>Argic Cryoborrolls</t>
  </si>
  <si>
    <t>Soil 37</t>
  </si>
  <si>
    <t>Argic Pachic Cryoborolls</t>
  </si>
  <si>
    <t>Soil 38 (Greys Series)</t>
  </si>
  <si>
    <t>Fine-silty, mixed</t>
  </si>
  <si>
    <t>Boralfic Cryoboroils</t>
  </si>
  <si>
    <t>Soil 39</t>
  </si>
  <si>
    <t>Very fine, mixed</t>
  </si>
  <si>
    <t>Duric Cryoborolls</t>
  </si>
  <si>
    <t>Soil 40 (Pavohroo Series)</t>
  </si>
  <si>
    <t>Pacfic Cryoborolls</t>
  </si>
  <si>
    <t>Soil 41 (Tannehill Series)</t>
  </si>
  <si>
    <t>Loamy-skeletal, mixed mesic</t>
  </si>
  <si>
    <t>Calcic Argixerolis</t>
  </si>
  <si>
    <t>Soil 42 (Gem Series)</t>
  </si>
  <si>
    <t>Calcic Argixerolls</t>
  </si>
  <si>
    <t>Soil 43 (Gwin Series)</t>
  </si>
  <si>
    <t>Loamy-skeletal, mixed, mesic</t>
  </si>
  <si>
    <t>Lithic Argixerolls</t>
  </si>
  <si>
    <t>Soil 44 (Kilckson Series)</t>
  </si>
  <si>
    <t>Loamy-skeletal, mixed, frigid</t>
  </si>
  <si>
    <t>Ultic Argixerolis</t>
  </si>
  <si>
    <t>Soil 45 (Little Wood Series)</t>
  </si>
  <si>
    <t>Soil 46 (Rexburg Series)</t>
  </si>
  <si>
    <t>Calcic Haploxerolls</t>
  </si>
  <si>
    <t>Soil 47 (Westlake Series)</t>
  </si>
  <si>
    <t>Fine-silty, mixed, frigid</t>
  </si>
  <si>
    <t>Cumulic Ultic Haploxerolls</t>
  </si>
  <si>
    <t>Soil 48 (Hymas Series)</t>
  </si>
  <si>
    <t>Loamy-skeletal, carbonantic, frigid</t>
  </si>
  <si>
    <t>Lithic Haploxerolls</t>
  </si>
  <si>
    <t>Soil 49 (Ola Series)</t>
  </si>
  <si>
    <t>Pachic Haploxerolls</t>
  </si>
  <si>
    <t>Soil 50 (Palouse Series)</t>
  </si>
  <si>
    <t>Pachic Ultic Haploxerolls</t>
  </si>
  <si>
    <t>SPODOSOLS</t>
  </si>
  <si>
    <t>Soil 51</t>
  </si>
  <si>
    <t>Entic Cryorthods</t>
  </si>
  <si>
    <t>VERTISOLS</t>
  </si>
  <si>
    <t>Soil 52 (Magic Series)</t>
  </si>
  <si>
    <t>Entic Chromoxererts</t>
  </si>
  <si>
    <t>Soil 53 (Agar Series)</t>
  </si>
  <si>
    <t>Very fine, montmorillonitic, mesic</t>
  </si>
  <si>
    <t>Soil 54 (Boulder Lake Series)</t>
  </si>
  <si>
    <t>Very fine, montmorillonitic, frigid</t>
  </si>
  <si>
    <t>Chromic Pelloxererts</t>
  </si>
  <si>
    <t>Pachic Ultic Argixeroll</t>
  </si>
  <si>
    <t>SoilFamily</t>
  </si>
  <si>
    <t>Haplustoll</t>
  </si>
  <si>
    <t>Udic Argiustoll</t>
  </si>
  <si>
    <t>Aridic  Haplustolls</t>
  </si>
  <si>
    <t>Wickham</t>
  </si>
  <si>
    <t>Udipsamment</t>
  </si>
  <si>
    <t>Kanhapludults</t>
  </si>
  <si>
    <t>Kegonsa</t>
  </si>
  <si>
    <t xml:space="preserve">Hapludults and Endoaquults </t>
  </si>
  <si>
    <t>Typic Paleudults</t>
  </si>
  <si>
    <t>Chernozem</t>
  </si>
  <si>
    <t>Hagerstown</t>
  </si>
  <si>
    <t>Aquic Argiudolls</t>
  </si>
  <si>
    <t>Typic Hapludalf</t>
  </si>
  <si>
    <t>Typic Hapludults</t>
  </si>
  <si>
    <t>Mesic Lamellic Hapludalf</t>
  </si>
  <si>
    <t>Kandiudult</t>
  </si>
  <si>
    <t>Kingsbury</t>
  </si>
  <si>
    <t>Typic Hapludult</t>
  </si>
  <si>
    <t>Mesic Glossic Hapludulfs</t>
  </si>
  <si>
    <t>Mesic vertic albaqualfs</t>
  </si>
  <si>
    <t>Mesic Typic Hapludalfs</t>
  </si>
  <si>
    <t>Mollic Xerofluvents</t>
  </si>
  <si>
    <t>Mesic Typic Endoaquolls</t>
  </si>
  <si>
    <t>Mesic Typic Hapludalf</t>
  </si>
  <si>
    <t>Thermic Typic Xerorthent</t>
  </si>
  <si>
    <t>Typic Kandhapludults</t>
  </si>
  <si>
    <t>Mesic Typic Glossaquaf</t>
  </si>
  <si>
    <t>Calcic Hapludoll</t>
  </si>
  <si>
    <t>Ultic Hapludalf</t>
  </si>
  <si>
    <t>Mesic Typic Paleudalf</t>
  </si>
  <si>
    <t>Pachic Ultic Argixerolls</t>
  </si>
  <si>
    <t>Mesic Aridic Argiustols</t>
  </si>
  <si>
    <t>Aridic Argiborolls</t>
  </si>
  <si>
    <t>Mesic Typic Udipsamments</t>
  </si>
  <si>
    <t>Thermic  Rhodic  Paleudult</t>
  </si>
  <si>
    <t>Mesic Typic Argiudolls</t>
  </si>
  <si>
    <t>Typic quartzipssaments</t>
  </si>
  <si>
    <t>Plinthic Paleudults</t>
  </si>
  <si>
    <t>Mesic Pachic Ultic Argixeroll</t>
  </si>
  <si>
    <t>Typic Hapludulfs</t>
  </si>
  <si>
    <t>Aquic Hapludults</t>
  </si>
  <si>
    <t>Agriudolls</t>
  </si>
  <si>
    <t>Typic Fragiochrepts</t>
  </si>
  <si>
    <t>Aquic Paleudults</t>
  </si>
  <si>
    <t>Mesic Vertic Albaqualfs</t>
  </si>
  <si>
    <t>Typic Argiudoll</t>
  </si>
  <si>
    <t>Thermic Typic Argixeroll</t>
  </si>
  <si>
    <t>Rhodic Paleudults</t>
  </si>
  <si>
    <t>Loess</t>
  </si>
  <si>
    <t>Orthic Brown Chernozem</t>
  </si>
  <si>
    <t>League-type soil</t>
  </si>
  <si>
    <t>Typic Hapludolls</t>
  </si>
  <si>
    <t>NxO_C</t>
  </si>
  <si>
    <t>NxO_T</t>
  </si>
  <si>
    <t>CO2_C</t>
  </si>
  <si>
    <t>CO2_T</t>
  </si>
  <si>
    <t>CH4_C</t>
  </si>
  <si>
    <t>CH4_T</t>
  </si>
  <si>
    <t>ESS</t>
  </si>
  <si>
    <t>SQI</t>
  </si>
  <si>
    <t>Greenhouse gas N2O of control</t>
  </si>
  <si>
    <t>Greenhouse gas N2O of treatment</t>
  </si>
  <si>
    <t>NxO_Comments</t>
  </si>
  <si>
    <t>Greenhouse gas N2O of comments</t>
  </si>
  <si>
    <t>CO2_Comments</t>
  </si>
  <si>
    <t>Comments on soil respiration</t>
  </si>
  <si>
    <t>CH4 emission of control</t>
  </si>
  <si>
    <t>CH4 emission of treatment</t>
  </si>
  <si>
    <t>CH4_Comments</t>
  </si>
  <si>
    <t>Comments on CH4 emission</t>
  </si>
  <si>
    <t>Not-available</t>
  </si>
  <si>
    <t>Fallow-Wheat at spring-Wheat at spring</t>
  </si>
  <si>
    <t>0-to-20</t>
  </si>
  <si>
    <t>0-to-7.5</t>
  </si>
  <si>
    <t>7.5-to-15</t>
  </si>
  <si>
    <t>0-to-15</t>
  </si>
  <si>
    <t>20-to-40</t>
  </si>
  <si>
    <t>40-to-60</t>
  </si>
  <si>
    <t>60-to-80</t>
  </si>
  <si>
    <t>80-to-100</t>
  </si>
  <si>
    <t>0-to-1.5</t>
  </si>
  <si>
    <t>0-to-10</t>
  </si>
  <si>
    <t>0-to-30</t>
  </si>
  <si>
    <t>15-to-30</t>
  </si>
  <si>
    <t>0-to-18</t>
  </si>
  <si>
    <t>10-to-20</t>
  </si>
  <si>
    <t>20-to-30</t>
  </si>
  <si>
    <t>0-to-5</t>
  </si>
  <si>
    <t>0-to-45</t>
  </si>
  <si>
    <t>45-to-105</t>
  </si>
  <si>
    <t>105-to-195</t>
  </si>
  <si>
    <t>195-to-285</t>
  </si>
  <si>
    <t>0-to-120</t>
  </si>
  <si>
    <t>0-to-25</t>
  </si>
  <si>
    <t>5-to-10</t>
  </si>
  <si>
    <t>30-to-60</t>
  </si>
  <si>
    <t>60-to-90</t>
  </si>
  <si>
    <t>0-to-3</t>
  </si>
  <si>
    <t>25-to-50</t>
  </si>
  <si>
    <t>50-to-80</t>
  </si>
  <si>
    <t>80-to-125</t>
  </si>
  <si>
    <t>10-to-30</t>
  </si>
  <si>
    <t>10-to-15</t>
  </si>
  <si>
    <t>30-to-90</t>
  </si>
  <si>
    <t>0-to-150</t>
  </si>
  <si>
    <t>5-to-15</t>
  </si>
  <si>
    <t>0-to-122</t>
  </si>
  <si>
    <t>5-to-20</t>
  </si>
  <si>
    <t>90-to-120</t>
  </si>
  <si>
    <t>0-to-60</t>
  </si>
  <si>
    <t>ID</t>
  </si>
  <si>
    <t>Description</t>
  </si>
  <si>
    <t>Sign</t>
  </si>
  <si>
    <t>Angers</t>
  </si>
  <si>
    <t>D.A.</t>
  </si>
  <si>
    <t>Agron. Sustain</t>
  </si>
  <si>
    <t xml:space="preserve">La PocatiEre, Quebec </t>
  </si>
  <si>
    <t>Orthic Humic Gleysol</t>
  </si>
  <si>
    <t>Barley-Red Clover</t>
  </si>
  <si>
    <t>Water soluble  carbohydrates</t>
  </si>
  <si>
    <t>Acid-hydrolyzable carbohydratis available</t>
  </si>
  <si>
    <t>Beare</t>
  </si>
  <si>
    <t>Michael H.</t>
  </si>
  <si>
    <t>Geoderma</t>
  </si>
  <si>
    <t>Athens, GA, USA</t>
  </si>
  <si>
    <t>Cecil</t>
  </si>
  <si>
    <t xml:space="preserve">No </t>
  </si>
  <si>
    <t>Benjamin</t>
  </si>
  <si>
    <t>J.G.</t>
  </si>
  <si>
    <t>30-to-40</t>
  </si>
  <si>
    <t>0-to-40</t>
  </si>
  <si>
    <t>Mesic Aridic Paleustolls</t>
  </si>
  <si>
    <t>Macro-aggregates</t>
  </si>
  <si>
    <t>Not use</t>
  </si>
  <si>
    <t>Winter CC (planed in the fall)</t>
  </si>
  <si>
    <t>Penetration resistance</t>
  </si>
  <si>
    <t>0.5-0.25 mm agg</t>
  </si>
  <si>
    <t>Brill</t>
  </si>
  <si>
    <t>G.D.</t>
  </si>
  <si>
    <t>New jersey agriculture experiment station</t>
  </si>
  <si>
    <t>Yield/weed/biomass/erosion</t>
  </si>
  <si>
    <t>pounds/acre</t>
  </si>
  <si>
    <t>1 acre = 0.4047 ha</t>
  </si>
  <si>
    <t>1pound=0.4536kg</t>
  </si>
  <si>
    <t>Chu</t>
  </si>
  <si>
    <t>Bei</t>
  </si>
  <si>
    <t>Communications in Soil Science and Plant Analysis</t>
  </si>
  <si>
    <t>Timothy</t>
  </si>
  <si>
    <t>W-C-RC as treatment</t>
  </si>
  <si>
    <t>Enzyme activity-Phenol oxidase</t>
  </si>
  <si>
    <t>Jewett</t>
  </si>
  <si>
    <t xml:space="preserve">M.R. </t>
  </si>
  <si>
    <t>Journal of Sustainable Agriculture</t>
  </si>
  <si>
    <t>East Lansing, MI</t>
  </si>
  <si>
    <t>Arlington, WI</t>
  </si>
  <si>
    <t>ALL</t>
  </si>
  <si>
    <t>Average</t>
  </si>
  <si>
    <t>Yield is measured but not reported, use average represent</t>
  </si>
  <si>
    <t>Lupwayi</t>
  </si>
  <si>
    <t>N.Z.</t>
  </si>
  <si>
    <t>SBB</t>
  </si>
  <si>
    <t>Fort Vermilion</t>
  </si>
  <si>
    <t>Shannon index</t>
  </si>
  <si>
    <t>Substrate richness</t>
  </si>
  <si>
    <t>Substrate eveness</t>
  </si>
  <si>
    <t>Many other microbial activity index available</t>
  </si>
  <si>
    <t>Robb</t>
  </si>
  <si>
    <t>David</t>
  </si>
  <si>
    <t>Clemson University Student Organic Farm</t>
  </si>
  <si>
    <t>Plant available N</t>
  </si>
  <si>
    <t>Yield per unit of effort</t>
  </si>
  <si>
    <t>Squash</t>
  </si>
  <si>
    <t>TN(kg per ha)</t>
  </si>
  <si>
    <t>58 kg per ha</t>
  </si>
  <si>
    <t xml:space="preserve"> Urbana, IL</t>
  </si>
  <si>
    <t>Smectitic, mesic, Aquic Argiudolls</t>
  </si>
  <si>
    <t>Corn-Soybean</t>
  </si>
  <si>
    <t>Corn-Rye-Soybean-Rye</t>
  </si>
  <si>
    <t>Corn-Rye-Soybean-Vetch</t>
  </si>
  <si>
    <t>Corn-Rye-Soybean-Vetch-Rye</t>
  </si>
  <si>
    <t>Affect on soil texture available</t>
  </si>
  <si>
    <t>NO3-N, NH4-N == Nmin?</t>
  </si>
  <si>
    <t>plant availabel watre</t>
  </si>
  <si>
    <t>water retained at low tension</t>
  </si>
  <si>
    <t>Texture_C</t>
  </si>
  <si>
    <t>Runoff_C</t>
  </si>
  <si>
    <t>Leaching_Comments</t>
  </si>
  <si>
    <t>Runoff_Comments</t>
  </si>
  <si>
    <t>Leaching_C</t>
  </si>
  <si>
    <t>Leaching_T</t>
  </si>
  <si>
    <t>GrainCropGroup</t>
  </si>
  <si>
    <t>CoverCropGroup</t>
  </si>
  <si>
    <t>FR/OA/FM/SS</t>
  </si>
  <si>
    <t>CA/CR/BA/RG</t>
  </si>
  <si>
    <t>FR/OA/CA/CR</t>
  </si>
  <si>
    <t>SH/SB/FR/OA</t>
  </si>
  <si>
    <t>RC/HV/CA/CR</t>
  </si>
  <si>
    <t>SH/SB/CA/CR</t>
  </si>
  <si>
    <t>RC/HV/FR/OA</t>
  </si>
  <si>
    <t>Rye/Rye</t>
  </si>
  <si>
    <t>White_clover</t>
  </si>
  <si>
    <t>White_mustard</t>
  </si>
  <si>
    <t>Trudan_8</t>
  </si>
  <si>
    <t>Rye_grain</t>
  </si>
  <si>
    <t>Crown_Vetch</t>
  </si>
  <si>
    <t>Red_clover</t>
  </si>
  <si>
    <t>Rye/Desiccated</t>
  </si>
  <si>
    <t>Oat/clover</t>
  </si>
  <si>
    <t>Rye/Vetch</t>
  </si>
  <si>
    <t>Rye/Clover</t>
  </si>
  <si>
    <t>Continus_wheat</t>
  </si>
  <si>
    <t>Crimson_clover</t>
  </si>
  <si>
    <t>Tartary_Buckwheat</t>
  </si>
  <si>
    <t>Rye_roots</t>
  </si>
  <si>
    <t>Rye_shoots</t>
  </si>
  <si>
    <t>Vetch_roots</t>
  </si>
  <si>
    <t>Vetch_shoots</t>
  </si>
  <si>
    <t>Winter_wheat</t>
  </si>
  <si>
    <t>Rye/Live_crop</t>
  </si>
  <si>
    <t>Rye/Residue_removed</t>
  </si>
  <si>
    <t>Sunn_hemp</t>
  </si>
  <si>
    <t>red_clover</t>
  </si>
  <si>
    <t>Subterranean_clover</t>
  </si>
  <si>
    <t>Common_Vetch</t>
  </si>
  <si>
    <t>Red_colver</t>
  </si>
  <si>
    <t>Kura_clover</t>
  </si>
  <si>
    <t>Spring_wheat</t>
  </si>
  <si>
    <t>Austrian_winter_pea</t>
  </si>
  <si>
    <t>Field_pea</t>
  </si>
  <si>
    <t>Semileafless_pea</t>
  </si>
  <si>
    <t>Forage_pea</t>
  </si>
  <si>
    <t>Common_chickweed</t>
  </si>
  <si>
    <t>Canada_bluegrass</t>
  </si>
  <si>
    <t>Downy_brome</t>
  </si>
  <si>
    <t>Hairy_vetch</t>
  </si>
  <si>
    <t>Rye_forage</t>
  </si>
  <si>
    <t>Wheat_early_forage</t>
  </si>
  <si>
    <t>Wheat_late_forage</t>
  </si>
  <si>
    <t>Wheat_early_grain</t>
  </si>
  <si>
    <t>Wheat_late_grain</t>
  </si>
  <si>
    <t>Sunn_hemp/Crimson_clover</t>
  </si>
  <si>
    <t>HV83/Rye17</t>
  </si>
  <si>
    <t>HV67/Rye33</t>
  </si>
  <si>
    <t>HV50/Rye50</t>
  </si>
  <si>
    <t>HV33/Rye67</t>
  </si>
  <si>
    <t>HV17/Rye83</t>
  </si>
  <si>
    <t>Oat/Canola/Vetch</t>
  </si>
  <si>
    <t>Oat/canola</t>
  </si>
  <si>
    <t>Canola/Vetch</t>
  </si>
  <si>
    <t>Oat/Vetch</t>
  </si>
  <si>
    <t>Rye_Spring_seeded_spring</t>
  </si>
  <si>
    <t>Rye_Fall_seeded_winter</t>
  </si>
  <si>
    <t>Rye_Fall_seeded_spring</t>
  </si>
  <si>
    <t>Rye_Winter</t>
  </si>
  <si>
    <t>Lentil_Winter</t>
  </si>
  <si>
    <t>Triticale_Winter</t>
  </si>
  <si>
    <t>Barley_Spring_seeded</t>
  </si>
  <si>
    <t>Oat_Spring_seeded</t>
  </si>
  <si>
    <t>Pea_Spring</t>
  </si>
  <si>
    <t>Lentil_Spring</t>
  </si>
  <si>
    <t>Barley_Fall_seeded</t>
  </si>
  <si>
    <t>Oat_Fall_seeded</t>
  </si>
  <si>
    <t>Triticale_Spring</t>
  </si>
  <si>
    <t>Alfalfa/bromegrass</t>
  </si>
  <si>
    <t>Vetch/Rye</t>
  </si>
  <si>
    <t>Triticale/Austrian_winter_pea</t>
  </si>
  <si>
    <t>Barley/Vetch</t>
  </si>
  <si>
    <t>Forage_radish</t>
  </si>
  <si>
    <t>Triticale/Winter_pea</t>
  </si>
  <si>
    <t>Rye/Vetch/Rye</t>
  </si>
  <si>
    <t>CerealRye/CrimsonClover</t>
  </si>
  <si>
    <t>Grass</t>
  </si>
  <si>
    <t>LG</t>
  </si>
  <si>
    <t>LL</t>
  </si>
  <si>
    <t>Weeds</t>
  </si>
  <si>
    <t>LB</t>
  </si>
  <si>
    <t>Broadleaf</t>
  </si>
  <si>
    <t>Corn/soybean/wheat</t>
  </si>
  <si>
    <t>Tomato/Safflower/Corn/Bean</t>
  </si>
  <si>
    <t>Corn/soybean</t>
  </si>
  <si>
    <t>Winter_wheat/Sorghum</t>
  </si>
  <si>
    <t>Pea/Bean/Tomatto/SweetCorn</t>
  </si>
  <si>
    <t>Conventional_Dairy_Corn</t>
  </si>
  <si>
    <t>Organic_Dairy_Corn</t>
  </si>
  <si>
    <t>Corn/Soybean</t>
  </si>
  <si>
    <t>Dry_bean</t>
  </si>
  <si>
    <t>Soybean_Coker</t>
  </si>
  <si>
    <t>Soybean_Bragg</t>
  </si>
  <si>
    <t>Soybean_Ransom</t>
  </si>
  <si>
    <t>Summer_wheat</t>
  </si>
  <si>
    <t>Acorn_Squash</t>
  </si>
  <si>
    <t>Not_available</t>
  </si>
  <si>
    <t>Continuous_Wheat</t>
  </si>
  <si>
    <t>Sweetcorn/broccoli</t>
  </si>
  <si>
    <t>NSF-Living Field Lab, Hickory Corners, MI chosed, Mixed of nine</t>
  </si>
  <si>
    <t>Mixed of four OF sites and two commertial sites</t>
  </si>
  <si>
    <t>Mixed of four OF sites</t>
  </si>
  <si>
    <t>Mixed pasture</t>
  </si>
  <si>
    <t>NotAvailable</t>
  </si>
  <si>
    <t>Corn/Wheat/Broccoli</t>
  </si>
  <si>
    <t>Bean/Beet/Corn/Bean</t>
  </si>
  <si>
    <t>CS</t>
  </si>
  <si>
    <t>CW</t>
  </si>
  <si>
    <t>MTT</t>
  </si>
  <si>
    <t>Winter_wheat/Crop</t>
  </si>
  <si>
    <t>Wheat-Crop-Fallow</t>
  </si>
  <si>
    <t>CV</t>
  </si>
  <si>
    <t>Snap_bean/Sweetcorn</t>
  </si>
  <si>
    <t>Crop-Rotations</t>
  </si>
  <si>
    <t>WO</t>
  </si>
  <si>
    <t>CO</t>
  </si>
  <si>
    <t>CSW</t>
  </si>
  <si>
    <t>small grains–corn–soybean</t>
  </si>
  <si>
    <t>CWO</t>
  </si>
  <si>
    <t>CSO</t>
  </si>
  <si>
    <t>CVO</t>
  </si>
  <si>
    <t>Legume-wheat rotation</t>
  </si>
  <si>
    <t>WV</t>
  </si>
  <si>
    <t>Corn-wheat-millet</t>
  </si>
  <si>
    <t>TopGroup</t>
  </si>
  <si>
    <t>MiddleGroup</t>
  </si>
  <si>
    <t>Comments</t>
  </si>
  <si>
    <t>Single cover crop</t>
  </si>
  <si>
    <t>Trudan</t>
  </si>
  <si>
    <t>Italian_Rye_grass</t>
  </si>
  <si>
    <t>Rye_grass</t>
  </si>
  <si>
    <t>Mixed of legume and brassica</t>
  </si>
  <si>
    <t>Mixed of legume and grass</t>
  </si>
  <si>
    <t>Mixed of legume and legume</t>
  </si>
  <si>
    <t>MMT</t>
  </si>
  <si>
    <t>Mixed of more than three</t>
  </si>
  <si>
    <t>GrainrCrop</t>
  </si>
  <si>
    <t>Monoculture</t>
  </si>
  <si>
    <t>Maize</t>
  </si>
  <si>
    <t>Rotation of two</t>
  </si>
  <si>
    <t>Corn-wheat</t>
  </si>
  <si>
    <t>Wheat_soybean</t>
  </si>
  <si>
    <t>Rotation of other two</t>
  </si>
  <si>
    <t>Corn-soybean-wheat</t>
  </si>
  <si>
    <t>Rotation of three or more</t>
  </si>
  <si>
    <t>Rotation of other three</t>
  </si>
  <si>
    <t>Rotation of more than three</t>
  </si>
  <si>
    <t>Number of earthwarm</t>
  </si>
  <si>
    <t>PFLA, Average of four, microaggregate treatment</t>
  </si>
  <si>
    <t>PFLA, Average of four, Silt and clay treatment</t>
  </si>
  <si>
    <t>Microbial functional diversity evaluated by Shannon's diversity index (H)</t>
  </si>
  <si>
    <t>Microbial functional diversity evaluated by Substrate richness (S)</t>
  </si>
  <si>
    <t>Microbial functional diversity evaluated by Substrate evenness (E)</t>
  </si>
  <si>
    <t>Carbon minierazation of control (mean value), also inlcude active C</t>
  </si>
  <si>
    <t>Carbon minierazation of treatment (mean value), also inlcude active C</t>
  </si>
  <si>
    <t>Nitrogen minierazation of control (mean value), also inlcudeplant available N</t>
  </si>
  <si>
    <t>Nitrogen minierazation of treatment (mean value), also inlcudeplant available N</t>
  </si>
  <si>
    <t>Stems + leaves, Units: kg per ha</t>
  </si>
  <si>
    <t>Organic carbon of control (mean value), SOC if without comments</t>
  </si>
  <si>
    <t>Organic carbon of treatment (mean value), SOC if without comments</t>
  </si>
  <si>
    <t>SOC, Units in Mg per Ha available</t>
  </si>
  <si>
    <t>OM</t>
  </si>
  <si>
    <t>SOM, g per kg = 0.1%</t>
  </si>
  <si>
    <t>TC, g per kg = 0.1%</t>
  </si>
  <si>
    <t>OM, Number of year is 8</t>
  </si>
  <si>
    <t>Nitrate-N</t>
  </si>
  <si>
    <t>Nitrate-N, kg/ha to mg/kg</t>
  </si>
  <si>
    <t>Nitrate-N, kg per ha = 0.11 mg per kg</t>
  </si>
  <si>
    <t>Total Nitragen (g/kg to mg/kg)</t>
  </si>
  <si>
    <t>Total nitrogen, kg/ha</t>
  </si>
  <si>
    <t>Inorganic-N</t>
  </si>
  <si>
    <t>Aggregate of Field moist treatment</t>
  </si>
  <si>
    <t>infiltration defined as Rate (%) of rainfull</t>
  </si>
  <si>
    <t>Wind erosion defined as &lt; 0.84 mm aggregates</t>
  </si>
  <si>
    <t>N Concentration in drainage</t>
  </si>
  <si>
    <t>NO3 loss in drainage (mg per L)</t>
  </si>
  <si>
    <t>NO3-N loss in drainage</t>
  </si>
  <si>
    <t>se = sd / sqrt(N)</t>
  </si>
  <si>
    <t>sd = se * sqrt(N)</t>
  </si>
  <si>
    <t>Equation</t>
  </si>
  <si>
    <t>N = replication if without explaination</t>
  </si>
  <si>
    <t>Weeds dry biomass, Post</t>
  </si>
  <si>
    <t>Pests_C</t>
  </si>
  <si>
    <t>Pests_T</t>
  </si>
  <si>
    <t>Pests_Comments</t>
  </si>
  <si>
    <t>Fungal_C</t>
  </si>
  <si>
    <t>Fungal_T</t>
  </si>
  <si>
    <t>Fungal_Comments</t>
  </si>
  <si>
    <t>Pest , natural enemies as pests control</t>
  </si>
  <si>
    <t>Palnt available N defined as cotton lint N uptake (kg per ha)</t>
  </si>
  <si>
    <t>See CoverCropGroup for more information</t>
  </si>
  <si>
    <t>See GrainCropGroup for more information</t>
  </si>
  <si>
    <t>Enzyme activity (b-glucosidase, b-glucosaminidase, and Phosphodiesterase)</t>
  </si>
  <si>
    <t>PLFA was used as a measure of microbial biomass.</t>
  </si>
  <si>
    <t>Microbial activity defined as Alkaline phosphatase activity</t>
  </si>
  <si>
    <t>Fungi</t>
  </si>
  <si>
    <t>Mycorrhiza</t>
  </si>
  <si>
    <t>Fungi to bacterial ratio</t>
  </si>
  <si>
    <t>Root disease potential defined as root health index (range from 1-9)</t>
  </si>
  <si>
    <t>SoilFauna_C</t>
  </si>
  <si>
    <t>SoilFauna_T</t>
  </si>
  <si>
    <t>SoilFauna_Comments</t>
  </si>
  <si>
    <t>OtherMicrobial_C</t>
  </si>
  <si>
    <t>OtherMicrobial_T</t>
  </si>
  <si>
    <t>OtherMicrobial_Comments</t>
  </si>
  <si>
    <t>SamplingDepth</t>
  </si>
  <si>
    <t>20</t>
  </si>
  <si>
    <t>7.5</t>
  </si>
  <si>
    <t>15</t>
  </si>
  <si>
    <t>1.5</t>
  </si>
  <si>
    <t>10</t>
  </si>
  <si>
    <t>30</t>
  </si>
  <si>
    <t>18</t>
  </si>
  <si>
    <t>5</t>
  </si>
  <si>
    <t>45</t>
  </si>
  <si>
    <t>60</t>
  </si>
  <si>
    <t>90</t>
  </si>
  <si>
    <t>120</t>
  </si>
  <si>
    <t>25</t>
  </si>
  <si>
    <t>3</t>
  </si>
  <si>
    <t>150</t>
  </si>
  <si>
    <t>122</t>
  </si>
  <si>
    <t>Enzyme_C</t>
  </si>
  <si>
    <t>Enzyme_T</t>
  </si>
  <si>
    <t>Enzyme_Comments</t>
  </si>
  <si>
    <t>7</t>
  </si>
  <si>
    <t>Cummulative water infiltration (cm) Figure 7 panel A</t>
  </si>
  <si>
    <t>Cummulative water infiltration (cm) Figure 7 panel B</t>
  </si>
  <si>
    <t>4.75-2 mm</t>
  </si>
  <si>
    <t>1991 to 2008</t>
  </si>
  <si>
    <t>1992 to 2008</t>
  </si>
  <si>
    <t>1993 to 2008</t>
  </si>
  <si>
    <t>nmol per kg to mgkg-2</t>
  </si>
  <si>
    <t>nmol per kg to mgkg-3</t>
  </si>
  <si>
    <t>nmol per kg to mgkg-4</t>
  </si>
  <si>
    <t>Drinkwater</t>
  </si>
  <si>
    <t>Nature</t>
  </si>
  <si>
    <t>Pennsylvania?</t>
  </si>
  <si>
    <t>NPP</t>
  </si>
  <si>
    <t>Kg N per ha of 15 years</t>
  </si>
  <si>
    <t>Soil &amp; Tillage Research</t>
  </si>
  <si>
    <t>Nyakatawa</t>
  </si>
  <si>
    <t>Alabama Agricultural  Experiment Station, Belle Mina, AL</t>
  </si>
  <si>
    <t>Dicatur silt loam (clayey, kaolinitic, thermic, Typic Paleudults)</t>
  </si>
  <si>
    <t>rye (Secale cereale L.)</t>
  </si>
  <si>
    <t>67,2 kg P/ha; 67,2 kg K/ha</t>
  </si>
  <si>
    <t>E. Z.</t>
  </si>
  <si>
    <t>NH4 panel 1997</t>
  </si>
  <si>
    <t>Duration</t>
  </si>
  <si>
    <t>How many years the whole experiment last for, e.g., experiement started at 1990 and end at 2000, duration is 11 years</t>
  </si>
  <si>
    <t>1/Natural enimies (average of 5)</t>
  </si>
  <si>
    <t>Yield_C_SD</t>
  </si>
  <si>
    <t>Yield_T_SD</t>
  </si>
  <si>
    <t>BiomCash_C_SD</t>
  </si>
  <si>
    <t>BiomCash_T_SD</t>
  </si>
  <si>
    <t>BD_C_SD</t>
  </si>
  <si>
    <t>BD_T_SD</t>
  </si>
  <si>
    <t>OC_C_SD</t>
  </si>
  <si>
    <t>OC_T_SD</t>
  </si>
  <si>
    <t>N_C_SD</t>
  </si>
  <si>
    <t>N_T_SD</t>
  </si>
  <si>
    <t>P_C_SD</t>
  </si>
  <si>
    <t>P_T_SD</t>
  </si>
  <si>
    <t>K_C_SD</t>
  </si>
  <si>
    <t>K_T_SD</t>
  </si>
  <si>
    <t>pH_C_SD</t>
  </si>
  <si>
    <t>pH_T_SD</t>
  </si>
  <si>
    <t>CEC_C_SD</t>
  </si>
  <si>
    <t>CEC_T_SD</t>
  </si>
  <si>
    <t>EC_C_SD</t>
  </si>
  <si>
    <t>EC_T_SD</t>
  </si>
  <si>
    <t>BS_C_SD</t>
  </si>
  <si>
    <t>BS_T_SD</t>
  </si>
  <si>
    <t>Aggre_C_SD</t>
  </si>
  <si>
    <t>Aggre_T_SD</t>
  </si>
  <si>
    <t>Porosity_C_SD</t>
  </si>
  <si>
    <t>Porosity_T_SD</t>
  </si>
  <si>
    <t>Penetration_C_SD</t>
  </si>
  <si>
    <t>Penetration_T_SD</t>
  </si>
  <si>
    <t>Infiltration_C_SD</t>
  </si>
  <si>
    <t>Infiltration_T_SD</t>
  </si>
  <si>
    <t>Ksat_C</t>
  </si>
  <si>
    <t>Ksat_T</t>
  </si>
  <si>
    <t>Ksat_C_SD</t>
  </si>
  <si>
    <t>Ksat_T_SD</t>
  </si>
  <si>
    <t>Ksat_Comments</t>
  </si>
  <si>
    <t>Erosion_C_SD</t>
  </si>
  <si>
    <t>Erosion_T_SD</t>
  </si>
  <si>
    <t>Runoff_C_SD</t>
  </si>
  <si>
    <t>Leaching_C_SD</t>
  </si>
  <si>
    <t>Leaching_T_SD</t>
  </si>
  <si>
    <t>ST_C_SD</t>
  </si>
  <si>
    <t>ST_T_SD</t>
  </si>
  <si>
    <t>SWC_C_SD</t>
  </si>
  <si>
    <t>SWC_T_SD</t>
  </si>
  <si>
    <t>AWHC_C_SD</t>
  </si>
  <si>
    <t>AWHC_T_SD</t>
  </si>
  <si>
    <t>Weed_C_SD</t>
  </si>
  <si>
    <t>Weed_T_SD</t>
  </si>
  <si>
    <t>Diseases_C_SD</t>
  </si>
  <si>
    <t>Diseases_T_SD</t>
  </si>
  <si>
    <t>Pests_C_SD</t>
  </si>
  <si>
    <t>Pests_T_SD</t>
  </si>
  <si>
    <t>SoilFauna_C_SD</t>
  </si>
  <si>
    <t>SoilFauna_T_SD</t>
  </si>
  <si>
    <t>Fungal_C_SD</t>
  </si>
  <si>
    <t>Fungal_T_SD</t>
  </si>
  <si>
    <t>OtherMicrobial_C_SD</t>
  </si>
  <si>
    <t>OtherMicrobial_T_SD</t>
  </si>
  <si>
    <t>Enzyme_C_SD</t>
  </si>
  <si>
    <t>Enzyme_T_SD</t>
  </si>
  <si>
    <t>Cmina_C_SD</t>
  </si>
  <si>
    <t>Cmina_T_SD</t>
  </si>
  <si>
    <t>Nmina_C_SD</t>
  </si>
  <si>
    <t>Nmina_T_SD</t>
  </si>
  <si>
    <t>NxO_C_SD</t>
  </si>
  <si>
    <t>NxO_T_SD</t>
  </si>
  <si>
    <t>SIR_C_SD</t>
  </si>
  <si>
    <t>SIR_T_SD</t>
  </si>
  <si>
    <t>CO2BTest_C_SD</t>
  </si>
  <si>
    <t>CO2BTest_T_SD</t>
  </si>
  <si>
    <t>CO2_C_SD</t>
  </si>
  <si>
    <t>CO2_T_SD</t>
  </si>
  <si>
    <t>CH4_C_SD</t>
  </si>
  <si>
    <t>CH4_T_SD</t>
  </si>
  <si>
    <t>MBC_C_SD</t>
  </si>
  <si>
    <t>MBC_T_SD</t>
  </si>
  <si>
    <t>MBN_C_SD</t>
  </si>
  <si>
    <t>MBN_T_SD</t>
  </si>
  <si>
    <t>fill with 9999 if reported, do not need record the actual data</t>
  </si>
  <si>
    <t>Cover crop effect on soil texture compare with control</t>
  </si>
  <si>
    <t>SD available</t>
  </si>
  <si>
    <t>6</t>
  </si>
  <si>
    <t>1989-1994, Fall, before planting of cover crop</t>
  </si>
  <si>
    <t>2003-2005</t>
  </si>
  <si>
    <t>2007-2012</t>
  </si>
  <si>
    <t>2</t>
  </si>
  <si>
    <t>1995-2009</t>
  </si>
  <si>
    <t>2012-2013</t>
  </si>
  <si>
    <t>1989-1995</t>
  </si>
  <si>
    <t>2009-2011, May</t>
  </si>
  <si>
    <t>1983-1987, March</t>
  </si>
  <si>
    <t>2010-2011, July</t>
  </si>
  <si>
    <t>2010-2011, August</t>
  </si>
  <si>
    <t>2010-2011, September</t>
  </si>
  <si>
    <t>2005-2007, August</t>
  </si>
  <si>
    <t>1978-1981</t>
  </si>
  <si>
    <t>4</t>
  </si>
  <si>
    <t>1977-1987</t>
  </si>
  <si>
    <t>11</t>
  </si>
  <si>
    <t>1985-2010</t>
  </si>
  <si>
    <t>26</t>
  </si>
  <si>
    <t>24</t>
  </si>
  <si>
    <t>2001-2003</t>
  </si>
  <si>
    <t>2011-2012</t>
  </si>
  <si>
    <t>2011-2013, Fall, two months after cover crop</t>
  </si>
  <si>
    <t>1981-1983</t>
  </si>
  <si>
    <t>2009-2010</t>
  </si>
  <si>
    <t>2009-2011, 14 Days</t>
  </si>
  <si>
    <t>2009-2011, 21 Days</t>
  </si>
  <si>
    <t>2009-2011, 28 Days</t>
  </si>
  <si>
    <t>2009-2011, 35 Days</t>
  </si>
  <si>
    <t>2009-2011, 42 Days</t>
  </si>
  <si>
    <t>2009-2011, 49 Days</t>
  </si>
  <si>
    <t>2009-2011, September</t>
  </si>
  <si>
    <t>2009-2011, August</t>
  </si>
  <si>
    <t>2009-2011, September 1ST</t>
  </si>
  <si>
    <t>2009-2011, September 21ST</t>
  </si>
  <si>
    <t>2009-2011, 26 days</t>
  </si>
  <si>
    <t>2009-2011, 28 days</t>
  </si>
  <si>
    <t>2009-2011, 30 days</t>
  </si>
  <si>
    <t>2009-2011, 31 days</t>
  </si>
  <si>
    <t>2009-2011, 33 days</t>
  </si>
  <si>
    <t>2009-2011, 35 days</t>
  </si>
  <si>
    <t>2009-2011, 37 days</t>
  </si>
  <si>
    <t>2009-2011, 39 days</t>
  </si>
  <si>
    <t>2009-2011, 41 days</t>
  </si>
  <si>
    <t>2009-2011, 43 days</t>
  </si>
  <si>
    <t>2009-2011, 45 days</t>
  </si>
  <si>
    <t>2009-2011, 46 days</t>
  </si>
  <si>
    <t>2009-2011, 34 days</t>
  </si>
  <si>
    <t>2009-2011, 36 days</t>
  </si>
  <si>
    <t>2009-2011, 48 days</t>
  </si>
  <si>
    <t>2009-2011, 51 days</t>
  </si>
  <si>
    <t>2009-2011, 29 days</t>
  </si>
  <si>
    <t>2009-2011, 32 days</t>
  </si>
  <si>
    <t>2009-2011, 38 days</t>
  </si>
  <si>
    <t>2009-2011, 40 days</t>
  </si>
  <si>
    <t>2009-2011, 42 days</t>
  </si>
  <si>
    <t>2009-2011, 44 days</t>
  </si>
  <si>
    <t>2009-2011, 49 days</t>
  </si>
  <si>
    <t>2009-2011, 50 days</t>
  </si>
  <si>
    <t>2009-2011, 47 days</t>
  </si>
  <si>
    <t>2002-2005</t>
  </si>
  <si>
    <t>2004-2007</t>
  </si>
  <si>
    <t>2004-2013, April</t>
  </si>
  <si>
    <t>1991-2005, May</t>
  </si>
  <si>
    <t>2003-2006</t>
  </si>
  <si>
    <t>1999-2005</t>
  </si>
  <si>
    <t>2010-2013, 4 wap</t>
  </si>
  <si>
    <t>2010-2013, 5 wap</t>
  </si>
  <si>
    <t>2010-2013, 6 wap</t>
  </si>
  <si>
    <t>2010-2013, 4+5+6 wap</t>
  </si>
  <si>
    <t>1986-1999</t>
  </si>
  <si>
    <t>1979-1982</t>
  </si>
  <si>
    <t>2009-2010, November</t>
  </si>
  <si>
    <t>13</t>
  </si>
  <si>
    <t>19</t>
  </si>
  <si>
    <t>32</t>
  </si>
  <si>
    <t>1990-2000</t>
  </si>
  <si>
    <t>1983-2000</t>
  </si>
  <si>
    <t>1977-2000</t>
  </si>
  <si>
    <t>1984-2000</t>
  </si>
  <si>
    <t>1982-2000</t>
  </si>
  <si>
    <t>1967-2000</t>
  </si>
  <si>
    <t>23</t>
  </si>
  <si>
    <t>17</t>
  </si>
  <si>
    <t>22</t>
  </si>
  <si>
    <t>16</t>
  </si>
  <si>
    <t>31</t>
  </si>
  <si>
    <t>12</t>
  </si>
  <si>
    <t>1993-2002</t>
  </si>
  <si>
    <t>1983-2013</t>
  </si>
  <si>
    <t>1985-1989, May</t>
  </si>
  <si>
    <t>1985-1989, June</t>
  </si>
  <si>
    <t>1985-1989, July</t>
  </si>
  <si>
    <t>1985-1989, Augest</t>
  </si>
  <si>
    <t>1985-1989, October</t>
  </si>
  <si>
    <t>1985-1989, November</t>
  </si>
  <si>
    <t>1985-1989, January</t>
  </si>
  <si>
    <t>1985-1989, February</t>
  </si>
  <si>
    <t>1985-1989, March</t>
  </si>
  <si>
    <t xml:space="preserve">1985-1989, April </t>
  </si>
  <si>
    <t>1985-1989, Suptember</t>
  </si>
  <si>
    <t>1985-1989, December</t>
  </si>
  <si>
    <t>1985-1987</t>
  </si>
  <si>
    <t>1983-1998</t>
  </si>
  <si>
    <t>1989-1998, Canopy closure</t>
  </si>
  <si>
    <t>1989-1998,Spring</t>
  </si>
  <si>
    <t>1989-1998,Canopy closure</t>
  </si>
  <si>
    <t>1989-1998,Harvest</t>
  </si>
  <si>
    <t>1989-1998</t>
  </si>
  <si>
    <t>1995-1996</t>
  </si>
  <si>
    <t>14</t>
  </si>
  <si>
    <t>1993-1998, Canopy closure</t>
  </si>
  <si>
    <t>1993-1998, Spring</t>
  </si>
  <si>
    <t>1993-1998, Harvest</t>
  </si>
  <si>
    <t>1994-1999</t>
  </si>
  <si>
    <t>2009-2010, At GLM termination</t>
  </si>
  <si>
    <t>2000-2012, July</t>
  </si>
  <si>
    <t>2014-2015</t>
  </si>
  <si>
    <t>1995-1998</t>
  </si>
  <si>
    <t>2011-2013</t>
  </si>
  <si>
    <t>1989-1991</t>
  </si>
  <si>
    <t>1999-2001</t>
  </si>
  <si>
    <t>2010-2012</t>
  </si>
  <si>
    <t>1993-1999</t>
  </si>
  <si>
    <t>1993-1999, Spring</t>
  </si>
  <si>
    <t>1993-1999, Canopy closure</t>
  </si>
  <si>
    <t>1993-1999, Harvest</t>
  </si>
  <si>
    <t>1989-1999</t>
  </si>
  <si>
    <t>1989-1999, Spring</t>
  </si>
  <si>
    <t>1989-1999, Canopy closure</t>
  </si>
  <si>
    <t>1989-1999, Harvest</t>
  </si>
  <si>
    <t>9</t>
  </si>
  <si>
    <t>1997</t>
  </si>
  <si>
    <t>1</t>
  </si>
  <si>
    <t>1993-1999, March</t>
  </si>
  <si>
    <t>1993-1999, July</t>
  </si>
  <si>
    <t>1993-1999, Auguest</t>
  </si>
  <si>
    <t>1972-1988</t>
  </si>
  <si>
    <t>8</t>
  </si>
  <si>
    <t>1986-1996</t>
  </si>
  <si>
    <t>1986-1996, Post-plant</t>
  </si>
  <si>
    <t>1986-1996, Pre-plant</t>
  </si>
  <si>
    <t>1994-2006, OCT-8</t>
  </si>
  <si>
    <t>1994-2006,OCT-8</t>
  </si>
  <si>
    <t>1994-2006,NOV-7</t>
  </si>
  <si>
    <t>1998-2002</t>
  </si>
  <si>
    <t>Winter CC, Rye plant at Oct-1</t>
  </si>
  <si>
    <t>1988-1990</t>
  </si>
  <si>
    <t>Winter CC, Vtech plant at Suptember</t>
  </si>
  <si>
    <t>Winter CC, Rye plant at Suptember</t>
  </si>
  <si>
    <t>2000-2003</t>
  </si>
  <si>
    <t>1993-2008</t>
  </si>
  <si>
    <t>2002-2003</t>
  </si>
  <si>
    <t>Winter CC, Period 1 Corn</t>
  </si>
  <si>
    <t>Winter CC, Period 2 Soybean</t>
  </si>
  <si>
    <t>1994-1996</t>
  </si>
  <si>
    <t>1992-1993</t>
  </si>
  <si>
    <t>Winter CC, Before June 21</t>
  </si>
  <si>
    <t>Winter CC, After June 21</t>
  </si>
  <si>
    <t>1984</t>
  </si>
  <si>
    <t>1953-1991</t>
  </si>
  <si>
    <t>39</t>
  </si>
  <si>
    <t>1984-1987</t>
  </si>
  <si>
    <t>1987-1990</t>
  </si>
  <si>
    <t>1990-2005</t>
  </si>
  <si>
    <t>1981-1995</t>
  </si>
  <si>
    <t>1938-1948</t>
  </si>
  <si>
    <t>1950-1998</t>
  </si>
  <si>
    <t>49</t>
  </si>
  <si>
    <t>1996-1998</t>
  </si>
  <si>
    <t>1992-1996</t>
  </si>
  <si>
    <t>2013-2015</t>
  </si>
  <si>
    <t>1998-2003</t>
  </si>
  <si>
    <t>170 kg N/ha as (prilled) NH4NO3 (33% N)</t>
  </si>
  <si>
    <t>conventional tillage</t>
  </si>
  <si>
    <t>continuous corn (Zea mays L.)</t>
  </si>
  <si>
    <t>Maury silt loam, dep, well-drained</t>
  </si>
  <si>
    <t>Kentucky Agricultural Experiment Station research farm at Lexington, Kentucky</t>
  </si>
  <si>
    <t>Utomo</t>
  </si>
  <si>
    <t>0 kg N/ha</t>
  </si>
  <si>
    <t>hairy vetch (Vicia villosa Roth.)</t>
  </si>
  <si>
    <t>appropriate' rates N, P and K fertiliser</t>
  </si>
  <si>
    <t>120-130  kg N per ha</t>
  </si>
  <si>
    <t>continuous cotton (G. hirsutum L.)</t>
  </si>
  <si>
    <t>Rye/Vtech</t>
  </si>
  <si>
    <t>Dothan sandy loam (fine-loamy, siliceous, thermic, Plinthic, Kandiudults)</t>
  </si>
  <si>
    <t>Williams, Evans and Harrison farms, Bartow, Central Georgia, USA</t>
  </si>
  <si>
    <t>60-65  kg N per ha</t>
  </si>
  <si>
    <t>Agricultural Research Station farm, Fort Valley State University, Fort Valley, Georgia</t>
  </si>
  <si>
    <t>hairy vetch (Vicia villosa Roth)</t>
  </si>
  <si>
    <t>180 kg N/ha; [tomato only: 56 kg P/ha as superphosphate, 56 kg K/ha as KCl]; [corn only: 67 kg P/ha as superphosphate, 84 kg K/ha as KCl]</t>
  </si>
  <si>
    <t>continuous tomato (Lycopersicum esculentum Mill) [3 years]; continuous silage corn (Zea mays L.) [2 years]</t>
  </si>
  <si>
    <t>Norfolk sandy loam (fine-loamy, siliceous, thermic, Typic Kandiudults)(FAO classification: Orthic Luvisols)</t>
  </si>
  <si>
    <t>90 kg N/ha; [tomato only: 56 kg P/ha as superphosphate, 56 kg K/ha as KCl]; [corn only: 67 kg P/ha as superphosphate, 84 kg K/ha as KCl]</t>
  </si>
  <si>
    <t>0 kg N/ha; [tomato only: 56 kg P/ha as superphosphate, 56 kg K/ha as KCl]; [corn only: 67 kg P/ha as superphosphate, 84 kg K/ha as KCl]</t>
  </si>
  <si>
    <t>chisel plowing</t>
  </si>
  <si>
    <t>last 2 years only: 56 kg P/ha as superphosphate, 56 kg K/ha as KCl, no N</t>
  </si>
  <si>
    <t>continuous tomato (Lycopersicum esculentum Mill)</t>
  </si>
  <si>
    <t>crimson clover (Trifolium incarnatum L.)</t>
  </si>
  <si>
    <t>Greenville fine sandy loam (fine-loamy, kaolinitc, thermic, Rhodic Kandiupults)</t>
  </si>
  <si>
    <t>Fort Valley, Georgia</t>
  </si>
  <si>
    <t>Canadian Journal of Soil Sciences</t>
  </si>
  <si>
    <t>38,8 kg P/ha as P2O5; 55,8 kg K/ha as K2O</t>
  </si>
  <si>
    <t>continuous cotton</t>
  </si>
  <si>
    <t>vetch; crimson clover</t>
  </si>
  <si>
    <t>Pacolet fine sandy loam (clayay, kaolinitic, thermic Typic Hapludult)</t>
  </si>
  <si>
    <t>Juncture of the southern Piedmont Plateau and the Gulf Coastal Plain, Alabama</t>
  </si>
  <si>
    <t>1996 Proceedings Beltwide Cotton Conferences</t>
  </si>
  <si>
    <t>Mitchell</t>
  </si>
  <si>
    <t>Sultan silt loam soil (fine-silty, mesic Aquic Xerofluvent)</t>
  </si>
  <si>
    <t>Sultan, Washington, USA</t>
  </si>
  <si>
    <t>Soil Science Society of America Journal</t>
  </si>
  <si>
    <t>Kuo</t>
  </si>
  <si>
    <t>30 kg/ha K as KCl, 18 kg/ha P as triple superphosphate in 1991 and 1992; 223 kg/ha K as KCl in 1993; no N fertiliser</t>
  </si>
  <si>
    <t>continuous shepherd's-purse (Captella bursa pastoris (L.) Medikus)</t>
  </si>
  <si>
    <t>canola (Brassica napus L.)</t>
  </si>
  <si>
    <t>ryegrass (Lolium mulitflorum Lam.)</t>
  </si>
  <si>
    <t>Austrian winter pea (Lathyrus hirsutus L.)</t>
  </si>
  <si>
    <t>no fertilisation</t>
  </si>
  <si>
    <t>spring tillage</t>
  </si>
  <si>
    <t>Annual crop</t>
  </si>
  <si>
    <t>a lowland soil, Fraser River Delta, British Columbia, Canada</t>
  </si>
  <si>
    <t>Hermawan</t>
  </si>
  <si>
    <t>fall rye (Secale cereale L.)</t>
  </si>
  <si>
    <t>barley (Hordeum vulgare L.)</t>
  </si>
  <si>
    <t>Canfield silt loam (fine-loamy, mixed mesic Aquic Fragiudalf)</t>
  </si>
  <si>
    <t>Wooster, Ohio</t>
  </si>
  <si>
    <t>Eckert</t>
  </si>
  <si>
    <t>[corn only: 224 kg N/ha as either UAN (urea-ammonium nitrate solution) at 224 kg N/ha or UAN at 196 kg N/ha and AA (anhydrous ammonia) at 28 kg N/ha]; 26 kg P/ha; 48 kg K/ha</t>
  </si>
  <si>
    <t>rotation corn (Zea Mays L.) - soybean (Glycine max L. Merr.)</t>
  </si>
  <si>
    <t>Hoytville silty clay (fine, illitic, mesic Mollic Ochraqualf)</t>
  </si>
  <si>
    <t>15-to-20</t>
  </si>
  <si>
    <t>Hoytville, Ohio</t>
  </si>
  <si>
    <t>[corn only: 224 kg N/ha as either UAN (urea-ammonium nitrate solution) at 224 kg N/ha or UAN at 196 kg N/ha and AA (anhydrous ammonia) at 28 kg N/ha]; 38 kg P/ha; 72 kg K/ha; 4500 kg dolomitic limestone/ha one-time prior to study inception</t>
  </si>
  <si>
    <t>38 kg P/ha; 72 kg K/ha; 4500 kg dolomitic limestone/ha one-time prior to study inception</t>
  </si>
  <si>
    <t>continuous soybean (Glycine max L. Merr.)</t>
  </si>
  <si>
    <t>224 kg N/ha as either UAN (urea-ammonium nitrate solution) at 224 kg N/ha or UAN at 196 kg N/ha and AA (anhydrous ammonia) at 28 kg N/ha; 38 kg P/ha; 72 kg K/ha; 4500 kg dolomitic limestone/ha one-time prior to study inception</t>
  </si>
  <si>
    <t>elevation, temperature and precipitation taken from weatherbase.com -Lexington, Kentucky; soil C values averaged over two sampling dates (18.05.1985, 30.09.1985); grain yield averaged over two harvest years (1984, 1985)</t>
  </si>
  <si>
    <t>elevation taken fromhttp://www.autospur.de/Staumeldungen/wie-hoch.html -Bartow</t>
  </si>
  <si>
    <t>elevation, temperature and precipitation taken from weatherbase.com -Fort Valley, Georgia, USA</t>
  </si>
  <si>
    <t>elevation taken from weatherbase.com -Auburn, Alabama, USA; SOC calculated from SOM with factor 1:1,9 (taken from reference); texture calculated as mean of both plots (no CC and CC); P and K rates converted from lbs/acre to kg/ha</t>
  </si>
  <si>
    <t>elevation, temperature and precipitation taken from weatherbase.com -Startup, Washington, USA - near Sultan, Washington, USA</t>
  </si>
  <si>
    <t>elevation, temperature and precipitation taken from weatherbase.com -Wooster, Ohio</t>
  </si>
  <si>
    <t>1982-1985</t>
  </si>
  <si>
    <t>1993</t>
  </si>
  <si>
    <t>38</t>
  </si>
  <si>
    <t>1987-1994</t>
  </si>
  <si>
    <t>No till June 1994</t>
  </si>
  <si>
    <t>No till August 1994</t>
  </si>
  <si>
    <t>Eggplant</t>
  </si>
  <si>
    <t>Mg c per ha</t>
  </si>
  <si>
    <t>Kg per ha</t>
  </si>
  <si>
    <t>Mean-weight diameter (mm)</t>
  </si>
  <si>
    <t>Othre Aggregation indicator available</t>
  </si>
  <si>
    <t>Potential Cmin</t>
  </si>
  <si>
    <t>Potential Nmin</t>
  </si>
  <si>
    <t>1994-2001</t>
  </si>
  <si>
    <t>1995-2003</t>
  </si>
  <si>
    <t>NoSupsample</t>
  </si>
  <si>
    <t>NoSubsample</t>
  </si>
  <si>
    <t>Corn (Zea mays L.) [2 years]</t>
  </si>
  <si>
    <t>continuous tomato (Lycopersicum esculentum Mill) [3 years]</t>
  </si>
  <si>
    <t>Only cover crop vs no cover crop data used</t>
  </si>
  <si>
    <t>Second site is same as study 92</t>
  </si>
  <si>
    <t>CCDryBiomass from Study 93</t>
  </si>
  <si>
    <t>no tillage/chisel plowing/moldboard plowing mixed</t>
  </si>
  <si>
    <t>moldboard plowing mixed</t>
  </si>
  <si>
    <t>1994-2000</t>
  </si>
  <si>
    <t>Mg c per ha, from table 6 study ID 93</t>
  </si>
  <si>
    <t>NO</t>
  </si>
  <si>
    <t>Rye/Blend</t>
  </si>
  <si>
    <t>Mixture of legume cover crops containing balansa clover, crimson clover, and hairy vetch</t>
  </si>
  <si>
    <t>U. M.</t>
  </si>
  <si>
    <t>Havre, MT, USA</t>
  </si>
  <si>
    <t>1998-2004</t>
  </si>
  <si>
    <t>Split-plot design</t>
  </si>
  <si>
    <t>Crop residue production (Mg per ha)</t>
  </si>
  <si>
    <t>Fig 1, kg/ha to mg per kg</t>
  </si>
  <si>
    <t>mg per ha</t>
  </si>
  <si>
    <t>CT</t>
  </si>
  <si>
    <t>NT</t>
  </si>
  <si>
    <t>1 kg N/ha</t>
  </si>
  <si>
    <t>171 kg N/ha as (prilled) NH4NO3 (33% N)</t>
  </si>
  <si>
    <t>1984-1985</t>
  </si>
  <si>
    <t>Abdallahi</t>
  </si>
  <si>
    <t>ferme expérimentale du Ministère de l'Agriculture, des Pêcheries et de l'Alimentation du Québec (MAPAQ), Saint-Lambert de Lévis, Québec, Canada</t>
  </si>
  <si>
    <t>humic Gleysol</t>
  </si>
  <si>
    <t>clover (Trifolium pratense L.)</t>
  </si>
  <si>
    <t>continuous wheat (Triticum aestivum L.)</t>
  </si>
  <si>
    <t>no data</t>
  </si>
  <si>
    <t>millet (Sorghum sudanensis L.)</t>
  </si>
  <si>
    <t>buckwheat (Fagapyrum esculentum L.)</t>
  </si>
  <si>
    <t>mustard (Brassica hirta Moench)</t>
  </si>
  <si>
    <t>colza (Brassica campestris L.)</t>
  </si>
  <si>
    <t>Amado</t>
  </si>
  <si>
    <t>Santa Maria, Brasil</t>
  </si>
  <si>
    <t>Paleudulf</t>
  </si>
  <si>
    <t>maize</t>
  </si>
  <si>
    <t>144 kg N</t>
  </si>
  <si>
    <t>Paleudalf, sandy clay loam</t>
  </si>
  <si>
    <t>Baumecker</t>
  </si>
  <si>
    <t>Schriftenreihe des Landesamtes für Verbraucherschutz, Landwirtschaft und Flurneuordnung</t>
  </si>
  <si>
    <t>Thyrow, Brandenburg, Germany</t>
  </si>
  <si>
    <t>Su2 / Fahlerde-Braunerde</t>
  </si>
  <si>
    <t>60 kg N/ha</t>
  </si>
  <si>
    <t>120 kg N/ha</t>
  </si>
  <si>
    <t>Bayer</t>
  </si>
  <si>
    <t>Experimental Station of the Federal University of Rio Grande do Sul, Eldorado do Sul, Rio Grande do Sul State, Brazil</t>
  </si>
  <si>
    <t>sand clay loam Acrisol</t>
  </si>
  <si>
    <t>common vetch and cowpea</t>
  </si>
  <si>
    <t>rotation Oat (Avena strigosa)+common vetch (Vicia sativa L.) cover crop / Maize (Zea mays L.)+cowpea (Vigna unguiculata) cover crop</t>
  </si>
  <si>
    <t>Constantin</t>
  </si>
  <si>
    <t>Agriculture, Ecosystems &amp; Environment</t>
  </si>
  <si>
    <t>Boigneville, Île-de-France</t>
  </si>
  <si>
    <t>Haplic luvisol on calcareous bedrock</t>
  </si>
  <si>
    <t>white mustard</t>
  </si>
  <si>
    <t>rotation winter wheat - spring barley - spring pea</t>
  </si>
  <si>
    <t>103 kg solid ammonium-nitrate</t>
  </si>
  <si>
    <t>0-to-28</t>
  </si>
  <si>
    <t>Kerlavic, Bretagne, France</t>
  </si>
  <si>
    <t>Dystric cambisol on granite bedrock</t>
  </si>
  <si>
    <t>Italian Ryegrass</t>
  </si>
  <si>
    <t>125 kg solid ammonium-nitrate</t>
  </si>
  <si>
    <t>Thibie, Champagne-Ardenne, France</t>
  </si>
  <si>
    <t xml:space="preserve">Rendzina with a loam texture lying on chalk </t>
  </si>
  <si>
    <t>radish or winter cereal</t>
  </si>
  <si>
    <t>rotation spring pea - winter wheat - sugar beet; last 4 years winter wheat - spring barley - sugar beet</t>
  </si>
  <si>
    <t>123 kg liquid urea ammonium-nitrate</t>
  </si>
  <si>
    <t>0-to-23.5</t>
  </si>
  <si>
    <t>rotation spring pea - winter wheat - sugar beet</t>
  </si>
  <si>
    <t>84 kg liquid urea ammonium-nitrate</t>
  </si>
  <si>
    <t>Curtin</t>
  </si>
  <si>
    <t>Semiarid Prairie Agricultural Research Centre, Swift Current, Saskatchewan, Canada</t>
  </si>
  <si>
    <t>Swinton loam (Orthic Brown Chernozem)</t>
  </si>
  <si>
    <t>Indianhead black lentil (Lens culinaris Medikus)</t>
  </si>
  <si>
    <t>continuous wheat (Triticum aestivum L.) * 2 each year</t>
  </si>
  <si>
    <t>17-63 kg N/ha ; 9,5 kg P/ha as monoammonium phophate</t>
  </si>
  <si>
    <t>Mazzoncini</t>
  </si>
  <si>
    <t>Interdepartmental Centre for Agro-Environmental Research (CIRAA) 'Enrico Avanci', University of Pisa, Central Italy</t>
  </si>
  <si>
    <t xml:space="preserve">Typic Xerofluvent loam soil </t>
  </si>
  <si>
    <t xml:space="preserve">continuous maize </t>
  </si>
  <si>
    <t>CT / NT (not clear which one, influence found to be not significant)</t>
  </si>
  <si>
    <t>20 kg P/ha as superphosphate; 42 kg K/ha as potassium sulphate</t>
  </si>
  <si>
    <t>rye (Secale cereale L.) (11 years); brown mustard (Brassica luncea L.) (4 years)</t>
  </si>
  <si>
    <t>continuous maize (5 years);  rotation wheat - maize (6 years); rotation wheat - maize - wheat - sunflower (4 years)</t>
  </si>
  <si>
    <t>subterranean clover (Trifolium subterraneum L.)</t>
  </si>
  <si>
    <t>Metay</t>
  </si>
  <si>
    <t>Goiania, Brasil</t>
  </si>
  <si>
    <t>Clayey Oxisol</t>
  </si>
  <si>
    <t>111 Kg N</t>
  </si>
  <si>
    <t>Nascente</t>
  </si>
  <si>
    <t>Sadat-Dastegheibi</t>
  </si>
  <si>
    <t>Dissertation</t>
  </si>
  <si>
    <t>Sandgrenzweg, Versuchsgut Rauisch-Holzhausen, Institut für Pflanzenbau und Pflanzenzüchtung, Justus-Liebig Universität Gießen, Germany</t>
  </si>
  <si>
    <t>Parabraunerde mit deutlicher Tonverlagerung und ausgeprägtem B-Horizont</t>
  </si>
  <si>
    <t>oilseed radish (Raphanus sativus oleiferus)</t>
  </si>
  <si>
    <t>0 kg N/ha; [apparently only last year: 130 kg K2O/ha; 70 kg P2O5/ha]</t>
  </si>
  <si>
    <t>20 kg N/ha; [apparently only last year: 130 kg K2O/ha; 70 kg P2O5/ha]</t>
  </si>
  <si>
    <t>40 kg N/ha; [apparently only last year: 130 kg K2O/ha; 70 kg P2O5/ha]</t>
  </si>
  <si>
    <t>60 kg N/ha; [apparently only last year: 130 kg K2O/ha; 70 kg P2O5/ha]</t>
  </si>
  <si>
    <t>0 kg N/ha; 5000 kg straw/ha; [apparently only last year: 130 kg K2O/ha; 70 kg P2O5/ha]</t>
  </si>
  <si>
    <t>20 kg N/ha; 5000 kg straw/ha; [apparently only last year: 130 kg K2O/ha; 70 kg P2O5/ha]</t>
  </si>
  <si>
    <t>40 kg N/ha; 5000 kg straw/ha; [apparently only last year: 130 kg K2O/ha; 70 kg P2O5/ha]</t>
  </si>
  <si>
    <t>60 kg N/ha; 5000 kg straw/ha; [apparently only last year: 130 kg K2O/ha; 70 kg P2O5/ha]</t>
  </si>
  <si>
    <t>Thomsen</t>
  </si>
  <si>
    <t>Soil Use and Management</t>
  </si>
  <si>
    <t>Askov Experimental Station, Denmark</t>
  </si>
  <si>
    <t>light sandy loam (Alfisol (Typic Hapludalf))</t>
  </si>
  <si>
    <t>perennial ryegrass (Lolium perenne L.)</t>
  </si>
  <si>
    <t>continuous spring barley (Hordeum vulgare L.)</t>
  </si>
  <si>
    <t>mouldboard ploughing</t>
  </si>
  <si>
    <t>14 kg P/ha as mineral fertiliser; 48 kg K/ha as mineral fertiliser</t>
  </si>
  <si>
    <t>Wilson</t>
  </si>
  <si>
    <t>Witter</t>
  </si>
  <si>
    <t>Biology and Fertility of Soils</t>
  </si>
  <si>
    <t>Ultuna, Uppsala, Sweden</t>
  </si>
  <si>
    <t>clay loam</t>
  </si>
  <si>
    <t>20 kg P/ha; 35-38 kg K/ha</t>
  </si>
  <si>
    <t>Zimmer</t>
  </si>
  <si>
    <t>Dauerfeldversuche in Brandenburg und Berlin</t>
  </si>
  <si>
    <t>Gemeinde Groß Kreutz, Brandenburg, Deutschland, Germany</t>
  </si>
  <si>
    <t>Tieflehm-Fahlerde/Bändersand-Braunerde; FAO: Albic Luvisol/ Luvic Arenosol; anlehmiger Sand (Sl, AZ 33/31)</t>
  </si>
  <si>
    <t>rotation silage maize - autumn-sown rye - autumn-sown rye</t>
  </si>
  <si>
    <t>120 - 90 - 90 kg N/ha (in rotation); 5000 kg straw;15-50 kg P/ha; 40-160 kg K/ha</t>
  </si>
  <si>
    <t>Colza</t>
  </si>
  <si>
    <t>1991-2001</t>
  </si>
  <si>
    <t>1985-2001</t>
  </si>
  <si>
    <t>Eldorado sul, Brasil</t>
  </si>
  <si>
    <t>Cruz Alta, Brasil</t>
  </si>
  <si>
    <t>1985-2004</t>
  </si>
  <si>
    <t>Velvet beans</t>
  </si>
  <si>
    <t>Tropical legume</t>
  </si>
  <si>
    <t>Common vetch or Cowpea</t>
  </si>
  <si>
    <t>Black oat-maize</t>
  </si>
  <si>
    <t>Soybean_Maize</t>
  </si>
  <si>
    <t>Black oat or vetch or radish</t>
  </si>
  <si>
    <t>130 kg N</t>
  </si>
  <si>
    <t>73 kg N</t>
  </si>
  <si>
    <t>48 kg N</t>
  </si>
  <si>
    <t>Winter turnips every 2nd year after culmination</t>
  </si>
  <si>
    <t>Rotation Potatoes - Winter rye - Silo maize - Winter rye</t>
  </si>
  <si>
    <t>C.</t>
  </si>
  <si>
    <t>Rotation Oat (Avena strigosa)+common vetch (Vicia sativa L.) cover crop / Maize (Zea mays L.)+cowpea (Vigna unguiculata) cover crop</t>
  </si>
  <si>
    <t>Oat (Avena strigosa)+Maize (Zea mays L.)</t>
  </si>
  <si>
    <t>1985-1994</t>
  </si>
  <si>
    <t>ka per ha</t>
  </si>
  <si>
    <t>0-to-2.5</t>
  </si>
  <si>
    <t>2.5-to-5</t>
  </si>
  <si>
    <t>5-to-7.5</t>
  </si>
  <si>
    <t>7.5-to-10</t>
  </si>
  <si>
    <t>kg c per m3</t>
  </si>
  <si>
    <t>1990-2006</t>
  </si>
  <si>
    <t>1987-2005</t>
  </si>
  <si>
    <t>t per ha</t>
  </si>
  <si>
    <t>rotation winter wheat - silage maize</t>
  </si>
  <si>
    <t>Winter wheat - silage maize</t>
  </si>
  <si>
    <t>BG</t>
  </si>
  <si>
    <t>Mixed of  brassica and grass</t>
  </si>
  <si>
    <t>Winter wheat - spring pea - barly</t>
  </si>
  <si>
    <t>Winter wheat - sugar beet - pea</t>
  </si>
  <si>
    <t>Winter wheat</t>
  </si>
  <si>
    <t>Spring barley</t>
  </si>
  <si>
    <t>Spring pea</t>
  </si>
  <si>
    <t>Silage maize</t>
  </si>
  <si>
    <t>Sugar beet</t>
  </si>
  <si>
    <t>t dry matter / ha to kg per ha</t>
  </si>
  <si>
    <t>Drainage</t>
  </si>
  <si>
    <t>kg per ha per yr</t>
  </si>
  <si>
    <t>1993-1995</t>
  </si>
  <si>
    <t>30 kg N/ha</t>
  </si>
  <si>
    <t>90 kg N/ha</t>
  </si>
  <si>
    <t>Total mineralized nitrogen, mg NO3 per kg soil</t>
  </si>
  <si>
    <t>Potential mineralized nitrogen, mg NO3 per kg soil</t>
  </si>
  <si>
    <t>DMP</t>
  </si>
  <si>
    <t>mu g PNP per g soil</t>
  </si>
  <si>
    <t>mg c per kg soil to %</t>
  </si>
  <si>
    <t>mg NH4 per h</t>
  </si>
  <si>
    <t>1987-1996</t>
  </si>
  <si>
    <t>g/kg to %</t>
  </si>
  <si>
    <t>g per kg to mg per kg</t>
  </si>
  <si>
    <t>mg per kg</t>
  </si>
  <si>
    <t>1995, kg per ha</t>
  </si>
  <si>
    <t>1996, kg per ha</t>
  </si>
  <si>
    <t>rotation wheat - maize (6 years); rotation wheat - maize - wheat - sunflower (4 years)</t>
  </si>
  <si>
    <t>Main crop residues, Mg per ha to kg per ha per yr</t>
  </si>
  <si>
    <t>Brachiaria (grass) and Crotalaria (leguminous plant)</t>
  </si>
  <si>
    <t>Disc till</t>
  </si>
  <si>
    <t>No till</t>
  </si>
  <si>
    <t>2001-2010</t>
  </si>
  <si>
    <t>A. S.</t>
  </si>
  <si>
    <t>Crop Science</t>
  </si>
  <si>
    <t>Cerrado Region, Brazil</t>
  </si>
  <si>
    <t xml:space="preserve">Kaolinitic, thermic Typic Haplorthox </t>
  </si>
  <si>
    <t>Guinea grass</t>
  </si>
  <si>
    <t>Weedy fallow</t>
  </si>
  <si>
    <t>Signal grass</t>
  </si>
  <si>
    <t>Palisade grass</t>
  </si>
  <si>
    <t>Wheat -summer wheat - summer barley</t>
  </si>
  <si>
    <t>Rotation winter wheat -summer wheat - summer barley</t>
  </si>
  <si>
    <t>Harrowing</t>
  </si>
  <si>
    <t>I. K.</t>
  </si>
  <si>
    <t>1981-2002</t>
  </si>
  <si>
    <t>G. F.</t>
  </si>
  <si>
    <t>Ibadan,  Nigeria</t>
  </si>
  <si>
    <t>1975-1978</t>
  </si>
  <si>
    <t>Clayey, skeletal, kaolinitic, isohyperthermic oxic paleustalf</t>
  </si>
  <si>
    <t>Grasses</t>
  </si>
  <si>
    <t>Legumes</t>
  </si>
  <si>
    <t>Ca and Mg</t>
  </si>
  <si>
    <t>Brachiaria</t>
  </si>
  <si>
    <t xml:space="preserve">Paspalum </t>
  </si>
  <si>
    <t>Cynodon</t>
  </si>
  <si>
    <t>Pueraria</t>
  </si>
  <si>
    <t>Stylosanthes</t>
  </si>
  <si>
    <t>Stizolobium</t>
  </si>
  <si>
    <t>Psophocarpus</t>
  </si>
  <si>
    <t>Centrosema</t>
  </si>
  <si>
    <t>Sprayed</t>
  </si>
  <si>
    <t>Mowed</t>
  </si>
  <si>
    <t>Maize stove</t>
  </si>
  <si>
    <t>Cowpea</t>
  </si>
  <si>
    <t>Cassava</t>
  </si>
  <si>
    <t>Table VIII</t>
  </si>
  <si>
    <t>Table VII</t>
  </si>
  <si>
    <t>Buenos Aires</t>
  </si>
  <si>
    <t>TA</t>
  </si>
  <si>
    <t>Triticosecale/Common_vetch</t>
  </si>
  <si>
    <t>Flowering of triticosecale</t>
  </si>
  <si>
    <t>Soybean-soybean</t>
  </si>
  <si>
    <t>TH</t>
  </si>
  <si>
    <t>Triticosecale</t>
  </si>
  <si>
    <t>Tillering</t>
  </si>
  <si>
    <t>Stem elongation</t>
  </si>
  <si>
    <t>Maturity</t>
  </si>
  <si>
    <t>EH</t>
  </si>
  <si>
    <t>Oat/Raygrass</t>
  </si>
  <si>
    <t>TU</t>
  </si>
  <si>
    <t>Centeno</t>
  </si>
  <si>
    <t>Early september</t>
  </si>
  <si>
    <t>No application</t>
  </si>
  <si>
    <t>P and S to soybean</t>
  </si>
  <si>
    <t>Sepetember</t>
  </si>
  <si>
    <t>Raigrass</t>
  </si>
  <si>
    <t>Corn-wheat/soybean-soybean</t>
  </si>
  <si>
    <t>End september to early november</t>
  </si>
  <si>
    <t>Cordoba</t>
  </si>
  <si>
    <t>Wheat-soybean</t>
  </si>
  <si>
    <t>Early August</t>
  </si>
  <si>
    <t>Cover crop deciccation</t>
  </si>
  <si>
    <t>Corn harvest</t>
  </si>
  <si>
    <t>Middle August</t>
  </si>
  <si>
    <t>Soybean harvest</t>
  </si>
  <si>
    <t>Oat/Common_vetch</t>
  </si>
  <si>
    <t>Wheat-corn-soybean</t>
  </si>
  <si>
    <t>Cebadilla</t>
  </si>
  <si>
    <t>Common_vetch</t>
  </si>
  <si>
    <t>EHI</t>
  </si>
  <si>
    <t>La Pampa</t>
  </si>
  <si>
    <t>Trigo</t>
  </si>
  <si>
    <t>Corn-Soybean/Wheat-soybean</t>
  </si>
  <si>
    <t>Beginning of heading</t>
  </si>
  <si>
    <t>Sepiga embuchada</t>
  </si>
  <si>
    <t xml:space="preserve">Alessandria  </t>
  </si>
  <si>
    <t xml:space="preserve">Alvarez  </t>
  </si>
  <si>
    <t xml:space="preserve">Barraco  </t>
  </si>
  <si>
    <t xml:space="preserve">Beltran  </t>
  </si>
  <si>
    <t xml:space="preserve">Brambilla  </t>
  </si>
  <si>
    <t xml:space="preserve">Cazorla  </t>
  </si>
  <si>
    <t xml:space="preserve">Giron  </t>
  </si>
  <si>
    <t xml:space="preserve">Lardone  </t>
  </si>
  <si>
    <t xml:space="preserve">Restovich  </t>
  </si>
  <si>
    <t xml:space="preserve">Rillo  </t>
  </si>
  <si>
    <t xml:space="preserve">Salvagiotti  </t>
  </si>
  <si>
    <t xml:space="preserve">Scianca  </t>
  </si>
  <si>
    <t>GG</t>
  </si>
  <si>
    <t>5,29</t>
  </si>
  <si>
    <t>3,10</t>
  </si>
  <si>
    <t>14,16,17</t>
  </si>
  <si>
    <t>18,27</t>
  </si>
  <si>
    <t>26,30,56,60</t>
  </si>
  <si>
    <t>40,41</t>
  </si>
  <si>
    <t>Typic Hapludoll</t>
  </si>
  <si>
    <t>Entic Haplustoll</t>
  </si>
  <si>
    <t>Typic Ustisament</t>
  </si>
  <si>
    <t>Thapto Argic Hapludoll</t>
  </si>
  <si>
    <t>Entic Hapludoll</t>
  </si>
  <si>
    <t>Abdollahi</t>
  </si>
  <si>
    <t>Lotfollah</t>
  </si>
  <si>
    <t>Research  Centre  Foulum,  Denmark</t>
  </si>
  <si>
    <t xml:space="preserve">Hapludalf </t>
  </si>
  <si>
    <t>Split plot</t>
  </si>
  <si>
    <t>Direct drilling</t>
  </si>
  <si>
    <t>Moldboard plowing</t>
  </si>
  <si>
    <t>Biomass of cach crop (biomass of grain crop such as stem, leave, root, but not include yield) of control</t>
  </si>
  <si>
    <t>Biomass of cach crop (biomass of grain crop such as stem, leave, root, but not include yield) of cover crop</t>
  </si>
  <si>
    <t>Fodder radish</t>
  </si>
  <si>
    <t>Visual evaluation of soil structire available</t>
  </si>
  <si>
    <t>Average of direct, harrowing, and moldboard tillage</t>
  </si>
  <si>
    <t>Always add comments, units, whether have units convert, etc.</t>
  </si>
  <si>
    <t>SOC, g/kg to %</t>
  </si>
  <si>
    <t>Do not mix up control and treatment</t>
  </si>
  <si>
    <t>Backgroud information and response data should always match</t>
  </si>
  <si>
    <t>TN, g/kg to mg/kg</t>
  </si>
  <si>
    <t>g/kg to mg/kg</t>
  </si>
  <si>
    <t>Mpa</t>
  </si>
  <si>
    <t>MPa</t>
  </si>
  <si>
    <t>Soil depth, top layer, surface layer, need see soil sampling description</t>
  </si>
  <si>
    <t>15-to-25</t>
  </si>
  <si>
    <t>cm per day, at 4 cm surface</t>
  </si>
  <si>
    <t>4-to-8</t>
  </si>
  <si>
    <t>12-to-16</t>
  </si>
  <si>
    <t>18-to-27</t>
  </si>
  <si>
    <t>Air permeability at -3 kPa, mu m2</t>
  </si>
  <si>
    <t>Air permeability at -3 kPa, mu m3</t>
  </si>
  <si>
    <t>Air permeability at -3 kPa, mu m4</t>
  </si>
  <si>
    <t>Units for OC is % or Mg per ha</t>
  </si>
  <si>
    <t>Ward</t>
  </si>
  <si>
    <t>P. R.</t>
  </si>
  <si>
    <t>Field Crops Research</t>
  </si>
  <si>
    <t>2007-2009</t>
  </si>
  <si>
    <t>Cunderdin, Australia</t>
  </si>
  <si>
    <t>Mingenew, Perth, Australia</t>
  </si>
  <si>
    <t>Saia</t>
  </si>
  <si>
    <t>Oilseed</t>
  </si>
  <si>
    <t>Oat/ Saia oat</t>
  </si>
  <si>
    <t>Saia CC/Wheat</t>
  </si>
  <si>
    <t>Oilseed/Wheat</t>
  </si>
  <si>
    <t>Annual drainage (mm)</t>
  </si>
  <si>
    <t>1.BiomassCash_Comments</t>
  </si>
  <si>
    <t>2.Yield_Comments</t>
  </si>
  <si>
    <t>3.BD_Comments</t>
  </si>
  <si>
    <t>4.OC_Comments</t>
  </si>
  <si>
    <t>5.N_Comments</t>
  </si>
  <si>
    <t>6.P_Comments</t>
  </si>
  <si>
    <t>14.Penetration_Comments</t>
  </si>
  <si>
    <t>15.Infiltration_Comments</t>
  </si>
  <si>
    <t>16.Ksat_Comments</t>
  </si>
  <si>
    <t>17.Erosion_Comments</t>
  </si>
  <si>
    <t>18.Runoff_Comments</t>
  </si>
  <si>
    <t>19.Leaching_Comments</t>
  </si>
  <si>
    <t>20.ST_Comments</t>
  </si>
  <si>
    <t>21.SWC_Comments</t>
  </si>
  <si>
    <t>22.AWHC_Comments</t>
  </si>
  <si>
    <t>23.Weed_Comments</t>
  </si>
  <si>
    <t>24.Diseases_Comments</t>
  </si>
  <si>
    <t>25.Pests_Comments</t>
  </si>
  <si>
    <t>26.SoilFauna_Comments</t>
  </si>
  <si>
    <t>27.Fungal_Comments</t>
  </si>
  <si>
    <t>28.OtherMicrobial_Comments</t>
  </si>
  <si>
    <t>29.Enzyme_Comments</t>
  </si>
  <si>
    <t>30.Cmina_Comments</t>
  </si>
  <si>
    <t>31.Nmina_Comments</t>
  </si>
  <si>
    <t>32.NxO_Comm</t>
  </si>
  <si>
    <t>33.SIR_Comments</t>
  </si>
  <si>
    <t>34.CO2BTest_Comments</t>
  </si>
  <si>
    <t>35.CO2_Comm</t>
  </si>
  <si>
    <t>36.CH4_Comm</t>
  </si>
  <si>
    <t>37.MBC_Comments</t>
  </si>
  <si>
    <t>38.MBN_Comments</t>
  </si>
  <si>
    <t>Sampling year, should be earlier than publication year</t>
  </si>
  <si>
    <t>Latitude of site</t>
  </si>
  <si>
    <t>Longitude of site</t>
  </si>
  <si>
    <t>Elevation of site</t>
  </si>
  <si>
    <t>Annual average air temperature</t>
  </si>
  <si>
    <t>Mean annual air temperature within study period (1960-2017?)</t>
  </si>
  <si>
    <t>Mean annual precipitation within study period (1960-2017?)</t>
  </si>
  <si>
    <t>Study site's climate type, can be obtain from climate koeppon</t>
  </si>
  <si>
    <t>How many years cover crop applied before samples taken , e.g., experiment initiated at 1991, sample take at 1995, then fill with 5</t>
  </si>
  <si>
    <t>Detail as possible</t>
  </si>
  <si>
    <t>℃</t>
  </si>
  <si>
    <t>A, B, C, D, E five first climate classification, 18? Second classification</t>
  </si>
  <si>
    <t>Cover crop experiment period, also record comments about sampling time and others</t>
  </si>
  <si>
    <t>Difference between bottom and top, e.g., 10-to-20, fill with 10, and so on</t>
  </si>
  <si>
    <t>Soil sampling depth from top to bottom, formated as: top-to-botton, e.g., 10-to-20, and so on</t>
  </si>
  <si>
    <t>Soil total C, this is the background soil carbon information, discriminate this column and OC_C, OC_T in the response</t>
  </si>
  <si>
    <t>Cover crop grouped by function or family, please see more details in the CoverCropGroup sheet</t>
  </si>
  <si>
    <t>Grain crop grouped by function or family, please see more details in the GrainCropGroup sheet</t>
  </si>
  <si>
    <t>Grain crop type, also called cash crop</t>
  </si>
  <si>
    <t>Cover crop type, some literature called catch crop, green manure</t>
  </si>
  <si>
    <t>Applied fertilization information for control</t>
  </si>
  <si>
    <t>Applied fertilization information for cover crop</t>
  </si>
  <si>
    <t>Whether type of tillage differ between control and cover crop, yes or no</t>
  </si>
  <si>
    <t>Whether type of rotation/crop sequence differ between control and cover crop, yes or no</t>
  </si>
  <si>
    <t>Control description, winter fallow, summer fallow, no cover crop</t>
  </si>
  <si>
    <t>Number of replication or subsamples</t>
  </si>
  <si>
    <t>CRD,RCBD, split-design etc.</t>
  </si>
  <si>
    <t>Carbon to nitrogen ratio from the dry biomass of cover crop (determine manure quality)</t>
  </si>
  <si>
    <t>Method of killing cover crop</t>
  </si>
  <si>
    <t>Other meta information need to make comments</t>
  </si>
  <si>
    <t xml:space="preserve">Comments on biomass of cach crop (note that this biomass not include yield) </t>
  </si>
  <si>
    <t xml:space="preserve">Yield of grain(cash) crop from control </t>
  </si>
  <si>
    <t>Yield of grain(cash) crop from treatment</t>
  </si>
  <si>
    <t>Comments on Yield of control</t>
  </si>
  <si>
    <t>° (degree)</t>
  </si>
  <si>
    <t>Bulk density of control</t>
  </si>
  <si>
    <t>Bulk density of treatment</t>
  </si>
  <si>
    <t>Comments on bulk density of treatment</t>
  </si>
  <si>
    <t>Units: %, if without explaination in the comments</t>
  </si>
  <si>
    <t>Nitrogen of treatment (mean value), total nitrogen if without comments</t>
  </si>
  <si>
    <t>Nitrogen of control (mean value), total nitrogen if without comments</t>
  </si>
  <si>
    <t>Comments on nitrogen of treatment</t>
  </si>
  <si>
    <t>Comments on phosphorus of treatment</t>
  </si>
  <si>
    <t>Comments on potassium of treatment</t>
  </si>
  <si>
    <t xml:space="preserve">Comments on pH of treatment </t>
  </si>
  <si>
    <t xml:space="preserve">Comments on CEC of treatment </t>
  </si>
  <si>
    <t xml:space="preserve">Comments on EC of treatment </t>
  </si>
  <si>
    <t>Comments on Base Satuatio of treatment</t>
  </si>
  <si>
    <t>Soil aggregation of treatment (mean value), there are multiple indicators of soil aggregation, always make notes</t>
  </si>
  <si>
    <t>Comments on Soil aggregation of treatment, there are multiple indicators of soil aggregation, always make notes</t>
  </si>
  <si>
    <t xml:space="preserve">Comments on Porosity, air permeability of treatment </t>
  </si>
  <si>
    <t>Comments on Penetration resistance of treatment, root</t>
  </si>
  <si>
    <t>Infiltration rate of treatment, water</t>
  </si>
  <si>
    <t>Comments on Field satuted hydrolic conductivity of treatment</t>
  </si>
  <si>
    <t>Runoff_T</t>
  </si>
  <si>
    <t>Runoff, drainage of control</t>
  </si>
  <si>
    <t>Runoff, drainage of treatment (mean value)</t>
  </si>
  <si>
    <t>Comments on runoff, drainage</t>
  </si>
  <si>
    <t>Comments on Soil temperature of treatment</t>
  </si>
  <si>
    <t>Soil water content of treatment (mean value), Field capacity, Permanent wilting point of cover crop treatment</t>
  </si>
  <si>
    <t>Soil water content of control (mean value), Field capacity, Permanent wilting point of control</t>
  </si>
  <si>
    <t>Comments on Soil water content of treatment</t>
  </si>
  <si>
    <t>Comments on Available water hold capacity of treatment</t>
  </si>
  <si>
    <t>Comments on Weed of treatment</t>
  </si>
  <si>
    <t>Diseases of grain(cash) crop from control</t>
  </si>
  <si>
    <t>Diseases of grain(cash) crop from cover crop treatment</t>
  </si>
  <si>
    <t>Comments on Diseases</t>
  </si>
  <si>
    <t>Comments on pests</t>
  </si>
  <si>
    <t>Pests of grain(cash) crop from control</t>
  </si>
  <si>
    <t>Pests of grain(cash) crop from cover crop treatment</t>
  </si>
  <si>
    <t>Earthwarm, authpods, nematode (soil should benefit from their exists) of soil from cover crop</t>
  </si>
  <si>
    <t>Comments on soil fauna</t>
  </si>
  <si>
    <t>bacterial, fungual, microrrizal of soil from control</t>
  </si>
  <si>
    <t>bacterial, fungual, microrrizal of soil from cover crop</t>
  </si>
  <si>
    <t>Comments on soil fungual</t>
  </si>
  <si>
    <t>PLFA, Microbial fatty acid methyl esters (FAMEs), other Microbial functional diversity evaluated by Shannon's diversity index etc of soil from control</t>
  </si>
  <si>
    <t>PLFA, Microbial fatty acid methyl esters (FAMEs), other Microbial functional diversity evaluated by Shannon's diversity index etc of soil from cover crop</t>
  </si>
  <si>
    <t>Comments of other microbial indicator</t>
  </si>
  <si>
    <t>Enzyme activity such as Phenol oxidase, beta-glucosidase, b-glucosaminidase, and Phosphodiesterase of soil from control</t>
  </si>
  <si>
    <t>Enzyme activity such as Phenol oxidase, beta-glucosidase, b-glucosaminidase, and Phosphodiesterase of soil from cover crop</t>
  </si>
  <si>
    <t>Comments on enzyme indicator</t>
  </si>
  <si>
    <t>Comments on Carbon minierazation of treatment</t>
  </si>
  <si>
    <t>Comments on Nitrogen minierazation of treatment</t>
  </si>
  <si>
    <t xml:space="preserve">Substract induced respiration of treatment </t>
  </si>
  <si>
    <t>Comments on CO2 burst test respiration respiration of treatment</t>
  </si>
  <si>
    <t>Soil respiration (some literature called CO2 efflux, CO2 flux) of control</t>
  </si>
  <si>
    <t>Soil respiration (some literature called CO2 efflux, CO2 flux) of treatment</t>
  </si>
  <si>
    <t>Comments on Microbe Biomass Carbon of treatment</t>
  </si>
  <si>
    <t>Comments on Microbe Biomass Nitrogen of treatment</t>
  </si>
  <si>
    <t>Whether reported microelement (Mn, Zn, Cu etc.)</t>
  </si>
  <si>
    <t>Soil quality indicator, soil health indicator</t>
  </si>
  <si>
    <t xml:space="preserve">Ecosystem services indicator </t>
  </si>
  <si>
    <t>Units varied,unit is kg/hm2 if without explaination in the comments</t>
  </si>
  <si>
    <t>Units: kg/hm2 if without explaination in the comments</t>
  </si>
  <si>
    <t>Always make comments</t>
  </si>
  <si>
    <t>Always g/cm3</t>
  </si>
  <si>
    <t>Make comments if necessary</t>
  </si>
  <si>
    <t>No unit</t>
  </si>
  <si>
    <t>Unites varied</t>
  </si>
  <si>
    <t>Units: mg kg-1 soil if without explaination in the comments</t>
  </si>
  <si>
    <t>Units: cmolc kg-1 if without explaination in the comments</t>
  </si>
  <si>
    <t>Units: dS m–1 if without explaination in the comments</t>
  </si>
  <si>
    <t>Units varied: g/kg if without explaination in the comments</t>
  </si>
  <si>
    <t>% if without explaination in the comments</t>
  </si>
  <si>
    <t>Units:Mpa if without explaination in the comments</t>
  </si>
  <si>
    <t>Units: mm/h if without explaination in the comments</t>
  </si>
  <si>
    <t>Units: cm/h if without explaination in the comments</t>
  </si>
  <si>
    <t>kg/ha if without explaination in the comments</t>
  </si>
  <si>
    <t>Units: Mg per ha if without explaination in the comments</t>
  </si>
  <si>
    <t>Unites: kg per kg (gravimetric water content) if without explaination in the comments</t>
  </si>
  <si>
    <t>Units: g/g if without explaination in the comments</t>
  </si>
  <si>
    <t>Units varied: kg per ha if without explaination in the comments</t>
  </si>
  <si>
    <t>Units: mu_g per g soil if without explaination in the comments</t>
  </si>
  <si>
    <t>Unit varied</t>
  </si>
  <si>
    <t>Units: mg/kg if without explaination in the comments</t>
  </si>
  <si>
    <t>mg NO3-N / kg soil if without explaination in the comments</t>
  </si>
  <si>
    <t>mu g g-1 if without explaination in the comments</t>
  </si>
  <si>
    <t>Units:  mg CO2 kg−1 soil d−1 if without explaination in the comments</t>
  </si>
  <si>
    <t>kg per ha if without explaination in the comments</t>
  </si>
  <si>
    <t>FAO soil classification</t>
  </si>
  <si>
    <t xml:space="preserve">J. P. M. </t>
  </si>
  <si>
    <t>Whish</t>
  </si>
  <si>
    <t>2004-2006</t>
  </si>
  <si>
    <t>Queensland, New South Wales, Australia</t>
  </si>
  <si>
    <t>Crop and Pasture Science</t>
  </si>
  <si>
    <t>Spray out 1</t>
  </si>
  <si>
    <t>Spray out 2</t>
  </si>
  <si>
    <t>Spray out 3</t>
  </si>
  <si>
    <t>Average from 5 points from figure 3 (mm)</t>
  </si>
  <si>
    <t>Abunyewa</t>
  </si>
  <si>
    <t>A. A.</t>
  </si>
  <si>
    <t>Land Degredation and Development</t>
  </si>
  <si>
    <t>Nyankpala,  near  Tamale,  northern  Ghana</t>
  </si>
  <si>
    <t>1997-2000</t>
  </si>
  <si>
    <t>SET #1</t>
  </si>
  <si>
    <t>Organic soils</t>
  </si>
  <si>
    <t>HISTOSOLS</t>
  </si>
  <si>
    <t>SET #2</t>
  </si>
  <si>
    <t>ANTHROSOLS</t>
  </si>
  <si>
    <t>SET #3</t>
  </si>
  <si>
    <t>Andosols</t>
  </si>
  <si>
    <t>ARENOSOLS</t>
  </si>
  <si>
    <t>SET #4</t>
  </si>
  <si>
    <t>FLUVISOLS</t>
  </si>
  <si>
    <t>GLEYSOLS</t>
  </si>
  <si>
    <t>LEPTOSOLS</t>
  </si>
  <si>
    <t>REGOSOLS</t>
  </si>
  <si>
    <t>SET #5</t>
  </si>
  <si>
    <t>CAMBISOLS</t>
  </si>
  <si>
    <t>SET #6</t>
  </si>
  <si>
    <t>PLINTHOSOLS</t>
  </si>
  <si>
    <t>FERRALSOLS</t>
  </si>
  <si>
    <t>NITISOLS</t>
  </si>
  <si>
    <t>ACRISOLS</t>
  </si>
  <si>
    <t>ALISOLS</t>
  </si>
  <si>
    <t>LIXISOLS</t>
  </si>
  <si>
    <t>SET #7</t>
  </si>
  <si>
    <t>SOLONCHAKS</t>
  </si>
  <si>
    <t>SOLONETZ</t>
  </si>
  <si>
    <t>GYPSISOLS</t>
  </si>
  <si>
    <t>DURISOLS</t>
  </si>
  <si>
    <t>CALCISOLS</t>
  </si>
  <si>
    <t>SET #8</t>
  </si>
  <si>
    <t>KASTANOZEMS</t>
  </si>
  <si>
    <t>CHERNOZEMS</t>
  </si>
  <si>
    <t>PHAEOZEMS</t>
  </si>
  <si>
    <t>SET #9</t>
  </si>
  <si>
    <t>PODZOLS</t>
  </si>
  <si>
    <t>PLANOSOLS</t>
  </si>
  <si>
    <t>ALBELUVISOLS</t>
  </si>
  <si>
    <t>LUVISOLS</t>
  </si>
  <si>
    <t>UMBRISOLS</t>
  </si>
  <si>
    <t>SET #10</t>
  </si>
  <si>
    <t>http://www.fao.org/docrep/003/y1899e/y1899e02.htm</t>
  </si>
  <si>
    <t>Trail 1</t>
  </si>
  <si>
    <t>Trail 2</t>
  </si>
  <si>
    <t>Tingoli, Haplic Lixisol (FAO/UNESCO)</t>
  </si>
  <si>
    <t>Kumayili, Haplic Luvisol (FAO/UNESCO)</t>
  </si>
  <si>
    <t>Pigeon pea</t>
  </si>
  <si>
    <t>T4 vs T1</t>
  </si>
  <si>
    <t>T4 vs T2</t>
  </si>
  <si>
    <t>T4 vs T3</t>
  </si>
  <si>
    <t>% to mg/kg</t>
  </si>
  <si>
    <t>Cmol per kg</t>
  </si>
  <si>
    <t>Livestock manure</t>
  </si>
  <si>
    <t>Pigeon pea no pruning</t>
  </si>
  <si>
    <t>Pigeon pea pruned at 30 cm</t>
  </si>
  <si>
    <t>Pigeon pea pruned at 60 cm</t>
  </si>
  <si>
    <t>Pigeon pea pruned at 90 cm</t>
  </si>
  <si>
    <t>Organic carbon units correction, from 55g/kg to 5.5g/kg, see study 116</t>
  </si>
  <si>
    <t>g/kg to mg/kg, unit correction based on study 116</t>
  </si>
  <si>
    <t>Akinnifesi</t>
  </si>
  <si>
    <t>F. K.</t>
  </si>
  <si>
    <t>1991-2002</t>
  </si>
  <si>
    <t>Factorial design</t>
  </si>
  <si>
    <t>Southern Malawi</t>
  </si>
  <si>
    <t>Oxic Hapleustalf</t>
  </si>
  <si>
    <t>Sandy clay</t>
  </si>
  <si>
    <t>Experimental Agriculture</t>
  </si>
  <si>
    <t>Gliricidia</t>
  </si>
  <si>
    <t>23 kg N per ha</t>
  </si>
  <si>
    <t>46 kg N per ha</t>
  </si>
  <si>
    <t>Ca + Mg + K</t>
  </si>
  <si>
    <t>0 kg N 0 kg P per ha</t>
  </si>
  <si>
    <t>0 kg N 20 kg P per ha</t>
  </si>
  <si>
    <t>0 kg N 40 kg P per ha</t>
  </si>
  <si>
    <t>24 kg N 0 kg P per ha</t>
  </si>
  <si>
    <t>48 kg N 0 kg P per ha</t>
  </si>
  <si>
    <t>24 kg N 20 kg P per ha</t>
  </si>
  <si>
    <t>24 kg N 40 kg P per ha</t>
  </si>
  <si>
    <t>48 kg N 20 kg P per ha</t>
  </si>
  <si>
    <t>48 kg N 40 kg P per ha</t>
  </si>
  <si>
    <t xml:space="preserve">Akinnifesi </t>
  </si>
  <si>
    <t>Festus Kehinde</t>
  </si>
  <si>
    <t>Plant Soil</t>
  </si>
  <si>
    <t>0 kg N 50 kg N per ha</t>
  </si>
  <si>
    <t>0 kg N 100 kg N per ha</t>
  </si>
  <si>
    <t>50 kg N 0 kg P per ha</t>
  </si>
  <si>
    <t>50 kg N 50 kg N per ha</t>
  </si>
  <si>
    <t>50 kg N 100 kg N per ha</t>
  </si>
  <si>
    <t>100 kg N 0 kg P per ha</t>
  </si>
  <si>
    <t>100 kg N 50 kg N per ha</t>
  </si>
  <si>
    <t>100 kg N 100 kg N per ha</t>
  </si>
  <si>
    <t>Mg+Ca+K</t>
  </si>
  <si>
    <t>Olsen P</t>
  </si>
  <si>
    <t>Stove</t>
  </si>
  <si>
    <t>1991-2006</t>
  </si>
  <si>
    <t>P uptake availabe</t>
  </si>
  <si>
    <t>1991-1993</t>
  </si>
  <si>
    <t>Bohringer</t>
  </si>
  <si>
    <t>A.</t>
  </si>
  <si>
    <t>Houeto, Southern BeÂnin</t>
  </si>
  <si>
    <t>Attotinga, Southern BeÂnin</t>
  </si>
  <si>
    <t>Ferrali-Haplic Acrisols</t>
  </si>
  <si>
    <t>Ferric  Lixisol</t>
  </si>
  <si>
    <t>Pigeonpea</t>
  </si>
  <si>
    <t>g/m2 to Mg/ha</t>
  </si>
  <si>
    <t>R.J.</t>
  </si>
  <si>
    <t>Carsky</t>
  </si>
  <si>
    <t>Nutrient Cycling in Agroecosystems</t>
  </si>
  <si>
    <t>Central Kaduna</t>
  </si>
  <si>
    <t>Bauchi</t>
  </si>
  <si>
    <t>Natural grass</t>
  </si>
  <si>
    <t>Mucuna</t>
  </si>
  <si>
    <t>Lablab</t>
  </si>
  <si>
    <t>Crotalaria</t>
  </si>
  <si>
    <t>91 DAP</t>
  </si>
  <si>
    <t>112 DAP</t>
  </si>
  <si>
    <t>70 DAP</t>
  </si>
  <si>
    <t>g per pot</t>
  </si>
  <si>
    <t>30 kg N per ha</t>
  </si>
  <si>
    <t>60 kg N per ha</t>
  </si>
  <si>
    <t>Table 6, kg per ha</t>
  </si>
  <si>
    <t>Chintu</t>
  </si>
  <si>
    <t>R.</t>
  </si>
  <si>
    <t>Msekera Research Station, Chipata, in eastern Zambia</t>
  </si>
  <si>
    <t>Ferric Luvisol (FAO)</t>
  </si>
  <si>
    <t>mg N per kg</t>
  </si>
  <si>
    <t>May cut trees, mg N per kg</t>
  </si>
  <si>
    <t>Nov cut trees, mg N per kg</t>
  </si>
  <si>
    <t>Potted</t>
  </si>
  <si>
    <t>Bare root</t>
  </si>
  <si>
    <t>Direct</t>
  </si>
  <si>
    <t>Cutting</t>
  </si>
  <si>
    <t>Gliricidia-Broadleaf</t>
  </si>
  <si>
    <t>T. S.</t>
  </si>
  <si>
    <t>Chirwa</t>
  </si>
  <si>
    <t>Agroforestry Systems</t>
  </si>
  <si>
    <t>Kagoro, Zambia</t>
  </si>
  <si>
    <t>1997-2002</t>
  </si>
  <si>
    <t>Chromi-haplic Acrisols  (FAO/UNESCO) OR kanhaplic  Haplustalfs (Soil Taxonomy)</t>
  </si>
  <si>
    <t>Sesbania</t>
  </si>
  <si>
    <t>Leucaena</t>
  </si>
  <si>
    <t>Leucaena/Sesbania</t>
  </si>
  <si>
    <t>Gliricidia/Sesbania</t>
  </si>
  <si>
    <t>Acacia</t>
  </si>
  <si>
    <t>Acacia/Sesbania</t>
  </si>
  <si>
    <t>Preseason</t>
  </si>
  <si>
    <t>Wet season</t>
  </si>
  <si>
    <t>No fertilizer</t>
  </si>
  <si>
    <t>Green manure</t>
  </si>
  <si>
    <t>Natural fallow</t>
  </si>
  <si>
    <t>Mg ha to Kg per ha</t>
  </si>
  <si>
    <t>Cajanus</t>
  </si>
  <si>
    <t>Total inorganic N</t>
  </si>
  <si>
    <t xml:space="preserve">P. J. M.  </t>
  </si>
  <si>
    <t>Cooper</t>
  </si>
  <si>
    <t>Senna spectabilis hedg</t>
  </si>
  <si>
    <t>100 Kg N per ha</t>
  </si>
  <si>
    <t>Gliricidia sepium hedg</t>
  </si>
  <si>
    <t>Yaounde, Cameroon</t>
  </si>
  <si>
    <t>Yurimaguas, Peru</t>
  </si>
  <si>
    <t>Citayan, Indonesia</t>
  </si>
  <si>
    <t>Los Banos, Philippines</t>
  </si>
  <si>
    <t>Ibadan, Nigeria</t>
  </si>
  <si>
    <t>Butare, Rwanda</t>
  </si>
  <si>
    <t>Ntcheu, Malawi</t>
  </si>
  <si>
    <t>Machakos, Kenya</t>
  </si>
  <si>
    <t>Flemingia congesta</t>
  </si>
  <si>
    <t xml:space="preserve">Inga edulis </t>
  </si>
  <si>
    <t xml:space="preserve">Desmanthus virgatus </t>
  </si>
  <si>
    <t>Leucaena leucocephala</t>
  </si>
  <si>
    <t>Calliandra calothyrsus/Leucaena leucocephala</t>
  </si>
  <si>
    <t>Senna siamea/Leucaena leucocephala</t>
  </si>
  <si>
    <t>Paleudult</t>
  </si>
  <si>
    <t>Hapludox</t>
  </si>
  <si>
    <t>Trapudult</t>
  </si>
  <si>
    <t>Paleustalf</t>
  </si>
  <si>
    <t>Ustropept</t>
  </si>
  <si>
    <t>Rhodustalf</t>
  </si>
  <si>
    <t>4.5</t>
  </si>
  <si>
    <t>4.6</t>
  </si>
  <si>
    <t>t per ha per year</t>
  </si>
  <si>
    <t>mm per year</t>
  </si>
  <si>
    <t>Country</t>
  </si>
  <si>
    <t>Country name</t>
  </si>
  <si>
    <t>USA</t>
  </si>
  <si>
    <t>Canada</t>
  </si>
  <si>
    <t>Columbia,  Missouri,  USA</t>
  </si>
  <si>
    <t>France</t>
  </si>
  <si>
    <t>Italy</t>
  </si>
  <si>
    <t>Sweden</t>
  </si>
  <si>
    <t>Denmark</t>
  </si>
  <si>
    <t>Nigeria</t>
  </si>
  <si>
    <t>Argentina</t>
  </si>
  <si>
    <t>Australia</t>
  </si>
  <si>
    <t>Ghana</t>
  </si>
  <si>
    <t>Malawi</t>
  </si>
  <si>
    <t>Benin</t>
  </si>
  <si>
    <t>Zambia</t>
  </si>
  <si>
    <t>Chitedze Research Station, Malawi</t>
  </si>
  <si>
    <t>Cameroon</t>
  </si>
  <si>
    <t>Peru</t>
  </si>
  <si>
    <t>Indonesia</t>
  </si>
  <si>
    <t>Philippines</t>
  </si>
  <si>
    <t>Rwanda</t>
  </si>
  <si>
    <t>Kenya</t>
  </si>
  <si>
    <t>As the textural composition of soils was not reported,  We grouped them into: ﬁne-textured (Argiudolls, Paleustolls, Peluderts) and coarse-textured (Hapludolls, Haplustolls, Ustisaments).</t>
  </si>
  <si>
    <t>2005-2009</t>
  </si>
  <si>
    <t>2005-2010</t>
  </si>
  <si>
    <t>Banda</t>
  </si>
  <si>
    <t>A. Z.</t>
  </si>
  <si>
    <t>Nkhande, 3 km west of Ntcheu, Malawi</t>
  </si>
  <si>
    <t>Cambisols (FAO/UNESCO)</t>
  </si>
  <si>
    <t>1984-1991</t>
  </si>
  <si>
    <t>Peru Leucaena  leucocephala</t>
  </si>
  <si>
    <t>Hawaiian giant Leucaena  leucocephala</t>
  </si>
  <si>
    <t>Cunningham Leucaena  leucocephala</t>
  </si>
  <si>
    <t>Drechsel</t>
  </si>
  <si>
    <t>Rubona, Rwanda</t>
  </si>
  <si>
    <t>1988-1994</t>
  </si>
  <si>
    <t>Average of 4 (kg/ha)</t>
  </si>
  <si>
    <t>Tephrosia</t>
  </si>
  <si>
    <t>Sorghum straw</t>
  </si>
  <si>
    <t>Esilaba</t>
  </si>
  <si>
    <t xml:space="preserve">A.O. </t>
  </si>
  <si>
    <t>Uganda</t>
  </si>
  <si>
    <t>Orthic Ferralsols (FAO)</t>
  </si>
  <si>
    <t>2000-2001</t>
  </si>
  <si>
    <t>Mayuge, Imanyiro sub-county of Bunya County</t>
  </si>
  <si>
    <t>Buyemba, Imanyiro sub-county of Bunya County</t>
  </si>
  <si>
    <t>Magada, Imanyiro sub-county of Bunya County</t>
  </si>
  <si>
    <t>Feb-Jul</t>
  </si>
  <si>
    <t>Aug-Dec</t>
  </si>
  <si>
    <t>Canavalia</t>
  </si>
  <si>
    <t>Fischler</t>
  </si>
  <si>
    <t>Iganga District of eastern Uganda</t>
  </si>
  <si>
    <t>Bean</t>
  </si>
  <si>
    <t>1997-1998</t>
  </si>
  <si>
    <t>Table2</t>
  </si>
  <si>
    <t>Table3</t>
  </si>
  <si>
    <t>Weed incidence score</t>
  </si>
  <si>
    <t>Kawanda Agriculture Research Institute</t>
  </si>
  <si>
    <t>Isohyperthermic  kandiudal®c  eutrodox</t>
  </si>
  <si>
    <t>Early sowing</t>
  </si>
  <si>
    <t>Late sowing</t>
  </si>
  <si>
    <t>Table 3</t>
  </si>
  <si>
    <t>Table 6</t>
  </si>
  <si>
    <t>kg per ha, Fig 1</t>
  </si>
  <si>
    <t>Table 7</t>
  </si>
  <si>
    <t>1993-1996</t>
  </si>
  <si>
    <t>Early/mulched</t>
  </si>
  <si>
    <t>Late/incorporated</t>
  </si>
  <si>
    <t>Flowing of maize</t>
  </si>
  <si>
    <t>Harvest matureity of beans</t>
  </si>
  <si>
    <t>2-to-7</t>
  </si>
  <si>
    <t>Tbale 8</t>
  </si>
  <si>
    <t>mm per min</t>
  </si>
  <si>
    <t>Fofana</t>
  </si>
  <si>
    <t xml:space="preserve">B. </t>
  </si>
  <si>
    <t>Djaka Kopé</t>
  </si>
  <si>
    <t>Togo</t>
  </si>
  <si>
    <t>Rhodic Ferralsol</t>
  </si>
  <si>
    <t>N0P0</t>
  </si>
  <si>
    <t>N0P20</t>
  </si>
  <si>
    <t>N50P0</t>
  </si>
  <si>
    <t>N100P0</t>
  </si>
  <si>
    <t>N50P20</t>
  </si>
  <si>
    <t>N100P20</t>
  </si>
  <si>
    <t>N0P40</t>
  </si>
  <si>
    <t>N50P40</t>
  </si>
  <si>
    <t>N100P40</t>
  </si>
  <si>
    <t>1999-2000</t>
  </si>
  <si>
    <t>P uptake by plant available</t>
  </si>
  <si>
    <t xml:space="preserve">A. C. </t>
  </si>
  <si>
    <t>Franke</t>
  </si>
  <si>
    <t>Kasuwan Magani village</t>
  </si>
  <si>
    <t>Cowpea/Rice_Millet_Waste</t>
  </si>
  <si>
    <t>Gacheru</t>
  </si>
  <si>
    <t xml:space="preserve">E. </t>
  </si>
  <si>
    <t>International Journal of Pest Management</t>
  </si>
  <si>
    <t>Ondele, Striga-in-fested farm</t>
  </si>
  <si>
    <t>Etole Striga-in-fested farm</t>
  </si>
  <si>
    <t>Senna didymobotrya</t>
  </si>
  <si>
    <t>Senna occidentalis</t>
  </si>
  <si>
    <t>Tithonia diversifolia</t>
  </si>
  <si>
    <t>Cajanus cajan</t>
  </si>
  <si>
    <t>Sesbania sesban</t>
  </si>
  <si>
    <t>Sesbania cinerascens</t>
  </si>
  <si>
    <t>Tephrosia vogelii</t>
  </si>
  <si>
    <t>Crotalaria grahamiana</t>
  </si>
  <si>
    <t>Desmodium distortum</t>
  </si>
  <si>
    <t>Broadleaf/Brassica</t>
  </si>
  <si>
    <t>Striga shoots emerged on maize (no. per m2)</t>
  </si>
  <si>
    <t>Inorganic N, average of 3, kg N per ha</t>
  </si>
  <si>
    <t>Senna spectabilis</t>
  </si>
  <si>
    <t>1998</t>
  </si>
  <si>
    <t>Inorganic N, average of 4, kg N per ha</t>
  </si>
  <si>
    <t>Roots</t>
  </si>
  <si>
    <t>Foliage</t>
  </si>
  <si>
    <t>Foliage/Roods</t>
  </si>
  <si>
    <t>Mwenja</t>
  </si>
  <si>
    <t>Plant and Soil</t>
  </si>
  <si>
    <t xml:space="preserve">International Institute of Tropical Agriculture (IITA) </t>
  </si>
  <si>
    <t>1986-1988</t>
  </si>
  <si>
    <t>Isohyperthermic  Typic Paleudult</t>
  </si>
  <si>
    <t>Natural bush</t>
  </si>
  <si>
    <t xml:space="preserve">Cajanus cajan </t>
  </si>
  <si>
    <t xml:space="preserve">Tephrosia candida </t>
  </si>
  <si>
    <t>TN(%)</t>
  </si>
  <si>
    <t>Stover</t>
  </si>
  <si>
    <t>Sole maize</t>
  </si>
  <si>
    <t>Cassava/maize</t>
  </si>
  <si>
    <t>Harawa</t>
  </si>
  <si>
    <t xml:space="preserve">Rebbie </t>
  </si>
  <si>
    <t>2002-2004</t>
  </si>
  <si>
    <t>Domasi valley, Malawi</t>
  </si>
  <si>
    <t>Alﬁsols and Ultisols</t>
  </si>
  <si>
    <t>Bottom slope</t>
  </si>
  <si>
    <t>Mid-slope</t>
  </si>
  <si>
    <t>Upper slope</t>
  </si>
  <si>
    <t>Inorganic N kg per ha</t>
  </si>
  <si>
    <t>F.N.</t>
  </si>
  <si>
    <t>Ikpe</t>
  </si>
  <si>
    <t>Split plot design</t>
  </si>
  <si>
    <t>Kpite, southeastern Nigeria</t>
  </si>
  <si>
    <t>TN (%)</t>
  </si>
  <si>
    <t>OC (%)</t>
  </si>
  <si>
    <t>ppm</t>
  </si>
  <si>
    <t>c mol per kg</t>
  </si>
  <si>
    <t>ECEC c mol per kg</t>
  </si>
  <si>
    <t>1993-1994</t>
  </si>
  <si>
    <t>Cassava tuber yield</t>
  </si>
  <si>
    <t>Maize yield</t>
  </si>
  <si>
    <t>Weeds biomass</t>
  </si>
  <si>
    <t>Egbe</t>
  </si>
  <si>
    <t xml:space="preserve">E. A. </t>
  </si>
  <si>
    <t>Mbalmayo, Cameroon</t>
  </si>
  <si>
    <t>Kaolinitic clay isohyperthermic Typic kandiudult</t>
  </si>
  <si>
    <t>Ibadan</t>
  </si>
  <si>
    <t>Alfisol</t>
  </si>
  <si>
    <t>P. santalinoides.</t>
  </si>
  <si>
    <t>M. thonningii(Tree)</t>
  </si>
  <si>
    <t>Ca+Mg+K</t>
  </si>
  <si>
    <t>Maize grain yield</t>
  </si>
  <si>
    <t>Jama</t>
  </si>
  <si>
    <t xml:space="preserve">Bashir </t>
  </si>
  <si>
    <t>Agron. J.</t>
  </si>
  <si>
    <t>Kaolinitic, isohyperthermic Kandiudalf</t>
  </si>
  <si>
    <t>Julius, western Kenya</t>
  </si>
  <si>
    <t>Aduol, western Kenya</t>
  </si>
  <si>
    <t>Calliandra</t>
  </si>
  <si>
    <t>0 P 0 N</t>
  </si>
  <si>
    <t>10 kg / ha P + 230 kg / ha N</t>
  </si>
  <si>
    <t>1994</t>
  </si>
  <si>
    <t>Ochinga Kenya</t>
  </si>
  <si>
    <t>Muange Kenya</t>
  </si>
  <si>
    <t>Kandiudalfic Eutrudox</t>
  </si>
  <si>
    <t xml:space="preserve">Kandic Paleustalf </t>
  </si>
  <si>
    <t>Long rainy</t>
  </si>
  <si>
    <t>Short rainy</t>
  </si>
  <si>
    <t>Jeranyama</t>
  </si>
  <si>
    <t>Peter</t>
  </si>
  <si>
    <t>Typic Kandiustalf</t>
  </si>
  <si>
    <t>Domboshava</t>
  </si>
  <si>
    <t>Zimbabwe</t>
  </si>
  <si>
    <t>120 kg N per ha</t>
  </si>
  <si>
    <t>Cowpea/Sunnhemp</t>
  </si>
  <si>
    <t>Kaho</t>
  </si>
  <si>
    <t>F.</t>
  </si>
  <si>
    <t>Tropicultura</t>
  </si>
  <si>
    <t>Ntui</t>
  </si>
  <si>
    <t>Ultisols</t>
  </si>
  <si>
    <t>1995-1999</t>
  </si>
  <si>
    <t>Minkoameyos</t>
  </si>
  <si>
    <t>Desmodium</t>
  </si>
  <si>
    <t>Kaizzi</t>
  </si>
  <si>
    <t xml:space="preserve">Crammer K. </t>
  </si>
  <si>
    <t>Kibale Technology Veriﬁcation Centre  (TVC)</t>
  </si>
  <si>
    <t>Bulegeni Agricultural Research and Development Centre (ARDC)</t>
  </si>
  <si>
    <t>Ferralsols</t>
  </si>
  <si>
    <t>No fertilizer input</t>
  </si>
  <si>
    <t>Stover biomass</t>
  </si>
  <si>
    <t>Kamanga</t>
  </si>
  <si>
    <t>B.C.G.</t>
  </si>
  <si>
    <t>Africa Crop Science Journal</t>
  </si>
  <si>
    <t>Songani watershed Malosa extension planning area</t>
  </si>
  <si>
    <t>Ultisol and Alfisols</t>
  </si>
  <si>
    <t>Maize stover</t>
  </si>
  <si>
    <t>Yield used, Maize production available</t>
  </si>
  <si>
    <t>Konig</t>
  </si>
  <si>
    <t>D.</t>
  </si>
  <si>
    <t>Southern part of the Rwandian Plateau Central</t>
  </si>
  <si>
    <t>Plot A</t>
  </si>
  <si>
    <t>Plot B</t>
  </si>
  <si>
    <t>Bare fallow</t>
  </si>
  <si>
    <t>Traditional cropped cassava</t>
  </si>
  <si>
    <t>t/ha/yr</t>
  </si>
  <si>
    <t>Kwesiga</t>
  </si>
  <si>
    <t xml:space="preserve">F. </t>
  </si>
  <si>
    <t>Forest Ecology and Management</t>
  </si>
  <si>
    <t>Msekera Chipata</t>
  </si>
  <si>
    <t>Mixed cropping of beans or soybeans, maize or sorghum, sweet potatoes and cassava</t>
  </si>
  <si>
    <t>Grevillea robusta</t>
  </si>
  <si>
    <t>BroadleafTree</t>
  </si>
  <si>
    <t>1988-1991</t>
  </si>
  <si>
    <t>Ferric luviso!s</t>
  </si>
  <si>
    <t>0 Kg pre ha</t>
  </si>
  <si>
    <t>37 Kg pre ha</t>
  </si>
  <si>
    <t>74 Kg pre ha</t>
  </si>
  <si>
    <t>112 Kg pre ha</t>
  </si>
  <si>
    <t>F. R.</t>
  </si>
  <si>
    <t>Farmer trail</t>
  </si>
  <si>
    <t>1988-1993</t>
  </si>
  <si>
    <t>Calliandra calothyrsus</t>
  </si>
  <si>
    <t>Flemingia macrophylla</t>
  </si>
  <si>
    <t>Gliricidia sepium</t>
  </si>
  <si>
    <t>Senna siamea</t>
  </si>
  <si>
    <t>Farmer trail, experiment 1</t>
  </si>
  <si>
    <t>Farmer trail, experiment 2</t>
  </si>
  <si>
    <t>Striga population (no. per 100 m2)</t>
  </si>
  <si>
    <t>LAL</t>
  </si>
  <si>
    <t xml:space="preserve">R. </t>
  </si>
  <si>
    <t>International Institute  of  Tropical  Agriculture  (IITA),  Ibadan,  Nigeria</t>
  </si>
  <si>
    <t>1982-1987</t>
  </si>
  <si>
    <t>Plow-till</t>
  </si>
  <si>
    <t>Leucaena 4 m spacing</t>
  </si>
  <si>
    <t>Leucaena 2 m spacing</t>
  </si>
  <si>
    <t>Gliricidia 4 m spacing</t>
  </si>
  <si>
    <t>Gliricidia 2 m spacing</t>
  </si>
  <si>
    <t>No3-N (kg/ha)</t>
  </si>
  <si>
    <t xml:space="preserve"> D. </t>
  </si>
  <si>
    <t>Maccoll</t>
  </si>
  <si>
    <t>Bunda, Malawi</t>
  </si>
  <si>
    <t>1981-1988</t>
  </si>
  <si>
    <t>Silverleaf</t>
  </si>
  <si>
    <t>Stylo</t>
  </si>
  <si>
    <t>Silverleaf/Rhodes grass</t>
  </si>
  <si>
    <t>Stylo/Rhodes grass</t>
  </si>
  <si>
    <t>80 kg N per ha</t>
  </si>
  <si>
    <t>Legume health score available</t>
  </si>
  <si>
    <t>Centro</t>
  </si>
  <si>
    <t>Velvet bean</t>
  </si>
  <si>
    <t>Glycine</t>
  </si>
  <si>
    <t>Greenleaf</t>
  </si>
  <si>
    <t>Siratro</t>
  </si>
  <si>
    <t>Clitoria</t>
  </si>
  <si>
    <t>Archer</t>
  </si>
  <si>
    <t>Annual stylo</t>
  </si>
  <si>
    <t>Phasey</t>
  </si>
  <si>
    <t>Napier grass</t>
  </si>
  <si>
    <t>40 kg N per ha</t>
  </si>
  <si>
    <t>Mafongoya</t>
  </si>
  <si>
    <t>P. L.</t>
  </si>
  <si>
    <t>International Centre for Research in Agroforestry  (ICRAF) located at Domboshawa</t>
  </si>
  <si>
    <t>1991-1996</t>
  </si>
  <si>
    <t>Acacia angustissima</t>
  </si>
  <si>
    <t>Year 1 Acacia 1</t>
  </si>
  <si>
    <t>Year 1 Acacia 2</t>
  </si>
  <si>
    <t>Year 1 Acacia 3</t>
  </si>
  <si>
    <t>Year 2 Acacia 2</t>
  </si>
  <si>
    <t>Year 3 Acacia 3</t>
  </si>
  <si>
    <t>Year 2 Acacia 1</t>
  </si>
  <si>
    <t>Year 2 Acacia 3</t>
  </si>
  <si>
    <t>Year 3 Acacia 1</t>
  </si>
  <si>
    <t>Year 3 Acacia 2</t>
  </si>
  <si>
    <t>Cajanus cajan (pigeonpea)</t>
  </si>
  <si>
    <t>Year 2 Acacia 4</t>
  </si>
  <si>
    <t>Year 2 Acacia 5</t>
  </si>
  <si>
    <t>Year 2 Acacia 6</t>
  </si>
  <si>
    <t>Year 2 Acacia 7</t>
  </si>
  <si>
    <t>Year 2 Acacia 8</t>
  </si>
  <si>
    <t>Year 2 Acacia 9</t>
  </si>
  <si>
    <t>Year 3 Acacia 4</t>
  </si>
  <si>
    <t>Year 3 Acacia 5</t>
  </si>
  <si>
    <t>Year 3 Acacia 6</t>
  </si>
  <si>
    <t>Year 3 Acacia 7</t>
  </si>
  <si>
    <t>Year 3 Acacia 8</t>
  </si>
  <si>
    <t>Year 3 Acacia 9</t>
  </si>
  <si>
    <t>1995-2004</t>
  </si>
  <si>
    <t>1997-1999</t>
  </si>
  <si>
    <t>Magoye soybean</t>
  </si>
  <si>
    <t>Local Promiscuous soybean</t>
  </si>
  <si>
    <t>Nyala specific soybean</t>
  </si>
  <si>
    <t>Roan specific soybean</t>
  </si>
  <si>
    <t>1998-2000</t>
  </si>
  <si>
    <t>Hurungwe Zimbabwe</t>
  </si>
  <si>
    <t>Eastern Zambia</t>
  </si>
  <si>
    <t>OCPerc</t>
  </si>
  <si>
    <t>TCPerc</t>
  </si>
  <si>
    <t>NeedCheck</t>
  </si>
  <si>
    <t>ExperimentID</t>
  </si>
  <si>
    <t>OC_Con_C</t>
  </si>
  <si>
    <t>OC_Con_T</t>
  </si>
  <si>
    <t>Organic carbon of control (mean value) in units of concentration (Mg/ha)</t>
  </si>
  <si>
    <t>Organic carbon of treatment (mean value) in units of concentration (Mg/ha)</t>
  </si>
  <si>
    <t>Maroko</t>
  </si>
  <si>
    <t>Jeremiah  B.</t>
  </si>
  <si>
    <t>Ochinga</t>
  </si>
  <si>
    <t>Muange</t>
  </si>
  <si>
    <t>Oxisol</t>
  </si>
  <si>
    <t>P in macroorganic matter (mg/kg)</t>
  </si>
  <si>
    <t>17 mo</t>
  </si>
  <si>
    <t>18 mo</t>
  </si>
  <si>
    <t>Igalaland</t>
  </si>
  <si>
    <t>1987-1999</t>
  </si>
  <si>
    <t>Morse</t>
  </si>
  <si>
    <t>S.</t>
  </si>
  <si>
    <t>LLC</t>
  </si>
  <si>
    <t xml:space="preserve">N. </t>
  </si>
  <si>
    <t>Muleba</t>
  </si>
  <si>
    <t>1983-1986</t>
  </si>
  <si>
    <t>Farako-Ba in Burkina Faso</t>
  </si>
  <si>
    <t>Journal of Agriculture Science</t>
  </si>
  <si>
    <t>Guinea</t>
  </si>
  <si>
    <t>Ustorthent</t>
  </si>
  <si>
    <t>Sorghum (SSP)</t>
  </si>
  <si>
    <t>0 N 0 P 0 K</t>
  </si>
  <si>
    <t>36.5 N 10.9 P 11.6 K</t>
  </si>
  <si>
    <t>73 N 21.8 P 23.2 K</t>
  </si>
  <si>
    <t>Sorghum (SRP)</t>
  </si>
  <si>
    <t>mu g per g</t>
  </si>
  <si>
    <t>60 N 0 P 0 K</t>
  </si>
  <si>
    <t>60 N 26 P 0 K</t>
  </si>
  <si>
    <t>120 N 0 P 0 K</t>
  </si>
  <si>
    <t>120 N 26 P 0 K</t>
  </si>
  <si>
    <t>Niang</t>
  </si>
  <si>
    <t>A. I.</t>
  </si>
  <si>
    <t xml:space="preserve"> Ebukanga  primary school farm</t>
  </si>
  <si>
    <t>Eutrudox</t>
  </si>
  <si>
    <t>Experiment 1</t>
  </si>
  <si>
    <t>Experiment 2</t>
  </si>
  <si>
    <t>Experiment 3</t>
  </si>
  <si>
    <t>Tephrosia candida</t>
  </si>
  <si>
    <t>Dodonea viscosa</t>
  </si>
  <si>
    <t>Crotalaria agatiﬂora</t>
  </si>
  <si>
    <t>Desmodium discolor</t>
  </si>
  <si>
    <t>Calopogonium mucunoides</t>
  </si>
  <si>
    <t>Centrosema pubescens</t>
  </si>
  <si>
    <t>Desmodium uncinatum</t>
  </si>
  <si>
    <t>Glycine wightii</t>
  </si>
  <si>
    <t>Macroptilium atropurpureum</t>
  </si>
  <si>
    <t>Njunie</t>
  </si>
  <si>
    <t>M. N.</t>
  </si>
  <si>
    <t>Agriculture and Forestry Journal</t>
  </si>
  <si>
    <t xml:space="preserve">Mtwapa </t>
  </si>
  <si>
    <t>Dolichos</t>
  </si>
  <si>
    <t>Maize/Cassava</t>
  </si>
  <si>
    <t>No fertilizer applied</t>
  </si>
  <si>
    <t>155-1</t>
  </si>
  <si>
    <t>155-2</t>
  </si>
  <si>
    <t>155-3</t>
  </si>
  <si>
    <t>155-4</t>
  </si>
  <si>
    <t>Long rain season</t>
  </si>
  <si>
    <t>Short rain season</t>
  </si>
  <si>
    <t>Nyadzi</t>
  </si>
  <si>
    <t>G. I.</t>
  </si>
  <si>
    <t>Tanzania</t>
  </si>
  <si>
    <t>Tabora</t>
  </si>
  <si>
    <t>Shinyanga</t>
  </si>
  <si>
    <t>Vertisols</t>
  </si>
  <si>
    <t>Haplustalfs</t>
  </si>
  <si>
    <t>No woodlot</t>
  </si>
  <si>
    <t>1996-2001</t>
  </si>
  <si>
    <t>Acacia crassicarpa</t>
  </si>
  <si>
    <t>A. Julifera</t>
  </si>
  <si>
    <t>A. Leptocarpa</t>
  </si>
  <si>
    <t>Senna Siamea</t>
  </si>
  <si>
    <t>Leucaena Pallida</t>
  </si>
  <si>
    <t>156-1</t>
  </si>
  <si>
    <t>156-2</t>
  </si>
  <si>
    <t>156-3</t>
  </si>
  <si>
    <t>156-4</t>
  </si>
  <si>
    <t>156-5</t>
  </si>
  <si>
    <t>Acacia polyacantha</t>
  </si>
  <si>
    <t>Leuceana leucocephala</t>
  </si>
  <si>
    <t>Acacia nilotica</t>
  </si>
  <si>
    <t>156-6</t>
  </si>
  <si>
    <t>Site 1</t>
  </si>
  <si>
    <t>Site 2</t>
  </si>
  <si>
    <t>Inorganic N (kg N per ha)</t>
  </si>
  <si>
    <t>Onim</t>
  </si>
  <si>
    <t xml:space="preserve">J. F. M. </t>
  </si>
  <si>
    <t>Maseno Research Station</t>
  </si>
  <si>
    <t>Beans</t>
  </si>
  <si>
    <t>MOT</t>
  </si>
  <si>
    <t>Beans/Maize</t>
  </si>
  <si>
    <t>First season</t>
  </si>
  <si>
    <t>Second season</t>
  </si>
  <si>
    <t>Haulms (table 6)</t>
  </si>
  <si>
    <t>157-1</t>
  </si>
  <si>
    <t>1 + increase% (table 2)</t>
  </si>
  <si>
    <t xml:space="preserve">Southern Malawi </t>
  </si>
  <si>
    <t>Phiri</t>
  </si>
  <si>
    <t>A. D. K.</t>
  </si>
  <si>
    <t>1995-1997</t>
  </si>
  <si>
    <t xml:space="preserve">cm/h if without explaination </t>
  </si>
  <si>
    <t>158-1</t>
  </si>
  <si>
    <t>158-2</t>
  </si>
  <si>
    <t>Valley</t>
  </si>
  <si>
    <t>Margin</t>
  </si>
  <si>
    <t>Slope</t>
  </si>
  <si>
    <t>10 days</t>
  </si>
  <si>
    <t>50 days</t>
  </si>
  <si>
    <t>85 days</t>
  </si>
  <si>
    <t>130 days</t>
  </si>
  <si>
    <t>Nitrate-N (kg N per ha)</t>
  </si>
  <si>
    <t>Continuous maize without fertilizer</t>
  </si>
  <si>
    <t xml:space="preserve"> Msekera Research Station</t>
  </si>
  <si>
    <t>160-1</t>
  </si>
  <si>
    <t>Kandiustalf</t>
  </si>
  <si>
    <t>m / day</t>
  </si>
  <si>
    <t>Grain</t>
  </si>
  <si>
    <t>Water use efficiency available</t>
  </si>
  <si>
    <t>Soil water storage (mm)</t>
  </si>
  <si>
    <t>Continuous maize</t>
  </si>
  <si>
    <t>Without P fertilizer</t>
  </si>
  <si>
    <t>133-1</t>
  </si>
  <si>
    <t>133-2</t>
  </si>
  <si>
    <t>133-3</t>
  </si>
  <si>
    <t>Rao</t>
  </si>
  <si>
    <t>M. R.</t>
  </si>
  <si>
    <t>161-1</t>
  </si>
  <si>
    <t>Without P fertilizer, No N fertilizer</t>
  </si>
  <si>
    <t>With P fertilizer</t>
  </si>
  <si>
    <t>With P fertilizer, No N fertilizer</t>
  </si>
  <si>
    <t>Without P fertilizer,with N fertilizer</t>
  </si>
  <si>
    <t>With P fertilizer, with N fertilizer</t>
  </si>
  <si>
    <t>1996 long rains season</t>
  </si>
  <si>
    <t>1996 short rains season</t>
  </si>
  <si>
    <t>1996</t>
  </si>
  <si>
    <t>161-2</t>
  </si>
  <si>
    <t>1997 long rains season</t>
  </si>
  <si>
    <t>1997 short rains season</t>
  </si>
  <si>
    <t>1998 short rains season</t>
  </si>
  <si>
    <t>1998 long rains season</t>
  </si>
  <si>
    <t>1999 long rains season</t>
  </si>
  <si>
    <t>161-3</t>
  </si>
  <si>
    <t>157-2</t>
  </si>
  <si>
    <t>157-3</t>
  </si>
  <si>
    <t>Myaka</t>
  </si>
  <si>
    <t>Fidelis M.</t>
  </si>
  <si>
    <t>Nyambi</t>
  </si>
  <si>
    <t>Ntonda</t>
  </si>
  <si>
    <t>Gairo,  Kilosa District of the Morogoro Region</t>
  </si>
  <si>
    <t>Babati,  Manyara Region</t>
  </si>
  <si>
    <t>Ferrasols (FAO)</t>
  </si>
  <si>
    <t>Ferralic cambisols (FAO)</t>
  </si>
  <si>
    <t>Cambisols (FAO)</t>
  </si>
  <si>
    <t>2001-2005</t>
  </si>
  <si>
    <t>162-1</t>
  </si>
  <si>
    <t>162-2</t>
  </si>
  <si>
    <t>162-3</t>
  </si>
  <si>
    <t>162-4</t>
  </si>
  <si>
    <t>TN (g/kg)</t>
  </si>
  <si>
    <t>TC (%)</t>
  </si>
  <si>
    <t>Sakala</t>
  </si>
  <si>
    <t>W. D.</t>
  </si>
  <si>
    <t>1996-1999</t>
  </si>
  <si>
    <t>Continous maize</t>
  </si>
  <si>
    <t>Bembeke</t>
  </si>
  <si>
    <t>Mathambi</t>
  </si>
  <si>
    <t>Mbawa</t>
  </si>
  <si>
    <t>Chitedze</t>
  </si>
  <si>
    <t>Kamwendo</t>
  </si>
  <si>
    <t>Ferallitic Latosols</t>
  </si>
  <si>
    <t>Weakly Ferallitic Latosols</t>
  </si>
  <si>
    <t>Ferruginous Latosols</t>
  </si>
  <si>
    <t>Late planted cover crop</t>
  </si>
  <si>
    <t>Early planted cover crop</t>
  </si>
  <si>
    <t>Lablab Purpureus</t>
  </si>
  <si>
    <t>163-1</t>
  </si>
  <si>
    <t>163-2</t>
  </si>
  <si>
    <t>163-3</t>
  </si>
  <si>
    <t>163-4</t>
  </si>
  <si>
    <t>163-5</t>
  </si>
  <si>
    <t>35 N 10 P 2 S</t>
  </si>
  <si>
    <t>69 N 21 P 4 S</t>
  </si>
  <si>
    <t>Average of five sites</t>
  </si>
  <si>
    <t>163-6</t>
  </si>
  <si>
    <t>Shirima</t>
  </si>
  <si>
    <t>D. S.</t>
  </si>
  <si>
    <t>International Journal of Nematology</t>
  </si>
  <si>
    <t>Tobaco</t>
  </si>
  <si>
    <t>Nematode infection (0-10; 0 means no nematodes, healthy root system; 10 means root completely galled, no healthy root)</t>
  </si>
  <si>
    <t>Tobaco-Tobaco</t>
  </si>
  <si>
    <t>Maize/Tobaco</t>
  </si>
  <si>
    <t>Tobaco dry leaf biomass</t>
  </si>
  <si>
    <t>164-1</t>
  </si>
  <si>
    <t>Sileshi</t>
  </si>
  <si>
    <t xml:space="preserve">G. </t>
  </si>
  <si>
    <t>Tumbi Agriculture Research Institude, Tabora</t>
  </si>
  <si>
    <t>Msekera Research Station, Chipata</t>
  </si>
  <si>
    <t xml:space="preserve">Sesbania and crotalaria </t>
  </si>
  <si>
    <t>Sesbania and pigeon pea</t>
  </si>
  <si>
    <t>Sesbania and tephrosia</t>
  </si>
  <si>
    <t>Tephrosia and pigeon pea</t>
  </si>
  <si>
    <t xml:space="preserve">Pigeon pea and crotalaria </t>
  </si>
  <si>
    <t>Tephrosia and crotalaria</t>
  </si>
  <si>
    <t>Continous monoculture maize</t>
  </si>
  <si>
    <t>Surface litter</t>
  </si>
  <si>
    <t>Inorganic C</t>
  </si>
  <si>
    <t>c molc per kg</t>
  </si>
  <si>
    <t>Ca + Mg</t>
  </si>
  <si>
    <t>Number of Diaecoderus (snout beetles) adults per plant</t>
  </si>
  <si>
    <t>Termite damaged plants available</t>
  </si>
  <si>
    <t>165-1</t>
  </si>
  <si>
    <t>165-2</t>
  </si>
  <si>
    <t>1992-2004</t>
  </si>
  <si>
    <t>Agriculture, Ecosystem and Environment</t>
  </si>
  <si>
    <t>166-1</t>
  </si>
  <si>
    <t>Unferlilized maize</t>
  </si>
  <si>
    <t>166-2</t>
  </si>
  <si>
    <t>mm / min</t>
  </si>
  <si>
    <t>Accumulated infiltration (mm/min to cm/h)</t>
  </si>
  <si>
    <t>Total fauna</t>
  </si>
  <si>
    <t>166-3</t>
  </si>
  <si>
    <t>Diversifolia + Sesbania</t>
  </si>
  <si>
    <t>Pure Gliricidia</t>
  </si>
  <si>
    <t>Gliricidia + Sesbania</t>
  </si>
  <si>
    <t>Acacia + Sesbania</t>
  </si>
  <si>
    <t>Pure L. diversifolia</t>
  </si>
  <si>
    <t>Pure Sesbania</t>
  </si>
  <si>
    <t>Pure Acacia</t>
  </si>
  <si>
    <t>G.</t>
  </si>
  <si>
    <t>167-1</t>
  </si>
  <si>
    <t>167-2</t>
  </si>
  <si>
    <t>Kalunga Farmer's Training Center, Chipata</t>
  </si>
  <si>
    <t>Februry</t>
  </si>
  <si>
    <t>Caliandra</t>
  </si>
  <si>
    <t>0-to-26</t>
  </si>
  <si>
    <t>Earthworms</t>
  </si>
  <si>
    <t>Richness</t>
  </si>
  <si>
    <t>Agriculture and Forest Entomology</t>
  </si>
  <si>
    <t>Kalichero, Zambia</t>
  </si>
  <si>
    <t>Kalunga, Zambia</t>
  </si>
  <si>
    <t>Mangwe, Zambia</t>
  </si>
  <si>
    <t>Msekera experiment site 1 Zambia</t>
  </si>
  <si>
    <t>Msekera experiment site 2 Zambia</t>
  </si>
  <si>
    <t>Acrisols</t>
  </si>
  <si>
    <t>2001</t>
  </si>
  <si>
    <t>Traditional fallow</t>
  </si>
  <si>
    <t>Monoculture maize without fertilizer</t>
  </si>
  <si>
    <t>Crotalaria pawlonia</t>
  </si>
  <si>
    <t>Tephrosia candida 02972</t>
  </si>
  <si>
    <t>Tephrosia vogeli ex Misamfu</t>
  </si>
  <si>
    <t>Tephrosia vogeli ex Chambeshi</t>
  </si>
  <si>
    <t>Tephrosia candida 02970</t>
  </si>
  <si>
    <t>Tephrosia candida 02971</t>
  </si>
  <si>
    <t>168-1</t>
  </si>
  <si>
    <t>168-2</t>
  </si>
  <si>
    <t>168-3</t>
  </si>
  <si>
    <t>168-4</t>
  </si>
  <si>
    <t>Termite damage (% lodged plants)</t>
  </si>
  <si>
    <t>168-5</t>
  </si>
  <si>
    <t>168-6</t>
  </si>
  <si>
    <t>Pure Acacia anguistissima</t>
  </si>
  <si>
    <t>Pure Leucaena diversifolia</t>
  </si>
  <si>
    <t>Pure Tephrosia vogelii</t>
  </si>
  <si>
    <t>Pure Sesbania sesban</t>
  </si>
  <si>
    <t>Pure Gliricidia sepium</t>
  </si>
  <si>
    <t>Gliricidia sepium + Tephrosia vogelii</t>
  </si>
  <si>
    <t>Gliricidia sepium + Sesbania sesban</t>
  </si>
  <si>
    <t>Sesbania sesban + Tephrosia vogelii</t>
  </si>
  <si>
    <t>Acacia anguistissima + Sesbania sesban</t>
  </si>
  <si>
    <t xml:space="preserve">Leucaena diversifolia + Sesbania sesban </t>
  </si>
  <si>
    <t>Gravimetric water</t>
  </si>
  <si>
    <t>Smestad</t>
  </si>
  <si>
    <t>B. Thor</t>
  </si>
  <si>
    <t xml:space="preserve"> West Bunyore, Vihiga District, western Kenya</t>
  </si>
  <si>
    <t>Tithonia</t>
  </si>
  <si>
    <t>Weed fallow</t>
  </si>
  <si>
    <t>TP</t>
  </si>
  <si>
    <t>169-1</t>
  </si>
  <si>
    <t>Sogbedji</t>
  </si>
  <si>
    <t>J. M.</t>
  </si>
  <si>
    <t>Lome reseach farm</t>
  </si>
  <si>
    <t>Pigonpea</t>
  </si>
  <si>
    <t>Mucuna + Pigonpea</t>
  </si>
  <si>
    <t>170-1</t>
  </si>
  <si>
    <t>170-2</t>
  </si>
  <si>
    <t>Year 1</t>
  </si>
  <si>
    <t>Year 2</t>
  </si>
  <si>
    <t>Tian</t>
  </si>
  <si>
    <t>Alabata village near Ibadan, southwestern Nigeria</t>
  </si>
  <si>
    <t>Series 1</t>
  </si>
  <si>
    <t>Series 2</t>
  </si>
  <si>
    <t xml:space="preserve">C. brasilianum </t>
  </si>
  <si>
    <t>C. pascuorum</t>
  </si>
  <si>
    <t>C. rotundifolia</t>
  </si>
  <si>
    <t>L. purpureus</t>
  </si>
  <si>
    <t>S. hamata</t>
  </si>
  <si>
    <t>P. palustris</t>
  </si>
  <si>
    <t>P. argentea</t>
  </si>
  <si>
    <t>M. pruriens</t>
  </si>
  <si>
    <t>C. verrucosa</t>
  </si>
  <si>
    <t>C. ochroleuca</t>
  </si>
  <si>
    <t>C. cajan</t>
  </si>
  <si>
    <t>A. histrix</t>
  </si>
  <si>
    <t>P. phaseoloides</t>
  </si>
  <si>
    <t>Akinyele Local Government area</t>
  </si>
  <si>
    <t>Alﬁsols</t>
  </si>
  <si>
    <t>Pueraria phaseoloides</t>
  </si>
  <si>
    <t>1989-2000</t>
  </si>
  <si>
    <t>172-1</t>
  </si>
  <si>
    <t>172-2</t>
  </si>
  <si>
    <t>172-3</t>
  </si>
  <si>
    <t>172-4</t>
  </si>
  <si>
    <t>Bray-P (mg/ kg)</t>
  </si>
  <si>
    <t>cmol per kg</t>
  </si>
  <si>
    <t>Torquebiau</t>
  </si>
  <si>
    <t>E. E</t>
  </si>
  <si>
    <t>1990-1994</t>
  </si>
  <si>
    <t>Chipata</t>
  </si>
  <si>
    <t>Hulplustalfs</t>
  </si>
  <si>
    <t>Before crop sowing</t>
  </si>
  <si>
    <t>43 DAS</t>
  </si>
  <si>
    <t>50-to-75</t>
  </si>
  <si>
    <t>173-1</t>
  </si>
  <si>
    <t>ExperimentID added</t>
  </si>
  <si>
    <t>Please see details in ExperimentID sheet</t>
  </si>
  <si>
    <t>Double check Soil_OC base line</t>
  </si>
  <si>
    <t>Chen</t>
  </si>
  <si>
    <t>Lilin</t>
  </si>
  <si>
    <t>Biological Control</t>
  </si>
  <si>
    <t>Xingchun, Wuyi Mountain, Fujian</t>
  </si>
  <si>
    <t>China</t>
  </si>
  <si>
    <t>2006-2008</t>
  </si>
  <si>
    <t>Tea</t>
  </si>
  <si>
    <t>Natural groud cover</t>
  </si>
  <si>
    <t>Paspalum notatum</t>
  </si>
  <si>
    <t>Cassia rotundifolia</t>
  </si>
  <si>
    <t>174-1</t>
  </si>
  <si>
    <t>Bare ground</t>
  </si>
  <si>
    <t>Tea canopy</t>
  </si>
  <si>
    <t>1/ Spider richness *100</t>
  </si>
  <si>
    <t>Cui</t>
  </si>
  <si>
    <t>Hang</t>
  </si>
  <si>
    <t xml:space="preserve"> Heshan Hilly Land Interdisciplinary Experimental Station, Guangdong</t>
  </si>
  <si>
    <t>Paspalum natatu</t>
  </si>
  <si>
    <t>Stylosanthes guianensis</t>
  </si>
  <si>
    <t>Guava orchard</t>
  </si>
  <si>
    <t>175-1</t>
  </si>
  <si>
    <t>175-2</t>
  </si>
  <si>
    <t>TP (mg/kg)</t>
  </si>
  <si>
    <t>Shannon-Weaver diversity index</t>
  </si>
  <si>
    <t>Species richness</t>
  </si>
  <si>
    <t>Du</t>
  </si>
  <si>
    <t>Sheli</t>
  </si>
  <si>
    <t>Xianrenqiao Village, Ansai, Shannxi</t>
  </si>
  <si>
    <t>Apricot</t>
  </si>
  <si>
    <t>Erect milk vetch</t>
  </si>
  <si>
    <t>2005-2012</t>
  </si>
  <si>
    <t>61-to160</t>
  </si>
  <si>
    <t>161-to-300</t>
  </si>
  <si>
    <t>Bearing stage</t>
  </si>
  <si>
    <t>Maturiity stage</t>
  </si>
  <si>
    <t>Rainy season</t>
  </si>
  <si>
    <t>Defoloation stage</t>
  </si>
  <si>
    <t>Intercrop-mulching (IMA)</t>
  </si>
  <si>
    <t>Intercroping treatment (ICA)</t>
  </si>
  <si>
    <t>Mulching treatment (MA)</t>
  </si>
  <si>
    <t>g per kg to cm3 per cm3</t>
  </si>
  <si>
    <t>100</t>
  </si>
  <si>
    <t>140</t>
  </si>
  <si>
    <t>81-to-300</t>
  </si>
  <si>
    <t>220</t>
  </si>
  <si>
    <t>SOM (g/kg to %)</t>
  </si>
  <si>
    <t>TN (g/kg to mg/kg)</t>
  </si>
  <si>
    <t>TP (g/kg to mg/kg)</t>
  </si>
  <si>
    <t>kg per tree to kg per ha</t>
  </si>
  <si>
    <t>176-1</t>
  </si>
  <si>
    <t>176-2</t>
  </si>
  <si>
    <t>176-3</t>
  </si>
  <si>
    <t>176-4</t>
  </si>
  <si>
    <t>176-5</t>
  </si>
  <si>
    <t>176-6</t>
  </si>
  <si>
    <t>176-7</t>
  </si>
  <si>
    <t>176-8</t>
  </si>
  <si>
    <t>176-9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</si>
  <si>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</si>
  <si>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</si>
  <si>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</si>
  <si>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</si>
  <si>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</si>
  <si>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</si>
  <si>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</si>
  <si>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</si>
  <si>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</si>
  <si>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</si>
  <si>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</si>
  <si>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</si>
  <si>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</si>
  <si>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</si>
  <si>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</si>
  <si>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</si>
  <si>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</si>
  <si>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</si>
  <si>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</si>
  <si>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</si>
  <si>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</si>
  <si>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</si>
  <si>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</si>
  <si>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</si>
  <si>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</si>
  <si>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</si>
  <si>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</si>
  <si>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</si>
  <si>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</si>
  <si>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</si>
  <si>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</si>
  <si>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</si>
  <si>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</si>
  <si>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</si>
  <si>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</si>
  <si>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</si>
  <si>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Gao</t>
  </si>
  <si>
    <t>Danmei</t>
  </si>
  <si>
    <t>Cucumber</t>
  </si>
  <si>
    <t>Guava</t>
  </si>
  <si>
    <t>Orchard</t>
  </si>
  <si>
    <t>Drybean</t>
  </si>
  <si>
    <t>Continuous cotton (Gossypium hirsutum L.)</t>
  </si>
  <si>
    <t>Shepherd's-purse</t>
  </si>
  <si>
    <t>Beet</t>
  </si>
  <si>
    <t>Beens</t>
  </si>
  <si>
    <t>Hedgerow  intercroppi/species Not_available</t>
  </si>
  <si>
    <t>Experimental station of Northeast Agricultural University, Harbin</t>
  </si>
  <si>
    <t>10-day</t>
  </si>
  <si>
    <t>20-day</t>
  </si>
  <si>
    <t>g/plant</t>
  </si>
  <si>
    <t>No wheat + Active carbon (UW+AC)</t>
  </si>
  <si>
    <t>No wheat</t>
  </si>
  <si>
    <t>OC_C_SD%</t>
  </si>
  <si>
    <t>OC_T_SD%</t>
  </si>
  <si>
    <t>SOC %</t>
  </si>
  <si>
    <t>Nitrate (mg/kg)</t>
  </si>
  <si>
    <t>177-1</t>
  </si>
  <si>
    <t>177-2</t>
  </si>
  <si>
    <t>Ammonia Nitrogen (mg/kg)</t>
  </si>
  <si>
    <t>Available P (mg/kg)</t>
  </si>
  <si>
    <t>Available K (mg/kg)</t>
  </si>
  <si>
    <t>177-3</t>
  </si>
  <si>
    <t>177-4</t>
  </si>
  <si>
    <t>Soil Microbial communities, Manganese, Ca, Boron, Molybdenum available</t>
  </si>
  <si>
    <t>La Woestyne, northern France</t>
  </si>
  <si>
    <t>Egyptian clover/faba bean/ vetch/ﬂax/phacelia/oats</t>
  </si>
  <si>
    <t>Agronomy</t>
  </si>
  <si>
    <t>Habbib</t>
  </si>
  <si>
    <t>Hazzar</t>
  </si>
  <si>
    <t>161 kg N per ha</t>
  </si>
  <si>
    <t>215 kg N per ha</t>
  </si>
  <si>
    <t>178-1</t>
  </si>
  <si>
    <t>178-2</t>
  </si>
  <si>
    <t>178-3</t>
  </si>
  <si>
    <t>178-4</t>
  </si>
  <si>
    <t>178-5</t>
  </si>
  <si>
    <t>178-6</t>
  </si>
  <si>
    <t>Nitrogen use efficiency (NUE) available</t>
  </si>
  <si>
    <t>Haque</t>
  </si>
  <si>
    <t>Md. Mozammel</t>
  </si>
  <si>
    <t>75% Barley and 25% vetch</t>
  </si>
  <si>
    <t>Gyeongsang National University Experimental Farm Jinju</t>
  </si>
  <si>
    <t>South Korea</t>
  </si>
  <si>
    <t>Haplaquents</t>
  </si>
  <si>
    <t>2010-2011</t>
  </si>
  <si>
    <t>179-1</t>
  </si>
  <si>
    <t>179-2</t>
  </si>
  <si>
    <t>179-3</t>
  </si>
  <si>
    <t>179-4</t>
  </si>
  <si>
    <t>9 Mg / ha manure</t>
  </si>
  <si>
    <t>18 Mg / ha manure</t>
  </si>
  <si>
    <t>27 Mg / ha manure</t>
  </si>
  <si>
    <t>36 Mg / ha manure</t>
  </si>
  <si>
    <t>0 Mg per ha manure</t>
  </si>
  <si>
    <t>TC (g/kg to %)</t>
  </si>
  <si>
    <t>Total flux (kg/ha)</t>
  </si>
  <si>
    <t>Available P2O5 (mg/kg)</t>
  </si>
  <si>
    <t>Isik</t>
  </si>
  <si>
    <t xml:space="preserve">D. </t>
  </si>
  <si>
    <t>Pepper</t>
  </si>
  <si>
    <t xml:space="preserve"> Samsun, Turkey</t>
  </si>
  <si>
    <t>Turkey</t>
  </si>
  <si>
    <t>Avena sativa</t>
  </si>
  <si>
    <t>Lolium multiﬂorum</t>
  </si>
  <si>
    <t>Secale cereale</t>
  </si>
  <si>
    <t xml:space="preserve">Triticum aestivum </t>
  </si>
  <si>
    <t>Trifolium meneghinianum</t>
  </si>
  <si>
    <t>Trifolium alexsandrinum</t>
  </si>
  <si>
    <t>Vicia sativa</t>
  </si>
  <si>
    <t>Vicia villosa</t>
  </si>
  <si>
    <t>0 days after incorporation</t>
  </si>
  <si>
    <t>14 days after incorporation</t>
  </si>
  <si>
    <t>28 days after incorporation</t>
  </si>
  <si>
    <t>56 days after incorporation</t>
  </si>
  <si>
    <t>180-1</t>
  </si>
  <si>
    <t>180-2</t>
  </si>
  <si>
    <t>180-3</t>
  </si>
  <si>
    <t>180-4</t>
  </si>
  <si>
    <t>180-5</t>
  </si>
  <si>
    <t>180-6</t>
  </si>
  <si>
    <t>180-7</t>
  </si>
  <si>
    <t>180-8</t>
  </si>
  <si>
    <t>Weed density (plant per m2)</t>
  </si>
  <si>
    <t xml:space="preserve">Kim </t>
  </si>
  <si>
    <t>Sang Yoon</t>
  </si>
  <si>
    <t>Jinju</t>
  </si>
  <si>
    <t>TC (g*kg to %)</t>
  </si>
  <si>
    <t>K+Ca+Mg(cmol per kg)</t>
  </si>
  <si>
    <t>PLFA</t>
  </si>
  <si>
    <t>Straw yield</t>
  </si>
  <si>
    <t>CO2 flux (kg/ha)</t>
  </si>
  <si>
    <t>181-1</t>
  </si>
  <si>
    <t>181-2</t>
  </si>
  <si>
    <t>Liu</t>
  </si>
  <si>
    <t>Jingna</t>
  </si>
  <si>
    <t>Institute of Soil and Fertilizer, Hunan Academy of Agricultural Science</t>
  </si>
  <si>
    <t>Journal of Integrative Agriculture</t>
  </si>
  <si>
    <t>Purple calcareous clayey paddy soil</t>
  </si>
  <si>
    <t>182-1</t>
  </si>
  <si>
    <t>182-2</t>
  </si>
  <si>
    <t>Chinese milk vetch</t>
  </si>
  <si>
    <t>late-rice tillering stage</t>
  </si>
  <si>
    <t>late-rice flowering stag</t>
  </si>
  <si>
    <t>late-rice mature stage</t>
  </si>
  <si>
    <t>Early rice season</t>
  </si>
  <si>
    <t>Late rice season</t>
  </si>
  <si>
    <t>Methanotrophic bacterial pmoA (Million per g soil)</t>
  </si>
  <si>
    <t>182-3</t>
  </si>
  <si>
    <t>182-4</t>
  </si>
  <si>
    <t>Min</t>
  </si>
  <si>
    <t>Ju</t>
  </si>
  <si>
    <t>2008-2009</t>
  </si>
  <si>
    <t>Yixing, Jiangsu Province</t>
  </si>
  <si>
    <t>Anthrosols</t>
  </si>
  <si>
    <t>Summer Catch crop</t>
  </si>
  <si>
    <t>183-1</t>
  </si>
  <si>
    <t>183-2</t>
  </si>
  <si>
    <t>183-3</t>
  </si>
  <si>
    <t>183-4</t>
  </si>
  <si>
    <t>183-5</t>
  </si>
  <si>
    <t>0 N</t>
  </si>
  <si>
    <t>N 348</t>
  </si>
  <si>
    <t>N 525</t>
  </si>
  <si>
    <t>N525</t>
  </si>
  <si>
    <t>N 696</t>
  </si>
  <si>
    <t>N 870</t>
  </si>
  <si>
    <t>40-to-50</t>
  </si>
  <si>
    <t>183-6</t>
  </si>
  <si>
    <t>183-7</t>
  </si>
  <si>
    <t>183-8</t>
  </si>
  <si>
    <t>183-9</t>
  </si>
  <si>
    <t>183-10</t>
  </si>
  <si>
    <t>183-11</t>
  </si>
  <si>
    <t>183-12</t>
  </si>
  <si>
    <t>183-13</t>
  </si>
  <si>
    <t>183-14</t>
  </si>
  <si>
    <t>183-15</t>
  </si>
  <si>
    <t>183-16</t>
  </si>
  <si>
    <t>183-17</t>
  </si>
  <si>
    <t>183-18</t>
  </si>
  <si>
    <t>183-19</t>
  </si>
  <si>
    <t>183-20</t>
  </si>
  <si>
    <t>183-21</t>
  </si>
  <si>
    <t>183-22</t>
  </si>
  <si>
    <t>183-23</t>
  </si>
  <si>
    <t>183-24</t>
  </si>
  <si>
    <t>183-25</t>
  </si>
  <si>
    <t>Nitrate N (mg/kg)</t>
  </si>
  <si>
    <t>After fallow</t>
  </si>
  <si>
    <t>N background information available</t>
  </si>
  <si>
    <t>N leached (k/ha)</t>
  </si>
  <si>
    <t>N captured by plant available</t>
  </si>
  <si>
    <t>Tang</t>
  </si>
  <si>
    <t>Haiming</t>
  </si>
  <si>
    <t>PlosONE</t>
  </si>
  <si>
    <t>Hunan</t>
  </si>
  <si>
    <t>2004-2013</t>
  </si>
  <si>
    <t>Early rice</t>
  </si>
  <si>
    <t>Late rice</t>
  </si>
  <si>
    <t>184-1</t>
  </si>
  <si>
    <t>184-2</t>
  </si>
  <si>
    <t>g/m2 to kg/ha</t>
  </si>
  <si>
    <t>184-3</t>
  </si>
  <si>
    <t>184-4</t>
  </si>
  <si>
    <t>kg/ha if not noted, unites may varied</t>
  </si>
  <si>
    <t>Double rice grain yield/2</t>
  </si>
  <si>
    <t>Fungi (10000 CFUs / g dry soil)</t>
  </si>
  <si>
    <t>Anaerobic bacteria</t>
  </si>
  <si>
    <t>Actinomycetes</t>
  </si>
  <si>
    <t>Rape</t>
  </si>
  <si>
    <t>Tillering stage</t>
  </si>
  <si>
    <t>Booting stage</t>
  </si>
  <si>
    <t>Full head stage</t>
  </si>
  <si>
    <t>Maturity stage</t>
  </si>
  <si>
    <t>Potato</t>
  </si>
  <si>
    <t>184-5</t>
  </si>
  <si>
    <t>184-6</t>
  </si>
  <si>
    <t>184-7</t>
  </si>
  <si>
    <t>184-8</t>
  </si>
  <si>
    <t>2005-2008</t>
  </si>
  <si>
    <t>Yongqiang</t>
  </si>
  <si>
    <t>Changping county, Beijing</t>
  </si>
  <si>
    <t>Sweetcorn (SR)</t>
  </si>
  <si>
    <t>Sweetcorn (SI)</t>
  </si>
  <si>
    <t>Common bean (CR)</t>
  </si>
  <si>
    <t>Common bean (CI)</t>
  </si>
  <si>
    <t>Chrysanthemum/Edible</t>
  </si>
  <si>
    <t>187-1</t>
  </si>
  <si>
    <t>187-2</t>
  </si>
  <si>
    <t>187-3</t>
  </si>
  <si>
    <t>187-4</t>
  </si>
  <si>
    <t>187-5</t>
  </si>
  <si>
    <t>Catch crop stover and residue removed</t>
  </si>
  <si>
    <t>Catch crop stover and residue removed hoed/shattered/incorporated into soil</t>
  </si>
  <si>
    <t>Catch crop stover and residue removed, root left in soil</t>
  </si>
  <si>
    <t>Olsen-P (mg/kg)</t>
  </si>
  <si>
    <t>Bacteria (log 10)</t>
  </si>
  <si>
    <t>Actinomycetes (log 10)</t>
  </si>
  <si>
    <t>log 10</t>
  </si>
  <si>
    <t>Many other microbial indicator available</t>
  </si>
  <si>
    <t>Greenhouse experiment</t>
  </si>
  <si>
    <t>okra</t>
  </si>
  <si>
    <t>Zheng</t>
  </si>
  <si>
    <t>Wei</t>
  </si>
  <si>
    <t>2011-2014</t>
  </si>
  <si>
    <t>Dryland Experimental Station, Loess Plateau</t>
  </si>
  <si>
    <t>Spanish Journal of Agricultural Research</t>
  </si>
  <si>
    <t>40</t>
  </si>
  <si>
    <t>Apple</t>
  </si>
  <si>
    <t>Crown vetch</t>
  </si>
  <si>
    <t>Later March</t>
  </si>
  <si>
    <t>Early July</t>
  </si>
  <si>
    <t>Later September</t>
  </si>
  <si>
    <t>115 N 64.8 P 0 K</t>
  </si>
  <si>
    <t>191.88 N 111.24 P 168.12 K</t>
  </si>
  <si>
    <t>115.2 N 64.8 P 100.8 K</t>
  </si>
  <si>
    <t>57.6 N 32.4 P 50.4 K</t>
  </si>
  <si>
    <t>188-1</t>
  </si>
  <si>
    <t>188-2</t>
  </si>
  <si>
    <t>188-3</t>
  </si>
  <si>
    <t>188-4</t>
  </si>
  <si>
    <t>188-5</t>
  </si>
  <si>
    <t>mm to cm3/cm3 (soil depth set as 2000 mm)</t>
  </si>
  <si>
    <t>1-1</t>
  </si>
  <si>
    <t>1-2</t>
  </si>
  <si>
    <t>1-4</t>
  </si>
  <si>
    <t>2-1</t>
  </si>
  <si>
    <t>2-2</t>
  </si>
  <si>
    <t>3-1</t>
  </si>
  <si>
    <t>3-2</t>
  </si>
  <si>
    <t>4-1</t>
  </si>
  <si>
    <t>4-2</t>
  </si>
  <si>
    <t>4-3</t>
  </si>
  <si>
    <t>4-4</t>
  </si>
  <si>
    <t>5-1</t>
  </si>
  <si>
    <t>5-2</t>
  </si>
  <si>
    <t>6-1</t>
  </si>
  <si>
    <t>6-2</t>
  </si>
  <si>
    <t>7-1</t>
  </si>
  <si>
    <t>7-2</t>
  </si>
  <si>
    <t>7-3</t>
  </si>
  <si>
    <t>7-4</t>
  </si>
  <si>
    <t>7-5</t>
  </si>
  <si>
    <t>8-1</t>
  </si>
  <si>
    <t>8-2</t>
  </si>
  <si>
    <t>9-1</t>
  </si>
  <si>
    <t>9-2</t>
  </si>
  <si>
    <t>9-3</t>
  </si>
  <si>
    <t>10-1</t>
  </si>
  <si>
    <t>10-2</t>
  </si>
  <si>
    <t>11-1</t>
  </si>
  <si>
    <t>11-2</t>
  </si>
  <si>
    <t>12-1</t>
  </si>
  <si>
    <t>12-2</t>
  </si>
  <si>
    <t>13-1</t>
  </si>
  <si>
    <t>13-2</t>
  </si>
  <si>
    <t>13-3</t>
  </si>
  <si>
    <t>13-4</t>
  </si>
  <si>
    <t>13-5</t>
  </si>
  <si>
    <t>13-6</t>
  </si>
  <si>
    <t>14-1</t>
  </si>
  <si>
    <t>14-2</t>
  </si>
  <si>
    <t>14-3</t>
  </si>
  <si>
    <t>14-4</t>
  </si>
  <si>
    <t>14-5</t>
  </si>
  <si>
    <t>14-6</t>
  </si>
  <si>
    <t>14-7</t>
  </si>
  <si>
    <t>14-8</t>
  </si>
  <si>
    <t>14-9</t>
  </si>
  <si>
    <t>14-10</t>
  </si>
  <si>
    <t>14-11</t>
  </si>
  <si>
    <t>14-12</t>
  </si>
  <si>
    <t>15-1</t>
  </si>
  <si>
    <t>16-1</t>
  </si>
  <si>
    <t>17-1</t>
  </si>
  <si>
    <t>17-2</t>
  </si>
  <si>
    <t>17-3</t>
  </si>
  <si>
    <t>17-4</t>
  </si>
  <si>
    <t>19-1</t>
  </si>
  <si>
    <t>19-2</t>
  </si>
  <si>
    <t>19-3</t>
  </si>
  <si>
    <t>19-4</t>
  </si>
  <si>
    <t>19-5</t>
  </si>
  <si>
    <t>19-6</t>
  </si>
  <si>
    <t>19-7</t>
  </si>
  <si>
    <t>19-8</t>
  </si>
  <si>
    <t>19-9</t>
  </si>
  <si>
    <t>19-10</t>
  </si>
  <si>
    <t>19-11</t>
  </si>
  <si>
    <t>19-12</t>
  </si>
  <si>
    <t>20-1</t>
  </si>
  <si>
    <t>20-2</t>
  </si>
  <si>
    <t>20-3</t>
  </si>
  <si>
    <t>21-1</t>
  </si>
  <si>
    <t>21-2</t>
  </si>
  <si>
    <t>21-3</t>
  </si>
  <si>
    <t>21-4</t>
  </si>
  <si>
    <t>21-5</t>
  </si>
  <si>
    <t>24-1</t>
  </si>
  <si>
    <t>24-2</t>
  </si>
  <si>
    <t>24-3</t>
  </si>
  <si>
    <t>24-4</t>
  </si>
  <si>
    <t>24-5</t>
  </si>
  <si>
    <t>24-6</t>
  </si>
  <si>
    <t>25-1</t>
  </si>
  <si>
    <t>26-1</t>
  </si>
  <si>
    <t>26-2</t>
  </si>
  <si>
    <t>26-3</t>
  </si>
  <si>
    <t>26-4</t>
  </si>
  <si>
    <t>27-1</t>
  </si>
  <si>
    <t>28-1</t>
  </si>
  <si>
    <t>28-2</t>
  </si>
  <si>
    <t>28-3</t>
  </si>
  <si>
    <t>29-1</t>
  </si>
  <si>
    <t>29-2</t>
  </si>
  <si>
    <t>29-3</t>
  </si>
  <si>
    <t>29-4</t>
  </si>
  <si>
    <t>29-5</t>
  </si>
  <si>
    <t>29-6</t>
  </si>
  <si>
    <t>29-7</t>
  </si>
  <si>
    <t>29-8</t>
  </si>
  <si>
    <t>29-9</t>
  </si>
  <si>
    <t>29-10</t>
  </si>
  <si>
    <t>29-11</t>
  </si>
  <si>
    <t>29-12</t>
  </si>
  <si>
    <t>30-1</t>
  </si>
  <si>
    <t>30-2</t>
  </si>
  <si>
    <t>30-3</t>
  </si>
  <si>
    <t>30-4</t>
  </si>
  <si>
    <t>31-1</t>
  </si>
  <si>
    <t>31-2</t>
  </si>
  <si>
    <t>32-1</t>
  </si>
  <si>
    <t>32-2</t>
  </si>
  <si>
    <t>33-1</t>
  </si>
  <si>
    <t>33-2</t>
  </si>
  <si>
    <t>34-1</t>
  </si>
  <si>
    <t>35-1</t>
  </si>
  <si>
    <t>36-1</t>
  </si>
  <si>
    <t>36-2</t>
  </si>
  <si>
    <t>37-1</t>
  </si>
  <si>
    <t>37-2</t>
  </si>
  <si>
    <t>37-3</t>
  </si>
  <si>
    <t>37-4</t>
  </si>
  <si>
    <t>37-5</t>
  </si>
  <si>
    <t>37-6</t>
  </si>
  <si>
    <t>37-7</t>
  </si>
  <si>
    <t>38-1</t>
  </si>
  <si>
    <t>38-2</t>
  </si>
  <si>
    <t>38-3</t>
  </si>
  <si>
    <t>38-4</t>
  </si>
  <si>
    <t>38-5</t>
  </si>
  <si>
    <t>38-6</t>
  </si>
  <si>
    <t>38-7</t>
  </si>
  <si>
    <t>38-8</t>
  </si>
  <si>
    <t>38-9</t>
  </si>
  <si>
    <t>38-10</t>
  </si>
  <si>
    <t>38-11</t>
  </si>
  <si>
    <t>38-12</t>
  </si>
  <si>
    <t>38-13</t>
  </si>
  <si>
    <t>38-14</t>
  </si>
  <si>
    <t>38-15</t>
  </si>
  <si>
    <t>38-16</t>
  </si>
  <si>
    <t>38-17</t>
  </si>
  <si>
    <t>38-18</t>
  </si>
  <si>
    <t>38-19</t>
  </si>
  <si>
    <t>38-20</t>
  </si>
  <si>
    <t>38-21</t>
  </si>
  <si>
    <t>38-22</t>
  </si>
  <si>
    <t>38-23</t>
  </si>
  <si>
    <t>38-24</t>
  </si>
  <si>
    <t>39-1</t>
  </si>
  <si>
    <t>39-2</t>
  </si>
  <si>
    <t>40-1</t>
  </si>
  <si>
    <t>40-2</t>
  </si>
  <si>
    <t>40-3</t>
  </si>
  <si>
    <t>40-4</t>
  </si>
  <si>
    <t>40-5</t>
  </si>
  <si>
    <t>40-6</t>
  </si>
  <si>
    <t>40-7</t>
  </si>
  <si>
    <t>40-8</t>
  </si>
  <si>
    <t>40-9</t>
  </si>
  <si>
    <t>40-10</t>
  </si>
  <si>
    <t>40-11</t>
  </si>
  <si>
    <t>40-12</t>
  </si>
  <si>
    <t>40-13</t>
  </si>
  <si>
    <t>40-14</t>
  </si>
  <si>
    <t>40-15</t>
  </si>
  <si>
    <t>40-16</t>
  </si>
  <si>
    <t>40-17</t>
  </si>
  <si>
    <t>41-1</t>
  </si>
  <si>
    <t>41-2</t>
  </si>
  <si>
    <t>42-1</t>
  </si>
  <si>
    <t>42-2</t>
  </si>
  <si>
    <t>42-3</t>
  </si>
  <si>
    <t>42-4</t>
  </si>
  <si>
    <t>42-5</t>
  </si>
  <si>
    <t>42-6</t>
  </si>
  <si>
    <t>42-7</t>
  </si>
  <si>
    <t>42-8</t>
  </si>
  <si>
    <t>42-9</t>
  </si>
  <si>
    <t>42-10</t>
  </si>
  <si>
    <t>42-11</t>
  </si>
  <si>
    <t>42-12</t>
  </si>
  <si>
    <t>43-1</t>
  </si>
  <si>
    <t>43-2</t>
  </si>
  <si>
    <t>44-1</t>
  </si>
  <si>
    <t>44-2</t>
  </si>
  <si>
    <t>44-3</t>
  </si>
  <si>
    <t>44-4</t>
  </si>
  <si>
    <t>44-5</t>
  </si>
  <si>
    <t>44-6</t>
  </si>
  <si>
    <t>44-7</t>
  </si>
  <si>
    <t>44-8</t>
  </si>
  <si>
    <t>44-9</t>
  </si>
  <si>
    <t>44-10</t>
  </si>
  <si>
    <t>45-1</t>
  </si>
  <si>
    <t>46-1</t>
  </si>
  <si>
    <t>46-2</t>
  </si>
  <si>
    <t>46-3</t>
  </si>
  <si>
    <t>46-4</t>
  </si>
  <si>
    <t>46-5</t>
  </si>
  <si>
    <t>47-1</t>
  </si>
  <si>
    <t>47-2</t>
  </si>
  <si>
    <t>47-3</t>
  </si>
  <si>
    <t>48-1</t>
  </si>
  <si>
    <t>48-2</t>
  </si>
  <si>
    <t>49-1</t>
  </si>
  <si>
    <t>49-2</t>
  </si>
  <si>
    <t>49-3</t>
  </si>
  <si>
    <t>49-4</t>
  </si>
  <si>
    <t>49-5</t>
  </si>
  <si>
    <t>49-6</t>
  </si>
  <si>
    <t>50-1</t>
  </si>
  <si>
    <t>50-2</t>
  </si>
  <si>
    <t>50-3</t>
  </si>
  <si>
    <t>50-4</t>
  </si>
  <si>
    <t>51-1</t>
  </si>
  <si>
    <t>51-2</t>
  </si>
  <si>
    <t>52-1</t>
  </si>
  <si>
    <t>52-2</t>
  </si>
  <si>
    <t>53-1</t>
  </si>
  <si>
    <t>53-2</t>
  </si>
  <si>
    <t>53-3</t>
  </si>
  <si>
    <t>53-4</t>
  </si>
  <si>
    <t>53-5</t>
  </si>
  <si>
    <t>53-6</t>
  </si>
  <si>
    <t>53-7</t>
  </si>
  <si>
    <t>53-8</t>
  </si>
  <si>
    <t>54-1</t>
  </si>
  <si>
    <t>54-2</t>
  </si>
  <si>
    <t>54-3</t>
  </si>
  <si>
    <t>55-1</t>
  </si>
  <si>
    <t>55-2</t>
  </si>
  <si>
    <t>55-3</t>
  </si>
  <si>
    <t>55-4</t>
  </si>
  <si>
    <t>55-5</t>
  </si>
  <si>
    <t>55-6</t>
  </si>
  <si>
    <t>55-7</t>
  </si>
  <si>
    <t>56-1</t>
  </si>
  <si>
    <t>57-1</t>
  </si>
  <si>
    <t>57-2</t>
  </si>
  <si>
    <t>57-3</t>
  </si>
  <si>
    <t>57-4</t>
  </si>
  <si>
    <t>57-5</t>
  </si>
  <si>
    <t>57-6</t>
  </si>
  <si>
    <t>58-1</t>
  </si>
  <si>
    <t>58-2</t>
  </si>
  <si>
    <t>59-1</t>
  </si>
  <si>
    <t>59-2</t>
  </si>
  <si>
    <t>60-1</t>
  </si>
  <si>
    <t>60-2</t>
  </si>
  <si>
    <t>61-1</t>
  </si>
  <si>
    <t>61-2</t>
  </si>
  <si>
    <t>61-3</t>
  </si>
  <si>
    <t>61-4</t>
  </si>
  <si>
    <t>61-5</t>
  </si>
  <si>
    <t>61-6</t>
  </si>
  <si>
    <t>61-7</t>
  </si>
  <si>
    <t>61-8</t>
  </si>
  <si>
    <t>62-1</t>
  </si>
  <si>
    <t>62-2</t>
  </si>
  <si>
    <t>63-1</t>
  </si>
  <si>
    <t>63-2</t>
  </si>
  <si>
    <t>63-3</t>
  </si>
  <si>
    <t>64-1</t>
  </si>
  <si>
    <t>64-2</t>
  </si>
  <si>
    <t>64-3</t>
  </si>
  <si>
    <t>64-4</t>
  </si>
  <si>
    <t>64-5</t>
  </si>
  <si>
    <t>65-1</t>
  </si>
  <si>
    <t>66-1</t>
  </si>
  <si>
    <t>66-2</t>
  </si>
  <si>
    <t>66-3</t>
  </si>
  <si>
    <t>66-4</t>
  </si>
  <si>
    <t>67-1</t>
  </si>
  <si>
    <t>67-2</t>
  </si>
  <si>
    <t>67-3</t>
  </si>
  <si>
    <t>67-4</t>
  </si>
  <si>
    <t>67-5</t>
  </si>
  <si>
    <t>67-6</t>
  </si>
  <si>
    <t>67-7</t>
  </si>
  <si>
    <t>67-8</t>
  </si>
  <si>
    <t>67-9</t>
  </si>
  <si>
    <t>67-10</t>
  </si>
  <si>
    <t>67-11</t>
  </si>
  <si>
    <t>67-12</t>
  </si>
  <si>
    <t>67-13</t>
  </si>
  <si>
    <t>67-14</t>
  </si>
  <si>
    <t>67-15</t>
  </si>
  <si>
    <t>67-16</t>
  </si>
  <si>
    <t>67-17</t>
  </si>
  <si>
    <t>67-18</t>
  </si>
  <si>
    <t>67-19</t>
  </si>
  <si>
    <t>67-20</t>
  </si>
  <si>
    <t>67-21</t>
  </si>
  <si>
    <t>67-22</t>
  </si>
  <si>
    <t>67-23</t>
  </si>
  <si>
    <t>67-24</t>
  </si>
  <si>
    <t>68-1</t>
  </si>
  <si>
    <t>68-2</t>
  </si>
  <si>
    <t>69-1</t>
  </si>
  <si>
    <t>69-2</t>
  </si>
  <si>
    <t>70-1</t>
  </si>
  <si>
    <t>70-2</t>
  </si>
  <si>
    <t>71-1</t>
  </si>
  <si>
    <t>72-1</t>
  </si>
  <si>
    <t>72-2</t>
  </si>
  <si>
    <t>73-1</t>
  </si>
  <si>
    <t>73-2</t>
  </si>
  <si>
    <t>73-3</t>
  </si>
  <si>
    <t>74-1</t>
  </si>
  <si>
    <t>75-1</t>
  </si>
  <si>
    <t>75-2</t>
  </si>
  <si>
    <t>75-3</t>
  </si>
  <si>
    <t>76-1</t>
  </si>
  <si>
    <t>76-2</t>
  </si>
  <si>
    <t>77-1</t>
  </si>
  <si>
    <t>78-1</t>
  </si>
  <si>
    <t>79-1</t>
  </si>
  <si>
    <t>79-2</t>
  </si>
  <si>
    <t>79-3</t>
  </si>
  <si>
    <t>80-1</t>
  </si>
  <si>
    <t>81-1</t>
  </si>
  <si>
    <t>81-2</t>
  </si>
  <si>
    <t>81-3</t>
  </si>
  <si>
    <t>82-1</t>
  </si>
  <si>
    <t>82-2</t>
  </si>
  <si>
    <t>82-3</t>
  </si>
  <si>
    <t>82-4</t>
  </si>
  <si>
    <t>82-5</t>
  </si>
  <si>
    <t>82-6</t>
  </si>
  <si>
    <t>82-7</t>
  </si>
  <si>
    <t>82-8</t>
  </si>
  <si>
    <t>82-9</t>
  </si>
  <si>
    <t>87-1</t>
  </si>
  <si>
    <t>87-2</t>
  </si>
  <si>
    <t>87-3</t>
  </si>
  <si>
    <t>87-4</t>
  </si>
  <si>
    <t>87-5</t>
  </si>
  <si>
    <t>87-6</t>
  </si>
  <si>
    <t>84-1</t>
  </si>
  <si>
    <t>85-1</t>
  </si>
  <si>
    <t>86-1</t>
  </si>
  <si>
    <t>86-2</t>
  </si>
  <si>
    <t>86-3</t>
  </si>
  <si>
    <t>86-4</t>
  </si>
  <si>
    <t>87-7</t>
  </si>
  <si>
    <t>87-8</t>
  </si>
  <si>
    <t>87-9</t>
  </si>
  <si>
    <t>87-10</t>
  </si>
  <si>
    <t>87-11</t>
  </si>
  <si>
    <t>87-12</t>
  </si>
  <si>
    <t>87-13</t>
  </si>
  <si>
    <t>87-14</t>
  </si>
  <si>
    <t>87-15</t>
  </si>
  <si>
    <t>87-16</t>
  </si>
  <si>
    <t>87-17</t>
  </si>
  <si>
    <t>87-18</t>
  </si>
  <si>
    <t>87-19</t>
  </si>
  <si>
    <t>87-20</t>
  </si>
  <si>
    <t>87-21</t>
  </si>
  <si>
    <t>88-1</t>
  </si>
  <si>
    <t>88-2</t>
  </si>
  <si>
    <t>88-3</t>
  </si>
  <si>
    <t>88-4</t>
  </si>
  <si>
    <t>88-5</t>
  </si>
  <si>
    <t>88-6</t>
  </si>
  <si>
    <t>89-1</t>
  </si>
  <si>
    <t>89-2</t>
  </si>
  <si>
    <t>89-3</t>
  </si>
  <si>
    <t>89-4</t>
  </si>
  <si>
    <t>89-5</t>
  </si>
  <si>
    <t>89-6</t>
  </si>
  <si>
    <t>89-7</t>
  </si>
  <si>
    <t>89-8</t>
  </si>
  <si>
    <t>89-9</t>
  </si>
  <si>
    <t>90-1</t>
  </si>
  <si>
    <t>91-1</t>
  </si>
  <si>
    <t>91-2</t>
  </si>
  <si>
    <t>91-3</t>
  </si>
  <si>
    <t>91-4</t>
  </si>
  <si>
    <t>91-5</t>
  </si>
  <si>
    <t>91-6</t>
  </si>
  <si>
    <t>91-7</t>
  </si>
  <si>
    <t>91-8</t>
  </si>
  <si>
    <t>91-9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</si>
  <si>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</si>
  <si>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</si>
  <si>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</si>
  <si>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</si>
  <si>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</si>
  <si>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</si>
  <si>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</si>
  <si>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</si>
  <si>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</si>
  <si>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</si>
  <si>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</si>
  <si>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</si>
  <si>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</si>
  <si>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</si>
  <si>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</si>
  <si>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</si>
  <si>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</si>
  <si>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</si>
  <si>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</si>
  <si>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</si>
  <si>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</si>
  <si>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</si>
  <si>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</si>
  <si>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</si>
  <si>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</si>
  <si>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</si>
  <si>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</si>
  <si>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</si>
  <si>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</si>
  <si>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</si>
  <si>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</si>
  <si>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</si>
  <si>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</si>
  <si>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</si>
  <si>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</si>
  <si>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</si>
  <si>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93-1</t>
  </si>
  <si>
    <t>93-2</t>
  </si>
  <si>
    <t>93-3</t>
  </si>
  <si>
    <t>93-4</t>
  </si>
  <si>
    <t>94-1</t>
  </si>
  <si>
    <t>94-2</t>
  </si>
  <si>
    <t>94-3</t>
  </si>
  <si>
    <t>94-4</t>
  </si>
  <si>
    <t>94-5</t>
  </si>
  <si>
    <t>94-6</t>
  </si>
  <si>
    <t>94-7</t>
  </si>
  <si>
    <t>94-8</t>
  </si>
  <si>
    <t>94-9</t>
  </si>
  <si>
    <t>94-10</t>
  </si>
  <si>
    <t>94-11</t>
  </si>
  <si>
    <t>94-12</t>
  </si>
  <si>
    <t>95-1</t>
  </si>
  <si>
    <t>95-2</t>
  </si>
  <si>
    <t>95-3</t>
  </si>
  <si>
    <t>96-1</t>
  </si>
  <si>
    <t>96-2</t>
  </si>
  <si>
    <t>97-1</t>
  </si>
  <si>
    <t>97-2</t>
  </si>
  <si>
    <t>97-3</t>
  </si>
  <si>
    <t>98-1</t>
  </si>
  <si>
    <t>98-2</t>
  </si>
  <si>
    <t>98-3</t>
  </si>
  <si>
    <t>98-4</t>
  </si>
  <si>
    <t>98-5</t>
  </si>
  <si>
    <t>98-6</t>
  </si>
  <si>
    <t>99-1</t>
  </si>
  <si>
    <t>99-2</t>
  </si>
  <si>
    <t>99-3</t>
  </si>
  <si>
    <t>100-1</t>
  </si>
  <si>
    <t>100-2</t>
  </si>
  <si>
    <t>100-3</t>
  </si>
  <si>
    <t>100-4</t>
  </si>
  <si>
    <t>100-5</t>
  </si>
  <si>
    <t>100-6</t>
  </si>
  <si>
    <t>100-7</t>
  </si>
  <si>
    <t>100-8</t>
  </si>
  <si>
    <t>100-9</t>
  </si>
  <si>
    <t>100-10</t>
  </si>
  <si>
    <t>100-11</t>
  </si>
  <si>
    <t>100-12</t>
  </si>
  <si>
    <t>100-13</t>
  </si>
  <si>
    <t>101-1</t>
  </si>
  <si>
    <t>101-2</t>
  </si>
  <si>
    <t>101-3</t>
  </si>
  <si>
    <t>101-4</t>
  </si>
  <si>
    <t>101-5</t>
  </si>
  <si>
    <t>101-6</t>
  </si>
  <si>
    <t>101-7</t>
  </si>
  <si>
    <t>101-8</t>
  </si>
  <si>
    <t>101-9</t>
  </si>
  <si>
    <t>101-10</t>
  </si>
  <si>
    <t>101-11</t>
  </si>
  <si>
    <t>101-12</t>
  </si>
  <si>
    <t>101-13</t>
  </si>
  <si>
    <t>101-14</t>
  </si>
  <si>
    <t>101-15</t>
  </si>
  <si>
    <t>102-1</t>
  </si>
  <si>
    <t>102-2</t>
  </si>
  <si>
    <t>103-1</t>
  </si>
  <si>
    <t>104-1</t>
  </si>
  <si>
    <t>104-2</t>
  </si>
  <si>
    <t>104-3</t>
  </si>
  <si>
    <t>104-4</t>
  </si>
  <si>
    <t>104-5</t>
  </si>
  <si>
    <t>104-6</t>
  </si>
  <si>
    <t>104-7</t>
  </si>
  <si>
    <t>104-8</t>
  </si>
  <si>
    <t>105-1</t>
  </si>
  <si>
    <t>106-1</t>
  </si>
  <si>
    <t>107-1</t>
  </si>
  <si>
    <t>107-2</t>
  </si>
  <si>
    <t>107-3</t>
  </si>
  <si>
    <t>107-4</t>
  </si>
  <si>
    <t>108-1</t>
  </si>
  <si>
    <t>109-1</t>
  </si>
  <si>
    <t>110-1</t>
  </si>
  <si>
    <t>110-2</t>
  </si>
  <si>
    <t>110-3</t>
  </si>
  <si>
    <t>110-4</t>
  </si>
  <si>
    <t>110-5</t>
  </si>
  <si>
    <t>111-2</t>
  </si>
  <si>
    <t>111-7</t>
  </si>
  <si>
    <t>111-3</t>
  </si>
  <si>
    <t>111-8</t>
  </si>
  <si>
    <t>111-9</t>
  </si>
  <si>
    <t>111-11</t>
  </si>
  <si>
    <t>111-12</t>
  </si>
  <si>
    <t>111-15</t>
  </si>
  <si>
    <t>111-22</t>
  </si>
  <si>
    <t>111-28</t>
  </si>
  <si>
    <t>111-41</t>
  </si>
  <si>
    <t>111-43</t>
  </si>
  <si>
    <t>111-55</t>
  </si>
  <si>
    <t>112-1</t>
  </si>
  <si>
    <t>112-2</t>
  </si>
  <si>
    <t>112-3</t>
  </si>
  <si>
    <t>112-4</t>
  </si>
  <si>
    <t>112-5</t>
  </si>
  <si>
    <t>113-1</t>
  </si>
  <si>
    <t>113-2</t>
  </si>
  <si>
    <t>113-3</t>
  </si>
  <si>
    <t>113-4</t>
  </si>
  <si>
    <t>113-5</t>
  </si>
  <si>
    <t>113-6</t>
  </si>
  <si>
    <t>114-1</t>
  </si>
  <si>
    <t>114-2</t>
  </si>
  <si>
    <t>115-1</t>
  </si>
  <si>
    <t>116-1</t>
  </si>
  <si>
    <t>116-2</t>
  </si>
  <si>
    <t>116-3</t>
  </si>
  <si>
    <t>116-4</t>
  </si>
  <si>
    <t>116-5</t>
  </si>
  <si>
    <t>116-6</t>
  </si>
  <si>
    <t>117-1</t>
  </si>
  <si>
    <t>Legume_Tree</t>
  </si>
  <si>
    <t>118-1</t>
  </si>
  <si>
    <t>118-2</t>
  </si>
  <si>
    <t>118-3</t>
  </si>
  <si>
    <t>118-4</t>
  </si>
  <si>
    <t>118-5</t>
  </si>
  <si>
    <t>118-6</t>
  </si>
  <si>
    <t>119-1</t>
  </si>
  <si>
    <t>119-2</t>
  </si>
  <si>
    <t>119-3</t>
  </si>
  <si>
    <t>120-1</t>
  </si>
  <si>
    <t>120-2</t>
  </si>
  <si>
    <t>121-1</t>
  </si>
  <si>
    <t>121-2</t>
  </si>
  <si>
    <t>121-3</t>
  </si>
  <si>
    <t>121-4</t>
  </si>
  <si>
    <t>121-5</t>
  </si>
  <si>
    <t>122-1</t>
  </si>
  <si>
    <t>123-1</t>
  </si>
  <si>
    <t>123-2</t>
  </si>
  <si>
    <t>123-3</t>
  </si>
  <si>
    <t>123-4</t>
  </si>
  <si>
    <t>123-5</t>
  </si>
  <si>
    <t>123-6</t>
  </si>
  <si>
    <t>124-1</t>
  </si>
  <si>
    <t>124-2</t>
  </si>
  <si>
    <t>124-3</t>
  </si>
  <si>
    <t>124-4</t>
  </si>
  <si>
    <t>125-1</t>
  </si>
  <si>
    <t>125-2</t>
  </si>
  <si>
    <t>125-3</t>
  </si>
  <si>
    <t>125-4</t>
  </si>
  <si>
    <t>125-5</t>
  </si>
  <si>
    <t>125-6</t>
  </si>
  <si>
    <t>125-7</t>
  </si>
  <si>
    <t>125-8</t>
  </si>
  <si>
    <t>125-9</t>
  </si>
  <si>
    <t>125-10</t>
  </si>
  <si>
    <t>126-1</t>
  </si>
  <si>
    <t>127-1</t>
  </si>
  <si>
    <t>127-2</t>
  </si>
  <si>
    <t>128-1</t>
  </si>
  <si>
    <t>128-2</t>
  </si>
  <si>
    <t>128-3</t>
  </si>
  <si>
    <t>129-1</t>
  </si>
  <si>
    <t>129-2</t>
  </si>
  <si>
    <t>130-1</t>
  </si>
  <si>
    <t>130-2</t>
  </si>
  <si>
    <t>130-3</t>
  </si>
  <si>
    <t>130-4</t>
  </si>
  <si>
    <t>130-5</t>
  </si>
  <si>
    <t>130-6</t>
  </si>
  <si>
    <t>131-1</t>
  </si>
  <si>
    <t>132-1</t>
  </si>
  <si>
    <t>134-1</t>
  </si>
  <si>
    <t>134-2</t>
  </si>
  <si>
    <t>135-1</t>
  </si>
  <si>
    <t>136-1</t>
  </si>
  <si>
    <t>136-2</t>
  </si>
  <si>
    <t>136-3</t>
  </si>
  <si>
    <t>137-1</t>
  </si>
  <si>
    <t>137-2</t>
  </si>
  <si>
    <t>137-3</t>
  </si>
  <si>
    <t>137-4</t>
  </si>
  <si>
    <t>137-5</t>
  </si>
  <si>
    <t>137-6</t>
  </si>
  <si>
    <t>138-1</t>
  </si>
  <si>
    <t>138-2</t>
  </si>
  <si>
    <t>133-4</t>
  </si>
  <si>
    <t>140-1</t>
  </si>
  <si>
    <t>141-1</t>
  </si>
  <si>
    <t>141-2</t>
  </si>
  <si>
    <t>142-3</t>
  </si>
  <si>
    <t>143-1</t>
  </si>
  <si>
    <t>144-1</t>
  </si>
  <si>
    <t>145-1</t>
  </si>
  <si>
    <t>145-2</t>
  </si>
  <si>
    <t>145-3</t>
  </si>
  <si>
    <t>145-4</t>
  </si>
  <si>
    <t>146-1</t>
  </si>
  <si>
    <t>146-2</t>
  </si>
  <si>
    <t>147-1</t>
  </si>
  <si>
    <t>147-2</t>
  </si>
  <si>
    <t>148-1</t>
  </si>
  <si>
    <t>148-2</t>
  </si>
  <si>
    <t>148-3</t>
  </si>
  <si>
    <t>149-1</t>
  </si>
  <si>
    <t>150-1</t>
  </si>
  <si>
    <t>150-2</t>
  </si>
  <si>
    <t>150-3</t>
  </si>
  <si>
    <t>150-4</t>
  </si>
  <si>
    <t>151-1</t>
  </si>
  <si>
    <t>151-2</t>
  </si>
  <si>
    <t>152-1</t>
  </si>
  <si>
    <t>152-2</t>
  </si>
  <si>
    <t>153-1</t>
  </si>
  <si>
    <t>153-2</t>
  </si>
  <si>
    <t>153-3</t>
  </si>
  <si>
    <t>153-4</t>
  </si>
  <si>
    <t>153-5</t>
  </si>
  <si>
    <t>TOC (*0.00061*100 to %)</t>
  </si>
  <si>
    <t>TC, kg per ha to, should be Mg per ha, otherwise data not in the right magnitude after unit convertion</t>
  </si>
  <si>
    <t>60-3</t>
  </si>
  <si>
    <t>60-4</t>
  </si>
  <si>
    <t>SOC, Units Mg/ha to % (*(1/(100*100*0.05*1.35))*100)</t>
  </si>
  <si>
    <t>TC (g/kg) to %</t>
  </si>
  <si>
    <t>SOC (g/kg) to %</t>
  </si>
  <si>
    <t>4.2OC_Comments</t>
  </si>
  <si>
    <t>Xie</t>
  </si>
  <si>
    <t>Zhijian</t>
  </si>
  <si>
    <t>Fengcheng, Jianxi</t>
  </si>
  <si>
    <t>Kg N2O-N per ha</t>
  </si>
  <si>
    <t>Mg per ha to Kg per ha</t>
  </si>
  <si>
    <t>Kg CO2 per ha</t>
  </si>
  <si>
    <t>NH4 (mg/kg)</t>
  </si>
  <si>
    <t>NO3 (mg/kg)</t>
  </si>
  <si>
    <t>Nitrifying bacterial</t>
  </si>
  <si>
    <t>De nitrifying bacterial</t>
  </si>
  <si>
    <t>189-1</t>
  </si>
  <si>
    <t>189-2</t>
  </si>
  <si>
    <t>2014</t>
  </si>
  <si>
    <t>Yu</t>
  </si>
  <si>
    <t>Yingliang</t>
  </si>
  <si>
    <t>Agronomy Sustainable Development</t>
  </si>
  <si>
    <t>2009-2012</t>
  </si>
  <si>
    <t>Longyan Village, Hudai Town, Wuxi, Jiangsu</t>
  </si>
  <si>
    <t>190-1</t>
  </si>
  <si>
    <t>190-2</t>
  </si>
  <si>
    <t>190-3</t>
  </si>
  <si>
    <t>190-4</t>
  </si>
  <si>
    <t>N-loss (kg per ha per yr)</t>
  </si>
  <si>
    <t>SOM (%)</t>
  </si>
  <si>
    <t>Mineral N (mg per kg)</t>
  </si>
  <si>
    <t>Yuan</t>
  </si>
  <si>
    <t>Huimin</t>
  </si>
  <si>
    <t>Pedosphere</t>
  </si>
  <si>
    <t>Winter-spring season</t>
  </si>
  <si>
    <t>Autumn-winter season</t>
  </si>
  <si>
    <t>191-1</t>
  </si>
  <si>
    <t>191-2</t>
  </si>
  <si>
    <t>Jun 29 2008</t>
  </si>
  <si>
    <t>120-to-150</t>
  </si>
  <si>
    <t>150-to-180</t>
  </si>
  <si>
    <t>2008-20010</t>
  </si>
  <si>
    <t>191-3</t>
  </si>
  <si>
    <t>191-4</t>
  </si>
  <si>
    <t>191-5</t>
  </si>
  <si>
    <t>191-6</t>
  </si>
  <si>
    <t>Sep 3 2008</t>
  </si>
  <si>
    <t>Jan 15 2009</t>
  </si>
  <si>
    <t>Jun 23 2009</t>
  </si>
  <si>
    <t>Sep 7 2009</t>
  </si>
  <si>
    <t>Jan 25 2009</t>
  </si>
  <si>
    <t>Fuvo-aquic soil</t>
  </si>
  <si>
    <t>Zhang</t>
  </si>
  <si>
    <t>Dabing</t>
  </si>
  <si>
    <t>Changwu County, Shannxi</t>
  </si>
  <si>
    <t>2008-2012</t>
  </si>
  <si>
    <t>192-1</t>
  </si>
  <si>
    <t>Huai bean</t>
  </si>
  <si>
    <t>Mung bean</t>
  </si>
  <si>
    <t>European Journal of Agronomy</t>
  </si>
  <si>
    <t>120-to-140</t>
  </si>
  <si>
    <t>140-to-160</t>
  </si>
  <si>
    <t>160-to-180</t>
  </si>
  <si>
    <t>180-to-200</t>
  </si>
  <si>
    <t>100-to-120</t>
  </si>
  <si>
    <t>Nitrate_N (kg N per ha)</t>
  </si>
  <si>
    <t>Bloom stage</t>
  </si>
  <si>
    <t>Sowing stage</t>
  </si>
  <si>
    <t>Harvest stage</t>
  </si>
  <si>
    <t>193-1</t>
  </si>
  <si>
    <t>193-2</t>
  </si>
  <si>
    <t>193-3</t>
  </si>
  <si>
    <t>193-4</t>
  </si>
  <si>
    <t>193-5</t>
  </si>
  <si>
    <t>193-6</t>
  </si>
  <si>
    <t>193-7</t>
  </si>
  <si>
    <t>193-8</t>
  </si>
  <si>
    <t>193-9</t>
  </si>
  <si>
    <t>193-10</t>
  </si>
  <si>
    <t>194-1</t>
  </si>
  <si>
    <t>Scientific Report</t>
  </si>
  <si>
    <t>0-to-100</t>
  </si>
  <si>
    <t>Dry years</t>
  </si>
  <si>
    <t>Normal years</t>
  </si>
  <si>
    <t>Wet years</t>
  </si>
  <si>
    <t>194-2</t>
  </si>
  <si>
    <t>100-to-200</t>
  </si>
  <si>
    <t>During the summer follow season</t>
  </si>
  <si>
    <t>During the wheat growing season</t>
  </si>
  <si>
    <t>Bo</t>
  </si>
  <si>
    <t>2008-2010</t>
  </si>
  <si>
    <t>Huarong county, Hunan</t>
  </si>
  <si>
    <t>195-1</t>
  </si>
  <si>
    <t>195-2</t>
  </si>
  <si>
    <t>195-3</t>
  </si>
  <si>
    <t>195-4</t>
  </si>
  <si>
    <t>NH4-N</t>
  </si>
  <si>
    <t>195-5</t>
  </si>
  <si>
    <t>195-6</t>
  </si>
  <si>
    <t>195-7</t>
  </si>
  <si>
    <t>195-8</t>
  </si>
  <si>
    <t>195-9</t>
  </si>
  <si>
    <t>195-10</t>
  </si>
  <si>
    <t>195-11</t>
  </si>
  <si>
    <t>195-12</t>
  </si>
  <si>
    <t>195-13</t>
  </si>
  <si>
    <t>195-14</t>
  </si>
  <si>
    <t>2008-2011</t>
  </si>
  <si>
    <t>0 kg per ha</t>
  </si>
  <si>
    <t>100 kg per ha</t>
  </si>
  <si>
    <t>200 kg per ha</t>
  </si>
  <si>
    <t>Early Rice</t>
  </si>
  <si>
    <t>Late Rice</t>
  </si>
  <si>
    <t>N use efficiency and fertilizer recover efficiency available</t>
  </si>
  <si>
    <t>196-1</t>
  </si>
  <si>
    <t>196-2</t>
  </si>
  <si>
    <t>196-3</t>
  </si>
  <si>
    <t>SOC (Mg per Ha)</t>
  </si>
  <si>
    <t>OM (Percentage)</t>
  </si>
  <si>
    <t>SOC (Percentage)</t>
  </si>
  <si>
    <t>TOC (Mg per Ha)</t>
  </si>
  <si>
    <t>TC (Percentage)</t>
  </si>
  <si>
    <t>SOM (Percentage)</t>
  </si>
  <si>
    <t>OC (Percentage)</t>
  </si>
  <si>
    <t>TC (Kg per ha)</t>
  </si>
  <si>
    <t>TOC (Mg per ha)</t>
  </si>
  <si>
    <t>Labile C (100 g per ha)</t>
  </si>
  <si>
    <t>SOC (Mg per ha)</t>
  </si>
  <si>
    <t>OC (Mg per ha)</t>
  </si>
  <si>
    <t>21-to-80</t>
  </si>
  <si>
    <t>Cebada/Barley</t>
  </si>
  <si>
    <t>Nabo forrajero/Turnip fodder</t>
  </si>
  <si>
    <t>Mg (mg/kg)</t>
  </si>
  <si>
    <t>Ca+Mg+K (mg/kg)</t>
  </si>
  <si>
    <t>CaMgAl (mg/kg)</t>
  </si>
  <si>
    <t>Available water hold capacity of control (mean value), reflects the quantity o f water that a disturbed sample o f soil can store for 
plant use. It is the difference between water stored at field capacity and at the wilting point, and is 
measured using pressure chambers.</t>
  </si>
  <si>
    <t>Penetration resistance of control (mean value), root. Is a measure of  the maximum soil surface (0 to 6 inch depth) penetration resistance (psi), or compaction, determined using a field penetrometer.</t>
  </si>
  <si>
    <t>Soil aggregation of control (mean value), there are multiple indicators of soil aggregation, always make notes. Agg is a measure of  how well soil aggregates resist disintegration when hit by rain drops. It is measured using a standardized simulated rainfall event on a sieve containing soil aggregates between 0.25 and 2.0 mm. The fraction of  soil that remains on the sieve determines the percent aggregate stability.</t>
  </si>
  <si>
    <t>Active C is a measure of  the small portion of  the organic matter that can serve as an easily available food source for soil microbes, thus helping fuel and maintain a healthy soil food web. It is measured by quantifying potassium permanganate oxidation with a spectrophotometer.</t>
  </si>
  <si>
    <t>PMN:  is a combined measure of  soil biological activity and substrate available to mineralize nitrogen to make it available to the plant. It is measured as the change in mineralized plantavailable nitrogen present after a seven day anaerobic incubation.</t>
  </si>
  <si>
    <t>Heavy material</t>
  </si>
  <si>
    <t xml:space="preserve"> Heavy metals such as arsenic, barium, cadmium, chromium, copper, lead, nickel, zinc are measured. </t>
  </si>
  <si>
    <t>Can be added</t>
  </si>
  <si>
    <t>Notes 1</t>
  </si>
  <si>
    <t>Notes 2</t>
  </si>
  <si>
    <t>Tillage_Top_C</t>
  </si>
  <si>
    <t>Tillage_Top_T</t>
  </si>
  <si>
    <t>Tillage details</t>
  </si>
  <si>
    <t>Disk tillage</t>
  </si>
  <si>
    <t>Strip-tiller tillage</t>
  </si>
  <si>
    <t>Multch tillage</t>
  </si>
  <si>
    <t>Reduced tillage</t>
  </si>
  <si>
    <t>Full-tilled</t>
  </si>
  <si>
    <t>Mouldboard ploughing</t>
  </si>
  <si>
    <t>Clark</t>
  </si>
  <si>
    <t>Kerry M.</t>
  </si>
  <si>
    <t xml:space="preserve">Organic agriculture and agroecology  </t>
  </si>
  <si>
    <t>2012-2014</t>
  </si>
  <si>
    <t>Boone County, east of Columbia, MO</t>
  </si>
  <si>
    <t>Mesic Vertic Epiaqualf</t>
  </si>
  <si>
    <t>1×</t>
  </si>
  <si>
    <t>1.5×</t>
  </si>
  <si>
    <t>0×</t>
  </si>
  <si>
    <t>0.5×</t>
  </si>
  <si>
    <t>RT</t>
  </si>
  <si>
    <t>197-1</t>
  </si>
  <si>
    <t>197-2</t>
  </si>
  <si>
    <t>197-3</t>
  </si>
  <si>
    <t>197-4</t>
  </si>
  <si>
    <t>197-5</t>
  </si>
  <si>
    <t>197-6</t>
  </si>
  <si>
    <t>197-7</t>
  </si>
  <si>
    <t>197-8</t>
  </si>
  <si>
    <t>197-9</t>
  </si>
  <si>
    <t>197-10</t>
  </si>
  <si>
    <t>197-11</t>
  </si>
  <si>
    <t>197-12</t>
  </si>
  <si>
    <t>Fuensanta</t>
  </si>
  <si>
    <t>Garcia-Orenes</t>
  </si>
  <si>
    <t>Land Degradation and Development</t>
  </si>
  <si>
    <t>Mogente municipality, Valencia Province Southeast Spain</t>
  </si>
  <si>
    <t>Spain</t>
  </si>
  <si>
    <t>Typic Xeroﬂuvent</t>
  </si>
  <si>
    <t>2005-2014</t>
  </si>
  <si>
    <t>Grapevine</t>
  </si>
  <si>
    <t>GRAPEVINE</t>
  </si>
  <si>
    <t>Inorganic fertilizer</t>
  </si>
  <si>
    <t>Organic pruning</t>
  </si>
  <si>
    <t>198-1</t>
  </si>
  <si>
    <t>Beta-glucosidase</t>
  </si>
  <si>
    <t>Funti, Fungi/bacteria and many other available</t>
  </si>
  <si>
    <t>MARQUES</t>
  </si>
  <si>
    <t xml:space="preserve">M. J. </t>
  </si>
  <si>
    <t xml:space="preserve"> Campo Real, Madrid</t>
  </si>
  <si>
    <t>Calcic Haploxeralf</t>
  </si>
  <si>
    <t>Traditional tillage</t>
  </si>
  <si>
    <t>Brachypodium</t>
  </si>
  <si>
    <t>Vineyard</t>
  </si>
  <si>
    <t>g/m2/yr</t>
  </si>
  <si>
    <t>mm/yr</t>
  </si>
  <si>
    <t>0-to-35</t>
  </si>
  <si>
    <t>35</t>
  </si>
  <si>
    <t>m3/m3</t>
  </si>
  <si>
    <t>N/m2</t>
  </si>
  <si>
    <t>g/kg to %, LOI</t>
  </si>
  <si>
    <t xml:space="preserve">kg per vine </t>
  </si>
  <si>
    <t>199-1</t>
  </si>
  <si>
    <t>199-2</t>
  </si>
  <si>
    <t>199-3</t>
  </si>
  <si>
    <t>199-4</t>
  </si>
  <si>
    <t>Kiwifruit</t>
  </si>
  <si>
    <t>Compost and pruning residue</t>
  </si>
  <si>
    <t>Pruning residue removed</t>
  </si>
  <si>
    <t>200-1</t>
  </si>
  <si>
    <t>200-2</t>
  </si>
  <si>
    <t>200-3</t>
  </si>
  <si>
    <t>200-4</t>
  </si>
  <si>
    <t>200-5</t>
  </si>
  <si>
    <t>200-6</t>
  </si>
  <si>
    <t>200-7</t>
  </si>
  <si>
    <t>200-8</t>
  </si>
  <si>
    <t>MONTANARO</t>
  </si>
  <si>
    <t>Haplic Luvisols</t>
  </si>
  <si>
    <t>Haplic Revosols</t>
  </si>
  <si>
    <t xml:space="preserve"> South Italy</t>
  </si>
  <si>
    <t>Moore</t>
  </si>
  <si>
    <t>E.B.</t>
  </si>
  <si>
    <t>2009-2011</t>
  </si>
  <si>
    <t>Mesic Typic Hapludoll</t>
  </si>
  <si>
    <t>208-117-74 kg N-P-K per ha</t>
  </si>
  <si>
    <t>201-1</t>
  </si>
  <si>
    <t>201-2</t>
  </si>
  <si>
    <t>201-3</t>
  </si>
  <si>
    <t>201-4</t>
  </si>
  <si>
    <t>Mg per ha to kg per ha</t>
  </si>
  <si>
    <t>Particale organic matter (POM) available</t>
  </si>
  <si>
    <t>PMN (mg N per kg soil)</t>
  </si>
  <si>
    <t>Olson</t>
  </si>
  <si>
    <t>Open Journal of Soil Science</t>
  </si>
  <si>
    <t>K.</t>
  </si>
  <si>
    <t>2001-2012</t>
  </si>
  <si>
    <t>Dixon Springs Agricultural Research Center in southern Illinois</t>
  </si>
  <si>
    <t>OC_Change_C</t>
  </si>
  <si>
    <t>OC_Change_T</t>
  </si>
  <si>
    <t>OC_Change_Comments</t>
  </si>
  <si>
    <t>Soil organic carbon sequestration rate compare with beginning of experiments</t>
  </si>
  <si>
    <t>Comments on soil organic carbon sequestration rate compare with beginning of experiments</t>
  </si>
  <si>
    <t>Mesic Typic Fragiudalf</t>
  </si>
  <si>
    <t>Average of the conbination of above</t>
  </si>
  <si>
    <t>AVG</t>
  </si>
  <si>
    <t>Average of Soybean and corn</t>
  </si>
  <si>
    <t>Average of combination of above</t>
  </si>
  <si>
    <t>Average of Vtech and Rye</t>
  </si>
  <si>
    <t>15-to-75</t>
  </si>
  <si>
    <t>0-to-75</t>
  </si>
  <si>
    <t>75</t>
  </si>
  <si>
    <t>Seq. rate (Mg/ha/cm/yr), Always make comments</t>
  </si>
  <si>
    <t>Kg c per ha per yr per cm</t>
  </si>
  <si>
    <t>Moldboard plow</t>
  </si>
  <si>
    <t>202-1</t>
  </si>
  <si>
    <t>202-2</t>
  </si>
  <si>
    <t>202-3</t>
  </si>
  <si>
    <t>202-4</t>
  </si>
  <si>
    <t>202-5</t>
  </si>
  <si>
    <t>202-6</t>
  </si>
  <si>
    <t>202-7</t>
  </si>
  <si>
    <t>202-8</t>
  </si>
  <si>
    <t>202-9</t>
  </si>
  <si>
    <t>202-10</t>
  </si>
  <si>
    <t>202-11</t>
  </si>
  <si>
    <t>202-12</t>
  </si>
  <si>
    <t xml:space="preserve">Nitrogen loss, nitrate, SOC, P, etc concentration in the runoff, in the drainage of control </t>
  </si>
  <si>
    <t>Nitrogen loss, nitrate, SOC, P, etc concentration in the runoff, in the drainage of ccover crop</t>
  </si>
  <si>
    <t>Comments on Nitrogen loss, SOC, P, etc nitrate concentration in the runoff, in the drainage</t>
  </si>
  <si>
    <t>SOC loss (Mg/ha/yr) to kg per ha per yr</t>
  </si>
  <si>
    <t>Soybean population (1000 plants per ha)</t>
  </si>
  <si>
    <t>Corn population (1000 plants per ha)</t>
  </si>
  <si>
    <t>202-13</t>
  </si>
  <si>
    <t>202-14</t>
  </si>
  <si>
    <t>202-15</t>
  </si>
  <si>
    <t>Piccoli</t>
  </si>
  <si>
    <t xml:space="preserve">I. </t>
  </si>
  <si>
    <t>2011-2015</t>
  </si>
  <si>
    <t>Veneto Region low plain, Northeastern Italy</t>
  </si>
  <si>
    <t>203-1</t>
  </si>
  <si>
    <t>0-to-47.5</t>
  </si>
  <si>
    <t>47.5</t>
  </si>
  <si>
    <t>Wheat-oilseed rape-soybean</t>
  </si>
  <si>
    <t>Average of wheat-maize-soybean</t>
  </si>
  <si>
    <t>um3 per um3 to % (only TP_Core used)</t>
  </si>
  <si>
    <t>204-1</t>
  </si>
  <si>
    <t>Starr</t>
  </si>
  <si>
    <t>G.C.</t>
  </si>
  <si>
    <t>1985-1995</t>
  </si>
  <si>
    <t>Coshocton County, Ohio, USA</t>
  </si>
  <si>
    <t>Mesic Aquic Hapludalfs</t>
  </si>
  <si>
    <t>Need contact author check about No-till with cover crop but chisel till with no cover crop</t>
  </si>
  <si>
    <t>C loss ka per ha</t>
  </si>
  <si>
    <t>205-1</t>
  </si>
  <si>
    <t>Miguel A.</t>
  </si>
  <si>
    <t>Repullo-Ruiberriz</t>
  </si>
  <si>
    <t xml:space="preserve"> Cordoba Spain</t>
  </si>
  <si>
    <t>Typic Calcixerept subgroup</t>
  </si>
  <si>
    <t>Oliver</t>
  </si>
  <si>
    <t>Before mowing</t>
  </si>
  <si>
    <t>After mowing</t>
  </si>
  <si>
    <t>205-2</t>
  </si>
  <si>
    <t>205-3</t>
  </si>
  <si>
    <t>205-4</t>
  </si>
  <si>
    <t>205-5</t>
  </si>
  <si>
    <t>High itensity rainfall</t>
  </si>
  <si>
    <t>Middle itensity rainfall</t>
  </si>
  <si>
    <t>SOC loss kg per ha</t>
  </si>
  <si>
    <t xml:space="preserve">Brachypodium distachyon </t>
  </si>
  <si>
    <t>Sinapis alba</t>
  </si>
  <si>
    <t>Vicia ervilia</t>
  </si>
  <si>
    <t>Spontaneous weed</t>
  </si>
  <si>
    <t>mm per h to cm per hr</t>
  </si>
  <si>
    <t>206-1</t>
  </si>
  <si>
    <t>SOC_NaturalVeg</t>
  </si>
  <si>
    <t>Soil organic carbon of near by natural vegetation land use, can be used as comparison as the potension carbon equlibrium status</t>
  </si>
  <si>
    <t>Wiesmeier</t>
  </si>
  <si>
    <t xml:space="preserve">Martin </t>
  </si>
  <si>
    <t>Republic of Moldova</t>
  </si>
  <si>
    <t>Eight sites in Republic of Moldova</t>
  </si>
  <si>
    <t>mg/g to %</t>
  </si>
  <si>
    <t>OC_C_Seq</t>
  </si>
  <si>
    <t>OC_T_Seq</t>
  </si>
  <si>
    <t>OC_C_SD_Seq</t>
  </si>
  <si>
    <t>OC_T_SD_Seq</t>
  </si>
  <si>
    <t>4.3OC_Seq_Comments</t>
  </si>
  <si>
    <t>Welsh et al. 2009_forage-grain compost</t>
  </si>
  <si>
    <t>Welsh et al. 2009_grain only</t>
  </si>
  <si>
    <t>Welsh et al. 2009_forage-grain</t>
  </si>
  <si>
    <t>Wells et al 2000_pair 4</t>
  </si>
  <si>
    <t>Wells et al 2000_pair 3</t>
  </si>
  <si>
    <t>Wells et al 2000_pair 2</t>
  </si>
  <si>
    <t>Wells et al 2000_pair 1</t>
  </si>
  <si>
    <t>Wang et al. 2011_pair 3</t>
  </si>
  <si>
    <t>Wang et al. 2011_pair 2</t>
  </si>
  <si>
    <t>Wang et al. 2011_pair 1</t>
  </si>
  <si>
    <t>Vavoulidou et al. 2009_Mesinia</t>
  </si>
  <si>
    <t>Vavoulidou et al. 2009_Chania olive</t>
  </si>
  <si>
    <t>Vavoulidou et al. 2009_Chania citrus</t>
  </si>
  <si>
    <t>Vavoulidou et al. 2009_Attiki</t>
  </si>
  <si>
    <t>Vavoulidou et al. 2009_Arkadia</t>
  </si>
  <si>
    <t>Van Diepeningen et al. 2006, sandy soils</t>
  </si>
  <si>
    <t>Van Diepeningen et al. 2006, clay soils</t>
  </si>
  <si>
    <t>Teasdale et al. 2007_total horizon_pair 3</t>
  </si>
  <si>
    <t>Teasdale et al. 2007_total horizon_pair 2</t>
  </si>
  <si>
    <t>Teasdale et al. 2007_total horizon_pair 1</t>
  </si>
  <si>
    <t>Snapp et al 2010</t>
  </si>
  <si>
    <t>Sehy, 2004, Scheyern single croplands II</t>
  </si>
  <si>
    <t>Rühling et al. 2005, Scheyern all fields</t>
  </si>
  <si>
    <t>Romanya and Rovira, 2009_rain-fed</t>
  </si>
  <si>
    <t>Romanya and Rovira, 2009_irrigated</t>
  </si>
  <si>
    <t>Reganold et al. 2010_topsoil</t>
  </si>
  <si>
    <t>Reganold et al. 2010_subsoil</t>
  </si>
  <si>
    <t>Reganold et al 1993_sheep</t>
  </si>
  <si>
    <t>Reganold et al 1993_pip fruit</t>
  </si>
  <si>
    <t>Reganold et al 1993_market garden</t>
  </si>
  <si>
    <t>Reganold et al 1993_grain</t>
  </si>
  <si>
    <t>Reganold et al 1993_dairy_sandy loam</t>
  </si>
  <si>
    <t>Reganold et al 1993_dairy_clay loam</t>
  </si>
  <si>
    <t>Reganold et al 1993_citrus</t>
  </si>
  <si>
    <t>Rasul and Thapa 2004</t>
  </si>
  <si>
    <t>Qin et al. 2010</t>
  </si>
  <si>
    <t>Purin et al. 2006</t>
  </si>
  <si>
    <t>Pulleman et al 2003</t>
  </si>
  <si>
    <t>Probst et al. 2008_T-I-top</t>
  </si>
  <si>
    <t>Probst et al. 2008_T-II-top</t>
  </si>
  <si>
    <t>Probst et al. 2008_T-II-bottom</t>
  </si>
  <si>
    <t>Probst et al. 2008_T-I-bottom</t>
  </si>
  <si>
    <t>Probst et al. 2008_P-I-top</t>
  </si>
  <si>
    <t>Probst et al. 2008_P-II-top</t>
  </si>
  <si>
    <t>Probst et al. 2008_P-II-bottom</t>
  </si>
  <si>
    <t>Probst et al. 2008_P-I-bottom</t>
  </si>
  <si>
    <t>Phillips, 2007</t>
  </si>
  <si>
    <t>Petersen et al 1997_pair 8</t>
  </si>
  <si>
    <t>Petersen et al 1997_pair 7</t>
  </si>
  <si>
    <t>Petersen et al 1997_pair 6</t>
  </si>
  <si>
    <t>Petersen et al 1997_pair 5</t>
  </si>
  <si>
    <t>Petersen et al 1997_pair 4</t>
  </si>
  <si>
    <t>Petersen et al 1997_pair 3</t>
  </si>
  <si>
    <t>Petersen et al 1997_pair 2</t>
  </si>
  <si>
    <t>Petersen et al 1997_pair 1</t>
  </si>
  <si>
    <t>Pardo et al. 2009_plot 2</t>
  </si>
  <si>
    <t>Pardo et al. 2009_plot 1</t>
  </si>
  <si>
    <t>Okur et al. 2009</t>
  </si>
  <si>
    <t>Oberholzer et al 2000</t>
  </si>
  <si>
    <t>Nguyen et al 1995_Temuka pasture</t>
  </si>
  <si>
    <t>Nguyen et al 1995_Temuka cropland</t>
  </si>
  <si>
    <t>Nguyen et al 1995_Templeton pasture</t>
  </si>
  <si>
    <t>Nguyen et al 1995_Templeton cropland</t>
  </si>
  <si>
    <t>Nguyen et al 1995_Kowai pasture</t>
  </si>
  <si>
    <t>Nguyen et al 1995_Kowai cropland</t>
  </si>
  <si>
    <t>N. Monokrousos et al. 2006_pair 3</t>
  </si>
  <si>
    <t>N. Monokrousos et al. 2006_pair 2</t>
  </si>
  <si>
    <t>N. Monokrousos et al. 2006_pair 1</t>
  </si>
  <si>
    <t>Murata &amp; Goh, 1997_pasture</t>
  </si>
  <si>
    <t>Murata &amp; Goh, 1997_arable</t>
  </si>
  <si>
    <t>Mulla et al 1992_topslope</t>
  </si>
  <si>
    <t>Mulla et al 1992_footslope</t>
  </si>
  <si>
    <t>Mulla et al 1992_backslope</t>
  </si>
  <si>
    <t>Moeskops et al 2010_Ciwidey Pair 2</t>
  </si>
  <si>
    <t>Moeskops et al 2010_Ciwidey Pair 1</t>
  </si>
  <si>
    <t>Moeskops et al 2010_Cisarua2 Pair 2</t>
  </si>
  <si>
    <t>Moeskops et al 2010_Cisarua2 Pair 1</t>
  </si>
  <si>
    <t>Moeskops et al 2010_Cisarua1 Pair 2</t>
  </si>
  <si>
    <t>Moeskops et al 2010_Cisarua1 Pair 1</t>
  </si>
  <si>
    <t>Melero et al 2007_pair 2</t>
  </si>
  <si>
    <t>Melero et al 2007_pair 1</t>
  </si>
  <si>
    <t>Mazzoncini et al 2010</t>
  </si>
  <si>
    <t>Marinari et al. 2010b_La Selva</t>
  </si>
  <si>
    <t>Marinari et al. 2010a_Colle Valle plot scale</t>
  </si>
  <si>
    <t>Marinari et al 2010b_Colle Valle farm scale</t>
  </si>
  <si>
    <t>Lytton-Hitchins et al 1994</t>
  </si>
  <si>
    <t>Liebig &amp; Doran 1999_Windsor</t>
  </si>
  <si>
    <t>Liebig &amp; Doran 1999_Valley</t>
  </si>
  <si>
    <t>Liebig &amp; Doran 1999_Medina</t>
  </si>
  <si>
    <t>Liebig &amp; Doran 1999_Giltner</t>
  </si>
  <si>
    <t>Liebig &amp; Doran 1999_Deweese</t>
  </si>
  <si>
    <t>Leite et al. 2010_total horizon_pair 2</t>
  </si>
  <si>
    <t>Leite et al. 2010_total horizon_pair 1</t>
  </si>
  <si>
    <t>Leifeld et al. 2009_DOK 4</t>
  </si>
  <si>
    <t>Leifeld et al. 2009_DOK 3</t>
  </si>
  <si>
    <t>Leifeld et al. 2009_DOK 2</t>
  </si>
  <si>
    <t>Leifeld et al. 2009_DOK 1</t>
  </si>
  <si>
    <t>Kramer et al. 2006_orchard 2</t>
  </si>
  <si>
    <t>Kramer et al. 2006_orchard 1</t>
  </si>
  <si>
    <t>Kong et al. 2005_pair 2</t>
  </si>
  <si>
    <t>Kong et al. 2005_pair 1</t>
  </si>
  <si>
    <t>Kong et al 2005_pair 3</t>
  </si>
  <si>
    <t>Kirchmann et al 2007</t>
  </si>
  <si>
    <t>Kahle et al 2005</t>
  </si>
  <si>
    <t>Herencia Galan et al. 2011</t>
  </si>
  <si>
    <t>Hepperly et al 2006_pair 2</t>
  </si>
  <si>
    <t>Hepperly et al 2006_pair 1</t>
  </si>
  <si>
    <t>Heitkamp et al. 2009_medium fert.</t>
  </si>
  <si>
    <t>Heitkamp et al. 2009_low fert.</t>
  </si>
  <si>
    <t>Heitkamp et al. 2009_high fert.</t>
  </si>
  <si>
    <t>Haggar et al. 2011_Nicaragua SGTR</t>
  </si>
  <si>
    <t>Haggar et al. 2011_Nicaragua ILSS</t>
  </si>
  <si>
    <t>Haggar et al. 2011_Nicaragua ILSG</t>
  </si>
  <si>
    <t>Haggar et al. 2011_Costa Rica, TA</t>
  </si>
  <si>
    <t>Haggar et al. 2011_Costa Rica, EPTA</t>
  </si>
  <si>
    <t>Haggar et al. 2011_Costa Rica, EP</t>
  </si>
  <si>
    <t>Haggar et al. 2011_Costa Rica, CETA</t>
  </si>
  <si>
    <t>Haggar et al. 2011_Costa Rica, CEEP</t>
  </si>
  <si>
    <t>Haggar et al. 2011_Costa Rica, CE</t>
  </si>
  <si>
    <t>Granstedt et al 2008_topsoil</t>
  </si>
  <si>
    <t>Granstedt et al 2008_subsoil</t>
  </si>
  <si>
    <t>Grandy &amp; Robertson 2007_pair 3</t>
  </si>
  <si>
    <t>Grandy &amp; Robertson 2007_pair 2</t>
  </si>
  <si>
    <t>Grandy &amp; Robertson 2007_pair 1</t>
  </si>
  <si>
    <t>Gosling &amp; Shepherd 2005_pair 2</t>
  </si>
  <si>
    <t>Gosling &amp; Shepherd 2005_pair 1</t>
  </si>
  <si>
    <t>Glover et al. 2000_orchard 2</t>
  </si>
  <si>
    <t>Glover et al. 2000_orchard 1</t>
  </si>
  <si>
    <t>Gehrhardt, 1997</t>
  </si>
  <si>
    <t>Ge et al., 2011</t>
  </si>
  <si>
    <t>Gardner &amp; Glancy, 1996_ND West-2</t>
  </si>
  <si>
    <t>Gardner &amp; Glancy, 1996_ND West-1</t>
  </si>
  <si>
    <t>Gardner &amp; Glancy, 1996_ND East-2</t>
  </si>
  <si>
    <t>Gardner &amp; Glancy, 1996_ND East-1</t>
  </si>
  <si>
    <t>Gardner &amp; Glancy, 1996_ND Central-2</t>
  </si>
  <si>
    <t>Gardner &amp; Glancy, 1996_ND Central-1</t>
  </si>
  <si>
    <t>Garcia-Ruizet al 2009_PT site</t>
  </si>
  <si>
    <t>Garcia-Ruizet al 2009_PS site</t>
  </si>
  <si>
    <t>Garcia-Ruizet al 2009_PG site</t>
  </si>
  <si>
    <t>Friedel et al 2000</t>
  </si>
  <si>
    <t>Fraser et al 1988_pair3_total</t>
  </si>
  <si>
    <t>Fraser et al 1988_pair2_total</t>
  </si>
  <si>
    <t>Fraser et al 1988_pair1_total</t>
  </si>
  <si>
    <t>Eyhorn et al. 2007</t>
  </si>
  <si>
    <t>Eltun et al 2002_forage 2</t>
  </si>
  <si>
    <t>Eltun et al 2002_forage 1</t>
  </si>
  <si>
    <t>Eltun et al 2002_arable 2</t>
  </si>
  <si>
    <t>Eltun et al 2002_arable 1</t>
  </si>
  <si>
    <t>Efthimiadou et al. 2010_2</t>
  </si>
  <si>
    <t>Efthimiadou et al. 2010_1</t>
  </si>
  <si>
    <t>Droogers &amp; Bouma 1996_grass topsoil</t>
  </si>
  <si>
    <t>Droogers &amp; Bouma 1996_grass subsoil</t>
  </si>
  <si>
    <t>Droogers &amp; Bouma 1996_arable topsoil</t>
  </si>
  <si>
    <t>Droogers &amp; Bouma 1996_arable subsoil</t>
  </si>
  <si>
    <t>Dilly et al., 2001, Scheyern single croplands I</t>
  </si>
  <si>
    <t>Diez et al. 1991</t>
  </si>
  <si>
    <t>Derrick &amp; Dumaresq 1999</t>
  </si>
  <si>
    <t>Deria et al. 2003_site 7</t>
  </si>
  <si>
    <t>Deria et al. 2003_site 6</t>
  </si>
  <si>
    <t>Deria et al. 2003_site 5</t>
  </si>
  <si>
    <t>Deria et al. 2003_site 4</t>
  </si>
  <si>
    <t>Deria et al. 2003_site 3</t>
  </si>
  <si>
    <t>Deria et al. 2003_site 2</t>
  </si>
  <si>
    <t>Deria et al. 2003_site 1</t>
  </si>
  <si>
    <t>Delate and Cambardella 2004_3</t>
  </si>
  <si>
    <t>Delate and Cambardella 2004_2</t>
  </si>
  <si>
    <t>Delate and Cambardella 2004_1</t>
  </si>
  <si>
    <t>Clark et al 1998_SAFS 3</t>
  </si>
  <si>
    <t>Clark et al 1998_SAFS 2</t>
  </si>
  <si>
    <t>Clark et al 1998_SAFS 1</t>
  </si>
  <si>
    <t>Ciavatta et al. 2008_topsoil</t>
  </si>
  <si>
    <t>Ciavatta et al. 2008_subsoil</t>
  </si>
  <si>
    <t>Chirinda et al. 2010_Foulum 3</t>
  </si>
  <si>
    <t>Chirinda et al. 2010_Foulum 2</t>
  </si>
  <si>
    <t>Chirinda et al. 2010_Foulum 1</t>
  </si>
  <si>
    <t>Capriel 1991_Farm Pair 5</t>
  </si>
  <si>
    <t>Capriel 1991_Farm Pair 4</t>
  </si>
  <si>
    <t>Capriel 1991_Farm Pair 3</t>
  </si>
  <si>
    <t>Capriel 1991_Farm Pair 2</t>
  </si>
  <si>
    <t>Capriel 1991_ Farm Pair 1</t>
  </si>
  <si>
    <t>Canali et al. 2009</t>
  </si>
  <si>
    <t>Campos-Herrera et al. 2010_vineyard</t>
  </si>
  <si>
    <t>Campos-Herrera et al. 2010_cropland</t>
  </si>
  <si>
    <t>Campos-Herrera et al. 2010_apple orchard</t>
  </si>
  <si>
    <t>Blakemore 2000_Haughley 2</t>
  </si>
  <si>
    <t>Blakemore 2000_Haughley 1</t>
  </si>
  <si>
    <t>Blaise, 2006</t>
  </si>
  <si>
    <t>Benitez et al. 2006-Granada_6</t>
  </si>
  <si>
    <t>Benitez et al. 2006-Granada_5</t>
  </si>
  <si>
    <t>Benitez et al. 2006-Granada_4</t>
  </si>
  <si>
    <t>Benitez et al. 2006-Granada_3</t>
  </si>
  <si>
    <t>Benitez et al. 2006-Granada_2</t>
  </si>
  <si>
    <t>Benitez et al. 2006-Granada_1</t>
  </si>
  <si>
    <t>Benitez et al. 2006-Cordoba_4</t>
  </si>
  <si>
    <t>Benitez et al. 2006-Cordoba_3</t>
  </si>
  <si>
    <t>Benitez et al. 2006-Cordoba_2</t>
  </si>
  <si>
    <t>Benitez et al. 2006-Cordoba_1</t>
  </si>
  <si>
    <t>Armstrong et al. 2000_pasture</t>
  </si>
  <si>
    <t>Armstrong et al. 2000_horticulture</t>
  </si>
  <si>
    <t>Armstrong et al. 2000_arable</t>
  </si>
  <si>
    <t>Andrews et al. 2002</t>
  </si>
  <si>
    <t>207-1</t>
  </si>
  <si>
    <t>207-2-1</t>
  </si>
  <si>
    <t>207-2-2</t>
  </si>
  <si>
    <t>207-2-3</t>
  </si>
  <si>
    <t>207-3-1</t>
  </si>
  <si>
    <t>207-3-2</t>
  </si>
  <si>
    <t>207-3-3</t>
  </si>
  <si>
    <t>207-3-4</t>
  </si>
  <si>
    <t>207-3-5</t>
  </si>
  <si>
    <t>207-3-6</t>
  </si>
  <si>
    <t>207-4</t>
  </si>
  <si>
    <t>207-5-1</t>
  </si>
  <si>
    <t>207-5-2</t>
  </si>
  <si>
    <t>207-6-1</t>
  </si>
  <si>
    <t>207-6-2</t>
  </si>
  <si>
    <t>207-6-3</t>
  </si>
  <si>
    <t>207-7</t>
  </si>
  <si>
    <t>207-8-1</t>
  </si>
  <si>
    <t>207-8-2</t>
  </si>
  <si>
    <t>207-8-3</t>
  </si>
  <si>
    <t>207-9-1</t>
  </si>
  <si>
    <t>207-9-2</t>
  </si>
  <si>
    <t>207-9-3</t>
  </si>
  <si>
    <t>207-9-4</t>
  </si>
  <si>
    <t>207-10-1</t>
  </si>
  <si>
    <t>207-10-2</t>
  </si>
  <si>
    <t>207-11-1</t>
  </si>
  <si>
    <t>207-11-2</t>
  </si>
  <si>
    <t>207-11-3</t>
  </si>
  <si>
    <t>207-12-1</t>
  </si>
  <si>
    <t>207-12-2</t>
  </si>
  <si>
    <t>207-12-3</t>
  </si>
  <si>
    <t>207-13-1</t>
  </si>
  <si>
    <t>207-13-2</t>
  </si>
  <si>
    <t>207-13-3</t>
  </si>
  <si>
    <t>207-13-4</t>
  </si>
  <si>
    <t>207-13-5</t>
  </si>
  <si>
    <t>207-13-6</t>
  </si>
  <si>
    <t>207-13-7</t>
  </si>
  <si>
    <t>207-14</t>
  </si>
  <si>
    <t>207-15</t>
  </si>
  <si>
    <t>207-17-1</t>
  </si>
  <si>
    <t>207-16-1</t>
  </si>
  <si>
    <t>207-16-2</t>
  </si>
  <si>
    <t>207-17-2</t>
  </si>
  <si>
    <t>207-17-3</t>
  </si>
  <si>
    <t>207-17-4</t>
  </si>
  <si>
    <t>207-18-1</t>
  </si>
  <si>
    <t>207-18-2</t>
  </si>
  <si>
    <t>207-19-1</t>
  </si>
  <si>
    <t>207-19-2</t>
  </si>
  <si>
    <t>207-19-3</t>
  </si>
  <si>
    <t>207-19-4</t>
  </si>
  <si>
    <t>207-20</t>
  </si>
  <si>
    <t>207-21-1</t>
  </si>
  <si>
    <t>207-21-2</t>
  </si>
  <si>
    <t>207-21-3</t>
  </si>
  <si>
    <t>207-22</t>
  </si>
  <si>
    <t>207-23-1</t>
  </si>
  <si>
    <t>207-23-2</t>
  </si>
  <si>
    <t>207-23-3</t>
  </si>
  <si>
    <t>207-24-1</t>
  </si>
  <si>
    <t>207-24-2</t>
  </si>
  <si>
    <t>207-24-3</t>
  </si>
  <si>
    <t>207-24-4</t>
  </si>
  <si>
    <t>207-24-5</t>
  </si>
  <si>
    <t>207-24-6</t>
  </si>
  <si>
    <t>207-25</t>
  </si>
  <si>
    <t>207-26</t>
  </si>
  <si>
    <t>207-27-1</t>
  </si>
  <si>
    <t>207-27-2</t>
  </si>
  <si>
    <t>207-29-1</t>
  </si>
  <si>
    <t>207-29-2</t>
  </si>
  <si>
    <t>207-29-3</t>
  </si>
  <si>
    <t>207-28-1</t>
  </si>
  <si>
    <t>207-28-2</t>
  </si>
  <si>
    <t>207-30-1</t>
  </si>
  <si>
    <t>207-30-2</t>
  </si>
  <si>
    <t>207-31-1</t>
  </si>
  <si>
    <t>207-31-2</t>
  </si>
  <si>
    <t>207-31-3</t>
  </si>
  <si>
    <t>207-31-4</t>
  </si>
  <si>
    <t>207-31-5</t>
  </si>
  <si>
    <t>207-31-6</t>
  </si>
  <si>
    <t>207-31-7</t>
  </si>
  <si>
    <t>207-31-8</t>
  </si>
  <si>
    <t>207-31-9</t>
  </si>
  <si>
    <t>207-32-1</t>
  </si>
  <si>
    <t>207-32-2</t>
  </si>
  <si>
    <t>207-32-3</t>
  </si>
  <si>
    <t>207-33-1</t>
  </si>
  <si>
    <t>207-33-2</t>
  </si>
  <si>
    <t>207-34</t>
  </si>
  <si>
    <t>207-35</t>
  </si>
  <si>
    <t>207-37-1</t>
  </si>
  <si>
    <t>207-37-2</t>
  </si>
  <si>
    <t>207-37-3</t>
  </si>
  <si>
    <t>207-38-1</t>
  </si>
  <si>
    <t>207-38-2</t>
  </si>
  <si>
    <t>207-39-1</t>
  </si>
  <si>
    <t>207-39-2</t>
  </si>
  <si>
    <t>207-39-3</t>
  </si>
  <si>
    <t>207-39-4</t>
  </si>
  <si>
    <t>207-40-1</t>
  </si>
  <si>
    <t>207-40-2</t>
  </si>
  <si>
    <t>207-41-1</t>
  </si>
  <si>
    <t>207-41-2</t>
  </si>
  <si>
    <t>207-41-3</t>
  </si>
  <si>
    <t>207-41-4</t>
  </si>
  <si>
    <t>207-41-5</t>
  </si>
  <si>
    <t>207-42</t>
  </si>
  <si>
    <t>207-44</t>
  </si>
  <si>
    <t>207-43-1</t>
  </si>
  <si>
    <t>207-43-2</t>
  </si>
  <si>
    <t>207-46-1</t>
  </si>
  <si>
    <t>207-46-2</t>
  </si>
  <si>
    <t>207-47-1</t>
  </si>
  <si>
    <t>207-47-2</t>
  </si>
  <si>
    <t>207-47-3</t>
  </si>
  <si>
    <t>207-47-4</t>
  </si>
  <si>
    <t>207-47-5</t>
  </si>
  <si>
    <t>207-47-6</t>
  </si>
  <si>
    <t>207-48-1</t>
  </si>
  <si>
    <t>207-48-2</t>
  </si>
  <si>
    <t>207-48-3</t>
  </si>
  <si>
    <t>207-49-1</t>
  </si>
  <si>
    <t>207-49-2</t>
  </si>
  <si>
    <t>207-50-1</t>
  </si>
  <si>
    <t>207-50-2</t>
  </si>
  <si>
    <t>207-50-3</t>
  </si>
  <si>
    <t>207-51-1</t>
  </si>
  <si>
    <t>207-51-2</t>
  </si>
  <si>
    <t>207-51-3</t>
  </si>
  <si>
    <t>207-51-4</t>
  </si>
  <si>
    <t>207-51-5</t>
  </si>
  <si>
    <t>207-51-6</t>
  </si>
  <si>
    <t>207-52</t>
  </si>
  <si>
    <t>207-53</t>
  </si>
  <si>
    <t>207-54-1</t>
  </si>
  <si>
    <t>207-54-2</t>
  </si>
  <si>
    <t>207-55-1</t>
  </si>
  <si>
    <t>207-55-2</t>
  </si>
  <si>
    <t>207-55-3</t>
  </si>
  <si>
    <t>207-55-4</t>
  </si>
  <si>
    <t>207-55-5</t>
  </si>
  <si>
    <t>207-55-6</t>
  </si>
  <si>
    <t>207-55-7</t>
  </si>
  <si>
    <t>207-55-8</t>
  </si>
  <si>
    <t>207-56</t>
  </si>
  <si>
    <t>207-57-1</t>
  </si>
  <si>
    <t>207-57-2</t>
  </si>
  <si>
    <t>207-57-3</t>
  </si>
  <si>
    <t>207-57-4</t>
  </si>
  <si>
    <t>207-57-5</t>
  </si>
  <si>
    <t>207-57-6</t>
  </si>
  <si>
    <t>207-57-7</t>
  </si>
  <si>
    <t>207-57-8</t>
  </si>
  <si>
    <t>207-59</t>
  </si>
  <si>
    <t>207-62-1</t>
  </si>
  <si>
    <t>207-62-2</t>
  </si>
  <si>
    <t>207-62-3</t>
  </si>
  <si>
    <t>207-62-4</t>
  </si>
  <si>
    <t>207-62-5</t>
  </si>
  <si>
    <t>207-62-6</t>
  </si>
  <si>
    <t>207-62-7</t>
  </si>
  <si>
    <t>207-63-1</t>
  </si>
  <si>
    <t>207-63-2</t>
  </si>
  <si>
    <t>207-64-1</t>
  </si>
  <si>
    <t>207-64-2</t>
  </si>
  <si>
    <t>207-65-1</t>
  </si>
  <si>
    <t>207-66-1</t>
  </si>
  <si>
    <t>207-66-2</t>
  </si>
  <si>
    <t>207-66-3</t>
  </si>
  <si>
    <t>207-66-4</t>
  </si>
  <si>
    <t>207-67</t>
  </si>
  <si>
    <t>207-68</t>
  </si>
  <si>
    <t>207-69-1</t>
  </si>
  <si>
    <t>207-69-2</t>
  </si>
  <si>
    <t>207-69-3</t>
  </si>
  <si>
    <t>207-70-1</t>
  </si>
  <si>
    <t>207-70-2</t>
  </si>
  <si>
    <t>207-71-1</t>
  </si>
  <si>
    <t>207-71-2</t>
  </si>
  <si>
    <t>207-71-3</t>
  </si>
  <si>
    <t>207-71-4</t>
  </si>
  <si>
    <t>207-71-5</t>
  </si>
  <si>
    <t>207-72-1</t>
  </si>
  <si>
    <t>207-72-2</t>
  </si>
  <si>
    <t>207-72-3</t>
  </si>
  <si>
    <t>207-73-1</t>
  </si>
  <si>
    <t>207-73-2</t>
  </si>
  <si>
    <t>207-73-3</t>
  </si>
  <si>
    <t>207-73-4</t>
  </si>
  <si>
    <t>207-74-1</t>
  </si>
  <si>
    <t>207-74-2</t>
  </si>
  <si>
    <t>207-74-3</t>
  </si>
  <si>
    <t>Glenlea Long-Term Trial, Manitoba, Canada</t>
  </si>
  <si>
    <t>Gosford, Australia</t>
  </si>
  <si>
    <t>North Carolina, USA</t>
  </si>
  <si>
    <t>Mesinia, Greece</t>
  </si>
  <si>
    <t>Chania, Greece</t>
  </si>
  <si>
    <t>Attiki, Greece</t>
  </si>
  <si>
    <t>Arkadia, Greece</t>
  </si>
  <si>
    <t>Farm comparison Netherlands</t>
  </si>
  <si>
    <t>SADP Trial, Beltsville MD, USA</t>
  </si>
  <si>
    <t>LTER-KBS, Living Field Lab Trial, Michigan, USA</t>
  </si>
  <si>
    <t>Research Farm Scheyern, Germany</t>
  </si>
  <si>
    <t>Sjaelland, Denmark</t>
  </si>
  <si>
    <t>Ebro river depression, Northeast Spain</t>
  </si>
  <si>
    <t>Watsonville, California, USA</t>
  </si>
  <si>
    <t>North Island, New Zealand</t>
  </si>
  <si>
    <t>UBINIG Farm comparison Bangladesh</t>
  </si>
  <si>
    <t>Nanjing, China</t>
  </si>
  <si>
    <t>Urepema, Santa Catarina, Brazil</t>
  </si>
  <si>
    <t>Polder, Southwest Netherlands</t>
  </si>
  <si>
    <t>Turckheim, France</t>
  </si>
  <si>
    <t>Pfaffenheim, France</t>
  </si>
  <si>
    <t>Clay County, Minnesota, USA</t>
  </si>
  <si>
    <t xml:space="preserve">Denmark </t>
  </si>
  <si>
    <t>Sadaba, Zaragoza</t>
  </si>
  <si>
    <t>Manisa, Western Turkey</t>
  </si>
  <si>
    <t>Canterbury, New Zealand</t>
  </si>
  <si>
    <t>Kria Vrisi, Greece</t>
  </si>
  <si>
    <t>Rakaia, Canterbury, New Zealand</t>
  </si>
  <si>
    <t>Palouse Farm Trial, Spokane, Washington, USA</t>
  </si>
  <si>
    <t>Vegetable Trial, West Java, Indonesia</t>
  </si>
  <si>
    <t>Las Torres-Tomejil Farm, Seville, Spain</t>
  </si>
  <si>
    <t>MASCOT Trial, Tuscany, Italy</t>
  </si>
  <si>
    <t>Colle Valle, Viterbo, Italy</t>
  </si>
  <si>
    <t>Farm Comparison Katandra, Victoria, Australia</t>
  </si>
  <si>
    <t>Jatoba, Piaui State, Brazil</t>
  </si>
  <si>
    <t>DOK Trial, Therwil, Switzerland</t>
  </si>
  <si>
    <t>Apple orchards, Washinton State</t>
  </si>
  <si>
    <t>LTRAS Davis, California, USA</t>
  </si>
  <si>
    <t>Bjärröd, Sweden</t>
  </si>
  <si>
    <t>Gülzow Longterm Trial, Germany</t>
  </si>
  <si>
    <t>FST Rodale, Kutztown/PA, USA</t>
  </si>
  <si>
    <t>Darmstadt, Germany</t>
  </si>
  <si>
    <t>Masatepe, Nicaragua</t>
  </si>
  <si>
    <t>Turrialba, Costa Rica</t>
  </si>
  <si>
    <t>K-Trial, Järna, Sweden</t>
  </si>
  <si>
    <t>LTER-KBS, Michigan, USA</t>
  </si>
  <si>
    <t>Farm comparisons UK</t>
  </si>
  <si>
    <t>Yakami Valley, Washinton State, USA</t>
  </si>
  <si>
    <t>Iowa City, Iowa, USA</t>
  </si>
  <si>
    <t>Fengxian, Shanghai, China</t>
  </si>
  <si>
    <t>North Dakota - Central, USA</t>
  </si>
  <si>
    <t>North Dakota - East, USA</t>
  </si>
  <si>
    <t>Ensmad, Germany</t>
  </si>
  <si>
    <t>Univ. Nebraska, USA</t>
  </si>
  <si>
    <t>Maikaal bioRe, Nimar Valley, Central India</t>
  </si>
  <si>
    <t>Apelsvoll, Kapp, Norway</t>
  </si>
  <si>
    <t>Polder, South-West Netherlands</t>
  </si>
  <si>
    <t>Neuhof, Germany</t>
  </si>
  <si>
    <t>Ardlethan, Australia</t>
  </si>
  <si>
    <t>Perth, South-Western Australia</t>
  </si>
  <si>
    <t>Neely-Kinyon LTAR, Iowa, USA</t>
  </si>
  <si>
    <t>SAFS, Davis, California, USA</t>
  </si>
  <si>
    <t>San Matteo della Decima, Emilia-Romagna, Italy</t>
  </si>
  <si>
    <t>Foulum, Denmark</t>
  </si>
  <si>
    <t>Farm comparisons Bavaria, Germany</t>
  </si>
  <si>
    <t>Farm Comparison Sicily, Italy</t>
  </si>
  <si>
    <t>La Rioja, Spain</t>
  </si>
  <si>
    <t>Nagpur, India</t>
  </si>
  <si>
    <t>South East England, Great Britain</t>
  </si>
  <si>
    <t>Landuse</t>
  </si>
  <si>
    <t>Arable</t>
  </si>
  <si>
    <t>Grassland</t>
  </si>
  <si>
    <t>ClayPerc</t>
  </si>
  <si>
    <t>No_C</t>
  </si>
  <si>
    <t>No_T</t>
  </si>
  <si>
    <t>Number of plot in control</t>
  </si>
  <si>
    <t>Number of plot in treatment</t>
  </si>
  <si>
    <t>Landuse type</t>
  </si>
  <si>
    <t>2-to-20</t>
  </si>
  <si>
    <t>30-to-50</t>
  </si>
  <si>
    <t>0-to-12</t>
  </si>
  <si>
    <t>25-to-35</t>
  </si>
  <si>
    <t>0-to-30.5</t>
  </si>
  <si>
    <t>0-to-90</t>
  </si>
  <si>
    <t>6-to-13</t>
  </si>
  <si>
    <t>0-to-24</t>
  </si>
  <si>
    <t>0-to-21.3</t>
  </si>
  <si>
    <t>yes</t>
  </si>
  <si>
    <t>Mg per ha</t>
  </si>
  <si>
    <t>need check units</t>
  </si>
  <si>
    <t>C-0-N-0-OC-0</t>
  </si>
  <si>
    <t>C-0-N-90-OC-0</t>
  </si>
  <si>
    <t>C-0-N-0-OC-1</t>
  </si>
  <si>
    <t>C-0-N-164.5-OC-0</t>
  </si>
  <si>
    <t>C-0-N-170-OC-0</t>
  </si>
  <si>
    <t>C-0-N-165-OC-0</t>
  </si>
  <si>
    <t>C-87.21-N-15.28-OC-0</t>
  </si>
  <si>
    <t>C-0-N-143-OC-0</t>
  </si>
  <si>
    <t>C-0-N-138-OC-0</t>
  </si>
  <si>
    <t>C-0-N-70-OC-1</t>
  </si>
  <si>
    <t>C-0-N-80-OC-1</t>
  </si>
  <si>
    <t>C-0-N-14-OC-1</t>
  </si>
  <si>
    <t>C-0-N-90-OC-1</t>
  </si>
  <si>
    <t>C-0-N-135-OC-1</t>
  </si>
  <si>
    <t>C-0-N-137.78-OC-0</t>
  </si>
  <si>
    <t>C-597-N-181-OC-0</t>
  </si>
  <si>
    <t>C-0-N-22-OC-0</t>
  </si>
  <si>
    <t>C-0-N-119-OC-1</t>
  </si>
  <si>
    <t>C-0-N-69-OC-0</t>
  </si>
  <si>
    <t>C-1546.51-N-272.4-OC-1</t>
  </si>
  <si>
    <t>C-2616.28-N-179-OC-1</t>
  </si>
  <si>
    <t>C-784.88-N-153.5-OC-1</t>
  </si>
  <si>
    <t>C-0-N-63-OC-0</t>
  </si>
  <si>
    <t>C-0-N-75-OC-0</t>
  </si>
  <si>
    <t>C-283.94-N-113-OC-0</t>
  </si>
  <si>
    <t>C-0-N-108-OC-0</t>
  </si>
  <si>
    <t>C-0-N-156-OC-0</t>
  </si>
  <si>
    <t>C-0-N-95.2-OC-0</t>
  </si>
  <si>
    <t>C-40.12-N-102.56-OC-1</t>
  </si>
  <si>
    <t>C-0-N-66.3-OC-0</t>
  </si>
  <si>
    <t>C-0-N-33.75-OC-0</t>
  </si>
  <si>
    <t>C-0-N-68-OC-0</t>
  </si>
  <si>
    <t>C-0-N-150-OC-0</t>
  </si>
  <si>
    <t>C-0-N-72-OC-0</t>
  </si>
  <si>
    <t>C-930-N-111-OC-0</t>
  </si>
  <si>
    <t>C-800-N-43-OC-0</t>
  </si>
  <si>
    <t>C-880-N-77-OC-0</t>
  </si>
  <si>
    <t>C-0-N-88-OC-0</t>
  </si>
  <si>
    <t>C-0-N-78.5-OC-0</t>
  </si>
  <si>
    <t>C-409.24-N-147-OC-1</t>
  </si>
  <si>
    <t>C-0-N-197.5-OC-0</t>
  </si>
  <si>
    <t>C-0-N-162.5-OC-0</t>
  </si>
  <si>
    <t>C-0-N-80-OC-0</t>
  </si>
  <si>
    <t>C-0-N-95.2-OC-1</t>
  </si>
  <si>
    <t>C-1170-N-0-OC-1</t>
  </si>
  <si>
    <t>C-0-N-120-OC-0</t>
  </si>
  <si>
    <t>C-0-N-178-OC-0</t>
  </si>
  <si>
    <t>C-0-N-200-OC-0</t>
  </si>
  <si>
    <t>C-0-N-25-OC-0</t>
  </si>
  <si>
    <t>C-0-N-92-OC-0</t>
  </si>
  <si>
    <t>C-0-N-100-OC-0</t>
  </si>
  <si>
    <t>C-0-N-73-OC-0</t>
  </si>
  <si>
    <t>C-0-N-147-OC-0</t>
  </si>
  <si>
    <t>C-581.4-N-185-OC-1</t>
  </si>
  <si>
    <t>C-465.12-N-109-OC-1</t>
  </si>
  <si>
    <t>C-854.65-N-169-OC-1</t>
  </si>
  <si>
    <t>C-610.407-N-91-OC-1</t>
  </si>
  <si>
    <t>C-11627.91-N-2135-OC-1</t>
  </si>
  <si>
    <t>C-1162.79-N-380-OC-1</t>
  </si>
  <si>
    <t>C-0-N-85-OC-0</t>
  </si>
  <si>
    <t>C-0-N-60-OC-0</t>
  </si>
  <si>
    <t>C-0-N-56.86-OC-0</t>
  </si>
  <si>
    <t>C-0-N-130-OC-0</t>
  </si>
  <si>
    <t>C-1355.32-N-37.7979-OC-1</t>
  </si>
  <si>
    <t>C-597-N-181-OC-1</t>
  </si>
  <si>
    <t>C-1192.09-N-283.4-OC-1</t>
  </si>
  <si>
    <t>C-1308.14-N-158-OC-0</t>
  </si>
  <si>
    <t>C-1180.23-N-261-OC-0</t>
  </si>
  <si>
    <t>C-261.63-N-159-OC-0</t>
  </si>
  <si>
    <t>C-0-N-129.5-OC-0</t>
  </si>
  <si>
    <t>C-0-N-83.13-OC-0</t>
  </si>
  <si>
    <t>C-360-N-159.2-OC-1</t>
  </si>
  <si>
    <t>C-1272-N-234.7-OC-1</t>
  </si>
  <si>
    <t>C-0-N-168-OC-0</t>
  </si>
  <si>
    <t>C-0-N-81.25-OC-0</t>
  </si>
  <si>
    <t>C-756-N-63-OC-1</t>
  </si>
  <si>
    <t>C-1752.09-N-110.6-OC-1</t>
  </si>
  <si>
    <t>C-829-N-118.5-OC-1</t>
  </si>
  <si>
    <t>C-376.74-N-108-OC-1</t>
  </si>
  <si>
    <t>C-355.42-N-102-OC-1</t>
  </si>
  <si>
    <t>C-1400-N-115-OC-1</t>
  </si>
  <si>
    <t>C-532.95-N-97.78-OC-1</t>
  </si>
  <si>
    <t>C-0-N-32.5-OC-1</t>
  </si>
  <si>
    <t>C-0-N-40-OC-1</t>
  </si>
  <si>
    <t>C-1569.77-N-100-OC-1</t>
  </si>
  <si>
    <t>C-1288-N-70-OC-1</t>
  </si>
  <si>
    <t>C-348.84-N-19.6-OC-1</t>
  </si>
  <si>
    <t>C-366.28-N-38.7-OC-1</t>
  </si>
  <si>
    <t>C-936.05-N-98.9-OC-1</t>
  </si>
  <si>
    <t>C-1495.02-N-84-OC-1</t>
  </si>
  <si>
    <t>C-585.76-N-117-OC-1</t>
  </si>
  <si>
    <t>C-1616.86-N-153-OC-1</t>
  </si>
  <si>
    <t>C-3000-N-120-OC-1</t>
  </si>
  <si>
    <t>C-4500-N-300-OC-1</t>
  </si>
  <si>
    <t>C-3419.33-N-187.95-OC-1</t>
  </si>
  <si>
    <t>C-80.23-N-9.2-OC-1</t>
  </si>
  <si>
    <t>C-80.23-N-14.72-OC-1</t>
  </si>
  <si>
    <t>C-1640-N-92.5-OC-1</t>
  </si>
  <si>
    <t>C-1744.19-N-287-OC-1</t>
  </si>
  <si>
    <t>C-0-N-147-OC-1</t>
  </si>
  <si>
    <t>C-1300-N-121-OC-1</t>
  </si>
  <si>
    <t>C-630-N-45-OC-1</t>
  </si>
  <si>
    <t>C-950-N-82-OC-1</t>
  </si>
  <si>
    <t>C-136.74-N-40-OC-1</t>
  </si>
  <si>
    <t>C-0-N-49-OC-0</t>
  </si>
  <si>
    <t>C-1968.31-N-166.5-OC-1</t>
  </si>
  <si>
    <t>C-726.74-N-57-OC-0</t>
  </si>
  <si>
    <t>C-503.55-N-38-OC-1</t>
  </si>
  <si>
    <t>C-3081.75-N-293.5-OC-1</t>
  </si>
  <si>
    <t>C-890-N-0-OC-1</t>
  </si>
  <si>
    <t>C-1040-N-0-OC-1</t>
  </si>
  <si>
    <t>C-2125.728-N-175.104-OC-1</t>
  </si>
  <si>
    <t>C-348.84-N-31.36-OC-1</t>
  </si>
  <si>
    <t>C-189.92-N-17.07-OC-0</t>
  </si>
  <si>
    <t>C-189.92-N-17.07-OC-1</t>
  </si>
  <si>
    <t>C-436.05-N-39.2-OC-1</t>
  </si>
  <si>
    <t>C-1395.35-N-160-OC-1</t>
  </si>
  <si>
    <t>C-190-N-40-OC-1</t>
  </si>
  <si>
    <t>C-2500-N-0-OC-1</t>
  </si>
  <si>
    <t>C-186.67-N-0-OC-0</t>
  </si>
  <si>
    <t>C-2005-N-128-OC-1</t>
  </si>
  <si>
    <t>C-1220.93-N-69-OC-1</t>
  </si>
  <si>
    <t>C-1569.77-N-94-OC-1</t>
  </si>
  <si>
    <t>C-8197.67-N-695.5-OC-1</t>
  </si>
  <si>
    <t>C-4002.91-N-225-OC-1</t>
  </si>
  <si>
    <t>C-765-N-67.5-OC-1</t>
  </si>
  <si>
    <t>C-358-N-18.14-OC-1</t>
  </si>
  <si>
    <t>C-162.648-N-9.036-OC-1</t>
  </si>
  <si>
    <t>C-243.972-N-13.554-OC-1</t>
  </si>
  <si>
    <t>C-268.3692-N-14.9094-OC-1</t>
  </si>
  <si>
    <t>C-1247.09-N-70.07-OC-1</t>
  </si>
  <si>
    <t>C-868-N-100-OC-1</t>
  </si>
  <si>
    <t>C-2468.23-N-68.84-OC-1</t>
  </si>
  <si>
    <t>C-872.09-N-100-OC-1</t>
  </si>
  <si>
    <t>C-436.05-N-50-OC-1</t>
  </si>
  <si>
    <t>C-428.84-N-56.96-OC-1</t>
  </si>
  <si>
    <t>C-529.07-N-55.9-OC-1</t>
  </si>
  <si>
    <t>C-919.1-N-78.32-OC-1</t>
  </si>
  <si>
    <t>C-0-N-148-OC-1</t>
  </si>
  <si>
    <t>C-483.6-N-40.3-OC-1</t>
  </si>
  <si>
    <t>C-1222-N-76.9-OC-1</t>
  </si>
  <si>
    <t>C-4093-N-229.2-OC-1</t>
  </si>
  <si>
    <t>C-0-N-168-OC-1</t>
  </si>
  <si>
    <t>Schjonning et al. 2002_group I_pair 1</t>
  </si>
  <si>
    <t>Schjonning et al. 2002_group I_pair 2</t>
  </si>
  <si>
    <t>Schjonning et al. 2002_group II</t>
  </si>
  <si>
    <t>Schjonning et al. 2002_group III</t>
  </si>
  <si>
    <t>Journal of Agronomy and Crop Science</t>
  </si>
  <si>
    <t>Pedobiogia</t>
  </si>
  <si>
    <t>Landwirtschaftliches Jahrbuch</t>
  </si>
  <si>
    <t>16th IFOAM Organic World Congress, Modena, Italy, June 16-20, 2008</t>
  </si>
  <si>
    <t>17th IFOAM Organic World Congress, Modena, Italy, June 16-20, 2008</t>
  </si>
  <si>
    <t>Australian Journal of Soil Research</t>
  </si>
  <si>
    <t>Journal of Plant Nutrition and Soil Science</t>
  </si>
  <si>
    <t>Journal of Biological Research-Thessaloniki 14: 151 – 159,</t>
  </si>
  <si>
    <t>International Journal of Agricultural Sustainability</t>
  </si>
  <si>
    <t xml:space="preserve">In:  J. W. Doran and A. J. Jones (Eds.). Madison, WI., SSSA. SSSA Spec. Publ </t>
  </si>
  <si>
    <t>Journal of Soils and Sediments</t>
  </si>
  <si>
    <t xml:space="preserve">Agriculture, Ecosystems &amp; Environment </t>
  </si>
  <si>
    <t>Ecosystems</t>
  </si>
  <si>
    <t xml:space="preserve"> In: J. Raupp, C. Pekrun, M. Oltmanns, U.Köpke (eds)  Long-term field experiments in organic farming. International Society of Organic Agriculture Research (ISOFAR), Scientific Series, Berlin, pp</t>
  </si>
  <si>
    <t>In: Heß, J and Rahmann, G (Eds.) Ende der Nische, Beiträge zur 8. Wissenschaftstagung Ökologischer Landbau, kassel university press GmbH, Kassel.</t>
  </si>
  <si>
    <t>PNAS</t>
  </si>
  <si>
    <t xml:space="preserve">Soil &amp; Tillage Research </t>
  </si>
  <si>
    <t xml:space="preserve">Applied Soil Ecology </t>
  </si>
  <si>
    <t xml:space="preserve">Soil Biology &amp; Biochemistry </t>
  </si>
  <si>
    <t>Proceedings of 13th IFOAM Scientific Conference</t>
  </si>
  <si>
    <t>Turk J Agric For</t>
  </si>
  <si>
    <t>Nutr Cycl Agroecosyst</t>
  </si>
  <si>
    <t>Science</t>
  </si>
  <si>
    <t>PLoS ONE</t>
  </si>
  <si>
    <t>In: Osinski, E., Meyer-Aurich, A., Huber, B., Rühling, v., Gerl, G., Schröder, P. (eds.), Ökom Verlag, München.</t>
  </si>
  <si>
    <t>PhD Tesis, Technical University Munich, Germany</t>
  </si>
  <si>
    <t>Soil Organisms</t>
  </si>
  <si>
    <t>England</t>
  </si>
  <si>
    <t>Netherland</t>
  </si>
  <si>
    <t>Greece</t>
  </si>
  <si>
    <t>Norway</t>
  </si>
  <si>
    <t>India</t>
  </si>
  <si>
    <t>Costa Rica</t>
  </si>
  <si>
    <t>Switzerland</t>
  </si>
  <si>
    <t>Brazil</t>
  </si>
  <si>
    <t>New Zealand</t>
  </si>
  <si>
    <t>Bangladesh</t>
  </si>
  <si>
    <t>Average of Sudangrass andbarley</t>
  </si>
  <si>
    <t>Average of cotton, garlic, melon, tomatto, and onion</t>
  </si>
  <si>
    <t>Conservational tillage</t>
  </si>
  <si>
    <t>Mendota and huron, California Central Valley, USA</t>
  </si>
  <si>
    <t>Leucaena loppings</t>
  </si>
  <si>
    <t>1995-2005</t>
  </si>
  <si>
    <t>Typic Chromustert</t>
  </si>
  <si>
    <t>1939-1980</t>
  </si>
  <si>
    <t>41</t>
  </si>
  <si>
    <t xml:space="preserve">t per ha </t>
  </si>
  <si>
    <t xml:space="preserve">Root crops and grass ley </t>
  </si>
  <si>
    <t>Mixed of two</t>
  </si>
  <si>
    <t>Citrus</t>
  </si>
  <si>
    <t>1985-1991</t>
  </si>
  <si>
    <t>Grass-Clover</t>
  </si>
  <si>
    <t>1997-2008</t>
  </si>
  <si>
    <t>Pear</t>
  </si>
  <si>
    <t>1989-2006</t>
  </si>
  <si>
    <t>1989-2008</t>
  </si>
  <si>
    <t>Perennial Graminaceae species</t>
  </si>
  <si>
    <t>1988-1995</t>
  </si>
  <si>
    <t>Average of tomato, safflower, corn, and bean</t>
  </si>
  <si>
    <t>Tomato, safflower, corn, and bean</t>
  </si>
  <si>
    <t>Thermic Mollic Xerofluvents</t>
  </si>
  <si>
    <t>1992-1994</t>
  </si>
  <si>
    <t>1963-1992</t>
  </si>
  <si>
    <t>Exchangeble Na+P+Ca+K+Mn+Mg</t>
  </si>
  <si>
    <t>Total P mg/kg</t>
  </si>
  <si>
    <t>3 yrs Wheat-3 yrs Native clover pasture</t>
  </si>
  <si>
    <t>6 yrs Clover-grass-2 yrs cropping</t>
  </si>
  <si>
    <t>Clover-grass</t>
  </si>
  <si>
    <t>Scheyern, Northern of Munich, Germany</t>
  </si>
  <si>
    <t>1993-1997</t>
  </si>
  <si>
    <t>Eutric Cambisol / Luvisol</t>
  </si>
  <si>
    <t>207-16-3</t>
  </si>
  <si>
    <t>P. vulgaris, a leguminous plant</t>
  </si>
  <si>
    <t>Phaseolus vulgaris</t>
  </si>
  <si>
    <t>O2, Prespa, Greece</t>
  </si>
  <si>
    <t>O5, Prespa, Greece</t>
  </si>
  <si>
    <t>O14, Prespa, Greece</t>
  </si>
  <si>
    <t>2002-2008</t>
  </si>
  <si>
    <t>207-18-3</t>
  </si>
  <si>
    <t>mg per g to mg per kg</t>
  </si>
  <si>
    <t>Inorganic + organic N</t>
  </si>
  <si>
    <t>mg per g per month to mg per kg</t>
  </si>
  <si>
    <t>mu g per g per d to mg per kg per month</t>
  </si>
  <si>
    <t>Extracable P (mu g per g = g per kg)</t>
  </si>
  <si>
    <t>1990-1997</t>
  </si>
  <si>
    <t>CON-A vs ECO-A</t>
  </si>
  <si>
    <t>INT-A vs ECO-A</t>
  </si>
  <si>
    <t>CON-F vs ECO-F</t>
  </si>
  <si>
    <t>INT-F vs ECO-F</t>
  </si>
  <si>
    <t>NO3+NH4 from runoff (kg per ha)</t>
  </si>
  <si>
    <t>Earthwarm (number per m2)</t>
  </si>
  <si>
    <t>2001-2004</t>
  </si>
  <si>
    <t>Maize-cotton</t>
  </si>
  <si>
    <t>Pigeon pean-cotton</t>
  </si>
  <si>
    <t>Sorghum-cotton</t>
  </si>
  <si>
    <t>Wheat-cotton</t>
  </si>
  <si>
    <t>Chilli-cotton</t>
  </si>
  <si>
    <t>Water retention capacity (g/g soil)</t>
  </si>
  <si>
    <t>Zinc, Boron</t>
  </si>
  <si>
    <t>1972-1991</t>
  </si>
  <si>
    <t>Winter wheat-summer barley-peas or winter wheat-clover/grass-oats</t>
  </si>
  <si>
    <t>Average of barley-peas, clover/grass-oats</t>
  </si>
  <si>
    <t>mu g per g = mg per kg</t>
  </si>
  <si>
    <t>C mineralisation Potential mu g per g</t>
  </si>
  <si>
    <t>Pegalajar, Jaén, Spain</t>
  </si>
  <si>
    <t>Puente Tablas, Jaén, Spain</t>
  </si>
  <si>
    <t>Puente Sierra, Jaén, Spain</t>
  </si>
  <si>
    <t>2000-2004</t>
  </si>
  <si>
    <t>207-23-4</t>
  </si>
  <si>
    <t>207-23-5</t>
  </si>
  <si>
    <t>207-23-6</t>
  </si>
  <si>
    <t>Loss-on-ignition</t>
  </si>
  <si>
    <t>Labile P (mu g per g)</t>
  </si>
  <si>
    <t>mequiv per 100 g soil to per 1 kg soil</t>
  </si>
  <si>
    <t>TN (% to mg per kg)</t>
  </si>
  <si>
    <t>Number of nematode (richness)</t>
  </si>
  <si>
    <t>Exchangeable K (mequiv per 100 g soil to 1000 g soil)</t>
  </si>
  <si>
    <t>GR site</t>
  </si>
  <si>
    <t>OP site</t>
  </si>
  <si>
    <t>mu/sem</t>
  </si>
  <si>
    <t>TN (g/kg to mg per kg)</t>
  </si>
  <si>
    <t>Exchangeable K c mol per kg</t>
  </si>
  <si>
    <t>1953-1992</t>
  </si>
  <si>
    <t>Mesic Hapludalfs</t>
  </si>
  <si>
    <t>A horizon</t>
  </si>
  <si>
    <t>B horizon</t>
  </si>
  <si>
    <t>18-to-36</t>
  </si>
  <si>
    <t>OM*0.58 to OC</t>
  </si>
  <si>
    <t>1994-1997</t>
  </si>
  <si>
    <t>Mesic Xeriﬂuventic Haplocambid</t>
  </si>
  <si>
    <t>Agg stability %</t>
  </si>
  <si>
    <t>Extractable P (kg per ha)</t>
  </si>
  <si>
    <t>meq per 100 g</t>
  </si>
  <si>
    <t>dS/m</t>
  </si>
  <si>
    <t>Kg C per ha</t>
  </si>
  <si>
    <t>Kg N per ha</t>
  </si>
  <si>
    <t>High fertility organic</t>
  </si>
  <si>
    <t>Low fertility organic</t>
  </si>
  <si>
    <t>Extractable P (mg per L)</t>
  </si>
  <si>
    <t>TN (g per kg to mg per kg)</t>
  </si>
  <si>
    <t>1990-2001</t>
  </si>
  <si>
    <t>Mesic Typic  Hapludalfs</t>
  </si>
  <si>
    <t>TN % to mg per kg</t>
  </si>
  <si>
    <t>Kg per ha per yr</t>
  </si>
  <si>
    <t>1958-1990</t>
  </si>
  <si>
    <t>2000-2005</t>
  </si>
  <si>
    <t>Legume and no legumes</t>
  </si>
  <si>
    <t>Coffee</t>
  </si>
  <si>
    <t>Radish or White Mustard</t>
  </si>
  <si>
    <t>1980-2006</t>
  </si>
  <si>
    <t>t per ha to mg per kg</t>
  </si>
  <si>
    <t>Xeroﬂuvent</t>
  </si>
  <si>
    <t>1997-2007</t>
  </si>
  <si>
    <t>Bean-beet-carrot-chard-cucumber-marrow</t>
  </si>
  <si>
    <t>Vegetal compost</t>
  </si>
  <si>
    <t>Fig 2b</t>
  </si>
  <si>
    <t>% (volume matric water content)</t>
  </si>
  <si>
    <t>Soil quality and instabilityu index available</t>
  </si>
  <si>
    <t xml:space="preserve">Lupine/Gras  </t>
  </si>
  <si>
    <t>1959-1968</t>
  </si>
  <si>
    <t>Oxiaquic Hapludoll</t>
  </si>
  <si>
    <t>1980-1998</t>
  </si>
  <si>
    <t>207-36-1</t>
  </si>
  <si>
    <t>207-36-2</t>
  </si>
  <si>
    <t>Organic vs conventional</t>
  </si>
  <si>
    <t>Organic vs control</t>
  </si>
  <si>
    <t>Average of clover-grass-oat-barley</t>
  </si>
  <si>
    <t>Average of wheat-oilseed-sugarbeet</t>
  </si>
  <si>
    <t>1993-2003</t>
  </si>
  <si>
    <t>Typic Xerothent</t>
  </si>
  <si>
    <t>2002</t>
  </si>
  <si>
    <t>1994-2002</t>
  </si>
  <si>
    <t>46.73</t>
  </si>
  <si>
    <t>-117.15</t>
  </si>
  <si>
    <t>781</t>
  </si>
  <si>
    <t>mg per kg soil</t>
  </si>
  <si>
    <t>beta-Glucosidase</t>
  </si>
  <si>
    <t>Organic vs integrated</t>
  </si>
  <si>
    <t>1978-2006</t>
  </si>
  <si>
    <t>Grass–clover</t>
  </si>
  <si>
    <t>Conservation_Type</t>
  </si>
  <si>
    <t>327</t>
  </si>
  <si>
    <t>27</t>
  </si>
  <si>
    <t>2004</t>
  </si>
  <si>
    <t>Average results from several cover crops</t>
  </si>
  <si>
    <t>Including cover crop(CC), No-tillage(NT), organic farm(OGF), straw mulching etc.</t>
  </si>
  <si>
    <t>Conservation_Discription</t>
  </si>
  <si>
    <t>Description on conservation</t>
  </si>
  <si>
    <t>Straw added</t>
  </si>
  <si>
    <t>4.9</t>
  </si>
  <si>
    <t>2008</t>
  </si>
  <si>
    <t>Mg per ha to mg per kg</t>
  </si>
  <si>
    <t>Giltner, Nebraska, USA</t>
  </si>
  <si>
    <t>Valley, Nebraska, USA</t>
  </si>
  <si>
    <t>Deweese, Nebraska, USA</t>
  </si>
  <si>
    <t>Medina, North Dakota, USA</t>
  </si>
  <si>
    <t>Windsor, North Dakota, USA</t>
  </si>
  <si>
    <t>1996-2005</t>
  </si>
  <si>
    <t>1996-2004</t>
  </si>
  <si>
    <t>1976-2004</t>
  </si>
  <si>
    <t>Extractable P</t>
  </si>
  <si>
    <t>TN (kg per ha)</t>
  </si>
  <si>
    <t>Earthwarm activity</t>
  </si>
  <si>
    <t>Average of corn-soybean</t>
  </si>
  <si>
    <t>Average of wheat-soybean</t>
  </si>
  <si>
    <t>Average of wheat-sunflower</t>
  </si>
  <si>
    <t>Average of Oat-Alfalfa</t>
  </si>
  <si>
    <t>Corn-Corn</t>
  </si>
  <si>
    <t>Corn-soybean-corn</t>
  </si>
  <si>
    <t>Wheat-soybean-corn</t>
  </si>
  <si>
    <t>Wheat-sunflower</t>
  </si>
  <si>
    <t>Oat-Rye-Sunflower-buckwheat-wheat-pearl millet-flax</t>
  </si>
  <si>
    <t>Sunflower-wheat</t>
  </si>
  <si>
    <t>Ridge-till</t>
  </si>
  <si>
    <t>Tandem disk/Row crop cultivation</t>
  </si>
  <si>
    <t>Tandem disk/Rotary hoe/Row crop cultivation</t>
  </si>
  <si>
    <t>Riodge-till</t>
  </si>
  <si>
    <t>Tandem disk/Chisel plow/Row-crop cultivation</t>
  </si>
  <si>
    <t>Fine, montmorilloni, Udic Argiustoll</t>
  </si>
  <si>
    <t>Fine-silty, mesic Udic Argiustoll</t>
  </si>
  <si>
    <t>Fine-silty, mesic Typic Haplaquoll</t>
  </si>
  <si>
    <t>Fine-loamy-Mixed Udorthentic Haploboroll</t>
  </si>
  <si>
    <t>Fine-loamy Mixed Pachic Udic Haploboroll</t>
  </si>
  <si>
    <t>cm/min</t>
  </si>
  <si>
    <t>Actual (kg CO2-C per ha per day)</t>
  </si>
  <si>
    <t>1992</t>
  </si>
  <si>
    <t>1974-1992</t>
  </si>
  <si>
    <t>Haploxeralfs</t>
  </si>
  <si>
    <t>White clover, ryegrass, paspalum</t>
  </si>
  <si>
    <t>Pasture</t>
  </si>
  <si>
    <t>Colle Valle, Viterbo (CVI), Italy</t>
  </si>
  <si>
    <t>207-43-3</t>
  </si>
  <si>
    <t>2010</t>
  </si>
  <si>
    <t>Therwil (DOK), Switzerland</t>
  </si>
  <si>
    <t xml:space="preserve">La Selva (LSI), Italy </t>
  </si>
  <si>
    <t>Grass clover</t>
  </si>
  <si>
    <t>Average pf wheat-sunflower-maize</t>
  </si>
  <si>
    <t>Average of potato-wheat-soybean-maize</t>
  </si>
  <si>
    <t>Grass clover, rye</t>
  </si>
  <si>
    <t>Average of Durun wheat-sunflower-maize-lupine</t>
  </si>
  <si>
    <t>wheat-sunflower-maize</t>
  </si>
  <si>
    <t>potato-wheat-soybean-maize</t>
  </si>
  <si>
    <t>Durun wheat-sunflower-maize-lupine</t>
  </si>
  <si>
    <t>Crop rotation</t>
  </si>
  <si>
    <t>14.2</t>
  </si>
  <si>
    <t>9.5</t>
  </si>
  <si>
    <t>12.9</t>
  </si>
  <si>
    <t>954</t>
  </si>
  <si>
    <t>792</t>
  </si>
  <si>
    <t>420</t>
  </si>
  <si>
    <t>2005</t>
  </si>
  <si>
    <t>1994-2005</t>
  </si>
  <si>
    <t>1981-2005</t>
  </si>
  <si>
    <t>Units in literature may wrong (mg/kg should be g/kg to %)</t>
  </si>
  <si>
    <t>TN Units in literature may wrong (mg/kg should be g/kg to mg per kg)</t>
  </si>
  <si>
    <t>Cumulative C-CO2 produced after 90 days (mg CO2-C per g soil)</t>
  </si>
  <si>
    <t>Basal respiration (mu g CO2-Cper g per h)</t>
  </si>
  <si>
    <t>At 60% WFPS and 25C  (kg CO2-C per ha per day)</t>
  </si>
  <si>
    <t>Typic Xeroﬂuvent or Dystric Fluvisol</t>
  </si>
  <si>
    <t>Pea – Pisum sativum L.; durum wheat – Triticum durum Desf.; tomato – Licopersicum esculentum</t>
  </si>
  <si>
    <t>2001-2008</t>
  </si>
  <si>
    <t>6.9</t>
  </si>
  <si>
    <t>Common vetch</t>
  </si>
  <si>
    <t xml:space="preserve">Average of Pea – Pisum sativum L.; durum wheat – Triticum durum Desf.; tomato – Licopersicum esculentum </t>
  </si>
  <si>
    <t>2006</t>
  </si>
  <si>
    <t>TN %</t>
  </si>
  <si>
    <t>mu g C per g</t>
  </si>
  <si>
    <t>Mineralized N (NO3) mu g per g</t>
  </si>
  <si>
    <t>mg C-CO2 per g per 28 d</t>
  </si>
  <si>
    <t>2002-2006</t>
  </si>
  <si>
    <t>Red-clover</t>
  </si>
  <si>
    <t>Average of Wheat-sunflower-pigeon pea-Maize</t>
  </si>
  <si>
    <t>Typic Xeropsamment</t>
  </si>
  <si>
    <t>8.4</t>
  </si>
  <si>
    <t>CO2-C evolution determined at the 1st day of incubation (mg C-CO2 per kg per day)</t>
  </si>
  <si>
    <t>Basal respiration (mu g CO2-Cper g)</t>
  </si>
  <si>
    <t>Potential minerable C (mg C-CO2 per kg)</t>
  </si>
  <si>
    <t>m g per kg</t>
  </si>
  <si>
    <t>207-45-1</t>
  </si>
  <si>
    <t>207-45-2</t>
  </si>
  <si>
    <t>207-45-3</t>
  </si>
  <si>
    <t>207-45-4</t>
  </si>
  <si>
    <t>207-45-5</t>
  </si>
  <si>
    <t>207-45-6</t>
  </si>
  <si>
    <t>Oribatida %</t>
  </si>
  <si>
    <t>Astigmata %</t>
  </si>
  <si>
    <t>Prostigmata %</t>
  </si>
  <si>
    <t>Mesostigmata %</t>
  </si>
  <si>
    <t>Collembola %</t>
  </si>
  <si>
    <t>Other arthropods %</t>
  </si>
  <si>
    <t>1995-2001</t>
  </si>
  <si>
    <t>Broad bean</t>
  </si>
  <si>
    <t>Watermelon</t>
  </si>
  <si>
    <t>Mouldboard ploughed</t>
  </si>
  <si>
    <t>8.1</t>
  </si>
  <si>
    <t>19 June 2000</t>
  </si>
  <si>
    <t>25 April 2000</t>
  </si>
  <si>
    <t>14 May 2000</t>
  </si>
  <si>
    <t>28 Augest 2001</t>
  </si>
  <si>
    <t>2000</t>
  </si>
  <si>
    <t>Kjel-N g per kg</t>
  </si>
  <si>
    <t>Avaliable P (mg per kg)</t>
  </si>
  <si>
    <t>Soil respiration (mg CO2 per m2 per hour)</t>
  </si>
  <si>
    <t>Microbial activity quantified as metabolic quotient (qCO2 mu g C-CO2per mg Cmin per hour)</t>
  </si>
  <si>
    <t>Soil enzyme activity quantified as phosphatase alkaline (mg tyrosine per kg dwt per 2 hours)</t>
  </si>
  <si>
    <t>qCO2 (mg C-CO2 per mg Cmin per day)</t>
  </si>
  <si>
    <t>1999-2007</t>
  </si>
  <si>
    <t>1985-2007</t>
  </si>
  <si>
    <t>2007</t>
  </si>
  <si>
    <t>Scallion</t>
  </si>
  <si>
    <t>Cabbage</t>
  </si>
  <si>
    <t>Tomatto</t>
  </si>
  <si>
    <t>Broccoli-cauliflower</t>
  </si>
  <si>
    <t>Fungi Table 3</t>
  </si>
  <si>
    <t>Total bacterua</t>
  </si>
  <si>
    <t>mu g per g soil</t>
  </si>
  <si>
    <t>207-2</t>
  </si>
  <si>
    <t>207-3</t>
  </si>
  <si>
    <t>207-5</t>
  </si>
  <si>
    <t>207-6</t>
  </si>
  <si>
    <t>Farm 1</t>
  </si>
  <si>
    <t>Farm 2</t>
  </si>
  <si>
    <t>Farm 3</t>
  </si>
  <si>
    <t>Farm 4</t>
  </si>
  <si>
    <t>Farm 5</t>
  </si>
  <si>
    <t>Farm 6</t>
  </si>
  <si>
    <t>1995</t>
  </si>
  <si>
    <t>Total Kjeldahl N (%)</t>
  </si>
  <si>
    <t>dSm</t>
  </si>
  <si>
    <t>Sodium adsorption rate, Mn, Zn</t>
  </si>
  <si>
    <t>Water stable aggregate (%)</t>
  </si>
  <si>
    <t>Olsen P (%)</t>
  </si>
  <si>
    <t>Potential Nmin (mg/kg)</t>
  </si>
  <si>
    <t>Farm 7</t>
  </si>
  <si>
    <t>Valle de los Pedroches, Cordoba Province, Spain</t>
  </si>
  <si>
    <t>Montes Orientales, Granada Province, Spain</t>
  </si>
  <si>
    <t>2000-2002</t>
  </si>
  <si>
    <t>Phenols is what indicator?</t>
  </si>
  <si>
    <t>Dehydrogenase (mu g INTF per g per hour)</t>
  </si>
  <si>
    <t>indoleacetic acid (mu g IAA per g per hour)</t>
  </si>
  <si>
    <t>Phosphatase (mu g PNP per g per hour)</t>
  </si>
  <si>
    <t>beta-glucosidase (mu g PNP per g per hour)</t>
  </si>
  <si>
    <t>o-diphenol oxidase (mu g catechol per g per hour)</t>
  </si>
  <si>
    <t>2003</t>
  </si>
  <si>
    <t>Earthwarm (Number per m2)</t>
  </si>
  <si>
    <t>Shannon-weiner H</t>
  </si>
  <si>
    <t>Stackyard, Haughley, Great Britain</t>
  </si>
  <si>
    <t>Peartree, Haughley, Great Britain</t>
  </si>
  <si>
    <t>7.6</t>
  </si>
  <si>
    <t>Olsen P (ppm)</t>
  </si>
  <si>
    <t>Total inorganic P (ppm)</t>
  </si>
  <si>
    <t>Exchangeable K (me/100g)</t>
  </si>
  <si>
    <t>Exchangeable Na+Ca+Mg (me/100g)</t>
  </si>
  <si>
    <t>Soil available water (%)</t>
  </si>
  <si>
    <t>Average of many species</t>
  </si>
  <si>
    <t>Basal respiration (mg/kg)</t>
  </si>
  <si>
    <t>qCO2 (mgC-CO2 per hour)</t>
  </si>
  <si>
    <t>Average of barley-wheat-potatto</t>
  </si>
  <si>
    <t>mu g per g per day</t>
  </si>
  <si>
    <t>Enzyme activity density</t>
  </si>
  <si>
    <t>Rs (kg C-CO2 per ha)</t>
  </si>
  <si>
    <t>In the row</t>
  </si>
  <si>
    <t>Inter-row</t>
  </si>
  <si>
    <t>Organic vs Conv-4</t>
  </si>
  <si>
    <t>Low-input vs Conv-4</t>
  </si>
  <si>
    <t>Organic vs Conv-2</t>
  </si>
  <si>
    <t>Low-input vs Conv-2</t>
  </si>
  <si>
    <t>207-11-4</t>
  </si>
  <si>
    <t>207-11-5</t>
  </si>
  <si>
    <t>207-11-6</t>
  </si>
  <si>
    <t>207-11-7</t>
  </si>
  <si>
    <t>207-11-8</t>
  </si>
  <si>
    <t>Exchangeable Ca</t>
  </si>
  <si>
    <t>Stubble yield (kg per ha)</t>
  </si>
  <si>
    <t>Colwell P (mg/kg)</t>
  </si>
  <si>
    <t>Colwell k (mg/kg)</t>
  </si>
  <si>
    <t>Typic Udorthent</t>
  </si>
  <si>
    <t>Wheat-barley-white clover-oat-turnip-rape</t>
  </si>
  <si>
    <t>1986-1994</t>
  </si>
  <si>
    <t>207-49-3</t>
  </si>
  <si>
    <t>207-49-4</t>
  </si>
  <si>
    <t>207-49-5</t>
  </si>
  <si>
    <t>207-49-6</t>
  </si>
  <si>
    <t>207-49-7</t>
  </si>
  <si>
    <t>207-49-8</t>
  </si>
  <si>
    <t>207-49-9</t>
  </si>
  <si>
    <t>207-49-10</t>
  </si>
  <si>
    <t>207-49-11</t>
  </si>
  <si>
    <t>207-49-12</t>
  </si>
  <si>
    <t>207-49-13</t>
  </si>
  <si>
    <t>207-49-14</t>
  </si>
  <si>
    <t>Many extractable C indicators available</t>
  </si>
  <si>
    <t>7.99</t>
  </si>
  <si>
    <t>1999-2003</t>
  </si>
  <si>
    <t>Organic N (mu g per g)</t>
  </si>
  <si>
    <t>Extractable P (mu g per g)</t>
  </si>
  <si>
    <t>Rs (mu g CO2 per g per hour)</t>
  </si>
  <si>
    <t>Acid phosphatase (mgp-nitrophenol per g per hour)</t>
  </si>
  <si>
    <t>Many other enzyme activity indicators available</t>
  </si>
  <si>
    <t>1991</t>
  </si>
  <si>
    <t>1050</t>
  </si>
  <si>
    <t>Kowai</t>
  </si>
  <si>
    <t>Temuka</t>
  </si>
  <si>
    <t>Templeton</t>
  </si>
  <si>
    <t>Sulphatase</t>
  </si>
  <si>
    <t>Urease</t>
  </si>
  <si>
    <t>Average of wheat-barley-pea</t>
  </si>
  <si>
    <t>Total S</t>
  </si>
  <si>
    <t>Total P mu g per g</t>
  </si>
  <si>
    <t>Farmyard manure, vetch, and oat</t>
  </si>
  <si>
    <t>Average of Vetch and oat</t>
  </si>
  <si>
    <t>7.56</t>
  </si>
  <si>
    <t>Typic Xerofluvent</t>
  </si>
  <si>
    <t>sd=cv*mean</t>
  </si>
  <si>
    <t>Tyrosn (mu g per g per 2hour)</t>
  </si>
  <si>
    <t>Average of Barley-vetch</t>
  </si>
  <si>
    <t>8.2</t>
  </si>
  <si>
    <t>Plot 1</t>
  </si>
  <si>
    <t>Plot 2</t>
  </si>
  <si>
    <t>1999</t>
  </si>
  <si>
    <t>1999-2002</t>
  </si>
  <si>
    <t>Typic Agrudalfs</t>
  </si>
  <si>
    <t>6.1</t>
  </si>
  <si>
    <t>6.2</t>
  </si>
  <si>
    <t>6.3</t>
  </si>
  <si>
    <t>Ploughing</t>
  </si>
  <si>
    <t>13-week incubation accumulated CO2-C (mg/g)</t>
  </si>
  <si>
    <t>Before correction for primary particles (A)</t>
  </si>
  <si>
    <t>After correction for primary particles (B)</t>
  </si>
  <si>
    <t>Sum of 0.25 to 8 (mm)</t>
  </si>
  <si>
    <t>207-55-9</t>
  </si>
  <si>
    <t>207-55-10</t>
  </si>
  <si>
    <t>207-55-11</t>
  </si>
  <si>
    <t>207-55-12</t>
  </si>
  <si>
    <t>207-55-13</t>
  </si>
  <si>
    <t>207-55-14</t>
  </si>
  <si>
    <t>207-55-15</t>
  </si>
  <si>
    <t>207-55-16</t>
  </si>
  <si>
    <t>PLFA (39 available, only i15:0 and 14:02 OH used)</t>
  </si>
  <si>
    <t>Manure applied in the OGF</t>
  </si>
  <si>
    <t>15 cm Chisel</t>
  </si>
  <si>
    <t>15 cm twisted shank</t>
  </si>
  <si>
    <t>TN (Mg/ha)</t>
  </si>
  <si>
    <t>Typic Calciaquoll</t>
  </si>
  <si>
    <t>Average of soybean-wheat-sugarbeet</t>
  </si>
  <si>
    <t>1980-1994</t>
  </si>
  <si>
    <t>1987</t>
  </si>
  <si>
    <t>7.2</t>
  </si>
  <si>
    <t>7.1</t>
  </si>
  <si>
    <t>mu g per ml</t>
  </si>
  <si>
    <t>TN (mg/g)</t>
  </si>
  <si>
    <t>TP (mg/g)</t>
  </si>
  <si>
    <t>Total S available</t>
  </si>
  <si>
    <t>Incubation for 4 days (mu g C per g per day)</t>
  </si>
  <si>
    <t>quotient qCO2 (mg CO2-C per g per day)</t>
  </si>
  <si>
    <t>Eutrudept (Soil Survey Staff 1998) or Calcaric Fluvisol</t>
  </si>
  <si>
    <t>8.45</t>
  </si>
  <si>
    <t>8.46</t>
  </si>
  <si>
    <t>1930-2000</t>
  </si>
  <si>
    <t>Earthwarm worked soil (%)</t>
  </si>
  <si>
    <t>Dry sieving MWD (mm)</t>
  </si>
  <si>
    <t>Wet sieving MWD (mm)</t>
  </si>
  <si>
    <t>% water stable macroaggregation</t>
  </si>
  <si>
    <t>207-58-1</t>
  </si>
  <si>
    <t>207-58-2</t>
  </si>
  <si>
    <t>207-58-3</t>
  </si>
  <si>
    <t>207-58-4</t>
  </si>
  <si>
    <t>207-58-5</t>
  </si>
  <si>
    <t>207-58-6</t>
  </si>
  <si>
    <t>Average of wheat-barley-sugarbeet-potato</t>
  </si>
  <si>
    <t>6.31</t>
  </si>
  <si>
    <t>cmol dm-3)</t>
  </si>
  <si>
    <t>Al+Mg+Na+Ca cmol dm-3)</t>
  </si>
  <si>
    <t>Available P (mg dm-3)</t>
  </si>
  <si>
    <t>Mycorrhizal fungal hyphal length (cm g-1)</t>
  </si>
  <si>
    <t>Mycorrhizal inoculum potential %</t>
  </si>
  <si>
    <t>Total Bradford-reactive soil protein (mg/g)</t>
  </si>
  <si>
    <t>Number of spores in 50 ml soil</t>
  </si>
  <si>
    <t>Winter</t>
  </si>
  <si>
    <t>Shannon</t>
  </si>
  <si>
    <t>1992-1999</t>
  </si>
  <si>
    <t>Haplumbrept</t>
  </si>
  <si>
    <t>Animal manure and biological control of pests and diseases</t>
  </si>
  <si>
    <t>Native grassland data available</t>
  </si>
  <si>
    <t>2000-2007</t>
  </si>
  <si>
    <t>207-60-1</t>
  </si>
  <si>
    <t>207-60-2</t>
  </si>
  <si>
    <t>207-60-3</t>
  </si>
  <si>
    <t>Continious flooding (F)</t>
  </si>
  <si>
    <t>Flooding-midseason drainage-flooding(FDF)</t>
  </si>
  <si>
    <t>Flooding-midseason drainage-flooding-moist irrigation(FDFM)</t>
  </si>
  <si>
    <t>N2O kg N per ha</t>
  </si>
  <si>
    <t>1986-1998</t>
  </si>
  <si>
    <t>S, Zn</t>
  </si>
  <si>
    <t>Jute</t>
  </si>
  <si>
    <t>Pulses</t>
  </si>
  <si>
    <t>Mustard</t>
  </si>
  <si>
    <t>207-61-1</t>
  </si>
  <si>
    <t>207-61-2</t>
  </si>
  <si>
    <t>207-61-3</t>
  </si>
  <si>
    <t>207-61-4</t>
  </si>
  <si>
    <t>207-61-5</t>
  </si>
  <si>
    <t>207-61-6</t>
  </si>
  <si>
    <t>207-61-7</t>
  </si>
  <si>
    <t>t per ha to kg per ha</t>
  </si>
  <si>
    <t>Compost applied at OGF</t>
  </si>
  <si>
    <t>Many other indicators available</t>
  </si>
  <si>
    <t>Ca+Mg+Na</t>
  </si>
  <si>
    <t>mm hos cm-1</t>
  </si>
  <si>
    <t>TN mg/kg</t>
  </si>
  <si>
    <t>Basal respiration (mu g CO2-C per g per hour)</t>
  </si>
  <si>
    <t>qCO2 (mu g per mg per hour)</t>
  </si>
  <si>
    <t>Mycorrhizae total colonized root (mm)</t>
  </si>
  <si>
    <t>Protease potential (mu g amino acid N/g soil)</t>
  </si>
  <si>
    <t>1986-2004</t>
  </si>
  <si>
    <t>Rain-fed</t>
  </si>
  <si>
    <t>mg per g</t>
  </si>
  <si>
    <t>207-64-3</t>
  </si>
  <si>
    <t>207-64-4</t>
  </si>
  <si>
    <t>207-64-5</t>
  </si>
  <si>
    <t>207-64-6</t>
  </si>
  <si>
    <t>Grass-clover</t>
  </si>
  <si>
    <t>Average of oat Barley</t>
  </si>
  <si>
    <t>1958-1998</t>
  </si>
  <si>
    <t>1951-1998</t>
  </si>
  <si>
    <t>6.7</t>
  </si>
  <si>
    <t>6.4</t>
  </si>
  <si>
    <t>Group I Conv-H</t>
  </si>
  <si>
    <t>Group I Conv P</t>
  </si>
  <si>
    <t>Group II Conv H</t>
  </si>
  <si>
    <t>Group III Conv P</t>
  </si>
  <si>
    <t>Extracable K (mg/kg)</t>
  </si>
  <si>
    <t>Olsen P (mg/kg)</t>
  </si>
  <si>
    <t>mmol per kg</t>
  </si>
  <si>
    <t>m3/100m3</t>
  </si>
  <si>
    <t>&gt; 30 mu m (%)</t>
  </si>
  <si>
    <t>mu g C per g soil</t>
  </si>
  <si>
    <t>beta-glucosidase activity (mu mol per g per hour)</t>
  </si>
  <si>
    <t>Filamentous fungi (cfu 10^4 g soil)</t>
  </si>
  <si>
    <t>Penicillium spp (cfu)</t>
  </si>
  <si>
    <t>1993-2004</t>
  </si>
  <si>
    <t>Crimson clover-rye grass</t>
  </si>
  <si>
    <t>Multiculture</t>
  </si>
  <si>
    <t>Biculture</t>
  </si>
  <si>
    <t>Triculture</t>
  </si>
  <si>
    <t>Six species</t>
  </si>
  <si>
    <t>g per per m2 per yr to kg per ha per yr</t>
  </si>
  <si>
    <t>g per kg</t>
  </si>
  <si>
    <t>Nitrate-N (kg per ha)</t>
  </si>
  <si>
    <t>Both conventional and organic farmused cover crop</t>
  </si>
  <si>
    <t>Average of grassland, potatto, onion, cereal, or sugar beet</t>
  </si>
  <si>
    <t>2001-2009</t>
  </si>
  <si>
    <t>7.39</t>
  </si>
  <si>
    <t>5.46</t>
  </si>
  <si>
    <t>mgper kg</t>
  </si>
  <si>
    <t>Basal respiration (mu g per g soil per h)</t>
  </si>
  <si>
    <t>Copiotroph bacteria (CFUs)</t>
  </si>
  <si>
    <t xml:space="preserve">Shannon index as determined by DGGE/nematological data </t>
  </si>
  <si>
    <t>Abundance of enchytraeids in different crop types and farming systems</t>
  </si>
  <si>
    <t>Acrisol (FAO)</t>
  </si>
  <si>
    <t>Fescue grass</t>
  </si>
  <si>
    <t>TC vs TO</t>
  </si>
  <si>
    <t>NC vs NO</t>
  </si>
  <si>
    <t>TN vs FG</t>
  </si>
  <si>
    <t>2009</t>
  </si>
  <si>
    <t>1994-2010</t>
  </si>
  <si>
    <t>Net nitrogen mineralization (mg per kg)</t>
  </si>
  <si>
    <t>Microbial respiration (mg CO2 per kg per day)</t>
  </si>
  <si>
    <t>5.4</t>
  </si>
  <si>
    <t>5.5</t>
  </si>
  <si>
    <t>5.6</t>
  </si>
  <si>
    <t>5.7</t>
  </si>
  <si>
    <t>Mineralisable nitroble (mg per kg)</t>
  </si>
  <si>
    <t>Na+Ca+Mg+Al</t>
  </si>
  <si>
    <t>Total P (mg per kg)</t>
  </si>
  <si>
    <t xml:space="preserve"> Mass of water stable aggregates &gt;250 mm expressed as a proportion of the total soil mass</t>
  </si>
  <si>
    <t>at permanent wilting point (1.5 Mpa)</t>
  </si>
  <si>
    <t>Field pea, cow pea and oat</t>
  </si>
  <si>
    <t>1992-1995</t>
  </si>
  <si>
    <t>1992-2005</t>
  </si>
  <si>
    <t>Typic Hapludert</t>
  </si>
  <si>
    <t>Luvic Ferrasol</t>
  </si>
  <si>
    <t>7.4</t>
  </si>
  <si>
    <t>Nitrate-N (mg per kg)</t>
  </si>
  <si>
    <t>Olsen P (mg per kg)</t>
  </si>
  <si>
    <t>Wheat-alfalfa-alfalfa-flax</t>
  </si>
  <si>
    <t>Both conventional and organic farmused under same rotation</t>
  </si>
  <si>
    <t>Małopolskie, Podkarpacie,  Mazowiecki, south and east of Poland</t>
  </si>
  <si>
    <t>2013</t>
  </si>
  <si>
    <t>Swiątkiewicz</t>
  </si>
  <si>
    <t>Domagała</t>
  </si>
  <si>
    <t>Poland</t>
  </si>
  <si>
    <t>Celery</t>
  </si>
  <si>
    <t>281-1</t>
  </si>
  <si>
    <t>K+Mg</t>
  </si>
  <si>
    <t>Red beet</t>
  </si>
  <si>
    <t>Carrot</t>
  </si>
  <si>
    <t>Blackcurrant</t>
  </si>
  <si>
    <t>281-2</t>
  </si>
  <si>
    <t>281-3</t>
  </si>
  <si>
    <t>281-4</t>
  </si>
  <si>
    <t>281-5</t>
  </si>
  <si>
    <t>281-6</t>
  </si>
  <si>
    <t>0-to-8</t>
  </si>
  <si>
    <t>Wet sieving index</t>
  </si>
  <si>
    <t>m.e./g</t>
  </si>
  <si>
    <t>Air capacity</t>
  </si>
  <si>
    <t>Available water (%)</t>
  </si>
  <si>
    <t>1998-2001</t>
  </si>
  <si>
    <t>TN (mg per kg)</t>
  </si>
  <si>
    <t>Ca+Mg (mg per kg)</t>
  </si>
  <si>
    <t>muS/cm</t>
  </si>
  <si>
    <t>Corn population (Plants per ha)</t>
  </si>
  <si>
    <t>Mg per ha to Kg</t>
  </si>
  <si>
    <t>Broadleaves</t>
  </si>
  <si>
    <t>Grass (plants per m2)</t>
  </si>
  <si>
    <t>Mesic Typic Fluvaquents</t>
  </si>
  <si>
    <t>1924-1994</t>
  </si>
  <si>
    <t>M3/M3</t>
  </si>
  <si>
    <t>Available water (cm3/cm3)</t>
  </si>
  <si>
    <t>Easy available water (cm3/cm3)</t>
  </si>
  <si>
    <t>1960</t>
  </si>
  <si>
    <t>1975-1981</t>
  </si>
  <si>
    <t>1978</t>
  </si>
  <si>
    <t>Fine,  montmorillonitic, mesic, Typic Argiudol</t>
  </si>
  <si>
    <t>207-21-4</t>
  </si>
  <si>
    <t>207-21-5</t>
  </si>
  <si>
    <t>207-21-6</t>
  </si>
  <si>
    <t>207-21-7</t>
  </si>
  <si>
    <t>207-21-8</t>
  </si>
  <si>
    <t>207-21-9</t>
  </si>
  <si>
    <t>Soluble P (g/ha)</t>
  </si>
  <si>
    <t>Kg/ha</t>
  </si>
  <si>
    <t>OCT 1981</t>
  </si>
  <si>
    <t>OCT 1982</t>
  </si>
  <si>
    <t>July 1982</t>
  </si>
  <si>
    <t>Potential minerelizable Nitrogen (kg/ha)</t>
  </si>
  <si>
    <t>Water filled pore space (%)</t>
  </si>
  <si>
    <t>mg/kg/d</t>
  </si>
  <si>
    <t>N2O (mg/kg/d)</t>
  </si>
  <si>
    <t>1985-1996</t>
  </si>
  <si>
    <t>1990</t>
  </si>
  <si>
    <t>TN (Kg/ha)</t>
  </si>
  <si>
    <t>Inorganic P (kg/ha)</t>
  </si>
  <si>
    <t>Water stable aggregates %</t>
  </si>
  <si>
    <t>1980</t>
  </si>
  <si>
    <t>1985</t>
  </si>
  <si>
    <t>1980-2005</t>
  </si>
  <si>
    <t>Height</t>
  </si>
  <si>
    <t>Soybean (Kg per ha)</t>
  </si>
  <si>
    <t>Maize (Kg per ha)</t>
  </si>
  <si>
    <t>1965-1985</t>
  </si>
  <si>
    <t>Water content (kg/kg)</t>
  </si>
  <si>
    <t>1975</t>
  </si>
  <si>
    <t>Topslope-OCT</t>
  </si>
  <si>
    <t>Topslope-MAR</t>
  </si>
  <si>
    <t>Topslope-JUNE</t>
  </si>
  <si>
    <t>Blackslope-OCT</t>
  </si>
  <si>
    <t>Blackslope-MAR</t>
  </si>
  <si>
    <t>Blackslope-JUNE</t>
  </si>
  <si>
    <t>Footslope-OCT</t>
  </si>
  <si>
    <t>Footslope-MAR</t>
  </si>
  <si>
    <t>Footslope-JUNE</t>
  </si>
  <si>
    <t>Aggregate stability ratio (%)</t>
  </si>
  <si>
    <t>Structral index available</t>
  </si>
  <si>
    <t>1982-1990</t>
  </si>
  <si>
    <t>mu L O2 per hour</t>
  </si>
  <si>
    <t>TN mg per kg</t>
  </si>
  <si>
    <t>TP mg per kg</t>
  </si>
  <si>
    <t>Extractable K cmol per g</t>
  </si>
  <si>
    <t>Farm comparison CH, Therwil Switzerland</t>
  </si>
  <si>
    <t>1978-1998</t>
  </si>
  <si>
    <t>Red beets</t>
  </si>
  <si>
    <t>Cover crop</t>
  </si>
  <si>
    <t>Organic farm</t>
  </si>
  <si>
    <t>Agriculture forest system</t>
  </si>
  <si>
    <t>CC</t>
  </si>
  <si>
    <t>Acronym</t>
  </si>
  <si>
    <t>Conservation type</t>
  </si>
  <si>
    <t>Organic farm with cover crop as green manure</t>
  </si>
  <si>
    <t>Organic farm with no tillage</t>
  </si>
  <si>
    <t>SR</t>
  </si>
  <si>
    <t>Straw return, mulching</t>
  </si>
  <si>
    <t>ROT</t>
  </si>
  <si>
    <t>222</t>
  </si>
  <si>
    <t>249</t>
  </si>
  <si>
    <t>Mixed of other two cover crops</t>
  </si>
  <si>
    <t>Abawi, G. S. &amp; Widmer, T. L. Impact of soil health management practices on soilborne pathogens, nematodes and root diseases of vegetable crops. Appl. Soil Ecol. 15, 37–47 (2000).</t>
  </si>
  <si>
    <t>Bandick, A. K. &amp; Dick, R. P. Field management e  ects on soil enzyme activities. Soil Biol. Biochem. 31, 1471–1479 (1999).</t>
  </si>
  <si>
    <t>Blackshaw, R. E. Agronomic merits of cereal cover crops in dry bean production systems in western Canada. Crop Prot. 27, 208–214 (2008).</t>
  </si>
  <si>
    <t>Blanco-Canqui, H., Mikha, M. M., Presley, D. R. &amp; Claassen, M. M. Addition of Cover Crops Enhances No-Till Potential for Improving Soil Physical Properties. Soil Sci. Soc. Am. J. 75, 1471 (2011).</t>
  </si>
  <si>
    <t>Blanco-Canqui, H., Holman, J. D., Schlegel, A. J., Tatarko, J. &amp; Shaver, T. M. Replacing Fallow with Cover Crops in a Semiarid Soil: Effects on Soil Properties. Soil Sci. Soc. Am. J. 77, 1026 (2013).</t>
  </si>
  <si>
    <t>Bloszies, S. A. Soil Microbial Activity and Organic Carbon Dynamics in Low Input Agroecosystems. (North Carolina State University, 2016).</t>
  </si>
  <si>
    <t>Bottomley, P. J., Sawyer, T. E., Boersma, L., Dick, R. P. &amp; Hemphill, D. D. Winter cover crop enhances 2,4-D mineralization potential of surface and subsurface soil. Soil Biol. Biochem. 31, 849–857 (1999).</t>
  </si>
  <si>
    <t>Bruce, R. R., Langdale, G. W., West, L. T. &amp; Miller, W. P. Soil surface modification by biomass inputs affecting rainfall infiltration. Soil Sci. Soc. Am. J. 56, 1614–1620 (1992).</t>
  </si>
  <si>
    <r>
      <t xml:space="preserve">Brainard, D. C., Bryant, A., Noyes, D. C., Haramoto, E. R. &amp; Szendrei, Z. Evaluating pest-regulating services under conservation agriculture: A case study in snap beans. </t>
    </r>
    <r>
      <rPr>
        <i/>
        <sz val="12"/>
        <color rgb="FF000000"/>
        <rFont val="Times New Roman"/>
        <family val="1"/>
      </rPr>
      <t xml:space="preserve">Agric. </t>
    </r>
  </si>
  <si>
    <r>
      <t xml:space="preserve">Bulan, M. T. S., Stoltenberg, D. E. &amp; Posner, J. L. Buckwheat species as summer cover crops for weed suppression in no-tillage vegetable cropping systems. </t>
    </r>
    <r>
      <rPr>
        <i/>
        <sz val="12"/>
        <color rgb="FF000000"/>
        <rFont val="Times New Roman"/>
        <family val="1"/>
      </rPr>
      <t>Weed Sci.</t>
    </r>
    <r>
      <rPr>
        <sz val="12"/>
        <color rgb="FF000000"/>
        <rFont val="Times New Roman"/>
        <family val="1"/>
      </rPr>
      <t xml:space="preserve"> </t>
    </r>
    <r>
      <rPr>
        <b/>
        <sz val="12"/>
        <color rgb="FF000000"/>
        <rFont val="Times New Roman"/>
        <family val="1"/>
      </rPr>
      <t>63,</t>
    </r>
    <r>
      <rPr>
        <sz val="12"/>
        <color rgb="FF000000"/>
        <rFont val="Times New Roman"/>
        <family val="1"/>
      </rPr>
      <t xml:space="preserve"> 690–702 (2015).</t>
    </r>
  </si>
  <si>
    <r>
      <t xml:space="preserve">Buyer, J. S., Teasdale, J. R., Roberts, D. P., Zasada, I. A. &amp; Maul, J. E. Factors affecting soil microbial community structure in tomato cropping systems. </t>
    </r>
    <r>
      <rPr>
        <i/>
        <sz val="12"/>
        <color rgb="FF000000"/>
        <rFont val="Times New Roman"/>
        <family val="1"/>
      </rPr>
      <t>Soil Biol. Biochem.</t>
    </r>
    <r>
      <rPr>
        <sz val="12"/>
        <color rgb="FF000000"/>
        <rFont val="Times New Roman"/>
        <family val="1"/>
      </rPr>
      <t xml:space="preserve"> </t>
    </r>
    <r>
      <rPr>
        <b/>
        <sz val="12"/>
        <color rgb="FF000000"/>
        <rFont val="Times New Roman"/>
        <family val="1"/>
      </rPr>
      <t>42,</t>
    </r>
    <r>
      <rPr>
        <sz val="12"/>
        <color rgb="FF000000"/>
        <rFont val="Times New Roman"/>
        <family val="1"/>
      </rPr>
      <t xml:space="preserve"> 831–841 (2010).</t>
    </r>
  </si>
  <si>
    <r>
      <t xml:space="preserve">Campbell, R. B., Sojka, R. E. &amp; Karlen, D. L. Conservation tillage for soybean in the US southeastern cosstal plain. </t>
    </r>
    <r>
      <rPr>
        <i/>
        <sz val="12"/>
        <color rgb="FF000000"/>
        <rFont val="Times New Roman"/>
        <family val="1"/>
      </rPr>
      <t>Soil Tillage Res.</t>
    </r>
    <r>
      <rPr>
        <sz val="12"/>
        <color rgb="FF000000"/>
        <rFont val="Times New Roman"/>
        <family val="1"/>
      </rPr>
      <t xml:space="preserve"> </t>
    </r>
    <r>
      <rPr>
        <b/>
        <sz val="12"/>
        <color rgb="FF000000"/>
        <rFont val="Times New Roman"/>
        <family val="1"/>
      </rPr>
      <t>4,</t>
    </r>
    <r>
      <rPr>
        <sz val="12"/>
        <color rgb="FF000000"/>
        <rFont val="Times New Roman"/>
        <family val="1"/>
      </rPr>
      <t xml:space="preserve"> 531–541 (1984).</t>
    </r>
  </si>
  <si>
    <r>
      <t xml:space="preserve">Campbell, C. A., Biederbeck, V. O., Zentner, R. P. &amp; Lafond, G. P. Effect of crop rotations and cultural practices on soil organic matter, microbial biomass and respiration in a thin Black Chernozem. </t>
    </r>
    <r>
      <rPr>
        <i/>
        <sz val="12"/>
        <color rgb="FF000000"/>
        <rFont val="Times New Roman"/>
        <family val="1"/>
      </rPr>
      <t>Can. J. Plant Sci.</t>
    </r>
    <r>
      <rPr>
        <sz val="12"/>
        <color rgb="FF000000"/>
        <rFont val="Times New Roman"/>
        <family val="1"/>
      </rPr>
      <t xml:space="preserve"> </t>
    </r>
    <r>
      <rPr>
        <b/>
        <sz val="12"/>
        <color rgb="FF000000"/>
        <rFont val="Times New Roman"/>
        <family val="1"/>
      </rPr>
      <t>71,</t>
    </r>
    <r>
      <rPr>
        <sz val="12"/>
        <color rgb="FF000000"/>
        <rFont val="Times New Roman"/>
        <family val="1"/>
      </rPr>
      <t xml:space="preserve"> 363–376 (1991).</t>
    </r>
  </si>
  <si>
    <t>Carr, P. M., Anderson, R. L., Lawley, Y. E., Miller, P. R. &amp; Zwinger, S. F. Organic zero-till in the northern US Great Plains Region: Opportunities and obstacles. Renew. Agric. Food Syst. 27, 12–20 (2012).</t>
  </si>
  <si>
    <t>Duiker, S. W. &amp; Curran, W. S. Rye cover crop management for corn production in the Northern mid-Atlantic region. Agron. J. 97, 1413–1418 (2005).</t>
  </si>
  <si>
    <t>Ess, D. R., Vaughan, D. H. &amp; Perumpral, J. V. Crop residue and root effects on soil compaction. Trans. ASAE 41, 1271–1275 (1998).</t>
  </si>
  <si>
    <t>Finney, D. M., White, C. M. &amp; Kaye, J. P. Biomass production and carbon/nitrogen ratio influence ecosystem services from cover crop mixtures. Agron. J. 108, 39–52 (2016).</t>
  </si>
  <si>
    <t>Finney, D. M., Buyer, J. S. &amp; Kaye, J. P. Living cover crops have immediate impacts on soil microbial community structure and function. J. Soil Water Conserv. 72, 361–373 (2017).</t>
  </si>
  <si>
    <t>Hargrove, W. L. Winter Legumes as a Nitrogen Source for No-Till Grain Sorghum. Agron. J. 78, 70–74 (1986).</t>
  </si>
  <si>
    <t>Hayden, Z. D., Ngouajio, M. &amp; Brainard, D. C. Rye-vetch mixture proportion tradeoffs: Cover crop productivity, nitrogen accumulation, and weed suppression. Agron. J. 106, 904–914 (2014).</t>
  </si>
  <si>
    <t>Hinds, J. &amp; Hooks, C. R. R. Population dynamics of arthropods in a sunn-hemp zucchini interplanting system. Crop Prot. 53, 6–12 (2013).</t>
  </si>
  <si>
    <t>Hinds, J., Wang, K.-H. K.-H., Marahatta, S. P., Meyer, S. L. F. &amp; Hooks, C. R. R. Sunn hemp cover cropping and organic fertilizer effects on the nematode community under temperate growing conditions. J. Nematol. 45, 265–271 (2013).</t>
  </si>
  <si>
    <t>Hinds, J., Wang, K. H. &amp; Hooks, C. R. R. Growth and yield of zucchini squash (Cucurbita pepo L.) as influenced by a sunn hemp living mulch. Biol. Agric. Hortic. 32, 21–33 (2016).</t>
  </si>
  <si>
    <r>
      <t xml:space="preserve">Hubbard, R. K., Strickland, T. C. &amp; Phatak, S. Effects of cover crop systems on soil physical properties and carbon/nitrogen relationships in the coastal plain of southeastern USA. </t>
    </r>
    <r>
      <rPr>
        <i/>
        <sz val="12"/>
        <color rgb="FF000000"/>
        <rFont val="Times New Roman"/>
        <family val="1"/>
      </rPr>
      <t>Soil Tillage Res.</t>
    </r>
    <r>
      <rPr>
        <sz val="12"/>
        <color rgb="FF000000"/>
        <rFont val="Times New Roman"/>
        <family val="1"/>
      </rPr>
      <t xml:space="preserve"> </t>
    </r>
    <r>
      <rPr>
        <b/>
        <sz val="12"/>
        <color rgb="FF000000"/>
        <rFont val="Times New Roman"/>
        <family val="1"/>
      </rPr>
      <t>126,</t>
    </r>
    <r>
      <rPr>
        <sz val="12"/>
        <color rgb="FF000000"/>
        <rFont val="Times New Roman"/>
        <family val="1"/>
      </rPr>
      <t xml:space="preserve"> 276–283 (2013).</t>
    </r>
  </si>
  <si>
    <r>
      <t xml:space="preserve">Idowu, O. J. </t>
    </r>
    <r>
      <rPr>
        <i/>
        <sz val="12"/>
        <color rgb="FF000000"/>
        <rFont val="Times New Roman"/>
        <family val="1"/>
      </rPr>
      <t>et al.</t>
    </r>
    <r>
      <rPr>
        <sz val="12"/>
        <color rgb="FF000000"/>
        <rFont val="Times New Roman"/>
        <family val="1"/>
      </rPr>
      <t xml:space="preserve"> Use of an integrative soil health test for evaluation of soil management impacts. </t>
    </r>
    <r>
      <rPr>
        <i/>
        <sz val="12"/>
        <color rgb="FF000000"/>
        <rFont val="Times New Roman"/>
        <family val="1"/>
      </rPr>
      <t>Renew. Agric. Food Syst.</t>
    </r>
    <r>
      <rPr>
        <sz val="12"/>
        <color rgb="FF000000"/>
        <rFont val="Times New Roman"/>
        <family val="1"/>
      </rPr>
      <t xml:space="preserve"> </t>
    </r>
    <r>
      <rPr>
        <b/>
        <sz val="12"/>
        <color rgb="FF000000"/>
        <rFont val="Times New Roman"/>
        <family val="1"/>
      </rPr>
      <t>24,</t>
    </r>
    <r>
      <rPr>
        <sz val="12"/>
        <color rgb="FF000000"/>
        <rFont val="Times New Roman"/>
        <family val="1"/>
      </rPr>
      <t xml:space="preserve"> 214–224 (2009).</t>
    </r>
  </si>
  <si>
    <r>
      <t xml:space="preserve">Jani, A. D., Grossman, J., Smyth, T. J. &amp; Hu, S. Winter legume cover-crop root decomposition and N release dynamics under disking and roller-crimping termination approaches. </t>
    </r>
    <r>
      <rPr>
        <i/>
        <sz val="12"/>
        <color rgb="FF000000"/>
        <rFont val="Times New Roman"/>
        <family val="1"/>
      </rPr>
      <t>Renew. Agric. Food Syst.</t>
    </r>
    <r>
      <rPr>
        <sz val="12"/>
        <color rgb="FF000000"/>
        <rFont val="Times New Roman"/>
        <family val="1"/>
      </rPr>
      <t xml:space="preserve"> </t>
    </r>
    <r>
      <rPr>
        <b/>
        <sz val="12"/>
        <color rgb="FF000000"/>
        <rFont val="Times New Roman"/>
        <family val="1"/>
      </rPr>
      <t>31,</t>
    </r>
    <r>
      <rPr>
        <sz val="12"/>
        <color rgb="FF000000"/>
        <rFont val="Times New Roman"/>
        <family val="1"/>
      </rPr>
      <t xml:space="preserve"> 214–229 (2016).</t>
    </r>
  </si>
  <si>
    <r>
      <t xml:space="preserve">Jernigan, A. B. </t>
    </r>
    <r>
      <rPr>
        <i/>
        <sz val="12"/>
        <color rgb="FF000000"/>
        <rFont val="Times New Roman"/>
        <family val="1"/>
      </rPr>
      <t>et al.</t>
    </r>
    <r>
      <rPr>
        <sz val="12"/>
        <color rgb="FF000000"/>
        <rFont val="Times New Roman"/>
        <family val="1"/>
      </rPr>
      <t xml:space="preserve"> Weed abundance and community composition following a long-Term organic vegetable cropping systems experiment. </t>
    </r>
    <r>
      <rPr>
        <i/>
        <sz val="12"/>
        <color rgb="FF000000"/>
        <rFont val="Times New Roman"/>
        <family val="1"/>
      </rPr>
      <t>Weed Sci.</t>
    </r>
    <r>
      <rPr>
        <sz val="12"/>
        <color rgb="FF000000"/>
        <rFont val="Times New Roman"/>
        <family val="1"/>
      </rPr>
      <t xml:space="preserve"> </t>
    </r>
    <r>
      <rPr>
        <b/>
        <sz val="12"/>
        <color rgb="FF000000"/>
        <rFont val="Times New Roman"/>
        <family val="1"/>
      </rPr>
      <t>65,</t>
    </r>
    <r>
      <rPr>
        <sz val="12"/>
        <color rgb="FF000000"/>
        <rFont val="Times New Roman"/>
        <family val="1"/>
      </rPr>
      <t xml:space="preserve"> 639–649 (2017).</t>
    </r>
  </si>
  <si>
    <r>
      <t xml:space="preserve">Jiang, P., Anderson, S. H., Kitchen, N. R., Sadler, E. J. &amp; Sudduth, K. a. Landscape and conservation management effects on hydraulic Properties of a claypan-soil toposequence. </t>
    </r>
    <r>
      <rPr>
        <i/>
        <sz val="12"/>
        <color rgb="FF000000"/>
        <rFont val="Times New Roman"/>
        <family val="1"/>
      </rPr>
      <t>Soil Sci. Soc. Am. J.</t>
    </r>
    <r>
      <rPr>
        <sz val="12"/>
        <color rgb="FF000000"/>
        <rFont val="Times New Roman"/>
        <family val="1"/>
      </rPr>
      <t xml:space="preserve"> </t>
    </r>
    <r>
      <rPr>
        <b/>
        <sz val="12"/>
        <color rgb="FF000000"/>
        <rFont val="Times New Roman"/>
        <family val="1"/>
      </rPr>
      <t>71,</t>
    </r>
    <r>
      <rPr>
        <sz val="12"/>
        <color rgb="FF000000"/>
        <rFont val="Times New Roman"/>
        <family val="1"/>
      </rPr>
      <t xml:space="preserve"> 803 (2007).</t>
    </r>
  </si>
  <si>
    <r>
      <t xml:space="preserve">Jokela, W. E., Grabber, J. H., Karlen, D. L., Balser, T. C. &amp; Palmquist, D. E. Cover crop and liquid manure effects on soil quality indicators in a corn silage system. </t>
    </r>
    <r>
      <rPr>
        <i/>
        <sz val="12"/>
        <color rgb="FF000000"/>
        <rFont val="Times New Roman"/>
        <family val="1"/>
      </rPr>
      <t>Agron. J.</t>
    </r>
    <r>
      <rPr>
        <sz val="12"/>
        <color rgb="FF000000"/>
        <rFont val="Times New Roman"/>
        <family val="1"/>
      </rPr>
      <t xml:space="preserve"> </t>
    </r>
    <r>
      <rPr>
        <b/>
        <sz val="12"/>
        <color rgb="FF000000"/>
        <rFont val="Times New Roman"/>
        <family val="1"/>
      </rPr>
      <t>101,</t>
    </r>
    <r>
      <rPr>
        <sz val="12"/>
        <color rgb="FF000000"/>
        <rFont val="Times New Roman"/>
        <family val="1"/>
      </rPr>
      <t xml:space="preserve"> 727–737 (2009).</t>
    </r>
  </si>
  <si>
    <r>
      <t xml:space="preserve">Joyce, B. A. </t>
    </r>
    <r>
      <rPr>
        <i/>
        <sz val="12"/>
        <color rgb="FF000000"/>
        <rFont val="Times New Roman"/>
        <family val="1"/>
      </rPr>
      <t>et al.</t>
    </r>
    <r>
      <rPr>
        <sz val="12"/>
        <color rgb="FF000000"/>
        <rFont val="Times New Roman"/>
        <family val="1"/>
      </rPr>
      <t xml:space="preserve"> Infiltration and soil water storage under winter cover cropping in California’s Sacramento Valley. </t>
    </r>
    <r>
      <rPr>
        <i/>
        <sz val="12"/>
        <color rgb="FF000000"/>
        <rFont val="Times New Roman"/>
        <family val="1"/>
      </rPr>
      <t>Trans. ASAE</t>
    </r>
    <r>
      <rPr>
        <sz val="12"/>
        <color rgb="FF000000"/>
        <rFont val="Times New Roman"/>
        <family val="1"/>
      </rPr>
      <t xml:space="preserve"> </t>
    </r>
    <r>
      <rPr>
        <b/>
        <sz val="12"/>
        <color rgb="FF000000"/>
        <rFont val="Times New Roman"/>
        <family val="1"/>
      </rPr>
      <t>45,</t>
    </r>
    <r>
      <rPr>
        <sz val="12"/>
        <color rgb="FF000000"/>
        <rFont val="Times New Roman"/>
        <family val="1"/>
      </rPr>
      <t xml:space="preserve"> 315–326 (2002).</t>
    </r>
  </si>
  <si>
    <r>
      <t xml:space="preserve">Kabir, Z. &amp; Koide, R. T. The effects of dandelion or a cover crop onmycorrhizal inoculum potential, soil aggregation and yield of maize.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78,</t>
    </r>
    <r>
      <rPr>
        <sz val="12"/>
        <color rgb="FF000000"/>
        <rFont val="Times New Roman"/>
        <family val="1"/>
      </rPr>
      <t xml:space="preserve"> 167–174 (2000).</t>
    </r>
  </si>
  <si>
    <r>
      <t xml:space="preserve">Kaspar, T. C., Jaynes, D. B., Parkin, T. B. &amp; Moorman, T. B. Rye Cover Crop and Gamagrass Strip Effects on NO Concentration and Load in Tile Drainage. </t>
    </r>
    <r>
      <rPr>
        <i/>
        <sz val="12"/>
        <color rgb="FF000000"/>
        <rFont val="Times New Roman"/>
        <family val="1"/>
      </rPr>
      <t>J. Environ. Qual.</t>
    </r>
    <r>
      <rPr>
        <sz val="12"/>
        <color rgb="FF000000"/>
        <rFont val="Times New Roman"/>
        <family val="1"/>
      </rPr>
      <t xml:space="preserve"> </t>
    </r>
    <r>
      <rPr>
        <b/>
        <sz val="12"/>
        <color rgb="FF000000"/>
        <rFont val="Times New Roman"/>
        <family val="1"/>
      </rPr>
      <t>36,</t>
    </r>
    <r>
      <rPr>
        <sz val="12"/>
        <color rgb="FF000000"/>
        <rFont val="Times New Roman"/>
        <family val="1"/>
      </rPr>
      <t xml:space="preserve"> 1503 (2007).</t>
    </r>
  </si>
  <si>
    <r>
      <t xml:space="preserve">Keene, C. L. &amp; Curran, W. S. Optimizing high-residue cultivation timing and frequency in reduced-tillage soybean and corn. </t>
    </r>
    <r>
      <rPr>
        <i/>
        <sz val="12"/>
        <color rgb="FF000000"/>
        <rFont val="Times New Roman"/>
        <family val="1"/>
      </rPr>
      <t>Agron. J.</t>
    </r>
    <r>
      <rPr>
        <sz val="12"/>
        <color rgb="FF000000"/>
        <rFont val="Times New Roman"/>
        <family val="1"/>
      </rPr>
      <t xml:space="preserve"> </t>
    </r>
    <r>
      <rPr>
        <b/>
        <sz val="12"/>
        <color rgb="FF000000"/>
        <rFont val="Times New Roman"/>
        <family val="1"/>
      </rPr>
      <t>108,</t>
    </r>
    <r>
      <rPr>
        <sz val="12"/>
        <color rgb="FF000000"/>
        <rFont val="Times New Roman"/>
        <family val="1"/>
      </rPr>
      <t xml:space="preserve"> 1897–1906 (2016).</t>
    </r>
  </si>
  <si>
    <r>
      <t xml:space="preserve">Kladivko, E. J. </t>
    </r>
    <r>
      <rPr>
        <i/>
        <sz val="12"/>
        <color rgb="FF000000"/>
        <rFont val="Times New Roman"/>
        <family val="1"/>
      </rPr>
      <t>et al.</t>
    </r>
    <r>
      <rPr>
        <sz val="12"/>
        <color rgb="FF000000"/>
        <rFont val="Times New Roman"/>
        <family val="1"/>
      </rPr>
      <t xml:space="preserve"> Nitrate Leaching to Subsurface Drains as Affected by Drain Spacing and Changes in Crop Production System. </t>
    </r>
    <r>
      <rPr>
        <i/>
        <sz val="12"/>
        <color rgb="FF000000"/>
        <rFont val="Times New Roman"/>
        <family val="1"/>
      </rPr>
      <t>J. Environ. Qual.</t>
    </r>
    <r>
      <rPr>
        <sz val="12"/>
        <color rgb="FF000000"/>
        <rFont val="Times New Roman"/>
        <family val="1"/>
      </rPr>
      <t xml:space="preserve"> </t>
    </r>
    <r>
      <rPr>
        <b/>
        <sz val="12"/>
        <color rgb="FF000000"/>
        <rFont val="Times New Roman"/>
        <family val="1"/>
      </rPr>
      <t>33,</t>
    </r>
    <r>
      <rPr>
        <sz val="12"/>
        <color rgb="FF000000"/>
        <rFont val="Times New Roman"/>
        <family val="1"/>
      </rPr>
      <t xml:space="preserve"> 1803 (2004).</t>
    </r>
  </si>
  <si>
    <r>
      <t xml:space="preserve">Kong, A. Y. Y., Scow, K. M., Córdova-Kreylos, A. L., Holmes, W. E. &amp; Six, J. Microbial community composition and carbon cycling within soil microenvironments of conventional, low-input, and organic cropping systems. </t>
    </r>
    <r>
      <rPr>
        <i/>
        <sz val="12"/>
        <color rgb="FF000000"/>
        <rFont val="Times New Roman"/>
        <family val="1"/>
      </rPr>
      <t>Soil Biol. Biochem.</t>
    </r>
    <r>
      <rPr>
        <sz val="12"/>
        <color rgb="FF000000"/>
        <rFont val="Times New Roman"/>
        <family val="1"/>
      </rPr>
      <t xml:space="preserve"> </t>
    </r>
    <r>
      <rPr>
        <b/>
        <sz val="12"/>
        <color rgb="FF000000"/>
        <rFont val="Times New Roman"/>
        <family val="1"/>
      </rPr>
      <t>43,</t>
    </r>
    <r>
      <rPr>
        <sz val="12"/>
        <color rgb="FF000000"/>
        <rFont val="Times New Roman"/>
        <family val="1"/>
      </rPr>
      <t xml:space="preserve"> 20–30 (2011).</t>
    </r>
  </si>
  <si>
    <r>
      <t xml:space="preserve">Langdale, G. W., West, L. T., Bruce, R. R., Miller, W. P. &amp; Thomas, A. W. Restoration of eroded soil with conservation tillage. </t>
    </r>
    <r>
      <rPr>
        <i/>
        <sz val="12"/>
        <color rgb="FF000000"/>
        <rFont val="Times New Roman"/>
        <family val="1"/>
      </rPr>
      <t>Soil Technol.</t>
    </r>
    <r>
      <rPr>
        <sz val="12"/>
        <color rgb="FF000000"/>
        <rFont val="Times New Roman"/>
        <family val="1"/>
      </rPr>
      <t xml:space="preserve"> </t>
    </r>
    <r>
      <rPr>
        <b/>
        <sz val="12"/>
        <color rgb="FF000000"/>
        <rFont val="Times New Roman"/>
        <family val="1"/>
      </rPr>
      <t>5,</t>
    </r>
    <r>
      <rPr>
        <sz val="12"/>
        <color rgb="FF000000"/>
        <rFont val="Times New Roman"/>
        <family val="1"/>
      </rPr>
      <t xml:space="preserve"> 81–90 (1992).</t>
    </r>
  </si>
  <si>
    <r>
      <t xml:space="preserve">Lehman, R. M., Taheri, W. I., Osborne, S. L., Buyer, J. S. &amp; Douds, D. D. Fall cover cropping can increase arbuscular mycorrhizae in soils supporting intensive agricultural production. </t>
    </r>
    <r>
      <rPr>
        <i/>
        <sz val="12"/>
        <color rgb="FF000000"/>
        <rFont val="Times New Roman"/>
        <family val="1"/>
      </rPr>
      <t>Appl. Soil Ecol.</t>
    </r>
    <r>
      <rPr>
        <sz val="12"/>
        <color rgb="FF000000"/>
        <rFont val="Times New Roman"/>
        <family val="1"/>
      </rPr>
      <t xml:space="preserve"> </t>
    </r>
    <r>
      <rPr>
        <b/>
        <sz val="12"/>
        <color rgb="FF000000"/>
        <rFont val="Times New Roman"/>
        <family val="1"/>
      </rPr>
      <t>61,</t>
    </r>
    <r>
      <rPr>
        <sz val="12"/>
        <color rgb="FF000000"/>
        <rFont val="Times New Roman"/>
        <family val="1"/>
      </rPr>
      <t xml:space="preserve"> 300–304 (2012).</t>
    </r>
  </si>
  <si>
    <r>
      <t xml:space="preserve">Liebig, M., Carpenter-Boggs, L., Johnson, J. M. F., Wright, S. &amp; Barbour, N. Cropping system effects on soil biological characteristics in the Great Plains. </t>
    </r>
    <r>
      <rPr>
        <i/>
        <sz val="12"/>
        <color rgb="FF000000"/>
        <rFont val="Times New Roman"/>
        <family val="1"/>
      </rPr>
      <t>Renew. Agric. Food Syst.</t>
    </r>
    <r>
      <rPr>
        <sz val="12"/>
        <color rgb="FF000000"/>
        <rFont val="Times New Roman"/>
        <family val="1"/>
      </rPr>
      <t xml:space="preserve"> </t>
    </r>
    <r>
      <rPr>
        <b/>
        <sz val="12"/>
        <color rgb="FF000000"/>
        <rFont val="Times New Roman"/>
        <family val="1"/>
      </rPr>
      <t>21,</t>
    </r>
    <r>
      <rPr>
        <sz val="12"/>
        <color rgb="FF000000"/>
        <rFont val="Times New Roman"/>
        <family val="1"/>
      </rPr>
      <t xml:space="preserve"> 36–48 (2007).</t>
    </r>
  </si>
  <si>
    <r>
      <t xml:space="preserve">Marriott, E. E. &amp; Wander, M. Qualitative and quantitative differences in particulate organic matter fractions in organic and conventional farming systems. </t>
    </r>
    <r>
      <rPr>
        <i/>
        <sz val="12"/>
        <color rgb="FF000000"/>
        <rFont val="Times New Roman"/>
        <family val="1"/>
      </rPr>
      <t>Soil Biol. Biochem.</t>
    </r>
    <r>
      <rPr>
        <sz val="12"/>
        <color rgb="FF000000"/>
        <rFont val="Times New Roman"/>
        <family val="1"/>
      </rPr>
      <t xml:space="preserve"> </t>
    </r>
    <r>
      <rPr>
        <b/>
        <sz val="12"/>
        <color rgb="FF000000"/>
        <rFont val="Times New Roman"/>
        <family val="1"/>
      </rPr>
      <t>38,</t>
    </r>
    <r>
      <rPr>
        <sz val="12"/>
        <color rgb="FF000000"/>
        <rFont val="Times New Roman"/>
        <family val="1"/>
      </rPr>
      <t xml:space="preserve"> 1527–1536 (2006).</t>
    </r>
  </si>
  <si>
    <r>
      <t xml:space="preserve">Mbuthia, L. W. </t>
    </r>
    <r>
      <rPr>
        <i/>
        <sz val="12"/>
        <color rgb="FF000000"/>
        <rFont val="Times New Roman"/>
        <family val="1"/>
      </rPr>
      <t>et al.</t>
    </r>
    <r>
      <rPr>
        <sz val="12"/>
        <color rgb="FF000000"/>
        <rFont val="Times New Roman"/>
        <family val="1"/>
      </rPr>
      <t xml:space="preserve"> Long term tillage, cover crop, and fertilization effects on microbial community structure, activity: Implications for soil quality. </t>
    </r>
    <r>
      <rPr>
        <i/>
        <sz val="12"/>
        <color rgb="FF000000"/>
        <rFont val="Times New Roman"/>
        <family val="1"/>
      </rPr>
      <t>Soil Biol. Biochem.</t>
    </r>
    <r>
      <rPr>
        <sz val="12"/>
        <color rgb="FF000000"/>
        <rFont val="Times New Roman"/>
        <family val="1"/>
      </rPr>
      <t xml:space="preserve"> </t>
    </r>
    <r>
      <rPr>
        <b/>
        <sz val="12"/>
        <color rgb="FF000000"/>
        <rFont val="Times New Roman"/>
        <family val="1"/>
      </rPr>
      <t>89,</t>
    </r>
    <r>
      <rPr>
        <sz val="12"/>
        <color rgb="FF000000"/>
        <rFont val="Times New Roman"/>
        <family val="1"/>
      </rPr>
      <t xml:space="preserve"> 24–34 (2015).</t>
    </r>
  </si>
  <si>
    <r>
      <t xml:space="preserve">McCracken, D. V., Smith, M. S., Grove, J. H., Blevins, R. L. &amp; MacKown, C. T. Nitrate Leaching as Influenced by Cover Cropping and Nitrogen Source. </t>
    </r>
    <r>
      <rPr>
        <i/>
        <sz val="12"/>
        <color rgb="FF000000"/>
        <rFont val="Times New Roman"/>
        <family val="1"/>
      </rPr>
      <t>Soil Sci. Soc. Am. J.</t>
    </r>
    <r>
      <rPr>
        <sz val="12"/>
        <color rgb="FF000000"/>
        <rFont val="Times New Roman"/>
        <family val="1"/>
      </rPr>
      <t xml:space="preserve"> </t>
    </r>
    <r>
      <rPr>
        <b/>
        <sz val="12"/>
        <color rgb="FF000000"/>
        <rFont val="Times New Roman"/>
        <family val="1"/>
      </rPr>
      <t>58,</t>
    </r>
    <r>
      <rPr>
        <sz val="12"/>
        <color rgb="FF000000"/>
        <rFont val="Times New Roman"/>
        <family val="1"/>
      </rPr>
      <t xml:space="preserve"> 1476 (1994).</t>
    </r>
  </si>
  <si>
    <r>
      <t xml:space="preserve">McVay, K. A., Radcliffe, D. E. &amp; Hargrove, W. L. Winter Legume Effects on Soil Properties and Nitrogen Fertilizer Requirements. </t>
    </r>
    <r>
      <rPr>
        <i/>
        <sz val="12"/>
        <color rgb="FF000000"/>
        <rFont val="Times New Roman"/>
        <family val="1"/>
      </rPr>
      <t>Soil Sci. Soc. Am. J.</t>
    </r>
    <r>
      <rPr>
        <sz val="12"/>
        <color rgb="FF000000"/>
        <rFont val="Times New Roman"/>
        <family val="1"/>
      </rPr>
      <t xml:space="preserve"> </t>
    </r>
    <r>
      <rPr>
        <b/>
        <sz val="12"/>
        <color rgb="FF000000"/>
        <rFont val="Times New Roman"/>
        <family val="1"/>
      </rPr>
      <t>53,</t>
    </r>
    <r>
      <rPr>
        <sz val="12"/>
        <color rgb="FF000000"/>
        <rFont val="Times New Roman"/>
        <family val="1"/>
      </rPr>
      <t xml:space="preserve"> 1856 (1989).</t>
    </r>
  </si>
  <si>
    <r>
      <t xml:space="preserve">Mendes, I. C., Bandick, A. K., Dick, R. P. &amp; Bottomley, P. J. Microbial biomass and activities in soil aggregates affected by winter cover crops. </t>
    </r>
    <r>
      <rPr>
        <i/>
        <sz val="12"/>
        <color rgb="FF000000"/>
        <rFont val="Times New Roman"/>
        <family val="1"/>
      </rPr>
      <t>Soil Sci. Soc. Am. J.</t>
    </r>
    <r>
      <rPr>
        <sz val="12"/>
        <color rgb="FF000000"/>
        <rFont val="Times New Roman"/>
        <family val="1"/>
      </rPr>
      <t xml:space="preserve"> </t>
    </r>
    <r>
      <rPr>
        <b/>
        <sz val="12"/>
        <color rgb="FF000000"/>
        <rFont val="Times New Roman"/>
        <family val="1"/>
      </rPr>
      <t>63,</t>
    </r>
    <r>
      <rPr>
        <sz val="12"/>
        <color rgb="FF000000"/>
        <rFont val="Times New Roman"/>
        <family val="1"/>
      </rPr>
      <t xml:space="preserve"> 873–881 (1999).</t>
    </r>
  </si>
  <si>
    <r>
      <t xml:space="preserve">Ndiaye, E. L., Sandeno, J. M., McGrath, D. &amp; Dick, R. P. Integrative biological indicators for detecting change in soil quality. </t>
    </r>
    <r>
      <rPr>
        <i/>
        <sz val="12"/>
        <color rgb="FF000000"/>
        <rFont val="Times New Roman"/>
        <family val="1"/>
      </rPr>
      <t>Am. J. Altern. Agric.</t>
    </r>
    <r>
      <rPr>
        <sz val="12"/>
        <color rgb="FF000000"/>
        <rFont val="Times New Roman"/>
        <family val="1"/>
      </rPr>
      <t xml:space="preserve"> </t>
    </r>
    <r>
      <rPr>
        <b/>
        <sz val="12"/>
        <color rgb="FF000000"/>
        <rFont val="Times New Roman"/>
        <family val="1"/>
      </rPr>
      <t>15,</t>
    </r>
    <r>
      <rPr>
        <sz val="12"/>
        <color rgb="FF000000"/>
        <rFont val="Times New Roman"/>
        <family val="1"/>
      </rPr>
      <t xml:space="preserve"> 26 (2000).</t>
    </r>
  </si>
  <si>
    <r>
      <t xml:space="preserve">Nielsen, D. C. &amp; Vigil, M. F. Legume green fallow effect on soil water content at wheat planting and wheat yield. </t>
    </r>
    <r>
      <rPr>
        <i/>
        <sz val="12"/>
        <color rgb="FF000000"/>
        <rFont val="Times New Roman"/>
        <family val="1"/>
      </rPr>
      <t>Agron. J.</t>
    </r>
    <r>
      <rPr>
        <sz val="12"/>
        <color rgb="FF000000"/>
        <rFont val="Times New Roman"/>
        <family val="1"/>
      </rPr>
      <t xml:space="preserve"> </t>
    </r>
    <r>
      <rPr>
        <b/>
        <sz val="12"/>
        <color rgb="FF000000"/>
        <rFont val="Times New Roman"/>
        <family val="1"/>
      </rPr>
      <t>97,</t>
    </r>
    <r>
      <rPr>
        <sz val="12"/>
        <color rgb="FF000000"/>
        <rFont val="Times New Roman"/>
        <family val="1"/>
      </rPr>
      <t xml:space="preserve"> 684–689 (2005).</t>
    </r>
  </si>
  <si>
    <r>
      <t xml:space="preserve">O’Dea, J. K., Miller, P. R. &amp; Jones, C. A. Greening summer fallow with legume green manures: On-farm assessment in north-central Montana. </t>
    </r>
    <r>
      <rPr>
        <i/>
        <sz val="12"/>
        <color rgb="FF000000"/>
        <rFont val="Times New Roman"/>
        <family val="1"/>
      </rPr>
      <t>J. Soil Water Conserv.</t>
    </r>
    <r>
      <rPr>
        <sz val="12"/>
        <color rgb="FF000000"/>
        <rFont val="Times New Roman"/>
        <family val="1"/>
      </rPr>
      <t xml:space="preserve"> </t>
    </r>
    <r>
      <rPr>
        <b/>
        <sz val="12"/>
        <color rgb="FF000000"/>
        <rFont val="Times New Roman"/>
        <family val="1"/>
      </rPr>
      <t>68,</t>
    </r>
    <r>
      <rPr>
        <sz val="12"/>
        <color rgb="FF000000"/>
        <rFont val="Times New Roman"/>
        <family val="1"/>
      </rPr>
      <t xml:space="preserve"> 270–282 (2013).</t>
    </r>
  </si>
  <si>
    <r>
      <t xml:space="preserve">Osborne, S. L. </t>
    </r>
    <r>
      <rPr>
        <i/>
        <sz val="12"/>
        <color rgb="FF000000"/>
        <rFont val="Times New Roman"/>
        <family val="1"/>
      </rPr>
      <t>et al.</t>
    </r>
    <r>
      <rPr>
        <sz val="12"/>
        <color rgb="FF000000"/>
        <rFont val="Times New Roman"/>
        <family val="1"/>
      </rPr>
      <t xml:space="preserve"> The Impact of Corn Residue Removal on Soil Aggregates and Particulate Organic Matter. </t>
    </r>
    <r>
      <rPr>
        <i/>
        <sz val="12"/>
        <color rgb="FF000000"/>
        <rFont val="Times New Roman"/>
        <family val="1"/>
      </rPr>
      <t>Bioenergy Res.</t>
    </r>
    <r>
      <rPr>
        <sz val="12"/>
        <color rgb="FF000000"/>
        <rFont val="Times New Roman"/>
        <family val="1"/>
      </rPr>
      <t xml:space="preserve"> </t>
    </r>
    <r>
      <rPr>
        <b/>
        <sz val="12"/>
        <color rgb="FF000000"/>
        <rFont val="Times New Roman"/>
        <family val="1"/>
      </rPr>
      <t>7,</t>
    </r>
    <r>
      <rPr>
        <sz val="12"/>
        <color rgb="FF000000"/>
        <rFont val="Times New Roman"/>
        <family val="1"/>
      </rPr>
      <t xml:space="preserve"> 559–567 (2014).</t>
    </r>
  </si>
  <si>
    <r>
      <t xml:space="preserve">Quinn, N. F., Brainard, D. C. &amp; Szendrei, Z. The Effect of Conservation Tillage and Cover Crop Residue on Beneficial Arthropods and Weed Seed Predation in Acorn Squash. </t>
    </r>
    <r>
      <rPr>
        <i/>
        <sz val="12"/>
        <color rgb="FF000000"/>
        <rFont val="Times New Roman"/>
        <family val="1"/>
      </rPr>
      <t>Environ. Entomol.</t>
    </r>
    <r>
      <rPr>
        <sz val="12"/>
        <color rgb="FF000000"/>
        <rFont val="Times New Roman"/>
        <family val="1"/>
      </rPr>
      <t xml:space="preserve"> </t>
    </r>
    <r>
      <rPr>
        <b/>
        <sz val="12"/>
        <color rgb="FF000000"/>
        <rFont val="Times New Roman"/>
        <family val="1"/>
      </rPr>
      <t>45,</t>
    </r>
    <r>
      <rPr>
        <sz val="12"/>
        <color rgb="FF000000"/>
        <rFont val="Times New Roman"/>
        <family val="1"/>
      </rPr>
      <t xml:space="preserve"> 1543–1551 (2016).</t>
    </r>
  </si>
  <si>
    <r>
      <t xml:space="preserve">Epth, T. I. D., Iming, T. I. T., Rop, C. O. C. &amp; On, E. F. Tillage depth, tillage timing, and cover crop effects on cotton yield, soil strength, and tillage energy requirements. </t>
    </r>
    <r>
      <rPr>
        <i/>
        <sz val="12"/>
        <color rgb="FF000000"/>
        <rFont val="Times New Roman"/>
        <family val="1"/>
      </rPr>
      <t>Appl. Eng. Agric.</t>
    </r>
    <r>
      <rPr>
        <sz val="12"/>
        <color rgb="FF000000"/>
        <rFont val="Times New Roman"/>
        <family val="1"/>
      </rPr>
      <t xml:space="preserve"> </t>
    </r>
    <r>
      <rPr>
        <b/>
        <sz val="12"/>
        <color rgb="FF000000"/>
        <rFont val="Times New Roman"/>
        <family val="1"/>
      </rPr>
      <t>16,</t>
    </r>
    <r>
      <rPr>
        <sz val="12"/>
        <color rgb="FF000000"/>
        <rFont val="Times New Roman"/>
        <family val="1"/>
      </rPr>
      <t xml:space="preserve"> 379–385 (2000).</t>
    </r>
  </si>
  <si>
    <r>
      <t xml:space="preserve">Rasse, D. P., Ritchie, J. T., Peterson, W. R., Wei, J. &amp; Smucker, A. J. M. Rye Cover Crop and Nitrogen Fertilization Effects on Nitrate Leaching in Inbred Maize Fields. </t>
    </r>
    <r>
      <rPr>
        <i/>
        <sz val="12"/>
        <color rgb="FF000000"/>
        <rFont val="Times New Roman"/>
        <family val="1"/>
      </rPr>
      <t>J. Environ. Qual.</t>
    </r>
    <r>
      <rPr>
        <sz val="12"/>
        <color rgb="FF000000"/>
        <rFont val="Times New Roman"/>
        <family val="1"/>
      </rPr>
      <t xml:space="preserve"> </t>
    </r>
    <r>
      <rPr>
        <b/>
        <sz val="12"/>
        <color rgb="FF000000"/>
        <rFont val="Times New Roman"/>
        <family val="1"/>
      </rPr>
      <t>29,</t>
    </r>
    <r>
      <rPr>
        <sz val="12"/>
        <color rgb="FF000000"/>
        <rFont val="Times New Roman"/>
        <family val="1"/>
      </rPr>
      <t xml:space="preserve"> 298 (2000).</t>
    </r>
  </si>
  <si>
    <r>
      <t xml:space="preserve">Rivers, A., Mullen, C., Wallace, J. &amp; Barbercheck, M. Cover crop-based reduced tillage system influences Carabidae (Coleoptera) activity, diversity and trophic group during transition to organic production. </t>
    </r>
    <r>
      <rPr>
        <i/>
        <sz val="12"/>
        <color rgb="FF000000"/>
        <rFont val="Times New Roman"/>
        <family val="1"/>
      </rPr>
      <t>Renew. Agric. Food Syst.</t>
    </r>
    <r>
      <rPr>
        <sz val="12"/>
        <color rgb="FF000000"/>
        <rFont val="Times New Roman"/>
        <family val="1"/>
      </rPr>
      <t xml:space="preserve"> </t>
    </r>
    <r>
      <rPr>
        <b/>
        <sz val="12"/>
        <color rgb="FF000000"/>
        <rFont val="Times New Roman"/>
        <family val="1"/>
      </rPr>
      <t>32,</t>
    </r>
    <r>
      <rPr>
        <sz val="12"/>
        <color rgb="FF000000"/>
        <rFont val="Times New Roman"/>
        <family val="1"/>
      </rPr>
      <t xml:space="preserve"> 538–551 (2017).</t>
    </r>
  </si>
  <si>
    <r>
      <t xml:space="preserve">Ritter, W. F. W., Scarborough, R. W. R. &amp; Chirnside, A. E. M. Winter cover crops as a best management practice for reducing nitrogen leaching. </t>
    </r>
    <r>
      <rPr>
        <i/>
        <sz val="12"/>
        <color rgb="FF000000"/>
        <rFont val="Times New Roman"/>
        <family val="1"/>
      </rPr>
      <t>J. Contam. Hydrol.</t>
    </r>
    <r>
      <rPr>
        <sz val="12"/>
        <color rgb="FF000000"/>
        <rFont val="Times New Roman"/>
        <family val="1"/>
      </rPr>
      <t xml:space="preserve"> </t>
    </r>
    <r>
      <rPr>
        <b/>
        <sz val="12"/>
        <color rgb="FF000000"/>
        <rFont val="Times New Roman"/>
        <family val="1"/>
      </rPr>
      <t>34,</t>
    </r>
    <r>
      <rPr>
        <sz val="12"/>
        <color rgb="FF000000"/>
        <rFont val="Times New Roman"/>
        <family val="1"/>
      </rPr>
      <t xml:space="preserve"> 1–15 (1998).</t>
    </r>
  </si>
  <si>
    <r>
      <t xml:space="preserve">Sainju, U. M., Whitehead, W. F., Singh, B. P. &amp; Wang, S. Tillage, cover crops, and nitrogen fertilization effects on soil nitrogen and cotton and sorghum yields. </t>
    </r>
    <r>
      <rPr>
        <i/>
        <sz val="12"/>
        <color rgb="FF000000"/>
        <rFont val="Times New Roman"/>
        <family val="1"/>
      </rPr>
      <t>Eur. J. Agron.</t>
    </r>
    <r>
      <rPr>
        <sz val="12"/>
        <color rgb="FF000000"/>
        <rFont val="Times New Roman"/>
        <family val="1"/>
      </rPr>
      <t xml:space="preserve"> </t>
    </r>
    <r>
      <rPr>
        <b/>
        <sz val="12"/>
        <color rgb="FF000000"/>
        <rFont val="Times New Roman"/>
        <family val="1"/>
      </rPr>
      <t>25,</t>
    </r>
    <r>
      <rPr>
        <sz val="12"/>
        <color rgb="FF000000"/>
        <rFont val="Times New Roman"/>
        <family val="1"/>
      </rPr>
      <t xml:space="preserve"> 372–382 (2006).</t>
    </r>
  </si>
  <si>
    <r>
      <t xml:space="preserve">Schipanski, M. E. </t>
    </r>
    <r>
      <rPr>
        <i/>
        <sz val="12"/>
        <color rgb="FF000000"/>
        <rFont val="Times New Roman"/>
        <family val="1"/>
      </rPr>
      <t>et al.</t>
    </r>
    <r>
      <rPr>
        <sz val="12"/>
        <color rgb="FF000000"/>
        <rFont val="Times New Roman"/>
        <family val="1"/>
      </rPr>
      <t xml:space="preserve"> A framework for evaluating ecosystem services provided by cover crops in agroecosystems. </t>
    </r>
    <r>
      <rPr>
        <i/>
        <sz val="12"/>
        <color rgb="FF000000"/>
        <rFont val="Times New Roman"/>
        <family val="1"/>
      </rPr>
      <t>Agric. Syst.</t>
    </r>
    <r>
      <rPr>
        <sz val="12"/>
        <color rgb="FF000000"/>
        <rFont val="Times New Roman"/>
        <family val="1"/>
      </rPr>
      <t xml:space="preserve"> </t>
    </r>
    <r>
      <rPr>
        <b/>
        <sz val="12"/>
        <color rgb="FF000000"/>
        <rFont val="Times New Roman"/>
        <family val="1"/>
      </rPr>
      <t>125,</t>
    </r>
    <r>
      <rPr>
        <sz val="12"/>
        <color rgb="FF000000"/>
        <rFont val="Times New Roman"/>
        <family val="1"/>
      </rPr>
      <t xml:space="preserve"> 12–22 (2014).</t>
    </r>
  </si>
  <si>
    <r>
      <t xml:space="preserve">Schutter, M. E., Sandeno, J. M. &amp; Dick, R. P. Seasonal, soil type, and alternative management influences on microbial communities of vegetable cropping systems. </t>
    </r>
    <r>
      <rPr>
        <i/>
        <sz val="12"/>
        <color rgb="FF000000"/>
        <rFont val="Times New Roman"/>
        <family val="1"/>
      </rPr>
      <t>Biol. Fertil. Soils</t>
    </r>
    <r>
      <rPr>
        <sz val="12"/>
        <color rgb="FF000000"/>
        <rFont val="Times New Roman"/>
        <family val="1"/>
      </rPr>
      <t xml:space="preserve"> </t>
    </r>
    <r>
      <rPr>
        <b/>
        <sz val="12"/>
        <color rgb="FF000000"/>
        <rFont val="Times New Roman"/>
        <family val="1"/>
      </rPr>
      <t>34,</t>
    </r>
    <r>
      <rPr>
        <sz val="12"/>
        <color rgb="FF000000"/>
        <rFont val="Times New Roman"/>
        <family val="1"/>
      </rPr>
      <t xml:space="preserve"> 397–410 (2001).</t>
    </r>
  </si>
  <si>
    <r>
      <t xml:space="preserve">Schutter, M. E. &amp; Dick, R. P. Microbial Community Profiles and Activities among Aggregates of Winter Fallow and Cover-Cropped Soil. </t>
    </r>
    <r>
      <rPr>
        <i/>
        <sz val="12"/>
        <color rgb="FF000000"/>
        <rFont val="Times New Roman"/>
        <family val="1"/>
      </rPr>
      <t>Soil Sci. Soc. Am. J.</t>
    </r>
    <r>
      <rPr>
        <sz val="12"/>
        <color rgb="FF000000"/>
        <rFont val="Times New Roman"/>
        <family val="1"/>
      </rPr>
      <t xml:space="preserve"> </t>
    </r>
    <r>
      <rPr>
        <b/>
        <sz val="12"/>
        <color rgb="FF000000"/>
        <rFont val="Times New Roman"/>
        <family val="1"/>
      </rPr>
      <t>66,</t>
    </r>
    <r>
      <rPr>
        <sz val="12"/>
        <color rgb="FF000000"/>
        <rFont val="Times New Roman"/>
        <family val="1"/>
      </rPr>
      <t xml:space="preserve"> 142 (2002).</t>
    </r>
  </si>
  <si>
    <r>
      <t xml:space="preserve">Cott, H. D., Keisling, T. C., Waddle, B. A., Williams, R. W. &amp; Frans, R. E. Effects of winter cover crops on yield of cotton and soil properties. </t>
    </r>
    <r>
      <rPr>
        <i/>
        <sz val="12"/>
        <color rgb="FF000000"/>
        <rFont val="Times New Roman"/>
        <family val="1"/>
      </rPr>
      <t>Bull. Arkansas Agric. Exp. Stn.</t>
    </r>
    <r>
      <rPr>
        <sz val="12"/>
        <color rgb="FF000000"/>
        <rFont val="Times New Roman"/>
        <family val="1"/>
      </rPr>
      <t xml:space="preserve"> </t>
    </r>
    <r>
      <rPr>
        <b/>
        <sz val="12"/>
        <color rgb="FF000000"/>
        <rFont val="Times New Roman"/>
        <family val="1"/>
      </rPr>
      <t>924,</t>
    </r>
    <r>
      <rPr>
        <sz val="12"/>
        <color rgb="FF000000"/>
        <rFont val="Times New Roman"/>
        <family val="1"/>
      </rPr>
      <t xml:space="preserve"> 1–24 (1990).</t>
    </r>
  </si>
  <si>
    <r>
      <t xml:space="preserve">Staver, K. W. &amp; Brinsfield, R. B. Patterns of soil nitrate availability in corn production systems - Implications for reducing groundwater contamination. </t>
    </r>
    <r>
      <rPr>
        <i/>
        <sz val="12"/>
        <color rgb="FF000000"/>
        <rFont val="Times New Roman"/>
        <family val="1"/>
      </rPr>
      <t>J. Soil Water Conserv.</t>
    </r>
    <r>
      <rPr>
        <sz val="12"/>
        <color rgb="FF000000"/>
        <rFont val="Times New Roman"/>
        <family val="1"/>
      </rPr>
      <t xml:space="preserve"> </t>
    </r>
    <r>
      <rPr>
        <b/>
        <sz val="12"/>
        <color rgb="FF000000"/>
        <rFont val="Times New Roman"/>
        <family val="1"/>
      </rPr>
      <t>45,</t>
    </r>
    <r>
      <rPr>
        <sz val="12"/>
        <color rgb="FF000000"/>
        <rFont val="Times New Roman"/>
        <family val="1"/>
      </rPr>
      <t xml:space="preserve"> 318–323 (1990).</t>
    </r>
  </si>
  <si>
    <r>
      <t xml:space="preserve">Staver, K. W. &amp; Brinsfield, R. B. Using cereal grain winter cover crops to reduce groundwater nitrate contamination in the mid-Atlantic Coastal Plain. </t>
    </r>
    <r>
      <rPr>
        <i/>
        <sz val="12"/>
        <color rgb="FF000000"/>
        <rFont val="Times New Roman"/>
        <family val="1"/>
      </rPr>
      <t>J. Soil Water Conserv.</t>
    </r>
    <r>
      <rPr>
        <sz val="12"/>
        <color rgb="FF000000"/>
        <rFont val="Times New Roman"/>
        <family val="1"/>
      </rPr>
      <t xml:space="preserve"> </t>
    </r>
    <r>
      <rPr>
        <b/>
        <sz val="12"/>
        <color rgb="FF000000"/>
        <rFont val="Times New Roman"/>
        <family val="1"/>
      </rPr>
      <t>53,</t>
    </r>
    <r>
      <rPr>
        <sz val="12"/>
        <color rgb="FF000000"/>
        <rFont val="Times New Roman"/>
        <family val="1"/>
      </rPr>
      <t xml:space="preserve"> 230–240 (1998).</t>
    </r>
  </si>
  <si>
    <r>
      <t xml:space="preserve">Steele, M. K., Coale, F. J. &amp; Hill, R. L. Winter Annual Cover Crop Impacts on No-Till Soil Physical Properties and Organic Matter. </t>
    </r>
    <r>
      <rPr>
        <i/>
        <sz val="12"/>
        <color rgb="FF000000"/>
        <rFont val="Times New Roman"/>
        <family val="1"/>
      </rPr>
      <t>Soil Sci. Soc. Am. J.</t>
    </r>
    <r>
      <rPr>
        <sz val="12"/>
        <color rgb="FF000000"/>
        <rFont val="Times New Roman"/>
        <family val="1"/>
      </rPr>
      <t xml:space="preserve"> </t>
    </r>
    <r>
      <rPr>
        <b/>
        <sz val="12"/>
        <color rgb="FF000000"/>
        <rFont val="Times New Roman"/>
        <family val="1"/>
      </rPr>
      <t>76,</t>
    </r>
    <r>
      <rPr>
        <sz val="12"/>
        <color rgb="FF000000"/>
        <rFont val="Times New Roman"/>
        <family val="1"/>
      </rPr>
      <t xml:space="preserve"> 2164 (2012).</t>
    </r>
  </si>
  <si>
    <r>
      <t xml:space="preserve">Stipesevic, B. Effects of wheat cover crop desiccation times on soil physical properties and early growth of corn under no-till and conventional tillage systems. </t>
    </r>
    <r>
      <rPr>
        <b/>
        <sz val="12"/>
        <color rgb="FF000000"/>
        <rFont val="Times New Roman"/>
        <family val="1"/>
      </rPr>
      <t>9,</t>
    </r>
    <r>
      <rPr>
        <sz val="12"/>
        <color rgb="FF000000"/>
        <rFont val="Times New Roman"/>
        <family val="1"/>
      </rPr>
      <t xml:space="preserve"> (Purdue university, 2003).</t>
    </r>
  </si>
  <si>
    <r>
      <t xml:space="preserve">Strock, J. S., Porter, P. M. &amp; Russelle, M. P. Cover cropping to reduce nitrate loss through subsurface drainage in the Northern U.S. corn belt. </t>
    </r>
    <r>
      <rPr>
        <i/>
        <sz val="12"/>
        <color rgb="FF000000"/>
        <rFont val="Times New Roman"/>
        <family val="1"/>
      </rPr>
      <t>J. Environ. Qual.</t>
    </r>
    <r>
      <rPr>
        <sz val="12"/>
        <color rgb="FF000000"/>
        <rFont val="Times New Roman"/>
        <family val="1"/>
      </rPr>
      <t xml:space="preserve"> </t>
    </r>
    <r>
      <rPr>
        <b/>
        <sz val="12"/>
        <color rgb="FF000000"/>
        <rFont val="Times New Roman"/>
        <family val="1"/>
      </rPr>
      <t>33,</t>
    </r>
    <r>
      <rPr>
        <sz val="12"/>
        <color rgb="FF000000"/>
        <rFont val="Times New Roman"/>
        <family val="1"/>
      </rPr>
      <t xml:space="preserve"> 1010–1016 (2004).</t>
    </r>
  </si>
  <si>
    <r>
      <t xml:space="preserve">Teasdale, J. R. &amp; Mohler, C. L. Light Transmittance, Soil Temperature, and Soil Moisture under Residue of Hairy Vetch and Rye. </t>
    </r>
    <r>
      <rPr>
        <i/>
        <sz val="12"/>
        <color rgb="FF000000"/>
        <rFont val="Times New Roman"/>
        <family val="1"/>
      </rPr>
      <t>Agron. J.</t>
    </r>
    <r>
      <rPr>
        <sz val="12"/>
        <color rgb="FF000000"/>
        <rFont val="Times New Roman"/>
        <family val="1"/>
      </rPr>
      <t xml:space="preserve"> </t>
    </r>
    <r>
      <rPr>
        <b/>
        <sz val="12"/>
        <color rgb="FF000000"/>
        <rFont val="Times New Roman"/>
        <family val="1"/>
      </rPr>
      <t>85,</t>
    </r>
    <r>
      <rPr>
        <sz val="12"/>
        <color rgb="FF000000"/>
        <rFont val="Times New Roman"/>
        <family val="1"/>
      </rPr>
      <t xml:space="preserve"> 673 (1993).</t>
    </r>
  </si>
  <si>
    <r>
      <t xml:space="preserve">Terra, J. A., Reeves, D. W., Shaw, J. N. &amp; Raper, R. L. Impacts of landscape attributes on carbon sequestration during the transition from conventional to conservation management practices on a Coastal Plain field. </t>
    </r>
    <r>
      <rPr>
        <i/>
        <sz val="12"/>
        <color rgb="FF000000"/>
        <rFont val="Times New Roman"/>
        <family val="1"/>
      </rPr>
      <t>J. Soil Water Conserv.</t>
    </r>
    <r>
      <rPr>
        <sz val="12"/>
        <color rgb="FF000000"/>
        <rFont val="Times New Roman"/>
        <family val="1"/>
      </rPr>
      <t xml:space="preserve"> </t>
    </r>
    <r>
      <rPr>
        <b/>
        <sz val="12"/>
        <color rgb="FF000000"/>
        <rFont val="Times New Roman"/>
        <family val="1"/>
      </rPr>
      <t>60,</t>
    </r>
    <r>
      <rPr>
        <sz val="12"/>
        <color rgb="FF000000"/>
        <rFont val="Times New Roman"/>
        <family val="1"/>
      </rPr>
      <t xml:space="preserve"> 438–446 (2005).</t>
    </r>
  </si>
  <si>
    <r>
      <t xml:space="preserve">Sattell, R. Using Cover Crops in Oregon. </t>
    </r>
    <r>
      <rPr>
        <i/>
        <sz val="12"/>
        <color rgb="FF000000"/>
        <rFont val="Times New Roman"/>
        <family val="1"/>
      </rPr>
      <t>Oregon State Univ. Ext. Serv.</t>
    </r>
    <r>
      <rPr>
        <sz val="12"/>
        <color rgb="FF000000"/>
        <rFont val="Times New Roman"/>
        <family val="1"/>
      </rPr>
      <t xml:space="preserve"> </t>
    </r>
    <r>
      <rPr>
        <b/>
        <sz val="12"/>
        <color rgb="FF000000"/>
        <rFont val="Times New Roman"/>
        <family val="1"/>
      </rPr>
      <t>EM 8704,</t>
    </r>
    <r>
      <rPr>
        <sz val="12"/>
        <color rgb="FF000000"/>
        <rFont val="Times New Roman"/>
        <family val="1"/>
      </rPr>
      <t xml:space="preserve"> 1–54 (1998).</t>
    </r>
  </si>
  <si>
    <r>
      <t xml:space="preserve">Veum, K. S. </t>
    </r>
    <r>
      <rPr>
        <i/>
        <sz val="12"/>
        <color rgb="FF000000"/>
        <rFont val="Times New Roman"/>
        <family val="1"/>
      </rPr>
      <t>et al.</t>
    </r>
    <r>
      <rPr>
        <sz val="12"/>
        <color rgb="FF000000"/>
        <rFont val="Times New Roman"/>
        <family val="1"/>
      </rPr>
      <t xml:space="preserve"> Conservation effects on soil quality indicators in the Missouri Salt River Basin. </t>
    </r>
    <r>
      <rPr>
        <i/>
        <sz val="12"/>
        <color rgb="FF000000"/>
        <rFont val="Times New Roman"/>
        <family val="1"/>
      </rPr>
      <t>J. Soil Water Conserv.</t>
    </r>
    <r>
      <rPr>
        <sz val="12"/>
        <color rgb="FF000000"/>
        <rFont val="Times New Roman"/>
        <family val="1"/>
      </rPr>
      <t xml:space="preserve"> </t>
    </r>
    <r>
      <rPr>
        <b/>
        <sz val="12"/>
        <color rgb="FF000000"/>
        <rFont val="Times New Roman"/>
        <family val="1"/>
      </rPr>
      <t>70,</t>
    </r>
    <r>
      <rPr>
        <sz val="12"/>
        <color rgb="FF000000"/>
        <rFont val="Times New Roman"/>
        <family val="1"/>
      </rPr>
      <t xml:space="preserve"> 232–246 (2015).</t>
    </r>
  </si>
  <si>
    <r>
      <t xml:space="preserve">Villamil, M. . B. </t>
    </r>
    <r>
      <rPr>
        <i/>
        <sz val="12"/>
        <color rgb="FF000000"/>
        <rFont val="Times New Roman"/>
        <family val="1"/>
      </rPr>
      <t>et al.</t>
    </r>
    <r>
      <rPr>
        <sz val="12"/>
        <color rgb="FF000000"/>
        <rFont val="Times New Roman"/>
        <family val="1"/>
      </rPr>
      <t xml:space="preserve"> No-Till Corn / Soybean Systems Including Winter Cover Crops : Effects on Soil Properties. </t>
    </r>
    <r>
      <rPr>
        <i/>
        <sz val="12"/>
        <color rgb="FF000000"/>
        <rFont val="Times New Roman"/>
        <family val="1"/>
      </rPr>
      <t>Soil Sci. Soc. Am. J.</t>
    </r>
    <r>
      <rPr>
        <sz val="12"/>
        <color rgb="FF000000"/>
        <rFont val="Times New Roman"/>
        <family val="1"/>
      </rPr>
      <t xml:space="preserve"> </t>
    </r>
    <r>
      <rPr>
        <b/>
        <sz val="12"/>
        <color rgb="FF000000"/>
        <rFont val="Times New Roman"/>
        <family val="1"/>
      </rPr>
      <t>70,</t>
    </r>
    <r>
      <rPr>
        <sz val="12"/>
        <color rgb="FF000000"/>
        <rFont val="Times New Roman"/>
        <family val="1"/>
      </rPr>
      <t xml:space="preserve"> 1936–1944 (2006).</t>
    </r>
  </si>
  <si>
    <r>
      <t xml:space="preserve">Jokela, W., Posner, J., Hedtcke, J., Balser, T. &amp; Read, H. Midwest cropping system effects on soil properties and on a soil quality index. </t>
    </r>
    <r>
      <rPr>
        <i/>
        <sz val="12"/>
        <color rgb="FF000000"/>
        <rFont val="Times New Roman"/>
        <family val="1"/>
      </rPr>
      <t>Agron. J.</t>
    </r>
    <r>
      <rPr>
        <sz val="12"/>
        <color rgb="FF000000"/>
        <rFont val="Times New Roman"/>
        <family val="1"/>
      </rPr>
      <t xml:space="preserve"> </t>
    </r>
    <r>
      <rPr>
        <b/>
        <sz val="12"/>
        <color rgb="FF000000"/>
        <rFont val="Times New Roman"/>
        <family val="1"/>
      </rPr>
      <t>103,</t>
    </r>
    <r>
      <rPr>
        <sz val="12"/>
        <color rgb="FF000000"/>
        <rFont val="Times New Roman"/>
        <family val="1"/>
      </rPr>
      <t xml:space="preserve"> 1552–1562 (2011).</t>
    </r>
  </si>
  <si>
    <r>
      <t xml:space="preserve">Williams, M. M., Mortensen, D. A. &amp; Doran, J. W. No-tillage soybean performance in cover crops for weed management in the western Corn Belt. </t>
    </r>
    <r>
      <rPr>
        <i/>
        <sz val="12"/>
        <color rgb="FF000000"/>
        <rFont val="Times New Roman"/>
        <family val="1"/>
      </rPr>
      <t xml:space="preserve">J. Soil Water Conserv. </t>
    </r>
    <r>
      <rPr>
        <sz val="12"/>
        <color rgb="FF000000"/>
        <rFont val="Times New Roman"/>
        <family val="1"/>
      </rPr>
      <t xml:space="preserve"> </t>
    </r>
    <r>
      <rPr>
        <b/>
        <sz val="12"/>
        <color rgb="FF000000"/>
        <rFont val="Times New Roman"/>
        <family val="1"/>
      </rPr>
      <t>55,</t>
    </r>
    <r>
      <rPr>
        <sz val="12"/>
        <color rgb="FF000000"/>
        <rFont val="Times New Roman"/>
        <family val="1"/>
      </rPr>
      <t xml:space="preserve"> 79–84 (2000).</t>
    </r>
  </si>
  <si>
    <r>
      <t xml:space="preserve">Wyland, L. J. </t>
    </r>
    <r>
      <rPr>
        <i/>
        <sz val="12"/>
        <color rgb="FF000000"/>
        <rFont val="Times New Roman"/>
        <family val="1"/>
      </rPr>
      <t>et al.</t>
    </r>
    <r>
      <rPr>
        <sz val="12"/>
        <color rgb="FF000000"/>
        <rFont val="Times New Roman"/>
        <family val="1"/>
      </rPr>
      <t xml:space="preserve"> Altering surface soil dynamics with winter cover crops in a vegetable cropping system: impacts on yield, nitrate leaching, pests and management costs.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59,</t>
    </r>
    <r>
      <rPr>
        <sz val="12"/>
        <color rgb="FF000000"/>
        <rFont val="Times New Roman"/>
        <family val="1"/>
      </rPr>
      <t xml:space="preserve"> 1–17 (1996).</t>
    </r>
  </si>
  <si>
    <r>
      <t xml:space="preserve">Yoo, K. H., Touchton, J. T. &amp; Walker, R. H. Runoff , Sediment and Nutrient Losses from Various Tillage Systems of Cotton. </t>
    </r>
    <r>
      <rPr>
        <i/>
        <sz val="12"/>
        <color rgb="FF000000"/>
        <rFont val="Times New Roman"/>
        <family val="1"/>
      </rPr>
      <t>Soil Tillage Res.</t>
    </r>
    <r>
      <rPr>
        <sz val="12"/>
        <color rgb="FF000000"/>
        <rFont val="Times New Roman"/>
        <family val="1"/>
      </rPr>
      <t xml:space="preserve"> </t>
    </r>
    <r>
      <rPr>
        <b/>
        <sz val="12"/>
        <color rgb="FF000000"/>
        <rFont val="Times New Roman"/>
        <family val="1"/>
      </rPr>
      <t>12,</t>
    </r>
    <r>
      <rPr>
        <sz val="12"/>
        <color rgb="FF000000"/>
        <rFont val="Times New Roman"/>
        <family val="1"/>
      </rPr>
      <t xml:space="preserve"> 13–24 (1988).</t>
    </r>
  </si>
  <si>
    <r>
      <t xml:space="preserve">Zelles, L., Bai, Q. Y., Beck, T. &amp; Beese, F. Signature Fatty-Acids in Phospholipids and Lipopolysaccharides As Indicators of Microbial Biomass and Community Structure in Agricultural Soils. </t>
    </r>
    <r>
      <rPr>
        <i/>
        <sz val="12"/>
        <color rgb="FF000000"/>
        <rFont val="Times New Roman"/>
        <family val="1"/>
      </rPr>
      <t>Soil Biol. Biochem.</t>
    </r>
    <r>
      <rPr>
        <sz val="12"/>
        <color rgb="FF000000"/>
        <rFont val="Times New Roman"/>
        <family val="1"/>
      </rPr>
      <t xml:space="preserve"> </t>
    </r>
    <r>
      <rPr>
        <b/>
        <sz val="12"/>
        <color rgb="FF000000"/>
        <rFont val="Times New Roman"/>
        <family val="1"/>
      </rPr>
      <t>24,</t>
    </r>
    <r>
      <rPr>
        <sz val="12"/>
        <color rgb="FF000000"/>
        <rFont val="Times New Roman"/>
        <family val="1"/>
      </rPr>
      <t xml:space="preserve"> 317–323 (1992).</t>
    </r>
  </si>
  <si>
    <r>
      <t xml:space="preserve">Zentner, R. P. </t>
    </r>
    <r>
      <rPr>
        <i/>
        <sz val="12"/>
        <color rgb="FF000000"/>
        <rFont val="Times New Roman"/>
        <family val="1"/>
      </rPr>
      <t>et al.</t>
    </r>
    <r>
      <rPr>
        <sz val="12"/>
        <color rgb="FF000000"/>
        <rFont val="Times New Roman"/>
        <family val="1"/>
      </rPr>
      <t xml:space="preserve"> Long-term assessment of management of an annual legume green manure crop for fallow replacement in the Brown soil zone. </t>
    </r>
    <r>
      <rPr>
        <i/>
        <sz val="12"/>
        <color rgb="FF000000"/>
        <rFont val="Times New Roman"/>
        <family val="1"/>
      </rPr>
      <t>Can. J. Plant Sci.</t>
    </r>
    <r>
      <rPr>
        <sz val="12"/>
        <color rgb="FF000000"/>
        <rFont val="Times New Roman"/>
        <family val="1"/>
      </rPr>
      <t xml:space="preserve"> </t>
    </r>
    <r>
      <rPr>
        <b/>
        <sz val="12"/>
        <color rgb="FF000000"/>
        <rFont val="Times New Roman"/>
        <family val="1"/>
      </rPr>
      <t>84,</t>
    </r>
    <r>
      <rPr>
        <sz val="12"/>
        <color rgb="FF000000"/>
        <rFont val="Times New Roman"/>
        <family val="1"/>
      </rPr>
      <t xml:space="preserve"> 11–22 (2004).</t>
    </r>
  </si>
  <si>
    <r>
      <t xml:space="preserve">Zhou, X. G. &amp; Liu, G. Efficacy of combined use of brassica biofumigant crop and PGPR strain for managing sheath blight in rice, 2012. in </t>
    </r>
    <r>
      <rPr>
        <i/>
        <sz val="12"/>
        <color rgb="FF000000"/>
        <rFont val="Times New Roman"/>
        <family val="1"/>
      </rPr>
      <t>Plant Disease Management Reports</t>
    </r>
    <r>
      <rPr>
        <sz val="12"/>
        <color rgb="FF000000"/>
        <rFont val="Times New Roman"/>
        <family val="1"/>
      </rPr>
      <t xml:space="preserve"> (2013). doi:10.1111/j.1365-3180.2010.00783.x</t>
    </r>
  </si>
  <si>
    <r>
      <t xml:space="preserve">Zhu, J. C., Gantzer, C. J., Anderson, S. H., Alberts, E. E. &amp; Beuselinck, P. R. Runoff, Soil, and Dissolved Nutrient Losses from No-Till Soybean with Winter Cover Crops. </t>
    </r>
    <r>
      <rPr>
        <i/>
        <sz val="12"/>
        <color rgb="FF000000"/>
        <rFont val="Times New Roman"/>
        <family val="1"/>
      </rPr>
      <t>Soil Sci. Soc. Am. J.</t>
    </r>
    <r>
      <rPr>
        <sz val="12"/>
        <color rgb="FF000000"/>
        <rFont val="Times New Roman"/>
        <family val="1"/>
      </rPr>
      <t xml:space="preserve"> </t>
    </r>
    <r>
      <rPr>
        <b/>
        <sz val="12"/>
        <color rgb="FF000000"/>
        <rFont val="Times New Roman"/>
        <family val="1"/>
      </rPr>
      <t>53,</t>
    </r>
    <r>
      <rPr>
        <sz val="12"/>
        <color rgb="FF000000"/>
        <rFont val="Times New Roman"/>
        <family val="1"/>
      </rPr>
      <t xml:space="preserve"> 1210 (1989).</t>
    </r>
  </si>
  <si>
    <r>
      <t xml:space="preserve">Angers, D. A., Samson, N. &amp; Légère, A. Early changes in water-stable aggregation induced by rotation and tillage in a soil under barley production. </t>
    </r>
    <r>
      <rPr>
        <i/>
        <sz val="12"/>
        <color rgb="FF000000"/>
        <rFont val="Times New Roman"/>
        <family val="1"/>
      </rPr>
      <t>Can. J. Soil Sci.</t>
    </r>
    <r>
      <rPr>
        <sz val="12"/>
        <color rgb="FF000000"/>
        <rFont val="Times New Roman"/>
        <family val="1"/>
      </rPr>
      <t xml:space="preserve"> </t>
    </r>
    <r>
      <rPr>
        <b/>
        <sz val="12"/>
        <color rgb="FF000000"/>
        <rFont val="Times New Roman"/>
        <family val="1"/>
      </rPr>
      <t>73,</t>
    </r>
    <r>
      <rPr>
        <sz val="12"/>
        <color rgb="FF000000"/>
        <rFont val="Times New Roman"/>
        <family val="1"/>
      </rPr>
      <t xml:space="preserve"> 51–59 (1993).</t>
    </r>
  </si>
  <si>
    <r>
      <t xml:space="preserve">Beare, M. H. &amp; Bruce, R. R. A comparison of methods for measuring water-stable aggregates - implications for determining environmental-effects on soil structure. </t>
    </r>
    <r>
      <rPr>
        <i/>
        <sz val="12"/>
        <color rgb="FF000000"/>
        <rFont val="Times New Roman"/>
        <family val="1"/>
      </rPr>
      <t>Geoderma</t>
    </r>
    <r>
      <rPr>
        <sz val="12"/>
        <color rgb="FF000000"/>
        <rFont val="Times New Roman"/>
        <family val="1"/>
      </rPr>
      <t xml:space="preserve"> </t>
    </r>
    <r>
      <rPr>
        <b/>
        <sz val="12"/>
        <color rgb="FF000000"/>
        <rFont val="Times New Roman"/>
        <family val="1"/>
      </rPr>
      <t>56,</t>
    </r>
    <r>
      <rPr>
        <sz val="12"/>
        <color rgb="FF000000"/>
        <rFont val="Times New Roman"/>
        <family val="1"/>
      </rPr>
      <t xml:space="preserve"> 87–104 (1993).</t>
    </r>
  </si>
  <si>
    <r>
      <t xml:space="preserve">Benjamin, J. G., Mikha, M. M. &amp; Vigil, M. F. Organic carbon effects on soil physical and hydraulic properties in a semiarid climate. </t>
    </r>
    <r>
      <rPr>
        <i/>
        <sz val="12"/>
        <color rgb="FF000000"/>
        <rFont val="Times New Roman"/>
        <family val="1"/>
      </rPr>
      <t>Soil Sci. Soc. Am. J.</t>
    </r>
    <r>
      <rPr>
        <sz val="12"/>
        <color rgb="FF000000"/>
        <rFont val="Times New Roman"/>
        <family val="1"/>
      </rPr>
      <t xml:space="preserve"> </t>
    </r>
    <r>
      <rPr>
        <b/>
        <sz val="12"/>
        <color rgb="FF000000"/>
        <rFont val="Times New Roman"/>
        <family val="1"/>
      </rPr>
      <t>72,</t>
    </r>
    <r>
      <rPr>
        <sz val="12"/>
        <color rgb="FF000000"/>
        <rFont val="Times New Roman"/>
        <family val="1"/>
      </rPr>
      <t xml:space="preserve"> 1357 (2008).</t>
    </r>
  </si>
  <si>
    <r>
      <t xml:space="preserve">Drinkwater, L. E., Wagoner, P. &amp; Sarrantonio, M. Legume-based cropping systems have reuced carbon and nitrogen losses. </t>
    </r>
    <r>
      <rPr>
        <i/>
        <sz val="12"/>
        <color rgb="FF000000"/>
        <rFont val="Times New Roman"/>
        <family val="1"/>
      </rPr>
      <t>Nature</t>
    </r>
    <r>
      <rPr>
        <sz val="12"/>
        <color rgb="FF000000"/>
        <rFont val="Times New Roman"/>
        <family val="1"/>
      </rPr>
      <t xml:space="preserve"> </t>
    </r>
    <r>
      <rPr>
        <b/>
        <sz val="12"/>
        <color rgb="FF000000"/>
        <rFont val="Times New Roman"/>
        <family val="1"/>
      </rPr>
      <t>396,</t>
    </r>
    <r>
      <rPr>
        <sz val="12"/>
        <color rgb="FF000000"/>
        <rFont val="Times New Roman"/>
        <family val="1"/>
      </rPr>
      <t xml:space="preserve"> 262–265 (1998).</t>
    </r>
  </si>
  <si>
    <r>
      <t xml:space="preserve">Brill, G. D. &amp; Neal, O. R. Seasonal occurrence of runoff and erosion from a sandy soil in vegetable production. </t>
    </r>
    <r>
      <rPr>
        <i/>
        <sz val="12"/>
        <color rgb="FF000000"/>
        <rFont val="Times New Roman"/>
        <family val="1"/>
      </rPr>
      <t>Agron. J.</t>
    </r>
    <r>
      <rPr>
        <sz val="12"/>
        <color rgb="FF000000"/>
        <rFont val="Times New Roman"/>
        <family val="1"/>
      </rPr>
      <t xml:space="preserve"> </t>
    </r>
    <r>
      <rPr>
        <b/>
        <sz val="12"/>
        <color rgb="FF000000"/>
        <rFont val="Times New Roman"/>
        <family val="1"/>
      </rPr>
      <t>42,</t>
    </r>
    <r>
      <rPr>
        <sz val="12"/>
        <color rgb="FF000000"/>
        <rFont val="Times New Roman"/>
        <family val="1"/>
      </rPr>
      <t xml:space="preserve"> 192–195 (1950).</t>
    </r>
  </si>
  <si>
    <r>
      <t xml:space="preserve">Chu, B., Zaid, F. &amp; Eivazi, F. Long-Term Effects of Different Cropping Systems on Selected Enzyme Activities. </t>
    </r>
    <r>
      <rPr>
        <i/>
        <sz val="12"/>
        <color rgb="FF000000"/>
        <rFont val="Times New Roman"/>
        <family val="1"/>
      </rPr>
      <t>Commun. Soil Sci. Plant Anal.</t>
    </r>
    <r>
      <rPr>
        <sz val="12"/>
        <color rgb="FF000000"/>
        <rFont val="Times New Roman"/>
        <family val="1"/>
      </rPr>
      <t xml:space="preserve"> </t>
    </r>
    <r>
      <rPr>
        <b/>
        <sz val="12"/>
        <color rgb="FF000000"/>
        <rFont val="Times New Roman"/>
        <family val="1"/>
      </rPr>
      <t>47,</t>
    </r>
    <r>
      <rPr>
        <sz val="12"/>
        <color rgb="FF000000"/>
        <rFont val="Times New Roman"/>
        <family val="1"/>
      </rPr>
      <t xml:space="preserve"> 720–730 (2016).</t>
    </r>
  </si>
  <si>
    <r>
      <t xml:space="preserve">Jewett, M. R. &amp; Thelen., K. D. Winter cereal cover crop removal strategy affects spring soil nitrate levels. </t>
    </r>
    <r>
      <rPr>
        <i/>
        <sz val="12"/>
        <color rgb="FF000000"/>
        <rFont val="Times New Roman"/>
        <family val="1"/>
      </rPr>
      <t>J. Sustain. Agric.</t>
    </r>
    <r>
      <rPr>
        <sz val="12"/>
        <color rgb="FF000000"/>
        <rFont val="Times New Roman"/>
        <family val="1"/>
      </rPr>
      <t xml:space="preserve"> </t>
    </r>
    <r>
      <rPr>
        <b/>
        <sz val="12"/>
        <color rgb="FF000000"/>
        <rFont val="Times New Roman"/>
        <family val="1"/>
      </rPr>
      <t>29,</t>
    </r>
    <r>
      <rPr>
        <sz val="12"/>
        <color rgb="FF000000"/>
        <rFont val="Times New Roman"/>
        <family val="1"/>
      </rPr>
      <t xml:space="preserve"> 56–67 (2007).</t>
    </r>
  </si>
  <si>
    <r>
      <t xml:space="preserve">Nyakatawa, E. Tillage, cover cropping, and poultry litter effects on selected soil chemical properties. </t>
    </r>
    <r>
      <rPr>
        <i/>
        <sz val="12"/>
        <color rgb="FF000000"/>
        <rFont val="Times New Roman"/>
        <family val="1"/>
      </rPr>
      <t>Soil Tillage Res.</t>
    </r>
    <r>
      <rPr>
        <sz val="12"/>
        <color rgb="FF000000"/>
        <rFont val="Times New Roman"/>
        <family val="1"/>
      </rPr>
      <t xml:space="preserve"> </t>
    </r>
    <r>
      <rPr>
        <b/>
        <sz val="12"/>
        <color rgb="FF000000"/>
        <rFont val="Times New Roman"/>
        <family val="1"/>
      </rPr>
      <t>58,</t>
    </r>
    <r>
      <rPr>
        <sz val="12"/>
        <color rgb="FF000000"/>
        <rFont val="Times New Roman"/>
        <family val="1"/>
      </rPr>
      <t xml:space="preserve"> 69–79 (2001).</t>
    </r>
  </si>
  <si>
    <r>
      <t xml:space="preserve">Lupwayi  Z., N., Rice  A., W. &amp; Clayton  W., G. Soil microbial diversity and community structure under wheat as influenced by tillage and crop rotation. </t>
    </r>
    <r>
      <rPr>
        <i/>
        <sz val="12"/>
        <color rgb="FF000000"/>
        <rFont val="Times New Roman"/>
        <family val="1"/>
      </rPr>
      <t>Soil Biol. Biochem.</t>
    </r>
    <r>
      <rPr>
        <sz val="12"/>
        <color rgb="FF000000"/>
        <rFont val="Times New Roman"/>
        <family val="1"/>
      </rPr>
      <t xml:space="preserve"> </t>
    </r>
    <r>
      <rPr>
        <b/>
        <sz val="12"/>
        <color rgb="FF000000"/>
        <rFont val="Times New Roman"/>
        <family val="1"/>
      </rPr>
      <t>30,</t>
    </r>
    <r>
      <rPr>
        <sz val="12"/>
        <color rgb="FF000000"/>
        <rFont val="Times New Roman"/>
        <family val="1"/>
      </rPr>
      <t xml:space="preserve"> 1733–1741 (1998).</t>
    </r>
  </si>
  <si>
    <r>
      <t xml:space="preserve">Robb, D., Zehnder, G., Kloot, R., Bridges, W. &amp; Park, D. Weeds , nitrogen and yield : measuring the effectiveness of an organic cover cropped vegetable no-till system. </t>
    </r>
    <r>
      <rPr>
        <i/>
        <sz val="12"/>
        <color rgb="FF000000"/>
        <rFont val="Times New Roman"/>
        <family val="1"/>
      </rPr>
      <t>Renew. Agric. Food Syst.</t>
    </r>
    <r>
      <rPr>
        <sz val="12"/>
        <color rgb="FF000000"/>
        <rFont val="Times New Roman"/>
        <family val="1"/>
      </rPr>
      <t xml:space="preserve"> 1–8 (2018).</t>
    </r>
  </si>
  <si>
    <r>
      <t xml:space="preserve">Anderson, S. H., Udawatta, R. P., Seobi, T. &amp; Garrett, H. E. Soil water content and infiltration in agroforestry buffer strips. </t>
    </r>
    <r>
      <rPr>
        <i/>
        <sz val="12"/>
        <color rgb="FF000000"/>
        <rFont val="Times New Roman"/>
        <family val="1"/>
      </rPr>
      <t>Agrofor. Syst.</t>
    </r>
    <r>
      <rPr>
        <sz val="12"/>
        <color rgb="FF000000"/>
        <rFont val="Times New Roman"/>
        <family val="1"/>
      </rPr>
      <t xml:space="preserve"> </t>
    </r>
    <r>
      <rPr>
        <b/>
        <sz val="12"/>
        <color rgb="FF000000"/>
        <rFont val="Times New Roman"/>
        <family val="1"/>
      </rPr>
      <t>75,</t>
    </r>
    <r>
      <rPr>
        <sz val="12"/>
        <color rgb="FF000000"/>
        <rFont val="Times New Roman"/>
        <family val="1"/>
      </rPr>
      <t xml:space="preserve"> 5–16 (2009).</t>
    </r>
  </si>
  <si>
    <r>
      <t xml:space="preserve">Eckert, D. J. Chemical Attributes of Soils Subjected to No-Till Cropping with Rye Cover Crops. </t>
    </r>
    <r>
      <rPr>
        <i/>
        <sz val="12"/>
        <color rgb="FF000000"/>
        <rFont val="Times New Roman"/>
        <family val="1"/>
      </rPr>
      <t>Soil Sci. Soc. Am. J.</t>
    </r>
    <r>
      <rPr>
        <sz val="12"/>
        <color rgb="FF000000"/>
        <rFont val="Times New Roman"/>
        <family val="1"/>
      </rPr>
      <t xml:space="preserve"> </t>
    </r>
    <r>
      <rPr>
        <b/>
        <sz val="12"/>
        <color rgb="FF000000"/>
        <rFont val="Times New Roman"/>
        <family val="1"/>
      </rPr>
      <t>55,</t>
    </r>
    <r>
      <rPr>
        <sz val="12"/>
        <color rgb="FF000000"/>
        <rFont val="Times New Roman"/>
        <family val="1"/>
      </rPr>
      <t xml:space="preserve"> 405–409 (1991).</t>
    </r>
  </si>
  <si>
    <r>
      <t xml:space="preserve">Hermawan, B. &amp; Bomke, A. A. Effects of winter cover crops and successive spring tillage on soil aggregation. </t>
    </r>
    <r>
      <rPr>
        <i/>
        <sz val="12"/>
        <color rgb="FF000000"/>
        <rFont val="Times New Roman"/>
        <family val="1"/>
      </rPr>
      <t>Soil Tillage Res.</t>
    </r>
    <r>
      <rPr>
        <sz val="12"/>
        <color rgb="FF000000"/>
        <rFont val="Times New Roman"/>
        <family val="1"/>
      </rPr>
      <t xml:space="preserve"> </t>
    </r>
    <r>
      <rPr>
        <b/>
        <sz val="12"/>
        <color rgb="FF000000"/>
        <rFont val="Times New Roman"/>
        <family val="1"/>
      </rPr>
      <t>44,</t>
    </r>
    <r>
      <rPr>
        <sz val="12"/>
        <color rgb="FF000000"/>
        <rFont val="Times New Roman"/>
        <family val="1"/>
      </rPr>
      <t xml:space="preserve"> 109–120 (1997).</t>
    </r>
  </si>
  <si>
    <r>
      <t xml:space="preserve">Kuo, S., Sainju, U. M. &amp; Jellum., E. J. Winter Cover Crop Effects on Soil Organic Carbon and Carbohydrate in Soil. </t>
    </r>
    <r>
      <rPr>
        <i/>
        <sz val="12"/>
        <color rgb="FF000000"/>
        <rFont val="Times New Roman"/>
        <family val="1"/>
      </rPr>
      <t>Soil Sci. Soc. Am. J.</t>
    </r>
    <r>
      <rPr>
        <sz val="12"/>
        <color rgb="FF000000"/>
        <rFont val="Times New Roman"/>
        <family val="1"/>
      </rPr>
      <t xml:space="preserve"> </t>
    </r>
    <r>
      <rPr>
        <b/>
        <sz val="12"/>
        <color rgb="FF000000"/>
        <rFont val="Times New Roman"/>
        <family val="1"/>
      </rPr>
      <t>61,</t>
    </r>
    <r>
      <rPr>
        <sz val="12"/>
        <color rgb="FF000000"/>
        <rFont val="Times New Roman"/>
        <family val="1"/>
      </rPr>
      <t xml:space="preserve"> 145–152 (2017).</t>
    </r>
  </si>
  <si>
    <r>
      <t xml:space="preserve">Entry, J. A., Mitchell, C. C. &amp; Backman, C. B. Influence of management practices on soil organic matter, microbial biomass and cotton yield in Alabama’s ‘Old Rotation’. </t>
    </r>
    <r>
      <rPr>
        <i/>
        <sz val="12"/>
        <color rgb="FF000000"/>
        <rFont val="Times New Roman"/>
        <family val="1"/>
      </rPr>
      <t>Biol. Fertil. Soils</t>
    </r>
    <r>
      <rPr>
        <sz val="12"/>
        <color rgb="FF000000"/>
        <rFont val="Times New Roman"/>
        <family val="1"/>
      </rPr>
      <t xml:space="preserve"> </t>
    </r>
    <r>
      <rPr>
        <b/>
        <sz val="12"/>
        <color rgb="FF000000"/>
        <rFont val="Times New Roman"/>
        <family val="1"/>
      </rPr>
      <t>23,</t>
    </r>
    <r>
      <rPr>
        <sz val="12"/>
        <color rgb="FF000000"/>
        <rFont val="Times New Roman"/>
        <family val="1"/>
      </rPr>
      <t xml:space="preserve"> 353–358 (1996).</t>
    </r>
  </si>
  <si>
    <r>
      <t xml:space="preserve">Sainju, U. M., Singh, B. P., Whitehead, W. F. &amp; Wang, S. Carbon Supply and Storage in Tilled and Nontilled Soils as Influenced by Cover Crops and Nitrogen Fertilization. </t>
    </r>
    <r>
      <rPr>
        <i/>
        <sz val="12"/>
        <color rgb="FF000000"/>
        <rFont val="Times New Roman"/>
        <family val="1"/>
      </rPr>
      <t>J. Environ. Qual.</t>
    </r>
    <r>
      <rPr>
        <sz val="12"/>
        <color rgb="FF000000"/>
        <rFont val="Times New Roman"/>
        <family val="1"/>
      </rPr>
      <t xml:space="preserve"> </t>
    </r>
    <r>
      <rPr>
        <b/>
        <sz val="12"/>
        <color rgb="FF000000"/>
        <rFont val="Times New Roman"/>
        <family val="1"/>
      </rPr>
      <t>35,</t>
    </r>
    <r>
      <rPr>
        <sz val="12"/>
        <color rgb="FF000000"/>
        <rFont val="Times New Roman"/>
        <family val="1"/>
      </rPr>
      <t xml:space="preserve"> 1507 (2006).</t>
    </r>
  </si>
  <si>
    <r>
      <t xml:space="preserve">Sainju, U. M., Whitehead, W. F. &amp; Singh, B. P. Cover crops and nitrogen fertilization effects on soil aggregation and carbon and nitrogen pools. </t>
    </r>
    <r>
      <rPr>
        <i/>
        <sz val="12"/>
        <color rgb="FF000000"/>
        <rFont val="Times New Roman"/>
        <family val="1"/>
      </rPr>
      <t>Can. J. Soil Sci.</t>
    </r>
    <r>
      <rPr>
        <sz val="12"/>
        <color rgb="FF000000"/>
        <rFont val="Times New Roman"/>
        <family val="1"/>
      </rPr>
      <t xml:space="preserve"> </t>
    </r>
    <r>
      <rPr>
        <b/>
        <sz val="12"/>
        <color rgb="FF000000"/>
        <rFont val="Times New Roman"/>
        <family val="1"/>
      </rPr>
      <t>83,</t>
    </r>
    <r>
      <rPr>
        <sz val="12"/>
        <color rgb="FF000000"/>
        <rFont val="Times New Roman"/>
        <family val="1"/>
      </rPr>
      <t xml:space="preserve"> 155–165 (2003).</t>
    </r>
  </si>
  <si>
    <r>
      <t xml:space="preserve">Sainju, U. ., Singh, B. . &amp; Whitehead, W. . Long-term effects of tillage, cover crops, and nitrogen fertilization on organic carbon and nitrogen concentrations in sandy loam soils in Georgia, USA. </t>
    </r>
    <r>
      <rPr>
        <i/>
        <sz val="12"/>
        <color rgb="FF000000"/>
        <rFont val="Times New Roman"/>
        <family val="1"/>
      </rPr>
      <t>Soil Tillage Res.</t>
    </r>
    <r>
      <rPr>
        <sz val="12"/>
        <color rgb="FF000000"/>
        <rFont val="Times New Roman"/>
        <family val="1"/>
      </rPr>
      <t xml:space="preserve"> </t>
    </r>
    <r>
      <rPr>
        <b/>
        <sz val="12"/>
        <color rgb="FF000000"/>
        <rFont val="Times New Roman"/>
        <family val="1"/>
      </rPr>
      <t>63,</t>
    </r>
    <r>
      <rPr>
        <sz val="12"/>
        <color rgb="FF000000"/>
        <rFont val="Times New Roman"/>
        <family val="1"/>
      </rPr>
      <t xml:space="preserve"> 167–179 (2002).</t>
    </r>
  </si>
  <si>
    <t>Sainju, U. M. et al. Cover crop effect on soil carbon fractions under conservation tillage cotton. Soil Tillage Res. 96, 205–218 (2007).</t>
  </si>
  <si>
    <r>
      <t xml:space="preserve">Sainju, U. M., Lenssen, A., Caesar-Thonthat, T. &amp; Waddell, J. Dryland plant biomass and soil carbon and nitrogen fractions on transient land as influenced by tillage and crop rotation. </t>
    </r>
    <r>
      <rPr>
        <i/>
        <sz val="12"/>
        <color rgb="FF000000"/>
        <rFont val="Times New Roman"/>
        <family val="1"/>
      </rPr>
      <t>Soil Tillage Res.</t>
    </r>
    <r>
      <rPr>
        <sz val="12"/>
        <color rgb="FF000000"/>
        <rFont val="Times New Roman"/>
        <family val="1"/>
      </rPr>
      <t xml:space="preserve"> </t>
    </r>
    <r>
      <rPr>
        <b/>
        <sz val="12"/>
        <color rgb="FF000000"/>
        <rFont val="Times New Roman"/>
        <family val="1"/>
      </rPr>
      <t>93,</t>
    </r>
    <r>
      <rPr>
        <sz val="12"/>
        <color rgb="FF000000"/>
        <rFont val="Times New Roman"/>
        <family val="1"/>
      </rPr>
      <t xml:space="preserve"> 452–461 (2007).</t>
    </r>
  </si>
  <si>
    <r>
      <t xml:space="preserve">Utomo, M., Frye, W. W. &amp; Blevins, R. L. Sustaining Soil Nitrogen for Corn Using Hairy Vetch Cover Crop. </t>
    </r>
    <r>
      <rPr>
        <i/>
        <sz val="12"/>
        <color rgb="FF000000"/>
        <rFont val="Times New Roman"/>
        <family val="1"/>
      </rPr>
      <t>Agron. J.</t>
    </r>
    <r>
      <rPr>
        <sz val="12"/>
        <color rgb="FF000000"/>
        <rFont val="Times New Roman"/>
        <family val="1"/>
      </rPr>
      <t xml:space="preserve"> </t>
    </r>
    <r>
      <rPr>
        <b/>
        <sz val="12"/>
        <color rgb="FF000000"/>
        <rFont val="Times New Roman"/>
        <family val="1"/>
      </rPr>
      <t>82,</t>
    </r>
    <r>
      <rPr>
        <sz val="12"/>
        <color rgb="FF000000"/>
        <rFont val="Times New Roman"/>
        <family val="1"/>
      </rPr>
      <t xml:space="preserve"> 979 (1990).</t>
    </r>
  </si>
  <si>
    <r>
      <t xml:space="preserve">Abdallahi, M. M. &amp; N’Dayegamiye, A. Effets de deux incorporations d’engrais verts sur le rendement et la nutrition en azote du blé ( </t>
    </r>
    <r>
      <rPr>
        <i/>
        <sz val="12"/>
        <color rgb="FF000000"/>
        <rFont val="Times New Roman"/>
        <family val="1"/>
      </rPr>
      <t>Triticum</t>
    </r>
    <r>
      <rPr>
        <sz val="12"/>
        <color rgb="FF000000"/>
        <rFont val="Times New Roman"/>
        <family val="1"/>
      </rPr>
      <t xml:space="preserve"> </t>
    </r>
    <r>
      <rPr>
        <i/>
        <sz val="12"/>
        <color rgb="FF000000"/>
        <rFont val="Times New Roman"/>
        <family val="1"/>
      </rPr>
      <t>aestivum</t>
    </r>
    <r>
      <rPr>
        <sz val="12"/>
        <color rgb="FF000000"/>
        <rFont val="Times New Roman"/>
        <family val="1"/>
      </rPr>
      <t xml:space="preserve"> L.), ainsi que sur les propriétés physiques et biologiques du sol. </t>
    </r>
    <r>
      <rPr>
        <i/>
        <sz val="12"/>
        <color rgb="FF000000"/>
        <rFont val="Times New Roman"/>
        <family val="1"/>
      </rPr>
      <t>Can. J. Soil Sci.</t>
    </r>
    <r>
      <rPr>
        <sz val="12"/>
        <color rgb="FF000000"/>
        <rFont val="Times New Roman"/>
        <family val="1"/>
      </rPr>
      <t xml:space="preserve"> </t>
    </r>
    <r>
      <rPr>
        <b/>
        <sz val="12"/>
        <color rgb="FF000000"/>
        <rFont val="Times New Roman"/>
        <family val="1"/>
      </rPr>
      <t>80,</t>
    </r>
    <r>
      <rPr>
        <sz val="12"/>
        <color rgb="FF000000"/>
        <rFont val="Times New Roman"/>
        <family val="1"/>
      </rPr>
      <t xml:space="preserve"> 81–89 (2000).</t>
    </r>
  </si>
  <si>
    <r>
      <t xml:space="preserve">Amado, T. J. C. </t>
    </r>
    <r>
      <rPr>
        <i/>
        <sz val="12"/>
        <color rgb="FF000000"/>
        <rFont val="Times New Roman"/>
        <family val="1"/>
      </rPr>
      <t>et al.</t>
    </r>
    <r>
      <rPr>
        <sz val="12"/>
        <color rgb="FF000000"/>
        <rFont val="Times New Roman"/>
        <family val="1"/>
      </rPr>
      <t xml:space="preserve"> Potential of Carbon Accumulation in No-Till Soils with Intensive Use and Cover Crops in Southern Brazil. </t>
    </r>
    <r>
      <rPr>
        <i/>
        <sz val="12"/>
        <color rgb="FF000000"/>
        <rFont val="Times New Roman"/>
        <family val="1"/>
      </rPr>
      <t>J. Environ. Qual.</t>
    </r>
    <r>
      <rPr>
        <sz val="12"/>
        <color rgb="FF000000"/>
        <rFont val="Times New Roman"/>
        <family val="1"/>
      </rPr>
      <t xml:space="preserve"> </t>
    </r>
    <r>
      <rPr>
        <b/>
        <sz val="12"/>
        <color rgb="FF000000"/>
        <rFont val="Times New Roman"/>
        <family val="1"/>
      </rPr>
      <t>35,</t>
    </r>
    <r>
      <rPr>
        <sz val="12"/>
        <color rgb="FF000000"/>
        <rFont val="Times New Roman"/>
        <family val="1"/>
      </rPr>
      <t xml:space="preserve"> 1599 (2006).</t>
    </r>
  </si>
  <si>
    <r>
      <t xml:space="preserve">Baumecker, M., Ellmer, F. &amp; Köhn, W. Statischer Nährstoffmangelversuch Thyrow. Dauerfeldversuche in Brandenburg und Berlin. Beiträge für eine nachhaltige landwirtschaftliche Bodennutzung. Potsdam, Germany: Ministerium für Ländliche Entwicklung. </t>
    </r>
    <r>
      <rPr>
        <i/>
        <sz val="12"/>
        <color rgb="FF000000"/>
        <rFont val="Times New Roman"/>
        <family val="1"/>
      </rPr>
      <t>Umwelt und Verbraucherschutz</t>
    </r>
    <r>
      <rPr>
        <sz val="12"/>
        <color rgb="FF000000"/>
        <rFont val="Times New Roman"/>
        <family val="1"/>
      </rPr>
      <t xml:space="preserve"> (2009).</t>
    </r>
  </si>
  <si>
    <r>
      <t xml:space="preserve">Bayer, C., Mielniczuk, J., Amado, T. J. C., Mantin-Neto, L. &amp; Fernandes, S. V. Organic matter storage in a sandy clay loamAcrisol affected by tillage and cropping systems in southern Brazil. </t>
    </r>
    <r>
      <rPr>
        <i/>
        <sz val="12"/>
        <color rgb="FF000000"/>
        <rFont val="Times New Roman"/>
        <family val="1"/>
      </rPr>
      <t>Soil Tillage Res.</t>
    </r>
    <r>
      <rPr>
        <sz val="12"/>
        <color rgb="FF000000"/>
        <rFont val="Times New Roman"/>
        <family val="1"/>
      </rPr>
      <t xml:space="preserve"> </t>
    </r>
    <r>
      <rPr>
        <b/>
        <sz val="12"/>
        <color rgb="FF000000"/>
        <rFont val="Times New Roman"/>
        <family val="1"/>
      </rPr>
      <t>54,</t>
    </r>
    <r>
      <rPr>
        <sz val="12"/>
        <color rgb="FF000000"/>
        <rFont val="Times New Roman"/>
        <family val="1"/>
      </rPr>
      <t xml:space="preserve"> 101–109 (2000).</t>
    </r>
  </si>
  <si>
    <r>
      <t xml:space="preserve">Constantin, J. </t>
    </r>
    <r>
      <rPr>
        <i/>
        <sz val="12"/>
        <color rgb="FF000000"/>
        <rFont val="Times New Roman"/>
        <family val="1"/>
      </rPr>
      <t>et al.</t>
    </r>
    <r>
      <rPr>
        <sz val="12"/>
        <color rgb="FF000000"/>
        <rFont val="Times New Roman"/>
        <family val="1"/>
      </rPr>
      <t xml:space="preserve"> Effects of catch crops, no till and reduced nitrogen fertilization on nitrogen leaching and balance in three long-term experiments.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135,</t>
    </r>
    <r>
      <rPr>
        <sz val="12"/>
        <color rgb="FF000000"/>
        <rFont val="Times New Roman"/>
        <family val="1"/>
      </rPr>
      <t xml:space="preserve"> 268–278 (2010).</t>
    </r>
  </si>
  <si>
    <r>
      <t xml:space="preserve">Curtin, D. </t>
    </r>
    <r>
      <rPr>
        <i/>
        <sz val="12"/>
        <color rgb="FF000000"/>
        <rFont val="Times New Roman"/>
        <family val="1"/>
      </rPr>
      <t>et al.</t>
    </r>
    <r>
      <rPr>
        <sz val="12"/>
        <color rgb="FF000000"/>
        <rFont val="Times New Roman"/>
        <family val="1"/>
      </rPr>
      <t xml:space="preserve"> Legume green manure as partial fallow replacement in semiarid Saskatchewan: Effect on carbon fluxes. </t>
    </r>
    <r>
      <rPr>
        <i/>
        <sz val="12"/>
        <color rgb="FF000000"/>
        <rFont val="Times New Roman"/>
        <family val="1"/>
      </rPr>
      <t>Can. J. Soil Sci.</t>
    </r>
    <r>
      <rPr>
        <sz val="12"/>
        <color rgb="FF000000"/>
        <rFont val="Times New Roman"/>
        <family val="1"/>
      </rPr>
      <t xml:space="preserve"> </t>
    </r>
    <r>
      <rPr>
        <b/>
        <sz val="12"/>
        <color rgb="FF000000"/>
        <rFont val="Times New Roman"/>
        <family val="1"/>
      </rPr>
      <t>80,</t>
    </r>
    <r>
      <rPr>
        <sz val="12"/>
        <color rgb="FF000000"/>
        <rFont val="Times New Roman"/>
        <family val="1"/>
      </rPr>
      <t xml:space="preserve"> 499–505 (2000).</t>
    </r>
  </si>
  <si>
    <r>
      <t xml:space="preserve">Barkusky, D. </t>
    </r>
    <r>
      <rPr>
        <i/>
        <sz val="12"/>
        <color rgb="FF000000"/>
        <rFont val="Times New Roman"/>
        <family val="1"/>
      </rPr>
      <t>et al.</t>
    </r>
    <r>
      <rPr>
        <sz val="12"/>
        <color rgb="FF000000"/>
        <rFont val="Times New Roman"/>
        <family val="1"/>
      </rPr>
      <t xml:space="preserve"> Dauerfeldversuche in Brandenburg und Berlin-Beiträge fuer eine nachhaltige landwirtschaftliche Bodennutzung. </t>
    </r>
    <r>
      <rPr>
        <i/>
        <sz val="12"/>
        <color rgb="FF000000"/>
        <rFont val="Times New Roman"/>
        <family val="1"/>
      </rPr>
      <t>Schriftenr. des Landesamtes fuer Verbraucherschutz, Landwirtschaft und Flurneuordnung Abteilung Landwirtschaft und Gartenbau, R. Landwirtschaft</t>
    </r>
    <r>
      <rPr>
        <sz val="12"/>
        <color rgb="FF000000"/>
        <rFont val="Times New Roman"/>
        <family val="1"/>
      </rPr>
      <t xml:space="preserve"> </t>
    </r>
    <r>
      <rPr>
        <b/>
        <sz val="12"/>
        <color rgb="FF000000"/>
        <rFont val="Times New Roman"/>
        <family val="1"/>
      </rPr>
      <t>10,</t>
    </r>
    <r>
      <rPr>
        <sz val="12"/>
        <color rgb="FF000000"/>
        <rFont val="Times New Roman"/>
        <family val="1"/>
      </rPr>
      <t xml:space="preserve"> 4 (2009).</t>
    </r>
  </si>
  <si>
    <r>
      <t xml:space="preserve">Mazzoncini, M., Sapkota, T. B., Bàrberi, P., Antichi, D. &amp; Risaliti, R. Long-term effect of tillage, nitrogen fertilization and cover crops on soil organic carbon and total nitrogen content. </t>
    </r>
    <r>
      <rPr>
        <i/>
        <sz val="12"/>
        <color rgb="FF000000"/>
        <rFont val="Times New Roman"/>
        <family val="1"/>
      </rPr>
      <t>Soil Tillage Res.</t>
    </r>
    <r>
      <rPr>
        <sz val="12"/>
        <color rgb="FF000000"/>
        <rFont val="Times New Roman"/>
        <family val="1"/>
      </rPr>
      <t xml:space="preserve"> </t>
    </r>
    <r>
      <rPr>
        <b/>
        <sz val="12"/>
        <color rgb="FF000000"/>
        <rFont val="Times New Roman"/>
        <family val="1"/>
      </rPr>
      <t>114,</t>
    </r>
    <r>
      <rPr>
        <sz val="12"/>
        <color rgb="FF000000"/>
        <rFont val="Times New Roman"/>
        <family val="1"/>
      </rPr>
      <t xml:space="preserve"> 165–174 (2011).</t>
    </r>
  </si>
  <si>
    <r>
      <t xml:space="preserve">Metay, A. </t>
    </r>
    <r>
      <rPr>
        <i/>
        <sz val="12"/>
        <color rgb="FF000000"/>
        <rFont val="Times New Roman"/>
        <family val="1"/>
      </rPr>
      <t>et al.</t>
    </r>
    <r>
      <rPr>
        <sz val="12"/>
        <color rgb="FF000000"/>
        <rFont val="Times New Roman"/>
        <family val="1"/>
      </rPr>
      <t xml:space="preserve"> Storage and forms of organic carbon in a no-tillage under cover crops system on clayey Oxisol in dryland rice production (Cerrados, Brazil). </t>
    </r>
    <r>
      <rPr>
        <i/>
        <sz val="12"/>
        <color rgb="FF000000"/>
        <rFont val="Times New Roman"/>
        <family val="1"/>
      </rPr>
      <t>Soil Tillage Res.</t>
    </r>
    <r>
      <rPr>
        <sz val="12"/>
        <color rgb="FF000000"/>
        <rFont val="Times New Roman"/>
        <family val="1"/>
      </rPr>
      <t xml:space="preserve"> </t>
    </r>
    <r>
      <rPr>
        <b/>
        <sz val="12"/>
        <color rgb="FF000000"/>
        <rFont val="Times New Roman"/>
        <family val="1"/>
      </rPr>
      <t>94,</t>
    </r>
    <r>
      <rPr>
        <sz val="12"/>
        <color rgb="FF000000"/>
        <rFont val="Times New Roman"/>
        <family val="1"/>
      </rPr>
      <t xml:space="preserve"> 122–132 (2007).</t>
    </r>
  </si>
  <si>
    <r>
      <t xml:space="preserve">Nascente, A. S., Crusciol, C. A. C., Cobucci, T. &amp; Velini, E. D. Cover crop termination timing on rice crop production in a no-till system. </t>
    </r>
    <r>
      <rPr>
        <i/>
        <sz val="12"/>
        <color rgb="FF000000"/>
        <rFont val="Times New Roman"/>
        <family val="1"/>
      </rPr>
      <t>Crop Sci.</t>
    </r>
    <r>
      <rPr>
        <sz val="12"/>
        <color rgb="FF000000"/>
        <rFont val="Times New Roman"/>
        <family val="1"/>
      </rPr>
      <t xml:space="preserve"> </t>
    </r>
    <r>
      <rPr>
        <b/>
        <sz val="12"/>
        <color rgb="FF000000"/>
        <rFont val="Times New Roman"/>
        <family val="1"/>
      </rPr>
      <t>53,</t>
    </r>
    <r>
      <rPr>
        <sz val="12"/>
        <color rgb="FF000000"/>
        <rFont val="Times New Roman"/>
        <family val="1"/>
      </rPr>
      <t xml:space="preserve"> 2659–2669 (2013).</t>
    </r>
  </si>
  <si>
    <t>Sadat-dastegheibi, B. Untersuchungen zur stoffdynamik in ackerboden in abhangigkeit v... (1974).</t>
  </si>
  <si>
    <r>
      <t xml:space="preserve">Witter, E. Soil C balance in a long-term field experiment in relation to the size of the microbial biomass. </t>
    </r>
    <r>
      <rPr>
        <i/>
        <sz val="12"/>
        <color rgb="FF000000"/>
        <rFont val="Times New Roman"/>
        <family val="1"/>
      </rPr>
      <t>Biol. Fertil. Soils</t>
    </r>
    <r>
      <rPr>
        <sz val="12"/>
        <color rgb="FF000000"/>
        <rFont val="Times New Roman"/>
        <family val="1"/>
      </rPr>
      <t xml:space="preserve"> </t>
    </r>
    <r>
      <rPr>
        <b/>
        <sz val="12"/>
        <color rgb="FF000000"/>
        <rFont val="Times New Roman"/>
        <family val="1"/>
      </rPr>
      <t>23,</t>
    </r>
    <r>
      <rPr>
        <sz val="12"/>
        <color rgb="FF000000"/>
        <rFont val="Times New Roman"/>
        <family val="1"/>
      </rPr>
      <t xml:space="preserve"> 33–37 (1996).</t>
    </r>
  </si>
  <si>
    <r>
      <t xml:space="preserve">Thomsen, I. K., Thomsen, I. K. &amp; Christensen, B. T. Yields of wheat and soil carbon and nitrogen contents following long-term incorporation of barley straw and ryegrass catch crops. </t>
    </r>
    <r>
      <rPr>
        <i/>
        <sz val="12"/>
        <color rgb="FF000000"/>
        <rFont val="Times New Roman"/>
        <family val="1"/>
      </rPr>
      <t>Soil Use Manag.</t>
    </r>
    <r>
      <rPr>
        <sz val="12"/>
        <color rgb="FF000000"/>
        <rFont val="Times New Roman"/>
        <family val="1"/>
      </rPr>
      <t xml:space="preserve"> </t>
    </r>
    <r>
      <rPr>
        <b/>
        <sz val="12"/>
        <color rgb="FF000000"/>
        <rFont val="Times New Roman"/>
        <family val="1"/>
      </rPr>
      <t>20,</t>
    </r>
    <r>
      <rPr>
        <sz val="12"/>
        <color rgb="FF000000"/>
        <rFont val="Times New Roman"/>
        <family val="1"/>
      </rPr>
      <t xml:space="preserve"> 432–438 (2004).</t>
    </r>
  </si>
  <si>
    <r>
      <t xml:space="preserve">Wilson, G. F., Lal, R. &amp; Okigbo, B. N. Effects of cover crops on soil structure and on yield of subsequent arable crops grown under strip tillage on an eroded Alfisol. </t>
    </r>
    <r>
      <rPr>
        <i/>
        <sz val="12"/>
        <color rgb="FF000000"/>
        <rFont val="Times New Roman"/>
        <family val="1"/>
      </rPr>
      <t>Soil Tillage Res.</t>
    </r>
    <r>
      <rPr>
        <sz val="12"/>
        <color rgb="FF000000"/>
        <rFont val="Times New Roman"/>
        <family val="1"/>
      </rPr>
      <t xml:space="preserve"> </t>
    </r>
    <r>
      <rPr>
        <b/>
        <sz val="12"/>
        <color rgb="FF000000"/>
        <rFont val="Times New Roman"/>
        <family val="1"/>
      </rPr>
      <t>2,</t>
    </r>
    <r>
      <rPr>
        <sz val="12"/>
        <color rgb="FF000000"/>
        <rFont val="Times New Roman"/>
        <family val="1"/>
      </rPr>
      <t xml:space="preserve"> 233–250 (1982).</t>
    </r>
  </si>
  <si>
    <r>
      <t xml:space="preserve">Alvarez, R., Steinbach, H. S. &amp; De Paepe, J. L. Cover crop effects on soils and subsequent crops in the pampas: A meta-analysis. </t>
    </r>
    <r>
      <rPr>
        <i/>
        <sz val="12"/>
        <color rgb="FF000000"/>
        <rFont val="Times New Roman"/>
        <family val="1"/>
      </rPr>
      <t>Soil Tillage Res.</t>
    </r>
    <r>
      <rPr>
        <sz val="12"/>
        <color rgb="FF000000"/>
        <rFont val="Times New Roman"/>
        <family val="1"/>
      </rPr>
      <t xml:space="preserve"> </t>
    </r>
    <r>
      <rPr>
        <b/>
        <sz val="12"/>
        <color rgb="FF000000"/>
        <rFont val="Times New Roman"/>
        <family val="1"/>
      </rPr>
      <t>170,</t>
    </r>
    <r>
      <rPr>
        <sz val="12"/>
        <color rgb="FF000000"/>
        <rFont val="Times New Roman"/>
        <family val="1"/>
      </rPr>
      <t xml:space="preserve"> 53–65 (2017).</t>
    </r>
  </si>
  <si>
    <r>
      <t xml:space="preserve">Abdollahi, L. &amp; Munkholm, L. J. Tillage System and Cover Crop Effects on Soil Quality:I. Chemical, Mechanical, and Biological Properties. </t>
    </r>
    <r>
      <rPr>
        <i/>
        <sz val="12"/>
        <color rgb="FF000000"/>
        <rFont val="Times New Roman"/>
        <family val="1"/>
      </rPr>
      <t>Soil Sci. Soc. Am. J.</t>
    </r>
    <r>
      <rPr>
        <sz val="12"/>
        <color rgb="FF000000"/>
        <rFont val="Times New Roman"/>
        <family val="1"/>
      </rPr>
      <t xml:space="preserve"> </t>
    </r>
    <r>
      <rPr>
        <b/>
        <sz val="12"/>
        <color rgb="FF000000"/>
        <rFont val="Times New Roman"/>
        <family val="1"/>
      </rPr>
      <t>78,</t>
    </r>
    <r>
      <rPr>
        <sz val="12"/>
        <color rgb="FF000000"/>
        <rFont val="Times New Roman"/>
        <family val="1"/>
      </rPr>
      <t xml:space="preserve"> 262 (2014).</t>
    </r>
  </si>
  <si>
    <r>
      <t xml:space="preserve">Abdollahi, L., Munkholm, L. J. &amp; Garbout, A. Tillage System and Cover Crop Effects on Soil Quality: II. Pore Characteristics. </t>
    </r>
    <r>
      <rPr>
        <i/>
        <sz val="12"/>
        <color rgb="FF000000"/>
        <rFont val="Times New Roman"/>
        <family val="1"/>
      </rPr>
      <t>Soil Sci. Soc. Am. J.</t>
    </r>
    <r>
      <rPr>
        <sz val="12"/>
        <color rgb="FF000000"/>
        <rFont val="Times New Roman"/>
        <family val="1"/>
      </rPr>
      <t xml:space="preserve"> </t>
    </r>
    <r>
      <rPr>
        <b/>
        <sz val="12"/>
        <color rgb="FF000000"/>
        <rFont val="Times New Roman"/>
        <family val="1"/>
      </rPr>
      <t>78,</t>
    </r>
    <r>
      <rPr>
        <sz val="12"/>
        <color rgb="FF000000"/>
        <rFont val="Times New Roman"/>
        <family val="1"/>
      </rPr>
      <t xml:space="preserve"> 271 (2014).</t>
    </r>
  </si>
  <si>
    <r>
      <t xml:space="preserve">Ward, P. R., Flower, K. C., Cordingley, N., Weeks, C. &amp; Micin, S. F. Soil water balance with cover crops and conservation agriculture in a Mediterranean climate. </t>
    </r>
    <r>
      <rPr>
        <i/>
        <sz val="12"/>
        <color rgb="FF000000"/>
        <rFont val="Times New Roman"/>
        <family val="1"/>
      </rPr>
      <t>F. Crop. Res.</t>
    </r>
    <r>
      <rPr>
        <sz val="12"/>
        <color rgb="FF000000"/>
        <rFont val="Times New Roman"/>
        <family val="1"/>
      </rPr>
      <t xml:space="preserve"> </t>
    </r>
    <r>
      <rPr>
        <b/>
        <sz val="12"/>
        <color rgb="FF000000"/>
        <rFont val="Times New Roman"/>
        <family val="1"/>
      </rPr>
      <t>132,</t>
    </r>
    <r>
      <rPr>
        <sz val="12"/>
        <color rgb="FF000000"/>
        <rFont val="Times New Roman"/>
        <family val="1"/>
      </rPr>
      <t xml:space="preserve"> 33–39 (2012).</t>
    </r>
  </si>
  <si>
    <r>
      <t xml:space="preserve">Whish, J. P. M., Price, L. &amp; Castor, P. A. Do spring cover crops rob water and so reduce wheat yields in the northern grain zone of eastern Australia? </t>
    </r>
    <r>
      <rPr>
        <i/>
        <sz val="12"/>
        <color rgb="FF000000"/>
        <rFont val="Times New Roman"/>
        <family val="1"/>
      </rPr>
      <t>Crop Pasture Sci.</t>
    </r>
    <r>
      <rPr>
        <sz val="12"/>
        <color rgb="FF000000"/>
        <rFont val="Times New Roman"/>
        <family val="1"/>
      </rPr>
      <t xml:space="preserve"> </t>
    </r>
    <r>
      <rPr>
        <b/>
        <sz val="12"/>
        <color rgb="FF000000"/>
        <rFont val="Times New Roman"/>
        <family val="1"/>
      </rPr>
      <t>60,</t>
    </r>
    <r>
      <rPr>
        <sz val="12"/>
        <color rgb="FF000000"/>
        <rFont val="Times New Roman"/>
        <family val="1"/>
      </rPr>
      <t xml:space="preserve"> 517–525 (2009).</t>
    </r>
  </si>
  <si>
    <r>
      <t xml:space="preserve">Abunyewa, A. A. &amp; Karbo, K. N. Improved fallow with pigeon pea for soil fertility improvement and to increase maize production in a smallholder crop-livestock farming system in the subhumid zone of Ghana. </t>
    </r>
    <r>
      <rPr>
        <i/>
        <sz val="12"/>
        <color rgb="FF000000"/>
        <rFont val="Times New Roman"/>
        <family val="1"/>
      </rPr>
      <t>L. Degrad. Dev.</t>
    </r>
    <r>
      <rPr>
        <sz val="12"/>
        <color rgb="FF000000"/>
        <rFont val="Times New Roman"/>
        <family val="1"/>
      </rPr>
      <t xml:space="preserve"> </t>
    </r>
    <r>
      <rPr>
        <b/>
        <sz val="12"/>
        <color rgb="FF000000"/>
        <rFont val="Times New Roman"/>
        <family val="1"/>
      </rPr>
      <t>16,</t>
    </r>
    <r>
      <rPr>
        <sz val="12"/>
        <color rgb="FF000000"/>
        <rFont val="Times New Roman"/>
        <family val="1"/>
      </rPr>
      <t xml:space="preserve"> 447–454 (2005).</t>
    </r>
  </si>
  <si>
    <r>
      <t xml:space="preserve">Agyare, W. A., Kombiok, J. M., Karbo, N. &amp; Larbi, A. Management of pigeon pea in short fallows for crop-livestock production systems in the Guinea savanna zone of northern Ghana. </t>
    </r>
    <r>
      <rPr>
        <i/>
        <sz val="12"/>
        <color rgb="FF000000"/>
        <rFont val="Times New Roman"/>
        <family val="1"/>
      </rPr>
      <t>Agrofor. Syst.</t>
    </r>
    <r>
      <rPr>
        <sz val="12"/>
        <color rgb="FF000000"/>
        <rFont val="Times New Roman"/>
        <family val="1"/>
      </rPr>
      <t xml:space="preserve"> </t>
    </r>
    <r>
      <rPr>
        <b/>
        <sz val="12"/>
        <color rgb="FF000000"/>
        <rFont val="Times New Roman"/>
        <family val="1"/>
      </rPr>
      <t>54,</t>
    </r>
    <r>
      <rPr>
        <sz val="12"/>
        <color rgb="FF000000"/>
        <rFont val="Times New Roman"/>
        <family val="1"/>
      </rPr>
      <t xml:space="preserve"> 197–202 (2002).</t>
    </r>
  </si>
  <si>
    <r>
      <t xml:space="preserve">Akinnifesi, F. K., Makumba, W. &amp; Kwesiga, F. R. Sustainable maize production using gliricidia/maize intercropping in southern Malawi. </t>
    </r>
    <r>
      <rPr>
        <i/>
        <sz val="12"/>
        <color rgb="FF000000"/>
        <rFont val="Times New Roman"/>
        <family val="1"/>
      </rPr>
      <t>Exp. Agric.</t>
    </r>
    <r>
      <rPr>
        <sz val="12"/>
        <color rgb="FF000000"/>
        <rFont val="Times New Roman"/>
        <family val="1"/>
      </rPr>
      <t xml:space="preserve"> </t>
    </r>
    <r>
      <rPr>
        <b/>
        <sz val="12"/>
        <color rgb="FF000000"/>
        <rFont val="Times New Roman"/>
        <family val="1"/>
      </rPr>
      <t>42,</t>
    </r>
    <r>
      <rPr>
        <sz val="12"/>
        <color rgb="FF000000"/>
        <rFont val="Times New Roman"/>
        <family val="1"/>
      </rPr>
      <t xml:space="preserve"> 441–457 (2006).</t>
    </r>
  </si>
  <si>
    <r>
      <t xml:space="preserve">Akinnifesi, F. K., Makumba, W., Sileshi, G., Ajayi, O. C. &amp; Mweta, D. Synergistic effect of inorganic N and P fertilizers and organic inputs from Gliricidia sepium on productivity of intercropped maize in Southern Malawi. </t>
    </r>
    <r>
      <rPr>
        <i/>
        <sz val="12"/>
        <color rgb="FF000000"/>
        <rFont val="Times New Roman"/>
        <family val="1"/>
      </rPr>
      <t>Plant Soil</t>
    </r>
    <r>
      <rPr>
        <sz val="12"/>
        <color rgb="FF000000"/>
        <rFont val="Times New Roman"/>
        <family val="1"/>
      </rPr>
      <t xml:space="preserve"> </t>
    </r>
    <r>
      <rPr>
        <b/>
        <sz val="12"/>
        <color rgb="FF000000"/>
        <rFont val="Times New Roman"/>
        <family val="1"/>
      </rPr>
      <t>294,</t>
    </r>
    <r>
      <rPr>
        <sz val="12"/>
        <color rgb="FF000000"/>
        <rFont val="Times New Roman"/>
        <family val="1"/>
      </rPr>
      <t xml:space="preserve"> 203–217 (2007).</t>
    </r>
  </si>
  <si>
    <r>
      <t xml:space="preserve">Böhringer, A. &amp; Leihner., D. E. Pigeonpea in simultaneous fallow-cropping systems in the subhumid forest-savanna mosaic zone of West Africa. </t>
    </r>
    <r>
      <rPr>
        <i/>
        <sz val="12"/>
        <color rgb="FF000000"/>
        <rFont val="Times New Roman"/>
        <family val="1"/>
      </rPr>
      <t>Exp. Agric.</t>
    </r>
    <r>
      <rPr>
        <sz val="12"/>
        <color rgb="FF000000"/>
        <rFont val="Times New Roman"/>
        <family val="1"/>
      </rPr>
      <t xml:space="preserve"> </t>
    </r>
    <r>
      <rPr>
        <b/>
        <sz val="12"/>
        <color rgb="FF000000"/>
        <rFont val="Times New Roman"/>
        <family val="1"/>
      </rPr>
      <t>33,</t>
    </r>
    <r>
      <rPr>
        <sz val="12"/>
        <color rgb="FF000000"/>
        <rFont val="Times New Roman"/>
        <family val="1"/>
      </rPr>
      <t xml:space="preserve"> 301–312. (1997).</t>
    </r>
  </si>
  <si>
    <r>
      <t xml:space="preserve">Carsky, R. J., Oyewole, B. &amp; Tian, G. Integrated soil management for the savanna zone of W. Africa: Legume rotation and fertilizer N.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55,</t>
    </r>
    <r>
      <rPr>
        <sz val="12"/>
        <color rgb="FF000000"/>
        <rFont val="Times New Roman"/>
        <family val="1"/>
      </rPr>
      <t xml:space="preserve"> 95–105 (1999).</t>
    </r>
  </si>
  <si>
    <r>
      <t xml:space="preserve">Chintu, R. </t>
    </r>
    <r>
      <rPr>
        <i/>
        <sz val="12"/>
        <color rgb="FF000000"/>
        <rFont val="Times New Roman"/>
        <family val="1"/>
      </rPr>
      <t>et al.</t>
    </r>
    <r>
      <rPr>
        <sz val="12"/>
        <color rgb="FF000000"/>
        <rFont val="Times New Roman"/>
        <family val="1"/>
      </rPr>
      <t xml:space="preserve"> Propagation and management of gliricidia sepium planted fallows in sub-humid eastern Zambia. </t>
    </r>
    <r>
      <rPr>
        <i/>
        <sz val="12"/>
        <color rgb="FF000000"/>
        <rFont val="Times New Roman"/>
        <family val="1"/>
      </rPr>
      <t>Exp. Agric.</t>
    </r>
    <r>
      <rPr>
        <sz val="12"/>
        <color rgb="FF000000"/>
        <rFont val="Times New Roman"/>
        <family val="1"/>
      </rPr>
      <t xml:space="preserve"> </t>
    </r>
    <r>
      <rPr>
        <b/>
        <sz val="12"/>
        <color rgb="FF000000"/>
        <rFont val="Times New Roman"/>
        <family val="1"/>
      </rPr>
      <t>40,</t>
    </r>
    <r>
      <rPr>
        <sz val="12"/>
        <color rgb="FF000000"/>
        <rFont val="Times New Roman"/>
        <family val="1"/>
      </rPr>
      <t xml:space="preserve"> 341–352 (2004).</t>
    </r>
  </si>
  <si>
    <r>
      <t xml:space="preserve">Chirwa, T. S., Mafongoya, P. L. &amp; Chintu, R. Mixed planted-fallows using coppicing and non-coppicing tree species for degraded Acrisols in eastern Zambia. </t>
    </r>
    <r>
      <rPr>
        <i/>
        <sz val="12"/>
        <color rgb="FF000000"/>
        <rFont val="Times New Roman"/>
        <family val="1"/>
      </rPr>
      <t>Agrofor. Syst.</t>
    </r>
    <r>
      <rPr>
        <sz val="12"/>
        <color rgb="FF000000"/>
        <rFont val="Times New Roman"/>
        <family val="1"/>
      </rPr>
      <t xml:space="preserve"> </t>
    </r>
    <r>
      <rPr>
        <b/>
        <sz val="12"/>
        <color rgb="FF000000"/>
        <rFont val="Times New Roman"/>
        <family val="1"/>
      </rPr>
      <t>59,</t>
    </r>
    <r>
      <rPr>
        <sz val="12"/>
        <color rgb="FF000000"/>
        <rFont val="Times New Roman"/>
        <family val="1"/>
      </rPr>
      <t xml:space="preserve"> 243–251 (2003).</t>
    </r>
  </si>
  <si>
    <r>
      <t xml:space="preserve">Chirwa, T. S., Mafongoya, P. L., Mbewe, D. N. M. &amp; Chishala, B. H. Changes in soil properties and their effects on maize productivity following Sesbania sesban and Cajanus cajan improved fallow systems in eastern Zambia. </t>
    </r>
    <r>
      <rPr>
        <i/>
        <sz val="12"/>
        <color rgb="FF000000"/>
        <rFont val="Times New Roman"/>
        <family val="1"/>
      </rPr>
      <t>Biol. Fertil. Soils</t>
    </r>
    <r>
      <rPr>
        <sz val="12"/>
        <color rgb="FF000000"/>
        <rFont val="Times New Roman"/>
        <family val="1"/>
      </rPr>
      <t xml:space="preserve"> </t>
    </r>
    <r>
      <rPr>
        <b/>
        <sz val="12"/>
        <color rgb="FF000000"/>
        <rFont val="Times New Roman"/>
        <family val="1"/>
      </rPr>
      <t>40,</t>
    </r>
    <r>
      <rPr>
        <sz val="12"/>
        <color rgb="FF000000"/>
        <rFont val="Times New Roman"/>
        <family val="1"/>
      </rPr>
      <t xml:space="preserve"> 20–27 (2004).</t>
    </r>
  </si>
  <si>
    <r>
      <t xml:space="preserve">Cooper, P. J. M., Leakey, R. R., Rao, M. R. &amp; Reynolds, L. Agroforestry and the mitigation of land degradation in the humid and sub-humid tropics of Africa. </t>
    </r>
    <r>
      <rPr>
        <i/>
        <sz val="12"/>
        <color rgb="FF000000"/>
        <rFont val="Times New Roman"/>
        <family val="1"/>
      </rPr>
      <t>Exp. Agric.</t>
    </r>
    <r>
      <rPr>
        <sz val="12"/>
        <color rgb="FF000000"/>
        <rFont val="Times New Roman"/>
        <family val="1"/>
      </rPr>
      <t xml:space="preserve"> </t>
    </r>
    <r>
      <rPr>
        <b/>
        <sz val="12"/>
        <color rgb="FF000000"/>
        <rFont val="Times New Roman"/>
        <family val="1"/>
      </rPr>
      <t>32,</t>
    </r>
    <r>
      <rPr>
        <sz val="12"/>
        <color rgb="FF000000"/>
        <rFont val="Times New Roman"/>
        <family val="1"/>
      </rPr>
      <t xml:space="preserve"> 235–290 (1996).</t>
    </r>
  </si>
  <si>
    <r>
      <t xml:space="preserve">Banda, A. Z., Maghembe, J. A., Ngugi, D. N. &amp; Chome, V. A. Effect of intercropping maize and closely spaced Leucaena hedgerows on soil conservation and maize yield on a steep slope at Ntcheu, Malawi. </t>
    </r>
    <r>
      <rPr>
        <i/>
        <sz val="12"/>
        <color rgb="FF000000"/>
        <rFont val="Times New Roman"/>
        <family val="1"/>
      </rPr>
      <t>Agrofor. Syst.</t>
    </r>
    <r>
      <rPr>
        <sz val="12"/>
        <color rgb="FF000000"/>
        <rFont val="Times New Roman"/>
        <family val="1"/>
      </rPr>
      <t xml:space="preserve"> </t>
    </r>
    <r>
      <rPr>
        <b/>
        <sz val="12"/>
        <color rgb="FF000000"/>
        <rFont val="Times New Roman"/>
        <family val="1"/>
      </rPr>
      <t>27,</t>
    </r>
    <r>
      <rPr>
        <sz val="12"/>
        <color rgb="FF000000"/>
        <rFont val="Times New Roman"/>
        <family val="1"/>
      </rPr>
      <t xml:space="preserve"> 17–22 (1994).</t>
    </r>
  </si>
  <si>
    <r>
      <t xml:space="preserve">Drechsel, P., Steiner, K. G. &amp; Hagedorn, F. A review on the potential of improved fallows and green manure in Rwanda. </t>
    </r>
    <r>
      <rPr>
        <i/>
        <sz val="12"/>
        <color rgb="FF000000"/>
        <rFont val="Times New Roman"/>
        <family val="1"/>
      </rPr>
      <t>Agrofor. Syst.</t>
    </r>
    <r>
      <rPr>
        <sz val="12"/>
        <color rgb="FF000000"/>
        <rFont val="Times New Roman"/>
        <family val="1"/>
      </rPr>
      <t xml:space="preserve"> </t>
    </r>
    <r>
      <rPr>
        <b/>
        <sz val="12"/>
        <color rgb="FF000000"/>
        <rFont val="Times New Roman"/>
        <family val="1"/>
      </rPr>
      <t>33,</t>
    </r>
    <r>
      <rPr>
        <sz val="12"/>
        <color rgb="FF000000"/>
        <rFont val="Times New Roman"/>
        <family val="1"/>
      </rPr>
      <t xml:space="preserve"> 109–136 (1996).</t>
    </r>
  </si>
  <si>
    <r>
      <t xml:space="preserve">Esilaba, A. O. </t>
    </r>
    <r>
      <rPr>
        <i/>
        <sz val="12"/>
        <color rgb="FF000000"/>
        <rFont val="Times New Roman"/>
        <family val="1"/>
      </rPr>
      <t>et al.</t>
    </r>
    <r>
      <rPr>
        <sz val="12"/>
        <color rgb="FF000000"/>
        <rFont val="Times New Roman"/>
        <family val="1"/>
      </rPr>
      <t xml:space="preserve"> On farm testing of integrated nutrient management strategies in eastern Uganda. </t>
    </r>
    <r>
      <rPr>
        <i/>
        <sz val="12"/>
        <color rgb="FF000000"/>
        <rFont val="Times New Roman"/>
        <family val="1"/>
      </rPr>
      <t>Agric. Syst.</t>
    </r>
    <r>
      <rPr>
        <sz val="12"/>
        <color rgb="FF000000"/>
        <rFont val="Times New Roman"/>
        <family val="1"/>
      </rPr>
      <t xml:space="preserve"> </t>
    </r>
    <r>
      <rPr>
        <b/>
        <sz val="12"/>
        <color rgb="FF000000"/>
        <rFont val="Times New Roman"/>
        <family val="1"/>
      </rPr>
      <t>86,</t>
    </r>
    <r>
      <rPr>
        <sz val="12"/>
        <color rgb="FF000000"/>
        <rFont val="Times New Roman"/>
        <family val="1"/>
      </rPr>
      <t xml:space="preserve"> 144–165 (2005).</t>
    </r>
  </si>
  <si>
    <r>
      <t xml:space="preserve">Fischler, M. &amp; Wortmann, C. S. Green manures for maize – bean systems in eastern Uganda : Agronomic performance and farmers ’ perceptions. </t>
    </r>
    <r>
      <rPr>
        <i/>
        <sz val="12"/>
        <color rgb="FF000000"/>
        <rFont val="Times New Roman"/>
        <family val="1"/>
      </rPr>
      <t>Agrofor. Syst.</t>
    </r>
    <r>
      <rPr>
        <sz val="12"/>
        <color rgb="FF000000"/>
        <rFont val="Times New Roman"/>
        <family val="1"/>
      </rPr>
      <t xml:space="preserve"> </t>
    </r>
    <r>
      <rPr>
        <b/>
        <sz val="12"/>
        <color rgb="FF000000"/>
        <rFont val="Times New Roman"/>
        <family val="1"/>
      </rPr>
      <t>47,</t>
    </r>
    <r>
      <rPr>
        <sz val="12"/>
        <color rgb="FF000000"/>
        <rFont val="Times New Roman"/>
        <family val="1"/>
      </rPr>
      <t xml:space="preserve"> 123–138 (1999).</t>
    </r>
  </si>
  <si>
    <r>
      <t xml:space="preserve">Fischler, M., Wortmann, C. S. &amp; Feil, B. Crotalaria (C-ochroleuca G Don) as a green manure in maize-bean cropping systems in Uganda. </t>
    </r>
    <r>
      <rPr>
        <i/>
        <sz val="12"/>
        <color rgb="FF000000"/>
        <rFont val="Times New Roman"/>
        <family val="1"/>
      </rPr>
      <t>F. Crop. Res.</t>
    </r>
    <r>
      <rPr>
        <sz val="12"/>
        <color rgb="FF000000"/>
        <rFont val="Times New Roman"/>
        <family val="1"/>
      </rPr>
      <t xml:space="preserve"> </t>
    </r>
    <r>
      <rPr>
        <b/>
        <sz val="12"/>
        <color rgb="FF000000"/>
        <rFont val="Times New Roman"/>
        <family val="1"/>
      </rPr>
      <t>61,</t>
    </r>
    <r>
      <rPr>
        <sz val="12"/>
        <color rgb="FF000000"/>
        <rFont val="Times New Roman"/>
        <family val="1"/>
      </rPr>
      <t xml:space="preserve"> 97–107 (1999).</t>
    </r>
  </si>
  <si>
    <r>
      <t xml:space="preserve">Fofana, B. </t>
    </r>
    <r>
      <rPr>
        <i/>
        <sz val="12"/>
        <color rgb="FF000000"/>
        <rFont val="Times New Roman"/>
        <family val="1"/>
      </rPr>
      <t>et al.</t>
    </r>
    <r>
      <rPr>
        <sz val="12"/>
        <color rgb="FF000000"/>
        <rFont val="Times New Roman"/>
        <family val="1"/>
      </rPr>
      <t xml:space="preserve"> Using mucuna and P fertilizer to increase maize grain yield and N fertilizer use efficiency in the coastal savanna of Togo.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68,</t>
    </r>
    <r>
      <rPr>
        <sz val="12"/>
        <color rgb="FF000000"/>
        <rFont val="Times New Roman"/>
        <family val="1"/>
      </rPr>
      <t xml:space="preserve"> 213–222 (2004).</t>
    </r>
  </si>
  <si>
    <r>
      <t xml:space="preserve">Franke, A. C., Schulz, S., Oyewole, B. D. &amp; Bako, S. Incorporating short-season legumes and green manure crops into maize-based systems in the moist Guinea savanna of West Africa. </t>
    </r>
    <r>
      <rPr>
        <i/>
        <sz val="12"/>
        <color rgb="FF000000"/>
        <rFont val="Times New Roman"/>
        <family val="1"/>
      </rPr>
      <t>Exp. Agric.</t>
    </r>
    <r>
      <rPr>
        <sz val="12"/>
        <color rgb="FF000000"/>
        <rFont val="Times New Roman"/>
        <family val="1"/>
      </rPr>
      <t xml:space="preserve"> </t>
    </r>
    <r>
      <rPr>
        <b/>
        <sz val="12"/>
        <color rgb="FF000000"/>
        <rFont val="Times New Roman"/>
        <family val="1"/>
      </rPr>
      <t>40,</t>
    </r>
    <r>
      <rPr>
        <sz val="12"/>
        <color rgb="FF000000"/>
        <rFont val="Times New Roman"/>
        <family val="1"/>
      </rPr>
      <t xml:space="preserve"> 463–479 (2004).</t>
    </r>
  </si>
  <si>
    <r>
      <t xml:space="preserve">Gacheru, E. &amp; Rao, M. R. The potential of planted shrub fallows to combat Striga infestation on maize. </t>
    </r>
    <r>
      <rPr>
        <i/>
        <sz val="12"/>
        <color rgb="FF000000"/>
        <rFont val="Times New Roman"/>
        <family val="1"/>
      </rPr>
      <t>Int. J. Pest Manag.</t>
    </r>
    <r>
      <rPr>
        <sz val="12"/>
        <color rgb="FF000000"/>
        <rFont val="Times New Roman"/>
        <family val="1"/>
      </rPr>
      <t xml:space="preserve"> </t>
    </r>
    <r>
      <rPr>
        <b/>
        <sz val="12"/>
        <color rgb="FF000000"/>
        <rFont val="Times New Roman"/>
        <family val="1"/>
      </rPr>
      <t>51,</t>
    </r>
    <r>
      <rPr>
        <sz val="12"/>
        <color rgb="FF000000"/>
        <rFont val="Times New Roman"/>
        <family val="1"/>
      </rPr>
      <t xml:space="preserve"> 91–100 (2005).</t>
    </r>
  </si>
  <si>
    <r>
      <t xml:space="preserve">Gichuru, M. P. Residual Effects of Natural Bush, Cajanus-Cajan and Tephrosia-Candida on the Productivity of an Acid Soil in Southeastern Nigeria. </t>
    </r>
    <r>
      <rPr>
        <i/>
        <sz val="12"/>
        <color rgb="FF000000"/>
        <rFont val="Times New Roman"/>
        <family val="1"/>
      </rPr>
      <t>Plant Soil</t>
    </r>
    <r>
      <rPr>
        <sz val="12"/>
        <color rgb="FF000000"/>
        <rFont val="Times New Roman"/>
        <family val="1"/>
      </rPr>
      <t xml:space="preserve"> </t>
    </r>
    <r>
      <rPr>
        <b/>
        <sz val="12"/>
        <color rgb="FF000000"/>
        <rFont val="Times New Roman"/>
        <family val="1"/>
      </rPr>
      <t>134,</t>
    </r>
    <r>
      <rPr>
        <sz val="12"/>
        <color rgb="FF000000"/>
        <rFont val="Times New Roman"/>
        <family val="1"/>
      </rPr>
      <t xml:space="preserve"> 31–36 (1991).</t>
    </r>
  </si>
  <si>
    <r>
      <t xml:space="preserve">Harawa, R., Lehmann, J., Akinnifesi, F., Fernandes, E. &amp; Kanyama-Phiri, G. Nitrogen dynamics in maize-based agroforestry systems as affected by landscape position in southern Malawi.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75,</t>
    </r>
    <r>
      <rPr>
        <sz val="12"/>
        <color rgb="FF000000"/>
        <rFont val="Times New Roman"/>
        <family val="1"/>
      </rPr>
      <t xml:space="preserve"> 271–284 (2006).</t>
    </r>
  </si>
  <si>
    <r>
      <t xml:space="preserve">Ikpe, F. N., Owoeye, L. G. &amp; Gichuru, M. P. Nutrient recycling potential of Tephrosia candida in cropping systems of southeastern Nigeria.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67,</t>
    </r>
    <r>
      <rPr>
        <sz val="12"/>
        <color rgb="FF000000"/>
        <rFont val="Times New Roman"/>
        <family val="1"/>
      </rPr>
      <t xml:space="preserve"> 129–136 (2003).</t>
    </r>
  </si>
  <si>
    <r>
      <t xml:space="preserve">Egbe, E. A., Ladipo, D. O., Nwoboshi, L. C. &amp; Swift, M. J. Potentials of Millettia thonningii and Pterocarpus santalinoides for alley cropping in humid lowlands of West Africa. </t>
    </r>
    <r>
      <rPr>
        <i/>
        <sz val="12"/>
        <color rgb="FF000000"/>
        <rFont val="Times New Roman"/>
        <family val="1"/>
      </rPr>
      <t>Agrofor. Syst.</t>
    </r>
    <r>
      <rPr>
        <sz val="12"/>
        <color rgb="FF000000"/>
        <rFont val="Times New Roman"/>
        <family val="1"/>
      </rPr>
      <t xml:space="preserve"> </t>
    </r>
    <r>
      <rPr>
        <b/>
        <sz val="12"/>
        <color rgb="FF000000"/>
        <rFont val="Times New Roman"/>
        <family val="1"/>
      </rPr>
      <t>40,</t>
    </r>
    <r>
      <rPr>
        <sz val="12"/>
        <color rgb="FF000000"/>
        <rFont val="Times New Roman"/>
        <family val="1"/>
      </rPr>
      <t xml:space="preserve"> 309–321 (1998).</t>
    </r>
  </si>
  <si>
    <r>
      <t xml:space="preserve">Jama, B., Swinkels, R. A. &amp; Buresh., R. J. Agronomic and economic evaluation of organic and inorganic sources of phosphorus in western Kenya. </t>
    </r>
    <r>
      <rPr>
        <i/>
        <sz val="12"/>
        <color rgb="FF000000"/>
        <rFont val="Times New Roman"/>
        <family val="1"/>
      </rPr>
      <t>Agron. J.</t>
    </r>
    <r>
      <rPr>
        <sz val="12"/>
        <color rgb="FF000000"/>
        <rFont val="Times New Roman"/>
        <family val="1"/>
      </rPr>
      <t xml:space="preserve"> </t>
    </r>
    <r>
      <rPr>
        <b/>
        <sz val="12"/>
        <color rgb="FF000000"/>
        <rFont val="Times New Roman"/>
        <family val="1"/>
      </rPr>
      <t>89,</t>
    </r>
    <r>
      <rPr>
        <sz val="12"/>
        <color rgb="FF000000"/>
        <rFont val="Times New Roman"/>
        <family val="1"/>
      </rPr>
      <t xml:space="preserve"> 597–604 (1997).</t>
    </r>
  </si>
  <si>
    <r>
      <t xml:space="preserve">Jama, B., Buresh, R. J. &amp; Place, F. M. Sesbania tree fallows on phosphorus-deficient sites: Maize yield and financial benefit. </t>
    </r>
    <r>
      <rPr>
        <i/>
        <sz val="12"/>
        <color rgb="FF000000"/>
        <rFont val="Times New Roman"/>
        <family val="1"/>
      </rPr>
      <t>Agron. J.</t>
    </r>
    <r>
      <rPr>
        <sz val="12"/>
        <color rgb="FF000000"/>
        <rFont val="Times New Roman"/>
        <family val="1"/>
      </rPr>
      <t xml:space="preserve"> </t>
    </r>
    <r>
      <rPr>
        <b/>
        <sz val="12"/>
        <color rgb="FF000000"/>
        <rFont val="Times New Roman"/>
        <family val="1"/>
      </rPr>
      <t>90,</t>
    </r>
    <r>
      <rPr>
        <sz val="12"/>
        <color rgb="FF000000"/>
        <rFont val="Times New Roman"/>
        <family val="1"/>
      </rPr>
      <t xml:space="preserve"> 717–726 (1998).</t>
    </r>
  </si>
  <si>
    <r>
      <t xml:space="preserve">Jeranyama, P., Hesterman, O. B., Waddington, S. R. &amp; Harwood, R. R. Relay-intercropping of sunnhemp and cowpea into a smallholder maize system in Zimbabwe. </t>
    </r>
    <r>
      <rPr>
        <i/>
        <sz val="12"/>
        <color rgb="FF000000"/>
        <rFont val="Times New Roman"/>
        <family val="1"/>
      </rPr>
      <t>Agron. J.</t>
    </r>
    <r>
      <rPr>
        <sz val="12"/>
        <color rgb="FF000000"/>
        <rFont val="Times New Roman"/>
        <family val="1"/>
      </rPr>
      <t xml:space="preserve"> </t>
    </r>
    <r>
      <rPr>
        <b/>
        <sz val="12"/>
        <color rgb="FF000000"/>
        <rFont val="Times New Roman"/>
        <family val="1"/>
      </rPr>
      <t>92,</t>
    </r>
    <r>
      <rPr>
        <sz val="12"/>
        <color rgb="FF000000"/>
        <rFont val="Times New Roman"/>
        <family val="1"/>
      </rPr>
      <t xml:space="preserve"> 239–244 (2000).</t>
    </r>
  </si>
  <si>
    <r>
      <t xml:space="preserve">Kaho, F., Yemefack, M., Nguimgo, B. A. K. &amp; Zonkeng, C. G. The Effect of Short Rotation Desmodium distortum Planted Fallow on the Productivity of Uitisols in Centre Cameroon. </t>
    </r>
    <r>
      <rPr>
        <i/>
        <sz val="12"/>
        <color rgb="FF000000"/>
        <rFont val="Times New Roman"/>
        <family val="1"/>
      </rPr>
      <t>Tropicultura</t>
    </r>
    <r>
      <rPr>
        <sz val="12"/>
        <color rgb="FF000000"/>
        <rFont val="Times New Roman"/>
        <family val="1"/>
      </rPr>
      <t xml:space="preserve"> </t>
    </r>
    <r>
      <rPr>
        <b/>
        <sz val="12"/>
        <color rgb="FF000000"/>
        <rFont val="Times New Roman"/>
        <family val="1"/>
      </rPr>
      <t>22,</t>
    </r>
    <r>
      <rPr>
        <sz val="12"/>
        <color rgb="FF000000"/>
        <rFont val="Times New Roman"/>
        <family val="1"/>
      </rPr>
      <t xml:space="preserve"> 49–55 (2004).</t>
    </r>
  </si>
  <si>
    <r>
      <t xml:space="preserve">Kaizzi, C. K., Ssali, H. &amp; Vlek, P. L. G. Differential use and benefits of Velvet bean (Mucuna pruriens var. utilis) and N fertilizers in maize production in contrasting agro-ecological zones of E. Uganda. </t>
    </r>
    <r>
      <rPr>
        <i/>
        <sz val="12"/>
        <color rgb="FF000000"/>
        <rFont val="Times New Roman"/>
        <family val="1"/>
      </rPr>
      <t>Agric. Syst.</t>
    </r>
    <r>
      <rPr>
        <sz val="12"/>
        <color rgb="FF000000"/>
        <rFont val="Times New Roman"/>
        <family val="1"/>
      </rPr>
      <t xml:space="preserve"> </t>
    </r>
    <r>
      <rPr>
        <b/>
        <sz val="12"/>
        <color rgb="FF000000"/>
        <rFont val="Times New Roman"/>
        <family val="1"/>
      </rPr>
      <t>88,</t>
    </r>
    <r>
      <rPr>
        <sz val="12"/>
        <color rgb="FF000000"/>
        <rFont val="Times New Roman"/>
        <family val="1"/>
      </rPr>
      <t xml:space="preserve"> 44–60 (2006).</t>
    </r>
  </si>
  <si>
    <r>
      <t xml:space="preserve">Kamanga, B. C. G., G. Y. K.-P. &amp; Minae, S. Intercropping perennial legumes for green manure additions to maize in southern Malawi. </t>
    </r>
    <r>
      <rPr>
        <i/>
        <sz val="12"/>
        <color rgb="FF000000"/>
        <rFont val="Times New Roman"/>
        <family val="1"/>
      </rPr>
      <t>African Crop Sci. J.</t>
    </r>
    <r>
      <rPr>
        <sz val="12"/>
        <color rgb="FF000000"/>
        <rFont val="Times New Roman"/>
        <family val="1"/>
      </rPr>
      <t xml:space="preserve"> </t>
    </r>
    <r>
      <rPr>
        <b/>
        <sz val="12"/>
        <color rgb="FF000000"/>
        <rFont val="Times New Roman"/>
        <family val="1"/>
      </rPr>
      <t>7,</t>
    </r>
    <r>
      <rPr>
        <sz val="12"/>
        <color rgb="FF000000"/>
        <rFont val="Times New Roman"/>
        <family val="1"/>
      </rPr>
      <t xml:space="preserve"> 355–363 (1999).</t>
    </r>
  </si>
  <si>
    <r>
      <t xml:space="preserve">König, D. The potential of agroforestry methods for erosion control in Rwanda. </t>
    </r>
    <r>
      <rPr>
        <i/>
        <sz val="12"/>
        <color rgb="FF000000"/>
        <rFont val="Times New Roman"/>
        <family val="1"/>
      </rPr>
      <t>Soil Technol.</t>
    </r>
    <r>
      <rPr>
        <sz val="12"/>
        <color rgb="FF000000"/>
        <rFont val="Times New Roman"/>
        <family val="1"/>
      </rPr>
      <t xml:space="preserve"> </t>
    </r>
    <r>
      <rPr>
        <b/>
        <sz val="12"/>
        <color rgb="FF000000"/>
        <rFont val="Times New Roman"/>
        <family val="1"/>
      </rPr>
      <t>5,</t>
    </r>
    <r>
      <rPr>
        <sz val="12"/>
        <color rgb="FF000000"/>
        <rFont val="Times New Roman"/>
        <family val="1"/>
      </rPr>
      <t xml:space="preserve"> 167–176 (1992).</t>
    </r>
  </si>
  <si>
    <r>
      <t xml:space="preserve">Kwesiga, F. &amp; Coe, R. The effect of short rotation Sesbania sesban planted fallows on maize yield. </t>
    </r>
    <r>
      <rPr>
        <i/>
        <sz val="12"/>
        <color rgb="FF000000"/>
        <rFont val="Times New Roman"/>
        <family val="1"/>
      </rPr>
      <t>For. Ecol. Manage.</t>
    </r>
    <r>
      <rPr>
        <sz val="12"/>
        <color rgb="FF000000"/>
        <rFont val="Times New Roman"/>
        <family val="1"/>
      </rPr>
      <t xml:space="preserve"> </t>
    </r>
    <r>
      <rPr>
        <b/>
        <sz val="12"/>
        <color rgb="FF000000"/>
        <rFont val="Times New Roman"/>
        <family val="1"/>
      </rPr>
      <t>64,</t>
    </r>
    <r>
      <rPr>
        <sz val="12"/>
        <color rgb="FF000000"/>
        <rFont val="Times New Roman"/>
        <family val="1"/>
      </rPr>
      <t xml:space="preserve"> 199–208 (1994).</t>
    </r>
  </si>
  <si>
    <r>
      <t xml:space="preserve">Kwesiga, F. R., Franzel, S., Place, F., Phiri, D. &amp; Simwanza, C. P. Sesbania sesban improved fallows in eastern Zambia: Their inception, development and farmer enthusiasm. </t>
    </r>
    <r>
      <rPr>
        <i/>
        <sz val="12"/>
        <color rgb="FF000000"/>
        <rFont val="Times New Roman"/>
        <family val="1"/>
      </rPr>
      <t>Agrofor. Syst.</t>
    </r>
    <r>
      <rPr>
        <sz val="12"/>
        <color rgb="FF000000"/>
        <rFont val="Times New Roman"/>
        <family val="1"/>
      </rPr>
      <t xml:space="preserve"> </t>
    </r>
    <r>
      <rPr>
        <b/>
        <sz val="12"/>
        <color rgb="FF000000"/>
        <rFont val="Times New Roman"/>
        <family val="1"/>
      </rPr>
      <t>47,</t>
    </r>
    <r>
      <rPr>
        <sz val="12"/>
        <color rgb="FF000000"/>
        <rFont val="Times New Roman"/>
        <family val="1"/>
      </rPr>
      <t xml:space="preserve"> 49–66 (1999).</t>
    </r>
  </si>
  <si>
    <r>
      <t xml:space="preserve">Lal, R. Agroforestry Systems and Soil Surface Management of a Tropical Alfisol .2. Water Runoff, Soil-Erosion, and Nutrient Loss. </t>
    </r>
    <r>
      <rPr>
        <i/>
        <sz val="12"/>
        <color rgb="FF000000"/>
        <rFont val="Times New Roman"/>
        <family val="1"/>
      </rPr>
      <t>Agroforest Syst</t>
    </r>
    <r>
      <rPr>
        <sz val="12"/>
        <color rgb="FF000000"/>
        <rFont val="Times New Roman"/>
        <family val="1"/>
      </rPr>
      <t xml:space="preserve"> </t>
    </r>
    <r>
      <rPr>
        <b/>
        <sz val="12"/>
        <color rgb="FF000000"/>
        <rFont val="Times New Roman"/>
        <family val="1"/>
      </rPr>
      <t>8,</t>
    </r>
    <r>
      <rPr>
        <sz val="12"/>
        <color rgb="FF000000"/>
        <rFont val="Times New Roman"/>
        <family val="1"/>
      </rPr>
      <t xml:space="preserve"> 97–111 (1989).</t>
    </r>
  </si>
  <si>
    <r>
      <t xml:space="preserve">Maccoll, D. Studies on maize (Zea mays) at Bunda, Malawi. III. Yield in rotations with pasture legumes. </t>
    </r>
    <r>
      <rPr>
        <i/>
        <sz val="12"/>
        <color rgb="FF000000"/>
        <rFont val="Times New Roman"/>
        <family val="1"/>
      </rPr>
      <t>Exp. Agric.</t>
    </r>
    <r>
      <rPr>
        <sz val="12"/>
        <color rgb="FF000000"/>
        <rFont val="Times New Roman"/>
        <family val="1"/>
      </rPr>
      <t xml:space="preserve"> </t>
    </r>
    <r>
      <rPr>
        <b/>
        <sz val="12"/>
        <color rgb="FF000000"/>
        <rFont val="Times New Roman"/>
        <family val="1"/>
      </rPr>
      <t>26,</t>
    </r>
    <r>
      <rPr>
        <sz val="12"/>
        <color rgb="FF000000"/>
        <rFont val="Times New Roman"/>
        <family val="1"/>
      </rPr>
      <t xml:space="preserve"> 263–271 (1990).</t>
    </r>
  </si>
  <si>
    <r>
      <t xml:space="preserve">Mafongoya, P. &amp; Dzowela, B. Biomass production of tree fallows and their residual effect on maize in Zimbabwe. </t>
    </r>
    <r>
      <rPr>
        <i/>
        <sz val="12"/>
        <color rgb="FF000000"/>
        <rFont val="Times New Roman"/>
        <family val="1"/>
      </rPr>
      <t>Agrofor. Syst.</t>
    </r>
    <r>
      <rPr>
        <sz val="12"/>
        <color rgb="FF000000"/>
        <rFont val="Times New Roman"/>
        <family val="1"/>
      </rPr>
      <t xml:space="preserve"> </t>
    </r>
    <r>
      <rPr>
        <b/>
        <sz val="12"/>
        <color rgb="FF000000"/>
        <rFont val="Times New Roman"/>
        <family val="1"/>
      </rPr>
      <t>47,</t>
    </r>
    <r>
      <rPr>
        <sz val="12"/>
        <color rgb="FF000000"/>
        <rFont val="Times New Roman"/>
        <family val="1"/>
      </rPr>
      <t xml:space="preserve"> 139–151 (1999).</t>
    </r>
  </si>
  <si>
    <r>
      <t xml:space="preserve">Mafongoya, P. L., Bationo, A., Kihara, J. &amp; Waswa, B. S. Appropriate technologies to replenish soil fertility in southern Africa.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76,</t>
    </r>
    <r>
      <rPr>
        <sz val="12"/>
        <color rgb="FF000000"/>
        <rFont val="Times New Roman"/>
        <family val="1"/>
      </rPr>
      <t xml:space="preserve"> 137–151 (2006).</t>
    </r>
  </si>
  <si>
    <r>
      <t xml:space="preserve">Maroko, J. B., Buresh, R. J. &amp; Smithson, P. C. Soil Phosphorus Fractions in Unfertilized Fallow-Maize Systems on Two Tropical Soils. </t>
    </r>
    <r>
      <rPr>
        <i/>
        <sz val="12"/>
        <color rgb="FF000000"/>
        <rFont val="Times New Roman"/>
        <family val="1"/>
      </rPr>
      <t>Soil Sci. Soc. Am. J.</t>
    </r>
    <r>
      <rPr>
        <sz val="12"/>
        <color rgb="FF000000"/>
        <rFont val="Times New Roman"/>
        <family val="1"/>
      </rPr>
      <t xml:space="preserve"> </t>
    </r>
    <r>
      <rPr>
        <b/>
        <sz val="12"/>
        <color rgb="FF000000"/>
        <rFont val="Times New Roman"/>
        <family val="1"/>
      </rPr>
      <t>63,</t>
    </r>
    <r>
      <rPr>
        <sz val="12"/>
        <color rgb="FF000000"/>
        <rFont val="Times New Roman"/>
        <family val="1"/>
      </rPr>
      <t xml:space="preserve"> 320 (1999).</t>
    </r>
  </si>
  <si>
    <r>
      <t xml:space="preserve">Morse, S. &amp; McNamara, N. Factors affecting the adoption of leguminous cover crops in Nigeria and a comparison with the adoption of new crop varieties. </t>
    </r>
    <r>
      <rPr>
        <i/>
        <sz val="12"/>
        <color rgb="FF000000"/>
        <rFont val="Times New Roman"/>
        <family val="1"/>
      </rPr>
      <t>Exp. Agric.</t>
    </r>
    <r>
      <rPr>
        <sz val="12"/>
        <color rgb="FF000000"/>
        <rFont val="Times New Roman"/>
        <family val="1"/>
      </rPr>
      <t xml:space="preserve"> </t>
    </r>
    <r>
      <rPr>
        <b/>
        <sz val="12"/>
        <color rgb="FF000000"/>
        <rFont val="Times New Roman"/>
        <family val="1"/>
      </rPr>
      <t>39,</t>
    </r>
    <r>
      <rPr>
        <sz val="12"/>
        <color rgb="FF000000"/>
        <rFont val="Times New Roman"/>
        <family val="1"/>
      </rPr>
      <t xml:space="preserve"> 81–97 (2003).</t>
    </r>
  </si>
  <si>
    <r>
      <t xml:space="preserve">Muleba, N. Effects of cowpea, crotalaria and sorghum crops and phosphorus fertilizers on maize productivity in semi-arid West Africa. </t>
    </r>
    <r>
      <rPr>
        <i/>
        <sz val="12"/>
        <color rgb="FF000000"/>
        <rFont val="Times New Roman"/>
        <family val="1"/>
      </rPr>
      <t>J. Agric. Sci.</t>
    </r>
    <r>
      <rPr>
        <sz val="12"/>
        <color rgb="FF000000"/>
        <rFont val="Times New Roman"/>
        <family val="1"/>
      </rPr>
      <t xml:space="preserve"> </t>
    </r>
    <r>
      <rPr>
        <b/>
        <sz val="12"/>
        <color rgb="FF000000"/>
        <rFont val="Times New Roman"/>
        <family val="1"/>
      </rPr>
      <t>132,</t>
    </r>
    <r>
      <rPr>
        <sz val="12"/>
        <color rgb="FF000000"/>
        <rFont val="Times New Roman"/>
        <family val="1"/>
      </rPr>
      <t xml:space="preserve"> 61–70 (1999).</t>
    </r>
  </si>
  <si>
    <r>
      <t xml:space="preserve">Niang, A. I., Amadalo, B. A., De Wolf, J. &amp; Gathumbi, S. M. Species screening for short-term planted fallows in the highlands of western Kenya. </t>
    </r>
    <r>
      <rPr>
        <i/>
        <sz val="12"/>
        <color rgb="FF000000"/>
        <rFont val="Times New Roman"/>
        <family val="1"/>
      </rPr>
      <t>Agrofor. Syst.</t>
    </r>
    <r>
      <rPr>
        <sz val="12"/>
        <color rgb="FF000000"/>
        <rFont val="Times New Roman"/>
        <family val="1"/>
      </rPr>
      <t xml:space="preserve"> </t>
    </r>
    <r>
      <rPr>
        <b/>
        <sz val="12"/>
        <color rgb="FF000000"/>
        <rFont val="Times New Roman"/>
        <family val="1"/>
      </rPr>
      <t>56,</t>
    </r>
    <r>
      <rPr>
        <sz val="12"/>
        <color rgb="FF000000"/>
        <rFont val="Times New Roman"/>
        <family val="1"/>
      </rPr>
      <t xml:space="preserve"> 145–154 (2002).</t>
    </r>
  </si>
  <si>
    <r>
      <t xml:space="preserve">Njunie, M. N. &amp; Wagger, M. G. Use of Herbaceous Legumes for Improving Soil Fertility and Crop Yield in Maize Cassava Cropping Systems. </t>
    </r>
    <r>
      <rPr>
        <i/>
        <sz val="12"/>
        <color rgb="FF000000"/>
        <rFont val="Times New Roman"/>
        <family val="1"/>
      </rPr>
      <t>East African Agric. For. J.</t>
    </r>
    <r>
      <rPr>
        <sz val="12"/>
        <color rgb="FF000000"/>
        <rFont val="Times New Roman"/>
        <family val="1"/>
      </rPr>
      <t xml:space="preserve"> </t>
    </r>
    <r>
      <rPr>
        <b/>
        <sz val="12"/>
        <color rgb="FF000000"/>
        <rFont val="Times New Roman"/>
        <family val="1"/>
      </rPr>
      <t>69,</t>
    </r>
    <r>
      <rPr>
        <sz val="12"/>
        <color rgb="FF000000"/>
        <rFont val="Times New Roman"/>
        <family val="1"/>
      </rPr>
      <t xml:space="preserve"> 49–61 (2003).</t>
    </r>
  </si>
  <si>
    <r>
      <t xml:space="preserve">Nyadzi, G. I. </t>
    </r>
    <r>
      <rPr>
        <i/>
        <sz val="12"/>
        <color rgb="FF000000"/>
        <rFont val="Times New Roman"/>
        <family val="1"/>
      </rPr>
      <t>et al.</t>
    </r>
    <r>
      <rPr>
        <sz val="12"/>
        <color rgb="FF000000"/>
        <rFont val="Times New Roman"/>
        <family val="1"/>
      </rPr>
      <t xml:space="preserve"> Rotational woodlot technology in northwestern Tanzania: Tree species and crop performance. </t>
    </r>
    <r>
      <rPr>
        <i/>
        <sz val="12"/>
        <color rgb="FF000000"/>
        <rFont val="Times New Roman"/>
        <family val="1"/>
      </rPr>
      <t>Agrofor. Syst.</t>
    </r>
    <r>
      <rPr>
        <sz val="12"/>
        <color rgb="FF000000"/>
        <rFont val="Times New Roman"/>
        <family val="1"/>
      </rPr>
      <t xml:space="preserve"> </t>
    </r>
    <r>
      <rPr>
        <b/>
        <sz val="12"/>
        <color rgb="FF000000"/>
        <rFont val="Times New Roman"/>
        <family val="1"/>
      </rPr>
      <t>59,</t>
    </r>
    <r>
      <rPr>
        <sz val="12"/>
        <color rgb="FF000000"/>
        <rFont val="Times New Roman"/>
        <family val="1"/>
      </rPr>
      <t xml:space="preserve"> 253–263 (2003).</t>
    </r>
  </si>
  <si>
    <r>
      <t xml:space="preserve">Onim, J. F. M., Mathuva, M., Otieno, K. &amp; Fitzhugh, H. A. Soil fertility changes and response of maize and beans to green manures of leucaena, sesbania and pigeonpea. </t>
    </r>
    <r>
      <rPr>
        <i/>
        <sz val="12"/>
        <color rgb="FF000000"/>
        <rFont val="Times New Roman"/>
        <family val="1"/>
      </rPr>
      <t>Agrofor. Syst.</t>
    </r>
    <r>
      <rPr>
        <sz val="12"/>
        <color rgb="FF000000"/>
        <rFont val="Times New Roman"/>
        <family val="1"/>
      </rPr>
      <t xml:space="preserve"> </t>
    </r>
    <r>
      <rPr>
        <b/>
        <sz val="12"/>
        <color rgb="FF000000"/>
        <rFont val="Times New Roman"/>
        <family val="1"/>
      </rPr>
      <t>12,</t>
    </r>
    <r>
      <rPr>
        <sz val="12"/>
        <color rgb="FF000000"/>
        <rFont val="Times New Roman"/>
        <family val="1"/>
      </rPr>
      <t xml:space="preserve"> 197–215 (1990).</t>
    </r>
  </si>
  <si>
    <r>
      <t xml:space="preserve">Phiri,  a D. K. &amp; Snapp, S. Maize and sesbania production in relay cropping at three landscape positions in Malawi. </t>
    </r>
    <r>
      <rPr>
        <i/>
        <sz val="12"/>
        <color rgb="FF000000"/>
        <rFont val="Times New Roman"/>
        <family val="1"/>
      </rPr>
      <t>Agrofor. Syst.</t>
    </r>
    <r>
      <rPr>
        <sz val="12"/>
        <color rgb="FF000000"/>
        <rFont val="Times New Roman"/>
        <family val="1"/>
      </rPr>
      <t xml:space="preserve"> </t>
    </r>
    <r>
      <rPr>
        <b/>
        <sz val="12"/>
        <color rgb="FF000000"/>
        <rFont val="Times New Roman"/>
        <family val="1"/>
      </rPr>
      <t>47,</t>
    </r>
    <r>
      <rPr>
        <sz val="12"/>
        <color rgb="FF000000"/>
        <rFont val="Times New Roman"/>
        <family val="1"/>
      </rPr>
      <t xml:space="preserve"> 153–162 (1999).</t>
    </r>
  </si>
  <si>
    <r>
      <t xml:space="preserve">Phiri, R. H., Kanyama-Phiri, G. Y. &amp; Snapp, S. Soil nitrate dynamics in relation to nitrogen source and landscape position in Malawi. </t>
    </r>
    <r>
      <rPr>
        <i/>
        <sz val="12"/>
        <color rgb="FF000000"/>
        <rFont val="Times New Roman"/>
        <family val="1"/>
      </rPr>
      <t>Agrofor. Syst.</t>
    </r>
    <r>
      <rPr>
        <sz val="12"/>
        <color rgb="FF000000"/>
        <rFont val="Times New Roman"/>
        <family val="1"/>
      </rPr>
      <t xml:space="preserve"> </t>
    </r>
    <r>
      <rPr>
        <b/>
        <sz val="12"/>
        <color rgb="FF000000"/>
        <rFont val="Times New Roman"/>
        <family val="1"/>
      </rPr>
      <t>47,</t>
    </r>
    <r>
      <rPr>
        <sz val="12"/>
        <color rgb="FF000000"/>
        <rFont val="Times New Roman"/>
        <family val="1"/>
      </rPr>
      <t xml:space="preserve"> 253–262 (1999).</t>
    </r>
  </si>
  <si>
    <r>
      <t xml:space="preserve">Phiri, E., Verplancke, H., Kwesiga, F. &amp; Mafongoya, P. Water balance and maize yield following improved sesbania fallow in eastern Zambia. </t>
    </r>
    <r>
      <rPr>
        <i/>
        <sz val="12"/>
        <color rgb="FF000000"/>
        <rFont val="Times New Roman"/>
        <family val="1"/>
      </rPr>
      <t>Agrofor. Syst.</t>
    </r>
    <r>
      <rPr>
        <sz val="12"/>
        <color rgb="FF000000"/>
        <rFont val="Times New Roman"/>
        <family val="1"/>
      </rPr>
      <t xml:space="preserve"> </t>
    </r>
    <r>
      <rPr>
        <b/>
        <sz val="12"/>
        <color rgb="FF000000"/>
        <rFont val="Times New Roman"/>
        <family val="1"/>
      </rPr>
      <t>59,</t>
    </r>
    <r>
      <rPr>
        <sz val="12"/>
        <color rgb="FF000000"/>
        <rFont val="Times New Roman"/>
        <family val="1"/>
      </rPr>
      <t xml:space="preserve"> 197–205 (2003).</t>
    </r>
  </si>
  <si>
    <r>
      <t xml:space="preserve">Rao, M. R. </t>
    </r>
    <r>
      <rPr>
        <i/>
        <sz val="12"/>
        <color rgb="FF000000"/>
        <rFont val="Times New Roman"/>
        <family val="1"/>
      </rPr>
      <t>et al.</t>
    </r>
    <r>
      <rPr>
        <sz val="12"/>
        <color rgb="FF000000"/>
        <rFont val="Times New Roman"/>
        <family val="1"/>
      </rPr>
      <t xml:space="preserve"> Duration of sesbania fallow effect for nitrogen requirement of maize in planted fallow-maize rotation in Western Kenya. </t>
    </r>
    <r>
      <rPr>
        <i/>
        <sz val="12"/>
        <color rgb="FF000000"/>
        <rFont val="Times New Roman"/>
        <family val="1"/>
      </rPr>
      <t>Exp. Agric.</t>
    </r>
    <r>
      <rPr>
        <sz val="12"/>
        <color rgb="FF000000"/>
        <rFont val="Times New Roman"/>
        <family val="1"/>
      </rPr>
      <t xml:space="preserve"> </t>
    </r>
    <r>
      <rPr>
        <b/>
        <sz val="12"/>
        <color rgb="FF000000"/>
        <rFont val="Times New Roman"/>
        <family val="1"/>
      </rPr>
      <t>38,</t>
    </r>
    <r>
      <rPr>
        <sz val="12"/>
        <color rgb="FF000000"/>
        <rFont val="Times New Roman"/>
        <family val="1"/>
      </rPr>
      <t xml:space="preserve"> 223–236 (2002).</t>
    </r>
  </si>
  <si>
    <r>
      <t xml:space="preserve">Myaka, F. M. </t>
    </r>
    <r>
      <rPr>
        <i/>
        <sz val="12"/>
        <color rgb="FF000000"/>
        <rFont val="Times New Roman"/>
        <family val="1"/>
      </rPr>
      <t>et al.</t>
    </r>
    <r>
      <rPr>
        <sz val="12"/>
        <color rgb="FF000000"/>
        <rFont val="Times New Roman"/>
        <family val="1"/>
      </rPr>
      <t xml:space="preserve"> Yields and accumulations of N and P in farmer-managed intercrops of maize-pigeonpea in semi-arid Africa. </t>
    </r>
    <r>
      <rPr>
        <i/>
        <sz val="12"/>
        <color rgb="FF000000"/>
        <rFont val="Times New Roman"/>
        <family val="1"/>
      </rPr>
      <t>Plant Soil</t>
    </r>
    <r>
      <rPr>
        <sz val="12"/>
        <color rgb="FF000000"/>
        <rFont val="Times New Roman"/>
        <family val="1"/>
      </rPr>
      <t xml:space="preserve"> </t>
    </r>
    <r>
      <rPr>
        <b/>
        <sz val="12"/>
        <color rgb="FF000000"/>
        <rFont val="Times New Roman"/>
        <family val="1"/>
      </rPr>
      <t>285,</t>
    </r>
    <r>
      <rPr>
        <sz val="12"/>
        <color rgb="FF000000"/>
        <rFont val="Times New Roman"/>
        <family val="1"/>
      </rPr>
      <t xml:space="preserve"> 207–220 (2006).</t>
    </r>
  </si>
  <si>
    <r>
      <t xml:space="preserve">Sakala, W. D., Kumwenda, J. D. T. &amp; Saka, A. R. The potential of green manure to increase soil fertility and maize yield.". </t>
    </r>
    <r>
      <rPr>
        <i/>
        <sz val="12"/>
        <color rgb="FF000000"/>
        <rFont val="Times New Roman"/>
        <family val="1"/>
      </rPr>
      <t>Biol. Agric. Hortic.</t>
    </r>
    <r>
      <rPr>
        <sz val="12"/>
        <color rgb="FF000000"/>
        <rFont val="Times New Roman"/>
        <family val="1"/>
      </rPr>
      <t xml:space="preserve"> </t>
    </r>
    <r>
      <rPr>
        <b/>
        <sz val="12"/>
        <color rgb="FF000000"/>
        <rFont val="Times New Roman"/>
        <family val="1"/>
      </rPr>
      <t>2,</t>
    </r>
    <r>
      <rPr>
        <sz val="12"/>
        <color rgb="FF000000"/>
        <rFont val="Times New Roman"/>
        <family val="1"/>
      </rPr>
      <t xml:space="preserve"> 121–130 (2003).</t>
    </r>
  </si>
  <si>
    <r>
      <t xml:space="preserve">Shirima, D. S., Otsyina, R., Mwageni, W. P. &amp; Bridge, J. Effect of natural and Sesbania fallows and crop rotations on the incidence of root-knot nematodes and tobacco production in Tabora, Tanzania. </t>
    </r>
    <r>
      <rPr>
        <i/>
        <sz val="12"/>
        <color rgb="FF000000"/>
        <rFont val="Times New Roman"/>
        <family val="1"/>
      </rPr>
      <t>Int. J. Nematol.</t>
    </r>
    <r>
      <rPr>
        <sz val="12"/>
        <color rgb="FF000000"/>
        <rFont val="Times New Roman"/>
        <family val="1"/>
      </rPr>
      <t xml:space="preserve"> </t>
    </r>
    <r>
      <rPr>
        <b/>
        <sz val="12"/>
        <color rgb="FF000000"/>
        <rFont val="Times New Roman"/>
        <family val="1"/>
      </rPr>
      <t>10,</t>
    </r>
    <r>
      <rPr>
        <sz val="12"/>
        <color rgb="FF000000"/>
        <rFont val="Times New Roman"/>
        <family val="1"/>
      </rPr>
      <t xml:space="preserve"> 49–54 (2000).</t>
    </r>
  </si>
  <si>
    <r>
      <t xml:space="preserve">Sileshi, G. &amp; Mafongoya, P. L. Effect of rotational fallows on abundance of soil insects and weeds in maize crops in eastern Zambia. </t>
    </r>
    <r>
      <rPr>
        <i/>
        <sz val="12"/>
        <color rgb="FF000000"/>
        <rFont val="Times New Roman"/>
        <family val="1"/>
      </rPr>
      <t>Appl. Soil Ecol.</t>
    </r>
    <r>
      <rPr>
        <sz val="12"/>
        <color rgb="FF000000"/>
        <rFont val="Times New Roman"/>
        <family val="1"/>
      </rPr>
      <t xml:space="preserve"> </t>
    </r>
    <r>
      <rPr>
        <b/>
        <sz val="12"/>
        <color rgb="FF000000"/>
        <rFont val="Times New Roman"/>
        <family val="1"/>
      </rPr>
      <t>23,</t>
    </r>
    <r>
      <rPr>
        <sz val="12"/>
        <color rgb="FF000000"/>
        <rFont val="Times New Roman"/>
        <family val="1"/>
      </rPr>
      <t xml:space="preserve"> 211–222 (2003).</t>
    </r>
  </si>
  <si>
    <r>
      <t xml:space="preserve">Sileshi, G. &amp; Mafongoya, P. L. Long-term effects of improved legume fallows on soil invertebrate macrofauna and maize yield in eastern Zambia.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115,</t>
    </r>
    <r>
      <rPr>
        <sz val="12"/>
        <color rgb="FF000000"/>
        <rFont val="Times New Roman"/>
        <family val="1"/>
      </rPr>
      <t xml:space="preserve"> 69–78 (2006).</t>
    </r>
  </si>
  <si>
    <r>
      <t xml:space="preserve">Sileshi, G. &amp; Mafongoya, P. L. Variation in macrofaunal communities under contrasting land use systems in eastern Zambia. </t>
    </r>
    <r>
      <rPr>
        <i/>
        <sz val="12"/>
        <color rgb="FF000000"/>
        <rFont val="Times New Roman"/>
        <family val="1"/>
      </rPr>
      <t>Appl. Soil Ecol.</t>
    </r>
    <r>
      <rPr>
        <sz val="12"/>
        <color rgb="FF000000"/>
        <rFont val="Times New Roman"/>
        <family val="1"/>
      </rPr>
      <t xml:space="preserve"> </t>
    </r>
    <r>
      <rPr>
        <b/>
        <sz val="12"/>
        <color rgb="FF000000"/>
        <rFont val="Times New Roman"/>
        <family val="1"/>
      </rPr>
      <t>33,</t>
    </r>
    <r>
      <rPr>
        <sz val="12"/>
        <color rgb="FF000000"/>
        <rFont val="Times New Roman"/>
        <family val="1"/>
      </rPr>
      <t xml:space="preserve"> 49–60 (2006).</t>
    </r>
  </si>
  <si>
    <r>
      <t xml:space="preserve">Sileshi, G., Mafongoya, P. L., Kwesiga, F. &amp; Nkunika, P. Termite damage to maize grown in agroforestry systems, traditional fallows and monoculture on nitrogen-limited soils in eastern Zambia. </t>
    </r>
    <r>
      <rPr>
        <i/>
        <sz val="12"/>
        <color rgb="FF000000"/>
        <rFont val="Times New Roman"/>
        <family val="1"/>
      </rPr>
      <t>Agric. For. Entomol.</t>
    </r>
    <r>
      <rPr>
        <sz val="12"/>
        <color rgb="FF000000"/>
        <rFont val="Times New Roman"/>
        <family val="1"/>
      </rPr>
      <t xml:space="preserve"> </t>
    </r>
    <r>
      <rPr>
        <b/>
        <sz val="12"/>
        <color rgb="FF000000"/>
        <rFont val="Times New Roman"/>
        <family val="1"/>
      </rPr>
      <t>7,</t>
    </r>
    <r>
      <rPr>
        <sz val="12"/>
        <color rgb="FF000000"/>
        <rFont val="Times New Roman"/>
        <family val="1"/>
      </rPr>
      <t xml:space="preserve"> 61–69 (2005).</t>
    </r>
  </si>
  <si>
    <r>
      <t xml:space="preserve">Thor Smestad, B., Tiessen, H. &amp; Buresh, R. J. Short fallows of Tithonia diversifolia and Crotalaria grahamiana for soil fertility improvement in western Kenya. </t>
    </r>
    <r>
      <rPr>
        <i/>
        <sz val="12"/>
        <color rgb="FF000000"/>
        <rFont val="Times New Roman"/>
        <family val="1"/>
      </rPr>
      <t>Agrofor. Syst.</t>
    </r>
    <r>
      <rPr>
        <sz val="12"/>
        <color rgb="FF000000"/>
        <rFont val="Times New Roman"/>
        <family val="1"/>
      </rPr>
      <t xml:space="preserve"> </t>
    </r>
    <r>
      <rPr>
        <b/>
        <sz val="12"/>
        <color rgb="FF000000"/>
        <rFont val="Times New Roman"/>
        <family val="1"/>
      </rPr>
      <t>55,</t>
    </r>
    <r>
      <rPr>
        <sz val="12"/>
        <color rgb="FF000000"/>
        <rFont val="Times New Roman"/>
        <family val="1"/>
      </rPr>
      <t xml:space="preserve"> 181–194 (2002).</t>
    </r>
  </si>
  <si>
    <r>
      <t xml:space="preserve">Sogbedji, J. M., van Es, H. &amp; Agbeko, K. L. Cover Cropping and Nutrient Management Strategies for Maize Production in Western Africa. </t>
    </r>
    <r>
      <rPr>
        <i/>
        <sz val="12"/>
        <color rgb="FF000000"/>
        <rFont val="Times New Roman"/>
        <family val="1"/>
      </rPr>
      <t>Agron. J.</t>
    </r>
    <r>
      <rPr>
        <sz val="12"/>
        <color rgb="FF000000"/>
        <rFont val="Times New Roman"/>
        <family val="1"/>
      </rPr>
      <t xml:space="preserve"> </t>
    </r>
    <r>
      <rPr>
        <b/>
        <sz val="12"/>
        <color rgb="FF000000"/>
        <rFont val="Times New Roman"/>
        <family val="1"/>
      </rPr>
      <t>98,</t>
    </r>
    <r>
      <rPr>
        <sz val="12"/>
        <color rgb="FF000000"/>
        <rFont val="Times New Roman"/>
        <family val="1"/>
      </rPr>
      <t xml:space="preserve"> 883 (2006).</t>
    </r>
  </si>
  <si>
    <r>
      <t xml:space="preserve">Tian, G., Kolawole, G. O., Kang, B. T. &amp; Kirchhof, G. Nitrogen fertilizer replacement indexes of legume cover crops in the derived savanna of West Africa. </t>
    </r>
    <r>
      <rPr>
        <i/>
        <sz val="12"/>
        <color rgb="FF000000"/>
        <rFont val="Times New Roman"/>
        <family val="1"/>
      </rPr>
      <t>Plant Soil</t>
    </r>
    <r>
      <rPr>
        <sz val="12"/>
        <color rgb="FF000000"/>
        <rFont val="Times New Roman"/>
        <family val="1"/>
      </rPr>
      <t xml:space="preserve"> </t>
    </r>
    <r>
      <rPr>
        <b/>
        <sz val="12"/>
        <color rgb="FF000000"/>
        <rFont val="Times New Roman"/>
        <family val="1"/>
      </rPr>
      <t>224,</t>
    </r>
    <r>
      <rPr>
        <sz val="12"/>
        <color rgb="FF000000"/>
        <rFont val="Times New Roman"/>
        <family val="1"/>
      </rPr>
      <t xml:space="preserve"> 287–296 (2000).</t>
    </r>
  </si>
  <si>
    <r>
      <t xml:space="preserve">Tian, G., Kang, B. T., Kolawole, G. O., Idinoba, P. &amp; Salako, F. K. Long-term effects of fallow systems and lengths on crop production and soil fertility maintenance in West Africa.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71,</t>
    </r>
    <r>
      <rPr>
        <sz val="12"/>
        <color rgb="FF000000"/>
        <rFont val="Times New Roman"/>
        <family val="1"/>
      </rPr>
      <t xml:space="preserve"> 139–150 (2005).</t>
    </r>
  </si>
  <si>
    <r>
      <t xml:space="preserve">Torquebiau, E. F. &amp; Kwesiga, F. Root development in a Sesbania sesban fallow-maize system in Eastern Zambia. </t>
    </r>
    <r>
      <rPr>
        <i/>
        <sz val="12"/>
        <color rgb="FF000000"/>
        <rFont val="Times New Roman"/>
        <family val="1"/>
      </rPr>
      <t>Agrofor. Syst.</t>
    </r>
    <r>
      <rPr>
        <sz val="12"/>
        <color rgb="FF000000"/>
        <rFont val="Times New Roman"/>
        <family val="1"/>
      </rPr>
      <t xml:space="preserve"> </t>
    </r>
    <r>
      <rPr>
        <b/>
        <sz val="12"/>
        <color rgb="FF000000"/>
        <rFont val="Times New Roman"/>
        <family val="1"/>
      </rPr>
      <t>34,</t>
    </r>
    <r>
      <rPr>
        <sz val="12"/>
        <color rgb="FF000000"/>
        <rFont val="Times New Roman"/>
        <family val="1"/>
      </rPr>
      <t xml:space="preserve"> 193–211 (1996).</t>
    </r>
  </si>
  <si>
    <r>
      <t xml:space="preserve">Chen, L. L., You, M. S. &amp; Chen, S. B. Effects of cover crops on spider communities in tea plantations. </t>
    </r>
    <r>
      <rPr>
        <i/>
        <sz val="12"/>
        <color rgb="FF000000"/>
        <rFont val="Times New Roman"/>
        <family val="1"/>
      </rPr>
      <t>Biol. Control</t>
    </r>
    <r>
      <rPr>
        <sz val="12"/>
        <color rgb="FF000000"/>
        <rFont val="Times New Roman"/>
        <family val="1"/>
      </rPr>
      <t xml:space="preserve"> </t>
    </r>
    <r>
      <rPr>
        <b/>
        <sz val="12"/>
        <color rgb="FF000000"/>
        <rFont val="Times New Roman"/>
        <family val="1"/>
      </rPr>
      <t>59,</t>
    </r>
    <r>
      <rPr>
        <sz val="12"/>
        <color rgb="FF000000"/>
        <rFont val="Times New Roman"/>
        <family val="1"/>
      </rPr>
      <t xml:space="preserve"> 326–335 (2011).</t>
    </r>
  </si>
  <si>
    <r>
      <t xml:space="preserve">Cui, H. </t>
    </r>
    <r>
      <rPr>
        <i/>
        <sz val="12"/>
        <color rgb="FF000000"/>
        <rFont val="Times New Roman"/>
        <family val="1"/>
      </rPr>
      <t>et al.</t>
    </r>
    <r>
      <rPr>
        <sz val="12"/>
        <color rgb="FF000000"/>
        <rFont val="Times New Roman"/>
        <family val="1"/>
      </rPr>
      <t xml:space="preserve"> The combined effects of cover crops and symbiotic microbes on phosphatase gene and organic phosphorus hydrolysis in subtropical orchard soils. </t>
    </r>
    <r>
      <rPr>
        <i/>
        <sz val="12"/>
        <color rgb="FF000000"/>
        <rFont val="Times New Roman"/>
        <family val="1"/>
      </rPr>
      <t>Soil Biol. Biochem.</t>
    </r>
    <r>
      <rPr>
        <sz val="12"/>
        <color rgb="FF000000"/>
        <rFont val="Times New Roman"/>
        <family val="1"/>
      </rPr>
      <t xml:space="preserve"> </t>
    </r>
    <r>
      <rPr>
        <b/>
        <sz val="12"/>
        <color rgb="FF000000"/>
        <rFont val="Times New Roman"/>
        <family val="1"/>
      </rPr>
      <t>82,</t>
    </r>
    <r>
      <rPr>
        <sz val="12"/>
        <color rgb="FF000000"/>
        <rFont val="Times New Roman"/>
        <family val="1"/>
      </rPr>
      <t xml:space="preserve"> 119–126 (2015).</t>
    </r>
  </si>
  <si>
    <r>
      <t xml:space="preserve">Du, S., Bai, G. &amp; Yu, J. Soil properties and apricot growth under intercropping and mulching with erect milk vetch in the loess hilly-gully region. </t>
    </r>
    <r>
      <rPr>
        <i/>
        <sz val="12"/>
        <color rgb="FF000000"/>
        <rFont val="Times New Roman"/>
        <family val="1"/>
      </rPr>
      <t>Plant Soil</t>
    </r>
    <r>
      <rPr>
        <sz val="12"/>
        <color rgb="FF000000"/>
        <rFont val="Times New Roman"/>
        <family val="1"/>
      </rPr>
      <t xml:space="preserve"> </t>
    </r>
    <r>
      <rPr>
        <b/>
        <sz val="12"/>
        <color rgb="FF000000"/>
        <rFont val="Times New Roman"/>
        <family val="1"/>
      </rPr>
      <t>390,</t>
    </r>
    <r>
      <rPr>
        <sz val="12"/>
        <color rgb="FF000000"/>
        <rFont val="Times New Roman"/>
        <family val="1"/>
      </rPr>
      <t xml:space="preserve"> 431–442 (2015).</t>
    </r>
  </si>
  <si>
    <r>
      <t xml:space="preserve">Gao, D., Zhou, X., Duan, Y., Fu, X. &amp; Wu, F. Wheat cover crop promoted cucumber seedling growth through regulating soil nutrient resources or soil microbial communities? </t>
    </r>
    <r>
      <rPr>
        <i/>
        <sz val="12"/>
        <color rgb="FF000000"/>
        <rFont val="Times New Roman"/>
        <family val="1"/>
      </rPr>
      <t>Plant Soil</t>
    </r>
    <r>
      <rPr>
        <sz val="12"/>
        <color rgb="FF000000"/>
        <rFont val="Times New Roman"/>
        <family val="1"/>
      </rPr>
      <t xml:space="preserve"> </t>
    </r>
    <r>
      <rPr>
        <b/>
        <sz val="12"/>
        <color rgb="FF000000"/>
        <rFont val="Times New Roman"/>
        <family val="1"/>
      </rPr>
      <t>418,</t>
    </r>
    <r>
      <rPr>
        <sz val="12"/>
        <color rgb="FF000000"/>
        <rFont val="Times New Roman"/>
        <family val="1"/>
      </rPr>
      <t xml:space="preserve"> 459–475 (2017).</t>
    </r>
  </si>
  <si>
    <r>
      <t xml:space="preserve">Habbib, H. </t>
    </r>
    <r>
      <rPr>
        <i/>
        <sz val="12"/>
        <color rgb="FF000000"/>
        <rFont val="Times New Roman"/>
        <family val="1"/>
      </rPr>
      <t>et al.</t>
    </r>
    <r>
      <rPr>
        <sz val="12"/>
        <color rgb="FF000000"/>
        <rFont val="Times New Roman"/>
        <family val="1"/>
      </rPr>
      <t xml:space="preserve"> Investigating the Combined Effect of Tillage, Nitrogen Fertilization and Cover Crops on Nitrogen Use Efficiency in Winter Wheat. </t>
    </r>
    <r>
      <rPr>
        <i/>
        <sz val="12"/>
        <color rgb="FF000000"/>
        <rFont val="Times New Roman"/>
        <family val="1"/>
      </rPr>
      <t>Agronomy</t>
    </r>
    <r>
      <rPr>
        <sz val="12"/>
        <color rgb="FF000000"/>
        <rFont val="Times New Roman"/>
        <family val="1"/>
      </rPr>
      <t xml:space="preserve"> </t>
    </r>
    <r>
      <rPr>
        <b/>
        <sz val="12"/>
        <color rgb="FF000000"/>
        <rFont val="Times New Roman"/>
        <family val="1"/>
      </rPr>
      <t>7,</t>
    </r>
    <r>
      <rPr>
        <sz val="12"/>
        <color rgb="FF000000"/>
        <rFont val="Times New Roman"/>
        <family val="1"/>
      </rPr>
      <t xml:space="preserve"> 66 (2017).</t>
    </r>
  </si>
  <si>
    <r>
      <t xml:space="preserve">Haque, M. M., Kim, S. Y., Pramanik, P., Kim, G. Y. &amp; Kim, P. J. Optimum application level of winter cover crop biomass as green manure under considering methane emission and rice productivity in paddy soil. </t>
    </r>
    <r>
      <rPr>
        <i/>
        <sz val="12"/>
        <color rgb="FF000000"/>
        <rFont val="Times New Roman"/>
        <family val="1"/>
      </rPr>
      <t>Biol. Fertil. Soils</t>
    </r>
    <r>
      <rPr>
        <sz val="12"/>
        <color rgb="FF000000"/>
        <rFont val="Times New Roman"/>
        <family val="1"/>
      </rPr>
      <t xml:space="preserve"> </t>
    </r>
    <r>
      <rPr>
        <b/>
        <sz val="12"/>
        <color rgb="FF000000"/>
        <rFont val="Times New Roman"/>
        <family val="1"/>
      </rPr>
      <t>49,</t>
    </r>
    <r>
      <rPr>
        <sz val="12"/>
        <color rgb="FF000000"/>
        <rFont val="Times New Roman"/>
        <family val="1"/>
      </rPr>
      <t xml:space="preserve"> 487–493 (2013).</t>
    </r>
  </si>
  <si>
    <r>
      <t xml:space="preserve">Isik, D., Kaya, E., Ngouajio, M. &amp; Mennan, H. Weed suppression in organic pepper (Capsicum annuum L.) with winter cover crops. </t>
    </r>
    <r>
      <rPr>
        <i/>
        <sz val="12"/>
        <color rgb="FF000000"/>
        <rFont val="Times New Roman"/>
        <family val="1"/>
      </rPr>
      <t>Crop Prot.</t>
    </r>
    <r>
      <rPr>
        <sz val="12"/>
        <color rgb="FF000000"/>
        <rFont val="Times New Roman"/>
        <family val="1"/>
      </rPr>
      <t xml:space="preserve"> </t>
    </r>
    <r>
      <rPr>
        <b/>
        <sz val="12"/>
        <color rgb="FF000000"/>
        <rFont val="Times New Roman"/>
        <family val="1"/>
      </rPr>
      <t>28,</t>
    </r>
    <r>
      <rPr>
        <sz val="12"/>
        <color rgb="FF000000"/>
        <rFont val="Times New Roman"/>
        <family val="1"/>
      </rPr>
      <t xml:space="preserve"> 356–363 (2009).</t>
    </r>
  </si>
  <si>
    <r>
      <t xml:space="preserve">Kim, S. Y., Lee, C. H., Gutierrez, J. &amp; Kim, P. J. Contribution of winter cover crop amendments on global warming potential in rice paddy soil during cultivation. </t>
    </r>
    <r>
      <rPr>
        <i/>
        <sz val="12"/>
        <color rgb="FF000000"/>
        <rFont val="Times New Roman"/>
        <family val="1"/>
      </rPr>
      <t>Plant Soil</t>
    </r>
    <r>
      <rPr>
        <sz val="12"/>
        <color rgb="FF000000"/>
        <rFont val="Times New Roman"/>
        <family val="1"/>
      </rPr>
      <t xml:space="preserve"> </t>
    </r>
    <r>
      <rPr>
        <b/>
        <sz val="12"/>
        <color rgb="FF000000"/>
        <rFont val="Times New Roman"/>
        <family val="1"/>
      </rPr>
      <t>366,</t>
    </r>
    <r>
      <rPr>
        <sz val="12"/>
        <color rgb="FF000000"/>
        <rFont val="Times New Roman"/>
        <family val="1"/>
      </rPr>
      <t xml:space="preserve"> 273–286 (2013).</t>
    </r>
  </si>
  <si>
    <r>
      <t xml:space="preserve">Liu, J. N. </t>
    </r>
    <r>
      <rPr>
        <i/>
        <sz val="12"/>
        <color rgb="FF000000"/>
        <rFont val="Times New Roman"/>
        <family val="1"/>
      </rPr>
      <t>et al.</t>
    </r>
    <r>
      <rPr>
        <sz val="12"/>
        <color rgb="FF000000"/>
        <rFont val="Times New Roman"/>
        <family val="1"/>
      </rPr>
      <t xml:space="preserve"> Winter cover crops alter methanotrophs community structure in a double-rice paddy soil. </t>
    </r>
    <r>
      <rPr>
        <i/>
        <sz val="12"/>
        <color rgb="FF000000"/>
        <rFont val="Times New Roman"/>
        <family val="1"/>
      </rPr>
      <t>J. Integr. Agric.</t>
    </r>
    <r>
      <rPr>
        <sz val="12"/>
        <color rgb="FF000000"/>
        <rFont val="Times New Roman"/>
        <family val="1"/>
      </rPr>
      <t xml:space="preserve"> </t>
    </r>
    <r>
      <rPr>
        <b/>
        <sz val="12"/>
        <color rgb="FF000000"/>
        <rFont val="Times New Roman"/>
        <family val="1"/>
      </rPr>
      <t>15,</t>
    </r>
    <r>
      <rPr>
        <sz val="12"/>
        <color rgb="FF000000"/>
        <rFont val="Times New Roman"/>
        <family val="1"/>
      </rPr>
      <t xml:space="preserve"> 553–565 (2016).</t>
    </r>
  </si>
  <si>
    <r>
      <t xml:space="preserve">Min, J., Shi, W., Xing, G., Zhang, H. &amp; Zhu, Z. Effects of a catch crop and reduced nitrogen fertilization on nitrogen leaching in greenhouse vegetable production systems.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91,</t>
    </r>
    <r>
      <rPr>
        <sz val="12"/>
        <color rgb="FF000000"/>
        <rFont val="Times New Roman"/>
        <family val="1"/>
      </rPr>
      <t xml:space="preserve"> 31–39 (2011).</t>
    </r>
  </si>
  <si>
    <r>
      <t xml:space="preserve">Tang, H. M. </t>
    </r>
    <r>
      <rPr>
        <i/>
        <sz val="12"/>
        <color rgb="FF000000"/>
        <rFont val="Times New Roman"/>
        <family val="1"/>
      </rPr>
      <t>et al.</t>
    </r>
    <r>
      <rPr>
        <sz val="12"/>
        <color rgb="FF000000"/>
        <rFont val="Times New Roman"/>
        <family val="1"/>
      </rPr>
      <t xml:space="preserve"> Effects of winter cover crops straws incorporation on CH4 and N2O emission from double-cropping paddy fields in southern China. </t>
    </r>
    <r>
      <rPr>
        <i/>
        <sz val="12"/>
        <color rgb="FF000000"/>
        <rFont val="Times New Roman"/>
        <family val="1"/>
      </rPr>
      <t>PLoS One</t>
    </r>
    <r>
      <rPr>
        <sz val="12"/>
        <color rgb="FF000000"/>
        <rFont val="Times New Roman"/>
        <family val="1"/>
      </rPr>
      <t xml:space="preserve"> </t>
    </r>
    <r>
      <rPr>
        <b/>
        <sz val="12"/>
        <color rgb="FF000000"/>
        <rFont val="Times New Roman"/>
        <family val="1"/>
      </rPr>
      <t>9,</t>
    </r>
    <r>
      <rPr>
        <sz val="12"/>
        <color rgb="FF000000"/>
        <rFont val="Times New Roman"/>
        <family val="1"/>
      </rPr>
      <t xml:space="preserve"> (2014).</t>
    </r>
  </si>
  <si>
    <r>
      <t xml:space="preserve">Hai-Ming, T. </t>
    </r>
    <r>
      <rPr>
        <i/>
        <sz val="12"/>
        <color rgb="FF000000"/>
        <rFont val="Times New Roman"/>
        <family val="1"/>
      </rPr>
      <t>et al.</t>
    </r>
    <r>
      <rPr>
        <sz val="12"/>
        <color rgb="FF000000"/>
        <rFont val="Times New Roman"/>
        <family val="1"/>
      </rPr>
      <t xml:space="preserve"> Effects of Winter Cover Crops Residue Returning on Soil Enzyme Activities and Soil Microbial Community in Double-Cropping Rice Fields. </t>
    </r>
    <r>
      <rPr>
        <i/>
        <sz val="12"/>
        <color rgb="FF000000"/>
        <rFont val="Times New Roman"/>
        <family val="1"/>
      </rPr>
      <t>PLoS One</t>
    </r>
    <r>
      <rPr>
        <sz val="12"/>
        <color rgb="FF000000"/>
        <rFont val="Times New Roman"/>
        <family val="1"/>
      </rPr>
      <t xml:space="preserve"> </t>
    </r>
    <r>
      <rPr>
        <b/>
        <sz val="12"/>
        <color rgb="FF000000"/>
        <rFont val="Times New Roman"/>
        <family val="1"/>
      </rPr>
      <t>9,</t>
    </r>
    <r>
      <rPr>
        <sz val="12"/>
        <color rgb="FF000000"/>
        <rFont val="Times New Roman"/>
        <family val="1"/>
      </rPr>
      <t xml:space="preserve"> e100443 (2014).</t>
    </r>
  </si>
  <si>
    <r>
      <t xml:space="preserve">Tang, H. </t>
    </r>
    <r>
      <rPr>
        <i/>
        <sz val="12"/>
        <color rgb="FF000000"/>
        <rFont val="Times New Roman"/>
        <family val="1"/>
      </rPr>
      <t>et al.</t>
    </r>
    <r>
      <rPr>
        <sz val="12"/>
        <color rgb="FF000000"/>
        <rFont val="Times New Roman"/>
        <family val="1"/>
      </rPr>
      <t xml:space="preserve"> Effects of winter covering crop residue incorporation on CH4and N2O emission from double-cropped paddy fields in southern China. </t>
    </r>
    <r>
      <rPr>
        <i/>
        <sz val="12"/>
        <color rgb="FF000000"/>
        <rFont val="Times New Roman"/>
        <family val="1"/>
      </rPr>
      <t>Environ. Sci. Pollut. Res.</t>
    </r>
    <r>
      <rPr>
        <sz val="12"/>
        <color rgb="FF000000"/>
        <rFont val="Times New Roman"/>
        <family val="1"/>
      </rPr>
      <t xml:space="preserve"> </t>
    </r>
    <r>
      <rPr>
        <b/>
        <sz val="12"/>
        <color rgb="FF000000"/>
        <rFont val="Times New Roman"/>
        <family val="1"/>
      </rPr>
      <t>22,</t>
    </r>
    <r>
      <rPr>
        <sz val="12"/>
        <color rgb="FF000000"/>
        <rFont val="Times New Roman"/>
        <family val="1"/>
      </rPr>
      <t xml:space="preserve"> 12689–12698 (2015).</t>
    </r>
  </si>
  <si>
    <r>
      <t xml:space="preserve">Tian, Y., Zhang, X., Liu, J. &amp; Gao, L. Effects of summer cover crop and residue management on cucumber growth in intensive Chinese production systems: Soil nutrients, microbial properties and nematodes. </t>
    </r>
    <r>
      <rPr>
        <i/>
        <sz val="12"/>
        <color rgb="FF000000"/>
        <rFont val="Times New Roman"/>
        <family val="1"/>
      </rPr>
      <t>Plant Soil</t>
    </r>
    <r>
      <rPr>
        <sz val="12"/>
        <color rgb="FF000000"/>
        <rFont val="Times New Roman"/>
        <family val="1"/>
      </rPr>
      <t xml:space="preserve"> </t>
    </r>
    <r>
      <rPr>
        <b/>
        <sz val="12"/>
        <color rgb="FF000000"/>
        <rFont val="Times New Roman"/>
        <family val="1"/>
      </rPr>
      <t>339,</t>
    </r>
    <r>
      <rPr>
        <sz val="12"/>
        <color rgb="FF000000"/>
        <rFont val="Times New Roman"/>
        <family val="1"/>
      </rPr>
      <t xml:space="preserve"> 299–315 (2011).</t>
    </r>
  </si>
  <si>
    <r>
      <t xml:space="preserve">Zheng, W. </t>
    </r>
    <r>
      <rPr>
        <i/>
        <sz val="12"/>
        <color rgb="FF000000"/>
        <rFont val="Times New Roman"/>
        <family val="1"/>
      </rPr>
      <t>et al.</t>
    </r>
    <r>
      <rPr>
        <sz val="12"/>
        <color rgb="FF000000"/>
        <rFont val="Times New Roman"/>
        <family val="1"/>
      </rPr>
      <t xml:space="preserve"> Improving yield and water use efficiency of apple trees through intercrop-mulch of crown vetch (Coronilla varia L.) combined with different fertilizer treatments in the Loess Plateau. </t>
    </r>
    <r>
      <rPr>
        <i/>
        <sz val="12"/>
        <color rgb="FF000000"/>
        <rFont val="Times New Roman"/>
        <family val="1"/>
      </rPr>
      <t>Spanish J. Agric. Res.</t>
    </r>
    <r>
      <rPr>
        <sz val="12"/>
        <color rgb="FF000000"/>
        <rFont val="Times New Roman"/>
        <family val="1"/>
      </rPr>
      <t xml:space="preserve"> </t>
    </r>
    <r>
      <rPr>
        <b/>
        <sz val="12"/>
        <color rgb="FF000000"/>
        <rFont val="Times New Roman"/>
        <family val="1"/>
      </rPr>
      <t>14,</t>
    </r>
    <r>
      <rPr>
        <sz val="12"/>
        <color rgb="FF000000"/>
        <rFont val="Times New Roman"/>
        <family val="1"/>
      </rPr>
      <t xml:space="preserve"> (2016).</t>
    </r>
  </si>
  <si>
    <r>
      <t xml:space="preserve">Xie, Z., Shah, F., Tu, S., Xu, C. &amp; Cao, W. Chinese milk vetch as green manure mitigates nitrous oxide emission from monocropped rice system in South China. </t>
    </r>
    <r>
      <rPr>
        <i/>
        <sz val="12"/>
        <color rgb="FF000000"/>
        <rFont val="Times New Roman"/>
        <family val="1"/>
      </rPr>
      <t>PLoS One</t>
    </r>
    <r>
      <rPr>
        <sz val="12"/>
        <color rgb="FF000000"/>
        <rFont val="Times New Roman"/>
        <family val="1"/>
      </rPr>
      <t xml:space="preserve"> </t>
    </r>
    <r>
      <rPr>
        <b/>
        <sz val="12"/>
        <color rgb="FF000000"/>
        <rFont val="Times New Roman"/>
        <family val="1"/>
      </rPr>
      <t>11,</t>
    </r>
    <r>
      <rPr>
        <sz val="12"/>
        <color rgb="FF000000"/>
        <rFont val="Times New Roman"/>
        <family val="1"/>
      </rPr>
      <t xml:space="preserve"> 1–16 (2016).</t>
    </r>
  </si>
  <si>
    <r>
      <t xml:space="preserve">Yu, Y., Xue, L. &amp; Yang, L. Winter legumes in rice crop rotations reduces nitrogen loss, and improves rice yield and soil nitrogen supply. </t>
    </r>
    <r>
      <rPr>
        <i/>
        <sz val="12"/>
        <color rgb="FF000000"/>
        <rFont val="Times New Roman"/>
        <family val="1"/>
      </rPr>
      <t>Agron. Sustain. Dev.</t>
    </r>
    <r>
      <rPr>
        <sz val="12"/>
        <color rgb="FF000000"/>
        <rFont val="Times New Roman"/>
        <family val="1"/>
      </rPr>
      <t xml:space="preserve"> </t>
    </r>
    <r>
      <rPr>
        <b/>
        <sz val="12"/>
        <color rgb="FF000000"/>
        <rFont val="Times New Roman"/>
        <family val="1"/>
      </rPr>
      <t>34,</t>
    </r>
    <r>
      <rPr>
        <sz val="12"/>
        <color rgb="FF000000"/>
        <rFont val="Times New Roman"/>
        <family val="1"/>
      </rPr>
      <t xml:space="preserve"> 633–640 (2014).</t>
    </r>
  </si>
  <si>
    <r>
      <t xml:space="preserve">Yuan, H. M., Blackwell, M., Rahn, C. &amp; Chen, Q. Fertilization and Catch Crop Strategies for Improving Tomato Production in North China. </t>
    </r>
    <r>
      <rPr>
        <i/>
        <sz val="12"/>
        <color rgb="FF000000"/>
        <rFont val="Times New Roman"/>
        <family val="1"/>
      </rPr>
      <t>Pedosphere</t>
    </r>
    <r>
      <rPr>
        <sz val="12"/>
        <color rgb="FF000000"/>
        <rFont val="Times New Roman"/>
        <family val="1"/>
      </rPr>
      <t xml:space="preserve"> </t>
    </r>
    <r>
      <rPr>
        <b/>
        <sz val="12"/>
        <color rgb="FF000000"/>
        <rFont val="Times New Roman"/>
        <family val="1"/>
      </rPr>
      <t>25,</t>
    </r>
    <r>
      <rPr>
        <sz val="12"/>
        <color rgb="FF000000"/>
        <rFont val="Times New Roman"/>
        <family val="1"/>
      </rPr>
      <t xml:space="preserve"> 364–371 (2015).</t>
    </r>
  </si>
  <si>
    <r>
      <t xml:space="preserve">Dabin, Z. </t>
    </r>
    <r>
      <rPr>
        <i/>
        <sz val="12"/>
        <color rgb="FF000000"/>
        <rFont val="Times New Roman"/>
        <family val="1"/>
      </rPr>
      <t>et al.</t>
    </r>
    <r>
      <rPr>
        <sz val="12"/>
        <color rgb="FF000000"/>
        <rFont val="Times New Roman"/>
        <family val="1"/>
      </rPr>
      <t xml:space="preserve"> Responses of winter wheat production to green manure and nitrogen fertilizer on the loess plateau. </t>
    </r>
    <r>
      <rPr>
        <i/>
        <sz val="12"/>
        <color rgb="FF000000"/>
        <rFont val="Times New Roman"/>
        <family val="1"/>
      </rPr>
      <t>Agron. J.</t>
    </r>
    <r>
      <rPr>
        <sz val="12"/>
        <color rgb="FF000000"/>
        <rFont val="Times New Roman"/>
        <family val="1"/>
      </rPr>
      <t xml:space="preserve"> </t>
    </r>
    <r>
      <rPr>
        <b/>
        <sz val="12"/>
        <color rgb="FF000000"/>
        <rFont val="Times New Roman"/>
        <family val="1"/>
      </rPr>
      <t>107,</t>
    </r>
    <r>
      <rPr>
        <sz val="12"/>
        <color rgb="FF000000"/>
        <rFont val="Times New Roman"/>
        <family val="1"/>
      </rPr>
      <t xml:space="preserve"> 361–374 (2015).</t>
    </r>
  </si>
  <si>
    <r>
      <t xml:space="preserve">Dabin, Z. </t>
    </r>
    <r>
      <rPr>
        <i/>
        <sz val="12"/>
        <color rgb="FF000000"/>
        <rFont val="Times New Roman"/>
        <family val="1"/>
      </rPr>
      <t>et al.</t>
    </r>
    <r>
      <rPr>
        <sz val="12"/>
        <color rgb="FF000000"/>
        <rFont val="Times New Roman"/>
        <family val="1"/>
      </rPr>
      <t xml:space="preserve"> Contribution of green manure legumes to nitrogen dynamics in traditional winter wheat cropping system in the Loess Plateau of China. </t>
    </r>
    <r>
      <rPr>
        <i/>
        <sz val="12"/>
        <color rgb="FF000000"/>
        <rFont val="Times New Roman"/>
        <family val="1"/>
      </rPr>
      <t>Eur. J. Agron.</t>
    </r>
    <r>
      <rPr>
        <sz val="12"/>
        <color rgb="FF000000"/>
        <rFont val="Times New Roman"/>
        <family val="1"/>
      </rPr>
      <t xml:space="preserve"> </t>
    </r>
    <r>
      <rPr>
        <b/>
        <sz val="12"/>
        <color rgb="FF000000"/>
        <rFont val="Times New Roman"/>
        <family val="1"/>
      </rPr>
      <t>72,</t>
    </r>
    <r>
      <rPr>
        <sz val="12"/>
        <color rgb="FF000000"/>
        <rFont val="Times New Roman"/>
        <family val="1"/>
      </rPr>
      <t xml:space="preserve"> 47–55 (2016).</t>
    </r>
  </si>
  <si>
    <r>
      <t xml:space="preserve">Zhang, D. </t>
    </r>
    <r>
      <rPr>
        <i/>
        <sz val="12"/>
        <color rgb="FF000000"/>
        <rFont val="Times New Roman"/>
        <family val="1"/>
      </rPr>
      <t>et al.</t>
    </r>
    <r>
      <rPr>
        <sz val="12"/>
        <color rgb="FF000000"/>
        <rFont val="Times New Roman"/>
        <family val="1"/>
      </rPr>
      <t xml:space="preserve"> Soil Water Balance and Water Use Efficiency of Dryland Wheat in Different Precipitation Years in Response to Green Manure Approach. </t>
    </r>
    <r>
      <rPr>
        <i/>
        <sz val="12"/>
        <color rgb="FF000000"/>
        <rFont val="Times New Roman"/>
        <family val="1"/>
      </rPr>
      <t>Sci. Rep.</t>
    </r>
    <r>
      <rPr>
        <sz val="12"/>
        <color rgb="FF000000"/>
        <rFont val="Times New Roman"/>
        <family val="1"/>
      </rPr>
      <t xml:space="preserve"> </t>
    </r>
    <r>
      <rPr>
        <b/>
        <sz val="12"/>
        <color rgb="FF000000"/>
        <rFont val="Times New Roman"/>
        <family val="1"/>
      </rPr>
      <t>6,</t>
    </r>
    <r>
      <rPr>
        <sz val="12"/>
        <color rgb="FF000000"/>
        <rFont val="Times New Roman"/>
        <family val="1"/>
      </rPr>
      <t xml:space="preserve"> 1–12 (2016).</t>
    </r>
  </si>
  <si>
    <r>
      <t xml:space="preserve">Zhu, B. </t>
    </r>
    <r>
      <rPr>
        <i/>
        <sz val="12"/>
        <color rgb="FF000000"/>
        <rFont val="Times New Roman"/>
        <family val="1"/>
      </rPr>
      <t>et al.</t>
    </r>
    <r>
      <rPr>
        <sz val="12"/>
        <color rgb="FF000000"/>
        <rFont val="Times New Roman"/>
        <family val="1"/>
      </rPr>
      <t xml:space="preserve"> Performance of two winter cover crops and their impacts on soil properties and two subsequent rice crops in Dongting Lake Plain, Hunan, China. </t>
    </r>
    <r>
      <rPr>
        <i/>
        <sz val="12"/>
        <color rgb="FF000000"/>
        <rFont val="Times New Roman"/>
        <family val="1"/>
      </rPr>
      <t>Soil Tillage Res.</t>
    </r>
    <r>
      <rPr>
        <sz val="12"/>
        <color rgb="FF000000"/>
        <rFont val="Times New Roman"/>
        <family val="1"/>
      </rPr>
      <t xml:space="preserve"> </t>
    </r>
    <r>
      <rPr>
        <b/>
        <sz val="12"/>
        <color rgb="FF000000"/>
        <rFont val="Times New Roman"/>
        <family val="1"/>
      </rPr>
      <t>124,</t>
    </r>
    <r>
      <rPr>
        <sz val="12"/>
        <color rgb="FF000000"/>
        <rFont val="Times New Roman"/>
        <family val="1"/>
      </rPr>
      <t xml:space="preserve"> 95–101 (2012).</t>
    </r>
  </si>
  <si>
    <r>
      <t xml:space="preserve">ZHU, B. </t>
    </r>
    <r>
      <rPr>
        <i/>
        <sz val="12"/>
        <color rgb="FF000000"/>
        <rFont val="Times New Roman"/>
        <family val="1"/>
      </rPr>
      <t>et al.</t>
    </r>
    <r>
      <rPr>
        <sz val="12"/>
        <color rgb="FF000000"/>
        <rFont val="Times New Roman"/>
        <family val="1"/>
      </rPr>
      <t xml:space="preserve"> Non-leguminous winter cover crop and nitrogen rate in relation to double rice grain yield and nitrogen uptake in Dongting Lake Plain, Hunan Province, China. </t>
    </r>
    <r>
      <rPr>
        <i/>
        <sz val="12"/>
        <color rgb="FF000000"/>
        <rFont val="Times New Roman"/>
        <family val="1"/>
      </rPr>
      <t>J. Integr. Agric.</t>
    </r>
    <r>
      <rPr>
        <sz val="12"/>
        <color rgb="FF000000"/>
        <rFont val="Times New Roman"/>
        <family val="1"/>
      </rPr>
      <t xml:space="preserve"> </t>
    </r>
    <r>
      <rPr>
        <b/>
        <sz val="12"/>
        <color rgb="FF000000"/>
        <rFont val="Times New Roman"/>
        <family val="1"/>
      </rPr>
      <t>15,</t>
    </r>
    <r>
      <rPr>
        <sz val="12"/>
        <color rgb="FF000000"/>
        <rFont val="Times New Roman"/>
        <family val="1"/>
      </rPr>
      <t xml:space="preserve"> 2507–2514 (2016).</t>
    </r>
  </si>
  <si>
    <r>
      <t xml:space="preserve">Clark, K. M. </t>
    </r>
    <r>
      <rPr>
        <i/>
        <sz val="12"/>
        <color rgb="FF000000"/>
        <rFont val="Times New Roman"/>
        <family val="1"/>
      </rPr>
      <t>et al.</t>
    </r>
    <r>
      <rPr>
        <sz val="12"/>
        <color rgb="FF000000"/>
        <rFont val="Times New Roman"/>
        <family val="1"/>
      </rPr>
      <t xml:space="preserve"> Crop yield and soil organic carbon in conventional and no-till organic systems on a claypan soil. </t>
    </r>
    <r>
      <rPr>
        <i/>
        <sz val="12"/>
        <color rgb="FF000000"/>
        <rFont val="Times New Roman"/>
        <family val="1"/>
      </rPr>
      <t>Agron. J.</t>
    </r>
    <r>
      <rPr>
        <sz val="12"/>
        <color rgb="FF000000"/>
        <rFont val="Times New Roman"/>
        <family val="1"/>
      </rPr>
      <t xml:space="preserve"> </t>
    </r>
    <r>
      <rPr>
        <b/>
        <sz val="12"/>
        <color rgb="FF000000"/>
        <rFont val="Times New Roman"/>
        <family val="1"/>
      </rPr>
      <t>109,</t>
    </r>
    <r>
      <rPr>
        <sz val="12"/>
        <color rgb="FF000000"/>
        <rFont val="Times New Roman"/>
        <family val="1"/>
      </rPr>
      <t xml:space="preserve"> 588–599 (2017).</t>
    </r>
  </si>
  <si>
    <r>
      <t xml:space="preserve">García-Orenes, F. </t>
    </r>
    <r>
      <rPr>
        <i/>
        <sz val="12"/>
        <color rgb="FF000000"/>
        <rFont val="Times New Roman"/>
        <family val="1"/>
      </rPr>
      <t>et al.</t>
    </r>
    <r>
      <rPr>
        <sz val="12"/>
        <color rgb="FF000000"/>
        <rFont val="Times New Roman"/>
        <family val="1"/>
      </rPr>
      <t xml:space="preserve"> Organic Fertilization in Traditional Mediterranean Grapevine Orchards Mediates Changes in Soil Microbial Community Structure and Enhances Soil Fertility. </t>
    </r>
    <r>
      <rPr>
        <i/>
        <sz val="12"/>
        <color rgb="FF000000"/>
        <rFont val="Times New Roman"/>
        <family val="1"/>
      </rPr>
      <t>L. Degrad. Dev.</t>
    </r>
    <r>
      <rPr>
        <sz val="12"/>
        <color rgb="FF000000"/>
        <rFont val="Times New Roman"/>
        <family val="1"/>
      </rPr>
      <t xml:space="preserve"> </t>
    </r>
    <r>
      <rPr>
        <b/>
        <sz val="12"/>
        <color rgb="FF000000"/>
        <rFont val="Times New Roman"/>
        <family val="1"/>
      </rPr>
      <t>27,</t>
    </r>
    <r>
      <rPr>
        <sz val="12"/>
        <color rgb="FF000000"/>
        <rFont val="Times New Roman"/>
        <family val="1"/>
      </rPr>
      <t xml:space="preserve"> 1622–1628 (2016).</t>
    </r>
  </si>
  <si>
    <r>
      <t xml:space="preserve">Marques, M. J., García-Muñoz, S., Muñoz-Organero, G. &amp; Bienes, R. Soil conservation beneath grass cover in hillside vineyards under mediterranean climatic conditions (MADRID, SPAIN). </t>
    </r>
    <r>
      <rPr>
        <i/>
        <sz val="12"/>
        <color rgb="FF000000"/>
        <rFont val="Times New Roman"/>
        <family val="1"/>
      </rPr>
      <t>L. Degrad. Dev.</t>
    </r>
    <r>
      <rPr>
        <sz val="12"/>
        <color rgb="FF000000"/>
        <rFont val="Times New Roman"/>
        <family val="1"/>
      </rPr>
      <t xml:space="preserve"> </t>
    </r>
    <r>
      <rPr>
        <b/>
        <sz val="12"/>
        <color rgb="FF000000"/>
        <rFont val="Times New Roman"/>
        <family val="1"/>
      </rPr>
      <t>21,</t>
    </r>
    <r>
      <rPr>
        <sz val="12"/>
        <color rgb="FF000000"/>
        <rFont val="Times New Roman"/>
        <family val="1"/>
      </rPr>
      <t xml:space="preserve"> 122–131 (2010).</t>
    </r>
  </si>
  <si>
    <t>Montanaro, G., Celano, G., Dichio, B. &amp; Xiloyannis, C. Effects of soil‐- protecting agricultural practices on soil organic carbon and productivity in fruit tree orchards. L. Degrad. Dev. 21, 132–138 (2010).</t>
  </si>
  <si>
    <r>
      <t xml:space="preserve">Moore, E. B., Wiedenhoeft, M. H., Kaspar, T. C. &amp; Cambardella, C. A. Rye Cover Crop Effects on Soil Quality in No-Till Corn Silage–Soybean Cropping Systems. </t>
    </r>
    <r>
      <rPr>
        <i/>
        <sz val="12"/>
        <color rgb="FF000000"/>
        <rFont val="Times New Roman"/>
        <family val="1"/>
      </rPr>
      <t>Soil Sci. Soc. Am. J.</t>
    </r>
    <r>
      <rPr>
        <sz val="12"/>
        <color rgb="FF000000"/>
        <rFont val="Times New Roman"/>
        <family val="1"/>
      </rPr>
      <t xml:space="preserve"> </t>
    </r>
    <r>
      <rPr>
        <b/>
        <sz val="12"/>
        <color rgb="FF000000"/>
        <rFont val="Times New Roman"/>
        <family val="1"/>
      </rPr>
      <t>78,</t>
    </r>
    <r>
      <rPr>
        <sz val="12"/>
        <color rgb="FF000000"/>
        <rFont val="Times New Roman"/>
        <family val="1"/>
      </rPr>
      <t xml:space="preserve"> 968 (2014).</t>
    </r>
  </si>
  <si>
    <r>
      <t xml:space="preserve">Olson, K., Ebelhar, S. A. &amp; Lang, J. M. Long-Term Effects of Cover Crops on Crop Yields, Soil Organic Carbon Stocks and Sequestration. </t>
    </r>
    <r>
      <rPr>
        <i/>
        <sz val="12"/>
        <color rgb="FF000000"/>
        <rFont val="Times New Roman"/>
        <family val="1"/>
      </rPr>
      <t>Open J. Soil Sci.</t>
    </r>
    <r>
      <rPr>
        <sz val="12"/>
        <color rgb="FF000000"/>
        <rFont val="Times New Roman"/>
        <family val="1"/>
      </rPr>
      <t xml:space="preserve"> </t>
    </r>
    <r>
      <rPr>
        <b/>
        <sz val="12"/>
        <color rgb="FF000000"/>
        <rFont val="Times New Roman"/>
        <family val="1"/>
      </rPr>
      <t>04,</t>
    </r>
    <r>
      <rPr>
        <sz val="12"/>
        <color rgb="FF000000"/>
        <rFont val="Times New Roman"/>
        <family val="1"/>
      </rPr>
      <t xml:space="preserve"> 284–292 (2014).</t>
    </r>
  </si>
  <si>
    <r>
      <t xml:space="preserve">Piccoli, I., Camarotto, C., Lazzaro, B., Furlan, L. &amp; Morari, F. Conservation Agriculture Had a Poor Impact on the Soil Porosity of Veneto Low-lying Plain Silty Soils after a 5-year Transition Period. </t>
    </r>
    <r>
      <rPr>
        <i/>
        <sz val="12"/>
        <color rgb="FF000000"/>
        <rFont val="Times New Roman"/>
        <family val="1"/>
      </rPr>
      <t>L. Degrad. Dev.</t>
    </r>
    <r>
      <rPr>
        <sz val="12"/>
        <color rgb="FF000000"/>
        <rFont val="Times New Roman"/>
        <family val="1"/>
      </rPr>
      <t xml:space="preserve"> </t>
    </r>
    <r>
      <rPr>
        <b/>
        <sz val="12"/>
        <color rgb="FF000000"/>
        <rFont val="Times New Roman"/>
        <family val="1"/>
      </rPr>
      <t>28,</t>
    </r>
    <r>
      <rPr>
        <sz val="12"/>
        <color rgb="FF000000"/>
        <rFont val="Times New Roman"/>
        <family val="1"/>
      </rPr>
      <t xml:space="preserve"> 2039–2050 (2017).</t>
    </r>
  </si>
  <si>
    <r>
      <t xml:space="preserve">Repullo-Ruibérriz de Torres, M. A. </t>
    </r>
    <r>
      <rPr>
        <i/>
        <sz val="12"/>
        <color rgb="FF000000"/>
        <rFont val="Times New Roman"/>
        <family val="1"/>
      </rPr>
      <t>et al.</t>
    </r>
    <r>
      <rPr>
        <sz val="12"/>
        <color rgb="FF000000"/>
        <rFont val="Times New Roman"/>
        <family val="1"/>
      </rPr>
      <t xml:space="preserve"> Efficiency of four different seeded plants and native vegetation as cover crops in the control of soil and carbon losses by water erosion in olive orchards. </t>
    </r>
    <r>
      <rPr>
        <i/>
        <sz val="12"/>
        <color rgb="FF000000"/>
        <rFont val="Times New Roman"/>
        <family val="1"/>
      </rPr>
      <t>L. Degrad. Dev.</t>
    </r>
    <r>
      <rPr>
        <sz val="12"/>
        <color rgb="FF000000"/>
        <rFont val="Times New Roman"/>
        <family val="1"/>
      </rPr>
      <t xml:space="preserve"> </t>
    </r>
    <r>
      <rPr>
        <b/>
        <sz val="12"/>
        <color rgb="FF000000"/>
        <rFont val="Times New Roman"/>
        <family val="1"/>
      </rPr>
      <t>29,</t>
    </r>
    <r>
      <rPr>
        <sz val="12"/>
        <color rgb="FF000000"/>
        <rFont val="Times New Roman"/>
        <family val="1"/>
      </rPr>
      <t xml:space="preserve"> 2278–2290 (2018).</t>
    </r>
  </si>
  <si>
    <r>
      <t xml:space="preserve">Sporton, D. Cultivating Success in Uganda: Kigezi Farm- ersandcolonial Policies, Carswell Grace. </t>
    </r>
    <r>
      <rPr>
        <i/>
        <sz val="12"/>
        <color rgb="FF000000"/>
        <rFont val="Times New Roman"/>
        <family val="1"/>
      </rPr>
      <t>L. Degrad. Dev.</t>
    </r>
    <r>
      <rPr>
        <sz val="12"/>
        <color rgb="FF000000"/>
        <rFont val="Times New Roman"/>
        <family val="1"/>
      </rPr>
      <t xml:space="preserve"> </t>
    </r>
    <r>
      <rPr>
        <b/>
        <sz val="12"/>
        <color rgb="FF000000"/>
        <rFont val="Times New Roman"/>
        <family val="1"/>
      </rPr>
      <t>20,</t>
    </r>
    <r>
      <rPr>
        <sz val="12"/>
        <color rgb="FF000000"/>
        <rFont val="Times New Roman"/>
        <family val="1"/>
      </rPr>
      <t xml:space="preserve"> 587–588 (2009).</t>
    </r>
  </si>
  <si>
    <r>
      <t xml:space="preserve">Wiesmeier, M. </t>
    </r>
    <r>
      <rPr>
        <i/>
        <sz val="12"/>
        <color rgb="FF000000"/>
        <rFont val="Times New Roman"/>
        <family val="1"/>
      </rPr>
      <t>et al.</t>
    </r>
    <r>
      <rPr>
        <sz val="12"/>
        <color rgb="FF000000"/>
        <rFont val="Times New Roman"/>
        <family val="1"/>
      </rPr>
      <t xml:space="preserve"> Rebuilding soil carbon in degraded steppe soils of Eastern Europe: The importance of windbreaks and improved cropland management. </t>
    </r>
    <r>
      <rPr>
        <i/>
        <sz val="12"/>
        <color rgb="FF000000"/>
        <rFont val="Times New Roman"/>
        <family val="1"/>
      </rPr>
      <t>L. Degrad. Dev.</t>
    </r>
    <r>
      <rPr>
        <sz val="12"/>
        <color rgb="FF000000"/>
        <rFont val="Times New Roman"/>
        <family val="1"/>
      </rPr>
      <t xml:space="preserve"> </t>
    </r>
    <r>
      <rPr>
        <b/>
        <sz val="12"/>
        <color rgb="FF000000"/>
        <rFont val="Times New Roman"/>
        <family val="1"/>
      </rPr>
      <t>29,</t>
    </r>
    <r>
      <rPr>
        <sz val="12"/>
        <color rgb="FF000000"/>
        <rFont val="Times New Roman"/>
        <family val="1"/>
      </rPr>
      <t xml:space="preserve"> 875–883 (2018).</t>
    </r>
  </si>
  <si>
    <r>
      <t xml:space="preserve">Andrews, S. S. </t>
    </r>
    <r>
      <rPr>
        <i/>
        <sz val="12"/>
        <color rgb="FF000000"/>
        <rFont val="Times New Roman"/>
        <family val="1"/>
      </rPr>
      <t>et al.</t>
    </r>
    <r>
      <rPr>
        <sz val="12"/>
        <color rgb="FF000000"/>
        <rFont val="Times New Roman"/>
        <family val="1"/>
      </rPr>
      <t xml:space="preserve"> On-Farm Assessment of Soil Quality in California ’ s Central Valley. </t>
    </r>
    <r>
      <rPr>
        <i/>
        <sz val="12"/>
        <color rgb="FF000000"/>
        <rFont val="Times New Roman"/>
        <family val="1"/>
      </rPr>
      <t>Agron. J.</t>
    </r>
    <r>
      <rPr>
        <sz val="12"/>
        <color rgb="FF000000"/>
        <rFont val="Times New Roman"/>
        <family val="1"/>
      </rPr>
      <t xml:space="preserve"> </t>
    </r>
    <r>
      <rPr>
        <b/>
        <sz val="12"/>
        <color rgb="FF000000"/>
        <rFont val="Times New Roman"/>
        <family val="1"/>
      </rPr>
      <t>94,</t>
    </r>
    <r>
      <rPr>
        <sz val="12"/>
        <color rgb="FF000000"/>
        <rFont val="Times New Roman"/>
        <family val="1"/>
      </rPr>
      <t xml:space="preserve"> 12–23 (2002).</t>
    </r>
  </si>
  <si>
    <r>
      <t xml:space="preserve">Brown, S. A., Cook, H. F. &amp; Lee, H. C. Topsoil characteristics from a paired farm survey of organic versus conventional farming in southern England. </t>
    </r>
    <r>
      <rPr>
        <i/>
        <sz val="12"/>
        <color rgb="FF000000"/>
        <rFont val="Times New Roman"/>
        <family val="1"/>
      </rPr>
      <t>Biol. Agric. Hortic.</t>
    </r>
    <r>
      <rPr>
        <sz val="12"/>
        <color rgb="FF000000"/>
        <rFont val="Times New Roman"/>
        <family val="1"/>
      </rPr>
      <t xml:space="preserve"> </t>
    </r>
    <r>
      <rPr>
        <b/>
        <sz val="12"/>
        <color rgb="FF000000"/>
        <rFont val="Times New Roman"/>
        <family val="1"/>
      </rPr>
      <t>18,</t>
    </r>
    <r>
      <rPr>
        <sz val="12"/>
        <color rgb="FF000000"/>
        <rFont val="Times New Roman"/>
        <family val="1"/>
      </rPr>
      <t xml:space="preserve"> 37–54 (2000).</t>
    </r>
  </si>
  <si>
    <r>
      <t xml:space="preserve">Benitez, E., Nogales, R., Campos, M. &amp; Ruano, F. Biochemical variability of olive-orchard soils under different management systems. </t>
    </r>
    <r>
      <rPr>
        <i/>
        <sz val="12"/>
        <color rgb="FF000000"/>
        <rFont val="Times New Roman"/>
        <family val="1"/>
      </rPr>
      <t>Appl. Soil Ecol.</t>
    </r>
    <r>
      <rPr>
        <sz val="12"/>
        <color rgb="FF000000"/>
        <rFont val="Times New Roman"/>
        <family val="1"/>
      </rPr>
      <t xml:space="preserve"> </t>
    </r>
    <r>
      <rPr>
        <b/>
        <sz val="12"/>
        <color rgb="FF000000"/>
        <rFont val="Times New Roman"/>
        <family val="1"/>
      </rPr>
      <t>32,</t>
    </r>
    <r>
      <rPr>
        <sz val="12"/>
        <color rgb="FF000000"/>
        <rFont val="Times New Roman"/>
        <family val="1"/>
      </rPr>
      <t xml:space="preserve"> 221–231 (2006).</t>
    </r>
  </si>
  <si>
    <r>
      <t xml:space="preserve">Blaise, D. Yield, boll distribution and fibre quality of hybrid cotton (Gossypium hirsutum L.) as influenced by organic and modern methods of cultivation. </t>
    </r>
    <r>
      <rPr>
        <i/>
        <sz val="12"/>
        <color rgb="FF000000"/>
        <rFont val="Times New Roman"/>
        <family val="1"/>
      </rPr>
      <t>J. Agron. Crop Sci.</t>
    </r>
    <r>
      <rPr>
        <sz val="12"/>
        <color rgb="FF000000"/>
        <rFont val="Times New Roman"/>
        <family val="1"/>
      </rPr>
      <t xml:space="preserve"> </t>
    </r>
    <r>
      <rPr>
        <b/>
        <sz val="12"/>
        <color rgb="FF000000"/>
        <rFont val="Times New Roman"/>
        <family val="1"/>
      </rPr>
      <t>192,</t>
    </r>
    <r>
      <rPr>
        <sz val="12"/>
        <color rgb="FF000000"/>
        <rFont val="Times New Roman"/>
        <family val="1"/>
      </rPr>
      <t xml:space="preserve"> 248–256 (2006).</t>
    </r>
  </si>
  <si>
    <r>
      <t xml:space="preserve">Blakemore, R. J. Ecology of earthworms under the ‘Haughley Experiment’of organic and conventional management regimes. </t>
    </r>
    <r>
      <rPr>
        <i/>
        <sz val="12"/>
        <color rgb="FF000000"/>
        <rFont val="Times New Roman"/>
        <family val="1"/>
      </rPr>
      <t>Biol. Agric. Hortic.</t>
    </r>
    <r>
      <rPr>
        <sz val="12"/>
        <color rgb="FF000000"/>
        <rFont val="Times New Roman"/>
        <family val="1"/>
      </rPr>
      <t xml:space="preserve"> </t>
    </r>
    <r>
      <rPr>
        <b/>
        <sz val="12"/>
        <color rgb="FF000000"/>
        <rFont val="Times New Roman"/>
        <family val="1"/>
      </rPr>
      <t>18,</t>
    </r>
    <r>
      <rPr>
        <sz val="12"/>
        <color rgb="FF000000"/>
        <rFont val="Times New Roman"/>
        <family val="1"/>
      </rPr>
      <t xml:space="preserve"> 41–159 (2000).</t>
    </r>
  </si>
  <si>
    <r>
      <t xml:space="preserve">Campos-Herrera, R., Piedra-Buena, A., Escuer, M., Montalbán, B. &amp; Gutiérrez, C. Effect of seasonality and agricultural practices on occurrence of entomopathogenic nematodes and soil characteristics in La Rioja (Northern Spain). </t>
    </r>
    <r>
      <rPr>
        <i/>
        <sz val="12"/>
        <color rgb="FF000000"/>
        <rFont val="Times New Roman"/>
        <family val="1"/>
      </rPr>
      <t>Pedobiologia (Jena).</t>
    </r>
    <r>
      <rPr>
        <sz val="12"/>
        <color rgb="FF000000"/>
        <rFont val="Times New Roman"/>
        <family val="1"/>
      </rPr>
      <t xml:space="preserve"> </t>
    </r>
    <r>
      <rPr>
        <b/>
        <sz val="12"/>
        <color rgb="FF000000"/>
        <rFont val="Times New Roman"/>
        <family val="1"/>
      </rPr>
      <t>53,</t>
    </r>
    <r>
      <rPr>
        <sz val="12"/>
        <color rgb="FF000000"/>
        <rFont val="Times New Roman"/>
        <family val="1"/>
      </rPr>
      <t xml:space="preserve"> 253–258 (2010).</t>
    </r>
  </si>
  <si>
    <r>
      <t xml:space="preserve">Canali, S. </t>
    </r>
    <r>
      <rPr>
        <i/>
        <sz val="12"/>
        <color rgb="FF000000"/>
        <rFont val="Times New Roman"/>
        <family val="1"/>
      </rPr>
      <t>et al.</t>
    </r>
    <r>
      <rPr>
        <sz val="12"/>
        <color rgb="FF000000"/>
        <rFont val="Times New Roman"/>
        <family val="1"/>
      </rPr>
      <t xml:space="preserve"> Effect of different management strategies on soil quality of citrus orchards in Southern Italy. </t>
    </r>
    <r>
      <rPr>
        <i/>
        <sz val="12"/>
        <color rgb="FF000000"/>
        <rFont val="Times New Roman"/>
        <family val="1"/>
      </rPr>
      <t>Soil Use Manag.</t>
    </r>
    <r>
      <rPr>
        <sz val="12"/>
        <color rgb="FF000000"/>
        <rFont val="Times New Roman"/>
        <family val="1"/>
      </rPr>
      <t xml:space="preserve"> </t>
    </r>
    <r>
      <rPr>
        <b/>
        <sz val="12"/>
        <color rgb="FF000000"/>
        <rFont val="Times New Roman"/>
        <family val="1"/>
      </rPr>
      <t>25,</t>
    </r>
    <r>
      <rPr>
        <sz val="12"/>
        <color rgb="FF000000"/>
        <rFont val="Times New Roman"/>
        <family val="1"/>
      </rPr>
      <t xml:space="preserve"> 34–42 (2009).</t>
    </r>
  </si>
  <si>
    <r>
      <t xml:space="preserve">Diez, T. </t>
    </r>
    <r>
      <rPr>
        <i/>
        <sz val="12"/>
        <color rgb="FF000000"/>
        <rFont val="Times New Roman"/>
        <family val="1"/>
      </rPr>
      <t>et al.</t>
    </r>
    <r>
      <rPr>
        <sz val="12"/>
        <color rgb="FF000000"/>
        <rFont val="Times New Roman"/>
        <family val="1"/>
      </rPr>
      <t xml:space="preserve"> Vergleichende Bodenuntersuchungen von konventionell und alternativ bewirtschafteten Betriebsschlägen. </t>
    </r>
    <r>
      <rPr>
        <i/>
        <sz val="12"/>
        <color rgb="FF000000"/>
        <rFont val="Times New Roman"/>
        <family val="1"/>
      </rPr>
      <t>Bayer. Landwirtsch. Jahrb.</t>
    </r>
    <r>
      <rPr>
        <sz val="12"/>
        <color rgb="FF000000"/>
        <rFont val="Times New Roman"/>
        <family val="1"/>
      </rPr>
      <t xml:space="preserve"> </t>
    </r>
    <r>
      <rPr>
        <b/>
        <sz val="12"/>
        <color rgb="FF000000"/>
        <rFont val="Times New Roman"/>
        <family val="1"/>
      </rPr>
      <t>63,</t>
    </r>
    <r>
      <rPr>
        <sz val="12"/>
        <color rgb="FF000000"/>
        <rFont val="Times New Roman"/>
        <family val="1"/>
      </rPr>
      <t xml:space="preserve"> 979–1019 (1986).</t>
    </r>
  </si>
  <si>
    <r>
      <t xml:space="preserve">Chirinda, N., Olesen, J. E., Porter, J. R. &amp; Schjønning, P. Soil properties, crop production and greenhouse gas emissions from organic and inorganic fertilizer-based arable cropping systems.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139,</t>
    </r>
    <r>
      <rPr>
        <sz val="12"/>
        <color rgb="FF000000"/>
        <rFont val="Times New Roman"/>
        <family val="1"/>
      </rPr>
      <t xml:space="preserve"> 584–594 (2010).</t>
    </r>
  </si>
  <si>
    <r>
      <t xml:space="preserve">Ciavatta, C., Gioacchini, P. &amp; Montecchio, D. Can organic farming contribute to carbon sequestration? A survey in a pear orchard in Emilia-Romagna region, Italy. in </t>
    </r>
    <r>
      <rPr>
        <i/>
        <sz val="12"/>
        <color rgb="FF000000"/>
        <rFont val="Times New Roman"/>
        <family val="1"/>
      </rPr>
      <t>16th IFOAM Organic World Congress, Modena, Italy</t>
    </r>
    <r>
      <rPr>
        <sz val="12"/>
        <color rgb="FF000000"/>
        <rFont val="Times New Roman"/>
        <family val="1"/>
      </rPr>
      <t xml:space="preserve"> 16–20 (2008).</t>
    </r>
  </si>
  <si>
    <r>
      <t xml:space="preserve">Clark, M. S., Horwarth, W. R., Shennan, C. &amp; Scow, K. M. Changes in soil chemical properties resulting fron organic and low-input farming practices. </t>
    </r>
    <r>
      <rPr>
        <i/>
        <sz val="12"/>
        <color rgb="FF000000"/>
        <rFont val="Times New Roman"/>
        <family val="1"/>
      </rPr>
      <t>Agron. Journal.</t>
    </r>
    <r>
      <rPr>
        <sz val="12"/>
        <color rgb="FF000000"/>
        <rFont val="Times New Roman"/>
        <family val="1"/>
      </rPr>
      <t xml:space="preserve"> </t>
    </r>
    <r>
      <rPr>
        <b/>
        <sz val="12"/>
        <color rgb="FF000000"/>
        <rFont val="Times New Roman"/>
        <family val="1"/>
      </rPr>
      <t>90.,</t>
    </r>
    <r>
      <rPr>
        <sz val="12"/>
        <color rgb="FF000000"/>
        <rFont val="Times New Roman"/>
        <family val="1"/>
      </rPr>
      <t xml:space="preserve"> 662–671. (1998)</t>
    </r>
  </si>
  <si>
    <r>
      <t xml:space="preserve">Delate, K. &amp; Cambardella, C. A. Agroecosystem performance during transition to certified organic grain production. </t>
    </r>
    <r>
      <rPr>
        <i/>
        <sz val="12"/>
        <color rgb="FF000000"/>
        <rFont val="Times New Roman"/>
        <family val="1"/>
      </rPr>
      <t>Agron. J.</t>
    </r>
    <r>
      <rPr>
        <sz val="12"/>
        <color rgb="FF000000"/>
        <rFont val="Times New Roman"/>
        <family val="1"/>
      </rPr>
      <t xml:space="preserve"> </t>
    </r>
    <r>
      <rPr>
        <b/>
        <sz val="12"/>
        <color rgb="FF000000"/>
        <rFont val="Times New Roman"/>
        <family val="1"/>
      </rPr>
      <t>96,</t>
    </r>
    <r>
      <rPr>
        <sz val="12"/>
        <color rgb="FF000000"/>
        <rFont val="Times New Roman"/>
        <family val="1"/>
      </rPr>
      <t xml:space="preserve"> 1288–1298 (2004).</t>
    </r>
  </si>
  <si>
    <r>
      <t xml:space="preserve">Deria, A. M., Bell, R. W. &amp; O’hara, G. W. Organic Wheat Production and Soil Nutrient Status in a Mediterranean Climatic Zone. </t>
    </r>
    <r>
      <rPr>
        <i/>
        <sz val="12"/>
        <color rgb="FF000000"/>
        <rFont val="Times New Roman"/>
        <family val="1"/>
      </rPr>
      <t>J. Sustain. Agric.</t>
    </r>
    <r>
      <rPr>
        <sz val="12"/>
        <color rgb="FF000000"/>
        <rFont val="Times New Roman"/>
        <family val="1"/>
      </rPr>
      <t xml:space="preserve"> </t>
    </r>
    <r>
      <rPr>
        <b/>
        <sz val="12"/>
        <color rgb="FF000000"/>
        <rFont val="Times New Roman"/>
        <family val="1"/>
      </rPr>
      <t>21,</t>
    </r>
    <r>
      <rPr>
        <sz val="12"/>
        <color rgb="FF000000"/>
        <rFont val="Times New Roman"/>
        <family val="1"/>
      </rPr>
      <t xml:space="preserve"> 21–47 (2003).</t>
    </r>
  </si>
  <si>
    <r>
      <t xml:space="preserve">Derrick, J. W. &amp; Dumaresq, D. C. Soil properties under organic and conventional management in southern New South Wales. </t>
    </r>
    <r>
      <rPr>
        <i/>
        <sz val="12"/>
        <color rgb="FF000000"/>
        <rFont val="Times New Roman"/>
        <family val="1"/>
      </rPr>
      <t>Soil Res.</t>
    </r>
    <r>
      <rPr>
        <sz val="12"/>
        <color rgb="FF000000"/>
        <rFont val="Times New Roman"/>
        <family val="1"/>
      </rPr>
      <t xml:space="preserve"> </t>
    </r>
    <r>
      <rPr>
        <b/>
        <sz val="12"/>
        <color rgb="FF000000"/>
        <rFont val="Times New Roman"/>
        <family val="1"/>
      </rPr>
      <t>37,</t>
    </r>
    <r>
      <rPr>
        <sz val="12"/>
        <color rgb="FF000000"/>
        <rFont val="Times New Roman"/>
        <family val="1"/>
      </rPr>
      <t xml:space="preserve"> 1047–1056 (1999).</t>
    </r>
  </si>
  <si>
    <r>
      <t xml:space="preserve">Diez, T., Bihler, E. &amp; Krauss, M. Auswirkungen abgestufter Intensitäten im Pflanzenbau auf Lebensgemeinschaften des Ackers, Bodenfruchtbarkeit und Ertrag. IV. Auswirkungen abgestufter Pflanzenbauintensitäten auf Bodenkennwerte und Nährstoffbilanz. </t>
    </r>
    <r>
      <rPr>
        <i/>
        <sz val="12"/>
        <color rgb="FF000000"/>
        <rFont val="Times New Roman"/>
        <family val="1"/>
      </rPr>
      <t>Bayer. Landw. Jahrb 68, 354–361 (1991).</t>
    </r>
  </si>
  <si>
    <r>
      <t xml:space="preserve">Dilly, O., Winter, K., Lang, A. &amp; Munch, J. C. Energetic eco-physiology of the soil microbiota in two landscapes of southern and northern Germany. </t>
    </r>
    <r>
      <rPr>
        <i/>
        <sz val="12"/>
        <color rgb="FF000000"/>
        <rFont val="Times New Roman"/>
        <family val="1"/>
      </rPr>
      <t>J. Plant Nutr. Soil Sci.</t>
    </r>
    <r>
      <rPr>
        <sz val="12"/>
        <color rgb="FF000000"/>
        <rFont val="Times New Roman"/>
        <family val="1"/>
      </rPr>
      <t xml:space="preserve"> </t>
    </r>
    <r>
      <rPr>
        <b/>
        <sz val="12"/>
        <color rgb="FF000000"/>
        <rFont val="Times New Roman"/>
        <family val="1"/>
      </rPr>
      <t>164,</t>
    </r>
    <r>
      <rPr>
        <sz val="12"/>
        <color rgb="FF000000"/>
        <rFont val="Times New Roman"/>
        <family val="1"/>
      </rPr>
      <t xml:space="preserve"> 407–413 (2001).</t>
    </r>
  </si>
  <si>
    <r>
      <t xml:space="preserve">Droogers, P. &amp; Bouma, J. Biodynamic vs. Conventional Farming Effects on Soil Structure Expressed by Simulated Potential Productivity. </t>
    </r>
    <r>
      <rPr>
        <i/>
        <sz val="12"/>
        <color rgb="FF000000"/>
        <rFont val="Times New Roman"/>
        <family val="1"/>
      </rPr>
      <t>Soil Sci. Soc. Am. J.</t>
    </r>
    <r>
      <rPr>
        <sz val="12"/>
        <color rgb="FF000000"/>
        <rFont val="Times New Roman"/>
        <family val="1"/>
      </rPr>
      <t xml:space="preserve"> </t>
    </r>
    <r>
      <rPr>
        <b/>
        <sz val="12"/>
        <color rgb="FF000000"/>
        <rFont val="Times New Roman"/>
        <family val="1"/>
      </rPr>
      <t>60,</t>
    </r>
    <r>
      <rPr>
        <sz val="12"/>
        <color rgb="FF000000"/>
        <rFont val="Times New Roman"/>
        <family val="1"/>
      </rPr>
      <t xml:space="preserve"> 1552 (1996).</t>
    </r>
  </si>
  <si>
    <r>
      <t xml:space="preserve">Efthimiadou, E., Papatheodorou, E. M., Monokrousos, N. &amp; Stamou, G. P. Changes of soil chemical, microbiological, and enzymatic variables in relation to management regime and the duration of organic farming in Phaseolus vulgaris. </t>
    </r>
    <r>
      <rPr>
        <i/>
        <sz val="12"/>
        <color rgb="FF000000"/>
        <rFont val="Times New Roman"/>
        <family val="1"/>
      </rPr>
      <t>J. Biol. Res.</t>
    </r>
    <r>
      <rPr>
        <sz val="12"/>
        <color rgb="FF000000"/>
        <rFont val="Times New Roman"/>
        <family val="1"/>
      </rPr>
      <t xml:space="preserve"> </t>
    </r>
    <r>
      <rPr>
        <b/>
        <sz val="12"/>
        <color rgb="FF000000"/>
        <rFont val="Times New Roman"/>
        <family val="1"/>
      </rPr>
      <t>14,</t>
    </r>
    <r>
      <rPr>
        <sz val="12"/>
        <color rgb="FF000000"/>
        <rFont val="Times New Roman"/>
        <family val="1"/>
      </rPr>
      <t xml:space="preserve"> 151–159 (2010).</t>
    </r>
  </si>
  <si>
    <r>
      <t xml:space="preserve">Eltun, R., Kors‘th, A. &amp; Nordheim, O. A comparison of environmental, soil fertility, yield, and economical effects in six cropping sysrtems based on an 8- years experiment in Norway.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90,</t>
    </r>
    <r>
      <rPr>
        <sz val="12"/>
        <color rgb="FF000000"/>
        <rFont val="Times New Roman"/>
        <family val="1"/>
      </rPr>
      <t xml:space="preserve"> 155–168 (2002).</t>
    </r>
  </si>
  <si>
    <t>Eyhorn, F., Ramakrishnan, M. &amp; Maeder, P. The viability of cotton-based organic farming systems in India. Int. J. Agric. Sustain. 5, 25–38 (2007).</t>
  </si>
  <si>
    <r>
      <t xml:space="preserve">Fraser, D. G., Doran, J. W., Sahs, W. W. &amp; Lesoing, G. W. Soil Microbial Populations and Activities under Conventional and Organic Management. </t>
    </r>
    <r>
      <rPr>
        <i/>
        <sz val="12"/>
        <color rgb="FF000000"/>
        <rFont val="Times New Roman"/>
        <family val="1"/>
      </rPr>
      <t>J. Environ. Qual.</t>
    </r>
    <r>
      <rPr>
        <sz val="12"/>
        <color rgb="FF000000"/>
        <rFont val="Times New Roman"/>
        <family val="1"/>
      </rPr>
      <t xml:space="preserve"> </t>
    </r>
    <r>
      <rPr>
        <b/>
        <sz val="12"/>
        <color rgb="FF000000"/>
        <rFont val="Times New Roman"/>
        <family val="1"/>
      </rPr>
      <t>17,</t>
    </r>
    <r>
      <rPr>
        <sz val="12"/>
        <color rgb="FF000000"/>
        <rFont val="Times New Roman"/>
        <family val="1"/>
      </rPr>
      <t xml:space="preserve"> 585 (1988).</t>
    </r>
  </si>
  <si>
    <r>
      <t xml:space="preserve">Friedel, J. K. The effect of farming system on labile fractions of organic matter in Calcari-Epileptic Regosols. </t>
    </r>
    <r>
      <rPr>
        <i/>
        <sz val="12"/>
        <color rgb="FF000000"/>
        <rFont val="Times New Roman"/>
        <family val="1"/>
      </rPr>
      <t>J. Plant Nutr. Soil Sci.</t>
    </r>
    <r>
      <rPr>
        <sz val="12"/>
        <color rgb="FF000000"/>
        <rFont val="Times New Roman"/>
        <family val="1"/>
      </rPr>
      <t xml:space="preserve"> </t>
    </r>
    <r>
      <rPr>
        <b/>
        <sz val="12"/>
        <color rgb="FF000000"/>
        <rFont val="Times New Roman"/>
        <family val="1"/>
      </rPr>
      <t>163,</t>
    </r>
    <r>
      <rPr>
        <sz val="12"/>
        <color rgb="FF000000"/>
        <rFont val="Times New Roman"/>
        <family val="1"/>
      </rPr>
      <t xml:space="preserve"> 41–45 (2000).</t>
    </r>
  </si>
  <si>
    <r>
      <t xml:space="preserve">García-Ruiz, R. </t>
    </r>
    <r>
      <rPr>
        <i/>
        <sz val="12"/>
        <color rgb="FF000000"/>
        <rFont val="Times New Roman"/>
        <family val="1"/>
      </rPr>
      <t>et al.</t>
    </r>
    <r>
      <rPr>
        <sz val="12"/>
        <color rgb="FF000000"/>
        <rFont val="Times New Roman"/>
        <family val="1"/>
      </rPr>
      <t xml:space="preserve"> Soil enzymes, nematode community and selected physico-chemical properties as soil quality indicators in organic and conventional olive oil farming: Influence of seasonality and site features. </t>
    </r>
    <r>
      <rPr>
        <i/>
        <sz val="12"/>
        <color rgb="FF000000"/>
        <rFont val="Times New Roman"/>
        <family val="1"/>
      </rPr>
      <t>Appl. Soil Ecol.</t>
    </r>
    <r>
      <rPr>
        <sz val="12"/>
        <color rgb="FF000000"/>
        <rFont val="Times New Roman"/>
        <family val="1"/>
      </rPr>
      <t xml:space="preserve"> </t>
    </r>
    <r>
      <rPr>
        <b/>
        <sz val="12"/>
        <color rgb="FF000000"/>
        <rFont val="Times New Roman"/>
        <family val="1"/>
      </rPr>
      <t>41,</t>
    </r>
    <r>
      <rPr>
        <sz val="12"/>
        <color rgb="FF000000"/>
        <rFont val="Times New Roman"/>
        <family val="1"/>
      </rPr>
      <t xml:space="preserve"> 305–314 (2009).</t>
    </r>
  </si>
  <si>
    <r>
      <t xml:space="preserve">Gardner, J. C. &amp; Clancy, S. A. Impact of Farming Practices on Soil Quality in North Dakota. </t>
    </r>
    <r>
      <rPr>
        <i/>
        <sz val="12"/>
        <color rgb="FF000000"/>
        <rFont val="Times New Roman"/>
        <family val="1"/>
      </rPr>
      <t>Methods Assess. soil Qual. methodsforasses</t>
    </r>
    <r>
      <rPr>
        <sz val="12"/>
        <color rgb="FF000000"/>
        <rFont val="Times New Roman"/>
        <family val="1"/>
      </rPr>
      <t xml:space="preserve"> 337–343 (1996). doi:10.1017/S000748530002229X</t>
    </r>
  </si>
  <si>
    <r>
      <t xml:space="preserve">Ge, T. </t>
    </r>
    <r>
      <rPr>
        <i/>
        <sz val="12"/>
        <color rgb="FF000000"/>
        <rFont val="Times New Roman"/>
        <family val="1"/>
      </rPr>
      <t>et al.</t>
    </r>
    <r>
      <rPr>
        <sz val="12"/>
        <color rgb="FF000000"/>
        <rFont val="Times New Roman"/>
        <family val="1"/>
      </rPr>
      <t xml:space="preserve"> Chemical properties, microbial biomass, and activity differ between soils of organic and conventional horticultural systems under greenhouse and open field management: A case study. </t>
    </r>
    <r>
      <rPr>
        <i/>
        <sz val="12"/>
        <color rgb="FF000000"/>
        <rFont val="Times New Roman"/>
        <family val="1"/>
      </rPr>
      <t>J. Soils Sediments</t>
    </r>
    <r>
      <rPr>
        <sz val="12"/>
        <color rgb="FF000000"/>
        <rFont val="Times New Roman"/>
        <family val="1"/>
      </rPr>
      <t xml:space="preserve"> </t>
    </r>
    <r>
      <rPr>
        <b/>
        <sz val="12"/>
        <color rgb="FF000000"/>
        <rFont val="Times New Roman"/>
        <family val="1"/>
      </rPr>
      <t>11,</t>
    </r>
    <r>
      <rPr>
        <sz val="12"/>
        <color rgb="FF000000"/>
        <rFont val="Times New Roman"/>
        <family val="1"/>
      </rPr>
      <t xml:space="preserve"> 25–36 (2011).</t>
    </r>
  </si>
  <si>
    <r>
      <t xml:space="preserve">Gerhardt, R. A. A Comparative Analysis of the Effects of Organic and Conventional Farming Systems on Soil Structure. </t>
    </r>
    <r>
      <rPr>
        <i/>
        <sz val="12"/>
        <color rgb="FF000000"/>
        <rFont val="Times New Roman"/>
        <family val="1"/>
      </rPr>
      <t>Biol. Agric. Hortic.</t>
    </r>
    <r>
      <rPr>
        <sz val="12"/>
        <color rgb="FF000000"/>
        <rFont val="Times New Roman"/>
        <family val="1"/>
      </rPr>
      <t xml:space="preserve"> </t>
    </r>
    <r>
      <rPr>
        <b/>
        <sz val="12"/>
        <color rgb="FF000000"/>
        <rFont val="Times New Roman"/>
        <family val="1"/>
      </rPr>
      <t>14,</t>
    </r>
    <r>
      <rPr>
        <sz val="12"/>
        <color rgb="FF000000"/>
        <rFont val="Times New Roman"/>
        <family val="1"/>
      </rPr>
      <t xml:space="preserve"> 139–157 (1997).</t>
    </r>
  </si>
  <si>
    <r>
      <t xml:space="preserve">Glover, J. D., Reganold, J. P. &amp; Andrews, P. K. Systematic method for rating soil quality of conventional, organic,\rand integrated apple orchards in Washington State.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80,</t>
    </r>
    <r>
      <rPr>
        <sz val="12"/>
        <color rgb="FF000000"/>
        <rFont val="Times New Roman"/>
        <family val="1"/>
      </rPr>
      <t xml:space="preserve"> 29–45 (2000).</t>
    </r>
  </si>
  <si>
    <r>
      <t xml:space="preserve">Gosling, P. &amp; Shepherd, M. Long-term changes in soil fertility in organic arable farming systems in England, with particular reference to phosphorus and potassium.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105,</t>
    </r>
    <r>
      <rPr>
        <sz val="12"/>
        <color rgb="FF000000"/>
        <rFont val="Times New Roman"/>
        <family val="1"/>
      </rPr>
      <t xml:space="preserve"> 425–432 (2005).</t>
    </r>
  </si>
  <si>
    <r>
      <t xml:space="preserve">Grandy, A. S. &amp; Robertson, G. P. Land-use intensity effects on soil organic carbon accumulation rates and mechanisms. </t>
    </r>
    <r>
      <rPr>
        <i/>
        <sz val="12"/>
        <color rgb="FF000000"/>
        <rFont val="Times New Roman"/>
        <family val="1"/>
      </rPr>
      <t>Ecosystems</t>
    </r>
    <r>
      <rPr>
        <sz val="12"/>
        <color rgb="FF000000"/>
        <rFont val="Times New Roman"/>
        <family val="1"/>
      </rPr>
      <t xml:space="preserve"> </t>
    </r>
    <r>
      <rPr>
        <b/>
        <sz val="12"/>
        <color rgb="FF000000"/>
        <rFont val="Times New Roman"/>
        <family val="1"/>
      </rPr>
      <t>10,</t>
    </r>
    <r>
      <rPr>
        <sz val="12"/>
        <color rgb="FF000000"/>
        <rFont val="Times New Roman"/>
        <family val="1"/>
      </rPr>
      <t xml:space="preserve"> 58–73 (2007).</t>
    </r>
  </si>
  <si>
    <t>Granstedt, A. &amp; Kjellenberg, L. Organic and biodynamic cultivation - a possible way of increasing humus capital, improving soil fertility and providing a significant carbon sink in Nordic conditions. in 16th IFOAM Organic World Congress, Modena, Italy (2008).</t>
  </si>
  <si>
    <r>
      <t xml:space="preserve">Haggar, J. </t>
    </r>
    <r>
      <rPr>
        <i/>
        <sz val="12"/>
        <color rgb="FF000000"/>
        <rFont val="Times New Roman"/>
        <family val="1"/>
      </rPr>
      <t>et al.</t>
    </r>
    <r>
      <rPr>
        <sz val="12"/>
        <color rgb="FF000000"/>
        <rFont val="Times New Roman"/>
        <family val="1"/>
      </rPr>
      <t xml:space="preserve"> Coffee agroecosystem performance under full sun, shade,conventional and organic management regimes in Central America. </t>
    </r>
    <r>
      <rPr>
        <i/>
        <sz val="12"/>
        <color rgb="FF000000"/>
        <rFont val="Times New Roman"/>
        <family val="1"/>
      </rPr>
      <t>Agrofor. Syst.</t>
    </r>
    <r>
      <rPr>
        <sz val="12"/>
        <color rgb="FF000000"/>
        <rFont val="Times New Roman"/>
        <family val="1"/>
      </rPr>
      <t xml:space="preserve"> </t>
    </r>
    <r>
      <rPr>
        <b/>
        <sz val="12"/>
        <color rgb="FF000000"/>
        <rFont val="Times New Roman"/>
        <family val="1"/>
      </rPr>
      <t>82,</t>
    </r>
    <r>
      <rPr>
        <sz val="12"/>
        <color rgb="FF000000"/>
        <rFont val="Times New Roman"/>
        <family val="1"/>
      </rPr>
      <t xml:space="preserve"> 285–301 (2011).</t>
    </r>
  </si>
  <si>
    <r>
      <t xml:space="preserve">Heitkamp, F., Raupp, J. &amp; Ludwig, B. Impact of fertilizer type and rate on carbon and nitrogen pools in a sandy Cambisol. </t>
    </r>
    <r>
      <rPr>
        <i/>
        <sz val="12"/>
        <color rgb="FF000000"/>
        <rFont val="Times New Roman"/>
        <family val="1"/>
      </rPr>
      <t>Plant Soil</t>
    </r>
    <r>
      <rPr>
        <sz val="12"/>
        <color rgb="FF000000"/>
        <rFont val="Times New Roman"/>
        <family val="1"/>
      </rPr>
      <t xml:space="preserve"> </t>
    </r>
    <r>
      <rPr>
        <b/>
        <sz val="12"/>
        <color rgb="FF000000"/>
        <rFont val="Times New Roman"/>
        <family val="1"/>
      </rPr>
      <t>319,</t>
    </r>
    <r>
      <rPr>
        <sz val="12"/>
        <color rgb="FF000000"/>
        <rFont val="Times New Roman"/>
        <family val="1"/>
      </rPr>
      <t xml:space="preserve"> 259–275 (2009).</t>
    </r>
  </si>
  <si>
    <r>
      <t xml:space="preserve">Hepperly, P. R., Jr, D. D. &amp; Seidel, R. The Rodale Institute Farming Systems Trial 1981 to 2005: long-term analysis of organic and conventional maize and soybean cropping systems. </t>
    </r>
    <r>
      <rPr>
        <i/>
        <sz val="12"/>
        <color rgb="FF000000"/>
        <rFont val="Times New Roman"/>
        <family val="1"/>
      </rPr>
      <t>Long-term F. Exp. Org. farming</t>
    </r>
    <r>
      <rPr>
        <sz val="12"/>
        <color rgb="FF000000"/>
        <rFont val="Times New Roman"/>
        <family val="1"/>
      </rPr>
      <t xml:space="preserve"> 15–31 (2006). doi:10.1017/S000748530002229X</t>
    </r>
  </si>
  <si>
    <r>
      <t xml:space="preserve">Herencia, J. F., García-Galavís, P. A. &amp; Maqueda, C. Long-Term Effect of Organic and Mineral Fertilization on Soil Physical Properties Under Greenhouse and Outdoor Management Practices. </t>
    </r>
    <r>
      <rPr>
        <i/>
        <sz val="12"/>
        <color rgb="FF000000"/>
        <rFont val="Times New Roman"/>
        <family val="1"/>
      </rPr>
      <t>Pedosphere</t>
    </r>
    <r>
      <rPr>
        <sz val="12"/>
        <color rgb="FF000000"/>
        <rFont val="Times New Roman"/>
        <family val="1"/>
      </rPr>
      <t xml:space="preserve"> </t>
    </r>
    <r>
      <rPr>
        <b/>
        <sz val="12"/>
        <color rgb="FF000000"/>
        <rFont val="Times New Roman"/>
        <family val="1"/>
      </rPr>
      <t>21,</t>
    </r>
    <r>
      <rPr>
        <sz val="12"/>
        <color rgb="FF000000"/>
        <rFont val="Times New Roman"/>
        <family val="1"/>
      </rPr>
      <t xml:space="preserve"> 443–453 (2011)</t>
    </r>
  </si>
  <si>
    <r>
      <t xml:space="preserve">Kahle, P., Baum, C. &amp; Borchwardt, M. Auswirkungen mehrjähriger ökologischer Bewirtschaftung auf ausgewählte Bodeneigenschaften, dargestellt am Beispiel des Versuchsfeldes Gülzow. </t>
    </r>
    <r>
      <rPr>
        <i/>
        <sz val="12"/>
        <color rgb="FF000000"/>
        <rFont val="Times New Roman"/>
        <family val="1"/>
      </rPr>
      <t>Mitteilungen der Landesforschungsanstalt für Landwirtschaft und Fischerei Mecklenburg-Vorpommern</t>
    </r>
    <r>
      <rPr>
        <sz val="12"/>
        <color rgb="FF000000"/>
        <rFont val="Times New Roman"/>
        <family val="1"/>
      </rPr>
      <t xml:space="preserve"> </t>
    </r>
    <r>
      <rPr>
        <b/>
        <sz val="12"/>
        <color rgb="FF000000"/>
        <rFont val="Times New Roman"/>
        <family val="1"/>
      </rPr>
      <t>33,</t>
    </r>
    <r>
      <rPr>
        <sz val="12"/>
        <color rgb="FF000000"/>
        <rFont val="Times New Roman"/>
        <family val="1"/>
      </rPr>
      <t xml:space="preserve"> 21–22 (2004).</t>
    </r>
  </si>
  <si>
    <r>
      <t xml:space="preserve">Kirchman, H., Bergstrom, L., Katterer, T., Mattsson, L., Gesslein, S. Comparison of Long-Term Organic and Conventional Crop-Livestock ... </t>
    </r>
    <r>
      <rPr>
        <i/>
        <sz val="12"/>
        <color rgb="FF000000"/>
        <rFont val="Times New Roman"/>
        <family val="1"/>
      </rPr>
      <t>Agron. J.</t>
    </r>
    <r>
      <rPr>
        <sz val="12"/>
        <color rgb="FF000000"/>
        <rFont val="Times New Roman"/>
        <family val="1"/>
      </rPr>
      <t xml:space="preserve"> </t>
    </r>
    <r>
      <rPr>
        <b/>
        <sz val="12"/>
        <color rgb="FF000000"/>
        <rFont val="Times New Roman"/>
        <family val="1"/>
      </rPr>
      <t>99,</t>
    </r>
    <r>
      <rPr>
        <sz val="12"/>
        <color rgb="FF000000"/>
        <rFont val="Times New Roman"/>
        <family val="1"/>
      </rPr>
      <t xml:space="preserve"> 960 (2007).</t>
    </r>
  </si>
  <si>
    <r>
      <t xml:space="preserve">Kong, A. Y. Y., Six, J., Bryant, D. C., Denison, R. F. &amp; van Kessel, C. The Relationship between Carbon Input, Aggregation, and Soil Organic Carbon Stabilization in Sustainable Cropping Systems. </t>
    </r>
    <r>
      <rPr>
        <i/>
        <sz val="12"/>
        <color rgb="FF000000"/>
        <rFont val="Times New Roman"/>
        <family val="1"/>
      </rPr>
      <t>Soil Sci. Soc. Am. J.</t>
    </r>
    <r>
      <rPr>
        <sz val="12"/>
        <color rgb="FF000000"/>
        <rFont val="Times New Roman"/>
        <family val="1"/>
      </rPr>
      <t xml:space="preserve"> </t>
    </r>
    <r>
      <rPr>
        <b/>
        <sz val="12"/>
        <color rgb="FF000000"/>
        <rFont val="Times New Roman"/>
        <family val="1"/>
      </rPr>
      <t>69,</t>
    </r>
    <r>
      <rPr>
        <sz val="12"/>
        <color rgb="FF000000"/>
        <rFont val="Times New Roman"/>
        <family val="1"/>
      </rPr>
      <t xml:space="preserve"> 1078 (2005).</t>
    </r>
  </si>
  <si>
    <r>
      <t xml:space="preserve">Kramer, S. B., Reganold, J. P., Glover, J. D., Bohannan, B. J. M. &amp; Mooney, H. A. Reduced nitrate leaching and enhanced denitrifier activity and efficiency in organically fertilized soils. </t>
    </r>
    <r>
      <rPr>
        <i/>
        <sz val="12"/>
        <color rgb="FF000000"/>
        <rFont val="Times New Roman"/>
        <family val="1"/>
      </rPr>
      <t>Proc. Natl. Acad. Sci.</t>
    </r>
    <r>
      <rPr>
        <sz val="12"/>
        <color rgb="FF000000"/>
        <rFont val="Times New Roman"/>
        <family val="1"/>
      </rPr>
      <t xml:space="preserve"> </t>
    </r>
    <r>
      <rPr>
        <b/>
        <sz val="12"/>
        <color rgb="FF000000"/>
        <rFont val="Times New Roman"/>
        <family val="1"/>
      </rPr>
      <t>103,</t>
    </r>
    <r>
      <rPr>
        <sz val="12"/>
        <color rgb="FF000000"/>
        <rFont val="Times New Roman"/>
        <family val="1"/>
      </rPr>
      <t xml:space="preserve"> 4522–4527 (2006).</t>
    </r>
  </si>
  <si>
    <r>
      <t xml:space="preserve">Leifeld, J., Reiser, R. &amp; Oberholzer, H. R. Consequences of Conventional versus Organic farming on Soil Carbon: Results from a 27-Year Field Experiment. </t>
    </r>
    <r>
      <rPr>
        <i/>
        <sz val="12"/>
        <color rgb="FF000000"/>
        <rFont val="Times New Roman"/>
        <family val="1"/>
      </rPr>
      <t>Agron. J.</t>
    </r>
    <r>
      <rPr>
        <sz val="12"/>
        <color rgb="FF000000"/>
        <rFont val="Times New Roman"/>
        <family val="1"/>
      </rPr>
      <t xml:space="preserve"> </t>
    </r>
    <r>
      <rPr>
        <b/>
        <sz val="12"/>
        <color rgb="FF000000"/>
        <rFont val="Times New Roman"/>
        <family val="1"/>
      </rPr>
      <t>101,</t>
    </r>
    <r>
      <rPr>
        <sz val="12"/>
        <color rgb="FF000000"/>
        <rFont val="Times New Roman"/>
        <family val="1"/>
      </rPr>
      <t xml:space="preserve"> 1204–1218 (2009).</t>
    </r>
  </si>
  <si>
    <r>
      <t xml:space="preserve">Leite, L. F. </t>
    </r>
    <r>
      <rPr>
        <i/>
        <sz val="12"/>
        <color rgb="FF000000"/>
        <rFont val="Times New Roman"/>
        <family val="1"/>
      </rPr>
      <t>et al.</t>
    </r>
    <r>
      <rPr>
        <sz val="12"/>
        <color rgb="FF000000"/>
        <rFont val="Times New Roman"/>
        <family val="1"/>
      </rPr>
      <t xml:space="preserve"> Soil organic carbon and biological indicators in an Acrisol under tillage systems and organic management in north-eastern Brazil. </t>
    </r>
    <r>
      <rPr>
        <i/>
        <sz val="12"/>
        <color rgb="FF000000"/>
        <rFont val="Times New Roman"/>
        <family val="1"/>
      </rPr>
      <t>Soil Res.</t>
    </r>
    <r>
      <rPr>
        <sz val="12"/>
        <color rgb="FF000000"/>
        <rFont val="Times New Roman"/>
        <family val="1"/>
      </rPr>
      <t xml:space="preserve"> </t>
    </r>
    <r>
      <rPr>
        <b/>
        <sz val="12"/>
        <color rgb="FF000000"/>
        <rFont val="Times New Roman"/>
        <family val="1"/>
      </rPr>
      <t>48,</t>
    </r>
    <r>
      <rPr>
        <sz val="12"/>
        <color rgb="FF000000"/>
        <rFont val="Times New Roman"/>
        <family val="1"/>
      </rPr>
      <t xml:space="preserve"> 258–265 (2010).</t>
    </r>
  </si>
  <si>
    <r>
      <t xml:space="preserve">Liebig, M. a &amp; Doran, J. W. Impact of organic production practices on soil quality indicators. </t>
    </r>
    <r>
      <rPr>
        <i/>
        <sz val="12"/>
        <color rgb="FF000000"/>
        <rFont val="Times New Roman"/>
        <family val="1"/>
      </rPr>
      <t>J. Environ. Qual.</t>
    </r>
    <r>
      <rPr>
        <sz val="12"/>
        <color rgb="FF000000"/>
        <rFont val="Times New Roman"/>
        <family val="1"/>
      </rPr>
      <t xml:space="preserve"> </t>
    </r>
    <r>
      <rPr>
        <b/>
        <sz val="12"/>
        <color rgb="FF000000"/>
        <rFont val="Times New Roman"/>
        <family val="1"/>
      </rPr>
      <t>28,</t>
    </r>
    <r>
      <rPr>
        <sz val="12"/>
        <color rgb="FF000000"/>
        <rFont val="Times New Roman"/>
        <family val="1"/>
      </rPr>
      <t xml:space="preserve"> 1601–1609 (1999).</t>
    </r>
  </si>
  <si>
    <t>Lytton‐Hitchins, J. A., Koppi, A. J. &amp; McBratney., A. B. The soil condition of adjacent bio‐dynamic and conventionally managed dairy pastures in Victoria, Australia. Soil Use Manag. 10, 79–87 (1994).</t>
  </si>
  <si>
    <r>
      <t xml:space="preserve">Marinari, S., Liburdi, K., Fliessbach, A. &amp; Kalbitz, K. Effects of organic management on water-extractable organic matter and C mineralization in European arable soils. </t>
    </r>
    <r>
      <rPr>
        <i/>
        <sz val="12"/>
        <color rgb="FF000000"/>
        <rFont val="Times New Roman"/>
        <family val="1"/>
      </rPr>
      <t>Soil Tillage Res.</t>
    </r>
    <r>
      <rPr>
        <sz val="12"/>
        <color rgb="FF000000"/>
        <rFont val="Times New Roman"/>
        <family val="1"/>
      </rPr>
      <t xml:space="preserve"> </t>
    </r>
    <r>
      <rPr>
        <b/>
        <sz val="12"/>
        <color rgb="FF000000"/>
        <rFont val="Times New Roman"/>
        <family val="1"/>
      </rPr>
      <t>106,</t>
    </r>
    <r>
      <rPr>
        <sz val="12"/>
        <color rgb="FF000000"/>
        <rFont val="Times New Roman"/>
        <family val="1"/>
      </rPr>
      <t xml:space="preserve"> 211–217 (2010).</t>
    </r>
  </si>
  <si>
    <r>
      <t xml:space="preserve">Marinari, S., Lagomarsino, A., Moscatelli, M. C., Di Tizio, A. &amp; Campiglia, E. Soil carbon and nitrogen mineralization kinetics in organic and conventional three-year cropping systems. </t>
    </r>
    <r>
      <rPr>
        <i/>
        <sz val="12"/>
        <color rgb="FF000000"/>
        <rFont val="Times New Roman"/>
        <family val="1"/>
      </rPr>
      <t>Soil Tillage Res.</t>
    </r>
    <r>
      <rPr>
        <sz val="12"/>
        <color rgb="FF000000"/>
        <rFont val="Times New Roman"/>
        <family val="1"/>
      </rPr>
      <t xml:space="preserve"> </t>
    </r>
    <r>
      <rPr>
        <b/>
        <sz val="12"/>
        <color rgb="FF000000"/>
        <rFont val="Times New Roman"/>
        <family val="1"/>
      </rPr>
      <t>109,</t>
    </r>
    <r>
      <rPr>
        <sz val="12"/>
        <color rgb="FF000000"/>
        <rFont val="Times New Roman"/>
        <family val="1"/>
      </rPr>
      <t xml:space="preserve"> 161–168 (2010).</t>
    </r>
  </si>
  <si>
    <r>
      <t xml:space="preserve">Mazzoncini, M. </t>
    </r>
    <r>
      <rPr>
        <i/>
        <sz val="12"/>
        <color rgb="FF000000"/>
        <rFont val="Times New Roman"/>
        <family val="1"/>
      </rPr>
      <t>et al.</t>
    </r>
    <r>
      <rPr>
        <sz val="12"/>
        <color rgb="FF000000"/>
        <rFont val="Times New Roman"/>
        <family val="1"/>
      </rPr>
      <t xml:space="preserve"> Comparison of organic and conventional stockless arable systems: A multidisciplinary approach to soil quality evaluation. </t>
    </r>
    <r>
      <rPr>
        <i/>
        <sz val="12"/>
        <color rgb="FF000000"/>
        <rFont val="Times New Roman"/>
        <family val="1"/>
      </rPr>
      <t>Appl. Soil Ecol.</t>
    </r>
    <r>
      <rPr>
        <sz val="12"/>
        <color rgb="FF000000"/>
        <rFont val="Times New Roman"/>
        <family val="1"/>
      </rPr>
      <t xml:space="preserve"> </t>
    </r>
    <r>
      <rPr>
        <b/>
        <sz val="12"/>
        <color rgb="FF000000"/>
        <rFont val="Times New Roman"/>
        <family val="1"/>
      </rPr>
      <t>44,</t>
    </r>
    <r>
      <rPr>
        <sz val="12"/>
        <color rgb="FF000000"/>
        <rFont val="Times New Roman"/>
        <family val="1"/>
      </rPr>
      <t xml:space="preserve"> 124–132 (2010).</t>
    </r>
  </si>
  <si>
    <r>
      <t xml:space="preserve">Melero, S., Porras, J. C. R., Herencia, J. F. &amp; Madejon, E. Chemical and biochemical properties in a silty loam soil under conventional and organic management. </t>
    </r>
    <r>
      <rPr>
        <i/>
        <sz val="12"/>
        <color rgb="FF000000"/>
        <rFont val="Times New Roman"/>
        <family val="1"/>
      </rPr>
      <t>Soil Tillage Res.</t>
    </r>
    <r>
      <rPr>
        <sz val="12"/>
        <color rgb="FF000000"/>
        <rFont val="Times New Roman"/>
        <family val="1"/>
      </rPr>
      <t xml:space="preserve"> </t>
    </r>
    <r>
      <rPr>
        <b/>
        <sz val="12"/>
        <color rgb="FF000000"/>
        <rFont val="Times New Roman"/>
        <family val="1"/>
      </rPr>
      <t>90,</t>
    </r>
    <r>
      <rPr>
        <sz val="12"/>
        <color rgb="FF000000"/>
        <rFont val="Times New Roman"/>
        <family val="1"/>
      </rPr>
      <t xml:space="preserve"> 162–170 (2006).</t>
    </r>
  </si>
  <si>
    <r>
      <t xml:space="preserve">Moeskops, B. </t>
    </r>
    <r>
      <rPr>
        <i/>
        <sz val="12"/>
        <color rgb="FF000000"/>
        <rFont val="Times New Roman"/>
        <family val="1"/>
      </rPr>
      <t>et al.</t>
    </r>
    <r>
      <rPr>
        <sz val="12"/>
        <color rgb="FF000000"/>
        <rFont val="Times New Roman"/>
        <family val="1"/>
      </rPr>
      <t xml:space="preserve"> Soil microbial communities and activities under intensive organic and conventional vegetable farming in West Java, Indonesia. </t>
    </r>
    <r>
      <rPr>
        <i/>
        <sz val="12"/>
        <color rgb="FF000000"/>
        <rFont val="Times New Roman"/>
        <family val="1"/>
      </rPr>
      <t>Appl. Soil Ecol.</t>
    </r>
    <r>
      <rPr>
        <sz val="12"/>
        <color rgb="FF000000"/>
        <rFont val="Times New Roman"/>
        <family val="1"/>
      </rPr>
      <t xml:space="preserve"> </t>
    </r>
    <r>
      <rPr>
        <b/>
        <sz val="12"/>
        <color rgb="FF000000"/>
        <rFont val="Times New Roman"/>
        <family val="1"/>
      </rPr>
      <t>45,</t>
    </r>
    <r>
      <rPr>
        <sz val="12"/>
        <color rgb="FF000000"/>
        <rFont val="Times New Roman"/>
        <family val="1"/>
      </rPr>
      <t xml:space="preserve"> 112–120 (2010).</t>
    </r>
  </si>
  <si>
    <r>
      <t xml:space="preserve">Mulia, D. J., Huyck, L. M. &amp; Reganold, J. P. Temporal variation in aggregate stability on conventional and alternative farms. </t>
    </r>
    <r>
      <rPr>
        <i/>
        <sz val="12"/>
        <color rgb="FF000000"/>
        <rFont val="Times New Roman"/>
        <family val="1"/>
      </rPr>
      <t>Soil Sci. Soc. Am. J.</t>
    </r>
    <r>
      <rPr>
        <sz val="12"/>
        <color rgb="FF000000"/>
        <rFont val="Times New Roman"/>
        <family val="1"/>
      </rPr>
      <t xml:space="preserve"> </t>
    </r>
    <r>
      <rPr>
        <b/>
        <sz val="12"/>
        <color rgb="FF000000"/>
        <rFont val="Times New Roman"/>
        <family val="1"/>
      </rPr>
      <t>56,</t>
    </r>
    <r>
      <rPr>
        <sz val="12"/>
        <color rgb="FF000000"/>
        <rFont val="Times New Roman"/>
        <family val="1"/>
      </rPr>
      <t xml:space="preserve"> 1620–1624 (1992).</t>
    </r>
  </si>
  <si>
    <r>
      <t xml:space="preserve">Murata, T. &amp; Goh, K. M. Effects of cropping systems on soil organic matter in a pair of conventional and biodynamic mixed cropping farms in Canterbury, New Zealand. </t>
    </r>
    <r>
      <rPr>
        <i/>
        <sz val="12"/>
        <color rgb="FF000000"/>
        <rFont val="Times New Roman"/>
        <family val="1"/>
      </rPr>
      <t>Biol. Fertil. Soils</t>
    </r>
    <r>
      <rPr>
        <sz val="12"/>
        <color rgb="FF000000"/>
        <rFont val="Times New Roman"/>
        <family val="1"/>
      </rPr>
      <t xml:space="preserve"> </t>
    </r>
    <r>
      <rPr>
        <b/>
        <sz val="12"/>
        <color rgb="FF000000"/>
        <rFont val="Times New Roman"/>
        <family val="1"/>
      </rPr>
      <t>25,</t>
    </r>
    <r>
      <rPr>
        <sz val="12"/>
        <color rgb="FF000000"/>
        <rFont val="Times New Roman"/>
        <family val="1"/>
      </rPr>
      <t xml:space="preserve"> 372–381 (1997).</t>
    </r>
  </si>
  <si>
    <r>
      <t xml:space="preserve">Monokrousos, N., Papatheodorou, E. M., Diamantopoulos, J. D. &amp; Stamou, G. P. Soil quality variables in organically and conventionally cultivated field sites. </t>
    </r>
    <r>
      <rPr>
        <i/>
        <sz val="12"/>
        <color rgb="FF000000"/>
        <rFont val="Times New Roman"/>
        <family val="1"/>
      </rPr>
      <t>Soil Biol. Biochem.</t>
    </r>
    <r>
      <rPr>
        <sz val="12"/>
        <color rgb="FF000000"/>
        <rFont val="Times New Roman"/>
        <family val="1"/>
      </rPr>
      <t xml:space="preserve"> </t>
    </r>
    <r>
      <rPr>
        <b/>
        <sz val="12"/>
        <color rgb="FF000000"/>
        <rFont val="Times New Roman"/>
        <family val="1"/>
      </rPr>
      <t>38,</t>
    </r>
    <r>
      <rPr>
        <sz val="12"/>
        <color rgb="FF000000"/>
        <rFont val="Times New Roman"/>
        <family val="1"/>
      </rPr>
      <t xml:space="preserve"> 1282–1289 (2006).</t>
    </r>
  </si>
  <si>
    <r>
      <t xml:space="preserve">Nguyen, M. L. &amp; Haynes, R. J. Energy and labour efficiency for three pairs of conventional and alternative cropping (pasture arable) farms in Canterbury, New Zealand.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52,</t>
    </r>
    <r>
      <rPr>
        <sz val="12"/>
        <color rgb="FF000000"/>
        <rFont val="Times New Roman"/>
        <family val="1"/>
      </rPr>
      <t xml:space="preserve"> 163–172 (1995).</t>
    </r>
  </si>
  <si>
    <r>
      <t xml:space="preserve">Beste, A. &amp; Leithold, G. Extended Spadediagnosis-an applicable field method for the evaluation of some ecologically significant soil-function-parameters in science and agricultural consulting practice. in </t>
    </r>
    <r>
      <rPr>
        <i/>
        <sz val="12"/>
        <color rgb="FF000000"/>
        <rFont val="Times New Roman"/>
        <family val="1"/>
      </rPr>
      <t>In IFOAM 2000: the world grows organic. Proceedings 13th International IFOAM</t>
    </r>
    <r>
      <rPr>
        <sz val="12"/>
        <color rgb="FF000000"/>
        <rFont val="Times New Roman"/>
        <family val="1"/>
      </rPr>
      <t xml:space="preserve"> (2000). doi:10.1017/S000748530002229X</t>
    </r>
  </si>
  <si>
    <r>
      <t xml:space="preserve">Okur, N., Altindişli, A., Çengel, M., Göçmez, S. &amp; Kayikçioǧlu, H. H. Organik ve konvansiyonel tari{dotless}m alti{dotless}ndaki baǧ topraklari{dotless}nda mikrobiyal biyokütle ve enzim aktivitesi. </t>
    </r>
    <r>
      <rPr>
        <i/>
        <sz val="12"/>
        <color rgb="FF000000"/>
        <rFont val="Times New Roman"/>
        <family val="1"/>
      </rPr>
      <t>Turkish J. Agric. For.</t>
    </r>
    <r>
      <rPr>
        <sz val="12"/>
        <color rgb="FF000000"/>
        <rFont val="Times New Roman"/>
        <family val="1"/>
      </rPr>
      <t xml:space="preserve"> </t>
    </r>
    <r>
      <rPr>
        <b/>
        <sz val="12"/>
        <color rgb="FF000000"/>
        <rFont val="Times New Roman"/>
        <family val="1"/>
      </rPr>
      <t>33,</t>
    </r>
    <r>
      <rPr>
        <sz val="12"/>
        <color rgb="FF000000"/>
        <rFont val="Times New Roman"/>
        <family val="1"/>
      </rPr>
      <t xml:space="preserve"> 413–423 (2009).</t>
    </r>
  </si>
  <si>
    <r>
      <t xml:space="preserve">Pardo, G., Cavero, J., Aibar, J. &amp; Zaragoza, C. Nutrient evolution in soil and cereal yield under different fertilization type in dryland. </t>
    </r>
    <r>
      <rPr>
        <i/>
        <sz val="12"/>
        <color rgb="FF000000"/>
        <rFont val="Times New Roman"/>
        <family val="1"/>
      </rPr>
      <t>Nutr. Cycl. Agroecosystems</t>
    </r>
    <r>
      <rPr>
        <sz val="12"/>
        <color rgb="FF000000"/>
        <rFont val="Times New Roman"/>
        <family val="1"/>
      </rPr>
      <t xml:space="preserve"> </t>
    </r>
    <r>
      <rPr>
        <b/>
        <sz val="12"/>
        <color rgb="FF000000"/>
        <rFont val="Times New Roman"/>
        <family val="1"/>
      </rPr>
      <t>84,</t>
    </r>
    <r>
      <rPr>
        <sz val="12"/>
        <color rgb="FF000000"/>
        <rFont val="Times New Roman"/>
        <family val="1"/>
      </rPr>
      <t xml:space="preserve"> 267–279 (2009).</t>
    </r>
  </si>
  <si>
    <r>
      <t xml:space="preserve">Petersen, S. O., Debosz, K., Schjønning, P., Christensen, B. T. &amp; Elmholt, S. Phospholipid fatty acid profiles and C availability in wet-stable macro-aggregates from conventionally and organically farmed soils. </t>
    </r>
    <r>
      <rPr>
        <i/>
        <sz val="12"/>
        <color rgb="FF000000"/>
        <rFont val="Times New Roman"/>
        <family val="1"/>
      </rPr>
      <t>Geoderma</t>
    </r>
    <r>
      <rPr>
        <sz val="12"/>
        <color rgb="FF000000"/>
        <rFont val="Times New Roman"/>
        <family val="1"/>
      </rPr>
      <t xml:space="preserve"> </t>
    </r>
    <r>
      <rPr>
        <b/>
        <sz val="12"/>
        <color rgb="FF000000"/>
        <rFont val="Times New Roman"/>
        <family val="1"/>
      </rPr>
      <t>78,</t>
    </r>
    <r>
      <rPr>
        <sz val="12"/>
        <color rgb="FF000000"/>
        <rFont val="Times New Roman"/>
        <family val="1"/>
      </rPr>
      <t xml:space="preserve"> 181–196 (1997).</t>
    </r>
  </si>
  <si>
    <t>Phillips, R. L. Organic Agriculture and Nitrous Oxide Emissions at Sub-Zero Soil Temperatures. J. Environ. Qual. 36, 23 (2007).</t>
  </si>
  <si>
    <r>
      <t xml:space="preserve">Probst, B., Schüler, C. &amp; Joergensen, R. G. Vineyard soils under organic and conventional management - Microbial biomass and activity indices and their relation to soil chemical properties. </t>
    </r>
    <r>
      <rPr>
        <i/>
        <sz val="12"/>
        <color rgb="FF000000"/>
        <rFont val="Times New Roman"/>
        <family val="1"/>
      </rPr>
      <t>Biol. Fertil. Soils</t>
    </r>
    <r>
      <rPr>
        <sz val="12"/>
        <color rgb="FF000000"/>
        <rFont val="Times New Roman"/>
        <family val="1"/>
      </rPr>
      <t xml:space="preserve"> </t>
    </r>
    <r>
      <rPr>
        <b/>
        <sz val="12"/>
        <color rgb="FF000000"/>
        <rFont val="Times New Roman"/>
        <family val="1"/>
      </rPr>
      <t>44,</t>
    </r>
    <r>
      <rPr>
        <sz val="12"/>
        <color rgb="FF000000"/>
        <rFont val="Times New Roman"/>
        <family val="1"/>
      </rPr>
      <t xml:space="preserve"> 443–450 (2008).</t>
    </r>
  </si>
  <si>
    <r>
      <t xml:space="preserve">Pulleman, M., Jongmans, A., Marinissen, J. &amp; Bouma, J. Effects of organic versus conventional arable farming on soil structure and organic matter dynamics in a marine loam in the Netherlands. </t>
    </r>
    <r>
      <rPr>
        <i/>
        <sz val="12"/>
        <color rgb="FF000000"/>
        <rFont val="Times New Roman"/>
        <family val="1"/>
      </rPr>
      <t>Soil Use Manag.</t>
    </r>
    <r>
      <rPr>
        <sz val="12"/>
        <color rgb="FF000000"/>
        <rFont val="Times New Roman"/>
        <family val="1"/>
      </rPr>
      <t xml:space="preserve"> </t>
    </r>
    <r>
      <rPr>
        <b/>
        <sz val="12"/>
        <color rgb="FF000000"/>
        <rFont val="Times New Roman"/>
        <family val="1"/>
      </rPr>
      <t>19,</t>
    </r>
    <r>
      <rPr>
        <sz val="12"/>
        <color rgb="FF000000"/>
        <rFont val="Times New Roman"/>
        <family val="1"/>
      </rPr>
      <t xml:space="preserve"> 157–165 (2003).</t>
    </r>
  </si>
  <si>
    <r>
      <t xml:space="preserve">Purin, S., Filho, O. K. &amp; Stürmer, S. L. Mycorrhizae activity and diversity in conventional and organic apple orchards from Brazil. </t>
    </r>
    <r>
      <rPr>
        <i/>
        <sz val="12"/>
        <color rgb="FF000000"/>
        <rFont val="Times New Roman"/>
        <family val="1"/>
      </rPr>
      <t>Soil Biol. Biochem.</t>
    </r>
    <r>
      <rPr>
        <sz val="12"/>
        <color rgb="FF000000"/>
        <rFont val="Times New Roman"/>
        <family val="1"/>
      </rPr>
      <t xml:space="preserve"> </t>
    </r>
    <r>
      <rPr>
        <b/>
        <sz val="12"/>
        <color rgb="FF000000"/>
        <rFont val="Times New Roman"/>
        <family val="1"/>
      </rPr>
      <t>38,</t>
    </r>
    <r>
      <rPr>
        <sz val="12"/>
        <color rgb="FF000000"/>
        <rFont val="Times New Roman"/>
        <family val="1"/>
      </rPr>
      <t xml:space="preserve"> 1831–1839 (2006).</t>
    </r>
  </si>
  <si>
    <r>
      <t xml:space="preserve">Qin, Y., Liu, S., Guo, Y., Liu, Q. &amp; Zou, J. Methane and nitrous oxide emissions from organic and conventional rice cropping systems in Southeast China. </t>
    </r>
    <r>
      <rPr>
        <i/>
        <sz val="12"/>
        <color rgb="FF000000"/>
        <rFont val="Times New Roman"/>
        <family val="1"/>
      </rPr>
      <t>Biol. Fertil. Soils</t>
    </r>
    <r>
      <rPr>
        <sz val="12"/>
        <color rgb="FF000000"/>
        <rFont val="Times New Roman"/>
        <family val="1"/>
      </rPr>
      <t xml:space="preserve"> </t>
    </r>
    <r>
      <rPr>
        <b/>
        <sz val="12"/>
        <color rgb="FF000000"/>
        <rFont val="Times New Roman"/>
        <family val="1"/>
      </rPr>
      <t>46,</t>
    </r>
    <r>
      <rPr>
        <sz val="12"/>
        <color rgb="FF000000"/>
        <rFont val="Times New Roman"/>
        <family val="1"/>
      </rPr>
      <t xml:space="preserve"> 825–834 (2010).</t>
    </r>
  </si>
  <si>
    <r>
      <t xml:space="preserve">Rasul, G. &amp; Thapa, G. B. Sustainability of ecological and conventional agricultural systems in Bangladesh: An assessment based on environmental, economic and social perspectives. </t>
    </r>
    <r>
      <rPr>
        <i/>
        <sz val="12"/>
        <color rgb="FF000000"/>
        <rFont val="Times New Roman"/>
        <family val="1"/>
      </rPr>
      <t>Agric. Syst.</t>
    </r>
    <r>
      <rPr>
        <sz val="12"/>
        <color rgb="FF000000"/>
        <rFont val="Times New Roman"/>
        <family val="1"/>
      </rPr>
      <t xml:space="preserve"> </t>
    </r>
    <r>
      <rPr>
        <b/>
        <sz val="12"/>
        <color rgb="FF000000"/>
        <rFont val="Times New Roman"/>
        <family val="1"/>
      </rPr>
      <t>79,</t>
    </r>
    <r>
      <rPr>
        <sz val="12"/>
        <color rgb="FF000000"/>
        <rFont val="Times New Roman"/>
        <family val="1"/>
      </rPr>
      <t xml:space="preserve"> 327–351 (2004).</t>
    </r>
  </si>
  <si>
    <r>
      <t xml:space="preserve">Reganold, J. P., Palmer, A. S., Lockhart, J. C. &amp; Macgregor, A. N. Soil Quality and Financial Performance of Biodynamic and Conventional Farms in New Zealand. </t>
    </r>
    <r>
      <rPr>
        <i/>
        <sz val="12"/>
        <color rgb="FF000000"/>
        <rFont val="Times New Roman"/>
        <family val="1"/>
      </rPr>
      <t>Science (80-. ).</t>
    </r>
    <r>
      <rPr>
        <sz val="12"/>
        <color rgb="FF000000"/>
        <rFont val="Times New Roman"/>
        <family val="1"/>
      </rPr>
      <t xml:space="preserve"> </t>
    </r>
    <r>
      <rPr>
        <b/>
        <sz val="12"/>
        <color rgb="FF000000"/>
        <rFont val="Times New Roman"/>
        <family val="1"/>
      </rPr>
      <t>260,</t>
    </r>
    <r>
      <rPr>
        <sz val="12"/>
        <color rgb="FF000000"/>
        <rFont val="Times New Roman"/>
        <family val="1"/>
      </rPr>
      <t xml:space="preserve"> 344–349. (1993).</t>
    </r>
  </si>
  <si>
    <r>
      <t xml:space="preserve">Reganold, J. P. </t>
    </r>
    <r>
      <rPr>
        <i/>
        <sz val="12"/>
        <color rgb="FF000000"/>
        <rFont val="Times New Roman"/>
        <family val="1"/>
      </rPr>
      <t>et al.</t>
    </r>
    <r>
      <rPr>
        <sz val="12"/>
        <color rgb="FF000000"/>
        <rFont val="Times New Roman"/>
        <family val="1"/>
      </rPr>
      <t xml:space="preserve"> Fruit and soil quality of organic and conventional strawberry agroecosystems. </t>
    </r>
    <r>
      <rPr>
        <i/>
        <sz val="12"/>
        <color rgb="FF000000"/>
        <rFont val="Times New Roman"/>
        <family val="1"/>
      </rPr>
      <t>PLoS One</t>
    </r>
    <r>
      <rPr>
        <sz val="12"/>
        <color rgb="FF000000"/>
        <rFont val="Times New Roman"/>
        <family val="1"/>
      </rPr>
      <t xml:space="preserve"> </t>
    </r>
    <r>
      <rPr>
        <b/>
        <sz val="12"/>
        <color rgb="FF000000"/>
        <rFont val="Times New Roman"/>
        <family val="1"/>
      </rPr>
      <t>5,</t>
    </r>
    <r>
      <rPr>
        <sz val="12"/>
        <color rgb="FF000000"/>
        <rFont val="Times New Roman"/>
        <family val="1"/>
      </rPr>
      <t xml:space="preserve"> 1–14 (2010).</t>
    </r>
  </si>
  <si>
    <r>
      <t xml:space="preserve">Romanyà, J. &amp; Rovira, P. Organic and inorganic P reserves in rain-fed and irrigated calcareous soils under long-term organic and conventional agriculture. </t>
    </r>
    <r>
      <rPr>
        <i/>
        <sz val="12"/>
        <color rgb="FF000000"/>
        <rFont val="Times New Roman"/>
        <family val="1"/>
      </rPr>
      <t>Geoderma</t>
    </r>
    <r>
      <rPr>
        <sz val="12"/>
        <color rgb="FF000000"/>
        <rFont val="Times New Roman"/>
        <family val="1"/>
      </rPr>
      <t xml:space="preserve"> </t>
    </r>
    <r>
      <rPr>
        <b/>
        <sz val="12"/>
        <color rgb="FF000000"/>
        <rFont val="Times New Roman"/>
        <family val="1"/>
      </rPr>
      <t>151,</t>
    </r>
    <r>
      <rPr>
        <sz val="12"/>
        <color rgb="FF000000"/>
        <rFont val="Times New Roman"/>
        <family val="1"/>
      </rPr>
      <t xml:space="preserve"> 378–386 (2009).</t>
    </r>
  </si>
  <si>
    <t>Rühling, I., Ruser, R., Kölbl, A., Priesack, E. &amp; Gutser, R. Kohlenstoff und Stickstoff in Agrarökosystemen. (2005).</t>
  </si>
  <si>
    <r>
      <t xml:space="preserve">Schjønning, P., Elmholt, S., Munkholm, L. J. &amp; Debosz, K. Soil quality aspects of humid sandy loams as inﬂuenced by organic and conventional long-term management.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88,</t>
    </r>
    <r>
      <rPr>
        <sz val="12"/>
        <color rgb="FF000000"/>
        <rFont val="Times New Roman"/>
        <family val="1"/>
      </rPr>
      <t xml:space="preserve"> 195–214 (2002).</t>
    </r>
  </si>
  <si>
    <t>Sehy, U. N2O-Freisetzungen landwirtschaftlich genutzter Böden unter dem Einfluss von Bewirtschaftungs-und Standortfaktoren. (2003).</t>
  </si>
  <si>
    <r>
      <t xml:space="preserve">Snapp, S. S., Gentry, L. E. &amp; Harwood, R. Management intensity - not biodiversity - the driver of ecosystem services in a long-term row crop experiment.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138,</t>
    </r>
    <r>
      <rPr>
        <sz val="12"/>
        <color rgb="FF000000"/>
        <rFont val="Times New Roman"/>
        <family val="1"/>
      </rPr>
      <t xml:space="preserve"> 242–248 (2010).</t>
    </r>
  </si>
  <si>
    <r>
      <t xml:space="preserve">Teasdale, J. R., Coffman, C. B. &amp; Mangum, R. W. Potential long-term benefits of no-tillage and organic cropping systems for grain production and soil improvement. </t>
    </r>
    <r>
      <rPr>
        <i/>
        <sz val="12"/>
        <color rgb="FF000000"/>
        <rFont val="Times New Roman"/>
        <family val="1"/>
      </rPr>
      <t>Agron. J.</t>
    </r>
    <r>
      <rPr>
        <sz val="12"/>
        <color rgb="FF000000"/>
        <rFont val="Times New Roman"/>
        <family val="1"/>
      </rPr>
      <t xml:space="preserve"> </t>
    </r>
    <r>
      <rPr>
        <b/>
        <sz val="12"/>
        <color rgb="FF000000"/>
        <rFont val="Times New Roman"/>
        <family val="1"/>
      </rPr>
      <t>99,</t>
    </r>
    <r>
      <rPr>
        <sz val="12"/>
        <color rgb="FF000000"/>
        <rFont val="Times New Roman"/>
        <family val="1"/>
      </rPr>
      <t xml:space="preserve"> 1297–1305 (2007).</t>
    </r>
  </si>
  <si>
    <r>
      <t xml:space="preserve">Van Diepeningen, A. D., De Vos, O. J., Korthals, G. W. &amp; Van Bruggen, A. H. C. Effects of organic versus conventional management on chemical and biological parameters in agricultural soils. </t>
    </r>
    <r>
      <rPr>
        <i/>
        <sz val="12"/>
        <color rgb="FF000000"/>
        <rFont val="Times New Roman"/>
        <family val="1"/>
      </rPr>
      <t>Appl. Soil Ecol.</t>
    </r>
    <r>
      <rPr>
        <sz val="12"/>
        <color rgb="FF000000"/>
        <rFont val="Times New Roman"/>
        <family val="1"/>
      </rPr>
      <t xml:space="preserve"> </t>
    </r>
    <r>
      <rPr>
        <b/>
        <sz val="12"/>
        <color rgb="FF000000"/>
        <rFont val="Times New Roman"/>
        <family val="1"/>
      </rPr>
      <t>31,</t>
    </r>
    <r>
      <rPr>
        <sz val="12"/>
        <color rgb="FF000000"/>
        <rFont val="Times New Roman"/>
        <family val="1"/>
      </rPr>
      <t xml:space="preserve"> 120–135 (2006).</t>
    </r>
  </si>
  <si>
    <r>
      <t xml:space="preserve">Vavoulidou, E., Coors, A., Dózsa-Farkas, K. &amp; Römbke, J. Influence of farming practice, crop type and soil properties on the abundance of Enchytraeidae (Oligochaeta) in Greek agricultural soils. </t>
    </r>
    <r>
      <rPr>
        <i/>
        <sz val="12"/>
        <color rgb="FF000000"/>
        <rFont val="Times New Roman"/>
        <family val="1"/>
      </rPr>
      <t>Soil Org.</t>
    </r>
    <r>
      <rPr>
        <sz val="12"/>
        <color rgb="FF000000"/>
        <rFont val="Times New Roman"/>
        <family val="1"/>
      </rPr>
      <t xml:space="preserve"> </t>
    </r>
    <r>
      <rPr>
        <b/>
        <sz val="12"/>
        <color rgb="FF000000"/>
        <rFont val="Times New Roman"/>
        <family val="1"/>
      </rPr>
      <t>81,</t>
    </r>
    <r>
      <rPr>
        <sz val="12"/>
        <color rgb="FF000000"/>
        <rFont val="Times New Roman"/>
        <family val="1"/>
      </rPr>
      <t xml:space="preserve"> 197–212 (2009).</t>
    </r>
  </si>
  <si>
    <r>
      <t xml:space="preserve">Wang, Y. </t>
    </r>
    <r>
      <rPr>
        <i/>
        <sz val="12"/>
        <color rgb="FF000000"/>
        <rFont val="Times New Roman"/>
        <family val="1"/>
      </rPr>
      <t>et al.</t>
    </r>
    <r>
      <rPr>
        <sz val="12"/>
        <color rgb="FF000000"/>
        <rFont val="Times New Roman"/>
        <family val="1"/>
      </rPr>
      <t xml:space="preserve"> Long-term impact of farming practices on soil organic carbon and nitrogen pools and microbial biomass and activity. </t>
    </r>
    <r>
      <rPr>
        <i/>
        <sz val="12"/>
        <color rgb="FF000000"/>
        <rFont val="Times New Roman"/>
        <family val="1"/>
      </rPr>
      <t>Soil Tillage Res.</t>
    </r>
    <r>
      <rPr>
        <sz val="12"/>
        <color rgb="FF000000"/>
        <rFont val="Times New Roman"/>
        <family val="1"/>
      </rPr>
      <t xml:space="preserve"> </t>
    </r>
    <r>
      <rPr>
        <b/>
        <sz val="12"/>
        <color rgb="FF000000"/>
        <rFont val="Times New Roman"/>
        <family val="1"/>
      </rPr>
      <t>117,</t>
    </r>
    <r>
      <rPr>
        <sz val="12"/>
        <color rgb="FF000000"/>
        <rFont val="Times New Roman"/>
        <family val="1"/>
      </rPr>
      <t xml:space="preserve"> 8–16 (2011).</t>
    </r>
  </si>
  <si>
    <r>
      <t xml:space="preserve">Welsh, C., Tenuta, M., Flaten, D. N., Thiessen-Martens, J. R. &amp; Entz, M. H. High yielding organic crop management decreases plant-available but not recalcitrant soil phosphorus. </t>
    </r>
    <r>
      <rPr>
        <i/>
        <sz val="12"/>
        <color rgb="FF000000"/>
        <rFont val="Times New Roman"/>
        <family val="1"/>
      </rPr>
      <t>Agron. J.</t>
    </r>
    <r>
      <rPr>
        <sz val="12"/>
        <color rgb="FF000000"/>
        <rFont val="Times New Roman"/>
        <family val="1"/>
      </rPr>
      <t xml:space="preserve"> </t>
    </r>
    <r>
      <rPr>
        <b/>
        <sz val="12"/>
        <color rgb="FF000000"/>
        <rFont val="Times New Roman"/>
        <family val="1"/>
      </rPr>
      <t>101,</t>
    </r>
    <r>
      <rPr>
        <sz val="12"/>
        <color rgb="FF000000"/>
        <rFont val="Times New Roman"/>
        <family val="1"/>
      </rPr>
      <t xml:space="preserve"> 1027–1035 (2009).</t>
    </r>
  </si>
  <si>
    <r>
      <t xml:space="preserve">Wells, A. T., Chan, K. Y. &amp; Cornish, P. S. {C}omparison of conventional and alternative vegetable farming systems on the properties of a yellow earth inNew South Wales. </t>
    </r>
    <r>
      <rPr>
        <i/>
        <sz val="12"/>
        <color rgb="FF000000"/>
        <rFont val="Times New Roman"/>
        <family val="1"/>
      </rPr>
      <t>Agric. Ecosyst. Environ.</t>
    </r>
    <r>
      <rPr>
        <sz val="12"/>
        <color rgb="FF000000"/>
        <rFont val="Times New Roman"/>
        <family val="1"/>
      </rPr>
      <t xml:space="preserve"> </t>
    </r>
    <r>
      <rPr>
        <b/>
        <sz val="12"/>
        <color rgb="FF000000"/>
        <rFont val="Times New Roman"/>
        <family val="1"/>
      </rPr>
      <t>80,</t>
    </r>
    <r>
      <rPr>
        <sz val="12"/>
        <color rgb="FF000000"/>
        <rFont val="Times New Roman"/>
        <family val="1"/>
      </rPr>
      <t xml:space="preserve"> 47--60 (2000).</t>
    </r>
  </si>
  <si>
    <r>
      <t xml:space="preserve">Domagała-Świątkiewicz, I. &amp; Gąstoł, M. Soil chemical properties under organic and conventional crop management systems in south Poland. </t>
    </r>
    <r>
      <rPr>
        <i/>
        <sz val="12"/>
        <color rgb="FF000000"/>
        <rFont val="Times New Roman"/>
        <family val="1"/>
      </rPr>
      <t>Biol. Agric. Hortic.</t>
    </r>
    <r>
      <rPr>
        <sz val="12"/>
        <color rgb="FF000000"/>
        <rFont val="Times New Roman"/>
        <family val="1"/>
      </rPr>
      <t xml:space="preserve"> </t>
    </r>
    <r>
      <rPr>
        <b/>
        <sz val="12"/>
        <color rgb="FF000000"/>
        <rFont val="Times New Roman"/>
        <family val="1"/>
      </rPr>
      <t>29,</t>
    </r>
    <r>
      <rPr>
        <sz val="12"/>
        <color rgb="FF000000"/>
        <rFont val="Times New Roman"/>
        <family val="1"/>
      </rPr>
      <t xml:space="preserve"> 12–28 (2013).</t>
    </r>
  </si>
  <si>
    <t>References</t>
  </si>
  <si>
    <t>CC-NT</t>
  </si>
  <si>
    <t>Turnip</t>
  </si>
  <si>
    <t>Radish</t>
  </si>
  <si>
    <t>Sorghum-sudangrass</t>
  </si>
  <si>
    <t>Conversion</t>
  </si>
  <si>
    <t>g C/m2/day</t>
  </si>
  <si>
    <t>g C/m2/hr</t>
  </si>
  <si>
    <t>g C/m2/yr</t>
  </si>
  <si>
    <t>g CO2/m2/day</t>
  </si>
  <si>
    <t>g CO2/m2/hr</t>
  </si>
  <si>
    <t>kg C/ha/day</t>
  </si>
  <si>
    <t>mg C/m2/day</t>
  </si>
  <si>
    <t>mg C/m2/hr</t>
  </si>
  <si>
    <t>mg CO2/m2/day</t>
  </si>
  <si>
    <t>mg CO2/m2/hr</t>
  </si>
  <si>
    <t>mmol CO2/m2/day</t>
  </si>
  <si>
    <t>mmol CO2/m2/hr</t>
  </si>
  <si>
    <t>mmol CO2/m2/s</t>
  </si>
  <si>
    <t>mol C/m2/yr</t>
  </si>
  <si>
    <t>mol CO2/m2/day</t>
  </si>
  <si>
    <t>nmol CO2/m2/s</t>
  </si>
  <si>
    <t>ug C/m2/s</t>
  </si>
  <si>
    <t>ug CO2/m2/s</t>
  </si>
  <si>
    <t>umol CO2/m2/s</t>
  </si>
  <si>
    <t>Sample_flux</t>
  </si>
  <si>
    <t>Flux_in_umol CO2/m2/s</t>
  </si>
  <si>
    <t>Sheet1</t>
  </si>
  <si>
    <t>Include all digitized data from 281 papers</t>
  </si>
  <si>
    <t>Explanation</t>
  </si>
  <si>
    <t>Explain each column in Sheet 1 in details</t>
  </si>
  <si>
    <t>Describe how Experiment ID were assigned according to site information</t>
  </si>
  <si>
    <t>Units convertion</t>
  </si>
  <si>
    <t>Meta information about unit convertion</t>
  </si>
  <si>
    <t>Soil respiration unit convertion</t>
  </si>
  <si>
    <t>SoilClassficaton</t>
  </si>
  <si>
    <t>Different soil classification system in the world</t>
  </si>
  <si>
    <t>Describe how grain crop grouped</t>
  </si>
  <si>
    <t>TillageGroup</t>
  </si>
  <si>
    <t>Describe how tillage management grouped</t>
  </si>
  <si>
    <t>ConservationType</t>
  </si>
  <si>
    <t>Describe the type of conservation in the soil health database</t>
  </si>
  <si>
    <t>SD_SE</t>
  </si>
  <si>
    <t>Calculate SD if SE reported in the paper</t>
  </si>
  <si>
    <t>Reference</t>
  </si>
  <si>
    <t>281 references in this database</t>
  </si>
  <si>
    <t>Other notes</t>
  </si>
  <si>
    <t>SheetName</t>
  </si>
  <si>
    <t>BackgroundSOC</t>
  </si>
  <si>
    <t>USDA soil classification</t>
  </si>
  <si>
    <r>
      <t>Mineral soils whose formation was conditioned by </t>
    </r>
    <r>
      <rPr>
        <i/>
        <sz val="12"/>
        <color theme="1"/>
        <rFont val="Arial"/>
        <family val="2"/>
      </rPr>
      <t>human influences</t>
    </r>
    <r>
      <rPr>
        <sz val="12"/>
        <color theme="1"/>
        <rFont val="Arial"/>
        <family val="2"/>
      </rPr>
      <t> (not confined to any particular region)</t>
    </r>
  </si>
  <si>
    <r>
      <t>Mineral soils whose formation was conditioned by their </t>
    </r>
    <r>
      <rPr>
        <i/>
        <sz val="12"/>
        <color theme="1"/>
        <rFont val="Arial"/>
        <family val="2"/>
      </rPr>
      <t>parent material</t>
    </r>
  </si>
  <si>
    <r>
      <t>- Soils developed in </t>
    </r>
    <r>
      <rPr>
        <i/>
        <sz val="12"/>
        <color theme="1"/>
        <rFont val="Arial"/>
        <family val="2"/>
      </rPr>
      <t>volcanic material</t>
    </r>
  </si>
  <si>
    <r>
      <t>- Soils developed in </t>
    </r>
    <r>
      <rPr>
        <i/>
        <sz val="12"/>
        <color theme="1"/>
        <rFont val="Arial"/>
        <family val="2"/>
      </rPr>
      <t>residual and shifting sands</t>
    </r>
  </si>
  <si>
    <r>
      <t>- Soils developed in </t>
    </r>
    <r>
      <rPr>
        <i/>
        <sz val="12"/>
        <color theme="1"/>
        <rFont val="Arial"/>
        <family val="2"/>
      </rPr>
      <t>expanding clays</t>
    </r>
  </si>
  <si>
    <r>
      <t>Mineral soils whose formation was conditioned by the </t>
    </r>
    <r>
      <rPr>
        <i/>
        <sz val="12"/>
        <color theme="1"/>
        <rFont val="Arial"/>
        <family val="2"/>
      </rPr>
      <t>topography/physiography</t>
    </r>
    <r>
      <rPr>
        <sz val="12"/>
        <color theme="1"/>
        <rFont val="Arial"/>
        <family val="2"/>
      </rPr>
      <t> of the terrain</t>
    </r>
  </si>
  <si>
    <r>
      <t>- Soils in </t>
    </r>
    <r>
      <rPr>
        <i/>
        <sz val="12"/>
        <color theme="1"/>
        <rFont val="Arial"/>
        <family val="2"/>
      </rPr>
      <t>lowlands (wetlands) with level topography</t>
    </r>
  </si>
  <si>
    <r>
      <t>- Soils in </t>
    </r>
    <r>
      <rPr>
        <i/>
        <sz val="12"/>
        <color theme="1"/>
        <rFont val="Arial"/>
        <family val="2"/>
      </rPr>
      <t>elevated regions with non-level topography</t>
    </r>
  </si>
  <si>
    <r>
      <t>Mineral soils whose formation is conditioned by their</t>
    </r>
    <r>
      <rPr>
        <i/>
        <sz val="12"/>
        <color theme="1"/>
        <rFont val="Arial"/>
        <family val="2"/>
      </rPr>
      <t> limited age</t>
    </r>
    <r>
      <rPr>
        <sz val="12"/>
        <color theme="1"/>
        <rFont val="Arial"/>
        <family val="2"/>
      </rPr>
      <t> (not confined to any particular region)</t>
    </r>
  </si>
  <si>
    <r>
      <t>Mineral soils whose formation was conditioned by </t>
    </r>
    <r>
      <rPr>
        <i/>
        <sz val="12"/>
        <color theme="1"/>
        <rFont val="Arial"/>
        <family val="2"/>
      </rPr>
      <t>climate:</t>
    </r>
    <r>
      <rPr>
        <sz val="12"/>
        <color theme="1"/>
        <rFont val="Arial"/>
        <family val="2"/>
      </rPr>
      <t> </t>
    </r>
    <r>
      <rPr>
        <i/>
        <sz val="12"/>
        <color theme="1"/>
        <rFont val="Arial"/>
        <family val="2"/>
      </rPr>
      <t>(sub-)humid tropics</t>
    </r>
  </si>
  <si>
    <r>
      <t>Mineral soils whose formation was conditioned by </t>
    </r>
    <r>
      <rPr>
        <i/>
        <sz val="12"/>
        <color theme="1"/>
        <rFont val="Arial"/>
        <family val="2"/>
      </rPr>
      <t>climate: arid and semi-arid regions</t>
    </r>
  </si>
  <si>
    <r>
      <t>Mineral soils whose formation was conditioned by </t>
    </r>
    <r>
      <rPr>
        <i/>
        <sz val="12"/>
        <color theme="1"/>
        <rFont val="Arial"/>
        <family val="2"/>
      </rPr>
      <t>climate: steppes and steppic regions</t>
    </r>
  </si>
  <si>
    <r>
      <t>Mineral soils whose formation was conditioned by </t>
    </r>
    <r>
      <rPr>
        <i/>
        <sz val="12"/>
        <color theme="1"/>
        <rFont val="Arial"/>
        <family val="2"/>
      </rPr>
      <t>climate: (sub-)humid temperate regions</t>
    </r>
  </si>
  <si>
    <r>
      <t>Mineral soils whose formation was conditioned by </t>
    </r>
    <r>
      <rPr>
        <i/>
        <sz val="12"/>
        <color theme="1"/>
        <rFont val="Arial"/>
        <family val="2"/>
      </rPr>
      <t>climate: permafrost regions</t>
    </r>
  </si>
  <si>
    <t>Not reported, or the results are from the average of multiple cash crops</t>
  </si>
  <si>
    <t>AF</t>
  </si>
  <si>
    <t>OF</t>
  </si>
  <si>
    <t>OF-CC</t>
  </si>
  <si>
    <t>OF-NT</t>
  </si>
  <si>
    <t>CC_planting_date</t>
  </si>
  <si>
    <t>CC_termination_date</t>
  </si>
  <si>
    <t>Time that cover crops were planted</t>
  </si>
  <si>
    <t>Time that cover crops were terminated</t>
  </si>
  <si>
    <t>Comments3</t>
  </si>
  <si>
    <t>Comments1</t>
  </si>
  <si>
    <t>Comments2</t>
  </si>
  <si>
    <t>SamplingThickness</t>
  </si>
  <si>
    <t>Earthwarm, authropods, nematode (soil should benefit from their exists) of soil from control</t>
  </si>
  <si>
    <t>Runoff_T_SD</t>
  </si>
  <si>
    <t>Rs Units Convertion</t>
  </si>
  <si>
    <t>SoilDepth</t>
  </si>
  <si>
    <t>Diagram shows how soil sampling depth were grouped into 0-10cm, 0-20cm, 0-30cm, and &gt;30cm</t>
  </si>
  <si>
    <t>Describe how cover crop grouped</t>
  </si>
  <si>
    <t xml:space="preserve">cv - coefficient of variation </t>
  </si>
  <si>
    <t xml:space="preserve">CI - confidence interval </t>
  </si>
  <si>
    <t>sd = 95%CI/1.96 * sqrt(N)</t>
  </si>
  <si>
    <t>J.</t>
  </si>
  <si>
    <t>t/ha Sediment loess</t>
  </si>
  <si>
    <t>sediment loss (t per ha)</t>
  </si>
  <si>
    <t>Soil losses (t/ha)</t>
  </si>
  <si>
    <t>Soil erosion</t>
  </si>
  <si>
    <t>lb/acre</t>
  </si>
  <si>
    <t>t/ha from 1000 lb/acre</t>
  </si>
  <si>
    <t>Soil loss (Mg per ha per yr)</t>
  </si>
  <si>
    <t>g per m2 to t per ha</t>
  </si>
  <si>
    <t>Total soil loss t per ha</t>
  </si>
  <si>
    <t>Freehold</t>
  </si>
  <si>
    <t>Runoff</t>
  </si>
  <si>
    <t>% precipitation</t>
  </si>
  <si>
    <t>precip*prec entage</t>
  </si>
  <si>
    <t>mm, 1237*Runoff(%)</t>
  </si>
  <si>
    <t>Inches to mm</t>
  </si>
  <si>
    <t>mm (Precip-Drainage)</t>
  </si>
  <si>
    <t>mm from % of precip</t>
  </si>
  <si>
    <t>mm rainfall - drainage</t>
  </si>
  <si>
    <t>mm = L per m2</t>
  </si>
  <si>
    <t>L/m2</t>
  </si>
  <si>
    <t>Precip-Drainage</t>
  </si>
  <si>
    <t>mm/day</t>
  </si>
  <si>
    <t>Silty clay loam Westham soil (Rego Humic Gleysol)</t>
  </si>
  <si>
    <t>Silt loam</t>
  </si>
  <si>
    <t>CNKI</t>
  </si>
  <si>
    <t>total N</t>
  </si>
  <si>
    <t>hevea brasiliensis</t>
  </si>
  <si>
    <t>krasnozem</t>
  </si>
  <si>
    <t>Proceedings of the fourth national agricultural environmental science symposium</t>
  </si>
  <si>
    <t>Elevation found from: https://www.freemaptools.com/elevation-finder.htm</t>
  </si>
  <si>
    <t>Shuteria hirsuta Baker</t>
  </si>
  <si>
    <t>Desmodium ovalifolium</t>
  </si>
  <si>
    <t>available p</t>
  </si>
  <si>
    <t>Unit is t hm-2</t>
  </si>
  <si>
    <t>AsparagusbrachyphyllusTurcz.</t>
  </si>
  <si>
    <t>2015</t>
  </si>
  <si>
    <t>Journal of Shanxi Agricultural Sciences</t>
  </si>
  <si>
    <t>Shamrock</t>
  </si>
  <si>
    <t>Brassica napus L.</t>
  </si>
  <si>
    <t>available k</t>
  </si>
  <si>
    <t>Tobacco</t>
  </si>
  <si>
    <t>Medicago  falcata</t>
  </si>
  <si>
    <t>Waterloggogenic paddy soil</t>
  </si>
  <si>
    <t xml:space="preserve"> Chinese Tobacco Science (in Chinese with English abstract)</t>
  </si>
  <si>
    <t>Yaocheng</t>
  </si>
  <si>
    <t>Secal ecerale L.cv Wintergrazer -70</t>
  </si>
  <si>
    <t>Astragalus sinicus</t>
  </si>
  <si>
    <t>282</t>
  </si>
  <si>
    <t>283</t>
  </si>
  <si>
    <t>284</t>
  </si>
  <si>
    <t>Qi</t>
  </si>
  <si>
    <t>2012-2015</t>
  </si>
  <si>
    <t>Other</t>
  </si>
  <si>
    <t>winter Fallow</t>
  </si>
  <si>
    <t>Wang</t>
  </si>
  <si>
    <t>Bin</t>
  </si>
  <si>
    <t>Apple tree</t>
  </si>
  <si>
    <t>Yang</t>
  </si>
  <si>
    <t>Chunxia</t>
  </si>
  <si>
    <t>Amphicarpaea linearis Chun &amp; T.C. Chen</t>
  </si>
  <si>
    <t>available p, the unit in paper is wrong</t>
  </si>
  <si>
    <t>available k, the unit in paper is wrong</t>
  </si>
  <si>
    <t>Calopogonium mucunoides Desv.</t>
  </si>
  <si>
    <t>Centrosema pubescens Benth.</t>
  </si>
  <si>
    <t>Desmodium gangeticum（L.）DC.</t>
  </si>
  <si>
    <t>Desmodium heterocarpon（L.）DC.</t>
  </si>
  <si>
    <t>Desmodium laxiflorum DC.</t>
  </si>
  <si>
    <t>Pueraria phaseoloides Benth var.javanica Baker</t>
  </si>
  <si>
    <t>Tephrosia candida DC.</t>
  </si>
  <si>
    <t>Huandu Xuancheng Anhui</t>
  </si>
  <si>
    <t>Fengqizheng Yan'an Shangxi</t>
  </si>
  <si>
    <t>Jinghong Yunnan</t>
  </si>
  <si>
    <t>285</t>
  </si>
  <si>
    <t>286</t>
  </si>
  <si>
    <t>287</t>
  </si>
  <si>
    <t>288</t>
  </si>
  <si>
    <t>289</t>
  </si>
  <si>
    <t>290</t>
  </si>
  <si>
    <t>291</t>
  </si>
  <si>
    <t>2011</t>
  </si>
  <si>
    <t>Sun</t>
  </si>
  <si>
    <t>Jian</t>
  </si>
  <si>
    <t>Chinese Journal of Ecology</t>
  </si>
  <si>
    <t>Qingshuihe Inner Mongonia</t>
  </si>
  <si>
    <t>1.038</t>
  </si>
  <si>
    <t>Castano-cinnamon soils</t>
  </si>
  <si>
    <t>Controditional management</t>
  </si>
  <si>
    <t>410</t>
  </si>
  <si>
    <t>10^4L/ha</t>
  </si>
  <si>
    <t>6-3-2006</t>
  </si>
  <si>
    <t>7-26-2006</t>
  </si>
  <si>
    <t>7-29-2006</t>
  </si>
  <si>
    <t>8-2-2006</t>
  </si>
  <si>
    <t>8-13-2006</t>
  </si>
  <si>
    <t>8-21-2006</t>
  </si>
  <si>
    <t>8-27-2006</t>
  </si>
  <si>
    <t>9-13-2006</t>
  </si>
  <si>
    <t>NT-SR</t>
  </si>
  <si>
    <t>Flax</t>
  </si>
  <si>
    <t>Fu</t>
  </si>
  <si>
    <t>Qinglin</t>
  </si>
  <si>
    <t>Lanxi Zhejiang</t>
  </si>
  <si>
    <t>1333</t>
  </si>
  <si>
    <t>Krasnozem</t>
  </si>
  <si>
    <t>China fir</t>
  </si>
  <si>
    <t>17.7</t>
  </si>
  <si>
    <t>N+P+K loss (g/ha/yr)</t>
  </si>
  <si>
    <t>TP %</t>
  </si>
  <si>
    <t>ug/g</t>
  </si>
  <si>
    <t>water hold capacity (%)</t>
  </si>
  <si>
    <t>&gt;1mm aggregate %</t>
  </si>
  <si>
    <t>Tea and citrus orchard</t>
  </si>
  <si>
    <t>AF-CC</t>
  </si>
  <si>
    <t>Xu</t>
  </si>
  <si>
    <t>Pingzhi</t>
  </si>
  <si>
    <t>MS</t>
  </si>
  <si>
    <t>Northeast Normal University</t>
  </si>
  <si>
    <t>675</t>
  </si>
  <si>
    <t>Meadow soil</t>
  </si>
  <si>
    <t>slope = 6°</t>
  </si>
  <si>
    <t>slope = 13°</t>
  </si>
  <si>
    <t>slope = 22°</t>
  </si>
  <si>
    <t>t/ha from t/km2</t>
  </si>
  <si>
    <t>TN loss kg/km2</t>
  </si>
  <si>
    <t>USDA ARS</t>
  </si>
  <si>
    <t>1979</t>
  </si>
  <si>
    <t>Deep tillage</t>
  </si>
  <si>
    <t>hold water (mm)</t>
  </si>
  <si>
    <t>Leys</t>
  </si>
  <si>
    <t>John</t>
  </si>
  <si>
    <t>Not available</t>
  </si>
  <si>
    <t>Russia</t>
  </si>
  <si>
    <t>Table 1.3</t>
  </si>
  <si>
    <t>Zhao</t>
  </si>
  <si>
    <t>Junfan</t>
  </si>
  <si>
    <t>Bulletin of soil and water conservation</t>
  </si>
  <si>
    <t>Gansu Agricultural University experiment station</t>
  </si>
  <si>
    <t>390.9</t>
  </si>
  <si>
    <t>Loess soil</t>
  </si>
  <si>
    <t>t/ha from g/m2</t>
  </si>
  <si>
    <t>Tan</t>
  </si>
  <si>
    <t>Chunjian</t>
  </si>
  <si>
    <t>Shenmu Shanxi</t>
  </si>
  <si>
    <t>437</t>
  </si>
  <si>
    <t>Ridging</t>
  </si>
  <si>
    <t>Plastic film mulching</t>
  </si>
  <si>
    <t>Interplanting</t>
  </si>
  <si>
    <t>RD</t>
  </si>
  <si>
    <t>PF</t>
  </si>
  <si>
    <t>IN</t>
  </si>
  <si>
    <t>2012</t>
  </si>
  <si>
    <t>m3/ha</t>
  </si>
  <si>
    <t>mm from m3/ha</t>
  </si>
  <si>
    <t>0-10</t>
  </si>
  <si>
    <t>10-20</t>
  </si>
  <si>
    <t>20-30</t>
  </si>
  <si>
    <t>Rapid available P g/mg</t>
  </si>
  <si>
    <t>Rapid available K g/mg</t>
  </si>
  <si>
    <t>291-1</t>
  </si>
  <si>
    <t>291-2</t>
  </si>
  <si>
    <t>291-3</t>
  </si>
  <si>
    <t>291-4</t>
  </si>
  <si>
    <t>291-5</t>
  </si>
  <si>
    <t>291-6</t>
  </si>
  <si>
    <t>291-7</t>
  </si>
  <si>
    <t>291-8</t>
  </si>
  <si>
    <t>291-9</t>
  </si>
  <si>
    <t>291-10</t>
  </si>
  <si>
    <t>291-11</t>
  </si>
  <si>
    <t>291-12</t>
  </si>
  <si>
    <t>291-13</t>
  </si>
  <si>
    <t>291-14</t>
  </si>
  <si>
    <t>291-15</t>
  </si>
  <si>
    <t>292</t>
  </si>
  <si>
    <t>Agriculture esearch in the arid areas</t>
  </si>
  <si>
    <t>Dingxi Gansu</t>
  </si>
  <si>
    <t>292-1</t>
  </si>
  <si>
    <t>292-2</t>
  </si>
  <si>
    <t>292-3</t>
  </si>
  <si>
    <t>Iucerne</t>
  </si>
  <si>
    <t>Spring wheat</t>
  </si>
  <si>
    <t>Chichpea</t>
  </si>
  <si>
    <t>0-60</t>
  </si>
  <si>
    <t>293</t>
  </si>
  <si>
    <t>Jilin Hydrology</t>
  </si>
  <si>
    <t>Changbai Moutain, Jilin</t>
  </si>
  <si>
    <t>5.2</t>
  </si>
  <si>
    <t>658.1</t>
  </si>
  <si>
    <t>0-20</t>
  </si>
  <si>
    <t>20-40</t>
  </si>
  <si>
    <t>40-60</t>
  </si>
  <si>
    <t>293-1</t>
  </si>
  <si>
    <t>293-2</t>
  </si>
  <si>
    <t>293-3</t>
  </si>
  <si>
    <t>293-4</t>
  </si>
  <si>
    <t>293-5</t>
  </si>
  <si>
    <t>293-6</t>
  </si>
  <si>
    <t>293-7</t>
  </si>
  <si>
    <t>293-8</t>
  </si>
  <si>
    <t>293-9</t>
  </si>
  <si>
    <t>293-10</t>
  </si>
  <si>
    <t>293-11</t>
  </si>
  <si>
    <t>293-12</t>
  </si>
  <si>
    <t>293-13</t>
  </si>
  <si>
    <t>293-14</t>
  </si>
  <si>
    <t>293-15</t>
  </si>
  <si>
    <t>Before sow</t>
  </si>
  <si>
    <t>Seedling period</t>
  </si>
  <si>
    <t>Jointing stage</t>
  </si>
  <si>
    <t>Florescence</t>
  </si>
  <si>
    <t>Rotation</t>
  </si>
  <si>
    <t>RO</t>
  </si>
  <si>
    <t>Stubble</t>
  </si>
  <si>
    <t>ST</t>
  </si>
  <si>
    <t>t/km2, units may wrong</t>
  </si>
  <si>
    <t>293-16</t>
  </si>
  <si>
    <t>293-17</t>
  </si>
  <si>
    <t>293-18</t>
  </si>
  <si>
    <t>293-19</t>
  </si>
  <si>
    <t>293-20</t>
  </si>
  <si>
    <t>293-21</t>
  </si>
  <si>
    <t>293-22</t>
  </si>
  <si>
    <t>293-23</t>
  </si>
  <si>
    <t>293-24</t>
  </si>
  <si>
    <t>293-25</t>
  </si>
  <si>
    <t>293-26</t>
  </si>
  <si>
    <t>293-27</t>
  </si>
  <si>
    <t>293-28</t>
  </si>
  <si>
    <t>293-29</t>
  </si>
  <si>
    <t>293-30</t>
  </si>
  <si>
    <t>293-31</t>
  </si>
  <si>
    <t>293-32</t>
  </si>
  <si>
    <t>293-33</t>
  </si>
  <si>
    <t>293-34</t>
  </si>
  <si>
    <t>293-35</t>
  </si>
  <si>
    <t>293-36</t>
  </si>
  <si>
    <t>293-37</t>
  </si>
  <si>
    <t>293-38</t>
  </si>
  <si>
    <t>293-39</t>
  </si>
  <si>
    <t>293-40</t>
  </si>
  <si>
    <t>293-41</t>
  </si>
  <si>
    <t>293-42</t>
  </si>
  <si>
    <t>293-43</t>
  </si>
  <si>
    <t>293-44</t>
  </si>
  <si>
    <t>293-45</t>
  </si>
  <si>
    <t>294</t>
  </si>
  <si>
    <t>Xiaoyan</t>
  </si>
  <si>
    <t>北方旱地农业保护性耕作的土壤水分模型及相关机械技术研究</t>
  </si>
  <si>
    <t>免耕播种机开沟器及其测试系统的研究</t>
  </si>
  <si>
    <t>Lijiabao Dingxi Gansu</t>
  </si>
  <si>
    <t>0-5</t>
  </si>
  <si>
    <t>5-10</t>
  </si>
  <si>
    <t>10-30</t>
  </si>
  <si>
    <t>NT-CC-SR</t>
  </si>
  <si>
    <t>NT-CC</t>
  </si>
  <si>
    <t>Medicago sativa</t>
  </si>
  <si>
    <t>Radix glycyrrhizar and Isatis tinctoria</t>
  </si>
  <si>
    <t>Ka</t>
  </si>
  <si>
    <t>30-40</t>
  </si>
  <si>
    <t>40-50</t>
  </si>
  <si>
    <t>&gt;0.25mm aggregation</t>
  </si>
  <si>
    <t>mm/h</t>
  </si>
  <si>
    <t>Organic g/kg</t>
  </si>
  <si>
    <t>Other leaching indicator available</t>
  </si>
  <si>
    <t>Fast N mg/kg</t>
  </si>
  <si>
    <t>Fast P mg/kg</t>
  </si>
  <si>
    <t>SCL-TCL</t>
  </si>
  <si>
    <t>SPL-TPL</t>
  </si>
  <si>
    <t>Chickpea</t>
  </si>
  <si>
    <t>295</t>
  </si>
  <si>
    <t>Zang</t>
  </si>
  <si>
    <t>Ying</t>
  </si>
  <si>
    <t>PhD</t>
  </si>
  <si>
    <t>Fengningbashang</t>
  </si>
  <si>
    <t>430</t>
  </si>
  <si>
    <t>Chestnut soil</t>
  </si>
  <si>
    <t>5 cm Disc harrow tillage</t>
  </si>
  <si>
    <t>Turnplow</t>
  </si>
  <si>
    <t>g/cm2 wind erosion</t>
  </si>
  <si>
    <t>294-1</t>
  </si>
  <si>
    <t>294-2</t>
  </si>
  <si>
    <t>294-3</t>
  </si>
  <si>
    <t>294-4</t>
  </si>
  <si>
    <t>294-5</t>
  </si>
  <si>
    <t>294-6</t>
  </si>
  <si>
    <t>294-7</t>
  </si>
  <si>
    <t>294-8</t>
  </si>
  <si>
    <t>294-9</t>
  </si>
  <si>
    <t>294-10</t>
  </si>
  <si>
    <t>294-11</t>
  </si>
  <si>
    <t>294-12</t>
  </si>
  <si>
    <t>294-13</t>
  </si>
  <si>
    <t>294-14</t>
  </si>
  <si>
    <t>294-15</t>
  </si>
  <si>
    <t>294-16</t>
  </si>
  <si>
    <t>294-17</t>
  </si>
  <si>
    <t>294-18</t>
  </si>
  <si>
    <t>294-19</t>
  </si>
  <si>
    <t>294-20</t>
  </si>
  <si>
    <t>294-21</t>
  </si>
  <si>
    <t>294-22</t>
  </si>
  <si>
    <t>294-23</t>
  </si>
  <si>
    <t>294-24</t>
  </si>
  <si>
    <t>294-25</t>
  </si>
  <si>
    <t>294-26</t>
  </si>
  <si>
    <t>295-1</t>
  </si>
  <si>
    <t>295-2</t>
  </si>
  <si>
    <t>295-3</t>
  </si>
  <si>
    <t>296</t>
  </si>
  <si>
    <t>Qin</t>
  </si>
  <si>
    <t>Hui</t>
  </si>
  <si>
    <t>Soil and water conservation application</t>
  </si>
  <si>
    <t>Tennessee</t>
  </si>
  <si>
    <t>296-1</t>
  </si>
  <si>
    <t>296-2</t>
  </si>
  <si>
    <t>NT reduce 98% of soil erosion</t>
  </si>
  <si>
    <t>297</t>
  </si>
  <si>
    <t>Shaoliang</t>
  </si>
  <si>
    <t>Journal of soil and water conservation</t>
  </si>
  <si>
    <t>Hailun Heilongjiang</t>
  </si>
  <si>
    <t>530</t>
  </si>
  <si>
    <t>横坡垄作</t>
  </si>
  <si>
    <t>297-1</t>
  </si>
  <si>
    <t>297-2</t>
  </si>
  <si>
    <t>297-3</t>
  </si>
  <si>
    <t>20-70</t>
  </si>
  <si>
    <t>70-140</t>
  </si>
  <si>
    <t>297-4</t>
  </si>
  <si>
    <t>297-5</t>
  </si>
  <si>
    <t>297-6</t>
  </si>
  <si>
    <t>297-7</t>
  </si>
  <si>
    <t>297-8</t>
  </si>
  <si>
    <t>297-9</t>
  </si>
  <si>
    <t>297-10</t>
  </si>
  <si>
    <t>297-11</t>
  </si>
  <si>
    <t>297-12</t>
  </si>
  <si>
    <t>t/km2</t>
  </si>
  <si>
    <t>298</t>
  </si>
  <si>
    <t>298-1</t>
  </si>
  <si>
    <t>Hou</t>
  </si>
  <si>
    <t>Dashang</t>
  </si>
  <si>
    <t>Hebei Agriculture University</t>
  </si>
  <si>
    <t>g/m2 wind erosion</t>
  </si>
  <si>
    <t>299</t>
  </si>
  <si>
    <t>Xiaoguang</t>
  </si>
  <si>
    <t>Oregon</t>
  </si>
  <si>
    <t>Winter wheat-pea-winter wheat-fallow</t>
  </si>
  <si>
    <t>299-1</t>
  </si>
  <si>
    <t>299-2</t>
  </si>
  <si>
    <t>299-3</t>
  </si>
  <si>
    <t>299-4</t>
  </si>
  <si>
    <t>300</t>
  </si>
  <si>
    <t>Li</t>
  </si>
  <si>
    <t>Denghang</t>
  </si>
  <si>
    <t>Indigowoad, Liquorice</t>
  </si>
  <si>
    <t>Wheat, Liquorice</t>
  </si>
  <si>
    <t>300-1</t>
  </si>
  <si>
    <t>300-2</t>
  </si>
  <si>
    <t>300-3</t>
  </si>
  <si>
    <t>300-4</t>
  </si>
  <si>
    <t>300-5</t>
  </si>
  <si>
    <t>300-6</t>
  </si>
  <si>
    <t>300-7</t>
  </si>
  <si>
    <t>300-8</t>
  </si>
  <si>
    <t>300-9</t>
  </si>
  <si>
    <t>300-10</t>
  </si>
  <si>
    <t>300-11</t>
  </si>
  <si>
    <t>300-12</t>
  </si>
  <si>
    <t>CC-NT-SR</t>
  </si>
  <si>
    <t>300-13</t>
  </si>
  <si>
    <t>300-14</t>
  </si>
  <si>
    <t>300-15</t>
  </si>
  <si>
    <t>300-16</t>
  </si>
  <si>
    <t>300-17</t>
  </si>
  <si>
    <t>300-18</t>
  </si>
  <si>
    <t>300-19</t>
  </si>
  <si>
    <t>300-20</t>
  </si>
  <si>
    <t>300-21</t>
  </si>
  <si>
    <t>Deep-till</t>
  </si>
  <si>
    <t>301</t>
  </si>
  <si>
    <t>Yongxia</t>
  </si>
  <si>
    <t>Journal of Northeast Agricultural University</t>
  </si>
  <si>
    <t>Beian Heilongjiang</t>
  </si>
  <si>
    <t>535.6</t>
  </si>
  <si>
    <t>Black soil</t>
  </si>
  <si>
    <t>301-1</t>
  </si>
  <si>
    <t>301-2</t>
  </si>
  <si>
    <t>301-3</t>
  </si>
  <si>
    <t>301-4</t>
  </si>
  <si>
    <t>RT-SR</t>
  </si>
  <si>
    <t>RT-SR-RD</t>
  </si>
  <si>
    <t>RT-SD</t>
  </si>
  <si>
    <t>302</t>
  </si>
  <si>
    <t>Qiang</t>
  </si>
  <si>
    <t>Acta Pedologica Sinica</t>
  </si>
  <si>
    <t>302-1</t>
  </si>
  <si>
    <t>302-2</t>
  </si>
  <si>
    <t>t/km</t>
  </si>
  <si>
    <t>5-15</t>
  </si>
  <si>
    <t>302-3</t>
  </si>
  <si>
    <t>302-4</t>
  </si>
  <si>
    <t>Ridge</t>
  </si>
  <si>
    <t>Ditch</t>
  </si>
  <si>
    <t>&gt;0.25 mm agg</t>
  </si>
  <si>
    <t>mm/min</t>
  </si>
  <si>
    <t>303</t>
  </si>
  <si>
    <t>Gangcai</t>
  </si>
  <si>
    <t>Research of soil and water conservation</t>
  </si>
  <si>
    <t>Sichuan</t>
  </si>
  <si>
    <t>303-1</t>
  </si>
  <si>
    <t>303-2</t>
  </si>
  <si>
    <t>303-3</t>
  </si>
  <si>
    <t>303-4</t>
  </si>
  <si>
    <t>303-5</t>
  </si>
  <si>
    <t>303-6</t>
  </si>
  <si>
    <t>303-7</t>
  </si>
  <si>
    <t>303-8</t>
  </si>
  <si>
    <t>304</t>
  </si>
  <si>
    <t>Tianyuan</t>
  </si>
  <si>
    <t>Guanxi agriculture science</t>
  </si>
  <si>
    <t>Guizhong, Guangxi</t>
  </si>
  <si>
    <t>No pesticide</t>
  </si>
  <si>
    <t>With pesticide</t>
  </si>
  <si>
    <t>304-1</t>
  </si>
  <si>
    <t>304-2</t>
  </si>
  <si>
    <t>Economic indicators available</t>
  </si>
  <si>
    <t>305</t>
  </si>
  <si>
    <t>Yin</t>
  </si>
  <si>
    <t>Liqiang</t>
  </si>
  <si>
    <t>Dongsheng, Inner Mongolia</t>
  </si>
  <si>
    <t>360</t>
  </si>
  <si>
    <t>Rapid available P mg/kg</t>
  </si>
  <si>
    <t>Rapid available K mg/kg</t>
  </si>
  <si>
    <t>305-1</t>
  </si>
  <si>
    <t>305-2</t>
  </si>
  <si>
    <t>305-3</t>
  </si>
  <si>
    <t>30-50</t>
  </si>
  <si>
    <t>total porosity %</t>
  </si>
  <si>
    <t>Soil water hold capacity %</t>
  </si>
  <si>
    <t>&gt;0.25 mm aggregation %</t>
  </si>
  <si>
    <t>306</t>
  </si>
  <si>
    <t>Yao</t>
  </si>
  <si>
    <t>Zhen</t>
  </si>
  <si>
    <t>Tillage and cultivation</t>
  </si>
  <si>
    <t>Jiangxi agriculture University</t>
  </si>
  <si>
    <t>306-1</t>
  </si>
  <si>
    <t>306-2</t>
  </si>
  <si>
    <t>306-3</t>
  </si>
  <si>
    <t>307</t>
  </si>
  <si>
    <t>Shengxin</t>
  </si>
  <si>
    <t>307-1</t>
  </si>
  <si>
    <t>307-2</t>
  </si>
  <si>
    <t>307-3</t>
  </si>
  <si>
    <t>307-4</t>
  </si>
  <si>
    <t>Before rain</t>
  </si>
  <si>
    <t>After rain</t>
  </si>
  <si>
    <t>2009-3-21</t>
  </si>
  <si>
    <t>Perennial</t>
  </si>
  <si>
    <t>2009-4-6</t>
  </si>
  <si>
    <t>2009-4-25</t>
  </si>
  <si>
    <t>Sampling date 2005-7</t>
  </si>
  <si>
    <t>Sampling date 2005-10</t>
  </si>
  <si>
    <t>Sampling date 2006-4</t>
  </si>
  <si>
    <t>Sampling date 2006-7</t>
  </si>
  <si>
    <t>308</t>
  </si>
  <si>
    <t>Jia</t>
  </si>
  <si>
    <t>Yan</t>
  </si>
  <si>
    <t>Southern purple soil region</t>
  </si>
  <si>
    <t>RR</t>
  </si>
  <si>
    <t>309</t>
  </si>
  <si>
    <t>Jin</t>
  </si>
  <si>
    <t>Ke</t>
  </si>
  <si>
    <t>Luoyang Henan</t>
  </si>
  <si>
    <t>2004-10-5</t>
  </si>
  <si>
    <t>10-6m/s</t>
  </si>
  <si>
    <t>309-1</t>
  </si>
  <si>
    <t>309-2</t>
  </si>
  <si>
    <t>309-3</t>
  </si>
  <si>
    <t>309-4</t>
  </si>
  <si>
    <t>309-5</t>
  </si>
  <si>
    <t>309-6</t>
  </si>
  <si>
    <t>Original soil</t>
  </si>
  <si>
    <t>Soil crust removed</t>
  </si>
  <si>
    <t>Table 4</t>
  </si>
  <si>
    <t>depth = 0.3</t>
  </si>
  <si>
    <t>BD=1.2</t>
  </si>
  <si>
    <t>1m2 = 1*1*0.3*1.2 Mg</t>
  </si>
  <si>
    <t>310</t>
  </si>
  <si>
    <t>Xin</t>
  </si>
  <si>
    <t>Ping</t>
  </si>
  <si>
    <t>310-1</t>
  </si>
  <si>
    <t>310-2</t>
  </si>
  <si>
    <t>310-3</t>
  </si>
  <si>
    <t>310-4</t>
  </si>
  <si>
    <t>50% SR</t>
  </si>
  <si>
    <t>100% SR</t>
  </si>
  <si>
    <t>Simulated rainfall in lab</t>
  </si>
  <si>
    <t>t/ha/66hour</t>
  </si>
  <si>
    <t>310-5</t>
  </si>
  <si>
    <t>&gt;2mm</t>
  </si>
  <si>
    <t>311</t>
  </si>
  <si>
    <t>311-1</t>
  </si>
  <si>
    <t>Xiaoyang</t>
  </si>
  <si>
    <t>6.5</t>
  </si>
  <si>
    <t>390.10</t>
  </si>
  <si>
    <t>311-2</t>
  </si>
  <si>
    <t>311-3</t>
  </si>
  <si>
    <t>311-4</t>
  </si>
  <si>
    <t>liquorice and isatis root</t>
  </si>
  <si>
    <t>Wheat and Liquorice</t>
  </si>
  <si>
    <t>&gt;10mm</t>
  </si>
  <si>
    <t>TN g/kg</t>
  </si>
  <si>
    <t>TP g/kg</t>
  </si>
  <si>
    <t>312</t>
  </si>
  <si>
    <t>312-1</t>
  </si>
  <si>
    <t>Hanshou</t>
  </si>
  <si>
    <t>Yingshan</t>
  </si>
  <si>
    <t>450</t>
  </si>
  <si>
    <t>312-2</t>
  </si>
  <si>
    <t>312-3</t>
  </si>
  <si>
    <t>312-4</t>
  </si>
  <si>
    <t>312-5</t>
  </si>
  <si>
    <t>312-6</t>
  </si>
  <si>
    <t>312-7</t>
  </si>
  <si>
    <t>312-8</t>
  </si>
  <si>
    <t>20%</t>
  </si>
  <si>
    <t>30%</t>
  </si>
  <si>
    <t>50%</t>
  </si>
  <si>
    <t>70%</t>
  </si>
  <si>
    <t>10cm stubble</t>
  </si>
  <si>
    <t>20cm stubble</t>
  </si>
  <si>
    <t>30cm stubble</t>
  </si>
  <si>
    <t>Y</t>
  </si>
  <si>
    <t>% potential wind erosion probability</t>
  </si>
  <si>
    <t>313</t>
  </si>
  <si>
    <t>313-1</t>
  </si>
  <si>
    <t>438</t>
  </si>
  <si>
    <t>Shenmu</t>
  </si>
  <si>
    <t>2016</t>
  </si>
  <si>
    <t>% OM</t>
  </si>
  <si>
    <t>314</t>
  </si>
  <si>
    <t>314-1</t>
  </si>
  <si>
    <t>Journal of Mountain Science</t>
  </si>
  <si>
    <t>Ziting Sichuan</t>
  </si>
  <si>
    <t>314-2</t>
  </si>
  <si>
    <t>314-3</t>
  </si>
  <si>
    <t>Trench planting</t>
  </si>
  <si>
    <t>Straight planting</t>
  </si>
  <si>
    <t>Peanut</t>
  </si>
  <si>
    <t>315</t>
  </si>
  <si>
    <t>315-1</t>
  </si>
  <si>
    <t>Wheat alfalfa</t>
  </si>
  <si>
    <t>Chickpea alfalfa</t>
  </si>
  <si>
    <t>315-2</t>
  </si>
  <si>
    <t>315-3</t>
  </si>
  <si>
    <t>315-4</t>
  </si>
  <si>
    <t>315-5</t>
  </si>
  <si>
    <t>315-6</t>
  </si>
  <si>
    <t>315-7</t>
  </si>
  <si>
    <t>315-8</t>
  </si>
  <si>
    <t>0.5</t>
  </si>
  <si>
    <t>315-9</t>
  </si>
  <si>
    <t>315-10</t>
  </si>
  <si>
    <t>315-11</t>
  </si>
  <si>
    <t>315-12</t>
  </si>
  <si>
    <t>NT-IN</t>
  </si>
  <si>
    <t>N in sediment mg/kg</t>
  </si>
  <si>
    <t>316</t>
  </si>
  <si>
    <t>316-1</t>
  </si>
  <si>
    <t>Anding Gansu</t>
  </si>
  <si>
    <t>391</t>
  </si>
  <si>
    <t>Wheat-pea</t>
  </si>
  <si>
    <t>Pea-wheat</t>
  </si>
  <si>
    <t>&gt;0.25 %</t>
  </si>
  <si>
    <t>Kpa/cm</t>
  </si>
  <si>
    <t>317</t>
  </si>
  <si>
    <t>317-1</t>
  </si>
  <si>
    <t>316-2</t>
  </si>
  <si>
    <t>316-3</t>
  </si>
  <si>
    <t>316-4</t>
  </si>
  <si>
    <t>316-5</t>
  </si>
  <si>
    <t>316-6</t>
  </si>
  <si>
    <t>316-7</t>
  </si>
  <si>
    <t>316-8</t>
  </si>
  <si>
    <t>316-9</t>
  </si>
  <si>
    <t>316-10</t>
  </si>
  <si>
    <t>316-11</t>
  </si>
  <si>
    <t>316-12</t>
  </si>
  <si>
    <t>Yucheng</t>
  </si>
  <si>
    <t>Binxian Haerbin</t>
  </si>
  <si>
    <t>3.9</t>
  </si>
  <si>
    <t>681</t>
  </si>
  <si>
    <t>RD-SR</t>
  </si>
  <si>
    <t>317-2</t>
  </si>
  <si>
    <t>317-3</t>
  </si>
  <si>
    <t>317-4</t>
  </si>
  <si>
    <t>317-5</t>
  </si>
  <si>
    <t>Splash transport ratio</t>
  </si>
  <si>
    <t>Rain A</t>
  </si>
  <si>
    <t>Rain B</t>
  </si>
  <si>
    <t>Rain C</t>
  </si>
  <si>
    <t>Rain D</t>
  </si>
  <si>
    <t>318</t>
  </si>
  <si>
    <t>318-1</t>
  </si>
  <si>
    <t>Gannan Herlongjiang</t>
  </si>
  <si>
    <t>2.6</t>
  </si>
  <si>
    <t>455</t>
  </si>
  <si>
    <t>318-2</t>
  </si>
  <si>
    <t>318-3</t>
  </si>
  <si>
    <t>318-4</t>
  </si>
  <si>
    <t>318-5</t>
  </si>
  <si>
    <t>318-6</t>
  </si>
  <si>
    <t>RT-PF-RD</t>
  </si>
  <si>
    <t>RT-RD</t>
  </si>
  <si>
    <t>PF-RD</t>
  </si>
  <si>
    <t>kg/day</t>
  </si>
  <si>
    <t>319</t>
  </si>
  <si>
    <t>319-1</t>
  </si>
  <si>
    <t>21</t>
  </si>
  <si>
    <t>319-2</t>
  </si>
  <si>
    <t>Legume tree</t>
  </si>
  <si>
    <t>320</t>
  </si>
  <si>
    <t>320-1</t>
  </si>
  <si>
    <t>Biddoccu</t>
  </si>
  <si>
    <t>Marcella</t>
  </si>
  <si>
    <t>Alto Monferrato</t>
  </si>
  <si>
    <t>12.6</t>
  </si>
  <si>
    <t>2000-2013 average</t>
  </si>
  <si>
    <t>CC-RT</t>
  </si>
  <si>
    <t>Pleistocenic</t>
  </si>
  <si>
    <t>NH4-N kg/ha</t>
  </si>
  <si>
    <t>Southwestern Nigeria</t>
  </si>
  <si>
    <t>International Soil and Water Conservation Research</t>
  </si>
  <si>
    <t>Sandy</t>
  </si>
  <si>
    <t>Available P mg/kg</t>
  </si>
  <si>
    <t>cmol/kg</t>
  </si>
  <si>
    <t>Busari</t>
  </si>
  <si>
    <t>M.A.</t>
  </si>
  <si>
    <t>Kandiudalﬁc Eutrudox</t>
  </si>
  <si>
    <t>126-2</t>
  </si>
  <si>
    <t>126-3</t>
  </si>
  <si>
    <t>CEC</t>
  </si>
  <si>
    <t>CEC_Unit</t>
  </si>
  <si>
    <t>CEC_unit</t>
  </si>
  <si>
    <t>Cation exchangable capacity</t>
  </si>
  <si>
    <t>Unit of Cation exchange capacity</t>
  </si>
  <si>
    <t>Cmolc / kg</t>
  </si>
  <si>
    <t>mg / kg</t>
  </si>
  <si>
    <t>meq / 100 g</t>
  </si>
  <si>
    <t>mmol / kg</t>
  </si>
  <si>
    <t>Qi, Y., Cui, Q., Zhou, B. &amp; Gao, Z. Effects of Different Winter-Planting Green Manures on Yield and Quality of Flue-cured Tobacco in South Anhui Tobacco Areas. Chinese Tob. Sci. 37, 32–36 (2016).</t>
  </si>
  <si>
    <t>WANG, B. et al. Improvement Effect of Different Green Manure Crops on Dwarf Apple Orchard Soil in Southern Yan’an. J. Shanxi Agric. Sci. 44, 1643–1645 (2016).</t>
  </si>
  <si>
    <t>YANG, C., ZHAO, Z., YANG, L. &amp; LI, X. Effect of green manure mulching on soil physical and chemical property in Yunnan Rubber Plantation. in Proceedings of the fourth national agricultural environmental science symposium 367–375 (2011).</t>
  </si>
  <si>
    <t>Sun, J., Liu, M., Li, L., Liu, J. &amp; Sayre., K. D. Effects of tillage mode on soil erosion on rain-fed cropland in Inner Mongolia. Chinese J. Ecol. 29, 485–490 (2010).</t>
  </si>
  <si>
    <t>Fu, Q., Luo, Y. &amp; Chai, X. Ecological Effects and Economic Bencfit of the Complex Agro-Forestry Systems in Low-Hilland Red Soil Areas. Chinese J. Ecol. 14, 11–15 (1995).</t>
  </si>
  <si>
    <t>Xu, P. Experimental study on soil erosion prevention and cure with conservation tillage in Jilin region. (Northeast Normal University, 2006).</t>
  </si>
  <si>
    <t>USDA-ARS. USDA agriculture handbooks. (1979).</t>
  </si>
  <si>
    <t>Leys, J. F. &amp; Heinjus, D. Simulated wind erosion in the South Australian Murray Mallee. (Conservation Service of NSW, 1991).</t>
  </si>
  <si>
    <t>Zhao, J. F., Huang, G. B., Xin, P., Xie, K. Z. &amp; Xu, A. X. Runoff and quantity of soil erosion under conservation tillage system by simulated rainfall. Bull. Soil Water Conserv. 27, 16–19 (2007).</t>
  </si>
  <si>
    <t>Tan, C. Effects of conservation tillage on the soil nutrients maintenance and control of water erosion of sloping farmland. (Northwest A&amp;F University, 2015).</t>
  </si>
  <si>
    <t>ZHAO, X., WANG, H., LI, L. &amp; CUI, T. Impact of conservation tillage on crop growth and soil and water retaining under grain-legume-grass strip intercropping in slope land. Agric. Res. Arid Areas 31, 7–30 (2013).</t>
  </si>
  <si>
    <t>Zhang, Y., Xu, X., Sui, Y. &amp; Lu, G. The research of the influence of conservation tillage on the soil conservation in sloping black soil zone. Jilin Water Resour. 11, 1–5 (2012).</t>
  </si>
  <si>
    <t>Zhang, X. Study on soil physical properties and soil erosion under conservation tillage. (Gansu Agricultural University, 2008).</t>
  </si>
  <si>
    <t>Zang, Y. Experimental study on soil wind erosion with conservation tillage treatment. (China Agricultural University, 2003).</t>
  </si>
  <si>
    <t>Qin, H., Lv, Y., Wang, G. &amp; Cao, X. Research of no-till’s effects on soil erosion and nutrition. Appl. Technol. soil water Conserv. 20–22 (2006).</t>
  </si>
  <si>
    <t>ZHANG, S., ZHANG, X., LIU, X., LIU, S. &amp; YU, T. Tillage Effect on Soil Erosion in Typical Black Soil Region. ournal Soil Water Conserv. 23, 11–15 (2009).</t>
  </si>
  <si>
    <t>Hou, D. Research on ecological effect of different vegetation and different tillage methods in northern plateau of Hebei province China. (Hebei Agricultural University, 2006).</t>
  </si>
  <si>
    <t>Zhang, X. Effects of conservation tillage at semi-arid region. Appl. Technol. soil water Conserv. 3, 9–11 (2014).</t>
  </si>
  <si>
    <t>Li, D. Study of impact on soil physical properties and soil and water losses under conservation tillage in sloping fields. (Gansu Agricultural University, 2008).</t>
  </si>
  <si>
    <t>WEI, Y., LI, X. &amp; HU, T. Soil and water conservation and water saving and soybean yield increasing effects of different conservation tillage technology modes in slopping farmland. J. Northeast Agric. Univ. 44, 51–55 (2013).</t>
  </si>
  <si>
    <t>Chen, Q. et al. Seasonal variations of soil structures and hydraulic conductivities and their effects on soil and water conservation under no-tillage and reduced tillage. ACTA Pedol. Sin. 51, 11–21 (2014).</t>
  </si>
  <si>
    <t>Liu, G. &amp; Zeng, J. Effects of tillage methods on topsoil graines of erodible soils of drought sloping land in middle area of sichuan provience. Res. soil water Conserv. 1, 2–5 (1994).</t>
  </si>
  <si>
    <t>HEN, T. yuan et al. pplication of gramoxone to reduce soil and water runoff in maize cultivation on sloping land. Guangxi Agric. Sci. 36, 229–231 (2005).</t>
  </si>
  <si>
    <t>Yin, L. Construction and model of agroforestry system in sandstone areas: a case study in Dongshen of Eerduosi Inner Mongolia. (Beijing Forestry University, 2008).</t>
  </si>
  <si>
    <t>Yao, Z. et al. Research of conservation tillage on paddy field. Tillage Cultiv. 6, 1–3 (2006).</t>
  </si>
  <si>
    <t>WANG, S., WANG, L., HUANG, G., ZHAO, H. &amp; SUN, L. Effects of Conservation Tillage of Strip Intercropping of Grain-Grass-Legume on Soil Water Erosion in Sloping Fields. J. Soil Water Conserv. 24, 40–43 (2010).</t>
  </si>
  <si>
    <t>Jia, Y. The application of meta-analysis on the land use effects on soil in the purple soil area. (Hebei Normal University, 2008).</t>
  </si>
  <si>
    <t>JIN, K., CAI, D., LU, J., ZHANG, J. &amp; WU, H. Effects ofTillage Practices on Erosion andW interWheat Yield on SlopingDryland. Journalof Soil andW aterConservation 20, 1–6 (2006).</t>
  </si>
  <si>
    <t>Xin, P. Effects of tillage methods and straw cover on water erosion of lucerne and wheat fields. (Gansu Agricultural University, 2005).</t>
  </si>
  <si>
    <r>
      <t xml:space="preserve">HANG, X., WANG, L., HUANG, G. &amp; CHEN, G. Effects ofConservation Tillage ofGenuine TraditionalChinese Drugs on SoilErosion in Sloping Fields. </t>
    </r>
    <r>
      <rPr>
        <i/>
        <sz val="12"/>
        <color theme="1"/>
        <rFont val="Times New Roman"/>
        <family val="1"/>
      </rPr>
      <t>ournal Soil andW aterConservation</t>
    </r>
    <r>
      <rPr>
        <sz val="12"/>
        <color theme="1"/>
        <rFont val="Times New Roman"/>
        <family val="1"/>
      </rPr>
      <t xml:space="preserve"> </t>
    </r>
    <r>
      <rPr>
        <b/>
        <sz val="12"/>
        <color theme="1"/>
        <rFont val="Times New Roman"/>
        <family val="1"/>
      </rPr>
      <t>22</t>
    </r>
    <r>
      <rPr>
        <sz val="12"/>
        <color theme="1"/>
        <rFont val="Times New Roman"/>
        <family val="1"/>
      </rPr>
      <t>, 58–61 (2008).</t>
    </r>
  </si>
  <si>
    <t>Liu, H. An experimental study of anti-wind erosion capacity of conservation farming system in the northern foot of Yinshan Moutain. (Inner Mongolia Agriculture University, 2006).</t>
  </si>
  <si>
    <t>Wang, X. Nutrent restoraton effects and water erosion percentation and control of slope farmland of conservative tillage loess plateau in Northern Shaanxi. (Northwest A&amp;F University, 2013).</t>
  </si>
  <si>
    <t>ZHU, B. et al. Exploitation, utilization and protection of steep slope cropland-discussion on an agro-forestry model. J. Moutain Sci. 18, 37–41 (2000).</t>
  </si>
  <si>
    <t>Wang, L. Study on soil and water erosion and soil physical properties of conservation tillage in loess hilly and gully region. (Gansu Agricultural University, 2012).</t>
  </si>
  <si>
    <t>Zhao, J. Study on the water erosion under 5 years conservation tillage system in Loess Platrau. (Gansu Agricultural University, 2007).</t>
  </si>
  <si>
    <t>Wang, Y. The effects of maize tillage measure during seedling stage on soil erosion and migration of agricultural nonpoint source pollution on slope cropland in black soil region. (Jilin University, 2015).</t>
  </si>
  <si>
    <t>Wei, Y. Characteristics of water transformation and soil erosion under different tillage measures in sloping farmland of westen Heilonjiang Province. (Northeast Forestry University, 2009).</t>
  </si>
  <si>
    <t>Biddoccu, M., Ferraris, S., Opsi, F. &amp; Cavallo, E. Long-term monitoring of soil management effects on runoff and soil erosion in sloping vineyards in Alto Monferrato (North-West Italy). Soil Tillage Res. 155, 176–189 (2016).</t>
  </si>
  <si>
    <t>Busari, M. A., Kukal, S. S., Kaur, A., Bhatt, R. &amp; Dulazi, A. A. Conservation tillage impacts on soil, crop and the environment. Int. Soil Water Conserv. Res. 3, 119–129 (2015).</t>
  </si>
  <si>
    <t>321</t>
  </si>
  <si>
    <t>Banda, A. Z., J. A. Maghembe, D. N. Ngugi, and V. A. Chome. Effect of intercropping maize and closely spacedLeucaena hedgerows on soil conservation and maize yield on a steep slope at Ntcheu, Malawi. Agroforestry systems 27, no. 1,  17-22 (1994).</t>
  </si>
  <si>
    <t>1986</t>
  </si>
  <si>
    <t>Agro foretry system</t>
  </si>
  <si>
    <t>Nkhande</t>
  </si>
  <si>
    <t>Cambisols</t>
  </si>
  <si>
    <t>Hawaiian giant</t>
  </si>
  <si>
    <t>Cunningham</t>
  </si>
  <si>
    <t>CK</t>
  </si>
  <si>
    <t>321-1</t>
  </si>
  <si>
    <t>321-2</t>
  </si>
  <si>
    <t>321-3</t>
  </si>
  <si>
    <r>
      <t>Here, we compiled data from a set of soil health measurements collected across 41 countries around the world, named SoilHealthDB, which includes 5,241 data entries from 281 published studies. The SoilHealthDB includes 42 soil health indicators and 45 background indicators that describe factors such as climate, elevation, and soil type. A primary goal of SoilHealthDB is to enable the research community to p</t>
    </r>
    <r>
      <rPr>
        <b/>
        <sz val="11"/>
        <color theme="1"/>
        <rFont val="Calibri"/>
        <family val="2"/>
        <scheme val="minor"/>
      </rPr>
      <t xml:space="preserve">erform comprehensive analyses, e.g., meta-analyses, of soil health changes related to cropland conservation management. </t>
    </r>
    <r>
      <rPr>
        <sz val="11"/>
        <color theme="1"/>
        <rFont val="Calibri"/>
        <family val="2"/>
        <scheme val="minor"/>
      </rPr>
      <t>The database also provides a common framework for sharing soil health, and the scientific research community is encouraged to contribute their own measurements. R code for quality checking and data processing are available at **RScripts**. All data (including meta data for clerification) were stored in 'SoilHealthDB_V1.xlsx'.</t>
    </r>
  </si>
  <si>
    <t>Combination of two</t>
  </si>
  <si>
    <t>X7.K_Comments</t>
  </si>
  <si>
    <t>X8.pH_Comments</t>
  </si>
  <si>
    <t>X9.CEC_Comments</t>
  </si>
  <si>
    <t>X10.EC_Comments</t>
  </si>
  <si>
    <t>X11.BS_Comments</t>
  </si>
  <si>
    <t>X12.Aggre_Comments</t>
  </si>
  <si>
    <t>X13.Porosity_Comments</t>
  </si>
  <si>
    <t>no</t>
  </si>
  <si>
    <t>Data source</t>
  </si>
  <si>
    <t>SoilHealthDB_V2_Jian et al</t>
  </si>
  <si>
    <t>Soil family or soil group information, should be noted that there are many soil classification system in the word</t>
  </si>
  <si>
    <t>Whether control and cover crop applied different fertilizer level, yes or no</t>
  </si>
  <si>
    <t xml:space="preserve">Crop rotation with at least 3 crops involved </t>
  </si>
  <si>
    <t>Cover crop before sowing</t>
  </si>
  <si>
    <t xml:space="preserve">Fertilization CT </t>
  </si>
  <si>
    <t>Fertilization NT</t>
  </si>
  <si>
    <t>N input</t>
  </si>
  <si>
    <r>
      <t xml:space="preserve">Aase, J. K., Schaefer, G. M. &amp; Pikul, J. L. Hayland conversion to wheat production in semiarid eastern Montana: Tillage, yield and hay production comparisons. </t>
    </r>
    <r>
      <rPr>
        <i/>
        <sz val="12"/>
        <color theme="1"/>
        <rFont val="Times New Roman"/>
        <family val="1"/>
      </rPr>
      <t>Soil Tillage Res.</t>
    </r>
    <r>
      <rPr>
        <sz val="12"/>
        <color theme="1"/>
        <rFont val="Times New Roman"/>
        <family val="1"/>
      </rPr>
      <t xml:space="preserve"> </t>
    </r>
    <r>
      <rPr>
        <b/>
        <sz val="12"/>
        <color theme="1"/>
        <rFont val="Times New Roman"/>
        <family val="1"/>
      </rPr>
      <t>44</t>
    </r>
    <r>
      <rPr>
        <sz val="12"/>
        <color theme="1"/>
        <rFont val="Times New Roman"/>
        <family val="1"/>
      </rPr>
      <t>, 225–234 (1997).</t>
    </r>
  </si>
  <si>
    <r>
      <t xml:space="preserve">Abidela Hussein, M. </t>
    </r>
    <r>
      <rPr>
        <i/>
        <sz val="12"/>
        <color theme="1"/>
        <rFont val="Times New Roman"/>
        <family val="1"/>
      </rPr>
      <t>et al.</t>
    </r>
    <r>
      <rPr>
        <sz val="12"/>
        <color theme="1"/>
        <rFont val="Times New Roman"/>
        <family val="1"/>
      </rPr>
      <t xml:space="preserve"> Deep tillage improves degraded soils in the (sub) humid Ethiopian highlands. </t>
    </r>
    <r>
      <rPr>
        <i/>
        <sz val="12"/>
        <color theme="1"/>
        <rFont val="Times New Roman"/>
        <family val="1"/>
      </rPr>
      <t>Land</t>
    </r>
    <r>
      <rPr>
        <sz val="12"/>
        <color theme="1"/>
        <rFont val="Times New Roman"/>
        <family val="1"/>
      </rPr>
      <t xml:space="preserve"> </t>
    </r>
    <r>
      <rPr>
        <b/>
        <sz val="12"/>
        <color theme="1"/>
        <rFont val="Times New Roman"/>
        <family val="1"/>
      </rPr>
      <t>8</t>
    </r>
    <r>
      <rPr>
        <sz val="12"/>
        <color theme="1"/>
        <rFont val="Times New Roman"/>
        <family val="1"/>
      </rPr>
      <t>, 159 (2019).</t>
    </r>
  </si>
  <si>
    <r>
      <t xml:space="preserve">Acharya, B. S. </t>
    </r>
    <r>
      <rPr>
        <i/>
        <sz val="12"/>
        <color theme="1"/>
        <rFont val="Times New Roman"/>
        <family val="1"/>
      </rPr>
      <t>et al.</t>
    </r>
    <r>
      <rPr>
        <sz val="12"/>
        <color theme="1"/>
        <rFont val="Times New Roman"/>
        <family val="1"/>
      </rPr>
      <t xml:space="preserve"> Winter cover crops effect on soil moisture and soybean growth and yield under different tillage systems. </t>
    </r>
    <r>
      <rPr>
        <i/>
        <sz val="12"/>
        <color theme="1"/>
        <rFont val="Times New Roman"/>
        <family val="1"/>
      </rPr>
      <t>Soil Tillage Res.</t>
    </r>
    <r>
      <rPr>
        <sz val="12"/>
        <color theme="1"/>
        <rFont val="Times New Roman"/>
        <family val="1"/>
      </rPr>
      <t xml:space="preserve"> </t>
    </r>
    <r>
      <rPr>
        <b/>
        <sz val="12"/>
        <color theme="1"/>
        <rFont val="Times New Roman"/>
        <family val="1"/>
      </rPr>
      <t>195</t>
    </r>
    <r>
      <rPr>
        <sz val="12"/>
        <color theme="1"/>
        <rFont val="Times New Roman"/>
        <family val="1"/>
      </rPr>
      <t>, 104430 (2019).</t>
    </r>
  </si>
  <si>
    <r>
      <t xml:space="preserve">Adimassu, Z., Alemu, G. &amp; Tamene, L. Effects of tillage and crop residue management on runoff, soil loss and crop yield in the Humid Highlands of Ethiopia. </t>
    </r>
    <r>
      <rPr>
        <i/>
        <sz val="12"/>
        <color theme="1"/>
        <rFont val="Times New Roman"/>
        <family val="1"/>
      </rPr>
      <t>Agric. Syst.</t>
    </r>
    <r>
      <rPr>
        <sz val="12"/>
        <color theme="1"/>
        <rFont val="Times New Roman"/>
        <family val="1"/>
      </rPr>
      <t xml:space="preserve"> </t>
    </r>
    <r>
      <rPr>
        <b/>
        <sz val="12"/>
        <color theme="1"/>
        <rFont val="Times New Roman"/>
        <family val="1"/>
      </rPr>
      <t>168</t>
    </r>
    <r>
      <rPr>
        <sz val="12"/>
        <color theme="1"/>
        <rFont val="Times New Roman"/>
        <family val="1"/>
      </rPr>
      <t>, 11–18 (2019).</t>
    </r>
  </si>
  <si>
    <r>
      <t xml:space="preserve">Ahmed, W. </t>
    </r>
    <r>
      <rPr>
        <i/>
        <sz val="12"/>
        <color theme="1"/>
        <rFont val="Times New Roman"/>
        <family val="1"/>
      </rPr>
      <t>et al.</t>
    </r>
    <r>
      <rPr>
        <sz val="12"/>
        <color theme="1"/>
        <rFont val="Times New Roman"/>
        <family val="1"/>
      </rPr>
      <t xml:space="preserve"> Tillage practices improve rice yield and soil phosphorus fractions in two typical paddy soils. </t>
    </r>
    <r>
      <rPr>
        <i/>
        <sz val="12"/>
        <color theme="1"/>
        <rFont val="Times New Roman"/>
        <family val="1"/>
      </rPr>
      <t>J. Soils Sediments</t>
    </r>
    <r>
      <rPr>
        <sz val="12"/>
        <color theme="1"/>
        <rFont val="Times New Roman"/>
        <family val="1"/>
      </rPr>
      <t xml:space="preserve"> </t>
    </r>
    <r>
      <rPr>
        <b/>
        <sz val="12"/>
        <color theme="1"/>
        <rFont val="Times New Roman"/>
        <family val="1"/>
      </rPr>
      <t>20</t>
    </r>
    <r>
      <rPr>
        <sz val="12"/>
        <color theme="1"/>
        <rFont val="Times New Roman"/>
        <family val="1"/>
      </rPr>
      <t>, 850–861 (2020).</t>
    </r>
  </si>
  <si>
    <r>
      <t xml:space="preserve">Ahrens, W. H. &amp; Endres, G. J. Trifluralin and ethalfluralin granules in conservation-tillage soybeans (Glycine max). </t>
    </r>
    <r>
      <rPr>
        <i/>
        <sz val="12"/>
        <color theme="1"/>
        <rFont val="Times New Roman"/>
        <family val="1"/>
      </rPr>
      <t>Can. J. Plant Sci.</t>
    </r>
    <r>
      <rPr>
        <sz val="12"/>
        <color theme="1"/>
        <rFont val="Times New Roman"/>
        <family val="1"/>
      </rPr>
      <t xml:space="preserve"> </t>
    </r>
    <r>
      <rPr>
        <b/>
        <sz val="12"/>
        <color theme="1"/>
        <rFont val="Times New Roman"/>
        <family val="1"/>
      </rPr>
      <t>76</t>
    </r>
    <r>
      <rPr>
        <sz val="12"/>
        <color theme="1"/>
        <rFont val="Times New Roman"/>
        <family val="1"/>
      </rPr>
      <t>, 891–897 (1996).</t>
    </r>
  </si>
  <si>
    <r>
      <t xml:space="preserve">Alam, M. </t>
    </r>
    <r>
      <rPr>
        <i/>
        <sz val="12"/>
        <color theme="1"/>
        <rFont val="Times New Roman"/>
        <family val="1"/>
      </rPr>
      <t>et al.</t>
    </r>
    <r>
      <rPr>
        <sz val="12"/>
        <color theme="1"/>
        <rFont val="Times New Roman"/>
        <family val="1"/>
      </rPr>
      <t xml:space="preserve"> Banding of fertilizer improves phosphorus acquisition and yield of zero tillage maize by concentrating phosphorus in surface soil. </t>
    </r>
    <r>
      <rPr>
        <i/>
        <sz val="12"/>
        <color theme="1"/>
        <rFont val="Times New Roman"/>
        <family val="1"/>
      </rPr>
      <t>Sustainability</t>
    </r>
    <r>
      <rPr>
        <sz val="12"/>
        <color theme="1"/>
        <rFont val="Times New Roman"/>
        <family val="1"/>
      </rPr>
      <t xml:space="preserve"> </t>
    </r>
    <r>
      <rPr>
        <b/>
        <sz val="12"/>
        <color theme="1"/>
        <rFont val="Times New Roman"/>
        <family val="1"/>
      </rPr>
      <t>10</t>
    </r>
    <r>
      <rPr>
        <sz val="12"/>
        <color theme="1"/>
        <rFont val="Times New Roman"/>
        <family val="1"/>
      </rPr>
      <t>, 3234 (2018).</t>
    </r>
  </si>
  <si>
    <r>
      <t xml:space="preserve">Ali, S., Tedone, L., Verdini, L., Cazzato, E. &amp; De Mastro, G. Wheat response to no-tillage and nitrogen fertilization in a long-term faba bean-based rotation.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50 (2019).</t>
    </r>
  </si>
  <si>
    <r>
      <t xml:space="preserve">Almaraz, J. J. </t>
    </r>
    <r>
      <rPr>
        <i/>
        <sz val="12"/>
        <color theme="1"/>
        <rFont val="Times New Roman"/>
        <family val="1"/>
      </rPr>
      <t>et al.</t>
    </r>
    <r>
      <rPr>
        <sz val="12"/>
        <color theme="1"/>
        <rFont val="Times New Roman"/>
        <family val="1"/>
      </rPr>
      <t xml:space="preserve"> Greenhouse gas fluxes associated with soybean production under two tillage systems in southwestern Quebec.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134–139 (2009).</t>
    </r>
  </si>
  <si>
    <r>
      <t xml:space="preserve">Almaraz, J. J. </t>
    </r>
    <r>
      <rPr>
        <i/>
        <sz val="12"/>
        <color theme="1"/>
        <rFont val="Times New Roman"/>
        <family val="1"/>
      </rPr>
      <t>et al.</t>
    </r>
    <r>
      <rPr>
        <sz val="12"/>
        <color theme="1"/>
        <rFont val="Times New Roman"/>
        <family val="1"/>
      </rPr>
      <t xml:space="preserve"> Carbon Dioxide and Nitrous Oxide Fluxes in Corn Grown under Two Tillage Systems in Southwestern Quebec. </t>
    </r>
    <r>
      <rPr>
        <i/>
        <sz val="12"/>
        <color theme="1"/>
        <rFont val="Times New Roman"/>
        <family val="1"/>
      </rPr>
      <t>Soil Sci. Soc. Am. J.</t>
    </r>
    <r>
      <rPr>
        <sz val="12"/>
        <color theme="1"/>
        <rFont val="Times New Roman"/>
        <family val="1"/>
      </rPr>
      <t xml:space="preserve"> </t>
    </r>
    <r>
      <rPr>
        <b/>
        <sz val="12"/>
        <color theme="1"/>
        <rFont val="Times New Roman"/>
        <family val="1"/>
      </rPr>
      <t>73</t>
    </r>
    <r>
      <rPr>
        <sz val="12"/>
        <color theme="1"/>
        <rFont val="Times New Roman"/>
        <family val="1"/>
      </rPr>
      <t>, 113–119 (2009).</t>
    </r>
  </si>
  <si>
    <r>
      <t xml:space="preserve">Anapalli, S. S. </t>
    </r>
    <r>
      <rPr>
        <i/>
        <sz val="12"/>
        <color theme="1"/>
        <rFont val="Times New Roman"/>
        <family val="1"/>
      </rPr>
      <t>et al.</t>
    </r>
    <r>
      <rPr>
        <sz val="12"/>
        <color theme="1"/>
        <rFont val="Times New Roman"/>
        <family val="1"/>
      </rPr>
      <t xml:space="preserve"> Effectiveness of RZWQM for simulating alternative great plains cropping systems.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1183–1193 (2005).</t>
    </r>
  </si>
  <si>
    <r>
      <t xml:space="preserve">Andales, A. A., Batchelor, W. D., Anderson, C. E., Farnham, D. E. &amp; Whigham, D. K. Incorporating tillage effects into a soybean model. </t>
    </r>
    <r>
      <rPr>
        <i/>
        <sz val="12"/>
        <color theme="1"/>
        <rFont val="Times New Roman"/>
        <family val="1"/>
      </rPr>
      <t>Agric. Syst.</t>
    </r>
    <r>
      <rPr>
        <sz val="12"/>
        <color theme="1"/>
        <rFont val="Times New Roman"/>
        <family val="1"/>
      </rPr>
      <t xml:space="preserve"> </t>
    </r>
    <r>
      <rPr>
        <b/>
        <sz val="12"/>
        <color theme="1"/>
        <rFont val="Times New Roman"/>
        <family val="1"/>
      </rPr>
      <t>66</t>
    </r>
    <r>
      <rPr>
        <sz val="12"/>
        <color theme="1"/>
        <rFont val="Times New Roman"/>
        <family val="1"/>
      </rPr>
      <t>, 69–98 (2000).</t>
    </r>
  </si>
  <si>
    <r>
      <t xml:space="preserve">Anderson, R. L. A 2-year small grain interval reduces need for herbicides in no-till soybean. </t>
    </r>
    <r>
      <rPr>
        <i/>
        <sz val="12"/>
        <color theme="1"/>
        <rFont val="Times New Roman"/>
        <family val="1"/>
      </rPr>
      <t>Weed Technol.</t>
    </r>
    <r>
      <rPr>
        <sz val="12"/>
        <color theme="1"/>
        <rFont val="Times New Roman"/>
        <family val="1"/>
      </rPr>
      <t xml:space="preserve"> </t>
    </r>
    <r>
      <rPr>
        <b/>
        <sz val="12"/>
        <color theme="1"/>
        <rFont val="Times New Roman"/>
        <family val="1"/>
      </rPr>
      <t>23</t>
    </r>
    <r>
      <rPr>
        <sz val="12"/>
        <color theme="1"/>
        <rFont val="Times New Roman"/>
        <family val="1"/>
      </rPr>
      <t>, 398–403 (2009).</t>
    </r>
  </si>
  <si>
    <r>
      <t xml:space="preserve">Angás, P., Lampurlanés, J. &amp; Cantero-Martínez, C. Tillage and N fertilization: Effects on N dynamics and Barley yield under semiarid Mediterranean conditions. </t>
    </r>
    <r>
      <rPr>
        <i/>
        <sz val="12"/>
        <color theme="1"/>
        <rFont val="Times New Roman"/>
        <family val="1"/>
      </rPr>
      <t>Soil Tillage Res.</t>
    </r>
    <r>
      <rPr>
        <sz val="12"/>
        <color theme="1"/>
        <rFont val="Times New Roman"/>
        <family val="1"/>
      </rPr>
      <t xml:space="preserve"> </t>
    </r>
    <r>
      <rPr>
        <b/>
        <sz val="12"/>
        <color theme="1"/>
        <rFont val="Times New Roman"/>
        <family val="1"/>
      </rPr>
      <t>87</t>
    </r>
    <r>
      <rPr>
        <sz val="12"/>
        <color theme="1"/>
        <rFont val="Times New Roman"/>
        <family val="1"/>
      </rPr>
      <t>, 59–71 (2006).</t>
    </r>
  </si>
  <si>
    <r>
      <t xml:space="preserve">Armstrong, R. D., Millar, G., Halpin, N. V., Reid, D. J. &amp; Standley, J. Using zero tillage, fertilisers and legume rotations to maintain productivity and soil fertility in opportunity cropping systems on a shallow Vertosol. </t>
    </r>
    <r>
      <rPr>
        <i/>
        <sz val="12"/>
        <color theme="1"/>
        <rFont val="Times New Roman"/>
        <family val="1"/>
      </rPr>
      <t>Aust. J. Exp. Agric.</t>
    </r>
    <r>
      <rPr>
        <sz val="12"/>
        <color theme="1"/>
        <rFont val="Times New Roman"/>
        <family val="1"/>
      </rPr>
      <t xml:space="preserve"> </t>
    </r>
    <r>
      <rPr>
        <b/>
        <sz val="12"/>
        <color theme="1"/>
        <rFont val="Times New Roman"/>
        <family val="1"/>
      </rPr>
      <t>43</t>
    </r>
    <r>
      <rPr>
        <sz val="12"/>
        <color theme="1"/>
        <rFont val="Times New Roman"/>
        <family val="1"/>
      </rPr>
      <t>, 141–153 (2003).</t>
    </r>
  </si>
  <si>
    <r>
      <t xml:space="preserve">Arora, V. K., Sidhu, A. S., Sandhu, K. S. &amp; Thind, S. S. Effects of tillage intensity, planting time and nitrogen rate on wheat yield following rice. </t>
    </r>
    <r>
      <rPr>
        <i/>
        <sz val="12"/>
        <color theme="1"/>
        <rFont val="Times New Roman"/>
        <family val="1"/>
      </rPr>
      <t>Exp. Agric.</t>
    </r>
    <r>
      <rPr>
        <sz val="12"/>
        <color theme="1"/>
        <rFont val="Times New Roman"/>
        <family val="1"/>
      </rPr>
      <t xml:space="preserve"> </t>
    </r>
    <r>
      <rPr>
        <b/>
        <sz val="12"/>
        <color theme="1"/>
        <rFont val="Times New Roman"/>
        <family val="1"/>
      </rPr>
      <t>46</t>
    </r>
    <r>
      <rPr>
        <sz val="12"/>
        <color theme="1"/>
        <rFont val="Times New Roman"/>
        <family val="1"/>
      </rPr>
      <t>, 267–275 (2010).</t>
    </r>
  </si>
  <si>
    <r>
      <t xml:space="preserve">Arshad, M. A. &amp; Gill, K. S. Barley, canola and wheat production under different tillage-fallow-green manure combinations on a clay soil in a cold, semiarid climate. </t>
    </r>
    <r>
      <rPr>
        <i/>
        <sz val="12"/>
        <color theme="1"/>
        <rFont val="Times New Roman"/>
        <family val="1"/>
      </rPr>
      <t>Soil Tillage Res.</t>
    </r>
    <r>
      <rPr>
        <sz val="12"/>
        <color theme="1"/>
        <rFont val="Times New Roman"/>
        <family val="1"/>
      </rPr>
      <t xml:space="preserve"> </t>
    </r>
    <r>
      <rPr>
        <b/>
        <sz val="12"/>
        <color theme="1"/>
        <rFont val="Times New Roman"/>
        <family val="1"/>
      </rPr>
      <t>43</t>
    </r>
    <r>
      <rPr>
        <sz val="12"/>
        <color theme="1"/>
        <rFont val="Times New Roman"/>
        <family val="1"/>
      </rPr>
      <t>, 263–275 (1997).</t>
    </r>
  </si>
  <si>
    <r>
      <t xml:space="preserve">Arshad, M. A., Gill, K. S. &amp; Coy, G. R. Wheat yield and weed population as influenced by three tillage systems on a clay soil in temperate continental climate. </t>
    </r>
    <r>
      <rPr>
        <i/>
        <sz val="12"/>
        <color theme="1"/>
        <rFont val="Times New Roman"/>
        <family val="1"/>
      </rPr>
      <t>Soil Tillage Res.</t>
    </r>
    <r>
      <rPr>
        <sz val="12"/>
        <color theme="1"/>
        <rFont val="Times New Roman"/>
        <family val="1"/>
      </rPr>
      <t xml:space="preserve"> </t>
    </r>
    <r>
      <rPr>
        <b/>
        <sz val="12"/>
        <color theme="1"/>
        <rFont val="Times New Roman"/>
        <family val="1"/>
      </rPr>
      <t>28</t>
    </r>
    <r>
      <rPr>
        <sz val="12"/>
        <color theme="1"/>
        <rFont val="Times New Roman"/>
        <family val="1"/>
      </rPr>
      <t>, 227–238 (1994).</t>
    </r>
  </si>
  <si>
    <r>
      <t xml:space="preserve">Arshad, M. A., Gill, K. S. &amp; Izaurralde, R. C. Wheat Production, Weed Population and Soil Properties Subsequent to 20 Years of Sod as Affected by Crop Rotation and Tillage. </t>
    </r>
    <r>
      <rPr>
        <i/>
        <sz val="12"/>
        <color theme="1"/>
        <rFont val="Times New Roman"/>
        <family val="1"/>
      </rPr>
      <t>J. Sustain. Agric.</t>
    </r>
    <r>
      <rPr>
        <sz val="12"/>
        <color theme="1"/>
        <rFont val="Times New Roman"/>
        <family val="1"/>
      </rPr>
      <t xml:space="preserve"> </t>
    </r>
    <r>
      <rPr>
        <b/>
        <sz val="12"/>
        <color theme="1"/>
        <rFont val="Times New Roman"/>
        <family val="1"/>
      </rPr>
      <t>12</t>
    </r>
    <r>
      <rPr>
        <sz val="12"/>
        <color theme="1"/>
        <rFont val="Times New Roman"/>
        <family val="1"/>
      </rPr>
      <t>, 131–154 (1998).</t>
    </r>
  </si>
  <si>
    <r>
      <t xml:space="preserve">Arvidsson, J. Energy use efficiency in different tillage systems for winter wheat on a clay and silt loam in Sweden. </t>
    </r>
    <r>
      <rPr>
        <i/>
        <sz val="12"/>
        <color theme="1"/>
        <rFont val="Times New Roman"/>
        <family val="1"/>
      </rPr>
      <t>Eur. J. Agron.</t>
    </r>
    <r>
      <rPr>
        <sz val="12"/>
        <color theme="1"/>
        <rFont val="Times New Roman"/>
        <family val="1"/>
      </rPr>
      <t xml:space="preserve"> </t>
    </r>
    <r>
      <rPr>
        <b/>
        <sz val="12"/>
        <color theme="1"/>
        <rFont val="Times New Roman"/>
        <family val="1"/>
      </rPr>
      <t>33</t>
    </r>
    <r>
      <rPr>
        <sz val="12"/>
        <color theme="1"/>
        <rFont val="Times New Roman"/>
        <family val="1"/>
      </rPr>
      <t>, 250–256 (2010).</t>
    </r>
  </si>
  <si>
    <r>
      <t xml:space="preserve">Aulakh, M. S. </t>
    </r>
    <r>
      <rPr>
        <i/>
        <sz val="12"/>
        <color theme="1"/>
        <rFont val="Times New Roman"/>
        <family val="1"/>
      </rPr>
      <t>et al.</t>
    </r>
    <r>
      <rPr>
        <sz val="12"/>
        <color theme="1"/>
        <rFont val="Times New Roman"/>
        <family val="1"/>
      </rPr>
      <t xml:space="preserve"> Crop production and nutrient use efficiency of conservation agriculture for soybean-wheat rotation in the Indo-Gangetic Plains of Northwestern India. </t>
    </r>
    <r>
      <rPr>
        <i/>
        <sz val="12"/>
        <color theme="1"/>
        <rFont val="Times New Roman"/>
        <family val="1"/>
      </rPr>
      <t>Soil Tillage Res.</t>
    </r>
    <r>
      <rPr>
        <sz val="12"/>
        <color theme="1"/>
        <rFont val="Times New Roman"/>
        <family val="1"/>
      </rPr>
      <t xml:space="preserve"> </t>
    </r>
    <r>
      <rPr>
        <b/>
        <sz val="12"/>
        <color theme="1"/>
        <rFont val="Times New Roman"/>
        <family val="1"/>
      </rPr>
      <t>120</t>
    </r>
    <r>
      <rPr>
        <sz val="12"/>
        <color theme="1"/>
        <rFont val="Times New Roman"/>
        <family val="1"/>
      </rPr>
      <t>, 50–60 (2012).</t>
    </r>
  </si>
  <si>
    <r>
      <t xml:space="preserve">Azooz, R. H. &amp; Arshad, M. A. Effect of tillage and residue management on barley and canola growth and water use efficiency. </t>
    </r>
    <r>
      <rPr>
        <i/>
        <sz val="12"/>
        <color theme="1"/>
        <rFont val="Times New Roman"/>
        <family val="1"/>
      </rPr>
      <t>Can. J. Soil Sci.</t>
    </r>
    <r>
      <rPr>
        <sz val="12"/>
        <color theme="1"/>
        <rFont val="Times New Roman"/>
        <family val="1"/>
      </rPr>
      <t xml:space="preserve"> </t>
    </r>
    <r>
      <rPr>
        <b/>
        <sz val="12"/>
        <color theme="1"/>
        <rFont val="Times New Roman"/>
        <family val="1"/>
      </rPr>
      <t>78</t>
    </r>
    <r>
      <rPr>
        <sz val="12"/>
        <color theme="1"/>
        <rFont val="Times New Roman"/>
        <family val="1"/>
      </rPr>
      <t>, 649–656 (1998).</t>
    </r>
  </si>
  <si>
    <r>
      <t xml:space="preserve">Baan, C. D., Grevers, M. C. J. &amp; Schoenau, J. J. Effects of a single cycle of tillage on long-term no-till prairie soils. </t>
    </r>
    <r>
      <rPr>
        <i/>
        <sz val="12"/>
        <color theme="1"/>
        <rFont val="Times New Roman"/>
        <family val="1"/>
      </rPr>
      <t>Can. J. Soil Sci.</t>
    </r>
    <r>
      <rPr>
        <sz val="12"/>
        <color theme="1"/>
        <rFont val="Times New Roman"/>
        <family val="1"/>
      </rPr>
      <t xml:space="preserve"> </t>
    </r>
    <r>
      <rPr>
        <b/>
        <sz val="12"/>
        <color theme="1"/>
        <rFont val="Times New Roman"/>
        <family val="1"/>
      </rPr>
      <t>89</t>
    </r>
    <r>
      <rPr>
        <sz val="12"/>
        <color theme="1"/>
        <rFont val="Times New Roman"/>
        <family val="1"/>
      </rPr>
      <t>, 521–530 (2009).</t>
    </r>
  </si>
  <si>
    <r>
      <t xml:space="preserve">Baggs, E. M. </t>
    </r>
    <r>
      <rPr>
        <i/>
        <sz val="12"/>
        <color theme="1"/>
        <rFont val="Times New Roman"/>
        <family val="1"/>
      </rPr>
      <t>et al.</t>
    </r>
    <r>
      <rPr>
        <sz val="12"/>
        <color theme="1"/>
        <rFont val="Times New Roman"/>
        <family val="1"/>
      </rPr>
      <t xml:space="preserve"> Nitrous oxide emissions following application of residues and fertiliser under zero and conventional tillage. </t>
    </r>
    <r>
      <rPr>
        <i/>
        <sz val="12"/>
        <color theme="1"/>
        <rFont val="Times New Roman"/>
        <family val="1"/>
      </rPr>
      <t>Plant Soil</t>
    </r>
    <r>
      <rPr>
        <sz val="12"/>
        <color theme="1"/>
        <rFont val="Times New Roman"/>
        <family val="1"/>
      </rPr>
      <t xml:space="preserve"> </t>
    </r>
    <r>
      <rPr>
        <b/>
        <sz val="12"/>
        <color theme="1"/>
        <rFont val="Times New Roman"/>
        <family val="1"/>
      </rPr>
      <t>254</t>
    </r>
    <r>
      <rPr>
        <sz val="12"/>
        <color theme="1"/>
        <rFont val="Times New Roman"/>
        <family val="1"/>
      </rPr>
      <t>, 361–370 (2003).</t>
    </r>
  </si>
  <si>
    <r>
      <t xml:space="preserve">Baghdadi, A., Halim, R. A., Majidian, M., Wan Daud, W. N. &amp; Ahmad, I. Forage corn yield and physiological indices under different plant densities and tillage systems. </t>
    </r>
    <r>
      <rPr>
        <i/>
        <sz val="12"/>
        <color theme="1"/>
        <rFont val="Times New Roman"/>
        <family val="1"/>
      </rPr>
      <t>J. Food, Agric. Environ.</t>
    </r>
    <r>
      <rPr>
        <sz val="12"/>
        <color theme="1"/>
        <rFont val="Times New Roman"/>
        <family val="1"/>
      </rPr>
      <t xml:space="preserve"> </t>
    </r>
    <r>
      <rPr>
        <b/>
        <sz val="12"/>
        <color theme="1"/>
        <rFont val="Times New Roman"/>
        <family val="1"/>
      </rPr>
      <t>10</t>
    </r>
    <r>
      <rPr>
        <sz val="12"/>
        <color theme="1"/>
        <rFont val="Times New Roman"/>
        <family val="1"/>
      </rPr>
      <t>, 707–712 (2012).</t>
    </r>
  </si>
  <si>
    <r>
      <t xml:space="preserve">Bajpai, R. K. &amp; Tripathi, R. P. Evaluation of non-puddling under shallow water tables and alternative tillage methods on soil and crop parameters in a rice–wheat system in Uttar Pradesh. </t>
    </r>
    <r>
      <rPr>
        <i/>
        <sz val="12"/>
        <color theme="1"/>
        <rFont val="Times New Roman"/>
        <family val="1"/>
      </rPr>
      <t>Soil Tillage Res.</t>
    </r>
    <r>
      <rPr>
        <sz val="12"/>
        <color theme="1"/>
        <rFont val="Times New Roman"/>
        <family val="1"/>
      </rPr>
      <t xml:space="preserve"> </t>
    </r>
    <r>
      <rPr>
        <b/>
        <sz val="12"/>
        <color theme="1"/>
        <rFont val="Times New Roman"/>
        <family val="1"/>
      </rPr>
      <t>55</t>
    </r>
    <r>
      <rPr>
        <sz val="12"/>
        <color theme="1"/>
        <rFont val="Times New Roman"/>
        <family val="1"/>
      </rPr>
      <t>, 99–106 (2000).</t>
    </r>
  </si>
  <si>
    <r>
      <t xml:space="preserve">Balkcom, K. S., Reeves, D. W., Kemble, J. M., Dawkins, R. A. &amp; Raper, R. L. Tillage requirements of sweet corn, field pea, and watermelon following stocker cattle grazing. </t>
    </r>
    <r>
      <rPr>
        <i/>
        <sz val="12"/>
        <color theme="1"/>
        <rFont val="Times New Roman"/>
        <family val="1"/>
      </rPr>
      <t>J. Sustain. Agric.</t>
    </r>
    <r>
      <rPr>
        <sz val="12"/>
        <color theme="1"/>
        <rFont val="Times New Roman"/>
        <family val="1"/>
      </rPr>
      <t xml:space="preserve"> </t>
    </r>
    <r>
      <rPr>
        <b/>
        <sz val="12"/>
        <color theme="1"/>
        <rFont val="Times New Roman"/>
        <family val="1"/>
      </rPr>
      <t>34</t>
    </r>
    <r>
      <rPr>
        <sz val="12"/>
        <color theme="1"/>
        <rFont val="Times New Roman"/>
        <family val="1"/>
      </rPr>
      <t>, 169–182 (2010).</t>
    </r>
  </si>
  <si>
    <r>
      <t xml:space="preserve">Balkcom, K. S. </t>
    </r>
    <r>
      <rPr>
        <i/>
        <sz val="12"/>
        <color theme="1"/>
        <rFont val="Times New Roman"/>
        <family val="1"/>
      </rPr>
      <t>et al.</t>
    </r>
    <r>
      <rPr>
        <sz val="12"/>
        <color theme="1"/>
        <rFont val="Times New Roman"/>
        <family val="1"/>
      </rPr>
      <t xml:space="preserve"> Row spacing, tillage system, and herbicide technology affects cotton plant growth and yield. </t>
    </r>
    <r>
      <rPr>
        <i/>
        <sz val="12"/>
        <color theme="1"/>
        <rFont val="Times New Roman"/>
        <family val="1"/>
      </rPr>
      <t>F. Crop. Res.</t>
    </r>
    <r>
      <rPr>
        <sz val="12"/>
        <color theme="1"/>
        <rFont val="Times New Roman"/>
        <family val="1"/>
      </rPr>
      <t xml:space="preserve"> </t>
    </r>
    <r>
      <rPr>
        <b/>
        <sz val="12"/>
        <color theme="1"/>
        <rFont val="Times New Roman"/>
        <family val="1"/>
      </rPr>
      <t>117</t>
    </r>
    <r>
      <rPr>
        <sz val="12"/>
        <color theme="1"/>
        <rFont val="Times New Roman"/>
        <family val="1"/>
      </rPr>
      <t>, 219–225 (2010).</t>
    </r>
  </si>
  <si>
    <r>
      <t xml:space="preserve">Ball, B. C., O’Sullivan, M. F. &amp; Lang, R. W. Cultivation and nitrogen requirement for winter barley as assessed from a reduced-tillage experiment on a brown forest soil. </t>
    </r>
    <r>
      <rPr>
        <i/>
        <sz val="12"/>
        <color theme="1"/>
        <rFont val="Times New Roman"/>
        <family val="1"/>
      </rPr>
      <t>Soil Tillage Res.</t>
    </r>
    <r>
      <rPr>
        <sz val="12"/>
        <color theme="1"/>
        <rFont val="Times New Roman"/>
        <family val="1"/>
      </rPr>
      <t xml:space="preserve"> </t>
    </r>
    <r>
      <rPr>
        <b/>
        <sz val="12"/>
        <color theme="1"/>
        <rFont val="Times New Roman"/>
        <family val="1"/>
      </rPr>
      <t>6</t>
    </r>
    <r>
      <rPr>
        <sz val="12"/>
        <color theme="1"/>
        <rFont val="Times New Roman"/>
        <family val="1"/>
      </rPr>
      <t>, 95–109 (1985).</t>
    </r>
  </si>
  <si>
    <r>
      <t xml:space="preserve">Barber, R. G., Orellana, M., Navarro, F., Diaz, O. &amp; Soruco, M. A. Effects of conservation and conventional tillage systems after land clearing on soil properties and crop yield in Santa Cruz, Bolivia. </t>
    </r>
    <r>
      <rPr>
        <i/>
        <sz val="12"/>
        <color theme="1"/>
        <rFont val="Times New Roman"/>
        <family val="1"/>
      </rPr>
      <t>Soil Tillage Res.</t>
    </r>
    <r>
      <rPr>
        <sz val="12"/>
        <color theme="1"/>
        <rFont val="Times New Roman"/>
        <family val="1"/>
      </rPr>
      <t xml:space="preserve"> </t>
    </r>
    <r>
      <rPr>
        <b/>
        <sz val="12"/>
        <color theme="1"/>
        <rFont val="Times New Roman"/>
        <family val="1"/>
      </rPr>
      <t>38</t>
    </r>
    <r>
      <rPr>
        <sz val="12"/>
        <color theme="1"/>
        <rFont val="Times New Roman"/>
        <family val="1"/>
      </rPr>
      <t>, 133–152 (1996).</t>
    </r>
  </si>
  <si>
    <r>
      <t xml:space="preserve">Barrios, M. B., Bozzo, A. A., Debelis, S. P., Pereyra, A. M. &amp; Buján, A. Soil physical properties and root activity in a soybean second crop/maize rotation under direct sowing and conventional tillage. </t>
    </r>
    <r>
      <rPr>
        <i/>
        <sz val="12"/>
        <color theme="1"/>
        <rFont val="Times New Roman"/>
        <family val="1"/>
      </rPr>
      <t>Spanish J. Agric. Res.</t>
    </r>
    <r>
      <rPr>
        <sz val="12"/>
        <color theme="1"/>
        <rFont val="Times New Roman"/>
        <family val="1"/>
      </rPr>
      <t xml:space="preserve"> </t>
    </r>
    <r>
      <rPr>
        <b/>
        <sz val="12"/>
        <color theme="1"/>
        <rFont val="Times New Roman"/>
        <family val="1"/>
      </rPr>
      <t>4</t>
    </r>
    <r>
      <rPr>
        <sz val="12"/>
        <color theme="1"/>
        <rFont val="Times New Roman"/>
        <family val="1"/>
      </rPr>
      <t>, 355–362 (2006).</t>
    </r>
  </si>
  <si>
    <r>
      <t xml:space="preserve">Baumhardt, R. L., Wendt, C. W. &amp; Keeling, J. W. Tillage and furrow diking effects on water balance and yields of sorghum and cotton. </t>
    </r>
    <r>
      <rPr>
        <i/>
        <sz val="12"/>
        <color theme="1"/>
        <rFont val="Times New Roman"/>
        <family val="1"/>
      </rPr>
      <t>Soil Sci. Soc. Am. J.</t>
    </r>
    <r>
      <rPr>
        <sz val="12"/>
        <color theme="1"/>
        <rFont val="Times New Roman"/>
        <family val="1"/>
      </rPr>
      <t xml:space="preserve"> </t>
    </r>
    <r>
      <rPr>
        <b/>
        <sz val="12"/>
        <color theme="1"/>
        <rFont val="Times New Roman"/>
        <family val="1"/>
      </rPr>
      <t>57</t>
    </r>
    <r>
      <rPr>
        <sz val="12"/>
        <color theme="1"/>
        <rFont val="Times New Roman"/>
        <family val="1"/>
      </rPr>
      <t>, 1077–1083 (1993).</t>
    </r>
  </si>
  <si>
    <r>
      <t xml:space="preserve">Baumhardt, R. . &amp; Jones, O. . Residue management and tillage effects on soil-water storage and grain yield of dryland wheat and sorghum for a clay loam in Texas. </t>
    </r>
    <r>
      <rPr>
        <i/>
        <sz val="12"/>
        <color theme="1"/>
        <rFont val="Times New Roman"/>
        <family val="1"/>
      </rPr>
      <t>Soil Tillage Res.</t>
    </r>
    <r>
      <rPr>
        <sz val="12"/>
        <color theme="1"/>
        <rFont val="Times New Roman"/>
        <family val="1"/>
      </rPr>
      <t xml:space="preserve"> </t>
    </r>
    <r>
      <rPr>
        <b/>
        <sz val="12"/>
        <color theme="1"/>
        <rFont val="Times New Roman"/>
        <family val="1"/>
      </rPr>
      <t>68</t>
    </r>
    <r>
      <rPr>
        <sz val="12"/>
        <color theme="1"/>
        <rFont val="Times New Roman"/>
        <family val="1"/>
      </rPr>
      <t>, 71–82 (2002).</t>
    </r>
  </si>
  <si>
    <r>
      <t xml:space="preserve">Behnke, G. D., Zuber, S. M., Pittelkow, C. M., Nafziger, E. D. &amp; Villamil, M. B. Long-term crop rotation and tillage effects on soil greenhouse gas emissions and crop production in Illinois, USA. </t>
    </r>
    <r>
      <rPr>
        <i/>
        <sz val="12"/>
        <color theme="1"/>
        <rFont val="Times New Roman"/>
        <family val="1"/>
      </rPr>
      <t>Agric. Ecosyst. Environ.</t>
    </r>
    <r>
      <rPr>
        <sz val="12"/>
        <color theme="1"/>
        <rFont val="Times New Roman"/>
        <family val="1"/>
      </rPr>
      <t xml:space="preserve"> </t>
    </r>
    <r>
      <rPr>
        <b/>
        <sz val="12"/>
        <color theme="1"/>
        <rFont val="Times New Roman"/>
        <family val="1"/>
      </rPr>
      <t>261</t>
    </r>
    <r>
      <rPr>
        <sz val="12"/>
        <color theme="1"/>
        <rFont val="Times New Roman"/>
        <family val="1"/>
      </rPr>
      <t>, 62–70 (2018).</t>
    </r>
  </si>
  <si>
    <r>
      <t xml:space="preserve">Bermudez, M. &amp; Mallarino, A. P. Corn response to starter fertilizer and tillage across and within fields having no-till management histories.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776–785 (2004).</t>
    </r>
  </si>
  <si>
    <r>
      <t xml:space="preserve">Bernstein, E. R., Posner, J. L., Stoltenberg, D. E. &amp; Hedtcke, J. L. Organically managed no-tillage rye-soybean systems: agronomic, economic, and environmental assessment.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1169–1179 (2011).</t>
    </r>
  </si>
  <si>
    <r>
      <t xml:space="preserve">Beyaert, R. P., Schott, J. W. &amp; White, P. H. Tillage effects on corn production in a coarse‐textured soil in Southern Ontario. </t>
    </r>
    <r>
      <rPr>
        <i/>
        <sz val="12"/>
        <color theme="1"/>
        <rFont val="Times New Roman"/>
        <family val="1"/>
      </rPr>
      <t>Agron. J.</t>
    </r>
    <r>
      <rPr>
        <sz val="12"/>
        <color theme="1"/>
        <rFont val="Times New Roman"/>
        <family val="1"/>
      </rPr>
      <t xml:space="preserve"> </t>
    </r>
    <r>
      <rPr>
        <b/>
        <sz val="12"/>
        <color theme="1"/>
        <rFont val="Times New Roman"/>
        <family val="1"/>
      </rPr>
      <t>94</t>
    </r>
    <r>
      <rPr>
        <sz val="12"/>
        <color theme="1"/>
        <rFont val="Times New Roman"/>
        <family val="1"/>
      </rPr>
      <t>, 767–774 (2002).</t>
    </r>
  </si>
  <si>
    <r>
      <t xml:space="preserve">Bisen, P. K. &amp; Singh, R. Effect of tillage and weed control practices on weed growth and yield of wheat (Triticum aestivum) in rice (Oryza sativa) - Wheat system. </t>
    </r>
    <r>
      <rPr>
        <i/>
        <sz val="12"/>
        <color theme="1"/>
        <rFont val="Times New Roman"/>
        <family val="1"/>
      </rPr>
      <t>Indian J. Agric. Sci.</t>
    </r>
    <r>
      <rPr>
        <sz val="12"/>
        <color theme="1"/>
        <rFont val="Times New Roman"/>
        <family val="1"/>
      </rPr>
      <t xml:space="preserve"> </t>
    </r>
    <r>
      <rPr>
        <b/>
        <sz val="12"/>
        <color theme="1"/>
        <rFont val="Times New Roman"/>
        <family val="1"/>
      </rPr>
      <t>78</t>
    </r>
    <r>
      <rPr>
        <sz val="12"/>
        <color theme="1"/>
        <rFont val="Times New Roman"/>
        <family val="1"/>
      </rPr>
      <t>, 347–350 (2008).</t>
    </r>
  </si>
  <si>
    <r>
      <t xml:space="preserve">Blackshaw, R. E., Semach, G., Li, X., O’Donovan, J. T. &amp; Harker, K. N. Tillage, fertiliser and glyphosate timing effects on foxtail barley ( Hordeum jubatum ) management in wheat. </t>
    </r>
    <r>
      <rPr>
        <i/>
        <sz val="12"/>
        <color theme="1"/>
        <rFont val="Times New Roman"/>
        <family val="1"/>
      </rPr>
      <t>Can. J. Plant Sci.</t>
    </r>
    <r>
      <rPr>
        <sz val="12"/>
        <color theme="1"/>
        <rFont val="Times New Roman"/>
        <family val="1"/>
      </rPr>
      <t xml:space="preserve"> </t>
    </r>
    <r>
      <rPr>
        <b/>
        <sz val="12"/>
        <color theme="1"/>
        <rFont val="Times New Roman"/>
        <family val="1"/>
      </rPr>
      <t>80</t>
    </r>
    <r>
      <rPr>
        <sz val="12"/>
        <color theme="1"/>
        <rFont val="Times New Roman"/>
        <family val="1"/>
      </rPr>
      <t>, 655–660 (2000).</t>
    </r>
  </si>
  <si>
    <r>
      <t xml:space="preserve">Bocianowski, J., Szulc, P. &amp; Nowosad, K. Soil tillage methods by years interaction for dry matter of plant yield of maize (Zea mays L.) using additive main effects and multiplicative interaction model. </t>
    </r>
    <r>
      <rPr>
        <i/>
        <sz val="12"/>
        <color theme="1"/>
        <rFont val="Times New Roman"/>
        <family val="1"/>
      </rPr>
      <t>J. Integr. Agric.</t>
    </r>
    <r>
      <rPr>
        <sz val="12"/>
        <color theme="1"/>
        <rFont val="Times New Roman"/>
        <family val="1"/>
      </rPr>
      <t xml:space="preserve"> </t>
    </r>
    <r>
      <rPr>
        <b/>
        <sz val="12"/>
        <color theme="1"/>
        <rFont val="Times New Roman"/>
        <family val="1"/>
      </rPr>
      <t>17</t>
    </r>
    <r>
      <rPr>
        <sz val="12"/>
        <color theme="1"/>
        <rFont val="Times New Roman"/>
        <family val="1"/>
      </rPr>
      <t>, 2836–2839 (2018).</t>
    </r>
  </si>
  <si>
    <r>
      <t xml:space="preserve">Boeckx, P., Van Nieuland, K. &amp; Van Cleemput, O. Short-term effect of tillage intensity on N2O and CO2 emissions. </t>
    </r>
    <r>
      <rPr>
        <i/>
        <sz val="12"/>
        <color theme="1"/>
        <rFont val="Times New Roman"/>
        <family val="1"/>
      </rPr>
      <t>Agron. Sustain. Dev.</t>
    </r>
    <r>
      <rPr>
        <sz val="12"/>
        <color theme="1"/>
        <rFont val="Times New Roman"/>
        <family val="1"/>
      </rPr>
      <t xml:space="preserve"> </t>
    </r>
    <r>
      <rPr>
        <b/>
        <sz val="12"/>
        <color theme="1"/>
        <rFont val="Times New Roman"/>
        <family val="1"/>
      </rPr>
      <t>31</t>
    </r>
    <r>
      <rPr>
        <sz val="12"/>
        <color theme="1"/>
        <rFont val="Times New Roman"/>
        <family val="1"/>
      </rPr>
      <t>, 453–461 (2011).</t>
    </r>
  </si>
  <si>
    <r>
      <t xml:space="preserve">Boehmel, C., Lewandowski, I. &amp; Claupein, W. Comparing annual and perennial energy cropping systems with different management intensities. </t>
    </r>
    <r>
      <rPr>
        <i/>
        <sz val="12"/>
        <color theme="1"/>
        <rFont val="Times New Roman"/>
        <family val="1"/>
      </rPr>
      <t>Agric. Syst.</t>
    </r>
    <r>
      <rPr>
        <sz val="12"/>
        <color theme="1"/>
        <rFont val="Times New Roman"/>
        <family val="1"/>
      </rPr>
      <t xml:space="preserve"> </t>
    </r>
    <r>
      <rPr>
        <b/>
        <sz val="12"/>
        <color theme="1"/>
        <rFont val="Times New Roman"/>
        <family val="1"/>
      </rPr>
      <t>96</t>
    </r>
    <r>
      <rPr>
        <sz val="12"/>
        <color theme="1"/>
        <rFont val="Times New Roman"/>
        <family val="1"/>
      </rPr>
      <t>, 224–236 (2008).</t>
    </r>
  </si>
  <si>
    <r>
      <t xml:space="preserve">Bogunovic, I., Pereira, P., Kisic, I., Sajko, K. &amp; Sraka, M. Tillage management impacts on soil compaction, erosion and crop yield in Stagnosols (Croatia). </t>
    </r>
    <r>
      <rPr>
        <i/>
        <sz val="12"/>
        <color theme="1"/>
        <rFont val="Times New Roman"/>
        <family val="1"/>
      </rPr>
      <t>CATENA</t>
    </r>
    <r>
      <rPr>
        <sz val="12"/>
        <color theme="1"/>
        <rFont val="Times New Roman"/>
        <family val="1"/>
      </rPr>
      <t xml:space="preserve"> </t>
    </r>
    <r>
      <rPr>
        <b/>
        <sz val="12"/>
        <color theme="1"/>
        <rFont val="Times New Roman"/>
        <family val="1"/>
      </rPr>
      <t>160</t>
    </r>
    <r>
      <rPr>
        <sz val="12"/>
        <color theme="1"/>
        <rFont val="Times New Roman"/>
        <family val="1"/>
      </rPr>
      <t>, 376–384 (2018).</t>
    </r>
  </si>
  <si>
    <r>
      <t xml:space="preserve">Bono, A., Alvarez, R., Buschiazzo, D. E. &amp; Cantet, R. J. C. Tillage Effects on Soil Carbon Balance in a Semiarid Agroecosystem. </t>
    </r>
    <r>
      <rPr>
        <i/>
        <sz val="12"/>
        <color theme="1"/>
        <rFont val="Times New Roman"/>
        <family val="1"/>
      </rPr>
      <t>Soil Sci. Soc. Am. J.</t>
    </r>
    <r>
      <rPr>
        <sz val="12"/>
        <color theme="1"/>
        <rFont val="Times New Roman"/>
        <family val="1"/>
      </rPr>
      <t xml:space="preserve"> </t>
    </r>
    <r>
      <rPr>
        <b/>
        <sz val="12"/>
        <color theme="1"/>
        <rFont val="Times New Roman"/>
        <family val="1"/>
      </rPr>
      <t>72</t>
    </r>
    <r>
      <rPr>
        <sz val="12"/>
        <color theme="1"/>
        <rFont val="Times New Roman"/>
        <family val="1"/>
      </rPr>
      <t>, 1140–1149 (2008).</t>
    </r>
  </si>
  <si>
    <r>
      <t xml:space="preserve">Bordovsky, J. P., Lyle, W. M. &amp; Keeling, J. W. Crop rotation and tillage rffects on soil water and cotton yield. </t>
    </r>
    <r>
      <rPr>
        <i/>
        <sz val="12"/>
        <color theme="1"/>
        <rFont val="Times New Roman"/>
        <family val="1"/>
      </rPr>
      <t>Agron. J.</t>
    </r>
    <r>
      <rPr>
        <sz val="12"/>
        <color theme="1"/>
        <rFont val="Times New Roman"/>
        <family val="1"/>
      </rPr>
      <t xml:space="preserve"> </t>
    </r>
    <r>
      <rPr>
        <b/>
        <sz val="12"/>
        <color theme="1"/>
        <rFont val="Times New Roman"/>
        <family val="1"/>
      </rPr>
      <t>86</t>
    </r>
    <r>
      <rPr>
        <sz val="12"/>
        <color theme="1"/>
        <rFont val="Times New Roman"/>
        <family val="1"/>
      </rPr>
      <t>, 1–6 (1994).</t>
    </r>
  </si>
  <si>
    <r>
      <t xml:space="preserve">Botta, G. F., Tolon-Becerra, A., Lastra-Bravo, X. &amp; Tourn, M. Tillage and traffic effects (planters and tractors) on soil compaction and soybean (Glycine max L.) yields in Argentinean pampas. </t>
    </r>
    <r>
      <rPr>
        <i/>
        <sz val="12"/>
        <color theme="1"/>
        <rFont val="Times New Roman"/>
        <family val="1"/>
      </rPr>
      <t>Soil Tillage Res.</t>
    </r>
    <r>
      <rPr>
        <sz val="12"/>
        <color theme="1"/>
        <rFont val="Times New Roman"/>
        <family val="1"/>
      </rPr>
      <t xml:space="preserve"> </t>
    </r>
    <r>
      <rPr>
        <b/>
        <sz val="12"/>
        <color theme="1"/>
        <rFont val="Times New Roman"/>
        <family val="1"/>
      </rPr>
      <t>110</t>
    </r>
    <r>
      <rPr>
        <sz val="12"/>
        <color theme="1"/>
        <rFont val="Times New Roman"/>
        <family val="1"/>
      </rPr>
      <t>, 167–174 (2010).</t>
    </r>
  </si>
  <si>
    <r>
      <t xml:space="preserve">Brandt, S. A. Zero vs. conventional tillage and their effects on crop yield and soil moisture. </t>
    </r>
    <r>
      <rPr>
        <i/>
        <sz val="12"/>
        <color theme="1"/>
        <rFont val="Times New Roman"/>
        <family val="1"/>
      </rPr>
      <t>Can. J. Plant Sci.</t>
    </r>
    <r>
      <rPr>
        <sz val="12"/>
        <color theme="1"/>
        <rFont val="Times New Roman"/>
        <family val="1"/>
      </rPr>
      <t xml:space="preserve"> </t>
    </r>
    <r>
      <rPr>
        <b/>
        <sz val="12"/>
        <color theme="1"/>
        <rFont val="Times New Roman"/>
        <family val="1"/>
      </rPr>
      <t>72</t>
    </r>
    <r>
      <rPr>
        <sz val="12"/>
        <color theme="1"/>
        <rFont val="Times New Roman"/>
        <family val="1"/>
      </rPr>
      <t>, 679–688 (1992).</t>
    </r>
  </si>
  <si>
    <r>
      <t xml:space="preserve">Brown, V., Barbosa, F. T., Bertol, I., Mafra, Á. L. &amp; Muzeka, L. M. Effects on soil and crops after 20 years of conventional and zero tillage. </t>
    </r>
    <r>
      <rPr>
        <i/>
        <sz val="12"/>
        <color theme="1"/>
        <rFont val="Times New Roman"/>
        <family val="1"/>
      </rPr>
      <t>Rev. Bras. Ciências Agrárias - Brazilian J. Agric. Sci.</t>
    </r>
    <r>
      <rPr>
        <sz val="12"/>
        <color theme="1"/>
        <rFont val="Times New Roman"/>
        <family val="1"/>
      </rPr>
      <t xml:space="preserve"> </t>
    </r>
    <r>
      <rPr>
        <b/>
        <sz val="12"/>
        <color theme="1"/>
        <rFont val="Times New Roman"/>
        <family val="1"/>
      </rPr>
      <t>13</t>
    </r>
    <r>
      <rPr>
        <sz val="12"/>
        <color theme="1"/>
        <rFont val="Times New Roman"/>
        <family val="1"/>
      </rPr>
      <t>, 1–7 (2018).</t>
    </r>
  </si>
  <si>
    <r>
      <t xml:space="preserve">Büchi, L., Wendling, M., Amossé, C., Necpalova, M. &amp; Charles, R. Importance of cover crops in alleviating negative effects of reduced soil tillage and promoting soil fertility in a winter wheat cropping system. </t>
    </r>
    <r>
      <rPr>
        <i/>
        <sz val="12"/>
        <color theme="1"/>
        <rFont val="Times New Roman"/>
        <family val="1"/>
      </rPr>
      <t>Agric. Ecosyst. Environ.</t>
    </r>
    <r>
      <rPr>
        <sz val="12"/>
        <color theme="1"/>
        <rFont val="Times New Roman"/>
        <family val="1"/>
      </rPr>
      <t xml:space="preserve"> </t>
    </r>
    <r>
      <rPr>
        <b/>
        <sz val="12"/>
        <color theme="1"/>
        <rFont val="Times New Roman"/>
        <family val="1"/>
      </rPr>
      <t>256</t>
    </r>
    <r>
      <rPr>
        <sz val="12"/>
        <color theme="1"/>
        <rFont val="Times New Roman"/>
        <family val="1"/>
      </rPr>
      <t>, 92–104 (2018).</t>
    </r>
  </si>
  <si>
    <r>
      <t xml:space="preserve">Busscher, W. J., Khalilian, A. &amp; Jones, M. A. Tillage Management for Cotton in Southeastern Coastal Soils during Dry Years. </t>
    </r>
    <r>
      <rPr>
        <i/>
        <sz val="12"/>
        <color theme="1"/>
        <rFont val="Times New Roman"/>
        <family val="1"/>
      </rPr>
      <t>Commun. Soil Sci. Plant Anal.</t>
    </r>
    <r>
      <rPr>
        <sz val="12"/>
        <color theme="1"/>
        <rFont val="Times New Roman"/>
        <family val="1"/>
      </rPr>
      <t xml:space="preserve"> </t>
    </r>
    <r>
      <rPr>
        <b/>
        <sz val="12"/>
        <color theme="1"/>
        <rFont val="Times New Roman"/>
        <family val="1"/>
      </rPr>
      <t>43</t>
    </r>
    <r>
      <rPr>
        <sz val="12"/>
        <color theme="1"/>
        <rFont val="Times New Roman"/>
        <family val="1"/>
      </rPr>
      <t>, 2564–2574 (2012).</t>
    </r>
  </si>
  <si>
    <r>
      <t xml:space="preserve">Cahoon, J. E. </t>
    </r>
    <r>
      <rPr>
        <i/>
        <sz val="12"/>
        <color theme="1"/>
        <rFont val="Times New Roman"/>
        <family val="1"/>
      </rPr>
      <t>et al.</t>
    </r>
    <r>
      <rPr>
        <sz val="12"/>
        <color theme="1"/>
        <rFont val="Times New Roman"/>
        <family val="1"/>
      </rPr>
      <t xml:space="preserve"> Corn Yield Response to Tillage with Furrow Irrigation. </t>
    </r>
    <r>
      <rPr>
        <i/>
        <sz val="12"/>
        <color theme="1"/>
        <rFont val="Times New Roman"/>
        <family val="1"/>
      </rPr>
      <t>J. Prod. Agric.</t>
    </r>
    <r>
      <rPr>
        <sz val="12"/>
        <color theme="1"/>
        <rFont val="Times New Roman"/>
        <family val="1"/>
      </rPr>
      <t xml:space="preserve"> </t>
    </r>
    <r>
      <rPr>
        <b/>
        <sz val="12"/>
        <color theme="1"/>
        <rFont val="Times New Roman"/>
        <family val="1"/>
      </rPr>
      <t>12</t>
    </r>
    <r>
      <rPr>
        <sz val="12"/>
        <color theme="1"/>
        <rFont val="Times New Roman"/>
        <family val="1"/>
      </rPr>
      <t>, 269–275 (1999).</t>
    </r>
  </si>
  <si>
    <r>
      <t xml:space="preserve">Calzarano, F. </t>
    </r>
    <r>
      <rPr>
        <i/>
        <sz val="12"/>
        <color theme="1"/>
        <rFont val="Times New Roman"/>
        <family val="1"/>
      </rPr>
      <t>et al.</t>
    </r>
    <r>
      <rPr>
        <sz val="12"/>
        <color theme="1"/>
        <rFont val="Times New Roman"/>
        <family val="1"/>
      </rPr>
      <t xml:space="preserve"> Durum wheat quality, yield and sanitary status under conservation agriculture. </t>
    </r>
    <r>
      <rPr>
        <i/>
        <sz val="12"/>
        <color theme="1"/>
        <rFont val="Times New Roman"/>
        <family val="1"/>
      </rPr>
      <t>Agric.</t>
    </r>
    <r>
      <rPr>
        <sz val="12"/>
        <color theme="1"/>
        <rFont val="Times New Roman"/>
        <family val="1"/>
      </rPr>
      <t xml:space="preserve"> </t>
    </r>
    <r>
      <rPr>
        <b/>
        <sz val="12"/>
        <color theme="1"/>
        <rFont val="Times New Roman"/>
        <family val="1"/>
      </rPr>
      <t>8</t>
    </r>
    <r>
      <rPr>
        <sz val="12"/>
        <color theme="1"/>
        <rFont val="Times New Roman"/>
        <family val="1"/>
      </rPr>
      <t>, 1–13 (2018).</t>
    </r>
  </si>
  <si>
    <r>
      <t xml:space="preserve">Camarotto, C. </t>
    </r>
    <r>
      <rPr>
        <i/>
        <sz val="12"/>
        <color theme="1"/>
        <rFont val="Times New Roman"/>
        <family val="1"/>
      </rPr>
      <t>et al.</t>
    </r>
    <r>
      <rPr>
        <sz val="12"/>
        <color theme="1"/>
        <rFont val="Times New Roman"/>
        <family val="1"/>
      </rPr>
      <t xml:space="preserve"> Conservation agriculture and cover crop practices to regulate water, carbon and nitrogen cycles in the low-lying Venetian plain. </t>
    </r>
    <r>
      <rPr>
        <i/>
        <sz val="12"/>
        <color theme="1"/>
        <rFont val="Times New Roman"/>
        <family val="1"/>
      </rPr>
      <t>Catena</t>
    </r>
    <r>
      <rPr>
        <sz val="12"/>
        <color theme="1"/>
        <rFont val="Times New Roman"/>
        <family val="1"/>
      </rPr>
      <t xml:space="preserve"> </t>
    </r>
    <r>
      <rPr>
        <b/>
        <sz val="12"/>
        <color theme="1"/>
        <rFont val="Times New Roman"/>
        <family val="1"/>
      </rPr>
      <t>167</t>
    </r>
    <r>
      <rPr>
        <sz val="12"/>
        <color theme="1"/>
        <rFont val="Times New Roman"/>
        <family val="1"/>
      </rPr>
      <t>, 236–249 (2018).</t>
    </r>
  </si>
  <si>
    <r>
      <t xml:space="preserve">Campbell, C. A. </t>
    </r>
    <r>
      <rPr>
        <i/>
        <sz val="12"/>
        <color theme="1"/>
        <rFont val="Times New Roman"/>
        <family val="1"/>
      </rPr>
      <t>et al.</t>
    </r>
    <r>
      <rPr>
        <sz val="12"/>
        <color theme="1"/>
        <rFont val="Times New Roman"/>
        <family val="1"/>
      </rPr>
      <t xml:space="preserve"> Converting from no-tillage to pre-seeding tillage: Influence on weeds, spring wheat grain yields and N, and soil quality. </t>
    </r>
    <r>
      <rPr>
        <i/>
        <sz val="12"/>
        <color theme="1"/>
        <rFont val="Times New Roman"/>
        <family val="1"/>
      </rPr>
      <t>Soil Tillage Res.</t>
    </r>
    <r>
      <rPr>
        <sz val="12"/>
        <color theme="1"/>
        <rFont val="Times New Roman"/>
        <family val="1"/>
      </rPr>
      <t xml:space="preserve"> </t>
    </r>
    <r>
      <rPr>
        <b/>
        <sz val="12"/>
        <color theme="1"/>
        <rFont val="Times New Roman"/>
        <family val="1"/>
      </rPr>
      <t>46</t>
    </r>
    <r>
      <rPr>
        <sz val="12"/>
        <color theme="1"/>
        <rFont val="Times New Roman"/>
        <family val="1"/>
      </rPr>
      <t>, 175–185 (1998).</t>
    </r>
  </si>
  <si>
    <r>
      <t xml:space="preserve">Campbell, D. J., Dickson, J. W., Ball, B. C. &amp; Hunter, R. Controlled seedbed traffic after ploughing or direct drilling under winter barley in Scotland, 1980–1984.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3–28 (1986).</t>
    </r>
  </si>
  <si>
    <r>
      <t xml:space="preserve">Cannell, R. Q., Christian, D. G. &amp; Henderson, F. K. G. A study of mole drainage with simplified cultivation for autumn-sown crops on a clay soil. 4. A comparison of direct drilling and mouldboard ploughing on drained and undrained land on root and shoot growth, nutrient uptake and yield. </t>
    </r>
    <r>
      <rPr>
        <i/>
        <sz val="12"/>
        <color theme="1"/>
        <rFont val="Times New Roman"/>
        <family val="1"/>
      </rPr>
      <t>Soil Tillage Res.</t>
    </r>
    <r>
      <rPr>
        <sz val="12"/>
        <color theme="1"/>
        <rFont val="Times New Roman"/>
        <family val="1"/>
      </rPr>
      <t xml:space="preserve"> </t>
    </r>
    <r>
      <rPr>
        <b/>
        <sz val="12"/>
        <color theme="1"/>
        <rFont val="Times New Roman"/>
        <family val="1"/>
      </rPr>
      <t>7</t>
    </r>
    <r>
      <rPr>
        <sz val="12"/>
        <color theme="1"/>
        <rFont val="Times New Roman"/>
        <family val="1"/>
      </rPr>
      <t>, 251–272 (1986).</t>
    </r>
  </si>
  <si>
    <r>
      <t xml:space="preserve">Cantero-Martínez, C., Angás, P. &amp; Lampurlanés, J. Long-term yield and water use efficiency under various tillage systems in Mediterranean rainfed conditions. </t>
    </r>
    <r>
      <rPr>
        <i/>
        <sz val="12"/>
        <color theme="1"/>
        <rFont val="Times New Roman"/>
        <family val="1"/>
      </rPr>
      <t>Ann. Appl. Biol.</t>
    </r>
    <r>
      <rPr>
        <sz val="12"/>
        <color theme="1"/>
        <rFont val="Times New Roman"/>
        <family val="1"/>
      </rPr>
      <t xml:space="preserve"> </t>
    </r>
    <r>
      <rPr>
        <b/>
        <sz val="12"/>
        <color theme="1"/>
        <rFont val="Times New Roman"/>
        <family val="1"/>
      </rPr>
      <t>150</t>
    </r>
    <r>
      <rPr>
        <sz val="12"/>
        <color theme="1"/>
        <rFont val="Times New Roman"/>
        <family val="1"/>
      </rPr>
      <t>, 293–305 (2007).</t>
    </r>
  </si>
  <si>
    <r>
      <t xml:space="preserve">Carefoot, J. M., Nyborg, M. &amp; Lindwall, C. W. Tillage-induced soil changes and related grain yield in a semi-arid region. </t>
    </r>
    <r>
      <rPr>
        <i/>
        <sz val="12"/>
        <color theme="1"/>
        <rFont val="Times New Roman"/>
        <family val="1"/>
      </rPr>
      <t>Can. J. Soil Sci.</t>
    </r>
    <r>
      <rPr>
        <sz val="12"/>
        <color theme="1"/>
        <rFont val="Times New Roman"/>
        <family val="1"/>
      </rPr>
      <t xml:space="preserve"> </t>
    </r>
    <r>
      <rPr>
        <b/>
        <sz val="12"/>
        <color theme="1"/>
        <rFont val="Times New Roman"/>
        <family val="1"/>
      </rPr>
      <t>70</t>
    </r>
    <r>
      <rPr>
        <sz val="12"/>
        <color theme="1"/>
        <rFont val="Times New Roman"/>
        <family val="1"/>
      </rPr>
      <t>, 203–214 (1990).</t>
    </r>
  </si>
  <si>
    <r>
      <t xml:space="preserve">Carignano, M., Staggenborg, S. A. &amp; Shroyer, J. P. Management practices to minimize tan spot in a continuous wheat rotation.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145–153 (2008).</t>
    </r>
  </si>
  <si>
    <r>
      <t xml:space="preserve">Carof, M., Tourdonnet, S., Saulas, P., Floch, D. &amp; Roger-Estrade, J. Undersowing wheat with different living mulches in a no-till system. I. Yield analysis. </t>
    </r>
    <r>
      <rPr>
        <i/>
        <sz val="12"/>
        <color theme="1"/>
        <rFont val="Times New Roman"/>
        <family val="1"/>
      </rPr>
      <t>Agron. Sustain. Dev.</t>
    </r>
    <r>
      <rPr>
        <sz val="12"/>
        <color theme="1"/>
        <rFont val="Times New Roman"/>
        <family val="1"/>
      </rPr>
      <t xml:space="preserve"> </t>
    </r>
    <r>
      <rPr>
        <b/>
        <sz val="12"/>
        <color theme="1"/>
        <rFont val="Times New Roman"/>
        <family val="1"/>
      </rPr>
      <t>27</t>
    </r>
    <r>
      <rPr>
        <sz val="12"/>
        <color theme="1"/>
        <rFont val="Times New Roman"/>
        <family val="1"/>
      </rPr>
      <t>, 347–356 (2007).</t>
    </r>
  </si>
  <si>
    <r>
      <t xml:space="preserve">Cassel, D. K., Raczkowski, C. W. &amp; Denton, H. P. Tillage Effects on Corn Production and Soil Physical Conditions. </t>
    </r>
    <r>
      <rPr>
        <i/>
        <sz val="12"/>
        <color theme="1"/>
        <rFont val="Times New Roman"/>
        <family val="1"/>
      </rPr>
      <t>Soil Sci. Soc. Am. J.</t>
    </r>
    <r>
      <rPr>
        <sz val="12"/>
        <color theme="1"/>
        <rFont val="Times New Roman"/>
        <family val="1"/>
      </rPr>
      <t xml:space="preserve"> </t>
    </r>
    <r>
      <rPr>
        <b/>
        <sz val="12"/>
        <color theme="1"/>
        <rFont val="Times New Roman"/>
        <family val="1"/>
      </rPr>
      <t>59</t>
    </r>
    <r>
      <rPr>
        <sz val="12"/>
        <color theme="1"/>
        <rFont val="Times New Roman"/>
        <family val="1"/>
      </rPr>
      <t>, 1436–1443 (1995).</t>
    </r>
  </si>
  <si>
    <r>
      <t xml:space="preserve">Cavigelli, M. A., Teasdale, J. R. &amp; Conklin, A. E. Long-term agronomic performance of organic and conventional field crops in the Mid-Atlantic region.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785–794 (2008).</t>
    </r>
  </si>
  <si>
    <r>
      <t xml:space="preserve">Celik, I. </t>
    </r>
    <r>
      <rPr>
        <i/>
        <sz val="12"/>
        <color theme="1"/>
        <rFont val="Times New Roman"/>
        <family val="1"/>
      </rPr>
      <t>et al.</t>
    </r>
    <r>
      <rPr>
        <sz val="12"/>
        <color theme="1"/>
        <rFont val="Times New Roman"/>
        <family val="1"/>
      </rPr>
      <t xml:space="preserve"> Impacts of different tillage practices on some soil microbiological properties and crop yield under semi-arid Mediterranean conditions. </t>
    </r>
    <r>
      <rPr>
        <i/>
        <sz val="12"/>
        <color theme="1"/>
        <rFont val="Times New Roman"/>
        <family val="1"/>
      </rPr>
      <t>Int. J. Plant Prod.</t>
    </r>
    <r>
      <rPr>
        <sz val="12"/>
        <color theme="1"/>
        <rFont val="Times New Roman"/>
        <family val="1"/>
      </rPr>
      <t xml:space="preserve"> </t>
    </r>
    <r>
      <rPr>
        <b/>
        <sz val="12"/>
        <color theme="1"/>
        <rFont val="Times New Roman"/>
        <family val="1"/>
      </rPr>
      <t>5</t>
    </r>
    <r>
      <rPr>
        <sz val="12"/>
        <color theme="1"/>
        <rFont val="Times New Roman"/>
        <family val="1"/>
      </rPr>
      <t>, 237–254 (2011).</t>
    </r>
  </si>
  <si>
    <r>
      <t xml:space="preserve">Chatskikh, D. &amp; Olesen, J. E. Soil tillage enhanced CO2 and N2O emissions from loamy sand soil under spring barley. </t>
    </r>
    <r>
      <rPr>
        <i/>
        <sz val="12"/>
        <color theme="1"/>
        <rFont val="Times New Roman"/>
        <family val="1"/>
      </rPr>
      <t>Soil Tillage Res.</t>
    </r>
    <r>
      <rPr>
        <sz val="12"/>
        <color theme="1"/>
        <rFont val="Times New Roman"/>
        <family val="1"/>
      </rPr>
      <t xml:space="preserve"> </t>
    </r>
    <r>
      <rPr>
        <b/>
        <sz val="12"/>
        <color theme="1"/>
        <rFont val="Times New Roman"/>
        <family val="1"/>
      </rPr>
      <t>97</t>
    </r>
    <r>
      <rPr>
        <sz val="12"/>
        <color theme="1"/>
        <rFont val="Times New Roman"/>
        <family val="1"/>
      </rPr>
      <t>, 5–18 (2007).</t>
    </r>
  </si>
  <si>
    <r>
      <t xml:space="preserve">Chauhan, B. S. &amp; Opeña, J. Effect of tillage systems and herbicides on weed emergence, weed growth, and grain yield in dry-seeded rice systems. </t>
    </r>
    <r>
      <rPr>
        <i/>
        <sz val="12"/>
        <color theme="1"/>
        <rFont val="Times New Roman"/>
        <family val="1"/>
      </rPr>
      <t>F. Crop. Res.</t>
    </r>
    <r>
      <rPr>
        <sz val="12"/>
        <color theme="1"/>
        <rFont val="Times New Roman"/>
        <family val="1"/>
      </rPr>
      <t xml:space="preserve"> </t>
    </r>
    <r>
      <rPr>
        <b/>
        <sz val="12"/>
        <color theme="1"/>
        <rFont val="Times New Roman"/>
        <family val="1"/>
      </rPr>
      <t>137</t>
    </r>
    <r>
      <rPr>
        <sz val="12"/>
        <color theme="1"/>
        <rFont val="Times New Roman"/>
        <family val="1"/>
      </rPr>
      <t>, 56–69 (2012).</t>
    </r>
  </si>
  <si>
    <r>
      <t xml:space="preserve">Chen, S. Y., Stienstra, W. C., Lueschen, W. E. &amp; Hoverstad, T. R. Response of Heterodera glycines and soybean cultivar to tillage and row spacing. </t>
    </r>
    <r>
      <rPr>
        <i/>
        <sz val="12"/>
        <color theme="1"/>
        <rFont val="Times New Roman"/>
        <family val="1"/>
      </rPr>
      <t>Plant Dis.</t>
    </r>
    <r>
      <rPr>
        <sz val="12"/>
        <color theme="1"/>
        <rFont val="Times New Roman"/>
        <family val="1"/>
      </rPr>
      <t xml:space="preserve"> </t>
    </r>
    <r>
      <rPr>
        <b/>
        <sz val="12"/>
        <color theme="1"/>
        <rFont val="Times New Roman"/>
        <family val="1"/>
      </rPr>
      <t>85</t>
    </r>
    <r>
      <rPr>
        <sz val="12"/>
        <color theme="1"/>
        <rFont val="Times New Roman"/>
        <family val="1"/>
      </rPr>
      <t>, 311–316 (2001).</t>
    </r>
  </si>
  <si>
    <r>
      <t xml:space="preserve">Chen, S. Tillage and crop sequence effects on Heterodera glycines and soybean yields. </t>
    </r>
    <r>
      <rPr>
        <i/>
        <sz val="12"/>
        <color theme="1"/>
        <rFont val="Times New Roman"/>
        <family val="1"/>
      </rPr>
      <t>Agron. J.</t>
    </r>
    <r>
      <rPr>
        <sz val="12"/>
        <color theme="1"/>
        <rFont val="Times New Roman"/>
        <family val="1"/>
      </rPr>
      <t xml:space="preserve"> </t>
    </r>
    <r>
      <rPr>
        <b/>
        <sz val="12"/>
        <color theme="1"/>
        <rFont val="Times New Roman"/>
        <family val="1"/>
      </rPr>
      <t>99</t>
    </r>
    <r>
      <rPr>
        <sz val="12"/>
        <color theme="1"/>
        <rFont val="Times New Roman"/>
        <family val="1"/>
      </rPr>
      <t>, 797–807 (2007).</t>
    </r>
  </si>
  <si>
    <r>
      <t xml:space="preserve">Chikoye, D., Udensi, U. E. &amp; Ogunyemi, S. Integrated management of cogongrass [ imperata cylindrica (L.) rauesch.] in corn using tillage, glyphosate, row spacing, cultivar, and cover cropping.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1164–1171 (2005).</t>
    </r>
  </si>
  <si>
    <r>
      <t xml:space="preserve">Christian, D. G. &amp; Bacon, E. T. G. A long-term comparison of ploughing, tine cultivation and direct drilling on the growth and yield of winter cereals and oilseed rape on clayey and silty soils. </t>
    </r>
    <r>
      <rPr>
        <i/>
        <sz val="12"/>
        <color theme="1"/>
        <rFont val="Times New Roman"/>
        <family val="1"/>
      </rPr>
      <t>Soil Tillage Res.</t>
    </r>
    <r>
      <rPr>
        <sz val="12"/>
        <color theme="1"/>
        <rFont val="Times New Roman"/>
        <family val="1"/>
      </rPr>
      <t xml:space="preserve"> </t>
    </r>
    <r>
      <rPr>
        <b/>
        <sz val="12"/>
        <color theme="1"/>
        <rFont val="Times New Roman"/>
        <family val="1"/>
      </rPr>
      <t>18</t>
    </r>
    <r>
      <rPr>
        <sz val="12"/>
        <color theme="1"/>
        <rFont val="Times New Roman"/>
        <family val="1"/>
      </rPr>
      <t>, 311–331 (1990).</t>
    </r>
  </si>
  <si>
    <r>
      <t xml:space="preserve">Cline, G. R. &amp; Silvernail, A. F. Effects of cover crops, nitrogen, and tillage on sweet corn. </t>
    </r>
    <r>
      <rPr>
        <i/>
        <sz val="12"/>
        <color theme="1"/>
        <rFont val="Times New Roman"/>
        <family val="1"/>
      </rPr>
      <t>Horttechnology</t>
    </r>
    <r>
      <rPr>
        <sz val="12"/>
        <color theme="1"/>
        <rFont val="Times New Roman"/>
        <family val="1"/>
      </rPr>
      <t xml:space="preserve"> </t>
    </r>
    <r>
      <rPr>
        <b/>
        <sz val="12"/>
        <color theme="1"/>
        <rFont val="Times New Roman"/>
        <family val="1"/>
      </rPr>
      <t>12</t>
    </r>
    <r>
      <rPr>
        <sz val="12"/>
        <color theme="1"/>
        <rFont val="Times New Roman"/>
        <family val="1"/>
      </rPr>
      <t>, 118–125 (2002).</t>
    </r>
  </si>
  <si>
    <r>
      <t xml:space="preserve">Cociu, A. I. Long-term tillage and crop sequence effects on Maize and Soybean grain yield under eastern Romanian danube plain climate conditions. </t>
    </r>
    <r>
      <rPr>
        <i/>
        <sz val="12"/>
        <color theme="1"/>
        <rFont val="Times New Roman"/>
        <family val="1"/>
      </rPr>
      <t>Rom. Agric. Res.</t>
    </r>
    <r>
      <rPr>
        <sz val="12"/>
        <color theme="1"/>
        <rFont val="Times New Roman"/>
        <family val="1"/>
      </rPr>
      <t xml:space="preserve"> </t>
    </r>
    <r>
      <rPr>
        <b/>
        <sz val="12"/>
        <color theme="1"/>
        <rFont val="Times New Roman"/>
        <family val="1"/>
      </rPr>
      <t>2019</t>
    </r>
    <r>
      <rPr>
        <sz val="12"/>
        <color theme="1"/>
        <rFont val="Times New Roman"/>
        <family val="1"/>
      </rPr>
      <t>, (2019).</t>
    </r>
  </si>
  <si>
    <r>
      <t xml:space="preserve">Cociu, A. I. Long-term tillage and crop sequence effects on Winter wheat and Triticale grain yield under eastern Romanian danube plain climate conditions. </t>
    </r>
    <r>
      <rPr>
        <i/>
        <sz val="12"/>
        <color theme="1"/>
        <rFont val="Times New Roman"/>
        <family val="1"/>
      </rPr>
      <t>Rom. Agric. Re</t>
    </r>
    <r>
      <rPr>
        <sz val="12"/>
        <color theme="1"/>
        <rFont val="Times New Roman"/>
        <family val="1"/>
      </rPr>
      <t xml:space="preserve"> </t>
    </r>
    <r>
      <rPr>
        <b/>
        <sz val="12"/>
        <color theme="1"/>
        <rFont val="Times New Roman"/>
        <family val="1"/>
      </rPr>
      <t>36</t>
    </r>
    <r>
      <rPr>
        <sz val="12"/>
        <color theme="1"/>
        <rFont val="Times New Roman"/>
        <family val="1"/>
      </rPr>
      <t>, (2019).</t>
    </r>
  </si>
  <si>
    <r>
      <t xml:space="preserve">Costa, S. E. V. G. A. </t>
    </r>
    <r>
      <rPr>
        <i/>
        <sz val="12"/>
        <color theme="1"/>
        <rFont val="Times New Roman"/>
        <family val="1"/>
      </rPr>
      <t>et al.</t>
    </r>
    <r>
      <rPr>
        <sz val="12"/>
        <color theme="1"/>
        <rFont val="Times New Roman"/>
        <family val="1"/>
      </rPr>
      <t xml:space="preserve"> Patterns in phosphorus and corn root distribution and yield in long-term tillage systems with fertilizer application. </t>
    </r>
    <r>
      <rPr>
        <i/>
        <sz val="12"/>
        <color theme="1"/>
        <rFont val="Times New Roman"/>
        <family val="1"/>
      </rPr>
      <t>Soil Tillage Res.</t>
    </r>
    <r>
      <rPr>
        <sz val="12"/>
        <color theme="1"/>
        <rFont val="Times New Roman"/>
        <family val="1"/>
      </rPr>
      <t xml:space="preserve"> </t>
    </r>
    <r>
      <rPr>
        <b/>
        <sz val="12"/>
        <color theme="1"/>
        <rFont val="Times New Roman"/>
        <family val="1"/>
      </rPr>
      <t>109</t>
    </r>
    <r>
      <rPr>
        <sz val="12"/>
        <color theme="1"/>
        <rFont val="Times New Roman"/>
        <family val="1"/>
      </rPr>
      <t>, 41–49 (2010).</t>
    </r>
  </si>
  <si>
    <r>
      <t xml:space="preserve">Coventry, D. R., Hirth, J. R. &amp; Reeves, T. G. Interactions of tillage and lime in wheat-subterranean clover rotations on an acidic sandy clay loam in southeastern Australia. </t>
    </r>
    <r>
      <rPr>
        <i/>
        <sz val="12"/>
        <color theme="1"/>
        <rFont val="Times New Roman"/>
        <family val="1"/>
      </rPr>
      <t>Soil Tillage Res.</t>
    </r>
    <r>
      <rPr>
        <sz val="12"/>
        <color theme="1"/>
        <rFont val="Times New Roman"/>
        <family val="1"/>
      </rPr>
      <t xml:space="preserve"> </t>
    </r>
    <r>
      <rPr>
        <b/>
        <sz val="12"/>
        <color theme="1"/>
        <rFont val="Times New Roman"/>
        <family val="1"/>
      </rPr>
      <t>25</t>
    </r>
    <r>
      <rPr>
        <sz val="12"/>
        <color theme="1"/>
        <rFont val="Times New Roman"/>
        <family val="1"/>
      </rPr>
      <t>, 53–65 (1992).</t>
    </r>
  </si>
  <si>
    <r>
      <t xml:space="preserve">Cox, W. J., Zobel, R. W., van Es, H. M. &amp; Otis, D. J. Growth development and yield of maize under three tillage systems in the northeastern U.S.A. </t>
    </r>
    <r>
      <rPr>
        <i/>
        <sz val="12"/>
        <color theme="1"/>
        <rFont val="Times New Roman"/>
        <family val="1"/>
      </rPr>
      <t>Soil Tillage Res.</t>
    </r>
    <r>
      <rPr>
        <sz val="12"/>
        <color theme="1"/>
        <rFont val="Times New Roman"/>
        <family val="1"/>
      </rPr>
      <t xml:space="preserve"> </t>
    </r>
    <r>
      <rPr>
        <b/>
        <sz val="12"/>
        <color theme="1"/>
        <rFont val="Times New Roman"/>
        <family val="1"/>
      </rPr>
      <t>18</t>
    </r>
    <r>
      <rPr>
        <sz val="12"/>
        <color theme="1"/>
        <rFont val="Times New Roman"/>
        <family val="1"/>
      </rPr>
      <t>, 295–310 (1990).</t>
    </r>
  </si>
  <si>
    <r>
      <t xml:space="preserve">Cullum, R. F. Influence of tillage on maize yield in soil with shallow fragipan. </t>
    </r>
    <r>
      <rPr>
        <i/>
        <sz val="12"/>
        <color theme="1"/>
        <rFont val="Times New Roman"/>
        <family val="1"/>
      </rPr>
      <t>Soil Tillage Res.</t>
    </r>
    <r>
      <rPr>
        <sz val="12"/>
        <color theme="1"/>
        <rFont val="Times New Roman"/>
        <family val="1"/>
      </rPr>
      <t xml:space="preserve"> </t>
    </r>
    <r>
      <rPr>
        <b/>
        <sz val="12"/>
        <color theme="1"/>
        <rFont val="Times New Roman"/>
        <family val="1"/>
      </rPr>
      <t>119</t>
    </r>
    <r>
      <rPr>
        <sz val="12"/>
        <color theme="1"/>
        <rFont val="Times New Roman"/>
        <family val="1"/>
      </rPr>
      <t>, 1–6 (2012).</t>
    </r>
  </si>
  <si>
    <r>
      <t xml:space="preserve">D. C. Erbach </t>
    </r>
    <r>
      <rPr>
        <i/>
        <sz val="12"/>
        <color theme="1"/>
        <rFont val="Times New Roman"/>
        <family val="1"/>
      </rPr>
      <t>et al.</t>
    </r>
    <r>
      <rPr>
        <sz val="12"/>
        <color theme="1"/>
        <rFont val="Times New Roman"/>
        <family val="1"/>
      </rPr>
      <t xml:space="preserve"> Maize response to tillage-induced soil conditions. </t>
    </r>
    <r>
      <rPr>
        <i/>
        <sz val="12"/>
        <color theme="1"/>
        <rFont val="Times New Roman"/>
        <family val="1"/>
      </rPr>
      <t>Trans. ASAE</t>
    </r>
    <r>
      <rPr>
        <sz val="12"/>
        <color theme="1"/>
        <rFont val="Times New Roman"/>
        <family val="1"/>
      </rPr>
      <t xml:space="preserve"> </t>
    </r>
    <r>
      <rPr>
        <b/>
        <sz val="12"/>
        <color theme="1"/>
        <rFont val="Times New Roman"/>
        <family val="1"/>
      </rPr>
      <t>29</t>
    </r>
    <r>
      <rPr>
        <sz val="12"/>
        <color theme="1"/>
        <rFont val="Times New Roman"/>
        <family val="1"/>
      </rPr>
      <t>, 690–695 (1986).</t>
    </r>
  </si>
  <si>
    <r>
      <t xml:space="preserve">Daigh, A. L. M. </t>
    </r>
    <r>
      <rPr>
        <i/>
        <sz val="12"/>
        <color theme="1"/>
        <rFont val="Times New Roman"/>
        <family val="1"/>
      </rPr>
      <t>et al.</t>
    </r>
    <r>
      <rPr>
        <sz val="12"/>
        <color theme="1"/>
        <rFont val="Times New Roman"/>
        <family val="1"/>
      </rPr>
      <t xml:space="preserve"> Yields and yield stability of no-till and chisel-plow fields in the Midwestern US Corn Belt. </t>
    </r>
    <r>
      <rPr>
        <i/>
        <sz val="12"/>
        <color theme="1"/>
        <rFont val="Times New Roman"/>
        <family val="1"/>
      </rPr>
      <t>F. Crop. Res.</t>
    </r>
    <r>
      <rPr>
        <sz val="12"/>
        <color theme="1"/>
        <rFont val="Times New Roman"/>
        <family val="1"/>
      </rPr>
      <t xml:space="preserve"> </t>
    </r>
    <r>
      <rPr>
        <b/>
        <sz val="12"/>
        <color theme="1"/>
        <rFont val="Times New Roman"/>
        <family val="1"/>
      </rPr>
      <t>218</t>
    </r>
    <r>
      <rPr>
        <sz val="12"/>
        <color theme="1"/>
        <rFont val="Times New Roman"/>
        <family val="1"/>
      </rPr>
      <t>, 243–253 (2018).</t>
    </r>
  </si>
  <si>
    <r>
      <t xml:space="preserve">Dam, R. F. </t>
    </r>
    <r>
      <rPr>
        <i/>
        <sz val="12"/>
        <color theme="1"/>
        <rFont val="Times New Roman"/>
        <family val="1"/>
      </rPr>
      <t>et al.</t>
    </r>
    <r>
      <rPr>
        <sz val="12"/>
        <color theme="1"/>
        <rFont val="Times New Roman"/>
        <family val="1"/>
      </rPr>
      <t xml:space="preserve"> Soil bulk density and crop yield under eleven consecutive years of corn with different tillage and residue practices in a sandy loam soil in central Canada. </t>
    </r>
    <r>
      <rPr>
        <i/>
        <sz val="12"/>
        <color theme="1"/>
        <rFont val="Times New Roman"/>
        <family val="1"/>
      </rPr>
      <t>Soil Tillage Res.</t>
    </r>
    <r>
      <rPr>
        <sz val="12"/>
        <color theme="1"/>
        <rFont val="Times New Roman"/>
        <family val="1"/>
      </rPr>
      <t xml:space="preserve"> </t>
    </r>
    <r>
      <rPr>
        <b/>
        <sz val="12"/>
        <color theme="1"/>
        <rFont val="Times New Roman"/>
        <family val="1"/>
      </rPr>
      <t>84</t>
    </r>
    <r>
      <rPr>
        <sz val="12"/>
        <color theme="1"/>
        <rFont val="Times New Roman"/>
        <family val="1"/>
      </rPr>
      <t>, 41–53 (2005).</t>
    </r>
  </si>
  <si>
    <r>
      <t xml:space="preserve">Das, T. K. </t>
    </r>
    <r>
      <rPr>
        <i/>
        <sz val="12"/>
        <color theme="1"/>
        <rFont val="Times New Roman"/>
        <family val="1"/>
      </rPr>
      <t>et al.</t>
    </r>
    <r>
      <rPr>
        <sz val="12"/>
        <color theme="1"/>
        <rFont val="Times New Roman"/>
        <family val="1"/>
      </rPr>
      <t xml:space="preserve"> Conservation agriculture effects on crop and water productivity, profitability and soil organic carbon accumulation under a maize-wheat cropping system in the North-western Indo-Gangetic Plains. </t>
    </r>
    <r>
      <rPr>
        <i/>
        <sz val="12"/>
        <color theme="1"/>
        <rFont val="Times New Roman"/>
        <family val="1"/>
      </rPr>
      <t>F. Crop. Res.</t>
    </r>
    <r>
      <rPr>
        <sz val="12"/>
        <color theme="1"/>
        <rFont val="Times New Roman"/>
        <family val="1"/>
      </rPr>
      <t xml:space="preserve"> </t>
    </r>
    <r>
      <rPr>
        <b/>
        <sz val="12"/>
        <color theme="1"/>
        <rFont val="Times New Roman"/>
        <family val="1"/>
      </rPr>
      <t>215</t>
    </r>
    <r>
      <rPr>
        <sz val="12"/>
        <color theme="1"/>
        <rFont val="Times New Roman"/>
        <family val="1"/>
      </rPr>
      <t>, 222–231 (2018).</t>
    </r>
  </si>
  <si>
    <r>
      <t xml:space="preserve">de Cárcer, P. S., Sinaj, S., Santonja, M., Fossati, D. &amp; Jeangros, B. Long-term effects of crop succession, soil tillage and climate on wheat yield and soil properties. </t>
    </r>
    <r>
      <rPr>
        <i/>
        <sz val="12"/>
        <color theme="1"/>
        <rFont val="Times New Roman"/>
        <family val="1"/>
      </rPr>
      <t>Soil Tillage Res.</t>
    </r>
    <r>
      <rPr>
        <sz val="12"/>
        <color theme="1"/>
        <rFont val="Times New Roman"/>
        <family val="1"/>
      </rPr>
      <t xml:space="preserve"> </t>
    </r>
    <r>
      <rPr>
        <b/>
        <sz val="12"/>
        <color theme="1"/>
        <rFont val="Times New Roman"/>
        <family val="1"/>
      </rPr>
      <t>190</t>
    </r>
    <r>
      <rPr>
        <sz val="12"/>
        <color theme="1"/>
        <rFont val="Times New Roman"/>
        <family val="1"/>
      </rPr>
      <t>, 209–219 (2019).</t>
    </r>
  </si>
  <si>
    <r>
      <t xml:space="preserve">De Vita, P., Di Paolo, E., Fecondo, G., Di Fonzo, N. &amp; Pisante, M. No-tillage and conventional tillage effects on durum wheat yield, grain quality and soil moisture content in southern Italy. </t>
    </r>
    <r>
      <rPr>
        <i/>
        <sz val="12"/>
        <color theme="1"/>
        <rFont val="Times New Roman"/>
        <family val="1"/>
      </rPr>
      <t>Soil Tillage Res.</t>
    </r>
    <r>
      <rPr>
        <sz val="12"/>
        <color theme="1"/>
        <rFont val="Times New Roman"/>
        <family val="1"/>
      </rPr>
      <t xml:space="preserve"> </t>
    </r>
    <r>
      <rPr>
        <b/>
        <sz val="12"/>
        <color theme="1"/>
        <rFont val="Times New Roman"/>
        <family val="1"/>
      </rPr>
      <t>92</t>
    </r>
    <r>
      <rPr>
        <sz val="12"/>
        <color theme="1"/>
        <rFont val="Times New Roman"/>
        <family val="1"/>
      </rPr>
      <t>, 69–78 (2007).</t>
    </r>
  </si>
  <si>
    <r>
      <t xml:space="preserve">Decker, J. E., Epplin, F. M., Morley, D. L. &amp; Peeper, T. F. Economics of five wheat production systems with no-till and conventional tillage. </t>
    </r>
    <r>
      <rPr>
        <i/>
        <sz val="12"/>
        <color theme="1"/>
        <rFont val="Times New Roman"/>
        <family val="1"/>
      </rPr>
      <t>Agron. J.</t>
    </r>
    <r>
      <rPr>
        <sz val="12"/>
        <color theme="1"/>
        <rFont val="Times New Roman"/>
        <family val="1"/>
      </rPr>
      <t xml:space="preserve"> </t>
    </r>
    <r>
      <rPr>
        <b/>
        <sz val="12"/>
        <color theme="1"/>
        <rFont val="Times New Roman"/>
        <family val="1"/>
      </rPr>
      <t>101</t>
    </r>
    <r>
      <rPr>
        <sz val="12"/>
        <color theme="1"/>
        <rFont val="Times New Roman"/>
        <family val="1"/>
      </rPr>
      <t>, 364–372 (2009).</t>
    </r>
  </si>
  <si>
    <r>
      <t xml:space="preserve">Dekemati, I., Simon, B., Vinogradov, S. &amp; Birkás, M. The effects of various tillage treatments on soil physical properties, earthworm abundance and crop yield in Hungary. </t>
    </r>
    <r>
      <rPr>
        <i/>
        <sz val="12"/>
        <color theme="1"/>
        <rFont val="Times New Roman"/>
        <family val="1"/>
      </rPr>
      <t>Soil Tillage Res.</t>
    </r>
    <r>
      <rPr>
        <sz val="12"/>
        <color theme="1"/>
        <rFont val="Times New Roman"/>
        <family val="1"/>
      </rPr>
      <t xml:space="preserve"> </t>
    </r>
    <r>
      <rPr>
        <b/>
        <sz val="12"/>
        <color theme="1"/>
        <rFont val="Times New Roman"/>
        <family val="1"/>
      </rPr>
      <t>194</t>
    </r>
    <r>
      <rPr>
        <sz val="12"/>
        <color theme="1"/>
        <rFont val="Times New Roman"/>
        <family val="1"/>
      </rPr>
      <t>, 104334 (2019).</t>
    </r>
  </si>
  <si>
    <r>
      <t xml:space="preserve">Dı́az-Zorita, M. Effect of deep-tillage and nitrogen fertilization interactions on dryland corn (Zea mays L.) productivity. </t>
    </r>
    <r>
      <rPr>
        <i/>
        <sz val="12"/>
        <color theme="1"/>
        <rFont val="Times New Roman"/>
        <family val="1"/>
      </rPr>
      <t>Soil Tillage Res.</t>
    </r>
    <r>
      <rPr>
        <sz val="12"/>
        <color theme="1"/>
        <rFont val="Times New Roman"/>
        <family val="1"/>
      </rPr>
      <t xml:space="preserve"> </t>
    </r>
    <r>
      <rPr>
        <b/>
        <sz val="12"/>
        <color theme="1"/>
        <rFont val="Times New Roman"/>
        <family val="1"/>
      </rPr>
      <t>54</t>
    </r>
    <r>
      <rPr>
        <sz val="12"/>
        <color theme="1"/>
        <rFont val="Times New Roman"/>
        <family val="1"/>
      </rPr>
      <t>, 11–19 (2000).</t>
    </r>
  </si>
  <si>
    <r>
      <t xml:space="preserve">Díaz-Zorita, M., Grove, J. H., Murdock, L., Herbeck, J. &amp; Perfect, E. Soil structural disturbance effects on crop yields and soil properties in a no-till production system.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1651–1659 (2004).</t>
    </r>
  </si>
  <si>
    <r>
      <t xml:space="preserve">Dı́az-Zorita, M., Duarte, G. A. &amp; Grove, J. H. A review of no-till systems and soil management for sustainable crop production in the subhumid and semiarid Pampas of Argentina. </t>
    </r>
    <r>
      <rPr>
        <i/>
        <sz val="12"/>
        <color theme="1"/>
        <rFont val="Times New Roman"/>
        <family val="1"/>
      </rPr>
      <t>Soil Tillage Res.</t>
    </r>
    <r>
      <rPr>
        <sz val="12"/>
        <color theme="1"/>
        <rFont val="Times New Roman"/>
        <family val="1"/>
      </rPr>
      <t xml:space="preserve"> </t>
    </r>
    <r>
      <rPr>
        <b/>
        <sz val="12"/>
        <color theme="1"/>
        <rFont val="Times New Roman"/>
        <family val="1"/>
      </rPr>
      <t>65</t>
    </r>
    <r>
      <rPr>
        <sz val="12"/>
        <color theme="1"/>
        <rFont val="Times New Roman"/>
        <family val="1"/>
      </rPr>
      <t>, 1–18 (2002).</t>
    </r>
  </si>
  <si>
    <r>
      <t xml:space="preserve">Dickey, E. C., Jasa, P. J. &amp; Grisso, R. D. Long term tillage effects on grain yield and soil properties in a soybean/grain sorghum rotation. </t>
    </r>
    <r>
      <rPr>
        <i/>
        <sz val="12"/>
        <color theme="1"/>
        <rFont val="Times New Roman"/>
        <family val="1"/>
      </rPr>
      <t>J. Prod. Agric.</t>
    </r>
    <r>
      <rPr>
        <sz val="12"/>
        <color theme="1"/>
        <rFont val="Times New Roman"/>
        <family val="1"/>
      </rPr>
      <t xml:space="preserve"> </t>
    </r>
    <r>
      <rPr>
        <b/>
        <sz val="12"/>
        <color theme="1"/>
        <rFont val="Times New Roman"/>
        <family val="1"/>
      </rPr>
      <t>7</t>
    </r>
    <r>
      <rPr>
        <sz val="12"/>
        <color theme="1"/>
        <rFont val="Times New Roman"/>
        <family val="1"/>
      </rPr>
      <t>, 465–470 (1994).</t>
    </r>
  </si>
  <si>
    <r>
      <t xml:space="preserve">Dixit, A. K. </t>
    </r>
    <r>
      <rPr>
        <i/>
        <sz val="12"/>
        <color theme="1"/>
        <rFont val="Times New Roman"/>
        <family val="1"/>
      </rPr>
      <t>et al.</t>
    </r>
    <r>
      <rPr>
        <sz val="12"/>
        <color theme="1"/>
        <rFont val="Times New Roman"/>
        <family val="1"/>
      </rPr>
      <t xml:space="preserve"> Soil properties, crop productivity and energetics under different tillage practices in fodder sorghum + cowpea–wheat cropping system. </t>
    </r>
    <r>
      <rPr>
        <i/>
        <sz val="12"/>
        <color theme="1"/>
        <rFont val="Times New Roman"/>
        <family val="1"/>
      </rPr>
      <t>Arch. Agron. Soil Sci.</t>
    </r>
    <r>
      <rPr>
        <sz val="12"/>
        <color theme="1"/>
        <rFont val="Times New Roman"/>
        <family val="1"/>
      </rPr>
      <t xml:space="preserve"> </t>
    </r>
    <r>
      <rPr>
        <b/>
        <sz val="12"/>
        <color theme="1"/>
        <rFont val="Times New Roman"/>
        <family val="1"/>
      </rPr>
      <t>65</t>
    </r>
    <r>
      <rPr>
        <sz val="12"/>
        <color theme="1"/>
        <rFont val="Times New Roman"/>
        <family val="1"/>
      </rPr>
      <t>, 492–506 (2019).</t>
    </r>
  </si>
  <si>
    <r>
      <t xml:space="preserve">Domínguez, G. F., Diovisalvi, N. V., Studdert, G. A. &amp; Monterubbianesi, M. G. Soil organic C and N fractions under continuous cropping with contrasting tillage systems on mollisols of the southeastern Pampas. </t>
    </r>
    <r>
      <rPr>
        <i/>
        <sz val="12"/>
        <color theme="1"/>
        <rFont val="Times New Roman"/>
        <family val="1"/>
      </rPr>
      <t>Soil Tillage Res.</t>
    </r>
    <r>
      <rPr>
        <sz val="12"/>
        <color theme="1"/>
        <rFont val="Times New Roman"/>
        <family val="1"/>
      </rPr>
      <t xml:space="preserve"> </t>
    </r>
    <r>
      <rPr>
        <b/>
        <sz val="12"/>
        <color theme="1"/>
        <rFont val="Times New Roman"/>
        <family val="1"/>
      </rPr>
      <t>102</t>
    </r>
    <r>
      <rPr>
        <sz val="12"/>
        <color theme="1"/>
        <rFont val="Times New Roman"/>
        <family val="1"/>
      </rPr>
      <t>, 93–100 (2009).</t>
    </r>
  </si>
  <si>
    <r>
      <t xml:space="preserve">Donald, P. A., Tyler, D. D. &amp; Boykin, D. L. Short- and long-term tillage effects on Heterodera glycines reproduction in soybean monoculture in west Tennessee.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126–133 (2009).</t>
    </r>
  </si>
  <si>
    <r>
      <t xml:space="preserve">Drinkwater, L. E., Janke, R. R. &amp; Rossoni-Longnecker, L. Effects of tillage intensity on nitrogen dynamics and productivity in legume-based grain systems. </t>
    </r>
    <r>
      <rPr>
        <i/>
        <sz val="12"/>
        <color theme="1"/>
        <rFont val="Times New Roman"/>
        <family val="1"/>
      </rPr>
      <t>Plant Soil</t>
    </r>
    <r>
      <rPr>
        <sz val="12"/>
        <color theme="1"/>
        <rFont val="Times New Roman"/>
        <family val="1"/>
      </rPr>
      <t xml:space="preserve"> </t>
    </r>
    <r>
      <rPr>
        <b/>
        <sz val="12"/>
        <color theme="1"/>
        <rFont val="Times New Roman"/>
        <family val="1"/>
      </rPr>
      <t>227</t>
    </r>
    <r>
      <rPr>
        <sz val="12"/>
        <color theme="1"/>
        <rFont val="Times New Roman"/>
        <family val="1"/>
      </rPr>
      <t>, 99–113 (2000).</t>
    </r>
  </si>
  <si>
    <r>
      <t xml:space="preserve">Drury, C. F. </t>
    </r>
    <r>
      <rPr>
        <i/>
        <sz val="12"/>
        <color theme="1"/>
        <rFont val="Times New Roman"/>
        <family val="1"/>
      </rPr>
      <t>et al.</t>
    </r>
    <r>
      <rPr>
        <sz val="12"/>
        <color theme="1"/>
        <rFont val="Times New Roman"/>
        <family val="1"/>
      </rPr>
      <t xml:space="preserve"> Emissions of nitrous oxide and carbon dioxide: influence of tillage type and nitrogen placement depth. </t>
    </r>
    <r>
      <rPr>
        <i/>
        <sz val="12"/>
        <color theme="1"/>
        <rFont val="Times New Roman"/>
        <family val="1"/>
      </rPr>
      <t>Soil Sci. Soc. Am. J.</t>
    </r>
    <r>
      <rPr>
        <sz val="12"/>
        <color theme="1"/>
        <rFont val="Times New Roman"/>
        <family val="1"/>
      </rPr>
      <t xml:space="preserve"> </t>
    </r>
    <r>
      <rPr>
        <b/>
        <sz val="12"/>
        <color theme="1"/>
        <rFont val="Times New Roman"/>
        <family val="1"/>
      </rPr>
      <t>70</t>
    </r>
    <r>
      <rPr>
        <sz val="12"/>
        <color theme="1"/>
        <rFont val="Times New Roman"/>
        <family val="1"/>
      </rPr>
      <t>, 570–581 (2006).</t>
    </r>
  </si>
  <si>
    <r>
      <t xml:space="preserve">Drury, C. F. </t>
    </r>
    <r>
      <rPr>
        <i/>
        <sz val="12"/>
        <color theme="1"/>
        <rFont val="Times New Roman"/>
        <family val="1"/>
      </rPr>
      <t>et al.</t>
    </r>
    <r>
      <rPr>
        <sz val="12"/>
        <color theme="1"/>
        <rFont val="Times New Roman"/>
        <family val="1"/>
      </rPr>
      <t xml:space="preserve"> Nitrogen source, application time, and tillage effects on soil nitrous oxide emissions and corn grain yields. </t>
    </r>
    <r>
      <rPr>
        <i/>
        <sz val="12"/>
        <color theme="1"/>
        <rFont val="Times New Roman"/>
        <family val="1"/>
      </rPr>
      <t>Soil Sci. Soc. Am. J.</t>
    </r>
    <r>
      <rPr>
        <sz val="12"/>
        <color theme="1"/>
        <rFont val="Times New Roman"/>
        <family val="1"/>
      </rPr>
      <t xml:space="preserve"> </t>
    </r>
    <r>
      <rPr>
        <b/>
        <sz val="12"/>
        <color theme="1"/>
        <rFont val="Times New Roman"/>
        <family val="1"/>
      </rPr>
      <t>76</t>
    </r>
    <r>
      <rPr>
        <sz val="12"/>
        <color theme="1"/>
        <rFont val="Times New Roman"/>
        <family val="1"/>
      </rPr>
      <t>, 1268–1279 (2012).</t>
    </r>
  </si>
  <si>
    <r>
      <t xml:space="preserve">Drury, C. F. </t>
    </r>
    <r>
      <rPr>
        <i/>
        <sz val="12"/>
        <color theme="1"/>
        <rFont val="Times New Roman"/>
        <family val="1"/>
      </rPr>
      <t>et al.</t>
    </r>
    <r>
      <rPr>
        <sz val="12"/>
        <color theme="1"/>
        <rFont val="Times New Roman"/>
        <family val="1"/>
      </rPr>
      <t xml:space="preserve"> Impacts of Zone Tillage and Red Clover on Corn Performance and Soil Physical Quality. </t>
    </r>
    <r>
      <rPr>
        <i/>
        <sz val="12"/>
        <color theme="1"/>
        <rFont val="Times New Roman"/>
        <family val="1"/>
      </rPr>
      <t>Soil Sci. Soc. Am. J.</t>
    </r>
    <r>
      <rPr>
        <sz val="12"/>
        <color theme="1"/>
        <rFont val="Times New Roman"/>
        <family val="1"/>
      </rPr>
      <t xml:space="preserve"> </t>
    </r>
    <r>
      <rPr>
        <b/>
        <sz val="12"/>
        <color theme="1"/>
        <rFont val="Times New Roman"/>
        <family val="1"/>
      </rPr>
      <t>67</t>
    </r>
    <r>
      <rPr>
        <sz val="12"/>
        <color theme="1"/>
        <rFont val="Times New Roman"/>
        <family val="1"/>
      </rPr>
      <t>, 867 (2003).</t>
    </r>
  </si>
  <si>
    <r>
      <t xml:space="preserve">Duiker, S. W. &amp; Curran, W. S. Rye cover crop management for corn production in the Northern Mid-Atlantic region.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1413–1418 (2005).</t>
    </r>
  </si>
  <si>
    <r>
      <t xml:space="preserve">Edwards, J. H., Thurlow, D. L. &amp; Eason, J. T. Influence of Tillage and Crop Rotation on Yields of Corn, Soybean, and Wheat. </t>
    </r>
    <r>
      <rPr>
        <i/>
        <sz val="12"/>
        <color theme="1"/>
        <rFont val="Times New Roman"/>
        <family val="1"/>
      </rPr>
      <t>Agron. J.</t>
    </r>
    <r>
      <rPr>
        <sz val="12"/>
        <color theme="1"/>
        <rFont val="Times New Roman"/>
        <family val="1"/>
      </rPr>
      <t xml:space="preserve"> </t>
    </r>
    <r>
      <rPr>
        <b/>
        <sz val="12"/>
        <color theme="1"/>
        <rFont val="Times New Roman"/>
        <family val="1"/>
      </rPr>
      <t>80</t>
    </r>
    <r>
      <rPr>
        <sz val="12"/>
        <color theme="1"/>
        <rFont val="Times New Roman"/>
        <family val="1"/>
      </rPr>
      <t>, 76 (1988).</t>
    </r>
  </si>
  <si>
    <r>
      <t xml:space="preserve">Eghball, B. &amp; Power, J. F. Composted and noncomposted manure application to conventional and no‐tillage systems: corn yield and nitrogen uptake.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819–825 (1999).</t>
    </r>
  </si>
  <si>
    <r>
      <t xml:space="preserve">Ellington, A. Effects of deep ripping, direct drilling, gypsum and lime on soils, wheat growth and yield.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29–49 (1986).</t>
    </r>
  </si>
  <si>
    <r>
      <t xml:space="preserve">Endale, D. M. </t>
    </r>
    <r>
      <rPr>
        <i/>
        <sz val="12"/>
        <color theme="1"/>
        <rFont val="Times New Roman"/>
        <family val="1"/>
      </rPr>
      <t>et al.</t>
    </r>
    <r>
      <rPr>
        <sz val="12"/>
        <color theme="1"/>
        <rFont val="Times New Roman"/>
        <family val="1"/>
      </rPr>
      <t xml:space="preserve"> Impact of conservation tillage and nutrient management on soil water and yield of cotton fertilized with poultry litter or ammonium nitrate in the Georgia Piedmont. </t>
    </r>
    <r>
      <rPr>
        <i/>
        <sz val="12"/>
        <color theme="1"/>
        <rFont val="Times New Roman"/>
        <family val="1"/>
      </rPr>
      <t>Soil Tillage Res.</t>
    </r>
    <r>
      <rPr>
        <sz val="12"/>
        <color theme="1"/>
        <rFont val="Times New Roman"/>
        <family val="1"/>
      </rPr>
      <t xml:space="preserve"> </t>
    </r>
    <r>
      <rPr>
        <b/>
        <sz val="12"/>
        <color theme="1"/>
        <rFont val="Times New Roman"/>
        <family val="1"/>
      </rPr>
      <t>66</t>
    </r>
    <r>
      <rPr>
        <sz val="12"/>
        <color theme="1"/>
        <rFont val="Times New Roman"/>
        <family val="1"/>
      </rPr>
      <t>, 55–68 (2002).</t>
    </r>
  </si>
  <si>
    <r>
      <t xml:space="preserve">Endale, D. M. </t>
    </r>
    <r>
      <rPr>
        <i/>
        <sz val="12"/>
        <color theme="1"/>
        <rFont val="Times New Roman"/>
        <family val="1"/>
      </rPr>
      <t>et al.</t>
    </r>
    <r>
      <rPr>
        <sz val="12"/>
        <color theme="1"/>
        <rFont val="Times New Roman"/>
        <family val="1"/>
      </rPr>
      <t xml:space="preserve"> No-till corn productivity in a southeastern United States ultisol amended with poultry litter.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1401–1408 (2008).</t>
    </r>
  </si>
  <si>
    <r>
      <t xml:space="preserve">Ernani, P. R., Bayer, C. &amp; Maestri, L. Corn yield as affected by liming and tillage system on an acid Brazilian oxisol. </t>
    </r>
    <r>
      <rPr>
        <i/>
        <sz val="12"/>
        <color theme="1"/>
        <rFont val="Times New Roman"/>
        <family val="1"/>
      </rPr>
      <t>Agron. J.</t>
    </r>
    <r>
      <rPr>
        <sz val="12"/>
        <color theme="1"/>
        <rFont val="Times New Roman"/>
        <family val="1"/>
      </rPr>
      <t xml:space="preserve"> </t>
    </r>
    <r>
      <rPr>
        <b/>
        <sz val="12"/>
        <color theme="1"/>
        <rFont val="Times New Roman"/>
        <family val="1"/>
      </rPr>
      <t>94</t>
    </r>
    <r>
      <rPr>
        <sz val="12"/>
        <color theme="1"/>
        <rFont val="Times New Roman"/>
        <family val="1"/>
      </rPr>
      <t>, 305–309 (2002).</t>
    </r>
  </si>
  <si>
    <r>
      <t xml:space="preserve">Fecák, P., Šariková, D. &amp; Černý, I. Influence of tillage system and starting N fertilization on seed yield and quality of soybean Glycine max (L.) Merrill. </t>
    </r>
    <r>
      <rPr>
        <i/>
        <sz val="12"/>
        <color theme="1"/>
        <rFont val="Times New Roman"/>
        <family val="1"/>
      </rPr>
      <t>Plant, Soil Environ.</t>
    </r>
    <r>
      <rPr>
        <sz val="12"/>
        <color theme="1"/>
        <rFont val="Times New Roman"/>
        <family val="1"/>
      </rPr>
      <t xml:space="preserve"> </t>
    </r>
    <r>
      <rPr>
        <b/>
        <sz val="12"/>
        <color theme="1"/>
        <rFont val="Times New Roman"/>
        <family val="1"/>
      </rPr>
      <t>56</t>
    </r>
    <r>
      <rPr>
        <sz val="12"/>
        <color theme="1"/>
        <rFont val="Times New Roman"/>
        <family val="1"/>
      </rPr>
      <t>, 105–110 (2010).</t>
    </r>
  </si>
  <si>
    <r>
      <t xml:space="preserve">Feng, F. X., Huang, G. B., Chai, Q. &amp; Yu, A. Z. Tillage and straw management impacts on soil properties, root growth, and grain yield of winter wheat in Northwestern China. </t>
    </r>
    <r>
      <rPr>
        <i/>
        <sz val="12"/>
        <color theme="1"/>
        <rFont val="Times New Roman"/>
        <family val="1"/>
      </rPr>
      <t>Crop Sci.</t>
    </r>
    <r>
      <rPr>
        <sz val="12"/>
        <color theme="1"/>
        <rFont val="Times New Roman"/>
        <family val="1"/>
      </rPr>
      <t xml:space="preserve"> </t>
    </r>
    <r>
      <rPr>
        <b/>
        <sz val="12"/>
        <color theme="1"/>
        <rFont val="Times New Roman"/>
        <family val="1"/>
      </rPr>
      <t>50</t>
    </r>
    <r>
      <rPr>
        <sz val="12"/>
        <color theme="1"/>
        <rFont val="Times New Roman"/>
        <family val="1"/>
      </rPr>
      <t>, 1465–1473 (2010).</t>
    </r>
  </si>
  <si>
    <r>
      <t xml:space="preserve">Fengyun, Z., Pute, W., Xining, Z., Enhe, Z. &amp; Xuefeng, C. Effects of conservation tillage on soil water regimes and water use efficiency in farmland of Heihe River Basin in Northwest China. </t>
    </r>
    <r>
      <rPr>
        <i/>
        <sz val="12"/>
        <color theme="1"/>
        <rFont val="Times New Roman"/>
        <family val="1"/>
      </rPr>
      <t>African J. Agric. Res.</t>
    </r>
    <r>
      <rPr>
        <sz val="12"/>
        <color theme="1"/>
        <rFont val="Times New Roman"/>
        <family val="1"/>
      </rPr>
      <t xml:space="preserve"> </t>
    </r>
    <r>
      <rPr>
        <b/>
        <sz val="12"/>
        <color theme="1"/>
        <rFont val="Times New Roman"/>
        <family val="1"/>
      </rPr>
      <t>6</t>
    </r>
    <r>
      <rPr>
        <sz val="12"/>
        <color theme="1"/>
        <rFont val="Times New Roman"/>
        <family val="1"/>
      </rPr>
      <t>, 5959–5966 (2011).</t>
    </r>
  </si>
  <si>
    <r>
      <t xml:space="preserve">Filipovic, D., Husnjak, S., Kosutic, S. &amp; Gospodaric, Z. Effects of tillage systems on compaction and crop yield of Albic Luvisol in Croatia. </t>
    </r>
    <r>
      <rPr>
        <i/>
        <sz val="12"/>
        <color theme="1"/>
        <rFont val="Times New Roman"/>
        <family val="1"/>
      </rPr>
      <t>J. Terramechanics</t>
    </r>
    <r>
      <rPr>
        <sz val="12"/>
        <color theme="1"/>
        <rFont val="Times New Roman"/>
        <family val="1"/>
      </rPr>
      <t xml:space="preserve"> </t>
    </r>
    <r>
      <rPr>
        <b/>
        <sz val="12"/>
        <color theme="1"/>
        <rFont val="Times New Roman"/>
        <family val="1"/>
      </rPr>
      <t>43</t>
    </r>
    <r>
      <rPr>
        <sz val="12"/>
        <color theme="1"/>
        <rFont val="Times New Roman"/>
        <family val="1"/>
      </rPr>
      <t>, 177–189 (2006).</t>
    </r>
  </si>
  <si>
    <r>
      <t xml:space="preserve">Fiorini, A., Maris, S. C., Abalos, D., Amaducci, S. &amp; Tabaglio, V. Combining no-till with rye (Secale cereale L.) cover crop mitigates nitrous oxide emissions without decreasing yield. </t>
    </r>
    <r>
      <rPr>
        <i/>
        <sz val="12"/>
        <color theme="1"/>
        <rFont val="Times New Roman"/>
        <family val="1"/>
      </rPr>
      <t>Soil Tillage Res.</t>
    </r>
    <r>
      <rPr>
        <sz val="12"/>
        <color theme="1"/>
        <rFont val="Times New Roman"/>
        <family val="1"/>
      </rPr>
      <t xml:space="preserve"> </t>
    </r>
    <r>
      <rPr>
        <b/>
        <sz val="12"/>
        <color theme="1"/>
        <rFont val="Times New Roman"/>
        <family val="1"/>
      </rPr>
      <t>196</t>
    </r>
    <r>
      <rPr>
        <sz val="12"/>
        <color theme="1"/>
        <rFont val="Times New Roman"/>
        <family val="1"/>
      </rPr>
      <t>, 104442 (2020).</t>
    </r>
  </si>
  <si>
    <r>
      <t xml:space="preserve">Fischer, R. A., Santiveri, F. &amp; Vidal, I. R. Crop rotation, tillage and crop residue management for wheat and maize in the sub-humid tropical highlands II. Maize and system performance. </t>
    </r>
    <r>
      <rPr>
        <i/>
        <sz val="12"/>
        <color theme="1"/>
        <rFont val="Times New Roman"/>
        <family val="1"/>
      </rPr>
      <t>F. Crop. Res.</t>
    </r>
    <r>
      <rPr>
        <sz val="12"/>
        <color theme="1"/>
        <rFont val="Times New Roman"/>
        <family val="1"/>
      </rPr>
      <t xml:space="preserve"> </t>
    </r>
    <r>
      <rPr>
        <b/>
        <sz val="12"/>
        <color theme="1"/>
        <rFont val="Times New Roman"/>
        <family val="1"/>
      </rPr>
      <t>79</t>
    </r>
    <r>
      <rPr>
        <sz val="12"/>
        <color theme="1"/>
        <rFont val="Times New Roman"/>
        <family val="1"/>
      </rPr>
      <t>, 123–137 (2002).</t>
    </r>
  </si>
  <si>
    <r>
      <t xml:space="preserve">Fischer, R. A., Santiveri, F. &amp; Vidal, I. R. Crop rotation, tillage and crop residue management for wheat and maize in the sub-humid tropical highlands I. Wheat and legume performance. </t>
    </r>
    <r>
      <rPr>
        <i/>
        <sz val="12"/>
        <color theme="1"/>
        <rFont val="Times New Roman"/>
        <family val="1"/>
      </rPr>
      <t>F. Crop. Res.</t>
    </r>
    <r>
      <rPr>
        <sz val="12"/>
        <color theme="1"/>
        <rFont val="Times New Roman"/>
        <family val="1"/>
      </rPr>
      <t xml:space="preserve"> </t>
    </r>
    <r>
      <rPr>
        <b/>
        <sz val="12"/>
        <color theme="1"/>
        <rFont val="Times New Roman"/>
        <family val="1"/>
      </rPr>
      <t>79</t>
    </r>
    <r>
      <rPr>
        <sz val="12"/>
        <color theme="1"/>
        <rFont val="Times New Roman"/>
        <family val="1"/>
      </rPr>
      <t>, 107–122 (2002).</t>
    </r>
  </si>
  <si>
    <r>
      <t xml:space="preserve">Flowers, M. . &amp; Lal, R. Axle load and tillage effects on soil physical properties and soybean grain yield on a mollic ochraqualf in northwest Ohio. </t>
    </r>
    <r>
      <rPr>
        <i/>
        <sz val="12"/>
        <color theme="1"/>
        <rFont val="Times New Roman"/>
        <family val="1"/>
      </rPr>
      <t>Soil Tillage Res.</t>
    </r>
    <r>
      <rPr>
        <sz val="12"/>
        <color theme="1"/>
        <rFont val="Times New Roman"/>
        <family val="1"/>
      </rPr>
      <t xml:space="preserve"> </t>
    </r>
    <r>
      <rPr>
        <b/>
        <sz val="12"/>
        <color theme="1"/>
        <rFont val="Times New Roman"/>
        <family val="1"/>
      </rPr>
      <t>48</t>
    </r>
    <r>
      <rPr>
        <sz val="12"/>
        <color theme="1"/>
        <rFont val="Times New Roman"/>
        <family val="1"/>
      </rPr>
      <t>, 21–35 (1998).</t>
    </r>
  </si>
  <si>
    <r>
      <t xml:space="preserve">Franchini, J. C. </t>
    </r>
    <r>
      <rPr>
        <i/>
        <sz val="12"/>
        <color theme="1"/>
        <rFont val="Times New Roman"/>
        <family val="1"/>
      </rPr>
      <t>et al.</t>
    </r>
    <r>
      <rPr>
        <sz val="12"/>
        <color theme="1"/>
        <rFont val="Times New Roman"/>
        <family val="1"/>
      </rPr>
      <t xml:space="preserve"> Evolution of crop yields in different tillage and cropping systems over two decades in southern Brazil. </t>
    </r>
    <r>
      <rPr>
        <i/>
        <sz val="12"/>
        <color theme="1"/>
        <rFont val="Times New Roman"/>
        <family val="1"/>
      </rPr>
      <t>F. Crop. Res.</t>
    </r>
    <r>
      <rPr>
        <sz val="12"/>
        <color theme="1"/>
        <rFont val="Times New Roman"/>
        <family val="1"/>
      </rPr>
      <t xml:space="preserve"> </t>
    </r>
    <r>
      <rPr>
        <b/>
        <sz val="12"/>
        <color theme="1"/>
        <rFont val="Times New Roman"/>
        <family val="1"/>
      </rPr>
      <t>137</t>
    </r>
    <r>
      <rPr>
        <sz val="12"/>
        <color theme="1"/>
        <rFont val="Times New Roman"/>
        <family val="1"/>
      </rPr>
      <t>, 178–185 (2012).</t>
    </r>
  </si>
  <si>
    <r>
      <t xml:space="preserve">Franzluebbers, A. J. &amp; Stuedemann, J. A. Crop and cattle responses to tillage systems for integrated crop–livestock production in the Southern Piedmont, USA. </t>
    </r>
    <r>
      <rPr>
        <i/>
        <sz val="12"/>
        <color theme="1"/>
        <rFont val="Times New Roman"/>
        <family val="1"/>
      </rPr>
      <t>Renew. Agric. Food Syst.</t>
    </r>
    <r>
      <rPr>
        <sz val="12"/>
        <color theme="1"/>
        <rFont val="Times New Roman"/>
        <family val="1"/>
      </rPr>
      <t xml:space="preserve"> </t>
    </r>
    <r>
      <rPr>
        <b/>
        <sz val="12"/>
        <color theme="1"/>
        <rFont val="Times New Roman"/>
        <family val="1"/>
      </rPr>
      <t>22</t>
    </r>
    <r>
      <rPr>
        <sz val="12"/>
        <color theme="1"/>
        <rFont val="Times New Roman"/>
        <family val="1"/>
      </rPr>
      <t>, 168–180 (2007).</t>
    </r>
  </si>
  <si>
    <r>
      <t xml:space="preserve">Gajri, P. R., Arora, V. K. &amp; Prihar, S. S. Tillage management for efficient water and nitrogen use in wheat following rice. </t>
    </r>
    <r>
      <rPr>
        <i/>
        <sz val="12"/>
        <color theme="1"/>
        <rFont val="Times New Roman"/>
        <family val="1"/>
      </rPr>
      <t>Soil Tillage Res.</t>
    </r>
    <r>
      <rPr>
        <sz val="12"/>
        <color theme="1"/>
        <rFont val="Times New Roman"/>
        <family val="1"/>
      </rPr>
      <t xml:space="preserve"> </t>
    </r>
    <r>
      <rPr>
        <b/>
        <sz val="12"/>
        <color theme="1"/>
        <rFont val="Times New Roman"/>
        <family val="1"/>
      </rPr>
      <t>24</t>
    </r>
    <r>
      <rPr>
        <sz val="12"/>
        <color theme="1"/>
        <rFont val="Times New Roman"/>
        <family val="1"/>
      </rPr>
      <t>, 167–182 (1992).</t>
    </r>
  </si>
  <si>
    <r>
      <t xml:space="preserve">Galvez, L., Douds, D. D., Drinkwater, L. E. &amp; Wagoner, P. Effect of tillage and farming system upon VAM fungus populations and mycorrhizas and nutrient uptake of maize. </t>
    </r>
    <r>
      <rPr>
        <i/>
        <sz val="12"/>
        <color theme="1"/>
        <rFont val="Times New Roman"/>
        <family val="1"/>
      </rPr>
      <t>Plant Soil</t>
    </r>
    <r>
      <rPr>
        <sz val="12"/>
        <color theme="1"/>
        <rFont val="Times New Roman"/>
        <family val="1"/>
      </rPr>
      <t xml:space="preserve"> </t>
    </r>
    <r>
      <rPr>
        <b/>
        <sz val="12"/>
        <color theme="1"/>
        <rFont val="Times New Roman"/>
        <family val="1"/>
      </rPr>
      <t>228</t>
    </r>
    <r>
      <rPr>
        <sz val="12"/>
        <color theme="1"/>
        <rFont val="Times New Roman"/>
        <family val="1"/>
      </rPr>
      <t>, 299–308 (2001).</t>
    </r>
  </si>
  <si>
    <r>
      <t xml:space="preserve">Galvez, L., Douds, D. D. &amp; Wagoner, P. Tillage and farming system affect AM fungus populations, mycorrhizal formation, and nutrient uptake by winter wheat in a high-P soil. </t>
    </r>
    <r>
      <rPr>
        <i/>
        <sz val="12"/>
        <color theme="1"/>
        <rFont val="Times New Roman"/>
        <family val="1"/>
      </rPr>
      <t>Am. J. Altern. Agric.</t>
    </r>
    <r>
      <rPr>
        <sz val="12"/>
        <color theme="1"/>
        <rFont val="Times New Roman"/>
        <family val="1"/>
      </rPr>
      <t xml:space="preserve"> </t>
    </r>
    <r>
      <rPr>
        <b/>
        <sz val="12"/>
        <color theme="1"/>
        <rFont val="Times New Roman"/>
        <family val="1"/>
      </rPr>
      <t>16</t>
    </r>
    <r>
      <rPr>
        <sz val="12"/>
        <color theme="1"/>
        <rFont val="Times New Roman"/>
        <family val="1"/>
      </rPr>
      <t>, 152–160 (2001).</t>
    </r>
  </si>
  <si>
    <r>
      <t xml:space="preserve">Gangwar, K. S., Singh, K. K. &amp; Sharma, S. K. Effect of tillage on growth, yield and nutrient uptake in wheat after rice in the Indo-Gangetic Plains of India. </t>
    </r>
    <r>
      <rPr>
        <i/>
        <sz val="12"/>
        <color theme="1"/>
        <rFont val="Times New Roman"/>
        <family val="1"/>
      </rPr>
      <t>J. Agric. Sci.</t>
    </r>
    <r>
      <rPr>
        <sz val="12"/>
        <color theme="1"/>
        <rFont val="Times New Roman"/>
        <family val="1"/>
      </rPr>
      <t xml:space="preserve"> </t>
    </r>
    <r>
      <rPr>
        <b/>
        <sz val="12"/>
        <color theme="1"/>
        <rFont val="Times New Roman"/>
        <family val="1"/>
      </rPr>
      <t>142</t>
    </r>
    <r>
      <rPr>
        <sz val="12"/>
        <color theme="1"/>
        <rFont val="Times New Roman"/>
        <family val="1"/>
      </rPr>
      <t>, 453–459 (2004).</t>
    </r>
  </si>
  <si>
    <r>
      <t xml:space="preserve">Gangwar, K. S., Singh, K. K., Sharma, S. K. &amp; Tomar, O. K. Alternative tillage and crop residue management in wheat after rice in sandy loam soils of Indo-Gangetic plains. </t>
    </r>
    <r>
      <rPr>
        <i/>
        <sz val="12"/>
        <color theme="1"/>
        <rFont val="Times New Roman"/>
        <family val="1"/>
      </rPr>
      <t>Soil Tillage Res.</t>
    </r>
    <r>
      <rPr>
        <sz val="12"/>
        <color theme="1"/>
        <rFont val="Times New Roman"/>
        <family val="1"/>
      </rPr>
      <t xml:space="preserve"> </t>
    </r>
    <r>
      <rPr>
        <b/>
        <sz val="12"/>
        <color theme="1"/>
        <rFont val="Times New Roman"/>
        <family val="1"/>
      </rPr>
      <t>88</t>
    </r>
    <r>
      <rPr>
        <sz val="12"/>
        <color theme="1"/>
        <rFont val="Times New Roman"/>
        <family val="1"/>
      </rPr>
      <t>, 242–252 (2006).</t>
    </r>
  </si>
  <si>
    <r>
      <t xml:space="preserve">Gao, J., Hao, X., Thelen, K. D. &amp; Robertson, G. P. Agronomic management system and precipitation effects on soybean oil and fatty acid profiles. </t>
    </r>
    <r>
      <rPr>
        <i/>
        <sz val="12"/>
        <color theme="1"/>
        <rFont val="Times New Roman"/>
        <family val="1"/>
      </rPr>
      <t>Crop Sci.</t>
    </r>
    <r>
      <rPr>
        <sz val="12"/>
        <color theme="1"/>
        <rFont val="Times New Roman"/>
        <family val="1"/>
      </rPr>
      <t xml:space="preserve"> </t>
    </r>
    <r>
      <rPr>
        <b/>
        <sz val="12"/>
        <color theme="1"/>
        <rFont val="Times New Roman"/>
        <family val="1"/>
      </rPr>
      <t>49</t>
    </r>
    <r>
      <rPr>
        <sz val="12"/>
        <color theme="1"/>
        <rFont val="Times New Roman"/>
        <family val="1"/>
      </rPr>
      <t>, 1049–1057 (2009).</t>
    </r>
  </si>
  <si>
    <r>
      <t xml:space="preserve">Gathala, M. K. </t>
    </r>
    <r>
      <rPr>
        <i/>
        <sz val="12"/>
        <color theme="1"/>
        <rFont val="Times New Roman"/>
        <family val="1"/>
      </rPr>
      <t>et al.</t>
    </r>
    <r>
      <rPr>
        <sz val="12"/>
        <color theme="1"/>
        <rFont val="Times New Roman"/>
        <family val="1"/>
      </rPr>
      <t xml:space="preserve"> Effect of tillage and crop establishment methods on physical properties of a medium-textured soil under a seven-year rice−wheat rotation. </t>
    </r>
    <r>
      <rPr>
        <i/>
        <sz val="12"/>
        <color theme="1"/>
        <rFont val="Times New Roman"/>
        <family val="1"/>
      </rPr>
      <t>Soil Sci. Soc. Am. J.</t>
    </r>
    <r>
      <rPr>
        <sz val="12"/>
        <color theme="1"/>
        <rFont val="Times New Roman"/>
        <family val="1"/>
      </rPr>
      <t xml:space="preserve"> </t>
    </r>
    <r>
      <rPr>
        <b/>
        <sz val="12"/>
        <color theme="1"/>
        <rFont val="Times New Roman"/>
        <family val="1"/>
      </rPr>
      <t>75</t>
    </r>
    <r>
      <rPr>
        <sz val="12"/>
        <color theme="1"/>
        <rFont val="Times New Roman"/>
        <family val="1"/>
      </rPr>
      <t>, 1851–1862 (2011).</t>
    </r>
  </si>
  <si>
    <r>
      <t xml:space="preserve">Ghuman, B. S. &amp; Sur, H. S. Tillage and residue management effects on soil properties and yields of rainfed maize and wheat in a subhumid subtropical climate. </t>
    </r>
    <r>
      <rPr>
        <i/>
        <sz val="12"/>
        <color theme="1"/>
        <rFont val="Times New Roman"/>
        <family val="1"/>
      </rPr>
      <t>Soil Tillage Res.</t>
    </r>
    <r>
      <rPr>
        <sz val="12"/>
        <color theme="1"/>
        <rFont val="Times New Roman"/>
        <family val="1"/>
      </rPr>
      <t xml:space="preserve"> </t>
    </r>
    <r>
      <rPr>
        <b/>
        <sz val="12"/>
        <color theme="1"/>
        <rFont val="Times New Roman"/>
        <family val="1"/>
      </rPr>
      <t>58</t>
    </r>
    <r>
      <rPr>
        <sz val="12"/>
        <color theme="1"/>
        <rFont val="Times New Roman"/>
        <family val="1"/>
      </rPr>
      <t>, 1–10 (2001).</t>
    </r>
  </si>
  <si>
    <r>
      <t xml:space="preserve">Giannitsopoulos, M. L., Burgess, P. J. &amp; Rickson, R. J. Effects of conservation tillage systems on soil physical changes and crop yields in a wheat–oilseed rape rotation. </t>
    </r>
    <r>
      <rPr>
        <i/>
        <sz val="12"/>
        <color theme="1"/>
        <rFont val="Times New Roman"/>
        <family val="1"/>
      </rPr>
      <t>J. Soil Water Conserv.</t>
    </r>
    <r>
      <rPr>
        <sz val="12"/>
        <color theme="1"/>
        <rFont val="Times New Roman"/>
        <family val="1"/>
      </rPr>
      <t xml:space="preserve"> </t>
    </r>
    <r>
      <rPr>
        <b/>
        <sz val="12"/>
        <color theme="1"/>
        <rFont val="Times New Roman"/>
        <family val="1"/>
      </rPr>
      <t>74</t>
    </r>
    <r>
      <rPr>
        <sz val="12"/>
        <color theme="1"/>
        <rFont val="Times New Roman"/>
        <family val="1"/>
      </rPr>
      <t>, 247–258 (2019).</t>
    </r>
  </si>
  <si>
    <r>
      <t xml:space="preserve">Gracia-Romero, A. </t>
    </r>
    <r>
      <rPr>
        <i/>
        <sz val="12"/>
        <color theme="1"/>
        <rFont val="Times New Roman"/>
        <family val="1"/>
      </rPr>
      <t>et al.</t>
    </r>
    <r>
      <rPr>
        <sz val="12"/>
        <color theme="1"/>
        <rFont val="Times New Roman"/>
        <family val="1"/>
      </rPr>
      <t xml:space="preserve"> Phenotyping conservation agriculture management effects on ground and aerial remote sensing assessments of maize hybrids performance in Zimbabwe. </t>
    </r>
    <r>
      <rPr>
        <i/>
        <sz val="12"/>
        <color theme="1"/>
        <rFont val="Times New Roman"/>
        <family val="1"/>
      </rPr>
      <t>Remote Sens.</t>
    </r>
    <r>
      <rPr>
        <sz val="12"/>
        <color theme="1"/>
        <rFont val="Times New Roman"/>
        <family val="1"/>
      </rPr>
      <t xml:space="preserve"> </t>
    </r>
    <r>
      <rPr>
        <b/>
        <sz val="12"/>
        <color theme="1"/>
        <rFont val="Times New Roman"/>
        <family val="1"/>
      </rPr>
      <t>10</t>
    </r>
    <r>
      <rPr>
        <sz val="12"/>
        <color theme="1"/>
        <rFont val="Times New Roman"/>
        <family val="1"/>
      </rPr>
      <t>, 349 (2018).</t>
    </r>
  </si>
  <si>
    <r>
      <t xml:space="preserve">Grageda-Cabrera, O. A. </t>
    </r>
    <r>
      <rPr>
        <i/>
        <sz val="12"/>
        <color theme="1"/>
        <rFont val="Times New Roman"/>
        <family val="1"/>
      </rPr>
      <t>et al.</t>
    </r>
    <r>
      <rPr>
        <sz val="12"/>
        <color theme="1"/>
        <rFont val="Times New Roman"/>
        <family val="1"/>
      </rPr>
      <t xml:space="preserve"> Fertilizer dynamics in different tillage and crop rotation systems in a Vertisol in Central Mexico. </t>
    </r>
    <r>
      <rPr>
        <i/>
        <sz val="12"/>
        <color theme="1"/>
        <rFont val="Times New Roman"/>
        <family val="1"/>
      </rPr>
      <t>Nutr. Cycl. Agroecosystems</t>
    </r>
    <r>
      <rPr>
        <sz val="12"/>
        <color theme="1"/>
        <rFont val="Times New Roman"/>
        <family val="1"/>
      </rPr>
      <t xml:space="preserve"> </t>
    </r>
    <r>
      <rPr>
        <b/>
        <sz val="12"/>
        <color theme="1"/>
        <rFont val="Times New Roman"/>
        <family val="1"/>
      </rPr>
      <t>89</t>
    </r>
    <r>
      <rPr>
        <sz val="12"/>
        <color theme="1"/>
        <rFont val="Times New Roman"/>
        <family val="1"/>
      </rPr>
      <t>, 125–134 (2011).</t>
    </r>
  </si>
  <si>
    <r>
      <t xml:space="preserve">Grandy, A. S., Robertson, G. P. &amp; Thelen, K. D. Do productivity and environmental trade-offs justify periodically cultivating no-till cropping systems?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1377–1383 (2006).</t>
    </r>
  </si>
  <si>
    <r>
      <t xml:space="preserve">Grant, C. A. &amp; Bailey, L. D. The effect of KCl, KNO 3 , and CaCl 2 fertilization under conventional- and zero-till systems on common root rot, dry matter yield and grain yield of Heartland barley. </t>
    </r>
    <r>
      <rPr>
        <i/>
        <sz val="12"/>
        <color theme="1"/>
        <rFont val="Times New Roman"/>
        <family val="1"/>
      </rPr>
      <t>Can. J. Plant Sci.</t>
    </r>
    <r>
      <rPr>
        <sz val="12"/>
        <color theme="1"/>
        <rFont val="Times New Roman"/>
        <family val="1"/>
      </rPr>
      <t xml:space="preserve"> </t>
    </r>
    <r>
      <rPr>
        <b/>
        <sz val="12"/>
        <color theme="1"/>
        <rFont val="Times New Roman"/>
        <family val="1"/>
      </rPr>
      <t>74</t>
    </r>
    <r>
      <rPr>
        <sz val="12"/>
        <color theme="1"/>
        <rFont val="Times New Roman"/>
        <family val="1"/>
      </rPr>
      <t>, 1–6 (1994).</t>
    </r>
  </si>
  <si>
    <r>
      <t xml:space="preserve">Griffith, D. R., Kladivko, E. J., Mannering, J. V, West, T. D. &amp; Parsons, S. D. Long-term tillage and rotation effects on corn growth and yield on high and low organic matter, poorly drained soils. </t>
    </r>
    <r>
      <rPr>
        <i/>
        <sz val="12"/>
        <color theme="1"/>
        <rFont val="Times New Roman"/>
        <family val="1"/>
      </rPr>
      <t>Agron. J.</t>
    </r>
    <r>
      <rPr>
        <sz val="12"/>
        <color theme="1"/>
        <rFont val="Times New Roman"/>
        <family val="1"/>
      </rPr>
      <t xml:space="preserve"> </t>
    </r>
    <r>
      <rPr>
        <b/>
        <sz val="12"/>
        <color theme="1"/>
        <rFont val="Times New Roman"/>
        <family val="1"/>
      </rPr>
      <t>80</t>
    </r>
    <r>
      <rPr>
        <sz val="12"/>
        <color theme="1"/>
        <rFont val="Times New Roman"/>
        <family val="1"/>
      </rPr>
      <t>, 599–605 (1988).</t>
    </r>
  </si>
  <si>
    <r>
      <t xml:space="preserve">Grigoras, M. A., Popescu, A., Pamfil, D., Has, I. &amp; Gidea, M. Influence of no-tillage agriculture system and fertilization on wheat yield and grain protein and gluten contents. </t>
    </r>
    <r>
      <rPr>
        <i/>
        <sz val="12"/>
        <color theme="1"/>
        <rFont val="Times New Roman"/>
        <family val="1"/>
      </rPr>
      <t>J. Food, Agric. Environ.</t>
    </r>
    <r>
      <rPr>
        <sz val="12"/>
        <color theme="1"/>
        <rFont val="Times New Roman"/>
        <family val="1"/>
      </rPr>
      <t xml:space="preserve"> </t>
    </r>
    <r>
      <rPr>
        <b/>
        <sz val="12"/>
        <color theme="1"/>
        <rFont val="Times New Roman"/>
        <family val="1"/>
      </rPr>
      <t>10</t>
    </r>
    <r>
      <rPr>
        <sz val="12"/>
        <color theme="1"/>
        <rFont val="Times New Roman"/>
        <family val="1"/>
      </rPr>
      <t>, 532–539 (2012).</t>
    </r>
  </si>
  <si>
    <r>
      <t xml:space="preserve">Gruber, S., Pekrun, C., Möhring, J. &amp; Claupein, W. Long-term yield and weed response to conservation and stubble tillage in SW Germany. </t>
    </r>
    <r>
      <rPr>
        <i/>
        <sz val="12"/>
        <color theme="1"/>
        <rFont val="Times New Roman"/>
        <family val="1"/>
      </rPr>
      <t>Soil Tillage Res.</t>
    </r>
    <r>
      <rPr>
        <sz val="12"/>
        <color theme="1"/>
        <rFont val="Times New Roman"/>
        <family val="1"/>
      </rPr>
      <t xml:space="preserve"> </t>
    </r>
    <r>
      <rPr>
        <b/>
        <sz val="12"/>
        <color theme="1"/>
        <rFont val="Times New Roman"/>
        <family val="1"/>
      </rPr>
      <t>121</t>
    </r>
    <r>
      <rPr>
        <sz val="12"/>
        <color theme="1"/>
        <rFont val="Times New Roman"/>
        <family val="1"/>
      </rPr>
      <t>, 49–56 (2012).</t>
    </r>
  </si>
  <si>
    <r>
      <t xml:space="preserve">Gul, B., Marwat, K. B., Saeed, M., Hussain, Z. &amp; Ali, H. Impact of tillage, plant population and mulches on weed management and grain yield of maize. </t>
    </r>
    <r>
      <rPr>
        <i/>
        <sz val="12"/>
        <color theme="1"/>
        <rFont val="Times New Roman"/>
        <family val="1"/>
      </rPr>
      <t>Pakistan J. Bot.</t>
    </r>
    <r>
      <rPr>
        <sz val="12"/>
        <color theme="1"/>
        <rFont val="Times New Roman"/>
        <family val="1"/>
      </rPr>
      <t xml:space="preserve"> </t>
    </r>
    <r>
      <rPr>
        <b/>
        <sz val="12"/>
        <color theme="1"/>
        <rFont val="Times New Roman"/>
        <family val="1"/>
      </rPr>
      <t>46</t>
    </r>
    <r>
      <rPr>
        <sz val="12"/>
        <color theme="1"/>
        <rFont val="Times New Roman"/>
        <family val="1"/>
      </rPr>
      <t>, 1603–1606 (2011).</t>
    </r>
  </si>
  <si>
    <r>
      <t xml:space="preserve">Guo, Y. </t>
    </r>
    <r>
      <rPr>
        <i/>
        <sz val="12"/>
        <color theme="1"/>
        <rFont val="Times New Roman"/>
        <family val="1"/>
      </rPr>
      <t>et al.</t>
    </r>
    <r>
      <rPr>
        <sz val="12"/>
        <color theme="1"/>
        <rFont val="Times New Roman"/>
        <family val="1"/>
      </rPr>
      <t xml:space="preserve"> Reduced irrigation and nitrogen coupled with no-tillage and plastic mulching increase wheat yield in maize-wheat rotation in an arid region. </t>
    </r>
    <r>
      <rPr>
        <i/>
        <sz val="12"/>
        <color theme="1"/>
        <rFont val="Times New Roman"/>
        <family val="1"/>
      </rPr>
      <t>F. Crop. Res.</t>
    </r>
    <r>
      <rPr>
        <sz val="12"/>
        <color theme="1"/>
        <rFont val="Times New Roman"/>
        <family val="1"/>
      </rPr>
      <t xml:space="preserve"> </t>
    </r>
    <r>
      <rPr>
        <b/>
        <sz val="12"/>
        <color theme="1"/>
        <rFont val="Times New Roman"/>
        <family val="1"/>
      </rPr>
      <t>243</t>
    </r>
    <r>
      <rPr>
        <sz val="12"/>
        <color theme="1"/>
        <rFont val="Times New Roman"/>
        <family val="1"/>
      </rPr>
      <t>, 107615 (2019).</t>
    </r>
  </si>
  <si>
    <r>
      <t xml:space="preserve">Guy, S. O. &amp; Cox, D. B. Reduced tillage increases residue groundcover in subsequent dry pea and winter wheat crops in the Palouse region of Idaho. </t>
    </r>
    <r>
      <rPr>
        <i/>
        <sz val="12"/>
        <color theme="1"/>
        <rFont val="Times New Roman"/>
        <family val="1"/>
      </rPr>
      <t>Soil Tillage Res.</t>
    </r>
    <r>
      <rPr>
        <sz val="12"/>
        <color theme="1"/>
        <rFont val="Times New Roman"/>
        <family val="1"/>
      </rPr>
      <t xml:space="preserve"> </t>
    </r>
    <r>
      <rPr>
        <b/>
        <sz val="12"/>
        <color theme="1"/>
        <rFont val="Times New Roman"/>
        <family val="1"/>
      </rPr>
      <t>66</t>
    </r>
    <r>
      <rPr>
        <sz val="12"/>
        <color theme="1"/>
        <rFont val="Times New Roman"/>
        <family val="1"/>
      </rPr>
      <t>, 69–77 (2002).</t>
    </r>
  </si>
  <si>
    <r>
      <t xml:space="preserve">Gwenzi, W., Gotosa, J., Chakanetsa, S. &amp; Mutema, Z. Effects of tillage systems on soil organic carbon dynamics, structural stability and crop yields in irrigated wheat (Triticum aestivum L.)–cotton (Gossypium hirsutum L.) rotation in semi-arid Zimbabwe. </t>
    </r>
    <r>
      <rPr>
        <i/>
        <sz val="12"/>
        <color theme="1"/>
        <rFont val="Times New Roman"/>
        <family val="1"/>
      </rPr>
      <t>Nutr. Cycl. Agroecosystems</t>
    </r>
    <r>
      <rPr>
        <sz val="12"/>
        <color theme="1"/>
        <rFont val="Times New Roman"/>
        <family val="1"/>
      </rPr>
      <t xml:space="preserve"> </t>
    </r>
    <r>
      <rPr>
        <b/>
        <sz val="12"/>
        <color theme="1"/>
        <rFont val="Times New Roman"/>
        <family val="1"/>
      </rPr>
      <t>83</t>
    </r>
    <r>
      <rPr>
        <sz val="12"/>
        <color theme="1"/>
        <rFont val="Times New Roman"/>
        <family val="1"/>
      </rPr>
      <t>, 211–221 (2009).</t>
    </r>
  </si>
  <si>
    <r>
      <t xml:space="preserve">Halvorson, A. D., Black, A. L., Krupinsky, J. M., Merrill, S. D. &amp; Tanaka, D. L. Sunflower response to tillage and nitrogen fertilization under intensive cropping in a wheat rotation.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637–642 (1999).</t>
    </r>
  </si>
  <si>
    <r>
      <t xml:space="preserve">Halvorson, A. D., Black, A. L., Krupinsky, J. M. &amp; Merrill, S. D. Dryland winter wheat response to tillage and nitrogen within an annual cropping system.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702–707 (1999).</t>
    </r>
  </si>
  <si>
    <r>
      <t xml:space="preserve">Halvorson, A. D., Mosier, A. R., Reule, C. A. &amp; Bausch, W. C. Nitrogen and tillage effects on irrigated continuous corn yields.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63–71 (2006).</t>
    </r>
  </si>
  <si>
    <r>
      <t xml:space="preserve">Halwani, M., Reckling, M., Schuler, J., Bloch, R. &amp; Bachinger, J. Soybean in no-till cover-crop systems.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883 (2019).</t>
    </r>
  </si>
  <si>
    <r>
      <t xml:space="preserve">Hamblin, A. P. The effect of tillage on soil surface properties and the water balance of a xeralfic alfisol. </t>
    </r>
    <r>
      <rPr>
        <i/>
        <sz val="12"/>
        <color theme="1"/>
        <rFont val="Times New Roman"/>
        <family val="1"/>
      </rPr>
      <t>Soil Tillage Res.</t>
    </r>
    <r>
      <rPr>
        <sz val="12"/>
        <color theme="1"/>
        <rFont val="Times New Roman"/>
        <family val="1"/>
      </rPr>
      <t xml:space="preserve"> </t>
    </r>
    <r>
      <rPr>
        <b/>
        <sz val="12"/>
        <color theme="1"/>
        <rFont val="Times New Roman"/>
        <family val="1"/>
      </rPr>
      <t>4</t>
    </r>
    <r>
      <rPr>
        <sz val="12"/>
        <color theme="1"/>
        <rFont val="Times New Roman"/>
        <family val="1"/>
      </rPr>
      <t>, 543–559 (1984).</t>
    </r>
  </si>
  <si>
    <r>
      <t xml:space="preserve">He, W. </t>
    </r>
    <r>
      <rPr>
        <i/>
        <sz val="12"/>
        <color theme="1"/>
        <rFont val="Times New Roman"/>
        <family val="1"/>
      </rPr>
      <t>et al.</t>
    </r>
    <r>
      <rPr>
        <sz val="12"/>
        <color theme="1"/>
        <rFont val="Times New Roman"/>
        <family val="1"/>
      </rPr>
      <t xml:space="preserve"> Estimating the impacts of climate change on crop yields and N2O emissions for conventional and no-tillage in Southwestern Ontario, Canada. </t>
    </r>
    <r>
      <rPr>
        <i/>
        <sz val="12"/>
        <color theme="1"/>
        <rFont val="Times New Roman"/>
        <family val="1"/>
      </rPr>
      <t>Agric. Syst.</t>
    </r>
    <r>
      <rPr>
        <sz val="12"/>
        <color theme="1"/>
        <rFont val="Times New Roman"/>
        <family val="1"/>
      </rPr>
      <t xml:space="preserve"> </t>
    </r>
    <r>
      <rPr>
        <b/>
        <sz val="12"/>
        <color theme="1"/>
        <rFont val="Times New Roman"/>
        <family val="1"/>
      </rPr>
      <t>159</t>
    </r>
    <r>
      <rPr>
        <sz val="12"/>
        <color theme="1"/>
        <rFont val="Times New Roman"/>
        <family val="1"/>
      </rPr>
      <t>, 187–198 (2018).</t>
    </r>
  </si>
  <si>
    <r>
      <t xml:space="preserve">Hemmat, A. &amp; Eskandari, I. Dryland winter wheat response to conservation tillage in a continuous cropping system in northwestern Iran. </t>
    </r>
    <r>
      <rPr>
        <i/>
        <sz val="12"/>
        <color theme="1"/>
        <rFont val="Times New Roman"/>
        <family val="1"/>
      </rPr>
      <t>Soil Tillage Res.</t>
    </r>
    <r>
      <rPr>
        <sz val="12"/>
        <color theme="1"/>
        <rFont val="Times New Roman"/>
        <family val="1"/>
      </rPr>
      <t xml:space="preserve"> </t>
    </r>
    <r>
      <rPr>
        <b/>
        <sz val="12"/>
        <color theme="1"/>
        <rFont val="Times New Roman"/>
        <family val="1"/>
      </rPr>
      <t>86</t>
    </r>
    <r>
      <rPr>
        <sz val="12"/>
        <color theme="1"/>
        <rFont val="Times New Roman"/>
        <family val="1"/>
      </rPr>
      <t>, 99–109 (2006).</t>
    </r>
  </si>
  <si>
    <r>
      <t xml:space="preserve">Hemmat, A. &amp; Eskandari, I. Tillage system effects upon productivity of a dryland winter wheat–chickpea rotation in the northwest region of Iran. </t>
    </r>
    <r>
      <rPr>
        <i/>
        <sz val="12"/>
        <color theme="1"/>
        <rFont val="Times New Roman"/>
        <family val="1"/>
      </rPr>
      <t>Soil Tillage Res.</t>
    </r>
    <r>
      <rPr>
        <sz val="12"/>
        <color theme="1"/>
        <rFont val="Times New Roman"/>
        <family val="1"/>
      </rPr>
      <t xml:space="preserve"> </t>
    </r>
    <r>
      <rPr>
        <b/>
        <sz val="12"/>
        <color theme="1"/>
        <rFont val="Times New Roman"/>
        <family val="1"/>
      </rPr>
      <t>78</t>
    </r>
    <r>
      <rPr>
        <sz val="12"/>
        <color theme="1"/>
        <rFont val="Times New Roman"/>
        <family val="1"/>
      </rPr>
      <t>, 69–81 (2004).</t>
    </r>
  </si>
  <si>
    <r>
      <t xml:space="preserve">Hendrix, B. J., Young, B. G. &amp; Chong, S. K. Weed Management in Strip Tillage Corn.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229–235 (2004).</t>
    </r>
  </si>
  <si>
    <r>
      <t xml:space="preserve">Holanda, F. S. R. </t>
    </r>
    <r>
      <rPr>
        <i/>
        <sz val="12"/>
        <color theme="1"/>
        <rFont val="Times New Roman"/>
        <family val="1"/>
      </rPr>
      <t>et al.</t>
    </r>
    <r>
      <rPr>
        <sz val="12"/>
        <color theme="1"/>
        <rFont val="Times New Roman"/>
        <family val="1"/>
      </rPr>
      <t xml:space="preserve"> Contribution of tillage systems on the organic matter of Gley soil and the productivity of corn and soybean. </t>
    </r>
    <r>
      <rPr>
        <i/>
        <sz val="12"/>
        <color theme="1"/>
        <rFont val="Times New Roman"/>
        <family val="1"/>
      </rPr>
      <t>Semin. Agrar.</t>
    </r>
    <r>
      <rPr>
        <sz val="12"/>
        <color theme="1"/>
        <rFont val="Times New Roman"/>
        <family val="1"/>
      </rPr>
      <t xml:space="preserve"> </t>
    </r>
    <r>
      <rPr>
        <b/>
        <sz val="12"/>
        <color theme="1"/>
        <rFont val="Times New Roman"/>
        <family val="1"/>
      </rPr>
      <t>32</t>
    </r>
    <r>
      <rPr>
        <sz val="12"/>
        <color theme="1"/>
        <rFont val="Times New Roman"/>
        <family val="1"/>
      </rPr>
      <t>, 983–994 (2011).</t>
    </r>
  </si>
  <si>
    <r>
      <t xml:space="preserve">Hou, X. </t>
    </r>
    <r>
      <rPr>
        <i/>
        <sz val="12"/>
        <color theme="1"/>
        <rFont val="Times New Roman"/>
        <family val="1"/>
      </rPr>
      <t>et al.</t>
    </r>
    <r>
      <rPr>
        <sz val="12"/>
        <color theme="1"/>
        <rFont val="Times New Roman"/>
        <family val="1"/>
      </rPr>
      <t xml:space="preserve"> Effects of rotational tillage practices on soil properties, winter wheat yields and water-use efficiency in semi-arid areas of north-west China. </t>
    </r>
    <r>
      <rPr>
        <i/>
        <sz val="12"/>
        <color theme="1"/>
        <rFont val="Times New Roman"/>
        <family val="1"/>
      </rPr>
      <t>F. Crop. Res.</t>
    </r>
    <r>
      <rPr>
        <sz val="12"/>
        <color theme="1"/>
        <rFont val="Times New Roman"/>
        <family val="1"/>
      </rPr>
      <t xml:space="preserve"> </t>
    </r>
    <r>
      <rPr>
        <b/>
        <sz val="12"/>
        <color theme="1"/>
        <rFont val="Times New Roman"/>
        <family val="1"/>
      </rPr>
      <t>129</t>
    </r>
    <r>
      <rPr>
        <sz val="12"/>
        <color theme="1"/>
        <rFont val="Times New Roman"/>
        <family val="1"/>
      </rPr>
      <t>, 7–13 (2012).</t>
    </r>
  </si>
  <si>
    <r>
      <t xml:space="preserve">Houria, C., Hannachi, A., Fellahi, Z. E. A. &amp; Bouzerzour, H. Tillage and residue management effect on durum wheat [Triticum turgidum (L.) thell. ssp. turgidum conv. durum (Desf.) mackey] growth and yield under semi arid climate. </t>
    </r>
    <r>
      <rPr>
        <i/>
        <sz val="12"/>
        <color theme="1"/>
        <rFont val="Times New Roman"/>
        <family val="1"/>
      </rPr>
      <t>Adv. Environ. Biol.</t>
    </r>
    <r>
      <rPr>
        <sz val="12"/>
        <color theme="1"/>
        <rFont val="Times New Roman"/>
        <family val="1"/>
      </rPr>
      <t xml:space="preserve"> </t>
    </r>
    <r>
      <rPr>
        <b/>
        <sz val="12"/>
        <color theme="1"/>
        <rFont val="Times New Roman"/>
        <family val="1"/>
      </rPr>
      <t>5</t>
    </r>
    <r>
      <rPr>
        <sz val="12"/>
        <color theme="1"/>
        <rFont val="Times New Roman"/>
        <family val="1"/>
      </rPr>
      <t>, 3231–3241 (2011).</t>
    </r>
  </si>
  <si>
    <r>
      <t xml:space="preserve">Houšť, M., Procházková, B. &amp; Hledík, P. Effect of different tillage intensity on yields and yield-forming factors in winter wheat. </t>
    </r>
    <r>
      <rPr>
        <i/>
        <sz val="12"/>
        <color theme="1"/>
        <rFont val="Times New Roman"/>
        <family val="1"/>
      </rPr>
      <t>Acta Univ. Agric. Silvic. Mendelianae Brun.</t>
    </r>
    <r>
      <rPr>
        <sz val="12"/>
        <color theme="1"/>
        <rFont val="Times New Roman"/>
        <family val="1"/>
      </rPr>
      <t xml:space="preserve"> </t>
    </r>
    <r>
      <rPr>
        <b/>
        <sz val="12"/>
        <color theme="1"/>
        <rFont val="Times New Roman"/>
        <family val="1"/>
      </rPr>
      <t>60</t>
    </r>
    <r>
      <rPr>
        <sz val="12"/>
        <color theme="1"/>
        <rFont val="Times New Roman"/>
        <family val="1"/>
      </rPr>
      <t>, 89–96 (2012).</t>
    </r>
  </si>
  <si>
    <r>
      <t xml:space="preserve">Howard, D. D., Gwathmey, C. O., Roberts, R. K. &amp; Lessman, G. M. Potassium fertilization of cotton on two high testing soils under two tillage systems. </t>
    </r>
    <r>
      <rPr>
        <i/>
        <sz val="12"/>
        <color theme="1"/>
        <rFont val="Times New Roman"/>
        <family val="1"/>
      </rPr>
      <t>J. Plant Nutr.</t>
    </r>
    <r>
      <rPr>
        <sz val="12"/>
        <color theme="1"/>
        <rFont val="Times New Roman"/>
        <family val="1"/>
      </rPr>
      <t xml:space="preserve"> </t>
    </r>
    <r>
      <rPr>
        <b/>
        <sz val="12"/>
        <color theme="1"/>
        <rFont val="Times New Roman"/>
        <family val="1"/>
      </rPr>
      <t>20</t>
    </r>
    <r>
      <rPr>
        <sz val="12"/>
        <color theme="1"/>
        <rFont val="Times New Roman"/>
        <family val="1"/>
      </rPr>
      <t>, 1645–1656 (1997).</t>
    </r>
  </si>
  <si>
    <r>
      <t xml:space="preserve">Hu, W. </t>
    </r>
    <r>
      <rPr>
        <i/>
        <sz val="12"/>
        <color theme="1"/>
        <rFont val="Times New Roman"/>
        <family val="1"/>
      </rPr>
      <t>et al.</t>
    </r>
    <r>
      <rPr>
        <sz val="12"/>
        <color theme="1"/>
        <rFont val="Times New Roman"/>
        <family val="1"/>
      </rPr>
      <t xml:space="preserve"> Effects of tillage, compaction and nitrogen inputs on crop production and nitrogen losses following simulated forage crop grazing. </t>
    </r>
    <r>
      <rPr>
        <i/>
        <sz val="12"/>
        <color theme="1"/>
        <rFont val="Times New Roman"/>
        <family val="1"/>
      </rPr>
      <t>Agric. Ecosyst. Environ.</t>
    </r>
    <r>
      <rPr>
        <sz val="12"/>
        <color theme="1"/>
        <rFont val="Times New Roman"/>
        <family val="1"/>
      </rPr>
      <t xml:space="preserve"> </t>
    </r>
    <r>
      <rPr>
        <b/>
        <sz val="12"/>
        <color theme="1"/>
        <rFont val="Times New Roman"/>
        <family val="1"/>
      </rPr>
      <t>289</t>
    </r>
    <r>
      <rPr>
        <sz val="12"/>
        <color theme="1"/>
        <rFont val="Times New Roman"/>
        <family val="1"/>
      </rPr>
      <t>, (2020).</t>
    </r>
  </si>
  <si>
    <r>
      <t xml:space="preserve">Huang, G. B. </t>
    </r>
    <r>
      <rPr>
        <i/>
        <sz val="12"/>
        <color theme="1"/>
        <rFont val="Times New Roman"/>
        <family val="1"/>
      </rPr>
      <t>et al.</t>
    </r>
    <r>
      <rPr>
        <sz val="12"/>
        <color theme="1"/>
        <rFont val="Times New Roman"/>
        <family val="1"/>
      </rPr>
      <t xml:space="preserve"> Productivity and sustainability of a spring wheat-field pea rotation in a semi-arid environment under conventional and conservation tillage systems. </t>
    </r>
    <r>
      <rPr>
        <i/>
        <sz val="12"/>
        <color theme="1"/>
        <rFont val="Times New Roman"/>
        <family val="1"/>
      </rPr>
      <t>F. Crop. Res.</t>
    </r>
    <r>
      <rPr>
        <sz val="12"/>
        <color theme="1"/>
        <rFont val="Times New Roman"/>
        <family val="1"/>
      </rPr>
      <t xml:space="preserve"> </t>
    </r>
    <r>
      <rPr>
        <b/>
        <sz val="12"/>
        <color theme="1"/>
        <rFont val="Times New Roman"/>
        <family val="1"/>
      </rPr>
      <t>107</t>
    </r>
    <r>
      <rPr>
        <sz val="12"/>
        <color theme="1"/>
        <rFont val="Times New Roman"/>
        <family val="1"/>
      </rPr>
      <t>, 43–55 (2008).</t>
    </r>
  </si>
  <si>
    <r>
      <t xml:space="preserve">Huang, M., Jiang, P., Zhou, X. &amp; Zou, Y. No-tillage increases nitrogen scavenging by fallow weeds in a double-season rice cropping system in China. </t>
    </r>
    <r>
      <rPr>
        <i/>
        <sz val="12"/>
        <color theme="1"/>
        <rFont val="Times New Roman"/>
        <family val="1"/>
      </rPr>
      <t>Weed Biol. Manag.</t>
    </r>
    <r>
      <rPr>
        <sz val="12"/>
        <color theme="1"/>
        <rFont val="Times New Roman"/>
        <family val="1"/>
      </rPr>
      <t xml:space="preserve"> </t>
    </r>
    <r>
      <rPr>
        <b/>
        <sz val="12"/>
        <color theme="1"/>
        <rFont val="Times New Roman"/>
        <family val="1"/>
      </rPr>
      <t>18</t>
    </r>
    <r>
      <rPr>
        <sz val="12"/>
        <color theme="1"/>
        <rFont val="Times New Roman"/>
        <family val="1"/>
      </rPr>
      <t>, 105–109 (2018).</t>
    </r>
  </si>
  <si>
    <r>
      <t xml:space="preserve">Huang, M. </t>
    </r>
    <r>
      <rPr>
        <i/>
        <sz val="12"/>
        <color theme="1"/>
        <rFont val="Times New Roman"/>
        <family val="1"/>
      </rPr>
      <t>et al.</t>
    </r>
    <r>
      <rPr>
        <sz val="12"/>
        <color theme="1"/>
        <rFont val="Times New Roman"/>
        <family val="1"/>
      </rPr>
      <t xml:space="preserve"> No-tillage and direct seeding for super hybrid rice production in rice–oilseed rape cropping system. </t>
    </r>
    <r>
      <rPr>
        <i/>
        <sz val="12"/>
        <color theme="1"/>
        <rFont val="Times New Roman"/>
        <family val="1"/>
      </rPr>
      <t>Eur. J. Agron.</t>
    </r>
    <r>
      <rPr>
        <sz val="12"/>
        <color theme="1"/>
        <rFont val="Times New Roman"/>
        <family val="1"/>
      </rPr>
      <t xml:space="preserve"> </t>
    </r>
    <r>
      <rPr>
        <b/>
        <sz val="12"/>
        <color theme="1"/>
        <rFont val="Times New Roman"/>
        <family val="1"/>
      </rPr>
      <t>34</t>
    </r>
    <r>
      <rPr>
        <sz val="12"/>
        <color theme="1"/>
        <rFont val="Times New Roman"/>
        <family val="1"/>
      </rPr>
      <t>, 278–286 (2011).</t>
    </r>
  </si>
  <si>
    <r>
      <t xml:space="preserve">Huang, M. </t>
    </r>
    <r>
      <rPr>
        <i/>
        <sz val="12"/>
        <color theme="1"/>
        <rFont val="Times New Roman"/>
        <family val="1"/>
      </rPr>
      <t>et al.</t>
    </r>
    <r>
      <rPr>
        <sz val="12"/>
        <color theme="1"/>
        <rFont val="Times New Roman"/>
        <family val="1"/>
      </rPr>
      <t xml:space="preserve"> Effect of tillage on soil and crop properties of wet-seeded flooded rice. </t>
    </r>
    <r>
      <rPr>
        <i/>
        <sz val="12"/>
        <color theme="1"/>
        <rFont val="Times New Roman"/>
        <family val="1"/>
      </rPr>
      <t>F. Crop. Res.</t>
    </r>
    <r>
      <rPr>
        <sz val="12"/>
        <color theme="1"/>
        <rFont val="Times New Roman"/>
        <family val="1"/>
      </rPr>
      <t xml:space="preserve"> </t>
    </r>
    <r>
      <rPr>
        <b/>
        <sz val="12"/>
        <color theme="1"/>
        <rFont val="Times New Roman"/>
        <family val="1"/>
      </rPr>
      <t>129</t>
    </r>
    <r>
      <rPr>
        <sz val="12"/>
        <color theme="1"/>
        <rFont val="Times New Roman"/>
        <family val="1"/>
      </rPr>
      <t>, 28–38 (2012).</t>
    </r>
  </si>
  <si>
    <r>
      <t xml:space="preserve">Huang, X., Wang, L., Yang, L. &amp; Kravchenko, A. N. Management effects on relationships of crop yields with topography represented by wetness index and precipitation.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1463–1471 (2008).</t>
    </r>
  </si>
  <si>
    <r>
      <t xml:space="preserve">Hunt, P. G., Bauer, P. J., Matheny, T. A. &amp; Busscher, W. J. Crop yield and nitrogen accumulation response to tillage of a coastal plain soil. </t>
    </r>
    <r>
      <rPr>
        <i/>
        <sz val="12"/>
        <color theme="1"/>
        <rFont val="Times New Roman"/>
        <family val="1"/>
      </rPr>
      <t>Crop Sci.</t>
    </r>
    <r>
      <rPr>
        <sz val="12"/>
        <color theme="1"/>
        <rFont val="Times New Roman"/>
        <family val="1"/>
      </rPr>
      <t xml:space="preserve"> </t>
    </r>
    <r>
      <rPr>
        <b/>
        <sz val="12"/>
        <color theme="1"/>
        <rFont val="Times New Roman"/>
        <family val="1"/>
      </rPr>
      <t>44</t>
    </r>
    <r>
      <rPr>
        <sz val="12"/>
        <color theme="1"/>
        <rFont val="Times New Roman"/>
        <family val="1"/>
      </rPr>
      <t>, 1673–1681 (2004).</t>
    </r>
  </si>
  <si>
    <r>
      <t xml:space="preserve">Huynh, H. T., Hufnagel, J., Wurbs, A. &amp; Bellingrath-Kimura, S. D. Influences of soil tillage, irrigation and crop rotation on maize biomass yield in a 9-year field study in Müncheberg, Germany. </t>
    </r>
    <r>
      <rPr>
        <i/>
        <sz val="12"/>
        <color theme="1"/>
        <rFont val="Times New Roman"/>
        <family val="1"/>
      </rPr>
      <t>F. Crop. Res.</t>
    </r>
    <r>
      <rPr>
        <sz val="12"/>
        <color theme="1"/>
        <rFont val="Times New Roman"/>
        <family val="1"/>
      </rPr>
      <t xml:space="preserve"> </t>
    </r>
    <r>
      <rPr>
        <b/>
        <sz val="12"/>
        <color theme="1"/>
        <rFont val="Times New Roman"/>
        <family val="1"/>
      </rPr>
      <t>241</t>
    </r>
    <r>
      <rPr>
        <sz val="12"/>
        <color theme="1"/>
        <rFont val="Times New Roman"/>
        <family val="1"/>
      </rPr>
      <t>, 107565 (2019).</t>
    </r>
  </si>
  <si>
    <r>
      <t xml:space="preserve">Iijima, M., Asai, T., Zegada-Lizarazu, W., Nakajima, Y. &amp; Hamada, Y. Productivity and water source of intercropped wheat and rice in a direct-sown sequential cropping system: the effects of no-tillage and drought. </t>
    </r>
    <r>
      <rPr>
        <i/>
        <sz val="12"/>
        <color theme="1"/>
        <rFont val="Times New Roman"/>
        <family val="1"/>
      </rPr>
      <t>Plant Prod. Sci.</t>
    </r>
    <r>
      <rPr>
        <sz val="12"/>
        <color theme="1"/>
        <rFont val="Times New Roman"/>
        <family val="1"/>
      </rPr>
      <t xml:space="preserve"> </t>
    </r>
    <r>
      <rPr>
        <b/>
        <sz val="12"/>
        <color theme="1"/>
        <rFont val="Times New Roman"/>
        <family val="1"/>
      </rPr>
      <t>8</t>
    </r>
    <r>
      <rPr>
        <sz val="12"/>
        <color theme="1"/>
        <rFont val="Times New Roman"/>
        <family val="1"/>
      </rPr>
      <t>, 368–374 (2005).</t>
    </r>
  </si>
  <si>
    <r>
      <t xml:space="preserve">Iqbal, M., Anwar-ul-Hassan &amp; Ibrahim, M. Effects of tillage systems and mulch on soil physical quality parameters and maize ( Zea mays L.) yield in semi-arid Pakistan. </t>
    </r>
    <r>
      <rPr>
        <i/>
        <sz val="12"/>
        <color theme="1"/>
        <rFont val="Times New Roman"/>
        <family val="1"/>
      </rPr>
      <t>Biol. Agric. Hortic.</t>
    </r>
    <r>
      <rPr>
        <sz val="12"/>
        <color theme="1"/>
        <rFont val="Times New Roman"/>
        <family val="1"/>
      </rPr>
      <t xml:space="preserve"> </t>
    </r>
    <r>
      <rPr>
        <b/>
        <sz val="12"/>
        <color theme="1"/>
        <rFont val="Times New Roman"/>
        <family val="1"/>
      </rPr>
      <t>25</t>
    </r>
    <r>
      <rPr>
        <sz val="12"/>
        <color theme="1"/>
        <rFont val="Times New Roman"/>
        <family val="1"/>
      </rPr>
      <t>, 311–325 (2008).</t>
    </r>
  </si>
  <si>
    <r>
      <t xml:space="preserve">Iragavarapu, T. K. &amp; Randall, G. W. Yield and nitrogen uptake of monocropped maize from a long-term tillage experiment on a poorly drained soil. </t>
    </r>
    <r>
      <rPr>
        <i/>
        <sz val="12"/>
        <color theme="1"/>
        <rFont val="Times New Roman"/>
        <family val="1"/>
      </rPr>
      <t>Soil Tillage Res.</t>
    </r>
    <r>
      <rPr>
        <sz val="12"/>
        <color theme="1"/>
        <rFont val="Times New Roman"/>
        <family val="1"/>
      </rPr>
      <t xml:space="preserve"> </t>
    </r>
    <r>
      <rPr>
        <b/>
        <sz val="12"/>
        <color theme="1"/>
        <rFont val="Times New Roman"/>
        <family val="1"/>
      </rPr>
      <t>34</t>
    </r>
    <r>
      <rPr>
        <sz val="12"/>
        <color theme="1"/>
        <rFont val="Times New Roman"/>
        <family val="1"/>
      </rPr>
      <t>, 145–156 (1995).</t>
    </r>
  </si>
  <si>
    <r>
      <t xml:space="preserve">Irmak, S., Kukal, M. S., Mohammed, A. T. &amp; Djaman, K. Disk-till vs. no-till maize evapotranspiration, microclimate, grain yield, production functions and water productivity. </t>
    </r>
    <r>
      <rPr>
        <i/>
        <sz val="12"/>
        <color theme="1"/>
        <rFont val="Times New Roman"/>
        <family val="1"/>
      </rPr>
      <t>Agric. Water Manag.</t>
    </r>
    <r>
      <rPr>
        <sz val="12"/>
        <color theme="1"/>
        <rFont val="Times New Roman"/>
        <family val="1"/>
      </rPr>
      <t xml:space="preserve"> </t>
    </r>
    <r>
      <rPr>
        <b/>
        <sz val="12"/>
        <color theme="1"/>
        <rFont val="Times New Roman"/>
        <family val="1"/>
      </rPr>
      <t>216</t>
    </r>
    <r>
      <rPr>
        <sz val="12"/>
        <color theme="1"/>
        <rFont val="Times New Roman"/>
        <family val="1"/>
      </rPr>
      <t>, 177–195 (2019).</t>
    </r>
  </si>
  <si>
    <r>
      <t xml:space="preserve">Ishaque, W. </t>
    </r>
    <r>
      <rPr>
        <i/>
        <sz val="12"/>
        <color theme="1"/>
        <rFont val="Times New Roman"/>
        <family val="1"/>
      </rPr>
      <t>et al.</t>
    </r>
    <r>
      <rPr>
        <sz val="12"/>
        <color theme="1"/>
        <rFont val="Times New Roman"/>
        <family val="1"/>
      </rPr>
      <t xml:space="preserve"> Short-term effects of tillage and residue management practices on dry matter yield and fate of 15N-urea in a continuous maize cropping system under subtropical conditions. </t>
    </r>
    <r>
      <rPr>
        <i/>
        <sz val="12"/>
        <color theme="1"/>
        <rFont val="Times New Roman"/>
        <family val="1"/>
      </rPr>
      <t>Soil Tillage Res.</t>
    </r>
    <r>
      <rPr>
        <sz val="12"/>
        <color theme="1"/>
        <rFont val="Times New Roman"/>
        <family val="1"/>
      </rPr>
      <t xml:space="preserve"> </t>
    </r>
    <r>
      <rPr>
        <b/>
        <sz val="12"/>
        <color theme="1"/>
        <rFont val="Times New Roman"/>
        <family val="1"/>
      </rPr>
      <t>182</t>
    </r>
    <r>
      <rPr>
        <sz val="12"/>
        <color theme="1"/>
        <rFont val="Times New Roman"/>
        <family val="1"/>
      </rPr>
      <t>, 78–85 (2018).</t>
    </r>
  </si>
  <si>
    <r>
      <t xml:space="preserve">Ismail, I., Blevins, R. L. &amp; Frye, W. W. Long-term no-tillage effects on soil properties and continuous corn yields. </t>
    </r>
    <r>
      <rPr>
        <i/>
        <sz val="12"/>
        <color theme="1"/>
        <rFont val="Times New Roman"/>
        <family val="1"/>
      </rPr>
      <t>Soil Sci. Soc. Am. J.</t>
    </r>
    <r>
      <rPr>
        <sz val="12"/>
        <color theme="1"/>
        <rFont val="Times New Roman"/>
        <family val="1"/>
      </rPr>
      <t xml:space="preserve"> </t>
    </r>
    <r>
      <rPr>
        <b/>
        <sz val="12"/>
        <color theme="1"/>
        <rFont val="Times New Roman"/>
        <family val="1"/>
      </rPr>
      <t>58</t>
    </r>
    <r>
      <rPr>
        <sz val="12"/>
        <color theme="1"/>
        <rFont val="Times New Roman"/>
        <family val="1"/>
      </rPr>
      <t>, 193–198 (1994).</t>
    </r>
  </si>
  <si>
    <r>
      <t xml:space="preserve">Issaka, F. </t>
    </r>
    <r>
      <rPr>
        <i/>
        <sz val="12"/>
        <color theme="1"/>
        <rFont val="Times New Roman"/>
        <family val="1"/>
      </rPr>
      <t>et al.</t>
    </r>
    <r>
      <rPr>
        <sz val="12"/>
        <color theme="1"/>
        <rFont val="Times New Roman"/>
        <family val="1"/>
      </rPr>
      <t xml:space="preserve"> Zero tillage improves soil properties, reduces nitrogen loss and increases productivity in a rice farmland in Ghana.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1–13 (2019).</t>
    </r>
  </si>
  <si>
    <r>
      <t xml:space="preserve">Izaurralde, R. C., Choudhary, M., Juma, N. G., McGill, W. B. &amp; Haderlein, L. Crop and nitrogen yield in legume-based rotations practiced with zero tillage and low-input methods. </t>
    </r>
    <r>
      <rPr>
        <i/>
        <sz val="12"/>
        <color theme="1"/>
        <rFont val="Times New Roman"/>
        <family val="1"/>
      </rPr>
      <t>Agron. J.</t>
    </r>
    <r>
      <rPr>
        <sz val="12"/>
        <color theme="1"/>
        <rFont val="Times New Roman"/>
        <family val="1"/>
      </rPr>
      <t xml:space="preserve"> </t>
    </r>
    <r>
      <rPr>
        <b/>
        <sz val="12"/>
        <color theme="1"/>
        <rFont val="Times New Roman"/>
        <family val="1"/>
      </rPr>
      <t>87</t>
    </r>
    <r>
      <rPr>
        <sz val="12"/>
        <color theme="1"/>
        <rFont val="Times New Roman"/>
        <family val="1"/>
      </rPr>
      <t>, 958–964 (1995).</t>
    </r>
  </si>
  <si>
    <r>
      <t xml:space="preserve">Izumi, Y., Uchida, K. &amp; Iijima, M. Crop production in successive wheat-soybean rotation with no-tillage practice in relation to the root system development. </t>
    </r>
    <r>
      <rPr>
        <i/>
        <sz val="12"/>
        <color theme="1"/>
        <rFont val="Times New Roman"/>
        <family val="1"/>
      </rPr>
      <t>Plant Prod. Sci.</t>
    </r>
    <r>
      <rPr>
        <sz val="12"/>
        <color theme="1"/>
        <rFont val="Times New Roman"/>
        <family val="1"/>
      </rPr>
      <t xml:space="preserve"> </t>
    </r>
    <r>
      <rPr>
        <b/>
        <sz val="12"/>
        <color theme="1"/>
        <rFont val="Times New Roman"/>
        <family val="1"/>
      </rPr>
      <t>7</t>
    </r>
    <r>
      <rPr>
        <sz val="12"/>
        <color theme="1"/>
        <rFont val="Times New Roman"/>
        <family val="1"/>
      </rPr>
      <t>, 329–336 (2004).</t>
    </r>
  </si>
  <si>
    <r>
      <t xml:space="preserve">Jat, M. L. </t>
    </r>
    <r>
      <rPr>
        <i/>
        <sz val="12"/>
        <color theme="1"/>
        <rFont val="Times New Roman"/>
        <family val="1"/>
      </rPr>
      <t>et al.</t>
    </r>
    <r>
      <rPr>
        <sz val="12"/>
        <color theme="1"/>
        <rFont val="Times New Roman"/>
        <family val="1"/>
      </rPr>
      <t xml:space="preserve"> Evaluation of precision land leveling and double zero-till systems in the rice-wheat rotation: Water use, productivity, profitability and soil physical properties. </t>
    </r>
    <r>
      <rPr>
        <i/>
        <sz val="12"/>
        <color theme="1"/>
        <rFont val="Times New Roman"/>
        <family val="1"/>
      </rPr>
      <t>Soil Tillage Res.</t>
    </r>
    <r>
      <rPr>
        <sz val="12"/>
        <color theme="1"/>
        <rFont val="Times New Roman"/>
        <family val="1"/>
      </rPr>
      <t xml:space="preserve"> </t>
    </r>
    <r>
      <rPr>
        <b/>
        <sz val="12"/>
        <color theme="1"/>
        <rFont val="Times New Roman"/>
        <family val="1"/>
      </rPr>
      <t>105</t>
    </r>
    <r>
      <rPr>
        <sz val="12"/>
        <color theme="1"/>
        <rFont val="Times New Roman"/>
        <family val="1"/>
      </rPr>
      <t>, 112–121 (2009).</t>
    </r>
  </si>
  <si>
    <r>
      <t xml:space="preserve">Jat, R. K. </t>
    </r>
    <r>
      <rPr>
        <i/>
        <sz val="12"/>
        <color theme="1"/>
        <rFont val="Times New Roman"/>
        <family val="1"/>
      </rPr>
      <t>et al.</t>
    </r>
    <r>
      <rPr>
        <sz val="12"/>
        <color theme="1"/>
        <rFont val="Times New Roman"/>
        <family val="1"/>
      </rPr>
      <t xml:space="preserve"> Ten years of conservation agriculture in a rice–maize rotation of Eastern Gangetic Plains of India: Yield trends, water productivity and economic profitability. </t>
    </r>
    <r>
      <rPr>
        <i/>
        <sz val="12"/>
        <color theme="1"/>
        <rFont val="Times New Roman"/>
        <family val="1"/>
      </rPr>
      <t>F. Crop. Res.</t>
    </r>
    <r>
      <rPr>
        <sz val="12"/>
        <color theme="1"/>
        <rFont val="Times New Roman"/>
        <family val="1"/>
      </rPr>
      <t xml:space="preserve"> </t>
    </r>
    <r>
      <rPr>
        <b/>
        <sz val="12"/>
        <color theme="1"/>
        <rFont val="Times New Roman"/>
        <family val="1"/>
      </rPr>
      <t>232</t>
    </r>
    <r>
      <rPr>
        <sz val="12"/>
        <color theme="1"/>
        <rFont val="Times New Roman"/>
        <family val="1"/>
      </rPr>
      <t>, 1–10 (2019).</t>
    </r>
  </si>
  <si>
    <r>
      <t xml:space="preserve">Jones, M. J. Comparison of conservation tillage systems in barley-based cropping systems in Northern Syria. </t>
    </r>
    <r>
      <rPr>
        <i/>
        <sz val="12"/>
        <color theme="1"/>
        <rFont val="Times New Roman"/>
        <family val="1"/>
      </rPr>
      <t>Exp. Agric.</t>
    </r>
    <r>
      <rPr>
        <sz val="12"/>
        <color theme="1"/>
        <rFont val="Times New Roman"/>
        <family val="1"/>
      </rPr>
      <t xml:space="preserve"> </t>
    </r>
    <r>
      <rPr>
        <b/>
        <sz val="12"/>
        <color theme="1"/>
        <rFont val="Times New Roman"/>
        <family val="1"/>
      </rPr>
      <t>36</t>
    </r>
    <r>
      <rPr>
        <sz val="12"/>
        <color theme="1"/>
        <rFont val="Times New Roman"/>
        <family val="1"/>
      </rPr>
      <t>, 15–26 (2000).</t>
    </r>
  </si>
  <si>
    <r>
      <t xml:space="preserve">Jones, O. R. &amp; Popham, T. W. Cropping and tillage systems for dryland grain production in the Southern High Plains. </t>
    </r>
    <r>
      <rPr>
        <i/>
        <sz val="12"/>
        <color theme="1"/>
        <rFont val="Times New Roman"/>
        <family val="1"/>
      </rPr>
      <t>Agron. J.</t>
    </r>
    <r>
      <rPr>
        <sz val="12"/>
        <color theme="1"/>
        <rFont val="Times New Roman"/>
        <family val="1"/>
      </rPr>
      <t xml:space="preserve"> </t>
    </r>
    <r>
      <rPr>
        <b/>
        <sz val="12"/>
        <color theme="1"/>
        <rFont val="Times New Roman"/>
        <family val="1"/>
      </rPr>
      <t>89</t>
    </r>
    <r>
      <rPr>
        <sz val="12"/>
        <color theme="1"/>
        <rFont val="Times New Roman"/>
        <family val="1"/>
      </rPr>
      <t>, 222–232 (1997).</t>
    </r>
  </si>
  <si>
    <r>
      <t xml:space="preserve">Jug, D. </t>
    </r>
    <r>
      <rPr>
        <i/>
        <sz val="12"/>
        <color theme="1"/>
        <rFont val="Times New Roman"/>
        <family val="1"/>
      </rPr>
      <t>et al.</t>
    </r>
    <r>
      <rPr>
        <sz val="12"/>
        <color theme="1"/>
        <rFont val="Times New Roman"/>
        <family val="1"/>
      </rPr>
      <t xml:space="preserve"> Effect of conservation tillage on crop productivity and nitrogen use efficiency. </t>
    </r>
    <r>
      <rPr>
        <i/>
        <sz val="12"/>
        <color theme="1"/>
        <rFont val="Times New Roman"/>
        <family val="1"/>
      </rPr>
      <t>Soil Tillage Res.</t>
    </r>
    <r>
      <rPr>
        <sz val="12"/>
        <color theme="1"/>
        <rFont val="Times New Roman"/>
        <family val="1"/>
      </rPr>
      <t xml:space="preserve"> </t>
    </r>
    <r>
      <rPr>
        <b/>
        <sz val="12"/>
        <color theme="1"/>
        <rFont val="Times New Roman"/>
        <family val="1"/>
      </rPr>
      <t>194</t>
    </r>
    <r>
      <rPr>
        <sz val="12"/>
        <color theme="1"/>
        <rFont val="Times New Roman"/>
        <family val="1"/>
      </rPr>
      <t>, 104327 (2019).</t>
    </r>
  </si>
  <si>
    <r>
      <t xml:space="preserve">Kabanza, A. K. &amp; Rwehumbiza, F. B. R. Assessment of the contribution of tied ridges and farmyard manure application to sorghum production in semi-arid areas of Tanzania. </t>
    </r>
    <r>
      <rPr>
        <i/>
        <sz val="12"/>
        <color theme="1"/>
        <rFont val="Times New Roman"/>
        <family val="1"/>
      </rPr>
      <t>Adv. Integr. Soil Fertil. Manag. sub-Saharan Africa Challenges Oppor.</t>
    </r>
    <r>
      <rPr>
        <sz val="12"/>
        <color theme="1"/>
        <rFont val="Times New Roman"/>
        <family val="1"/>
      </rPr>
      <t xml:space="preserve"> 723–730 (2007) doi:10.1007/978-1-4020-5760-1_67.</t>
    </r>
  </si>
  <si>
    <r>
      <t xml:space="preserve">Kabir, Z., O’Halloran, I. P., Fyles, J. W. &amp; Hamel, C. Seasonal changes of arbuscular mycorrhizal fungi as affected by tillage practices and fertilization: Hyphal density and mycorrhizal root colonization. </t>
    </r>
    <r>
      <rPr>
        <i/>
        <sz val="12"/>
        <color theme="1"/>
        <rFont val="Times New Roman"/>
        <family val="1"/>
      </rPr>
      <t>Plant Soil</t>
    </r>
    <r>
      <rPr>
        <sz val="12"/>
        <color theme="1"/>
        <rFont val="Times New Roman"/>
        <family val="1"/>
      </rPr>
      <t xml:space="preserve"> </t>
    </r>
    <r>
      <rPr>
        <b/>
        <sz val="12"/>
        <color theme="1"/>
        <rFont val="Times New Roman"/>
        <family val="1"/>
      </rPr>
      <t>192</t>
    </r>
    <r>
      <rPr>
        <sz val="12"/>
        <color theme="1"/>
        <rFont val="Times New Roman"/>
        <family val="1"/>
      </rPr>
      <t>, 285–293 (1997).</t>
    </r>
  </si>
  <si>
    <r>
      <t xml:space="preserve">Kafesu, N. </t>
    </r>
    <r>
      <rPr>
        <i/>
        <sz val="12"/>
        <color theme="1"/>
        <rFont val="Times New Roman"/>
        <family val="1"/>
      </rPr>
      <t>et al.</t>
    </r>
    <r>
      <rPr>
        <sz val="12"/>
        <color theme="1"/>
        <rFont val="Times New Roman"/>
        <family val="1"/>
      </rPr>
      <t xml:space="preserve"> Comparative fertilization effects on maize productivity under conservation and conventional tillage on sandy soils in a smallholder cropping system in Zimbabwe. </t>
    </r>
    <r>
      <rPr>
        <i/>
        <sz val="12"/>
        <color theme="1"/>
        <rFont val="Times New Roman"/>
        <family val="1"/>
      </rPr>
      <t>F. Crop. Res.</t>
    </r>
    <r>
      <rPr>
        <sz val="12"/>
        <color theme="1"/>
        <rFont val="Times New Roman"/>
        <family val="1"/>
      </rPr>
      <t xml:space="preserve"> </t>
    </r>
    <r>
      <rPr>
        <b/>
        <sz val="12"/>
        <color theme="1"/>
        <rFont val="Times New Roman"/>
        <family val="1"/>
      </rPr>
      <t>218</t>
    </r>
    <r>
      <rPr>
        <sz val="12"/>
        <color theme="1"/>
        <rFont val="Times New Roman"/>
        <family val="1"/>
      </rPr>
      <t>, 106–114 (2018).</t>
    </r>
  </si>
  <si>
    <r>
      <t xml:space="preserve">Kandel, T. P., Gowda, P. H., Northup, B. K. &amp; Rocateli, A. C. Impacts of tillage systems, nitrogen fertilizer rates and a legume green manure on light interception and yield of winter wheat. </t>
    </r>
    <r>
      <rPr>
        <i/>
        <sz val="12"/>
        <color theme="1"/>
        <rFont val="Times New Roman"/>
        <family val="1"/>
      </rPr>
      <t>Cogent Food Agric.</t>
    </r>
    <r>
      <rPr>
        <sz val="12"/>
        <color theme="1"/>
        <rFont val="Times New Roman"/>
        <family val="1"/>
      </rPr>
      <t xml:space="preserve"> </t>
    </r>
    <r>
      <rPr>
        <b/>
        <sz val="12"/>
        <color theme="1"/>
        <rFont val="Times New Roman"/>
        <family val="1"/>
      </rPr>
      <t>5</t>
    </r>
    <r>
      <rPr>
        <sz val="12"/>
        <color theme="1"/>
        <rFont val="Times New Roman"/>
        <family val="1"/>
      </rPr>
      <t>, 1–13 (2019).</t>
    </r>
  </si>
  <si>
    <r>
      <t xml:space="preserve">Karlen, D. L., Hunt, P. G. &amp; Matheny, T. A. Fertilizer 15 nitrogen recovery by corn, wheat, and cotton grown with and without pre‐plant tillage on norfolk loamy sand. </t>
    </r>
    <r>
      <rPr>
        <i/>
        <sz val="12"/>
        <color theme="1"/>
        <rFont val="Times New Roman"/>
        <family val="1"/>
      </rPr>
      <t>Crop Sci.</t>
    </r>
    <r>
      <rPr>
        <sz val="12"/>
        <color theme="1"/>
        <rFont val="Times New Roman"/>
        <family val="1"/>
      </rPr>
      <t xml:space="preserve"> </t>
    </r>
    <r>
      <rPr>
        <b/>
        <sz val="12"/>
        <color theme="1"/>
        <rFont val="Times New Roman"/>
        <family val="1"/>
      </rPr>
      <t>36</t>
    </r>
    <r>
      <rPr>
        <sz val="12"/>
        <color theme="1"/>
        <rFont val="Times New Roman"/>
        <family val="1"/>
      </rPr>
      <t>, 975–981 (1996).</t>
    </r>
  </si>
  <si>
    <r>
      <t xml:space="preserve">Karlen, D. L., Berry, E. C., Colvin, T. S. &amp; Kanwar, R. S. Twelve‐year tillage and crop rotation effects on yields and soil chemical properties in northeast Iowa. </t>
    </r>
    <r>
      <rPr>
        <i/>
        <sz val="12"/>
        <color theme="1"/>
        <rFont val="Times New Roman"/>
        <family val="1"/>
      </rPr>
      <t>Commun. Soil Sci. Plant Anal.</t>
    </r>
    <r>
      <rPr>
        <sz val="12"/>
        <color theme="1"/>
        <rFont val="Times New Roman"/>
        <family val="1"/>
      </rPr>
      <t xml:space="preserve"> </t>
    </r>
    <r>
      <rPr>
        <b/>
        <sz val="12"/>
        <color theme="1"/>
        <rFont val="Times New Roman"/>
        <family val="1"/>
      </rPr>
      <t>22</t>
    </r>
    <r>
      <rPr>
        <sz val="12"/>
        <color theme="1"/>
        <rFont val="Times New Roman"/>
        <family val="1"/>
      </rPr>
      <t>, 1985–2003 (1991).</t>
    </r>
  </si>
  <si>
    <r>
      <t xml:space="preserve">Karlen, D. L., Kovar, J. L., Cambardella, C. A. &amp; Colvin, T. S. Thirty-year tillage effects on crop yield and soil fertility indicators. </t>
    </r>
    <r>
      <rPr>
        <i/>
        <sz val="12"/>
        <color theme="1"/>
        <rFont val="Times New Roman"/>
        <family val="1"/>
      </rPr>
      <t>Soil Tillage Res.</t>
    </r>
    <r>
      <rPr>
        <sz val="12"/>
        <color theme="1"/>
        <rFont val="Times New Roman"/>
        <family val="1"/>
      </rPr>
      <t xml:space="preserve"> </t>
    </r>
    <r>
      <rPr>
        <b/>
        <sz val="12"/>
        <color theme="1"/>
        <rFont val="Times New Roman"/>
        <family val="1"/>
      </rPr>
      <t>130</t>
    </r>
    <r>
      <rPr>
        <sz val="12"/>
        <color theme="1"/>
        <rFont val="Times New Roman"/>
        <family val="1"/>
      </rPr>
      <t>, 24–41 (2013).</t>
    </r>
  </si>
  <si>
    <r>
      <t xml:space="preserve">Karunatilake, U., van Es, H. M. &amp; Schindelbeck, R. R. Soil and maize response to plow and no-tillage after alfalfa-to-maize conversion on a clay loam soil in New York. </t>
    </r>
    <r>
      <rPr>
        <i/>
        <sz val="12"/>
        <color theme="1"/>
        <rFont val="Times New Roman"/>
        <family val="1"/>
      </rPr>
      <t>Soil Tillage Res.</t>
    </r>
    <r>
      <rPr>
        <sz val="12"/>
        <color theme="1"/>
        <rFont val="Times New Roman"/>
        <family val="1"/>
      </rPr>
      <t xml:space="preserve"> </t>
    </r>
    <r>
      <rPr>
        <b/>
        <sz val="12"/>
        <color theme="1"/>
        <rFont val="Times New Roman"/>
        <family val="1"/>
      </rPr>
      <t>55</t>
    </r>
    <r>
      <rPr>
        <sz val="12"/>
        <color theme="1"/>
        <rFont val="Times New Roman"/>
        <family val="1"/>
      </rPr>
      <t>, 31–42 (2000).</t>
    </r>
  </si>
  <si>
    <r>
      <t xml:space="preserve">Kennedy, C. W. &amp; Hutchinson, R. L. Cotton growth and development under different tillage systems. </t>
    </r>
    <r>
      <rPr>
        <i/>
        <sz val="12"/>
        <color theme="1"/>
        <rFont val="Times New Roman"/>
        <family val="1"/>
      </rPr>
      <t>Crop Sci.</t>
    </r>
    <r>
      <rPr>
        <sz val="12"/>
        <color theme="1"/>
        <rFont val="Times New Roman"/>
        <family val="1"/>
      </rPr>
      <t xml:space="preserve"> </t>
    </r>
    <r>
      <rPr>
        <b/>
        <sz val="12"/>
        <color theme="1"/>
        <rFont val="Times New Roman"/>
        <family val="1"/>
      </rPr>
      <t>41</t>
    </r>
    <r>
      <rPr>
        <sz val="12"/>
        <color theme="1"/>
        <rFont val="Times New Roman"/>
        <family val="1"/>
      </rPr>
      <t>, 1162–1168 (2001).</t>
    </r>
  </si>
  <si>
    <r>
      <t xml:space="preserve">Kihara, J., Bationo, A., Mugendi, D. N., Martius, C. &amp; Vlek, P. L. G. Conservation tillage, local organic resources and nitrogen fertilizer combinations affect maize productivity, soil structure and nutrient balances in semi-arid Kenya. </t>
    </r>
    <r>
      <rPr>
        <i/>
        <sz val="12"/>
        <color theme="1"/>
        <rFont val="Times New Roman"/>
        <family val="1"/>
      </rPr>
      <t>Nutr. Cycl. Agroecosystems</t>
    </r>
    <r>
      <rPr>
        <sz val="12"/>
        <color theme="1"/>
        <rFont val="Times New Roman"/>
        <family val="1"/>
      </rPr>
      <t xml:space="preserve"> </t>
    </r>
    <r>
      <rPr>
        <b/>
        <sz val="12"/>
        <color theme="1"/>
        <rFont val="Times New Roman"/>
        <family val="1"/>
      </rPr>
      <t>90</t>
    </r>
    <r>
      <rPr>
        <sz val="12"/>
        <color theme="1"/>
        <rFont val="Times New Roman"/>
        <family val="1"/>
      </rPr>
      <t>, 213–225 (2011).</t>
    </r>
  </si>
  <si>
    <r>
      <t xml:space="preserve">Kisić, I., Bašić, F., Birkas, M., Jurišić, A. &amp; Bićanić, V. Crop yield and plant density under different tillage systems. </t>
    </r>
    <r>
      <rPr>
        <i/>
        <sz val="12"/>
        <color theme="1"/>
        <rFont val="Times New Roman"/>
        <family val="1"/>
      </rPr>
      <t>Agric. Conspec. Sci.</t>
    </r>
    <r>
      <rPr>
        <sz val="12"/>
        <color theme="1"/>
        <rFont val="Times New Roman"/>
        <family val="1"/>
      </rPr>
      <t xml:space="preserve"> </t>
    </r>
    <r>
      <rPr>
        <b/>
        <sz val="12"/>
        <color theme="1"/>
        <rFont val="Times New Roman"/>
        <family val="1"/>
      </rPr>
      <t>75</t>
    </r>
    <r>
      <rPr>
        <sz val="12"/>
        <color theme="1"/>
        <rFont val="Times New Roman"/>
        <family val="1"/>
      </rPr>
      <t>, 1–7 (2010).</t>
    </r>
  </si>
  <si>
    <r>
      <t xml:space="preserve">Kitonyo, O. M., Sadras, V. O., Zhou, Y. &amp; Denton, M. D. Nitrogen fertilization modifies maize yield response to tillage and stubble in a sub-humid tropical environment. </t>
    </r>
    <r>
      <rPr>
        <i/>
        <sz val="12"/>
        <color theme="1"/>
        <rFont val="Times New Roman"/>
        <family val="1"/>
      </rPr>
      <t>F. Crop. Res.</t>
    </r>
    <r>
      <rPr>
        <sz val="12"/>
        <color theme="1"/>
        <rFont val="Times New Roman"/>
        <family val="1"/>
      </rPr>
      <t xml:space="preserve"> </t>
    </r>
    <r>
      <rPr>
        <b/>
        <sz val="12"/>
        <color theme="1"/>
        <rFont val="Times New Roman"/>
        <family val="1"/>
      </rPr>
      <t>223</t>
    </r>
    <r>
      <rPr>
        <sz val="12"/>
        <color theme="1"/>
        <rFont val="Times New Roman"/>
        <family val="1"/>
      </rPr>
      <t>, 113–124 (2018).</t>
    </r>
  </si>
  <si>
    <r>
      <t xml:space="preserve">Kladivko, E. J., Griffith, D. R. &amp; Mannering, J. V. Conservation tillage effects on soil properties and yield of corn and soya beans in Indiana.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277–287 (1986).</t>
    </r>
  </si>
  <si>
    <r>
      <t xml:space="preserve">Knight, C. W. &amp; Lewis, C. E. Conservation tillage in the Subarctic. </t>
    </r>
    <r>
      <rPr>
        <i/>
        <sz val="12"/>
        <color theme="1"/>
        <rFont val="Times New Roman"/>
        <family val="1"/>
      </rPr>
      <t>Soil Tillage Res.</t>
    </r>
    <r>
      <rPr>
        <sz val="12"/>
        <color theme="1"/>
        <rFont val="Times New Roman"/>
        <family val="1"/>
      </rPr>
      <t xml:space="preserve"> </t>
    </r>
    <r>
      <rPr>
        <b/>
        <sz val="12"/>
        <color theme="1"/>
        <rFont val="Times New Roman"/>
        <family val="1"/>
      </rPr>
      <t>7</t>
    </r>
    <r>
      <rPr>
        <sz val="12"/>
        <color theme="1"/>
        <rFont val="Times New Roman"/>
        <family val="1"/>
      </rPr>
      <t>, 341–353 (1986).</t>
    </r>
  </si>
  <si>
    <r>
      <t xml:space="preserve">Kobayashi, H., Miura, S. &amp; Oyanagi, A. Effects of winter barley as a cover crop on the weed vegetation in a no-tillage soybean. </t>
    </r>
    <r>
      <rPr>
        <i/>
        <sz val="12"/>
        <color theme="1"/>
        <rFont val="Times New Roman"/>
        <family val="1"/>
      </rPr>
      <t>Weed Biology and Management</t>
    </r>
    <r>
      <rPr>
        <sz val="12"/>
        <color theme="1"/>
        <rFont val="Times New Roman"/>
        <family val="1"/>
      </rPr>
      <t xml:space="preserve"> vol. 4 195–205 (2004).</t>
    </r>
  </si>
  <si>
    <r>
      <t xml:space="preserve">Korucu, T. &amp; Merdun, H. Effects of Tillage Systems on Wheat Yield and Residue in Turkey. </t>
    </r>
    <r>
      <rPr>
        <i/>
        <sz val="12"/>
        <color theme="1"/>
        <rFont val="Times New Roman"/>
        <family val="1"/>
      </rPr>
      <t>J. Anim. Vet. Adv.</t>
    </r>
    <r>
      <rPr>
        <sz val="12"/>
        <color theme="1"/>
        <rFont val="Times New Roman"/>
        <family val="1"/>
      </rPr>
      <t xml:space="preserve"> </t>
    </r>
    <r>
      <rPr>
        <b/>
        <sz val="12"/>
        <color theme="1"/>
        <rFont val="Times New Roman"/>
        <family val="1"/>
      </rPr>
      <t>8</t>
    </r>
    <r>
      <rPr>
        <sz val="12"/>
        <color theme="1"/>
        <rFont val="Times New Roman"/>
        <family val="1"/>
      </rPr>
      <t>, 1973–1978 (2009).</t>
    </r>
  </si>
  <si>
    <r>
      <t xml:space="preserve">Kumudini, S., Grabau, L., Van Sanford, D. &amp; Omielan, J. Analysis of yield-formation processes under no-till and conventional tillage for soft red winter wheat in the south-central region.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1026–1032 (2008).</t>
    </r>
  </si>
  <si>
    <r>
      <t xml:space="preserve">Kurle, J. E., Grau, C. R., Oplinger, E. S. &amp; Mengistu, A. Tillage, crop sequence, and cultivar effects on sclerotinia stem rot incidence and yield in soybean.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973–982 (2001).</t>
    </r>
  </si>
  <si>
    <r>
      <t xml:space="preserve">Kushwaha, C. P. &amp; Singh, K. P. Crop productivity and soil fertility in a tropical dryland agro-ecosystem: Impact of residue and tillage management. </t>
    </r>
    <r>
      <rPr>
        <i/>
        <sz val="12"/>
        <color theme="1"/>
        <rFont val="Times New Roman"/>
        <family val="1"/>
      </rPr>
      <t>Exp. Agric.</t>
    </r>
    <r>
      <rPr>
        <sz val="12"/>
        <color theme="1"/>
        <rFont val="Times New Roman"/>
        <family val="1"/>
      </rPr>
      <t xml:space="preserve"> </t>
    </r>
    <r>
      <rPr>
        <b/>
        <sz val="12"/>
        <color theme="1"/>
        <rFont val="Times New Roman"/>
        <family val="1"/>
      </rPr>
      <t>41</t>
    </r>
    <r>
      <rPr>
        <sz val="12"/>
        <color theme="1"/>
        <rFont val="Times New Roman"/>
        <family val="1"/>
      </rPr>
      <t>, 39–50 (2005).</t>
    </r>
  </si>
  <si>
    <r>
      <t xml:space="preserve">Kutcher, H. R., Johnston, A. M., Bailey, K. L. &amp; Malhi, S. S. Managing crop losses from plant diseases with foliar fungicides, rotation and tillage on a Black Chernozem in Saskatchewan, Canada. </t>
    </r>
    <r>
      <rPr>
        <i/>
        <sz val="12"/>
        <color theme="1"/>
        <rFont val="Times New Roman"/>
        <family val="1"/>
      </rPr>
      <t>F. Crop. Res.</t>
    </r>
    <r>
      <rPr>
        <sz val="12"/>
        <color theme="1"/>
        <rFont val="Times New Roman"/>
        <family val="1"/>
      </rPr>
      <t xml:space="preserve"> </t>
    </r>
    <r>
      <rPr>
        <b/>
        <sz val="12"/>
        <color theme="1"/>
        <rFont val="Times New Roman"/>
        <family val="1"/>
      </rPr>
      <t>124</t>
    </r>
    <r>
      <rPr>
        <sz val="12"/>
        <color theme="1"/>
        <rFont val="Times New Roman"/>
        <family val="1"/>
      </rPr>
      <t>, 205–212 (2011).</t>
    </r>
  </si>
  <si>
    <r>
      <t xml:space="preserve">Lafond, G. P., May, W. E., Stevenson, F. C. &amp; Derksen, D. A. Effects of tillage systems and rotations on crop production for a thin Black Chernozem in the Canadian Prairies. </t>
    </r>
    <r>
      <rPr>
        <i/>
        <sz val="12"/>
        <color theme="1"/>
        <rFont val="Times New Roman"/>
        <family val="1"/>
      </rPr>
      <t>Soil Tillage Res.</t>
    </r>
    <r>
      <rPr>
        <sz val="12"/>
        <color theme="1"/>
        <rFont val="Times New Roman"/>
        <family val="1"/>
      </rPr>
      <t xml:space="preserve"> </t>
    </r>
    <r>
      <rPr>
        <b/>
        <sz val="12"/>
        <color theme="1"/>
        <rFont val="Times New Roman"/>
        <family val="1"/>
      </rPr>
      <t>89</t>
    </r>
    <r>
      <rPr>
        <sz val="12"/>
        <color theme="1"/>
        <rFont val="Times New Roman"/>
        <family val="1"/>
      </rPr>
      <t>, 232–245 (2006).</t>
    </r>
  </si>
  <si>
    <r>
      <t xml:space="preserve">Lal, R. Axle load and tillage effects on crop yields on a Mollic Ochraqualf in Northwest Ohio. </t>
    </r>
    <r>
      <rPr>
        <i/>
        <sz val="12"/>
        <color theme="1"/>
        <rFont val="Times New Roman"/>
        <family val="1"/>
      </rPr>
      <t>Soil Tillage Res.</t>
    </r>
    <r>
      <rPr>
        <sz val="12"/>
        <color theme="1"/>
        <rFont val="Times New Roman"/>
        <family val="1"/>
      </rPr>
      <t xml:space="preserve"> </t>
    </r>
    <r>
      <rPr>
        <b/>
        <sz val="12"/>
        <color theme="1"/>
        <rFont val="Times New Roman"/>
        <family val="1"/>
      </rPr>
      <t>37</t>
    </r>
    <r>
      <rPr>
        <sz val="12"/>
        <color theme="1"/>
        <rFont val="Times New Roman"/>
        <family val="1"/>
      </rPr>
      <t>, 143–160 (1996).</t>
    </r>
  </si>
  <si>
    <r>
      <t xml:space="preserve">Lal, R. Long-term tillage and maize monoculture effects on a tropical Alfisol in western Nigeria. I. Crop yield and soil physical properties. </t>
    </r>
    <r>
      <rPr>
        <i/>
        <sz val="12"/>
        <color theme="1"/>
        <rFont val="Times New Roman"/>
        <family val="1"/>
      </rPr>
      <t>Soil Tillage Res.</t>
    </r>
    <r>
      <rPr>
        <sz val="12"/>
        <color theme="1"/>
        <rFont val="Times New Roman"/>
        <family val="1"/>
      </rPr>
      <t xml:space="preserve"> </t>
    </r>
    <r>
      <rPr>
        <b/>
        <sz val="12"/>
        <color theme="1"/>
        <rFont val="Times New Roman"/>
        <family val="1"/>
      </rPr>
      <t>42</t>
    </r>
    <r>
      <rPr>
        <sz val="12"/>
        <color theme="1"/>
        <rFont val="Times New Roman"/>
        <family val="1"/>
      </rPr>
      <t>, 145–160 (1997).</t>
    </r>
  </si>
  <si>
    <r>
      <t xml:space="preserve">Lal, R. Soil degradative effects of slope length and tillage methods on alfisols in western Nigeria. I. Runoff, erosion and crop response. </t>
    </r>
    <r>
      <rPr>
        <i/>
        <sz val="12"/>
        <color theme="1"/>
        <rFont val="Times New Roman"/>
        <family val="1"/>
      </rPr>
      <t>L. Degrad. Dev.</t>
    </r>
    <r>
      <rPr>
        <sz val="12"/>
        <color theme="1"/>
        <rFont val="Times New Roman"/>
        <family val="1"/>
      </rPr>
      <t xml:space="preserve"> </t>
    </r>
    <r>
      <rPr>
        <b/>
        <sz val="12"/>
        <color theme="1"/>
        <rFont val="Times New Roman"/>
        <family val="1"/>
      </rPr>
      <t>8</t>
    </r>
    <r>
      <rPr>
        <sz val="12"/>
        <color theme="1"/>
        <rFont val="Times New Roman"/>
        <family val="1"/>
      </rPr>
      <t>, 201–219 (1997).</t>
    </r>
  </si>
  <si>
    <r>
      <t xml:space="preserve">Lal, R. &amp; Ahmadi, M. Axle load and tillage effects on crop yield for two soils in central Ohio. </t>
    </r>
    <r>
      <rPr>
        <i/>
        <sz val="12"/>
        <color theme="1"/>
        <rFont val="Times New Roman"/>
        <family val="1"/>
      </rPr>
      <t>Soil Tillage Res.</t>
    </r>
    <r>
      <rPr>
        <sz val="12"/>
        <color theme="1"/>
        <rFont val="Times New Roman"/>
        <family val="1"/>
      </rPr>
      <t xml:space="preserve"> </t>
    </r>
    <r>
      <rPr>
        <b/>
        <sz val="12"/>
        <color theme="1"/>
        <rFont val="Times New Roman"/>
        <family val="1"/>
      </rPr>
      <t>54</t>
    </r>
    <r>
      <rPr>
        <sz val="12"/>
        <color theme="1"/>
        <rFont val="Times New Roman"/>
        <family val="1"/>
      </rPr>
      <t>, 111–119 (2000).</t>
    </r>
  </si>
  <si>
    <r>
      <t xml:space="preserve">Lal, R., Logan, T. J. &amp; Fausey, N. R. Long-term tillage and wheel traffic effects on a poorly drained mollic ochraqualf in northwest Ohio. 1. Soil physical properties, root distribution and grain yield of corn and soybean. </t>
    </r>
    <r>
      <rPr>
        <i/>
        <sz val="12"/>
        <color theme="1"/>
        <rFont val="Times New Roman"/>
        <family val="1"/>
      </rPr>
      <t>Soil Tillage Res.</t>
    </r>
    <r>
      <rPr>
        <sz val="12"/>
        <color theme="1"/>
        <rFont val="Times New Roman"/>
        <family val="1"/>
      </rPr>
      <t xml:space="preserve"> </t>
    </r>
    <r>
      <rPr>
        <b/>
        <sz val="12"/>
        <color theme="1"/>
        <rFont val="Times New Roman"/>
        <family val="1"/>
      </rPr>
      <t>14</t>
    </r>
    <r>
      <rPr>
        <sz val="12"/>
        <color theme="1"/>
        <rFont val="Times New Roman"/>
        <family val="1"/>
      </rPr>
      <t>, 341–358 (1989).</t>
    </r>
  </si>
  <si>
    <r>
      <t xml:space="preserve">Lampurlanés, J., Angás, P. &amp; Cantero-Martı́nez, C. Root growth, soil water content and yield of barley under different tillage systems on two soils in semiarid conditions. </t>
    </r>
    <r>
      <rPr>
        <i/>
        <sz val="12"/>
        <color theme="1"/>
        <rFont val="Times New Roman"/>
        <family val="1"/>
      </rPr>
      <t>F. Crop. Res.</t>
    </r>
    <r>
      <rPr>
        <sz val="12"/>
        <color theme="1"/>
        <rFont val="Times New Roman"/>
        <family val="1"/>
      </rPr>
      <t xml:space="preserve"> </t>
    </r>
    <r>
      <rPr>
        <b/>
        <sz val="12"/>
        <color theme="1"/>
        <rFont val="Times New Roman"/>
        <family val="1"/>
      </rPr>
      <t>69</t>
    </r>
    <r>
      <rPr>
        <sz val="12"/>
        <color theme="1"/>
        <rFont val="Times New Roman"/>
        <family val="1"/>
      </rPr>
      <t>, 27–40 (2001).</t>
    </r>
  </si>
  <si>
    <r>
      <t xml:space="preserve">Landschoot, S. </t>
    </r>
    <r>
      <rPr>
        <i/>
        <sz val="12"/>
        <color theme="1"/>
        <rFont val="Times New Roman"/>
        <family val="1"/>
      </rPr>
      <t>et al.</t>
    </r>
    <r>
      <rPr>
        <sz val="12"/>
        <color theme="1"/>
        <rFont val="Times New Roman"/>
        <family val="1"/>
      </rPr>
      <t xml:space="preserve"> Does shifting from conventional to zero tillage in combination with a cover crop offers opportunities for silage maize cultivation in Flanders? </t>
    </r>
    <r>
      <rPr>
        <i/>
        <sz val="12"/>
        <color theme="1"/>
        <rFont val="Times New Roman"/>
        <family val="1"/>
      </rPr>
      <t>J. Plant Nutr. Soil Sci.</t>
    </r>
    <r>
      <rPr>
        <sz val="12"/>
        <color theme="1"/>
        <rFont val="Times New Roman"/>
        <family val="1"/>
      </rPr>
      <t xml:space="preserve"> </t>
    </r>
    <r>
      <rPr>
        <b/>
        <sz val="12"/>
        <color theme="1"/>
        <rFont val="Times New Roman"/>
        <family val="1"/>
      </rPr>
      <t>182</t>
    </r>
    <r>
      <rPr>
        <sz val="12"/>
        <color theme="1"/>
        <rFont val="Times New Roman"/>
        <family val="1"/>
      </rPr>
      <t>, 980–989 (2019).</t>
    </r>
  </si>
  <si>
    <r>
      <t xml:space="preserve">Latifmanesh, H. </t>
    </r>
    <r>
      <rPr>
        <i/>
        <sz val="12"/>
        <color theme="1"/>
        <rFont val="Times New Roman"/>
        <family val="1"/>
      </rPr>
      <t>et al.</t>
    </r>
    <r>
      <rPr>
        <sz val="12"/>
        <color theme="1"/>
        <rFont val="Times New Roman"/>
        <family val="1"/>
      </rPr>
      <t xml:space="preserve"> Integrative impacts of rotational tillage on wheat yield and dry matter accumulation under corn-wheat cropping system. </t>
    </r>
    <r>
      <rPr>
        <i/>
        <sz val="12"/>
        <color theme="1"/>
        <rFont val="Times New Roman"/>
        <family val="1"/>
      </rPr>
      <t>Soil Tillage Res.</t>
    </r>
    <r>
      <rPr>
        <sz val="12"/>
        <color theme="1"/>
        <rFont val="Times New Roman"/>
        <family val="1"/>
      </rPr>
      <t xml:space="preserve"> </t>
    </r>
    <r>
      <rPr>
        <b/>
        <sz val="12"/>
        <color theme="1"/>
        <rFont val="Times New Roman"/>
        <family val="1"/>
      </rPr>
      <t>184</t>
    </r>
    <r>
      <rPr>
        <sz val="12"/>
        <color theme="1"/>
        <rFont val="Times New Roman"/>
        <family val="1"/>
      </rPr>
      <t>, 100–108 (2018).</t>
    </r>
  </si>
  <si>
    <r>
      <t xml:space="preserve">Latta, J. &amp; O’Leary, G. J. Long-term comparison of rotation and fallow tillage systems of wheat in Australia. </t>
    </r>
    <r>
      <rPr>
        <i/>
        <sz val="12"/>
        <color theme="1"/>
        <rFont val="Times New Roman"/>
        <family val="1"/>
      </rPr>
      <t>F. Crop. Res.</t>
    </r>
    <r>
      <rPr>
        <sz val="12"/>
        <color theme="1"/>
        <rFont val="Times New Roman"/>
        <family val="1"/>
      </rPr>
      <t xml:space="preserve"> </t>
    </r>
    <r>
      <rPr>
        <b/>
        <sz val="12"/>
        <color theme="1"/>
        <rFont val="Times New Roman"/>
        <family val="1"/>
      </rPr>
      <t>83</t>
    </r>
    <r>
      <rPr>
        <sz val="12"/>
        <color theme="1"/>
        <rFont val="Times New Roman"/>
        <family val="1"/>
      </rPr>
      <t>, 173–190 (2003).</t>
    </r>
  </si>
  <si>
    <r>
      <t xml:space="preserve">Lawrance, K. F., Prinsloo, M. A. &amp; Berry, W. A. J. Long and short term effects of tillage systems on grain yield, the incidence of diseases and production costs for maize. </t>
    </r>
    <r>
      <rPr>
        <i/>
        <sz val="12"/>
        <color theme="1"/>
        <rFont val="Times New Roman"/>
        <family val="1"/>
      </rPr>
      <t>South African J. Plant Soil</t>
    </r>
    <r>
      <rPr>
        <sz val="12"/>
        <color theme="1"/>
        <rFont val="Times New Roman"/>
        <family val="1"/>
      </rPr>
      <t xml:space="preserve"> </t>
    </r>
    <r>
      <rPr>
        <b/>
        <sz val="12"/>
        <color theme="1"/>
        <rFont val="Times New Roman"/>
        <family val="1"/>
      </rPr>
      <t>16</t>
    </r>
    <r>
      <rPr>
        <sz val="12"/>
        <color theme="1"/>
        <rFont val="Times New Roman"/>
        <family val="1"/>
      </rPr>
      <t>, 85–91 (1999).</t>
    </r>
  </si>
  <si>
    <r>
      <t xml:space="preserve">Lenssen, A. W., Sainju, U. M., Allen, B. L., Jabro, J. D. &amp; Stevens, W. B. Dryland corn production and water use affected by tillage and crop management intensity. </t>
    </r>
    <r>
      <rPr>
        <i/>
        <sz val="12"/>
        <color theme="1"/>
        <rFont val="Times New Roman"/>
        <family val="1"/>
      </rPr>
      <t>Agron. J.</t>
    </r>
    <r>
      <rPr>
        <sz val="12"/>
        <color theme="1"/>
        <rFont val="Times New Roman"/>
        <family val="1"/>
      </rPr>
      <t xml:space="preserve"> </t>
    </r>
    <r>
      <rPr>
        <b/>
        <sz val="12"/>
        <color theme="1"/>
        <rFont val="Times New Roman"/>
        <family val="1"/>
      </rPr>
      <t>110</t>
    </r>
    <r>
      <rPr>
        <sz val="12"/>
        <color theme="1"/>
        <rFont val="Times New Roman"/>
        <family val="1"/>
      </rPr>
      <t>, 2439–2446 (2018).</t>
    </r>
  </si>
  <si>
    <r>
      <t xml:space="preserve">Li, Z. </t>
    </r>
    <r>
      <rPr>
        <i/>
        <sz val="12"/>
        <color theme="1"/>
        <rFont val="Times New Roman"/>
        <family val="1"/>
      </rPr>
      <t>et al.</t>
    </r>
    <r>
      <rPr>
        <sz val="12"/>
        <color theme="1"/>
        <rFont val="Times New Roman"/>
        <family val="1"/>
      </rPr>
      <t xml:space="preserve"> In search of long-term sustainable tillage and straw mulching practices for a maize-winter wheat-soybean rotation system in the Loess Plateau of China. </t>
    </r>
    <r>
      <rPr>
        <i/>
        <sz val="12"/>
        <color theme="1"/>
        <rFont val="Times New Roman"/>
        <family val="1"/>
      </rPr>
      <t>F. Crop. Res.</t>
    </r>
    <r>
      <rPr>
        <sz val="12"/>
        <color theme="1"/>
        <rFont val="Times New Roman"/>
        <family val="1"/>
      </rPr>
      <t xml:space="preserve"> </t>
    </r>
    <r>
      <rPr>
        <b/>
        <sz val="12"/>
        <color theme="1"/>
        <rFont val="Times New Roman"/>
        <family val="1"/>
      </rPr>
      <t>217</t>
    </r>
    <r>
      <rPr>
        <sz val="12"/>
        <color theme="1"/>
        <rFont val="Times New Roman"/>
        <family val="1"/>
      </rPr>
      <t>, 199–210 (2018).</t>
    </r>
  </si>
  <si>
    <r>
      <t xml:space="preserve">Licht, M. A. &amp; Al-Kaisi, M. Corn response, nitrogen uptake, and water use in strip-tillage compared with no-tillage and chisel plow. </t>
    </r>
    <r>
      <rPr>
        <i/>
        <sz val="12"/>
        <color theme="1"/>
        <rFont val="Times New Roman"/>
        <family val="1"/>
      </rPr>
      <t>Agron. J.</t>
    </r>
    <r>
      <rPr>
        <sz val="12"/>
        <color theme="1"/>
        <rFont val="Times New Roman"/>
        <family val="1"/>
      </rPr>
      <t xml:space="preserve"> </t>
    </r>
    <r>
      <rPr>
        <b/>
        <sz val="12"/>
        <color theme="1"/>
        <rFont val="Times New Roman"/>
        <family val="1"/>
      </rPr>
      <t>97</t>
    </r>
    <r>
      <rPr>
        <sz val="12"/>
        <color theme="1"/>
        <rFont val="Times New Roman"/>
        <family val="1"/>
      </rPr>
      <t>, 705–710 (2005).</t>
    </r>
  </si>
  <si>
    <r>
      <t xml:space="preserve">Linden, D. R., Clapp, C. E. &amp; Dowdy, R. H. Long-term corn grain and stover yields as a function of tillage and residue removal in east central Minnesota. </t>
    </r>
    <r>
      <rPr>
        <i/>
        <sz val="12"/>
        <color theme="1"/>
        <rFont val="Times New Roman"/>
        <family val="1"/>
      </rPr>
      <t>Soil Tillage Res.</t>
    </r>
    <r>
      <rPr>
        <sz val="12"/>
        <color theme="1"/>
        <rFont val="Times New Roman"/>
        <family val="1"/>
      </rPr>
      <t xml:space="preserve"> </t>
    </r>
    <r>
      <rPr>
        <b/>
        <sz val="12"/>
        <color theme="1"/>
        <rFont val="Times New Roman"/>
        <family val="1"/>
      </rPr>
      <t>56</t>
    </r>
    <r>
      <rPr>
        <sz val="12"/>
        <color theme="1"/>
        <rFont val="Times New Roman"/>
        <family val="1"/>
      </rPr>
      <t>, 167–174 (2000).</t>
    </r>
  </si>
  <si>
    <r>
      <t xml:space="preserve">Lithourgidis, A. S., Tsatsarelis, C. A. &amp; Dhima, K. V. Tillage effects on corn emergence, silage yield, and labor and fuel inputs in double cropping with wheat. </t>
    </r>
    <r>
      <rPr>
        <i/>
        <sz val="12"/>
        <color theme="1"/>
        <rFont val="Times New Roman"/>
        <family val="1"/>
      </rPr>
      <t>Crop Sci.</t>
    </r>
    <r>
      <rPr>
        <sz val="12"/>
        <color theme="1"/>
        <rFont val="Times New Roman"/>
        <family val="1"/>
      </rPr>
      <t xml:space="preserve"> </t>
    </r>
    <r>
      <rPr>
        <b/>
        <sz val="12"/>
        <color theme="1"/>
        <rFont val="Times New Roman"/>
        <family val="1"/>
      </rPr>
      <t>45</t>
    </r>
    <r>
      <rPr>
        <sz val="12"/>
        <color theme="1"/>
        <rFont val="Times New Roman"/>
        <family val="1"/>
      </rPr>
      <t>, 2523–2528 (2005).</t>
    </r>
  </si>
  <si>
    <r>
      <t xml:space="preserve">Liu, J., Fan, Y., Ma, Y. &amp; Li, Q. Response of photosynthetic active radiation interception, dry matter accumulation, and grain yield to tillage in two winter wheat genotypes. </t>
    </r>
    <r>
      <rPr>
        <i/>
        <sz val="12"/>
        <color theme="1"/>
        <rFont val="Times New Roman"/>
        <family val="1"/>
      </rPr>
      <t>Arch. Agron. Soil Sci.</t>
    </r>
    <r>
      <rPr>
        <sz val="12"/>
        <color theme="1"/>
        <rFont val="Times New Roman"/>
        <family val="1"/>
      </rPr>
      <t xml:space="preserve"> 1–12 (2019) doi:10.1080/03650340.2019.1657232.</t>
    </r>
  </si>
  <si>
    <r>
      <t xml:space="preserve">Liu, T., Huang, J., Chai, K., Cao, C. &amp; Li, C. Effects of N fertilizer sources and tillage practices on NH3 volatilization, grain yield, and n use efficiency of rice fields in central China. </t>
    </r>
    <r>
      <rPr>
        <i/>
        <sz val="12"/>
        <color theme="1"/>
        <rFont val="Times New Roman"/>
        <family val="1"/>
      </rPr>
      <t>Front. Plant Sci.</t>
    </r>
    <r>
      <rPr>
        <sz val="12"/>
        <color theme="1"/>
        <rFont val="Times New Roman"/>
        <family val="1"/>
      </rPr>
      <t xml:space="preserve"> </t>
    </r>
    <r>
      <rPr>
        <b/>
        <sz val="12"/>
        <color theme="1"/>
        <rFont val="Times New Roman"/>
        <family val="1"/>
      </rPr>
      <t>9</t>
    </r>
    <r>
      <rPr>
        <sz val="12"/>
        <color theme="1"/>
        <rFont val="Times New Roman"/>
        <family val="1"/>
      </rPr>
      <t>, 1–10 (2018).</t>
    </r>
  </si>
  <si>
    <r>
      <t xml:space="preserve">Liu, Z. </t>
    </r>
    <r>
      <rPr>
        <i/>
        <sz val="12"/>
        <color theme="1"/>
        <rFont val="Times New Roman"/>
        <family val="1"/>
      </rPr>
      <t>et al.</t>
    </r>
    <r>
      <rPr>
        <sz val="12"/>
        <color theme="1"/>
        <rFont val="Times New Roman"/>
        <family val="1"/>
      </rPr>
      <t xml:space="preserve"> Soil organic carbon increment sources and crop yields under long‐term conservation tillage practices in wheat‐maize systems. </t>
    </r>
    <r>
      <rPr>
        <i/>
        <sz val="12"/>
        <color theme="1"/>
        <rFont val="Times New Roman"/>
        <family val="1"/>
      </rPr>
      <t>L. Degrad. Dev.</t>
    </r>
    <r>
      <rPr>
        <sz val="12"/>
        <color theme="1"/>
        <rFont val="Times New Roman"/>
        <family val="1"/>
      </rPr>
      <t xml:space="preserve"> (2020) doi:10.1002/ldr.3531.</t>
    </r>
  </si>
  <si>
    <r>
      <t xml:space="preserve">López, M. V. &amp; Arrúe, J. L. Growth, yield and water use efficiency of winter barley in response to conservation tillage in a semi-arid region of Spain. </t>
    </r>
    <r>
      <rPr>
        <i/>
        <sz val="12"/>
        <color theme="1"/>
        <rFont val="Times New Roman"/>
        <family val="1"/>
      </rPr>
      <t>Soil Tillage Res.</t>
    </r>
    <r>
      <rPr>
        <sz val="12"/>
        <color theme="1"/>
        <rFont val="Times New Roman"/>
        <family val="1"/>
      </rPr>
      <t xml:space="preserve"> </t>
    </r>
    <r>
      <rPr>
        <b/>
        <sz val="12"/>
        <color theme="1"/>
        <rFont val="Times New Roman"/>
        <family val="1"/>
      </rPr>
      <t>44</t>
    </r>
    <r>
      <rPr>
        <sz val="12"/>
        <color theme="1"/>
        <rFont val="Times New Roman"/>
        <family val="1"/>
      </rPr>
      <t>, 35–54 (1997).</t>
    </r>
  </si>
  <si>
    <r>
      <t xml:space="preserve">López-Bellido, L., Fuentes, M., Castillo, J. E., López-Garrido, F. J. &amp; Fernández, E. J. Long-term tillage, crop rotation, and nitrogen fertilizer effects on wheat yield under rainfed Mediterranean conditions. </t>
    </r>
    <r>
      <rPr>
        <i/>
        <sz val="12"/>
        <color theme="1"/>
        <rFont val="Times New Roman"/>
        <family val="1"/>
      </rPr>
      <t>Agron. J.</t>
    </r>
    <r>
      <rPr>
        <sz val="12"/>
        <color theme="1"/>
        <rFont val="Times New Roman"/>
        <family val="1"/>
      </rPr>
      <t xml:space="preserve"> </t>
    </r>
    <r>
      <rPr>
        <b/>
        <sz val="12"/>
        <color theme="1"/>
        <rFont val="Times New Roman"/>
        <family val="1"/>
      </rPr>
      <t>88</t>
    </r>
    <r>
      <rPr>
        <sz val="12"/>
        <color theme="1"/>
        <rFont val="Times New Roman"/>
        <family val="1"/>
      </rPr>
      <t>, 783–791 (1996).</t>
    </r>
  </si>
  <si>
    <r>
      <t xml:space="preserve">López-Bellido, L., López-Bellido, R. J., Castillo, J. E. &amp; López-Bellido, F. J. Chickpea response to tillage and soil residual nitrogen in a continuous rotation with wheat. </t>
    </r>
    <r>
      <rPr>
        <i/>
        <sz val="12"/>
        <color theme="1"/>
        <rFont val="Times New Roman"/>
        <family val="1"/>
      </rPr>
      <t>F. Crop. Res.</t>
    </r>
    <r>
      <rPr>
        <sz val="12"/>
        <color theme="1"/>
        <rFont val="Times New Roman"/>
        <family val="1"/>
      </rPr>
      <t xml:space="preserve"> </t>
    </r>
    <r>
      <rPr>
        <b/>
        <sz val="12"/>
        <color theme="1"/>
        <rFont val="Times New Roman"/>
        <family val="1"/>
      </rPr>
      <t>88</t>
    </r>
    <r>
      <rPr>
        <sz val="12"/>
        <color theme="1"/>
        <rFont val="Times New Roman"/>
        <family val="1"/>
      </rPr>
      <t>, 191–200 (2004).</t>
    </r>
  </si>
  <si>
    <r>
      <t xml:space="preserve">López-Bellido, L. </t>
    </r>
    <r>
      <rPr>
        <i/>
        <sz val="12"/>
        <color theme="1"/>
        <rFont val="Times New Roman"/>
        <family val="1"/>
      </rPr>
      <t>et al.</t>
    </r>
    <r>
      <rPr>
        <sz val="12"/>
        <color theme="1"/>
        <rFont val="Times New Roman"/>
        <family val="1"/>
      </rPr>
      <t xml:space="preserve"> Wheat response to nitrogen splitting applied to a Vertisols in different tillage systems and cropping rotations under typical Mediterranean climatic conditions. </t>
    </r>
    <r>
      <rPr>
        <i/>
        <sz val="12"/>
        <color theme="1"/>
        <rFont val="Times New Roman"/>
        <family val="1"/>
      </rPr>
      <t>Eur. J. Agron.</t>
    </r>
    <r>
      <rPr>
        <sz val="12"/>
        <color theme="1"/>
        <rFont val="Times New Roman"/>
        <family val="1"/>
      </rPr>
      <t xml:space="preserve"> </t>
    </r>
    <r>
      <rPr>
        <b/>
        <sz val="12"/>
        <color theme="1"/>
        <rFont val="Times New Roman"/>
        <family val="1"/>
      </rPr>
      <t>43</t>
    </r>
    <r>
      <rPr>
        <sz val="12"/>
        <color theme="1"/>
        <rFont val="Times New Roman"/>
        <family val="1"/>
      </rPr>
      <t>, 24–32 (2012).</t>
    </r>
  </si>
  <si>
    <r>
      <t xml:space="preserve">López-Vázquez, A., Cadena-Zapata, M., Campos-Magaña, S., Zermeño-Gonzalez, A. &amp; Mendez-Dorado, M. Comparison of energy used and effects on bulk density and yield by tillage systems in a semiarid condition of Mexico.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189 (2019).</t>
    </r>
  </si>
  <si>
    <r>
      <t xml:space="preserve">Lötjönen, T. &amp; Isolahti, M. Direct drilling of cereals after ley and slurry spreading. </t>
    </r>
    <r>
      <rPr>
        <i/>
        <sz val="12"/>
        <color theme="1"/>
        <rFont val="Times New Roman"/>
        <family val="1"/>
      </rPr>
      <t>Acta Agric. Scand. Sect. B - Plant Soil Sci.</t>
    </r>
    <r>
      <rPr>
        <sz val="12"/>
        <color theme="1"/>
        <rFont val="Times New Roman"/>
        <family val="1"/>
      </rPr>
      <t xml:space="preserve"> </t>
    </r>
    <r>
      <rPr>
        <b/>
        <sz val="12"/>
        <color theme="1"/>
        <rFont val="Times New Roman"/>
        <family val="1"/>
      </rPr>
      <t>60</t>
    </r>
    <r>
      <rPr>
        <sz val="12"/>
        <color theme="1"/>
        <rFont val="Times New Roman"/>
        <family val="1"/>
      </rPr>
      <t>, 307–319 (2010).</t>
    </r>
  </si>
  <si>
    <r>
      <t xml:space="preserve">Lowery, B. Groundwater quality and crop-yield responses to tillage management on a Sparta sand. </t>
    </r>
    <r>
      <rPr>
        <i/>
        <sz val="12"/>
        <color theme="1"/>
        <rFont val="Times New Roman"/>
        <family val="1"/>
      </rPr>
      <t>Soil Tillage Res.</t>
    </r>
    <r>
      <rPr>
        <sz val="12"/>
        <color theme="1"/>
        <rFont val="Times New Roman"/>
        <family val="1"/>
      </rPr>
      <t xml:space="preserve"> </t>
    </r>
    <r>
      <rPr>
        <b/>
        <sz val="12"/>
        <color theme="1"/>
        <rFont val="Times New Roman"/>
        <family val="1"/>
      </rPr>
      <t>48</t>
    </r>
    <r>
      <rPr>
        <sz val="12"/>
        <color theme="1"/>
        <rFont val="Times New Roman"/>
        <family val="1"/>
      </rPr>
      <t>, 225–237 (1998).</t>
    </r>
  </si>
  <si>
    <r>
      <t xml:space="preserve">Lv, S. H. </t>
    </r>
    <r>
      <rPr>
        <i/>
        <sz val="12"/>
        <color theme="1"/>
        <rFont val="Times New Roman"/>
        <family val="1"/>
      </rPr>
      <t>et al.</t>
    </r>
    <r>
      <rPr>
        <sz val="12"/>
        <color theme="1"/>
        <rFont val="Times New Roman"/>
        <family val="1"/>
      </rPr>
      <t xml:space="preserve"> An opportunity for regenerative rice production: Combining plastic film cover and plant biomass mulch with no-till soil management to build soil carbon, curb nitrogen pollution, and maintain high-stable yield.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1–22 (2019).</t>
    </r>
  </si>
  <si>
    <r>
      <t xml:space="preserve">Ma, Y. </t>
    </r>
    <r>
      <rPr>
        <i/>
        <sz val="12"/>
        <color theme="1"/>
        <rFont val="Times New Roman"/>
        <family val="1"/>
      </rPr>
      <t>et al.</t>
    </r>
    <r>
      <rPr>
        <sz val="12"/>
        <color theme="1"/>
        <rFont val="Times New Roman"/>
        <family val="1"/>
      </rPr>
      <t xml:space="preserve"> Mitigation of nitrous oxide emissions from paddy soil under conventional and no-till practices using nitrification inhibitors during the winter wheat-growing season. </t>
    </r>
    <r>
      <rPr>
        <i/>
        <sz val="12"/>
        <color theme="1"/>
        <rFont val="Times New Roman"/>
        <family val="1"/>
      </rPr>
      <t>Biol. Fertil. Soils</t>
    </r>
    <r>
      <rPr>
        <sz val="12"/>
        <color theme="1"/>
        <rFont val="Times New Roman"/>
        <family val="1"/>
      </rPr>
      <t xml:space="preserve"> </t>
    </r>
    <r>
      <rPr>
        <b/>
        <sz val="12"/>
        <color theme="1"/>
        <rFont val="Times New Roman"/>
        <family val="1"/>
      </rPr>
      <t>49</t>
    </r>
    <r>
      <rPr>
        <sz val="12"/>
        <color theme="1"/>
        <rFont val="Times New Roman"/>
        <family val="1"/>
      </rPr>
      <t>, 627–635 (2013).</t>
    </r>
  </si>
  <si>
    <r>
      <t xml:space="preserve">Maali, S. H. &amp; Agenbag, G. A. Effect of soil tillage, crop rotation and nitrogen application rates on grain yield of spring wheat (Triticum aestivum L.) in the Swartland wheat producing area of the Republic of South Africa. </t>
    </r>
    <r>
      <rPr>
        <i/>
        <sz val="12"/>
        <color theme="1"/>
        <rFont val="Times New Roman"/>
        <family val="1"/>
      </rPr>
      <t>South African J. Plant Soil</t>
    </r>
    <r>
      <rPr>
        <sz val="12"/>
        <color theme="1"/>
        <rFont val="Times New Roman"/>
        <family val="1"/>
      </rPr>
      <t xml:space="preserve"> </t>
    </r>
    <r>
      <rPr>
        <b/>
        <sz val="12"/>
        <color theme="1"/>
        <rFont val="Times New Roman"/>
        <family val="1"/>
      </rPr>
      <t>20</t>
    </r>
    <r>
      <rPr>
        <sz val="12"/>
        <color theme="1"/>
        <rFont val="Times New Roman"/>
        <family val="1"/>
      </rPr>
      <t>, 111–118 (2003).</t>
    </r>
  </si>
  <si>
    <r>
      <t xml:space="preserve">Machado, S., Petrie, S., Rhinhart, K. &amp; Qu, A. Long-term continuous cropping in the Pacific Northwest: Tillage and fertilizer effects on winter wheat, spring wheat, and spring barley production. </t>
    </r>
    <r>
      <rPr>
        <i/>
        <sz val="12"/>
        <color theme="1"/>
        <rFont val="Times New Roman"/>
        <family val="1"/>
      </rPr>
      <t>Soil Tillage Res.</t>
    </r>
    <r>
      <rPr>
        <sz val="12"/>
        <color theme="1"/>
        <rFont val="Times New Roman"/>
        <family val="1"/>
      </rPr>
      <t xml:space="preserve"> </t>
    </r>
    <r>
      <rPr>
        <b/>
        <sz val="12"/>
        <color theme="1"/>
        <rFont val="Times New Roman"/>
        <family val="1"/>
      </rPr>
      <t>94</t>
    </r>
    <r>
      <rPr>
        <sz val="12"/>
        <color theme="1"/>
        <rFont val="Times New Roman"/>
        <family val="1"/>
      </rPr>
      <t>, 473–481 (2007).</t>
    </r>
  </si>
  <si>
    <r>
      <t xml:space="preserve">Mahata, K. R., Sen, H. S., Pradhan, S. K. &amp; Mandal, L. N. No-tillage and dry ploughing compared with puddling for wet-season rice on an alluvial sandy clay–loam in eastern India. </t>
    </r>
    <r>
      <rPr>
        <i/>
        <sz val="12"/>
        <color theme="1"/>
        <rFont val="Times New Roman"/>
        <family val="1"/>
      </rPr>
      <t>J. Agric. Sci.</t>
    </r>
    <r>
      <rPr>
        <sz val="12"/>
        <color theme="1"/>
        <rFont val="Times New Roman"/>
        <family val="1"/>
      </rPr>
      <t xml:space="preserve"> </t>
    </r>
    <r>
      <rPr>
        <b/>
        <sz val="12"/>
        <color theme="1"/>
        <rFont val="Times New Roman"/>
        <family val="1"/>
      </rPr>
      <t>114</t>
    </r>
    <r>
      <rPr>
        <sz val="12"/>
        <color theme="1"/>
        <rFont val="Times New Roman"/>
        <family val="1"/>
      </rPr>
      <t>, 79–86 (1990).</t>
    </r>
  </si>
  <si>
    <r>
      <t xml:space="preserve">Małecka, I., Blecharczyk, A., Sawinska, Z. &amp; Dobrzeniecki, T. The effect of various long-term tillage systems on soil properties and spring barley yield. </t>
    </r>
    <r>
      <rPr>
        <i/>
        <sz val="12"/>
        <color theme="1"/>
        <rFont val="Times New Roman"/>
        <family val="1"/>
      </rPr>
      <t>Turkish J. Agric. For.</t>
    </r>
    <r>
      <rPr>
        <sz val="12"/>
        <color theme="1"/>
        <rFont val="Times New Roman"/>
        <family val="1"/>
      </rPr>
      <t xml:space="preserve"> </t>
    </r>
    <r>
      <rPr>
        <b/>
        <sz val="12"/>
        <color theme="1"/>
        <rFont val="Times New Roman"/>
        <family val="1"/>
      </rPr>
      <t>36</t>
    </r>
    <r>
      <rPr>
        <sz val="12"/>
        <color theme="1"/>
        <rFont val="Times New Roman"/>
        <family val="1"/>
      </rPr>
      <t>, 217–226 (2012).</t>
    </r>
  </si>
  <si>
    <r>
      <t xml:space="preserve">Malhi, S. S., Lemke, R., Wang, Z. H. &amp; Chhabra, B. S. Tillage, nitrogen and crop residue effects on crop yield, nutrient uptake, soil quality, and greenhouse gas emissions. </t>
    </r>
    <r>
      <rPr>
        <i/>
        <sz val="12"/>
        <color theme="1"/>
        <rFont val="Times New Roman"/>
        <family val="1"/>
      </rPr>
      <t>Soil Tillage Res.</t>
    </r>
    <r>
      <rPr>
        <sz val="12"/>
        <color theme="1"/>
        <rFont val="Times New Roman"/>
        <family val="1"/>
      </rPr>
      <t xml:space="preserve"> </t>
    </r>
    <r>
      <rPr>
        <b/>
        <sz val="12"/>
        <color theme="1"/>
        <rFont val="Times New Roman"/>
        <family val="1"/>
      </rPr>
      <t>90</t>
    </r>
    <r>
      <rPr>
        <sz val="12"/>
        <color theme="1"/>
        <rFont val="Times New Roman"/>
        <family val="1"/>
      </rPr>
      <t>, 171–183 (2006).</t>
    </r>
  </si>
  <si>
    <r>
      <t xml:space="preserve">Malhi, S. S., McAndrew, D. W. &amp; Carter, M. R. Effect of tillage and N fertilization of a Solonetzic soil on barley production and some soil properties. </t>
    </r>
    <r>
      <rPr>
        <i/>
        <sz val="12"/>
        <color theme="1"/>
        <rFont val="Times New Roman"/>
        <family val="1"/>
      </rPr>
      <t>Soil Tillage Res.</t>
    </r>
    <r>
      <rPr>
        <sz val="12"/>
        <color theme="1"/>
        <rFont val="Times New Roman"/>
        <family val="1"/>
      </rPr>
      <t xml:space="preserve"> </t>
    </r>
    <r>
      <rPr>
        <b/>
        <sz val="12"/>
        <color theme="1"/>
        <rFont val="Times New Roman"/>
        <family val="1"/>
      </rPr>
      <t>22</t>
    </r>
    <r>
      <rPr>
        <sz val="12"/>
        <color theme="1"/>
        <rFont val="Times New Roman"/>
        <family val="1"/>
      </rPr>
      <t>, 95–107 (1992).</t>
    </r>
  </si>
  <si>
    <r>
      <t xml:space="preserve">Malhi, S. S. &amp; Lemke, R. Tillage, crop residue and N fertilizer effects on crop yield, nutrient uptake, soil quality and nitrous oxide gas emissions in a second 4-yr rotation cycle. </t>
    </r>
    <r>
      <rPr>
        <i/>
        <sz val="12"/>
        <color theme="1"/>
        <rFont val="Times New Roman"/>
        <family val="1"/>
      </rPr>
      <t>Soil Tillage Res.</t>
    </r>
    <r>
      <rPr>
        <sz val="12"/>
        <color theme="1"/>
        <rFont val="Times New Roman"/>
        <family val="1"/>
      </rPr>
      <t xml:space="preserve"> </t>
    </r>
    <r>
      <rPr>
        <b/>
        <sz val="12"/>
        <color theme="1"/>
        <rFont val="Times New Roman"/>
        <family val="1"/>
      </rPr>
      <t>96</t>
    </r>
    <r>
      <rPr>
        <sz val="12"/>
        <color theme="1"/>
        <rFont val="Times New Roman"/>
        <family val="1"/>
      </rPr>
      <t>, 269–283 (2007).</t>
    </r>
  </si>
  <si>
    <r>
      <t xml:space="preserve">Martínez, E., Fuentes, J.-P., Pino, V., Silva, P. &amp; Acevedo, E. Chemical and biological properties as affected by no-tillage and conventional tillage systems in an irrigated Haploxeroll of Central Chile. </t>
    </r>
    <r>
      <rPr>
        <i/>
        <sz val="12"/>
        <color theme="1"/>
        <rFont val="Times New Roman"/>
        <family val="1"/>
      </rPr>
      <t>Soil Tillage Res.</t>
    </r>
    <r>
      <rPr>
        <sz val="12"/>
        <color theme="1"/>
        <rFont val="Times New Roman"/>
        <family val="1"/>
      </rPr>
      <t xml:space="preserve"> </t>
    </r>
    <r>
      <rPr>
        <b/>
        <sz val="12"/>
        <color theme="1"/>
        <rFont val="Times New Roman"/>
        <family val="1"/>
      </rPr>
      <t>126</t>
    </r>
    <r>
      <rPr>
        <sz val="12"/>
        <color theme="1"/>
        <rFont val="Times New Roman"/>
        <family val="1"/>
      </rPr>
      <t>, 238–245 (2013).</t>
    </r>
  </si>
  <si>
    <r>
      <t xml:space="preserve">Martin-Rueda, I. </t>
    </r>
    <r>
      <rPr>
        <i/>
        <sz val="12"/>
        <color theme="1"/>
        <rFont val="Times New Roman"/>
        <family val="1"/>
      </rPr>
      <t>et al.</t>
    </r>
    <r>
      <rPr>
        <sz val="12"/>
        <color theme="1"/>
        <rFont val="Times New Roman"/>
        <family val="1"/>
      </rPr>
      <t xml:space="preserve"> Tillage and crop rotation effects on barley yield and soil nutrients on a Calciortidic Haploxeralf. </t>
    </r>
    <r>
      <rPr>
        <i/>
        <sz val="12"/>
        <color theme="1"/>
        <rFont val="Times New Roman"/>
        <family val="1"/>
      </rPr>
      <t>Soil Tillage Res.</t>
    </r>
    <r>
      <rPr>
        <sz val="12"/>
        <color theme="1"/>
        <rFont val="Times New Roman"/>
        <family val="1"/>
      </rPr>
      <t xml:space="preserve"> </t>
    </r>
    <r>
      <rPr>
        <b/>
        <sz val="12"/>
        <color theme="1"/>
        <rFont val="Times New Roman"/>
        <family val="1"/>
      </rPr>
      <t>92</t>
    </r>
    <r>
      <rPr>
        <sz val="12"/>
        <color theme="1"/>
        <rFont val="Times New Roman"/>
        <family val="1"/>
      </rPr>
      <t>, 1–9 (2007).</t>
    </r>
  </si>
  <si>
    <r>
      <t xml:space="preserve">Maurya, P. R. Effect of tillage and residue management of maize and wheat yield and on physical properties of an irrigated sandy loam soil in Northern Nigeria. </t>
    </r>
    <r>
      <rPr>
        <i/>
        <sz val="12"/>
        <color theme="1"/>
        <rFont val="Times New Roman"/>
        <family val="1"/>
      </rPr>
      <t>Soil Tillage Res.</t>
    </r>
    <r>
      <rPr>
        <sz val="12"/>
        <color theme="1"/>
        <rFont val="Times New Roman"/>
        <family val="1"/>
      </rPr>
      <t xml:space="preserve"> </t>
    </r>
    <r>
      <rPr>
        <b/>
        <sz val="12"/>
        <color theme="1"/>
        <rFont val="Times New Roman"/>
        <family val="1"/>
      </rPr>
      <t>8</t>
    </r>
    <r>
      <rPr>
        <sz val="12"/>
        <color theme="1"/>
        <rFont val="Times New Roman"/>
        <family val="1"/>
      </rPr>
      <t>, 161–170 (1986).</t>
    </r>
  </si>
  <si>
    <r>
      <t xml:space="preserve">McAndrew, D. W., Fuller, L. G. &amp; Wetter, L. G. Grain and straw yields of barley under four tillage systems in northeastern Alberta. </t>
    </r>
    <r>
      <rPr>
        <i/>
        <sz val="12"/>
        <color theme="1"/>
        <rFont val="Times New Roman"/>
        <family val="1"/>
      </rPr>
      <t>Can. J. Plant Sci.</t>
    </r>
    <r>
      <rPr>
        <sz val="12"/>
        <color theme="1"/>
        <rFont val="Times New Roman"/>
        <family val="1"/>
      </rPr>
      <t xml:space="preserve"> </t>
    </r>
    <r>
      <rPr>
        <b/>
        <sz val="12"/>
        <color theme="1"/>
        <rFont val="Times New Roman"/>
        <family val="1"/>
      </rPr>
      <t>74</t>
    </r>
    <r>
      <rPr>
        <sz val="12"/>
        <color theme="1"/>
        <rFont val="Times New Roman"/>
        <family val="1"/>
      </rPr>
      <t>, 713–722 (1994).</t>
    </r>
  </si>
  <si>
    <r>
      <t xml:space="preserve">McConkey, B. G., Campbell, C. A., Zentner, R. P., Dyck, F. B. &amp; Selles, F. Long-term tillage effects on spring wheat production on three soil textures in the brown soil zone. </t>
    </r>
    <r>
      <rPr>
        <i/>
        <sz val="12"/>
        <color theme="1"/>
        <rFont val="Times New Roman"/>
        <family val="1"/>
      </rPr>
      <t>Can. J. Plant Sci.</t>
    </r>
    <r>
      <rPr>
        <sz val="12"/>
        <color theme="1"/>
        <rFont val="Times New Roman"/>
        <family val="1"/>
      </rPr>
      <t xml:space="preserve"> </t>
    </r>
    <r>
      <rPr>
        <b/>
        <sz val="12"/>
        <color theme="1"/>
        <rFont val="Times New Roman"/>
        <family val="1"/>
      </rPr>
      <t>76</t>
    </r>
    <r>
      <rPr>
        <sz val="12"/>
        <color theme="1"/>
        <rFont val="Times New Roman"/>
        <family val="1"/>
      </rPr>
      <t>, 747–756 (1996).</t>
    </r>
  </si>
  <si>
    <r>
      <t xml:space="preserve">McConkey, B. G., Ulrich, D. J. &amp; Dyck, F. B. Snow management and deep tillage for increasing crop yields on a rolling landscape. </t>
    </r>
    <r>
      <rPr>
        <i/>
        <sz val="12"/>
        <color theme="1"/>
        <rFont val="Times New Roman"/>
        <family val="1"/>
      </rPr>
      <t>Can. J. Soil Sci.</t>
    </r>
    <r>
      <rPr>
        <sz val="12"/>
        <color theme="1"/>
        <rFont val="Times New Roman"/>
        <family val="1"/>
      </rPr>
      <t xml:space="preserve"> </t>
    </r>
    <r>
      <rPr>
        <b/>
        <sz val="12"/>
        <color theme="1"/>
        <rFont val="Times New Roman"/>
        <family val="1"/>
      </rPr>
      <t>77</t>
    </r>
    <r>
      <rPr>
        <sz val="12"/>
        <color theme="1"/>
        <rFont val="Times New Roman"/>
        <family val="1"/>
      </rPr>
      <t>, 479–486 (1997).</t>
    </r>
  </si>
  <si>
    <r>
      <t xml:space="preserve">Melero, S. </t>
    </r>
    <r>
      <rPr>
        <i/>
        <sz val="12"/>
        <color theme="1"/>
        <rFont val="Times New Roman"/>
        <family val="1"/>
      </rPr>
      <t>et al.</t>
    </r>
    <r>
      <rPr>
        <sz val="12"/>
        <color theme="1"/>
        <rFont val="Times New Roman"/>
        <family val="1"/>
      </rPr>
      <t xml:space="preserve"> Long-term effect of tillage, rotation and nitrogen fertiliser on soil quality in a Mediterranean Vertisol. </t>
    </r>
    <r>
      <rPr>
        <i/>
        <sz val="12"/>
        <color theme="1"/>
        <rFont val="Times New Roman"/>
        <family val="1"/>
      </rPr>
      <t>Soil Tillage Res.</t>
    </r>
    <r>
      <rPr>
        <sz val="12"/>
        <color theme="1"/>
        <rFont val="Times New Roman"/>
        <family val="1"/>
      </rPr>
      <t xml:space="preserve"> </t>
    </r>
    <r>
      <rPr>
        <b/>
        <sz val="12"/>
        <color theme="1"/>
        <rFont val="Times New Roman"/>
        <family val="1"/>
      </rPr>
      <t>114</t>
    </r>
    <r>
      <rPr>
        <sz val="12"/>
        <color theme="1"/>
        <rFont val="Times New Roman"/>
        <family val="1"/>
      </rPr>
      <t>, 97–107 (2011).</t>
    </r>
  </si>
  <si>
    <r>
      <t xml:space="preserve">Messiga, A. J. </t>
    </r>
    <r>
      <rPr>
        <i/>
        <sz val="12"/>
        <color theme="1"/>
        <rFont val="Times New Roman"/>
        <family val="1"/>
      </rPr>
      <t>et al.</t>
    </r>
    <r>
      <rPr>
        <sz val="12"/>
        <color theme="1"/>
        <rFont val="Times New Roman"/>
        <family val="1"/>
      </rPr>
      <t xml:space="preserve"> Long term impact of tillage practices and biennial P and N fertilization on maize and soybean yields and soil P status. </t>
    </r>
    <r>
      <rPr>
        <i/>
        <sz val="12"/>
        <color theme="1"/>
        <rFont val="Times New Roman"/>
        <family val="1"/>
      </rPr>
      <t>F. Crop. Res.</t>
    </r>
    <r>
      <rPr>
        <sz val="12"/>
        <color theme="1"/>
        <rFont val="Times New Roman"/>
        <family val="1"/>
      </rPr>
      <t xml:space="preserve"> </t>
    </r>
    <r>
      <rPr>
        <b/>
        <sz val="12"/>
        <color theme="1"/>
        <rFont val="Times New Roman"/>
        <family val="1"/>
      </rPr>
      <t>133</t>
    </r>
    <r>
      <rPr>
        <sz val="12"/>
        <color theme="1"/>
        <rFont val="Times New Roman"/>
        <family val="1"/>
      </rPr>
      <t>, 10–22 (2012).</t>
    </r>
  </si>
  <si>
    <r>
      <t xml:space="preserve">Mishra, J. S. &amp; Singh, V. P. Tillage and weed control effects on productivity of a dry seeded rice-wheat system on a Vertisol in Central India. </t>
    </r>
    <r>
      <rPr>
        <i/>
        <sz val="12"/>
        <color theme="1"/>
        <rFont val="Times New Roman"/>
        <family val="1"/>
      </rPr>
      <t>Soil Tillage Res.</t>
    </r>
    <r>
      <rPr>
        <sz val="12"/>
        <color theme="1"/>
        <rFont val="Times New Roman"/>
        <family val="1"/>
      </rPr>
      <t xml:space="preserve"> </t>
    </r>
    <r>
      <rPr>
        <b/>
        <sz val="12"/>
        <color theme="1"/>
        <rFont val="Times New Roman"/>
        <family val="1"/>
      </rPr>
      <t>123</t>
    </r>
    <r>
      <rPr>
        <sz val="12"/>
        <color theme="1"/>
        <rFont val="Times New Roman"/>
        <family val="1"/>
      </rPr>
      <t>, 11–20 (2012).</t>
    </r>
  </si>
  <si>
    <r>
      <t xml:space="preserve">Mitra, B. </t>
    </r>
    <r>
      <rPr>
        <i/>
        <sz val="12"/>
        <color theme="1"/>
        <rFont val="Times New Roman"/>
        <family val="1"/>
      </rPr>
      <t>et al.</t>
    </r>
    <r>
      <rPr>
        <sz val="12"/>
        <color theme="1"/>
        <rFont val="Times New Roman"/>
        <family val="1"/>
      </rPr>
      <t xml:space="preserve"> Nutrient management in wheat (Triticum aestivum) production system under conventional and zero tillage in eastern sub-Himalayan plains of India. </t>
    </r>
    <r>
      <rPr>
        <i/>
        <sz val="12"/>
        <color theme="1"/>
        <rFont val="Times New Roman"/>
        <family val="1"/>
      </rPr>
      <t>Indian J. Agric. Sci.</t>
    </r>
    <r>
      <rPr>
        <sz val="12"/>
        <color theme="1"/>
        <rFont val="Times New Roman"/>
        <family val="1"/>
      </rPr>
      <t xml:space="preserve"> </t>
    </r>
    <r>
      <rPr>
        <b/>
        <sz val="12"/>
        <color theme="1"/>
        <rFont val="Times New Roman"/>
        <family val="1"/>
      </rPr>
      <t>89</t>
    </r>
    <r>
      <rPr>
        <sz val="12"/>
        <color theme="1"/>
        <rFont val="Times New Roman"/>
        <family val="1"/>
      </rPr>
      <t>, 775–784 (2019).</t>
    </r>
  </si>
  <si>
    <r>
      <t xml:space="preserve">Monneveux, P., Quillérou, E., Sanchez, C. &amp; Lopez-Cesati, J. Effect of zero tillage and residues conservation on continuous maize cropping in a subtropical environment (Mexico). </t>
    </r>
    <r>
      <rPr>
        <i/>
        <sz val="12"/>
        <color theme="1"/>
        <rFont val="Times New Roman"/>
        <family val="1"/>
      </rPr>
      <t>Plant Soil</t>
    </r>
    <r>
      <rPr>
        <sz val="12"/>
        <color theme="1"/>
        <rFont val="Times New Roman"/>
        <family val="1"/>
      </rPr>
      <t xml:space="preserve"> </t>
    </r>
    <r>
      <rPr>
        <b/>
        <sz val="12"/>
        <color theme="1"/>
        <rFont val="Times New Roman"/>
        <family val="1"/>
      </rPr>
      <t>279</t>
    </r>
    <r>
      <rPr>
        <sz val="12"/>
        <color theme="1"/>
        <rFont val="Times New Roman"/>
        <family val="1"/>
      </rPr>
      <t>, 95–105 (2006).</t>
    </r>
  </si>
  <si>
    <r>
      <t xml:space="preserve">Morell, F. J., Lampurlanés, J., Álvaro-Fuentes, J. &amp; Cantero-Martínez, C. Yield and water use efficiency of barley in a semiarid Mediterranean agroecosystem: Long-term effects of tillage and N fertilization. </t>
    </r>
    <r>
      <rPr>
        <i/>
        <sz val="12"/>
        <color theme="1"/>
        <rFont val="Times New Roman"/>
        <family val="1"/>
      </rPr>
      <t>Soil Tillage Res.</t>
    </r>
    <r>
      <rPr>
        <sz val="12"/>
        <color theme="1"/>
        <rFont val="Times New Roman"/>
        <family val="1"/>
      </rPr>
      <t xml:space="preserve"> </t>
    </r>
    <r>
      <rPr>
        <b/>
        <sz val="12"/>
        <color theme="1"/>
        <rFont val="Times New Roman"/>
        <family val="1"/>
      </rPr>
      <t>117</t>
    </r>
    <r>
      <rPr>
        <sz val="12"/>
        <color theme="1"/>
        <rFont val="Times New Roman"/>
        <family val="1"/>
      </rPr>
      <t>, 76–84 (2011).</t>
    </r>
  </si>
  <si>
    <r>
      <t xml:space="preserve">Moret, D., Arrúe, J. L., López, M. V &amp; Gracia, R. Winter barley performance under different cropping and tillage systems in semiarid Aragon (NE Spain). </t>
    </r>
    <r>
      <rPr>
        <i/>
        <sz val="12"/>
        <color theme="1"/>
        <rFont val="Times New Roman"/>
        <family val="1"/>
      </rPr>
      <t>Eur. J. Agron.</t>
    </r>
    <r>
      <rPr>
        <sz val="12"/>
        <color theme="1"/>
        <rFont val="Times New Roman"/>
        <family val="1"/>
      </rPr>
      <t xml:space="preserve"> </t>
    </r>
    <r>
      <rPr>
        <b/>
        <sz val="12"/>
        <color theme="1"/>
        <rFont val="Times New Roman"/>
        <family val="1"/>
      </rPr>
      <t>26</t>
    </r>
    <r>
      <rPr>
        <sz val="12"/>
        <color theme="1"/>
        <rFont val="Times New Roman"/>
        <family val="1"/>
      </rPr>
      <t>, 54–63 (2007).</t>
    </r>
  </si>
  <si>
    <r>
      <t xml:space="preserve">Morrison, M. J. </t>
    </r>
    <r>
      <rPr>
        <i/>
        <sz val="12"/>
        <color theme="1"/>
        <rFont val="Times New Roman"/>
        <family val="1"/>
      </rPr>
      <t>et al.</t>
    </r>
    <r>
      <rPr>
        <sz val="12"/>
        <color theme="1"/>
        <rFont val="Times New Roman"/>
        <family val="1"/>
      </rPr>
      <t xml:space="preserve"> Tillage and crop rotation effects on the yield of corn, soybean and wheat in eastern Canada. </t>
    </r>
    <r>
      <rPr>
        <i/>
        <sz val="12"/>
        <color theme="1"/>
        <rFont val="Times New Roman"/>
        <family val="1"/>
      </rPr>
      <t>Can. J. Plant Sci.</t>
    </r>
    <r>
      <rPr>
        <sz val="12"/>
        <color theme="1"/>
        <rFont val="Times New Roman"/>
        <family val="1"/>
      </rPr>
      <t xml:space="preserve"> </t>
    </r>
    <r>
      <rPr>
        <b/>
        <sz val="12"/>
        <color theme="1"/>
        <rFont val="Times New Roman"/>
        <family val="1"/>
      </rPr>
      <t>98</t>
    </r>
    <r>
      <rPr>
        <sz val="12"/>
        <color theme="1"/>
        <rFont val="Times New Roman"/>
        <family val="1"/>
      </rPr>
      <t>, 183–191 (2017).</t>
    </r>
  </si>
  <si>
    <r>
      <t xml:space="preserve">Mosier, A. R., Halvorson, A. D., Reule, C. A. &amp; Liu, X. J. Net global warming potential and greenhouse gas intensity in irrigated cropping systems in Northeastern Colorado. </t>
    </r>
    <r>
      <rPr>
        <i/>
        <sz val="12"/>
        <color theme="1"/>
        <rFont val="Times New Roman"/>
        <family val="1"/>
      </rPr>
      <t>J. Environ. Qual.</t>
    </r>
    <r>
      <rPr>
        <sz val="12"/>
        <color theme="1"/>
        <rFont val="Times New Roman"/>
        <family val="1"/>
      </rPr>
      <t xml:space="preserve"> </t>
    </r>
    <r>
      <rPr>
        <b/>
        <sz val="12"/>
        <color theme="1"/>
        <rFont val="Times New Roman"/>
        <family val="1"/>
      </rPr>
      <t>35</t>
    </r>
    <r>
      <rPr>
        <sz val="12"/>
        <color theme="1"/>
        <rFont val="Times New Roman"/>
        <family val="1"/>
      </rPr>
      <t>, 1584–1598 (2006).</t>
    </r>
  </si>
  <si>
    <r>
      <t xml:space="preserve">Mrabet, R. Differential response of wheat to tillage management systems in a semiarid area of Morocco. </t>
    </r>
    <r>
      <rPr>
        <i/>
        <sz val="12"/>
        <color theme="1"/>
        <rFont val="Times New Roman"/>
        <family val="1"/>
      </rPr>
      <t>F. Crop. Res.</t>
    </r>
    <r>
      <rPr>
        <sz val="12"/>
        <color theme="1"/>
        <rFont val="Times New Roman"/>
        <family val="1"/>
      </rPr>
      <t xml:space="preserve"> </t>
    </r>
    <r>
      <rPr>
        <b/>
        <sz val="12"/>
        <color theme="1"/>
        <rFont val="Times New Roman"/>
        <family val="1"/>
      </rPr>
      <t>66</t>
    </r>
    <r>
      <rPr>
        <sz val="12"/>
        <color theme="1"/>
        <rFont val="Times New Roman"/>
        <family val="1"/>
      </rPr>
      <t>, 165–174 (2000).</t>
    </r>
  </si>
  <si>
    <r>
      <t xml:space="preserve">Mtyobile, M., Muzangwa, L. &amp; Mnkeni, P. N. S. Tillage and crop rotation effects on selected soil chemical properties and wheat yield in a sandy loam oakleaf soil in the Eastern Cape, South Africa. </t>
    </r>
    <r>
      <rPr>
        <i/>
        <sz val="12"/>
        <color theme="1"/>
        <rFont val="Times New Roman"/>
        <family val="1"/>
      </rPr>
      <t>Int. J. Agric. Biol.</t>
    </r>
    <r>
      <rPr>
        <sz val="12"/>
        <color theme="1"/>
        <rFont val="Times New Roman"/>
        <family val="1"/>
      </rPr>
      <t xml:space="preserve"> </t>
    </r>
    <r>
      <rPr>
        <b/>
        <sz val="12"/>
        <color theme="1"/>
        <rFont val="Times New Roman"/>
        <family val="1"/>
      </rPr>
      <t>21</t>
    </r>
    <r>
      <rPr>
        <sz val="12"/>
        <color theme="1"/>
        <rFont val="Times New Roman"/>
        <family val="1"/>
      </rPr>
      <t>, 367–374 (2019).</t>
    </r>
  </si>
  <si>
    <r>
      <t xml:space="preserve">Mulugeta, D. &amp; Stoltenberg, D. E. Weed and seedbank management with integrated methods as influenced by tillage. </t>
    </r>
    <r>
      <rPr>
        <i/>
        <sz val="12"/>
        <color theme="1"/>
        <rFont val="Times New Roman"/>
        <family val="1"/>
      </rPr>
      <t>Weed Sci.</t>
    </r>
    <r>
      <rPr>
        <sz val="12"/>
        <color theme="1"/>
        <rFont val="Times New Roman"/>
        <family val="1"/>
      </rPr>
      <t xml:space="preserve"> </t>
    </r>
    <r>
      <rPr>
        <b/>
        <sz val="12"/>
        <color theme="1"/>
        <rFont val="Times New Roman"/>
        <family val="1"/>
      </rPr>
      <t>45</t>
    </r>
    <r>
      <rPr>
        <sz val="12"/>
        <color theme="1"/>
        <rFont val="Times New Roman"/>
        <family val="1"/>
      </rPr>
      <t>, 706–715 (1997).</t>
    </r>
  </si>
  <si>
    <r>
      <t xml:space="preserve">Mutsamba, E. F., Nyagumbo, I. &amp; Mupangwa, W. Forage and maize yields in mixed crop-livestock farming systems. </t>
    </r>
    <r>
      <rPr>
        <i/>
        <sz val="12"/>
        <color theme="1"/>
        <rFont val="Times New Roman"/>
        <family val="1"/>
      </rPr>
      <t>NJAS - Wageningen J. Life Sci.</t>
    </r>
    <r>
      <rPr>
        <sz val="12"/>
        <color theme="1"/>
        <rFont val="Times New Roman"/>
        <family val="1"/>
      </rPr>
      <t xml:space="preserve"> 100317 (2019) doi:10.1016/j.njas.2019.100317.</t>
    </r>
  </si>
  <si>
    <r>
      <t xml:space="preserve">Mutsamba, E. F., Nyagumbo, I. &amp; Mupangwa, W. Forage and maize yields in mixed crop-livestock farming systems: Enhancing forage and maize yields in mixed crop-livestock systems under conservation agriculture in sub-humid Zimbabwe. </t>
    </r>
    <r>
      <rPr>
        <i/>
        <sz val="12"/>
        <color theme="1"/>
        <rFont val="Times New Roman"/>
        <family val="1"/>
      </rPr>
      <t>NJAS - Wageningen J. Life Sci.</t>
    </r>
    <r>
      <rPr>
        <sz val="12"/>
        <color theme="1"/>
        <rFont val="Times New Roman"/>
        <family val="1"/>
      </rPr>
      <t xml:space="preserve"> 100317 (2019) doi:10.1016/j.njas.2019.100317.</t>
    </r>
  </si>
  <si>
    <r>
      <t xml:space="preserve">Nandan, R. </t>
    </r>
    <r>
      <rPr>
        <i/>
        <sz val="12"/>
        <color theme="1"/>
        <rFont val="Times New Roman"/>
        <family val="1"/>
      </rPr>
      <t>et al.</t>
    </r>
    <r>
      <rPr>
        <sz val="12"/>
        <color theme="1"/>
        <rFont val="Times New Roman"/>
        <family val="1"/>
      </rPr>
      <t xml:space="preserve"> Crop establishment with conservation tillage and crop residue retention in rice-based cropping systems of Eastern India: yield advantage and economic benefit. </t>
    </r>
    <r>
      <rPr>
        <i/>
        <sz val="12"/>
        <color theme="1"/>
        <rFont val="Times New Roman"/>
        <family val="1"/>
      </rPr>
      <t>Paddy Water Environ.</t>
    </r>
    <r>
      <rPr>
        <sz val="12"/>
        <color theme="1"/>
        <rFont val="Times New Roman"/>
        <family val="1"/>
      </rPr>
      <t xml:space="preserve"> </t>
    </r>
    <r>
      <rPr>
        <b/>
        <sz val="12"/>
        <color theme="1"/>
        <rFont val="Times New Roman"/>
        <family val="1"/>
      </rPr>
      <t>16</t>
    </r>
    <r>
      <rPr>
        <sz val="12"/>
        <color theme="1"/>
        <rFont val="Times New Roman"/>
        <family val="1"/>
      </rPr>
      <t>, 477–492 (2018).</t>
    </r>
  </si>
  <si>
    <r>
      <t xml:space="preserve">Narayan, D., Tiwari, A. K., Lal, B. &amp; Katiyar, V. S. Effect of tillage practices and cover management on soil and water conservation and yield of sorghum. </t>
    </r>
    <r>
      <rPr>
        <i/>
        <sz val="12"/>
        <color theme="1"/>
        <rFont val="Times New Roman"/>
        <family val="1"/>
      </rPr>
      <t>Ann. Arid Zone</t>
    </r>
    <r>
      <rPr>
        <sz val="12"/>
        <color theme="1"/>
        <rFont val="Times New Roman"/>
        <family val="1"/>
      </rPr>
      <t xml:space="preserve"> </t>
    </r>
    <r>
      <rPr>
        <b/>
        <sz val="12"/>
        <color theme="1"/>
        <rFont val="Times New Roman"/>
        <family val="1"/>
      </rPr>
      <t>48</t>
    </r>
    <r>
      <rPr>
        <sz val="12"/>
        <color theme="1"/>
        <rFont val="Times New Roman"/>
        <family val="1"/>
      </rPr>
      <t>, 133–138 (2009).</t>
    </r>
  </si>
  <si>
    <r>
      <t xml:space="preserve">Nazirah, L., Purba, E., Hanum, C. &amp; Rauf, A. Effect of soil tillage and mycorrhiza application on growth and yields of upland rice in drought condition. </t>
    </r>
    <r>
      <rPr>
        <i/>
        <sz val="12"/>
        <color theme="1"/>
        <rFont val="Times New Roman"/>
        <family val="1"/>
      </rPr>
      <t>Asian J. Agric. Biol.</t>
    </r>
    <r>
      <rPr>
        <sz val="12"/>
        <color theme="1"/>
        <rFont val="Times New Roman"/>
        <family val="1"/>
      </rPr>
      <t xml:space="preserve"> </t>
    </r>
    <r>
      <rPr>
        <b/>
        <sz val="12"/>
        <color theme="1"/>
        <rFont val="Times New Roman"/>
        <family val="1"/>
      </rPr>
      <t>6</t>
    </r>
    <r>
      <rPr>
        <sz val="12"/>
        <color theme="1"/>
        <rFont val="Times New Roman"/>
        <family val="1"/>
      </rPr>
      <t>, 251–258 (2018).</t>
    </r>
  </si>
  <si>
    <r>
      <t xml:space="preserve">Ndoli, A. </t>
    </r>
    <r>
      <rPr>
        <i/>
        <sz val="12"/>
        <color theme="1"/>
        <rFont val="Times New Roman"/>
        <family val="1"/>
      </rPr>
      <t>et al.</t>
    </r>
    <r>
      <rPr>
        <sz val="12"/>
        <color theme="1"/>
        <rFont val="Times New Roman"/>
        <family val="1"/>
      </rPr>
      <t xml:space="preserve"> Conservation agriculture with trees amplifies negative effects of reduced tillage on maize performance in East Africa. </t>
    </r>
    <r>
      <rPr>
        <i/>
        <sz val="12"/>
        <color theme="1"/>
        <rFont val="Times New Roman"/>
        <family val="1"/>
      </rPr>
      <t>F. Crop. Res.</t>
    </r>
    <r>
      <rPr>
        <sz val="12"/>
        <color theme="1"/>
        <rFont val="Times New Roman"/>
        <family val="1"/>
      </rPr>
      <t xml:space="preserve"> </t>
    </r>
    <r>
      <rPr>
        <b/>
        <sz val="12"/>
        <color theme="1"/>
        <rFont val="Times New Roman"/>
        <family val="1"/>
      </rPr>
      <t>221</t>
    </r>
    <r>
      <rPr>
        <sz val="12"/>
        <color theme="1"/>
        <rFont val="Times New Roman"/>
        <family val="1"/>
      </rPr>
      <t>, 238–244 (2018).</t>
    </r>
  </si>
  <si>
    <r>
      <t xml:space="preserve">Newton, A. C. </t>
    </r>
    <r>
      <rPr>
        <i/>
        <sz val="12"/>
        <color theme="1"/>
        <rFont val="Times New Roman"/>
        <family val="1"/>
      </rPr>
      <t>et al.</t>
    </r>
    <r>
      <rPr>
        <sz val="12"/>
        <color theme="1"/>
        <rFont val="Times New Roman"/>
        <family val="1"/>
      </rPr>
      <t xml:space="preserve"> Soil tillage effects on the efficacy of cultivars and their mixtures in winter barley. </t>
    </r>
    <r>
      <rPr>
        <i/>
        <sz val="12"/>
        <color theme="1"/>
        <rFont val="Times New Roman"/>
        <family val="1"/>
      </rPr>
      <t>F. Crop. Res.</t>
    </r>
    <r>
      <rPr>
        <sz val="12"/>
        <color theme="1"/>
        <rFont val="Times New Roman"/>
        <family val="1"/>
      </rPr>
      <t xml:space="preserve"> </t>
    </r>
    <r>
      <rPr>
        <b/>
        <sz val="12"/>
        <color theme="1"/>
        <rFont val="Times New Roman"/>
        <family val="1"/>
      </rPr>
      <t>128</t>
    </r>
    <r>
      <rPr>
        <sz val="12"/>
        <color theme="1"/>
        <rFont val="Times New Roman"/>
        <family val="1"/>
      </rPr>
      <t>, 91–100 (2012).</t>
    </r>
  </si>
  <si>
    <r>
      <t xml:space="preserve">Ngwira, A. R., Aune, J. B. &amp; Mkwinda, S. On-farm evaluation of yield and economic benefit of short term maize legume intercropping systems under conservation agriculture in Malawi. </t>
    </r>
    <r>
      <rPr>
        <i/>
        <sz val="12"/>
        <color theme="1"/>
        <rFont val="Times New Roman"/>
        <family val="1"/>
      </rPr>
      <t>F. Crop. Res.</t>
    </r>
    <r>
      <rPr>
        <sz val="12"/>
        <color theme="1"/>
        <rFont val="Times New Roman"/>
        <family val="1"/>
      </rPr>
      <t xml:space="preserve"> </t>
    </r>
    <r>
      <rPr>
        <b/>
        <sz val="12"/>
        <color theme="1"/>
        <rFont val="Times New Roman"/>
        <family val="1"/>
      </rPr>
      <t>132</t>
    </r>
    <r>
      <rPr>
        <sz val="12"/>
        <color theme="1"/>
        <rFont val="Times New Roman"/>
        <family val="1"/>
      </rPr>
      <t>, 149–157 (2012).</t>
    </r>
  </si>
  <si>
    <r>
      <t xml:space="preserve">Ngwira, A. R., Kabambe, V., Simwaka, P., Makoko, K. &amp; Kamoyo, K. Productivity and profitability of maize-legume cropping systems under conservation agriculture among smallholder farmers in Malawi. </t>
    </r>
    <r>
      <rPr>
        <i/>
        <sz val="12"/>
        <color theme="1"/>
        <rFont val="Times New Roman"/>
        <family val="1"/>
      </rPr>
      <t>Acta Agric. Scand. Sect. B Soil Plant Sci.</t>
    </r>
    <r>
      <rPr>
        <sz val="12"/>
        <color theme="1"/>
        <rFont val="Times New Roman"/>
        <family val="1"/>
      </rPr>
      <t xml:space="preserve"> </t>
    </r>
    <r>
      <rPr>
        <b/>
        <sz val="12"/>
        <color theme="1"/>
        <rFont val="Times New Roman"/>
        <family val="1"/>
      </rPr>
      <t>0</t>
    </r>
    <r>
      <rPr>
        <sz val="12"/>
        <color theme="1"/>
        <rFont val="Times New Roman"/>
        <family val="1"/>
      </rPr>
      <t>, 1–11 (2020).</t>
    </r>
  </si>
  <si>
    <r>
      <t xml:space="preserve">Nielsen, D. C. </t>
    </r>
    <r>
      <rPr>
        <i/>
        <sz val="12"/>
        <color theme="1"/>
        <rFont val="Times New Roman"/>
        <family val="1"/>
      </rPr>
      <t>et al.</t>
    </r>
    <r>
      <rPr>
        <sz val="12"/>
        <color theme="1"/>
        <rFont val="Times New Roman"/>
        <family val="1"/>
      </rPr>
      <t xml:space="preserve"> Cropping system influence on planting water content and yield of winter wheat. </t>
    </r>
    <r>
      <rPr>
        <i/>
        <sz val="12"/>
        <color theme="1"/>
        <rFont val="Times New Roman"/>
        <family val="1"/>
      </rPr>
      <t>Agron. J.</t>
    </r>
    <r>
      <rPr>
        <sz val="12"/>
        <color theme="1"/>
        <rFont val="Times New Roman"/>
        <family val="1"/>
      </rPr>
      <t xml:space="preserve"> </t>
    </r>
    <r>
      <rPr>
        <b/>
        <sz val="12"/>
        <color theme="1"/>
        <rFont val="Times New Roman"/>
        <family val="1"/>
      </rPr>
      <t>94</t>
    </r>
    <r>
      <rPr>
        <sz val="12"/>
        <color theme="1"/>
        <rFont val="Times New Roman"/>
        <family val="1"/>
      </rPr>
      <t>, 962–967 (2002).</t>
    </r>
  </si>
  <si>
    <r>
      <t xml:space="preserve">Noel, G. R. &amp; Wax, L. M. Population dynamics of Heterodera glycines in conventional tillage and no-tillage soybean/corn cropping systems. </t>
    </r>
    <r>
      <rPr>
        <i/>
        <sz val="12"/>
        <color theme="1"/>
        <rFont val="Times New Roman"/>
        <family val="1"/>
      </rPr>
      <t>J. Nematol.</t>
    </r>
    <r>
      <rPr>
        <sz val="12"/>
        <color theme="1"/>
        <rFont val="Times New Roman"/>
        <family val="1"/>
      </rPr>
      <t xml:space="preserve"> </t>
    </r>
    <r>
      <rPr>
        <b/>
        <sz val="12"/>
        <color theme="1"/>
        <rFont val="Times New Roman"/>
        <family val="1"/>
      </rPr>
      <t>35</t>
    </r>
    <r>
      <rPr>
        <sz val="12"/>
        <color theme="1"/>
        <rFont val="Times New Roman"/>
        <family val="1"/>
      </rPr>
      <t>, 104–109 (2003).</t>
    </r>
  </si>
  <si>
    <r>
      <t xml:space="preserve">Norwood, C. Profile water distribution and grain yield as affected by cropping system and tillage. </t>
    </r>
    <r>
      <rPr>
        <i/>
        <sz val="12"/>
        <color theme="1"/>
        <rFont val="Times New Roman"/>
        <family val="1"/>
      </rPr>
      <t>Agron. J.</t>
    </r>
    <r>
      <rPr>
        <sz val="12"/>
        <color theme="1"/>
        <rFont val="Times New Roman"/>
        <family val="1"/>
      </rPr>
      <t xml:space="preserve"> </t>
    </r>
    <r>
      <rPr>
        <b/>
        <sz val="12"/>
        <color theme="1"/>
        <rFont val="Times New Roman"/>
        <family val="1"/>
      </rPr>
      <t>86</t>
    </r>
    <r>
      <rPr>
        <sz val="12"/>
        <color theme="1"/>
        <rFont val="Times New Roman"/>
        <family val="1"/>
      </rPr>
      <t>, 558–563 (1994).</t>
    </r>
  </si>
  <si>
    <r>
      <t xml:space="preserve">Norwood, C. A. Water use and yield of dryland row crops as affected by tillage.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108–115 (1999).</t>
    </r>
  </si>
  <si>
    <r>
      <t xml:space="preserve">Norwood, C. A. &amp; Currie, R. S. Tillage, planting date, and plant population effects on dryland corn.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119–122 (1996).</t>
    </r>
  </si>
  <si>
    <r>
      <t xml:space="preserve">Nouri, A. </t>
    </r>
    <r>
      <rPr>
        <i/>
        <sz val="12"/>
        <color theme="1"/>
        <rFont val="Times New Roman"/>
        <family val="1"/>
      </rPr>
      <t>et al.</t>
    </r>
    <r>
      <rPr>
        <sz val="12"/>
        <color theme="1"/>
        <rFont val="Times New Roman"/>
        <family val="1"/>
      </rPr>
      <t xml:space="preserve"> Soil physical properties and soybean yield as influenced by long-term tillage systems and cover cropping in the Midsouth USA. </t>
    </r>
    <r>
      <rPr>
        <i/>
        <sz val="12"/>
        <color theme="1"/>
        <rFont val="Times New Roman"/>
        <family val="1"/>
      </rPr>
      <t>Sustain.</t>
    </r>
    <r>
      <rPr>
        <sz val="12"/>
        <color theme="1"/>
        <rFont val="Times New Roman"/>
        <family val="1"/>
      </rPr>
      <t xml:space="preserve"> </t>
    </r>
    <r>
      <rPr>
        <b/>
        <sz val="12"/>
        <color theme="1"/>
        <rFont val="Times New Roman"/>
        <family val="1"/>
      </rPr>
      <t>10</t>
    </r>
    <r>
      <rPr>
        <sz val="12"/>
        <color theme="1"/>
        <rFont val="Times New Roman"/>
        <family val="1"/>
      </rPr>
      <t>, (2018).</t>
    </r>
  </si>
  <si>
    <r>
      <t xml:space="preserve">Nyamadzawo, G., Nyamugafata, P., Wuta, M. &amp; Nyamangara, J. Maize yields under coppicing and non coppicing fallows in a fallow–maize rotation system in central Zimbabwe. </t>
    </r>
    <r>
      <rPr>
        <i/>
        <sz val="12"/>
        <color theme="1"/>
        <rFont val="Times New Roman"/>
        <family val="1"/>
      </rPr>
      <t>Agrofor. Syst.</t>
    </r>
    <r>
      <rPr>
        <sz val="12"/>
        <color theme="1"/>
        <rFont val="Times New Roman"/>
        <family val="1"/>
      </rPr>
      <t xml:space="preserve"> </t>
    </r>
    <r>
      <rPr>
        <b/>
        <sz val="12"/>
        <color theme="1"/>
        <rFont val="Times New Roman"/>
        <family val="1"/>
      </rPr>
      <t>84</t>
    </r>
    <r>
      <rPr>
        <sz val="12"/>
        <color theme="1"/>
        <rFont val="Times New Roman"/>
        <family val="1"/>
      </rPr>
      <t>, 273–286 (2012).</t>
    </r>
  </si>
  <si>
    <r>
      <t xml:space="preserve">Nyborg, M., Solberg, E. D., Izaurralde, R. C., Malhi, S. S. &amp; Molina-Ayala, M. Influence of long-term tillage, straw and N fertilizer on barley yield, plant-N uptake and soil-N balance. </t>
    </r>
    <r>
      <rPr>
        <i/>
        <sz val="12"/>
        <color theme="1"/>
        <rFont val="Times New Roman"/>
        <family val="1"/>
      </rPr>
      <t>Soil Tillage Res.</t>
    </r>
    <r>
      <rPr>
        <sz val="12"/>
        <color theme="1"/>
        <rFont val="Times New Roman"/>
        <family val="1"/>
      </rPr>
      <t xml:space="preserve"> </t>
    </r>
    <r>
      <rPr>
        <b/>
        <sz val="12"/>
        <color theme="1"/>
        <rFont val="Times New Roman"/>
        <family val="1"/>
      </rPr>
      <t>36</t>
    </r>
    <r>
      <rPr>
        <sz val="12"/>
        <color theme="1"/>
        <rFont val="Times New Roman"/>
        <family val="1"/>
      </rPr>
      <t>, 165–174 (1995).</t>
    </r>
  </si>
  <si>
    <r>
      <t xml:space="preserve">Ogunremi, L. T., Lal, R. &amp; Babalola, O. Effects of tillage methods and water regimes on soil properties and yield of lowland rice from a sandy loam soil in Southwest Nigeria. </t>
    </r>
    <r>
      <rPr>
        <i/>
        <sz val="12"/>
        <color theme="1"/>
        <rFont val="Times New Roman"/>
        <family val="1"/>
      </rPr>
      <t>Soil Tillage Res.</t>
    </r>
    <r>
      <rPr>
        <sz val="12"/>
        <color theme="1"/>
        <rFont val="Times New Roman"/>
        <family val="1"/>
      </rPr>
      <t xml:space="preserve"> </t>
    </r>
    <r>
      <rPr>
        <b/>
        <sz val="12"/>
        <color theme="1"/>
        <rFont val="Times New Roman"/>
        <family val="1"/>
      </rPr>
      <t>6</t>
    </r>
    <r>
      <rPr>
        <sz val="12"/>
        <color theme="1"/>
        <rFont val="Times New Roman"/>
        <family val="1"/>
      </rPr>
      <t>, 223–234 (1986).</t>
    </r>
  </si>
  <si>
    <r>
      <t xml:space="preserve">Ogunremi, L. T., Lal, R. &amp; Babalola, O. Effects of tillage and seeding methods on soil physical properties and yield of upland rice for an ultisol in southeast Nigeria. </t>
    </r>
    <r>
      <rPr>
        <i/>
        <sz val="12"/>
        <color theme="1"/>
        <rFont val="Times New Roman"/>
        <family val="1"/>
      </rPr>
      <t>Soil Tillage Res.</t>
    </r>
    <r>
      <rPr>
        <sz val="12"/>
        <color theme="1"/>
        <rFont val="Times New Roman"/>
        <family val="1"/>
      </rPr>
      <t xml:space="preserve"> </t>
    </r>
    <r>
      <rPr>
        <b/>
        <sz val="12"/>
        <color theme="1"/>
        <rFont val="Times New Roman"/>
        <family val="1"/>
      </rPr>
      <t>6</t>
    </r>
    <r>
      <rPr>
        <sz val="12"/>
        <color theme="1"/>
        <rFont val="Times New Roman"/>
        <family val="1"/>
      </rPr>
      <t>, 305–324 (1986).</t>
    </r>
  </si>
  <si>
    <r>
      <t xml:space="preserve">Ojeniyi, S. O. Nutrient availability and maize yield under reduced tillage practices. </t>
    </r>
    <r>
      <rPr>
        <i/>
        <sz val="12"/>
        <color theme="1"/>
        <rFont val="Times New Roman"/>
        <family val="1"/>
      </rPr>
      <t>Soil Tillage Res.</t>
    </r>
    <r>
      <rPr>
        <sz val="12"/>
        <color theme="1"/>
        <rFont val="Times New Roman"/>
        <family val="1"/>
      </rPr>
      <t xml:space="preserve"> </t>
    </r>
    <r>
      <rPr>
        <b/>
        <sz val="12"/>
        <color theme="1"/>
        <rFont val="Times New Roman"/>
        <family val="1"/>
      </rPr>
      <t>26</t>
    </r>
    <r>
      <rPr>
        <sz val="12"/>
        <color theme="1"/>
        <rFont val="Times New Roman"/>
        <family val="1"/>
      </rPr>
      <t>, 89–92 (1993).</t>
    </r>
  </si>
  <si>
    <r>
      <t xml:space="preserve">Olson, K. R., Ebelhar, S. A. &amp; Lang, J. M. Effects of 24 years of conservation tillage systems on soil organic carbon and soil productivity. </t>
    </r>
    <r>
      <rPr>
        <i/>
        <sz val="12"/>
        <color theme="1"/>
        <rFont val="Times New Roman"/>
        <family val="1"/>
      </rPr>
      <t>Appl. Environ. Soil Sci.</t>
    </r>
    <r>
      <rPr>
        <sz val="12"/>
        <color theme="1"/>
        <rFont val="Times New Roman"/>
        <family val="1"/>
      </rPr>
      <t xml:space="preserve"> </t>
    </r>
    <r>
      <rPr>
        <b/>
        <sz val="12"/>
        <color theme="1"/>
        <rFont val="Times New Roman"/>
        <family val="1"/>
      </rPr>
      <t>2013</t>
    </r>
    <r>
      <rPr>
        <sz val="12"/>
        <color theme="1"/>
        <rFont val="Times New Roman"/>
        <family val="1"/>
      </rPr>
      <t>, (2013).</t>
    </r>
  </si>
  <si>
    <r>
      <t xml:space="preserve">Opoku, G., Vyn, T. J. &amp; Swanton, C. J. Modified no-till systems for corn following wheat on clay softs. </t>
    </r>
    <r>
      <rPr>
        <i/>
        <sz val="12"/>
        <color theme="1"/>
        <rFont val="Times New Roman"/>
        <family val="1"/>
      </rPr>
      <t>Agron. J.</t>
    </r>
    <r>
      <rPr>
        <sz val="12"/>
        <color theme="1"/>
        <rFont val="Times New Roman"/>
        <family val="1"/>
      </rPr>
      <t xml:space="preserve"> </t>
    </r>
    <r>
      <rPr>
        <b/>
        <sz val="12"/>
        <color theme="1"/>
        <rFont val="Times New Roman"/>
        <family val="1"/>
      </rPr>
      <t>89</t>
    </r>
    <r>
      <rPr>
        <sz val="12"/>
        <color theme="1"/>
        <rFont val="Times New Roman"/>
        <family val="1"/>
      </rPr>
      <t>, 549–556 (1997).</t>
    </r>
  </si>
  <si>
    <r>
      <t xml:space="preserve">Osuji, G. E. Water storage, water use and maize yield for tillage systems on a tropical alfisol in Nigeria. </t>
    </r>
    <r>
      <rPr>
        <i/>
        <sz val="12"/>
        <color theme="1"/>
        <rFont val="Times New Roman"/>
        <family val="1"/>
      </rPr>
      <t>Soil Tillage Res.</t>
    </r>
    <r>
      <rPr>
        <sz val="12"/>
        <color theme="1"/>
        <rFont val="Times New Roman"/>
        <family val="1"/>
      </rPr>
      <t xml:space="preserve"> </t>
    </r>
    <r>
      <rPr>
        <b/>
        <sz val="12"/>
        <color theme="1"/>
        <rFont val="Times New Roman"/>
        <family val="1"/>
      </rPr>
      <t>4</t>
    </r>
    <r>
      <rPr>
        <sz val="12"/>
        <color theme="1"/>
        <rFont val="Times New Roman"/>
        <family val="1"/>
      </rPr>
      <t>, 339–348 (1984).</t>
    </r>
  </si>
  <si>
    <r>
      <t xml:space="preserve">Ouédraogo, E., Mando, A., Brussaard, L. &amp; Stroosnijder, L. Tillage and fertility management effects on soil organic matter and sorghum yield in semi-arid West Africa. </t>
    </r>
    <r>
      <rPr>
        <i/>
        <sz val="12"/>
        <color theme="1"/>
        <rFont val="Times New Roman"/>
        <family val="1"/>
      </rPr>
      <t>Soil Tillage Res.</t>
    </r>
    <r>
      <rPr>
        <sz val="12"/>
        <color theme="1"/>
        <rFont val="Times New Roman"/>
        <family val="1"/>
      </rPr>
      <t xml:space="preserve"> </t>
    </r>
    <r>
      <rPr>
        <b/>
        <sz val="12"/>
        <color theme="1"/>
        <rFont val="Times New Roman"/>
        <family val="1"/>
      </rPr>
      <t>94</t>
    </r>
    <r>
      <rPr>
        <sz val="12"/>
        <color theme="1"/>
        <rFont val="Times New Roman"/>
        <family val="1"/>
      </rPr>
      <t>, 64–74 (2007).</t>
    </r>
  </si>
  <si>
    <r>
      <t xml:space="preserve">Pabin, J., Lipiec, J., Włodek, S. &amp; Biskupski, A. Maize response to different straw management and tillage systems under cereal crop rotation. </t>
    </r>
    <r>
      <rPr>
        <i/>
        <sz val="12"/>
        <color theme="1"/>
        <rFont val="Times New Roman"/>
        <family val="1"/>
      </rPr>
      <t>Int. Agrophysics</t>
    </r>
    <r>
      <rPr>
        <sz val="12"/>
        <color theme="1"/>
        <rFont val="Times New Roman"/>
        <family val="1"/>
      </rPr>
      <t xml:space="preserve"> </t>
    </r>
    <r>
      <rPr>
        <b/>
        <sz val="12"/>
        <color theme="1"/>
        <rFont val="Times New Roman"/>
        <family val="1"/>
      </rPr>
      <t>20</t>
    </r>
    <r>
      <rPr>
        <sz val="12"/>
        <color theme="1"/>
        <rFont val="Times New Roman"/>
        <family val="1"/>
      </rPr>
      <t>, 141–146 (2006).</t>
    </r>
  </si>
  <si>
    <r>
      <t xml:space="preserve">Pagnani, G. </t>
    </r>
    <r>
      <rPr>
        <i/>
        <sz val="12"/>
        <color theme="1"/>
        <rFont val="Times New Roman"/>
        <family val="1"/>
      </rPr>
      <t>et al.</t>
    </r>
    <r>
      <rPr>
        <sz val="12"/>
        <color theme="1"/>
        <rFont val="Times New Roman"/>
        <family val="1"/>
      </rPr>
      <t xml:space="preserve"> Effect of soil tillage and crop sequence on grain yield and quality of durum wheat in Mediterranean areas.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488 (2019).</t>
    </r>
  </si>
  <si>
    <r>
      <t xml:space="preserve">Pala, M., Harris, H. C., Ryan, J., Makboul, R. &amp; Dozom, S. Tillage systems and stubble management in a Mediterranean-type environment in relation to crop yield and soil moisture. </t>
    </r>
    <r>
      <rPr>
        <i/>
        <sz val="12"/>
        <color theme="1"/>
        <rFont val="Times New Roman"/>
        <family val="1"/>
      </rPr>
      <t>Exp. Agric.</t>
    </r>
    <r>
      <rPr>
        <sz val="12"/>
        <color theme="1"/>
        <rFont val="Times New Roman"/>
        <family val="1"/>
      </rPr>
      <t xml:space="preserve"> </t>
    </r>
    <r>
      <rPr>
        <b/>
        <sz val="12"/>
        <color theme="1"/>
        <rFont val="Times New Roman"/>
        <family val="1"/>
      </rPr>
      <t>36</t>
    </r>
    <r>
      <rPr>
        <sz val="12"/>
        <color theme="1"/>
        <rFont val="Times New Roman"/>
        <family val="1"/>
      </rPr>
      <t>, 223–242 (2000).</t>
    </r>
  </si>
  <si>
    <r>
      <t xml:space="preserve">Pareja-Sánchez, E., Plaza-Bonilla, D., Álvaro-Fuentes, J. &amp; Cantero-Martínez, C. Is it feasible to reduce tillage and N use while improving maize yield in irrigated Mediterranean agroecosystems? </t>
    </r>
    <r>
      <rPr>
        <i/>
        <sz val="12"/>
        <color theme="1"/>
        <rFont val="Times New Roman"/>
        <family val="1"/>
      </rPr>
      <t>Eur. J. Agron.</t>
    </r>
    <r>
      <rPr>
        <sz val="12"/>
        <color theme="1"/>
        <rFont val="Times New Roman"/>
        <family val="1"/>
      </rPr>
      <t xml:space="preserve"> </t>
    </r>
    <r>
      <rPr>
        <b/>
        <sz val="12"/>
        <color theme="1"/>
        <rFont val="Times New Roman"/>
        <family val="1"/>
      </rPr>
      <t>109</t>
    </r>
    <r>
      <rPr>
        <sz val="12"/>
        <color theme="1"/>
        <rFont val="Times New Roman"/>
        <family val="1"/>
      </rPr>
      <t>, 125919 (2019).</t>
    </r>
  </si>
  <si>
    <r>
      <t xml:space="preserve">Parihar, C. M. </t>
    </r>
    <r>
      <rPr>
        <i/>
        <sz val="12"/>
        <color theme="1"/>
        <rFont val="Times New Roman"/>
        <family val="1"/>
      </rPr>
      <t>et al.</t>
    </r>
    <r>
      <rPr>
        <sz val="12"/>
        <color theme="1"/>
        <rFont val="Times New Roman"/>
        <family val="1"/>
      </rPr>
      <t xml:space="preserve"> Effects of precision conservation agriculture in a maize-wheat-mungbean rotation on crop yield, water-use and radiation conversion under a semiarid agro-ecosystem. </t>
    </r>
    <r>
      <rPr>
        <i/>
        <sz val="12"/>
        <color theme="1"/>
        <rFont val="Times New Roman"/>
        <family val="1"/>
      </rPr>
      <t>Agric. Water Manag.</t>
    </r>
    <r>
      <rPr>
        <sz val="12"/>
        <color theme="1"/>
        <rFont val="Times New Roman"/>
        <family val="1"/>
      </rPr>
      <t xml:space="preserve"> </t>
    </r>
    <r>
      <rPr>
        <b/>
        <sz val="12"/>
        <color theme="1"/>
        <rFont val="Times New Roman"/>
        <family val="1"/>
      </rPr>
      <t>192</t>
    </r>
    <r>
      <rPr>
        <sz val="12"/>
        <color theme="1"/>
        <rFont val="Times New Roman"/>
        <family val="1"/>
      </rPr>
      <t>, 306–319 (2017).</t>
    </r>
  </si>
  <si>
    <r>
      <t xml:space="preserve">Parihar, C. M. </t>
    </r>
    <r>
      <rPr>
        <i/>
        <sz val="12"/>
        <color theme="1"/>
        <rFont val="Times New Roman"/>
        <family val="1"/>
      </rPr>
      <t>et al.</t>
    </r>
    <r>
      <rPr>
        <sz val="12"/>
        <color theme="1"/>
        <rFont val="Times New Roman"/>
        <family val="1"/>
      </rPr>
      <t xml:space="preserve"> Conservation agriculture in irrigated intensive maize-based systems of north-western India: Effects on crop yields, water productivity and economic profitability. </t>
    </r>
    <r>
      <rPr>
        <i/>
        <sz val="12"/>
        <color theme="1"/>
        <rFont val="Times New Roman"/>
        <family val="1"/>
      </rPr>
      <t>F. Crop. Res.</t>
    </r>
    <r>
      <rPr>
        <sz val="12"/>
        <color theme="1"/>
        <rFont val="Times New Roman"/>
        <family val="1"/>
      </rPr>
      <t xml:space="preserve"> </t>
    </r>
    <r>
      <rPr>
        <b/>
        <sz val="12"/>
        <color theme="1"/>
        <rFont val="Times New Roman"/>
        <family val="1"/>
      </rPr>
      <t>193</t>
    </r>
    <r>
      <rPr>
        <sz val="12"/>
        <color theme="1"/>
        <rFont val="Times New Roman"/>
        <family val="1"/>
      </rPr>
      <t>, 104–116 (2016).</t>
    </r>
  </si>
  <si>
    <r>
      <t xml:space="preserve">Parihar, C. M. </t>
    </r>
    <r>
      <rPr>
        <i/>
        <sz val="12"/>
        <color theme="1"/>
        <rFont val="Times New Roman"/>
        <family val="1"/>
      </rPr>
      <t>et al.</t>
    </r>
    <r>
      <rPr>
        <sz val="12"/>
        <color theme="1"/>
        <rFont val="Times New Roman"/>
        <family val="1"/>
      </rPr>
      <t xml:space="preserve"> Soil water dynamics, water productivity and radiation use efficiency of maize under multi-year conservation agriculture during contrasting rainfall events. </t>
    </r>
    <r>
      <rPr>
        <i/>
        <sz val="12"/>
        <color theme="1"/>
        <rFont val="Times New Roman"/>
        <family val="1"/>
      </rPr>
      <t>F. Crop. Res.</t>
    </r>
    <r>
      <rPr>
        <sz val="12"/>
        <color theme="1"/>
        <rFont val="Times New Roman"/>
        <family val="1"/>
      </rPr>
      <t xml:space="preserve"> </t>
    </r>
    <r>
      <rPr>
        <b/>
        <sz val="12"/>
        <color theme="1"/>
        <rFont val="Times New Roman"/>
        <family val="1"/>
      </rPr>
      <t>241</t>
    </r>
    <r>
      <rPr>
        <sz val="12"/>
        <color theme="1"/>
        <rFont val="Times New Roman"/>
        <family val="1"/>
      </rPr>
      <t>, 107570 (2019).</t>
    </r>
  </si>
  <si>
    <r>
      <t xml:space="preserve">Parihar, M. D. </t>
    </r>
    <r>
      <rPr>
        <i/>
        <sz val="12"/>
        <color theme="1"/>
        <rFont val="Times New Roman"/>
        <family val="1"/>
      </rPr>
      <t>et al.</t>
    </r>
    <r>
      <rPr>
        <sz val="12"/>
        <color theme="1"/>
        <rFont val="Times New Roman"/>
        <family val="1"/>
      </rPr>
      <t xml:space="preserve"> Effect of different tillage and residue management practices on crop and water productivity and economics in maize (zea mays) based rotations. </t>
    </r>
    <r>
      <rPr>
        <i/>
        <sz val="12"/>
        <color theme="1"/>
        <rFont val="Times New Roman"/>
        <family val="1"/>
      </rPr>
      <t>Indian J. Agric. Sci.</t>
    </r>
    <r>
      <rPr>
        <sz val="12"/>
        <color theme="1"/>
        <rFont val="Times New Roman"/>
        <family val="1"/>
      </rPr>
      <t xml:space="preserve"> </t>
    </r>
    <r>
      <rPr>
        <b/>
        <sz val="12"/>
        <color theme="1"/>
        <rFont val="Times New Roman"/>
        <family val="1"/>
      </rPr>
      <t>89</t>
    </r>
    <r>
      <rPr>
        <sz val="12"/>
        <color theme="1"/>
        <rFont val="Times New Roman"/>
        <family val="1"/>
      </rPr>
      <t>, 360–366 (2019).</t>
    </r>
  </si>
  <si>
    <r>
      <t xml:space="preserve">Parkin, T. B. &amp; Kaspar, T. C. Nitrous oxide emissions from corn-soybean systems in the Midwest. </t>
    </r>
    <r>
      <rPr>
        <i/>
        <sz val="12"/>
        <color theme="1"/>
        <rFont val="Times New Roman"/>
        <family val="1"/>
      </rPr>
      <t>J. Environ. Qual.</t>
    </r>
    <r>
      <rPr>
        <sz val="12"/>
        <color theme="1"/>
        <rFont val="Times New Roman"/>
        <family val="1"/>
      </rPr>
      <t xml:space="preserve"> </t>
    </r>
    <r>
      <rPr>
        <b/>
        <sz val="12"/>
        <color theme="1"/>
        <rFont val="Times New Roman"/>
        <family val="1"/>
      </rPr>
      <t>35</t>
    </r>
    <r>
      <rPr>
        <sz val="12"/>
        <color theme="1"/>
        <rFont val="Times New Roman"/>
        <family val="1"/>
      </rPr>
      <t>, 1496–1506 (2006).</t>
    </r>
  </si>
  <si>
    <r>
      <t xml:space="preserve">Peachey, B. E., William, R. D. &amp; Mallory-smith, C. Effect of spring tillage sequence on summer annual weeds in vegetable row crop rotations. </t>
    </r>
    <r>
      <rPr>
        <i/>
        <sz val="12"/>
        <color theme="1"/>
        <rFont val="Times New Roman"/>
        <family val="1"/>
      </rPr>
      <t>Weed Technol.</t>
    </r>
    <r>
      <rPr>
        <sz val="12"/>
        <color theme="1"/>
        <rFont val="Times New Roman"/>
        <family val="1"/>
      </rPr>
      <t xml:space="preserve"> </t>
    </r>
    <r>
      <rPr>
        <b/>
        <sz val="12"/>
        <color theme="1"/>
        <rFont val="Times New Roman"/>
        <family val="1"/>
      </rPr>
      <t>20</t>
    </r>
    <r>
      <rPr>
        <sz val="12"/>
        <color theme="1"/>
        <rFont val="Times New Roman"/>
        <family val="1"/>
      </rPr>
      <t>, 204–214 (2018).</t>
    </r>
  </si>
  <si>
    <r>
      <t xml:space="preserve">Pearce, A. D., Dillon, C. R., Keisling, T. C. &amp; Wilson, C. E. Economic and agronomic effects of four tillage practices on rice produced on saline soils. </t>
    </r>
    <r>
      <rPr>
        <i/>
        <sz val="12"/>
        <color theme="1"/>
        <rFont val="Times New Roman"/>
        <family val="1"/>
      </rPr>
      <t>J. Prod. Agric.</t>
    </r>
    <r>
      <rPr>
        <sz val="12"/>
        <color theme="1"/>
        <rFont val="Times New Roman"/>
        <family val="1"/>
      </rPr>
      <t xml:space="preserve"> </t>
    </r>
    <r>
      <rPr>
        <b/>
        <sz val="12"/>
        <color theme="1"/>
        <rFont val="Times New Roman"/>
        <family val="1"/>
      </rPr>
      <t>12</t>
    </r>
    <r>
      <rPr>
        <sz val="12"/>
        <color theme="1"/>
        <rFont val="Times New Roman"/>
        <family val="1"/>
      </rPr>
      <t>, 305–312 (1999).</t>
    </r>
  </si>
  <si>
    <r>
      <t xml:space="preserve">Pelster, D. E. </t>
    </r>
    <r>
      <rPr>
        <i/>
        <sz val="12"/>
        <color theme="1"/>
        <rFont val="Times New Roman"/>
        <family val="1"/>
      </rPr>
      <t>et al.</t>
    </r>
    <r>
      <rPr>
        <sz val="12"/>
        <color theme="1"/>
        <rFont val="Times New Roman"/>
        <family val="1"/>
      </rPr>
      <t xml:space="preserve"> Nitrogen fertilization but not soil tillage affects nitrous oxide emissions from a clay loam soil under a maize–soybean rotation. </t>
    </r>
    <r>
      <rPr>
        <i/>
        <sz val="12"/>
        <color theme="1"/>
        <rFont val="Times New Roman"/>
        <family val="1"/>
      </rPr>
      <t>Soil Tillage Res.</t>
    </r>
    <r>
      <rPr>
        <sz val="12"/>
        <color theme="1"/>
        <rFont val="Times New Roman"/>
        <family val="1"/>
      </rPr>
      <t xml:space="preserve"> </t>
    </r>
    <r>
      <rPr>
        <b/>
        <sz val="12"/>
        <color theme="1"/>
        <rFont val="Times New Roman"/>
        <family val="1"/>
      </rPr>
      <t>115</t>
    </r>
    <r>
      <rPr>
        <sz val="12"/>
        <color theme="1"/>
        <rFont val="Times New Roman"/>
        <family val="1"/>
      </rPr>
      <t>–</t>
    </r>
    <r>
      <rPr>
        <b/>
        <sz val="12"/>
        <color theme="1"/>
        <rFont val="Times New Roman"/>
        <family val="1"/>
      </rPr>
      <t>116</t>
    </r>
    <r>
      <rPr>
        <sz val="12"/>
        <color theme="1"/>
        <rFont val="Times New Roman"/>
        <family val="1"/>
      </rPr>
      <t>, 16–26 (2011).</t>
    </r>
  </si>
  <si>
    <r>
      <t xml:space="preserve">Peng, Z. </t>
    </r>
    <r>
      <rPr>
        <i/>
        <sz val="12"/>
        <color theme="1"/>
        <rFont val="Times New Roman"/>
        <family val="1"/>
      </rPr>
      <t>et al.</t>
    </r>
    <r>
      <rPr>
        <sz val="12"/>
        <color theme="1"/>
        <rFont val="Times New Roman"/>
        <family val="1"/>
      </rPr>
      <t xml:space="preserve"> Conservation tillage increases water use efficiency of spring wheat by optimizing water transfer in a semi-arid environment. </t>
    </r>
    <r>
      <rPr>
        <i/>
        <sz val="12"/>
        <color theme="1"/>
        <rFont val="Times New Roman"/>
        <family val="1"/>
      </rPr>
      <t>Agronomy</t>
    </r>
    <r>
      <rPr>
        <sz val="12"/>
        <color theme="1"/>
        <rFont val="Times New Roman"/>
        <family val="1"/>
      </rPr>
      <t xml:space="preserve"> </t>
    </r>
    <r>
      <rPr>
        <b/>
        <sz val="12"/>
        <color theme="1"/>
        <rFont val="Times New Roman"/>
        <family val="1"/>
      </rPr>
      <t>9</t>
    </r>
    <r>
      <rPr>
        <sz val="12"/>
        <color theme="1"/>
        <rFont val="Times New Roman"/>
        <family val="1"/>
      </rPr>
      <t>, 583 (2019).</t>
    </r>
  </si>
  <si>
    <r>
      <t xml:space="preserve">Perego, A. </t>
    </r>
    <r>
      <rPr>
        <i/>
        <sz val="12"/>
        <color theme="1"/>
        <rFont val="Times New Roman"/>
        <family val="1"/>
      </rPr>
      <t>et al.</t>
    </r>
    <r>
      <rPr>
        <sz val="12"/>
        <color theme="1"/>
        <rFont val="Times New Roman"/>
        <family val="1"/>
      </rPr>
      <t xml:space="preserve"> Agro-environmental aspects of conservation agriculture compared to conventional systems: A 3-year experience on 20 farms in the Po valley (Northern Italy). </t>
    </r>
    <r>
      <rPr>
        <i/>
        <sz val="12"/>
        <color theme="1"/>
        <rFont val="Times New Roman"/>
        <family val="1"/>
      </rPr>
      <t>Agric. Syst.</t>
    </r>
    <r>
      <rPr>
        <sz val="12"/>
        <color theme="1"/>
        <rFont val="Times New Roman"/>
        <family val="1"/>
      </rPr>
      <t xml:space="preserve"> </t>
    </r>
    <r>
      <rPr>
        <b/>
        <sz val="12"/>
        <color theme="1"/>
        <rFont val="Times New Roman"/>
        <family val="1"/>
      </rPr>
      <t>168</t>
    </r>
    <r>
      <rPr>
        <sz val="12"/>
        <color theme="1"/>
        <rFont val="Times New Roman"/>
        <family val="1"/>
      </rPr>
      <t>, 73–87 (2019).</t>
    </r>
  </si>
  <si>
    <r>
      <t xml:space="preserve">Pettigrew, W. T. &amp; Jones, M. A. Cotton growth under no-till production in the lower Mississippi river valley alluvial flood plain.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1398–1404 (2001).</t>
    </r>
  </si>
  <si>
    <r>
      <t xml:space="preserve">Plaza-Bonilla, D. </t>
    </r>
    <r>
      <rPr>
        <i/>
        <sz val="12"/>
        <color theme="1"/>
        <rFont val="Times New Roman"/>
        <family val="1"/>
      </rPr>
      <t>et al.</t>
    </r>
    <r>
      <rPr>
        <sz val="12"/>
        <color theme="1"/>
        <rFont val="Times New Roman"/>
        <family val="1"/>
      </rPr>
      <t xml:space="preserve"> No-tillage reduces long-term yield-scaled soil nitrous oxide emissions in rainfed Mediterranean agroecosystems: A field and modelling approach. </t>
    </r>
    <r>
      <rPr>
        <i/>
        <sz val="12"/>
        <color theme="1"/>
        <rFont val="Times New Roman"/>
        <family val="1"/>
      </rPr>
      <t>Agric. Ecosyst. Environ.</t>
    </r>
    <r>
      <rPr>
        <sz val="12"/>
        <color theme="1"/>
        <rFont val="Times New Roman"/>
        <family val="1"/>
      </rPr>
      <t xml:space="preserve"> </t>
    </r>
    <r>
      <rPr>
        <b/>
        <sz val="12"/>
        <color theme="1"/>
        <rFont val="Times New Roman"/>
        <family val="1"/>
      </rPr>
      <t>262</t>
    </r>
    <r>
      <rPr>
        <sz val="12"/>
        <color theme="1"/>
        <rFont val="Times New Roman"/>
        <family val="1"/>
      </rPr>
      <t>, 36–47 (2018).</t>
    </r>
  </si>
  <si>
    <r>
      <t xml:space="preserve">Potter, K. N., Morrison, J. E. &amp; Torbert, H. A. Tillage intensity effects on corn and grain sorghum growth and productivity on a vertisol.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385–390 (1996).</t>
    </r>
  </si>
  <si>
    <r>
      <t xml:space="preserve">Pradhan, P. R. </t>
    </r>
    <r>
      <rPr>
        <i/>
        <sz val="12"/>
        <color theme="1"/>
        <rFont val="Times New Roman"/>
        <family val="1"/>
      </rPr>
      <t>et al.</t>
    </r>
    <r>
      <rPr>
        <sz val="12"/>
        <color theme="1"/>
        <rFont val="Times New Roman"/>
        <family val="1"/>
      </rPr>
      <t xml:space="preserve"> Tillage and crop residue management practices on crop productivity, phosphorus uptake and forms in wheat (Triticum aestivum)-based cropping systems. </t>
    </r>
    <r>
      <rPr>
        <i/>
        <sz val="12"/>
        <color theme="1"/>
        <rFont val="Times New Roman"/>
        <family val="1"/>
      </rPr>
      <t>Indian J. Agric. Sci.</t>
    </r>
    <r>
      <rPr>
        <sz val="12"/>
        <color theme="1"/>
        <rFont val="Times New Roman"/>
        <family val="1"/>
      </rPr>
      <t xml:space="preserve"> </t>
    </r>
    <r>
      <rPr>
        <b/>
        <sz val="12"/>
        <color theme="1"/>
        <rFont val="Times New Roman"/>
        <family val="1"/>
      </rPr>
      <t>81</t>
    </r>
    <r>
      <rPr>
        <sz val="12"/>
        <color theme="1"/>
        <rFont val="Times New Roman"/>
        <family val="1"/>
      </rPr>
      <t>, 1168–1173 (2011).</t>
    </r>
  </si>
  <si>
    <r>
      <t xml:space="preserve">Qin, J. </t>
    </r>
    <r>
      <rPr>
        <i/>
        <sz val="12"/>
        <color theme="1"/>
        <rFont val="Times New Roman"/>
        <family val="1"/>
      </rPr>
      <t>et al.</t>
    </r>
    <r>
      <rPr>
        <sz val="12"/>
        <color theme="1"/>
        <rFont val="Times New Roman"/>
        <family val="1"/>
      </rPr>
      <t xml:space="preserve"> The effect of mulching, tillage and rotation on yield in non-flooded compared with flooded rice production. </t>
    </r>
    <r>
      <rPr>
        <i/>
        <sz val="12"/>
        <color theme="1"/>
        <rFont val="Times New Roman"/>
        <family val="1"/>
      </rPr>
      <t>J. Agron. Crop Sci.</t>
    </r>
    <r>
      <rPr>
        <sz val="12"/>
        <color theme="1"/>
        <rFont val="Times New Roman"/>
        <family val="1"/>
      </rPr>
      <t xml:space="preserve"> </t>
    </r>
    <r>
      <rPr>
        <b/>
        <sz val="12"/>
        <color theme="1"/>
        <rFont val="Times New Roman"/>
        <family val="1"/>
      </rPr>
      <t>196</t>
    </r>
    <r>
      <rPr>
        <sz val="12"/>
        <color theme="1"/>
        <rFont val="Times New Roman"/>
        <family val="1"/>
      </rPr>
      <t>, 397–406 (2010).</t>
    </r>
  </si>
  <si>
    <r>
      <t xml:space="preserve">Quincke, J. A. </t>
    </r>
    <r>
      <rPr>
        <i/>
        <sz val="12"/>
        <color theme="1"/>
        <rFont val="Times New Roman"/>
        <family val="1"/>
      </rPr>
      <t>et al.</t>
    </r>
    <r>
      <rPr>
        <sz val="12"/>
        <color theme="1"/>
        <rFont val="Times New Roman"/>
        <family val="1"/>
      </rPr>
      <t xml:space="preserve"> One-time tillage of no-till systems: Soil physical properties, phosphorus runoff, and crop yield. </t>
    </r>
    <r>
      <rPr>
        <i/>
        <sz val="12"/>
        <color theme="1"/>
        <rFont val="Times New Roman"/>
        <family val="1"/>
      </rPr>
      <t>Agron. J.</t>
    </r>
    <r>
      <rPr>
        <sz val="12"/>
        <color theme="1"/>
        <rFont val="Times New Roman"/>
        <family val="1"/>
      </rPr>
      <t xml:space="preserve"> </t>
    </r>
    <r>
      <rPr>
        <b/>
        <sz val="12"/>
        <color theme="1"/>
        <rFont val="Times New Roman"/>
        <family val="1"/>
      </rPr>
      <t>99</t>
    </r>
    <r>
      <rPr>
        <sz val="12"/>
        <color theme="1"/>
        <rFont val="Times New Roman"/>
        <family val="1"/>
      </rPr>
      <t>, 1104–1110 (2007).</t>
    </r>
  </si>
  <si>
    <r>
      <t xml:space="preserve">R. S. Kanwar, J. L. Baker &amp; D. G. Baker. Tillage and split N-fertilization effects on subsurface drainage water quality and crop yields. </t>
    </r>
    <r>
      <rPr>
        <i/>
        <sz val="12"/>
        <color theme="1"/>
        <rFont val="Times New Roman"/>
        <family val="1"/>
      </rPr>
      <t>Trans. ASAE</t>
    </r>
    <r>
      <rPr>
        <sz val="12"/>
        <color theme="1"/>
        <rFont val="Times New Roman"/>
        <family val="1"/>
      </rPr>
      <t xml:space="preserve"> </t>
    </r>
    <r>
      <rPr>
        <b/>
        <sz val="12"/>
        <color theme="1"/>
        <rFont val="Times New Roman"/>
        <family val="1"/>
      </rPr>
      <t>31</t>
    </r>
    <r>
      <rPr>
        <sz val="12"/>
        <color theme="1"/>
        <rFont val="Times New Roman"/>
        <family val="1"/>
      </rPr>
      <t>, 453–461 (1988).</t>
    </r>
  </si>
  <si>
    <r>
      <t xml:space="preserve">Radford, B. J. &amp; Thornton, C. M. Effects of 27 years of reduced tillage practices on soil properties and crop performance in the semi-arid subtropics of Australia. </t>
    </r>
    <r>
      <rPr>
        <i/>
        <sz val="12"/>
        <color theme="1"/>
        <rFont val="Times New Roman"/>
        <family val="1"/>
      </rPr>
      <t>Int. J. Energy Environ. Econ.</t>
    </r>
    <r>
      <rPr>
        <sz val="12"/>
        <color theme="1"/>
        <rFont val="Times New Roman"/>
        <family val="1"/>
      </rPr>
      <t xml:space="preserve"> </t>
    </r>
    <r>
      <rPr>
        <b/>
        <sz val="12"/>
        <color theme="1"/>
        <rFont val="Times New Roman"/>
        <family val="1"/>
      </rPr>
      <t>19</t>
    </r>
    <r>
      <rPr>
        <sz val="12"/>
        <color theme="1"/>
        <rFont val="Times New Roman"/>
        <family val="1"/>
      </rPr>
      <t>, 565 (2011).</t>
    </r>
  </si>
  <si>
    <r>
      <t xml:space="preserve">Ram, H., Kler, D. S., Singh, Y. &amp; Kumar, K. Productivity of maize (Zea mays) - wheat (Triticum aestivum) system under different tillage and crop establishment practices. </t>
    </r>
    <r>
      <rPr>
        <i/>
        <sz val="12"/>
        <color theme="1"/>
        <rFont val="Times New Roman"/>
        <family val="1"/>
      </rPr>
      <t>Indian J. Agron.</t>
    </r>
    <r>
      <rPr>
        <sz val="12"/>
        <color theme="1"/>
        <rFont val="Times New Roman"/>
        <family val="1"/>
      </rPr>
      <t xml:space="preserve"> </t>
    </r>
    <r>
      <rPr>
        <b/>
        <sz val="12"/>
        <color theme="1"/>
        <rFont val="Times New Roman"/>
        <family val="1"/>
      </rPr>
      <t>55</t>
    </r>
    <r>
      <rPr>
        <sz val="12"/>
        <color theme="1"/>
        <rFont val="Times New Roman"/>
        <family val="1"/>
      </rPr>
      <t>, 185–190 (2010).</t>
    </r>
  </si>
  <si>
    <r>
      <t xml:space="preserve">Ram, H., Kumar, K., Kler, D. S. &amp; Singh, Y. Effect of permanent bed planting and tillage options on microenvironment, crop productivity, water use efficiency, and soil properties under soybean (Glycine max L.) - wheat (Triticum aestivum L.) cropping system. </t>
    </r>
    <r>
      <rPr>
        <i/>
        <sz val="12"/>
        <color theme="1"/>
        <rFont val="Times New Roman"/>
        <family val="1"/>
      </rPr>
      <t>Ecol. Environ. Conserv.</t>
    </r>
    <r>
      <rPr>
        <sz val="12"/>
        <color theme="1"/>
        <rFont val="Times New Roman"/>
        <family val="1"/>
      </rPr>
      <t xml:space="preserve"> </t>
    </r>
    <r>
      <rPr>
        <b/>
        <sz val="12"/>
        <color theme="1"/>
        <rFont val="Times New Roman"/>
        <family val="1"/>
      </rPr>
      <t>16</t>
    </r>
    <r>
      <rPr>
        <sz val="12"/>
        <color theme="1"/>
        <rFont val="Times New Roman"/>
        <family val="1"/>
      </rPr>
      <t>, 593–599 (2010).</t>
    </r>
  </si>
  <si>
    <r>
      <t xml:space="preserve">Ramos, M. C., Pareja‐Sánchez, E., Plaza‐Bonilla, D., Cantero‐Martínez, C. &amp; Lampurlanés, J. Soil sealing and soil water content under no‐tillage and conventional tillage in irrigated corn: Effects on grain yield. </t>
    </r>
    <r>
      <rPr>
        <i/>
        <sz val="12"/>
        <color theme="1"/>
        <rFont val="Times New Roman"/>
        <family val="1"/>
      </rPr>
      <t>Hydrol. Process.</t>
    </r>
    <r>
      <rPr>
        <sz val="12"/>
        <color theme="1"/>
        <rFont val="Times New Roman"/>
        <family val="1"/>
      </rPr>
      <t xml:space="preserve"> </t>
    </r>
    <r>
      <rPr>
        <b/>
        <sz val="12"/>
        <color theme="1"/>
        <rFont val="Times New Roman"/>
        <family val="1"/>
      </rPr>
      <t>33</t>
    </r>
    <r>
      <rPr>
        <sz val="12"/>
        <color theme="1"/>
        <rFont val="Times New Roman"/>
        <family val="1"/>
      </rPr>
      <t>, 2095–2109 (2019).</t>
    </r>
  </si>
  <si>
    <r>
      <t xml:space="preserve">Rao, S. C. &amp; Dao, T. H. Nitrogen placement and tillage effects on dry matter and nitrogen accumulation and redistribution in winter wheat. </t>
    </r>
    <r>
      <rPr>
        <i/>
        <sz val="12"/>
        <color theme="1"/>
        <rFont val="Times New Roman"/>
        <family val="1"/>
      </rPr>
      <t>Agron. J.</t>
    </r>
    <r>
      <rPr>
        <sz val="12"/>
        <color theme="1"/>
        <rFont val="Times New Roman"/>
        <family val="1"/>
      </rPr>
      <t xml:space="preserve"> </t>
    </r>
    <r>
      <rPr>
        <b/>
        <sz val="12"/>
        <color theme="1"/>
        <rFont val="Times New Roman"/>
        <family val="1"/>
      </rPr>
      <t>88</t>
    </r>
    <r>
      <rPr>
        <sz val="12"/>
        <color theme="1"/>
        <rFont val="Times New Roman"/>
        <family val="1"/>
      </rPr>
      <t>, 365–371 (1996).</t>
    </r>
  </si>
  <si>
    <r>
      <t xml:space="preserve">Rashid, M. H., Timsina, J., Islam, N. &amp; Islam, S. Tillage and residue-management effects on productivity, profitability and soil properties in a rice-maize-mungbean system in the Eastern Gangetic Plains. </t>
    </r>
    <r>
      <rPr>
        <i/>
        <sz val="12"/>
        <color theme="1"/>
        <rFont val="Times New Roman"/>
        <family val="1"/>
      </rPr>
      <t>J. Crop Improv.</t>
    </r>
    <r>
      <rPr>
        <sz val="12"/>
        <color theme="1"/>
        <rFont val="Times New Roman"/>
        <family val="1"/>
      </rPr>
      <t xml:space="preserve"> </t>
    </r>
    <r>
      <rPr>
        <b/>
        <sz val="12"/>
        <color theme="1"/>
        <rFont val="Times New Roman"/>
        <family val="1"/>
      </rPr>
      <t>33</t>
    </r>
    <r>
      <rPr>
        <sz val="12"/>
        <color theme="1"/>
        <rFont val="Times New Roman"/>
        <family val="1"/>
      </rPr>
      <t>, 683–710 (2019).</t>
    </r>
  </si>
  <si>
    <r>
      <t xml:space="preserve">Rasmussen, P. E. &amp; Douglas, C. L. The influence of tillage and cropping-intensity on cereal response to nitrogen, sulfur, and phosphorus. </t>
    </r>
    <r>
      <rPr>
        <i/>
        <sz val="12"/>
        <color theme="1"/>
        <rFont val="Times New Roman"/>
        <family val="1"/>
      </rPr>
      <t>Fertil. Res.</t>
    </r>
    <r>
      <rPr>
        <sz val="12"/>
        <color theme="1"/>
        <rFont val="Times New Roman"/>
        <family val="1"/>
      </rPr>
      <t xml:space="preserve"> </t>
    </r>
    <r>
      <rPr>
        <b/>
        <sz val="12"/>
        <color theme="1"/>
        <rFont val="Times New Roman"/>
        <family val="1"/>
      </rPr>
      <t>31</t>
    </r>
    <r>
      <rPr>
        <sz val="12"/>
        <color theme="1"/>
        <rFont val="Times New Roman"/>
        <family val="1"/>
      </rPr>
      <t>, 15–19 (1992).</t>
    </r>
  </si>
  <si>
    <r>
      <t xml:space="preserve">Rasse, D. P. &amp; Smucker, A. J. M. Tillage effects on soil nitrogen and plant biomass in a corn‐alfalfa rotation. </t>
    </r>
    <r>
      <rPr>
        <i/>
        <sz val="12"/>
        <color theme="1"/>
        <rFont val="Times New Roman"/>
        <family val="1"/>
      </rPr>
      <t>J. Environ. Qual.</t>
    </r>
    <r>
      <rPr>
        <sz val="12"/>
        <color theme="1"/>
        <rFont val="Times New Roman"/>
        <family val="1"/>
      </rPr>
      <t xml:space="preserve"> </t>
    </r>
    <r>
      <rPr>
        <b/>
        <sz val="12"/>
        <color theme="1"/>
        <rFont val="Times New Roman"/>
        <family val="1"/>
      </rPr>
      <t>28</t>
    </r>
    <r>
      <rPr>
        <sz val="12"/>
        <color theme="1"/>
        <rFont val="Times New Roman"/>
        <family val="1"/>
      </rPr>
      <t>, 873–880 (1999).</t>
    </r>
  </si>
  <si>
    <r>
      <t xml:space="preserve">Reddy, C. K., Nyakatawa, E. Z. &amp; Reeves, D. W. Tillage and poultry litter application effects on cotton growth and yield.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1641–1650 (2004).</t>
    </r>
  </si>
  <si>
    <r>
      <t xml:space="preserve">Reddy, S. S. </t>
    </r>
    <r>
      <rPr>
        <i/>
        <sz val="12"/>
        <color theme="1"/>
        <rFont val="Times New Roman"/>
        <family val="1"/>
      </rPr>
      <t>et al.</t>
    </r>
    <r>
      <rPr>
        <sz val="12"/>
        <color theme="1"/>
        <rFont val="Times New Roman"/>
        <family val="1"/>
      </rPr>
      <t xml:space="preserve"> Long-term effects of poultry litter and conservation tillage on crop yields and soil phosphorus in cotton–cotton–corn rotation. </t>
    </r>
    <r>
      <rPr>
        <i/>
        <sz val="12"/>
        <color theme="1"/>
        <rFont val="Times New Roman"/>
        <family val="1"/>
      </rPr>
      <t>F. Crop. Res.</t>
    </r>
    <r>
      <rPr>
        <sz val="12"/>
        <color theme="1"/>
        <rFont val="Times New Roman"/>
        <family val="1"/>
      </rPr>
      <t xml:space="preserve"> </t>
    </r>
    <r>
      <rPr>
        <b/>
        <sz val="12"/>
        <color theme="1"/>
        <rFont val="Times New Roman"/>
        <family val="1"/>
      </rPr>
      <t>114</t>
    </r>
    <r>
      <rPr>
        <sz val="12"/>
        <color theme="1"/>
        <rFont val="Times New Roman"/>
        <family val="1"/>
      </rPr>
      <t>, 311–319 (2009).</t>
    </r>
  </si>
  <si>
    <r>
      <t xml:space="preserve">Reddy, S. S., Nyakatawa, E. Z. &amp; Reddy, C. K. Nitrogen uptake pattern by cotton in a long-term no-tillage system with poultry litter application. </t>
    </r>
    <r>
      <rPr>
        <i/>
        <sz val="12"/>
        <color theme="1"/>
        <rFont val="Times New Roman"/>
        <family val="1"/>
      </rPr>
      <t>Int. J. Agric. Biol.</t>
    </r>
    <r>
      <rPr>
        <sz val="12"/>
        <color theme="1"/>
        <rFont val="Times New Roman"/>
        <family val="1"/>
      </rPr>
      <t xml:space="preserve"> </t>
    </r>
    <r>
      <rPr>
        <b/>
        <sz val="12"/>
        <color theme="1"/>
        <rFont val="Times New Roman"/>
        <family val="1"/>
      </rPr>
      <t>14</t>
    </r>
    <r>
      <rPr>
        <sz val="12"/>
        <color theme="1"/>
        <rFont val="Times New Roman"/>
        <family val="1"/>
      </rPr>
      <t>, 29–37 (2012).</t>
    </r>
  </si>
  <si>
    <r>
      <t xml:space="preserve">Rembon, F. S. &amp; MacKenzie, A. F. Soybean nitrogen contribution to corn and residual nitrate under conventional tillage and no-till. </t>
    </r>
    <r>
      <rPr>
        <i/>
        <sz val="12"/>
        <color theme="1"/>
        <rFont val="Times New Roman"/>
        <family val="1"/>
      </rPr>
      <t>Can. J. Soil Sci.</t>
    </r>
    <r>
      <rPr>
        <sz val="12"/>
        <color theme="1"/>
        <rFont val="Times New Roman"/>
        <family val="1"/>
      </rPr>
      <t xml:space="preserve"> </t>
    </r>
    <r>
      <rPr>
        <b/>
        <sz val="12"/>
        <color theme="1"/>
        <rFont val="Times New Roman"/>
        <family val="1"/>
      </rPr>
      <t>77</t>
    </r>
    <r>
      <rPr>
        <sz val="12"/>
        <color theme="1"/>
        <rFont val="Times New Roman"/>
        <family val="1"/>
      </rPr>
      <t>, 543–551 (1997).</t>
    </r>
  </si>
  <si>
    <r>
      <t xml:space="preserve">Ren, Y., Gao, C., Han, H. &amp; Li, Q. Response of water use efficiency and carbon emission to no-tillage and winter wheat genotypes in the North China Plain. </t>
    </r>
    <r>
      <rPr>
        <i/>
        <sz val="12"/>
        <color theme="1"/>
        <rFont val="Times New Roman"/>
        <family val="1"/>
      </rPr>
      <t>Sci. Total Environ.</t>
    </r>
    <r>
      <rPr>
        <sz val="12"/>
        <color theme="1"/>
        <rFont val="Times New Roman"/>
        <family val="1"/>
      </rPr>
      <t xml:space="preserve"> </t>
    </r>
    <r>
      <rPr>
        <b/>
        <sz val="12"/>
        <color theme="1"/>
        <rFont val="Times New Roman"/>
        <family val="1"/>
      </rPr>
      <t>635</t>
    </r>
    <r>
      <rPr>
        <sz val="12"/>
        <color theme="1"/>
        <rFont val="Times New Roman"/>
        <family val="1"/>
      </rPr>
      <t>, 1102–1109 (2018).</t>
    </r>
  </si>
  <si>
    <r>
      <t xml:space="preserve">Renner, K. A., Schabenberger, O. &amp; Kells, J. J. Effect of tillage and application method on corn ( Zea mays ) response to imidazolinone residues in soil. </t>
    </r>
    <r>
      <rPr>
        <i/>
        <sz val="12"/>
        <color theme="1"/>
        <rFont val="Times New Roman"/>
        <family val="1"/>
      </rPr>
      <t>Weed Technol.</t>
    </r>
    <r>
      <rPr>
        <sz val="12"/>
        <color theme="1"/>
        <rFont val="Times New Roman"/>
        <family val="1"/>
      </rPr>
      <t xml:space="preserve"> </t>
    </r>
    <r>
      <rPr>
        <b/>
        <sz val="12"/>
        <color theme="1"/>
        <rFont val="Times New Roman"/>
        <family val="1"/>
      </rPr>
      <t>12</t>
    </r>
    <r>
      <rPr>
        <sz val="12"/>
        <color theme="1"/>
        <rFont val="Times New Roman"/>
        <family val="1"/>
      </rPr>
      <t>, 281–285 (1998).</t>
    </r>
  </si>
  <si>
    <r>
      <t xml:space="preserve">Ribera, L. A., Hons, F. M. &amp; Richardson, J. W. An economic comparison between conventional and no-tillage farming systems in Burleson county, Texas.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415–424 (2004).</t>
    </r>
  </si>
  <si>
    <r>
      <t xml:space="preserve">Rochette, P., Angers, D. A., Chantigny, M. H. &amp; Bertrand, N. Nitrous oxide emissions respond differently to no-till in a loam and a heavy clay soil. </t>
    </r>
    <r>
      <rPr>
        <i/>
        <sz val="12"/>
        <color theme="1"/>
        <rFont val="Times New Roman"/>
        <family val="1"/>
      </rPr>
      <t>Soil Sci. Soc. Am. J.</t>
    </r>
    <r>
      <rPr>
        <sz val="12"/>
        <color theme="1"/>
        <rFont val="Times New Roman"/>
        <family val="1"/>
      </rPr>
      <t xml:space="preserve"> </t>
    </r>
    <r>
      <rPr>
        <b/>
        <sz val="12"/>
        <color theme="1"/>
        <rFont val="Times New Roman"/>
        <family val="1"/>
      </rPr>
      <t>72</t>
    </r>
    <r>
      <rPr>
        <sz val="12"/>
        <color theme="1"/>
        <rFont val="Times New Roman"/>
        <family val="1"/>
      </rPr>
      <t>, 1363–1369 (2008).</t>
    </r>
  </si>
  <si>
    <r>
      <t xml:space="preserve">Roper, M. M., Ward, P. R., Keulen, A. F. &amp; Hill, J. R. Under no-tillage and stubble retention, soil water content and crop growth are poorly related to soil water repellency. </t>
    </r>
    <r>
      <rPr>
        <i/>
        <sz val="12"/>
        <color theme="1"/>
        <rFont val="Times New Roman"/>
        <family val="1"/>
      </rPr>
      <t>Soil Tillage Res.</t>
    </r>
    <r>
      <rPr>
        <sz val="12"/>
        <color theme="1"/>
        <rFont val="Times New Roman"/>
        <family val="1"/>
      </rPr>
      <t xml:space="preserve"> </t>
    </r>
    <r>
      <rPr>
        <b/>
        <sz val="12"/>
        <color theme="1"/>
        <rFont val="Times New Roman"/>
        <family val="1"/>
      </rPr>
      <t>126</t>
    </r>
    <r>
      <rPr>
        <sz val="12"/>
        <color theme="1"/>
        <rFont val="Times New Roman"/>
        <family val="1"/>
      </rPr>
      <t>, 143–150 (2013).</t>
    </r>
  </si>
  <si>
    <r>
      <t xml:space="preserve">Rozas, H. S., Echeverría, H. E., Studdert, G. A. &amp; Domínguez, G. Evaluation of the presidedress soil nitrogen test for no‐tillage maize fertilized at planting. </t>
    </r>
    <r>
      <rPr>
        <i/>
        <sz val="12"/>
        <color theme="1"/>
        <rFont val="Times New Roman"/>
        <family val="1"/>
      </rPr>
      <t>Agron. J.</t>
    </r>
    <r>
      <rPr>
        <sz val="12"/>
        <color theme="1"/>
        <rFont val="Times New Roman"/>
        <family val="1"/>
      </rPr>
      <t xml:space="preserve"> </t>
    </r>
    <r>
      <rPr>
        <b/>
        <sz val="12"/>
        <color theme="1"/>
        <rFont val="Times New Roman"/>
        <family val="1"/>
      </rPr>
      <t>92</t>
    </r>
    <r>
      <rPr>
        <sz val="12"/>
        <color theme="1"/>
        <rFont val="Times New Roman"/>
        <family val="1"/>
      </rPr>
      <t>, 1176–1183 (2000).</t>
    </r>
  </si>
  <si>
    <r>
      <t xml:space="preserve">Saha, S. </t>
    </r>
    <r>
      <rPr>
        <i/>
        <sz val="12"/>
        <color theme="1"/>
        <rFont val="Times New Roman"/>
        <family val="1"/>
      </rPr>
      <t>et al.</t>
    </r>
    <r>
      <rPr>
        <sz val="12"/>
        <color theme="1"/>
        <rFont val="Times New Roman"/>
        <family val="1"/>
      </rPr>
      <t xml:space="preserve"> Effect of tillage and residue management on soil physical properties and crop productivity in maize (Zea mays)-Indian mustard (Brassica juncea) system. </t>
    </r>
    <r>
      <rPr>
        <i/>
        <sz val="12"/>
        <color theme="1"/>
        <rFont val="Times New Roman"/>
        <family val="1"/>
      </rPr>
      <t>Indian J. Agric. Sci.</t>
    </r>
    <r>
      <rPr>
        <sz val="12"/>
        <color theme="1"/>
        <rFont val="Times New Roman"/>
        <family val="1"/>
      </rPr>
      <t xml:space="preserve"> </t>
    </r>
    <r>
      <rPr>
        <b/>
        <sz val="12"/>
        <color theme="1"/>
        <rFont val="Times New Roman"/>
        <family val="1"/>
      </rPr>
      <t>80</t>
    </r>
    <r>
      <rPr>
        <sz val="12"/>
        <color theme="1"/>
        <rFont val="Times New Roman"/>
        <family val="1"/>
      </rPr>
      <t>, 679–685 (2010).</t>
    </r>
  </si>
  <si>
    <r>
      <t xml:space="preserve">Saharawat, Y. S. </t>
    </r>
    <r>
      <rPr>
        <i/>
        <sz val="12"/>
        <color theme="1"/>
        <rFont val="Times New Roman"/>
        <family val="1"/>
      </rPr>
      <t>et al.</t>
    </r>
    <r>
      <rPr>
        <sz val="12"/>
        <color theme="1"/>
        <rFont val="Times New Roman"/>
        <family val="1"/>
      </rPr>
      <t xml:space="preserve"> Evaluation of alternative tillage and crop establishment methods in a rice–wheat rotation in North Western IGP. </t>
    </r>
    <r>
      <rPr>
        <i/>
        <sz val="12"/>
        <color theme="1"/>
        <rFont val="Times New Roman"/>
        <family val="1"/>
      </rPr>
      <t>F. Crop. Res.</t>
    </r>
    <r>
      <rPr>
        <sz val="12"/>
        <color theme="1"/>
        <rFont val="Times New Roman"/>
        <family val="1"/>
      </rPr>
      <t xml:space="preserve"> </t>
    </r>
    <r>
      <rPr>
        <b/>
        <sz val="12"/>
        <color theme="1"/>
        <rFont val="Times New Roman"/>
        <family val="1"/>
      </rPr>
      <t>116</t>
    </r>
    <r>
      <rPr>
        <sz val="12"/>
        <color theme="1"/>
        <rFont val="Times New Roman"/>
        <family val="1"/>
      </rPr>
      <t>, 260–267 (2010).</t>
    </r>
  </si>
  <si>
    <r>
      <t xml:space="preserve">Sainju, U. M., Lenssen, A. W., Caesar-TonThat, T. &amp; Evans, R. G. Dryland crop yields and soil organic matter as influenced by long-term tillage and cropping sequence. </t>
    </r>
    <r>
      <rPr>
        <i/>
        <sz val="12"/>
        <color theme="1"/>
        <rFont val="Times New Roman"/>
        <family val="1"/>
      </rPr>
      <t>Agron. J.</t>
    </r>
    <r>
      <rPr>
        <sz val="12"/>
        <color theme="1"/>
        <rFont val="Times New Roman"/>
        <family val="1"/>
      </rPr>
      <t xml:space="preserve"> </t>
    </r>
    <r>
      <rPr>
        <b/>
        <sz val="12"/>
        <color theme="1"/>
        <rFont val="Times New Roman"/>
        <family val="1"/>
      </rPr>
      <t>101</t>
    </r>
    <r>
      <rPr>
        <sz val="12"/>
        <color theme="1"/>
        <rFont val="Times New Roman"/>
        <family val="1"/>
      </rPr>
      <t>, 243–251 (2009).</t>
    </r>
  </si>
  <si>
    <r>
      <t xml:space="preserve">Sainju, U. M. &amp; Singh, B. P. Tillage, cover crop, and kill-planting date effects on corn yield and soil nitrogen.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878–886 (2001).</t>
    </r>
  </si>
  <si>
    <r>
      <t xml:space="preserve">Sainju, U. M., Whitehead, W. F., Singh, B. P. &amp; Wang, S. Tillage, cover crops, and nitrogen fertilization effects on soil nitrogen and cotton and sorghum yields. </t>
    </r>
    <r>
      <rPr>
        <i/>
        <sz val="12"/>
        <color theme="1"/>
        <rFont val="Times New Roman"/>
        <family val="1"/>
      </rPr>
      <t>Eur. J. Agron.</t>
    </r>
    <r>
      <rPr>
        <sz val="12"/>
        <color theme="1"/>
        <rFont val="Times New Roman"/>
        <family val="1"/>
      </rPr>
      <t xml:space="preserve"> </t>
    </r>
    <r>
      <rPr>
        <b/>
        <sz val="12"/>
        <color theme="1"/>
        <rFont val="Times New Roman"/>
        <family val="1"/>
      </rPr>
      <t>25</t>
    </r>
    <r>
      <rPr>
        <sz val="12"/>
        <color theme="1"/>
        <rFont val="Times New Roman"/>
        <family val="1"/>
      </rPr>
      <t>, 372–382 (2006).</t>
    </r>
  </si>
  <si>
    <r>
      <t xml:space="preserve">Schillinger, W. F., Cook, R. J. &amp; Papendick, R. I. Increased dryland cropping intensity with no‐till barley. </t>
    </r>
    <r>
      <rPr>
        <i/>
        <sz val="12"/>
        <color theme="1"/>
        <rFont val="Times New Roman"/>
        <family val="1"/>
      </rPr>
      <t>Agron. J.</t>
    </r>
    <r>
      <rPr>
        <sz val="12"/>
        <color theme="1"/>
        <rFont val="Times New Roman"/>
        <family val="1"/>
      </rPr>
      <t xml:space="preserve"> </t>
    </r>
    <r>
      <rPr>
        <b/>
        <sz val="12"/>
        <color theme="1"/>
        <rFont val="Times New Roman"/>
        <family val="1"/>
      </rPr>
      <t>91</t>
    </r>
    <r>
      <rPr>
        <sz val="12"/>
        <color theme="1"/>
        <rFont val="Times New Roman"/>
        <family val="1"/>
      </rPr>
      <t>, 744–752 (1999).</t>
    </r>
  </si>
  <si>
    <r>
      <t xml:space="preserve">Schlegel, A. J., Dhuyvetter, K. C., Thompson, C. R. &amp; Havlin, J. L. Agronomic and economic impacts of tillage and rotation on wheat and sorghum. </t>
    </r>
    <r>
      <rPr>
        <i/>
        <sz val="12"/>
        <color theme="1"/>
        <rFont val="Times New Roman"/>
        <family val="1"/>
      </rPr>
      <t>J. Prod. Agric.</t>
    </r>
    <r>
      <rPr>
        <sz val="12"/>
        <color theme="1"/>
        <rFont val="Times New Roman"/>
        <family val="1"/>
      </rPr>
      <t xml:space="preserve"> </t>
    </r>
    <r>
      <rPr>
        <b/>
        <sz val="12"/>
        <color theme="1"/>
        <rFont val="Times New Roman"/>
        <family val="1"/>
      </rPr>
      <t>12</t>
    </r>
    <r>
      <rPr>
        <sz val="12"/>
        <color theme="1"/>
        <rFont val="Times New Roman"/>
        <family val="1"/>
      </rPr>
      <t>, 629–636 (1999).</t>
    </r>
  </si>
  <si>
    <r>
      <t xml:space="preserve">Schlegel, A. J., Assefa, Y., Haag, L. A., Thompson, C. R. &amp; Stone, L. R. Long-term tillage on yield and water use of grain sorghum and winter wheat. </t>
    </r>
    <r>
      <rPr>
        <i/>
        <sz val="12"/>
        <color theme="1"/>
        <rFont val="Times New Roman"/>
        <family val="1"/>
      </rPr>
      <t>Agron. J.</t>
    </r>
    <r>
      <rPr>
        <sz val="12"/>
        <color theme="1"/>
        <rFont val="Times New Roman"/>
        <family val="1"/>
      </rPr>
      <t xml:space="preserve"> </t>
    </r>
    <r>
      <rPr>
        <b/>
        <sz val="12"/>
        <color theme="1"/>
        <rFont val="Times New Roman"/>
        <family val="1"/>
      </rPr>
      <t>110</t>
    </r>
    <r>
      <rPr>
        <sz val="12"/>
        <color theme="1"/>
        <rFont val="Times New Roman"/>
        <family val="1"/>
      </rPr>
      <t>, 269–280 (2018).</t>
    </r>
  </si>
  <si>
    <r>
      <t xml:space="preserve">Schwab, G. J., Whitney, D. A., Kilgore, G. L. &amp; Sweeney, D. W. Tillage and phosphorus management effects on crop production in soils with phosphorus stratification.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430–435 (2006).</t>
    </r>
  </si>
  <si>
    <r>
      <t xml:space="preserve">Selles, F., McConkey, B. G. &amp; Campbell, C. A. Distribution and forms of P under cultivator- and zero-tillage for continuous- and fallow-wheat cropping systems in the semi-arid Canadian prairies. </t>
    </r>
    <r>
      <rPr>
        <i/>
        <sz val="12"/>
        <color theme="1"/>
        <rFont val="Times New Roman"/>
        <family val="1"/>
      </rPr>
      <t>Soil Tillage Res.</t>
    </r>
    <r>
      <rPr>
        <sz val="12"/>
        <color theme="1"/>
        <rFont val="Times New Roman"/>
        <family val="1"/>
      </rPr>
      <t xml:space="preserve"> </t>
    </r>
    <r>
      <rPr>
        <b/>
        <sz val="12"/>
        <color theme="1"/>
        <rFont val="Times New Roman"/>
        <family val="1"/>
      </rPr>
      <t>51</t>
    </r>
    <r>
      <rPr>
        <sz val="12"/>
        <color theme="1"/>
        <rFont val="Times New Roman"/>
        <family val="1"/>
      </rPr>
      <t>, 47–59 (1999).</t>
    </r>
  </si>
  <si>
    <r>
      <t xml:space="preserve">Sepat, S., Bana, R. S., Meena, S. L. &amp; Rana, D. S. Assessment of conservation agriculture and intercropping practices for enhanced productivity and profitability in maize (Zea mays). </t>
    </r>
    <r>
      <rPr>
        <i/>
        <sz val="12"/>
        <color theme="1"/>
        <rFont val="Times New Roman"/>
        <family val="1"/>
      </rPr>
      <t>Indian J. Agric. Sci.</t>
    </r>
    <r>
      <rPr>
        <sz val="12"/>
        <color theme="1"/>
        <rFont val="Times New Roman"/>
        <family val="1"/>
      </rPr>
      <t xml:space="preserve"> </t>
    </r>
    <r>
      <rPr>
        <b/>
        <sz val="12"/>
        <color theme="1"/>
        <rFont val="Times New Roman"/>
        <family val="1"/>
      </rPr>
      <t>89</t>
    </r>
    <r>
      <rPr>
        <sz val="12"/>
        <color theme="1"/>
        <rFont val="Times New Roman"/>
        <family val="1"/>
      </rPr>
      <t>, 714–720 (2019).</t>
    </r>
  </si>
  <si>
    <r>
      <t xml:space="preserve">Sessiz, A., Alp, A. &amp; Gursoy, S. Conservation and conventional tillage methods on selected soil physical properties and corn (Zea Mays L.) yield and quality under croppin system in Turkey. </t>
    </r>
    <r>
      <rPr>
        <i/>
        <sz val="12"/>
        <color theme="1"/>
        <rFont val="Times New Roman"/>
        <family val="1"/>
      </rPr>
      <t>Bulg. J. Agric. Sci.</t>
    </r>
    <r>
      <rPr>
        <sz val="12"/>
        <color theme="1"/>
        <rFont val="Times New Roman"/>
        <family val="1"/>
      </rPr>
      <t xml:space="preserve"> </t>
    </r>
    <r>
      <rPr>
        <b/>
        <sz val="12"/>
        <color theme="1"/>
        <rFont val="Times New Roman"/>
        <family val="1"/>
      </rPr>
      <t>16</t>
    </r>
    <r>
      <rPr>
        <sz val="12"/>
        <color theme="1"/>
        <rFont val="Times New Roman"/>
        <family val="1"/>
      </rPr>
      <t>, 597–608 (2010).</t>
    </r>
  </si>
  <si>
    <r>
      <t xml:space="preserve">Sessiz, A., Sogut, T., Alp, A. &amp; Esgici, R. Tillage effects on sunflower (helianthus annuus, l.) emergence, yield, quality, and fuel consumption in double cropping system. </t>
    </r>
    <r>
      <rPr>
        <i/>
        <sz val="12"/>
        <color theme="1"/>
        <rFont val="Times New Roman"/>
        <family val="1"/>
      </rPr>
      <t>J. Cent. Eur. Agric.</t>
    </r>
    <r>
      <rPr>
        <sz val="12"/>
        <color theme="1"/>
        <rFont val="Times New Roman"/>
        <family val="1"/>
      </rPr>
      <t xml:space="preserve"> </t>
    </r>
    <r>
      <rPr>
        <b/>
        <sz val="12"/>
        <color theme="1"/>
        <rFont val="Times New Roman"/>
        <family val="1"/>
      </rPr>
      <t>9</t>
    </r>
    <r>
      <rPr>
        <sz val="12"/>
        <color theme="1"/>
        <rFont val="Times New Roman"/>
        <family val="1"/>
      </rPr>
      <t>, 697–710 (2008).</t>
    </r>
  </si>
  <si>
    <r>
      <t xml:space="preserve">Shapiro, C. A. </t>
    </r>
    <r>
      <rPr>
        <i/>
        <sz val="12"/>
        <color theme="1"/>
        <rFont val="Times New Roman"/>
        <family val="1"/>
      </rPr>
      <t>et al.</t>
    </r>
    <r>
      <rPr>
        <sz val="12"/>
        <color theme="1"/>
        <rFont val="Times New Roman"/>
        <family val="1"/>
      </rPr>
      <t xml:space="preserve"> Tillage and management alternatives for returning conservation reserve program land to crops.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850–862 (2001).</t>
    </r>
  </si>
  <si>
    <r>
      <t xml:space="preserve">Sharma, P. K., de Datta, S. K. &amp; Redulla, C. A. Response of maize (Zea mays L.) and mungbean (Vigna radiata L.) to tillage in relation to water table depth in tropical lowland rice soils. </t>
    </r>
    <r>
      <rPr>
        <i/>
        <sz val="12"/>
        <color theme="1"/>
        <rFont val="Times New Roman"/>
        <family val="1"/>
      </rPr>
      <t>Soil Tillage Res.</t>
    </r>
    <r>
      <rPr>
        <sz val="12"/>
        <color theme="1"/>
        <rFont val="Times New Roman"/>
        <family val="1"/>
      </rPr>
      <t xml:space="preserve"> </t>
    </r>
    <r>
      <rPr>
        <b/>
        <sz val="12"/>
        <color theme="1"/>
        <rFont val="Times New Roman"/>
        <family val="1"/>
      </rPr>
      <t>12</t>
    </r>
    <r>
      <rPr>
        <sz val="12"/>
        <color theme="1"/>
        <rFont val="Times New Roman"/>
        <family val="1"/>
      </rPr>
      <t>, 65–79 (1988).</t>
    </r>
  </si>
  <si>
    <r>
      <t xml:space="preserve">Sharma, R. K., Srinivasa Babu, K., Chhokar, R. S. &amp; Sharma, A. K. Effect of tillage on termites, weed incidence and productivity of spring wheat in rice-wheat system of North Western Indian plains. </t>
    </r>
    <r>
      <rPr>
        <i/>
        <sz val="12"/>
        <color theme="1"/>
        <rFont val="Times New Roman"/>
        <family val="1"/>
      </rPr>
      <t>Crop Prot.</t>
    </r>
    <r>
      <rPr>
        <sz val="12"/>
        <color theme="1"/>
        <rFont val="Times New Roman"/>
        <family val="1"/>
      </rPr>
      <t xml:space="preserve"> </t>
    </r>
    <r>
      <rPr>
        <b/>
        <sz val="12"/>
        <color theme="1"/>
        <rFont val="Times New Roman"/>
        <family val="1"/>
      </rPr>
      <t>23</t>
    </r>
    <r>
      <rPr>
        <sz val="12"/>
        <color theme="1"/>
        <rFont val="Times New Roman"/>
        <family val="1"/>
      </rPr>
      <t>, 1049–1054 (2004).</t>
    </r>
  </si>
  <si>
    <r>
      <t xml:space="preserve">Sharratt, B. . Barley yield and evapotranspiration governed by tillage practices in interior Alaska. </t>
    </r>
    <r>
      <rPr>
        <i/>
        <sz val="12"/>
        <color theme="1"/>
        <rFont val="Times New Roman"/>
        <family val="1"/>
      </rPr>
      <t>Soil Tillage Res.</t>
    </r>
    <r>
      <rPr>
        <sz val="12"/>
        <color theme="1"/>
        <rFont val="Times New Roman"/>
        <family val="1"/>
      </rPr>
      <t xml:space="preserve"> </t>
    </r>
    <r>
      <rPr>
        <b/>
        <sz val="12"/>
        <color theme="1"/>
        <rFont val="Times New Roman"/>
        <family val="1"/>
      </rPr>
      <t>46</t>
    </r>
    <r>
      <rPr>
        <sz val="12"/>
        <color theme="1"/>
        <rFont val="Times New Roman"/>
        <family val="1"/>
      </rPr>
      <t>, 225–229 (1998).</t>
    </r>
  </si>
  <si>
    <r>
      <t xml:space="preserve">Si, P. </t>
    </r>
    <r>
      <rPr>
        <i/>
        <sz val="12"/>
        <color theme="1"/>
        <rFont val="Times New Roman"/>
        <family val="1"/>
      </rPr>
      <t>et al.</t>
    </r>
    <r>
      <rPr>
        <sz val="12"/>
        <color theme="1"/>
        <rFont val="Times New Roman"/>
        <family val="1"/>
      </rPr>
      <t xml:space="preserve"> Effect of no-tillage with straw mulch and conventional tillage on soil organic carbon pools in Northern China. </t>
    </r>
    <r>
      <rPr>
        <i/>
        <sz val="12"/>
        <color theme="1"/>
        <rFont val="Times New Roman"/>
        <family val="1"/>
      </rPr>
      <t>Arch. Agron. Soil Sci.</t>
    </r>
    <r>
      <rPr>
        <sz val="12"/>
        <color theme="1"/>
        <rFont val="Times New Roman"/>
        <family val="1"/>
      </rPr>
      <t xml:space="preserve"> </t>
    </r>
    <r>
      <rPr>
        <b/>
        <sz val="12"/>
        <color theme="1"/>
        <rFont val="Times New Roman"/>
        <family val="1"/>
      </rPr>
      <t>64</t>
    </r>
    <r>
      <rPr>
        <sz val="12"/>
        <color theme="1"/>
        <rFont val="Times New Roman"/>
        <family val="1"/>
      </rPr>
      <t>, 398–408 (2018).</t>
    </r>
  </si>
  <si>
    <r>
      <t xml:space="preserve">Sidhu, D. &amp; Duiker, S. W. Soil compaction in conservation tillage: crop impacts.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1257–1264 (2006).</t>
    </r>
  </si>
  <si>
    <r>
      <t xml:space="preserve">Silva, F. A. M., Naudin, K., Corbeels, M., Scopel, E. &amp; Affholder, F. Impact of conservation agriculture on the agronomic and environmental performances of maize cropping under contrasting climatic conditions of the Brazilian Cerrado. </t>
    </r>
    <r>
      <rPr>
        <i/>
        <sz val="12"/>
        <color theme="1"/>
        <rFont val="Times New Roman"/>
        <family val="1"/>
      </rPr>
      <t>F. Crop. Res.</t>
    </r>
    <r>
      <rPr>
        <sz val="12"/>
        <color theme="1"/>
        <rFont val="Times New Roman"/>
        <family val="1"/>
      </rPr>
      <t xml:space="preserve"> </t>
    </r>
    <r>
      <rPr>
        <b/>
        <sz val="12"/>
        <color theme="1"/>
        <rFont val="Times New Roman"/>
        <family val="1"/>
      </rPr>
      <t>230</t>
    </r>
    <r>
      <rPr>
        <sz val="12"/>
        <color theme="1"/>
        <rFont val="Times New Roman"/>
        <family val="1"/>
      </rPr>
      <t>, 72–83 (2019).</t>
    </r>
  </si>
  <si>
    <r>
      <t xml:space="preserve">Silva, P., Garrido, M., Shertzer, G. &amp; Acevedo, E. Amount of Rain Until Third Leaf Explain Differences in Irrigated Durum Wheat Yield Between a Conventional and No-Tillage System in a Long-Term Crop Rotation System in Mediterranean Environment. </t>
    </r>
    <r>
      <rPr>
        <i/>
        <sz val="12"/>
        <color theme="1"/>
        <rFont val="Times New Roman"/>
        <family val="1"/>
      </rPr>
      <t>Int. J. Plant Prod.</t>
    </r>
    <r>
      <rPr>
        <sz val="12"/>
        <color theme="1"/>
        <rFont val="Times New Roman"/>
        <family val="1"/>
      </rPr>
      <t xml:space="preserve"> </t>
    </r>
    <r>
      <rPr>
        <b/>
        <sz val="12"/>
        <color theme="1"/>
        <rFont val="Times New Roman"/>
        <family val="1"/>
      </rPr>
      <t>13</t>
    </r>
    <r>
      <rPr>
        <sz val="12"/>
        <color theme="1"/>
        <rFont val="Times New Roman"/>
        <family val="1"/>
      </rPr>
      <t>, 339–346 (2019).</t>
    </r>
  </si>
  <si>
    <r>
      <t xml:space="preserve">Simón, M. R. </t>
    </r>
    <r>
      <rPr>
        <i/>
        <sz val="12"/>
        <color theme="1"/>
        <rFont val="Times New Roman"/>
        <family val="1"/>
      </rPr>
      <t>et al.</t>
    </r>
    <r>
      <rPr>
        <sz val="12"/>
        <color theme="1"/>
        <rFont val="Times New Roman"/>
        <family val="1"/>
      </rPr>
      <t xml:space="preserve"> Integrated foliar disease management to prevent yield loss in Argentinian wheat production.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1441–1451 (2011).</t>
    </r>
  </si>
  <si>
    <r>
      <t xml:space="preserve">Singer, J. W. </t>
    </r>
    <r>
      <rPr>
        <i/>
        <sz val="12"/>
        <color theme="1"/>
        <rFont val="Times New Roman"/>
        <family val="1"/>
      </rPr>
      <t>et al.</t>
    </r>
    <r>
      <rPr>
        <sz val="12"/>
        <color theme="1"/>
        <rFont val="Times New Roman"/>
        <family val="1"/>
      </rPr>
      <t xml:space="preserve"> Tillage and compost affect yield of corn, soybean, and wheat and soil fertility.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531–537 (2004).</t>
    </r>
  </si>
  <si>
    <r>
      <t xml:space="preserve">Singer, J. W., Logsdon, S. D. &amp; Meek, D. W. Tillage and compost effects on corn growth, nutrient accumulation, and grain yield. </t>
    </r>
    <r>
      <rPr>
        <i/>
        <sz val="12"/>
        <color theme="1"/>
        <rFont val="Times New Roman"/>
        <family val="1"/>
      </rPr>
      <t>Agron. J.</t>
    </r>
    <r>
      <rPr>
        <sz val="12"/>
        <color theme="1"/>
        <rFont val="Times New Roman"/>
        <family val="1"/>
      </rPr>
      <t xml:space="preserve"> </t>
    </r>
    <r>
      <rPr>
        <b/>
        <sz val="12"/>
        <color theme="1"/>
        <rFont val="Times New Roman"/>
        <family val="1"/>
      </rPr>
      <t>99</t>
    </r>
    <r>
      <rPr>
        <sz val="12"/>
        <color theme="1"/>
        <rFont val="Times New Roman"/>
        <family val="1"/>
      </rPr>
      <t>, 80–87 (2007).</t>
    </r>
  </si>
  <si>
    <r>
      <t xml:space="preserve">Singer, J. W., Logsdon, S. D. &amp; Meek, D. W. Soybean growth and seed yield response to tillage and compost. </t>
    </r>
    <r>
      <rPr>
        <i/>
        <sz val="12"/>
        <color theme="1"/>
        <rFont val="Times New Roman"/>
        <family val="1"/>
      </rPr>
      <t>Agron. J.</t>
    </r>
    <r>
      <rPr>
        <sz val="12"/>
        <color theme="1"/>
        <rFont val="Times New Roman"/>
        <family val="1"/>
      </rPr>
      <t xml:space="preserve"> </t>
    </r>
    <r>
      <rPr>
        <b/>
        <sz val="12"/>
        <color theme="1"/>
        <rFont val="Times New Roman"/>
        <family val="1"/>
      </rPr>
      <t>100</t>
    </r>
    <r>
      <rPr>
        <sz val="12"/>
        <color theme="1"/>
        <rFont val="Times New Roman"/>
        <family val="1"/>
      </rPr>
      <t>, 1039–1046 (2008).</t>
    </r>
  </si>
  <si>
    <r>
      <t xml:space="preserve">Singh, V., Ram, S., Bhatnagar, A. &amp; Savita, U. Effect of tillage methods on soil properties and productivity of quality protein maize (Zea mays)-wheat (Triticum aestivum) system. </t>
    </r>
    <r>
      <rPr>
        <i/>
        <sz val="12"/>
        <color theme="1"/>
        <rFont val="Times New Roman"/>
        <family val="1"/>
      </rPr>
      <t>Indian J. Agron.</t>
    </r>
    <r>
      <rPr>
        <sz val="12"/>
        <color theme="1"/>
        <rFont val="Times New Roman"/>
        <family val="1"/>
      </rPr>
      <t xml:space="preserve"> </t>
    </r>
    <r>
      <rPr>
        <b/>
        <sz val="12"/>
        <color theme="1"/>
        <rFont val="Times New Roman"/>
        <family val="1"/>
      </rPr>
      <t>56</t>
    </r>
    <r>
      <rPr>
        <sz val="12"/>
        <color theme="1"/>
        <rFont val="Times New Roman"/>
        <family val="1"/>
      </rPr>
      <t>, 83–87 (2011).</t>
    </r>
  </si>
  <si>
    <r>
      <t xml:space="preserve">Singh, V. K. </t>
    </r>
    <r>
      <rPr>
        <i/>
        <sz val="12"/>
        <color theme="1"/>
        <rFont val="Times New Roman"/>
        <family val="1"/>
      </rPr>
      <t>et al.</t>
    </r>
    <r>
      <rPr>
        <sz val="12"/>
        <color theme="1"/>
        <rFont val="Times New Roman"/>
        <family val="1"/>
      </rPr>
      <t xml:space="preserve"> Soil physical properties, yield trends and economics after five years of conservation agriculture based rice-maize system in north-western India. </t>
    </r>
    <r>
      <rPr>
        <i/>
        <sz val="12"/>
        <color theme="1"/>
        <rFont val="Times New Roman"/>
        <family val="1"/>
      </rPr>
      <t>Soil Tillage Res.</t>
    </r>
    <r>
      <rPr>
        <sz val="12"/>
        <color theme="1"/>
        <rFont val="Times New Roman"/>
        <family val="1"/>
      </rPr>
      <t xml:space="preserve"> </t>
    </r>
    <r>
      <rPr>
        <b/>
        <sz val="12"/>
        <color theme="1"/>
        <rFont val="Times New Roman"/>
        <family val="1"/>
      </rPr>
      <t>155</t>
    </r>
    <r>
      <rPr>
        <sz val="12"/>
        <color theme="1"/>
        <rFont val="Times New Roman"/>
        <family val="1"/>
      </rPr>
      <t>, 133–148 (2016).</t>
    </r>
  </si>
  <si>
    <r>
      <t xml:space="preserve">Sistani, K. R., Sikora, F. J. &amp; Rasnake, M. Poultry litter and tillage influences on corn production and soil nutrients in a Kentucky silt loam soil. </t>
    </r>
    <r>
      <rPr>
        <i/>
        <sz val="12"/>
        <color theme="1"/>
        <rFont val="Times New Roman"/>
        <family val="1"/>
      </rPr>
      <t>Soil Tillage Res.</t>
    </r>
    <r>
      <rPr>
        <sz val="12"/>
        <color theme="1"/>
        <rFont val="Times New Roman"/>
        <family val="1"/>
      </rPr>
      <t xml:space="preserve"> </t>
    </r>
    <r>
      <rPr>
        <b/>
        <sz val="12"/>
        <color theme="1"/>
        <rFont val="Times New Roman"/>
        <family val="1"/>
      </rPr>
      <t>98</t>
    </r>
    <r>
      <rPr>
        <sz val="12"/>
        <color theme="1"/>
        <rFont val="Times New Roman"/>
        <family val="1"/>
      </rPr>
      <t>, 130–139 (2008).</t>
    </r>
  </si>
  <si>
    <r>
      <t xml:space="preserve">Sistani, K. R. </t>
    </r>
    <r>
      <rPr>
        <i/>
        <sz val="12"/>
        <color theme="1"/>
        <rFont val="Times New Roman"/>
        <family val="1"/>
      </rPr>
      <t>et al.</t>
    </r>
    <r>
      <rPr>
        <sz val="12"/>
        <color theme="1"/>
        <rFont val="Times New Roman"/>
        <family val="1"/>
      </rPr>
      <t xml:space="preserve"> Nutrient source and tillage impact on corn grain yield and soil properties. </t>
    </r>
    <r>
      <rPr>
        <i/>
        <sz val="12"/>
        <color theme="1"/>
        <rFont val="Times New Roman"/>
        <family val="1"/>
      </rPr>
      <t>Soil Sci.</t>
    </r>
    <r>
      <rPr>
        <sz val="12"/>
        <color theme="1"/>
        <rFont val="Times New Roman"/>
        <family val="1"/>
      </rPr>
      <t xml:space="preserve"> </t>
    </r>
    <r>
      <rPr>
        <b/>
        <sz val="12"/>
        <color theme="1"/>
        <rFont val="Times New Roman"/>
        <family val="1"/>
      </rPr>
      <t>175</t>
    </r>
    <r>
      <rPr>
        <sz val="12"/>
        <color theme="1"/>
        <rFont val="Times New Roman"/>
        <family val="1"/>
      </rPr>
      <t>, 593–600 (2010).</t>
    </r>
  </si>
  <si>
    <r>
      <t xml:space="preserve">Sithole, N. J. &amp; Magwaza, L. S. Long-term changes of soil chemical characteristics and maize yield in no-till conservation agriculture in a semi-arid environment of South Africa. </t>
    </r>
    <r>
      <rPr>
        <i/>
        <sz val="12"/>
        <color theme="1"/>
        <rFont val="Times New Roman"/>
        <family val="1"/>
      </rPr>
      <t>Soil Tillage Res.</t>
    </r>
    <r>
      <rPr>
        <sz val="12"/>
        <color theme="1"/>
        <rFont val="Times New Roman"/>
        <family val="1"/>
      </rPr>
      <t xml:space="preserve"> </t>
    </r>
    <r>
      <rPr>
        <b/>
        <sz val="12"/>
        <color theme="1"/>
        <rFont val="Times New Roman"/>
        <family val="1"/>
      </rPr>
      <t>194</t>
    </r>
    <r>
      <rPr>
        <sz val="12"/>
        <color theme="1"/>
        <rFont val="Times New Roman"/>
        <family val="1"/>
      </rPr>
      <t>, 104317 (2019).</t>
    </r>
  </si>
  <si>
    <r>
      <t xml:space="preserve">Smith, D. R., Hernandez-Ramirez, G., Armstrong, S. D., Bucholtz, D. L. &amp; Stott, D. E. Fertilizer and tillage management impacts on non-carbon-dioxide greenhouse gas emissions. </t>
    </r>
    <r>
      <rPr>
        <i/>
        <sz val="12"/>
        <color theme="1"/>
        <rFont val="Times New Roman"/>
        <family val="1"/>
      </rPr>
      <t>Soil Sci. Soc. Am. J.</t>
    </r>
    <r>
      <rPr>
        <sz val="12"/>
        <color theme="1"/>
        <rFont val="Times New Roman"/>
        <family val="1"/>
      </rPr>
      <t xml:space="preserve"> </t>
    </r>
    <r>
      <rPr>
        <b/>
        <sz val="12"/>
        <color theme="1"/>
        <rFont val="Times New Roman"/>
        <family val="1"/>
      </rPr>
      <t>75</t>
    </r>
    <r>
      <rPr>
        <sz val="12"/>
        <color theme="1"/>
        <rFont val="Times New Roman"/>
        <family val="1"/>
      </rPr>
      <t>, 1070–1082 (2011).</t>
    </r>
  </si>
  <si>
    <r>
      <t xml:space="preserve">So, H. B., Grabski, A. &amp; Desborough, P. The impact of 14 years of conventional and no-till cultivation on the physical properties and crop yields of a loam soil at Grafton NSW, Australia.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180–184 (2009).</t>
    </r>
  </si>
  <si>
    <r>
      <t xml:space="preserve">Soane, B. D. &amp; Ball, B. C. Review of management and conduct of long-term tillage studies with special reference to a 25-yr experiment on barley in Scotland. </t>
    </r>
    <r>
      <rPr>
        <i/>
        <sz val="12"/>
        <color theme="1"/>
        <rFont val="Times New Roman"/>
        <family val="1"/>
      </rPr>
      <t>Soil Tillage Res.</t>
    </r>
    <r>
      <rPr>
        <sz val="12"/>
        <color theme="1"/>
        <rFont val="Times New Roman"/>
        <family val="1"/>
      </rPr>
      <t xml:space="preserve"> </t>
    </r>
    <r>
      <rPr>
        <b/>
        <sz val="12"/>
        <color theme="1"/>
        <rFont val="Times New Roman"/>
        <family val="1"/>
      </rPr>
      <t>45</t>
    </r>
    <r>
      <rPr>
        <sz val="12"/>
        <color theme="1"/>
        <rFont val="Times New Roman"/>
        <family val="1"/>
      </rPr>
      <t>, 17–37 (1998).</t>
    </r>
  </si>
  <si>
    <r>
      <t xml:space="preserve">Song, K. </t>
    </r>
    <r>
      <rPr>
        <i/>
        <sz val="12"/>
        <color theme="1"/>
        <rFont val="Times New Roman"/>
        <family val="1"/>
      </rPr>
      <t>et al.</t>
    </r>
    <r>
      <rPr>
        <sz val="12"/>
        <color theme="1"/>
        <rFont val="Times New Roman"/>
        <family val="1"/>
      </rPr>
      <t xml:space="preserve"> Effects of tillage and straw return on water-stable aggregates, carbon stabilization and crop yield in an estuarine alluvial soil. </t>
    </r>
    <r>
      <rPr>
        <i/>
        <sz val="12"/>
        <color theme="1"/>
        <rFont val="Times New Roman"/>
        <family val="1"/>
      </rPr>
      <t>Sci. Rep.</t>
    </r>
    <r>
      <rPr>
        <sz val="12"/>
        <color theme="1"/>
        <rFont val="Times New Roman"/>
        <family val="1"/>
      </rPr>
      <t xml:space="preserve"> </t>
    </r>
    <r>
      <rPr>
        <b/>
        <sz val="12"/>
        <color theme="1"/>
        <rFont val="Times New Roman"/>
        <family val="1"/>
      </rPr>
      <t>9</t>
    </r>
    <r>
      <rPr>
        <sz val="12"/>
        <color theme="1"/>
        <rFont val="Times New Roman"/>
        <family val="1"/>
      </rPr>
      <t>, 4586 (2019).</t>
    </r>
  </si>
  <si>
    <r>
      <t xml:space="preserve">Soon, Y. K. &amp; Arshad, M. A. Tillage, crop residue and crop sequence effects on nitrogen availability in a legume-based cropping system. </t>
    </r>
    <r>
      <rPr>
        <i/>
        <sz val="12"/>
        <color theme="1"/>
        <rFont val="Times New Roman"/>
        <family val="1"/>
      </rPr>
      <t>Can. J. Soil Sci.</t>
    </r>
    <r>
      <rPr>
        <sz val="12"/>
        <color theme="1"/>
        <rFont val="Times New Roman"/>
        <family val="1"/>
      </rPr>
      <t xml:space="preserve"> </t>
    </r>
    <r>
      <rPr>
        <b/>
        <sz val="12"/>
        <color theme="1"/>
        <rFont val="Times New Roman"/>
        <family val="1"/>
      </rPr>
      <t>84</t>
    </r>
    <r>
      <rPr>
        <sz val="12"/>
        <color theme="1"/>
        <rFont val="Times New Roman"/>
        <family val="1"/>
      </rPr>
      <t>, 421–430 (2004).</t>
    </r>
  </si>
  <si>
    <r>
      <t xml:space="preserve">Soon, Y. K., Malhi, S. S., Lemke, R. L., Lupwayi, N. Z. &amp; Grant, C. A. Effect of polymer-coated urea and tillage on the dynamics of available N and nitrous oxide emission from Gray Luvisols. </t>
    </r>
    <r>
      <rPr>
        <i/>
        <sz val="12"/>
        <color theme="1"/>
        <rFont val="Times New Roman"/>
        <family val="1"/>
      </rPr>
      <t>Nutr. Cycl. Agroecosystems</t>
    </r>
    <r>
      <rPr>
        <sz val="12"/>
        <color theme="1"/>
        <rFont val="Times New Roman"/>
        <family val="1"/>
      </rPr>
      <t xml:space="preserve"> </t>
    </r>
    <r>
      <rPr>
        <b/>
        <sz val="12"/>
        <color theme="1"/>
        <rFont val="Times New Roman"/>
        <family val="1"/>
      </rPr>
      <t>90</t>
    </r>
    <r>
      <rPr>
        <sz val="12"/>
        <color theme="1"/>
        <rFont val="Times New Roman"/>
        <family val="1"/>
      </rPr>
      <t>, 267–279 (2011).</t>
    </r>
  </si>
  <si>
    <r>
      <t xml:space="preserve">Sow, A. A., Hossner, L. R., Unger, P. W. &amp; Stewart, B. A. Tillage and residue effects on root growth and yields of grain sorghum following wheat. </t>
    </r>
    <r>
      <rPr>
        <i/>
        <sz val="12"/>
        <color theme="1"/>
        <rFont val="Times New Roman"/>
        <family val="1"/>
      </rPr>
      <t>Soil Tillage Res.</t>
    </r>
    <r>
      <rPr>
        <sz val="12"/>
        <color theme="1"/>
        <rFont val="Times New Roman"/>
        <family val="1"/>
      </rPr>
      <t xml:space="preserve"> </t>
    </r>
    <r>
      <rPr>
        <b/>
        <sz val="12"/>
        <color theme="1"/>
        <rFont val="Times New Roman"/>
        <family val="1"/>
      </rPr>
      <t>44</t>
    </r>
    <r>
      <rPr>
        <sz val="12"/>
        <color theme="1"/>
        <rFont val="Times New Roman"/>
        <family val="1"/>
      </rPr>
      <t>, 121–129 (1997).</t>
    </r>
  </si>
  <si>
    <r>
      <t xml:space="preserve">Spargo, J. T., Cavigelli, M. A., Mirsky, S. B., Maul, J. E. &amp; Meisinger, J. J. Mineralizable soil nitrogen and labile soil organic matter in diverse long-term cropping systems. </t>
    </r>
    <r>
      <rPr>
        <i/>
        <sz val="12"/>
        <color theme="1"/>
        <rFont val="Times New Roman"/>
        <family val="1"/>
      </rPr>
      <t>Nutr. Cycl. Agroecosystems</t>
    </r>
    <r>
      <rPr>
        <sz val="12"/>
        <color theme="1"/>
        <rFont val="Times New Roman"/>
        <family val="1"/>
      </rPr>
      <t xml:space="preserve"> </t>
    </r>
    <r>
      <rPr>
        <b/>
        <sz val="12"/>
        <color theme="1"/>
        <rFont val="Times New Roman"/>
        <family val="1"/>
      </rPr>
      <t>90</t>
    </r>
    <r>
      <rPr>
        <sz val="12"/>
        <color theme="1"/>
        <rFont val="Times New Roman"/>
        <family val="1"/>
      </rPr>
      <t>, 253–266 (2011).</t>
    </r>
  </si>
  <si>
    <r>
      <t xml:space="preserve">Stecker, J. A., Buchholz, D. D., Hanson, R. G., Wollenhaupt, N. C. &amp; McVay, K. A. Tillage and rotation effects on corn yield response to fertilizer nitrogen on aqualf soils. </t>
    </r>
    <r>
      <rPr>
        <i/>
        <sz val="12"/>
        <color theme="1"/>
        <rFont val="Times New Roman"/>
        <family val="1"/>
      </rPr>
      <t>Agron. J.</t>
    </r>
    <r>
      <rPr>
        <sz val="12"/>
        <color theme="1"/>
        <rFont val="Times New Roman"/>
        <family val="1"/>
      </rPr>
      <t xml:space="preserve"> </t>
    </r>
    <r>
      <rPr>
        <b/>
        <sz val="12"/>
        <color theme="1"/>
        <rFont val="Times New Roman"/>
        <family val="1"/>
      </rPr>
      <t>87</t>
    </r>
    <r>
      <rPr>
        <sz val="12"/>
        <color theme="1"/>
        <rFont val="Times New Roman"/>
        <family val="1"/>
      </rPr>
      <t>, 409–415 (1995).</t>
    </r>
  </si>
  <si>
    <r>
      <t xml:space="preserve">Steward, P. R., Thierfelder, C., Dougill, A. J. &amp; Ligowe, I. Conservation agriculture enhances resistance of maize to climate stress in a Malawian medium-term trial. </t>
    </r>
    <r>
      <rPr>
        <i/>
        <sz val="12"/>
        <color theme="1"/>
        <rFont val="Times New Roman"/>
        <family val="1"/>
      </rPr>
      <t>Agric. Ecosyst. Environ.</t>
    </r>
    <r>
      <rPr>
        <sz val="12"/>
        <color theme="1"/>
        <rFont val="Times New Roman"/>
        <family val="1"/>
      </rPr>
      <t xml:space="preserve"> </t>
    </r>
    <r>
      <rPr>
        <b/>
        <sz val="12"/>
        <color theme="1"/>
        <rFont val="Times New Roman"/>
        <family val="1"/>
      </rPr>
      <t>277</t>
    </r>
    <r>
      <rPr>
        <sz val="12"/>
        <color theme="1"/>
        <rFont val="Times New Roman"/>
        <family val="1"/>
      </rPr>
      <t>, 95–104 (2019).</t>
    </r>
  </si>
  <si>
    <r>
      <t xml:space="preserve">Stinner, B. R., Odum, E. P. &amp; Crossley, D. A. Nutrient uptake by vegetation in relation to other ecosystem processes in conventional tillage, no-tillage and old-field systems. </t>
    </r>
    <r>
      <rPr>
        <i/>
        <sz val="12"/>
        <color theme="1"/>
        <rFont val="Times New Roman"/>
        <family val="1"/>
      </rPr>
      <t>Agric. Ecosyst. Environ.</t>
    </r>
    <r>
      <rPr>
        <sz val="12"/>
        <color theme="1"/>
        <rFont val="Times New Roman"/>
        <family val="1"/>
      </rPr>
      <t xml:space="preserve"> </t>
    </r>
    <r>
      <rPr>
        <b/>
        <sz val="12"/>
        <color theme="1"/>
        <rFont val="Times New Roman"/>
        <family val="1"/>
      </rPr>
      <t>10</t>
    </r>
    <r>
      <rPr>
        <sz val="12"/>
        <color theme="1"/>
        <rFont val="Times New Roman"/>
        <family val="1"/>
      </rPr>
      <t>, 1–13 (1983).</t>
    </r>
  </si>
  <si>
    <r>
      <t xml:space="preserve">Su, Z. </t>
    </r>
    <r>
      <rPr>
        <i/>
        <sz val="12"/>
        <color theme="1"/>
        <rFont val="Times New Roman"/>
        <family val="1"/>
      </rPr>
      <t>et al.</t>
    </r>
    <r>
      <rPr>
        <sz val="12"/>
        <color theme="1"/>
        <rFont val="Times New Roman"/>
        <family val="1"/>
      </rPr>
      <t xml:space="preserve"> Effects of conservation tillage practices on winter wheat water-use efficiency and crop yield on the Loess Plateau, China. </t>
    </r>
    <r>
      <rPr>
        <i/>
        <sz val="12"/>
        <color theme="1"/>
        <rFont val="Times New Roman"/>
        <family val="1"/>
      </rPr>
      <t>Agric. Water Manag.</t>
    </r>
    <r>
      <rPr>
        <sz val="12"/>
        <color theme="1"/>
        <rFont val="Times New Roman"/>
        <family val="1"/>
      </rPr>
      <t xml:space="preserve"> </t>
    </r>
    <r>
      <rPr>
        <b/>
        <sz val="12"/>
        <color theme="1"/>
        <rFont val="Times New Roman"/>
        <family val="1"/>
      </rPr>
      <t>87</t>
    </r>
    <r>
      <rPr>
        <sz val="12"/>
        <color theme="1"/>
        <rFont val="Times New Roman"/>
        <family val="1"/>
      </rPr>
      <t>, 307–314 (2007).</t>
    </r>
  </si>
  <si>
    <r>
      <t xml:space="preserve">Sulek, A., Wyzinska, M. &amp; Cacak-Pietrzak, G. Impact of tillage on yield and quality traits of grains of spring wheat cultivars. </t>
    </r>
    <r>
      <rPr>
        <i/>
        <sz val="12"/>
        <color theme="1"/>
        <rFont val="Times New Roman"/>
        <family val="1"/>
      </rPr>
      <t>Eng. Rural Dev.</t>
    </r>
    <r>
      <rPr>
        <sz val="12"/>
        <color theme="1"/>
        <rFont val="Times New Roman"/>
        <family val="1"/>
      </rPr>
      <t xml:space="preserve"> </t>
    </r>
    <r>
      <rPr>
        <b/>
        <sz val="12"/>
        <color theme="1"/>
        <rFont val="Times New Roman"/>
        <family val="1"/>
      </rPr>
      <t>18</t>
    </r>
    <r>
      <rPr>
        <sz val="12"/>
        <color theme="1"/>
        <rFont val="Times New Roman"/>
        <family val="1"/>
      </rPr>
      <t>, 600–606 (2019).</t>
    </r>
  </si>
  <si>
    <r>
      <t xml:space="preserve">Sun, L. </t>
    </r>
    <r>
      <rPr>
        <i/>
        <sz val="12"/>
        <color theme="1"/>
        <rFont val="Times New Roman"/>
        <family val="1"/>
      </rPr>
      <t>et al.</t>
    </r>
    <r>
      <rPr>
        <sz val="12"/>
        <color theme="1"/>
        <rFont val="Times New Roman"/>
        <family val="1"/>
      </rPr>
      <t xml:space="preserve"> Reasonable fertilization improves the conservation tillage benefit for soil water use and yield of rain-fed winter wheat: A case study from the Loess Plateau, China. </t>
    </r>
    <r>
      <rPr>
        <i/>
        <sz val="12"/>
        <color theme="1"/>
        <rFont val="Times New Roman"/>
        <family val="1"/>
      </rPr>
      <t>F. Crop. Res.</t>
    </r>
    <r>
      <rPr>
        <sz val="12"/>
        <color theme="1"/>
        <rFont val="Times New Roman"/>
        <family val="1"/>
      </rPr>
      <t xml:space="preserve"> </t>
    </r>
    <r>
      <rPr>
        <b/>
        <sz val="12"/>
        <color theme="1"/>
        <rFont val="Times New Roman"/>
        <family val="1"/>
      </rPr>
      <t>242</t>
    </r>
    <r>
      <rPr>
        <sz val="12"/>
        <color theme="1"/>
        <rFont val="Times New Roman"/>
        <family val="1"/>
      </rPr>
      <t>, (2019).</t>
    </r>
  </si>
  <si>
    <r>
      <t xml:space="preserve">Sun, L. </t>
    </r>
    <r>
      <rPr>
        <i/>
        <sz val="12"/>
        <color theme="1"/>
        <rFont val="Times New Roman"/>
        <family val="1"/>
      </rPr>
      <t>et al.</t>
    </r>
    <r>
      <rPr>
        <sz val="12"/>
        <color theme="1"/>
        <rFont val="Times New Roman"/>
        <family val="1"/>
      </rPr>
      <t xml:space="preserve"> Conservation agriculture based on crop rotation and tillage in the semi-arid Loess Plateau, China: Effects on crop yield and soil water use. </t>
    </r>
    <r>
      <rPr>
        <i/>
        <sz val="12"/>
        <color theme="1"/>
        <rFont val="Times New Roman"/>
        <family val="1"/>
      </rPr>
      <t>Agric. Ecosyst. Environ.</t>
    </r>
    <r>
      <rPr>
        <sz val="12"/>
        <color theme="1"/>
        <rFont val="Times New Roman"/>
        <family val="1"/>
      </rPr>
      <t xml:space="preserve"> </t>
    </r>
    <r>
      <rPr>
        <b/>
        <sz val="12"/>
        <color theme="1"/>
        <rFont val="Times New Roman"/>
        <family val="1"/>
      </rPr>
      <t>251</t>
    </r>
    <r>
      <rPr>
        <sz val="12"/>
        <color theme="1"/>
        <rFont val="Times New Roman"/>
        <family val="1"/>
      </rPr>
      <t>, 67–77 (2018).</t>
    </r>
  </si>
  <si>
    <r>
      <t xml:space="preserve">Sun, M. </t>
    </r>
    <r>
      <rPr>
        <i/>
        <sz val="12"/>
        <color theme="1"/>
        <rFont val="Times New Roman"/>
        <family val="1"/>
      </rPr>
      <t>et al.</t>
    </r>
    <r>
      <rPr>
        <sz val="12"/>
        <color theme="1"/>
        <rFont val="Times New Roman"/>
        <family val="1"/>
      </rPr>
      <t xml:space="preserve"> Long-term evaluation of tillage methods in fallow season for soil water storage, wheat yield and water use efficiency in semiarid southeast of the Loess Plateau. </t>
    </r>
    <r>
      <rPr>
        <i/>
        <sz val="12"/>
        <color theme="1"/>
        <rFont val="Times New Roman"/>
        <family val="1"/>
      </rPr>
      <t>F. Crop. Res.</t>
    </r>
    <r>
      <rPr>
        <sz val="12"/>
        <color theme="1"/>
        <rFont val="Times New Roman"/>
        <family val="1"/>
      </rPr>
      <t xml:space="preserve"> </t>
    </r>
    <r>
      <rPr>
        <b/>
        <sz val="12"/>
        <color theme="1"/>
        <rFont val="Times New Roman"/>
        <family val="1"/>
      </rPr>
      <t>218</t>
    </r>
    <r>
      <rPr>
        <sz val="12"/>
        <color theme="1"/>
        <rFont val="Times New Roman"/>
        <family val="1"/>
      </rPr>
      <t>, 24–32 (2018).</t>
    </r>
  </si>
  <si>
    <r>
      <t xml:space="preserve">Susha, V. S. </t>
    </r>
    <r>
      <rPr>
        <i/>
        <sz val="12"/>
        <color theme="1"/>
        <rFont val="Times New Roman"/>
        <family val="1"/>
      </rPr>
      <t>et al.</t>
    </r>
    <r>
      <rPr>
        <sz val="12"/>
        <color theme="1"/>
        <rFont val="Times New Roman"/>
        <family val="1"/>
      </rPr>
      <t xml:space="preserve"> Impacts of tillage and herbicide mixture on weed interference, agronomic productivity and profitability of a maize – Wheat system in the North-western Indo-Gangetic Plains. </t>
    </r>
    <r>
      <rPr>
        <i/>
        <sz val="12"/>
        <color theme="1"/>
        <rFont val="Times New Roman"/>
        <family val="1"/>
      </rPr>
      <t>F. Crop. Res.</t>
    </r>
    <r>
      <rPr>
        <sz val="12"/>
        <color theme="1"/>
        <rFont val="Times New Roman"/>
        <family val="1"/>
      </rPr>
      <t xml:space="preserve"> </t>
    </r>
    <r>
      <rPr>
        <b/>
        <sz val="12"/>
        <color theme="1"/>
        <rFont val="Times New Roman"/>
        <family val="1"/>
      </rPr>
      <t>219</t>
    </r>
    <r>
      <rPr>
        <sz val="12"/>
        <color theme="1"/>
        <rFont val="Times New Roman"/>
        <family val="1"/>
      </rPr>
      <t>, 180–191 (2018).</t>
    </r>
  </si>
  <si>
    <r>
      <t xml:space="preserve">Taa, A., Tanner, D. &amp; Bennie, A. T. P. Effects of stubble management, tillage and cropping sequence on wheat production in the south-eastern highlands of Ethiopia. </t>
    </r>
    <r>
      <rPr>
        <i/>
        <sz val="12"/>
        <color theme="1"/>
        <rFont val="Times New Roman"/>
        <family val="1"/>
      </rPr>
      <t>Soil Tillage Res.</t>
    </r>
    <r>
      <rPr>
        <sz val="12"/>
        <color theme="1"/>
        <rFont val="Times New Roman"/>
        <family val="1"/>
      </rPr>
      <t xml:space="preserve"> </t>
    </r>
    <r>
      <rPr>
        <b/>
        <sz val="12"/>
        <color theme="1"/>
        <rFont val="Times New Roman"/>
        <family val="1"/>
      </rPr>
      <t>76</t>
    </r>
    <r>
      <rPr>
        <sz val="12"/>
        <color theme="1"/>
        <rFont val="Times New Roman"/>
        <family val="1"/>
      </rPr>
      <t>, 69–82 (2004).</t>
    </r>
  </si>
  <si>
    <r>
      <t xml:space="preserve">Tabaglio, V. &amp; Gavazzi, C. Monoculture maize (Zea mays L.) cropped under conventional tillage, no-tillage and N fertilization:(I) Three year yield performances. </t>
    </r>
    <r>
      <rPr>
        <i/>
        <sz val="12"/>
        <color theme="1"/>
        <rFont val="Times New Roman"/>
        <family val="1"/>
      </rPr>
      <t>Ital. J. Agron.</t>
    </r>
    <r>
      <rPr>
        <sz val="12"/>
        <color theme="1"/>
        <rFont val="Times New Roman"/>
        <family val="1"/>
      </rPr>
      <t xml:space="preserve"> 61–68 (2009).</t>
    </r>
  </si>
  <si>
    <r>
      <t xml:space="preserve">Tan, Y., Wu, D., Bol, R., Wu, W. &amp; Meng, F. Conservation farming practices in winter wheat–summer maize cropping reduce GHG emissions and maintain high yields. </t>
    </r>
    <r>
      <rPr>
        <i/>
        <sz val="12"/>
        <color theme="1"/>
        <rFont val="Times New Roman"/>
        <family val="1"/>
      </rPr>
      <t>Agric. Ecosyst. Environ.</t>
    </r>
    <r>
      <rPr>
        <sz val="12"/>
        <color theme="1"/>
        <rFont val="Times New Roman"/>
        <family val="1"/>
      </rPr>
      <t xml:space="preserve"> </t>
    </r>
    <r>
      <rPr>
        <b/>
        <sz val="12"/>
        <color theme="1"/>
        <rFont val="Times New Roman"/>
        <family val="1"/>
      </rPr>
      <t>272</t>
    </r>
    <r>
      <rPr>
        <sz val="12"/>
        <color theme="1"/>
        <rFont val="Times New Roman"/>
        <family val="1"/>
      </rPr>
      <t>, 266–275 (2019).</t>
    </r>
  </si>
  <si>
    <r>
      <t xml:space="preserve">Tarkalson, D. D., Hergert, G. W. &amp; Cassman, K. G. Long-term effects of tillage on soil chemical properties and grain yields of a dryland winter wheat-sorghum/corn-fallow rotation in the great plains. </t>
    </r>
    <r>
      <rPr>
        <i/>
        <sz val="12"/>
        <color theme="1"/>
        <rFont val="Times New Roman"/>
        <family val="1"/>
      </rPr>
      <t>Agron. J.</t>
    </r>
    <r>
      <rPr>
        <sz val="12"/>
        <color theme="1"/>
        <rFont val="Times New Roman"/>
        <family val="1"/>
      </rPr>
      <t xml:space="preserve"> </t>
    </r>
    <r>
      <rPr>
        <b/>
        <sz val="12"/>
        <color theme="1"/>
        <rFont val="Times New Roman"/>
        <family val="1"/>
      </rPr>
      <t>98</t>
    </r>
    <r>
      <rPr>
        <sz val="12"/>
        <color theme="1"/>
        <rFont val="Times New Roman"/>
        <family val="1"/>
      </rPr>
      <t>, 26–33 (2006).</t>
    </r>
  </si>
  <si>
    <r>
      <t xml:space="preserve">Teal, R. K. </t>
    </r>
    <r>
      <rPr>
        <i/>
        <sz val="12"/>
        <color theme="1"/>
        <rFont val="Times New Roman"/>
        <family val="1"/>
      </rPr>
      <t>et al.</t>
    </r>
    <r>
      <rPr>
        <sz val="12"/>
        <color theme="1"/>
        <rFont val="Times New Roman"/>
        <family val="1"/>
      </rPr>
      <t xml:space="preserve"> Effect of tillage and anhydrous ammonia application on nitrogen use efficiency of hard red winter wheat. </t>
    </r>
    <r>
      <rPr>
        <i/>
        <sz val="12"/>
        <color theme="1"/>
        <rFont val="Times New Roman"/>
        <family val="1"/>
      </rPr>
      <t>J. Sustain. Agric.</t>
    </r>
    <r>
      <rPr>
        <sz val="12"/>
        <color theme="1"/>
        <rFont val="Times New Roman"/>
        <family val="1"/>
      </rPr>
      <t xml:space="preserve"> </t>
    </r>
    <r>
      <rPr>
        <b/>
        <sz val="12"/>
        <color theme="1"/>
        <rFont val="Times New Roman"/>
        <family val="1"/>
      </rPr>
      <t>30</t>
    </r>
    <r>
      <rPr>
        <sz val="12"/>
        <color theme="1"/>
        <rFont val="Times New Roman"/>
        <family val="1"/>
      </rPr>
      <t>, 51–67 (2007).</t>
    </r>
  </si>
  <si>
    <r>
      <t xml:space="preserve">Tessier, S., Peru, M., Dyck, F. B., Zentner, F. P. &amp; Campbell, C. A. Conservation tillage for spring wheat production in semi-arid Saskatchewan. </t>
    </r>
    <r>
      <rPr>
        <i/>
        <sz val="12"/>
        <color theme="1"/>
        <rFont val="Times New Roman"/>
        <family val="1"/>
      </rPr>
      <t>Soil Tillage Res.</t>
    </r>
    <r>
      <rPr>
        <sz val="12"/>
        <color theme="1"/>
        <rFont val="Times New Roman"/>
        <family val="1"/>
      </rPr>
      <t xml:space="preserve"> </t>
    </r>
    <r>
      <rPr>
        <b/>
        <sz val="12"/>
        <color theme="1"/>
        <rFont val="Times New Roman"/>
        <family val="1"/>
      </rPr>
      <t>18</t>
    </r>
    <r>
      <rPr>
        <sz val="12"/>
        <color theme="1"/>
        <rFont val="Times New Roman"/>
        <family val="1"/>
      </rPr>
      <t>, 73–89 (1990).</t>
    </r>
  </si>
  <si>
    <r>
      <t xml:space="preserve">Therrien, M. C. &amp; Grant, C. A. Effect of tillage management on yield performance in barley. </t>
    </r>
    <r>
      <rPr>
        <i/>
        <sz val="12"/>
        <color theme="1"/>
        <rFont val="Times New Roman"/>
        <family val="1"/>
      </rPr>
      <t>Can. J. Plant Sci.</t>
    </r>
    <r>
      <rPr>
        <sz val="12"/>
        <color theme="1"/>
        <rFont val="Times New Roman"/>
        <family val="1"/>
      </rPr>
      <t xml:space="preserve"> </t>
    </r>
    <r>
      <rPr>
        <b/>
        <sz val="12"/>
        <color theme="1"/>
        <rFont val="Times New Roman"/>
        <family val="1"/>
      </rPr>
      <t>78</t>
    </r>
    <r>
      <rPr>
        <sz val="12"/>
        <color theme="1"/>
        <rFont val="Times New Roman"/>
        <family val="1"/>
      </rPr>
      <t>, 301–303 (1998).</t>
    </r>
  </si>
  <si>
    <r>
      <t xml:space="preserve">Thind, H. S., Sharma, S., Yadvinder Singh &amp; Sidhu, H. S. Rice–wheat productivity and profitability with residue, tillage and green manure management. </t>
    </r>
    <r>
      <rPr>
        <i/>
        <sz val="12"/>
        <color theme="1"/>
        <rFont val="Times New Roman"/>
        <family val="1"/>
      </rPr>
      <t>Nutr. Cycl. Agroecosystems</t>
    </r>
    <r>
      <rPr>
        <sz val="12"/>
        <color theme="1"/>
        <rFont val="Times New Roman"/>
        <family val="1"/>
      </rPr>
      <t xml:space="preserve"> </t>
    </r>
    <r>
      <rPr>
        <b/>
        <sz val="12"/>
        <color theme="1"/>
        <rFont val="Times New Roman"/>
        <family val="1"/>
      </rPr>
      <t>113</t>
    </r>
    <r>
      <rPr>
        <sz val="12"/>
        <color theme="1"/>
        <rFont val="Times New Roman"/>
        <family val="1"/>
      </rPr>
      <t>, 113–125 (2019).</t>
    </r>
  </si>
  <si>
    <r>
      <t xml:space="preserve">Thomsen, I. K. &amp; Sørensen, P. Tillage-induced N mineralization and N uptake in winter wheat on a coarse sandy loam. </t>
    </r>
    <r>
      <rPr>
        <i/>
        <sz val="12"/>
        <color theme="1"/>
        <rFont val="Times New Roman"/>
        <family val="1"/>
      </rPr>
      <t>Soil Tillage Res.</t>
    </r>
    <r>
      <rPr>
        <sz val="12"/>
        <color theme="1"/>
        <rFont val="Times New Roman"/>
        <family val="1"/>
      </rPr>
      <t xml:space="preserve"> </t>
    </r>
    <r>
      <rPr>
        <b/>
        <sz val="12"/>
        <color theme="1"/>
        <rFont val="Times New Roman"/>
        <family val="1"/>
      </rPr>
      <t>89</t>
    </r>
    <r>
      <rPr>
        <sz val="12"/>
        <color theme="1"/>
        <rFont val="Times New Roman"/>
        <family val="1"/>
      </rPr>
      <t>, 58–69 (2006).</t>
    </r>
  </si>
  <si>
    <r>
      <t xml:space="preserve">Tolon-Becerra, A., Tourn, M., Botta, G. F. &amp; Lastra-Bravo, X. Effects of different tillage regimes on soil compaction, maize (Zea mays L.) seedling emergence and yields in the eastern Argentinean Pampas region. </t>
    </r>
    <r>
      <rPr>
        <i/>
        <sz val="12"/>
        <color theme="1"/>
        <rFont val="Times New Roman"/>
        <family val="1"/>
      </rPr>
      <t>Soil Tillage Res.</t>
    </r>
    <r>
      <rPr>
        <sz val="12"/>
        <color theme="1"/>
        <rFont val="Times New Roman"/>
        <family val="1"/>
      </rPr>
      <t xml:space="preserve"> </t>
    </r>
    <r>
      <rPr>
        <b/>
        <sz val="12"/>
        <color theme="1"/>
        <rFont val="Times New Roman"/>
        <family val="1"/>
      </rPr>
      <t>117</t>
    </r>
    <r>
      <rPr>
        <sz val="12"/>
        <color theme="1"/>
        <rFont val="Times New Roman"/>
        <family val="1"/>
      </rPr>
      <t>, 184–190 (2011).</t>
    </r>
  </si>
  <si>
    <r>
      <t xml:space="preserve">Tørresen, K. S., Skuterud, R., Weiseth, L., Tandsæther, H. J. &amp; Haugan Jonsen, S. Plant protection in spring cereal production with reduced tillage. I. Grain yield and weed development. </t>
    </r>
    <r>
      <rPr>
        <i/>
        <sz val="12"/>
        <color theme="1"/>
        <rFont val="Times New Roman"/>
        <family val="1"/>
      </rPr>
      <t>Crop Prot.</t>
    </r>
    <r>
      <rPr>
        <sz val="12"/>
        <color theme="1"/>
        <rFont val="Times New Roman"/>
        <family val="1"/>
      </rPr>
      <t xml:space="preserve"> </t>
    </r>
    <r>
      <rPr>
        <b/>
        <sz val="12"/>
        <color theme="1"/>
        <rFont val="Times New Roman"/>
        <family val="1"/>
      </rPr>
      <t>18</t>
    </r>
    <r>
      <rPr>
        <sz val="12"/>
        <color theme="1"/>
        <rFont val="Times New Roman"/>
        <family val="1"/>
      </rPr>
      <t>, 595–603 (1999).</t>
    </r>
  </si>
  <si>
    <r>
      <t xml:space="preserve">Tsegaye, T. &amp; Hill, R. L. Wheel traffic placement effects on corn response under no-tillage and conventional tillage.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95–101 (1996).</t>
    </r>
  </si>
  <si>
    <r>
      <t xml:space="preserve">Tsuji, H., Yamamoto, H., Matsuo, K. &amp; Usuki, K. The effects of long-term conservation tillage, crop residues and P fertilizer on soil conditions and responses of summer and winter crops on an Andosol in Japan. </t>
    </r>
    <r>
      <rPr>
        <i/>
        <sz val="12"/>
        <color theme="1"/>
        <rFont val="Times New Roman"/>
        <family val="1"/>
      </rPr>
      <t>Soil Tillage Res.</t>
    </r>
    <r>
      <rPr>
        <sz val="12"/>
        <color theme="1"/>
        <rFont val="Times New Roman"/>
        <family val="1"/>
      </rPr>
      <t xml:space="preserve"> </t>
    </r>
    <r>
      <rPr>
        <b/>
        <sz val="12"/>
        <color theme="1"/>
        <rFont val="Times New Roman"/>
        <family val="1"/>
      </rPr>
      <t>89</t>
    </r>
    <r>
      <rPr>
        <sz val="12"/>
        <color theme="1"/>
        <rFont val="Times New Roman"/>
        <family val="1"/>
      </rPr>
      <t>, 167–176 (2006).</t>
    </r>
  </si>
  <si>
    <r>
      <t xml:space="preserve">Tueche, J. R. &amp; Hauser, S. Maize (Zea mays L.) yield and soil physical properties as affected by the previous plantain cropping systems, tillage and nitrogen application. </t>
    </r>
    <r>
      <rPr>
        <i/>
        <sz val="12"/>
        <color theme="1"/>
        <rFont val="Times New Roman"/>
        <family val="1"/>
      </rPr>
      <t>Soil Tillage Res.</t>
    </r>
    <r>
      <rPr>
        <sz val="12"/>
        <color theme="1"/>
        <rFont val="Times New Roman"/>
        <family val="1"/>
      </rPr>
      <t xml:space="preserve"> </t>
    </r>
    <r>
      <rPr>
        <b/>
        <sz val="12"/>
        <color theme="1"/>
        <rFont val="Times New Roman"/>
        <family val="1"/>
      </rPr>
      <t>115</t>
    </r>
    <r>
      <rPr>
        <sz val="12"/>
        <color theme="1"/>
        <rFont val="Times New Roman"/>
        <family val="1"/>
      </rPr>
      <t>–</t>
    </r>
    <r>
      <rPr>
        <b/>
        <sz val="12"/>
        <color theme="1"/>
        <rFont val="Times New Roman"/>
        <family val="1"/>
      </rPr>
      <t>116</t>
    </r>
    <r>
      <rPr>
        <sz val="12"/>
        <color theme="1"/>
        <rFont val="Times New Roman"/>
        <family val="1"/>
      </rPr>
      <t>, 88–93 (2011).</t>
    </r>
  </si>
  <si>
    <r>
      <t xml:space="preserve">Unger, P. W. Tillage and residue effects on wheat, sorghum, and sunflower grown in rotation. </t>
    </r>
    <r>
      <rPr>
        <i/>
        <sz val="12"/>
        <color theme="1"/>
        <rFont val="Times New Roman"/>
        <family val="1"/>
      </rPr>
      <t>Soil Sci. Soc. Am. J.</t>
    </r>
    <r>
      <rPr>
        <sz val="12"/>
        <color theme="1"/>
        <rFont val="Times New Roman"/>
        <family val="1"/>
      </rPr>
      <t xml:space="preserve"> </t>
    </r>
    <r>
      <rPr>
        <b/>
        <sz val="12"/>
        <color theme="1"/>
        <rFont val="Times New Roman"/>
        <family val="1"/>
      </rPr>
      <t>48</t>
    </r>
    <r>
      <rPr>
        <sz val="12"/>
        <color theme="1"/>
        <rFont val="Times New Roman"/>
        <family val="1"/>
      </rPr>
      <t>, 885–891 (1984).</t>
    </r>
  </si>
  <si>
    <r>
      <t xml:space="preserve">Varner, B. T., Epplin, F. M. &amp; Strickland, G. L. Economics of no-till versus tilled dryland cotton, grain sorghum, and wheat.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1329–1338 (2011).</t>
    </r>
  </si>
  <si>
    <r>
      <t xml:space="preserve">Varsa, E. C., Chong, S. K., Abolaji, J. O., Farquhar, D. A. &amp; Olsen, F. J. Effect of deep tillage on soil physical characteristics and corn (Zea mays L.) root growth and production. </t>
    </r>
    <r>
      <rPr>
        <i/>
        <sz val="12"/>
        <color theme="1"/>
        <rFont val="Times New Roman"/>
        <family val="1"/>
      </rPr>
      <t>Soil Tillage Res.</t>
    </r>
    <r>
      <rPr>
        <sz val="12"/>
        <color theme="1"/>
        <rFont val="Times New Roman"/>
        <family val="1"/>
      </rPr>
      <t xml:space="preserve"> </t>
    </r>
    <r>
      <rPr>
        <b/>
        <sz val="12"/>
        <color theme="1"/>
        <rFont val="Times New Roman"/>
        <family val="1"/>
      </rPr>
      <t>43</t>
    </r>
    <r>
      <rPr>
        <sz val="12"/>
        <color theme="1"/>
        <rFont val="Times New Roman"/>
        <family val="1"/>
      </rPr>
      <t>, 219–228 (1997).</t>
    </r>
  </si>
  <si>
    <r>
      <t xml:space="preserve">Vazquez, L., Myhre, D. L., Gallaher, R. N., Hanlon, E. A. &amp; Portier, K. M. Soil compaction associated with tillage treatments for soybean. </t>
    </r>
    <r>
      <rPr>
        <i/>
        <sz val="12"/>
        <color theme="1"/>
        <rFont val="Times New Roman"/>
        <family val="1"/>
      </rPr>
      <t>Soil Tillage Res.</t>
    </r>
    <r>
      <rPr>
        <sz val="12"/>
        <color theme="1"/>
        <rFont val="Times New Roman"/>
        <family val="1"/>
      </rPr>
      <t xml:space="preserve"> </t>
    </r>
    <r>
      <rPr>
        <b/>
        <sz val="12"/>
        <color theme="1"/>
        <rFont val="Times New Roman"/>
        <family val="1"/>
      </rPr>
      <t>13</t>
    </r>
    <r>
      <rPr>
        <sz val="12"/>
        <color theme="1"/>
        <rFont val="Times New Roman"/>
        <family val="1"/>
      </rPr>
      <t>, 35–45 (1989).</t>
    </r>
  </si>
  <si>
    <r>
      <t xml:space="preserve">Venterea, R. T., Maharjan, B. &amp; Dolan, M. S. Fertilizer source and tillage effects on yield-scaled nitrous oxide emissions in a corn cropping system. </t>
    </r>
    <r>
      <rPr>
        <i/>
        <sz val="12"/>
        <color theme="1"/>
        <rFont val="Times New Roman"/>
        <family val="1"/>
      </rPr>
      <t>J. Environ. Qual.</t>
    </r>
    <r>
      <rPr>
        <sz val="12"/>
        <color theme="1"/>
        <rFont val="Times New Roman"/>
        <family val="1"/>
      </rPr>
      <t xml:space="preserve"> </t>
    </r>
    <r>
      <rPr>
        <b/>
        <sz val="12"/>
        <color theme="1"/>
        <rFont val="Times New Roman"/>
        <family val="1"/>
      </rPr>
      <t>40</t>
    </r>
    <r>
      <rPr>
        <sz val="12"/>
        <color theme="1"/>
        <rFont val="Times New Roman"/>
        <family val="1"/>
      </rPr>
      <t>, 1521–1531 (2011).</t>
    </r>
  </si>
  <si>
    <r>
      <t xml:space="preserve">Verch, G., Kächele, H., Höltl, K., Richter, C. &amp; Fuchs, C. Comparing the profitability of tillage methods in Northeast Germany-A field trial from 2002 to 2005. </t>
    </r>
    <r>
      <rPr>
        <i/>
        <sz val="12"/>
        <color theme="1"/>
        <rFont val="Times New Roman"/>
        <family val="1"/>
      </rPr>
      <t>Soil Tillage Res.</t>
    </r>
    <r>
      <rPr>
        <sz val="12"/>
        <color theme="1"/>
        <rFont val="Times New Roman"/>
        <family val="1"/>
      </rPr>
      <t xml:space="preserve"> </t>
    </r>
    <r>
      <rPr>
        <b/>
        <sz val="12"/>
        <color theme="1"/>
        <rFont val="Times New Roman"/>
        <family val="1"/>
      </rPr>
      <t>104</t>
    </r>
    <r>
      <rPr>
        <sz val="12"/>
        <color theme="1"/>
        <rFont val="Times New Roman"/>
        <family val="1"/>
      </rPr>
      <t>, 16–21 (2009).</t>
    </r>
  </si>
  <si>
    <r>
      <t xml:space="preserve">Verhulst, N. </t>
    </r>
    <r>
      <rPr>
        <i/>
        <sz val="12"/>
        <color theme="1"/>
        <rFont val="Times New Roman"/>
        <family val="1"/>
      </rPr>
      <t>et al.</t>
    </r>
    <r>
      <rPr>
        <sz val="12"/>
        <color theme="1"/>
        <rFont val="Times New Roman"/>
        <family val="1"/>
      </rPr>
      <t xml:space="preserve"> Conservation agriculture for wheat-based cropping systems under gravity irrigation: Increasing resilience through improved soil quality. </t>
    </r>
    <r>
      <rPr>
        <i/>
        <sz val="12"/>
        <color theme="1"/>
        <rFont val="Times New Roman"/>
        <family val="1"/>
      </rPr>
      <t>Plant Soil</t>
    </r>
    <r>
      <rPr>
        <sz val="12"/>
        <color theme="1"/>
        <rFont val="Times New Roman"/>
        <family val="1"/>
      </rPr>
      <t xml:space="preserve"> </t>
    </r>
    <r>
      <rPr>
        <b/>
        <sz val="12"/>
        <color theme="1"/>
        <rFont val="Times New Roman"/>
        <family val="1"/>
      </rPr>
      <t>340</t>
    </r>
    <r>
      <rPr>
        <sz val="12"/>
        <color theme="1"/>
        <rFont val="Times New Roman"/>
        <family val="1"/>
      </rPr>
      <t>, 467–479 (2011).</t>
    </r>
  </si>
  <si>
    <r>
      <t xml:space="preserve">Verhulst, N. </t>
    </r>
    <r>
      <rPr>
        <i/>
        <sz val="12"/>
        <color theme="1"/>
        <rFont val="Times New Roman"/>
        <family val="1"/>
      </rPr>
      <t>et al.</t>
    </r>
    <r>
      <rPr>
        <sz val="12"/>
        <color theme="1"/>
        <rFont val="Times New Roman"/>
        <family val="1"/>
      </rPr>
      <t xml:space="preserve"> The effect of tillage, crop rotation and residue management on maize and wheat growth and development evaluated with an optical sensor. </t>
    </r>
    <r>
      <rPr>
        <i/>
        <sz val="12"/>
        <color theme="1"/>
        <rFont val="Times New Roman"/>
        <family val="1"/>
      </rPr>
      <t>F. Crop. Res.</t>
    </r>
    <r>
      <rPr>
        <sz val="12"/>
        <color theme="1"/>
        <rFont val="Times New Roman"/>
        <family val="1"/>
      </rPr>
      <t xml:space="preserve"> </t>
    </r>
    <r>
      <rPr>
        <b/>
        <sz val="12"/>
        <color theme="1"/>
        <rFont val="Times New Roman"/>
        <family val="1"/>
      </rPr>
      <t>120</t>
    </r>
    <r>
      <rPr>
        <sz val="12"/>
        <color theme="1"/>
        <rFont val="Times New Roman"/>
        <family val="1"/>
      </rPr>
      <t>, 58–67 (2011).</t>
    </r>
  </si>
  <si>
    <r>
      <t xml:space="preserve">Verhulst, N. </t>
    </r>
    <r>
      <rPr>
        <i/>
        <sz val="12"/>
        <color theme="1"/>
        <rFont val="Times New Roman"/>
        <family val="1"/>
      </rPr>
      <t>et al.</t>
    </r>
    <r>
      <rPr>
        <sz val="12"/>
        <color theme="1"/>
        <rFont val="Times New Roman"/>
        <family val="1"/>
      </rPr>
      <t xml:space="preserve"> Soil water content, maize yield and its stability as affected by tillage and crop residue management in rainfed semi-arid highlands. </t>
    </r>
    <r>
      <rPr>
        <i/>
        <sz val="12"/>
        <color theme="1"/>
        <rFont val="Times New Roman"/>
        <family val="1"/>
      </rPr>
      <t>Plant Soil</t>
    </r>
    <r>
      <rPr>
        <sz val="12"/>
        <color theme="1"/>
        <rFont val="Times New Roman"/>
        <family val="1"/>
      </rPr>
      <t xml:space="preserve"> </t>
    </r>
    <r>
      <rPr>
        <b/>
        <sz val="12"/>
        <color theme="1"/>
        <rFont val="Times New Roman"/>
        <family val="1"/>
      </rPr>
      <t>344</t>
    </r>
    <r>
      <rPr>
        <sz val="12"/>
        <color theme="1"/>
        <rFont val="Times New Roman"/>
        <family val="1"/>
      </rPr>
      <t>, 73–85 (2011).</t>
    </r>
  </si>
  <si>
    <r>
      <t xml:space="preserve">Videnović, Ž., Simić, M., Srdić, J. &amp; Dumanović, Z. Long term effects of different soil tillage systems on maize (Zea mays L.) yields. </t>
    </r>
    <r>
      <rPr>
        <i/>
        <sz val="12"/>
        <color theme="1"/>
        <rFont val="Times New Roman"/>
        <family val="1"/>
      </rPr>
      <t>Plant, Soil Environ.</t>
    </r>
    <r>
      <rPr>
        <sz val="12"/>
        <color theme="1"/>
        <rFont val="Times New Roman"/>
        <family val="1"/>
      </rPr>
      <t xml:space="preserve"> </t>
    </r>
    <r>
      <rPr>
        <b/>
        <sz val="12"/>
        <color theme="1"/>
        <rFont val="Times New Roman"/>
        <family val="1"/>
      </rPr>
      <t>57</t>
    </r>
    <r>
      <rPr>
        <sz val="12"/>
        <color theme="1"/>
        <rFont val="Times New Roman"/>
        <family val="1"/>
      </rPr>
      <t>, 186–192 (2011).</t>
    </r>
  </si>
  <si>
    <r>
      <t xml:space="preserve">Vyn, T. J. &amp; Raimbault, B. A. Evaluation of strip tillage systems for corn production in Ontario. </t>
    </r>
    <r>
      <rPr>
        <i/>
        <sz val="12"/>
        <color theme="1"/>
        <rFont val="Times New Roman"/>
        <family val="1"/>
      </rPr>
      <t>Soil Tillage Res.</t>
    </r>
    <r>
      <rPr>
        <sz val="12"/>
        <color theme="1"/>
        <rFont val="Times New Roman"/>
        <family val="1"/>
      </rPr>
      <t xml:space="preserve"> </t>
    </r>
    <r>
      <rPr>
        <b/>
        <sz val="12"/>
        <color theme="1"/>
        <rFont val="Times New Roman"/>
        <family val="1"/>
      </rPr>
      <t>23</t>
    </r>
    <r>
      <rPr>
        <sz val="12"/>
        <color theme="1"/>
        <rFont val="Times New Roman"/>
        <family val="1"/>
      </rPr>
      <t>, 163–176 (1992).</t>
    </r>
  </si>
  <si>
    <r>
      <t xml:space="preserve">Vyn, T. J., Galic, D. M. &amp; Janovicek, K. J. Corn response to potassium placement in conservation tillage. </t>
    </r>
    <r>
      <rPr>
        <i/>
        <sz val="12"/>
        <color theme="1"/>
        <rFont val="Times New Roman"/>
        <family val="1"/>
      </rPr>
      <t>Soil Tillage Res.</t>
    </r>
    <r>
      <rPr>
        <sz val="12"/>
        <color theme="1"/>
        <rFont val="Times New Roman"/>
        <family val="1"/>
      </rPr>
      <t xml:space="preserve"> </t>
    </r>
    <r>
      <rPr>
        <b/>
        <sz val="12"/>
        <color theme="1"/>
        <rFont val="Times New Roman"/>
        <family val="1"/>
      </rPr>
      <t>67</t>
    </r>
    <r>
      <rPr>
        <sz val="12"/>
        <color theme="1"/>
        <rFont val="Times New Roman"/>
        <family val="1"/>
      </rPr>
      <t>, 159–169 (2002).</t>
    </r>
  </si>
  <si>
    <r>
      <t xml:space="preserve">Vyn, T. J. &amp; Janovicek, K. J. Potassium placement and tillage system effects on corn response following long‐term no till.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487–495 (2001).</t>
    </r>
  </si>
  <si>
    <r>
      <t xml:space="preserve">Wagger, M. G. &amp; Denton, H. P. Crop and tillage rotations: grain yield, residue cover, and soil water. </t>
    </r>
    <r>
      <rPr>
        <i/>
        <sz val="12"/>
        <color theme="1"/>
        <rFont val="Times New Roman"/>
        <family val="1"/>
      </rPr>
      <t>Soil Sci. Soc. Am. J.</t>
    </r>
    <r>
      <rPr>
        <sz val="12"/>
        <color theme="1"/>
        <rFont val="Times New Roman"/>
        <family val="1"/>
      </rPr>
      <t xml:space="preserve"> </t>
    </r>
    <r>
      <rPr>
        <b/>
        <sz val="12"/>
        <color theme="1"/>
        <rFont val="Times New Roman"/>
        <family val="1"/>
      </rPr>
      <t>56</t>
    </r>
    <r>
      <rPr>
        <sz val="12"/>
        <color theme="1"/>
        <rFont val="Times New Roman"/>
        <family val="1"/>
      </rPr>
      <t>, 1233–1237 (1992).</t>
    </r>
  </si>
  <si>
    <r>
      <t xml:space="preserve">Wang, H., Lemke, R., Goddard, T. &amp; Sprout, C. Tillage and root heat stress in wheat in central Alberta. </t>
    </r>
    <r>
      <rPr>
        <i/>
        <sz val="12"/>
        <color theme="1"/>
        <rFont val="Times New Roman"/>
        <family val="1"/>
      </rPr>
      <t>Can. J. Soil Sci.</t>
    </r>
    <r>
      <rPr>
        <sz val="12"/>
        <color theme="1"/>
        <rFont val="Times New Roman"/>
        <family val="1"/>
      </rPr>
      <t xml:space="preserve"> </t>
    </r>
    <r>
      <rPr>
        <b/>
        <sz val="12"/>
        <color theme="1"/>
        <rFont val="Times New Roman"/>
        <family val="1"/>
      </rPr>
      <t>87</t>
    </r>
    <r>
      <rPr>
        <sz val="12"/>
        <color theme="1"/>
        <rFont val="Times New Roman"/>
        <family val="1"/>
      </rPr>
      <t>, 3–10 (2007).</t>
    </r>
  </si>
  <si>
    <r>
      <t xml:space="preserve">Wang, S. </t>
    </r>
    <r>
      <rPr>
        <i/>
        <sz val="12"/>
        <color theme="1"/>
        <rFont val="Times New Roman"/>
        <family val="1"/>
      </rPr>
      <t>et al.</t>
    </r>
    <r>
      <rPr>
        <sz val="12"/>
        <color theme="1"/>
        <rFont val="Times New Roman"/>
        <family val="1"/>
      </rPr>
      <t xml:space="preserve"> The influence of rotational tillage on soil water storage, water use efficiency and maize yield in semi-arid areas under varied rainfall conditions. </t>
    </r>
    <r>
      <rPr>
        <i/>
        <sz val="12"/>
        <color theme="1"/>
        <rFont val="Times New Roman"/>
        <family val="1"/>
      </rPr>
      <t>Agric. Water Manag.</t>
    </r>
    <r>
      <rPr>
        <sz val="12"/>
        <color theme="1"/>
        <rFont val="Times New Roman"/>
        <family val="1"/>
      </rPr>
      <t xml:space="preserve"> </t>
    </r>
    <r>
      <rPr>
        <b/>
        <sz val="12"/>
        <color theme="1"/>
        <rFont val="Times New Roman"/>
        <family val="1"/>
      </rPr>
      <t>203</t>
    </r>
    <r>
      <rPr>
        <sz val="12"/>
        <color theme="1"/>
        <rFont val="Times New Roman"/>
        <family val="1"/>
      </rPr>
      <t>, 376–384 (2018).</t>
    </r>
  </si>
  <si>
    <r>
      <t xml:space="preserve">Wang, X. </t>
    </r>
    <r>
      <rPr>
        <i/>
        <sz val="12"/>
        <color theme="1"/>
        <rFont val="Times New Roman"/>
        <family val="1"/>
      </rPr>
      <t>et al.</t>
    </r>
    <r>
      <rPr>
        <sz val="12"/>
        <color theme="1"/>
        <rFont val="Times New Roman"/>
        <family val="1"/>
      </rPr>
      <t xml:space="preserve"> Tillage time affects soil hydro-thermal properties, seedling growth and yield of maize (Zea mays L.). </t>
    </r>
    <r>
      <rPr>
        <i/>
        <sz val="12"/>
        <color theme="1"/>
        <rFont val="Times New Roman"/>
        <family val="1"/>
      </rPr>
      <t>Appl. Ecol. Environ. Res.</t>
    </r>
    <r>
      <rPr>
        <sz val="12"/>
        <color theme="1"/>
        <rFont val="Times New Roman"/>
        <family val="1"/>
      </rPr>
      <t xml:space="preserve"> </t>
    </r>
    <r>
      <rPr>
        <b/>
        <sz val="12"/>
        <color theme="1"/>
        <rFont val="Times New Roman"/>
        <family val="1"/>
      </rPr>
      <t>16</t>
    </r>
    <r>
      <rPr>
        <sz val="12"/>
        <color theme="1"/>
        <rFont val="Times New Roman"/>
        <family val="1"/>
      </rPr>
      <t>, 6007–6023 (2018).</t>
    </r>
  </si>
  <si>
    <r>
      <t xml:space="preserve">Wang, X. </t>
    </r>
    <r>
      <rPr>
        <i/>
        <sz val="12"/>
        <color theme="1"/>
        <rFont val="Times New Roman"/>
        <family val="1"/>
      </rPr>
      <t>et al.</t>
    </r>
    <r>
      <rPr>
        <sz val="12"/>
        <color theme="1"/>
        <rFont val="Times New Roman"/>
        <family val="1"/>
      </rPr>
      <t xml:space="preserve"> Tillage and crop residue effects on rainfed wheat and maize production in northern China. </t>
    </r>
    <r>
      <rPr>
        <i/>
        <sz val="12"/>
        <color theme="1"/>
        <rFont val="Times New Roman"/>
        <family val="1"/>
      </rPr>
      <t>F. Crop. Res.</t>
    </r>
    <r>
      <rPr>
        <sz val="12"/>
        <color theme="1"/>
        <rFont val="Times New Roman"/>
        <family val="1"/>
      </rPr>
      <t xml:space="preserve"> </t>
    </r>
    <r>
      <rPr>
        <b/>
        <sz val="12"/>
        <color theme="1"/>
        <rFont val="Times New Roman"/>
        <family val="1"/>
      </rPr>
      <t>132</t>
    </r>
    <r>
      <rPr>
        <sz val="12"/>
        <color theme="1"/>
        <rFont val="Times New Roman"/>
        <family val="1"/>
      </rPr>
      <t>, 106–116 (2012).</t>
    </r>
  </si>
  <si>
    <r>
      <t xml:space="preserve">Watts, D. B. &amp; Allen Torbert, H. Long-term tillage and poultry litter impacts on soybean and corn grain yield. </t>
    </r>
    <r>
      <rPr>
        <i/>
        <sz val="12"/>
        <color theme="1"/>
        <rFont val="Times New Roman"/>
        <family val="1"/>
      </rPr>
      <t>Agron. J.</t>
    </r>
    <r>
      <rPr>
        <sz val="12"/>
        <color theme="1"/>
        <rFont val="Times New Roman"/>
        <family val="1"/>
      </rPr>
      <t xml:space="preserve"> </t>
    </r>
    <r>
      <rPr>
        <b/>
        <sz val="12"/>
        <color theme="1"/>
        <rFont val="Times New Roman"/>
        <family val="1"/>
      </rPr>
      <t>103</t>
    </r>
    <r>
      <rPr>
        <sz val="12"/>
        <color theme="1"/>
        <rFont val="Times New Roman"/>
        <family val="1"/>
      </rPr>
      <t>, 1479–1486 (2011).</t>
    </r>
  </si>
  <si>
    <r>
      <t xml:space="preserve">West, T. D., Griffith, D. R., Steinhardt, G. C., Kladivko, E. J. &amp; Parsons, S. D. Effect of tillage and rotation on agronomic performance of corn and soybean: Twenty-year study on dark silty clay loam soil.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241–248 (1996).</t>
    </r>
  </si>
  <si>
    <r>
      <t xml:space="preserve">West, T. D., Griffith, D. R. &amp; Steinhardt, G. C. Effect of paraplowing on crop yields with no-till planting. </t>
    </r>
    <r>
      <rPr>
        <i/>
        <sz val="12"/>
        <color theme="1"/>
        <rFont val="Times New Roman"/>
        <family val="1"/>
      </rPr>
      <t>J. Prod. Agric.</t>
    </r>
    <r>
      <rPr>
        <sz val="12"/>
        <color theme="1"/>
        <rFont val="Times New Roman"/>
        <family val="1"/>
      </rPr>
      <t xml:space="preserve"> </t>
    </r>
    <r>
      <rPr>
        <b/>
        <sz val="12"/>
        <color theme="1"/>
        <rFont val="Times New Roman"/>
        <family val="1"/>
      </rPr>
      <t>9</t>
    </r>
    <r>
      <rPr>
        <sz val="12"/>
        <color theme="1"/>
        <rFont val="Times New Roman"/>
        <family val="1"/>
      </rPr>
      <t>, 233–237 (1996).</t>
    </r>
  </si>
  <si>
    <r>
      <t xml:space="preserve">Whalen, J. K., Prasher, S. O. &amp; Benslim, H. Monitoring corn and soybean agroecosystems after establishing no-tillage practices in Québec, Canada. </t>
    </r>
    <r>
      <rPr>
        <i/>
        <sz val="12"/>
        <color theme="1"/>
        <rFont val="Times New Roman"/>
        <family val="1"/>
      </rPr>
      <t>Can. J. Plant Sci.</t>
    </r>
    <r>
      <rPr>
        <sz val="12"/>
        <color theme="1"/>
        <rFont val="Times New Roman"/>
        <family val="1"/>
      </rPr>
      <t xml:space="preserve"> </t>
    </r>
    <r>
      <rPr>
        <b/>
        <sz val="12"/>
        <color theme="1"/>
        <rFont val="Times New Roman"/>
        <family val="1"/>
      </rPr>
      <t>87</t>
    </r>
    <r>
      <rPr>
        <sz val="12"/>
        <color theme="1"/>
        <rFont val="Times New Roman"/>
        <family val="1"/>
      </rPr>
      <t>, 841–849 (2007).</t>
    </r>
  </si>
  <si>
    <r>
      <t xml:space="preserve">Wiatrak, P. J., Wright, D. L. &amp; Marois, J. J. The impact of tillage and residual nitrogen on wheat. </t>
    </r>
    <r>
      <rPr>
        <i/>
        <sz val="12"/>
        <color theme="1"/>
        <rFont val="Times New Roman"/>
        <family val="1"/>
      </rPr>
      <t>Soil Tillage Res.</t>
    </r>
    <r>
      <rPr>
        <sz val="12"/>
        <color theme="1"/>
        <rFont val="Times New Roman"/>
        <family val="1"/>
      </rPr>
      <t xml:space="preserve"> </t>
    </r>
    <r>
      <rPr>
        <b/>
        <sz val="12"/>
        <color theme="1"/>
        <rFont val="Times New Roman"/>
        <family val="1"/>
      </rPr>
      <t>91</t>
    </r>
    <r>
      <rPr>
        <sz val="12"/>
        <color theme="1"/>
        <rFont val="Times New Roman"/>
        <family val="1"/>
      </rPr>
      <t>, 150–156 (2006).</t>
    </r>
  </si>
  <si>
    <r>
      <t xml:space="preserve">Wilhelm, W. W. </t>
    </r>
    <r>
      <rPr>
        <i/>
        <sz val="12"/>
        <color theme="1"/>
        <rFont val="Times New Roman"/>
        <family val="1"/>
      </rPr>
      <t>et al.</t>
    </r>
    <r>
      <rPr>
        <sz val="12"/>
        <color theme="1"/>
        <rFont val="Times New Roman"/>
        <family val="1"/>
      </rPr>
      <t xml:space="preserve"> Dryland maize development and yield resulting from tillage and nitrogen fertilization practices. </t>
    </r>
    <r>
      <rPr>
        <i/>
        <sz val="12"/>
        <color theme="1"/>
        <rFont val="Times New Roman"/>
        <family val="1"/>
      </rPr>
      <t>Soil Tillage Res.</t>
    </r>
    <r>
      <rPr>
        <sz val="12"/>
        <color theme="1"/>
        <rFont val="Times New Roman"/>
        <family val="1"/>
      </rPr>
      <t xml:space="preserve"> </t>
    </r>
    <r>
      <rPr>
        <b/>
        <sz val="12"/>
        <color theme="1"/>
        <rFont val="Times New Roman"/>
        <family val="1"/>
      </rPr>
      <t>10</t>
    </r>
    <r>
      <rPr>
        <sz val="12"/>
        <color theme="1"/>
        <rFont val="Times New Roman"/>
        <family val="1"/>
      </rPr>
      <t>, 167–179 (1987).</t>
    </r>
  </si>
  <si>
    <r>
      <t xml:space="preserve">Wilhelm, W. W. &amp; Wortmann, C. S. Tillage and rotation interactions for corn and soybean grain yield as affected by precipitation and air temperature. </t>
    </r>
    <r>
      <rPr>
        <i/>
        <sz val="12"/>
        <color theme="1"/>
        <rFont val="Times New Roman"/>
        <family val="1"/>
      </rPr>
      <t>Agron. J.</t>
    </r>
    <r>
      <rPr>
        <sz val="12"/>
        <color theme="1"/>
        <rFont val="Times New Roman"/>
        <family val="1"/>
      </rPr>
      <t xml:space="preserve"> </t>
    </r>
    <r>
      <rPr>
        <b/>
        <sz val="12"/>
        <color theme="1"/>
        <rFont val="Times New Roman"/>
        <family val="1"/>
      </rPr>
      <t>96</t>
    </r>
    <r>
      <rPr>
        <sz val="12"/>
        <color theme="1"/>
        <rFont val="Times New Roman"/>
        <family val="1"/>
      </rPr>
      <t>, 425–432 (2004).</t>
    </r>
  </si>
  <si>
    <r>
      <t xml:space="preserve">Winter, S. R. &amp; Unger, P. W. Irrigated Wheat Grazing and Tillage Effects on Subsequent Dryland Grain Sorghum Production. </t>
    </r>
    <r>
      <rPr>
        <i/>
        <sz val="12"/>
        <color theme="1"/>
        <rFont val="Times New Roman"/>
        <family val="1"/>
      </rPr>
      <t>Agron. J.</t>
    </r>
    <r>
      <rPr>
        <sz val="12"/>
        <color theme="1"/>
        <rFont val="Times New Roman"/>
        <family val="1"/>
      </rPr>
      <t xml:space="preserve"> </t>
    </r>
    <r>
      <rPr>
        <b/>
        <sz val="12"/>
        <color theme="1"/>
        <rFont val="Times New Roman"/>
        <family val="1"/>
      </rPr>
      <t>93</t>
    </r>
    <r>
      <rPr>
        <sz val="12"/>
        <color theme="1"/>
        <rFont val="Times New Roman"/>
        <family val="1"/>
      </rPr>
      <t>, 504–510 (2001).</t>
    </r>
  </si>
  <si>
    <r>
      <t xml:space="preserve">Wolkowski, R. P. Row-placed fertilizer for maize grown with an in-row crop residue management system in southern Wisconsin. </t>
    </r>
    <r>
      <rPr>
        <i/>
        <sz val="12"/>
        <color theme="1"/>
        <rFont val="Times New Roman"/>
        <family val="1"/>
      </rPr>
      <t>Soil Tillage Res.</t>
    </r>
    <r>
      <rPr>
        <sz val="12"/>
        <color theme="1"/>
        <rFont val="Times New Roman"/>
        <family val="1"/>
      </rPr>
      <t xml:space="preserve"> </t>
    </r>
    <r>
      <rPr>
        <b/>
        <sz val="12"/>
        <color theme="1"/>
        <rFont val="Times New Roman"/>
        <family val="1"/>
      </rPr>
      <t>54</t>
    </r>
    <r>
      <rPr>
        <sz val="12"/>
        <color theme="1"/>
        <rFont val="Times New Roman"/>
        <family val="1"/>
      </rPr>
      <t>, 55–62 (2000).</t>
    </r>
  </si>
  <si>
    <r>
      <t xml:space="preserve">Wortmann, C. S., Drijber, R. A. &amp; Franti, T. G. One-time tillage of no-till crop land five years post-tillage. </t>
    </r>
    <r>
      <rPr>
        <i/>
        <sz val="12"/>
        <color theme="1"/>
        <rFont val="Times New Roman"/>
        <family val="1"/>
      </rPr>
      <t>Agron. J.</t>
    </r>
    <r>
      <rPr>
        <sz val="12"/>
        <color theme="1"/>
        <rFont val="Times New Roman"/>
        <family val="1"/>
      </rPr>
      <t xml:space="preserve"> </t>
    </r>
    <r>
      <rPr>
        <b/>
        <sz val="12"/>
        <color theme="1"/>
        <rFont val="Times New Roman"/>
        <family val="1"/>
      </rPr>
      <t>102</t>
    </r>
    <r>
      <rPr>
        <sz val="12"/>
        <color theme="1"/>
        <rFont val="Times New Roman"/>
        <family val="1"/>
      </rPr>
      <t>, 1302–1307 (2010).</t>
    </r>
  </si>
  <si>
    <r>
      <t xml:space="preserve">Xu, J., Han, H., Ning, T., Li, Z. &amp; Lal, R. Long-term effects of tillage and straw management on soil organic carbon, crop yield, and yield stability in a wheat-maize system. </t>
    </r>
    <r>
      <rPr>
        <i/>
        <sz val="12"/>
        <color theme="1"/>
        <rFont val="Times New Roman"/>
        <family val="1"/>
      </rPr>
      <t>F. Crop. Res.</t>
    </r>
    <r>
      <rPr>
        <sz val="12"/>
        <color theme="1"/>
        <rFont val="Times New Roman"/>
        <family val="1"/>
      </rPr>
      <t xml:space="preserve"> </t>
    </r>
    <r>
      <rPr>
        <b/>
        <sz val="12"/>
        <color theme="1"/>
        <rFont val="Times New Roman"/>
        <family val="1"/>
      </rPr>
      <t>233</t>
    </r>
    <r>
      <rPr>
        <sz val="12"/>
        <color theme="1"/>
        <rFont val="Times New Roman"/>
        <family val="1"/>
      </rPr>
      <t>, 33–40 (2019).</t>
    </r>
  </si>
  <si>
    <r>
      <t xml:space="preserve">Xu, Y. </t>
    </r>
    <r>
      <rPr>
        <i/>
        <sz val="12"/>
        <color theme="1"/>
        <rFont val="Times New Roman"/>
        <family val="1"/>
      </rPr>
      <t>et al.</t>
    </r>
    <r>
      <rPr>
        <sz val="12"/>
        <color theme="1"/>
        <rFont val="Times New Roman"/>
        <family val="1"/>
      </rPr>
      <t xml:space="preserve"> Agronomic performance of late-season rice under different tillage, straw, and nitrogen management. </t>
    </r>
    <r>
      <rPr>
        <i/>
        <sz val="12"/>
        <color theme="1"/>
        <rFont val="Times New Roman"/>
        <family val="1"/>
      </rPr>
      <t>F. Crop. Res.</t>
    </r>
    <r>
      <rPr>
        <sz val="12"/>
        <color theme="1"/>
        <rFont val="Times New Roman"/>
        <family val="1"/>
      </rPr>
      <t xml:space="preserve"> </t>
    </r>
    <r>
      <rPr>
        <b/>
        <sz val="12"/>
        <color theme="1"/>
        <rFont val="Times New Roman"/>
        <family val="1"/>
      </rPr>
      <t>115</t>
    </r>
    <r>
      <rPr>
        <sz val="12"/>
        <color theme="1"/>
        <rFont val="Times New Roman"/>
        <family val="1"/>
      </rPr>
      <t>, 79–84 (2010).</t>
    </r>
  </si>
  <si>
    <r>
      <t xml:space="preserve">Xue, L. </t>
    </r>
    <r>
      <rPr>
        <i/>
        <sz val="12"/>
        <color theme="1"/>
        <rFont val="Times New Roman"/>
        <family val="1"/>
      </rPr>
      <t>et al.</t>
    </r>
    <r>
      <rPr>
        <sz val="12"/>
        <color theme="1"/>
        <rFont val="Times New Roman"/>
        <family val="1"/>
      </rPr>
      <t xml:space="preserve"> Effects of tillage practices on water consumption and grain yield of dryland winter wheat under different precipitation distribution in the loess plateau of China. </t>
    </r>
    <r>
      <rPr>
        <i/>
        <sz val="12"/>
        <color theme="1"/>
        <rFont val="Times New Roman"/>
        <family val="1"/>
      </rPr>
      <t>Soil Tillage Res.</t>
    </r>
    <r>
      <rPr>
        <sz val="12"/>
        <color theme="1"/>
        <rFont val="Times New Roman"/>
        <family val="1"/>
      </rPr>
      <t xml:space="preserve"> </t>
    </r>
    <r>
      <rPr>
        <b/>
        <sz val="12"/>
        <color theme="1"/>
        <rFont val="Times New Roman"/>
        <family val="1"/>
      </rPr>
      <t>191</t>
    </r>
    <r>
      <rPr>
        <sz val="12"/>
        <color theme="1"/>
        <rFont val="Times New Roman"/>
        <family val="1"/>
      </rPr>
      <t>, 66–74 (2019).</t>
    </r>
  </si>
  <si>
    <r>
      <t xml:space="preserve">Yadav, G. S. </t>
    </r>
    <r>
      <rPr>
        <i/>
        <sz val="12"/>
        <color theme="1"/>
        <rFont val="Times New Roman"/>
        <family val="1"/>
      </rPr>
      <t>et al.</t>
    </r>
    <r>
      <rPr>
        <sz val="12"/>
        <color theme="1"/>
        <rFont val="Times New Roman"/>
        <family val="1"/>
      </rPr>
      <t xml:space="preserve"> Soil carbon dynamics and productivity of rice–rice system under conservation tillage in submerged and unsubmerged ecologies of Eastern Indian Himalaya. </t>
    </r>
    <r>
      <rPr>
        <i/>
        <sz val="12"/>
        <color theme="1"/>
        <rFont val="Times New Roman"/>
        <family val="1"/>
      </rPr>
      <t>Carbon Manag.</t>
    </r>
    <r>
      <rPr>
        <sz val="12"/>
        <color theme="1"/>
        <rFont val="Times New Roman"/>
        <family val="1"/>
      </rPr>
      <t xml:space="preserve"> </t>
    </r>
    <r>
      <rPr>
        <b/>
        <sz val="12"/>
        <color theme="1"/>
        <rFont val="Times New Roman"/>
        <family val="1"/>
      </rPr>
      <t>10</t>
    </r>
    <r>
      <rPr>
        <sz val="12"/>
        <color theme="1"/>
        <rFont val="Times New Roman"/>
        <family val="1"/>
      </rPr>
      <t>, 51–62 (2019).</t>
    </r>
  </si>
  <si>
    <r>
      <t xml:space="preserve">Yadav, G. S. </t>
    </r>
    <r>
      <rPr>
        <i/>
        <sz val="12"/>
        <color theme="1"/>
        <rFont val="Times New Roman"/>
        <family val="1"/>
      </rPr>
      <t>et al.</t>
    </r>
    <r>
      <rPr>
        <sz val="12"/>
        <color theme="1"/>
        <rFont val="Times New Roman"/>
        <family val="1"/>
      </rPr>
      <t xml:space="preserve"> Impact of no-till and mulching on soil carbon sequestration under rice (Oryza sativa L.)-rapeseed (Brassica campestris L. var. rapeseed) cropping system in hilly agro-ecosystem of the Eastern Himalayas, India. </t>
    </r>
    <r>
      <rPr>
        <i/>
        <sz val="12"/>
        <color theme="1"/>
        <rFont val="Times New Roman"/>
        <family val="1"/>
      </rPr>
      <t>Agric. Ecosyst. Environ.</t>
    </r>
    <r>
      <rPr>
        <sz val="12"/>
        <color theme="1"/>
        <rFont val="Times New Roman"/>
        <family val="1"/>
      </rPr>
      <t xml:space="preserve"> </t>
    </r>
    <r>
      <rPr>
        <b/>
        <sz val="12"/>
        <color theme="1"/>
        <rFont val="Times New Roman"/>
        <family val="1"/>
      </rPr>
      <t>275</t>
    </r>
    <r>
      <rPr>
        <sz val="12"/>
        <color theme="1"/>
        <rFont val="Times New Roman"/>
        <family val="1"/>
      </rPr>
      <t>, 81–92 (2019).</t>
    </r>
  </si>
  <si>
    <r>
      <t xml:space="preserve">Yadav, G. S. </t>
    </r>
    <r>
      <rPr>
        <i/>
        <sz val="12"/>
        <color theme="1"/>
        <rFont val="Times New Roman"/>
        <family val="1"/>
      </rPr>
      <t>et al.</t>
    </r>
    <r>
      <rPr>
        <sz val="12"/>
        <color theme="1"/>
        <rFont val="Times New Roman"/>
        <family val="1"/>
      </rPr>
      <t xml:space="preserve"> Conservation tillage and mulching effects on the adaptive capacity of direct-seeded upland rice ( Oryza sativa L.) to alleviate weed and moisture stresses in the North Eastern Himalayan Region of India. </t>
    </r>
    <r>
      <rPr>
        <i/>
        <sz val="12"/>
        <color theme="1"/>
        <rFont val="Times New Roman"/>
        <family val="1"/>
      </rPr>
      <t>Arch. Agron. Soil Sci.</t>
    </r>
    <r>
      <rPr>
        <sz val="12"/>
        <color theme="1"/>
        <rFont val="Times New Roman"/>
        <family val="1"/>
      </rPr>
      <t xml:space="preserve"> </t>
    </r>
    <r>
      <rPr>
        <b/>
        <sz val="12"/>
        <color theme="1"/>
        <rFont val="Times New Roman"/>
        <family val="1"/>
      </rPr>
      <t>64</t>
    </r>
    <r>
      <rPr>
        <sz val="12"/>
        <color theme="1"/>
        <rFont val="Times New Roman"/>
        <family val="1"/>
      </rPr>
      <t>, 1254–1267 (2018).</t>
    </r>
  </si>
  <si>
    <r>
      <t xml:space="preserve">Yadav, G. S. </t>
    </r>
    <r>
      <rPr>
        <i/>
        <sz val="12"/>
        <color theme="1"/>
        <rFont val="Times New Roman"/>
        <family val="1"/>
      </rPr>
      <t>et al.</t>
    </r>
    <r>
      <rPr>
        <sz val="12"/>
        <color theme="1"/>
        <rFont val="Times New Roman"/>
        <family val="1"/>
      </rPr>
      <t xml:space="preserve"> Conservation tillage and nutrient management effects on productivity and soil carbon sequestration under double cropping of rice in north eastern region of India. </t>
    </r>
    <r>
      <rPr>
        <i/>
        <sz val="12"/>
        <color theme="1"/>
        <rFont val="Times New Roman"/>
        <family val="1"/>
      </rPr>
      <t>Ecol. Indic.</t>
    </r>
    <r>
      <rPr>
        <sz val="12"/>
        <color theme="1"/>
        <rFont val="Times New Roman"/>
        <family val="1"/>
      </rPr>
      <t xml:space="preserve"> </t>
    </r>
    <r>
      <rPr>
        <b/>
        <sz val="12"/>
        <color theme="1"/>
        <rFont val="Times New Roman"/>
        <family val="1"/>
      </rPr>
      <t>105</t>
    </r>
    <r>
      <rPr>
        <sz val="12"/>
        <color theme="1"/>
        <rFont val="Times New Roman"/>
        <family val="1"/>
      </rPr>
      <t>, 303–315 (2019).</t>
    </r>
  </si>
  <si>
    <r>
      <t xml:space="preserve">Yadav, G. S. </t>
    </r>
    <r>
      <rPr>
        <i/>
        <sz val="12"/>
        <color theme="1"/>
        <rFont val="Times New Roman"/>
        <family val="1"/>
      </rPr>
      <t>et al.</t>
    </r>
    <r>
      <rPr>
        <sz val="12"/>
        <color theme="1"/>
        <rFont val="Times New Roman"/>
        <family val="1"/>
      </rPr>
      <t xml:space="preserve"> Effect of No-Till and Raised-Bed Planting on Soil Moisture Conservation and Productivity of Summer Maize (Zea mays) in Eastern Himalayas. </t>
    </r>
    <r>
      <rPr>
        <i/>
        <sz val="12"/>
        <color theme="1"/>
        <rFont val="Times New Roman"/>
        <family val="1"/>
      </rPr>
      <t>Agric. Res.</t>
    </r>
    <r>
      <rPr>
        <sz val="12"/>
        <color theme="1"/>
        <rFont val="Times New Roman"/>
        <family val="1"/>
      </rPr>
      <t xml:space="preserve"> </t>
    </r>
    <r>
      <rPr>
        <b/>
        <sz val="12"/>
        <color theme="1"/>
        <rFont val="Times New Roman"/>
        <family val="1"/>
      </rPr>
      <t>7</t>
    </r>
    <r>
      <rPr>
        <sz val="12"/>
        <color theme="1"/>
        <rFont val="Times New Roman"/>
        <family val="1"/>
      </rPr>
      <t>, 300–310 (2018).</t>
    </r>
  </si>
  <si>
    <r>
      <t xml:space="preserve">Yadvinder-Singh </t>
    </r>
    <r>
      <rPr>
        <i/>
        <sz val="12"/>
        <color theme="1"/>
        <rFont val="Times New Roman"/>
        <family val="1"/>
      </rPr>
      <t>et al.</t>
    </r>
    <r>
      <rPr>
        <sz val="12"/>
        <color theme="1"/>
        <rFont val="Times New Roman"/>
        <family val="1"/>
      </rPr>
      <t xml:space="preserve"> Nitrogen and residue management effects on agronomic productivity and nitrogen use efficiency in rice-wheat system in Indian Punjab. </t>
    </r>
    <r>
      <rPr>
        <i/>
        <sz val="12"/>
        <color theme="1"/>
        <rFont val="Times New Roman"/>
        <family val="1"/>
      </rPr>
      <t>Nutr. Cycl. Agroecosystems</t>
    </r>
    <r>
      <rPr>
        <sz val="12"/>
        <color theme="1"/>
        <rFont val="Times New Roman"/>
        <family val="1"/>
      </rPr>
      <t xml:space="preserve"> </t>
    </r>
    <r>
      <rPr>
        <b/>
        <sz val="12"/>
        <color theme="1"/>
        <rFont val="Times New Roman"/>
        <family val="1"/>
      </rPr>
      <t>84</t>
    </r>
    <r>
      <rPr>
        <sz val="12"/>
        <color theme="1"/>
        <rFont val="Times New Roman"/>
        <family val="1"/>
      </rPr>
      <t>, 141–154 (2009).</t>
    </r>
  </si>
  <si>
    <r>
      <t xml:space="preserve">Yang, X. </t>
    </r>
    <r>
      <rPr>
        <i/>
        <sz val="12"/>
        <color theme="1"/>
        <rFont val="Times New Roman"/>
        <family val="1"/>
      </rPr>
      <t>et al.</t>
    </r>
    <r>
      <rPr>
        <sz val="12"/>
        <color theme="1"/>
        <rFont val="Times New Roman"/>
        <family val="1"/>
      </rPr>
      <t xml:space="preserve"> Modelling the effects of conservation tillage on crop water productivity, soil water dynamics and evapotranspiration of a maize-winter wheat-soybean rotation system on the Loess Plateau of China using APSIM. </t>
    </r>
    <r>
      <rPr>
        <i/>
        <sz val="12"/>
        <color theme="1"/>
        <rFont val="Times New Roman"/>
        <family val="1"/>
      </rPr>
      <t>Agric. Syst.</t>
    </r>
    <r>
      <rPr>
        <sz val="12"/>
        <color theme="1"/>
        <rFont val="Times New Roman"/>
        <family val="1"/>
      </rPr>
      <t xml:space="preserve"> </t>
    </r>
    <r>
      <rPr>
        <b/>
        <sz val="12"/>
        <color theme="1"/>
        <rFont val="Times New Roman"/>
        <family val="1"/>
      </rPr>
      <t>166</t>
    </r>
    <r>
      <rPr>
        <sz val="12"/>
        <color theme="1"/>
        <rFont val="Times New Roman"/>
        <family val="1"/>
      </rPr>
      <t>, 111–123 (2018).</t>
    </r>
  </si>
  <si>
    <r>
      <t xml:space="preserve">Yang, Y. </t>
    </r>
    <r>
      <rPr>
        <i/>
        <sz val="12"/>
        <color theme="1"/>
        <rFont val="Times New Roman"/>
        <family val="1"/>
      </rPr>
      <t>et al.</t>
    </r>
    <r>
      <rPr>
        <sz val="12"/>
        <color theme="1"/>
        <rFont val="Times New Roman"/>
        <family val="1"/>
      </rPr>
      <t xml:space="preserve"> Effects of tillage and mulching measures on soil moisture and temperature, photosynthetic characteristics and yield of winter wheat. </t>
    </r>
    <r>
      <rPr>
        <i/>
        <sz val="12"/>
        <color theme="1"/>
        <rFont val="Times New Roman"/>
        <family val="1"/>
      </rPr>
      <t>Agric. Water Manag.</t>
    </r>
    <r>
      <rPr>
        <sz val="12"/>
        <color theme="1"/>
        <rFont val="Times New Roman"/>
        <family val="1"/>
      </rPr>
      <t xml:space="preserve"> </t>
    </r>
    <r>
      <rPr>
        <b/>
        <sz val="12"/>
        <color theme="1"/>
        <rFont val="Times New Roman"/>
        <family val="1"/>
      </rPr>
      <t>201</t>
    </r>
    <r>
      <rPr>
        <sz val="12"/>
        <color theme="1"/>
        <rFont val="Times New Roman"/>
        <family val="1"/>
      </rPr>
      <t>, 299–308 (2018).</t>
    </r>
  </si>
  <si>
    <r>
      <t xml:space="preserve">Yiridoe, E. K., Vyn, T. J., Weersink, A., Hooker, D. C. &amp; Swanton, C. Farm-level profitability analysis of alternative tillage systems on clay soils. </t>
    </r>
    <r>
      <rPr>
        <i/>
        <sz val="12"/>
        <color theme="1"/>
        <rFont val="Times New Roman"/>
        <family val="1"/>
      </rPr>
      <t>Can. J. Plant Sci.</t>
    </r>
    <r>
      <rPr>
        <sz val="12"/>
        <color theme="1"/>
        <rFont val="Times New Roman"/>
        <family val="1"/>
      </rPr>
      <t xml:space="preserve"> </t>
    </r>
    <r>
      <rPr>
        <b/>
        <sz val="12"/>
        <color theme="1"/>
        <rFont val="Times New Roman"/>
        <family val="1"/>
      </rPr>
      <t>80</t>
    </r>
    <r>
      <rPr>
        <sz val="12"/>
        <color theme="1"/>
        <rFont val="Times New Roman"/>
        <family val="1"/>
      </rPr>
      <t>, 65–73 (2000).</t>
    </r>
  </si>
  <si>
    <r>
      <t xml:space="preserve">Yoo, K. H., Touchton, J. T. &amp; Walker, R. H. Runoff, sediment and nutrient losses from various tillage systems of cotton. </t>
    </r>
    <r>
      <rPr>
        <i/>
        <sz val="12"/>
        <color theme="1"/>
        <rFont val="Times New Roman"/>
        <family val="1"/>
      </rPr>
      <t>Soil Tillage Res.</t>
    </r>
    <r>
      <rPr>
        <sz val="12"/>
        <color theme="1"/>
        <rFont val="Times New Roman"/>
        <family val="1"/>
      </rPr>
      <t xml:space="preserve"> </t>
    </r>
    <r>
      <rPr>
        <b/>
        <sz val="12"/>
        <color theme="1"/>
        <rFont val="Times New Roman"/>
        <family val="1"/>
      </rPr>
      <t>12</t>
    </r>
    <r>
      <rPr>
        <sz val="12"/>
        <color theme="1"/>
        <rFont val="Times New Roman"/>
        <family val="1"/>
      </rPr>
      <t>, 13–24 (1988).</t>
    </r>
  </si>
  <si>
    <r>
      <t xml:space="preserve">Youjun, L. &amp; Ming, H. Effects of tillage managements on soil rapidly available nutrient content and the yield of winter wheat in west Henan province, China. </t>
    </r>
    <r>
      <rPr>
        <i/>
        <sz val="12"/>
        <color theme="1"/>
        <rFont val="Times New Roman"/>
        <family val="1"/>
      </rPr>
      <t>Procedia Environ. Sci.</t>
    </r>
    <r>
      <rPr>
        <sz val="12"/>
        <color theme="1"/>
        <rFont val="Times New Roman"/>
        <family val="1"/>
      </rPr>
      <t xml:space="preserve"> </t>
    </r>
    <r>
      <rPr>
        <b/>
        <sz val="12"/>
        <color theme="1"/>
        <rFont val="Times New Roman"/>
        <family val="1"/>
      </rPr>
      <t>11</t>
    </r>
    <r>
      <rPr>
        <sz val="12"/>
        <color theme="1"/>
        <rFont val="Times New Roman"/>
        <family val="1"/>
      </rPr>
      <t>, 843–849 (2011).</t>
    </r>
  </si>
  <si>
    <r>
      <t xml:space="preserve">Zhang, X. </t>
    </r>
    <r>
      <rPr>
        <i/>
        <sz val="12"/>
        <color theme="1"/>
        <rFont val="Times New Roman"/>
        <family val="1"/>
      </rPr>
      <t>et al.</t>
    </r>
    <r>
      <rPr>
        <sz val="12"/>
        <color theme="1"/>
        <rFont val="Times New Roman"/>
        <family val="1"/>
      </rPr>
      <t xml:space="preserve"> Tillage and residue management for long-term wheat-maize cropping in the North China Plain: I. Crop yield and integrated soil fertility index. </t>
    </r>
    <r>
      <rPr>
        <i/>
        <sz val="12"/>
        <color theme="1"/>
        <rFont val="Times New Roman"/>
        <family val="1"/>
      </rPr>
      <t>F. Crop. Res.</t>
    </r>
    <r>
      <rPr>
        <sz val="12"/>
        <color theme="1"/>
        <rFont val="Times New Roman"/>
        <family val="1"/>
      </rPr>
      <t xml:space="preserve"> </t>
    </r>
    <r>
      <rPr>
        <b/>
        <sz val="12"/>
        <color theme="1"/>
        <rFont val="Times New Roman"/>
        <family val="1"/>
      </rPr>
      <t>221</t>
    </r>
    <r>
      <rPr>
        <sz val="12"/>
        <color theme="1"/>
        <rFont val="Times New Roman"/>
        <family val="1"/>
      </rPr>
      <t>, 157–165 (2018).</t>
    </r>
  </si>
  <si>
    <r>
      <t xml:space="preserve">Zhang, Y. </t>
    </r>
    <r>
      <rPr>
        <i/>
        <sz val="12"/>
        <color theme="1"/>
        <rFont val="Times New Roman"/>
        <family val="1"/>
      </rPr>
      <t>et al.</t>
    </r>
    <r>
      <rPr>
        <sz val="12"/>
        <color theme="1"/>
        <rFont val="Times New Roman"/>
        <family val="1"/>
      </rPr>
      <t xml:space="preserve"> Soil water use and crop yield increase under different long-term fertilization practices incorporated with two-year tillage rotations. </t>
    </r>
    <r>
      <rPr>
        <i/>
        <sz val="12"/>
        <color theme="1"/>
        <rFont val="Times New Roman"/>
        <family val="1"/>
      </rPr>
      <t>Agric. Water Manag.</t>
    </r>
    <r>
      <rPr>
        <sz val="12"/>
        <color theme="1"/>
        <rFont val="Times New Roman"/>
        <family val="1"/>
      </rPr>
      <t xml:space="preserve"> </t>
    </r>
    <r>
      <rPr>
        <b/>
        <sz val="12"/>
        <color theme="1"/>
        <rFont val="Times New Roman"/>
        <family val="1"/>
      </rPr>
      <t>221</t>
    </r>
    <r>
      <rPr>
        <sz val="12"/>
        <color theme="1"/>
        <rFont val="Times New Roman"/>
        <family val="1"/>
      </rPr>
      <t>, 362–370 (2019).</t>
    </r>
  </si>
  <si>
    <r>
      <t xml:space="preserve">Zhang, Y. </t>
    </r>
    <r>
      <rPr>
        <i/>
        <sz val="12"/>
        <color theme="1"/>
        <rFont val="Times New Roman"/>
        <family val="1"/>
      </rPr>
      <t>et al.</t>
    </r>
    <r>
      <rPr>
        <sz val="12"/>
        <color theme="1"/>
        <rFont val="Times New Roman"/>
        <family val="1"/>
      </rPr>
      <t xml:space="preserve"> The effects of rotating conservation tillage with conventional tillage on soil properties and grain yields in winter wheat-spring maize rotations. </t>
    </r>
    <r>
      <rPr>
        <i/>
        <sz val="12"/>
        <color theme="1"/>
        <rFont val="Times New Roman"/>
        <family val="1"/>
      </rPr>
      <t>Agric. For. Meteorol.</t>
    </r>
    <r>
      <rPr>
        <sz val="12"/>
        <color theme="1"/>
        <rFont val="Times New Roman"/>
        <family val="1"/>
      </rPr>
      <t xml:space="preserve"> </t>
    </r>
    <r>
      <rPr>
        <b/>
        <sz val="12"/>
        <color theme="1"/>
        <rFont val="Times New Roman"/>
        <family val="1"/>
      </rPr>
      <t>263</t>
    </r>
    <r>
      <rPr>
        <sz val="12"/>
        <color theme="1"/>
        <rFont val="Times New Roman"/>
        <family val="1"/>
      </rPr>
      <t>, 107–117 (2018).</t>
    </r>
  </si>
  <si>
    <r>
      <t xml:space="preserve">Zhang, Y. </t>
    </r>
    <r>
      <rPr>
        <i/>
        <sz val="12"/>
        <color theme="1"/>
        <rFont val="Times New Roman"/>
        <family val="1"/>
      </rPr>
      <t>et al.</t>
    </r>
    <r>
      <rPr>
        <sz val="12"/>
        <color theme="1"/>
        <rFont val="Times New Roman"/>
        <family val="1"/>
      </rPr>
      <t xml:space="preserve"> Crop yield and soil properties of dryland winter wheat-spring maize rotation in response to 10-year fertilization and conservation tillage practices on the Loess Plateau. </t>
    </r>
    <r>
      <rPr>
        <i/>
        <sz val="12"/>
        <color theme="1"/>
        <rFont val="Times New Roman"/>
        <family val="1"/>
      </rPr>
      <t>F. Crop. Res.</t>
    </r>
    <r>
      <rPr>
        <sz val="12"/>
        <color theme="1"/>
        <rFont val="Times New Roman"/>
        <family val="1"/>
      </rPr>
      <t xml:space="preserve"> </t>
    </r>
    <r>
      <rPr>
        <b/>
        <sz val="12"/>
        <color theme="1"/>
        <rFont val="Times New Roman"/>
        <family val="1"/>
      </rPr>
      <t>225</t>
    </r>
    <r>
      <rPr>
        <sz val="12"/>
        <color theme="1"/>
        <rFont val="Times New Roman"/>
        <family val="1"/>
      </rPr>
      <t>, 170–179 (2018).</t>
    </r>
  </si>
  <si>
    <r>
      <t xml:space="preserve">Zhao, C. </t>
    </r>
    <r>
      <rPr>
        <i/>
        <sz val="12"/>
        <color theme="1"/>
        <rFont val="Times New Roman"/>
        <family val="1"/>
      </rPr>
      <t>et al.</t>
    </r>
    <r>
      <rPr>
        <sz val="12"/>
        <color theme="1"/>
        <rFont val="Times New Roman"/>
        <family val="1"/>
      </rPr>
      <t xml:space="preserve"> No-tillage reduces competition and enhances compensatory growth of maize (Zea mays L.) intercropped with pea (Pisum sativum L.). </t>
    </r>
    <r>
      <rPr>
        <i/>
        <sz val="12"/>
        <color theme="1"/>
        <rFont val="Times New Roman"/>
        <family val="1"/>
      </rPr>
      <t>F. Crop. Res.</t>
    </r>
    <r>
      <rPr>
        <sz val="12"/>
        <color theme="1"/>
        <rFont val="Times New Roman"/>
        <family val="1"/>
      </rPr>
      <t xml:space="preserve"> </t>
    </r>
    <r>
      <rPr>
        <b/>
        <sz val="12"/>
        <color theme="1"/>
        <rFont val="Times New Roman"/>
        <family val="1"/>
      </rPr>
      <t>243</t>
    </r>
    <r>
      <rPr>
        <sz val="12"/>
        <color theme="1"/>
        <rFont val="Times New Roman"/>
        <family val="1"/>
      </rPr>
      <t>, 107611 (2019).</t>
    </r>
  </si>
  <si>
    <r>
      <t xml:space="preserve">Žugec, I. The effect of reduced soil tillage on maize (Zea mays L.) grain yield in Eastern Crotia (Yugoslavia). </t>
    </r>
    <r>
      <rPr>
        <i/>
        <sz val="12"/>
        <color theme="1"/>
        <rFont val="Times New Roman"/>
        <family val="1"/>
      </rPr>
      <t>Soil Tillage Res.</t>
    </r>
    <r>
      <rPr>
        <sz val="12"/>
        <color theme="1"/>
        <rFont val="Times New Roman"/>
        <family val="1"/>
      </rPr>
      <t xml:space="preserve"> </t>
    </r>
    <r>
      <rPr>
        <b/>
        <sz val="12"/>
        <color theme="1"/>
        <rFont val="Times New Roman"/>
        <family val="1"/>
      </rPr>
      <t>7</t>
    </r>
    <r>
      <rPr>
        <sz val="12"/>
        <color theme="1"/>
        <rFont val="Times New Roman"/>
        <family val="1"/>
      </rPr>
      <t>, 19–28 (1986).</t>
    </r>
  </si>
  <si>
    <t>References1</t>
  </si>
  <si>
    <t>References2</t>
  </si>
  <si>
    <r>
      <t>Soil Science Society of America Journal</t>
    </r>
    <r>
      <rPr>
        <sz val="11"/>
        <rFont val="Arial"/>
        <family val="2"/>
      </rPr>
      <t> </t>
    </r>
  </si>
  <si>
    <t>effect</t>
  </si>
  <si>
    <t>Chilli</t>
  </si>
  <si>
    <t>soil_cover</t>
  </si>
  <si>
    <t>Not reported</t>
  </si>
  <si>
    <t>weed_control</t>
  </si>
  <si>
    <t>rotation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</si>
</sst>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00"/>
    <numFmt numFmtId="166" formatCode="0.0000"/>
  </numFmts>
  <fonts count="31" x14ac:knownFonts="1">
    <font>
      <sz val="11"/>
      <color theme="1"/>
      <name val="Calibri"/>
      <family val="2"/>
      <scheme val="minor"/>
    </font>
    <font>
      <b/>
      <sz val="11"/>
      <color theme="1"/>
      <name val="Calibri"/>
      <family val="2"/>
      <scheme val="minor"/>
    </font>
    <font>
      <u/>
      <sz val="10"/>
      <name val="Verdana"/>
      <family val="2"/>
    </font>
    <font>
      <sz val="11"/>
      <color rgb="FFFF0000"/>
      <name val="Calibri"/>
      <family val="2"/>
      <scheme val="minor"/>
    </font>
    <font>
      <sz val="11"/>
      <name val="Calibri"/>
      <family val="2"/>
      <scheme val="minor"/>
    </font>
    <font>
      <i/>
      <sz val="10"/>
      <color rgb="FF252C2F"/>
      <name val="Arial"/>
      <family val="2"/>
    </font>
    <font>
      <b/>
      <sz val="11"/>
      <color rgb="FFFF0000"/>
      <name val="Calibri"/>
      <family val="2"/>
      <scheme val="minor"/>
    </font>
    <font>
      <sz val="11"/>
      <color rgb="FF0070C0"/>
      <name val="Calibri"/>
      <family val="2"/>
      <scheme val="minor"/>
    </font>
    <font>
      <b/>
      <sz val="11"/>
      <name val="Calibri"/>
      <family val="2"/>
      <scheme val="minor"/>
    </font>
    <font>
      <sz val="11"/>
      <color rgb="FF9C0006"/>
      <name val="Calibri"/>
      <family val="2"/>
      <scheme val="minor"/>
    </font>
    <font>
      <sz val="11"/>
      <color rgb="FF9C6500"/>
      <name val="Calibri"/>
      <family val="2"/>
      <scheme val="minor"/>
    </font>
    <font>
      <b/>
      <sz val="11"/>
      <color rgb="FFFA7D00"/>
      <name val="Calibri"/>
      <family val="2"/>
      <scheme val="minor"/>
    </font>
    <font>
      <u/>
      <sz val="11"/>
      <color theme="10"/>
      <name val="Calibri"/>
      <family val="2"/>
      <scheme val="minor"/>
    </font>
    <font>
      <sz val="11"/>
      <name val="Calibri"/>
      <family val="2"/>
    </font>
    <font>
      <sz val="11"/>
      <color rgb="FFFF0000"/>
      <name val="Calibri"/>
      <family val="2"/>
    </font>
    <font>
      <sz val="12"/>
      <color rgb="FF000000"/>
      <name val="Times New Roman"/>
      <family val="1"/>
    </font>
    <font>
      <i/>
      <sz val="12"/>
      <color rgb="FF000000"/>
      <name val="Times New Roman"/>
      <family val="1"/>
    </font>
    <font>
      <b/>
      <sz val="12"/>
      <color rgb="FF000000"/>
      <name val="Times New Roman"/>
      <family val="1"/>
    </font>
    <font>
      <b/>
      <i/>
      <sz val="12"/>
      <color rgb="FF800000"/>
      <name val="Arial"/>
      <family val="2"/>
    </font>
    <font>
      <b/>
      <sz val="12"/>
      <color theme="1"/>
      <name val="Arial"/>
      <family val="2"/>
    </font>
    <font>
      <sz val="12"/>
      <color theme="1"/>
      <name val="Arial"/>
      <family val="2"/>
    </font>
    <font>
      <i/>
      <sz val="12"/>
      <color theme="1"/>
      <name val="Arial"/>
      <family val="2"/>
    </font>
    <font>
      <u/>
      <sz val="12"/>
      <color theme="10"/>
      <name val="Arial"/>
      <family val="2"/>
    </font>
    <font>
      <sz val="12"/>
      <color theme="1"/>
      <name val="Times New Roman"/>
      <family val="1"/>
    </font>
    <font>
      <i/>
      <sz val="12"/>
      <color theme="1"/>
      <name val="Times New Roman"/>
      <family val="1"/>
    </font>
    <font>
      <b/>
      <sz val="12"/>
      <color theme="1"/>
      <name val="Times New Roman"/>
      <family val="1"/>
    </font>
    <font>
      <sz val="8"/>
      <name val="Calibri"/>
      <family val="2"/>
      <scheme val="minor"/>
    </font>
    <font>
      <sz val="11"/>
      <name val="Arial"/>
      <family val="2"/>
    </font>
    <font>
      <sz val="10"/>
      <name val="Arial"/>
      <family val="2"/>
    </font>
    <font>
      <sz val="9"/>
      <name val="Arial"/>
      <family val="2"/>
    </font>
    <font>
      <sz val="11"/>
      <name val="Times New Roman"/>
      <family val="1"/>
    </font>
  </fonts>
  <fills count="31">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FFFF"/>
        <bgColor indexed="64"/>
      </patternFill>
    </fill>
    <fill>
      <patternFill patternType="solid">
        <fgColor rgb="FFC0C0C0"/>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2"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double">
        <color rgb="FF008080"/>
      </left>
      <right/>
      <top style="double">
        <color rgb="FF008080"/>
      </top>
      <bottom/>
      <diagonal/>
    </border>
    <border>
      <left/>
      <right/>
      <top style="double">
        <color rgb="FF008080"/>
      </top>
      <bottom/>
      <diagonal/>
    </border>
    <border>
      <left/>
      <right style="double">
        <color rgb="FF008080"/>
      </right>
      <top style="double">
        <color rgb="FF008080"/>
      </top>
      <bottom/>
      <diagonal/>
    </border>
    <border>
      <left style="double">
        <color rgb="FF008080"/>
      </left>
      <right/>
      <top/>
      <bottom/>
      <diagonal/>
    </border>
    <border>
      <left/>
      <right style="double">
        <color rgb="FF008080"/>
      </right>
      <top/>
      <bottom/>
      <diagonal/>
    </border>
    <border>
      <left style="double">
        <color rgb="FF008080"/>
      </left>
      <right/>
      <top/>
      <bottom style="double">
        <color rgb="FF008080"/>
      </bottom>
      <diagonal/>
    </border>
    <border>
      <left/>
      <right/>
      <top/>
      <bottom style="double">
        <color rgb="FF008080"/>
      </bottom>
      <diagonal/>
    </border>
    <border>
      <left/>
      <right style="double">
        <color rgb="FF008080"/>
      </right>
      <top/>
      <bottom style="double">
        <color rgb="FF00808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164" fontId="0" fillId="0" borderId="0"/>
    <xf numFmtId="164" fontId="9" fillId="15" borderId="0" applyNumberFormat="0" applyBorder="0" applyAlignment="0" applyProtection="0"/>
    <xf numFmtId="164" fontId="10" fillId="16" borderId="0" applyNumberFormat="0" applyBorder="0" applyAlignment="0" applyProtection="0"/>
    <xf numFmtId="164" fontId="11" fillId="17" borderId="10" applyNumberFormat="0" applyAlignment="0" applyProtection="0"/>
    <xf numFmtId="164" fontId="12" fillId="0" borderId="0" applyNumberFormat="0" applyFill="0" applyBorder="0" applyAlignment="0" applyProtection="0"/>
  </cellStyleXfs>
  <cellXfs count="310">
    <xf numFmtId="164" fontId="0" fillId="0" borderId="0" xfId="0"/>
    <xf numFmtId="164" fontId="1" fillId="0" borderId="0" xfId="0" applyFont="1"/>
    <xf numFmtId="164" fontId="0" fillId="0" borderId="0" xfId="0" applyFont="1"/>
    <xf numFmtId="164" fontId="0" fillId="0" borderId="0" xfId="0" applyAlignment="1">
      <alignment horizontal="left"/>
    </xf>
    <xf numFmtId="164" fontId="1" fillId="0" borderId="0" xfId="0" applyFont="1" applyAlignment="1">
      <alignment horizontal="left"/>
    </xf>
    <xf numFmtId="2" fontId="0" fillId="0" borderId="1" xfId="0" applyNumberFormat="1" applyBorder="1" applyAlignment="1">
      <alignment horizontal="left"/>
    </xf>
    <xf numFmtId="164" fontId="1" fillId="0" borderId="0" xfId="0" applyFont="1" applyFill="1" applyAlignment="1">
      <alignment horizontal="left"/>
    </xf>
    <xf numFmtId="164" fontId="0" fillId="0" borderId="0" xfId="0" applyFill="1"/>
    <xf numFmtId="164" fontId="1" fillId="0" borderId="0" xfId="0" applyFont="1" applyFill="1"/>
    <xf numFmtId="164" fontId="1" fillId="2" borderId="0" xfId="0" applyFont="1" applyFill="1"/>
    <xf numFmtId="11" fontId="0" fillId="0" borderId="0" xfId="0" applyNumberFormat="1"/>
    <xf numFmtId="164" fontId="0" fillId="7" borderId="0" xfId="0" applyFill="1" applyAlignment="1">
      <alignment horizontal="left"/>
    </xf>
    <xf numFmtId="164" fontId="4" fillId="0" borderId="0" xfId="0" applyFont="1" applyFill="1" applyAlignment="1">
      <alignment horizontal="left"/>
    </xf>
    <xf numFmtId="164" fontId="3" fillId="0" borderId="0" xfId="0" applyFont="1" applyFill="1" applyAlignment="1">
      <alignment horizontal="left"/>
    </xf>
    <xf numFmtId="164" fontId="0" fillId="9" borderId="0" xfId="0" applyFill="1" applyAlignment="1">
      <alignment horizontal="left"/>
    </xf>
    <xf numFmtId="164" fontId="1" fillId="4" borderId="0" xfId="0" applyFont="1" applyFill="1" applyAlignment="1">
      <alignment horizontal="left"/>
    </xf>
    <xf numFmtId="164" fontId="7" fillId="6" borderId="0" xfId="0" applyFont="1" applyFill="1" applyAlignment="1">
      <alignment horizontal="left"/>
    </xf>
    <xf numFmtId="164" fontId="0" fillId="8" borderId="0" xfId="0" applyFill="1" applyAlignment="1">
      <alignment horizontal="left"/>
    </xf>
    <xf numFmtId="164" fontId="1" fillId="13" borderId="0" xfId="0" applyFont="1" applyFill="1"/>
    <xf numFmtId="164" fontId="0" fillId="7" borderId="0" xfId="0" applyFill="1" applyAlignment="1">
      <alignment horizontal="center" vertical="top"/>
    </xf>
    <xf numFmtId="164" fontId="0" fillId="10" borderId="0" xfId="0" applyFill="1" applyAlignment="1">
      <alignment horizontal="left"/>
    </xf>
    <xf numFmtId="164" fontId="0" fillId="10" borderId="0" xfId="0" applyFill="1" applyAlignment="1">
      <alignment horizontal="center" vertical="top"/>
    </xf>
    <xf numFmtId="164" fontId="0" fillId="14" borderId="0" xfId="0" applyFill="1" applyAlignment="1">
      <alignment horizontal="left"/>
    </xf>
    <xf numFmtId="164" fontId="4" fillId="0" borderId="0" xfId="0" applyFont="1" applyFill="1" applyBorder="1" applyAlignment="1">
      <alignment horizontal="left"/>
    </xf>
    <xf numFmtId="164" fontId="0" fillId="13" borderId="0" xfId="0" applyFill="1"/>
    <xf numFmtId="164" fontId="1" fillId="6" borderId="0" xfId="0" applyFont="1" applyFill="1"/>
    <xf numFmtId="164" fontId="4" fillId="6" borderId="0" xfId="0" applyFont="1" applyFill="1" applyAlignment="1">
      <alignment horizontal="left"/>
    </xf>
    <xf numFmtId="164" fontId="0" fillId="6" borderId="0" xfId="0" applyFill="1"/>
    <xf numFmtId="164" fontId="1" fillId="18" borderId="0" xfId="0" applyFont="1" applyFill="1"/>
    <xf numFmtId="164" fontId="0" fillId="18" borderId="0" xfId="0" applyFill="1"/>
    <xf numFmtId="164" fontId="1" fillId="19" borderId="0" xfId="0" applyFont="1" applyFill="1"/>
    <xf numFmtId="164" fontId="0" fillId="19" borderId="0" xfId="0" applyFill="1"/>
    <xf numFmtId="164" fontId="0" fillId="13" borderId="0" xfId="0" applyFill="1" applyAlignment="1">
      <alignment horizontal="center"/>
    </xf>
    <xf numFmtId="164" fontId="7" fillId="13" borderId="0" xfId="0" applyFont="1" applyFill="1" applyAlignment="1">
      <alignment horizontal="center"/>
    </xf>
    <xf numFmtId="164" fontId="0" fillId="13" borderId="0" xfId="0" applyFill="1" applyAlignment="1">
      <alignment horizontal="center" vertical="center"/>
    </xf>
    <xf numFmtId="164" fontId="0" fillId="13" borderId="0" xfId="0" applyFill="1" applyAlignment="1">
      <alignment horizontal="center" vertical="center"/>
    </xf>
    <xf numFmtId="164" fontId="0" fillId="18" borderId="0" xfId="0" applyFill="1" applyAlignment="1">
      <alignment horizontal="center" vertical="center"/>
    </xf>
    <xf numFmtId="164" fontId="1" fillId="4" borderId="0" xfId="0" applyFont="1" applyFill="1"/>
    <xf numFmtId="164" fontId="0" fillId="13" borderId="0" xfId="0" applyFill="1" applyAlignment="1">
      <alignment horizontal="center" vertical="center"/>
    </xf>
    <xf numFmtId="164" fontId="0" fillId="18" borderId="0" xfId="0" applyFill="1" applyAlignment="1">
      <alignment horizontal="center" vertical="center"/>
    </xf>
    <xf numFmtId="164" fontId="0" fillId="7" borderId="0" xfId="0" applyFill="1" applyAlignment="1">
      <alignment horizontal="center" vertical="center"/>
    </xf>
    <xf numFmtId="164" fontId="0" fillId="9" borderId="0" xfId="0" applyFill="1" applyAlignment="1">
      <alignment horizontal="center" vertical="center"/>
    </xf>
    <xf numFmtId="164" fontId="0" fillId="9" borderId="0" xfId="0" applyFill="1" applyAlignment="1">
      <alignment horizontal="center" vertical="center"/>
    </xf>
    <xf numFmtId="164" fontId="0" fillId="0" borderId="0" xfId="0" applyAlignment="1">
      <alignment wrapText="1"/>
    </xf>
    <xf numFmtId="164" fontId="0" fillId="20" borderId="0" xfId="0" applyFill="1"/>
    <xf numFmtId="164" fontId="0" fillId="21" borderId="0" xfId="0" applyFill="1"/>
    <xf numFmtId="164" fontId="3" fillId="20" borderId="0" xfId="0" applyFont="1" applyFill="1"/>
    <xf numFmtId="164" fontId="0" fillId="13" borderId="0" xfId="0" applyFill="1" applyAlignment="1">
      <alignment horizontal="center" vertical="center"/>
    </xf>
    <xf numFmtId="164" fontId="0" fillId="18" borderId="0" xfId="0" applyFill="1" applyAlignment="1">
      <alignment horizontal="center" vertical="center"/>
    </xf>
    <xf numFmtId="164" fontId="0" fillId="9" borderId="0" xfId="0" applyFill="1" applyAlignment="1">
      <alignment horizontal="center" vertical="center"/>
    </xf>
    <xf numFmtId="164" fontId="0" fillId="13" borderId="0" xfId="0" applyFill="1" applyAlignment="1">
      <alignment horizontal="center" vertical="center"/>
    </xf>
    <xf numFmtId="164" fontId="0" fillId="18" borderId="0" xfId="0" applyFill="1" applyAlignment="1">
      <alignment horizontal="center" vertical="center"/>
    </xf>
    <xf numFmtId="164" fontId="0" fillId="9" borderId="0" xfId="0" applyFill="1" applyAlignment="1">
      <alignment horizontal="center" vertical="center"/>
    </xf>
    <xf numFmtId="164" fontId="0" fillId="22" borderId="0" xfId="0" applyFill="1" applyAlignment="1">
      <alignment horizontal="left"/>
    </xf>
    <xf numFmtId="164" fontId="0" fillId="22" borderId="0" xfId="0" applyFill="1" applyAlignment="1">
      <alignment horizontal="center"/>
    </xf>
    <xf numFmtId="49" fontId="4" fillId="0" borderId="0" xfId="0" applyNumberFormat="1" applyFont="1" applyFill="1" applyAlignment="1">
      <alignment horizontal="left"/>
    </xf>
    <xf numFmtId="49" fontId="0" fillId="0" borderId="0" xfId="0" applyNumberFormat="1" applyAlignment="1">
      <alignment horizontal="left"/>
    </xf>
    <xf numFmtId="49" fontId="3" fillId="0" borderId="0" xfId="0" applyNumberFormat="1" applyFont="1" applyFill="1" applyAlignment="1">
      <alignment horizontal="left"/>
    </xf>
    <xf numFmtId="49" fontId="4" fillId="0" borderId="0" xfId="0" applyNumberFormat="1" applyFont="1" applyFill="1" applyBorder="1" applyAlignment="1">
      <alignment horizontal="left"/>
    </xf>
    <xf numFmtId="49" fontId="4" fillId="0" borderId="0" xfId="1" applyNumberFormat="1" applyFont="1" applyFill="1" applyBorder="1" applyAlignment="1">
      <alignment horizontal="left"/>
    </xf>
    <xf numFmtId="49" fontId="13" fillId="0" borderId="0" xfId="0" applyNumberFormat="1" applyFont="1" applyFill="1" applyBorder="1" applyAlignment="1">
      <alignment horizontal="left"/>
    </xf>
    <xf numFmtId="49" fontId="4" fillId="0" borderId="0" xfId="2" applyNumberFormat="1" applyFont="1" applyFill="1" applyBorder="1" applyAlignment="1">
      <alignment horizontal="left"/>
    </xf>
    <xf numFmtId="49" fontId="8" fillId="0" borderId="0" xfId="3" applyNumberFormat="1" applyFont="1" applyFill="1" applyBorder="1" applyAlignment="1">
      <alignment horizontal="left"/>
    </xf>
    <xf numFmtId="49" fontId="13" fillId="0" borderId="0" xfId="0" applyNumberFormat="1" applyFont="1" applyFill="1" applyBorder="1" applyAlignment="1">
      <alignment horizontal="left" vertical="center"/>
    </xf>
    <xf numFmtId="165" fontId="0" fillId="0" borderId="0" xfId="0" applyNumberFormat="1" applyAlignment="1">
      <alignment horizontal="left"/>
    </xf>
    <xf numFmtId="165" fontId="4" fillId="0" borderId="0" xfId="0" applyNumberFormat="1" applyFont="1" applyFill="1" applyAlignment="1">
      <alignment horizontal="left"/>
    </xf>
    <xf numFmtId="165" fontId="3" fillId="0" borderId="0" xfId="0" applyNumberFormat="1" applyFont="1" applyFill="1" applyAlignment="1">
      <alignment horizontal="left"/>
    </xf>
    <xf numFmtId="165" fontId="4" fillId="0" borderId="0" xfId="0" applyNumberFormat="1" applyFont="1" applyFill="1" applyBorder="1" applyAlignment="1">
      <alignment horizontal="left"/>
    </xf>
    <xf numFmtId="165" fontId="3" fillId="0" borderId="0" xfId="0" applyNumberFormat="1" applyFont="1" applyFill="1" applyBorder="1" applyAlignment="1">
      <alignment horizontal="left"/>
    </xf>
    <xf numFmtId="165" fontId="4" fillId="0" borderId="0" xfId="1" applyNumberFormat="1" applyFont="1" applyFill="1" applyBorder="1" applyAlignment="1">
      <alignment horizontal="left"/>
    </xf>
    <xf numFmtId="165" fontId="14" fillId="0" borderId="0" xfId="0" applyNumberFormat="1" applyFont="1" applyFill="1" applyAlignment="1">
      <alignment horizontal="left"/>
    </xf>
    <xf numFmtId="49" fontId="0" fillId="2" borderId="0" xfId="0" applyNumberFormat="1" applyFill="1"/>
    <xf numFmtId="49" fontId="0" fillId="0" borderId="0" xfId="0" applyNumberFormat="1" applyFill="1"/>
    <xf numFmtId="49" fontId="0" fillId="3" borderId="0" xfId="0" applyNumberFormat="1" applyFill="1"/>
    <xf numFmtId="49" fontId="0" fillId="5" borderId="0" xfId="0" applyNumberFormat="1" applyFill="1"/>
    <xf numFmtId="49" fontId="0" fillId="4" borderId="0" xfId="0" applyNumberFormat="1" applyFill="1"/>
    <xf numFmtId="49" fontId="0" fillId="0" borderId="0" xfId="0" applyNumberFormat="1"/>
    <xf numFmtId="2" fontId="0" fillId="0" borderId="0" xfId="0" applyNumberFormat="1" applyAlignment="1">
      <alignment horizontal="left"/>
    </xf>
    <xf numFmtId="2" fontId="0" fillId="0" borderId="0" xfId="0" applyNumberFormat="1"/>
    <xf numFmtId="2" fontId="1" fillId="0" borderId="0" xfId="0" applyNumberFormat="1" applyFont="1" applyAlignment="1">
      <alignment horizontal="left"/>
    </xf>
    <xf numFmtId="2" fontId="2" fillId="0" borderId="0" xfId="0" applyNumberFormat="1" applyFont="1" applyAlignment="1">
      <alignment horizontal="left"/>
    </xf>
    <xf numFmtId="2" fontId="1" fillId="0" borderId="0" xfId="0" applyNumberFormat="1" applyFont="1"/>
    <xf numFmtId="2" fontId="1" fillId="0" borderId="0" xfId="0" applyNumberFormat="1" applyFont="1" applyBorder="1"/>
    <xf numFmtId="2" fontId="0" fillId="0" borderId="0" xfId="0" applyNumberFormat="1" applyBorder="1"/>
    <xf numFmtId="2" fontId="2" fillId="0" borderId="0" xfId="0" applyNumberFormat="1" applyFont="1" applyBorder="1" applyAlignment="1">
      <alignment horizontal="left"/>
    </xf>
    <xf numFmtId="2" fontId="0" fillId="0" borderId="0" xfId="0" applyNumberFormat="1" applyBorder="1" applyAlignment="1">
      <alignment horizontal="left"/>
    </xf>
    <xf numFmtId="2" fontId="0" fillId="0" borderId="1" xfId="0" applyNumberFormat="1" applyBorder="1"/>
    <xf numFmtId="2" fontId="5" fillId="0" borderId="0" xfId="0" applyNumberFormat="1" applyFont="1"/>
    <xf numFmtId="2" fontId="6" fillId="0" borderId="0" xfId="0" applyNumberFormat="1" applyFont="1"/>
    <xf numFmtId="49" fontId="1" fillId="0" borderId="0" xfId="0" applyNumberFormat="1" applyFont="1" applyAlignment="1">
      <alignment horizontal="left"/>
    </xf>
    <xf numFmtId="2" fontId="4" fillId="0" borderId="0" xfId="0" applyNumberFormat="1" applyFont="1" applyFill="1" applyAlignment="1">
      <alignment horizontal="left"/>
    </xf>
    <xf numFmtId="2" fontId="3" fillId="0" borderId="0" xfId="0" applyNumberFormat="1" applyFont="1" applyFill="1" applyAlignment="1">
      <alignment horizontal="left"/>
    </xf>
    <xf numFmtId="2" fontId="4" fillId="0" borderId="0" xfId="2" applyNumberFormat="1" applyFont="1" applyFill="1" applyBorder="1" applyAlignment="1">
      <alignment horizontal="left"/>
    </xf>
    <xf numFmtId="2" fontId="4" fillId="0" borderId="0" xfId="1" applyNumberFormat="1" applyFont="1" applyFill="1" applyBorder="1" applyAlignment="1">
      <alignment horizontal="left"/>
    </xf>
    <xf numFmtId="2" fontId="4" fillId="0" borderId="0" xfId="0" applyNumberFormat="1" applyFont="1" applyFill="1" applyBorder="1" applyAlignment="1">
      <alignment horizontal="left"/>
    </xf>
    <xf numFmtId="1" fontId="4" fillId="0" borderId="0" xfId="0" applyNumberFormat="1" applyFont="1" applyFill="1" applyAlignment="1">
      <alignment horizontal="left"/>
    </xf>
    <xf numFmtId="1" fontId="0" fillId="0" borderId="0" xfId="0" applyNumberFormat="1" applyAlignment="1">
      <alignment horizontal="left"/>
    </xf>
    <xf numFmtId="164" fontId="0" fillId="9" borderId="0" xfId="0" applyFill="1" applyAlignment="1">
      <alignment horizontal="center" vertical="center"/>
    </xf>
    <xf numFmtId="164" fontId="0" fillId="23" borderId="0" xfId="0" applyFill="1" applyAlignment="1">
      <alignment horizontal="left"/>
    </xf>
    <xf numFmtId="164" fontId="0" fillId="23" borderId="0" xfId="0" applyFill="1" applyAlignment="1">
      <alignment horizontal="center" vertical="center"/>
    </xf>
    <xf numFmtId="164" fontId="0" fillId="24" borderId="0" xfId="0" applyFill="1" applyAlignment="1">
      <alignment horizontal="center" vertical="center"/>
    </xf>
    <xf numFmtId="164" fontId="0" fillId="24" borderId="0" xfId="0" applyFill="1" applyAlignment="1">
      <alignment horizontal="left"/>
    </xf>
    <xf numFmtId="49" fontId="1" fillId="0" borderId="0" xfId="0" applyNumberFormat="1" applyFont="1"/>
    <xf numFmtId="164" fontId="0" fillId="0" borderId="0" xfId="0" applyAlignment="1"/>
    <xf numFmtId="164" fontId="15" fillId="0" borderId="0" xfId="0" applyFont="1" applyAlignment="1"/>
    <xf numFmtId="164" fontId="15" fillId="0" borderId="0" xfId="0" applyFont="1" applyAlignment="1">
      <alignment vertical="center"/>
    </xf>
    <xf numFmtId="164" fontId="1" fillId="0" borderId="0" xfId="0" applyFont="1" applyAlignment="1"/>
    <xf numFmtId="164" fontId="0" fillId="13" borderId="0" xfId="0" applyFill="1" applyAlignment="1">
      <alignment horizontal="center" vertical="center"/>
    </xf>
    <xf numFmtId="1" fontId="1" fillId="0" borderId="0" xfId="0" applyNumberFormat="1" applyFont="1" applyAlignment="1">
      <alignment horizontal="left"/>
    </xf>
    <xf numFmtId="164" fontId="18" fillId="12" borderId="2" xfId="0" applyFont="1" applyFill="1" applyBorder="1" applyAlignment="1">
      <alignment horizontal="left" vertical="center" wrapText="1"/>
    </xf>
    <xf numFmtId="164" fontId="18" fillId="12" borderId="3" xfId="0" applyFont="1" applyFill="1" applyBorder="1" applyAlignment="1">
      <alignment horizontal="left" vertical="center" wrapText="1"/>
    </xf>
    <xf numFmtId="164" fontId="18" fillId="12" borderId="3" xfId="0" applyFont="1" applyFill="1" applyBorder="1" applyAlignment="1">
      <alignment vertical="center" wrapText="1"/>
    </xf>
    <xf numFmtId="164" fontId="18" fillId="12" borderId="4" xfId="0" applyFont="1" applyFill="1" applyBorder="1" applyAlignment="1">
      <alignment horizontal="left" vertical="center" wrapText="1"/>
    </xf>
    <xf numFmtId="164" fontId="19" fillId="11" borderId="5" xfId="0" applyFont="1" applyFill="1" applyBorder="1" applyAlignment="1">
      <alignment horizontal="left" vertical="center" wrapText="1"/>
    </xf>
    <xf numFmtId="164" fontId="20" fillId="11" borderId="0" xfId="0" applyFont="1" applyFill="1" applyAlignment="1">
      <alignment horizontal="left" vertical="center" wrapText="1"/>
    </xf>
    <xf numFmtId="164" fontId="20" fillId="11" borderId="6" xfId="0" applyFont="1" applyFill="1" applyBorder="1" applyAlignment="1">
      <alignment horizontal="left" vertical="center" wrapText="1"/>
    </xf>
    <xf numFmtId="164" fontId="20" fillId="11" borderId="0" xfId="0" applyFont="1" applyFill="1" applyAlignment="1">
      <alignment vertical="center" wrapText="1"/>
    </xf>
    <xf numFmtId="164" fontId="20" fillId="11" borderId="6" xfId="0" applyFont="1" applyFill="1" applyBorder="1" applyAlignment="1">
      <alignment vertical="center" wrapText="1"/>
    </xf>
    <xf numFmtId="164" fontId="20" fillId="11" borderId="8" xfId="0" applyFont="1" applyFill="1" applyBorder="1" applyAlignment="1">
      <alignment horizontal="left" vertical="center" wrapText="1"/>
    </xf>
    <xf numFmtId="164" fontId="20" fillId="11" borderId="9" xfId="0" applyFont="1" applyFill="1" applyBorder="1" applyAlignment="1">
      <alignment horizontal="left" vertical="center" wrapText="1"/>
    </xf>
    <xf numFmtId="164" fontId="20" fillId="11" borderId="0" xfId="0" applyFont="1" applyFill="1" applyBorder="1" applyAlignment="1">
      <alignment horizontal="left" vertical="center" wrapText="1"/>
    </xf>
    <xf numFmtId="164" fontId="19" fillId="0" borderId="11" xfId="0" applyFont="1" applyBorder="1" applyAlignment="1">
      <alignment vertical="center" wrapText="1"/>
    </xf>
    <xf numFmtId="164" fontId="20" fillId="0" borderId="11" xfId="0" applyFont="1" applyBorder="1" applyAlignment="1">
      <alignment vertical="center" wrapText="1"/>
    </xf>
    <xf numFmtId="164" fontId="20" fillId="0" borderId="11" xfId="0" applyFont="1" applyBorder="1" applyAlignment="1">
      <alignment horizontal="right" vertical="center" wrapText="1"/>
    </xf>
    <xf numFmtId="164" fontId="20" fillId="0" borderId="12" xfId="0" applyFont="1" applyBorder="1" applyAlignment="1">
      <alignment vertical="center" wrapText="1"/>
    </xf>
    <xf numFmtId="164" fontId="20" fillId="0" borderId="12" xfId="0" applyFont="1" applyBorder="1" applyAlignment="1">
      <alignment horizontal="right" vertical="center" wrapText="1"/>
    </xf>
    <xf numFmtId="164" fontId="20" fillId="0" borderId="13" xfId="0" applyFont="1" applyBorder="1" applyAlignment="1">
      <alignment vertical="center" wrapText="1"/>
    </xf>
    <xf numFmtId="164" fontId="20" fillId="0" borderId="13" xfId="0" applyFont="1" applyBorder="1" applyAlignment="1">
      <alignment horizontal="right" vertical="center" wrapText="1"/>
    </xf>
    <xf numFmtId="164" fontId="20" fillId="0" borderId="14" xfId="0" applyFont="1" applyBorder="1" applyAlignment="1">
      <alignment vertical="center" wrapText="1"/>
    </xf>
    <xf numFmtId="164" fontId="20" fillId="0" borderId="14" xfId="0" applyFont="1" applyBorder="1" applyAlignment="1">
      <alignment horizontal="right" vertical="center" wrapText="1"/>
    </xf>
    <xf numFmtId="164" fontId="19" fillId="0" borderId="0" xfId="0" applyFont="1"/>
    <xf numFmtId="164" fontId="20" fillId="0" borderId="0" xfId="0" applyFont="1"/>
    <xf numFmtId="164" fontId="20" fillId="11" borderId="5" xfId="0" applyFont="1" applyFill="1" applyBorder="1" applyAlignment="1">
      <alignment vertical="center" wrapText="1"/>
    </xf>
    <xf numFmtId="164" fontId="20" fillId="11" borderId="7" xfId="0" applyFont="1" applyFill="1" applyBorder="1" applyAlignment="1">
      <alignment vertical="center" wrapText="1"/>
    </xf>
    <xf numFmtId="164" fontId="20" fillId="11" borderId="0" xfId="0" applyFont="1" applyFill="1" applyBorder="1" applyAlignment="1">
      <alignment vertical="center" wrapText="1"/>
    </xf>
    <xf numFmtId="164" fontId="22" fillId="0" borderId="0" xfId="4" applyFont="1"/>
    <xf numFmtId="164" fontId="20" fillId="0" borderId="14" xfId="0" applyFont="1" applyBorder="1" applyAlignment="1">
      <alignment vertical="top" wrapText="1"/>
    </xf>
    <xf numFmtId="164" fontId="20" fillId="0" borderId="11" xfId="0" applyFont="1" applyBorder="1" applyAlignment="1">
      <alignment vertical="top" wrapText="1"/>
    </xf>
    <xf numFmtId="164" fontId="0" fillId="25" borderId="0" xfId="0" applyFill="1" applyAlignment="1">
      <alignment horizontal="left"/>
    </xf>
    <xf numFmtId="164" fontId="0" fillId="0" borderId="0" xfId="0" applyFont="1" applyAlignment="1">
      <alignment wrapText="1"/>
    </xf>
    <xf numFmtId="165" fontId="2" fillId="0" borderId="0" xfId="0" applyNumberFormat="1" applyFont="1" applyAlignment="1">
      <alignment horizontal="left"/>
    </xf>
    <xf numFmtId="165" fontId="0" fillId="0" borderId="1" xfId="0" applyNumberFormat="1" applyBorder="1" applyAlignment="1">
      <alignment horizontal="left"/>
    </xf>
    <xf numFmtId="165" fontId="0" fillId="0" borderId="0" xfId="0" applyNumberFormat="1"/>
    <xf numFmtId="165" fontId="0" fillId="0" borderId="1" xfId="0" applyNumberFormat="1" applyBorder="1"/>
    <xf numFmtId="165" fontId="0" fillId="0" borderId="0" xfId="0" applyNumberFormat="1" applyBorder="1"/>
    <xf numFmtId="164" fontId="0" fillId="24" borderId="0" xfId="0" applyFill="1" applyAlignment="1">
      <alignment horizontal="center" vertical="center"/>
    </xf>
    <xf numFmtId="164" fontId="0" fillId="9" borderId="0" xfId="0" applyFill="1" applyAlignment="1">
      <alignment horizontal="center" vertical="center"/>
    </xf>
    <xf numFmtId="164" fontId="0" fillId="9" borderId="0" xfId="0" applyFill="1" applyAlignment="1">
      <alignment horizontal="center" vertical="center"/>
    </xf>
    <xf numFmtId="166" fontId="0" fillId="0" borderId="1" xfId="0" applyNumberFormat="1" applyBorder="1" applyAlignment="1">
      <alignment horizontal="left"/>
    </xf>
    <xf numFmtId="164" fontId="0" fillId="0" borderId="0" xfId="0" applyAlignment="1">
      <alignment vertical="top"/>
    </xf>
    <xf numFmtId="49" fontId="0" fillId="0" borderId="0" xfId="0" applyNumberFormat="1" applyAlignment="1">
      <alignment vertical="top"/>
    </xf>
    <xf numFmtId="164" fontId="0" fillId="0" borderId="0" xfId="0" applyAlignment="1">
      <alignment vertical="top" wrapText="1"/>
    </xf>
    <xf numFmtId="49" fontId="4" fillId="0" borderId="0" xfId="1" quotePrefix="1" applyNumberFormat="1" applyFont="1" applyFill="1" applyBorder="1" applyAlignment="1">
      <alignment horizontal="left"/>
    </xf>
    <xf numFmtId="165" fontId="3" fillId="0" borderId="0" xfId="1" applyNumberFormat="1" applyFont="1" applyFill="1" applyBorder="1" applyAlignment="1">
      <alignment horizontal="left"/>
    </xf>
    <xf numFmtId="49" fontId="3" fillId="0" borderId="0" xfId="0" applyNumberFormat="1" applyFont="1" applyFill="1" applyAlignment="1">
      <alignment horizontal="center"/>
    </xf>
    <xf numFmtId="49" fontId="4" fillId="0" borderId="0" xfId="0" applyNumberFormat="1" applyFont="1" applyFill="1" applyAlignment="1">
      <alignment horizontal="center"/>
    </xf>
    <xf numFmtId="49" fontId="4" fillId="0" borderId="0" xfId="0" applyNumberFormat="1" applyFont="1" applyFill="1" applyBorder="1" applyAlignment="1">
      <alignment horizontal="center"/>
    </xf>
    <xf numFmtId="49" fontId="4" fillId="0" borderId="0" xfId="1" applyNumberFormat="1" applyFont="1" applyFill="1" applyBorder="1" applyAlignment="1">
      <alignment horizontal="center"/>
    </xf>
    <xf numFmtId="164" fontId="1" fillId="7" borderId="0" xfId="0" applyFont="1" applyFill="1"/>
    <xf numFmtId="164" fontId="0" fillId="7" borderId="0" xfId="0" applyFont="1" applyFill="1"/>
    <xf numFmtId="2" fontId="13" fillId="0" borderId="0" xfId="0" applyNumberFormat="1" applyFont="1" applyFill="1" applyBorder="1" applyAlignment="1">
      <alignment horizontal="left"/>
    </xf>
    <xf numFmtId="165" fontId="3" fillId="26" borderId="0" xfId="0" applyNumberFormat="1" applyFont="1" applyFill="1" applyAlignment="1">
      <alignment horizontal="left"/>
    </xf>
    <xf numFmtId="165" fontId="4" fillId="26" borderId="0" xfId="0" applyNumberFormat="1" applyFont="1" applyFill="1" applyAlignment="1">
      <alignment horizontal="left"/>
    </xf>
    <xf numFmtId="165" fontId="4" fillId="26" borderId="0" xfId="0" applyNumberFormat="1" applyFont="1" applyFill="1" applyBorder="1" applyAlignment="1">
      <alignment horizontal="left"/>
    </xf>
    <xf numFmtId="165" fontId="6" fillId="26" borderId="0" xfId="0" applyNumberFormat="1" applyFont="1" applyFill="1" applyAlignment="1">
      <alignment horizontal="left"/>
    </xf>
    <xf numFmtId="165" fontId="8" fillId="26" borderId="0" xfId="0" applyNumberFormat="1" applyFont="1" applyFill="1" applyAlignment="1">
      <alignment horizontal="left"/>
    </xf>
    <xf numFmtId="165" fontId="8" fillId="26" borderId="0" xfId="0" applyNumberFormat="1" applyFont="1" applyFill="1" applyBorder="1" applyAlignment="1">
      <alignment horizontal="left"/>
    </xf>
    <xf numFmtId="49" fontId="3" fillId="7" borderId="0" xfId="0" applyNumberFormat="1" applyFont="1" applyFill="1" applyAlignment="1">
      <alignment horizontal="left"/>
    </xf>
    <xf numFmtId="49" fontId="4" fillId="7" borderId="0" xfId="0" applyNumberFormat="1" applyFont="1" applyFill="1" applyAlignment="1">
      <alignment horizontal="left"/>
    </xf>
    <xf numFmtId="49" fontId="4" fillId="7" borderId="0" xfId="0" applyNumberFormat="1" applyFont="1" applyFill="1" applyBorder="1" applyAlignment="1">
      <alignment horizontal="left"/>
    </xf>
    <xf numFmtId="165" fontId="4" fillId="7" borderId="0" xfId="0" applyNumberFormat="1" applyFont="1" applyFill="1" applyBorder="1" applyAlignment="1">
      <alignment horizontal="left"/>
    </xf>
    <xf numFmtId="2" fontId="4" fillId="7" borderId="0" xfId="0" applyNumberFormat="1" applyFont="1" applyFill="1" applyAlignment="1">
      <alignment horizontal="left"/>
    </xf>
    <xf numFmtId="49" fontId="3" fillId="27" borderId="0" xfId="0" applyNumberFormat="1" applyFont="1" applyFill="1" applyAlignment="1">
      <alignment horizontal="left"/>
    </xf>
    <xf numFmtId="49" fontId="4" fillId="27" borderId="0" xfId="0" applyNumberFormat="1" applyFont="1" applyFill="1" applyAlignment="1">
      <alignment horizontal="left"/>
    </xf>
    <xf numFmtId="49" fontId="4" fillId="27" borderId="0" xfId="0" applyNumberFormat="1" applyFont="1" applyFill="1" applyBorder="1" applyAlignment="1">
      <alignment horizontal="left"/>
    </xf>
    <xf numFmtId="164" fontId="4" fillId="27" borderId="0" xfId="0" applyFont="1" applyFill="1" applyAlignment="1">
      <alignment horizontal="left"/>
    </xf>
    <xf numFmtId="2" fontId="8" fillId="0" borderId="0" xfId="0" applyNumberFormat="1" applyFont="1" applyFill="1" applyBorder="1" applyAlignment="1">
      <alignment horizontal="left" vertical="center"/>
    </xf>
    <xf numFmtId="49" fontId="8" fillId="0" borderId="0" xfId="0" applyNumberFormat="1" applyFont="1" applyFill="1" applyAlignment="1">
      <alignment horizontal="left" vertical="center"/>
    </xf>
    <xf numFmtId="165" fontId="6" fillId="0" borderId="0" xfId="0" applyNumberFormat="1" applyFont="1" applyFill="1" applyAlignment="1">
      <alignment horizontal="left" vertical="center"/>
    </xf>
    <xf numFmtId="165" fontId="8" fillId="0" borderId="0" xfId="0" applyNumberFormat="1" applyFont="1" applyFill="1" applyAlignment="1">
      <alignment horizontal="left" vertical="center"/>
    </xf>
    <xf numFmtId="49" fontId="3" fillId="28" borderId="0" xfId="0" applyNumberFormat="1" applyFont="1" applyFill="1" applyAlignment="1">
      <alignment horizontal="left"/>
    </xf>
    <xf numFmtId="49" fontId="4" fillId="28" borderId="0" xfId="0" applyNumberFormat="1" applyFont="1" applyFill="1" applyAlignment="1">
      <alignment horizontal="left"/>
    </xf>
    <xf numFmtId="49" fontId="4" fillId="28" borderId="0" xfId="0" applyNumberFormat="1" applyFont="1" applyFill="1" applyBorder="1" applyAlignment="1">
      <alignment horizontal="left"/>
    </xf>
    <xf numFmtId="165" fontId="3" fillId="28" borderId="0" xfId="0" applyNumberFormat="1" applyFont="1" applyFill="1" applyAlignment="1">
      <alignment horizontal="left"/>
    </xf>
    <xf numFmtId="49" fontId="3" fillId="6" borderId="0" xfId="0" applyNumberFormat="1" applyFont="1" applyFill="1" applyAlignment="1">
      <alignment horizontal="left"/>
    </xf>
    <xf numFmtId="49" fontId="4" fillId="6" borderId="0" xfId="0" applyNumberFormat="1" applyFont="1" applyFill="1" applyAlignment="1">
      <alignment horizontal="left"/>
    </xf>
    <xf numFmtId="49" fontId="4" fillId="6" borderId="0" xfId="0" applyNumberFormat="1" applyFont="1" applyFill="1" applyBorder="1" applyAlignment="1">
      <alignment horizontal="left"/>
    </xf>
    <xf numFmtId="2" fontId="4" fillId="6" borderId="0" xfId="0" applyNumberFormat="1" applyFont="1" applyFill="1" applyAlignment="1">
      <alignment horizontal="left"/>
    </xf>
    <xf numFmtId="49" fontId="4" fillId="6" borderId="0" xfId="1" applyNumberFormat="1" applyFont="1" applyFill="1" applyBorder="1" applyAlignment="1">
      <alignment horizontal="left"/>
    </xf>
    <xf numFmtId="49" fontId="0" fillId="6" borderId="0" xfId="0" applyNumberFormat="1" applyFill="1"/>
    <xf numFmtId="164" fontId="1" fillId="6" borderId="0" xfId="0" applyFont="1" applyFill="1" applyAlignment="1">
      <alignment horizontal="left"/>
    </xf>
    <xf numFmtId="49" fontId="4" fillId="0" borderId="0" xfId="0" applyNumberFormat="1" applyFont="1" applyAlignment="1">
      <alignment horizontal="left"/>
    </xf>
    <xf numFmtId="49" fontId="4" fillId="29" borderId="0" xfId="0" applyNumberFormat="1" applyFont="1" applyFill="1" applyAlignment="1">
      <alignment horizontal="left"/>
    </xf>
    <xf numFmtId="164" fontId="4" fillId="29" borderId="0" xfId="0" applyFont="1" applyFill="1" applyAlignment="1">
      <alignment horizontal="left"/>
    </xf>
    <xf numFmtId="49" fontId="4" fillId="29" borderId="0" xfId="0" applyNumberFormat="1" applyFont="1" applyFill="1" applyAlignment="1">
      <alignment horizontal="center"/>
    </xf>
    <xf numFmtId="2" fontId="4" fillId="29" borderId="0" xfId="0" applyNumberFormat="1" applyFont="1" applyFill="1" applyAlignment="1">
      <alignment horizontal="left"/>
    </xf>
    <xf numFmtId="165" fontId="4" fillId="29" borderId="0" xfId="0" applyNumberFormat="1" applyFont="1" applyFill="1" applyAlignment="1">
      <alignment horizontal="left"/>
    </xf>
    <xf numFmtId="165" fontId="8" fillId="29" borderId="0" xfId="0" applyNumberFormat="1" applyFont="1" applyFill="1" applyAlignment="1">
      <alignment horizontal="left"/>
    </xf>
    <xf numFmtId="164" fontId="23" fillId="0" borderId="0" xfId="0" applyFont="1" applyAlignment="1"/>
    <xf numFmtId="164" fontId="23" fillId="0" borderId="0" xfId="0" applyFont="1" applyAlignment="1">
      <alignment vertical="center"/>
    </xf>
    <xf numFmtId="49" fontId="0" fillId="27" borderId="0" xfId="0" applyNumberFormat="1" applyFill="1"/>
    <xf numFmtId="164" fontId="23" fillId="27" borderId="0" xfId="0" applyFont="1" applyFill="1" applyAlignment="1">
      <alignment vertical="center"/>
    </xf>
    <xf numFmtId="164" fontId="0" fillId="27" borderId="0" xfId="0" applyFill="1" applyAlignment="1"/>
    <xf numFmtId="164" fontId="0" fillId="27" borderId="0" xfId="0" applyFill="1"/>
    <xf numFmtId="164" fontId="23" fillId="6" borderId="0" xfId="0" applyFont="1" applyFill="1" applyAlignment="1">
      <alignment vertical="center"/>
    </xf>
    <xf numFmtId="164" fontId="0" fillId="6" borderId="0" xfId="0" applyFill="1" applyAlignment="1"/>
    <xf numFmtId="164" fontId="15" fillId="6" borderId="0" xfId="0" applyFont="1" applyFill="1" applyAlignment="1"/>
    <xf numFmtId="164" fontId="15" fillId="6" borderId="0" xfId="0" applyFont="1" applyFill="1" applyAlignment="1">
      <alignment vertical="center"/>
    </xf>
    <xf numFmtId="49" fontId="0" fillId="30" borderId="0" xfId="0" applyNumberFormat="1" applyFill="1"/>
    <xf numFmtId="164" fontId="1" fillId="30" borderId="0" xfId="0" applyFont="1" applyFill="1"/>
    <xf numFmtId="164" fontId="0" fillId="30" borderId="0" xfId="0" applyFill="1"/>
    <xf numFmtId="49" fontId="4" fillId="0" borderId="0" xfId="0" applyNumberFormat="1" applyFont="1" applyFill="1" applyAlignment="1">
      <alignment horizontal="left" vertical="center"/>
    </xf>
    <xf numFmtId="164" fontId="4" fillId="0" borderId="0" xfId="0" applyFont="1" applyFill="1" applyAlignment="1">
      <alignment horizontal="left" vertical="center"/>
    </xf>
    <xf numFmtId="49" fontId="8" fillId="0" borderId="0" xfId="0" applyNumberFormat="1" applyFont="1" applyFill="1" applyAlignment="1">
      <alignment horizontal="center" vertical="center"/>
    </xf>
    <xf numFmtId="2" fontId="8" fillId="0" borderId="0" xfId="0" applyNumberFormat="1" applyFont="1" applyFill="1" applyAlignment="1">
      <alignment horizontal="left" vertical="center"/>
    </xf>
    <xf numFmtId="49" fontId="8" fillId="27" borderId="0" xfId="0" applyNumberFormat="1" applyFont="1" applyFill="1" applyAlignment="1">
      <alignment horizontal="left" vertical="center"/>
    </xf>
    <xf numFmtId="49" fontId="8" fillId="7" borderId="0" xfId="0" applyNumberFormat="1" applyFont="1" applyFill="1" applyAlignment="1">
      <alignment horizontal="left" vertical="center"/>
    </xf>
    <xf numFmtId="49" fontId="8" fillId="6" borderId="0" xfId="0" applyNumberFormat="1" applyFont="1" applyFill="1" applyAlignment="1">
      <alignment horizontal="left" vertical="center"/>
    </xf>
    <xf numFmtId="164" fontId="4" fillId="2" borderId="0" xfId="0" applyFont="1" applyFill="1" applyAlignment="1">
      <alignment horizontal="center" vertical="center"/>
    </xf>
    <xf numFmtId="49" fontId="8" fillId="28" borderId="0" xfId="0" applyNumberFormat="1" applyFont="1" applyFill="1" applyAlignment="1">
      <alignment horizontal="left" vertical="center"/>
    </xf>
    <xf numFmtId="164" fontId="4" fillId="6" borderId="0" xfId="0" applyFont="1" applyFill="1" applyAlignment="1">
      <alignment horizontal="left" vertical="center"/>
    </xf>
    <xf numFmtId="49" fontId="8" fillId="9" borderId="0" xfId="0" applyNumberFormat="1" applyFont="1" applyFill="1" applyAlignment="1">
      <alignment horizontal="left" vertical="center"/>
    </xf>
    <xf numFmtId="164" fontId="4" fillId="2" borderId="0" xfId="0" applyFont="1" applyFill="1" applyAlignment="1">
      <alignment vertical="center"/>
    </xf>
    <xf numFmtId="49" fontId="8" fillId="9" borderId="0" xfId="0" applyNumberFormat="1" applyFont="1" applyFill="1" applyAlignment="1">
      <alignment horizontal="center" vertical="center"/>
    </xf>
    <xf numFmtId="49" fontId="8" fillId="29" borderId="0" xfId="0" applyNumberFormat="1" applyFont="1" applyFill="1" applyAlignment="1">
      <alignment horizontal="left" vertical="center"/>
    </xf>
    <xf numFmtId="165" fontId="8" fillId="26" borderId="0" xfId="0" applyNumberFormat="1" applyFont="1" applyFill="1" applyAlignment="1">
      <alignment horizontal="left" vertical="center"/>
    </xf>
    <xf numFmtId="49" fontId="4" fillId="9" borderId="0" xfId="0" applyNumberFormat="1" applyFont="1" applyFill="1" applyAlignment="1">
      <alignment horizontal="left"/>
    </xf>
    <xf numFmtId="165" fontId="8" fillId="0" borderId="0" xfId="0" applyNumberFormat="1" applyFont="1" applyFill="1" applyAlignment="1">
      <alignment horizontal="left"/>
    </xf>
    <xf numFmtId="2" fontId="28" fillId="0" borderId="0" xfId="0" applyNumberFormat="1" applyFont="1" applyFill="1" applyAlignment="1">
      <alignment horizontal="left"/>
    </xf>
    <xf numFmtId="164" fontId="4" fillId="28" borderId="0" xfId="0" applyFont="1" applyFill="1" applyAlignment="1">
      <alignment horizontal="left"/>
    </xf>
    <xf numFmtId="49" fontId="4" fillId="28" borderId="0" xfId="0" applyNumberFormat="1" applyFont="1" applyFill="1" applyAlignment="1">
      <alignment horizontal="center"/>
    </xf>
    <xf numFmtId="2" fontId="4" fillId="28" borderId="0" xfId="0" applyNumberFormat="1" applyFont="1" applyFill="1" applyAlignment="1">
      <alignment horizontal="left"/>
    </xf>
    <xf numFmtId="165" fontId="4" fillId="28" borderId="0" xfId="0" applyNumberFormat="1" applyFont="1" applyFill="1" applyAlignment="1">
      <alignment horizontal="left"/>
    </xf>
    <xf numFmtId="165" fontId="8" fillId="28" borderId="0" xfId="0" applyNumberFormat="1" applyFont="1" applyFill="1" applyAlignment="1">
      <alignment horizontal="left"/>
    </xf>
    <xf numFmtId="49" fontId="4" fillId="28" borderId="0" xfId="0" applyNumberFormat="1" applyFont="1" applyFill="1" applyAlignment="1">
      <alignment horizontal="left" vertical="center"/>
    </xf>
    <xf numFmtId="2" fontId="29" fillId="0" borderId="0" xfId="0" applyNumberFormat="1" applyFont="1" applyFill="1" applyAlignment="1">
      <alignment horizontal="left"/>
    </xf>
    <xf numFmtId="49" fontId="4" fillId="9" borderId="0" xfId="0" applyNumberFormat="1" applyFont="1" applyFill="1" applyBorder="1" applyAlignment="1">
      <alignment horizontal="left"/>
    </xf>
    <xf numFmtId="49" fontId="4" fillId="29" borderId="0" xfId="0" applyNumberFormat="1" applyFont="1" applyFill="1" applyBorder="1" applyAlignment="1">
      <alignment horizontal="left"/>
    </xf>
    <xf numFmtId="49" fontId="8" fillId="9" borderId="0" xfId="3" applyNumberFormat="1" applyFont="1" applyFill="1" applyBorder="1" applyAlignment="1">
      <alignment horizontal="left"/>
    </xf>
    <xf numFmtId="2" fontId="4" fillId="0" borderId="0" xfId="3" applyNumberFormat="1" applyFont="1" applyFill="1" applyBorder="1" applyAlignment="1">
      <alignment horizontal="left"/>
    </xf>
    <xf numFmtId="49" fontId="4" fillId="9" borderId="0" xfId="1" applyNumberFormat="1" applyFont="1" applyFill="1" applyBorder="1" applyAlignment="1">
      <alignment horizontal="left"/>
    </xf>
    <xf numFmtId="49" fontId="4" fillId="29" borderId="0" xfId="1" applyNumberFormat="1" applyFont="1" applyFill="1" applyBorder="1" applyAlignment="1">
      <alignment horizontal="left"/>
    </xf>
    <xf numFmtId="165" fontId="13" fillId="0" borderId="0" xfId="0" applyNumberFormat="1" applyFont="1" applyFill="1" applyAlignment="1">
      <alignment horizontal="left"/>
    </xf>
    <xf numFmtId="49" fontId="13" fillId="0" borderId="0" xfId="0" applyNumberFormat="1" applyFont="1" applyFill="1" applyBorder="1"/>
    <xf numFmtId="49" fontId="13" fillId="0" borderId="0" xfId="0" applyNumberFormat="1" applyFont="1" applyFill="1" applyAlignment="1">
      <alignment horizontal="left"/>
    </xf>
    <xf numFmtId="2" fontId="13" fillId="0" borderId="0" xfId="0" applyNumberFormat="1" applyFont="1" applyFill="1" applyAlignment="1">
      <alignment horizontal="left"/>
    </xf>
    <xf numFmtId="49" fontId="13" fillId="0" borderId="0" xfId="0" applyNumberFormat="1" applyFont="1" applyFill="1"/>
    <xf numFmtId="49" fontId="13" fillId="28" borderId="0" xfId="0" applyNumberFormat="1" applyFont="1" applyFill="1" applyAlignment="1">
      <alignment horizontal="left"/>
    </xf>
    <xf numFmtId="49" fontId="30" fillId="0" borderId="0" xfId="0" applyNumberFormat="1" applyFont="1" applyFill="1"/>
    <xf numFmtId="49" fontId="13" fillId="6" borderId="0" xfId="0" applyNumberFormat="1" applyFont="1" applyFill="1" applyAlignment="1">
      <alignment horizontal="left"/>
    </xf>
    <xf numFmtId="164" fontId="4" fillId="27" borderId="0" xfId="0" applyFont="1" applyFill="1" applyBorder="1" applyAlignment="1">
      <alignment horizontal="left"/>
    </xf>
    <xf numFmtId="49" fontId="3" fillId="9" borderId="0" xfId="0" applyNumberFormat="1" applyFont="1" applyFill="1" applyAlignment="1">
      <alignment horizontal="left"/>
    </xf>
    <xf numFmtId="49" fontId="3" fillId="0" borderId="0" xfId="0" applyNumberFormat="1" applyFont="1" applyAlignment="1">
      <alignment horizontal="left"/>
    </xf>
    <xf numFmtId="49" fontId="3" fillId="29" borderId="0" xfId="0" applyNumberFormat="1" applyFont="1" applyFill="1" applyAlignment="1">
      <alignment horizontal="left"/>
    </xf>
    <xf numFmtId="165" fontId="3" fillId="29" borderId="0" xfId="0" applyNumberFormat="1" applyFont="1" applyFill="1" applyAlignment="1">
      <alignment horizontal="left"/>
    </xf>
    <xf numFmtId="49" fontId="3" fillId="19" borderId="0" xfId="0" applyNumberFormat="1" applyFont="1" applyFill="1" applyAlignment="1">
      <alignment horizontal="left"/>
    </xf>
    <xf numFmtId="164" fontId="3" fillId="19" borderId="0" xfId="0" applyFont="1" applyFill="1" applyAlignment="1">
      <alignment horizontal="left"/>
    </xf>
    <xf numFmtId="49" fontId="3" fillId="19" borderId="0" xfId="0" applyNumberFormat="1" applyFont="1" applyFill="1" applyAlignment="1">
      <alignment horizontal="center"/>
    </xf>
    <xf numFmtId="2" fontId="3" fillId="19" borderId="0" xfId="0" applyNumberFormat="1" applyFont="1" applyFill="1" applyAlignment="1">
      <alignment horizontal="left"/>
    </xf>
    <xf numFmtId="165" fontId="3" fillId="19" borderId="0" xfId="0" applyNumberFormat="1" applyFont="1" applyFill="1" applyAlignment="1">
      <alignment horizontal="left"/>
    </xf>
    <xf numFmtId="165" fontId="6" fillId="19" borderId="0" xfId="0" applyNumberFormat="1" applyFont="1" applyFill="1" applyAlignment="1">
      <alignment horizontal="left"/>
    </xf>
    <xf numFmtId="49" fontId="4" fillId="19" borderId="0" xfId="0" applyNumberFormat="1" applyFont="1" applyFill="1" applyAlignment="1">
      <alignment horizontal="left"/>
    </xf>
    <xf numFmtId="164" fontId="4" fillId="19" borderId="0" xfId="0" applyFont="1" applyFill="1" applyAlignment="1">
      <alignment horizontal="left"/>
    </xf>
    <xf numFmtId="49" fontId="4" fillId="19" borderId="0" xfId="0" applyNumberFormat="1" applyFont="1" applyFill="1" applyBorder="1" applyAlignment="1">
      <alignment horizontal="center"/>
    </xf>
    <xf numFmtId="49" fontId="4" fillId="19" borderId="0" xfId="0" applyNumberFormat="1" applyFont="1" applyFill="1" applyBorder="1" applyAlignment="1">
      <alignment horizontal="left"/>
    </xf>
    <xf numFmtId="2" fontId="13" fillId="19" borderId="0" xfId="0" applyNumberFormat="1" applyFont="1" applyFill="1" applyBorder="1" applyAlignment="1">
      <alignment horizontal="left"/>
    </xf>
    <xf numFmtId="49" fontId="13" fillId="19" borderId="0" xfId="0" applyNumberFormat="1" applyFont="1" applyFill="1" applyBorder="1" applyAlignment="1">
      <alignment horizontal="left"/>
    </xf>
    <xf numFmtId="49" fontId="13" fillId="19" borderId="0" xfId="0" applyNumberFormat="1" applyFont="1" applyFill="1" applyBorder="1"/>
    <xf numFmtId="49" fontId="13" fillId="19" borderId="0" xfId="0" applyNumberFormat="1" applyFont="1" applyFill="1" applyBorder="1" applyAlignment="1">
      <alignment horizontal="left" vertical="center"/>
    </xf>
    <xf numFmtId="2" fontId="4" fillId="19" borderId="0" xfId="0" applyNumberFormat="1" applyFont="1" applyFill="1" applyBorder="1" applyAlignment="1">
      <alignment horizontal="left"/>
    </xf>
    <xf numFmtId="49" fontId="13" fillId="19" borderId="0" xfId="0" applyNumberFormat="1" applyFont="1" applyFill="1" applyAlignment="1">
      <alignment horizontal="left"/>
    </xf>
    <xf numFmtId="2" fontId="13" fillId="19" borderId="0" xfId="0" applyNumberFormat="1" applyFont="1" applyFill="1" applyAlignment="1">
      <alignment horizontal="left"/>
    </xf>
    <xf numFmtId="165" fontId="4" fillId="19" borderId="0" xfId="0" applyNumberFormat="1" applyFont="1" applyFill="1" applyBorder="1" applyAlignment="1">
      <alignment horizontal="left"/>
    </xf>
    <xf numFmtId="49" fontId="13" fillId="19" borderId="0" xfId="0" applyNumberFormat="1" applyFont="1" applyFill="1"/>
    <xf numFmtId="165" fontId="14" fillId="19" borderId="0" xfId="0" applyNumberFormat="1" applyFont="1" applyFill="1" applyAlignment="1">
      <alignment horizontal="left"/>
    </xf>
    <xf numFmtId="165" fontId="13" fillId="19" borderId="0" xfId="0" applyNumberFormat="1" applyFont="1" applyFill="1" applyAlignment="1">
      <alignment horizontal="left"/>
    </xf>
    <xf numFmtId="165" fontId="8" fillId="19" borderId="0" xfId="0" applyNumberFormat="1" applyFont="1" applyFill="1" applyBorder="1" applyAlignment="1">
      <alignment horizontal="left"/>
    </xf>
    <xf numFmtId="164" fontId="4" fillId="19" borderId="0" xfId="0" applyFont="1" applyFill="1" applyBorder="1" applyAlignment="1">
      <alignment horizontal="left"/>
    </xf>
    <xf numFmtId="49" fontId="4" fillId="27" borderId="0" xfId="0" applyNumberFormat="1" applyFont="1" applyFill="1" applyBorder="1" applyAlignment="1">
      <alignment horizontal="center"/>
    </xf>
    <xf numFmtId="2" fontId="13" fillId="27" borderId="0" xfId="0" applyNumberFormat="1" applyFont="1" applyFill="1" applyBorder="1" applyAlignment="1">
      <alignment horizontal="left"/>
    </xf>
    <xf numFmtId="49" fontId="13" fillId="27" borderId="0" xfId="0" applyNumberFormat="1" applyFont="1" applyFill="1" applyBorder="1" applyAlignment="1">
      <alignment horizontal="left"/>
    </xf>
    <xf numFmtId="49" fontId="13" fillId="27" borderId="0" xfId="0" applyNumberFormat="1" applyFont="1" applyFill="1" applyBorder="1"/>
    <xf numFmtId="49" fontId="13" fillId="27" borderId="0" xfId="0" applyNumberFormat="1" applyFont="1" applyFill="1" applyBorder="1" applyAlignment="1">
      <alignment horizontal="left" vertical="center"/>
    </xf>
    <xf numFmtId="2" fontId="4" fillId="27" borderId="0" xfId="0" applyNumberFormat="1" applyFont="1" applyFill="1" applyBorder="1" applyAlignment="1">
      <alignment horizontal="left"/>
    </xf>
    <xf numFmtId="49" fontId="13" fillId="27" borderId="0" xfId="0" applyNumberFormat="1" applyFont="1" applyFill="1" applyAlignment="1">
      <alignment horizontal="left"/>
    </xf>
    <xf numFmtId="2" fontId="13" fillId="27" borderId="0" xfId="0" applyNumberFormat="1" applyFont="1" applyFill="1" applyAlignment="1">
      <alignment horizontal="left"/>
    </xf>
    <xf numFmtId="165" fontId="4" fillId="27" borderId="0" xfId="0" applyNumberFormat="1" applyFont="1" applyFill="1" applyBorder="1" applyAlignment="1">
      <alignment horizontal="left"/>
    </xf>
    <xf numFmtId="49" fontId="13" fillId="27" borderId="0" xfId="0" applyNumberFormat="1" applyFont="1" applyFill="1"/>
    <xf numFmtId="165" fontId="14" fillId="27" borderId="0" xfId="0" applyNumberFormat="1" applyFont="1" applyFill="1" applyAlignment="1">
      <alignment horizontal="left"/>
    </xf>
    <xf numFmtId="165" fontId="13" fillId="27" borderId="0" xfId="0" applyNumberFormat="1" applyFont="1" applyFill="1" applyAlignment="1">
      <alignment horizontal="left"/>
    </xf>
    <xf numFmtId="165" fontId="8" fillId="27" borderId="0" xfId="0" applyNumberFormat="1" applyFont="1" applyFill="1" applyBorder="1" applyAlignment="1">
      <alignment horizontal="left"/>
    </xf>
    <xf numFmtId="165" fontId="8" fillId="5" borderId="0" xfId="0" applyNumberFormat="1" applyFont="1" applyFill="1" applyAlignment="1">
      <alignment horizontal="left" vertical="center"/>
    </xf>
    <xf numFmtId="165" fontId="4" fillId="5" borderId="0" xfId="0" applyNumberFormat="1" applyFont="1" applyFill="1" applyBorder="1" applyAlignment="1">
      <alignment horizontal="left"/>
    </xf>
    <xf numFmtId="165" fontId="3" fillId="5" borderId="0" xfId="0" applyNumberFormat="1" applyFont="1" applyFill="1" applyAlignment="1">
      <alignment horizontal="left"/>
    </xf>
    <xf numFmtId="165" fontId="4" fillId="5" borderId="0" xfId="0" applyNumberFormat="1" applyFont="1" applyFill="1" applyAlignment="1">
      <alignment horizontal="left"/>
    </xf>
    <xf numFmtId="49" fontId="0" fillId="0" borderId="0" xfId="0" applyNumberFormat="1" applyFont="1" applyAlignment="1">
      <alignment horizontal="left" wrapText="1"/>
    </xf>
    <xf numFmtId="164" fontId="19" fillId="0" borderId="12" xfId="0" applyFont="1" applyBorder="1" applyAlignment="1">
      <alignment vertical="center" wrapText="1"/>
    </xf>
    <xf numFmtId="164" fontId="19" fillId="0" borderId="13" xfId="0" applyFont="1" applyBorder="1" applyAlignment="1">
      <alignment vertical="center" wrapText="1"/>
    </xf>
    <xf numFmtId="164" fontId="19" fillId="0" borderId="14" xfId="0" applyFont="1" applyBorder="1" applyAlignment="1">
      <alignment vertical="center" wrapText="1"/>
    </xf>
    <xf numFmtId="164" fontId="20" fillId="0" borderId="12" xfId="0" applyFont="1" applyBorder="1" applyAlignment="1">
      <alignment vertical="center" wrapText="1"/>
    </xf>
    <xf numFmtId="164" fontId="20" fillId="0" borderId="13" xfId="0" applyFont="1" applyBorder="1" applyAlignment="1">
      <alignment vertical="center" wrapText="1"/>
    </xf>
    <xf numFmtId="164" fontId="20" fillId="0" borderId="14" xfId="0" applyFont="1" applyBorder="1" applyAlignment="1">
      <alignment vertical="center" wrapText="1"/>
    </xf>
    <xf numFmtId="164" fontId="0" fillId="13" borderId="0" xfId="0" applyFill="1" applyAlignment="1">
      <alignment horizontal="center" vertical="center"/>
    </xf>
    <xf numFmtId="164" fontId="0" fillId="18" borderId="0" xfId="0" applyFill="1" applyAlignment="1">
      <alignment horizontal="center" vertical="center"/>
    </xf>
    <xf numFmtId="164" fontId="7" fillId="13" borderId="0" xfId="0" applyFont="1" applyFill="1" applyAlignment="1">
      <alignment horizontal="center" vertical="center"/>
    </xf>
    <xf numFmtId="164" fontId="0" fillId="24" borderId="0" xfId="0" applyFill="1" applyAlignment="1">
      <alignment horizontal="center" vertical="center"/>
    </xf>
    <xf numFmtId="164" fontId="0" fillId="8" borderId="0" xfId="0" applyFill="1" applyAlignment="1">
      <alignment horizontal="center" vertical="center"/>
    </xf>
    <xf numFmtId="164" fontId="0" fillId="7" borderId="0" xfId="0" applyFill="1" applyAlignment="1">
      <alignment horizontal="center" vertical="center"/>
    </xf>
    <xf numFmtId="164" fontId="0" fillId="9" borderId="0" xfId="0" applyFill="1" applyAlignment="1">
      <alignment horizontal="center" vertical="center"/>
    </xf>
    <xf numFmtId="164" fontId="0" fillId="14" borderId="0" xfId="0" applyFill="1" applyAlignment="1">
      <alignment horizontal="center" vertical="center"/>
    </xf>
  </cellXfs>
  <cellStyles count="5">
    <cellStyle name="Bad" xfId="1" builtinId="27"/>
    <cellStyle name="Calculation" xfId="3" builtinId="22"/>
    <cellStyle name="Hyperlink" xfId="4" builtinId="8"/>
    <cellStyle name="Neutral" xfId="2" builtinId="2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5651500</xdr:colOff>
      <xdr:row>1</xdr:row>
      <xdr:rowOff>73025</xdr:rowOff>
    </xdr:from>
    <xdr:to>
      <xdr:col>12</xdr:col>
      <xdr:colOff>62669</xdr:colOff>
      <xdr:row>15</xdr:row>
      <xdr:rowOff>6025</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937375" y="1254125"/>
          <a:ext cx="6717469" cy="2555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1</xdr:row>
          <xdr:rowOff>114300</xdr:rowOff>
        </xdr:from>
        <xdr:to>
          <xdr:col>9</xdr:col>
          <xdr:colOff>571500</xdr:colOff>
          <xdr:row>35</xdr:row>
          <xdr:rowOff>38100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15</xdr:col>
      <xdr:colOff>228600</xdr:colOff>
      <xdr:row>30</xdr:row>
      <xdr:rowOff>19050</xdr:rowOff>
    </xdr:from>
    <xdr:to>
      <xdr:col>23</xdr:col>
      <xdr:colOff>599419</xdr:colOff>
      <xdr:row>45</xdr:row>
      <xdr:rowOff>37740</xdr:rowOff>
    </xdr:to>
    <xdr:pic>
      <xdr:nvPicPr>
        <xdr:cNvPr id="2" name="图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2277725" y="5734050"/>
          <a:ext cx="5247619" cy="2876190"/>
        </a:xfrm>
        <a:prstGeom prst="rect">
          <a:avLst/>
        </a:prstGeom>
      </xdr:spPr>
    </xdr:pic>
    <xdr:clientData/>
  </xdr:twoCellAnchor>
  <xdr:twoCellAnchor editAs="oneCell">
    <xdr:from>
      <xdr:col>8</xdr:col>
      <xdr:colOff>371475</xdr:colOff>
      <xdr:row>0</xdr:row>
      <xdr:rowOff>171450</xdr:rowOff>
    </xdr:from>
    <xdr:to>
      <xdr:col>19</xdr:col>
      <xdr:colOff>560987</xdr:colOff>
      <xdr:row>12</xdr:row>
      <xdr:rowOff>66402</xdr:rowOff>
    </xdr:to>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7162800" y="171450"/>
          <a:ext cx="7838087" cy="21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171450</xdr:colOff>
      <xdr:row>2</xdr:row>
      <xdr:rowOff>0</xdr:rowOff>
    </xdr:from>
    <xdr:to>
      <xdr:col>18</xdr:col>
      <xdr:colOff>379786</xdr:colOff>
      <xdr:row>16</xdr:row>
      <xdr:rowOff>66086</xdr:rowOff>
    </xdr:to>
    <xdr:pic>
      <xdr:nvPicPr>
        <xdr:cNvPr id="2" name="图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705725" y="400050"/>
          <a:ext cx="9714286" cy="4714286"/>
        </a:xfrm>
        <a:prstGeom prst="rect">
          <a:avLst/>
        </a:prstGeom>
      </xdr:spPr>
    </xdr:pic>
    <xdr:clientData/>
  </xdr:twoCellAnchor>
  <xdr:twoCellAnchor editAs="oneCell">
    <xdr:from>
      <xdr:col>6</xdr:col>
      <xdr:colOff>1695450</xdr:colOff>
      <xdr:row>0</xdr:row>
      <xdr:rowOff>161925</xdr:rowOff>
    </xdr:from>
    <xdr:to>
      <xdr:col>11</xdr:col>
      <xdr:colOff>18736</xdr:colOff>
      <xdr:row>16</xdr:row>
      <xdr:rowOff>132723</xdr:rowOff>
    </xdr:to>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10267950" y="161925"/>
          <a:ext cx="2514286" cy="50190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593481</xdr:colOff>
      <xdr:row>0</xdr:row>
      <xdr:rowOff>158994</xdr:rowOff>
    </xdr:from>
    <xdr:to>
      <xdr:col>5</xdr:col>
      <xdr:colOff>288681</xdr:colOff>
      <xdr:row>18</xdr:row>
      <xdr:rowOff>14849</xdr:rowOff>
    </xdr:to>
    <xdr:pic>
      <xdr:nvPicPr>
        <xdr:cNvPr id="3" name="图片 2" descr="G:\My Drive\MyResearch\12.SoilHealthDB\SoilHealthDB\outputs\OtherFigures\SamplingDepth.png">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81" y="158994"/>
          <a:ext cx="2735873" cy="3284855"/>
        </a:xfrm>
        <a:prstGeom prst="rect">
          <a:avLst/>
        </a:prstGeom>
        <a:noFill/>
        <a:ln>
          <a:noFill/>
        </a:ln>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0raw" connectionId="1" xr16:uid="{00000000-0016-0000-0000-000004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0raw_7" connectionId="7" xr16:uid="{00000000-0016-0000-0000-000006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0raw_6" connectionId="5" xr16:uid="{00000000-0016-0000-0000-000002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0raw_3" connectionId="6" xr16:uid="{00000000-0016-0000-0000-000001000000}"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0raw_5" connectionId="4" xr16:uid="{00000000-0016-0000-0000-000000000000}"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0raw_1" connectionId="2" xr16:uid="{00000000-0016-0000-0000-000007000000}"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0raw_8" connectionId="8" xr16:uid="{00000000-0016-0000-0000-000003000000}"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0raw_2" connectionId="3" xr16:uid="{00000000-0016-0000-0000-000005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oleObject" Target="../embeddings/Microsoft_Visio_2003-2010_Drawing.vsd"/></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www.fao.org/docrep/003/y1899e/y1899e02.ht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Z5909"/>
  <sheetViews>
    <sheetView tabSelected="1" topLeftCell="A5849" zoomScale="85" zoomScaleNormal="85" workbookViewId="0">
      <selection activeCell="AU1431" sqref="AU1431:AU5908"/>
    </sheetView>
  </sheetViews>
  <sheetFormatPr defaultColWidth="9.140625" defaultRowHeight="15" x14ac:dyDescent="0.25"/>
  <cols>
    <col min="1" max="1" width="6.7109375" style="55" customWidth="1"/>
    <col min="2" max="2" width="28.5703125" style="12" customWidth="1"/>
    <col min="3" max="3" width="12.140625" style="155" customWidth="1"/>
    <col min="4" max="4" width="19.5703125" style="55" customWidth="1"/>
    <col min="5" max="5" width="20.28515625" style="90" customWidth="1"/>
    <col min="6" max="6" width="13.85546875" style="90" customWidth="1"/>
    <col min="7" max="7" width="34.85546875" style="55" customWidth="1"/>
    <col min="8" max="8" width="9.140625" style="55" customWidth="1"/>
    <col min="9" max="9" width="12.85546875" style="55" customWidth="1"/>
    <col min="10" max="10" width="26.140625" style="55" customWidth="1"/>
    <col min="11" max="11" width="38.42578125" style="55" customWidth="1"/>
    <col min="12" max="12" width="14.7109375" style="55" customWidth="1"/>
    <col min="13" max="13" width="13" style="90" customWidth="1"/>
    <col min="14" max="15" width="9.140625" style="90" customWidth="1"/>
    <col min="16" max="18" width="9.140625" style="55" customWidth="1"/>
    <col min="19" max="19" width="9.140625" style="90" customWidth="1"/>
    <col min="20" max="20" width="9.140625" style="55" customWidth="1"/>
    <col min="21" max="21" width="20.42578125" style="55" customWidth="1"/>
    <col min="22" max="22" width="10" style="55" customWidth="1"/>
    <col min="23" max="23" width="16.28515625" style="173" customWidth="1"/>
    <col min="24" max="24" width="19.7109375" style="173" customWidth="1"/>
    <col min="25" max="25" width="18.7109375" style="55" customWidth="1"/>
    <col min="26" max="26" width="10.85546875" style="55" customWidth="1"/>
    <col min="27" max="27" width="13.42578125" style="90" customWidth="1"/>
    <col min="28" max="28" width="9.140625" style="65" customWidth="1"/>
    <col min="29" max="29" width="14.7109375" style="65" customWidth="1"/>
    <col min="30" max="33" width="10.85546875" style="90" customWidth="1"/>
    <col min="34" max="34" width="18" style="55" customWidth="1"/>
    <col min="35" max="35" width="9.140625" style="168" customWidth="1"/>
    <col min="36" max="37" width="14.42578125" style="90" customWidth="1"/>
    <col min="38" max="38" width="9.140625" style="55" customWidth="1"/>
    <col min="39" max="39" width="22.140625" style="55" customWidth="1"/>
    <col min="40" max="41" width="27.42578125" style="185" customWidth="1"/>
    <col min="42" max="42" width="27.42578125" style="55" customWidth="1"/>
    <col min="43" max="43" width="17.7109375" style="55" customWidth="1"/>
    <col min="44" max="44" width="23.7109375" style="55" customWidth="1"/>
    <col min="45" max="45" width="14.7109375" style="55" customWidth="1"/>
    <col min="46" max="47" width="71" style="181" customWidth="1"/>
    <col min="48" max="48" width="38" style="185" customWidth="1"/>
    <col min="49" max="49" width="29.42578125" style="55" customWidth="1"/>
    <col min="50" max="50" width="26.7109375" style="185" customWidth="1"/>
    <col min="51" max="51" width="34.140625" style="55" customWidth="1"/>
    <col min="52" max="52" width="10.42578125" style="55" customWidth="1"/>
    <col min="53" max="53" width="10.85546875" style="55" customWidth="1"/>
    <col min="54" max="54" width="10.42578125" style="55" customWidth="1"/>
    <col min="55" max="55" width="9.28515625" style="55" customWidth="1"/>
    <col min="56" max="56" width="10.42578125" style="55" customWidth="1"/>
    <col min="57" max="57" width="40.140625" style="226" customWidth="1"/>
    <col min="58" max="58" width="11.42578125" style="55" customWidth="1"/>
    <col min="59" max="59" width="20.7109375" style="55" hidden="1" customWidth="1"/>
    <col min="60" max="60" width="134.85546875" style="226" customWidth="1"/>
    <col min="61" max="61" width="20.7109375" style="55" customWidth="1"/>
    <col min="62" max="62" width="19.42578125" style="55" customWidth="1"/>
    <col min="63" max="63" width="18.140625" style="55" customWidth="1"/>
    <col min="64" max="64" width="12.42578125" style="55" customWidth="1"/>
    <col min="65" max="65" width="17.85546875" style="192" customWidth="1"/>
    <col min="66" max="67" width="8.28515625" style="55" customWidth="1"/>
    <col min="68" max="68" width="12.140625" style="55" customWidth="1"/>
    <col min="69" max="69" width="8.28515625" style="55" customWidth="1"/>
    <col min="70" max="70" width="11.42578125" style="55" customWidth="1"/>
    <col min="71" max="72" width="9.140625" style="55" customWidth="1"/>
    <col min="73" max="73" width="15.28515625" style="55" customWidth="1"/>
    <col min="74" max="74" width="15.140625" style="55" customWidth="1"/>
    <col min="75" max="75" width="14.7109375" style="65" customWidth="1"/>
    <col min="76" max="76" width="14" style="65" customWidth="1"/>
    <col min="77" max="77" width="14.28515625" style="65" customWidth="1"/>
    <col min="78" max="78" width="14.7109375" style="65" customWidth="1"/>
    <col min="79" max="79" width="24" style="65" customWidth="1"/>
    <col min="80" max="80" width="10.7109375" style="66" customWidth="1"/>
    <col min="81" max="82" width="11" style="66" customWidth="1"/>
    <col min="83" max="83" width="5.7109375" style="65" customWidth="1"/>
    <col min="84" max="84" width="8.7109375" style="65" customWidth="1"/>
    <col min="85" max="85" width="15" style="65" customWidth="1"/>
    <col min="86" max="86" width="7.85546875" style="90" customWidth="1"/>
    <col min="87" max="87" width="5.7109375" style="90" customWidth="1"/>
    <col min="88" max="88" width="6.7109375" style="65" customWidth="1"/>
    <col min="89" max="90" width="5.7109375" style="65" customWidth="1"/>
    <col min="91" max="92" width="8" style="65" customWidth="1"/>
    <col min="93" max="94" width="5.7109375" style="65" customWidth="1"/>
    <col min="95" max="95" width="14.42578125" style="65" customWidth="1"/>
    <col min="96" max="97" width="5.7109375" style="65" customWidth="1"/>
    <col min="98" max="99" width="9.140625" style="65" customWidth="1"/>
    <col min="100" max="100" width="11.42578125" style="65" customWidth="1"/>
    <col min="101" max="102" width="9.140625" style="65" customWidth="1"/>
    <col min="103" max="103" width="10.7109375" style="65" customWidth="1"/>
    <col min="104" max="104" width="11.85546875" style="65" customWidth="1"/>
    <col min="105" max="105" width="16.42578125" style="65" customWidth="1"/>
    <col min="106" max="106" width="8" style="65" customWidth="1"/>
    <col min="107" max="107" width="8.85546875" style="65" customWidth="1"/>
    <col min="108" max="109" width="5.7109375" style="65" customWidth="1"/>
    <col min="110" max="110" width="26" style="65" customWidth="1"/>
    <col min="111" max="111" width="12.42578125" style="65" customWidth="1"/>
    <col min="112" max="112" width="12.140625" style="65" bestFit="1" customWidth="1"/>
    <col min="113" max="114" width="7" style="65" customWidth="1"/>
    <col min="115" max="115" width="11.7109375" style="65" customWidth="1"/>
    <col min="116" max="116" width="8.7109375" style="65" customWidth="1"/>
    <col min="117" max="120" width="28.42578125" style="65" customWidth="1"/>
    <col min="121" max="122" width="9.140625" style="165"/>
    <col min="123" max="124" width="9.140625" style="162"/>
    <col min="125" max="125" width="14" style="65" customWidth="1"/>
    <col min="126" max="129" width="9.140625" style="65"/>
    <col min="130" max="130" width="14.7109375" style="65" customWidth="1"/>
    <col min="131" max="134" width="8.42578125" style="65" customWidth="1"/>
    <col min="135" max="135" width="14" style="65" customWidth="1"/>
    <col min="136" max="136" width="6.85546875" style="65" customWidth="1"/>
    <col min="137" max="137" width="6.42578125" style="65" customWidth="1"/>
    <col min="138" max="138" width="8.42578125" style="65" customWidth="1"/>
    <col min="139" max="139" width="8.85546875" style="65" customWidth="1"/>
    <col min="140" max="140" width="14.140625" style="65" customWidth="1"/>
    <col min="141" max="141" width="14.42578125" style="90" bestFit="1" customWidth="1"/>
    <col min="142" max="142" width="9.140625" style="90"/>
    <col min="143" max="143" width="11.42578125" style="65" customWidth="1"/>
    <col min="144" max="144" width="11" style="65" customWidth="1"/>
    <col min="145" max="145" width="16.42578125" style="65" customWidth="1"/>
    <col min="146" max="146" width="10.140625" style="65" customWidth="1"/>
    <col min="147" max="147" width="10.42578125" style="65" customWidth="1"/>
    <col min="148" max="149" width="6.7109375" style="65" customWidth="1"/>
    <col min="150" max="150" width="16.42578125" style="65" customWidth="1"/>
    <col min="151" max="151" width="14" style="65" customWidth="1"/>
    <col min="152" max="152" width="12.7109375" style="65" customWidth="1"/>
    <col min="153" max="153" width="15.42578125" style="65" customWidth="1"/>
    <col min="154" max="154" width="15.85546875" style="65" customWidth="1"/>
    <col min="155" max="155" width="20.140625" style="65" customWidth="1"/>
    <col min="156" max="156" width="11.42578125" style="65" customWidth="1"/>
    <col min="157" max="157" width="12" style="65" customWidth="1"/>
    <col min="158" max="158" width="14.85546875" style="65" customWidth="1"/>
    <col min="159" max="159" width="15" style="65" customWidth="1"/>
    <col min="160" max="160" width="19.42578125" style="65" customWidth="1"/>
    <col min="161" max="161" width="9.7109375" style="65" customWidth="1"/>
    <col min="162" max="162" width="8" style="65" customWidth="1"/>
    <col min="163" max="163" width="8.28515625" style="65" customWidth="1"/>
    <col min="164" max="164" width="8.42578125" style="65" customWidth="1"/>
    <col min="165" max="165" width="12.85546875" style="65" customWidth="1"/>
    <col min="166" max="166" width="10.28515625" style="65" customWidth="1"/>
    <col min="167" max="167" width="9.42578125" style="65" customWidth="1"/>
    <col min="168" max="168" width="6.7109375" style="65" customWidth="1"/>
    <col min="169" max="169" width="5.7109375" style="65" customWidth="1"/>
    <col min="170" max="170" width="8.42578125" style="65" customWidth="1"/>
    <col min="171" max="171" width="10.140625" style="65" customWidth="1"/>
    <col min="172" max="172" width="10.28515625" style="65" customWidth="1"/>
    <col min="173" max="173" width="7.7109375" style="65" customWidth="1"/>
    <col min="174" max="174" width="10.28515625" style="65" customWidth="1"/>
    <col min="175" max="175" width="11.7109375" style="65" customWidth="1"/>
    <col min="176" max="177" width="9.85546875" style="65" customWidth="1"/>
    <col min="178" max="178" width="13.85546875" style="65" customWidth="1"/>
    <col min="179" max="179" width="13.42578125" style="65" customWidth="1"/>
    <col min="180" max="180" width="20" style="65" customWidth="1"/>
    <col min="181" max="181" width="8.7109375" style="65" customWidth="1"/>
    <col min="182" max="182" width="6.42578125" style="65" customWidth="1"/>
    <col min="183" max="183" width="6.7109375" style="65" customWidth="1"/>
    <col min="184" max="184" width="8.7109375" style="65" customWidth="1"/>
    <col min="185" max="185" width="13" style="65" customWidth="1"/>
    <col min="186" max="186" width="8.140625" style="65" customWidth="1"/>
    <col min="187" max="187" width="7.42578125" style="65" customWidth="1"/>
    <col min="188" max="189" width="6.7109375" style="65" customWidth="1"/>
    <col min="190" max="190" width="12.28515625" style="65" customWidth="1"/>
    <col min="191" max="192" width="9.140625" style="65"/>
    <col min="193" max="193" width="11.42578125" style="65" customWidth="1"/>
    <col min="194" max="194" width="12" style="65" customWidth="1"/>
    <col min="195" max="195" width="16.42578125" style="65" customWidth="1"/>
    <col min="196" max="196" width="9.7109375" style="294" customWidth="1"/>
    <col min="197" max="198" width="9.85546875" style="294" customWidth="1"/>
    <col min="199" max="200" width="11" style="65" customWidth="1"/>
    <col min="201" max="201" width="15.42578125" style="65" customWidth="1"/>
    <col min="202" max="202" width="11.28515625" style="65" customWidth="1"/>
    <col min="203" max="203" width="10.85546875" style="65" customWidth="1"/>
    <col min="204" max="205" width="13.42578125" style="65" customWidth="1"/>
    <col min="206" max="206" width="18" style="65" customWidth="1"/>
    <col min="207" max="207" width="10" style="65" customWidth="1"/>
    <col min="208" max="208" width="9.42578125" style="65" customWidth="1"/>
    <col min="209" max="209" width="10.42578125" style="65" customWidth="1"/>
    <col min="210" max="210" width="10.85546875" style="65" customWidth="1"/>
    <col min="211" max="211" width="11.42578125" style="65" customWidth="1"/>
    <col min="212" max="212" width="10.42578125" style="65" customWidth="1"/>
    <col min="213" max="213" width="11" style="65" customWidth="1"/>
    <col min="214" max="214" width="14" style="65" customWidth="1"/>
    <col min="215" max="215" width="14.42578125" style="65" customWidth="1"/>
    <col min="216" max="216" width="12.85546875" style="65" customWidth="1"/>
    <col min="217" max="217" width="10.140625" style="65" customWidth="1"/>
    <col min="218" max="218" width="10" style="65" customWidth="1"/>
    <col min="219" max="220" width="12" style="65" customWidth="1"/>
    <col min="221" max="221" width="11" style="65" customWidth="1"/>
    <col min="222" max="222" width="15.7109375" style="65" customWidth="1"/>
    <col min="223" max="223" width="15.42578125" style="65" customWidth="1"/>
    <col min="224" max="225" width="18.85546875" style="65" customWidth="1"/>
    <col min="226" max="226" width="11" style="65" customWidth="1"/>
    <col min="227" max="227" width="11.42578125" style="65" customWidth="1"/>
    <col min="228" max="228" width="12" style="65" customWidth="1"/>
    <col min="229" max="229" width="12.85546875" style="65" customWidth="1"/>
    <col min="230" max="230" width="13.140625" style="65" customWidth="1"/>
    <col min="231" max="231" width="19.85546875" style="65" customWidth="1"/>
    <col min="232" max="232" width="10.85546875" style="65" customWidth="1"/>
    <col min="233" max="233" width="9.140625" style="65"/>
    <col min="234" max="235" width="11.42578125" style="65" customWidth="1"/>
    <col min="236" max="236" width="16.42578125" style="65" customWidth="1"/>
    <col min="237" max="237" width="15.7109375" style="65" bestFit="1" customWidth="1"/>
    <col min="238" max="238" width="13.140625" style="65" bestFit="1" customWidth="1"/>
    <col min="239" max="240" width="12" style="65" customWidth="1"/>
    <col min="241" max="241" width="12.42578125" style="65" customWidth="1"/>
    <col min="242" max="242" width="8.140625" style="65" customWidth="1"/>
    <col min="243" max="243" width="7" style="65" customWidth="1"/>
    <col min="244" max="245" width="11.140625" style="65" customWidth="1"/>
    <col min="246" max="246" width="11.42578125" style="65" customWidth="1"/>
    <col min="247" max="250" width="7.42578125" style="65" customWidth="1"/>
    <col min="251" max="251" width="13.42578125" style="65" customWidth="1"/>
    <col min="252" max="252" width="11.42578125" style="65" customWidth="1"/>
    <col min="253" max="253" width="11" style="65" customWidth="1"/>
    <col min="254" max="254" width="14" style="65" customWidth="1"/>
    <col min="255" max="255" width="14.42578125" style="65" customWidth="1"/>
    <col min="256" max="256" width="16" style="65" customWidth="1"/>
    <col min="257" max="257" width="8.140625" style="65" customWidth="1"/>
    <col min="258" max="258" width="8.28515625" style="65" customWidth="1"/>
    <col min="259" max="259" width="9.7109375" style="65" customWidth="1"/>
    <col min="260" max="260" width="10" style="65" customWidth="1"/>
    <col min="261" max="261" width="11.28515625" style="65" customWidth="1"/>
    <col min="262" max="264" width="9.28515625" style="65" customWidth="1"/>
    <col min="265" max="265" width="10" style="65" customWidth="1"/>
    <col min="266" max="266" width="11.42578125" style="65" customWidth="1"/>
    <col min="267" max="267" width="13.140625" style="65" bestFit="1" customWidth="1"/>
    <col min="268" max="268" width="9.7109375" style="65" bestFit="1" customWidth="1"/>
    <col min="269" max="269" width="10" style="65" customWidth="1"/>
    <col min="270" max="270" width="10.28515625" style="65" customWidth="1"/>
    <col min="271" max="271" width="14.28515625" style="65" customWidth="1"/>
    <col min="272" max="272" width="9.42578125" style="65" customWidth="1"/>
    <col min="273" max="273" width="9.140625" style="65" customWidth="1"/>
    <col min="274" max="274" width="9.85546875" style="65" customWidth="1"/>
    <col min="275" max="275" width="10.7109375" style="65" customWidth="1"/>
    <col min="276" max="276" width="12.42578125" style="65" customWidth="1"/>
    <col min="277" max="277" width="9.7109375" style="65" bestFit="1" customWidth="1"/>
    <col min="278" max="278" width="8.85546875" style="65" customWidth="1"/>
    <col min="279" max="279" width="6.42578125" style="65" customWidth="1"/>
    <col min="280" max="280" width="9" style="65" customWidth="1"/>
    <col min="281" max="282" width="39.28515625" style="55" customWidth="1"/>
    <col min="283" max="283" width="12.7109375" style="55" customWidth="1"/>
    <col min="284" max="284" width="10.42578125" style="12" customWidth="1"/>
    <col min="285" max="16384" width="9.140625" style="12"/>
  </cols>
  <sheetData>
    <row r="1" spans="1:286" s="212" customFormat="1" ht="24.75" customHeight="1" x14ac:dyDescent="0.25">
      <c r="A1" s="211" t="s">
        <v>7065</v>
      </c>
      <c r="B1" s="212" t="s">
        <v>7066</v>
      </c>
      <c r="C1" s="213" t="s">
        <v>109</v>
      </c>
      <c r="D1" s="177" t="s">
        <v>3042</v>
      </c>
      <c r="E1" s="214" t="s">
        <v>43</v>
      </c>
      <c r="F1" s="214"/>
      <c r="G1" s="177" t="s">
        <v>44</v>
      </c>
      <c r="H1" s="177" t="s">
        <v>6</v>
      </c>
      <c r="I1" s="177" t="s">
        <v>184</v>
      </c>
      <c r="J1" s="177" t="s">
        <v>87</v>
      </c>
      <c r="K1" s="177" t="s">
        <v>4</v>
      </c>
      <c r="L1" s="177" t="s">
        <v>2735</v>
      </c>
      <c r="M1" s="214" t="s">
        <v>3</v>
      </c>
      <c r="N1" s="214" t="s">
        <v>2</v>
      </c>
      <c r="O1" s="214" t="s">
        <v>86</v>
      </c>
      <c r="P1" s="177" t="s">
        <v>35</v>
      </c>
      <c r="Q1" s="177" t="s">
        <v>16</v>
      </c>
      <c r="R1" s="177" t="s">
        <v>36</v>
      </c>
      <c r="S1" s="214" t="s">
        <v>17</v>
      </c>
      <c r="T1" s="177" t="s">
        <v>18</v>
      </c>
      <c r="U1" s="177" t="s">
        <v>118</v>
      </c>
      <c r="V1" s="177" t="s">
        <v>1717</v>
      </c>
      <c r="W1" s="215" t="s">
        <v>6337</v>
      </c>
      <c r="X1" s="215" t="s">
        <v>6338</v>
      </c>
      <c r="Y1" s="177" t="s">
        <v>839</v>
      </c>
      <c r="Z1" s="177" t="s">
        <v>1674</v>
      </c>
      <c r="AA1" s="176" t="s">
        <v>6344</v>
      </c>
      <c r="AB1" s="179" t="s">
        <v>6996</v>
      </c>
      <c r="AC1" s="179" t="s">
        <v>6997</v>
      </c>
      <c r="AD1" s="214" t="s">
        <v>263</v>
      </c>
      <c r="AE1" s="214" t="s">
        <v>121</v>
      </c>
      <c r="AF1" s="214" t="s">
        <v>122</v>
      </c>
      <c r="AG1" s="214" t="s">
        <v>5135</v>
      </c>
      <c r="AH1" s="177" t="s">
        <v>15</v>
      </c>
      <c r="AI1" s="216" t="s">
        <v>188</v>
      </c>
      <c r="AJ1" s="214" t="s">
        <v>6316</v>
      </c>
      <c r="AK1" s="214" t="s">
        <v>4654</v>
      </c>
      <c r="AL1" s="177" t="s">
        <v>190</v>
      </c>
      <c r="AM1" s="177" t="s">
        <v>1273</v>
      </c>
      <c r="AN1" s="217" t="s">
        <v>0</v>
      </c>
      <c r="AO1" s="217" t="s">
        <v>7493</v>
      </c>
      <c r="AP1" s="218" t="s">
        <v>7071</v>
      </c>
      <c r="AQ1" s="177" t="s">
        <v>1465</v>
      </c>
      <c r="AR1" s="177" t="s">
        <v>1</v>
      </c>
      <c r="AS1" s="177" t="s">
        <v>1464</v>
      </c>
      <c r="AT1" s="219" t="s">
        <v>508</v>
      </c>
      <c r="AU1" s="219" t="s">
        <v>7496</v>
      </c>
      <c r="AV1" s="220" t="s">
        <v>7070</v>
      </c>
      <c r="AW1" s="177" t="s">
        <v>507</v>
      </c>
      <c r="AX1" s="220" t="s">
        <v>7070</v>
      </c>
      <c r="AY1" s="177" t="s">
        <v>509</v>
      </c>
      <c r="AZ1" s="177" t="s">
        <v>511</v>
      </c>
      <c r="BA1" s="177" t="s">
        <v>510</v>
      </c>
      <c r="BB1" s="177" t="s">
        <v>4480</v>
      </c>
      <c r="BC1" s="177" t="s">
        <v>4481</v>
      </c>
      <c r="BD1" s="177" t="s">
        <v>512</v>
      </c>
      <c r="BE1" s="221" t="s">
        <v>215</v>
      </c>
      <c r="BF1" s="222" t="s">
        <v>7074</v>
      </c>
      <c r="BG1" s="218" t="s">
        <v>7072</v>
      </c>
      <c r="BH1" s="223" t="s">
        <v>214</v>
      </c>
      <c r="BI1" s="218" t="s">
        <v>7073</v>
      </c>
      <c r="BJ1" s="177" t="s">
        <v>478</v>
      </c>
      <c r="BK1" s="177" t="s">
        <v>5480</v>
      </c>
      <c r="BL1" s="177" t="s">
        <v>5486</v>
      </c>
      <c r="BM1" s="224" t="s">
        <v>65</v>
      </c>
      <c r="BN1" s="177" t="s">
        <v>5136</v>
      </c>
      <c r="BO1" s="177" t="s">
        <v>5137</v>
      </c>
      <c r="BP1" s="177" t="s">
        <v>2061</v>
      </c>
      <c r="BQ1" s="177" t="s">
        <v>140</v>
      </c>
      <c r="BR1" s="177" t="s">
        <v>68</v>
      </c>
      <c r="BS1" s="177" t="s">
        <v>67</v>
      </c>
      <c r="BT1" s="177" t="s">
        <v>943</v>
      </c>
      <c r="BU1" s="177" t="s">
        <v>588</v>
      </c>
      <c r="BV1" s="177" t="s">
        <v>142</v>
      </c>
      <c r="BW1" s="179" t="s">
        <v>1084</v>
      </c>
      <c r="BX1" s="179" t="s">
        <v>1085</v>
      </c>
      <c r="BY1" s="179" t="s">
        <v>1722</v>
      </c>
      <c r="BZ1" s="179" t="s">
        <v>1723</v>
      </c>
      <c r="CA1" s="179" t="s">
        <v>2390</v>
      </c>
      <c r="CB1" s="178" t="s">
        <v>783</v>
      </c>
      <c r="CC1" s="178" t="s">
        <v>784</v>
      </c>
      <c r="CD1" s="178" t="s">
        <v>7491</v>
      </c>
      <c r="CE1" s="179" t="s">
        <v>1720</v>
      </c>
      <c r="CF1" s="179" t="s">
        <v>1721</v>
      </c>
      <c r="CG1" s="179" t="s">
        <v>2391</v>
      </c>
      <c r="CH1" s="214" t="s">
        <v>24</v>
      </c>
      <c r="CI1" s="214" t="s">
        <v>23</v>
      </c>
      <c r="CJ1" s="179" t="s">
        <v>1724</v>
      </c>
      <c r="CK1" s="179" t="s">
        <v>1725</v>
      </c>
      <c r="CL1" s="179" t="s">
        <v>2392</v>
      </c>
      <c r="CM1" s="179" t="s">
        <v>10</v>
      </c>
      <c r="CN1" s="179" t="s">
        <v>9</v>
      </c>
      <c r="CO1" s="179" t="s">
        <v>3484</v>
      </c>
      <c r="CP1" s="179" t="s">
        <v>3485</v>
      </c>
      <c r="CQ1" s="179" t="s">
        <v>2393</v>
      </c>
      <c r="CR1" s="179" t="s">
        <v>3043</v>
      </c>
      <c r="CS1" s="179" t="s">
        <v>3044</v>
      </c>
      <c r="CT1" s="179" t="s">
        <v>1726</v>
      </c>
      <c r="CU1" s="179" t="s">
        <v>1727</v>
      </c>
      <c r="CV1" s="179" t="s">
        <v>4340</v>
      </c>
      <c r="CW1" s="179" t="s">
        <v>4661</v>
      </c>
      <c r="CX1" s="179" t="s">
        <v>4662</v>
      </c>
      <c r="CY1" s="179" t="s">
        <v>4663</v>
      </c>
      <c r="CZ1" s="179" t="s">
        <v>4664</v>
      </c>
      <c r="DA1" s="179" t="s">
        <v>4665</v>
      </c>
      <c r="DB1" s="179" t="s">
        <v>230</v>
      </c>
      <c r="DC1" s="179" t="s">
        <v>231</v>
      </c>
      <c r="DD1" s="179" t="s">
        <v>1728</v>
      </c>
      <c r="DE1" s="179" t="s">
        <v>1729</v>
      </c>
      <c r="DF1" s="179" t="s">
        <v>2394</v>
      </c>
      <c r="DG1" s="179" t="s">
        <v>20</v>
      </c>
      <c r="DH1" s="179" t="s">
        <v>19</v>
      </c>
      <c r="DI1" s="179" t="s">
        <v>1730</v>
      </c>
      <c r="DJ1" s="179" t="s">
        <v>1731</v>
      </c>
      <c r="DK1" s="179" t="s">
        <v>2395</v>
      </c>
      <c r="DL1" s="179" t="s">
        <v>22</v>
      </c>
      <c r="DM1" s="179" t="s">
        <v>21</v>
      </c>
      <c r="DN1" s="179" t="s">
        <v>1732</v>
      </c>
      <c r="DO1" s="179" t="s">
        <v>1733</v>
      </c>
      <c r="DP1" s="179" t="s">
        <v>7058</v>
      </c>
      <c r="DQ1" s="225" t="s">
        <v>12</v>
      </c>
      <c r="DR1" s="225" t="s">
        <v>11</v>
      </c>
      <c r="DS1" s="225" t="s">
        <v>1734</v>
      </c>
      <c r="DT1" s="225" t="s">
        <v>1735</v>
      </c>
      <c r="DU1" s="179" t="s">
        <v>7059</v>
      </c>
      <c r="DV1" s="179" t="s">
        <v>30</v>
      </c>
      <c r="DW1" s="179" t="s">
        <v>29</v>
      </c>
      <c r="DX1" s="179" t="s">
        <v>1736</v>
      </c>
      <c r="DY1" s="179" t="s">
        <v>1737</v>
      </c>
      <c r="DZ1" s="179" t="s">
        <v>7060</v>
      </c>
      <c r="EA1" s="179" t="s">
        <v>32</v>
      </c>
      <c r="EB1" s="179" t="s">
        <v>31</v>
      </c>
      <c r="EC1" s="179" t="s">
        <v>1738</v>
      </c>
      <c r="ED1" s="179" t="s">
        <v>1739</v>
      </c>
      <c r="EE1" s="179" t="s">
        <v>7061</v>
      </c>
      <c r="EF1" s="179" t="s">
        <v>34</v>
      </c>
      <c r="EG1" s="179" t="s">
        <v>33</v>
      </c>
      <c r="EH1" s="179" t="s">
        <v>1740</v>
      </c>
      <c r="EI1" s="179" t="s">
        <v>1741</v>
      </c>
      <c r="EJ1" s="179" t="s">
        <v>7062</v>
      </c>
      <c r="EK1" s="214" t="s">
        <v>26</v>
      </c>
      <c r="EL1" s="214" t="s">
        <v>25</v>
      </c>
      <c r="EM1" s="179" t="s">
        <v>1742</v>
      </c>
      <c r="EN1" s="179" t="s">
        <v>1743</v>
      </c>
      <c r="EO1" s="179" t="s">
        <v>7063</v>
      </c>
      <c r="EP1" s="179" t="s">
        <v>884</v>
      </c>
      <c r="EQ1" s="179" t="s">
        <v>885</v>
      </c>
      <c r="ER1" s="179" t="s">
        <v>1744</v>
      </c>
      <c r="ES1" s="179" t="s">
        <v>1745</v>
      </c>
      <c r="ET1" s="179" t="s">
        <v>7064</v>
      </c>
      <c r="EU1" s="179" t="s">
        <v>28</v>
      </c>
      <c r="EV1" s="179" t="s">
        <v>27</v>
      </c>
      <c r="EW1" s="179" t="s">
        <v>1746</v>
      </c>
      <c r="EX1" s="179" t="s">
        <v>1747</v>
      </c>
      <c r="EY1" s="179" t="s">
        <v>2396</v>
      </c>
      <c r="EZ1" s="179" t="s">
        <v>40</v>
      </c>
      <c r="FA1" s="179" t="s">
        <v>39</v>
      </c>
      <c r="FB1" s="179" t="s">
        <v>1748</v>
      </c>
      <c r="FC1" s="179" t="s">
        <v>1749</v>
      </c>
      <c r="FD1" s="179" t="s">
        <v>2397</v>
      </c>
      <c r="FE1" s="179" t="s">
        <v>1750</v>
      </c>
      <c r="FF1" s="179" t="s">
        <v>1751</v>
      </c>
      <c r="FG1" s="179" t="s">
        <v>1752</v>
      </c>
      <c r="FH1" s="179" t="s">
        <v>1753</v>
      </c>
      <c r="FI1" s="179" t="s">
        <v>2398</v>
      </c>
      <c r="FJ1" s="179" t="s">
        <v>981</v>
      </c>
      <c r="FK1" s="179" t="s">
        <v>982</v>
      </c>
      <c r="FL1" s="179" t="s">
        <v>1755</v>
      </c>
      <c r="FM1" s="179" t="s">
        <v>1756</v>
      </c>
      <c r="FN1" s="179" t="s">
        <v>2399</v>
      </c>
      <c r="FO1" s="179" t="s">
        <v>1459</v>
      </c>
      <c r="FP1" s="179" t="s">
        <v>2475</v>
      </c>
      <c r="FQ1" s="179" t="s">
        <v>1757</v>
      </c>
      <c r="FR1" s="179" t="s">
        <v>6346</v>
      </c>
      <c r="FS1" s="179" t="s">
        <v>2400</v>
      </c>
      <c r="FT1" s="179" t="s">
        <v>1462</v>
      </c>
      <c r="FU1" s="179" t="s">
        <v>1463</v>
      </c>
      <c r="FV1" s="179" t="s">
        <v>1758</v>
      </c>
      <c r="FW1" s="179" t="s">
        <v>1759</v>
      </c>
      <c r="FX1" s="179" t="s">
        <v>2401</v>
      </c>
      <c r="FY1" s="179" t="s">
        <v>59</v>
      </c>
      <c r="FZ1" s="179" t="s">
        <v>60</v>
      </c>
      <c r="GA1" s="179" t="s">
        <v>1760</v>
      </c>
      <c r="GB1" s="179" t="s">
        <v>1761</v>
      </c>
      <c r="GC1" s="179" t="s">
        <v>2402</v>
      </c>
      <c r="GD1" s="179" t="s">
        <v>61</v>
      </c>
      <c r="GE1" s="179" t="s">
        <v>62</v>
      </c>
      <c r="GF1" s="179" t="s">
        <v>1762</v>
      </c>
      <c r="GG1" s="179" t="s">
        <v>1763</v>
      </c>
      <c r="GH1" s="179" t="s">
        <v>2403</v>
      </c>
      <c r="GI1" s="179" t="s">
        <v>38</v>
      </c>
      <c r="GJ1" s="179" t="s">
        <v>37</v>
      </c>
      <c r="GK1" s="179" t="s">
        <v>1764</v>
      </c>
      <c r="GL1" s="179" t="s">
        <v>1765</v>
      </c>
      <c r="GM1" s="179" t="s">
        <v>2404</v>
      </c>
      <c r="GN1" s="291" t="s">
        <v>146</v>
      </c>
      <c r="GO1" s="291" t="s">
        <v>145</v>
      </c>
      <c r="GP1" s="291" t="s">
        <v>7495</v>
      </c>
      <c r="GQ1" s="179" t="s">
        <v>1766</v>
      </c>
      <c r="GR1" s="179" t="s">
        <v>1767</v>
      </c>
      <c r="GS1" s="179" t="s">
        <v>2405</v>
      </c>
      <c r="GT1" s="179" t="s">
        <v>342</v>
      </c>
      <c r="GU1" s="179" t="s">
        <v>341</v>
      </c>
      <c r="GV1" s="179" t="s">
        <v>1768</v>
      </c>
      <c r="GW1" s="179" t="s">
        <v>1769</v>
      </c>
      <c r="GX1" s="179" t="s">
        <v>2406</v>
      </c>
      <c r="GY1" s="179" t="s">
        <v>1651</v>
      </c>
      <c r="GZ1" s="179" t="s">
        <v>1652</v>
      </c>
      <c r="HA1" s="179" t="s">
        <v>1770</v>
      </c>
      <c r="HB1" s="179" t="s">
        <v>1771</v>
      </c>
      <c r="HC1" s="179" t="s">
        <v>2407</v>
      </c>
      <c r="HD1" s="179" t="s">
        <v>1668</v>
      </c>
      <c r="HE1" s="179" t="s">
        <v>1669</v>
      </c>
      <c r="HF1" s="179" t="s">
        <v>1772</v>
      </c>
      <c r="HG1" s="179" t="s">
        <v>1773</v>
      </c>
      <c r="HH1" s="179" t="s">
        <v>2408</v>
      </c>
      <c r="HI1" s="179" t="s">
        <v>1654</v>
      </c>
      <c r="HJ1" s="179" t="s">
        <v>1655</v>
      </c>
      <c r="HK1" s="179" t="s">
        <v>1774</v>
      </c>
      <c r="HL1" s="179" t="s">
        <v>1775</v>
      </c>
      <c r="HM1" s="179" t="s">
        <v>2409</v>
      </c>
      <c r="HN1" s="179" t="s">
        <v>1671</v>
      </c>
      <c r="HO1" s="179" t="s">
        <v>1672</v>
      </c>
      <c r="HP1" s="179" t="s">
        <v>1776</v>
      </c>
      <c r="HQ1" s="179" t="s">
        <v>1777</v>
      </c>
      <c r="HR1" s="179" t="s">
        <v>2410</v>
      </c>
      <c r="HS1" s="179" t="s">
        <v>1691</v>
      </c>
      <c r="HT1" s="179" t="s">
        <v>1692</v>
      </c>
      <c r="HU1" s="179" t="s">
        <v>1778</v>
      </c>
      <c r="HV1" s="179" t="s">
        <v>1779</v>
      </c>
      <c r="HW1" s="179" t="s">
        <v>2411</v>
      </c>
      <c r="HX1" s="179" t="s">
        <v>93</v>
      </c>
      <c r="HY1" s="179" t="s">
        <v>92</v>
      </c>
      <c r="HZ1" s="179" t="s">
        <v>1780</v>
      </c>
      <c r="IA1" s="179" t="s">
        <v>1781</v>
      </c>
      <c r="IB1" s="179" t="s">
        <v>2412</v>
      </c>
      <c r="IC1" s="179" t="s">
        <v>95</v>
      </c>
      <c r="ID1" s="179" t="s">
        <v>94</v>
      </c>
      <c r="IE1" s="179" t="s">
        <v>1782</v>
      </c>
      <c r="IF1" s="179" t="s">
        <v>1783</v>
      </c>
      <c r="IG1" s="179" t="s">
        <v>2413</v>
      </c>
      <c r="IH1" s="179" t="s">
        <v>1326</v>
      </c>
      <c r="II1" s="179" t="s">
        <v>1327</v>
      </c>
      <c r="IJ1" s="179" t="s">
        <v>1784</v>
      </c>
      <c r="IK1" s="179" t="s">
        <v>1785</v>
      </c>
      <c r="IL1" s="179" t="s">
        <v>2414</v>
      </c>
      <c r="IM1" s="179" t="s">
        <v>97</v>
      </c>
      <c r="IN1" s="179" t="s">
        <v>96</v>
      </c>
      <c r="IO1" s="179" t="s">
        <v>1786</v>
      </c>
      <c r="IP1" s="179" t="s">
        <v>1787</v>
      </c>
      <c r="IQ1" s="179" t="s">
        <v>2415</v>
      </c>
      <c r="IR1" s="179" t="s">
        <v>99</v>
      </c>
      <c r="IS1" s="179" t="s">
        <v>98</v>
      </c>
      <c r="IT1" s="179" t="s">
        <v>1788</v>
      </c>
      <c r="IU1" s="179" t="s">
        <v>1789</v>
      </c>
      <c r="IV1" s="179" t="s">
        <v>2416</v>
      </c>
      <c r="IW1" s="179" t="s">
        <v>1328</v>
      </c>
      <c r="IX1" s="179" t="s">
        <v>1329</v>
      </c>
      <c r="IY1" s="179" t="s">
        <v>1790</v>
      </c>
      <c r="IZ1" s="179" t="s">
        <v>1791</v>
      </c>
      <c r="JA1" s="179" t="s">
        <v>2417</v>
      </c>
      <c r="JB1" s="179" t="s">
        <v>1330</v>
      </c>
      <c r="JC1" s="179" t="s">
        <v>1331</v>
      </c>
      <c r="JD1" s="179" t="s">
        <v>1792</v>
      </c>
      <c r="JE1" s="179" t="s">
        <v>1793</v>
      </c>
      <c r="JF1" s="179" t="s">
        <v>2418</v>
      </c>
      <c r="JG1" s="179" t="s">
        <v>153</v>
      </c>
      <c r="JH1" s="179" t="s">
        <v>100</v>
      </c>
      <c r="JI1" s="179" t="s">
        <v>1794</v>
      </c>
      <c r="JJ1" s="179" t="s">
        <v>1795</v>
      </c>
      <c r="JK1" s="179" t="s">
        <v>2419</v>
      </c>
      <c r="JL1" s="179" t="s">
        <v>1057</v>
      </c>
      <c r="JM1" s="179" t="s">
        <v>1058</v>
      </c>
      <c r="JN1" s="179" t="s">
        <v>1796</v>
      </c>
      <c r="JO1" s="179" t="s">
        <v>1797</v>
      </c>
      <c r="JP1" s="179" t="s">
        <v>2420</v>
      </c>
      <c r="JQ1" s="179" t="s">
        <v>1115</v>
      </c>
      <c r="JR1" s="179" t="s">
        <v>1333</v>
      </c>
      <c r="JS1" s="179" t="s">
        <v>1332</v>
      </c>
      <c r="JT1" s="179" t="s">
        <v>1458</v>
      </c>
      <c r="JU1" s="177" t="s">
        <v>6342</v>
      </c>
      <c r="JV1" s="177" t="s">
        <v>6343</v>
      </c>
      <c r="JW1" s="177" t="s">
        <v>6341</v>
      </c>
    </row>
    <row r="2" spans="1:286" x14ac:dyDescent="0.25">
      <c r="A2" s="55">
        <v>1</v>
      </c>
      <c r="B2" s="12" t="s">
        <v>7067</v>
      </c>
      <c r="C2" s="155">
        <v>1</v>
      </c>
      <c r="D2" s="55" t="s">
        <v>3695</v>
      </c>
      <c r="E2" s="90" t="s">
        <v>110</v>
      </c>
      <c r="G2" s="55" t="s">
        <v>111</v>
      </c>
      <c r="H2" s="55">
        <v>2000</v>
      </c>
      <c r="J2" s="55" t="s">
        <v>112</v>
      </c>
      <c r="K2" s="55" t="s">
        <v>113</v>
      </c>
      <c r="L2" s="55" t="s">
        <v>2737</v>
      </c>
      <c r="M2" s="90">
        <v>40.71</v>
      </c>
      <c r="N2" s="90">
        <v>-74.010000000000005</v>
      </c>
      <c r="O2" s="90">
        <v>3.5</v>
      </c>
      <c r="Z2" s="55" t="s">
        <v>1344</v>
      </c>
      <c r="AA2" s="90" t="s">
        <v>1344</v>
      </c>
      <c r="AH2" s="55" t="s">
        <v>1572</v>
      </c>
      <c r="AN2" s="185" t="s">
        <v>1474</v>
      </c>
      <c r="AO2" s="185" t="s">
        <v>5150</v>
      </c>
      <c r="AQ2" s="55" t="s">
        <v>553</v>
      </c>
      <c r="AR2" s="55" t="s">
        <v>1574</v>
      </c>
      <c r="AS2" s="55" t="s">
        <v>1577</v>
      </c>
      <c r="AU2" s="181" t="s">
        <v>7494</v>
      </c>
      <c r="AV2" s="185" t="s">
        <v>5150</v>
      </c>
      <c r="AX2" s="185" t="s">
        <v>5150</v>
      </c>
      <c r="BK2" s="55" t="s">
        <v>5976</v>
      </c>
      <c r="BM2" s="192" t="s">
        <v>119</v>
      </c>
      <c r="GP2" s="292" t="s">
        <v>7494</v>
      </c>
      <c r="GT2" s="65">
        <v>6.6</v>
      </c>
      <c r="GU2" s="65">
        <v>7</v>
      </c>
      <c r="GX2" s="65" t="s">
        <v>120</v>
      </c>
      <c r="HS2" s="227"/>
      <c r="HW2" s="227"/>
      <c r="JU2" s="55" t="s">
        <v>686</v>
      </c>
    </row>
    <row r="3" spans="1:286" x14ac:dyDescent="0.25">
      <c r="A3" s="55">
        <v>2</v>
      </c>
      <c r="B3" s="12" t="s">
        <v>7067</v>
      </c>
      <c r="C3" s="155">
        <v>1</v>
      </c>
      <c r="D3" s="55" t="s">
        <v>3695</v>
      </c>
      <c r="E3" s="90" t="s">
        <v>110</v>
      </c>
      <c r="G3" s="55" t="s">
        <v>111</v>
      </c>
      <c r="H3" s="55">
        <v>2000</v>
      </c>
      <c r="J3" s="55" t="s">
        <v>112</v>
      </c>
      <c r="K3" s="55" t="s">
        <v>113</v>
      </c>
      <c r="L3" s="55" t="s">
        <v>2737</v>
      </c>
      <c r="M3" s="90">
        <v>40.71</v>
      </c>
      <c r="N3" s="90">
        <v>-74.010000000000005</v>
      </c>
      <c r="O3" s="90">
        <v>3.5</v>
      </c>
      <c r="Z3" s="55" t="s">
        <v>1344</v>
      </c>
      <c r="AA3" s="90" t="s">
        <v>1344</v>
      </c>
      <c r="AH3" s="55" t="s">
        <v>1572</v>
      </c>
      <c r="AN3" s="185" t="s">
        <v>241</v>
      </c>
      <c r="AO3" s="185" t="s">
        <v>5150</v>
      </c>
      <c r="AQ3" s="55" t="s">
        <v>553</v>
      </c>
      <c r="AR3" s="55" t="s">
        <v>1574</v>
      </c>
      <c r="AS3" s="55" t="s">
        <v>1577</v>
      </c>
      <c r="AU3" s="181" t="s">
        <v>7494</v>
      </c>
      <c r="AV3" s="185" t="s">
        <v>5150</v>
      </c>
      <c r="AX3" s="185" t="s">
        <v>5150</v>
      </c>
      <c r="BK3" s="55" t="s">
        <v>5976</v>
      </c>
      <c r="BM3" s="192" t="s">
        <v>119</v>
      </c>
      <c r="GP3" s="292" t="s">
        <v>7494</v>
      </c>
      <c r="GT3" s="65">
        <v>6.6</v>
      </c>
      <c r="GU3" s="65">
        <v>6</v>
      </c>
      <c r="GX3" s="65" t="s">
        <v>120</v>
      </c>
      <c r="HS3" s="227"/>
      <c r="HW3" s="227"/>
      <c r="JU3" s="55" t="s">
        <v>686</v>
      </c>
    </row>
    <row r="4" spans="1:286" x14ac:dyDescent="0.25">
      <c r="A4" s="55">
        <v>3</v>
      </c>
      <c r="B4" s="12" t="s">
        <v>7067</v>
      </c>
      <c r="C4" s="155">
        <v>1</v>
      </c>
      <c r="D4" s="55" t="s">
        <v>3696</v>
      </c>
      <c r="E4" s="90" t="s">
        <v>110</v>
      </c>
      <c r="G4" s="55" t="s">
        <v>111</v>
      </c>
      <c r="H4" s="55">
        <v>2000</v>
      </c>
      <c r="J4" s="55" t="s">
        <v>112</v>
      </c>
      <c r="K4" s="55" t="s">
        <v>113</v>
      </c>
      <c r="L4" s="55" t="s">
        <v>2737</v>
      </c>
      <c r="M4" s="90">
        <v>40.71</v>
      </c>
      <c r="N4" s="90">
        <v>-74.010000000000005</v>
      </c>
      <c r="O4" s="90">
        <v>3.5</v>
      </c>
      <c r="Z4" s="55" t="s">
        <v>1344</v>
      </c>
      <c r="AA4" s="90" t="s">
        <v>1344</v>
      </c>
      <c r="AH4" s="55" t="s">
        <v>1572</v>
      </c>
      <c r="AN4" s="185" t="s">
        <v>1475</v>
      </c>
      <c r="AO4" s="185" t="s">
        <v>5150</v>
      </c>
      <c r="AQ4" s="55" t="s">
        <v>1097</v>
      </c>
      <c r="AR4" s="55" t="s">
        <v>1574</v>
      </c>
      <c r="AS4" s="55" t="s">
        <v>1577</v>
      </c>
      <c r="AU4" s="181" t="s">
        <v>7494</v>
      </c>
      <c r="AV4" s="185" t="s">
        <v>5150</v>
      </c>
      <c r="AX4" s="185" t="s">
        <v>5150</v>
      </c>
      <c r="BK4" s="55" t="s">
        <v>5976</v>
      </c>
      <c r="BM4" s="192" t="s">
        <v>119</v>
      </c>
      <c r="CB4" s="66">
        <v>4862</v>
      </c>
      <c r="CC4" s="66">
        <f>3990</f>
        <v>3990</v>
      </c>
      <c r="GP4" s="292" t="s">
        <v>7494</v>
      </c>
      <c r="GT4" s="65">
        <v>6.6</v>
      </c>
      <c r="GU4" s="65">
        <v>5.9</v>
      </c>
      <c r="GX4" s="65" t="s">
        <v>120</v>
      </c>
      <c r="HS4" s="227"/>
      <c r="HW4" s="227"/>
      <c r="JU4" s="55" t="s">
        <v>686</v>
      </c>
    </row>
    <row r="5" spans="1:286" x14ac:dyDescent="0.25">
      <c r="A5" s="55">
        <v>4</v>
      </c>
      <c r="B5" s="12" t="s">
        <v>7067</v>
      </c>
      <c r="C5" s="155">
        <v>1</v>
      </c>
      <c r="D5" s="55" t="s">
        <v>3695</v>
      </c>
      <c r="E5" s="90" t="s">
        <v>110</v>
      </c>
      <c r="G5" s="55" t="s">
        <v>111</v>
      </c>
      <c r="H5" s="55">
        <v>2000</v>
      </c>
      <c r="J5" s="55" t="s">
        <v>112</v>
      </c>
      <c r="K5" s="55" t="s">
        <v>113</v>
      </c>
      <c r="L5" s="55" t="s">
        <v>2737</v>
      </c>
      <c r="M5" s="90">
        <v>40.71</v>
      </c>
      <c r="N5" s="90">
        <v>-74.010000000000005</v>
      </c>
      <c r="O5" s="90">
        <v>3.5</v>
      </c>
      <c r="Z5" s="55" t="s">
        <v>1344</v>
      </c>
      <c r="AA5" s="90" t="s">
        <v>1344</v>
      </c>
      <c r="AH5" s="55" t="s">
        <v>1572</v>
      </c>
      <c r="AN5" s="185" t="s">
        <v>114</v>
      </c>
      <c r="AO5" s="185" t="s">
        <v>5150</v>
      </c>
      <c r="AQ5" s="55" t="s">
        <v>553</v>
      </c>
      <c r="AR5" s="55" t="s">
        <v>1574</v>
      </c>
      <c r="AS5" s="55" t="s">
        <v>1577</v>
      </c>
      <c r="AU5" s="181" t="s">
        <v>7494</v>
      </c>
      <c r="AV5" s="185" t="s">
        <v>5150</v>
      </c>
      <c r="AX5" s="185" t="s">
        <v>5150</v>
      </c>
      <c r="BK5" s="55" t="s">
        <v>5976</v>
      </c>
      <c r="BM5" s="192" t="s">
        <v>119</v>
      </c>
      <c r="GP5" s="292" t="s">
        <v>7494</v>
      </c>
      <c r="GT5" s="65">
        <v>6.6</v>
      </c>
      <c r="GU5" s="65">
        <v>5.7</v>
      </c>
      <c r="GX5" s="65" t="s">
        <v>120</v>
      </c>
      <c r="HS5" s="227"/>
      <c r="HW5" s="227"/>
      <c r="JU5" s="55" t="s">
        <v>686</v>
      </c>
    </row>
    <row r="6" spans="1:286" x14ac:dyDescent="0.25">
      <c r="A6" s="55">
        <v>5</v>
      </c>
      <c r="B6" s="12" t="s">
        <v>7067</v>
      </c>
      <c r="C6" s="155">
        <v>1</v>
      </c>
      <c r="D6" s="55" t="s">
        <v>3697</v>
      </c>
      <c r="E6" s="90" t="s">
        <v>110</v>
      </c>
      <c r="G6" s="55" t="s">
        <v>111</v>
      </c>
      <c r="H6" s="55">
        <v>2000</v>
      </c>
      <c r="J6" s="55" t="s">
        <v>112</v>
      </c>
      <c r="K6" s="55" t="s">
        <v>113</v>
      </c>
      <c r="L6" s="55" t="s">
        <v>2737</v>
      </c>
      <c r="M6" s="90">
        <v>40.71</v>
      </c>
      <c r="N6" s="90">
        <v>-74.010000000000005</v>
      </c>
      <c r="O6" s="90">
        <v>3.5</v>
      </c>
      <c r="Z6" s="55" t="s">
        <v>1344</v>
      </c>
      <c r="AA6" s="90" t="s">
        <v>1344</v>
      </c>
      <c r="AH6" s="55" t="s">
        <v>1572</v>
      </c>
      <c r="AN6" s="185" t="s">
        <v>115</v>
      </c>
      <c r="AO6" s="185" t="s">
        <v>5150</v>
      </c>
      <c r="AQ6" s="55" t="s">
        <v>131</v>
      </c>
      <c r="AR6" s="55" t="s">
        <v>1574</v>
      </c>
      <c r="AS6" s="55" t="s">
        <v>1577</v>
      </c>
      <c r="AU6" s="181" t="s">
        <v>7494</v>
      </c>
      <c r="AV6" s="185" t="s">
        <v>5150</v>
      </c>
      <c r="AX6" s="185" t="s">
        <v>5150</v>
      </c>
      <c r="BK6" s="55" t="s">
        <v>5976</v>
      </c>
      <c r="BM6" s="192" t="s">
        <v>119</v>
      </c>
      <c r="GP6" s="292" t="s">
        <v>7494</v>
      </c>
      <c r="GT6" s="65">
        <v>6.6</v>
      </c>
      <c r="GU6" s="65">
        <v>5.6</v>
      </c>
      <c r="GX6" s="65" t="s">
        <v>120</v>
      </c>
      <c r="HS6" s="227"/>
      <c r="HW6" s="227"/>
      <c r="JU6" s="55" t="s">
        <v>686</v>
      </c>
    </row>
    <row r="7" spans="1:286" x14ac:dyDescent="0.25">
      <c r="A7" s="55">
        <v>6</v>
      </c>
      <c r="B7" s="12" t="s">
        <v>7067</v>
      </c>
      <c r="C7" s="155">
        <v>1</v>
      </c>
      <c r="D7" s="55" t="s">
        <v>3697</v>
      </c>
      <c r="E7" s="90" t="s">
        <v>110</v>
      </c>
      <c r="G7" s="55" t="s">
        <v>111</v>
      </c>
      <c r="H7" s="55">
        <v>2000</v>
      </c>
      <c r="J7" s="55" t="s">
        <v>112</v>
      </c>
      <c r="K7" s="55" t="s">
        <v>113</v>
      </c>
      <c r="L7" s="55" t="s">
        <v>2737</v>
      </c>
      <c r="M7" s="90">
        <v>40.71</v>
      </c>
      <c r="N7" s="90">
        <v>-74.010000000000005</v>
      </c>
      <c r="O7" s="90">
        <v>3.5</v>
      </c>
      <c r="Z7" s="55" t="s">
        <v>1344</v>
      </c>
      <c r="AA7" s="90" t="s">
        <v>1344</v>
      </c>
      <c r="AH7" s="55" t="s">
        <v>1572</v>
      </c>
      <c r="AN7" s="185" t="s">
        <v>496</v>
      </c>
      <c r="AO7" s="185" t="s">
        <v>5150</v>
      </c>
      <c r="AQ7" s="55" t="s">
        <v>1545</v>
      </c>
      <c r="AR7" s="55" t="s">
        <v>1574</v>
      </c>
      <c r="AS7" s="55" t="s">
        <v>1577</v>
      </c>
      <c r="AU7" s="181" t="s">
        <v>7494</v>
      </c>
      <c r="AV7" s="185" t="s">
        <v>5150</v>
      </c>
      <c r="AX7" s="185" t="s">
        <v>5150</v>
      </c>
      <c r="BK7" s="55" t="s">
        <v>5976</v>
      </c>
      <c r="BM7" s="192" t="s">
        <v>119</v>
      </c>
      <c r="GP7" s="292" t="s">
        <v>7494</v>
      </c>
      <c r="GT7" s="65">
        <v>6.6</v>
      </c>
      <c r="GU7" s="65">
        <v>5.2</v>
      </c>
      <c r="GX7" s="65" t="s">
        <v>120</v>
      </c>
      <c r="HS7" s="227"/>
      <c r="HW7" s="227"/>
      <c r="JU7" s="55" t="s">
        <v>686</v>
      </c>
    </row>
    <row r="8" spans="1:286" x14ac:dyDescent="0.25">
      <c r="A8" s="55">
        <v>7</v>
      </c>
      <c r="B8" s="12" t="s">
        <v>7067</v>
      </c>
      <c r="C8" s="155">
        <v>1</v>
      </c>
      <c r="D8" s="55" t="s">
        <v>3697</v>
      </c>
      <c r="E8" s="90" t="s">
        <v>110</v>
      </c>
      <c r="G8" s="55" t="s">
        <v>111</v>
      </c>
      <c r="H8" s="55">
        <v>2000</v>
      </c>
      <c r="J8" s="55" t="s">
        <v>112</v>
      </c>
      <c r="K8" s="55" t="s">
        <v>113</v>
      </c>
      <c r="L8" s="55" t="s">
        <v>2737</v>
      </c>
      <c r="M8" s="90">
        <v>40.71</v>
      </c>
      <c r="N8" s="90">
        <v>-74.010000000000005</v>
      </c>
      <c r="O8" s="90">
        <v>3.5</v>
      </c>
      <c r="Z8" s="55" t="s">
        <v>1344</v>
      </c>
      <c r="AA8" s="90" t="s">
        <v>1344</v>
      </c>
      <c r="AH8" s="55" t="s">
        <v>1572</v>
      </c>
      <c r="AN8" s="185" t="s">
        <v>1476</v>
      </c>
      <c r="AO8" s="185" t="s">
        <v>5150</v>
      </c>
      <c r="AQ8" s="55" t="s">
        <v>1545</v>
      </c>
      <c r="AR8" s="55" t="s">
        <v>1574</v>
      </c>
      <c r="AS8" s="55" t="s">
        <v>1577</v>
      </c>
      <c r="AU8" s="181" t="s">
        <v>7494</v>
      </c>
      <c r="AV8" s="185" t="s">
        <v>5150</v>
      </c>
      <c r="AX8" s="185" t="s">
        <v>5150</v>
      </c>
      <c r="BK8" s="55" t="s">
        <v>5976</v>
      </c>
      <c r="BM8" s="192" t="s">
        <v>119</v>
      </c>
      <c r="GP8" s="292" t="s">
        <v>7494</v>
      </c>
      <c r="GT8" s="65">
        <v>6.6</v>
      </c>
      <c r="GU8" s="65">
        <v>4.9000000000000004</v>
      </c>
      <c r="GX8" s="65" t="s">
        <v>120</v>
      </c>
      <c r="HS8" s="227"/>
      <c r="HW8" s="227"/>
      <c r="JU8" s="55" t="s">
        <v>686</v>
      </c>
    </row>
    <row r="9" spans="1:286" x14ac:dyDescent="0.25">
      <c r="A9" s="55">
        <v>8</v>
      </c>
      <c r="B9" s="12" t="s">
        <v>7067</v>
      </c>
      <c r="C9" s="155">
        <v>1</v>
      </c>
      <c r="D9" s="55" t="s">
        <v>3697</v>
      </c>
      <c r="E9" s="90" t="s">
        <v>110</v>
      </c>
      <c r="G9" s="55" t="s">
        <v>111</v>
      </c>
      <c r="H9" s="55">
        <v>2000</v>
      </c>
      <c r="J9" s="55" t="s">
        <v>112</v>
      </c>
      <c r="K9" s="55" t="s">
        <v>113</v>
      </c>
      <c r="L9" s="55" t="s">
        <v>2737</v>
      </c>
      <c r="M9" s="90">
        <v>40.71</v>
      </c>
      <c r="N9" s="90">
        <v>-74.010000000000005</v>
      </c>
      <c r="O9" s="90">
        <v>3.5</v>
      </c>
      <c r="Z9" s="55" t="s">
        <v>1344</v>
      </c>
      <c r="AA9" s="90" t="s">
        <v>1344</v>
      </c>
      <c r="AH9" s="55" t="s">
        <v>1572</v>
      </c>
      <c r="AN9" s="185" t="s">
        <v>1477</v>
      </c>
      <c r="AO9" s="185" t="s">
        <v>5150</v>
      </c>
      <c r="AQ9" s="55" t="s">
        <v>131</v>
      </c>
      <c r="AR9" s="55" t="s">
        <v>1574</v>
      </c>
      <c r="AS9" s="55" t="s">
        <v>1577</v>
      </c>
      <c r="AU9" s="181" t="s">
        <v>7494</v>
      </c>
      <c r="AV9" s="185" t="s">
        <v>5150</v>
      </c>
      <c r="AX9" s="185" t="s">
        <v>5150</v>
      </c>
      <c r="BK9" s="55" t="s">
        <v>5976</v>
      </c>
      <c r="BM9" s="192" t="s">
        <v>119</v>
      </c>
      <c r="CB9" s="66">
        <v>4862</v>
      </c>
      <c r="CC9" s="66">
        <v>5240</v>
      </c>
      <c r="GP9" s="292" t="s">
        <v>7494</v>
      </c>
      <c r="GT9" s="65">
        <v>6.6</v>
      </c>
      <c r="GU9" s="65">
        <v>4.7</v>
      </c>
      <c r="GX9" s="65" t="s">
        <v>120</v>
      </c>
      <c r="HS9" s="227"/>
      <c r="HW9" s="227"/>
      <c r="JU9" s="55" t="s">
        <v>686</v>
      </c>
    </row>
    <row r="10" spans="1:286" x14ac:dyDescent="0.25">
      <c r="A10" s="55">
        <v>9</v>
      </c>
      <c r="B10" s="12" t="s">
        <v>7067</v>
      </c>
      <c r="C10" s="155">
        <v>1</v>
      </c>
      <c r="D10" s="55" t="s">
        <v>3697</v>
      </c>
      <c r="E10" s="90" t="s">
        <v>110</v>
      </c>
      <c r="G10" s="55" t="s">
        <v>111</v>
      </c>
      <c r="H10" s="55">
        <v>2000</v>
      </c>
      <c r="J10" s="55" t="s">
        <v>112</v>
      </c>
      <c r="K10" s="55" t="s">
        <v>113</v>
      </c>
      <c r="L10" s="55" t="s">
        <v>2737</v>
      </c>
      <c r="M10" s="90">
        <v>40.71</v>
      </c>
      <c r="N10" s="90">
        <v>-74.010000000000005</v>
      </c>
      <c r="O10" s="90">
        <v>3.5</v>
      </c>
      <c r="Z10" s="55" t="s">
        <v>1344</v>
      </c>
      <c r="AA10" s="90" t="s">
        <v>1344</v>
      </c>
      <c r="AH10" s="55" t="s">
        <v>1572</v>
      </c>
      <c r="AN10" s="185" t="s">
        <v>116</v>
      </c>
      <c r="AO10" s="185" t="s">
        <v>5150</v>
      </c>
      <c r="AQ10" s="55" t="s">
        <v>1545</v>
      </c>
      <c r="AR10" s="55" t="s">
        <v>1574</v>
      </c>
      <c r="AS10" s="55" t="s">
        <v>1577</v>
      </c>
      <c r="AU10" s="181" t="s">
        <v>7494</v>
      </c>
      <c r="AV10" s="185" t="s">
        <v>5150</v>
      </c>
      <c r="AX10" s="185" t="s">
        <v>5150</v>
      </c>
      <c r="BK10" s="55" t="s">
        <v>5976</v>
      </c>
      <c r="BM10" s="192" t="s">
        <v>119</v>
      </c>
      <c r="GP10" s="292" t="s">
        <v>7494</v>
      </c>
      <c r="GT10" s="65">
        <v>6.6</v>
      </c>
      <c r="GU10" s="65">
        <v>4.5999999999999996</v>
      </c>
      <c r="GX10" s="65" t="s">
        <v>120</v>
      </c>
      <c r="HS10" s="227"/>
      <c r="HW10" s="227"/>
      <c r="JU10" s="55" t="s">
        <v>686</v>
      </c>
    </row>
    <row r="11" spans="1:286" s="175" customFormat="1" x14ac:dyDescent="0.25">
      <c r="A11" s="55">
        <v>10</v>
      </c>
      <c r="B11" s="12" t="s">
        <v>7067</v>
      </c>
      <c r="C11" s="155">
        <v>1</v>
      </c>
      <c r="D11" s="55" t="s">
        <v>3695</v>
      </c>
      <c r="E11" s="90" t="s">
        <v>110</v>
      </c>
      <c r="F11" s="90"/>
      <c r="G11" s="55" t="s">
        <v>111</v>
      </c>
      <c r="H11" s="55">
        <v>2000</v>
      </c>
      <c r="I11" s="55"/>
      <c r="J11" s="55" t="s">
        <v>112</v>
      </c>
      <c r="K11" s="55" t="s">
        <v>113</v>
      </c>
      <c r="L11" s="55" t="s">
        <v>2737</v>
      </c>
      <c r="M11" s="90">
        <v>40.71</v>
      </c>
      <c r="N11" s="90">
        <v>-74.010000000000005</v>
      </c>
      <c r="O11" s="90">
        <v>3.5</v>
      </c>
      <c r="P11" s="55"/>
      <c r="Q11" s="55"/>
      <c r="R11" s="55"/>
      <c r="S11" s="90"/>
      <c r="T11" s="55"/>
      <c r="U11" s="55"/>
      <c r="V11" s="55"/>
      <c r="W11" s="173"/>
      <c r="X11" s="173"/>
      <c r="Y11" s="55"/>
      <c r="Z11" s="55" t="s">
        <v>1344</v>
      </c>
      <c r="AA11" s="90" t="s">
        <v>1344</v>
      </c>
      <c r="AB11" s="65"/>
      <c r="AC11" s="65"/>
      <c r="AD11" s="90"/>
      <c r="AE11" s="90"/>
      <c r="AF11" s="90"/>
      <c r="AG11" s="90"/>
      <c r="AH11" s="55" t="s">
        <v>1572</v>
      </c>
      <c r="AI11" s="168"/>
      <c r="AJ11" s="90"/>
      <c r="AK11" s="90"/>
      <c r="AL11" s="55"/>
      <c r="AM11" s="55"/>
      <c r="AN11" s="185" t="s">
        <v>1478</v>
      </c>
      <c r="AO11" s="185" t="s">
        <v>5150</v>
      </c>
      <c r="AP11" s="55"/>
      <c r="AQ11" s="55" t="s">
        <v>553</v>
      </c>
      <c r="AR11" s="55" t="s">
        <v>1574</v>
      </c>
      <c r="AS11" s="55" t="s">
        <v>1577</v>
      </c>
      <c r="AT11" s="181"/>
      <c r="AU11" s="181" t="s">
        <v>7494</v>
      </c>
      <c r="AV11" s="185" t="s">
        <v>5150</v>
      </c>
      <c r="AW11" s="55"/>
      <c r="AX11" s="185" t="s">
        <v>5150</v>
      </c>
      <c r="AY11" s="55"/>
      <c r="AZ11" s="55"/>
      <c r="BA11" s="55"/>
      <c r="BB11" s="55"/>
      <c r="BC11" s="55"/>
      <c r="BD11" s="55"/>
      <c r="BE11" s="226"/>
      <c r="BF11" s="55"/>
      <c r="BG11" s="55"/>
      <c r="BH11" s="226"/>
      <c r="BI11" s="55"/>
      <c r="BJ11" s="55"/>
      <c r="BK11" s="55" t="s">
        <v>5976</v>
      </c>
      <c r="BL11" s="55"/>
      <c r="BM11" s="192" t="s">
        <v>119</v>
      </c>
      <c r="BN11" s="55"/>
      <c r="BO11" s="55"/>
      <c r="BP11" s="55"/>
      <c r="BQ11" s="55"/>
      <c r="BR11" s="55"/>
      <c r="BS11" s="55"/>
      <c r="BT11" s="55"/>
      <c r="BU11" s="55"/>
      <c r="BV11" s="55"/>
      <c r="BW11" s="65"/>
      <c r="BX11" s="65"/>
      <c r="BY11" s="65"/>
      <c r="BZ11" s="65"/>
      <c r="CA11" s="65"/>
      <c r="CB11" s="66"/>
      <c r="CC11" s="66"/>
      <c r="CD11" s="66"/>
      <c r="CE11" s="65"/>
      <c r="CF11" s="65"/>
      <c r="CG11" s="65"/>
      <c r="CH11" s="90"/>
      <c r="CI11" s="90"/>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165"/>
      <c r="DR11" s="165"/>
      <c r="DS11" s="162"/>
      <c r="DT11" s="162"/>
      <c r="DU11" s="65"/>
      <c r="DV11" s="65"/>
      <c r="DW11" s="65"/>
      <c r="DX11" s="65"/>
      <c r="DY11" s="65"/>
      <c r="DZ11" s="65"/>
      <c r="EA11" s="65"/>
      <c r="EB11" s="65"/>
      <c r="EC11" s="65"/>
      <c r="ED11" s="65"/>
      <c r="EE11" s="65"/>
      <c r="EF11" s="65"/>
      <c r="EG11" s="65"/>
      <c r="EH11" s="65"/>
      <c r="EI11" s="65"/>
      <c r="EJ11" s="65"/>
      <c r="EK11" s="90"/>
      <c r="EL11" s="90"/>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65"/>
      <c r="GH11" s="65"/>
      <c r="GI11" s="65"/>
      <c r="GJ11" s="65"/>
      <c r="GK11" s="65"/>
      <c r="GL11" s="65"/>
      <c r="GM11" s="65"/>
      <c r="GN11" s="294"/>
      <c r="GO11" s="294"/>
      <c r="GP11" s="292" t="s">
        <v>7494</v>
      </c>
      <c r="GQ11" s="65"/>
      <c r="GR11" s="65"/>
      <c r="GS11" s="65"/>
      <c r="GT11" s="65">
        <v>6.6</v>
      </c>
      <c r="GU11" s="65">
        <v>4.3</v>
      </c>
      <c r="GV11" s="65"/>
      <c r="GW11" s="65"/>
      <c r="GX11" s="65" t="s">
        <v>120</v>
      </c>
      <c r="GY11" s="65"/>
      <c r="GZ11" s="65"/>
      <c r="HA11" s="65"/>
      <c r="HB11" s="65"/>
      <c r="HC11" s="65"/>
      <c r="HD11" s="65"/>
      <c r="HE11" s="65"/>
      <c r="HF11" s="65"/>
      <c r="HG11" s="65"/>
      <c r="HH11" s="65"/>
      <c r="HI11" s="65"/>
      <c r="HJ11" s="65"/>
      <c r="HK11" s="65"/>
      <c r="HL11" s="65"/>
      <c r="HM11" s="65"/>
      <c r="HN11" s="65"/>
      <c r="HO11" s="65"/>
      <c r="HP11" s="65"/>
      <c r="HQ11" s="65"/>
      <c r="HR11" s="65"/>
      <c r="HS11" s="227"/>
      <c r="HT11" s="65"/>
      <c r="HU11" s="65"/>
      <c r="HV11" s="65"/>
      <c r="HW11" s="227"/>
      <c r="HX11" s="65"/>
      <c r="HY11" s="65"/>
      <c r="HZ11" s="65"/>
      <c r="IA11" s="65"/>
      <c r="IB11" s="65"/>
      <c r="IC11" s="65"/>
      <c r="ID11" s="65"/>
      <c r="IE11" s="65"/>
      <c r="IF11" s="65"/>
      <c r="IG11" s="65"/>
      <c r="IH11" s="65"/>
      <c r="II11" s="65"/>
      <c r="IJ11" s="65"/>
      <c r="IK11" s="65"/>
      <c r="IL11" s="65"/>
      <c r="IM11" s="65"/>
      <c r="IN11" s="65"/>
      <c r="IO11" s="65"/>
      <c r="IP11" s="65"/>
      <c r="IQ11" s="65"/>
      <c r="IR11" s="65"/>
      <c r="IS11" s="65"/>
      <c r="IT11" s="65"/>
      <c r="IU11" s="65"/>
      <c r="IV11" s="65"/>
      <c r="IW11" s="65"/>
      <c r="IX11" s="65"/>
      <c r="IY11" s="65"/>
      <c r="IZ11" s="65"/>
      <c r="JA11" s="65"/>
      <c r="JB11" s="65"/>
      <c r="JC11" s="65"/>
      <c r="JD11" s="65"/>
      <c r="JE11" s="65"/>
      <c r="JF11" s="65"/>
      <c r="JG11" s="65"/>
      <c r="JH11" s="65"/>
      <c r="JI11" s="65"/>
      <c r="JJ11" s="65"/>
      <c r="JK11" s="65"/>
      <c r="JL11" s="65"/>
      <c r="JM11" s="65"/>
      <c r="JN11" s="65"/>
      <c r="JO11" s="65"/>
      <c r="JP11" s="65"/>
      <c r="JQ11" s="65"/>
      <c r="JR11" s="65"/>
      <c r="JS11" s="65"/>
      <c r="JT11" s="65"/>
      <c r="JU11" s="55" t="s">
        <v>686</v>
      </c>
      <c r="JV11" s="55"/>
      <c r="JW11" s="55"/>
      <c r="JX11" s="12"/>
      <c r="JY11" s="12"/>
      <c r="JZ11" s="12"/>
    </row>
    <row r="12" spans="1:286" x14ac:dyDescent="0.25">
      <c r="A12" s="55">
        <v>11</v>
      </c>
      <c r="B12" s="12" t="s">
        <v>7067</v>
      </c>
      <c r="C12" s="155">
        <v>1</v>
      </c>
      <c r="D12" s="55" t="s">
        <v>3696</v>
      </c>
      <c r="E12" s="90" t="s">
        <v>110</v>
      </c>
      <c r="G12" s="55" t="s">
        <v>111</v>
      </c>
      <c r="H12" s="55">
        <v>2000</v>
      </c>
      <c r="J12" s="55" t="s">
        <v>112</v>
      </c>
      <c r="K12" s="55" t="s">
        <v>113</v>
      </c>
      <c r="L12" s="55" t="s">
        <v>2737</v>
      </c>
      <c r="M12" s="90">
        <v>40.71</v>
      </c>
      <c r="N12" s="90">
        <v>-74.010000000000005</v>
      </c>
      <c r="O12" s="90">
        <v>3.5</v>
      </c>
      <c r="Z12" s="55" t="s">
        <v>1344</v>
      </c>
      <c r="AA12" s="90" t="s">
        <v>1344</v>
      </c>
      <c r="AH12" s="55" t="s">
        <v>1572</v>
      </c>
      <c r="AN12" s="185" t="s">
        <v>117</v>
      </c>
      <c r="AO12" s="185" t="s">
        <v>5150</v>
      </c>
      <c r="AQ12" s="55" t="s">
        <v>1097</v>
      </c>
      <c r="AR12" s="55" t="s">
        <v>1574</v>
      </c>
      <c r="AS12" s="55" t="s">
        <v>1577</v>
      </c>
      <c r="AU12" s="181" t="s">
        <v>7494</v>
      </c>
      <c r="AV12" s="185" t="s">
        <v>5150</v>
      </c>
      <c r="AX12" s="185" t="s">
        <v>5150</v>
      </c>
      <c r="BK12" s="55" t="s">
        <v>5976</v>
      </c>
      <c r="BM12" s="192" t="s">
        <v>119</v>
      </c>
      <c r="GP12" s="292" t="s">
        <v>7494</v>
      </c>
      <c r="GT12" s="65">
        <v>6.6</v>
      </c>
      <c r="GU12" s="65">
        <v>3.9</v>
      </c>
      <c r="GX12" s="65" t="s">
        <v>120</v>
      </c>
      <c r="HS12" s="227"/>
      <c r="HW12" s="227"/>
      <c r="JU12" s="55" t="s">
        <v>686</v>
      </c>
    </row>
    <row r="13" spans="1:286" x14ac:dyDescent="0.25">
      <c r="A13" s="55">
        <v>12</v>
      </c>
      <c r="B13" s="12" t="s">
        <v>7067</v>
      </c>
      <c r="C13" s="155">
        <v>2</v>
      </c>
      <c r="D13" s="55" t="s">
        <v>3698</v>
      </c>
      <c r="E13" s="90" t="s">
        <v>125</v>
      </c>
      <c r="G13" s="55" t="s">
        <v>126</v>
      </c>
      <c r="H13" s="55">
        <v>1999</v>
      </c>
      <c r="I13" s="55">
        <v>1994</v>
      </c>
      <c r="J13" s="55" t="s">
        <v>127</v>
      </c>
      <c r="K13" s="55" t="s">
        <v>128</v>
      </c>
      <c r="L13" s="55" t="s">
        <v>2737</v>
      </c>
      <c r="M13" s="90">
        <v>45.231000000000002</v>
      </c>
      <c r="N13" s="90">
        <v>-122.756</v>
      </c>
      <c r="O13" s="90">
        <v>48.4</v>
      </c>
      <c r="S13" s="90">
        <v>1040</v>
      </c>
      <c r="T13" s="55" t="s">
        <v>133</v>
      </c>
      <c r="U13" s="55">
        <v>6</v>
      </c>
      <c r="V13" s="55" t="s">
        <v>1801</v>
      </c>
      <c r="Y13" s="55" t="s">
        <v>1802</v>
      </c>
      <c r="Z13" s="55" t="s">
        <v>1346</v>
      </c>
      <c r="AA13" s="90" t="s">
        <v>1675</v>
      </c>
      <c r="AB13" s="65">
        <v>15.6</v>
      </c>
      <c r="AC13" s="65" t="s">
        <v>7001</v>
      </c>
      <c r="AE13" s="90">
        <v>31.3</v>
      </c>
      <c r="AF13" s="90">
        <v>54</v>
      </c>
      <c r="AH13" s="55" t="s">
        <v>6378</v>
      </c>
      <c r="AM13" s="55" t="s">
        <v>1272</v>
      </c>
      <c r="AN13" s="185" t="s">
        <v>131</v>
      </c>
      <c r="AO13" s="185" t="s">
        <v>5150</v>
      </c>
      <c r="AQ13" s="55" t="s">
        <v>131</v>
      </c>
      <c r="AR13" s="55" t="s">
        <v>1573</v>
      </c>
      <c r="AS13" s="55" t="s">
        <v>1577</v>
      </c>
      <c r="AT13" s="181" t="s">
        <v>130</v>
      </c>
      <c r="AU13" s="181" t="s">
        <v>5150</v>
      </c>
      <c r="AV13" s="185" t="s">
        <v>5150</v>
      </c>
      <c r="AW13" s="55" t="s">
        <v>130</v>
      </c>
      <c r="AX13" s="185" t="s">
        <v>5150</v>
      </c>
      <c r="AY13" s="55" t="s">
        <v>176</v>
      </c>
      <c r="BE13" s="226" t="s">
        <v>587</v>
      </c>
      <c r="BG13" s="55" t="s">
        <v>479</v>
      </c>
      <c r="BH13" s="226" t="s">
        <v>587</v>
      </c>
      <c r="BI13" s="55" t="s">
        <v>479</v>
      </c>
      <c r="BK13" s="55" t="s">
        <v>5976</v>
      </c>
      <c r="BM13" s="192" t="s">
        <v>119</v>
      </c>
      <c r="BN13" s="55">
        <v>2</v>
      </c>
      <c r="BO13" s="55">
        <v>2</v>
      </c>
      <c r="BQ13" s="55" t="s">
        <v>141</v>
      </c>
      <c r="CM13" s="65">
        <v>3.93</v>
      </c>
      <c r="CN13" s="65">
        <v>3.43</v>
      </c>
      <c r="CQ13" s="65" t="s">
        <v>154</v>
      </c>
      <c r="DA13" s="65" t="s">
        <v>4453</v>
      </c>
      <c r="DB13" s="65">
        <v>971</v>
      </c>
      <c r="DC13" s="65">
        <v>947</v>
      </c>
      <c r="DF13" s="65" t="s">
        <v>232</v>
      </c>
      <c r="DQ13" s="165">
        <v>5.75</v>
      </c>
      <c r="DR13" s="165">
        <v>5.83</v>
      </c>
      <c r="DV13" s="65">
        <v>15.6</v>
      </c>
      <c r="DW13" s="65">
        <v>15.2</v>
      </c>
      <c r="GP13" s="292" t="s">
        <v>7494</v>
      </c>
      <c r="HS13" s="227"/>
      <c r="HW13" s="227"/>
      <c r="JG13" s="65">
        <v>140</v>
      </c>
      <c r="JH13" s="65">
        <v>177</v>
      </c>
    </row>
    <row r="14" spans="1:286" x14ac:dyDescent="0.25">
      <c r="A14" s="55">
        <v>13</v>
      </c>
      <c r="B14" s="12" t="s">
        <v>7067</v>
      </c>
      <c r="C14" s="155">
        <v>2</v>
      </c>
      <c r="D14" s="55" t="s">
        <v>3699</v>
      </c>
      <c r="E14" s="90" t="s">
        <v>125</v>
      </c>
      <c r="G14" s="55" t="s">
        <v>126</v>
      </c>
      <c r="H14" s="55">
        <v>1999</v>
      </c>
      <c r="I14" s="55">
        <v>1994</v>
      </c>
      <c r="J14" s="55" t="s">
        <v>127</v>
      </c>
      <c r="K14" s="55" t="s">
        <v>128</v>
      </c>
      <c r="L14" s="55" t="s">
        <v>2737</v>
      </c>
      <c r="M14" s="90">
        <v>45.231000000000002</v>
      </c>
      <c r="N14" s="90">
        <v>-122.756</v>
      </c>
      <c r="O14" s="90">
        <v>48.4</v>
      </c>
      <c r="S14" s="90">
        <v>1040</v>
      </c>
      <c r="T14" s="55" t="s">
        <v>133</v>
      </c>
      <c r="U14" s="55">
        <v>6</v>
      </c>
      <c r="V14" s="55" t="s">
        <v>1801</v>
      </c>
      <c r="Y14" s="55" t="s">
        <v>1802</v>
      </c>
      <c r="Z14" s="55" t="s">
        <v>1346</v>
      </c>
      <c r="AA14" s="90" t="s">
        <v>1675</v>
      </c>
      <c r="AB14" s="65">
        <v>15.6</v>
      </c>
      <c r="AC14" s="65" t="s">
        <v>7001</v>
      </c>
      <c r="AE14" s="90">
        <v>31.3</v>
      </c>
      <c r="AF14" s="90">
        <v>54</v>
      </c>
      <c r="AH14" s="55" t="s">
        <v>6378</v>
      </c>
      <c r="AM14" s="55" t="s">
        <v>1272</v>
      </c>
      <c r="AN14" s="185" t="s">
        <v>1479</v>
      </c>
      <c r="AO14" s="185" t="s">
        <v>5150</v>
      </c>
      <c r="AQ14" s="55" t="s">
        <v>553</v>
      </c>
      <c r="AR14" s="55" t="s">
        <v>1573</v>
      </c>
      <c r="AS14" s="55" t="s">
        <v>1577</v>
      </c>
      <c r="AT14" s="181" t="s">
        <v>130</v>
      </c>
      <c r="AU14" s="181" t="s">
        <v>5150</v>
      </c>
      <c r="AV14" s="185" t="s">
        <v>5150</v>
      </c>
      <c r="AW14" s="55" t="s">
        <v>130</v>
      </c>
      <c r="AX14" s="185" t="s">
        <v>5150</v>
      </c>
      <c r="AY14" s="55" t="s">
        <v>176</v>
      </c>
      <c r="BE14" s="226" t="s">
        <v>587</v>
      </c>
      <c r="BG14" s="55" t="s">
        <v>479</v>
      </c>
      <c r="BH14" s="226" t="s">
        <v>587</v>
      </c>
      <c r="BI14" s="55" t="s">
        <v>479</v>
      </c>
      <c r="BK14" s="55" t="s">
        <v>5976</v>
      </c>
      <c r="BM14" s="192" t="s">
        <v>119</v>
      </c>
      <c r="BN14" s="55">
        <v>2</v>
      </c>
      <c r="BO14" s="55">
        <v>2</v>
      </c>
      <c r="BQ14" s="55" t="s">
        <v>141</v>
      </c>
      <c r="CM14" s="65">
        <v>3.93</v>
      </c>
      <c r="CN14" s="65">
        <v>4.13</v>
      </c>
      <c r="CQ14" s="65" t="s">
        <v>154</v>
      </c>
      <c r="DA14" s="65" t="s">
        <v>4453</v>
      </c>
      <c r="DB14" s="65">
        <v>971</v>
      </c>
      <c r="DC14" s="65">
        <v>1120</v>
      </c>
      <c r="DF14" s="65" t="s">
        <v>232</v>
      </c>
      <c r="DQ14" s="165">
        <v>5.75</v>
      </c>
      <c r="DR14" s="165">
        <v>5.9</v>
      </c>
      <c r="DV14" s="65">
        <v>15.6</v>
      </c>
      <c r="DW14" s="65">
        <v>15</v>
      </c>
      <c r="GP14" s="292" t="s">
        <v>7494</v>
      </c>
      <c r="HS14" s="227"/>
      <c r="HW14" s="227"/>
      <c r="JG14" s="65">
        <v>140</v>
      </c>
      <c r="JH14" s="65">
        <v>158</v>
      </c>
    </row>
    <row r="15" spans="1:286" x14ac:dyDescent="0.25">
      <c r="A15" s="55">
        <v>14</v>
      </c>
      <c r="B15" s="12" t="s">
        <v>7067</v>
      </c>
      <c r="C15" s="155">
        <v>3</v>
      </c>
      <c r="D15" s="55" t="s">
        <v>3700</v>
      </c>
      <c r="E15" s="90" t="s">
        <v>135</v>
      </c>
      <c r="G15" s="55" t="s">
        <v>136</v>
      </c>
      <c r="H15" s="55">
        <v>2008</v>
      </c>
      <c r="I15" s="55">
        <v>2003</v>
      </c>
      <c r="J15" s="55" t="s">
        <v>137</v>
      </c>
      <c r="K15" s="55" t="s">
        <v>138</v>
      </c>
      <c r="L15" s="55" t="s">
        <v>2738</v>
      </c>
      <c r="M15" s="90">
        <v>49.69</v>
      </c>
      <c r="N15" s="90">
        <v>-112.84</v>
      </c>
      <c r="O15" s="90">
        <v>901</v>
      </c>
      <c r="U15" s="55">
        <v>1</v>
      </c>
      <c r="V15" s="55" t="s">
        <v>1688</v>
      </c>
      <c r="Y15" s="55" t="s">
        <v>1803</v>
      </c>
      <c r="Z15" s="55" t="s">
        <v>1344</v>
      </c>
      <c r="AA15" s="90" t="s">
        <v>1344</v>
      </c>
      <c r="AE15" s="90">
        <v>37</v>
      </c>
      <c r="AF15" s="90">
        <v>30</v>
      </c>
      <c r="AH15" s="55" t="s">
        <v>139</v>
      </c>
      <c r="AM15" s="55" t="s">
        <v>1274</v>
      </c>
      <c r="AN15" s="185" t="s">
        <v>1525</v>
      </c>
      <c r="AO15" s="185" t="s">
        <v>5150</v>
      </c>
      <c r="AQ15" s="55" t="s">
        <v>131</v>
      </c>
      <c r="AR15" s="55" t="s">
        <v>1559</v>
      </c>
      <c r="AS15" s="55" t="s">
        <v>227</v>
      </c>
      <c r="AU15" s="181" t="s">
        <v>7494</v>
      </c>
      <c r="AV15" s="185" t="s">
        <v>176</v>
      </c>
      <c r="AX15" s="185" t="s">
        <v>176</v>
      </c>
      <c r="BK15" s="55" t="s">
        <v>5976</v>
      </c>
      <c r="BM15" s="192" t="s">
        <v>119</v>
      </c>
      <c r="BN15" s="55">
        <v>4</v>
      </c>
      <c r="BO15" s="55">
        <v>4</v>
      </c>
      <c r="BQ15" s="55" t="s">
        <v>141</v>
      </c>
      <c r="BR15" s="55">
        <v>5520</v>
      </c>
      <c r="BV15" s="55" t="s">
        <v>143</v>
      </c>
      <c r="CB15" s="66">
        <v>16400</v>
      </c>
      <c r="CC15" s="66">
        <v>23300</v>
      </c>
      <c r="GN15" s="294">
        <v>17250</v>
      </c>
      <c r="GO15" s="294">
        <v>7310</v>
      </c>
      <c r="GP15" s="292" t="s">
        <v>5150</v>
      </c>
      <c r="HS15" s="227"/>
      <c r="HW15" s="227"/>
    </row>
    <row r="16" spans="1:286" x14ac:dyDescent="0.25">
      <c r="A16" s="55">
        <v>15</v>
      </c>
      <c r="B16" s="12" t="s">
        <v>7067</v>
      </c>
      <c r="C16" s="155">
        <v>3</v>
      </c>
      <c r="D16" s="55" t="s">
        <v>3701</v>
      </c>
      <c r="E16" s="90" t="s">
        <v>135</v>
      </c>
      <c r="G16" s="55" t="s">
        <v>136</v>
      </c>
      <c r="H16" s="55">
        <v>2008</v>
      </c>
      <c r="I16" s="55">
        <v>2003</v>
      </c>
      <c r="J16" s="55" t="s">
        <v>137</v>
      </c>
      <c r="K16" s="55" t="s">
        <v>138</v>
      </c>
      <c r="L16" s="55" t="s">
        <v>2738</v>
      </c>
      <c r="M16" s="90">
        <v>49.69</v>
      </c>
      <c r="N16" s="90">
        <v>-112.84</v>
      </c>
      <c r="O16" s="90">
        <v>901</v>
      </c>
      <c r="U16" s="55">
        <v>1</v>
      </c>
      <c r="V16" s="55" t="s">
        <v>1688</v>
      </c>
      <c r="Y16" s="55" t="s">
        <v>1803</v>
      </c>
      <c r="Z16" s="55" t="s">
        <v>1344</v>
      </c>
      <c r="AA16" s="90" t="s">
        <v>1344</v>
      </c>
      <c r="AE16" s="90">
        <v>37</v>
      </c>
      <c r="AF16" s="90">
        <v>30</v>
      </c>
      <c r="AH16" s="55" t="s">
        <v>139</v>
      </c>
      <c r="AM16" s="55" t="s">
        <v>1274</v>
      </c>
      <c r="AN16" s="185" t="s">
        <v>1534</v>
      </c>
      <c r="AO16" s="185" t="s">
        <v>5150</v>
      </c>
      <c r="AQ16" s="55" t="s">
        <v>1545</v>
      </c>
      <c r="AR16" s="55" t="s">
        <v>1559</v>
      </c>
      <c r="AS16" s="55" t="s">
        <v>227</v>
      </c>
      <c r="AU16" s="181" t="s">
        <v>7494</v>
      </c>
      <c r="AV16" s="185" t="s">
        <v>176</v>
      </c>
      <c r="AX16" s="185" t="s">
        <v>176</v>
      </c>
      <c r="BK16" s="55" t="s">
        <v>5976</v>
      </c>
      <c r="BM16" s="192" t="s">
        <v>119</v>
      </c>
      <c r="BN16" s="55">
        <v>4</v>
      </c>
      <c r="BO16" s="55">
        <v>4</v>
      </c>
      <c r="BQ16" s="55" t="s">
        <v>141</v>
      </c>
      <c r="BR16" s="55">
        <v>1320</v>
      </c>
      <c r="BV16" s="55" t="s">
        <v>143</v>
      </c>
      <c r="CB16" s="66">
        <v>16400</v>
      </c>
      <c r="CC16" s="66">
        <v>19800</v>
      </c>
      <c r="GN16" s="294">
        <v>17250</v>
      </c>
      <c r="GO16" s="294">
        <v>12510</v>
      </c>
      <c r="GP16" s="292" t="s">
        <v>5150</v>
      </c>
      <c r="HS16" s="227"/>
      <c r="HW16" s="227"/>
    </row>
    <row r="17" spans="1:286" s="175" customFormat="1" x14ac:dyDescent="0.25">
      <c r="A17" s="55">
        <v>16</v>
      </c>
      <c r="B17" s="12" t="s">
        <v>7067</v>
      </c>
      <c r="C17" s="155">
        <v>3</v>
      </c>
      <c r="D17" s="55" t="s">
        <v>3701</v>
      </c>
      <c r="E17" s="90" t="s">
        <v>135</v>
      </c>
      <c r="F17" s="90"/>
      <c r="G17" s="55" t="s">
        <v>136</v>
      </c>
      <c r="H17" s="55">
        <v>2008</v>
      </c>
      <c r="I17" s="55">
        <v>2003</v>
      </c>
      <c r="J17" s="55" t="s">
        <v>137</v>
      </c>
      <c r="K17" s="55" t="s">
        <v>138</v>
      </c>
      <c r="L17" s="55" t="s">
        <v>2738</v>
      </c>
      <c r="M17" s="90">
        <v>49.69</v>
      </c>
      <c r="N17" s="90">
        <v>-112.84</v>
      </c>
      <c r="O17" s="90">
        <v>901</v>
      </c>
      <c r="P17" s="55"/>
      <c r="Q17" s="55"/>
      <c r="R17" s="55"/>
      <c r="S17" s="90"/>
      <c r="T17" s="55"/>
      <c r="U17" s="55">
        <v>1</v>
      </c>
      <c r="V17" s="55" t="s">
        <v>1688</v>
      </c>
      <c r="W17" s="173"/>
      <c r="X17" s="173"/>
      <c r="Y17" s="55" t="s">
        <v>1803</v>
      </c>
      <c r="Z17" s="55" t="s">
        <v>1344</v>
      </c>
      <c r="AA17" s="90" t="s">
        <v>1344</v>
      </c>
      <c r="AB17" s="65"/>
      <c r="AC17" s="65"/>
      <c r="AD17" s="90"/>
      <c r="AE17" s="90">
        <v>37</v>
      </c>
      <c r="AF17" s="90">
        <v>30</v>
      </c>
      <c r="AG17" s="90"/>
      <c r="AH17" s="55" t="s">
        <v>139</v>
      </c>
      <c r="AI17" s="168"/>
      <c r="AJ17" s="90"/>
      <c r="AK17" s="90"/>
      <c r="AL17" s="55"/>
      <c r="AM17" s="55" t="s">
        <v>1274</v>
      </c>
      <c r="AN17" s="185" t="s">
        <v>1535</v>
      </c>
      <c r="AO17" s="185" t="s">
        <v>5150</v>
      </c>
      <c r="AP17" s="55"/>
      <c r="AQ17" s="55" t="s">
        <v>1545</v>
      </c>
      <c r="AR17" s="55" t="s">
        <v>1559</v>
      </c>
      <c r="AS17" s="55" t="s">
        <v>227</v>
      </c>
      <c r="AT17" s="181"/>
      <c r="AU17" s="181" t="s">
        <v>7494</v>
      </c>
      <c r="AV17" s="185" t="s">
        <v>176</v>
      </c>
      <c r="AW17" s="55"/>
      <c r="AX17" s="185" t="s">
        <v>176</v>
      </c>
      <c r="AY17" s="55"/>
      <c r="AZ17" s="55"/>
      <c r="BA17" s="55"/>
      <c r="BB17" s="55"/>
      <c r="BC17" s="55"/>
      <c r="BD17" s="55"/>
      <c r="BE17" s="226"/>
      <c r="BF17" s="55"/>
      <c r="BG17" s="55"/>
      <c r="BH17" s="226"/>
      <c r="BI17" s="55"/>
      <c r="BJ17" s="55"/>
      <c r="BK17" s="55" t="s">
        <v>5976</v>
      </c>
      <c r="BL17" s="55"/>
      <c r="BM17" s="192" t="s">
        <v>119</v>
      </c>
      <c r="BN17" s="55">
        <v>4</v>
      </c>
      <c r="BO17" s="55">
        <v>4</v>
      </c>
      <c r="BP17" s="55"/>
      <c r="BQ17" s="55" t="s">
        <v>141</v>
      </c>
      <c r="BR17" s="55">
        <v>1170</v>
      </c>
      <c r="BS17" s="55"/>
      <c r="BT17" s="55"/>
      <c r="BU17" s="55"/>
      <c r="BV17" s="55" t="s">
        <v>143</v>
      </c>
      <c r="BW17" s="65"/>
      <c r="BX17" s="65"/>
      <c r="BY17" s="65"/>
      <c r="BZ17" s="65"/>
      <c r="CA17" s="65"/>
      <c r="CB17" s="66">
        <v>16400</v>
      </c>
      <c r="CC17" s="66">
        <v>19600</v>
      </c>
      <c r="CD17" s="66"/>
      <c r="CE17" s="65"/>
      <c r="CF17" s="65"/>
      <c r="CG17" s="65"/>
      <c r="CH17" s="90"/>
      <c r="CI17" s="90"/>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165"/>
      <c r="DR17" s="165"/>
      <c r="DS17" s="162"/>
      <c r="DT17" s="162"/>
      <c r="DU17" s="65"/>
      <c r="DV17" s="65"/>
      <c r="DW17" s="65"/>
      <c r="DX17" s="65"/>
      <c r="DY17" s="65"/>
      <c r="DZ17" s="65"/>
      <c r="EA17" s="65"/>
      <c r="EB17" s="65"/>
      <c r="EC17" s="65"/>
      <c r="ED17" s="65"/>
      <c r="EE17" s="65"/>
      <c r="EF17" s="65"/>
      <c r="EG17" s="65"/>
      <c r="EH17" s="65"/>
      <c r="EI17" s="65"/>
      <c r="EJ17" s="65"/>
      <c r="EK17" s="90"/>
      <c r="EL17" s="90"/>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294">
        <v>17250</v>
      </c>
      <c r="GO17" s="294">
        <v>12180</v>
      </c>
      <c r="GP17" s="292" t="s">
        <v>5150</v>
      </c>
      <c r="GQ17" s="65"/>
      <c r="GR17" s="65"/>
      <c r="GS17" s="65"/>
      <c r="GT17" s="65"/>
      <c r="GU17" s="65"/>
      <c r="GV17" s="65"/>
      <c r="GW17" s="65"/>
      <c r="GX17" s="65"/>
      <c r="GY17" s="65"/>
      <c r="GZ17" s="65"/>
      <c r="HA17" s="65"/>
      <c r="HB17" s="65"/>
      <c r="HC17" s="65"/>
      <c r="HD17" s="65"/>
      <c r="HE17" s="65"/>
      <c r="HF17" s="65"/>
      <c r="HG17" s="65"/>
      <c r="HH17" s="65"/>
      <c r="HI17" s="65"/>
      <c r="HJ17" s="65"/>
      <c r="HK17" s="65"/>
      <c r="HL17" s="65"/>
      <c r="HM17" s="65"/>
      <c r="HN17" s="65"/>
      <c r="HO17" s="65"/>
      <c r="HP17" s="65"/>
      <c r="HQ17" s="65"/>
      <c r="HR17" s="65"/>
      <c r="HS17" s="227"/>
      <c r="HT17" s="65"/>
      <c r="HU17" s="65"/>
      <c r="HV17" s="65"/>
      <c r="HW17" s="227"/>
      <c r="HX17" s="65"/>
      <c r="HY17" s="65"/>
      <c r="HZ17" s="65"/>
      <c r="IA17" s="65"/>
      <c r="IB17" s="65"/>
      <c r="IC17" s="65"/>
      <c r="ID17" s="65"/>
      <c r="IE17" s="65"/>
      <c r="IF17" s="65"/>
      <c r="IG17" s="65"/>
      <c r="IH17" s="65"/>
      <c r="II17" s="65"/>
      <c r="IJ17" s="65"/>
      <c r="IK17" s="65"/>
      <c r="IL17" s="65"/>
      <c r="IM17" s="65"/>
      <c r="IN17" s="65"/>
      <c r="IO17" s="65"/>
      <c r="IP17" s="65"/>
      <c r="IQ17" s="65"/>
      <c r="IR17" s="65"/>
      <c r="IS17" s="65"/>
      <c r="IT17" s="65"/>
      <c r="IU17" s="65"/>
      <c r="IV17" s="65"/>
      <c r="IW17" s="65"/>
      <c r="IX17" s="65"/>
      <c r="IY17" s="65"/>
      <c r="IZ17" s="65"/>
      <c r="JA17" s="65"/>
      <c r="JB17" s="65"/>
      <c r="JC17" s="65"/>
      <c r="JD17" s="65"/>
      <c r="JE17" s="65"/>
      <c r="JF17" s="65"/>
      <c r="JG17" s="65"/>
      <c r="JH17" s="65"/>
      <c r="JI17" s="65"/>
      <c r="JJ17" s="65"/>
      <c r="JK17" s="65"/>
      <c r="JL17" s="65"/>
      <c r="JM17" s="65"/>
      <c r="JN17" s="65"/>
      <c r="JO17" s="65"/>
      <c r="JP17" s="65"/>
      <c r="JQ17" s="65"/>
      <c r="JR17" s="65"/>
      <c r="JS17" s="65"/>
      <c r="JT17" s="65"/>
      <c r="JU17" s="55"/>
      <c r="JV17" s="55"/>
      <c r="JW17" s="55"/>
      <c r="JX17" s="12"/>
      <c r="JY17" s="12"/>
      <c r="JZ17" s="12"/>
    </row>
    <row r="18" spans="1:286" x14ac:dyDescent="0.25">
      <c r="A18" s="55">
        <v>17</v>
      </c>
      <c r="B18" s="12" t="s">
        <v>7067</v>
      </c>
      <c r="C18" s="155">
        <v>3</v>
      </c>
      <c r="D18" s="55" t="s">
        <v>3700</v>
      </c>
      <c r="E18" s="90" t="s">
        <v>135</v>
      </c>
      <c r="G18" s="55" t="s">
        <v>136</v>
      </c>
      <c r="H18" s="55">
        <v>2008</v>
      </c>
      <c r="I18" s="55">
        <v>2003</v>
      </c>
      <c r="J18" s="55" t="s">
        <v>137</v>
      </c>
      <c r="K18" s="55" t="s">
        <v>138</v>
      </c>
      <c r="L18" s="55" t="s">
        <v>2738</v>
      </c>
      <c r="M18" s="90">
        <v>49.69</v>
      </c>
      <c r="N18" s="90">
        <v>-112.84</v>
      </c>
      <c r="O18" s="90">
        <v>901</v>
      </c>
      <c r="U18" s="55">
        <v>1</v>
      </c>
      <c r="V18" s="55" t="s">
        <v>1688</v>
      </c>
      <c r="Y18" s="55" t="s">
        <v>1803</v>
      </c>
      <c r="Z18" s="55" t="s">
        <v>1344</v>
      </c>
      <c r="AA18" s="90" t="s">
        <v>1344</v>
      </c>
      <c r="AE18" s="90">
        <v>37</v>
      </c>
      <c r="AF18" s="90">
        <v>30</v>
      </c>
      <c r="AH18" s="55" t="s">
        <v>139</v>
      </c>
      <c r="AM18" s="55" t="s">
        <v>1274</v>
      </c>
      <c r="AN18" s="185" t="s">
        <v>1526</v>
      </c>
      <c r="AO18" s="185" t="s">
        <v>5150</v>
      </c>
      <c r="AQ18" s="55" t="s">
        <v>131</v>
      </c>
      <c r="AR18" s="55" t="s">
        <v>1559</v>
      </c>
      <c r="AS18" s="55" t="s">
        <v>227</v>
      </c>
      <c r="AU18" s="181" t="s">
        <v>7494</v>
      </c>
      <c r="AV18" s="185" t="s">
        <v>176</v>
      </c>
      <c r="AX18" s="185" t="s">
        <v>176</v>
      </c>
      <c r="BK18" s="55" t="s">
        <v>5976</v>
      </c>
      <c r="BM18" s="192" t="s">
        <v>119</v>
      </c>
      <c r="BN18" s="55">
        <v>4</v>
      </c>
      <c r="BO18" s="55">
        <v>4</v>
      </c>
      <c r="BQ18" s="55" t="s">
        <v>141</v>
      </c>
      <c r="BR18" s="55">
        <v>1480</v>
      </c>
      <c r="BV18" s="55" t="s">
        <v>143</v>
      </c>
      <c r="CB18" s="66">
        <v>16400</v>
      </c>
      <c r="CC18" s="66">
        <v>21400</v>
      </c>
      <c r="GN18" s="294">
        <v>17250</v>
      </c>
      <c r="GO18" s="294">
        <v>11460</v>
      </c>
      <c r="GP18" s="292" t="s">
        <v>5150</v>
      </c>
      <c r="HS18" s="227"/>
      <c r="HW18" s="227"/>
    </row>
    <row r="19" spans="1:286" x14ac:dyDescent="0.25">
      <c r="A19" s="55">
        <v>18</v>
      </c>
      <c r="B19" s="12" t="s">
        <v>7067</v>
      </c>
      <c r="C19" s="155">
        <v>3</v>
      </c>
      <c r="D19" s="55" t="s">
        <v>3701</v>
      </c>
      <c r="E19" s="90" t="s">
        <v>135</v>
      </c>
      <c r="G19" s="55" t="s">
        <v>136</v>
      </c>
      <c r="H19" s="55">
        <v>2008</v>
      </c>
      <c r="I19" s="55">
        <v>2003</v>
      </c>
      <c r="J19" s="55" t="s">
        <v>137</v>
      </c>
      <c r="K19" s="55" t="s">
        <v>138</v>
      </c>
      <c r="L19" s="55" t="s">
        <v>2738</v>
      </c>
      <c r="M19" s="90">
        <v>49.69</v>
      </c>
      <c r="N19" s="90">
        <v>-112.84</v>
      </c>
      <c r="O19" s="90">
        <v>901</v>
      </c>
      <c r="U19" s="55">
        <v>1</v>
      </c>
      <c r="V19" s="55" t="s">
        <v>1688</v>
      </c>
      <c r="Y19" s="55" t="s">
        <v>1803</v>
      </c>
      <c r="Z19" s="55" t="s">
        <v>1344</v>
      </c>
      <c r="AA19" s="90" t="s">
        <v>1344</v>
      </c>
      <c r="AE19" s="90">
        <v>37</v>
      </c>
      <c r="AF19" s="90">
        <v>30</v>
      </c>
      <c r="AH19" s="55" t="s">
        <v>139</v>
      </c>
      <c r="AM19" s="55" t="s">
        <v>1274</v>
      </c>
      <c r="AN19" s="185" t="s">
        <v>1530</v>
      </c>
      <c r="AO19" s="185" t="s">
        <v>5150</v>
      </c>
      <c r="AQ19" s="55" t="s">
        <v>1545</v>
      </c>
      <c r="AR19" s="55" t="s">
        <v>1559</v>
      </c>
      <c r="AS19" s="55" t="s">
        <v>227</v>
      </c>
      <c r="AU19" s="181" t="s">
        <v>7494</v>
      </c>
      <c r="AV19" s="185" t="s">
        <v>176</v>
      </c>
      <c r="AX19" s="185" t="s">
        <v>176</v>
      </c>
      <c r="BK19" s="55" t="s">
        <v>5976</v>
      </c>
      <c r="BM19" s="192" t="s">
        <v>119</v>
      </c>
      <c r="BN19" s="55">
        <v>4</v>
      </c>
      <c r="BO19" s="55">
        <v>4</v>
      </c>
      <c r="BQ19" s="55" t="s">
        <v>141</v>
      </c>
      <c r="BR19" s="55">
        <v>690</v>
      </c>
      <c r="BV19" s="55" t="s">
        <v>143</v>
      </c>
      <c r="CB19" s="66">
        <v>16400</v>
      </c>
      <c r="CC19" s="66">
        <v>18000</v>
      </c>
      <c r="GN19" s="294">
        <v>17250</v>
      </c>
      <c r="GO19" s="294">
        <v>15440</v>
      </c>
      <c r="GP19" s="292" t="s">
        <v>5150</v>
      </c>
      <c r="HS19" s="227"/>
      <c r="HW19" s="227"/>
    </row>
    <row r="20" spans="1:286" x14ac:dyDescent="0.25">
      <c r="A20" s="55">
        <v>19</v>
      </c>
      <c r="B20" s="12" t="s">
        <v>7067</v>
      </c>
      <c r="C20" s="155">
        <v>3</v>
      </c>
      <c r="D20" s="55" t="s">
        <v>3701</v>
      </c>
      <c r="E20" s="90" t="s">
        <v>135</v>
      </c>
      <c r="G20" s="55" t="s">
        <v>136</v>
      </c>
      <c r="H20" s="55">
        <v>2008</v>
      </c>
      <c r="I20" s="55">
        <v>2003</v>
      </c>
      <c r="J20" s="55" t="s">
        <v>137</v>
      </c>
      <c r="K20" s="55" t="s">
        <v>138</v>
      </c>
      <c r="L20" s="55" t="s">
        <v>2738</v>
      </c>
      <c r="M20" s="90">
        <v>49.69</v>
      </c>
      <c r="N20" s="90">
        <v>-112.84</v>
      </c>
      <c r="O20" s="90">
        <v>901</v>
      </c>
      <c r="U20" s="55">
        <v>1</v>
      </c>
      <c r="V20" s="55" t="s">
        <v>1688</v>
      </c>
      <c r="Y20" s="55" t="s">
        <v>1803</v>
      </c>
      <c r="Z20" s="55" t="s">
        <v>1344</v>
      </c>
      <c r="AA20" s="90" t="s">
        <v>1344</v>
      </c>
      <c r="AE20" s="90">
        <v>37</v>
      </c>
      <c r="AF20" s="90">
        <v>30</v>
      </c>
      <c r="AH20" s="55" t="s">
        <v>139</v>
      </c>
      <c r="AM20" s="55" t="s">
        <v>1274</v>
      </c>
      <c r="AN20" s="185" t="s">
        <v>1531</v>
      </c>
      <c r="AO20" s="185" t="s">
        <v>5150</v>
      </c>
      <c r="AQ20" s="55" t="s">
        <v>1545</v>
      </c>
      <c r="AR20" s="55" t="s">
        <v>1559</v>
      </c>
      <c r="AS20" s="55" t="s">
        <v>227</v>
      </c>
      <c r="AU20" s="181" t="s">
        <v>7494</v>
      </c>
      <c r="AV20" s="185" t="s">
        <v>176</v>
      </c>
      <c r="AX20" s="185" t="s">
        <v>176</v>
      </c>
      <c r="BK20" s="55" t="s">
        <v>5976</v>
      </c>
      <c r="BM20" s="192" t="s">
        <v>119</v>
      </c>
      <c r="BN20" s="55">
        <v>4</v>
      </c>
      <c r="BO20" s="55">
        <v>4</v>
      </c>
      <c r="BQ20" s="55" t="s">
        <v>141</v>
      </c>
      <c r="BR20" s="55">
        <v>400</v>
      </c>
      <c r="BV20" s="55" t="s">
        <v>143</v>
      </c>
      <c r="CB20" s="66">
        <v>16400</v>
      </c>
      <c r="CC20" s="66">
        <v>19100</v>
      </c>
      <c r="GN20" s="294">
        <v>17250</v>
      </c>
      <c r="GO20" s="294">
        <v>12600</v>
      </c>
      <c r="GP20" s="292" t="s">
        <v>5150</v>
      </c>
      <c r="HS20" s="227"/>
      <c r="HW20" s="227"/>
    </row>
    <row r="21" spans="1:286" x14ac:dyDescent="0.25">
      <c r="A21" s="55">
        <v>20</v>
      </c>
      <c r="B21" s="12" t="s">
        <v>7067</v>
      </c>
      <c r="C21" s="155">
        <v>3</v>
      </c>
      <c r="D21" s="55" t="s">
        <v>3700</v>
      </c>
      <c r="E21" s="90" t="s">
        <v>135</v>
      </c>
      <c r="G21" s="55" t="s">
        <v>136</v>
      </c>
      <c r="H21" s="55">
        <v>2008</v>
      </c>
      <c r="I21" s="55">
        <v>2003</v>
      </c>
      <c r="J21" s="55" t="s">
        <v>137</v>
      </c>
      <c r="K21" s="55" t="s">
        <v>138</v>
      </c>
      <c r="L21" s="55" t="s">
        <v>2738</v>
      </c>
      <c r="M21" s="90">
        <v>49.69</v>
      </c>
      <c r="N21" s="90">
        <v>-112.84</v>
      </c>
      <c r="O21" s="90">
        <v>901</v>
      </c>
      <c r="U21" s="55">
        <v>1</v>
      </c>
      <c r="V21" s="55" t="s">
        <v>1688</v>
      </c>
      <c r="Y21" s="55" t="s">
        <v>1803</v>
      </c>
      <c r="Z21" s="55" t="s">
        <v>1344</v>
      </c>
      <c r="AA21" s="90" t="s">
        <v>1344</v>
      </c>
      <c r="AE21" s="90">
        <v>37</v>
      </c>
      <c r="AF21" s="90">
        <v>30</v>
      </c>
      <c r="AH21" s="55" t="s">
        <v>139</v>
      </c>
      <c r="AM21" s="55" t="s">
        <v>1274</v>
      </c>
      <c r="AN21" s="185" t="s">
        <v>1524</v>
      </c>
      <c r="AO21" s="185" t="s">
        <v>5150</v>
      </c>
      <c r="AQ21" s="55" t="s">
        <v>131</v>
      </c>
      <c r="AR21" s="55" t="s">
        <v>1559</v>
      </c>
      <c r="AS21" s="55" t="s">
        <v>227</v>
      </c>
      <c r="AU21" s="181" t="s">
        <v>7494</v>
      </c>
      <c r="AV21" s="185" t="s">
        <v>176</v>
      </c>
      <c r="AX21" s="185" t="s">
        <v>176</v>
      </c>
      <c r="BK21" s="55" t="s">
        <v>5976</v>
      </c>
      <c r="BM21" s="192" t="s">
        <v>119</v>
      </c>
      <c r="BN21" s="55">
        <v>4</v>
      </c>
      <c r="BO21" s="55">
        <v>4</v>
      </c>
      <c r="BQ21" s="55" t="s">
        <v>141</v>
      </c>
      <c r="BR21" s="55">
        <v>470</v>
      </c>
      <c r="BV21" s="55" t="s">
        <v>143</v>
      </c>
      <c r="CB21" s="66">
        <v>16400</v>
      </c>
      <c r="CC21" s="66">
        <v>18700</v>
      </c>
      <c r="GN21" s="294">
        <v>17250</v>
      </c>
      <c r="GO21" s="294">
        <v>14400</v>
      </c>
      <c r="GP21" s="292" t="s">
        <v>5150</v>
      </c>
      <c r="HS21" s="227"/>
      <c r="HW21" s="227"/>
    </row>
    <row r="22" spans="1:286" x14ac:dyDescent="0.25">
      <c r="A22" s="55">
        <v>21</v>
      </c>
      <c r="B22" s="12" t="s">
        <v>7067</v>
      </c>
      <c r="C22" s="155">
        <v>3</v>
      </c>
      <c r="D22" s="55" t="s">
        <v>3700</v>
      </c>
      <c r="E22" s="90" t="s">
        <v>135</v>
      </c>
      <c r="G22" s="55" t="s">
        <v>136</v>
      </c>
      <c r="H22" s="55">
        <v>2008</v>
      </c>
      <c r="I22" s="55">
        <v>2004</v>
      </c>
      <c r="J22" s="55" t="s">
        <v>137</v>
      </c>
      <c r="K22" s="55" t="s">
        <v>138</v>
      </c>
      <c r="L22" s="55" t="s">
        <v>2738</v>
      </c>
      <c r="M22" s="90">
        <v>49.69</v>
      </c>
      <c r="N22" s="90">
        <v>-112.84</v>
      </c>
      <c r="O22" s="90">
        <v>901</v>
      </c>
      <c r="U22" s="55">
        <v>2</v>
      </c>
      <c r="V22" s="55" t="s">
        <v>1688</v>
      </c>
      <c r="Y22" s="55" t="s">
        <v>1803</v>
      </c>
      <c r="Z22" s="55" t="s">
        <v>1344</v>
      </c>
      <c r="AA22" s="90" t="s">
        <v>1344</v>
      </c>
      <c r="AE22" s="90">
        <v>37</v>
      </c>
      <c r="AF22" s="90">
        <v>30</v>
      </c>
      <c r="AH22" s="55" t="s">
        <v>139</v>
      </c>
      <c r="AM22" s="55" t="s">
        <v>1274</v>
      </c>
      <c r="AN22" s="185" t="s">
        <v>1525</v>
      </c>
      <c r="AO22" s="185" t="s">
        <v>5150</v>
      </c>
      <c r="AQ22" s="55" t="s">
        <v>131</v>
      </c>
      <c r="AR22" s="55" t="s">
        <v>1559</v>
      </c>
      <c r="AS22" s="55" t="s">
        <v>227</v>
      </c>
      <c r="AU22" s="181" t="s">
        <v>7494</v>
      </c>
      <c r="AV22" s="185" t="s">
        <v>176</v>
      </c>
      <c r="AX22" s="185" t="s">
        <v>176</v>
      </c>
      <c r="BK22" s="55" t="s">
        <v>5976</v>
      </c>
      <c r="BM22" s="192" t="s">
        <v>119</v>
      </c>
      <c r="BN22" s="55">
        <v>4</v>
      </c>
      <c r="BO22" s="55">
        <v>4</v>
      </c>
      <c r="BQ22" s="55" t="s">
        <v>141</v>
      </c>
      <c r="BR22" s="55">
        <v>6320</v>
      </c>
      <c r="BV22" s="55" t="s">
        <v>143</v>
      </c>
      <c r="CB22" s="66">
        <v>11200</v>
      </c>
      <c r="CC22" s="66">
        <v>15100</v>
      </c>
      <c r="GN22" s="294">
        <v>14530</v>
      </c>
      <c r="GO22" s="294">
        <v>6600</v>
      </c>
      <c r="GP22" s="292" t="s">
        <v>5150</v>
      </c>
      <c r="HS22" s="227"/>
      <c r="HW22" s="227"/>
    </row>
    <row r="23" spans="1:286" x14ac:dyDescent="0.25">
      <c r="A23" s="55">
        <v>22</v>
      </c>
      <c r="B23" s="12" t="s">
        <v>7067</v>
      </c>
      <c r="C23" s="155">
        <v>3</v>
      </c>
      <c r="D23" s="55" t="s">
        <v>3701</v>
      </c>
      <c r="E23" s="90" t="s">
        <v>135</v>
      </c>
      <c r="G23" s="55" t="s">
        <v>136</v>
      </c>
      <c r="H23" s="55">
        <v>2008</v>
      </c>
      <c r="I23" s="55">
        <v>2004</v>
      </c>
      <c r="J23" s="55" t="s">
        <v>137</v>
      </c>
      <c r="K23" s="55" t="s">
        <v>138</v>
      </c>
      <c r="L23" s="55" t="s">
        <v>2738</v>
      </c>
      <c r="M23" s="90">
        <v>49.69</v>
      </c>
      <c r="N23" s="90">
        <v>-112.84</v>
      </c>
      <c r="O23" s="90">
        <v>901</v>
      </c>
      <c r="U23" s="55">
        <v>2</v>
      </c>
      <c r="V23" s="55" t="s">
        <v>1688</v>
      </c>
      <c r="Y23" s="55" t="s">
        <v>1803</v>
      </c>
      <c r="Z23" s="55" t="s">
        <v>1344</v>
      </c>
      <c r="AA23" s="90" t="s">
        <v>1344</v>
      </c>
      <c r="AE23" s="90">
        <v>37</v>
      </c>
      <c r="AF23" s="90">
        <v>30</v>
      </c>
      <c r="AH23" s="55" t="s">
        <v>139</v>
      </c>
      <c r="AM23" s="55" t="s">
        <v>1274</v>
      </c>
      <c r="AN23" s="185" t="s">
        <v>1534</v>
      </c>
      <c r="AO23" s="185" t="s">
        <v>5150</v>
      </c>
      <c r="AQ23" s="55" t="s">
        <v>1545</v>
      </c>
      <c r="AR23" s="55" t="s">
        <v>1559</v>
      </c>
      <c r="AS23" s="55" t="s">
        <v>227</v>
      </c>
      <c r="AU23" s="181" t="s">
        <v>7494</v>
      </c>
      <c r="AV23" s="185" t="s">
        <v>176</v>
      </c>
      <c r="AX23" s="185" t="s">
        <v>176</v>
      </c>
      <c r="BK23" s="55" t="s">
        <v>5976</v>
      </c>
      <c r="BM23" s="192" t="s">
        <v>119</v>
      </c>
      <c r="BN23" s="55">
        <v>4</v>
      </c>
      <c r="BO23" s="55">
        <v>4</v>
      </c>
      <c r="BQ23" s="55" t="s">
        <v>141</v>
      </c>
      <c r="BR23" s="55">
        <v>990</v>
      </c>
      <c r="BV23" s="55" t="s">
        <v>143</v>
      </c>
      <c r="CB23" s="66">
        <v>11200</v>
      </c>
      <c r="CC23" s="66">
        <v>12700</v>
      </c>
      <c r="GN23" s="294">
        <v>14530</v>
      </c>
      <c r="GO23" s="294">
        <v>11830</v>
      </c>
      <c r="GP23" s="292" t="s">
        <v>5150</v>
      </c>
      <c r="HS23" s="227"/>
      <c r="HW23" s="227"/>
    </row>
    <row r="24" spans="1:286" x14ac:dyDescent="0.25">
      <c r="A24" s="55">
        <v>23</v>
      </c>
      <c r="B24" s="12" t="s">
        <v>7067</v>
      </c>
      <c r="C24" s="155">
        <v>3</v>
      </c>
      <c r="D24" s="55" t="s">
        <v>3701</v>
      </c>
      <c r="E24" s="90" t="s">
        <v>135</v>
      </c>
      <c r="G24" s="55" t="s">
        <v>136</v>
      </c>
      <c r="H24" s="55">
        <v>2008</v>
      </c>
      <c r="I24" s="55">
        <v>2004</v>
      </c>
      <c r="J24" s="55" t="s">
        <v>137</v>
      </c>
      <c r="K24" s="55" t="s">
        <v>138</v>
      </c>
      <c r="L24" s="55" t="s">
        <v>2738</v>
      </c>
      <c r="M24" s="90">
        <v>49.69</v>
      </c>
      <c r="N24" s="90">
        <v>-112.84</v>
      </c>
      <c r="O24" s="90">
        <v>901</v>
      </c>
      <c r="U24" s="55">
        <v>2</v>
      </c>
      <c r="V24" s="55" t="s">
        <v>1688</v>
      </c>
      <c r="Y24" s="55" t="s">
        <v>1803</v>
      </c>
      <c r="Z24" s="55" t="s">
        <v>1344</v>
      </c>
      <c r="AA24" s="90" t="s">
        <v>1344</v>
      </c>
      <c r="AE24" s="90">
        <v>37</v>
      </c>
      <c r="AF24" s="90">
        <v>30</v>
      </c>
      <c r="AH24" s="55" t="s">
        <v>139</v>
      </c>
      <c r="AM24" s="55" t="s">
        <v>1274</v>
      </c>
      <c r="AN24" s="185" t="s">
        <v>1535</v>
      </c>
      <c r="AO24" s="185" t="s">
        <v>5150</v>
      </c>
      <c r="AQ24" s="55" t="s">
        <v>1545</v>
      </c>
      <c r="AR24" s="55" t="s">
        <v>1559</v>
      </c>
      <c r="AS24" s="55" t="s">
        <v>227</v>
      </c>
      <c r="AU24" s="181" t="s">
        <v>7494</v>
      </c>
      <c r="AV24" s="185" t="s">
        <v>176</v>
      </c>
      <c r="AX24" s="185" t="s">
        <v>176</v>
      </c>
      <c r="BK24" s="55" t="s">
        <v>5976</v>
      </c>
      <c r="BM24" s="192" t="s">
        <v>119</v>
      </c>
      <c r="BN24" s="55">
        <v>4</v>
      </c>
      <c r="BO24" s="55">
        <v>4</v>
      </c>
      <c r="BQ24" s="55" t="s">
        <v>141</v>
      </c>
      <c r="BR24" s="55">
        <v>1070</v>
      </c>
      <c r="BV24" s="55" t="s">
        <v>143</v>
      </c>
      <c r="CB24" s="66">
        <v>11200</v>
      </c>
      <c r="CC24" s="66">
        <v>13600</v>
      </c>
      <c r="GN24" s="294">
        <v>14530</v>
      </c>
      <c r="GO24" s="294">
        <v>10700</v>
      </c>
      <c r="GP24" s="292" t="s">
        <v>5150</v>
      </c>
      <c r="HS24" s="227"/>
      <c r="HW24" s="227"/>
    </row>
    <row r="25" spans="1:286" x14ac:dyDescent="0.25">
      <c r="A25" s="55">
        <v>24</v>
      </c>
      <c r="B25" s="12" t="s">
        <v>7067</v>
      </c>
      <c r="C25" s="155">
        <v>3</v>
      </c>
      <c r="D25" s="55" t="s">
        <v>3700</v>
      </c>
      <c r="E25" s="90" t="s">
        <v>135</v>
      </c>
      <c r="G25" s="55" t="s">
        <v>136</v>
      </c>
      <c r="H25" s="55">
        <v>2008</v>
      </c>
      <c r="I25" s="55">
        <v>2004</v>
      </c>
      <c r="J25" s="55" t="s">
        <v>137</v>
      </c>
      <c r="K25" s="55" t="s">
        <v>138</v>
      </c>
      <c r="L25" s="55" t="s">
        <v>2738</v>
      </c>
      <c r="M25" s="90">
        <v>49.69</v>
      </c>
      <c r="N25" s="90">
        <v>-112.84</v>
      </c>
      <c r="O25" s="90">
        <v>901</v>
      </c>
      <c r="U25" s="55">
        <v>2</v>
      </c>
      <c r="V25" s="55" t="s">
        <v>1688</v>
      </c>
      <c r="Y25" s="55" t="s">
        <v>1803</v>
      </c>
      <c r="Z25" s="55" t="s">
        <v>1344</v>
      </c>
      <c r="AA25" s="90" t="s">
        <v>1344</v>
      </c>
      <c r="AE25" s="90">
        <v>37</v>
      </c>
      <c r="AF25" s="90">
        <v>30</v>
      </c>
      <c r="AH25" s="55" t="s">
        <v>139</v>
      </c>
      <c r="AM25" s="55" t="s">
        <v>1274</v>
      </c>
      <c r="AN25" s="185" t="s">
        <v>1526</v>
      </c>
      <c r="AO25" s="185" t="s">
        <v>5150</v>
      </c>
      <c r="AQ25" s="55" t="s">
        <v>131</v>
      </c>
      <c r="AR25" s="55" t="s">
        <v>1559</v>
      </c>
      <c r="AS25" s="55" t="s">
        <v>227</v>
      </c>
      <c r="AU25" s="181" t="s">
        <v>7494</v>
      </c>
      <c r="AV25" s="185" t="s">
        <v>176</v>
      </c>
      <c r="AX25" s="185" t="s">
        <v>176</v>
      </c>
      <c r="BK25" s="55" t="s">
        <v>5976</v>
      </c>
      <c r="BM25" s="192" t="s">
        <v>119</v>
      </c>
      <c r="BN25" s="55">
        <v>4</v>
      </c>
      <c r="BO25" s="55">
        <v>4</v>
      </c>
      <c r="BQ25" s="55" t="s">
        <v>141</v>
      </c>
      <c r="BR25" s="55">
        <v>1130</v>
      </c>
      <c r="BV25" s="55" t="s">
        <v>143</v>
      </c>
      <c r="CB25" s="66">
        <v>11200</v>
      </c>
      <c r="CC25" s="66">
        <v>12900</v>
      </c>
      <c r="GN25" s="294">
        <v>14530</v>
      </c>
      <c r="GO25" s="294">
        <v>9940</v>
      </c>
      <c r="GP25" s="292" t="s">
        <v>5150</v>
      </c>
      <c r="HS25" s="227"/>
      <c r="HW25" s="227"/>
    </row>
    <row r="26" spans="1:286" x14ac:dyDescent="0.25">
      <c r="A26" s="55">
        <v>25</v>
      </c>
      <c r="B26" s="12" t="s">
        <v>7067</v>
      </c>
      <c r="C26" s="155">
        <v>3</v>
      </c>
      <c r="D26" s="55" t="s">
        <v>3701</v>
      </c>
      <c r="E26" s="90" t="s">
        <v>135</v>
      </c>
      <c r="G26" s="55" t="s">
        <v>136</v>
      </c>
      <c r="H26" s="55">
        <v>2008</v>
      </c>
      <c r="I26" s="55">
        <v>2004</v>
      </c>
      <c r="J26" s="55" t="s">
        <v>137</v>
      </c>
      <c r="K26" s="55" t="s">
        <v>138</v>
      </c>
      <c r="L26" s="55" t="s">
        <v>2738</v>
      </c>
      <c r="M26" s="90">
        <v>49.69</v>
      </c>
      <c r="N26" s="90">
        <v>-112.84</v>
      </c>
      <c r="O26" s="90">
        <v>901</v>
      </c>
      <c r="U26" s="55">
        <v>2</v>
      </c>
      <c r="V26" s="55" t="s">
        <v>1688</v>
      </c>
      <c r="Y26" s="55" t="s">
        <v>1803</v>
      </c>
      <c r="Z26" s="55" t="s">
        <v>1344</v>
      </c>
      <c r="AA26" s="90" t="s">
        <v>1344</v>
      </c>
      <c r="AE26" s="90">
        <v>37</v>
      </c>
      <c r="AF26" s="90">
        <v>30</v>
      </c>
      <c r="AH26" s="55" t="s">
        <v>139</v>
      </c>
      <c r="AM26" s="55" t="s">
        <v>1274</v>
      </c>
      <c r="AN26" s="185" t="s">
        <v>1530</v>
      </c>
      <c r="AO26" s="185" t="s">
        <v>5150</v>
      </c>
      <c r="AQ26" s="55" t="s">
        <v>1545</v>
      </c>
      <c r="AR26" s="55" t="s">
        <v>1559</v>
      </c>
      <c r="AS26" s="55" t="s">
        <v>227</v>
      </c>
      <c r="AU26" s="181" t="s">
        <v>7494</v>
      </c>
      <c r="AV26" s="185" t="s">
        <v>176</v>
      </c>
      <c r="AX26" s="185" t="s">
        <v>176</v>
      </c>
      <c r="BK26" s="55" t="s">
        <v>5976</v>
      </c>
      <c r="BM26" s="192" t="s">
        <v>119</v>
      </c>
      <c r="BN26" s="55">
        <v>4</v>
      </c>
      <c r="BO26" s="55">
        <v>4</v>
      </c>
      <c r="BQ26" s="55" t="s">
        <v>141</v>
      </c>
      <c r="BR26" s="55">
        <v>560</v>
      </c>
      <c r="BV26" s="55" t="s">
        <v>143</v>
      </c>
      <c r="CB26" s="66">
        <v>11200</v>
      </c>
      <c r="CC26" s="66">
        <v>11400</v>
      </c>
      <c r="GN26" s="294">
        <v>14530</v>
      </c>
      <c r="GO26" s="294">
        <v>14000</v>
      </c>
      <c r="GP26" s="292" t="s">
        <v>5150</v>
      </c>
      <c r="HS26" s="227"/>
      <c r="HW26" s="227"/>
    </row>
    <row r="27" spans="1:286" x14ac:dyDescent="0.25">
      <c r="A27" s="55">
        <v>26</v>
      </c>
      <c r="B27" s="12" t="s">
        <v>7067</v>
      </c>
      <c r="C27" s="155">
        <v>3</v>
      </c>
      <c r="D27" s="55" t="s">
        <v>3701</v>
      </c>
      <c r="E27" s="90" t="s">
        <v>135</v>
      </c>
      <c r="G27" s="55" t="s">
        <v>136</v>
      </c>
      <c r="H27" s="55">
        <v>2008</v>
      </c>
      <c r="I27" s="55">
        <v>2004</v>
      </c>
      <c r="J27" s="55" t="s">
        <v>137</v>
      </c>
      <c r="K27" s="55" t="s">
        <v>138</v>
      </c>
      <c r="L27" s="55" t="s">
        <v>2738</v>
      </c>
      <c r="M27" s="90">
        <v>49.69</v>
      </c>
      <c r="N27" s="90">
        <v>-112.84</v>
      </c>
      <c r="O27" s="90">
        <v>901</v>
      </c>
      <c r="U27" s="55">
        <v>2</v>
      </c>
      <c r="V27" s="55" t="s">
        <v>1688</v>
      </c>
      <c r="Y27" s="55" t="s">
        <v>1803</v>
      </c>
      <c r="Z27" s="55" t="s">
        <v>1344</v>
      </c>
      <c r="AA27" s="90" t="s">
        <v>1344</v>
      </c>
      <c r="AE27" s="90">
        <v>37</v>
      </c>
      <c r="AF27" s="90">
        <v>30</v>
      </c>
      <c r="AH27" s="55" t="s">
        <v>139</v>
      </c>
      <c r="AM27" s="55" t="s">
        <v>1274</v>
      </c>
      <c r="AN27" s="185" t="s">
        <v>1531</v>
      </c>
      <c r="AO27" s="185" t="s">
        <v>5150</v>
      </c>
      <c r="AQ27" s="55" t="s">
        <v>1545</v>
      </c>
      <c r="AR27" s="55" t="s">
        <v>1559</v>
      </c>
      <c r="AS27" s="55" t="s">
        <v>227</v>
      </c>
      <c r="AU27" s="181" t="s">
        <v>7494</v>
      </c>
      <c r="AV27" s="185" t="s">
        <v>176</v>
      </c>
      <c r="AX27" s="185" t="s">
        <v>176</v>
      </c>
      <c r="BK27" s="55" t="s">
        <v>5976</v>
      </c>
      <c r="BM27" s="192" t="s">
        <v>119</v>
      </c>
      <c r="BN27" s="55">
        <v>4</v>
      </c>
      <c r="BO27" s="55">
        <v>4</v>
      </c>
      <c r="BQ27" s="55" t="s">
        <v>141</v>
      </c>
      <c r="BR27" s="55">
        <v>570</v>
      </c>
      <c r="BV27" s="55" t="s">
        <v>143</v>
      </c>
      <c r="CB27" s="66">
        <v>11200</v>
      </c>
      <c r="CC27" s="66">
        <v>12600</v>
      </c>
      <c r="GN27" s="294">
        <v>14530</v>
      </c>
      <c r="GO27" s="294">
        <v>14190</v>
      </c>
      <c r="GP27" s="292" t="s">
        <v>5150</v>
      </c>
      <c r="HS27" s="227"/>
      <c r="HW27" s="227"/>
    </row>
    <row r="28" spans="1:286" x14ac:dyDescent="0.25">
      <c r="A28" s="55">
        <v>27</v>
      </c>
      <c r="B28" s="12" t="s">
        <v>7067</v>
      </c>
      <c r="C28" s="155">
        <v>3</v>
      </c>
      <c r="D28" s="55" t="s">
        <v>3700</v>
      </c>
      <c r="E28" s="90" t="s">
        <v>135</v>
      </c>
      <c r="G28" s="55" t="s">
        <v>136</v>
      </c>
      <c r="H28" s="55">
        <v>2008</v>
      </c>
      <c r="I28" s="55">
        <v>2004</v>
      </c>
      <c r="J28" s="55" t="s">
        <v>137</v>
      </c>
      <c r="K28" s="55" t="s">
        <v>138</v>
      </c>
      <c r="L28" s="55" t="s">
        <v>2738</v>
      </c>
      <c r="M28" s="90">
        <v>49.69</v>
      </c>
      <c r="N28" s="90">
        <v>-112.84</v>
      </c>
      <c r="O28" s="90">
        <v>901</v>
      </c>
      <c r="U28" s="55">
        <v>2</v>
      </c>
      <c r="V28" s="55" t="s">
        <v>1688</v>
      </c>
      <c r="Y28" s="55" t="s">
        <v>1803</v>
      </c>
      <c r="Z28" s="55" t="s">
        <v>1344</v>
      </c>
      <c r="AA28" s="90" t="s">
        <v>1344</v>
      </c>
      <c r="AE28" s="90">
        <v>37</v>
      </c>
      <c r="AF28" s="90">
        <v>30</v>
      </c>
      <c r="AH28" s="55" t="s">
        <v>139</v>
      </c>
      <c r="AM28" s="55" t="s">
        <v>1274</v>
      </c>
      <c r="AN28" s="185" t="s">
        <v>1524</v>
      </c>
      <c r="AO28" s="185" t="s">
        <v>5150</v>
      </c>
      <c r="AQ28" s="55" t="s">
        <v>131</v>
      </c>
      <c r="AR28" s="55" t="s">
        <v>1559</v>
      </c>
      <c r="AS28" s="55" t="s">
        <v>227</v>
      </c>
      <c r="AU28" s="181" t="s">
        <v>7494</v>
      </c>
      <c r="AV28" s="185" t="s">
        <v>176</v>
      </c>
      <c r="AX28" s="185" t="s">
        <v>176</v>
      </c>
      <c r="BK28" s="55" t="s">
        <v>5976</v>
      </c>
      <c r="BM28" s="192" t="s">
        <v>119</v>
      </c>
      <c r="BN28" s="55">
        <v>4</v>
      </c>
      <c r="BO28" s="55">
        <v>4</v>
      </c>
      <c r="BQ28" s="55" t="s">
        <v>141</v>
      </c>
      <c r="BR28" s="55">
        <v>420</v>
      </c>
      <c r="BV28" s="55" t="s">
        <v>143</v>
      </c>
      <c r="CB28" s="66">
        <v>11200</v>
      </c>
      <c r="CC28" s="66">
        <v>11900</v>
      </c>
      <c r="GN28" s="294">
        <v>14530</v>
      </c>
      <c r="GO28" s="294">
        <v>12700</v>
      </c>
      <c r="GP28" s="292" t="s">
        <v>5150</v>
      </c>
      <c r="HS28" s="227"/>
      <c r="HW28" s="227"/>
    </row>
    <row r="29" spans="1:286" x14ac:dyDescent="0.25">
      <c r="A29" s="55">
        <v>28</v>
      </c>
      <c r="B29" s="12" t="s">
        <v>7067</v>
      </c>
      <c r="C29" s="155">
        <v>3</v>
      </c>
      <c r="D29" s="55" t="s">
        <v>3700</v>
      </c>
      <c r="E29" s="90" t="s">
        <v>135</v>
      </c>
      <c r="G29" s="55" t="s">
        <v>136</v>
      </c>
      <c r="H29" s="55">
        <v>2008</v>
      </c>
      <c r="I29" s="55">
        <v>2005</v>
      </c>
      <c r="J29" s="55" t="s">
        <v>137</v>
      </c>
      <c r="K29" s="55" t="s">
        <v>138</v>
      </c>
      <c r="L29" s="55" t="s">
        <v>2738</v>
      </c>
      <c r="M29" s="90">
        <v>49.69</v>
      </c>
      <c r="N29" s="90">
        <v>-112.84</v>
      </c>
      <c r="O29" s="90">
        <v>901</v>
      </c>
      <c r="U29" s="55">
        <v>3</v>
      </c>
      <c r="V29" s="55" t="s">
        <v>1688</v>
      </c>
      <c r="Y29" s="55" t="s">
        <v>1803</v>
      </c>
      <c r="Z29" s="55" t="s">
        <v>1344</v>
      </c>
      <c r="AA29" s="90" t="s">
        <v>1344</v>
      </c>
      <c r="AE29" s="90">
        <v>37</v>
      </c>
      <c r="AF29" s="90">
        <v>30</v>
      </c>
      <c r="AH29" s="55" t="s">
        <v>139</v>
      </c>
      <c r="AM29" s="55" t="s">
        <v>1274</v>
      </c>
      <c r="AN29" s="185" t="s">
        <v>1525</v>
      </c>
      <c r="AO29" s="185" t="s">
        <v>5150</v>
      </c>
      <c r="AQ29" s="55" t="s">
        <v>131</v>
      </c>
      <c r="AR29" s="55" t="s">
        <v>1559</v>
      </c>
      <c r="AS29" s="55" t="s">
        <v>227</v>
      </c>
      <c r="AU29" s="181" t="s">
        <v>7494</v>
      </c>
      <c r="AV29" s="185" t="s">
        <v>176</v>
      </c>
      <c r="AX29" s="185" t="s">
        <v>176</v>
      </c>
      <c r="BK29" s="55" t="s">
        <v>5976</v>
      </c>
      <c r="BM29" s="192" t="s">
        <v>119</v>
      </c>
      <c r="BN29" s="55">
        <v>4</v>
      </c>
      <c r="BO29" s="55">
        <v>4</v>
      </c>
      <c r="BQ29" s="55" t="s">
        <v>141</v>
      </c>
      <c r="BR29" s="55">
        <v>7940</v>
      </c>
      <c r="BV29" s="55" t="s">
        <v>143</v>
      </c>
      <c r="CB29" s="66">
        <v>4400</v>
      </c>
      <c r="CC29" s="66">
        <v>8400</v>
      </c>
      <c r="GN29" s="294">
        <v>19940</v>
      </c>
      <c r="GO29" s="294">
        <v>12920</v>
      </c>
      <c r="GP29" s="292" t="s">
        <v>5150</v>
      </c>
      <c r="HS29" s="227"/>
      <c r="HW29" s="227"/>
    </row>
    <row r="30" spans="1:286" x14ac:dyDescent="0.25">
      <c r="A30" s="55">
        <v>29</v>
      </c>
      <c r="B30" s="12" t="s">
        <v>7067</v>
      </c>
      <c r="C30" s="155">
        <v>3</v>
      </c>
      <c r="D30" s="55" t="s">
        <v>3701</v>
      </c>
      <c r="E30" s="90" t="s">
        <v>135</v>
      </c>
      <c r="G30" s="55" t="s">
        <v>136</v>
      </c>
      <c r="H30" s="55">
        <v>2008</v>
      </c>
      <c r="I30" s="55">
        <v>2005</v>
      </c>
      <c r="J30" s="55" t="s">
        <v>137</v>
      </c>
      <c r="K30" s="55" t="s">
        <v>138</v>
      </c>
      <c r="L30" s="55" t="s">
        <v>2738</v>
      </c>
      <c r="M30" s="90">
        <v>49.69</v>
      </c>
      <c r="N30" s="90">
        <v>-112.84</v>
      </c>
      <c r="O30" s="90">
        <v>901</v>
      </c>
      <c r="U30" s="55">
        <v>3</v>
      </c>
      <c r="V30" s="55" t="s">
        <v>1688</v>
      </c>
      <c r="Y30" s="55" t="s">
        <v>1803</v>
      </c>
      <c r="Z30" s="55" t="s">
        <v>1344</v>
      </c>
      <c r="AA30" s="90" t="s">
        <v>1344</v>
      </c>
      <c r="AE30" s="90">
        <v>37</v>
      </c>
      <c r="AF30" s="90">
        <v>30</v>
      </c>
      <c r="AH30" s="55" t="s">
        <v>139</v>
      </c>
      <c r="AM30" s="55" t="s">
        <v>1274</v>
      </c>
      <c r="AN30" s="185" t="s">
        <v>1534</v>
      </c>
      <c r="AO30" s="185" t="s">
        <v>5150</v>
      </c>
      <c r="AQ30" s="55" t="s">
        <v>1545</v>
      </c>
      <c r="AR30" s="55" t="s">
        <v>1559</v>
      </c>
      <c r="AS30" s="55" t="s">
        <v>227</v>
      </c>
      <c r="AU30" s="181" t="s">
        <v>7494</v>
      </c>
      <c r="AV30" s="185" t="s">
        <v>176</v>
      </c>
      <c r="AX30" s="185" t="s">
        <v>176</v>
      </c>
      <c r="BK30" s="55" t="s">
        <v>5976</v>
      </c>
      <c r="BM30" s="192" t="s">
        <v>119</v>
      </c>
      <c r="BN30" s="55">
        <v>4</v>
      </c>
      <c r="BO30" s="55">
        <v>4</v>
      </c>
      <c r="BQ30" s="55" t="s">
        <v>141</v>
      </c>
      <c r="BR30" s="55">
        <v>380</v>
      </c>
      <c r="BV30" s="55" t="s">
        <v>143</v>
      </c>
      <c r="CB30" s="66">
        <v>4400</v>
      </c>
      <c r="CC30" s="66">
        <v>6300</v>
      </c>
      <c r="GN30" s="294">
        <v>19940</v>
      </c>
      <c r="GO30" s="294">
        <v>16720</v>
      </c>
      <c r="GP30" s="292" t="s">
        <v>5150</v>
      </c>
      <c r="HS30" s="227"/>
      <c r="HW30" s="227"/>
    </row>
    <row r="31" spans="1:286" x14ac:dyDescent="0.25">
      <c r="A31" s="55">
        <v>30</v>
      </c>
      <c r="B31" s="12" t="s">
        <v>7067</v>
      </c>
      <c r="C31" s="155">
        <v>3</v>
      </c>
      <c r="D31" s="55" t="s">
        <v>3701</v>
      </c>
      <c r="E31" s="90" t="s">
        <v>135</v>
      </c>
      <c r="G31" s="55" t="s">
        <v>136</v>
      </c>
      <c r="H31" s="55">
        <v>2008</v>
      </c>
      <c r="I31" s="55">
        <v>2005</v>
      </c>
      <c r="J31" s="55" t="s">
        <v>137</v>
      </c>
      <c r="K31" s="55" t="s">
        <v>138</v>
      </c>
      <c r="L31" s="55" t="s">
        <v>2738</v>
      </c>
      <c r="M31" s="90">
        <v>49.69</v>
      </c>
      <c r="N31" s="90">
        <v>-112.84</v>
      </c>
      <c r="O31" s="90">
        <v>901</v>
      </c>
      <c r="U31" s="55">
        <v>3</v>
      </c>
      <c r="V31" s="55" t="s">
        <v>1688</v>
      </c>
      <c r="Y31" s="55" t="s">
        <v>1803</v>
      </c>
      <c r="Z31" s="55" t="s">
        <v>1344</v>
      </c>
      <c r="AA31" s="90" t="s">
        <v>1344</v>
      </c>
      <c r="AE31" s="90">
        <v>37</v>
      </c>
      <c r="AF31" s="90">
        <v>30</v>
      </c>
      <c r="AH31" s="55" t="s">
        <v>139</v>
      </c>
      <c r="AM31" s="55" t="s">
        <v>1274</v>
      </c>
      <c r="AN31" s="185" t="s">
        <v>1535</v>
      </c>
      <c r="AO31" s="185" t="s">
        <v>5150</v>
      </c>
      <c r="AQ31" s="55" t="s">
        <v>1545</v>
      </c>
      <c r="AR31" s="55" t="s">
        <v>1559</v>
      </c>
      <c r="AS31" s="55" t="s">
        <v>227</v>
      </c>
      <c r="AU31" s="181" t="s">
        <v>7494</v>
      </c>
      <c r="AV31" s="185" t="s">
        <v>176</v>
      </c>
      <c r="AX31" s="185" t="s">
        <v>176</v>
      </c>
      <c r="BK31" s="55" t="s">
        <v>5976</v>
      </c>
      <c r="BM31" s="192" t="s">
        <v>119</v>
      </c>
      <c r="BN31" s="55">
        <v>4</v>
      </c>
      <c r="BO31" s="55">
        <v>4</v>
      </c>
      <c r="BQ31" s="55" t="s">
        <v>141</v>
      </c>
      <c r="BR31" s="55">
        <v>400</v>
      </c>
      <c r="BV31" s="55" t="s">
        <v>143</v>
      </c>
      <c r="CB31" s="66">
        <v>4400</v>
      </c>
      <c r="CC31" s="66">
        <v>6500</v>
      </c>
      <c r="GN31" s="294">
        <v>19940</v>
      </c>
      <c r="GO31" s="294">
        <v>14690</v>
      </c>
      <c r="GP31" s="292" t="s">
        <v>5150</v>
      </c>
      <c r="HS31" s="227"/>
      <c r="HW31" s="227"/>
    </row>
    <row r="32" spans="1:286" x14ac:dyDescent="0.25">
      <c r="A32" s="55">
        <v>31</v>
      </c>
      <c r="B32" s="12" t="s">
        <v>7067</v>
      </c>
      <c r="C32" s="155">
        <v>3</v>
      </c>
      <c r="D32" s="55" t="s">
        <v>3700</v>
      </c>
      <c r="E32" s="90" t="s">
        <v>135</v>
      </c>
      <c r="G32" s="55" t="s">
        <v>136</v>
      </c>
      <c r="H32" s="55">
        <v>2008</v>
      </c>
      <c r="I32" s="55">
        <v>2005</v>
      </c>
      <c r="J32" s="55" t="s">
        <v>137</v>
      </c>
      <c r="K32" s="55" t="s">
        <v>138</v>
      </c>
      <c r="L32" s="55" t="s">
        <v>2738</v>
      </c>
      <c r="M32" s="90">
        <v>49.69</v>
      </c>
      <c r="N32" s="90">
        <v>-112.84</v>
      </c>
      <c r="O32" s="90">
        <v>901</v>
      </c>
      <c r="U32" s="55">
        <v>3</v>
      </c>
      <c r="V32" s="55" t="s">
        <v>1688</v>
      </c>
      <c r="Y32" s="55" t="s">
        <v>1803</v>
      </c>
      <c r="Z32" s="55" t="s">
        <v>1344</v>
      </c>
      <c r="AA32" s="90" t="s">
        <v>1344</v>
      </c>
      <c r="AE32" s="90">
        <v>37</v>
      </c>
      <c r="AF32" s="90">
        <v>30</v>
      </c>
      <c r="AH32" s="55" t="s">
        <v>139</v>
      </c>
      <c r="AM32" s="55" t="s">
        <v>1274</v>
      </c>
      <c r="AN32" s="185" t="s">
        <v>1526</v>
      </c>
      <c r="AO32" s="185" t="s">
        <v>5150</v>
      </c>
      <c r="AQ32" s="55" t="s">
        <v>131</v>
      </c>
      <c r="AR32" s="55" t="s">
        <v>1559</v>
      </c>
      <c r="AS32" s="55" t="s">
        <v>227</v>
      </c>
      <c r="AU32" s="181" t="s">
        <v>7494</v>
      </c>
      <c r="AV32" s="185" t="s">
        <v>176</v>
      </c>
      <c r="AX32" s="185" t="s">
        <v>176</v>
      </c>
      <c r="BK32" s="55" t="s">
        <v>5976</v>
      </c>
      <c r="BM32" s="192" t="s">
        <v>119</v>
      </c>
      <c r="BN32" s="55">
        <v>4</v>
      </c>
      <c r="BO32" s="55">
        <v>4</v>
      </c>
      <c r="BQ32" s="55" t="s">
        <v>141</v>
      </c>
      <c r="BR32" s="55">
        <v>1140</v>
      </c>
      <c r="BV32" s="55" t="s">
        <v>143</v>
      </c>
      <c r="CB32" s="66">
        <v>4400</v>
      </c>
      <c r="CC32" s="66">
        <v>5700</v>
      </c>
      <c r="GN32" s="294">
        <v>19940</v>
      </c>
      <c r="GO32" s="294">
        <v>15610</v>
      </c>
      <c r="GP32" s="292" t="s">
        <v>5150</v>
      </c>
      <c r="HS32" s="227"/>
      <c r="HW32" s="227"/>
    </row>
    <row r="33" spans="1:231" x14ac:dyDescent="0.25">
      <c r="A33" s="55">
        <v>32</v>
      </c>
      <c r="B33" s="12" t="s">
        <v>7067</v>
      </c>
      <c r="C33" s="155">
        <v>3</v>
      </c>
      <c r="D33" s="55" t="s">
        <v>3701</v>
      </c>
      <c r="E33" s="90" t="s">
        <v>135</v>
      </c>
      <c r="G33" s="55" t="s">
        <v>136</v>
      </c>
      <c r="H33" s="55">
        <v>2008</v>
      </c>
      <c r="I33" s="55">
        <v>2005</v>
      </c>
      <c r="J33" s="55" t="s">
        <v>137</v>
      </c>
      <c r="K33" s="55" t="s">
        <v>138</v>
      </c>
      <c r="L33" s="55" t="s">
        <v>2738</v>
      </c>
      <c r="M33" s="90">
        <v>49.69</v>
      </c>
      <c r="N33" s="90">
        <v>-112.84</v>
      </c>
      <c r="O33" s="90">
        <v>901</v>
      </c>
      <c r="U33" s="55">
        <v>3</v>
      </c>
      <c r="V33" s="55" t="s">
        <v>1688</v>
      </c>
      <c r="Y33" s="55" t="s">
        <v>1803</v>
      </c>
      <c r="Z33" s="55" t="s">
        <v>1344</v>
      </c>
      <c r="AA33" s="90" t="s">
        <v>1344</v>
      </c>
      <c r="AE33" s="90">
        <v>37</v>
      </c>
      <c r="AF33" s="90">
        <v>30</v>
      </c>
      <c r="AH33" s="55" t="s">
        <v>139</v>
      </c>
      <c r="AM33" s="55" t="s">
        <v>1274</v>
      </c>
      <c r="AN33" s="185" t="s">
        <v>1530</v>
      </c>
      <c r="AO33" s="185" t="s">
        <v>5150</v>
      </c>
      <c r="AQ33" s="55" t="s">
        <v>1545</v>
      </c>
      <c r="AR33" s="55" t="s">
        <v>1559</v>
      </c>
      <c r="AS33" s="55" t="s">
        <v>227</v>
      </c>
      <c r="AU33" s="181" t="s">
        <v>7494</v>
      </c>
      <c r="AV33" s="185" t="s">
        <v>176</v>
      </c>
      <c r="AX33" s="185" t="s">
        <v>176</v>
      </c>
      <c r="BK33" s="55" t="s">
        <v>5976</v>
      </c>
      <c r="BM33" s="192" t="s">
        <v>119</v>
      </c>
      <c r="BN33" s="55">
        <v>4</v>
      </c>
      <c r="BO33" s="55">
        <v>4</v>
      </c>
      <c r="BQ33" s="55" t="s">
        <v>141</v>
      </c>
      <c r="BR33" s="55">
        <v>190</v>
      </c>
      <c r="BV33" s="55" t="s">
        <v>143</v>
      </c>
      <c r="CB33" s="66">
        <v>4400</v>
      </c>
      <c r="CC33" s="66">
        <v>4300</v>
      </c>
      <c r="GN33" s="294">
        <v>19940</v>
      </c>
      <c r="GO33" s="294">
        <v>19570</v>
      </c>
      <c r="GP33" s="292" t="s">
        <v>5150</v>
      </c>
      <c r="HS33" s="227"/>
      <c r="HW33" s="227"/>
    </row>
    <row r="34" spans="1:231" x14ac:dyDescent="0.25">
      <c r="A34" s="55">
        <v>33</v>
      </c>
      <c r="B34" s="12" t="s">
        <v>7067</v>
      </c>
      <c r="C34" s="155">
        <v>3</v>
      </c>
      <c r="D34" s="55" t="s">
        <v>3701</v>
      </c>
      <c r="E34" s="90" t="s">
        <v>135</v>
      </c>
      <c r="G34" s="55" t="s">
        <v>136</v>
      </c>
      <c r="H34" s="55">
        <v>2008</v>
      </c>
      <c r="I34" s="55">
        <v>2005</v>
      </c>
      <c r="J34" s="55" t="s">
        <v>137</v>
      </c>
      <c r="K34" s="55" t="s">
        <v>138</v>
      </c>
      <c r="L34" s="55" t="s">
        <v>2738</v>
      </c>
      <c r="M34" s="90">
        <v>49.69</v>
      </c>
      <c r="N34" s="90">
        <v>-112.84</v>
      </c>
      <c r="O34" s="90">
        <v>901</v>
      </c>
      <c r="U34" s="55">
        <v>3</v>
      </c>
      <c r="V34" s="55" t="s">
        <v>1688</v>
      </c>
      <c r="Y34" s="55" t="s">
        <v>1803</v>
      </c>
      <c r="Z34" s="55" t="s">
        <v>1344</v>
      </c>
      <c r="AA34" s="90" t="s">
        <v>1344</v>
      </c>
      <c r="AE34" s="90">
        <v>37</v>
      </c>
      <c r="AF34" s="90">
        <v>30</v>
      </c>
      <c r="AH34" s="55" t="s">
        <v>139</v>
      </c>
      <c r="AM34" s="55" t="s">
        <v>1274</v>
      </c>
      <c r="AN34" s="185" t="s">
        <v>1531</v>
      </c>
      <c r="AO34" s="185" t="s">
        <v>5150</v>
      </c>
      <c r="AQ34" s="55" t="s">
        <v>1545</v>
      </c>
      <c r="AR34" s="55" t="s">
        <v>1559</v>
      </c>
      <c r="AS34" s="55" t="s">
        <v>227</v>
      </c>
      <c r="AU34" s="181" t="s">
        <v>7494</v>
      </c>
      <c r="AV34" s="185" t="s">
        <v>176</v>
      </c>
      <c r="AX34" s="185" t="s">
        <v>176</v>
      </c>
      <c r="BK34" s="55" t="s">
        <v>5976</v>
      </c>
      <c r="BM34" s="192" t="s">
        <v>119</v>
      </c>
      <c r="BN34" s="55">
        <v>4</v>
      </c>
      <c r="BO34" s="55">
        <v>4</v>
      </c>
      <c r="BQ34" s="55" t="s">
        <v>141</v>
      </c>
      <c r="BR34" s="55">
        <v>280</v>
      </c>
      <c r="BV34" s="55" t="s">
        <v>143</v>
      </c>
      <c r="CB34" s="66">
        <v>4400</v>
      </c>
      <c r="CC34" s="66">
        <v>4800</v>
      </c>
      <c r="GN34" s="294">
        <v>19940</v>
      </c>
      <c r="GO34" s="294">
        <v>20400</v>
      </c>
      <c r="GP34" s="292" t="s">
        <v>5150</v>
      </c>
      <c r="HS34" s="227"/>
      <c r="HW34" s="227"/>
    </row>
    <row r="35" spans="1:231" x14ac:dyDescent="0.25">
      <c r="A35" s="55">
        <v>34</v>
      </c>
      <c r="B35" s="12" t="s">
        <v>7067</v>
      </c>
      <c r="C35" s="155">
        <v>3</v>
      </c>
      <c r="D35" s="55" t="s">
        <v>3700</v>
      </c>
      <c r="E35" s="90" t="s">
        <v>135</v>
      </c>
      <c r="G35" s="55" t="s">
        <v>136</v>
      </c>
      <c r="H35" s="55">
        <v>2008</v>
      </c>
      <c r="I35" s="55">
        <v>2005</v>
      </c>
      <c r="J35" s="55" t="s">
        <v>137</v>
      </c>
      <c r="K35" s="55" t="s">
        <v>138</v>
      </c>
      <c r="L35" s="55" t="s">
        <v>2738</v>
      </c>
      <c r="M35" s="90">
        <v>49.69</v>
      </c>
      <c r="N35" s="90">
        <v>-112.84</v>
      </c>
      <c r="O35" s="90">
        <v>901</v>
      </c>
      <c r="U35" s="55">
        <v>3</v>
      </c>
      <c r="V35" s="55" t="s">
        <v>1688</v>
      </c>
      <c r="Y35" s="55" t="s">
        <v>1803</v>
      </c>
      <c r="Z35" s="55" t="s">
        <v>1344</v>
      </c>
      <c r="AA35" s="90" t="s">
        <v>1344</v>
      </c>
      <c r="AE35" s="90">
        <v>37</v>
      </c>
      <c r="AF35" s="90">
        <v>30</v>
      </c>
      <c r="AH35" s="55" t="s">
        <v>139</v>
      </c>
      <c r="AM35" s="55" t="s">
        <v>1274</v>
      </c>
      <c r="AN35" s="185" t="s">
        <v>1524</v>
      </c>
      <c r="AO35" s="185" t="s">
        <v>5150</v>
      </c>
      <c r="AQ35" s="55" t="s">
        <v>131</v>
      </c>
      <c r="AR35" s="55" t="s">
        <v>1559</v>
      </c>
      <c r="AS35" s="55" t="s">
        <v>227</v>
      </c>
      <c r="AU35" s="181" t="s">
        <v>7494</v>
      </c>
      <c r="AV35" s="185" t="s">
        <v>176</v>
      </c>
      <c r="AX35" s="185" t="s">
        <v>176</v>
      </c>
      <c r="BK35" s="55" t="s">
        <v>5976</v>
      </c>
      <c r="BM35" s="192" t="s">
        <v>119</v>
      </c>
      <c r="BN35" s="55">
        <v>4</v>
      </c>
      <c r="BO35" s="55">
        <v>4</v>
      </c>
      <c r="BQ35" s="55" t="s">
        <v>141</v>
      </c>
      <c r="BR35" s="55">
        <v>230</v>
      </c>
      <c r="BV35" s="55" t="s">
        <v>143</v>
      </c>
      <c r="CB35" s="66">
        <v>4400</v>
      </c>
      <c r="CC35" s="66">
        <v>5000</v>
      </c>
      <c r="GN35" s="294">
        <v>19940</v>
      </c>
      <c r="GO35" s="294">
        <v>20380</v>
      </c>
      <c r="GP35" s="292" t="s">
        <v>5150</v>
      </c>
      <c r="HS35" s="227"/>
      <c r="HW35" s="227"/>
    </row>
    <row r="36" spans="1:231" x14ac:dyDescent="0.25">
      <c r="A36" s="55">
        <v>35</v>
      </c>
      <c r="B36" s="12" t="s">
        <v>7067</v>
      </c>
      <c r="C36" s="155">
        <v>3</v>
      </c>
      <c r="D36" s="55" t="s">
        <v>3700</v>
      </c>
      <c r="E36" s="90" t="s">
        <v>135</v>
      </c>
      <c r="G36" s="55" t="s">
        <v>136</v>
      </c>
      <c r="H36" s="55">
        <v>2008</v>
      </c>
      <c r="I36" s="55">
        <v>2003</v>
      </c>
      <c r="J36" s="55" t="s">
        <v>137</v>
      </c>
      <c r="K36" s="55" t="s">
        <v>138</v>
      </c>
      <c r="L36" s="55" t="s">
        <v>2738</v>
      </c>
      <c r="M36" s="90">
        <v>49.69</v>
      </c>
      <c r="N36" s="90">
        <v>-112.84</v>
      </c>
      <c r="O36" s="90">
        <v>901</v>
      </c>
      <c r="U36" s="55">
        <v>1</v>
      </c>
      <c r="V36" s="55" t="s">
        <v>1688</v>
      </c>
      <c r="Y36" s="55" t="s">
        <v>1803</v>
      </c>
      <c r="Z36" s="55" t="s">
        <v>1344</v>
      </c>
      <c r="AA36" s="90" t="s">
        <v>1344</v>
      </c>
      <c r="AE36" s="90">
        <v>37</v>
      </c>
      <c r="AF36" s="90">
        <v>30</v>
      </c>
      <c r="AH36" s="55" t="s">
        <v>139</v>
      </c>
      <c r="AM36" s="55" t="s">
        <v>1274</v>
      </c>
      <c r="AN36" s="185" t="s">
        <v>1525</v>
      </c>
      <c r="AO36" s="185" t="s">
        <v>5150</v>
      </c>
      <c r="AQ36" s="55" t="s">
        <v>131</v>
      </c>
      <c r="AR36" s="55" t="s">
        <v>1559</v>
      </c>
      <c r="AS36" s="55" t="s">
        <v>227</v>
      </c>
      <c r="AU36" s="181" t="s">
        <v>7494</v>
      </c>
      <c r="AV36" s="185" t="s">
        <v>176</v>
      </c>
      <c r="AX36" s="185" t="s">
        <v>176</v>
      </c>
      <c r="BK36" s="55" t="s">
        <v>5976</v>
      </c>
      <c r="BM36" s="192" t="s">
        <v>119</v>
      </c>
      <c r="BN36" s="55">
        <v>4</v>
      </c>
      <c r="BO36" s="55">
        <v>4</v>
      </c>
      <c r="BQ36" s="55" t="s">
        <v>141</v>
      </c>
      <c r="BR36" s="55">
        <v>5520</v>
      </c>
      <c r="BV36" s="55" t="s">
        <v>144</v>
      </c>
      <c r="CB36" s="66">
        <v>33800</v>
      </c>
      <c r="CC36" s="66">
        <v>37300</v>
      </c>
      <c r="GN36" s="294">
        <v>3010</v>
      </c>
      <c r="GO36" s="294">
        <v>1420</v>
      </c>
      <c r="GP36" s="292" t="s">
        <v>5150</v>
      </c>
      <c r="HS36" s="227"/>
      <c r="HW36" s="227"/>
    </row>
    <row r="37" spans="1:231" x14ac:dyDescent="0.25">
      <c r="A37" s="55">
        <v>36</v>
      </c>
      <c r="B37" s="12" t="s">
        <v>7067</v>
      </c>
      <c r="C37" s="155">
        <v>3</v>
      </c>
      <c r="D37" s="55" t="s">
        <v>3701</v>
      </c>
      <c r="E37" s="90" t="s">
        <v>135</v>
      </c>
      <c r="G37" s="55" t="s">
        <v>136</v>
      </c>
      <c r="H37" s="55">
        <v>2008</v>
      </c>
      <c r="I37" s="55">
        <v>2003</v>
      </c>
      <c r="J37" s="55" t="s">
        <v>137</v>
      </c>
      <c r="K37" s="55" t="s">
        <v>138</v>
      </c>
      <c r="L37" s="55" t="s">
        <v>2738</v>
      </c>
      <c r="M37" s="90">
        <v>49.69</v>
      </c>
      <c r="N37" s="90">
        <v>-112.84</v>
      </c>
      <c r="O37" s="90">
        <v>901</v>
      </c>
      <c r="U37" s="55">
        <v>1</v>
      </c>
      <c r="V37" s="55" t="s">
        <v>1688</v>
      </c>
      <c r="Y37" s="55" t="s">
        <v>1803</v>
      </c>
      <c r="Z37" s="55" t="s">
        <v>1344</v>
      </c>
      <c r="AA37" s="90" t="s">
        <v>1344</v>
      </c>
      <c r="AE37" s="90">
        <v>37</v>
      </c>
      <c r="AF37" s="90">
        <v>30</v>
      </c>
      <c r="AH37" s="55" t="s">
        <v>139</v>
      </c>
      <c r="AM37" s="55" t="s">
        <v>1274</v>
      </c>
      <c r="AN37" s="185" t="s">
        <v>1534</v>
      </c>
      <c r="AO37" s="185" t="s">
        <v>5150</v>
      </c>
      <c r="AQ37" s="55" t="s">
        <v>1545</v>
      </c>
      <c r="AR37" s="55" t="s">
        <v>1559</v>
      </c>
      <c r="AS37" s="55" t="s">
        <v>227</v>
      </c>
      <c r="AU37" s="181" t="s">
        <v>7494</v>
      </c>
      <c r="AV37" s="185" t="s">
        <v>176</v>
      </c>
      <c r="AX37" s="185" t="s">
        <v>176</v>
      </c>
      <c r="BK37" s="55" t="s">
        <v>5976</v>
      </c>
      <c r="BM37" s="192" t="s">
        <v>119</v>
      </c>
      <c r="BN37" s="55">
        <v>4</v>
      </c>
      <c r="BO37" s="55">
        <v>4</v>
      </c>
      <c r="BQ37" s="55" t="s">
        <v>141</v>
      </c>
      <c r="BR37" s="55">
        <v>1320</v>
      </c>
      <c r="BV37" s="55" t="s">
        <v>144</v>
      </c>
      <c r="CB37" s="66">
        <v>33800</v>
      </c>
      <c r="CC37" s="66">
        <v>35600</v>
      </c>
      <c r="GN37" s="294">
        <v>3010</v>
      </c>
      <c r="GO37" s="294">
        <v>3470</v>
      </c>
      <c r="GP37" s="292" t="s">
        <v>5150</v>
      </c>
      <c r="HS37" s="227"/>
      <c r="HW37" s="227"/>
    </row>
    <row r="38" spans="1:231" x14ac:dyDescent="0.25">
      <c r="A38" s="55">
        <v>37</v>
      </c>
      <c r="B38" s="12" t="s">
        <v>7067</v>
      </c>
      <c r="C38" s="155">
        <v>3</v>
      </c>
      <c r="D38" s="55" t="s">
        <v>3701</v>
      </c>
      <c r="E38" s="90" t="s">
        <v>135</v>
      </c>
      <c r="G38" s="55" t="s">
        <v>136</v>
      </c>
      <c r="H38" s="55">
        <v>2008</v>
      </c>
      <c r="I38" s="55">
        <v>2003</v>
      </c>
      <c r="J38" s="55" t="s">
        <v>137</v>
      </c>
      <c r="K38" s="55" t="s">
        <v>138</v>
      </c>
      <c r="L38" s="55" t="s">
        <v>2738</v>
      </c>
      <c r="M38" s="90">
        <v>49.69</v>
      </c>
      <c r="N38" s="90">
        <v>-112.84</v>
      </c>
      <c r="O38" s="90">
        <v>901</v>
      </c>
      <c r="U38" s="55">
        <v>1</v>
      </c>
      <c r="V38" s="55" t="s">
        <v>1688</v>
      </c>
      <c r="Y38" s="55" t="s">
        <v>1803</v>
      </c>
      <c r="Z38" s="55" t="s">
        <v>1344</v>
      </c>
      <c r="AA38" s="90" t="s">
        <v>1344</v>
      </c>
      <c r="AE38" s="90">
        <v>37</v>
      </c>
      <c r="AF38" s="90">
        <v>30</v>
      </c>
      <c r="AH38" s="55" t="s">
        <v>139</v>
      </c>
      <c r="AM38" s="55" t="s">
        <v>1274</v>
      </c>
      <c r="AN38" s="185" t="s">
        <v>1535</v>
      </c>
      <c r="AO38" s="185" t="s">
        <v>5150</v>
      </c>
      <c r="AQ38" s="55" t="s">
        <v>1545</v>
      </c>
      <c r="AR38" s="55" t="s">
        <v>1559</v>
      </c>
      <c r="AS38" s="55" t="s">
        <v>227</v>
      </c>
      <c r="AU38" s="181" t="s">
        <v>7494</v>
      </c>
      <c r="AV38" s="185" t="s">
        <v>176</v>
      </c>
      <c r="AX38" s="185" t="s">
        <v>176</v>
      </c>
      <c r="BK38" s="55" t="s">
        <v>5976</v>
      </c>
      <c r="BM38" s="192" t="s">
        <v>119</v>
      </c>
      <c r="BN38" s="55">
        <v>4</v>
      </c>
      <c r="BO38" s="55">
        <v>4</v>
      </c>
      <c r="BQ38" s="55" t="s">
        <v>141</v>
      </c>
      <c r="BR38" s="55">
        <v>1170</v>
      </c>
      <c r="BV38" s="55" t="s">
        <v>144</v>
      </c>
      <c r="CB38" s="66">
        <v>33800</v>
      </c>
      <c r="CC38" s="66">
        <v>36100</v>
      </c>
      <c r="GN38" s="294">
        <v>3010</v>
      </c>
      <c r="GO38" s="294">
        <v>2700</v>
      </c>
      <c r="GP38" s="292" t="s">
        <v>5150</v>
      </c>
      <c r="HS38" s="227"/>
      <c r="HW38" s="227"/>
    </row>
    <row r="39" spans="1:231" x14ac:dyDescent="0.25">
      <c r="A39" s="55">
        <v>38</v>
      </c>
      <c r="B39" s="12" t="s">
        <v>7067</v>
      </c>
      <c r="C39" s="155">
        <v>3</v>
      </c>
      <c r="D39" s="55" t="s">
        <v>3700</v>
      </c>
      <c r="E39" s="90" t="s">
        <v>135</v>
      </c>
      <c r="G39" s="55" t="s">
        <v>136</v>
      </c>
      <c r="H39" s="55">
        <v>2008</v>
      </c>
      <c r="I39" s="55">
        <v>2003</v>
      </c>
      <c r="J39" s="55" t="s">
        <v>137</v>
      </c>
      <c r="K39" s="55" t="s">
        <v>138</v>
      </c>
      <c r="L39" s="55" t="s">
        <v>2738</v>
      </c>
      <c r="M39" s="90">
        <v>49.69</v>
      </c>
      <c r="N39" s="90">
        <v>-112.84</v>
      </c>
      <c r="O39" s="90">
        <v>901</v>
      </c>
      <c r="U39" s="55">
        <v>1</v>
      </c>
      <c r="V39" s="55" t="s">
        <v>1688</v>
      </c>
      <c r="Y39" s="55" t="s">
        <v>1803</v>
      </c>
      <c r="Z39" s="55" t="s">
        <v>1344</v>
      </c>
      <c r="AA39" s="90" t="s">
        <v>1344</v>
      </c>
      <c r="AE39" s="90">
        <v>37</v>
      </c>
      <c r="AF39" s="90">
        <v>30</v>
      </c>
      <c r="AH39" s="55" t="s">
        <v>139</v>
      </c>
      <c r="AM39" s="55" t="s">
        <v>1274</v>
      </c>
      <c r="AN39" s="185" t="s">
        <v>1526</v>
      </c>
      <c r="AO39" s="185" t="s">
        <v>5150</v>
      </c>
      <c r="AQ39" s="55" t="s">
        <v>131</v>
      </c>
      <c r="AR39" s="55" t="s">
        <v>1559</v>
      </c>
      <c r="AS39" s="55" t="s">
        <v>227</v>
      </c>
      <c r="AU39" s="181" t="s">
        <v>7494</v>
      </c>
      <c r="AV39" s="185" t="s">
        <v>176</v>
      </c>
      <c r="AX39" s="185" t="s">
        <v>176</v>
      </c>
      <c r="BK39" s="55" t="s">
        <v>5976</v>
      </c>
      <c r="BM39" s="192" t="s">
        <v>119</v>
      </c>
      <c r="BN39" s="55">
        <v>4</v>
      </c>
      <c r="BO39" s="55">
        <v>4</v>
      </c>
      <c r="BQ39" s="55" t="s">
        <v>141</v>
      </c>
      <c r="BR39" s="55">
        <v>1480</v>
      </c>
      <c r="BV39" s="55" t="s">
        <v>144</v>
      </c>
      <c r="CB39" s="66">
        <v>33800</v>
      </c>
      <c r="CC39" s="66">
        <v>38300</v>
      </c>
      <c r="GN39" s="294">
        <v>3010</v>
      </c>
      <c r="GO39" s="294">
        <v>2580</v>
      </c>
      <c r="GP39" s="292" t="s">
        <v>5150</v>
      </c>
      <c r="HS39" s="227"/>
      <c r="HW39" s="227"/>
    </row>
    <row r="40" spans="1:231" x14ac:dyDescent="0.25">
      <c r="A40" s="55">
        <v>39</v>
      </c>
      <c r="B40" s="12" t="s">
        <v>7067</v>
      </c>
      <c r="C40" s="155">
        <v>3</v>
      </c>
      <c r="D40" s="55" t="s">
        <v>3701</v>
      </c>
      <c r="E40" s="90" t="s">
        <v>135</v>
      </c>
      <c r="G40" s="55" t="s">
        <v>136</v>
      </c>
      <c r="H40" s="55">
        <v>2008</v>
      </c>
      <c r="I40" s="55">
        <v>2003</v>
      </c>
      <c r="J40" s="55" t="s">
        <v>137</v>
      </c>
      <c r="K40" s="55" t="s">
        <v>138</v>
      </c>
      <c r="L40" s="55" t="s">
        <v>2738</v>
      </c>
      <c r="M40" s="90">
        <v>49.69</v>
      </c>
      <c r="N40" s="90">
        <v>-112.84</v>
      </c>
      <c r="O40" s="90">
        <v>901</v>
      </c>
      <c r="U40" s="55">
        <v>1</v>
      </c>
      <c r="V40" s="55" t="s">
        <v>1688</v>
      </c>
      <c r="Y40" s="55" t="s">
        <v>1803</v>
      </c>
      <c r="Z40" s="55" t="s">
        <v>1344</v>
      </c>
      <c r="AA40" s="90" t="s">
        <v>1344</v>
      </c>
      <c r="AE40" s="90">
        <v>37</v>
      </c>
      <c r="AF40" s="90">
        <v>30</v>
      </c>
      <c r="AH40" s="55" t="s">
        <v>139</v>
      </c>
      <c r="AM40" s="55" t="s">
        <v>1274</v>
      </c>
      <c r="AN40" s="185" t="s">
        <v>1530</v>
      </c>
      <c r="AO40" s="185" t="s">
        <v>5150</v>
      </c>
      <c r="AQ40" s="55" t="s">
        <v>1545</v>
      </c>
      <c r="AR40" s="55" t="s">
        <v>1559</v>
      </c>
      <c r="AS40" s="55" t="s">
        <v>227</v>
      </c>
      <c r="AU40" s="181" t="s">
        <v>7494</v>
      </c>
      <c r="AV40" s="185" t="s">
        <v>176</v>
      </c>
      <c r="AX40" s="185" t="s">
        <v>176</v>
      </c>
      <c r="BK40" s="55" t="s">
        <v>5976</v>
      </c>
      <c r="BM40" s="192" t="s">
        <v>119</v>
      </c>
      <c r="BN40" s="55">
        <v>4</v>
      </c>
      <c r="BO40" s="55">
        <v>4</v>
      </c>
      <c r="BQ40" s="55" t="s">
        <v>141</v>
      </c>
      <c r="BR40" s="55">
        <v>690</v>
      </c>
      <c r="BV40" s="55" t="s">
        <v>144</v>
      </c>
      <c r="CB40" s="66">
        <v>33800</v>
      </c>
      <c r="CC40" s="66">
        <v>35800</v>
      </c>
      <c r="GN40" s="294">
        <v>3010</v>
      </c>
      <c r="GO40" s="294">
        <v>2640</v>
      </c>
      <c r="GP40" s="292" t="s">
        <v>5150</v>
      </c>
      <c r="HS40" s="227"/>
      <c r="HW40" s="227"/>
    </row>
    <row r="41" spans="1:231" x14ac:dyDescent="0.25">
      <c r="A41" s="55">
        <v>40</v>
      </c>
      <c r="B41" s="12" t="s">
        <v>7067</v>
      </c>
      <c r="C41" s="155">
        <v>3</v>
      </c>
      <c r="D41" s="55" t="s">
        <v>3701</v>
      </c>
      <c r="E41" s="90" t="s">
        <v>135</v>
      </c>
      <c r="G41" s="55" t="s">
        <v>136</v>
      </c>
      <c r="H41" s="55">
        <v>2008</v>
      </c>
      <c r="I41" s="55">
        <v>2003</v>
      </c>
      <c r="J41" s="55" t="s">
        <v>137</v>
      </c>
      <c r="K41" s="55" t="s">
        <v>138</v>
      </c>
      <c r="L41" s="55" t="s">
        <v>2738</v>
      </c>
      <c r="M41" s="90">
        <v>49.69</v>
      </c>
      <c r="N41" s="90">
        <v>-112.84</v>
      </c>
      <c r="O41" s="90">
        <v>901</v>
      </c>
      <c r="U41" s="55">
        <v>1</v>
      </c>
      <c r="V41" s="55" t="s">
        <v>1688</v>
      </c>
      <c r="Y41" s="55" t="s">
        <v>1803</v>
      </c>
      <c r="Z41" s="55" t="s">
        <v>1344</v>
      </c>
      <c r="AA41" s="90" t="s">
        <v>1344</v>
      </c>
      <c r="AE41" s="90">
        <v>37</v>
      </c>
      <c r="AF41" s="90">
        <v>30</v>
      </c>
      <c r="AH41" s="55" t="s">
        <v>139</v>
      </c>
      <c r="AM41" s="55" t="s">
        <v>1274</v>
      </c>
      <c r="AN41" s="185" t="s">
        <v>1531</v>
      </c>
      <c r="AO41" s="185" t="s">
        <v>5150</v>
      </c>
      <c r="AQ41" s="55" t="s">
        <v>1545</v>
      </c>
      <c r="AR41" s="55" t="s">
        <v>1559</v>
      </c>
      <c r="AS41" s="55" t="s">
        <v>227</v>
      </c>
      <c r="AU41" s="181" t="s">
        <v>7494</v>
      </c>
      <c r="AV41" s="185" t="s">
        <v>176</v>
      </c>
      <c r="AX41" s="185" t="s">
        <v>176</v>
      </c>
      <c r="BK41" s="55" t="s">
        <v>5976</v>
      </c>
      <c r="BM41" s="192" t="s">
        <v>119</v>
      </c>
      <c r="BN41" s="55">
        <v>4</v>
      </c>
      <c r="BO41" s="55">
        <v>4</v>
      </c>
      <c r="BQ41" s="55" t="s">
        <v>141</v>
      </c>
      <c r="BR41" s="55">
        <v>400</v>
      </c>
      <c r="BV41" s="55" t="s">
        <v>144</v>
      </c>
      <c r="CB41" s="66">
        <v>33800</v>
      </c>
      <c r="CC41" s="66">
        <v>35200</v>
      </c>
      <c r="GN41" s="294">
        <v>3010</v>
      </c>
      <c r="GO41" s="294">
        <v>2820</v>
      </c>
      <c r="GP41" s="292" t="s">
        <v>5150</v>
      </c>
      <c r="HS41" s="227"/>
      <c r="HW41" s="227"/>
    </row>
    <row r="42" spans="1:231" x14ac:dyDescent="0.25">
      <c r="A42" s="55">
        <v>41</v>
      </c>
      <c r="B42" s="12" t="s">
        <v>7067</v>
      </c>
      <c r="C42" s="155">
        <v>3</v>
      </c>
      <c r="D42" s="55" t="s">
        <v>3700</v>
      </c>
      <c r="E42" s="90" t="s">
        <v>135</v>
      </c>
      <c r="G42" s="55" t="s">
        <v>136</v>
      </c>
      <c r="H42" s="55">
        <v>2008</v>
      </c>
      <c r="I42" s="55">
        <v>2003</v>
      </c>
      <c r="J42" s="55" t="s">
        <v>137</v>
      </c>
      <c r="K42" s="55" t="s">
        <v>138</v>
      </c>
      <c r="L42" s="55" t="s">
        <v>2738</v>
      </c>
      <c r="M42" s="90">
        <v>49.69</v>
      </c>
      <c r="N42" s="90">
        <v>-112.84</v>
      </c>
      <c r="O42" s="90">
        <v>901</v>
      </c>
      <c r="U42" s="55">
        <v>1</v>
      </c>
      <c r="V42" s="55" t="s">
        <v>1688</v>
      </c>
      <c r="Y42" s="55" t="s">
        <v>1803</v>
      </c>
      <c r="Z42" s="55" t="s">
        <v>1344</v>
      </c>
      <c r="AA42" s="90" t="s">
        <v>1344</v>
      </c>
      <c r="AE42" s="90">
        <v>37</v>
      </c>
      <c r="AF42" s="90">
        <v>30</v>
      </c>
      <c r="AH42" s="55" t="s">
        <v>139</v>
      </c>
      <c r="AM42" s="55" t="s">
        <v>1274</v>
      </c>
      <c r="AN42" s="185" t="s">
        <v>1524</v>
      </c>
      <c r="AO42" s="185" t="s">
        <v>5150</v>
      </c>
      <c r="AQ42" s="55" t="s">
        <v>131</v>
      </c>
      <c r="AR42" s="55" t="s">
        <v>1559</v>
      </c>
      <c r="AS42" s="55" t="s">
        <v>227</v>
      </c>
      <c r="AU42" s="181" t="s">
        <v>7494</v>
      </c>
      <c r="AV42" s="185" t="s">
        <v>176</v>
      </c>
      <c r="AX42" s="185" t="s">
        <v>176</v>
      </c>
      <c r="BK42" s="55" t="s">
        <v>5976</v>
      </c>
      <c r="BM42" s="192" t="s">
        <v>119</v>
      </c>
      <c r="BN42" s="55">
        <v>4</v>
      </c>
      <c r="BO42" s="55">
        <v>4</v>
      </c>
      <c r="BQ42" s="55" t="s">
        <v>141</v>
      </c>
      <c r="BR42" s="55">
        <v>470</v>
      </c>
      <c r="BV42" s="55" t="s">
        <v>144</v>
      </c>
      <c r="CB42" s="66">
        <v>33800</v>
      </c>
      <c r="CC42" s="66">
        <v>33900</v>
      </c>
      <c r="GN42" s="294">
        <v>3010</v>
      </c>
      <c r="GO42" s="294">
        <v>3430</v>
      </c>
      <c r="GP42" s="292" t="s">
        <v>5150</v>
      </c>
      <c r="HS42" s="227"/>
      <c r="HW42" s="227"/>
    </row>
    <row r="43" spans="1:231" x14ac:dyDescent="0.25">
      <c r="A43" s="55">
        <v>42</v>
      </c>
      <c r="B43" s="12" t="s">
        <v>7067</v>
      </c>
      <c r="C43" s="155">
        <v>3</v>
      </c>
      <c r="D43" s="55" t="s">
        <v>3700</v>
      </c>
      <c r="E43" s="90" t="s">
        <v>135</v>
      </c>
      <c r="G43" s="55" t="s">
        <v>136</v>
      </c>
      <c r="H43" s="55">
        <v>2008</v>
      </c>
      <c r="I43" s="55">
        <v>2004</v>
      </c>
      <c r="J43" s="55" t="s">
        <v>137</v>
      </c>
      <c r="K43" s="55" t="s">
        <v>138</v>
      </c>
      <c r="L43" s="55" t="s">
        <v>2738</v>
      </c>
      <c r="M43" s="90">
        <v>49.69</v>
      </c>
      <c r="N43" s="90">
        <v>-112.84</v>
      </c>
      <c r="O43" s="90">
        <v>901</v>
      </c>
      <c r="U43" s="55">
        <v>2</v>
      </c>
      <c r="V43" s="55" t="s">
        <v>1688</v>
      </c>
      <c r="Y43" s="55" t="s">
        <v>1803</v>
      </c>
      <c r="Z43" s="55" t="s">
        <v>1344</v>
      </c>
      <c r="AA43" s="90" t="s">
        <v>1344</v>
      </c>
      <c r="AE43" s="90">
        <v>37</v>
      </c>
      <c r="AF43" s="90">
        <v>30</v>
      </c>
      <c r="AH43" s="55" t="s">
        <v>139</v>
      </c>
      <c r="AM43" s="55" t="s">
        <v>1274</v>
      </c>
      <c r="AN43" s="185" t="s">
        <v>1525</v>
      </c>
      <c r="AO43" s="185" t="s">
        <v>5150</v>
      </c>
      <c r="AQ43" s="55" t="s">
        <v>131</v>
      </c>
      <c r="AR43" s="55" t="s">
        <v>1559</v>
      </c>
      <c r="AS43" s="55" t="s">
        <v>227</v>
      </c>
      <c r="AU43" s="181" t="s">
        <v>7494</v>
      </c>
      <c r="AV43" s="185" t="s">
        <v>176</v>
      </c>
      <c r="AX43" s="185" t="s">
        <v>176</v>
      </c>
      <c r="BK43" s="55" t="s">
        <v>5976</v>
      </c>
      <c r="BM43" s="192" t="s">
        <v>119</v>
      </c>
      <c r="BN43" s="55">
        <v>4</v>
      </c>
      <c r="BO43" s="55">
        <v>4</v>
      </c>
      <c r="BQ43" s="55" t="s">
        <v>141</v>
      </c>
      <c r="BR43" s="55">
        <v>6320</v>
      </c>
      <c r="BV43" s="55" t="s">
        <v>144</v>
      </c>
      <c r="CB43" s="66">
        <v>28900</v>
      </c>
      <c r="CC43" s="66">
        <v>30800</v>
      </c>
      <c r="GN43" s="294">
        <v>530</v>
      </c>
      <c r="GO43" s="294">
        <v>460</v>
      </c>
      <c r="GP43" s="292" t="s">
        <v>5150</v>
      </c>
      <c r="HS43" s="227"/>
      <c r="HW43" s="227"/>
    </row>
    <row r="44" spans="1:231" x14ac:dyDescent="0.25">
      <c r="A44" s="55">
        <v>43</v>
      </c>
      <c r="B44" s="12" t="s">
        <v>7067</v>
      </c>
      <c r="C44" s="155">
        <v>3</v>
      </c>
      <c r="D44" s="55" t="s">
        <v>3701</v>
      </c>
      <c r="E44" s="90" t="s">
        <v>135</v>
      </c>
      <c r="G44" s="55" t="s">
        <v>136</v>
      </c>
      <c r="H44" s="55">
        <v>2008</v>
      </c>
      <c r="I44" s="55">
        <v>2004</v>
      </c>
      <c r="J44" s="55" t="s">
        <v>137</v>
      </c>
      <c r="K44" s="55" t="s">
        <v>138</v>
      </c>
      <c r="L44" s="55" t="s">
        <v>2738</v>
      </c>
      <c r="M44" s="90">
        <v>49.69</v>
      </c>
      <c r="N44" s="90">
        <v>-112.84</v>
      </c>
      <c r="O44" s="90">
        <v>901</v>
      </c>
      <c r="U44" s="55">
        <v>2</v>
      </c>
      <c r="V44" s="55" t="s">
        <v>1688</v>
      </c>
      <c r="Y44" s="55" t="s">
        <v>1803</v>
      </c>
      <c r="Z44" s="55" t="s">
        <v>1344</v>
      </c>
      <c r="AA44" s="90" t="s">
        <v>1344</v>
      </c>
      <c r="AE44" s="90">
        <v>37</v>
      </c>
      <c r="AF44" s="90">
        <v>30</v>
      </c>
      <c r="AH44" s="55" t="s">
        <v>139</v>
      </c>
      <c r="AM44" s="55" t="s">
        <v>1274</v>
      </c>
      <c r="AN44" s="185" t="s">
        <v>1534</v>
      </c>
      <c r="AO44" s="185" t="s">
        <v>5150</v>
      </c>
      <c r="AQ44" s="55" t="s">
        <v>1545</v>
      </c>
      <c r="AR44" s="55" t="s">
        <v>1559</v>
      </c>
      <c r="AS44" s="55" t="s">
        <v>227</v>
      </c>
      <c r="AU44" s="181" t="s">
        <v>7494</v>
      </c>
      <c r="AV44" s="185" t="s">
        <v>176</v>
      </c>
      <c r="AX44" s="185" t="s">
        <v>176</v>
      </c>
      <c r="BK44" s="55" t="s">
        <v>5976</v>
      </c>
      <c r="BM44" s="192" t="s">
        <v>119</v>
      </c>
      <c r="BN44" s="55">
        <v>4</v>
      </c>
      <c r="BO44" s="55">
        <v>4</v>
      </c>
      <c r="BQ44" s="55" t="s">
        <v>141</v>
      </c>
      <c r="BR44" s="55">
        <v>990</v>
      </c>
      <c r="BV44" s="55" t="s">
        <v>144</v>
      </c>
      <c r="CB44" s="66">
        <v>28900</v>
      </c>
      <c r="CC44" s="66">
        <v>30800</v>
      </c>
      <c r="GN44" s="294">
        <v>530</v>
      </c>
      <c r="GO44" s="294">
        <v>690</v>
      </c>
      <c r="GP44" s="292" t="s">
        <v>5150</v>
      </c>
      <c r="HS44" s="227"/>
      <c r="HW44" s="227"/>
    </row>
    <row r="45" spans="1:231" x14ac:dyDescent="0.25">
      <c r="A45" s="55">
        <v>44</v>
      </c>
      <c r="B45" s="12" t="s">
        <v>7067</v>
      </c>
      <c r="C45" s="155">
        <v>3</v>
      </c>
      <c r="D45" s="55" t="s">
        <v>3701</v>
      </c>
      <c r="E45" s="90" t="s">
        <v>135</v>
      </c>
      <c r="G45" s="55" t="s">
        <v>136</v>
      </c>
      <c r="H45" s="55">
        <v>2008</v>
      </c>
      <c r="I45" s="55">
        <v>2004</v>
      </c>
      <c r="J45" s="55" t="s">
        <v>137</v>
      </c>
      <c r="K45" s="55" t="s">
        <v>138</v>
      </c>
      <c r="L45" s="55" t="s">
        <v>2738</v>
      </c>
      <c r="M45" s="90">
        <v>49.69</v>
      </c>
      <c r="N45" s="90">
        <v>-112.84</v>
      </c>
      <c r="O45" s="90">
        <v>901</v>
      </c>
      <c r="U45" s="55">
        <v>2</v>
      </c>
      <c r="V45" s="55" t="s">
        <v>1688</v>
      </c>
      <c r="Y45" s="55" t="s">
        <v>1803</v>
      </c>
      <c r="Z45" s="55" t="s">
        <v>1344</v>
      </c>
      <c r="AA45" s="90" t="s">
        <v>1344</v>
      </c>
      <c r="AE45" s="90">
        <v>37</v>
      </c>
      <c r="AF45" s="90">
        <v>30</v>
      </c>
      <c r="AH45" s="55" t="s">
        <v>139</v>
      </c>
      <c r="AM45" s="55" t="s">
        <v>1274</v>
      </c>
      <c r="AN45" s="185" t="s">
        <v>1535</v>
      </c>
      <c r="AO45" s="185" t="s">
        <v>5150</v>
      </c>
      <c r="AQ45" s="55" t="s">
        <v>1545</v>
      </c>
      <c r="AR45" s="55" t="s">
        <v>1559</v>
      </c>
      <c r="AS45" s="55" t="s">
        <v>227</v>
      </c>
      <c r="AU45" s="181" t="s">
        <v>7494</v>
      </c>
      <c r="AV45" s="185" t="s">
        <v>176</v>
      </c>
      <c r="AX45" s="185" t="s">
        <v>176</v>
      </c>
      <c r="BK45" s="55" t="s">
        <v>5976</v>
      </c>
      <c r="BM45" s="192" t="s">
        <v>119</v>
      </c>
      <c r="BN45" s="55">
        <v>4</v>
      </c>
      <c r="BO45" s="55">
        <v>4</v>
      </c>
      <c r="BQ45" s="55" t="s">
        <v>141</v>
      </c>
      <c r="BR45" s="55">
        <v>1070</v>
      </c>
      <c r="BV45" s="55" t="s">
        <v>144</v>
      </c>
      <c r="CB45" s="66">
        <v>28900</v>
      </c>
      <c r="CC45" s="66">
        <v>31300</v>
      </c>
      <c r="GN45" s="294">
        <v>530</v>
      </c>
      <c r="GO45" s="294">
        <v>440</v>
      </c>
      <c r="GP45" s="292" t="s">
        <v>5150</v>
      </c>
      <c r="HS45" s="227"/>
      <c r="HW45" s="227"/>
    </row>
    <row r="46" spans="1:231" x14ac:dyDescent="0.25">
      <c r="A46" s="55">
        <v>45</v>
      </c>
      <c r="B46" s="12" t="s">
        <v>7067</v>
      </c>
      <c r="C46" s="155">
        <v>3</v>
      </c>
      <c r="D46" s="55" t="s">
        <v>3700</v>
      </c>
      <c r="E46" s="90" t="s">
        <v>135</v>
      </c>
      <c r="G46" s="55" t="s">
        <v>136</v>
      </c>
      <c r="H46" s="55">
        <v>2008</v>
      </c>
      <c r="I46" s="55">
        <v>2004</v>
      </c>
      <c r="J46" s="55" t="s">
        <v>137</v>
      </c>
      <c r="K46" s="55" t="s">
        <v>138</v>
      </c>
      <c r="L46" s="55" t="s">
        <v>2738</v>
      </c>
      <c r="M46" s="90">
        <v>49.69</v>
      </c>
      <c r="N46" s="90">
        <v>-112.84</v>
      </c>
      <c r="O46" s="90">
        <v>901</v>
      </c>
      <c r="U46" s="55">
        <v>2</v>
      </c>
      <c r="V46" s="55" t="s">
        <v>1688</v>
      </c>
      <c r="Y46" s="55" t="s">
        <v>1803</v>
      </c>
      <c r="Z46" s="55" t="s">
        <v>1344</v>
      </c>
      <c r="AA46" s="90" t="s">
        <v>1344</v>
      </c>
      <c r="AE46" s="90">
        <v>37</v>
      </c>
      <c r="AF46" s="90">
        <v>30</v>
      </c>
      <c r="AH46" s="55" t="s">
        <v>139</v>
      </c>
      <c r="AM46" s="55" t="s">
        <v>1274</v>
      </c>
      <c r="AN46" s="185" t="s">
        <v>1526</v>
      </c>
      <c r="AO46" s="185" t="s">
        <v>5150</v>
      </c>
      <c r="AQ46" s="55" t="s">
        <v>131</v>
      </c>
      <c r="AR46" s="55" t="s">
        <v>1559</v>
      </c>
      <c r="AS46" s="55" t="s">
        <v>227</v>
      </c>
      <c r="AU46" s="181" t="s">
        <v>7494</v>
      </c>
      <c r="AV46" s="185" t="s">
        <v>176</v>
      </c>
      <c r="AX46" s="185" t="s">
        <v>176</v>
      </c>
      <c r="BK46" s="55" t="s">
        <v>5976</v>
      </c>
      <c r="BM46" s="192" t="s">
        <v>119</v>
      </c>
      <c r="BN46" s="55">
        <v>4</v>
      </c>
      <c r="BO46" s="55">
        <v>4</v>
      </c>
      <c r="BQ46" s="55" t="s">
        <v>141</v>
      </c>
      <c r="BR46" s="55">
        <v>1130</v>
      </c>
      <c r="BV46" s="55" t="s">
        <v>144</v>
      </c>
      <c r="CB46" s="66">
        <v>28900</v>
      </c>
      <c r="CC46" s="66">
        <v>30400</v>
      </c>
      <c r="GN46" s="294">
        <v>530</v>
      </c>
      <c r="GO46" s="294">
        <v>820</v>
      </c>
      <c r="GP46" s="292" t="s">
        <v>5150</v>
      </c>
      <c r="HS46" s="227"/>
      <c r="HW46" s="227"/>
    </row>
    <row r="47" spans="1:231" x14ac:dyDescent="0.25">
      <c r="A47" s="55">
        <v>46</v>
      </c>
      <c r="B47" s="12" t="s">
        <v>7067</v>
      </c>
      <c r="C47" s="155">
        <v>3</v>
      </c>
      <c r="D47" s="55" t="s">
        <v>3701</v>
      </c>
      <c r="E47" s="90" t="s">
        <v>135</v>
      </c>
      <c r="G47" s="55" t="s">
        <v>136</v>
      </c>
      <c r="H47" s="55">
        <v>2008</v>
      </c>
      <c r="I47" s="55">
        <v>2004</v>
      </c>
      <c r="J47" s="55" t="s">
        <v>137</v>
      </c>
      <c r="K47" s="55" t="s">
        <v>138</v>
      </c>
      <c r="L47" s="55" t="s">
        <v>2738</v>
      </c>
      <c r="M47" s="90">
        <v>49.69</v>
      </c>
      <c r="N47" s="90">
        <v>-112.84</v>
      </c>
      <c r="O47" s="90">
        <v>901</v>
      </c>
      <c r="U47" s="55">
        <v>2</v>
      </c>
      <c r="V47" s="55" t="s">
        <v>1688</v>
      </c>
      <c r="Y47" s="55" t="s">
        <v>1803</v>
      </c>
      <c r="Z47" s="55" t="s">
        <v>1344</v>
      </c>
      <c r="AA47" s="90" t="s">
        <v>1344</v>
      </c>
      <c r="AE47" s="90">
        <v>37</v>
      </c>
      <c r="AF47" s="90">
        <v>30</v>
      </c>
      <c r="AH47" s="55" t="s">
        <v>139</v>
      </c>
      <c r="AM47" s="55" t="s">
        <v>1274</v>
      </c>
      <c r="AN47" s="185" t="s">
        <v>1530</v>
      </c>
      <c r="AO47" s="185" t="s">
        <v>5150</v>
      </c>
      <c r="AQ47" s="55" t="s">
        <v>1545</v>
      </c>
      <c r="AR47" s="55" t="s">
        <v>1559</v>
      </c>
      <c r="AS47" s="55" t="s">
        <v>227</v>
      </c>
      <c r="AU47" s="181" t="s">
        <v>7494</v>
      </c>
      <c r="AV47" s="185" t="s">
        <v>176</v>
      </c>
      <c r="AX47" s="185" t="s">
        <v>176</v>
      </c>
      <c r="BK47" s="55" t="s">
        <v>5976</v>
      </c>
      <c r="BM47" s="192" t="s">
        <v>119</v>
      </c>
      <c r="BN47" s="55">
        <v>4</v>
      </c>
      <c r="BO47" s="55">
        <v>4</v>
      </c>
      <c r="BQ47" s="55" t="s">
        <v>141</v>
      </c>
      <c r="BR47" s="55">
        <v>560</v>
      </c>
      <c r="BV47" s="55" t="s">
        <v>144</v>
      </c>
      <c r="CB47" s="66">
        <v>28900</v>
      </c>
      <c r="CC47" s="66">
        <v>29400</v>
      </c>
      <c r="GN47" s="294">
        <v>530</v>
      </c>
      <c r="GO47" s="294">
        <v>870</v>
      </c>
      <c r="GP47" s="292" t="s">
        <v>5150</v>
      </c>
      <c r="HS47" s="227"/>
      <c r="HW47" s="227"/>
    </row>
    <row r="48" spans="1:231" x14ac:dyDescent="0.25">
      <c r="A48" s="55">
        <v>47</v>
      </c>
      <c r="B48" s="12" t="s">
        <v>7067</v>
      </c>
      <c r="C48" s="155">
        <v>3</v>
      </c>
      <c r="D48" s="55" t="s">
        <v>3701</v>
      </c>
      <c r="E48" s="90" t="s">
        <v>135</v>
      </c>
      <c r="G48" s="55" t="s">
        <v>136</v>
      </c>
      <c r="H48" s="55">
        <v>2008</v>
      </c>
      <c r="I48" s="55">
        <v>2004</v>
      </c>
      <c r="J48" s="55" t="s">
        <v>137</v>
      </c>
      <c r="K48" s="55" t="s">
        <v>138</v>
      </c>
      <c r="L48" s="55" t="s">
        <v>2738</v>
      </c>
      <c r="M48" s="90">
        <v>49.69</v>
      </c>
      <c r="N48" s="90">
        <v>-112.84</v>
      </c>
      <c r="O48" s="90">
        <v>901</v>
      </c>
      <c r="U48" s="55">
        <v>2</v>
      </c>
      <c r="V48" s="55" t="s">
        <v>1688</v>
      </c>
      <c r="Y48" s="55" t="s">
        <v>1803</v>
      </c>
      <c r="Z48" s="55" t="s">
        <v>1344</v>
      </c>
      <c r="AA48" s="90" t="s">
        <v>1344</v>
      </c>
      <c r="AE48" s="90">
        <v>37</v>
      </c>
      <c r="AF48" s="90">
        <v>30</v>
      </c>
      <c r="AH48" s="55" t="s">
        <v>139</v>
      </c>
      <c r="AM48" s="55" t="s">
        <v>1274</v>
      </c>
      <c r="AN48" s="185" t="s">
        <v>1531</v>
      </c>
      <c r="AO48" s="185" t="s">
        <v>5150</v>
      </c>
      <c r="AQ48" s="55" t="s">
        <v>1545</v>
      </c>
      <c r="AR48" s="55" t="s">
        <v>1559</v>
      </c>
      <c r="AS48" s="55" t="s">
        <v>227</v>
      </c>
      <c r="AU48" s="181" t="s">
        <v>7494</v>
      </c>
      <c r="AV48" s="185" t="s">
        <v>176</v>
      </c>
      <c r="AX48" s="185" t="s">
        <v>176</v>
      </c>
      <c r="BK48" s="55" t="s">
        <v>5976</v>
      </c>
      <c r="BM48" s="192" t="s">
        <v>119</v>
      </c>
      <c r="BN48" s="55">
        <v>4</v>
      </c>
      <c r="BO48" s="55">
        <v>4</v>
      </c>
      <c r="BQ48" s="55" t="s">
        <v>141</v>
      </c>
      <c r="BR48" s="55">
        <v>570</v>
      </c>
      <c r="BV48" s="55" t="s">
        <v>144</v>
      </c>
      <c r="CB48" s="66">
        <v>28900</v>
      </c>
      <c r="CC48" s="66">
        <v>32300</v>
      </c>
      <c r="GN48" s="294">
        <v>530</v>
      </c>
      <c r="GO48" s="294">
        <v>410</v>
      </c>
      <c r="GP48" s="292" t="s">
        <v>5150</v>
      </c>
      <c r="HS48" s="227"/>
      <c r="HW48" s="227"/>
    </row>
    <row r="49" spans="1:283" x14ac:dyDescent="0.25">
      <c r="A49" s="55">
        <v>48</v>
      </c>
      <c r="B49" s="12" t="s">
        <v>7067</v>
      </c>
      <c r="C49" s="155">
        <v>3</v>
      </c>
      <c r="D49" s="55" t="s">
        <v>3700</v>
      </c>
      <c r="E49" s="90" t="s">
        <v>135</v>
      </c>
      <c r="G49" s="55" t="s">
        <v>136</v>
      </c>
      <c r="H49" s="55">
        <v>2008</v>
      </c>
      <c r="I49" s="55">
        <v>2004</v>
      </c>
      <c r="J49" s="55" t="s">
        <v>137</v>
      </c>
      <c r="K49" s="55" t="s">
        <v>138</v>
      </c>
      <c r="L49" s="55" t="s">
        <v>2738</v>
      </c>
      <c r="M49" s="90">
        <v>49.69</v>
      </c>
      <c r="N49" s="90">
        <v>-112.84</v>
      </c>
      <c r="O49" s="90">
        <v>901</v>
      </c>
      <c r="U49" s="55">
        <v>2</v>
      </c>
      <c r="V49" s="55" t="s">
        <v>1688</v>
      </c>
      <c r="Y49" s="55" t="s">
        <v>1803</v>
      </c>
      <c r="Z49" s="55" t="s">
        <v>1344</v>
      </c>
      <c r="AA49" s="90" t="s">
        <v>1344</v>
      </c>
      <c r="AE49" s="90">
        <v>37</v>
      </c>
      <c r="AF49" s="90">
        <v>30</v>
      </c>
      <c r="AH49" s="55" t="s">
        <v>139</v>
      </c>
      <c r="AM49" s="55" t="s">
        <v>1274</v>
      </c>
      <c r="AN49" s="185" t="s">
        <v>1524</v>
      </c>
      <c r="AO49" s="185" t="s">
        <v>5150</v>
      </c>
      <c r="AQ49" s="55" t="s">
        <v>131</v>
      </c>
      <c r="AR49" s="55" t="s">
        <v>1559</v>
      </c>
      <c r="AS49" s="55" t="s">
        <v>227</v>
      </c>
      <c r="AU49" s="181" t="s">
        <v>7494</v>
      </c>
      <c r="AV49" s="185" t="s">
        <v>176</v>
      </c>
      <c r="AX49" s="185" t="s">
        <v>176</v>
      </c>
      <c r="BK49" s="55" t="s">
        <v>5976</v>
      </c>
      <c r="BM49" s="192" t="s">
        <v>119</v>
      </c>
      <c r="BN49" s="55">
        <v>4</v>
      </c>
      <c r="BO49" s="55">
        <v>4</v>
      </c>
      <c r="BQ49" s="55" t="s">
        <v>141</v>
      </c>
      <c r="BR49" s="55">
        <v>420</v>
      </c>
      <c r="BV49" s="55" t="s">
        <v>144</v>
      </c>
      <c r="CB49" s="66">
        <v>28900</v>
      </c>
      <c r="CC49" s="66">
        <v>32000</v>
      </c>
      <c r="GN49" s="294">
        <v>530</v>
      </c>
      <c r="GO49" s="294">
        <v>750</v>
      </c>
      <c r="GP49" s="292" t="s">
        <v>5150</v>
      </c>
      <c r="HS49" s="227"/>
      <c r="HW49" s="227"/>
    </row>
    <row r="50" spans="1:283" x14ac:dyDescent="0.25">
      <c r="A50" s="55">
        <v>49</v>
      </c>
      <c r="B50" s="12" t="s">
        <v>7067</v>
      </c>
      <c r="C50" s="155">
        <v>3</v>
      </c>
      <c r="D50" s="55" t="s">
        <v>3700</v>
      </c>
      <c r="E50" s="90" t="s">
        <v>135</v>
      </c>
      <c r="G50" s="55" t="s">
        <v>136</v>
      </c>
      <c r="H50" s="55">
        <v>2008</v>
      </c>
      <c r="I50" s="55">
        <v>2005</v>
      </c>
      <c r="J50" s="55" t="s">
        <v>137</v>
      </c>
      <c r="K50" s="55" t="s">
        <v>138</v>
      </c>
      <c r="L50" s="55" t="s">
        <v>2738</v>
      </c>
      <c r="M50" s="90">
        <v>49.69</v>
      </c>
      <c r="N50" s="90">
        <v>-112.84</v>
      </c>
      <c r="O50" s="90">
        <v>901</v>
      </c>
      <c r="U50" s="55">
        <v>3</v>
      </c>
      <c r="V50" s="55" t="s">
        <v>1688</v>
      </c>
      <c r="Y50" s="55" t="s">
        <v>1803</v>
      </c>
      <c r="Z50" s="55" t="s">
        <v>1344</v>
      </c>
      <c r="AA50" s="90" t="s">
        <v>1344</v>
      </c>
      <c r="AE50" s="90">
        <v>37</v>
      </c>
      <c r="AF50" s="90">
        <v>30</v>
      </c>
      <c r="AH50" s="55" t="s">
        <v>139</v>
      </c>
      <c r="AM50" s="55" t="s">
        <v>1274</v>
      </c>
      <c r="AN50" s="185" t="s">
        <v>1525</v>
      </c>
      <c r="AO50" s="185" t="s">
        <v>5150</v>
      </c>
      <c r="AQ50" s="55" t="s">
        <v>131</v>
      </c>
      <c r="AR50" s="55" t="s">
        <v>1559</v>
      </c>
      <c r="AS50" s="55" t="s">
        <v>227</v>
      </c>
      <c r="AU50" s="181" t="s">
        <v>7494</v>
      </c>
      <c r="AV50" s="185" t="s">
        <v>176</v>
      </c>
      <c r="AX50" s="185" t="s">
        <v>176</v>
      </c>
      <c r="BK50" s="55" t="s">
        <v>5976</v>
      </c>
      <c r="BM50" s="192" t="s">
        <v>119</v>
      </c>
      <c r="BN50" s="55">
        <v>4</v>
      </c>
      <c r="BO50" s="55">
        <v>4</v>
      </c>
      <c r="BQ50" s="55" t="s">
        <v>141</v>
      </c>
      <c r="BR50" s="55">
        <v>7940</v>
      </c>
      <c r="BV50" s="55" t="s">
        <v>144</v>
      </c>
      <c r="CB50" s="66">
        <v>33100</v>
      </c>
      <c r="CC50" s="66">
        <v>32800</v>
      </c>
      <c r="GN50" s="294">
        <v>2460</v>
      </c>
      <c r="GO50" s="294">
        <v>1060</v>
      </c>
      <c r="GP50" s="292" t="s">
        <v>5150</v>
      </c>
      <c r="HS50" s="227"/>
      <c r="HW50" s="227"/>
    </row>
    <row r="51" spans="1:283" x14ac:dyDescent="0.25">
      <c r="A51" s="55">
        <v>50</v>
      </c>
      <c r="B51" s="12" t="s">
        <v>7067</v>
      </c>
      <c r="C51" s="155">
        <v>3</v>
      </c>
      <c r="D51" s="55" t="s">
        <v>3701</v>
      </c>
      <c r="E51" s="90" t="s">
        <v>135</v>
      </c>
      <c r="G51" s="55" t="s">
        <v>136</v>
      </c>
      <c r="H51" s="55">
        <v>2008</v>
      </c>
      <c r="I51" s="55">
        <v>2005</v>
      </c>
      <c r="J51" s="55" t="s">
        <v>137</v>
      </c>
      <c r="K51" s="55" t="s">
        <v>138</v>
      </c>
      <c r="L51" s="55" t="s">
        <v>2738</v>
      </c>
      <c r="M51" s="90">
        <v>49.69</v>
      </c>
      <c r="N51" s="90">
        <v>-112.84</v>
      </c>
      <c r="O51" s="90">
        <v>901</v>
      </c>
      <c r="U51" s="55">
        <v>3</v>
      </c>
      <c r="V51" s="55" t="s">
        <v>1688</v>
      </c>
      <c r="Y51" s="55" t="s">
        <v>1803</v>
      </c>
      <c r="Z51" s="55" t="s">
        <v>1344</v>
      </c>
      <c r="AA51" s="90" t="s">
        <v>1344</v>
      </c>
      <c r="AE51" s="90">
        <v>37</v>
      </c>
      <c r="AF51" s="90">
        <v>30</v>
      </c>
      <c r="AH51" s="55" t="s">
        <v>139</v>
      </c>
      <c r="AM51" s="55" t="s">
        <v>1274</v>
      </c>
      <c r="AN51" s="185" t="s">
        <v>1534</v>
      </c>
      <c r="AO51" s="185" t="s">
        <v>5150</v>
      </c>
      <c r="AQ51" s="55" t="s">
        <v>1545</v>
      </c>
      <c r="AR51" s="55" t="s">
        <v>1559</v>
      </c>
      <c r="AS51" s="55" t="s">
        <v>227</v>
      </c>
      <c r="AU51" s="181" t="s">
        <v>7494</v>
      </c>
      <c r="AV51" s="185" t="s">
        <v>176</v>
      </c>
      <c r="AX51" s="185" t="s">
        <v>176</v>
      </c>
      <c r="BK51" s="55" t="s">
        <v>5976</v>
      </c>
      <c r="BM51" s="192" t="s">
        <v>119</v>
      </c>
      <c r="BN51" s="55">
        <v>4</v>
      </c>
      <c r="BO51" s="55">
        <v>4</v>
      </c>
      <c r="BQ51" s="55" t="s">
        <v>141</v>
      </c>
      <c r="BR51" s="55">
        <v>380</v>
      </c>
      <c r="BV51" s="55" t="s">
        <v>144</v>
      </c>
      <c r="CB51" s="66">
        <v>33100</v>
      </c>
      <c r="CC51" s="66">
        <v>32400</v>
      </c>
      <c r="GN51" s="294">
        <v>2460</v>
      </c>
      <c r="GO51" s="294">
        <v>2820</v>
      </c>
      <c r="GP51" s="292" t="s">
        <v>5150</v>
      </c>
      <c r="HS51" s="227"/>
      <c r="HW51" s="227"/>
    </row>
    <row r="52" spans="1:283" x14ac:dyDescent="0.25">
      <c r="A52" s="55">
        <v>51</v>
      </c>
      <c r="B52" s="12" t="s">
        <v>7067</v>
      </c>
      <c r="C52" s="155">
        <v>3</v>
      </c>
      <c r="D52" s="55" t="s">
        <v>3701</v>
      </c>
      <c r="E52" s="90" t="s">
        <v>135</v>
      </c>
      <c r="G52" s="55" t="s">
        <v>136</v>
      </c>
      <c r="H52" s="55">
        <v>2008</v>
      </c>
      <c r="I52" s="55">
        <v>2005</v>
      </c>
      <c r="J52" s="55" t="s">
        <v>137</v>
      </c>
      <c r="K52" s="55" t="s">
        <v>138</v>
      </c>
      <c r="L52" s="55" t="s">
        <v>2738</v>
      </c>
      <c r="M52" s="90">
        <v>49.69</v>
      </c>
      <c r="N52" s="90">
        <v>-112.84</v>
      </c>
      <c r="O52" s="90">
        <v>901</v>
      </c>
      <c r="U52" s="55">
        <v>3</v>
      </c>
      <c r="V52" s="55" t="s">
        <v>1688</v>
      </c>
      <c r="Y52" s="55" t="s">
        <v>1803</v>
      </c>
      <c r="Z52" s="55" t="s">
        <v>1344</v>
      </c>
      <c r="AA52" s="90" t="s">
        <v>1344</v>
      </c>
      <c r="AE52" s="90">
        <v>37</v>
      </c>
      <c r="AF52" s="90">
        <v>30</v>
      </c>
      <c r="AH52" s="55" t="s">
        <v>139</v>
      </c>
      <c r="AM52" s="55" t="s">
        <v>1274</v>
      </c>
      <c r="AN52" s="185" t="s">
        <v>1535</v>
      </c>
      <c r="AO52" s="185" t="s">
        <v>5150</v>
      </c>
      <c r="AQ52" s="55" t="s">
        <v>1545</v>
      </c>
      <c r="AR52" s="55" t="s">
        <v>1559</v>
      </c>
      <c r="AS52" s="55" t="s">
        <v>227</v>
      </c>
      <c r="AU52" s="181" t="s">
        <v>7494</v>
      </c>
      <c r="AV52" s="185" t="s">
        <v>176</v>
      </c>
      <c r="AX52" s="185" t="s">
        <v>176</v>
      </c>
      <c r="BK52" s="55" t="s">
        <v>5976</v>
      </c>
      <c r="BM52" s="192" t="s">
        <v>119</v>
      </c>
      <c r="BN52" s="55">
        <v>4</v>
      </c>
      <c r="BO52" s="55">
        <v>4</v>
      </c>
      <c r="BQ52" s="55" t="s">
        <v>141</v>
      </c>
      <c r="BR52" s="55">
        <v>400</v>
      </c>
      <c r="BV52" s="55" t="s">
        <v>144</v>
      </c>
      <c r="CB52" s="66">
        <v>33100</v>
      </c>
      <c r="CC52" s="66">
        <v>32500</v>
      </c>
      <c r="GN52" s="294">
        <v>2460</v>
      </c>
      <c r="GO52" s="294">
        <v>2540</v>
      </c>
      <c r="GP52" s="292" t="s">
        <v>5150</v>
      </c>
      <c r="HS52" s="227"/>
      <c r="HW52" s="227"/>
    </row>
    <row r="53" spans="1:283" x14ac:dyDescent="0.25">
      <c r="A53" s="55">
        <v>52</v>
      </c>
      <c r="B53" s="12" t="s">
        <v>7067</v>
      </c>
      <c r="C53" s="155">
        <v>3</v>
      </c>
      <c r="D53" s="55" t="s">
        <v>3700</v>
      </c>
      <c r="E53" s="90" t="s">
        <v>135</v>
      </c>
      <c r="G53" s="55" t="s">
        <v>136</v>
      </c>
      <c r="H53" s="55">
        <v>2008</v>
      </c>
      <c r="I53" s="55">
        <v>2005</v>
      </c>
      <c r="J53" s="55" t="s">
        <v>137</v>
      </c>
      <c r="K53" s="55" t="s">
        <v>138</v>
      </c>
      <c r="L53" s="55" t="s">
        <v>2738</v>
      </c>
      <c r="M53" s="90">
        <v>49.69</v>
      </c>
      <c r="N53" s="90">
        <v>-112.84</v>
      </c>
      <c r="O53" s="90">
        <v>901</v>
      </c>
      <c r="U53" s="55">
        <v>3</v>
      </c>
      <c r="V53" s="55" t="s">
        <v>1688</v>
      </c>
      <c r="Y53" s="55" t="s">
        <v>1803</v>
      </c>
      <c r="Z53" s="55" t="s">
        <v>1344</v>
      </c>
      <c r="AA53" s="90" t="s">
        <v>1344</v>
      </c>
      <c r="AE53" s="90">
        <v>37</v>
      </c>
      <c r="AF53" s="90">
        <v>30</v>
      </c>
      <c r="AH53" s="55" t="s">
        <v>139</v>
      </c>
      <c r="AM53" s="55" t="s">
        <v>1274</v>
      </c>
      <c r="AN53" s="185" t="s">
        <v>1526</v>
      </c>
      <c r="AO53" s="185" t="s">
        <v>5150</v>
      </c>
      <c r="AQ53" s="55" t="s">
        <v>131</v>
      </c>
      <c r="AR53" s="55" t="s">
        <v>1559</v>
      </c>
      <c r="AS53" s="55" t="s">
        <v>227</v>
      </c>
      <c r="AU53" s="181" t="s">
        <v>7494</v>
      </c>
      <c r="AV53" s="185" t="s">
        <v>176</v>
      </c>
      <c r="AX53" s="185" t="s">
        <v>176</v>
      </c>
      <c r="BK53" s="55" t="s">
        <v>5976</v>
      </c>
      <c r="BM53" s="192" t="s">
        <v>119</v>
      </c>
      <c r="BN53" s="55">
        <v>4</v>
      </c>
      <c r="BO53" s="55">
        <v>4</v>
      </c>
      <c r="BQ53" s="55" t="s">
        <v>141</v>
      </c>
      <c r="BR53" s="55">
        <v>1140</v>
      </c>
      <c r="BV53" s="55" t="s">
        <v>144</v>
      </c>
      <c r="CB53" s="66">
        <v>33100</v>
      </c>
      <c r="CC53" s="66">
        <v>34000</v>
      </c>
      <c r="GN53" s="294">
        <v>2460</v>
      </c>
      <c r="GO53" s="294">
        <v>1980</v>
      </c>
      <c r="GP53" s="292" t="s">
        <v>5150</v>
      </c>
      <c r="HS53" s="227"/>
      <c r="HW53" s="227"/>
    </row>
    <row r="54" spans="1:283" x14ac:dyDescent="0.25">
      <c r="A54" s="55">
        <v>53</v>
      </c>
      <c r="B54" s="12" t="s">
        <v>7067</v>
      </c>
      <c r="C54" s="155">
        <v>3</v>
      </c>
      <c r="D54" s="55" t="s">
        <v>3701</v>
      </c>
      <c r="E54" s="90" t="s">
        <v>135</v>
      </c>
      <c r="G54" s="55" t="s">
        <v>136</v>
      </c>
      <c r="H54" s="55">
        <v>2008</v>
      </c>
      <c r="I54" s="55">
        <v>2005</v>
      </c>
      <c r="J54" s="55" t="s">
        <v>137</v>
      </c>
      <c r="K54" s="55" t="s">
        <v>138</v>
      </c>
      <c r="L54" s="55" t="s">
        <v>2738</v>
      </c>
      <c r="M54" s="90">
        <v>49.69</v>
      </c>
      <c r="N54" s="90">
        <v>-112.84</v>
      </c>
      <c r="O54" s="90">
        <v>901</v>
      </c>
      <c r="U54" s="55">
        <v>3</v>
      </c>
      <c r="V54" s="55" t="s">
        <v>1688</v>
      </c>
      <c r="Y54" s="55" t="s">
        <v>1803</v>
      </c>
      <c r="Z54" s="55" t="s">
        <v>1344</v>
      </c>
      <c r="AA54" s="90" t="s">
        <v>1344</v>
      </c>
      <c r="AE54" s="90">
        <v>37</v>
      </c>
      <c r="AF54" s="90">
        <v>30</v>
      </c>
      <c r="AH54" s="55" t="s">
        <v>139</v>
      </c>
      <c r="AM54" s="55" t="s">
        <v>1274</v>
      </c>
      <c r="AN54" s="185" t="s">
        <v>1530</v>
      </c>
      <c r="AO54" s="185" t="s">
        <v>5150</v>
      </c>
      <c r="AQ54" s="55" t="s">
        <v>1545</v>
      </c>
      <c r="AR54" s="55" t="s">
        <v>1559</v>
      </c>
      <c r="AS54" s="55" t="s">
        <v>227</v>
      </c>
      <c r="AU54" s="181" t="s">
        <v>7494</v>
      </c>
      <c r="AV54" s="185" t="s">
        <v>176</v>
      </c>
      <c r="AX54" s="185" t="s">
        <v>176</v>
      </c>
      <c r="BK54" s="55" t="s">
        <v>5976</v>
      </c>
      <c r="BM54" s="192" t="s">
        <v>119</v>
      </c>
      <c r="BN54" s="55">
        <v>4</v>
      </c>
      <c r="BO54" s="55">
        <v>4</v>
      </c>
      <c r="BQ54" s="55" t="s">
        <v>141</v>
      </c>
      <c r="BR54" s="55">
        <v>190</v>
      </c>
      <c r="BV54" s="55" t="s">
        <v>144</v>
      </c>
      <c r="CB54" s="66">
        <v>33100</v>
      </c>
      <c r="CC54" s="66">
        <v>30600</v>
      </c>
      <c r="GN54" s="294">
        <v>2460</v>
      </c>
      <c r="GO54" s="294">
        <v>1940</v>
      </c>
      <c r="GP54" s="292" t="s">
        <v>5150</v>
      </c>
      <c r="HS54" s="227"/>
      <c r="HW54" s="227"/>
    </row>
    <row r="55" spans="1:283" x14ac:dyDescent="0.25">
      <c r="A55" s="55">
        <v>54</v>
      </c>
      <c r="B55" s="12" t="s">
        <v>7067</v>
      </c>
      <c r="C55" s="155">
        <v>3</v>
      </c>
      <c r="D55" s="55" t="s">
        <v>3701</v>
      </c>
      <c r="E55" s="90" t="s">
        <v>135</v>
      </c>
      <c r="G55" s="55" t="s">
        <v>136</v>
      </c>
      <c r="H55" s="55">
        <v>2008</v>
      </c>
      <c r="I55" s="55">
        <v>2005</v>
      </c>
      <c r="J55" s="55" t="s">
        <v>137</v>
      </c>
      <c r="K55" s="55" t="s">
        <v>138</v>
      </c>
      <c r="L55" s="55" t="s">
        <v>2738</v>
      </c>
      <c r="M55" s="90">
        <v>49.69</v>
      </c>
      <c r="N55" s="90">
        <v>-112.84</v>
      </c>
      <c r="O55" s="90">
        <v>901</v>
      </c>
      <c r="U55" s="55">
        <v>3</v>
      </c>
      <c r="V55" s="55" t="s">
        <v>1688</v>
      </c>
      <c r="Y55" s="55" t="s">
        <v>1803</v>
      </c>
      <c r="Z55" s="55" t="s">
        <v>1344</v>
      </c>
      <c r="AA55" s="90" t="s">
        <v>1344</v>
      </c>
      <c r="AE55" s="90">
        <v>37</v>
      </c>
      <c r="AF55" s="90">
        <v>30</v>
      </c>
      <c r="AH55" s="55" t="s">
        <v>139</v>
      </c>
      <c r="AM55" s="55" t="s">
        <v>1274</v>
      </c>
      <c r="AN55" s="185" t="s">
        <v>1531</v>
      </c>
      <c r="AO55" s="185" t="s">
        <v>5150</v>
      </c>
      <c r="AQ55" s="55" t="s">
        <v>1545</v>
      </c>
      <c r="AR55" s="55" t="s">
        <v>1559</v>
      </c>
      <c r="AS55" s="55" t="s">
        <v>227</v>
      </c>
      <c r="AU55" s="181" t="s">
        <v>7494</v>
      </c>
      <c r="AV55" s="185" t="s">
        <v>176</v>
      </c>
      <c r="AX55" s="185" t="s">
        <v>176</v>
      </c>
      <c r="BK55" s="55" t="s">
        <v>5976</v>
      </c>
      <c r="BM55" s="192" t="s">
        <v>119</v>
      </c>
      <c r="BN55" s="55">
        <v>4</v>
      </c>
      <c r="BO55" s="55">
        <v>4</v>
      </c>
      <c r="BQ55" s="55" t="s">
        <v>141</v>
      </c>
      <c r="BR55" s="55">
        <v>280</v>
      </c>
      <c r="BV55" s="55" t="s">
        <v>144</v>
      </c>
      <c r="CB55" s="66">
        <v>33100</v>
      </c>
      <c r="CC55" s="66">
        <v>30900</v>
      </c>
      <c r="GN55" s="294">
        <v>2460</v>
      </c>
      <c r="GO55" s="294">
        <v>1910</v>
      </c>
      <c r="GP55" s="292" t="s">
        <v>5150</v>
      </c>
      <c r="HS55" s="227"/>
      <c r="HW55" s="227"/>
    </row>
    <row r="56" spans="1:283" x14ac:dyDescent="0.25">
      <c r="A56" s="55">
        <v>55</v>
      </c>
      <c r="B56" s="12" t="s">
        <v>7067</v>
      </c>
      <c r="C56" s="155">
        <v>3</v>
      </c>
      <c r="D56" s="55" t="s">
        <v>3700</v>
      </c>
      <c r="E56" s="90" t="s">
        <v>135</v>
      </c>
      <c r="G56" s="55" t="s">
        <v>136</v>
      </c>
      <c r="H56" s="55">
        <v>2008</v>
      </c>
      <c r="I56" s="55">
        <v>2005</v>
      </c>
      <c r="J56" s="55" t="s">
        <v>137</v>
      </c>
      <c r="K56" s="55" t="s">
        <v>138</v>
      </c>
      <c r="L56" s="55" t="s">
        <v>2738</v>
      </c>
      <c r="M56" s="90">
        <v>49.69</v>
      </c>
      <c r="N56" s="90">
        <v>-112.84</v>
      </c>
      <c r="O56" s="90">
        <v>901</v>
      </c>
      <c r="U56" s="55">
        <v>3</v>
      </c>
      <c r="V56" s="55" t="s">
        <v>1688</v>
      </c>
      <c r="Y56" s="55" t="s">
        <v>1803</v>
      </c>
      <c r="Z56" s="55" t="s">
        <v>1344</v>
      </c>
      <c r="AA56" s="90" t="s">
        <v>1344</v>
      </c>
      <c r="AE56" s="90">
        <v>37</v>
      </c>
      <c r="AF56" s="90">
        <v>30</v>
      </c>
      <c r="AH56" s="55" t="s">
        <v>139</v>
      </c>
      <c r="AM56" s="55" t="s">
        <v>1274</v>
      </c>
      <c r="AN56" s="185" t="s">
        <v>1524</v>
      </c>
      <c r="AO56" s="185" t="s">
        <v>5150</v>
      </c>
      <c r="AQ56" s="55" t="s">
        <v>131</v>
      </c>
      <c r="AR56" s="55" t="s">
        <v>1559</v>
      </c>
      <c r="AS56" s="55" t="s">
        <v>227</v>
      </c>
      <c r="AU56" s="181" t="s">
        <v>7494</v>
      </c>
      <c r="AV56" s="185" t="s">
        <v>176</v>
      </c>
      <c r="AX56" s="185" t="s">
        <v>176</v>
      </c>
      <c r="BK56" s="55" t="s">
        <v>5976</v>
      </c>
      <c r="BM56" s="192" t="s">
        <v>119</v>
      </c>
      <c r="BN56" s="55">
        <v>4</v>
      </c>
      <c r="BO56" s="55">
        <v>4</v>
      </c>
      <c r="BQ56" s="55" t="s">
        <v>141</v>
      </c>
      <c r="BR56" s="55">
        <v>230</v>
      </c>
      <c r="BV56" s="55" t="s">
        <v>144</v>
      </c>
      <c r="CB56" s="66">
        <v>33100</v>
      </c>
      <c r="CC56" s="66">
        <v>30500</v>
      </c>
      <c r="GN56" s="294">
        <v>2460</v>
      </c>
      <c r="GO56" s="294">
        <v>2070</v>
      </c>
      <c r="GP56" s="292" t="s">
        <v>5150</v>
      </c>
      <c r="HS56" s="227"/>
      <c r="HW56" s="227"/>
    </row>
    <row r="57" spans="1:283" x14ac:dyDescent="0.25">
      <c r="A57" s="55">
        <v>56</v>
      </c>
      <c r="B57" s="12" t="s">
        <v>7067</v>
      </c>
      <c r="C57" s="155">
        <v>4</v>
      </c>
      <c r="D57" s="55" t="s">
        <v>3702</v>
      </c>
      <c r="E57" s="90" t="s">
        <v>149</v>
      </c>
      <c r="G57" s="55" t="s">
        <v>150</v>
      </c>
      <c r="H57" s="55">
        <v>2010</v>
      </c>
      <c r="I57" s="55">
        <f>(1995+2009)/2</f>
        <v>2002</v>
      </c>
      <c r="J57" s="55" t="s">
        <v>151</v>
      </c>
      <c r="K57" s="55" t="s">
        <v>152</v>
      </c>
      <c r="L57" s="55" t="s">
        <v>2737</v>
      </c>
      <c r="M57" s="90">
        <v>38.14</v>
      </c>
      <c r="N57" s="90">
        <v>-97.43</v>
      </c>
      <c r="O57" s="90">
        <v>450</v>
      </c>
      <c r="Q57" s="55">
        <v>14.4</v>
      </c>
      <c r="S57" s="90">
        <v>874</v>
      </c>
      <c r="U57" s="55" t="s">
        <v>1694</v>
      </c>
      <c r="V57" s="55" t="s">
        <v>1677</v>
      </c>
      <c r="Y57" s="55" t="s">
        <v>1806</v>
      </c>
      <c r="Z57" s="55" t="s">
        <v>1347</v>
      </c>
      <c r="AA57" s="90" t="s">
        <v>1676</v>
      </c>
      <c r="AD57" s="90">
        <v>1.698</v>
      </c>
      <c r="AH57" s="55" t="s">
        <v>6378</v>
      </c>
      <c r="AM57" s="55" t="s">
        <v>1275</v>
      </c>
      <c r="AN57" s="185" t="s">
        <v>158</v>
      </c>
      <c r="AO57" s="185" t="s">
        <v>5150</v>
      </c>
      <c r="AQ57" s="55" t="s">
        <v>553</v>
      </c>
      <c r="AR57" s="55" t="s">
        <v>1554</v>
      </c>
      <c r="AS57" s="55" t="s">
        <v>1583</v>
      </c>
      <c r="AT57" s="181" t="s">
        <v>157</v>
      </c>
      <c r="AU57" s="181" t="s">
        <v>5150</v>
      </c>
      <c r="AV57" s="185" t="s">
        <v>5150</v>
      </c>
      <c r="AW57" s="55" t="s">
        <v>157</v>
      </c>
      <c r="AX57" s="185" t="s">
        <v>5150</v>
      </c>
      <c r="AY57" s="55" t="s">
        <v>176</v>
      </c>
      <c r="AZ57" s="55" t="s">
        <v>156</v>
      </c>
      <c r="BA57" s="55" t="s">
        <v>156</v>
      </c>
      <c r="BB57" s="55" t="s">
        <v>2082</v>
      </c>
      <c r="BC57" s="55" t="s">
        <v>2082</v>
      </c>
      <c r="BD57" s="55" t="s">
        <v>176</v>
      </c>
      <c r="BE57" s="226" t="s">
        <v>161</v>
      </c>
      <c r="BG57" s="55" t="s">
        <v>479</v>
      </c>
      <c r="BH57" s="226" t="s">
        <v>161</v>
      </c>
      <c r="BI57" s="55" t="s">
        <v>479</v>
      </c>
      <c r="BJ57" s="55" t="s">
        <v>176</v>
      </c>
      <c r="BK57" s="55" t="s">
        <v>6269</v>
      </c>
      <c r="BM57" s="192" t="s">
        <v>160</v>
      </c>
      <c r="BN57" s="55">
        <v>4</v>
      </c>
      <c r="BO57" s="55">
        <v>4</v>
      </c>
      <c r="BQ57" s="55" t="s">
        <v>141</v>
      </c>
      <c r="CH57" s="90">
        <v>1.698</v>
      </c>
      <c r="CI57" s="90">
        <v>1.6326000000000001</v>
      </c>
      <c r="CM57" s="65">
        <f>13.681/10</f>
        <v>1.3680999999999999</v>
      </c>
      <c r="CN57" s="65">
        <f>16.9325/10</f>
        <v>1.6932500000000001</v>
      </c>
      <c r="CQ57" s="65" t="s">
        <v>163</v>
      </c>
      <c r="DA57" s="65" t="s">
        <v>4454</v>
      </c>
      <c r="EK57" s="90">
        <v>24</v>
      </c>
      <c r="EL57" s="90">
        <v>44</v>
      </c>
      <c r="EO57" s="65" t="s">
        <v>1697</v>
      </c>
      <c r="EU57" s="65">
        <v>0.86129999999999995</v>
      </c>
      <c r="EV57" s="65">
        <v>0.80740000000000001</v>
      </c>
      <c r="EY57" s="65" t="s">
        <v>1409</v>
      </c>
      <c r="EZ57" s="65">
        <f>(1.1169+4.1126+5.577+10.9731)/4</f>
        <v>5.4449000000000005</v>
      </c>
      <c r="FA57" s="65">
        <f>(0.4534+10.1059+14.3185+18.7023)/4</f>
        <v>10.895025</v>
      </c>
      <c r="FD57" s="65" t="s">
        <v>1696</v>
      </c>
      <c r="FY57" s="65">
        <v>21.817599999999999</v>
      </c>
      <c r="FZ57" s="65">
        <v>18.354199999999999</v>
      </c>
      <c r="GD57" s="65">
        <v>15.68</v>
      </c>
      <c r="GE57" s="65">
        <v>16.837</v>
      </c>
      <c r="GP57" s="292" t="s">
        <v>7494</v>
      </c>
      <c r="HD57" s="65">
        <v>92.7</v>
      </c>
      <c r="HE57" s="65">
        <v>372.7</v>
      </c>
      <c r="HH57" s="227" t="s">
        <v>1616</v>
      </c>
      <c r="HI57" s="227"/>
      <c r="HJ57" s="227"/>
      <c r="HK57" s="227"/>
      <c r="HL57" s="227"/>
      <c r="HM57" s="227"/>
      <c r="HN57" s="227"/>
      <c r="HO57" s="227"/>
      <c r="HP57" s="227"/>
      <c r="HQ57" s="227"/>
      <c r="HR57" s="227"/>
      <c r="JU57" s="55" t="s">
        <v>690</v>
      </c>
      <c r="JW57" s="55" t="s">
        <v>1408</v>
      </c>
    </row>
    <row r="58" spans="1:283" x14ac:dyDescent="0.25">
      <c r="A58" s="55">
        <v>57</v>
      </c>
      <c r="B58" s="12" t="s">
        <v>7067</v>
      </c>
      <c r="C58" s="155">
        <v>4</v>
      </c>
      <c r="D58" s="55" t="s">
        <v>3703</v>
      </c>
      <c r="E58" s="90" t="s">
        <v>149</v>
      </c>
      <c r="G58" s="55" t="s">
        <v>150</v>
      </c>
      <c r="H58" s="55">
        <v>2010</v>
      </c>
      <c r="I58" s="55">
        <f>(1995+2009)/2</f>
        <v>2002</v>
      </c>
      <c r="J58" s="55" t="s">
        <v>151</v>
      </c>
      <c r="K58" s="55" t="s">
        <v>152</v>
      </c>
      <c r="L58" s="55" t="s">
        <v>2737</v>
      </c>
      <c r="M58" s="90">
        <v>38.14</v>
      </c>
      <c r="N58" s="90">
        <v>-97.43</v>
      </c>
      <c r="O58" s="90">
        <v>450</v>
      </c>
      <c r="Q58" s="55">
        <v>14.4</v>
      </c>
      <c r="S58" s="90">
        <v>874</v>
      </c>
      <c r="U58" s="55" t="s">
        <v>1694</v>
      </c>
      <c r="V58" s="55" t="s">
        <v>1677</v>
      </c>
      <c r="Y58" s="55" t="s">
        <v>1806</v>
      </c>
      <c r="Z58" s="55" t="s">
        <v>1348</v>
      </c>
      <c r="AA58" s="90" t="s">
        <v>1676</v>
      </c>
      <c r="AD58" s="90">
        <v>1.6915</v>
      </c>
      <c r="AH58" s="55" t="s">
        <v>6378</v>
      </c>
      <c r="AM58" s="55" t="s">
        <v>1275</v>
      </c>
      <c r="AN58" s="185" t="s">
        <v>158</v>
      </c>
      <c r="AO58" s="185" t="s">
        <v>5150</v>
      </c>
      <c r="AQ58" s="55" t="s">
        <v>553</v>
      </c>
      <c r="AR58" s="55" t="s">
        <v>1554</v>
      </c>
      <c r="AS58" s="55" t="s">
        <v>1583</v>
      </c>
      <c r="AT58" s="181" t="s">
        <v>157</v>
      </c>
      <c r="AU58" s="181" t="s">
        <v>5150</v>
      </c>
      <c r="AV58" s="185" t="s">
        <v>5150</v>
      </c>
      <c r="AW58" s="55" t="s">
        <v>157</v>
      </c>
      <c r="AX58" s="185" t="s">
        <v>5150</v>
      </c>
      <c r="AY58" s="55" t="s">
        <v>176</v>
      </c>
      <c r="AZ58" s="55" t="s">
        <v>156</v>
      </c>
      <c r="BA58" s="55" t="s">
        <v>156</v>
      </c>
      <c r="BB58" s="55" t="s">
        <v>2082</v>
      </c>
      <c r="BC58" s="55" t="s">
        <v>2082</v>
      </c>
      <c r="BD58" s="55" t="s">
        <v>176</v>
      </c>
      <c r="BE58" s="226" t="s">
        <v>161</v>
      </c>
      <c r="BG58" s="55" t="s">
        <v>479</v>
      </c>
      <c r="BH58" s="226" t="s">
        <v>161</v>
      </c>
      <c r="BI58" s="55" t="s">
        <v>479</v>
      </c>
      <c r="BJ58" s="55" t="s">
        <v>176</v>
      </c>
      <c r="BK58" s="55" t="s">
        <v>6269</v>
      </c>
      <c r="BM58" s="192" t="s">
        <v>160</v>
      </c>
      <c r="BN58" s="55">
        <v>4</v>
      </c>
      <c r="BO58" s="55">
        <v>4</v>
      </c>
      <c r="BQ58" s="55" t="s">
        <v>141</v>
      </c>
      <c r="CH58" s="90">
        <v>1.6915</v>
      </c>
      <c r="CI58" s="90">
        <v>1.6998</v>
      </c>
      <c r="CM58" s="65">
        <f>10.3067/10</f>
        <v>1.03067</v>
      </c>
      <c r="CN58" s="65">
        <f>10.7055/10</f>
        <v>1.0705500000000001</v>
      </c>
      <c r="CQ58" s="65" t="s">
        <v>163</v>
      </c>
      <c r="DA58" s="65" t="s">
        <v>4454</v>
      </c>
      <c r="EK58" s="90">
        <v>14</v>
      </c>
      <c r="EL58" s="90">
        <v>24</v>
      </c>
      <c r="EO58" s="65" t="s">
        <v>1697</v>
      </c>
      <c r="EU58" s="65">
        <v>0.86129999999999995</v>
      </c>
      <c r="EV58" s="65">
        <f>(1.0549+0.9738)/2</f>
        <v>1.0143499999999999</v>
      </c>
      <c r="EY58" s="65" t="s">
        <v>1409</v>
      </c>
      <c r="EZ58" s="65">
        <f>(1.12+3.14+5.7)/3</f>
        <v>3.3200000000000003</v>
      </c>
      <c r="FA58" s="65">
        <f>(1.88+6.2+11.22)/3</f>
        <v>6.4333333333333336</v>
      </c>
      <c r="FD58" s="65" t="s">
        <v>1695</v>
      </c>
      <c r="FY58" s="65">
        <v>18.5625</v>
      </c>
      <c r="FZ58" s="65">
        <v>16.010400000000001</v>
      </c>
      <c r="GD58" s="65">
        <v>15.21</v>
      </c>
      <c r="GE58" s="65">
        <v>16.279</v>
      </c>
      <c r="GP58" s="292" t="s">
        <v>7494</v>
      </c>
      <c r="HH58" s="227"/>
      <c r="HI58" s="227"/>
      <c r="HJ58" s="227"/>
      <c r="HK58" s="227"/>
      <c r="HL58" s="227"/>
      <c r="HM58" s="227"/>
      <c r="HN58" s="227"/>
      <c r="HO58" s="227"/>
      <c r="HP58" s="227"/>
      <c r="HQ58" s="227"/>
      <c r="HR58" s="227"/>
      <c r="JU58" s="55" t="s">
        <v>690</v>
      </c>
      <c r="JW58" s="55" t="s">
        <v>1408</v>
      </c>
    </row>
    <row r="59" spans="1:283" x14ac:dyDescent="0.25">
      <c r="A59" s="55">
        <v>58</v>
      </c>
      <c r="B59" s="12" t="s">
        <v>7067</v>
      </c>
      <c r="C59" s="155">
        <v>4</v>
      </c>
      <c r="D59" s="55" t="s">
        <v>3702</v>
      </c>
      <c r="E59" s="90" t="s">
        <v>149</v>
      </c>
      <c r="G59" s="55" t="s">
        <v>150</v>
      </c>
      <c r="H59" s="55">
        <v>2010</v>
      </c>
      <c r="I59" s="55">
        <f>(1995+2009)/2</f>
        <v>2002</v>
      </c>
      <c r="J59" s="55" t="s">
        <v>151</v>
      </c>
      <c r="K59" s="55" t="s">
        <v>152</v>
      </c>
      <c r="L59" s="55" t="s">
        <v>2737</v>
      </c>
      <c r="M59" s="90">
        <v>38.14</v>
      </c>
      <c r="N59" s="90">
        <v>-97.43</v>
      </c>
      <c r="O59" s="90">
        <v>450</v>
      </c>
      <c r="Q59" s="55">
        <v>14.4</v>
      </c>
      <c r="S59" s="90">
        <v>874</v>
      </c>
      <c r="U59" s="55" t="s">
        <v>1694</v>
      </c>
      <c r="V59" s="55" t="s">
        <v>1677</v>
      </c>
      <c r="Y59" s="55" t="s">
        <v>1806</v>
      </c>
      <c r="Z59" s="55" t="s">
        <v>1347</v>
      </c>
      <c r="AA59" s="90" t="s">
        <v>1676</v>
      </c>
      <c r="AD59" s="90">
        <v>1.698</v>
      </c>
      <c r="AH59" s="55" t="s">
        <v>6378</v>
      </c>
      <c r="AM59" s="55" t="s">
        <v>1275</v>
      </c>
      <c r="AN59" s="185" t="s">
        <v>159</v>
      </c>
      <c r="AO59" s="185" t="s">
        <v>5150</v>
      </c>
      <c r="AQ59" s="55" t="s">
        <v>553</v>
      </c>
      <c r="AR59" s="55" t="s">
        <v>1554</v>
      </c>
      <c r="AS59" s="55" t="s">
        <v>1583</v>
      </c>
      <c r="AT59" s="181" t="s">
        <v>157</v>
      </c>
      <c r="AU59" s="181" t="s">
        <v>5150</v>
      </c>
      <c r="AV59" s="185" t="s">
        <v>5150</v>
      </c>
      <c r="AW59" s="55" t="s">
        <v>157</v>
      </c>
      <c r="AX59" s="185" t="s">
        <v>5150</v>
      </c>
      <c r="AY59" s="55" t="s">
        <v>176</v>
      </c>
      <c r="AZ59" s="55" t="s">
        <v>156</v>
      </c>
      <c r="BA59" s="55" t="s">
        <v>156</v>
      </c>
      <c r="BB59" s="55" t="s">
        <v>2082</v>
      </c>
      <c r="BC59" s="55" t="s">
        <v>2082</v>
      </c>
      <c r="BD59" s="55" t="s">
        <v>176</v>
      </c>
      <c r="BE59" s="226" t="s">
        <v>161</v>
      </c>
      <c r="BG59" s="55" t="s">
        <v>479</v>
      </c>
      <c r="BH59" s="226" t="s">
        <v>161</v>
      </c>
      <c r="BI59" s="55" t="s">
        <v>479</v>
      </c>
      <c r="BJ59" s="55" t="s">
        <v>176</v>
      </c>
      <c r="BK59" s="55" t="s">
        <v>6269</v>
      </c>
      <c r="BM59" s="192" t="s">
        <v>160</v>
      </c>
      <c r="BN59" s="55">
        <v>4</v>
      </c>
      <c r="BO59" s="55">
        <v>4</v>
      </c>
      <c r="BQ59" s="55" t="s">
        <v>141</v>
      </c>
      <c r="CH59" s="90">
        <v>1.698</v>
      </c>
      <c r="CI59" s="90">
        <v>1.6104000000000001</v>
      </c>
      <c r="CM59" s="65">
        <f>13.681/10</f>
        <v>1.3680999999999999</v>
      </c>
      <c r="CN59" s="65">
        <f>18.1595/10</f>
        <v>1.8159500000000002</v>
      </c>
      <c r="CQ59" s="65" t="s">
        <v>163</v>
      </c>
      <c r="DA59" s="65" t="s">
        <v>4454</v>
      </c>
      <c r="EK59" s="90">
        <v>24</v>
      </c>
      <c r="EL59" s="90">
        <v>41</v>
      </c>
      <c r="EO59" s="65" t="s">
        <v>1697</v>
      </c>
      <c r="EU59" s="65">
        <v>0.86129999999999995</v>
      </c>
      <c r="EV59" s="65">
        <v>0.89339999999999997</v>
      </c>
      <c r="EY59" s="65" t="s">
        <v>1409</v>
      </c>
      <c r="EZ59" s="65">
        <f>(1.1169+4.1126+5.577+10.9731)/4</f>
        <v>5.4449000000000005</v>
      </c>
      <c r="FA59" s="65">
        <f>(5.8369+13.6663+17.0158+24.68)/4</f>
        <v>15.29975</v>
      </c>
      <c r="FD59" s="65" t="s">
        <v>1696</v>
      </c>
      <c r="FY59" s="65">
        <v>21.817599999999999</v>
      </c>
      <c r="FZ59" s="65">
        <v>18.197900000000001</v>
      </c>
      <c r="GD59" s="65">
        <v>15.68</v>
      </c>
      <c r="GE59" s="65">
        <v>17.727</v>
      </c>
      <c r="GP59" s="292" t="s">
        <v>7494</v>
      </c>
      <c r="HD59" s="65">
        <v>92.7</v>
      </c>
      <c r="HE59" s="65">
        <v>623.6</v>
      </c>
      <c r="HH59" s="227" t="s">
        <v>1616</v>
      </c>
      <c r="HI59" s="227"/>
      <c r="HJ59" s="227"/>
      <c r="HK59" s="227"/>
      <c r="HL59" s="227"/>
      <c r="HM59" s="227"/>
      <c r="HN59" s="227"/>
      <c r="HO59" s="227"/>
      <c r="HP59" s="227"/>
      <c r="HQ59" s="227"/>
      <c r="HR59" s="227"/>
      <c r="JU59" s="55" t="s">
        <v>690</v>
      </c>
      <c r="JW59" s="55" t="s">
        <v>1408</v>
      </c>
    </row>
    <row r="60" spans="1:283" x14ac:dyDescent="0.25">
      <c r="A60" s="55">
        <v>59</v>
      </c>
      <c r="B60" s="12" t="s">
        <v>7067</v>
      </c>
      <c r="C60" s="155">
        <v>4</v>
      </c>
      <c r="D60" s="55" t="s">
        <v>3703</v>
      </c>
      <c r="E60" s="90" t="s">
        <v>149</v>
      </c>
      <c r="G60" s="55" t="s">
        <v>150</v>
      </c>
      <c r="H60" s="55">
        <v>2010</v>
      </c>
      <c r="I60" s="55">
        <f>(1995+2009)/2</f>
        <v>2002</v>
      </c>
      <c r="J60" s="55" t="s">
        <v>151</v>
      </c>
      <c r="K60" s="55" t="s">
        <v>152</v>
      </c>
      <c r="L60" s="55" t="s">
        <v>2737</v>
      </c>
      <c r="M60" s="90">
        <v>38.14</v>
      </c>
      <c r="N60" s="90">
        <v>-97.43</v>
      </c>
      <c r="O60" s="90">
        <v>450</v>
      </c>
      <c r="Q60" s="55">
        <v>14.4</v>
      </c>
      <c r="S60" s="90">
        <v>874</v>
      </c>
      <c r="U60" s="55" t="s">
        <v>1694</v>
      </c>
      <c r="V60" s="55" t="s">
        <v>1677</v>
      </c>
      <c r="Y60" s="55" t="s">
        <v>1806</v>
      </c>
      <c r="Z60" s="55" t="s">
        <v>1348</v>
      </c>
      <c r="AA60" s="90" t="s">
        <v>1676</v>
      </c>
      <c r="AD60" s="90">
        <v>1.6915</v>
      </c>
      <c r="AH60" s="55" t="s">
        <v>6378</v>
      </c>
      <c r="AM60" s="55" t="s">
        <v>1275</v>
      </c>
      <c r="AN60" s="185" t="s">
        <v>159</v>
      </c>
      <c r="AO60" s="185" t="s">
        <v>5150</v>
      </c>
      <c r="AQ60" s="55" t="s">
        <v>553</v>
      </c>
      <c r="AR60" s="55" t="s">
        <v>1554</v>
      </c>
      <c r="AS60" s="55" t="s">
        <v>1583</v>
      </c>
      <c r="AT60" s="181" t="s">
        <v>157</v>
      </c>
      <c r="AU60" s="181" t="s">
        <v>5150</v>
      </c>
      <c r="AV60" s="185" t="s">
        <v>5150</v>
      </c>
      <c r="AW60" s="55" t="s">
        <v>157</v>
      </c>
      <c r="AX60" s="185" t="s">
        <v>5150</v>
      </c>
      <c r="AY60" s="55" t="s">
        <v>176</v>
      </c>
      <c r="AZ60" s="55" t="s">
        <v>156</v>
      </c>
      <c r="BA60" s="55" t="s">
        <v>156</v>
      </c>
      <c r="BB60" s="55" t="s">
        <v>2082</v>
      </c>
      <c r="BC60" s="55" t="s">
        <v>2082</v>
      </c>
      <c r="BD60" s="55" t="s">
        <v>176</v>
      </c>
      <c r="BE60" s="226" t="s">
        <v>161</v>
      </c>
      <c r="BG60" s="55" t="s">
        <v>479</v>
      </c>
      <c r="BH60" s="226" t="s">
        <v>161</v>
      </c>
      <c r="BI60" s="55" t="s">
        <v>479</v>
      </c>
      <c r="BJ60" s="55" t="s">
        <v>176</v>
      </c>
      <c r="BK60" s="55" t="s">
        <v>6269</v>
      </c>
      <c r="BM60" s="192" t="s">
        <v>160</v>
      </c>
      <c r="BN60" s="55">
        <v>4</v>
      </c>
      <c r="BO60" s="55">
        <v>4</v>
      </c>
      <c r="BQ60" s="55" t="s">
        <v>141</v>
      </c>
      <c r="CH60" s="90">
        <v>1.6915</v>
      </c>
      <c r="CI60" s="90">
        <v>1.6932</v>
      </c>
      <c r="CM60" s="65">
        <f>10.3067/10</f>
        <v>1.03067</v>
      </c>
      <c r="CN60" s="65">
        <f>10.6135/10</f>
        <v>1.06135</v>
      </c>
      <c r="CQ60" s="65" t="s">
        <v>163</v>
      </c>
      <c r="DA60" s="65" t="s">
        <v>4454</v>
      </c>
      <c r="EK60" s="90">
        <v>14</v>
      </c>
      <c r="EL60" s="90">
        <v>18</v>
      </c>
      <c r="EO60" s="65" t="s">
        <v>1697</v>
      </c>
      <c r="EU60" s="65">
        <v>0.86129999999999995</v>
      </c>
      <c r="EV60" s="65">
        <v>0.77500000000000002</v>
      </c>
      <c r="EY60" s="65" t="s">
        <v>1409</v>
      </c>
      <c r="EZ60" s="65">
        <f>(1.12+3.14+5.7)/3</f>
        <v>3.3200000000000003</v>
      </c>
      <c r="FA60" s="65">
        <f>(1.88+7.73+15.54)/3</f>
        <v>8.3833333333333329</v>
      </c>
      <c r="FD60" s="65" t="s">
        <v>1695</v>
      </c>
      <c r="FY60" s="65">
        <v>18.5625</v>
      </c>
      <c r="FZ60" s="65">
        <v>16.244800000000001</v>
      </c>
      <c r="GD60" s="65">
        <v>15.21</v>
      </c>
      <c r="GE60" s="65">
        <v>16.788</v>
      </c>
      <c r="GP60" s="292" t="s">
        <v>7494</v>
      </c>
      <c r="HS60" s="227"/>
      <c r="HW60" s="227"/>
      <c r="JU60" s="55" t="s">
        <v>690</v>
      </c>
      <c r="JW60" s="55" t="s">
        <v>1408</v>
      </c>
    </row>
    <row r="61" spans="1:283" x14ac:dyDescent="0.25">
      <c r="A61" s="55">
        <v>60</v>
      </c>
      <c r="B61" s="12" t="s">
        <v>7067</v>
      </c>
      <c r="C61" s="155">
        <v>4</v>
      </c>
      <c r="D61" s="55" t="s">
        <v>3704</v>
      </c>
      <c r="E61" s="90" t="s">
        <v>149</v>
      </c>
      <c r="G61" s="55" t="s">
        <v>150</v>
      </c>
      <c r="H61" s="55">
        <v>2010</v>
      </c>
      <c r="I61" s="55">
        <f>(1995+2009)/2</f>
        <v>2002</v>
      </c>
      <c r="J61" s="55" t="s">
        <v>151</v>
      </c>
      <c r="K61" s="55" t="s">
        <v>152</v>
      </c>
      <c r="L61" s="55" t="s">
        <v>2737</v>
      </c>
      <c r="M61" s="90">
        <v>38.14</v>
      </c>
      <c r="N61" s="90">
        <v>-97.43</v>
      </c>
      <c r="O61" s="90">
        <v>450</v>
      </c>
      <c r="Q61" s="55">
        <v>14.4</v>
      </c>
      <c r="S61" s="90">
        <v>874</v>
      </c>
      <c r="U61" s="55" t="s">
        <v>1694</v>
      </c>
      <c r="V61" s="55" t="s">
        <v>1677</v>
      </c>
      <c r="Y61" s="55" t="s">
        <v>1806</v>
      </c>
      <c r="Z61" s="55" t="s">
        <v>1347</v>
      </c>
      <c r="AA61" s="90" t="s">
        <v>1676</v>
      </c>
      <c r="AD61" s="90">
        <v>1.6419999999999999</v>
      </c>
      <c r="AH61" s="55" t="s">
        <v>6378</v>
      </c>
      <c r="AM61" s="55" t="s">
        <v>1275</v>
      </c>
      <c r="AN61" s="185" t="s">
        <v>158</v>
      </c>
      <c r="AO61" s="185" t="s">
        <v>5150</v>
      </c>
      <c r="AQ61" s="55" t="s">
        <v>553</v>
      </c>
      <c r="AR61" s="55" t="s">
        <v>1554</v>
      </c>
      <c r="AS61" s="55" t="s">
        <v>1583</v>
      </c>
      <c r="AT61" s="181" t="s">
        <v>157</v>
      </c>
      <c r="AU61" s="181" t="s">
        <v>5150</v>
      </c>
      <c r="AV61" s="185" t="s">
        <v>5150</v>
      </c>
      <c r="AW61" s="55" t="s">
        <v>157</v>
      </c>
      <c r="AX61" s="185" t="s">
        <v>5150</v>
      </c>
      <c r="AY61" s="55" t="s">
        <v>176</v>
      </c>
      <c r="AZ61" s="55" t="s">
        <v>156</v>
      </c>
      <c r="BA61" s="55" t="s">
        <v>156</v>
      </c>
      <c r="BB61" s="55" t="s">
        <v>2082</v>
      </c>
      <c r="BC61" s="55" t="s">
        <v>2082</v>
      </c>
      <c r="BD61" s="55" t="s">
        <v>176</v>
      </c>
      <c r="BE61" s="226" t="s">
        <v>162</v>
      </c>
      <c r="BF61" s="55" t="s">
        <v>479</v>
      </c>
      <c r="BG61" s="55" t="s">
        <v>479</v>
      </c>
      <c r="BH61" s="226" t="s">
        <v>162</v>
      </c>
      <c r="BI61" s="55" t="s">
        <v>479</v>
      </c>
      <c r="BJ61" s="55" t="s">
        <v>176</v>
      </c>
      <c r="BK61" s="55" t="s">
        <v>6269</v>
      </c>
      <c r="BM61" s="192" t="s">
        <v>160</v>
      </c>
      <c r="BN61" s="55">
        <v>4</v>
      </c>
      <c r="BO61" s="55">
        <v>4</v>
      </c>
      <c r="BQ61" s="55" t="s">
        <v>141</v>
      </c>
      <c r="CH61" s="90">
        <v>1.6419999999999999</v>
      </c>
      <c r="CI61" s="90">
        <v>1.6059000000000001</v>
      </c>
      <c r="CM61" s="65">
        <f>13.681/10</f>
        <v>1.3680999999999999</v>
      </c>
      <c r="CN61" s="65">
        <f>17.3313/10</f>
        <v>1.7331299999999998</v>
      </c>
      <c r="CQ61" s="65" t="s">
        <v>163</v>
      </c>
      <c r="DA61" s="65" t="s">
        <v>4454</v>
      </c>
      <c r="EK61" s="90">
        <v>115</v>
      </c>
      <c r="EL61" s="90">
        <v>138</v>
      </c>
      <c r="EO61" s="65" t="s">
        <v>1410</v>
      </c>
      <c r="GD61" s="65">
        <f>0.1693*100</f>
        <v>16.93</v>
      </c>
      <c r="GE61" s="65">
        <f>0.18*100</f>
        <v>18</v>
      </c>
      <c r="GP61" s="292" t="s">
        <v>7494</v>
      </c>
      <c r="HS61" s="227"/>
      <c r="HW61" s="227"/>
      <c r="JU61" s="55" t="s">
        <v>690</v>
      </c>
      <c r="JW61" s="55" t="s">
        <v>1408</v>
      </c>
    </row>
    <row r="62" spans="1:283" x14ac:dyDescent="0.25">
      <c r="A62" s="55">
        <v>61</v>
      </c>
      <c r="B62" s="12" t="s">
        <v>7067</v>
      </c>
      <c r="C62" s="155">
        <v>4</v>
      </c>
      <c r="D62" s="55" t="s">
        <v>3705</v>
      </c>
      <c r="E62" s="90" t="s">
        <v>149</v>
      </c>
      <c r="G62" s="55" t="s">
        <v>150</v>
      </c>
      <c r="H62" s="55">
        <v>2010</v>
      </c>
      <c r="I62" s="55">
        <f>(1995+2009)/2</f>
        <v>2002</v>
      </c>
      <c r="J62" s="55" t="s">
        <v>151</v>
      </c>
      <c r="K62" s="55" t="s">
        <v>152</v>
      </c>
      <c r="L62" s="55" t="s">
        <v>2737</v>
      </c>
      <c r="M62" s="90">
        <v>38.14</v>
      </c>
      <c r="N62" s="90">
        <v>-97.43</v>
      </c>
      <c r="O62" s="90">
        <v>450</v>
      </c>
      <c r="Q62" s="55">
        <v>14.4</v>
      </c>
      <c r="S62" s="90">
        <v>874</v>
      </c>
      <c r="U62" s="55" t="s">
        <v>1694</v>
      </c>
      <c r="V62" s="55" t="s">
        <v>1677</v>
      </c>
      <c r="Y62" s="55" t="s">
        <v>1806</v>
      </c>
      <c r="Z62" s="55" t="s">
        <v>1348</v>
      </c>
      <c r="AA62" s="90" t="s">
        <v>1676</v>
      </c>
      <c r="AD62" s="90">
        <v>1.7101999999999999</v>
      </c>
      <c r="AH62" s="55" t="s">
        <v>6378</v>
      </c>
      <c r="AM62" s="55" t="s">
        <v>1275</v>
      </c>
      <c r="AN62" s="185" t="s">
        <v>158</v>
      </c>
      <c r="AO62" s="185" t="s">
        <v>5150</v>
      </c>
      <c r="AQ62" s="55" t="s">
        <v>553</v>
      </c>
      <c r="AR62" s="55" t="s">
        <v>1554</v>
      </c>
      <c r="AS62" s="55" t="s">
        <v>1583</v>
      </c>
      <c r="AT62" s="181" t="s">
        <v>157</v>
      </c>
      <c r="AU62" s="181" t="s">
        <v>5150</v>
      </c>
      <c r="AV62" s="185" t="s">
        <v>5150</v>
      </c>
      <c r="AW62" s="55" t="s">
        <v>157</v>
      </c>
      <c r="AX62" s="185" t="s">
        <v>5150</v>
      </c>
      <c r="AY62" s="55" t="s">
        <v>176</v>
      </c>
      <c r="AZ62" s="55" t="s">
        <v>156</v>
      </c>
      <c r="BA62" s="55" t="s">
        <v>156</v>
      </c>
      <c r="BB62" s="55" t="s">
        <v>2082</v>
      </c>
      <c r="BC62" s="55" t="s">
        <v>2082</v>
      </c>
      <c r="BD62" s="55" t="s">
        <v>176</v>
      </c>
      <c r="BE62" s="226" t="s">
        <v>162</v>
      </c>
      <c r="BF62" s="55" t="s">
        <v>479</v>
      </c>
      <c r="BG62" s="55" t="s">
        <v>479</v>
      </c>
      <c r="BH62" s="226" t="s">
        <v>162</v>
      </c>
      <c r="BI62" s="55" t="s">
        <v>479</v>
      </c>
      <c r="BJ62" s="55" t="s">
        <v>176</v>
      </c>
      <c r="BK62" s="55" t="s">
        <v>6269</v>
      </c>
      <c r="BM62" s="192" t="s">
        <v>160</v>
      </c>
      <c r="BN62" s="55">
        <v>4</v>
      </c>
      <c r="BO62" s="55">
        <v>4</v>
      </c>
      <c r="BQ62" s="55" t="s">
        <v>141</v>
      </c>
      <c r="CH62" s="90">
        <v>1.7101999999999999</v>
      </c>
      <c r="CI62" s="90">
        <v>1.6938</v>
      </c>
      <c r="CM62" s="65">
        <f>10.3067/10</f>
        <v>1.03067</v>
      </c>
      <c r="CN62" s="65">
        <f>10.2147/10</f>
        <v>1.0214700000000001</v>
      </c>
      <c r="CQ62" s="65" t="s">
        <v>163</v>
      </c>
      <c r="DA62" s="65" t="s">
        <v>4454</v>
      </c>
      <c r="EK62" s="90">
        <v>172</v>
      </c>
      <c r="EL62" s="90">
        <v>170</v>
      </c>
      <c r="EO62" s="65" t="s">
        <v>1410</v>
      </c>
      <c r="GD62" s="65">
        <f>0.1611*100</f>
        <v>16.11</v>
      </c>
      <c r="GE62" s="65">
        <f>0.1619*100</f>
        <v>16.189999999999998</v>
      </c>
      <c r="GP62" s="292" t="s">
        <v>7494</v>
      </c>
      <c r="HS62" s="227"/>
      <c r="HW62" s="227"/>
      <c r="JU62" s="55" t="s">
        <v>690</v>
      </c>
      <c r="JW62" s="55" t="s">
        <v>1408</v>
      </c>
    </row>
    <row r="63" spans="1:283" x14ac:dyDescent="0.25">
      <c r="A63" s="55">
        <v>62</v>
      </c>
      <c r="B63" s="12" t="s">
        <v>7067</v>
      </c>
      <c r="C63" s="155">
        <v>4</v>
      </c>
      <c r="D63" s="55" t="s">
        <v>3704</v>
      </c>
      <c r="E63" s="90" t="s">
        <v>149</v>
      </c>
      <c r="G63" s="55" t="s">
        <v>150</v>
      </c>
      <c r="H63" s="55">
        <v>2010</v>
      </c>
      <c r="I63" s="55">
        <f>(1995+2009)/2</f>
        <v>2002</v>
      </c>
      <c r="J63" s="55" t="s">
        <v>151</v>
      </c>
      <c r="K63" s="55" t="s">
        <v>152</v>
      </c>
      <c r="L63" s="55" t="s">
        <v>2737</v>
      </c>
      <c r="M63" s="90">
        <v>38.14</v>
      </c>
      <c r="N63" s="90">
        <v>-97.43</v>
      </c>
      <c r="O63" s="90">
        <v>450</v>
      </c>
      <c r="Q63" s="55">
        <v>14.4</v>
      </c>
      <c r="S63" s="90">
        <v>874</v>
      </c>
      <c r="U63" s="55" t="s">
        <v>1694</v>
      </c>
      <c r="V63" s="55" t="s">
        <v>1677</v>
      </c>
      <c r="Y63" s="55" t="s">
        <v>1806</v>
      </c>
      <c r="Z63" s="55" t="s">
        <v>1347</v>
      </c>
      <c r="AA63" s="90" t="s">
        <v>1676</v>
      </c>
      <c r="AD63" s="90">
        <v>1.6419999999999999</v>
      </c>
      <c r="AH63" s="55" t="s">
        <v>6378</v>
      </c>
      <c r="AM63" s="55" t="s">
        <v>1275</v>
      </c>
      <c r="AN63" s="185" t="s">
        <v>159</v>
      </c>
      <c r="AO63" s="185" t="s">
        <v>5150</v>
      </c>
      <c r="AQ63" s="55" t="s">
        <v>553</v>
      </c>
      <c r="AR63" s="55" t="s">
        <v>1554</v>
      </c>
      <c r="AS63" s="55" t="s">
        <v>1583</v>
      </c>
      <c r="AT63" s="181" t="s">
        <v>157</v>
      </c>
      <c r="AU63" s="181" t="s">
        <v>5150</v>
      </c>
      <c r="AV63" s="185" t="s">
        <v>5150</v>
      </c>
      <c r="AW63" s="55" t="s">
        <v>157</v>
      </c>
      <c r="AX63" s="185" t="s">
        <v>5150</v>
      </c>
      <c r="AY63" s="55" t="s">
        <v>176</v>
      </c>
      <c r="AZ63" s="55" t="s">
        <v>156</v>
      </c>
      <c r="BA63" s="55" t="s">
        <v>156</v>
      </c>
      <c r="BB63" s="55" t="s">
        <v>2082</v>
      </c>
      <c r="BC63" s="55" t="s">
        <v>2082</v>
      </c>
      <c r="BD63" s="55" t="s">
        <v>176</v>
      </c>
      <c r="BE63" s="226" t="s">
        <v>162</v>
      </c>
      <c r="BF63" s="55" t="s">
        <v>479</v>
      </c>
      <c r="BG63" s="55" t="s">
        <v>479</v>
      </c>
      <c r="BH63" s="226" t="s">
        <v>162</v>
      </c>
      <c r="BI63" s="55" t="s">
        <v>479</v>
      </c>
      <c r="BJ63" s="55" t="s">
        <v>176</v>
      </c>
      <c r="BK63" s="55" t="s">
        <v>6269</v>
      </c>
      <c r="BM63" s="192" t="s">
        <v>160</v>
      </c>
      <c r="BN63" s="55">
        <v>4</v>
      </c>
      <c r="BO63" s="55">
        <v>4</v>
      </c>
      <c r="BQ63" s="55" t="s">
        <v>141</v>
      </c>
      <c r="CH63" s="90">
        <v>1.6419999999999999</v>
      </c>
      <c r="CI63" s="90">
        <v>1.6193</v>
      </c>
      <c r="CM63" s="65">
        <f>13.681/10</f>
        <v>1.3680999999999999</v>
      </c>
      <c r="CN63" s="65">
        <f>17.3313/10</f>
        <v>1.7331299999999998</v>
      </c>
      <c r="CQ63" s="65" t="s">
        <v>163</v>
      </c>
      <c r="DA63" s="65" t="s">
        <v>4454</v>
      </c>
      <c r="EK63" s="90">
        <v>115</v>
      </c>
      <c r="EL63" s="90">
        <v>149</v>
      </c>
      <c r="EO63" s="65" t="s">
        <v>1410</v>
      </c>
      <c r="GD63" s="65">
        <f>0.1693*100</f>
        <v>16.93</v>
      </c>
      <c r="GE63" s="65">
        <f>0.1774*100</f>
        <v>17.740000000000002</v>
      </c>
      <c r="GP63" s="292" t="s">
        <v>7494</v>
      </c>
      <c r="HS63" s="227"/>
      <c r="HW63" s="227"/>
      <c r="JU63" s="55" t="s">
        <v>690</v>
      </c>
      <c r="JW63" s="55" t="s">
        <v>1408</v>
      </c>
    </row>
    <row r="64" spans="1:283" x14ac:dyDescent="0.25">
      <c r="A64" s="55">
        <v>63</v>
      </c>
      <c r="B64" s="12" t="s">
        <v>7067</v>
      </c>
      <c r="C64" s="155">
        <v>4</v>
      </c>
      <c r="D64" s="55" t="s">
        <v>3705</v>
      </c>
      <c r="E64" s="90" t="s">
        <v>149</v>
      </c>
      <c r="G64" s="55" t="s">
        <v>150</v>
      </c>
      <c r="H64" s="55">
        <v>2010</v>
      </c>
      <c r="I64" s="55">
        <f>(1995+2009)/2</f>
        <v>2002</v>
      </c>
      <c r="J64" s="55" t="s">
        <v>151</v>
      </c>
      <c r="K64" s="55" t="s">
        <v>152</v>
      </c>
      <c r="L64" s="55" t="s">
        <v>2737</v>
      </c>
      <c r="M64" s="90">
        <v>38.14</v>
      </c>
      <c r="N64" s="90">
        <v>-97.43</v>
      </c>
      <c r="O64" s="90">
        <v>450</v>
      </c>
      <c r="Q64" s="55">
        <v>14.4</v>
      </c>
      <c r="S64" s="90">
        <v>874</v>
      </c>
      <c r="U64" s="55" t="s">
        <v>1694</v>
      </c>
      <c r="V64" s="55" t="s">
        <v>1677</v>
      </c>
      <c r="Y64" s="55" t="s">
        <v>1806</v>
      </c>
      <c r="Z64" s="55" t="s">
        <v>1348</v>
      </c>
      <c r="AA64" s="90" t="s">
        <v>1676</v>
      </c>
      <c r="AD64" s="90">
        <v>1.7101999999999999</v>
      </c>
      <c r="AH64" s="55" t="s">
        <v>6378</v>
      </c>
      <c r="AM64" s="55" t="s">
        <v>1275</v>
      </c>
      <c r="AN64" s="185" t="s">
        <v>159</v>
      </c>
      <c r="AO64" s="185" t="s">
        <v>5150</v>
      </c>
      <c r="AQ64" s="55" t="s">
        <v>553</v>
      </c>
      <c r="AR64" s="55" t="s">
        <v>1554</v>
      </c>
      <c r="AS64" s="55" t="s">
        <v>1583</v>
      </c>
      <c r="AT64" s="181" t="s">
        <v>157</v>
      </c>
      <c r="AU64" s="181" t="s">
        <v>5150</v>
      </c>
      <c r="AV64" s="185" t="s">
        <v>5150</v>
      </c>
      <c r="AW64" s="55" t="s">
        <v>157</v>
      </c>
      <c r="AX64" s="185" t="s">
        <v>5150</v>
      </c>
      <c r="AY64" s="55" t="s">
        <v>176</v>
      </c>
      <c r="AZ64" s="55" t="s">
        <v>156</v>
      </c>
      <c r="BA64" s="55" t="s">
        <v>156</v>
      </c>
      <c r="BB64" s="55" t="s">
        <v>2082</v>
      </c>
      <c r="BC64" s="55" t="s">
        <v>2082</v>
      </c>
      <c r="BD64" s="55" t="s">
        <v>176</v>
      </c>
      <c r="BE64" s="226" t="s">
        <v>162</v>
      </c>
      <c r="BF64" s="55" t="s">
        <v>479</v>
      </c>
      <c r="BG64" s="55" t="s">
        <v>479</v>
      </c>
      <c r="BH64" s="226" t="s">
        <v>162</v>
      </c>
      <c r="BI64" s="55" t="s">
        <v>479</v>
      </c>
      <c r="BJ64" s="55" t="s">
        <v>176</v>
      </c>
      <c r="BK64" s="55" t="s">
        <v>6269</v>
      </c>
      <c r="BM64" s="192" t="s">
        <v>160</v>
      </c>
      <c r="BN64" s="55">
        <v>4</v>
      </c>
      <c r="BO64" s="55">
        <v>4</v>
      </c>
      <c r="BQ64" s="55" t="s">
        <v>141</v>
      </c>
      <c r="CH64" s="90">
        <v>1.7101999999999999</v>
      </c>
      <c r="CI64" s="90">
        <v>1.6987000000000001</v>
      </c>
      <c r="CM64" s="65">
        <f>10.3067/10</f>
        <v>1.03067</v>
      </c>
      <c r="CN64" s="65">
        <f>10.2147/10</f>
        <v>1.0214700000000001</v>
      </c>
      <c r="CQ64" s="65" t="s">
        <v>163</v>
      </c>
      <c r="DA64" s="65" t="s">
        <v>4454</v>
      </c>
      <c r="EK64" s="90">
        <v>172</v>
      </c>
      <c r="EL64" s="90">
        <v>169</v>
      </c>
      <c r="EO64" s="65" t="s">
        <v>1410</v>
      </c>
      <c r="GD64" s="65">
        <f>0.1611*100</f>
        <v>16.11</v>
      </c>
      <c r="GE64" s="65">
        <f>0.1671*100</f>
        <v>16.71</v>
      </c>
      <c r="GP64" s="292" t="s">
        <v>7494</v>
      </c>
      <c r="HS64" s="227"/>
      <c r="HW64" s="227"/>
      <c r="JU64" s="55" t="s">
        <v>690</v>
      </c>
      <c r="JW64" s="55" t="s">
        <v>1408</v>
      </c>
    </row>
    <row r="65" spans="1:281" x14ac:dyDescent="0.25">
      <c r="A65" s="55">
        <v>64</v>
      </c>
      <c r="B65" s="12" t="s">
        <v>7067</v>
      </c>
      <c r="C65" s="155">
        <v>5</v>
      </c>
      <c r="D65" s="55" t="s">
        <v>3706</v>
      </c>
      <c r="E65" s="90" t="s">
        <v>149</v>
      </c>
      <c r="G65" s="55" t="s">
        <v>150</v>
      </c>
      <c r="H65" s="55">
        <v>2013</v>
      </c>
      <c r="I65" s="55">
        <v>2011</v>
      </c>
      <c r="J65" s="55" t="s">
        <v>151</v>
      </c>
      <c r="K65" s="55" t="s">
        <v>166</v>
      </c>
      <c r="L65" s="55" t="s">
        <v>2737</v>
      </c>
      <c r="M65" s="90">
        <v>37.97</v>
      </c>
      <c r="N65" s="90">
        <v>-100.87</v>
      </c>
      <c r="O65" s="90">
        <v>865.6</v>
      </c>
      <c r="R65" s="55">
        <v>400</v>
      </c>
      <c r="S65" s="90">
        <v>489</v>
      </c>
      <c r="U65" s="55">
        <v>4</v>
      </c>
      <c r="V65" s="55" t="s">
        <v>1682</v>
      </c>
      <c r="Y65" s="55" t="s">
        <v>1804</v>
      </c>
      <c r="Z65" s="55" t="s">
        <v>1347</v>
      </c>
      <c r="AA65" s="90" t="s">
        <v>1676</v>
      </c>
      <c r="AD65" s="90">
        <v>1.57</v>
      </c>
      <c r="AH65" s="55" t="s">
        <v>6378</v>
      </c>
      <c r="AM65" s="55" t="s">
        <v>1276</v>
      </c>
      <c r="AN65" s="185" t="s">
        <v>1528</v>
      </c>
      <c r="AO65" s="185" t="s">
        <v>5150</v>
      </c>
      <c r="AQ65" s="55" t="s">
        <v>553</v>
      </c>
      <c r="AR65" s="55" t="s">
        <v>1578</v>
      </c>
      <c r="AS65" s="55" t="s">
        <v>1583</v>
      </c>
      <c r="AT65" s="181" t="s">
        <v>1579</v>
      </c>
      <c r="AU65" s="181" t="s">
        <v>5150</v>
      </c>
      <c r="AV65" s="185" t="s">
        <v>176</v>
      </c>
      <c r="AW65" s="55" t="s">
        <v>1579</v>
      </c>
      <c r="AX65" s="185" t="s">
        <v>176</v>
      </c>
      <c r="AY65" s="55" t="s">
        <v>176</v>
      </c>
      <c r="BK65" s="55" t="s">
        <v>5976</v>
      </c>
      <c r="BM65" s="192" t="s">
        <v>119</v>
      </c>
      <c r="BN65" s="55">
        <v>4</v>
      </c>
      <c r="BO65" s="55">
        <v>4</v>
      </c>
      <c r="BQ65" s="55" t="s">
        <v>173</v>
      </c>
      <c r="CH65" s="90">
        <v>1.57</v>
      </c>
      <c r="CI65" s="90">
        <v>1.45</v>
      </c>
      <c r="CM65" s="65">
        <f>8.7/1000*100</f>
        <v>0.86999999999999988</v>
      </c>
      <c r="CN65" s="65">
        <v>0.91999999999999993</v>
      </c>
      <c r="CR65" s="65">
        <v>10.9</v>
      </c>
      <c r="CS65" s="65">
        <v>11.3</v>
      </c>
      <c r="CV65" s="65" t="s">
        <v>1629</v>
      </c>
      <c r="DA65" s="65" t="s">
        <v>4452</v>
      </c>
      <c r="EK65" s="90">
        <f>0.5877*100</f>
        <v>58.77</v>
      </c>
      <c r="EL65" s="90">
        <f>0.4353*100</f>
        <v>43.53</v>
      </c>
      <c r="EO65" s="65" t="s">
        <v>788</v>
      </c>
      <c r="FJ65" s="65">
        <v>1.5893999999999999</v>
      </c>
      <c r="FK65" s="65">
        <v>0.96489999999999998</v>
      </c>
      <c r="FN65" s="65" t="s">
        <v>6355</v>
      </c>
      <c r="GP65" s="292" t="s">
        <v>7494</v>
      </c>
      <c r="HS65" s="227"/>
      <c r="HW65" s="227"/>
      <c r="JU65" s="55" t="s">
        <v>691</v>
      </c>
    </row>
    <row r="66" spans="1:281" x14ac:dyDescent="0.25">
      <c r="A66" s="55">
        <v>65</v>
      </c>
      <c r="B66" s="12" t="s">
        <v>7067</v>
      </c>
      <c r="C66" s="155">
        <v>5</v>
      </c>
      <c r="D66" s="55" t="s">
        <v>3706</v>
      </c>
      <c r="E66" s="90" t="s">
        <v>149</v>
      </c>
      <c r="G66" s="55" t="s">
        <v>150</v>
      </c>
      <c r="H66" s="55">
        <v>2013</v>
      </c>
      <c r="I66" s="55">
        <v>2011</v>
      </c>
      <c r="J66" s="55" t="s">
        <v>151</v>
      </c>
      <c r="K66" s="55" t="s">
        <v>166</v>
      </c>
      <c r="L66" s="55" t="s">
        <v>2737</v>
      </c>
      <c r="M66" s="90">
        <v>37.97</v>
      </c>
      <c r="N66" s="90">
        <v>-100.87</v>
      </c>
      <c r="O66" s="90">
        <v>865.6</v>
      </c>
      <c r="R66" s="55">
        <v>400</v>
      </c>
      <c r="S66" s="90">
        <v>489</v>
      </c>
      <c r="U66" s="55">
        <v>4</v>
      </c>
      <c r="V66" s="55" t="s">
        <v>1682</v>
      </c>
      <c r="Y66" s="55" t="s">
        <v>1804</v>
      </c>
      <c r="Z66" s="55" t="s">
        <v>1347</v>
      </c>
      <c r="AA66" s="90" t="s">
        <v>1676</v>
      </c>
      <c r="AD66" s="90">
        <v>1.57</v>
      </c>
      <c r="AH66" s="55" t="s">
        <v>6378</v>
      </c>
      <c r="AM66" s="55" t="s">
        <v>1276</v>
      </c>
      <c r="AN66" s="185" t="s">
        <v>1532</v>
      </c>
      <c r="AO66" s="185" t="s">
        <v>5150</v>
      </c>
      <c r="AQ66" s="55" t="s">
        <v>553</v>
      </c>
      <c r="AR66" s="55" t="s">
        <v>1578</v>
      </c>
      <c r="AS66" s="55" t="s">
        <v>1583</v>
      </c>
      <c r="AT66" s="181" t="s">
        <v>1579</v>
      </c>
      <c r="AU66" s="181" t="s">
        <v>5150</v>
      </c>
      <c r="AV66" s="185" t="s">
        <v>176</v>
      </c>
      <c r="AW66" s="55" t="s">
        <v>1579</v>
      </c>
      <c r="AX66" s="185" t="s">
        <v>176</v>
      </c>
      <c r="AY66" s="55" t="s">
        <v>176</v>
      </c>
      <c r="BK66" s="55" t="s">
        <v>5976</v>
      </c>
      <c r="BM66" s="192" t="s">
        <v>119</v>
      </c>
      <c r="BN66" s="55">
        <v>4</v>
      </c>
      <c r="BO66" s="55">
        <v>4</v>
      </c>
      <c r="BQ66" s="55" t="s">
        <v>173</v>
      </c>
      <c r="CH66" s="90">
        <v>1.57</v>
      </c>
      <c r="CI66" s="90">
        <v>1.55</v>
      </c>
      <c r="CM66" s="65">
        <f>8.7/1000*100</f>
        <v>0.86999999999999988</v>
      </c>
      <c r="CN66" s="65">
        <v>1.01</v>
      </c>
      <c r="CR66" s="65">
        <v>10.9</v>
      </c>
      <c r="CS66" s="65">
        <v>12.5</v>
      </c>
      <c r="CV66" s="65" t="s">
        <v>1629</v>
      </c>
      <c r="DA66" s="65" t="s">
        <v>4452</v>
      </c>
      <c r="EK66" s="90">
        <f>0.5877*100</f>
        <v>58.77</v>
      </c>
      <c r="EL66" s="90">
        <f>0.3374*100</f>
        <v>33.739999999999995</v>
      </c>
      <c r="EO66" s="65" t="s">
        <v>788</v>
      </c>
      <c r="FJ66" s="65">
        <v>1.5893999999999999</v>
      </c>
      <c r="FK66" s="65">
        <v>0.50319999999999998</v>
      </c>
      <c r="FN66" s="65" t="s">
        <v>6355</v>
      </c>
      <c r="GP66" s="292" t="s">
        <v>7494</v>
      </c>
      <c r="HS66" s="227"/>
      <c r="HW66" s="227"/>
      <c r="JU66" s="55" t="s">
        <v>691</v>
      </c>
    </row>
    <row r="67" spans="1:281" x14ac:dyDescent="0.25">
      <c r="A67" s="55">
        <v>66</v>
      </c>
      <c r="B67" s="12" t="s">
        <v>7067</v>
      </c>
      <c r="C67" s="155">
        <v>5</v>
      </c>
      <c r="D67" s="55" t="s">
        <v>3706</v>
      </c>
      <c r="E67" s="90" t="s">
        <v>149</v>
      </c>
      <c r="G67" s="55" t="s">
        <v>150</v>
      </c>
      <c r="H67" s="55">
        <v>2013</v>
      </c>
      <c r="I67" s="55">
        <v>2011</v>
      </c>
      <c r="J67" s="55" t="s">
        <v>151</v>
      </c>
      <c r="K67" s="55" t="s">
        <v>166</v>
      </c>
      <c r="L67" s="55" t="s">
        <v>2737</v>
      </c>
      <c r="M67" s="90">
        <v>37.97</v>
      </c>
      <c r="N67" s="90">
        <v>-100.87</v>
      </c>
      <c r="O67" s="90">
        <v>865.6</v>
      </c>
      <c r="R67" s="55">
        <v>400</v>
      </c>
      <c r="S67" s="90">
        <v>489</v>
      </c>
      <c r="U67" s="55">
        <v>4</v>
      </c>
      <c r="V67" s="55" t="s">
        <v>1682</v>
      </c>
      <c r="Y67" s="55" t="s">
        <v>1804</v>
      </c>
      <c r="Z67" s="55" t="s">
        <v>1347</v>
      </c>
      <c r="AA67" s="90" t="s">
        <v>1676</v>
      </c>
      <c r="AD67" s="90">
        <v>1.57</v>
      </c>
      <c r="AH67" s="55" t="s">
        <v>6378</v>
      </c>
      <c r="AM67" s="55" t="s">
        <v>1276</v>
      </c>
      <c r="AN67" s="185" t="s">
        <v>1533</v>
      </c>
      <c r="AO67" s="185" t="s">
        <v>5150</v>
      </c>
      <c r="AQ67" s="55" t="s">
        <v>553</v>
      </c>
      <c r="AR67" s="55" t="s">
        <v>1578</v>
      </c>
      <c r="AS67" s="55" t="s">
        <v>1583</v>
      </c>
      <c r="AT67" s="181" t="s">
        <v>1579</v>
      </c>
      <c r="AU67" s="181" t="s">
        <v>5150</v>
      </c>
      <c r="AV67" s="185" t="s">
        <v>176</v>
      </c>
      <c r="AW67" s="55" t="s">
        <v>1579</v>
      </c>
      <c r="AX67" s="185" t="s">
        <v>176</v>
      </c>
      <c r="AY67" s="55" t="s">
        <v>176</v>
      </c>
      <c r="BK67" s="55" t="s">
        <v>5976</v>
      </c>
      <c r="BM67" s="192" t="s">
        <v>119</v>
      </c>
      <c r="BN67" s="55">
        <v>4</v>
      </c>
      <c r="BO67" s="55">
        <v>4</v>
      </c>
      <c r="BQ67" s="55" t="s">
        <v>173</v>
      </c>
      <c r="CH67" s="90">
        <v>1.57</v>
      </c>
      <c r="CI67" s="90">
        <v>1.49</v>
      </c>
      <c r="CM67" s="65">
        <f>8.7/1000*100</f>
        <v>0.86999999999999988</v>
      </c>
      <c r="CN67" s="65">
        <v>1.08</v>
      </c>
      <c r="CR67" s="65">
        <v>10.9</v>
      </c>
      <c r="CS67" s="65">
        <v>13.5</v>
      </c>
      <c r="CV67" s="65" t="s">
        <v>1629</v>
      </c>
      <c r="DA67" s="65" t="s">
        <v>4452</v>
      </c>
      <c r="EK67" s="90">
        <f>0.5877*100</f>
        <v>58.77</v>
      </c>
      <c r="EL67" s="90">
        <f>0.423*100</f>
        <v>42.3</v>
      </c>
      <c r="EO67" s="65" t="s">
        <v>788</v>
      </c>
      <c r="GP67" s="292" t="s">
        <v>7494</v>
      </c>
      <c r="HS67" s="227"/>
      <c r="HW67" s="227"/>
      <c r="JU67" s="55" t="s">
        <v>691</v>
      </c>
    </row>
    <row r="68" spans="1:281" x14ac:dyDescent="0.25">
      <c r="A68" s="55">
        <v>67</v>
      </c>
      <c r="B68" s="12" t="s">
        <v>7067</v>
      </c>
      <c r="C68" s="155">
        <v>5</v>
      </c>
      <c r="D68" s="55" t="s">
        <v>3707</v>
      </c>
      <c r="E68" s="90" t="s">
        <v>149</v>
      </c>
      <c r="G68" s="55" t="s">
        <v>150</v>
      </c>
      <c r="H68" s="55">
        <v>2013</v>
      </c>
      <c r="I68" s="55">
        <v>2011</v>
      </c>
      <c r="J68" s="55" t="s">
        <v>151</v>
      </c>
      <c r="K68" s="55" t="s">
        <v>166</v>
      </c>
      <c r="L68" s="55" t="s">
        <v>2737</v>
      </c>
      <c r="M68" s="90">
        <v>37.97</v>
      </c>
      <c r="N68" s="90">
        <v>-100.87</v>
      </c>
      <c r="O68" s="90">
        <v>865.6</v>
      </c>
      <c r="R68" s="55">
        <v>400</v>
      </c>
      <c r="S68" s="90">
        <v>489</v>
      </c>
      <c r="U68" s="55">
        <v>4</v>
      </c>
      <c r="V68" s="55" t="s">
        <v>1682</v>
      </c>
      <c r="Y68" s="55" t="s">
        <v>1804</v>
      </c>
      <c r="Z68" s="55" t="s">
        <v>1347</v>
      </c>
      <c r="AA68" s="90" t="s">
        <v>1676</v>
      </c>
      <c r="AD68" s="90">
        <v>1.57</v>
      </c>
      <c r="AH68" s="55" t="s">
        <v>6378</v>
      </c>
      <c r="AM68" s="55" t="s">
        <v>1276</v>
      </c>
      <c r="AN68" s="185" t="s">
        <v>1529</v>
      </c>
      <c r="AO68" s="185" t="s">
        <v>5150</v>
      </c>
      <c r="AQ68" s="55" t="s">
        <v>1545</v>
      </c>
      <c r="AR68" s="55" t="s">
        <v>1578</v>
      </c>
      <c r="AS68" s="55" t="s">
        <v>1583</v>
      </c>
      <c r="AT68" s="181" t="s">
        <v>1579</v>
      </c>
      <c r="AU68" s="181" t="s">
        <v>5150</v>
      </c>
      <c r="AV68" s="185" t="s">
        <v>176</v>
      </c>
      <c r="AW68" s="55" t="s">
        <v>1579</v>
      </c>
      <c r="AX68" s="185" t="s">
        <v>176</v>
      </c>
      <c r="AY68" s="55" t="s">
        <v>176</v>
      </c>
      <c r="BK68" s="55" t="s">
        <v>5976</v>
      </c>
      <c r="BM68" s="192" t="s">
        <v>119</v>
      </c>
      <c r="BN68" s="55">
        <v>4</v>
      </c>
      <c r="BO68" s="55">
        <v>4</v>
      </c>
      <c r="BQ68" s="55" t="s">
        <v>173</v>
      </c>
      <c r="CH68" s="90">
        <v>1.57</v>
      </c>
      <c r="CI68" s="90">
        <v>1.39</v>
      </c>
      <c r="CM68" s="65">
        <f>8.7/1000*100</f>
        <v>0.86999999999999988</v>
      </c>
      <c r="CN68" s="65">
        <v>1.1400000000000001</v>
      </c>
      <c r="CR68" s="65">
        <v>10.9</v>
      </c>
      <c r="CS68" s="65">
        <v>13.4</v>
      </c>
      <c r="CV68" s="65" t="s">
        <v>1629</v>
      </c>
      <c r="DA68" s="65" t="s">
        <v>4452</v>
      </c>
      <c r="EK68" s="90">
        <f>0.5877*100</f>
        <v>58.77</v>
      </c>
      <c r="EL68" s="90">
        <f>0.3939*100</f>
        <v>39.39</v>
      </c>
      <c r="EO68" s="65" t="s">
        <v>788</v>
      </c>
      <c r="FJ68" s="65">
        <v>1.5893999999999999</v>
      </c>
      <c r="FK68" s="65">
        <v>0.3256</v>
      </c>
      <c r="FN68" s="65" t="s">
        <v>6355</v>
      </c>
      <c r="GP68" s="292" t="s">
        <v>7494</v>
      </c>
      <c r="HS68" s="227"/>
      <c r="HW68" s="227"/>
      <c r="JU68" s="55" t="s">
        <v>691</v>
      </c>
    </row>
    <row r="69" spans="1:281" x14ac:dyDescent="0.25">
      <c r="A69" s="55">
        <v>68</v>
      </c>
      <c r="B69" s="12" t="s">
        <v>7067</v>
      </c>
      <c r="C69" s="155">
        <v>5</v>
      </c>
      <c r="D69" s="55" t="s">
        <v>3707</v>
      </c>
      <c r="E69" s="90" t="s">
        <v>149</v>
      </c>
      <c r="G69" s="55" t="s">
        <v>150</v>
      </c>
      <c r="H69" s="55">
        <v>2013</v>
      </c>
      <c r="I69" s="55">
        <v>2011</v>
      </c>
      <c r="J69" s="55" t="s">
        <v>151</v>
      </c>
      <c r="K69" s="55" t="s">
        <v>166</v>
      </c>
      <c r="L69" s="55" t="s">
        <v>2737</v>
      </c>
      <c r="M69" s="90">
        <v>37.97</v>
      </c>
      <c r="N69" s="90">
        <v>-100.87</v>
      </c>
      <c r="O69" s="90">
        <v>865.6</v>
      </c>
      <c r="R69" s="55">
        <v>400</v>
      </c>
      <c r="S69" s="90">
        <v>489</v>
      </c>
      <c r="U69" s="55">
        <v>4</v>
      </c>
      <c r="V69" s="55" t="s">
        <v>1682</v>
      </c>
      <c r="Y69" s="55" t="s">
        <v>1804</v>
      </c>
      <c r="Z69" s="55" t="s">
        <v>1347</v>
      </c>
      <c r="AA69" s="90" t="s">
        <v>1676</v>
      </c>
      <c r="AD69" s="90">
        <v>1.57</v>
      </c>
      <c r="AH69" s="55" t="s">
        <v>6378</v>
      </c>
      <c r="AM69" s="55" t="s">
        <v>1276</v>
      </c>
      <c r="AN69" s="185" t="s">
        <v>1536</v>
      </c>
      <c r="AO69" s="185" t="s">
        <v>5150</v>
      </c>
      <c r="AQ69" s="55" t="s">
        <v>1545</v>
      </c>
      <c r="AR69" s="55" t="s">
        <v>1578</v>
      </c>
      <c r="AS69" s="55" t="s">
        <v>1583</v>
      </c>
      <c r="AT69" s="181" t="s">
        <v>1579</v>
      </c>
      <c r="AU69" s="181" t="s">
        <v>5150</v>
      </c>
      <c r="AV69" s="185" t="s">
        <v>176</v>
      </c>
      <c r="AW69" s="55" t="s">
        <v>1579</v>
      </c>
      <c r="AX69" s="185" t="s">
        <v>176</v>
      </c>
      <c r="AY69" s="55" t="s">
        <v>176</v>
      </c>
      <c r="BK69" s="55" t="s">
        <v>5976</v>
      </c>
      <c r="BM69" s="192" t="s">
        <v>119</v>
      </c>
      <c r="BN69" s="55">
        <v>4</v>
      </c>
      <c r="BO69" s="55">
        <v>4</v>
      </c>
      <c r="BQ69" s="55" t="s">
        <v>173</v>
      </c>
      <c r="BV69" s="55" t="s">
        <v>167</v>
      </c>
      <c r="CH69" s="90">
        <v>1.57</v>
      </c>
      <c r="CI69" s="90">
        <v>1.46</v>
      </c>
      <c r="CM69" s="65">
        <f>8.7/1000*100</f>
        <v>0.86999999999999988</v>
      </c>
      <c r="CN69" s="65">
        <v>0.94000000000000006</v>
      </c>
      <c r="CR69" s="65">
        <v>10.9</v>
      </c>
      <c r="CS69" s="65">
        <v>11.7</v>
      </c>
      <c r="CV69" s="65" t="s">
        <v>1629</v>
      </c>
      <c r="DA69" s="65" t="s">
        <v>4452</v>
      </c>
      <c r="EK69" s="90">
        <f>0.5877*100</f>
        <v>58.77</v>
      </c>
      <c r="EL69" s="90">
        <f>0.6318*100</f>
        <v>63.18</v>
      </c>
      <c r="EO69" s="65" t="s">
        <v>788</v>
      </c>
      <c r="FJ69" s="65">
        <v>1.5893999999999999</v>
      </c>
      <c r="FK69" s="65">
        <v>0.61170000000000002</v>
      </c>
      <c r="FN69" s="65" t="s">
        <v>6355</v>
      </c>
      <c r="GP69" s="292" t="s">
        <v>7494</v>
      </c>
      <c r="HS69" s="227"/>
      <c r="HW69" s="227"/>
      <c r="JU69" s="55" t="s">
        <v>691</v>
      </c>
    </row>
    <row r="70" spans="1:281" x14ac:dyDescent="0.25">
      <c r="A70" s="55">
        <v>69</v>
      </c>
      <c r="B70" s="12" t="s">
        <v>7067</v>
      </c>
      <c r="C70" s="155">
        <v>5</v>
      </c>
      <c r="D70" s="55" t="s">
        <v>3707</v>
      </c>
      <c r="E70" s="90" t="s">
        <v>149</v>
      </c>
      <c r="G70" s="55" t="s">
        <v>150</v>
      </c>
      <c r="H70" s="55">
        <v>2013</v>
      </c>
      <c r="I70" s="55">
        <v>2011</v>
      </c>
      <c r="J70" s="55" t="s">
        <v>151</v>
      </c>
      <c r="K70" s="55" t="s">
        <v>166</v>
      </c>
      <c r="L70" s="55" t="s">
        <v>2737</v>
      </c>
      <c r="M70" s="90">
        <v>37.97</v>
      </c>
      <c r="N70" s="90">
        <v>-100.87</v>
      </c>
      <c r="O70" s="90">
        <v>865.6</v>
      </c>
      <c r="R70" s="55">
        <v>400</v>
      </c>
      <c r="S70" s="90">
        <v>489</v>
      </c>
      <c r="U70" s="55">
        <v>4</v>
      </c>
      <c r="V70" s="55" t="s">
        <v>1682</v>
      </c>
      <c r="Y70" s="55" t="s">
        <v>1804</v>
      </c>
      <c r="Z70" s="55" t="s">
        <v>1347</v>
      </c>
      <c r="AA70" s="90" t="s">
        <v>1676</v>
      </c>
      <c r="AD70" s="90">
        <v>1.57</v>
      </c>
      <c r="AH70" s="55" t="s">
        <v>6378</v>
      </c>
      <c r="AM70" s="55" t="s">
        <v>1276</v>
      </c>
      <c r="AN70" s="185" t="s">
        <v>1484</v>
      </c>
      <c r="AO70" s="185" t="s">
        <v>5150</v>
      </c>
      <c r="AQ70" s="55" t="s">
        <v>1545</v>
      </c>
      <c r="AR70" s="55" t="s">
        <v>1578</v>
      </c>
      <c r="AS70" s="55" t="s">
        <v>1583</v>
      </c>
      <c r="AT70" s="181" t="s">
        <v>1579</v>
      </c>
      <c r="AU70" s="181" t="s">
        <v>5150</v>
      </c>
      <c r="AV70" s="185" t="s">
        <v>176</v>
      </c>
      <c r="AW70" s="55" t="s">
        <v>1579</v>
      </c>
      <c r="AX70" s="185" t="s">
        <v>176</v>
      </c>
      <c r="AY70" s="55" t="s">
        <v>176</v>
      </c>
      <c r="BK70" s="55" t="s">
        <v>5976</v>
      </c>
      <c r="BM70" s="192" t="s">
        <v>119</v>
      </c>
      <c r="BN70" s="55">
        <v>4</v>
      </c>
      <c r="BO70" s="55">
        <v>4</v>
      </c>
      <c r="BQ70" s="55" t="s">
        <v>173</v>
      </c>
      <c r="BV70" s="55" t="s">
        <v>168</v>
      </c>
      <c r="CH70" s="90">
        <v>1.57</v>
      </c>
      <c r="CI70" s="90">
        <v>1.44</v>
      </c>
      <c r="CM70" s="65">
        <f>8.7/1000*100</f>
        <v>0.86999999999999988</v>
      </c>
      <c r="CN70" s="65">
        <v>1.1599999999999999</v>
      </c>
      <c r="CR70" s="65">
        <v>10.9</v>
      </c>
      <c r="CS70" s="65">
        <v>14</v>
      </c>
      <c r="CV70" s="65" t="s">
        <v>1629</v>
      </c>
      <c r="DA70" s="65" t="s">
        <v>4452</v>
      </c>
      <c r="EK70" s="90">
        <f>0.5877*100</f>
        <v>58.77</v>
      </c>
      <c r="EL70" s="90">
        <f>0.3878*100</f>
        <v>38.78</v>
      </c>
      <c r="EO70" s="65" t="s">
        <v>788</v>
      </c>
      <c r="GP70" s="292" t="s">
        <v>7494</v>
      </c>
      <c r="HS70" s="227"/>
      <c r="HW70" s="227"/>
      <c r="JU70" s="55" t="s">
        <v>691</v>
      </c>
    </row>
    <row r="71" spans="1:281" x14ac:dyDescent="0.25">
      <c r="A71" s="55">
        <v>70</v>
      </c>
      <c r="B71" s="12" t="s">
        <v>7067</v>
      </c>
      <c r="C71" s="155">
        <v>5</v>
      </c>
      <c r="D71" s="55" t="s">
        <v>3706</v>
      </c>
      <c r="E71" s="90" t="s">
        <v>149</v>
      </c>
      <c r="G71" s="55" t="s">
        <v>150</v>
      </c>
      <c r="H71" s="55">
        <v>2013</v>
      </c>
      <c r="I71" s="55">
        <v>2011</v>
      </c>
      <c r="J71" s="55" t="s">
        <v>151</v>
      </c>
      <c r="K71" s="55" t="s">
        <v>166</v>
      </c>
      <c r="L71" s="55" t="s">
        <v>2737</v>
      </c>
      <c r="M71" s="90">
        <v>37.97</v>
      </c>
      <c r="N71" s="90">
        <v>-100.87</v>
      </c>
      <c r="O71" s="90">
        <v>865.6</v>
      </c>
      <c r="R71" s="55">
        <v>400</v>
      </c>
      <c r="S71" s="90">
        <v>489</v>
      </c>
      <c r="U71" s="55">
        <v>4</v>
      </c>
      <c r="V71" s="55" t="s">
        <v>1682</v>
      </c>
      <c r="Y71" s="55" t="s">
        <v>1804</v>
      </c>
      <c r="Z71" s="55" t="s">
        <v>1347</v>
      </c>
      <c r="AA71" s="90" t="s">
        <v>1676</v>
      </c>
      <c r="AD71" s="90">
        <v>1.57</v>
      </c>
      <c r="AH71" s="55" t="s">
        <v>6378</v>
      </c>
      <c r="AM71" s="55" t="s">
        <v>1276</v>
      </c>
      <c r="AN71" s="185" t="s">
        <v>1528</v>
      </c>
      <c r="AO71" s="185" t="s">
        <v>5150</v>
      </c>
      <c r="AQ71" s="55" t="s">
        <v>553</v>
      </c>
      <c r="AR71" s="55" t="s">
        <v>1578</v>
      </c>
      <c r="AS71" s="55" t="s">
        <v>1583</v>
      </c>
      <c r="AT71" s="181" t="s">
        <v>1579</v>
      </c>
      <c r="AU71" s="181" t="s">
        <v>5150</v>
      </c>
      <c r="AV71" s="185" t="s">
        <v>176</v>
      </c>
      <c r="AW71" s="55" t="s">
        <v>1579</v>
      </c>
      <c r="AX71" s="185" t="s">
        <v>176</v>
      </c>
      <c r="AY71" s="55" t="s">
        <v>176</v>
      </c>
      <c r="BK71" s="55" t="s">
        <v>5976</v>
      </c>
      <c r="BM71" s="192" t="s">
        <v>119</v>
      </c>
      <c r="BN71" s="55">
        <v>4</v>
      </c>
      <c r="BO71" s="55">
        <v>4</v>
      </c>
      <c r="BQ71" s="55" t="s">
        <v>173</v>
      </c>
      <c r="BV71" s="55" t="s">
        <v>167</v>
      </c>
      <c r="CH71" s="90">
        <v>1.57</v>
      </c>
      <c r="CI71" s="90">
        <v>1.45</v>
      </c>
      <c r="CM71" s="65">
        <f>8.7/1000*100</f>
        <v>0.86999999999999988</v>
      </c>
      <c r="CN71" s="65">
        <v>1.21</v>
      </c>
      <c r="CR71" s="65">
        <v>10.9</v>
      </c>
      <c r="CS71" s="65">
        <v>14.4</v>
      </c>
      <c r="CV71" s="65" t="s">
        <v>1629</v>
      </c>
      <c r="DA71" s="65" t="s">
        <v>4452</v>
      </c>
      <c r="EK71" s="90">
        <f>0.5877*100</f>
        <v>58.77</v>
      </c>
      <c r="EL71" s="90">
        <f>0.4163*100</f>
        <v>41.63</v>
      </c>
      <c r="EO71" s="65" t="s">
        <v>788</v>
      </c>
      <c r="GP71" s="292" t="s">
        <v>7494</v>
      </c>
      <c r="HS71" s="227"/>
      <c r="HW71" s="227"/>
      <c r="JU71" s="55" t="s">
        <v>691</v>
      </c>
    </row>
    <row r="72" spans="1:281" x14ac:dyDescent="0.25">
      <c r="A72" s="55">
        <v>71</v>
      </c>
      <c r="B72" s="12" t="s">
        <v>7067</v>
      </c>
      <c r="C72" s="155">
        <v>5</v>
      </c>
      <c r="D72" s="55" t="s">
        <v>3706</v>
      </c>
      <c r="E72" s="90" t="s">
        <v>149</v>
      </c>
      <c r="G72" s="55" t="s">
        <v>150</v>
      </c>
      <c r="H72" s="55">
        <v>2013</v>
      </c>
      <c r="I72" s="55">
        <v>2011</v>
      </c>
      <c r="J72" s="55" t="s">
        <v>151</v>
      </c>
      <c r="K72" s="55" t="s">
        <v>166</v>
      </c>
      <c r="L72" s="55" t="s">
        <v>2737</v>
      </c>
      <c r="M72" s="90">
        <v>37.97</v>
      </c>
      <c r="N72" s="90">
        <v>-100.87</v>
      </c>
      <c r="O72" s="90">
        <v>865.6</v>
      </c>
      <c r="R72" s="55">
        <v>400</v>
      </c>
      <c r="S72" s="90">
        <v>489</v>
      </c>
      <c r="U72" s="55">
        <v>4</v>
      </c>
      <c r="V72" s="55" t="s">
        <v>1682</v>
      </c>
      <c r="Y72" s="55" t="s">
        <v>1804</v>
      </c>
      <c r="Z72" s="55" t="s">
        <v>1347</v>
      </c>
      <c r="AA72" s="90" t="s">
        <v>1676</v>
      </c>
      <c r="AD72" s="90">
        <v>1.57</v>
      </c>
      <c r="AH72" s="55" t="s">
        <v>6378</v>
      </c>
      <c r="AM72" s="55" t="s">
        <v>1276</v>
      </c>
      <c r="AN72" s="185" t="s">
        <v>1532</v>
      </c>
      <c r="AO72" s="185" t="s">
        <v>5150</v>
      </c>
      <c r="AQ72" s="55" t="s">
        <v>553</v>
      </c>
      <c r="AR72" s="55" t="s">
        <v>1578</v>
      </c>
      <c r="AS72" s="55" t="s">
        <v>1583</v>
      </c>
      <c r="AT72" s="181" t="s">
        <v>1579</v>
      </c>
      <c r="AU72" s="181" t="s">
        <v>5150</v>
      </c>
      <c r="AV72" s="185" t="s">
        <v>176</v>
      </c>
      <c r="AW72" s="55" t="s">
        <v>1579</v>
      </c>
      <c r="AX72" s="185" t="s">
        <v>176</v>
      </c>
      <c r="AY72" s="55" t="s">
        <v>176</v>
      </c>
      <c r="BK72" s="55" t="s">
        <v>5976</v>
      </c>
      <c r="BM72" s="192" t="s">
        <v>119</v>
      </c>
      <c r="BN72" s="55">
        <v>4</v>
      </c>
      <c r="BO72" s="55">
        <v>4</v>
      </c>
      <c r="BQ72" s="55" t="s">
        <v>173</v>
      </c>
      <c r="BV72" s="55" t="s">
        <v>168</v>
      </c>
      <c r="CH72" s="90">
        <v>1.57</v>
      </c>
      <c r="CI72" s="90">
        <v>1.45</v>
      </c>
      <c r="CM72" s="65">
        <f>8.7/1000*100</f>
        <v>0.86999999999999988</v>
      </c>
      <c r="CN72" s="65">
        <v>1.3</v>
      </c>
      <c r="CR72" s="65">
        <v>10.9</v>
      </c>
      <c r="CS72" s="65">
        <v>15.6</v>
      </c>
      <c r="CV72" s="65" t="s">
        <v>1629</v>
      </c>
      <c r="DA72" s="65" t="s">
        <v>4452</v>
      </c>
      <c r="EK72" s="90">
        <f>0.5877*100</f>
        <v>58.77</v>
      </c>
      <c r="EL72" s="90">
        <f>0.2698*100</f>
        <v>26.979999999999997</v>
      </c>
      <c r="EO72" s="65" t="s">
        <v>788</v>
      </c>
      <c r="GP72" s="292" t="s">
        <v>7494</v>
      </c>
      <c r="HS72" s="227"/>
      <c r="HW72" s="227"/>
      <c r="JU72" s="55" t="s">
        <v>691</v>
      </c>
    </row>
    <row r="73" spans="1:281" x14ac:dyDescent="0.25">
      <c r="A73" s="55">
        <v>72</v>
      </c>
      <c r="B73" s="12" t="s">
        <v>7067</v>
      </c>
      <c r="C73" s="155">
        <v>5</v>
      </c>
      <c r="D73" s="55" t="s">
        <v>3706</v>
      </c>
      <c r="E73" s="90" t="s">
        <v>149</v>
      </c>
      <c r="G73" s="55" t="s">
        <v>150</v>
      </c>
      <c r="H73" s="55">
        <v>2013</v>
      </c>
      <c r="I73" s="55">
        <v>2012</v>
      </c>
      <c r="J73" s="55" t="s">
        <v>151</v>
      </c>
      <c r="K73" s="55" t="s">
        <v>166</v>
      </c>
      <c r="L73" s="55" t="s">
        <v>2737</v>
      </c>
      <c r="M73" s="90">
        <v>37.97</v>
      </c>
      <c r="N73" s="90">
        <v>-100.87</v>
      </c>
      <c r="O73" s="90">
        <v>865.6</v>
      </c>
      <c r="R73" s="55">
        <v>308</v>
      </c>
      <c r="S73" s="90">
        <v>489</v>
      </c>
      <c r="U73" s="55">
        <v>5</v>
      </c>
      <c r="V73" s="55" t="s">
        <v>1682</v>
      </c>
      <c r="Y73" s="55" t="s">
        <v>1804</v>
      </c>
      <c r="Z73" s="55" t="s">
        <v>1347</v>
      </c>
      <c r="AA73" s="90" t="s">
        <v>1676</v>
      </c>
      <c r="AD73" s="90">
        <v>1.49</v>
      </c>
      <c r="AH73" s="55" t="s">
        <v>6378</v>
      </c>
      <c r="AM73" s="55" t="s">
        <v>1276</v>
      </c>
      <c r="AN73" s="185" t="s">
        <v>1528</v>
      </c>
      <c r="AO73" s="185" t="s">
        <v>5150</v>
      </c>
      <c r="AQ73" s="55" t="s">
        <v>553</v>
      </c>
      <c r="AR73" s="55" t="s">
        <v>1578</v>
      </c>
      <c r="AS73" s="55" t="s">
        <v>1583</v>
      </c>
      <c r="AT73" s="181" t="s">
        <v>1579</v>
      </c>
      <c r="AU73" s="181" t="s">
        <v>5150</v>
      </c>
      <c r="AV73" s="185" t="s">
        <v>176</v>
      </c>
      <c r="AW73" s="55" t="s">
        <v>1579</v>
      </c>
      <c r="AX73" s="185" t="s">
        <v>176</v>
      </c>
      <c r="AY73" s="55" t="s">
        <v>176</v>
      </c>
      <c r="BK73" s="55" t="s">
        <v>5976</v>
      </c>
      <c r="BM73" s="192" t="s">
        <v>119</v>
      </c>
      <c r="BN73" s="55">
        <v>4</v>
      </c>
      <c r="BO73" s="55">
        <v>4</v>
      </c>
      <c r="BQ73" s="55" t="s">
        <v>173</v>
      </c>
      <c r="CH73" s="90">
        <v>1.49</v>
      </c>
      <c r="CI73" s="90">
        <v>1.4</v>
      </c>
      <c r="CM73" s="65">
        <f>8.8*100/1000</f>
        <v>0.88000000000000012</v>
      </c>
      <c r="CN73" s="65">
        <v>0.93</v>
      </c>
      <c r="CR73" s="65">
        <v>9.9</v>
      </c>
      <c r="CS73" s="65">
        <v>10.4</v>
      </c>
      <c r="CV73" s="65" t="s">
        <v>1629</v>
      </c>
      <c r="DA73" s="65" t="s">
        <v>4452</v>
      </c>
      <c r="GP73" s="292" t="s">
        <v>7494</v>
      </c>
      <c r="HS73" s="227"/>
      <c r="HW73" s="227"/>
      <c r="JU73" s="55" t="s">
        <v>691</v>
      </c>
    </row>
    <row r="74" spans="1:281" x14ac:dyDescent="0.25">
      <c r="A74" s="55">
        <v>73</v>
      </c>
      <c r="B74" s="12" t="s">
        <v>7067</v>
      </c>
      <c r="C74" s="155">
        <v>5</v>
      </c>
      <c r="D74" s="55" t="s">
        <v>3706</v>
      </c>
      <c r="E74" s="90" t="s">
        <v>149</v>
      </c>
      <c r="G74" s="55" t="s">
        <v>150</v>
      </c>
      <c r="H74" s="55">
        <v>2013</v>
      </c>
      <c r="I74" s="55">
        <v>2012</v>
      </c>
      <c r="J74" s="55" t="s">
        <v>151</v>
      </c>
      <c r="K74" s="55" t="s">
        <v>166</v>
      </c>
      <c r="L74" s="55" t="s">
        <v>2737</v>
      </c>
      <c r="M74" s="90">
        <v>37.97</v>
      </c>
      <c r="N74" s="90">
        <v>-100.87</v>
      </c>
      <c r="O74" s="90">
        <v>865.6</v>
      </c>
      <c r="R74" s="55">
        <v>308</v>
      </c>
      <c r="S74" s="90">
        <v>489</v>
      </c>
      <c r="U74" s="55">
        <v>5</v>
      </c>
      <c r="V74" s="55" t="s">
        <v>1682</v>
      </c>
      <c r="Y74" s="55" t="s">
        <v>1804</v>
      </c>
      <c r="Z74" s="55" t="s">
        <v>1347</v>
      </c>
      <c r="AA74" s="90" t="s">
        <v>1676</v>
      </c>
      <c r="AD74" s="90">
        <v>1.49</v>
      </c>
      <c r="AH74" s="55" t="s">
        <v>6378</v>
      </c>
      <c r="AM74" s="55" t="s">
        <v>1276</v>
      </c>
      <c r="AN74" s="185" t="s">
        <v>1532</v>
      </c>
      <c r="AO74" s="185" t="s">
        <v>5150</v>
      </c>
      <c r="AQ74" s="55" t="s">
        <v>553</v>
      </c>
      <c r="AR74" s="55" t="s">
        <v>1578</v>
      </c>
      <c r="AS74" s="55" t="s">
        <v>1583</v>
      </c>
      <c r="AT74" s="181" t="s">
        <v>1579</v>
      </c>
      <c r="AU74" s="181" t="s">
        <v>5150</v>
      </c>
      <c r="AV74" s="185" t="s">
        <v>176</v>
      </c>
      <c r="AW74" s="55" t="s">
        <v>1579</v>
      </c>
      <c r="AX74" s="185" t="s">
        <v>176</v>
      </c>
      <c r="AY74" s="55" t="s">
        <v>176</v>
      </c>
      <c r="BK74" s="55" t="s">
        <v>5976</v>
      </c>
      <c r="BM74" s="192" t="s">
        <v>119</v>
      </c>
      <c r="BN74" s="55">
        <v>4</v>
      </c>
      <c r="BO74" s="55">
        <v>4</v>
      </c>
      <c r="BQ74" s="55" t="s">
        <v>173</v>
      </c>
      <c r="CH74" s="90">
        <v>1.49</v>
      </c>
      <c r="CI74" s="90">
        <v>1.42</v>
      </c>
      <c r="CM74" s="65">
        <f>8.8*100/1000</f>
        <v>0.88000000000000012</v>
      </c>
      <c r="CN74" s="65">
        <v>1.02</v>
      </c>
      <c r="CR74" s="65">
        <v>9.9</v>
      </c>
      <c r="CS74" s="65">
        <v>11.5</v>
      </c>
      <c r="CV74" s="65" t="s">
        <v>1629</v>
      </c>
      <c r="DA74" s="65" t="s">
        <v>4452</v>
      </c>
      <c r="GP74" s="292" t="s">
        <v>7494</v>
      </c>
      <c r="HS74" s="227"/>
      <c r="HW74" s="227"/>
      <c r="JU74" s="55" t="s">
        <v>691</v>
      </c>
    </row>
    <row r="75" spans="1:281" x14ac:dyDescent="0.25">
      <c r="A75" s="55">
        <v>74</v>
      </c>
      <c r="B75" s="12" t="s">
        <v>7067</v>
      </c>
      <c r="C75" s="155">
        <v>5</v>
      </c>
      <c r="D75" s="55" t="s">
        <v>3706</v>
      </c>
      <c r="E75" s="90" t="s">
        <v>149</v>
      </c>
      <c r="G75" s="55" t="s">
        <v>150</v>
      </c>
      <c r="H75" s="55">
        <v>2013</v>
      </c>
      <c r="I75" s="55">
        <v>2012</v>
      </c>
      <c r="J75" s="55" t="s">
        <v>151</v>
      </c>
      <c r="K75" s="55" t="s">
        <v>166</v>
      </c>
      <c r="L75" s="55" t="s">
        <v>2737</v>
      </c>
      <c r="M75" s="90">
        <v>37.97</v>
      </c>
      <c r="N75" s="90">
        <v>-100.87</v>
      </c>
      <c r="O75" s="90">
        <v>865.6</v>
      </c>
      <c r="R75" s="55">
        <v>308</v>
      </c>
      <c r="S75" s="90">
        <v>489</v>
      </c>
      <c r="U75" s="55">
        <v>5</v>
      </c>
      <c r="V75" s="55" t="s">
        <v>1682</v>
      </c>
      <c r="Y75" s="55" t="s">
        <v>1804</v>
      </c>
      <c r="Z75" s="55" t="s">
        <v>1347</v>
      </c>
      <c r="AA75" s="90" t="s">
        <v>1676</v>
      </c>
      <c r="AD75" s="90">
        <v>1.49</v>
      </c>
      <c r="AH75" s="55" t="s">
        <v>6378</v>
      </c>
      <c r="AM75" s="55" t="s">
        <v>1276</v>
      </c>
      <c r="AN75" s="185" t="s">
        <v>1533</v>
      </c>
      <c r="AO75" s="185" t="s">
        <v>5150</v>
      </c>
      <c r="AQ75" s="55" t="s">
        <v>553</v>
      </c>
      <c r="AR75" s="55" t="s">
        <v>1578</v>
      </c>
      <c r="AS75" s="55" t="s">
        <v>1583</v>
      </c>
      <c r="AT75" s="181" t="s">
        <v>1579</v>
      </c>
      <c r="AU75" s="181" t="s">
        <v>5150</v>
      </c>
      <c r="AV75" s="185" t="s">
        <v>176</v>
      </c>
      <c r="AW75" s="55" t="s">
        <v>1579</v>
      </c>
      <c r="AX75" s="185" t="s">
        <v>176</v>
      </c>
      <c r="AY75" s="55" t="s">
        <v>176</v>
      </c>
      <c r="BK75" s="55" t="s">
        <v>5976</v>
      </c>
      <c r="BM75" s="192" t="s">
        <v>119</v>
      </c>
      <c r="BN75" s="55">
        <v>4</v>
      </c>
      <c r="BO75" s="55">
        <v>4</v>
      </c>
      <c r="BQ75" s="55" t="s">
        <v>173</v>
      </c>
      <c r="CH75" s="90">
        <v>1.49</v>
      </c>
      <c r="CI75" s="90">
        <v>1.48</v>
      </c>
      <c r="CM75" s="65">
        <f>8.8*100/1000</f>
        <v>0.88000000000000012</v>
      </c>
      <c r="CN75" s="65">
        <v>1.08</v>
      </c>
      <c r="CR75" s="65">
        <v>9.9</v>
      </c>
      <c r="CS75" s="65">
        <v>12</v>
      </c>
      <c r="CV75" s="65" t="s">
        <v>1629</v>
      </c>
      <c r="DA75" s="65" t="s">
        <v>4452</v>
      </c>
      <c r="GP75" s="292" t="s">
        <v>7494</v>
      </c>
      <c r="HS75" s="227"/>
      <c r="HW75" s="227"/>
      <c r="JU75" s="55" t="s">
        <v>691</v>
      </c>
    </row>
    <row r="76" spans="1:281" x14ac:dyDescent="0.25">
      <c r="A76" s="55">
        <v>75</v>
      </c>
      <c r="B76" s="12" t="s">
        <v>7067</v>
      </c>
      <c r="C76" s="155">
        <v>5</v>
      </c>
      <c r="D76" s="55" t="s">
        <v>3707</v>
      </c>
      <c r="E76" s="90" t="s">
        <v>149</v>
      </c>
      <c r="G76" s="55" t="s">
        <v>150</v>
      </c>
      <c r="H76" s="55">
        <v>2013</v>
      </c>
      <c r="I76" s="55">
        <v>2012</v>
      </c>
      <c r="J76" s="55" t="s">
        <v>151</v>
      </c>
      <c r="K76" s="55" t="s">
        <v>166</v>
      </c>
      <c r="L76" s="55" t="s">
        <v>2737</v>
      </c>
      <c r="M76" s="90">
        <v>37.97</v>
      </c>
      <c r="N76" s="90">
        <v>-100.87</v>
      </c>
      <c r="O76" s="90">
        <v>865.6</v>
      </c>
      <c r="R76" s="55">
        <v>308</v>
      </c>
      <c r="S76" s="90">
        <v>489</v>
      </c>
      <c r="U76" s="55">
        <v>5</v>
      </c>
      <c r="V76" s="55" t="s">
        <v>1682</v>
      </c>
      <c r="Y76" s="55" t="s">
        <v>1804</v>
      </c>
      <c r="Z76" s="55" t="s">
        <v>1347</v>
      </c>
      <c r="AA76" s="90" t="s">
        <v>1676</v>
      </c>
      <c r="AD76" s="90">
        <v>1.49</v>
      </c>
      <c r="AH76" s="55" t="s">
        <v>6378</v>
      </c>
      <c r="AM76" s="55" t="s">
        <v>1276</v>
      </c>
      <c r="AN76" s="185" t="s">
        <v>1529</v>
      </c>
      <c r="AO76" s="185" t="s">
        <v>5150</v>
      </c>
      <c r="AQ76" s="55" t="s">
        <v>1545</v>
      </c>
      <c r="AR76" s="55" t="s">
        <v>1578</v>
      </c>
      <c r="AS76" s="55" t="s">
        <v>1583</v>
      </c>
      <c r="AT76" s="181" t="s">
        <v>1579</v>
      </c>
      <c r="AU76" s="181" t="s">
        <v>5150</v>
      </c>
      <c r="AV76" s="185" t="s">
        <v>176</v>
      </c>
      <c r="AW76" s="55" t="s">
        <v>1579</v>
      </c>
      <c r="AX76" s="185" t="s">
        <v>176</v>
      </c>
      <c r="AY76" s="55" t="s">
        <v>176</v>
      </c>
      <c r="BK76" s="55" t="s">
        <v>5976</v>
      </c>
      <c r="BM76" s="192" t="s">
        <v>119</v>
      </c>
      <c r="BN76" s="55">
        <v>4</v>
      </c>
      <c r="BO76" s="55">
        <v>4</v>
      </c>
      <c r="BQ76" s="55" t="s">
        <v>173</v>
      </c>
      <c r="CH76" s="90">
        <v>1.49</v>
      </c>
      <c r="CI76" s="90">
        <v>1.49</v>
      </c>
      <c r="CM76" s="65">
        <f>8.8*100/1000</f>
        <v>0.88000000000000012</v>
      </c>
      <c r="CN76" s="65">
        <v>0.94000000000000006</v>
      </c>
      <c r="CR76" s="65">
        <v>9.9</v>
      </c>
      <c r="CS76" s="65">
        <v>10.6</v>
      </c>
      <c r="CV76" s="65" t="s">
        <v>1629</v>
      </c>
      <c r="DA76" s="65" t="s">
        <v>4452</v>
      </c>
      <c r="GP76" s="292" t="s">
        <v>7494</v>
      </c>
      <c r="HS76" s="227"/>
      <c r="HW76" s="227"/>
      <c r="JU76" s="55" t="s">
        <v>691</v>
      </c>
    </row>
    <row r="77" spans="1:281" x14ac:dyDescent="0.25">
      <c r="A77" s="55">
        <v>76</v>
      </c>
      <c r="B77" s="12" t="s">
        <v>7067</v>
      </c>
      <c r="C77" s="155">
        <v>5</v>
      </c>
      <c r="D77" s="55" t="s">
        <v>3707</v>
      </c>
      <c r="E77" s="90" t="s">
        <v>149</v>
      </c>
      <c r="G77" s="55" t="s">
        <v>150</v>
      </c>
      <c r="H77" s="55">
        <v>2013</v>
      </c>
      <c r="I77" s="55">
        <v>2012</v>
      </c>
      <c r="J77" s="55" t="s">
        <v>151</v>
      </c>
      <c r="K77" s="55" t="s">
        <v>166</v>
      </c>
      <c r="L77" s="55" t="s">
        <v>2737</v>
      </c>
      <c r="M77" s="90">
        <v>37.97</v>
      </c>
      <c r="N77" s="90">
        <v>-100.87</v>
      </c>
      <c r="O77" s="90">
        <v>865.6</v>
      </c>
      <c r="R77" s="55">
        <v>308</v>
      </c>
      <c r="S77" s="90">
        <v>489</v>
      </c>
      <c r="U77" s="55">
        <v>5</v>
      </c>
      <c r="V77" s="55" t="s">
        <v>1682</v>
      </c>
      <c r="Y77" s="55" t="s">
        <v>1804</v>
      </c>
      <c r="Z77" s="55" t="s">
        <v>1347</v>
      </c>
      <c r="AA77" s="90" t="s">
        <v>1676</v>
      </c>
      <c r="AD77" s="90">
        <v>1.49</v>
      </c>
      <c r="AH77" s="55" t="s">
        <v>6378</v>
      </c>
      <c r="AM77" s="55" t="s">
        <v>1276</v>
      </c>
      <c r="AN77" s="185" t="s">
        <v>1536</v>
      </c>
      <c r="AO77" s="185" t="s">
        <v>5150</v>
      </c>
      <c r="AQ77" s="55" t="s">
        <v>1545</v>
      </c>
      <c r="AR77" s="55" t="s">
        <v>1578</v>
      </c>
      <c r="AS77" s="55" t="s">
        <v>1583</v>
      </c>
      <c r="AT77" s="181" t="s">
        <v>1579</v>
      </c>
      <c r="AU77" s="181" t="s">
        <v>5150</v>
      </c>
      <c r="AV77" s="185" t="s">
        <v>176</v>
      </c>
      <c r="AW77" s="55" t="s">
        <v>1579</v>
      </c>
      <c r="AX77" s="185" t="s">
        <v>176</v>
      </c>
      <c r="AY77" s="55" t="s">
        <v>176</v>
      </c>
      <c r="BK77" s="55" t="s">
        <v>5976</v>
      </c>
      <c r="BM77" s="192" t="s">
        <v>119</v>
      </c>
      <c r="BN77" s="55">
        <v>4</v>
      </c>
      <c r="BO77" s="55">
        <v>4</v>
      </c>
      <c r="BQ77" s="55" t="s">
        <v>173</v>
      </c>
      <c r="BV77" s="55" t="s">
        <v>167</v>
      </c>
      <c r="CH77" s="90">
        <v>1.49</v>
      </c>
      <c r="CI77" s="90">
        <v>1.5</v>
      </c>
      <c r="CM77" s="65">
        <f>8.8*100/1000</f>
        <v>0.88000000000000012</v>
      </c>
      <c r="CN77" s="65">
        <v>0.99</v>
      </c>
      <c r="CR77" s="65">
        <v>9.9</v>
      </c>
      <c r="CS77" s="65">
        <v>11.2</v>
      </c>
      <c r="CV77" s="65" t="s">
        <v>1629</v>
      </c>
      <c r="DA77" s="65" t="s">
        <v>4452</v>
      </c>
      <c r="GP77" s="292" t="s">
        <v>7494</v>
      </c>
      <c r="HS77" s="227"/>
      <c r="HW77" s="227"/>
      <c r="JU77" s="55" t="s">
        <v>691</v>
      </c>
    </row>
    <row r="78" spans="1:281" x14ac:dyDescent="0.25">
      <c r="A78" s="55">
        <v>77</v>
      </c>
      <c r="B78" s="12" t="s">
        <v>7067</v>
      </c>
      <c r="C78" s="155">
        <v>5</v>
      </c>
      <c r="D78" s="55" t="s">
        <v>3707</v>
      </c>
      <c r="E78" s="90" t="s">
        <v>149</v>
      </c>
      <c r="G78" s="55" t="s">
        <v>150</v>
      </c>
      <c r="H78" s="55">
        <v>2013</v>
      </c>
      <c r="I78" s="55">
        <v>2012</v>
      </c>
      <c r="J78" s="55" t="s">
        <v>151</v>
      </c>
      <c r="K78" s="55" t="s">
        <v>166</v>
      </c>
      <c r="L78" s="55" t="s">
        <v>2737</v>
      </c>
      <c r="M78" s="90">
        <v>37.97</v>
      </c>
      <c r="N78" s="90">
        <v>-100.87</v>
      </c>
      <c r="O78" s="90">
        <v>865.6</v>
      </c>
      <c r="R78" s="55">
        <v>308</v>
      </c>
      <c r="S78" s="90">
        <v>489</v>
      </c>
      <c r="U78" s="55">
        <v>5</v>
      </c>
      <c r="V78" s="55" t="s">
        <v>1682</v>
      </c>
      <c r="Y78" s="55" t="s">
        <v>1804</v>
      </c>
      <c r="Z78" s="55" t="s">
        <v>1347</v>
      </c>
      <c r="AA78" s="90" t="s">
        <v>1676</v>
      </c>
      <c r="AD78" s="90">
        <v>1.49</v>
      </c>
      <c r="AH78" s="55" t="s">
        <v>6378</v>
      </c>
      <c r="AM78" s="55" t="s">
        <v>1276</v>
      </c>
      <c r="AN78" s="185" t="s">
        <v>1484</v>
      </c>
      <c r="AO78" s="185" t="s">
        <v>5150</v>
      </c>
      <c r="AQ78" s="55" t="s">
        <v>1545</v>
      </c>
      <c r="AR78" s="55" t="s">
        <v>1578</v>
      </c>
      <c r="AS78" s="55" t="s">
        <v>1583</v>
      </c>
      <c r="AT78" s="181" t="s">
        <v>1579</v>
      </c>
      <c r="AU78" s="181" t="s">
        <v>5150</v>
      </c>
      <c r="AV78" s="185" t="s">
        <v>176</v>
      </c>
      <c r="AW78" s="55" t="s">
        <v>1579</v>
      </c>
      <c r="AX78" s="185" t="s">
        <v>176</v>
      </c>
      <c r="AY78" s="55" t="s">
        <v>176</v>
      </c>
      <c r="BK78" s="55" t="s">
        <v>5976</v>
      </c>
      <c r="BM78" s="192" t="s">
        <v>119</v>
      </c>
      <c r="BN78" s="55">
        <v>4</v>
      </c>
      <c r="BO78" s="55">
        <v>4</v>
      </c>
      <c r="BQ78" s="55" t="s">
        <v>173</v>
      </c>
      <c r="BV78" s="55" t="s">
        <v>168</v>
      </c>
      <c r="CH78" s="90">
        <v>1.49</v>
      </c>
      <c r="CI78" s="90">
        <v>1.47</v>
      </c>
      <c r="CM78" s="65">
        <f>8.8*100/1000</f>
        <v>0.88000000000000012</v>
      </c>
      <c r="CN78" s="65">
        <v>1.04</v>
      </c>
      <c r="CR78" s="65">
        <v>9.9</v>
      </c>
      <c r="CS78" s="65">
        <v>11.5</v>
      </c>
      <c r="CV78" s="65" t="s">
        <v>1629</v>
      </c>
      <c r="DA78" s="65" t="s">
        <v>4452</v>
      </c>
      <c r="GP78" s="292" t="s">
        <v>7494</v>
      </c>
      <c r="HS78" s="227"/>
      <c r="HW78" s="227"/>
      <c r="JU78" s="55" t="s">
        <v>691</v>
      </c>
    </row>
    <row r="79" spans="1:281" x14ac:dyDescent="0.25">
      <c r="A79" s="55">
        <v>78</v>
      </c>
      <c r="B79" s="12" t="s">
        <v>7067</v>
      </c>
      <c r="C79" s="155">
        <v>5</v>
      </c>
      <c r="D79" s="55" t="s">
        <v>3706</v>
      </c>
      <c r="E79" s="90" t="s">
        <v>149</v>
      </c>
      <c r="G79" s="55" t="s">
        <v>150</v>
      </c>
      <c r="H79" s="55">
        <v>2013</v>
      </c>
      <c r="I79" s="55">
        <v>2012</v>
      </c>
      <c r="J79" s="55" t="s">
        <v>151</v>
      </c>
      <c r="K79" s="55" t="s">
        <v>166</v>
      </c>
      <c r="L79" s="55" t="s">
        <v>2737</v>
      </c>
      <c r="M79" s="90">
        <v>37.97</v>
      </c>
      <c r="N79" s="90">
        <v>-100.87</v>
      </c>
      <c r="O79" s="90">
        <v>865.6</v>
      </c>
      <c r="R79" s="55">
        <v>308</v>
      </c>
      <c r="S79" s="90">
        <v>489</v>
      </c>
      <c r="U79" s="55">
        <v>5</v>
      </c>
      <c r="V79" s="55" t="s">
        <v>1682</v>
      </c>
      <c r="Y79" s="55" t="s">
        <v>1804</v>
      </c>
      <c r="Z79" s="55" t="s">
        <v>1347</v>
      </c>
      <c r="AA79" s="90" t="s">
        <v>1676</v>
      </c>
      <c r="AD79" s="90">
        <v>1.49</v>
      </c>
      <c r="AH79" s="55" t="s">
        <v>6378</v>
      </c>
      <c r="AM79" s="55" t="s">
        <v>1276</v>
      </c>
      <c r="AN79" s="185" t="s">
        <v>1528</v>
      </c>
      <c r="AO79" s="185" t="s">
        <v>5150</v>
      </c>
      <c r="AQ79" s="55" t="s">
        <v>553</v>
      </c>
      <c r="AR79" s="55" t="s">
        <v>1578</v>
      </c>
      <c r="AS79" s="55" t="s">
        <v>1583</v>
      </c>
      <c r="AT79" s="181" t="s">
        <v>1579</v>
      </c>
      <c r="AU79" s="181" t="s">
        <v>5150</v>
      </c>
      <c r="AV79" s="185" t="s">
        <v>176</v>
      </c>
      <c r="AW79" s="55" t="s">
        <v>1579</v>
      </c>
      <c r="AX79" s="185" t="s">
        <v>176</v>
      </c>
      <c r="AY79" s="55" t="s">
        <v>176</v>
      </c>
      <c r="BK79" s="55" t="s">
        <v>5976</v>
      </c>
      <c r="BM79" s="192" t="s">
        <v>119</v>
      </c>
      <c r="BN79" s="55">
        <v>4</v>
      </c>
      <c r="BO79" s="55">
        <v>4</v>
      </c>
      <c r="BQ79" s="55" t="s">
        <v>173</v>
      </c>
      <c r="BV79" s="55" t="s">
        <v>167</v>
      </c>
      <c r="CH79" s="90">
        <v>1.49</v>
      </c>
      <c r="CI79" s="90">
        <v>1.4</v>
      </c>
      <c r="CM79" s="65">
        <f>8.8*100/1000</f>
        <v>0.88000000000000012</v>
      </c>
      <c r="CN79" s="65">
        <v>0.99</v>
      </c>
      <c r="CR79" s="65">
        <v>9.9</v>
      </c>
      <c r="CS79" s="65">
        <v>11.5</v>
      </c>
      <c r="CV79" s="65" t="s">
        <v>1629</v>
      </c>
      <c r="DA79" s="65" t="s">
        <v>4452</v>
      </c>
      <c r="GP79" s="292" t="s">
        <v>7494</v>
      </c>
      <c r="HS79" s="227"/>
      <c r="HW79" s="227"/>
      <c r="JU79" s="55" t="s">
        <v>691</v>
      </c>
    </row>
    <row r="80" spans="1:281" x14ac:dyDescent="0.25">
      <c r="A80" s="55">
        <v>79</v>
      </c>
      <c r="B80" s="12" t="s">
        <v>7067</v>
      </c>
      <c r="C80" s="155">
        <v>5</v>
      </c>
      <c r="D80" s="55" t="s">
        <v>3706</v>
      </c>
      <c r="E80" s="90" t="s">
        <v>149</v>
      </c>
      <c r="G80" s="55" t="s">
        <v>150</v>
      </c>
      <c r="H80" s="55">
        <v>2013</v>
      </c>
      <c r="I80" s="55">
        <v>2012</v>
      </c>
      <c r="J80" s="55" t="s">
        <v>151</v>
      </c>
      <c r="K80" s="55" t="s">
        <v>166</v>
      </c>
      <c r="L80" s="55" t="s">
        <v>2737</v>
      </c>
      <c r="M80" s="90">
        <v>37.97</v>
      </c>
      <c r="N80" s="90">
        <v>-100.87</v>
      </c>
      <c r="O80" s="90">
        <v>865.6</v>
      </c>
      <c r="R80" s="55">
        <v>308</v>
      </c>
      <c r="S80" s="90">
        <v>489</v>
      </c>
      <c r="U80" s="55">
        <v>5</v>
      </c>
      <c r="V80" s="55" t="s">
        <v>1682</v>
      </c>
      <c r="Y80" s="55" t="s">
        <v>1804</v>
      </c>
      <c r="Z80" s="55" t="s">
        <v>1347</v>
      </c>
      <c r="AA80" s="90" t="s">
        <v>1676</v>
      </c>
      <c r="AD80" s="90">
        <v>1.49</v>
      </c>
      <c r="AH80" s="55" t="s">
        <v>6378</v>
      </c>
      <c r="AM80" s="55" t="s">
        <v>1276</v>
      </c>
      <c r="AN80" s="185" t="s">
        <v>1532</v>
      </c>
      <c r="AO80" s="185" t="s">
        <v>5150</v>
      </c>
      <c r="AQ80" s="55" t="s">
        <v>553</v>
      </c>
      <c r="AR80" s="55" t="s">
        <v>1578</v>
      </c>
      <c r="AS80" s="55" t="s">
        <v>1583</v>
      </c>
      <c r="AT80" s="181" t="s">
        <v>1579</v>
      </c>
      <c r="AU80" s="181" t="s">
        <v>5150</v>
      </c>
      <c r="AV80" s="185" t="s">
        <v>176</v>
      </c>
      <c r="AW80" s="55" t="s">
        <v>1579</v>
      </c>
      <c r="AX80" s="185" t="s">
        <v>176</v>
      </c>
      <c r="AY80" s="55" t="s">
        <v>176</v>
      </c>
      <c r="BK80" s="55" t="s">
        <v>5976</v>
      </c>
      <c r="BM80" s="192" t="s">
        <v>119</v>
      </c>
      <c r="BN80" s="55">
        <v>4</v>
      </c>
      <c r="BO80" s="55">
        <v>4</v>
      </c>
      <c r="BQ80" s="55" t="s">
        <v>173</v>
      </c>
      <c r="BV80" s="55" t="s">
        <v>168</v>
      </c>
      <c r="CH80" s="90">
        <v>1.49</v>
      </c>
      <c r="CI80" s="90">
        <v>1.4</v>
      </c>
      <c r="CM80" s="65">
        <f>8.8*100/1000</f>
        <v>0.88000000000000012</v>
      </c>
      <c r="CN80" s="65">
        <v>1.06</v>
      </c>
      <c r="CR80" s="65">
        <v>9.9</v>
      </c>
      <c r="CS80" s="65">
        <v>12.1</v>
      </c>
      <c r="CV80" s="65" t="s">
        <v>1629</v>
      </c>
      <c r="DA80" s="65" t="s">
        <v>4452</v>
      </c>
      <c r="GP80" s="292" t="s">
        <v>7494</v>
      </c>
      <c r="HS80" s="227"/>
      <c r="HW80" s="227"/>
      <c r="JU80" s="55" t="s">
        <v>691</v>
      </c>
    </row>
    <row r="81" spans="1:281" x14ac:dyDescent="0.25">
      <c r="A81" s="55">
        <v>80</v>
      </c>
      <c r="B81" s="12" t="s">
        <v>7067</v>
      </c>
      <c r="C81" s="155">
        <v>6</v>
      </c>
      <c r="D81" s="55" t="s">
        <v>3708</v>
      </c>
      <c r="E81" s="90" t="s">
        <v>170</v>
      </c>
      <c r="G81" s="55" t="s">
        <v>171</v>
      </c>
      <c r="H81" s="55">
        <v>2016</v>
      </c>
      <c r="I81" s="55">
        <v>2012</v>
      </c>
      <c r="J81" s="55" t="s">
        <v>172</v>
      </c>
      <c r="L81" s="55" t="s">
        <v>2737</v>
      </c>
      <c r="M81" s="90">
        <v>35.380000000000003</v>
      </c>
      <c r="N81" s="90">
        <v>-77.989999999999995</v>
      </c>
      <c r="O81" s="90">
        <v>32.700000000000003</v>
      </c>
      <c r="U81" s="55">
        <v>1</v>
      </c>
      <c r="V81" s="55" t="s">
        <v>1805</v>
      </c>
      <c r="Y81" s="55" t="s">
        <v>1807</v>
      </c>
      <c r="Z81" s="55" t="s">
        <v>1349</v>
      </c>
      <c r="AA81" s="90" t="s">
        <v>1677</v>
      </c>
      <c r="AE81" s="90">
        <f>(21.7+27.4)/2</f>
        <v>24.549999999999997</v>
      </c>
      <c r="AF81" s="90">
        <f>(60+63.7)/2</f>
        <v>61.85</v>
      </c>
      <c r="AH81" s="55" t="s">
        <v>174</v>
      </c>
      <c r="AM81" s="55" t="s">
        <v>1277</v>
      </c>
      <c r="AN81" s="185" t="s">
        <v>1485</v>
      </c>
      <c r="AO81" s="185" t="s">
        <v>5150</v>
      </c>
      <c r="AQ81" s="55" t="s">
        <v>553</v>
      </c>
      <c r="AR81" s="55" t="s">
        <v>158</v>
      </c>
      <c r="AS81" s="55" t="s">
        <v>158</v>
      </c>
      <c r="AU81" s="181" t="s">
        <v>7494</v>
      </c>
      <c r="AV81" s="185" t="s">
        <v>176</v>
      </c>
      <c r="AX81" s="185" t="s">
        <v>176</v>
      </c>
      <c r="AZ81" s="55" t="s">
        <v>175</v>
      </c>
      <c r="BA81" s="55" t="s">
        <v>175</v>
      </c>
      <c r="BB81" s="55" t="s">
        <v>2081</v>
      </c>
      <c r="BC81" s="55" t="s">
        <v>2081</v>
      </c>
      <c r="BD81" s="55" t="s">
        <v>176</v>
      </c>
      <c r="BK81" s="55" t="s">
        <v>5976</v>
      </c>
      <c r="BM81" s="192" t="s">
        <v>160</v>
      </c>
      <c r="BN81" s="55">
        <v>6</v>
      </c>
      <c r="BO81" s="55">
        <v>6</v>
      </c>
      <c r="BQ81" s="55" t="s">
        <v>173</v>
      </c>
      <c r="BS81" s="55">
        <f>9.66*1000</f>
        <v>9660</v>
      </c>
      <c r="EK81" s="90">
        <v>5.0199999999999996</v>
      </c>
      <c r="EL81" s="90">
        <v>3.22</v>
      </c>
      <c r="EO81" s="65" t="s">
        <v>183</v>
      </c>
      <c r="GD81" s="65">
        <v>0.16159999999999999</v>
      </c>
      <c r="GE81" s="65">
        <v>0.1666</v>
      </c>
      <c r="GP81" s="292" t="s">
        <v>7494</v>
      </c>
      <c r="HS81" s="227"/>
      <c r="HW81" s="227"/>
      <c r="HX81" s="65">
        <v>501.83</v>
      </c>
      <c r="HY81" s="65">
        <v>441.12</v>
      </c>
      <c r="IB81" s="65" t="s">
        <v>308</v>
      </c>
      <c r="JG81" s="65">
        <v>329.48</v>
      </c>
      <c r="JH81" s="65">
        <v>341.32</v>
      </c>
      <c r="JK81" s="65" t="s">
        <v>306</v>
      </c>
    </row>
    <row r="82" spans="1:281" x14ac:dyDescent="0.25">
      <c r="A82" s="55">
        <v>81</v>
      </c>
      <c r="B82" s="12" t="s">
        <v>7067</v>
      </c>
      <c r="C82" s="155">
        <v>6</v>
      </c>
      <c r="D82" s="55" t="s">
        <v>3709</v>
      </c>
      <c r="E82" s="90" t="s">
        <v>170</v>
      </c>
      <c r="G82" s="55" t="s">
        <v>171</v>
      </c>
      <c r="H82" s="55">
        <v>2016</v>
      </c>
      <c r="I82" s="55">
        <v>2012</v>
      </c>
      <c r="J82" s="55" t="s">
        <v>172</v>
      </c>
      <c r="L82" s="55" t="s">
        <v>2737</v>
      </c>
      <c r="M82" s="90">
        <v>35.380000000000003</v>
      </c>
      <c r="N82" s="90">
        <v>-77.989999999999995</v>
      </c>
      <c r="O82" s="90">
        <v>32.700000000000003</v>
      </c>
      <c r="U82" s="55">
        <v>1</v>
      </c>
      <c r="V82" s="55" t="s">
        <v>1805</v>
      </c>
      <c r="Y82" s="55" t="s">
        <v>1807</v>
      </c>
      <c r="Z82" s="55" t="s">
        <v>1349</v>
      </c>
      <c r="AA82" s="90" t="s">
        <v>1677</v>
      </c>
      <c r="AE82" s="90">
        <f>(21.7+27.4)/2</f>
        <v>24.549999999999997</v>
      </c>
      <c r="AF82" s="90">
        <f>(60+63.7)/2</f>
        <v>61.85</v>
      </c>
      <c r="AH82" s="55" t="s">
        <v>174</v>
      </c>
      <c r="AM82" s="55" t="s">
        <v>1277</v>
      </c>
      <c r="AN82" s="185" t="s">
        <v>241</v>
      </c>
      <c r="AO82" s="185" t="s">
        <v>5150</v>
      </c>
      <c r="AQ82" s="55" t="s">
        <v>553</v>
      </c>
      <c r="AR82" s="55" t="s">
        <v>158</v>
      </c>
      <c r="AS82" s="55" t="s">
        <v>158</v>
      </c>
      <c r="AU82" s="181" t="s">
        <v>7494</v>
      </c>
      <c r="AV82" s="185" t="s">
        <v>176</v>
      </c>
      <c r="AX82" s="185" t="s">
        <v>176</v>
      </c>
      <c r="AZ82" s="55" t="s">
        <v>175</v>
      </c>
      <c r="BA82" s="55" t="s">
        <v>175</v>
      </c>
      <c r="BB82" s="55" t="s">
        <v>2081</v>
      </c>
      <c r="BC82" s="55" t="s">
        <v>2081</v>
      </c>
      <c r="BD82" s="55" t="s">
        <v>176</v>
      </c>
      <c r="BK82" s="55" t="s">
        <v>5976</v>
      </c>
      <c r="BM82" s="192" t="s">
        <v>160</v>
      </c>
      <c r="BN82" s="55">
        <v>6</v>
      </c>
      <c r="BO82" s="55">
        <v>6</v>
      </c>
      <c r="BQ82" s="55" t="s">
        <v>173</v>
      </c>
      <c r="BS82" s="55">
        <f>8.83*1000</f>
        <v>8830</v>
      </c>
      <c r="EK82" s="90">
        <v>5.0199999999999996</v>
      </c>
      <c r="EL82" s="90">
        <v>3.64</v>
      </c>
      <c r="EO82" s="65" t="s">
        <v>183</v>
      </c>
      <c r="GD82" s="65">
        <v>0.1618</v>
      </c>
      <c r="GE82" s="65">
        <v>0.1472</v>
      </c>
      <c r="GP82" s="292" t="s">
        <v>7494</v>
      </c>
      <c r="HS82" s="227"/>
      <c r="HW82" s="227"/>
      <c r="HX82" s="65">
        <v>501.83</v>
      </c>
      <c r="HY82" s="65">
        <v>477.97</v>
      </c>
      <c r="IB82" s="65" t="s">
        <v>308</v>
      </c>
      <c r="JG82" s="65">
        <v>329.48</v>
      </c>
      <c r="JH82" s="65">
        <v>337.39</v>
      </c>
      <c r="JK82" s="65" t="s">
        <v>306</v>
      </c>
    </row>
    <row r="83" spans="1:281" x14ac:dyDescent="0.25">
      <c r="A83" s="55">
        <v>82</v>
      </c>
      <c r="B83" s="12" t="s">
        <v>7067</v>
      </c>
      <c r="C83" s="155">
        <v>6</v>
      </c>
      <c r="D83" s="55" t="s">
        <v>3708</v>
      </c>
      <c r="E83" s="90" t="s">
        <v>170</v>
      </c>
      <c r="G83" s="55" t="s">
        <v>171</v>
      </c>
      <c r="H83" s="55">
        <v>2016</v>
      </c>
      <c r="I83" s="55">
        <v>2013</v>
      </c>
      <c r="J83" s="55" t="s">
        <v>172</v>
      </c>
      <c r="L83" s="55" t="s">
        <v>2737</v>
      </c>
      <c r="M83" s="90">
        <v>35.380000000000003</v>
      </c>
      <c r="N83" s="90">
        <v>-77.989999999999995</v>
      </c>
      <c r="O83" s="90">
        <v>32.700000000000003</v>
      </c>
      <c r="U83" s="55">
        <v>2</v>
      </c>
      <c r="V83" s="55" t="s">
        <v>1805</v>
      </c>
      <c r="Y83" s="55" t="s">
        <v>1807</v>
      </c>
      <c r="Z83" s="55" t="s">
        <v>1349</v>
      </c>
      <c r="AA83" s="90" t="s">
        <v>1677</v>
      </c>
      <c r="AE83" s="90">
        <f>(21.7+27.4)/2</f>
        <v>24.549999999999997</v>
      </c>
      <c r="AF83" s="90">
        <f>(60+63.7)/2</f>
        <v>61.85</v>
      </c>
      <c r="AH83" s="55" t="s">
        <v>174</v>
      </c>
      <c r="AM83" s="55" t="s">
        <v>1277</v>
      </c>
      <c r="AN83" s="185" t="s">
        <v>1485</v>
      </c>
      <c r="AO83" s="185" t="s">
        <v>5150</v>
      </c>
      <c r="AQ83" s="55" t="s">
        <v>553</v>
      </c>
      <c r="AR83" s="55" t="s">
        <v>158</v>
      </c>
      <c r="AS83" s="55" t="s">
        <v>158</v>
      </c>
      <c r="AU83" s="181" t="s">
        <v>7494</v>
      </c>
      <c r="AV83" s="185" t="s">
        <v>176</v>
      </c>
      <c r="AX83" s="185" t="s">
        <v>176</v>
      </c>
      <c r="AZ83" s="55" t="s">
        <v>175</v>
      </c>
      <c r="BA83" s="55" t="s">
        <v>175</v>
      </c>
      <c r="BB83" s="55" t="s">
        <v>2081</v>
      </c>
      <c r="BC83" s="55" t="s">
        <v>2081</v>
      </c>
      <c r="BD83" s="55" t="s">
        <v>176</v>
      </c>
      <c r="BK83" s="55" t="s">
        <v>5976</v>
      </c>
      <c r="BM83" s="192" t="s">
        <v>160</v>
      </c>
      <c r="BN83" s="55">
        <v>6</v>
      </c>
      <c r="BO83" s="55">
        <v>6</v>
      </c>
      <c r="BQ83" s="55" t="s">
        <v>173</v>
      </c>
      <c r="BS83" s="55">
        <f>4.42*1000</f>
        <v>4420</v>
      </c>
      <c r="EK83" s="90">
        <v>2.99</v>
      </c>
      <c r="EL83" s="90">
        <v>2.33</v>
      </c>
      <c r="EO83" s="65" t="s">
        <v>183</v>
      </c>
      <c r="GD83" s="65">
        <v>0.1163</v>
      </c>
      <c r="GE83" s="65">
        <v>0.1176</v>
      </c>
      <c r="GP83" s="292" t="s">
        <v>7494</v>
      </c>
      <c r="HS83" s="227"/>
      <c r="HW83" s="227"/>
      <c r="HX83" s="65">
        <v>501.83</v>
      </c>
      <c r="HY83" s="65">
        <v>441.12</v>
      </c>
      <c r="IB83" s="65" t="s">
        <v>308</v>
      </c>
      <c r="JG83" s="65">
        <v>329.48</v>
      </c>
      <c r="JH83" s="65">
        <v>341.32</v>
      </c>
      <c r="JK83" s="65" t="s">
        <v>306</v>
      </c>
    </row>
    <row r="84" spans="1:281" x14ac:dyDescent="0.25">
      <c r="A84" s="55">
        <v>83</v>
      </c>
      <c r="B84" s="12" t="s">
        <v>7067</v>
      </c>
      <c r="C84" s="155">
        <v>6</v>
      </c>
      <c r="D84" s="55" t="s">
        <v>3709</v>
      </c>
      <c r="E84" s="90" t="s">
        <v>170</v>
      </c>
      <c r="G84" s="55" t="s">
        <v>171</v>
      </c>
      <c r="H84" s="55">
        <v>2016</v>
      </c>
      <c r="I84" s="55">
        <v>2013</v>
      </c>
      <c r="J84" s="55" t="s">
        <v>172</v>
      </c>
      <c r="L84" s="55" t="s">
        <v>2737</v>
      </c>
      <c r="M84" s="90">
        <v>35.380000000000003</v>
      </c>
      <c r="N84" s="90">
        <v>-77.989999999999995</v>
      </c>
      <c r="O84" s="90">
        <v>32.700000000000003</v>
      </c>
      <c r="U84" s="55">
        <v>2</v>
      </c>
      <c r="V84" s="55" t="s">
        <v>1805</v>
      </c>
      <c r="Y84" s="55" t="s">
        <v>1807</v>
      </c>
      <c r="Z84" s="55" t="s">
        <v>1349</v>
      </c>
      <c r="AA84" s="90" t="s">
        <v>1677</v>
      </c>
      <c r="AE84" s="90">
        <f>(21.7+27.4)/2</f>
        <v>24.549999999999997</v>
      </c>
      <c r="AF84" s="90">
        <f>(60+63.7)/2</f>
        <v>61.85</v>
      </c>
      <c r="AH84" s="55" t="s">
        <v>174</v>
      </c>
      <c r="AM84" s="55" t="s">
        <v>1277</v>
      </c>
      <c r="AN84" s="185" t="s">
        <v>241</v>
      </c>
      <c r="AO84" s="185" t="s">
        <v>5150</v>
      </c>
      <c r="AQ84" s="55" t="s">
        <v>553</v>
      </c>
      <c r="AR84" s="55" t="s">
        <v>158</v>
      </c>
      <c r="AS84" s="55" t="s">
        <v>158</v>
      </c>
      <c r="AU84" s="181" t="s">
        <v>7494</v>
      </c>
      <c r="AV84" s="185" t="s">
        <v>176</v>
      </c>
      <c r="AX84" s="185" t="s">
        <v>176</v>
      </c>
      <c r="AZ84" s="55" t="s">
        <v>175</v>
      </c>
      <c r="BA84" s="55" t="s">
        <v>175</v>
      </c>
      <c r="BB84" s="55" t="s">
        <v>2081</v>
      </c>
      <c r="BC84" s="55" t="s">
        <v>2081</v>
      </c>
      <c r="BD84" s="55" t="s">
        <v>176</v>
      </c>
      <c r="BK84" s="55" t="s">
        <v>5976</v>
      </c>
      <c r="BM84" s="192" t="s">
        <v>160</v>
      </c>
      <c r="BN84" s="55">
        <v>6</v>
      </c>
      <c r="BO84" s="55">
        <v>6</v>
      </c>
      <c r="BQ84" s="55" t="s">
        <v>173</v>
      </c>
      <c r="BS84" s="55">
        <f>5.46*1000</f>
        <v>5460</v>
      </c>
      <c r="EK84" s="90">
        <v>2.99</v>
      </c>
      <c r="EL84" s="90">
        <v>3.17</v>
      </c>
      <c r="EO84" s="65" t="s">
        <v>183</v>
      </c>
      <c r="GD84" s="65">
        <v>0.1163</v>
      </c>
      <c r="GE84" s="65">
        <v>0.12620000000000001</v>
      </c>
      <c r="GP84" s="292" t="s">
        <v>7494</v>
      </c>
      <c r="HS84" s="227"/>
      <c r="HW84" s="227"/>
      <c r="HX84" s="65">
        <v>501.83</v>
      </c>
      <c r="HY84" s="65">
        <v>447.97</v>
      </c>
      <c r="IB84" s="65" t="s">
        <v>308</v>
      </c>
      <c r="JG84" s="65">
        <v>329.48</v>
      </c>
      <c r="JH84" s="65">
        <v>337.39</v>
      </c>
      <c r="JK84" s="65" t="s">
        <v>306</v>
      </c>
    </row>
    <row r="85" spans="1:281" x14ac:dyDescent="0.25">
      <c r="A85" s="55">
        <v>84</v>
      </c>
      <c r="B85" s="12" t="s">
        <v>7067</v>
      </c>
      <c r="C85" s="155">
        <v>7</v>
      </c>
      <c r="D85" s="55" t="s">
        <v>3710</v>
      </c>
      <c r="E85" s="90" t="s">
        <v>185</v>
      </c>
      <c r="G85" s="55" t="s">
        <v>186</v>
      </c>
      <c r="H85" s="55">
        <v>1999</v>
      </c>
      <c r="I85" s="55">
        <v>1995</v>
      </c>
      <c r="J85" s="55" t="s">
        <v>127</v>
      </c>
      <c r="K85" s="55" t="s">
        <v>187</v>
      </c>
      <c r="L85" s="55" t="s">
        <v>2737</v>
      </c>
      <c r="M85" s="90">
        <v>45.23</v>
      </c>
      <c r="N85" s="90">
        <v>-122.76</v>
      </c>
      <c r="O85" s="90">
        <v>48.4</v>
      </c>
      <c r="S85" s="90">
        <v>1040</v>
      </c>
      <c r="T85" s="55" t="s">
        <v>133</v>
      </c>
      <c r="U85" s="55">
        <v>2</v>
      </c>
      <c r="V85" s="55" t="s">
        <v>1694</v>
      </c>
      <c r="Y85" s="55" t="s">
        <v>1808</v>
      </c>
      <c r="Z85" s="55" t="s">
        <v>1346</v>
      </c>
      <c r="AA85" s="90" t="s">
        <v>1675</v>
      </c>
      <c r="AE85" s="90">
        <f>313/(313+540+147)*100</f>
        <v>31.3</v>
      </c>
      <c r="AF85" s="90">
        <f>540/(313+540+147)*100</f>
        <v>54</v>
      </c>
      <c r="AH85" s="55" t="s">
        <v>6378</v>
      </c>
      <c r="AI85" s="168">
        <v>6.3</v>
      </c>
      <c r="AJ85" s="90">
        <f>18/1000*100</f>
        <v>1.7999999999999998</v>
      </c>
      <c r="AL85" s="55">
        <v>60</v>
      </c>
      <c r="AM85" s="55" t="s">
        <v>1272</v>
      </c>
      <c r="AN85" s="185" t="s">
        <v>131</v>
      </c>
      <c r="AO85" s="185" t="s">
        <v>5150</v>
      </c>
      <c r="AQ85" s="55" t="s">
        <v>131</v>
      </c>
      <c r="AR85" s="55" t="s">
        <v>770</v>
      </c>
      <c r="AS85" s="55" t="s">
        <v>1580</v>
      </c>
      <c r="AT85" s="181" t="s">
        <v>202</v>
      </c>
      <c r="AU85" s="181" t="s">
        <v>5150</v>
      </c>
      <c r="AV85" s="185" t="s">
        <v>176</v>
      </c>
      <c r="AW85" s="55" t="s">
        <v>202</v>
      </c>
      <c r="AX85" s="185" t="s">
        <v>176</v>
      </c>
      <c r="AY85" s="55" t="s">
        <v>176</v>
      </c>
      <c r="BK85" s="55" t="s">
        <v>5976</v>
      </c>
      <c r="BM85" s="192" t="s">
        <v>119</v>
      </c>
      <c r="BN85" s="55">
        <v>4</v>
      </c>
      <c r="BO85" s="55">
        <v>4</v>
      </c>
      <c r="BQ85" s="55" t="s">
        <v>141</v>
      </c>
      <c r="GP85" s="292" t="s">
        <v>7494</v>
      </c>
      <c r="HS85" s="227"/>
      <c r="HW85" s="227"/>
      <c r="IR85" s="65">
        <f>970/22.7273</f>
        <v>42.679948784061459</v>
      </c>
      <c r="IS85" s="65">
        <f>610/22.7273</f>
        <v>26.839967792038649</v>
      </c>
      <c r="IV85" s="65">
        <f>400/22.7273</f>
        <v>17.599978880025343</v>
      </c>
      <c r="JG85" s="65">
        <v>140</v>
      </c>
      <c r="JH85" s="65">
        <v>204</v>
      </c>
      <c r="JK85" s="65">
        <v>58</v>
      </c>
    </row>
    <row r="86" spans="1:281" x14ac:dyDescent="0.25">
      <c r="A86" s="55">
        <v>85</v>
      </c>
      <c r="B86" s="12" t="s">
        <v>7067</v>
      </c>
      <c r="C86" s="155">
        <v>7</v>
      </c>
      <c r="D86" s="55" t="s">
        <v>3711</v>
      </c>
      <c r="E86" s="90" t="s">
        <v>185</v>
      </c>
      <c r="G86" s="55" t="s">
        <v>186</v>
      </c>
      <c r="H86" s="55">
        <v>1999</v>
      </c>
      <c r="I86" s="55">
        <v>1995</v>
      </c>
      <c r="J86" s="55" t="s">
        <v>127</v>
      </c>
      <c r="K86" s="55" t="s">
        <v>187</v>
      </c>
      <c r="L86" s="55" t="s">
        <v>2737</v>
      </c>
      <c r="M86" s="90">
        <v>45.23</v>
      </c>
      <c r="N86" s="90">
        <v>-122.76</v>
      </c>
      <c r="O86" s="90">
        <v>48.4</v>
      </c>
      <c r="S86" s="90">
        <v>1040</v>
      </c>
      <c r="T86" s="55" t="s">
        <v>133</v>
      </c>
      <c r="U86" s="55">
        <v>2</v>
      </c>
      <c r="V86" s="55" t="s">
        <v>1694</v>
      </c>
      <c r="Y86" s="55" t="s">
        <v>1808</v>
      </c>
      <c r="Z86" s="55" t="s">
        <v>1350</v>
      </c>
      <c r="AA86" s="90" t="s">
        <v>1675</v>
      </c>
      <c r="AE86" s="90">
        <f>313/(313+540+147)*100</f>
        <v>31.3</v>
      </c>
      <c r="AF86" s="90">
        <f>540/(313+540+147)*100</f>
        <v>54</v>
      </c>
      <c r="AH86" s="55" t="s">
        <v>6378</v>
      </c>
      <c r="AJ86" s="90">
        <f>18/1000*100</f>
        <v>1.7999999999999998</v>
      </c>
      <c r="AM86" s="55" t="s">
        <v>1272</v>
      </c>
      <c r="AN86" s="185" t="s">
        <v>131</v>
      </c>
      <c r="AO86" s="185" t="s">
        <v>5150</v>
      </c>
      <c r="AQ86" s="55" t="s">
        <v>131</v>
      </c>
      <c r="AR86" s="55" t="s">
        <v>770</v>
      </c>
      <c r="AS86" s="55" t="s">
        <v>1580</v>
      </c>
      <c r="AT86" s="181" t="s">
        <v>202</v>
      </c>
      <c r="AU86" s="181" t="s">
        <v>5150</v>
      </c>
      <c r="AV86" s="185" t="s">
        <v>176</v>
      </c>
      <c r="AW86" s="55" t="s">
        <v>202</v>
      </c>
      <c r="AX86" s="185" t="s">
        <v>176</v>
      </c>
      <c r="AY86" s="55" t="s">
        <v>176</v>
      </c>
      <c r="BK86" s="55" t="s">
        <v>5976</v>
      </c>
      <c r="BM86" s="192" t="s">
        <v>119</v>
      </c>
      <c r="BN86" s="55">
        <v>4</v>
      </c>
      <c r="BO86" s="55">
        <v>4</v>
      </c>
      <c r="BQ86" s="55" t="s">
        <v>141</v>
      </c>
      <c r="GP86" s="292" t="s">
        <v>7494</v>
      </c>
      <c r="HS86" s="227"/>
      <c r="HW86" s="227"/>
      <c r="IR86" s="65">
        <f>276/22.7273</f>
        <v>12.143985427217487</v>
      </c>
      <c r="IS86" s="65">
        <f>260/22.7273</f>
        <v>11.439986272016474</v>
      </c>
      <c r="IV86" s="65">
        <f>116/22.7273</f>
        <v>5.1039938752073502</v>
      </c>
      <c r="JG86" s="65">
        <v>148</v>
      </c>
      <c r="JH86" s="65">
        <v>135</v>
      </c>
      <c r="JK86" s="65">
        <v>62</v>
      </c>
    </row>
    <row r="87" spans="1:281" x14ac:dyDescent="0.25">
      <c r="A87" s="55">
        <v>86</v>
      </c>
      <c r="B87" s="12" t="s">
        <v>7067</v>
      </c>
      <c r="C87" s="155">
        <v>7</v>
      </c>
      <c r="D87" s="55" t="s">
        <v>3712</v>
      </c>
      <c r="E87" s="90" t="s">
        <v>185</v>
      </c>
      <c r="G87" s="55" t="s">
        <v>186</v>
      </c>
      <c r="H87" s="55">
        <v>1999</v>
      </c>
      <c r="I87" s="55">
        <v>1995</v>
      </c>
      <c r="J87" s="55" t="s">
        <v>127</v>
      </c>
      <c r="K87" s="55" t="s">
        <v>187</v>
      </c>
      <c r="L87" s="55" t="s">
        <v>2737</v>
      </c>
      <c r="M87" s="90">
        <v>45.23</v>
      </c>
      <c r="N87" s="90">
        <v>-122.76</v>
      </c>
      <c r="O87" s="90">
        <v>48.4</v>
      </c>
      <c r="S87" s="90">
        <v>1040</v>
      </c>
      <c r="T87" s="55" t="s">
        <v>133</v>
      </c>
      <c r="U87" s="55">
        <v>2</v>
      </c>
      <c r="V87" s="55" t="s">
        <v>1694</v>
      </c>
      <c r="Y87" s="55" t="s">
        <v>1808</v>
      </c>
      <c r="Z87" s="55" t="s">
        <v>1351</v>
      </c>
      <c r="AA87" s="90" t="s">
        <v>1675</v>
      </c>
      <c r="AE87" s="90">
        <f>313/(313+540+147)*100</f>
        <v>31.3</v>
      </c>
      <c r="AF87" s="90">
        <f>540/(313+540+147)*100</f>
        <v>54</v>
      </c>
      <c r="AH87" s="55" t="s">
        <v>6378</v>
      </c>
      <c r="AI87" s="168">
        <v>6.3</v>
      </c>
      <c r="AJ87" s="90">
        <f>9.4/1000*100</f>
        <v>0.94000000000000006</v>
      </c>
      <c r="AL87" s="55">
        <v>7</v>
      </c>
      <c r="AM87" s="55" t="s">
        <v>1272</v>
      </c>
      <c r="AN87" s="185" t="s">
        <v>131</v>
      </c>
      <c r="AO87" s="185" t="s">
        <v>5150</v>
      </c>
      <c r="AQ87" s="55" t="s">
        <v>131</v>
      </c>
      <c r="AR87" s="55" t="s">
        <v>770</v>
      </c>
      <c r="AS87" s="55" t="s">
        <v>1580</v>
      </c>
      <c r="AT87" s="181" t="s">
        <v>202</v>
      </c>
      <c r="AU87" s="181" t="s">
        <v>5150</v>
      </c>
      <c r="AV87" s="185" t="s">
        <v>176</v>
      </c>
      <c r="AW87" s="55" t="s">
        <v>202</v>
      </c>
      <c r="AX87" s="185" t="s">
        <v>176</v>
      </c>
      <c r="AY87" s="55" t="s">
        <v>176</v>
      </c>
      <c r="BK87" s="55" t="s">
        <v>5976</v>
      </c>
      <c r="BM87" s="192" t="s">
        <v>119</v>
      </c>
      <c r="BN87" s="55">
        <v>4</v>
      </c>
      <c r="BO87" s="55">
        <v>4</v>
      </c>
      <c r="BQ87" s="55" t="s">
        <v>141</v>
      </c>
      <c r="GP87" s="292" t="s">
        <v>7494</v>
      </c>
      <c r="HS87" s="227"/>
      <c r="HW87" s="227"/>
      <c r="IR87" s="65">
        <f>352/22.7273</f>
        <v>15.487981414422302</v>
      </c>
      <c r="IS87" s="65">
        <f>90/22.7273</f>
        <v>3.9599952480057024</v>
      </c>
      <c r="IV87" s="65">
        <f>144/22.7273</f>
        <v>6.3359923968091243</v>
      </c>
      <c r="JG87" s="65">
        <v>86</v>
      </c>
      <c r="JH87" s="65">
        <v>45</v>
      </c>
      <c r="JK87" s="65">
        <v>35</v>
      </c>
    </row>
    <row r="88" spans="1:281" x14ac:dyDescent="0.25">
      <c r="A88" s="55">
        <v>87</v>
      </c>
      <c r="B88" s="12" t="s">
        <v>7067</v>
      </c>
      <c r="C88" s="155">
        <v>7</v>
      </c>
      <c r="D88" s="55" t="s">
        <v>3713</v>
      </c>
      <c r="E88" s="90" t="s">
        <v>185</v>
      </c>
      <c r="G88" s="55" t="s">
        <v>186</v>
      </c>
      <c r="H88" s="55">
        <v>1999</v>
      </c>
      <c r="I88" s="55">
        <v>1995</v>
      </c>
      <c r="J88" s="55" t="s">
        <v>127</v>
      </c>
      <c r="K88" s="55" t="s">
        <v>187</v>
      </c>
      <c r="L88" s="55" t="s">
        <v>2737</v>
      </c>
      <c r="M88" s="90">
        <v>45.23</v>
      </c>
      <c r="N88" s="90">
        <v>-122.76</v>
      </c>
      <c r="O88" s="90">
        <v>48.4</v>
      </c>
      <c r="S88" s="90">
        <v>1040</v>
      </c>
      <c r="T88" s="55" t="s">
        <v>133</v>
      </c>
      <c r="U88" s="55">
        <v>2</v>
      </c>
      <c r="V88" s="55" t="s">
        <v>1694</v>
      </c>
      <c r="Y88" s="55" t="s">
        <v>1808</v>
      </c>
      <c r="Z88" s="55" t="s">
        <v>1352</v>
      </c>
      <c r="AA88" s="90" t="s">
        <v>1675</v>
      </c>
      <c r="AE88" s="90">
        <f>313/(313+540+147)*100</f>
        <v>31.3</v>
      </c>
      <c r="AF88" s="90">
        <f>540/(313+540+147)*100</f>
        <v>54</v>
      </c>
      <c r="AH88" s="55" t="s">
        <v>6378</v>
      </c>
      <c r="AJ88" s="90">
        <f>6.5/1000*100</f>
        <v>0.65</v>
      </c>
      <c r="AM88" s="55" t="s">
        <v>1272</v>
      </c>
      <c r="AN88" s="185" t="s">
        <v>131</v>
      </c>
      <c r="AO88" s="185" t="s">
        <v>5150</v>
      </c>
      <c r="AQ88" s="55" t="s">
        <v>131</v>
      </c>
      <c r="AR88" s="55" t="s">
        <v>770</v>
      </c>
      <c r="AS88" s="55" t="s">
        <v>1580</v>
      </c>
      <c r="AT88" s="181" t="s">
        <v>202</v>
      </c>
      <c r="AU88" s="181" t="s">
        <v>5150</v>
      </c>
      <c r="AV88" s="185" t="s">
        <v>176</v>
      </c>
      <c r="AW88" s="55" t="s">
        <v>202</v>
      </c>
      <c r="AX88" s="185" t="s">
        <v>176</v>
      </c>
      <c r="AY88" s="55" t="s">
        <v>176</v>
      </c>
      <c r="BK88" s="55" t="s">
        <v>5976</v>
      </c>
      <c r="BM88" s="192" t="s">
        <v>119</v>
      </c>
      <c r="BN88" s="55">
        <v>4</v>
      </c>
      <c r="BO88" s="55">
        <v>4</v>
      </c>
      <c r="BQ88" s="55" t="s">
        <v>141</v>
      </c>
      <c r="GP88" s="292" t="s">
        <v>7494</v>
      </c>
      <c r="HS88" s="227"/>
      <c r="HW88" s="227"/>
      <c r="IR88" s="65">
        <f>60/22.7273</f>
        <v>2.6399968320038014</v>
      </c>
      <c r="IS88" s="65">
        <f>150/22.7273</f>
        <v>6.5999920800095042</v>
      </c>
      <c r="IV88" s="65">
        <f>26/22.7273</f>
        <v>1.1439986272016474</v>
      </c>
      <c r="JG88" s="65">
        <v>28</v>
      </c>
      <c r="JH88" s="65">
        <v>29</v>
      </c>
      <c r="JK88" s="65">
        <v>12</v>
      </c>
    </row>
    <row r="89" spans="1:281" x14ac:dyDescent="0.25">
      <c r="A89" s="55">
        <v>88</v>
      </c>
      <c r="B89" s="12" t="s">
        <v>7067</v>
      </c>
      <c r="C89" s="155">
        <v>7</v>
      </c>
      <c r="D89" s="55" t="s">
        <v>3714</v>
      </c>
      <c r="E89" s="90" t="s">
        <v>185</v>
      </c>
      <c r="G89" s="55" t="s">
        <v>186</v>
      </c>
      <c r="H89" s="55">
        <v>1999</v>
      </c>
      <c r="I89" s="55">
        <v>1995</v>
      </c>
      <c r="J89" s="55" t="s">
        <v>127</v>
      </c>
      <c r="K89" s="55" t="s">
        <v>187</v>
      </c>
      <c r="L89" s="55" t="s">
        <v>2737</v>
      </c>
      <c r="M89" s="90">
        <v>45.23</v>
      </c>
      <c r="N89" s="90">
        <v>-122.76</v>
      </c>
      <c r="O89" s="90">
        <v>48.4</v>
      </c>
      <c r="S89" s="90">
        <v>1040</v>
      </c>
      <c r="T89" s="55" t="s">
        <v>133</v>
      </c>
      <c r="U89" s="55">
        <v>2</v>
      </c>
      <c r="V89" s="55" t="s">
        <v>1694</v>
      </c>
      <c r="Y89" s="55" t="s">
        <v>1808</v>
      </c>
      <c r="Z89" s="55" t="s">
        <v>1353</v>
      </c>
      <c r="AA89" s="90" t="s">
        <v>1675</v>
      </c>
      <c r="AE89" s="90">
        <f>313/(313+540+147)*100</f>
        <v>31.3</v>
      </c>
      <c r="AF89" s="90">
        <f>540/(313+540+147)*100</f>
        <v>54</v>
      </c>
      <c r="AH89" s="55" t="s">
        <v>6378</v>
      </c>
      <c r="AI89" s="168">
        <v>6.2</v>
      </c>
      <c r="AJ89" s="90">
        <f>4.7/1000*100</f>
        <v>0.47000000000000003</v>
      </c>
      <c r="AL89" s="55">
        <v>0.7</v>
      </c>
      <c r="AM89" s="55" t="s">
        <v>1272</v>
      </c>
      <c r="AN89" s="185" t="s">
        <v>131</v>
      </c>
      <c r="AO89" s="185" t="s">
        <v>5150</v>
      </c>
      <c r="AQ89" s="55" t="s">
        <v>131</v>
      </c>
      <c r="AR89" s="55" t="s">
        <v>770</v>
      </c>
      <c r="AS89" s="55" t="s">
        <v>1580</v>
      </c>
      <c r="AT89" s="181" t="s">
        <v>202</v>
      </c>
      <c r="AU89" s="181" t="s">
        <v>5150</v>
      </c>
      <c r="AV89" s="185" t="s">
        <v>176</v>
      </c>
      <c r="AW89" s="55" t="s">
        <v>202</v>
      </c>
      <c r="AX89" s="185" t="s">
        <v>176</v>
      </c>
      <c r="AY89" s="55" t="s">
        <v>176</v>
      </c>
      <c r="BK89" s="55" t="s">
        <v>5976</v>
      </c>
      <c r="BM89" s="192" t="s">
        <v>119</v>
      </c>
      <c r="BN89" s="55">
        <v>4</v>
      </c>
      <c r="BO89" s="55">
        <v>4</v>
      </c>
      <c r="BQ89" s="55" t="s">
        <v>141</v>
      </c>
      <c r="GP89" s="292" t="s">
        <v>7494</v>
      </c>
      <c r="HS89" s="227"/>
      <c r="HW89" s="227"/>
      <c r="IR89" s="65">
        <f>80/22.7273</f>
        <v>3.5199957760050689</v>
      </c>
      <c r="IS89" s="65">
        <f>70/22.7273</f>
        <v>3.0799963040044354</v>
      </c>
      <c r="IV89" s="65">
        <f>33/22.7273</f>
        <v>1.4519982576020909</v>
      </c>
    </row>
    <row r="90" spans="1:281" x14ac:dyDescent="0.25">
      <c r="A90" s="55">
        <v>89</v>
      </c>
      <c r="B90" s="12" t="s">
        <v>7067</v>
      </c>
      <c r="C90" s="155">
        <v>8</v>
      </c>
      <c r="D90" s="55" t="s">
        <v>3715</v>
      </c>
      <c r="E90" s="90" t="s">
        <v>196</v>
      </c>
      <c r="G90" s="55" t="s">
        <v>197</v>
      </c>
      <c r="H90" s="55">
        <v>2016</v>
      </c>
      <c r="I90" s="55">
        <v>2010</v>
      </c>
      <c r="J90" s="55" t="s">
        <v>198</v>
      </c>
      <c r="K90" s="55" t="s">
        <v>199</v>
      </c>
      <c r="L90" s="55" t="s">
        <v>2737</v>
      </c>
      <c r="M90" s="90">
        <f>42+4/60</f>
        <v>42.06666666666667</v>
      </c>
      <c r="N90" s="90">
        <f>-86-21/60</f>
        <v>-86.35</v>
      </c>
      <c r="O90" s="90">
        <v>205</v>
      </c>
      <c r="U90" s="55">
        <v>1</v>
      </c>
      <c r="V90" s="55" t="s">
        <v>1688</v>
      </c>
      <c r="Y90" s="55" t="s">
        <v>1809</v>
      </c>
      <c r="Z90" s="55" t="s">
        <v>1344</v>
      </c>
      <c r="AA90" s="90" t="s">
        <v>1344</v>
      </c>
      <c r="AH90" s="55" t="s">
        <v>201</v>
      </c>
      <c r="AM90" s="55" t="s">
        <v>1278</v>
      </c>
      <c r="AN90" s="185" t="s">
        <v>131</v>
      </c>
      <c r="AO90" s="185" t="s">
        <v>5150</v>
      </c>
      <c r="AQ90" s="55" t="s">
        <v>131</v>
      </c>
      <c r="AR90" s="55" t="s">
        <v>1581</v>
      </c>
      <c r="AS90" s="55" t="s">
        <v>1580</v>
      </c>
      <c r="AT90" s="181" t="s">
        <v>205</v>
      </c>
      <c r="AU90" s="181" t="s">
        <v>5150</v>
      </c>
      <c r="AV90" s="185" t="s">
        <v>176</v>
      </c>
      <c r="AW90" s="55" t="s">
        <v>205</v>
      </c>
      <c r="AX90" s="185" t="s">
        <v>176</v>
      </c>
      <c r="AY90" s="55" t="s">
        <v>176</v>
      </c>
      <c r="AZ90" s="55" t="s">
        <v>204</v>
      </c>
      <c r="BA90" s="55" t="s">
        <v>204</v>
      </c>
      <c r="BB90" s="55" t="s">
        <v>2081</v>
      </c>
      <c r="BC90" s="55" t="s">
        <v>2081</v>
      </c>
      <c r="BD90" s="55" t="s">
        <v>176</v>
      </c>
      <c r="BH90" s="226" t="s">
        <v>203</v>
      </c>
      <c r="BI90" s="55" t="s">
        <v>479</v>
      </c>
      <c r="BK90" s="55" t="s">
        <v>5976</v>
      </c>
      <c r="BM90" s="192" t="s">
        <v>119</v>
      </c>
      <c r="BN90" s="55">
        <v>4</v>
      </c>
      <c r="BO90" s="55">
        <v>4</v>
      </c>
      <c r="BQ90" s="55" t="s">
        <v>173</v>
      </c>
      <c r="BS90" s="55">
        <f>528.88*10</f>
        <v>5288.8</v>
      </c>
      <c r="CB90" s="66">
        <f>5.09*1000</f>
        <v>5090</v>
      </c>
      <c r="CC90" s="66">
        <f>4.94*1000</f>
        <v>4940</v>
      </c>
      <c r="GN90" s="294">
        <f>(40+13+41+3+326)/5</f>
        <v>84.6</v>
      </c>
      <c r="GO90" s="294">
        <f>(9+4+40+2+127)/5</f>
        <v>36.4</v>
      </c>
      <c r="GP90" s="292" t="s">
        <v>5150</v>
      </c>
      <c r="GS90" s="65" t="s">
        <v>692</v>
      </c>
      <c r="GY90" s="65">
        <f>(0+0.77+1.87+3.67)/4</f>
        <v>1.5775000000000001</v>
      </c>
      <c r="GZ90" s="65">
        <f>(0+3.17+4.6+6.17)/4</f>
        <v>3.4849999999999999</v>
      </c>
      <c r="HC90" s="227" t="s">
        <v>693</v>
      </c>
      <c r="HD90" s="227"/>
      <c r="HE90" s="227"/>
      <c r="HF90" s="227"/>
      <c r="HG90" s="227"/>
      <c r="HH90" s="227"/>
      <c r="HI90" s="227"/>
      <c r="HJ90" s="227"/>
      <c r="HK90" s="227"/>
      <c r="HL90" s="227"/>
      <c r="HM90" s="227"/>
      <c r="HN90" s="227"/>
      <c r="HO90" s="227"/>
      <c r="HP90" s="227"/>
      <c r="HQ90" s="227"/>
      <c r="HR90" s="227"/>
      <c r="JU90" s="55" t="s">
        <v>1657</v>
      </c>
    </row>
    <row r="91" spans="1:281" x14ac:dyDescent="0.25">
      <c r="A91" s="55">
        <v>90</v>
      </c>
      <c r="B91" s="12" t="s">
        <v>7067</v>
      </c>
      <c r="C91" s="155">
        <v>8</v>
      </c>
      <c r="D91" s="55" t="s">
        <v>3716</v>
      </c>
      <c r="E91" s="90" t="s">
        <v>196</v>
      </c>
      <c r="G91" s="55" t="s">
        <v>197</v>
      </c>
      <c r="H91" s="55">
        <v>2016</v>
      </c>
      <c r="I91" s="55">
        <v>2011</v>
      </c>
      <c r="J91" s="55" t="s">
        <v>198</v>
      </c>
      <c r="K91" s="55" t="s">
        <v>199</v>
      </c>
      <c r="L91" s="55" t="s">
        <v>2737</v>
      </c>
      <c r="M91" s="90">
        <f>42+4/60</f>
        <v>42.06666666666667</v>
      </c>
      <c r="N91" s="90">
        <f>-86-21/60</f>
        <v>-86.35</v>
      </c>
      <c r="O91" s="90">
        <v>205</v>
      </c>
      <c r="U91" s="55">
        <v>2</v>
      </c>
      <c r="V91" s="55" t="s">
        <v>1688</v>
      </c>
      <c r="Y91" s="55" t="s">
        <v>1809</v>
      </c>
      <c r="Z91" s="55" t="s">
        <v>1344</v>
      </c>
      <c r="AA91" s="90" t="s">
        <v>1344</v>
      </c>
      <c r="AH91" s="55" t="s">
        <v>201</v>
      </c>
      <c r="AM91" s="55" t="s">
        <v>1278</v>
      </c>
      <c r="AN91" s="185" t="s">
        <v>131</v>
      </c>
      <c r="AO91" s="185" t="s">
        <v>5150</v>
      </c>
      <c r="AQ91" s="55" t="s">
        <v>131</v>
      </c>
      <c r="AR91" s="55" t="s">
        <v>1581</v>
      </c>
      <c r="AS91" s="55" t="s">
        <v>1580</v>
      </c>
      <c r="AT91" s="181" t="s">
        <v>205</v>
      </c>
      <c r="AU91" s="181" t="s">
        <v>5150</v>
      </c>
      <c r="AV91" s="185" t="s">
        <v>176</v>
      </c>
      <c r="AW91" s="55" t="s">
        <v>205</v>
      </c>
      <c r="AX91" s="185" t="s">
        <v>176</v>
      </c>
      <c r="AY91" s="55" t="s">
        <v>176</v>
      </c>
      <c r="AZ91" s="55" t="s">
        <v>204</v>
      </c>
      <c r="BA91" s="55" t="s">
        <v>204</v>
      </c>
      <c r="BB91" s="55" t="s">
        <v>2081</v>
      </c>
      <c r="BC91" s="55" t="s">
        <v>2081</v>
      </c>
      <c r="BD91" s="55" t="s">
        <v>176</v>
      </c>
      <c r="BH91" s="226" t="s">
        <v>203</v>
      </c>
      <c r="BI91" s="55" t="s">
        <v>479</v>
      </c>
      <c r="BK91" s="55" t="s">
        <v>5976</v>
      </c>
      <c r="BM91" s="192" t="s">
        <v>119</v>
      </c>
      <c r="BN91" s="55">
        <v>4</v>
      </c>
      <c r="BO91" s="55">
        <v>4</v>
      </c>
      <c r="BQ91" s="55" t="s">
        <v>173</v>
      </c>
      <c r="BS91" s="55">
        <f>372.96*10</f>
        <v>3729.6</v>
      </c>
      <c r="CB91" s="66">
        <f>5.31*1000</f>
        <v>5310</v>
      </c>
      <c r="CC91" s="66">
        <f>5.01*1000</f>
        <v>5010</v>
      </c>
      <c r="GN91" s="294">
        <f>(24+0+5+391+16)/5</f>
        <v>87.2</v>
      </c>
      <c r="GO91" s="294">
        <f>(2+0+15+260+4)/5</f>
        <v>56.2</v>
      </c>
      <c r="GP91" s="292" t="s">
        <v>5150</v>
      </c>
      <c r="GS91" s="65" t="s">
        <v>692</v>
      </c>
      <c r="GY91" s="65">
        <f>(8.74+0.7+2.32+7.31)/4</f>
        <v>4.7675000000000001</v>
      </c>
      <c r="GZ91" s="65">
        <f>(8.36+0.59+2.43+6.66)/4</f>
        <v>4.51</v>
      </c>
      <c r="HC91" s="227" t="s">
        <v>693</v>
      </c>
      <c r="HD91" s="227"/>
      <c r="HE91" s="227"/>
      <c r="HF91" s="227"/>
      <c r="HG91" s="227"/>
      <c r="HH91" s="227"/>
      <c r="HI91" s="227"/>
      <c r="HJ91" s="227"/>
      <c r="HK91" s="227"/>
      <c r="HL91" s="227"/>
      <c r="HM91" s="227"/>
      <c r="HN91" s="227"/>
      <c r="HO91" s="227"/>
      <c r="HP91" s="227"/>
      <c r="HQ91" s="227"/>
      <c r="HR91" s="227"/>
      <c r="JU91" s="55" t="s">
        <v>1657</v>
      </c>
    </row>
    <row r="92" spans="1:281" x14ac:dyDescent="0.25">
      <c r="A92" s="55">
        <v>91</v>
      </c>
      <c r="B92" s="12" t="s">
        <v>7067</v>
      </c>
      <c r="C92" s="155">
        <v>8</v>
      </c>
      <c r="D92" s="55" t="s">
        <v>3715</v>
      </c>
      <c r="E92" s="90" t="s">
        <v>196</v>
      </c>
      <c r="G92" s="55" t="s">
        <v>197</v>
      </c>
      <c r="H92" s="55">
        <v>2016</v>
      </c>
      <c r="I92" s="55">
        <v>2010</v>
      </c>
      <c r="J92" s="55" t="s">
        <v>198</v>
      </c>
      <c r="K92" s="55" t="s">
        <v>199</v>
      </c>
      <c r="L92" s="55" t="s">
        <v>2737</v>
      </c>
      <c r="M92" s="90">
        <f>42+4/60</f>
        <v>42.06666666666667</v>
      </c>
      <c r="N92" s="90">
        <f>-86-21/60</f>
        <v>-86.35</v>
      </c>
      <c r="O92" s="90">
        <v>205</v>
      </c>
      <c r="U92" s="55">
        <v>1</v>
      </c>
      <c r="V92" s="55" t="s">
        <v>1688</v>
      </c>
      <c r="Y92" s="55" t="s">
        <v>1809</v>
      </c>
      <c r="Z92" s="55" t="s">
        <v>1344</v>
      </c>
      <c r="AA92" s="90" t="s">
        <v>1344</v>
      </c>
      <c r="AH92" s="55" t="s">
        <v>201</v>
      </c>
      <c r="AM92" s="55" t="s">
        <v>1278</v>
      </c>
      <c r="AN92" s="185" t="s">
        <v>131</v>
      </c>
      <c r="AO92" s="185" t="s">
        <v>5150</v>
      </c>
      <c r="AQ92" s="55" t="s">
        <v>131</v>
      </c>
      <c r="AR92" s="55" t="s">
        <v>1581</v>
      </c>
      <c r="AS92" s="55" t="s">
        <v>1580</v>
      </c>
      <c r="AT92" s="181" t="s">
        <v>205</v>
      </c>
      <c r="AU92" s="181" t="s">
        <v>5150</v>
      </c>
      <c r="AV92" s="185" t="s">
        <v>176</v>
      </c>
      <c r="AW92" s="55" t="s">
        <v>205</v>
      </c>
      <c r="AX92" s="185" t="s">
        <v>176</v>
      </c>
      <c r="AY92" s="55" t="s">
        <v>176</v>
      </c>
      <c r="AZ92" s="55" t="s">
        <v>204</v>
      </c>
      <c r="BA92" s="55" t="s">
        <v>204</v>
      </c>
      <c r="BB92" s="55" t="s">
        <v>2081</v>
      </c>
      <c r="BC92" s="55" t="s">
        <v>2081</v>
      </c>
      <c r="BD92" s="55" t="s">
        <v>176</v>
      </c>
      <c r="BH92" s="226" t="s">
        <v>203</v>
      </c>
      <c r="BI92" s="55" t="s">
        <v>479</v>
      </c>
      <c r="BK92" s="55" t="s">
        <v>5976</v>
      </c>
      <c r="BM92" s="192" t="s">
        <v>119</v>
      </c>
      <c r="BN92" s="55">
        <v>4</v>
      </c>
      <c r="BO92" s="55">
        <v>4</v>
      </c>
      <c r="BQ92" s="55" t="s">
        <v>173</v>
      </c>
      <c r="BS92" s="55">
        <f>528.88*10</f>
        <v>5288.8</v>
      </c>
      <c r="GP92" s="292" t="s">
        <v>7494</v>
      </c>
      <c r="GY92" s="65">
        <f>1/((3.83+1.45+0.51+0.06+1.54)/5)</f>
        <v>0.67658998646820023</v>
      </c>
      <c r="GZ92" s="65">
        <f>1/((7.05+0.33+0.22+1.39+0.72)/5)</f>
        <v>0.51493305870236861</v>
      </c>
      <c r="HC92" s="227" t="s">
        <v>1719</v>
      </c>
      <c r="HD92" s="227"/>
      <c r="HE92" s="227"/>
      <c r="HF92" s="227"/>
      <c r="HG92" s="227"/>
      <c r="HH92" s="227"/>
      <c r="HI92" s="227"/>
      <c r="HJ92" s="227"/>
      <c r="HK92" s="227"/>
      <c r="HL92" s="227"/>
      <c r="HM92" s="227"/>
      <c r="HN92" s="227"/>
      <c r="HO92" s="227"/>
      <c r="HP92" s="227"/>
      <c r="HQ92" s="227"/>
      <c r="HR92" s="227"/>
      <c r="JU92" s="55" t="s">
        <v>1657</v>
      </c>
    </row>
    <row r="93" spans="1:281" x14ac:dyDescent="0.25">
      <c r="A93" s="55">
        <v>92</v>
      </c>
      <c r="B93" s="12" t="s">
        <v>7067</v>
      </c>
      <c r="C93" s="155">
        <v>8</v>
      </c>
      <c r="D93" s="55" t="s">
        <v>3716</v>
      </c>
      <c r="E93" s="90" t="s">
        <v>196</v>
      </c>
      <c r="G93" s="55" t="s">
        <v>197</v>
      </c>
      <c r="H93" s="55">
        <v>2016</v>
      </c>
      <c r="I93" s="55">
        <v>2011</v>
      </c>
      <c r="J93" s="55" t="s">
        <v>198</v>
      </c>
      <c r="K93" s="55" t="s">
        <v>199</v>
      </c>
      <c r="L93" s="55" t="s">
        <v>2737</v>
      </c>
      <c r="M93" s="90">
        <f>42+4/60</f>
        <v>42.06666666666667</v>
      </c>
      <c r="N93" s="90">
        <f>-86-21/60</f>
        <v>-86.35</v>
      </c>
      <c r="O93" s="90">
        <v>205</v>
      </c>
      <c r="U93" s="55">
        <v>2</v>
      </c>
      <c r="V93" s="55" t="s">
        <v>1688</v>
      </c>
      <c r="Y93" s="55" t="s">
        <v>1809</v>
      </c>
      <c r="Z93" s="55" t="s">
        <v>1344</v>
      </c>
      <c r="AA93" s="90" t="s">
        <v>1344</v>
      </c>
      <c r="AH93" s="55" t="s">
        <v>201</v>
      </c>
      <c r="AM93" s="55" t="s">
        <v>1278</v>
      </c>
      <c r="AN93" s="185" t="s">
        <v>131</v>
      </c>
      <c r="AO93" s="185" t="s">
        <v>5150</v>
      </c>
      <c r="AQ93" s="55" t="s">
        <v>131</v>
      </c>
      <c r="AR93" s="55" t="s">
        <v>1581</v>
      </c>
      <c r="AS93" s="55" t="s">
        <v>1580</v>
      </c>
      <c r="AT93" s="181" t="s">
        <v>205</v>
      </c>
      <c r="AU93" s="181" t="s">
        <v>5150</v>
      </c>
      <c r="AV93" s="185" t="s">
        <v>176</v>
      </c>
      <c r="AW93" s="55" t="s">
        <v>205</v>
      </c>
      <c r="AX93" s="185" t="s">
        <v>176</v>
      </c>
      <c r="AY93" s="55" t="s">
        <v>176</v>
      </c>
      <c r="AZ93" s="55" t="s">
        <v>204</v>
      </c>
      <c r="BA93" s="55" t="s">
        <v>204</v>
      </c>
      <c r="BB93" s="55" t="s">
        <v>2081</v>
      </c>
      <c r="BC93" s="55" t="s">
        <v>2081</v>
      </c>
      <c r="BD93" s="55" t="s">
        <v>176</v>
      </c>
      <c r="BH93" s="226" t="s">
        <v>203</v>
      </c>
      <c r="BI93" s="55" t="s">
        <v>479</v>
      </c>
      <c r="BK93" s="55" t="s">
        <v>5976</v>
      </c>
      <c r="BM93" s="192" t="s">
        <v>119</v>
      </c>
      <c r="BN93" s="55">
        <v>4</v>
      </c>
      <c r="BO93" s="55">
        <v>4</v>
      </c>
      <c r="BQ93" s="55" t="s">
        <v>173</v>
      </c>
      <c r="BS93" s="55">
        <f>372.96*10</f>
        <v>3729.6</v>
      </c>
      <c r="GP93" s="292" t="s">
        <v>7494</v>
      </c>
      <c r="GY93" s="65">
        <f>1/((0.7+0.05+0.2+0.02+0.21)/5)</f>
        <v>4.2372881355932206</v>
      </c>
      <c r="GZ93" s="65">
        <f>1/((0.71+0.16+0.07+0.02+0.13)/5)</f>
        <v>4.5871559633027532</v>
      </c>
      <c r="HC93" s="227" t="s">
        <v>1719</v>
      </c>
      <c r="HD93" s="227"/>
      <c r="HE93" s="227"/>
      <c r="HF93" s="227"/>
      <c r="HG93" s="227"/>
      <c r="HH93" s="227"/>
      <c r="HI93" s="227"/>
      <c r="HJ93" s="227"/>
      <c r="HK93" s="227"/>
      <c r="HL93" s="227"/>
      <c r="HM93" s="227"/>
      <c r="HN93" s="227"/>
      <c r="HO93" s="227"/>
      <c r="HP93" s="227"/>
      <c r="HQ93" s="227"/>
      <c r="HR93" s="227"/>
      <c r="JU93" s="55" t="s">
        <v>1657</v>
      </c>
    </row>
    <row r="94" spans="1:281" x14ac:dyDescent="0.25">
      <c r="A94" s="55">
        <v>93</v>
      </c>
      <c r="B94" s="12" t="s">
        <v>7067</v>
      </c>
      <c r="C94" s="155">
        <v>9</v>
      </c>
      <c r="D94" s="55" t="s">
        <v>3717</v>
      </c>
      <c r="E94" s="90" t="s">
        <v>207</v>
      </c>
      <c r="G94" s="55" t="s">
        <v>208</v>
      </c>
      <c r="H94" s="55">
        <v>1992</v>
      </c>
      <c r="I94" s="55">
        <v>1985</v>
      </c>
      <c r="J94" s="55" t="s">
        <v>7490</v>
      </c>
      <c r="K94" s="55" t="s">
        <v>209</v>
      </c>
      <c r="L94" s="55" t="s">
        <v>2737</v>
      </c>
      <c r="M94" s="90">
        <f>33+54/60</f>
        <v>33.9</v>
      </c>
      <c r="N94" s="90">
        <f>-82-24/60</f>
        <v>-82.4</v>
      </c>
      <c r="O94" s="90">
        <v>130.1</v>
      </c>
      <c r="U94" s="55">
        <v>3</v>
      </c>
      <c r="V94" s="55" t="s">
        <v>1682</v>
      </c>
      <c r="Y94" s="55" t="s">
        <v>1810</v>
      </c>
      <c r="Z94" s="55" t="s">
        <v>1354</v>
      </c>
      <c r="AA94" s="90" t="s">
        <v>1678</v>
      </c>
      <c r="AE94" s="90">
        <f>54.1/(54.1+14.6+5.8)*100</f>
        <v>72.617449664429529</v>
      </c>
      <c r="AF94" s="90">
        <f>14.6/(54.1+14.6+5.8)*100</f>
        <v>19.597315436241612</v>
      </c>
      <c r="AH94" s="55" t="s">
        <v>769</v>
      </c>
      <c r="AM94" s="55" t="s">
        <v>1279</v>
      </c>
      <c r="AN94" s="185" t="s">
        <v>1485</v>
      </c>
      <c r="AO94" s="185" t="s">
        <v>5150</v>
      </c>
      <c r="AQ94" s="55" t="s">
        <v>553</v>
      </c>
      <c r="AR94" s="55" t="s">
        <v>158</v>
      </c>
      <c r="AS94" s="55" t="s">
        <v>158</v>
      </c>
      <c r="AU94" s="181" t="s">
        <v>7494</v>
      </c>
      <c r="AV94" s="185" t="s">
        <v>176</v>
      </c>
      <c r="AX94" s="185" t="s">
        <v>176</v>
      </c>
      <c r="AZ94" s="55" t="s">
        <v>217</v>
      </c>
      <c r="BA94" s="55" t="s">
        <v>216</v>
      </c>
      <c r="BB94" s="55" t="s">
        <v>2081</v>
      </c>
      <c r="BC94" s="55" t="s">
        <v>2082</v>
      </c>
      <c r="BD94" s="55" t="s">
        <v>479</v>
      </c>
      <c r="BK94" s="55" t="s">
        <v>6269</v>
      </c>
      <c r="BM94" s="192" t="s">
        <v>119</v>
      </c>
      <c r="BN94" s="55">
        <v>3</v>
      </c>
      <c r="BO94" s="55">
        <v>3</v>
      </c>
      <c r="BV94" s="55" t="s">
        <v>211</v>
      </c>
      <c r="EK94" s="90">
        <f>0.61*1000</f>
        <v>610</v>
      </c>
      <c r="EL94" s="90">
        <f>0.87*1000</f>
        <v>870</v>
      </c>
      <c r="EO94" s="65" t="s">
        <v>165</v>
      </c>
      <c r="EZ94" s="65">
        <f>(26.7+29.5)/2</f>
        <v>28.1</v>
      </c>
      <c r="FA94" s="65">
        <f>(51.3+50.7)/2</f>
        <v>51</v>
      </c>
      <c r="FD94" s="65" t="s">
        <v>1641</v>
      </c>
      <c r="GP94" s="292" t="s">
        <v>7494</v>
      </c>
      <c r="HS94" s="227"/>
      <c r="HW94" s="227"/>
    </row>
    <row r="95" spans="1:281" x14ac:dyDescent="0.25">
      <c r="A95" s="55">
        <v>94</v>
      </c>
      <c r="B95" s="12" t="s">
        <v>7067</v>
      </c>
      <c r="C95" s="155">
        <v>9</v>
      </c>
      <c r="D95" s="55" t="s">
        <v>3718</v>
      </c>
      <c r="E95" s="90" t="s">
        <v>207</v>
      </c>
      <c r="G95" s="55" t="s">
        <v>208</v>
      </c>
      <c r="H95" s="55">
        <v>1992</v>
      </c>
      <c r="I95" s="55">
        <v>1985</v>
      </c>
      <c r="J95" s="55" t="s">
        <v>7490</v>
      </c>
      <c r="K95" s="55" t="s">
        <v>209</v>
      </c>
      <c r="L95" s="55" t="s">
        <v>2737</v>
      </c>
      <c r="M95" s="90">
        <f>33+54/60</f>
        <v>33.9</v>
      </c>
      <c r="N95" s="90">
        <f>-82-24/60</f>
        <v>-82.4</v>
      </c>
      <c r="O95" s="90">
        <v>130.1</v>
      </c>
      <c r="U95" s="55">
        <v>3</v>
      </c>
      <c r="V95" s="55" t="s">
        <v>1682</v>
      </c>
      <c r="Y95" s="55" t="s">
        <v>1810</v>
      </c>
      <c r="Z95" s="55" t="s">
        <v>1354</v>
      </c>
      <c r="AA95" s="90" t="s">
        <v>1678</v>
      </c>
      <c r="AE95" s="90">
        <f>47/(47+20.4+10.7)*100</f>
        <v>60.179257362355941</v>
      </c>
      <c r="AF95" s="90">
        <f>20.4/(47+20.4+10.7)*100</f>
        <v>26.120358514724707</v>
      </c>
      <c r="AH95" s="55" t="s">
        <v>769</v>
      </c>
      <c r="AM95" s="55" t="s">
        <v>1279</v>
      </c>
      <c r="AN95" s="185" t="s">
        <v>1485</v>
      </c>
      <c r="AO95" s="185" t="s">
        <v>5150</v>
      </c>
      <c r="AQ95" s="55" t="s">
        <v>553</v>
      </c>
      <c r="AR95" s="55" t="s">
        <v>158</v>
      </c>
      <c r="AS95" s="55" t="s">
        <v>158</v>
      </c>
      <c r="AU95" s="181" t="s">
        <v>7494</v>
      </c>
      <c r="AV95" s="185" t="s">
        <v>176</v>
      </c>
      <c r="AX95" s="185" t="s">
        <v>176</v>
      </c>
      <c r="AZ95" s="55" t="s">
        <v>217</v>
      </c>
      <c r="BA95" s="55" t="s">
        <v>216</v>
      </c>
      <c r="BB95" s="55" t="s">
        <v>2081</v>
      </c>
      <c r="BC95" s="55" t="s">
        <v>2082</v>
      </c>
      <c r="BD95" s="55" t="s">
        <v>479</v>
      </c>
      <c r="BK95" s="55" t="s">
        <v>6269</v>
      </c>
      <c r="BM95" s="192" t="s">
        <v>119</v>
      </c>
      <c r="BN95" s="55">
        <v>3</v>
      </c>
      <c r="BO95" s="55">
        <v>3</v>
      </c>
      <c r="BV95" s="55" t="s">
        <v>212</v>
      </c>
      <c r="EK95" s="90">
        <f>0.59*1000</f>
        <v>590</v>
      </c>
      <c r="EL95" s="90">
        <f>0.88*1000</f>
        <v>880</v>
      </c>
      <c r="EO95" s="65" t="s">
        <v>165</v>
      </c>
      <c r="EZ95" s="65">
        <f>(32.9+20.5)/2</f>
        <v>26.7</v>
      </c>
      <c r="FA95" s="65">
        <f>(51.8+46.4)/2</f>
        <v>49.099999999999994</v>
      </c>
      <c r="FD95" s="65" t="s">
        <v>1641</v>
      </c>
      <c r="GP95" s="292" t="s">
        <v>7494</v>
      </c>
      <c r="HS95" s="227"/>
      <c r="HW95" s="227"/>
    </row>
    <row r="96" spans="1:281" x14ac:dyDescent="0.25">
      <c r="A96" s="55">
        <v>95</v>
      </c>
      <c r="B96" s="12" t="s">
        <v>7067</v>
      </c>
      <c r="C96" s="155">
        <v>9</v>
      </c>
      <c r="D96" s="55" t="s">
        <v>3719</v>
      </c>
      <c r="E96" s="90" t="s">
        <v>207</v>
      </c>
      <c r="G96" s="55" t="s">
        <v>208</v>
      </c>
      <c r="H96" s="55">
        <v>1992</v>
      </c>
      <c r="I96" s="55">
        <v>1985</v>
      </c>
      <c r="J96" s="55" t="s">
        <v>7490</v>
      </c>
      <c r="K96" s="55" t="s">
        <v>209</v>
      </c>
      <c r="L96" s="55" t="s">
        <v>2737</v>
      </c>
      <c r="M96" s="90">
        <f>33+54/60</f>
        <v>33.9</v>
      </c>
      <c r="N96" s="90">
        <f>-82-24/60</f>
        <v>-82.4</v>
      </c>
      <c r="O96" s="90">
        <v>130.1</v>
      </c>
      <c r="U96" s="55">
        <v>3</v>
      </c>
      <c r="V96" s="55" t="s">
        <v>1682</v>
      </c>
      <c r="Y96" s="55" t="s">
        <v>1810</v>
      </c>
      <c r="Z96" s="55" t="s">
        <v>1354</v>
      </c>
      <c r="AA96" s="90" t="s">
        <v>1678</v>
      </c>
      <c r="AE96" s="90">
        <f>42.5/(42.5+21.3+19)*100</f>
        <v>51.328502415458942</v>
      </c>
      <c r="AF96" s="90">
        <f>21.3/(42.5+21.3+19)*100</f>
        <v>25.724637681159422</v>
      </c>
      <c r="AH96" s="55" t="s">
        <v>769</v>
      </c>
      <c r="AM96" s="55" t="s">
        <v>1279</v>
      </c>
      <c r="AN96" s="185" t="s">
        <v>1485</v>
      </c>
      <c r="AO96" s="185" t="s">
        <v>5150</v>
      </c>
      <c r="AQ96" s="55" t="s">
        <v>553</v>
      </c>
      <c r="AR96" s="55" t="s">
        <v>158</v>
      </c>
      <c r="AS96" s="55" t="s">
        <v>158</v>
      </c>
      <c r="AU96" s="181" t="s">
        <v>7494</v>
      </c>
      <c r="AV96" s="185" t="s">
        <v>176</v>
      </c>
      <c r="AX96" s="185" t="s">
        <v>176</v>
      </c>
      <c r="AZ96" s="55" t="s">
        <v>217</v>
      </c>
      <c r="BA96" s="55" t="s">
        <v>216</v>
      </c>
      <c r="BB96" s="55" t="s">
        <v>2081</v>
      </c>
      <c r="BC96" s="55" t="s">
        <v>2082</v>
      </c>
      <c r="BD96" s="55" t="s">
        <v>479</v>
      </c>
      <c r="BK96" s="55" t="s">
        <v>6269</v>
      </c>
      <c r="BM96" s="192" t="s">
        <v>119</v>
      </c>
      <c r="BN96" s="55">
        <v>3</v>
      </c>
      <c r="BO96" s="55">
        <v>3</v>
      </c>
      <c r="BV96" s="55" t="s">
        <v>213</v>
      </c>
      <c r="EK96" s="90">
        <f>0.65*1000</f>
        <v>650</v>
      </c>
      <c r="EL96" s="90">
        <f>0.91*1000</f>
        <v>910</v>
      </c>
      <c r="EO96" s="65" t="s">
        <v>165</v>
      </c>
      <c r="EZ96" s="65">
        <f>(35.9+20.2)/2</f>
        <v>28.049999999999997</v>
      </c>
      <c r="FA96" s="65">
        <f>(46+41.6)/2</f>
        <v>43.8</v>
      </c>
      <c r="FD96" s="65" t="s">
        <v>1641</v>
      </c>
      <c r="GP96" s="292" t="s">
        <v>7494</v>
      </c>
      <c r="HS96" s="227"/>
      <c r="HW96" s="227"/>
    </row>
    <row r="97" spans="1:231" x14ac:dyDescent="0.25">
      <c r="A97" s="55">
        <v>96</v>
      </c>
      <c r="B97" s="12" t="s">
        <v>7067</v>
      </c>
      <c r="C97" s="155">
        <v>9</v>
      </c>
      <c r="D97" s="55" t="s">
        <v>3717</v>
      </c>
      <c r="E97" s="90" t="s">
        <v>207</v>
      </c>
      <c r="G97" s="55" t="s">
        <v>208</v>
      </c>
      <c r="H97" s="55">
        <v>1992</v>
      </c>
      <c r="I97" s="55">
        <v>1985</v>
      </c>
      <c r="J97" s="55" t="s">
        <v>7490</v>
      </c>
      <c r="K97" s="55" t="s">
        <v>209</v>
      </c>
      <c r="L97" s="55" t="s">
        <v>2737</v>
      </c>
      <c r="M97" s="90">
        <f>33+54/60</f>
        <v>33.9</v>
      </c>
      <c r="N97" s="90">
        <f>-82-24/60</f>
        <v>-82.4</v>
      </c>
      <c r="O97" s="90">
        <v>130.1</v>
      </c>
      <c r="U97" s="55">
        <v>3</v>
      </c>
      <c r="V97" s="55" t="s">
        <v>1682</v>
      </c>
      <c r="Y97" s="55" t="s">
        <v>1810</v>
      </c>
      <c r="Z97" s="55" t="s">
        <v>1354</v>
      </c>
      <c r="AA97" s="90" t="s">
        <v>1678</v>
      </c>
      <c r="AE97" s="90">
        <f>54.1/(54.1+14.6+5.8)*100</f>
        <v>72.617449664429529</v>
      </c>
      <c r="AF97" s="90">
        <f>14.6/(54.1+14.6+5.8)*100</f>
        <v>19.597315436241612</v>
      </c>
      <c r="AH97" s="55" t="s">
        <v>769</v>
      </c>
      <c r="AM97" s="55" t="s">
        <v>1279</v>
      </c>
      <c r="AN97" s="185" t="s">
        <v>1485</v>
      </c>
      <c r="AO97" s="185" t="s">
        <v>5150</v>
      </c>
      <c r="AQ97" s="55" t="s">
        <v>553</v>
      </c>
      <c r="AR97" s="55" t="s">
        <v>218</v>
      </c>
      <c r="AS97" s="55" t="s">
        <v>218</v>
      </c>
      <c r="AU97" s="181" t="s">
        <v>7494</v>
      </c>
      <c r="AV97" s="185" t="s">
        <v>176</v>
      </c>
      <c r="AX97" s="185" t="s">
        <v>176</v>
      </c>
      <c r="AZ97" s="55" t="s">
        <v>217</v>
      </c>
      <c r="BA97" s="55" t="s">
        <v>216</v>
      </c>
      <c r="BB97" s="55" t="s">
        <v>2081</v>
      </c>
      <c r="BC97" s="55" t="s">
        <v>2082</v>
      </c>
      <c r="BD97" s="55" t="s">
        <v>479</v>
      </c>
      <c r="BK97" s="55" t="s">
        <v>6269</v>
      </c>
      <c r="BM97" s="192" t="s">
        <v>119</v>
      </c>
      <c r="BN97" s="55">
        <v>3</v>
      </c>
      <c r="BO97" s="55">
        <v>3</v>
      </c>
      <c r="BV97" s="55" t="s">
        <v>211</v>
      </c>
      <c r="EK97" s="90">
        <f>0.5*1000</f>
        <v>500</v>
      </c>
      <c r="EL97" s="90">
        <f>0.87*1000</f>
        <v>870</v>
      </c>
      <c r="EO97" s="65" t="s">
        <v>165</v>
      </c>
      <c r="EZ97" s="65">
        <f>(33+25.7)/2</f>
        <v>29.35</v>
      </c>
      <c r="FA97" s="65">
        <f>(51.3+50.7)/2</f>
        <v>51</v>
      </c>
      <c r="FD97" s="65" t="s">
        <v>1641</v>
      </c>
      <c r="GP97" s="292" t="s">
        <v>7494</v>
      </c>
      <c r="HS97" s="227"/>
      <c r="HW97" s="227"/>
    </row>
    <row r="98" spans="1:231" x14ac:dyDescent="0.25">
      <c r="A98" s="55">
        <v>97</v>
      </c>
      <c r="B98" s="12" t="s">
        <v>7067</v>
      </c>
      <c r="C98" s="155">
        <v>9</v>
      </c>
      <c r="D98" s="55" t="s">
        <v>3718</v>
      </c>
      <c r="E98" s="90" t="s">
        <v>207</v>
      </c>
      <c r="G98" s="55" t="s">
        <v>208</v>
      </c>
      <c r="H98" s="55">
        <v>1992</v>
      </c>
      <c r="I98" s="55">
        <v>1985</v>
      </c>
      <c r="J98" s="55" t="s">
        <v>7490</v>
      </c>
      <c r="K98" s="55" t="s">
        <v>209</v>
      </c>
      <c r="L98" s="55" t="s">
        <v>2737</v>
      </c>
      <c r="M98" s="90">
        <f>33+54/60</f>
        <v>33.9</v>
      </c>
      <c r="N98" s="90">
        <f>-82-24/60</f>
        <v>-82.4</v>
      </c>
      <c r="O98" s="90">
        <v>130.1</v>
      </c>
      <c r="U98" s="55">
        <v>3</v>
      </c>
      <c r="V98" s="55" t="s">
        <v>1682</v>
      </c>
      <c r="Y98" s="55" t="s">
        <v>1810</v>
      </c>
      <c r="Z98" s="55" t="s">
        <v>1354</v>
      </c>
      <c r="AA98" s="90" t="s">
        <v>1678</v>
      </c>
      <c r="AE98" s="90">
        <f>47/(47+20.4+10.7)*100</f>
        <v>60.179257362355941</v>
      </c>
      <c r="AF98" s="90">
        <f>20.4/(47+20.4+10.7)*100</f>
        <v>26.120358514724707</v>
      </c>
      <c r="AH98" s="55" t="s">
        <v>769</v>
      </c>
      <c r="AM98" s="55" t="s">
        <v>1279</v>
      </c>
      <c r="AN98" s="185" t="s">
        <v>1485</v>
      </c>
      <c r="AO98" s="185" t="s">
        <v>5150</v>
      </c>
      <c r="AQ98" s="55" t="s">
        <v>553</v>
      </c>
      <c r="AR98" s="55" t="s">
        <v>218</v>
      </c>
      <c r="AS98" s="55" t="s">
        <v>218</v>
      </c>
      <c r="AU98" s="181" t="s">
        <v>7494</v>
      </c>
      <c r="AV98" s="185" t="s">
        <v>176</v>
      </c>
      <c r="AX98" s="185" t="s">
        <v>176</v>
      </c>
      <c r="AZ98" s="55" t="s">
        <v>217</v>
      </c>
      <c r="BA98" s="55" t="s">
        <v>216</v>
      </c>
      <c r="BB98" s="55" t="s">
        <v>2081</v>
      </c>
      <c r="BC98" s="55" t="s">
        <v>2082</v>
      </c>
      <c r="BD98" s="55" t="s">
        <v>479</v>
      </c>
      <c r="BK98" s="55" t="s">
        <v>6269</v>
      </c>
      <c r="BM98" s="192" t="s">
        <v>119</v>
      </c>
      <c r="BN98" s="55">
        <v>3</v>
      </c>
      <c r="BO98" s="55">
        <v>3</v>
      </c>
      <c r="BV98" s="55" t="s">
        <v>212</v>
      </c>
      <c r="EK98" s="90">
        <f>0.59*1000</f>
        <v>590</v>
      </c>
      <c r="EL98" s="90">
        <f>0.88*1000</f>
        <v>880</v>
      </c>
      <c r="EO98" s="65" t="s">
        <v>165</v>
      </c>
      <c r="EZ98" s="65">
        <f>(38.6+20.1)/2</f>
        <v>29.35</v>
      </c>
      <c r="FA98" s="65">
        <f>(51.8+46.4)/2</f>
        <v>49.099999999999994</v>
      </c>
      <c r="FD98" s="65" t="s">
        <v>1641</v>
      </c>
      <c r="GP98" s="292" t="s">
        <v>7494</v>
      </c>
      <c r="HS98" s="227"/>
      <c r="HW98" s="227"/>
    </row>
    <row r="99" spans="1:231" x14ac:dyDescent="0.25">
      <c r="A99" s="55">
        <v>98</v>
      </c>
      <c r="B99" s="12" t="s">
        <v>7067</v>
      </c>
      <c r="C99" s="155">
        <v>9</v>
      </c>
      <c r="D99" s="55" t="s">
        <v>3719</v>
      </c>
      <c r="E99" s="90" t="s">
        <v>207</v>
      </c>
      <c r="G99" s="55" t="s">
        <v>208</v>
      </c>
      <c r="H99" s="55">
        <v>1992</v>
      </c>
      <c r="I99" s="55">
        <v>1985</v>
      </c>
      <c r="J99" s="55" t="s">
        <v>7490</v>
      </c>
      <c r="K99" s="55" t="s">
        <v>209</v>
      </c>
      <c r="L99" s="55" t="s">
        <v>2737</v>
      </c>
      <c r="M99" s="90">
        <f>33+54/60</f>
        <v>33.9</v>
      </c>
      <c r="N99" s="90">
        <f>-82-24/60</f>
        <v>-82.4</v>
      </c>
      <c r="O99" s="90">
        <v>130.1</v>
      </c>
      <c r="U99" s="55">
        <v>3</v>
      </c>
      <c r="V99" s="55" t="s">
        <v>1682</v>
      </c>
      <c r="Y99" s="55" t="s">
        <v>1810</v>
      </c>
      <c r="Z99" s="55" t="s">
        <v>1354</v>
      </c>
      <c r="AA99" s="90" t="s">
        <v>1678</v>
      </c>
      <c r="AE99" s="90">
        <f>42.5/(42.5+21.3+19)*100</f>
        <v>51.328502415458942</v>
      </c>
      <c r="AF99" s="90">
        <f>21.3/(42.5+21.3+19)*100</f>
        <v>25.724637681159422</v>
      </c>
      <c r="AH99" s="55" t="s">
        <v>769</v>
      </c>
      <c r="AM99" s="55" t="s">
        <v>1279</v>
      </c>
      <c r="AN99" s="185" t="s">
        <v>1485</v>
      </c>
      <c r="AO99" s="185" t="s">
        <v>5150</v>
      </c>
      <c r="AQ99" s="55" t="s">
        <v>553</v>
      </c>
      <c r="AR99" s="55" t="s">
        <v>218</v>
      </c>
      <c r="AS99" s="55" t="s">
        <v>218</v>
      </c>
      <c r="AU99" s="181" t="s">
        <v>7494</v>
      </c>
      <c r="AV99" s="185" t="s">
        <v>176</v>
      </c>
      <c r="AX99" s="185" t="s">
        <v>176</v>
      </c>
      <c r="AZ99" s="55" t="s">
        <v>217</v>
      </c>
      <c r="BA99" s="55" t="s">
        <v>216</v>
      </c>
      <c r="BB99" s="55" t="s">
        <v>2081</v>
      </c>
      <c r="BC99" s="55" t="s">
        <v>2082</v>
      </c>
      <c r="BD99" s="55" t="s">
        <v>479</v>
      </c>
      <c r="BK99" s="55" t="s">
        <v>6269</v>
      </c>
      <c r="BM99" s="192" t="s">
        <v>119</v>
      </c>
      <c r="BN99" s="55">
        <v>3</v>
      </c>
      <c r="BO99" s="55">
        <v>3</v>
      </c>
      <c r="BV99" s="55" t="s">
        <v>213</v>
      </c>
      <c r="EK99" s="90">
        <f>0.64*1000</f>
        <v>640</v>
      </c>
      <c r="EL99" s="90">
        <f>0.91*1000</f>
        <v>910</v>
      </c>
      <c r="EO99" s="65" t="s">
        <v>165</v>
      </c>
      <c r="EZ99" s="65">
        <f>(34.5+21)/2</f>
        <v>27.75</v>
      </c>
      <c r="FA99" s="65">
        <f>(46+41.6)/2</f>
        <v>43.8</v>
      </c>
      <c r="FD99" s="65" t="s">
        <v>1641</v>
      </c>
      <c r="GP99" s="292" t="s">
        <v>7494</v>
      </c>
      <c r="HS99" s="227"/>
      <c r="HW99" s="227"/>
    </row>
    <row r="100" spans="1:231" x14ac:dyDescent="0.25">
      <c r="A100" s="55">
        <v>99</v>
      </c>
      <c r="B100" s="12" t="s">
        <v>7067</v>
      </c>
      <c r="C100" s="155">
        <v>10</v>
      </c>
      <c r="D100" s="55" t="s">
        <v>3720</v>
      </c>
      <c r="E100" s="228" t="s">
        <v>219</v>
      </c>
      <c r="F100" s="228"/>
      <c r="G100" s="55" t="s">
        <v>220</v>
      </c>
      <c r="H100" s="55">
        <v>2015</v>
      </c>
      <c r="I100" s="55">
        <v>2010</v>
      </c>
      <c r="J100" s="55" t="s">
        <v>221</v>
      </c>
      <c r="K100" s="55" t="s">
        <v>222</v>
      </c>
      <c r="L100" s="55" t="s">
        <v>2737</v>
      </c>
      <c r="M100" s="90">
        <v>43.064999999999998</v>
      </c>
      <c r="N100" s="90">
        <v>-89.534999999999997</v>
      </c>
      <c r="O100" s="90">
        <v>331.7</v>
      </c>
      <c r="U100" s="55">
        <v>1</v>
      </c>
      <c r="V100" s="55" t="s">
        <v>1805</v>
      </c>
      <c r="Y100" s="55" t="s">
        <v>1811</v>
      </c>
      <c r="Z100" s="55" t="s">
        <v>1349</v>
      </c>
      <c r="AA100" s="90" t="s">
        <v>1677</v>
      </c>
      <c r="AH100" s="55" t="s">
        <v>6378</v>
      </c>
      <c r="AI100" s="168">
        <v>7.1</v>
      </c>
      <c r="AJ100" s="90">
        <v>2.9</v>
      </c>
      <c r="AM100" s="55" t="s">
        <v>1280</v>
      </c>
      <c r="AN100" s="185" t="s">
        <v>228</v>
      </c>
      <c r="AO100" s="185" t="s">
        <v>5150</v>
      </c>
      <c r="AQ100" s="55" t="s">
        <v>1545</v>
      </c>
      <c r="AR100" s="55" t="s">
        <v>227</v>
      </c>
      <c r="AS100" s="55" t="s">
        <v>227</v>
      </c>
      <c r="AU100" s="181" t="s">
        <v>7494</v>
      </c>
      <c r="AV100" s="185" t="s">
        <v>176</v>
      </c>
      <c r="AX100" s="185" t="s">
        <v>176</v>
      </c>
      <c r="AZ100" s="55" t="s">
        <v>229</v>
      </c>
      <c r="BA100" s="55" t="s">
        <v>229</v>
      </c>
      <c r="BB100" s="55" t="s">
        <v>2081</v>
      </c>
      <c r="BC100" s="55" t="s">
        <v>2081</v>
      </c>
      <c r="BD100" s="55" t="s">
        <v>176</v>
      </c>
      <c r="BK100" s="55" t="s">
        <v>5976</v>
      </c>
      <c r="BM100" s="192" t="s">
        <v>119</v>
      </c>
      <c r="BN100" s="55">
        <v>4</v>
      </c>
      <c r="BO100" s="55">
        <v>4</v>
      </c>
      <c r="CB100" s="66">
        <f>(40+24.2)/2*1000</f>
        <v>32100</v>
      </c>
      <c r="CC100" s="66">
        <f>(31.5+25.7)/2*1000</f>
        <v>28600</v>
      </c>
      <c r="CG100" s="65" t="s">
        <v>233</v>
      </c>
      <c r="DB100" s="65">
        <v>11.22</v>
      </c>
      <c r="DC100" s="65">
        <v>8.83</v>
      </c>
      <c r="DF100" s="65" t="s">
        <v>324</v>
      </c>
      <c r="GN100" s="294">
        <v>2320</v>
      </c>
      <c r="GO100" s="294">
        <v>630</v>
      </c>
      <c r="GP100" s="292" t="s">
        <v>5150</v>
      </c>
      <c r="HS100" s="227"/>
      <c r="HW100" s="227"/>
    </row>
    <row r="101" spans="1:231" x14ac:dyDescent="0.25">
      <c r="A101" s="55">
        <v>100</v>
      </c>
      <c r="B101" s="12" t="s">
        <v>7067</v>
      </c>
      <c r="C101" s="155">
        <v>10</v>
      </c>
      <c r="D101" s="55" t="s">
        <v>3720</v>
      </c>
      <c r="E101" s="228" t="s">
        <v>219</v>
      </c>
      <c r="F101" s="228"/>
      <c r="G101" s="55" t="s">
        <v>220</v>
      </c>
      <c r="H101" s="55">
        <v>2015</v>
      </c>
      <c r="I101" s="55">
        <v>2011</v>
      </c>
      <c r="J101" s="55" t="s">
        <v>221</v>
      </c>
      <c r="K101" s="55" t="s">
        <v>222</v>
      </c>
      <c r="L101" s="55" t="s">
        <v>2737</v>
      </c>
      <c r="M101" s="90">
        <v>43.064999999999998</v>
      </c>
      <c r="N101" s="90">
        <v>-89.534999999999997</v>
      </c>
      <c r="O101" s="90">
        <v>331.7</v>
      </c>
      <c r="U101" s="55">
        <v>2</v>
      </c>
      <c r="V101" s="55" t="s">
        <v>1805</v>
      </c>
      <c r="Y101" s="55" t="s">
        <v>1812</v>
      </c>
      <c r="Z101" s="55" t="s">
        <v>1349</v>
      </c>
      <c r="AA101" s="90" t="s">
        <v>1677</v>
      </c>
      <c r="AH101" s="55" t="s">
        <v>6378</v>
      </c>
      <c r="AI101" s="168">
        <v>7.1</v>
      </c>
      <c r="AJ101" s="90">
        <v>2.9</v>
      </c>
      <c r="AM101" s="55" t="s">
        <v>1280</v>
      </c>
      <c r="AN101" s="185" t="s">
        <v>228</v>
      </c>
      <c r="AO101" s="185" t="s">
        <v>5150</v>
      </c>
      <c r="AQ101" s="55" t="s">
        <v>1545</v>
      </c>
      <c r="AR101" s="55" t="s">
        <v>227</v>
      </c>
      <c r="AS101" s="55" t="s">
        <v>227</v>
      </c>
      <c r="AU101" s="181" t="s">
        <v>7494</v>
      </c>
      <c r="AV101" s="185" t="s">
        <v>176</v>
      </c>
      <c r="AX101" s="185" t="s">
        <v>176</v>
      </c>
      <c r="AZ101" s="55" t="s">
        <v>229</v>
      </c>
      <c r="BA101" s="55" t="s">
        <v>229</v>
      </c>
      <c r="BB101" s="55" t="s">
        <v>2081</v>
      </c>
      <c r="BC101" s="55" t="s">
        <v>2081</v>
      </c>
      <c r="BD101" s="55" t="s">
        <v>176</v>
      </c>
      <c r="BK101" s="55" t="s">
        <v>5976</v>
      </c>
      <c r="BM101" s="192" t="s">
        <v>119</v>
      </c>
      <c r="BN101" s="55">
        <v>4</v>
      </c>
      <c r="BO101" s="55">
        <v>4</v>
      </c>
      <c r="DB101" s="65">
        <v>17.41</v>
      </c>
      <c r="DC101" s="65">
        <v>15.03</v>
      </c>
      <c r="DF101" s="65" t="s">
        <v>324</v>
      </c>
      <c r="GN101" s="294">
        <v>1130</v>
      </c>
      <c r="GO101" s="294">
        <v>230</v>
      </c>
      <c r="GP101" s="292" t="s">
        <v>5150</v>
      </c>
      <c r="HS101" s="227"/>
      <c r="HW101" s="227"/>
    </row>
    <row r="102" spans="1:231" x14ac:dyDescent="0.25">
      <c r="A102" s="55">
        <v>101</v>
      </c>
      <c r="B102" s="12" t="s">
        <v>7067</v>
      </c>
      <c r="C102" s="155">
        <v>10</v>
      </c>
      <c r="D102" s="55" t="s">
        <v>3720</v>
      </c>
      <c r="E102" s="228" t="s">
        <v>219</v>
      </c>
      <c r="F102" s="228"/>
      <c r="G102" s="55" t="s">
        <v>220</v>
      </c>
      <c r="H102" s="55">
        <v>2015</v>
      </c>
      <c r="I102" s="55">
        <v>2011</v>
      </c>
      <c r="J102" s="55" t="s">
        <v>221</v>
      </c>
      <c r="K102" s="55" t="s">
        <v>223</v>
      </c>
      <c r="L102" s="55" t="s">
        <v>2737</v>
      </c>
      <c r="M102" s="90">
        <v>43.314</v>
      </c>
      <c r="N102" s="90">
        <v>-89.335999999999999</v>
      </c>
      <c r="O102" s="90">
        <v>326.5</v>
      </c>
      <c r="U102" s="55">
        <v>2</v>
      </c>
      <c r="V102" s="55" t="s">
        <v>1805</v>
      </c>
      <c r="Y102" s="55" t="s">
        <v>1813</v>
      </c>
      <c r="Z102" s="55" t="s">
        <v>1349</v>
      </c>
      <c r="AA102" s="90" t="s">
        <v>1677</v>
      </c>
      <c r="AH102" s="55" t="s">
        <v>6378</v>
      </c>
      <c r="AI102" s="168">
        <v>7.3</v>
      </c>
      <c r="AJ102" s="90">
        <v>4</v>
      </c>
      <c r="AM102" s="55" t="s">
        <v>1280</v>
      </c>
      <c r="AN102" s="185" t="s">
        <v>228</v>
      </c>
      <c r="AO102" s="185" t="s">
        <v>5150</v>
      </c>
      <c r="AQ102" s="55" t="s">
        <v>1545</v>
      </c>
      <c r="AR102" s="55" t="s">
        <v>227</v>
      </c>
      <c r="AS102" s="55" t="s">
        <v>227</v>
      </c>
      <c r="AU102" s="181" t="s">
        <v>7494</v>
      </c>
      <c r="AV102" s="185" t="s">
        <v>176</v>
      </c>
      <c r="AX102" s="185" t="s">
        <v>176</v>
      </c>
      <c r="AZ102" s="55" t="s">
        <v>229</v>
      </c>
      <c r="BA102" s="55" t="s">
        <v>229</v>
      </c>
      <c r="BB102" s="55" t="s">
        <v>2081</v>
      </c>
      <c r="BC102" s="55" t="s">
        <v>2081</v>
      </c>
      <c r="BD102" s="55" t="s">
        <v>176</v>
      </c>
      <c r="BK102" s="55" t="s">
        <v>5976</v>
      </c>
      <c r="BM102" s="192" t="s">
        <v>119</v>
      </c>
      <c r="BN102" s="55">
        <v>4</v>
      </c>
      <c r="BO102" s="55">
        <v>4</v>
      </c>
      <c r="DB102" s="65">
        <v>27.1</v>
      </c>
      <c r="DC102" s="65">
        <v>18.3</v>
      </c>
      <c r="DF102" s="65" t="s">
        <v>324</v>
      </c>
      <c r="GN102" s="294">
        <v>610</v>
      </c>
      <c r="GO102" s="294">
        <v>60</v>
      </c>
      <c r="GP102" s="292" t="s">
        <v>5150</v>
      </c>
      <c r="HS102" s="227"/>
      <c r="HW102" s="227"/>
    </row>
    <row r="103" spans="1:231" x14ac:dyDescent="0.25">
      <c r="A103" s="55">
        <v>102</v>
      </c>
      <c r="B103" s="12" t="s">
        <v>7067</v>
      </c>
      <c r="C103" s="155">
        <v>10</v>
      </c>
      <c r="D103" s="55" t="s">
        <v>3720</v>
      </c>
      <c r="E103" s="228" t="s">
        <v>219</v>
      </c>
      <c r="F103" s="228"/>
      <c r="G103" s="55" t="s">
        <v>220</v>
      </c>
      <c r="H103" s="55">
        <v>2015</v>
      </c>
      <c r="I103" s="55">
        <v>2010</v>
      </c>
      <c r="J103" s="55" t="s">
        <v>221</v>
      </c>
      <c r="K103" s="55" t="s">
        <v>222</v>
      </c>
      <c r="L103" s="55" t="s">
        <v>2737</v>
      </c>
      <c r="M103" s="90">
        <v>43.064999999999998</v>
      </c>
      <c r="N103" s="90">
        <v>-89.534999999999997</v>
      </c>
      <c r="O103" s="90">
        <v>331.7</v>
      </c>
      <c r="U103" s="55">
        <v>1</v>
      </c>
      <c r="V103" s="55" t="s">
        <v>1805</v>
      </c>
      <c r="Y103" s="55" t="s">
        <v>1811</v>
      </c>
      <c r="Z103" s="55" t="s">
        <v>1349</v>
      </c>
      <c r="AA103" s="90" t="s">
        <v>1677</v>
      </c>
      <c r="AH103" s="55" t="s">
        <v>6378</v>
      </c>
      <c r="AI103" s="168">
        <v>7.1</v>
      </c>
      <c r="AJ103" s="90">
        <v>2.9</v>
      </c>
      <c r="AM103" s="55" t="s">
        <v>1280</v>
      </c>
      <c r="AN103" s="185" t="s">
        <v>1486</v>
      </c>
      <c r="AO103" s="185" t="s">
        <v>5150</v>
      </c>
      <c r="AQ103" s="55" t="s">
        <v>1545</v>
      </c>
      <c r="AR103" s="55" t="s">
        <v>227</v>
      </c>
      <c r="AS103" s="55" t="s">
        <v>227</v>
      </c>
      <c r="AU103" s="181" t="s">
        <v>7494</v>
      </c>
      <c r="AV103" s="185" t="s">
        <v>176</v>
      </c>
      <c r="AX103" s="185" t="s">
        <v>176</v>
      </c>
      <c r="AZ103" s="55" t="s">
        <v>229</v>
      </c>
      <c r="BA103" s="55" t="s">
        <v>229</v>
      </c>
      <c r="BB103" s="55" t="s">
        <v>2081</v>
      </c>
      <c r="BC103" s="55" t="s">
        <v>2081</v>
      </c>
      <c r="BD103" s="55" t="s">
        <v>176</v>
      </c>
      <c r="BK103" s="55" t="s">
        <v>5976</v>
      </c>
      <c r="BM103" s="192" t="s">
        <v>119</v>
      </c>
      <c r="BN103" s="55">
        <v>4</v>
      </c>
      <c r="BO103" s="55">
        <v>4</v>
      </c>
      <c r="CB103" s="66">
        <f>(40+24.2)/2*1000</f>
        <v>32100</v>
      </c>
      <c r="CC103" s="66">
        <f>(42.1+29.8)/2*1000</f>
        <v>35950</v>
      </c>
      <c r="CG103" s="65" t="s">
        <v>233</v>
      </c>
      <c r="DB103" s="65">
        <v>11.22</v>
      </c>
      <c r="DC103" s="65">
        <v>9.34</v>
      </c>
      <c r="DF103" s="65" t="s">
        <v>324</v>
      </c>
      <c r="GN103" s="294">
        <v>2320</v>
      </c>
      <c r="GO103" s="294">
        <v>2040</v>
      </c>
      <c r="GP103" s="292" t="s">
        <v>5150</v>
      </c>
      <c r="HS103" s="227"/>
      <c r="HW103" s="227"/>
    </row>
    <row r="104" spans="1:231" x14ac:dyDescent="0.25">
      <c r="A104" s="55">
        <v>103</v>
      </c>
      <c r="B104" s="12" t="s">
        <v>7067</v>
      </c>
      <c r="C104" s="155">
        <v>10</v>
      </c>
      <c r="D104" s="55" t="s">
        <v>3720</v>
      </c>
      <c r="E104" s="228" t="s">
        <v>219</v>
      </c>
      <c r="F104" s="228"/>
      <c r="G104" s="55" t="s">
        <v>220</v>
      </c>
      <c r="H104" s="55">
        <v>2015</v>
      </c>
      <c r="I104" s="55">
        <v>2011</v>
      </c>
      <c r="J104" s="55" t="s">
        <v>221</v>
      </c>
      <c r="K104" s="55" t="s">
        <v>222</v>
      </c>
      <c r="L104" s="55" t="s">
        <v>2737</v>
      </c>
      <c r="M104" s="90">
        <v>43.064999999999998</v>
      </c>
      <c r="N104" s="90">
        <v>-89.534999999999997</v>
      </c>
      <c r="O104" s="90">
        <v>331.7</v>
      </c>
      <c r="U104" s="55">
        <v>2</v>
      </c>
      <c r="V104" s="55" t="s">
        <v>1805</v>
      </c>
      <c r="Y104" s="55" t="s">
        <v>1812</v>
      </c>
      <c r="Z104" s="55" t="s">
        <v>1349</v>
      </c>
      <c r="AA104" s="90" t="s">
        <v>1677</v>
      </c>
      <c r="AH104" s="55" t="s">
        <v>6378</v>
      </c>
      <c r="AI104" s="168">
        <v>7.1</v>
      </c>
      <c r="AJ104" s="90">
        <v>2.9</v>
      </c>
      <c r="AM104" s="55" t="s">
        <v>1280</v>
      </c>
      <c r="AN104" s="185" t="s">
        <v>1486</v>
      </c>
      <c r="AO104" s="185" t="s">
        <v>5150</v>
      </c>
      <c r="AQ104" s="55" t="s">
        <v>1545</v>
      </c>
      <c r="AR104" s="55" t="s">
        <v>227</v>
      </c>
      <c r="AS104" s="55" t="s">
        <v>227</v>
      </c>
      <c r="AU104" s="181" t="s">
        <v>7494</v>
      </c>
      <c r="AV104" s="185" t="s">
        <v>176</v>
      </c>
      <c r="AX104" s="185" t="s">
        <v>176</v>
      </c>
      <c r="AZ104" s="55" t="s">
        <v>229</v>
      </c>
      <c r="BA104" s="55" t="s">
        <v>229</v>
      </c>
      <c r="BB104" s="55" t="s">
        <v>2081</v>
      </c>
      <c r="BC104" s="55" t="s">
        <v>2081</v>
      </c>
      <c r="BD104" s="55" t="s">
        <v>176</v>
      </c>
      <c r="BK104" s="55" t="s">
        <v>5976</v>
      </c>
      <c r="BM104" s="192" t="s">
        <v>119</v>
      </c>
      <c r="BN104" s="55">
        <v>4</v>
      </c>
      <c r="BO104" s="55">
        <v>4</v>
      </c>
      <c r="DB104" s="65">
        <v>17.41</v>
      </c>
      <c r="DC104" s="65">
        <v>15.54</v>
      </c>
      <c r="DF104" s="65" t="s">
        <v>324</v>
      </c>
      <c r="GN104" s="294">
        <v>1130</v>
      </c>
      <c r="GO104" s="294">
        <v>270</v>
      </c>
      <c r="GP104" s="292" t="s">
        <v>5150</v>
      </c>
      <c r="HS104" s="227"/>
      <c r="HW104" s="227"/>
    </row>
    <row r="105" spans="1:231" x14ac:dyDescent="0.25">
      <c r="A105" s="55">
        <v>104</v>
      </c>
      <c r="B105" s="12" t="s">
        <v>7067</v>
      </c>
      <c r="C105" s="155">
        <v>10</v>
      </c>
      <c r="D105" s="55" t="s">
        <v>3720</v>
      </c>
      <c r="E105" s="228" t="s">
        <v>219</v>
      </c>
      <c r="F105" s="228"/>
      <c r="G105" s="55" t="s">
        <v>220</v>
      </c>
      <c r="H105" s="55">
        <v>2015</v>
      </c>
      <c r="I105" s="55">
        <v>2011</v>
      </c>
      <c r="J105" s="55" t="s">
        <v>221</v>
      </c>
      <c r="K105" s="55" t="s">
        <v>223</v>
      </c>
      <c r="L105" s="55" t="s">
        <v>2737</v>
      </c>
      <c r="M105" s="90">
        <v>43.314</v>
      </c>
      <c r="N105" s="90">
        <v>-89.335999999999999</v>
      </c>
      <c r="O105" s="90">
        <v>326.5</v>
      </c>
      <c r="U105" s="55">
        <v>2</v>
      </c>
      <c r="V105" s="55" t="s">
        <v>1805</v>
      </c>
      <c r="Y105" s="55" t="s">
        <v>1813</v>
      </c>
      <c r="Z105" s="55" t="s">
        <v>1349</v>
      </c>
      <c r="AA105" s="90" t="s">
        <v>1677</v>
      </c>
      <c r="AH105" s="55" t="s">
        <v>6378</v>
      </c>
      <c r="AI105" s="168">
        <v>7.3</v>
      </c>
      <c r="AJ105" s="90">
        <v>4</v>
      </c>
      <c r="AM105" s="55" t="s">
        <v>1280</v>
      </c>
      <c r="AN105" s="185" t="s">
        <v>1486</v>
      </c>
      <c r="AO105" s="185" t="s">
        <v>5150</v>
      </c>
      <c r="AQ105" s="55" t="s">
        <v>1545</v>
      </c>
      <c r="AR105" s="55" t="s">
        <v>227</v>
      </c>
      <c r="AS105" s="55" t="s">
        <v>227</v>
      </c>
      <c r="AU105" s="181" t="s">
        <v>7494</v>
      </c>
      <c r="AV105" s="185" t="s">
        <v>176</v>
      </c>
      <c r="AX105" s="185" t="s">
        <v>176</v>
      </c>
      <c r="AZ105" s="55" t="s">
        <v>229</v>
      </c>
      <c r="BA105" s="55" t="s">
        <v>229</v>
      </c>
      <c r="BB105" s="55" t="s">
        <v>2081</v>
      </c>
      <c r="BC105" s="55" t="s">
        <v>2081</v>
      </c>
      <c r="BD105" s="55" t="s">
        <v>176</v>
      </c>
      <c r="BK105" s="55" t="s">
        <v>5976</v>
      </c>
      <c r="BM105" s="192" t="s">
        <v>119</v>
      </c>
      <c r="BN105" s="55">
        <v>4</v>
      </c>
      <c r="BO105" s="55">
        <v>4</v>
      </c>
      <c r="DB105" s="65">
        <v>27.1</v>
      </c>
      <c r="DC105" s="65">
        <v>19.45</v>
      </c>
      <c r="DF105" s="65" t="s">
        <v>324</v>
      </c>
      <c r="GN105" s="294">
        <v>610</v>
      </c>
      <c r="GO105" s="294">
        <v>330</v>
      </c>
      <c r="GP105" s="292" t="s">
        <v>5150</v>
      </c>
      <c r="HS105" s="227"/>
      <c r="HW105" s="227"/>
    </row>
    <row r="106" spans="1:231" x14ac:dyDescent="0.25">
      <c r="A106" s="55">
        <v>105</v>
      </c>
      <c r="B106" s="12" t="s">
        <v>7067</v>
      </c>
      <c r="C106" s="155">
        <v>10</v>
      </c>
      <c r="D106" s="55" t="s">
        <v>3721</v>
      </c>
      <c r="E106" s="228" t="s">
        <v>219</v>
      </c>
      <c r="F106" s="228"/>
      <c r="G106" s="55" t="s">
        <v>220</v>
      </c>
      <c r="H106" s="55">
        <v>2015</v>
      </c>
      <c r="I106" s="55">
        <v>2010</v>
      </c>
      <c r="J106" s="55" t="s">
        <v>221</v>
      </c>
      <c r="K106" s="55" t="s">
        <v>222</v>
      </c>
      <c r="L106" s="55" t="s">
        <v>2737</v>
      </c>
      <c r="M106" s="90">
        <v>43.064999999999998</v>
      </c>
      <c r="N106" s="90">
        <v>-89.534999999999997</v>
      </c>
      <c r="O106" s="90">
        <v>331.7</v>
      </c>
      <c r="U106" s="55">
        <v>1</v>
      </c>
      <c r="V106" s="55" t="s">
        <v>1805</v>
      </c>
      <c r="Y106" s="55" t="s">
        <v>1811</v>
      </c>
      <c r="Z106" s="55" t="s">
        <v>1349</v>
      </c>
      <c r="AA106" s="90" t="s">
        <v>1677</v>
      </c>
      <c r="AH106" s="55" t="s">
        <v>6378</v>
      </c>
      <c r="AI106" s="168">
        <v>7.1</v>
      </c>
      <c r="AJ106" s="90">
        <v>2.9</v>
      </c>
      <c r="AM106" s="55" t="s">
        <v>1280</v>
      </c>
      <c r="AN106" s="185" t="s">
        <v>228</v>
      </c>
      <c r="AO106" s="185" t="s">
        <v>5150</v>
      </c>
      <c r="AQ106" s="55" t="s">
        <v>1545</v>
      </c>
      <c r="AR106" s="55" t="s">
        <v>227</v>
      </c>
      <c r="AS106" s="55" t="s">
        <v>227</v>
      </c>
      <c r="AU106" s="181" t="s">
        <v>7494</v>
      </c>
      <c r="AV106" s="185" t="s">
        <v>176</v>
      </c>
      <c r="AX106" s="185" t="s">
        <v>176</v>
      </c>
      <c r="AZ106" s="55" t="s">
        <v>229</v>
      </c>
      <c r="BA106" s="55" t="s">
        <v>216</v>
      </c>
      <c r="BB106" s="55" t="s">
        <v>2081</v>
      </c>
      <c r="BC106" s="55" t="s">
        <v>2082</v>
      </c>
      <c r="BD106" s="55" t="s">
        <v>479</v>
      </c>
      <c r="BK106" s="55" t="s">
        <v>6269</v>
      </c>
      <c r="BM106" s="192" t="s">
        <v>119</v>
      </c>
      <c r="BN106" s="55">
        <v>4</v>
      </c>
      <c r="BO106" s="55">
        <v>4</v>
      </c>
      <c r="CB106" s="66">
        <f>(40+24.2)/2*1000</f>
        <v>32100</v>
      </c>
      <c r="CC106" s="66">
        <f>(6.5+0.7+7.8+0)/4*1000</f>
        <v>3750</v>
      </c>
      <c r="CG106" s="65" t="s">
        <v>233</v>
      </c>
      <c r="DB106" s="65">
        <v>11.22</v>
      </c>
      <c r="DC106" s="65">
        <v>4.84</v>
      </c>
      <c r="DF106" s="65" t="s">
        <v>324</v>
      </c>
      <c r="GP106" s="292" t="s">
        <v>7494</v>
      </c>
      <c r="HS106" s="227"/>
      <c r="HW106" s="227"/>
    </row>
    <row r="107" spans="1:231" x14ac:dyDescent="0.25">
      <c r="A107" s="55">
        <v>106</v>
      </c>
      <c r="B107" s="12" t="s">
        <v>7067</v>
      </c>
      <c r="C107" s="155">
        <v>10</v>
      </c>
      <c r="D107" s="55" t="s">
        <v>3721</v>
      </c>
      <c r="E107" s="228" t="s">
        <v>219</v>
      </c>
      <c r="F107" s="228"/>
      <c r="G107" s="55" t="s">
        <v>220</v>
      </c>
      <c r="H107" s="55">
        <v>2015</v>
      </c>
      <c r="I107" s="55">
        <v>2011</v>
      </c>
      <c r="J107" s="55" t="s">
        <v>221</v>
      </c>
      <c r="K107" s="55" t="s">
        <v>222</v>
      </c>
      <c r="L107" s="55" t="s">
        <v>2737</v>
      </c>
      <c r="M107" s="90">
        <v>43.064999999999998</v>
      </c>
      <c r="N107" s="90">
        <v>-89.534999999999997</v>
      </c>
      <c r="O107" s="90">
        <v>331.7</v>
      </c>
      <c r="U107" s="55">
        <v>2</v>
      </c>
      <c r="V107" s="55" t="s">
        <v>1805</v>
      </c>
      <c r="Y107" s="55" t="s">
        <v>1812</v>
      </c>
      <c r="Z107" s="55" t="s">
        <v>1349</v>
      </c>
      <c r="AA107" s="90" t="s">
        <v>1677</v>
      </c>
      <c r="AH107" s="55" t="s">
        <v>6378</v>
      </c>
      <c r="AI107" s="168">
        <v>7.1</v>
      </c>
      <c r="AJ107" s="90">
        <v>2.9</v>
      </c>
      <c r="AM107" s="55" t="s">
        <v>1280</v>
      </c>
      <c r="AN107" s="185" t="s">
        <v>228</v>
      </c>
      <c r="AO107" s="185" t="s">
        <v>5150</v>
      </c>
      <c r="AQ107" s="55" t="s">
        <v>1545</v>
      </c>
      <c r="AR107" s="55" t="s">
        <v>227</v>
      </c>
      <c r="AS107" s="55" t="s">
        <v>227</v>
      </c>
      <c r="AU107" s="181" t="s">
        <v>7494</v>
      </c>
      <c r="AV107" s="185" t="s">
        <v>176</v>
      </c>
      <c r="AX107" s="185" t="s">
        <v>176</v>
      </c>
      <c r="AZ107" s="55" t="s">
        <v>229</v>
      </c>
      <c r="BA107" s="55" t="s">
        <v>216</v>
      </c>
      <c r="BB107" s="55" t="s">
        <v>2081</v>
      </c>
      <c r="BC107" s="55" t="s">
        <v>2082</v>
      </c>
      <c r="BD107" s="55" t="s">
        <v>479</v>
      </c>
      <c r="BK107" s="55" t="s">
        <v>6269</v>
      </c>
      <c r="BM107" s="192" t="s">
        <v>119</v>
      </c>
      <c r="BN107" s="55">
        <v>4</v>
      </c>
      <c r="BO107" s="55">
        <v>4</v>
      </c>
      <c r="DB107" s="65">
        <v>17.41</v>
      </c>
      <c r="DC107" s="65">
        <v>11.04</v>
      </c>
      <c r="DF107" s="65" t="s">
        <v>324</v>
      </c>
      <c r="GP107" s="292" t="s">
        <v>7494</v>
      </c>
      <c r="HS107" s="227"/>
      <c r="HW107" s="227"/>
    </row>
    <row r="108" spans="1:231" x14ac:dyDescent="0.25">
      <c r="A108" s="55">
        <v>107</v>
      </c>
      <c r="B108" s="12" t="s">
        <v>7067</v>
      </c>
      <c r="C108" s="155">
        <v>10</v>
      </c>
      <c r="D108" s="55" t="s">
        <v>3721</v>
      </c>
      <c r="E108" s="228" t="s">
        <v>219</v>
      </c>
      <c r="F108" s="228"/>
      <c r="G108" s="55" t="s">
        <v>220</v>
      </c>
      <c r="H108" s="55">
        <v>2015</v>
      </c>
      <c r="I108" s="55">
        <v>2011</v>
      </c>
      <c r="J108" s="55" t="s">
        <v>221</v>
      </c>
      <c r="K108" s="55" t="s">
        <v>223</v>
      </c>
      <c r="L108" s="55" t="s">
        <v>2737</v>
      </c>
      <c r="M108" s="90">
        <v>43.314</v>
      </c>
      <c r="N108" s="90">
        <v>-89.335999999999999</v>
      </c>
      <c r="O108" s="90">
        <v>326.5</v>
      </c>
      <c r="U108" s="55">
        <v>2</v>
      </c>
      <c r="V108" s="55" t="s">
        <v>1805</v>
      </c>
      <c r="Y108" s="55" t="s">
        <v>1813</v>
      </c>
      <c r="Z108" s="55" t="s">
        <v>1349</v>
      </c>
      <c r="AA108" s="90" t="s">
        <v>1677</v>
      </c>
      <c r="AH108" s="55" t="s">
        <v>6378</v>
      </c>
      <c r="AI108" s="168">
        <v>7.3</v>
      </c>
      <c r="AJ108" s="90">
        <v>4</v>
      </c>
      <c r="AM108" s="55" t="s">
        <v>1280</v>
      </c>
      <c r="AN108" s="185" t="s">
        <v>228</v>
      </c>
      <c r="AO108" s="185" t="s">
        <v>5150</v>
      </c>
      <c r="AQ108" s="55" t="s">
        <v>1545</v>
      </c>
      <c r="AR108" s="55" t="s">
        <v>227</v>
      </c>
      <c r="AS108" s="55" t="s">
        <v>227</v>
      </c>
      <c r="AU108" s="181" t="s">
        <v>7494</v>
      </c>
      <c r="AV108" s="185" t="s">
        <v>176</v>
      </c>
      <c r="AX108" s="185" t="s">
        <v>176</v>
      </c>
      <c r="AZ108" s="55" t="s">
        <v>229</v>
      </c>
      <c r="BA108" s="55" t="s">
        <v>216</v>
      </c>
      <c r="BB108" s="55" t="s">
        <v>2081</v>
      </c>
      <c r="BC108" s="55" t="s">
        <v>2082</v>
      </c>
      <c r="BD108" s="55" t="s">
        <v>479</v>
      </c>
      <c r="BK108" s="55" t="s">
        <v>6269</v>
      </c>
      <c r="BM108" s="192" t="s">
        <v>119</v>
      </c>
      <c r="BN108" s="55">
        <v>4</v>
      </c>
      <c r="BO108" s="55">
        <v>4</v>
      </c>
      <c r="DB108" s="65">
        <v>27.1</v>
      </c>
      <c r="DC108" s="65">
        <v>13.22</v>
      </c>
      <c r="DF108" s="65" t="s">
        <v>324</v>
      </c>
      <c r="GP108" s="292" t="s">
        <v>7494</v>
      </c>
      <c r="HS108" s="227"/>
      <c r="HW108" s="227"/>
    </row>
    <row r="109" spans="1:231" x14ac:dyDescent="0.25">
      <c r="A109" s="55">
        <v>108</v>
      </c>
      <c r="B109" s="12" t="s">
        <v>7067</v>
      </c>
      <c r="C109" s="155">
        <v>10</v>
      </c>
      <c r="D109" s="55" t="s">
        <v>3721</v>
      </c>
      <c r="E109" s="228" t="s">
        <v>219</v>
      </c>
      <c r="F109" s="228"/>
      <c r="G109" s="55" t="s">
        <v>220</v>
      </c>
      <c r="H109" s="55">
        <v>2015</v>
      </c>
      <c r="I109" s="55">
        <v>2010</v>
      </c>
      <c r="J109" s="55" t="s">
        <v>221</v>
      </c>
      <c r="K109" s="55" t="s">
        <v>222</v>
      </c>
      <c r="L109" s="55" t="s">
        <v>2737</v>
      </c>
      <c r="M109" s="90">
        <v>43.064999999999998</v>
      </c>
      <c r="N109" s="90">
        <v>-89.534999999999997</v>
      </c>
      <c r="O109" s="90">
        <v>331.7</v>
      </c>
      <c r="U109" s="55">
        <v>1</v>
      </c>
      <c r="V109" s="55" t="s">
        <v>1805</v>
      </c>
      <c r="Y109" s="55" t="s">
        <v>1811</v>
      </c>
      <c r="Z109" s="55" t="s">
        <v>1349</v>
      </c>
      <c r="AA109" s="90" t="s">
        <v>1677</v>
      </c>
      <c r="AH109" s="55" t="s">
        <v>6378</v>
      </c>
      <c r="AI109" s="168">
        <v>7.1</v>
      </c>
      <c r="AJ109" s="90">
        <v>2.9</v>
      </c>
      <c r="AM109" s="55" t="s">
        <v>1280</v>
      </c>
      <c r="AN109" s="185" t="s">
        <v>1486</v>
      </c>
      <c r="AO109" s="185" t="s">
        <v>5150</v>
      </c>
      <c r="AQ109" s="55" t="s">
        <v>1545</v>
      </c>
      <c r="AR109" s="55" t="s">
        <v>227</v>
      </c>
      <c r="AS109" s="55" t="s">
        <v>227</v>
      </c>
      <c r="AU109" s="181" t="s">
        <v>7494</v>
      </c>
      <c r="AV109" s="185" t="s">
        <v>176</v>
      </c>
      <c r="AX109" s="185" t="s">
        <v>176</v>
      </c>
      <c r="AZ109" s="55" t="s">
        <v>229</v>
      </c>
      <c r="BA109" s="55" t="s">
        <v>216</v>
      </c>
      <c r="BB109" s="55" t="s">
        <v>2081</v>
      </c>
      <c r="BC109" s="55" t="s">
        <v>2082</v>
      </c>
      <c r="BD109" s="55" t="s">
        <v>479</v>
      </c>
      <c r="BK109" s="55" t="s">
        <v>6269</v>
      </c>
      <c r="BM109" s="192" t="s">
        <v>119</v>
      </c>
      <c r="BN109" s="55">
        <v>4</v>
      </c>
      <c r="BO109" s="55">
        <v>4</v>
      </c>
      <c r="CB109" s="66">
        <f>(40+24.2)/2*1000</f>
        <v>32100</v>
      </c>
      <c r="CC109" s="66">
        <f>(2.1+0+13.4+8.1)/4*1000</f>
        <v>5900</v>
      </c>
      <c r="CG109" s="65" t="s">
        <v>233</v>
      </c>
      <c r="DB109" s="65">
        <v>11.22</v>
      </c>
      <c r="DC109" s="65">
        <v>5.04</v>
      </c>
      <c r="DF109" s="65" t="s">
        <v>324</v>
      </c>
      <c r="GP109" s="292" t="s">
        <v>7494</v>
      </c>
      <c r="HS109" s="227"/>
      <c r="HW109" s="227"/>
    </row>
    <row r="110" spans="1:231" x14ac:dyDescent="0.25">
      <c r="A110" s="55">
        <v>109</v>
      </c>
      <c r="B110" s="12" t="s">
        <v>7067</v>
      </c>
      <c r="C110" s="155">
        <v>10</v>
      </c>
      <c r="D110" s="55" t="s">
        <v>3721</v>
      </c>
      <c r="E110" s="228" t="s">
        <v>219</v>
      </c>
      <c r="F110" s="228"/>
      <c r="G110" s="55" t="s">
        <v>220</v>
      </c>
      <c r="H110" s="55">
        <v>2015</v>
      </c>
      <c r="I110" s="55">
        <v>2011</v>
      </c>
      <c r="J110" s="55" t="s">
        <v>221</v>
      </c>
      <c r="K110" s="55" t="s">
        <v>222</v>
      </c>
      <c r="L110" s="55" t="s">
        <v>2737</v>
      </c>
      <c r="M110" s="90">
        <v>43.064999999999998</v>
      </c>
      <c r="N110" s="90">
        <v>-89.534999999999997</v>
      </c>
      <c r="O110" s="90">
        <v>331.7</v>
      </c>
      <c r="U110" s="55">
        <v>2</v>
      </c>
      <c r="V110" s="55" t="s">
        <v>1805</v>
      </c>
      <c r="Y110" s="55" t="s">
        <v>1812</v>
      </c>
      <c r="Z110" s="55" t="s">
        <v>1349</v>
      </c>
      <c r="AA110" s="90" t="s">
        <v>1677</v>
      </c>
      <c r="AH110" s="55" t="s">
        <v>6378</v>
      </c>
      <c r="AI110" s="168">
        <v>7.1</v>
      </c>
      <c r="AJ110" s="90">
        <v>2.9</v>
      </c>
      <c r="AM110" s="55" t="s">
        <v>1280</v>
      </c>
      <c r="AN110" s="185" t="s">
        <v>1486</v>
      </c>
      <c r="AO110" s="185" t="s">
        <v>5150</v>
      </c>
      <c r="AQ110" s="55" t="s">
        <v>1545</v>
      </c>
      <c r="AR110" s="55" t="s">
        <v>227</v>
      </c>
      <c r="AS110" s="55" t="s">
        <v>227</v>
      </c>
      <c r="AU110" s="181" t="s">
        <v>7494</v>
      </c>
      <c r="AV110" s="185" t="s">
        <v>176</v>
      </c>
      <c r="AX110" s="185" t="s">
        <v>176</v>
      </c>
      <c r="AZ110" s="55" t="s">
        <v>229</v>
      </c>
      <c r="BA110" s="55" t="s">
        <v>216</v>
      </c>
      <c r="BB110" s="55" t="s">
        <v>2081</v>
      </c>
      <c r="BC110" s="55" t="s">
        <v>2082</v>
      </c>
      <c r="BD110" s="55" t="s">
        <v>479</v>
      </c>
      <c r="BK110" s="55" t="s">
        <v>6269</v>
      </c>
      <c r="BM110" s="192" t="s">
        <v>119</v>
      </c>
      <c r="BN110" s="55">
        <v>4</v>
      </c>
      <c r="BO110" s="55">
        <v>4</v>
      </c>
      <c r="DB110" s="65">
        <v>17.41</v>
      </c>
      <c r="DC110" s="65">
        <v>11.24</v>
      </c>
      <c r="DF110" s="65" t="s">
        <v>324</v>
      </c>
      <c r="GP110" s="292" t="s">
        <v>7494</v>
      </c>
      <c r="HS110" s="227"/>
      <c r="HW110" s="227"/>
    </row>
    <row r="111" spans="1:231" x14ac:dyDescent="0.25">
      <c r="A111" s="55">
        <v>110</v>
      </c>
      <c r="B111" s="12" t="s">
        <v>7067</v>
      </c>
      <c r="C111" s="155">
        <v>10</v>
      </c>
      <c r="D111" s="55" t="s">
        <v>3721</v>
      </c>
      <c r="E111" s="228" t="s">
        <v>219</v>
      </c>
      <c r="F111" s="228"/>
      <c r="G111" s="55" t="s">
        <v>220</v>
      </c>
      <c r="H111" s="55">
        <v>2015</v>
      </c>
      <c r="I111" s="55">
        <v>2011</v>
      </c>
      <c r="J111" s="55" t="s">
        <v>221</v>
      </c>
      <c r="K111" s="55" t="s">
        <v>223</v>
      </c>
      <c r="L111" s="55" t="s">
        <v>2737</v>
      </c>
      <c r="M111" s="90">
        <v>43.314</v>
      </c>
      <c r="N111" s="90">
        <v>-89.335999999999999</v>
      </c>
      <c r="O111" s="90">
        <v>326.5</v>
      </c>
      <c r="U111" s="55">
        <v>2</v>
      </c>
      <c r="V111" s="55" t="s">
        <v>1805</v>
      </c>
      <c r="Y111" s="55" t="s">
        <v>1813</v>
      </c>
      <c r="Z111" s="55" t="s">
        <v>1349</v>
      </c>
      <c r="AA111" s="90" t="s">
        <v>1677</v>
      </c>
      <c r="AH111" s="55" t="s">
        <v>6378</v>
      </c>
      <c r="AI111" s="168">
        <v>7.3</v>
      </c>
      <c r="AJ111" s="90">
        <v>4</v>
      </c>
      <c r="AM111" s="55" t="s">
        <v>1280</v>
      </c>
      <c r="AN111" s="185" t="s">
        <v>1486</v>
      </c>
      <c r="AO111" s="185" t="s">
        <v>5150</v>
      </c>
      <c r="AQ111" s="55" t="s">
        <v>1545</v>
      </c>
      <c r="AR111" s="55" t="s">
        <v>227</v>
      </c>
      <c r="AS111" s="55" t="s">
        <v>227</v>
      </c>
      <c r="AU111" s="181" t="s">
        <v>7494</v>
      </c>
      <c r="AV111" s="185" t="s">
        <v>176</v>
      </c>
      <c r="AX111" s="185" t="s">
        <v>176</v>
      </c>
      <c r="AZ111" s="55" t="s">
        <v>229</v>
      </c>
      <c r="BA111" s="55" t="s">
        <v>216</v>
      </c>
      <c r="BB111" s="55" t="s">
        <v>2081</v>
      </c>
      <c r="BC111" s="55" t="s">
        <v>2082</v>
      </c>
      <c r="BD111" s="55" t="s">
        <v>479</v>
      </c>
      <c r="BK111" s="55" t="s">
        <v>6269</v>
      </c>
      <c r="BM111" s="192" t="s">
        <v>119</v>
      </c>
      <c r="BN111" s="55">
        <v>4</v>
      </c>
      <c r="BO111" s="55">
        <v>4</v>
      </c>
      <c r="DB111" s="65">
        <v>27.1</v>
      </c>
      <c r="DC111" s="65">
        <v>11.8</v>
      </c>
      <c r="DF111" s="65" t="s">
        <v>324</v>
      </c>
      <c r="GP111" s="292" t="s">
        <v>7494</v>
      </c>
      <c r="HS111" s="227"/>
      <c r="HW111" s="227"/>
    </row>
    <row r="112" spans="1:231" x14ac:dyDescent="0.25">
      <c r="A112" s="55">
        <v>111</v>
      </c>
      <c r="B112" s="12" t="s">
        <v>7067</v>
      </c>
      <c r="C112" s="155">
        <v>11</v>
      </c>
      <c r="D112" s="55" t="s">
        <v>3722</v>
      </c>
      <c r="E112" s="90" t="s">
        <v>234</v>
      </c>
      <c r="G112" s="55" t="s">
        <v>235</v>
      </c>
      <c r="H112" s="55">
        <v>2010</v>
      </c>
      <c r="I112" s="55">
        <v>2005</v>
      </c>
      <c r="J112" s="55" t="s">
        <v>127</v>
      </c>
      <c r="K112" s="55" t="s">
        <v>237</v>
      </c>
      <c r="L112" s="55" t="s">
        <v>2737</v>
      </c>
      <c r="M112" s="90">
        <v>39.03</v>
      </c>
      <c r="N112" s="90">
        <v>-76.91</v>
      </c>
      <c r="O112" s="90">
        <v>34.6</v>
      </c>
      <c r="U112" s="55">
        <v>1</v>
      </c>
      <c r="V112" s="55" t="s">
        <v>1688</v>
      </c>
      <c r="Y112" s="55" t="s">
        <v>1814</v>
      </c>
      <c r="Z112" s="55" t="s">
        <v>1349</v>
      </c>
      <c r="AA112" s="90" t="s">
        <v>1677</v>
      </c>
      <c r="AE112" s="90">
        <f>(63+83)/2</f>
        <v>73</v>
      </c>
      <c r="AF112" s="90">
        <f>(7+27)/2</f>
        <v>17</v>
      </c>
      <c r="AH112" s="55" t="s">
        <v>238</v>
      </c>
      <c r="AM112" s="55" t="s">
        <v>1281</v>
      </c>
      <c r="AN112" s="185" t="s">
        <v>131</v>
      </c>
      <c r="AO112" s="185" t="s">
        <v>5150</v>
      </c>
      <c r="AQ112" s="55" t="s">
        <v>131</v>
      </c>
      <c r="AR112" s="55" t="s">
        <v>240</v>
      </c>
      <c r="AS112" s="55" t="s">
        <v>227</v>
      </c>
      <c r="AU112" s="181" t="s">
        <v>7494</v>
      </c>
      <c r="AV112" s="185" t="s">
        <v>176</v>
      </c>
      <c r="AX112" s="185" t="s">
        <v>176</v>
      </c>
      <c r="BE112" s="226" t="s">
        <v>239</v>
      </c>
      <c r="BF112" s="55" t="s">
        <v>479</v>
      </c>
      <c r="BG112" s="55" t="s">
        <v>479</v>
      </c>
      <c r="BH112" s="226" t="s">
        <v>239</v>
      </c>
      <c r="BI112" s="55" t="s">
        <v>479</v>
      </c>
      <c r="BJ112" s="55" t="s">
        <v>176</v>
      </c>
      <c r="BK112" s="55" t="s">
        <v>5976</v>
      </c>
      <c r="BM112" s="192" t="s">
        <v>236</v>
      </c>
      <c r="BN112" s="55">
        <v>4</v>
      </c>
      <c r="BO112" s="55">
        <v>4</v>
      </c>
      <c r="BQ112" s="55" t="s">
        <v>141</v>
      </c>
      <c r="CB112" s="66">
        <v>56000</v>
      </c>
      <c r="CC112" s="66">
        <v>59600</v>
      </c>
      <c r="GP112" s="292" t="s">
        <v>7494</v>
      </c>
      <c r="HN112" s="65">
        <f>15.07*22.7273</f>
        <v>342.50041099999999</v>
      </c>
      <c r="HO112" s="65">
        <f>19.33*22.7273</f>
        <v>439.31870899999996</v>
      </c>
      <c r="HR112" s="65" t="s">
        <v>1662</v>
      </c>
    </row>
    <row r="113" spans="1:231" x14ac:dyDescent="0.25">
      <c r="A113" s="55">
        <v>112</v>
      </c>
      <c r="B113" s="12" t="s">
        <v>7067</v>
      </c>
      <c r="C113" s="155">
        <v>11</v>
      </c>
      <c r="D113" s="55" t="s">
        <v>3722</v>
      </c>
      <c r="E113" s="90" t="s">
        <v>234</v>
      </c>
      <c r="G113" s="55" t="s">
        <v>235</v>
      </c>
      <c r="H113" s="55">
        <v>2010</v>
      </c>
      <c r="I113" s="55">
        <v>2005</v>
      </c>
      <c r="J113" s="55" t="s">
        <v>127</v>
      </c>
      <c r="K113" s="55" t="s">
        <v>237</v>
      </c>
      <c r="L113" s="55" t="s">
        <v>2737</v>
      </c>
      <c r="M113" s="90">
        <v>39.03</v>
      </c>
      <c r="N113" s="90">
        <v>-76.91</v>
      </c>
      <c r="O113" s="90">
        <v>34.6</v>
      </c>
      <c r="U113" s="55">
        <v>1</v>
      </c>
      <c r="V113" s="55" t="s">
        <v>1688</v>
      </c>
      <c r="Y113" s="55" t="s">
        <v>1814</v>
      </c>
      <c r="Z113" s="55" t="s">
        <v>1349</v>
      </c>
      <c r="AA113" s="90" t="s">
        <v>1677</v>
      </c>
      <c r="AE113" s="90">
        <f>(63+83)/2</f>
        <v>73</v>
      </c>
      <c r="AF113" s="90">
        <f>(7+27)/2</f>
        <v>17</v>
      </c>
      <c r="AH113" s="55" t="s">
        <v>238</v>
      </c>
      <c r="AM113" s="55" t="s">
        <v>1281</v>
      </c>
      <c r="AN113" s="185" t="s">
        <v>1487</v>
      </c>
      <c r="AO113" s="185" t="s">
        <v>5150</v>
      </c>
      <c r="AQ113" s="55" t="s">
        <v>131</v>
      </c>
      <c r="AR113" s="55" t="s">
        <v>240</v>
      </c>
      <c r="AS113" s="55" t="s">
        <v>227</v>
      </c>
      <c r="AU113" s="181" t="s">
        <v>7494</v>
      </c>
      <c r="AV113" s="185" t="s">
        <v>176</v>
      </c>
      <c r="AX113" s="185" t="s">
        <v>176</v>
      </c>
      <c r="BE113" s="226" t="s">
        <v>239</v>
      </c>
      <c r="BF113" s="55" t="s">
        <v>479</v>
      </c>
      <c r="BG113" s="55" t="s">
        <v>479</v>
      </c>
      <c r="BH113" s="226" t="s">
        <v>239</v>
      </c>
      <c r="BI113" s="55" t="s">
        <v>479</v>
      </c>
      <c r="BJ113" s="55" t="s">
        <v>176</v>
      </c>
      <c r="BK113" s="55" t="s">
        <v>5976</v>
      </c>
      <c r="BM113" s="192" t="s">
        <v>236</v>
      </c>
      <c r="BN113" s="55">
        <v>4</v>
      </c>
      <c r="BO113" s="55">
        <v>4</v>
      </c>
      <c r="BQ113" s="55" t="s">
        <v>141</v>
      </c>
      <c r="CB113" s="66">
        <v>56000</v>
      </c>
      <c r="CC113" s="66">
        <v>55100</v>
      </c>
      <c r="GP113" s="292" t="s">
        <v>7494</v>
      </c>
      <c r="HN113" s="65">
        <f>15.07*22.7273</f>
        <v>342.50041099999999</v>
      </c>
      <c r="HO113" s="65">
        <f>18.39*22.7273</f>
        <v>417.95504699999998</v>
      </c>
      <c r="HR113" s="65" t="s">
        <v>1662</v>
      </c>
    </row>
    <row r="114" spans="1:231" x14ac:dyDescent="0.25">
      <c r="A114" s="55">
        <v>113</v>
      </c>
      <c r="B114" s="12" t="s">
        <v>7067</v>
      </c>
      <c r="C114" s="155">
        <v>11</v>
      </c>
      <c r="D114" s="55" t="s">
        <v>3722</v>
      </c>
      <c r="E114" s="90" t="s">
        <v>234</v>
      </c>
      <c r="G114" s="55" t="s">
        <v>235</v>
      </c>
      <c r="H114" s="55">
        <v>2010</v>
      </c>
      <c r="I114" s="55">
        <v>2005</v>
      </c>
      <c r="J114" s="55" t="s">
        <v>127</v>
      </c>
      <c r="K114" s="55" t="s">
        <v>237</v>
      </c>
      <c r="L114" s="55" t="s">
        <v>2737</v>
      </c>
      <c r="M114" s="90">
        <v>39.03</v>
      </c>
      <c r="N114" s="90">
        <v>-76.91</v>
      </c>
      <c r="O114" s="90">
        <v>34.6</v>
      </c>
      <c r="U114" s="55">
        <v>1</v>
      </c>
      <c r="V114" s="55" t="s">
        <v>1688</v>
      </c>
      <c r="Y114" s="55" t="s">
        <v>1814</v>
      </c>
      <c r="Z114" s="55" t="s">
        <v>1349</v>
      </c>
      <c r="AA114" s="90" t="s">
        <v>1677</v>
      </c>
      <c r="AE114" s="90">
        <f>(63+83)/2</f>
        <v>73</v>
      </c>
      <c r="AF114" s="90">
        <f>(7+27)/2</f>
        <v>17</v>
      </c>
      <c r="AH114" s="55" t="s">
        <v>238</v>
      </c>
      <c r="AM114" s="55" t="s">
        <v>1281</v>
      </c>
      <c r="AN114" s="185" t="s">
        <v>1488</v>
      </c>
      <c r="AO114" s="185" t="s">
        <v>5150</v>
      </c>
      <c r="AQ114" s="55" t="s">
        <v>131</v>
      </c>
      <c r="AR114" s="55" t="s">
        <v>240</v>
      </c>
      <c r="AS114" s="55" t="s">
        <v>227</v>
      </c>
      <c r="AU114" s="181" t="s">
        <v>7494</v>
      </c>
      <c r="AV114" s="185" t="s">
        <v>176</v>
      </c>
      <c r="AX114" s="185" t="s">
        <v>176</v>
      </c>
      <c r="BE114" s="226" t="s">
        <v>239</v>
      </c>
      <c r="BF114" s="55" t="s">
        <v>479</v>
      </c>
      <c r="BG114" s="55" t="s">
        <v>479</v>
      </c>
      <c r="BH114" s="226" t="s">
        <v>239</v>
      </c>
      <c r="BI114" s="55" t="s">
        <v>479</v>
      </c>
      <c r="BJ114" s="55" t="s">
        <v>176</v>
      </c>
      <c r="BK114" s="55" t="s">
        <v>5976</v>
      </c>
      <c r="BM114" s="192" t="s">
        <v>236</v>
      </c>
      <c r="BN114" s="55">
        <v>4</v>
      </c>
      <c r="BO114" s="55">
        <v>4</v>
      </c>
      <c r="BQ114" s="55" t="s">
        <v>141</v>
      </c>
      <c r="CB114" s="66">
        <v>56000</v>
      </c>
      <c r="CC114" s="66">
        <v>57900</v>
      </c>
      <c r="GP114" s="292" t="s">
        <v>7494</v>
      </c>
      <c r="HN114" s="65">
        <f>15.07*22.7273</f>
        <v>342.50041099999999</v>
      </c>
      <c r="HO114" s="65">
        <f>16.72*22.7273</f>
        <v>380.00045599999999</v>
      </c>
      <c r="HR114" s="65" t="s">
        <v>1662</v>
      </c>
    </row>
    <row r="115" spans="1:231" x14ac:dyDescent="0.25">
      <c r="A115" s="55">
        <v>114</v>
      </c>
      <c r="B115" s="12" t="s">
        <v>7067</v>
      </c>
      <c r="C115" s="155">
        <v>11</v>
      </c>
      <c r="D115" s="55" t="s">
        <v>3723</v>
      </c>
      <c r="E115" s="90" t="s">
        <v>234</v>
      </c>
      <c r="G115" s="55" t="s">
        <v>235</v>
      </c>
      <c r="H115" s="55">
        <v>2010</v>
      </c>
      <c r="I115" s="55">
        <v>2005</v>
      </c>
      <c r="J115" s="55" t="s">
        <v>127</v>
      </c>
      <c r="K115" s="55" t="s">
        <v>237</v>
      </c>
      <c r="L115" s="55" t="s">
        <v>2737</v>
      </c>
      <c r="M115" s="90">
        <v>39.03</v>
      </c>
      <c r="N115" s="90">
        <v>-76.91</v>
      </c>
      <c r="O115" s="90">
        <v>34.6</v>
      </c>
      <c r="U115" s="55">
        <v>1</v>
      </c>
      <c r="V115" s="55" t="s">
        <v>1688</v>
      </c>
      <c r="Y115" s="55" t="s">
        <v>1814</v>
      </c>
      <c r="Z115" s="55" t="s">
        <v>1349</v>
      </c>
      <c r="AA115" s="90" t="s">
        <v>1677</v>
      </c>
      <c r="AE115" s="90">
        <f>(63+83)/2</f>
        <v>73</v>
      </c>
      <c r="AF115" s="90">
        <f>(7+27)/2</f>
        <v>17</v>
      </c>
      <c r="AH115" s="55" t="s">
        <v>238</v>
      </c>
      <c r="AM115" s="55" t="s">
        <v>1281</v>
      </c>
      <c r="AN115" s="185" t="s">
        <v>241</v>
      </c>
      <c r="AO115" s="185" t="s">
        <v>5150</v>
      </c>
      <c r="AQ115" s="55" t="s">
        <v>553</v>
      </c>
      <c r="AR115" s="55" t="s">
        <v>240</v>
      </c>
      <c r="AS115" s="55" t="s">
        <v>227</v>
      </c>
      <c r="AU115" s="181" t="s">
        <v>7494</v>
      </c>
      <c r="AV115" s="185" t="s">
        <v>176</v>
      </c>
      <c r="AX115" s="185" t="s">
        <v>176</v>
      </c>
      <c r="BE115" s="226" t="s">
        <v>239</v>
      </c>
      <c r="BF115" s="55" t="s">
        <v>479</v>
      </c>
      <c r="BG115" s="55" t="s">
        <v>479</v>
      </c>
      <c r="BH115" s="226" t="s">
        <v>239</v>
      </c>
      <c r="BI115" s="55" t="s">
        <v>479</v>
      </c>
      <c r="BJ115" s="55" t="s">
        <v>176</v>
      </c>
      <c r="BK115" s="55" t="s">
        <v>5976</v>
      </c>
      <c r="BM115" s="192" t="s">
        <v>236</v>
      </c>
      <c r="BN115" s="55">
        <v>4</v>
      </c>
      <c r="BO115" s="55">
        <v>4</v>
      </c>
      <c r="BQ115" s="55" t="s">
        <v>141</v>
      </c>
      <c r="CB115" s="66">
        <v>56000</v>
      </c>
      <c r="CC115" s="66">
        <v>56000</v>
      </c>
      <c r="GP115" s="292" t="s">
        <v>7494</v>
      </c>
      <c r="HN115" s="65">
        <f>15.07*22.7273</f>
        <v>342.50041099999999</v>
      </c>
      <c r="HO115" s="65">
        <f>20.38*22.7273</f>
        <v>463.18237399999998</v>
      </c>
      <c r="HR115" s="65" t="s">
        <v>1662</v>
      </c>
    </row>
    <row r="116" spans="1:231" x14ac:dyDescent="0.25">
      <c r="A116" s="55">
        <v>115</v>
      </c>
      <c r="B116" s="12" t="s">
        <v>7067</v>
      </c>
      <c r="C116" s="155">
        <v>11</v>
      </c>
      <c r="D116" s="55" t="s">
        <v>3723</v>
      </c>
      <c r="E116" s="90" t="s">
        <v>234</v>
      </c>
      <c r="G116" s="55" t="s">
        <v>235</v>
      </c>
      <c r="H116" s="55">
        <v>2010</v>
      </c>
      <c r="I116" s="55">
        <v>2005</v>
      </c>
      <c r="J116" s="55" t="s">
        <v>127</v>
      </c>
      <c r="K116" s="55" t="s">
        <v>237</v>
      </c>
      <c r="L116" s="55" t="s">
        <v>2737</v>
      </c>
      <c r="M116" s="90">
        <v>39.03</v>
      </c>
      <c r="N116" s="90">
        <v>-76.91</v>
      </c>
      <c r="O116" s="90">
        <v>34.6</v>
      </c>
      <c r="U116" s="55">
        <v>1</v>
      </c>
      <c r="V116" s="55" t="s">
        <v>1688</v>
      </c>
      <c r="Y116" s="55" t="s">
        <v>1814</v>
      </c>
      <c r="Z116" s="55" t="s">
        <v>1349</v>
      </c>
      <c r="AA116" s="90" t="s">
        <v>1677</v>
      </c>
      <c r="AE116" s="90">
        <f>(63+83)/2</f>
        <v>73</v>
      </c>
      <c r="AF116" s="90">
        <f>(7+27)/2</f>
        <v>17</v>
      </c>
      <c r="AH116" s="55" t="s">
        <v>238</v>
      </c>
      <c r="AM116" s="55" t="s">
        <v>1281</v>
      </c>
      <c r="AN116" s="185" t="s">
        <v>1489</v>
      </c>
      <c r="AO116" s="185" t="s">
        <v>5150</v>
      </c>
      <c r="AQ116" s="55" t="s">
        <v>553</v>
      </c>
      <c r="AR116" s="55" t="s">
        <v>240</v>
      </c>
      <c r="AS116" s="55" t="s">
        <v>227</v>
      </c>
      <c r="AU116" s="181" t="s">
        <v>7494</v>
      </c>
      <c r="AV116" s="185" t="s">
        <v>176</v>
      </c>
      <c r="AX116" s="185" t="s">
        <v>176</v>
      </c>
      <c r="BE116" s="226" t="s">
        <v>239</v>
      </c>
      <c r="BF116" s="55" t="s">
        <v>479</v>
      </c>
      <c r="BG116" s="55" t="s">
        <v>479</v>
      </c>
      <c r="BH116" s="226" t="s">
        <v>239</v>
      </c>
      <c r="BI116" s="55" t="s">
        <v>479</v>
      </c>
      <c r="BJ116" s="55" t="s">
        <v>176</v>
      </c>
      <c r="BK116" s="55" t="s">
        <v>5976</v>
      </c>
      <c r="BM116" s="192" t="s">
        <v>236</v>
      </c>
      <c r="BN116" s="55">
        <v>4</v>
      </c>
      <c r="BO116" s="55">
        <v>4</v>
      </c>
      <c r="BQ116" s="55" t="s">
        <v>141</v>
      </c>
      <c r="CB116" s="66">
        <v>56000</v>
      </c>
      <c r="CC116" s="66">
        <v>44400</v>
      </c>
      <c r="GP116" s="292" t="s">
        <v>7494</v>
      </c>
      <c r="HN116" s="65">
        <f>15.07*22.7273</f>
        <v>342.50041099999999</v>
      </c>
      <c r="HO116" s="65">
        <f>19.04*22.7273</f>
        <v>432.72779199999997</v>
      </c>
      <c r="HR116" s="65" t="s">
        <v>1662</v>
      </c>
    </row>
    <row r="117" spans="1:231" x14ac:dyDescent="0.25">
      <c r="A117" s="55">
        <v>116</v>
      </c>
      <c r="B117" s="12" t="s">
        <v>7067</v>
      </c>
      <c r="C117" s="155">
        <v>11</v>
      </c>
      <c r="D117" s="55" t="s">
        <v>3723</v>
      </c>
      <c r="E117" s="90" t="s">
        <v>234</v>
      </c>
      <c r="G117" s="55" t="s">
        <v>235</v>
      </c>
      <c r="H117" s="55">
        <v>2010</v>
      </c>
      <c r="I117" s="55">
        <v>2005</v>
      </c>
      <c r="J117" s="55" t="s">
        <v>127</v>
      </c>
      <c r="K117" s="55" t="s">
        <v>237</v>
      </c>
      <c r="L117" s="55" t="s">
        <v>2737</v>
      </c>
      <c r="M117" s="90">
        <v>39.03</v>
      </c>
      <c r="N117" s="90">
        <v>-76.91</v>
      </c>
      <c r="O117" s="90">
        <v>34.6</v>
      </c>
      <c r="U117" s="55">
        <v>1</v>
      </c>
      <c r="V117" s="55" t="s">
        <v>1688</v>
      </c>
      <c r="Y117" s="55" t="s">
        <v>1814</v>
      </c>
      <c r="Z117" s="55" t="s">
        <v>1349</v>
      </c>
      <c r="AA117" s="90" t="s">
        <v>1677</v>
      </c>
      <c r="AE117" s="90">
        <f>(63+83)/2</f>
        <v>73</v>
      </c>
      <c r="AF117" s="90">
        <f>(7+27)/2</f>
        <v>17</v>
      </c>
      <c r="AH117" s="55" t="s">
        <v>238</v>
      </c>
      <c r="AM117" s="55" t="s">
        <v>1281</v>
      </c>
      <c r="AN117" s="185" t="s">
        <v>1490</v>
      </c>
      <c r="AO117" s="185" t="s">
        <v>5150</v>
      </c>
      <c r="AQ117" s="55" t="s">
        <v>553</v>
      </c>
      <c r="AR117" s="55" t="s">
        <v>240</v>
      </c>
      <c r="AS117" s="55" t="s">
        <v>227</v>
      </c>
      <c r="AU117" s="181" t="s">
        <v>7494</v>
      </c>
      <c r="AV117" s="185" t="s">
        <v>176</v>
      </c>
      <c r="AX117" s="185" t="s">
        <v>176</v>
      </c>
      <c r="BE117" s="226" t="s">
        <v>239</v>
      </c>
      <c r="BF117" s="55" t="s">
        <v>479</v>
      </c>
      <c r="BG117" s="55" t="s">
        <v>479</v>
      </c>
      <c r="BH117" s="226" t="s">
        <v>239</v>
      </c>
      <c r="BI117" s="55" t="s">
        <v>479</v>
      </c>
      <c r="BJ117" s="55" t="s">
        <v>176</v>
      </c>
      <c r="BK117" s="55" t="s">
        <v>5976</v>
      </c>
      <c r="BM117" s="192" t="s">
        <v>236</v>
      </c>
      <c r="BN117" s="55">
        <v>4</v>
      </c>
      <c r="BO117" s="55">
        <v>4</v>
      </c>
      <c r="BQ117" s="55" t="s">
        <v>141</v>
      </c>
      <c r="CB117" s="66">
        <v>56000</v>
      </c>
      <c r="CC117" s="66">
        <v>62300</v>
      </c>
      <c r="GP117" s="292" t="s">
        <v>7494</v>
      </c>
      <c r="HN117" s="65">
        <f>15.07*22.7273</f>
        <v>342.50041099999999</v>
      </c>
      <c r="HO117" s="65">
        <f>17.39*22.7273</f>
        <v>395.22774700000002</v>
      </c>
      <c r="HR117" s="65" t="s">
        <v>1662</v>
      </c>
    </row>
    <row r="118" spans="1:231" x14ac:dyDescent="0.25">
      <c r="A118" s="55">
        <v>117</v>
      </c>
      <c r="B118" s="12" t="s">
        <v>7067</v>
      </c>
      <c r="C118" s="155">
        <v>11</v>
      </c>
      <c r="D118" s="55" t="s">
        <v>3722</v>
      </c>
      <c r="E118" s="90" t="s">
        <v>234</v>
      </c>
      <c r="G118" s="55" t="s">
        <v>235</v>
      </c>
      <c r="H118" s="55">
        <v>2010</v>
      </c>
      <c r="I118" s="55">
        <v>2006</v>
      </c>
      <c r="J118" s="55" t="s">
        <v>127</v>
      </c>
      <c r="K118" s="55" t="s">
        <v>237</v>
      </c>
      <c r="L118" s="55" t="s">
        <v>2737</v>
      </c>
      <c r="M118" s="90">
        <v>39.03</v>
      </c>
      <c r="N118" s="90">
        <v>-76.91</v>
      </c>
      <c r="O118" s="90">
        <v>34.6</v>
      </c>
      <c r="U118" s="55">
        <v>2</v>
      </c>
      <c r="V118" s="55" t="s">
        <v>1688</v>
      </c>
      <c r="Y118" s="55" t="s">
        <v>1814</v>
      </c>
      <c r="Z118" s="55" t="s">
        <v>1349</v>
      </c>
      <c r="AA118" s="90" t="s">
        <v>1677</v>
      </c>
      <c r="AE118" s="90">
        <f>(63+83)/2</f>
        <v>73</v>
      </c>
      <c r="AF118" s="90">
        <f>(7+27)/2</f>
        <v>17</v>
      </c>
      <c r="AH118" s="55" t="s">
        <v>238</v>
      </c>
      <c r="AM118" s="55" t="s">
        <v>1281</v>
      </c>
      <c r="AN118" s="185" t="s">
        <v>131</v>
      </c>
      <c r="AO118" s="185" t="s">
        <v>5150</v>
      </c>
      <c r="AQ118" s="55" t="s">
        <v>131</v>
      </c>
      <c r="AR118" s="55" t="s">
        <v>240</v>
      </c>
      <c r="AS118" s="55" t="s">
        <v>227</v>
      </c>
      <c r="AU118" s="181" t="s">
        <v>7494</v>
      </c>
      <c r="AV118" s="185" t="s">
        <v>176</v>
      </c>
      <c r="AX118" s="185" t="s">
        <v>176</v>
      </c>
      <c r="BE118" s="226" t="s">
        <v>239</v>
      </c>
      <c r="BF118" s="55" t="s">
        <v>479</v>
      </c>
      <c r="BG118" s="55" t="s">
        <v>479</v>
      </c>
      <c r="BH118" s="226" t="s">
        <v>239</v>
      </c>
      <c r="BI118" s="55" t="s">
        <v>479</v>
      </c>
      <c r="BJ118" s="55" t="s">
        <v>176</v>
      </c>
      <c r="BK118" s="55" t="s">
        <v>5976</v>
      </c>
      <c r="BM118" s="192" t="s">
        <v>236</v>
      </c>
      <c r="BN118" s="55">
        <v>4</v>
      </c>
      <c r="BO118" s="55">
        <v>4</v>
      </c>
      <c r="BQ118" s="55" t="s">
        <v>141</v>
      </c>
      <c r="CB118" s="66">
        <v>83900</v>
      </c>
      <c r="CC118" s="66">
        <v>80700</v>
      </c>
      <c r="GP118" s="292" t="s">
        <v>7494</v>
      </c>
      <c r="HS118" s="227"/>
      <c r="HW118" s="227"/>
    </row>
    <row r="119" spans="1:231" x14ac:dyDescent="0.25">
      <c r="A119" s="55">
        <v>118</v>
      </c>
      <c r="B119" s="12" t="s">
        <v>7067</v>
      </c>
      <c r="C119" s="155">
        <v>11</v>
      </c>
      <c r="D119" s="55" t="s">
        <v>3722</v>
      </c>
      <c r="E119" s="90" t="s">
        <v>234</v>
      </c>
      <c r="G119" s="55" t="s">
        <v>235</v>
      </c>
      <c r="H119" s="55">
        <v>2010</v>
      </c>
      <c r="I119" s="55">
        <v>2006</v>
      </c>
      <c r="J119" s="55" t="s">
        <v>127</v>
      </c>
      <c r="K119" s="55" t="s">
        <v>237</v>
      </c>
      <c r="L119" s="55" t="s">
        <v>2737</v>
      </c>
      <c r="M119" s="90">
        <v>39.03</v>
      </c>
      <c r="N119" s="90">
        <v>-76.91</v>
      </c>
      <c r="O119" s="90">
        <v>34.6</v>
      </c>
      <c r="U119" s="55">
        <v>2</v>
      </c>
      <c r="V119" s="55" t="s">
        <v>1688</v>
      </c>
      <c r="Y119" s="55" t="s">
        <v>1814</v>
      </c>
      <c r="Z119" s="55" t="s">
        <v>1349</v>
      </c>
      <c r="AA119" s="90" t="s">
        <v>1677</v>
      </c>
      <c r="AE119" s="90">
        <f>(63+83)/2</f>
        <v>73</v>
      </c>
      <c r="AF119" s="90">
        <f>(7+27)/2</f>
        <v>17</v>
      </c>
      <c r="AH119" s="55" t="s">
        <v>238</v>
      </c>
      <c r="AM119" s="55" t="s">
        <v>1281</v>
      </c>
      <c r="AN119" s="185" t="s">
        <v>1487</v>
      </c>
      <c r="AO119" s="185" t="s">
        <v>5150</v>
      </c>
      <c r="AQ119" s="55" t="s">
        <v>131</v>
      </c>
      <c r="AR119" s="55" t="s">
        <v>240</v>
      </c>
      <c r="AS119" s="55" t="s">
        <v>227</v>
      </c>
      <c r="AU119" s="181" t="s">
        <v>7494</v>
      </c>
      <c r="AV119" s="185" t="s">
        <v>176</v>
      </c>
      <c r="AX119" s="185" t="s">
        <v>176</v>
      </c>
      <c r="BE119" s="226" t="s">
        <v>239</v>
      </c>
      <c r="BF119" s="55" t="s">
        <v>479</v>
      </c>
      <c r="BG119" s="55" t="s">
        <v>479</v>
      </c>
      <c r="BH119" s="226" t="s">
        <v>239</v>
      </c>
      <c r="BI119" s="55" t="s">
        <v>479</v>
      </c>
      <c r="BJ119" s="55" t="s">
        <v>176</v>
      </c>
      <c r="BK119" s="55" t="s">
        <v>5976</v>
      </c>
      <c r="BM119" s="192" t="s">
        <v>236</v>
      </c>
      <c r="BN119" s="55">
        <v>4</v>
      </c>
      <c r="BO119" s="55">
        <v>4</v>
      </c>
      <c r="BQ119" s="55" t="s">
        <v>141</v>
      </c>
      <c r="CB119" s="66">
        <v>83900</v>
      </c>
      <c r="CC119" s="66">
        <v>70900</v>
      </c>
      <c r="GP119" s="292" t="s">
        <v>7494</v>
      </c>
      <c r="HS119" s="227"/>
      <c r="HW119" s="227"/>
    </row>
    <row r="120" spans="1:231" x14ac:dyDescent="0.25">
      <c r="A120" s="55">
        <v>119</v>
      </c>
      <c r="B120" s="12" t="s">
        <v>7067</v>
      </c>
      <c r="C120" s="155">
        <v>11</v>
      </c>
      <c r="D120" s="55" t="s">
        <v>3722</v>
      </c>
      <c r="E120" s="90" t="s">
        <v>234</v>
      </c>
      <c r="G120" s="55" t="s">
        <v>235</v>
      </c>
      <c r="H120" s="55">
        <v>2010</v>
      </c>
      <c r="I120" s="55">
        <v>2006</v>
      </c>
      <c r="J120" s="55" t="s">
        <v>127</v>
      </c>
      <c r="K120" s="55" t="s">
        <v>237</v>
      </c>
      <c r="L120" s="55" t="s">
        <v>2737</v>
      </c>
      <c r="M120" s="90">
        <v>39.03</v>
      </c>
      <c r="N120" s="90">
        <v>-76.91</v>
      </c>
      <c r="O120" s="90">
        <v>34.6</v>
      </c>
      <c r="U120" s="55">
        <v>2</v>
      </c>
      <c r="V120" s="55" t="s">
        <v>1688</v>
      </c>
      <c r="Y120" s="55" t="s">
        <v>1814</v>
      </c>
      <c r="Z120" s="55" t="s">
        <v>1349</v>
      </c>
      <c r="AA120" s="90" t="s">
        <v>1677</v>
      </c>
      <c r="AE120" s="90">
        <f>(63+83)/2</f>
        <v>73</v>
      </c>
      <c r="AF120" s="90">
        <f>(7+27)/2</f>
        <v>17</v>
      </c>
      <c r="AH120" s="55" t="s">
        <v>238</v>
      </c>
      <c r="AM120" s="55" t="s">
        <v>1281</v>
      </c>
      <c r="AN120" s="185" t="s">
        <v>1488</v>
      </c>
      <c r="AO120" s="185" t="s">
        <v>5150</v>
      </c>
      <c r="AQ120" s="55" t="s">
        <v>131</v>
      </c>
      <c r="AR120" s="55" t="s">
        <v>240</v>
      </c>
      <c r="AS120" s="55" t="s">
        <v>227</v>
      </c>
      <c r="AU120" s="181" t="s">
        <v>7494</v>
      </c>
      <c r="AV120" s="185" t="s">
        <v>176</v>
      </c>
      <c r="AX120" s="185" t="s">
        <v>176</v>
      </c>
      <c r="BE120" s="226" t="s">
        <v>239</v>
      </c>
      <c r="BF120" s="55" t="s">
        <v>479</v>
      </c>
      <c r="BG120" s="55" t="s">
        <v>479</v>
      </c>
      <c r="BH120" s="226" t="s">
        <v>239</v>
      </c>
      <c r="BI120" s="55" t="s">
        <v>479</v>
      </c>
      <c r="BJ120" s="55" t="s">
        <v>176</v>
      </c>
      <c r="BK120" s="55" t="s">
        <v>5976</v>
      </c>
      <c r="BM120" s="192" t="s">
        <v>236</v>
      </c>
      <c r="BN120" s="55">
        <v>4</v>
      </c>
      <c r="BO120" s="55">
        <v>4</v>
      </c>
      <c r="BQ120" s="55" t="s">
        <v>141</v>
      </c>
      <c r="CB120" s="66">
        <v>83900</v>
      </c>
      <c r="CC120" s="66">
        <v>84100</v>
      </c>
      <c r="GP120" s="292" t="s">
        <v>7494</v>
      </c>
      <c r="HS120" s="227"/>
      <c r="HW120" s="227"/>
    </row>
    <row r="121" spans="1:231" x14ac:dyDescent="0.25">
      <c r="A121" s="55">
        <v>120</v>
      </c>
      <c r="B121" s="12" t="s">
        <v>7067</v>
      </c>
      <c r="C121" s="155">
        <v>11</v>
      </c>
      <c r="D121" s="55" t="s">
        <v>3723</v>
      </c>
      <c r="E121" s="90" t="s">
        <v>234</v>
      </c>
      <c r="G121" s="55" t="s">
        <v>235</v>
      </c>
      <c r="H121" s="55">
        <v>2010</v>
      </c>
      <c r="I121" s="55">
        <v>2006</v>
      </c>
      <c r="J121" s="55" t="s">
        <v>127</v>
      </c>
      <c r="K121" s="55" t="s">
        <v>237</v>
      </c>
      <c r="L121" s="55" t="s">
        <v>2737</v>
      </c>
      <c r="M121" s="90">
        <v>39.03</v>
      </c>
      <c r="N121" s="90">
        <v>-76.91</v>
      </c>
      <c r="O121" s="90">
        <v>34.6</v>
      </c>
      <c r="U121" s="55">
        <v>2</v>
      </c>
      <c r="V121" s="55" t="s">
        <v>1688</v>
      </c>
      <c r="Y121" s="55" t="s">
        <v>1814</v>
      </c>
      <c r="Z121" s="55" t="s">
        <v>1349</v>
      </c>
      <c r="AA121" s="90" t="s">
        <v>1677</v>
      </c>
      <c r="AE121" s="90">
        <f>(63+83)/2</f>
        <v>73</v>
      </c>
      <c r="AF121" s="90">
        <f>(7+27)/2</f>
        <v>17</v>
      </c>
      <c r="AH121" s="55" t="s">
        <v>238</v>
      </c>
      <c r="AM121" s="55" t="s">
        <v>1281</v>
      </c>
      <c r="AN121" s="185" t="s">
        <v>241</v>
      </c>
      <c r="AO121" s="185" t="s">
        <v>5150</v>
      </c>
      <c r="AQ121" s="55" t="s">
        <v>553</v>
      </c>
      <c r="AR121" s="55" t="s">
        <v>240</v>
      </c>
      <c r="AS121" s="55" t="s">
        <v>227</v>
      </c>
      <c r="AU121" s="181" t="s">
        <v>7494</v>
      </c>
      <c r="AV121" s="185" t="s">
        <v>176</v>
      </c>
      <c r="AX121" s="185" t="s">
        <v>176</v>
      </c>
      <c r="BE121" s="226" t="s">
        <v>239</v>
      </c>
      <c r="BF121" s="55" t="s">
        <v>479</v>
      </c>
      <c r="BG121" s="55" t="s">
        <v>479</v>
      </c>
      <c r="BH121" s="226" t="s">
        <v>239</v>
      </c>
      <c r="BI121" s="55" t="s">
        <v>479</v>
      </c>
      <c r="BJ121" s="55" t="s">
        <v>176</v>
      </c>
      <c r="BK121" s="55" t="s">
        <v>5976</v>
      </c>
      <c r="BM121" s="192" t="s">
        <v>236</v>
      </c>
      <c r="BN121" s="55">
        <v>4</v>
      </c>
      <c r="BO121" s="55">
        <v>4</v>
      </c>
      <c r="BQ121" s="55" t="s">
        <v>141</v>
      </c>
      <c r="CB121" s="66">
        <v>83900</v>
      </c>
      <c r="CC121" s="66">
        <v>82100</v>
      </c>
      <c r="GP121" s="292" t="s">
        <v>7494</v>
      </c>
      <c r="HS121" s="227"/>
      <c r="HW121" s="227"/>
    </row>
    <row r="122" spans="1:231" x14ac:dyDescent="0.25">
      <c r="A122" s="55">
        <v>121</v>
      </c>
      <c r="B122" s="12" t="s">
        <v>7067</v>
      </c>
      <c r="C122" s="155">
        <v>11</v>
      </c>
      <c r="D122" s="55" t="s">
        <v>3723</v>
      </c>
      <c r="E122" s="90" t="s">
        <v>234</v>
      </c>
      <c r="G122" s="55" t="s">
        <v>235</v>
      </c>
      <c r="H122" s="55">
        <v>2010</v>
      </c>
      <c r="I122" s="55">
        <v>2006</v>
      </c>
      <c r="J122" s="55" t="s">
        <v>127</v>
      </c>
      <c r="K122" s="55" t="s">
        <v>237</v>
      </c>
      <c r="L122" s="55" t="s">
        <v>2737</v>
      </c>
      <c r="M122" s="90">
        <v>39.03</v>
      </c>
      <c r="N122" s="90">
        <v>-76.91</v>
      </c>
      <c r="O122" s="90">
        <v>34.6</v>
      </c>
      <c r="U122" s="55">
        <v>2</v>
      </c>
      <c r="V122" s="55" t="s">
        <v>1688</v>
      </c>
      <c r="Y122" s="55" t="s">
        <v>1814</v>
      </c>
      <c r="Z122" s="55" t="s">
        <v>1349</v>
      </c>
      <c r="AA122" s="90" t="s">
        <v>1677</v>
      </c>
      <c r="AE122" s="90">
        <f>(63+83)/2</f>
        <v>73</v>
      </c>
      <c r="AF122" s="90">
        <f>(7+27)/2</f>
        <v>17</v>
      </c>
      <c r="AH122" s="55" t="s">
        <v>238</v>
      </c>
      <c r="AM122" s="55" t="s">
        <v>1281</v>
      </c>
      <c r="AN122" s="185" t="s">
        <v>1489</v>
      </c>
      <c r="AO122" s="185" t="s">
        <v>5150</v>
      </c>
      <c r="AQ122" s="55" t="s">
        <v>553</v>
      </c>
      <c r="AR122" s="55" t="s">
        <v>240</v>
      </c>
      <c r="AS122" s="55" t="s">
        <v>227</v>
      </c>
      <c r="AU122" s="181" t="s">
        <v>7494</v>
      </c>
      <c r="AV122" s="185" t="s">
        <v>176</v>
      </c>
      <c r="AX122" s="185" t="s">
        <v>176</v>
      </c>
      <c r="BE122" s="226" t="s">
        <v>239</v>
      </c>
      <c r="BF122" s="55" t="s">
        <v>479</v>
      </c>
      <c r="BG122" s="55" t="s">
        <v>479</v>
      </c>
      <c r="BH122" s="226" t="s">
        <v>239</v>
      </c>
      <c r="BI122" s="55" t="s">
        <v>479</v>
      </c>
      <c r="BJ122" s="55" t="s">
        <v>176</v>
      </c>
      <c r="BK122" s="55" t="s">
        <v>5976</v>
      </c>
      <c r="BM122" s="192" t="s">
        <v>236</v>
      </c>
      <c r="BN122" s="55">
        <v>4</v>
      </c>
      <c r="BO122" s="55">
        <v>4</v>
      </c>
      <c r="BQ122" s="55" t="s">
        <v>141</v>
      </c>
      <c r="CB122" s="66">
        <v>83900</v>
      </c>
      <c r="CC122" s="66">
        <v>59300</v>
      </c>
      <c r="GP122" s="292" t="s">
        <v>7494</v>
      </c>
      <c r="HS122" s="227"/>
      <c r="HW122" s="227"/>
    </row>
    <row r="123" spans="1:231" x14ac:dyDescent="0.25">
      <c r="A123" s="55">
        <v>122</v>
      </c>
      <c r="B123" s="12" t="s">
        <v>7067</v>
      </c>
      <c r="C123" s="155">
        <v>11</v>
      </c>
      <c r="D123" s="55" t="s">
        <v>3723</v>
      </c>
      <c r="E123" s="90" t="s">
        <v>234</v>
      </c>
      <c r="G123" s="55" t="s">
        <v>235</v>
      </c>
      <c r="H123" s="55">
        <v>2010</v>
      </c>
      <c r="I123" s="55">
        <v>2006</v>
      </c>
      <c r="J123" s="55" t="s">
        <v>127</v>
      </c>
      <c r="K123" s="55" t="s">
        <v>237</v>
      </c>
      <c r="L123" s="55" t="s">
        <v>2737</v>
      </c>
      <c r="M123" s="90">
        <v>39.03</v>
      </c>
      <c r="N123" s="90">
        <v>-76.91</v>
      </c>
      <c r="O123" s="90">
        <v>34.6</v>
      </c>
      <c r="U123" s="55">
        <v>2</v>
      </c>
      <c r="V123" s="55" t="s">
        <v>1688</v>
      </c>
      <c r="Y123" s="55" t="s">
        <v>1814</v>
      </c>
      <c r="Z123" s="55" t="s">
        <v>1349</v>
      </c>
      <c r="AA123" s="90" t="s">
        <v>1677</v>
      </c>
      <c r="AE123" s="90">
        <f>(63+83)/2</f>
        <v>73</v>
      </c>
      <c r="AF123" s="90">
        <f>(7+27)/2</f>
        <v>17</v>
      </c>
      <c r="AH123" s="55" t="s">
        <v>238</v>
      </c>
      <c r="AM123" s="55" t="s">
        <v>1281</v>
      </c>
      <c r="AN123" s="185" t="s">
        <v>1490</v>
      </c>
      <c r="AO123" s="185" t="s">
        <v>5150</v>
      </c>
      <c r="AQ123" s="55" t="s">
        <v>553</v>
      </c>
      <c r="AR123" s="55" t="s">
        <v>240</v>
      </c>
      <c r="AS123" s="55" t="s">
        <v>227</v>
      </c>
      <c r="AU123" s="181" t="s">
        <v>7494</v>
      </c>
      <c r="AV123" s="185" t="s">
        <v>176</v>
      </c>
      <c r="AX123" s="185" t="s">
        <v>176</v>
      </c>
      <c r="BE123" s="226" t="s">
        <v>239</v>
      </c>
      <c r="BF123" s="55" t="s">
        <v>479</v>
      </c>
      <c r="BG123" s="55" t="s">
        <v>479</v>
      </c>
      <c r="BH123" s="226" t="s">
        <v>239</v>
      </c>
      <c r="BI123" s="55" t="s">
        <v>479</v>
      </c>
      <c r="BJ123" s="55" t="s">
        <v>176</v>
      </c>
      <c r="BK123" s="55" t="s">
        <v>5976</v>
      </c>
      <c r="BM123" s="192" t="s">
        <v>236</v>
      </c>
      <c r="BN123" s="55">
        <v>4</v>
      </c>
      <c r="BO123" s="55">
        <v>4</v>
      </c>
      <c r="BQ123" s="55" t="s">
        <v>141</v>
      </c>
      <c r="CB123" s="66">
        <v>83900</v>
      </c>
      <c r="CC123" s="66">
        <v>82600</v>
      </c>
      <c r="GP123" s="292" t="s">
        <v>7494</v>
      </c>
      <c r="HS123" s="227"/>
      <c r="HW123" s="227"/>
    </row>
    <row r="124" spans="1:231" x14ac:dyDescent="0.25">
      <c r="A124" s="55">
        <v>123</v>
      </c>
      <c r="B124" s="12" t="s">
        <v>7067</v>
      </c>
      <c r="C124" s="155">
        <v>11</v>
      </c>
      <c r="D124" s="55" t="s">
        <v>3722</v>
      </c>
      <c r="E124" s="90" t="s">
        <v>234</v>
      </c>
      <c r="G124" s="55" t="s">
        <v>235</v>
      </c>
      <c r="H124" s="55">
        <v>2010</v>
      </c>
      <c r="I124" s="55">
        <v>2007</v>
      </c>
      <c r="J124" s="55" t="s">
        <v>127</v>
      </c>
      <c r="K124" s="55" t="s">
        <v>237</v>
      </c>
      <c r="L124" s="55" t="s">
        <v>2737</v>
      </c>
      <c r="M124" s="90">
        <v>39.03</v>
      </c>
      <c r="N124" s="90">
        <v>-76.91</v>
      </c>
      <c r="O124" s="90">
        <v>34.6</v>
      </c>
      <c r="U124" s="55">
        <v>3</v>
      </c>
      <c r="V124" s="55" t="s">
        <v>1688</v>
      </c>
      <c r="Y124" s="55" t="s">
        <v>1814</v>
      </c>
      <c r="Z124" s="55" t="s">
        <v>1349</v>
      </c>
      <c r="AA124" s="90" t="s">
        <v>1677</v>
      </c>
      <c r="AE124" s="90">
        <f>(63+83)/2</f>
        <v>73</v>
      </c>
      <c r="AF124" s="90">
        <f>(7+27)/2</f>
        <v>17</v>
      </c>
      <c r="AH124" s="55" t="s">
        <v>238</v>
      </c>
      <c r="AM124" s="55" t="s">
        <v>1281</v>
      </c>
      <c r="AN124" s="185" t="s">
        <v>131</v>
      </c>
      <c r="AO124" s="185" t="s">
        <v>5150</v>
      </c>
      <c r="AQ124" s="55" t="s">
        <v>131</v>
      </c>
      <c r="AR124" s="55" t="s">
        <v>240</v>
      </c>
      <c r="AS124" s="55" t="s">
        <v>227</v>
      </c>
      <c r="AU124" s="181" t="s">
        <v>7494</v>
      </c>
      <c r="AV124" s="185" t="s">
        <v>176</v>
      </c>
      <c r="AX124" s="185" t="s">
        <v>176</v>
      </c>
      <c r="BE124" s="226" t="s">
        <v>239</v>
      </c>
      <c r="BF124" s="55" t="s">
        <v>479</v>
      </c>
      <c r="BG124" s="55" t="s">
        <v>479</v>
      </c>
      <c r="BH124" s="226" t="s">
        <v>239</v>
      </c>
      <c r="BI124" s="55" t="s">
        <v>479</v>
      </c>
      <c r="BJ124" s="55" t="s">
        <v>176</v>
      </c>
      <c r="BK124" s="55" t="s">
        <v>5976</v>
      </c>
      <c r="BM124" s="192" t="s">
        <v>236</v>
      </c>
      <c r="BN124" s="55">
        <v>4</v>
      </c>
      <c r="BO124" s="55">
        <v>4</v>
      </c>
      <c r="BQ124" s="55" t="s">
        <v>141</v>
      </c>
      <c r="CB124" s="66">
        <v>88000</v>
      </c>
      <c r="CC124" s="66">
        <v>77800</v>
      </c>
      <c r="GP124" s="292" t="s">
        <v>7494</v>
      </c>
      <c r="HS124" s="227"/>
      <c r="HW124" s="227"/>
    </row>
    <row r="125" spans="1:231" x14ac:dyDescent="0.25">
      <c r="A125" s="55">
        <v>124</v>
      </c>
      <c r="B125" s="12" t="s">
        <v>7067</v>
      </c>
      <c r="C125" s="155">
        <v>11</v>
      </c>
      <c r="D125" s="55" t="s">
        <v>3722</v>
      </c>
      <c r="E125" s="90" t="s">
        <v>234</v>
      </c>
      <c r="G125" s="55" t="s">
        <v>235</v>
      </c>
      <c r="H125" s="55">
        <v>2010</v>
      </c>
      <c r="I125" s="55">
        <v>2007</v>
      </c>
      <c r="J125" s="55" t="s">
        <v>127</v>
      </c>
      <c r="K125" s="55" t="s">
        <v>237</v>
      </c>
      <c r="L125" s="55" t="s">
        <v>2737</v>
      </c>
      <c r="M125" s="90">
        <v>39.03</v>
      </c>
      <c r="N125" s="90">
        <v>-76.91</v>
      </c>
      <c r="O125" s="90">
        <v>34.6</v>
      </c>
      <c r="U125" s="55">
        <v>3</v>
      </c>
      <c r="V125" s="55" t="s">
        <v>1688</v>
      </c>
      <c r="Y125" s="55" t="s">
        <v>1814</v>
      </c>
      <c r="Z125" s="55" t="s">
        <v>1349</v>
      </c>
      <c r="AA125" s="90" t="s">
        <v>1677</v>
      </c>
      <c r="AE125" s="90">
        <f>(63+83)/2</f>
        <v>73</v>
      </c>
      <c r="AF125" s="90">
        <f>(7+27)/2</f>
        <v>17</v>
      </c>
      <c r="AH125" s="55" t="s">
        <v>238</v>
      </c>
      <c r="AM125" s="55" t="s">
        <v>1281</v>
      </c>
      <c r="AN125" s="185" t="s">
        <v>1487</v>
      </c>
      <c r="AO125" s="185" t="s">
        <v>5150</v>
      </c>
      <c r="AQ125" s="55" t="s">
        <v>131</v>
      </c>
      <c r="AR125" s="55" t="s">
        <v>240</v>
      </c>
      <c r="AS125" s="55" t="s">
        <v>227</v>
      </c>
      <c r="AU125" s="181" t="s">
        <v>7494</v>
      </c>
      <c r="AV125" s="185" t="s">
        <v>176</v>
      </c>
      <c r="AX125" s="185" t="s">
        <v>176</v>
      </c>
      <c r="BE125" s="226" t="s">
        <v>239</v>
      </c>
      <c r="BF125" s="55" t="s">
        <v>479</v>
      </c>
      <c r="BG125" s="55" t="s">
        <v>479</v>
      </c>
      <c r="BH125" s="226" t="s">
        <v>239</v>
      </c>
      <c r="BI125" s="55" t="s">
        <v>479</v>
      </c>
      <c r="BJ125" s="55" t="s">
        <v>176</v>
      </c>
      <c r="BK125" s="55" t="s">
        <v>5976</v>
      </c>
      <c r="BM125" s="192" t="s">
        <v>236</v>
      </c>
      <c r="BN125" s="55">
        <v>4</v>
      </c>
      <c r="BO125" s="55">
        <v>4</v>
      </c>
      <c r="BQ125" s="55" t="s">
        <v>141</v>
      </c>
      <c r="CB125" s="66">
        <v>88000</v>
      </c>
      <c r="CC125" s="66">
        <v>65600</v>
      </c>
      <c r="GP125" s="292" t="s">
        <v>7494</v>
      </c>
      <c r="HS125" s="227"/>
      <c r="HW125" s="227"/>
    </row>
    <row r="126" spans="1:231" x14ac:dyDescent="0.25">
      <c r="A126" s="55">
        <v>125</v>
      </c>
      <c r="B126" s="12" t="s">
        <v>7067</v>
      </c>
      <c r="C126" s="155">
        <v>11</v>
      </c>
      <c r="D126" s="55" t="s">
        <v>3722</v>
      </c>
      <c r="E126" s="90" t="s">
        <v>234</v>
      </c>
      <c r="G126" s="55" t="s">
        <v>235</v>
      </c>
      <c r="H126" s="55">
        <v>2010</v>
      </c>
      <c r="I126" s="55">
        <v>2007</v>
      </c>
      <c r="J126" s="55" t="s">
        <v>127</v>
      </c>
      <c r="K126" s="55" t="s">
        <v>237</v>
      </c>
      <c r="L126" s="55" t="s">
        <v>2737</v>
      </c>
      <c r="M126" s="90">
        <v>39.03</v>
      </c>
      <c r="N126" s="90">
        <v>-76.91</v>
      </c>
      <c r="O126" s="90">
        <v>34.6</v>
      </c>
      <c r="U126" s="55">
        <v>3</v>
      </c>
      <c r="V126" s="55" t="s">
        <v>1688</v>
      </c>
      <c r="Y126" s="55" t="s">
        <v>1814</v>
      </c>
      <c r="Z126" s="55" t="s">
        <v>1349</v>
      </c>
      <c r="AA126" s="90" t="s">
        <v>1677</v>
      </c>
      <c r="AE126" s="90">
        <f>(63+83)/2</f>
        <v>73</v>
      </c>
      <c r="AF126" s="90">
        <f>(7+27)/2</f>
        <v>17</v>
      </c>
      <c r="AH126" s="55" t="s">
        <v>238</v>
      </c>
      <c r="AM126" s="55" t="s">
        <v>1281</v>
      </c>
      <c r="AN126" s="185" t="s">
        <v>1488</v>
      </c>
      <c r="AO126" s="185" t="s">
        <v>5150</v>
      </c>
      <c r="AQ126" s="55" t="s">
        <v>131</v>
      </c>
      <c r="AR126" s="55" t="s">
        <v>240</v>
      </c>
      <c r="AS126" s="55" t="s">
        <v>227</v>
      </c>
      <c r="AU126" s="181" t="s">
        <v>7494</v>
      </c>
      <c r="AV126" s="185" t="s">
        <v>176</v>
      </c>
      <c r="AX126" s="185" t="s">
        <v>176</v>
      </c>
      <c r="BE126" s="226" t="s">
        <v>239</v>
      </c>
      <c r="BF126" s="55" t="s">
        <v>479</v>
      </c>
      <c r="BG126" s="55" t="s">
        <v>479</v>
      </c>
      <c r="BH126" s="226" t="s">
        <v>239</v>
      </c>
      <c r="BI126" s="55" t="s">
        <v>479</v>
      </c>
      <c r="BJ126" s="55" t="s">
        <v>176</v>
      </c>
      <c r="BK126" s="55" t="s">
        <v>5976</v>
      </c>
      <c r="BM126" s="192" t="s">
        <v>236</v>
      </c>
      <c r="BN126" s="55">
        <v>4</v>
      </c>
      <c r="BO126" s="55">
        <v>4</v>
      </c>
      <c r="BQ126" s="55" t="s">
        <v>141</v>
      </c>
      <c r="CB126" s="66">
        <v>88000</v>
      </c>
      <c r="CC126" s="66">
        <v>82000</v>
      </c>
      <c r="GP126" s="292" t="s">
        <v>7494</v>
      </c>
      <c r="HS126" s="227"/>
      <c r="HW126" s="227"/>
    </row>
    <row r="127" spans="1:231" x14ac:dyDescent="0.25">
      <c r="A127" s="55">
        <v>126</v>
      </c>
      <c r="B127" s="12" t="s">
        <v>7067</v>
      </c>
      <c r="C127" s="155">
        <v>11</v>
      </c>
      <c r="D127" s="55" t="s">
        <v>3723</v>
      </c>
      <c r="E127" s="90" t="s">
        <v>234</v>
      </c>
      <c r="G127" s="55" t="s">
        <v>235</v>
      </c>
      <c r="H127" s="55">
        <v>2010</v>
      </c>
      <c r="I127" s="55">
        <v>2007</v>
      </c>
      <c r="J127" s="55" t="s">
        <v>127</v>
      </c>
      <c r="K127" s="55" t="s">
        <v>237</v>
      </c>
      <c r="L127" s="55" t="s">
        <v>2737</v>
      </c>
      <c r="M127" s="90">
        <v>39.03</v>
      </c>
      <c r="N127" s="90">
        <v>-76.91</v>
      </c>
      <c r="O127" s="90">
        <v>34.6</v>
      </c>
      <c r="U127" s="55">
        <v>3</v>
      </c>
      <c r="V127" s="55" t="s">
        <v>1688</v>
      </c>
      <c r="Y127" s="55" t="s">
        <v>1814</v>
      </c>
      <c r="Z127" s="55" t="s">
        <v>1349</v>
      </c>
      <c r="AA127" s="90" t="s">
        <v>1677</v>
      </c>
      <c r="AE127" s="90">
        <f>(63+83)/2</f>
        <v>73</v>
      </c>
      <c r="AF127" s="90">
        <f>(7+27)/2</f>
        <v>17</v>
      </c>
      <c r="AH127" s="55" t="s">
        <v>238</v>
      </c>
      <c r="AM127" s="55" t="s">
        <v>1281</v>
      </c>
      <c r="AN127" s="185" t="s">
        <v>241</v>
      </c>
      <c r="AO127" s="185" t="s">
        <v>5150</v>
      </c>
      <c r="AQ127" s="55" t="s">
        <v>553</v>
      </c>
      <c r="AR127" s="55" t="s">
        <v>240</v>
      </c>
      <c r="AS127" s="55" t="s">
        <v>227</v>
      </c>
      <c r="AU127" s="181" t="s">
        <v>7494</v>
      </c>
      <c r="AV127" s="185" t="s">
        <v>176</v>
      </c>
      <c r="AX127" s="185" t="s">
        <v>176</v>
      </c>
      <c r="BE127" s="226" t="s">
        <v>239</v>
      </c>
      <c r="BF127" s="55" t="s">
        <v>479</v>
      </c>
      <c r="BG127" s="55" t="s">
        <v>479</v>
      </c>
      <c r="BH127" s="226" t="s">
        <v>239</v>
      </c>
      <c r="BI127" s="55" t="s">
        <v>479</v>
      </c>
      <c r="BJ127" s="55" t="s">
        <v>176</v>
      </c>
      <c r="BK127" s="55" t="s">
        <v>5976</v>
      </c>
      <c r="BM127" s="192" t="s">
        <v>236</v>
      </c>
      <c r="BN127" s="55">
        <v>4</v>
      </c>
      <c r="BO127" s="55">
        <v>4</v>
      </c>
      <c r="BQ127" s="55" t="s">
        <v>141</v>
      </c>
      <c r="CB127" s="66">
        <v>88000</v>
      </c>
      <c r="CC127" s="66">
        <v>92200</v>
      </c>
      <c r="GP127" s="292" t="s">
        <v>7494</v>
      </c>
      <c r="HS127" s="227"/>
      <c r="HW127" s="227"/>
    </row>
    <row r="128" spans="1:231" x14ac:dyDescent="0.25">
      <c r="A128" s="55">
        <v>127</v>
      </c>
      <c r="B128" s="12" t="s">
        <v>7067</v>
      </c>
      <c r="C128" s="155">
        <v>11</v>
      </c>
      <c r="D128" s="55" t="s">
        <v>3723</v>
      </c>
      <c r="E128" s="90" t="s">
        <v>234</v>
      </c>
      <c r="G128" s="55" t="s">
        <v>235</v>
      </c>
      <c r="H128" s="55">
        <v>2010</v>
      </c>
      <c r="I128" s="55">
        <v>2007</v>
      </c>
      <c r="J128" s="55" t="s">
        <v>127</v>
      </c>
      <c r="K128" s="55" t="s">
        <v>237</v>
      </c>
      <c r="L128" s="55" t="s">
        <v>2737</v>
      </c>
      <c r="M128" s="90">
        <v>39.03</v>
      </c>
      <c r="N128" s="90">
        <v>-76.91</v>
      </c>
      <c r="O128" s="90">
        <v>34.6</v>
      </c>
      <c r="U128" s="55">
        <v>3</v>
      </c>
      <c r="V128" s="55" t="s">
        <v>1688</v>
      </c>
      <c r="Y128" s="55" t="s">
        <v>1814</v>
      </c>
      <c r="Z128" s="55" t="s">
        <v>1349</v>
      </c>
      <c r="AA128" s="90" t="s">
        <v>1677</v>
      </c>
      <c r="AE128" s="90">
        <f>(63+83)/2</f>
        <v>73</v>
      </c>
      <c r="AF128" s="90">
        <f>(7+27)/2</f>
        <v>17</v>
      </c>
      <c r="AH128" s="55" t="s">
        <v>238</v>
      </c>
      <c r="AM128" s="55" t="s">
        <v>1281</v>
      </c>
      <c r="AN128" s="185" t="s">
        <v>1489</v>
      </c>
      <c r="AO128" s="185" t="s">
        <v>5150</v>
      </c>
      <c r="AQ128" s="55" t="s">
        <v>553</v>
      </c>
      <c r="AR128" s="55" t="s">
        <v>240</v>
      </c>
      <c r="AS128" s="55" t="s">
        <v>227</v>
      </c>
      <c r="AU128" s="181" t="s">
        <v>7494</v>
      </c>
      <c r="AV128" s="185" t="s">
        <v>176</v>
      </c>
      <c r="AX128" s="185" t="s">
        <v>176</v>
      </c>
      <c r="BE128" s="226" t="s">
        <v>239</v>
      </c>
      <c r="BF128" s="55" t="s">
        <v>479</v>
      </c>
      <c r="BG128" s="55" t="s">
        <v>479</v>
      </c>
      <c r="BH128" s="226" t="s">
        <v>239</v>
      </c>
      <c r="BI128" s="55" t="s">
        <v>479</v>
      </c>
      <c r="BJ128" s="55" t="s">
        <v>176</v>
      </c>
      <c r="BK128" s="55" t="s">
        <v>5976</v>
      </c>
      <c r="BM128" s="192" t="s">
        <v>236</v>
      </c>
      <c r="BN128" s="55">
        <v>4</v>
      </c>
      <c r="BO128" s="55">
        <v>4</v>
      </c>
      <c r="BQ128" s="55" t="s">
        <v>141</v>
      </c>
      <c r="CB128" s="66">
        <v>88000</v>
      </c>
      <c r="CC128" s="66">
        <v>80200</v>
      </c>
      <c r="GP128" s="292" t="s">
        <v>7494</v>
      </c>
      <c r="HS128" s="227"/>
      <c r="HW128" s="227"/>
    </row>
    <row r="129" spans="1:281" x14ac:dyDescent="0.25">
      <c r="A129" s="55">
        <v>128</v>
      </c>
      <c r="B129" s="12" t="s">
        <v>7067</v>
      </c>
      <c r="C129" s="155">
        <v>11</v>
      </c>
      <c r="D129" s="55" t="s">
        <v>3723</v>
      </c>
      <c r="E129" s="90" t="s">
        <v>234</v>
      </c>
      <c r="G129" s="55" t="s">
        <v>235</v>
      </c>
      <c r="H129" s="55">
        <v>2010</v>
      </c>
      <c r="I129" s="55">
        <v>2007</v>
      </c>
      <c r="J129" s="55" t="s">
        <v>127</v>
      </c>
      <c r="K129" s="55" t="s">
        <v>237</v>
      </c>
      <c r="L129" s="55" t="s">
        <v>2737</v>
      </c>
      <c r="M129" s="90">
        <v>39.03</v>
      </c>
      <c r="N129" s="90">
        <v>-76.91</v>
      </c>
      <c r="O129" s="90">
        <v>34.6</v>
      </c>
      <c r="U129" s="55">
        <v>3</v>
      </c>
      <c r="V129" s="55" t="s">
        <v>1688</v>
      </c>
      <c r="Y129" s="55" t="s">
        <v>1814</v>
      </c>
      <c r="Z129" s="55" t="s">
        <v>1349</v>
      </c>
      <c r="AA129" s="90" t="s">
        <v>1677</v>
      </c>
      <c r="AE129" s="90">
        <f>(63+83)/2</f>
        <v>73</v>
      </c>
      <c r="AF129" s="90">
        <f>(7+27)/2</f>
        <v>17</v>
      </c>
      <c r="AH129" s="55" t="s">
        <v>238</v>
      </c>
      <c r="AM129" s="55" t="s">
        <v>1281</v>
      </c>
      <c r="AN129" s="185" t="s">
        <v>1490</v>
      </c>
      <c r="AO129" s="185" t="s">
        <v>5150</v>
      </c>
      <c r="AQ129" s="55" t="s">
        <v>553</v>
      </c>
      <c r="AR129" s="55" t="s">
        <v>240</v>
      </c>
      <c r="AS129" s="55" t="s">
        <v>227</v>
      </c>
      <c r="AU129" s="181" t="s">
        <v>7494</v>
      </c>
      <c r="AV129" s="185" t="s">
        <v>176</v>
      </c>
      <c r="AX129" s="185" t="s">
        <v>176</v>
      </c>
      <c r="BE129" s="226" t="s">
        <v>239</v>
      </c>
      <c r="BF129" s="55" t="s">
        <v>479</v>
      </c>
      <c r="BG129" s="55" t="s">
        <v>479</v>
      </c>
      <c r="BH129" s="226" t="s">
        <v>239</v>
      </c>
      <c r="BI129" s="55" t="s">
        <v>479</v>
      </c>
      <c r="BJ129" s="55" t="s">
        <v>176</v>
      </c>
      <c r="BK129" s="55" t="s">
        <v>5976</v>
      </c>
      <c r="BM129" s="192" t="s">
        <v>236</v>
      </c>
      <c r="BN129" s="55">
        <v>4</v>
      </c>
      <c r="BO129" s="55">
        <v>4</v>
      </c>
      <c r="BQ129" s="55" t="s">
        <v>141</v>
      </c>
      <c r="CB129" s="66">
        <v>88000</v>
      </c>
      <c r="CC129" s="66">
        <v>93000</v>
      </c>
      <c r="GP129" s="292" t="s">
        <v>7494</v>
      </c>
      <c r="HS129" s="227"/>
      <c r="HW129" s="227"/>
    </row>
    <row r="130" spans="1:281" x14ac:dyDescent="0.25">
      <c r="A130" s="55">
        <v>129</v>
      </c>
      <c r="B130" s="12" t="s">
        <v>7067</v>
      </c>
      <c r="C130" s="155">
        <v>12</v>
      </c>
      <c r="D130" s="55" t="s">
        <v>3724</v>
      </c>
      <c r="E130" s="90" t="s">
        <v>245</v>
      </c>
      <c r="G130" s="55" t="s">
        <v>246</v>
      </c>
      <c r="H130" s="55">
        <v>1984</v>
      </c>
      <c r="I130" s="55">
        <v>1980</v>
      </c>
      <c r="J130" s="55" t="s">
        <v>247</v>
      </c>
      <c r="K130" s="55" t="s">
        <v>253</v>
      </c>
      <c r="L130" s="55" t="s">
        <v>2737</v>
      </c>
      <c r="M130" s="90">
        <v>34.36</v>
      </c>
      <c r="N130" s="90">
        <v>-80.010000000000005</v>
      </c>
      <c r="O130" s="90">
        <v>61.3</v>
      </c>
      <c r="U130" s="55">
        <v>2</v>
      </c>
      <c r="V130" s="55" t="s">
        <v>1816</v>
      </c>
      <c r="Y130" s="55" t="s">
        <v>1815</v>
      </c>
      <c r="Z130" s="55" t="s">
        <v>1349</v>
      </c>
      <c r="AA130" s="90" t="s">
        <v>1677</v>
      </c>
      <c r="AH130" s="55" t="s">
        <v>174</v>
      </c>
      <c r="AM130" s="55" t="s">
        <v>1282</v>
      </c>
      <c r="AN130" s="185" t="s">
        <v>131</v>
      </c>
      <c r="AO130" s="185" t="s">
        <v>5150</v>
      </c>
      <c r="AQ130" s="55" t="s">
        <v>131</v>
      </c>
      <c r="AR130" s="55" t="s">
        <v>1560</v>
      </c>
      <c r="AS130" s="55" t="s">
        <v>158</v>
      </c>
      <c r="AU130" s="181" t="s">
        <v>7494</v>
      </c>
      <c r="AV130" s="185" t="s">
        <v>176</v>
      </c>
      <c r="AX130" s="185" t="s">
        <v>176</v>
      </c>
      <c r="AZ130" s="55" t="s">
        <v>229</v>
      </c>
      <c r="BA130" s="55" t="s">
        <v>248</v>
      </c>
      <c r="BB130" s="55" t="s">
        <v>2081</v>
      </c>
      <c r="BC130" s="55" t="s">
        <v>2082</v>
      </c>
      <c r="BD130" s="55" t="s">
        <v>479</v>
      </c>
      <c r="BE130" s="226" t="s">
        <v>239</v>
      </c>
      <c r="BF130" s="55" t="s">
        <v>479</v>
      </c>
      <c r="BG130" s="55" t="s">
        <v>479</v>
      </c>
      <c r="BH130" s="226" t="s">
        <v>239</v>
      </c>
      <c r="BI130" s="55" t="s">
        <v>479</v>
      </c>
      <c r="BJ130" s="55" t="s">
        <v>176</v>
      </c>
      <c r="BK130" s="55" t="s">
        <v>6269</v>
      </c>
      <c r="BN130" s="55">
        <v>3</v>
      </c>
      <c r="BO130" s="55">
        <v>3</v>
      </c>
      <c r="BQ130" s="55" t="s">
        <v>173</v>
      </c>
      <c r="CB130" s="66">
        <f>0.85*1000</f>
        <v>850</v>
      </c>
      <c r="CC130" s="66">
        <f>0.94*1000</f>
        <v>940</v>
      </c>
      <c r="CG130" s="65" t="s">
        <v>249</v>
      </c>
      <c r="GD130" s="65">
        <f>12.35/100</f>
        <v>0.1235</v>
      </c>
      <c r="GE130" s="65">
        <f>4.74/100</f>
        <v>4.7400000000000005E-2</v>
      </c>
      <c r="GP130" s="292" t="s">
        <v>7494</v>
      </c>
      <c r="HS130" s="227"/>
      <c r="HW130" s="227"/>
      <c r="JU130" s="55" t="s">
        <v>251</v>
      </c>
    </row>
    <row r="131" spans="1:281" x14ac:dyDescent="0.25">
      <c r="A131" s="55">
        <v>130</v>
      </c>
      <c r="B131" s="12" t="s">
        <v>7067</v>
      </c>
      <c r="C131" s="155">
        <v>12</v>
      </c>
      <c r="D131" s="55" t="s">
        <v>3724</v>
      </c>
      <c r="E131" s="90" t="s">
        <v>245</v>
      </c>
      <c r="G131" s="55" t="s">
        <v>246</v>
      </c>
      <c r="H131" s="55">
        <v>1984</v>
      </c>
      <c r="I131" s="55">
        <v>1980</v>
      </c>
      <c r="J131" s="55" t="s">
        <v>247</v>
      </c>
      <c r="K131" s="55" t="s">
        <v>253</v>
      </c>
      <c r="L131" s="55" t="s">
        <v>2737</v>
      </c>
      <c r="M131" s="90">
        <v>34.36</v>
      </c>
      <c r="N131" s="90">
        <v>-80.010000000000005</v>
      </c>
      <c r="O131" s="90">
        <v>61.3</v>
      </c>
      <c r="U131" s="55">
        <v>2</v>
      </c>
      <c r="V131" s="55" t="s">
        <v>1816</v>
      </c>
      <c r="Y131" s="55" t="s">
        <v>1815</v>
      </c>
      <c r="Z131" s="55" t="s">
        <v>1349</v>
      </c>
      <c r="AA131" s="90" t="s">
        <v>1677</v>
      </c>
      <c r="AH131" s="55" t="s">
        <v>174</v>
      </c>
      <c r="AM131" s="55" t="s">
        <v>1282</v>
      </c>
      <c r="AN131" s="185" t="s">
        <v>131</v>
      </c>
      <c r="AO131" s="185" t="s">
        <v>5150</v>
      </c>
      <c r="AQ131" s="55" t="s">
        <v>131</v>
      </c>
      <c r="AR131" s="55" t="s">
        <v>1561</v>
      </c>
      <c r="AS131" s="55" t="s">
        <v>158</v>
      </c>
      <c r="AU131" s="181" t="s">
        <v>7494</v>
      </c>
      <c r="AV131" s="185" t="s">
        <v>176</v>
      </c>
      <c r="AX131" s="185" t="s">
        <v>176</v>
      </c>
      <c r="AZ131" s="55" t="s">
        <v>229</v>
      </c>
      <c r="BA131" s="55" t="s">
        <v>248</v>
      </c>
      <c r="BB131" s="55" t="s">
        <v>2081</v>
      </c>
      <c r="BC131" s="55" t="s">
        <v>2082</v>
      </c>
      <c r="BD131" s="55" t="s">
        <v>479</v>
      </c>
      <c r="BE131" s="226" t="s">
        <v>239</v>
      </c>
      <c r="BF131" s="55" t="s">
        <v>479</v>
      </c>
      <c r="BG131" s="55" t="s">
        <v>479</v>
      </c>
      <c r="BH131" s="226" t="s">
        <v>239</v>
      </c>
      <c r="BI131" s="55" t="s">
        <v>479</v>
      </c>
      <c r="BJ131" s="55" t="s">
        <v>176</v>
      </c>
      <c r="BK131" s="55" t="s">
        <v>6269</v>
      </c>
      <c r="BN131" s="55">
        <v>3</v>
      </c>
      <c r="BO131" s="55">
        <v>3</v>
      </c>
      <c r="BQ131" s="55" t="s">
        <v>173</v>
      </c>
      <c r="CB131" s="66">
        <f>1.03*1000</f>
        <v>1030</v>
      </c>
      <c r="CC131" s="66">
        <f>0.99*1000</f>
        <v>990</v>
      </c>
      <c r="CG131" s="65" t="s">
        <v>249</v>
      </c>
      <c r="GP131" s="292" t="s">
        <v>7494</v>
      </c>
      <c r="HS131" s="227"/>
      <c r="HW131" s="227"/>
      <c r="JU131" s="55" t="s">
        <v>251</v>
      </c>
    </row>
    <row r="132" spans="1:281" x14ac:dyDescent="0.25">
      <c r="A132" s="55">
        <v>131</v>
      </c>
      <c r="B132" s="12" t="s">
        <v>7067</v>
      </c>
      <c r="C132" s="155">
        <v>12</v>
      </c>
      <c r="D132" s="55" t="s">
        <v>3724</v>
      </c>
      <c r="E132" s="90" t="s">
        <v>245</v>
      </c>
      <c r="G132" s="55" t="s">
        <v>246</v>
      </c>
      <c r="H132" s="55">
        <v>1984</v>
      </c>
      <c r="I132" s="55">
        <v>1980</v>
      </c>
      <c r="J132" s="55" t="s">
        <v>247</v>
      </c>
      <c r="K132" s="55" t="s">
        <v>253</v>
      </c>
      <c r="L132" s="55" t="s">
        <v>2737</v>
      </c>
      <c r="M132" s="90">
        <v>34.36</v>
      </c>
      <c r="N132" s="90">
        <v>-80.010000000000005</v>
      </c>
      <c r="O132" s="90">
        <v>61.3</v>
      </c>
      <c r="U132" s="55">
        <v>2</v>
      </c>
      <c r="V132" s="55" t="s">
        <v>1816</v>
      </c>
      <c r="Y132" s="55" t="s">
        <v>1815</v>
      </c>
      <c r="Z132" s="55" t="s">
        <v>1349</v>
      </c>
      <c r="AA132" s="90" t="s">
        <v>1677</v>
      </c>
      <c r="AH132" s="55" t="s">
        <v>174</v>
      </c>
      <c r="AM132" s="55" t="s">
        <v>1282</v>
      </c>
      <c r="AN132" s="185" t="s">
        <v>131</v>
      </c>
      <c r="AO132" s="185" t="s">
        <v>5150</v>
      </c>
      <c r="AQ132" s="55" t="s">
        <v>131</v>
      </c>
      <c r="AR132" s="55" t="s">
        <v>1562</v>
      </c>
      <c r="AS132" s="55" t="s">
        <v>158</v>
      </c>
      <c r="AU132" s="181" t="s">
        <v>7494</v>
      </c>
      <c r="AV132" s="185" t="s">
        <v>176</v>
      </c>
      <c r="AX132" s="185" t="s">
        <v>176</v>
      </c>
      <c r="AZ132" s="55" t="s">
        <v>229</v>
      </c>
      <c r="BA132" s="55" t="s">
        <v>248</v>
      </c>
      <c r="BB132" s="55" t="s">
        <v>2081</v>
      </c>
      <c r="BC132" s="55" t="s">
        <v>2082</v>
      </c>
      <c r="BD132" s="55" t="s">
        <v>479</v>
      </c>
      <c r="BE132" s="226" t="s">
        <v>239</v>
      </c>
      <c r="BF132" s="55" t="s">
        <v>479</v>
      </c>
      <c r="BG132" s="55" t="s">
        <v>479</v>
      </c>
      <c r="BH132" s="226" t="s">
        <v>239</v>
      </c>
      <c r="BI132" s="55" t="s">
        <v>479</v>
      </c>
      <c r="BJ132" s="55" t="s">
        <v>176</v>
      </c>
      <c r="BK132" s="55" t="s">
        <v>6269</v>
      </c>
      <c r="BN132" s="55">
        <v>3</v>
      </c>
      <c r="BO132" s="55">
        <v>3</v>
      </c>
      <c r="BQ132" s="55" t="s">
        <v>173</v>
      </c>
      <c r="CB132" s="66">
        <f>1.08*1000</f>
        <v>1080</v>
      </c>
      <c r="CC132" s="66">
        <f>1.19*1000</f>
        <v>1190</v>
      </c>
      <c r="CG132" s="65" t="s">
        <v>249</v>
      </c>
      <c r="GP132" s="292" t="s">
        <v>7494</v>
      </c>
      <c r="HS132" s="227"/>
      <c r="HW132" s="227"/>
      <c r="JU132" s="55" t="s">
        <v>251</v>
      </c>
    </row>
    <row r="133" spans="1:281" x14ac:dyDescent="0.25">
      <c r="A133" s="55">
        <v>132</v>
      </c>
      <c r="B133" s="12" t="s">
        <v>7067</v>
      </c>
      <c r="C133" s="155">
        <v>12</v>
      </c>
      <c r="D133" s="55" t="s">
        <v>3724</v>
      </c>
      <c r="E133" s="90" t="s">
        <v>245</v>
      </c>
      <c r="G133" s="55" t="s">
        <v>246</v>
      </c>
      <c r="H133" s="55">
        <v>1984</v>
      </c>
      <c r="I133" s="55">
        <v>1980</v>
      </c>
      <c r="J133" s="55" t="s">
        <v>247</v>
      </c>
      <c r="K133" s="55" t="s">
        <v>253</v>
      </c>
      <c r="L133" s="55" t="s">
        <v>2737</v>
      </c>
      <c r="M133" s="90">
        <v>34.36</v>
      </c>
      <c r="N133" s="90">
        <v>-80.010000000000005</v>
      </c>
      <c r="O133" s="90">
        <v>61.3</v>
      </c>
      <c r="U133" s="55">
        <v>2</v>
      </c>
      <c r="V133" s="55" t="s">
        <v>1816</v>
      </c>
      <c r="Y133" s="55" t="s">
        <v>1815</v>
      </c>
      <c r="Z133" s="55" t="s">
        <v>1349</v>
      </c>
      <c r="AA133" s="90" t="s">
        <v>1677</v>
      </c>
      <c r="AH133" s="55" t="s">
        <v>174</v>
      </c>
      <c r="AM133" s="55" t="s">
        <v>1282</v>
      </c>
      <c r="AN133" s="185" t="s">
        <v>131</v>
      </c>
      <c r="AO133" s="185" t="s">
        <v>5150</v>
      </c>
      <c r="AQ133" s="55" t="s">
        <v>131</v>
      </c>
      <c r="AR133" s="55" t="s">
        <v>1560</v>
      </c>
      <c r="AS133" s="55" t="s">
        <v>158</v>
      </c>
      <c r="AU133" s="181" t="s">
        <v>7494</v>
      </c>
      <c r="AV133" s="185" t="s">
        <v>176</v>
      </c>
      <c r="AX133" s="185" t="s">
        <v>176</v>
      </c>
      <c r="AZ133" s="55" t="s">
        <v>229</v>
      </c>
      <c r="BA133" s="55" t="s">
        <v>248</v>
      </c>
      <c r="BB133" s="55" t="s">
        <v>2081</v>
      </c>
      <c r="BC133" s="55" t="s">
        <v>2082</v>
      </c>
      <c r="BD133" s="55" t="s">
        <v>479</v>
      </c>
      <c r="BE133" s="226" t="s">
        <v>239</v>
      </c>
      <c r="BF133" s="55" t="s">
        <v>479</v>
      </c>
      <c r="BG133" s="55" t="s">
        <v>479</v>
      </c>
      <c r="BH133" s="226" t="s">
        <v>239</v>
      </c>
      <c r="BI133" s="55" t="s">
        <v>479</v>
      </c>
      <c r="BJ133" s="55" t="s">
        <v>176</v>
      </c>
      <c r="BK133" s="55" t="s">
        <v>6269</v>
      </c>
      <c r="BN133" s="55">
        <v>3</v>
      </c>
      <c r="BO133" s="55">
        <v>3</v>
      </c>
      <c r="BQ133" s="55" t="s">
        <v>173</v>
      </c>
      <c r="CB133" s="66">
        <f>0.96*1000</f>
        <v>960</v>
      </c>
      <c r="CC133" s="66">
        <f>0.84*1000</f>
        <v>840</v>
      </c>
      <c r="CG133" s="65" t="s">
        <v>250</v>
      </c>
      <c r="GP133" s="292" t="s">
        <v>7494</v>
      </c>
      <c r="HS133" s="227"/>
      <c r="HW133" s="227"/>
      <c r="JU133" s="55" t="s">
        <v>251</v>
      </c>
    </row>
    <row r="134" spans="1:281" x14ac:dyDescent="0.25">
      <c r="A134" s="55">
        <v>133</v>
      </c>
      <c r="B134" s="12" t="s">
        <v>7067</v>
      </c>
      <c r="C134" s="155">
        <v>12</v>
      </c>
      <c r="D134" s="55" t="s">
        <v>3724</v>
      </c>
      <c r="E134" s="90" t="s">
        <v>245</v>
      </c>
      <c r="G134" s="55" t="s">
        <v>246</v>
      </c>
      <c r="H134" s="55">
        <v>1984</v>
      </c>
      <c r="I134" s="55">
        <v>1980</v>
      </c>
      <c r="J134" s="55" t="s">
        <v>247</v>
      </c>
      <c r="K134" s="55" t="s">
        <v>253</v>
      </c>
      <c r="L134" s="55" t="s">
        <v>2737</v>
      </c>
      <c r="M134" s="90">
        <v>34.36</v>
      </c>
      <c r="N134" s="90">
        <v>-80.010000000000005</v>
      </c>
      <c r="O134" s="90">
        <v>61.3</v>
      </c>
      <c r="U134" s="55">
        <v>2</v>
      </c>
      <c r="V134" s="55" t="s">
        <v>1816</v>
      </c>
      <c r="Y134" s="55" t="s">
        <v>1815</v>
      </c>
      <c r="Z134" s="55" t="s">
        <v>1349</v>
      </c>
      <c r="AA134" s="90" t="s">
        <v>1677</v>
      </c>
      <c r="AH134" s="55" t="s">
        <v>174</v>
      </c>
      <c r="AM134" s="55" t="s">
        <v>1282</v>
      </c>
      <c r="AN134" s="185" t="s">
        <v>131</v>
      </c>
      <c r="AO134" s="185" t="s">
        <v>5150</v>
      </c>
      <c r="AQ134" s="55" t="s">
        <v>131</v>
      </c>
      <c r="AR134" s="55" t="s">
        <v>1561</v>
      </c>
      <c r="AS134" s="55" t="s">
        <v>158</v>
      </c>
      <c r="AU134" s="181" t="s">
        <v>7494</v>
      </c>
      <c r="AV134" s="185" t="s">
        <v>176</v>
      </c>
      <c r="AX134" s="185" t="s">
        <v>176</v>
      </c>
      <c r="AZ134" s="55" t="s">
        <v>229</v>
      </c>
      <c r="BA134" s="55" t="s">
        <v>248</v>
      </c>
      <c r="BB134" s="55" t="s">
        <v>2081</v>
      </c>
      <c r="BC134" s="55" t="s">
        <v>2082</v>
      </c>
      <c r="BD134" s="55" t="s">
        <v>479</v>
      </c>
      <c r="BE134" s="226" t="s">
        <v>239</v>
      </c>
      <c r="BF134" s="55" t="s">
        <v>479</v>
      </c>
      <c r="BG134" s="55" t="s">
        <v>479</v>
      </c>
      <c r="BH134" s="226" t="s">
        <v>239</v>
      </c>
      <c r="BI134" s="55" t="s">
        <v>479</v>
      </c>
      <c r="BJ134" s="55" t="s">
        <v>176</v>
      </c>
      <c r="BK134" s="55" t="s">
        <v>6269</v>
      </c>
      <c r="BN134" s="55">
        <v>3</v>
      </c>
      <c r="BO134" s="55">
        <v>3</v>
      </c>
      <c r="BQ134" s="55" t="s">
        <v>173</v>
      </c>
      <c r="CB134" s="66">
        <f>0.93*1000</f>
        <v>930</v>
      </c>
      <c r="CC134" s="66">
        <f>0.87*1000</f>
        <v>870</v>
      </c>
      <c r="CG134" s="65" t="s">
        <v>250</v>
      </c>
      <c r="GP134" s="292" t="s">
        <v>7494</v>
      </c>
      <c r="HS134" s="227"/>
      <c r="HW134" s="227"/>
      <c r="JU134" s="55" t="s">
        <v>251</v>
      </c>
    </row>
    <row r="135" spans="1:281" x14ac:dyDescent="0.25">
      <c r="A135" s="55">
        <v>134</v>
      </c>
      <c r="B135" s="12" t="s">
        <v>7067</v>
      </c>
      <c r="C135" s="155">
        <v>12</v>
      </c>
      <c r="D135" s="55" t="s">
        <v>3724</v>
      </c>
      <c r="E135" s="90" t="s">
        <v>245</v>
      </c>
      <c r="G135" s="55" t="s">
        <v>246</v>
      </c>
      <c r="H135" s="55">
        <v>1984</v>
      </c>
      <c r="I135" s="55">
        <v>1980</v>
      </c>
      <c r="J135" s="55" t="s">
        <v>247</v>
      </c>
      <c r="K135" s="55" t="s">
        <v>253</v>
      </c>
      <c r="L135" s="55" t="s">
        <v>2737</v>
      </c>
      <c r="M135" s="90">
        <v>34.36</v>
      </c>
      <c r="N135" s="90">
        <v>-80.010000000000005</v>
      </c>
      <c r="O135" s="90">
        <v>61.3</v>
      </c>
      <c r="U135" s="55">
        <v>2</v>
      </c>
      <c r="V135" s="55" t="s">
        <v>1816</v>
      </c>
      <c r="Y135" s="55" t="s">
        <v>1815</v>
      </c>
      <c r="Z135" s="55" t="s">
        <v>1349</v>
      </c>
      <c r="AA135" s="90" t="s">
        <v>1677</v>
      </c>
      <c r="AH135" s="55" t="s">
        <v>174</v>
      </c>
      <c r="AM135" s="55" t="s">
        <v>1282</v>
      </c>
      <c r="AN135" s="185" t="s">
        <v>131</v>
      </c>
      <c r="AO135" s="185" t="s">
        <v>5150</v>
      </c>
      <c r="AQ135" s="55" t="s">
        <v>131</v>
      </c>
      <c r="AR135" s="55" t="s">
        <v>1562</v>
      </c>
      <c r="AS135" s="55" t="s">
        <v>158</v>
      </c>
      <c r="AU135" s="181" t="s">
        <v>7494</v>
      </c>
      <c r="AV135" s="185" t="s">
        <v>176</v>
      </c>
      <c r="AX135" s="185" t="s">
        <v>176</v>
      </c>
      <c r="AZ135" s="55" t="s">
        <v>229</v>
      </c>
      <c r="BA135" s="55" t="s">
        <v>248</v>
      </c>
      <c r="BB135" s="55" t="s">
        <v>2081</v>
      </c>
      <c r="BC135" s="55" t="s">
        <v>2082</v>
      </c>
      <c r="BD135" s="55" t="s">
        <v>479</v>
      </c>
      <c r="BE135" s="226" t="s">
        <v>239</v>
      </c>
      <c r="BF135" s="55" t="s">
        <v>479</v>
      </c>
      <c r="BG135" s="55" t="s">
        <v>479</v>
      </c>
      <c r="BH135" s="226" t="s">
        <v>239</v>
      </c>
      <c r="BI135" s="55" t="s">
        <v>479</v>
      </c>
      <c r="BJ135" s="55" t="s">
        <v>176</v>
      </c>
      <c r="BK135" s="55" t="s">
        <v>6269</v>
      </c>
      <c r="BN135" s="55">
        <v>3</v>
      </c>
      <c r="BO135" s="55">
        <v>3</v>
      </c>
      <c r="BQ135" s="55" t="s">
        <v>173</v>
      </c>
      <c r="CB135" s="66">
        <f>1.01*1000</f>
        <v>1010</v>
      </c>
      <c r="CC135" s="66">
        <f>0.89*1000</f>
        <v>890</v>
      </c>
      <c r="CG135" s="65" t="s">
        <v>250</v>
      </c>
      <c r="GP135" s="292" t="s">
        <v>7494</v>
      </c>
      <c r="HS135" s="227"/>
      <c r="HW135" s="227"/>
      <c r="JU135" s="55" t="s">
        <v>251</v>
      </c>
    </row>
    <row r="136" spans="1:281" x14ac:dyDescent="0.25">
      <c r="A136" s="55">
        <v>135</v>
      </c>
      <c r="B136" s="12" t="s">
        <v>7067</v>
      </c>
      <c r="C136" s="155">
        <v>12</v>
      </c>
      <c r="D136" s="55" t="s">
        <v>3724</v>
      </c>
      <c r="E136" s="90" t="s">
        <v>245</v>
      </c>
      <c r="G136" s="55" t="s">
        <v>246</v>
      </c>
      <c r="H136" s="55">
        <v>1984</v>
      </c>
      <c r="I136" s="55">
        <v>1980</v>
      </c>
      <c r="J136" s="55" t="s">
        <v>247</v>
      </c>
      <c r="K136" s="55" t="s">
        <v>253</v>
      </c>
      <c r="L136" s="55" t="s">
        <v>2737</v>
      </c>
      <c r="M136" s="90">
        <v>34.36</v>
      </c>
      <c r="N136" s="90">
        <v>-80.010000000000005</v>
      </c>
      <c r="O136" s="90">
        <v>61.3</v>
      </c>
      <c r="U136" s="55">
        <v>2</v>
      </c>
      <c r="V136" s="55" t="s">
        <v>1816</v>
      </c>
      <c r="Y136" s="55" t="s">
        <v>1815</v>
      </c>
      <c r="Z136" s="55" t="s">
        <v>1349</v>
      </c>
      <c r="AA136" s="90" t="s">
        <v>1677</v>
      </c>
      <c r="AH136" s="55" t="s">
        <v>174</v>
      </c>
      <c r="AM136" s="55" t="s">
        <v>1282</v>
      </c>
      <c r="AN136" s="185" t="s">
        <v>131</v>
      </c>
      <c r="AO136" s="185" t="s">
        <v>5150</v>
      </c>
      <c r="AQ136" s="55" t="s">
        <v>131</v>
      </c>
      <c r="AR136" s="55" t="s">
        <v>1560</v>
      </c>
      <c r="AS136" s="55" t="s">
        <v>158</v>
      </c>
      <c r="AU136" s="181" t="s">
        <v>7494</v>
      </c>
      <c r="AV136" s="185" t="s">
        <v>176</v>
      </c>
      <c r="AX136" s="185" t="s">
        <v>176</v>
      </c>
      <c r="AZ136" s="55" t="s">
        <v>229</v>
      </c>
      <c r="BA136" s="55" t="s">
        <v>248</v>
      </c>
      <c r="BB136" s="55" t="s">
        <v>2081</v>
      </c>
      <c r="BC136" s="55" t="s">
        <v>2082</v>
      </c>
      <c r="BD136" s="55" t="s">
        <v>479</v>
      </c>
      <c r="BE136" s="226" t="s">
        <v>239</v>
      </c>
      <c r="BF136" s="55" t="s">
        <v>479</v>
      </c>
      <c r="BG136" s="55" t="s">
        <v>479</v>
      </c>
      <c r="BH136" s="226" t="s">
        <v>239</v>
      </c>
      <c r="BI136" s="55" t="s">
        <v>479</v>
      </c>
      <c r="BJ136" s="55" t="s">
        <v>176</v>
      </c>
      <c r="BK136" s="55" t="s">
        <v>6269</v>
      </c>
      <c r="BN136" s="55">
        <v>3</v>
      </c>
      <c r="BO136" s="55">
        <v>3</v>
      </c>
      <c r="BQ136" s="55" t="s">
        <v>173</v>
      </c>
      <c r="CB136" s="66">
        <f>1.01*1000</f>
        <v>1010</v>
      </c>
      <c r="CC136" s="66">
        <f>1.08*1000</f>
        <v>1080</v>
      </c>
      <c r="CG136" s="65" t="s">
        <v>249</v>
      </c>
      <c r="GP136" s="292" t="s">
        <v>7494</v>
      </c>
      <c r="HS136" s="227"/>
      <c r="HW136" s="227"/>
      <c r="JU136" s="55" t="s">
        <v>252</v>
      </c>
    </row>
    <row r="137" spans="1:281" x14ac:dyDescent="0.25">
      <c r="A137" s="55">
        <v>136</v>
      </c>
      <c r="B137" s="12" t="s">
        <v>7067</v>
      </c>
      <c r="C137" s="155">
        <v>12</v>
      </c>
      <c r="D137" s="55" t="s">
        <v>3724</v>
      </c>
      <c r="E137" s="90" t="s">
        <v>245</v>
      </c>
      <c r="G137" s="55" t="s">
        <v>246</v>
      </c>
      <c r="H137" s="55">
        <v>1984</v>
      </c>
      <c r="I137" s="55">
        <v>1980</v>
      </c>
      <c r="J137" s="55" t="s">
        <v>247</v>
      </c>
      <c r="K137" s="55" t="s">
        <v>253</v>
      </c>
      <c r="L137" s="55" t="s">
        <v>2737</v>
      </c>
      <c r="M137" s="90">
        <v>34.36</v>
      </c>
      <c r="N137" s="90">
        <v>-80.010000000000005</v>
      </c>
      <c r="O137" s="90">
        <v>61.3</v>
      </c>
      <c r="U137" s="55">
        <v>2</v>
      </c>
      <c r="V137" s="55" t="s">
        <v>1816</v>
      </c>
      <c r="Y137" s="55" t="s">
        <v>1815</v>
      </c>
      <c r="Z137" s="55" t="s">
        <v>1349</v>
      </c>
      <c r="AA137" s="90" t="s">
        <v>1677</v>
      </c>
      <c r="AH137" s="55" t="s">
        <v>174</v>
      </c>
      <c r="AM137" s="55" t="s">
        <v>1282</v>
      </c>
      <c r="AN137" s="185" t="s">
        <v>131</v>
      </c>
      <c r="AO137" s="185" t="s">
        <v>5150</v>
      </c>
      <c r="AQ137" s="55" t="s">
        <v>131</v>
      </c>
      <c r="AR137" s="55" t="s">
        <v>1561</v>
      </c>
      <c r="AS137" s="55" t="s">
        <v>158</v>
      </c>
      <c r="AU137" s="181" t="s">
        <v>7494</v>
      </c>
      <c r="AV137" s="185" t="s">
        <v>176</v>
      </c>
      <c r="AX137" s="185" t="s">
        <v>176</v>
      </c>
      <c r="AZ137" s="55" t="s">
        <v>229</v>
      </c>
      <c r="BA137" s="55" t="s">
        <v>248</v>
      </c>
      <c r="BB137" s="55" t="s">
        <v>2081</v>
      </c>
      <c r="BC137" s="55" t="s">
        <v>2082</v>
      </c>
      <c r="BD137" s="55" t="s">
        <v>479</v>
      </c>
      <c r="BE137" s="226" t="s">
        <v>239</v>
      </c>
      <c r="BF137" s="55" t="s">
        <v>479</v>
      </c>
      <c r="BG137" s="55" t="s">
        <v>479</v>
      </c>
      <c r="BH137" s="226" t="s">
        <v>239</v>
      </c>
      <c r="BI137" s="55" t="s">
        <v>479</v>
      </c>
      <c r="BJ137" s="55" t="s">
        <v>176</v>
      </c>
      <c r="BK137" s="55" t="s">
        <v>6269</v>
      </c>
      <c r="BN137" s="55">
        <v>3</v>
      </c>
      <c r="BO137" s="55">
        <v>3</v>
      </c>
      <c r="BQ137" s="55" t="s">
        <v>173</v>
      </c>
      <c r="CB137" s="66">
        <f>1.1*1000</f>
        <v>1100</v>
      </c>
      <c r="CC137" s="66">
        <f>0.81*1000</f>
        <v>810</v>
      </c>
      <c r="CG137" s="65" t="s">
        <v>249</v>
      </c>
      <c r="GP137" s="292" t="s">
        <v>7494</v>
      </c>
      <c r="HS137" s="227"/>
      <c r="HW137" s="227"/>
      <c r="JU137" s="55" t="s">
        <v>252</v>
      </c>
    </row>
    <row r="138" spans="1:281" x14ac:dyDescent="0.25">
      <c r="A138" s="55">
        <v>137</v>
      </c>
      <c r="B138" s="12" t="s">
        <v>7067</v>
      </c>
      <c r="C138" s="155">
        <v>12</v>
      </c>
      <c r="D138" s="55" t="s">
        <v>3724</v>
      </c>
      <c r="E138" s="90" t="s">
        <v>245</v>
      </c>
      <c r="G138" s="55" t="s">
        <v>246</v>
      </c>
      <c r="H138" s="55">
        <v>1984</v>
      </c>
      <c r="I138" s="55">
        <v>1980</v>
      </c>
      <c r="J138" s="55" t="s">
        <v>247</v>
      </c>
      <c r="K138" s="55" t="s">
        <v>253</v>
      </c>
      <c r="L138" s="55" t="s">
        <v>2737</v>
      </c>
      <c r="M138" s="90">
        <v>34.36</v>
      </c>
      <c r="N138" s="90">
        <v>-80.010000000000005</v>
      </c>
      <c r="O138" s="90">
        <v>61.3</v>
      </c>
      <c r="U138" s="55">
        <v>2</v>
      </c>
      <c r="V138" s="55" t="s">
        <v>1816</v>
      </c>
      <c r="Y138" s="55" t="s">
        <v>1815</v>
      </c>
      <c r="Z138" s="55" t="s">
        <v>1349</v>
      </c>
      <c r="AA138" s="90" t="s">
        <v>1677</v>
      </c>
      <c r="AH138" s="55" t="s">
        <v>174</v>
      </c>
      <c r="AM138" s="55" t="s">
        <v>1282</v>
      </c>
      <c r="AN138" s="185" t="s">
        <v>131</v>
      </c>
      <c r="AO138" s="185" t="s">
        <v>5150</v>
      </c>
      <c r="AQ138" s="55" t="s">
        <v>131</v>
      </c>
      <c r="AR138" s="55" t="s">
        <v>1562</v>
      </c>
      <c r="AS138" s="55" t="s">
        <v>158</v>
      </c>
      <c r="AU138" s="181" t="s">
        <v>7494</v>
      </c>
      <c r="AV138" s="185" t="s">
        <v>176</v>
      </c>
      <c r="AX138" s="185" t="s">
        <v>176</v>
      </c>
      <c r="AZ138" s="55" t="s">
        <v>229</v>
      </c>
      <c r="BA138" s="55" t="s">
        <v>248</v>
      </c>
      <c r="BB138" s="55" t="s">
        <v>2081</v>
      </c>
      <c r="BC138" s="55" t="s">
        <v>2082</v>
      </c>
      <c r="BD138" s="55" t="s">
        <v>479</v>
      </c>
      <c r="BE138" s="226" t="s">
        <v>239</v>
      </c>
      <c r="BF138" s="55" t="s">
        <v>479</v>
      </c>
      <c r="BG138" s="55" t="s">
        <v>479</v>
      </c>
      <c r="BH138" s="226" t="s">
        <v>239</v>
      </c>
      <c r="BI138" s="55" t="s">
        <v>479</v>
      </c>
      <c r="BJ138" s="55" t="s">
        <v>176</v>
      </c>
      <c r="BK138" s="55" t="s">
        <v>6269</v>
      </c>
      <c r="BN138" s="55">
        <v>3</v>
      </c>
      <c r="BO138" s="55">
        <v>3</v>
      </c>
      <c r="BQ138" s="55" t="s">
        <v>173</v>
      </c>
      <c r="CB138" s="66">
        <f>1.08*1000</f>
        <v>1080</v>
      </c>
      <c r="CC138" s="66">
        <f>0.92*1000</f>
        <v>920</v>
      </c>
      <c r="CG138" s="65" t="s">
        <v>249</v>
      </c>
      <c r="GP138" s="292" t="s">
        <v>7494</v>
      </c>
      <c r="HS138" s="227"/>
      <c r="HW138" s="227"/>
      <c r="JU138" s="55" t="s">
        <v>252</v>
      </c>
    </row>
    <row r="139" spans="1:281" x14ac:dyDescent="0.25">
      <c r="A139" s="55">
        <v>138</v>
      </c>
      <c r="B139" s="12" t="s">
        <v>7067</v>
      </c>
      <c r="C139" s="155">
        <v>12</v>
      </c>
      <c r="D139" s="55" t="s">
        <v>3724</v>
      </c>
      <c r="E139" s="90" t="s">
        <v>245</v>
      </c>
      <c r="G139" s="55" t="s">
        <v>246</v>
      </c>
      <c r="H139" s="55">
        <v>1984</v>
      </c>
      <c r="I139" s="55">
        <v>1980</v>
      </c>
      <c r="J139" s="55" t="s">
        <v>247</v>
      </c>
      <c r="K139" s="55" t="s">
        <v>253</v>
      </c>
      <c r="L139" s="55" t="s">
        <v>2737</v>
      </c>
      <c r="M139" s="90">
        <v>34.36</v>
      </c>
      <c r="N139" s="90">
        <v>-80.010000000000005</v>
      </c>
      <c r="O139" s="90">
        <v>61.3</v>
      </c>
      <c r="U139" s="55">
        <v>2</v>
      </c>
      <c r="V139" s="55" t="s">
        <v>1816</v>
      </c>
      <c r="Y139" s="55" t="s">
        <v>1815</v>
      </c>
      <c r="Z139" s="55" t="s">
        <v>1349</v>
      </c>
      <c r="AA139" s="90" t="s">
        <v>1677</v>
      </c>
      <c r="AH139" s="55" t="s">
        <v>174</v>
      </c>
      <c r="AM139" s="55" t="s">
        <v>1282</v>
      </c>
      <c r="AN139" s="185" t="s">
        <v>131</v>
      </c>
      <c r="AO139" s="185" t="s">
        <v>5150</v>
      </c>
      <c r="AQ139" s="55" t="s">
        <v>131</v>
      </c>
      <c r="AR139" s="55" t="s">
        <v>1560</v>
      </c>
      <c r="AS139" s="55" t="s">
        <v>158</v>
      </c>
      <c r="AU139" s="181" t="s">
        <v>7494</v>
      </c>
      <c r="AV139" s="185" t="s">
        <v>176</v>
      </c>
      <c r="AX139" s="185" t="s">
        <v>176</v>
      </c>
      <c r="AZ139" s="55" t="s">
        <v>229</v>
      </c>
      <c r="BA139" s="55" t="s">
        <v>248</v>
      </c>
      <c r="BB139" s="55" t="s">
        <v>2081</v>
      </c>
      <c r="BC139" s="55" t="s">
        <v>2082</v>
      </c>
      <c r="BD139" s="55" t="s">
        <v>479</v>
      </c>
      <c r="BE139" s="226" t="s">
        <v>239</v>
      </c>
      <c r="BF139" s="55" t="s">
        <v>479</v>
      </c>
      <c r="BG139" s="55" t="s">
        <v>479</v>
      </c>
      <c r="BH139" s="226" t="s">
        <v>239</v>
      </c>
      <c r="BI139" s="55" t="s">
        <v>479</v>
      </c>
      <c r="BJ139" s="55" t="s">
        <v>176</v>
      </c>
      <c r="BK139" s="55" t="s">
        <v>6269</v>
      </c>
      <c r="BN139" s="55">
        <v>3</v>
      </c>
      <c r="BO139" s="55">
        <v>3</v>
      </c>
      <c r="BQ139" s="55" t="s">
        <v>173</v>
      </c>
      <c r="CB139" s="66">
        <f>0.81*1000</f>
        <v>810</v>
      </c>
      <c r="CC139" s="66">
        <f>0.99*1000</f>
        <v>990</v>
      </c>
      <c r="CG139" s="65" t="s">
        <v>250</v>
      </c>
      <c r="GP139" s="292" t="s">
        <v>7494</v>
      </c>
      <c r="HS139" s="227"/>
      <c r="HW139" s="227"/>
      <c r="JU139" s="55" t="s">
        <v>252</v>
      </c>
    </row>
    <row r="140" spans="1:281" x14ac:dyDescent="0.25">
      <c r="A140" s="55">
        <v>139</v>
      </c>
      <c r="B140" s="12" t="s">
        <v>7067</v>
      </c>
      <c r="C140" s="155">
        <v>12</v>
      </c>
      <c r="D140" s="55" t="s">
        <v>3724</v>
      </c>
      <c r="E140" s="90" t="s">
        <v>245</v>
      </c>
      <c r="G140" s="55" t="s">
        <v>246</v>
      </c>
      <c r="H140" s="55">
        <v>1984</v>
      </c>
      <c r="I140" s="55">
        <v>1980</v>
      </c>
      <c r="J140" s="55" t="s">
        <v>247</v>
      </c>
      <c r="K140" s="55" t="s">
        <v>253</v>
      </c>
      <c r="L140" s="55" t="s">
        <v>2737</v>
      </c>
      <c r="M140" s="90">
        <v>34.36</v>
      </c>
      <c r="N140" s="90">
        <v>-80.010000000000005</v>
      </c>
      <c r="O140" s="90">
        <v>61.3</v>
      </c>
      <c r="U140" s="55">
        <v>2</v>
      </c>
      <c r="V140" s="55" t="s">
        <v>1816</v>
      </c>
      <c r="Y140" s="55" t="s">
        <v>1815</v>
      </c>
      <c r="Z140" s="55" t="s">
        <v>1349</v>
      </c>
      <c r="AA140" s="90" t="s">
        <v>1677</v>
      </c>
      <c r="AH140" s="55" t="s">
        <v>174</v>
      </c>
      <c r="AM140" s="55" t="s">
        <v>1282</v>
      </c>
      <c r="AN140" s="185" t="s">
        <v>131</v>
      </c>
      <c r="AO140" s="185" t="s">
        <v>5150</v>
      </c>
      <c r="AQ140" s="55" t="s">
        <v>131</v>
      </c>
      <c r="AR140" s="55" t="s">
        <v>1561</v>
      </c>
      <c r="AS140" s="55" t="s">
        <v>158</v>
      </c>
      <c r="AU140" s="181" t="s">
        <v>7494</v>
      </c>
      <c r="AV140" s="185" t="s">
        <v>176</v>
      </c>
      <c r="AX140" s="185" t="s">
        <v>176</v>
      </c>
      <c r="AZ140" s="55" t="s">
        <v>229</v>
      </c>
      <c r="BA140" s="55" t="s">
        <v>248</v>
      </c>
      <c r="BB140" s="55" t="s">
        <v>2081</v>
      </c>
      <c r="BC140" s="55" t="s">
        <v>2082</v>
      </c>
      <c r="BD140" s="55" t="s">
        <v>479</v>
      </c>
      <c r="BE140" s="226" t="s">
        <v>239</v>
      </c>
      <c r="BF140" s="55" t="s">
        <v>479</v>
      </c>
      <c r="BG140" s="55" t="s">
        <v>479</v>
      </c>
      <c r="BH140" s="226" t="s">
        <v>239</v>
      </c>
      <c r="BI140" s="55" t="s">
        <v>479</v>
      </c>
      <c r="BJ140" s="55" t="s">
        <v>176</v>
      </c>
      <c r="BK140" s="55" t="s">
        <v>6269</v>
      </c>
      <c r="BN140" s="55">
        <v>3</v>
      </c>
      <c r="BO140" s="55">
        <v>3</v>
      </c>
      <c r="BQ140" s="55" t="s">
        <v>173</v>
      </c>
      <c r="CB140" s="66">
        <f>1.06*1000</f>
        <v>1060</v>
      </c>
      <c r="CC140" s="66">
        <f>0.97*1000</f>
        <v>970</v>
      </c>
      <c r="CG140" s="65" t="s">
        <v>250</v>
      </c>
      <c r="GP140" s="292" t="s">
        <v>7494</v>
      </c>
      <c r="HS140" s="227"/>
      <c r="HW140" s="227"/>
      <c r="JU140" s="55" t="s">
        <v>252</v>
      </c>
    </row>
    <row r="141" spans="1:281" x14ac:dyDescent="0.25">
      <c r="A141" s="55">
        <v>140</v>
      </c>
      <c r="B141" s="12" t="s">
        <v>7067</v>
      </c>
      <c r="C141" s="155">
        <v>12</v>
      </c>
      <c r="D141" s="55" t="s">
        <v>3724</v>
      </c>
      <c r="E141" s="90" t="s">
        <v>245</v>
      </c>
      <c r="G141" s="55" t="s">
        <v>246</v>
      </c>
      <c r="H141" s="55">
        <v>1984</v>
      </c>
      <c r="I141" s="55">
        <v>1980</v>
      </c>
      <c r="J141" s="55" t="s">
        <v>247</v>
      </c>
      <c r="K141" s="55" t="s">
        <v>253</v>
      </c>
      <c r="L141" s="55" t="s">
        <v>2737</v>
      </c>
      <c r="M141" s="90">
        <v>34.36</v>
      </c>
      <c r="N141" s="90">
        <v>-80.010000000000005</v>
      </c>
      <c r="O141" s="90">
        <v>61.3</v>
      </c>
      <c r="U141" s="55">
        <v>2</v>
      </c>
      <c r="V141" s="55" t="s">
        <v>1816</v>
      </c>
      <c r="Y141" s="55" t="s">
        <v>1815</v>
      </c>
      <c r="Z141" s="55" t="s">
        <v>1349</v>
      </c>
      <c r="AA141" s="90" t="s">
        <v>1677</v>
      </c>
      <c r="AH141" s="55" t="s">
        <v>174</v>
      </c>
      <c r="AM141" s="55" t="s">
        <v>1282</v>
      </c>
      <c r="AN141" s="185" t="s">
        <v>131</v>
      </c>
      <c r="AO141" s="185" t="s">
        <v>5150</v>
      </c>
      <c r="AQ141" s="55" t="s">
        <v>131</v>
      </c>
      <c r="AR141" s="55" t="s">
        <v>1562</v>
      </c>
      <c r="AS141" s="55" t="s">
        <v>158</v>
      </c>
      <c r="AU141" s="181" t="s">
        <v>7494</v>
      </c>
      <c r="AV141" s="185" t="s">
        <v>176</v>
      </c>
      <c r="AX141" s="185" t="s">
        <v>176</v>
      </c>
      <c r="AZ141" s="55" t="s">
        <v>229</v>
      </c>
      <c r="BA141" s="55" t="s">
        <v>248</v>
      </c>
      <c r="BB141" s="55" t="s">
        <v>2081</v>
      </c>
      <c r="BC141" s="55" t="s">
        <v>2082</v>
      </c>
      <c r="BD141" s="55" t="s">
        <v>479</v>
      </c>
      <c r="BE141" s="226" t="s">
        <v>239</v>
      </c>
      <c r="BF141" s="55" t="s">
        <v>479</v>
      </c>
      <c r="BG141" s="55" t="s">
        <v>479</v>
      </c>
      <c r="BH141" s="226" t="s">
        <v>239</v>
      </c>
      <c r="BI141" s="55" t="s">
        <v>479</v>
      </c>
      <c r="BJ141" s="55" t="s">
        <v>176</v>
      </c>
      <c r="BK141" s="55" t="s">
        <v>6269</v>
      </c>
      <c r="BN141" s="55">
        <v>3</v>
      </c>
      <c r="BO141" s="55">
        <v>3</v>
      </c>
      <c r="BQ141" s="55" t="s">
        <v>173</v>
      </c>
      <c r="CB141" s="66">
        <f>1.14*1000</f>
        <v>1140</v>
      </c>
      <c r="CC141" s="66">
        <f>1.02*1000</f>
        <v>1020</v>
      </c>
      <c r="CG141" s="65" t="s">
        <v>250</v>
      </c>
      <c r="GP141" s="292" t="s">
        <v>7494</v>
      </c>
      <c r="HS141" s="227"/>
      <c r="HW141" s="227"/>
      <c r="JU141" s="55" t="s">
        <v>252</v>
      </c>
    </row>
    <row r="142" spans="1:281" x14ac:dyDescent="0.25">
      <c r="A142" s="55">
        <v>141</v>
      </c>
      <c r="B142" s="12" t="s">
        <v>7067</v>
      </c>
      <c r="C142" s="155">
        <v>12</v>
      </c>
      <c r="D142" s="55" t="s">
        <v>3725</v>
      </c>
      <c r="E142" s="90" t="s">
        <v>245</v>
      </c>
      <c r="G142" s="55" t="s">
        <v>246</v>
      </c>
      <c r="H142" s="55">
        <v>1984</v>
      </c>
      <c r="I142" s="55">
        <v>1980</v>
      </c>
      <c r="J142" s="55" t="s">
        <v>247</v>
      </c>
      <c r="K142" s="55" t="s">
        <v>254</v>
      </c>
      <c r="L142" s="55" t="s">
        <v>2737</v>
      </c>
      <c r="M142" s="90">
        <v>34.200000000000003</v>
      </c>
      <c r="N142" s="90">
        <v>-79.760000000000005</v>
      </c>
      <c r="O142" s="90">
        <v>44.3</v>
      </c>
      <c r="U142" s="55">
        <v>3</v>
      </c>
      <c r="V142" s="55" t="s">
        <v>1816</v>
      </c>
      <c r="Y142" s="55" t="s">
        <v>1815</v>
      </c>
      <c r="Z142" s="55" t="s">
        <v>1349</v>
      </c>
      <c r="AA142" s="90" t="s">
        <v>1677</v>
      </c>
      <c r="AH142" s="55" t="s">
        <v>174</v>
      </c>
      <c r="AM142" s="55" t="s">
        <v>1282</v>
      </c>
      <c r="AN142" s="185" t="s">
        <v>131</v>
      </c>
      <c r="AO142" s="185" t="s">
        <v>5150</v>
      </c>
      <c r="AQ142" s="55" t="s">
        <v>131</v>
      </c>
      <c r="AR142" s="55" t="s">
        <v>1560</v>
      </c>
      <c r="AS142" s="55" t="s">
        <v>158</v>
      </c>
      <c r="AU142" s="181" t="s">
        <v>7494</v>
      </c>
      <c r="AV142" s="185" t="s">
        <v>176</v>
      </c>
      <c r="AX142" s="185" t="s">
        <v>176</v>
      </c>
      <c r="AZ142" s="55" t="s">
        <v>229</v>
      </c>
      <c r="BA142" s="55" t="s">
        <v>248</v>
      </c>
      <c r="BB142" s="55" t="s">
        <v>2081</v>
      </c>
      <c r="BC142" s="55" t="s">
        <v>2082</v>
      </c>
      <c r="BD142" s="55" t="s">
        <v>479</v>
      </c>
      <c r="BE142" s="226" t="s">
        <v>239</v>
      </c>
      <c r="BF142" s="55" t="s">
        <v>479</v>
      </c>
      <c r="BG142" s="55" t="s">
        <v>479</v>
      </c>
      <c r="BH142" s="226" t="s">
        <v>239</v>
      </c>
      <c r="BI142" s="55" t="s">
        <v>479</v>
      </c>
      <c r="BJ142" s="55" t="s">
        <v>176</v>
      </c>
      <c r="BK142" s="55" t="s">
        <v>6269</v>
      </c>
      <c r="BN142" s="55">
        <v>3</v>
      </c>
      <c r="BO142" s="55">
        <v>3</v>
      </c>
      <c r="BQ142" s="55" t="s">
        <v>173</v>
      </c>
      <c r="CB142" s="66">
        <f>2.06*1000</f>
        <v>2060</v>
      </c>
      <c r="CC142" s="66">
        <f>1.6*1000</f>
        <v>1600</v>
      </c>
      <c r="CG142" s="65" t="s">
        <v>249</v>
      </c>
      <c r="GP142" s="292" t="s">
        <v>7494</v>
      </c>
      <c r="HS142" s="227"/>
      <c r="HW142" s="227"/>
      <c r="JU142" s="55" t="s">
        <v>251</v>
      </c>
    </row>
    <row r="143" spans="1:281" x14ac:dyDescent="0.25">
      <c r="A143" s="55">
        <v>142</v>
      </c>
      <c r="B143" s="12" t="s">
        <v>7067</v>
      </c>
      <c r="C143" s="155">
        <v>12</v>
      </c>
      <c r="D143" s="55" t="s">
        <v>3725</v>
      </c>
      <c r="E143" s="90" t="s">
        <v>245</v>
      </c>
      <c r="G143" s="55" t="s">
        <v>246</v>
      </c>
      <c r="H143" s="55">
        <v>1984</v>
      </c>
      <c r="I143" s="55">
        <v>1980</v>
      </c>
      <c r="J143" s="55" t="s">
        <v>247</v>
      </c>
      <c r="K143" s="55" t="s">
        <v>254</v>
      </c>
      <c r="L143" s="55" t="s">
        <v>2737</v>
      </c>
      <c r="M143" s="90">
        <v>34.200000000000003</v>
      </c>
      <c r="N143" s="90">
        <v>-79.760000000000005</v>
      </c>
      <c r="O143" s="90">
        <v>44.3</v>
      </c>
      <c r="U143" s="55">
        <v>3</v>
      </c>
      <c r="V143" s="55" t="s">
        <v>1816</v>
      </c>
      <c r="Y143" s="55" t="s">
        <v>1815</v>
      </c>
      <c r="Z143" s="55" t="s">
        <v>1349</v>
      </c>
      <c r="AA143" s="90" t="s">
        <v>1677</v>
      </c>
      <c r="AH143" s="55" t="s">
        <v>174</v>
      </c>
      <c r="AM143" s="55" t="s">
        <v>1282</v>
      </c>
      <c r="AN143" s="185" t="s">
        <v>131</v>
      </c>
      <c r="AO143" s="185" t="s">
        <v>5150</v>
      </c>
      <c r="AQ143" s="55" t="s">
        <v>131</v>
      </c>
      <c r="AR143" s="55" t="s">
        <v>1561</v>
      </c>
      <c r="AS143" s="55" t="s">
        <v>158</v>
      </c>
      <c r="AU143" s="181" t="s">
        <v>7494</v>
      </c>
      <c r="AV143" s="185" t="s">
        <v>176</v>
      </c>
      <c r="AX143" s="185" t="s">
        <v>176</v>
      </c>
      <c r="AZ143" s="55" t="s">
        <v>229</v>
      </c>
      <c r="BA143" s="55" t="s">
        <v>248</v>
      </c>
      <c r="BB143" s="55" t="s">
        <v>2081</v>
      </c>
      <c r="BC143" s="55" t="s">
        <v>2082</v>
      </c>
      <c r="BD143" s="55" t="s">
        <v>479</v>
      </c>
      <c r="BE143" s="226" t="s">
        <v>239</v>
      </c>
      <c r="BF143" s="55" t="s">
        <v>479</v>
      </c>
      <c r="BG143" s="55" t="s">
        <v>479</v>
      </c>
      <c r="BH143" s="226" t="s">
        <v>239</v>
      </c>
      <c r="BI143" s="55" t="s">
        <v>479</v>
      </c>
      <c r="BJ143" s="55" t="s">
        <v>176</v>
      </c>
      <c r="BK143" s="55" t="s">
        <v>6269</v>
      </c>
      <c r="BN143" s="55">
        <v>3</v>
      </c>
      <c r="BO143" s="55">
        <v>3</v>
      </c>
      <c r="BQ143" s="55" t="s">
        <v>173</v>
      </c>
      <c r="GP143" s="292" t="s">
        <v>7494</v>
      </c>
      <c r="HS143" s="227"/>
      <c r="HW143" s="227"/>
      <c r="JU143" s="55" t="s">
        <v>251</v>
      </c>
    </row>
    <row r="144" spans="1:281" x14ac:dyDescent="0.25">
      <c r="A144" s="55">
        <v>143</v>
      </c>
      <c r="B144" s="12" t="s">
        <v>7067</v>
      </c>
      <c r="C144" s="155">
        <v>12</v>
      </c>
      <c r="D144" s="55" t="s">
        <v>3725</v>
      </c>
      <c r="E144" s="90" t="s">
        <v>245</v>
      </c>
      <c r="G144" s="55" t="s">
        <v>246</v>
      </c>
      <c r="H144" s="55">
        <v>1984</v>
      </c>
      <c r="I144" s="55">
        <v>1980</v>
      </c>
      <c r="J144" s="55" t="s">
        <v>247</v>
      </c>
      <c r="K144" s="55" t="s">
        <v>254</v>
      </c>
      <c r="L144" s="55" t="s">
        <v>2737</v>
      </c>
      <c r="M144" s="90">
        <v>34.200000000000003</v>
      </c>
      <c r="N144" s="90">
        <v>-79.760000000000005</v>
      </c>
      <c r="O144" s="90">
        <v>44.3</v>
      </c>
      <c r="U144" s="55">
        <v>3</v>
      </c>
      <c r="V144" s="55" t="s">
        <v>1816</v>
      </c>
      <c r="Y144" s="55" t="s">
        <v>1815</v>
      </c>
      <c r="Z144" s="55" t="s">
        <v>1349</v>
      </c>
      <c r="AA144" s="90" t="s">
        <v>1677</v>
      </c>
      <c r="AH144" s="55" t="s">
        <v>174</v>
      </c>
      <c r="AM144" s="55" t="s">
        <v>1282</v>
      </c>
      <c r="AN144" s="185" t="s">
        <v>131</v>
      </c>
      <c r="AO144" s="185" t="s">
        <v>5150</v>
      </c>
      <c r="AQ144" s="55" t="s">
        <v>131</v>
      </c>
      <c r="AR144" s="55" t="s">
        <v>1562</v>
      </c>
      <c r="AS144" s="55" t="s">
        <v>158</v>
      </c>
      <c r="AU144" s="181" t="s">
        <v>7494</v>
      </c>
      <c r="AV144" s="185" t="s">
        <v>176</v>
      </c>
      <c r="AX144" s="185" t="s">
        <v>176</v>
      </c>
      <c r="AZ144" s="55" t="s">
        <v>229</v>
      </c>
      <c r="BA144" s="55" t="s">
        <v>248</v>
      </c>
      <c r="BB144" s="55" t="s">
        <v>2081</v>
      </c>
      <c r="BC144" s="55" t="s">
        <v>2082</v>
      </c>
      <c r="BD144" s="55" t="s">
        <v>479</v>
      </c>
      <c r="BE144" s="226" t="s">
        <v>239</v>
      </c>
      <c r="BF144" s="55" t="s">
        <v>479</v>
      </c>
      <c r="BG144" s="55" t="s">
        <v>479</v>
      </c>
      <c r="BH144" s="226" t="s">
        <v>239</v>
      </c>
      <c r="BI144" s="55" t="s">
        <v>479</v>
      </c>
      <c r="BJ144" s="55" t="s">
        <v>176</v>
      </c>
      <c r="BK144" s="55" t="s">
        <v>6269</v>
      </c>
      <c r="BN144" s="55">
        <v>3</v>
      </c>
      <c r="BO144" s="55">
        <v>3</v>
      </c>
      <c r="BQ144" s="55" t="s">
        <v>173</v>
      </c>
      <c r="CB144" s="66">
        <f>2*1000</f>
        <v>2000</v>
      </c>
      <c r="CC144" s="66">
        <f>1.68*1000</f>
        <v>1680</v>
      </c>
      <c r="CG144" s="65" t="s">
        <v>249</v>
      </c>
      <c r="GP144" s="292" t="s">
        <v>7494</v>
      </c>
      <c r="HS144" s="227"/>
      <c r="HW144" s="227"/>
      <c r="JU144" s="55" t="s">
        <v>251</v>
      </c>
    </row>
    <row r="145" spans="1:281" x14ac:dyDescent="0.25">
      <c r="A145" s="55">
        <v>144</v>
      </c>
      <c r="B145" s="12" t="s">
        <v>7067</v>
      </c>
      <c r="C145" s="155">
        <v>12</v>
      </c>
      <c r="D145" s="55" t="s">
        <v>3725</v>
      </c>
      <c r="E145" s="90" t="s">
        <v>245</v>
      </c>
      <c r="G145" s="55" t="s">
        <v>246</v>
      </c>
      <c r="H145" s="55">
        <v>1984</v>
      </c>
      <c r="I145" s="55">
        <v>1980</v>
      </c>
      <c r="J145" s="55" t="s">
        <v>247</v>
      </c>
      <c r="K145" s="55" t="s">
        <v>254</v>
      </c>
      <c r="L145" s="55" t="s">
        <v>2737</v>
      </c>
      <c r="M145" s="90">
        <v>34.200000000000003</v>
      </c>
      <c r="N145" s="90">
        <v>-79.760000000000005</v>
      </c>
      <c r="O145" s="90">
        <v>44.3</v>
      </c>
      <c r="U145" s="55">
        <v>3</v>
      </c>
      <c r="V145" s="55" t="s">
        <v>1816</v>
      </c>
      <c r="Y145" s="55" t="s">
        <v>1815</v>
      </c>
      <c r="Z145" s="55" t="s">
        <v>1349</v>
      </c>
      <c r="AA145" s="90" t="s">
        <v>1677</v>
      </c>
      <c r="AH145" s="55" t="s">
        <v>174</v>
      </c>
      <c r="AM145" s="55" t="s">
        <v>1282</v>
      </c>
      <c r="AN145" s="185" t="s">
        <v>131</v>
      </c>
      <c r="AO145" s="185" t="s">
        <v>5150</v>
      </c>
      <c r="AQ145" s="55" t="s">
        <v>131</v>
      </c>
      <c r="AR145" s="55" t="s">
        <v>1560</v>
      </c>
      <c r="AS145" s="55" t="s">
        <v>158</v>
      </c>
      <c r="AU145" s="181" t="s">
        <v>7494</v>
      </c>
      <c r="AV145" s="185" t="s">
        <v>176</v>
      </c>
      <c r="AX145" s="185" t="s">
        <v>176</v>
      </c>
      <c r="AZ145" s="55" t="s">
        <v>229</v>
      </c>
      <c r="BA145" s="55" t="s">
        <v>248</v>
      </c>
      <c r="BB145" s="55" t="s">
        <v>2081</v>
      </c>
      <c r="BC145" s="55" t="s">
        <v>2082</v>
      </c>
      <c r="BD145" s="55" t="s">
        <v>479</v>
      </c>
      <c r="BE145" s="226" t="s">
        <v>239</v>
      </c>
      <c r="BF145" s="55" t="s">
        <v>479</v>
      </c>
      <c r="BG145" s="55" t="s">
        <v>479</v>
      </c>
      <c r="BH145" s="226" t="s">
        <v>239</v>
      </c>
      <c r="BI145" s="55" t="s">
        <v>479</v>
      </c>
      <c r="BJ145" s="55" t="s">
        <v>176</v>
      </c>
      <c r="BK145" s="55" t="s">
        <v>6269</v>
      </c>
      <c r="BN145" s="55">
        <v>3</v>
      </c>
      <c r="BO145" s="55">
        <v>3</v>
      </c>
      <c r="BQ145" s="55" t="s">
        <v>173</v>
      </c>
      <c r="CB145" s="66">
        <f>1.86*1000</f>
        <v>1860</v>
      </c>
      <c r="CC145" s="66">
        <f>1.89*1000</f>
        <v>1890</v>
      </c>
      <c r="CG145" s="65" t="s">
        <v>250</v>
      </c>
      <c r="GP145" s="292" t="s">
        <v>7494</v>
      </c>
      <c r="HS145" s="227"/>
      <c r="HW145" s="227"/>
      <c r="JU145" s="55" t="s">
        <v>251</v>
      </c>
    </row>
    <row r="146" spans="1:281" x14ac:dyDescent="0.25">
      <c r="A146" s="55">
        <v>145</v>
      </c>
      <c r="B146" s="12" t="s">
        <v>7067</v>
      </c>
      <c r="C146" s="155">
        <v>12</v>
      </c>
      <c r="D146" s="55" t="s">
        <v>3725</v>
      </c>
      <c r="E146" s="90" t="s">
        <v>245</v>
      </c>
      <c r="G146" s="55" t="s">
        <v>246</v>
      </c>
      <c r="H146" s="55">
        <v>1984</v>
      </c>
      <c r="I146" s="55">
        <v>1980</v>
      </c>
      <c r="J146" s="55" t="s">
        <v>247</v>
      </c>
      <c r="K146" s="55" t="s">
        <v>254</v>
      </c>
      <c r="L146" s="55" t="s">
        <v>2737</v>
      </c>
      <c r="M146" s="90">
        <v>34.200000000000003</v>
      </c>
      <c r="N146" s="90">
        <v>-79.760000000000005</v>
      </c>
      <c r="O146" s="90">
        <v>44.3</v>
      </c>
      <c r="U146" s="55">
        <v>3</v>
      </c>
      <c r="V146" s="55" t="s">
        <v>1816</v>
      </c>
      <c r="Y146" s="55" t="s">
        <v>1815</v>
      </c>
      <c r="Z146" s="55" t="s">
        <v>1349</v>
      </c>
      <c r="AA146" s="90" t="s">
        <v>1677</v>
      </c>
      <c r="AH146" s="55" t="s">
        <v>174</v>
      </c>
      <c r="AM146" s="55" t="s">
        <v>1282</v>
      </c>
      <c r="AN146" s="185" t="s">
        <v>131</v>
      </c>
      <c r="AO146" s="185" t="s">
        <v>5150</v>
      </c>
      <c r="AQ146" s="55" t="s">
        <v>131</v>
      </c>
      <c r="AR146" s="55" t="s">
        <v>1561</v>
      </c>
      <c r="AS146" s="55" t="s">
        <v>158</v>
      </c>
      <c r="AU146" s="181" t="s">
        <v>7494</v>
      </c>
      <c r="AV146" s="185" t="s">
        <v>176</v>
      </c>
      <c r="AX146" s="185" t="s">
        <v>176</v>
      </c>
      <c r="AZ146" s="55" t="s">
        <v>229</v>
      </c>
      <c r="BA146" s="55" t="s">
        <v>248</v>
      </c>
      <c r="BB146" s="55" t="s">
        <v>2081</v>
      </c>
      <c r="BC146" s="55" t="s">
        <v>2082</v>
      </c>
      <c r="BD146" s="55" t="s">
        <v>479</v>
      </c>
      <c r="BE146" s="226" t="s">
        <v>239</v>
      </c>
      <c r="BF146" s="55" t="s">
        <v>479</v>
      </c>
      <c r="BG146" s="55" t="s">
        <v>479</v>
      </c>
      <c r="BH146" s="226" t="s">
        <v>239</v>
      </c>
      <c r="BI146" s="55" t="s">
        <v>479</v>
      </c>
      <c r="BJ146" s="55" t="s">
        <v>176</v>
      </c>
      <c r="BK146" s="55" t="s">
        <v>6269</v>
      </c>
      <c r="BN146" s="55">
        <v>3</v>
      </c>
      <c r="BO146" s="55">
        <v>3</v>
      </c>
      <c r="BQ146" s="55" t="s">
        <v>173</v>
      </c>
      <c r="CB146" s="66">
        <f>1.9*1000</f>
        <v>1900</v>
      </c>
      <c r="CC146" s="66">
        <f>1.93*1000</f>
        <v>1930</v>
      </c>
      <c r="CG146" s="65" t="s">
        <v>250</v>
      </c>
      <c r="GP146" s="292" t="s">
        <v>7494</v>
      </c>
      <c r="HS146" s="227"/>
      <c r="HW146" s="227"/>
      <c r="JU146" s="55" t="s">
        <v>251</v>
      </c>
    </row>
    <row r="147" spans="1:281" x14ac:dyDescent="0.25">
      <c r="A147" s="55">
        <v>146</v>
      </c>
      <c r="B147" s="12" t="s">
        <v>7067</v>
      </c>
      <c r="C147" s="155">
        <v>12</v>
      </c>
      <c r="D147" s="55" t="s">
        <v>3725</v>
      </c>
      <c r="E147" s="90" t="s">
        <v>245</v>
      </c>
      <c r="G147" s="55" t="s">
        <v>246</v>
      </c>
      <c r="H147" s="55">
        <v>1984</v>
      </c>
      <c r="I147" s="55">
        <v>1980</v>
      </c>
      <c r="J147" s="55" t="s">
        <v>247</v>
      </c>
      <c r="K147" s="55" t="s">
        <v>254</v>
      </c>
      <c r="L147" s="55" t="s">
        <v>2737</v>
      </c>
      <c r="M147" s="90">
        <v>34.200000000000003</v>
      </c>
      <c r="N147" s="90">
        <v>-79.760000000000005</v>
      </c>
      <c r="O147" s="90">
        <v>44.3</v>
      </c>
      <c r="U147" s="55">
        <v>3</v>
      </c>
      <c r="V147" s="55" t="s">
        <v>1816</v>
      </c>
      <c r="Y147" s="55" t="s">
        <v>1815</v>
      </c>
      <c r="Z147" s="55" t="s">
        <v>1349</v>
      </c>
      <c r="AA147" s="90" t="s">
        <v>1677</v>
      </c>
      <c r="AH147" s="55" t="s">
        <v>174</v>
      </c>
      <c r="AM147" s="55" t="s">
        <v>1282</v>
      </c>
      <c r="AN147" s="185" t="s">
        <v>131</v>
      </c>
      <c r="AO147" s="185" t="s">
        <v>5150</v>
      </c>
      <c r="AQ147" s="55" t="s">
        <v>131</v>
      </c>
      <c r="AR147" s="55" t="s">
        <v>1562</v>
      </c>
      <c r="AS147" s="55" t="s">
        <v>158</v>
      </c>
      <c r="AU147" s="181" t="s">
        <v>7494</v>
      </c>
      <c r="AV147" s="185" t="s">
        <v>176</v>
      </c>
      <c r="AX147" s="185" t="s">
        <v>176</v>
      </c>
      <c r="AZ147" s="55" t="s">
        <v>229</v>
      </c>
      <c r="BA147" s="55" t="s">
        <v>248</v>
      </c>
      <c r="BB147" s="55" t="s">
        <v>2081</v>
      </c>
      <c r="BC147" s="55" t="s">
        <v>2082</v>
      </c>
      <c r="BD147" s="55" t="s">
        <v>479</v>
      </c>
      <c r="BE147" s="226" t="s">
        <v>239</v>
      </c>
      <c r="BF147" s="55" t="s">
        <v>479</v>
      </c>
      <c r="BG147" s="55" t="s">
        <v>479</v>
      </c>
      <c r="BH147" s="226" t="s">
        <v>239</v>
      </c>
      <c r="BI147" s="55" t="s">
        <v>479</v>
      </c>
      <c r="BJ147" s="55" t="s">
        <v>176</v>
      </c>
      <c r="BK147" s="55" t="s">
        <v>6269</v>
      </c>
      <c r="BN147" s="55">
        <v>3</v>
      </c>
      <c r="BO147" s="55">
        <v>3</v>
      </c>
      <c r="BQ147" s="55" t="s">
        <v>173</v>
      </c>
      <c r="CB147" s="66">
        <f>2.05*1000</f>
        <v>2050</v>
      </c>
      <c r="CC147" s="66">
        <f>2.09*1000</f>
        <v>2090</v>
      </c>
      <c r="CG147" s="65" t="s">
        <v>250</v>
      </c>
      <c r="GP147" s="292" t="s">
        <v>7494</v>
      </c>
      <c r="HS147" s="227"/>
      <c r="HW147" s="227"/>
      <c r="JU147" s="55" t="s">
        <v>251</v>
      </c>
    </row>
    <row r="148" spans="1:281" x14ac:dyDescent="0.25">
      <c r="A148" s="55">
        <v>147</v>
      </c>
      <c r="B148" s="12" t="s">
        <v>7067</v>
      </c>
      <c r="C148" s="155">
        <v>12</v>
      </c>
      <c r="D148" s="55" t="s">
        <v>3725</v>
      </c>
      <c r="E148" s="90" t="s">
        <v>245</v>
      </c>
      <c r="G148" s="55" t="s">
        <v>246</v>
      </c>
      <c r="H148" s="55">
        <v>1984</v>
      </c>
      <c r="I148" s="55">
        <v>1980</v>
      </c>
      <c r="J148" s="55" t="s">
        <v>247</v>
      </c>
      <c r="K148" s="55" t="s">
        <v>254</v>
      </c>
      <c r="L148" s="55" t="s">
        <v>2737</v>
      </c>
      <c r="M148" s="90">
        <v>34.200000000000003</v>
      </c>
      <c r="N148" s="90">
        <v>-79.760000000000005</v>
      </c>
      <c r="O148" s="90">
        <v>44.3</v>
      </c>
      <c r="U148" s="55">
        <v>3</v>
      </c>
      <c r="V148" s="55" t="s">
        <v>1816</v>
      </c>
      <c r="Y148" s="55" t="s">
        <v>1815</v>
      </c>
      <c r="Z148" s="55" t="s">
        <v>1349</v>
      </c>
      <c r="AA148" s="90" t="s">
        <v>1677</v>
      </c>
      <c r="AH148" s="55" t="s">
        <v>174</v>
      </c>
      <c r="AM148" s="55" t="s">
        <v>1282</v>
      </c>
      <c r="AN148" s="185" t="s">
        <v>131</v>
      </c>
      <c r="AO148" s="185" t="s">
        <v>5150</v>
      </c>
      <c r="AQ148" s="55" t="s">
        <v>131</v>
      </c>
      <c r="AR148" s="55" t="s">
        <v>1560</v>
      </c>
      <c r="AS148" s="55" t="s">
        <v>158</v>
      </c>
      <c r="AU148" s="181" t="s">
        <v>7494</v>
      </c>
      <c r="AV148" s="185" t="s">
        <v>176</v>
      </c>
      <c r="AX148" s="185" t="s">
        <v>176</v>
      </c>
      <c r="AZ148" s="55" t="s">
        <v>229</v>
      </c>
      <c r="BA148" s="55" t="s">
        <v>248</v>
      </c>
      <c r="BB148" s="55" t="s">
        <v>2081</v>
      </c>
      <c r="BC148" s="55" t="s">
        <v>2082</v>
      </c>
      <c r="BD148" s="55" t="s">
        <v>479</v>
      </c>
      <c r="BE148" s="226" t="s">
        <v>239</v>
      </c>
      <c r="BF148" s="55" t="s">
        <v>479</v>
      </c>
      <c r="BG148" s="55" t="s">
        <v>479</v>
      </c>
      <c r="BH148" s="226" t="s">
        <v>239</v>
      </c>
      <c r="BI148" s="55" t="s">
        <v>479</v>
      </c>
      <c r="BJ148" s="55" t="s">
        <v>176</v>
      </c>
      <c r="BK148" s="55" t="s">
        <v>6269</v>
      </c>
      <c r="BN148" s="55">
        <v>3</v>
      </c>
      <c r="BO148" s="55">
        <v>3</v>
      </c>
      <c r="BQ148" s="55" t="s">
        <v>173</v>
      </c>
      <c r="CB148" s="66">
        <f>2*1000</f>
        <v>2000</v>
      </c>
      <c r="CC148" s="66">
        <f>1.9*1000</f>
        <v>1900</v>
      </c>
      <c r="CG148" s="65" t="s">
        <v>249</v>
      </c>
      <c r="GP148" s="292" t="s">
        <v>7494</v>
      </c>
      <c r="HS148" s="227"/>
      <c r="HW148" s="227"/>
      <c r="JU148" s="55" t="s">
        <v>252</v>
      </c>
    </row>
    <row r="149" spans="1:281" x14ac:dyDescent="0.25">
      <c r="A149" s="55">
        <v>148</v>
      </c>
      <c r="B149" s="12" t="s">
        <v>7067</v>
      </c>
      <c r="C149" s="155">
        <v>12</v>
      </c>
      <c r="D149" s="55" t="s">
        <v>3725</v>
      </c>
      <c r="E149" s="90" t="s">
        <v>245</v>
      </c>
      <c r="G149" s="55" t="s">
        <v>246</v>
      </c>
      <c r="H149" s="55">
        <v>1984</v>
      </c>
      <c r="I149" s="55">
        <v>1980</v>
      </c>
      <c r="J149" s="55" t="s">
        <v>247</v>
      </c>
      <c r="K149" s="55" t="s">
        <v>254</v>
      </c>
      <c r="L149" s="55" t="s">
        <v>2737</v>
      </c>
      <c r="M149" s="90">
        <v>34.200000000000003</v>
      </c>
      <c r="N149" s="90">
        <v>-79.760000000000005</v>
      </c>
      <c r="O149" s="90">
        <v>44.3</v>
      </c>
      <c r="U149" s="55">
        <v>3</v>
      </c>
      <c r="V149" s="55" t="s">
        <v>1816</v>
      </c>
      <c r="Y149" s="55" t="s">
        <v>1815</v>
      </c>
      <c r="Z149" s="55" t="s">
        <v>1349</v>
      </c>
      <c r="AA149" s="90" t="s">
        <v>1677</v>
      </c>
      <c r="AH149" s="55" t="s">
        <v>174</v>
      </c>
      <c r="AM149" s="55" t="s">
        <v>1282</v>
      </c>
      <c r="AN149" s="185" t="s">
        <v>131</v>
      </c>
      <c r="AO149" s="185" t="s">
        <v>5150</v>
      </c>
      <c r="AQ149" s="55" t="s">
        <v>131</v>
      </c>
      <c r="AR149" s="55" t="s">
        <v>1561</v>
      </c>
      <c r="AS149" s="55" t="s">
        <v>158</v>
      </c>
      <c r="AU149" s="181" t="s">
        <v>7494</v>
      </c>
      <c r="AV149" s="185" t="s">
        <v>176</v>
      </c>
      <c r="AX149" s="185" t="s">
        <v>176</v>
      </c>
      <c r="AZ149" s="55" t="s">
        <v>229</v>
      </c>
      <c r="BA149" s="55" t="s">
        <v>248</v>
      </c>
      <c r="BB149" s="55" t="s">
        <v>2081</v>
      </c>
      <c r="BC149" s="55" t="s">
        <v>2082</v>
      </c>
      <c r="BD149" s="55" t="s">
        <v>479</v>
      </c>
      <c r="BE149" s="226" t="s">
        <v>239</v>
      </c>
      <c r="BF149" s="55" t="s">
        <v>479</v>
      </c>
      <c r="BG149" s="55" t="s">
        <v>479</v>
      </c>
      <c r="BH149" s="226" t="s">
        <v>239</v>
      </c>
      <c r="BI149" s="55" t="s">
        <v>479</v>
      </c>
      <c r="BJ149" s="55" t="s">
        <v>176</v>
      </c>
      <c r="BK149" s="55" t="s">
        <v>6269</v>
      </c>
      <c r="BN149" s="55">
        <v>3</v>
      </c>
      <c r="BO149" s="55">
        <v>3</v>
      </c>
      <c r="BQ149" s="55" t="s">
        <v>173</v>
      </c>
      <c r="CB149" s="66">
        <f>1.98*1000</f>
        <v>1980</v>
      </c>
      <c r="CC149" s="66">
        <f>1.91*1000</f>
        <v>1910</v>
      </c>
      <c r="CG149" s="65" t="s">
        <v>249</v>
      </c>
      <c r="GP149" s="292" t="s">
        <v>7494</v>
      </c>
      <c r="HS149" s="227"/>
      <c r="HW149" s="227"/>
      <c r="JU149" s="55" t="s">
        <v>252</v>
      </c>
    </row>
    <row r="150" spans="1:281" x14ac:dyDescent="0.25">
      <c r="A150" s="55">
        <v>149</v>
      </c>
      <c r="B150" s="12" t="s">
        <v>7067</v>
      </c>
      <c r="C150" s="155">
        <v>12</v>
      </c>
      <c r="D150" s="55" t="s">
        <v>3725</v>
      </c>
      <c r="E150" s="90" t="s">
        <v>245</v>
      </c>
      <c r="G150" s="55" t="s">
        <v>246</v>
      </c>
      <c r="H150" s="55">
        <v>1984</v>
      </c>
      <c r="I150" s="55">
        <v>1980</v>
      </c>
      <c r="J150" s="55" t="s">
        <v>247</v>
      </c>
      <c r="K150" s="55" t="s">
        <v>254</v>
      </c>
      <c r="L150" s="55" t="s">
        <v>2737</v>
      </c>
      <c r="M150" s="90">
        <v>34.200000000000003</v>
      </c>
      <c r="N150" s="90">
        <v>-79.760000000000005</v>
      </c>
      <c r="O150" s="90">
        <v>44.3</v>
      </c>
      <c r="U150" s="55">
        <v>3</v>
      </c>
      <c r="V150" s="55" t="s">
        <v>1816</v>
      </c>
      <c r="Y150" s="55" t="s">
        <v>1815</v>
      </c>
      <c r="Z150" s="55" t="s">
        <v>1349</v>
      </c>
      <c r="AA150" s="90" t="s">
        <v>1677</v>
      </c>
      <c r="AH150" s="55" t="s">
        <v>174</v>
      </c>
      <c r="AM150" s="55" t="s">
        <v>1282</v>
      </c>
      <c r="AN150" s="185" t="s">
        <v>131</v>
      </c>
      <c r="AO150" s="185" t="s">
        <v>5150</v>
      </c>
      <c r="AQ150" s="55" t="s">
        <v>131</v>
      </c>
      <c r="AR150" s="55" t="s">
        <v>1562</v>
      </c>
      <c r="AS150" s="55" t="s">
        <v>158</v>
      </c>
      <c r="AU150" s="181" t="s">
        <v>7494</v>
      </c>
      <c r="AV150" s="185" t="s">
        <v>176</v>
      </c>
      <c r="AX150" s="185" t="s">
        <v>176</v>
      </c>
      <c r="AZ150" s="55" t="s">
        <v>229</v>
      </c>
      <c r="BA150" s="55" t="s">
        <v>248</v>
      </c>
      <c r="BB150" s="55" t="s">
        <v>2081</v>
      </c>
      <c r="BC150" s="55" t="s">
        <v>2082</v>
      </c>
      <c r="BD150" s="55" t="s">
        <v>479</v>
      </c>
      <c r="BE150" s="226" t="s">
        <v>239</v>
      </c>
      <c r="BF150" s="55" t="s">
        <v>479</v>
      </c>
      <c r="BG150" s="55" t="s">
        <v>479</v>
      </c>
      <c r="BH150" s="226" t="s">
        <v>239</v>
      </c>
      <c r="BI150" s="55" t="s">
        <v>479</v>
      </c>
      <c r="BJ150" s="55" t="s">
        <v>176</v>
      </c>
      <c r="BK150" s="55" t="s">
        <v>6269</v>
      </c>
      <c r="BN150" s="55">
        <v>3</v>
      </c>
      <c r="BO150" s="55">
        <v>3</v>
      </c>
      <c r="BQ150" s="55" t="s">
        <v>173</v>
      </c>
      <c r="CB150" s="66">
        <f>2.27*1000</f>
        <v>2270</v>
      </c>
      <c r="CC150" s="66">
        <f>2.12*1000</f>
        <v>2120</v>
      </c>
      <c r="CG150" s="65" t="s">
        <v>249</v>
      </c>
      <c r="GP150" s="292" t="s">
        <v>7494</v>
      </c>
      <c r="HS150" s="227"/>
      <c r="HW150" s="227"/>
      <c r="JU150" s="55" t="s">
        <v>252</v>
      </c>
    </row>
    <row r="151" spans="1:281" x14ac:dyDescent="0.25">
      <c r="A151" s="55">
        <v>150</v>
      </c>
      <c r="B151" s="12" t="s">
        <v>7067</v>
      </c>
      <c r="C151" s="155">
        <v>12</v>
      </c>
      <c r="D151" s="55" t="s">
        <v>3725</v>
      </c>
      <c r="E151" s="90" t="s">
        <v>245</v>
      </c>
      <c r="G151" s="55" t="s">
        <v>246</v>
      </c>
      <c r="H151" s="55">
        <v>1984</v>
      </c>
      <c r="I151" s="55">
        <v>1980</v>
      </c>
      <c r="J151" s="55" t="s">
        <v>247</v>
      </c>
      <c r="K151" s="55" t="s">
        <v>254</v>
      </c>
      <c r="L151" s="55" t="s">
        <v>2737</v>
      </c>
      <c r="M151" s="90">
        <v>34.200000000000003</v>
      </c>
      <c r="N151" s="90">
        <v>-79.760000000000005</v>
      </c>
      <c r="O151" s="90">
        <v>44.3</v>
      </c>
      <c r="U151" s="55">
        <v>3</v>
      </c>
      <c r="V151" s="55" t="s">
        <v>1816</v>
      </c>
      <c r="Y151" s="55" t="s">
        <v>1815</v>
      </c>
      <c r="Z151" s="55" t="s">
        <v>1349</v>
      </c>
      <c r="AA151" s="90" t="s">
        <v>1677</v>
      </c>
      <c r="AH151" s="55" t="s">
        <v>174</v>
      </c>
      <c r="AM151" s="55" t="s">
        <v>1282</v>
      </c>
      <c r="AN151" s="185" t="s">
        <v>131</v>
      </c>
      <c r="AO151" s="185" t="s">
        <v>5150</v>
      </c>
      <c r="AQ151" s="55" t="s">
        <v>131</v>
      </c>
      <c r="AR151" s="55" t="s">
        <v>1560</v>
      </c>
      <c r="AS151" s="55" t="s">
        <v>158</v>
      </c>
      <c r="AU151" s="181" t="s">
        <v>7494</v>
      </c>
      <c r="AV151" s="185" t="s">
        <v>176</v>
      </c>
      <c r="AX151" s="185" t="s">
        <v>176</v>
      </c>
      <c r="AZ151" s="55" t="s">
        <v>229</v>
      </c>
      <c r="BA151" s="55" t="s">
        <v>248</v>
      </c>
      <c r="BB151" s="55" t="s">
        <v>2081</v>
      </c>
      <c r="BC151" s="55" t="s">
        <v>2082</v>
      </c>
      <c r="BD151" s="55" t="s">
        <v>479</v>
      </c>
      <c r="BE151" s="226" t="s">
        <v>239</v>
      </c>
      <c r="BF151" s="55" t="s">
        <v>479</v>
      </c>
      <c r="BG151" s="55" t="s">
        <v>479</v>
      </c>
      <c r="BH151" s="226" t="s">
        <v>239</v>
      </c>
      <c r="BI151" s="55" t="s">
        <v>479</v>
      </c>
      <c r="BJ151" s="55" t="s">
        <v>176</v>
      </c>
      <c r="BK151" s="55" t="s">
        <v>6269</v>
      </c>
      <c r="BN151" s="55">
        <v>3</v>
      </c>
      <c r="BO151" s="55">
        <v>3</v>
      </c>
      <c r="BQ151" s="55" t="s">
        <v>173</v>
      </c>
      <c r="CB151" s="66">
        <f>1.95*1000</f>
        <v>1950</v>
      </c>
      <c r="CC151" s="66">
        <f>1.92*1000</f>
        <v>1920</v>
      </c>
      <c r="CG151" s="65" t="s">
        <v>250</v>
      </c>
      <c r="GP151" s="292" t="s">
        <v>7494</v>
      </c>
      <c r="HS151" s="227"/>
      <c r="HW151" s="227"/>
      <c r="JU151" s="55" t="s">
        <v>252</v>
      </c>
    </row>
    <row r="152" spans="1:281" x14ac:dyDescent="0.25">
      <c r="A152" s="55">
        <v>151</v>
      </c>
      <c r="B152" s="12" t="s">
        <v>7067</v>
      </c>
      <c r="C152" s="155">
        <v>12</v>
      </c>
      <c r="D152" s="55" t="s">
        <v>3725</v>
      </c>
      <c r="E152" s="90" t="s">
        <v>245</v>
      </c>
      <c r="G152" s="55" t="s">
        <v>246</v>
      </c>
      <c r="H152" s="55">
        <v>1984</v>
      </c>
      <c r="I152" s="55">
        <v>1980</v>
      </c>
      <c r="J152" s="55" t="s">
        <v>247</v>
      </c>
      <c r="K152" s="55" t="s">
        <v>254</v>
      </c>
      <c r="L152" s="55" t="s">
        <v>2737</v>
      </c>
      <c r="M152" s="90">
        <v>34.200000000000003</v>
      </c>
      <c r="N152" s="90">
        <v>-79.760000000000005</v>
      </c>
      <c r="O152" s="90">
        <v>44.3</v>
      </c>
      <c r="U152" s="55">
        <v>3</v>
      </c>
      <c r="V152" s="55" t="s">
        <v>1816</v>
      </c>
      <c r="Y152" s="55" t="s">
        <v>1815</v>
      </c>
      <c r="Z152" s="55" t="s">
        <v>1349</v>
      </c>
      <c r="AA152" s="90" t="s">
        <v>1677</v>
      </c>
      <c r="AH152" s="55" t="s">
        <v>174</v>
      </c>
      <c r="AM152" s="55" t="s">
        <v>1282</v>
      </c>
      <c r="AN152" s="185" t="s">
        <v>131</v>
      </c>
      <c r="AO152" s="185" t="s">
        <v>5150</v>
      </c>
      <c r="AQ152" s="55" t="s">
        <v>131</v>
      </c>
      <c r="AR152" s="55" t="s">
        <v>1561</v>
      </c>
      <c r="AS152" s="55" t="s">
        <v>158</v>
      </c>
      <c r="AU152" s="181" t="s">
        <v>7494</v>
      </c>
      <c r="AV152" s="185" t="s">
        <v>176</v>
      </c>
      <c r="AX152" s="185" t="s">
        <v>176</v>
      </c>
      <c r="AZ152" s="55" t="s">
        <v>229</v>
      </c>
      <c r="BA152" s="55" t="s">
        <v>248</v>
      </c>
      <c r="BB152" s="55" t="s">
        <v>2081</v>
      </c>
      <c r="BC152" s="55" t="s">
        <v>2082</v>
      </c>
      <c r="BD152" s="55" t="s">
        <v>479</v>
      </c>
      <c r="BE152" s="226" t="s">
        <v>239</v>
      </c>
      <c r="BF152" s="55" t="s">
        <v>479</v>
      </c>
      <c r="BG152" s="55" t="s">
        <v>479</v>
      </c>
      <c r="BH152" s="226" t="s">
        <v>239</v>
      </c>
      <c r="BI152" s="55" t="s">
        <v>479</v>
      </c>
      <c r="BJ152" s="55" t="s">
        <v>176</v>
      </c>
      <c r="BK152" s="55" t="s">
        <v>6269</v>
      </c>
      <c r="BN152" s="55">
        <v>3</v>
      </c>
      <c r="BO152" s="55">
        <v>3</v>
      </c>
      <c r="BQ152" s="55" t="s">
        <v>173</v>
      </c>
      <c r="CB152" s="66">
        <f>2.14*1000</f>
        <v>2140</v>
      </c>
      <c r="CC152" s="66">
        <f>2.02*1000</f>
        <v>2020</v>
      </c>
      <c r="CG152" s="65" t="s">
        <v>250</v>
      </c>
      <c r="GP152" s="292" t="s">
        <v>7494</v>
      </c>
      <c r="HS152" s="227"/>
      <c r="HW152" s="227"/>
      <c r="JU152" s="55" t="s">
        <v>252</v>
      </c>
    </row>
    <row r="153" spans="1:281" x14ac:dyDescent="0.25">
      <c r="A153" s="55">
        <v>152</v>
      </c>
      <c r="B153" s="12" t="s">
        <v>7067</v>
      </c>
      <c r="C153" s="155">
        <v>12</v>
      </c>
      <c r="D153" s="55" t="s">
        <v>3725</v>
      </c>
      <c r="E153" s="90" t="s">
        <v>245</v>
      </c>
      <c r="G153" s="55" t="s">
        <v>246</v>
      </c>
      <c r="H153" s="55">
        <v>1984</v>
      </c>
      <c r="I153" s="55">
        <v>1980</v>
      </c>
      <c r="J153" s="55" t="s">
        <v>247</v>
      </c>
      <c r="K153" s="55" t="s">
        <v>254</v>
      </c>
      <c r="L153" s="55" t="s">
        <v>2737</v>
      </c>
      <c r="M153" s="90">
        <v>34.200000000000003</v>
      </c>
      <c r="N153" s="90">
        <v>-79.760000000000005</v>
      </c>
      <c r="O153" s="90">
        <v>44.3</v>
      </c>
      <c r="U153" s="55">
        <v>3</v>
      </c>
      <c r="V153" s="55" t="s">
        <v>1816</v>
      </c>
      <c r="Y153" s="55" t="s">
        <v>1815</v>
      </c>
      <c r="Z153" s="55" t="s">
        <v>1349</v>
      </c>
      <c r="AA153" s="90" t="s">
        <v>1677</v>
      </c>
      <c r="AH153" s="55" t="s">
        <v>174</v>
      </c>
      <c r="AM153" s="55" t="s">
        <v>1282</v>
      </c>
      <c r="AN153" s="185" t="s">
        <v>131</v>
      </c>
      <c r="AO153" s="185" t="s">
        <v>5150</v>
      </c>
      <c r="AQ153" s="55" t="s">
        <v>131</v>
      </c>
      <c r="AR153" s="55" t="s">
        <v>1562</v>
      </c>
      <c r="AS153" s="55" t="s">
        <v>158</v>
      </c>
      <c r="AU153" s="181" t="s">
        <v>7494</v>
      </c>
      <c r="AV153" s="185" t="s">
        <v>176</v>
      </c>
      <c r="AX153" s="185" t="s">
        <v>176</v>
      </c>
      <c r="AZ153" s="55" t="s">
        <v>229</v>
      </c>
      <c r="BA153" s="55" t="s">
        <v>248</v>
      </c>
      <c r="BB153" s="55" t="s">
        <v>2081</v>
      </c>
      <c r="BC153" s="55" t="s">
        <v>2082</v>
      </c>
      <c r="BD153" s="55" t="s">
        <v>479</v>
      </c>
      <c r="BE153" s="226" t="s">
        <v>239</v>
      </c>
      <c r="BF153" s="55" t="s">
        <v>479</v>
      </c>
      <c r="BG153" s="55" t="s">
        <v>479</v>
      </c>
      <c r="BH153" s="226" t="s">
        <v>239</v>
      </c>
      <c r="BI153" s="55" t="s">
        <v>479</v>
      </c>
      <c r="BJ153" s="55" t="s">
        <v>176</v>
      </c>
      <c r="BK153" s="55" t="s">
        <v>6269</v>
      </c>
      <c r="BN153" s="55">
        <v>3</v>
      </c>
      <c r="BO153" s="55">
        <v>3</v>
      </c>
      <c r="BQ153" s="55" t="s">
        <v>173</v>
      </c>
      <c r="CB153" s="66">
        <f>2.17*1000</f>
        <v>2170</v>
      </c>
      <c r="CC153" s="66">
        <f>2*1000</f>
        <v>2000</v>
      </c>
      <c r="CG153" s="65" t="s">
        <v>250</v>
      </c>
      <c r="GP153" s="292" t="s">
        <v>7494</v>
      </c>
      <c r="HS153" s="227"/>
      <c r="HW153" s="227"/>
      <c r="JU153" s="55" t="s">
        <v>252</v>
      </c>
    </row>
    <row r="154" spans="1:281" x14ac:dyDescent="0.25">
      <c r="A154" s="55">
        <v>153</v>
      </c>
      <c r="B154" s="12" t="s">
        <v>7067</v>
      </c>
      <c r="C154" s="155">
        <v>13</v>
      </c>
      <c r="D154" s="55" t="s">
        <v>3726</v>
      </c>
      <c r="E154" s="90" t="s">
        <v>245</v>
      </c>
      <c r="G154" s="55" t="s">
        <v>255</v>
      </c>
      <c r="H154" s="55">
        <v>1991</v>
      </c>
      <c r="I154" s="55">
        <v>1987</v>
      </c>
      <c r="J154" s="211" t="s">
        <v>256</v>
      </c>
      <c r="K154" s="55" t="s">
        <v>257</v>
      </c>
      <c r="L154" s="55" t="s">
        <v>2737</v>
      </c>
      <c r="M154" s="90">
        <v>50.53</v>
      </c>
      <c r="N154" s="90">
        <f>-103.67</f>
        <v>-103.67</v>
      </c>
      <c r="O154" s="90">
        <v>579.1</v>
      </c>
      <c r="U154" s="55" t="s">
        <v>1818</v>
      </c>
      <c r="V154" s="55" t="s">
        <v>1818</v>
      </c>
      <c r="Y154" s="55" t="s">
        <v>1817</v>
      </c>
      <c r="Z154" s="55" t="s">
        <v>1349</v>
      </c>
      <c r="AA154" s="90" t="s">
        <v>1677</v>
      </c>
      <c r="AD154" s="90">
        <f>(0.95+1.22)/2</f>
        <v>1.085</v>
      </c>
      <c r="AE154" s="90">
        <v>16.3</v>
      </c>
      <c r="AF154" s="90">
        <v>20.6</v>
      </c>
      <c r="AH154" s="55" t="s">
        <v>769</v>
      </c>
      <c r="AM154" s="55" t="s">
        <v>1283</v>
      </c>
      <c r="AN154" s="185" t="s">
        <v>258</v>
      </c>
      <c r="AO154" s="185" t="s">
        <v>5150</v>
      </c>
      <c r="AQ154" s="55" t="s">
        <v>553</v>
      </c>
      <c r="AR154" s="55" t="s">
        <v>1500</v>
      </c>
      <c r="AS154" s="55" t="s">
        <v>116</v>
      </c>
      <c r="AT154" s="181" t="s">
        <v>260</v>
      </c>
      <c r="AU154" s="181" t="s">
        <v>5150</v>
      </c>
      <c r="AV154" s="185" t="s">
        <v>176</v>
      </c>
      <c r="AW154" s="55" t="s">
        <v>268</v>
      </c>
      <c r="AX154" s="185" t="s">
        <v>176</v>
      </c>
      <c r="AY154" s="55" t="s">
        <v>479</v>
      </c>
      <c r="BE154" s="226" t="s">
        <v>161</v>
      </c>
      <c r="BG154" s="55" t="s">
        <v>176</v>
      </c>
      <c r="BH154" s="226" t="s">
        <v>161</v>
      </c>
      <c r="BI154" s="55" t="s">
        <v>176</v>
      </c>
      <c r="BJ154" s="55" t="s">
        <v>176</v>
      </c>
      <c r="BK154" s="55" t="s">
        <v>5976</v>
      </c>
      <c r="BM154" s="192" t="s">
        <v>119</v>
      </c>
      <c r="BN154" s="55">
        <v>6</v>
      </c>
      <c r="BO154" s="55">
        <v>6</v>
      </c>
      <c r="BQ154" s="55" t="s">
        <v>141</v>
      </c>
      <c r="BR154" s="55">
        <f>112*1000</f>
        <v>112000</v>
      </c>
      <c r="BT154" s="55">
        <f>50/0.96</f>
        <v>52.083333333333336</v>
      </c>
      <c r="CM154" s="65">
        <f>CR154*0.00061*100</f>
        <v>2.2142999999999997</v>
      </c>
      <c r="CN154" s="65">
        <f>CS154*0.00061*100</f>
        <v>2.4095</v>
      </c>
      <c r="CR154" s="65">
        <f>36.3</f>
        <v>36.299999999999997</v>
      </c>
      <c r="CS154" s="65">
        <f>39.5</f>
        <v>39.5</v>
      </c>
      <c r="CV154" s="65" t="s">
        <v>4333</v>
      </c>
      <c r="DA154" s="65" t="s">
        <v>4455</v>
      </c>
      <c r="DB154" s="65">
        <f>CR154/12.5*10000</f>
        <v>29040</v>
      </c>
      <c r="DC154" s="65">
        <f>CS154/11.8*10000</f>
        <v>33474.576271186437</v>
      </c>
      <c r="DF154" s="65" t="s">
        <v>786</v>
      </c>
      <c r="GP154" s="292" t="s">
        <v>7494</v>
      </c>
      <c r="HS154" s="227"/>
      <c r="HW154" s="227"/>
      <c r="IR154" s="65">
        <f>184*0.61/24</f>
        <v>4.6766666666666667</v>
      </c>
      <c r="IS154" s="65">
        <f>214*0.61/24</f>
        <v>5.439166666666666</v>
      </c>
      <c r="JG154" s="65">
        <f>905*1000000/1627500</f>
        <v>556.06758832565288</v>
      </c>
      <c r="JH154" s="65">
        <f>987*1000000/1627500</f>
        <v>606.45161290322585</v>
      </c>
      <c r="JL154" s="65">
        <f>79*1000000/1627500</f>
        <v>48.540706605222731</v>
      </c>
      <c r="JM154" s="65">
        <f>125*1000000/1627500</f>
        <v>76.804915514592935</v>
      </c>
      <c r="JU154" s="55" t="s">
        <v>272</v>
      </c>
    </row>
    <row r="155" spans="1:281" x14ac:dyDescent="0.25">
      <c r="A155" s="55">
        <v>154</v>
      </c>
      <c r="B155" s="12" t="s">
        <v>7067</v>
      </c>
      <c r="C155" s="155">
        <v>13</v>
      </c>
      <c r="D155" s="55" t="s">
        <v>3727</v>
      </c>
      <c r="E155" s="90" t="s">
        <v>245</v>
      </c>
      <c r="G155" s="55" t="s">
        <v>255</v>
      </c>
      <c r="H155" s="55">
        <v>1991</v>
      </c>
      <c r="I155" s="55">
        <v>1987</v>
      </c>
      <c r="J155" s="211" t="s">
        <v>256</v>
      </c>
      <c r="K155" s="55" t="s">
        <v>257</v>
      </c>
      <c r="L155" s="55" t="s">
        <v>2737</v>
      </c>
      <c r="M155" s="90">
        <v>50.53</v>
      </c>
      <c r="N155" s="90">
        <f>-103.67</f>
        <v>-103.67</v>
      </c>
      <c r="O155" s="90">
        <v>579.1</v>
      </c>
      <c r="U155" s="55" t="s">
        <v>1818</v>
      </c>
      <c r="V155" s="55" t="s">
        <v>1818</v>
      </c>
      <c r="Y155" s="55" t="s">
        <v>1817</v>
      </c>
      <c r="Z155" s="55" t="s">
        <v>1349</v>
      </c>
      <c r="AA155" s="90" t="s">
        <v>1677</v>
      </c>
      <c r="AD155" s="90">
        <f>(0.95+1.22)/2</f>
        <v>1.085</v>
      </c>
      <c r="AE155" s="90">
        <v>16.3</v>
      </c>
      <c r="AF155" s="90">
        <v>20.6</v>
      </c>
      <c r="AH155" s="55" t="s">
        <v>769</v>
      </c>
      <c r="AM155" s="55" t="s">
        <v>1283</v>
      </c>
      <c r="AN155" s="185" t="s">
        <v>258</v>
      </c>
      <c r="AO155" s="185" t="s">
        <v>5150</v>
      </c>
      <c r="AQ155" s="55" t="s">
        <v>553</v>
      </c>
      <c r="AR155" s="55" t="s">
        <v>1500</v>
      </c>
      <c r="AS155" s="55" t="s">
        <v>116</v>
      </c>
      <c r="AT155" s="181" t="s">
        <v>260</v>
      </c>
      <c r="AU155" s="181" t="s">
        <v>5150</v>
      </c>
      <c r="AV155" s="185" t="s">
        <v>176</v>
      </c>
      <c r="AW155" s="55" t="s">
        <v>268</v>
      </c>
      <c r="AX155" s="185" t="s">
        <v>176</v>
      </c>
      <c r="AY155" s="55" t="s">
        <v>479</v>
      </c>
      <c r="BE155" s="226" t="s">
        <v>259</v>
      </c>
      <c r="BG155" s="55" t="s">
        <v>479</v>
      </c>
      <c r="BH155" s="226" t="s">
        <v>161</v>
      </c>
      <c r="BI155" s="55" t="s">
        <v>176</v>
      </c>
      <c r="BJ155" s="55" t="s">
        <v>479</v>
      </c>
      <c r="BK155" s="55" t="s">
        <v>5976</v>
      </c>
      <c r="BM155" s="192" t="s">
        <v>119</v>
      </c>
      <c r="BN155" s="55">
        <v>6</v>
      </c>
      <c r="BO155" s="55">
        <v>6</v>
      </c>
      <c r="BQ155" s="55" t="s">
        <v>141</v>
      </c>
      <c r="BR155" s="55">
        <f>112*1000</f>
        <v>112000</v>
      </c>
      <c r="BT155" s="55">
        <f>50/0.96</f>
        <v>52.083333333333336</v>
      </c>
      <c r="CM155" s="65">
        <f>CR155*0.00061*100</f>
        <v>2.3118999999999996</v>
      </c>
      <c r="CN155" s="65">
        <f>CS155*0.00061*100</f>
        <v>2.4095</v>
      </c>
      <c r="CR155" s="65">
        <f>37.9</f>
        <v>37.9</v>
      </c>
      <c r="CS155" s="65">
        <f>39.5</f>
        <v>39.5</v>
      </c>
      <c r="CV155" s="65" t="s">
        <v>4333</v>
      </c>
      <c r="DA155" s="65" t="s">
        <v>4455</v>
      </c>
      <c r="DB155" s="65">
        <f>CR155/12.6*10000</f>
        <v>30079.365079365078</v>
      </c>
      <c r="DC155" s="65">
        <f>CS155/11.8*10000</f>
        <v>33474.576271186437</v>
      </c>
      <c r="DF155" s="65" t="s">
        <v>786</v>
      </c>
      <c r="GP155" s="292" t="s">
        <v>7494</v>
      </c>
      <c r="HS155" s="227"/>
      <c r="HW155" s="227"/>
      <c r="IR155" s="65">
        <f>178*0.61/24</f>
        <v>4.5241666666666669</v>
      </c>
      <c r="IS155" s="65">
        <f>214*0.61/24</f>
        <v>5.439166666666666</v>
      </c>
      <c r="JG155" s="65">
        <f>815*1000000/1627500</f>
        <v>500.76804915514595</v>
      </c>
      <c r="JH155" s="65">
        <f>987*1000000/1627500</f>
        <v>606.45161290322585</v>
      </c>
      <c r="JL155" s="65">
        <f>75*1000000/1627500</f>
        <v>46.082949308755758</v>
      </c>
      <c r="JM155" s="65">
        <f>125*1000000/1627500</f>
        <v>76.804915514592935</v>
      </c>
      <c r="JU155" s="55" t="s">
        <v>272</v>
      </c>
    </row>
    <row r="156" spans="1:281" x14ac:dyDescent="0.25">
      <c r="A156" s="55">
        <v>155</v>
      </c>
      <c r="B156" s="12" t="s">
        <v>7067</v>
      </c>
      <c r="C156" s="155">
        <v>13</v>
      </c>
      <c r="D156" s="55" t="s">
        <v>3726</v>
      </c>
      <c r="E156" s="90" t="s">
        <v>245</v>
      </c>
      <c r="G156" s="55" t="s">
        <v>255</v>
      </c>
      <c r="H156" s="55">
        <v>1991</v>
      </c>
      <c r="I156" s="55">
        <v>1987</v>
      </c>
      <c r="J156" s="211" t="s">
        <v>256</v>
      </c>
      <c r="K156" s="55" t="s">
        <v>257</v>
      </c>
      <c r="L156" s="55" t="s">
        <v>2737</v>
      </c>
      <c r="M156" s="90">
        <v>50.53</v>
      </c>
      <c r="N156" s="90">
        <f>-103.67</f>
        <v>-103.67</v>
      </c>
      <c r="O156" s="90">
        <v>579.1</v>
      </c>
      <c r="U156" s="55" t="s">
        <v>1818</v>
      </c>
      <c r="V156" s="55" t="s">
        <v>1818</v>
      </c>
      <c r="Y156" s="55" t="s">
        <v>1817</v>
      </c>
      <c r="Z156" s="55" t="s">
        <v>1349</v>
      </c>
      <c r="AA156" s="90" t="s">
        <v>1677</v>
      </c>
      <c r="AD156" s="90">
        <f>(0.95+1.22)/2</f>
        <v>1.085</v>
      </c>
      <c r="AE156" s="90">
        <v>16.3</v>
      </c>
      <c r="AF156" s="90">
        <v>20.6</v>
      </c>
      <c r="AH156" s="55" t="s">
        <v>769</v>
      </c>
      <c r="AM156" s="55" t="s">
        <v>1283</v>
      </c>
      <c r="AN156" s="185" t="s">
        <v>258</v>
      </c>
      <c r="AO156" s="185" t="s">
        <v>5150</v>
      </c>
      <c r="AQ156" s="55" t="s">
        <v>553</v>
      </c>
      <c r="AR156" s="55" t="s">
        <v>1500</v>
      </c>
      <c r="AS156" s="55" t="s">
        <v>116</v>
      </c>
      <c r="AT156" s="181" t="s">
        <v>1345</v>
      </c>
      <c r="AU156" s="181" t="s">
        <v>5150</v>
      </c>
      <c r="AV156" s="185" t="s">
        <v>176</v>
      </c>
      <c r="AW156" s="55" t="s">
        <v>268</v>
      </c>
      <c r="AX156" s="185" t="s">
        <v>176</v>
      </c>
      <c r="AY156" s="55" t="s">
        <v>479</v>
      </c>
      <c r="BE156" s="226" t="s">
        <v>161</v>
      </c>
      <c r="BG156" s="55" t="s">
        <v>176</v>
      </c>
      <c r="BH156" s="226" t="s">
        <v>161</v>
      </c>
      <c r="BI156" s="55" t="s">
        <v>176</v>
      </c>
      <c r="BJ156" s="55" t="s">
        <v>479</v>
      </c>
      <c r="BK156" s="55" t="s">
        <v>5976</v>
      </c>
      <c r="BM156" s="192" t="s">
        <v>119</v>
      </c>
      <c r="BN156" s="55">
        <v>6</v>
      </c>
      <c r="BO156" s="55">
        <v>6</v>
      </c>
      <c r="BQ156" s="55" t="s">
        <v>141</v>
      </c>
      <c r="BR156" s="55">
        <f>112*1000</f>
        <v>112000</v>
      </c>
      <c r="BT156" s="55">
        <f>50/0.96</f>
        <v>52.083333333333336</v>
      </c>
      <c r="CM156" s="65">
        <f>CR156*0.00061*100</f>
        <v>2.2203999999999997</v>
      </c>
      <c r="CN156" s="65">
        <f>CS156*0.00061*100</f>
        <v>2.4095</v>
      </c>
      <c r="CR156" s="65">
        <f>36.4</f>
        <v>36.4</v>
      </c>
      <c r="CS156" s="65">
        <f>39.5</f>
        <v>39.5</v>
      </c>
      <c r="CV156" s="65" t="s">
        <v>4333</v>
      </c>
      <c r="DA156" s="65" t="s">
        <v>4455</v>
      </c>
      <c r="DB156" s="65">
        <f>CR156/12.5*10000</f>
        <v>29120</v>
      </c>
      <c r="DC156" s="65">
        <f>CS156/11.8*10000</f>
        <v>33474.576271186437</v>
      </c>
      <c r="DF156" s="65" t="s">
        <v>786</v>
      </c>
      <c r="GP156" s="292" t="s">
        <v>7494</v>
      </c>
      <c r="HS156" s="227"/>
      <c r="HW156" s="227"/>
      <c r="IR156" s="65">
        <f>200*0.61/24</f>
        <v>5.083333333333333</v>
      </c>
      <c r="IS156" s="65">
        <f>214*0.61/24</f>
        <v>5.439166666666666</v>
      </c>
      <c r="JG156" s="65">
        <f>804*1000000/1627500</f>
        <v>494.00921658986175</v>
      </c>
      <c r="JH156" s="65">
        <f>987*1000000/1627500</f>
        <v>606.45161290322585</v>
      </c>
      <c r="JL156" s="65">
        <f>89*1000000/1627500</f>
        <v>54.685099846390166</v>
      </c>
      <c r="JM156" s="65">
        <f>125*1000000/1627500</f>
        <v>76.804915514592935</v>
      </c>
      <c r="JU156" s="55" t="s">
        <v>272</v>
      </c>
    </row>
    <row r="157" spans="1:281" x14ac:dyDescent="0.25">
      <c r="A157" s="55">
        <v>156</v>
      </c>
      <c r="B157" s="12" t="s">
        <v>7067</v>
      </c>
      <c r="C157" s="155">
        <v>13</v>
      </c>
      <c r="D157" s="55" t="s">
        <v>3727</v>
      </c>
      <c r="E157" s="90" t="s">
        <v>245</v>
      </c>
      <c r="G157" s="55" t="s">
        <v>255</v>
      </c>
      <c r="H157" s="55">
        <v>1991</v>
      </c>
      <c r="I157" s="55">
        <v>1987</v>
      </c>
      <c r="J157" s="211" t="s">
        <v>256</v>
      </c>
      <c r="K157" s="55" t="s">
        <v>257</v>
      </c>
      <c r="L157" s="55" t="s">
        <v>2737</v>
      </c>
      <c r="M157" s="90">
        <v>50.53</v>
      </c>
      <c r="N157" s="90">
        <f>-103.67</f>
        <v>-103.67</v>
      </c>
      <c r="O157" s="90">
        <v>579.1</v>
      </c>
      <c r="U157" s="55" t="s">
        <v>1818</v>
      </c>
      <c r="V157" s="55" t="s">
        <v>1818</v>
      </c>
      <c r="Y157" s="55" t="s">
        <v>1817</v>
      </c>
      <c r="Z157" s="55" t="s">
        <v>1349</v>
      </c>
      <c r="AA157" s="90" t="s">
        <v>1677</v>
      </c>
      <c r="AD157" s="90">
        <f>(0.95+1.22)/2</f>
        <v>1.085</v>
      </c>
      <c r="AE157" s="90">
        <v>16.3</v>
      </c>
      <c r="AF157" s="90">
        <v>20.6</v>
      </c>
      <c r="AH157" s="55" t="s">
        <v>769</v>
      </c>
      <c r="AM157" s="55" t="s">
        <v>1283</v>
      </c>
      <c r="AN157" s="185" t="s">
        <v>258</v>
      </c>
      <c r="AO157" s="185" t="s">
        <v>5150</v>
      </c>
      <c r="AQ157" s="55" t="s">
        <v>553</v>
      </c>
      <c r="AR157" s="55" t="s">
        <v>1500</v>
      </c>
      <c r="AS157" s="55" t="s">
        <v>116</v>
      </c>
      <c r="AT157" s="181" t="s">
        <v>1345</v>
      </c>
      <c r="AU157" s="181" t="s">
        <v>5150</v>
      </c>
      <c r="AV157" s="185" t="s">
        <v>176</v>
      </c>
      <c r="AW157" s="55" t="s">
        <v>268</v>
      </c>
      <c r="AX157" s="185" t="s">
        <v>176</v>
      </c>
      <c r="AY157" s="55" t="s">
        <v>479</v>
      </c>
      <c r="BE157" s="226" t="s">
        <v>259</v>
      </c>
      <c r="BG157" s="55" t="s">
        <v>479</v>
      </c>
      <c r="BH157" s="226" t="s">
        <v>161</v>
      </c>
      <c r="BI157" s="55" t="s">
        <v>176</v>
      </c>
      <c r="BJ157" s="55" t="s">
        <v>479</v>
      </c>
      <c r="BK157" s="55" t="s">
        <v>5976</v>
      </c>
      <c r="BM157" s="192" t="s">
        <v>119</v>
      </c>
      <c r="BN157" s="55">
        <v>6</v>
      </c>
      <c r="BO157" s="55">
        <v>6</v>
      </c>
      <c r="BQ157" s="55" t="s">
        <v>141</v>
      </c>
      <c r="BR157" s="55">
        <f>112*1000</f>
        <v>112000</v>
      </c>
      <c r="BT157" s="55">
        <f>50/0.96</f>
        <v>52.083333333333336</v>
      </c>
      <c r="CM157" s="65">
        <f>CR157*0.00061*100</f>
        <v>2.3485</v>
      </c>
      <c r="CN157" s="65">
        <f>CS157*0.00061*100</f>
        <v>2.4095</v>
      </c>
      <c r="CR157" s="65">
        <f>38.5</f>
        <v>38.5</v>
      </c>
      <c r="CS157" s="65">
        <f>39.5</f>
        <v>39.5</v>
      </c>
      <c r="CV157" s="65" t="s">
        <v>4333</v>
      </c>
      <c r="DA157" s="65" t="s">
        <v>4455</v>
      </c>
      <c r="DB157" s="65">
        <f>CR157/11.9*10000</f>
        <v>32352.941176470587</v>
      </c>
      <c r="DC157" s="65">
        <f>CS157/11.8*10000</f>
        <v>33474.576271186437</v>
      </c>
      <c r="DF157" s="65" t="s">
        <v>786</v>
      </c>
      <c r="GP157" s="292" t="s">
        <v>7494</v>
      </c>
      <c r="HS157" s="227"/>
      <c r="HW157" s="227"/>
      <c r="IR157" s="65">
        <f>193*0.61/24</f>
        <v>4.9054166666666665</v>
      </c>
      <c r="IS157" s="65">
        <f>214*0.61/24</f>
        <v>5.439166666666666</v>
      </c>
      <c r="JG157" s="65">
        <f>891*1000000/1627500</f>
        <v>547.46543778801845</v>
      </c>
      <c r="JH157" s="65">
        <f>987*1000000/1627500</f>
        <v>606.45161290322585</v>
      </c>
      <c r="JL157" s="65">
        <f>88*1000000/1627500</f>
        <v>54.070660522273428</v>
      </c>
      <c r="JM157" s="65">
        <f>125*1000000/1627500</f>
        <v>76.804915514592935</v>
      </c>
      <c r="JU157" s="55" t="s">
        <v>272</v>
      </c>
    </row>
    <row r="158" spans="1:281" x14ac:dyDescent="0.25">
      <c r="A158" s="55">
        <v>157</v>
      </c>
      <c r="B158" s="12" t="s">
        <v>7067</v>
      </c>
      <c r="C158" s="155">
        <v>13</v>
      </c>
      <c r="D158" s="55" t="s">
        <v>3728</v>
      </c>
      <c r="E158" s="90" t="s">
        <v>245</v>
      </c>
      <c r="G158" s="55" t="s">
        <v>255</v>
      </c>
      <c r="H158" s="55">
        <v>1991</v>
      </c>
      <c r="I158" s="55">
        <v>1987</v>
      </c>
      <c r="J158" s="211" t="s">
        <v>256</v>
      </c>
      <c r="K158" s="55" t="s">
        <v>257</v>
      </c>
      <c r="L158" s="55" t="s">
        <v>2737</v>
      </c>
      <c r="M158" s="90">
        <v>50.53</v>
      </c>
      <c r="N158" s="90">
        <f>-103.67</f>
        <v>-103.67</v>
      </c>
      <c r="O158" s="90">
        <v>579.1</v>
      </c>
      <c r="U158" s="55" t="s">
        <v>1818</v>
      </c>
      <c r="V158" s="55" t="s">
        <v>1818</v>
      </c>
      <c r="Y158" s="55" t="s">
        <v>1817</v>
      </c>
      <c r="Z158" s="55" t="s">
        <v>1349</v>
      </c>
      <c r="AA158" s="90" t="s">
        <v>1677</v>
      </c>
      <c r="AD158" s="90">
        <f>(0.95+1.22)/2</f>
        <v>1.085</v>
      </c>
      <c r="AE158" s="90">
        <v>16.3</v>
      </c>
      <c r="AF158" s="90">
        <v>20.6</v>
      </c>
      <c r="AH158" s="55" t="s">
        <v>769</v>
      </c>
      <c r="AM158" s="55" t="s">
        <v>1283</v>
      </c>
      <c r="AN158" s="185" t="s">
        <v>258</v>
      </c>
      <c r="AO158" s="185" t="s">
        <v>5150</v>
      </c>
      <c r="AQ158" s="55" t="s">
        <v>553</v>
      </c>
      <c r="AR158" s="55" t="s">
        <v>1500</v>
      </c>
      <c r="AS158" s="55" t="s">
        <v>116</v>
      </c>
      <c r="AT158" s="181" t="s">
        <v>1345</v>
      </c>
      <c r="AU158" s="181" t="s">
        <v>5150</v>
      </c>
      <c r="AV158" s="185" t="s">
        <v>176</v>
      </c>
      <c r="AW158" s="55" t="s">
        <v>268</v>
      </c>
      <c r="AX158" s="185" t="s">
        <v>176</v>
      </c>
      <c r="AY158" s="55" t="s">
        <v>479</v>
      </c>
      <c r="BE158" s="226" t="s">
        <v>261</v>
      </c>
      <c r="BG158" s="55" t="s">
        <v>479</v>
      </c>
      <c r="BH158" s="226" t="s">
        <v>161</v>
      </c>
      <c r="BI158" s="55" t="s">
        <v>176</v>
      </c>
      <c r="BJ158" s="55" t="s">
        <v>479</v>
      </c>
      <c r="BK158" s="55" t="s">
        <v>5976</v>
      </c>
      <c r="BM158" s="192" t="s">
        <v>119</v>
      </c>
      <c r="BN158" s="55">
        <v>6</v>
      </c>
      <c r="BO158" s="55">
        <v>6</v>
      </c>
      <c r="BQ158" s="55" t="s">
        <v>141</v>
      </c>
      <c r="BR158" s="55">
        <f>112*1000</f>
        <v>112000</v>
      </c>
      <c r="BT158" s="55">
        <f>50/0.96</f>
        <v>52.083333333333336</v>
      </c>
      <c r="CM158" s="65">
        <f>CR158*0.00061*100</f>
        <v>2.3302</v>
      </c>
      <c r="CN158" s="65">
        <f>CS158*0.00061*100</f>
        <v>2.4095</v>
      </c>
      <c r="CR158" s="65">
        <f>38.2</f>
        <v>38.200000000000003</v>
      </c>
      <c r="CS158" s="65">
        <f>39.5</f>
        <v>39.5</v>
      </c>
      <c r="CV158" s="65" t="s">
        <v>4333</v>
      </c>
      <c r="DA158" s="65" t="s">
        <v>4455</v>
      </c>
      <c r="DB158" s="65">
        <f>CR158/12.7*10000</f>
        <v>30078.740157480319</v>
      </c>
      <c r="DC158" s="65">
        <f>CS158/11.8*10000</f>
        <v>33474.576271186437</v>
      </c>
      <c r="DF158" s="65" t="s">
        <v>786</v>
      </c>
      <c r="GP158" s="292" t="s">
        <v>7494</v>
      </c>
      <c r="HS158" s="227"/>
      <c r="HW158" s="227"/>
      <c r="IR158" s="65">
        <f>168*0.61/24</f>
        <v>4.2700000000000005</v>
      </c>
      <c r="IS158" s="65">
        <f>214*0.61/24</f>
        <v>5.439166666666666</v>
      </c>
      <c r="JG158" s="65">
        <f>833*1000000/1627500</f>
        <v>511.8279569892473</v>
      </c>
      <c r="JH158" s="65">
        <f>987*1000000/1627500</f>
        <v>606.45161290322585</v>
      </c>
      <c r="JL158" s="65">
        <f>80*1000000/1627500</f>
        <v>49.155145929339476</v>
      </c>
      <c r="JM158" s="65">
        <f>125*1000000/1627500</f>
        <v>76.804915514592935</v>
      </c>
      <c r="JU158" s="55" t="s">
        <v>272</v>
      </c>
    </row>
    <row r="159" spans="1:281" x14ac:dyDescent="0.25">
      <c r="A159" s="55">
        <v>158</v>
      </c>
      <c r="B159" s="12" t="s">
        <v>7067</v>
      </c>
      <c r="C159" s="155">
        <v>13</v>
      </c>
      <c r="D159" s="55" t="s">
        <v>3726</v>
      </c>
      <c r="E159" s="90" t="s">
        <v>245</v>
      </c>
      <c r="G159" s="55" t="s">
        <v>255</v>
      </c>
      <c r="H159" s="55">
        <v>1991</v>
      </c>
      <c r="I159" s="55">
        <v>1987</v>
      </c>
      <c r="J159" s="211" t="s">
        <v>256</v>
      </c>
      <c r="K159" s="55" t="s">
        <v>257</v>
      </c>
      <c r="L159" s="55" t="s">
        <v>2737</v>
      </c>
      <c r="M159" s="90">
        <v>50.53</v>
      </c>
      <c r="N159" s="90">
        <f>-103.67</f>
        <v>-103.67</v>
      </c>
      <c r="O159" s="90">
        <v>579.1</v>
      </c>
      <c r="U159" s="55" t="s">
        <v>1818</v>
      </c>
      <c r="V159" s="55" t="s">
        <v>1818</v>
      </c>
      <c r="Y159" s="55" t="s">
        <v>1817</v>
      </c>
      <c r="Z159" s="55" t="s">
        <v>1349</v>
      </c>
      <c r="AA159" s="90" t="s">
        <v>1677</v>
      </c>
      <c r="AD159" s="90">
        <f>(0.95+1.22)/2</f>
        <v>1.085</v>
      </c>
      <c r="AE159" s="90">
        <v>16.3</v>
      </c>
      <c r="AF159" s="90">
        <v>20.6</v>
      </c>
      <c r="AH159" s="55" t="s">
        <v>769</v>
      </c>
      <c r="AM159" s="55" t="s">
        <v>1283</v>
      </c>
      <c r="AN159" s="185" t="s">
        <v>258</v>
      </c>
      <c r="AO159" s="185" t="s">
        <v>5150</v>
      </c>
      <c r="AQ159" s="55" t="s">
        <v>553</v>
      </c>
      <c r="AR159" s="55" t="s">
        <v>1500</v>
      </c>
      <c r="AS159" s="55" t="s">
        <v>116</v>
      </c>
      <c r="AT159" s="181" t="s">
        <v>260</v>
      </c>
      <c r="AU159" s="181" t="s">
        <v>5150</v>
      </c>
      <c r="AV159" s="185" t="s">
        <v>176</v>
      </c>
      <c r="AW159" s="55" t="s">
        <v>267</v>
      </c>
      <c r="AX159" s="185" t="s">
        <v>176</v>
      </c>
      <c r="AY159" s="55" t="s">
        <v>479</v>
      </c>
      <c r="BE159" s="226" t="s">
        <v>161</v>
      </c>
      <c r="BG159" s="55" t="s">
        <v>176</v>
      </c>
      <c r="BH159" s="226" t="s">
        <v>161</v>
      </c>
      <c r="BI159" s="55" t="s">
        <v>176</v>
      </c>
      <c r="BJ159" s="55" t="s">
        <v>176</v>
      </c>
      <c r="BK159" s="55" t="s">
        <v>5976</v>
      </c>
      <c r="BM159" s="192" t="s">
        <v>119</v>
      </c>
      <c r="BN159" s="55">
        <v>6</v>
      </c>
      <c r="BO159" s="55">
        <v>6</v>
      </c>
      <c r="BQ159" s="55" t="s">
        <v>141</v>
      </c>
      <c r="BR159" s="55">
        <f>112*1000</f>
        <v>112000</v>
      </c>
      <c r="BT159" s="55">
        <f>50/0.96</f>
        <v>52.083333333333336</v>
      </c>
      <c r="CM159" s="65">
        <f>CR159*0.00061*100</f>
        <v>2.2142999999999997</v>
      </c>
      <c r="CN159" s="65">
        <f>CS159*0.00061*100</f>
        <v>2.4339</v>
      </c>
      <c r="CR159" s="65">
        <f>36.3</f>
        <v>36.299999999999997</v>
      </c>
      <c r="CS159" s="65">
        <f>39.9</f>
        <v>39.9</v>
      </c>
      <c r="CV159" s="65" t="s">
        <v>4333</v>
      </c>
      <c r="DA159" s="65" t="s">
        <v>4455</v>
      </c>
      <c r="DB159" s="65">
        <f>CR159/12.5*10000</f>
        <v>29040</v>
      </c>
      <c r="DC159" s="65">
        <f>CS159/12*10000</f>
        <v>33250</v>
      </c>
      <c r="DF159" s="65" t="s">
        <v>786</v>
      </c>
      <c r="GP159" s="292" t="s">
        <v>7494</v>
      </c>
      <c r="HS159" s="227"/>
      <c r="HW159" s="227"/>
      <c r="IR159" s="65">
        <f>184*0.61/24</f>
        <v>4.6766666666666667</v>
      </c>
      <c r="IS159" s="65">
        <f>199*0.61/24</f>
        <v>5.0579166666666664</v>
      </c>
      <c r="JG159" s="65">
        <f>905*1000000/1627500</f>
        <v>556.06758832565288</v>
      </c>
      <c r="JH159" s="65">
        <f>1094*1000000/1627500</f>
        <v>672.19662058371739</v>
      </c>
      <c r="JL159" s="65">
        <v>48.540706605222702</v>
      </c>
      <c r="JM159" s="65">
        <f>124*1000000/1627500</f>
        <v>76.19047619047619</v>
      </c>
      <c r="JU159" s="55" t="s">
        <v>272</v>
      </c>
    </row>
    <row r="160" spans="1:281" x14ac:dyDescent="0.25">
      <c r="A160" s="55">
        <v>159</v>
      </c>
      <c r="B160" s="12" t="s">
        <v>7067</v>
      </c>
      <c r="C160" s="155">
        <v>13</v>
      </c>
      <c r="D160" s="55" t="s">
        <v>3727</v>
      </c>
      <c r="E160" s="90" t="s">
        <v>245</v>
      </c>
      <c r="G160" s="55" t="s">
        <v>255</v>
      </c>
      <c r="H160" s="55">
        <v>1991</v>
      </c>
      <c r="I160" s="55">
        <v>1987</v>
      </c>
      <c r="J160" s="211" t="s">
        <v>256</v>
      </c>
      <c r="K160" s="55" t="s">
        <v>257</v>
      </c>
      <c r="L160" s="55" t="s">
        <v>2737</v>
      </c>
      <c r="M160" s="90">
        <v>50.53</v>
      </c>
      <c r="N160" s="90">
        <f>-103.67</f>
        <v>-103.67</v>
      </c>
      <c r="O160" s="90">
        <v>579.1</v>
      </c>
      <c r="U160" s="55" t="s">
        <v>1818</v>
      </c>
      <c r="V160" s="55" t="s">
        <v>1818</v>
      </c>
      <c r="Y160" s="55" t="s">
        <v>1817</v>
      </c>
      <c r="Z160" s="55" t="s">
        <v>1349</v>
      </c>
      <c r="AA160" s="90" t="s">
        <v>1677</v>
      </c>
      <c r="AD160" s="90">
        <f>(0.95+1.22)/2</f>
        <v>1.085</v>
      </c>
      <c r="AE160" s="90">
        <v>16.3</v>
      </c>
      <c r="AF160" s="90">
        <v>20.6</v>
      </c>
      <c r="AH160" s="55" t="s">
        <v>769</v>
      </c>
      <c r="AM160" s="55" t="s">
        <v>1283</v>
      </c>
      <c r="AN160" s="185" t="s">
        <v>258</v>
      </c>
      <c r="AO160" s="185" t="s">
        <v>5150</v>
      </c>
      <c r="AQ160" s="55" t="s">
        <v>553</v>
      </c>
      <c r="AR160" s="55" t="s">
        <v>1500</v>
      </c>
      <c r="AS160" s="55" t="s">
        <v>116</v>
      </c>
      <c r="AT160" s="181" t="s">
        <v>260</v>
      </c>
      <c r="AU160" s="181" t="s">
        <v>5150</v>
      </c>
      <c r="AV160" s="185" t="s">
        <v>176</v>
      </c>
      <c r="AW160" s="55" t="s">
        <v>267</v>
      </c>
      <c r="AX160" s="185" t="s">
        <v>176</v>
      </c>
      <c r="AY160" s="55" t="s">
        <v>479</v>
      </c>
      <c r="BE160" s="226" t="s">
        <v>259</v>
      </c>
      <c r="BG160" s="55" t="s">
        <v>479</v>
      </c>
      <c r="BH160" s="226" t="s">
        <v>161</v>
      </c>
      <c r="BI160" s="55" t="s">
        <v>176</v>
      </c>
      <c r="BJ160" s="55" t="s">
        <v>479</v>
      </c>
      <c r="BK160" s="55" t="s">
        <v>5976</v>
      </c>
      <c r="BM160" s="192" t="s">
        <v>119</v>
      </c>
      <c r="BN160" s="55">
        <v>6</v>
      </c>
      <c r="BO160" s="55">
        <v>6</v>
      </c>
      <c r="BQ160" s="55" t="s">
        <v>141</v>
      </c>
      <c r="BR160" s="55">
        <f>112*1000</f>
        <v>112000</v>
      </c>
      <c r="BT160" s="55">
        <f>50/0.96</f>
        <v>52.083333333333336</v>
      </c>
      <c r="CM160" s="65">
        <f>CR160*0.00061*100</f>
        <v>2.3118999999999996</v>
      </c>
      <c r="CN160" s="65">
        <f>CS160*0.00061*100</f>
        <v>2.4339</v>
      </c>
      <c r="CR160" s="65">
        <f>37.9</f>
        <v>37.9</v>
      </c>
      <c r="CS160" s="65">
        <f>39.9</f>
        <v>39.9</v>
      </c>
      <c r="CV160" s="65" t="s">
        <v>4333</v>
      </c>
      <c r="DA160" s="65" t="s">
        <v>4455</v>
      </c>
      <c r="DB160" s="65">
        <f>CR160/12.6*10000</f>
        <v>30079.365079365078</v>
      </c>
      <c r="DC160" s="65">
        <f>CS160/12*10000</f>
        <v>33250</v>
      </c>
      <c r="DF160" s="65" t="s">
        <v>786</v>
      </c>
      <c r="GP160" s="292" t="s">
        <v>7494</v>
      </c>
      <c r="HS160" s="227"/>
      <c r="HW160" s="227"/>
      <c r="IR160" s="65">
        <f>178*0.61/24</f>
        <v>4.5241666666666669</v>
      </c>
      <c r="IS160" s="65">
        <f>199*0.61/24</f>
        <v>5.0579166666666664</v>
      </c>
      <c r="JG160" s="65">
        <f>815*1000000/1627500</f>
        <v>500.76804915514595</v>
      </c>
      <c r="JH160" s="65">
        <f>1094*1000000/1627500</f>
        <v>672.19662058371739</v>
      </c>
      <c r="JL160" s="65">
        <v>46.082949308755758</v>
      </c>
      <c r="JM160" s="65">
        <f>124*1000000/1627500</f>
        <v>76.19047619047619</v>
      </c>
      <c r="JU160" s="55" t="s">
        <v>272</v>
      </c>
    </row>
    <row r="161" spans="1:281" x14ac:dyDescent="0.25">
      <c r="A161" s="55">
        <v>160</v>
      </c>
      <c r="B161" s="12" t="s">
        <v>7067</v>
      </c>
      <c r="C161" s="155">
        <v>13</v>
      </c>
      <c r="D161" s="55" t="s">
        <v>3726</v>
      </c>
      <c r="E161" s="90" t="s">
        <v>245</v>
      </c>
      <c r="G161" s="55" t="s">
        <v>255</v>
      </c>
      <c r="H161" s="55">
        <v>1991</v>
      </c>
      <c r="I161" s="55">
        <v>1987</v>
      </c>
      <c r="J161" s="211" t="s">
        <v>256</v>
      </c>
      <c r="K161" s="55" t="s">
        <v>257</v>
      </c>
      <c r="L161" s="55" t="s">
        <v>2737</v>
      </c>
      <c r="M161" s="90">
        <v>50.53</v>
      </c>
      <c r="N161" s="90">
        <f>-103.67</f>
        <v>-103.67</v>
      </c>
      <c r="O161" s="90">
        <v>579.1</v>
      </c>
      <c r="U161" s="55" t="s">
        <v>1818</v>
      </c>
      <c r="V161" s="55" t="s">
        <v>1818</v>
      </c>
      <c r="Y161" s="55" t="s">
        <v>1817</v>
      </c>
      <c r="Z161" s="55" t="s">
        <v>1349</v>
      </c>
      <c r="AA161" s="90" t="s">
        <v>1677</v>
      </c>
      <c r="AD161" s="90">
        <f>(0.95+1.22)/2</f>
        <v>1.085</v>
      </c>
      <c r="AE161" s="90">
        <v>16.3</v>
      </c>
      <c r="AF161" s="90">
        <v>20.6</v>
      </c>
      <c r="AH161" s="55" t="s">
        <v>769</v>
      </c>
      <c r="AM161" s="55" t="s">
        <v>1283</v>
      </c>
      <c r="AN161" s="185" t="s">
        <v>258</v>
      </c>
      <c r="AO161" s="185" t="s">
        <v>5150</v>
      </c>
      <c r="AQ161" s="55" t="s">
        <v>553</v>
      </c>
      <c r="AR161" s="55" t="s">
        <v>1500</v>
      </c>
      <c r="AS161" s="55" t="s">
        <v>116</v>
      </c>
      <c r="AT161" s="181" t="s">
        <v>1345</v>
      </c>
      <c r="AU161" s="181" t="s">
        <v>5150</v>
      </c>
      <c r="AV161" s="185" t="s">
        <v>176</v>
      </c>
      <c r="AW161" s="55" t="s">
        <v>267</v>
      </c>
      <c r="AX161" s="185" t="s">
        <v>176</v>
      </c>
      <c r="AY161" s="55" t="s">
        <v>479</v>
      </c>
      <c r="BE161" s="226" t="s">
        <v>161</v>
      </c>
      <c r="BG161" s="55" t="s">
        <v>176</v>
      </c>
      <c r="BH161" s="226" t="s">
        <v>161</v>
      </c>
      <c r="BI161" s="55" t="s">
        <v>176</v>
      </c>
      <c r="BJ161" s="55" t="s">
        <v>479</v>
      </c>
      <c r="BK161" s="55" t="s">
        <v>5976</v>
      </c>
      <c r="BM161" s="192" t="s">
        <v>119</v>
      </c>
      <c r="BN161" s="55">
        <v>6</v>
      </c>
      <c r="BO161" s="55">
        <v>6</v>
      </c>
      <c r="BQ161" s="55" t="s">
        <v>141</v>
      </c>
      <c r="BR161" s="55">
        <f>112*1000</f>
        <v>112000</v>
      </c>
      <c r="BT161" s="55">
        <f>50/0.96</f>
        <v>52.083333333333336</v>
      </c>
      <c r="CM161" s="65">
        <f>CR161*0.00061*100</f>
        <v>2.2203999999999997</v>
      </c>
      <c r="CN161" s="65">
        <f>CS161*0.00061*100</f>
        <v>2.4339</v>
      </c>
      <c r="CR161" s="65">
        <f>36.4</f>
        <v>36.4</v>
      </c>
      <c r="CS161" s="65">
        <f>39.9</f>
        <v>39.9</v>
      </c>
      <c r="CV161" s="65" t="s">
        <v>4333</v>
      </c>
      <c r="DA161" s="65" t="s">
        <v>4455</v>
      </c>
      <c r="DB161" s="65">
        <f>CR161/12.5*10000</f>
        <v>29120</v>
      </c>
      <c r="DC161" s="65">
        <f>CS161/12*10000</f>
        <v>33250</v>
      </c>
      <c r="DF161" s="65" t="s">
        <v>786</v>
      </c>
      <c r="GP161" s="292" t="s">
        <v>7494</v>
      </c>
      <c r="HS161" s="227"/>
      <c r="HW161" s="227"/>
      <c r="IR161" s="65">
        <f>200*0.61/24</f>
        <v>5.083333333333333</v>
      </c>
      <c r="IS161" s="65">
        <f>199*0.61/24</f>
        <v>5.0579166666666664</v>
      </c>
      <c r="JG161" s="65">
        <f>804*1000000/1627500</f>
        <v>494.00921658986175</v>
      </c>
      <c r="JH161" s="65">
        <f>1094*1000000/1627500</f>
        <v>672.19662058371739</v>
      </c>
      <c r="JL161" s="65">
        <v>54.685099846390166</v>
      </c>
      <c r="JM161" s="65">
        <f>124*1000000/1627500</f>
        <v>76.19047619047619</v>
      </c>
      <c r="JU161" s="55" t="s">
        <v>272</v>
      </c>
    </row>
    <row r="162" spans="1:281" x14ac:dyDescent="0.25">
      <c r="A162" s="55">
        <v>161</v>
      </c>
      <c r="B162" s="12" t="s">
        <v>7067</v>
      </c>
      <c r="C162" s="155">
        <v>13</v>
      </c>
      <c r="D162" s="55" t="s">
        <v>3727</v>
      </c>
      <c r="E162" s="90" t="s">
        <v>245</v>
      </c>
      <c r="G162" s="55" t="s">
        <v>255</v>
      </c>
      <c r="H162" s="55">
        <v>1991</v>
      </c>
      <c r="I162" s="55">
        <v>1987</v>
      </c>
      <c r="J162" s="211" t="s">
        <v>256</v>
      </c>
      <c r="K162" s="55" t="s">
        <v>257</v>
      </c>
      <c r="L162" s="55" t="s">
        <v>2737</v>
      </c>
      <c r="M162" s="90">
        <v>50.53</v>
      </c>
      <c r="N162" s="90">
        <f>-103.67</f>
        <v>-103.67</v>
      </c>
      <c r="O162" s="90">
        <v>579.1</v>
      </c>
      <c r="U162" s="55" t="s">
        <v>1818</v>
      </c>
      <c r="V162" s="55" t="s">
        <v>1818</v>
      </c>
      <c r="Y162" s="55" t="s">
        <v>1817</v>
      </c>
      <c r="Z162" s="55" t="s">
        <v>1349</v>
      </c>
      <c r="AA162" s="90" t="s">
        <v>1677</v>
      </c>
      <c r="AD162" s="90">
        <f>(0.95+1.22)/2</f>
        <v>1.085</v>
      </c>
      <c r="AE162" s="90">
        <v>16.3</v>
      </c>
      <c r="AF162" s="90">
        <v>20.6</v>
      </c>
      <c r="AH162" s="55" t="s">
        <v>769</v>
      </c>
      <c r="AM162" s="55" t="s">
        <v>1283</v>
      </c>
      <c r="AN162" s="185" t="s">
        <v>258</v>
      </c>
      <c r="AO162" s="185" t="s">
        <v>5150</v>
      </c>
      <c r="AQ162" s="55" t="s">
        <v>553</v>
      </c>
      <c r="AR162" s="55" t="s">
        <v>1500</v>
      </c>
      <c r="AS162" s="55" t="s">
        <v>116</v>
      </c>
      <c r="AT162" s="181" t="s">
        <v>1345</v>
      </c>
      <c r="AU162" s="181" t="s">
        <v>5150</v>
      </c>
      <c r="AV162" s="185" t="s">
        <v>176</v>
      </c>
      <c r="AW162" s="55" t="s">
        <v>267</v>
      </c>
      <c r="AX162" s="185" t="s">
        <v>176</v>
      </c>
      <c r="AY162" s="55" t="s">
        <v>479</v>
      </c>
      <c r="BE162" s="226" t="s">
        <v>259</v>
      </c>
      <c r="BG162" s="55" t="s">
        <v>479</v>
      </c>
      <c r="BH162" s="226" t="s">
        <v>161</v>
      </c>
      <c r="BI162" s="55" t="s">
        <v>176</v>
      </c>
      <c r="BJ162" s="55" t="s">
        <v>479</v>
      </c>
      <c r="BK162" s="55" t="s">
        <v>5976</v>
      </c>
      <c r="BM162" s="192" t="s">
        <v>119</v>
      </c>
      <c r="BN162" s="55">
        <v>6</v>
      </c>
      <c r="BO162" s="55">
        <v>6</v>
      </c>
      <c r="BQ162" s="55" t="s">
        <v>141</v>
      </c>
      <c r="BR162" s="55">
        <f>112*1000</f>
        <v>112000</v>
      </c>
      <c r="BT162" s="55">
        <f>50/0.96</f>
        <v>52.083333333333336</v>
      </c>
      <c r="CM162" s="65">
        <f>CR162*0.00061*100</f>
        <v>2.3485</v>
      </c>
      <c r="CN162" s="65">
        <f>CS162*0.00061*100</f>
        <v>2.4339</v>
      </c>
      <c r="CR162" s="65">
        <f>38.5</f>
        <v>38.5</v>
      </c>
      <c r="CS162" s="65">
        <f>39.9</f>
        <v>39.9</v>
      </c>
      <c r="CV162" s="65" t="s">
        <v>4333</v>
      </c>
      <c r="DA162" s="65" t="s">
        <v>4455</v>
      </c>
      <c r="DB162" s="65">
        <f>CR162/11.9*10000</f>
        <v>32352.941176470587</v>
      </c>
      <c r="DC162" s="65">
        <f>CS162/12*10000</f>
        <v>33250</v>
      </c>
      <c r="DF162" s="65" t="s">
        <v>786</v>
      </c>
      <c r="GP162" s="292" t="s">
        <v>7494</v>
      </c>
      <c r="HS162" s="227"/>
      <c r="HW162" s="227"/>
      <c r="IR162" s="65">
        <f>193*0.61/24</f>
        <v>4.9054166666666665</v>
      </c>
      <c r="IS162" s="65">
        <f>199*0.61/24</f>
        <v>5.0579166666666664</v>
      </c>
      <c r="JG162" s="65">
        <f>891*1000000/1627500</f>
        <v>547.46543778801845</v>
      </c>
      <c r="JH162" s="65">
        <f>1094*1000000/1627500</f>
        <v>672.19662058371739</v>
      </c>
      <c r="JL162" s="65">
        <v>54.070660522273428</v>
      </c>
      <c r="JM162" s="65">
        <f>124*1000000/1627500</f>
        <v>76.19047619047619</v>
      </c>
      <c r="JU162" s="55" t="s">
        <v>272</v>
      </c>
    </row>
    <row r="163" spans="1:281" x14ac:dyDescent="0.25">
      <c r="A163" s="55">
        <v>162</v>
      </c>
      <c r="B163" s="12" t="s">
        <v>7067</v>
      </c>
      <c r="C163" s="155">
        <v>13</v>
      </c>
      <c r="D163" s="55" t="s">
        <v>3728</v>
      </c>
      <c r="E163" s="90" t="s">
        <v>245</v>
      </c>
      <c r="G163" s="55" t="s">
        <v>255</v>
      </c>
      <c r="H163" s="55">
        <v>1991</v>
      </c>
      <c r="I163" s="55">
        <v>1987</v>
      </c>
      <c r="J163" s="211" t="s">
        <v>256</v>
      </c>
      <c r="K163" s="55" t="s">
        <v>257</v>
      </c>
      <c r="L163" s="55" t="s">
        <v>2737</v>
      </c>
      <c r="M163" s="90">
        <v>50.53</v>
      </c>
      <c r="N163" s="90">
        <f>-103.67</f>
        <v>-103.67</v>
      </c>
      <c r="O163" s="90">
        <v>579.1</v>
      </c>
      <c r="U163" s="55" t="s">
        <v>1818</v>
      </c>
      <c r="V163" s="55" t="s">
        <v>1818</v>
      </c>
      <c r="Y163" s="55" t="s">
        <v>1817</v>
      </c>
      <c r="Z163" s="55" t="s">
        <v>1349</v>
      </c>
      <c r="AA163" s="90" t="s">
        <v>1677</v>
      </c>
      <c r="AD163" s="90">
        <f>(0.95+1.22)/2</f>
        <v>1.085</v>
      </c>
      <c r="AE163" s="90">
        <v>16.3</v>
      </c>
      <c r="AF163" s="90">
        <v>20.6</v>
      </c>
      <c r="AH163" s="55" t="s">
        <v>769</v>
      </c>
      <c r="AM163" s="55" t="s">
        <v>1283</v>
      </c>
      <c r="AN163" s="185" t="s">
        <v>258</v>
      </c>
      <c r="AO163" s="185" t="s">
        <v>5150</v>
      </c>
      <c r="AQ163" s="55" t="s">
        <v>553</v>
      </c>
      <c r="AR163" s="55" t="s">
        <v>1500</v>
      </c>
      <c r="AS163" s="55" t="s">
        <v>116</v>
      </c>
      <c r="AT163" s="181" t="s">
        <v>1345</v>
      </c>
      <c r="AU163" s="181" t="s">
        <v>5150</v>
      </c>
      <c r="AV163" s="185" t="s">
        <v>176</v>
      </c>
      <c r="AW163" s="55" t="s">
        <v>267</v>
      </c>
      <c r="AX163" s="185" t="s">
        <v>176</v>
      </c>
      <c r="AY163" s="55" t="s">
        <v>479</v>
      </c>
      <c r="BE163" s="226" t="s">
        <v>261</v>
      </c>
      <c r="BG163" s="55" t="s">
        <v>479</v>
      </c>
      <c r="BH163" s="226" t="s">
        <v>161</v>
      </c>
      <c r="BI163" s="55" t="s">
        <v>176</v>
      </c>
      <c r="BJ163" s="55" t="s">
        <v>479</v>
      </c>
      <c r="BK163" s="55" t="s">
        <v>5976</v>
      </c>
      <c r="BM163" s="192" t="s">
        <v>119</v>
      </c>
      <c r="BN163" s="55">
        <v>6</v>
      </c>
      <c r="BO163" s="55">
        <v>6</v>
      </c>
      <c r="BQ163" s="55" t="s">
        <v>141</v>
      </c>
      <c r="BR163" s="55">
        <f>112*1000</f>
        <v>112000</v>
      </c>
      <c r="BT163" s="55">
        <f>50/0.96</f>
        <v>52.083333333333336</v>
      </c>
      <c r="CM163" s="65">
        <f>CR163*0.00061*100</f>
        <v>2.3302</v>
      </c>
      <c r="CN163" s="65">
        <f>CS163*0.00061*100</f>
        <v>2.4339</v>
      </c>
      <c r="CR163" s="65">
        <f>38.2</f>
        <v>38.200000000000003</v>
      </c>
      <c r="CS163" s="65">
        <f>39.9</f>
        <v>39.9</v>
      </c>
      <c r="CV163" s="65" t="s">
        <v>4333</v>
      </c>
      <c r="DA163" s="65" t="s">
        <v>4455</v>
      </c>
      <c r="DB163" s="65">
        <f>CR163/12.7*10000</f>
        <v>30078.740157480319</v>
      </c>
      <c r="DC163" s="65">
        <f>CS163/12*10000</f>
        <v>33250</v>
      </c>
      <c r="DF163" s="65" t="s">
        <v>786</v>
      </c>
      <c r="GP163" s="292" t="s">
        <v>7494</v>
      </c>
      <c r="HS163" s="227"/>
      <c r="HW163" s="227"/>
      <c r="IR163" s="65">
        <f>168*0.61/24</f>
        <v>4.2700000000000005</v>
      </c>
      <c r="IS163" s="65">
        <f>199*0.61/24</f>
        <v>5.0579166666666664</v>
      </c>
      <c r="JG163" s="65">
        <f>833*1000000/1627500</f>
        <v>511.8279569892473</v>
      </c>
      <c r="JH163" s="65">
        <f>1094*1000000/1627500</f>
        <v>672.19662058371739</v>
      </c>
      <c r="JL163" s="65">
        <v>49.155145929339476</v>
      </c>
      <c r="JM163" s="65">
        <f>124*1000000/1627500</f>
        <v>76.19047619047619</v>
      </c>
      <c r="JU163" s="55" t="s">
        <v>272</v>
      </c>
    </row>
    <row r="164" spans="1:281" x14ac:dyDescent="0.25">
      <c r="A164" s="55">
        <v>163</v>
      </c>
      <c r="B164" s="12" t="s">
        <v>7067</v>
      </c>
      <c r="C164" s="155">
        <v>13</v>
      </c>
      <c r="D164" s="55" t="s">
        <v>3729</v>
      </c>
      <c r="E164" s="90" t="s">
        <v>245</v>
      </c>
      <c r="G164" s="55" t="s">
        <v>255</v>
      </c>
      <c r="H164" s="55">
        <v>1991</v>
      </c>
      <c r="I164" s="55">
        <v>1987</v>
      </c>
      <c r="J164" s="211" t="s">
        <v>256</v>
      </c>
      <c r="K164" s="55" t="s">
        <v>257</v>
      </c>
      <c r="L164" s="55" t="s">
        <v>2737</v>
      </c>
      <c r="M164" s="90">
        <v>50.53</v>
      </c>
      <c r="N164" s="90">
        <f>-103.67</f>
        <v>-103.67</v>
      </c>
      <c r="O164" s="90">
        <v>579.1</v>
      </c>
      <c r="U164" s="55" t="s">
        <v>1818</v>
      </c>
      <c r="V164" s="55" t="s">
        <v>1818</v>
      </c>
      <c r="Y164" s="55" t="s">
        <v>1817</v>
      </c>
      <c r="Z164" s="55" t="s">
        <v>1349</v>
      </c>
      <c r="AA164" s="90" t="s">
        <v>1677</v>
      </c>
      <c r="AD164" s="90">
        <f>(0.95+1.22)/2</f>
        <v>1.085</v>
      </c>
      <c r="AE164" s="90">
        <v>16.3</v>
      </c>
      <c r="AF164" s="90">
        <v>20.6</v>
      </c>
      <c r="AH164" s="55" t="s">
        <v>769</v>
      </c>
      <c r="AM164" s="55" t="s">
        <v>1283</v>
      </c>
      <c r="AN164" s="185" t="s">
        <v>1537</v>
      </c>
      <c r="AO164" s="185" t="s">
        <v>5150</v>
      </c>
      <c r="AQ164" s="55" t="s">
        <v>1546</v>
      </c>
      <c r="AR164" s="55" t="s">
        <v>1500</v>
      </c>
      <c r="AS164" s="55" t="s">
        <v>116</v>
      </c>
      <c r="AT164" s="181" t="s">
        <v>260</v>
      </c>
      <c r="AU164" s="181" t="s">
        <v>5150</v>
      </c>
      <c r="AV164" s="185" t="s">
        <v>176</v>
      </c>
      <c r="AW164" s="55" t="s">
        <v>269</v>
      </c>
      <c r="AX164" s="185" t="s">
        <v>176</v>
      </c>
      <c r="AY164" s="55" t="s">
        <v>479</v>
      </c>
      <c r="BE164" s="226" t="s">
        <v>161</v>
      </c>
      <c r="BG164" s="55" t="s">
        <v>479</v>
      </c>
      <c r="BH164" s="226" t="s">
        <v>161</v>
      </c>
      <c r="BI164" s="55" t="s">
        <v>176</v>
      </c>
      <c r="BJ164" s="55" t="s">
        <v>176</v>
      </c>
      <c r="BK164" s="55" t="s">
        <v>5976</v>
      </c>
      <c r="BM164" s="192" t="s">
        <v>119</v>
      </c>
      <c r="BN164" s="55">
        <v>6</v>
      </c>
      <c r="BO164" s="55">
        <v>6</v>
      </c>
      <c r="BQ164" s="55" t="s">
        <v>141</v>
      </c>
      <c r="BR164" s="55">
        <f>117*1000</f>
        <v>117000</v>
      </c>
      <c r="BT164" s="55">
        <f>49/1.47</f>
        <v>33.333333333333336</v>
      </c>
      <c r="CM164" s="65">
        <f>CR164*0.00061*100</f>
        <v>2.2142999999999997</v>
      </c>
      <c r="CN164" s="65">
        <f>CS164*0.00061*100</f>
        <v>2.5314999999999999</v>
      </c>
      <c r="CR164" s="65">
        <f>36.3</f>
        <v>36.299999999999997</v>
      </c>
      <c r="CS164" s="65">
        <f>41.5</f>
        <v>41.5</v>
      </c>
      <c r="CV164" s="65" t="s">
        <v>4333</v>
      </c>
      <c r="DA164" s="65" t="s">
        <v>4455</v>
      </c>
      <c r="DB164" s="65">
        <f>CR164/12.5*10000</f>
        <v>29040</v>
      </c>
      <c r="DC164" s="65">
        <f>CS164/12.2*10000</f>
        <v>34016.393442622953</v>
      </c>
      <c r="DF164" s="65" t="s">
        <v>786</v>
      </c>
      <c r="GP164" s="292" t="s">
        <v>7494</v>
      </c>
      <c r="HS164" s="227"/>
      <c r="HW164" s="227"/>
      <c r="IR164" s="65">
        <f>184*0.61/24</f>
        <v>4.6766666666666667</v>
      </c>
      <c r="IS164" s="65">
        <f>227*0.61/24</f>
        <v>5.7695833333333333</v>
      </c>
      <c r="JG164" s="65">
        <f>905*1000000/1627500</f>
        <v>556.06758832565288</v>
      </c>
      <c r="JH164" s="65">
        <f>1074*1000000/1627500</f>
        <v>659.90783410138249</v>
      </c>
      <c r="JL164" s="65">
        <v>48.540706605222702</v>
      </c>
      <c r="JM164" s="65">
        <f>128*1000000/1627500</f>
        <v>78.64823348694317</v>
      </c>
      <c r="JU164" s="55" t="s">
        <v>272</v>
      </c>
    </row>
    <row r="165" spans="1:281" x14ac:dyDescent="0.25">
      <c r="A165" s="55">
        <v>164</v>
      </c>
      <c r="B165" s="12" t="s">
        <v>7067</v>
      </c>
      <c r="C165" s="155">
        <v>13</v>
      </c>
      <c r="D165" s="55" t="s">
        <v>3730</v>
      </c>
      <c r="E165" s="90" t="s">
        <v>245</v>
      </c>
      <c r="G165" s="55" t="s">
        <v>255</v>
      </c>
      <c r="H165" s="55">
        <v>1991</v>
      </c>
      <c r="I165" s="55">
        <v>1987</v>
      </c>
      <c r="J165" s="211" t="s">
        <v>256</v>
      </c>
      <c r="K165" s="55" t="s">
        <v>257</v>
      </c>
      <c r="L165" s="55" t="s">
        <v>2737</v>
      </c>
      <c r="M165" s="90">
        <v>50.53</v>
      </c>
      <c r="N165" s="90">
        <f>-103.67</f>
        <v>-103.67</v>
      </c>
      <c r="O165" s="90">
        <v>579.1</v>
      </c>
      <c r="U165" s="55" t="s">
        <v>1818</v>
      </c>
      <c r="V165" s="55" t="s">
        <v>1818</v>
      </c>
      <c r="Y165" s="55" t="s">
        <v>1817</v>
      </c>
      <c r="Z165" s="55" t="s">
        <v>1349</v>
      </c>
      <c r="AA165" s="90" t="s">
        <v>1677</v>
      </c>
      <c r="AD165" s="90">
        <f>(0.95+1.22)/2</f>
        <v>1.085</v>
      </c>
      <c r="AE165" s="90">
        <v>16.3</v>
      </c>
      <c r="AF165" s="90">
        <v>20.6</v>
      </c>
      <c r="AH165" s="55" t="s">
        <v>769</v>
      </c>
      <c r="AM165" s="55" t="s">
        <v>1283</v>
      </c>
      <c r="AN165" s="185" t="s">
        <v>1537</v>
      </c>
      <c r="AO165" s="185" t="s">
        <v>5150</v>
      </c>
      <c r="AQ165" s="55" t="s">
        <v>1546</v>
      </c>
      <c r="AR165" s="55" t="s">
        <v>1500</v>
      </c>
      <c r="AS165" s="55" t="s">
        <v>116</v>
      </c>
      <c r="AT165" s="181" t="s">
        <v>260</v>
      </c>
      <c r="AU165" s="181" t="s">
        <v>5150</v>
      </c>
      <c r="AV165" s="185" t="s">
        <v>176</v>
      </c>
      <c r="AW165" s="55" t="s">
        <v>269</v>
      </c>
      <c r="AX165" s="185" t="s">
        <v>176</v>
      </c>
      <c r="AY165" s="55" t="s">
        <v>479</v>
      </c>
      <c r="BE165" s="226" t="s">
        <v>259</v>
      </c>
      <c r="BG165" s="55" t="s">
        <v>479</v>
      </c>
      <c r="BH165" s="226" t="s">
        <v>161</v>
      </c>
      <c r="BI165" s="55" t="s">
        <v>176</v>
      </c>
      <c r="BJ165" s="55" t="s">
        <v>479</v>
      </c>
      <c r="BK165" s="55" t="s">
        <v>5976</v>
      </c>
      <c r="BM165" s="192" t="s">
        <v>119</v>
      </c>
      <c r="BN165" s="55">
        <v>6</v>
      </c>
      <c r="BO165" s="55">
        <v>6</v>
      </c>
      <c r="BQ165" s="55" t="s">
        <v>141</v>
      </c>
      <c r="BR165" s="55">
        <f>117*1000</f>
        <v>117000</v>
      </c>
      <c r="BT165" s="55">
        <f>49/1.47</f>
        <v>33.333333333333336</v>
      </c>
      <c r="CM165" s="65">
        <f>CR165*0.00061*100</f>
        <v>2.3118999999999996</v>
      </c>
      <c r="CN165" s="65">
        <f>CS165*0.00061*100</f>
        <v>2.5314999999999999</v>
      </c>
      <c r="CR165" s="65">
        <f>37.9</f>
        <v>37.9</v>
      </c>
      <c r="CS165" s="65">
        <f>41.5</f>
        <v>41.5</v>
      </c>
      <c r="CV165" s="65" t="s">
        <v>4333</v>
      </c>
      <c r="DA165" s="65" t="s">
        <v>4455</v>
      </c>
      <c r="DB165" s="65">
        <f>CR165/12.6*10000</f>
        <v>30079.365079365078</v>
      </c>
      <c r="DC165" s="65">
        <f>CS165/12.2*10000</f>
        <v>34016.393442622953</v>
      </c>
      <c r="DF165" s="65" t="s">
        <v>786</v>
      </c>
      <c r="GP165" s="292" t="s">
        <v>7494</v>
      </c>
      <c r="HS165" s="227"/>
      <c r="HW165" s="227"/>
      <c r="IR165" s="65">
        <f>178*0.61/24</f>
        <v>4.5241666666666669</v>
      </c>
      <c r="IS165" s="65">
        <f>227*0.61/24</f>
        <v>5.7695833333333333</v>
      </c>
      <c r="JG165" s="65">
        <f>815*1000000/1627500</f>
        <v>500.76804915514595</v>
      </c>
      <c r="JH165" s="65">
        <f>1074*1000000/1627500</f>
        <v>659.90783410138249</v>
      </c>
      <c r="JL165" s="65">
        <v>46.082949308755758</v>
      </c>
      <c r="JM165" s="65">
        <f>128*1000000/1627500</f>
        <v>78.64823348694317</v>
      </c>
      <c r="JU165" s="55" t="s">
        <v>272</v>
      </c>
    </row>
    <row r="166" spans="1:281" x14ac:dyDescent="0.25">
      <c r="A166" s="55">
        <v>165</v>
      </c>
      <c r="B166" s="12" t="s">
        <v>7067</v>
      </c>
      <c r="C166" s="155">
        <v>13</v>
      </c>
      <c r="D166" s="55" t="s">
        <v>3729</v>
      </c>
      <c r="E166" s="90" t="s">
        <v>245</v>
      </c>
      <c r="G166" s="55" t="s">
        <v>255</v>
      </c>
      <c r="H166" s="55">
        <v>1991</v>
      </c>
      <c r="I166" s="55">
        <v>1987</v>
      </c>
      <c r="J166" s="211" t="s">
        <v>256</v>
      </c>
      <c r="K166" s="55" t="s">
        <v>257</v>
      </c>
      <c r="L166" s="55" t="s">
        <v>2737</v>
      </c>
      <c r="M166" s="90">
        <v>50.53</v>
      </c>
      <c r="N166" s="90">
        <f>-103.67</f>
        <v>-103.67</v>
      </c>
      <c r="O166" s="90">
        <v>579.1</v>
      </c>
      <c r="U166" s="55" t="s">
        <v>1818</v>
      </c>
      <c r="V166" s="55" t="s">
        <v>1818</v>
      </c>
      <c r="Y166" s="55" t="s">
        <v>1817</v>
      </c>
      <c r="Z166" s="55" t="s">
        <v>1349</v>
      </c>
      <c r="AA166" s="90" t="s">
        <v>1677</v>
      </c>
      <c r="AD166" s="90">
        <f>(0.95+1.22)/2</f>
        <v>1.085</v>
      </c>
      <c r="AE166" s="90">
        <v>16.3</v>
      </c>
      <c r="AF166" s="90">
        <v>20.6</v>
      </c>
      <c r="AH166" s="55" t="s">
        <v>769</v>
      </c>
      <c r="AM166" s="55" t="s">
        <v>1283</v>
      </c>
      <c r="AN166" s="185" t="s">
        <v>1537</v>
      </c>
      <c r="AO166" s="185" t="s">
        <v>5150</v>
      </c>
      <c r="AQ166" s="55" t="s">
        <v>1546</v>
      </c>
      <c r="AR166" s="55" t="s">
        <v>1500</v>
      </c>
      <c r="AS166" s="55" t="s">
        <v>116</v>
      </c>
      <c r="AT166" s="181" t="s">
        <v>1345</v>
      </c>
      <c r="AU166" s="181" t="s">
        <v>5150</v>
      </c>
      <c r="AV166" s="185" t="s">
        <v>176</v>
      </c>
      <c r="AW166" s="55" t="s">
        <v>269</v>
      </c>
      <c r="AX166" s="185" t="s">
        <v>176</v>
      </c>
      <c r="AY166" s="55" t="s">
        <v>479</v>
      </c>
      <c r="BE166" s="226" t="s">
        <v>161</v>
      </c>
      <c r="BG166" s="55" t="s">
        <v>176</v>
      </c>
      <c r="BH166" s="226" t="s">
        <v>161</v>
      </c>
      <c r="BI166" s="55" t="s">
        <v>176</v>
      </c>
      <c r="BJ166" s="55" t="s">
        <v>479</v>
      </c>
      <c r="BK166" s="55" t="s">
        <v>5976</v>
      </c>
      <c r="BM166" s="192" t="s">
        <v>119</v>
      </c>
      <c r="BN166" s="55">
        <v>6</v>
      </c>
      <c r="BO166" s="55">
        <v>6</v>
      </c>
      <c r="BQ166" s="55" t="s">
        <v>141</v>
      </c>
      <c r="BR166" s="55">
        <f>117*1000</f>
        <v>117000</v>
      </c>
      <c r="BT166" s="55">
        <f>49/1.47</f>
        <v>33.333333333333336</v>
      </c>
      <c r="CM166" s="65">
        <f>CR166*0.00061*100</f>
        <v>2.2203999999999997</v>
      </c>
      <c r="CN166" s="65">
        <f>CS166*0.00061*100</f>
        <v>2.5314999999999999</v>
      </c>
      <c r="CR166" s="65">
        <f>36.4</f>
        <v>36.4</v>
      </c>
      <c r="CS166" s="65">
        <f>41.5</f>
        <v>41.5</v>
      </c>
      <c r="CV166" s="65" t="s">
        <v>4333</v>
      </c>
      <c r="DA166" s="65" t="s">
        <v>4455</v>
      </c>
      <c r="DB166" s="65">
        <f>CR166/12.5*10000</f>
        <v>29120</v>
      </c>
      <c r="DC166" s="65">
        <f>CS166/12.2*10000</f>
        <v>34016.393442622953</v>
      </c>
      <c r="DF166" s="65" t="s">
        <v>786</v>
      </c>
      <c r="GP166" s="292" t="s">
        <v>7494</v>
      </c>
      <c r="HS166" s="227"/>
      <c r="HW166" s="227"/>
      <c r="IR166" s="65">
        <f>200*0.61/24</f>
        <v>5.083333333333333</v>
      </c>
      <c r="IS166" s="65">
        <f>227*0.61/24</f>
        <v>5.7695833333333333</v>
      </c>
      <c r="JG166" s="65">
        <f>804*1000000/1627500</f>
        <v>494.00921658986175</v>
      </c>
      <c r="JH166" s="65">
        <f>1074*1000000/1627500</f>
        <v>659.90783410138249</v>
      </c>
      <c r="JL166" s="65">
        <v>54.685099846390166</v>
      </c>
      <c r="JM166" s="65">
        <f>128*1000000/1627500</f>
        <v>78.64823348694317</v>
      </c>
      <c r="JU166" s="55" t="s">
        <v>272</v>
      </c>
    </row>
    <row r="167" spans="1:281" x14ac:dyDescent="0.25">
      <c r="A167" s="55">
        <v>166</v>
      </c>
      <c r="B167" s="12" t="s">
        <v>7067</v>
      </c>
      <c r="C167" s="155">
        <v>13</v>
      </c>
      <c r="D167" s="55" t="s">
        <v>3730</v>
      </c>
      <c r="E167" s="90" t="s">
        <v>245</v>
      </c>
      <c r="G167" s="55" t="s">
        <v>255</v>
      </c>
      <c r="H167" s="55">
        <v>1991</v>
      </c>
      <c r="I167" s="55">
        <v>1987</v>
      </c>
      <c r="J167" s="211" t="s">
        <v>256</v>
      </c>
      <c r="K167" s="55" t="s">
        <v>257</v>
      </c>
      <c r="L167" s="55" t="s">
        <v>2737</v>
      </c>
      <c r="M167" s="90">
        <v>50.53</v>
      </c>
      <c r="N167" s="90">
        <f>-103.67</f>
        <v>-103.67</v>
      </c>
      <c r="O167" s="90">
        <v>579.1</v>
      </c>
      <c r="U167" s="55" t="s">
        <v>1818</v>
      </c>
      <c r="V167" s="55" t="s">
        <v>1818</v>
      </c>
      <c r="Y167" s="55" t="s">
        <v>1817</v>
      </c>
      <c r="Z167" s="55" t="s">
        <v>1349</v>
      </c>
      <c r="AA167" s="90" t="s">
        <v>1677</v>
      </c>
      <c r="AD167" s="90">
        <f>(0.95+1.22)/2</f>
        <v>1.085</v>
      </c>
      <c r="AE167" s="90">
        <v>16.3</v>
      </c>
      <c r="AF167" s="90">
        <v>20.6</v>
      </c>
      <c r="AH167" s="55" t="s">
        <v>769</v>
      </c>
      <c r="AM167" s="55" t="s">
        <v>1283</v>
      </c>
      <c r="AN167" s="185" t="s">
        <v>1537</v>
      </c>
      <c r="AO167" s="185" t="s">
        <v>5150</v>
      </c>
      <c r="AQ167" s="55" t="s">
        <v>1546</v>
      </c>
      <c r="AR167" s="55" t="s">
        <v>1500</v>
      </c>
      <c r="AS167" s="55" t="s">
        <v>116</v>
      </c>
      <c r="AT167" s="181" t="s">
        <v>1345</v>
      </c>
      <c r="AU167" s="181" t="s">
        <v>5150</v>
      </c>
      <c r="AV167" s="185" t="s">
        <v>176</v>
      </c>
      <c r="AW167" s="55" t="s">
        <v>269</v>
      </c>
      <c r="AX167" s="185" t="s">
        <v>176</v>
      </c>
      <c r="AY167" s="55" t="s">
        <v>479</v>
      </c>
      <c r="BE167" s="226" t="s">
        <v>259</v>
      </c>
      <c r="BG167" s="55" t="s">
        <v>479</v>
      </c>
      <c r="BH167" s="226" t="s">
        <v>161</v>
      </c>
      <c r="BI167" s="55" t="s">
        <v>176</v>
      </c>
      <c r="BJ167" s="55" t="s">
        <v>479</v>
      </c>
      <c r="BK167" s="55" t="s">
        <v>5976</v>
      </c>
      <c r="BM167" s="192" t="s">
        <v>119</v>
      </c>
      <c r="BN167" s="55">
        <v>6</v>
      </c>
      <c r="BO167" s="55">
        <v>6</v>
      </c>
      <c r="BQ167" s="55" t="s">
        <v>141</v>
      </c>
      <c r="BR167" s="55">
        <f>117*1000</f>
        <v>117000</v>
      </c>
      <c r="BT167" s="55">
        <f>49/1.47</f>
        <v>33.333333333333336</v>
      </c>
      <c r="CM167" s="65">
        <f>CR167*0.00061*100</f>
        <v>2.3485</v>
      </c>
      <c r="CN167" s="65">
        <f>CS167*0.00061*100</f>
        <v>2.5314999999999999</v>
      </c>
      <c r="CR167" s="65">
        <f>38.5</f>
        <v>38.5</v>
      </c>
      <c r="CS167" s="65">
        <f>41.5</f>
        <v>41.5</v>
      </c>
      <c r="CV167" s="65" t="s">
        <v>4333</v>
      </c>
      <c r="DA167" s="65" t="s">
        <v>4455</v>
      </c>
      <c r="DB167" s="65">
        <f>CR167/11.9*10000</f>
        <v>32352.941176470587</v>
      </c>
      <c r="DC167" s="65">
        <f>CS167/12.2*10000</f>
        <v>34016.393442622953</v>
      </c>
      <c r="DF167" s="65" t="s">
        <v>786</v>
      </c>
      <c r="GP167" s="292" t="s">
        <v>7494</v>
      </c>
      <c r="HS167" s="227"/>
      <c r="HW167" s="227"/>
      <c r="IR167" s="65">
        <f>193*0.61/24</f>
        <v>4.9054166666666665</v>
      </c>
      <c r="IS167" s="65">
        <f>227*0.61/24</f>
        <v>5.7695833333333333</v>
      </c>
      <c r="JG167" s="65">
        <f>891*1000000/1627500</f>
        <v>547.46543778801845</v>
      </c>
      <c r="JH167" s="65">
        <f>1074*1000000/1627500</f>
        <v>659.90783410138249</v>
      </c>
      <c r="JL167" s="65">
        <v>54.070660522273428</v>
      </c>
      <c r="JM167" s="65">
        <f>128*1000000/1627500</f>
        <v>78.64823348694317</v>
      </c>
      <c r="JU167" s="55" t="s">
        <v>272</v>
      </c>
    </row>
    <row r="168" spans="1:281" x14ac:dyDescent="0.25">
      <c r="A168" s="55">
        <v>167</v>
      </c>
      <c r="B168" s="12" t="s">
        <v>7067</v>
      </c>
      <c r="C168" s="155">
        <v>13</v>
      </c>
      <c r="D168" s="55" t="s">
        <v>3731</v>
      </c>
      <c r="E168" s="90" t="s">
        <v>245</v>
      </c>
      <c r="G168" s="55" t="s">
        <v>255</v>
      </c>
      <c r="H168" s="55">
        <v>1991</v>
      </c>
      <c r="I168" s="55">
        <v>1987</v>
      </c>
      <c r="J168" s="211" t="s">
        <v>256</v>
      </c>
      <c r="K168" s="55" t="s">
        <v>257</v>
      </c>
      <c r="L168" s="55" t="s">
        <v>2737</v>
      </c>
      <c r="M168" s="90">
        <v>50.53</v>
      </c>
      <c r="N168" s="90">
        <f>-103.67</f>
        <v>-103.67</v>
      </c>
      <c r="O168" s="90">
        <v>579.1</v>
      </c>
      <c r="U168" s="55" t="s">
        <v>1818</v>
      </c>
      <c r="V168" s="55" t="s">
        <v>1818</v>
      </c>
      <c r="Y168" s="55" t="s">
        <v>1817</v>
      </c>
      <c r="Z168" s="55" t="s">
        <v>1349</v>
      </c>
      <c r="AA168" s="90" t="s">
        <v>1677</v>
      </c>
      <c r="AD168" s="90">
        <f>(0.95+1.22)/2</f>
        <v>1.085</v>
      </c>
      <c r="AE168" s="90">
        <v>16.3</v>
      </c>
      <c r="AF168" s="90">
        <v>20.6</v>
      </c>
      <c r="AH168" s="55" t="s">
        <v>769</v>
      </c>
      <c r="AM168" s="55" t="s">
        <v>1283</v>
      </c>
      <c r="AN168" s="185" t="s">
        <v>1537</v>
      </c>
      <c r="AO168" s="185" t="s">
        <v>5150</v>
      </c>
      <c r="AQ168" s="55" t="s">
        <v>1546</v>
      </c>
      <c r="AR168" s="55" t="s">
        <v>1500</v>
      </c>
      <c r="AS168" s="55" t="s">
        <v>116</v>
      </c>
      <c r="AT168" s="181" t="s">
        <v>1345</v>
      </c>
      <c r="AU168" s="181" t="s">
        <v>5150</v>
      </c>
      <c r="AV168" s="185" t="s">
        <v>176</v>
      </c>
      <c r="AW168" s="55" t="s">
        <v>269</v>
      </c>
      <c r="AX168" s="185" t="s">
        <v>176</v>
      </c>
      <c r="AY168" s="55" t="s">
        <v>479</v>
      </c>
      <c r="BE168" s="226" t="s">
        <v>261</v>
      </c>
      <c r="BG168" s="55" t="s">
        <v>479</v>
      </c>
      <c r="BH168" s="226" t="s">
        <v>161</v>
      </c>
      <c r="BI168" s="55" t="s">
        <v>176</v>
      </c>
      <c r="BJ168" s="55" t="s">
        <v>479</v>
      </c>
      <c r="BK168" s="55" t="s">
        <v>5976</v>
      </c>
      <c r="BM168" s="192" t="s">
        <v>119</v>
      </c>
      <c r="BN168" s="55">
        <v>6</v>
      </c>
      <c r="BO168" s="55">
        <v>6</v>
      </c>
      <c r="BQ168" s="55" t="s">
        <v>141</v>
      </c>
      <c r="BR168" s="55">
        <f>117*1000</f>
        <v>117000</v>
      </c>
      <c r="BT168" s="55">
        <f>49/1.47</f>
        <v>33.333333333333336</v>
      </c>
      <c r="CM168" s="65">
        <f>CR168*0.00061*100</f>
        <v>2.3302</v>
      </c>
      <c r="CN168" s="65">
        <f>CS168*0.00061*100</f>
        <v>2.5314999999999999</v>
      </c>
      <c r="CR168" s="65">
        <f>38.2</f>
        <v>38.200000000000003</v>
      </c>
      <c r="CS168" s="65">
        <f>41.5</f>
        <v>41.5</v>
      </c>
      <c r="CV168" s="65" t="s">
        <v>4333</v>
      </c>
      <c r="DA168" s="65" t="s">
        <v>4455</v>
      </c>
      <c r="DB168" s="65">
        <f>CR168/12.7*10000</f>
        <v>30078.740157480319</v>
      </c>
      <c r="DC168" s="65">
        <f>CS168/12.2*10000</f>
        <v>34016.393442622953</v>
      </c>
      <c r="DF168" s="65" t="s">
        <v>786</v>
      </c>
      <c r="GP168" s="292" t="s">
        <v>7494</v>
      </c>
      <c r="HS168" s="227"/>
      <c r="HW168" s="227"/>
      <c r="IR168" s="65">
        <f>168*0.61/24</f>
        <v>4.2700000000000005</v>
      </c>
      <c r="IS168" s="65">
        <f>227*0.61/24</f>
        <v>5.7695833333333333</v>
      </c>
      <c r="JG168" s="65">
        <f>833*1000000/1627500</f>
        <v>511.8279569892473</v>
      </c>
      <c r="JH168" s="65">
        <f>1074*1000000/1627500</f>
        <v>659.90783410138249</v>
      </c>
      <c r="JL168" s="65">
        <v>49.155145929339476</v>
      </c>
      <c r="JM168" s="65">
        <f>128*1000000/1627500</f>
        <v>78.64823348694317</v>
      </c>
      <c r="JU168" s="55" t="s">
        <v>272</v>
      </c>
    </row>
    <row r="169" spans="1:281" x14ac:dyDescent="0.25">
      <c r="A169" s="55">
        <v>168</v>
      </c>
      <c r="B169" s="12" t="s">
        <v>7067</v>
      </c>
      <c r="C169" s="155">
        <v>13</v>
      </c>
      <c r="D169" s="55" t="s">
        <v>3729</v>
      </c>
      <c r="E169" s="90" t="s">
        <v>245</v>
      </c>
      <c r="G169" s="55" t="s">
        <v>255</v>
      </c>
      <c r="H169" s="55">
        <v>1991</v>
      </c>
      <c r="I169" s="55">
        <v>1987</v>
      </c>
      <c r="J169" s="211" t="s">
        <v>256</v>
      </c>
      <c r="K169" s="55" t="s">
        <v>257</v>
      </c>
      <c r="L169" s="55" t="s">
        <v>2737</v>
      </c>
      <c r="M169" s="90">
        <v>50.53</v>
      </c>
      <c r="N169" s="90">
        <f>-103.67</f>
        <v>-103.67</v>
      </c>
      <c r="O169" s="90">
        <v>579.1</v>
      </c>
      <c r="U169" s="55" t="s">
        <v>1818</v>
      </c>
      <c r="V169" s="55" t="s">
        <v>1818</v>
      </c>
      <c r="Y169" s="55" t="s">
        <v>1817</v>
      </c>
      <c r="Z169" s="55" t="s">
        <v>1349</v>
      </c>
      <c r="AA169" s="90" t="s">
        <v>1677</v>
      </c>
      <c r="AD169" s="90">
        <f>(0.95+1.22)/2</f>
        <v>1.085</v>
      </c>
      <c r="AE169" s="90">
        <v>16.3</v>
      </c>
      <c r="AF169" s="90">
        <v>20.6</v>
      </c>
      <c r="AH169" s="55" t="s">
        <v>769</v>
      </c>
      <c r="AM169" s="55" t="s">
        <v>1283</v>
      </c>
      <c r="AN169" s="185" t="s">
        <v>1537</v>
      </c>
      <c r="AO169" s="185" t="s">
        <v>5150</v>
      </c>
      <c r="AQ169" s="55" t="s">
        <v>1546</v>
      </c>
      <c r="AR169" s="55" t="s">
        <v>1500</v>
      </c>
      <c r="AS169" s="55" t="s">
        <v>116</v>
      </c>
      <c r="AT169" s="181" t="s">
        <v>260</v>
      </c>
      <c r="AU169" s="181" t="s">
        <v>5150</v>
      </c>
      <c r="AV169" s="185" t="s">
        <v>176</v>
      </c>
      <c r="AW169" s="55" t="s">
        <v>270</v>
      </c>
      <c r="AX169" s="185" t="s">
        <v>176</v>
      </c>
      <c r="AY169" s="55" t="s">
        <v>479</v>
      </c>
      <c r="BE169" s="226" t="s">
        <v>161</v>
      </c>
      <c r="BG169" s="55" t="s">
        <v>176</v>
      </c>
      <c r="BH169" s="226" t="s">
        <v>161</v>
      </c>
      <c r="BI169" s="55" t="s">
        <v>176</v>
      </c>
      <c r="BJ169" s="55" t="s">
        <v>176</v>
      </c>
      <c r="BK169" s="55" t="s">
        <v>5976</v>
      </c>
      <c r="BM169" s="192" t="s">
        <v>119</v>
      </c>
      <c r="BN169" s="55">
        <v>6</v>
      </c>
      <c r="BO169" s="55">
        <v>6</v>
      </c>
      <c r="BQ169" s="55" t="s">
        <v>141</v>
      </c>
      <c r="BR169" s="55">
        <f>117*1000</f>
        <v>117000</v>
      </c>
      <c r="BT169" s="55">
        <f>49/1.47</f>
        <v>33.333333333333336</v>
      </c>
      <c r="CM169" s="65">
        <f>CR169*0.00061*100</f>
        <v>2.2142999999999997</v>
      </c>
      <c r="CN169" s="65">
        <f>CS169*0.00061*100</f>
        <v>2.5742000000000003</v>
      </c>
      <c r="CR169" s="65">
        <f>36.3</f>
        <v>36.299999999999997</v>
      </c>
      <c r="CS169" s="65">
        <f>42.2</f>
        <v>42.2</v>
      </c>
      <c r="CV169" s="65" t="s">
        <v>4333</v>
      </c>
      <c r="DA169" s="65" t="s">
        <v>4455</v>
      </c>
      <c r="DB169" s="65">
        <f>CR169/12.5*10000</f>
        <v>29040</v>
      </c>
      <c r="DC169" s="65">
        <f>CS169/11.5*10000</f>
        <v>36695.652173913048</v>
      </c>
      <c r="DF169" s="65" t="s">
        <v>786</v>
      </c>
      <c r="GP169" s="292" t="s">
        <v>7494</v>
      </c>
      <c r="HS169" s="227"/>
      <c r="HW169" s="227"/>
      <c r="IR169" s="65">
        <f>184*0.61/24</f>
        <v>4.6766666666666667</v>
      </c>
      <c r="IS169" s="65">
        <f>206*0.61/24</f>
        <v>5.2358333333333329</v>
      </c>
      <c r="JG169" s="65">
        <f>905*1000000/1627500</f>
        <v>556.06758832565288</v>
      </c>
      <c r="JH169" s="65">
        <f>1036*1000000/1627500</f>
        <v>636.55913978494618</v>
      </c>
      <c r="JL169" s="65">
        <v>48.540706605222731</v>
      </c>
      <c r="JM169" s="65">
        <f>136*1000000/1627500</f>
        <v>83.563748079877115</v>
      </c>
      <c r="JU169" s="55" t="s">
        <v>272</v>
      </c>
    </row>
    <row r="170" spans="1:281" x14ac:dyDescent="0.25">
      <c r="A170" s="55">
        <v>169</v>
      </c>
      <c r="B170" s="12" t="s">
        <v>7067</v>
      </c>
      <c r="C170" s="155">
        <v>13</v>
      </c>
      <c r="D170" s="55" t="s">
        <v>3730</v>
      </c>
      <c r="E170" s="90" t="s">
        <v>245</v>
      </c>
      <c r="G170" s="55" t="s">
        <v>255</v>
      </c>
      <c r="H170" s="55">
        <v>1991</v>
      </c>
      <c r="I170" s="55">
        <v>1987</v>
      </c>
      <c r="J170" s="211" t="s">
        <v>256</v>
      </c>
      <c r="K170" s="55" t="s">
        <v>257</v>
      </c>
      <c r="L170" s="55" t="s">
        <v>2737</v>
      </c>
      <c r="M170" s="90">
        <v>50.53</v>
      </c>
      <c r="N170" s="90">
        <f>-103.67</f>
        <v>-103.67</v>
      </c>
      <c r="O170" s="90">
        <v>579.1</v>
      </c>
      <c r="U170" s="55" t="s">
        <v>1818</v>
      </c>
      <c r="V170" s="55" t="s">
        <v>1818</v>
      </c>
      <c r="Y170" s="55" t="s">
        <v>1817</v>
      </c>
      <c r="Z170" s="55" t="s">
        <v>1349</v>
      </c>
      <c r="AA170" s="90" t="s">
        <v>1677</v>
      </c>
      <c r="AD170" s="90">
        <f>(0.95+1.22)/2</f>
        <v>1.085</v>
      </c>
      <c r="AE170" s="90">
        <v>16.3</v>
      </c>
      <c r="AF170" s="90">
        <v>20.6</v>
      </c>
      <c r="AH170" s="55" t="s">
        <v>769</v>
      </c>
      <c r="AM170" s="55" t="s">
        <v>1283</v>
      </c>
      <c r="AN170" s="185" t="s">
        <v>1537</v>
      </c>
      <c r="AO170" s="185" t="s">
        <v>5150</v>
      </c>
      <c r="AQ170" s="55" t="s">
        <v>1546</v>
      </c>
      <c r="AR170" s="55" t="s">
        <v>1500</v>
      </c>
      <c r="AS170" s="55" t="s">
        <v>116</v>
      </c>
      <c r="AT170" s="181" t="s">
        <v>260</v>
      </c>
      <c r="AU170" s="181" t="s">
        <v>5150</v>
      </c>
      <c r="AV170" s="185" t="s">
        <v>176</v>
      </c>
      <c r="AW170" s="55" t="s">
        <v>270</v>
      </c>
      <c r="AX170" s="185" t="s">
        <v>176</v>
      </c>
      <c r="AY170" s="55" t="s">
        <v>479</v>
      </c>
      <c r="BE170" s="226" t="s">
        <v>259</v>
      </c>
      <c r="BG170" s="55" t="s">
        <v>479</v>
      </c>
      <c r="BH170" s="226" t="s">
        <v>161</v>
      </c>
      <c r="BI170" s="55" t="s">
        <v>176</v>
      </c>
      <c r="BJ170" s="55" t="s">
        <v>479</v>
      </c>
      <c r="BK170" s="55" t="s">
        <v>5976</v>
      </c>
      <c r="BM170" s="192" t="s">
        <v>119</v>
      </c>
      <c r="BN170" s="55">
        <v>6</v>
      </c>
      <c r="BO170" s="55">
        <v>6</v>
      </c>
      <c r="BQ170" s="55" t="s">
        <v>141</v>
      </c>
      <c r="BR170" s="55">
        <f>117*1000</f>
        <v>117000</v>
      </c>
      <c r="BT170" s="55">
        <f>49/1.47</f>
        <v>33.333333333333336</v>
      </c>
      <c r="CM170" s="65">
        <f>CR170*0.00061*100</f>
        <v>2.3118999999999996</v>
      </c>
      <c r="CN170" s="65">
        <f>CS170*0.00061*100</f>
        <v>2.5742000000000003</v>
      </c>
      <c r="CR170" s="65">
        <f>37.9</f>
        <v>37.9</v>
      </c>
      <c r="CS170" s="65">
        <f>42.2</f>
        <v>42.2</v>
      </c>
      <c r="CV170" s="65" t="s">
        <v>4333</v>
      </c>
      <c r="DA170" s="65" t="s">
        <v>4455</v>
      </c>
      <c r="DB170" s="65">
        <f>CR170/12.6*10000</f>
        <v>30079.365079365078</v>
      </c>
      <c r="DC170" s="65">
        <f>CS170/11.5*10000</f>
        <v>36695.652173913048</v>
      </c>
      <c r="DF170" s="65" t="s">
        <v>786</v>
      </c>
      <c r="GP170" s="292" t="s">
        <v>7494</v>
      </c>
      <c r="HS170" s="227"/>
      <c r="HW170" s="227"/>
      <c r="IR170" s="65">
        <f>178*0.61/24</f>
        <v>4.5241666666666669</v>
      </c>
      <c r="IS170" s="65">
        <f>206*0.61/24</f>
        <v>5.2358333333333329</v>
      </c>
      <c r="JG170" s="65">
        <f>815*1000000/1627500</f>
        <v>500.76804915514595</v>
      </c>
      <c r="JH170" s="65">
        <f>1036*1000000/1627500</f>
        <v>636.55913978494618</v>
      </c>
      <c r="JL170" s="65">
        <v>46.082949308755758</v>
      </c>
      <c r="JM170" s="65">
        <f>136*1000000/1627500</f>
        <v>83.563748079877115</v>
      </c>
      <c r="JU170" s="55" t="s">
        <v>272</v>
      </c>
    </row>
    <row r="171" spans="1:281" x14ac:dyDescent="0.25">
      <c r="A171" s="55">
        <v>170</v>
      </c>
      <c r="B171" s="12" t="s">
        <v>7067</v>
      </c>
      <c r="C171" s="155">
        <v>13</v>
      </c>
      <c r="D171" s="55" t="s">
        <v>3729</v>
      </c>
      <c r="E171" s="90" t="s">
        <v>245</v>
      </c>
      <c r="G171" s="55" t="s">
        <v>255</v>
      </c>
      <c r="H171" s="55">
        <v>1991</v>
      </c>
      <c r="I171" s="55">
        <v>1987</v>
      </c>
      <c r="J171" s="211" t="s">
        <v>256</v>
      </c>
      <c r="K171" s="55" t="s">
        <v>257</v>
      </c>
      <c r="L171" s="55" t="s">
        <v>2737</v>
      </c>
      <c r="M171" s="90">
        <v>50.53</v>
      </c>
      <c r="N171" s="90">
        <f>-103.67</f>
        <v>-103.67</v>
      </c>
      <c r="O171" s="90">
        <v>579.1</v>
      </c>
      <c r="U171" s="55" t="s">
        <v>1818</v>
      </c>
      <c r="V171" s="55" t="s">
        <v>1818</v>
      </c>
      <c r="Y171" s="55" t="s">
        <v>1817</v>
      </c>
      <c r="Z171" s="55" t="s">
        <v>1349</v>
      </c>
      <c r="AA171" s="90" t="s">
        <v>1677</v>
      </c>
      <c r="AD171" s="90">
        <f>(0.95+1.22)/2</f>
        <v>1.085</v>
      </c>
      <c r="AE171" s="90">
        <v>16.3</v>
      </c>
      <c r="AF171" s="90">
        <v>20.6</v>
      </c>
      <c r="AH171" s="55" t="s">
        <v>769</v>
      </c>
      <c r="AM171" s="55" t="s">
        <v>1283</v>
      </c>
      <c r="AN171" s="185" t="s">
        <v>1537</v>
      </c>
      <c r="AO171" s="185" t="s">
        <v>5150</v>
      </c>
      <c r="AQ171" s="55" t="s">
        <v>1546</v>
      </c>
      <c r="AR171" s="55" t="s">
        <v>1500</v>
      </c>
      <c r="AS171" s="55" t="s">
        <v>116</v>
      </c>
      <c r="AT171" s="181" t="s">
        <v>1345</v>
      </c>
      <c r="AU171" s="181" t="s">
        <v>5150</v>
      </c>
      <c r="AV171" s="185" t="s">
        <v>176</v>
      </c>
      <c r="AW171" s="55" t="s">
        <v>270</v>
      </c>
      <c r="AX171" s="185" t="s">
        <v>176</v>
      </c>
      <c r="AY171" s="55" t="s">
        <v>479</v>
      </c>
      <c r="BE171" s="226" t="s">
        <v>161</v>
      </c>
      <c r="BG171" s="55" t="s">
        <v>176</v>
      </c>
      <c r="BH171" s="226" t="s">
        <v>161</v>
      </c>
      <c r="BI171" s="55" t="s">
        <v>176</v>
      </c>
      <c r="BJ171" s="55" t="s">
        <v>479</v>
      </c>
      <c r="BK171" s="55" t="s">
        <v>5976</v>
      </c>
      <c r="BM171" s="192" t="s">
        <v>119</v>
      </c>
      <c r="BN171" s="55">
        <v>6</v>
      </c>
      <c r="BO171" s="55">
        <v>6</v>
      </c>
      <c r="BQ171" s="55" t="s">
        <v>141</v>
      </c>
      <c r="BR171" s="55">
        <f>117*1000</f>
        <v>117000</v>
      </c>
      <c r="BT171" s="55">
        <f>49/1.47</f>
        <v>33.333333333333336</v>
      </c>
      <c r="CM171" s="65">
        <f>CR171*0.00061*100</f>
        <v>2.2203999999999997</v>
      </c>
      <c r="CN171" s="65">
        <f>CS171*0.00061*100</f>
        <v>2.5742000000000003</v>
      </c>
      <c r="CR171" s="65">
        <f>36.4</f>
        <v>36.4</v>
      </c>
      <c r="CS171" s="65">
        <f>42.2</f>
        <v>42.2</v>
      </c>
      <c r="CV171" s="65" t="s">
        <v>4333</v>
      </c>
      <c r="DA171" s="65" t="s">
        <v>4455</v>
      </c>
      <c r="DB171" s="65">
        <f>CR171/12.5*10000</f>
        <v>29120</v>
      </c>
      <c r="DC171" s="65">
        <f>CS171/11.5*10000</f>
        <v>36695.652173913048</v>
      </c>
      <c r="DF171" s="65" t="s">
        <v>786</v>
      </c>
      <c r="GP171" s="292" t="s">
        <v>7494</v>
      </c>
      <c r="HS171" s="227"/>
      <c r="HW171" s="227"/>
      <c r="IR171" s="65">
        <f>200*0.61/24</f>
        <v>5.083333333333333</v>
      </c>
      <c r="IS171" s="65">
        <f>206*0.61/24</f>
        <v>5.2358333333333329</v>
      </c>
      <c r="JG171" s="65">
        <f>804*1000000/1627500</f>
        <v>494.00921658986175</v>
      </c>
      <c r="JH171" s="65">
        <f>1036*1000000/1627500</f>
        <v>636.55913978494618</v>
      </c>
      <c r="JL171" s="65">
        <v>54.685099846390166</v>
      </c>
      <c r="JM171" s="65">
        <f>136*1000000/1627500</f>
        <v>83.563748079877115</v>
      </c>
      <c r="JU171" s="55" t="s">
        <v>272</v>
      </c>
    </row>
    <row r="172" spans="1:281" x14ac:dyDescent="0.25">
      <c r="A172" s="55">
        <v>171</v>
      </c>
      <c r="B172" s="12" t="s">
        <v>7067</v>
      </c>
      <c r="C172" s="155">
        <v>13</v>
      </c>
      <c r="D172" s="55" t="s">
        <v>3730</v>
      </c>
      <c r="E172" s="90" t="s">
        <v>245</v>
      </c>
      <c r="G172" s="55" t="s">
        <v>255</v>
      </c>
      <c r="H172" s="55">
        <v>1991</v>
      </c>
      <c r="I172" s="55">
        <v>1987</v>
      </c>
      <c r="J172" s="211" t="s">
        <v>256</v>
      </c>
      <c r="K172" s="55" t="s">
        <v>257</v>
      </c>
      <c r="L172" s="55" t="s">
        <v>2737</v>
      </c>
      <c r="M172" s="90">
        <v>50.53</v>
      </c>
      <c r="N172" s="90">
        <f>-103.67</f>
        <v>-103.67</v>
      </c>
      <c r="O172" s="90">
        <v>579.1</v>
      </c>
      <c r="U172" s="55" t="s">
        <v>1818</v>
      </c>
      <c r="V172" s="55" t="s">
        <v>1818</v>
      </c>
      <c r="Y172" s="55" t="s">
        <v>1817</v>
      </c>
      <c r="Z172" s="55" t="s">
        <v>1349</v>
      </c>
      <c r="AA172" s="90" t="s">
        <v>1677</v>
      </c>
      <c r="AD172" s="90">
        <f>(0.95+1.22)/2</f>
        <v>1.085</v>
      </c>
      <c r="AE172" s="90">
        <v>16.3</v>
      </c>
      <c r="AF172" s="90">
        <v>20.6</v>
      </c>
      <c r="AH172" s="55" t="s">
        <v>769</v>
      </c>
      <c r="AM172" s="55" t="s">
        <v>1283</v>
      </c>
      <c r="AN172" s="185" t="s">
        <v>1537</v>
      </c>
      <c r="AO172" s="185" t="s">
        <v>5150</v>
      </c>
      <c r="AQ172" s="55" t="s">
        <v>1546</v>
      </c>
      <c r="AR172" s="55" t="s">
        <v>1500</v>
      </c>
      <c r="AS172" s="55" t="s">
        <v>116</v>
      </c>
      <c r="AT172" s="181" t="s">
        <v>1345</v>
      </c>
      <c r="AU172" s="181" t="s">
        <v>5150</v>
      </c>
      <c r="AV172" s="185" t="s">
        <v>176</v>
      </c>
      <c r="AW172" s="55" t="s">
        <v>270</v>
      </c>
      <c r="AX172" s="185" t="s">
        <v>176</v>
      </c>
      <c r="AY172" s="55" t="s">
        <v>479</v>
      </c>
      <c r="BE172" s="226" t="s">
        <v>259</v>
      </c>
      <c r="BG172" s="55" t="s">
        <v>479</v>
      </c>
      <c r="BH172" s="226" t="s">
        <v>161</v>
      </c>
      <c r="BI172" s="55" t="s">
        <v>176</v>
      </c>
      <c r="BJ172" s="55" t="s">
        <v>479</v>
      </c>
      <c r="BK172" s="55" t="s">
        <v>5976</v>
      </c>
      <c r="BM172" s="192" t="s">
        <v>119</v>
      </c>
      <c r="BN172" s="55">
        <v>6</v>
      </c>
      <c r="BO172" s="55">
        <v>6</v>
      </c>
      <c r="BQ172" s="55" t="s">
        <v>141</v>
      </c>
      <c r="BR172" s="55">
        <f>117*1000</f>
        <v>117000</v>
      </c>
      <c r="BT172" s="55">
        <f>49/1.47</f>
        <v>33.333333333333336</v>
      </c>
      <c r="CM172" s="65">
        <f>CR172*0.00061*100</f>
        <v>2.3485</v>
      </c>
      <c r="CN172" s="65">
        <f>CS172*0.00061*100</f>
        <v>2.5742000000000003</v>
      </c>
      <c r="CR172" s="65">
        <f>38.5</f>
        <v>38.5</v>
      </c>
      <c r="CS172" s="65">
        <f>42.2</f>
        <v>42.2</v>
      </c>
      <c r="CV172" s="65" t="s">
        <v>4333</v>
      </c>
      <c r="DA172" s="65" t="s">
        <v>4455</v>
      </c>
      <c r="DB172" s="65">
        <f>CR172/11.9*10000</f>
        <v>32352.941176470587</v>
      </c>
      <c r="DC172" s="65">
        <f>CS172/11.5*10000</f>
        <v>36695.652173913048</v>
      </c>
      <c r="DF172" s="65" t="s">
        <v>786</v>
      </c>
      <c r="GP172" s="292" t="s">
        <v>7494</v>
      </c>
      <c r="HS172" s="227"/>
      <c r="HW172" s="227"/>
      <c r="IR172" s="65">
        <f>193*0.61/24</f>
        <v>4.9054166666666665</v>
      </c>
      <c r="IS172" s="65">
        <f>206*0.61/24</f>
        <v>5.2358333333333329</v>
      </c>
      <c r="JG172" s="65">
        <f>891*1000000/1627500</f>
        <v>547.46543778801845</v>
      </c>
      <c r="JH172" s="65">
        <f>1036*1000000/1627500</f>
        <v>636.55913978494618</v>
      </c>
      <c r="JL172" s="65">
        <v>54.070660522273428</v>
      </c>
      <c r="JM172" s="65">
        <f>136*1000000/1627500</f>
        <v>83.563748079877115</v>
      </c>
      <c r="JU172" s="55" t="s">
        <v>272</v>
      </c>
    </row>
    <row r="173" spans="1:281" x14ac:dyDescent="0.25">
      <c r="A173" s="55">
        <v>172</v>
      </c>
      <c r="B173" s="12" t="s">
        <v>7067</v>
      </c>
      <c r="C173" s="155">
        <v>13</v>
      </c>
      <c r="D173" s="55" t="s">
        <v>3731</v>
      </c>
      <c r="E173" s="90" t="s">
        <v>245</v>
      </c>
      <c r="G173" s="55" t="s">
        <v>255</v>
      </c>
      <c r="H173" s="55">
        <v>1991</v>
      </c>
      <c r="I173" s="55">
        <v>1987</v>
      </c>
      <c r="J173" s="211" t="s">
        <v>256</v>
      </c>
      <c r="K173" s="55" t="s">
        <v>257</v>
      </c>
      <c r="L173" s="55" t="s">
        <v>2737</v>
      </c>
      <c r="M173" s="90">
        <v>50.53</v>
      </c>
      <c r="N173" s="90">
        <f>-103.67</f>
        <v>-103.67</v>
      </c>
      <c r="O173" s="90">
        <v>579.1</v>
      </c>
      <c r="U173" s="55" t="s">
        <v>1818</v>
      </c>
      <c r="V173" s="55" t="s">
        <v>1818</v>
      </c>
      <c r="Y173" s="55" t="s">
        <v>1817</v>
      </c>
      <c r="Z173" s="55" t="s">
        <v>1349</v>
      </c>
      <c r="AA173" s="90" t="s">
        <v>1677</v>
      </c>
      <c r="AD173" s="90">
        <f>(0.95+1.22)/2</f>
        <v>1.085</v>
      </c>
      <c r="AE173" s="90">
        <v>16.3</v>
      </c>
      <c r="AF173" s="90">
        <v>20.6</v>
      </c>
      <c r="AH173" s="55" t="s">
        <v>769</v>
      </c>
      <c r="AM173" s="55" t="s">
        <v>1283</v>
      </c>
      <c r="AN173" s="185" t="s">
        <v>1537</v>
      </c>
      <c r="AO173" s="185" t="s">
        <v>5150</v>
      </c>
      <c r="AQ173" s="55" t="s">
        <v>1546</v>
      </c>
      <c r="AR173" s="55" t="s">
        <v>1500</v>
      </c>
      <c r="AS173" s="55" t="s">
        <v>116</v>
      </c>
      <c r="AT173" s="181" t="s">
        <v>1345</v>
      </c>
      <c r="AU173" s="181" t="s">
        <v>5150</v>
      </c>
      <c r="AV173" s="185" t="s">
        <v>176</v>
      </c>
      <c r="AW173" s="55" t="s">
        <v>270</v>
      </c>
      <c r="AX173" s="185" t="s">
        <v>176</v>
      </c>
      <c r="AY173" s="55" t="s">
        <v>479</v>
      </c>
      <c r="BE173" s="226" t="s">
        <v>261</v>
      </c>
      <c r="BG173" s="55" t="s">
        <v>479</v>
      </c>
      <c r="BH173" s="226" t="s">
        <v>161</v>
      </c>
      <c r="BI173" s="55" t="s">
        <v>176</v>
      </c>
      <c r="BJ173" s="55" t="s">
        <v>479</v>
      </c>
      <c r="BK173" s="55" t="s">
        <v>5976</v>
      </c>
      <c r="BM173" s="192" t="s">
        <v>119</v>
      </c>
      <c r="BN173" s="55">
        <v>6</v>
      </c>
      <c r="BO173" s="55">
        <v>6</v>
      </c>
      <c r="BQ173" s="55" t="s">
        <v>141</v>
      </c>
      <c r="BR173" s="55">
        <f>117*1000</f>
        <v>117000</v>
      </c>
      <c r="BT173" s="55">
        <f>49/1.47</f>
        <v>33.333333333333336</v>
      </c>
      <c r="CM173" s="65">
        <f>CR173*0.00061*100</f>
        <v>2.3302</v>
      </c>
      <c r="CN173" s="65">
        <f>CS173*0.00061*100</f>
        <v>2.5742000000000003</v>
      </c>
      <c r="CR173" s="65">
        <f>38.2</f>
        <v>38.200000000000003</v>
      </c>
      <c r="CS173" s="65">
        <f>42.2</f>
        <v>42.2</v>
      </c>
      <c r="CV173" s="65" t="s">
        <v>4333</v>
      </c>
      <c r="DA173" s="65" t="s">
        <v>4455</v>
      </c>
      <c r="DB173" s="65">
        <f>CR173/12.7*10000</f>
        <v>30078.740157480319</v>
      </c>
      <c r="DC173" s="65">
        <f>CS173/11.5*10000</f>
        <v>36695.652173913048</v>
      </c>
      <c r="DF173" s="65" t="s">
        <v>786</v>
      </c>
      <c r="GP173" s="292" t="s">
        <v>7494</v>
      </c>
      <c r="HS173" s="227"/>
      <c r="HW173" s="227"/>
      <c r="IR173" s="65">
        <f>168*0.61/24</f>
        <v>4.2700000000000005</v>
      </c>
      <c r="IS173" s="65">
        <f>206*0.61/24</f>
        <v>5.2358333333333329</v>
      </c>
      <c r="JG173" s="65">
        <f>833*1000000/1627500</f>
        <v>511.8279569892473</v>
      </c>
      <c r="JH173" s="65">
        <f>1036*1000000/1627500</f>
        <v>636.55913978494618</v>
      </c>
      <c r="JL173" s="65">
        <v>49.155145929339476</v>
      </c>
      <c r="JM173" s="65">
        <f>136*1000000/1627500</f>
        <v>83.563748079877115</v>
      </c>
      <c r="JU173" s="55" t="s">
        <v>272</v>
      </c>
    </row>
    <row r="174" spans="1:281" x14ac:dyDescent="0.25">
      <c r="A174" s="55">
        <v>173</v>
      </c>
      <c r="B174" s="12" t="s">
        <v>7067</v>
      </c>
      <c r="C174" s="155">
        <v>14</v>
      </c>
      <c r="D174" s="55" t="s">
        <v>3732</v>
      </c>
      <c r="E174" s="90" t="s">
        <v>273</v>
      </c>
      <c r="G174" s="55" t="s">
        <v>274</v>
      </c>
      <c r="H174" s="55">
        <v>2011</v>
      </c>
      <c r="I174" s="55">
        <v>2008</v>
      </c>
      <c r="J174" s="55" t="s">
        <v>276</v>
      </c>
      <c r="K174" s="55" t="s">
        <v>275</v>
      </c>
      <c r="L174" s="55" t="s">
        <v>2737</v>
      </c>
      <c r="M174" s="90">
        <v>46.88</v>
      </c>
      <c r="N174" s="90">
        <v>-102.79</v>
      </c>
      <c r="O174" s="90">
        <v>735.8</v>
      </c>
      <c r="U174" s="55" t="s">
        <v>1821</v>
      </c>
      <c r="V174" s="55" t="s">
        <v>1820</v>
      </c>
      <c r="Y174" s="55" t="s">
        <v>1819</v>
      </c>
      <c r="Z174" s="55" t="s">
        <v>1344</v>
      </c>
      <c r="AA174" s="90" t="s">
        <v>1344</v>
      </c>
      <c r="AH174" s="55" t="s">
        <v>139</v>
      </c>
      <c r="AN174" s="185" t="s">
        <v>241</v>
      </c>
      <c r="AO174" s="185" t="s">
        <v>5150</v>
      </c>
      <c r="AQ174" s="55" t="s">
        <v>553</v>
      </c>
      <c r="AR174" s="55" t="s">
        <v>227</v>
      </c>
      <c r="AS174" s="55" t="s">
        <v>227</v>
      </c>
      <c r="AT174" s="181" t="s">
        <v>1582</v>
      </c>
      <c r="AU174" s="181" t="s">
        <v>5150</v>
      </c>
      <c r="AV174" s="185" t="s">
        <v>176</v>
      </c>
      <c r="AW174" s="55" t="s">
        <v>1582</v>
      </c>
      <c r="AX174" s="185" t="s">
        <v>176</v>
      </c>
      <c r="AY174" s="55" t="s">
        <v>176</v>
      </c>
      <c r="AZ174" s="55" t="s">
        <v>216</v>
      </c>
      <c r="BA174" s="55" t="s">
        <v>216</v>
      </c>
      <c r="BB174" s="55" t="s">
        <v>2082</v>
      </c>
      <c r="BC174" s="55" t="s">
        <v>2082</v>
      </c>
      <c r="BD174" s="55" t="s">
        <v>176</v>
      </c>
      <c r="BK174" s="55" t="s">
        <v>6269</v>
      </c>
      <c r="BM174" s="192" t="s">
        <v>119</v>
      </c>
      <c r="BR174" s="55">
        <v>1728</v>
      </c>
      <c r="BU174" s="55" t="s">
        <v>277</v>
      </c>
      <c r="GN174" s="294">
        <v>309</v>
      </c>
      <c r="GO174" s="294">
        <v>584</v>
      </c>
      <c r="GP174" s="292" t="s">
        <v>5150</v>
      </c>
      <c r="HS174" s="227"/>
      <c r="HW174" s="227"/>
      <c r="JU174" s="55" t="s">
        <v>683</v>
      </c>
    </row>
    <row r="175" spans="1:281" x14ac:dyDescent="0.25">
      <c r="A175" s="55">
        <v>174</v>
      </c>
      <c r="B175" s="12" t="s">
        <v>7067</v>
      </c>
      <c r="C175" s="155">
        <v>14</v>
      </c>
      <c r="D175" s="55" t="s">
        <v>3733</v>
      </c>
      <c r="E175" s="90" t="s">
        <v>273</v>
      </c>
      <c r="G175" s="55" t="s">
        <v>274</v>
      </c>
      <c r="H175" s="55">
        <v>2011</v>
      </c>
      <c r="I175" s="55">
        <v>2008</v>
      </c>
      <c r="J175" s="55" t="s">
        <v>276</v>
      </c>
      <c r="K175" s="55" t="s">
        <v>275</v>
      </c>
      <c r="L175" s="55" t="s">
        <v>2737</v>
      </c>
      <c r="M175" s="90">
        <v>46.88</v>
      </c>
      <c r="N175" s="90">
        <v>-102.79</v>
      </c>
      <c r="O175" s="90">
        <v>735.8</v>
      </c>
      <c r="U175" s="55" t="s">
        <v>1821</v>
      </c>
      <c r="V175" s="55" t="s">
        <v>1820</v>
      </c>
      <c r="Y175" s="55" t="s">
        <v>1819</v>
      </c>
      <c r="Z175" s="55" t="s">
        <v>1344</v>
      </c>
      <c r="AA175" s="90" t="s">
        <v>1344</v>
      </c>
      <c r="AH175" s="55" t="s">
        <v>139</v>
      </c>
      <c r="AN175" s="185" t="s">
        <v>241</v>
      </c>
      <c r="AO175" s="185" t="s">
        <v>5150</v>
      </c>
      <c r="AQ175" s="55" t="s">
        <v>553</v>
      </c>
      <c r="AR175" s="55" t="s">
        <v>227</v>
      </c>
      <c r="AS175" s="55" t="s">
        <v>227</v>
      </c>
      <c r="AT175" s="181" t="s">
        <v>1582</v>
      </c>
      <c r="AU175" s="181" t="s">
        <v>5150</v>
      </c>
      <c r="AV175" s="185" t="s">
        <v>176</v>
      </c>
      <c r="AW175" s="55" t="s">
        <v>1582</v>
      </c>
      <c r="AX175" s="185" t="s">
        <v>176</v>
      </c>
      <c r="AY175" s="55" t="s">
        <v>176</v>
      </c>
      <c r="AZ175" s="55" t="s">
        <v>216</v>
      </c>
      <c r="BA175" s="55" t="s">
        <v>216</v>
      </c>
      <c r="BB175" s="55" t="s">
        <v>2082</v>
      </c>
      <c r="BC175" s="55" t="s">
        <v>2082</v>
      </c>
      <c r="BD175" s="55" t="s">
        <v>176</v>
      </c>
      <c r="BK175" s="55" t="s">
        <v>6269</v>
      </c>
      <c r="BM175" s="192" t="s">
        <v>119</v>
      </c>
      <c r="BR175" s="55">
        <v>1728</v>
      </c>
      <c r="BU175" s="55" t="s">
        <v>278</v>
      </c>
      <c r="GN175" s="294">
        <v>196</v>
      </c>
      <c r="GO175" s="294">
        <v>584</v>
      </c>
      <c r="GP175" s="292" t="s">
        <v>5150</v>
      </c>
      <c r="HS175" s="227"/>
      <c r="HW175" s="227"/>
      <c r="JU175" s="55" t="s">
        <v>683</v>
      </c>
    </row>
    <row r="176" spans="1:281" x14ac:dyDescent="0.25">
      <c r="A176" s="55">
        <v>175</v>
      </c>
      <c r="B176" s="12" t="s">
        <v>7067</v>
      </c>
      <c r="C176" s="155">
        <v>14</v>
      </c>
      <c r="D176" s="55" t="s">
        <v>3734</v>
      </c>
      <c r="E176" s="90" t="s">
        <v>273</v>
      </c>
      <c r="G176" s="55" t="s">
        <v>274</v>
      </c>
      <c r="H176" s="55">
        <v>2011</v>
      </c>
      <c r="I176" s="55">
        <v>2008</v>
      </c>
      <c r="J176" s="55" t="s">
        <v>276</v>
      </c>
      <c r="K176" s="55" t="s">
        <v>275</v>
      </c>
      <c r="L176" s="55" t="s">
        <v>2737</v>
      </c>
      <c r="M176" s="90">
        <v>46.88</v>
      </c>
      <c r="N176" s="90">
        <v>-102.79</v>
      </c>
      <c r="O176" s="90">
        <v>735.8</v>
      </c>
      <c r="U176" s="55" t="s">
        <v>1821</v>
      </c>
      <c r="V176" s="55" t="s">
        <v>1820</v>
      </c>
      <c r="Y176" s="55" t="s">
        <v>1819</v>
      </c>
      <c r="Z176" s="55" t="s">
        <v>1344</v>
      </c>
      <c r="AA176" s="90" t="s">
        <v>1344</v>
      </c>
      <c r="AH176" s="55" t="s">
        <v>139</v>
      </c>
      <c r="AN176" s="185" t="s">
        <v>241</v>
      </c>
      <c r="AO176" s="185" t="s">
        <v>5150</v>
      </c>
      <c r="AQ176" s="55" t="s">
        <v>553</v>
      </c>
      <c r="AR176" s="55" t="s">
        <v>227</v>
      </c>
      <c r="AS176" s="55" t="s">
        <v>227</v>
      </c>
      <c r="AT176" s="181" t="s">
        <v>1582</v>
      </c>
      <c r="AU176" s="181" t="s">
        <v>5150</v>
      </c>
      <c r="AV176" s="185" t="s">
        <v>176</v>
      </c>
      <c r="AW176" s="55" t="s">
        <v>1582</v>
      </c>
      <c r="AX176" s="185" t="s">
        <v>176</v>
      </c>
      <c r="AY176" s="55" t="s">
        <v>176</v>
      </c>
      <c r="AZ176" s="55" t="s">
        <v>216</v>
      </c>
      <c r="BA176" s="55" t="s">
        <v>216</v>
      </c>
      <c r="BB176" s="55" t="s">
        <v>2082</v>
      </c>
      <c r="BC176" s="55" t="s">
        <v>2082</v>
      </c>
      <c r="BD176" s="55" t="s">
        <v>176</v>
      </c>
      <c r="BK176" s="55" t="s">
        <v>6269</v>
      </c>
      <c r="BM176" s="192" t="s">
        <v>119</v>
      </c>
      <c r="BR176" s="55">
        <v>1728</v>
      </c>
      <c r="BU176" s="55" t="s">
        <v>279</v>
      </c>
      <c r="GN176" s="294">
        <v>569</v>
      </c>
      <c r="GO176" s="294">
        <v>584</v>
      </c>
      <c r="GP176" s="292" t="s">
        <v>5150</v>
      </c>
      <c r="HS176" s="227"/>
      <c r="HW176" s="227"/>
      <c r="JU176" s="55" t="s">
        <v>683</v>
      </c>
    </row>
    <row r="177" spans="1:283" x14ac:dyDescent="0.25">
      <c r="A177" s="55">
        <v>176</v>
      </c>
      <c r="B177" s="12" t="s">
        <v>7067</v>
      </c>
      <c r="C177" s="155">
        <v>14</v>
      </c>
      <c r="D177" s="55" t="s">
        <v>3735</v>
      </c>
      <c r="E177" s="90" t="s">
        <v>273</v>
      </c>
      <c r="G177" s="55" t="s">
        <v>274</v>
      </c>
      <c r="H177" s="55">
        <v>2011</v>
      </c>
      <c r="I177" s="55">
        <v>2008</v>
      </c>
      <c r="J177" s="55" t="s">
        <v>276</v>
      </c>
      <c r="K177" s="55" t="s">
        <v>275</v>
      </c>
      <c r="L177" s="55" t="s">
        <v>2737</v>
      </c>
      <c r="M177" s="90">
        <v>46.88</v>
      </c>
      <c r="N177" s="90">
        <v>-102.79</v>
      </c>
      <c r="O177" s="90">
        <v>735.8</v>
      </c>
      <c r="U177" s="55" t="s">
        <v>1821</v>
      </c>
      <c r="V177" s="55" t="s">
        <v>1820</v>
      </c>
      <c r="Y177" s="55" t="s">
        <v>1819</v>
      </c>
      <c r="Z177" s="55" t="s">
        <v>1344</v>
      </c>
      <c r="AA177" s="90" t="s">
        <v>1344</v>
      </c>
      <c r="AH177" s="55" t="s">
        <v>139</v>
      </c>
      <c r="AN177" s="185" t="s">
        <v>1527</v>
      </c>
      <c r="AO177" s="185" t="s">
        <v>5150</v>
      </c>
      <c r="AQ177" s="55" t="s">
        <v>131</v>
      </c>
      <c r="AR177" s="55" t="s">
        <v>227</v>
      </c>
      <c r="AS177" s="55" t="s">
        <v>227</v>
      </c>
      <c r="AT177" s="181" t="s">
        <v>1582</v>
      </c>
      <c r="AU177" s="181" t="s">
        <v>5150</v>
      </c>
      <c r="AV177" s="185" t="s">
        <v>176</v>
      </c>
      <c r="AW177" s="55" t="s">
        <v>1582</v>
      </c>
      <c r="AX177" s="185" t="s">
        <v>176</v>
      </c>
      <c r="AY177" s="55" t="s">
        <v>176</v>
      </c>
      <c r="AZ177" s="55" t="s">
        <v>216</v>
      </c>
      <c r="BA177" s="55" t="s">
        <v>216</v>
      </c>
      <c r="BB177" s="55" t="s">
        <v>2082</v>
      </c>
      <c r="BC177" s="55" t="s">
        <v>2082</v>
      </c>
      <c r="BD177" s="55" t="s">
        <v>176</v>
      </c>
      <c r="BK177" s="55" t="s">
        <v>6269</v>
      </c>
      <c r="BM177" s="192" t="s">
        <v>119</v>
      </c>
      <c r="BR177" s="55">
        <v>3615</v>
      </c>
      <c r="BU177" s="55" t="s">
        <v>277</v>
      </c>
      <c r="GN177" s="294">
        <v>309</v>
      </c>
      <c r="GO177" s="294">
        <v>153</v>
      </c>
      <c r="GP177" s="292" t="s">
        <v>5150</v>
      </c>
      <c r="HS177" s="227"/>
      <c r="HW177" s="227"/>
      <c r="JU177" s="55" t="s">
        <v>683</v>
      </c>
    </row>
    <row r="178" spans="1:283" x14ac:dyDescent="0.25">
      <c r="A178" s="55">
        <v>177</v>
      </c>
      <c r="B178" s="12" t="s">
        <v>7067</v>
      </c>
      <c r="C178" s="155">
        <v>14</v>
      </c>
      <c r="D178" s="55" t="s">
        <v>3736</v>
      </c>
      <c r="E178" s="90" t="s">
        <v>273</v>
      </c>
      <c r="G178" s="55" t="s">
        <v>274</v>
      </c>
      <c r="H178" s="55">
        <v>2011</v>
      </c>
      <c r="I178" s="55">
        <v>2008</v>
      </c>
      <c r="J178" s="55" t="s">
        <v>276</v>
      </c>
      <c r="K178" s="55" t="s">
        <v>275</v>
      </c>
      <c r="L178" s="55" t="s">
        <v>2737</v>
      </c>
      <c r="M178" s="90">
        <v>46.88</v>
      </c>
      <c r="N178" s="90">
        <v>-102.79</v>
      </c>
      <c r="O178" s="90">
        <v>735.8</v>
      </c>
      <c r="U178" s="55" t="s">
        <v>1821</v>
      </c>
      <c r="V178" s="55" t="s">
        <v>1820</v>
      </c>
      <c r="Y178" s="55" t="s">
        <v>1819</v>
      </c>
      <c r="Z178" s="55" t="s">
        <v>1344</v>
      </c>
      <c r="AA178" s="90" t="s">
        <v>1344</v>
      </c>
      <c r="AH178" s="55" t="s">
        <v>139</v>
      </c>
      <c r="AN178" s="185" t="s">
        <v>1527</v>
      </c>
      <c r="AO178" s="185" t="s">
        <v>5150</v>
      </c>
      <c r="AQ178" s="55" t="s">
        <v>131</v>
      </c>
      <c r="AR178" s="55" t="s">
        <v>227</v>
      </c>
      <c r="AS178" s="55" t="s">
        <v>227</v>
      </c>
      <c r="AT178" s="181" t="s">
        <v>1582</v>
      </c>
      <c r="AU178" s="181" t="s">
        <v>5150</v>
      </c>
      <c r="AV178" s="185" t="s">
        <v>176</v>
      </c>
      <c r="AW178" s="55" t="s">
        <v>1582</v>
      </c>
      <c r="AX178" s="185" t="s">
        <v>176</v>
      </c>
      <c r="AY178" s="55" t="s">
        <v>176</v>
      </c>
      <c r="AZ178" s="55" t="s">
        <v>216</v>
      </c>
      <c r="BA178" s="55" t="s">
        <v>216</v>
      </c>
      <c r="BB178" s="55" t="s">
        <v>2082</v>
      </c>
      <c r="BC178" s="55" t="s">
        <v>2082</v>
      </c>
      <c r="BD178" s="55" t="s">
        <v>176</v>
      </c>
      <c r="BK178" s="55" t="s">
        <v>6269</v>
      </c>
      <c r="BM178" s="192" t="s">
        <v>119</v>
      </c>
      <c r="BR178" s="55">
        <v>3615</v>
      </c>
      <c r="BU178" s="55" t="s">
        <v>278</v>
      </c>
      <c r="GN178" s="294">
        <v>196</v>
      </c>
      <c r="GO178" s="294">
        <v>153</v>
      </c>
      <c r="GP178" s="292" t="s">
        <v>5150</v>
      </c>
      <c r="HS178" s="227"/>
      <c r="HW178" s="227"/>
      <c r="JU178" s="55" t="s">
        <v>683</v>
      </c>
    </row>
    <row r="179" spans="1:283" x14ac:dyDescent="0.25">
      <c r="A179" s="55">
        <v>178</v>
      </c>
      <c r="B179" s="12" t="s">
        <v>7067</v>
      </c>
      <c r="C179" s="155">
        <v>14</v>
      </c>
      <c r="D179" s="55" t="s">
        <v>3737</v>
      </c>
      <c r="E179" s="90" t="s">
        <v>273</v>
      </c>
      <c r="G179" s="55" t="s">
        <v>274</v>
      </c>
      <c r="H179" s="55">
        <v>2011</v>
      </c>
      <c r="I179" s="55">
        <v>2008</v>
      </c>
      <c r="J179" s="55" t="s">
        <v>276</v>
      </c>
      <c r="K179" s="55" t="s">
        <v>275</v>
      </c>
      <c r="L179" s="55" t="s">
        <v>2737</v>
      </c>
      <c r="M179" s="90">
        <v>46.88</v>
      </c>
      <c r="N179" s="90">
        <v>-102.79</v>
      </c>
      <c r="O179" s="90">
        <v>735.8</v>
      </c>
      <c r="U179" s="55" t="s">
        <v>1821</v>
      </c>
      <c r="V179" s="55" t="s">
        <v>1820</v>
      </c>
      <c r="Y179" s="55" t="s">
        <v>1819</v>
      </c>
      <c r="Z179" s="55" t="s">
        <v>1344</v>
      </c>
      <c r="AA179" s="90" t="s">
        <v>1344</v>
      </c>
      <c r="AH179" s="55" t="s">
        <v>139</v>
      </c>
      <c r="AN179" s="185" t="s">
        <v>1527</v>
      </c>
      <c r="AO179" s="185" t="s">
        <v>5150</v>
      </c>
      <c r="AQ179" s="55" t="s">
        <v>131</v>
      </c>
      <c r="AR179" s="55" t="s">
        <v>227</v>
      </c>
      <c r="AS179" s="55" t="s">
        <v>227</v>
      </c>
      <c r="AT179" s="181" t="s">
        <v>1582</v>
      </c>
      <c r="AU179" s="181" t="s">
        <v>5150</v>
      </c>
      <c r="AV179" s="185" t="s">
        <v>176</v>
      </c>
      <c r="AW179" s="55" t="s">
        <v>1582</v>
      </c>
      <c r="AX179" s="185" t="s">
        <v>176</v>
      </c>
      <c r="AY179" s="55" t="s">
        <v>176</v>
      </c>
      <c r="AZ179" s="55" t="s">
        <v>216</v>
      </c>
      <c r="BA179" s="55" t="s">
        <v>216</v>
      </c>
      <c r="BB179" s="55" t="s">
        <v>2082</v>
      </c>
      <c r="BC179" s="55" t="s">
        <v>2082</v>
      </c>
      <c r="BD179" s="55" t="s">
        <v>176</v>
      </c>
      <c r="BK179" s="55" t="s">
        <v>6269</v>
      </c>
      <c r="BM179" s="192" t="s">
        <v>119</v>
      </c>
      <c r="BR179" s="55">
        <v>3615</v>
      </c>
      <c r="BU179" s="55" t="s">
        <v>279</v>
      </c>
      <c r="GN179" s="294">
        <v>569</v>
      </c>
      <c r="GO179" s="294">
        <v>153</v>
      </c>
      <c r="GP179" s="292" t="s">
        <v>5150</v>
      </c>
      <c r="HS179" s="227"/>
      <c r="HW179" s="227"/>
      <c r="JU179" s="55" t="s">
        <v>683</v>
      </c>
    </row>
    <row r="180" spans="1:283" x14ac:dyDescent="0.25">
      <c r="A180" s="55">
        <v>179</v>
      </c>
      <c r="B180" s="12" t="s">
        <v>7067</v>
      </c>
      <c r="C180" s="155">
        <v>14</v>
      </c>
      <c r="D180" s="55" t="s">
        <v>3738</v>
      </c>
      <c r="E180" s="90" t="s">
        <v>273</v>
      </c>
      <c r="G180" s="55" t="s">
        <v>274</v>
      </c>
      <c r="H180" s="55">
        <v>2011</v>
      </c>
      <c r="I180" s="55">
        <v>2008</v>
      </c>
      <c r="J180" s="55" t="s">
        <v>276</v>
      </c>
      <c r="K180" s="55" t="s">
        <v>275</v>
      </c>
      <c r="L180" s="55" t="s">
        <v>2737</v>
      </c>
      <c r="M180" s="90">
        <v>46.88</v>
      </c>
      <c r="N180" s="90">
        <v>-102.79</v>
      </c>
      <c r="O180" s="90">
        <v>735.8</v>
      </c>
      <c r="U180" s="55" t="s">
        <v>1821</v>
      </c>
      <c r="V180" s="55" t="s">
        <v>1820</v>
      </c>
      <c r="Y180" s="55" t="s">
        <v>1819</v>
      </c>
      <c r="Z180" s="55" t="s">
        <v>1344</v>
      </c>
      <c r="AA180" s="90" t="s">
        <v>1344</v>
      </c>
      <c r="AH180" s="55" t="s">
        <v>139</v>
      </c>
      <c r="AN180" s="185" t="s">
        <v>1491</v>
      </c>
      <c r="AO180" s="185" t="s">
        <v>5150</v>
      </c>
      <c r="AQ180" s="55" t="s">
        <v>1545</v>
      </c>
      <c r="AR180" s="55" t="s">
        <v>227</v>
      </c>
      <c r="AS180" s="55" t="s">
        <v>227</v>
      </c>
      <c r="AT180" s="181" t="s">
        <v>1582</v>
      </c>
      <c r="AU180" s="181" t="s">
        <v>5150</v>
      </c>
      <c r="AV180" s="185" t="s">
        <v>176</v>
      </c>
      <c r="AW180" s="55" t="s">
        <v>1582</v>
      </c>
      <c r="AX180" s="185" t="s">
        <v>176</v>
      </c>
      <c r="AY180" s="55" t="s">
        <v>176</v>
      </c>
      <c r="AZ180" s="55" t="s">
        <v>216</v>
      </c>
      <c r="BA180" s="55" t="s">
        <v>216</v>
      </c>
      <c r="BB180" s="55" t="s">
        <v>2082</v>
      </c>
      <c r="BC180" s="55" t="s">
        <v>2082</v>
      </c>
      <c r="BD180" s="55" t="s">
        <v>176</v>
      </c>
      <c r="BK180" s="55" t="s">
        <v>6269</v>
      </c>
      <c r="BM180" s="192" t="s">
        <v>119</v>
      </c>
      <c r="BR180" s="55">
        <v>4113</v>
      </c>
      <c r="BU180" s="55" t="s">
        <v>277</v>
      </c>
      <c r="GN180" s="294">
        <v>309</v>
      </c>
      <c r="GO180" s="294">
        <v>274</v>
      </c>
      <c r="GP180" s="292" t="s">
        <v>5150</v>
      </c>
      <c r="HS180" s="227"/>
      <c r="HW180" s="227"/>
      <c r="JU180" s="55" t="s">
        <v>683</v>
      </c>
    </row>
    <row r="181" spans="1:283" x14ac:dyDescent="0.25">
      <c r="A181" s="55">
        <v>180</v>
      </c>
      <c r="B181" s="12" t="s">
        <v>7067</v>
      </c>
      <c r="C181" s="155">
        <v>14</v>
      </c>
      <c r="D181" s="55" t="s">
        <v>3739</v>
      </c>
      <c r="E181" s="90" t="s">
        <v>273</v>
      </c>
      <c r="G181" s="55" t="s">
        <v>274</v>
      </c>
      <c r="H181" s="55">
        <v>2011</v>
      </c>
      <c r="I181" s="55">
        <v>2008</v>
      </c>
      <c r="J181" s="55" t="s">
        <v>276</v>
      </c>
      <c r="K181" s="55" t="s">
        <v>275</v>
      </c>
      <c r="L181" s="55" t="s">
        <v>2737</v>
      </c>
      <c r="M181" s="90">
        <v>46.88</v>
      </c>
      <c r="N181" s="90">
        <v>-102.79</v>
      </c>
      <c r="O181" s="90">
        <v>735.8</v>
      </c>
      <c r="U181" s="55" t="s">
        <v>1821</v>
      </c>
      <c r="V181" s="55" t="s">
        <v>1820</v>
      </c>
      <c r="Y181" s="55" t="s">
        <v>1819</v>
      </c>
      <c r="Z181" s="55" t="s">
        <v>1344</v>
      </c>
      <c r="AA181" s="90" t="s">
        <v>1344</v>
      </c>
      <c r="AH181" s="55" t="s">
        <v>139</v>
      </c>
      <c r="AN181" s="185" t="s">
        <v>1491</v>
      </c>
      <c r="AO181" s="185" t="s">
        <v>5150</v>
      </c>
      <c r="AQ181" s="55" t="s">
        <v>1545</v>
      </c>
      <c r="AR181" s="55" t="s">
        <v>227</v>
      </c>
      <c r="AS181" s="55" t="s">
        <v>227</v>
      </c>
      <c r="AT181" s="181" t="s">
        <v>1582</v>
      </c>
      <c r="AU181" s="181" t="s">
        <v>5150</v>
      </c>
      <c r="AV181" s="185" t="s">
        <v>176</v>
      </c>
      <c r="AW181" s="55" t="s">
        <v>1582</v>
      </c>
      <c r="AX181" s="185" t="s">
        <v>176</v>
      </c>
      <c r="AY181" s="55" t="s">
        <v>176</v>
      </c>
      <c r="AZ181" s="55" t="s">
        <v>216</v>
      </c>
      <c r="BA181" s="55" t="s">
        <v>216</v>
      </c>
      <c r="BB181" s="55" t="s">
        <v>2082</v>
      </c>
      <c r="BC181" s="55" t="s">
        <v>2082</v>
      </c>
      <c r="BD181" s="55" t="s">
        <v>176</v>
      </c>
      <c r="BK181" s="55" t="s">
        <v>6269</v>
      </c>
      <c r="BM181" s="192" t="s">
        <v>119</v>
      </c>
      <c r="BR181" s="55">
        <v>4113</v>
      </c>
      <c r="BU181" s="55" t="s">
        <v>278</v>
      </c>
      <c r="GN181" s="294">
        <v>196</v>
      </c>
      <c r="GO181" s="294">
        <v>274</v>
      </c>
      <c r="GP181" s="292" t="s">
        <v>5150</v>
      </c>
      <c r="HS181" s="227"/>
      <c r="HW181" s="227"/>
      <c r="JU181" s="55" t="s">
        <v>683</v>
      </c>
    </row>
    <row r="182" spans="1:283" x14ac:dyDescent="0.25">
      <c r="A182" s="55">
        <v>181</v>
      </c>
      <c r="B182" s="12" t="s">
        <v>7067</v>
      </c>
      <c r="C182" s="155">
        <v>14</v>
      </c>
      <c r="D182" s="55" t="s">
        <v>3740</v>
      </c>
      <c r="E182" s="90" t="s">
        <v>273</v>
      </c>
      <c r="G182" s="55" t="s">
        <v>274</v>
      </c>
      <c r="H182" s="55">
        <v>2011</v>
      </c>
      <c r="I182" s="55">
        <v>2008</v>
      </c>
      <c r="J182" s="55" t="s">
        <v>276</v>
      </c>
      <c r="K182" s="55" t="s">
        <v>275</v>
      </c>
      <c r="L182" s="55" t="s">
        <v>2737</v>
      </c>
      <c r="M182" s="90">
        <v>46.88</v>
      </c>
      <c r="N182" s="90">
        <v>-102.79</v>
      </c>
      <c r="O182" s="90">
        <v>735.8</v>
      </c>
      <c r="U182" s="55" t="s">
        <v>1821</v>
      </c>
      <c r="V182" s="55" t="s">
        <v>1820</v>
      </c>
      <c r="Y182" s="55" t="s">
        <v>1819</v>
      </c>
      <c r="Z182" s="55" t="s">
        <v>1344</v>
      </c>
      <c r="AA182" s="90" t="s">
        <v>1344</v>
      </c>
      <c r="AH182" s="55" t="s">
        <v>139</v>
      </c>
      <c r="AN182" s="185" t="s">
        <v>1491</v>
      </c>
      <c r="AO182" s="185" t="s">
        <v>5150</v>
      </c>
      <c r="AQ182" s="55" t="s">
        <v>1545</v>
      </c>
      <c r="AR182" s="55" t="s">
        <v>227</v>
      </c>
      <c r="AS182" s="55" t="s">
        <v>227</v>
      </c>
      <c r="AT182" s="181" t="s">
        <v>1582</v>
      </c>
      <c r="AU182" s="181" t="s">
        <v>5150</v>
      </c>
      <c r="AV182" s="185" t="s">
        <v>176</v>
      </c>
      <c r="AW182" s="55" t="s">
        <v>1582</v>
      </c>
      <c r="AX182" s="185" t="s">
        <v>176</v>
      </c>
      <c r="AY182" s="55" t="s">
        <v>176</v>
      </c>
      <c r="AZ182" s="55" t="s">
        <v>216</v>
      </c>
      <c r="BA182" s="55" t="s">
        <v>216</v>
      </c>
      <c r="BB182" s="55" t="s">
        <v>2082</v>
      </c>
      <c r="BC182" s="55" t="s">
        <v>2082</v>
      </c>
      <c r="BD182" s="55" t="s">
        <v>176</v>
      </c>
      <c r="BK182" s="55" t="s">
        <v>6269</v>
      </c>
      <c r="BM182" s="192" t="s">
        <v>119</v>
      </c>
      <c r="BR182" s="55">
        <v>4113</v>
      </c>
      <c r="BU182" s="55" t="s">
        <v>279</v>
      </c>
      <c r="GN182" s="294">
        <v>569</v>
      </c>
      <c r="GO182" s="294">
        <v>274</v>
      </c>
      <c r="GP182" s="292" t="s">
        <v>5150</v>
      </c>
      <c r="HS182" s="227"/>
      <c r="HW182" s="227"/>
      <c r="JU182" s="55" t="s">
        <v>683</v>
      </c>
    </row>
    <row r="183" spans="1:283" s="229" customFormat="1" x14ac:dyDescent="0.25">
      <c r="A183" s="181">
        <v>182</v>
      </c>
      <c r="B183" s="229" t="s">
        <v>7067</v>
      </c>
      <c r="C183" s="230">
        <v>14</v>
      </c>
      <c r="D183" s="181" t="s">
        <v>3741</v>
      </c>
      <c r="E183" s="231" t="s">
        <v>273</v>
      </c>
      <c r="F183" s="231"/>
      <c r="G183" s="181" t="s">
        <v>274</v>
      </c>
      <c r="H183" s="181">
        <v>2011</v>
      </c>
      <c r="I183" s="181">
        <v>2008</v>
      </c>
      <c r="J183" s="181" t="s">
        <v>276</v>
      </c>
      <c r="K183" s="181" t="s">
        <v>275</v>
      </c>
      <c r="L183" s="181" t="s">
        <v>2737</v>
      </c>
      <c r="M183" s="231">
        <v>46.88</v>
      </c>
      <c r="N183" s="231">
        <v>-102.79</v>
      </c>
      <c r="O183" s="231">
        <v>735.8</v>
      </c>
      <c r="P183" s="181"/>
      <c r="Q183" s="181"/>
      <c r="R183" s="181"/>
      <c r="S183" s="231"/>
      <c r="T183" s="181"/>
      <c r="U183" s="181" t="s">
        <v>1821</v>
      </c>
      <c r="V183" s="181" t="s">
        <v>1820</v>
      </c>
      <c r="W183" s="181"/>
      <c r="X183" s="181"/>
      <c r="Y183" s="181" t="s">
        <v>1819</v>
      </c>
      <c r="Z183" s="181" t="s">
        <v>1344</v>
      </c>
      <c r="AA183" s="231" t="s">
        <v>1344</v>
      </c>
      <c r="AB183" s="232"/>
      <c r="AC183" s="232"/>
      <c r="AD183" s="231"/>
      <c r="AE183" s="231"/>
      <c r="AF183" s="231"/>
      <c r="AG183" s="231"/>
      <c r="AH183" s="181" t="s">
        <v>139</v>
      </c>
      <c r="AI183" s="181"/>
      <c r="AJ183" s="231"/>
      <c r="AK183" s="231"/>
      <c r="AL183" s="181"/>
      <c r="AM183" s="181"/>
      <c r="AN183" s="185" t="s">
        <v>1538</v>
      </c>
      <c r="AO183" s="185" t="s">
        <v>5150</v>
      </c>
      <c r="AP183" s="181"/>
      <c r="AQ183" s="181" t="s">
        <v>1546</v>
      </c>
      <c r="AR183" s="181" t="s">
        <v>227</v>
      </c>
      <c r="AS183" s="181" t="s">
        <v>227</v>
      </c>
      <c r="AT183" s="181" t="s">
        <v>1582</v>
      </c>
      <c r="AU183" s="181" t="s">
        <v>5150</v>
      </c>
      <c r="AV183" s="185" t="s">
        <v>479</v>
      </c>
      <c r="AW183" s="181" t="s">
        <v>1582</v>
      </c>
      <c r="AX183" s="185" t="s">
        <v>479</v>
      </c>
      <c r="AY183" s="181" t="s">
        <v>176</v>
      </c>
      <c r="AZ183" s="181" t="s">
        <v>216</v>
      </c>
      <c r="BA183" s="181" t="s">
        <v>216</v>
      </c>
      <c r="BB183" s="181" t="s">
        <v>2082</v>
      </c>
      <c r="BC183" s="181" t="s">
        <v>2082</v>
      </c>
      <c r="BD183" s="181" t="s">
        <v>176</v>
      </c>
      <c r="BE183" s="226"/>
      <c r="BF183" s="181"/>
      <c r="BG183" s="181"/>
      <c r="BH183" s="226"/>
      <c r="BI183" s="181"/>
      <c r="BJ183" s="181"/>
      <c r="BK183" s="181" t="s">
        <v>6269</v>
      </c>
      <c r="BL183" s="181"/>
      <c r="BM183" s="192" t="s">
        <v>119</v>
      </c>
      <c r="BN183" s="181"/>
      <c r="BO183" s="181"/>
      <c r="BP183" s="181"/>
      <c r="BQ183" s="181"/>
      <c r="BR183" s="181">
        <v>3535</v>
      </c>
      <c r="BS183" s="181"/>
      <c r="BT183" s="181"/>
      <c r="BU183" s="181" t="s">
        <v>277</v>
      </c>
      <c r="BV183" s="181"/>
      <c r="BW183" s="232"/>
      <c r="BX183" s="232"/>
      <c r="BY183" s="232"/>
      <c r="BZ183" s="232"/>
      <c r="CA183" s="232"/>
      <c r="CB183" s="183"/>
      <c r="CC183" s="183"/>
      <c r="CD183" s="183"/>
      <c r="CE183" s="232"/>
      <c r="CF183" s="232"/>
      <c r="CG183" s="232"/>
      <c r="CH183" s="231"/>
      <c r="CI183" s="231"/>
      <c r="CJ183" s="232"/>
      <c r="CK183" s="232"/>
      <c r="CL183" s="232"/>
      <c r="CM183" s="232"/>
      <c r="CN183" s="232"/>
      <c r="CO183" s="232"/>
      <c r="CP183" s="232"/>
      <c r="CQ183" s="232"/>
      <c r="CR183" s="232"/>
      <c r="CS183" s="232"/>
      <c r="CT183" s="232"/>
      <c r="CU183" s="232"/>
      <c r="CV183" s="232"/>
      <c r="CW183" s="232"/>
      <c r="CX183" s="232"/>
      <c r="CY183" s="232"/>
      <c r="CZ183" s="232"/>
      <c r="DA183" s="232"/>
      <c r="DB183" s="232"/>
      <c r="DC183" s="232"/>
      <c r="DD183" s="232"/>
      <c r="DE183" s="232"/>
      <c r="DF183" s="232"/>
      <c r="DG183" s="232"/>
      <c r="DH183" s="232"/>
      <c r="DI183" s="232"/>
      <c r="DJ183" s="232"/>
      <c r="DK183" s="232"/>
      <c r="DL183" s="232"/>
      <c r="DM183" s="232"/>
      <c r="DN183" s="232"/>
      <c r="DO183" s="232"/>
      <c r="DP183" s="232"/>
      <c r="DQ183" s="233"/>
      <c r="DR183" s="233"/>
      <c r="DS183" s="232"/>
      <c r="DT183" s="232"/>
      <c r="DU183" s="232"/>
      <c r="DV183" s="232"/>
      <c r="DW183" s="232"/>
      <c r="DX183" s="232"/>
      <c r="DY183" s="232"/>
      <c r="DZ183" s="232"/>
      <c r="EA183" s="232"/>
      <c r="EB183" s="232"/>
      <c r="EC183" s="232"/>
      <c r="ED183" s="232"/>
      <c r="EE183" s="232"/>
      <c r="EF183" s="232"/>
      <c r="EG183" s="232"/>
      <c r="EH183" s="232"/>
      <c r="EI183" s="232"/>
      <c r="EJ183" s="232"/>
      <c r="EK183" s="231"/>
      <c r="EL183" s="231"/>
      <c r="EM183" s="232"/>
      <c r="EN183" s="232"/>
      <c r="EO183" s="232"/>
      <c r="EP183" s="232"/>
      <c r="EQ183" s="232"/>
      <c r="ER183" s="232"/>
      <c r="ES183" s="232"/>
      <c r="ET183" s="232"/>
      <c r="EU183" s="232"/>
      <c r="EV183" s="232"/>
      <c r="EW183" s="232"/>
      <c r="EX183" s="232"/>
      <c r="EY183" s="232"/>
      <c r="EZ183" s="232"/>
      <c r="FA183" s="232"/>
      <c r="FB183" s="232"/>
      <c r="FC183" s="232"/>
      <c r="FD183" s="232"/>
      <c r="FE183" s="232"/>
      <c r="FF183" s="232"/>
      <c r="FG183" s="232"/>
      <c r="FH183" s="232"/>
      <c r="FI183" s="232"/>
      <c r="FJ183" s="232"/>
      <c r="FK183" s="232"/>
      <c r="FL183" s="232"/>
      <c r="FM183" s="232"/>
      <c r="FN183" s="232"/>
      <c r="FO183" s="232"/>
      <c r="FP183" s="232"/>
      <c r="FQ183" s="232"/>
      <c r="FR183" s="232"/>
      <c r="FS183" s="232"/>
      <c r="FT183" s="232"/>
      <c r="FU183" s="232"/>
      <c r="FV183" s="232"/>
      <c r="FW183" s="232"/>
      <c r="FX183" s="232"/>
      <c r="FY183" s="232"/>
      <c r="FZ183" s="232"/>
      <c r="GA183" s="232"/>
      <c r="GB183" s="232"/>
      <c r="GC183" s="232"/>
      <c r="GD183" s="232"/>
      <c r="GE183" s="232"/>
      <c r="GF183" s="232"/>
      <c r="GG183" s="232"/>
      <c r="GH183" s="232"/>
      <c r="GI183" s="232"/>
      <c r="GJ183" s="232"/>
      <c r="GK183" s="232"/>
      <c r="GL183" s="232"/>
      <c r="GM183" s="232"/>
      <c r="GN183" s="294">
        <v>309</v>
      </c>
      <c r="GO183" s="294">
        <v>286</v>
      </c>
      <c r="GP183" s="292" t="s">
        <v>5150</v>
      </c>
      <c r="GQ183" s="232"/>
      <c r="GR183" s="232"/>
      <c r="GS183" s="232"/>
      <c r="GT183" s="232"/>
      <c r="GU183" s="232"/>
      <c r="GV183" s="232"/>
      <c r="GW183" s="232"/>
      <c r="GX183" s="232"/>
      <c r="GY183" s="232"/>
      <c r="GZ183" s="232"/>
      <c r="HA183" s="232"/>
      <c r="HB183" s="232"/>
      <c r="HC183" s="232"/>
      <c r="HD183" s="232"/>
      <c r="HE183" s="232"/>
      <c r="HF183" s="232"/>
      <c r="HG183" s="232"/>
      <c r="HH183" s="232"/>
      <c r="HI183" s="232"/>
      <c r="HJ183" s="232"/>
      <c r="HK183" s="232"/>
      <c r="HL183" s="232"/>
      <c r="HM183" s="232"/>
      <c r="HN183" s="232"/>
      <c r="HO183" s="232"/>
      <c r="HP183" s="232"/>
      <c r="HQ183" s="232"/>
      <c r="HR183" s="232"/>
      <c r="HS183" s="233"/>
      <c r="HT183" s="232"/>
      <c r="HU183" s="232"/>
      <c r="HV183" s="232"/>
      <c r="HW183" s="233"/>
      <c r="HX183" s="232"/>
      <c r="HY183" s="232"/>
      <c r="HZ183" s="232"/>
      <c r="IA183" s="232"/>
      <c r="IB183" s="232"/>
      <c r="IC183" s="232"/>
      <c r="ID183" s="232"/>
      <c r="IE183" s="232"/>
      <c r="IF183" s="232"/>
      <c r="IG183" s="232"/>
      <c r="IH183" s="232"/>
      <c r="II183" s="232"/>
      <c r="IJ183" s="232"/>
      <c r="IK183" s="232"/>
      <c r="IL183" s="232"/>
      <c r="IM183" s="232"/>
      <c r="IN183" s="232"/>
      <c r="IO183" s="232"/>
      <c r="IP183" s="232"/>
      <c r="IQ183" s="232"/>
      <c r="IR183" s="232"/>
      <c r="IS183" s="232"/>
      <c r="IT183" s="232"/>
      <c r="IU183" s="232"/>
      <c r="IV183" s="232"/>
      <c r="IW183" s="232"/>
      <c r="IX183" s="232"/>
      <c r="IY183" s="232"/>
      <c r="IZ183" s="232"/>
      <c r="JA183" s="232"/>
      <c r="JB183" s="232"/>
      <c r="JC183" s="232"/>
      <c r="JD183" s="232"/>
      <c r="JE183" s="232"/>
      <c r="JF183" s="232"/>
      <c r="JG183" s="232"/>
      <c r="JH183" s="232"/>
      <c r="JI183" s="232"/>
      <c r="JJ183" s="232"/>
      <c r="JK183" s="232"/>
      <c r="JL183" s="232"/>
      <c r="JM183" s="232"/>
      <c r="JN183" s="232"/>
      <c r="JO183" s="232"/>
      <c r="JP183" s="232"/>
      <c r="JQ183" s="232"/>
      <c r="JR183" s="232"/>
      <c r="JS183" s="232"/>
      <c r="JT183" s="232"/>
      <c r="JU183" s="181" t="s">
        <v>683</v>
      </c>
      <c r="JV183" s="181"/>
      <c r="JW183" s="181"/>
    </row>
    <row r="184" spans="1:283" s="229" customFormat="1" x14ac:dyDescent="0.25">
      <c r="A184" s="181">
        <v>183</v>
      </c>
      <c r="B184" s="229" t="s">
        <v>7067</v>
      </c>
      <c r="C184" s="230">
        <v>14</v>
      </c>
      <c r="D184" s="181" t="s">
        <v>3742</v>
      </c>
      <c r="E184" s="231" t="s">
        <v>273</v>
      </c>
      <c r="F184" s="231"/>
      <c r="G184" s="181" t="s">
        <v>274</v>
      </c>
      <c r="H184" s="181">
        <v>2011</v>
      </c>
      <c r="I184" s="181">
        <v>2008</v>
      </c>
      <c r="J184" s="181" t="s">
        <v>276</v>
      </c>
      <c r="K184" s="181" t="s">
        <v>275</v>
      </c>
      <c r="L184" s="181" t="s">
        <v>2737</v>
      </c>
      <c r="M184" s="231">
        <v>46.88</v>
      </c>
      <c r="N184" s="231">
        <v>-102.79</v>
      </c>
      <c r="O184" s="231">
        <v>735.8</v>
      </c>
      <c r="P184" s="181"/>
      <c r="Q184" s="181"/>
      <c r="R184" s="181"/>
      <c r="S184" s="231"/>
      <c r="T184" s="181"/>
      <c r="U184" s="181" t="s">
        <v>1821</v>
      </c>
      <c r="V184" s="181" t="s">
        <v>1820</v>
      </c>
      <c r="W184" s="181"/>
      <c r="X184" s="181"/>
      <c r="Y184" s="181" t="s">
        <v>1819</v>
      </c>
      <c r="Z184" s="181" t="s">
        <v>1344</v>
      </c>
      <c r="AA184" s="231" t="s">
        <v>1344</v>
      </c>
      <c r="AB184" s="232"/>
      <c r="AC184" s="232"/>
      <c r="AD184" s="231"/>
      <c r="AE184" s="231"/>
      <c r="AF184" s="231"/>
      <c r="AG184" s="231"/>
      <c r="AH184" s="181" t="s">
        <v>139</v>
      </c>
      <c r="AI184" s="181"/>
      <c r="AJ184" s="231"/>
      <c r="AK184" s="231"/>
      <c r="AL184" s="181"/>
      <c r="AM184" s="181"/>
      <c r="AN184" s="185" t="s">
        <v>1538</v>
      </c>
      <c r="AO184" s="185" t="s">
        <v>5150</v>
      </c>
      <c r="AP184" s="181"/>
      <c r="AQ184" s="181" t="s">
        <v>1546</v>
      </c>
      <c r="AR184" s="181" t="s">
        <v>227</v>
      </c>
      <c r="AS184" s="181" t="s">
        <v>227</v>
      </c>
      <c r="AT184" s="181" t="s">
        <v>1582</v>
      </c>
      <c r="AU184" s="181" t="s">
        <v>5150</v>
      </c>
      <c r="AV184" s="185" t="s">
        <v>479</v>
      </c>
      <c r="AW184" s="181" t="s">
        <v>1582</v>
      </c>
      <c r="AX184" s="185" t="s">
        <v>479</v>
      </c>
      <c r="AY184" s="181" t="s">
        <v>176</v>
      </c>
      <c r="AZ184" s="181" t="s">
        <v>216</v>
      </c>
      <c r="BA184" s="181" t="s">
        <v>216</v>
      </c>
      <c r="BB184" s="181" t="s">
        <v>2082</v>
      </c>
      <c r="BC184" s="181" t="s">
        <v>2082</v>
      </c>
      <c r="BD184" s="181" t="s">
        <v>176</v>
      </c>
      <c r="BE184" s="226"/>
      <c r="BF184" s="181"/>
      <c r="BG184" s="181"/>
      <c r="BH184" s="226"/>
      <c r="BI184" s="181"/>
      <c r="BJ184" s="181"/>
      <c r="BK184" s="181" t="s">
        <v>6269</v>
      </c>
      <c r="BL184" s="181"/>
      <c r="BM184" s="192" t="s">
        <v>119</v>
      </c>
      <c r="BN184" s="181"/>
      <c r="BO184" s="181"/>
      <c r="BP184" s="181"/>
      <c r="BQ184" s="181"/>
      <c r="BR184" s="181">
        <v>3535</v>
      </c>
      <c r="BS184" s="181"/>
      <c r="BT184" s="181"/>
      <c r="BU184" s="181" t="s">
        <v>278</v>
      </c>
      <c r="BV184" s="181"/>
      <c r="BW184" s="232"/>
      <c r="BX184" s="232"/>
      <c r="BY184" s="232"/>
      <c r="BZ184" s="232"/>
      <c r="CA184" s="232"/>
      <c r="CB184" s="183"/>
      <c r="CC184" s="183"/>
      <c r="CD184" s="183"/>
      <c r="CE184" s="232"/>
      <c r="CF184" s="232"/>
      <c r="CG184" s="232"/>
      <c r="CH184" s="231"/>
      <c r="CI184" s="231"/>
      <c r="CJ184" s="232"/>
      <c r="CK184" s="232"/>
      <c r="CL184" s="232"/>
      <c r="CM184" s="232"/>
      <c r="CN184" s="232"/>
      <c r="CO184" s="232"/>
      <c r="CP184" s="232"/>
      <c r="CQ184" s="232"/>
      <c r="CR184" s="232"/>
      <c r="CS184" s="232"/>
      <c r="CT184" s="232"/>
      <c r="CU184" s="232"/>
      <c r="CV184" s="232"/>
      <c r="CW184" s="232"/>
      <c r="CX184" s="232"/>
      <c r="CY184" s="232"/>
      <c r="CZ184" s="232"/>
      <c r="DA184" s="232"/>
      <c r="DB184" s="232"/>
      <c r="DC184" s="232"/>
      <c r="DD184" s="232"/>
      <c r="DE184" s="232"/>
      <c r="DF184" s="232"/>
      <c r="DG184" s="232"/>
      <c r="DH184" s="232"/>
      <c r="DI184" s="232"/>
      <c r="DJ184" s="232"/>
      <c r="DK184" s="232"/>
      <c r="DL184" s="232"/>
      <c r="DM184" s="232"/>
      <c r="DN184" s="232"/>
      <c r="DO184" s="232"/>
      <c r="DP184" s="232"/>
      <c r="DQ184" s="233"/>
      <c r="DR184" s="233"/>
      <c r="DS184" s="232"/>
      <c r="DT184" s="232"/>
      <c r="DU184" s="232"/>
      <c r="DV184" s="232"/>
      <c r="DW184" s="232"/>
      <c r="DX184" s="232"/>
      <c r="DY184" s="232"/>
      <c r="DZ184" s="232"/>
      <c r="EA184" s="232"/>
      <c r="EB184" s="232"/>
      <c r="EC184" s="232"/>
      <c r="ED184" s="232"/>
      <c r="EE184" s="232"/>
      <c r="EF184" s="232"/>
      <c r="EG184" s="232"/>
      <c r="EH184" s="232"/>
      <c r="EI184" s="232"/>
      <c r="EJ184" s="232"/>
      <c r="EK184" s="231"/>
      <c r="EL184" s="231"/>
      <c r="EM184" s="232"/>
      <c r="EN184" s="232"/>
      <c r="EO184" s="232"/>
      <c r="EP184" s="232"/>
      <c r="EQ184" s="232"/>
      <c r="ER184" s="232"/>
      <c r="ES184" s="232"/>
      <c r="ET184" s="232"/>
      <c r="EU184" s="232"/>
      <c r="EV184" s="232"/>
      <c r="EW184" s="232"/>
      <c r="EX184" s="232"/>
      <c r="EY184" s="232"/>
      <c r="EZ184" s="232"/>
      <c r="FA184" s="232"/>
      <c r="FB184" s="232"/>
      <c r="FC184" s="232"/>
      <c r="FD184" s="232"/>
      <c r="FE184" s="232"/>
      <c r="FF184" s="232"/>
      <c r="FG184" s="232"/>
      <c r="FH184" s="232"/>
      <c r="FI184" s="232"/>
      <c r="FJ184" s="232"/>
      <c r="FK184" s="232"/>
      <c r="FL184" s="232"/>
      <c r="FM184" s="232"/>
      <c r="FN184" s="232"/>
      <c r="FO184" s="232"/>
      <c r="FP184" s="232"/>
      <c r="FQ184" s="232"/>
      <c r="FR184" s="232"/>
      <c r="FS184" s="232"/>
      <c r="FT184" s="232"/>
      <c r="FU184" s="232"/>
      <c r="FV184" s="232"/>
      <c r="FW184" s="232"/>
      <c r="FX184" s="232"/>
      <c r="FY184" s="232"/>
      <c r="FZ184" s="232"/>
      <c r="GA184" s="232"/>
      <c r="GB184" s="232"/>
      <c r="GC184" s="232"/>
      <c r="GD184" s="232"/>
      <c r="GE184" s="232"/>
      <c r="GF184" s="232"/>
      <c r="GG184" s="232"/>
      <c r="GH184" s="232"/>
      <c r="GI184" s="232"/>
      <c r="GJ184" s="232"/>
      <c r="GK184" s="232"/>
      <c r="GL184" s="232"/>
      <c r="GM184" s="232"/>
      <c r="GN184" s="294">
        <v>196</v>
      </c>
      <c r="GO184" s="294">
        <v>286</v>
      </c>
      <c r="GP184" s="292" t="s">
        <v>5150</v>
      </c>
      <c r="GQ184" s="232"/>
      <c r="GR184" s="232"/>
      <c r="GS184" s="232"/>
      <c r="GT184" s="232"/>
      <c r="GU184" s="232"/>
      <c r="GV184" s="232"/>
      <c r="GW184" s="232"/>
      <c r="GX184" s="232"/>
      <c r="GY184" s="232"/>
      <c r="GZ184" s="232"/>
      <c r="HA184" s="232"/>
      <c r="HB184" s="232"/>
      <c r="HC184" s="232"/>
      <c r="HD184" s="232"/>
      <c r="HE184" s="232"/>
      <c r="HF184" s="232"/>
      <c r="HG184" s="232"/>
      <c r="HH184" s="232"/>
      <c r="HI184" s="232"/>
      <c r="HJ184" s="232"/>
      <c r="HK184" s="232"/>
      <c r="HL184" s="232"/>
      <c r="HM184" s="232"/>
      <c r="HN184" s="232"/>
      <c r="HO184" s="232"/>
      <c r="HP184" s="232"/>
      <c r="HQ184" s="232"/>
      <c r="HR184" s="232"/>
      <c r="HS184" s="233"/>
      <c r="HT184" s="232"/>
      <c r="HU184" s="232"/>
      <c r="HV184" s="232"/>
      <c r="HW184" s="233"/>
      <c r="HX184" s="232"/>
      <c r="HY184" s="232"/>
      <c r="HZ184" s="232"/>
      <c r="IA184" s="232"/>
      <c r="IB184" s="232"/>
      <c r="IC184" s="232"/>
      <c r="ID184" s="232"/>
      <c r="IE184" s="232"/>
      <c r="IF184" s="232"/>
      <c r="IG184" s="232"/>
      <c r="IH184" s="232"/>
      <c r="II184" s="232"/>
      <c r="IJ184" s="232"/>
      <c r="IK184" s="232"/>
      <c r="IL184" s="232"/>
      <c r="IM184" s="232"/>
      <c r="IN184" s="232"/>
      <c r="IO184" s="232"/>
      <c r="IP184" s="232"/>
      <c r="IQ184" s="232"/>
      <c r="IR184" s="232"/>
      <c r="IS184" s="232"/>
      <c r="IT184" s="232"/>
      <c r="IU184" s="232"/>
      <c r="IV184" s="232"/>
      <c r="IW184" s="232"/>
      <c r="IX184" s="232"/>
      <c r="IY184" s="232"/>
      <c r="IZ184" s="232"/>
      <c r="JA184" s="232"/>
      <c r="JB184" s="232"/>
      <c r="JC184" s="232"/>
      <c r="JD184" s="232"/>
      <c r="JE184" s="232"/>
      <c r="JF184" s="232"/>
      <c r="JG184" s="232"/>
      <c r="JH184" s="232"/>
      <c r="JI184" s="232"/>
      <c r="JJ184" s="232"/>
      <c r="JK184" s="232"/>
      <c r="JL184" s="232"/>
      <c r="JM184" s="232"/>
      <c r="JN184" s="232"/>
      <c r="JO184" s="232"/>
      <c r="JP184" s="232"/>
      <c r="JQ184" s="232"/>
      <c r="JR184" s="232"/>
      <c r="JS184" s="232"/>
      <c r="JT184" s="232"/>
      <c r="JU184" s="181" t="s">
        <v>683</v>
      </c>
      <c r="JV184" s="181"/>
      <c r="JW184" s="181"/>
    </row>
    <row r="185" spans="1:283" s="229" customFormat="1" x14ac:dyDescent="0.25">
      <c r="A185" s="181">
        <v>184</v>
      </c>
      <c r="B185" s="229" t="s">
        <v>7067</v>
      </c>
      <c r="C185" s="230">
        <v>14</v>
      </c>
      <c r="D185" s="181" t="s">
        <v>3743</v>
      </c>
      <c r="E185" s="231" t="s">
        <v>273</v>
      </c>
      <c r="F185" s="231"/>
      <c r="G185" s="181" t="s">
        <v>274</v>
      </c>
      <c r="H185" s="181">
        <v>2011</v>
      </c>
      <c r="I185" s="181">
        <v>2008</v>
      </c>
      <c r="J185" s="181" t="s">
        <v>276</v>
      </c>
      <c r="K185" s="181" t="s">
        <v>275</v>
      </c>
      <c r="L185" s="181" t="s">
        <v>2737</v>
      </c>
      <c r="M185" s="231">
        <v>46.88</v>
      </c>
      <c r="N185" s="231">
        <v>-102.79</v>
      </c>
      <c r="O185" s="231">
        <v>735.8</v>
      </c>
      <c r="P185" s="181"/>
      <c r="Q185" s="181"/>
      <c r="R185" s="181"/>
      <c r="S185" s="231"/>
      <c r="T185" s="181"/>
      <c r="U185" s="181" t="s">
        <v>1821</v>
      </c>
      <c r="V185" s="181" t="s">
        <v>1820</v>
      </c>
      <c r="W185" s="181"/>
      <c r="X185" s="181"/>
      <c r="Y185" s="181" t="s">
        <v>1819</v>
      </c>
      <c r="Z185" s="181" t="s">
        <v>1344</v>
      </c>
      <c r="AA185" s="231" t="s">
        <v>1344</v>
      </c>
      <c r="AB185" s="232"/>
      <c r="AC185" s="232"/>
      <c r="AD185" s="231"/>
      <c r="AE185" s="231"/>
      <c r="AF185" s="231"/>
      <c r="AG185" s="231"/>
      <c r="AH185" s="181" t="s">
        <v>139</v>
      </c>
      <c r="AI185" s="181"/>
      <c r="AJ185" s="231"/>
      <c r="AK185" s="231"/>
      <c r="AL185" s="181"/>
      <c r="AM185" s="181"/>
      <c r="AN185" s="185" t="s">
        <v>1538</v>
      </c>
      <c r="AO185" s="185" t="s">
        <v>5150</v>
      </c>
      <c r="AP185" s="181"/>
      <c r="AQ185" s="181" t="s">
        <v>1546</v>
      </c>
      <c r="AR185" s="181" t="s">
        <v>227</v>
      </c>
      <c r="AS185" s="181" t="s">
        <v>227</v>
      </c>
      <c r="AT185" s="181" t="s">
        <v>1582</v>
      </c>
      <c r="AU185" s="181" t="s">
        <v>5150</v>
      </c>
      <c r="AV185" s="185" t="s">
        <v>479</v>
      </c>
      <c r="AW185" s="181" t="s">
        <v>1582</v>
      </c>
      <c r="AX185" s="185" t="s">
        <v>479</v>
      </c>
      <c r="AY185" s="181" t="s">
        <v>176</v>
      </c>
      <c r="AZ185" s="181" t="s">
        <v>216</v>
      </c>
      <c r="BA185" s="181" t="s">
        <v>216</v>
      </c>
      <c r="BB185" s="181" t="s">
        <v>2082</v>
      </c>
      <c r="BC185" s="181" t="s">
        <v>2082</v>
      </c>
      <c r="BD185" s="181" t="s">
        <v>176</v>
      </c>
      <c r="BE185" s="226"/>
      <c r="BF185" s="181"/>
      <c r="BG185" s="181"/>
      <c r="BH185" s="226"/>
      <c r="BI185" s="181"/>
      <c r="BJ185" s="181"/>
      <c r="BK185" s="181" t="s">
        <v>6269</v>
      </c>
      <c r="BL185" s="181"/>
      <c r="BM185" s="192" t="s">
        <v>119</v>
      </c>
      <c r="BN185" s="181"/>
      <c r="BO185" s="181"/>
      <c r="BP185" s="181"/>
      <c r="BQ185" s="181"/>
      <c r="BR185" s="181">
        <v>3535</v>
      </c>
      <c r="BS185" s="181"/>
      <c r="BT185" s="181"/>
      <c r="BU185" s="181" t="s">
        <v>279</v>
      </c>
      <c r="BV185" s="181"/>
      <c r="BW185" s="232"/>
      <c r="BX185" s="232"/>
      <c r="BY185" s="232"/>
      <c r="BZ185" s="232"/>
      <c r="CA185" s="232"/>
      <c r="CB185" s="183"/>
      <c r="CC185" s="183"/>
      <c r="CD185" s="183"/>
      <c r="CE185" s="232"/>
      <c r="CF185" s="232"/>
      <c r="CG185" s="232"/>
      <c r="CH185" s="231"/>
      <c r="CI185" s="231"/>
      <c r="CJ185" s="232"/>
      <c r="CK185" s="232"/>
      <c r="CL185" s="232"/>
      <c r="CM185" s="232"/>
      <c r="CN185" s="232"/>
      <c r="CO185" s="232"/>
      <c r="CP185" s="232"/>
      <c r="CQ185" s="232"/>
      <c r="CR185" s="232"/>
      <c r="CS185" s="232"/>
      <c r="CT185" s="232"/>
      <c r="CU185" s="232"/>
      <c r="CV185" s="232"/>
      <c r="CW185" s="232"/>
      <c r="CX185" s="232"/>
      <c r="CY185" s="232"/>
      <c r="CZ185" s="232"/>
      <c r="DA185" s="232"/>
      <c r="DB185" s="232"/>
      <c r="DC185" s="232"/>
      <c r="DD185" s="232"/>
      <c r="DE185" s="232"/>
      <c r="DF185" s="232"/>
      <c r="DG185" s="232"/>
      <c r="DH185" s="232"/>
      <c r="DI185" s="232"/>
      <c r="DJ185" s="232"/>
      <c r="DK185" s="232"/>
      <c r="DL185" s="232"/>
      <c r="DM185" s="232"/>
      <c r="DN185" s="232"/>
      <c r="DO185" s="232"/>
      <c r="DP185" s="232"/>
      <c r="DQ185" s="233"/>
      <c r="DR185" s="233"/>
      <c r="DS185" s="232"/>
      <c r="DT185" s="232"/>
      <c r="DU185" s="232"/>
      <c r="DV185" s="232"/>
      <c r="DW185" s="232"/>
      <c r="DX185" s="232"/>
      <c r="DY185" s="232"/>
      <c r="DZ185" s="232"/>
      <c r="EA185" s="232"/>
      <c r="EB185" s="232"/>
      <c r="EC185" s="232"/>
      <c r="ED185" s="232"/>
      <c r="EE185" s="232"/>
      <c r="EF185" s="232"/>
      <c r="EG185" s="232"/>
      <c r="EH185" s="232"/>
      <c r="EI185" s="232"/>
      <c r="EJ185" s="232"/>
      <c r="EK185" s="231"/>
      <c r="EL185" s="231"/>
      <c r="EM185" s="232"/>
      <c r="EN185" s="232"/>
      <c r="EO185" s="232"/>
      <c r="EP185" s="232"/>
      <c r="EQ185" s="232"/>
      <c r="ER185" s="232"/>
      <c r="ES185" s="232"/>
      <c r="ET185" s="232"/>
      <c r="EU185" s="232"/>
      <c r="EV185" s="232"/>
      <c r="EW185" s="232"/>
      <c r="EX185" s="232"/>
      <c r="EY185" s="232"/>
      <c r="EZ185" s="232"/>
      <c r="FA185" s="232"/>
      <c r="FB185" s="232"/>
      <c r="FC185" s="232"/>
      <c r="FD185" s="232"/>
      <c r="FE185" s="232"/>
      <c r="FF185" s="232"/>
      <c r="FG185" s="232"/>
      <c r="FH185" s="232"/>
      <c r="FI185" s="232"/>
      <c r="FJ185" s="232"/>
      <c r="FK185" s="232"/>
      <c r="FL185" s="232"/>
      <c r="FM185" s="232"/>
      <c r="FN185" s="232"/>
      <c r="FO185" s="232"/>
      <c r="FP185" s="232"/>
      <c r="FQ185" s="232"/>
      <c r="FR185" s="232"/>
      <c r="FS185" s="232"/>
      <c r="FT185" s="232"/>
      <c r="FU185" s="232"/>
      <c r="FV185" s="232"/>
      <c r="FW185" s="232"/>
      <c r="FX185" s="232"/>
      <c r="FY185" s="232"/>
      <c r="FZ185" s="232"/>
      <c r="GA185" s="232"/>
      <c r="GB185" s="232"/>
      <c r="GC185" s="232"/>
      <c r="GD185" s="232"/>
      <c r="GE185" s="232"/>
      <c r="GF185" s="232"/>
      <c r="GG185" s="232"/>
      <c r="GH185" s="232"/>
      <c r="GI185" s="232"/>
      <c r="GJ185" s="232"/>
      <c r="GK185" s="232"/>
      <c r="GL185" s="232"/>
      <c r="GM185" s="232"/>
      <c r="GN185" s="294">
        <v>569</v>
      </c>
      <c r="GO185" s="294">
        <v>286</v>
      </c>
      <c r="GP185" s="292" t="s">
        <v>5150</v>
      </c>
      <c r="GQ185" s="232"/>
      <c r="GR185" s="232"/>
      <c r="GS185" s="232"/>
      <c r="GT185" s="232"/>
      <c r="GU185" s="232"/>
      <c r="GV185" s="232"/>
      <c r="GW185" s="232"/>
      <c r="GX185" s="232"/>
      <c r="GY185" s="232"/>
      <c r="GZ185" s="232"/>
      <c r="HA185" s="232"/>
      <c r="HB185" s="232"/>
      <c r="HC185" s="232"/>
      <c r="HD185" s="232"/>
      <c r="HE185" s="232"/>
      <c r="HF185" s="232"/>
      <c r="HG185" s="232"/>
      <c r="HH185" s="232"/>
      <c r="HI185" s="232"/>
      <c r="HJ185" s="232"/>
      <c r="HK185" s="232"/>
      <c r="HL185" s="232"/>
      <c r="HM185" s="232"/>
      <c r="HN185" s="232"/>
      <c r="HO185" s="232"/>
      <c r="HP185" s="232"/>
      <c r="HQ185" s="232"/>
      <c r="HR185" s="232"/>
      <c r="HS185" s="233"/>
      <c r="HT185" s="232"/>
      <c r="HU185" s="232"/>
      <c r="HV185" s="232"/>
      <c r="HW185" s="233"/>
      <c r="HX185" s="232"/>
      <c r="HY185" s="232"/>
      <c r="HZ185" s="232"/>
      <c r="IA185" s="232"/>
      <c r="IB185" s="232"/>
      <c r="IC185" s="232"/>
      <c r="ID185" s="232"/>
      <c r="IE185" s="232"/>
      <c r="IF185" s="232"/>
      <c r="IG185" s="232"/>
      <c r="IH185" s="232"/>
      <c r="II185" s="232"/>
      <c r="IJ185" s="232"/>
      <c r="IK185" s="232"/>
      <c r="IL185" s="232"/>
      <c r="IM185" s="232"/>
      <c r="IN185" s="232"/>
      <c r="IO185" s="232"/>
      <c r="IP185" s="232"/>
      <c r="IQ185" s="232"/>
      <c r="IR185" s="232"/>
      <c r="IS185" s="232"/>
      <c r="IT185" s="232"/>
      <c r="IU185" s="232"/>
      <c r="IV185" s="232"/>
      <c r="IW185" s="232"/>
      <c r="IX185" s="232"/>
      <c r="IY185" s="232"/>
      <c r="IZ185" s="232"/>
      <c r="JA185" s="232"/>
      <c r="JB185" s="232"/>
      <c r="JC185" s="232"/>
      <c r="JD185" s="232"/>
      <c r="JE185" s="232"/>
      <c r="JF185" s="232"/>
      <c r="JG185" s="232"/>
      <c r="JH185" s="232"/>
      <c r="JI185" s="232"/>
      <c r="JJ185" s="232"/>
      <c r="JK185" s="232"/>
      <c r="JL185" s="232"/>
      <c r="JM185" s="232"/>
      <c r="JN185" s="232"/>
      <c r="JO185" s="232"/>
      <c r="JP185" s="232"/>
      <c r="JQ185" s="232"/>
      <c r="JR185" s="232"/>
      <c r="JS185" s="232"/>
      <c r="JT185" s="232"/>
      <c r="JU185" s="181" t="s">
        <v>683</v>
      </c>
      <c r="JV185" s="181"/>
      <c r="JW185" s="181"/>
    </row>
    <row r="186" spans="1:283" s="229" customFormat="1" x14ac:dyDescent="0.25">
      <c r="A186" s="181">
        <v>185</v>
      </c>
      <c r="B186" s="229" t="s">
        <v>7067</v>
      </c>
      <c r="C186" s="230">
        <v>14</v>
      </c>
      <c r="D186" s="181" t="s">
        <v>3741</v>
      </c>
      <c r="E186" s="231" t="s">
        <v>273</v>
      </c>
      <c r="F186" s="231"/>
      <c r="G186" s="181" t="s">
        <v>274</v>
      </c>
      <c r="H186" s="181">
        <v>2011</v>
      </c>
      <c r="I186" s="181">
        <v>2008</v>
      </c>
      <c r="J186" s="181" t="s">
        <v>276</v>
      </c>
      <c r="K186" s="181" t="s">
        <v>275</v>
      </c>
      <c r="L186" s="181" t="s">
        <v>2737</v>
      </c>
      <c r="M186" s="231">
        <v>46.88</v>
      </c>
      <c r="N186" s="231">
        <v>-102.79</v>
      </c>
      <c r="O186" s="231">
        <v>735.8</v>
      </c>
      <c r="P186" s="181"/>
      <c r="Q186" s="181"/>
      <c r="R186" s="181"/>
      <c r="S186" s="231"/>
      <c r="T186" s="181"/>
      <c r="U186" s="181" t="s">
        <v>1821</v>
      </c>
      <c r="V186" s="181" t="s">
        <v>1820</v>
      </c>
      <c r="W186" s="181"/>
      <c r="X186" s="181"/>
      <c r="Y186" s="181" t="s">
        <v>1819</v>
      </c>
      <c r="Z186" s="181" t="s">
        <v>1344</v>
      </c>
      <c r="AA186" s="231" t="s">
        <v>1344</v>
      </c>
      <c r="AB186" s="232"/>
      <c r="AC186" s="232"/>
      <c r="AD186" s="231"/>
      <c r="AE186" s="231"/>
      <c r="AF186" s="231"/>
      <c r="AG186" s="231"/>
      <c r="AH186" s="181" t="s">
        <v>139</v>
      </c>
      <c r="AI186" s="181"/>
      <c r="AJ186" s="231"/>
      <c r="AK186" s="231"/>
      <c r="AL186" s="181"/>
      <c r="AM186" s="181"/>
      <c r="AN186" s="185" t="s">
        <v>1538</v>
      </c>
      <c r="AO186" s="185" t="s">
        <v>5150</v>
      </c>
      <c r="AP186" s="181"/>
      <c r="AQ186" s="181" t="s">
        <v>1546</v>
      </c>
      <c r="AR186" s="181" t="s">
        <v>227</v>
      </c>
      <c r="AS186" s="181" t="s">
        <v>227</v>
      </c>
      <c r="AT186" s="181" t="s">
        <v>1582</v>
      </c>
      <c r="AU186" s="181" t="s">
        <v>5150</v>
      </c>
      <c r="AV186" s="185" t="s">
        <v>479</v>
      </c>
      <c r="AW186" s="181" t="s">
        <v>1582</v>
      </c>
      <c r="AX186" s="185" t="s">
        <v>479</v>
      </c>
      <c r="AY186" s="181" t="s">
        <v>176</v>
      </c>
      <c r="AZ186" s="181" t="s">
        <v>216</v>
      </c>
      <c r="BA186" s="181" t="s">
        <v>216</v>
      </c>
      <c r="BB186" s="181" t="s">
        <v>2082</v>
      </c>
      <c r="BC186" s="181" t="s">
        <v>2082</v>
      </c>
      <c r="BD186" s="181" t="s">
        <v>176</v>
      </c>
      <c r="BE186" s="226"/>
      <c r="BF186" s="181"/>
      <c r="BG186" s="181"/>
      <c r="BH186" s="226"/>
      <c r="BI186" s="181"/>
      <c r="BJ186" s="181"/>
      <c r="BK186" s="181" t="s">
        <v>6269</v>
      </c>
      <c r="BL186" s="181"/>
      <c r="BM186" s="192" t="s">
        <v>119</v>
      </c>
      <c r="BN186" s="181"/>
      <c r="BO186" s="181"/>
      <c r="BP186" s="181"/>
      <c r="BQ186" s="181"/>
      <c r="BR186" s="181">
        <v>2765</v>
      </c>
      <c r="BS186" s="181"/>
      <c r="BT186" s="181"/>
      <c r="BU186" s="181" t="s">
        <v>277</v>
      </c>
      <c r="BV186" s="181"/>
      <c r="BW186" s="232"/>
      <c r="BX186" s="232"/>
      <c r="BY186" s="232"/>
      <c r="BZ186" s="232"/>
      <c r="CA186" s="232"/>
      <c r="CB186" s="183"/>
      <c r="CC186" s="183"/>
      <c r="CD186" s="183"/>
      <c r="CE186" s="232"/>
      <c r="CF186" s="232"/>
      <c r="CG186" s="232"/>
      <c r="CH186" s="231"/>
      <c r="CI186" s="231"/>
      <c r="CJ186" s="232"/>
      <c r="CK186" s="232"/>
      <c r="CL186" s="232"/>
      <c r="CM186" s="232"/>
      <c r="CN186" s="232"/>
      <c r="CO186" s="232"/>
      <c r="CP186" s="232"/>
      <c r="CQ186" s="232"/>
      <c r="CR186" s="232"/>
      <c r="CS186" s="232"/>
      <c r="CT186" s="232"/>
      <c r="CU186" s="232"/>
      <c r="CV186" s="232"/>
      <c r="CW186" s="232"/>
      <c r="CX186" s="232"/>
      <c r="CY186" s="232"/>
      <c r="CZ186" s="232"/>
      <c r="DA186" s="232"/>
      <c r="DB186" s="232"/>
      <c r="DC186" s="232"/>
      <c r="DD186" s="232"/>
      <c r="DE186" s="232"/>
      <c r="DF186" s="232"/>
      <c r="DG186" s="232"/>
      <c r="DH186" s="232"/>
      <c r="DI186" s="232"/>
      <c r="DJ186" s="232"/>
      <c r="DK186" s="232"/>
      <c r="DL186" s="232"/>
      <c r="DM186" s="232"/>
      <c r="DN186" s="232"/>
      <c r="DO186" s="232"/>
      <c r="DP186" s="232"/>
      <c r="DQ186" s="233"/>
      <c r="DR186" s="233"/>
      <c r="DS186" s="232"/>
      <c r="DT186" s="232"/>
      <c r="DU186" s="232"/>
      <c r="DV186" s="232"/>
      <c r="DW186" s="232"/>
      <c r="DX186" s="232"/>
      <c r="DY186" s="232"/>
      <c r="DZ186" s="232"/>
      <c r="EA186" s="232"/>
      <c r="EB186" s="232"/>
      <c r="EC186" s="232"/>
      <c r="ED186" s="232"/>
      <c r="EE186" s="232"/>
      <c r="EF186" s="232"/>
      <c r="EG186" s="232"/>
      <c r="EH186" s="232"/>
      <c r="EI186" s="232"/>
      <c r="EJ186" s="232"/>
      <c r="EK186" s="231"/>
      <c r="EL186" s="231"/>
      <c r="EM186" s="232"/>
      <c r="EN186" s="232"/>
      <c r="EO186" s="232"/>
      <c r="EP186" s="232"/>
      <c r="EQ186" s="232"/>
      <c r="ER186" s="232"/>
      <c r="ES186" s="232"/>
      <c r="ET186" s="232"/>
      <c r="EU186" s="232"/>
      <c r="EV186" s="232"/>
      <c r="EW186" s="232"/>
      <c r="EX186" s="232"/>
      <c r="EY186" s="232"/>
      <c r="EZ186" s="232"/>
      <c r="FA186" s="232"/>
      <c r="FB186" s="232"/>
      <c r="FC186" s="232"/>
      <c r="FD186" s="232"/>
      <c r="FE186" s="232"/>
      <c r="FF186" s="232"/>
      <c r="FG186" s="232"/>
      <c r="FH186" s="232"/>
      <c r="FI186" s="232"/>
      <c r="FJ186" s="232"/>
      <c r="FK186" s="232"/>
      <c r="FL186" s="232"/>
      <c r="FM186" s="232"/>
      <c r="FN186" s="232"/>
      <c r="FO186" s="232"/>
      <c r="FP186" s="232"/>
      <c r="FQ186" s="232"/>
      <c r="FR186" s="232"/>
      <c r="FS186" s="232"/>
      <c r="FT186" s="232"/>
      <c r="FU186" s="232"/>
      <c r="FV186" s="232"/>
      <c r="FW186" s="232"/>
      <c r="FX186" s="232"/>
      <c r="FY186" s="232"/>
      <c r="FZ186" s="232"/>
      <c r="GA186" s="232"/>
      <c r="GB186" s="232"/>
      <c r="GC186" s="232"/>
      <c r="GD186" s="232"/>
      <c r="GE186" s="232"/>
      <c r="GF186" s="232"/>
      <c r="GG186" s="232"/>
      <c r="GH186" s="232"/>
      <c r="GI186" s="232"/>
      <c r="GJ186" s="232"/>
      <c r="GK186" s="232"/>
      <c r="GL186" s="232"/>
      <c r="GM186" s="232"/>
      <c r="GN186" s="294">
        <v>309</v>
      </c>
      <c r="GO186" s="294">
        <v>172</v>
      </c>
      <c r="GP186" s="292" t="s">
        <v>5150</v>
      </c>
      <c r="GQ186" s="232"/>
      <c r="GR186" s="232"/>
      <c r="GS186" s="232"/>
      <c r="GT186" s="232"/>
      <c r="GU186" s="232"/>
      <c r="GV186" s="232"/>
      <c r="GW186" s="232"/>
      <c r="GX186" s="232"/>
      <c r="GY186" s="232"/>
      <c r="GZ186" s="232"/>
      <c r="HA186" s="232"/>
      <c r="HB186" s="232"/>
      <c r="HC186" s="232"/>
      <c r="HD186" s="232"/>
      <c r="HE186" s="232"/>
      <c r="HF186" s="232"/>
      <c r="HG186" s="232"/>
      <c r="HH186" s="232"/>
      <c r="HI186" s="232"/>
      <c r="HJ186" s="232"/>
      <c r="HK186" s="232"/>
      <c r="HL186" s="232"/>
      <c r="HM186" s="232"/>
      <c r="HN186" s="232"/>
      <c r="HO186" s="232"/>
      <c r="HP186" s="232"/>
      <c r="HQ186" s="232"/>
      <c r="HR186" s="232"/>
      <c r="HS186" s="233"/>
      <c r="HT186" s="232"/>
      <c r="HU186" s="232"/>
      <c r="HV186" s="232"/>
      <c r="HW186" s="233"/>
      <c r="HX186" s="232"/>
      <c r="HY186" s="232"/>
      <c r="HZ186" s="232"/>
      <c r="IA186" s="232"/>
      <c r="IB186" s="232"/>
      <c r="IC186" s="232"/>
      <c r="ID186" s="232"/>
      <c r="IE186" s="232"/>
      <c r="IF186" s="232"/>
      <c r="IG186" s="232"/>
      <c r="IH186" s="232"/>
      <c r="II186" s="232"/>
      <c r="IJ186" s="232"/>
      <c r="IK186" s="232"/>
      <c r="IL186" s="232"/>
      <c r="IM186" s="232"/>
      <c r="IN186" s="232"/>
      <c r="IO186" s="232"/>
      <c r="IP186" s="232"/>
      <c r="IQ186" s="232"/>
      <c r="IR186" s="232"/>
      <c r="IS186" s="232"/>
      <c r="IT186" s="232"/>
      <c r="IU186" s="232"/>
      <c r="IV186" s="232"/>
      <c r="IW186" s="232"/>
      <c r="IX186" s="232"/>
      <c r="IY186" s="232"/>
      <c r="IZ186" s="232"/>
      <c r="JA186" s="232"/>
      <c r="JB186" s="232"/>
      <c r="JC186" s="232"/>
      <c r="JD186" s="232"/>
      <c r="JE186" s="232"/>
      <c r="JF186" s="232"/>
      <c r="JG186" s="232"/>
      <c r="JH186" s="232"/>
      <c r="JI186" s="232"/>
      <c r="JJ186" s="232"/>
      <c r="JK186" s="232"/>
      <c r="JL186" s="232"/>
      <c r="JM186" s="232"/>
      <c r="JN186" s="232"/>
      <c r="JO186" s="232"/>
      <c r="JP186" s="232"/>
      <c r="JQ186" s="232"/>
      <c r="JR186" s="232"/>
      <c r="JS186" s="232"/>
      <c r="JT186" s="232"/>
      <c r="JU186" s="181" t="s">
        <v>683</v>
      </c>
      <c r="JV186" s="181"/>
      <c r="JW186" s="181"/>
    </row>
    <row r="187" spans="1:283" s="229" customFormat="1" x14ac:dyDescent="0.25">
      <c r="A187" s="181">
        <v>186</v>
      </c>
      <c r="B187" s="229" t="s">
        <v>7067</v>
      </c>
      <c r="C187" s="230">
        <v>14</v>
      </c>
      <c r="D187" s="181" t="s">
        <v>3742</v>
      </c>
      <c r="E187" s="231" t="s">
        <v>273</v>
      </c>
      <c r="F187" s="231"/>
      <c r="G187" s="181" t="s">
        <v>274</v>
      </c>
      <c r="H187" s="181">
        <v>2011</v>
      </c>
      <c r="I187" s="181">
        <v>2008</v>
      </c>
      <c r="J187" s="181" t="s">
        <v>276</v>
      </c>
      <c r="K187" s="181" t="s">
        <v>275</v>
      </c>
      <c r="L187" s="181" t="s">
        <v>2737</v>
      </c>
      <c r="M187" s="231">
        <v>46.88</v>
      </c>
      <c r="N187" s="231">
        <v>-102.79</v>
      </c>
      <c r="O187" s="231">
        <v>735.8</v>
      </c>
      <c r="P187" s="181"/>
      <c r="Q187" s="181"/>
      <c r="R187" s="181"/>
      <c r="S187" s="231"/>
      <c r="T187" s="181"/>
      <c r="U187" s="181" t="s">
        <v>1821</v>
      </c>
      <c r="V187" s="181" t="s">
        <v>1820</v>
      </c>
      <c r="W187" s="181"/>
      <c r="X187" s="181"/>
      <c r="Y187" s="181" t="s">
        <v>1819</v>
      </c>
      <c r="Z187" s="181" t="s">
        <v>1344</v>
      </c>
      <c r="AA187" s="231" t="s">
        <v>1344</v>
      </c>
      <c r="AB187" s="232"/>
      <c r="AC187" s="232"/>
      <c r="AD187" s="231"/>
      <c r="AE187" s="231"/>
      <c r="AF187" s="231"/>
      <c r="AG187" s="231"/>
      <c r="AH187" s="181" t="s">
        <v>139</v>
      </c>
      <c r="AI187" s="181"/>
      <c r="AJ187" s="231"/>
      <c r="AK187" s="231"/>
      <c r="AL187" s="181"/>
      <c r="AM187" s="181"/>
      <c r="AN187" s="185" t="s">
        <v>1538</v>
      </c>
      <c r="AO187" s="185" t="s">
        <v>5150</v>
      </c>
      <c r="AP187" s="181"/>
      <c r="AQ187" s="181" t="s">
        <v>1546</v>
      </c>
      <c r="AR187" s="181" t="s">
        <v>227</v>
      </c>
      <c r="AS187" s="181" t="s">
        <v>227</v>
      </c>
      <c r="AT187" s="181" t="s">
        <v>1582</v>
      </c>
      <c r="AU187" s="181" t="s">
        <v>5150</v>
      </c>
      <c r="AV187" s="185" t="s">
        <v>479</v>
      </c>
      <c r="AW187" s="181" t="s">
        <v>1582</v>
      </c>
      <c r="AX187" s="185" t="s">
        <v>479</v>
      </c>
      <c r="AY187" s="181" t="s">
        <v>176</v>
      </c>
      <c r="AZ187" s="181" t="s">
        <v>216</v>
      </c>
      <c r="BA187" s="181" t="s">
        <v>216</v>
      </c>
      <c r="BB187" s="181" t="s">
        <v>2082</v>
      </c>
      <c r="BC187" s="181" t="s">
        <v>2082</v>
      </c>
      <c r="BD187" s="181" t="s">
        <v>176</v>
      </c>
      <c r="BE187" s="226"/>
      <c r="BF187" s="181"/>
      <c r="BG187" s="181"/>
      <c r="BH187" s="226"/>
      <c r="BI187" s="181"/>
      <c r="BJ187" s="181"/>
      <c r="BK187" s="181" t="s">
        <v>6269</v>
      </c>
      <c r="BL187" s="181"/>
      <c r="BM187" s="192" t="s">
        <v>119</v>
      </c>
      <c r="BN187" s="181"/>
      <c r="BO187" s="181"/>
      <c r="BP187" s="181"/>
      <c r="BQ187" s="181"/>
      <c r="BR187" s="181">
        <v>2765</v>
      </c>
      <c r="BS187" s="181"/>
      <c r="BT187" s="181"/>
      <c r="BU187" s="181" t="s">
        <v>278</v>
      </c>
      <c r="BV187" s="181"/>
      <c r="BW187" s="232"/>
      <c r="BX187" s="232"/>
      <c r="BY187" s="232"/>
      <c r="BZ187" s="232"/>
      <c r="CA187" s="232"/>
      <c r="CB187" s="183"/>
      <c r="CC187" s="183"/>
      <c r="CD187" s="183"/>
      <c r="CE187" s="232"/>
      <c r="CF187" s="232"/>
      <c r="CG187" s="232"/>
      <c r="CH187" s="231"/>
      <c r="CI187" s="231"/>
      <c r="CJ187" s="232"/>
      <c r="CK187" s="232"/>
      <c r="CL187" s="232"/>
      <c r="CM187" s="232"/>
      <c r="CN187" s="232"/>
      <c r="CO187" s="232"/>
      <c r="CP187" s="232"/>
      <c r="CQ187" s="232"/>
      <c r="CR187" s="232"/>
      <c r="CS187" s="232"/>
      <c r="CT187" s="232"/>
      <c r="CU187" s="232"/>
      <c r="CV187" s="232"/>
      <c r="CW187" s="232"/>
      <c r="CX187" s="232"/>
      <c r="CY187" s="232"/>
      <c r="CZ187" s="232"/>
      <c r="DA187" s="232"/>
      <c r="DB187" s="232"/>
      <c r="DC187" s="232"/>
      <c r="DD187" s="232"/>
      <c r="DE187" s="232"/>
      <c r="DF187" s="232"/>
      <c r="DG187" s="232"/>
      <c r="DH187" s="232"/>
      <c r="DI187" s="232"/>
      <c r="DJ187" s="232"/>
      <c r="DK187" s="232"/>
      <c r="DL187" s="232"/>
      <c r="DM187" s="232"/>
      <c r="DN187" s="232"/>
      <c r="DO187" s="232"/>
      <c r="DP187" s="232"/>
      <c r="DQ187" s="233"/>
      <c r="DR187" s="233"/>
      <c r="DS187" s="232"/>
      <c r="DT187" s="232"/>
      <c r="DU187" s="232"/>
      <c r="DV187" s="232"/>
      <c r="DW187" s="232"/>
      <c r="DX187" s="232"/>
      <c r="DY187" s="232"/>
      <c r="DZ187" s="232"/>
      <c r="EA187" s="232"/>
      <c r="EB187" s="232"/>
      <c r="EC187" s="232"/>
      <c r="ED187" s="232"/>
      <c r="EE187" s="232"/>
      <c r="EF187" s="232"/>
      <c r="EG187" s="232"/>
      <c r="EH187" s="232"/>
      <c r="EI187" s="232"/>
      <c r="EJ187" s="232"/>
      <c r="EK187" s="231"/>
      <c r="EL187" s="231"/>
      <c r="EM187" s="232"/>
      <c r="EN187" s="232"/>
      <c r="EO187" s="232"/>
      <c r="EP187" s="232"/>
      <c r="EQ187" s="232"/>
      <c r="ER187" s="232"/>
      <c r="ES187" s="232"/>
      <c r="ET187" s="232"/>
      <c r="EU187" s="232"/>
      <c r="EV187" s="232"/>
      <c r="EW187" s="232"/>
      <c r="EX187" s="232"/>
      <c r="EY187" s="232"/>
      <c r="EZ187" s="232"/>
      <c r="FA187" s="232"/>
      <c r="FB187" s="232"/>
      <c r="FC187" s="232"/>
      <c r="FD187" s="232"/>
      <c r="FE187" s="232"/>
      <c r="FF187" s="232"/>
      <c r="FG187" s="232"/>
      <c r="FH187" s="232"/>
      <c r="FI187" s="232"/>
      <c r="FJ187" s="232"/>
      <c r="FK187" s="232"/>
      <c r="FL187" s="232"/>
      <c r="FM187" s="232"/>
      <c r="FN187" s="232"/>
      <c r="FO187" s="232"/>
      <c r="FP187" s="232"/>
      <c r="FQ187" s="232"/>
      <c r="FR187" s="232"/>
      <c r="FS187" s="232"/>
      <c r="FT187" s="232"/>
      <c r="FU187" s="232"/>
      <c r="FV187" s="232"/>
      <c r="FW187" s="232"/>
      <c r="FX187" s="232"/>
      <c r="FY187" s="232"/>
      <c r="FZ187" s="232"/>
      <c r="GA187" s="232"/>
      <c r="GB187" s="232"/>
      <c r="GC187" s="232"/>
      <c r="GD187" s="232"/>
      <c r="GE187" s="232"/>
      <c r="GF187" s="232"/>
      <c r="GG187" s="232"/>
      <c r="GH187" s="232"/>
      <c r="GI187" s="232"/>
      <c r="GJ187" s="232"/>
      <c r="GK187" s="232"/>
      <c r="GL187" s="232"/>
      <c r="GM187" s="232"/>
      <c r="GN187" s="294">
        <v>196</v>
      </c>
      <c r="GO187" s="294">
        <v>172</v>
      </c>
      <c r="GP187" s="292" t="s">
        <v>5150</v>
      </c>
      <c r="GQ187" s="232"/>
      <c r="GR187" s="232"/>
      <c r="GS187" s="232"/>
      <c r="GT187" s="232"/>
      <c r="GU187" s="232"/>
      <c r="GV187" s="232"/>
      <c r="GW187" s="232"/>
      <c r="GX187" s="232"/>
      <c r="GY187" s="232"/>
      <c r="GZ187" s="232"/>
      <c r="HA187" s="232"/>
      <c r="HB187" s="232"/>
      <c r="HC187" s="232"/>
      <c r="HD187" s="232"/>
      <c r="HE187" s="232"/>
      <c r="HF187" s="232"/>
      <c r="HG187" s="232"/>
      <c r="HH187" s="232"/>
      <c r="HI187" s="232"/>
      <c r="HJ187" s="232"/>
      <c r="HK187" s="232"/>
      <c r="HL187" s="232"/>
      <c r="HM187" s="232"/>
      <c r="HN187" s="232"/>
      <c r="HO187" s="232"/>
      <c r="HP187" s="232"/>
      <c r="HQ187" s="232"/>
      <c r="HR187" s="232"/>
      <c r="HS187" s="233"/>
      <c r="HT187" s="232"/>
      <c r="HU187" s="232"/>
      <c r="HV187" s="232"/>
      <c r="HW187" s="233"/>
      <c r="HX187" s="232"/>
      <c r="HY187" s="232"/>
      <c r="HZ187" s="232"/>
      <c r="IA187" s="232"/>
      <c r="IB187" s="232"/>
      <c r="IC187" s="232"/>
      <c r="ID187" s="232"/>
      <c r="IE187" s="232"/>
      <c r="IF187" s="232"/>
      <c r="IG187" s="232"/>
      <c r="IH187" s="232"/>
      <c r="II187" s="232"/>
      <c r="IJ187" s="232"/>
      <c r="IK187" s="232"/>
      <c r="IL187" s="232"/>
      <c r="IM187" s="232"/>
      <c r="IN187" s="232"/>
      <c r="IO187" s="232"/>
      <c r="IP187" s="232"/>
      <c r="IQ187" s="232"/>
      <c r="IR187" s="232"/>
      <c r="IS187" s="232"/>
      <c r="IT187" s="232"/>
      <c r="IU187" s="232"/>
      <c r="IV187" s="232"/>
      <c r="IW187" s="232"/>
      <c r="IX187" s="232"/>
      <c r="IY187" s="232"/>
      <c r="IZ187" s="232"/>
      <c r="JA187" s="232"/>
      <c r="JB187" s="232"/>
      <c r="JC187" s="232"/>
      <c r="JD187" s="232"/>
      <c r="JE187" s="232"/>
      <c r="JF187" s="232"/>
      <c r="JG187" s="232"/>
      <c r="JH187" s="232"/>
      <c r="JI187" s="232"/>
      <c r="JJ187" s="232"/>
      <c r="JK187" s="232"/>
      <c r="JL187" s="232"/>
      <c r="JM187" s="232"/>
      <c r="JN187" s="232"/>
      <c r="JO187" s="232"/>
      <c r="JP187" s="232"/>
      <c r="JQ187" s="232"/>
      <c r="JR187" s="232"/>
      <c r="JS187" s="232"/>
      <c r="JT187" s="232"/>
      <c r="JU187" s="181" t="s">
        <v>683</v>
      </c>
      <c r="JV187" s="181"/>
      <c r="JW187" s="181"/>
    </row>
    <row r="188" spans="1:283" s="229" customFormat="1" x14ac:dyDescent="0.25">
      <c r="A188" s="181">
        <v>187</v>
      </c>
      <c r="B188" s="229" t="s">
        <v>7067</v>
      </c>
      <c r="C188" s="230">
        <v>14</v>
      </c>
      <c r="D188" s="181" t="s">
        <v>3743</v>
      </c>
      <c r="E188" s="231" t="s">
        <v>273</v>
      </c>
      <c r="F188" s="231"/>
      <c r="G188" s="181" t="s">
        <v>274</v>
      </c>
      <c r="H188" s="181">
        <v>2011</v>
      </c>
      <c r="I188" s="181">
        <v>2008</v>
      </c>
      <c r="J188" s="181" t="s">
        <v>276</v>
      </c>
      <c r="K188" s="181" t="s">
        <v>275</v>
      </c>
      <c r="L188" s="181" t="s">
        <v>2737</v>
      </c>
      <c r="M188" s="231">
        <v>46.88</v>
      </c>
      <c r="N188" s="231">
        <v>-102.79</v>
      </c>
      <c r="O188" s="231">
        <v>735.8</v>
      </c>
      <c r="P188" s="181"/>
      <c r="Q188" s="181"/>
      <c r="R188" s="181"/>
      <c r="S188" s="231"/>
      <c r="T188" s="181"/>
      <c r="U188" s="181" t="s">
        <v>1821</v>
      </c>
      <c r="V188" s="181" t="s">
        <v>1820</v>
      </c>
      <c r="W188" s="181"/>
      <c r="X188" s="181"/>
      <c r="Y188" s="181" t="s">
        <v>1819</v>
      </c>
      <c r="Z188" s="181" t="s">
        <v>1344</v>
      </c>
      <c r="AA188" s="231" t="s">
        <v>1344</v>
      </c>
      <c r="AB188" s="232"/>
      <c r="AC188" s="232"/>
      <c r="AD188" s="231"/>
      <c r="AE188" s="231"/>
      <c r="AF188" s="231"/>
      <c r="AG188" s="231"/>
      <c r="AH188" s="181" t="s">
        <v>139</v>
      </c>
      <c r="AI188" s="181"/>
      <c r="AJ188" s="231"/>
      <c r="AK188" s="231"/>
      <c r="AL188" s="181"/>
      <c r="AM188" s="181"/>
      <c r="AN188" s="185" t="s">
        <v>1538</v>
      </c>
      <c r="AO188" s="185" t="s">
        <v>5150</v>
      </c>
      <c r="AP188" s="181"/>
      <c r="AQ188" s="181" t="s">
        <v>1546</v>
      </c>
      <c r="AR188" s="181" t="s">
        <v>227</v>
      </c>
      <c r="AS188" s="181" t="s">
        <v>227</v>
      </c>
      <c r="AT188" s="181" t="s">
        <v>1582</v>
      </c>
      <c r="AU188" s="181" t="s">
        <v>5150</v>
      </c>
      <c r="AV188" s="185" t="s">
        <v>479</v>
      </c>
      <c r="AW188" s="181" t="s">
        <v>1582</v>
      </c>
      <c r="AX188" s="185" t="s">
        <v>479</v>
      </c>
      <c r="AY188" s="181" t="s">
        <v>176</v>
      </c>
      <c r="AZ188" s="181" t="s">
        <v>216</v>
      </c>
      <c r="BA188" s="181" t="s">
        <v>216</v>
      </c>
      <c r="BB188" s="181" t="s">
        <v>2082</v>
      </c>
      <c r="BC188" s="181" t="s">
        <v>2082</v>
      </c>
      <c r="BD188" s="181" t="s">
        <v>176</v>
      </c>
      <c r="BE188" s="226"/>
      <c r="BF188" s="181"/>
      <c r="BG188" s="181"/>
      <c r="BH188" s="226"/>
      <c r="BI188" s="181"/>
      <c r="BJ188" s="181"/>
      <c r="BK188" s="181" t="s">
        <v>6269</v>
      </c>
      <c r="BL188" s="181"/>
      <c r="BM188" s="192" t="s">
        <v>119</v>
      </c>
      <c r="BN188" s="181"/>
      <c r="BO188" s="181"/>
      <c r="BP188" s="181"/>
      <c r="BQ188" s="181"/>
      <c r="BR188" s="181">
        <v>2765</v>
      </c>
      <c r="BS188" s="181"/>
      <c r="BT188" s="181"/>
      <c r="BU188" s="181" t="s">
        <v>279</v>
      </c>
      <c r="BV188" s="181"/>
      <c r="BW188" s="232"/>
      <c r="BX188" s="232"/>
      <c r="BY188" s="232"/>
      <c r="BZ188" s="232"/>
      <c r="CA188" s="232"/>
      <c r="CB188" s="183"/>
      <c r="CC188" s="183"/>
      <c r="CD188" s="183"/>
      <c r="CE188" s="232"/>
      <c r="CF188" s="232"/>
      <c r="CG188" s="232"/>
      <c r="CH188" s="231"/>
      <c r="CI188" s="231"/>
      <c r="CJ188" s="232"/>
      <c r="CK188" s="232"/>
      <c r="CL188" s="232"/>
      <c r="CM188" s="232"/>
      <c r="CN188" s="232"/>
      <c r="CO188" s="232"/>
      <c r="CP188" s="232"/>
      <c r="CQ188" s="232"/>
      <c r="CR188" s="232"/>
      <c r="CS188" s="232"/>
      <c r="CT188" s="232"/>
      <c r="CU188" s="232"/>
      <c r="CV188" s="232"/>
      <c r="CW188" s="232"/>
      <c r="CX188" s="232"/>
      <c r="CY188" s="232"/>
      <c r="CZ188" s="232"/>
      <c r="DA188" s="232"/>
      <c r="DB188" s="232"/>
      <c r="DC188" s="232"/>
      <c r="DD188" s="232"/>
      <c r="DE188" s="232"/>
      <c r="DF188" s="232"/>
      <c r="DG188" s="232"/>
      <c r="DH188" s="232"/>
      <c r="DI188" s="232"/>
      <c r="DJ188" s="232"/>
      <c r="DK188" s="232"/>
      <c r="DL188" s="232"/>
      <c r="DM188" s="232"/>
      <c r="DN188" s="232"/>
      <c r="DO188" s="232"/>
      <c r="DP188" s="232"/>
      <c r="DQ188" s="233"/>
      <c r="DR188" s="233"/>
      <c r="DS188" s="232"/>
      <c r="DT188" s="232"/>
      <c r="DU188" s="232"/>
      <c r="DV188" s="232"/>
      <c r="DW188" s="232"/>
      <c r="DX188" s="232"/>
      <c r="DY188" s="232"/>
      <c r="DZ188" s="232"/>
      <c r="EA188" s="232"/>
      <c r="EB188" s="232"/>
      <c r="EC188" s="232"/>
      <c r="ED188" s="232"/>
      <c r="EE188" s="232"/>
      <c r="EF188" s="232"/>
      <c r="EG188" s="232"/>
      <c r="EH188" s="232"/>
      <c r="EI188" s="232"/>
      <c r="EJ188" s="232"/>
      <c r="EK188" s="231"/>
      <c r="EL188" s="231"/>
      <c r="EM188" s="232"/>
      <c r="EN188" s="232"/>
      <c r="EO188" s="232"/>
      <c r="EP188" s="232"/>
      <c r="EQ188" s="232"/>
      <c r="ER188" s="232"/>
      <c r="ES188" s="232"/>
      <c r="ET188" s="232"/>
      <c r="EU188" s="232"/>
      <c r="EV188" s="232"/>
      <c r="EW188" s="232"/>
      <c r="EX188" s="232"/>
      <c r="EY188" s="232"/>
      <c r="EZ188" s="232"/>
      <c r="FA188" s="232"/>
      <c r="FB188" s="232"/>
      <c r="FC188" s="232"/>
      <c r="FD188" s="232"/>
      <c r="FE188" s="232"/>
      <c r="FF188" s="232"/>
      <c r="FG188" s="232"/>
      <c r="FH188" s="232"/>
      <c r="FI188" s="232"/>
      <c r="FJ188" s="232"/>
      <c r="FK188" s="232"/>
      <c r="FL188" s="232"/>
      <c r="FM188" s="232"/>
      <c r="FN188" s="232"/>
      <c r="FO188" s="232"/>
      <c r="FP188" s="232"/>
      <c r="FQ188" s="232"/>
      <c r="FR188" s="232"/>
      <c r="FS188" s="232"/>
      <c r="FT188" s="232"/>
      <c r="FU188" s="232"/>
      <c r="FV188" s="232"/>
      <c r="FW188" s="232"/>
      <c r="FX188" s="232"/>
      <c r="FY188" s="232"/>
      <c r="FZ188" s="232"/>
      <c r="GA188" s="232"/>
      <c r="GB188" s="232"/>
      <c r="GC188" s="232"/>
      <c r="GD188" s="232"/>
      <c r="GE188" s="232"/>
      <c r="GF188" s="232"/>
      <c r="GG188" s="232"/>
      <c r="GH188" s="232"/>
      <c r="GI188" s="232"/>
      <c r="GJ188" s="232"/>
      <c r="GK188" s="232"/>
      <c r="GL188" s="232"/>
      <c r="GM188" s="232"/>
      <c r="GN188" s="294">
        <v>569</v>
      </c>
      <c r="GO188" s="294">
        <v>172</v>
      </c>
      <c r="GP188" s="292" t="s">
        <v>5150</v>
      </c>
      <c r="GQ188" s="232"/>
      <c r="GR188" s="232"/>
      <c r="GS188" s="232"/>
      <c r="GT188" s="232"/>
      <c r="GU188" s="232"/>
      <c r="GV188" s="232"/>
      <c r="GW188" s="232"/>
      <c r="GX188" s="232"/>
      <c r="GY188" s="232"/>
      <c r="GZ188" s="232"/>
      <c r="HA188" s="232"/>
      <c r="HB188" s="232"/>
      <c r="HC188" s="232"/>
      <c r="HD188" s="232"/>
      <c r="HE188" s="232"/>
      <c r="HF188" s="232"/>
      <c r="HG188" s="232"/>
      <c r="HH188" s="232"/>
      <c r="HI188" s="232"/>
      <c r="HJ188" s="232"/>
      <c r="HK188" s="232"/>
      <c r="HL188" s="232"/>
      <c r="HM188" s="232"/>
      <c r="HN188" s="232"/>
      <c r="HO188" s="232"/>
      <c r="HP188" s="232"/>
      <c r="HQ188" s="232"/>
      <c r="HR188" s="232"/>
      <c r="HS188" s="233"/>
      <c r="HT188" s="232"/>
      <c r="HU188" s="232"/>
      <c r="HV188" s="232"/>
      <c r="HW188" s="233"/>
      <c r="HX188" s="232"/>
      <c r="HY188" s="232"/>
      <c r="HZ188" s="232"/>
      <c r="IA188" s="232"/>
      <c r="IB188" s="232"/>
      <c r="IC188" s="232"/>
      <c r="ID188" s="232"/>
      <c r="IE188" s="232"/>
      <c r="IF188" s="232"/>
      <c r="IG188" s="232"/>
      <c r="IH188" s="232"/>
      <c r="II188" s="232"/>
      <c r="IJ188" s="232"/>
      <c r="IK188" s="232"/>
      <c r="IL188" s="232"/>
      <c r="IM188" s="232"/>
      <c r="IN188" s="232"/>
      <c r="IO188" s="232"/>
      <c r="IP188" s="232"/>
      <c r="IQ188" s="232"/>
      <c r="IR188" s="232"/>
      <c r="IS188" s="232"/>
      <c r="IT188" s="232"/>
      <c r="IU188" s="232"/>
      <c r="IV188" s="232"/>
      <c r="IW188" s="232"/>
      <c r="IX188" s="232"/>
      <c r="IY188" s="232"/>
      <c r="IZ188" s="232"/>
      <c r="JA188" s="232"/>
      <c r="JB188" s="232"/>
      <c r="JC188" s="232"/>
      <c r="JD188" s="232"/>
      <c r="JE188" s="232"/>
      <c r="JF188" s="232"/>
      <c r="JG188" s="232"/>
      <c r="JH188" s="232"/>
      <c r="JI188" s="232"/>
      <c r="JJ188" s="232"/>
      <c r="JK188" s="232"/>
      <c r="JL188" s="232"/>
      <c r="JM188" s="232"/>
      <c r="JN188" s="232"/>
      <c r="JO188" s="232"/>
      <c r="JP188" s="232"/>
      <c r="JQ188" s="232"/>
      <c r="JR188" s="232"/>
      <c r="JS188" s="232"/>
      <c r="JT188" s="232"/>
      <c r="JU188" s="181" t="s">
        <v>683</v>
      </c>
      <c r="JV188" s="181"/>
      <c r="JW188" s="181"/>
    </row>
    <row r="189" spans="1:283" x14ac:dyDescent="0.25">
      <c r="A189" s="55">
        <v>188</v>
      </c>
      <c r="B189" s="12" t="s">
        <v>7067</v>
      </c>
      <c r="C189" s="155">
        <v>14</v>
      </c>
      <c r="D189" s="55" t="s">
        <v>3732</v>
      </c>
      <c r="E189" s="90" t="s">
        <v>273</v>
      </c>
      <c r="G189" s="55" t="s">
        <v>274</v>
      </c>
      <c r="H189" s="55">
        <v>2011</v>
      </c>
      <c r="I189" s="55">
        <v>2009</v>
      </c>
      <c r="J189" s="55" t="s">
        <v>276</v>
      </c>
      <c r="K189" s="55" t="s">
        <v>275</v>
      </c>
      <c r="L189" s="55" t="s">
        <v>2737</v>
      </c>
      <c r="M189" s="90">
        <v>46.88</v>
      </c>
      <c r="N189" s="90">
        <v>-102.79</v>
      </c>
      <c r="O189" s="90">
        <v>735.8</v>
      </c>
      <c r="U189" s="55" t="s">
        <v>1687</v>
      </c>
      <c r="V189" s="55" t="s">
        <v>1820</v>
      </c>
      <c r="Y189" s="55" t="s">
        <v>1819</v>
      </c>
      <c r="Z189" s="55" t="s">
        <v>1344</v>
      </c>
      <c r="AA189" s="90" t="s">
        <v>1344</v>
      </c>
      <c r="AH189" s="55" t="s">
        <v>139</v>
      </c>
      <c r="AN189" s="185" t="s">
        <v>241</v>
      </c>
      <c r="AO189" s="185" t="s">
        <v>5150</v>
      </c>
      <c r="AQ189" s="55" t="s">
        <v>553</v>
      </c>
      <c r="AR189" s="55" t="s">
        <v>227</v>
      </c>
      <c r="AS189" s="55" t="s">
        <v>227</v>
      </c>
      <c r="AT189" s="181" t="s">
        <v>1582</v>
      </c>
      <c r="AU189" s="181" t="s">
        <v>5150</v>
      </c>
      <c r="AV189" s="185" t="s">
        <v>176</v>
      </c>
      <c r="AW189" s="55" t="s">
        <v>1582</v>
      </c>
      <c r="AX189" s="185" t="s">
        <v>176</v>
      </c>
      <c r="AY189" s="55" t="s">
        <v>176</v>
      </c>
      <c r="AZ189" s="55" t="s">
        <v>216</v>
      </c>
      <c r="BA189" s="55" t="s">
        <v>216</v>
      </c>
      <c r="BB189" s="55" t="s">
        <v>2082</v>
      </c>
      <c r="BC189" s="55" t="s">
        <v>2082</v>
      </c>
      <c r="BD189" s="55" t="s">
        <v>176</v>
      </c>
      <c r="BK189" s="55" t="s">
        <v>6269</v>
      </c>
      <c r="BM189" s="192" t="s">
        <v>119</v>
      </c>
      <c r="BR189" s="55">
        <v>702</v>
      </c>
      <c r="BU189" s="55" t="s">
        <v>277</v>
      </c>
      <c r="GN189" s="294">
        <v>589</v>
      </c>
      <c r="GO189" s="294">
        <v>1689</v>
      </c>
      <c r="GP189" s="292" t="s">
        <v>5150</v>
      </c>
      <c r="HS189" s="227"/>
      <c r="HW189" s="227"/>
      <c r="JU189" s="55" t="s">
        <v>683</v>
      </c>
    </row>
    <row r="190" spans="1:283" x14ac:dyDescent="0.25">
      <c r="A190" s="55">
        <v>189</v>
      </c>
      <c r="B190" s="12" t="s">
        <v>7067</v>
      </c>
      <c r="C190" s="155">
        <v>14</v>
      </c>
      <c r="D190" s="55" t="s">
        <v>3733</v>
      </c>
      <c r="E190" s="90" t="s">
        <v>273</v>
      </c>
      <c r="G190" s="55" t="s">
        <v>274</v>
      </c>
      <c r="H190" s="55">
        <v>2011</v>
      </c>
      <c r="I190" s="55">
        <v>2009</v>
      </c>
      <c r="J190" s="55" t="s">
        <v>276</v>
      </c>
      <c r="K190" s="55" t="s">
        <v>275</v>
      </c>
      <c r="L190" s="55" t="s">
        <v>2737</v>
      </c>
      <c r="M190" s="90">
        <v>46.88</v>
      </c>
      <c r="N190" s="90">
        <v>-102.79</v>
      </c>
      <c r="O190" s="90">
        <v>735.8</v>
      </c>
      <c r="U190" s="55" t="s">
        <v>1687</v>
      </c>
      <c r="V190" s="55" t="s">
        <v>1820</v>
      </c>
      <c r="Y190" s="55" t="s">
        <v>1819</v>
      </c>
      <c r="Z190" s="55" t="s">
        <v>1344</v>
      </c>
      <c r="AA190" s="90" t="s">
        <v>1344</v>
      </c>
      <c r="AH190" s="55" t="s">
        <v>139</v>
      </c>
      <c r="AN190" s="185" t="s">
        <v>241</v>
      </c>
      <c r="AO190" s="185" t="s">
        <v>5150</v>
      </c>
      <c r="AQ190" s="55" t="s">
        <v>553</v>
      </c>
      <c r="AR190" s="55" t="s">
        <v>227</v>
      </c>
      <c r="AS190" s="55" t="s">
        <v>227</v>
      </c>
      <c r="AT190" s="181" t="s">
        <v>1582</v>
      </c>
      <c r="AU190" s="181" t="s">
        <v>5150</v>
      </c>
      <c r="AV190" s="185" t="s">
        <v>176</v>
      </c>
      <c r="AW190" s="55" t="s">
        <v>1582</v>
      </c>
      <c r="AX190" s="185" t="s">
        <v>176</v>
      </c>
      <c r="AY190" s="55" t="s">
        <v>176</v>
      </c>
      <c r="AZ190" s="55" t="s">
        <v>216</v>
      </c>
      <c r="BA190" s="55" t="s">
        <v>216</v>
      </c>
      <c r="BB190" s="55" t="s">
        <v>2082</v>
      </c>
      <c r="BC190" s="55" t="s">
        <v>2082</v>
      </c>
      <c r="BD190" s="55" t="s">
        <v>176</v>
      </c>
      <c r="BK190" s="55" t="s">
        <v>6269</v>
      </c>
      <c r="BM190" s="192" t="s">
        <v>119</v>
      </c>
      <c r="BR190" s="55">
        <v>702</v>
      </c>
      <c r="BU190" s="55" t="s">
        <v>278</v>
      </c>
      <c r="GN190" s="294">
        <v>944</v>
      </c>
      <c r="GO190" s="294">
        <v>1689</v>
      </c>
      <c r="GP190" s="292" t="s">
        <v>5150</v>
      </c>
      <c r="HS190" s="227"/>
      <c r="HW190" s="227"/>
      <c r="JU190" s="55" t="s">
        <v>683</v>
      </c>
    </row>
    <row r="191" spans="1:283" x14ac:dyDescent="0.25">
      <c r="A191" s="55">
        <v>190</v>
      </c>
      <c r="B191" s="12" t="s">
        <v>7067</v>
      </c>
      <c r="C191" s="155">
        <v>14</v>
      </c>
      <c r="D191" s="55" t="s">
        <v>3734</v>
      </c>
      <c r="E191" s="90" t="s">
        <v>273</v>
      </c>
      <c r="G191" s="55" t="s">
        <v>274</v>
      </c>
      <c r="H191" s="55">
        <v>2011</v>
      </c>
      <c r="I191" s="55">
        <v>2009</v>
      </c>
      <c r="J191" s="55" t="s">
        <v>276</v>
      </c>
      <c r="K191" s="55" t="s">
        <v>275</v>
      </c>
      <c r="L191" s="55" t="s">
        <v>2737</v>
      </c>
      <c r="M191" s="90">
        <v>46.88</v>
      </c>
      <c r="N191" s="90">
        <v>-102.79</v>
      </c>
      <c r="O191" s="90">
        <v>735.8</v>
      </c>
      <c r="U191" s="55" t="s">
        <v>1687</v>
      </c>
      <c r="V191" s="55" t="s">
        <v>1820</v>
      </c>
      <c r="Y191" s="55" t="s">
        <v>1819</v>
      </c>
      <c r="Z191" s="55" t="s">
        <v>1344</v>
      </c>
      <c r="AA191" s="90" t="s">
        <v>1344</v>
      </c>
      <c r="AH191" s="55" t="s">
        <v>139</v>
      </c>
      <c r="AN191" s="185" t="s">
        <v>241</v>
      </c>
      <c r="AO191" s="185" t="s">
        <v>5150</v>
      </c>
      <c r="AQ191" s="55" t="s">
        <v>553</v>
      </c>
      <c r="AR191" s="55" t="s">
        <v>227</v>
      </c>
      <c r="AS191" s="55" t="s">
        <v>227</v>
      </c>
      <c r="AT191" s="181" t="s">
        <v>1582</v>
      </c>
      <c r="AU191" s="181" t="s">
        <v>5150</v>
      </c>
      <c r="AV191" s="185" t="s">
        <v>176</v>
      </c>
      <c r="AW191" s="55" t="s">
        <v>1582</v>
      </c>
      <c r="AX191" s="185" t="s">
        <v>176</v>
      </c>
      <c r="AY191" s="55" t="s">
        <v>176</v>
      </c>
      <c r="AZ191" s="55" t="s">
        <v>216</v>
      </c>
      <c r="BA191" s="55" t="s">
        <v>216</v>
      </c>
      <c r="BB191" s="55" t="s">
        <v>2082</v>
      </c>
      <c r="BC191" s="55" t="s">
        <v>2082</v>
      </c>
      <c r="BD191" s="55" t="s">
        <v>176</v>
      </c>
      <c r="BK191" s="55" t="s">
        <v>6269</v>
      </c>
      <c r="BM191" s="192" t="s">
        <v>119</v>
      </c>
      <c r="BR191" s="55">
        <v>702</v>
      </c>
      <c r="BU191" s="55" t="s">
        <v>279</v>
      </c>
      <c r="GN191" s="294">
        <v>404</v>
      </c>
      <c r="GO191" s="294">
        <v>1689</v>
      </c>
      <c r="GP191" s="292" t="s">
        <v>5150</v>
      </c>
      <c r="HS191" s="227"/>
      <c r="HW191" s="227"/>
      <c r="JU191" s="55" t="s">
        <v>683</v>
      </c>
    </row>
    <row r="192" spans="1:283" x14ac:dyDescent="0.25">
      <c r="A192" s="55">
        <v>191</v>
      </c>
      <c r="B192" s="12" t="s">
        <v>7067</v>
      </c>
      <c r="C192" s="155">
        <v>14</v>
      </c>
      <c r="D192" s="55" t="s">
        <v>3735</v>
      </c>
      <c r="E192" s="90" t="s">
        <v>273</v>
      </c>
      <c r="G192" s="55" t="s">
        <v>274</v>
      </c>
      <c r="H192" s="55">
        <v>2011</v>
      </c>
      <c r="I192" s="55">
        <v>2009</v>
      </c>
      <c r="J192" s="55" t="s">
        <v>276</v>
      </c>
      <c r="K192" s="55" t="s">
        <v>275</v>
      </c>
      <c r="L192" s="55" t="s">
        <v>2737</v>
      </c>
      <c r="M192" s="90">
        <v>46.88</v>
      </c>
      <c r="N192" s="90">
        <v>-102.79</v>
      </c>
      <c r="O192" s="90">
        <v>735.8</v>
      </c>
      <c r="U192" s="55" t="s">
        <v>1687</v>
      </c>
      <c r="V192" s="55" t="s">
        <v>1820</v>
      </c>
      <c r="Y192" s="55" t="s">
        <v>1819</v>
      </c>
      <c r="Z192" s="55" t="s">
        <v>1344</v>
      </c>
      <c r="AA192" s="90" t="s">
        <v>1344</v>
      </c>
      <c r="AH192" s="55" t="s">
        <v>139</v>
      </c>
      <c r="AN192" s="185" t="s">
        <v>241</v>
      </c>
      <c r="AO192" s="185" t="s">
        <v>5150</v>
      </c>
      <c r="AQ192" s="55" t="s">
        <v>553</v>
      </c>
      <c r="AR192" s="55" t="s">
        <v>227</v>
      </c>
      <c r="AS192" s="55" t="s">
        <v>227</v>
      </c>
      <c r="AT192" s="181" t="s">
        <v>1582</v>
      </c>
      <c r="AU192" s="181" t="s">
        <v>5150</v>
      </c>
      <c r="AV192" s="185" t="s">
        <v>176</v>
      </c>
      <c r="AW192" s="55" t="s">
        <v>1582</v>
      </c>
      <c r="AX192" s="185" t="s">
        <v>176</v>
      </c>
      <c r="AY192" s="55" t="s">
        <v>176</v>
      </c>
      <c r="AZ192" s="55" t="s">
        <v>216</v>
      </c>
      <c r="BA192" s="55" t="s">
        <v>216</v>
      </c>
      <c r="BB192" s="55" t="s">
        <v>2082</v>
      </c>
      <c r="BC192" s="55" t="s">
        <v>2082</v>
      </c>
      <c r="BD192" s="55" t="s">
        <v>176</v>
      </c>
      <c r="BK192" s="55" t="s">
        <v>6269</v>
      </c>
      <c r="BM192" s="192" t="s">
        <v>119</v>
      </c>
      <c r="BR192" s="55">
        <v>4919</v>
      </c>
      <c r="BU192" s="55" t="s">
        <v>277</v>
      </c>
      <c r="GN192" s="294">
        <v>589</v>
      </c>
      <c r="GO192" s="294">
        <v>75</v>
      </c>
      <c r="GP192" s="292" t="s">
        <v>5150</v>
      </c>
      <c r="HS192" s="227"/>
      <c r="HW192" s="227"/>
      <c r="JU192" s="55" t="s">
        <v>683</v>
      </c>
    </row>
    <row r="193" spans="1:281" x14ac:dyDescent="0.25">
      <c r="A193" s="55">
        <v>192</v>
      </c>
      <c r="B193" s="12" t="s">
        <v>7067</v>
      </c>
      <c r="C193" s="155">
        <v>14</v>
      </c>
      <c r="D193" s="55" t="s">
        <v>3736</v>
      </c>
      <c r="E193" s="90" t="s">
        <v>273</v>
      </c>
      <c r="G193" s="55" t="s">
        <v>274</v>
      </c>
      <c r="H193" s="55">
        <v>2011</v>
      </c>
      <c r="I193" s="55">
        <v>2009</v>
      </c>
      <c r="J193" s="55" t="s">
        <v>276</v>
      </c>
      <c r="K193" s="55" t="s">
        <v>275</v>
      </c>
      <c r="L193" s="55" t="s">
        <v>2737</v>
      </c>
      <c r="M193" s="90">
        <v>46.88</v>
      </c>
      <c r="N193" s="90">
        <v>-102.79</v>
      </c>
      <c r="O193" s="90">
        <v>735.8</v>
      </c>
      <c r="U193" s="55" t="s">
        <v>1687</v>
      </c>
      <c r="V193" s="55" t="s">
        <v>1820</v>
      </c>
      <c r="Y193" s="55" t="s">
        <v>1819</v>
      </c>
      <c r="Z193" s="55" t="s">
        <v>1344</v>
      </c>
      <c r="AA193" s="90" t="s">
        <v>1344</v>
      </c>
      <c r="AH193" s="55" t="s">
        <v>139</v>
      </c>
      <c r="AN193" s="185" t="s">
        <v>241</v>
      </c>
      <c r="AO193" s="185" t="s">
        <v>5150</v>
      </c>
      <c r="AQ193" s="55" t="s">
        <v>553</v>
      </c>
      <c r="AR193" s="55" t="s">
        <v>227</v>
      </c>
      <c r="AS193" s="55" t="s">
        <v>227</v>
      </c>
      <c r="AT193" s="181" t="s">
        <v>1582</v>
      </c>
      <c r="AU193" s="181" t="s">
        <v>5150</v>
      </c>
      <c r="AV193" s="185" t="s">
        <v>176</v>
      </c>
      <c r="AW193" s="55" t="s">
        <v>1582</v>
      </c>
      <c r="AX193" s="185" t="s">
        <v>176</v>
      </c>
      <c r="AY193" s="55" t="s">
        <v>176</v>
      </c>
      <c r="AZ193" s="55" t="s">
        <v>216</v>
      </c>
      <c r="BA193" s="55" t="s">
        <v>216</v>
      </c>
      <c r="BB193" s="55" t="s">
        <v>2082</v>
      </c>
      <c r="BC193" s="55" t="s">
        <v>2082</v>
      </c>
      <c r="BD193" s="55" t="s">
        <v>176</v>
      </c>
      <c r="BK193" s="55" t="s">
        <v>6269</v>
      </c>
      <c r="BM193" s="192" t="s">
        <v>119</v>
      </c>
      <c r="BR193" s="55">
        <v>4919</v>
      </c>
      <c r="BU193" s="55" t="s">
        <v>278</v>
      </c>
      <c r="GN193" s="294">
        <v>944</v>
      </c>
      <c r="GO193" s="294">
        <v>75</v>
      </c>
      <c r="GP193" s="292" t="s">
        <v>5150</v>
      </c>
      <c r="HS193" s="227"/>
      <c r="HW193" s="227"/>
      <c r="JU193" s="55" t="s">
        <v>683</v>
      </c>
    </row>
    <row r="194" spans="1:281" x14ac:dyDescent="0.25">
      <c r="A194" s="55">
        <v>193</v>
      </c>
      <c r="B194" s="12" t="s">
        <v>7067</v>
      </c>
      <c r="C194" s="155">
        <v>14</v>
      </c>
      <c r="D194" s="55" t="s">
        <v>3737</v>
      </c>
      <c r="E194" s="90" t="s">
        <v>273</v>
      </c>
      <c r="G194" s="55" t="s">
        <v>274</v>
      </c>
      <c r="H194" s="55">
        <v>2011</v>
      </c>
      <c r="I194" s="55">
        <v>2009</v>
      </c>
      <c r="J194" s="55" t="s">
        <v>276</v>
      </c>
      <c r="K194" s="55" t="s">
        <v>275</v>
      </c>
      <c r="L194" s="55" t="s">
        <v>2737</v>
      </c>
      <c r="M194" s="90">
        <v>46.88</v>
      </c>
      <c r="N194" s="90">
        <v>-102.79</v>
      </c>
      <c r="O194" s="90">
        <v>735.8</v>
      </c>
      <c r="U194" s="55" t="s">
        <v>1687</v>
      </c>
      <c r="V194" s="55" t="s">
        <v>1820</v>
      </c>
      <c r="Y194" s="55" t="s">
        <v>1819</v>
      </c>
      <c r="Z194" s="55" t="s">
        <v>1344</v>
      </c>
      <c r="AA194" s="90" t="s">
        <v>1344</v>
      </c>
      <c r="AH194" s="55" t="s">
        <v>139</v>
      </c>
      <c r="AN194" s="185" t="s">
        <v>241</v>
      </c>
      <c r="AO194" s="185" t="s">
        <v>5150</v>
      </c>
      <c r="AQ194" s="55" t="s">
        <v>553</v>
      </c>
      <c r="AR194" s="55" t="s">
        <v>227</v>
      </c>
      <c r="AS194" s="55" t="s">
        <v>227</v>
      </c>
      <c r="AT194" s="181" t="s">
        <v>1582</v>
      </c>
      <c r="AU194" s="181" t="s">
        <v>5150</v>
      </c>
      <c r="AV194" s="185" t="s">
        <v>176</v>
      </c>
      <c r="AW194" s="55" t="s">
        <v>1582</v>
      </c>
      <c r="AX194" s="185" t="s">
        <v>176</v>
      </c>
      <c r="AY194" s="55" t="s">
        <v>176</v>
      </c>
      <c r="AZ194" s="55" t="s">
        <v>216</v>
      </c>
      <c r="BA194" s="55" t="s">
        <v>216</v>
      </c>
      <c r="BB194" s="55" t="s">
        <v>2082</v>
      </c>
      <c r="BC194" s="55" t="s">
        <v>2082</v>
      </c>
      <c r="BD194" s="55" t="s">
        <v>176</v>
      </c>
      <c r="BK194" s="55" t="s">
        <v>6269</v>
      </c>
      <c r="BM194" s="192" t="s">
        <v>119</v>
      </c>
      <c r="BR194" s="55">
        <v>4919</v>
      </c>
      <c r="BU194" s="55" t="s">
        <v>279</v>
      </c>
      <c r="GN194" s="294">
        <v>404</v>
      </c>
      <c r="GO194" s="294">
        <v>75</v>
      </c>
      <c r="GP194" s="292" t="s">
        <v>5150</v>
      </c>
      <c r="HS194" s="227"/>
      <c r="HW194" s="227"/>
      <c r="JU194" s="55" t="s">
        <v>683</v>
      </c>
    </row>
    <row r="195" spans="1:281" x14ac:dyDescent="0.25">
      <c r="A195" s="55">
        <v>194</v>
      </c>
      <c r="B195" s="12" t="s">
        <v>7067</v>
      </c>
      <c r="C195" s="155">
        <v>14</v>
      </c>
      <c r="D195" s="55" t="s">
        <v>3738</v>
      </c>
      <c r="E195" s="90" t="s">
        <v>273</v>
      </c>
      <c r="G195" s="55" t="s">
        <v>274</v>
      </c>
      <c r="H195" s="55">
        <v>2011</v>
      </c>
      <c r="I195" s="55">
        <v>2009</v>
      </c>
      <c r="J195" s="55" t="s">
        <v>276</v>
      </c>
      <c r="K195" s="55" t="s">
        <v>275</v>
      </c>
      <c r="L195" s="55" t="s">
        <v>2737</v>
      </c>
      <c r="M195" s="90">
        <v>46.88</v>
      </c>
      <c r="N195" s="90">
        <v>-102.79</v>
      </c>
      <c r="O195" s="90">
        <v>735.8</v>
      </c>
      <c r="U195" s="55" t="s">
        <v>1687</v>
      </c>
      <c r="V195" s="55" t="s">
        <v>1820</v>
      </c>
      <c r="Y195" s="55" t="s">
        <v>1819</v>
      </c>
      <c r="Z195" s="55" t="s">
        <v>1344</v>
      </c>
      <c r="AA195" s="90" t="s">
        <v>1344</v>
      </c>
      <c r="AH195" s="55" t="s">
        <v>139</v>
      </c>
      <c r="AN195" s="185" t="s">
        <v>1527</v>
      </c>
      <c r="AO195" s="185" t="s">
        <v>5150</v>
      </c>
      <c r="AQ195" s="55" t="s">
        <v>131</v>
      </c>
      <c r="AR195" s="55" t="s">
        <v>227</v>
      </c>
      <c r="AS195" s="55" t="s">
        <v>227</v>
      </c>
      <c r="AT195" s="181" t="s">
        <v>1582</v>
      </c>
      <c r="AU195" s="181" t="s">
        <v>5150</v>
      </c>
      <c r="AV195" s="185" t="s">
        <v>176</v>
      </c>
      <c r="AW195" s="55" t="s">
        <v>1582</v>
      </c>
      <c r="AX195" s="185" t="s">
        <v>176</v>
      </c>
      <c r="AY195" s="55" t="s">
        <v>176</v>
      </c>
      <c r="AZ195" s="55" t="s">
        <v>216</v>
      </c>
      <c r="BA195" s="55" t="s">
        <v>216</v>
      </c>
      <c r="BB195" s="55" t="s">
        <v>2082</v>
      </c>
      <c r="BC195" s="55" t="s">
        <v>2082</v>
      </c>
      <c r="BD195" s="55" t="s">
        <v>176</v>
      </c>
      <c r="BK195" s="55" t="s">
        <v>6269</v>
      </c>
      <c r="BM195" s="192" t="s">
        <v>119</v>
      </c>
      <c r="BR195" s="55">
        <v>3182</v>
      </c>
      <c r="BU195" s="55" t="s">
        <v>277</v>
      </c>
      <c r="GN195" s="294">
        <v>589</v>
      </c>
      <c r="GO195" s="294">
        <v>460</v>
      </c>
      <c r="GP195" s="292" t="s">
        <v>5150</v>
      </c>
      <c r="HS195" s="227"/>
      <c r="HW195" s="227"/>
      <c r="JU195" s="55" t="s">
        <v>683</v>
      </c>
    </row>
    <row r="196" spans="1:281" x14ac:dyDescent="0.25">
      <c r="A196" s="55">
        <v>195</v>
      </c>
      <c r="B196" s="12" t="s">
        <v>7067</v>
      </c>
      <c r="C196" s="155">
        <v>14</v>
      </c>
      <c r="D196" s="55" t="s">
        <v>3739</v>
      </c>
      <c r="E196" s="90" t="s">
        <v>273</v>
      </c>
      <c r="G196" s="55" t="s">
        <v>274</v>
      </c>
      <c r="H196" s="55">
        <v>2011</v>
      </c>
      <c r="I196" s="55">
        <v>2009</v>
      </c>
      <c r="J196" s="55" t="s">
        <v>276</v>
      </c>
      <c r="K196" s="55" t="s">
        <v>275</v>
      </c>
      <c r="L196" s="55" t="s">
        <v>2737</v>
      </c>
      <c r="M196" s="90">
        <v>46.88</v>
      </c>
      <c r="N196" s="90">
        <v>-102.79</v>
      </c>
      <c r="O196" s="90">
        <v>735.8</v>
      </c>
      <c r="U196" s="55" t="s">
        <v>1687</v>
      </c>
      <c r="V196" s="55" t="s">
        <v>1820</v>
      </c>
      <c r="Y196" s="55" t="s">
        <v>1819</v>
      </c>
      <c r="Z196" s="55" t="s">
        <v>1344</v>
      </c>
      <c r="AA196" s="90" t="s">
        <v>1344</v>
      </c>
      <c r="AH196" s="55" t="s">
        <v>139</v>
      </c>
      <c r="AN196" s="185" t="s">
        <v>1527</v>
      </c>
      <c r="AO196" s="185" t="s">
        <v>5150</v>
      </c>
      <c r="AQ196" s="55" t="s">
        <v>131</v>
      </c>
      <c r="AR196" s="55" t="s">
        <v>227</v>
      </c>
      <c r="AS196" s="55" t="s">
        <v>227</v>
      </c>
      <c r="AT196" s="181" t="s">
        <v>1582</v>
      </c>
      <c r="AU196" s="181" t="s">
        <v>5150</v>
      </c>
      <c r="AV196" s="185" t="s">
        <v>176</v>
      </c>
      <c r="AW196" s="55" t="s">
        <v>1582</v>
      </c>
      <c r="AX196" s="185" t="s">
        <v>176</v>
      </c>
      <c r="AY196" s="55" t="s">
        <v>176</v>
      </c>
      <c r="AZ196" s="55" t="s">
        <v>216</v>
      </c>
      <c r="BA196" s="55" t="s">
        <v>216</v>
      </c>
      <c r="BB196" s="55" t="s">
        <v>2082</v>
      </c>
      <c r="BC196" s="55" t="s">
        <v>2082</v>
      </c>
      <c r="BD196" s="55" t="s">
        <v>176</v>
      </c>
      <c r="BK196" s="55" t="s">
        <v>6269</v>
      </c>
      <c r="BM196" s="192" t="s">
        <v>119</v>
      </c>
      <c r="BR196" s="55">
        <v>3182</v>
      </c>
      <c r="BU196" s="55" t="s">
        <v>278</v>
      </c>
      <c r="GN196" s="294">
        <v>944</v>
      </c>
      <c r="GO196" s="294">
        <v>460</v>
      </c>
      <c r="GP196" s="292" t="s">
        <v>5150</v>
      </c>
      <c r="HS196" s="227"/>
      <c r="HW196" s="227"/>
      <c r="JU196" s="55" t="s">
        <v>683</v>
      </c>
    </row>
    <row r="197" spans="1:281" x14ac:dyDescent="0.25">
      <c r="A197" s="55">
        <v>196</v>
      </c>
      <c r="B197" s="12" t="s">
        <v>7067</v>
      </c>
      <c r="C197" s="155">
        <v>14</v>
      </c>
      <c r="D197" s="55" t="s">
        <v>3740</v>
      </c>
      <c r="E197" s="90" t="s">
        <v>273</v>
      </c>
      <c r="G197" s="55" t="s">
        <v>274</v>
      </c>
      <c r="H197" s="55">
        <v>2011</v>
      </c>
      <c r="I197" s="55">
        <v>2009</v>
      </c>
      <c r="J197" s="55" t="s">
        <v>276</v>
      </c>
      <c r="K197" s="55" t="s">
        <v>275</v>
      </c>
      <c r="L197" s="55" t="s">
        <v>2737</v>
      </c>
      <c r="M197" s="90">
        <v>46.88</v>
      </c>
      <c r="N197" s="90">
        <v>-102.79</v>
      </c>
      <c r="O197" s="90">
        <v>735.8</v>
      </c>
      <c r="U197" s="55" t="s">
        <v>1687</v>
      </c>
      <c r="V197" s="55" t="s">
        <v>1820</v>
      </c>
      <c r="Y197" s="55" t="s">
        <v>1819</v>
      </c>
      <c r="Z197" s="55" t="s">
        <v>1344</v>
      </c>
      <c r="AA197" s="90" t="s">
        <v>1344</v>
      </c>
      <c r="AH197" s="55" t="s">
        <v>139</v>
      </c>
      <c r="AN197" s="185" t="s">
        <v>1527</v>
      </c>
      <c r="AO197" s="185" t="s">
        <v>5150</v>
      </c>
      <c r="AQ197" s="55" t="s">
        <v>131</v>
      </c>
      <c r="AR197" s="55" t="s">
        <v>227</v>
      </c>
      <c r="AS197" s="55" t="s">
        <v>227</v>
      </c>
      <c r="AT197" s="181" t="s">
        <v>1582</v>
      </c>
      <c r="AU197" s="181" t="s">
        <v>5150</v>
      </c>
      <c r="AV197" s="185" t="s">
        <v>176</v>
      </c>
      <c r="AW197" s="55" t="s">
        <v>1582</v>
      </c>
      <c r="AX197" s="185" t="s">
        <v>176</v>
      </c>
      <c r="AY197" s="55" t="s">
        <v>176</v>
      </c>
      <c r="AZ197" s="55" t="s">
        <v>216</v>
      </c>
      <c r="BA197" s="55" t="s">
        <v>216</v>
      </c>
      <c r="BB197" s="55" t="s">
        <v>2082</v>
      </c>
      <c r="BC197" s="55" t="s">
        <v>2082</v>
      </c>
      <c r="BD197" s="55" t="s">
        <v>176</v>
      </c>
      <c r="BK197" s="55" t="s">
        <v>6269</v>
      </c>
      <c r="BM197" s="192" t="s">
        <v>119</v>
      </c>
      <c r="BR197" s="55">
        <v>3182</v>
      </c>
      <c r="BU197" s="55" t="s">
        <v>279</v>
      </c>
      <c r="GN197" s="294">
        <v>404</v>
      </c>
      <c r="GO197" s="294">
        <v>460</v>
      </c>
      <c r="GP197" s="292" t="s">
        <v>5150</v>
      </c>
      <c r="HS197" s="227"/>
      <c r="HW197" s="227"/>
      <c r="JU197" s="55" t="s">
        <v>683</v>
      </c>
    </row>
    <row r="198" spans="1:281" x14ac:dyDescent="0.25">
      <c r="A198" s="55">
        <v>197</v>
      </c>
      <c r="B198" s="12" t="s">
        <v>7067</v>
      </c>
      <c r="C198" s="155">
        <v>14</v>
      </c>
      <c r="D198" s="55" t="s">
        <v>3741</v>
      </c>
      <c r="E198" s="90" t="s">
        <v>273</v>
      </c>
      <c r="G198" s="55" t="s">
        <v>274</v>
      </c>
      <c r="H198" s="55">
        <v>2011</v>
      </c>
      <c r="I198" s="55">
        <v>2009</v>
      </c>
      <c r="J198" s="55" t="s">
        <v>276</v>
      </c>
      <c r="K198" s="55" t="s">
        <v>275</v>
      </c>
      <c r="L198" s="55" t="s">
        <v>2737</v>
      </c>
      <c r="M198" s="90">
        <v>46.88</v>
      </c>
      <c r="N198" s="90">
        <v>-102.79</v>
      </c>
      <c r="O198" s="90">
        <v>735.8</v>
      </c>
      <c r="U198" s="55" t="s">
        <v>1687</v>
      </c>
      <c r="V198" s="55" t="s">
        <v>1820</v>
      </c>
      <c r="Y198" s="55" t="s">
        <v>1819</v>
      </c>
      <c r="Z198" s="55" t="s">
        <v>1344</v>
      </c>
      <c r="AA198" s="90" t="s">
        <v>1344</v>
      </c>
      <c r="AH198" s="55" t="s">
        <v>139</v>
      </c>
      <c r="AN198" s="185" t="s">
        <v>1538</v>
      </c>
      <c r="AO198" s="185" t="s">
        <v>5150</v>
      </c>
      <c r="AQ198" s="55" t="s">
        <v>1546</v>
      </c>
      <c r="AR198" s="55" t="s">
        <v>227</v>
      </c>
      <c r="AS198" s="55" t="s">
        <v>227</v>
      </c>
      <c r="AT198" s="181" t="s">
        <v>1582</v>
      </c>
      <c r="AU198" s="181" t="s">
        <v>5150</v>
      </c>
      <c r="AV198" s="185" t="s">
        <v>176</v>
      </c>
      <c r="AW198" s="55" t="s">
        <v>1582</v>
      </c>
      <c r="AX198" s="185" t="s">
        <v>176</v>
      </c>
      <c r="AY198" s="55" t="s">
        <v>176</v>
      </c>
      <c r="AZ198" s="55" t="s">
        <v>216</v>
      </c>
      <c r="BA198" s="55" t="s">
        <v>216</v>
      </c>
      <c r="BB198" s="55" t="s">
        <v>2082</v>
      </c>
      <c r="BC198" s="55" t="s">
        <v>2082</v>
      </c>
      <c r="BD198" s="55" t="s">
        <v>176</v>
      </c>
      <c r="BK198" s="55" t="s">
        <v>6269</v>
      </c>
      <c r="BM198" s="192" t="s">
        <v>119</v>
      </c>
      <c r="BR198" s="55">
        <v>4716</v>
      </c>
      <c r="BU198" s="55" t="s">
        <v>277</v>
      </c>
      <c r="GN198" s="294">
        <v>589</v>
      </c>
      <c r="GO198" s="294">
        <v>297</v>
      </c>
      <c r="GP198" s="292" t="s">
        <v>5150</v>
      </c>
      <c r="HS198" s="227"/>
      <c r="HW198" s="227"/>
      <c r="JU198" s="55" t="s">
        <v>683</v>
      </c>
    </row>
    <row r="199" spans="1:281" x14ac:dyDescent="0.25">
      <c r="A199" s="55">
        <v>198</v>
      </c>
      <c r="B199" s="12" t="s">
        <v>7067</v>
      </c>
      <c r="C199" s="155">
        <v>14</v>
      </c>
      <c r="D199" s="55" t="s">
        <v>3742</v>
      </c>
      <c r="E199" s="90" t="s">
        <v>273</v>
      </c>
      <c r="G199" s="55" t="s">
        <v>274</v>
      </c>
      <c r="H199" s="55">
        <v>2011</v>
      </c>
      <c r="I199" s="55">
        <v>2009</v>
      </c>
      <c r="J199" s="55" t="s">
        <v>276</v>
      </c>
      <c r="K199" s="55" t="s">
        <v>275</v>
      </c>
      <c r="L199" s="55" t="s">
        <v>2737</v>
      </c>
      <c r="M199" s="90">
        <v>46.88</v>
      </c>
      <c r="N199" s="90">
        <v>-102.79</v>
      </c>
      <c r="O199" s="90">
        <v>735.8</v>
      </c>
      <c r="U199" s="55" t="s">
        <v>1687</v>
      </c>
      <c r="V199" s="55" t="s">
        <v>1820</v>
      </c>
      <c r="Y199" s="55" t="s">
        <v>1819</v>
      </c>
      <c r="Z199" s="55" t="s">
        <v>1344</v>
      </c>
      <c r="AA199" s="90" t="s">
        <v>1344</v>
      </c>
      <c r="AH199" s="55" t="s">
        <v>139</v>
      </c>
      <c r="AN199" s="185" t="s">
        <v>1538</v>
      </c>
      <c r="AO199" s="185" t="s">
        <v>5150</v>
      </c>
      <c r="AQ199" s="55" t="s">
        <v>1546</v>
      </c>
      <c r="AR199" s="55" t="s">
        <v>227</v>
      </c>
      <c r="AS199" s="55" t="s">
        <v>227</v>
      </c>
      <c r="AT199" s="181" t="s">
        <v>1582</v>
      </c>
      <c r="AU199" s="181" t="s">
        <v>5150</v>
      </c>
      <c r="AV199" s="185" t="s">
        <v>176</v>
      </c>
      <c r="AW199" s="55" t="s">
        <v>1582</v>
      </c>
      <c r="AX199" s="185" t="s">
        <v>176</v>
      </c>
      <c r="AY199" s="55" t="s">
        <v>176</v>
      </c>
      <c r="AZ199" s="55" t="s">
        <v>216</v>
      </c>
      <c r="BA199" s="55" t="s">
        <v>216</v>
      </c>
      <c r="BB199" s="55" t="s">
        <v>2082</v>
      </c>
      <c r="BC199" s="55" t="s">
        <v>2082</v>
      </c>
      <c r="BD199" s="55" t="s">
        <v>176</v>
      </c>
      <c r="BK199" s="55" t="s">
        <v>6269</v>
      </c>
      <c r="BM199" s="192" t="s">
        <v>119</v>
      </c>
      <c r="BR199" s="55">
        <v>4716</v>
      </c>
      <c r="BU199" s="55" t="s">
        <v>278</v>
      </c>
      <c r="GN199" s="294">
        <v>944</v>
      </c>
      <c r="GO199" s="294">
        <v>297</v>
      </c>
      <c r="GP199" s="292" t="s">
        <v>5150</v>
      </c>
      <c r="HS199" s="227"/>
      <c r="HW199" s="227"/>
      <c r="JU199" s="55" t="s">
        <v>683</v>
      </c>
    </row>
    <row r="200" spans="1:281" x14ac:dyDescent="0.25">
      <c r="A200" s="55">
        <v>199</v>
      </c>
      <c r="B200" s="12" t="s">
        <v>7067</v>
      </c>
      <c r="C200" s="155">
        <v>14</v>
      </c>
      <c r="D200" s="55" t="s">
        <v>3743</v>
      </c>
      <c r="E200" s="90" t="s">
        <v>273</v>
      </c>
      <c r="G200" s="55" t="s">
        <v>274</v>
      </c>
      <c r="H200" s="55">
        <v>2011</v>
      </c>
      <c r="I200" s="55">
        <v>2009</v>
      </c>
      <c r="J200" s="55" t="s">
        <v>276</v>
      </c>
      <c r="K200" s="55" t="s">
        <v>275</v>
      </c>
      <c r="L200" s="55" t="s">
        <v>2737</v>
      </c>
      <c r="M200" s="90">
        <v>46.88</v>
      </c>
      <c r="N200" s="90">
        <v>-102.79</v>
      </c>
      <c r="O200" s="90">
        <v>735.8</v>
      </c>
      <c r="U200" s="55" t="s">
        <v>1687</v>
      </c>
      <c r="V200" s="55" t="s">
        <v>1820</v>
      </c>
      <c r="Y200" s="55" t="s">
        <v>1819</v>
      </c>
      <c r="Z200" s="55" t="s">
        <v>1344</v>
      </c>
      <c r="AA200" s="90" t="s">
        <v>1344</v>
      </c>
      <c r="AH200" s="55" t="s">
        <v>139</v>
      </c>
      <c r="AN200" s="185" t="s">
        <v>1538</v>
      </c>
      <c r="AO200" s="185" t="s">
        <v>5150</v>
      </c>
      <c r="AQ200" s="55" t="s">
        <v>1546</v>
      </c>
      <c r="AR200" s="55" t="s">
        <v>227</v>
      </c>
      <c r="AS200" s="55" t="s">
        <v>227</v>
      </c>
      <c r="AT200" s="181" t="s">
        <v>1582</v>
      </c>
      <c r="AU200" s="181" t="s">
        <v>5150</v>
      </c>
      <c r="AV200" s="185" t="s">
        <v>176</v>
      </c>
      <c r="AW200" s="55" t="s">
        <v>1582</v>
      </c>
      <c r="AX200" s="185" t="s">
        <v>176</v>
      </c>
      <c r="AY200" s="55" t="s">
        <v>176</v>
      </c>
      <c r="AZ200" s="55" t="s">
        <v>216</v>
      </c>
      <c r="BA200" s="55" t="s">
        <v>216</v>
      </c>
      <c r="BB200" s="55" t="s">
        <v>2082</v>
      </c>
      <c r="BC200" s="55" t="s">
        <v>2082</v>
      </c>
      <c r="BD200" s="55" t="s">
        <v>176</v>
      </c>
      <c r="BK200" s="55" t="s">
        <v>6269</v>
      </c>
      <c r="BM200" s="192" t="s">
        <v>119</v>
      </c>
      <c r="BR200" s="55">
        <v>4716</v>
      </c>
      <c r="BU200" s="55" t="s">
        <v>279</v>
      </c>
      <c r="GN200" s="294">
        <v>404</v>
      </c>
      <c r="GO200" s="294">
        <v>297</v>
      </c>
      <c r="GP200" s="292" t="s">
        <v>5150</v>
      </c>
      <c r="HS200" s="227"/>
      <c r="HW200" s="227"/>
      <c r="JU200" s="55" t="s">
        <v>683</v>
      </c>
    </row>
    <row r="201" spans="1:281" x14ac:dyDescent="0.25">
      <c r="A201" s="55">
        <v>200</v>
      </c>
      <c r="B201" s="12" t="s">
        <v>7067</v>
      </c>
      <c r="C201" s="155">
        <v>14</v>
      </c>
      <c r="D201" s="55" t="s">
        <v>3741</v>
      </c>
      <c r="E201" s="90" t="s">
        <v>273</v>
      </c>
      <c r="G201" s="55" t="s">
        <v>274</v>
      </c>
      <c r="H201" s="55">
        <v>2011</v>
      </c>
      <c r="I201" s="55">
        <v>2009</v>
      </c>
      <c r="J201" s="55" t="s">
        <v>276</v>
      </c>
      <c r="K201" s="55" t="s">
        <v>275</v>
      </c>
      <c r="L201" s="55" t="s">
        <v>2737</v>
      </c>
      <c r="M201" s="90">
        <v>46.88</v>
      </c>
      <c r="N201" s="90">
        <v>-102.79</v>
      </c>
      <c r="O201" s="90">
        <v>735.8</v>
      </c>
      <c r="U201" s="55" t="s">
        <v>1687</v>
      </c>
      <c r="V201" s="55" t="s">
        <v>1820</v>
      </c>
      <c r="Y201" s="55" t="s">
        <v>1819</v>
      </c>
      <c r="Z201" s="55" t="s">
        <v>1344</v>
      </c>
      <c r="AA201" s="90" t="s">
        <v>1344</v>
      </c>
      <c r="AH201" s="55" t="s">
        <v>139</v>
      </c>
      <c r="AN201" s="185" t="s">
        <v>1538</v>
      </c>
      <c r="AO201" s="185" t="s">
        <v>5150</v>
      </c>
      <c r="AQ201" s="55" t="s">
        <v>1546</v>
      </c>
      <c r="AR201" s="55" t="s">
        <v>227</v>
      </c>
      <c r="AS201" s="55" t="s">
        <v>227</v>
      </c>
      <c r="AT201" s="181" t="s">
        <v>1582</v>
      </c>
      <c r="AU201" s="181" t="s">
        <v>5150</v>
      </c>
      <c r="AV201" s="185" t="s">
        <v>176</v>
      </c>
      <c r="AW201" s="55" t="s">
        <v>1582</v>
      </c>
      <c r="AX201" s="185" t="s">
        <v>176</v>
      </c>
      <c r="AY201" s="55" t="s">
        <v>176</v>
      </c>
      <c r="AZ201" s="55" t="s">
        <v>216</v>
      </c>
      <c r="BA201" s="55" t="s">
        <v>216</v>
      </c>
      <c r="BB201" s="55" t="s">
        <v>2082</v>
      </c>
      <c r="BC201" s="55" t="s">
        <v>2082</v>
      </c>
      <c r="BD201" s="55" t="s">
        <v>176</v>
      </c>
      <c r="BK201" s="55" t="s">
        <v>6269</v>
      </c>
      <c r="BM201" s="192" t="s">
        <v>119</v>
      </c>
      <c r="BR201" s="55">
        <v>3052</v>
      </c>
      <c r="BU201" s="55" t="s">
        <v>277</v>
      </c>
      <c r="GN201" s="294">
        <v>589</v>
      </c>
      <c r="GO201" s="294">
        <v>342</v>
      </c>
      <c r="GP201" s="292" t="s">
        <v>5150</v>
      </c>
      <c r="HS201" s="227"/>
      <c r="HW201" s="227"/>
      <c r="JU201" s="55" t="s">
        <v>683</v>
      </c>
    </row>
    <row r="202" spans="1:281" x14ac:dyDescent="0.25">
      <c r="A202" s="55">
        <v>201</v>
      </c>
      <c r="B202" s="12" t="s">
        <v>7067</v>
      </c>
      <c r="C202" s="155">
        <v>14</v>
      </c>
      <c r="D202" s="55" t="s">
        <v>3742</v>
      </c>
      <c r="E202" s="90" t="s">
        <v>273</v>
      </c>
      <c r="G202" s="55" t="s">
        <v>274</v>
      </c>
      <c r="H202" s="55">
        <v>2011</v>
      </c>
      <c r="I202" s="55">
        <v>2009</v>
      </c>
      <c r="J202" s="55" t="s">
        <v>276</v>
      </c>
      <c r="K202" s="55" t="s">
        <v>275</v>
      </c>
      <c r="L202" s="55" t="s">
        <v>2737</v>
      </c>
      <c r="M202" s="90">
        <v>46.88</v>
      </c>
      <c r="N202" s="90">
        <v>-102.79</v>
      </c>
      <c r="O202" s="90">
        <v>735.8</v>
      </c>
      <c r="U202" s="55" t="s">
        <v>1687</v>
      </c>
      <c r="V202" s="55" t="s">
        <v>1820</v>
      </c>
      <c r="Y202" s="55" t="s">
        <v>1819</v>
      </c>
      <c r="Z202" s="55" t="s">
        <v>1344</v>
      </c>
      <c r="AA202" s="90" t="s">
        <v>1344</v>
      </c>
      <c r="AH202" s="55" t="s">
        <v>139</v>
      </c>
      <c r="AN202" s="185" t="s">
        <v>1538</v>
      </c>
      <c r="AO202" s="185" t="s">
        <v>5150</v>
      </c>
      <c r="AQ202" s="55" t="s">
        <v>1546</v>
      </c>
      <c r="AR202" s="55" t="s">
        <v>227</v>
      </c>
      <c r="AS202" s="55" t="s">
        <v>227</v>
      </c>
      <c r="AT202" s="181" t="s">
        <v>1582</v>
      </c>
      <c r="AU202" s="181" t="s">
        <v>5150</v>
      </c>
      <c r="AV202" s="185" t="s">
        <v>176</v>
      </c>
      <c r="AW202" s="55" t="s">
        <v>1582</v>
      </c>
      <c r="AX202" s="185" t="s">
        <v>176</v>
      </c>
      <c r="AY202" s="55" t="s">
        <v>176</v>
      </c>
      <c r="AZ202" s="55" t="s">
        <v>216</v>
      </c>
      <c r="BA202" s="55" t="s">
        <v>216</v>
      </c>
      <c r="BB202" s="55" t="s">
        <v>2082</v>
      </c>
      <c r="BC202" s="55" t="s">
        <v>2082</v>
      </c>
      <c r="BD202" s="55" t="s">
        <v>176</v>
      </c>
      <c r="BK202" s="55" t="s">
        <v>6269</v>
      </c>
      <c r="BM202" s="192" t="s">
        <v>119</v>
      </c>
      <c r="BR202" s="55">
        <v>3052</v>
      </c>
      <c r="BU202" s="55" t="s">
        <v>278</v>
      </c>
      <c r="GN202" s="294">
        <v>944</v>
      </c>
      <c r="GO202" s="294">
        <v>342</v>
      </c>
      <c r="GP202" s="292" t="s">
        <v>5150</v>
      </c>
      <c r="HS202" s="227"/>
      <c r="HW202" s="227"/>
      <c r="JU202" s="55" t="s">
        <v>683</v>
      </c>
    </row>
    <row r="203" spans="1:281" x14ac:dyDescent="0.25">
      <c r="A203" s="55">
        <v>202</v>
      </c>
      <c r="B203" s="12" t="s">
        <v>7067</v>
      </c>
      <c r="C203" s="155">
        <v>14</v>
      </c>
      <c r="D203" s="55" t="s">
        <v>3743</v>
      </c>
      <c r="E203" s="90" t="s">
        <v>273</v>
      </c>
      <c r="G203" s="55" t="s">
        <v>274</v>
      </c>
      <c r="H203" s="55">
        <v>2011</v>
      </c>
      <c r="I203" s="55">
        <v>2009</v>
      </c>
      <c r="J203" s="55" t="s">
        <v>276</v>
      </c>
      <c r="K203" s="55" t="s">
        <v>275</v>
      </c>
      <c r="L203" s="55" t="s">
        <v>2737</v>
      </c>
      <c r="M203" s="90">
        <v>46.88</v>
      </c>
      <c r="N203" s="90">
        <v>-102.79</v>
      </c>
      <c r="O203" s="90">
        <v>735.8</v>
      </c>
      <c r="U203" s="55" t="s">
        <v>1687</v>
      </c>
      <c r="V203" s="55" t="s">
        <v>1820</v>
      </c>
      <c r="Y203" s="55" t="s">
        <v>1819</v>
      </c>
      <c r="Z203" s="55" t="s">
        <v>1344</v>
      </c>
      <c r="AA203" s="90" t="s">
        <v>1344</v>
      </c>
      <c r="AH203" s="55" t="s">
        <v>139</v>
      </c>
      <c r="AN203" s="185" t="s">
        <v>1538</v>
      </c>
      <c r="AO203" s="185" t="s">
        <v>5150</v>
      </c>
      <c r="AQ203" s="55" t="s">
        <v>1546</v>
      </c>
      <c r="AR203" s="55" t="s">
        <v>227</v>
      </c>
      <c r="AS203" s="55" t="s">
        <v>227</v>
      </c>
      <c r="AT203" s="181" t="s">
        <v>1582</v>
      </c>
      <c r="AU203" s="181" t="s">
        <v>5150</v>
      </c>
      <c r="AV203" s="185" t="s">
        <v>176</v>
      </c>
      <c r="AW203" s="55" t="s">
        <v>1582</v>
      </c>
      <c r="AX203" s="185" t="s">
        <v>176</v>
      </c>
      <c r="AY203" s="55" t="s">
        <v>176</v>
      </c>
      <c r="AZ203" s="55" t="s">
        <v>216</v>
      </c>
      <c r="BA203" s="55" t="s">
        <v>216</v>
      </c>
      <c r="BB203" s="55" t="s">
        <v>2082</v>
      </c>
      <c r="BC203" s="55" t="s">
        <v>2082</v>
      </c>
      <c r="BD203" s="55" t="s">
        <v>176</v>
      </c>
      <c r="BK203" s="55" t="s">
        <v>6269</v>
      </c>
      <c r="BM203" s="192" t="s">
        <v>119</v>
      </c>
      <c r="BR203" s="55">
        <v>3052</v>
      </c>
      <c r="BU203" s="55" t="s">
        <v>279</v>
      </c>
      <c r="GN203" s="294">
        <v>404</v>
      </c>
      <c r="GO203" s="294">
        <v>342</v>
      </c>
      <c r="GP203" s="292" t="s">
        <v>5150</v>
      </c>
      <c r="HS203" s="227"/>
      <c r="HW203" s="227"/>
      <c r="JU203" s="55" t="s">
        <v>683</v>
      </c>
    </row>
    <row r="204" spans="1:281" x14ac:dyDescent="0.25">
      <c r="A204" s="55">
        <v>203</v>
      </c>
      <c r="B204" s="12" t="s">
        <v>7067</v>
      </c>
      <c r="C204" s="155">
        <v>14</v>
      </c>
      <c r="D204" s="55" t="s">
        <v>3732</v>
      </c>
      <c r="E204" s="90" t="s">
        <v>273</v>
      </c>
      <c r="G204" s="55" t="s">
        <v>274</v>
      </c>
      <c r="H204" s="55">
        <v>2011</v>
      </c>
      <c r="I204" s="55">
        <v>2010</v>
      </c>
      <c r="J204" s="55" t="s">
        <v>276</v>
      </c>
      <c r="K204" s="55" t="s">
        <v>275</v>
      </c>
      <c r="L204" s="55" t="s">
        <v>2737</v>
      </c>
      <c r="M204" s="90">
        <v>46.88</v>
      </c>
      <c r="N204" s="90">
        <v>-102.79</v>
      </c>
      <c r="O204" s="90">
        <v>735.8</v>
      </c>
      <c r="U204" s="55" t="s">
        <v>1820</v>
      </c>
      <c r="V204" s="55" t="s">
        <v>1820</v>
      </c>
      <c r="Y204" s="55" t="s">
        <v>1819</v>
      </c>
      <c r="Z204" s="55" t="s">
        <v>1344</v>
      </c>
      <c r="AA204" s="90" t="s">
        <v>1344</v>
      </c>
      <c r="AH204" s="55" t="s">
        <v>139</v>
      </c>
      <c r="AN204" s="185" t="s">
        <v>241</v>
      </c>
      <c r="AO204" s="185" t="s">
        <v>5150</v>
      </c>
      <c r="AQ204" s="55" t="s">
        <v>553</v>
      </c>
      <c r="AR204" s="55" t="s">
        <v>227</v>
      </c>
      <c r="AS204" s="55" t="s">
        <v>227</v>
      </c>
      <c r="AT204" s="181" t="s">
        <v>1582</v>
      </c>
      <c r="AU204" s="181" t="s">
        <v>5150</v>
      </c>
      <c r="AV204" s="185" t="s">
        <v>176</v>
      </c>
      <c r="AW204" s="55" t="s">
        <v>1582</v>
      </c>
      <c r="AX204" s="185" t="s">
        <v>176</v>
      </c>
      <c r="AY204" s="55" t="s">
        <v>176</v>
      </c>
      <c r="AZ204" s="55" t="s">
        <v>216</v>
      </c>
      <c r="BA204" s="55" t="s">
        <v>216</v>
      </c>
      <c r="BB204" s="55" t="s">
        <v>2082</v>
      </c>
      <c r="BC204" s="55" t="s">
        <v>2082</v>
      </c>
      <c r="BD204" s="55" t="s">
        <v>176</v>
      </c>
      <c r="BK204" s="55" t="s">
        <v>6269</v>
      </c>
      <c r="BM204" s="192" t="s">
        <v>119</v>
      </c>
      <c r="BR204" s="55">
        <v>1633</v>
      </c>
      <c r="BU204" s="55" t="s">
        <v>277</v>
      </c>
      <c r="GN204" s="294">
        <v>796</v>
      </c>
      <c r="GO204" s="294">
        <v>2436</v>
      </c>
      <c r="GP204" s="292" t="s">
        <v>5150</v>
      </c>
      <c r="HS204" s="227"/>
      <c r="HW204" s="227"/>
      <c r="JU204" s="55" t="s">
        <v>683</v>
      </c>
    </row>
    <row r="205" spans="1:281" x14ac:dyDescent="0.25">
      <c r="A205" s="55">
        <v>204</v>
      </c>
      <c r="B205" s="12" t="s">
        <v>7067</v>
      </c>
      <c r="C205" s="155">
        <v>14</v>
      </c>
      <c r="D205" s="55" t="s">
        <v>3733</v>
      </c>
      <c r="E205" s="90" t="s">
        <v>273</v>
      </c>
      <c r="G205" s="55" t="s">
        <v>274</v>
      </c>
      <c r="H205" s="55">
        <v>2011</v>
      </c>
      <c r="I205" s="55">
        <v>2010</v>
      </c>
      <c r="J205" s="55" t="s">
        <v>276</v>
      </c>
      <c r="K205" s="55" t="s">
        <v>275</v>
      </c>
      <c r="L205" s="55" t="s">
        <v>2737</v>
      </c>
      <c r="M205" s="90">
        <v>46.88</v>
      </c>
      <c r="N205" s="90">
        <v>-102.79</v>
      </c>
      <c r="O205" s="90">
        <v>735.8</v>
      </c>
      <c r="U205" s="55" t="s">
        <v>1820</v>
      </c>
      <c r="V205" s="55" t="s">
        <v>1820</v>
      </c>
      <c r="Y205" s="55" t="s">
        <v>1819</v>
      </c>
      <c r="Z205" s="55" t="s">
        <v>1344</v>
      </c>
      <c r="AA205" s="90" t="s">
        <v>1344</v>
      </c>
      <c r="AH205" s="55" t="s">
        <v>139</v>
      </c>
      <c r="AN205" s="185" t="s">
        <v>241</v>
      </c>
      <c r="AO205" s="185" t="s">
        <v>5150</v>
      </c>
      <c r="AQ205" s="55" t="s">
        <v>553</v>
      </c>
      <c r="AR205" s="55" t="s">
        <v>227</v>
      </c>
      <c r="AS205" s="55" t="s">
        <v>227</v>
      </c>
      <c r="AT205" s="181" t="s">
        <v>1582</v>
      </c>
      <c r="AU205" s="181" t="s">
        <v>5150</v>
      </c>
      <c r="AV205" s="185" t="s">
        <v>176</v>
      </c>
      <c r="AW205" s="55" t="s">
        <v>1582</v>
      </c>
      <c r="AX205" s="185" t="s">
        <v>176</v>
      </c>
      <c r="AY205" s="55" t="s">
        <v>176</v>
      </c>
      <c r="AZ205" s="55" t="s">
        <v>216</v>
      </c>
      <c r="BA205" s="55" t="s">
        <v>216</v>
      </c>
      <c r="BB205" s="55" t="s">
        <v>2082</v>
      </c>
      <c r="BC205" s="55" t="s">
        <v>2082</v>
      </c>
      <c r="BD205" s="55" t="s">
        <v>176</v>
      </c>
      <c r="BK205" s="55" t="s">
        <v>6269</v>
      </c>
      <c r="BM205" s="192" t="s">
        <v>119</v>
      </c>
      <c r="BR205" s="55">
        <v>1633</v>
      </c>
      <c r="BU205" s="55" t="s">
        <v>278</v>
      </c>
      <c r="GN205" s="294">
        <v>1738</v>
      </c>
      <c r="GO205" s="294">
        <v>2436</v>
      </c>
      <c r="GP205" s="292" t="s">
        <v>5150</v>
      </c>
      <c r="HS205" s="227"/>
      <c r="HW205" s="227"/>
      <c r="JU205" s="55" t="s">
        <v>683</v>
      </c>
    </row>
    <row r="206" spans="1:281" x14ac:dyDescent="0.25">
      <c r="A206" s="55">
        <v>205</v>
      </c>
      <c r="B206" s="12" t="s">
        <v>7067</v>
      </c>
      <c r="C206" s="155">
        <v>14</v>
      </c>
      <c r="D206" s="55" t="s">
        <v>3734</v>
      </c>
      <c r="E206" s="90" t="s">
        <v>273</v>
      </c>
      <c r="G206" s="55" t="s">
        <v>274</v>
      </c>
      <c r="H206" s="55">
        <v>2011</v>
      </c>
      <c r="I206" s="55">
        <v>2010</v>
      </c>
      <c r="J206" s="55" t="s">
        <v>276</v>
      </c>
      <c r="K206" s="55" t="s">
        <v>275</v>
      </c>
      <c r="L206" s="55" t="s">
        <v>2737</v>
      </c>
      <c r="M206" s="90">
        <v>46.88</v>
      </c>
      <c r="N206" s="90">
        <v>-102.79</v>
      </c>
      <c r="O206" s="90">
        <v>735.8</v>
      </c>
      <c r="U206" s="55" t="s">
        <v>1820</v>
      </c>
      <c r="V206" s="55" t="s">
        <v>1820</v>
      </c>
      <c r="Y206" s="55" t="s">
        <v>1819</v>
      </c>
      <c r="Z206" s="55" t="s">
        <v>1344</v>
      </c>
      <c r="AA206" s="90" t="s">
        <v>1344</v>
      </c>
      <c r="AH206" s="55" t="s">
        <v>139</v>
      </c>
      <c r="AN206" s="185" t="s">
        <v>241</v>
      </c>
      <c r="AO206" s="185" t="s">
        <v>5150</v>
      </c>
      <c r="AQ206" s="55" t="s">
        <v>553</v>
      </c>
      <c r="AR206" s="55" t="s">
        <v>227</v>
      </c>
      <c r="AS206" s="55" t="s">
        <v>227</v>
      </c>
      <c r="AT206" s="181" t="s">
        <v>1582</v>
      </c>
      <c r="AU206" s="181" t="s">
        <v>5150</v>
      </c>
      <c r="AV206" s="185" t="s">
        <v>176</v>
      </c>
      <c r="AW206" s="55" t="s">
        <v>1582</v>
      </c>
      <c r="AX206" s="185" t="s">
        <v>176</v>
      </c>
      <c r="AY206" s="55" t="s">
        <v>176</v>
      </c>
      <c r="AZ206" s="55" t="s">
        <v>216</v>
      </c>
      <c r="BA206" s="55" t="s">
        <v>216</v>
      </c>
      <c r="BB206" s="55" t="s">
        <v>2082</v>
      </c>
      <c r="BC206" s="55" t="s">
        <v>2082</v>
      </c>
      <c r="BD206" s="55" t="s">
        <v>176</v>
      </c>
      <c r="BK206" s="55" t="s">
        <v>6269</v>
      </c>
      <c r="BM206" s="192" t="s">
        <v>119</v>
      </c>
      <c r="BR206" s="55">
        <v>1633</v>
      </c>
      <c r="BU206" s="55" t="s">
        <v>279</v>
      </c>
      <c r="GN206" s="294">
        <v>1677</v>
      </c>
      <c r="GO206" s="294">
        <v>2436</v>
      </c>
      <c r="GP206" s="292" t="s">
        <v>5150</v>
      </c>
      <c r="HS206" s="227"/>
      <c r="HW206" s="227"/>
      <c r="JU206" s="55" t="s">
        <v>683</v>
      </c>
    </row>
    <row r="207" spans="1:281" x14ac:dyDescent="0.25">
      <c r="A207" s="55">
        <v>206</v>
      </c>
      <c r="B207" s="12" t="s">
        <v>7067</v>
      </c>
      <c r="C207" s="155">
        <v>14</v>
      </c>
      <c r="D207" s="55" t="s">
        <v>3735</v>
      </c>
      <c r="E207" s="90" t="s">
        <v>273</v>
      </c>
      <c r="G207" s="55" t="s">
        <v>274</v>
      </c>
      <c r="H207" s="55">
        <v>2011</v>
      </c>
      <c r="I207" s="55">
        <v>2010</v>
      </c>
      <c r="J207" s="55" t="s">
        <v>276</v>
      </c>
      <c r="K207" s="55" t="s">
        <v>275</v>
      </c>
      <c r="L207" s="55" t="s">
        <v>2737</v>
      </c>
      <c r="M207" s="90">
        <v>46.88</v>
      </c>
      <c r="N207" s="90">
        <v>-102.79</v>
      </c>
      <c r="O207" s="90">
        <v>735.8</v>
      </c>
      <c r="U207" s="55" t="s">
        <v>1820</v>
      </c>
      <c r="V207" s="55" t="s">
        <v>1820</v>
      </c>
      <c r="Y207" s="55" t="s">
        <v>1819</v>
      </c>
      <c r="Z207" s="55" t="s">
        <v>1344</v>
      </c>
      <c r="AA207" s="90" t="s">
        <v>1344</v>
      </c>
      <c r="AH207" s="55" t="s">
        <v>139</v>
      </c>
      <c r="AN207" s="185" t="s">
        <v>1527</v>
      </c>
      <c r="AO207" s="185" t="s">
        <v>5150</v>
      </c>
      <c r="AQ207" s="55" t="s">
        <v>131</v>
      </c>
      <c r="AR207" s="55" t="s">
        <v>227</v>
      </c>
      <c r="AS207" s="55" t="s">
        <v>227</v>
      </c>
      <c r="AT207" s="181" t="s">
        <v>1582</v>
      </c>
      <c r="AU207" s="181" t="s">
        <v>5150</v>
      </c>
      <c r="AV207" s="185" t="s">
        <v>176</v>
      </c>
      <c r="AW207" s="55" t="s">
        <v>1582</v>
      </c>
      <c r="AX207" s="185" t="s">
        <v>176</v>
      </c>
      <c r="AY207" s="55" t="s">
        <v>176</v>
      </c>
      <c r="AZ207" s="55" t="s">
        <v>216</v>
      </c>
      <c r="BA207" s="55" t="s">
        <v>216</v>
      </c>
      <c r="BB207" s="55" t="s">
        <v>2082</v>
      </c>
      <c r="BC207" s="55" t="s">
        <v>2082</v>
      </c>
      <c r="BD207" s="55" t="s">
        <v>176</v>
      </c>
      <c r="BK207" s="55" t="s">
        <v>6269</v>
      </c>
      <c r="BM207" s="192" t="s">
        <v>119</v>
      </c>
      <c r="BR207" s="55">
        <v>4052</v>
      </c>
      <c r="BU207" s="55" t="s">
        <v>277</v>
      </c>
      <c r="GN207" s="294">
        <v>796</v>
      </c>
      <c r="GO207" s="294">
        <v>640</v>
      </c>
      <c r="GP207" s="292" t="s">
        <v>5150</v>
      </c>
      <c r="HS207" s="227"/>
      <c r="HW207" s="227"/>
      <c r="JU207" s="55" t="s">
        <v>683</v>
      </c>
    </row>
    <row r="208" spans="1:281" x14ac:dyDescent="0.25">
      <c r="A208" s="55">
        <v>207</v>
      </c>
      <c r="B208" s="12" t="s">
        <v>7067</v>
      </c>
      <c r="C208" s="155">
        <v>14</v>
      </c>
      <c r="D208" s="55" t="s">
        <v>3736</v>
      </c>
      <c r="E208" s="90" t="s">
        <v>273</v>
      </c>
      <c r="G208" s="55" t="s">
        <v>274</v>
      </c>
      <c r="H208" s="55">
        <v>2011</v>
      </c>
      <c r="I208" s="55">
        <v>2010</v>
      </c>
      <c r="J208" s="55" t="s">
        <v>276</v>
      </c>
      <c r="K208" s="55" t="s">
        <v>275</v>
      </c>
      <c r="L208" s="55" t="s">
        <v>2737</v>
      </c>
      <c r="M208" s="90">
        <v>46.88</v>
      </c>
      <c r="N208" s="90">
        <v>-102.79</v>
      </c>
      <c r="O208" s="90">
        <v>735.8</v>
      </c>
      <c r="U208" s="55" t="s">
        <v>1820</v>
      </c>
      <c r="V208" s="55" t="s">
        <v>1820</v>
      </c>
      <c r="Y208" s="55" t="s">
        <v>1819</v>
      </c>
      <c r="Z208" s="55" t="s">
        <v>1344</v>
      </c>
      <c r="AA208" s="90" t="s">
        <v>1344</v>
      </c>
      <c r="AH208" s="55" t="s">
        <v>139</v>
      </c>
      <c r="AN208" s="185" t="s">
        <v>1527</v>
      </c>
      <c r="AO208" s="185" t="s">
        <v>5150</v>
      </c>
      <c r="AQ208" s="55" t="s">
        <v>131</v>
      </c>
      <c r="AR208" s="55" t="s">
        <v>227</v>
      </c>
      <c r="AS208" s="55" t="s">
        <v>227</v>
      </c>
      <c r="AT208" s="181" t="s">
        <v>1582</v>
      </c>
      <c r="AU208" s="181" t="s">
        <v>5150</v>
      </c>
      <c r="AV208" s="185" t="s">
        <v>176</v>
      </c>
      <c r="AW208" s="55" t="s">
        <v>1582</v>
      </c>
      <c r="AX208" s="185" t="s">
        <v>176</v>
      </c>
      <c r="AY208" s="55" t="s">
        <v>176</v>
      </c>
      <c r="AZ208" s="55" t="s">
        <v>216</v>
      </c>
      <c r="BA208" s="55" t="s">
        <v>216</v>
      </c>
      <c r="BB208" s="55" t="s">
        <v>2082</v>
      </c>
      <c r="BC208" s="55" t="s">
        <v>2082</v>
      </c>
      <c r="BD208" s="55" t="s">
        <v>176</v>
      </c>
      <c r="BK208" s="55" t="s">
        <v>6269</v>
      </c>
      <c r="BM208" s="192" t="s">
        <v>119</v>
      </c>
      <c r="BR208" s="55">
        <v>4052</v>
      </c>
      <c r="BU208" s="55" t="s">
        <v>278</v>
      </c>
      <c r="GN208" s="294">
        <v>1738</v>
      </c>
      <c r="GO208" s="294">
        <v>640</v>
      </c>
      <c r="GP208" s="292" t="s">
        <v>5150</v>
      </c>
      <c r="HS208" s="227"/>
      <c r="HW208" s="227"/>
      <c r="JU208" s="55" t="s">
        <v>683</v>
      </c>
    </row>
    <row r="209" spans="1:283" x14ac:dyDescent="0.25">
      <c r="A209" s="55">
        <v>208</v>
      </c>
      <c r="B209" s="12" t="s">
        <v>7067</v>
      </c>
      <c r="C209" s="155">
        <v>14</v>
      </c>
      <c r="D209" s="55" t="s">
        <v>3737</v>
      </c>
      <c r="E209" s="90" t="s">
        <v>273</v>
      </c>
      <c r="G209" s="55" t="s">
        <v>274</v>
      </c>
      <c r="H209" s="55">
        <v>2011</v>
      </c>
      <c r="I209" s="55">
        <v>2010</v>
      </c>
      <c r="J209" s="55" t="s">
        <v>276</v>
      </c>
      <c r="K209" s="55" t="s">
        <v>275</v>
      </c>
      <c r="L209" s="55" t="s">
        <v>2737</v>
      </c>
      <c r="M209" s="90">
        <v>46.88</v>
      </c>
      <c r="N209" s="90">
        <v>-102.79</v>
      </c>
      <c r="O209" s="90">
        <v>735.8</v>
      </c>
      <c r="U209" s="55" t="s">
        <v>1820</v>
      </c>
      <c r="V209" s="55" t="s">
        <v>1820</v>
      </c>
      <c r="Y209" s="55" t="s">
        <v>1819</v>
      </c>
      <c r="Z209" s="55" t="s">
        <v>1344</v>
      </c>
      <c r="AA209" s="90" t="s">
        <v>1344</v>
      </c>
      <c r="AH209" s="55" t="s">
        <v>139</v>
      </c>
      <c r="AN209" s="185" t="s">
        <v>1527</v>
      </c>
      <c r="AO209" s="185" t="s">
        <v>5150</v>
      </c>
      <c r="AQ209" s="55" t="s">
        <v>131</v>
      </c>
      <c r="AR209" s="55" t="s">
        <v>227</v>
      </c>
      <c r="AS209" s="55" t="s">
        <v>227</v>
      </c>
      <c r="AT209" s="181" t="s">
        <v>1582</v>
      </c>
      <c r="AU209" s="181" t="s">
        <v>5150</v>
      </c>
      <c r="AV209" s="185" t="s">
        <v>176</v>
      </c>
      <c r="AW209" s="55" t="s">
        <v>1582</v>
      </c>
      <c r="AX209" s="185" t="s">
        <v>176</v>
      </c>
      <c r="AY209" s="55" t="s">
        <v>176</v>
      </c>
      <c r="AZ209" s="55" t="s">
        <v>216</v>
      </c>
      <c r="BA209" s="55" t="s">
        <v>216</v>
      </c>
      <c r="BB209" s="55" t="s">
        <v>2082</v>
      </c>
      <c r="BC209" s="55" t="s">
        <v>2082</v>
      </c>
      <c r="BD209" s="55" t="s">
        <v>176</v>
      </c>
      <c r="BK209" s="55" t="s">
        <v>6269</v>
      </c>
      <c r="BM209" s="192" t="s">
        <v>119</v>
      </c>
      <c r="BR209" s="55">
        <v>4052</v>
      </c>
      <c r="BU209" s="55" t="s">
        <v>279</v>
      </c>
      <c r="GN209" s="294">
        <v>1677</v>
      </c>
      <c r="GO209" s="294">
        <v>640</v>
      </c>
      <c r="GP209" s="292" t="s">
        <v>5150</v>
      </c>
      <c r="HS209" s="227"/>
      <c r="HW209" s="227"/>
      <c r="JU209" s="55" t="s">
        <v>683</v>
      </c>
    </row>
    <row r="210" spans="1:283" x14ac:dyDescent="0.25">
      <c r="A210" s="55">
        <v>209</v>
      </c>
      <c r="B210" s="12" t="s">
        <v>7067</v>
      </c>
      <c r="C210" s="155">
        <v>14</v>
      </c>
      <c r="D210" s="55" t="s">
        <v>3738</v>
      </c>
      <c r="E210" s="90" t="s">
        <v>273</v>
      </c>
      <c r="G210" s="55" t="s">
        <v>274</v>
      </c>
      <c r="H210" s="55">
        <v>2011</v>
      </c>
      <c r="I210" s="55">
        <v>2010</v>
      </c>
      <c r="J210" s="55" t="s">
        <v>276</v>
      </c>
      <c r="K210" s="55" t="s">
        <v>275</v>
      </c>
      <c r="L210" s="55" t="s">
        <v>2737</v>
      </c>
      <c r="M210" s="90">
        <v>46.88</v>
      </c>
      <c r="N210" s="90">
        <v>-102.79</v>
      </c>
      <c r="O210" s="90">
        <v>735.8</v>
      </c>
      <c r="U210" s="55" t="s">
        <v>1820</v>
      </c>
      <c r="V210" s="55" t="s">
        <v>1820</v>
      </c>
      <c r="Y210" s="55" t="s">
        <v>1819</v>
      </c>
      <c r="Z210" s="55" t="s">
        <v>1344</v>
      </c>
      <c r="AA210" s="90" t="s">
        <v>1344</v>
      </c>
      <c r="AH210" s="55" t="s">
        <v>139</v>
      </c>
      <c r="AN210" s="185" t="s">
        <v>1491</v>
      </c>
      <c r="AO210" s="185" t="s">
        <v>5150</v>
      </c>
      <c r="AQ210" s="55" t="s">
        <v>1545</v>
      </c>
      <c r="AR210" s="55" t="s">
        <v>227</v>
      </c>
      <c r="AS210" s="55" t="s">
        <v>227</v>
      </c>
      <c r="AT210" s="181" t="s">
        <v>1582</v>
      </c>
      <c r="AU210" s="181" t="s">
        <v>5150</v>
      </c>
      <c r="AV210" s="185" t="s">
        <v>176</v>
      </c>
      <c r="AW210" s="55" t="s">
        <v>1582</v>
      </c>
      <c r="AX210" s="185" t="s">
        <v>176</v>
      </c>
      <c r="AY210" s="55" t="s">
        <v>176</v>
      </c>
      <c r="AZ210" s="55" t="s">
        <v>216</v>
      </c>
      <c r="BA210" s="55" t="s">
        <v>216</v>
      </c>
      <c r="BB210" s="55" t="s">
        <v>2082</v>
      </c>
      <c r="BC210" s="55" t="s">
        <v>2082</v>
      </c>
      <c r="BD210" s="55" t="s">
        <v>176</v>
      </c>
      <c r="BK210" s="55" t="s">
        <v>6269</v>
      </c>
      <c r="BM210" s="192" t="s">
        <v>119</v>
      </c>
      <c r="BR210" s="55">
        <v>3821</v>
      </c>
      <c r="BU210" s="55" t="s">
        <v>277</v>
      </c>
      <c r="GN210" s="294">
        <v>796</v>
      </c>
      <c r="GO210" s="294">
        <v>800</v>
      </c>
      <c r="GP210" s="292" t="s">
        <v>5150</v>
      </c>
      <c r="HS210" s="227"/>
      <c r="HW210" s="227"/>
      <c r="JU210" s="55" t="s">
        <v>683</v>
      </c>
    </row>
    <row r="211" spans="1:283" x14ac:dyDescent="0.25">
      <c r="A211" s="55">
        <v>210</v>
      </c>
      <c r="B211" s="12" t="s">
        <v>7067</v>
      </c>
      <c r="C211" s="155">
        <v>14</v>
      </c>
      <c r="D211" s="55" t="s">
        <v>3739</v>
      </c>
      <c r="E211" s="90" t="s">
        <v>273</v>
      </c>
      <c r="G211" s="55" t="s">
        <v>274</v>
      </c>
      <c r="H211" s="55">
        <v>2011</v>
      </c>
      <c r="I211" s="55">
        <v>2010</v>
      </c>
      <c r="J211" s="55" t="s">
        <v>276</v>
      </c>
      <c r="K211" s="55" t="s">
        <v>275</v>
      </c>
      <c r="L211" s="55" t="s">
        <v>2737</v>
      </c>
      <c r="M211" s="90">
        <v>46.88</v>
      </c>
      <c r="N211" s="90">
        <v>-102.79</v>
      </c>
      <c r="O211" s="90">
        <v>735.8</v>
      </c>
      <c r="U211" s="55" t="s">
        <v>1820</v>
      </c>
      <c r="V211" s="55" t="s">
        <v>1820</v>
      </c>
      <c r="Y211" s="55" t="s">
        <v>1819</v>
      </c>
      <c r="Z211" s="55" t="s">
        <v>1344</v>
      </c>
      <c r="AA211" s="90" t="s">
        <v>1344</v>
      </c>
      <c r="AH211" s="55" t="s">
        <v>139</v>
      </c>
      <c r="AN211" s="185" t="s">
        <v>1491</v>
      </c>
      <c r="AO211" s="185" t="s">
        <v>5150</v>
      </c>
      <c r="AQ211" s="55" t="s">
        <v>1545</v>
      </c>
      <c r="AR211" s="55" t="s">
        <v>227</v>
      </c>
      <c r="AS211" s="55" t="s">
        <v>227</v>
      </c>
      <c r="AT211" s="181" t="s">
        <v>1582</v>
      </c>
      <c r="AU211" s="181" t="s">
        <v>5150</v>
      </c>
      <c r="AV211" s="185" t="s">
        <v>176</v>
      </c>
      <c r="AW211" s="55" t="s">
        <v>1582</v>
      </c>
      <c r="AX211" s="185" t="s">
        <v>176</v>
      </c>
      <c r="AY211" s="55" t="s">
        <v>176</v>
      </c>
      <c r="AZ211" s="55" t="s">
        <v>216</v>
      </c>
      <c r="BA211" s="55" t="s">
        <v>216</v>
      </c>
      <c r="BB211" s="55" t="s">
        <v>2082</v>
      </c>
      <c r="BC211" s="55" t="s">
        <v>2082</v>
      </c>
      <c r="BD211" s="55" t="s">
        <v>176</v>
      </c>
      <c r="BK211" s="55" t="s">
        <v>6269</v>
      </c>
      <c r="BM211" s="192" t="s">
        <v>119</v>
      </c>
      <c r="BR211" s="55">
        <v>3821</v>
      </c>
      <c r="BU211" s="55" t="s">
        <v>278</v>
      </c>
      <c r="GN211" s="294">
        <v>1738</v>
      </c>
      <c r="GO211" s="294">
        <v>800</v>
      </c>
      <c r="GP211" s="292" t="s">
        <v>5150</v>
      </c>
      <c r="HS211" s="227"/>
      <c r="HW211" s="227"/>
      <c r="JU211" s="55" t="s">
        <v>683</v>
      </c>
    </row>
    <row r="212" spans="1:283" x14ac:dyDescent="0.25">
      <c r="A212" s="55">
        <v>211</v>
      </c>
      <c r="B212" s="12" t="s">
        <v>7067</v>
      </c>
      <c r="C212" s="155">
        <v>14</v>
      </c>
      <c r="D212" s="55" t="s">
        <v>3740</v>
      </c>
      <c r="E212" s="90" t="s">
        <v>273</v>
      </c>
      <c r="G212" s="55" t="s">
        <v>274</v>
      </c>
      <c r="H212" s="55">
        <v>2011</v>
      </c>
      <c r="I212" s="55">
        <v>2010</v>
      </c>
      <c r="J212" s="55" t="s">
        <v>276</v>
      </c>
      <c r="K212" s="55" t="s">
        <v>275</v>
      </c>
      <c r="L212" s="55" t="s">
        <v>2737</v>
      </c>
      <c r="M212" s="90">
        <v>46.88</v>
      </c>
      <c r="N212" s="90">
        <v>-102.79</v>
      </c>
      <c r="O212" s="90">
        <v>735.8</v>
      </c>
      <c r="U212" s="55" t="s">
        <v>1820</v>
      </c>
      <c r="V212" s="55" t="s">
        <v>1820</v>
      </c>
      <c r="Y212" s="55" t="s">
        <v>1819</v>
      </c>
      <c r="Z212" s="55" t="s">
        <v>1344</v>
      </c>
      <c r="AA212" s="90" t="s">
        <v>1344</v>
      </c>
      <c r="AH212" s="55" t="s">
        <v>139</v>
      </c>
      <c r="AN212" s="185" t="s">
        <v>1491</v>
      </c>
      <c r="AO212" s="185" t="s">
        <v>5150</v>
      </c>
      <c r="AQ212" s="55" t="s">
        <v>1545</v>
      </c>
      <c r="AR212" s="55" t="s">
        <v>227</v>
      </c>
      <c r="AS212" s="55" t="s">
        <v>227</v>
      </c>
      <c r="AT212" s="181" t="s">
        <v>1582</v>
      </c>
      <c r="AU212" s="181" t="s">
        <v>5150</v>
      </c>
      <c r="AV212" s="185" t="s">
        <v>176</v>
      </c>
      <c r="AW212" s="55" t="s">
        <v>1582</v>
      </c>
      <c r="AX212" s="185" t="s">
        <v>176</v>
      </c>
      <c r="AY212" s="55" t="s">
        <v>176</v>
      </c>
      <c r="AZ212" s="55" t="s">
        <v>216</v>
      </c>
      <c r="BA212" s="55" t="s">
        <v>216</v>
      </c>
      <c r="BB212" s="55" t="s">
        <v>2082</v>
      </c>
      <c r="BC212" s="55" t="s">
        <v>2082</v>
      </c>
      <c r="BD212" s="55" t="s">
        <v>176</v>
      </c>
      <c r="BK212" s="55" t="s">
        <v>6269</v>
      </c>
      <c r="BM212" s="192" t="s">
        <v>119</v>
      </c>
      <c r="BR212" s="55">
        <v>3821</v>
      </c>
      <c r="BU212" s="55" t="s">
        <v>279</v>
      </c>
      <c r="GN212" s="294">
        <v>1677</v>
      </c>
      <c r="GO212" s="294">
        <v>800</v>
      </c>
      <c r="GP212" s="292" t="s">
        <v>5150</v>
      </c>
      <c r="HS212" s="227"/>
      <c r="HW212" s="227"/>
      <c r="JU212" s="55" t="s">
        <v>683</v>
      </c>
    </row>
    <row r="213" spans="1:283" s="229" customFormat="1" x14ac:dyDescent="0.25">
      <c r="A213" s="181">
        <v>212</v>
      </c>
      <c r="B213" s="229" t="s">
        <v>7067</v>
      </c>
      <c r="C213" s="230">
        <v>14</v>
      </c>
      <c r="D213" s="181" t="s">
        <v>3741</v>
      </c>
      <c r="E213" s="231" t="s">
        <v>273</v>
      </c>
      <c r="F213" s="231"/>
      <c r="G213" s="181" t="s">
        <v>274</v>
      </c>
      <c r="H213" s="181">
        <v>2011</v>
      </c>
      <c r="I213" s="181">
        <v>2010</v>
      </c>
      <c r="J213" s="181" t="s">
        <v>276</v>
      </c>
      <c r="K213" s="181" t="s">
        <v>275</v>
      </c>
      <c r="L213" s="181" t="s">
        <v>2737</v>
      </c>
      <c r="M213" s="231">
        <v>46.88</v>
      </c>
      <c r="N213" s="231">
        <v>-102.79</v>
      </c>
      <c r="O213" s="231">
        <v>735.8</v>
      </c>
      <c r="P213" s="181"/>
      <c r="Q213" s="181"/>
      <c r="R213" s="181"/>
      <c r="S213" s="231"/>
      <c r="T213" s="181"/>
      <c r="U213" s="181" t="s">
        <v>1820</v>
      </c>
      <c r="V213" s="181" t="s">
        <v>1820</v>
      </c>
      <c r="W213" s="181"/>
      <c r="X213" s="181"/>
      <c r="Y213" s="181" t="s">
        <v>1819</v>
      </c>
      <c r="Z213" s="181" t="s">
        <v>1344</v>
      </c>
      <c r="AA213" s="231" t="s">
        <v>1344</v>
      </c>
      <c r="AB213" s="232"/>
      <c r="AC213" s="232"/>
      <c r="AD213" s="231"/>
      <c r="AE213" s="231"/>
      <c r="AF213" s="231"/>
      <c r="AG213" s="231"/>
      <c r="AH213" s="181" t="s">
        <v>139</v>
      </c>
      <c r="AI213" s="181"/>
      <c r="AJ213" s="231"/>
      <c r="AK213" s="231"/>
      <c r="AL213" s="181"/>
      <c r="AM213" s="181"/>
      <c r="AN213" s="185" t="s">
        <v>1538</v>
      </c>
      <c r="AO213" s="185" t="s">
        <v>5150</v>
      </c>
      <c r="AP213" s="181"/>
      <c r="AQ213" s="181" t="s">
        <v>1546</v>
      </c>
      <c r="AR213" s="181" t="s">
        <v>227</v>
      </c>
      <c r="AS213" s="181" t="s">
        <v>227</v>
      </c>
      <c r="AT213" s="181" t="s">
        <v>1582</v>
      </c>
      <c r="AU213" s="181" t="s">
        <v>5150</v>
      </c>
      <c r="AV213" s="185" t="s">
        <v>479</v>
      </c>
      <c r="AW213" s="181" t="s">
        <v>1582</v>
      </c>
      <c r="AX213" s="185" t="s">
        <v>479</v>
      </c>
      <c r="AY213" s="181" t="s">
        <v>176</v>
      </c>
      <c r="AZ213" s="181" t="s">
        <v>216</v>
      </c>
      <c r="BA213" s="181" t="s">
        <v>216</v>
      </c>
      <c r="BB213" s="181" t="s">
        <v>2082</v>
      </c>
      <c r="BC213" s="181" t="s">
        <v>2082</v>
      </c>
      <c r="BD213" s="181" t="s">
        <v>176</v>
      </c>
      <c r="BE213" s="226"/>
      <c r="BF213" s="181"/>
      <c r="BG213" s="181"/>
      <c r="BH213" s="226"/>
      <c r="BI213" s="181"/>
      <c r="BJ213" s="181"/>
      <c r="BK213" s="181" t="s">
        <v>6269</v>
      </c>
      <c r="BL213" s="181"/>
      <c r="BM213" s="192" t="s">
        <v>119</v>
      </c>
      <c r="BN213" s="181"/>
      <c r="BO213" s="181"/>
      <c r="BP213" s="181"/>
      <c r="BQ213" s="181"/>
      <c r="BR213" s="181">
        <v>4039</v>
      </c>
      <c r="BS213" s="181"/>
      <c r="BT213" s="181"/>
      <c r="BU213" s="181" t="s">
        <v>277</v>
      </c>
      <c r="BV213" s="181"/>
      <c r="BW213" s="232"/>
      <c r="BX213" s="232"/>
      <c r="BY213" s="232"/>
      <c r="BZ213" s="232"/>
      <c r="CA213" s="232"/>
      <c r="CB213" s="183"/>
      <c r="CC213" s="183"/>
      <c r="CD213" s="183"/>
      <c r="CE213" s="232"/>
      <c r="CF213" s="232"/>
      <c r="CG213" s="232"/>
      <c r="CH213" s="231"/>
      <c r="CI213" s="231"/>
      <c r="CJ213" s="232"/>
      <c r="CK213" s="232"/>
      <c r="CL213" s="232"/>
      <c r="CM213" s="232"/>
      <c r="CN213" s="232"/>
      <c r="CO213" s="232"/>
      <c r="CP213" s="232"/>
      <c r="CQ213" s="232"/>
      <c r="CR213" s="232"/>
      <c r="CS213" s="232"/>
      <c r="CT213" s="232"/>
      <c r="CU213" s="232"/>
      <c r="CV213" s="232"/>
      <c r="CW213" s="232"/>
      <c r="CX213" s="232"/>
      <c r="CY213" s="232"/>
      <c r="CZ213" s="232"/>
      <c r="DA213" s="232"/>
      <c r="DB213" s="232"/>
      <c r="DC213" s="232"/>
      <c r="DD213" s="232"/>
      <c r="DE213" s="232"/>
      <c r="DF213" s="232"/>
      <c r="DG213" s="232"/>
      <c r="DH213" s="232"/>
      <c r="DI213" s="232"/>
      <c r="DJ213" s="232"/>
      <c r="DK213" s="232"/>
      <c r="DL213" s="232"/>
      <c r="DM213" s="232"/>
      <c r="DN213" s="232"/>
      <c r="DO213" s="232"/>
      <c r="DP213" s="232"/>
      <c r="DQ213" s="233"/>
      <c r="DR213" s="233"/>
      <c r="DS213" s="232"/>
      <c r="DT213" s="232"/>
      <c r="DU213" s="232"/>
      <c r="DV213" s="232"/>
      <c r="DW213" s="232"/>
      <c r="DX213" s="232"/>
      <c r="DY213" s="232"/>
      <c r="DZ213" s="232"/>
      <c r="EA213" s="232"/>
      <c r="EB213" s="232"/>
      <c r="EC213" s="232"/>
      <c r="ED213" s="232"/>
      <c r="EE213" s="232"/>
      <c r="EF213" s="232"/>
      <c r="EG213" s="232"/>
      <c r="EH213" s="232"/>
      <c r="EI213" s="232"/>
      <c r="EJ213" s="232"/>
      <c r="EK213" s="231"/>
      <c r="EL213" s="231"/>
      <c r="EM213" s="232"/>
      <c r="EN213" s="232"/>
      <c r="EO213" s="232"/>
      <c r="EP213" s="232"/>
      <c r="EQ213" s="232"/>
      <c r="ER213" s="232"/>
      <c r="ES213" s="232"/>
      <c r="ET213" s="232"/>
      <c r="EU213" s="232"/>
      <c r="EV213" s="232"/>
      <c r="EW213" s="232"/>
      <c r="EX213" s="232"/>
      <c r="EY213" s="232"/>
      <c r="EZ213" s="232"/>
      <c r="FA213" s="232"/>
      <c r="FB213" s="232"/>
      <c r="FC213" s="232"/>
      <c r="FD213" s="232"/>
      <c r="FE213" s="232"/>
      <c r="FF213" s="232"/>
      <c r="FG213" s="232"/>
      <c r="FH213" s="232"/>
      <c r="FI213" s="232"/>
      <c r="FJ213" s="232"/>
      <c r="FK213" s="232"/>
      <c r="FL213" s="232"/>
      <c r="FM213" s="232"/>
      <c r="FN213" s="232"/>
      <c r="FO213" s="232"/>
      <c r="FP213" s="232"/>
      <c r="FQ213" s="232"/>
      <c r="FR213" s="232"/>
      <c r="FS213" s="232"/>
      <c r="FT213" s="232"/>
      <c r="FU213" s="232"/>
      <c r="FV213" s="232"/>
      <c r="FW213" s="232"/>
      <c r="FX213" s="232"/>
      <c r="FY213" s="232"/>
      <c r="FZ213" s="232"/>
      <c r="GA213" s="232"/>
      <c r="GB213" s="232"/>
      <c r="GC213" s="232"/>
      <c r="GD213" s="232"/>
      <c r="GE213" s="232"/>
      <c r="GF213" s="232"/>
      <c r="GG213" s="232"/>
      <c r="GH213" s="232"/>
      <c r="GI213" s="232"/>
      <c r="GJ213" s="232"/>
      <c r="GK213" s="232"/>
      <c r="GL213" s="232"/>
      <c r="GM213" s="232"/>
      <c r="GN213" s="294">
        <v>796</v>
      </c>
      <c r="GO213" s="294">
        <v>717</v>
      </c>
      <c r="GP213" s="292" t="s">
        <v>5150</v>
      </c>
      <c r="GQ213" s="232"/>
      <c r="GR213" s="232"/>
      <c r="GS213" s="232"/>
      <c r="GT213" s="232"/>
      <c r="GU213" s="232"/>
      <c r="GV213" s="232"/>
      <c r="GW213" s="232"/>
      <c r="GX213" s="232"/>
      <c r="GY213" s="232"/>
      <c r="GZ213" s="232"/>
      <c r="HA213" s="232"/>
      <c r="HB213" s="232"/>
      <c r="HC213" s="232"/>
      <c r="HD213" s="232"/>
      <c r="HE213" s="232"/>
      <c r="HF213" s="232"/>
      <c r="HG213" s="232"/>
      <c r="HH213" s="232"/>
      <c r="HI213" s="232"/>
      <c r="HJ213" s="232"/>
      <c r="HK213" s="232"/>
      <c r="HL213" s="232"/>
      <c r="HM213" s="232"/>
      <c r="HN213" s="232"/>
      <c r="HO213" s="232"/>
      <c r="HP213" s="232"/>
      <c r="HQ213" s="232"/>
      <c r="HR213" s="232"/>
      <c r="HS213" s="233"/>
      <c r="HT213" s="232"/>
      <c r="HU213" s="232"/>
      <c r="HV213" s="232"/>
      <c r="HW213" s="233"/>
      <c r="HX213" s="232"/>
      <c r="HY213" s="232"/>
      <c r="HZ213" s="232"/>
      <c r="IA213" s="232"/>
      <c r="IB213" s="232"/>
      <c r="IC213" s="232"/>
      <c r="ID213" s="232"/>
      <c r="IE213" s="232"/>
      <c r="IF213" s="232"/>
      <c r="IG213" s="232"/>
      <c r="IH213" s="232"/>
      <c r="II213" s="232"/>
      <c r="IJ213" s="232"/>
      <c r="IK213" s="232"/>
      <c r="IL213" s="232"/>
      <c r="IM213" s="232"/>
      <c r="IN213" s="232"/>
      <c r="IO213" s="232"/>
      <c r="IP213" s="232"/>
      <c r="IQ213" s="232"/>
      <c r="IR213" s="232"/>
      <c r="IS213" s="232"/>
      <c r="IT213" s="232"/>
      <c r="IU213" s="232"/>
      <c r="IV213" s="232"/>
      <c r="IW213" s="232"/>
      <c r="IX213" s="232"/>
      <c r="IY213" s="232"/>
      <c r="IZ213" s="232"/>
      <c r="JA213" s="232"/>
      <c r="JB213" s="232"/>
      <c r="JC213" s="232"/>
      <c r="JD213" s="232"/>
      <c r="JE213" s="232"/>
      <c r="JF213" s="232"/>
      <c r="JG213" s="232"/>
      <c r="JH213" s="232"/>
      <c r="JI213" s="232"/>
      <c r="JJ213" s="232"/>
      <c r="JK213" s="232"/>
      <c r="JL213" s="232"/>
      <c r="JM213" s="232"/>
      <c r="JN213" s="232"/>
      <c r="JO213" s="232"/>
      <c r="JP213" s="232"/>
      <c r="JQ213" s="232"/>
      <c r="JR213" s="232"/>
      <c r="JS213" s="232"/>
      <c r="JT213" s="232"/>
      <c r="JU213" s="181" t="s">
        <v>683</v>
      </c>
      <c r="JV213" s="181"/>
      <c r="JW213" s="181"/>
    </row>
    <row r="214" spans="1:283" s="229" customFormat="1" x14ac:dyDescent="0.25">
      <c r="A214" s="181">
        <v>213</v>
      </c>
      <c r="B214" s="229" t="s">
        <v>7067</v>
      </c>
      <c r="C214" s="230">
        <v>14</v>
      </c>
      <c r="D214" s="181" t="s">
        <v>3742</v>
      </c>
      <c r="E214" s="231" t="s">
        <v>273</v>
      </c>
      <c r="F214" s="231"/>
      <c r="G214" s="181" t="s">
        <v>274</v>
      </c>
      <c r="H214" s="181">
        <v>2011</v>
      </c>
      <c r="I214" s="181">
        <v>2010</v>
      </c>
      <c r="J214" s="181" t="s">
        <v>276</v>
      </c>
      <c r="K214" s="181" t="s">
        <v>275</v>
      </c>
      <c r="L214" s="181" t="s">
        <v>2737</v>
      </c>
      <c r="M214" s="231">
        <v>46.88</v>
      </c>
      <c r="N214" s="231">
        <v>-102.79</v>
      </c>
      <c r="O214" s="231">
        <v>735.8</v>
      </c>
      <c r="P214" s="181"/>
      <c r="Q214" s="181"/>
      <c r="R214" s="181"/>
      <c r="S214" s="231"/>
      <c r="T214" s="181"/>
      <c r="U214" s="181" t="s">
        <v>1820</v>
      </c>
      <c r="V214" s="181" t="s">
        <v>1820</v>
      </c>
      <c r="W214" s="181"/>
      <c r="X214" s="181"/>
      <c r="Y214" s="181" t="s">
        <v>1819</v>
      </c>
      <c r="Z214" s="181" t="s">
        <v>1344</v>
      </c>
      <c r="AA214" s="231" t="s">
        <v>1344</v>
      </c>
      <c r="AB214" s="232"/>
      <c r="AC214" s="232"/>
      <c r="AD214" s="231"/>
      <c r="AE214" s="231"/>
      <c r="AF214" s="231"/>
      <c r="AG214" s="231"/>
      <c r="AH214" s="181" t="s">
        <v>139</v>
      </c>
      <c r="AI214" s="181"/>
      <c r="AJ214" s="231"/>
      <c r="AK214" s="231"/>
      <c r="AL214" s="181"/>
      <c r="AM214" s="181"/>
      <c r="AN214" s="185" t="s">
        <v>1538</v>
      </c>
      <c r="AO214" s="185" t="s">
        <v>5150</v>
      </c>
      <c r="AP214" s="181"/>
      <c r="AQ214" s="181" t="s">
        <v>1546</v>
      </c>
      <c r="AR214" s="181" t="s">
        <v>227</v>
      </c>
      <c r="AS214" s="181" t="s">
        <v>227</v>
      </c>
      <c r="AT214" s="181" t="s">
        <v>1582</v>
      </c>
      <c r="AU214" s="181" t="s">
        <v>5150</v>
      </c>
      <c r="AV214" s="185" t="s">
        <v>479</v>
      </c>
      <c r="AW214" s="181" t="s">
        <v>1582</v>
      </c>
      <c r="AX214" s="185" t="s">
        <v>479</v>
      </c>
      <c r="AY214" s="181" t="s">
        <v>176</v>
      </c>
      <c r="AZ214" s="181" t="s">
        <v>216</v>
      </c>
      <c r="BA214" s="181" t="s">
        <v>216</v>
      </c>
      <c r="BB214" s="181" t="s">
        <v>2082</v>
      </c>
      <c r="BC214" s="181" t="s">
        <v>2082</v>
      </c>
      <c r="BD214" s="181" t="s">
        <v>176</v>
      </c>
      <c r="BE214" s="226"/>
      <c r="BF214" s="181"/>
      <c r="BG214" s="181"/>
      <c r="BH214" s="226"/>
      <c r="BI214" s="181"/>
      <c r="BJ214" s="181"/>
      <c r="BK214" s="181" t="s">
        <v>6269</v>
      </c>
      <c r="BL214" s="181"/>
      <c r="BM214" s="192" t="s">
        <v>119</v>
      </c>
      <c r="BN214" s="181"/>
      <c r="BO214" s="181"/>
      <c r="BP214" s="181"/>
      <c r="BQ214" s="181"/>
      <c r="BR214" s="181">
        <v>4039</v>
      </c>
      <c r="BS214" s="181"/>
      <c r="BT214" s="181"/>
      <c r="BU214" s="181" t="s">
        <v>278</v>
      </c>
      <c r="BV214" s="181"/>
      <c r="BW214" s="232"/>
      <c r="BX214" s="232"/>
      <c r="BY214" s="232"/>
      <c r="BZ214" s="232"/>
      <c r="CA214" s="232"/>
      <c r="CB214" s="183"/>
      <c r="CC214" s="183"/>
      <c r="CD214" s="183"/>
      <c r="CE214" s="232"/>
      <c r="CF214" s="232"/>
      <c r="CG214" s="232"/>
      <c r="CH214" s="231"/>
      <c r="CI214" s="231"/>
      <c r="CJ214" s="232"/>
      <c r="CK214" s="232"/>
      <c r="CL214" s="232"/>
      <c r="CM214" s="232"/>
      <c r="CN214" s="232"/>
      <c r="CO214" s="232"/>
      <c r="CP214" s="232"/>
      <c r="CQ214" s="232"/>
      <c r="CR214" s="232"/>
      <c r="CS214" s="232"/>
      <c r="CT214" s="232"/>
      <c r="CU214" s="232"/>
      <c r="CV214" s="232"/>
      <c r="CW214" s="232"/>
      <c r="CX214" s="232"/>
      <c r="CY214" s="232"/>
      <c r="CZ214" s="232"/>
      <c r="DA214" s="232"/>
      <c r="DB214" s="232"/>
      <c r="DC214" s="232"/>
      <c r="DD214" s="232"/>
      <c r="DE214" s="232"/>
      <c r="DF214" s="232"/>
      <c r="DG214" s="232"/>
      <c r="DH214" s="232"/>
      <c r="DI214" s="232"/>
      <c r="DJ214" s="232"/>
      <c r="DK214" s="232"/>
      <c r="DL214" s="232"/>
      <c r="DM214" s="232"/>
      <c r="DN214" s="232"/>
      <c r="DO214" s="232"/>
      <c r="DP214" s="232"/>
      <c r="DQ214" s="233"/>
      <c r="DR214" s="233"/>
      <c r="DS214" s="232"/>
      <c r="DT214" s="232"/>
      <c r="DU214" s="232"/>
      <c r="DV214" s="232"/>
      <c r="DW214" s="232"/>
      <c r="DX214" s="232"/>
      <c r="DY214" s="232"/>
      <c r="DZ214" s="232"/>
      <c r="EA214" s="232"/>
      <c r="EB214" s="232"/>
      <c r="EC214" s="232"/>
      <c r="ED214" s="232"/>
      <c r="EE214" s="232"/>
      <c r="EF214" s="232"/>
      <c r="EG214" s="232"/>
      <c r="EH214" s="232"/>
      <c r="EI214" s="232"/>
      <c r="EJ214" s="232"/>
      <c r="EK214" s="231"/>
      <c r="EL214" s="231"/>
      <c r="EM214" s="232"/>
      <c r="EN214" s="232"/>
      <c r="EO214" s="232"/>
      <c r="EP214" s="232"/>
      <c r="EQ214" s="232"/>
      <c r="ER214" s="232"/>
      <c r="ES214" s="232"/>
      <c r="ET214" s="232"/>
      <c r="EU214" s="232"/>
      <c r="EV214" s="232"/>
      <c r="EW214" s="232"/>
      <c r="EX214" s="232"/>
      <c r="EY214" s="232"/>
      <c r="EZ214" s="232"/>
      <c r="FA214" s="232"/>
      <c r="FB214" s="232"/>
      <c r="FC214" s="232"/>
      <c r="FD214" s="232"/>
      <c r="FE214" s="232"/>
      <c r="FF214" s="232"/>
      <c r="FG214" s="232"/>
      <c r="FH214" s="232"/>
      <c r="FI214" s="232"/>
      <c r="FJ214" s="232"/>
      <c r="FK214" s="232"/>
      <c r="FL214" s="232"/>
      <c r="FM214" s="232"/>
      <c r="FN214" s="232"/>
      <c r="FO214" s="232"/>
      <c r="FP214" s="232"/>
      <c r="FQ214" s="232"/>
      <c r="FR214" s="232"/>
      <c r="FS214" s="232"/>
      <c r="FT214" s="232"/>
      <c r="FU214" s="232"/>
      <c r="FV214" s="232"/>
      <c r="FW214" s="232"/>
      <c r="FX214" s="232"/>
      <c r="FY214" s="232"/>
      <c r="FZ214" s="232"/>
      <c r="GA214" s="232"/>
      <c r="GB214" s="232"/>
      <c r="GC214" s="232"/>
      <c r="GD214" s="232"/>
      <c r="GE214" s="232"/>
      <c r="GF214" s="232"/>
      <c r="GG214" s="232"/>
      <c r="GH214" s="232"/>
      <c r="GI214" s="232"/>
      <c r="GJ214" s="232"/>
      <c r="GK214" s="232"/>
      <c r="GL214" s="232"/>
      <c r="GM214" s="232"/>
      <c r="GN214" s="294">
        <v>1738</v>
      </c>
      <c r="GO214" s="294">
        <v>717</v>
      </c>
      <c r="GP214" s="292" t="s">
        <v>5150</v>
      </c>
      <c r="GQ214" s="232"/>
      <c r="GR214" s="232"/>
      <c r="GS214" s="232"/>
      <c r="GT214" s="232"/>
      <c r="GU214" s="232"/>
      <c r="GV214" s="232"/>
      <c r="GW214" s="232"/>
      <c r="GX214" s="232"/>
      <c r="GY214" s="232"/>
      <c r="GZ214" s="232"/>
      <c r="HA214" s="232"/>
      <c r="HB214" s="232"/>
      <c r="HC214" s="232"/>
      <c r="HD214" s="232"/>
      <c r="HE214" s="232"/>
      <c r="HF214" s="232"/>
      <c r="HG214" s="232"/>
      <c r="HH214" s="232"/>
      <c r="HI214" s="232"/>
      <c r="HJ214" s="232"/>
      <c r="HK214" s="232"/>
      <c r="HL214" s="232"/>
      <c r="HM214" s="232"/>
      <c r="HN214" s="232"/>
      <c r="HO214" s="232"/>
      <c r="HP214" s="232"/>
      <c r="HQ214" s="232"/>
      <c r="HR214" s="232"/>
      <c r="HS214" s="233"/>
      <c r="HT214" s="232"/>
      <c r="HU214" s="232"/>
      <c r="HV214" s="232"/>
      <c r="HW214" s="233"/>
      <c r="HX214" s="232"/>
      <c r="HY214" s="232"/>
      <c r="HZ214" s="232"/>
      <c r="IA214" s="232"/>
      <c r="IB214" s="232"/>
      <c r="IC214" s="232"/>
      <c r="ID214" s="232"/>
      <c r="IE214" s="232"/>
      <c r="IF214" s="232"/>
      <c r="IG214" s="232"/>
      <c r="IH214" s="232"/>
      <c r="II214" s="232"/>
      <c r="IJ214" s="232"/>
      <c r="IK214" s="232"/>
      <c r="IL214" s="232"/>
      <c r="IM214" s="232"/>
      <c r="IN214" s="232"/>
      <c r="IO214" s="232"/>
      <c r="IP214" s="232"/>
      <c r="IQ214" s="232"/>
      <c r="IR214" s="232"/>
      <c r="IS214" s="232"/>
      <c r="IT214" s="232"/>
      <c r="IU214" s="232"/>
      <c r="IV214" s="232"/>
      <c r="IW214" s="232"/>
      <c r="IX214" s="232"/>
      <c r="IY214" s="232"/>
      <c r="IZ214" s="232"/>
      <c r="JA214" s="232"/>
      <c r="JB214" s="232"/>
      <c r="JC214" s="232"/>
      <c r="JD214" s="232"/>
      <c r="JE214" s="232"/>
      <c r="JF214" s="232"/>
      <c r="JG214" s="232"/>
      <c r="JH214" s="232"/>
      <c r="JI214" s="232"/>
      <c r="JJ214" s="232"/>
      <c r="JK214" s="232"/>
      <c r="JL214" s="232"/>
      <c r="JM214" s="232"/>
      <c r="JN214" s="232"/>
      <c r="JO214" s="232"/>
      <c r="JP214" s="232"/>
      <c r="JQ214" s="232"/>
      <c r="JR214" s="232"/>
      <c r="JS214" s="232"/>
      <c r="JT214" s="232"/>
      <c r="JU214" s="181" t="s">
        <v>683</v>
      </c>
      <c r="JV214" s="181"/>
      <c r="JW214" s="181"/>
    </row>
    <row r="215" spans="1:283" s="229" customFormat="1" x14ac:dyDescent="0.25">
      <c r="A215" s="181">
        <v>214</v>
      </c>
      <c r="B215" s="229" t="s">
        <v>7067</v>
      </c>
      <c r="C215" s="230">
        <v>14</v>
      </c>
      <c r="D215" s="181" t="s">
        <v>3743</v>
      </c>
      <c r="E215" s="231" t="s">
        <v>273</v>
      </c>
      <c r="F215" s="231"/>
      <c r="G215" s="181" t="s">
        <v>274</v>
      </c>
      <c r="H215" s="181">
        <v>2011</v>
      </c>
      <c r="I215" s="181">
        <v>2010</v>
      </c>
      <c r="J215" s="181" t="s">
        <v>276</v>
      </c>
      <c r="K215" s="181" t="s">
        <v>275</v>
      </c>
      <c r="L215" s="181" t="s">
        <v>2737</v>
      </c>
      <c r="M215" s="231">
        <v>46.88</v>
      </c>
      <c r="N215" s="231">
        <v>-102.79</v>
      </c>
      <c r="O215" s="231">
        <v>735.8</v>
      </c>
      <c r="P215" s="181"/>
      <c r="Q215" s="181"/>
      <c r="R215" s="181"/>
      <c r="S215" s="231"/>
      <c r="T215" s="181"/>
      <c r="U215" s="181" t="s">
        <v>1820</v>
      </c>
      <c r="V215" s="181" t="s">
        <v>1820</v>
      </c>
      <c r="W215" s="181"/>
      <c r="X215" s="181"/>
      <c r="Y215" s="181" t="s">
        <v>1819</v>
      </c>
      <c r="Z215" s="181" t="s">
        <v>1344</v>
      </c>
      <c r="AA215" s="231" t="s">
        <v>1344</v>
      </c>
      <c r="AB215" s="232"/>
      <c r="AC215" s="232"/>
      <c r="AD215" s="231"/>
      <c r="AE215" s="231"/>
      <c r="AF215" s="231"/>
      <c r="AG215" s="231"/>
      <c r="AH215" s="181" t="s">
        <v>139</v>
      </c>
      <c r="AI215" s="181"/>
      <c r="AJ215" s="231"/>
      <c r="AK215" s="231"/>
      <c r="AL215" s="181"/>
      <c r="AM215" s="181"/>
      <c r="AN215" s="185" t="s">
        <v>1538</v>
      </c>
      <c r="AO215" s="185" t="s">
        <v>5150</v>
      </c>
      <c r="AP215" s="181"/>
      <c r="AQ215" s="181" t="s">
        <v>1546</v>
      </c>
      <c r="AR215" s="181" t="s">
        <v>227</v>
      </c>
      <c r="AS215" s="181" t="s">
        <v>227</v>
      </c>
      <c r="AT215" s="181" t="s">
        <v>1582</v>
      </c>
      <c r="AU215" s="181" t="s">
        <v>5150</v>
      </c>
      <c r="AV215" s="185" t="s">
        <v>479</v>
      </c>
      <c r="AW215" s="181" t="s">
        <v>1582</v>
      </c>
      <c r="AX215" s="185" t="s">
        <v>479</v>
      </c>
      <c r="AY215" s="181" t="s">
        <v>176</v>
      </c>
      <c r="AZ215" s="181" t="s">
        <v>216</v>
      </c>
      <c r="BA215" s="181" t="s">
        <v>216</v>
      </c>
      <c r="BB215" s="181" t="s">
        <v>2082</v>
      </c>
      <c r="BC215" s="181" t="s">
        <v>2082</v>
      </c>
      <c r="BD215" s="181" t="s">
        <v>176</v>
      </c>
      <c r="BE215" s="226"/>
      <c r="BF215" s="181"/>
      <c r="BG215" s="181"/>
      <c r="BH215" s="226"/>
      <c r="BI215" s="181"/>
      <c r="BJ215" s="181"/>
      <c r="BK215" s="181" t="s">
        <v>6269</v>
      </c>
      <c r="BL215" s="181"/>
      <c r="BM215" s="192" t="s">
        <v>119</v>
      </c>
      <c r="BN215" s="181"/>
      <c r="BO215" s="181"/>
      <c r="BP215" s="181"/>
      <c r="BQ215" s="181"/>
      <c r="BR215" s="181">
        <v>4039</v>
      </c>
      <c r="BS215" s="181"/>
      <c r="BT215" s="181"/>
      <c r="BU215" s="181" t="s">
        <v>279</v>
      </c>
      <c r="BV215" s="181"/>
      <c r="BW215" s="232"/>
      <c r="BX215" s="232"/>
      <c r="BY215" s="232"/>
      <c r="BZ215" s="232"/>
      <c r="CA215" s="232"/>
      <c r="CB215" s="183"/>
      <c r="CC215" s="183"/>
      <c r="CD215" s="183"/>
      <c r="CE215" s="232"/>
      <c r="CF215" s="232"/>
      <c r="CG215" s="232"/>
      <c r="CH215" s="231"/>
      <c r="CI215" s="231"/>
      <c r="CJ215" s="232"/>
      <c r="CK215" s="232"/>
      <c r="CL215" s="232"/>
      <c r="CM215" s="232"/>
      <c r="CN215" s="232"/>
      <c r="CO215" s="232"/>
      <c r="CP215" s="232"/>
      <c r="CQ215" s="232"/>
      <c r="CR215" s="232"/>
      <c r="CS215" s="232"/>
      <c r="CT215" s="232"/>
      <c r="CU215" s="232"/>
      <c r="CV215" s="232"/>
      <c r="CW215" s="232"/>
      <c r="CX215" s="232"/>
      <c r="CY215" s="232"/>
      <c r="CZ215" s="232"/>
      <c r="DA215" s="232"/>
      <c r="DB215" s="232"/>
      <c r="DC215" s="232"/>
      <c r="DD215" s="232"/>
      <c r="DE215" s="232"/>
      <c r="DF215" s="232"/>
      <c r="DG215" s="232"/>
      <c r="DH215" s="232"/>
      <c r="DI215" s="232"/>
      <c r="DJ215" s="232"/>
      <c r="DK215" s="232"/>
      <c r="DL215" s="232"/>
      <c r="DM215" s="232"/>
      <c r="DN215" s="232"/>
      <c r="DO215" s="232"/>
      <c r="DP215" s="232"/>
      <c r="DQ215" s="233"/>
      <c r="DR215" s="233"/>
      <c r="DS215" s="232"/>
      <c r="DT215" s="232"/>
      <c r="DU215" s="232"/>
      <c r="DV215" s="232"/>
      <c r="DW215" s="232"/>
      <c r="DX215" s="232"/>
      <c r="DY215" s="232"/>
      <c r="DZ215" s="232"/>
      <c r="EA215" s="232"/>
      <c r="EB215" s="232"/>
      <c r="EC215" s="232"/>
      <c r="ED215" s="232"/>
      <c r="EE215" s="232"/>
      <c r="EF215" s="232"/>
      <c r="EG215" s="232"/>
      <c r="EH215" s="232"/>
      <c r="EI215" s="232"/>
      <c r="EJ215" s="232"/>
      <c r="EK215" s="231"/>
      <c r="EL215" s="231"/>
      <c r="EM215" s="232"/>
      <c r="EN215" s="232"/>
      <c r="EO215" s="232"/>
      <c r="EP215" s="232"/>
      <c r="EQ215" s="232"/>
      <c r="ER215" s="232"/>
      <c r="ES215" s="232"/>
      <c r="ET215" s="232"/>
      <c r="EU215" s="232"/>
      <c r="EV215" s="232"/>
      <c r="EW215" s="232"/>
      <c r="EX215" s="232"/>
      <c r="EY215" s="232"/>
      <c r="EZ215" s="232"/>
      <c r="FA215" s="232"/>
      <c r="FB215" s="232"/>
      <c r="FC215" s="232"/>
      <c r="FD215" s="232"/>
      <c r="FE215" s="232"/>
      <c r="FF215" s="232"/>
      <c r="FG215" s="232"/>
      <c r="FH215" s="232"/>
      <c r="FI215" s="232"/>
      <c r="FJ215" s="232"/>
      <c r="FK215" s="232"/>
      <c r="FL215" s="232"/>
      <c r="FM215" s="232"/>
      <c r="FN215" s="232"/>
      <c r="FO215" s="232"/>
      <c r="FP215" s="232"/>
      <c r="FQ215" s="232"/>
      <c r="FR215" s="232"/>
      <c r="FS215" s="232"/>
      <c r="FT215" s="232"/>
      <c r="FU215" s="232"/>
      <c r="FV215" s="232"/>
      <c r="FW215" s="232"/>
      <c r="FX215" s="232"/>
      <c r="FY215" s="232"/>
      <c r="FZ215" s="232"/>
      <c r="GA215" s="232"/>
      <c r="GB215" s="232"/>
      <c r="GC215" s="232"/>
      <c r="GD215" s="232"/>
      <c r="GE215" s="232"/>
      <c r="GF215" s="232"/>
      <c r="GG215" s="232"/>
      <c r="GH215" s="232"/>
      <c r="GI215" s="232"/>
      <c r="GJ215" s="232"/>
      <c r="GK215" s="232"/>
      <c r="GL215" s="232"/>
      <c r="GM215" s="232"/>
      <c r="GN215" s="294">
        <v>1677</v>
      </c>
      <c r="GO215" s="294">
        <v>717</v>
      </c>
      <c r="GP215" s="292" t="s">
        <v>5150</v>
      </c>
      <c r="GQ215" s="232"/>
      <c r="GR215" s="232"/>
      <c r="GS215" s="232"/>
      <c r="GT215" s="232"/>
      <c r="GU215" s="232"/>
      <c r="GV215" s="232"/>
      <c r="GW215" s="232"/>
      <c r="GX215" s="232"/>
      <c r="GY215" s="232"/>
      <c r="GZ215" s="232"/>
      <c r="HA215" s="232"/>
      <c r="HB215" s="232"/>
      <c r="HC215" s="232"/>
      <c r="HD215" s="232"/>
      <c r="HE215" s="232"/>
      <c r="HF215" s="232"/>
      <c r="HG215" s="232"/>
      <c r="HH215" s="232"/>
      <c r="HI215" s="232"/>
      <c r="HJ215" s="232"/>
      <c r="HK215" s="232"/>
      <c r="HL215" s="232"/>
      <c r="HM215" s="232"/>
      <c r="HN215" s="232"/>
      <c r="HO215" s="232"/>
      <c r="HP215" s="232"/>
      <c r="HQ215" s="232"/>
      <c r="HR215" s="232"/>
      <c r="HS215" s="233"/>
      <c r="HT215" s="232"/>
      <c r="HU215" s="232"/>
      <c r="HV215" s="232"/>
      <c r="HW215" s="233"/>
      <c r="HX215" s="232"/>
      <c r="HY215" s="232"/>
      <c r="HZ215" s="232"/>
      <c r="IA215" s="232"/>
      <c r="IB215" s="232"/>
      <c r="IC215" s="232"/>
      <c r="ID215" s="232"/>
      <c r="IE215" s="232"/>
      <c r="IF215" s="232"/>
      <c r="IG215" s="232"/>
      <c r="IH215" s="232"/>
      <c r="II215" s="232"/>
      <c r="IJ215" s="232"/>
      <c r="IK215" s="232"/>
      <c r="IL215" s="232"/>
      <c r="IM215" s="232"/>
      <c r="IN215" s="232"/>
      <c r="IO215" s="232"/>
      <c r="IP215" s="232"/>
      <c r="IQ215" s="232"/>
      <c r="IR215" s="232"/>
      <c r="IS215" s="232"/>
      <c r="IT215" s="232"/>
      <c r="IU215" s="232"/>
      <c r="IV215" s="232"/>
      <c r="IW215" s="232"/>
      <c r="IX215" s="232"/>
      <c r="IY215" s="232"/>
      <c r="IZ215" s="232"/>
      <c r="JA215" s="232"/>
      <c r="JB215" s="232"/>
      <c r="JC215" s="232"/>
      <c r="JD215" s="232"/>
      <c r="JE215" s="232"/>
      <c r="JF215" s="232"/>
      <c r="JG215" s="232"/>
      <c r="JH215" s="232"/>
      <c r="JI215" s="232"/>
      <c r="JJ215" s="232"/>
      <c r="JK215" s="232"/>
      <c r="JL215" s="232"/>
      <c r="JM215" s="232"/>
      <c r="JN215" s="232"/>
      <c r="JO215" s="232"/>
      <c r="JP215" s="232"/>
      <c r="JQ215" s="232"/>
      <c r="JR215" s="232"/>
      <c r="JS215" s="232"/>
      <c r="JT215" s="232"/>
      <c r="JU215" s="181" t="s">
        <v>683</v>
      </c>
      <c r="JV215" s="181"/>
      <c r="JW215" s="181"/>
    </row>
    <row r="216" spans="1:283" s="229" customFormat="1" x14ac:dyDescent="0.25">
      <c r="A216" s="181">
        <v>215</v>
      </c>
      <c r="B216" s="229" t="s">
        <v>7067</v>
      </c>
      <c r="C216" s="230">
        <v>14</v>
      </c>
      <c r="D216" s="181" t="s">
        <v>3741</v>
      </c>
      <c r="E216" s="231" t="s">
        <v>273</v>
      </c>
      <c r="F216" s="231"/>
      <c r="G216" s="181" t="s">
        <v>274</v>
      </c>
      <c r="H216" s="181">
        <v>2011</v>
      </c>
      <c r="I216" s="181">
        <v>2010</v>
      </c>
      <c r="J216" s="181" t="s">
        <v>276</v>
      </c>
      <c r="K216" s="181" t="s">
        <v>275</v>
      </c>
      <c r="L216" s="181" t="s">
        <v>2737</v>
      </c>
      <c r="M216" s="231">
        <v>46.88</v>
      </c>
      <c r="N216" s="231">
        <v>-102.79</v>
      </c>
      <c r="O216" s="231">
        <v>735.8</v>
      </c>
      <c r="P216" s="181"/>
      <c r="Q216" s="181"/>
      <c r="R216" s="181"/>
      <c r="S216" s="231"/>
      <c r="T216" s="181"/>
      <c r="U216" s="181" t="s">
        <v>1820</v>
      </c>
      <c r="V216" s="181" t="s">
        <v>1820</v>
      </c>
      <c r="W216" s="181"/>
      <c r="X216" s="181"/>
      <c r="Y216" s="181" t="s">
        <v>1819</v>
      </c>
      <c r="Z216" s="181" t="s">
        <v>1344</v>
      </c>
      <c r="AA216" s="231" t="s">
        <v>1344</v>
      </c>
      <c r="AB216" s="232"/>
      <c r="AC216" s="232"/>
      <c r="AD216" s="231"/>
      <c r="AE216" s="231"/>
      <c r="AF216" s="231"/>
      <c r="AG216" s="231"/>
      <c r="AH216" s="181" t="s">
        <v>139</v>
      </c>
      <c r="AI216" s="181"/>
      <c r="AJ216" s="231"/>
      <c r="AK216" s="231"/>
      <c r="AL216" s="181"/>
      <c r="AM216" s="181"/>
      <c r="AN216" s="185" t="s">
        <v>1538</v>
      </c>
      <c r="AO216" s="185" t="s">
        <v>5150</v>
      </c>
      <c r="AP216" s="181"/>
      <c r="AQ216" s="181" t="s">
        <v>1546</v>
      </c>
      <c r="AR216" s="181" t="s">
        <v>227</v>
      </c>
      <c r="AS216" s="181" t="s">
        <v>227</v>
      </c>
      <c r="AT216" s="181" t="s">
        <v>1582</v>
      </c>
      <c r="AU216" s="181" t="s">
        <v>5150</v>
      </c>
      <c r="AV216" s="185" t="s">
        <v>479</v>
      </c>
      <c r="AW216" s="181" t="s">
        <v>1582</v>
      </c>
      <c r="AX216" s="185" t="s">
        <v>479</v>
      </c>
      <c r="AY216" s="181" t="s">
        <v>176</v>
      </c>
      <c r="AZ216" s="181" t="s">
        <v>216</v>
      </c>
      <c r="BA216" s="181" t="s">
        <v>216</v>
      </c>
      <c r="BB216" s="181" t="s">
        <v>2082</v>
      </c>
      <c r="BC216" s="181" t="s">
        <v>2082</v>
      </c>
      <c r="BD216" s="181" t="s">
        <v>176</v>
      </c>
      <c r="BE216" s="226"/>
      <c r="BF216" s="181"/>
      <c r="BG216" s="181"/>
      <c r="BH216" s="226"/>
      <c r="BI216" s="181"/>
      <c r="BJ216" s="181"/>
      <c r="BK216" s="181" t="s">
        <v>6269</v>
      </c>
      <c r="BL216" s="181"/>
      <c r="BM216" s="192" t="s">
        <v>119</v>
      </c>
      <c r="BN216" s="181"/>
      <c r="BO216" s="181"/>
      <c r="BP216" s="181"/>
      <c r="BQ216" s="181"/>
      <c r="BR216" s="181">
        <v>3554</v>
      </c>
      <c r="BS216" s="181"/>
      <c r="BT216" s="181"/>
      <c r="BU216" s="181" t="s">
        <v>277</v>
      </c>
      <c r="BV216" s="181"/>
      <c r="BW216" s="232"/>
      <c r="BX216" s="232"/>
      <c r="BY216" s="232"/>
      <c r="BZ216" s="232"/>
      <c r="CA216" s="232"/>
      <c r="CB216" s="183"/>
      <c r="CC216" s="183"/>
      <c r="CD216" s="183"/>
      <c r="CE216" s="232"/>
      <c r="CF216" s="232"/>
      <c r="CG216" s="232"/>
      <c r="CH216" s="231"/>
      <c r="CI216" s="231"/>
      <c r="CJ216" s="232"/>
      <c r="CK216" s="232"/>
      <c r="CL216" s="232"/>
      <c r="CM216" s="232"/>
      <c r="CN216" s="232"/>
      <c r="CO216" s="232"/>
      <c r="CP216" s="232"/>
      <c r="CQ216" s="232"/>
      <c r="CR216" s="232"/>
      <c r="CS216" s="232"/>
      <c r="CT216" s="232"/>
      <c r="CU216" s="232"/>
      <c r="CV216" s="232"/>
      <c r="CW216" s="232"/>
      <c r="CX216" s="232"/>
      <c r="CY216" s="232"/>
      <c r="CZ216" s="232"/>
      <c r="DA216" s="232"/>
      <c r="DB216" s="232"/>
      <c r="DC216" s="232"/>
      <c r="DD216" s="232"/>
      <c r="DE216" s="232"/>
      <c r="DF216" s="232"/>
      <c r="DG216" s="232"/>
      <c r="DH216" s="232"/>
      <c r="DI216" s="232"/>
      <c r="DJ216" s="232"/>
      <c r="DK216" s="232"/>
      <c r="DL216" s="232"/>
      <c r="DM216" s="232"/>
      <c r="DN216" s="232"/>
      <c r="DO216" s="232"/>
      <c r="DP216" s="232"/>
      <c r="DQ216" s="233"/>
      <c r="DR216" s="233"/>
      <c r="DS216" s="232"/>
      <c r="DT216" s="232"/>
      <c r="DU216" s="232"/>
      <c r="DV216" s="232"/>
      <c r="DW216" s="232"/>
      <c r="DX216" s="232"/>
      <c r="DY216" s="232"/>
      <c r="DZ216" s="232"/>
      <c r="EA216" s="232"/>
      <c r="EB216" s="232"/>
      <c r="EC216" s="232"/>
      <c r="ED216" s="232"/>
      <c r="EE216" s="232"/>
      <c r="EF216" s="232"/>
      <c r="EG216" s="232"/>
      <c r="EH216" s="232"/>
      <c r="EI216" s="232"/>
      <c r="EJ216" s="232"/>
      <c r="EK216" s="231"/>
      <c r="EL216" s="231"/>
      <c r="EM216" s="232"/>
      <c r="EN216" s="232"/>
      <c r="EO216" s="232"/>
      <c r="EP216" s="232"/>
      <c r="EQ216" s="232"/>
      <c r="ER216" s="232"/>
      <c r="ES216" s="232"/>
      <c r="ET216" s="232"/>
      <c r="EU216" s="232"/>
      <c r="EV216" s="232"/>
      <c r="EW216" s="232"/>
      <c r="EX216" s="232"/>
      <c r="EY216" s="232"/>
      <c r="EZ216" s="232"/>
      <c r="FA216" s="232"/>
      <c r="FB216" s="232"/>
      <c r="FC216" s="232"/>
      <c r="FD216" s="232"/>
      <c r="FE216" s="232"/>
      <c r="FF216" s="232"/>
      <c r="FG216" s="232"/>
      <c r="FH216" s="232"/>
      <c r="FI216" s="232"/>
      <c r="FJ216" s="232"/>
      <c r="FK216" s="232"/>
      <c r="FL216" s="232"/>
      <c r="FM216" s="232"/>
      <c r="FN216" s="232"/>
      <c r="FO216" s="232"/>
      <c r="FP216" s="232"/>
      <c r="FQ216" s="232"/>
      <c r="FR216" s="232"/>
      <c r="FS216" s="232"/>
      <c r="FT216" s="232"/>
      <c r="FU216" s="232"/>
      <c r="FV216" s="232"/>
      <c r="FW216" s="232"/>
      <c r="FX216" s="232"/>
      <c r="FY216" s="232"/>
      <c r="FZ216" s="232"/>
      <c r="GA216" s="232"/>
      <c r="GB216" s="232"/>
      <c r="GC216" s="232"/>
      <c r="GD216" s="232"/>
      <c r="GE216" s="232"/>
      <c r="GF216" s="232"/>
      <c r="GG216" s="232"/>
      <c r="GH216" s="232"/>
      <c r="GI216" s="232"/>
      <c r="GJ216" s="232"/>
      <c r="GK216" s="232"/>
      <c r="GL216" s="232"/>
      <c r="GM216" s="232"/>
      <c r="GN216" s="294">
        <v>796</v>
      </c>
      <c r="GO216" s="294">
        <v>991</v>
      </c>
      <c r="GP216" s="292" t="s">
        <v>5150</v>
      </c>
      <c r="GQ216" s="232"/>
      <c r="GR216" s="232"/>
      <c r="GS216" s="232"/>
      <c r="GT216" s="232"/>
      <c r="GU216" s="232"/>
      <c r="GV216" s="232"/>
      <c r="GW216" s="232"/>
      <c r="GX216" s="232"/>
      <c r="GY216" s="232"/>
      <c r="GZ216" s="232"/>
      <c r="HA216" s="232"/>
      <c r="HB216" s="232"/>
      <c r="HC216" s="232"/>
      <c r="HD216" s="232"/>
      <c r="HE216" s="232"/>
      <c r="HF216" s="232"/>
      <c r="HG216" s="232"/>
      <c r="HH216" s="232"/>
      <c r="HI216" s="232"/>
      <c r="HJ216" s="232"/>
      <c r="HK216" s="232"/>
      <c r="HL216" s="232"/>
      <c r="HM216" s="232"/>
      <c r="HN216" s="232"/>
      <c r="HO216" s="232"/>
      <c r="HP216" s="232"/>
      <c r="HQ216" s="232"/>
      <c r="HR216" s="232"/>
      <c r="HS216" s="233"/>
      <c r="HT216" s="232"/>
      <c r="HU216" s="232"/>
      <c r="HV216" s="232"/>
      <c r="HW216" s="233"/>
      <c r="HX216" s="232"/>
      <c r="HY216" s="232"/>
      <c r="HZ216" s="232"/>
      <c r="IA216" s="232"/>
      <c r="IB216" s="232"/>
      <c r="IC216" s="232"/>
      <c r="ID216" s="232"/>
      <c r="IE216" s="232"/>
      <c r="IF216" s="232"/>
      <c r="IG216" s="232"/>
      <c r="IH216" s="232"/>
      <c r="II216" s="232"/>
      <c r="IJ216" s="232"/>
      <c r="IK216" s="232"/>
      <c r="IL216" s="232"/>
      <c r="IM216" s="232"/>
      <c r="IN216" s="232"/>
      <c r="IO216" s="232"/>
      <c r="IP216" s="232"/>
      <c r="IQ216" s="232"/>
      <c r="IR216" s="232"/>
      <c r="IS216" s="232"/>
      <c r="IT216" s="232"/>
      <c r="IU216" s="232"/>
      <c r="IV216" s="232"/>
      <c r="IW216" s="232"/>
      <c r="IX216" s="232"/>
      <c r="IY216" s="232"/>
      <c r="IZ216" s="232"/>
      <c r="JA216" s="232"/>
      <c r="JB216" s="232"/>
      <c r="JC216" s="232"/>
      <c r="JD216" s="232"/>
      <c r="JE216" s="232"/>
      <c r="JF216" s="232"/>
      <c r="JG216" s="232"/>
      <c r="JH216" s="232"/>
      <c r="JI216" s="232"/>
      <c r="JJ216" s="232"/>
      <c r="JK216" s="232"/>
      <c r="JL216" s="232"/>
      <c r="JM216" s="232"/>
      <c r="JN216" s="232"/>
      <c r="JO216" s="232"/>
      <c r="JP216" s="232"/>
      <c r="JQ216" s="232"/>
      <c r="JR216" s="232"/>
      <c r="JS216" s="232"/>
      <c r="JT216" s="232"/>
      <c r="JU216" s="181" t="s">
        <v>683</v>
      </c>
      <c r="JV216" s="181"/>
      <c r="JW216" s="181"/>
    </row>
    <row r="217" spans="1:283" s="229" customFormat="1" x14ac:dyDescent="0.25">
      <c r="A217" s="181">
        <v>216</v>
      </c>
      <c r="B217" s="229" t="s">
        <v>7067</v>
      </c>
      <c r="C217" s="230">
        <v>14</v>
      </c>
      <c r="D217" s="181" t="s">
        <v>3742</v>
      </c>
      <c r="E217" s="231" t="s">
        <v>273</v>
      </c>
      <c r="F217" s="231"/>
      <c r="G217" s="181" t="s">
        <v>274</v>
      </c>
      <c r="H217" s="181">
        <v>2011</v>
      </c>
      <c r="I217" s="181">
        <v>2010</v>
      </c>
      <c r="J217" s="181" t="s">
        <v>276</v>
      </c>
      <c r="K217" s="181" t="s">
        <v>275</v>
      </c>
      <c r="L217" s="181" t="s">
        <v>2737</v>
      </c>
      <c r="M217" s="231">
        <v>46.88</v>
      </c>
      <c r="N217" s="231">
        <v>-102.79</v>
      </c>
      <c r="O217" s="231">
        <v>735.8</v>
      </c>
      <c r="P217" s="181"/>
      <c r="Q217" s="181"/>
      <c r="R217" s="181"/>
      <c r="S217" s="231"/>
      <c r="T217" s="181"/>
      <c r="U217" s="181" t="s">
        <v>1820</v>
      </c>
      <c r="V217" s="181" t="s">
        <v>1820</v>
      </c>
      <c r="W217" s="181"/>
      <c r="X217" s="181"/>
      <c r="Y217" s="181" t="s">
        <v>1819</v>
      </c>
      <c r="Z217" s="181" t="s">
        <v>1344</v>
      </c>
      <c r="AA217" s="231" t="s">
        <v>1344</v>
      </c>
      <c r="AB217" s="232"/>
      <c r="AC217" s="232"/>
      <c r="AD217" s="231"/>
      <c r="AE217" s="231"/>
      <c r="AF217" s="231"/>
      <c r="AG217" s="231"/>
      <c r="AH217" s="181" t="s">
        <v>139</v>
      </c>
      <c r="AI217" s="181"/>
      <c r="AJ217" s="231"/>
      <c r="AK217" s="231"/>
      <c r="AL217" s="181"/>
      <c r="AM217" s="181"/>
      <c r="AN217" s="185" t="s">
        <v>1538</v>
      </c>
      <c r="AO217" s="185" t="s">
        <v>5150</v>
      </c>
      <c r="AP217" s="181"/>
      <c r="AQ217" s="181" t="s">
        <v>1546</v>
      </c>
      <c r="AR217" s="181" t="s">
        <v>227</v>
      </c>
      <c r="AS217" s="181" t="s">
        <v>227</v>
      </c>
      <c r="AT217" s="181" t="s">
        <v>1582</v>
      </c>
      <c r="AU217" s="181" t="s">
        <v>5150</v>
      </c>
      <c r="AV217" s="185" t="s">
        <v>479</v>
      </c>
      <c r="AW217" s="181" t="s">
        <v>1582</v>
      </c>
      <c r="AX217" s="185" t="s">
        <v>479</v>
      </c>
      <c r="AY217" s="181" t="s">
        <v>176</v>
      </c>
      <c r="AZ217" s="181" t="s">
        <v>216</v>
      </c>
      <c r="BA217" s="181" t="s">
        <v>216</v>
      </c>
      <c r="BB217" s="181" t="s">
        <v>2082</v>
      </c>
      <c r="BC217" s="181" t="s">
        <v>2082</v>
      </c>
      <c r="BD217" s="181" t="s">
        <v>176</v>
      </c>
      <c r="BE217" s="226"/>
      <c r="BF217" s="181"/>
      <c r="BG217" s="181"/>
      <c r="BH217" s="226"/>
      <c r="BI217" s="181"/>
      <c r="BJ217" s="181"/>
      <c r="BK217" s="181" t="s">
        <v>6269</v>
      </c>
      <c r="BL217" s="181"/>
      <c r="BM217" s="192" t="s">
        <v>119</v>
      </c>
      <c r="BN217" s="181"/>
      <c r="BO217" s="181"/>
      <c r="BP217" s="181"/>
      <c r="BQ217" s="181"/>
      <c r="BR217" s="181">
        <v>3554</v>
      </c>
      <c r="BS217" s="181"/>
      <c r="BT217" s="181"/>
      <c r="BU217" s="181" t="s">
        <v>278</v>
      </c>
      <c r="BV217" s="181"/>
      <c r="BW217" s="232"/>
      <c r="BX217" s="232"/>
      <c r="BY217" s="232"/>
      <c r="BZ217" s="232"/>
      <c r="CA217" s="232"/>
      <c r="CB217" s="183"/>
      <c r="CC217" s="183"/>
      <c r="CD217" s="183"/>
      <c r="CE217" s="232"/>
      <c r="CF217" s="232"/>
      <c r="CG217" s="232"/>
      <c r="CH217" s="231"/>
      <c r="CI217" s="231"/>
      <c r="CJ217" s="232"/>
      <c r="CK217" s="232"/>
      <c r="CL217" s="232"/>
      <c r="CM217" s="232"/>
      <c r="CN217" s="232"/>
      <c r="CO217" s="232"/>
      <c r="CP217" s="232"/>
      <c r="CQ217" s="232"/>
      <c r="CR217" s="232"/>
      <c r="CS217" s="232"/>
      <c r="CT217" s="232"/>
      <c r="CU217" s="232"/>
      <c r="CV217" s="232"/>
      <c r="CW217" s="232"/>
      <c r="CX217" s="232"/>
      <c r="CY217" s="232"/>
      <c r="CZ217" s="232"/>
      <c r="DA217" s="232"/>
      <c r="DB217" s="232"/>
      <c r="DC217" s="232"/>
      <c r="DD217" s="232"/>
      <c r="DE217" s="232"/>
      <c r="DF217" s="232"/>
      <c r="DG217" s="232"/>
      <c r="DH217" s="232"/>
      <c r="DI217" s="232"/>
      <c r="DJ217" s="232"/>
      <c r="DK217" s="232"/>
      <c r="DL217" s="232"/>
      <c r="DM217" s="232"/>
      <c r="DN217" s="232"/>
      <c r="DO217" s="232"/>
      <c r="DP217" s="232"/>
      <c r="DQ217" s="233"/>
      <c r="DR217" s="233"/>
      <c r="DS217" s="232"/>
      <c r="DT217" s="232"/>
      <c r="DU217" s="232"/>
      <c r="DV217" s="232"/>
      <c r="DW217" s="232"/>
      <c r="DX217" s="232"/>
      <c r="DY217" s="232"/>
      <c r="DZ217" s="232"/>
      <c r="EA217" s="232"/>
      <c r="EB217" s="232"/>
      <c r="EC217" s="232"/>
      <c r="ED217" s="232"/>
      <c r="EE217" s="232"/>
      <c r="EF217" s="232"/>
      <c r="EG217" s="232"/>
      <c r="EH217" s="232"/>
      <c r="EI217" s="232"/>
      <c r="EJ217" s="232"/>
      <c r="EK217" s="231"/>
      <c r="EL217" s="231"/>
      <c r="EM217" s="232"/>
      <c r="EN217" s="232"/>
      <c r="EO217" s="232"/>
      <c r="EP217" s="232"/>
      <c r="EQ217" s="232"/>
      <c r="ER217" s="232"/>
      <c r="ES217" s="232"/>
      <c r="ET217" s="232"/>
      <c r="EU217" s="232"/>
      <c r="EV217" s="232"/>
      <c r="EW217" s="232"/>
      <c r="EX217" s="232"/>
      <c r="EY217" s="232"/>
      <c r="EZ217" s="232"/>
      <c r="FA217" s="232"/>
      <c r="FB217" s="232"/>
      <c r="FC217" s="232"/>
      <c r="FD217" s="232"/>
      <c r="FE217" s="232"/>
      <c r="FF217" s="232"/>
      <c r="FG217" s="232"/>
      <c r="FH217" s="232"/>
      <c r="FI217" s="232"/>
      <c r="FJ217" s="232"/>
      <c r="FK217" s="232"/>
      <c r="FL217" s="232"/>
      <c r="FM217" s="232"/>
      <c r="FN217" s="232"/>
      <c r="FO217" s="232"/>
      <c r="FP217" s="232"/>
      <c r="FQ217" s="232"/>
      <c r="FR217" s="232"/>
      <c r="FS217" s="232"/>
      <c r="FT217" s="232"/>
      <c r="FU217" s="232"/>
      <c r="FV217" s="232"/>
      <c r="FW217" s="232"/>
      <c r="FX217" s="232"/>
      <c r="FY217" s="232"/>
      <c r="FZ217" s="232"/>
      <c r="GA217" s="232"/>
      <c r="GB217" s="232"/>
      <c r="GC217" s="232"/>
      <c r="GD217" s="232"/>
      <c r="GE217" s="232"/>
      <c r="GF217" s="232"/>
      <c r="GG217" s="232"/>
      <c r="GH217" s="232"/>
      <c r="GI217" s="232"/>
      <c r="GJ217" s="232"/>
      <c r="GK217" s="232"/>
      <c r="GL217" s="232"/>
      <c r="GM217" s="232"/>
      <c r="GN217" s="294">
        <v>1738</v>
      </c>
      <c r="GO217" s="294">
        <v>991</v>
      </c>
      <c r="GP217" s="292" t="s">
        <v>5150</v>
      </c>
      <c r="GQ217" s="232"/>
      <c r="GR217" s="232"/>
      <c r="GS217" s="232"/>
      <c r="GT217" s="232"/>
      <c r="GU217" s="232"/>
      <c r="GV217" s="232"/>
      <c r="GW217" s="232"/>
      <c r="GX217" s="232"/>
      <c r="GY217" s="232"/>
      <c r="GZ217" s="232"/>
      <c r="HA217" s="232"/>
      <c r="HB217" s="232"/>
      <c r="HC217" s="232"/>
      <c r="HD217" s="232"/>
      <c r="HE217" s="232"/>
      <c r="HF217" s="232"/>
      <c r="HG217" s="232"/>
      <c r="HH217" s="232"/>
      <c r="HI217" s="232"/>
      <c r="HJ217" s="232"/>
      <c r="HK217" s="232"/>
      <c r="HL217" s="232"/>
      <c r="HM217" s="232"/>
      <c r="HN217" s="232"/>
      <c r="HO217" s="232"/>
      <c r="HP217" s="232"/>
      <c r="HQ217" s="232"/>
      <c r="HR217" s="232"/>
      <c r="HS217" s="233"/>
      <c r="HT217" s="232"/>
      <c r="HU217" s="232"/>
      <c r="HV217" s="232"/>
      <c r="HW217" s="233"/>
      <c r="HX217" s="232"/>
      <c r="HY217" s="232"/>
      <c r="HZ217" s="232"/>
      <c r="IA217" s="232"/>
      <c r="IB217" s="232"/>
      <c r="IC217" s="232"/>
      <c r="ID217" s="232"/>
      <c r="IE217" s="232"/>
      <c r="IF217" s="232"/>
      <c r="IG217" s="232"/>
      <c r="IH217" s="232"/>
      <c r="II217" s="232"/>
      <c r="IJ217" s="232"/>
      <c r="IK217" s="232"/>
      <c r="IL217" s="232"/>
      <c r="IM217" s="232"/>
      <c r="IN217" s="232"/>
      <c r="IO217" s="232"/>
      <c r="IP217" s="232"/>
      <c r="IQ217" s="232"/>
      <c r="IR217" s="232"/>
      <c r="IS217" s="232"/>
      <c r="IT217" s="232"/>
      <c r="IU217" s="232"/>
      <c r="IV217" s="232"/>
      <c r="IW217" s="232"/>
      <c r="IX217" s="232"/>
      <c r="IY217" s="232"/>
      <c r="IZ217" s="232"/>
      <c r="JA217" s="232"/>
      <c r="JB217" s="232"/>
      <c r="JC217" s="232"/>
      <c r="JD217" s="232"/>
      <c r="JE217" s="232"/>
      <c r="JF217" s="232"/>
      <c r="JG217" s="232"/>
      <c r="JH217" s="232"/>
      <c r="JI217" s="232"/>
      <c r="JJ217" s="232"/>
      <c r="JK217" s="232"/>
      <c r="JL217" s="232"/>
      <c r="JM217" s="232"/>
      <c r="JN217" s="232"/>
      <c r="JO217" s="232"/>
      <c r="JP217" s="232"/>
      <c r="JQ217" s="232"/>
      <c r="JR217" s="232"/>
      <c r="JS217" s="232"/>
      <c r="JT217" s="232"/>
      <c r="JU217" s="181" t="s">
        <v>683</v>
      </c>
      <c r="JV217" s="181"/>
      <c r="JW217" s="181"/>
    </row>
    <row r="218" spans="1:283" s="229" customFormat="1" x14ac:dyDescent="0.25">
      <c r="A218" s="181">
        <v>217</v>
      </c>
      <c r="B218" s="229" t="s">
        <v>7067</v>
      </c>
      <c r="C218" s="230">
        <v>14</v>
      </c>
      <c r="D218" s="181" t="s">
        <v>3743</v>
      </c>
      <c r="E218" s="231" t="s">
        <v>273</v>
      </c>
      <c r="F218" s="231"/>
      <c r="G218" s="181" t="s">
        <v>274</v>
      </c>
      <c r="H218" s="181">
        <v>2011</v>
      </c>
      <c r="I218" s="181">
        <v>2010</v>
      </c>
      <c r="J218" s="181" t="s">
        <v>276</v>
      </c>
      <c r="K218" s="181" t="s">
        <v>275</v>
      </c>
      <c r="L218" s="181" t="s">
        <v>2737</v>
      </c>
      <c r="M218" s="231">
        <v>46.88</v>
      </c>
      <c r="N218" s="231">
        <v>-102.79</v>
      </c>
      <c r="O218" s="231">
        <v>735.8</v>
      </c>
      <c r="P218" s="181"/>
      <c r="Q218" s="181"/>
      <c r="R218" s="181"/>
      <c r="S218" s="231"/>
      <c r="T218" s="181"/>
      <c r="U218" s="181" t="s">
        <v>1820</v>
      </c>
      <c r="V218" s="181" t="s">
        <v>1820</v>
      </c>
      <c r="W218" s="181"/>
      <c r="X218" s="181"/>
      <c r="Y218" s="181" t="s">
        <v>1819</v>
      </c>
      <c r="Z218" s="181" t="s">
        <v>1344</v>
      </c>
      <c r="AA218" s="231" t="s">
        <v>1344</v>
      </c>
      <c r="AB218" s="232"/>
      <c r="AC218" s="232"/>
      <c r="AD218" s="231"/>
      <c r="AE218" s="231"/>
      <c r="AF218" s="231"/>
      <c r="AG218" s="231"/>
      <c r="AH218" s="181" t="s">
        <v>139</v>
      </c>
      <c r="AI218" s="181"/>
      <c r="AJ218" s="231"/>
      <c r="AK218" s="231"/>
      <c r="AL218" s="181"/>
      <c r="AM218" s="181"/>
      <c r="AN218" s="185" t="s">
        <v>1538</v>
      </c>
      <c r="AO218" s="185" t="s">
        <v>5150</v>
      </c>
      <c r="AP218" s="181"/>
      <c r="AQ218" s="181" t="s">
        <v>1546</v>
      </c>
      <c r="AR218" s="181" t="s">
        <v>227</v>
      </c>
      <c r="AS218" s="181" t="s">
        <v>227</v>
      </c>
      <c r="AT218" s="181" t="s">
        <v>1582</v>
      </c>
      <c r="AU218" s="181" t="s">
        <v>5150</v>
      </c>
      <c r="AV218" s="185" t="s">
        <v>479</v>
      </c>
      <c r="AW218" s="181" t="s">
        <v>1582</v>
      </c>
      <c r="AX218" s="185" t="s">
        <v>479</v>
      </c>
      <c r="AY218" s="181" t="s">
        <v>176</v>
      </c>
      <c r="AZ218" s="181" t="s">
        <v>216</v>
      </c>
      <c r="BA218" s="181" t="s">
        <v>216</v>
      </c>
      <c r="BB218" s="181" t="s">
        <v>2082</v>
      </c>
      <c r="BC218" s="181" t="s">
        <v>2082</v>
      </c>
      <c r="BD218" s="181" t="s">
        <v>176</v>
      </c>
      <c r="BE218" s="226"/>
      <c r="BF218" s="181"/>
      <c r="BG218" s="181"/>
      <c r="BH218" s="226"/>
      <c r="BI218" s="181"/>
      <c r="BJ218" s="181"/>
      <c r="BK218" s="181" t="s">
        <v>6269</v>
      </c>
      <c r="BL218" s="181"/>
      <c r="BM218" s="192" t="s">
        <v>119</v>
      </c>
      <c r="BN218" s="181"/>
      <c r="BO218" s="181"/>
      <c r="BP218" s="181"/>
      <c r="BQ218" s="181"/>
      <c r="BR218" s="181">
        <v>3554</v>
      </c>
      <c r="BS218" s="181"/>
      <c r="BT218" s="181"/>
      <c r="BU218" s="181" t="s">
        <v>279</v>
      </c>
      <c r="BV218" s="181"/>
      <c r="BW218" s="232"/>
      <c r="BX218" s="232"/>
      <c r="BY218" s="232"/>
      <c r="BZ218" s="232"/>
      <c r="CA218" s="232"/>
      <c r="CB218" s="183"/>
      <c r="CC218" s="183"/>
      <c r="CD218" s="183"/>
      <c r="CE218" s="232"/>
      <c r="CF218" s="232"/>
      <c r="CG218" s="232"/>
      <c r="CH218" s="231"/>
      <c r="CI218" s="231"/>
      <c r="CJ218" s="232"/>
      <c r="CK218" s="232"/>
      <c r="CL218" s="232"/>
      <c r="CM218" s="232"/>
      <c r="CN218" s="232"/>
      <c r="CO218" s="232"/>
      <c r="CP218" s="232"/>
      <c r="CQ218" s="232"/>
      <c r="CR218" s="232"/>
      <c r="CS218" s="232"/>
      <c r="CT218" s="232"/>
      <c r="CU218" s="232"/>
      <c r="CV218" s="232"/>
      <c r="CW218" s="232"/>
      <c r="CX218" s="232"/>
      <c r="CY218" s="232"/>
      <c r="CZ218" s="232"/>
      <c r="DA218" s="232"/>
      <c r="DB218" s="232"/>
      <c r="DC218" s="232"/>
      <c r="DD218" s="232"/>
      <c r="DE218" s="232"/>
      <c r="DF218" s="232"/>
      <c r="DG218" s="232"/>
      <c r="DH218" s="232"/>
      <c r="DI218" s="232"/>
      <c r="DJ218" s="232"/>
      <c r="DK218" s="232"/>
      <c r="DL218" s="232"/>
      <c r="DM218" s="232"/>
      <c r="DN218" s="232"/>
      <c r="DO218" s="232"/>
      <c r="DP218" s="232"/>
      <c r="DQ218" s="233"/>
      <c r="DR218" s="233"/>
      <c r="DS218" s="232"/>
      <c r="DT218" s="232"/>
      <c r="DU218" s="232"/>
      <c r="DV218" s="232"/>
      <c r="DW218" s="232"/>
      <c r="DX218" s="232"/>
      <c r="DY218" s="232"/>
      <c r="DZ218" s="232"/>
      <c r="EA218" s="232"/>
      <c r="EB218" s="232"/>
      <c r="EC218" s="232"/>
      <c r="ED218" s="232"/>
      <c r="EE218" s="232"/>
      <c r="EF218" s="232"/>
      <c r="EG218" s="232"/>
      <c r="EH218" s="232"/>
      <c r="EI218" s="232"/>
      <c r="EJ218" s="232"/>
      <c r="EK218" s="231"/>
      <c r="EL218" s="231"/>
      <c r="EM218" s="232"/>
      <c r="EN218" s="232"/>
      <c r="EO218" s="232"/>
      <c r="EP218" s="232"/>
      <c r="EQ218" s="232"/>
      <c r="ER218" s="232"/>
      <c r="ES218" s="232"/>
      <c r="ET218" s="232"/>
      <c r="EU218" s="232"/>
      <c r="EV218" s="232"/>
      <c r="EW218" s="232"/>
      <c r="EX218" s="232"/>
      <c r="EY218" s="232"/>
      <c r="EZ218" s="232"/>
      <c r="FA218" s="232"/>
      <c r="FB218" s="232"/>
      <c r="FC218" s="232"/>
      <c r="FD218" s="232"/>
      <c r="FE218" s="232"/>
      <c r="FF218" s="232"/>
      <c r="FG218" s="232"/>
      <c r="FH218" s="232"/>
      <c r="FI218" s="232"/>
      <c r="FJ218" s="232"/>
      <c r="FK218" s="232"/>
      <c r="FL218" s="232"/>
      <c r="FM218" s="232"/>
      <c r="FN218" s="232"/>
      <c r="FO218" s="232"/>
      <c r="FP218" s="232"/>
      <c r="FQ218" s="232"/>
      <c r="FR218" s="232"/>
      <c r="FS218" s="232"/>
      <c r="FT218" s="232"/>
      <c r="FU218" s="232"/>
      <c r="FV218" s="232"/>
      <c r="FW218" s="232"/>
      <c r="FX218" s="232"/>
      <c r="FY218" s="232"/>
      <c r="FZ218" s="232"/>
      <c r="GA218" s="232"/>
      <c r="GB218" s="232"/>
      <c r="GC218" s="232"/>
      <c r="GD218" s="232"/>
      <c r="GE218" s="232"/>
      <c r="GF218" s="232"/>
      <c r="GG218" s="232"/>
      <c r="GH218" s="232"/>
      <c r="GI218" s="232"/>
      <c r="GJ218" s="232"/>
      <c r="GK218" s="232"/>
      <c r="GL218" s="232"/>
      <c r="GM218" s="232"/>
      <c r="GN218" s="294">
        <v>1677</v>
      </c>
      <c r="GO218" s="294">
        <v>991</v>
      </c>
      <c r="GP218" s="292" t="s">
        <v>5150</v>
      </c>
      <c r="GQ218" s="232"/>
      <c r="GR218" s="232"/>
      <c r="GS218" s="232"/>
      <c r="GT218" s="232"/>
      <c r="GU218" s="232"/>
      <c r="GV218" s="232"/>
      <c r="GW218" s="232"/>
      <c r="GX218" s="232"/>
      <c r="GY218" s="232"/>
      <c r="GZ218" s="232"/>
      <c r="HA218" s="232"/>
      <c r="HB218" s="232"/>
      <c r="HC218" s="232"/>
      <c r="HD218" s="232"/>
      <c r="HE218" s="232"/>
      <c r="HF218" s="232"/>
      <c r="HG218" s="232"/>
      <c r="HH218" s="232"/>
      <c r="HI218" s="232"/>
      <c r="HJ218" s="232"/>
      <c r="HK218" s="232"/>
      <c r="HL218" s="232"/>
      <c r="HM218" s="232"/>
      <c r="HN218" s="232"/>
      <c r="HO218" s="232"/>
      <c r="HP218" s="232"/>
      <c r="HQ218" s="232"/>
      <c r="HR218" s="232"/>
      <c r="HS218" s="233"/>
      <c r="HT218" s="232"/>
      <c r="HU218" s="232"/>
      <c r="HV218" s="232"/>
      <c r="HW218" s="233"/>
      <c r="HX218" s="232"/>
      <c r="HY218" s="232"/>
      <c r="HZ218" s="232"/>
      <c r="IA218" s="232"/>
      <c r="IB218" s="232"/>
      <c r="IC218" s="232"/>
      <c r="ID218" s="232"/>
      <c r="IE218" s="232"/>
      <c r="IF218" s="232"/>
      <c r="IG218" s="232"/>
      <c r="IH218" s="232"/>
      <c r="II218" s="232"/>
      <c r="IJ218" s="232"/>
      <c r="IK218" s="232"/>
      <c r="IL218" s="232"/>
      <c r="IM218" s="232"/>
      <c r="IN218" s="232"/>
      <c r="IO218" s="232"/>
      <c r="IP218" s="232"/>
      <c r="IQ218" s="232"/>
      <c r="IR218" s="232"/>
      <c r="IS218" s="232"/>
      <c r="IT218" s="232"/>
      <c r="IU218" s="232"/>
      <c r="IV218" s="232"/>
      <c r="IW218" s="232"/>
      <c r="IX218" s="232"/>
      <c r="IY218" s="232"/>
      <c r="IZ218" s="232"/>
      <c r="JA218" s="232"/>
      <c r="JB218" s="232"/>
      <c r="JC218" s="232"/>
      <c r="JD218" s="232"/>
      <c r="JE218" s="232"/>
      <c r="JF218" s="232"/>
      <c r="JG218" s="232"/>
      <c r="JH218" s="232"/>
      <c r="JI218" s="232"/>
      <c r="JJ218" s="232"/>
      <c r="JK218" s="232"/>
      <c r="JL218" s="232"/>
      <c r="JM218" s="232"/>
      <c r="JN218" s="232"/>
      <c r="JO218" s="232"/>
      <c r="JP218" s="232"/>
      <c r="JQ218" s="232"/>
      <c r="JR218" s="232"/>
      <c r="JS218" s="232"/>
      <c r="JT218" s="232"/>
      <c r="JU218" s="181" t="s">
        <v>683</v>
      </c>
      <c r="JV218" s="181"/>
      <c r="JW218" s="181"/>
    </row>
    <row r="219" spans="1:283" x14ac:dyDescent="0.25">
      <c r="A219" s="55">
        <v>218</v>
      </c>
      <c r="B219" s="12" t="s">
        <v>7067</v>
      </c>
      <c r="C219" s="155">
        <v>15</v>
      </c>
      <c r="D219" s="55" t="s">
        <v>3744</v>
      </c>
      <c r="E219" s="90" t="s">
        <v>280</v>
      </c>
      <c r="G219" s="55" t="s">
        <v>281</v>
      </c>
      <c r="H219" s="55">
        <v>2005</v>
      </c>
      <c r="I219" s="55">
        <v>2001</v>
      </c>
      <c r="J219" s="55" t="s">
        <v>282</v>
      </c>
      <c r="K219" s="55" t="s">
        <v>283</v>
      </c>
      <c r="L219" s="55" t="s">
        <v>2737</v>
      </c>
      <c r="M219" s="90">
        <f>40+44/60</f>
        <v>40.733333333333334</v>
      </c>
      <c r="N219" s="90">
        <f>-77-57/60</f>
        <v>-77.95</v>
      </c>
      <c r="O219" s="90">
        <v>375.2</v>
      </c>
      <c r="U219" s="55">
        <v>1</v>
      </c>
      <c r="V219" s="55" t="s">
        <v>1688</v>
      </c>
      <c r="Y219" s="55" t="s">
        <v>1822</v>
      </c>
      <c r="Z219" s="55" t="s">
        <v>1355</v>
      </c>
      <c r="AA219" s="90" t="s">
        <v>1679</v>
      </c>
      <c r="AH219" s="55" t="s">
        <v>6378</v>
      </c>
      <c r="AM219" s="55" t="s">
        <v>1284</v>
      </c>
      <c r="AN219" s="185" t="s">
        <v>131</v>
      </c>
      <c r="AO219" s="185" t="s">
        <v>5150</v>
      </c>
      <c r="AQ219" s="55" t="s">
        <v>131</v>
      </c>
      <c r="AR219" s="55" t="s">
        <v>132</v>
      </c>
      <c r="AS219" s="55" t="s">
        <v>132</v>
      </c>
      <c r="AU219" s="181" t="s">
        <v>7494</v>
      </c>
      <c r="AV219" s="185" t="s">
        <v>176</v>
      </c>
      <c r="AX219" s="185" t="s">
        <v>176</v>
      </c>
      <c r="AZ219" s="55" t="s">
        <v>216</v>
      </c>
      <c r="BA219" s="55" t="s">
        <v>216</v>
      </c>
      <c r="BB219" s="55" t="s">
        <v>2082</v>
      </c>
      <c r="BC219" s="55" t="s">
        <v>2082</v>
      </c>
      <c r="BD219" s="55" t="s">
        <v>176</v>
      </c>
      <c r="BE219" s="226" t="s">
        <v>284</v>
      </c>
      <c r="BF219" s="55" t="s">
        <v>479</v>
      </c>
      <c r="BG219" s="55" t="s">
        <v>479</v>
      </c>
      <c r="BH219" s="226" t="s">
        <v>284</v>
      </c>
      <c r="BI219" s="55" t="s">
        <v>479</v>
      </c>
      <c r="BJ219" s="55" t="s">
        <v>176</v>
      </c>
      <c r="BK219" s="55" t="s">
        <v>6269</v>
      </c>
      <c r="BN219" s="55">
        <v>4</v>
      </c>
      <c r="BO219" s="55">
        <v>4</v>
      </c>
      <c r="BQ219" s="55" t="s">
        <v>173</v>
      </c>
      <c r="BS219" s="55">
        <f>1143</f>
        <v>1143</v>
      </c>
      <c r="BV219" s="55" t="s">
        <v>285</v>
      </c>
      <c r="CB219" s="66">
        <f>11.51*1000</f>
        <v>11510</v>
      </c>
      <c r="CC219" s="66">
        <f>12.2*1000</f>
        <v>12200</v>
      </c>
      <c r="CH219" s="90">
        <v>1.48</v>
      </c>
      <c r="CI219" s="90">
        <v>1.48</v>
      </c>
      <c r="GN219" s="294">
        <f>9.9*10</f>
        <v>99</v>
      </c>
      <c r="GO219" s="294">
        <f>1.3*10</f>
        <v>13</v>
      </c>
      <c r="GP219" s="292" t="s">
        <v>5150</v>
      </c>
      <c r="GS219" s="65" t="s">
        <v>1650</v>
      </c>
      <c r="HS219" s="227"/>
      <c r="HW219" s="227"/>
    </row>
    <row r="220" spans="1:283" x14ac:dyDescent="0.25">
      <c r="A220" s="55">
        <v>219</v>
      </c>
      <c r="B220" s="12" t="s">
        <v>7067</v>
      </c>
      <c r="C220" s="155">
        <v>15</v>
      </c>
      <c r="D220" s="55" t="s">
        <v>3744</v>
      </c>
      <c r="E220" s="90" t="s">
        <v>280</v>
      </c>
      <c r="G220" s="55" t="s">
        <v>281</v>
      </c>
      <c r="H220" s="55">
        <v>2005</v>
      </c>
      <c r="I220" s="55">
        <v>2001</v>
      </c>
      <c r="J220" s="55" t="s">
        <v>282</v>
      </c>
      <c r="K220" s="55" t="s">
        <v>283</v>
      </c>
      <c r="L220" s="55" t="s">
        <v>2737</v>
      </c>
      <c r="M220" s="90">
        <f>40+44/60</f>
        <v>40.733333333333334</v>
      </c>
      <c r="N220" s="90">
        <f>-77-57/60</f>
        <v>-77.95</v>
      </c>
      <c r="O220" s="90">
        <v>375.2</v>
      </c>
      <c r="U220" s="55">
        <v>1</v>
      </c>
      <c r="V220" s="55" t="s">
        <v>1688</v>
      </c>
      <c r="Y220" s="55" t="s">
        <v>1822</v>
      </c>
      <c r="Z220" s="55" t="s">
        <v>1355</v>
      </c>
      <c r="AA220" s="90" t="s">
        <v>1679</v>
      </c>
      <c r="AH220" s="55" t="s">
        <v>6378</v>
      </c>
      <c r="AM220" s="55" t="s">
        <v>1284</v>
      </c>
      <c r="AN220" s="185" t="s">
        <v>131</v>
      </c>
      <c r="AO220" s="185" t="s">
        <v>5150</v>
      </c>
      <c r="AQ220" s="55" t="s">
        <v>131</v>
      </c>
      <c r="AR220" s="55" t="s">
        <v>132</v>
      </c>
      <c r="AS220" s="55" t="s">
        <v>132</v>
      </c>
      <c r="AU220" s="181" t="s">
        <v>7494</v>
      </c>
      <c r="AV220" s="185" t="s">
        <v>176</v>
      </c>
      <c r="AX220" s="185" t="s">
        <v>176</v>
      </c>
      <c r="AZ220" s="55" t="s">
        <v>216</v>
      </c>
      <c r="BA220" s="55" t="s">
        <v>216</v>
      </c>
      <c r="BB220" s="55" t="s">
        <v>2082</v>
      </c>
      <c r="BC220" s="55" t="s">
        <v>2082</v>
      </c>
      <c r="BD220" s="55" t="s">
        <v>176</v>
      </c>
      <c r="BE220" s="226" t="s">
        <v>284</v>
      </c>
      <c r="BF220" s="55" t="s">
        <v>479</v>
      </c>
      <c r="BG220" s="55" t="s">
        <v>479</v>
      </c>
      <c r="BH220" s="226" t="s">
        <v>284</v>
      </c>
      <c r="BI220" s="55" t="s">
        <v>479</v>
      </c>
      <c r="BJ220" s="55" t="s">
        <v>176</v>
      </c>
      <c r="BK220" s="55" t="s">
        <v>6269</v>
      </c>
      <c r="BN220" s="55">
        <v>4</v>
      </c>
      <c r="BO220" s="55">
        <v>4</v>
      </c>
      <c r="BQ220" s="55" t="s">
        <v>173</v>
      </c>
      <c r="BS220" s="55">
        <v>1833</v>
      </c>
      <c r="BV220" s="55" t="s">
        <v>286</v>
      </c>
      <c r="CB220" s="66">
        <f>11.4*1000</f>
        <v>11400</v>
      </c>
      <c r="CC220" s="66">
        <f>11.87*1000</f>
        <v>11870</v>
      </c>
      <c r="CH220" s="90">
        <v>1.48</v>
      </c>
      <c r="CI220" s="90">
        <v>1.4</v>
      </c>
      <c r="GN220" s="294">
        <f>0.4*10</f>
        <v>4</v>
      </c>
      <c r="GO220" s="294">
        <f>1.5*10</f>
        <v>15</v>
      </c>
      <c r="GP220" s="292" t="s">
        <v>5150</v>
      </c>
      <c r="GS220" s="65" t="s">
        <v>1650</v>
      </c>
      <c r="HS220" s="227"/>
      <c r="HW220" s="227"/>
    </row>
    <row r="221" spans="1:283" x14ac:dyDescent="0.25">
      <c r="A221" s="55">
        <v>220</v>
      </c>
      <c r="B221" s="12" t="s">
        <v>7067</v>
      </c>
      <c r="C221" s="155">
        <v>15</v>
      </c>
      <c r="D221" s="55" t="s">
        <v>3744</v>
      </c>
      <c r="E221" s="90" t="s">
        <v>280</v>
      </c>
      <c r="G221" s="55" t="s">
        <v>281</v>
      </c>
      <c r="H221" s="55">
        <v>2005</v>
      </c>
      <c r="I221" s="55">
        <v>2002</v>
      </c>
      <c r="J221" s="55" t="s">
        <v>282</v>
      </c>
      <c r="K221" s="55" t="s">
        <v>283</v>
      </c>
      <c r="L221" s="55" t="s">
        <v>2737</v>
      </c>
      <c r="M221" s="90">
        <v>40.733333333333334</v>
      </c>
      <c r="N221" s="90">
        <v>-77.95</v>
      </c>
      <c r="O221" s="90">
        <v>375.2</v>
      </c>
      <c r="U221" s="55">
        <v>2</v>
      </c>
      <c r="V221" s="55" t="s">
        <v>1688</v>
      </c>
      <c r="Y221" s="55" t="s">
        <v>1822</v>
      </c>
      <c r="Z221" s="55" t="s">
        <v>1355</v>
      </c>
      <c r="AA221" s="90" t="s">
        <v>1679</v>
      </c>
      <c r="AH221" s="55" t="s">
        <v>6378</v>
      </c>
      <c r="AM221" s="55" t="s">
        <v>1284</v>
      </c>
      <c r="AN221" s="185" t="s">
        <v>131</v>
      </c>
      <c r="AO221" s="185" t="s">
        <v>5150</v>
      </c>
      <c r="AQ221" s="55" t="s">
        <v>131</v>
      </c>
      <c r="AR221" s="55" t="s">
        <v>132</v>
      </c>
      <c r="AS221" s="55" t="s">
        <v>132</v>
      </c>
      <c r="AU221" s="181" t="s">
        <v>7494</v>
      </c>
      <c r="AV221" s="185" t="s">
        <v>176</v>
      </c>
      <c r="AX221" s="185" t="s">
        <v>176</v>
      </c>
      <c r="AZ221" s="55" t="s">
        <v>216</v>
      </c>
      <c r="BA221" s="55" t="s">
        <v>216</v>
      </c>
      <c r="BB221" s="55" t="s">
        <v>2082</v>
      </c>
      <c r="BC221" s="55" t="s">
        <v>2082</v>
      </c>
      <c r="BD221" s="55" t="s">
        <v>176</v>
      </c>
      <c r="BE221" s="226" t="s">
        <v>284</v>
      </c>
      <c r="BF221" s="55" t="s">
        <v>479</v>
      </c>
      <c r="BG221" s="55" t="s">
        <v>479</v>
      </c>
      <c r="BH221" s="226" t="s">
        <v>284</v>
      </c>
      <c r="BI221" s="55" t="s">
        <v>479</v>
      </c>
      <c r="BJ221" s="55" t="s">
        <v>176</v>
      </c>
      <c r="BK221" s="55" t="s">
        <v>6269</v>
      </c>
      <c r="BN221" s="55">
        <v>4</v>
      </c>
      <c r="BO221" s="55">
        <v>4</v>
      </c>
      <c r="BQ221" s="55" t="s">
        <v>173</v>
      </c>
      <c r="BV221" s="55" t="s">
        <v>285</v>
      </c>
      <c r="CB221" s="66">
        <f>7.55*1000</f>
        <v>7550</v>
      </c>
      <c r="CC221" s="66">
        <f>8.71*1000</f>
        <v>8710</v>
      </c>
      <c r="GN221" s="294">
        <f>2.5*10</f>
        <v>25</v>
      </c>
      <c r="GO221" s="294">
        <f>2.8*10</f>
        <v>28</v>
      </c>
      <c r="GP221" s="292" t="s">
        <v>5150</v>
      </c>
      <c r="GS221" s="65" t="s">
        <v>1650</v>
      </c>
      <c r="HS221" s="227"/>
      <c r="HW221" s="227"/>
    </row>
    <row r="222" spans="1:283" x14ac:dyDescent="0.25">
      <c r="A222" s="55">
        <v>221</v>
      </c>
      <c r="B222" s="12" t="s">
        <v>7067</v>
      </c>
      <c r="C222" s="155">
        <v>15</v>
      </c>
      <c r="D222" s="55" t="s">
        <v>3744</v>
      </c>
      <c r="E222" s="90" t="s">
        <v>280</v>
      </c>
      <c r="G222" s="55" t="s">
        <v>281</v>
      </c>
      <c r="H222" s="55">
        <v>2005</v>
      </c>
      <c r="I222" s="55">
        <v>2002</v>
      </c>
      <c r="J222" s="55" t="s">
        <v>282</v>
      </c>
      <c r="K222" s="55" t="s">
        <v>283</v>
      </c>
      <c r="L222" s="55" t="s">
        <v>2737</v>
      </c>
      <c r="M222" s="90">
        <v>40.733333333333334</v>
      </c>
      <c r="N222" s="90">
        <v>-77.95</v>
      </c>
      <c r="O222" s="90">
        <v>375.2</v>
      </c>
      <c r="U222" s="55">
        <v>2</v>
      </c>
      <c r="V222" s="55" t="s">
        <v>1688</v>
      </c>
      <c r="Y222" s="55" t="s">
        <v>1822</v>
      </c>
      <c r="Z222" s="55" t="s">
        <v>1355</v>
      </c>
      <c r="AA222" s="90" t="s">
        <v>1679</v>
      </c>
      <c r="AH222" s="55" t="s">
        <v>6378</v>
      </c>
      <c r="AM222" s="55" t="s">
        <v>1284</v>
      </c>
      <c r="AN222" s="185" t="s">
        <v>131</v>
      </c>
      <c r="AO222" s="185" t="s">
        <v>5150</v>
      </c>
      <c r="AQ222" s="55" t="s">
        <v>131</v>
      </c>
      <c r="AR222" s="55" t="s">
        <v>132</v>
      </c>
      <c r="AS222" s="55" t="s">
        <v>132</v>
      </c>
      <c r="AU222" s="181" t="s">
        <v>7494</v>
      </c>
      <c r="AV222" s="185" t="s">
        <v>176</v>
      </c>
      <c r="AX222" s="185" t="s">
        <v>176</v>
      </c>
      <c r="AZ222" s="55" t="s">
        <v>216</v>
      </c>
      <c r="BA222" s="55" t="s">
        <v>216</v>
      </c>
      <c r="BB222" s="55" t="s">
        <v>2082</v>
      </c>
      <c r="BC222" s="55" t="s">
        <v>2082</v>
      </c>
      <c r="BD222" s="55" t="s">
        <v>176</v>
      </c>
      <c r="BE222" s="226" t="s">
        <v>284</v>
      </c>
      <c r="BF222" s="55" t="s">
        <v>479</v>
      </c>
      <c r="BG222" s="55" t="s">
        <v>479</v>
      </c>
      <c r="BH222" s="226" t="s">
        <v>284</v>
      </c>
      <c r="BI222" s="55" t="s">
        <v>479</v>
      </c>
      <c r="BJ222" s="55" t="s">
        <v>176</v>
      </c>
      <c r="BK222" s="55" t="s">
        <v>6269</v>
      </c>
      <c r="BN222" s="55">
        <v>4</v>
      </c>
      <c r="BO222" s="55">
        <v>4</v>
      </c>
      <c r="BQ222" s="55" t="s">
        <v>173</v>
      </c>
      <c r="BS222" s="55">
        <v>3740</v>
      </c>
      <c r="BV222" s="55" t="s">
        <v>286</v>
      </c>
      <c r="CB222" s="66">
        <f>8.97*1000</f>
        <v>8970</v>
      </c>
      <c r="CC222" s="66">
        <f>7.66*1000</f>
        <v>7660</v>
      </c>
      <c r="GN222" s="294">
        <f>2.5*10</f>
        <v>25</v>
      </c>
      <c r="GO222" s="294">
        <f>3*10</f>
        <v>30</v>
      </c>
      <c r="GP222" s="292" t="s">
        <v>5150</v>
      </c>
      <c r="GS222" s="65" t="s">
        <v>1650</v>
      </c>
      <c r="HS222" s="227"/>
      <c r="HW222" s="227"/>
    </row>
    <row r="223" spans="1:283" x14ac:dyDescent="0.25">
      <c r="A223" s="55">
        <v>222</v>
      </c>
      <c r="B223" s="12" t="s">
        <v>7067</v>
      </c>
      <c r="C223" s="155">
        <v>15</v>
      </c>
      <c r="D223" s="55" t="s">
        <v>3744</v>
      </c>
      <c r="E223" s="90" t="s">
        <v>280</v>
      </c>
      <c r="G223" s="55" t="s">
        <v>281</v>
      </c>
      <c r="H223" s="55">
        <v>2005</v>
      </c>
      <c r="I223" s="55">
        <v>2003</v>
      </c>
      <c r="J223" s="55" t="s">
        <v>282</v>
      </c>
      <c r="K223" s="55" t="s">
        <v>283</v>
      </c>
      <c r="L223" s="55" t="s">
        <v>2737</v>
      </c>
      <c r="M223" s="90">
        <f>40+44/60</f>
        <v>40.733333333333334</v>
      </c>
      <c r="N223" s="90">
        <f>-77-57/60</f>
        <v>-77.95</v>
      </c>
      <c r="O223" s="90">
        <v>375.2</v>
      </c>
      <c r="U223" s="55">
        <v>3</v>
      </c>
      <c r="V223" s="55" t="s">
        <v>1688</v>
      </c>
      <c r="Y223" s="55" t="s">
        <v>1822</v>
      </c>
      <c r="Z223" s="55" t="s">
        <v>1355</v>
      </c>
      <c r="AA223" s="90" t="s">
        <v>1679</v>
      </c>
      <c r="AH223" s="55" t="s">
        <v>6378</v>
      </c>
      <c r="AM223" s="55" t="s">
        <v>1284</v>
      </c>
      <c r="AN223" s="185" t="s">
        <v>131</v>
      </c>
      <c r="AO223" s="185" t="s">
        <v>5150</v>
      </c>
      <c r="AQ223" s="55" t="s">
        <v>131</v>
      </c>
      <c r="AR223" s="55" t="s">
        <v>132</v>
      </c>
      <c r="AS223" s="55" t="s">
        <v>132</v>
      </c>
      <c r="AU223" s="181" t="s">
        <v>7494</v>
      </c>
      <c r="AV223" s="185" t="s">
        <v>176</v>
      </c>
      <c r="AX223" s="185" t="s">
        <v>176</v>
      </c>
      <c r="AZ223" s="55" t="s">
        <v>216</v>
      </c>
      <c r="BA223" s="55" t="s">
        <v>216</v>
      </c>
      <c r="BB223" s="55" t="s">
        <v>2082</v>
      </c>
      <c r="BC223" s="55" t="s">
        <v>2082</v>
      </c>
      <c r="BD223" s="55" t="s">
        <v>176</v>
      </c>
      <c r="BE223" s="226" t="s">
        <v>284</v>
      </c>
      <c r="BF223" s="55" t="s">
        <v>479</v>
      </c>
      <c r="BG223" s="55" t="s">
        <v>479</v>
      </c>
      <c r="BH223" s="226" t="s">
        <v>284</v>
      </c>
      <c r="BI223" s="55" t="s">
        <v>479</v>
      </c>
      <c r="BJ223" s="55" t="s">
        <v>176</v>
      </c>
      <c r="BK223" s="55" t="s">
        <v>6269</v>
      </c>
      <c r="BN223" s="55">
        <v>4</v>
      </c>
      <c r="BO223" s="55">
        <v>4</v>
      </c>
      <c r="BQ223" s="55" t="s">
        <v>173</v>
      </c>
      <c r="BS223" s="55">
        <v>1568</v>
      </c>
      <c r="BV223" s="55" t="s">
        <v>285</v>
      </c>
      <c r="CB223" s="66">
        <f>9.94*1000</f>
        <v>9940</v>
      </c>
      <c r="CC223" s="66">
        <f>9.97*1000</f>
        <v>9970</v>
      </c>
      <c r="GN223" s="294">
        <f>8.8*10</f>
        <v>88</v>
      </c>
      <c r="GO223" s="294">
        <f>8.9*10</f>
        <v>89</v>
      </c>
      <c r="GP223" s="292" t="s">
        <v>5150</v>
      </c>
      <c r="GS223" s="65" t="s">
        <v>1650</v>
      </c>
      <c r="HS223" s="227"/>
      <c r="HW223" s="227"/>
    </row>
    <row r="224" spans="1:283" x14ac:dyDescent="0.25">
      <c r="A224" s="55">
        <v>223</v>
      </c>
      <c r="B224" s="12" t="s">
        <v>7067</v>
      </c>
      <c r="C224" s="155">
        <v>15</v>
      </c>
      <c r="D224" s="55" t="s">
        <v>3744</v>
      </c>
      <c r="E224" s="90" t="s">
        <v>280</v>
      </c>
      <c r="G224" s="55" t="s">
        <v>281</v>
      </c>
      <c r="H224" s="55">
        <v>2005</v>
      </c>
      <c r="I224" s="55">
        <v>2003</v>
      </c>
      <c r="J224" s="55" t="s">
        <v>282</v>
      </c>
      <c r="K224" s="55" t="s">
        <v>283</v>
      </c>
      <c r="L224" s="55" t="s">
        <v>2737</v>
      </c>
      <c r="M224" s="90">
        <f>40+44/60</f>
        <v>40.733333333333334</v>
      </c>
      <c r="N224" s="90">
        <f>-77-57/60</f>
        <v>-77.95</v>
      </c>
      <c r="O224" s="90">
        <v>375.2</v>
      </c>
      <c r="U224" s="55">
        <v>3</v>
      </c>
      <c r="V224" s="55" t="s">
        <v>1688</v>
      </c>
      <c r="Y224" s="55" t="s">
        <v>1822</v>
      </c>
      <c r="Z224" s="55" t="s">
        <v>1355</v>
      </c>
      <c r="AA224" s="90" t="s">
        <v>1679</v>
      </c>
      <c r="AH224" s="55" t="s">
        <v>6378</v>
      </c>
      <c r="AM224" s="55" t="s">
        <v>1284</v>
      </c>
      <c r="AN224" s="185" t="s">
        <v>131</v>
      </c>
      <c r="AO224" s="185" t="s">
        <v>5150</v>
      </c>
      <c r="AQ224" s="55" t="s">
        <v>131</v>
      </c>
      <c r="AR224" s="55" t="s">
        <v>132</v>
      </c>
      <c r="AS224" s="55" t="s">
        <v>132</v>
      </c>
      <c r="AU224" s="181" t="s">
        <v>7494</v>
      </c>
      <c r="AV224" s="185" t="s">
        <v>176</v>
      </c>
      <c r="AX224" s="185" t="s">
        <v>176</v>
      </c>
      <c r="AZ224" s="55" t="s">
        <v>216</v>
      </c>
      <c r="BA224" s="55" t="s">
        <v>216</v>
      </c>
      <c r="BB224" s="55" t="s">
        <v>2082</v>
      </c>
      <c r="BC224" s="55" t="s">
        <v>2082</v>
      </c>
      <c r="BD224" s="55" t="s">
        <v>176</v>
      </c>
      <c r="BE224" s="226" t="s">
        <v>284</v>
      </c>
      <c r="BF224" s="55" t="s">
        <v>479</v>
      </c>
      <c r="BG224" s="55" t="s">
        <v>479</v>
      </c>
      <c r="BH224" s="226" t="s">
        <v>284</v>
      </c>
      <c r="BI224" s="55" t="s">
        <v>479</v>
      </c>
      <c r="BJ224" s="55" t="s">
        <v>176</v>
      </c>
      <c r="BK224" s="55" t="s">
        <v>6269</v>
      </c>
      <c r="BN224" s="55">
        <v>4</v>
      </c>
      <c r="BO224" s="55">
        <v>4</v>
      </c>
      <c r="BQ224" s="55" t="s">
        <v>173</v>
      </c>
      <c r="BS224" s="55">
        <v>7075</v>
      </c>
      <c r="BV224" s="55" t="s">
        <v>286</v>
      </c>
      <c r="CB224" s="66">
        <f>8.81*1000</f>
        <v>8810</v>
      </c>
      <c r="CC224" s="66">
        <f>9.69*1000</f>
        <v>9690</v>
      </c>
      <c r="GN224" s="294">
        <f>11.8*10</f>
        <v>118</v>
      </c>
      <c r="GO224" s="294">
        <f>7.6*10</f>
        <v>76</v>
      </c>
      <c r="GP224" s="292" t="s">
        <v>5150</v>
      </c>
      <c r="GS224" s="65" t="s">
        <v>1650</v>
      </c>
      <c r="HS224" s="227"/>
      <c r="HW224" s="227"/>
    </row>
    <row r="225" spans="1:283" x14ac:dyDescent="0.25">
      <c r="A225" s="55">
        <v>224</v>
      </c>
      <c r="B225" s="12" t="s">
        <v>7067</v>
      </c>
      <c r="C225" s="155">
        <v>16</v>
      </c>
      <c r="D225" s="55" t="s">
        <v>3745</v>
      </c>
      <c r="E225" s="90" t="s">
        <v>287</v>
      </c>
      <c r="G225" s="55" t="s">
        <v>288</v>
      </c>
      <c r="H225" s="55">
        <v>1998</v>
      </c>
      <c r="I225" s="55">
        <v>1996</v>
      </c>
      <c r="J225" s="55" t="s">
        <v>289</v>
      </c>
      <c r="K225" s="55" t="s">
        <v>290</v>
      </c>
      <c r="L225" s="55" t="s">
        <v>2737</v>
      </c>
      <c r="M225" s="90">
        <v>37.200000000000003</v>
      </c>
      <c r="N225" s="90">
        <v>-80.56</v>
      </c>
      <c r="O225" s="90">
        <v>505</v>
      </c>
      <c r="Z225" s="55" t="s">
        <v>1349</v>
      </c>
      <c r="AA225" s="90" t="s">
        <v>1677</v>
      </c>
      <c r="AD225" s="90">
        <f>(1.76+1.67)/2</f>
        <v>1.7149999999999999</v>
      </c>
      <c r="AH225" s="55" t="s">
        <v>6378</v>
      </c>
      <c r="AM225" s="55" t="s">
        <v>1285</v>
      </c>
      <c r="AN225" s="185" t="s">
        <v>1480</v>
      </c>
      <c r="AO225" s="185" t="s">
        <v>5150</v>
      </c>
      <c r="AQ225" s="55" t="s">
        <v>131</v>
      </c>
      <c r="AR225" s="55" t="s">
        <v>227</v>
      </c>
      <c r="AS225" s="55" t="s">
        <v>227</v>
      </c>
      <c r="AU225" s="181" t="s">
        <v>7494</v>
      </c>
      <c r="AV225" s="185" t="s">
        <v>176</v>
      </c>
      <c r="AX225" s="185" t="s">
        <v>176</v>
      </c>
      <c r="AZ225" s="55" t="s">
        <v>291</v>
      </c>
      <c r="BA225" s="55" t="s">
        <v>291</v>
      </c>
      <c r="BB225" s="55" t="s">
        <v>2081</v>
      </c>
      <c r="BC225" s="55" t="s">
        <v>2081</v>
      </c>
      <c r="BD225" s="55" t="s">
        <v>176</v>
      </c>
      <c r="BE225" s="226" t="s">
        <v>292</v>
      </c>
      <c r="BF225" s="55" t="s">
        <v>479</v>
      </c>
      <c r="BG225" s="55" t="s">
        <v>479</v>
      </c>
      <c r="BH225" s="226" t="s">
        <v>292</v>
      </c>
      <c r="BI225" s="55" t="s">
        <v>479</v>
      </c>
      <c r="BK225" s="55" t="s">
        <v>5976</v>
      </c>
      <c r="BM225" s="192" t="s">
        <v>293</v>
      </c>
      <c r="BN225" s="55">
        <v>4</v>
      </c>
      <c r="BO225" s="55">
        <v>4</v>
      </c>
      <c r="BQ225" s="55" t="s">
        <v>141</v>
      </c>
      <c r="BV225" s="55" t="s">
        <v>295</v>
      </c>
      <c r="CH225" s="90">
        <f>(1.23+1.37+1.44+1.46)/4</f>
        <v>1.375</v>
      </c>
      <c r="CI225" s="90">
        <f>(1.25+1.33+1.37+1.41)/4</f>
        <v>1.34</v>
      </c>
      <c r="EP225" s="65">
        <f>(24.4+14.9+11.6+10.4)/4</f>
        <v>15.324999999999999</v>
      </c>
      <c r="EQ225" s="65">
        <f>(22.9+17.1+13.9+12.2)/4</f>
        <v>16.524999999999999</v>
      </c>
      <c r="ET225" s="65" t="s">
        <v>294</v>
      </c>
      <c r="FE225" s="65">
        <f>(76+22.2+2+1.5)/4</f>
        <v>25.425000000000001</v>
      </c>
      <c r="FF225" s="65">
        <f>(92.9+24.3+8.3+5.4)/4</f>
        <v>32.725000000000001</v>
      </c>
      <c r="GD225" s="65">
        <f>(16+18)/2/100</f>
        <v>0.17</v>
      </c>
      <c r="GE225" s="65">
        <f>(14.8+18.8)/2/100</f>
        <v>0.16800000000000001</v>
      </c>
      <c r="GP225" s="292" t="s">
        <v>7494</v>
      </c>
      <c r="HS225" s="227"/>
      <c r="HW225" s="227"/>
      <c r="JU225" s="55" t="s">
        <v>832</v>
      </c>
    </row>
    <row r="226" spans="1:283" x14ac:dyDescent="0.25">
      <c r="A226" s="55">
        <v>225</v>
      </c>
      <c r="B226" s="12" t="s">
        <v>7067</v>
      </c>
      <c r="C226" s="155">
        <v>16</v>
      </c>
      <c r="D226" s="55" t="s">
        <v>3745</v>
      </c>
      <c r="E226" s="90" t="s">
        <v>287</v>
      </c>
      <c r="G226" s="55" t="s">
        <v>288</v>
      </c>
      <c r="H226" s="55">
        <v>1998</v>
      </c>
      <c r="I226" s="55">
        <v>1996</v>
      </c>
      <c r="J226" s="55" t="s">
        <v>289</v>
      </c>
      <c r="K226" s="55" t="s">
        <v>290</v>
      </c>
      <c r="L226" s="55" t="s">
        <v>2737</v>
      </c>
      <c r="M226" s="90">
        <v>37.200000000000003</v>
      </c>
      <c r="N226" s="90">
        <v>-80.56</v>
      </c>
      <c r="O226" s="90">
        <v>505</v>
      </c>
      <c r="Z226" s="55" t="s">
        <v>1349</v>
      </c>
      <c r="AA226" s="90" t="s">
        <v>1677</v>
      </c>
      <c r="AD226" s="90">
        <f>(1.76+1.67)/2</f>
        <v>1.7149999999999999</v>
      </c>
      <c r="AH226" s="55" t="s">
        <v>6378</v>
      </c>
      <c r="AM226" s="55" t="s">
        <v>1285</v>
      </c>
      <c r="AN226" s="185" t="s">
        <v>1492</v>
      </c>
      <c r="AO226" s="185" t="s">
        <v>5150</v>
      </c>
      <c r="AQ226" s="55" t="s">
        <v>131</v>
      </c>
      <c r="AR226" s="55" t="s">
        <v>227</v>
      </c>
      <c r="AS226" s="55" t="s">
        <v>227</v>
      </c>
      <c r="AU226" s="181" t="s">
        <v>7494</v>
      </c>
      <c r="AV226" s="185" t="s">
        <v>176</v>
      </c>
      <c r="AX226" s="185" t="s">
        <v>176</v>
      </c>
      <c r="AZ226" s="55" t="s">
        <v>291</v>
      </c>
      <c r="BA226" s="55" t="s">
        <v>291</v>
      </c>
      <c r="BB226" s="55" t="s">
        <v>2081</v>
      </c>
      <c r="BC226" s="55" t="s">
        <v>2081</v>
      </c>
      <c r="BD226" s="55" t="s">
        <v>176</v>
      </c>
      <c r="BE226" s="226" t="s">
        <v>292</v>
      </c>
      <c r="BF226" s="55" t="s">
        <v>479</v>
      </c>
      <c r="BG226" s="55" t="s">
        <v>479</v>
      </c>
      <c r="BH226" s="226" t="s">
        <v>292</v>
      </c>
      <c r="BI226" s="55" t="s">
        <v>479</v>
      </c>
      <c r="BK226" s="55" t="s">
        <v>5976</v>
      </c>
      <c r="BM226" s="192" t="s">
        <v>293</v>
      </c>
      <c r="BN226" s="55">
        <v>4</v>
      </c>
      <c r="BO226" s="55">
        <v>4</v>
      </c>
      <c r="BQ226" s="55" t="s">
        <v>141</v>
      </c>
      <c r="BV226" s="55" t="s">
        <v>295</v>
      </c>
      <c r="CH226" s="90">
        <f>(1.23+1.37+1.44+1.46)/4</f>
        <v>1.375</v>
      </c>
      <c r="CI226" s="90">
        <f>(1.29+1.36+1.4+1.41)/4</f>
        <v>1.3650000000000002</v>
      </c>
      <c r="EP226" s="65">
        <f>(24.4+14.9+11.6+10.4)/4</f>
        <v>15.324999999999999</v>
      </c>
      <c r="EQ226" s="65">
        <f>(19.3+16.2+12.8+12.3)/4</f>
        <v>15.149999999999999</v>
      </c>
      <c r="ET226" s="65" t="s">
        <v>294</v>
      </c>
      <c r="FE226" s="65">
        <f>(76+22.2+2+1.5)/4</f>
        <v>25.425000000000001</v>
      </c>
      <c r="FF226" s="65">
        <f>(38.5+15.8+4.9+4.1)/4</f>
        <v>15.824999999999999</v>
      </c>
      <c r="GD226" s="65">
        <f>(16+18)/2/100</f>
        <v>0.17</v>
      </c>
      <c r="GE226" s="65">
        <f>(12.1+16.6)/2/100</f>
        <v>0.14350000000000002</v>
      </c>
      <c r="GP226" s="292" t="s">
        <v>7494</v>
      </c>
      <c r="HS226" s="227"/>
      <c r="HW226" s="227"/>
      <c r="JU226" s="55" t="s">
        <v>832</v>
      </c>
    </row>
    <row r="227" spans="1:283" x14ac:dyDescent="0.25">
      <c r="A227" s="55">
        <v>226</v>
      </c>
      <c r="B227" s="12" t="s">
        <v>7067</v>
      </c>
      <c r="C227" s="155">
        <v>16</v>
      </c>
      <c r="D227" s="55" t="s">
        <v>3745</v>
      </c>
      <c r="E227" s="90" t="s">
        <v>287</v>
      </c>
      <c r="G227" s="55" t="s">
        <v>288</v>
      </c>
      <c r="H227" s="55">
        <v>1998</v>
      </c>
      <c r="I227" s="55">
        <v>1996</v>
      </c>
      <c r="J227" s="55" t="s">
        <v>289</v>
      </c>
      <c r="K227" s="55" t="s">
        <v>290</v>
      </c>
      <c r="L227" s="55" t="s">
        <v>2737</v>
      </c>
      <c r="M227" s="90">
        <v>37.200000000000003</v>
      </c>
      <c r="N227" s="90">
        <v>-80.56</v>
      </c>
      <c r="O227" s="90">
        <v>505</v>
      </c>
      <c r="Z227" s="55" t="s">
        <v>1349</v>
      </c>
      <c r="AA227" s="90" t="s">
        <v>1677</v>
      </c>
      <c r="AD227" s="90">
        <f>(1.76+1.67)/2</f>
        <v>1.7149999999999999</v>
      </c>
      <c r="AH227" s="55" t="s">
        <v>6378</v>
      </c>
      <c r="AM227" s="55" t="s">
        <v>1285</v>
      </c>
      <c r="AN227" s="185" t="s">
        <v>1493</v>
      </c>
      <c r="AO227" s="185" t="s">
        <v>5150</v>
      </c>
      <c r="AQ227" s="55" t="s">
        <v>131</v>
      </c>
      <c r="AR227" s="55" t="s">
        <v>227</v>
      </c>
      <c r="AS227" s="55" t="s">
        <v>227</v>
      </c>
      <c r="AU227" s="181" t="s">
        <v>7494</v>
      </c>
      <c r="AV227" s="185" t="s">
        <v>176</v>
      </c>
      <c r="AX227" s="185" t="s">
        <v>176</v>
      </c>
      <c r="AZ227" s="55" t="s">
        <v>291</v>
      </c>
      <c r="BA227" s="55" t="s">
        <v>291</v>
      </c>
      <c r="BB227" s="55" t="s">
        <v>2081</v>
      </c>
      <c r="BC227" s="55" t="s">
        <v>2081</v>
      </c>
      <c r="BD227" s="55" t="s">
        <v>176</v>
      </c>
      <c r="BE227" s="226" t="s">
        <v>292</v>
      </c>
      <c r="BF227" s="55" t="s">
        <v>479</v>
      </c>
      <c r="BG227" s="55" t="s">
        <v>479</v>
      </c>
      <c r="BH227" s="226" t="s">
        <v>292</v>
      </c>
      <c r="BI227" s="55" t="s">
        <v>479</v>
      </c>
      <c r="BK227" s="55" t="s">
        <v>5976</v>
      </c>
      <c r="BM227" s="192" t="s">
        <v>293</v>
      </c>
      <c r="BN227" s="55">
        <v>4</v>
      </c>
      <c r="BO227" s="55">
        <v>4</v>
      </c>
      <c r="BQ227" s="55" t="s">
        <v>141</v>
      </c>
      <c r="BV227" s="55" t="s">
        <v>295</v>
      </c>
      <c r="CH227" s="90">
        <f>(1.23+1.37+1.44+1.46)/4</f>
        <v>1.375</v>
      </c>
      <c r="CI227" s="90">
        <f>(1.31+1.34+1.36+1.4)/4</f>
        <v>1.3525</v>
      </c>
      <c r="EP227" s="65">
        <f>(24.4+14.9+11.6+10.4)/4</f>
        <v>15.324999999999999</v>
      </c>
      <c r="EQ227" s="65">
        <f>(18.8+16.4+15.7+13.9)/4</f>
        <v>16.200000000000003</v>
      </c>
      <c r="ET227" s="65" t="s">
        <v>294</v>
      </c>
      <c r="FE227" s="65">
        <f>(76+22.2+2+1.5)/4</f>
        <v>25.425000000000001</v>
      </c>
      <c r="FF227" s="65">
        <f>(34.8+15.1+9.1+6.5)/4</f>
        <v>16.375</v>
      </c>
      <c r="GD227" s="65">
        <f>(16+18)/2/100</f>
        <v>0.17</v>
      </c>
      <c r="GE227" s="65">
        <f>(13+16.2)/2/100</f>
        <v>0.14599999999999999</v>
      </c>
      <c r="GP227" s="292" t="s">
        <v>7494</v>
      </c>
      <c r="HS227" s="227"/>
      <c r="HW227" s="227"/>
      <c r="JU227" s="55" t="s">
        <v>832</v>
      </c>
    </row>
    <row r="228" spans="1:283" x14ac:dyDescent="0.25">
      <c r="A228" s="55">
        <v>227</v>
      </c>
      <c r="B228" s="12" t="s">
        <v>7067</v>
      </c>
      <c r="C228" s="155">
        <v>17</v>
      </c>
      <c r="D228" s="55" t="s">
        <v>3746</v>
      </c>
      <c r="E228" s="90" t="s">
        <v>296</v>
      </c>
      <c r="G228" s="55" t="s">
        <v>297</v>
      </c>
      <c r="H228" s="55">
        <v>2016</v>
      </c>
      <c r="I228" s="55">
        <v>2011</v>
      </c>
      <c r="J228" s="55" t="s">
        <v>282</v>
      </c>
      <c r="K228" s="55" t="s">
        <v>298</v>
      </c>
      <c r="L228" s="55" t="s">
        <v>2737</v>
      </c>
      <c r="M228" s="90">
        <f>40+43/60</f>
        <v>40.716666666666669</v>
      </c>
      <c r="N228" s="90">
        <f>-77-55/60</f>
        <v>-77.916666666666671</v>
      </c>
      <c r="O228" s="90">
        <v>350</v>
      </c>
      <c r="S228" s="90">
        <v>975</v>
      </c>
      <c r="U228" s="55">
        <v>1</v>
      </c>
      <c r="V228" s="55" t="s">
        <v>1805</v>
      </c>
      <c r="Y228" s="55" t="s">
        <v>1823</v>
      </c>
      <c r="Z228" s="55" t="s">
        <v>1356</v>
      </c>
      <c r="AA228" s="90" t="s">
        <v>1680</v>
      </c>
      <c r="AH228" s="55" t="s">
        <v>6378</v>
      </c>
      <c r="AM228" s="55" t="s">
        <v>1286</v>
      </c>
      <c r="AN228" s="185" t="s">
        <v>1494</v>
      </c>
      <c r="AO228" s="185" t="s">
        <v>5150</v>
      </c>
      <c r="AQ228" s="55" t="s">
        <v>553</v>
      </c>
      <c r="AR228" s="55" t="s">
        <v>132</v>
      </c>
      <c r="AS228" s="55" t="s">
        <v>1584</v>
      </c>
      <c r="AT228" s="181" t="s">
        <v>299</v>
      </c>
      <c r="AU228" s="181" t="s">
        <v>5150</v>
      </c>
      <c r="AV228" s="185" t="s">
        <v>176</v>
      </c>
      <c r="AW228" s="55" t="s">
        <v>299</v>
      </c>
      <c r="AX228" s="185" t="s">
        <v>176</v>
      </c>
      <c r="AY228" s="55" t="s">
        <v>176</v>
      </c>
      <c r="BE228" s="226" t="s">
        <v>300</v>
      </c>
      <c r="BF228" s="55" t="s">
        <v>479</v>
      </c>
      <c r="BG228" s="55" t="s">
        <v>479</v>
      </c>
      <c r="BH228" s="226" t="s">
        <v>300</v>
      </c>
      <c r="BI228" s="55" t="s">
        <v>479</v>
      </c>
      <c r="BJ228" s="55" t="s">
        <v>176</v>
      </c>
      <c r="BK228" s="55" t="s">
        <v>5976</v>
      </c>
      <c r="BM228" s="192" t="s">
        <v>160</v>
      </c>
      <c r="BN228" s="55">
        <v>4</v>
      </c>
      <c r="BO228" s="55">
        <v>4</v>
      </c>
      <c r="BQ228" s="55" t="s">
        <v>141</v>
      </c>
      <c r="BS228" s="55">
        <v>61</v>
      </c>
      <c r="BT228" s="55">
        <v>9.3000000000000007</v>
      </c>
      <c r="CB228" s="66">
        <v>6975</v>
      </c>
      <c r="CC228" s="66">
        <v>6876</v>
      </c>
      <c r="DB228" s="65">
        <f>13.25*0.614</f>
        <v>8.1355000000000004</v>
      </c>
      <c r="DC228" s="65">
        <v>8.64</v>
      </c>
      <c r="DF228" s="65" t="s">
        <v>327</v>
      </c>
      <c r="DK228" s="65" t="s">
        <v>328</v>
      </c>
      <c r="FT228" s="65">
        <v>48.16</v>
      </c>
      <c r="FU228" s="65">
        <v>42.8294</v>
      </c>
      <c r="FX228" s="65" t="s">
        <v>303</v>
      </c>
      <c r="GN228" s="294">
        <v>2820.6</v>
      </c>
      <c r="GO228" s="294">
        <v>3011.35</v>
      </c>
      <c r="GP228" s="292" t="s">
        <v>5150</v>
      </c>
      <c r="GQ228" s="65">
        <f>(2964.03-2820.6)*SQRT(4)</f>
        <v>286.86000000000058</v>
      </c>
      <c r="GR228" s="65">
        <f>(2964.03-2820.6)*SQRT(4)</f>
        <v>286.86000000000058</v>
      </c>
      <c r="GS228" s="65" t="s">
        <v>1800</v>
      </c>
      <c r="HS228" s="227"/>
      <c r="HW228" s="227"/>
      <c r="JU228" s="55" t="s">
        <v>328</v>
      </c>
    </row>
    <row r="229" spans="1:283" x14ac:dyDescent="0.25">
      <c r="A229" s="55">
        <v>228</v>
      </c>
      <c r="B229" s="12" t="s">
        <v>7067</v>
      </c>
      <c r="C229" s="155">
        <v>17</v>
      </c>
      <c r="D229" s="55" t="s">
        <v>3746</v>
      </c>
      <c r="E229" s="90" t="s">
        <v>296</v>
      </c>
      <c r="G229" s="55" t="s">
        <v>297</v>
      </c>
      <c r="H229" s="55">
        <v>2016</v>
      </c>
      <c r="I229" s="55">
        <v>2011</v>
      </c>
      <c r="J229" s="55" t="s">
        <v>282</v>
      </c>
      <c r="K229" s="55" t="s">
        <v>298</v>
      </c>
      <c r="L229" s="55" t="s">
        <v>2737</v>
      </c>
      <c r="M229" s="90">
        <f>40+43/60</f>
        <v>40.716666666666669</v>
      </c>
      <c r="N229" s="90">
        <f>-77-55/60</f>
        <v>-77.916666666666671</v>
      </c>
      <c r="O229" s="90">
        <v>350</v>
      </c>
      <c r="S229" s="90">
        <v>975</v>
      </c>
      <c r="U229" s="55">
        <v>1</v>
      </c>
      <c r="V229" s="55" t="s">
        <v>1805</v>
      </c>
      <c r="Y229" s="55" t="s">
        <v>1823</v>
      </c>
      <c r="Z229" s="55" t="s">
        <v>1356</v>
      </c>
      <c r="AA229" s="90" t="s">
        <v>1680</v>
      </c>
      <c r="AH229" s="55" t="s">
        <v>6378</v>
      </c>
      <c r="AM229" s="55" t="s">
        <v>1286</v>
      </c>
      <c r="AN229" s="185" t="s">
        <v>1119</v>
      </c>
      <c r="AO229" s="185" t="s">
        <v>5150</v>
      </c>
      <c r="AQ229" s="55" t="s">
        <v>553</v>
      </c>
      <c r="AR229" s="55" t="s">
        <v>132</v>
      </c>
      <c r="AS229" s="55" t="s">
        <v>1584</v>
      </c>
      <c r="AT229" s="181" t="s">
        <v>299</v>
      </c>
      <c r="AU229" s="181" t="s">
        <v>5150</v>
      </c>
      <c r="AV229" s="185" t="s">
        <v>176</v>
      </c>
      <c r="AW229" s="55" t="s">
        <v>299</v>
      </c>
      <c r="AX229" s="185" t="s">
        <v>176</v>
      </c>
      <c r="AY229" s="55" t="s">
        <v>176</v>
      </c>
      <c r="BE229" s="226" t="s">
        <v>300</v>
      </c>
      <c r="BF229" s="55" t="s">
        <v>479</v>
      </c>
      <c r="BG229" s="55" t="s">
        <v>479</v>
      </c>
      <c r="BH229" s="226" t="s">
        <v>300</v>
      </c>
      <c r="BI229" s="55" t="s">
        <v>479</v>
      </c>
      <c r="BJ229" s="55" t="s">
        <v>176</v>
      </c>
      <c r="BK229" s="55" t="s">
        <v>5976</v>
      </c>
      <c r="BM229" s="192" t="s">
        <v>160</v>
      </c>
      <c r="BN229" s="55">
        <v>4</v>
      </c>
      <c r="BO229" s="55">
        <v>4</v>
      </c>
      <c r="BQ229" s="55" t="s">
        <v>141</v>
      </c>
      <c r="BS229" s="55">
        <v>418</v>
      </c>
      <c r="BT229" s="55">
        <v>9.5</v>
      </c>
      <c r="CB229" s="66">
        <v>6975</v>
      </c>
      <c r="CC229" s="66">
        <v>6678</v>
      </c>
      <c r="DB229" s="65">
        <f>13.25*0.614</f>
        <v>8.1355000000000004</v>
      </c>
      <c r="DC229" s="65">
        <v>8.43</v>
      </c>
      <c r="DF229" s="65" t="s">
        <v>327</v>
      </c>
      <c r="DK229" s="65" t="s">
        <v>328</v>
      </c>
      <c r="FT229" s="65">
        <v>48.16</v>
      </c>
      <c r="FU229" s="65">
        <v>35.291600000000003</v>
      </c>
      <c r="FX229" s="65" t="s">
        <v>303</v>
      </c>
      <c r="GN229" s="294">
        <v>2820.6</v>
      </c>
      <c r="GO229" s="294">
        <v>2322.3200000000002</v>
      </c>
      <c r="GP229" s="292" t="s">
        <v>5150</v>
      </c>
      <c r="GQ229" s="65">
        <f>(2964.03-2820.6)*SQRT(4)</f>
        <v>286.86000000000058</v>
      </c>
      <c r="GR229" s="65">
        <f>(2964.03-2820.6)*SQRT(4)</f>
        <v>286.86000000000058</v>
      </c>
      <c r="GS229" s="65" t="s">
        <v>1800</v>
      </c>
      <c r="HS229" s="227"/>
      <c r="HW229" s="227"/>
      <c r="JU229" s="55" t="s">
        <v>328</v>
      </c>
    </row>
    <row r="230" spans="1:283" x14ac:dyDescent="0.25">
      <c r="A230" s="55">
        <v>229</v>
      </c>
      <c r="B230" s="12" t="s">
        <v>7067</v>
      </c>
      <c r="C230" s="155">
        <v>17</v>
      </c>
      <c r="D230" s="55" t="s">
        <v>3746</v>
      </c>
      <c r="E230" s="90" t="s">
        <v>296</v>
      </c>
      <c r="G230" s="55" t="s">
        <v>297</v>
      </c>
      <c r="H230" s="55">
        <v>2016</v>
      </c>
      <c r="I230" s="55">
        <v>2011</v>
      </c>
      <c r="J230" s="55" t="s">
        <v>282</v>
      </c>
      <c r="K230" s="55" t="s">
        <v>298</v>
      </c>
      <c r="L230" s="55" t="s">
        <v>2737</v>
      </c>
      <c r="M230" s="90">
        <f>40+43/60</f>
        <v>40.716666666666669</v>
      </c>
      <c r="N230" s="90">
        <f>-77-55/60</f>
        <v>-77.916666666666671</v>
      </c>
      <c r="O230" s="90">
        <v>350</v>
      </c>
      <c r="S230" s="90">
        <v>975</v>
      </c>
      <c r="U230" s="55">
        <v>1</v>
      </c>
      <c r="V230" s="55" t="s">
        <v>1805</v>
      </c>
      <c r="Y230" s="55" t="s">
        <v>1823</v>
      </c>
      <c r="Z230" s="55" t="s">
        <v>1356</v>
      </c>
      <c r="AA230" s="90" t="s">
        <v>1680</v>
      </c>
      <c r="AH230" s="55" t="s">
        <v>6378</v>
      </c>
      <c r="AM230" s="55" t="s">
        <v>1286</v>
      </c>
      <c r="AN230" s="185" t="s">
        <v>1495</v>
      </c>
      <c r="AO230" s="185" t="s">
        <v>5150</v>
      </c>
      <c r="AQ230" s="55" t="s">
        <v>553</v>
      </c>
      <c r="AR230" s="55" t="s">
        <v>132</v>
      </c>
      <c r="AS230" s="55" t="s">
        <v>1584</v>
      </c>
      <c r="AT230" s="181" t="s">
        <v>299</v>
      </c>
      <c r="AU230" s="181" t="s">
        <v>5150</v>
      </c>
      <c r="AV230" s="185" t="s">
        <v>176</v>
      </c>
      <c r="AW230" s="55" t="s">
        <v>299</v>
      </c>
      <c r="AX230" s="185" t="s">
        <v>176</v>
      </c>
      <c r="AY230" s="55" t="s">
        <v>176</v>
      </c>
      <c r="BE230" s="226" t="s">
        <v>300</v>
      </c>
      <c r="BF230" s="55" t="s">
        <v>479</v>
      </c>
      <c r="BG230" s="55" t="s">
        <v>479</v>
      </c>
      <c r="BH230" s="226" t="s">
        <v>300</v>
      </c>
      <c r="BI230" s="55" t="s">
        <v>479</v>
      </c>
      <c r="BJ230" s="55" t="s">
        <v>176</v>
      </c>
      <c r="BK230" s="55" t="s">
        <v>5976</v>
      </c>
      <c r="BM230" s="192" t="s">
        <v>160</v>
      </c>
      <c r="BN230" s="55">
        <v>4</v>
      </c>
      <c r="BO230" s="55">
        <v>4</v>
      </c>
      <c r="BQ230" s="55" t="s">
        <v>141</v>
      </c>
      <c r="BS230" s="55">
        <v>4045</v>
      </c>
      <c r="BT230" s="55">
        <v>10.3</v>
      </c>
      <c r="CB230" s="66">
        <v>6975</v>
      </c>
      <c r="CC230" s="66">
        <v>9653</v>
      </c>
      <c r="DB230" s="65">
        <f>13.25*0.614</f>
        <v>8.1355000000000004</v>
      </c>
      <c r="DC230" s="65">
        <v>18.399999999999999</v>
      </c>
      <c r="DF230" s="65" t="s">
        <v>327</v>
      </c>
      <c r="DK230" s="65" t="s">
        <v>328</v>
      </c>
      <c r="FT230" s="65">
        <v>48.16</v>
      </c>
      <c r="FU230" s="65">
        <v>33.94</v>
      </c>
      <c r="FX230" s="65" t="s">
        <v>303</v>
      </c>
      <c r="GN230" s="294">
        <v>2820.6</v>
      </c>
      <c r="GO230" s="294">
        <v>992.58</v>
      </c>
      <c r="GP230" s="292" t="s">
        <v>5150</v>
      </c>
      <c r="GQ230" s="65">
        <f>(2964.03-2820.6)*SQRT(4)</f>
        <v>286.86000000000058</v>
      </c>
      <c r="GR230" s="65">
        <f>(2964.03-2820.6)*SQRT(4)</f>
        <v>286.86000000000058</v>
      </c>
      <c r="GS230" s="65" t="s">
        <v>1800</v>
      </c>
      <c r="HS230" s="227"/>
      <c r="HW230" s="227"/>
      <c r="JU230" s="55" t="s">
        <v>328</v>
      </c>
    </row>
    <row r="231" spans="1:283" x14ac:dyDescent="0.25">
      <c r="A231" s="55">
        <v>230</v>
      </c>
      <c r="B231" s="12" t="s">
        <v>7067</v>
      </c>
      <c r="C231" s="155">
        <v>17</v>
      </c>
      <c r="D231" s="55" t="s">
        <v>3746</v>
      </c>
      <c r="E231" s="90" t="s">
        <v>296</v>
      </c>
      <c r="G231" s="55" t="s">
        <v>297</v>
      </c>
      <c r="H231" s="55">
        <v>2016</v>
      </c>
      <c r="I231" s="55">
        <v>2011</v>
      </c>
      <c r="J231" s="55" t="s">
        <v>282</v>
      </c>
      <c r="K231" s="55" t="s">
        <v>298</v>
      </c>
      <c r="L231" s="55" t="s">
        <v>2737</v>
      </c>
      <c r="M231" s="90">
        <f>40+43/60</f>
        <v>40.716666666666669</v>
      </c>
      <c r="N231" s="90">
        <f>-77-55/60</f>
        <v>-77.916666666666671</v>
      </c>
      <c r="O231" s="90">
        <v>350</v>
      </c>
      <c r="S231" s="90">
        <v>975</v>
      </c>
      <c r="U231" s="55">
        <v>1</v>
      </c>
      <c r="V231" s="55" t="s">
        <v>1805</v>
      </c>
      <c r="Y231" s="55" t="s">
        <v>1823</v>
      </c>
      <c r="Z231" s="55" t="s">
        <v>1356</v>
      </c>
      <c r="AA231" s="90" t="s">
        <v>1680</v>
      </c>
      <c r="AH231" s="55" t="s">
        <v>6378</v>
      </c>
      <c r="AM231" s="55" t="s">
        <v>1286</v>
      </c>
      <c r="AN231" s="185" t="s">
        <v>241</v>
      </c>
      <c r="AO231" s="185" t="s">
        <v>5150</v>
      </c>
      <c r="AQ231" s="55" t="s">
        <v>553</v>
      </c>
      <c r="AR231" s="55" t="s">
        <v>132</v>
      </c>
      <c r="AS231" s="55" t="s">
        <v>1584</v>
      </c>
      <c r="AT231" s="181" t="s">
        <v>299</v>
      </c>
      <c r="AU231" s="181" t="s">
        <v>5150</v>
      </c>
      <c r="AV231" s="185" t="s">
        <v>176</v>
      </c>
      <c r="AW231" s="55" t="s">
        <v>299</v>
      </c>
      <c r="AX231" s="185" t="s">
        <v>176</v>
      </c>
      <c r="AY231" s="55" t="s">
        <v>176</v>
      </c>
      <c r="BE231" s="226" t="s">
        <v>300</v>
      </c>
      <c r="BF231" s="55" t="s">
        <v>479</v>
      </c>
      <c r="BG231" s="55" t="s">
        <v>479</v>
      </c>
      <c r="BH231" s="226" t="s">
        <v>300</v>
      </c>
      <c r="BI231" s="55" t="s">
        <v>479</v>
      </c>
      <c r="BJ231" s="55" t="s">
        <v>176</v>
      </c>
      <c r="BK231" s="55" t="s">
        <v>5976</v>
      </c>
      <c r="BM231" s="192" t="s">
        <v>160</v>
      </c>
      <c r="BN231" s="55">
        <v>4</v>
      </c>
      <c r="BO231" s="55">
        <v>4</v>
      </c>
      <c r="BQ231" s="55" t="s">
        <v>141</v>
      </c>
      <c r="BS231" s="55">
        <v>4531</v>
      </c>
      <c r="BT231" s="55">
        <v>9</v>
      </c>
      <c r="CB231" s="66">
        <v>6975</v>
      </c>
      <c r="CC231" s="66">
        <v>9884</v>
      </c>
      <c r="DB231" s="65">
        <f>13.25*0.614</f>
        <v>8.1355000000000004</v>
      </c>
      <c r="DC231" s="65">
        <v>27.04</v>
      </c>
      <c r="DF231" s="65" t="s">
        <v>327</v>
      </c>
      <c r="DK231" s="65" t="s">
        <v>328</v>
      </c>
      <c r="FT231" s="65">
        <v>48.16</v>
      </c>
      <c r="FU231" s="65">
        <v>34.36</v>
      </c>
      <c r="FX231" s="65" t="s">
        <v>303</v>
      </c>
      <c r="GN231" s="294">
        <v>2820.6</v>
      </c>
      <c r="GO231" s="294">
        <v>236.61</v>
      </c>
      <c r="GP231" s="292" t="s">
        <v>5150</v>
      </c>
      <c r="GQ231" s="65">
        <f>(2964.03-2820.6)*SQRT(4)</f>
        <v>286.86000000000058</v>
      </c>
      <c r="GR231" s="65">
        <f>(2964.03-2820.6)*SQRT(4)</f>
        <v>286.86000000000058</v>
      </c>
      <c r="GS231" s="65" t="s">
        <v>1800</v>
      </c>
      <c r="HS231" s="227"/>
      <c r="HW231" s="227"/>
      <c r="JU231" s="55" t="s">
        <v>328</v>
      </c>
    </row>
    <row r="232" spans="1:283" x14ac:dyDescent="0.25">
      <c r="A232" s="55">
        <v>231</v>
      </c>
      <c r="B232" s="12" t="s">
        <v>7067</v>
      </c>
      <c r="C232" s="155">
        <v>17</v>
      </c>
      <c r="D232" s="55" t="s">
        <v>3747</v>
      </c>
      <c r="E232" s="90" t="s">
        <v>296</v>
      </c>
      <c r="G232" s="55" t="s">
        <v>297</v>
      </c>
      <c r="H232" s="55">
        <v>2016</v>
      </c>
      <c r="I232" s="55">
        <v>2011</v>
      </c>
      <c r="J232" s="55" t="s">
        <v>282</v>
      </c>
      <c r="K232" s="55" t="s">
        <v>298</v>
      </c>
      <c r="L232" s="55" t="s">
        <v>2737</v>
      </c>
      <c r="M232" s="90">
        <f>40+43/60</f>
        <v>40.716666666666669</v>
      </c>
      <c r="N232" s="90">
        <f>-77-55/60</f>
        <v>-77.916666666666671</v>
      </c>
      <c r="O232" s="90">
        <v>350</v>
      </c>
      <c r="S232" s="90">
        <v>975</v>
      </c>
      <c r="U232" s="55">
        <v>1</v>
      </c>
      <c r="V232" s="55" t="s">
        <v>1805</v>
      </c>
      <c r="Y232" s="55" t="s">
        <v>1823</v>
      </c>
      <c r="Z232" s="55" t="s">
        <v>1356</v>
      </c>
      <c r="AA232" s="90" t="s">
        <v>1680</v>
      </c>
      <c r="AH232" s="55" t="s">
        <v>6378</v>
      </c>
      <c r="AM232" s="55" t="s">
        <v>1286</v>
      </c>
      <c r="AN232" s="185" t="s">
        <v>1541</v>
      </c>
      <c r="AO232" s="185" t="s">
        <v>5150</v>
      </c>
      <c r="AQ232" s="55" t="s">
        <v>1097</v>
      </c>
      <c r="AR232" s="55" t="s">
        <v>132</v>
      </c>
      <c r="AS232" s="55" t="s">
        <v>1584</v>
      </c>
      <c r="AT232" s="181" t="s">
        <v>299</v>
      </c>
      <c r="AU232" s="181" t="s">
        <v>5150</v>
      </c>
      <c r="AV232" s="185" t="s">
        <v>176</v>
      </c>
      <c r="AW232" s="55" t="s">
        <v>299</v>
      </c>
      <c r="AX232" s="185" t="s">
        <v>176</v>
      </c>
      <c r="AY232" s="55" t="s">
        <v>176</v>
      </c>
      <c r="BE232" s="226" t="s">
        <v>300</v>
      </c>
      <c r="BF232" s="55" t="s">
        <v>479</v>
      </c>
      <c r="BG232" s="55" t="s">
        <v>479</v>
      </c>
      <c r="BH232" s="226" t="s">
        <v>300</v>
      </c>
      <c r="BI232" s="55" t="s">
        <v>479</v>
      </c>
      <c r="BJ232" s="55" t="s">
        <v>176</v>
      </c>
      <c r="BK232" s="55" t="s">
        <v>5976</v>
      </c>
      <c r="BM232" s="192" t="s">
        <v>160</v>
      </c>
      <c r="BN232" s="55">
        <v>4</v>
      </c>
      <c r="BO232" s="55">
        <v>4</v>
      </c>
      <c r="BQ232" s="55" t="s">
        <v>141</v>
      </c>
      <c r="BS232" s="55">
        <v>1381</v>
      </c>
      <c r="BT232" s="55">
        <v>15.7</v>
      </c>
      <c r="CB232" s="66">
        <v>6975</v>
      </c>
      <c r="CC232" s="66">
        <v>8033</v>
      </c>
      <c r="DB232" s="65">
        <f>13.25*0.614</f>
        <v>8.1355000000000004</v>
      </c>
      <c r="DC232" s="65">
        <v>10.45</v>
      </c>
      <c r="DF232" s="65" t="s">
        <v>327</v>
      </c>
      <c r="DK232" s="65" t="s">
        <v>328</v>
      </c>
      <c r="FT232" s="65">
        <v>48.16</v>
      </c>
      <c r="FU232" s="65">
        <v>47.6</v>
      </c>
      <c r="FX232" s="65" t="s">
        <v>303</v>
      </c>
      <c r="GN232" s="294">
        <v>2820.6</v>
      </c>
      <c r="GO232" s="294">
        <v>2225.16</v>
      </c>
      <c r="GP232" s="292" t="s">
        <v>5150</v>
      </c>
      <c r="GQ232" s="65">
        <f>(2964.03-2820.6)*SQRT(4)</f>
        <v>286.86000000000058</v>
      </c>
      <c r="GR232" s="65">
        <f>(2964.03-2820.6)*SQRT(4)</f>
        <v>286.86000000000058</v>
      </c>
      <c r="GS232" s="65" t="s">
        <v>1800</v>
      </c>
      <c r="HS232" s="227"/>
      <c r="HW232" s="227"/>
      <c r="JU232" s="55" t="s">
        <v>328</v>
      </c>
    </row>
    <row r="233" spans="1:283" x14ac:dyDescent="0.25">
      <c r="A233" s="55">
        <v>232</v>
      </c>
      <c r="B233" s="12" t="s">
        <v>7067</v>
      </c>
      <c r="C233" s="155">
        <v>17</v>
      </c>
      <c r="D233" s="55" t="s">
        <v>3748</v>
      </c>
      <c r="E233" s="90" t="s">
        <v>296</v>
      </c>
      <c r="G233" s="55" t="s">
        <v>297</v>
      </c>
      <c r="H233" s="55">
        <v>2016</v>
      </c>
      <c r="I233" s="55">
        <v>2011</v>
      </c>
      <c r="J233" s="55" t="s">
        <v>282</v>
      </c>
      <c r="K233" s="55" t="s">
        <v>298</v>
      </c>
      <c r="L233" s="55" t="s">
        <v>2737</v>
      </c>
      <c r="M233" s="90">
        <f>40+43/60</f>
        <v>40.716666666666669</v>
      </c>
      <c r="N233" s="90">
        <f>-77-55/60</f>
        <v>-77.916666666666671</v>
      </c>
      <c r="O233" s="90">
        <v>350</v>
      </c>
      <c r="S233" s="90">
        <v>975</v>
      </c>
      <c r="U233" s="55">
        <v>1</v>
      </c>
      <c r="V233" s="55" t="s">
        <v>1805</v>
      </c>
      <c r="Y233" s="55" t="s">
        <v>1823</v>
      </c>
      <c r="Z233" s="55" t="s">
        <v>1356</v>
      </c>
      <c r="AA233" s="90" t="s">
        <v>1680</v>
      </c>
      <c r="AH233" s="55" t="s">
        <v>6378</v>
      </c>
      <c r="AM233" s="55" t="s">
        <v>1286</v>
      </c>
      <c r="AN233" s="185" t="s">
        <v>496</v>
      </c>
      <c r="AO233" s="185" t="s">
        <v>5150</v>
      </c>
      <c r="AQ233" s="55" t="s">
        <v>1545</v>
      </c>
      <c r="AR233" s="55" t="s">
        <v>132</v>
      </c>
      <c r="AS233" s="55" t="s">
        <v>1584</v>
      </c>
      <c r="AT233" s="181" t="s">
        <v>299</v>
      </c>
      <c r="AU233" s="181" t="s">
        <v>5150</v>
      </c>
      <c r="AV233" s="185" t="s">
        <v>176</v>
      </c>
      <c r="AW233" s="55" t="s">
        <v>299</v>
      </c>
      <c r="AX233" s="185" t="s">
        <v>176</v>
      </c>
      <c r="AY233" s="55" t="s">
        <v>176</v>
      </c>
      <c r="BE233" s="226" t="s">
        <v>300</v>
      </c>
      <c r="BF233" s="55" t="s">
        <v>479</v>
      </c>
      <c r="BG233" s="55" t="s">
        <v>479</v>
      </c>
      <c r="BH233" s="226" t="s">
        <v>300</v>
      </c>
      <c r="BI233" s="55" t="s">
        <v>479</v>
      </c>
      <c r="BJ233" s="55" t="s">
        <v>176</v>
      </c>
      <c r="BK233" s="55" t="s">
        <v>5976</v>
      </c>
      <c r="BM233" s="192" t="s">
        <v>160</v>
      </c>
      <c r="BN233" s="55">
        <v>4</v>
      </c>
      <c r="BO233" s="55">
        <v>4</v>
      </c>
      <c r="BQ233" s="55" t="s">
        <v>141</v>
      </c>
      <c r="BS233" s="55">
        <v>1901</v>
      </c>
      <c r="BT233" s="55">
        <v>17.899999999999999</v>
      </c>
      <c r="CB233" s="66">
        <v>6975</v>
      </c>
      <c r="CC233" s="66">
        <v>8033</v>
      </c>
      <c r="DB233" s="65">
        <f>13.25*0.614</f>
        <v>8.1355000000000004</v>
      </c>
      <c r="DC233" s="65">
        <v>9.73</v>
      </c>
      <c r="DF233" s="65" t="s">
        <v>327</v>
      </c>
      <c r="DK233" s="65" t="s">
        <v>328</v>
      </c>
      <c r="FT233" s="65">
        <v>48.16</v>
      </c>
      <c r="FU233" s="65">
        <v>21.05</v>
      </c>
      <c r="FX233" s="65" t="s">
        <v>303</v>
      </c>
      <c r="GN233" s="294">
        <v>2820.6</v>
      </c>
      <c r="GO233" s="294">
        <v>541.59</v>
      </c>
      <c r="GP233" s="292" t="s">
        <v>5150</v>
      </c>
      <c r="GQ233" s="65">
        <f>(2964.03-2820.6)*SQRT(4)</f>
        <v>286.86000000000058</v>
      </c>
      <c r="GR233" s="65">
        <f>(2964.03-2820.6)*SQRT(4)</f>
        <v>286.86000000000058</v>
      </c>
      <c r="GS233" s="65" t="s">
        <v>1800</v>
      </c>
      <c r="HS233" s="227"/>
      <c r="HW233" s="227"/>
      <c r="JU233" s="55" t="s">
        <v>328</v>
      </c>
    </row>
    <row r="234" spans="1:283" x14ac:dyDescent="0.25">
      <c r="A234" s="55">
        <v>233</v>
      </c>
      <c r="B234" s="12" t="s">
        <v>7067</v>
      </c>
      <c r="C234" s="155">
        <v>17</v>
      </c>
      <c r="D234" s="55" t="s">
        <v>3747</v>
      </c>
      <c r="E234" s="90" t="s">
        <v>296</v>
      </c>
      <c r="G234" s="55" t="s">
        <v>297</v>
      </c>
      <c r="H234" s="55">
        <v>2016</v>
      </c>
      <c r="I234" s="55">
        <v>2011</v>
      </c>
      <c r="J234" s="55" t="s">
        <v>282</v>
      </c>
      <c r="K234" s="55" t="s">
        <v>298</v>
      </c>
      <c r="L234" s="55" t="s">
        <v>2737</v>
      </c>
      <c r="M234" s="90">
        <f>40+43/60</f>
        <v>40.716666666666669</v>
      </c>
      <c r="N234" s="90">
        <f>-77-55/60</f>
        <v>-77.916666666666671</v>
      </c>
      <c r="O234" s="90">
        <v>350</v>
      </c>
      <c r="S234" s="90">
        <v>975</v>
      </c>
      <c r="U234" s="55">
        <v>1</v>
      </c>
      <c r="V234" s="55" t="s">
        <v>1805</v>
      </c>
      <c r="Y234" s="55" t="s">
        <v>1823</v>
      </c>
      <c r="Z234" s="55" t="s">
        <v>1356</v>
      </c>
      <c r="AA234" s="90" t="s">
        <v>1680</v>
      </c>
      <c r="AH234" s="55" t="s">
        <v>6378</v>
      </c>
      <c r="AM234" s="55" t="s">
        <v>1286</v>
      </c>
      <c r="AN234" s="185" t="s">
        <v>499</v>
      </c>
      <c r="AO234" s="185" t="s">
        <v>5150</v>
      </c>
      <c r="AQ234" s="55" t="s">
        <v>1097</v>
      </c>
      <c r="AR234" s="55" t="s">
        <v>132</v>
      </c>
      <c r="AS234" s="55" t="s">
        <v>1584</v>
      </c>
      <c r="AT234" s="181" t="s">
        <v>299</v>
      </c>
      <c r="AU234" s="181" t="s">
        <v>5150</v>
      </c>
      <c r="AV234" s="185" t="s">
        <v>176</v>
      </c>
      <c r="AW234" s="55" t="s">
        <v>299</v>
      </c>
      <c r="AX234" s="185" t="s">
        <v>176</v>
      </c>
      <c r="AY234" s="55" t="s">
        <v>176</v>
      </c>
      <c r="BE234" s="226" t="s">
        <v>300</v>
      </c>
      <c r="BF234" s="55" t="s">
        <v>479</v>
      </c>
      <c r="BG234" s="55" t="s">
        <v>479</v>
      </c>
      <c r="BH234" s="226" t="s">
        <v>300</v>
      </c>
      <c r="BI234" s="55" t="s">
        <v>479</v>
      </c>
      <c r="BJ234" s="55" t="s">
        <v>176</v>
      </c>
      <c r="BK234" s="55" t="s">
        <v>5976</v>
      </c>
      <c r="BM234" s="192" t="s">
        <v>160</v>
      </c>
      <c r="BN234" s="55">
        <v>4</v>
      </c>
      <c r="BO234" s="55">
        <v>4</v>
      </c>
      <c r="BQ234" s="55" t="s">
        <v>141</v>
      </c>
      <c r="BS234" s="55">
        <v>7165</v>
      </c>
      <c r="BT234" s="55">
        <v>24.2</v>
      </c>
      <c r="CB234" s="66">
        <v>6975</v>
      </c>
      <c r="CC234" s="66">
        <v>7372</v>
      </c>
      <c r="DB234" s="65">
        <f>13.25*0.614</f>
        <v>8.1355000000000004</v>
      </c>
      <c r="DC234" s="65">
        <v>8.7100000000000009</v>
      </c>
      <c r="DF234" s="65" t="s">
        <v>327</v>
      </c>
      <c r="DK234" s="65" t="s">
        <v>328</v>
      </c>
      <c r="FT234" s="65">
        <v>48.16</v>
      </c>
      <c r="FU234" s="65">
        <v>2.02</v>
      </c>
      <c r="FX234" s="65" t="s">
        <v>303</v>
      </c>
      <c r="GN234" s="294">
        <v>2820.6</v>
      </c>
      <c r="GO234" s="294">
        <v>129.88999999999999</v>
      </c>
      <c r="GP234" s="292" t="s">
        <v>5150</v>
      </c>
      <c r="GQ234" s="65">
        <f>(2964.03-2820.6)*SQRT(4)</f>
        <v>286.86000000000058</v>
      </c>
      <c r="GR234" s="65">
        <f>(2964.03-2820.6)*SQRT(4)</f>
        <v>286.86000000000058</v>
      </c>
      <c r="GS234" s="65" t="s">
        <v>1800</v>
      </c>
      <c r="HS234" s="227"/>
      <c r="HW234" s="227"/>
      <c r="JU234" s="55" t="s">
        <v>328</v>
      </c>
    </row>
    <row r="235" spans="1:283" x14ac:dyDescent="0.25">
      <c r="A235" s="55">
        <v>234</v>
      </c>
      <c r="B235" s="12" t="s">
        <v>7067</v>
      </c>
      <c r="C235" s="155">
        <v>17</v>
      </c>
      <c r="D235" s="55" t="s">
        <v>3748</v>
      </c>
      <c r="E235" s="90" t="s">
        <v>296</v>
      </c>
      <c r="G235" s="55" t="s">
        <v>297</v>
      </c>
      <c r="H235" s="55">
        <v>2016</v>
      </c>
      <c r="I235" s="55">
        <v>2011</v>
      </c>
      <c r="J235" s="55" t="s">
        <v>282</v>
      </c>
      <c r="K235" s="55" t="s">
        <v>298</v>
      </c>
      <c r="L235" s="55" t="s">
        <v>2737</v>
      </c>
      <c r="M235" s="90">
        <f>40+43/60</f>
        <v>40.716666666666669</v>
      </c>
      <c r="N235" s="90">
        <f>-77-55/60</f>
        <v>-77.916666666666671</v>
      </c>
      <c r="O235" s="90">
        <v>350</v>
      </c>
      <c r="S235" s="90">
        <v>975</v>
      </c>
      <c r="U235" s="55">
        <v>1</v>
      </c>
      <c r="V235" s="55" t="s">
        <v>1805</v>
      </c>
      <c r="Y235" s="55" t="s">
        <v>1823</v>
      </c>
      <c r="Z235" s="55" t="s">
        <v>1356</v>
      </c>
      <c r="AA235" s="90" t="s">
        <v>1680</v>
      </c>
      <c r="AH235" s="55" t="s">
        <v>6378</v>
      </c>
      <c r="AM235" s="55" t="s">
        <v>1286</v>
      </c>
      <c r="AN235" s="185" t="s">
        <v>131</v>
      </c>
      <c r="AO235" s="185" t="s">
        <v>5150</v>
      </c>
      <c r="AQ235" s="55" t="s">
        <v>131</v>
      </c>
      <c r="AR235" s="55" t="s">
        <v>132</v>
      </c>
      <c r="AS235" s="55" t="s">
        <v>1584</v>
      </c>
      <c r="AT235" s="181" t="s">
        <v>299</v>
      </c>
      <c r="AU235" s="181" t="s">
        <v>5150</v>
      </c>
      <c r="AV235" s="185" t="s">
        <v>176</v>
      </c>
      <c r="AW235" s="55" t="s">
        <v>299</v>
      </c>
      <c r="AX235" s="185" t="s">
        <v>176</v>
      </c>
      <c r="AY235" s="55" t="s">
        <v>176</v>
      </c>
      <c r="BE235" s="226" t="s">
        <v>300</v>
      </c>
      <c r="BF235" s="55" t="s">
        <v>479</v>
      </c>
      <c r="BG235" s="55" t="s">
        <v>479</v>
      </c>
      <c r="BH235" s="226" t="s">
        <v>300</v>
      </c>
      <c r="BI235" s="55" t="s">
        <v>479</v>
      </c>
      <c r="BJ235" s="55" t="s">
        <v>176</v>
      </c>
      <c r="BK235" s="55" t="s">
        <v>5976</v>
      </c>
      <c r="BM235" s="192" t="s">
        <v>160</v>
      </c>
      <c r="BN235" s="55">
        <v>4</v>
      </c>
      <c r="BO235" s="55">
        <v>4</v>
      </c>
      <c r="BQ235" s="55" t="s">
        <v>141</v>
      </c>
      <c r="BS235" s="55">
        <v>7343</v>
      </c>
      <c r="BT235" s="55">
        <v>42.9</v>
      </c>
      <c r="CB235" s="66">
        <v>6975</v>
      </c>
      <c r="CC235" s="66">
        <v>4876</v>
      </c>
      <c r="DB235" s="65">
        <f>13.25*0.614</f>
        <v>8.1355000000000004</v>
      </c>
      <c r="DC235" s="65">
        <v>7.99</v>
      </c>
      <c r="DF235" s="65" t="s">
        <v>327</v>
      </c>
      <c r="DK235" s="65" t="s">
        <v>328</v>
      </c>
      <c r="FT235" s="65">
        <v>48.16</v>
      </c>
      <c r="FU235" s="65">
        <v>0.23</v>
      </c>
      <c r="FX235" s="65" t="s">
        <v>303</v>
      </c>
      <c r="GN235" s="294">
        <v>2820.6</v>
      </c>
      <c r="GO235" s="294">
        <v>33.74</v>
      </c>
      <c r="GP235" s="292" t="s">
        <v>5150</v>
      </c>
      <c r="GQ235" s="65">
        <f>(2964.03-2820.6)*SQRT(4)</f>
        <v>286.86000000000058</v>
      </c>
      <c r="GR235" s="65">
        <f>(2964.03-2820.6)*SQRT(4)</f>
        <v>286.86000000000058</v>
      </c>
      <c r="GS235" s="65" t="s">
        <v>1800</v>
      </c>
      <c r="HS235" s="227"/>
      <c r="HW235" s="227"/>
      <c r="JU235" s="55" t="s">
        <v>328</v>
      </c>
    </row>
    <row r="236" spans="1:283" s="229" customFormat="1" x14ac:dyDescent="0.25">
      <c r="A236" s="181">
        <v>235</v>
      </c>
      <c r="B236" s="229" t="s">
        <v>7067</v>
      </c>
      <c r="C236" s="230">
        <v>17</v>
      </c>
      <c r="D236" s="181" t="s">
        <v>3749</v>
      </c>
      <c r="E236" s="231" t="s">
        <v>296</v>
      </c>
      <c r="F236" s="231"/>
      <c r="G236" s="181" t="s">
        <v>297</v>
      </c>
      <c r="H236" s="181">
        <v>2016</v>
      </c>
      <c r="I236" s="181">
        <v>2011</v>
      </c>
      <c r="J236" s="181" t="s">
        <v>282</v>
      </c>
      <c r="K236" s="181" t="s">
        <v>298</v>
      </c>
      <c r="L236" s="181" t="s">
        <v>2737</v>
      </c>
      <c r="M236" s="231">
        <f>40+43/60</f>
        <v>40.716666666666669</v>
      </c>
      <c r="N236" s="231">
        <f>-77-55/60</f>
        <v>-77.916666666666671</v>
      </c>
      <c r="O236" s="231">
        <v>350</v>
      </c>
      <c r="P236" s="181"/>
      <c r="Q236" s="181"/>
      <c r="R236" s="181"/>
      <c r="S236" s="231">
        <v>975</v>
      </c>
      <c r="T236" s="181"/>
      <c r="U236" s="181">
        <v>1</v>
      </c>
      <c r="V236" s="181" t="s">
        <v>1805</v>
      </c>
      <c r="W236" s="181"/>
      <c r="X236" s="181"/>
      <c r="Y236" s="181" t="s">
        <v>1823</v>
      </c>
      <c r="Z236" s="181" t="s">
        <v>1356</v>
      </c>
      <c r="AA236" s="231" t="s">
        <v>1680</v>
      </c>
      <c r="AB236" s="232"/>
      <c r="AC236" s="232"/>
      <c r="AD236" s="231"/>
      <c r="AE236" s="231"/>
      <c r="AF236" s="231"/>
      <c r="AG236" s="231"/>
      <c r="AH236" s="181" t="s">
        <v>6378</v>
      </c>
      <c r="AI236" s="181"/>
      <c r="AJ236" s="231"/>
      <c r="AK236" s="231"/>
      <c r="AL236" s="181"/>
      <c r="AM236" s="181" t="s">
        <v>1286</v>
      </c>
      <c r="AN236" s="185" t="s">
        <v>1466</v>
      </c>
      <c r="AO236" s="185" t="s">
        <v>5150</v>
      </c>
      <c r="AP236" s="181"/>
      <c r="AQ236" s="181" t="s">
        <v>610</v>
      </c>
      <c r="AR236" s="181" t="s">
        <v>132</v>
      </c>
      <c r="AS236" s="181" t="s">
        <v>1584</v>
      </c>
      <c r="AT236" s="181" t="s">
        <v>299</v>
      </c>
      <c r="AU236" s="181" t="s">
        <v>5150</v>
      </c>
      <c r="AV236" s="185" t="s">
        <v>479</v>
      </c>
      <c r="AW236" s="181" t="s">
        <v>299</v>
      </c>
      <c r="AX236" s="185" t="s">
        <v>479</v>
      </c>
      <c r="AY236" s="181" t="s">
        <v>176</v>
      </c>
      <c r="AZ236" s="181"/>
      <c r="BA236" s="181"/>
      <c r="BB236" s="181"/>
      <c r="BC236" s="181"/>
      <c r="BD236" s="181"/>
      <c r="BE236" s="226" t="s">
        <v>300</v>
      </c>
      <c r="BF236" s="55" t="s">
        <v>479</v>
      </c>
      <c r="BG236" s="55" t="s">
        <v>479</v>
      </c>
      <c r="BH236" s="226" t="s">
        <v>300</v>
      </c>
      <c r="BI236" s="55" t="s">
        <v>479</v>
      </c>
      <c r="BJ236" s="181" t="s">
        <v>176</v>
      </c>
      <c r="BK236" s="181" t="s">
        <v>5976</v>
      </c>
      <c r="BL236" s="181"/>
      <c r="BM236" s="192" t="s">
        <v>160</v>
      </c>
      <c r="BN236" s="181">
        <v>4</v>
      </c>
      <c r="BO236" s="181">
        <v>4</v>
      </c>
      <c r="BP236" s="181"/>
      <c r="BQ236" s="181" t="s">
        <v>141</v>
      </c>
      <c r="BR236" s="181"/>
      <c r="BS236" s="181">
        <v>1829</v>
      </c>
      <c r="BT236" s="181">
        <v>16.399999999999999</v>
      </c>
      <c r="BU236" s="181"/>
      <c r="BV236" s="181"/>
      <c r="BW236" s="232"/>
      <c r="BX236" s="232"/>
      <c r="BY236" s="232"/>
      <c r="BZ236" s="232"/>
      <c r="CA236" s="232"/>
      <c r="CB236" s="183">
        <v>6975</v>
      </c>
      <c r="CC236" s="183">
        <v>7702</v>
      </c>
      <c r="CD236" s="183"/>
      <c r="CE236" s="232"/>
      <c r="CF236" s="232"/>
      <c r="CG236" s="232"/>
      <c r="CH236" s="231"/>
      <c r="CI236" s="231"/>
      <c r="CJ236" s="232"/>
      <c r="CK236" s="232"/>
      <c r="CL236" s="232"/>
      <c r="CM236" s="232"/>
      <c r="CN236" s="232"/>
      <c r="CO236" s="232"/>
      <c r="CP236" s="232"/>
      <c r="CQ236" s="232"/>
      <c r="CR236" s="232"/>
      <c r="CS236" s="232"/>
      <c r="CT236" s="232"/>
      <c r="CU236" s="232"/>
      <c r="CV236" s="232"/>
      <c r="CW236" s="232"/>
      <c r="CX236" s="232"/>
      <c r="CY236" s="232"/>
      <c r="CZ236" s="232"/>
      <c r="DA236" s="232"/>
      <c r="DB236" s="232">
        <f>13.25*0.614</f>
        <v>8.1355000000000004</v>
      </c>
      <c r="DC236" s="232">
        <v>9.82</v>
      </c>
      <c r="DD236" s="232"/>
      <c r="DE236" s="232"/>
      <c r="DF236" s="232" t="s">
        <v>327</v>
      </c>
      <c r="DG236" s="232"/>
      <c r="DH236" s="232"/>
      <c r="DI236" s="232"/>
      <c r="DJ236" s="232"/>
      <c r="DK236" s="232" t="s">
        <v>328</v>
      </c>
      <c r="DL236" s="232"/>
      <c r="DM236" s="232"/>
      <c r="DN236" s="232"/>
      <c r="DO236" s="232"/>
      <c r="DP236" s="232"/>
      <c r="DQ236" s="233"/>
      <c r="DR236" s="233"/>
      <c r="DS236" s="232"/>
      <c r="DT236" s="232"/>
      <c r="DU236" s="232"/>
      <c r="DV236" s="232"/>
      <c r="DW236" s="232"/>
      <c r="DX236" s="232"/>
      <c r="DY236" s="232"/>
      <c r="DZ236" s="232"/>
      <c r="EA236" s="232"/>
      <c r="EB236" s="232"/>
      <c r="EC236" s="232"/>
      <c r="ED236" s="232"/>
      <c r="EE236" s="232"/>
      <c r="EF236" s="232"/>
      <c r="EG236" s="232"/>
      <c r="EH236" s="232"/>
      <c r="EI236" s="232"/>
      <c r="EJ236" s="232"/>
      <c r="EK236" s="231"/>
      <c r="EL236" s="231"/>
      <c r="EM236" s="232"/>
      <c r="EN236" s="232"/>
      <c r="EO236" s="232"/>
      <c r="EP236" s="232"/>
      <c r="EQ236" s="232"/>
      <c r="ER236" s="232"/>
      <c r="ES236" s="232"/>
      <c r="ET236" s="232"/>
      <c r="EU236" s="232"/>
      <c r="EV236" s="232"/>
      <c r="EW236" s="232"/>
      <c r="EX236" s="232"/>
      <c r="EY236" s="232"/>
      <c r="EZ236" s="232"/>
      <c r="FA236" s="232"/>
      <c r="FB236" s="232"/>
      <c r="FC236" s="232"/>
      <c r="FD236" s="232"/>
      <c r="FE236" s="232"/>
      <c r="FF236" s="232"/>
      <c r="FG236" s="232"/>
      <c r="FH236" s="232"/>
      <c r="FI236" s="232"/>
      <c r="FJ236" s="232"/>
      <c r="FK236" s="232"/>
      <c r="FL236" s="232"/>
      <c r="FM236" s="232"/>
      <c r="FN236" s="232"/>
      <c r="FO236" s="232"/>
      <c r="FP236" s="232"/>
      <c r="FQ236" s="232"/>
      <c r="FR236" s="232"/>
      <c r="FS236" s="232"/>
      <c r="FT236" s="232">
        <v>48.16</v>
      </c>
      <c r="FU236" s="232">
        <v>22.75</v>
      </c>
      <c r="FV236" s="232"/>
      <c r="FW236" s="232"/>
      <c r="FX236" s="232" t="s">
        <v>303</v>
      </c>
      <c r="FY236" s="232"/>
      <c r="FZ236" s="232"/>
      <c r="GA236" s="232"/>
      <c r="GB236" s="232"/>
      <c r="GC236" s="232"/>
      <c r="GD236" s="232"/>
      <c r="GE236" s="232"/>
      <c r="GF236" s="232"/>
      <c r="GG236" s="232"/>
      <c r="GH236" s="232"/>
      <c r="GI236" s="232"/>
      <c r="GJ236" s="232"/>
      <c r="GK236" s="232"/>
      <c r="GL236" s="232"/>
      <c r="GM236" s="232"/>
      <c r="GN236" s="294">
        <v>2820.6</v>
      </c>
      <c r="GO236" s="294">
        <v>444.43</v>
      </c>
      <c r="GP236" s="292" t="s">
        <v>5150</v>
      </c>
      <c r="GQ236" s="232">
        <f>(2964.03-2820.6)*SQRT(4)</f>
        <v>286.86000000000058</v>
      </c>
      <c r="GR236" s="232">
        <f>(2964.03-2820.6)*SQRT(4)</f>
        <v>286.86000000000058</v>
      </c>
      <c r="GS236" s="232" t="s">
        <v>1800</v>
      </c>
      <c r="GT236" s="232"/>
      <c r="GU236" s="232"/>
      <c r="GV236" s="232"/>
      <c r="GW236" s="232"/>
      <c r="GX236" s="232"/>
      <c r="GY236" s="232"/>
      <c r="GZ236" s="232"/>
      <c r="HA236" s="232"/>
      <c r="HB236" s="232"/>
      <c r="HC236" s="232"/>
      <c r="HD236" s="232"/>
      <c r="HE236" s="232"/>
      <c r="HF236" s="232"/>
      <c r="HG236" s="232"/>
      <c r="HH236" s="232"/>
      <c r="HI236" s="232"/>
      <c r="HJ236" s="232"/>
      <c r="HK236" s="232"/>
      <c r="HL236" s="232"/>
      <c r="HM236" s="232"/>
      <c r="HN236" s="232"/>
      <c r="HO236" s="232"/>
      <c r="HP236" s="232"/>
      <c r="HQ236" s="232"/>
      <c r="HR236" s="232"/>
      <c r="HS236" s="233"/>
      <c r="HT236" s="232"/>
      <c r="HU236" s="232"/>
      <c r="HV236" s="232"/>
      <c r="HW236" s="233"/>
      <c r="HX236" s="232"/>
      <c r="HY236" s="232"/>
      <c r="HZ236" s="232"/>
      <c r="IA236" s="232"/>
      <c r="IB236" s="232"/>
      <c r="IC236" s="232"/>
      <c r="ID236" s="232"/>
      <c r="IE236" s="232"/>
      <c r="IF236" s="232"/>
      <c r="IG236" s="232"/>
      <c r="IH236" s="232"/>
      <c r="II236" s="232"/>
      <c r="IJ236" s="232"/>
      <c r="IK236" s="232"/>
      <c r="IL236" s="232"/>
      <c r="IM236" s="232"/>
      <c r="IN236" s="232"/>
      <c r="IO236" s="232"/>
      <c r="IP236" s="232"/>
      <c r="IQ236" s="232"/>
      <c r="IR236" s="232"/>
      <c r="IS236" s="232"/>
      <c r="IT236" s="232"/>
      <c r="IU236" s="232"/>
      <c r="IV236" s="232"/>
      <c r="IW236" s="232"/>
      <c r="IX236" s="232"/>
      <c r="IY236" s="232"/>
      <c r="IZ236" s="232"/>
      <c r="JA236" s="232"/>
      <c r="JB236" s="232"/>
      <c r="JC236" s="232"/>
      <c r="JD236" s="232"/>
      <c r="JE236" s="232"/>
      <c r="JF236" s="232"/>
      <c r="JG236" s="232"/>
      <c r="JH236" s="232"/>
      <c r="JI236" s="232"/>
      <c r="JJ236" s="232"/>
      <c r="JK236" s="232"/>
      <c r="JL236" s="232"/>
      <c r="JM236" s="232"/>
      <c r="JN236" s="232"/>
      <c r="JO236" s="232"/>
      <c r="JP236" s="232"/>
      <c r="JQ236" s="232"/>
      <c r="JR236" s="232"/>
      <c r="JS236" s="232"/>
      <c r="JT236" s="232"/>
      <c r="JU236" s="181" t="s">
        <v>328</v>
      </c>
      <c r="JV236" s="181"/>
      <c r="JW236" s="181"/>
    </row>
    <row r="237" spans="1:283" s="229" customFormat="1" x14ac:dyDescent="0.25">
      <c r="A237" s="181">
        <v>236</v>
      </c>
      <c r="B237" s="229" t="s">
        <v>7067</v>
      </c>
      <c r="C237" s="230">
        <v>17</v>
      </c>
      <c r="D237" s="181" t="s">
        <v>3749</v>
      </c>
      <c r="E237" s="231" t="s">
        <v>296</v>
      </c>
      <c r="F237" s="231"/>
      <c r="G237" s="181" t="s">
        <v>297</v>
      </c>
      <c r="H237" s="181">
        <v>2016</v>
      </c>
      <c r="I237" s="181">
        <v>2011</v>
      </c>
      <c r="J237" s="181" t="s">
        <v>282</v>
      </c>
      <c r="K237" s="181" t="s">
        <v>298</v>
      </c>
      <c r="L237" s="181" t="s">
        <v>2737</v>
      </c>
      <c r="M237" s="231">
        <f>40+43/60</f>
        <v>40.716666666666669</v>
      </c>
      <c r="N237" s="231">
        <f>-77-55/60</f>
        <v>-77.916666666666671</v>
      </c>
      <c r="O237" s="231">
        <v>350</v>
      </c>
      <c r="P237" s="181"/>
      <c r="Q237" s="181"/>
      <c r="R237" s="181"/>
      <c r="S237" s="231">
        <v>975</v>
      </c>
      <c r="T237" s="181"/>
      <c r="U237" s="181">
        <v>1</v>
      </c>
      <c r="V237" s="181" t="s">
        <v>1805</v>
      </c>
      <c r="W237" s="181"/>
      <c r="X237" s="181"/>
      <c r="Y237" s="181" t="s">
        <v>1823</v>
      </c>
      <c r="Z237" s="181" t="s">
        <v>1356</v>
      </c>
      <c r="AA237" s="231" t="s">
        <v>1680</v>
      </c>
      <c r="AB237" s="232"/>
      <c r="AC237" s="232"/>
      <c r="AD237" s="231"/>
      <c r="AE237" s="231"/>
      <c r="AF237" s="231"/>
      <c r="AG237" s="231"/>
      <c r="AH237" s="181" t="s">
        <v>6378</v>
      </c>
      <c r="AI237" s="181"/>
      <c r="AJ237" s="231"/>
      <c r="AK237" s="231"/>
      <c r="AL237" s="181"/>
      <c r="AM237" s="181" t="s">
        <v>1286</v>
      </c>
      <c r="AN237" s="185" t="s">
        <v>1467</v>
      </c>
      <c r="AO237" s="185" t="s">
        <v>5150</v>
      </c>
      <c r="AP237" s="181"/>
      <c r="AQ237" s="181" t="s">
        <v>610</v>
      </c>
      <c r="AR237" s="181" t="s">
        <v>132</v>
      </c>
      <c r="AS237" s="181" t="s">
        <v>1584</v>
      </c>
      <c r="AT237" s="181" t="s">
        <v>299</v>
      </c>
      <c r="AU237" s="181" t="s">
        <v>5150</v>
      </c>
      <c r="AV237" s="185" t="s">
        <v>479</v>
      </c>
      <c r="AW237" s="181" t="s">
        <v>299</v>
      </c>
      <c r="AX237" s="185" t="s">
        <v>479</v>
      </c>
      <c r="AY237" s="181" t="s">
        <v>176</v>
      </c>
      <c r="AZ237" s="181"/>
      <c r="BA237" s="181"/>
      <c r="BB237" s="181"/>
      <c r="BC237" s="181"/>
      <c r="BD237" s="181"/>
      <c r="BE237" s="226" t="s">
        <v>300</v>
      </c>
      <c r="BF237" s="55" t="s">
        <v>479</v>
      </c>
      <c r="BG237" s="55" t="s">
        <v>479</v>
      </c>
      <c r="BH237" s="226" t="s">
        <v>300</v>
      </c>
      <c r="BI237" s="55" t="s">
        <v>479</v>
      </c>
      <c r="BJ237" s="181" t="s">
        <v>176</v>
      </c>
      <c r="BK237" s="181" t="s">
        <v>5976</v>
      </c>
      <c r="BL237" s="181"/>
      <c r="BM237" s="192" t="s">
        <v>160</v>
      </c>
      <c r="BN237" s="181">
        <v>4</v>
      </c>
      <c r="BO237" s="181">
        <v>4</v>
      </c>
      <c r="BP237" s="181"/>
      <c r="BQ237" s="181" t="s">
        <v>141</v>
      </c>
      <c r="BR237" s="181"/>
      <c r="BS237" s="181">
        <v>7415</v>
      </c>
      <c r="BT237" s="181">
        <v>43.1</v>
      </c>
      <c r="BU237" s="181"/>
      <c r="BV237" s="181"/>
      <c r="BW237" s="232"/>
      <c r="BX237" s="232"/>
      <c r="BY237" s="232"/>
      <c r="BZ237" s="232"/>
      <c r="CA237" s="232"/>
      <c r="CB237" s="183">
        <v>6975</v>
      </c>
      <c r="CC237" s="183">
        <v>5917</v>
      </c>
      <c r="CD237" s="183"/>
      <c r="CE237" s="232"/>
      <c r="CF237" s="232"/>
      <c r="CG237" s="232"/>
      <c r="CH237" s="231"/>
      <c r="CI237" s="231"/>
      <c r="CJ237" s="232"/>
      <c r="CK237" s="232"/>
      <c r="CL237" s="232"/>
      <c r="CM237" s="232"/>
      <c r="CN237" s="232"/>
      <c r="CO237" s="232"/>
      <c r="CP237" s="232"/>
      <c r="CQ237" s="232"/>
      <c r="CR237" s="232"/>
      <c r="CS237" s="232"/>
      <c r="CT237" s="232"/>
      <c r="CU237" s="232"/>
      <c r="CV237" s="232"/>
      <c r="CW237" s="232"/>
      <c r="CX237" s="232"/>
      <c r="CY237" s="232"/>
      <c r="CZ237" s="232"/>
      <c r="DA237" s="232"/>
      <c r="DB237" s="232">
        <f>13.25*0.614</f>
        <v>8.1355000000000004</v>
      </c>
      <c r="DC237" s="232">
        <v>5.54</v>
      </c>
      <c r="DD237" s="232"/>
      <c r="DE237" s="232"/>
      <c r="DF237" s="232" t="s">
        <v>327</v>
      </c>
      <c r="DG237" s="232"/>
      <c r="DH237" s="232"/>
      <c r="DI237" s="232"/>
      <c r="DJ237" s="232"/>
      <c r="DK237" s="232" t="s">
        <v>328</v>
      </c>
      <c r="DL237" s="232"/>
      <c r="DM237" s="232"/>
      <c r="DN237" s="232"/>
      <c r="DO237" s="232"/>
      <c r="DP237" s="232"/>
      <c r="DQ237" s="233"/>
      <c r="DR237" s="233"/>
      <c r="DS237" s="232"/>
      <c r="DT237" s="232"/>
      <c r="DU237" s="232"/>
      <c r="DV237" s="232"/>
      <c r="DW237" s="232"/>
      <c r="DX237" s="232"/>
      <c r="DY237" s="232"/>
      <c r="DZ237" s="232"/>
      <c r="EA237" s="232"/>
      <c r="EB237" s="232"/>
      <c r="EC237" s="232"/>
      <c r="ED237" s="232"/>
      <c r="EE237" s="232"/>
      <c r="EF237" s="232"/>
      <c r="EG237" s="232"/>
      <c r="EH237" s="232"/>
      <c r="EI237" s="232"/>
      <c r="EJ237" s="232"/>
      <c r="EK237" s="231"/>
      <c r="EL237" s="231"/>
      <c r="EM237" s="232"/>
      <c r="EN237" s="232"/>
      <c r="EO237" s="232"/>
      <c r="EP237" s="232"/>
      <c r="EQ237" s="232"/>
      <c r="ER237" s="232"/>
      <c r="ES237" s="232"/>
      <c r="ET237" s="232"/>
      <c r="EU237" s="232"/>
      <c r="EV237" s="232"/>
      <c r="EW237" s="232"/>
      <c r="EX237" s="232"/>
      <c r="EY237" s="232"/>
      <c r="EZ237" s="232"/>
      <c r="FA237" s="232"/>
      <c r="FB237" s="232"/>
      <c r="FC237" s="232"/>
      <c r="FD237" s="232"/>
      <c r="FE237" s="232"/>
      <c r="FF237" s="232"/>
      <c r="FG237" s="232"/>
      <c r="FH237" s="232"/>
      <c r="FI237" s="232"/>
      <c r="FJ237" s="232"/>
      <c r="FK237" s="232"/>
      <c r="FL237" s="232"/>
      <c r="FM237" s="232"/>
      <c r="FN237" s="232"/>
      <c r="FO237" s="232"/>
      <c r="FP237" s="232"/>
      <c r="FQ237" s="232"/>
      <c r="FR237" s="232"/>
      <c r="FS237" s="232"/>
      <c r="FT237" s="232">
        <v>48.16</v>
      </c>
      <c r="FU237" s="232">
        <v>1.07</v>
      </c>
      <c r="FV237" s="232"/>
      <c r="FW237" s="232"/>
      <c r="FX237" s="232" t="s">
        <v>303</v>
      </c>
      <c r="FY237" s="232"/>
      <c r="FZ237" s="232"/>
      <c r="GA237" s="232"/>
      <c r="GB237" s="232"/>
      <c r="GC237" s="232"/>
      <c r="GD237" s="232"/>
      <c r="GE237" s="232"/>
      <c r="GF237" s="232"/>
      <c r="GG237" s="232"/>
      <c r="GH237" s="232"/>
      <c r="GI237" s="232"/>
      <c r="GJ237" s="232"/>
      <c r="GK237" s="232"/>
      <c r="GL237" s="232"/>
      <c r="GM237" s="232"/>
      <c r="GN237" s="294">
        <v>2820.6</v>
      </c>
      <c r="GO237" s="294">
        <v>13.61</v>
      </c>
      <c r="GP237" s="292" t="s">
        <v>5150</v>
      </c>
      <c r="GQ237" s="232">
        <f>(2964.03-2820.6)*SQRT(4)</f>
        <v>286.86000000000058</v>
      </c>
      <c r="GR237" s="232">
        <f>(2964.03-2820.6)*SQRT(4)</f>
        <v>286.86000000000058</v>
      </c>
      <c r="GS237" s="232" t="s">
        <v>1800</v>
      </c>
      <c r="GT237" s="232"/>
      <c r="GU237" s="232"/>
      <c r="GV237" s="232"/>
      <c r="GW237" s="232"/>
      <c r="GX237" s="232"/>
      <c r="GY237" s="232"/>
      <c r="GZ237" s="232"/>
      <c r="HA237" s="232"/>
      <c r="HB237" s="232"/>
      <c r="HC237" s="232"/>
      <c r="HD237" s="232"/>
      <c r="HE237" s="232"/>
      <c r="HF237" s="232"/>
      <c r="HG237" s="232"/>
      <c r="HH237" s="232"/>
      <c r="HI237" s="232"/>
      <c r="HJ237" s="232"/>
      <c r="HK237" s="232"/>
      <c r="HL237" s="232"/>
      <c r="HM237" s="232"/>
      <c r="HN237" s="232"/>
      <c r="HO237" s="232"/>
      <c r="HP237" s="232"/>
      <c r="HQ237" s="232"/>
      <c r="HR237" s="232"/>
      <c r="HS237" s="233"/>
      <c r="HT237" s="232"/>
      <c r="HU237" s="232"/>
      <c r="HV237" s="232"/>
      <c r="HW237" s="233"/>
      <c r="HX237" s="232"/>
      <c r="HY237" s="232"/>
      <c r="HZ237" s="232"/>
      <c r="IA237" s="232"/>
      <c r="IB237" s="232"/>
      <c r="IC237" s="232"/>
      <c r="ID237" s="232"/>
      <c r="IE237" s="232"/>
      <c r="IF237" s="232"/>
      <c r="IG237" s="232"/>
      <c r="IH237" s="232"/>
      <c r="II237" s="232"/>
      <c r="IJ237" s="232"/>
      <c r="IK237" s="232"/>
      <c r="IL237" s="232"/>
      <c r="IM237" s="232"/>
      <c r="IN237" s="232"/>
      <c r="IO237" s="232"/>
      <c r="IP237" s="232"/>
      <c r="IQ237" s="232"/>
      <c r="IR237" s="232"/>
      <c r="IS237" s="232"/>
      <c r="IT237" s="232"/>
      <c r="IU237" s="232"/>
      <c r="IV237" s="232"/>
      <c r="IW237" s="232"/>
      <c r="IX237" s="232"/>
      <c r="IY237" s="232"/>
      <c r="IZ237" s="232"/>
      <c r="JA237" s="232"/>
      <c r="JB237" s="232"/>
      <c r="JC237" s="232"/>
      <c r="JD237" s="232"/>
      <c r="JE237" s="232"/>
      <c r="JF237" s="232"/>
      <c r="JG237" s="232"/>
      <c r="JH237" s="232"/>
      <c r="JI237" s="232"/>
      <c r="JJ237" s="232"/>
      <c r="JK237" s="232"/>
      <c r="JL237" s="232"/>
      <c r="JM237" s="232"/>
      <c r="JN237" s="232"/>
      <c r="JO237" s="232"/>
      <c r="JP237" s="232"/>
      <c r="JQ237" s="232"/>
      <c r="JR237" s="232"/>
      <c r="JS237" s="232"/>
      <c r="JT237" s="232"/>
      <c r="JU237" s="181" t="s">
        <v>328</v>
      </c>
      <c r="JV237" s="181"/>
      <c r="JW237" s="181"/>
    </row>
    <row r="238" spans="1:283" s="229" customFormat="1" x14ac:dyDescent="0.25">
      <c r="A238" s="181">
        <v>237</v>
      </c>
      <c r="B238" s="229" t="s">
        <v>7067</v>
      </c>
      <c r="C238" s="230">
        <v>17</v>
      </c>
      <c r="D238" s="181" t="s">
        <v>3749</v>
      </c>
      <c r="E238" s="231" t="s">
        <v>296</v>
      </c>
      <c r="F238" s="231"/>
      <c r="G238" s="181" t="s">
        <v>297</v>
      </c>
      <c r="H238" s="181">
        <v>2016</v>
      </c>
      <c r="I238" s="181">
        <v>2011</v>
      </c>
      <c r="J238" s="181" t="s">
        <v>282</v>
      </c>
      <c r="K238" s="181" t="s">
        <v>298</v>
      </c>
      <c r="L238" s="181" t="s">
        <v>2737</v>
      </c>
      <c r="M238" s="231">
        <f>40+43/60</f>
        <v>40.716666666666669</v>
      </c>
      <c r="N238" s="231">
        <f>-77-55/60</f>
        <v>-77.916666666666671</v>
      </c>
      <c r="O238" s="231">
        <v>350</v>
      </c>
      <c r="P238" s="181"/>
      <c r="Q238" s="181"/>
      <c r="R238" s="181"/>
      <c r="S238" s="231">
        <v>975</v>
      </c>
      <c r="T238" s="181"/>
      <c r="U238" s="181">
        <v>1</v>
      </c>
      <c r="V238" s="181" t="s">
        <v>1805</v>
      </c>
      <c r="W238" s="181"/>
      <c r="X238" s="181"/>
      <c r="Y238" s="181" t="s">
        <v>1823</v>
      </c>
      <c r="Z238" s="181" t="s">
        <v>1356</v>
      </c>
      <c r="AA238" s="231" t="s">
        <v>1680</v>
      </c>
      <c r="AB238" s="232"/>
      <c r="AC238" s="232"/>
      <c r="AD238" s="231"/>
      <c r="AE238" s="231"/>
      <c r="AF238" s="231"/>
      <c r="AG238" s="231"/>
      <c r="AH238" s="181" t="s">
        <v>6378</v>
      </c>
      <c r="AI238" s="181"/>
      <c r="AJ238" s="231"/>
      <c r="AK238" s="231"/>
      <c r="AL238" s="181"/>
      <c r="AM238" s="181" t="s">
        <v>1286</v>
      </c>
      <c r="AN238" s="185" t="s">
        <v>1468</v>
      </c>
      <c r="AO238" s="185" t="s">
        <v>5150</v>
      </c>
      <c r="AP238" s="181"/>
      <c r="AQ238" s="181" t="s">
        <v>610</v>
      </c>
      <c r="AR238" s="181" t="s">
        <v>132</v>
      </c>
      <c r="AS238" s="181" t="s">
        <v>1584</v>
      </c>
      <c r="AT238" s="181" t="s">
        <v>299</v>
      </c>
      <c r="AU238" s="181" t="s">
        <v>5150</v>
      </c>
      <c r="AV238" s="185" t="s">
        <v>479</v>
      </c>
      <c r="AW238" s="181" t="s">
        <v>299</v>
      </c>
      <c r="AX238" s="185" t="s">
        <v>479</v>
      </c>
      <c r="AY238" s="181" t="s">
        <v>176</v>
      </c>
      <c r="AZ238" s="181"/>
      <c r="BA238" s="181"/>
      <c r="BB238" s="181"/>
      <c r="BC238" s="181"/>
      <c r="BD238" s="181"/>
      <c r="BE238" s="226" t="s">
        <v>300</v>
      </c>
      <c r="BF238" s="55" t="s">
        <v>479</v>
      </c>
      <c r="BG238" s="55" t="s">
        <v>479</v>
      </c>
      <c r="BH238" s="226" t="s">
        <v>300</v>
      </c>
      <c r="BI238" s="55" t="s">
        <v>479</v>
      </c>
      <c r="BJ238" s="181" t="s">
        <v>176</v>
      </c>
      <c r="BK238" s="181" t="s">
        <v>5976</v>
      </c>
      <c r="BL238" s="181"/>
      <c r="BM238" s="192" t="s">
        <v>160</v>
      </c>
      <c r="BN238" s="181">
        <v>4</v>
      </c>
      <c r="BO238" s="181">
        <v>4</v>
      </c>
      <c r="BP238" s="181"/>
      <c r="BQ238" s="181" t="s">
        <v>141</v>
      </c>
      <c r="BR238" s="181"/>
      <c r="BS238" s="181">
        <v>5850</v>
      </c>
      <c r="BT238" s="181">
        <v>29.9</v>
      </c>
      <c r="BU238" s="181"/>
      <c r="BV238" s="181"/>
      <c r="BW238" s="232"/>
      <c r="BX238" s="232"/>
      <c r="BY238" s="232"/>
      <c r="BZ238" s="232"/>
      <c r="CA238" s="232"/>
      <c r="CB238" s="183">
        <v>6975</v>
      </c>
      <c r="CC238" s="183">
        <v>6645</v>
      </c>
      <c r="CD238" s="183"/>
      <c r="CE238" s="232"/>
      <c r="CF238" s="232"/>
      <c r="CG238" s="232"/>
      <c r="CH238" s="231"/>
      <c r="CI238" s="231"/>
      <c r="CJ238" s="232"/>
      <c r="CK238" s="232"/>
      <c r="CL238" s="232"/>
      <c r="CM238" s="232"/>
      <c r="CN238" s="232"/>
      <c r="CO238" s="232"/>
      <c r="CP238" s="232"/>
      <c r="CQ238" s="232"/>
      <c r="CR238" s="232"/>
      <c r="CS238" s="232"/>
      <c r="CT238" s="232"/>
      <c r="CU238" s="232"/>
      <c r="CV238" s="232"/>
      <c r="CW238" s="232"/>
      <c r="CX238" s="232"/>
      <c r="CY238" s="232"/>
      <c r="CZ238" s="232"/>
      <c r="DA238" s="232"/>
      <c r="DB238" s="232">
        <f>13.25*0.614</f>
        <v>8.1355000000000004</v>
      </c>
      <c r="DC238" s="232">
        <v>6.65</v>
      </c>
      <c r="DD238" s="232"/>
      <c r="DE238" s="232"/>
      <c r="DF238" s="232" t="s">
        <v>327</v>
      </c>
      <c r="DG238" s="232"/>
      <c r="DH238" s="232"/>
      <c r="DI238" s="232"/>
      <c r="DJ238" s="232"/>
      <c r="DK238" s="232" t="s">
        <v>328</v>
      </c>
      <c r="DL238" s="232"/>
      <c r="DM238" s="232"/>
      <c r="DN238" s="232"/>
      <c r="DO238" s="232"/>
      <c r="DP238" s="232"/>
      <c r="DQ238" s="233"/>
      <c r="DR238" s="233"/>
      <c r="DS238" s="232"/>
      <c r="DT238" s="232"/>
      <c r="DU238" s="232"/>
      <c r="DV238" s="232"/>
      <c r="DW238" s="232"/>
      <c r="DX238" s="232"/>
      <c r="DY238" s="232"/>
      <c r="DZ238" s="232"/>
      <c r="EA238" s="232"/>
      <c r="EB238" s="232"/>
      <c r="EC238" s="232"/>
      <c r="ED238" s="232"/>
      <c r="EE238" s="232"/>
      <c r="EF238" s="232"/>
      <c r="EG238" s="232"/>
      <c r="EH238" s="232"/>
      <c r="EI238" s="232"/>
      <c r="EJ238" s="232"/>
      <c r="EK238" s="231"/>
      <c r="EL238" s="231"/>
      <c r="EM238" s="232"/>
      <c r="EN238" s="232"/>
      <c r="EO238" s="232"/>
      <c r="EP238" s="232"/>
      <c r="EQ238" s="232"/>
      <c r="ER238" s="232"/>
      <c r="ES238" s="232"/>
      <c r="ET238" s="232"/>
      <c r="EU238" s="232"/>
      <c r="EV238" s="232"/>
      <c r="EW238" s="232"/>
      <c r="EX238" s="232"/>
      <c r="EY238" s="232"/>
      <c r="EZ238" s="232"/>
      <c r="FA238" s="232"/>
      <c r="FB238" s="232"/>
      <c r="FC238" s="232"/>
      <c r="FD238" s="232"/>
      <c r="FE238" s="232"/>
      <c r="FF238" s="232"/>
      <c r="FG238" s="232"/>
      <c r="FH238" s="232"/>
      <c r="FI238" s="232"/>
      <c r="FJ238" s="232"/>
      <c r="FK238" s="232"/>
      <c r="FL238" s="232"/>
      <c r="FM238" s="232"/>
      <c r="FN238" s="232"/>
      <c r="FO238" s="232"/>
      <c r="FP238" s="232"/>
      <c r="FQ238" s="232"/>
      <c r="FR238" s="232"/>
      <c r="FS238" s="232"/>
      <c r="FT238" s="232">
        <v>48.16</v>
      </c>
      <c r="FU238" s="232">
        <v>5.4</v>
      </c>
      <c r="FV238" s="232"/>
      <c r="FW238" s="232"/>
      <c r="FX238" s="232" t="s">
        <v>303</v>
      </c>
      <c r="FY238" s="232"/>
      <c r="FZ238" s="232"/>
      <c r="GA238" s="232"/>
      <c r="GB238" s="232"/>
      <c r="GC238" s="232"/>
      <c r="GD238" s="232"/>
      <c r="GE238" s="232"/>
      <c r="GF238" s="232"/>
      <c r="GG238" s="232"/>
      <c r="GH238" s="232"/>
      <c r="GI238" s="232"/>
      <c r="GJ238" s="232"/>
      <c r="GK238" s="232"/>
      <c r="GL238" s="232"/>
      <c r="GM238" s="232"/>
      <c r="GN238" s="294">
        <v>2820.6</v>
      </c>
      <c r="GO238" s="294">
        <v>22.66</v>
      </c>
      <c r="GP238" s="292" t="s">
        <v>5150</v>
      </c>
      <c r="GQ238" s="232">
        <f>(2964.03-2820.6)*SQRT(4)</f>
        <v>286.86000000000058</v>
      </c>
      <c r="GR238" s="232">
        <f>(2964.03-2820.6)*SQRT(4)</f>
        <v>286.86000000000058</v>
      </c>
      <c r="GS238" s="232" t="s">
        <v>1800</v>
      </c>
      <c r="GT238" s="232"/>
      <c r="GU238" s="232"/>
      <c r="GV238" s="232"/>
      <c r="GW238" s="232"/>
      <c r="GX238" s="232"/>
      <c r="GY238" s="232"/>
      <c r="GZ238" s="232"/>
      <c r="HA238" s="232"/>
      <c r="HB238" s="232"/>
      <c r="HC238" s="232"/>
      <c r="HD238" s="232"/>
      <c r="HE238" s="232"/>
      <c r="HF238" s="232"/>
      <c r="HG238" s="232"/>
      <c r="HH238" s="232"/>
      <c r="HI238" s="232"/>
      <c r="HJ238" s="232"/>
      <c r="HK238" s="232"/>
      <c r="HL238" s="232"/>
      <c r="HM238" s="232"/>
      <c r="HN238" s="232"/>
      <c r="HO238" s="232"/>
      <c r="HP238" s="232"/>
      <c r="HQ238" s="232"/>
      <c r="HR238" s="232"/>
      <c r="HS238" s="233"/>
      <c r="HT238" s="232"/>
      <c r="HU238" s="232"/>
      <c r="HV238" s="232"/>
      <c r="HW238" s="233"/>
      <c r="HX238" s="232"/>
      <c r="HY238" s="232"/>
      <c r="HZ238" s="232"/>
      <c r="IA238" s="232"/>
      <c r="IB238" s="232"/>
      <c r="IC238" s="232"/>
      <c r="ID238" s="232"/>
      <c r="IE238" s="232"/>
      <c r="IF238" s="232"/>
      <c r="IG238" s="232"/>
      <c r="IH238" s="232"/>
      <c r="II238" s="232"/>
      <c r="IJ238" s="232"/>
      <c r="IK238" s="232"/>
      <c r="IL238" s="232"/>
      <c r="IM238" s="232"/>
      <c r="IN238" s="232"/>
      <c r="IO238" s="232"/>
      <c r="IP238" s="232"/>
      <c r="IQ238" s="232"/>
      <c r="IR238" s="232"/>
      <c r="IS238" s="232"/>
      <c r="IT238" s="232"/>
      <c r="IU238" s="232"/>
      <c r="IV238" s="232"/>
      <c r="IW238" s="232"/>
      <c r="IX238" s="232"/>
      <c r="IY238" s="232"/>
      <c r="IZ238" s="232"/>
      <c r="JA238" s="232"/>
      <c r="JB238" s="232"/>
      <c r="JC238" s="232"/>
      <c r="JD238" s="232"/>
      <c r="JE238" s="232"/>
      <c r="JF238" s="232"/>
      <c r="JG238" s="232"/>
      <c r="JH238" s="232"/>
      <c r="JI238" s="232"/>
      <c r="JJ238" s="232"/>
      <c r="JK238" s="232"/>
      <c r="JL238" s="232"/>
      <c r="JM238" s="232"/>
      <c r="JN238" s="232"/>
      <c r="JO238" s="232"/>
      <c r="JP238" s="232"/>
      <c r="JQ238" s="232"/>
      <c r="JR238" s="232"/>
      <c r="JS238" s="232"/>
      <c r="JT238" s="232"/>
      <c r="JU238" s="181" t="s">
        <v>328</v>
      </c>
      <c r="JV238" s="181"/>
      <c r="JW238" s="181"/>
    </row>
    <row r="239" spans="1:283" s="229" customFormat="1" x14ac:dyDescent="0.25">
      <c r="A239" s="181">
        <v>238</v>
      </c>
      <c r="B239" s="229" t="s">
        <v>7067</v>
      </c>
      <c r="C239" s="230">
        <v>17</v>
      </c>
      <c r="D239" s="181" t="s">
        <v>3749</v>
      </c>
      <c r="E239" s="231" t="s">
        <v>296</v>
      </c>
      <c r="F239" s="231"/>
      <c r="G239" s="181" t="s">
        <v>297</v>
      </c>
      <c r="H239" s="181">
        <v>2016</v>
      </c>
      <c r="I239" s="181">
        <v>2011</v>
      </c>
      <c r="J239" s="181" t="s">
        <v>282</v>
      </c>
      <c r="K239" s="181" t="s">
        <v>298</v>
      </c>
      <c r="L239" s="181" t="s">
        <v>2737</v>
      </c>
      <c r="M239" s="231">
        <f>40+43/60</f>
        <v>40.716666666666669</v>
      </c>
      <c r="N239" s="231">
        <f>-77-55/60</f>
        <v>-77.916666666666671</v>
      </c>
      <c r="O239" s="231">
        <v>350</v>
      </c>
      <c r="P239" s="181"/>
      <c r="Q239" s="181"/>
      <c r="R239" s="181"/>
      <c r="S239" s="231">
        <v>975</v>
      </c>
      <c r="T239" s="181"/>
      <c r="U239" s="181">
        <v>1</v>
      </c>
      <c r="V239" s="181" t="s">
        <v>1805</v>
      </c>
      <c r="W239" s="181"/>
      <c r="X239" s="181"/>
      <c r="Y239" s="181" t="s">
        <v>1823</v>
      </c>
      <c r="Z239" s="181" t="s">
        <v>1356</v>
      </c>
      <c r="AA239" s="231" t="s">
        <v>1680</v>
      </c>
      <c r="AB239" s="232"/>
      <c r="AC239" s="232"/>
      <c r="AD239" s="231"/>
      <c r="AE239" s="231"/>
      <c r="AF239" s="231"/>
      <c r="AG239" s="231"/>
      <c r="AH239" s="181" t="s">
        <v>6378</v>
      </c>
      <c r="AI239" s="181"/>
      <c r="AJ239" s="231"/>
      <c r="AK239" s="231"/>
      <c r="AL239" s="181"/>
      <c r="AM239" s="181" t="s">
        <v>1286</v>
      </c>
      <c r="AN239" s="185" t="s">
        <v>1469</v>
      </c>
      <c r="AO239" s="185" t="s">
        <v>5150</v>
      </c>
      <c r="AP239" s="181"/>
      <c r="AQ239" s="181" t="s">
        <v>610</v>
      </c>
      <c r="AR239" s="181" t="s">
        <v>132</v>
      </c>
      <c r="AS239" s="181" t="s">
        <v>1584</v>
      </c>
      <c r="AT239" s="181" t="s">
        <v>299</v>
      </c>
      <c r="AU239" s="181" t="s">
        <v>5150</v>
      </c>
      <c r="AV239" s="185" t="s">
        <v>479</v>
      </c>
      <c r="AW239" s="181" t="s">
        <v>299</v>
      </c>
      <c r="AX239" s="185" t="s">
        <v>479</v>
      </c>
      <c r="AY239" s="181" t="s">
        <v>176</v>
      </c>
      <c r="AZ239" s="181"/>
      <c r="BA239" s="181"/>
      <c r="BB239" s="181"/>
      <c r="BC239" s="181"/>
      <c r="BD239" s="181"/>
      <c r="BE239" s="226" t="s">
        <v>300</v>
      </c>
      <c r="BF239" s="55" t="s">
        <v>479</v>
      </c>
      <c r="BG239" s="55" t="s">
        <v>479</v>
      </c>
      <c r="BH239" s="226" t="s">
        <v>300</v>
      </c>
      <c r="BI239" s="55" t="s">
        <v>479</v>
      </c>
      <c r="BJ239" s="181" t="s">
        <v>176</v>
      </c>
      <c r="BK239" s="181" t="s">
        <v>5976</v>
      </c>
      <c r="BL239" s="181"/>
      <c r="BM239" s="192" t="s">
        <v>160</v>
      </c>
      <c r="BN239" s="181">
        <v>4</v>
      </c>
      <c r="BO239" s="181">
        <v>4</v>
      </c>
      <c r="BP239" s="181"/>
      <c r="BQ239" s="181" t="s">
        <v>141</v>
      </c>
      <c r="BR239" s="181"/>
      <c r="BS239" s="181">
        <v>1724</v>
      </c>
      <c r="BT239" s="181">
        <v>15.4</v>
      </c>
      <c r="BU239" s="181"/>
      <c r="BV239" s="181"/>
      <c r="BW239" s="232"/>
      <c r="BX239" s="232"/>
      <c r="BY239" s="232"/>
      <c r="BZ239" s="232"/>
      <c r="CA239" s="232"/>
      <c r="CB239" s="183">
        <v>6975</v>
      </c>
      <c r="CC239" s="183">
        <v>7636</v>
      </c>
      <c r="CD239" s="183"/>
      <c r="CE239" s="232"/>
      <c r="CF239" s="232"/>
      <c r="CG239" s="232"/>
      <c r="CH239" s="231"/>
      <c r="CI239" s="231"/>
      <c r="CJ239" s="232"/>
      <c r="CK239" s="232"/>
      <c r="CL239" s="232"/>
      <c r="CM239" s="232"/>
      <c r="CN239" s="232"/>
      <c r="CO239" s="232"/>
      <c r="CP239" s="232"/>
      <c r="CQ239" s="232"/>
      <c r="CR239" s="232"/>
      <c r="CS239" s="232"/>
      <c r="CT239" s="232"/>
      <c r="CU239" s="232"/>
      <c r="CV239" s="232"/>
      <c r="CW239" s="232"/>
      <c r="CX239" s="232"/>
      <c r="CY239" s="232"/>
      <c r="CZ239" s="232"/>
      <c r="DA239" s="232"/>
      <c r="DB239" s="232">
        <f>13.25*0.614</f>
        <v>8.1355000000000004</v>
      </c>
      <c r="DC239" s="232">
        <v>7.87</v>
      </c>
      <c r="DD239" s="232"/>
      <c r="DE239" s="232"/>
      <c r="DF239" s="232" t="s">
        <v>327</v>
      </c>
      <c r="DG239" s="232"/>
      <c r="DH239" s="232"/>
      <c r="DI239" s="232"/>
      <c r="DJ239" s="232"/>
      <c r="DK239" s="232" t="s">
        <v>328</v>
      </c>
      <c r="DL239" s="232"/>
      <c r="DM239" s="232"/>
      <c r="DN239" s="232"/>
      <c r="DO239" s="232"/>
      <c r="DP239" s="232"/>
      <c r="DQ239" s="233"/>
      <c r="DR239" s="233"/>
      <c r="DS239" s="232"/>
      <c r="DT239" s="232"/>
      <c r="DU239" s="232"/>
      <c r="DV239" s="232"/>
      <c r="DW239" s="232"/>
      <c r="DX239" s="232"/>
      <c r="DY239" s="232"/>
      <c r="DZ239" s="232"/>
      <c r="EA239" s="232"/>
      <c r="EB239" s="232"/>
      <c r="EC239" s="232"/>
      <c r="ED239" s="232"/>
      <c r="EE239" s="232"/>
      <c r="EF239" s="232"/>
      <c r="EG239" s="232"/>
      <c r="EH239" s="232"/>
      <c r="EI239" s="232"/>
      <c r="EJ239" s="232"/>
      <c r="EK239" s="231"/>
      <c r="EL239" s="231"/>
      <c r="EM239" s="232"/>
      <c r="EN239" s="232"/>
      <c r="EO239" s="232"/>
      <c r="EP239" s="232"/>
      <c r="EQ239" s="232"/>
      <c r="ER239" s="232"/>
      <c r="ES239" s="232"/>
      <c r="ET239" s="232"/>
      <c r="EU239" s="232"/>
      <c r="EV239" s="232"/>
      <c r="EW239" s="232"/>
      <c r="EX239" s="232"/>
      <c r="EY239" s="232"/>
      <c r="EZ239" s="232"/>
      <c r="FA239" s="232"/>
      <c r="FB239" s="232"/>
      <c r="FC239" s="232"/>
      <c r="FD239" s="232"/>
      <c r="FE239" s="232"/>
      <c r="FF239" s="232"/>
      <c r="FG239" s="232"/>
      <c r="FH239" s="232"/>
      <c r="FI239" s="232"/>
      <c r="FJ239" s="232"/>
      <c r="FK239" s="232"/>
      <c r="FL239" s="232"/>
      <c r="FM239" s="232"/>
      <c r="FN239" s="232"/>
      <c r="FO239" s="232"/>
      <c r="FP239" s="232"/>
      <c r="FQ239" s="232"/>
      <c r="FR239" s="232"/>
      <c r="FS239" s="232"/>
      <c r="FT239" s="232">
        <v>48.16</v>
      </c>
      <c r="FU239" s="232">
        <v>22.68</v>
      </c>
      <c r="FV239" s="232"/>
      <c r="FW239" s="232"/>
      <c r="FX239" s="232" t="s">
        <v>303</v>
      </c>
      <c r="FY239" s="232"/>
      <c r="FZ239" s="232"/>
      <c r="GA239" s="232"/>
      <c r="GB239" s="232"/>
      <c r="GC239" s="232"/>
      <c r="GD239" s="232"/>
      <c r="GE239" s="232"/>
      <c r="GF239" s="232"/>
      <c r="GG239" s="232"/>
      <c r="GH239" s="232"/>
      <c r="GI239" s="232"/>
      <c r="GJ239" s="232"/>
      <c r="GK239" s="232"/>
      <c r="GL239" s="232"/>
      <c r="GM239" s="232"/>
      <c r="GN239" s="294">
        <v>2820.6</v>
      </c>
      <c r="GO239" s="294">
        <v>672.42</v>
      </c>
      <c r="GP239" s="292" t="s">
        <v>5150</v>
      </c>
      <c r="GQ239" s="232">
        <f>(2964.03-2820.6)*SQRT(4)</f>
        <v>286.86000000000058</v>
      </c>
      <c r="GR239" s="232">
        <f>(2964.03-2820.6)*SQRT(4)</f>
        <v>286.86000000000058</v>
      </c>
      <c r="GS239" s="232" t="s">
        <v>1800</v>
      </c>
      <c r="GT239" s="232"/>
      <c r="GU239" s="232"/>
      <c r="GV239" s="232"/>
      <c r="GW239" s="232"/>
      <c r="GX239" s="232"/>
      <c r="GY239" s="232"/>
      <c r="GZ239" s="232"/>
      <c r="HA239" s="232"/>
      <c r="HB239" s="232"/>
      <c r="HC239" s="232"/>
      <c r="HD239" s="232"/>
      <c r="HE239" s="232"/>
      <c r="HF239" s="232"/>
      <c r="HG239" s="232"/>
      <c r="HH239" s="232"/>
      <c r="HI239" s="232"/>
      <c r="HJ239" s="232"/>
      <c r="HK239" s="232"/>
      <c r="HL239" s="232"/>
      <c r="HM239" s="232"/>
      <c r="HN239" s="232"/>
      <c r="HO239" s="232"/>
      <c r="HP239" s="232"/>
      <c r="HQ239" s="232"/>
      <c r="HR239" s="232"/>
      <c r="HS239" s="233"/>
      <c r="HT239" s="232"/>
      <c r="HU239" s="232"/>
      <c r="HV239" s="232"/>
      <c r="HW239" s="233"/>
      <c r="HX239" s="232"/>
      <c r="HY239" s="232"/>
      <c r="HZ239" s="232"/>
      <c r="IA239" s="232"/>
      <c r="IB239" s="232"/>
      <c r="IC239" s="232"/>
      <c r="ID239" s="232"/>
      <c r="IE239" s="232"/>
      <c r="IF239" s="232"/>
      <c r="IG239" s="232"/>
      <c r="IH239" s="232"/>
      <c r="II239" s="232"/>
      <c r="IJ239" s="232"/>
      <c r="IK239" s="232"/>
      <c r="IL239" s="232"/>
      <c r="IM239" s="232"/>
      <c r="IN239" s="232"/>
      <c r="IO239" s="232"/>
      <c r="IP239" s="232"/>
      <c r="IQ239" s="232"/>
      <c r="IR239" s="232"/>
      <c r="IS239" s="232"/>
      <c r="IT239" s="232"/>
      <c r="IU239" s="232"/>
      <c r="IV239" s="232"/>
      <c r="IW239" s="232"/>
      <c r="IX239" s="232"/>
      <c r="IY239" s="232"/>
      <c r="IZ239" s="232"/>
      <c r="JA239" s="232"/>
      <c r="JB239" s="232"/>
      <c r="JC239" s="232"/>
      <c r="JD239" s="232"/>
      <c r="JE239" s="232"/>
      <c r="JF239" s="232"/>
      <c r="JG239" s="232"/>
      <c r="JH239" s="232"/>
      <c r="JI239" s="232"/>
      <c r="JJ239" s="232"/>
      <c r="JK239" s="232"/>
      <c r="JL239" s="232"/>
      <c r="JM239" s="232"/>
      <c r="JN239" s="232"/>
      <c r="JO239" s="232"/>
      <c r="JP239" s="232"/>
      <c r="JQ239" s="232"/>
      <c r="JR239" s="232"/>
      <c r="JS239" s="232"/>
      <c r="JT239" s="232"/>
      <c r="JU239" s="181" t="s">
        <v>328</v>
      </c>
      <c r="JV239" s="181"/>
      <c r="JW239" s="181"/>
    </row>
    <row r="240" spans="1:283" s="229" customFormat="1" x14ac:dyDescent="0.25">
      <c r="A240" s="181">
        <v>239</v>
      </c>
      <c r="B240" s="229" t="s">
        <v>7067</v>
      </c>
      <c r="C240" s="230">
        <v>17</v>
      </c>
      <c r="D240" s="181" t="s">
        <v>3749</v>
      </c>
      <c r="E240" s="231" t="s">
        <v>296</v>
      </c>
      <c r="F240" s="231"/>
      <c r="G240" s="181" t="s">
        <v>297</v>
      </c>
      <c r="H240" s="181">
        <v>2016</v>
      </c>
      <c r="I240" s="181">
        <v>2011</v>
      </c>
      <c r="J240" s="181" t="s">
        <v>282</v>
      </c>
      <c r="K240" s="181" t="s">
        <v>298</v>
      </c>
      <c r="L240" s="181" t="s">
        <v>2737</v>
      </c>
      <c r="M240" s="231">
        <f>40+43/60</f>
        <v>40.716666666666669</v>
      </c>
      <c r="N240" s="231">
        <f>-77-55/60</f>
        <v>-77.916666666666671</v>
      </c>
      <c r="O240" s="231">
        <v>350</v>
      </c>
      <c r="P240" s="181"/>
      <c r="Q240" s="181"/>
      <c r="R240" s="181"/>
      <c r="S240" s="231">
        <v>975</v>
      </c>
      <c r="T240" s="181"/>
      <c r="U240" s="181">
        <v>1</v>
      </c>
      <c r="V240" s="181" t="s">
        <v>1805</v>
      </c>
      <c r="W240" s="181"/>
      <c r="X240" s="181"/>
      <c r="Y240" s="181" t="s">
        <v>1823</v>
      </c>
      <c r="Z240" s="181" t="s">
        <v>1356</v>
      </c>
      <c r="AA240" s="231" t="s">
        <v>1680</v>
      </c>
      <c r="AB240" s="232"/>
      <c r="AC240" s="232"/>
      <c r="AD240" s="231"/>
      <c r="AE240" s="231"/>
      <c r="AF240" s="231"/>
      <c r="AG240" s="231"/>
      <c r="AH240" s="181" t="s">
        <v>6378</v>
      </c>
      <c r="AI240" s="181"/>
      <c r="AJ240" s="231"/>
      <c r="AK240" s="231"/>
      <c r="AL240" s="181"/>
      <c r="AM240" s="181" t="s">
        <v>1286</v>
      </c>
      <c r="AN240" s="185" t="s">
        <v>1470</v>
      </c>
      <c r="AO240" s="185" t="s">
        <v>5150</v>
      </c>
      <c r="AP240" s="181"/>
      <c r="AQ240" s="181" t="s">
        <v>610</v>
      </c>
      <c r="AR240" s="181" t="s">
        <v>132</v>
      </c>
      <c r="AS240" s="181" t="s">
        <v>1584</v>
      </c>
      <c r="AT240" s="181" t="s">
        <v>299</v>
      </c>
      <c r="AU240" s="181" t="s">
        <v>5150</v>
      </c>
      <c r="AV240" s="185" t="s">
        <v>479</v>
      </c>
      <c r="AW240" s="181" t="s">
        <v>299</v>
      </c>
      <c r="AX240" s="185" t="s">
        <v>479</v>
      </c>
      <c r="AY240" s="181" t="s">
        <v>176</v>
      </c>
      <c r="AZ240" s="181"/>
      <c r="BA240" s="181"/>
      <c r="BB240" s="181"/>
      <c r="BC240" s="181"/>
      <c r="BD240" s="181"/>
      <c r="BE240" s="226" t="s">
        <v>300</v>
      </c>
      <c r="BF240" s="55" t="s">
        <v>479</v>
      </c>
      <c r="BG240" s="55" t="s">
        <v>479</v>
      </c>
      <c r="BH240" s="226" t="s">
        <v>300</v>
      </c>
      <c r="BI240" s="55" t="s">
        <v>479</v>
      </c>
      <c r="BJ240" s="181" t="s">
        <v>176</v>
      </c>
      <c r="BK240" s="181" t="s">
        <v>5976</v>
      </c>
      <c r="BL240" s="181"/>
      <c r="BM240" s="192" t="s">
        <v>160</v>
      </c>
      <c r="BN240" s="181">
        <v>4</v>
      </c>
      <c r="BO240" s="181">
        <v>4</v>
      </c>
      <c r="BP240" s="181"/>
      <c r="BQ240" s="181" t="s">
        <v>141</v>
      </c>
      <c r="BR240" s="181"/>
      <c r="BS240" s="181">
        <v>6699</v>
      </c>
      <c r="BT240" s="181">
        <v>16.399999999999999</v>
      </c>
      <c r="BU240" s="181"/>
      <c r="BV240" s="181"/>
      <c r="BW240" s="232"/>
      <c r="BX240" s="232"/>
      <c r="BY240" s="232"/>
      <c r="BZ240" s="232"/>
      <c r="CA240" s="232"/>
      <c r="CB240" s="183">
        <v>6975</v>
      </c>
      <c r="CC240" s="183">
        <v>9289</v>
      </c>
      <c r="CD240" s="183"/>
      <c r="CE240" s="232"/>
      <c r="CF240" s="232"/>
      <c r="CG240" s="232"/>
      <c r="CH240" s="231"/>
      <c r="CI240" s="231"/>
      <c r="CJ240" s="232"/>
      <c r="CK240" s="232"/>
      <c r="CL240" s="232"/>
      <c r="CM240" s="232"/>
      <c r="CN240" s="232"/>
      <c r="CO240" s="232"/>
      <c r="CP240" s="232"/>
      <c r="CQ240" s="232"/>
      <c r="CR240" s="232"/>
      <c r="CS240" s="232"/>
      <c r="CT240" s="232"/>
      <c r="CU240" s="232"/>
      <c r="CV240" s="232"/>
      <c r="CW240" s="232"/>
      <c r="CX240" s="232"/>
      <c r="CY240" s="232"/>
      <c r="CZ240" s="232"/>
      <c r="DA240" s="232"/>
      <c r="DB240" s="232">
        <f>13.25*0.614</f>
        <v>8.1355000000000004</v>
      </c>
      <c r="DC240" s="232">
        <v>11.12</v>
      </c>
      <c r="DD240" s="232"/>
      <c r="DE240" s="232"/>
      <c r="DF240" s="232" t="s">
        <v>327</v>
      </c>
      <c r="DG240" s="232"/>
      <c r="DH240" s="232"/>
      <c r="DI240" s="232"/>
      <c r="DJ240" s="232"/>
      <c r="DK240" s="232" t="s">
        <v>328</v>
      </c>
      <c r="DL240" s="232"/>
      <c r="DM240" s="232"/>
      <c r="DN240" s="232"/>
      <c r="DO240" s="232"/>
      <c r="DP240" s="232"/>
      <c r="DQ240" s="233"/>
      <c r="DR240" s="233"/>
      <c r="DS240" s="232"/>
      <c r="DT240" s="232"/>
      <c r="DU240" s="232"/>
      <c r="DV240" s="232"/>
      <c r="DW240" s="232"/>
      <c r="DX240" s="232"/>
      <c r="DY240" s="232"/>
      <c r="DZ240" s="232"/>
      <c r="EA240" s="232"/>
      <c r="EB240" s="232"/>
      <c r="EC240" s="232"/>
      <c r="ED240" s="232"/>
      <c r="EE240" s="232"/>
      <c r="EF240" s="232"/>
      <c r="EG240" s="232"/>
      <c r="EH240" s="232"/>
      <c r="EI240" s="232"/>
      <c r="EJ240" s="232"/>
      <c r="EK240" s="231"/>
      <c r="EL240" s="231"/>
      <c r="EM240" s="232"/>
      <c r="EN240" s="232"/>
      <c r="EO240" s="232"/>
      <c r="EP240" s="232"/>
      <c r="EQ240" s="232"/>
      <c r="ER240" s="232"/>
      <c r="ES240" s="232"/>
      <c r="ET240" s="232"/>
      <c r="EU240" s="232"/>
      <c r="EV240" s="232"/>
      <c r="EW240" s="232"/>
      <c r="EX240" s="232"/>
      <c r="EY240" s="232"/>
      <c r="EZ240" s="232"/>
      <c r="FA240" s="232"/>
      <c r="FB240" s="232"/>
      <c r="FC240" s="232"/>
      <c r="FD240" s="232"/>
      <c r="FE240" s="232"/>
      <c r="FF240" s="232"/>
      <c r="FG240" s="232"/>
      <c r="FH240" s="232"/>
      <c r="FI240" s="232"/>
      <c r="FJ240" s="232"/>
      <c r="FK240" s="232"/>
      <c r="FL240" s="232"/>
      <c r="FM240" s="232"/>
      <c r="FN240" s="232"/>
      <c r="FO240" s="232"/>
      <c r="FP240" s="232"/>
      <c r="FQ240" s="232"/>
      <c r="FR240" s="232"/>
      <c r="FS240" s="232"/>
      <c r="FT240" s="232">
        <v>48.16</v>
      </c>
      <c r="FU240" s="232">
        <v>3.65</v>
      </c>
      <c r="FV240" s="232"/>
      <c r="FW240" s="232"/>
      <c r="FX240" s="232" t="s">
        <v>303</v>
      </c>
      <c r="FY240" s="232"/>
      <c r="FZ240" s="232"/>
      <c r="GA240" s="232"/>
      <c r="GB240" s="232"/>
      <c r="GC240" s="232"/>
      <c r="GD240" s="232"/>
      <c r="GE240" s="232"/>
      <c r="GF240" s="232"/>
      <c r="GG240" s="232"/>
      <c r="GH240" s="232"/>
      <c r="GI240" s="232"/>
      <c r="GJ240" s="232"/>
      <c r="GK240" s="232"/>
      <c r="GL240" s="232"/>
      <c r="GM240" s="232"/>
      <c r="GN240" s="294">
        <v>2820.6</v>
      </c>
      <c r="GO240" s="294">
        <v>21.63</v>
      </c>
      <c r="GP240" s="292" t="s">
        <v>5150</v>
      </c>
      <c r="GQ240" s="232">
        <f>(2964.03-2820.6)*SQRT(4)</f>
        <v>286.86000000000058</v>
      </c>
      <c r="GR240" s="232">
        <f>(2964.03-2820.6)*SQRT(4)</f>
        <v>286.86000000000058</v>
      </c>
      <c r="GS240" s="232" t="s">
        <v>1800</v>
      </c>
      <c r="GT240" s="232"/>
      <c r="GU240" s="232"/>
      <c r="GV240" s="232"/>
      <c r="GW240" s="232"/>
      <c r="GX240" s="232"/>
      <c r="GY240" s="232"/>
      <c r="GZ240" s="232"/>
      <c r="HA240" s="232"/>
      <c r="HB240" s="232"/>
      <c r="HC240" s="232"/>
      <c r="HD240" s="232"/>
      <c r="HE240" s="232"/>
      <c r="HF240" s="232"/>
      <c r="HG240" s="232"/>
      <c r="HH240" s="232"/>
      <c r="HI240" s="232"/>
      <c r="HJ240" s="232"/>
      <c r="HK240" s="232"/>
      <c r="HL240" s="232"/>
      <c r="HM240" s="232"/>
      <c r="HN240" s="232"/>
      <c r="HO240" s="232"/>
      <c r="HP240" s="232"/>
      <c r="HQ240" s="232"/>
      <c r="HR240" s="232"/>
      <c r="HS240" s="233"/>
      <c r="HT240" s="232"/>
      <c r="HU240" s="232"/>
      <c r="HV240" s="232"/>
      <c r="HW240" s="233"/>
      <c r="HX240" s="232"/>
      <c r="HY240" s="232"/>
      <c r="HZ240" s="232"/>
      <c r="IA240" s="232"/>
      <c r="IB240" s="232"/>
      <c r="IC240" s="232"/>
      <c r="ID240" s="232"/>
      <c r="IE240" s="232"/>
      <c r="IF240" s="232"/>
      <c r="IG240" s="232"/>
      <c r="IH240" s="232"/>
      <c r="II240" s="232"/>
      <c r="IJ240" s="232"/>
      <c r="IK240" s="232"/>
      <c r="IL240" s="232"/>
      <c r="IM240" s="232"/>
      <c r="IN240" s="232"/>
      <c r="IO240" s="232"/>
      <c r="IP240" s="232"/>
      <c r="IQ240" s="232"/>
      <c r="IR240" s="232"/>
      <c r="IS240" s="232"/>
      <c r="IT240" s="232"/>
      <c r="IU240" s="232"/>
      <c r="IV240" s="232"/>
      <c r="IW240" s="232"/>
      <c r="IX240" s="232"/>
      <c r="IY240" s="232"/>
      <c r="IZ240" s="232"/>
      <c r="JA240" s="232"/>
      <c r="JB240" s="232"/>
      <c r="JC240" s="232"/>
      <c r="JD240" s="232"/>
      <c r="JE240" s="232"/>
      <c r="JF240" s="232"/>
      <c r="JG240" s="232"/>
      <c r="JH240" s="232"/>
      <c r="JI240" s="232"/>
      <c r="JJ240" s="232"/>
      <c r="JK240" s="232"/>
      <c r="JL240" s="232"/>
      <c r="JM240" s="232"/>
      <c r="JN240" s="232"/>
      <c r="JO240" s="232"/>
      <c r="JP240" s="232"/>
      <c r="JQ240" s="232"/>
      <c r="JR240" s="232"/>
      <c r="JS240" s="232"/>
      <c r="JT240" s="232"/>
      <c r="JU240" s="181" t="s">
        <v>328</v>
      </c>
      <c r="JV240" s="181"/>
      <c r="JW240" s="181"/>
    </row>
    <row r="241" spans="1:283" s="229" customFormat="1" x14ac:dyDescent="0.25">
      <c r="A241" s="181">
        <v>240</v>
      </c>
      <c r="B241" s="229" t="s">
        <v>7067</v>
      </c>
      <c r="C241" s="230">
        <v>17</v>
      </c>
      <c r="D241" s="181" t="s">
        <v>3749</v>
      </c>
      <c r="E241" s="231" t="s">
        <v>296</v>
      </c>
      <c r="F241" s="231"/>
      <c r="G241" s="181" t="s">
        <v>297</v>
      </c>
      <c r="H241" s="181">
        <v>2016</v>
      </c>
      <c r="I241" s="181">
        <v>2011</v>
      </c>
      <c r="J241" s="181" t="s">
        <v>282</v>
      </c>
      <c r="K241" s="181" t="s">
        <v>298</v>
      </c>
      <c r="L241" s="181" t="s">
        <v>2737</v>
      </c>
      <c r="M241" s="231">
        <f>40+43/60</f>
        <v>40.716666666666669</v>
      </c>
      <c r="N241" s="231">
        <f>-77-55/60</f>
        <v>-77.916666666666671</v>
      </c>
      <c r="O241" s="231">
        <v>350</v>
      </c>
      <c r="P241" s="181"/>
      <c r="Q241" s="181"/>
      <c r="R241" s="181"/>
      <c r="S241" s="231">
        <v>975</v>
      </c>
      <c r="T241" s="181"/>
      <c r="U241" s="181">
        <v>1</v>
      </c>
      <c r="V241" s="181" t="s">
        <v>1805</v>
      </c>
      <c r="W241" s="181"/>
      <c r="X241" s="181"/>
      <c r="Y241" s="181" t="s">
        <v>1823</v>
      </c>
      <c r="Z241" s="181" t="s">
        <v>1356</v>
      </c>
      <c r="AA241" s="231" t="s">
        <v>1680</v>
      </c>
      <c r="AB241" s="232"/>
      <c r="AC241" s="232"/>
      <c r="AD241" s="231"/>
      <c r="AE241" s="231"/>
      <c r="AF241" s="231"/>
      <c r="AG241" s="231"/>
      <c r="AH241" s="181" t="s">
        <v>6378</v>
      </c>
      <c r="AI241" s="181"/>
      <c r="AJ241" s="231"/>
      <c r="AK241" s="231"/>
      <c r="AL241" s="181"/>
      <c r="AM241" s="181" t="s">
        <v>1286</v>
      </c>
      <c r="AN241" s="185" t="s">
        <v>1471</v>
      </c>
      <c r="AO241" s="185" t="s">
        <v>5150</v>
      </c>
      <c r="AP241" s="181"/>
      <c r="AQ241" s="181" t="s">
        <v>610</v>
      </c>
      <c r="AR241" s="181" t="s">
        <v>132</v>
      </c>
      <c r="AS241" s="181" t="s">
        <v>1584</v>
      </c>
      <c r="AT241" s="181" t="s">
        <v>299</v>
      </c>
      <c r="AU241" s="181" t="s">
        <v>5150</v>
      </c>
      <c r="AV241" s="185" t="s">
        <v>479</v>
      </c>
      <c r="AW241" s="181" t="s">
        <v>299</v>
      </c>
      <c r="AX241" s="185" t="s">
        <v>479</v>
      </c>
      <c r="AY241" s="181" t="s">
        <v>176</v>
      </c>
      <c r="AZ241" s="181"/>
      <c r="BA241" s="181"/>
      <c r="BB241" s="181"/>
      <c r="BC241" s="181"/>
      <c r="BD241" s="181"/>
      <c r="BE241" s="226" t="s">
        <v>300</v>
      </c>
      <c r="BF241" s="55" t="s">
        <v>479</v>
      </c>
      <c r="BG241" s="55" t="s">
        <v>479</v>
      </c>
      <c r="BH241" s="226" t="s">
        <v>300</v>
      </c>
      <c r="BI241" s="55" t="s">
        <v>479</v>
      </c>
      <c r="BJ241" s="181" t="s">
        <v>176</v>
      </c>
      <c r="BK241" s="181" t="s">
        <v>5976</v>
      </c>
      <c r="BL241" s="181"/>
      <c r="BM241" s="192" t="s">
        <v>160</v>
      </c>
      <c r="BN241" s="181">
        <v>4</v>
      </c>
      <c r="BO241" s="181">
        <v>4</v>
      </c>
      <c r="BP241" s="181"/>
      <c r="BQ241" s="181" t="s">
        <v>141</v>
      </c>
      <c r="BR241" s="181"/>
      <c r="BS241" s="181">
        <v>6997</v>
      </c>
      <c r="BT241" s="181">
        <v>35.9</v>
      </c>
      <c r="BU241" s="181"/>
      <c r="BV241" s="181"/>
      <c r="BW241" s="232"/>
      <c r="BX241" s="232"/>
      <c r="BY241" s="232"/>
      <c r="BZ241" s="232"/>
      <c r="CA241" s="232"/>
      <c r="CB241" s="183">
        <v>6975</v>
      </c>
      <c r="CC241" s="183">
        <v>5818</v>
      </c>
      <c r="CD241" s="183"/>
      <c r="CE241" s="232"/>
      <c r="CF241" s="232"/>
      <c r="CG241" s="232"/>
      <c r="CH241" s="231"/>
      <c r="CI241" s="231"/>
      <c r="CJ241" s="232"/>
      <c r="CK241" s="232"/>
      <c r="CL241" s="232"/>
      <c r="CM241" s="232"/>
      <c r="CN241" s="232"/>
      <c r="CO241" s="232"/>
      <c r="CP241" s="232"/>
      <c r="CQ241" s="232"/>
      <c r="CR241" s="232"/>
      <c r="CS241" s="232"/>
      <c r="CT241" s="232"/>
      <c r="CU241" s="232"/>
      <c r="CV241" s="232"/>
      <c r="CW241" s="232"/>
      <c r="CX241" s="232"/>
      <c r="CY241" s="232"/>
      <c r="CZ241" s="232"/>
      <c r="DA241" s="232"/>
      <c r="DB241" s="232">
        <f>13.25*0.614</f>
        <v>8.1355000000000004</v>
      </c>
      <c r="DC241" s="232">
        <v>6.23</v>
      </c>
      <c r="DD241" s="232"/>
      <c r="DE241" s="232"/>
      <c r="DF241" s="232" t="s">
        <v>327</v>
      </c>
      <c r="DG241" s="232"/>
      <c r="DH241" s="232"/>
      <c r="DI241" s="232"/>
      <c r="DJ241" s="232"/>
      <c r="DK241" s="232" t="s">
        <v>328</v>
      </c>
      <c r="DL241" s="232"/>
      <c r="DM241" s="232"/>
      <c r="DN241" s="232"/>
      <c r="DO241" s="232"/>
      <c r="DP241" s="232"/>
      <c r="DQ241" s="233"/>
      <c r="DR241" s="233"/>
      <c r="DS241" s="232"/>
      <c r="DT241" s="232"/>
      <c r="DU241" s="232"/>
      <c r="DV241" s="232"/>
      <c r="DW241" s="232"/>
      <c r="DX241" s="232"/>
      <c r="DY241" s="232"/>
      <c r="DZ241" s="232"/>
      <c r="EA241" s="232"/>
      <c r="EB241" s="232"/>
      <c r="EC241" s="232"/>
      <c r="ED241" s="232"/>
      <c r="EE241" s="232"/>
      <c r="EF241" s="232"/>
      <c r="EG241" s="232"/>
      <c r="EH241" s="232"/>
      <c r="EI241" s="232"/>
      <c r="EJ241" s="232"/>
      <c r="EK241" s="231"/>
      <c r="EL241" s="231"/>
      <c r="EM241" s="232"/>
      <c r="EN241" s="232"/>
      <c r="EO241" s="232"/>
      <c r="EP241" s="232"/>
      <c r="EQ241" s="232"/>
      <c r="ER241" s="232"/>
      <c r="ES241" s="232"/>
      <c r="ET241" s="232"/>
      <c r="EU241" s="232"/>
      <c r="EV241" s="232"/>
      <c r="EW241" s="232"/>
      <c r="EX241" s="232"/>
      <c r="EY241" s="232"/>
      <c r="EZ241" s="232"/>
      <c r="FA241" s="232"/>
      <c r="FB241" s="232"/>
      <c r="FC241" s="232"/>
      <c r="FD241" s="232"/>
      <c r="FE241" s="232"/>
      <c r="FF241" s="232"/>
      <c r="FG241" s="232"/>
      <c r="FH241" s="232"/>
      <c r="FI241" s="232"/>
      <c r="FJ241" s="232"/>
      <c r="FK241" s="232"/>
      <c r="FL241" s="232"/>
      <c r="FM241" s="232"/>
      <c r="FN241" s="232"/>
      <c r="FO241" s="232"/>
      <c r="FP241" s="232"/>
      <c r="FQ241" s="232"/>
      <c r="FR241" s="232"/>
      <c r="FS241" s="232"/>
      <c r="FT241" s="232">
        <v>48.16</v>
      </c>
      <c r="FU241" s="232">
        <v>0.97</v>
      </c>
      <c r="FV241" s="232"/>
      <c r="FW241" s="232"/>
      <c r="FX241" s="232" t="s">
        <v>303</v>
      </c>
      <c r="FY241" s="232"/>
      <c r="FZ241" s="232"/>
      <c r="GA241" s="232"/>
      <c r="GB241" s="232"/>
      <c r="GC241" s="232"/>
      <c r="GD241" s="232"/>
      <c r="GE241" s="232"/>
      <c r="GF241" s="232"/>
      <c r="GG241" s="232"/>
      <c r="GH241" s="232"/>
      <c r="GI241" s="232"/>
      <c r="GJ241" s="232"/>
      <c r="GK241" s="232"/>
      <c r="GL241" s="232"/>
      <c r="GM241" s="232"/>
      <c r="GN241" s="294">
        <v>2820.6</v>
      </c>
      <c r="GO241" s="294">
        <v>11.57</v>
      </c>
      <c r="GP241" s="292" t="s">
        <v>5150</v>
      </c>
      <c r="GQ241" s="232">
        <f>(2964.03-2820.6)*SQRT(4)</f>
        <v>286.86000000000058</v>
      </c>
      <c r="GR241" s="232">
        <f>(2964.03-2820.6)*SQRT(4)</f>
        <v>286.86000000000058</v>
      </c>
      <c r="GS241" s="232" t="s">
        <v>1800</v>
      </c>
      <c r="GT241" s="232"/>
      <c r="GU241" s="232"/>
      <c r="GV241" s="232"/>
      <c r="GW241" s="232"/>
      <c r="GX241" s="232"/>
      <c r="GY241" s="232"/>
      <c r="GZ241" s="232"/>
      <c r="HA241" s="232"/>
      <c r="HB241" s="232"/>
      <c r="HC241" s="232"/>
      <c r="HD241" s="232"/>
      <c r="HE241" s="232"/>
      <c r="HF241" s="232"/>
      <c r="HG241" s="232"/>
      <c r="HH241" s="232"/>
      <c r="HI241" s="232"/>
      <c r="HJ241" s="232"/>
      <c r="HK241" s="232"/>
      <c r="HL241" s="232"/>
      <c r="HM241" s="232"/>
      <c r="HN241" s="232"/>
      <c r="HO241" s="232"/>
      <c r="HP241" s="232"/>
      <c r="HQ241" s="232"/>
      <c r="HR241" s="232"/>
      <c r="HS241" s="233"/>
      <c r="HT241" s="232"/>
      <c r="HU241" s="232"/>
      <c r="HV241" s="232"/>
      <c r="HW241" s="233"/>
      <c r="HX241" s="232"/>
      <c r="HY241" s="232"/>
      <c r="HZ241" s="232"/>
      <c r="IA241" s="232"/>
      <c r="IB241" s="232"/>
      <c r="IC241" s="232"/>
      <c r="ID241" s="232"/>
      <c r="IE241" s="232"/>
      <c r="IF241" s="232"/>
      <c r="IG241" s="232"/>
      <c r="IH241" s="232"/>
      <c r="II241" s="232"/>
      <c r="IJ241" s="232"/>
      <c r="IK241" s="232"/>
      <c r="IL241" s="232"/>
      <c r="IM241" s="232"/>
      <c r="IN241" s="232"/>
      <c r="IO241" s="232"/>
      <c r="IP241" s="232"/>
      <c r="IQ241" s="232"/>
      <c r="IR241" s="232"/>
      <c r="IS241" s="232"/>
      <c r="IT241" s="232"/>
      <c r="IU241" s="232"/>
      <c r="IV241" s="232"/>
      <c r="IW241" s="232"/>
      <c r="IX241" s="232"/>
      <c r="IY241" s="232"/>
      <c r="IZ241" s="232"/>
      <c r="JA241" s="232"/>
      <c r="JB241" s="232"/>
      <c r="JC241" s="232"/>
      <c r="JD241" s="232"/>
      <c r="JE241" s="232"/>
      <c r="JF241" s="232"/>
      <c r="JG241" s="232"/>
      <c r="JH241" s="232"/>
      <c r="JI241" s="232"/>
      <c r="JJ241" s="232"/>
      <c r="JK241" s="232"/>
      <c r="JL241" s="232"/>
      <c r="JM241" s="232"/>
      <c r="JN241" s="232"/>
      <c r="JO241" s="232"/>
      <c r="JP241" s="232"/>
      <c r="JQ241" s="232"/>
      <c r="JR241" s="232"/>
      <c r="JS241" s="232"/>
      <c r="JT241" s="232"/>
      <c r="JU241" s="181" t="s">
        <v>328</v>
      </c>
      <c r="JV241" s="181"/>
      <c r="JW241" s="181"/>
    </row>
    <row r="242" spans="1:283" s="229" customFormat="1" x14ac:dyDescent="0.25">
      <c r="A242" s="181">
        <v>241</v>
      </c>
      <c r="B242" s="229" t="s">
        <v>7067</v>
      </c>
      <c r="C242" s="230">
        <v>17</v>
      </c>
      <c r="D242" s="181" t="s">
        <v>3749</v>
      </c>
      <c r="E242" s="231" t="s">
        <v>296</v>
      </c>
      <c r="F242" s="231"/>
      <c r="G242" s="181" t="s">
        <v>297</v>
      </c>
      <c r="H242" s="181">
        <v>2016</v>
      </c>
      <c r="I242" s="181">
        <v>2011</v>
      </c>
      <c r="J242" s="181" t="s">
        <v>282</v>
      </c>
      <c r="K242" s="181" t="s">
        <v>298</v>
      </c>
      <c r="L242" s="181" t="s">
        <v>2737</v>
      </c>
      <c r="M242" s="231">
        <f>40+43/60</f>
        <v>40.716666666666669</v>
      </c>
      <c r="N242" s="231">
        <f>-77-55/60</f>
        <v>-77.916666666666671</v>
      </c>
      <c r="O242" s="231">
        <v>350</v>
      </c>
      <c r="P242" s="181"/>
      <c r="Q242" s="181"/>
      <c r="R242" s="181"/>
      <c r="S242" s="231">
        <v>975</v>
      </c>
      <c r="T242" s="181"/>
      <c r="U242" s="181">
        <v>1</v>
      </c>
      <c r="V242" s="181" t="s">
        <v>1805</v>
      </c>
      <c r="W242" s="181"/>
      <c r="X242" s="181"/>
      <c r="Y242" s="181" t="s">
        <v>1823</v>
      </c>
      <c r="Z242" s="181" t="s">
        <v>1356</v>
      </c>
      <c r="AA242" s="231" t="s">
        <v>1680</v>
      </c>
      <c r="AB242" s="232"/>
      <c r="AC242" s="232"/>
      <c r="AD242" s="231"/>
      <c r="AE242" s="231"/>
      <c r="AF242" s="231"/>
      <c r="AG242" s="231"/>
      <c r="AH242" s="181" t="s">
        <v>6378</v>
      </c>
      <c r="AI242" s="181"/>
      <c r="AJ242" s="231"/>
      <c r="AK242" s="231"/>
      <c r="AL242" s="181"/>
      <c r="AM242" s="181" t="s">
        <v>1286</v>
      </c>
      <c r="AN242" s="185" t="s">
        <v>1472</v>
      </c>
      <c r="AO242" s="185" t="s">
        <v>5150</v>
      </c>
      <c r="AP242" s="181"/>
      <c r="AQ242" s="181" t="s">
        <v>610</v>
      </c>
      <c r="AR242" s="181" t="s">
        <v>132</v>
      </c>
      <c r="AS242" s="181" t="s">
        <v>1584</v>
      </c>
      <c r="AT242" s="181" t="s">
        <v>299</v>
      </c>
      <c r="AU242" s="181" t="s">
        <v>5150</v>
      </c>
      <c r="AV242" s="185" t="s">
        <v>479</v>
      </c>
      <c r="AW242" s="181" t="s">
        <v>299</v>
      </c>
      <c r="AX242" s="185" t="s">
        <v>479</v>
      </c>
      <c r="AY242" s="181" t="s">
        <v>176</v>
      </c>
      <c r="AZ242" s="181"/>
      <c r="BA242" s="181"/>
      <c r="BB242" s="181"/>
      <c r="BC242" s="181"/>
      <c r="BD242" s="181"/>
      <c r="BE242" s="226" t="s">
        <v>300</v>
      </c>
      <c r="BF242" s="55" t="s">
        <v>479</v>
      </c>
      <c r="BG242" s="55" t="s">
        <v>479</v>
      </c>
      <c r="BH242" s="226" t="s">
        <v>300</v>
      </c>
      <c r="BI242" s="55" t="s">
        <v>479</v>
      </c>
      <c r="BJ242" s="181" t="s">
        <v>176</v>
      </c>
      <c r="BK242" s="181" t="s">
        <v>5976</v>
      </c>
      <c r="BL242" s="181"/>
      <c r="BM242" s="192" t="s">
        <v>160</v>
      </c>
      <c r="BN242" s="181">
        <v>4</v>
      </c>
      <c r="BO242" s="181">
        <v>4</v>
      </c>
      <c r="BP242" s="181"/>
      <c r="BQ242" s="181" t="s">
        <v>141</v>
      </c>
      <c r="BR242" s="181"/>
      <c r="BS242" s="181">
        <v>5374</v>
      </c>
      <c r="BT242" s="181">
        <v>11</v>
      </c>
      <c r="BU242" s="181"/>
      <c r="BV242" s="181"/>
      <c r="BW242" s="232"/>
      <c r="BX242" s="232"/>
      <c r="BY242" s="232"/>
      <c r="BZ242" s="232"/>
      <c r="CA242" s="232"/>
      <c r="CB242" s="183">
        <v>6975</v>
      </c>
      <c r="CC242" s="183">
        <v>10281</v>
      </c>
      <c r="CD242" s="183"/>
      <c r="CE242" s="232"/>
      <c r="CF242" s="232"/>
      <c r="CG242" s="232"/>
      <c r="CH242" s="231"/>
      <c r="CI242" s="231"/>
      <c r="CJ242" s="232"/>
      <c r="CK242" s="232"/>
      <c r="CL242" s="232"/>
      <c r="CM242" s="232"/>
      <c r="CN242" s="232"/>
      <c r="CO242" s="232"/>
      <c r="CP242" s="232"/>
      <c r="CQ242" s="232"/>
      <c r="CR242" s="232"/>
      <c r="CS242" s="232"/>
      <c r="CT242" s="232"/>
      <c r="CU242" s="232"/>
      <c r="CV242" s="232"/>
      <c r="CW242" s="232"/>
      <c r="CX242" s="232"/>
      <c r="CY242" s="232"/>
      <c r="CZ242" s="232"/>
      <c r="DA242" s="232"/>
      <c r="DB242" s="232">
        <f>13.25*0.614</f>
        <v>8.1355000000000004</v>
      </c>
      <c r="DC242" s="232">
        <v>17.11</v>
      </c>
      <c r="DD242" s="232"/>
      <c r="DE242" s="232"/>
      <c r="DF242" s="232" t="s">
        <v>327</v>
      </c>
      <c r="DG242" s="232"/>
      <c r="DH242" s="232"/>
      <c r="DI242" s="232"/>
      <c r="DJ242" s="232"/>
      <c r="DK242" s="232" t="s">
        <v>328</v>
      </c>
      <c r="DL242" s="232"/>
      <c r="DM242" s="232"/>
      <c r="DN242" s="232"/>
      <c r="DO242" s="232"/>
      <c r="DP242" s="232"/>
      <c r="DQ242" s="233"/>
      <c r="DR242" s="233"/>
      <c r="DS242" s="232"/>
      <c r="DT242" s="232"/>
      <c r="DU242" s="232"/>
      <c r="DV242" s="232"/>
      <c r="DW242" s="232"/>
      <c r="DX242" s="232"/>
      <c r="DY242" s="232"/>
      <c r="DZ242" s="232"/>
      <c r="EA242" s="232"/>
      <c r="EB242" s="232"/>
      <c r="EC242" s="232"/>
      <c r="ED242" s="232"/>
      <c r="EE242" s="232"/>
      <c r="EF242" s="232"/>
      <c r="EG242" s="232"/>
      <c r="EH242" s="232"/>
      <c r="EI242" s="232"/>
      <c r="EJ242" s="232"/>
      <c r="EK242" s="231"/>
      <c r="EL242" s="231"/>
      <c r="EM242" s="232"/>
      <c r="EN242" s="232"/>
      <c r="EO242" s="232"/>
      <c r="EP242" s="232"/>
      <c r="EQ242" s="232"/>
      <c r="ER242" s="232"/>
      <c r="ES242" s="232"/>
      <c r="ET242" s="232"/>
      <c r="EU242" s="232"/>
      <c r="EV242" s="232"/>
      <c r="EW242" s="232"/>
      <c r="EX242" s="232"/>
      <c r="EY242" s="232"/>
      <c r="EZ242" s="232"/>
      <c r="FA242" s="232"/>
      <c r="FB242" s="232"/>
      <c r="FC242" s="232"/>
      <c r="FD242" s="232"/>
      <c r="FE242" s="232"/>
      <c r="FF242" s="232"/>
      <c r="FG242" s="232"/>
      <c r="FH242" s="232"/>
      <c r="FI242" s="232"/>
      <c r="FJ242" s="232"/>
      <c r="FK242" s="232"/>
      <c r="FL242" s="232"/>
      <c r="FM242" s="232"/>
      <c r="FN242" s="232"/>
      <c r="FO242" s="232"/>
      <c r="FP242" s="232"/>
      <c r="FQ242" s="232"/>
      <c r="FR242" s="232"/>
      <c r="FS242" s="232"/>
      <c r="FT242" s="232">
        <v>48.16</v>
      </c>
      <c r="FU242" s="232">
        <v>24.38</v>
      </c>
      <c r="FV242" s="232"/>
      <c r="FW242" s="232"/>
      <c r="FX242" s="232" t="s">
        <v>303</v>
      </c>
      <c r="FY242" s="232"/>
      <c r="FZ242" s="232"/>
      <c r="GA242" s="232"/>
      <c r="GB242" s="232"/>
      <c r="GC242" s="232"/>
      <c r="GD242" s="232"/>
      <c r="GE242" s="232"/>
      <c r="GF242" s="232"/>
      <c r="GG242" s="232"/>
      <c r="GH242" s="232"/>
      <c r="GI242" s="232"/>
      <c r="GJ242" s="232"/>
      <c r="GK242" s="232"/>
      <c r="GL242" s="232"/>
      <c r="GM242" s="232"/>
      <c r="GN242" s="294">
        <v>2820.6</v>
      </c>
      <c r="GO242" s="294">
        <v>20.62</v>
      </c>
      <c r="GP242" s="292" t="s">
        <v>5150</v>
      </c>
      <c r="GQ242" s="232">
        <f>(2964.03-2820.6)*SQRT(4)</f>
        <v>286.86000000000058</v>
      </c>
      <c r="GR242" s="232">
        <f>(2964.03-2820.6)*SQRT(4)</f>
        <v>286.86000000000058</v>
      </c>
      <c r="GS242" s="232" t="s">
        <v>1800</v>
      </c>
      <c r="GT242" s="232"/>
      <c r="GU242" s="232"/>
      <c r="GV242" s="232"/>
      <c r="GW242" s="232"/>
      <c r="GX242" s="232"/>
      <c r="GY242" s="232"/>
      <c r="GZ242" s="232"/>
      <c r="HA242" s="232"/>
      <c r="HB242" s="232"/>
      <c r="HC242" s="232"/>
      <c r="HD242" s="232"/>
      <c r="HE242" s="232"/>
      <c r="HF242" s="232"/>
      <c r="HG242" s="232"/>
      <c r="HH242" s="232"/>
      <c r="HI242" s="232"/>
      <c r="HJ242" s="232"/>
      <c r="HK242" s="232"/>
      <c r="HL242" s="232"/>
      <c r="HM242" s="232"/>
      <c r="HN242" s="232"/>
      <c r="HO242" s="232"/>
      <c r="HP242" s="232"/>
      <c r="HQ242" s="232"/>
      <c r="HR242" s="232"/>
      <c r="HS242" s="233"/>
      <c r="HT242" s="232"/>
      <c r="HU242" s="232"/>
      <c r="HV242" s="232"/>
      <c r="HW242" s="233"/>
      <c r="HX242" s="232"/>
      <c r="HY242" s="232"/>
      <c r="HZ242" s="232"/>
      <c r="IA242" s="232"/>
      <c r="IB242" s="232"/>
      <c r="IC242" s="232"/>
      <c r="ID242" s="232"/>
      <c r="IE242" s="232"/>
      <c r="IF242" s="232"/>
      <c r="IG242" s="232"/>
      <c r="IH242" s="232"/>
      <c r="II242" s="232"/>
      <c r="IJ242" s="232"/>
      <c r="IK242" s="232"/>
      <c r="IL242" s="232"/>
      <c r="IM242" s="232"/>
      <c r="IN242" s="232"/>
      <c r="IO242" s="232"/>
      <c r="IP242" s="232"/>
      <c r="IQ242" s="232"/>
      <c r="IR242" s="232"/>
      <c r="IS242" s="232"/>
      <c r="IT242" s="232"/>
      <c r="IU242" s="232"/>
      <c r="IV242" s="232"/>
      <c r="IW242" s="232"/>
      <c r="IX242" s="232"/>
      <c r="IY242" s="232"/>
      <c r="IZ242" s="232"/>
      <c r="JA242" s="232"/>
      <c r="JB242" s="232"/>
      <c r="JC242" s="232"/>
      <c r="JD242" s="232"/>
      <c r="JE242" s="232"/>
      <c r="JF242" s="232"/>
      <c r="JG242" s="232"/>
      <c r="JH242" s="232"/>
      <c r="JI242" s="232"/>
      <c r="JJ242" s="232"/>
      <c r="JK242" s="232"/>
      <c r="JL242" s="232"/>
      <c r="JM242" s="232"/>
      <c r="JN242" s="232"/>
      <c r="JO242" s="232"/>
      <c r="JP242" s="232"/>
      <c r="JQ242" s="232"/>
      <c r="JR242" s="232"/>
      <c r="JS242" s="232"/>
      <c r="JT242" s="232"/>
      <c r="JU242" s="181" t="s">
        <v>328</v>
      </c>
      <c r="JV242" s="181"/>
      <c r="JW242" s="181"/>
    </row>
    <row r="243" spans="1:283" x14ac:dyDescent="0.25">
      <c r="A243" s="55">
        <v>242</v>
      </c>
      <c r="B243" s="12" t="s">
        <v>7067</v>
      </c>
      <c r="C243" s="155">
        <v>17</v>
      </c>
      <c r="D243" s="55" t="s">
        <v>3749</v>
      </c>
      <c r="E243" s="90" t="s">
        <v>296</v>
      </c>
      <c r="G243" s="55" t="s">
        <v>297</v>
      </c>
      <c r="H243" s="55">
        <v>2016</v>
      </c>
      <c r="I243" s="55">
        <v>2011</v>
      </c>
      <c r="J243" s="55" t="s">
        <v>282</v>
      </c>
      <c r="K243" s="55" t="s">
        <v>298</v>
      </c>
      <c r="L243" s="55" t="s">
        <v>2737</v>
      </c>
      <c r="M243" s="90">
        <f>40+43/60</f>
        <v>40.716666666666669</v>
      </c>
      <c r="N243" s="90">
        <f>-77-55/60</f>
        <v>-77.916666666666671</v>
      </c>
      <c r="O243" s="90">
        <v>350</v>
      </c>
      <c r="S243" s="90">
        <v>975</v>
      </c>
      <c r="U243" s="55">
        <v>1</v>
      </c>
      <c r="V243" s="55" t="s">
        <v>1805</v>
      </c>
      <c r="Y243" s="55" t="s">
        <v>1823</v>
      </c>
      <c r="Z243" s="55" t="s">
        <v>1356</v>
      </c>
      <c r="AA243" s="90" t="s">
        <v>1680</v>
      </c>
      <c r="AH243" s="55" t="s">
        <v>6378</v>
      </c>
      <c r="AM243" s="55" t="s">
        <v>1286</v>
      </c>
      <c r="AN243" s="185" t="s">
        <v>301</v>
      </c>
      <c r="AO243" s="185" t="s">
        <v>5150</v>
      </c>
      <c r="AQ243" s="55" t="s">
        <v>610</v>
      </c>
      <c r="AR243" s="55" t="s">
        <v>132</v>
      </c>
      <c r="AS243" s="55" t="s">
        <v>1584</v>
      </c>
      <c r="AT243" s="181" t="s">
        <v>299</v>
      </c>
      <c r="AU243" s="181" t="s">
        <v>5150</v>
      </c>
      <c r="AV243" s="185" t="s">
        <v>176</v>
      </c>
      <c r="AW243" s="55" t="s">
        <v>299</v>
      </c>
      <c r="AX243" s="185" t="s">
        <v>176</v>
      </c>
      <c r="AY243" s="55" t="s">
        <v>176</v>
      </c>
      <c r="BE243" s="226" t="s">
        <v>300</v>
      </c>
      <c r="BF243" s="55" t="s">
        <v>479</v>
      </c>
      <c r="BG243" s="55" t="s">
        <v>479</v>
      </c>
      <c r="BH243" s="226" t="s">
        <v>300</v>
      </c>
      <c r="BI243" s="55" t="s">
        <v>479</v>
      </c>
      <c r="BJ243" s="55" t="s">
        <v>176</v>
      </c>
      <c r="BK243" s="55" t="s">
        <v>5976</v>
      </c>
      <c r="BM243" s="192" t="s">
        <v>160</v>
      </c>
      <c r="BN243" s="55">
        <v>4</v>
      </c>
      <c r="BO243" s="55">
        <v>4</v>
      </c>
      <c r="BQ243" s="55" t="s">
        <v>141</v>
      </c>
      <c r="BS243" s="55">
        <v>7143</v>
      </c>
      <c r="BT243" s="55">
        <v>15</v>
      </c>
      <c r="CB243" s="66">
        <v>6975</v>
      </c>
      <c r="CC243" s="66">
        <v>9884</v>
      </c>
      <c r="DB243" s="65">
        <f>13.25*0.614</f>
        <v>8.1355000000000004</v>
      </c>
      <c r="DC243" s="65">
        <v>13.95</v>
      </c>
      <c r="DF243" s="65" t="s">
        <v>327</v>
      </c>
      <c r="DK243" s="65" t="s">
        <v>328</v>
      </c>
      <c r="FT243" s="65">
        <v>48.16</v>
      </c>
      <c r="FU243" s="65">
        <v>11.53</v>
      </c>
      <c r="FX243" s="65" t="s">
        <v>303</v>
      </c>
      <c r="GN243" s="294">
        <v>2820.6</v>
      </c>
      <c r="GO243" s="294">
        <v>10</v>
      </c>
      <c r="GP243" s="292" t="s">
        <v>5150</v>
      </c>
      <c r="GQ243" s="65">
        <f>(2964.03-2820.6)*SQRT(4)</f>
        <v>286.86000000000058</v>
      </c>
      <c r="GR243" s="65">
        <f>(2964.03-2820.6)*SQRT(4)</f>
        <v>286.86000000000058</v>
      </c>
      <c r="GS243" s="65" t="s">
        <v>1800</v>
      </c>
      <c r="HS243" s="227"/>
      <c r="HW243" s="227"/>
      <c r="JU243" s="55" t="s">
        <v>328</v>
      </c>
    </row>
    <row r="244" spans="1:283" x14ac:dyDescent="0.25">
      <c r="A244" s="55">
        <v>243</v>
      </c>
      <c r="B244" s="12" t="s">
        <v>7067</v>
      </c>
      <c r="C244" s="155">
        <v>17</v>
      </c>
      <c r="D244" s="55" t="s">
        <v>3749</v>
      </c>
      <c r="E244" s="90" t="s">
        <v>296</v>
      </c>
      <c r="G244" s="55" t="s">
        <v>297</v>
      </c>
      <c r="H244" s="55">
        <v>2016</v>
      </c>
      <c r="I244" s="55">
        <v>2011</v>
      </c>
      <c r="J244" s="55" t="s">
        <v>282</v>
      </c>
      <c r="K244" s="55" t="s">
        <v>298</v>
      </c>
      <c r="L244" s="55" t="s">
        <v>2737</v>
      </c>
      <c r="M244" s="90">
        <f>40+43/60</f>
        <v>40.716666666666669</v>
      </c>
      <c r="N244" s="90">
        <f>-77-55/60</f>
        <v>-77.916666666666671</v>
      </c>
      <c r="O244" s="90">
        <v>350</v>
      </c>
      <c r="S244" s="90">
        <v>975</v>
      </c>
      <c r="U244" s="55">
        <v>1</v>
      </c>
      <c r="V244" s="55" t="s">
        <v>1805</v>
      </c>
      <c r="Y244" s="55" t="s">
        <v>1823</v>
      </c>
      <c r="Z244" s="55" t="s">
        <v>1356</v>
      </c>
      <c r="AA244" s="90" t="s">
        <v>1680</v>
      </c>
      <c r="AH244" s="55" t="s">
        <v>6378</v>
      </c>
      <c r="AM244" s="55" t="s">
        <v>1286</v>
      </c>
      <c r="AN244" s="185" t="s">
        <v>302</v>
      </c>
      <c r="AO244" s="185" t="s">
        <v>5150</v>
      </c>
      <c r="AQ244" s="55" t="s">
        <v>610</v>
      </c>
      <c r="AR244" s="55" t="s">
        <v>132</v>
      </c>
      <c r="AS244" s="55" t="s">
        <v>1584</v>
      </c>
      <c r="AT244" s="181" t="s">
        <v>299</v>
      </c>
      <c r="AU244" s="181" t="s">
        <v>5150</v>
      </c>
      <c r="AV244" s="185" t="s">
        <v>176</v>
      </c>
      <c r="AW244" s="55" t="s">
        <v>299</v>
      </c>
      <c r="AX244" s="185" t="s">
        <v>176</v>
      </c>
      <c r="AY244" s="55" t="s">
        <v>176</v>
      </c>
      <c r="BE244" s="226" t="s">
        <v>300</v>
      </c>
      <c r="BF244" s="55" t="s">
        <v>479</v>
      </c>
      <c r="BG244" s="55" t="s">
        <v>479</v>
      </c>
      <c r="BH244" s="226" t="s">
        <v>300</v>
      </c>
      <c r="BI244" s="55" t="s">
        <v>479</v>
      </c>
      <c r="BJ244" s="55" t="s">
        <v>176</v>
      </c>
      <c r="BK244" s="55" t="s">
        <v>5976</v>
      </c>
      <c r="BM244" s="192" t="s">
        <v>160</v>
      </c>
      <c r="BN244" s="55">
        <v>4</v>
      </c>
      <c r="BO244" s="55">
        <v>4</v>
      </c>
      <c r="BQ244" s="55" t="s">
        <v>141</v>
      </c>
      <c r="GN244" s="294">
        <v>2820.6</v>
      </c>
      <c r="GO244" s="294">
        <v>10</v>
      </c>
      <c r="GP244" s="292" t="s">
        <v>5150</v>
      </c>
      <c r="GQ244" s="65">
        <f>(2964.03-2820.6)*SQRT(4)</f>
        <v>286.86000000000058</v>
      </c>
      <c r="GR244" s="65">
        <f>(2964.03-2820.6)*SQRT(4)</f>
        <v>286.86000000000058</v>
      </c>
      <c r="GS244" s="65" t="s">
        <v>1800</v>
      </c>
      <c r="HS244" s="227"/>
      <c r="HW244" s="227"/>
      <c r="JU244" s="55" t="s">
        <v>328</v>
      </c>
    </row>
    <row r="245" spans="1:283" x14ac:dyDescent="0.25">
      <c r="A245" s="55">
        <v>244</v>
      </c>
      <c r="B245" s="12" t="s">
        <v>7067</v>
      </c>
      <c r="C245" s="155">
        <v>17</v>
      </c>
      <c r="D245" s="55" t="s">
        <v>3746</v>
      </c>
      <c r="E245" s="90" t="s">
        <v>296</v>
      </c>
      <c r="G245" s="55" t="s">
        <v>297</v>
      </c>
      <c r="H245" s="55">
        <v>2016</v>
      </c>
      <c r="I245" s="55">
        <v>2012</v>
      </c>
      <c r="J245" s="55" t="s">
        <v>282</v>
      </c>
      <c r="K245" s="55" t="s">
        <v>298</v>
      </c>
      <c r="L245" s="55" t="s">
        <v>2737</v>
      </c>
      <c r="M245" s="90">
        <f>40+43/60</f>
        <v>40.716666666666669</v>
      </c>
      <c r="N245" s="90">
        <f>-77-55/60</f>
        <v>-77.916666666666671</v>
      </c>
      <c r="O245" s="90">
        <v>350</v>
      </c>
      <c r="S245" s="90">
        <v>975</v>
      </c>
      <c r="U245" s="55">
        <v>2</v>
      </c>
      <c r="V245" s="55" t="s">
        <v>1805</v>
      </c>
      <c r="Y245" s="55" t="s">
        <v>1823</v>
      </c>
      <c r="Z245" s="55" t="s">
        <v>1356</v>
      </c>
      <c r="AA245" s="90" t="s">
        <v>1680</v>
      </c>
      <c r="AH245" s="55" t="s">
        <v>6378</v>
      </c>
      <c r="AM245" s="55" t="s">
        <v>1286</v>
      </c>
      <c r="AN245" s="185" t="s">
        <v>1494</v>
      </c>
      <c r="AO245" s="185" t="s">
        <v>5150</v>
      </c>
      <c r="AQ245" s="55" t="s">
        <v>553</v>
      </c>
      <c r="AR245" s="55" t="s">
        <v>132</v>
      </c>
      <c r="AS245" s="55" t="s">
        <v>1584</v>
      </c>
      <c r="AT245" s="181" t="s">
        <v>299</v>
      </c>
      <c r="AU245" s="181" t="s">
        <v>5150</v>
      </c>
      <c r="AV245" s="185" t="s">
        <v>176</v>
      </c>
      <c r="AW245" s="55" t="s">
        <v>299</v>
      </c>
      <c r="AX245" s="185" t="s">
        <v>176</v>
      </c>
      <c r="AY245" s="55" t="s">
        <v>176</v>
      </c>
      <c r="BE245" s="226" t="s">
        <v>300</v>
      </c>
      <c r="BF245" s="55" t="s">
        <v>479</v>
      </c>
      <c r="BG245" s="55" t="s">
        <v>479</v>
      </c>
      <c r="BH245" s="226" t="s">
        <v>300</v>
      </c>
      <c r="BI245" s="55" t="s">
        <v>479</v>
      </c>
      <c r="BJ245" s="55" t="s">
        <v>176</v>
      </c>
      <c r="BK245" s="55" t="s">
        <v>5976</v>
      </c>
      <c r="BM245" s="192" t="s">
        <v>160</v>
      </c>
      <c r="BN245" s="55">
        <v>4</v>
      </c>
      <c r="BO245" s="55">
        <v>4</v>
      </c>
      <c r="BQ245" s="55" t="s">
        <v>141</v>
      </c>
      <c r="BS245" s="55">
        <v>666</v>
      </c>
      <c r="BT245" s="55">
        <v>11.7</v>
      </c>
      <c r="CB245" s="66">
        <v>8826</v>
      </c>
      <c r="CC245" s="66">
        <v>7570</v>
      </c>
      <c r="DB245" s="65">
        <f>15.23*0.614</f>
        <v>9.3512199999999996</v>
      </c>
      <c r="DC245" s="65">
        <v>8.5399999999999991</v>
      </c>
      <c r="DF245" s="65" t="s">
        <v>327</v>
      </c>
      <c r="DK245" s="65" t="s">
        <v>328</v>
      </c>
      <c r="FT245" s="65">
        <v>115.77</v>
      </c>
      <c r="FU245" s="65">
        <v>42.8294</v>
      </c>
      <c r="FX245" s="65" t="s">
        <v>303</v>
      </c>
      <c r="GN245" s="294">
        <v>190.68</v>
      </c>
      <c r="GO245" s="294">
        <v>295.35000000000002</v>
      </c>
      <c r="GP245" s="292" t="s">
        <v>5150</v>
      </c>
      <c r="GQ245" s="65">
        <f>(267.2-GL245)*2</f>
        <v>534.4</v>
      </c>
      <c r="GR245" s="65">
        <f>(267.2-GM245)*2</f>
        <v>534.4</v>
      </c>
      <c r="GS245" s="65" t="s">
        <v>1800</v>
      </c>
      <c r="HS245" s="227"/>
      <c r="HW245" s="227"/>
      <c r="JU245" s="55" t="s">
        <v>328</v>
      </c>
    </row>
    <row r="246" spans="1:283" x14ac:dyDescent="0.25">
      <c r="A246" s="55">
        <v>245</v>
      </c>
      <c r="B246" s="12" t="s">
        <v>7067</v>
      </c>
      <c r="C246" s="155">
        <v>17</v>
      </c>
      <c r="D246" s="55" t="s">
        <v>3746</v>
      </c>
      <c r="E246" s="90" t="s">
        <v>296</v>
      </c>
      <c r="G246" s="55" t="s">
        <v>297</v>
      </c>
      <c r="H246" s="55">
        <v>2016</v>
      </c>
      <c r="I246" s="55">
        <v>2012</v>
      </c>
      <c r="J246" s="55" t="s">
        <v>282</v>
      </c>
      <c r="K246" s="55" t="s">
        <v>298</v>
      </c>
      <c r="L246" s="55" t="s">
        <v>2737</v>
      </c>
      <c r="M246" s="90">
        <f>40+43/60</f>
        <v>40.716666666666669</v>
      </c>
      <c r="N246" s="90">
        <f>-77-55/60</f>
        <v>-77.916666666666671</v>
      </c>
      <c r="O246" s="90">
        <v>350</v>
      </c>
      <c r="S246" s="90">
        <v>975</v>
      </c>
      <c r="U246" s="55">
        <v>2</v>
      </c>
      <c r="V246" s="55" t="s">
        <v>1805</v>
      </c>
      <c r="Y246" s="55" t="s">
        <v>1823</v>
      </c>
      <c r="Z246" s="55" t="s">
        <v>1356</v>
      </c>
      <c r="AA246" s="90" t="s">
        <v>1680</v>
      </c>
      <c r="AH246" s="55" t="s">
        <v>6378</v>
      </c>
      <c r="AM246" s="55" t="s">
        <v>1286</v>
      </c>
      <c r="AN246" s="185" t="s">
        <v>1119</v>
      </c>
      <c r="AO246" s="185" t="s">
        <v>5150</v>
      </c>
      <c r="AQ246" s="55" t="s">
        <v>553</v>
      </c>
      <c r="AR246" s="55" t="s">
        <v>132</v>
      </c>
      <c r="AS246" s="55" t="s">
        <v>1584</v>
      </c>
      <c r="AT246" s="181" t="s">
        <v>299</v>
      </c>
      <c r="AU246" s="181" t="s">
        <v>5150</v>
      </c>
      <c r="AV246" s="185" t="s">
        <v>176</v>
      </c>
      <c r="AW246" s="55" t="s">
        <v>299</v>
      </c>
      <c r="AX246" s="185" t="s">
        <v>176</v>
      </c>
      <c r="AY246" s="55" t="s">
        <v>176</v>
      </c>
      <c r="BE246" s="226" t="s">
        <v>300</v>
      </c>
      <c r="BF246" s="55" t="s">
        <v>479</v>
      </c>
      <c r="BG246" s="55" t="s">
        <v>479</v>
      </c>
      <c r="BH246" s="226" t="s">
        <v>300</v>
      </c>
      <c r="BI246" s="55" t="s">
        <v>479</v>
      </c>
      <c r="BJ246" s="55" t="s">
        <v>176</v>
      </c>
      <c r="BK246" s="55" t="s">
        <v>5976</v>
      </c>
      <c r="BM246" s="192" t="s">
        <v>160</v>
      </c>
      <c r="BN246" s="55">
        <v>4</v>
      </c>
      <c r="BO246" s="55">
        <v>4</v>
      </c>
      <c r="BQ246" s="55" t="s">
        <v>141</v>
      </c>
      <c r="BS246" s="55">
        <v>2086</v>
      </c>
      <c r="BT246" s="55">
        <v>11.2</v>
      </c>
      <c r="CB246" s="66">
        <v>8826</v>
      </c>
      <c r="CC246" s="66">
        <v>8165</v>
      </c>
      <c r="DB246" s="65">
        <f>15.23*0.614</f>
        <v>9.3512199999999996</v>
      </c>
      <c r="DC246" s="65">
        <v>7.31</v>
      </c>
      <c r="DF246" s="65" t="s">
        <v>327</v>
      </c>
      <c r="DK246" s="65" t="s">
        <v>328</v>
      </c>
      <c r="FT246" s="65">
        <v>115.77</v>
      </c>
      <c r="FU246" s="65">
        <v>115.73</v>
      </c>
      <c r="FX246" s="65" t="s">
        <v>303</v>
      </c>
      <c r="GN246" s="294">
        <v>190.68</v>
      </c>
      <c r="GO246" s="294">
        <v>256.60000000000002</v>
      </c>
      <c r="GP246" s="292" t="s">
        <v>5150</v>
      </c>
      <c r="GQ246" s="65">
        <f>(267.2-GL246)*2</f>
        <v>534.4</v>
      </c>
      <c r="GR246" s="65">
        <f>(267.2-GM246)*2</f>
        <v>534.4</v>
      </c>
      <c r="GS246" s="65" t="s">
        <v>1800</v>
      </c>
      <c r="HS246" s="227"/>
      <c r="HW246" s="227"/>
      <c r="JU246" s="55" t="s">
        <v>328</v>
      </c>
    </row>
    <row r="247" spans="1:283" x14ac:dyDescent="0.25">
      <c r="A247" s="55">
        <v>246</v>
      </c>
      <c r="B247" s="12" t="s">
        <v>7067</v>
      </c>
      <c r="C247" s="155">
        <v>17</v>
      </c>
      <c r="D247" s="55" t="s">
        <v>3746</v>
      </c>
      <c r="E247" s="90" t="s">
        <v>296</v>
      </c>
      <c r="G247" s="55" t="s">
        <v>297</v>
      </c>
      <c r="H247" s="55">
        <v>2016</v>
      </c>
      <c r="I247" s="55">
        <v>2012</v>
      </c>
      <c r="J247" s="55" t="s">
        <v>282</v>
      </c>
      <c r="K247" s="55" t="s">
        <v>298</v>
      </c>
      <c r="L247" s="55" t="s">
        <v>2737</v>
      </c>
      <c r="M247" s="90">
        <f>40+43/60</f>
        <v>40.716666666666669</v>
      </c>
      <c r="N247" s="90">
        <f>-77-55/60</f>
        <v>-77.916666666666671</v>
      </c>
      <c r="O247" s="90">
        <v>350</v>
      </c>
      <c r="S247" s="90">
        <v>975</v>
      </c>
      <c r="U247" s="55">
        <v>2</v>
      </c>
      <c r="V247" s="55" t="s">
        <v>1805</v>
      </c>
      <c r="Y247" s="55" t="s">
        <v>1823</v>
      </c>
      <c r="Z247" s="55" t="s">
        <v>1356</v>
      </c>
      <c r="AA247" s="90" t="s">
        <v>1680</v>
      </c>
      <c r="AH247" s="55" t="s">
        <v>6378</v>
      </c>
      <c r="AM247" s="55" t="s">
        <v>1286</v>
      </c>
      <c r="AN247" s="185" t="s">
        <v>1495</v>
      </c>
      <c r="AO247" s="185" t="s">
        <v>5150</v>
      </c>
      <c r="AQ247" s="55" t="s">
        <v>553</v>
      </c>
      <c r="AR247" s="55" t="s">
        <v>132</v>
      </c>
      <c r="AS247" s="55" t="s">
        <v>1584</v>
      </c>
      <c r="AT247" s="181" t="s">
        <v>299</v>
      </c>
      <c r="AU247" s="181" t="s">
        <v>5150</v>
      </c>
      <c r="AV247" s="185" t="s">
        <v>176</v>
      </c>
      <c r="AW247" s="55" t="s">
        <v>299</v>
      </c>
      <c r="AX247" s="185" t="s">
        <v>176</v>
      </c>
      <c r="AY247" s="55" t="s">
        <v>176</v>
      </c>
      <c r="BE247" s="226" t="s">
        <v>300</v>
      </c>
      <c r="BF247" s="55" t="s">
        <v>479</v>
      </c>
      <c r="BG247" s="55" t="s">
        <v>479</v>
      </c>
      <c r="BH247" s="226" t="s">
        <v>300</v>
      </c>
      <c r="BI247" s="55" t="s">
        <v>479</v>
      </c>
      <c r="BJ247" s="55" t="s">
        <v>176</v>
      </c>
      <c r="BK247" s="55" t="s">
        <v>5976</v>
      </c>
      <c r="BM247" s="192" t="s">
        <v>160</v>
      </c>
      <c r="BN247" s="55">
        <v>4</v>
      </c>
      <c r="BO247" s="55">
        <v>4</v>
      </c>
      <c r="BQ247" s="55" t="s">
        <v>141</v>
      </c>
      <c r="BS247" s="55">
        <v>4055</v>
      </c>
      <c r="BT247" s="55">
        <v>14.5</v>
      </c>
      <c r="CB247" s="66">
        <v>8826</v>
      </c>
      <c r="CC247" s="66">
        <v>10248</v>
      </c>
      <c r="DB247" s="65">
        <f>15.23*0.614</f>
        <v>9.3512199999999996</v>
      </c>
      <c r="DC247" s="65">
        <v>9.85</v>
      </c>
      <c r="DF247" s="65" t="s">
        <v>327</v>
      </c>
      <c r="DK247" s="65" t="s">
        <v>328</v>
      </c>
      <c r="FT247" s="65">
        <v>115.77</v>
      </c>
      <c r="FU247" s="65">
        <v>88.74</v>
      </c>
      <c r="FX247" s="65" t="s">
        <v>303</v>
      </c>
      <c r="GN247" s="294">
        <v>190.68</v>
      </c>
      <c r="GO247" s="294">
        <v>198.69</v>
      </c>
      <c r="GP247" s="292" t="s">
        <v>5150</v>
      </c>
      <c r="GQ247" s="65">
        <f>(267.2-GL247)*2</f>
        <v>534.4</v>
      </c>
      <c r="GR247" s="65">
        <f>(267.2-GM247)*2</f>
        <v>534.4</v>
      </c>
      <c r="GS247" s="65" t="s">
        <v>1800</v>
      </c>
      <c r="HS247" s="227"/>
      <c r="HW247" s="227"/>
      <c r="JU247" s="55" t="s">
        <v>328</v>
      </c>
    </row>
    <row r="248" spans="1:283" x14ac:dyDescent="0.25">
      <c r="A248" s="55">
        <v>247</v>
      </c>
      <c r="B248" s="12" t="s">
        <v>7067</v>
      </c>
      <c r="C248" s="155">
        <v>17</v>
      </c>
      <c r="D248" s="55" t="s">
        <v>3746</v>
      </c>
      <c r="E248" s="90" t="s">
        <v>296</v>
      </c>
      <c r="G248" s="55" t="s">
        <v>297</v>
      </c>
      <c r="H248" s="55">
        <v>2016</v>
      </c>
      <c r="I248" s="55">
        <v>2012</v>
      </c>
      <c r="J248" s="55" t="s">
        <v>282</v>
      </c>
      <c r="K248" s="55" t="s">
        <v>298</v>
      </c>
      <c r="L248" s="55" t="s">
        <v>2737</v>
      </c>
      <c r="M248" s="90">
        <f>40+43/60</f>
        <v>40.716666666666669</v>
      </c>
      <c r="N248" s="90">
        <f>-77-55/60</f>
        <v>-77.916666666666671</v>
      </c>
      <c r="O248" s="90">
        <v>350</v>
      </c>
      <c r="S248" s="90">
        <v>975</v>
      </c>
      <c r="U248" s="55">
        <v>2</v>
      </c>
      <c r="V248" s="55" t="s">
        <v>1805</v>
      </c>
      <c r="Y248" s="55" t="s">
        <v>1823</v>
      </c>
      <c r="Z248" s="55" t="s">
        <v>1356</v>
      </c>
      <c r="AA248" s="90" t="s">
        <v>1680</v>
      </c>
      <c r="AH248" s="55" t="s">
        <v>6378</v>
      </c>
      <c r="AM248" s="55" t="s">
        <v>1286</v>
      </c>
      <c r="AN248" s="185" t="s">
        <v>241</v>
      </c>
      <c r="AO248" s="185" t="s">
        <v>5150</v>
      </c>
      <c r="AQ248" s="55" t="s">
        <v>553</v>
      </c>
      <c r="AR248" s="55" t="s">
        <v>132</v>
      </c>
      <c r="AS248" s="55" t="s">
        <v>1584</v>
      </c>
      <c r="AT248" s="181" t="s">
        <v>299</v>
      </c>
      <c r="AU248" s="181" t="s">
        <v>5150</v>
      </c>
      <c r="AV248" s="185" t="s">
        <v>176</v>
      </c>
      <c r="AW248" s="55" t="s">
        <v>299</v>
      </c>
      <c r="AX248" s="185" t="s">
        <v>176</v>
      </c>
      <c r="AY248" s="55" t="s">
        <v>176</v>
      </c>
      <c r="BE248" s="226" t="s">
        <v>300</v>
      </c>
      <c r="BF248" s="55" t="s">
        <v>479</v>
      </c>
      <c r="BG248" s="55" t="s">
        <v>479</v>
      </c>
      <c r="BH248" s="226" t="s">
        <v>300</v>
      </c>
      <c r="BI248" s="55" t="s">
        <v>479</v>
      </c>
      <c r="BJ248" s="55" t="s">
        <v>176</v>
      </c>
      <c r="BK248" s="55" t="s">
        <v>5976</v>
      </c>
      <c r="BM248" s="192" t="s">
        <v>160</v>
      </c>
      <c r="BN248" s="55">
        <v>4</v>
      </c>
      <c r="BO248" s="55">
        <v>4</v>
      </c>
      <c r="BQ248" s="55" t="s">
        <v>141</v>
      </c>
      <c r="BS248" s="55">
        <v>4038</v>
      </c>
      <c r="BT248" s="55">
        <v>9.9</v>
      </c>
      <c r="CB248" s="66">
        <v>8826</v>
      </c>
      <c r="CC248" s="66">
        <v>10843</v>
      </c>
      <c r="DB248" s="65">
        <f>15.23*0.614</f>
        <v>9.3512199999999996</v>
      </c>
      <c r="DC248" s="65">
        <v>25.21</v>
      </c>
      <c r="DF248" s="65" t="s">
        <v>327</v>
      </c>
      <c r="DK248" s="65" t="s">
        <v>328</v>
      </c>
      <c r="FT248" s="65">
        <v>115.77</v>
      </c>
      <c r="FU248" s="65">
        <v>49.82</v>
      </c>
      <c r="FX248" s="65" t="s">
        <v>303</v>
      </c>
      <c r="GN248" s="294">
        <v>190.68</v>
      </c>
      <c r="GO248" s="294">
        <v>54.77</v>
      </c>
      <c r="GP248" s="292" t="s">
        <v>5150</v>
      </c>
      <c r="GQ248" s="65">
        <f>(267.2-GL248)*2</f>
        <v>534.4</v>
      </c>
      <c r="GR248" s="65">
        <f>(267.2-GM248)*2</f>
        <v>534.4</v>
      </c>
      <c r="GS248" s="65" t="s">
        <v>1800</v>
      </c>
      <c r="HS248" s="227"/>
      <c r="HW248" s="227"/>
      <c r="JU248" s="55" t="s">
        <v>328</v>
      </c>
    </row>
    <row r="249" spans="1:283" x14ac:dyDescent="0.25">
      <c r="A249" s="55">
        <v>248</v>
      </c>
      <c r="B249" s="12" t="s">
        <v>7067</v>
      </c>
      <c r="C249" s="155">
        <v>17</v>
      </c>
      <c r="D249" s="55" t="s">
        <v>3747</v>
      </c>
      <c r="E249" s="90" t="s">
        <v>296</v>
      </c>
      <c r="G249" s="55" t="s">
        <v>297</v>
      </c>
      <c r="H249" s="55">
        <v>2016</v>
      </c>
      <c r="I249" s="55">
        <v>2012</v>
      </c>
      <c r="J249" s="55" t="s">
        <v>282</v>
      </c>
      <c r="K249" s="55" t="s">
        <v>298</v>
      </c>
      <c r="L249" s="55" t="s">
        <v>2737</v>
      </c>
      <c r="M249" s="90">
        <f>40+43/60</f>
        <v>40.716666666666669</v>
      </c>
      <c r="N249" s="90">
        <f>-77-55/60</f>
        <v>-77.916666666666671</v>
      </c>
      <c r="O249" s="90">
        <v>350</v>
      </c>
      <c r="S249" s="90">
        <v>975</v>
      </c>
      <c r="U249" s="55">
        <v>2</v>
      </c>
      <c r="V249" s="55" t="s">
        <v>1805</v>
      </c>
      <c r="Y249" s="55" t="s">
        <v>1823</v>
      </c>
      <c r="Z249" s="55" t="s">
        <v>1356</v>
      </c>
      <c r="AA249" s="90" t="s">
        <v>1680</v>
      </c>
      <c r="AH249" s="55" t="s">
        <v>6378</v>
      </c>
      <c r="AM249" s="55" t="s">
        <v>1286</v>
      </c>
      <c r="AN249" s="185" t="s">
        <v>1541</v>
      </c>
      <c r="AO249" s="185" t="s">
        <v>5150</v>
      </c>
      <c r="AQ249" s="55" t="s">
        <v>1097</v>
      </c>
      <c r="AR249" s="55" t="s">
        <v>132</v>
      </c>
      <c r="AS249" s="55" t="s">
        <v>1584</v>
      </c>
      <c r="AT249" s="181" t="s">
        <v>299</v>
      </c>
      <c r="AU249" s="181" t="s">
        <v>5150</v>
      </c>
      <c r="AV249" s="185" t="s">
        <v>176</v>
      </c>
      <c r="AW249" s="55" t="s">
        <v>299</v>
      </c>
      <c r="AX249" s="185" t="s">
        <v>176</v>
      </c>
      <c r="AY249" s="55" t="s">
        <v>176</v>
      </c>
      <c r="BE249" s="226" t="s">
        <v>300</v>
      </c>
      <c r="BF249" s="55" t="s">
        <v>479</v>
      </c>
      <c r="BG249" s="55" t="s">
        <v>479</v>
      </c>
      <c r="BH249" s="226" t="s">
        <v>300</v>
      </c>
      <c r="BI249" s="55" t="s">
        <v>479</v>
      </c>
      <c r="BJ249" s="55" t="s">
        <v>176</v>
      </c>
      <c r="BK249" s="55" t="s">
        <v>5976</v>
      </c>
      <c r="BM249" s="192" t="s">
        <v>160</v>
      </c>
      <c r="BN249" s="55">
        <v>4</v>
      </c>
      <c r="BO249" s="55">
        <v>4</v>
      </c>
      <c r="BQ249" s="55" t="s">
        <v>141</v>
      </c>
      <c r="BS249" s="55">
        <v>3122</v>
      </c>
      <c r="BT249" s="55">
        <v>15.1</v>
      </c>
      <c r="CB249" s="66">
        <v>8826</v>
      </c>
      <c r="CC249" s="66">
        <v>8793</v>
      </c>
      <c r="DB249" s="65">
        <f>15.23*0.614</f>
        <v>9.3512199999999996</v>
      </c>
      <c r="DC249" s="65">
        <v>6.79</v>
      </c>
      <c r="DF249" s="65" t="s">
        <v>327</v>
      </c>
      <c r="DK249" s="65" t="s">
        <v>328</v>
      </c>
      <c r="FT249" s="65">
        <v>115.77</v>
      </c>
      <c r="FU249" s="65">
        <v>45.38</v>
      </c>
      <c r="FX249" s="65" t="s">
        <v>303</v>
      </c>
      <c r="GN249" s="294">
        <v>190.68</v>
      </c>
      <c r="GO249" s="294">
        <v>25.553000000000001</v>
      </c>
      <c r="GP249" s="292" t="s">
        <v>5150</v>
      </c>
      <c r="GQ249" s="65">
        <f>(267.2-GL249)*2</f>
        <v>534.4</v>
      </c>
      <c r="GR249" s="65">
        <f>(267.2-GM249)*2</f>
        <v>534.4</v>
      </c>
      <c r="GS249" s="65" t="s">
        <v>1800</v>
      </c>
      <c r="HS249" s="227"/>
      <c r="HW249" s="227"/>
      <c r="JU249" s="55" t="s">
        <v>328</v>
      </c>
    </row>
    <row r="250" spans="1:283" x14ac:dyDescent="0.25">
      <c r="A250" s="55">
        <v>249</v>
      </c>
      <c r="B250" s="12" t="s">
        <v>7067</v>
      </c>
      <c r="C250" s="155">
        <v>17</v>
      </c>
      <c r="D250" s="55" t="s">
        <v>3748</v>
      </c>
      <c r="E250" s="90" t="s">
        <v>296</v>
      </c>
      <c r="G250" s="55" t="s">
        <v>297</v>
      </c>
      <c r="H250" s="55">
        <v>2016</v>
      </c>
      <c r="I250" s="55">
        <v>2012</v>
      </c>
      <c r="J250" s="55" t="s">
        <v>282</v>
      </c>
      <c r="K250" s="55" t="s">
        <v>298</v>
      </c>
      <c r="L250" s="55" t="s">
        <v>2737</v>
      </c>
      <c r="M250" s="90">
        <f>40+43/60</f>
        <v>40.716666666666669</v>
      </c>
      <c r="N250" s="90">
        <f>-77-55/60</f>
        <v>-77.916666666666671</v>
      </c>
      <c r="O250" s="90">
        <v>350</v>
      </c>
      <c r="S250" s="90">
        <v>975</v>
      </c>
      <c r="U250" s="55">
        <v>2</v>
      </c>
      <c r="V250" s="55" t="s">
        <v>1805</v>
      </c>
      <c r="Y250" s="55" t="s">
        <v>1823</v>
      </c>
      <c r="Z250" s="55" t="s">
        <v>1356</v>
      </c>
      <c r="AA250" s="90" t="s">
        <v>1680</v>
      </c>
      <c r="AH250" s="55" t="s">
        <v>6378</v>
      </c>
      <c r="AM250" s="55" t="s">
        <v>1286</v>
      </c>
      <c r="AN250" s="185" t="s">
        <v>496</v>
      </c>
      <c r="AO250" s="185" t="s">
        <v>5150</v>
      </c>
      <c r="AQ250" s="55" t="s">
        <v>1545</v>
      </c>
      <c r="AR250" s="55" t="s">
        <v>132</v>
      </c>
      <c r="AS250" s="55" t="s">
        <v>1584</v>
      </c>
      <c r="AT250" s="181" t="s">
        <v>299</v>
      </c>
      <c r="AU250" s="181" t="s">
        <v>5150</v>
      </c>
      <c r="AV250" s="185" t="s">
        <v>176</v>
      </c>
      <c r="AW250" s="55" t="s">
        <v>299</v>
      </c>
      <c r="AX250" s="185" t="s">
        <v>176</v>
      </c>
      <c r="AY250" s="55" t="s">
        <v>176</v>
      </c>
      <c r="BE250" s="226" t="s">
        <v>300</v>
      </c>
      <c r="BF250" s="55" t="s">
        <v>479</v>
      </c>
      <c r="BG250" s="55" t="s">
        <v>479</v>
      </c>
      <c r="BH250" s="226" t="s">
        <v>300</v>
      </c>
      <c r="BI250" s="55" t="s">
        <v>479</v>
      </c>
      <c r="BJ250" s="55" t="s">
        <v>176</v>
      </c>
      <c r="BK250" s="55" t="s">
        <v>5976</v>
      </c>
      <c r="BM250" s="192" t="s">
        <v>160</v>
      </c>
      <c r="BN250" s="55">
        <v>4</v>
      </c>
      <c r="BO250" s="55">
        <v>4</v>
      </c>
      <c r="BQ250" s="55" t="s">
        <v>141</v>
      </c>
      <c r="BS250" s="55">
        <v>2847</v>
      </c>
      <c r="BT250" s="55">
        <v>23</v>
      </c>
      <c r="CB250" s="66">
        <v>8826</v>
      </c>
      <c r="CC250" s="66">
        <v>7934</v>
      </c>
      <c r="DB250" s="65">
        <f>15.23*0.614</f>
        <v>9.3512199999999996</v>
      </c>
      <c r="DC250" s="65">
        <v>8.1</v>
      </c>
      <c r="DF250" s="65" t="s">
        <v>327</v>
      </c>
      <c r="DK250" s="65" t="s">
        <v>328</v>
      </c>
      <c r="FT250" s="65">
        <v>115.77</v>
      </c>
      <c r="FU250" s="65">
        <v>29</v>
      </c>
      <c r="FX250" s="65" t="s">
        <v>303</v>
      </c>
      <c r="GN250" s="294">
        <v>190.68</v>
      </c>
      <c r="GO250" s="294">
        <v>82.42</v>
      </c>
      <c r="GP250" s="292" t="s">
        <v>5150</v>
      </c>
      <c r="GQ250" s="65">
        <f>(267.2-GL250)*2</f>
        <v>534.4</v>
      </c>
      <c r="GR250" s="65">
        <f>(267.2-GM250)*2</f>
        <v>534.4</v>
      </c>
      <c r="GS250" s="65" t="s">
        <v>1800</v>
      </c>
      <c r="HS250" s="227"/>
      <c r="HW250" s="227"/>
      <c r="JU250" s="55" t="s">
        <v>328</v>
      </c>
    </row>
    <row r="251" spans="1:283" x14ac:dyDescent="0.25">
      <c r="A251" s="55">
        <v>250</v>
      </c>
      <c r="B251" s="12" t="s">
        <v>7067</v>
      </c>
      <c r="C251" s="155">
        <v>17</v>
      </c>
      <c r="D251" s="55" t="s">
        <v>3747</v>
      </c>
      <c r="E251" s="90" t="s">
        <v>296</v>
      </c>
      <c r="G251" s="55" t="s">
        <v>297</v>
      </c>
      <c r="H251" s="55">
        <v>2016</v>
      </c>
      <c r="I251" s="55">
        <v>2012</v>
      </c>
      <c r="J251" s="55" t="s">
        <v>282</v>
      </c>
      <c r="K251" s="55" t="s">
        <v>298</v>
      </c>
      <c r="L251" s="55" t="s">
        <v>2737</v>
      </c>
      <c r="M251" s="90">
        <f>40+43/60</f>
        <v>40.716666666666669</v>
      </c>
      <c r="N251" s="90">
        <f>-77-55/60</f>
        <v>-77.916666666666671</v>
      </c>
      <c r="O251" s="90">
        <v>350</v>
      </c>
      <c r="S251" s="90">
        <v>975</v>
      </c>
      <c r="U251" s="55">
        <v>2</v>
      </c>
      <c r="V251" s="55" t="s">
        <v>1805</v>
      </c>
      <c r="Y251" s="55" t="s">
        <v>1823</v>
      </c>
      <c r="Z251" s="55" t="s">
        <v>1356</v>
      </c>
      <c r="AA251" s="90" t="s">
        <v>1680</v>
      </c>
      <c r="AH251" s="55" t="s">
        <v>6378</v>
      </c>
      <c r="AM251" s="55" t="s">
        <v>1286</v>
      </c>
      <c r="AN251" s="185" t="s">
        <v>499</v>
      </c>
      <c r="AO251" s="185" t="s">
        <v>5150</v>
      </c>
      <c r="AQ251" s="55" t="s">
        <v>1097</v>
      </c>
      <c r="AR251" s="55" t="s">
        <v>132</v>
      </c>
      <c r="AS251" s="55" t="s">
        <v>1584</v>
      </c>
      <c r="AT251" s="181" t="s">
        <v>299</v>
      </c>
      <c r="AU251" s="181" t="s">
        <v>5150</v>
      </c>
      <c r="AV251" s="185" t="s">
        <v>176</v>
      </c>
      <c r="AW251" s="55" t="s">
        <v>299</v>
      </c>
      <c r="AX251" s="185" t="s">
        <v>176</v>
      </c>
      <c r="AY251" s="55" t="s">
        <v>176</v>
      </c>
      <c r="BE251" s="226" t="s">
        <v>300</v>
      </c>
      <c r="BF251" s="55" t="s">
        <v>479</v>
      </c>
      <c r="BG251" s="55" t="s">
        <v>479</v>
      </c>
      <c r="BH251" s="226" t="s">
        <v>300</v>
      </c>
      <c r="BI251" s="55" t="s">
        <v>479</v>
      </c>
      <c r="BJ251" s="55" t="s">
        <v>176</v>
      </c>
      <c r="BK251" s="55" t="s">
        <v>5976</v>
      </c>
      <c r="BM251" s="192" t="s">
        <v>160</v>
      </c>
      <c r="BN251" s="55">
        <v>4</v>
      </c>
      <c r="BO251" s="55">
        <v>4</v>
      </c>
      <c r="BQ251" s="55" t="s">
        <v>141</v>
      </c>
      <c r="BS251" s="55">
        <v>7842</v>
      </c>
      <c r="BT251" s="55">
        <v>24</v>
      </c>
      <c r="CB251" s="66">
        <v>8826</v>
      </c>
      <c r="CC251" s="66">
        <v>7074</v>
      </c>
      <c r="DB251" s="65">
        <f>15.23*0.614</f>
        <v>9.3512199999999996</v>
      </c>
      <c r="DC251" s="65">
        <v>7.89</v>
      </c>
      <c r="DF251" s="65" t="s">
        <v>327</v>
      </c>
      <c r="DK251" s="65" t="s">
        <v>328</v>
      </c>
      <c r="FT251" s="65">
        <v>115.77</v>
      </c>
      <c r="FU251" s="65">
        <v>15.72</v>
      </c>
      <c r="FX251" s="65" t="s">
        <v>303</v>
      </c>
      <c r="GN251" s="294">
        <v>190.68</v>
      </c>
      <c r="GO251" s="294">
        <v>24.5</v>
      </c>
      <c r="GP251" s="292" t="s">
        <v>5150</v>
      </c>
      <c r="GQ251" s="65">
        <f>(267.2-GL251)*2</f>
        <v>534.4</v>
      </c>
      <c r="GR251" s="65">
        <f>(267.2-GM251)*2</f>
        <v>534.4</v>
      </c>
      <c r="GS251" s="65" t="s">
        <v>1800</v>
      </c>
      <c r="HS251" s="227"/>
      <c r="HW251" s="227"/>
      <c r="JU251" s="55" t="s">
        <v>328</v>
      </c>
    </row>
    <row r="252" spans="1:283" x14ac:dyDescent="0.25">
      <c r="A252" s="55">
        <v>251</v>
      </c>
      <c r="B252" s="12" t="s">
        <v>7067</v>
      </c>
      <c r="C252" s="155">
        <v>17</v>
      </c>
      <c r="D252" s="55" t="s">
        <v>3748</v>
      </c>
      <c r="E252" s="90" t="s">
        <v>296</v>
      </c>
      <c r="G252" s="55" t="s">
        <v>297</v>
      </c>
      <c r="H252" s="55">
        <v>2016</v>
      </c>
      <c r="I252" s="55">
        <v>2012</v>
      </c>
      <c r="J252" s="55" t="s">
        <v>282</v>
      </c>
      <c r="K252" s="55" t="s">
        <v>298</v>
      </c>
      <c r="L252" s="55" t="s">
        <v>2737</v>
      </c>
      <c r="M252" s="90">
        <f>40+43/60</f>
        <v>40.716666666666669</v>
      </c>
      <c r="N252" s="90">
        <f>-77-55/60</f>
        <v>-77.916666666666671</v>
      </c>
      <c r="O252" s="90">
        <v>350</v>
      </c>
      <c r="S252" s="90">
        <v>975</v>
      </c>
      <c r="U252" s="55">
        <v>2</v>
      </c>
      <c r="V252" s="55" t="s">
        <v>1805</v>
      </c>
      <c r="Y252" s="55" t="s">
        <v>1823</v>
      </c>
      <c r="Z252" s="55" t="s">
        <v>1356</v>
      </c>
      <c r="AA252" s="90" t="s">
        <v>1680</v>
      </c>
      <c r="AH252" s="55" t="s">
        <v>6378</v>
      </c>
      <c r="AM252" s="55" t="s">
        <v>1286</v>
      </c>
      <c r="AN252" s="185" t="s">
        <v>131</v>
      </c>
      <c r="AO252" s="185" t="s">
        <v>5150</v>
      </c>
      <c r="AQ252" s="55" t="s">
        <v>131</v>
      </c>
      <c r="AR252" s="55" t="s">
        <v>132</v>
      </c>
      <c r="AS252" s="55" t="s">
        <v>1584</v>
      </c>
      <c r="AT252" s="181" t="s">
        <v>299</v>
      </c>
      <c r="AU252" s="181" t="s">
        <v>5150</v>
      </c>
      <c r="AV252" s="185" t="s">
        <v>176</v>
      </c>
      <c r="AW252" s="55" t="s">
        <v>299</v>
      </c>
      <c r="AX252" s="185" t="s">
        <v>176</v>
      </c>
      <c r="AY252" s="55" t="s">
        <v>176</v>
      </c>
      <c r="BE252" s="226" t="s">
        <v>300</v>
      </c>
      <c r="BF252" s="55" t="s">
        <v>479</v>
      </c>
      <c r="BG252" s="55" t="s">
        <v>479</v>
      </c>
      <c r="BH252" s="226" t="s">
        <v>300</v>
      </c>
      <c r="BI252" s="55" t="s">
        <v>479</v>
      </c>
      <c r="BJ252" s="55" t="s">
        <v>176</v>
      </c>
      <c r="BK252" s="55" t="s">
        <v>5976</v>
      </c>
      <c r="BM252" s="192" t="s">
        <v>160</v>
      </c>
      <c r="BN252" s="55">
        <v>4</v>
      </c>
      <c r="BO252" s="55">
        <v>4</v>
      </c>
      <c r="BQ252" s="55" t="s">
        <v>141</v>
      </c>
      <c r="BS252" s="55">
        <v>9675</v>
      </c>
      <c r="BT252" s="55">
        <v>46.2</v>
      </c>
      <c r="CB252" s="66">
        <v>8826</v>
      </c>
      <c r="CC252" s="66">
        <v>2578</v>
      </c>
      <c r="DB252" s="65">
        <f>15.23*0.614</f>
        <v>9.3512199999999996</v>
      </c>
      <c r="DC252" s="65">
        <v>1.88</v>
      </c>
      <c r="DF252" s="65" t="s">
        <v>327</v>
      </c>
      <c r="DK252" s="65" t="s">
        <v>328</v>
      </c>
      <c r="FT252" s="65">
        <v>115.77</v>
      </c>
      <c r="FU252" s="65">
        <v>10.39</v>
      </c>
      <c r="FX252" s="65" t="s">
        <v>303</v>
      </c>
      <c r="GN252" s="294">
        <v>190.68</v>
      </c>
      <c r="GO252" s="294">
        <v>24</v>
      </c>
      <c r="GP252" s="292" t="s">
        <v>5150</v>
      </c>
      <c r="GQ252" s="65">
        <f>(267.2-GL252)*2</f>
        <v>534.4</v>
      </c>
      <c r="GR252" s="65">
        <f>(267.2-GM252)*2</f>
        <v>534.4</v>
      </c>
      <c r="GS252" s="65" t="s">
        <v>1800</v>
      </c>
      <c r="HS252" s="227"/>
      <c r="HW252" s="227"/>
      <c r="JU252" s="55" t="s">
        <v>328</v>
      </c>
    </row>
    <row r="253" spans="1:283" s="229" customFormat="1" x14ac:dyDescent="0.25">
      <c r="A253" s="181">
        <v>252</v>
      </c>
      <c r="B253" s="229" t="s">
        <v>7067</v>
      </c>
      <c r="C253" s="230">
        <v>17</v>
      </c>
      <c r="D253" s="181" t="s">
        <v>3749</v>
      </c>
      <c r="E253" s="231" t="s">
        <v>296</v>
      </c>
      <c r="F253" s="231"/>
      <c r="G253" s="181" t="s">
        <v>297</v>
      </c>
      <c r="H253" s="181">
        <v>2016</v>
      </c>
      <c r="I253" s="181">
        <v>2012</v>
      </c>
      <c r="J253" s="181" t="s">
        <v>282</v>
      </c>
      <c r="K253" s="181" t="s">
        <v>298</v>
      </c>
      <c r="L253" s="181" t="s">
        <v>2737</v>
      </c>
      <c r="M253" s="231">
        <f>40+43/60</f>
        <v>40.716666666666669</v>
      </c>
      <c r="N253" s="231">
        <f>-77-55/60</f>
        <v>-77.916666666666671</v>
      </c>
      <c r="O253" s="231">
        <v>350</v>
      </c>
      <c r="P253" s="181"/>
      <c r="Q253" s="181"/>
      <c r="R253" s="181"/>
      <c r="S253" s="231">
        <v>975</v>
      </c>
      <c r="T253" s="181"/>
      <c r="U253" s="181">
        <v>2</v>
      </c>
      <c r="V253" s="181" t="s">
        <v>1805</v>
      </c>
      <c r="W253" s="181"/>
      <c r="X253" s="181"/>
      <c r="Y253" s="181" t="s">
        <v>1823</v>
      </c>
      <c r="Z253" s="181" t="s">
        <v>1356</v>
      </c>
      <c r="AA253" s="231" t="s">
        <v>1680</v>
      </c>
      <c r="AB253" s="232"/>
      <c r="AC253" s="232"/>
      <c r="AD253" s="231"/>
      <c r="AE253" s="231"/>
      <c r="AF253" s="231"/>
      <c r="AG253" s="231"/>
      <c r="AH253" s="181" t="s">
        <v>6378</v>
      </c>
      <c r="AI253" s="181"/>
      <c r="AJ253" s="231"/>
      <c r="AK253" s="231"/>
      <c r="AL253" s="181"/>
      <c r="AM253" s="181" t="s">
        <v>1286</v>
      </c>
      <c r="AN253" s="185" t="s">
        <v>1466</v>
      </c>
      <c r="AO253" s="185" t="s">
        <v>5150</v>
      </c>
      <c r="AP253" s="181"/>
      <c r="AQ253" s="181" t="s">
        <v>610</v>
      </c>
      <c r="AR253" s="181" t="s">
        <v>132</v>
      </c>
      <c r="AS253" s="181" t="s">
        <v>1584</v>
      </c>
      <c r="AT253" s="181" t="s">
        <v>299</v>
      </c>
      <c r="AU253" s="181" t="s">
        <v>5150</v>
      </c>
      <c r="AV253" s="185" t="s">
        <v>479</v>
      </c>
      <c r="AW253" s="181" t="s">
        <v>299</v>
      </c>
      <c r="AX253" s="185" t="s">
        <v>479</v>
      </c>
      <c r="AY253" s="181" t="s">
        <v>176</v>
      </c>
      <c r="AZ253" s="181"/>
      <c r="BA253" s="181"/>
      <c r="BB253" s="181"/>
      <c r="BC253" s="181"/>
      <c r="BD253" s="181"/>
      <c r="BE253" s="226" t="s">
        <v>300</v>
      </c>
      <c r="BF253" s="55" t="s">
        <v>479</v>
      </c>
      <c r="BG253" s="55" t="s">
        <v>479</v>
      </c>
      <c r="BH253" s="226" t="s">
        <v>300</v>
      </c>
      <c r="BI253" s="55" t="s">
        <v>479</v>
      </c>
      <c r="BJ253" s="181" t="s">
        <v>176</v>
      </c>
      <c r="BK253" s="181" t="s">
        <v>5976</v>
      </c>
      <c r="BL253" s="181"/>
      <c r="BM253" s="192" t="s">
        <v>160</v>
      </c>
      <c r="BN253" s="181">
        <v>4</v>
      </c>
      <c r="BO253" s="181">
        <v>4</v>
      </c>
      <c r="BP253" s="181"/>
      <c r="BQ253" s="181" t="s">
        <v>141</v>
      </c>
      <c r="BR253" s="181"/>
      <c r="BS253" s="181">
        <v>2447</v>
      </c>
      <c r="BT253" s="181">
        <v>18.5</v>
      </c>
      <c r="BU253" s="181"/>
      <c r="BV253" s="181"/>
      <c r="BW253" s="232"/>
      <c r="BX253" s="232"/>
      <c r="BY253" s="232"/>
      <c r="BZ253" s="232"/>
      <c r="CA253" s="232"/>
      <c r="CB253" s="183">
        <v>8826</v>
      </c>
      <c r="CC253" s="183">
        <v>8694</v>
      </c>
      <c r="CD253" s="183"/>
      <c r="CE253" s="232"/>
      <c r="CF253" s="232"/>
      <c r="CG253" s="232"/>
      <c r="CH253" s="231"/>
      <c r="CI253" s="231"/>
      <c r="CJ253" s="232"/>
      <c r="CK253" s="232"/>
      <c r="CL253" s="232"/>
      <c r="CM253" s="232"/>
      <c r="CN253" s="232"/>
      <c r="CO253" s="232"/>
      <c r="CP253" s="232"/>
      <c r="CQ253" s="232"/>
      <c r="CR253" s="232"/>
      <c r="CS253" s="232"/>
      <c r="CT253" s="232"/>
      <c r="CU253" s="232"/>
      <c r="CV253" s="232"/>
      <c r="CW253" s="232"/>
      <c r="CX253" s="232"/>
      <c r="CY253" s="232"/>
      <c r="CZ253" s="232"/>
      <c r="DA253" s="232"/>
      <c r="DB253" s="232">
        <f>15.23*0.614</f>
        <v>9.3512199999999996</v>
      </c>
      <c r="DC253" s="232">
        <v>8.09</v>
      </c>
      <c r="DD253" s="232"/>
      <c r="DE253" s="232"/>
      <c r="DF253" s="232" t="s">
        <v>327</v>
      </c>
      <c r="DG253" s="232"/>
      <c r="DH253" s="232"/>
      <c r="DI253" s="232"/>
      <c r="DJ253" s="232"/>
      <c r="DK253" s="232" t="s">
        <v>328</v>
      </c>
      <c r="DL253" s="232"/>
      <c r="DM253" s="232"/>
      <c r="DN253" s="232"/>
      <c r="DO253" s="232"/>
      <c r="DP253" s="232"/>
      <c r="DQ253" s="233"/>
      <c r="DR253" s="233"/>
      <c r="DS253" s="232"/>
      <c r="DT253" s="232"/>
      <c r="DU253" s="232"/>
      <c r="DV253" s="232"/>
      <c r="DW253" s="232"/>
      <c r="DX253" s="232"/>
      <c r="DY253" s="232"/>
      <c r="DZ253" s="232"/>
      <c r="EA253" s="232"/>
      <c r="EB253" s="232"/>
      <c r="EC253" s="232"/>
      <c r="ED253" s="232"/>
      <c r="EE253" s="232"/>
      <c r="EF253" s="232"/>
      <c r="EG253" s="232"/>
      <c r="EH253" s="232"/>
      <c r="EI253" s="232"/>
      <c r="EJ253" s="232"/>
      <c r="EK253" s="231"/>
      <c r="EL253" s="231"/>
      <c r="EM253" s="232"/>
      <c r="EN253" s="232"/>
      <c r="EO253" s="232"/>
      <c r="EP253" s="232"/>
      <c r="EQ253" s="232"/>
      <c r="ER253" s="232"/>
      <c r="ES253" s="232"/>
      <c r="ET253" s="232"/>
      <c r="EU253" s="232"/>
      <c r="EV253" s="232"/>
      <c r="EW253" s="232"/>
      <c r="EX253" s="232"/>
      <c r="EY253" s="232"/>
      <c r="EZ253" s="232"/>
      <c r="FA253" s="232"/>
      <c r="FB253" s="232"/>
      <c r="FC253" s="232"/>
      <c r="FD253" s="232"/>
      <c r="FE253" s="232"/>
      <c r="FF253" s="232"/>
      <c r="FG253" s="232"/>
      <c r="FH253" s="232"/>
      <c r="FI253" s="232"/>
      <c r="FJ253" s="232"/>
      <c r="FK253" s="232"/>
      <c r="FL253" s="232"/>
      <c r="FM253" s="232"/>
      <c r="FN253" s="232"/>
      <c r="FO253" s="232"/>
      <c r="FP253" s="232"/>
      <c r="FQ253" s="232"/>
      <c r="FR253" s="232"/>
      <c r="FS253" s="232"/>
      <c r="FT253" s="232">
        <v>115.77</v>
      </c>
      <c r="FU253" s="232">
        <v>104.07</v>
      </c>
      <c r="FV253" s="232"/>
      <c r="FW253" s="232"/>
      <c r="FX253" s="232" t="s">
        <v>303</v>
      </c>
      <c r="FY253" s="232"/>
      <c r="FZ253" s="232"/>
      <c r="GA253" s="232"/>
      <c r="GB253" s="232"/>
      <c r="GC253" s="232"/>
      <c r="GD253" s="232"/>
      <c r="GE253" s="232"/>
      <c r="GF253" s="232"/>
      <c r="GG253" s="232"/>
      <c r="GH253" s="232"/>
      <c r="GI253" s="232"/>
      <c r="GJ253" s="232"/>
      <c r="GK253" s="232"/>
      <c r="GL253" s="232"/>
      <c r="GM253" s="232"/>
      <c r="GN253" s="294">
        <v>190.68</v>
      </c>
      <c r="GO253" s="294">
        <v>52.19</v>
      </c>
      <c r="GP253" s="292" t="s">
        <v>5150</v>
      </c>
      <c r="GQ253" s="232">
        <f>(267.2-GL253)*2</f>
        <v>534.4</v>
      </c>
      <c r="GR253" s="232">
        <f>(267.2-GM253)*2</f>
        <v>534.4</v>
      </c>
      <c r="GS253" s="232" t="s">
        <v>1800</v>
      </c>
      <c r="GT253" s="232"/>
      <c r="GU253" s="232"/>
      <c r="GV253" s="232"/>
      <c r="GW253" s="232"/>
      <c r="GX253" s="232"/>
      <c r="GY253" s="232"/>
      <c r="GZ253" s="232"/>
      <c r="HA253" s="232"/>
      <c r="HB253" s="232"/>
      <c r="HC253" s="232"/>
      <c r="HD253" s="232"/>
      <c r="HE253" s="232"/>
      <c r="HF253" s="232"/>
      <c r="HG253" s="232"/>
      <c r="HH253" s="232"/>
      <c r="HI253" s="232"/>
      <c r="HJ253" s="232"/>
      <c r="HK253" s="232"/>
      <c r="HL253" s="232"/>
      <c r="HM253" s="232"/>
      <c r="HN253" s="232"/>
      <c r="HO253" s="232"/>
      <c r="HP253" s="232"/>
      <c r="HQ253" s="232"/>
      <c r="HR253" s="232"/>
      <c r="HS253" s="233"/>
      <c r="HT253" s="232"/>
      <c r="HU253" s="232"/>
      <c r="HV253" s="232"/>
      <c r="HW253" s="233"/>
      <c r="HX253" s="232"/>
      <c r="HY253" s="232"/>
      <c r="HZ253" s="232"/>
      <c r="IA253" s="232"/>
      <c r="IB253" s="232"/>
      <c r="IC253" s="232"/>
      <c r="ID253" s="232"/>
      <c r="IE253" s="232"/>
      <c r="IF253" s="232"/>
      <c r="IG253" s="232"/>
      <c r="IH253" s="232"/>
      <c r="II253" s="232"/>
      <c r="IJ253" s="232"/>
      <c r="IK253" s="232"/>
      <c r="IL253" s="232"/>
      <c r="IM253" s="232"/>
      <c r="IN253" s="232"/>
      <c r="IO253" s="232"/>
      <c r="IP253" s="232"/>
      <c r="IQ253" s="232"/>
      <c r="IR253" s="232"/>
      <c r="IS253" s="232"/>
      <c r="IT253" s="232"/>
      <c r="IU253" s="232"/>
      <c r="IV253" s="232"/>
      <c r="IW253" s="232"/>
      <c r="IX253" s="232"/>
      <c r="IY253" s="232"/>
      <c r="IZ253" s="232"/>
      <c r="JA253" s="232"/>
      <c r="JB253" s="232"/>
      <c r="JC253" s="232"/>
      <c r="JD253" s="232"/>
      <c r="JE253" s="232"/>
      <c r="JF253" s="232"/>
      <c r="JG253" s="232"/>
      <c r="JH253" s="232"/>
      <c r="JI253" s="232"/>
      <c r="JJ253" s="232"/>
      <c r="JK253" s="232"/>
      <c r="JL253" s="232"/>
      <c r="JM253" s="232"/>
      <c r="JN253" s="232"/>
      <c r="JO253" s="232"/>
      <c r="JP253" s="232"/>
      <c r="JQ253" s="232"/>
      <c r="JR253" s="232"/>
      <c r="JS253" s="232"/>
      <c r="JT253" s="232"/>
      <c r="JU253" s="181" t="s">
        <v>328</v>
      </c>
      <c r="JV253" s="181"/>
      <c r="JW253" s="181"/>
    </row>
    <row r="254" spans="1:283" s="229" customFormat="1" x14ac:dyDescent="0.25">
      <c r="A254" s="181">
        <v>253</v>
      </c>
      <c r="B254" s="229" t="s">
        <v>7067</v>
      </c>
      <c r="C254" s="230">
        <v>17</v>
      </c>
      <c r="D254" s="181" t="s">
        <v>3749</v>
      </c>
      <c r="E254" s="231" t="s">
        <v>296</v>
      </c>
      <c r="F254" s="231"/>
      <c r="G254" s="181" t="s">
        <v>297</v>
      </c>
      <c r="H254" s="181">
        <v>2016</v>
      </c>
      <c r="I254" s="181">
        <v>2012</v>
      </c>
      <c r="J254" s="181" t="s">
        <v>282</v>
      </c>
      <c r="K254" s="181" t="s">
        <v>298</v>
      </c>
      <c r="L254" s="181" t="s">
        <v>2737</v>
      </c>
      <c r="M254" s="231">
        <f>40+43/60</f>
        <v>40.716666666666669</v>
      </c>
      <c r="N254" s="231">
        <f>-77-55/60</f>
        <v>-77.916666666666671</v>
      </c>
      <c r="O254" s="231">
        <v>350</v>
      </c>
      <c r="P254" s="181"/>
      <c r="Q254" s="181"/>
      <c r="R254" s="181"/>
      <c r="S254" s="231">
        <v>975</v>
      </c>
      <c r="T254" s="181"/>
      <c r="U254" s="181">
        <v>2</v>
      </c>
      <c r="V254" s="181" t="s">
        <v>1805</v>
      </c>
      <c r="W254" s="181"/>
      <c r="X254" s="181"/>
      <c r="Y254" s="181" t="s">
        <v>1823</v>
      </c>
      <c r="Z254" s="181" t="s">
        <v>1356</v>
      </c>
      <c r="AA254" s="231" t="s">
        <v>1680</v>
      </c>
      <c r="AB254" s="232"/>
      <c r="AC254" s="232"/>
      <c r="AD254" s="231"/>
      <c r="AE254" s="231"/>
      <c r="AF254" s="231"/>
      <c r="AG254" s="231"/>
      <c r="AH254" s="181" t="s">
        <v>6378</v>
      </c>
      <c r="AI254" s="181"/>
      <c r="AJ254" s="231"/>
      <c r="AK254" s="231"/>
      <c r="AL254" s="181"/>
      <c r="AM254" s="181" t="s">
        <v>1286</v>
      </c>
      <c r="AN254" s="185" t="s">
        <v>1467</v>
      </c>
      <c r="AO254" s="185" t="s">
        <v>5150</v>
      </c>
      <c r="AP254" s="181"/>
      <c r="AQ254" s="181" t="s">
        <v>610</v>
      </c>
      <c r="AR254" s="181" t="s">
        <v>132</v>
      </c>
      <c r="AS254" s="181" t="s">
        <v>1584</v>
      </c>
      <c r="AT254" s="181" t="s">
        <v>299</v>
      </c>
      <c r="AU254" s="181" t="s">
        <v>5150</v>
      </c>
      <c r="AV254" s="185" t="s">
        <v>479</v>
      </c>
      <c r="AW254" s="181" t="s">
        <v>299</v>
      </c>
      <c r="AX254" s="185" t="s">
        <v>479</v>
      </c>
      <c r="AY254" s="181" t="s">
        <v>176</v>
      </c>
      <c r="AZ254" s="181"/>
      <c r="BA254" s="181"/>
      <c r="BB254" s="181"/>
      <c r="BC254" s="181"/>
      <c r="BD254" s="181"/>
      <c r="BE254" s="226" t="s">
        <v>300</v>
      </c>
      <c r="BF254" s="55" t="s">
        <v>479</v>
      </c>
      <c r="BG254" s="55" t="s">
        <v>479</v>
      </c>
      <c r="BH254" s="226" t="s">
        <v>300</v>
      </c>
      <c r="BI254" s="55" t="s">
        <v>479</v>
      </c>
      <c r="BJ254" s="181" t="s">
        <v>176</v>
      </c>
      <c r="BK254" s="181" t="s">
        <v>5976</v>
      </c>
      <c r="BL254" s="181"/>
      <c r="BM254" s="192" t="s">
        <v>160</v>
      </c>
      <c r="BN254" s="181">
        <v>4</v>
      </c>
      <c r="BO254" s="181">
        <v>4</v>
      </c>
      <c r="BP254" s="181"/>
      <c r="BQ254" s="181" t="s">
        <v>141</v>
      </c>
      <c r="BR254" s="181"/>
      <c r="BS254" s="181">
        <v>7425</v>
      </c>
      <c r="BT254" s="181">
        <v>40.799999999999997</v>
      </c>
      <c r="BU254" s="181"/>
      <c r="BV254" s="181"/>
      <c r="BW254" s="232"/>
      <c r="BX254" s="232"/>
      <c r="BY254" s="232"/>
      <c r="BZ254" s="232"/>
      <c r="CA254" s="232"/>
      <c r="CB254" s="183">
        <v>8826</v>
      </c>
      <c r="CC254" s="183">
        <v>2876</v>
      </c>
      <c r="CD254" s="183"/>
      <c r="CE254" s="232"/>
      <c r="CF254" s="232"/>
      <c r="CG254" s="232"/>
      <c r="CH254" s="231"/>
      <c r="CI254" s="231"/>
      <c r="CJ254" s="232"/>
      <c r="CK254" s="232"/>
      <c r="CL254" s="232"/>
      <c r="CM254" s="232"/>
      <c r="CN254" s="232"/>
      <c r="CO254" s="232"/>
      <c r="CP254" s="232"/>
      <c r="CQ254" s="232"/>
      <c r="CR254" s="232"/>
      <c r="CS254" s="232"/>
      <c r="CT254" s="232"/>
      <c r="CU254" s="232"/>
      <c r="CV254" s="232"/>
      <c r="CW254" s="232"/>
      <c r="CX254" s="232"/>
      <c r="CY254" s="232"/>
      <c r="CZ254" s="232"/>
      <c r="DA254" s="232"/>
      <c r="DB254" s="232">
        <f>15.23*0.614</f>
        <v>9.3512199999999996</v>
      </c>
      <c r="DC254" s="232">
        <v>2.48</v>
      </c>
      <c r="DD254" s="232"/>
      <c r="DE254" s="232"/>
      <c r="DF254" s="232" t="s">
        <v>327</v>
      </c>
      <c r="DG254" s="232"/>
      <c r="DH254" s="232"/>
      <c r="DI254" s="232"/>
      <c r="DJ254" s="232"/>
      <c r="DK254" s="232" t="s">
        <v>328</v>
      </c>
      <c r="DL254" s="232"/>
      <c r="DM254" s="232"/>
      <c r="DN254" s="232"/>
      <c r="DO254" s="232"/>
      <c r="DP254" s="232"/>
      <c r="DQ254" s="233"/>
      <c r="DR254" s="233"/>
      <c r="DS254" s="232"/>
      <c r="DT254" s="232"/>
      <c r="DU254" s="232"/>
      <c r="DV254" s="232"/>
      <c r="DW254" s="232"/>
      <c r="DX254" s="232"/>
      <c r="DY254" s="232"/>
      <c r="DZ254" s="232"/>
      <c r="EA254" s="232"/>
      <c r="EB254" s="232"/>
      <c r="EC254" s="232"/>
      <c r="ED254" s="232"/>
      <c r="EE254" s="232"/>
      <c r="EF254" s="232"/>
      <c r="EG254" s="232"/>
      <c r="EH254" s="232"/>
      <c r="EI254" s="232"/>
      <c r="EJ254" s="232"/>
      <c r="EK254" s="231"/>
      <c r="EL254" s="231"/>
      <c r="EM254" s="232"/>
      <c r="EN254" s="232"/>
      <c r="EO254" s="232"/>
      <c r="EP254" s="232"/>
      <c r="EQ254" s="232"/>
      <c r="ER254" s="232"/>
      <c r="ES254" s="232"/>
      <c r="ET254" s="232"/>
      <c r="EU254" s="232"/>
      <c r="EV254" s="232"/>
      <c r="EW254" s="232"/>
      <c r="EX254" s="232"/>
      <c r="EY254" s="232"/>
      <c r="EZ254" s="232"/>
      <c r="FA254" s="232"/>
      <c r="FB254" s="232"/>
      <c r="FC254" s="232"/>
      <c r="FD254" s="232"/>
      <c r="FE254" s="232"/>
      <c r="FF254" s="232"/>
      <c r="FG254" s="232"/>
      <c r="FH254" s="232"/>
      <c r="FI254" s="232"/>
      <c r="FJ254" s="232"/>
      <c r="FK254" s="232"/>
      <c r="FL254" s="232"/>
      <c r="FM254" s="232"/>
      <c r="FN254" s="232"/>
      <c r="FO254" s="232"/>
      <c r="FP254" s="232"/>
      <c r="FQ254" s="232"/>
      <c r="FR254" s="232"/>
      <c r="FS254" s="232"/>
      <c r="FT254" s="232">
        <v>115.77</v>
      </c>
      <c r="FU254" s="232">
        <v>9.9</v>
      </c>
      <c r="FV254" s="232"/>
      <c r="FW254" s="232"/>
      <c r="FX254" s="232" t="s">
        <v>303</v>
      </c>
      <c r="FY254" s="232"/>
      <c r="FZ254" s="232"/>
      <c r="GA254" s="232"/>
      <c r="GB254" s="232"/>
      <c r="GC254" s="232"/>
      <c r="GD254" s="232"/>
      <c r="GE254" s="232"/>
      <c r="GF254" s="232"/>
      <c r="GG254" s="232"/>
      <c r="GH254" s="232"/>
      <c r="GI254" s="232"/>
      <c r="GJ254" s="232"/>
      <c r="GK254" s="232"/>
      <c r="GL254" s="232"/>
      <c r="GM254" s="232"/>
      <c r="GN254" s="294">
        <v>190.68</v>
      </c>
      <c r="GO254" s="294">
        <v>14</v>
      </c>
      <c r="GP254" s="292" t="s">
        <v>5150</v>
      </c>
      <c r="GQ254" s="232">
        <f>(267.2-GL254)*2</f>
        <v>534.4</v>
      </c>
      <c r="GR254" s="232">
        <f>(267.2-GM254)*2</f>
        <v>534.4</v>
      </c>
      <c r="GS254" s="232" t="s">
        <v>1800</v>
      </c>
      <c r="GT254" s="232"/>
      <c r="GU254" s="232"/>
      <c r="GV254" s="232"/>
      <c r="GW254" s="232"/>
      <c r="GX254" s="232"/>
      <c r="GY254" s="232"/>
      <c r="GZ254" s="232"/>
      <c r="HA254" s="232"/>
      <c r="HB254" s="232"/>
      <c r="HC254" s="232"/>
      <c r="HD254" s="232"/>
      <c r="HE254" s="232"/>
      <c r="HF254" s="232"/>
      <c r="HG254" s="232"/>
      <c r="HH254" s="232"/>
      <c r="HI254" s="232"/>
      <c r="HJ254" s="232"/>
      <c r="HK254" s="232"/>
      <c r="HL254" s="232"/>
      <c r="HM254" s="232"/>
      <c r="HN254" s="232"/>
      <c r="HO254" s="232"/>
      <c r="HP254" s="232"/>
      <c r="HQ254" s="232"/>
      <c r="HR254" s="232"/>
      <c r="HS254" s="233"/>
      <c r="HT254" s="232"/>
      <c r="HU254" s="232"/>
      <c r="HV254" s="232"/>
      <c r="HW254" s="233"/>
      <c r="HX254" s="232"/>
      <c r="HY254" s="232"/>
      <c r="HZ254" s="232"/>
      <c r="IA254" s="232"/>
      <c r="IB254" s="232"/>
      <c r="IC254" s="232"/>
      <c r="ID254" s="232"/>
      <c r="IE254" s="232"/>
      <c r="IF254" s="232"/>
      <c r="IG254" s="232"/>
      <c r="IH254" s="232"/>
      <c r="II254" s="232"/>
      <c r="IJ254" s="232"/>
      <c r="IK254" s="232"/>
      <c r="IL254" s="232"/>
      <c r="IM254" s="232"/>
      <c r="IN254" s="232"/>
      <c r="IO254" s="232"/>
      <c r="IP254" s="232"/>
      <c r="IQ254" s="232"/>
      <c r="IR254" s="232"/>
      <c r="IS254" s="232"/>
      <c r="IT254" s="232"/>
      <c r="IU254" s="232"/>
      <c r="IV254" s="232"/>
      <c r="IW254" s="232"/>
      <c r="IX254" s="232"/>
      <c r="IY254" s="232"/>
      <c r="IZ254" s="232"/>
      <c r="JA254" s="232"/>
      <c r="JB254" s="232"/>
      <c r="JC254" s="232"/>
      <c r="JD254" s="232"/>
      <c r="JE254" s="232"/>
      <c r="JF254" s="232"/>
      <c r="JG254" s="232"/>
      <c r="JH254" s="232"/>
      <c r="JI254" s="232"/>
      <c r="JJ254" s="232"/>
      <c r="JK254" s="232"/>
      <c r="JL254" s="232"/>
      <c r="JM254" s="232"/>
      <c r="JN254" s="232"/>
      <c r="JO254" s="232"/>
      <c r="JP254" s="232"/>
      <c r="JQ254" s="232"/>
      <c r="JR254" s="232"/>
      <c r="JS254" s="232"/>
      <c r="JT254" s="232"/>
      <c r="JU254" s="181" t="s">
        <v>328</v>
      </c>
      <c r="JV254" s="181"/>
      <c r="JW254" s="181"/>
    </row>
    <row r="255" spans="1:283" s="229" customFormat="1" x14ac:dyDescent="0.25">
      <c r="A255" s="181">
        <v>254</v>
      </c>
      <c r="B255" s="229" t="s">
        <v>7067</v>
      </c>
      <c r="C255" s="230">
        <v>17</v>
      </c>
      <c r="D255" s="181" t="s">
        <v>3749</v>
      </c>
      <c r="E255" s="231" t="s">
        <v>296</v>
      </c>
      <c r="F255" s="231"/>
      <c r="G255" s="181" t="s">
        <v>297</v>
      </c>
      <c r="H255" s="181">
        <v>2016</v>
      </c>
      <c r="I255" s="181">
        <v>2012</v>
      </c>
      <c r="J255" s="181" t="s">
        <v>282</v>
      </c>
      <c r="K255" s="181" t="s">
        <v>298</v>
      </c>
      <c r="L255" s="181" t="s">
        <v>2737</v>
      </c>
      <c r="M255" s="231">
        <f>40+43/60</f>
        <v>40.716666666666669</v>
      </c>
      <c r="N255" s="231">
        <f>-77-55/60</f>
        <v>-77.916666666666671</v>
      </c>
      <c r="O255" s="231">
        <v>350</v>
      </c>
      <c r="P255" s="181"/>
      <c r="Q255" s="181"/>
      <c r="R255" s="181"/>
      <c r="S255" s="231">
        <v>975</v>
      </c>
      <c r="T255" s="181"/>
      <c r="U255" s="181">
        <v>2</v>
      </c>
      <c r="V255" s="181" t="s">
        <v>1805</v>
      </c>
      <c r="W255" s="181"/>
      <c r="X255" s="181"/>
      <c r="Y255" s="181" t="s">
        <v>1823</v>
      </c>
      <c r="Z255" s="181" t="s">
        <v>1356</v>
      </c>
      <c r="AA255" s="231" t="s">
        <v>1680</v>
      </c>
      <c r="AB255" s="232"/>
      <c r="AC255" s="232"/>
      <c r="AD255" s="231"/>
      <c r="AE255" s="231"/>
      <c r="AF255" s="231"/>
      <c r="AG255" s="231"/>
      <c r="AH255" s="181" t="s">
        <v>6378</v>
      </c>
      <c r="AI255" s="181"/>
      <c r="AJ255" s="231"/>
      <c r="AK255" s="231"/>
      <c r="AL255" s="181"/>
      <c r="AM255" s="181" t="s">
        <v>1286</v>
      </c>
      <c r="AN255" s="185" t="s">
        <v>1468</v>
      </c>
      <c r="AO255" s="185" t="s">
        <v>5150</v>
      </c>
      <c r="AP255" s="181"/>
      <c r="AQ255" s="181" t="s">
        <v>610</v>
      </c>
      <c r="AR255" s="181" t="s">
        <v>132</v>
      </c>
      <c r="AS255" s="181" t="s">
        <v>1584</v>
      </c>
      <c r="AT255" s="181" t="s">
        <v>299</v>
      </c>
      <c r="AU255" s="181" t="s">
        <v>5150</v>
      </c>
      <c r="AV255" s="185" t="s">
        <v>479</v>
      </c>
      <c r="AW255" s="181" t="s">
        <v>299</v>
      </c>
      <c r="AX255" s="185" t="s">
        <v>479</v>
      </c>
      <c r="AY255" s="181" t="s">
        <v>176</v>
      </c>
      <c r="AZ255" s="181"/>
      <c r="BA255" s="181"/>
      <c r="BB255" s="181"/>
      <c r="BC255" s="181"/>
      <c r="BD255" s="181"/>
      <c r="BE255" s="226" t="s">
        <v>300</v>
      </c>
      <c r="BF255" s="55" t="s">
        <v>479</v>
      </c>
      <c r="BG255" s="55" t="s">
        <v>479</v>
      </c>
      <c r="BH255" s="226" t="s">
        <v>300</v>
      </c>
      <c r="BI255" s="55" t="s">
        <v>479</v>
      </c>
      <c r="BJ255" s="181" t="s">
        <v>176</v>
      </c>
      <c r="BK255" s="181" t="s">
        <v>5976</v>
      </c>
      <c r="BL255" s="181"/>
      <c r="BM255" s="192" t="s">
        <v>160</v>
      </c>
      <c r="BN255" s="181">
        <v>4</v>
      </c>
      <c r="BO255" s="181">
        <v>4</v>
      </c>
      <c r="BP255" s="181"/>
      <c r="BQ255" s="181" t="s">
        <v>141</v>
      </c>
      <c r="BR255" s="181"/>
      <c r="BS255" s="181">
        <v>6998</v>
      </c>
      <c r="BT255" s="181">
        <v>33.700000000000003</v>
      </c>
      <c r="BU255" s="181"/>
      <c r="BV255" s="181"/>
      <c r="BW255" s="232"/>
      <c r="BX255" s="232"/>
      <c r="BY255" s="232"/>
      <c r="BZ255" s="232"/>
      <c r="CA255" s="232"/>
      <c r="CB255" s="183">
        <v>8826</v>
      </c>
      <c r="CC255" s="183">
        <v>3636</v>
      </c>
      <c r="CD255" s="183"/>
      <c r="CE255" s="232"/>
      <c r="CF255" s="232"/>
      <c r="CG255" s="232"/>
      <c r="CH255" s="231"/>
      <c r="CI255" s="231"/>
      <c r="CJ255" s="232"/>
      <c r="CK255" s="232"/>
      <c r="CL255" s="232"/>
      <c r="CM255" s="232"/>
      <c r="CN255" s="232"/>
      <c r="CO255" s="232"/>
      <c r="CP255" s="232"/>
      <c r="CQ255" s="232"/>
      <c r="CR255" s="232"/>
      <c r="CS255" s="232"/>
      <c r="CT255" s="232"/>
      <c r="CU255" s="232"/>
      <c r="CV255" s="232"/>
      <c r="CW255" s="232"/>
      <c r="CX255" s="232"/>
      <c r="CY255" s="232"/>
      <c r="CZ255" s="232"/>
      <c r="DA255" s="232"/>
      <c r="DB255" s="232">
        <f>15.23*0.614</f>
        <v>9.3512199999999996</v>
      </c>
      <c r="DC255" s="232">
        <v>2.27</v>
      </c>
      <c r="DD255" s="232"/>
      <c r="DE255" s="232"/>
      <c r="DF255" s="232" t="s">
        <v>327</v>
      </c>
      <c r="DG255" s="232"/>
      <c r="DH255" s="232"/>
      <c r="DI255" s="232"/>
      <c r="DJ255" s="232"/>
      <c r="DK255" s="232" t="s">
        <v>328</v>
      </c>
      <c r="DL255" s="232"/>
      <c r="DM255" s="232"/>
      <c r="DN255" s="232"/>
      <c r="DO255" s="232"/>
      <c r="DP255" s="232"/>
      <c r="DQ255" s="233"/>
      <c r="DR255" s="233"/>
      <c r="DS255" s="232"/>
      <c r="DT255" s="232"/>
      <c r="DU255" s="232"/>
      <c r="DV255" s="232"/>
      <c r="DW255" s="232"/>
      <c r="DX255" s="232"/>
      <c r="DY255" s="232"/>
      <c r="DZ255" s="232"/>
      <c r="EA255" s="232"/>
      <c r="EB255" s="232"/>
      <c r="EC255" s="232"/>
      <c r="ED255" s="232"/>
      <c r="EE255" s="232"/>
      <c r="EF255" s="232"/>
      <c r="EG255" s="232"/>
      <c r="EH255" s="232"/>
      <c r="EI255" s="232"/>
      <c r="EJ255" s="232"/>
      <c r="EK255" s="231"/>
      <c r="EL255" s="231"/>
      <c r="EM255" s="232"/>
      <c r="EN255" s="232"/>
      <c r="EO255" s="232"/>
      <c r="EP255" s="232"/>
      <c r="EQ255" s="232"/>
      <c r="ER255" s="232"/>
      <c r="ES255" s="232"/>
      <c r="ET255" s="232"/>
      <c r="EU255" s="232"/>
      <c r="EV255" s="232"/>
      <c r="EW255" s="232"/>
      <c r="EX255" s="232"/>
      <c r="EY255" s="232"/>
      <c r="EZ255" s="232"/>
      <c r="FA255" s="232"/>
      <c r="FB255" s="232"/>
      <c r="FC255" s="232"/>
      <c r="FD255" s="232"/>
      <c r="FE255" s="232"/>
      <c r="FF255" s="232"/>
      <c r="FG255" s="232"/>
      <c r="FH255" s="232"/>
      <c r="FI255" s="232"/>
      <c r="FJ255" s="232"/>
      <c r="FK255" s="232"/>
      <c r="FL255" s="232"/>
      <c r="FM255" s="232"/>
      <c r="FN255" s="232"/>
      <c r="FO255" s="232"/>
      <c r="FP255" s="232"/>
      <c r="FQ255" s="232"/>
      <c r="FR255" s="232"/>
      <c r="FS255" s="232"/>
      <c r="FT255" s="232">
        <v>115.77</v>
      </c>
      <c r="FU255" s="232">
        <v>5.46</v>
      </c>
      <c r="FV255" s="232"/>
      <c r="FW255" s="232"/>
      <c r="FX255" s="232" t="s">
        <v>303</v>
      </c>
      <c r="FY255" s="232"/>
      <c r="FZ255" s="232"/>
      <c r="GA255" s="232"/>
      <c r="GB255" s="232"/>
      <c r="GC255" s="232"/>
      <c r="GD255" s="232"/>
      <c r="GE255" s="232"/>
      <c r="GF255" s="232"/>
      <c r="GG255" s="232"/>
      <c r="GH255" s="232"/>
      <c r="GI255" s="232"/>
      <c r="GJ255" s="232"/>
      <c r="GK255" s="232"/>
      <c r="GL255" s="232"/>
      <c r="GM255" s="232"/>
      <c r="GN255" s="294">
        <v>190.68</v>
      </c>
      <c r="GO255" s="294">
        <v>22</v>
      </c>
      <c r="GP255" s="292" t="s">
        <v>5150</v>
      </c>
      <c r="GQ255" s="232">
        <f>(267.2-GL255)*2</f>
        <v>534.4</v>
      </c>
      <c r="GR255" s="232">
        <f>(267.2-GM255)*2</f>
        <v>534.4</v>
      </c>
      <c r="GS255" s="232" t="s">
        <v>1800</v>
      </c>
      <c r="GT255" s="232"/>
      <c r="GU255" s="232"/>
      <c r="GV255" s="232"/>
      <c r="GW255" s="232"/>
      <c r="GX255" s="232"/>
      <c r="GY255" s="232"/>
      <c r="GZ255" s="232"/>
      <c r="HA255" s="232"/>
      <c r="HB255" s="232"/>
      <c r="HC255" s="232"/>
      <c r="HD255" s="232"/>
      <c r="HE255" s="232"/>
      <c r="HF255" s="232"/>
      <c r="HG255" s="232"/>
      <c r="HH255" s="232"/>
      <c r="HI255" s="232"/>
      <c r="HJ255" s="232"/>
      <c r="HK255" s="232"/>
      <c r="HL255" s="232"/>
      <c r="HM255" s="232"/>
      <c r="HN255" s="232"/>
      <c r="HO255" s="232"/>
      <c r="HP255" s="232"/>
      <c r="HQ255" s="232"/>
      <c r="HR255" s="232"/>
      <c r="HS255" s="233"/>
      <c r="HT255" s="232"/>
      <c r="HU255" s="232"/>
      <c r="HV255" s="232"/>
      <c r="HW255" s="233"/>
      <c r="HX255" s="232"/>
      <c r="HY255" s="232"/>
      <c r="HZ255" s="232"/>
      <c r="IA255" s="232"/>
      <c r="IB255" s="232"/>
      <c r="IC255" s="232"/>
      <c r="ID255" s="232"/>
      <c r="IE255" s="232"/>
      <c r="IF255" s="232"/>
      <c r="IG255" s="232"/>
      <c r="IH255" s="232"/>
      <c r="II255" s="232"/>
      <c r="IJ255" s="232"/>
      <c r="IK255" s="232"/>
      <c r="IL255" s="232"/>
      <c r="IM255" s="232"/>
      <c r="IN255" s="232"/>
      <c r="IO255" s="232"/>
      <c r="IP255" s="232"/>
      <c r="IQ255" s="232"/>
      <c r="IR255" s="232"/>
      <c r="IS255" s="232"/>
      <c r="IT255" s="232"/>
      <c r="IU255" s="232"/>
      <c r="IV255" s="232"/>
      <c r="IW255" s="232"/>
      <c r="IX255" s="232"/>
      <c r="IY255" s="232"/>
      <c r="IZ255" s="232"/>
      <c r="JA255" s="232"/>
      <c r="JB255" s="232"/>
      <c r="JC255" s="232"/>
      <c r="JD255" s="232"/>
      <c r="JE255" s="232"/>
      <c r="JF255" s="232"/>
      <c r="JG255" s="232"/>
      <c r="JH255" s="232"/>
      <c r="JI255" s="232"/>
      <c r="JJ255" s="232"/>
      <c r="JK255" s="232"/>
      <c r="JL255" s="232"/>
      <c r="JM255" s="232"/>
      <c r="JN255" s="232"/>
      <c r="JO255" s="232"/>
      <c r="JP255" s="232"/>
      <c r="JQ255" s="232"/>
      <c r="JR255" s="232"/>
      <c r="JS255" s="232"/>
      <c r="JT255" s="232"/>
      <c r="JU255" s="181" t="s">
        <v>328</v>
      </c>
      <c r="JV255" s="181"/>
      <c r="JW255" s="181"/>
    </row>
    <row r="256" spans="1:283" s="229" customFormat="1" x14ac:dyDescent="0.25">
      <c r="A256" s="181">
        <v>255</v>
      </c>
      <c r="B256" s="229" t="s">
        <v>7067</v>
      </c>
      <c r="C256" s="230">
        <v>17</v>
      </c>
      <c r="D256" s="181" t="s">
        <v>3749</v>
      </c>
      <c r="E256" s="231" t="s">
        <v>296</v>
      </c>
      <c r="F256" s="231"/>
      <c r="G256" s="181" t="s">
        <v>297</v>
      </c>
      <c r="H256" s="181">
        <v>2016</v>
      </c>
      <c r="I256" s="181">
        <v>2012</v>
      </c>
      <c r="J256" s="181" t="s">
        <v>282</v>
      </c>
      <c r="K256" s="181" t="s">
        <v>298</v>
      </c>
      <c r="L256" s="181" t="s">
        <v>2737</v>
      </c>
      <c r="M256" s="231">
        <f>40+43/60</f>
        <v>40.716666666666669</v>
      </c>
      <c r="N256" s="231">
        <f>-77-55/60</f>
        <v>-77.916666666666671</v>
      </c>
      <c r="O256" s="231">
        <v>350</v>
      </c>
      <c r="P256" s="181"/>
      <c r="Q256" s="181"/>
      <c r="R256" s="181"/>
      <c r="S256" s="231">
        <v>975</v>
      </c>
      <c r="T256" s="181"/>
      <c r="U256" s="181">
        <v>2</v>
      </c>
      <c r="V256" s="181" t="s">
        <v>1805</v>
      </c>
      <c r="W256" s="181"/>
      <c r="X256" s="181"/>
      <c r="Y256" s="181" t="s">
        <v>1823</v>
      </c>
      <c r="Z256" s="181" t="s">
        <v>1356</v>
      </c>
      <c r="AA256" s="231" t="s">
        <v>1680</v>
      </c>
      <c r="AB256" s="232"/>
      <c r="AC256" s="232"/>
      <c r="AD256" s="231"/>
      <c r="AE256" s="231"/>
      <c r="AF256" s="231"/>
      <c r="AG256" s="231"/>
      <c r="AH256" s="181" t="s">
        <v>6378</v>
      </c>
      <c r="AI256" s="181"/>
      <c r="AJ256" s="231"/>
      <c r="AK256" s="231"/>
      <c r="AL256" s="181"/>
      <c r="AM256" s="181" t="s">
        <v>1286</v>
      </c>
      <c r="AN256" s="185" t="s">
        <v>1469</v>
      </c>
      <c r="AO256" s="185" t="s">
        <v>5150</v>
      </c>
      <c r="AP256" s="181"/>
      <c r="AQ256" s="181" t="s">
        <v>610</v>
      </c>
      <c r="AR256" s="181" t="s">
        <v>132</v>
      </c>
      <c r="AS256" s="181" t="s">
        <v>1584</v>
      </c>
      <c r="AT256" s="181" t="s">
        <v>299</v>
      </c>
      <c r="AU256" s="181" t="s">
        <v>5150</v>
      </c>
      <c r="AV256" s="185" t="s">
        <v>479</v>
      </c>
      <c r="AW256" s="181" t="s">
        <v>299</v>
      </c>
      <c r="AX256" s="185" t="s">
        <v>479</v>
      </c>
      <c r="AY256" s="181" t="s">
        <v>176</v>
      </c>
      <c r="AZ256" s="181"/>
      <c r="BA256" s="181"/>
      <c r="BB256" s="181"/>
      <c r="BC256" s="181"/>
      <c r="BD256" s="181"/>
      <c r="BE256" s="226" t="s">
        <v>300</v>
      </c>
      <c r="BF256" s="55" t="s">
        <v>479</v>
      </c>
      <c r="BG256" s="55" t="s">
        <v>479</v>
      </c>
      <c r="BH256" s="226" t="s">
        <v>300</v>
      </c>
      <c r="BI256" s="55" t="s">
        <v>479</v>
      </c>
      <c r="BJ256" s="181" t="s">
        <v>176</v>
      </c>
      <c r="BK256" s="181" t="s">
        <v>5976</v>
      </c>
      <c r="BL256" s="181"/>
      <c r="BM256" s="192" t="s">
        <v>160</v>
      </c>
      <c r="BN256" s="181">
        <v>4</v>
      </c>
      <c r="BO256" s="181">
        <v>4</v>
      </c>
      <c r="BP256" s="181"/>
      <c r="BQ256" s="181" t="s">
        <v>141</v>
      </c>
      <c r="BR256" s="181"/>
      <c r="BS256" s="181">
        <v>2814</v>
      </c>
      <c r="BT256" s="181">
        <v>18</v>
      </c>
      <c r="BU256" s="181"/>
      <c r="BV256" s="181"/>
      <c r="BW256" s="232"/>
      <c r="BX256" s="232"/>
      <c r="BY256" s="232"/>
      <c r="BZ256" s="232"/>
      <c r="CA256" s="232"/>
      <c r="CB256" s="183">
        <v>8826</v>
      </c>
      <c r="CC256" s="183">
        <v>10248</v>
      </c>
      <c r="CD256" s="183"/>
      <c r="CE256" s="232"/>
      <c r="CF256" s="232"/>
      <c r="CG256" s="232"/>
      <c r="CH256" s="231"/>
      <c r="CI256" s="231"/>
      <c r="CJ256" s="232"/>
      <c r="CK256" s="232"/>
      <c r="CL256" s="232"/>
      <c r="CM256" s="232"/>
      <c r="CN256" s="232"/>
      <c r="CO256" s="232"/>
      <c r="CP256" s="232"/>
      <c r="CQ256" s="232"/>
      <c r="CR256" s="232"/>
      <c r="CS256" s="232"/>
      <c r="CT256" s="232"/>
      <c r="CU256" s="232"/>
      <c r="CV256" s="232"/>
      <c r="CW256" s="232"/>
      <c r="CX256" s="232"/>
      <c r="CY256" s="232"/>
      <c r="CZ256" s="232"/>
      <c r="DA256" s="232"/>
      <c r="DB256" s="232">
        <f>15.23*0.614</f>
        <v>9.3512199999999996</v>
      </c>
      <c r="DC256" s="232">
        <v>8.99</v>
      </c>
      <c r="DD256" s="232"/>
      <c r="DE256" s="232"/>
      <c r="DF256" s="232" t="s">
        <v>327</v>
      </c>
      <c r="DG256" s="232"/>
      <c r="DH256" s="232"/>
      <c r="DI256" s="232"/>
      <c r="DJ256" s="232"/>
      <c r="DK256" s="232" t="s">
        <v>328</v>
      </c>
      <c r="DL256" s="232"/>
      <c r="DM256" s="232"/>
      <c r="DN256" s="232"/>
      <c r="DO256" s="232"/>
      <c r="DP256" s="232"/>
      <c r="DQ256" s="233"/>
      <c r="DR256" s="233"/>
      <c r="DS256" s="232"/>
      <c r="DT256" s="232"/>
      <c r="DU256" s="232"/>
      <c r="DV256" s="232"/>
      <c r="DW256" s="232"/>
      <c r="DX256" s="232"/>
      <c r="DY256" s="232"/>
      <c r="DZ256" s="232"/>
      <c r="EA256" s="232"/>
      <c r="EB256" s="232"/>
      <c r="EC256" s="232"/>
      <c r="ED256" s="232"/>
      <c r="EE256" s="232"/>
      <c r="EF256" s="232"/>
      <c r="EG256" s="232"/>
      <c r="EH256" s="232"/>
      <c r="EI256" s="232"/>
      <c r="EJ256" s="232"/>
      <c r="EK256" s="231"/>
      <c r="EL256" s="231"/>
      <c r="EM256" s="232"/>
      <c r="EN256" s="232"/>
      <c r="EO256" s="232"/>
      <c r="EP256" s="232"/>
      <c r="EQ256" s="232"/>
      <c r="ER256" s="232"/>
      <c r="ES256" s="232"/>
      <c r="ET256" s="232"/>
      <c r="EU256" s="232"/>
      <c r="EV256" s="232"/>
      <c r="EW256" s="232"/>
      <c r="EX256" s="232"/>
      <c r="EY256" s="232"/>
      <c r="EZ256" s="232"/>
      <c r="FA256" s="232"/>
      <c r="FB256" s="232"/>
      <c r="FC256" s="232"/>
      <c r="FD256" s="232"/>
      <c r="FE256" s="232"/>
      <c r="FF256" s="232"/>
      <c r="FG256" s="232"/>
      <c r="FH256" s="232"/>
      <c r="FI256" s="232"/>
      <c r="FJ256" s="232"/>
      <c r="FK256" s="232"/>
      <c r="FL256" s="232"/>
      <c r="FM256" s="232"/>
      <c r="FN256" s="232"/>
      <c r="FO256" s="232"/>
      <c r="FP256" s="232"/>
      <c r="FQ256" s="232"/>
      <c r="FR256" s="232"/>
      <c r="FS256" s="232"/>
      <c r="FT256" s="232">
        <v>115.77</v>
      </c>
      <c r="FU256" s="232">
        <v>45.21</v>
      </c>
      <c r="FV256" s="232"/>
      <c r="FW256" s="232"/>
      <c r="FX256" s="232" t="s">
        <v>303</v>
      </c>
      <c r="FY256" s="232"/>
      <c r="FZ256" s="232"/>
      <c r="GA256" s="232"/>
      <c r="GB256" s="232"/>
      <c r="GC256" s="232"/>
      <c r="GD256" s="232"/>
      <c r="GE256" s="232"/>
      <c r="GF256" s="232"/>
      <c r="GG256" s="232"/>
      <c r="GH256" s="232"/>
      <c r="GI256" s="232"/>
      <c r="GJ256" s="232"/>
      <c r="GK256" s="232"/>
      <c r="GL256" s="232"/>
      <c r="GM256" s="232"/>
      <c r="GN256" s="294">
        <v>190.68</v>
      </c>
      <c r="GO256" s="294">
        <v>69.8</v>
      </c>
      <c r="GP256" s="292" t="s">
        <v>5150</v>
      </c>
      <c r="GQ256" s="232">
        <f>(267.2-GL256)*2</f>
        <v>534.4</v>
      </c>
      <c r="GR256" s="232">
        <f>(267.2-GM256)*2</f>
        <v>534.4</v>
      </c>
      <c r="GS256" s="232" t="s">
        <v>1800</v>
      </c>
      <c r="GT256" s="232"/>
      <c r="GU256" s="232"/>
      <c r="GV256" s="232"/>
      <c r="GW256" s="232"/>
      <c r="GX256" s="232"/>
      <c r="GY256" s="232"/>
      <c r="GZ256" s="232"/>
      <c r="HA256" s="232"/>
      <c r="HB256" s="232"/>
      <c r="HC256" s="232"/>
      <c r="HD256" s="232"/>
      <c r="HE256" s="232"/>
      <c r="HF256" s="232"/>
      <c r="HG256" s="232"/>
      <c r="HH256" s="232"/>
      <c r="HI256" s="232"/>
      <c r="HJ256" s="232"/>
      <c r="HK256" s="232"/>
      <c r="HL256" s="232"/>
      <c r="HM256" s="232"/>
      <c r="HN256" s="232"/>
      <c r="HO256" s="232"/>
      <c r="HP256" s="232"/>
      <c r="HQ256" s="232"/>
      <c r="HR256" s="232"/>
      <c r="HS256" s="233"/>
      <c r="HT256" s="232"/>
      <c r="HU256" s="232"/>
      <c r="HV256" s="232"/>
      <c r="HW256" s="233"/>
      <c r="HX256" s="232"/>
      <c r="HY256" s="232"/>
      <c r="HZ256" s="232"/>
      <c r="IA256" s="232"/>
      <c r="IB256" s="232"/>
      <c r="IC256" s="232"/>
      <c r="ID256" s="232"/>
      <c r="IE256" s="232"/>
      <c r="IF256" s="232"/>
      <c r="IG256" s="232"/>
      <c r="IH256" s="232"/>
      <c r="II256" s="232"/>
      <c r="IJ256" s="232"/>
      <c r="IK256" s="232"/>
      <c r="IL256" s="232"/>
      <c r="IM256" s="232"/>
      <c r="IN256" s="232"/>
      <c r="IO256" s="232"/>
      <c r="IP256" s="232"/>
      <c r="IQ256" s="232"/>
      <c r="IR256" s="232"/>
      <c r="IS256" s="232"/>
      <c r="IT256" s="232"/>
      <c r="IU256" s="232"/>
      <c r="IV256" s="232"/>
      <c r="IW256" s="232"/>
      <c r="IX256" s="232"/>
      <c r="IY256" s="232"/>
      <c r="IZ256" s="232"/>
      <c r="JA256" s="232"/>
      <c r="JB256" s="232"/>
      <c r="JC256" s="232"/>
      <c r="JD256" s="232"/>
      <c r="JE256" s="232"/>
      <c r="JF256" s="232"/>
      <c r="JG256" s="232"/>
      <c r="JH256" s="232"/>
      <c r="JI256" s="232"/>
      <c r="JJ256" s="232"/>
      <c r="JK256" s="232"/>
      <c r="JL256" s="232"/>
      <c r="JM256" s="232"/>
      <c r="JN256" s="232"/>
      <c r="JO256" s="232"/>
      <c r="JP256" s="232"/>
      <c r="JQ256" s="232"/>
      <c r="JR256" s="232"/>
      <c r="JS256" s="232"/>
      <c r="JT256" s="232"/>
      <c r="JU256" s="181" t="s">
        <v>328</v>
      </c>
      <c r="JV256" s="181"/>
      <c r="JW256" s="181"/>
    </row>
    <row r="257" spans="1:283" s="229" customFormat="1" x14ac:dyDescent="0.25">
      <c r="A257" s="181">
        <v>256</v>
      </c>
      <c r="B257" s="229" t="s">
        <v>7067</v>
      </c>
      <c r="C257" s="230">
        <v>17</v>
      </c>
      <c r="D257" s="181" t="s">
        <v>3749</v>
      </c>
      <c r="E257" s="231" t="s">
        <v>296</v>
      </c>
      <c r="F257" s="231"/>
      <c r="G257" s="181" t="s">
        <v>297</v>
      </c>
      <c r="H257" s="181">
        <v>2016</v>
      </c>
      <c r="I257" s="181">
        <v>2012</v>
      </c>
      <c r="J257" s="181" t="s">
        <v>282</v>
      </c>
      <c r="K257" s="181" t="s">
        <v>298</v>
      </c>
      <c r="L257" s="181" t="s">
        <v>2737</v>
      </c>
      <c r="M257" s="231">
        <f>40+43/60</f>
        <v>40.716666666666669</v>
      </c>
      <c r="N257" s="231">
        <f>-77-55/60</f>
        <v>-77.916666666666671</v>
      </c>
      <c r="O257" s="231">
        <v>350</v>
      </c>
      <c r="P257" s="181"/>
      <c r="Q257" s="181"/>
      <c r="R257" s="181"/>
      <c r="S257" s="231">
        <v>975</v>
      </c>
      <c r="T257" s="181"/>
      <c r="U257" s="181">
        <v>2</v>
      </c>
      <c r="V257" s="181" t="s">
        <v>1805</v>
      </c>
      <c r="W257" s="181"/>
      <c r="X257" s="181"/>
      <c r="Y257" s="181" t="s">
        <v>1823</v>
      </c>
      <c r="Z257" s="181" t="s">
        <v>1356</v>
      </c>
      <c r="AA257" s="231" t="s">
        <v>1680</v>
      </c>
      <c r="AB257" s="232"/>
      <c r="AC257" s="232"/>
      <c r="AD257" s="231"/>
      <c r="AE257" s="231"/>
      <c r="AF257" s="231"/>
      <c r="AG257" s="231"/>
      <c r="AH257" s="181" t="s">
        <v>6378</v>
      </c>
      <c r="AI257" s="181"/>
      <c r="AJ257" s="231"/>
      <c r="AK257" s="231"/>
      <c r="AL257" s="181"/>
      <c r="AM257" s="181" t="s">
        <v>1286</v>
      </c>
      <c r="AN257" s="185" t="s">
        <v>1470</v>
      </c>
      <c r="AO257" s="185" t="s">
        <v>5150</v>
      </c>
      <c r="AP257" s="181"/>
      <c r="AQ257" s="181" t="s">
        <v>610</v>
      </c>
      <c r="AR257" s="181" t="s">
        <v>132</v>
      </c>
      <c r="AS257" s="181" t="s">
        <v>1584</v>
      </c>
      <c r="AT257" s="181" t="s">
        <v>299</v>
      </c>
      <c r="AU257" s="181" t="s">
        <v>5150</v>
      </c>
      <c r="AV257" s="185" t="s">
        <v>479</v>
      </c>
      <c r="AW257" s="181" t="s">
        <v>299</v>
      </c>
      <c r="AX257" s="185" t="s">
        <v>479</v>
      </c>
      <c r="AY257" s="181" t="s">
        <v>176</v>
      </c>
      <c r="AZ257" s="181"/>
      <c r="BA257" s="181"/>
      <c r="BB257" s="181"/>
      <c r="BC257" s="181"/>
      <c r="BD257" s="181"/>
      <c r="BE257" s="226" t="s">
        <v>300</v>
      </c>
      <c r="BF257" s="55" t="s">
        <v>479</v>
      </c>
      <c r="BG257" s="55" t="s">
        <v>479</v>
      </c>
      <c r="BH257" s="226" t="s">
        <v>300</v>
      </c>
      <c r="BI257" s="55" t="s">
        <v>479</v>
      </c>
      <c r="BJ257" s="181" t="s">
        <v>176</v>
      </c>
      <c r="BK257" s="181" t="s">
        <v>5976</v>
      </c>
      <c r="BL257" s="181"/>
      <c r="BM257" s="192" t="s">
        <v>160</v>
      </c>
      <c r="BN257" s="181">
        <v>4</v>
      </c>
      <c r="BO257" s="181">
        <v>4</v>
      </c>
      <c r="BP257" s="181"/>
      <c r="BQ257" s="181" t="s">
        <v>141</v>
      </c>
      <c r="BR257" s="181"/>
      <c r="BS257" s="181">
        <v>9531</v>
      </c>
      <c r="BT257" s="181">
        <v>30.7</v>
      </c>
      <c r="BU257" s="181"/>
      <c r="BV257" s="181"/>
      <c r="BW257" s="232"/>
      <c r="BX257" s="232"/>
      <c r="BY257" s="232"/>
      <c r="BZ257" s="232"/>
      <c r="CA257" s="232"/>
      <c r="CB257" s="183">
        <v>8826</v>
      </c>
      <c r="CC257" s="183">
        <v>6248</v>
      </c>
      <c r="CD257" s="183"/>
      <c r="CE257" s="232"/>
      <c r="CF257" s="232"/>
      <c r="CG257" s="232"/>
      <c r="CH257" s="231"/>
      <c r="CI257" s="231"/>
      <c r="CJ257" s="232"/>
      <c r="CK257" s="232"/>
      <c r="CL257" s="232"/>
      <c r="CM257" s="232"/>
      <c r="CN257" s="232"/>
      <c r="CO257" s="232"/>
      <c r="CP257" s="232"/>
      <c r="CQ257" s="232"/>
      <c r="CR257" s="232"/>
      <c r="CS257" s="232"/>
      <c r="CT257" s="232"/>
      <c r="CU257" s="232"/>
      <c r="CV257" s="232"/>
      <c r="CW257" s="232"/>
      <c r="CX257" s="232"/>
      <c r="CY257" s="232"/>
      <c r="CZ257" s="232"/>
      <c r="DA257" s="232"/>
      <c r="DB257" s="232">
        <f>15.23*0.614</f>
        <v>9.3512199999999996</v>
      </c>
      <c r="DC257" s="232">
        <v>6.74</v>
      </c>
      <c r="DD257" s="232"/>
      <c r="DE257" s="232"/>
      <c r="DF257" s="232" t="s">
        <v>327</v>
      </c>
      <c r="DG257" s="232"/>
      <c r="DH257" s="232"/>
      <c r="DI257" s="232"/>
      <c r="DJ257" s="232"/>
      <c r="DK257" s="232" t="s">
        <v>328</v>
      </c>
      <c r="DL257" s="232"/>
      <c r="DM257" s="232"/>
      <c r="DN257" s="232"/>
      <c r="DO257" s="232"/>
      <c r="DP257" s="232"/>
      <c r="DQ257" s="233"/>
      <c r="DR257" s="233"/>
      <c r="DS257" s="232"/>
      <c r="DT257" s="232"/>
      <c r="DU257" s="232"/>
      <c r="DV257" s="232"/>
      <c r="DW257" s="232"/>
      <c r="DX257" s="232"/>
      <c r="DY257" s="232"/>
      <c r="DZ257" s="232"/>
      <c r="EA257" s="232"/>
      <c r="EB257" s="232"/>
      <c r="EC257" s="232"/>
      <c r="ED257" s="232"/>
      <c r="EE257" s="232"/>
      <c r="EF257" s="232"/>
      <c r="EG257" s="232"/>
      <c r="EH257" s="232"/>
      <c r="EI257" s="232"/>
      <c r="EJ257" s="232"/>
      <c r="EK257" s="231"/>
      <c r="EL257" s="231"/>
      <c r="EM257" s="232"/>
      <c r="EN257" s="232"/>
      <c r="EO257" s="232"/>
      <c r="EP257" s="232"/>
      <c r="EQ257" s="232"/>
      <c r="ER257" s="232"/>
      <c r="ES257" s="232"/>
      <c r="ET257" s="232"/>
      <c r="EU257" s="232"/>
      <c r="EV257" s="232"/>
      <c r="EW257" s="232"/>
      <c r="EX257" s="232"/>
      <c r="EY257" s="232"/>
      <c r="EZ257" s="232"/>
      <c r="FA257" s="232"/>
      <c r="FB257" s="232"/>
      <c r="FC257" s="232"/>
      <c r="FD257" s="232"/>
      <c r="FE257" s="232"/>
      <c r="FF257" s="232"/>
      <c r="FG257" s="232"/>
      <c r="FH257" s="232"/>
      <c r="FI257" s="232"/>
      <c r="FJ257" s="232"/>
      <c r="FK257" s="232"/>
      <c r="FL257" s="232"/>
      <c r="FM257" s="232"/>
      <c r="FN257" s="232"/>
      <c r="FO257" s="232"/>
      <c r="FP257" s="232"/>
      <c r="FQ257" s="232"/>
      <c r="FR257" s="232"/>
      <c r="FS257" s="232"/>
      <c r="FT257" s="232">
        <v>115.77</v>
      </c>
      <c r="FU257" s="232">
        <v>14.25</v>
      </c>
      <c r="FV257" s="232"/>
      <c r="FW257" s="232"/>
      <c r="FX257" s="232" t="s">
        <v>303</v>
      </c>
      <c r="FY257" s="232"/>
      <c r="FZ257" s="232"/>
      <c r="GA257" s="232"/>
      <c r="GB257" s="232"/>
      <c r="GC257" s="232"/>
      <c r="GD257" s="232"/>
      <c r="GE257" s="232"/>
      <c r="GF257" s="232"/>
      <c r="GG257" s="232"/>
      <c r="GH257" s="232"/>
      <c r="GI257" s="232"/>
      <c r="GJ257" s="232"/>
      <c r="GK257" s="232"/>
      <c r="GL257" s="232"/>
      <c r="GM257" s="232"/>
      <c r="GN257" s="294">
        <v>190.68</v>
      </c>
      <c r="GO257" s="294">
        <v>21.63</v>
      </c>
      <c r="GP257" s="292" t="s">
        <v>5150</v>
      </c>
      <c r="GQ257" s="232">
        <f>(267.2-GL257)*2</f>
        <v>534.4</v>
      </c>
      <c r="GR257" s="232">
        <f>(267.2-GM257)*2</f>
        <v>534.4</v>
      </c>
      <c r="GS257" s="232" t="s">
        <v>1800</v>
      </c>
      <c r="GT257" s="232"/>
      <c r="GU257" s="232"/>
      <c r="GV257" s="232"/>
      <c r="GW257" s="232"/>
      <c r="GX257" s="232"/>
      <c r="GY257" s="232"/>
      <c r="GZ257" s="232"/>
      <c r="HA257" s="232"/>
      <c r="HB257" s="232"/>
      <c r="HC257" s="232"/>
      <c r="HD257" s="232"/>
      <c r="HE257" s="232"/>
      <c r="HF257" s="232"/>
      <c r="HG257" s="232"/>
      <c r="HH257" s="232"/>
      <c r="HI257" s="232"/>
      <c r="HJ257" s="232"/>
      <c r="HK257" s="232"/>
      <c r="HL257" s="232"/>
      <c r="HM257" s="232"/>
      <c r="HN257" s="232"/>
      <c r="HO257" s="232"/>
      <c r="HP257" s="232"/>
      <c r="HQ257" s="232"/>
      <c r="HR257" s="232"/>
      <c r="HS257" s="233"/>
      <c r="HT257" s="232"/>
      <c r="HU257" s="232"/>
      <c r="HV257" s="232"/>
      <c r="HW257" s="233"/>
      <c r="HX257" s="232"/>
      <c r="HY257" s="232"/>
      <c r="HZ257" s="232"/>
      <c r="IA257" s="232"/>
      <c r="IB257" s="232"/>
      <c r="IC257" s="232"/>
      <c r="ID257" s="232"/>
      <c r="IE257" s="232"/>
      <c r="IF257" s="232"/>
      <c r="IG257" s="232"/>
      <c r="IH257" s="232"/>
      <c r="II257" s="232"/>
      <c r="IJ257" s="232"/>
      <c r="IK257" s="232"/>
      <c r="IL257" s="232"/>
      <c r="IM257" s="232"/>
      <c r="IN257" s="232"/>
      <c r="IO257" s="232"/>
      <c r="IP257" s="232"/>
      <c r="IQ257" s="232"/>
      <c r="IR257" s="232"/>
      <c r="IS257" s="232"/>
      <c r="IT257" s="232"/>
      <c r="IU257" s="232"/>
      <c r="IV257" s="232"/>
      <c r="IW257" s="232"/>
      <c r="IX257" s="232"/>
      <c r="IY257" s="232"/>
      <c r="IZ257" s="232"/>
      <c r="JA257" s="232"/>
      <c r="JB257" s="232"/>
      <c r="JC257" s="232"/>
      <c r="JD257" s="232"/>
      <c r="JE257" s="232"/>
      <c r="JF257" s="232"/>
      <c r="JG257" s="232"/>
      <c r="JH257" s="232"/>
      <c r="JI257" s="232"/>
      <c r="JJ257" s="232"/>
      <c r="JK257" s="232"/>
      <c r="JL257" s="232"/>
      <c r="JM257" s="232"/>
      <c r="JN257" s="232"/>
      <c r="JO257" s="232"/>
      <c r="JP257" s="232"/>
      <c r="JQ257" s="232"/>
      <c r="JR257" s="232"/>
      <c r="JS257" s="232"/>
      <c r="JT257" s="232"/>
      <c r="JU257" s="181" t="s">
        <v>328</v>
      </c>
      <c r="JV257" s="181"/>
      <c r="JW257" s="181"/>
    </row>
    <row r="258" spans="1:283" s="229" customFormat="1" x14ac:dyDescent="0.25">
      <c r="A258" s="181">
        <v>257</v>
      </c>
      <c r="B258" s="229" t="s">
        <v>7067</v>
      </c>
      <c r="C258" s="230">
        <v>17</v>
      </c>
      <c r="D258" s="181" t="s">
        <v>3749</v>
      </c>
      <c r="E258" s="231" t="s">
        <v>296</v>
      </c>
      <c r="F258" s="231"/>
      <c r="G258" s="181" t="s">
        <v>297</v>
      </c>
      <c r="H258" s="181">
        <v>2016</v>
      </c>
      <c r="I258" s="181">
        <v>2012</v>
      </c>
      <c r="J258" s="181" t="s">
        <v>282</v>
      </c>
      <c r="K258" s="181" t="s">
        <v>298</v>
      </c>
      <c r="L258" s="181" t="s">
        <v>2737</v>
      </c>
      <c r="M258" s="231">
        <f>40+43/60</f>
        <v>40.716666666666669</v>
      </c>
      <c r="N258" s="231">
        <f>-77-55/60</f>
        <v>-77.916666666666671</v>
      </c>
      <c r="O258" s="231">
        <v>350</v>
      </c>
      <c r="P258" s="181"/>
      <c r="Q258" s="181"/>
      <c r="R258" s="181"/>
      <c r="S258" s="231">
        <v>975</v>
      </c>
      <c r="T258" s="181"/>
      <c r="U258" s="181">
        <v>2</v>
      </c>
      <c r="V258" s="181" t="s">
        <v>1805</v>
      </c>
      <c r="W258" s="181"/>
      <c r="X258" s="181"/>
      <c r="Y258" s="181" t="s">
        <v>1823</v>
      </c>
      <c r="Z258" s="181" t="s">
        <v>1356</v>
      </c>
      <c r="AA258" s="231" t="s">
        <v>1680</v>
      </c>
      <c r="AB258" s="232"/>
      <c r="AC258" s="232"/>
      <c r="AD258" s="231"/>
      <c r="AE258" s="231"/>
      <c r="AF258" s="231"/>
      <c r="AG258" s="231"/>
      <c r="AH258" s="181" t="s">
        <v>6378</v>
      </c>
      <c r="AI258" s="181"/>
      <c r="AJ258" s="231"/>
      <c r="AK258" s="231"/>
      <c r="AL258" s="181"/>
      <c r="AM258" s="181" t="s">
        <v>1286</v>
      </c>
      <c r="AN258" s="185" t="s">
        <v>1471</v>
      </c>
      <c r="AO258" s="185" t="s">
        <v>5150</v>
      </c>
      <c r="AP258" s="181"/>
      <c r="AQ258" s="181" t="s">
        <v>610</v>
      </c>
      <c r="AR258" s="181" t="s">
        <v>132</v>
      </c>
      <c r="AS258" s="181" t="s">
        <v>1584</v>
      </c>
      <c r="AT258" s="181" t="s">
        <v>299</v>
      </c>
      <c r="AU258" s="181" t="s">
        <v>5150</v>
      </c>
      <c r="AV258" s="185" t="s">
        <v>479</v>
      </c>
      <c r="AW258" s="181" t="s">
        <v>299</v>
      </c>
      <c r="AX258" s="185" t="s">
        <v>479</v>
      </c>
      <c r="AY258" s="181" t="s">
        <v>176</v>
      </c>
      <c r="AZ258" s="181"/>
      <c r="BA258" s="181"/>
      <c r="BB258" s="181"/>
      <c r="BC258" s="181"/>
      <c r="BD258" s="181"/>
      <c r="BE258" s="226" t="s">
        <v>300</v>
      </c>
      <c r="BF258" s="55" t="s">
        <v>479</v>
      </c>
      <c r="BG258" s="55" t="s">
        <v>479</v>
      </c>
      <c r="BH258" s="226" t="s">
        <v>300</v>
      </c>
      <c r="BI258" s="55" t="s">
        <v>479</v>
      </c>
      <c r="BJ258" s="181" t="s">
        <v>176</v>
      </c>
      <c r="BK258" s="181" t="s">
        <v>5976</v>
      </c>
      <c r="BL258" s="181"/>
      <c r="BM258" s="192" t="s">
        <v>160</v>
      </c>
      <c r="BN258" s="181">
        <v>4</v>
      </c>
      <c r="BO258" s="181">
        <v>4</v>
      </c>
      <c r="BP258" s="181"/>
      <c r="BQ258" s="181" t="s">
        <v>141</v>
      </c>
      <c r="BR258" s="181"/>
      <c r="BS258" s="181">
        <v>9194</v>
      </c>
      <c r="BT258" s="181">
        <v>40.200000000000003</v>
      </c>
      <c r="BU258" s="181"/>
      <c r="BV258" s="181"/>
      <c r="BW258" s="232"/>
      <c r="BX258" s="232"/>
      <c r="BY258" s="232"/>
      <c r="BZ258" s="232"/>
      <c r="CA258" s="232"/>
      <c r="CB258" s="183">
        <v>8826</v>
      </c>
      <c r="CC258" s="183">
        <v>3273</v>
      </c>
      <c r="CD258" s="183"/>
      <c r="CE258" s="232"/>
      <c r="CF258" s="232"/>
      <c r="CG258" s="232"/>
      <c r="CH258" s="231"/>
      <c r="CI258" s="231"/>
      <c r="CJ258" s="232"/>
      <c r="CK258" s="232"/>
      <c r="CL258" s="232"/>
      <c r="CM258" s="232"/>
      <c r="CN258" s="232"/>
      <c r="CO258" s="232"/>
      <c r="CP258" s="232"/>
      <c r="CQ258" s="232"/>
      <c r="CR258" s="232"/>
      <c r="CS258" s="232"/>
      <c r="CT258" s="232"/>
      <c r="CU258" s="232"/>
      <c r="CV258" s="232"/>
      <c r="CW258" s="232"/>
      <c r="CX258" s="232"/>
      <c r="CY258" s="232"/>
      <c r="CZ258" s="232"/>
      <c r="DA258" s="232"/>
      <c r="DB258" s="232">
        <f>15.23*0.614</f>
        <v>9.3512199999999996</v>
      </c>
      <c r="DC258" s="232">
        <v>3.17</v>
      </c>
      <c r="DD258" s="232"/>
      <c r="DE258" s="232"/>
      <c r="DF258" s="232" t="s">
        <v>327</v>
      </c>
      <c r="DG258" s="232"/>
      <c r="DH258" s="232"/>
      <c r="DI258" s="232"/>
      <c r="DJ258" s="232"/>
      <c r="DK258" s="232" t="s">
        <v>328</v>
      </c>
      <c r="DL258" s="232"/>
      <c r="DM258" s="232"/>
      <c r="DN258" s="232"/>
      <c r="DO258" s="232"/>
      <c r="DP258" s="232"/>
      <c r="DQ258" s="233"/>
      <c r="DR258" s="233"/>
      <c r="DS258" s="232"/>
      <c r="DT258" s="232"/>
      <c r="DU258" s="232"/>
      <c r="DV258" s="232"/>
      <c r="DW258" s="232"/>
      <c r="DX258" s="232"/>
      <c r="DY258" s="232"/>
      <c r="DZ258" s="232"/>
      <c r="EA258" s="232"/>
      <c r="EB258" s="232"/>
      <c r="EC258" s="232"/>
      <c r="ED258" s="232"/>
      <c r="EE258" s="232"/>
      <c r="EF258" s="232"/>
      <c r="EG258" s="232"/>
      <c r="EH258" s="232"/>
      <c r="EI258" s="232"/>
      <c r="EJ258" s="232"/>
      <c r="EK258" s="231"/>
      <c r="EL258" s="231"/>
      <c r="EM258" s="232"/>
      <c r="EN258" s="232"/>
      <c r="EO258" s="232"/>
      <c r="EP258" s="232"/>
      <c r="EQ258" s="232"/>
      <c r="ER258" s="232"/>
      <c r="ES258" s="232"/>
      <c r="ET258" s="232"/>
      <c r="EU258" s="232"/>
      <c r="EV258" s="232"/>
      <c r="EW258" s="232"/>
      <c r="EX258" s="232"/>
      <c r="EY258" s="232"/>
      <c r="EZ258" s="232"/>
      <c r="FA258" s="232"/>
      <c r="FB258" s="232"/>
      <c r="FC258" s="232"/>
      <c r="FD258" s="232"/>
      <c r="FE258" s="232"/>
      <c r="FF258" s="232"/>
      <c r="FG258" s="232"/>
      <c r="FH258" s="232"/>
      <c r="FI258" s="232"/>
      <c r="FJ258" s="232"/>
      <c r="FK258" s="232"/>
      <c r="FL258" s="232"/>
      <c r="FM258" s="232"/>
      <c r="FN258" s="232"/>
      <c r="FO258" s="232"/>
      <c r="FP258" s="232"/>
      <c r="FQ258" s="232"/>
      <c r="FR258" s="232"/>
      <c r="FS258" s="232"/>
      <c r="FT258" s="232">
        <v>115.77</v>
      </c>
      <c r="FU258" s="232">
        <v>13.79</v>
      </c>
      <c r="FV258" s="232"/>
      <c r="FW258" s="232"/>
      <c r="FX258" s="232" t="s">
        <v>303</v>
      </c>
      <c r="FY258" s="232"/>
      <c r="FZ258" s="232"/>
      <c r="GA258" s="232"/>
      <c r="GB258" s="232"/>
      <c r="GC258" s="232"/>
      <c r="GD258" s="232"/>
      <c r="GE258" s="232"/>
      <c r="GF258" s="232"/>
      <c r="GG258" s="232"/>
      <c r="GH258" s="232"/>
      <c r="GI258" s="232"/>
      <c r="GJ258" s="232"/>
      <c r="GK258" s="232"/>
      <c r="GL258" s="232"/>
      <c r="GM258" s="232"/>
      <c r="GN258" s="294">
        <v>190.68</v>
      </c>
      <c r="GO258" s="294">
        <v>11.57</v>
      </c>
      <c r="GP258" s="292" t="s">
        <v>5150</v>
      </c>
      <c r="GQ258" s="232">
        <f>(267.2-GL258)*2</f>
        <v>534.4</v>
      </c>
      <c r="GR258" s="232">
        <f>(267.2-GM258)*2</f>
        <v>534.4</v>
      </c>
      <c r="GS258" s="232" t="s">
        <v>1800</v>
      </c>
      <c r="GT258" s="232"/>
      <c r="GU258" s="232"/>
      <c r="GV258" s="232"/>
      <c r="GW258" s="232"/>
      <c r="GX258" s="232"/>
      <c r="GY258" s="232"/>
      <c r="GZ258" s="232"/>
      <c r="HA258" s="232"/>
      <c r="HB258" s="232"/>
      <c r="HC258" s="232"/>
      <c r="HD258" s="232"/>
      <c r="HE258" s="232"/>
      <c r="HF258" s="232"/>
      <c r="HG258" s="232"/>
      <c r="HH258" s="232"/>
      <c r="HI258" s="232"/>
      <c r="HJ258" s="232"/>
      <c r="HK258" s="232"/>
      <c r="HL258" s="232"/>
      <c r="HM258" s="232"/>
      <c r="HN258" s="232"/>
      <c r="HO258" s="232"/>
      <c r="HP258" s="232"/>
      <c r="HQ258" s="232"/>
      <c r="HR258" s="232"/>
      <c r="HS258" s="233"/>
      <c r="HT258" s="232"/>
      <c r="HU258" s="232"/>
      <c r="HV258" s="232"/>
      <c r="HW258" s="233"/>
      <c r="HX258" s="232"/>
      <c r="HY258" s="232"/>
      <c r="HZ258" s="232"/>
      <c r="IA258" s="232"/>
      <c r="IB258" s="232"/>
      <c r="IC258" s="232"/>
      <c r="ID258" s="232"/>
      <c r="IE258" s="232"/>
      <c r="IF258" s="232"/>
      <c r="IG258" s="232"/>
      <c r="IH258" s="232"/>
      <c r="II258" s="232"/>
      <c r="IJ258" s="232"/>
      <c r="IK258" s="232"/>
      <c r="IL258" s="232"/>
      <c r="IM258" s="232"/>
      <c r="IN258" s="232"/>
      <c r="IO258" s="232"/>
      <c r="IP258" s="232"/>
      <c r="IQ258" s="232"/>
      <c r="IR258" s="232"/>
      <c r="IS258" s="232"/>
      <c r="IT258" s="232"/>
      <c r="IU258" s="232"/>
      <c r="IV258" s="232"/>
      <c r="IW258" s="232"/>
      <c r="IX258" s="232"/>
      <c r="IY258" s="232"/>
      <c r="IZ258" s="232"/>
      <c r="JA258" s="232"/>
      <c r="JB258" s="232"/>
      <c r="JC258" s="232"/>
      <c r="JD258" s="232"/>
      <c r="JE258" s="232"/>
      <c r="JF258" s="232"/>
      <c r="JG258" s="232"/>
      <c r="JH258" s="232"/>
      <c r="JI258" s="232"/>
      <c r="JJ258" s="232"/>
      <c r="JK258" s="232"/>
      <c r="JL258" s="232"/>
      <c r="JM258" s="232"/>
      <c r="JN258" s="232"/>
      <c r="JO258" s="232"/>
      <c r="JP258" s="232"/>
      <c r="JQ258" s="232"/>
      <c r="JR258" s="232"/>
      <c r="JS258" s="232"/>
      <c r="JT258" s="232"/>
      <c r="JU258" s="181" t="s">
        <v>328</v>
      </c>
      <c r="JV258" s="181"/>
      <c r="JW258" s="181"/>
    </row>
    <row r="259" spans="1:283" s="229" customFormat="1" x14ac:dyDescent="0.25">
      <c r="A259" s="181">
        <v>258</v>
      </c>
      <c r="B259" s="229" t="s">
        <v>7067</v>
      </c>
      <c r="C259" s="230">
        <v>17</v>
      </c>
      <c r="D259" s="181" t="s">
        <v>3749</v>
      </c>
      <c r="E259" s="231" t="s">
        <v>296</v>
      </c>
      <c r="F259" s="231"/>
      <c r="G259" s="181" t="s">
        <v>297</v>
      </c>
      <c r="H259" s="181">
        <v>2016</v>
      </c>
      <c r="I259" s="181">
        <v>2012</v>
      </c>
      <c r="J259" s="181" t="s">
        <v>282</v>
      </c>
      <c r="K259" s="181" t="s">
        <v>298</v>
      </c>
      <c r="L259" s="181" t="s">
        <v>2737</v>
      </c>
      <c r="M259" s="231">
        <f>40+43/60</f>
        <v>40.716666666666669</v>
      </c>
      <c r="N259" s="231">
        <f>-77-55/60</f>
        <v>-77.916666666666671</v>
      </c>
      <c r="O259" s="231">
        <v>350</v>
      </c>
      <c r="P259" s="181"/>
      <c r="Q259" s="181"/>
      <c r="R259" s="181"/>
      <c r="S259" s="231">
        <v>975</v>
      </c>
      <c r="T259" s="181"/>
      <c r="U259" s="181">
        <v>2</v>
      </c>
      <c r="V259" s="181" t="s">
        <v>1805</v>
      </c>
      <c r="W259" s="181"/>
      <c r="X259" s="181"/>
      <c r="Y259" s="181" t="s">
        <v>1823</v>
      </c>
      <c r="Z259" s="181" t="s">
        <v>1356</v>
      </c>
      <c r="AA259" s="231" t="s">
        <v>1680</v>
      </c>
      <c r="AB259" s="232"/>
      <c r="AC259" s="232"/>
      <c r="AD259" s="231"/>
      <c r="AE259" s="231"/>
      <c r="AF259" s="231"/>
      <c r="AG259" s="231"/>
      <c r="AH259" s="181" t="s">
        <v>6378</v>
      </c>
      <c r="AI259" s="181"/>
      <c r="AJ259" s="231"/>
      <c r="AK259" s="231"/>
      <c r="AL259" s="181"/>
      <c r="AM259" s="181" t="s">
        <v>1286</v>
      </c>
      <c r="AN259" s="185" t="s">
        <v>1472</v>
      </c>
      <c r="AO259" s="185" t="s">
        <v>5150</v>
      </c>
      <c r="AP259" s="181"/>
      <c r="AQ259" s="181" t="s">
        <v>610</v>
      </c>
      <c r="AR259" s="181" t="s">
        <v>132</v>
      </c>
      <c r="AS259" s="181" t="s">
        <v>1584</v>
      </c>
      <c r="AT259" s="181" t="s">
        <v>299</v>
      </c>
      <c r="AU259" s="181" t="s">
        <v>5150</v>
      </c>
      <c r="AV259" s="185" t="s">
        <v>479</v>
      </c>
      <c r="AW259" s="181" t="s">
        <v>299</v>
      </c>
      <c r="AX259" s="185" t="s">
        <v>479</v>
      </c>
      <c r="AY259" s="181" t="s">
        <v>176</v>
      </c>
      <c r="AZ259" s="181"/>
      <c r="BA259" s="181"/>
      <c r="BB259" s="181"/>
      <c r="BC259" s="181"/>
      <c r="BD259" s="181"/>
      <c r="BE259" s="226" t="s">
        <v>300</v>
      </c>
      <c r="BF259" s="55" t="s">
        <v>479</v>
      </c>
      <c r="BG259" s="55" t="s">
        <v>479</v>
      </c>
      <c r="BH259" s="226" t="s">
        <v>300</v>
      </c>
      <c r="BI259" s="55" t="s">
        <v>479</v>
      </c>
      <c r="BJ259" s="181" t="s">
        <v>176</v>
      </c>
      <c r="BK259" s="181" t="s">
        <v>5976</v>
      </c>
      <c r="BL259" s="181"/>
      <c r="BM259" s="192" t="s">
        <v>160</v>
      </c>
      <c r="BN259" s="181">
        <v>4</v>
      </c>
      <c r="BO259" s="181">
        <v>4</v>
      </c>
      <c r="BP259" s="181"/>
      <c r="BQ259" s="181" t="s">
        <v>141</v>
      </c>
      <c r="BR259" s="181"/>
      <c r="BS259" s="181">
        <v>3801</v>
      </c>
      <c r="BT259" s="181">
        <v>17.600000000000001</v>
      </c>
      <c r="BU259" s="181"/>
      <c r="BV259" s="181"/>
      <c r="BW259" s="232"/>
      <c r="BX259" s="232"/>
      <c r="BY259" s="232"/>
      <c r="BZ259" s="232"/>
      <c r="CA259" s="232"/>
      <c r="CB259" s="183">
        <v>8826</v>
      </c>
      <c r="CC259" s="183">
        <v>10182</v>
      </c>
      <c r="CD259" s="183"/>
      <c r="CE259" s="232"/>
      <c r="CF259" s="232"/>
      <c r="CG259" s="232"/>
      <c r="CH259" s="231"/>
      <c r="CI259" s="231"/>
      <c r="CJ259" s="232"/>
      <c r="CK259" s="232"/>
      <c r="CL259" s="232"/>
      <c r="CM259" s="232"/>
      <c r="CN259" s="232"/>
      <c r="CO259" s="232"/>
      <c r="CP259" s="232"/>
      <c r="CQ259" s="232"/>
      <c r="CR259" s="232"/>
      <c r="CS259" s="232"/>
      <c r="CT259" s="232"/>
      <c r="CU259" s="232"/>
      <c r="CV259" s="232"/>
      <c r="CW259" s="232"/>
      <c r="CX259" s="232"/>
      <c r="CY259" s="232"/>
      <c r="CZ259" s="232"/>
      <c r="DA259" s="232"/>
      <c r="DB259" s="232">
        <f>15.23*0.614</f>
        <v>9.3512199999999996</v>
      </c>
      <c r="DC259" s="232">
        <v>7.95</v>
      </c>
      <c r="DD259" s="232"/>
      <c r="DE259" s="232"/>
      <c r="DF259" s="232" t="s">
        <v>327</v>
      </c>
      <c r="DG259" s="232"/>
      <c r="DH259" s="232"/>
      <c r="DI259" s="232"/>
      <c r="DJ259" s="232"/>
      <c r="DK259" s="232" t="s">
        <v>328</v>
      </c>
      <c r="DL259" s="232"/>
      <c r="DM259" s="232"/>
      <c r="DN259" s="232"/>
      <c r="DO259" s="232"/>
      <c r="DP259" s="232"/>
      <c r="DQ259" s="233"/>
      <c r="DR259" s="233"/>
      <c r="DS259" s="232"/>
      <c r="DT259" s="232"/>
      <c r="DU259" s="232"/>
      <c r="DV259" s="232"/>
      <c r="DW259" s="232"/>
      <c r="DX259" s="232"/>
      <c r="DY259" s="232"/>
      <c r="DZ259" s="232"/>
      <c r="EA259" s="232"/>
      <c r="EB259" s="232"/>
      <c r="EC259" s="232"/>
      <c r="ED259" s="232"/>
      <c r="EE259" s="232"/>
      <c r="EF259" s="232"/>
      <c r="EG259" s="232"/>
      <c r="EH259" s="232"/>
      <c r="EI259" s="232"/>
      <c r="EJ259" s="232"/>
      <c r="EK259" s="231"/>
      <c r="EL259" s="231"/>
      <c r="EM259" s="232"/>
      <c r="EN259" s="232"/>
      <c r="EO259" s="232"/>
      <c r="EP259" s="232"/>
      <c r="EQ259" s="232"/>
      <c r="ER259" s="232"/>
      <c r="ES259" s="232"/>
      <c r="ET259" s="232"/>
      <c r="EU259" s="232"/>
      <c r="EV259" s="232"/>
      <c r="EW259" s="232"/>
      <c r="EX259" s="232"/>
      <c r="EY259" s="232"/>
      <c r="EZ259" s="232"/>
      <c r="FA259" s="232"/>
      <c r="FB259" s="232"/>
      <c r="FC259" s="232"/>
      <c r="FD259" s="232"/>
      <c r="FE259" s="232"/>
      <c r="FF259" s="232"/>
      <c r="FG259" s="232"/>
      <c r="FH259" s="232"/>
      <c r="FI259" s="232"/>
      <c r="FJ259" s="232"/>
      <c r="FK259" s="232"/>
      <c r="FL259" s="232"/>
      <c r="FM259" s="232"/>
      <c r="FN259" s="232"/>
      <c r="FO259" s="232"/>
      <c r="FP259" s="232"/>
      <c r="FQ259" s="232"/>
      <c r="FR259" s="232"/>
      <c r="FS259" s="232"/>
      <c r="FT259" s="232">
        <v>115.77</v>
      </c>
      <c r="FU259" s="232">
        <v>22.6</v>
      </c>
      <c r="FV259" s="232"/>
      <c r="FW259" s="232"/>
      <c r="FX259" s="232" t="s">
        <v>303</v>
      </c>
      <c r="FY259" s="232"/>
      <c r="FZ259" s="232"/>
      <c r="GA259" s="232"/>
      <c r="GB259" s="232"/>
      <c r="GC259" s="232"/>
      <c r="GD259" s="232"/>
      <c r="GE259" s="232"/>
      <c r="GF259" s="232"/>
      <c r="GG259" s="232"/>
      <c r="GH259" s="232"/>
      <c r="GI259" s="232"/>
      <c r="GJ259" s="232"/>
      <c r="GK259" s="232"/>
      <c r="GL259" s="232"/>
      <c r="GM259" s="232"/>
      <c r="GN259" s="294">
        <v>190.68</v>
      </c>
      <c r="GO259" s="294">
        <v>10</v>
      </c>
      <c r="GP259" s="292" t="s">
        <v>5150</v>
      </c>
      <c r="GQ259" s="232">
        <f>(267.2-GL259)*2</f>
        <v>534.4</v>
      </c>
      <c r="GR259" s="232">
        <f>(267.2-GM259)*2</f>
        <v>534.4</v>
      </c>
      <c r="GS259" s="232" t="s">
        <v>1800</v>
      </c>
      <c r="GT259" s="232"/>
      <c r="GU259" s="232"/>
      <c r="GV259" s="232"/>
      <c r="GW259" s="232"/>
      <c r="GX259" s="232"/>
      <c r="GY259" s="232"/>
      <c r="GZ259" s="232"/>
      <c r="HA259" s="232"/>
      <c r="HB259" s="232"/>
      <c r="HC259" s="232"/>
      <c r="HD259" s="232"/>
      <c r="HE259" s="232"/>
      <c r="HF259" s="232"/>
      <c r="HG259" s="232"/>
      <c r="HH259" s="232"/>
      <c r="HI259" s="232"/>
      <c r="HJ259" s="232"/>
      <c r="HK259" s="232"/>
      <c r="HL259" s="232"/>
      <c r="HM259" s="232"/>
      <c r="HN259" s="232"/>
      <c r="HO259" s="232"/>
      <c r="HP259" s="232"/>
      <c r="HQ259" s="232"/>
      <c r="HR259" s="232"/>
      <c r="HS259" s="233"/>
      <c r="HT259" s="232"/>
      <c r="HU259" s="232"/>
      <c r="HV259" s="232"/>
      <c r="HW259" s="233"/>
      <c r="HX259" s="232"/>
      <c r="HY259" s="232"/>
      <c r="HZ259" s="232"/>
      <c r="IA259" s="232"/>
      <c r="IB259" s="232"/>
      <c r="IC259" s="232"/>
      <c r="ID259" s="232"/>
      <c r="IE259" s="232"/>
      <c r="IF259" s="232"/>
      <c r="IG259" s="232"/>
      <c r="IH259" s="232"/>
      <c r="II259" s="232"/>
      <c r="IJ259" s="232"/>
      <c r="IK259" s="232"/>
      <c r="IL259" s="232"/>
      <c r="IM259" s="232"/>
      <c r="IN259" s="232"/>
      <c r="IO259" s="232"/>
      <c r="IP259" s="232"/>
      <c r="IQ259" s="232"/>
      <c r="IR259" s="232"/>
      <c r="IS259" s="232"/>
      <c r="IT259" s="232"/>
      <c r="IU259" s="232"/>
      <c r="IV259" s="232"/>
      <c r="IW259" s="232"/>
      <c r="IX259" s="232"/>
      <c r="IY259" s="232"/>
      <c r="IZ259" s="232"/>
      <c r="JA259" s="232"/>
      <c r="JB259" s="232"/>
      <c r="JC259" s="232"/>
      <c r="JD259" s="232"/>
      <c r="JE259" s="232"/>
      <c r="JF259" s="232"/>
      <c r="JG259" s="232"/>
      <c r="JH259" s="232"/>
      <c r="JI259" s="232"/>
      <c r="JJ259" s="232"/>
      <c r="JK259" s="232"/>
      <c r="JL259" s="232"/>
      <c r="JM259" s="232"/>
      <c r="JN259" s="232"/>
      <c r="JO259" s="232"/>
      <c r="JP259" s="232"/>
      <c r="JQ259" s="232"/>
      <c r="JR259" s="232"/>
      <c r="JS259" s="232"/>
      <c r="JT259" s="232"/>
      <c r="JU259" s="181" t="s">
        <v>328</v>
      </c>
      <c r="JV259" s="181"/>
      <c r="JW259" s="181"/>
    </row>
    <row r="260" spans="1:283" x14ac:dyDescent="0.25">
      <c r="A260" s="55">
        <v>259</v>
      </c>
      <c r="B260" s="12" t="s">
        <v>7067</v>
      </c>
      <c r="C260" s="155">
        <v>17</v>
      </c>
      <c r="D260" s="55" t="s">
        <v>3749</v>
      </c>
      <c r="E260" s="90" t="s">
        <v>296</v>
      </c>
      <c r="G260" s="55" t="s">
        <v>297</v>
      </c>
      <c r="H260" s="55">
        <v>2016</v>
      </c>
      <c r="I260" s="55">
        <v>2012</v>
      </c>
      <c r="J260" s="55" t="s">
        <v>282</v>
      </c>
      <c r="K260" s="55" t="s">
        <v>298</v>
      </c>
      <c r="L260" s="55" t="s">
        <v>2737</v>
      </c>
      <c r="M260" s="90">
        <f>40+43/60</f>
        <v>40.716666666666669</v>
      </c>
      <c r="N260" s="90">
        <f>-77-55/60</f>
        <v>-77.916666666666671</v>
      </c>
      <c r="O260" s="90">
        <v>350</v>
      </c>
      <c r="S260" s="90">
        <v>975</v>
      </c>
      <c r="U260" s="55">
        <v>2</v>
      </c>
      <c r="V260" s="55" t="s">
        <v>1805</v>
      </c>
      <c r="Y260" s="55" t="s">
        <v>1823</v>
      </c>
      <c r="Z260" s="55" t="s">
        <v>1356</v>
      </c>
      <c r="AA260" s="90" t="s">
        <v>1680</v>
      </c>
      <c r="AH260" s="55" t="s">
        <v>6378</v>
      </c>
      <c r="AM260" s="55" t="s">
        <v>1286</v>
      </c>
      <c r="AN260" s="185" t="s">
        <v>301</v>
      </c>
      <c r="AO260" s="185" t="s">
        <v>5150</v>
      </c>
      <c r="AQ260" s="55" t="s">
        <v>610</v>
      </c>
      <c r="AR260" s="55" t="s">
        <v>132</v>
      </c>
      <c r="AS260" s="55" t="s">
        <v>1584</v>
      </c>
      <c r="AT260" s="181" t="s">
        <v>299</v>
      </c>
      <c r="AU260" s="181" t="s">
        <v>5150</v>
      </c>
      <c r="AV260" s="185" t="s">
        <v>176</v>
      </c>
      <c r="AW260" s="55" t="s">
        <v>299</v>
      </c>
      <c r="AX260" s="185" t="s">
        <v>176</v>
      </c>
      <c r="AY260" s="55" t="s">
        <v>176</v>
      </c>
      <c r="BE260" s="226" t="s">
        <v>300</v>
      </c>
      <c r="BF260" s="55" t="s">
        <v>479</v>
      </c>
      <c r="BG260" s="55" t="s">
        <v>479</v>
      </c>
      <c r="BH260" s="226" t="s">
        <v>300</v>
      </c>
      <c r="BI260" s="55" t="s">
        <v>479</v>
      </c>
      <c r="BJ260" s="55" t="s">
        <v>176</v>
      </c>
      <c r="BK260" s="55" t="s">
        <v>5976</v>
      </c>
      <c r="BM260" s="192" t="s">
        <v>160</v>
      </c>
      <c r="BN260" s="55">
        <v>4</v>
      </c>
      <c r="BO260" s="55">
        <v>4</v>
      </c>
      <c r="BQ260" s="55" t="s">
        <v>141</v>
      </c>
      <c r="BS260" s="55">
        <v>8095</v>
      </c>
      <c r="BT260" s="55">
        <v>29.8</v>
      </c>
      <c r="CB260" s="66">
        <v>8826</v>
      </c>
      <c r="CC260" s="66">
        <v>6017</v>
      </c>
      <c r="DB260" s="65">
        <f>15.23*0.614</f>
        <v>9.3512199999999996</v>
      </c>
      <c r="DC260" s="65">
        <v>5.61</v>
      </c>
      <c r="DF260" s="65" t="s">
        <v>327</v>
      </c>
      <c r="DK260" s="65" t="s">
        <v>328</v>
      </c>
      <c r="FT260" s="65">
        <v>115.77</v>
      </c>
      <c r="FU260" s="65">
        <v>15.06</v>
      </c>
      <c r="FX260" s="65" t="s">
        <v>303</v>
      </c>
      <c r="GN260" s="294">
        <v>190.68</v>
      </c>
      <c r="GO260" s="294">
        <v>10</v>
      </c>
      <c r="GP260" s="292" t="s">
        <v>5150</v>
      </c>
      <c r="GQ260" s="65">
        <f>(267.2-GL260)*2</f>
        <v>534.4</v>
      </c>
      <c r="GR260" s="65">
        <f>(267.2-GM260)*2</f>
        <v>534.4</v>
      </c>
      <c r="GS260" s="65" t="s">
        <v>1800</v>
      </c>
      <c r="HS260" s="227"/>
      <c r="HW260" s="227"/>
      <c r="JU260" s="55" t="s">
        <v>328</v>
      </c>
    </row>
    <row r="261" spans="1:283" x14ac:dyDescent="0.25">
      <c r="A261" s="55">
        <v>260</v>
      </c>
      <c r="B261" s="12" t="s">
        <v>7067</v>
      </c>
      <c r="C261" s="155">
        <v>17</v>
      </c>
      <c r="D261" s="55" t="s">
        <v>3749</v>
      </c>
      <c r="E261" s="90" t="s">
        <v>296</v>
      </c>
      <c r="G261" s="55" t="s">
        <v>297</v>
      </c>
      <c r="H261" s="55">
        <v>2016</v>
      </c>
      <c r="I261" s="55">
        <v>2012</v>
      </c>
      <c r="J261" s="55" t="s">
        <v>282</v>
      </c>
      <c r="K261" s="55" t="s">
        <v>298</v>
      </c>
      <c r="L261" s="55" t="s">
        <v>2737</v>
      </c>
      <c r="M261" s="90">
        <f>40+43/60</f>
        <v>40.716666666666669</v>
      </c>
      <c r="N261" s="90">
        <f>-77-55/60</f>
        <v>-77.916666666666671</v>
      </c>
      <c r="O261" s="90">
        <v>350</v>
      </c>
      <c r="S261" s="90">
        <v>975</v>
      </c>
      <c r="U261" s="55">
        <v>2</v>
      </c>
      <c r="V261" s="55" t="s">
        <v>1805</v>
      </c>
      <c r="Y261" s="55" t="s">
        <v>1823</v>
      </c>
      <c r="Z261" s="55" t="s">
        <v>1356</v>
      </c>
      <c r="AA261" s="90" t="s">
        <v>1680</v>
      </c>
      <c r="AH261" s="55" t="s">
        <v>6378</v>
      </c>
      <c r="AM261" s="55" t="s">
        <v>1286</v>
      </c>
      <c r="AN261" s="185" t="s">
        <v>302</v>
      </c>
      <c r="AO261" s="185" t="s">
        <v>5150</v>
      </c>
      <c r="AQ261" s="55" t="s">
        <v>610</v>
      </c>
      <c r="AR261" s="55" t="s">
        <v>132</v>
      </c>
      <c r="AS261" s="55" t="s">
        <v>1584</v>
      </c>
      <c r="AT261" s="181" t="s">
        <v>299</v>
      </c>
      <c r="AU261" s="181" t="s">
        <v>5150</v>
      </c>
      <c r="AV261" s="185" t="s">
        <v>176</v>
      </c>
      <c r="AW261" s="55" t="s">
        <v>299</v>
      </c>
      <c r="AX261" s="185" t="s">
        <v>176</v>
      </c>
      <c r="AY261" s="55" t="s">
        <v>176</v>
      </c>
      <c r="BE261" s="226" t="s">
        <v>300</v>
      </c>
      <c r="BF261" s="55" t="s">
        <v>479</v>
      </c>
      <c r="BG261" s="55" t="s">
        <v>479</v>
      </c>
      <c r="BH261" s="226" t="s">
        <v>300</v>
      </c>
      <c r="BI261" s="55" t="s">
        <v>479</v>
      </c>
      <c r="BJ261" s="55" t="s">
        <v>176</v>
      </c>
      <c r="BK261" s="55" t="s">
        <v>5976</v>
      </c>
      <c r="BM261" s="192" t="s">
        <v>160</v>
      </c>
      <c r="BN261" s="55">
        <v>4</v>
      </c>
      <c r="BO261" s="55">
        <v>4</v>
      </c>
      <c r="BQ261" s="55" t="s">
        <v>141</v>
      </c>
      <c r="BS261" s="55">
        <v>6972</v>
      </c>
      <c r="BT261" s="55">
        <v>35.4</v>
      </c>
      <c r="CB261" s="66">
        <v>8826</v>
      </c>
      <c r="CC261" s="66">
        <v>3140</v>
      </c>
      <c r="DB261" s="65">
        <f>15.23*0.614</f>
        <v>9.3512199999999996</v>
      </c>
      <c r="DC261" s="65">
        <v>2.04</v>
      </c>
      <c r="DF261" s="65" t="s">
        <v>327</v>
      </c>
      <c r="DK261" s="65" t="s">
        <v>328</v>
      </c>
      <c r="FT261" s="65">
        <v>115.77</v>
      </c>
      <c r="FU261" s="65">
        <v>9.2899999999999991</v>
      </c>
      <c r="FX261" s="65" t="s">
        <v>303</v>
      </c>
      <c r="GN261" s="294">
        <v>190.68</v>
      </c>
      <c r="GO261" s="294">
        <v>10</v>
      </c>
      <c r="GP261" s="292" t="s">
        <v>5150</v>
      </c>
      <c r="GQ261" s="65">
        <f>(267.2-GL261)*2</f>
        <v>534.4</v>
      </c>
      <c r="GR261" s="65">
        <f>(267.2-GM261)*2</f>
        <v>534.4</v>
      </c>
      <c r="GS261" s="65" t="s">
        <v>1800</v>
      </c>
      <c r="HS261" s="227"/>
      <c r="HW261" s="227"/>
      <c r="JU261" s="55" t="s">
        <v>328</v>
      </c>
    </row>
    <row r="262" spans="1:283" x14ac:dyDescent="0.25">
      <c r="A262" s="55">
        <v>261</v>
      </c>
      <c r="B262" s="12" t="s">
        <v>7067</v>
      </c>
      <c r="C262" s="155">
        <v>18</v>
      </c>
      <c r="D262" s="55" t="s">
        <v>3746</v>
      </c>
      <c r="E262" s="90" t="s">
        <v>296</v>
      </c>
      <c r="G262" s="55" t="s">
        <v>297</v>
      </c>
      <c r="H262" s="55">
        <v>2017</v>
      </c>
      <c r="I262" s="55">
        <v>2011</v>
      </c>
      <c r="J262" s="211" t="s">
        <v>309</v>
      </c>
      <c r="K262" s="55" t="s">
        <v>298</v>
      </c>
      <c r="L262" s="55" t="s">
        <v>2737</v>
      </c>
      <c r="M262" s="90">
        <v>40.716666666666669</v>
      </c>
      <c r="N262" s="90">
        <v>-77.916666666666671</v>
      </c>
      <c r="O262" s="90">
        <v>350</v>
      </c>
      <c r="S262" s="90">
        <v>975</v>
      </c>
      <c r="U262" s="55">
        <v>1</v>
      </c>
      <c r="V262" s="55" t="s">
        <v>1688</v>
      </c>
      <c r="Y262" s="55" t="s">
        <v>1824</v>
      </c>
      <c r="Z262" s="55" t="s">
        <v>1356</v>
      </c>
      <c r="AA262" s="90" t="s">
        <v>1680</v>
      </c>
      <c r="AH262" s="55" t="s">
        <v>6378</v>
      </c>
      <c r="AM262" s="55" t="s">
        <v>1286</v>
      </c>
      <c r="AN262" s="185" t="s">
        <v>1494</v>
      </c>
      <c r="AO262" s="185" t="s">
        <v>5150</v>
      </c>
      <c r="AQ262" s="55" t="s">
        <v>553</v>
      </c>
      <c r="AR262" s="55" t="s">
        <v>132</v>
      </c>
      <c r="AS262" s="55" t="s">
        <v>1584</v>
      </c>
      <c r="AT262" s="181" t="s">
        <v>299</v>
      </c>
      <c r="AU262" s="181" t="s">
        <v>5150</v>
      </c>
      <c r="AV262" s="185" t="s">
        <v>176</v>
      </c>
      <c r="AW262" s="55" t="s">
        <v>299</v>
      </c>
      <c r="AX262" s="185" t="s">
        <v>176</v>
      </c>
      <c r="AY262" s="55" t="s">
        <v>176</v>
      </c>
      <c r="BE262" s="226" t="s">
        <v>300</v>
      </c>
      <c r="BF262" s="55" t="s">
        <v>479</v>
      </c>
      <c r="BG262" s="55" t="s">
        <v>479</v>
      </c>
      <c r="BH262" s="226" t="s">
        <v>300</v>
      </c>
      <c r="BI262" s="55" t="s">
        <v>479</v>
      </c>
      <c r="BJ262" s="55" t="s">
        <v>176</v>
      </c>
      <c r="BK262" s="55" t="s">
        <v>5976</v>
      </c>
      <c r="BM262" s="192" t="s">
        <v>160</v>
      </c>
      <c r="BN262" s="55">
        <v>4</v>
      </c>
      <c r="BO262" s="55">
        <v>4</v>
      </c>
      <c r="BQ262" s="55" t="s">
        <v>141</v>
      </c>
      <c r="BS262" s="55">
        <v>61</v>
      </c>
      <c r="BT262" s="55">
        <v>9.3000000000000007</v>
      </c>
      <c r="GP262" s="292" t="s">
        <v>7494</v>
      </c>
      <c r="HN262" s="65">
        <v>69.540000000000006</v>
      </c>
      <c r="HO262" s="65">
        <v>73.88</v>
      </c>
      <c r="HR262" s="65" t="s">
        <v>1662</v>
      </c>
      <c r="IR262" s="65">
        <v>8.06</v>
      </c>
      <c r="IS262" s="65">
        <v>8.59</v>
      </c>
      <c r="JU262" s="55" t="s">
        <v>310</v>
      </c>
    </row>
    <row r="263" spans="1:283" x14ac:dyDescent="0.25">
      <c r="A263" s="55">
        <v>262</v>
      </c>
      <c r="B263" s="12" t="s">
        <v>7067</v>
      </c>
      <c r="C263" s="155">
        <v>18</v>
      </c>
      <c r="D263" s="55" t="s">
        <v>3746</v>
      </c>
      <c r="E263" s="90" t="s">
        <v>296</v>
      </c>
      <c r="G263" s="55" t="s">
        <v>297</v>
      </c>
      <c r="H263" s="55">
        <v>2017</v>
      </c>
      <c r="I263" s="55">
        <v>2011</v>
      </c>
      <c r="J263" s="211" t="s">
        <v>309</v>
      </c>
      <c r="K263" s="55" t="s">
        <v>298</v>
      </c>
      <c r="L263" s="55" t="s">
        <v>2737</v>
      </c>
      <c r="M263" s="90">
        <v>40.716666666666669</v>
      </c>
      <c r="N263" s="90">
        <v>-77.916666666666671</v>
      </c>
      <c r="O263" s="90">
        <v>350</v>
      </c>
      <c r="S263" s="90">
        <v>975</v>
      </c>
      <c r="U263" s="55">
        <v>1</v>
      </c>
      <c r="V263" s="55" t="s">
        <v>1688</v>
      </c>
      <c r="Y263" s="55" t="s">
        <v>1824</v>
      </c>
      <c r="Z263" s="55" t="s">
        <v>1356</v>
      </c>
      <c r="AA263" s="90" t="s">
        <v>1680</v>
      </c>
      <c r="AH263" s="55" t="s">
        <v>6378</v>
      </c>
      <c r="AM263" s="55" t="s">
        <v>1286</v>
      </c>
      <c r="AN263" s="185" t="s">
        <v>1119</v>
      </c>
      <c r="AO263" s="185" t="s">
        <v>5150</v>
      </c>
      <c r="AQ263" s="55" t="s">
        <v>553</v>
      </c>
      <c r="AR263" s="55" t="s">
        <v>132</v>
      </c>
      <c r="AS263" s="55" t="s">
        <v>1584</v>
      </c>
      <c r="AT263" s="181" t="s">
        <v>299</v>
      </c>
      <c r="AU263" s="181" t="s">
        <v>5150</v>
      </c>
      <c r="AV263" s="185" t="s">
        <v>176</v>
      </c>
      <c r="AW263" s="55" t="s">
        <v>299</v>
      </c>
      <c r="AX263" s="185" t="s">
        <v>176</v>
      </c>
      <c r="AY263" s="55" t="s">
        <v>176</v>
      </c>
      <c r="BE263" s="226" t="s">
        <v>300</v>
      </c>
      <c r="BF263" s="55" t="s">
        <v>479</v>
      </c>
      <c r="BG263" s="55" t="s">
        <v>479</v>
      </c>
      <c r="BH263" s="226" t="s">
        <v>300</v>
      </c>
      <c r="BI263" s="55" t="s">
        <v>479</v>
      </c>
      <c r="BJ263" s="55" t="s">
        <v>176</v>
      </c>
      <c r="BK263" s="55" t="s">
        <v>5976</v>
      </c>
      <c r="BM263" s="192" t="s">
        <v>160</v>
      </c>
      <c r="BN263" s="55">
        <v>4</v>
      </c>
      <c r="BO263" s="55">
        <v>4</v>
      </c>
      <c r="BQ263" s="55" t="s">
        <v>141</v>
      </c>
      <c r="BS263" s="55">
        <v>418</v>
      </c>
      <c r="BT263" s="55">
        <v>9.5</v>
      </c>
      <c r="GP263" s="292" t="s">
        <v>7494</v>
      </c>
      <c r="HN263" s="65">
        <v>69.540000000000006</v>
      </c>
      <c r="HO263" s="65">
        <v>72.73</v>
      </c>
      <c r="HR263" s="65" t="s">
        <v>1662</v>
      </c>
      <c r="IR263" s="65">
        <v>8.06</v>
      </c>
      <c r="IS263" s="65">
        <v>9.2200000000000006</v>
      </c>
      <c r="JU263" s="55" t="s">
        <v>310</v>
      </c>
    </row>
    <row r="264" spans="1:283" x14ac:dyDescent="0.25">
      <c r="A264" s="55">
        <v>263</v>
      </c>
      <c r="B264" s="12" t="s">
        <v>7067</v>
      </c>
      <c r="C264" s="155">
        <v>18</v>
      </c>
      <c r="D264" s="55" t="s">
        <v>3746</v>
      </c>
      <c r="E264" s="90" t="s">
        <v>296</v>
      </c>
      <c r="G264" s="55" t="s">
        <v>297</v>
      </c>
      <c r="H264" s="55">
        <v>2017</v>
      </c>
      <c r="I264" s="55">
        <v>2011</v>
      </c>
      <c r="J264" s="211" t="s">
        <v>309</v>
      </c>
      <c r="K264" s="55" t="s">
        <v>298</v>
      </c>
      <c r="L264" s="55" t="s">
        <v>2737</v>
      </c>
      <c r="M264" s="90">
        <v>40.716666666666669</v>
      </c>
      <c r="N264" s="90">
        <v>-77.916666666666671</v>
      </c>
      <c r="O264" s="90">
        <v>350</v>
      </c>
      <c r="S264" s="90">
        <v>975</v>
      </c>
      <c r="U264" s="55">
        <v>1</v>
      </c>
      <c r="V264" s="55" t="s">
        <v>1688</v>
      </c>
      <c r="Y264" s="55" t="s">
        <v>1824</v>
      </c>
      <c r="Z264" s="55" t="s">
        <v>1356</v>
      </c>
      <c r="AA264" s="90" t="s">
        <v>1680</v>
      </c>
      <c r="AH264" s="55" t="s">
        <v>6378</v>
      </c>
      <c r="AM264" s="55" t="s">
        <v>1286</v>
      </c>
      <c r="AN264" s="185" t="s">
        <v>1495</v>
      </c>
      <c r="AO264" s="185" t="s">
        <v>5150</v>
      </c>
      <c r="AQ264" s="55" t="s">
        <v>553</v>
      </c>
      <c r="AR264" s="55" t="s">
        <v>132</v>
      </c>
      <c r="AS264" s="55" t="s">
        <v>1584</v>
      </c>
      <c r="AT264" s="181" t="s">
        <v>299</v>
      </c>
      <c r="AU264" s="181" t="s">
        <v>5150</v>
      </c>
      <c r="AV264" s="185" t="s">
        <v>176</v>
      </c>
      <c r="AW264" s="55" t="s">
        <v>299</v>
      </c>
      <c r="AX264" s="185" t="s">
        <v>176</v>
      </c>
      <c r="AY264" s="55" t="s">
        <v>176</v>
      </c>
      <c r="BE264" s="226" t="s">
        <v>300</v>
      </c>
      <c r="BF264" s="55" t="s">
        <v>479</v>
      </c>
      <c r="BG264" s="55" t="s">
        <v>479</v>
      </c>
      <c r="BH264" s="226" t="s">
        <v>300</v>
      </c>
      <c r="BI264" s="55" t="s">
        <v>479</v>
      </c>
      <c r="BJ264" s="55" t="s">
        <v>176</v>
      </c>
      <c r="BK264" s="55" t="s">
        <v>5976</v>
      </c>
      <c r="BM264" s="192" t="s">
        <v>160</v>
      </c>
      <c r="BN264" s="55">
        <v>4</v>
      </c>
      <c r="BO264" s="55">
        <v>4</v>
      </c>
      <c r="BQ264" s="55" t="s">
        <v>141</v>
      </c>
      <c r="BS264" s="55">
        <v>4045</v>
      </c>
      <c r="BT264" s="55">
        <v>10.3</v>
      </c>
      <c r="GP264" s="292" t="s">
        <v>7494</v>
      </c>
      <c r="HN264" s="65">
        <v>69.540000000000006</v>
      </c>
      <c r="HO264" s="65">
        <v>69.34</v>
      </c>
      <c r="HR264" s="65" t="s">
        <v>1662</v>
      </c>
      <c r="IR264" s="65">
        <v>8.06</v>
      </c>
      <c r="IS264" s="65">
        <v>8.67</v>
      </c>
      <c r="JU264" s="55" t="s">
        <v>310</v>
      </c>
    </row>
    <row r="265" spans="1:283" x14ac:dyDescent="0.25">
      <c r="A265" s="55">
        <v>264</v>
      </c>
      <c r="B265" s="12" t="s">
        <v>7067</v>
      </c>
      <c r="C265" s="155">
        <v>18</v>
      </c>
      <c r="D265" s="55" t="s">
        <v>3746</v>
      </c>
      <c r="E265" s="90" t="s">
        <v>296</v>
      </c>
      <c r="G265" s="55" t="s">
        <v>297</v>
      </c>
      <c r="H265" s="55">
        <v>2017</v>
      </c>
      <c r="I265" s="55">
        <v>2011</v>
      </c>
      <c r="J265" s="211" t="s">
        <v>309</v>
      </c>
      <c r="K265" s="55" t="s">
        <v>298</v>
      </c>
      <c r="L265" s="55" t="s">
        <v>2737</v>
      </c>
      <c r="M265" s="90">
        <v>40.716666666666669</v>
      </c>
      <c r="N265" s="90">
        <v>-77.916666666666671</v>
      </c>
      <c r="O265" s="90">
        <v>350</v>
      </c>
      <c r="S265" s="90">
        <v>975</v>
      </c>
      <c r="U265" s="55">
        <v>1</v>
      </c>
      <c r="V265" s="55" t="s">
        <v>1688</v>
      </c>
      <c r="Y265" s="55" t="s">
        <v>1824</v>
      </c>
      <c r="Z265" s="55" t="s">
        <v>1356</v>
      </c>
      <c r="AA265" s="90" t="s">
        <v>1680</v>
      </c>
      <c r="AH265" s="55" t="s">
        <v>6378</v>
      </c>
      <c r="AM265" s="55" t="s">
        <v>1286</v>
      </c>
      <c r="AN265" s="185" t="s">
        <v>241</v>
      </c>
      <c r="AO265" s="185" t="s">
        <v>5150</v>
      </c>
      <c r="AQ265" s="55" t="s">
        <v>553</v>
      </c>
      <c r="AR265" s="55" t="s">
        <v>132</v>
      </c>
      <c r="AS265" s="55" t="s">
        <v>1584</v>
      </c>
      <c r="AT265" s="181" t="s">
        <v>299</v>
      </c>
      <c r="AU265" s="181" t="s">
        <v>5150</v>
      </c>
      <c r="AV265" s="185" t="s">
        <v>176</v>
      </c>
      <c r="AW265" s="55" t="s">
        <v>299</v>
      </c>
      <c r="AX265" s="185" t="s">
        <v>176</v>
      </c>
      <c r="AY265" s="55" t="s">
        <v>176</v>
      </c>
      <c r="BE265" s="226" t="s">
        <v>300</v>
      </c>
      <c r="BF265" s="55" t="s">
        <v>479</v>
      </c>
      <c r="BG265" s="55" t="s">
        <v>479</v>
      </c>
      <c r="BH265" s="226" t="s">
        <v>300</v>
      </c>
      <c r="BI265" s="55" t="s">
        <v>479</v>
      </c>
      <c r="BJ265" s="55" t="s">
        <v>176</v>
      </c>
      <c r="BK265" s="55" t="s">
        <v>5976</v>
      </c>
      <c r="BM265" s="192" t="s">
        <v>160</v>
      </c>
      <c r="BN265" s="55">
        <v>4</v>
      </c>
      <c r="BO265" s="55">
        <v>4</v>
      </c>
      <c r="BQ265" s="55" t="s">
        <v>141</v>
      </c>
      <c r="BS265" s="55">
        <v>4531</v>
      </c>
      <c r="BT265" s="55">
        <v>9</v>
      </c>
      <c r="GP265" s="292" t="s">
        <v>7494</v>
      </c>
      <c r="HN265" s="65">
        <v>69.540000000000006</v>
      </c>
      <c r="HO265" s="65">
        <v>76.900000000000006</v>
      </c>
      <c r="HR265" s="65" t="s">
        <v>1662</v>
      </c>
      <c r="IR265" s="65">
        <v>8.06</v>
      </c>
      <c r="IS265" s="65">
        <v>9.73</v>
      </c>
      <c r="JU265" s="55" t="s">
        <v>310</v>
      </c>
    </row>
    <row r="266" spans="1:283" x14ac:dyDescent="0.25">
      <c r="A266" s="55">
        <v>265</v>
      </c>
      <c r="B266" s="12" t="s">
        <v>7067</v>
      </c>
      <c r="C266" s="155">
        <v>18</v>
      </c>
      <c r="D266" s="55" t="s">
        <v>3747</v>
      </c>
      <c r="E266" s="90" t="s">
        <v>296</v>
      </c>
      <c r="G266" s="55" t="s">
        <v>297</v>
      </c>
      <c r="H266" s="55">
        <v>2017</v>
      </c>
      <c r="I266" s="55">
        <v>2011</v>
      </c>
      <c r="J266" s="211" t="s">
        <v>309</v>
      </c>
      <c r="K266" s="55" t="s">
        <v>298</v>
      </c>
      <c r="L266" s="55" t="s">
        <v>2737</v>
      </c>
      <c r="M266" s="90">
        <v>40.716666666666669</v>
      </c>
      <c r="N266" s="90">
        <v>-77.916666666666671</v>
      </c>
      <c r="O266" s="90">
        <v>350</v>
      </c>
      <c r="S266" s="90">
        <v>975</v>
      </c>
      <c r="U266" s="55">
        <v>1</v>
      </c>
      <c r="V266" s="55" t="s">
        <v>1688</v>
      </c>
      <c r="Y266" s="55" t="s">
        <v>1824</v>
      </c>
      <c r="Z266" s="55" t="s">
        <v>1356</v>
      </c>
      <c r="AA266" s="90" t="s">
        <v>1680</v>
      </c>
      <c r="AH266" s="55" t="s">
        <v>6378</v>
      </c>
      <c r="AM266" s="55" t="s">
        <v>1286</v>
      </c>
      <c r="AN266" s="185" t="s">
        <v>1541</v>
      </c>
      <c r="AO266" s="185" t="s">
        <v>5150</v>
      </c>
      <c r="AQ266" s="55" t="s">
        <v>1097</v>
      </c>
      <c r="AR266" s="55" t="s">
        <v>132</v>
      </c>
      <c r="AS266" s="55" t="s">
        <v>1584</v>
      </c>
      <c r="AT266" s="181" t="s">
        <v>299</v>
      </c>
      <c r="AU266" s="181" t="s">
        <v>5150</v>
      </c>
      <c r="AV266" s="185" t="s">
        <v>176</v>
      </c>
      <c r="AW266" s="55" t="s">
        <v>299</v>
      </c>
      <c r="AX266" s="185" t="s">
        <v>176</v>
      </c>
      <c r="AY266" s="55" t="s">
        <v>176</v>
      </c>
      <c r="BE266" s="226" t="s">
        <v>300</v>
      </c>
      <c r="BF266" s="55" t="s">
        <v>479</v>
      </c>
      <c r="BG266" s="55" t="s">
        <v>479</v>
      </c>
      <c r="BH266" s="226" t="s">
        <v>300</v>
      </c>
      <c r="BI266" s="55" t="s">
        <v>479</v>
      </c>
      <c r="BJ266" s="55" t="s">
        <v>176</v>
      </c>
      <c r="BK266" s="55" t="s">
        <v>5976</v>
      </c>
      <c r="BM266" s="192" t="s">
        <v>160</v>
      </c>
      <c r="BN266" s="55">
        <v>4</v>
      </c>
      <c r="BO266" s="55">
        <v>4</v>
      </c>
      <c r="BQ266" s="55" t="s">
        <v>141</v>
      </c>
      <c r="BS266" s="55">
        <v>1381</v>
      </c>
      <c r="BT266" s="55">
        <v>15.7</v>
      </c>
      <c r="GP266" s="292" t="s">
        <v>7494</v>
      </c>
      <c r="HN266" s="65">
        <v>69.540000000000006</v>
      </c>
      <c r="HO266" s="65">
        <v>73.55</v>
      </c>
      <c r="HR266" s="65" t="s">
        <v>1662</v>
      </c>
      <c r="IR266" s="65">
        <v>8.06</v>
      </c>
      <c r="IS266" s="65">
        <v>10.210000000000001</v>
      </c>
      <c r="JU266" s="55" t="s">
        <v>310</v>
      </c>
    </row>
    <row r="267" spans="1:283" x14ac:dyDescent="0.25">
      <c r="A267" s="55">
        <v>266</v>
      </c>
      <c r="B267" s="12" t="s">
        <v>7067</v>
      </c>
      <c r="C267" s="155">
        <v>18</v>
      </c>
      <c r="D267" s="55" t="s">
        <v>3748</v>
      </c>
      <c r="E267" s="90" t="s">
        <v>296</v>
      </c>
      <c r="G267" s="55" t="s">
        <v>297</v>
      </c>
      <c r="H267" s="55">
        <v>2017</v>
      </c>
      <c r="I267" s="55">
        <v>2011</v>
      </c>
      <c r="J267" s="211" t="s">
        <v>309</v>
      </c>
      <c r="K267" s="55" t="s">
        <v>298</v>
      </c>
      <c r="L267" s="55" t="s">
        <v>2737</v>
      </c>
      <c r="M267" s="90">
        <v>40.716666666666669</v>
      </c>
      <c r="N267" s="90">
        <v>-77.916666666666671</v>
      </c>
      <c r="O267" s="90">
        <v>350</v>
      </c>
      <c r="S267" s="90">
        <v>975</v>
      </c>
      <c r="U267" s="55">
        <v>1</v>
      </c>
      <c r="V267" s="55" t="s">
        <v>1688</v>
      </c>
      <c r="Y267" s="55" t="s">
        <v>1824</v>
      </c>
      <c r="Z267" s="55" t="s">
        <v>1356</v>
      </c>
      <c r="AA267" s="90" t="s">
        <v>1680</v>
      </c>
      <c r="AH267" s="55" t="s">
        <v>6378</v>
      </c>
      <c r="AM267" s="55" t="s">
        <v>1286</v>
      </c>
      <c r="AN267" s="185" t="s">
        <v>496</v>
      </c>
      <c r="AO267" s="185" t="s">
        <v>5150</v>
      </c>
      <c r="AQ267" s="55" t="s">
        <v>1545</v>
      </c>
      <c r="AR267" s="55" t="s">
        <v>132</v>
      </c>
      <c r="AS267" s="55" t="s">
        <v>1584</v>
      </c>
      <c r="AT267" s="181" t="s">
        <v>299</v>
      </c>
      <c r="AU267" s="181" t="s">
        <v>5150</v>
      </c>
      <c r="AV267" s="185" t="s">
        <v>176</v>
      </c>
      <c r="AW267" s="55" t="s">
        <v>299</v>
      </c>
      <c r="AX267" s="185" t="s">
        <v>176</v>
      </c>
      <c r="AY267" s="55" t="s">
        <v>176</v>
      </c>
      <c r="BE267" s="226" t="s">
        <v>300</v>
      </c>
      <c r="BF267" s="55" t="s">
        <v>479</v>
      </c>
      <c r="BG267" s="55" t="s">
        <v>479</v>
      </c>
      <c r="BH267" s="226" t="s">
        <v>300</v>
      </c>
      <c r="BI267" s="55" t="s">
        <v>479</v>
      </c>
      <c r="BJ267" s="55" t="s">
        <v>176</v>
      </c>
      <c r="BK267" s="55" t="s">
        <v>5976</v>
      </c>
      <c r="BM267" s="192" t="s">
        <v>160</v>
      </c>
      <c r="BN267" s="55">
        <v>4</v>
      </c>
      <c r="BO267" s="55">
        <v>4</v>
      </c>
      <c r="BQ267" s="55" t="s">
        <v>141</v>
      </c>
      <c r="BS267" s="55">
        <v>1901</v>
      </c>
      <c r="BT267" s="55">
        <v>17.899999999999999</v>
      </c>
      <c r="GP267" s="292" t="s">
        <v>7494</v>
      </c>
      <c r="HN267" s="65">
        <v>69.540000000000006</v>
      </c>
      <c r="HO267" s="65">
        <v>78.150000000000006</v>
      </c>
      <c r="HR267" s="65" t="s">
        <v>1662</v>
      </c>
      <c r="IR267" s="65">
        <v>8.06</v>
      </c>
      <c r="IS267" s="65">
        <v>11.92</v>
      </c>
      <c r="JU267" s="55" t="s">
        <v>310</v>
      </c>
    </row>
    <row r="268" spans="1:283" x14ac:dyDescent="0.25">
      <c r="A268" s="55">
        <v>267</v>
      </c>
      <c r="B268" s="12" t="s">
        <v>7067</v>
      </c>
      <c r="C268" s="155">
        <v>18</v>
      </c>
      <c r="D268" s="55" t="s">
        <v>3747</v>
      </c>
      <c r="E268" s="90" t="s">
        <v>296</v>
      </c>
      <c r="G268" s="55" t="s">
        <v>297</v>
      </c>
      <c r="H268" s="55">
        <v>2017</v>
      </c>
      <c r="I268" s="55">
        <v>2011</v>
      </c>
      <c r="J268" s="211" t="s">
        <v>309</v>
      </c>
      <c r="K268" s="55" t="s">
        <v>298</v>
      </c>
      <c r="L268" s="55" t="s">
        <v>2737</v>
      </c>
      <c r="M268" s="90">
        <v>40.716666666666669</v>
      </c>
      <c r="N268" s="90">
        <v>-77.916666666666671</v>
      </c>
      <c r="O268" s="90">
        <v>350</v>
      </c>
      <c r="S268" s="90">
        <v>975</v>
      </c>
      <c r="U268" s="55">
        <v>1</v>
      </c>
      <c r="V268" s="55" t="s">
        <v>1688</v>
      </c>
      <c r="Y268" s="55" t="s">
        <v>1824</v>
      </c>
      <c r="Z268" s="55" t="s">
        <v>1356</v>
      </c>
      <c r="AA268" s="90" t="s">
        <v>1680</v>
      </c>
      <c r="AH268" s="55" t="s">
        <v>6378</v>
      </c>
      <c r="AM268" s="55" t="s">
        <v>1286</v>
      </c>
      <c r="AN268" s="185" t="s">
        <v>499</v>
      </c>
      <c r="AO268" s="185" t="s">
        <v>5150</v>
      </c>
      <c r="AQ268" s="55" t="s">
        <v>1097</v>
      </c>
      <c r="AR268" s="55" t="s">
        <v>132</v>
      </c>
      <c r="AS268" s="55" t="s">
        <v>1584</v>
      </c>
      <c r="AT268" s="181" t="s">
        <v>299</v>
      </c>
      <c r="AU268" s="181" t="s">
        <v>5150</v>
      </c>
      <c r="AV268" s="185" t="s">
        <v>176</v>
      </c>
      <c r="AW268" s="55" t="s">
        <v>299</v>
      </c>
      <c r="AX268" s="185" t="s">
        <v>176</v>
      </c>
      <c r="AY268" s="55" t="s">
        <v>176</v>
      </c>
      <c r="BE268" s="226" t="s">
        <v>300</v>
      </c>
      <c r="BF268" s="55" t="s">
        <v>479</v>
      </c>
      <c r="BG268" s="55" t="s">
        <v>479</v>
      </c>
      <c r="BH268" s="226" t="s">
        <v>300</v>
      </c>
      <c r="BI268" s="55" t="s">
        <v>479</v>
      </c>
      <c r="BJ268" s="55" t="s">
        <v>176</v>
      </c>
      <c r="BK268" s="55" t="s">
        <v>5976</v>
      </c>
      <c r="BM268" s="192" t="s">
        <v>160</v>
      </c>
      <c r="BN268" s="55">
        <v>4</v>
      </c>
      <c r="BO268" s="55">
        <v>4</v>
      </c>
      <c r="BQ268" s="55" t="s">
        <v>141</v>
      </c>
      <c r="BS268" s="55">
        <v>7165</v>
      </c>
      <c r="BT268" s="55">
        <v>24.2</v>
      </c>
      <c r="GP268" s="292" t="s">
        <v>7494</v>
      </c>
      <c r="HN268" s="65">
        <v>69.540000000000006</v>
      </c>
      <c r="HO268" s="65">
        <v>74.7</v>
      </c>
      <c r="HR268" s="65" t="s">
        <v>1662</v>
      </c>
      <c r="IR268" s="65">
        <v>8.06</v>
      </c>
      <c r="IS268" s="65">
        <v>9.8000000000000007</v>
      </c>
      <c r="JU268" s="55" t="s">
        <v>310</v>
      </c>
    </row>
    <row r="269" spans="1:283" x14ac:dyDescent="0.25">
      <c r="A269" s="55">
        <v>268</v>
      </c>
      <c r="B269" s="12" t="s">
        <v>7067</v>
      </c>
      <c r="C269" s="155">
        <v>18</v>
      </c>
      <c r="D269" s="55" t="s">
        <v>3748</v>
      </c>
      <c r="E269" s="90" t="s">
        <v>296</v>
      </c>
      <c r="G269" s="55" t="s">
        <v>297</v>
      </c>
      <c r="H269" s="55">
        <v>2017</v>
      </c>
      <c r="I269" s="55">
        <v>2011</v>
      </c>
      <c r="J269" s="211" t="s">
        <v>309</v>
      </c>
      <c r="K269" s="55" t="s">
        <v>298</v>
      </c>
      <c r="L269" s="55" t="s">
        <v>2737</v>
      </c>
      <c r="M269" s="90">
        <v>40.716666666666669</v>
      </c>
      <c r="N269" s="90">
        <v>-77.916666666666671</v>
      </c>
      <c r="O269" s="90">
        <v>350</v>
      </c>
      <c r="S269" s="90">
        <v>975</v>
      </c>
      <c r="U269" s="55">
        <v>1</v>
      </c>
      <c r="V269" s="55" t="s">
        <v>1688</v>
      </c>
      <c r="Y269" s="55" t="s">
        <v>1824</v>
      </c>
      <c r="Z269" s="55" t="s">
        <v>1356</v>
      </c>
      <c r="AA269" s="90" t="s">
        <v>1680</v>
      </c>
      <c r="AH269" s="55" t="s">
        <v>6378</v>
      </c>
      <c r="AM269" s="55" t="s">
        <v>1286</v>
      </c>
      <c r="AN269" s="185" t="s">
        <v>131</v>
      </c>
      <c r="AO269" s="185" t="s">
        <v>5150</v>
      </c>
      <c r="AQ269" s="55" t="s">
        <v>131</v>
      </c>
      <c r="AR269" s="55" t="s">
        <v>132</v>
      </c>
      <c r="AS269" s="55" t="s">
        <v>1584</v>
      </c>
      <c r="AT269" s="181" t="s">
        <v>299</v>
      </c>
      <c r="AU269" s="181" t="s">
        <v>5150</v>
      </c>
      <c r="AV269" s="185" t="s">
        <v>176</v>
      </c>
      <c r="AW269" s="55" t="s">
        <v>299</v>
      </c>
      <c r="AX269" s="185" t="s">
        <v>176</v>
      </c>
      <c r="AY269" s="55" t="s">
        <v>176</v>
      </c>
      <c r="BE269" s="226" t="s">
        <v>300</v>
      </c>
      <c r="BF269" s="55" t="s">
        <v>479</v>
      </c>
      <c r="BG269" s="55" t="s">
        <v>479</v>
      </c>
      <c r="BH269" s="226" t="s">
        <v>300</v>
      </c>
      <c r="BI269" s="55" t="s">
        <v>479</v>
      </c>
      <c r="BJ269" s="55" t="s">
        <v>176</v>
      </c>
      <c r="BK269" s="55" t="s">
        <v>5976</v>
      </c>
      <c r="BM269" s="192" t="s">
        <v>160</v>
      </c>
      <c r="BN269" s="55">
        <v>4</v>
      </c>
      <c r="BO269" s="55">
        <v>4</v>
      </c>
      <c r="BQ269" s="55" t="s">
        <v>141</v>
      </c>
      <c r="BS269" s="55">
        <v>7343</v>
      </c>
      <c r="BT269" s="55">
        <v>42.9</v>
      </c>
      <c r="GP269" s="292" t="s">
        <v>7494</v>
      </c>
      <c r="HN269" s="65">
        <v>69.540000000000006</v>
      </c>
      <c r="HO269" s="65">
        <v>74.03</v>
      </c>
      <c r="HR269" s="65" t="s">
        <v>1662</v>
      </c>
      <c r="IR269" s="65">
        <v>8.06</v>
      </c>
      <c r="IS269" s="65">
        <v>12.28</v>
      </c>
      <c r="JU269" s="55" t="s">
        <v>310</v>
      </c>
    </row>
    <row r="270" spans="1:283" s="229" customFormat="1" x14ac:dyDescent="0.25">
      <c r="A270" s="181">
        <v>269</v>
      </c>
      <c r="B270" s="229" t="s">
        <v>7067</v>
      </c>
      <c r="C270" s="230">
        <v>18</v>
      </c>
      <c r="D270" s="181" t="s">
        <v>3749</v>
      </c>
      <c r="E270" s="231" t="s">
        <v>296</v>
      </c>
      <c r="F270" s="231"/>
      <c r="G270" s="181" t="s">
        <v>297</v>
      </c>
      <c r="H270" s="181">
        <v>2017</v>
      </c>
      <c r="I270" s="181">
        <v>2011</v>
      </c>
      <c r="J270" s="234" t="s">
        <v>309</v>
      </c>
      <c r="K270" s="181" t="s">
        <v>298</v>
      </c>
      <c r="L270" s="181" t="s">
        <v>2737</v>
      </c>
      <c r="M270" s="231">
        <v>40.716666666666669</v>
      </c>
      <c r="N270" s="231">
        <v>-77.916666666666671</v>
      </c>
      <c r="O270" s="231">
        <v>350</v>
      </c>
      <c r="P270" s="181"/>
      <c r="Q270" s="181"/>
      <c r="R270" s="181"/>
      <c r="S270" s="231">
        <v>975</v>
      </c>
      <c r="T270" s="181"/>
      <c r="U270" s="181">
        <v>1</v>
      </c>
      <c r="V270" s="181" t="s">
        <v>1688</v>
      </c>
      <c r="W270" s="181"/>
      <c r="X270" s="181"/>
      <c r="Y270" s="181" t="s">
        <v>1824</v>
      </c>
      <c r="Z270" s="181" t="s">
        <v>1356</v>
      </c>
      <c r="AA270" s="231" t="s">
        <v>1680</v>
      </c>
      <c r="AB270" s="232"/>
      <c r="AC270" s="232"/>
      <c r="AD270" s="231"/>
      <c r="AE270" s="231"/>
      <c r="AF270" s="231"/>
      <c r="AG270" s="231"/>
      <c r="AH270" s="181" t="s">
        <v>6378</v>
      </c>
      <c r="AI270" s="181"/>
      <c r="AJ270" s="231"/>
      <c r="AK270" s="231"/>
      <c r="AL270" s="181"/>
      <c r="AM270" s="181" t="s">
        <v>1286</v>
      </c>
      <c r="AN270" s="185" t="s">
        <v>1468</v>
      </c>
      <c r="AO270" s="185" t="s">
        <v>5150</v>
      </c>
      <c r="AP270" s="181"/>
      <c r="AQ270" s="181" t="s">
        <v>610</v>
      </c>
      <c r="AR270" s="181" t="s">
        <v>132</v>
      </c>
      <c r="AS270" s="181" t="s">
        <v>1584</v>
      </c>
      <c r="AT270" s="181" t="s">
        <v>299</v>
      </c>
      <c r="AU270" s="181" t="s">
        <v>5150</v>
      </c>
      <c r="AV270" s="185" t="s">
        <v>479</v>
      </c>
      <c r="AW270" s="181" t="s">
        <v>299</v>
      </c>
      <c r="AX270" s="185" t="s">
        <v>479</v>
      </c>
      <c r="AY270" s="181" t="s">
        <v>176</v>
      </c>
      <c r="AZ270" s="181"/>
      <c r="BA270" s="181"/>
      <c r="BB270" s="181"/>
      <c r="BC270" s="181"/>
      <c r="BD270" s="181"/>
      <c r="BE270" s="226" t="s">
        <v>300</v>
      </c>
      <c r="BF270" s="55" t="s">
        <v>479</v>
      </c>
      <c r="BG270" s="55" t="s">
        <v>479</v>
      </c>
      <c r="BH270" s="226" t="s">
        <v>300</v>
      </c>
      <c r="BI270" s="55" t="s">
        <v>479</v>
      </c>
      <c r="BJ270" s="181" t="s">
        <v>176</v>
      </c>
      <c r="BK270" s="181" t="s">
        <v>5976</v>
      </c>
      <c r="BL270" s="181"/>
      <c r="BM270" s="192" t="s">
        <v>160</v>
      </c>
      <c r="BN270" s="181">
        <v>4</v>
      </c>
      <c r="BO270" s="181">
        <v>4</v>
      </c>
      <c r="BP270" s="181"/>
      <c r="BQ270" s="181" t="s">
        <v>141</v>
      </c>
      <c r="BR270" s="181"/>
      <c r="BS270" s="181">
        <v>5850</v>
      </c>
      <c r="BT270" s="181">
        <v>29.9</v>
      </c>
      <c r="BU270" s="181"/>
      <c r="BV270" s="181"/>
      <c r="BW270" s="232"/>
      <c r="BX270" s="232"/>
      <c r="BY270" s="232"/>
      <c r="BZ270" s="232"/>
      <c r="CA270" s="232"/>
      <c r="CB270" s="183"/>
      <c r="CC270" s="183"/>
      <c r="CD270" s="183"/>
      <c r="CE270" s="232"/>
      <c r="CF270" s="232"/>
      <c r="CG270" s="232"/>
      <c r="CH270" s="231"/>
      <c r="CI270" s="231"/>
      <c r="CJ270" s="232"/>
      <c r="CK270" s="232"/>
      <c r="CL270" s="232"/>
      <c r="CM270" s="232"/>
      <c r="CN270" s="232"/>
      <c r="CO270" s="232"/>
      <c r="CP270" s="232"/>
      <c r="CQ270" s="232"/>
      <c r="CR270" s="232"/>
      <c r="CS270" s="232"/>
      <c r="CT270" s="232"/>
      <c r="CU270" s="232"/>
      <c r="CV270" s="232"/>
      <c r="CW270" s="232"/>
      <c r="CX270" s="232"/>
      <c r="CY270" s="232"/>
      <c r="CZ270" s="232"/>
      <c r="DA270" s="232"/>
      <c r="DB270" s="232"/>
      <c r="DC270" s="232"/>
      <c r="DD270" s="232"/>
      <c r="DE270" s="232"/>
      <c r="DF270" s="232"/>
      <c r="DG270" s="232"/>
      <c r="DH270" s="232"/>
      <c r="DI270" s="232"/>
      <c r="DJ270" s="232"/>
      <c r="DK270" s="232"/>
      <c r="DL270" s="232"/>
      <c r="DM270" s="232"/>
      <c r="DN270" s="232"/>
      <c r="DO270" s="232"/>
      <c r="DP270" s="232"/>
      <c r="DQ270" s="233"/>
      <c r="DR270" s="233"/>
      <c r="DS270" s="232"/>
      <c r="DT270" s="232"/>
      <c r="DU270" s="232"/>
      <c r="DV270" s="232"/>
      <c r="DW270" s="232"/>
      <c r="DX270" s="232"/>
      <c r="DY270" s="232"/>
      <c r="DZ270" s="232"/>
      <c r="EA270" s="232"/>
      <c r="EB270" s="232"/>
      <c r="EC270" s="232"/>
      <c r="ED270" s="232"/>
      <c r="EE270" s="232"/>
      <c r="EF270" s="232"/>
      <c r="EG270" s="232"/>
      <c r="EH270" s="232"/>
      <c r="EI270" s="232"/>
      <c r="EJ270" s="232"/>
      <c r="EK270" s="231"/>
      <c r="EL270" s="231"/>
      <c r="EM270" s="232"/>
      <c r="EN270" s="232"/>
      <c r="EO270" s="232"/>
      <c r="EP270" s="232"/>
      <c r="EQ270" s="232"/>
      <c r="ER270" s="232"/>
      <c r="ES270" s="232"/>
      <c r="ET270" s="232"/>
      <c r="EU270" s="232"/>
      <c r="EV270" s="232"/>
      <c r="EW270" s="232"/>
      <c r="EX270" s="232"/>
      <c r="EY270" s="232"/>
      <c r="EZ270" s="232"/>
      <c r="FA270" s="232"/>
      <c r="FB270" s="232"/>
      <c r="FC270" s="232"/>
      <c r="FD270" s="232"/>
      <c r="FE270" s="232"/>
      <c r="FF270" s="232"/>
      <c r="FG270" s="232"/>
      <c r="FH270" s="232"/>
      <c r="FI270" s="232"/>
      <c r="FJ270" s="232"/>
      <c r="FK270" s="232"/>
      <c r="FL270" s="232"/>
      <c r="FM270" s="232"/>
      <c r="FN270" s="232"/>
      <c r="FO270" s="232"/>
      <c r="FP270" s="232"/>
      <c r="FQ270" s="232"/>
      <c r="FR270" s="232"/>
      <c r="FS270" s="232"/>
      <c r="FT270" s="232"/>
      <c r="FU270" s="232"/>
      <c r="FV270" s="232"/>
      <c r="FW270" s="232"/>
      <c r="FX270" s="232"/>
      <c r="FY270" s="232"/>
      <c r="FZ270" s="232"/>
      <c r="GA270" s="232"/>
      <c r="GB270" s="232"/>
      <c r="GC270" s="232"/>
      <c r="GD270" s="232"/>
      <c r="GE270" s="232"/>
      <c r="GF270" s="232"/>
      <c r="GG270" s="232"/>
      <c r="GH270" s="232"/>
      <c r="GI270" s="232"/>
      <c r="GJ270" s="232"/>
      <c r="GK270" s="232"/>
      <c r="GL270" s="232"/>
      <c r="GM270" s="232"/>
      <c r="GN270" s="294"/>
      <c r="GO270" s="294"/>
      <c r="GP270" s="292" t="s">
        <v>7494</v>
      </c>
      <c r="GQ270" s="232"/>
      <c r="GR270" s="232"/>
      <c r="GS270" s="232"/>
      <c r="GT270" s="232"/>
      <c r="GU270" s="232"/>
      <c r="GV270" s="232"/>
      <c r="GW270" s="232"/>
      <c r="GX270" s="232"/>
      <c r="GY270" s="232"/>
      <c r="GZ270" s="232"/>
      <c r="HA270" s="232"/>
      <c r="HB270" s="232"/>
      <c r="HC270" s="232"/>
      <c r="HD270" s="232"/>
      <c r="HE270" s="232"/>
      <c r="HF270" s="232"/>
      <c r="HG270" s="232"/>
      <c r="HH270" s="232"/>
      <c r="HI270" s="232"/>
      <c r="HJ270" s="232"/>
      <c r="HK270" s="232"/>
      <c r="HL270" s="232"/>
      <c r="HM270" s="232"/>
      <c r="HN270" s="232">
        <v>69.540000000000006</v>
      </c>
      <c r="HO270" s="232">
        <v>74.53</v>
      </c>
      <c r="HP270" s="232"/>
      <c r="HQ270" s="232"/>
      <c r="HR270" s="232" t="s">
        <v>1662</v>
      </c>
      <c r="HS270" s="232"/>
      <c r="HT270" s="232"/>
      <c r="HU270" s="232"/>
      <c r="HV270" s="232"/>
      <c r="HW270" s="232"/>
      <c r="HX270" s="232"/>
      <c r="HY270" s="232"/>
      <c r="HZ270" s="232"/>
      <c r="IA270" s="232"/>
      <c r="IB270" s="232"/>
      <c r="IC270" s="232"/>
      <c r="ID270" s="232"/>
      <c r="IE270" s="232"/>
      <c r="IF270" s="232"/>
      <c r="IG270" s="232"/>
      <c r="IH270" s="232"/>
      <c r="II270" s="232"/>
      <c r="IJ270" s="232"/>
      <c r="IK270" s="232"/>
      <c r="IL270" s="232"/>
      <c r="IM270" s="232"/>
      <c r="IN270" s="232"/>
      <c r="IO270" s="232"/>
      <c r="IP270" s="232"/>
      <c r="IQ270" s="232"/>
      <c r="IR270" s="232">
        <v>8.06</v>
      </c>
      <c r="IS270" s="232">
        <v>10.97</v>
      </c>
      <c r="IT270" s="232"/>
      <c r="IU270" s="232"/>
      <c r="IV270" s="232"/>
      <c r="IW270" s="232"/>
      <c r="IX270" s="232"/>
      <c r="IY270" s="232"/>
      <c r="IZ270" s="232"/>
      <c r="JA270" s="232"/>
      <c r="JB270" s="232"/>
      <c r="JC270" s="232"/>
      <c r="JD270" s="232"/>
      <c r="JE270" s="232"/>
      <c r="JF270" s="232"/>
      <c r="JG270" s="232"/>
      <c r="JH270" s="232"/>
      <c r="JI270" s="232"/>
      <c r="JJ270" s="232"/>
      <c r="JK270" s="232"/>
      <c r="JL270" s="232"/>
      <c r="JM270" s="232"/>
      <c r="JN270" s="232"/>
      <c r="JO270" s="232"/>
      <c r="JP270" s="232"/>
      <c r="JQ270" s="232"/>
      <c r="JR270" s="232"/>
      <c r="JS270" s="232"/>
      <c r="JT270" s="232"/>
      <c r="JU270" s="181" t="s">
        <v>310</v>
      </c>
      <c r="JV270" s="181"/>
      <c r="JW270" s="181"/>
    </row>
    <row r="271" spans="1:283" s="229" customFormat="1" x14ac:dyDescent="0.25">
      <c r="A271" s="181">
        <v>270</v>
      </c>
      <c r="B271" s="229" t="s">
        <v>7067</v>
      </c>
      <c r="C271" s="230">
        <v>18</v>
      </c>
      <c r="D271" s="181" t="s">
        <v>3749</v>
      </c>
      <c r="E271" s="231" t="s">
        <v>296</v>
      </c>
      <c r="F271" s="231"/>
      <c r="G271" s="181" t="s">
        <v>297</v>
      </c>
      <c r="H271" s="181">
        <v>2017</v>
      </c>
      <c r="I271" s="181">
        <v>2011</v>
      </c>
      <c r="J271" s="234" t="s">
        <v>309</v>
      </c>
      <c r="K271" s="181" t="s">
        <v>298</v>
      </c>
      <c r="L271" s="181" t="s">
        <v>2737</v>
      </c>
      <c r="M271" s="231">
        <v>40.716666666666669</v>
      </c>
      <c r="N271" s="231">
        <v>-77.916666666666671</v>
      </c>
      <c r="O271" s="231">
        <v>350</v>
      </c>
      <c r="P271" s="181"/>
      <c r="Q271" s="181"/>
      <c r="R271" s="181"/>
      <c r="S271" s="231">
        <v>975</v>
      </c>
      <c r="T271" s="181"/>
      <c r="U271" s="181">
        <v>1</v>
      </c>
      <c r="V271" s="181" t="s">
        <v>1688</v>
      </c>
      <c r="W271" s="181"/>
      <c r="X271" s="181"/>
      <c r="Y271" s="181" t="s">
        <v>1824</v>
      </c>
      <c r="Z271" s="181" t="s">
        <v>1356</v>
      </c>
      <c r="AA271" s="231" t="s">
        <v>1680</v>
      </c>
      <c r="AB271" s="232"/>
      <c r="AC271" s="232"/>
      <c r="AD271" s="231"/>
      <c r="AE271" s="231"/>
      <c r="AF271" s="231"/>
      <c r="AG271" s="231"/>
      <c r="AH271" s="181" t="s">
        <v>6378</v>
      </c>
      <c r="AI271" s="181"/>
      <c r="AJ271" s="231"/>
      <c r="AK271" s="231"/>
      <c r="AL271" s="181"/>
      <c r="AM271" s="181" t="s">
        <v>1286</v>
      </c>
      <c r="AN271" s="185" t="s">
        <v>1469</v>
      </c>
      <c r="AO271" s="185" t="s">
        <v>5150</v>
      </c>
      <c r="AP271" s="181"/>
      <c r="AQ271" s="181" t="s">
        <v>610</v>
      </c>
      <c r="AR271" s="181" t="s">
        <v>132</v>
      </c>
      <c r="AS271" s="181" t="s">
        <v>1584</v>
      </c>
      <c r="AT271" s="181" t="s">
        <v>299</v>
      </c>
      <c r="AU271" s="181" t="s">
        <v>5150</v>
      </c>
      <c r="AV271" s="185" t="s">
        <v>479</v>
      </c>
      <c r="AW271" s="181" t="s">
        <v>299</v>
      </c>
      <c r="AX271" s="185" t="s">
        <v>479</v>
      </c>
      <c r="AY271" s="181" t="s">
        <v>176</v>
      </c>
      <c r="AZ271" s="181"/>
      <c r="BA271" s="181"/>
      <c r="BB271" s="181"/>
      <c r="BC271" s="181"/>
      <c r="BD271" s="181"/>
      <c r="BE271" s="226" t="s">
        <v>300</v>
      </c>
      <c r="BF271" s="55" t="s">
        <v>479</v>
      </c>
      <c r="BG271" s="55" t="s">
        <v>479</v>
      </c>
      <c r="BH271" s="226" t="s">
        <v>300</v>
      </c>
      <c r="BI271" s="55" t="s">
        <v>479</v>
      </c>
      <c r="BJ271" s="181" t="s">
        <v>176</v>
      </c>
      <c r="BK271" s="181" t="s">
        <v>5976</v>
      </c>
      <c r="BL271" s="181"/>
      <c r="BM271" s="192" t="s">
        <v>160</v>
      </c>
      <c r="BN271" s="181">
        <v>4</v>
      </c>
      <c r="BO271" s="181">
        <v>4</v>
      </c>
      <c r="BP271" s="181"/>
      <c r="BQ271" s="181" t="s">
        <v>141</v>
      </c>
      <c r="BR271" s="181"/>
      <c r="BS271" s="181">
        <v>1724</v>
      </c>
      <c r="BT271" s="181">
        <v>15.4</v>
      </c>
      <c r="BU271" s="181"/>
      <c r="BV271" s="181"/>
      <c r="BW271" s="232"/>
      <c r="BX271" s="232"/>
      <c r="BY271" s="232"/>
      <c r="BZ271" s="232"/>
      <c r="CA271" s="232"/>
      <c r="CB271" s="183"/>
      <c r="CC271" s="183"/>
      <c r="CD271" s="183"/>
      <c r="CE271" s="232"/>
      <c r="CF271" s="232"/>
      <c r="CG271" s="232"/>
      <c r="CH271" s="231"/>
      <c r="CI271" s="231"/>
      <c r="CJ271" s="232"/>
      <c r="CK271" s="232"/>
      <c r="CL271" s="232"/>
      <c r="CM271" s="232"/>
      <c r="CN271" s="232"/>
      <c r="CO271" s="232"/>
      <c r="CP271" s="232"/>
      <c r="CQ271" s="232"/>
      <c r="CR271" s="232"/>
      <c r="CS271" s="232"/>
      <c r="CT271" s="232"/>
      <c r="CU271" s="232"/>
      <c r="CV271" s="232"/>
      <c r="CW271" s="232"/>
      <c r="CX271" s="232"/>
      <c r="CY271" s="232"/>
      <c r="CZ271" s="232"/>
      <c r="DA271" s="232"/>
      <c r="DB271" s="232"/>
      <c r="DC271" s="232"/>
      <c r="DD271" s="232"/>
      <c r="DE271" s="232"/>
      <c r="DF271" s="232"/>
      <c r="DG271" s="232"/>
      <c r="DH271" s="232"/>
      <c r="DI271" s="232"/>
      <c r="DJ271" s="232"/>
      <c r="DK271" s="232"/>
      <c r="DL271" s="232"/>
      <c r="DM271" s="232"/>
      <c r="DN271" s="232"/>
      <c r="DO271" s="232"/>
      <c r="DP271" s="232"/>
      <c r="DQ271" s="233"/>
      <c r="DR271" s="233"/>
      <c r="DS271" s="232"/>
      <c r="DT271" s="232"/>
      <c r="DU271" s="232"/>
      <c r="DV271" s="232"/>
      <c r="DW271" s="232"/>
      <c r="DX271" s="232"/>
      <c r="DY271" s="232"/>
      <c r="DZ271" s="232"/>
      <c r="EA271" s="232"/>
      <c r="EB271" s="232"/>
      <c r="EC271" s="232"/>
      <c r="ED271" s="232"/>
      <c r="EE271" s="232"/>
      <c r="EF271" s="232"/>
      <c r="EG271" s="232"/>
      <c r="EH271" s="232"/>
      <c r="EI271" s="232"/>
      <c r="EJ271" s="232"/>
      <c r="EK271" s="231"/>
      <c r="EL271" s="231"/>
      <c r="EM271" s="232"/>
      <c r="EN271" s="232"/>
      <c r="EO271" s="232"/>
      <c r="EP271" s="232"/>
      <c r="EQ271" s="232"/>
      <c r="ER271" s="232"/>
      <c r="ES271" s="232"/>
      <c r="ET271" s="232"/>
      <c r="EU271" s="232"/>
      <c r="EV271" s="232"/>
      <c r="EW271" s="232"/>
      <c r="EX271" s="232"/>
      <c r="EY271" s="232"/>
      <c r="EZ271" s="232"/>
      <c r="FA271" s="232"/>
      <c r="FB271" s="232"/>
      <c r="FC271" s="232"/>
      <c r="FD271" s="232"/>
      <c r="FE271" s="232"/>
      <c r="FF271" s="232"/>
      <c r="FG271" s="232"/>
      <c r="FH271" s="232"/>
      <c r="FI271" s="232"/>
      <c r="FJ271" s="232"/>
      <c r="FK271" s="232"/>
      <c r="FL271" s="232"/>
      <c r="FM271" s="232"/>
      <c r="FN271" s="232"/>
      <c r="FO271" s="232"/>
      <c r="FP271" s="232"/>
      <c r="FQ271" s="232"/>
      <c r="FR271" s="232"/>
      <c r="FS271" s="232"/>
      <c r="FT271" s="232"/>
      <c r="FU271" s="232"/>
      <c r="FV271" s="232"/>
      <c r="FW271" s="232"/>
      <c r="FX271" s="232"/>
      <c r="FY271" s="232"/>
      <c r="FZ271" s="232"/>
      <c r="GA271" s="232"/>
      <c r="GB271" s="232"/>
      <c r="GC271" s="232"/>
      <c r="GD271" s="232"/>
      <c r="GE271" s="232"/>
      <c r="GF271" s="232"/>
      <c r="GG271" s="232"/>
      <c r="GH271" s="232"/>
      <c r="GI271" s="232"/>
      <c r="GJ271" s="232"/>
      <c r="GK271" s="232"/>
      <c r="GL271" s="232"/>
      <c r="GM271" s="232"/>
      <c r="GN271" s="294"/>
      <c r="GO271" s="294"/>
      <c r="GP271" s="292" t="s">
        <v>7494</v>
      </c>
      <c r="GQ271" s="232"/>
      <c r="GR271" s="232"/>
      <c r="GS271" s="232"/>
      <c r="GT271" s="232"/>
      <c r="GU271" s="232"/>
      <c r="GV271" s="232"/>
      <c r="GW271" s="232"/>
      <c r="GX271" s="232"/>
      <c r="GY271" s="232"/>
      <c r="GZ271" s="232"/>
      <c r="HA271" s="232"/>
      <c r="HB271" s="232"/>
      <c r="HC271" s="232"/>
      <c r="HD271" s="232"/>
      <c r="HE271" s="232"/>
      <c r="HF271" s="232"/>
      <c r="HG271" s="232"/>
      <c r="HH271" s="232"/>
      <c r="HI271" s="232"/>
      <c r="HJ271" s="232"/>
      <c r="HK271" s="232"/>
      <c r="HL271" s="232"/>
      <c r="HM271" s="232"/>
      <c r="HN271" s="232">
        <v>69.540000000000006</v>
      </c>
      <c r="HO271" s="232">
        <v>76.25</v>
      </c>
      <c r="HP271" s="232"/>
      <c r="HQ271" s="232"/>
      <c r="HR271" s="232" t="s">
        <v>1662</v>
      </c>
      <c r="HS271" s="232"/>
      <c r="HT271" s="232"/>
      <c r="HU271" s="232"/>
      <c r="HV271" s="232"/>
      <c r="HW271" s="232"/>
      <c r="HX271" s="232"/>
      <c r="HY271" s="232"/>
      <c r="HZ271" s="232"/>
      <c r="IA271" s="232"/>
      <c r="IB271" s="232"/>
      <c r="IC271" s="232"/>
      <c r="ID271" s="232"/>
      <c r="IE271" s="232"/>
      <c r="IF271" s="232"/>
      <c r="IG271" s="232"/>
      <c r="IH271" s="232"/>
      <c r="II271" s="232"/>
      <c r="IJ271" s="232"/>
      <c r="IK271" s="232"/>
      <c r="IL271" s="232"/>
      <c r="IM271" s="232"/>
      <c r="IN271" s="232"/>
      <c r="IO271" s="232"/>
      <c r="IP271" s="232"/>
      <c r="IQ271" s="232"/>
      <c r="IR271" s="232">
        <v>8.06</v>
      </c>
      <c r="IS271" s="232">
        <v>12.2</v>
      </c>
      <c r="IT271" s="232"/>
      <c r="IU271" s="232"/>
      <c r="IV271" s="232"/>
      <c r="IW271" s="232"/>
      <c r="IX271" s="232"/>
      <c r="IY271" s="232"/>
      <c r="IZ271" s="232"/>
      <c r="JA271" s="232"/>
      <c r="JB271" s="232"/>
      <c r="JC271" s="232"/>
      <c r="JD271" s="232"/>
      <c r="JE271" s="232"/>
      <c r="JF271" s="232"/>
      <c r="JG271" s="232"/>
      <c r="JH271" s="232"/>
      <c r="JI271" s="232"/>
      <c r="JJ271" s="232"/>
      <c r="JK271" s="232"/>
      <c r="JL271" s="232"/>
      <c r="JM271" s="232"/>
      <c r="JN271" s="232"/>
      <c r="JO271" s="232"/>
      <c r="JP271" s="232"/>
      <c r="JQ271" s="232"/>
      <c r="JR271" s="232"/>
      <c r="JS271" s="232"/>
      <c r="JT271" s="232"/>
      <c r="JU271" s="181" t="s">
        <v>310</v>
      </c>
      <c r="JV271" s="181"/>
      <c r="JW271" s="181"/>
    </row>
    <row r="272" spans="1:283" s="229" customFormat="1" x14ac:dyDescent="0.25">
      <c r="A272" s="181">
        <v>271</v>
      </c>
      <c r="B272" s="229" t="s">
        <v>7067</v>
      </c>
      <c r="C272" s="230">
        <v>18</v>
      </c>
      <c r="D272" s="181" t="s">
        <v>3749</v>
      </c>
      <c r="E272" s="231" t="s">
        <v>296</v>
      </c>
      <c r="F272" s="231"/>
      <c r="G272" s="181" t="s">
        <v>297</v>
      </c>
      <c r="H272" s="181">
        <v>2017</v>
      </c>
      <c r="I272" s="181">
        <v>2011</v>
      </c>
      <c r="J272" s="234" t="s">
        <v>309</v>
      </c>
      <c r="K272" s="181" t="s">
        <v>298</v>
      </c>
      <c r="L272" s="181" t="s">
        <v>2737</v>
      </c>
      <c r="M272" s="231">
        <v>40.716666666666669</v>
      </c>
      <c r="N272" s="231">
        <v>-77.916666666666671</v>
      </c>
      <c r="O272" s="231">
        <v>350</v>
      </c>
      <c r="P272" s="181"/>
      <c r="Q272" s="181"/>
      <c r="R272" s="181"/>
      <c r="S272" s="231">
        <v>975</v>
      </c>
      <c r="T272" s="181"/>
      <c r="U272" s="181">
        <v>1</v>
      </c>
      <c r="V272" s="181" t="s">
        <v>1688</v>
      </c>
      <c r="W272" s="181"/>
      <c r="X272" s="181"/>
      <c r="Y272" s="181" t="s">
        <v>1824</v>
      </c>
      <c r="Z272" s="181" t="s">
        <v>1356</v>
      </c>
      <c r="AA272" s="231" t="s">
        <v>1680</v>
      </c>
      <c r="AB272" s="232"/>
      <c r="AC272" s="232"/>
      <c r="AD272" s="231"/>
      <c r="AE272" s="231"/>
      <c r="AF272" s="231"/>
      <c r="AG272" s="231"/>
      <c r="AH272" s="181" t="s">
        <v>6378</v>
      </c>
      <c r="AI272" s="181"/>
      <c r="AJ272" s="231"/>
      <c r="AK272" s="231"/>
      <c r="AL272" s="181"/>
      <c r="AM272" s="181" t="s">
        <v>1286</v>
      </c>
      <c r="AN272" s="185" t="s">
        <v>1470</v>
      </c>
      <c r="AO272" s="185" t="s">
        <v>5150</v>
      </c>
      <c r="AP272" s="181"/>
      <c r="AQ272" s="181" t="s">
        <v>610</v>
      </c>
      <c r="AR272" s="181" t="s">
        <v>132</v>
      </c>
      <c r="AS272" s="181" t="s">
        <v>1584</v>
      </c>
      <c r="AT272" s="181" t="s">
        <v>299</v>
      </c>
      <c r="AU272" s="181" t="s">
        <v>5150</v>
      </c>
      <c r="AV272" s="185" t="s">
        <v>479</v>
      </c>
      <c r="AW272" s="181" t="s">
        <v>299</v>
      </c>
      <c r="AX272" s="185" t="s">
        <v>479</v>
      </c>
      <c r="AY272" s="181" t="s">
        <v>176</v>
      </c>
      <c r="AZ272" s="181"/>
      <c r="BA272" s="181"/>
      <c r="BB272" s="181"/>
      <c r="BC272" s="181"/>
      <c r="BD272" s="181"/>
      <c r="BE272" s="226" t="s">
        <v>300</v>
      </c>
      <c r="BF272" s="55" t="s">
        <v>479</v>
      </c>
      <c r="BG272" s="55" t="s">
        <v>479</v>
      </c>
      <c r="BH272" s="226" t="s">
        <v>300</v>
      </c>
      <c r="BI272" s="55" t="s">
        <v>479</v>
      </c>
      <c r="BJ272" s="181" t="s">
        <v>176</v>
      </c>
      <c r="BK272" s="181" t="s">
        <v>5976</v>
      </c>
      <c r="BL272" s="181"/>
      <c r="BM272" s="192" t="s">
        <v>160</v>
      </c>
      <c r="BN272" s="181">
        <v>4</v>
      </c>
      <c r="BO272" s="181">
        <v>4</v>
      </c>
      <c r="BP272" s="181"/>
      <c r="BQ272" s="181" t="s">
        <v>141</v>
      </c>
      <c r="BR272" s="181"/>
      <c r="BS272" s="181">
        <v>6699</v>
      </c>
      <c r="BT272" s="181">
        <v>16.399999999999999</v>
      </c>
      <c r="BU272" s="181"/>
      <c r="BV272" s="181"/>
      <c r="BW272" s="232"/>
      <c r="BX272" s="232"/>
      <c r="BY272" s="232"/>
      <c r="BZ272" s="232"/>
      <c r="CA272" s="232"/>
      <c r="CB272" s="183"/>
      <c r="CC272" s="183"/>
      <c r="CD272" s="183"/>
      <c r="CE272" s="232"/>
      <c r="CF272" s="232"/>
      <c r="CG272" s="232"/>
      <c r="CH272" s="231"/>
      <c r="CI272" s="231"/>
      <c r="CJ272" s="232"/>
      <c r="CK272" s="232"/>
      <c r="CL272" s="232"/>
      <c r="CM272" s="232"/>
      <c r="CN272" s="232"/>
      <c r="CO272" s="232"/>
      <c r="CP272" s="232"/>
      <c r="CQ272" s="232"/>
      <c r="CR272" s="232"/>
      <c r="CS272" s="232"/>
      <c r="CT272" s="232"/>
      <c r="CU272" s="232"/>
      <c r="CV272" s="232"/>
      <c r="CW272" s="232"/>
      <c r="CX272" s="232"/>
      <c r="CY272" s="232"/>
      <c r="CZ272" s="232"/>
      <c r="DA272" s="232"/>
      <c r="DB272" s="232"/>
      <c r="DC272" s="232"/>
      <c r="DD272" s="232"/>
      <c r="DE272" s="232"/>
      <c r="DF272" s="232"/>
      <c r="DG272" s="232"/>
      <c r="DH272" s="232"/>
      <c r="DI272" s="232"/>
      <c r="DJ272" s="232"/>
      <c r="DK272" s="232"/>
      <c r="DL272" s="232"/>
      <c r="DM272" s="232"/>
      <c r="DN272" s="232"/>
      <c r="DO272" s="232"/>
      <c r="DP272" s="232"/>
      <c r="DQ272" s="233"/>
      <c r="DR272" s="233"/>
      <c r="DS272" s="232"/>
      <c r="DT272" s="232"/>
      <c r="DU272" s="232"/>
      <c r="DV272" s="232"/>
      <c r="DW272" s="232"/>
      <c r="DX272" s="232"/>
      <c r="DY272" s="232"/>
      <c r="DZ272" s="232"/>
      <c r="EA272" s="232"/>
      <c r="EB272" s="232"/>
      <c r="EC272" s="232"/>
      <c r="ED272" s="232"/>
      <c r="EE272" s="232"/>
      <c r="EF272" s="232"/>
      <c r="EG272" s="232"/>
      <c r="EH272" s="232"/>
      <c r="EI272" s="232"/>
      <c r="EJ272" s="232"/>
      <c r="EK272" s="231"/>
      <c r="EL272" s="231"/>
      <c r="EM272" s="232"/>
      <c r="EN272" s="232"/>
      <c r="EO272" s="232"/>
      <c r="EP272" s="232"/>
      <c r="EQ272" s="232"/>
      <c r="ER272" s="232"/>
      <c r="ES272" s="232"/>
      <c r="ET272" s="232"/>
      <c r="EU272" s="232"/>
      <c r="EV272" s="232"/>
      <c r="EW272" s="232"/>
      <c r="EX272" s="232"/>
      <c r="EY272" s="232"/>
      <c r="EZ272" s="232"/>
      <c r="FA272" s="232"/>
      <c r="FB272" s="232"/>
      <c r="FC272" s="232"/>
      <c r="FD272" s="232"/>
      <c r="FE272" s="232"/>
      <c r="FF272" s="232"/>
      <c r="FG272" s="232"/>
      <c r="FH272" s="232"/>
      <c r="FI272" s="232"/>
      <c r="FJ272" s="232"/>
      <c r="FK272" s="232"/>
      <c r="FL272" s="232"/>
      <c r="FM272" s="232"/>
      <c r="FN272" s="232"/>
      <c r="FO272" s="232"/>
      <c r="FP272" s="232"/>
      <c r="FQ272" s="232"/>
      <c r="FR272" s="232"/>
      <c r="FS272" s="232"/>
      <c r="FT272" s="232"/>
      <c r="FU272" s="232"/>
      <c r="FV272" s="232"/>
      <c r="FW272" s="232"/>
      <c r="FX272" s="232"/>
      <c r="FY272" s="232"/>
      <c r="FZ272" s="232"/>
      <c r="GA272" s="232"/>
      <c r="GB272" s="232"/>
      <c r="GC272" s="232"/>
      <c r="GD272" s="232"/>
      <c r="GE272" s="232"/>
      <c r="GF272" s="232"/>
      <c r="GG272" s="232"/>
      <c r="GH272" s="232"/>
      <c r="GI272" s="232"/>
      <c r="GJ272" s="232"/>
      <c r="GK272" s="232"/>
      <c r="GL272" s="232"/>
      <c r="GM272" s="232"/>
      <c r="GN272" s="294"/>
      <c r="GO272" s="294"/>
      <c r="GP272" s="292" t="s">
        <v>7494</v>
      </c>
      <c r="GQ272" s="232"/>
      <c r="GR272" s="232"/>
      <c r="GS272" s="232"/>
      <c r="GT272" s="232"/>
      <c r="GU272" s="232"/>
      <c r="GV272" s="232"/>
      <c r="GW272" s="232"/>
      <c r="GX272" s="232"/>
      <c r="GY272" s="232"/>
      <c r="GZ272" s="232"/>
      <c r="HA272" s="232"/>
      <c r="HB272" s="232"/>
      <c r="HC272" s="232"/>
      <c r="HD272" s="232"/>
      <c r="HE272" s="232"/>
      <c r="HF272" s="232"/>
      <c r="HG272" s="232"/>
      <c r="HH272" s="232"/>
      <c r="HI272" s="232"/>
      <c r="HJ272" s="232"/>
      <c r="HK272" s="232"/>
      <c r="HL272" s="232"/>
      <c r="HM272" s="232"/>
      <c r="HN272" s="232">
        <v>69.540000000000006</v>
      </c>
      <c r="HO272" s="232">
        <v>76.3</v>
      </c>
      <c r="HP272" s="232"/>
      <c r="HQ272" s="232"/>
      <c r="HR272" s="232" t="s">
        <v>1662</v>
      </c>
      <c r="HS272" s="232"/>
      <c r="HT272" s="232"/>
      <c r="HU272" s="232"/>
      <c r="HV272" s="232"/>
      <c r="HW272" s="232"/>
      <c r="HX272" s="232"/>
      <c r="HY272" s="232"/>
      <c r="HZ272" s="232"/>
      <c r="IA272" s="232"/>
      <c r="IB272" s="232"/>
      <c r="IC272" s="232"/>
      <c r="ID272" s="232"/>
      <c r="IE272" s="232"/>
      <c r="IF272" s="232"/>
      <c r="IG272" s="232"/>
      <c r="IH272" s="232"/>
      <c r="II272" s="232"/>
      <c r="IJ272" s="232"/>
      <c r="IK272" s="232"/>
      <c r="IL272" s="232"/>
      <c r="IM272" s="232"/>
      <c r="IN272" s="232"/>
      <c r="IO272" s="232"/>
      <c r="IP272" s="232"/>
      <c r="IQ272" s="232"/>
      <c r="IR272" s="232">
        <v>8.06</v>
      </c>
      <c r="IS272" s="232">
        <v>11.89</v>
      </c>
      <c r="IT272" s="232"/>
      <c r="IU272" s="232"/>
      <c r="IV272" s="232"/>
      <c r="IW272" s="232"/>
      <c r="IX272" s="232"/>
      <c r="IY272" s="232"/>
      <c r="IZ272" s="232"/>
      <c r="JA272" s="232"/>
      <c r="JB272" s="232"/>
      <c r="JC272" s="232"/>
      <c r="JD272" s="232"/>
      <c r="JE272" s="232"/>
      <c r="JF272" s="232"/>
      <c r="JG272" s="232"/>
      <c r="JH272" s="232"/>
      <c r="JI272" s="232"/>
      <c r="JJ272" s="232"/>
      <c r="JK272" s="232"/>
      <c r="JL272" s="232"/>
      <c r="JM272" s="232"/>
      <c r="JN272" s="232"/>
      <c r="JO272" s="232"/>
      <c r="JP272" s="232"/>
      <c r="JQ272" s="232"/>
      <c r="JR272" s="232"/>
      <c r="JS272" s="232"/>
      <c r="JT272" s="232"/>
      <c r="JU272" s="181" t="s">
        <v>310</v>
      </c>
      <c r="JV272" s="181"/>
      <c r="JW272" s="181"/>
    </row>
    <row r="273" spans="1:283" s="229" customFormat="1" x14ac:dyDescent="0.25">
      <c r="A273" s="181">
        <v>272</v>
      </c>
      <c r="B273" s="229" t="s">
        <v>7067</v>
      </c>
      <c r="C273" s="230">
        <v>18</v>
      </c>
      <c r="D273" s="181" t="s">
        <v>3749</v>
      </c>
      <c r="E273" s="231" t="s">
        <v>296</v>
      </c>
      <c r="F273" s="231"/>
      <c r="G273" s="181" t="s">
        <v>297</v>
      </c>
      <c r="H273" s="181">
        <v>2017</v>
      </c>
      <c r="I273" s="181">
        <v>2011</v>
      </c>
      <c r="J273" s="234" t="s">
        <v>309</v>
      </c>
      <c r="K273" s="181" t="s">
        <v>298</v>
      </c>
      <c r="L273" s="181" t="s">
        <v>2737</v>
      </c>
      <c r="M273" s="231">
        <v>40.716666666666669</v>
      </c>
      <c r="N273" s="231">
        <v>-77.916666666666671</v>
      </c>
      <c r="O273" s="231">
        <v>350</v>
      </c>
      <c r="P273" s="181"/>
      <c r="Q273" s="181"/>
      <c r="R273" s="181"/>
      <c r="S273" s="231">
        <v>975</v>
      </c>
      <c r="T273" s="181"/>
      <c r="U273" s="181">
        <v>1</v>
      </c>
      <c r="V273" s="181" t="s">
        <v>1688</v>
      </c>
      <c r="W273" s="181"/>
      <c r="X273" s="181"/>
      <c r="Y273" s="181" t="s">
        <v>1824</v>
      </c>
      <c r="Z273" s="181" t="s">
        <v>1356</v>
      </c>
      <c r="AA273" s="231" t="s">
        <v>1680</v>
      </c>
      <c r="AB273" s="232"/>
      <c r="AC273" s="232"/>
      <c r="AD273" s="231"/>
      <c r="AE273" s="231"/>
      <c r="AF273" s="231"/>
      <c r="AG273" s="231"/>
      <c r="AH273" s="181" t="s">
        <v>6378</v>
      </c>
      <c r="AI273" s="181"/>
      <c r="AJ273" s="231"/>
      <c r="AK273" s="231"/>
      <c r="AL273" s="181"/>
      <c r="AM273" s="181" t="s">
        <v>1286</v>
      </c>
      <c r="AN273" s="185" t="s">
        <v>1471</v>
      </c>
      <c r="AO273" s="185" t="s">
        <v>5150</v>
      </c>
      <c r="AP273" s="181"/>
      <c r="AQ273" s="181" t="s">
        <v>610</v>
      </c>
      <c r="AR273" s="181" t="s">
        <v>132</v>
      </c>
      <c r="AS273" s="181" t="s">
        <v>1584</v>
      </c>
      <c r="AT273" s="181" t="s">
        <v>299</v>
      </c>
      <c r="AU273" s="181" t="s">
        <v>5150</v>
      </c>
      <c r="AV273" s="185" t="s">
        <v>479</v>
      </c>
      <c r="AW273" s="181" t="s">
        <v>299</v>
      </c>
      <c r="AX273" s="185" t="s">
        <v>479</v>
      </c>
      <c r="AY273" s="181" t="s">
        <v>176</v>
      </c>
      <c r="AZ273" s="181"/>
      <c r="BA273" s="181"/>
      <c r="BB273" s="181"/>
      <c r="BC273" s="181"/>
      <c r="BD273" s="181"/>
      <c r="BE273" s="226" t="s">
        <v>300</v>
      </c>
      <c r="BF273" s="55" t="s">
        <v>479</v>
      </c>
      <c r="BG273" s="55" t="s">
        <v>479</v>
      </c>
      <c r="BH273" s="226" t="s">
        <v>300</v>
      </c>
      <c r="BI273" s="55" t="s">
        <v>479</v>
      </c>
      <c r="BJ273" s="181" t="s">
        <v>176</v>
      </c>
      <c r="BK273" s="181" t="s">
        <v>5976</v>
      </c>
      <c r="BL273" s="181"/>
      <c r="BM273" s="192" t="s">
        <v>160</v>
      </c>
      <c r="BN273" s="181">
        <v>4</v>
      </c>
      <c r="BO273" s="181">
        <v>4</v>
      </c>
      <c r="BP273" s="181"/>
      <c r="BQ273" s="181" t="s">
        <v>141</v>
      </c>
      <c r="BR273" s="181"/>
      <c r="BS273" s="181">
        <v>6997</v>
      </c>
      <c r="BT273" s="181">
        <v>35.9</v>
      </c>
      <c r="BU273" s="181"/>
      <c r="BV273" s="181"/>
      <c r="BW273" s="232"/>
      <c r="BX273" s="232"/>
      <c r="BY273" s="232"/>
      <c r="BZ273" s="232"/>
      <c r="CA273" s="232"/>
      <c r="CB273" s="183"/>
      <c r="CC273" s="183"/>
      <c r="CD273" s="183"/>
      <c r="CE273" s="232"/>
      <c r="CF273" s="232"/>
      <c r="CG273" s="232"/>
      <c r="CH273" s="231"/>
      <c r="CI273" s="231"/>
      <c r="CJ273" s="232"/>
      <c r="CK273" s="232"/>
      <c r="CL273" s="232"/>
      <c r="CM273" s="232"/>
      <c r="CN273" s="232"/>
      <c r="CO273" s="232"/>
      <c r="CP273" s="232"/>
      <c r="CQ273" s="232"/>
      <c r="CR273" s="232"/>
      <c r="CS273" s="232"/>
      <c r="CT273" s="232"/>
      <c r="CU273" s="232"/>
      <c r="CV273" s="232"/>
      <c r="CW273" s="232"/>
      <c r="CX273" s="232"/>
      <c r="CY273" s="232"/>
      <c r="CZ273" s="232"/>
      <c r="DA273" s="232"/>
      <c r="DB273" s="232"/>
      <c r="DC273" s="232"/>
      <c r="DD273" s="232"/>
      <c r="DE273" s="232"/>
      <c r="DF273" s="232"/>
      <c r="DG273" s="232"/>
      <c r="DH273" s="232"/>
      <c r="DI273" s="232"/>
      <c r="DJ273" s="232"/>
      <c r="DK273" s="232"/>
      <c r="DL273" s="232"/>
      <c r="DM273" s="232"/>
      <c r="DN273" s="232"/>
      <c r="DO273" s="232"/>
      <c r="DP273" s="232"/>
      <c r="DQ273" s="233"/>
      <c r="DR273" s="233"/>
      <c r="DS273" s="232"/>
      <c r="DT273" s="232"/>
      <c r="DU273" s="232"/>
      <c r="DV273" s="232"/>
      <c r="DW273" s="232"/>
      <c r="DX273" s="232"/>
      <c r="DY273" s="232"/>
      <c r="DZ273" s="232"/>
      <c r="EA273" s="232"/>
      <c r="EB273" s="232"/>
      <c r="EC273" s="232"/>
      <c r="ED273" s="232"/>
      <c r="EE273" s="232"/>
      <c r="EF273" s="232"/>
      <c r="EG273" s="232"/>
      <c r="EH273" s="232"/>
      <c r="EI273" s="232"/>
      <c r="EJ273" s="232"/>
      <c r="EK273" s="231"/>
      <c r="EL273" s="231"/>
      <c r="EM273" s="232"/>
      <c r="EN273" s="232"/>
      <c r="EO273" s="232"/>
      <c r="EP273" s="232"/>
      <c r="EQ273" s="232"/>
      <c r="ER273" s="232"/>
      <c r="ES273" s="232"/>
      <c r="ET273" s="232"/>
      <c r="EU273" s="232"/>
      <c r="EV273" s="232"/>
      <c r="EW273" s="232"/>
      <c r="EX273" s="232"/>
      <c r="EY273" s="232"/>
      <c r="EZ273" s="232"/>
      <c r="FA273" s="232"/>
      <c r="FB273" s="232"/>
      <c r="FC273" s="232"/>
      <c r="FD273" s="232"/>
      <c r="FE273" s="232"/>
      <c r="FF273" s="232"/>
      <c r="FG273" s="232"/>
      <c r="FH273" s="232"/>
      <c r="FI273" s="232"/>
      <c r="FJ273" s="232"/>
      <c r="FK273" s="232"/>
      <c r="FL273" s="232"/>
      <c r="FM273" s="232"/>
      <c r="FN273" s="232"/>
      <c r="FO273" s="232"/>
      <c r="FP273" s="232"/>
      <c r="FQ273" s="232"/>
      <c r="FR273" s="232"/>
      <c r="FS273" s="232"/>
      <c r="FT273" s="232"/>
      <c r="FU273" s="232"/>
      <c r="FV273" s="232"/>
      <c r="FW273" s="232"/>
      <c r="FX273" s="232"/>
      <c r="FY273" s="232"/>
      <c r="FZ273" s="232"/>
      <c r="GA273" s="232"/>
      <c r="GB273" s="232"/>
      <c r="GC273" s="232"/>
      <c r="GD273" s="232"/>
      <c r="GE273" s="232"/>
      <c r="GF273" s="232"/>
      <c r="GG273" s="232"/>
      <c r="GH273" s="232"/>
      <c r="GI273" s="232"/>
      <c r="GJ273" s="232"/>
      <c r="GK273" s="232"/>
      <c r="GL273" s="232"/>
      <c r="GM273" s="232"/>
      <c r="GN273" s="294"/>
      <c r="GO273" s="294"/>
      <c r="GP273" s="292" t="s">
        <v>7494</v>
      </c>
      <c r="GQ273" s="232"/>
      <c r="GR273" s="232"/>
      <c r="GS273" s="232"/>
      <c r="GT273" s="232"/>
      <c r="GU273" s="232"/>
      <c r="GV273" s="232"/>
      <c r="GW273" s="232"/>
      <c r="GX273" s="232"/>
      <c r="GY273" s="232"/>
      <c r="GZ273" s="232"/>
      <c r="HA273" s="232"/>
      <c r="HB273" s="232"/>
      <c r="HC273" s="232"/>
      <c r="HD273" s="232"/>
      <c r="HE273" s="232"/>
      <c r="HF273" s="232"/>
      <c r="HG273" s="232"/>
      <c r="HH273" s="232"/>
      <c r="HI273" s="232"/>
      <c r="HJ273" s="232"/>
      <c r="HK273" s="232"/>
      <c r="HL273" s="232"/>
      <c r="HM273" s="232"/>
      <c r="HN273" s="232">
        <v>69.540000000000006</v>
      </c>
      <c r="HO273" s="232">
        <v>73.819999999999993</v>
      </c>
      <c r="HP273" s="232"/>
      <c r="HQ273" s="232"/>
      <c r="HR273" s="232" t="s">
        <v>1662</v>
      </c>
      <c r="HS273" s="232"/>
      <c r="HT273" s="232"/>
      <c r="HU273" s="232"/>
      <c r="HV273" s="232"/>
      <c r="HW273" s="232"/>
      <c r="HX273" s="232"/>
      <c r="HY273" s="232"/>
      <c r="HZ273" s="232"/>
      <c r="IA273" s="232"/>
      <c r="IB273" s="232"/>
      <c r="IC273" s="232"/>
      <c r="ID273" s="232"/>
      <c r="IE273" s="232"/>
      <c r="IF273" s="232"/>
      <c r="IG273" s="232"/>
      <c r="IH273" s="232"/>
      <c r="II273" s="232"/>
      <c r="IJ273" s="232"/>
      <c r="IK273" s="232"/>
      <c r="IL273" s="232"/>
      <c r="IM273" s="232"/>
      <c r="IN273" s="232"/>
      <c r="IO273" s="232"/>
      <c r="IP273" s="232"/>
      <c r="IQ273" s="232"/>
      <c r="IR273" s="232">
        <v>8.06</v>
      </c>
      <c r="IS273" s="232">
        <v>10.119999999999999</v>
      </c>
      <c r="IT273" s="232"/>
      <c r="IU273" s="232"/>
      <c r="IV273" s="232"/>
      <c r="IW273" s="232"/>
      <c r="IX273" s="232"/>
      <c r="IY273" s="232"/>
      <c r="IZ273" s="232"/>
      <c r="JA273" s="232"/>
      <c r="JB273" s="232"/>
      <c r="JC273" s="232"/>
      <c r="JD273" s="232"/>
      <c r="JE273" s="232"/>
      <c r="JF273" s="232"/>
      <c r="JG273" s="232"/>
      <c r="JH273" s="232"/>
      <c r="JI273" s="232"/>
      <c r="JJ273" s="232"/>
      <c r="JK273" s="232"/>
      <c r="JL273" s="232"/>
      <c r="JM273" s="232"/>
      <c r="JN273" s="232"/>
      <c r="JO273" s="232"/>
      <c r="JP273" s="232"/>
      <c r="JQ273" s="232"/>
      <c r="JR273" s="232"/>
      <c r="JS273" s="232"/>
      <c r="JT273" s="232"/>
      <c r="JU273" s="181" t="s">
        <v>310</v>
      </c>
      <c r="JV273" s="181"/>
      <c r="JW273" s="181"/>
    </row>
    <row r="274" spans="1:283" s="229" customFormat="1" x14ac:dyDescent="0.25">
      <c r="A274" s="181">
        <v>273</v>
      </c>
      <c r="B274" s="229" t="s">
        <v>7067</v>
      </c>
      <c r="C274" s="230">
        <v>18</v>
      </c>
      <c r="D274" s="181" t="s">
        <v>3749</v>
      </c>
      <c r="E274" s="231" t="s">
        <v>296</v>
      </c>
      <c r="F274" s="231"/>
      <c r="G274" s="181" t="s">
        <v>297</v>
      </c>
      <c r="H274" s="181">
        <v>2017</v>
      </c>
      <c r="I274" s="181">
        <v>2011</v>
      </c>
      <c r="J274" s="234" t="s">
        <v>309</v>
      </c>
      <c r="K274" s="181" t="s">
        <v>298</v>
      </c>
      <c r="L274" s="181" t="s">
        <v>2737</v>
      </c>
      <c r="M274" s="231">
        <v>40.716666666666669</v>
      </c>
      <c r="N274" s="231">
        <v>-77.916666666666671</v>
      </c>
      <c r="O274" s="231">
        <v>350</v>
      </c>
      <c r="P274" s="181"/>
      <c r="Q274" s="181"/>
      <c r="R274" s="181"/>
      <c r="S274" s="231">
        <v>975</v>
      </c>
      <c r="T274" s="181"/>
      <c r="U274" s="181">
        <v>1</v>
      </c>
      <c r="V274" s="181" t="s">
        <v>1688</v>
      </c>
      <c r="W274" s="181"/>
      <c r="X274" s="181"/>
      <c r="Y274" s="181" t="s">
        <v>1824</v>
      </c>
      <c r="Z274" s="181" t="s">
        <v>1356</v>
      </c>
      <c r="AA274" s="231" t="s">
        <v>1680</v>
      </c>
      <c r="AB274" s="232"/>
      <c r="AC274" s="232"/>
      <c r="AD274" s="231"/>
      <c r="AE274" s="231"/>
      <c r="AF274" s="231"/>
      <c r="AG274" s="231"/>
      <c r="AH274" s="181" t="s">
        <v>6378</v>
      </c>
      <c r="AI274" s="181"/>
      <c r="AJ274" s="231"/>
      <c r="AK274" s="231"/>
      <c r="AL274" s="181"/>
      <c r="AM274" s="181" t="s">
        <v>1286</v>
      </c>
      <c r="AN274" s="185" t="s">
        <v>1472</v>
      </c>
      <c r="AO274" s="185" t="s">
        <v>5150</v>
      </c>
      <c r="AP274" s="181"/>
      <c r="AQ274" s="181" t="s">
        <v>610</v>
      </c>
      <c r="AR274" s="181" t="s">
        <v>132</v>
      </c>
      <c r="AS274" s="181" t="s">
        <v>1584</v>
      </c>
      <c r="AT274" s="181" t="s">
        <v>299</v>
      </c>
      <c r="AU274" s="181" t="s">
        <v>5150</v>
      </c>
      <c r="AV274" s="185" t="s">
        <v>479</v>
      </c>
      <c r="AW274" s="181" t="s">
        <v>299</v>
      </c>
      <c r="AX274" s="185" t="s">
        <v>479</v>
      </c>
      <c r="AY274" s="181" t="s">
        <v>176</v>
      </c>
      <c r="AZ274" s="181"/>
      <c r="BA274" s="181"/>
      <c r="BB274" s="181"/>
      <c r="BC274" s="181"/>
      <c r="BD274" s="181"/>
      <c r="BE274" s="226" t="s">
        <v>300</v>
      </c>
      <c r="BF274" s="55" t="s">
        <v>479</v>
      </c>
      <c r="BG274" s="55" t="s">
        <v>479</v>
      </c>
      <c r="BH274" s="226" t="s">
        <v>300</v>
      </c>
      <c r="BI274" s="55" t="s">
        <v>479</v>
      </c>
      <c r="BJ274" s="181" t="s">
        <v>176</v>
      </c>
      <c r="BK274" s="181" t="s">
        <v>5976</v>
      </c>
      <c r="BL274" s="181"/>
      <c r="BM274" s="192" t="s">
        <v>160</v>
      </c>
      <c r="BN274" s="181">
        <v>4</v>
      </c>
      <c r="BO274" s="181">
        <v>4</v>
      </c>
      <c r="BP274" s="181"/>
      <c r="BQ274" s="181" t="s">
        <v>141</v>
      </c>
      <c r="BR274" s="181"/>
      <c r="BS274" s="181">
        <v>5374</v>
      </c>
      <c r="BT274" s="181">
        <v>11</v>
      </c>
      <c r="BU274" s="181"/>
      <c r="BV274" s="181"/>
      <c r="BW274" s="232"/>
      <c r="BX274" s="232"/>
      <c r="BY274" s="232"/>
      <c r="BZ274" s="232"/>
      <c r="CA274" s="232"/>
      <c r="CB274" s="183"/>
      <c r="CC274" s="183"/>
      <c r="CD274" s="183"/>
      <c r="CE274" s="232"/>
      <c r="CF274" s="232"/>
      <c r="CG274" s="232"/>
      <c r="CH274" s="231"/>
      <c r="CI274" s="231"/>
      <c r="CJ274" s="232"/>
      <c r="CK274" s="232"/>
      <c r="CL274" s="232"/>
      <c r="CM274" s="232"/>
      <c r="CN274" s="232"/>
      <c r="CO274" s="232"/>
      <c r="CP274" s="232"/>
      <c r="CQ274" s="232"/>
      <c r="CR274" s="232"/>
      <c r="CS274" s="232"/>
      <c r="CT274" s="232"/>
      <c r="CU274" s="232"/>
      <c r="CV274" s="232"/>
      <c r="CW274" s="232"/>
      <c r="CX274" s="232"/>
      <c r="CY274" s="232"/>
      <c r="CZ274" s="232"/>
      <c r="DA274" s="232"/>
      <c r="DB274" s="232"/>
      <c r="DC274" s="232"/>
      <c r="DD274" s="232"/>
      <c r="DE274" s="232"/>
      <c r="DF274" s="232"/>
      <c r="DG274" s="232"/>
      <c r="DH274" s="232"/>
      <c r="DI274" s="232"/>
      <c r="DJ274" s="232"/>
      <c r="DK274" s="232"/>
      <c r="DL274" s="232"/>
      <c r="DM274" s="232"/>
      <c r="DN274" s="232"/>
      <c r="DO274" s="232"/>
      <c r="DP274" s="232"/>
      <c r="DQ274" s="233"/>
      <c r="DR274" s="233"/>
      <c r="DS274" s="232"/>
      <c r="DT274" s="232"/>
      <c r="DU274" s="232"/>
      <c r="DV274" s="232"/>
      <c r="DW274" s="232"/>
      <c r="DX274" s="232"/>
      <c r="DY274" s="232"/>
      <c r="DZ274" s="232"/>
      <c r="EA274" s="232"/>
      <c r="EB274" s="232"/>
      <c r="EC274" s="232"/>
      <c r="ED274" s="232"/>
      <c r="EE274" s="232"/>
      <c r="EF274" s="232"/>
      <c r="EG274" s="232"/>
      <c r="EH274" s="232"/>
      <c r="EI274" s="232"/>
      <c r="EJ274" s="232"/>
      <c r="EK274" s="231"/>
      <c r="EL274" s="231"/>
      <c r="EM274" s="232"/>
      <c r="EN274" s="232"/>
      <c r="EO274" s="232"/>
      <c r="EP274" s="232"/>
      <c r="EQ274" s="232"/>
      <c r="ER274" s="232"/>
      <c r="ES274" s="232"/>
      <c r="ET274" s="232"/>
      <c r="EU274" s="232"/>
      <c r="EV274" s="232"/>
      <c r="EW274" s="232"/>
      <c r="EX274" s="232"/>
      <c r="EY274" s="232"/>
      <c r="EZ274" s="232"/>
      <c r="FA274" s="232"/>
      <c r="FB274" s="232"/>
      <c r="FC274" s="232"/>
      <c r="FD274" s="232"/>
      <c r="FE274" s="232"/>
      <c r="FF274" s="232"/>
      <c r="FG274" s="232"/>
      <c r="FH274" s="232"/>
      <c r="FI274" s="232"/>
      <c r="FJ274" s="232"/>
      <c r="FK274" s="232"/>
      <c r="FL274" s="232"/>
      <c r="FM274" s="232"/>
      <c r="FN274" s="232"/>
      <c r="FO274" s="232"/>
      <c r="FP274" s="232"/>
      <c r="FQ274" s="232"/>
      <c r="FR274" s="232"/>
      <c r="FS274" s="232"/>
      <c r="FT274" s="232"/>
      <c r="FU274" s="232"/>
      <c r="FV274" s="232"/>
      <c r="FW274" s="232"/>
      <c r="FX274" s="232"/>
      <c r="FY274" s="232"/>
      <c r="FZ274" s="232"/>
      <c r="GA274" s="232"/>
      <c r="GB274" s="232"/>
      <c r="GC274" s="232"/>
      <c r="GD274" s="232"/>
      <c r="GE274" s="232"/>
      <c r="GF274" s="232"/>
      <c r="GG274" s="232"/>
      <c r="GH274" s="232"/>
      <c r="GI274" s="232"/>
      <c r="GJ274" s="232"/>
      <c r="GK274" s="232"/>
      <c r="GL274" s="232"/>
      <c r="GM274" s="232"/>
      <c r="GN274" s="294"/>
      <c r="GO274" s="294"/>
      <c r="GP274" s="292" t="s">
        <v>7494</v>
      </c>
      <c r="GQ274" s="232"/>
      <c r="GR274" s="232"/>
      <c r="GS274" s="232"/>
      <c r="GT274" s="232"/>
      <c r="GU274" s="232"/>
      <c r="GV274" s="232"/>
      <c r="GW274" s="232"/>
      <c r="GX274" s="232"/>
      <c r="GY274" s="232"/>
      <c r="GZ274" s="232"/>
      <c r="HA274" s="232"/>
      <c r="HB274" s="232"/>
      <c r="HC274" s="232"/>
      <c r="HD274" s="232"/>
      <c r="HE274" s="232"/>
      <c r="HF274" s="232"/>
      <c r="HG274" s="232"/>
      <c r="HH274" s="232"/>
      <c r="HI274" s="232"/>
      <c r="HJ274" s="232"/>
      <c r="HK274" s="232"/>
      <c r="HL274" s="232"/>
      <c r="HM274" s="232"/>
      <c r="HN274" s="232">
        <v>69.540000000000006</v>
      </c>
      <c r="HO274" s="232">
        <v>76.52</v>
      </c>
      <c r="HP274" s="232"/>
      <c r="HQ274" s="232"/>
      <c r="HR274" s="232" t="s">
        <v>1662</v>
      </c>
      <c r="HS274" s="232"/>
      <c r="HT274" s="232"/>
      <c r="HU274" s="232"/>
      <c r="HV274" s="232"/>
      <c r="HW274" s="232"/>
      <c r="HX274" s="232"/>
      <c r="HY274" s="232"/>
      <c r="HZ274" s="232"/>
      <c r="IA274" s="232"/>
      <c r="IB274" s="232"/>
      <c r="IC274" s="232"/>
      <c r="ID274" s="232"/>
      <c r="IE274" s="232"/>
      <c r="IF274" s="232"/>
      <c r="IG274" s="232"/>
      <c r="IH274" s="232"/>
      <c r="II274" s="232"/>
      <c r="IJ274" s="232"/>
      <c r="IK274" s="232"/>
      <c r="IL274" s="232"/>
      <c r="IM274" s="232"/>
      <c r="IN274" s="232"/>
      <c r="IO274" s="232"/>
      <c r="IP274" s="232"/>
      <c r="IQ274" s="232"/>
      <c r="IR274" s="232">
        <v>8.06</v>
      </c>
      <c r="IS274" s="232">
        <v>10.73</v>
      </c>
      <c r="IT274" s="232"/>
      <c r="IU274" s="232"/>
      <c r="IV274" s="232"/>
      <c r="IW274" s="232"/>
      <c r="IX274" s="232"/>
      <c r="IY274" s="232"/>
      <c r="IZ274" s="232"/>
      <c r="JA274" s="232"/>
      <c r="JB274" s="232"/>
      <c r="JC274" s="232"/>
      <c r="JD274" s="232"/>
      <c r="JE274" s="232"/>
      <c r="JF274" s="232"/>
      <c r="JG274" s="232"/>
      <c r="JH274" s="232"/>
      <c r="JI274" s="232"/>
      <c r="JJ274" s="232"/>
      <c r="JK274" s="232"/>
      <c r="JL274" s="232"/>
      <c r="JM274" s="232"/>
      <c r="JN274" s="232"/>
      <c r="JO274" s="232"/>
      <c r="JP274" s="232"/>
      <c r="JQ274" s="232"/>
      <c r="JR274" s="232"/>
      <c r="JS274" s="232"/>
      <c r="JT274" s="232"/>
      <c r="JU274" s="181" t="s">
        <v>310</v>
      </c>
      <c r="JV274" s="181"/>
      <c r="JW274" s="181"/>
    </row>
    <row r="275" spans="1:283" x14ac:dyDescent="0.25">
      <c r="A275" s="55">
        <v>274</v>
      </c>
      <c r="B275" s="12" t="s">
        <v>7067</v>
      </c>
      <c r="C275" s="155">
        <v>18</v>
      </c>
      <c r="D275" s="55" t="s">
        <v>3749</v>
      </c>
      <c r="E275" s="90" t="s">
        <v>296</v>
      </c>
      <c r="G275" s="55" t="s">
        <v>297</v>
      </c>
      <c r="H275" s="55">
        <v>2017</v>
      </c>
      <c r="I275" s="55">
        <v>2011</v>
      </c>
      <c r="J275" s="211" t="s">
        <v>309</v>
      </c>
      <c r="K275" s="55" t="s">
        <v>298</v>
      </c>
      <c r="L275" s="55" t="s">
        <v>2737</v>
      </c>
      <c r="M275" s="90">
        <v>40.716666666666669</v>
      </c>
      <c r="N275" s="90">
        <v>-77.916666666666671</v>
      </c>
      <c r="O275" s="90">
        <v>350</v>
      </c>
      <c r="S275" s="90">
        <v>975</v>
      </c>
      <c r="U275" s="55">
        <v>1</v>
      </c>
      <c r="V275" s="55" t="s">
        <v>1688</v>
      </c>
      <c r="Y275" s="55" t="s">
        <v>1824</v>
      </c>
      <c r="Z275" s="55" t="s">
        <v>1356</v>
      </c>
      <c r="AA275" s="90" t="s">
        <v>1680</v>
      </c>
      <c r="AH275" s="55" t="s">
        <v>6378</v>
      </c>
      <c r="AM275" s="55" t="s">
        <v>1286</v>
      </c>
      <c r="AN275" s="185" t="s">
        <v>301</v>
      </c>
      <c r="AO275" s="185" t="s">
        <v>5150</v>
      </c>
      <c r="AQ275" s="55" t="s">
        <v>610</v>
      </c>
      <c r="AR275" s="55" t="s">
        <v>132</v>
      </c>
      <c r="AS275" s="55" t="s">
        <v>1584</v>
      </c>
      <c r="AT275" s="181" t="s">
        <v>299</v>
      </c>
      <c r="AU275" s="181" t="s">
        <v>5150</v>
      </c>
      <c r="AV275" s="185" t="s">
        <v>176</v>
      </c>
      <c r="AW275" s="55" t="s">
        <v>299</v>
      </c>
      <c r="AX275" s="185" t="s">
        <v>176</v>
      </c>
      <c r="AY275" s="55" t="s">
        <v>176</v>
      </c>
      <c r="BE275" s="226" t="s">
        <v>300</v>
      </c>
      <c r="BF275" s="55" t="s">
        <v>479</v>
      </c>
      <c r="BG275" s="55" t="s">
        <v>479</v>
      </c>
      <c r="BH275" s="226" t="s">
        <v>300</v>
      </c>
      <c r="BI275" s="55" t="s">
        <v>479</v>
      </c>
      <c r="BJ275" s="55" t="s">
        <v>176</v>
      </c>
      <c r="BK275" s="55" t="s">
        <v>5976</v>
      </c>
      <c r="BM275" s="192" t="s">
        <v>160</v>
      </c>
      <c r="BN275" s="55">
        <v>4</v>
      </c>
      <c r="BO275" s="55">
        <v>4</v>
      </c>
      <c r="BQ275" s="55" t="s">
        <v>141</v>
      </c>
      <c r="BS275" s="55">
        <v>7143</v>
      </c>
      <c r="BT275" s="55">
        <v>15</v>
      </c>
      <c r="GP275" s="292" t="s">
        <v>7494</v>
      </c>
      <c r="HN275" s="65">
        <v>69.540000000000006</v>
      </c>
      <c r="HO275" s="65">
        <v>78.099999999999994</v>
      </c>
      <c r="HR275" s="65" t="s">
        <v>1662</v>
      </c>
      <c r="IR275" s="65">
        <v>8.06</v>
      </c>
      <c r="IS275" s="65">
        <v>11.61</v>
      </c>
      <c r="JU275" s="55" t="s">
        <v>310</v>
      </c>
    </row>
    <row r="276" spans="1:283" x14ac:dyDescent="0.25">
      <c r="A276" s="55">
        <v>275</v>
      </c>
      <c r="B276" s="12" t="s">
        <v>7067</v>
      </c>
      <c r="C276" s="155">
        <v>18</v>
      </c>
      <c r="D276" s="55" t="s">
        <v>3746</v>
      </c>
      <c r="E276" s="90" t="s">
        <v>296</v>
      </c>
      <c r="G276" s="55" t="s">
        <v>297</v>
      </c>
      <c r="H276" s="55">
        <v>2017</v>
      </c>
      <c r="I276" s="55">
        <v>2012</v>
      </c>
      <c r="J276" s="211" t="s">
        <v>309</v>
      </c>
      <c r="K276" s="55" t="s">
        <v>298</v>
      </c>
      <c r="L276" s="55" t="s">
        <v>2737</v>
      </c>
      <c r="M276" s="90">
        <v>40.716666666666669</v>
      </c>
      <c r="N276" s="90">
        <v>-77.916666666666671</v>
      </c>
      <c r="O276" s="90">
        <v>350</v>
      </c>
      <c r="S276" s="90">
        <v>975</v>
      </c>
      <c r="U276" s="55">
        <v>2</v>
      </c>
      <c r="V276" s="55" t="s">
        <v>1688</v>
      </c>
      <c r="Y276" s="55" t="s">
        <v>1824</v>
      </c>
      <c r="Z276" s="55" t="s">
        <v>1356</v>
      </c>
      <c r="AA276" s="90" t="s">
        <v>1680</v>
      </c>
      <c r="AH276" s="55" t="s">
        <v>6378</v>
      </c>
      <c r="AM276" s="55" t="s">
        <v>1286</v>
      </c>
      <c r="AN276" s="185" t="s">
        <v>1494</v>
      </c>
      <c r="AO276" s="185" t="s">
        <v>5150</v>
      </c>
      <c r="AQ276" s="55" t="s">
        <v>553</v>
      </c>
      <c r="AR276" s="55" t="s">
        <v>132</v>
      </c>
      <c r="AS276" s="55" t="s">
        <v>1584</v>
      </c>
      <c r="AT276" s="181" t="s">
        <v>299</v>
      </c>
      <c r="AU276" s="181" t="s">
        <v>5150</v>
      </c>
      <c r="AV276" s="185" t="s">
        <v>176</v>
      </c>
      <c r="AW276" s="55" t="s">
        <v>299</v>
      </c>
      <c r="AX276" s="185" t="s">
        <v>176</v>
      </c>
      <c r="AY276" s="55" t="s">
        <v>176</v>
      </c>
      <c r="BE276" s="226" t="s">
        <v>300</v>
      </c>
      <c r="BF276" s="55" t="s">
        <v>479</v>
      </c>
      <c r="BG276" s="55" t="s">
        <v>479</v>
      </c>
      <c r="BH276" s="226" t="s">
        <v>300</v>
      </c>
      <c r="BI276" s="55" t="s">
        <v>479</v>
      </c>
      <c r="BJ276" s="55" t="s">
        <v>176</v>
      </c>
      <c r="BK276" s="55" t="s">
        <v>5976</v>
      </c>
      <c r="BM276" s="192" t="s">
        <v>160</v>
      </c>
      <c r="BN276" s="55">
        <v>4</v>
      </c>
      <c r="BO276" s="55">
        <v>4</v>
      </c>
      <c r="BQ276" s="55" t="s">
        <v>141</v>
      </c>
      <c r="BS276" s="55">
        <v>61</v>
      </c>
      <c r="BT276" s="55">
        <v>9.3000000000000007</v>
      </c>
      <c r="GP276" s="292" t="s">
        <v>7494</v>
      </c>
      <c r="HN276" s="65">
        <v>77.319999999999993</v>
      </c>
      <c r="HO276" s="65">
        <v>85.89</v>
      </c>
      <c r="HR276" s="65" t="s">
        <v>1662</v>
      </c>
      <c r="IR276" s="65">
        <v>11.14</v>
      </c>
      <c r="IS276" s="65">
        <v>9.98</v>
      </c>
      <c r="JU276" s="55" t="s">
        <v>310</v>
      </c>
    </row>
    <row r="277" spans="1:283" x14ac:dyDescent="0.25">
      <c r="A277" s="55">
        <v>276</v>
      </c>
      <c r="B277" s="12" t="s">
        <v>7067</v>
      </c>
      <c r="C277" s="155">
        <v>18</v>
      </c>
      <c r="D277" s="55" t="s">
        <v>3746</v>
      </c>
      <c r="E277" s="90" t="s">
        <v>296</v>
      </c>
      <c r="G277" s="55" t="s">
        <v>297</v>
      </c>
      <c r="H277" s="55">
        <v>2017</v>
      </c>
      <c r="I277" s="55">
        <v>2012</v>
      </c>
      <c r="J277" s="211" t="s">
        <v>309</v>
      </c>
      <c r="K277" s="55" t="s">
        <v>298</v>
      </c>
      <c r="L277" s="55" t="s">
        <v>2737</v>
      </c>
      <c r="M277" s="90">
        <v>40.716666666666669</v>
      </c>
      <c r="N277" s="90">
        <v>-77.916666666666671</v>
      </c>
      <c r="O277" s="90">
        <v>350</v>
      </c>
      <c r="S277" s="90">
        <v>975</v>
      </c>
      <c r="U277" s="55">
        <v>2</v>
      </c>
      <c r="V277" s="55" t="s">
        <v>1688</v>
      </c>
      <c r="Y277" s="55" t="s">
        <v>1824</v>
      </c>
      <c r="Z277" s="55" t="s">
        <v>1356</v>
      </c>
      <c r="AA277" s="90" t="s">
        <v>1680</v>
      </c>
      <c r="AH277" s="55" t="s">
        <v>6378</v>
      </c>
      <c r="AM277" s="55" t="s">
        <v>1286</v>
      </c>
      <c r="AN277" s="185" t="s">
        <v>1119</v>
      </c>
      <c r="AO277" s="185" t="s">
        <v>5150</v>
      </c>
      <c r="AQ277" s="55" t="s">
        <v>553</v>
      </c>
      <c r="AR277" s="55" t="s">
        <v>132</v>
      </c>
      <c r="AS277" s="55" t="s">
        <v>1584</v>
      </c>
      <c r="AT277" s="181" t="s">
        <v>299</v>
      </c>
      <c r="AU277" s="181" t="s">
        <v>5150</v>
      </c>
      <c r="AV277" s="185" t="s">
        <v>176</v>
      </c>
      <c r="AW277" s="55" t="s">
        <v>299</v>
      </c>
      <c r="AX277" s="185" t="s">
        <v>176</v>
      </c>
      <c r="AY277" s="55" t="s">
        <v>176</v>
      </c>
      <c r="BE277" s="226" t="s">
        <v>300</v>
      </c>
      <c r="BF277" s="55" t="s">
        <v>479</v>
      </c>
      <c r="BG277" s="55" t="s">
        <v>479</v>
      </c>
      <c r="BH277" s="226" t="s">
        <v>300</v>
      </c>
      <c r="BI277" s="55" t="s">
        <v>479</v>
      </c>
      <c r="BJ277" s="55" t="s">
        <v>176</v>
      </c>
      <c r="BK277" s="55" t="s">
        <v>5976</v>
      </c>
      <c r="BM277" s="192" t="s">
        <v>160</v>
      </c>
      <c r="BN277" s="55">
        <v>4</v>
      </c>
      <c r="BO277" s="55">
        <v>4</v>
      </c>
      <c r="BQ277" s="55" t="s">
        <v>141</v>
      </c>
      <c r="BS277" s="55">
        <v>418</v>
      </c>
      <c r="BT277" s="55">
        <v>9.5</v>
      </c>
      <c r="GP277" s="292" t="s">
        <v>7494</v>
      </c>
      <c r="HN277" s="65">
        <v>77.319999999999993</v>
      </c>
      <c r="HO277" s="65">
        <v>82.78</v>
      </c>
      <c r="HR277" s="65" t="s">
        <v>1662</v>
      </c>
      <c r="IR277" s="65">
        <v>11.14</v>
      </c>
      <c r="IS277" s="65">
        <v>9.44</v>
      </c>
      <c r="JU277" s="55" t="s">
        <v>310</v>
      </c>
    </row>
    <row r="278" spans="1:283" x14ac:dyDescent="0.25">
      <c r="A278" s="55">
        <v>277</v>
      </c>
      <c r="B278" s="12" t="s">
        <v>7067</v>
      </c>
      <c r="C278" s="155">
        <v>18</v>
      </c>
      <c r="D278" s="55" t="s">
        <v>3746</v>
      </c>
      <c r="E278" s="90" t="s">
        <v>296</v>
      </c>
      <c r="G278" s="55" t="s">
        <v>297</v>
      </c>
      <c r="H278" s="55">
        <v>2017</v>
      </c>
      <c r="I278" s="55">
        <v>2012</v>
      </c>
      <c r="J278" s="211" t="s">
        <v>309</v>
      </c>
      <c r="K278" s="55" t="s">
        <v>298</v>
      </c>
      <c r="L278" s="55" t="s">
        <v>2737</v>
      </c>
      <c r="M278" s="90">
        <v>40.716666666666669</v>
      </c>
      <c r="N278" s="90">
        <v>-77.916666666666671</v>
      </c>
      <c r="O278" s="90">
        <v>350</v>
      </c>
      <c r="S278" s="90">
        <v>975</v>
      </c>
      <c r="U278" s="55">
        <v>2</v>
      </c>
      <c r="V278" s="55" t="s">
        <v>1688</v>
      </c>
      <c r="Y278" s="55" t="s">
        <v>1824</v>
      </c>
      <c r="Z278" s="55" t="s">
        <v>1356</v>
      </c>
      <c r="AA278" s="90" t="s">
        <v>1680</v>
      </c>
      <c r="AH278" s="55" t="s">
        <v>6378</v>
      </c>
      <c r="AM278" s="55" t="s">
        <v>1286</v>
      </c>
      <c r="AN278" s="185" t="s">
        <v>1495</v>
      </c>
      <c r="AO278" s="185" t="s">
        <v>5150</v>
      </c>
      <c r="AQ278" s="55" t="s">
        <v>553</v>
      </c>
      <c r="AR278" s="55" t="s">
        <v>132</v>
      </c>
      <c r="AS278" s="55" t="s">
        <v>1584</v>
      </c>
      <c r="AT278" s="181" t="s">
        <v>299</v>
      </c>
      <c r="AU278" s="181" t="s">
        <v>5150</v>
      </c>
      <c r="AV278" s="185" t="s">
        <v>176</v>
      </c>
      <c r="AW278" s="55" t="s">
        <v>299</v>
      </c>
      <c r="AX278" s="185" t="s">
        <v>176</v>
      </c>
      <c r="AY278" s="55" t="s">
        <v>176</v>
      </c>
      <c r="BE278" s="226" t="s">
        <v>300</v>
      </c>
      <c r="BF278" s="55" t="s">
        <v>479</v>
      </c>
      <c r="BG278" s="55" t="s">
        <v>479</v>
      </c>
      <c r="BH278" s="226" t="s">
        <v>300</v>
      </c>
      <c r="BI278" s="55" t="s">
        <v>479</v>
      </c>
      <c r="BJ278" s="55" t="s">
        <v>176</v>
      </c>
      <c r="BK278" s="55" t="s">
        <v>5976</v>
      </c>
      <c r="BM278" s="192" t="s">
        <v>160</v>
      </c>
      <c r="BN278" s="55">
        <v>4</v>
      </c>
      <c r="BO278" s="55">
        <v>4</v>
      </c>
      <c r="BQ278" s="55" t="s">
        <v>141</v>
      </c>
      <c r="BS278" s="55">
        <v>4045</v>
      </c>
      <c r="BT278" s="55">
        <v>10.3</v>
      </c>
      <c r="GP278" s="292" t="s">
        <v>7494</v>
      </c>
      <c r="HN278" s="65">
        <v>77.319999999999993</v>
      </c>
      <c r="HO278" s="65">
        <v>86.2</v>
      </c>
      <c r="HR278" s="65" t="s">
        <v>1662</v>
      </c>
      <c r="IR278" s="65">
        <v>11.14</v>
      </c>
      <c r="IS278" s="65">
        <v>11.5</v>
      </c>
      <c r="JU278" s="55" t="s">
        <v>310</v>
      </c>
    </row>
    <row r="279" spans="1:283" x14ac:dyDescent="0.25">
      <c r="A279" s="55">
        <v>278</v>
      </c>
      <c r="B279" s="12" t="s">
        <v>7067</v>
      </c>
      <c r="C279" s="155">
        <v>18</v>
      </c>
      <c r="D279" s="55" t="s">
        <v>3746</v>
      </c>
      <c r="E279" s="90" t="s">
        <v>296</v>
      </c>
      <c r="G279" s="55" t="s">
        <v>297</v>
      </c>
      <c r="H279" s="55">
        <v>2017</v>
      </c>
      <c r="I279" s="55">
        <v>2012</v>
      </c>
      <c r="J279" s="211" t="s">
        <v>309</v>
      </c>
      <c r="K279" s="55" t="s">
        <v>298</v>
      </c>
      <c r="L279" s="55" t="s">
        <v>2737</v>
      </c>
      <c r="M279" s="90">
        <v>40.716666666666669</v>
      </c>
      <c r="N279" s="90">
        <v>-77.916666666666671</v>
      </c>
      <c r="O279" s="90">
        <v>350</v>
      </c>
      <c r="S279" s="90">
        <v>975</v>
      </c>
      <c r="U279" s="55">
        <v>2</v>
      </c>
      <c r="V279" s="55" t="s">
        <v>1688</v>
      </c>
      <c r="Y279" s="55" t="s">
        <v>1824</v>
      </c>
      <c r="Z279" s="55" t="s">
        <v>1356</v>
      </c>
      <c r="AA279" s="90" t="s">
        <v>1680</v>
      </c>
      <c r="AH279" s="55" t="s">
        <v>6378</v>
      </c>
      <c r="AM279" s="55" t="s">
        <v>1286</v>
      </c>
      <c r="AN279" s="185" t="s">
        <v>241</v>
      </c>
      <c r="AO279" s="185" t="s">
        <v>5150</v>
      </c>
      <c r="AQ279" s="55" t="s">
        <v>553</v>
      </c>
      <c r="AR279" s="55" t="s">
        <v>132</v>
      </c>
      <c r="AS279" s="55" t="s">
        <v>1584</v>
      </c>
      <c r="AT279" s="181" t="s">
        <v>299</v>
      </c>
      <c r="AU279" s="181" t="s">
        <v>5150</v>
      </c>
      <c r="AV279" s="185" t="s">
        <v>176</v>
      </c>
      <c r="AW279" s="55" t="s">
        <v>299</v>
      </c>
      <c r="AX279" s="185" t="s">
        <v>176</v>
      </c>
      <c r="AY279" s="55" t="s">
        <v>176</v>
      </c>
      <c r="BE279" s="226" t="s">
        <v>300</v>
      </c>
      <c r="BF279" s="55" t="s">
        <v>479</v>
      </c>
      <c r="BG279" s="55" t="s">
        <v>479</v>
      </c>
      <c r="BH279" s="226" t="s">
        <v>300</v>
      </c>
      <c r="BI279" s="55" t="s">
        <v>479</v>
      </c>
      <c r="BJ279" s="55" t="s">
        <v>176</v>
      </c>
      <c r="BK279" s="55" t="s">
        <v>5976</v>
      </c>
      <c r="BM279" s="192" t="s">
        <v>160</v>
      </c>
      <c r="BN279" s="55">
        <v>4</v>
      </c>
      <c r="BO279" s="55">
        <v>4</v>
      </c>
      <c r="BQ279" s="55" t="s">
        <v>141</v>
      </c>
      <c r="BS279" s="55">
        <v>4531</v>
      </c>
      <c r="BT279" s="55">
        <v>9</v>
      </c>
      <c r="GP279" s="292" t="s">
        <v>7494</v>
      </c>
      <c r="HN279" s="65">
        <v>77.319999999999993</v>
      </c>
      <c r="HO279" s="65">
        <v>87.33</v>
      </c>
      <c r="HR279" s="65" t="s">
        <v>1662</v>
      </c>
      <c r="IR279" s="65">
        <v>11.14</v>
      </c>
      <c r="IS279" s="65">
        <v>17.059999999999999</v>
      </c>
      <c r="JU279" s="55" t="s">
        <v>310</v>
      </c>
    </row>
    <row r="280" spans="1:283" x14ac:dyDescent="0.25">
      <c r="A280" s="55">
        <v>279</v>
      </c>
      <c r="B280" s="12" t="s">
        <v>7067</v>
      </c>
      <c r="C280" s="155">
        <v>18</v>
      </c>
      <c r="D280" s="55" t="s">
        <v>3747</v>
      </c>
      <c r="E280" s="90" t="s">
        <v>296</v>
      </c>
      <c r="G280" s="55" t="s">
        <v>297</v>
      </c>
      <c r="H280" s="55">
        <v>2017</v>
      </c>
      <c r="I280" s="55">
        <v>2012</v>
      </c>
      <c r="J280" s="211" t="s">
        <v>309</v>
      </c>
      <c r="K280" s="55" t="s">
        <v>298</v>
      </c>
      <c r="L280" s="55" t="s">
        <v>2737</v>
      </c>
      <c r="M280" s="90">
        <v>40.716666666666669</v>
      </c>
      <c r="N280" s="90">
        <v>-77.916666666666671</v>
      </c>
      <c r="O280" s="90">
        <v>350</v>
      </c>
      <c r="S280" s="90">
        <v>975</v>
      </c>
      <c r="U280" s="55">
        <v>2</v>
      </c>
      <c r="V280" s="55" t="s">
        <v>1688</v>
      </c>
      <c r="Y280" s="55" t="s">
        <v>1824</v>
      </c>
      <c r="Z280" s="55" t="s">
        <v>1356</v>
      </c>
      <c r="AA280" s="90" t="s">
        <v>1680</v>
      </c>
      <c r="AH280" s="55" t="s">
        <v>6378</v>
      </c>
      <c r="AM280" s="55" t="s">
        <v>1286</v>
      </c>
      <c r="AN280" s="185" t="s">
        <v>1541</v>
      </c>
      <c r="AO280" s="185" t="s">
        <v>5150</v>
      </c>
      <c r="AQ280" s="55" t="s">
        <v>1097</v>
      </c>
      <c r="AR280" s="55" t="s">
        <v>132</v>
      </c>
      <c r="AS280" s="55" t="s">
        <v>1584</v>
      </c>
      <c r="AT280" s="181" t="s">
        <v>299</v>
      </c>
      <c r="AU280" s="181" t="s">
        <v>5150</v>
      </c>
      <c r="AV280" s="185" t="s">
        <v>176</v>
      </c>
      <c r="AW280" s="55" t="s">
        <v>299</v>
      </c>
      <c r="AX280" s="185" t="s">
        <v>176</v>
      </c>
      <c r="AY280" s="55" t="s">
        <v>176</v>
      </c>
      <c r="BE280" s="226" t="s">
        <v>300</v>
      </c>
      <c r="BF280" s="55" t="s">
        <v>479</v>
      </c>
      <c r="BG280" s="55" t="s">
        <v>479</v>
      </c>
      <c r="BH280" s="226" t="s">
        <v>300</v>
      </c>
      <c r="BI280" s="55" t="s">
        <v>479</v>
      </c>
      <c r="BJ280" s="55" t="s">
        <v>176</v>
      </c>
      <c r="BK280" s="55" t="s">
        <v>5976</v>
      </c>
      <c r="BM280" s="192" t="s">
        <v>160</v>
      </c>
      <c r="BN280" s="55">
        <v>4</v>
      </c>
      <c r="BO280" s="55">
        <v>4</v>
      </c>
      <c r="BQ280" s="55" t="s">
        <v>141</v>
      </c>
      <c r="BS280" s="55">
        <v>1381</v>
      </c>
      <c r="BT280" s="55">
        <v>15.7</v>
      </c>
      <c r="GP280" s="292" t="s">
        <v>7494</v>
      </c>
      <c r="HN280" s="65">
        <v>77.319999999999993</v>
      </c>
      <c r="HO280" s="65">
        <v>84.98</v>
      </c>
      <c r="HR280" s="65" t="s">
        <v>1662</v>
      </c>
      <c r="IR280" s="65">
        <v>11.14</v>
      </c>
      <c r="IS280" s="65">
        <v>10.33</v>
      </c>
      <c r="JU280" s="55" t="s">
        <v>310</v>
      </c>
    </row>
    <row r="281" spans="1:283" x14ac:dyDescent="0.25">
      <c r="A281" s="55">
        <v>280</v>
      </c>
      <c r="B281" s="12" t="s">
        <v>7067</v>
      </c>
      <c r="C281" s="155">
        <v>18</v>
      </c>
      <c r="D281" s="55" t="s">
        <v>3748</v>
      </c>
      <c r="E281" s="90" t="s">
        <v>296</v>
      </c>
      <c r="G281" s="55" t="s">
        <v>297</v>
      </c>
      <c r="H281" s="55">
        <v>2017</v>
      </c>
      <c r="I281" s="55">
        <v>2012</v>
      </c>
      <c r="J281" s="211" t="s">
        <v>309</v>
      </c>
      <c r="K281" s="55" t="s">
        <v>298</v>
      </c>
      <c r="L281" s="55" t="s">
        <v>2737</v>
      </c>
      <c r="M281" s="90">
        <v>40.716666666666669</v>
      </c>
      <c r="N281" s="90">
        <v>-77.916666666666671</v>
      </c>
      <c r="O281" s="90">
        <v>350</v>
      </c>
      <c r="S281" s="90">
        <v>975</v>
      </c>
      <c r="U281" s="55">
        <v>2</v>
      </c>
      <c r="V281" s="55" t="s">
        <v>1688</v>
      </c>
      <c r="Y281" s="55" t="s">
        <v>1824</v>
      </c>
      <c r="Z281" s="55" t="s">
        <v>1356</v>
      </c>
      <c r="AA281" s="90" t="s">
        <v>1680</v>
      </c>
      <c r="AH281" s="55" t="s">
        <v>6378</v>
      </c>
      <c r="AM281" s="55" t="s">
        <v>1286</v>
      </c>
      <c r="AN281" s="185" t="s">
        <v>496</v>
      </c>
      <c r="AO281" s="185" t="s">
        <v>5150</v>
      </c>
      <c r="AQ281" s="55" t="s">
        <v>1545</v>
      </c>
      <c r="AR281" s="55" t="s">
        <v>132</v>
      </c>
      <c r="AS281" s="55" t="s">
        <v>1584</v>
      </c>
      <c r="AT281" s="181" t="s">
        <v>299</v>
      </c>
      <c r="AU281" s="181" t="s">
        <v>5150</v>
      </c>
      <c r="AV281" s="185" t="s">
        <v>176</v>
      </c>
      <c r="AW281" s="55" t="s">
        <v>299</v>
      </c>
      <c r="AX281" s="185" t="s">
        <v>176</v>
      </c>
      <c r="AY281" s="55" t="s">
        <v>176</v>
      </c>
      <c r="BE281" s="226" t="s">
        <v>300</v>
      </c>
      <c r="BF281" s="55" t="s">
        <v>479</v>
      </c>
      <c r="BG281" s="55" t="s">
        <v>479</v>
      </c>
      <c r="BH281" s="226" t="s">
        <v>300</v>
      </c>
      <c r="BI281" s="55" t="s">
        <v>479</v>
      </c>
      <c r="BJ281" s="55" t="s">
        <v>176</v>
      </c>
      <c r="BK281" s="55" t="s">
        <v>5976</v>
      </c>
      <c r="BM281" s="192" t="s">
        <v>160</v>
      </c>
      <c r="BN281" s="55">
        <v>4</v>
      </c>
      <c r="BO281" s="55">
        <v>4</v>
      </c>
      <c r="BQ281" s="55" t="s">
        <v>141</v>
      </c>
      <c r="BS281" s="55">
        <v>1901</v>
      </c>
      <c r="BT281" s="55">
        <v>17.899999999999999</v>
      </c>
      <c r="GP281" s="292" t="s">
        <v>7494</v>
      </c>
      <c r="HN281" s="65">
        <v>77.319999999999993</v>
      </c>
      <c r="HO281" s="65">
        <v>88.13</v>
      </c>
      <c r="HR281" s="65" t="s">
        <v>1662</v>
      </c>
      <c r="IR281" s="65">
        <v>11.14</v>
      </c>
      <c r="IS281" s="65">
        <v>12.67</v>
      </c>
      <c r="JU281" s="55" t="s">
        <v>310</v>
      </c>
    </row>
    <row r="282" spans="1:283" x14ac:dyDescent="0.25">
      <c r="A282" s="55">
        <v>281</v>
      </c>
      <c r="B282" s="12" t="s">
        <v>7067</v>
      </c>
      <c r="C282" s="155">
        <v>18</v>
      </c>
      <c r="D282" s="55" t="s">
        <v>3747</v>
      </c>
      <c r="E282" s="90" t="s">
        <v>296</v>
      </c>
      <c r="G282" s="55" t="s">
        <v>297</v>
      </c>
      <c r="H282" s="55">
        <v>2017</v>
      </c>
      <c r="I282" s="55">
        <v>2012</v>
      </c>
      <c r="J282" s="211" t="s">
        <v>309</v>
      </c>
      <c r="K282" s="55" t="s">
        <v>298</v>
      </c>
      <c r="L282" s="55" t="s">
        <v>2737</v>
      </c>
      <c r="M282" s="90">
        <v>40.716666666666669</v>
      </c>
      <c r="N282" s="90">
        <v>-77.916666666666671</v>
      </c>
      <c r="O282" s="90">
        <v>350</v>
      </c>
      <c r="S282" s="90">
        <v>975</v>
      </c>
      <c r="U282" s="55">
        <v>2</v>
      </c>
      <c r="V282" s="55" t="s">
        <v>1688</v>
      </c>
      <c r="Y282" s="55" t="s">
        <v>1824</v>
      </c>
      <c r="Z282" s="55" t="s">
        <v>1356</v>
      </c>
      <c r="AA282" s="90" t="s">
        <v>1680</v>
      </c>
      <c r="AH282" s="55" t="s">
        <v>6378</v>
      </c>
      <c r="AM282" s="55" t="s">
        <v>1286</v>
      </c>
      <c r="AN282" s="185" t="s">
        <v>499</v>
      </c>
      <c r="AO282" s="185" t="s">
        <v>5150</v>
      </c>
      <c r="AQ282" s="55" t="s">
        <v>1097</v>
      </c>
      <c r="AR282" s="55" t="s">
        <v>132</v>
      </c>
      <c r="AS282" s="55" t="s">
        <v>1584</v>
      </c>
      <c r="AT282" s="181" t="s">
        <v>299</v>
      </c>
      <c r="AU282" s="181" t="s">
        <v>5150</v>
      </c>
      <c r="AV282" s="185" t="s">
        <v>176</v>
      </c>
      <c r="AW282" s="55" t="s">
        <v>299</v>
      </c>
      <c r="AX282" s="185" t="s">
        <v>176</v>
      </c>
      <c r="AY282" s="55" t="s">
        <v>176</v>
      </c>
      <c r="BE282" s="226" t="s">
        <v>300</v>
      </c>
      <c r="BF282" s="55" t="s">
        <v>479</v>
      </c>
      <c r="BG282" s="55" t="s">
        <v>479</v>
      </c>
      <c r="BH282" s="226" t="s">
        <v>300</v>
      </c>
      <c r="BI282" s="55" t="s">
        <v>479</v>
      </c>
      <c r="BJ282" s="55" t="s">
        <v>176</v>
      </c>
      <c r="BK282" s="55" t="s">
        <v>5976</v>
      </c>
      <c r="BM282" s="192" t="s">
        <v>160</v>
      </c>
      <c r="BN282" s="55">
        <v>4</v>
      </c>
      <c r="BO282" s="55">
        <v>4</v>
      </c>
      <c r="BQ282" s="55" t="s">
        <v>141</v>
      </c>
      <c r="BS282" s="55">
        <v>7165</v>
      </c>
      <c r="BT282" s="55">
        <v>24.2</v>
      </c>
      <c r="GP282" s="292" t="s">
        <v>7494</v>
      </c>
      <c r="HN282" s="65">
        <v>77.319999999999993</v>
      </c>
      <c r="HO282" s="65">
        <v>89.74</v>
      </c>
      <c r="HR282" s="65" t="s">
        <v>1662</v>
      </c>
      <c r="IR282" s="65">
        <v>11.14</v>
      </c>
      <c r="IS282" s="65">
        <v>11.23</v>
      </c>
      <c r="JU282" s="55" t="s">
        <v>310</v>
      </c>
    </row>
    <row r="283" spans="1:283" x14ac:dyDescent="0.25">
      <c r="A283" s="55">
        <v>282</v>
      </c>
      <c r="B283" s="12" t="s">
        <v>7067</v>
      </c>
      <c r="C283" s="155">
        <v>18</v>
      </c>
      <c r="D283" s="55" t="s">
        <v>3748</v>
      </c>
      <c r="E283" s="90" t="s">
        <v>296</v>
      </c>
      <c r="G283" s="55" t="s">
        <v>297</v>
      </c>
      <c r="H283" s="55">
        <v>2017</v>
      </c>
      <c r="I283" s="55">
        <v>2012</v>
      </c>
      <c r="J283" s="211" t="s">
        <v>309</v>
      </c>
      <c r="K283" s="55" t="s">
        <v>298</v>
      </c>
      <c r="L283" s="55" t="s">
        <v>2737</v>
      </c>
      <c r="M283" s="90">
        <v>40.716666666666669</v>
      </c>
      <c r="N283" s="90">
        <v>-77.916666666666671</v>
      </c>
      <c r="O283" s="90">
        <v>350</v>
      </c>
      <c r="S283" s="90">
        <v>975</v>
      </c>
      <c r="U283" s="55">
        <v>2</v>
      </c>
      <c r="V283" s="55" t="s">
        <v>1688</v>
      </c>
      <c r="Y283" s="55" t="s">
        <v>1824</v>
      </c>
      <c r="Z283" s="55" t="s">
        <v>1356</v>
      </c>
      <c r="AA283" s="90" t="s">
        <v>1680</v>
      </c>
      <c r="AH283" s="55" t="s">
        <v>6378</v>
      </c>
      <c r="AM283" s="55" t="s">
        <v>1286</v>
      </c>
      <c r="AN283" s="185" t="s">
        <v>131</v>
      </c>
      <c r="AO283" s="185" t="s">
        <v>5150</v>
      </c>
      <c r="AQ283" s="55" t="s">
        <v>131</v>
      </c>
      <c r="AR283" s="55" t="s">
        <v>132</v>
      </c>
      <c r="AS283" s="55" t="s">
        <v>1584</v>
      </c>
      <c r="AT283" s="181" t="s">
        <v>299</v>
      </c>
      <c r="AU283" s="181" t="s">
        <v>5150</v>
      </c>
      <c r="AV283" s="185" t="s">
        <v>176</v>
      </c>
      <c r="AW283" s="55" t="s">
        <v>299</v>
      </c>
      <c r="AX283" s="185" t="s">
        <v>176</v>
      </c>
      <c r="AY283" s="55" t="s">
        <v>176</v>
      </c>
      <c r="BE283" s="226" t="s">
        <v>300</v>
      </c>
      <c r="BF283" s="55" t="s">
        <v>479</v>
      </c>
      <c r="BG283" s="55" t="s">
        <v>479</v>
      </c>
      <c r="BH283" s="226" t="s">
        <v>300</v>
      </c>
      <c r="BI283" s="55" t="s">
        <v>479</v>
      </c>
      <c r="BJ283" s="55" t="s">
        <v>176</v>
      </c>
      <c r="BK283" s="55" t="s">
        <v>5976</v>
      </c>
      <c r="BM283" s="192" t="s">
        <v>160</v>
      </c>
      <c r="BN283" s="55">
        <v>4</v>
      </c>
      <c r="BO283" s="55">
        <v>4</v>
      </c>
      <c r="BQ283" s="55" t="s">
        <v>141</v>
      </c>
      <c r="BS283" s="55">
        <v>7343</v>
      </c>
      <c r="BT283" s="55">
        <v>42.9</v>
      </c>
      <c r="GP283" s="292" t="s">
        <v>7494</v>
      </c>
      <c r="HN283" s="65">
        <v>77.319999999999993</v>
      </c>
      <c r="HO283" s="65">
        <v>87.96</v>
      </c>
      <c r="HR283" s="65" t="s">
        <v>1662</v>
      </c>
      <c r="IR283" s="65">
        <v>11.14</v>
      </c>
      <c r="IS283" s="65">
        <v>16.989999999999998</v>
      </c>
      <c r="JU283" s="55" t="s">
        <v>310</v>
      </c>
    </row>
    <row r="284" spans="1:283" s="229" customFormat="1" x14ac:dyDescent="0.25">
      <c r="A284" s="181">
        <v>283</v>
      </c>
      <c r="B284" s="229" t="s">
        <v>7067</v>
      </c>
      <c r="C284" s="230">
        <v>18</v>
      </c>
      <c r="D284" s="181" t="s">
        <v>3749</v>
      </c>
      <c r="E284" s="231" t="s">
        <v>296</v>
      </c>
      <c r="F284" s="231"/>
      <c r="G284" s="181" t="s">
        <v>297</v>
      </c>
      <c r="H284" s="181">
        <v>2017</v>
      </c>
      <c r="I284" s="181">
        <v>2012</v>
      </c>
      <c r="J284" s="234" t="s">
        <v>309</v>
      </c>
      <c r="K284" s="181" t="s">
        <v>298</v>
      </c>
      <c r="L284" s="181" t="s">
        <v>2737</v>
      </c>
      <c r="M284" s="231">
        <v>40.716666666666669</v>
      </c>
      <c r="N284" s="231">
        <v>-77.916666666666671</v>
      </c>
      <c r="O284" s="231">
        <v>350</v>
      </c>
      <c r="P284" s="181"/>
      <c r="Q284" s="181"/>
      <c r="R284" s="181"/>
      <c r="S284" s="231">
        <v>975</v>
      </c>
      <c r="T284" s="181"/>
      <c r="U284" s="181">
        <v>2</v>
      </c>
      <c r="V284" s="181" t="s">
        <v>1688</v>
      </c>
      <c r="W284" s="181"/>
      <c r="X284" s="181"/>
      <c r="Y284" s="181" t="s">
        <v>1824</v>
      </c>
      <c r="Z284" s="181" t="s">
        <v>1356</v>
      </c>
      <c r="AA284" s="231" t="s">
        <v>1680</v>
      </c>
      <c r="AB284" s="232"/>
      <c r="AC284" s="232"/>
      <c r="AD284" s="231"/>
      <c r="AE284" s="231"/>
      <c r="AF284" s="231"/>
      <c r="AG284" s="231"/>
      <c r="AH284" s="181" t="s">
        <v>6378</v>
      </c>
      <c r="AI284" s="181"/>
      <c r="AJ284" s="231"/>
      <c r="AK284" s="231"/>
      <c r="AL284" s="181"/>
      <c r="AM284" s="181" t="s">
        <v>1286</v>
      </c>
      <c r="AN284" s="185" t="s">
        <v>1468</v>
      </c>
      <c r="AO284" s="185" t="s">
        <v>5150</v>
      </c>
      <c r="AP284" s="181"/>
      <c r="AQ284" s="181" t="s">
        <v>610</v>
      </c>
      <c r="AR284" s="181" t="s">
        <v>132</v>
      </c>
      <c r="AS284" s="181" t="s">
        <v>1584</v>
      </c>
      <c r="AT284" s="181" t="s">
        <v>299</v>
      </c>
      <c r="AU284" s="181" t="s">
        <v>5150</v>
      </c>
      <c r="AV284" s="185" t="s">
        <v>479</v>
      </c>
      <c r="AW284" s="181" t="s">
        <v>299</v>
      </c>
      <c r="AX284" s="185" t="s">
        <v>479</v>
      </c>
      <c r="AY284" s="181" t="s">
        <v>176</v>
      </c>
      <c r="AZ284" s="181"/>
      <c r="BA284" s="181"/>
      <c r="BB284" s="181"/>
      <c r="BC284" s="181"/>
      <c r="BD284" s="181"/>
      <c r="BE284" s="226" t="s">
        <v>300</v>
      </c>
      <c r="BF284" s="55" t="s">
        <v>479</v>
      </c>
      <c r="BG284" s="55" t="s">
        <v>479</v>
      </c>
      <c r="BH284" s="226" t="s">
        <v>300</v>
      </c>
      <c r="BI284" s="55" t="s">
        <v>479</v>
      </c>
      <c r="BJ284" s="181" t="s">
        <v>176</v>
      </c>
      <c r="BK284" s="181" t="s">
        <v>5976</v>
      </c>
      <c r="BL284" s="181"/>
      <c r="BM284" s="192" t="s">
        <v>160</v>
      </c>
      <c r="BN284" s="181">
        <v>4</v>
      </c>
      <c r="BO284" s="181">
        <v>4</v>
      </c>
      <c r="BP284" s="181"/>
      <c r="BQ284" s="181" t="s">
        <v>141</v>
      </c>
      <c r="BR284" s="181"/>
      <c r="BS284" s="181">
        <v>5850</v>
      </c>
      <c r="BT284" s="181">
        <v>29.9</v>
      </c>
      <c r="BU284" s="181"/>
      <c r="BV284" s="181"/>
      <c r="BW284" s="232"/>
      <c r="BX284" s="232"/>
      <c r="BY284" s="232"/>
      <c r="BZ284" s="232"/>
      <c r="CA284" s="232"/>
      <c r="CB284" s="183"/>
      <c r="CC284" s="183"/>
      <c r="CD284" s="183"/>
      <c r="CE284" s="232"/>
      <c r="CF284" s="232"/>
      <c r="CG284" s="232"/>
      <c r="CH284" s="231"/>
      <c r="CI284" s="231"/>
      <c r="CJ284" s="232"/>
      <c r="CK284" s="232"/>
      <c r="CL284" s="232"/>
      <c r="CM284" s="232"/>
      <c r="CN284" s="232"/>
      <c r="CO284" s="232"/>
      <c r="CP284" s="232"/>
      <c r="CQ284" s="232"/>
      <c r="CR284" s="232"/>
      <c r="CS284" s="232"/>
      <c r="CT284" s="232"/>
      <c r="CU284" s="232"/>
      <c r="CV284" s="232"/>
      <c r="CW284" s="232"/>
      <c r="CX284" s="232"/>
      <c r="CY284" s="232"/>
      <c r="CZ284" s="232"/>
      <c r="DA284" s="232"/>
      <c r="DB284" s="232"/>
      <c r="DC284" s="232"/>
      <c r="DD284" s="232"/>
      <c r="DE284" s="232"/>
      <c r="DF284" s="232"/>
      <c r="DG284" s="232"/>
      <c r="DH284" s="232"/>
      <c r="DI284" s="232"/>
      <c r="DJ284" s="232"/>
      <c r="DK284" s="232"/>
      <c r="DL284" s="232"/>
      <c r="DM284" s="232"/>
      <c r="DN284" s="232"/>
      <c r="DO284" s="232"/>
      <c r="DP284" s="232"/>
      <c r="DQ284" s="233"/>
      <c r="DR284" s="233"/>
      <c r="DS284" s="232"/>
      <c r="DT284" s="232"/>
      <c r="DU284" s="232"/>
      <c r="DV284" s="232"/>
      <c r="DW284" s="232"/>
      <c r="DX284" s="232"/>
      <c r="DY284" s="232"/>
      <c r="DZ284" s="232"/>
      <c r="EA284" s="232"/>
      <c r="EB284" s="232"/>
      <c r="EC284" s="232"/>
      <c r="ED284" s="232"/>
      <c r="EE284" s="232"/>
      <c r="EF284" s="232"/>
      <c r="EG284" s="232"/>
      <c r="EH284" s="232"/>
      <c r="EI284" s="232"/>
      <c r="EJ284" s="232"/>
      <c r="EK284" s="231"/>
      <c r="EL284" s="231"/>
      <c r="EM284" s="232"/>
      <c r="EN284" s="232"/>
      <c r="EO284" s="232"/>
      <c r="EP284" s="232"/>
      <c r="EQ284" s="232"/>
      <c r="ER284" s="232"/>
      <c r="ES284" s="232"/>
      <c r="ET284" s="232"/>
      <c r="EU284" s="232"/>
      <c r="EV284" s="232"/>
      <c r="EW284" s="232"/>
      <c r="EX284" s="232"/>
      <c r="EY284" s="232"/>
      <c r="EZ284" s="232"/>
      <c r="FA284" s="232"/>
      <c r="FB284" s="232"/>
      <c r="FC284" s="232"/>
      <c r="FD284" s="232"/>
      <c r="FE284" s="232"/>
      <c r="FF284" s="232"/>
      <c r="FG284" s="232"/>
      <c r="FH284" s="232"/>
      <c r="FI284" s="232"/>
      <c r="FJ284" s="232"/>
      <c r="FK284" s="232"/>
      <c r="FL284" s="232"/>
      <c r="FM284" s="232"/>
      <c r="FN284" s="232"/>
      <c r="FO284" s="232"/>
      <c r="FP284" s="232"/>
      <c r="FQ284" s="232"/>
      <c r="FR284" s="232"/>
      <c r="FS284" s="232"/>
      <c r="FT284" s="232"/>
      <c r="FU284" s="232"/>
      <c r="FV284" s="232"/>
      <c r="FW284" s="232"/>
      <c r="FX284" s="232"/>
      <c r="FY284" s="232"/>
      <c r="FZ284" s="232"/>
      <c r="GA284" s="232"/>
      <c r="GB284" s="232"/>
      <c r="GC284" s="232"/>
      <c r="GD284" s="232"/>
      <c r="GE284" s="232"/>
      <c r="GF284" s="232"/>
      <c r="GG284" s="232"/>
      <c r="GH284" s="232"/>
      <c r="GI284" s="232"/>
      <c r="GJ284" s="232"/>
      <c r="GK284" s="232"/>
      <c r="GL284" s="232"/>
      <c r="GM284" s="232"/>
      <c r="GN284" s="294"/>
      <c r="GO284" s="294"/>
      <c r="GP284" s="292" t="s">
        <v>7494</v>
      </c>
      <c r="GQ284" s="232"/>
      <c r="GR284" s="232"/>
      <c r="GS284" s="232"/>
      <c r="GT284" s="232"/>
      <c r="GU284" s="232"/>
      <c r="GV284" s="232"/>
      <c r="GW284" s="232"/>
      <c r="GX284" s="232"/>
      <c r="GY284" s="232"/>
      <c r="GZ284" s="232"/>
      <c r="HA284" s="232"/>
      <c r="HB284" s="232"/>
      <c r="HC284" s="232"/>
      <c r="HD284" s="232"/>
      <c r="HE284" s="232"/>
      <c r="HF284" s="232"/>
      <c r="HG284" s="232"/>
      <c r="HH284" s="232"/>
      <c r="HI284" s="232"/>
      <c r="HJ284" s="232"/>
      <c r="HK284" s="232"/>
      <c r="HL284" s="232"/>
      <c r="HM284" s="232"/>
      <c r="HN284" s="232">
        <v>77.319999999999993</v>
      </c>
      <c r="HO284" s="232">
        <v>84.98</v>
      </c>
      <c r="HP284" s="232"/>
      <c r="HQ284" s="232"/>
      <c r="HR284" s="232" t="s">
        <v>1662</v>
      </c>
      <c r="HS284" s="232"/>
      <c r="HT284" s="232"/>
      <c r="HU284" s="232"/>
      <c r="HV284" s="232"/>
      <c r="HW284" s="232"/>
      <c r="HX284" s="232"/>
      <c r="HY284" s="232"/>
      <c r="HZ284" s="232"/>
      <c r="IA284" s="232"/>
      <c r="IB284" s="232"/>
      <c r="IC284" s="232"/>
      <c r="ID284" s="232"/>
      <c r="IE284" s="232"/>
      <c r="IF284" s="232"/>
      <c r="IG284" s="232"/>
      <c r="IH284" s="232"/>
      <c r="II284" s="232"/>
      <c r="IJ284" s="232"/>
      <c r="IK284" s="232"/>
      <c r="IL284" s="232"/>
      <c r="IM284" s="232"/>
      <c r="IN284" s="232"/>
      <c r="IO284" s="232"/>
      <c r="IP284" s="232"/>
      <c r="IQ284" s="232"/>
      <c r="IR284" s="232">
        <v>11.14</v>
      </c>
      <c r="IS284" s="232">
        <v>12.37</v>
      </c>
      <c r="IT284" s="232"/>
      <c r="IU284" s="232"/>
      <c r="IV284" s="232"/>
      <c r="IW284" s="232"/>
      <c r="IX284" s="232"/>
      <c r="IY284" s="232"/>
      <c r="IZ284" s="232"/>
      <c r="JA284" s="232"/>
      <c r="JB284" s="232"/>
      <c r="JC284" s="232"/>
      <c r="JD284" s="232"/>
      <c r="JE284" s="232"/>
      <c r="JF284" s="232"/>
      <c r="JG284" s="232"/>
      <c r="JH284" s="232"/>
      <c r="JI284" s="232"/>
      <c r="JJ284" s="232"/>
      <c r="JK284" s="232"/>
      <c r="JL284" s="232"/>
      <c r="JM284" s="232"/>
      <c r="JN284" s="232"/>
      <c r="JO284" s="232"/>
      <c r="JP284" s="232"/>
      <c r="JQ284" s="232"/>
      <c r="JR284" s="232"/>
      <c r="JS284" s="232"/>
      <c r="JT284" s="232"/>
      <c r="JU284" s="181" t="s">
        <v>310</v>
      </c>
      <c r="JV284" s="181"/>
      <c r="JW284" s="181"/>
    </row>
    <row r="285" spans="1:283" s="229" customFormat="1" x14ac:dyDescent="0.25">
      <c r="A285" s="181">
        <v>284</v>
      </c>
      <c r="B285" s="229" t="s">
        <v>7067</v>
      </c>
      <c r="C285" s="230">
        <v>18</v>
      </c>
      <c r="D285" s="181" t="s">
        <v>3749</v>
      </c>
      <c r="E285" s="231" t="s">
        <v>296</v>
      </c>
      <c r="F285" s="231"/>
      <c r="G285" s="181" t="s">
        <v>297</v>
      </c>
      <c r="H285" s="181">
        <v>2017</v>
      </c>
      <c r="I285" s="181">
        <v>2012</v>
      </c>
      <c r="J285" s="234" t="s">
        <v>309</v>
      </c>
      <c r="K285" s="181" t="s">
        <v>298</v>
      </c>
      <c r="L285" s="181" t="s">
        <v>2737</v>
      </c>
      <c r="M285" s="231">
        <v>40.716666666666669</v>
      </c>
      <c r="N285" s="231">
        <v>-77.916666666666671</v>
      </c>
      <c r="O285" s="231">
        <v>350</v>
      </c>
      <c r="P285" s="181"/>
      <c r="Q285" s="181"/>
      <c r="R285" s="181"/>
      <c r="S285" s="231">
        <v>975</v>
      </c>
      <c r="T285" s="181"/>
      <c r="U285" s="181">
        <v>2</v>
      </c>
      <c r="V285" s="181" t="s">
        <v>1688</v>
      </c>
      <c r="W285" s="181"/>
      <c r="X285" s="181"/>
      <c r="Y285" s="181" t="s">
        <v>1824</v>
      </c>
      <c r="Z285" s="181" t="s">
        <v>1356</v>
      </c>
      <c r="AA285" s="231" t="s">
        <v>1680</v>
      </c>
      <c r="AB285" s="232"/>
      <c r="AC285" s="232"/>
      <c r="AD285" s="231"/>
      <c r="AE285" s="231"/>
      <c r="AF285" s="231"/>
      <c r="AG285" s="231"/>
      <c r="AH285" s="181" t="s">
        <v>6378</v>
      </c>
      <c r="AI285" s="181"/>
      <c r="AJ285" s="231"/>
      <c r="AK285" s="231"/>
      <c r="AL285" s="181"/>
      <c r="AM285" s="181" t="s">
        <v>1286</v>
      </c>
      <c r="AN285" s="185" t="s">
        <v>1469</v>
      </c>
      <c r="AO285" s="185" t="s">
        <v>5150</v>
      </c>
      <c r="AP285" s="181"/>
      <c r="AQ285" s="181" t="s">
        <v>610</v>
      </c>
      <c r="AR285" s="181" t="s">
        <v>132</v>
      </c>
      <c r="AS285" s="181" t="s">
        <v>1584</v>
      </c>
      <c r="AT285" s="181" t="s">
        <v>299</v>
      </c>
      <c r="AU285" s="181" t="s">
        <v>5150</v>
      </c>
      <c r="AV285" s="185" t="s">
        <v>479</v>
      </c>
      <c r="AW285" s="181" t="s">
        <v>299</v>
      </c>
      <c r="AX285" s="185" t="s">
        <v>479</v>
      </c>
      <c r="AY285" s="181" t="s">
        <v>176</v>
      </c>
      <c r="AZ285" s="181"/>
      <c r="BA285" s="181"/>
      <c r="BB285" s="181"/>
      <c r="BC285" s="181"/>
      <c r="BD285" s="181"/>
      <c r="BE285" s="226" t="s">
        <v>300</v>
      </c>
      <c r="BF285" s="55" t="s">
        <v>479</v>
      </c>
      <c r="BG285" s="55" t="s">
        <v>479</v>
      </c>
      <c r="BH285" s="226" t="s">
        <v>300</v>
      </c>
      <c r="BI285" s="55" t="s">
        <v>479</v>
      </c>
      <c r="BJ285" s="181" t="s">
        <v>176</v>
      </c>
      <c r="BK285" s="181" t="s">
        <v>5976</v>
      </c>
      <c r="BL285" s="181"/>
      <c r="BM285" s="192" t="s">
        <v>160</v>
      </c>
      <c r="BN285" s="181">
        <v>4</v>
      </c>
      <c r="BO285" s="181">
        <v>4</v>
      </c>
      <c r="BP285" s="181"/>
      <c r="BQ285" s="181" t="s">
        <v>141</v>
      </c>
      <c r="BR285" s="181"/>
      <c r="BS285" s="181">
        <v>1724</v>
      </c>
      <c r="BT285" s="181">
        <v>15.4</v>
      </c>
      <c r="BU285" s="181"/>
      <c r="BV285" s="181"/>
      <c r="BW285" s="232"/>
      <c r="BX285" s="232"/>
      <c r="BY285" s="232"/>
      <c r="BZ285" s="232"/>
      <c r="CA285" s="232"/>
      <c r="CB285" s="183"/>
      <c r="CC285" s="183"/>
      <c r="CD285" s="183"/>
      <c r="CE285" s="232"/>
      <c r="CF285" s="232"/>
      <c r="CG285" s="232"/>
      <c r="CH285" s="231"/>
      <c r="CI285" s="231"/>
      <c r="CJ285" s="232"/>
      <c r="CK285" s="232"/>
      <c r="CL285" s="232"/>
      <c r="CM285" s="232"/>
      <c r="CN285" s="232"/>
      <c r="CO285" s="232"/>
      <c r="CP285" s="232"/>
      <c r="CQ285" s="232"/>
      <c r="CR285" s="232"/>
      <c r="CS285" s="232"/>
      <c r="CT285" s="232"/>
      <c r="CU285" s="232"/>
      <c r="CV285" s="232"/>
      <c r="CW285" s="232"/>
      <c r="CX285" s="232"/>
      <c r="CY285" s="232"/>
      <c r="CZ285" s="232"/>
      <c r="DA285" s="232"/>
      <c r="DB285" s="232"/>
      <c r="DC285" s="232"/>
      <c r="DD285" s="232"/>
      <c r="DE285" s="232"/>
      <c r="DF285" s="232"/>
      <c r="DG285" s="232"/>
      <c r="DH285" s="232"/>
      <c r="DI285" s="232"/>
      <c r="DJ285" s="232"/>
      <c r="DK285" s="232"/>
      <c r="DL285" s="232"/>
      <c r="DM285" s="232"/>
      <c r="DN285" s="232"/>
      <c r="DO285" s="232"/>
      <c r="DP285" s="232"/>
      <c r="DQ285" s="233"/>
      <c r="DR285" s="233"/>
      <c r="DS285" s="232"/>
      <c r="DT285" s="232"/>
      <c r="DU285" s="232"/>
      <c r="DV285" s="232"/>
      <c r="DW285" s="232"/>
      <c r="DX285" s="232"/>
      <c r="DY285" s="232"/>
      <c r="DZ285" s="232"/>
      <c r="EA285" s="232"/>
      <c r="EB285" s="232"/>
      <c r="EC285" s="232"/>
      <c r="ED285" s="232"/>
      <c r="EE285" s="232"/>
      <c r="EF285" s="232"/>
      <c r="EG285" s="232"/>
      <c r="EH285" s="232"/>
      <c r="EI285" s="232"/>
      <c r="EJ285" s="232"/>
      <c r="EK285" s="231"/>
      <c r="EL285" s="231"/>
      <c r="EM285" s="232"/>
      <c r="EN285" s="232"/>
      <c r="EO285" s="232"/>
      <c r="EP285" s="232"/>
      <c r="EQ285" s="232"/>
      <c r="ER285" s="232"/>
      <c r="ES285" s="232"/>
      <c r="ET285" s="232"/>
      <c r="EU285" s="232"/>
      <c r="EV285" s="232"/>
      <c r="EW285" s="232"/>
      <c r="EX285" s="232"/>
      <c r="EY285" s="232"/>
      <c r="EZ285" s="232"/>
      <c r="FA285" s="232"/>
      <c r="FB285" s="232"/>
      <c r="FC285" s="232"/>
      <c r="FD285" s="232"/>
      <c r="FE285" s="232"/>
      <c r="FF285" s="232"/>
      <c r="FG285" s="232"/>
      <c r="FH285" s="232"/>
      <c r="FI285" s="232"/>
      <c r="FJ285" s="232"/>
      <c r="FK285" s="232"/>
      <c r="FL285" s="232"/>
      <c r="FM285" s="232"/>
      <c r="FN285" s="232"/>
      <c r="FO285" s="232"/>
      <c r="FP285" s="232"/>
      <c r="FQ285" s="232"/>
      <c r="FR285" s="232"/>
      <c r="FS285" s="232"/>
      <c r="FT285" s="232"/>
      <c r="FU285" s="232"/>
      <c r="FV285" s="232"/>
      <c r="FW285" s="232"/>
      <c r="FX285" s="232"/>
      <c r="FY285" s="232"/>
      <c r="FZ285" s="232"/>
      <c r="GA285" s="232"/>
      <c r="GB285" s="232"/>
      <c r="GC285" s="232"/>
      <c r="GD285" s="232"/>
      <c r="GE285" s="232"/>
      <c r="GF285" s="232"/>
      <c r="GG285" s="232"/>
      <c r="GH285" s="232"/>
      <c r="GI285" s="232"/>
      <c r="GJ285" s="232"/>
      <c r="GK285" s="232"/>
      <c r="GL285" s="232"/>
      <c r="GM285" s="232"/>
      <c r="GN285" s="294"/>
      <c r="GO285" s="294"/>
      <c r="GP285" s="292" t="s">
        <v>7494</v>
      </c>
      <c r="GQ285" s="232"/>
      <c r="GR285" s="232"/>
      <c r="GS285" s="232"/>
      <c r="GT285" s="232"/>
      <c r="GU285" s="232"/>
      <c r="GV285" s="232"/>
      <c r="GW285" s="232"/>
      <c r="GX285" s="232"/>
      <c r="GY285" s="232"/>
      <c r="GZ285" s="232"/>
      <c r="HA285" s="232"/>
      <c r="HB285" s="232"/>
      <c r="HC285" s="232"/>
      <c r="HD285" s="232"/>
      <c r="HE285" s="232"/>
      <c r="HF285" s="232"/>
      <c r="HG285" s="232"/>
      <c r="HH285" s="232"/>
      <c r="HI285" s="232"/>
      <c r="HJ285" s="232"/>
      <c r="HK285" s="232"/>
      <c r="HL285" s="232"/>
      <c r="HM285" s="232"/>
      <c r="HN285" s="232">
        <v>77.319999999999993</v>
      </c>
      <c r="HO285" s="232">
        <v>89.25</v>
      </c>
      <c r="HP285" s="232"/>
      <c r="HQ285" s="232"/>
      <c r="HR285" s="232" t="s">
        <v>1662</v>
      </c>
      <c r="HS285" s="232"/>
      <c r="HT285" s="232"/>
      <c r="HU285" s="232"/>
      <c r="HV285" s="232"/>
      <c r="HW285" s="232"/>
      <c r="HX285" s="232"/>
      <c r="HY285" s="232"/>
      <c r="HZ285" s="232"/>
      <c r="IA285" s="232"/>
      <c r="IB285" s="232"/>
      <c r="IC285" s="232"/>
      <c r="ID285" s="232"/>
      <c r="IE285" s="232"/>
      <c r="IF285" s="232"/>
      <c r="IG285" s="232"/>
      <c r="IH285" s="232"/>
      <c r="II285" s="232"/>
      <c r="IJ285" s="232"/>
      <c r="IK285" s="232"/>
      <c r="IL285" s="232"/>
      <c r="IM285" s="232"/>
      <c r="IN285" s="232"/>
      <c r="IO285" s="232"/>
      <c r="IP285" s="232"/>
      <c r="IQ285" s="232"/>
      <c r="IR285" s="232">
        <v>11.14</v>
      </c>
      <c r="IS285" s="232">
        <v>11.31</v>
      </c>
      <c r="IT285" s="232"/>
      <c r="IU285" s="232"/>
      <c r="IV285" s="232"/>
      <c r="IW285" s="232"/>
      <c r="IX285" s="232"/>
      <c r="IY285" s="232"/>
      <c r="IZ285" s="232"/>
      <c r="JA285" s="232"/>
      <c r="JB285" s="232"/>
      <c r="JC285" s="232"/>
      <c r="JD285" s="232"/>
      <c r="JE285" s="232"/>
      <c r="JF285" s="232"/>
      <c r="JG285" s="232"/>
      <c r="JH285" s="232"/>
      <c r="JI285" s="232"/>
      <c r="JJ285" s="232"/>
      <c r="JK285" s="232"/>
      <c r="JL285" s="232"/>
      <c r="JM285" s="232"/>
      <c r="JN285" s="232"/>
      <c r="JO285" s="232"/>
      <c r="JP285" s="232"/>
      <c r="JQ285" s="232"/>
      <c r="JR285" s="232"/>
      <c r="JS285" s="232"/>
      <c r="JT285" s="232"/>
      <c r="JU285" s="181" t="s">
        <v>310</v>
      </c>
      <c r="JV285" s="181"/>
      <c r="JW285" s="181"/>
    </row>
    <row r="286" spans="1:283" s="229" customFormat="1" x14ac:dyDescent="0.25">
      <c r="A286" s="181">
        <v>285</v>
      </c>
      <c r="B286" s="229" t="s">
        <v>7067</v>
      </c>
      <c r="C286" s="230">
        <v>18</v>
      </c>
      <c r="D286" s="181" t="s">
        <v>3749</v>
      </c>
      <c r="E286" s="231" t="s">
        <v>296</v>
      </c>
      <c r="F286" s="231"/>
      <c r="G286" s="181" t="s">
        <v>297</v>
      </c>
      <c r="H286" s="181">
        <v>2017</v>
      </c>
      <c r="I286" s="181">
        <v>2012</v>
      </c>
      <c r="J286" s="234" t="s">
        <v>309</v>
      </c>
      <c r="K286" s="181" t="s">
        <v>298</v>
      </c>
      <c r="L286" s="181" t="s">
        <v>2737</v>
      </c>
      <c r="M286" s="231">
        <v>40.716666666666669</v>
      </c>
      <c r="N286" s="231">
        <v>-77.916666666666671</v>
      </c>
      <c r="O286" s="231">
        <v>350</v>
      </c>
      <c r="P286" s="181"/>
      <c r="Q286" s="181"/>
      <c r="R286" s="181"/>
      <c r="S286" s="231">
        <v>975</v>
      </c>
      <c r="T286" s="181"/>
      <c r="U286" s="181">
        <v>2</v>
      </c>
      <c r="V286" s="181" t="s">
        <v>1688</v>
      </c>
      <c r="W286" s="181"/>
      <c r="X286" s="181"/>
      <c r="Y286" s="181" t="s">
        <v>1824</v>
      </c>
      <c r="Z286" s="181" t="s">
        <v>1356</v>
      </c>
      <c r="AA286" s="231" t="s">
        <v>1680</v>
      </c>
      <c r="AB286" s="232"/>
      <c r="AC286" s="232"/>
      <c r="AD286" s="231"/>
      <c r="AE286" s="231"/>
      <c r="AF286" s="231"/>
      <c r="AG286" s="231"/>
      <c r="AH286" s="181" t="s">
        <v>6378</v>
      </c>
      <c r="AI286" s="181"/>
      <c r="AJ286" s="231"/>
      <c r="AK286" s="231"/>
      <c r="AL286" s="181"/>
      <c r="AM286" s="181" t="s">
        <v>1286</v>
      </c>
      <c r="AN286" s="185" t="s">
        <v>1470</v>
      </c>
      <c r="AO286" s="185" t="s">
        <v>5150</v>
      </c>
      <c r="AP286" s="181"/>
      <c r="AQ286" s="181" t="s">
        <v>610</v>
      </c>
      <c r="AR286" s="181" t="s">
        <v>132</v>
      </c>
      <c r="AS286" s="181" t="s">
        <v>1584</v>
      </c>
      <c r="AT286" s="181" t="s">
        <v>299</v>
      </c>
      <c r="AU286" s="181" t="s">
        <v>5150</v>
      </c>
      <c r="AV286" s="185" t="s">
        <v>479</v>
      </c>
      <c r="AW286" s="181" t="s">
        <v>299</v>
      </c>
      <c r="AX286" s="185" t="s">
        <v>479</v>
      </c>
      <c r="AY286" s="181" t="s">
        <v>176</v>
      </c>
      <c r="AZ286" s="181"/>
      <c r="BA286" s="181"/>
      <c r="BB286" s="181"/>
      <c r="BC286" s="181"/>
      <c r="BD286" s="181"/>
      <c r="BE286" s="226" t="s">
        <v>300</v>
      </c>
      <c r="BF286" s="55" t="s">
        <v>479</v>
      </c>
      <c r="BG286" s="55" t="s">
        <v>479</v>
      </c>
      <c r="BH286" s="226" t="s">
        <v>300</v>
      </c>
      <c r="BI286" s="55" t="s">
        <v>479</v>
      </c>
      <c r="BJ286" s="181" t="s">
        <v>176</v>
      </c>
      <c r="BK286" s="181" t="s">
        <v>5976</v>
      </c>
      <c r="BL286" s="181"/>
      <c r="BM286" s="192" t="s">
        <v>160</v>
      </c>
      <c r="BN286" s="181">
        <v>4</v>
      </c>
      <c r="BO286" s="181">
        <v>4</v>
      </c>
      <c r="BP286" s="181"/>
      <c r="BQ286" s="181" t="s">
        <v>141</v>
      </c>
      <c r="BR286" s="181"/>
      <c r="BS286" s="181">
        <v>6699</v>
      </c>
      <c r="BT286" s="181">
        <v>16.399999999999999</v>
      </c>
      <c r="BU286" s="181"/>
      <c r="BV286" s="181"/>
      <c r="BW286" s="232"/>
      <c r="BX286" s="232"/>
      <c r="BY286" s="232"/>
      <c r="BZ286" s="232"/>
      <c r="CA286" s="232"/>
      <c r="CB286" s="183"/>
      <c r="CC286" s="183"/>
      <c r="CD286" s="183"/>
      <c r="CE286" s="232"/>
      <c r="CF286" s="232"/>
      <c r="CG286" s="232"/>
      <c r="CH286" s="231"/>
      <c r="CI286" s="231"/>
      <c r="CJ286" s="232"/>
      <c r="CK286" s="232"/>
      <c r="CL286" s="232"/>
      <c r="CM286" s="232"/>
      <c r="CN286" s="232"/>
      <c r="CO286" s="232"/>
      <c r="CP286" s="232"/>
      <c r="CQ286" s="232"/>
      <c r="CR286" s="232"/>
      <c r="CS286" s="232"/>
      <c r="CT286" s="232"/>
      <c r="CU286" s="232"/>
      <c r="CV286" s="232"/>
      <c r="CW286" s="232"/>
      <c r="CX286" s="232"/>
      <c r="CY286" s="232"/>
      <c r="CZ286" s="232"/>
      <c r="DA286" s="232"/>
      <c r="DB286" s="232"/>
      <c r="DC286" s="232"/>
      <c r="DD286" s="232"/>
      <c r="DE286" s="232"/>
      <c r="DF286" s="232"/>
      <c r="DG286" s="232"/>
      <c r="DH286" s="232"/>
      <c r="DI286" s="232"/>
      <c r="DJ286" s="232"/>
      <c r="DK286" s="232"/>
      <c r="DL286" s="232"/>
      <c r="DM286" s="232"/>
      <c r="DN286" s="232"/>
      <c r="DO286" s="232"/>
      <c r="DP286" s="232"/>
      <c r="DQ286" s="233"/>
      <c r="DR286" s="233"/>
      <c r="DS286" s="232"/>
      <c r="DT286" s="232"/>
      <c r="DU286" s="232"/>
      <c r="DV286" s="232"/>
      <c r="DW286" s="232"/>
      <c r="DX286" s="232"/>
      <c r="DY286" s="232"/>
      <c r="DZ286" s="232"/>
      <c r="EA286" s="232"/>
      <c r="EB286" s="232"/>
      <c r="EC286" s="232"/>
      <c r="ED286" s="232"/>
      <c r="EE286" s="232"/>
      <c r="EF286" s="232"/>
      <c r="EG286" s="232"/>
      <c r="EH286" s="232"/>
      <c r="EI286" s="232"/>
      <c r="EJ286" s="232"/>
      <c r="EK286" s="231"/>
      <c r="EL286" s="231"/>
      <c r="EM286" s="232"/>
      <c r="EN286" s="232"/>
      <c r="EO286" s="232"/>
      <c r="EP286" s="232"/>
      <c r="EQ286" s="232"/>
      <c r="ER286" s="232"/>
      <c r="ES286" s="232"/>
      <c r="ET286" s="232"/>
      <c r="EU286" s="232"/>
      <c r="EV286" s="232"/>
      <c r="EW286" s="232"/>
      <c r="EX286" s="232"/>
      <c r="EY286" s="232"/>
      <c r="EZ286" s="232"/>
      <c r="FA286" s="232"/>
      <c r="FB286" s="232"/>
      <c r="FC286" s="232"/>
      <c r="FD286" s="232"/>
      <c r="FE286" s="232"/>
      <c r="FF286" s="232"/>
      <c r="FG286" s="232"/>
      <c r="FH286" s="232"/>
      <c r="FI286" s="232"/>
      <c r="FJ286" s="232"/>
      <c r="FK286" s="232"/>
      <c r="FL286" s="232"/>
      <c r="FM286" s="232"/>
      <c r="FN286" s="232"/>
      <c r="FO286" s="232"/>
      <c r="FP286" s="232"/>
      <c r="FQ286" s="232"/>
      <c r="FR286" s="232"/>
      <c r="FS286" s="232"/>
      <c r="FT286" s="232"/>
      <c r="FU286" s="232"/>
      <c r="FV286" s="232"/>
      <c r="FW286" s="232"/>
      <c r="FX286" s="232"/>
      <c r="FY286" s="232"/>
      <c r="FZ286" s="232"/>
      <c r="GA286" s="232"/>
      <c r="GB286" s="232"/>
      <c r="GC286" s="232"/>
      <c r="GD286" s="232"/>
      <c r="GE286" s="232"/>
      <c r="GF286" s="232"/>
      <c r="GG286" s="232"/>
      <c r="GH286" s="232"/>
      <c r="GI286" s="232"/>
      <c r="GJ286" s="232"/>
      <c r="GK286" s="232"/>
      <c r="GL286" s="232"/>
      <c r="GM286" s="232"/>
      <c r="GN286" s="294"/>
      <c r="GO286" s="294"/>
      <c r="GP286" s="292" t="s">
        <v>7494</v>
      </c>
      <c r="GQ286" s="232"/>
      <c r="GR286" s="232"/>
      <c r="GS286" s="232"/>
      <c r="GT286" s="232"/>
      <c r="GU286" s="232"/>
      <c r="GV286" s="232"/>
      <c r="GW286" s="232"/>
      <c r="GX286" s="232"/>
      <c r="GY286" s="232"/>
      <c r="GZ286" s="232"/>
      <c r="HA286" s="232"/>
      <c r="HB286" s="232"/>
      <c r="HC286" s="232"/>
      <c r="HD286" s="232"/>
      <c r="HE286" s="232"/>
      <c r="HF286" s="232"/>
      <c r="HG286" s="232"/>
      <c r="HH286" s="232"/>
      <c r="HI286" s="232"/>
      <c r="HJ286" s="232"/>
      <c r="HK286" s="232"/>
      <c r="HL286" s="232"/>
      <c r="HM286" s="232"/>
      <c r="HN286" s="232">
        <v>77.319999999999993</v>
      </c>
      <c r="HO286" s="232">
        <v>87.97</v>
      </c>
      <c r="HP286" s="232"/>
      <c r="HQ286" s="232"/>
      <c r="HR286" s="232" t="s">
        <v>1662</v>
      </c>
      <c r="HS286" s="232"/>
      <c r="HT286" s="232"/>
      <c r="HU286" s="232"/>
      <c r="HV286" s="232"/>
      <c r="HW286" s="232"/>
      <c r="HX286" s="232"/>
      <c r="HY286" s="232"/>
      <c r="HZ286" s="232"/>
      <c r="IA286" s="232"/>
      <c r="IB286" s="232"/>
      <c r="IC286" s="232"/>
      <c r="ID286" s="232"/>
      <c r="IE286" s="232"/>
      <c r="IF286" s="232"/>
      <c r="IG286" s="232"/>
      <c r="IH286" s="232"/>
      <c r="II286" s="232"/>
      <c r="IJ286" s="232"/>
      <c r="IK286" s="232"/>
      <c r="IL286" s="232"/>
      <c r="IM286" s="232"/>
      <c r="IN286" s="232"/>
      <c r="IO286" s="232"/>
      <c r="IP286" s="232"/>
      <c r="IQ286" s="232"/>
      <c r="IR286" s="232">
        <v>11.14</v>
      </c>
      <c r="IS286" s="232">
        <v>17.8</v>
      </c>
      <c r="IT286" s="232"/>
      <c r="IU286" s="232"/>
      <c r="IV286" s="232"/>
      <c r="IW286" s="232"/>
      <c r="IX286" s="232"/>
      <c r="IY286" s="232"/>
      <c r="IZ286" s="232"/>
      <c r="JA286" s="232"/>
      <c r="JB286" s="232"/>
      <c r="JC286" s="232"/>
      <c r="JD286" s="232"/>
      <c r="JE286" s="232"/>
      <c r="JF286" s="232"/>
      <c r="JG286" s="232"/>
      <c r="JH286" s="232"/>
      <c r="JI286" s="232"/>
      <c r="JJ286" s="232"/>
      <c r="JK286" s="232"/>
      <c r="JL286" s="232"/>
      <c r="JM286" s="232"/>
      <c r="JN286" s="232"/>
      <c r="JO286" s="232"/>
      <c r="JP286" s="232"/>
      <c r="JQ286" s="232"/>
      <c r="JR286" s="232"/>
      <c r="JS286" s="232"/>
      <c r="JT286" s="232"/>
      <c r="JU286" s="181" t="s">
        <v>310</v>
      </c>
      <c r="JV286" s="181"/>
      <c r="JW286" s="181"/>
    </row>
    <row r="287" spans="1:283" s="229" customFormat="1" x14ac:dyDescent="0.25">
      <c r="A287" s="181">
        <v>286</v>
      </c>
      <c r="B287" s="229" t="s">
        <v>7067</v>
      </c>
      <c r="C287" s="230">
        <v>18</v>
      </c>
      <c r="D287" s="181" t="s">
        <v>3749</v>
      </c>
      <c r="E287" s="231" t="s">
        <v>296</v>
      </c>
      <c r="F287" s="231"/>
      <c r="G287" s="181" t="s">
        <v>297</v>
      </c>
      <c r="H287" s="181">
        <v>2017</v>
      </c>
      <c r="I287" s="181">
        <v>2012</v>
      </c>
      <c r="J287" s="234" t="s">
        <v>309</v>
      </c>
      <c r="K287" s="181" t="s">
        <v>298</v>
      </c>
      <c r="L287" s="181" t="s">
        <v>2737</v>
      </c>
      <c r="M287" s="231">
        <v>40.716666666666669</v>
      </c>
      <c r="N287" s="231">
        <v>-77.916666666666671</v>
      </c>
      <c r="O287" s="231">
        <v>350</v>
      </c>
      <c r="P287" s="181"/>
      <c r="Q287" s="181"/>
      <c r="R287" s="181"/>
      <c r="S287" s="231">
        <v>975</v>
      </c>
      <c r="T287" s="181"/>
      <c r="U287" s="181">
        <v>2</v>
      </c>
      <c r="V287" s="181" t="s">
        <v>1688</v>
      </c>
      <c r="W287" s="181"/>
      <c r="X287" s="181"/>
      <c r="Y287" s="181" t="s">
        <v>1824</v>
      </c>
      <c r="Z287" s="181" t="s">
        <v>1356</v>
      </c>
      <c r="AA287" s="231" t="s">
        <v>1680</v>
      </c>
      <c r="AB287" s="232"/>
      <c r="AC287" s="232"/>
      <c r="AD287" s="231"/>
      <c r="AE287" s="231"/>
      <c r="AF287" s="231"/>
      <c r="AG287" s="231"/>
      <c r="AH287" s="181" t="s">
        <v>6378</v>
      </c>
      <c r="AI287" s="181"/>
      <c r="AJ287" s="231"/>
      <c r="AK287" s="231"/>
      <c r="AL287" s="181"/>
      <c r="AM287" s="181" t="s">
        <v>1286</v>
      </c>
      <c r="AN287" s="185" t="s">
        <v>1471</v>
      </c>
      <c r="AO287" s="185" t="s">
        <v>5150</v>
      </c>
      <c r="AP287" s="181"/>
      <c r="AQ287" s="181" t="s">
        <v>610</v>
      </c>
      <c r="AR287" s="181" t="s">
        <v>132</v>
      </c>
      <c r="AS287" s="181" t="s">
        <v>1584</v>
      </c>
      <c r="AT287" s="181" t="s">
        <v>299</v>
      </c>
      <c r="AU287" s="181" t="s">
        <v>5150</v>
      </c>
      <c r="AV287" s="185" t="s">
        <v>479</v>
      </c>
      <c r="AW287" s="181" t="s">
        <v>299</v>
      </c>
      <c r="AX287" s="185" t="s">
        <v>479</v>
      </c>
      <c r="AY287" s="181" t="s">
        <v>176</v>
      </c>
      <c r="AZ287" s="181"/>
      <c r="BA287" s="181"/>
      <c r="BB287" s="181"/>
      <c r="BC287" s="181"/>
      <c r="BD287" s="181"/>
      <c r="BE287" s="226" t="s">
        <v>300</v>
      </c>
      <c r="BF287" s="55" t="s">
        <v>479</v>
      </c>
      <c r="BG287" s="55" t="s">
        <v>479</v>
      </c>
      <c r="BH287" s="226" t="s">
        <v>300</v>
      </c>
      <c r="BI287" s="55" t="s">
        <v>479</v>
      </c>
      <c r="BJ287" s="181" t="s">
        <v>176</v>
      </c>
      <c r="BK287" s="181" t="s">
        <v>5976</v>
      </c>
      <c r="BL287" s="181"/>
      <c r="BM287" s="192" t="s">
        <v>160</v>
      </c>
      <c r="BN287" s="181">
        <v>4</v>
      </c>
      <c r="BO287" s="181">
        <v>4</v>
      </c>
      <c r="BP287" s="181"/>
      <c r="BQ287" s="181" t="s">
        <v>141</v>
      </c>
      <c r="BR287" s="181"/>
      <c r="BS287" s="181">
        <v>6997</v>
      </c>
      <c r="BT287" s="181">
        <v>35.9</v>
      </c>
      <c r="BU287" s="181"/>
      <c r="BV287" s="181"/>
      <c r="BW287" s="232"/>
      <c r="BX287" s="232"/>
      <c r="BY287" s="232"/>
      <c r="BZ287" s="232"/>
      <c r="CA287" s="232"/>
      <c r="CB287" s="183"/>
      <c r="CC287" s="183"/>
      <c r="CD287" s="183"/>
      <c r="CE287" s="232"/>
      <c r="CF287" s="232"/>
      <c r="CG287" s="232"/>
      <c r="CH287" s="231"/>
      <c r="CI287" s="231"/>
      <c r="CJ287" s="232"/>
      <c r="CK287" s="232"/>
      <c r="CL287" s="232"/>
      <c r="CM287" s="232"/>
      <c r="CN287" s="232"/>
      <c r="CO287" s="232"/>
      <c r="CP287" s="232"/>
      <c r="CQ287" s="232"/>
      <c r="CR287" s="232"/>
      <c r="CS287" s="232"/>
      <c r="CT287" s="232"/>
      <c r="CU287" s="232"/>
      <c r="CV287" s="232"/>
      <c r="CW287" s="232"/>
      <c r="CX287" s="232"/>
      <c r="CY287" s="232"/>
      <c r="CZ287" s="232"/>
      <c r="DA287" s="232"/>
      <c r="DB287" s="232"/>
      <c r="DC287" s="232"/>
      <c r="DD287" s="232"/>
      <c r="DE287" s="232"/>
      <c r="DF287" s="232"/>
      <c r="DG287" s="232"/>
      <c r="DH287" s="232"/>
      <c r="DI287" s="232"/>
      <c r="DJ287" s="232"/>
      <c r="DK287" s="232"/>
      <c r="DL287" s="232"/>
      <c r="DM287" s="232"/>
      <c r="DN287" s="232"/>
      <c r="DO287" s="232"/>
      <c r="DP287" s="232"/>
      <c r="DQ287" s="233"/>
      <c r="DR287" s="233"/>
      <c r="DS287" s="232"/>
      <c r="DT287" s="232"/>
      <c r="DU287" s="232"/>
      <c r="DV287" s="232"/>
      <c r="DW287" s="232"/>
      <c r="DX287" s="232"/>
      <c r="DY287" s="232"/>
      <c r="DZ287" s="232"/>
      <c r="EA287" s="232"/>
      <c r="EB287" s="232"/>
      <c r="EC287" s="232"/>
      <c r="ED287" s="232"/>
      <c r="EE287" s="232"/>
      <c r="EF287" s="232"/>
      <c r="EG287" s="232"/>
      <c r="EH287" s="232"/>
      <c r="EI287" s="232"/>
      <c r="EJ287" s="232"/>
      <c r="EK287" s="231"/>
      <c r="EL287" s="231"/>
      <c r="EM287" s="232"/>
      <c r="EN287" s="232"/>
      <c r="EO287" s="232"/>
      <c r="EP287" s="232"/>
      <c r="EQ287" s="232"/>
      <c r="ER287" s="232"/>
      <c r="ES287" s="232"/>
      <c r="ET287" s="232"/>
      <c r="EU287" s="232"/>
      <c r="EV287" s="232"/>
      <c r="EW287" s="232"/>
      <c r="EX287" s="232"/>
      <c r="EY287" s="232"/>
      <c r="EZ287" s="232"/>
      <c r="FA287" s="232"/>
      <c r="FB287" s="232"/>
      <c r="FC287" s="232"/>
      <c r="FD287" s="232"/>
      <c r="FE287" s="232"/>
      <c r="FF287" s="232"/>
      <c r="FG287" s="232"/>
      <c r="FH287" s="232"/>
      <c r="FI287" s="232"/>
      <c r="FJ287" s="232"/>
      <c r="FK287" s="232"/>
      <c r="FL287" s="232"/>
      <c r="FM287" s="232"/>
      <c r="FN287" s="232"/>
      <c r="FO287" s="232"/>
      <c r="FP287" s="232"/>
      <c r="FQ287" s="232"/>
      <c r="FR287" s="232"/>
      <c r="FS287" s="232"/>
      <c r="FT287" s="232"/>
      <c r="FU287" s="232"/>
      <c r="FV287" s="232"/>
      <c r="FW287" s="232"/>
      <c r="FX287" s="232"/>
      <c r="FY287" s="232"/>
      <c r="FZ287" s="232"/>
      <c r="GA287" s="232"/>
      <c r="GB287" s="232"/>
      <c r="GC287" s="232"/>
      <c r="GD287" s="232"/>
      <c r="GE287" s="232"/>
      <c r="GF287" s="232"/>
      <c r="GG287" s="232"/>
      <c r="GH287" s="232"/>
      <c r="GI287" s="232"/>
      <c r="GJ287" s="232"/>
      <c r="GK287" s="232"/>
      <c r="GL287" s="232"/>
      <c r="GM287" s="232"/>
      <c r="GN287" s="294"/>
      <c r="GO287" s="294"/>
      <c r="GP287" s="292" t="s">
        <v>7494</v>
      </c>
      <c r="GQ287" s="232"/>
      <c r="GR287" s="232"/>
      <c r="GS287" s="232"/>
      <c r="GT287" s="232"/>
      <c r="GU287" s="232"/>
      <c r="GV287" s="232"/>
      <c r="GW287" s="232"/>
      <c r="GX287" s="232"/>
      <c r="GY287" s="232"/>
      <c r="GZ287" s="232"/>
      <c r="HA287" s="232"/>
      <c r="HB287" s="232"/>
      <c r="HC287" s="232"/>
      <c r="HD287" s="232"/>
      <c r="HE287" s="232"/>
      <c r="HF287" s="232"/>
      <c r="HG287" s="232"/>
      <c r="HH287" s="232"/>
      <c r="HI287" s="232"/>
      <c r="HJ287" s="232"/>
      <c r="HK287" s="232"/>
      <c r="HL287" s="232"/>
      <c r="HM287" s="232"/>
      <c r="HN287" s="232">
        <v>77.319999999999993</v>
      </c>
      <c r="HO287" s="232">
        <v>86.26</v>
      </c>
      <c r="HP287" s="232"/>
      <c r="HQ287" s="232"/>
      <c r="HR287" s="232" t="s">
        <v>1662</v>
      </c>
      <c r="HS287" s="232"/>
      <c r="HT287" s="232"/>
      <c r="HU287" s="232"/>
      <c r="HV287" s="232"/>
      <c r="HW287" s="232"/>
      <c r="HX287" s="232"/>
      <c r="HY287" s="232"/>
      <c r="HZ287" s="232"/>
      <c r="IA287" s="232"/>
      <c r="IB287" s="232"/>
      <c r="IC287" s="232"/>
      <c r="ID287" s="232"/>
      <c r="IE287" s="232"/>
      <c r="IF287" s="232"/>
      <c r="IG287" s="232"/>
      <c r="IH287" s="232"/>
      <c r="II287" s="232"/>
      <c r="IJ287" s="232"/>
      <c r="IK287" s="232"/>
      <c r="IL287" s="232"/>
      <c r="IM287" s="232"/>
      <c r="IN287" s="232"/>
      <c r="IO287" s="232"/>
      <c r="IP287" s="232"/>
      <c r="IQ287" s="232"/>
      <c r="IR287" s="232">
        <v>11.14</v>
      </c>
      <c r="IS287" s="232">
        <v>14</v>
      </c>
      <c r="IT287" s="232"/>
      <c r="IU287" s="232"/>
      <c r="IV287" s="232"/>
      <c r="IW287" s="232"/>
      <c r="IX287" s="232"/>
      <c r="IY287" s="232"/>
      <c r="IZ287" s="232"/>
      <c r="JA287" s="232"/>
      <c r="JB287" s="232"/>
      <c r="JC287" s="232"/>
      <c r="JD287" s="232"/>
      <c r="JE287" s="232"/>
      <c r="JF287" s="232"/>
      <c r="JG287" s="232"/>
      <c r="JH287" s="232"/>
      <c r="JI287" s="232"/>
      <c r="JJ287" s="232"/>
      <c r="JK287" s="232"/>
      <c r="JL287" s="232"/>
      <c r="JM287" s="232"/>
      <c r="JN287" s="232"/>
      <c r="JO287" s="232"/>
      <c r="JP287" s="232"/>
      <c r="JQ287" s="232"/>
      <c r="JR287" s="232"/>
      <c r="JS287" s="232"/>
      <c r="JT287" s="232"/>
      <c r="JU287" s="181" t="s">
        <v>310</v>
      </c>
      <c r="JV287" s="181"/>
      <c r="JW287" s="181"/>
    </row>
    <row r="288" spans="1:283" s="229" customFormat="1" x14ac:dyDescent="0.25">
      <c r="A288" s="181">
        <v>287</v>
      </c>
      <c r="B288" s="229" t="s">
        <v>7067</v>
      </c>
      <c r="C288" s="230">
        <v>18</v>
      </c>
      <c r="D288" s="181" t="s">
        <v>3749</v>
      </c>
      <c r="E288" s="231" t="s">
        <v>296</v>
      </c>
      <c r="F288" s="231"/>
      <c r="G288" s="181" t="s">
        <v>297</v>
      </c>
      <c r="H288" s="181">
        <v>2017</v>
      </c>
      <c r="I288" s="181">
        <v>2012</v>
      </c>
      <c r="J288" s="234" t="s">
        <v>309</v>
      </c>
      <c r="K288" s="181" t="s">
        <v>298</v>
      </c>
      <c r="L288" s="181" t="s">
        <v>2737</v>
      </c>
      <c r="M288" s="231">
        <v>40.716666666666669</v>
      </c>
      <c r="N288" s="231">
        <v>-77.916666666666671</v>
      </c>
      <c r="O288" s="231">
        <v>350</v>
      </c>
      <c r="P288" s="181"/>
      <c r="Q288" s="181"/>
      <c r="R288" s="181"/>
      <c r="S288" s="231">
        <v>975</v>
      </c>
      <c r="T288" s="181"/>
      <c r="U288" s="181">
        <v>2</v>
      </c>
      <c r="V288" s="181" t="s">
        <v>1688</v>
      </c>
      <c r="W288" s="181"/>
      <c r="X288" s="181"/>
      <c r="Y288" s="181" t="s">
        <v>1824</v>
      </c>
      <c r="Z288" s="181" t="s">
        <v>1356</v>
      </c>
      <c r="AA288" s="231" t="s">
        <v>1680</v>
      </c>
      <c r="AB288" s="232"/>
      <c r="AC288" s="232"/>
      <c r="AD288" s="231"/>
      <c r="AE288" s="231"/>
      <c r="AF288" s="231"/>
      <c r="AG288" s="231"/>
      <c r="AH288" s="181" t="s">
        <v>6378</v>
      </c>
      <c r="AI288" s="181"/>
      <c r="AJ288" s="231"/>
      <c r="AK288" s="231"/>
      <c r="AL288" s="181"/>
      <c r="AM288" s="181" t="s">
        <v>1286</v>
      </c>
      <c r="AN288" s="185" t="s">
        <v>1472</v>
      </c>
      <c r="AO288" s="185" t="s">
        <v>5150</v>
      </c>
      <c r="AP288" s="181"/>
      <c r="AQ288" s="181" t="s">
        <v>610</v>
      </c>
      <c r="AR288" s="181" t="s">
        <v>132</v>
      </c>
      <c r="AS288" s="181" t="s">
        <v>1584</v>
      </c>
      <c r="AT288" s="181" t="s">
        <v>299</v>
      </c>
      <c r="AU288" s="181" t="s">
        <v>5150</v>
      </c>
      <c r="AV288" s="185" t="s">
        <v>479</v>
      </c>
      <c r="AW288" s="181" t="s">
        <v>299</v>
      </c>
      <c r="AX288" s="185" t="s">
        <v>479</v>
      </c>
      <c r="AY288" s="181" t="s">
        <v>176</v>
      </c>
      <c r="AZ288" s="181"/>
      <c r="BA288" s="181"/>
      <c r="BB288" s="181"/>
      <c r="BC288" s="181"/>
      <c r="BD288" s="181"/>
      <c r="BE288" s="226" t="s">
        <v>300</v>
      </c>
      <c r="BF288" s="55" t="s">
        <v>479</v>
      </c>
      <c r="BG288" s="55" t="s">
        <v>479</v>
      </c>
      <c r="BH288" s="226" t="s">
        <v>300</v>
      </c>
      <c r="BI288" s="55" t="s">
        <v>479</v>
      </c>
      <c r="BJ288" s="181" t="s">
        <v>176</v>
      </c>
      <c r="BK288" s="181" t="s">
        <v>5976</v>
      </c>
      <c r="BL288" s="181"/>
      <c r="BM288" s="192" t="s">
        <v>160</v>
      </c>
      <c r="BN288" s="181">
        <v>4</v>
      </c>
      <c r="BO288" s="181">
        <v>4</v>
      </c>
      <c r="BP288" s="181"/>
      <c r="BQ288" s="181" t="s">
        <v>141</v>
      </c>
      <c r="BR288" s="181"/>
      <c r="BS288" s="181">
        <v>5374</v>
      </c>
      <c r="BT288" s="181">
        <v>11</v>
      </c>
      <c r="BU288" s="181"/>
      <c r="BV288" s="181"/>
      <c r="BW288" s="232"/>
      <c r="BX288" s="232"/>
      <c r="BY288" s="232"/>
      <c r="BZ288" s="232"/>
      <c r="CA288" s="232"/>
      <c r="CB288" s="183"/>
      <c r="CC288" s="183"/>
      <c r="CD288" s="183"/>
      <c r="CE288" s="232"/>
      <c r="CF288" s="232"/>
      <c r="CG288" s="232"/>
      <c r="CH288" s="231"/>
      <c r="CI288" s="231"/>
      <c r="CJ288" s="232"/>
      <c r="CK288" s="232"/>
      <c r="CL288" s="232"/>
      <c r="CM288" s="232"/>
      <c r="CN288" s="232"/>
      <c r="CO288" s="232"/>
      <c r="CP288" s="232"/>
      <c r="CQ288" s="232"/>
      <c r="CR288" s="232"/>
      <c r="CS288" s="232"/>
      <c r="CT288" s="232"/>
      <c r="CU288" s="232"/>
      <c r="CV288" s="232"/>
      <c r="CW288" s="232"/>
      <c r="CX288" s="232"/>
      <c r="CY288" s="232"/>
      <c r="CZ288" s="232"/>
      <c r="DA288" s="232"/>
      <c r="DB288" s="232"/>
      <c r="DC288" s="232"/>
      <c r="DD288" s="232"/>
      <c r="DE288" s="232"/>
      <c r="DF288" s="232"/>
      <c r="DG288" s="232"/>
      <c r="DH288" s="232"/>
      <c r="DI288" s="232"/>
      <c r="DJ288" s="232"/>
      <c r="DK288" s="232"/>
      <c r="DL288" s="232"/>
      <c r="DM288" s="232"/>
      <c r="DN288" s="232"/>
      <c r="DO288" s="232"/>
      <c r="DP288" s="232"/>
      <c r="DQ288" s="233"/>
      <c r="DR288" s="233"/>
      <c r="DS288" s="232"/>
      <c r="DT288" s="232"/>
      <c r="DU288" s="232"/>
      <c r="DV288" s="232"/>
      <c r="DW288" s="232"/>
      <c r="DX288" s="232"/>
      <c r="DY288" s="232"/>
      <c r="DZ288" s="232"/>
      <c r="EA288" s="232"/>
      <c r="EB288" s="232"/>
      <c r="EC288" s="232"/>
      <c r="ED288" s="232"/>
      <c r="EE288" s="232"/>
      <c r="EF288" s="232"/>
      <c r="EG288" s="232"/>
      <c r="EH288" s="232"/>
      <c r="EI288" s="232"/>
      <c r="EJ288" s="232"/>
      <c r="EK288" s="231"/>
      <c r="EL288" s="231"/>
      <c r="EM288" s="232"/>
      <c r="EN288" s="232"/>
      <c r="EO288" s="232"/>
      <c r="EP288" s="232"/>
      <c r="EQ288" s="232"/>
      <c r="ER288" s="232"/>
      <c r="ES288" s="232"/>
      <c r="ET288" s="232"/>
      <c r="EU288" s="232"/>
      <c r="EV288" s="232"/>
      <c r="EW288" s="232"/>
      <c r="EX288" s="232"/>
      <c r="EY288" s="232"/>
      <c r="EZ288" s="232"/>
      <c r="FA288" s="232"/>
      <c r="FB288" s="232"/>
      <c r="FC288" s="232"/>
      <c r="FD288" s="232"/>
      <c r="FE288" s="232"/>
      <c r="FF288" s="232"/>
      <c r="FG288" s="232"/>
      <c r="FH288" s="232"/>
      <c r="FI288" s="232"/>
      <c r="FJ288" s="232"/>
      <c r="FK288" s="232"/>
      <c r="FL288" s="232"/>
      <c r="FM288" s="232"/>
      <c r="FN288" s="232"/>
      <c r="FO288" s="232"/>
      <c r="FP288" s="232"/>
      <c r="FQ288" s="232"/>
      <c r="FR288" s="232"/>
      <c r="FS288" s="232"/>
      <c r="FT288" s="232"/>
      <c r="FU288" s="232"/>
      <c r="FV288" s="232"/>
      <c r="FW288" s="232"/>
      <c r="FX288" s="232"/>
      <c r="FY288" s="232"/>
      <c r="FZ288" s="232"/>
      <c r="GA288" s="232"/>
      <c r="GB288" s="232"/>
      <c r="GC288" s="232"/>
      <c r="GD288" s="232"/>
      <c r="GE288" s="232"/>
      <c r="GF288" s="232"/>
      <c r="GG288" s="232"/>
      <c r="GH288" s="232"/>
      <c r="GI288" s="232"/>
      <c r="GJ288" s="232"/>
      <c r="GK288" s="232"/>
      <c r="GL288" s="232"/>
      <c r="GM288" s="232"/>
      <c r="GN288" s="294"/>
      <c r="GO288" s="294"/>
      <c r="GP288" s="292" t="s">
        <v>7494</v>
      </c>
      <c r="GQ288" s="232"/>
      <c r="GR288" s="232"/>
      <c r="GS288" s="232"/>
      <c r="GT288" s="232"/>
      <c r="GU288" s="232"/>
      <c r="GV288" s="232"/>
      <c r="GW288" s="232"/>
      <c r="GX288" s="232"/>
      <c r="GY288" s="232"/>
      <c r="GZ288" s="232"/>
      <c r="HA288" s="232"/>
      <c r="HB288" s="232"/>
      <c r="HC288" s="232"/>
      <c r="HD288" s="232"/>
      <c r="HE288" s="232"/>
      <c r="HF288" s="232"/>
      <c r="HG288" s="232"/>
      <c r="HH288" s="232"/>
      <c r="HI288" s="232"/>
      <c r="HJ288" s="232"/>
      <c r="HK288" s="232"/>
      <c r="HL288" s="232"/>
      <c r="HM288" s="232"/>
      <c r="HN288" s="232">
        <v>77.319999999999993</v>
      </c>
      <c r="HO288" s="232">
        <v>89.26</v>
      </c>
      <c r="HP288" s="232"/>
      <c r="HQ288" s="232"/>
      <c r="HR288" s="232" t="s">
        <v>1662</v>
      </c>
      <c r="HS288" s="232"/>
      <c r="HT288" s="232"/>
      <c r="HU288" s="232"/>
      <c r="HV288" s="232"/>
      <c r="HW288" s="232"/>
      <c r="HX288" s="232"/>
      <c r="HY288" s="232"/>
      <c r="HZ288" s="232"/>
      <c r="IA288" s="232"/>
      <c r="IB288" s="232"/>
      <c r="IC288" s="232"/>
      <c r="ID288" s="232"/>
      <c r="IE288" s="232"/>
      <c r="IF288" s="232"/>
      <c r="IG288" s="232"/>
      <c r="IH288" s="232"/>
      <c r="II288" s="232"/>
      <c r="IJ288" s="232"/>
      <c r="IK288" s="232"/>
      <c r="IL288" s="232"/>
      <c r="IM288" s="232"/>
      <c r="IN288" s="232"/>
      <c r="IO288" s="232"/>
      <c r="IP288" s="232"/>
      <c r="IQ288" s="232"/>
      <c r="IR288" s="232">
        <v>11.14</v>
      </c>
      <c r="IS288" s="232">
        <v>14.56</v>
      </c>
      <c r="IT288" s="232"/>
      <c r="IU288" s="232"/>
      <c r="IV288" s="232"/>
      <c r="IW288" s="232"/>
      <c r="IX288" s="232"/>
      <c r="IY288" s="232"/>
      <c r="IZ288" s="232"/>
      <c r="JA288" s="232"/>
      <c r="JB288" s="232"/>
      <c r="JC288" s="232"/>
      <c r="JD288" s="232"/>
      <c r="JE288" s="232"/>
      <c r="JF288" s="232"/>
      <c r="JG288" s="232"/>
      <c r="JH288" s="232"/>
      <c r="JI288" s="232"/>
      <c r="JJ288" s="232"/>
      <c r="JK288" s="232"/>
      <c r="JL288" s="232"/>
      <c r="JM288" s="232"/>
      <c r="JN288" s="232"/>
      <c r="JO288" s="232"/>
      <c r="JP288" s="232"/>
      <c r="JQ288" s="232"/>
      <c r="JR288" s="232"/>
      <c r="JS288" s="232"/>
      <c r="JT288" s="232"/>
      <c r="JU288" s="181" t="s">
        <v>310</v>
      </c>
      <c r="JV288" s="181"/>
      <c r="JW288" s="181"/>
    </row>
    <row r="289" spans="1:281" x14ac:dyDescent="0.25">
      <c r="A289" s="55">
        <v>288</v>
      </c>
      <c r="B289" s="12" t="s">
        <v>7067</v>
      </c>
      <c r="C289" s="155">
        <v>18</v>
      </c>
      <c r="D289" s="55" t="s">
        <v>3749</v>
      </c>
      <c r="E289" s="90" t="s">
        <v>296</v>
      </c>
      <c r="G289" s="55" t="s">
        <v>297</v>
      </c>
      <c r="H289" s="55">
        <v>2017</v>
      </c>
      <c r="I289" s="55">
        <v>2012</v>
      </c>
      <c r="J289" s="211" t="s">
        <v>309</v>
      </c>
      <c r="K289" s="55" t="s">
        <v>298</v>
      </c>
      <c r="L289" s="55" t="s">
        <v>2737</v>
      </c>
      <c r="M289" s="90">
        <v>40.716666666666669</v>
      </c>
      <c r="N289" s="90">
        <v>-77.916666666666671</v>
      </c>
      <c r="O289" s="90">
        <v>350</v>
      </c>
      <c r="S289" s="90">
        <v>975</v>
      </c>
      <c r="U289" s="55">
        <v>2</v>
      </c>
      <c r="V289" s="55" t="s">
        <v>1688</v>
      </c>
      <c r="Y289" s="55" t="s">
        <v>1824</v>
      </c>
      <c r="Z289" s="55" t="s">
        <v>1356</v>
      </c>
      <c r="AA289" s="90" t="s">
        <v>1680</v>
      </c>
      <c r="AH289" s="55" t="s">
        <v>6378</v>
      </c>
      <c r="AM289" s="55" t="s">
        <v>1286</v>
      </c>
      <c r="AN289" s="185" t="s">
        <v>301</v>
      </c>
      <c r="AO289" s="185" t="s">
        <v>5150</v>
      </c>
      <c r="AQ289" s="55" t="s">
        <v>610</v>
      </c>
      <c r="AR289" s="55" t="s">
        <v>132</v>
      </c>
      <c r="AS289" s="55" t="s">
        <v>1584</v>
      </c>
      <c r="AT289" s="181" t="s">
        <v>299</v>
      </c>
      <c r="AU289" s="181" t="s">
        <v>5150</v>
      </c>
      <c r="AV289" s="185" t="s">
        <v>176</v>
      </c>
      <c r="AW289" s="55" t="s">
        <v>299</v>
      </c>
      <c r="AX289" s="185" t="s">
        <v>176</v>
      </c>
      <c r="AY289" s="55" t="s">
        <v>176</v>
      </c>
      <c r="BE289" s="226" t="s">
        <v>300</v>
      </c>
      <c r="BF289" s="55" t="s">
        <v>479</v>
      </c>
      <c r="BG289" s="55" t="s">
        <v>479</v>
      </c>
      <c r="BH289" s="226" t="s">
        <v>300</v>
      </c>
      <c r="BI289" s="55" t="s">
        <v>479</v>
      </c>
      <c r="BJ289" s="55" t="s">
        <v>176</v>
      </c>
      <c r="BK289" s="55" t="s">
        <v>5976</v>
      </c>
      <c r="BM289" s="192" t="s">
        <v>160</v>
      </c>
      <c r="BN289" s="55">
        <v>4</v>
      </c>
      <c r="BO289" s="55">
        <v>4</v>
      </c>
      <c r="BQ289" s="55" t="s">
        <v>141</v>
      </c>
      <c r="BS289" s="55">
        <v>7143</v>
      </c>
      <c r="BT289" s="55">
        <v>15</v>
      </c>
      <c r="GP289" s="292" t="s">
        <v>7494</v>
      </c>
      <c r="HN289" s="65">
        <v>77.319999999999993</v>
      </c>
      <c r="HO289" s="65">
        <v>94.47</v>
      </c>
      <c r="HR289" s="65" t="s">
        <v>1662</v>
      </c>
      <c r="IR289" s="65">
        <v>11.14</v>
      </c>
      <c r="IS289" s="65">
        <v>15.92</v>
      </c>
      <c r="JU289" s="55" t="s">
        <v>310</v>
      </c>
    </row>
    <row r="290" spans="1:281" x14ac:dyDescent="0.25">
      <c r="A290" s="55">
        <v>289</v>
      </c>
      <c r="B290" s="12" t="s">
        <v>7067</v>
      </c>
      <c r="C290" s="155">
        <v>19</v>
      </c>
      <c r="D290" s="55" t="s">
        <v>3750</v>
      </c>
      <c r="E290" s="90" t="s">
        <v>312</v>
      </c>
      <c r="G290" s="55" t="s">
        <v>313</v>
      </c>
      <c r="H290" s="55">
        <v>1986</v>
      </c>
      <c r="I290" s="55">
        <v>1981</v>
      </c>
      <c r="J290" s="55" t="s">
        <v>282</v>
      </c>
      <c r="K290" s="55" t="s">
        <v>314</v>
      </c>
      <c r="L290" s="55" t="s">
        <v>2737</v>
      </c>
      <c r="M290" s="90">
        <v>33.32</v>
      </c>
      <c r="N290" s="90">
        <v>-84.43</v>
      </c>
      <c r="O290" s="90">
        <v>246.5</v>
      </c>
      <c r="U290" s="55">
        <v>1</v>
      </c>
      <c r="V290" s="55" t="s">
        <v>1688</v>
      </c>
      <c r="Y290" s="55" t="s">
        <v>1825</v>
      </c>
      <c r="Z290" s="55" t="s">
        <v>1347</v>
      </c>
      <c r="AA290" s="90" t="s">
        <v>1676</v>
      </c>
      <c r="AH290" s="55" t="s">
        <v>238</v>
      </c>
      <c r="AM290" s="55" t="s">
        <v>1287</v>
      </c>
      <c r="AN290" s="185" t="s">
        <v>131</v>
      </c>
      <c r="AO290" s="185" t="s">
        <v>5150</v>
      </c>
      <c r="AQ290" s="55" t="s">
        <v>131</v>
      </c>
      <c r="AR290" s="55" t="s">
        <v>218</v>
      </c>
      <c r="AS290" s="55" t="s">
        <v>218</v>
      </c>
      <c r="AU290" s="181" t="s">
        <v>7494</v>
      </c>
      <c r="AV290" s="185" t="s">
        <v>176</v>
      </c>
      <c r="AX290" s="185" t="s">
        <v>176</v>
      </c>
      <c r="AZ290" s="55" t="s">
        <v>216</v>
      </c>
      <c r="BA290" s="55" t="s">
        <v>216</v>
      </c>
      <c r="BB290" s="55" t="s">
        <v>2082</v>
      </c>
      <c r="BC290" s="55" t="s">
        <v>2082</v>
      </c>
      <c r="BD290" s="55" t="s">
        <v>176</v>
      </c>
      <c r="BE290" s="226" t="s">
        <v>318</v>
      </c>
      <c r="BG290" s="55" t="s">
        <v>176</v>
      </c>
      <c r="BH290" s="226" t="s">
        <v>318</v>
      </c>
      <c r="BI290" s="55" t="s">
        <v>176</v>
      </c>
      <c r="BK290" s="55" t="s">
        <v>6269</v>
      </c>
      <c r="BM290" s="192" t="s">
        <v>119</v>
      </c>
      <c r="BN290" s="55">
        <v>4</v>
      </c>
      <c r="BO290" s="55">
        <v>4</v>
      </c>
      <c r="BQ290" s="55" t="s">
        <v>315</v>
      </c>
      <c r="BS290" s="55">
        <f>3.33*1000</f>
        <v>3330</v>
      </c>
      <c r="BT290" s="55">
        <f>3.33/1.09*10</f>
        <v>30.550458715596328</v>
      </c>
      <c r="BV290" s="55" t="s">
        <v>320</v>
      </c>
      <c r="CB290" s="66">
        <f>3.43*1000</f>
        <v>3430</v>
      </c>
      <c r="CC290" s="66">
        <f>2.83*1000</f>
        <v>2830</v>
      </c>
      <c r="CG290" s="65" t="s">
        <v>316</v>
      </c>
      <c r="CM290" s="65">
        <f>7.9/1000*100</f>
        <v>0.79</v>
      </c>
      <c r="CN290" s="65">
        <v>0.87</v>
      </c>
      <c r="CQ290" s="65" t="s">
        <v>163</v>
      </c>
      <c r="CV290" s="65" t="s">
        <v>3039</v>
      </c>
      <c r="DA290" s="65" t="s">
        <v>4454</v>
      </c>
      <c r="DB290" s="65">
        <f>0.58*1000</f>
        <v>580</v>
      </c>
      <c r="DC290" s="65">
        <v>650</v>
      </c>
      <c r="DF290" s="65" t="s">
        <v>1639</v>
      </c>
      <c r="DG290" s="65">
        <v>55</v>
      </c>
      <c r="DH290" s="65">
        <v>57</v>
      </c>
      <c r="DL290" s="65">
        <v>105</v>
      </c>
      <c r="DM290" s="65">
        <v>97</v>
      </c>
      <c r="DQ290" s="165">
        <v>6.7</v>
      </c>
      <c r="DR290" s="165">
        <v>6.7</v>
      </c>
      <c r="GP290" s="292" t="s">
        <v>7494</v>
      </c>
      <c r="HS290" s="227"/>
      <c r="HW290" s="227"/>
      <c r="JU290" s="55" t="s">
        <v>329</v>
      </c>
    </row>
    <row r="291" spans="1:281" x14ac:dyDescent="0.25">
      <c r="A291" s="55">
        <v>290</v>
      </c>
      <c r="B291" s="12" t="s">
        <v>7067</v>
      </c>
      <c r="C291" s="155">
        <v>19</v>
      </c>
      <c r="D291" s="55" t="s">
        <v>3751</v>
      </c>
      <c r="E291" s="90" t="s">
        <v>312</v>
      </c>
      <c r="G291" s="55" t="s">
        <v>313</v>
      </c>
      <c r="H291" s="55">
        <v>1986</v>
      </c>
      <c r="I291" s="55">
        <v>1981</v>
      </c>
      <c r="J291" s="55" t="s">
        <v>282</v>
      </c>
      <c r="K291" s="55" t="s">
        <v>314</v>
      </c>
      <c r="L291" s="55" t="s">
        <v>2737</v>
      </c>
      <c r="M291" s="90">
        <v>33.32</v>
      </c>
      <c r="N291" s="90">
        <v>-84.43</v>
      </c>
      <c r="O291" s="90">
        <v>246.5</v>
      </c>
      <c r="U291" s="55">
        <v>1</v>
      </c>
      <c r="V291" s="55" t="s">
        <v>1688</v>
      </c>
      <c r="Y291" s="55" t="s">
        <v>1825</v>
      </c>
      <c r="Z291" s="55" t="s">
        <v>1347</v>
      </c>
      <c r="AA291" s="90" t="s">
        <v>1676</v>
      </c>
      <c r="AH291" s="55" t="s">
        <v>238</v>
      </c>
      <c r="AM291" s="55" t="s">
        <v>1287</v>
      </c>
      <c r="AN291" s="185" t="s">
        <v>1485</v>
      </c>
      <c r="AO291" s="185" t="s">
        <v>5150</v>
      </c>
      <c r="AQ291" s="55" t="s">
        <v>553</v>
      </c>
      <c r="AR291" s="55" t="s">
        <v>218</v>
      </c>
      <c r="AS291" s="55" t="s">
        <v>218</v>
      </c>
      <c r="AU291" s="181" t="s">
        <v>7494</v>
      </c>
      <c r="AV291" s="185" t="s">
        <v>176</v>
      </c>
      <c r="AX291" s="185" t="s">
        <v>176</v>
      </c>
      <c r="AZ291" s="55" t="s">
        <v>216</v>
      </c>
      <c r="BA291" s="55" t="s">
        <v>216</v>
      </c>
      <c r="BB291" s="55" t="s">
        <v>2082</v>
      </c>
      <c r="BC291" s="55" t="s">
        <v>2082</v>
      </c>
      <c r="BD291" s="55" t="s">
        <v>176</v>
      </c>
      <c r="BE291" s="226" t="s">
        <v>318</v>
      </c>
      <c r="BG291" s="55" t="s">
        <v>176</v>
      </c>
      <c r="BH291" s="226" t="s">
        <v>318</v>
      </c>
      <c r="BI291" s="55" t="s">
        <v>176</v>
      </c>
      <c r="BK291" s="55" t="s">
        <v>6269</v>
      </c>
      <c r="BM291" s="192" t="s">
        <v>119</v>
      </c>
      <c r="BN291" s="55">
        <v>4</v>
      </c>
      <c r="BO291" s="55">
        <v>4</v>
      </c>
      <c r="BQ291" s="55" t="s">
        <v>315</v>
      </c>
      <c r="BS291" s="55">
        <f>3.53*1000</f>
        <v>3530</v>
      </c>
      <c r="BT291" s="55">
        <f>3.53*10/2.92</f>
        <v>12.08904109589041</v>
      </c>
      <c r="BV291" s="55" t="s">
        <v>320</v>
      </c>
      <c r="CB291" s="66">
        <f>3.43*1000</f>
        <v>3430</v>
      </c>
      <c r="CC291" s="66">
        <f>3.68*1000</f>
        <v>3680</v>
      </c>
      <c r="CG291" s="65" t="s">
        <v>316</v>
      </c>
      <c r="CM291" s="65">
        <f>7.9/1000*100</f>
        <v>0.79</v>
      </c>
      <c r="CN291" s="65">
        <v>0.84</v>
      </c>
      <c r="CQ291" s="65" t="s">
        <v>163</v>
      </c>
      <c r="CV291" s="65" t="s">
        <v>3039</v>
      </c>
      <c r="DA291" s="65" t="s">
        <v>4454</v>
      </c>
      <c r="DB291" s="65">
        <f>0.58*1000</f>
        <v>580</v>
      </c>
      <c r="DC291" s="65">
        <v>650</v>
      </c>
      <c r="DF291" s="65" t="s">
        <v>1639</v>
      </c>
      <c r="DG291" s="65">
        <v>55</v>
      </c>
      <c r="DH291" s="65">
        <v>38</v>
      </c>
      <c r="DL291" s="65">
        <v>105</v>
      </c>
      <c r="DM291" s="65">
        <v>96</v>
      </c>
      <c r="DQ291" s="165">
        <v>6.7</v>
      </c>
      <c r="DR291" s="165">
        <v>6.2</v>
      </c>
      <c r="GP291" s="292" t="s">
        <v>7494</v>
      </c>
      <c r="HS291" s="227"/>
      <c r="HW291" s="227"/>
      <c r="JU291" s="55" t="s">
        <v>329</v>
      </c>
    </row>
    <row r="292" spans="1:281" x14ac:dyDescent="0.25">
      <c r="A292" s="55">
        <v>291</v>
      </c>
      <c r="B292" s="12" t="s">
        <v>7067</v>
      </c>
      <c r="C292" s="155">
        <v>19</v>
      </c>
      <c r="D292" s="55" t="s">
        <v>3751</v>
      </c>
      <c r="E292" s="90" t="s">
        <v>312</v>
      </c>
      <c r="G292" s="55" t="s">
        <v>313</v>
      </c>
      <c r="H292" s="55">
        <v>1986</v>
      </c>
      <c r="I292" s="55">
        <v>1981</v>
      </c>
      <c r="J292" s="55" t="s">
        <v>282</v>
      </c>
      <c r="K292" s="55" t="s">
        <v>314</v>
      </c>
      <c r="L292" s="55" t="s">
        <v>2737</v>
      </c>
      <c r="M292" s="90">
        <v>33.32</v>
      </c>
      <c r="N292" s="90">
        <v>-84.43</v>
      </c>
      <c r="O292" s="90">
        <v>246.5</v>
      </c>
      <c r="U292" s="55">
        <v>1</v>
      </c>
      <c r="V292" s="55" t="s">
        <v>1688</v>
      </c>
      <c r="Y292" s="55" t="s">
        <v>1825</v>
      </c>
      <c r="Z292" s="55" t="s">
        <v>1347</v>
      </c>
      <c r="AA292" s="90" t="s">
        <v>1676</v>
      </c>
      <c r="AH292" s="55" t="s">
        <v>238</v>
      </c>
      <c r="AM292" s="55" t="s">
        <v>1287</v>
      </c>
      <c r="AN292" s="185" t="s">
        <v>1496</v>
      </c>
      <c r="AO292" s="185" t="s">
        <v>5150</v>
      </c>
      <c r="AQ292" s="55" t="s">
        <v>553</v>
      </c>
      <c r="AR292" s="55" t="s">
        <v>218</v>
      </c>
      <c r="AS292" s="55" t="s">
        <v>218</v>
      </c>
      <c r="AU292" s="181" t="s">
        <v>7494</v>
      </c>
      <c r="AV292" s="185" t="s">
        <v>176</v>
      </c>
      <c r="AX292" s="185" t="s">
        <v>176</v>
      </c>
      <c r="AZ292" s="55" t="s">
        <v>216</v>
      </c>
      <c r="BA292" s="55" t="s">
        <v>216</v>
      </c>
      <c r="BB292" s="55" t="s">
        <v>2082</v>
      </c>
      <c r="BC292" s="55" t="s">
        <v>2082</v>
      </c>
      <c r="BD292" s="55" t="s">
        <v>176</v>
      </c>
      <c r="BE292" s="226" t="s">
        <v>318</v>
      </c>
      <c r="BG292" s="55" t="s">
        <v>176</v>
      </c>
      <c r="BH292" s="226" t="s">
        <v>318</v>
      </c>
      <c r="BI292" s="55" t="s">
        <v>176</v>
      </c>
      <c r="BK292" s="55" t="s">
        <v>6269</v>
      </c>
      <c r="BM292" s="192" t="s">
        <v>119</v>
      </c>
      <c r="BN292" s="55">
        <v>4</v>
      </c>
      <c r="BO292" s="55">
        <v>4</v>
      </c>
      <c r="BQ292" s="55" t="s">
        <v>315</v>
      </c>
      <c r="BS292" s="55">
        <f>2.96*1000</f>
        <v>2960</v>
      </c>
      <c r="BT292" s="55">
        <f>2.96/2.77*10</f>
        <v>10.685920577617329</v>
      </c>
      <c r="BV292" s="55" t="s">
        <v>320</v>
      </c>
      <c r="CB292" s="66">
        <f>3.43*1000</f>
        <v>3430</v>
      </c>
      <c r="CC292" s="66">
        <f>3.47*1000</f>
        <v>3470</v>
      </c>
      <c r="CG292" s="65" t="s">
        <v>316</v>
      </c>
      <c r="CM292" s="65">
        <f>7.9/1000*100</f>
        <v>0.79</v>
      </c>
      <c r="CN292" s="65">
        <v>1</v>
      </c>
      <c r="CQ292" s="65" t="s">
        <v>163</v>
      </c>
      <c r="CV292" s="65" t="s">
        <v>3039</v>
      </c>
      <c r="DA292" s="65" t="s">
        <v>4454</v>
      </c>
      <c r="DB292" s="65">
        <f>0.58*1000</f>
        <v>580</v>
      </c>
      <c r="DC292" s="65">
        <v>810</v>
      </c>
      <c r="DF292" s="65" t="s">
        <v>1639</v>
      </c>
      <c r="DG292" s="65">
        <v>55</v>
      </c>
      <c r="DH292" s="65">
        <v>38</v>
      </c>
      <c r="DL292" s="65">
        <v>105</v>
      </c>
      <c r="DM292" s="65">
        <v>130</v>
      </c>
      <c r="DQ292" s="165">
        <v>6.7</v>
      </c>
      <c r="DR292" s="165">
        <v>6.3</v>
      </c>
      <c r="GP292" s="292" t="s">
        <v>7494</v>
      </c>
      <c r="HS292" s="227"/>
      <c r="HW292" s="227"/>
      <c r="JU292" s="55" t="s">
        <v>329</v>
      </c>
    </row>
    <row r="293" spans="1:281" x14ac:dyDescent="0.25">
      <c r="A293" s="55">
        <v>292</v>
      </c>
      <c r="B293" s="12" t="s">
        <v>7067</v>
      </c>
      <c r="C293" s="155">
        <v>19</v>
      </c>
      <c r="D293" s="55" t="s">
        <v>3751</v>
      </c>
      <c r="E293" s="90" t="s">
        <v>312</v>
      </c>
      <c r="G293" s="55" t="s">
        <v>313</v>
      </c>
      <c r="H293" s="55">
        <v>1986</v>
      </c>
      <c r="I293" s="55">
        <v>1981</v>
      </c>
      <c r="J293" s="55" t="s">
        <v>282</v>
      </c>
      <c r="K293" s="55" t="s">
        <v>314</v>
      </c>
      <c r="L293" s="55" t="s">
        <v>2737</v>
      </c>
      <c r="M293" s="90">
        <v>33.32</v>
      </c>
      <c r="N293" s="90">
        <v>-84.43</v>
      </c>
      <c r="O293" s="90">
        <v>246.5</v>
      </c>
      <c r="U293" s="55">
        <v>1</v>
      </c>
      <c r="V293" s="55" t="s">
        <v>1688</v>
      </c>
      <c r="Y293" s="55" t="s">
        <v>1825</v>
      </c>
      <c r="Z293" s="55" t="s">
        <v>1347</v>
      </c>
      <c r="AA293" s="90" t="s">
        <v>1676</v>
      </c>
      <c r="AH293" s="55" t="s">
        <v>238</v>
      </c>
      <c r="AM293" s="55" t="s">
        <v>1287</v>
      </c>
      <c r="AN293" s="185" t="s">
        <v>241</v>
      </c>
      <c r="AO293" s="185" t="s">
        <v>5150</v>
      </c>
      <c r="AQ293" s="55" t="s">
        <v>553</v>
      </c>
      <c r="AR293" s="55" t="s">
        <v>218</v>
      </c>
      <c r="AS293" s="55" t="s">
        <v>218</v>
      </c>
      <c r="AU293" s="181" t="s">
        <v>7494</v>
      </c>
      <c r="AV293" s="185" t="s">
        <v>176</v>
      </c>
      <c r="AX293" s="185" t="s">
        <v>176</v>
      </c>
      <c r="AZ293" s="55" t="s">
        <v>216</v>
      </c>
      <c r="BA293" s="55" t="s">
        <v>216</v>
      </c>
      <c r="BB293" s="55" t="s">
        <v>2082</v>
      </c>
      <c r="BC293" s="55" t="s">
        <v>2082</v>
      </c>
      <c r="BD293" s="55" t="s">
        <v>176</v>
      </c>
      <c r="BE293" s="226" t="s">
        <v>318</v>
      </c>
      <c r="BG293" s="55" t="s">
        <v>176</v>
      </c>
      <c r="BH293" s="226" t="s">
        <v>318</v>
      </c>
      <c r="BI293" s="55" t="s">
        <v>176</v>
      </c>
      <c r="BK293" s="55" t="s">
        <v>6269</v>
      </c>
      <c r="BM293" s="192" t="s">
        <v>119</v>
      </c>
      <c r="BN293" s="55">
        <v>4</v>
      </c>
      <c r="BO293" s="55">
        <v>4</v>
      </c>
      <c r="BQ293" s="55" t="s">
        <v>315</v>
      </c>
      <c r="BS293" s="55">
        <f>4.06*1000</f>
        <v>4059.9999999999995</v>
      </c>
      <c r="BT293" s="55">
        <f>4.06/3.01*10</f>
        <v>13.488372093023255</v>
      </c>
      <c r="BV293" s="55" t="s">
        <v>320</v>
      </c>
      <c r="CB293" s="66">
        <f>3.43*1000</f>
        <v>3430</v>
      </c>
      <c r="CC293" s="66">
        <f>4.17*1000</f>
        <v>4170</v>
      </c>
      <c r="CG293" s="65" t="s">
        <v>316</v>
      </c>
      <c r="CM293" s="65">
        <f>7.9/1000*100</f>
        <v>0.79</v>
      </c>
      <c r="CN293" s="65">
        <v>0.97</v>
      </c>
      <c r="CQ293" s="65" t="s">
        <v>163</v>
      </c>
      <c r="CV293" s="65" t="s">
        <v>3039</v>
      </c>
      <c r="DA293" s="65" t="s">
        <v>4454</v>
      </c>
      <c r="DB293" s="65">
        <f>0.58*1000</f>
        <v>580</v>
      </c>
      <c r="DC293" s="65">
        <v>800</v>
      </c>
      <c r="DF293" s="65" t="s">
        <v>1639</v>
      </c>
      <c r="DG293" s="65">
        <v>55</v>
      </c>
      <c r="DH293" s="65">
        <v>33</v>
      </c>
      <c r="DL293" s="65">
        <v>105</v>
      </c>
      <c r="DM293" s="65">
        <v>127</v>
      </c>
      <c r="DQ293" s="165">
        <v>6.7</v>
      </c>
      <c r="DR293" s="165">
        <v>6.3</v>
      </c>
      <c r="GP293" s="292" t="s">
        <v>7494</v>
      </c>
      <c r="HS293" s="227"/>
      <c r="HW293" s="227"/>
      <c r="JU293" s="55" t="s">
        <v>329</v>
      </c>
    </row>
    <row r="294" spans="1:281" x14ac:dyDescent="0.25">
      <c r="A294" s="55">
        <v>293</v>
      </c>
      <c r="B294" s="12" t="s">
        <v>7067</v>
      </c>
      <c r="C294" s="155">
        <v>19</v>
      </c>
      <c r="D294" s="55" t="s">
        <v>3751</v>
      </c>
      <c r="E294" s="90" t="s">
        <v>312</v>
      </c>
      <c r="G294" s="55" t="s">
        <v>313</v>
      </c>
      <c r="H294" s="55">
        <v>1986</v>
      </c>
      <c r="I294" s="55">
        <v>1981</v>
      </c>
      <c r="J294" s="55" t="s">
        <v>282</v>
      </c>
      <c r="K294" s="55" t="s">
        <v>314</v>
      </c>
      <c r="L294" s="55" t="s">
        <v>2737</v>
      </c>
      <c r="M294" s="90">
        <v>33.32</v>
      </c>
      <c r="N294" s="90">
        <v>-84.43</v>
      </c>
      <c r="O294" s="90">
        <v>246.5</v>
      </c>
      <c r="U294" s="55">
        <v>1</v>
      </c>
      <c r="V294" s="55" t="s">
        <v>1688</v>
      </c>
      <c r="Y294" s="55" t="s">
        <v>1825</v>
      </c>
      <c r="Z294" s="55" t="s">
        <v>1347</v>
      </c>
      <c r="AA294" s="90" t="s">
        <v>1676</v>
      </c>
      <c r="AH294" s="55" t="s">
        <v>238</v>
      </c>
      <c r="AM294" s="55" t="s">
        <v>1287</v>
      </c>
      <c r="AN294" s="185" t="s">
        <v>1497</v>
      </c>
      <c r="AO294" s="185" t="s">
        <v>5150</v>
      </c>
      <c r="AQ294" s="55" t="s">
        <v>553</v>
      </c>
      <c r="AR294" s="55" t="s">
        <v>218</v>
      </c>
      <c r="AS294" s="55" t="s">
        <v>218</v>
      </c>
      <c r="AU294" s="181" t="s">
        <v>7494</v>
      </c>
      <c r="AV294" s="185" t="s">
        <v>176</v>
      </c>
      <c r="AX294" s="185" t="s">
        <v>176</v>
      </c>
      <c r="AZ294" s="55" t="s">
        <v>216</v>
      </c>
      <c r="BA294" s="55" t="s">
        <v>216</v>
      </c>
      <c r="BB294" s="55" t="s">
        <v>2082</v>
      </c>
      <c r="BC294" s="55" t="s">
        <v>2082</v>
      </c>
      <c r="BD294" s="55" t="s">
        <v>176</v>
      </c>
      <c r="BE294" s="226" t="s">
        <v>318</v>
      </c>
      <c r="BG294" s="55" t="s">
        <v>176</v>
      </c>
      <c r="BH294" s="226" t="s">
        <v>318</v>
      </c>
      <c r="BI294" s="55" t="s">
        <v>176</v>
      </c>
      <c r="BK294" s="55" t="s">
        <v>6269</v>
      </c>
      <c r="BM294" s="192" t="s">
        <v>119</v>
      </c>
      <c r="BN294" s="55">
        <v>4</v>
      </c>
      <c r="BO294" s="55">
        <v>4</v>
      </c>
      <c r="BQ294" s="55" t="s">
        <v>315</v>
      </c>
      <c r="BS294" s="55">
        <f>3.96*1000</f>
        <v>3960</v>
      </c>
      <c r="BT294" s="55">
        <f>3.96/2.96*10</f>
        <v>13.378378378378379</v>
      </c>
      <c r="BV294" s="55" t="s">
        <v>320</v>
      </c>
      <c r="CB294" s="66">
        <f>3.43*1000</f>
        <v>3430</v>
      </c>
      <c r="CC294" s="66">
        <f>3.81*1000</f>
        <v>3810</v>
      </c>
      <c r="CG294" s="65" t="s">
        <v>316</v>
      </c>
      <c r="CM294" s="65">
        <f>7.9/1000*100</f>
        <v>0.79</v>
      </c>
      <c r="CN294" s="65">
        <v>1.02</v>
      </c>
      <c r="CQ294" s="65" t="s">
        <v>163</v>
      </c>
      <c r="CV294" s="65" t="s">
        <v>3039</v>
      </c>
      <c r="DA294" s="65" t="s">
        <v>4454</v>
      </c>
      <c r="DB294" s="65">
        <f>0.58*1000</f>
        <v>580</v>
      </c>
      <c r="DC294" s="65">
        <v>630</v>
      </c>
      <c r="DF294" s="65" t="s">
        <v>1639</v>
      </c>
      <c r="DG294" s="65">
        <v>55</v>
      </c>
      <c r="DH294" s="65">
        <v>43</v>
      </c>
      <c r="DL294" s="65">
        <v>105</v>
      </c>
      <c r="DM294" s="65">
        <v>104</v>
      </c>
      <c r="DQ294" s="165">
        <v>6.7</v>
      </c>
      <c r="DR294" s="165">
        <v>6.3</v>
      </c>
      <c r="GP294" s="292" t="s">
        <v>7494</v>
      </c>
      <c r="HS294" s="227"/>
      <c r="HW294" s="227"/>
      <c r="JU294" s="55" t="s">
        <v>329</v>
      </c>
    </row>
    <row r="295" spans="1:281" x14ac:dyDescent="0.25">
      <c r="A295" s="55">
        <v>294</v>
      </c>
      <c r="B295" s="12" t="s">
        <v>7067</v>
      </c>
      <c r="C295" s="155">
        <v>19</v>
      </c>
      <c r="D295" s="55" t="s">
        <v>3752</v>
      </c>
      <c r="E295" s="90" t="s">
        <v>312</v>
      </c>
      <c r="G295" s="55" t="s">
        <v>313</v>
      </c>
      <c r="H295" s="55">
        <v>1986</v>
      </c>
      <c r="I295" s="55">
        <v>1982</v>
      </c>
      <c r="J295" s="55" t="s">
        <v>282</v>
      </c>
      <c r="K295" s="55" t="s">
        <v>314</v>
      </c>
      <c r="L295" s="55" t="s">
        <v>2737</v>
      </c>
      <c r="M295" s="90">
        <v>33.32</v>
      </c>
      <c r="N295" s="90">
        <v>-84.43</v>
      </c>
      <c r="O295" s="90">
        <v>246.5</v>
      </c>
      <c r="U295" s="55">
        <v>2</v>
      </c>
      <c r="V295" s="55" t="s">
        <v>1688</v>
      </c>
      <c r="Y295" s="55" t="s">
        <v>1825</v>
      </c>
      <c r="Z295" s="55" t="s">
        <v>1348</v>
      </c>
      <c r="AA295" s="90" t="s">
        <v>1676</v>
      </c>
      <c r="AH295" s="55" t="s">
        <v>238</v>
      </c>
      <c r="AM295" s="55" t="s">
        <v>1287</v>
      </c>
      <c r="AN295" s="185" t="s">
        <v>131</v>
      </c>
      <c r="AO295" s="185" t="s">
        <v>5150</v>
      </c>
      <c r="AQ295" s="55" t="s">
        <v>131</v>
      </c>
      <c r="AR295" s="55" t="s">
        <v>218</v>
      </c>
      <c r="AS295" s="55" t="s">
        <v>218</v>
      </c>
      <c r="AU295" s="181" t="s">
        <v>7494</v>
      </c>
      <c r="AV295" s="185" t="s">
        <v>176</v>
      </c>
      <c r="AX295" s="185" t="s">
        <v>176</v>
      </c>
      <c r="AZ295" s="55" t="s">
        <v>216</v>
      </c>
      <c r="BA295" s="55" t="s">
        <v>216</v>
      </c>
      <c r="BB295" s="55" t="s">
        <v>2082</v>
      </c>
      <c r="BC295" s="55" t="s">
        <v>2082</v>
      </c>
      <c r="BD295" s="55" t="s">
        <v>176</v>
      </c>
      <c r="BE295" s="226" t="s">
        <v>318</v>
      </c>
      <c r="BG295" s="55" t="s">
        <v>176</v>
      </c>
      <c r="BH295" s="226" t="s">
        <v>318</v>
      </c>
      <c r="BI295" s="55" t="s">
        <v>176</v>
      </c>
      <c r="BK295" s="55" t="s">
        <v>6269</v>
      </c>
      <c r="BM295" s="192" t="s">
        <v>119</v>
      </c>
      <c r="BN295" s="55">
        <v>4</v>
      </c>
      <c r="BO295" s="55">
        <v>4</v>
      </c>
      <c r="BQ295" s="55" t="s">
        <v>315</v>
      </c>
      <c r="BS295" s="55">
        <f>3.93*1000</f>
        <v>3930</v>
      </c>
      <c r="BT295" s="55">
        <f>3.93/0.89*10</f>
        <v>44.157303370786522</v>
      </c>
      <c r="BV295" s="55" t="s">
        <v>320</v>
      </c>
      <c r="CB295" s="66">
        <f>2.92*1000</f>
        <v>2920</v>
      </c>
      <c r="CC295" s="66">
        <f>2.81*1000</f>
        <v>2810</v>
      </c>
      <c r="CG295" s="65" t="s">
        <v>316</v>
      </c>
      <c r="CM295" s="65">
        <v>0.48</v>
      </c>
      <c r="CN295" s="65">
        <v>0.54</v>
      </c>
      <c r="CQ295" s="65" t="s">
        <v>163</v>
      </c>
      <c r="CV295" s="65" t="s">
        <v>3039</v>
      </c>
      <c r="DA295" s="65" t="s">
        <v>4454</v>
      </c>
      <c r="DB295" s="65">
        <f>0.37*1000</f>
        <v>370</v>
      </c>
      <c r="DC295" s="65">
        <v>420</v>
      </c>
      <c r="DF295" s="65" t="s">
        <v>1639</v>
      </c>
      <c r="DG295" s="65">
        <v>19</v>
      </c>
      <c r="DH295" s="65">
        <v>23</v>
      </c>
      <c r="DL295" s="65">
        <v>100</v>
      </c>
      <c r="DM295" s="65">
        <v>89</v>
      </c>
      <c r="DQ295" s="165">
        <v>6.5</v>
      </c>
      <c r="DR295" s="165">
        <v>6.6</v>
      </c>
      <c r="GP295" s="292" t="s">
        <v>7494</v>
      </c>
      <c r="HS295" s="227"/>
      <c r="HW295" s="227"/>
      <c r="JU295" s="55" t="s">
        <v>329</v>
      </c>
    </row>
    <row r="296" spans="1:281" x14ac:dyDescent="0.25">
      <c r="A296" s="55">
        <v>295</v>
      </c>
      <c r="B296" s="12" t="s">
        <v>7067</v>
      </c>
      <c r="C296" s="155">
        <v>19</v>
      </c>
      <c r="D296" s="55" t="s">
        <v>3753</v>
      </c>
      <c r="E296" s="90" t="s">
        <v>312</v>
      </c>
      <c r="G296" s="55" t="s">
        <v>313</v>
      </c>
      <c r="H296" s="55">
        <v>1986</v>
      </c>
      <c r="I296" s="55">
        <v>1982</v>
      </c>
      <c r="J296" s="55" t="s">
        <v>282</v>
      </c>
      <c r="K296" s="55" t="s">
        <v>314</v>
      </c>
      <c r="L296" s="55" t="s">
        <v>2737</v>
      </c>
      <c r="M296" s="90">
        <v>33.32</v>
      </c>
      <c r="N296" s="90">
        <v>-84.43</v>
      </c>
      <c r="O296" s="90">
        <v>246.5</v>
      </c>
      <c r="U296" s="55">
        <v>2</v>
      </c>
      <c r="V296" s="55" t="s">
        <v>1688</v>
      </c>
      <c r="Y296" s="55" t="s">
        <v>1825</v>
      </c>
      <c r="Z296" s="55" t="s">
        <v>1348</v>
      </c>
      <c r="AA296" s="90" t="s">
        <v>1676</v>
      </c>
      <c r="AH296" s="55" t="s">
        <v>238</v>
      </c>
      <c r="AM296" s="55" t="s">
        <v>1287</v>
      </c>
      <c r="AN296" s="185" t="s">
        <v>1485</v>
      </c>
      <c r="AO296" s="185" t="s">
        <v>5150</v>
      </c>
      <c r="AQ296" s="55" t="s">
        <v>553</v>
      </c>
      <c r="AR296" s="55" t="s">
        <v>218</v>
      </c>
      <c r="AS296" s="55" t="s">
        <v>218</v>
      </c>
      <c r="AU296" s="181" t="s">
        <v>7494</v>
      </c>
      <c r="AV296" s="185" t="s">
        <v>176</v>
      </c>
      <c r="AX296" s="185" t="s">
        <v>176</v>
      </c>
      <c r="AZ296" s="55" t="s">
        <v>216</v>
      </c>
      <c r="BA296" s="55" t="s">
        <v>216</v>
      </c>
      <c r="BB296" s="55" t="s">
        <v>2082</v>
      </c>
      <c r="BC296" s="55" t="s">
        <v>2082</v>
      </c>
      <c r="BD296" s="55" t="s">
        <v>176</v>
      </c>
      <c r="BE296" s="226" t="s">
        <v>318</v>
      </c>
      <c r="BG296" s="55" t="s">
        <v>176</v>
      </c>
      <c r="BH296" s="226" t="s">
        <v>318</v>
      </c>
      <c r="BI296" s="55" t="s">
        <v>176</v>
      </c>
      <c r="BK296" s="55" t="s">
        <v>6269</v>
      </c>
      <c r="BM296" s="192" t="s">
        <v>119</v>
      </c>
      <c r="BN296" s="55">
        <v>4</v>
      </c>
      <c r="BO296" s="55">
        <v>4</v>
      </c>
      <c r="BQ296" s="55" t="s">
        <v>315</v>
      </c>
      <c r="BV296" s="55" t="s">
        <v>320</v>
      </c>
      <c r="CB296" s="66">
        <f>2.92*1000</f>
        <v>2920</v>
      </c>
      <c r="CC296" s="66">
        <f>4.96*1000</f>
        <v>4960</v>
      </c>
      <c r="CG296" s="65" t="s">
        <v>316</v>
      </c>
      <c r="CM296" s="65">
        <v>0.48</v>
      </c>
      <c r="CN296" s="65">
        <v>0.49</v>
      </c>
      <c r="CQ296" s="65" t="s">
        <v>163</v>
      </c>
      <c r="CV296" s="65" t="s">
        <v>3039</v>
      </c>
      <c r="DA296" s="65" t="s">
        <v>4454</v>
      </c>
      <c r="DB296" s="65">
        <f>0.37*1000</f>
        <v>370</v>
      </c>
      <c r="DC296" s="65">
        <v>410</v>
      </c>
      <c r="DF296" s="65" t="s">
        <v>1639</v>
      </c>
      <c r="DG296" s="65">
        <v>19</v>
      </c>
      <c r="DH296" s="65">
        <v>16</v>
      </c>
      <c r="DL296" s="65">
        <v>100</v>
      </c>
      <c r="DM296" s="65">
        <v>72</v>
      </c>
      <c r="DQ296" s="165">
        <v>6.5</v>
      </c>
      <c r="DR296" s="165">
        <v>6.1</v>
      </c>
      <c r="GP296" s="292" t="s">
        <v>7494</v>
      </c>
      <c r="HS296" s="227"/>
      <c r="HW296" s="227"/>
      <c r="JU296" s="55" t="s">
        <v>329</v>
      </c>
    </row>
    <row r="297" spans="1:281" x14ac:dyDescent="0.25">
      <c r="A297" s="55">
        <v>296</v>
      </c>
      <c r="B297" s="12" t="s">
        <v>7067</v>
      </c>
      <c r="C297" s="155">
        <v>19</v>
      </c>
      <c r="D297" s="55" t="s">
        <v>3753</v>
      </c>
      <c r="E297" s="90" t="s">
        <v>312</v>
      </c>
      <c r="G297" s="55" t="s">
        <v>313</v>
      </c>
      <c r="H297" s="55">
        <v>1986</v>
      </c>
      <c r="I297" s="55">
        <v>1982</v>
      </c>
      <c r="J297" s="55" t="s">
        <v>282</v>
      </c>
      <c r="K297" s="55" t="s">
        <v>314</v>
      </c>
      <c r="L297" s="55" t="s">
        <v>2737</v>
      </c>
      <c r="M297" s="90">
        <v>33.32</v>
      </c>
      <c r="N297" s="90">
        <v>-84.43</v>
      </c>
      <c r="O297" s="90">
        <v>246.5</v>
      </c>
      <c r="U297" s="55">
        <v>2</v>
      </c>
      <c r="V297" s="55" t="s">
        <v>1688</v>
      </c>
      <c r="Y297" s="55" t="s">
        <v>1825</v>
      </c>
      <c r="Z297" s="55" t="s">
        <v>1348</v>
      </c>
      <c r="AA297" s="90" t="s">
        <v>1676</v>
      </c>
      <c r="AH297" s="55" t="s">
        <v>238</v>
      </c>
      <c r="AM297" s="55" t="s">
        <v>1287</v>
      </c>
      <c r="AN297" s="185" t="s">
        <v>1496</v>
      </c>
      <c r="AO297" s="185" t="s">
        <v>5150</v>
      </c>
      <c r="AQ297" s="55" t="s">
        <v>553</v>
      </c>
      <c r="AR297" s="55" t="s">
        <v>218</v>
      </c>
      <c r="AS297" s="55" t="s">
        <v>218</v>
      </c>
      <c r="AU297" s="181" t="s">
        <v>7494</v>
      </c>
      <c r="AV297" s="185" t="s">
        <v>176</v>
      </c>
      <c r="AX297" s="185" t="s">
        <v>176</v>
      </c>
      <c r="AZ297" s="55" t="s">
        <v>216</v>
      </c>
      <c r="BA297" s="55" t="s">
        <v>216</v>
      </c>
      <c r="BB297" s="55" t="s">
        <v>2082</v>
      </c>
      <c r="BC297" s="55" t="s">
        <v>2082</v>
      </c>
      <c r="BD297" s="55" t="s">
        <v>176</v>
      </c>
      <c r="BE297" s="226" t="s">
        <v>318</v>
      </c>
      <c r="BG297" s="55" t="s">
        <v>176</v>
      </c>
      <c r="BH297" s="226" t="s">
        <v>318</v>
      </c>
      <c r="BI297" s="55" t="s">
        <v>176</v>
      </c>
      <c r="BK297" s="55" t="s">
        <v>6269</v>
      </c>
      <c r="BM297" s="192" t="s">
        <v>119</v>
      </c>
      <c r="BN297" s="55">
        <v>4</v>
      </c>
      <c r="BO297" s="55">
        <v>4</v>
      </c>
      <c r="BQ297" s="55" t="s">
        <v>315</v>
      </c>
      <c r="BS297" s="55">
        <f>4.06*1000</f>
        <v>4059.9999999999995</v>
      </c>
      <c r="BT297" s="55">
        <f>4.06/2.77*10</f>
        <v>14.657039711191334</v>
      </c>
      <c r="BV297" s="55" t="s">
        <v>320</v>
      </c>
      <c r="CB297" s="66">
        <f>2.92*1000</f>
        <v>2920</v>
      </c>
      <c r="CC297" s="66">
        <f>5.44*1000</f>
        <v>5440</v>
      </c>
      <c r="CG297" s="65" t="s">
        <v>316</v>
      </c>
      <c r="CM297" s="65">
        <v>0.48</v>
      </c>
      <c r="CN297" s="65">
        <v>0.55000000000000004</v>
      </c>
      <c r="CQ297" s="65" t="s">
        <v>163</v>
      </c>
      <c r="CV297" s="65" t="s">
        <v>3039</v>
      </c>
      <c r="DA297" s="65" t="s">
        <v>4454</v>
      </c>
      <c r="DB297" s="65">
        <f>0.37*1000</f>
        <v>370</v>
      </c>
      <c r="DC297" s="65">
        <v>480</v>
      </c>
      <c r="DF297" s="65" t="s">
        <v>1639</v>
      </c>
      <c r="DG297" s="65">
        <v>19</v>
      </c>
      <c r="DH297" s="65">
        <v>18</v>
      </c>
      <c r="DL297" s="65">
        <v>100</v>
      </c>
      <c r="DM297" s="65">
        <v>90</v>
      </c>
      <c r="DQ297" s="165">
        <v>6.5</v>
      </c>
      <c r="DR297" s="165">
        <v>6.2</v>
      </c>
      <c r="GP297" s="292" t="s">
        <v>7494</v>
      </c>
      <c r="HS297" s="227"/>
      <c r="HW297" s="227"/>
      <c r="JU297" s="55" t="s">
        <v>329</v>
      </c>
    </row>
    <row r="298" spans="1:281" x14ac:dyDescent="0.25">
      <c r="A298" s="55">
        <v>297</v>
      </c>
      <c r="B298" s="12" t="s">
        <v>7067</v>
      </c>
      <c r="C298" s="155">
        <v>19</v>
      </c>
      <c r="D298" s="55" t="s">
        <v>3753</v>
      </c>
      <c r="E298" s="90" t="s">
        <v>312</v>
      </c>
      <c r="G298" s="55" t="s">
        <v>313</v>
      </c>
      <c r="H298" s="55">
        <v>1986</v>
      </c>
      <c r="I298" s="55">
        <v>1982</v>
      </c>
      <c r="J298" s="55" t="s">
        <v>282</v>
      </c>
      <c r="K298" s="55" t="s">
        <v>314</v>
      </c>
      <c r="L298" s="55" t="s">
        <v>2737</v>
      </c>
      <c r="M298" s="90">
        <v>33.32</v>
      </c>
      <c r="N298" s="90">
        <v>-84.43</v>
      </c>
      <c r="O298" s="90">
        <v>246.5</v>
      </c>
      <c r="U298" s="55">
        <v>2</v>
      </c>
      <c r="V298" s="55" t="s">
        <v>1688</v>
      </c>
      <c r="Y298" s="55" t="s">
        <v>1825</v>
      </c>
      <c r="Z298" s="55" t="s">
        <v>1348</v>
      </c>
      <c r="AA298" s="90" t="s">
        <v>1676</v>
      </c>
      <c r="AH298" s="55" t="s">
        <v>238</v>
      </c>
      <c r="AM298" s="55" t="s">
        <v>1287</v>
      </c>
      <c r="AN298" s="185" t="s">
        <v>241</v>
      </c>
      <c r="AO298" s="185" t="s">
        <v>5150</v>
      </c>
      <c r="AQ298" s="55" t="s">
        <v>553</v>
      </c>
      <c r="AR298" s="55" t="s">
        <v>218</v>
      </c>
      <c r="AS298" s="55" t="s">
        <v>218</v>
      </c>
      <c r="AU298" s="181" t="s">
        <v>7494</v>
      </c>
      <c r="AV298" s="185" t="s">
        <v>176</v>
      </c>
      <c r="AX298" s="185" t="s">
        <v>176</v>
      </c>
      <c r="AZ298" s="55" t="s">
        <v>216</v>
      </c>
      <c r="BA298" s="55" t="s">
        <v>216</v>
      </c>
      <c r="BB298" s="55" t="s">
        <v>2082</v>
      </c>
      <c r="BC298" s="55" t="s">
        <v>2082</v>
      </c>
      <c r="BD298" s="55" t="s">
        <v>176</v>
      </c>
      <c r="BE298" s="226" t="s">
        <v>318</v>
      </c>
      <c r="BG298" s="55" t="s">
        <v>176</v>
      </c>
      <c r="BH298" s="226" t="s">
        <v>318</v>
      </c>
      <c r="BI298" s="55" t="s">
        <v>176</v>
      </c>
      <c r="BK298" s="55" t="s">
        <v>6269</v>
      </c>
      <c r="BM298" s="192" t="s">
        <v>119</v>
      </c>
      <c r="BN298" s="55">
        <v>4</v>
      </c>
      <c r="BO298" s="55">
        <v>4</v>
      </c>
      <c r="BQ298" s="55" t="s">
        <v>315</v>
      </c>
      <c r="BS298" s="55">
        <f>4.54*1000</f>
        <v>4540</v>
      </c>
      <c r="BT298" s="55">
        <f>4.54/3.38*10</f>
        <v>13.431952662721894</v>
      </c>
      <c r="BV298" s="55" t="s">
        <v>320</v>
      </c>
      <c r="CB298" s="66">
        <f>2.92*1000</f>
        <v>2920</v>
      </c>
      <c r="CC298" s="66">
        <f>4.73*1000</f>
        <v>4730</v>
      </c>
      <c r="CG298" s="65" t="s">
        <v>316</v>
      </c>
      <c r="CM298" s="65">
        <v>0.48</v>
      </c>
      <c r="CN298" s="65">
        <v>0.55000000000000004</v>
      </c>
      <c r="CQ298" s="65" t="s">
        <v>163</v>
      </c>
      <c r="CV298" s="65" t="s">
        <v>3039</v>
      </c>
      <c r="DA298" s="65" t="s">
        <v>4454</v>
      </c>
      <c r="DB298" s="65">
        <f>0.37*1000</f>
        <v>370</v>
      </c>
      <c r="DC298" s="65">
        <v>510</v>
      </c>
      <c r="DF298" s="65" t="s">
        <v>1639</v>
      </c>
      <c r="DG298" s="65">
        <v>19</v>
      </c>
      <c r="DH298" s="65">
        <v>8</v>
      </c>
      <c r="DL298" s="65">
        <v>100</v>
      </c>
      <c r="DM298" s="65">
        <v>108</v>
      </c>
      <c r="DQ298" s="165">
        <v>6.5</v>
      </c>
      <c r="DR298" s="165">
        <v>6.3</v>
      </c>
      <c r="GP298" s="292" t="s">
        <v>7494</v>
      </c>
      <c r="HS298" s="227"/>
      <c r="HW298" s="227"/>
      <c r="JU298" s="55" t="s">
        <v>329</v>
      </c>
    </row>
    <row r="299" spans="1:281" x14ac:dyDescent="0.25">
      <c r="A299" s="55">
        <v>298</v>
      </c>
      <c r="B299" s="12" t="s">
        <v>7067</v>
      </c>
      <c r="C299" s="155">
        <v>19</v>
      </c>
      <c r="D299" s="55" t="s">
        <v>3753</v>
      </c>
      <c r="E299" s="90" t="s">
        <v>312</v>
      </c>
      <c r="G299" s="55" t="s">
        <v>313</v>
      </c>
      <c r="H299" s="55">
        <v>1986</v>
      </c>
      <c r="I299" s="55">
        <v>1982</v>
      </c>
      <c r="J299" s="55" t="s">
        <v>282</v>
      </c>
      <c r="K299" s="55" t="s">
        <v>314</v>
      </c>
      <c r="L299" s="55" t="s">
        <v>2737</v>
      </c>
      <c r="M299" s="90">
        <v>33.32</v>
      </c>
      <c r="N299" s="90">
        <v>-84.43</v>
      </c>
      <c r="O299" s="90">
        <v>246.5</v>
      </c>
      <c r="U299" s="55">
        <v>2</v>
      </c>
      <c r="V299" s="55" t="s">
        <v>1688</v>
      </c>
      <c r="Y299" s="55" t="s">
        <v>1825</v>
      </c>
      <c r="Z299" s="55" t="s">
        <v>1348</v>
      </c>
      <c r="AA299" s="90" t="s">
        <v>1676</v>
      </c>
      <c r="AH299" s="55" t="s">
        <v>238</v>
      </c>
      <c r="AM299" s="55" t="s">
        <v>1287</v>
      </c>
      <c r="AN299" s="185" t="s">
        <v>1497</v>
      </c>
      <c r="AO299" s="185" t="s">
        <v>5150</v>
      </c>
      <c r="AQ299" s="55" t="s">
        <v>553</v>
      </c>
      <c r="AR299" s="55" t="s">
        <v>218</v>
      </c>
      <c r="AS299" s="55" t="s">
        <v>218</v>
      </c>
      <c r="AU299" s="181" t="s">
        <v>7494</v>
      </c>
      <c r="AV299" s="185" t="s">
        <v>176</v>
      </c>
      <c r="AX299" s="185" t="s">
        <v>176</v>
      </c>
      <c r="AZ299" s="55" t="s">
        <v>216</v>
      </c>
      <c r="BA299" s="55" t="s">
        <v>216</v>
      </c>
      <c r="BB299" s="55" t="s">
        <v>2082</v>
      </c>
      <c r="BC299" s="55" t="s">
        <v>2082</v>
      </c>
      <c r="BD299" s="55" t="s">
        <v>176</v>
      </c>
      <c r="BE299" s="226" t="s">
        <v>318</v>
      </c>
      <c r="BG299" s="55" t="s">
        <v>176</v>
      </c>
      <c r="BH299" s="226" t="s">
        <v>318</v>
      </c>
      <c r="BI299" s="55" t="s">
        <v>176</v>
      </c>
      <c r="BK299" s="55" t="s">
        <v>6269</v>
      </c>
      <c r="BM299" s="192" t="s">
        <v>119</v>
      </c>
      <c r="BN299" s="55">
        <v>4</v>
      </c>
      <c r="BO299" s="55">
        <v>4</v>
      </c>
      <c r="BQ299" s="55" t="s">
        <v>315</v>
      </c>
      <c r="BS299" s="55">
        <f>4.7*1000</f>
        <v>4700</v>
      </c>
      <c r="BT299" s="55">
        <f>4.7/3*10</f>
        <v>15.666666666666666</v>
      </c>
      <c r="BV299" s="55" t="s">
        <v>320</v>
      </c>
      <c r="CB299" s="66">
        <f>2.92*1000</f>
        <v>2920</v>
      </c>
      <c r="CC299" s="66">
        <f>4.34*1000</f>
        <v>4340</v>
      </c>
      <c r="CG299" s="65" t="s">
        <v>316</v>
      </c>
      <c r="CM299" s="65">
        <v>0.48</v>
      </c>
      <c r="CN299" s="65">
        <v>0.51</v>
      </c>
      <c r="CQ299" s="65" t="s">
        <v>163</v>
      </c>
      <c r="CV299" s="65" t="s">
        <v>3039</v>
      </c>
      <c r="DA299" s="65" t="s">
        <v>4454</v>
      </c>
      <c r="DB299" s="65">
        <f>0.37*1000</f>
        <v>370</v>
      </c>
      <c r="DC299" s="65">
        <v>450</v>
      </c>
      <c r="DF299" s="65" t="s">
        <v>1639</v>
      </c>
      <c r="DG299" s="65">
        <v>19</v>
      </c>
      <c r="DH299" s="65">
        <v>17</v>
      </c>
      <c r="DL299" s="65">
        <v>100</v>
      </c>
      <c r="DM299" s="65">
        <v>85</v>
      </c>
      <c r="DQ299" s="165">
        <v>6.5</v>
      </c>
      <c r="DR299" s="165">
        <v>6.3</v>
      </c>
      <c r="GP299" s="292" t="s">
        <v>7494</v>
      </c>
      <c r="HS299" s="227"/>
      <c r="HW299" s="227"/>
      <c r="JU299" s="55" t="s">
        <v>329</v>
      </c>
    </row>
    <row r="300" spans="1:281" x14ac:dyDescent="0.25">
      <c r="A300" s="55">
        <v>299</v>
      </c>
      <c r="B300" s="12" t="s">
        <v>7067</v>
      </c>
      <c r="C300" s="155">
        <v>19</v>
      </c>
      <c r="D300" s="55" t="s">
        <v>3754</v>
      </c>
      <c r="E300" s="90" t="s">
        <v>312</v>
      </c>
      <c r="G300" s="55" t="s">
        <v>313</v>
      </c>
      <c r="H300" s="55">
        <v>1986</v>
      </c>
      <c r="I300" s="55">
        <v>1983</v>
      </c>
      <c r="J300" s="55" t="s">
        <v>282</v>
      </c>
      <c r="K300" s="55" t="s">
        <v>314</v>
      </c>
      <c r="L300" s="55" t="s">
        <v>2737</v>
      </c>
      <c r="M300" s="90">
        <v>33.32</v>
      </c>
      <c r="N300" s="90">
        <v>-84.43</v>
      </c>
      <c r="O300" s="90">
        <v>246.5</v>
      </c>
      <c r="U300" s="55">
        <v>3</v>
      </c>
      <c r="V300" s="55" t="s">
        <v>1688</v>
      </c>
      <c r="Y300" s="55" t="s">
        <v>1825</v>
      </c>
      <c r="Z300" s="55" t="s">
        <v>1357</v>
      </c>
      <c r="AA300" s="90" t="s">
        <v>1677</v>
      </c>
      <c r="AH300" s="55" t="s">
        <v>238</v>
      </c>
      <c r="AM300" s="55" t="s">
        <v>1287</v>
      </c>
      <c r="AN300" s="185" t="s">
        <v>131</v>
      </c>
      <c r="AO300" s="185" t="s">
        <v>5150</v>
      </c>
      <c r="AQ300" s="55" t="s">
        <v>131</v>
      </c>
      <c r="AR300" s="55" t="s">
        <v>218</v>
      </c>
      <c r="AS300" s="55" t="s">
        <v>218</v>
      </c>
      <c r="AU300" s="181" t="s">
        <v>7494</v>
      </c>
      <c r="AV300" s="185" t="s">
        <v>176</v>
      </c>
      <c r="AX300" s="185" t="s">
        <v>176</v>
      </c>
      <c r="AZ300" s="55" t="s">
        <v>216</v>
      </c>
      <c r="BA300" s="55" t="s">
        <v>216</v>
      </c>
      <c r="BB300" s="55" t="s">
        <v>2082</v>
      </c>
      <c r="BC300" s="55" t="s">
        <v>2082</v>
      </c>
      <c r="BD300" s="55" t="s">
        <v>176</v>
      </c>
      <c r="BE300" s="226" t="s">
        <v>318</v>
      </c>
      <c r="BG300" s="55" t="s">
        <v>176</v>
      </c>
      <c r="BH300" s="226" t="s">
        <v>318</v>
      </c>
      <c r="BI300" s="55" t="s">
        <v>176</v>
      </c>
      <c r="BK300" s="55" t="s">
        <v>6269</v>
      </c>
      <c r="BM300" s="192" t="s">
        <v>119</v>
      </c>
      <c r="BN300" s="55">
        <v>4</v>
      </c>
      <c r="BO300" s="55">
        <v>4</v>
      </c>
      <c r="BQ300" s="55" t="s">
        <v>315</v>
      </c>
      <c r="BS300" s="55">
        <f>4.83*1000</f>
        <v>4830</v>
      </c>
      <c r="BT300" s="55">
        <f>4.83/0.97*10</f>
        <v>49.793814432989691</v>
      </c>
      <c r="BV300" s="55" t="s">
        <v>320</v>
      </c>
      <c r="CB300" s="66">
        <f>2.33*1000</f>
        <v>2330</v>
      </c>
      <c r="CC300" s="66">
        <f>2.03*1000</f>
        <v>2029.9999999999998</v>
      </c>
      <c r="CG300" s="65" t="s">
        <v>316</v>
      </c>
      <c r="CM300" s="65">
        <v>0.37</v>
      </c>
      <c r="CN300" s="65">
        <v>0.39</v>
      </c>
      <c r="CQ300" s="65" t="s">
        <v>163</v>
      </c>
      <c r="CV300" s="65" t="s">
        <v>3039</v>
      </c>
      <c r="DA300" s="65" t="s">
        <v>4454</v>
      </c>
      <c r="DB300" s="65">
        <f>0.34*1000</f>
        <v>340</v>
      </c>
      <c r="DC300" s="65">
        <v>340</v>
      </c>
      <c r="DF300" s="65" t="s">
        <v>1639</v>
      </c>
      <c r="DG300" s="65">
        <v>3.4</v>
      </c>
      <c r="DH300" s="65">
        <v>4.5999999999999996</v>
      </c>
      <c r="DL300" s="65">
        <v>109</v>
      </c>
      <c r="DM300" s="65">
        <v>96</v>
      </c>
      <c r="DQ300" s="165">
        <v>6.2</v>
      </c>
      <c r="DR300" s="165">
        <v>6.2</v>
      </c>
      <c r="GP300" s="292" t="s">
        <v>7494</v>
      </c>
      <c r="HS300" s="227"/>
      <c r="HW300" s="227"/>
      <c r="JU300" s="55" t="s">
        <v>329</v>
      </c>
    </row>
    <row r="301" spans="1:281" x14ac:dyDescent="0.25">
      <c r="A301" s="55">
        <v>300</v>
      </c>
      <c r="B301" s="12" t="s">
        <v>7067</v>
      </c>
      <c r="C301" s="155">
        <v>19</v>
      </c>
      <c r="D301" s="55" t="s">
        <v>3755</v>
      </c>
      <c r="E301" s="90" t="s">
        <v>312</v>
      </c>
      <c r="G301" s="55" t="s">
        <v>313</v>
      </c>
      <c r="H301" s="55">
        <v>1986</v>
      </c>
      <c r="I301" s="55">
        <v>1983</v>
      </c>
      <c r="J301" s="55" t="s">
        <v>282</v>
      </c>
      <c r="K301" s="55" t="s">
        <v>314</v>
      </c>
      <c r="L301" s="55" t="s">
        <v>2737</v>
      </c>
      <c r="M301" s="90">
        <v>33.32</v>
      </c>
      <c r="N301" s="90">
        <v>-84.43</v>
      </c>
      <c r="O301" s="90">
        <v>246.5</v>
      </c>
      <c r="U301" s="55">
        <v>3</v>
      </c>
      <c r="V301" s="55" t="s">
        <v>1688</v>
      </c>
      <c r="Y301" s="55" t="s">
        <v>1825</v>
      </c>
      <c r="Z301" s="55" t="s">
        <v>1357</v>
      </c>
      <c r="AA301" s="90" t="s">
        <v>1677</v>
      </c>
      <c r="AH301" s="55" t="s">
        <v>238</v>
      </c>
      <c r="AM301" s="55" t="s">
        <v>1287</v>
      </c>
      <c r="AN301" s="185" t="s">
        <v>1485</v>
      </c>
      <c r="AO301" s="185" t="s">
        <v>5150</v>
      </c>
      <c r="AQ301" s="55" t="s">
        <v>553</v>
      </c>
      <c r="AR301" s="55" t="s">
        <v>218</v>
      </c>
      <c r="AS301" s="55" t="s">
        <v>218</v>
      </c>
      <c r="AU301" s="181" t="s">
        <v>7494</v>
      </c>
      <c r="AV301" s="185" t="s">
        <v>176</v>
      </c>
      <c r="AX301" s="185" t="s">
        <v>176</v>
      </c>
      <c r="AZ301" s="55" t="s">
        <v>216</v>
      </c>
      <c r="BA301" s="55" t="s">
        <v>216</v>
      </c>
      <c r="BB301" s="55" t="s">
        <v>2082</v>
      </c>
      <c r="BC301" s="55" t="s">
        <v>2082</v>
      </c>
      <c r="BD301" s="55" t="s">
        <v>176</v>
      </c>
      <c r="BE301" s="226" t="s">
        <v>318</v>
      </c>
      <c r="BG301" s="55" t="s">
        <v>176</v>
      </c>
      <c r="BH301" s="226" t="s">
        <v>318</v>
      </c>
      <c r="BI301" s="55" t="s">
        <v>176</v>
      </c>
      <c r="BK301" s="55" t="s">
        <v>6269</v>
      </c>
      <c r="BM301" s="192" t="s">
        <v>119</v>
      </c>
      <c r="BN301" s="55">
        <v>4</v>
      </c>
      <c r="BO301" s="55">
        <v>4</v>
      </c>
      <c r="BQ301" s="55" t="s">
        <v>315</v>
      </c>
      <c r="BV301" s="55" t="s">
        <v>320</v>
      </c>
      <c r="CB301" s="66">
        <f>2.33*1000</f>
        <v>2330</v>
      </c>
      <c r="CC301" s="66">
        <f>3.18*1000</f>
        <v>3180</v>
      </c>
      <c r="CG301" s="65" t="s">
        <v>316</v>
      </c>
      <c r="CM301" s="65">
        <v>0.37</v>
      </c>
      <c r="CN301" s="65">
        <v>0.36</v>
      </c>
      <c r="CQ301" s="65" t="s">
        <v>163</v>
      </c>
      <c r="CV301" s="65" t="s">
        <v>3039</v>
      </c>
      <c r="DA301" s="65" t="s">
        <v>4454</v>
      </c>
      <c r="DB301" s="65">
        <f>0.34*1000</f>
        <v>340</v>
      </c>
      <c r="DC301" s="65">
        <v>340</v>
      </c>
      <c r="DF301" s="65" t="s">
        <v>1639</v>
      </c>
      <c r="DG301" s="65">
        <v>3.4</v>
      </c>
      <c r="DH301" s="65">
        <v>3</v>
      </c>
      <c r="DL301" s="65">
        <v>109</v>
      </c>
      <c r="DM301" s="65">
        <v>71</v>
      </c>
      <c r="DQ301" s="165">
        <v>6.2</v>
      </c>
      <c r="DR301" s="165">
        <v>5.9</v>
      </c>
      <c r="GP301" s="292" t="s">
        <v>7494</v>
      </c>
      <c r="HS301" s="227"/>
      <c r="HW301" s="227"/>
      <c r="JU301" s="55" t="s">
        <v>329</v>
      </c>
    </row>
    <row r="302" spans="1:281" x14ac:dyDescent="0.25">
      <c r="A302" s="55">
        <v>301</v>
      </c>
      <c r="B302" s="12" t="s">
        <v>7067</v>
      </c>
      <c r="C302" s="155">
        <v>19</v>
      </c>
      <c r="D302" s="55" t="s">
        <v>3755</v>
      </c>
      <c r="E302" s="90" t="s">
        <v>312</v>
      </c>
      <c r="G302" s="55" t="s">
        <v>313</v>
      </c>
      <c r="H302" s="55">
        <v>1986</v>
      </c>
      <c r="I302" s="55">
        <v>1983</v>
      </c>
      <c r="J302" s="55" t="s">
        <v>282</v>
      </c>
      <c r="K302" s="55" t="s">
        <v>314</v>
      </c>
      <c r="L302" s="55" t="s">
        <v>2737</v>
      </c>
      <c r="M302" s="90">
        <v>33.32</v>
      </c>
      <c r="N302" s="90">
        <v>-84.43</v>
      </c>
      <c r="O302" s="90">
        <v>246.5</v>
      </c>
      <c r="U302" s="55">
        <v>3</v>
      </c>
      <c r="V302" s="55" t="s">
        <v>1688</v>
      </c>
      <c r="Y302" s="55" t="s">
        <v>1825</v>
      </c>
      <c r="Z302" s="55" t="s">
        <v>1357</v>
      </c>
      <c r="AA302" s="90" t="s">
        <v>1677</v>
      </c>
      <c r="AH302" s="55" t="s">
        <v>238</v>
      </c>
      <c r="AM302" s="55" t="s">
        <v>1287</v>
      </c>
      <c r="AN302" s="185" t="s">
        <v>1496</v>
      </c>
      <c r="AO302" s="185" t="s">
        <v>5150</v>
      </c>
      <c r="AQ302" s="55" t="s">
        <v>553</v>
      </c>
      <c r="AR302" s="55" t="s">
        <v>218</v>
      </c>
      <c r="AS302" s="55" t="s">
        <v>218</v>
      </c>
      <c r="AU302" s="181" t="s">
        <v>7494</v>
      </c>
      <c r="AV302" s="185" t="s">
        <v>176</v>
      </c>
      <c r="AX302" s="185" t="s">
        <v>176</v>
      </c>
      <c r="AZ302" s="55" t="s">
        <v>216</v>
      </c>
      <c r="BA302" s="55" t="s">
        <v>216</v>
      </c>
      <c r="BB302" s="55" t="s">
        <v>2082</v>
      </c>
      <c r="BC302" s="55" t="s">
        <v>2082</v>
      </c>
      <c r="BD302" s="55" t="s">
        <v>176</v>
      </c>
      <c r="BE302" s="226" t="s">
        <v>318</v>
      </c>
      <c r="BG302" s="55" t="s">
        <v>176</v>
      </c>
      <c r="BH302" s="226" t="s">
        <v>318</v>
      </c>
      <c r="BI302" s="55" t="s">
        <v>176</v>
      </c>
      <c r="BK302" s="55" t="s">
        <v>6269</v>
      </c>
      <c r="BM302" s="192" t="s">
        <v>119</v>
      </c>
      <c r="BN302" s="55">
        <v>4</v>
      </c>
      <c r="BO302" s="55">
        <v>4</v>
      </c>
      <c r="BQ302" s="55" t="s">
        <v>315</v>
      </c>
      <c r="BS302" s="55">
        <f>4.97*1000</f>
        <v>4970</v>
      </c>
      <c r="BT302" s="55">
        <f>4.97/2.99*10</f>
        <v>16.622073578595316</v>
      </c>
      <c r="BV302" s="55" t="s">
        <v>320</v>
      </c>
      <c r="CB302" s="66">
        <f>2.33*1000</f>
        <v>2330</v>
      </c>
      <c r="CC302" s="66">
        <f>2.72*1000</f>
        <v>2720</v>
      </c>
      <c r="CG302" s="65" t="s">
        <v>316</v>
      </c>
      <c r="CM302" s="65">
        <v>0.37</v>
      </c>
      <c r="CN302" s="65">
        <v>0.37</v>
      </c>
      <c r="CQ302" s="65" t="s">
        <v>163</v>
      </c>
      <c r="CV302" s="65" t="s">
        <v>3039</v>
      </c>
      <c r="DA302" s="65" t="s">
        <v>4454</v>
      </c>
      <c r="DB302" s="65">
        <f>0.34*1000</f>
        <v>340</v>
      </c>
      <c r="DC302" s="65">
        <v>350</v>
      </c>
      <c r="DF302" s="65" t="s">
        <v>1639</v>
      </c>
      <c r="DG302" s="65">
        <v>3.4</v>
      </c>
      <c r="DH302" s="65">
        <v>5.2</v>
      </c>
      <c r="DL302" s="65">
        <v>109</v>
      </c>
      <c r="DM302" s="65">
        <v>79</v>
      </c>
      <c r="DQ302" s="165">
        <v>6.2</v>
      </c>
      <c r="DR302" s="165">
        <v>5.9</v>
      </c>
      <c r="GP302" s="292" t="s">
        <v>7494</v>
      </c>
      <c r="HS302" s="227"/>
      <c r="HW302" s="227"/>
      <c r="JU302" s="55" t="s">
        <v>329</v>
      </c>
    </row>
    <row r="303" spans="1:281" x14ac:dyDescent="0.25">
      <c r="A303" s="55">
        <v>302</v>
      </c>
      <c r="B303" s="12" t="s">
        <v>7067</v>
      </c>
      <c r="C303" s="155">
        <v>19</v>
      </c>
      <c r="D303" s="55" t="s">
        <v>3755</v>
      </c>
      <c r="E303" s="90" t="s">
        <v>312</v>
      </c>
      <c r="G303" s="55" t="s">
        <v>313</v>
      </c>
      <c r="H303" s="55">
        <v>1986</v>
      </c>
      <c r="I303" s="55">
        <v>1983</v>
      </c>
      <c r="J303" s="55" t="s">
        <v>282</v>
      </c>
      <c r="K303" s="55" t="s">
        <v>314</v>
      </c>
      <c r="L303" s="55" t="s">
        <v>2737</v>
      </c>
      <c r="M303" s="90">
        <v>33.32</v>
      </c>
      <c r="N303" s="90">
        <v>-84.43</v>
      </c>
      <c r="O303" s="90">
        <v>246.5</v>
      </c>
      <c r="U303" s="55">
        <v>3</v>
      </c>
      <c r="V303" s="55" t="s">
        <v>1688</v>
      </c>
      <c r="Y303" s="55" t="s">
        <v>1825</v>
      </c>
      <c r="Z303" s="55" t="s">
        <v>1357</v>
      </c>
      <c r="AA303" s="90" t="s">
        <v>1677</v>
      </c>
      <c r="AH303" s="55" t="s">
        <v>238</v>
      </c>
      <c r="AM303" s="55" t="s">
        <v>1287</v>
      </c>
      <c r="AN303" s="185" t="s">
        <v>241</v>
      </c>
      <c r="AO303" s="185" t="s">
        <v>5150</v>
      </c>
      <c r="AQ303" s="55" t="s">
        <v>553</v>
      </c>
      <c r="AR303" s="55" t="s">
        <v>218</v>
      </c>
      <c r="AS303" s="55" t="s">
        <v>218</v>
      </c>
      <c r="AU303" s="181" t="s">
        <v>7494</v>
      </c>
      <c r="AV303" s="185" t="s">
        <v>176</v>
      </c>
      <c r="AX303" s="185" t="s">
        <v>176</v>
      </c>
      <c r="AZ303" s="55" t="s">
        <v>216</v>
      </c>
      <c r="BA303" s="55" t="s">
        <v>216</v>
      </c>
      <c r="BB303" s="55" t="s">
        <v>2082</v>
      </c>
      <c r="BC303" s="55" t="s">
        <v>2082</v>
      </c>
      <c r="BD303" s="55" t="s">
        <v>176</v>
      </c>
      <c r="BE303" s="226" t="s">
        <v>318</v>
      </c>
      <c r="BG303" s="55" t="s">
        <v>176</v>
      </c>
      <c r="BH303" s="226" t="s">
        <v>318</v>
      </c>
      <c r="BI303" s="55" t="s">
        <v>176</v>
      </c>
      <c r="BK303" s="55" t="s">
        <v>6269</v>
      </c>
      <c r="BM303" s="192" t="s">
        <v>119</v>
      </c>
      <c r="BN303" s="55">
        <v>4</v>
      </c>
      <c r="BO303" s="55">
        <v>4</v>
      </c>
      <c r="BQ303" s="55" t="s">
        <v>315</v>
      </c>
      <c r="BS303" s="55">
        <f>4.15*1000</f>
        <v>4150</v>
      </c>
      <c r="BT303" s="55">
        <f>4.15/4.5*10</f>
        <v>9.2222222222222232</v>
      </c>
      <c r="BV303" s="55" t="s">
        <v>320</v>
      </c>
      <c r="CB303" s="66">
        <f>2.33*1000</f>
        <v>2330</v>
      </c>
      <c r="CC303" s="66">
        <f>2.99*1000</f>
        <v>2990</v>
      </c>
      <c r="CG303" s="65" t="s">
        <v>316</v>
      </c>
      <c r="CM303" s="65">
        <v>0.37</v>
      </c>
      <c r="CN303" s="65">
        <v>0.39</v>
      </c>
      <c r="CQ303" s="65" t="s">
        <v>163</v>
      </c>
      <c r="CV303" s="65" t="s">
        <v>3039</v>
      </c>
      <c r="DA303" s="65" t="s">
        <v>4454</v>
      </c>
      <c r="DB303" s="65">
        <f>0.34*1000</f>
        <v>340</v>
      </c>
      <c r="DC303" s="65">
        <v>390</v>
      </c>
      <c r="DF303" s="65" t="s">
        <v>1639</v>
      </c>
      <c r="DG303" s="65">
        <v>3.4</v>
      </c>
      <c r="DH303" s="65">
        <v>2.2000000000000002</v>
      </c>
      <c r="DL303" s="65">
        <v>109</v>
      </c>
      <c r="DM303" s="65">
        <v>86</v>
      </c>
      <c r="DQ303" s="165">
        <v>6.2</v>
      </c>
      <c r="DR303" s="165">
        <v>6.1</v>
      </c>
      <c r="GP303" s="292" t="s">
        <v>7494</v>
      </c>
      <c r="HS303" s="227"/>
      <c r="HW303" s="227"/>
      <c r="JU303" s="55" t="s">
        <v>329</v>
      </c>
    </row>
    <row r="304" spans="1:281" x14ac:dyDescent="0.25">
      <c r="A304" s="55">
        <v>303</v>
      </c>
      <c r="B304" s="12" t="s">
        <v>7067</v>
      </c>
      <c r="C304" s="155">
        <v>19</v>
      </c>
      <c r="D304" s="55" t="s">
        <v>3755</v>
      </c>
      <c r="E304" s="90" t="s">
        <v>312</v>
      </c>
      <c r="G304" s="55" t="s">
        <v>313</v>
      </c>
      <c r="H304" s="55">
        <v>1986</v>
      </c>
      <c r="I304" s="55">
        <v>1983</v>
      </c>
      <c r="J304" s="55" t="s">
        <v>282</v>
      </c>
      <c r="K304" s="55" t="s">
        <v>314</v>
      </c>
      <c r="L304" s="55" t="s">
        <v>2737</v>
      </c>
      <c r="M304" s="90">
        <v>33.32</v>
      </c>
      <c r="N304" s="90">
        <v>-84.43</v>
      </c>
      <c r="O304" s="90">
        <v>246.5</v>
      </c>
      <c r="U304" s="55">
        <v>3</v>
      </c>
      <c r="V304" s="55" t="s">
        <v>1688</v>
      </c>
      <c r="Y304" s="55" t="s">
        <v>1825</v>
      </c>
      <c r="Z304" s="55" t="s">
        <v>1357</v>
      </c>
      <c r="AA304" s="90" t="s">
        <v>1677</v>
      </c>
      <c r="AH304" s="55" t="s">
        <v>238</v>
      </c>
      <c r="AM304" s="55" t="s">
        <v>1287</v>
      </c>
      <c r="AN304" s="185" t="s">
        <v>1497</v>
      </c>
      <c r="AO304" s="185" t="s">
        <v>5150</v>
      </c>
      <c r="AQ304" s="55" t="s">
        <v>553</v>
      </c>
      <c r="AR304" s="55" t="s">
        <v>218</v>
      </c>
      <c r="AS304" s="55" t="s">
        <v>218</v>
      </c>
      <c r="AU304" s="181" t="s">
        <v>7494</v>
      </c>
      <c r="AV304" s="185" t="s">
        <v>176</v>
      </c>
      <c r="AX304" s="185" t="s">
        <v>176</v>
      </c>
      <c r="AZ304" s="55" t="s">
        <v>216</v>
      </c>
      <c r="BA304" s="55" t="s">
        <v>216</v>
      </c>
      <c r="BB304" s="55" t="s">
        <v>2082</v>
      </c>
      <c r="BC304" s="55" t="s">
        <v>2082</v>
      </c>
      <c r="BD304" s="55" t="s">
        <v>176</v>
      </c>
      <c r="BE304" s="226" t="s">
        <v>318</v>
      </c>
      <c r="BG304" s="55" t="s">
        <v>176</v>
      </c>
      <c r="BH304" s="226" t="s">
        <v>318</v>
      </c>
      <c r="BI304" s="55" t="s">
        <v>176</v>
      </c>
      <c r="BK304" s="55" t="s">
        <v>6269</v>
      </c>
      <c r="BM304" s="192" t="s">
        <v>119</v>
      </c>
      <c r="BN304" s="55">
        <v>4</v>
      </c>
      <c r="BO304" s="55">
        <v>4</v>
      </c>
      <c r="BQ304" s="55" t="s">
        <v>315</v>
      </c>
      <c r="BS304" s="55">
        <f>4.23*1000</f>
        <v>4230</v>
      </c>
      <c r="BT304" s="55">
        <f>4.23/3.36*10</f>
        <v>12.589285714285715</v>
      </c>
      <c r="BV304" s="55" t="s">
        <v>320</v>
      </c>
      <c r="CB304" s="66">
        <f>2.33*1000</f>
        <v>2330</v>
      </c>
      <c r="CC304" s="66">
        <f>2.83*1000</f>
        <v>2830</v>
      </c>
      <c r="CG304" s="65" t="s">
        <v>316</v>
      </c>
      <c r="CM304" s="65">
        <v>0.37</v>
      </c>
      <c r="CN304" s="65">
        <v>0.39</v>
      </c>
      <c r="CQ304" s="65" t="s">
        <v>163</v>
      </c>
      <c r="CV304" s="65" t="s">
        <v>3039</v>
      </c>
      <c r="DA304" s="65" t="s">
        <v>4454</v>
      </c>
      <c r="DB304" s="65">
        <f>0.34*1000</f>
        <v>340</v>
      </c>
      <c r="DC304" s="65">
        <v>370</v>
      </c>
      <c r="DF304" s="65" t="s">
        <v>1639</v>
      </c>
      <c r="DG304" s="65">
        <v>3.4</v>
      </c>
      <c r="DH304" s="65">
        <v>2.4</v>
      </c>
      <c r="DL304" s="65">
        <v>109</v>
      </c>
      <c r="DM304" s="65">
        <v>97</v>
      </c>
      <c r="DQ304" s="165">
        <v>6.2</v>
      </c>
      <c r="DR304" s="165">
        <v>6.2</v>
      </c>
      <c r="GP304" s="292" t="s">
        <v>7494</v>
      </c>
      <c r="HS304" s="227"/>
      <c r="HW304" s="227"/>
      <c r="JU304" s="55" t="s">
        <v>329</v>
      </c>
    </row>
    <row r="305" spans="1:283" x14ac:dyDescent="0.25">
      <c r="A305" s="55">
        <v>304</v>
      </c>
      <c r="B305" s="12" t="s">
        <v>7067</v>
      </c>
      <c r="C305" s="155">
        <v>19</v>
      </c>
      <c r="D305" s="55" t="s">
        <v>3756</v>
      </c>
      <c r="E305" s="90" t="s">
        <v>312</v>
      </c>
      <c r="G305" s="55" t="s">
        <v>313</v>
      </c>
      <c r="H305" s="55">
        <v>1986</v>
      </c>
      <c r="I305" s="55">
        <v>1981</v>
      </c>
      <c r="J305" s="55" t="s">
        <v>282</v>
      </c>
      <c r="K305" s="55" t="s">
        <v>314</v>
      </c>
      <c r="L305" s="55" t="s">
        <v>2737</v>
      </c>
      <c r="M305" s="90">
        <v>33.32</v>
      </c>
      <c r="N305" s="90">
        <v>-84.43</v>
      </c>
      <c r="O305" s="90">
        <v>246.5</v>
      </c>
      <c r="U305" s="55">
        <v>1</v>
      </c>
      <c r="V305" s="55" t="s">
        <v>1688</v>
      </c>
      <c r="Y305" s="55" t="s">
        <v>1825</v>
      </c>
      <c r="Z305" s="55" t="s">
        <v>1347</v>
      </c>
      <c r="AA305" s="90" t="s">
        <v>1676</v>
      </c>
      <c r="AH305" s="55" t="s">
        <v>238</v>
      </c>
      <c r="AM305" s="55" t="s">
        <v>1287</v>
      </c>
      <c r="AN305" s="185" t="s">
        <v>131</v>
      </c>
      <c r="AO305" s="185" t="s">
        <v>5150</v>
      </c>
      <c r="AQ305" s="55" t="s">
        <v>131</v>
      </c>
      <c r="AR305" s="55" t="s">
        <v>218</v>
      </c>
      <c r="AS305" s="55" t="s">
        <v>218</v>
      </c>
      <c r="AU305" s="181" t="s">
        <v>7494</v>
      </c>
      <c r="AV305" s="185" t="s">
        <v>176</v>
      </c>
      <c r="AX305" s="185" t="s">
        <v>176</v>
      </c>
      <c r="AZ305" s="55" t="s">
        <v>216</v>
      </c>
      <c r="BA305" s="55" t="s">
        <v>216</v>
      </c>
      <c r="BB305" s="55" t="s">
        <v>2082</v>
      </c>
      <c r="BC305" s="55" t="s">
        <v>2082</v>
      </c>
      <c r="BD305" s="55" t="s">
        <v>176</v>
      </c>
      <c r="BE305" s="226" t="s">
        <v>319</v>
      </c>
      <c r="BF305" s="55" t="s">
        <v>479</v>
      </c>
      <c r="BG305" s="55" t="s">
        <v>479</v>
      </c>
      <c r="BH305" s="226" t="s">
        <v>319</v>
      </c>
      <c r="BI305" s="55" t="s">
        <v>479</v>
      </c>
      <c r="BK305" s="55" t="s">
        <v>6269</v>
      </c>
      <c r="BM305" s="192" t="s">
        <v>119</v>
      </c>
      <c r="BN305" s="55">
        <v>4</v>
      </c>
      <c r="BO305" s="55">
        <v>4</v>
      </c>
      <c r="BQ305" s="55" t="s">
        <v>315</v>
      </c>
      <c r="BS305" s="55">
        <f>3.33*1000</f>
        <v>3330</v>
      </c>
      <c r="BT305" s="55">
        <f>3.33/1.09*10</f>
        <v>30.550458715596328</v>
      </c>
      <c r="BV305" s="55" t="s">
        <v>320</v>
      </c>
      <c r="CB305" s="66">
        <f>4.79*1000</f>
        <v>4790</v>
      </c>
      <c r="CC305" s="66">
        <f>4.1*1000</f>
        <v>4100</v>
      </c>
      <c r="CG305" s="65" t="s">
        <v>317</v>
      </c>
      <c r="GP305" s="292" t="s">
        <v>7494</v>
      </c>
      <c r="HS305" s="227"/>
      <c r="HW305" s="227"/>
      <c r="JU305" s="55" t="s">
        <v>329</v>
      </c>
    </row>
    <row r="306" spans="1:283" x14ac:dyDescent="0.25">
      <c r="A306" s="55">
        <v>305</v>
      </c>
      <c r="B306" s="12" t="s">
        <v>7067</v>
      </c>
      <c r="C306" s="155">
        <v>19</v>
      </c>
      <c r="D306" s="55" t="s">
        <v>3757</v>
      </c>
      <c r="E306" s="90" t="s">
        <v>312</v>
      </c>
      <c r="G306" s="55" t="s">
        <v>313</v>
      </c>
      <c r="H306" s="55">
        <v>1986</v>
      </c>
      <c r="I306" s="55">
        <v>1981</v>
      </c>
      <c r="J306" s="55" t="s">
        <v>282</v>
      </c>
      <c r="K306" s="55" t="s">
        <v>314</v>
      </c>
      <c r="L306" s="55" t="s">
        <v>2737</v>
      </c>
      <c r="M306" s="90">
        <v>33.32</v>
      </c>
      <c r="N306" s="90">
        <v>-84.43</v>
      </c>
      <c r="O306" s="90">
        <v>246.5</v>
      </c>
      <c r="U306" s="55">
        <v>1</v>
      </c>
      <c r="V306" s="55" t="s">
        <v>1688</v>
      </c>
      <c r="Y306" s="55" t="s">
        <v>1825</v>
      </c>
      <c r="Z306" s="55" t="s">
        <v>1347</v>
      </c>
      <c r="AA306" s="90" t="s">
        <v>1676</v>
      </c>
      <c r="AH306" s="55" t="s">
        <v>238</v>
      </c>
      <c r="AM306" s="55" t="s">
        <v>1287</v>
      </c>
      <c r="AN306" s="185" t="s">
        <v>1485</v>
      </c>
      <c r="AO306" s="185" t="s">
        <v>5150</v>
      </c>
      <c r="AQ306" s="55" t="s">
        <v>553</v>
      </c>
      <c r="AR306" s="55" t="s">
        <v>218</v>
      </c>
      <c r="AS306" s="55" t="s">
        <v>218</v>
      </c>
      <c r="AU306" s="181" t="s">
        <v>7494</v>
      </c>
      <c r="AV306" s="185" t="s">
        <v>176</v>
      </c>
      <c r="AX306" s="185" t="s">
        <v>176</v>
      </c>
      <c r="AZ306" s="55" t="s">
        <v>216</v>
      </c>
      <c r="BA306" s="55" t="s">
        <v>216</v>
      </c>
      <c r="BB306" s="55" t="s">
        <v>2082</v>
      </c>
      <c r="BC306" s="55" t="s">
        <v>2082</v>
      </c>
      <c r="BD306" s="55" t="s">
        <v>176</v>
      </c>
      <c r="BE306" s="226" t="s">
        <v>319</v>
      </c>
      <c r="BF306" s="55" t="s">
        <v>479</v>
      </c>
      <c r="BG306" s="55" t="s">
        <v>479</v>
      </c>
      <c r="BH306" s="226" t="s">
        <v>319</v>
      </c>
      <c r="BI306" s="55" t="s">
        <v>479</v>
      </c>
      <c r="BK306" s="55" t="s">
        <v>6269</v>
      </c>
      <c r="BM306" s="192" t="s">
        <v>119</v>
      </c>
      <c r="BN306" s="55">
        <v>4</v>
      </c>
      <c r="BO306" s="55">
        <v>4</v>
      </c>
      <c r="BQ306" s="55" t="s">
        <v>315</v>
      </c>
      <c r="BS306" s="55">
        <f>3.53*1000</f>
        <v>3530</v>
      </c>
      <c r="BT306" s="55">
        <f>3.53*10/2.92</f>
        <v>12.08904109589041</v>
      </c>
      <c r="BV306" s="55" t="s">
        <v>320</v>
      </c>
      <c r="CB306" s="66">
        <f>4.79*1000</f>
        <v>4790</v>
      </c>
      <c r="CC306" s="66">
        <f>4.38*1000</f>
        <v>4380</v>
      </c>
      <c r="CG306" s="65" t="s">
        <v>317</v>
      </c>
      <c r="GP306" s="292" t="s">
        <v>7494</v>
      </c>
      <c r="HS306" s="227"/>
      <c r="HW306" s="227"/>
      <c r="JU306" s="55" t="s">
        <v>329</v>
      </c>
    </row>
    <row r="307" spans="1:283" x14ac:dyDescent="0.25">
      <c r="A307" s="55">
        <v>306</v>
      </c>
      <c r="B307" s="12" t="s">
        <v>7067</v>
      </c>
      <c r="C307" s="155">
        <v>19</v>
      </c>
      <c r="D307" s="55" t="s">
        <v>3757</v>
      </c>
      <c r="E307" s="90" t="s">
        <v>312</v>
      </c>
      <c r="G307" s="55" t="s">
        <v>313</v>
      </c>
      <c r="H307" s="55">
        <v>1986</v>
      </c>
      <c r="I307" s="55">
        <v>1981</v>
      </c>
      <c r="J307" s="55" t="s">
        <v>282</v>
      </c>
      <c r="K307" s="55" t="s">
        <v>314</v>
      </c>
      <c r="L307" s="55" t="s">
        <v>2737</v>
      </c>
      <c r="M307" s="90">
        <v>33.32</v>
      </c>
      <c r="N307" s="90">
        <v>-84.43</v>
      </c>
      <c r="O307" s="90">
        <v>246.5</v>
      </c>
      <c r="U307" s="55">
        <v>1</v>
      </c>
      <c r="V307" s="55" t="s">
        <v>1688</v>
      </c>
      <c r="Y307" s="55" t="s">
        <v>1825</v>
      </c>
      <c r="Z307" s="55" t="s">
        <v>1347</v>
      </c>
      <c r="AA307" s="90" t="s">
        <v>1676</v>
      </c>
      <c r="AH307" s="55" t="s">
        <v>238</v>
      </c>
      <c r="AM307" s="55" t="s">
        <v>1287</v>
      </c>
      <c r="AN307" s="185" t="s">
        <v>1496</v>
      </c>
      <c r="AO307" s="185" t="s">
        <v>5150</v>
      </c>
      <c r="AQ307" s="55" t="s">
        <v>553</v>
      </c>
      <c r="AR307" s="55" t="s">
        <v>218</v>
      </c>
      <c r="AS307" s="55" t="s">
        <v>218</v>
      </c>
      <c r="AU307" s="181" t="s">
        <v>7494</v>
      </c>
      <c r="AV307" s="185" t="s">
        <v>176</v>
      </c>
      <c r="AX307" s="185" t="s">
        <v>176</v>
      </c>
      <c r="AZ307" s="55" t="s">
        <v>216</v>
      </c>
      <c r="BA307" s="55" t="s">
        <v>216</v>
      </c>
      <c r="BB307" s="55" t="s">
        <v>2082</v>
      </c>
      <c r="BC307" s="55" t="s">
        <v>2082</v>
      </c>
      <c r="BD307" s="55" t="s">
        <v>176</v>
      </c>
      <c r="BE307" s="226" t="s">
        <v>319</v>
      </c>
      <c r="BF307" s="55" t="s">
        <v>479</v>
      </c>
      <c r="BG307" s="55" t="s">
        <v>479</v>
      </c>
      <c r="BH307" s="226" t="s">
        <v>319</v>
      </c>
      <c r="BI307" s="55" t="s">
        <v>479</v>
      </c>
      <c r="BK307" s="55" t="s">
        <v>6269</v>
      </c>
      <c r="BM307" s="192" t="s">
        <v>119</v>
      </c>
      <c r="BN307" s="55">
        <v>4</v>
      </c>
      <c r="BO307" s="55">
        <v>4</v>
      </c>
      <c r="BQ307" s="55" t="s">
        <v>315</v>
      </c>
      <c r="BS307" s="55">
        <f>2.96*1000</f>
        <v>2960</v>
      </c>
      <c r="BT307" s="55">
        <f>2.96/2.77*10</f>
        <v>10.685920577617329</v>
      </c>
      <c r="BV307" s="55" t="s">
        <v>320</v>
      </c>
      <c r="CB307" s="66">
        <f>4.79*1000</f>
        <v>4790</v>
      </c>
      <c r="CC307" s="66">
        <f>4.12*1000</f>
        <v>4120</v>
      </c>
      <c r="CG307" s="65" t="s">
        <v>317</v>
      </c>
      <c r="GP307" s="292" t="s">
        <v>7494</v>
      </c>
      <c r="HS307" s="227"/>
      <c r="HW307" s="227"/>
      <c r="JU307" s="55" t="s">
        <v>329</v>
      </c>
    </row>
    <row r="308" spans="1:283" x14ac:dyDescent="0.25">
      <c r="A308" s="55">
        <v>307</v>
      </c>
      <c r="B308" s="12" t="s">
        <v>7067</v>
      </c>
      <c r="C308" s="155">
        <v>19</v>
      </c>
      <c r="D308" s="55" t="s">
        <v>3757</v>
      </c>
      <c r="E308" s="90" t="s">
        <v>312</v>
      </c>
      <c r="G308" s="55" t="s">
        <v>313</v>
      </c>
      <c r="H308" s="55">
        <v>1986</v>
      </c>
      <c r="I308" s="55">
        <v>1981</v>
      </c>
      <c r="J308" s="55" t="s">
        <v>282</v>
      </c>
      <c r="K308" s="55" t="s">
        <v>314</v>
      </c>
      <c r="L308" s="55" t="s">
        <v>2737</v>
      </c>
      <c r="M308" s="90">
        <v>33.32</v>
      </c>
      <c r="N308" s="90">
        <v>-84.43</v>
      </c>
      <c r="O308" s="90">
        <v>246.5</v>
      </c>
      <c r="U308" s="55">
        <v>1</v>
      </c>
      <c r="V308" s="55" t="s">
        <v>1688</v>
      </c>
      <c r="Y308" s="55" t="s">
        <v>1825</v>
      </c>
      <c r="Z308" s="55" t="s">
        <v>1347</v>
      </c>
      <c r="AA308" s="90" t="s">
        <v>1676</v>
      </c>
      <c r="AH308" s="55" t="s">
        <v>238</v>
      </c>
      <c r="AM308" s="55" t="s">
        <v>1287</v>
      </c>
      <c r="AN308" s="185" t="s">
        <v>241</v>
      </c>
      <c r="AO308" s="185" t="s">
        <v>5150</v>
      </c>
      <c r="AQ308" s="55" t="s">
        <v>553</v>
      </c>
      <c r="AR308" s="55" t="s">
        <v>218</v>
      </c>
      <c r="AS308" s="55" t="s">
        <v>218</v>
      </c>
      <c r="AU308" s="181" t="s">
        <v>7494</v>
      </c>
      <c r="AV308" s="185" t="s">
        <v>176</v>
      </c>
      <c r="AX308" s="185" t="s">
        <v>176</v>
      </c>
      <c r="AZ308" s="55" t="s">
        <v>216</v>
      </c>
      <c r="BA308" s="55" t="s">
        <v>216</v>
      </c>
      <c r="BB308" s="55" t="s">
        <v>2082</v>
      </c>
      <c r="BC308" s="55" t="s">
        <v>2082</v>
      </c>
      <c r="BD308" s="55" t="s">
        <v>176</v>
      </c>
      <c r="BE308" s="226" t="s">
        <v>319</v>
      </c>
      <c r="BF308" s="55" t="s">
        <v>479</v>
      </c>
      <c r="BG308" s="55" t="s">
        <v>479</v>
      </c>
      <c r="BH308" s="226" t="s">
        <v>319</v>
      </c>
      <c r="BI308" s="55" t="s">
        <v>479</v>
      </c>
      <c r="BK308" s="55" t="s">
        <v>6269</v>
      </c>
      <c r="BM308" s="192" t="s">
        <v>119</v>
      </c>
      <c r="BN308" s="55">
        <v>4</v>
      </c>
      <c r="BO308" s="55">
        <v>4</v>
      </c>
      <c r="BQ308" s="55" t="s">
        <v>315</v>
      </c>
      <c r="BS308" s="55">
        <f>4.06*1000</f>
        <v>4059.9999999999995</v>
      </c>
      <c r="BT308" s="55">
        <f>4.06/3.01*10</f>
        <v>13.488372093023255</v>
      </c>
      <c r="BV308" s="55" t="s">
        <v>320</v>
      </c>
      <c r="CB308" s="66">
        <f>4.79*1000</f>
        <v>4790</v>
      </c>
      <c r="CC308" s="66">
        <f>4.53*1000</f>
        <v>4530</v>
      </c>
      <c r="CG308" s="65" t="s">
        <v>317</v>
      </c>
      <c r="GP308" s="292" t="s">
        <v>7494</v>
      </c>
      <c r="HS308" s="227"/>
      <c r="HW308" s="227"/>
      <c r="JU308" s="55" t="s">
        <v>329</v>
      </c>
    </row>
    <row r="309" spans="1:283" x14ac:dyDescent="0.25">
      <c r="A309" s="55">
        <v>308</v>
      </c>
      <c r="B309" s="12" t="s">
        <v>7067</v>
      </c>
      <c r="C309" s="155">
        <v>19</v>
      </c>
      <c r="D309" s="55" t="s">
        <v>3757</v>
      </c>
      <c r="E309" s="90" t="s">
        <v>312</v>
      </c>
      <c r="G309" s="55" t="s">
        <v>313</v>
      </c>
      <c r="H309" s="55">
        <v>1986</v>
      </c>
      <c r="I309" s="55">
        <v>1981</v>
      </c>
      <c r="J309" s="55" t="s">
        <v>282</v>
      </c>
      <c r="K309" s="55" t="s">
        <v>314</v>
      </c>
      <c r="L309" s="55" t="s">
        <v>2737</v>
      </c>
      <c r="M309" s="90">
        <v>33.32</v>
      </c>
      <c r="N309" s="90">
        <v>-84.43</v>
      </c>
      <c r="O309" s="90">
        <v>246.5</v>
      </c>
      <c r="U309" s="55">
        <v>1</v>
      </c>
      <c r="V309" s="55" t="s">
        <v>1688</v>
      </c>
      <c r="Y309" s="55" t="s">
        <v>1825</v>
      </c>
      <c r="Z309" s="55" t="s">
        <v>1347</v>
      </c>
      <c r="AA309" s="90" t="s">
        <v>1676</v>
      </c>
      <c r="AH309" s="55" t="s">
        <v>238</v>
      </c>
      <c r="AM309" s="55" t="s">
        <v>1287</v>
      </c>
      <c r="AN309" s="185" t="s">
        <v>1497</v>
      </c>
      <c r="AO309" s="185" t="s">
        <v>5150</v>
      </c>
      <c r="AQ309" s="55" t="s">
        <v>553</v>
      </c>
      <c r="AR309" s="55" t="s">
        <v>218</v>
      </c>
      <c r="AS309" s="55" t="s">
        <v>218</v>
      </c>
      <c r="AU309" s="181" t="s">
        <v>7494</v>
      </c>
      <c r="AV309" s="185" t="s">
        <v>176</v>
      </c>
      <c r="AX309" s="185" t="s">
        <v>176</v>
      </c>
      <c r="AZ309" s="55" t="s">
        <v>216</v>
      </c>
      <c r="BA309" s="55" t="s">
        <v>216</v>
      </c>
      <c r="BB309" s="55" t="s">
        <v>2082</v>
      </c>
      <c r="BC309" s="55" t="s">
        <v>2082</v>
      </c>
      <c r="BD309" s="55" t="s">
        <v>176</v>
      </c>
      <c r="BE309" s="226" t="s">
        <v>319</v>
      </c>
      <c r="BF309" s="55" t="s">
        <v>479</v>
      </c>
      <c r="BG309" s="55" t="s">
        <v>479</v>
      </c>
      <c r="BH309" s="226" t="s">
        <v>319</v>
      </c>
      <c r="BI309" s="55" t="s">
        <v>479</v>
      </c>
      <c r="BK309" s="55" t="s">
        <v>6269</v>
      </c>
      <c r="BM309" s="192" t="s">
        <v>119</v>
      </c>
      <c r="BN309" s="55">
        <v>4</v>
      </c>
      <c r="BO309" s="55">
        <v>4</v>
      </c>
      <c r="BQ309" s="55" t="s">
        <v>315</v>
      </c>
      <c r="BS309" s="55">
        <f>3.96*1000</f>
        <v>3960</v>
      </c>
      <c r="BT309" s="55">
        <f>3.96/2.96*10</f>
        <v>13.378378378378379</v>
      </c>
      <c r="BV309" s="55" t="s">
        <v>320</v>
      </c>
      <c r="CB309" s="66">
        <f>4.79*1000</f>
        <v>4790</v>
      </c>
      <c r="CC309" s="66">
        <f>4.1*1000</f>
        <v>4100</v>
      </c>
      <c r="CG309" s="65" t="s">
        <v>317</v>
      </c>
      <c r="GP309" s="292" t="s">
        <v>7494</v>
      </c>
      <c r="HS309" s="227"/>
      <c r="HW309" s="227"/>
      <c r="JU309" s="55" t="s">
        <v>329</v>
      </c>
    </row>
    <row r="310" spans="1:283" x14ac:dyDescent="0.25">
      <c r="A310" s="55">
        <v>309</v>
      </c>
      <c r="B310" s="12" t="s">
        <v>7067</v>
      </c>
      <c r="C310" s="155">
        <v>19</v>
      </c>
      <c r="D310" s="55" t="s">
        <v>3758</v>
      </c>
      <c r="E310" s="90" t="s">
        <v>312</v>
      </c>
      <c r="G310" s="55" t="s">
        <v>313</v>
      </c>
      <c r="H310" s="55">
        <v>1986</v>
      </c>
      <c r="I310" s="55">
        <v>1982</v>
      </c>
      <c r="J310" s="55" t="s">
        <v>282</v>
      </c>
      <c r="K310" s="55" t="s">
        <v>314</v>
      </c>
      <c r="L310" s="55" t="s">
        <v>2737</v>
      </c>
      <c r="M310" s="90">
        <v>33.32</v>
      </c>
      <c r="N310" s="90">
        <v>-84.43</v>
      </c>
      <c r="O310" s="90">
        <v>246.5</v>
      </c>
      <c r="U310" s="55">
        <v>2</v>
      </c>
      <c r="V310" s="55" t="s">
        <v>1688</v>
      </c>
      <c r="Y310" s="55" t="s">
        <v>1825</v>
      </c>
      <c r="Z310" s="55" t="s">
        <v>1348</v>
      </c>
      <c r="AA310" s="90" t="s">
        <v>1676</v>
      </c>
      <c r="AH310" s="55" t="s">
        <v>238</v>
      </c>
      <c r="AM310" s="55" t="s">
        <v>1287</v>
      </c>
      <c r="AN310" s="185" t="s">
        <v>131</v>
      </c>
      <c r="AO310" s="185" t="s">
        <v>5150</v>
      </c>
      <c r="AQ310" s="55" t="s">
        <v>131</v>
      </c>
      <c r="AR310" s="55" t="s">
        <v>218</v>
      </c>
      <c r="AS310" s="55" t="s">
        <v>218</v>
      </c>
      <c r="AU310" s="181" t="s">
        <v>7494</v>
      </c>
      <c r="AV310" s="185" t="s">
        <v>176</v>
      </c>
      <c r="AX310" s="185" t="s">
        <v>176</v>
      </c>
      <c r="AZ310" s="55" t="s">
        <v>216</v>
      </c>
      <c r="BA310" s="55" t="s">
        <v>216</v>
      </c>
      <c r="BB310" s="55" t="s">
        <v>2082</v>
      </c>
      <c r="BC310" s="55" t="s">
        <v>2082</v>
      </c>
      <c r="BD310" s="55" t="s">
        <v>176</v>
      </c>
      <c r="BE310" s="226" t="s">
        <v>319</v>
      </c>
      <c r="BF310" s="55" t="s">
        <v>479</v>
      </c>
      <c r="BG310" s="55" t="s">
        <v>479</v>
      </c>
      <c r="BH310" s="226" t="s">
        <v>319</v>
      </c>
      <c r="BI310" s="55" t="s">
        <v>479</v>
      </c>
      <c r="BK310" s="55" t="s">
        <v>6269</v>
      </c>
      <c r="BM310" s="192" t="s">
        <v>119</v>
      </c>
      <c r="BN310" s="55">
        <v>4</v>
      </c>
      <c r="BO310" s="55">
        <v>4</v>
      </c>
      <c r="BQ310" s="55" t="s">
        <v>315</v>
      </c>
      <c r="BS310" s="55">
        <f>3.93*1000</f>
        <v>3930</v>
      </c>
      <c r="BT310" s="55">
        <f>3.93/0.89*10</f>
        <v>44.157303370786522</v>
      </c>
      <c r="BV310" s="55" t="s">
        <v>320</v>
      </c>
      <c r="CB310" s="66">
        <f>4.06*1000</f>
        <v>4059.9999999999995</v>
      </c>
      <c r="CC310" s="66">
        <f>4.55*1000</f>
        <v>4550</v>
      </c>
      <c r="CG310" s="65" t="s">
        <v>317</v>
      </c>
      <c r="GP310" s="292" t="s">
        <v>7494</v>
      </c>
      <c r="HS310" s="227"/>
      <c r="HW310" s="227"/>
      <c r="JU310" s="55" t="s">
        <v>329</v>
      </c>
    </row>
    <row r="311" spans="1:283" x14ac:dyDescent="0.25">
      <c r="A311" s="55">
        <v>310</v>
      </c>
      <c r="B311" s="12" t="s">
        <v>7067</v>
      </c>
      <c r="C311" s="155">
        <v>19</v>
      </c>
      <c r="D311" s="55" t="s">
        <v>3759</v>
      </c>
      <c r="E311" s="90" t="s">
        <v>312</v>
      </c>
      <c r="G311" s="55" t="s">
        <v>313</v>
      </c>
      <c r="H311" s="55">
        <v>1986</v>
      </c>
      <c r="I311" s="55">
        <v>1982</v>
      </c>
      <c r="J311" s="55" t="s">
        <v>282</v>
      </c>
      <c r="K311" s="55" t="s">
        <v>314</v>
      </c>
      <c r="L311" s="55" t="s">
        <v>2737</v>
      </c>
      <c r="M311" s="90">
        <v>33.32</v>
      </c>
      <c r="N311" s="90">
        <v>-84.43</v>
      </c>
      <c r="O311" s="90">
        <v>246.5</v>
      </c>
      <c r="U311" s="55">
        <v>2</v>
      </c>
      <c r="V311" s="55" t="s">
        <v>1688</v>
      </c>
      <c r="Y311" s="55" t="s">
        <v>1825</v>
      </c>
      <c r="Z311" s="55" t="s">
        <v>1348</v>
      </c>
      <c r="AA311" s="90" t="s">
        <v>1676</v>
      </c>
      <c r="AH311" s="55" t="s">
        <v>238</v>
      </c>
      <c r="AM311" s="55" t="s">
        <v>1287</v>
      </c>
      <c r="AN311" s="185" t="s">
        <v>1485</v>
      </c>
      <c r="AO311" s="185" t="s">
        <v>5150</v>
      </c>
      <c r="AQ311" s="55" t="s">
        <v>553</v>
      </c>
      <c r="AR311" s="55" t="s">
        <v>218</v>
      </c>
      <c r="AS311" s="55" t="s">
        <v>218</v>
      </c>
      <c r="AU311" s="181" t="s">
        <v>7494</v>
      </c>
      <c r="AV311" s="185" t="s">
        <v>176</v>
      </c>
      <c r="AX311" s="185" t="s">
        <v>176</v>
      </c>
      <c r="AZ311" s="55" t="s">
        <v>216</v>
      </c>
      <c r="BA311" s="55" t="s">
        <v>216</v>
      </c>
      <c r="BB311" s="55" t="s">
        <v>2082</v>
      </c>
      <c r="BC311" s="55" t="s">
        <v>2082</v>
      </c>
      <c r="BD311" s="55" t="s">
        <v>176</v>
      </c>
      <c r="BE311" s="226" t="s">
        <v>319</v>
      </c>
      <c r="BF311" s="55" t="s">
        <v>479</v>
      </c>
      <c r="BG311" s="55" t="s">
        <v>479</v>
      </c>
      <c r="BH311" s="226" t="s">
        <v>319</v>
      </c>
      <c r="BI311" s="55" t="s">
        <v>479</v>
      </c>
      <c r="BK311" s="55" t="s">
        <v>6269</v>
      </c>
      <c r="BM311" s="192" t="s">
        <v>119</v>
      </c>
      <c r="BN311" s="55">
        <v>4</v>
      </c>
      <c r="BO311" s="55">
        <v>4</v>
      </c>
      <c r="BQ311" s="55" t="s">
        <v>315</v>
      </c>
      <c r="BV311" s="55" t="s">
        <v>320</v>
      </c>
      <c r="CB311" s="66">
        <f>4.06*1000</f>
        <v>4059.9999999999995</v>
      </c>
      <c r="CC311" s="66">
        <f>4.73*1000</f>
        <v>4730</v>
      </c>
      <c r="CG311" s="65" t="s">
        <v>317</v>
      </c>
      <c r="GP311" s="292" t="s">
        <v>7494</v>
      </c>
      <c r="HS311" s="227"/>
      <c r="HW311" s="227"/>
      <c r="JU311" s="55" t="s">
        <v>329</v>
      </c>
    </row>
    <row r="312" spans="1:283" x14ac:dyDescent="0.25">
      <c r="A312" s="55">
        <v>311</v>
      </c>
      <c r="B312" s="12" t="s">
        <v>7067</v>
      </c>
      <c r="C312" s="155">
        <v>19</v>
      </c>
      <c r="D312" s="55" t="s">
        <v>3759</v>
      </c>
      <c r="E312" s="90" t="s">
        <v>312</v>
      </c>
      <c r="G312" s="55" t="s">
        <v>313</v>
      </c>
      <c r="H312" s="55">
        <v>1986</v>
      </c>
      <c r="I312" s="55">
        <v>1982</v>
      </c>
      <c r="J312" s="55" t="s">
        <v>282</v>
      </c>
      <c r="K312" s="55" t="s">
        <v>314</v>
      </c>
      <c r="L312" s="55" t="s">
        <v>2737</v>
      </c>
      <c r="M312" s="90">
        <v>33.32</v>
      </c>
      <c r="N312" s="90">
        <v>-84.43</v>
      </c>
      <c r="O312" s="90">
        <v>246.5</v>
      </c>
      <c r="U312" s="55">
        <v>2</v>
      </c>
      <c r="V312" s="55" t="s">
        <v>1688</v>
      </c>
      <c r="Y312" s="55" t="s">
        <v>1825</v>
      </c>
      <c r="Z312" s="55" t="s">
        <v>1348</v>
      </c>
      <c r="AA312" s="90" t="s">
        <v>1676</v>
      </c>
      <c r="AH312" s="55" t="s">
        <v>238</v>
      </c>
      <c r="AM312" s="55" t="s">
        <v>1287</v>
      </c>
      <c r="AN312" s="185" t="s">
        <v>1496</v>
      </c>
      <c r="AO312" s="185" t="s">
        <v>5150</v>
      </c>
      <c r="AQ312" s="55" t="s">
        <v>553</v>
      </c>
      <c r="AR312" s="55" t="s">
        <v>218</v>
      </c>
      <c r="AS312" s="55" t="s">
        <v>218</v>
      </c>
      <c r="AU312" s="181" t="s">
        <v>7494</v>
      </c>
      <c r="AV312" s="185" t="s">
        <v>176</v>
      </c>
      <c r="AX312" s="185" t="s">
        <v>176</v>
      </c>
      <c r="AZ312" s="55" t="s">
        <v>216</v>
      </c>
      <c r="BA312" s="55" t="s">
        <v>216</v>
      </c>
      <c r="BB312" s="55" t="s">
        <v>2082</v>
      </c>
      <c r="BC312" s="55" t="s">
        <v>2082</v>
      </c>
      <c r="BD312" s="55" t="s">
        <v>176</v>
      </c>
      <c r="BE312" s="226" t="s">
        <v>319</v>
      </c>
      <c r="BF312" s="55" t="s">
        <v>479</v>
      </c>
      <c r="BG312" s="55" t="s">
        <v>479</v>
      </c>
      <c r="BH312" s="226" t="s">
        <v>319</v>
      </c>
      <c r="BI312" s="55" t="s">
        <v>479</v>
      </c>
      <c r="BK312" s="55" t="s">
        <v>6269</v>
      </c>
      <c r="BM312" s="192" t="s">
        <v>119</v>
      </c>
      <c r="BN312" s="55">
        <v>4</v>
      </c>
      <c r="BO312" s="55">
        <v>4</v>
      </c>
      <c r="BQ312" s="55" t="s">
        <v>315</v>
      </c>
      <c r="BS312" s="55">
        <f>4.06*1000</f>
        <v>4059.9999999999995</v>
      </c>
      <c r="BT312" s="55">
        <f>4.06/2.77*10</f>
        <v>14.657039711191334</v>
      </c>
      <c r="BV312" s="55" t="s">
        <v>320</v>
      </c>
      <c r="CB312" s="66">
        <f>4.06*1000</f>
        <v>4059.9999999999995</v>
      </c>
      <c r="CC312" s="66">
        <f>4.96*1000</f>
        <v>4960</v>
      </c>
      <c r="CG312" s="65" t="s">
        <v>317</v>
      </c>
      <c r="GP312" s="292" t="s">
        <v>7494</v>
      </c>
      <c r="HS312" s="227"/>
      <c r="HW312" s="227"/>
      <c r="JU312" s="55" t="s">
        <v>329</v>
      </c>
    </row>
    <row r="313" spans="1:283" x14ac:dyDescent="0.25">
      <c r="A313" s="55">
        <v>312</v>
      </c>
      <c r="B313" s="12" t="s">
        <v>7067</v>
      </c>
      <c r="C313" s="155">
        <v>19</v>
      </c>
      <c r="D313" s="55" t="s">
        <v>3759</v>
      </c>
      <c r="E313" s="90" t="s">
        <v>312</v>
      </c>
      <c r="G313" s="55" t="s">
        <v>313</v>
      </c>
      <c r="H313" s="55">
        <v>1986</v>
      </c>
      <c r="I313" s="55">
        <v>1982</v>
      </c>
      <c r="J313" s="55" t="s">
        <v>282</v>
      </c>
      <c r="K313" s="55" t="s">
        <v>314</v>
      </c>
      <c r="L313" s="55" t="s">
        <v>2737</v>
      </c>
      <c r="M313" s="90">
        <v>33.32</v>
      </c>
      <c r="N313" s="90">
        <v>-84.43</v>
      </c>
      <c r="O313" s="90">
        <v>246.5</v>
      </c>
      <c r="U313" s="55">
        <v>2</v>
      </c>
      <c r="V313" s="55" t="s">
        <v>1688</v>
      </c>
      <c r="Y313" s="55" t="s">
        <v>1825</v>
      </c>
      <c r="Z313" s="55" t="s">
        <v>1348</v>
      </c>
      <c r="AA313" s="90" t="s">
        <v>1676</v>
      </c>
      <c r="AH313" s="55" t="s">
        <v>238</v>
      </c>
      <c r="AM313" s="55" t="s">
        <v>1287</v>
      </c>
      <c r="AN313" s="185" t="s">
        <v>241</v>
      </c>
      <c r="AO313" s="185" t="s">
        <v>5150</v>
      </c>
      <c r="AQ313" s="55" t="s">
        <v>553</v>
      </c>
      <c r="AR313" s="55" t="s">
        <v>218</v>
      </c>
      <c r="AS313" s="55" t="s">
        <v>218</v>
      </c>
      <c r="AU313" s="181" t="s">
        <v>7494</v>
      </c>
      <c r="AV313" s="185" t="s">
        <v>176</v>
      </c>
      <c r="AX313" s="185" t="s">
        <v>176</v>
      </c>
      <c r="AZ313" s="55" t="s">
        <v>216</v>
      </c>
      <c r="BA313" s="55" t="s">
        <v>216</v>
      </c>
      <c r="BB313" s="55" t="s">
        <v>2082</v>
      </c>
      <c r="BC313" s="55" t="s">
        <v>2082</v>
      </c>
      <c r="BD313" s="55" t="s">
        <v>176</v>
      </c>
      <c r="BE313" s="226" t="s">
        <v>319</v>
      </c>
      <c r="BF313" s="55" t="s">
        <v>479</v>
      </c>
      <c r="BG313" s="55" t="s">
        <v>479</v>
      </c>
      <c r="BH313" s="226" t="s">
        <v>319</v>
      </c>
      <c r="BI313" s="55" t="s">
        <v>479</v>
      </c>
      <c r="BK313" s="55" t="s">
        <v>6269</v>
      </c>
      <c r="BM313" s="192" t="s">
        <v>119</v>
      </c>
      <c r="BN313" s="55">
        <v>4</v>
      </c>
      <c r="BO313" s="55">
        <v>4</v>
      </c>
      <c r="BQ313" s="55" t="s">
        <v>315</v>
      </c>
      <c r="BS313" s="55">
        <f>4.54*1000</f>
        <v>4540</v>
      </c>
      <c r="BT313" s="55">
        <f>4.54/3.38*10</f>
        <v>13.431952662721894</v>
      </c>
      <c r="BV313" s="55" t="s">
        <v>320</v>
      </c>
      <c r="CB313" s="66">
        <f>4.06*1000</f>
        <v>4059.9999999999995</v>
      </c>
      <c r="CC313" s="66">
        <f>4.86*1000</f>
        <v>4860</v>
      </c>
      <c r="CG313" s="65" t="s">
        <v>317</v>
      </c>
      <c r="GP313" s="292" t="s">
        <v>7494</v>
      </c>
      <c r="HS313" s="227"/>
      <c r="HW313" s="227"/>
      <c r="JU313" s="55" t="s">
        <v>329</v>
      </c>
    </row>
    <row r="314" spans="1:283" x14ac:dyDescent="0.25">
      <c r="A314" s="55">
        <v>313</v>
      </c>
      <c r="B314" s="12" t="s">
        <v>7067</v>
      </c>
      <c r="C314" s="155">
        <v>19</v>
      </c>
      <c r="D314" s="55" t="s">
        <v>3759</v>
      </c>
      <c r="E314" s="90" t="s">
        <v>312</v>
      </c>
      <c r="G314" s="55" t="s">
        <v>313</v>
      </c>
      <c r="H314" s="55">
        <v>1986</v>
      </c>
      <c r="I314" s="55">
        <v>1982</v>
      </c>
      <c r="J314" s="55" t="s">
        <v>282</v>
      </c>
      <c r="K314" s="55" t="s">
        <v>314</v>
      </c>
      <c r="L314" s="55" t="s">
        <v>2737</v>
      </c>
      <c r="M314" s="90">
        <v>33.32</v>
      </c>
      <c r="N314" s="90">
        <v>-84.43</v>
      </c>
      <c r="O314" s="90">
        <v>246.5</v>
      </c>
      <c r="U314" s="55">
        <v>2</v>
      </c>
      <c r="V314" s="55" t="s">
        <v>1688</v>
      </c>
      <c r="Y314" s="55" t="s">
        <v>1825</v>
      </c>
      <c r="Z314" s="55" t="s">
        <v>1348</v>
      </c>
      <c r="AA314" s="90" t="s">
        <v>1676</v>
      </c>
      <c r="AH314" s="55" t="s">
        <v>238</v>
      </c>
      <c r="AM314" s="55" t="s">
        <v>1287</v>
      </c>
      <c r="AN314" s="185" t="s">
        <v>1497</v>
      </c>
      <c r="AO314" s="185" t="s">
        <v>5150</v>
      </c>
      <c r="AQ314" s="55" t="s">
        <v>553</v>
      </c>
      <c r="AR314" s="55" t="s">
        <v>218</v>
      </c>
      <c r="AS314" s="55" t="s">
        <v>218</v>
      </c>
      <c r="AU314" s="181" t="s">
        <v>7494</v>
      </c>
      <c r="AV314" s="185" t="s">
        <v>176</v>
      </c>
      <c r="AX314" s="185" t="s">
        <v>176</v>
      </c>
      <c r="AZ314" s="55" t="s">
        <v>216</v>
      </c>
      <c r="BA314" s="55" t="s">
        <v>216</v>
      </c>
      <c r="BB314" s="55" t="s">
        <v>2082</v>
      </c>
      <c r="BC314" s="55" t="s">
        <v>2082</v>
      </c>
      <c r="BD314" s="55" t="s">
        <v>176</v>
      </c>
      <c r="BE314" s="226" t="s">
        <v>319</v>
      </c>
      <c r="BF314" s="55" t="s">
        <v>479</v>
      </c>
      <c r="BG314" s="55" t="s">
        <v>479</v>
      </c>
      <c r="BH314" s="226" t="s">
        <v>319</v>
      </c>
      <c r="BI314" s="55" t="s">
        <v>479</v>
      </c>
      <c r="BK314" s="55" t="s">
        <v>6269</v>
      </c>
      <c r="BM314" s="192" t="s">
        <v>119</v>
      </c>
      <c r="BN314" s="55">
        <v>4</v>
      </c>
      <c r="BO314" s="55">
        <v>4</v>
      </c>
      <c r="BQ314" s="55" t="s">
        <v>315</v>
      </c>
      <c r="BS314" s="55">
        <f>4.7*1000</f>
        <v>4700</v>
      </c>
      <c r="BT314" s="55">
        <f>4.7/3*10</f>
        <v>15.666666666666666</v>
      </c>
      <c r="BV314" s="55" t="s">
        <v>320</v>
      </c>
      <c r="CB314" s="66">
        <f>4.06*1000</f>
        <v>4059.9999999999995</v>
      </c>
      <c r="CC314" s="66">
        <f>4.97*1000</f>
        <v>4970</v>
      </c>
      <c r="CG314" s="65" t="s">
        <v>317</v>
      </c>
      <c r="GP314" s="292" t="s">
        <v>7494</v>
      </c>
      <c r="HS314" s="227"/>
      <c r="HW314" s="227"/>
      <c r="JU314" s="55" t="s">
        <v>329</v>
      </c>
    </row>
    <row r="315" spans="1:283" x14ac:dyDescent="0.25">
      <c r="A315" s="55">
        <v>314</v>
      </c>
      <c r="B315" s="12" t="s">
        <v>7067</v>
      </c>
      <c r="C315" s="155">
        <v>19</v>
      </c>
      <c r="D315" s="55" t="s">
        <v>3760</v>
      </c>
      <c r="E315" s="90" t="s">
        <v>312</v>
      </c>
      <c r="G315" s="55" t="s">
        <v>313</v>
      </c>
      <c r="H315" s="55">
        <v>1986</v>
      </c>
      <c r="I315" s="55">
        <v>1983</v>
      </c>
      <c r="J315" s="55" t="s">
        <v>282</v>
      </c>
      <c r="K315" s="55" t="s">
        <v>314</v>
      </c>
      <c r="L315" s="55" t="s">
        <v>2737</v>
      </c>
      <c r="M315" s="90">
        <v>33.32</v>
      </c>
      <c r="N315" s="90">
        <v>-84.43</v>
      </c>
      <c r="O315" s="90">
        <v>246.5</v>
      </c>
      <c r="U315" s="55">
        <v>3</v>
      </c>
      <c r="V315" s="55" t="s">
        <v>1688</v>
      </c>
      <c r="Y315" s="55" t="s">
        <v>1825</v>
      </c>
      <c r="Z315" s="55" t="s">
        <v>1357</v>
      </c>
      <c r="AA315" s="90" t="s">
        <v>1677</v>
      </c>
      <c r="AH315" s="55" t="s">
        <v>238</v>
      </c>
      <c r="AM315" s="55" t="s">
        <v>1287</v>
      </c>
      <c r="AN315" s="185" t="s">
        <v>131</v>
      </c>
      <c r="AO315" s="185" t="s">
        <v>5150</v>
      </c>
      <c r="AQ315" s="55" t="s">
        <v>131</v>
      </c>
      <c r="AR315" s="55" t="s">
        <v>218</v>
      </c>
      <c r="AS315" s="55" t="s">
        <v>218</v>
      </c>
      <c r="AU315" s="181" t="s">
        <v>7494</v>
      </c>
      <c r="AV315" s="185" t="s">
        <v>176</v>
      </c>
      <c r="AX315" s="185" t="s">
        <v>176</v>
      </c>
      <c r="AZ315" s="55" t="s">
        <v>216</v>
      </c>
      <c r="BA315" s="55" t="s">
        <v>216</v>
      </c>
      <c r="BB315" s="55" t="s">
        <v>2082</v>
      </c>
      <c r="BC315" s="55" t="s">
        <v>2082</v>
      </c>
      <c r="BD315" s="55" t="s">
        <v>176</v>
      </c>
      <c r="BE315" s="226" t="s">
        <v>319</v>
      </c>
      <c r="BF315" s="55" t="s">
        <v>479</v>
      </c>
      <c r="BG315" s="55" t="s">
        <v>479</v>
      </c>
      <c r="BH315" s="226" t="s">
        <v>319</v>
      </c>
      <c r="BI315" s="55" t="s">
        <v>479</v>
      </c>
      <c r="BK315" s="55" t="s">
        <v>6269</v>
      </c>
      <c r="BM315" s="192" t="s">
        <v>119</v>
      </c>
      <c r="BN315" s="55">
        <v>4</v>
      </c>
      <c r="BO315" s="55">
        <v>4</v>
      </c>
      <c r="BQ315" s="55" t="s">
        <v>315</v>
      </c>
      <c r="BS315" s="55">
        <f>4.83*1000</f>
        <v>4830</v>
      </c>
      <c r="BT315" s="55">
        <f>4.83/0.97*10</f>
        <v>49.793814432989691</v>
      </c>
      <c r="BV315" s="55" t="s">
        <v>320</v>
      </c>
      <c r="CB315" s="66">
        <f>2.87*1000</f>
        <v>2870</v>
      </c>
      <c r="CC315" s="66">
        <f>2.96*1000</f>
        <v>2960</v>
      </c>
      <c r="CG315" s="65" t="s">
        <v>317</v>
      </c>
      <c r="GP315" s="292" t="s">
        <v>7494</v>
      </c>
      <c r="HS315" s="227"/>
      <c r="HW315" s="227"/>
      <c r="JU315" s="55" t="s">
        <v>329</v>
      </c>
    </row>
    <row r="316" spans="1:283" x14ac:dyDescent="0.25">
      <c r="A316" s="55">
        <v>315</v>
      </c>
      <c r="B316" s="12" t="s">
        <v>7067</v>
      </c>
      <c r="C316" s="155">
        <v>19</v>
      </c>
      <c r="D316" s="55" t="s">
        <v>3761</v>
      </c>
      <c r="E316" s="90" t="s">
        <v>312</v>
      </c>
      <c r="G316" s="55" t="s">
        <v>313</v>
      </c>
      <c r="H316" s="55">
        <v>1986</v>
      </c>
      <c r="I316" s="55">
        <v>1983</v>
      </c>
      <c r="J316" s="55" t="s">
        <v>282</v>
      </c>
      <c r="K316" s="55" t="s">
        <v>314</v>
      </c>
      <c r="L316" s="55" t="s">
        <v>2737</v>
      </c>
      <c r="M316" s="90">
        <v>33.32</v>
      </c>
      <c r="N316" s="90">
        <v>-84.43</v>
      </c>
      <c r="O316" s="90">
        <v>246.5</v>
      </c>
      <c r="U316" s="55">
        <v>3</v>
      </c>
      <c r="V316" s="55" t="s">
        <v>1688</v>
      </c>
      <c r="Y316" s="55" t="s">
        <v>1825</v>
      </c>
      <c r="Z316" s="55" t="s">
        <v>1357</v>
      </c>
      <c r="AA316" s="90" t="s">
        <v>1677</v>
      </c>
      <c r="AH316" s="55" t="s">
        <v>238</v>
      </c>
      <c r="AM316" s="55" t="s">
        <v>1287</v>
      </c>
      <c r="AN316" s="185" t="s">
        <v>1485</v>
      </c>
      <c r="AO316" s="185" t="s">
        <v>5150</v>
      </c>
      <c r="AQ316" s="55" t="s">
        <v>553</v>
      </c>
      <c r="AR316" s="55" t="s">
        <v>218</v>
      </c>
      <c r="AS316" s="55" t="s">
        <v>218</v>
      </c>
      <c r="AU316" s="181" t="s">
        <v>7494</v>
      </c>
      <c r="AV316" s="185" t="s">
        <v>176</v>
      </c>
      <c r="AX316" s="185" t="s">
        <v>176</v>
      </c>
      <c r="AZ316" s="55" t="s">
        <v>216</v>
      </c>
      <c r="BA316" s="55" t="s">
        <v>216</v>
      </c>
      <c r="BB316" s="55" t="s">
        <v>2082</v>
      </c>
      <c r="BC316" s="55" t="s">
        <v>2082</v>
      </c>
      <c r="BD316" s="55" t="s">
        <v>176</v>
      </c>
      <c r="BE316" s="226" t="s">
        <v>319</v>
      </c>
      <c r="BF316" s="55" t="s">
        <v>479</v>
      </c>
      <c r="BG316" s="55" t="s">
        <v>479</v>
      </c>
      <c r="BH316" s="226" t="s">
        <v>319</v>
      </c>
      <c r="BI316" s="55" t="s">
        <v>479</v>
      </c>
      <c r="BK316" s="55" t="s">
        <v>6269</v>
      </c>
      <c r="BM316" s="192" t="s">
        <v>119</v>
      </c>
      <c r="BN316" s="55">
        <v>4</v>
      </c>
      <c r="BO316" s="55">
        <v>4</v>
      </c>
      <c r="BQ316" s="55" t="s">
        <v>315</v>
      </c>
      <c r="BV316" s="55" t="s">
        <v>320</v>
      </c>
      <c r="CB316" s="66">
        <f>2.87*1000</f>
        <v>2870</v>
      </c>
      <c r="CC316" s="66">
        <f>3.56*1000</f>
        <v>3560</v>
      </c>
      <c r="CG316" s="65" t="s">
        <v>317</v>
      </c>
      <c r="GP316" s="292" t="s">
        <v>7494</v>
      </c>
      <c r="HS316" s="227"/>
      <c r="HW316" s="227"/>
      <c r="JU316" s="55" t="s">
        <v>329</v>
      </c>
    </row>
    <row r="317" spans="1:283" x14ac:dyDescent="0.25">
      <c r="A317" s="55">
        <v>316</v>
      </c>
      <c r="B317" s="12" t="s">
        <v>7067</v>
      </c>
      <c r="C317" s="155">
        <v>19</v>
      </c>
      <c r="D317" s="55" t="s">
        <v>3761</v>
      </c>
      <c r="E317" s="90" t="s">
        <v>312</v>
      </c>
      <c r="G317" s="55" t="s">
        <v>313</v>
      </c>
      <c r="H317" s="55">
        <v>1986</v>
      </c>
      <c r="I317" s="55">
        <v>1983</v>
      </c>
      <c r="J317" s="55" t="s">
        <v>282</v>
      </c>
      <c r="K317" s="55" t="s">
        <v>314</v>
      </c>
      <c r="L317" s="55" t="s">
        <v>2737</v>
      </c>
      <c r="M317" s="90">
        <v>33.32</v>
      </c>
      <c r="N317" s="90">
        <v>-84.43</v>
      </c>
      <c r="O317" s="90">
        <v>246.5</v>
      </c>
      <c r="U317" s="55">
        <v>3</v>
      </c>
      <c r="V317" s="55" t="s">
        <v>1688</v>
      </c>
      <c r="Y317" s="55" t="s">
        <v>1825</v>
      </c>
      <c r="Z317" s="55" t="s">
        <v>1357</v>
      </c>
      <c r="AA317" s="90" t="s">
        <v>1677</v>
      </c>
      <c r="AH317" s="55" t="s">
        <v>238</v>
      </c>
      <c r="AM317" s="55" t="s">
        <v>1287</v>
      </c>
      <c r="AN317" s="185" t="s">
        <v>1496</v>
      </c>
      <c r="AO317" s="185" t="s">
        <v>5150</v>
      </c>
      <c r="AQ317" s="55" t="s">
        <v>553</v>
      </c>
      <c r="AR317" s="55" t="s">
        <v>218</v>
      </c>
      <c r="AS317" s="55" t="s">
        <v>218</v>
      </c>
      <c r="AU317" s="181" t="s">
        <v>7494</v>
      </c>
      <c r="AV317" s="185" t="s">
        <v>176</v>
      </c>
      <c r="AX317" s="185" t="s">
        <v>176</v>
      </c>
      <c r="AZ317" s="55" t="s">
        <v>216</v>
      </c>
      <c r="BA317" s="55" t="s">
        <v>216</v>
      </c>
      <c r="BB317" s="55" t="s">
        <v>2082</v>
      </c>
      <c r="BC317" s="55" t="s">
        <v>2082</v>
      </c>
      <c r="BD317" s="55" t="s">
        <v>176</v>
      </c>
      <c r="BE317" s="226" t="s">
        <v>319</v>
      </c>
      <c r="BF317" s="55" t="s">
        <v>479</v>
      </c>
      <c r="BG317" s="55" t="s">
        <v>479</v>
      </c>
      <c r="BH317" s="226" t="s">
        <v>319</v>
      </c>
      <c r="BI317" s="55" t="s">
        <v>479</v>
      </c>
      <c r="BK317" s="55" t="s">
        <v>6269</v>
      </c>
      <c r="BM317" s="192" t="s">
        <v>119</v>
      </c>
      <c r="BN317" s="55">
        <v>4</v>
      </c>
      <c r="BO317" s="55">
        <v>4</v>
      </c>
      <c r="BQ317" s="55" t="s">
        <v>315</v>
      </c>
      <c r="BS317" s="55">
        <f>4.97*1000</f>
        <v>4970</v>
      </c>
      <c r="BT317" s="55">
        <f>4.97/2.99*10</f>
        <v>16.622073578595316</v>
      </c>
      <c r="BV317" s="55" t="s">
        <v>320</v>
      </c>
      <c r="CB317" s="66">
        <f>2.87*1000</f>
        <v>2870</v>
      </c>
      <c r="CC317" s="66">
        <f>2.5*1000</f>
        <v>2500</v>
      </c>
      <c r="CG317" s="65" t="s">
        <v>317</v>
      </c>
      <c r="GP317" s="292" t="s">
        <v>7494</v>
      </c>
      <c r="HS317" s="227"/>
      <c r="HW317" s="227"/>
      <c r="JU317" s="55" t="s">
        <v>329</v>
      </c>
    </row>
    <row r="318" spans="1:283" x14ac:dyDescent="0.25">
      <c r="A318" s="55">
        <v>317</v>
      </c>
      <c r="B318" s="12" t="s">
        <v>7067</v>
      </c>
      <c r="C318" s="155">
        <v>19</v>
      </c>
      <c r="D318" s="55" t="s">
        <v>3761</v>
      </c>
      <c r="E318" s="90" t="s">
        <v>312</v>
      </c>
      <c r="G318" s="55" t="s">
        <v>313</v>
      </c>
      <c r="H318" s="55">
        <v>1986</v>
      </c>
      <c r="I318" s="55">
        <v>1983</v>
      </c>
      <c r="J318" s="55" t="s">
        <v>282</v>
      </c>
      <c r="K318" s="55" t="s">
        <v>314</v>
      </c>
      <c r="L318" s="55" t="s">
        <v>2737</v>
      </c>
      <c r="M318" s="90">
        <v>33.32</v>
      </c>
      <c r="N318" s="90">
        <v>-84.43</v>
      </c>
      <c r="O318" s="90">
        <v>246.5</v>
      </c>
      <c r="U318" s="55">
        <v>3</v>
      </c>
      <c r="V318" s="55" t="s">
        <v>1688</v>
      </c>
      <c r="Y318" s="55" t="s">
        <v>1825</v>
      </c>
      <c r="Z318" s="55" t="s">
        <v>1357</v>
      </c>
      <c r="AA318" s="90" t="s">
        <v>1677</v>
      </c>
      <c r="AH318" s="55" t="s">
        <v>238</v>
      </c>
      <c r="AM318" s="55" t="s">
        <v>1287</v>
      </c>
      <c r="AN318" s="185" t="s">
        <v>241</v>
      </c>
      <c r="AO318" s="185" t="s">
        <v>5150</v>
      </c>
      <c r="AQ318" s="55" t="s">
        <v>553</v>
      </c>
      <c r="AR318" s="55" t="s">
        <v>218</v>
      </c>
      <c r="AS318" s="55" t="s">
        <v>218</v>
      </c>
      <c r="AU318" s="181" t="s">
        <v>7494</v>
      </c>
      <c r="AV318" s="185" t="s">
        <v>176</v>
      </c>
      <c r="AX318" s="185" t="s">
        <v>176</v>
      </c>
      <c r="AZ318" s="55" t="s">
        <v>216</v>
      </c>
      <c r="BA318" s="55" t="s">
        <v>216</v>
      </c>
      <c r="BB318" s="55" t="s">
        <v>2082</v>
      </c>
      <c r="BC318" s="55" t="s">
        <v>2082</v>
      </c>
      <c r="BD318" s="55" t="s">
        <v>176</v>
      </c>
      <c r="BE318" s="226" t="s">
        <v>319</v>
      </c>
      <c r="BF318" s="55" t="s">
        <v>479</v>
      </c>
      <c r="BG318" s="55" t="s">
        <v>479</v>
      </c>
      <c r="BH318" s="226" t="s">
        <v>319</v>
      </c>
      <c r="BI318" s="55" t="s">
        <v>479</v>
      </c>
      <c r="BK318" s="55" t="s">
        <v>6269</v>
      </c>
      <c r="BM318" s="192" t="s">
        <v>119</v>
      </c>
      <c r="BN318" s="55">
        <v>4</v>
      </c>
      <c r="BO318" s="55">
        <v>4</v>
      </c>
      <c r="BQ318" s="55" t="s">
        <v>315</v>
      </c>
      <c r="BS318" s="55">
        <f>4.15*1000</f>
        <v>4150</v>
      </c>
      <c r="BT318" s="55">
        <f>4.15/4.5*10</f>
        <v>9.2222222222222232</v>
      </c>
      <c r="BV318" s="55" t="s">
        <v>320</v>
      </c>
      <c r="CB318" s="66">
        <f>2.87*1000</f>
        <v>2870</v>
      </c>
      <c r="CC318" s="66">
        <f>1.98*1000</f>
        <v>1980</v>
      </c>
      <c r="CG318" s="65" t="s">
        <v>317</v>
      </c>
      <c r="GP318" s="292" t="s">
        <v>7494</v>
      </c>
      <c r="HS318" s="227"/>
      <c r="HW318" s="227"/>
      <c r="JU318" s="55" t="s">
        <v>329</v>
      </c>
    </row>
    <row r="319" spans="1:283" x14ac:dyDescent="0.25">
      <c r="A319" s="55">
        <v>318</v>
      </c>
      <c r="B319" s="12" t="s">
        <v>7067</v>
      </c>
      <c r="C319" s="155">
        <v>19</v>
      </c>
      <c r="D319" s="55" t="s">
        <v>3761</v>
      </c>
      <c r="E319" s="90" t="s">
        <v>312</v>
      </c>
      <c r="G319" s="55" t="s">
        <v>313</v>
      </c>
      <c r="H319" s="55">
        <v>1986</v>
      </c>
      <c r="I319" s="55">
        <v>1983</v>
      </c>
      <c r="J319" s="55" t="s">
        <v>282</v>
      </c>
      <c r="K319" s="55" t="s">
        <v>314</v>
      </c>
      <c r="L319" s="55" t="s">
        <v>2737</v>
      </c>
      <c r="M319" s="90">
        <v>33.32</v>
      </c>
      <c r="N319" s="90">
        <v>-84.43</v>
      </c>
      <c r="O319" s="90">
        <v>246.5</v>
      </c>
      <c r="U319" s="55">
        <v>3</v>
      </c>
      <c r="V319" s="55" t="s">
        <v>1688</v>
      </c>
      <c r="Y319" s="55" t="s">
        <v>1825</v>
      </c>
      <c r="Z319" s="55" t="s">
        <v>1357</v>
      </c>
      <c r="AA319" s="90" t="s">
        <v>1677</v>
      </c>
      <c r="AH319" s="55" t="s">
        <v>238</v>
      </c>
      <c r="AM319" s="55" t="s">
        <v>1287</v>
      </c>
      <c r="AN319" s="185" t="s">
        <v>1497</v>
      </c>
      <c r="AO319" s="185" t="s">
        <v>5150</v>
      </c>
      <c r="AQ319" s="55" t="s">
        <v>553</v>
      </c>
      <c r="AR319" s="55" t="s">
        <v>218</v>
      </c>
      <c r="AS319" s="55" t="s">
        <v>218</v>
      </c>
      <c r="AU319" s="181" t="s">
        <v>7494</v>
      </c>
      <c r="AV319" s="185" t="s">
        <v>176</v>
      </c>
      <c r="AX319" s="185" t="s">
        <v>176</v>
      </c>
      <c r="AZ319" s="55" t="s">
        <v>216</v>
      </c>
      <c r="BA319" s="55" t="s">
        <v>216</v>
      </c>
      <c r="BB319" s="55" t="s">
        <v>2082</v>
      </c>
      <c r="BC319" s="55" t="s">
        <v>2082</v>
      </c>
      <c r="BD319" s="55" t="s">
        <v>176</v>
      </c>
      <c r="BE319" s="226" t="s">
        <v>319</v>
      </c>
      <c r="BF319" s="55" t="s">
        <v>479</v>
      </c>
      <c r="BG319" s="55" t="s">
        <v>479</v>
      </c>
      <c r="BH319" s="226" t="s">
        <v>319</v>
      </c>
      <c r="BI319" s="55" t="s">
        <v>479</v>
      </c>
      <c r="BK319" s="55" t="s">
        <v>6269</v>
      </c>
      <c r="BM319" s="192" t="s">
        <v>119</v>
      </c>
      <c r="BN319" s="55">
        <v>4</v>
      </c>
      <c r="BO319" s="55">
        <v>4</v>
      </c>
      <c r="BQ319" s="55" t="s">
        <v>315</v>
      </c>
      <c r="BS319" s="55">
        <f>4.23*1000</f>
        <v>4230</v>
      </c>
      <c r="BT319" s="55">
        <f>4.23/3.36*10</f>
        <v>12.589285714285715</v>
      </c>
      <c r="BV319" s="55" t="s">
        <v>320</v>
      </c>
      <c r="CB319" s="66">
        <f>2.87*1000</f>
        <v>2870</v>
      </c>
      <c r="CC319" s="66">
        <f>2.77*1000</f>
        <v>2770</v>
      </c>
      <c r="CG319" s="65" t="s">
        <v>317</v>
      </c>
      <c r="GP319" s="292" t="s">
        <v>7494</v>
      </c>
      <c r="HS319" s="227"/>
      <c r="HW319" s="227"/>
      <c r="JU319" s="55" t="s">
        <v>329</v>
      </c>
    </row>
    <row r="320" spans="1:283" x14ac:dyDescent="0.25">
      <c r="A320" s="55">
        <v>319</v>
      </c>
      <c r="B320" s="12" t="s">
        <v>7067</v>
      </c>
      <c r="C320" s="155">
        <v>20</v>
      </c>
      <c r="D320" s="55" t="s">
        <v>3762</v>
      </c>
      <c r="E320" s="90" t="s">
        <v>331</v>
      </c>
      <c r="G320" s="55" t="s">
        <v>332</v>
      </c>
      <c r="H320" s="55">
        <v>2014</v>
      </c>
      <c r="I320" s="55">
        <v>2010</v>
      </c>
      <c r="J320" s="55" t="s">
        <v>333</v>
      </c>
      <c r="K320" s="55" t="s">
        <v>330</v>
      </c>
      <c r="L320" s="55" t="s">
        <v>2737</v>
      </c>
      <c r="M320" s="90">
        <f>42+40/60</f>
        <v>42.666666666666664</v>
      </c>
      <c r="N320" s="90">
        <f>-84-28/60</f>
        <v>-84.466666666666669</v>
      </c>
      <c r="O320" s="90">
        <v>268.5</v>
      </c>
      <c r="U320" s="55">
        <v>1</v>
      </c>
      <c r="V320" s="55" t="s">
        <v>1805</v>
      </c>
      <c r="Y320" s="55" t="s">
        <v>1826</v>
      </c>
      <c r="Z320" s="55" t="s">
        <v>1344</v>
      </c>
      <c r="AA320" s="90" t="s">
        <v>1344</v>
      </c>
      <c r="AH320" s="55" t="s">
        <v>174</v>
      </c>
      <c r="AI320" s="168">
        <v>6.6</v>
      </c>
      <c r="AM320" s="55" t="s">
        <v>1288</v>
      </c>
      <c r="AN320" s="185" t="s">
        <v>241</v>
      </c>
      <c r="AO320" s="185" t="s">
        <v>5150</v>
      </c>
      <c r="AQ320" s="55" t="s">
        <v>553</v>
      </c>
      <c r="AR320" s="55" t="s">
        <v>218</v>
      </c>
      <c r="AS320" s="55" t="s">
        <v>218</v>
      </c>
      <c r="AU320" s="181" t="s">
        <v>7494</v>
      </c>
      <c r="AV320" s="185" t="s">
        <v>176</v>
      </c>
      <c r="AX320" s="185" t="s">
        <v>176</v>
      </c>
      <c r="AZ320" s="55" t="s">
        <v>229</v>
      </c>
      <c r="BA320" s="55" t="s">
        <v>229</v>
      </c>
      <c r="BB320" s="55" t="s">
        <v>2081</v>
      </c>
      <c r="BC320" s="55" t="s">
        <v>2081</v>
      </c>
      <c r="BD320" s="55" t="s">
        <v>176</v>
      </c>
      <c r="BE320" s="226">
        <v>0</v>
      </c>
      <c r="BG320" s="55" t="s">
        <v>176</v>
      </c>
      <c r="BH320" s="226">
        <v>0</v>
      </c>
      <c r="BI320" s="55" t="s">
        <v>176</v>
      </c>
      <c r="BJ320" s="55" t="s">
        <v>176</v>
      </c>
      <c r="BK320" s="55" t="s">
        <v>5976</v>
      </c>
      <c r="BM320" s="192" t="s">
        <v>160</v>
      </c>
      <c r="BN320" s="55">
        <v>4</v>
      </c>
      <c r="BO320" s="55">
        <v>4</v>
      </c>
      <c r="BQ320" s="55" t="s">
        <v>141</v>
      </c>
      <c r="BR320" s="55">
        <v>5422</v>
      </c>
      <c r="GN320" s="294">
        <v>100</v>
      </c>
      <c r="GO320" s="294">
        <v>11.715999999999999</v>
      </c>
      <c r="GP320" s="292" t="s">
        <v>5150</v>
      </c>
      <c r="GS320" s="65" t="s">
        <v>334</v>
      </c>
      <c r="HS320" s="227"/>
      <c r="HW320" s="227"/>
      <c r="JW320" s="55" t="s">
        <v>1122</v>
      </c>
    </row>
    <row r="321" spans="1:283" x14ac:dyDescent="0.25">
      <c r="A321" s="55">
        <v>320</v>
      </c>
      <c r="B321" s="12" t="s">
        <v>7067</v>
      </c>
      <c r="C321" s="155">
        <v>20</v>
      </c>
      <c r="D321" s="55" t="s">
        <v>3763</v>
      </c>
      <c r="E321" s="90" t="s">
        <v>331</v>
      </c>
      <c r="G321" s="55" t="s">
        <v>332</v>
      </c>
      <c r="H321" s="55">
        <v>2014</v>
      </c>
      <c r="I321" s="55">
        <v>2010</v>
      </c>
      <c r="J321" s="55" t="s">
        <v>333</v>
      </c>
      <c r="K321" s="55" t="s">
        <v>330</v>
      </c>
      <c r="L321" s="55" t="s">
        <v>2737</v>
      </c>
      <c r="M321" s="90">
        <f>42+40/60</f>
        <v>42.666666666666664</v>
      </c>
      <c r="N321" s="90">
        <f>-84-28/60</f>
        <v>-84.466666666666669</v>
      </c>
      <c r="O321" s="90">
        <v>268.5</v>
      </c>
      <c r="U321" s="55">
        <v>1</v>
      </c>
      <c r="V321" s="55" t="s">
        <v>1805</v>
      </c>
      <c r="Y321" s="55" t="s">
        <v>1826</v>
      </c>
      <c r="Z321" s="55" t="s">
        <v>1344</v>
      </c>
      <c r="AA321" s="90" t="s">
        <v>1344</v>
      </c>
      <c r="AH321" s="55" t="s">
        <v>174</v>
      </c>
      <c r="AI321" s="168">
        <v>6.6</v>
      </c>
      <c r="AM321" s="55" t="s">
        <v>1288</v>
      </c>
      <c r="AN321" s="185" t="s">
        <v>1515</v>
      </c>
      <c r="AO321" s="185" t="s">
        <v>5150</v>
      </c>
      <c r="AQ321" s="55" t="s">
        <v>1546</v>
      </c>
      <c r="AR321" s="55" t="s">
        <v>218</v>
      </c>
      <c r="AS321" s="55" t="s">
        <v>218</v>
      </c>
      <c r="AU321" s="181" t="s">
        <v>7494</v>
      </c>
      <c r="AV321" s="185" t="s">
        <v>176</v>
      </c>
      <c r="AX321" s="185" t="s">
        <v>176</v>
      </c>
      <c r="AZ321" s="55" t="s">
        <v>229</v>
      </c>
      <c r="BA321" s="55" t="s">
        <v>229</v>
      </c>
      <c r="BB321" s="55" t="s">
        <v>2081</v>
      </c>
      <c r="BC321" s="55" t="s">
        <v>2081</v>
      </c>
      <c r="BD321" s="55" t="s">
        <v>176</v>
      </c>
      <c r="BE321" s="226">
        <v>0</v>
      </c>
      <c r="BG321" s="55" t="s">
        <v>176</v>
      </c>
      <c r="BH321" s="226">
        <v>0</v>
      </c>
      <c r="BI321" s="55" t="s">
        <v>176</v>
      </c>
      <c r="BJ321" s="55" t="s">
        <v>176</v>
      </c>
      <c r="BK321" s="55" t="s">
        <v>5976</v>
      </c>
      <c r="BM321" s="192" t="s">
        <v>160</v>
      </c>
      <c r="BN321" s="55">
        <v>4</v>
      </c>
      <c r="BO321" s="55">
        <v>4</v>
      </c>
      <c r="BQ321" s="55" t="s">
        <v>141</v>
      </c>
      <c r="BR321" s="55">
        <v>6205</v>
      </c>
      <c r="GN321" s="294">
        <v>100</v>
      </c>
      <c r="GO321" s="294">
        <v>14.13</v>
      </c>
      <c r="GP321" s="292" t="s">
        <v>5150</v>
      </c>
      <c r="GS321" s="65" t="s">
        <v>334</v>
      </c>
      <c r="HS321" s="227"/>
      <c r="HW321" s="227"/>
      <c r="JW321" s="55" t="s">
        <v>1122</v>
      </c>
    </row>
    <row r="322" spans="1:283" x14ac:dyDescent="0.25">
      <c r="A322" s="55">
        <v>321</v>
      </c>
      <c r="B322" s="12" t="s">
        <v>7067</v>
      </c>
      <c r="C322" s="155">
        <v>20</v>
      </c>
      <c r="D322" s="55" t="s">
        <v>3763</v>
      </c>
      <c r="E322" s="90" t="s">
        <v>331</v>
      </c>
      <c r="G322" s="55" t="s">
        <v>332</v>
      </c>
      <c r="H322" s="55">
        <v>2014</v>
      </c>
      <c r="I322" s="55">
        <v>2010</v>
      </c>
      <c r="J322" s="55" t="s">
        <v>333</v>
      </c>
      <c r="K322" s="55" t="s">
        <v>330</v>
      </c>
      <c r="L322" s="55" t="s">
        <v>2737</v>
      </c>
      <c r="M322" s="90">
        <f>42+40/60</f>
        <v>42.666666666666664</v>
      </c>
      <c r="N322" s="90">
        <f>-84-28/60</f>
        <v>-84.466666666666669</v>
      </c>
      <c r="O322" s="90">
        <v>268.5</v>
      </c>
      <c r="U322" s="55">
        <v>1</v>
      </c>
      <c r="V322" s="55" t="s">
        <v>1805</v>
      </c>
      <c r="Y322" s="55" t="s">
        <v>1826</v>
      </c>
      <c r="Z322" s="55" t="s">
        <v>1344</v>
      </c>
      <c r="AA322" s="90" t="s">
        <v>1344</v>
      </c>
      <c r="AH322" s="55" t="s">
        <v>174</v>
      </c>
      <c r="AI322" s="168">
        <v>6.6</v>
      </c>
      <c r="AM322" s="55" t="s">
        <v>1288</v>
      </c>
      <c r="AN322" s="185" t="s">
        <v>1516</v>
      </c>
      <c r="AO322" s="185" t="s">
        <v>5150</v>
      </c>
      <c r="AQ322" s="55" t="s">
        <v>1546</v>
      </c>
      <c r="AR322" s="55" t="s">
        <v>218</v>
      </c>
      <c r="AS322" s="55" t="s">
        <v>218</v>
      </c>
      <c r="AU322" s="181" t="s">
        <v>7494</v>
      </c>
      <c r="AV322" s="185" t="s">
        <v>176</v>
      </c>
      <c r="AX322" s="185" t="s">
        <v>176</v>
      </c>
      <c r="AZ322" s="55" t="s">
        <v>229</v>
      </c>
      <c r="BA322" s="55" t="s">
        <v>229</v>
      </c>
      <c r="BB322" s="55" t="s">
        <v>2081</v>
      </c>
      <c r="BC322" s="55" t="s">
        <v>2081</v>
      </c>
      <c r="BD322" s="55" t="s">
        <v>176</v>
      </c>
      <c r="BE322" s="226">
        <v>0</v>
      </c>
      <c r="BG322" s="55" t="s">
        <v>176</v>
      </c>
      <c r="BH322" s="226">
        <v>0</v>
      </c>
      <c r="BI322" s="55" t="s">
        <v>176</v>
      </c>
      <c r="BJ322" s="55" t="s">
        <v>176</v>
      </c>
      <c r="BK322" s="55" t="s">
        <v>5976</v>
      </c>
      <c r="BM322" s="192" t="s">
        <v>160</v>
      </c>
      <c r="BN322" s="55">
        <v>4</v>
      </c>
      <c r="BO322" s="55">
        <v>4</v>
      </c>
      <c r="BQ322" s="55" t="s">
        <v>141</v>
      </c>
      <c r="BR322" s="55">
        <v>5939</v>
      </c>
      <c r="GN322" s="294">
        <v>100</v>
      </c>
      <c r="GO322" s="294">
        <v>9.5299999999999994</v>
      </c>
      <c r="GP322" s="292" t="s">
        <v>5150</v>
      </c>
      <c r="GS322" s="65" t="s">
        <v>334</v>
      </c>
      <c r="HS322" s="227"/>
      <c r="HW322" s="227"/>
      <c r="JW322" s="55" t="s">
        <v>1122</v>
      </c>
    </row>
    <row r="323" spans="1:283" x14ac:dyDescent="0.25">
      <c r="A323" s="55">
        <v>322</v>
      </c>
      <c r="B323" s="12" t="s">
        <v>7067</v>
      </c>
      <c r="C323" s="155">
        <v>20</v>
      </c>
      <c r="D323" s="55" t="s">
        <v>3763</v>
      </c>
      <c r="E323" s="90" t="s">
        <v>331</v>
      </c>
      <c r="G323" s="55" t="s">
        <v>332</v>
      </c>
      <c r="H323" s="55">
        <v>2014</v>
      </c>
      <c r="I323" s="55">
        <v>2010</v>
      </c>
      <c r="J323" s="55" t="s">
        <v>333</v>
      </c>
      <c r="K323" s="55" t="s">
        <v>330</v>
      </c>
      <c r="L323" s="55" t="s">
        <v>2737</v>
      </c>
      <c r="M323" s="90">
        <f>42+40/60</f>
        <v>42.666666666666664</v>
      </c>
      <c r="N323" s="90">
        <f>-84-28/60</f>
        <v>-84.466666666666669</v>
      </c>
      <c r="O323" s="90">
        <v>268.5</v>
      </c>
      <c r="U323" s="55">
        <v>1</v>
      </c>
      <c r="V323" s="55" t="s">
        <v>1805</v>
      </c>
      <c r="Y323" s="55" t="s">
        <v>1826</v>
      </c>
      <c r="Z323" s="55" t="s">
        <v>1344</v>
      </c>
      <c r="AA323" s="90" t="s">
        <v>1344</v>
      </c>
      <c r="AH323" s="55" t="s">
        <v>174</v>
      </c>
      <c r="AI323" s="168">
        <v>6.6</v>
      </c>
      <c r="AM323" s="55" t="s">
        <v>1288</v>
      </c>
      <c r="AN323" s="185" t="s">
        <v>1517</v>
      </c>
      <c r="AO323" s="185" t="s">
        <v>5150</v>
      </c>
      <c r="AQ323" s="55" t="s">
        <v>1546</v>
      </c>
      <c r="AR323" s="55" t="s">
        <v>218</v>
      </c>
      <c r="AS323" s="55" t="s">
        <v>218</v>
      </c>
      <c r="AU323" s="181" t="s">
        <v>7494</v>
      </c>
      <c r="AV323" s="185" t="s">
        <v>176</v>
      </c>
      <c r="AX323" s="185" t="s">
        <v>176</v>
      </c>
      <c r="AZ323" s="55" t="s">
        <v>229</v>
      </c>
      <c r="BA323" s="55" t="s">
        <v>229</v>
      </c>
      <c r="BB323" s="55" t="s">
        <v>2081</v>
      </c>
      <c r="BC323" s="55" t="s">
        <v>2081</v>
      </c>
      <c r="BD323" s="55" t="s">
        <v>176</v>
      </c>
      <c r="BE323" s="226">
        <v>0</v>
      </c>
      <c r="BG323" s="55" t="s">
        <v>176</v>
      </c>
      <c r="BH323" s="226">
        <v>0</v>
      </c>
      <c r="BI323" s="55" t="s">
        <v>176</v>
      </c>
      <c r="BJ323" s="55" t="s">
        <v>176</v>
      </c>
      <c r="BK323" s="55" t="s">
        <v>5976</v>
      </c>
      <c r="BM323" s="192" t="s">
        <v>160</v>
      </c>
      <c r="BN323" s="55">
        <v>4</v>
      </c>
      <c r="BO323" s="55">
        <v>4</v>
      </c>
      <c r="BQ323" s="55" t="s">
        <v>141</v>
      </c>
      <c r="BR323" s="55">
        <v>5064</v>
      </c>
      <c r="GN323" s="294">
        <v>100</v>
      </c>
      <c r="GO323" s="294">
        <v>7.8</v>
      </c>
      <c r="GP323" s="292" t="s">
        <v>5150</v>
      </c>
      <c r="GS323" s="65" t="s">
        <v>334</v>
      </c>
      <c r="HS323" s="227"/>
      <c r="HW323" s="227"/>
      <c r="JW323" s="55" t="s">
        <v>1122</v>
      </c>
    </row>
    <row r="324" spans="1:283" x14ac:dyDescent="0.25">
      <c r="A324" s="55">
        <v>323</v>
      </c>
      <c r="B324" s="12" t="s">
        <v>7067</v>
      </c>
      <c r="C324" s="155">
        <v>20</v>
      </c>
      <c r="D324" s="55" t="s">
        <v>3763</v>
      </c>
      <c r="E324" s="90" t="s">
        <v>331</v>
      </c>
      <c r="G324" s="55" t="s">
        <v>332</v>
      </c>
      <c r="H324" s="55">
        <v>2014</v>
      </c>
      <c r="I324" s="55">
        <v>2010</v>
      </c>
      <c r="J324" s="55" t="s">
        <v>333</v>
      </c>
      <c r="K324" s="55" t="s">
        <v>330</v>
      </c>
      <c r="L324" s="55" t="s">
        <v>2737</v>
      </c>
      <c r="M324" s="90">
        <f>42+40/60</f>
        <v>42.666666666666664</v>
      </c>
      <c r="N324" s="90">
        <f>-84-28/60</f>
        <v>-84.466666666666669</v>
      </c>
      <c r="O324" s="90">
        <v>268.5</v>
      </c>
      <c r="U324" s="55">
        <v>1</v>
      </c>
      <c r="V324" s="55" t="s">
        <v>1805</v>
      </c>
      <c r="Y324" s="55" t="s">
        <v>1826</v>
      </c>
      <c r="Z324" s="55" t="s">
        <v>1344</v>
      </c>
      <c r="AA324" s="90" t="s">
        <v>1344</v>
      </c>
      <c r="AH324" s="55" t="s">
        <v>174</v>
      </c>
      <c r="AI324" s="168">
        <v>6.6</v>
      </c>
      <c r="AM324" s="55" t="s">
        <v>1288</v>
      </c>
      <c r="AN324" s="185" t="s">
        <v>1518</v>
      </c>
      <c r="AO324" s="185" t="s">
        <v>5150</v>
      </c>
      <c r="AQ324" s="55" t="s">
        <v>1546</v>
      </c>
      <c r="AR324" s="55" t="s">
        <v>218</v>
      </c>
      <c r="AS324" s="55" t="s">
        <v>218</v>
      </c>
      <c r="AU324" s="181" t="s">
        <v>7494</v>
      </c>
      <c r="AV324" s="185" t="s">
        <v>176</v>
      </c>
      <c r="AX324" s="185" t="s">
        <v>176</v>
      </c>
      <c r="AZ324" s="55" t="s">
        <v>229</v>
      </c>
      <c r="BA324" s="55" t="s">
        <v>229</v>
      </c>
      <c r="BB324" s="55" t="s">
        <v>2081</v>
      </c>
      <c r="BC324" s="55" t="s">
        <v>2081</v>
      </c>
      <c r="BD324" s="55" t="s">
        <v>176</v>
      </c>
      <c r="BE324" s="226">
        <v>0</v>
      </c>
      <c r="BG324" s="55" t="s">
        <v>176</v>
      </c>
      <c r="BH324" s="226">
        <v>0</v>
      </c>
      <c r="BI324" s="55" t="s">
        <v>176</v>
      </c>
      <c r="BJ324" s="55" t="s">
        <v>176</v>
      </c>
      <c r="BK324" s="55" t="s">
        <v>5976</v>
      </c>
      <c r="BM324" s="192" t="s">
        <v>160</v>
      </c>
      <c r="BN324" s="55">
        <v>4</v>
      </c>
      <c r="BO324" s="55">
        <v>4</v>
      </c>
      <c r="BQ324" s="55" t="s">
        <v>141</v>
      </c>
      <c r="BR324" s="55">
        <v>5489</v>
      </c>
      <c r="GN324" s="294">
        <v>100</v>
      </c>
      <c r="GO324" s="294">
        <v>5.41</v>
      </c>
      <c r="GP324" s="292" t="s">
        <v>5150</v>
      </c>
      <c r="GS324" s="65" t="s">
        <v>334</v>
      </c>
      <c r="HS324" s="227"/>
      <c r="HW324" s="227"/>
      <c r="JW324" s="55" t="s">
        <v>1122</v>
      </c>
    </row>
    <row r="325" spans="1:283" x14ac:dyDescent="0.25">
      <c r="A325" s="55">
        <v>324</v>
      </c>
      <c r="B325" s="12" t="s">
        <v>7067</v>
      </c>
      <c r="C325" s="155">
        <v>20</v>
      </c>
      <c r="D325" s="55" t="s">
        <v>3763</v>
      </c>
      <c r="E325" s="90" t="s">
        <v>331</v>
      </c>
      <c r="G325" s="55" t="s">
        <v>332</v>
      </c>
      <c r="H325" s="55">
        <v>2014</v>
      </c>
      <c r="I325" s="55">
        <v>2010</v>
      </c>
      <c r="J325" s="55" t="s">
        <v>333</v>
      </c>
      <c r="K325" s="55" t="s">
        <v>330</v>
      </c>
      <c r="L325" s="55" t="s">
        <v>2737</v>
      </c>
      <c r="M325" s="90">
        <f>42+40/60</f>
        <v>42.666666666666664</v>
      </c>
      <c r="N325" s="90">
        <f>-84-28/60</f>
        <v>-84.466666666666669</v>
      </c>
      <c r="O325" s="90">
        <v>268.5</v>
      </c>
      <c r="U325" s="55">
        <v>1</v>
      </c>
      <c r="V325" s="55" t="s">
        <v>1805</v>
      </c>
      <c r="Y325" s="55" t="s">
        <v>1826</v>
      </c>
      <c r="Z325" s="55" t="s">
        <v>1344</v>
      </c>
      <c r="AA325" s="90" t="s">
        <v>1344</v>
      </c>
      <c r="AH325" s="55" t="s">
        <v>174</v>
      </c>
      <c r="AI325" s="168">
        <v>6.6</v>
      </c>
      <c r="AM325" s="55" t="s">
        <v>1288</v>
      </c>
      <c r="AN325" s="185" t="s">
        <v>1519</v>
      </c>
      <c r="AO325" s="185" t="s">
        <v>5150</v>
      </c>
      <c r="AQ325" s="55" t="s">
        <v>1546</v>
      </c>
      <c r="AR325" s="55" t="s">
        <v>218</v>
      </c>
      <c r="AS325" s="55" t="s">
        <v>218</v>
      </c>
      <c r="AU325" s="181" t="s">
        <v>7494</v>
      </c>
      <c r="AV325" s="185" t="s">
        <v>176</v>
      </c>
      <c r="AX325" s="185" t="s">
        <v>176</v>
      </c>
      <c r="AZ325" s="55" t="s">
        <v>229</v>
      </c>
      <c r="BA325" s="55" t="s">
        <v>229</v>
      </c>
      <c r="BB325" s="55" t="s">
        <v>2081</v>
      </c>
      <c r="BC325" s="55" t="s">
        <v>2081</v>
      </c>
      <c r="BD325" s="55" t="s">
        <v>176</v>
      </c>
      <c r="BE325" s="226">
        <v>0</v>
      </c>
      <c r="BG325" s="55" t="s">
        <v>176</v>
      </c>
      <c r="BH325" s="226">
        <v>0</v>
      </c>
      <c r="BI325" s="55" t="s">
        <v>176</v>
      </c>
      <c r="BJ325" s="55" t="s">
        <v>176</v>
      </c>
      <c r="BK325" s="55" t="s">
        <v>5976</v>
      </c>
      <c r="BM325" s="192" t="s">
        <v>160</v>
      </c>
      <c r="BN325" s="55">
        <v>4</v>
      </c>
      <c r="BO325" s="55">
        <v>4</v>
      </c>
      <c r="BQ325" s="55" t="s">
        <v>141</v>
      </c>
      <c r="BR325" s="55">
        <v>4985</v>
      </c>
      <c r="GN325" s="294">
        <v>100</v>
      </c>
      <c r="GO325" s="294">
        <v>6.35</v>
      </c>
      <c r="GP325" s="292" t="s">
        <v>5150</v>
      </c>
      <c r="GS325" s="65" t="s">
        <v>334</v>
      </c>
      <c r="HS325" s="227"/>
      <c r="HW325" s="227"/>
      <c r="JW325" s="55" t="s">
        <v>1122</v>
      </c>
    </row>
    <row r="326" spans="1:283" x14ac:dyDescent="0.25">
      <c r="A326" s="55">
        <v>325</v>
      </c>
      <c r="B326" s="12" t="s">
        <v>7067</v>
      </c>
      <c r="C326" s="155">
        <v>20</v>
      </c>
      <c r="D326" s="55" t="s">
        <v>3764</v>
      </c>
      <c r="E326" s="90" t="s">
        <v>331</v>
      </c>
      <c r="G326" s="55" t="s">
        <v>332</v>
      </c>
      <c r="H326" s="55">
        <v>2014</v>
      </c>
      <c r="I326" s="55">
        <v>2010</v>
      </c>
      <c r="J326" s="55" t="s">
        <v>333</v>
      </c>
      <c r="K326" s="55" t="s">
        <v>330</v>
      </c>
      <c r="L326" s="55" t="s">
        <v>2737</v>
      </c>
      <c r="M326" s="90">
        <f>42+40/60</f>
        <v>42.666666666666664</v>
      </c>
      <c r="N326" s="90">
        <f>-84-28/60</f>
        <v>-84.466666666666669</v>
      </c>
      <c r="O326" s="90">
        <v>268.5</v>
      </c>
      <c r="U326" s="55">
        <v>1</v>
      </c>
      <c r="V326" s="55" t="s">
        <v>1805</v>
      </c>
      <c r="Y326" s="55" t="s">
        <v>1826</v>
      </c>
      <c r="Z326" s="55" t="s">
        <v>1344</v>
      </c>
      <c r="AA326" s="90" t="s">
        <v>1344</v>
      </c>
      <c r="AH326" s="55" t="s">
        <v>174</v>
      </c>
      <c r="AI326" s="168">
        <v>6.6</v>
      </c>
      <c r="AM326" s="55" t="s">
        <v>1288</v>
      </c>
      <c r="AN326" s="185" t="s">
        <v>131</v>
      </c>
      <c r="AO326" s="185" t="s">
        <v>5150</v>
      </c>
      <c r="AQ326" s="55" t="s">
        <v>131</v>
      </c>
      <c r="AR326" s="55" t="s">
        <v>218</v>
      </c>
      <c r="AS326" s="55" t="s">
        <v>218</v>
      </c>
      <c r="AU326" s="181" t="s">
        <v>7494</v>
      </c>
      <c r="AV326" s="185" t="s">
        <v>176</v>
      </c>
      <c r="AX326" s="185" t="s">
        <v>176</v>
      </c>
      <c r="AZ326" s="55" t="s">
        <v>229</v>
      </c>
      <c r="BA326" s="55" t="s">
        <v>229</v>
      </c>
      <c r="BB326" s="55" t="s">
        <v>2081</v>
      </c>
      <c r="BC326" s="55" t="s">
        <v>2081</v>
      </c>
      <c r="BD326" s="55" t="s">
        <v>176</v>
      </c>
      <c r="BE326" s="226">
        <v>0</v>
      </c>
      <c r="BG326" s="55" t="s">
        <v>176</v>
      </c>
      <c r="BH326" s="226">
        <v>0</v>
      </c>
      <c r="BI326" s="55" t="s">
        <v>176</v>
      </c>
      <c r="BJ326" s="55" t="s">
        <v>176</v>
      </c>
      <c r="BK326" s="55" t="s">
        <v>5976</v>
      </c>
      <c r="BM326" s="192" t="s">
        <v>160</v>
      </c>
      <c r="BN326" s="55">
        <v>4</v>
      </c>
      <c r="BO326" s="55">
        <v>4</v>
      </c>
      <c r="BQ326" s="55" t="s">
        <v>141</v>
      </c>
      <c r="BR326" s="55">
        <v>4057</v>
      </c>
      <c r="GN326" s="294">
        <v>100</v>
      </c>
      <c r="GO326" s="294">
        <v>4.8</v>
      </c>
      <c r="GP326" s="292" t="s">
        <v>5150</v>
      </c>
      <c r="GS326" s="65" t="s">
        <v>334</v>
      </c>
      <c r="HS326" s="227"/>
      <c r="HW326" s="227"/>
      <c r="JW326" s="55" t="s">
        <v>1122</v>
      </c>
    </row>
    <row r="327" spans="1:283" x14ac:dyDescent="0.25">
      <c r="A327" s="55">
        <v>326</v>
      </c>
      <c r="B327" s="12" t="s">
        <v>7067</v>
      </c>
      <c r="C327" s="155">
        <v>20</v>
      </c>
      <c r="D327" s="55" t="s">
        <v>3762</v>
      </c>
      <c r="E327" s="90" t="s">
        <v>331</v>
      </c>
      <c r="G327" s="55" t="s">
        <v>332</v>
      </c>
      <c r="H327" s="55">
        <v>2014</v>
      </c>
      <c r="I327" s="55">
        <v>2011</v>
      </c>
      <c r="J327" s="55" t="s">
        <v>333</v>
      </c>
      <c r="K327" s="55" t="s">
        <v>330</v>
      </c>
      <c r="L327" s="55" t="s">
        <v>2737</v>
      </c>
      <c r="M327" s="90">
        <f>42+40/60</f>
        <v>42.666666666666664</v>
      </c>
      <c r="N327" s="90">
        <f>-84-28/60</f>
        <v>-84.466666666666669</v>
      </c>
      <c r="O327" s="90">
        <v>268.5</v>
      </c>
      <c r="U327" s="55">
        <v>2</v>
      </c>
      <c r="V327" s="55" t="s">
        <v>1805</v>
      </c>
      <c r="Y327" s="55" t="s">
        <v>1826</v>
      </c>
      <c r="Z327" s="55" t="s">
        <v>1344</v>
      </c>
      <c r="AA327" s="90" t="s">
        <v>1344</v>
      </c>
      <c r="AH327" s="55" t="s">
        <v>174</v>
      </c>
      <c r="AI327" s="168">
        <v>6.6</v>
      </c>
      <c r="AM327" s="55" t="s">
        <v>1288</v>
      </c>
      <c r="AN327" s="185" t="s">
        <v>241</v>
      </c>
      <c r="AO327" s="185" t="s">
        <v>5150</v>
      </c>
      <c r="AQ327" s="55" t="s">
        <v>553</v>
      </c>
      <c r="AR327" s="55" t="s">
        <v>218</v>
      </c>
      <c r="AS327" s="55" t="s">
        <v>218</v>
      </c>
      <c r="AU327" s="181" t="s">
        <v>7494</v>
      </c>
      <c r="AV327" s="185" t="s">
        <v>176</v>
      </c>
      <c r="AX327" s="185" t="s">
        <v>176</v>
      </c>
      <c r="AZ327" s="55" t="s">
        <v>229</v>
      </c>
      <c r="BA327" s="55" t="s">
        <v>229</v>
      </c>
      <c r="BB327" s="55" t="s">
        <v>2081</v>
      </c>
      <c r="BC327" s="55" t="s">
        <v>2081</v>
      </c>
      <c r="BD327" s="55" t="s">
        <v>176</v>
      </c>
      <c r="BE327" s="226">
        <v>0</v>
      </c>
      <c r="BG327" s="55" t="s">
        <v>176</v>
      </c>
      <c r="BH327" s="226">
        <v>0</v>
      </c>
      <c r="BI327" s="55" t="s">
        <v>176</v>
      </c>
      <c r="BJ327" s="55" t="s">
        <v>176</v>
      </c>
      <c r="BK327" s="55" t="s">
        <v>5976</v>
      </c>
      <c r="BM327" s="192" t="s">
        <v>160</v>
      </c>
      <c r="BN327" s="55">
        <v>4</v>
      </c>
      <c r="BO327" s="55">
        <v>4</v>
      </c>
      <c r="BQ327" s="55" t="s">
        <v>141</v>
      </c>
      <c r="BR327" s="55">
        <v>3023</v>
      </c>
      <c r="GN327" s="294">
        <v>100</v>
      </c>
      <c r="GO327" s="294">
        <v>37.82</v>
      </c>
      <c r="GP327" s="292" t="s">
        <v>5150</v>
      </c>
      <c r="GS327" s="65" t="s">
        <v>334</v>
      </c>
      <c r="HS327" s="227"/>
      <c r="HW327" s="227"/>
      <c r="JW327" s="55" t="s">
        <v>1122</v>
      </c>
    </row>
    <row r="328" spans="1:283" x14ac:dyDescent="0.25">
      <c r="A328" s="55">
        <v>327</v>
      </c>
      <c r="B328" s="12" t="s">
        <v>7067</v>
      </c>
      <c r="C328" s="155">
        <v>20</v>
      </c>
      <c r="D328" s="55" t="s">
        <v>3763</v>
      </c>
      <c r="E328" s="90" t="s">
        <v>331</v>
      </c>
      <c r="G328" s="55" t="s">
        <v>332</v>
      </c>
      <c r="H328" s="55">
        <v>2014</v>
      </c>
      <c r="I328" s="55">
        <v>2011</v>
      </c>
      <c r="J328" s="55" t="s">
        <v>333</v>
      </c>
      <c r="K328" s="55" t="s">
        <v>330</v>
      </c>
      <c r="L328" s="55" t="s">
        <v>2737</v>
      </c>
      <c r="M328" s="90">
        <f>42+40/60</f>
        <v>42.666666666666664</v>
      </c>
      <c r="N328" s="90">
        <f>-84-28/60</f>
        <v>-84.466666666666669</v>
      </c>
      <c r="O328" s="90">
        <v>268.5</v>
      </c>
      <c r="U328" s="55">
        <v>2</v>
      </c>
      <c r="V328" s="55" t="s">
        <v>1805</v>
      </c>
      <c r="Y328" s="55" t="s">
        <v>1826</v>
      </c>
      <c r="Z328" s="55" t="s">
        <v>1344</v>
      </c>
      <c r="AA328" s="90" t="s">
        <v>1344</v>
      </c>
      <c r="AH328" s="55" t="s">
        <v>174</v>
      </c>
      <c r="AI328" s="168">
        <v>6.6</v>
      </c>
      <c r="AM328" s="55" t="s">
        <v>1288</v>
      </c>
      <c r="AN328" s="185" t="s">
        <v>1515</v>
      </c>
      <c r="AO328" s="185" t="s">
        <v>5150</v>
      </c>
      <c r="AQ328" s="55" t="s">
        <v>1546</v>
      </c>
      <c r="AR328" s="55" t="s">
        <v>218</v>
      </c>
      <c r="AS328" s="55" t="s">
        <v>218</v>
      </c>
      <c r="AU328" s="181" t="s">
        <v>7494</v>
      </c>
      <c r="AV328" s="185" t="s">
        <v>176</v>
      </c>
      <c r="AX328" s="185" t="s">
        <v>176</v>
      </c>
      <c r="AZ328" s="55" t="s">
        <v>229</v>
      </c>
      <c r="BA328" s="55" t="s">
        <v>229</v>
      </c>
      <c r="BB328" s="55" t="s">
        <v>2081</v>
      </c>
      <c r="BC328" s="55" t="s">
        <v>2081</v>
      </c>
      <c r="BD328" s="55" t="s">
        <v>176</v>
      </c>
      <c r="BE328" s="226">
        <v>0</v>
      </c>
      <c r="BG328" s="55" t="s">
        <v>176</v>
      </c>
      <c r="BH328" s="226">
        <v>0</v>
      </c>
      <c r="BI328" s="55" t="s">
        <v>176</v>
      </c>
      <c r="BJ328" s="55" t="s">
        <v>176</v>
      </c>
      <c r="BK328" s="55" t="s">
        <v>5976</v>
      </c>
      <c r="BM328" s="192" t="s">
        <v>160</v>
      </c>
      <c r="BN328" s="55">
        <v>4</v>
      </c>
      <c r="BO328" s="55">
        <v>4</v>
      </c>
      <c r="BQ328" s="55" t="s">
        <v>141</v>
      </c>
      <c r="BR328" s="55">
        <v>4216</v>
      </c>
      <c r="GN328" s="294">
        <v>100</v>
      </c>
      <c r="GO328" s="294">
        <v>34.700000000000003</v>
      </c>
      <c r="GP328" s="292" t="s">
        <v>5150</v>
      </c>
      <c r="GS328" s="65" t="s">
        <v>334</v>
      </c>
      <c r="HS328" s="227"/>
      <c r="HW328" s="227"/>
      <c r="JW328" s="55" t="s">
        <v>1122</v>
      </c>
    </row>
    <row r="329" spans="1:283" x14ac:dyDescent="0.25">
      <c r="A329" s="55">
        <v>328</v>
      </c>
      <c r="B329" s="12" t="s">
        <v>7067</v>
      </c>
      <c r="C329" s="155">
        <v>20</v>
      </c>
      <c r="D329" s="55" t="s">
        <v>3763</v>
      </c>
      <c r="E329" s="90" t="s">
        <v>331</v>
      </c>
      <c r="G329" s="55" t="s">
        <v>332</v>
      </c>
      <c r="H329" s="55">
        <v>2014</v>
      </c>
      <c r="I329" s="55">
        <v>2011</v>
      </c>
      <c r="J329" s="55" t="s">
        <v>333</v>
      </c>
      <c r="K329" s="55" t="s">
        <v>330</v>
      </c>
      <c r="L329" s="55" t="s">
        <v>2737</v>
      </c>
      <c r="M329" s="90">
        <f>42+40/60</f>
        <v>42.666666666666664</v>
      </c>
      <c r="N329" s="90">
        <f>-84-28/60</f>
        <v>-84.466666666666669</v>
      </c>
      <c r="O329" s="90">
        <v>268.5</v>
      </c>
      <c r="U329" s="55">
        <v>2</v>
      </c>
      <c r="V329" s="55" t="s">
        <v>1805</v>
      </c>
      <c r="Y329" s="55" t="s">
        <v>1826</v>
      </c>
      <c r="Z329" s="55" t="s">
        <v>1344</v>
      </c>
      <c r="AA329" s="90" t="s">
        <v>1344</v>
      </c>
      <c r="AH329" s="55" t="s">
        <v>174</v>
      </c>
      <c r="AI329" s="168">
        <v>6.6</v>
      </c>
      <c r="AM329" s="55" t="s">
        <v>1288</v>
      </c>
      <c r="AN329" s="185" t="s">
        <v>1516</v>
      </c>
      <c r="AO329" s="185" t="s">
        <v>5150</v>
      </c>
      <c r="AQ329" s="55" t="s">
        <v>1546</v>
      </c>
      <c r="AR329" s="55" t="s">
        <v>218</v>
      </c>
      <c r="AS329" s="55" t="s">
        <v>218</v>
      </c>
      <c r="AU329" s="181" t="s">
        <v>7494</v>
      </c>
      <c r="AV329" s="185" t="s">
        <v>176</v>
      </c>
      <c r="AX329" s="185" t="s">
        <v>176</v>
      </c>
      <c r="AZ329" s="55" t="s">
        <v>229</v>
      </c>
      <c r="BA329" s="55" t="s">
        <v>229</v>
      </c>
      <c r="BB329" s="55" t="s">
        <v>2081</v>
      </c>
      <c r="BC329" s="55" t="s">
        <v>2081</v>
      </c>
      <c r="BD329" s="55" t="s">
        <v>176</v>
      </c>
      <c r="BE329" s="226">
        <v>0</v>
      </c>
      <c r="BG329" s="55" t="s">
        <v>176</v>
      </c>
      <c r="BH329" s="226">
        <v>0</v>
      </c>
      <c r="BI329" s="55" t="s">
        <v>176</v>
      </c>
      <c r="BJ329" s="55" t="s">
        <v>176</v>
      </c>
      <c r="BK329" s="55" t="s">
        <v>5976</v>
      </c>
      <c r="BM329" s="192" t="s">
        <v>160</v>
      </c>
      <c r="BN329" s="55">
        <v>4</v>
      </c>
      <c r="BO329" s="55">
        <v>4</v>
      </c>
      <c r="BQ329" s="55" t="s">
        <v>141</v>
      </c>
      <c r="BR329" s="55">
        <v>4375</v>
      </c>
      <c r="GN329" s="294">
        <v>100</v>
      </c>
      <c r="GO329" s="294">
        <v>30.66</v>
      </c>
      <c r="GP329" s="292" t="s">
        <v>5150</v>
      </c>
      <c r="GS329" s="65" t="s">
        <v>334</v>
      </c>
      <c r="HS329" s="227"/>
      <c r="HW329" s="227"/>
      <c r="JW329" s="55" t="s">
        <v>1122</v>
      </c>
    </row>
    <row r="330" spans="1:283" x14ac:dyDescent="0.25">
      <c r="A330" s="55">
        <v>329</v>
      </c>
      <c r="B330" s="12" t="s">
        <v>7067</v>
      </c>
      <c r="C330" s="155">
        <v>20</v>
      </c>
      <c r="D330" s="55" t="s">
        <v>3763</v>
      </c>
      <c r="E330" s="90" t="s">
        <v>331</v>
      </c>
      <c r="G330" s="55" t="s">
        <v>332</v>
      </c>
      <c r="H330" s="55">
        <v>2014</v>
      </c>
      <c r="I330" s="55">
        <v>2011</v>
      </c>
      <c r="J330" s="55" t="s">
        <v>333</v>
      </c>
      <c r="K330" s="55" t="s">
        <v>330</v>
      </c>
      <c r="L330" s="55" t="s">
        <v>2737</v>
      </c>
      <c r="M330" s="90">
        <f>42+40/60</f>
        <v>42.666666666666664</v>
      </c>
      <c r="N330" s="90">
        <f>-84-28/60</f>
        <v>-84.466666666666669</v>
      </c>
      <c r="O330" s="90">
        <v>268.5</v>
      </c>
      <c r="U330" s="55">
        <v>2</v>
      </c>
      <c r="V330" s="55" t="s">
        <v>1805</v>
      </c>
      <c r="Y330" s="55" t="s">
        <v>1826</v>
      </c>
      <c r="Z330" s="55" t="s">
        <v>1344</v>
      </c>
      <c r="AA330" s="90" t="s">
        <v>1344</v>
      </c>
      <c r="AH330" s="55" t="s">
        <v>174</v>
      </c>
      <c r="AI330" s="168">
        <v>6.6</v>
      </c>
      <c r="AM330" s="55" t="s">
        <v>1288</v>
      </c>
      <c r="AN330" s="185" t="s">
        <v>1517</v>
      </c>
      <c r="AO330" s="185" t="s">
        <v>5150</v>
      </c>
      <c r="AQ330" s="55" t="s">
        <v>1546</v>
      </c>
      <c r="AR330" s="55" t="s">
        <v>218</v>
      </c>
      <c r="AS330" s="55" t="s">
        <v>218</v>
      </c>
      <c r="AU330" s="181" t="s">
        <v>7494</v>
      </c>
      <c r="AV330" s="185" t="s">
        <v>176</v>
      </c>
      <c r="AX330" s="185" t="s">
        <v>176</v>
      </c>
      <c r="AZ330" s="55" t="s">
        <v>229</v>
      </c>
      <c r="BA330" s="55" t="s">
        <v>229</v>
      </c>
      <c r="BB330" s="55" t="s">
        <v>2081</v>
      </c>
      <c r="BC330" s="55" t="s">
        <v>2081</v>
      </c>
      <c r="BD330" s="55" t="s">
        <v>176</v>
      </c>
      <c r="BE330" s="226">
        <v>0</v>
      </c>
      <c r="BG330" s="55" t="s">
        <v>176</v>
      </c>
      <c r="BH330" s="226">
        <v>0</v>
      </c>
      <c r="BI330" s="55" t="s">
        <v>176</v>
      </c>
      <c r="BJ330" s="55" t="s">
        <v>176</v>
      </c>
      <c r="BK330" s="55" t="s">
        <v>5976</v>
      </c>
      <c r="BM330" s="192" t="s">
        <v>160</v>
      </c>
      <c r="BN330" s="55">
        <v>4</v>
      </c>
      <c r="BO330" s="55">
        <v>4</v>
      </c>
      <c r="BQ330" s="55" t="s">
        <v>141</v>
      </c>
      <c r="BR330" s="55">
        <v>3500</v>
      </c>
      <c r="GN330" s="294">
        <v>100</v>
      </c>
      <c r="GO330" s="294">
        <v>8.5</v>
      </c>
      <c r="GP330" s="292" t="s">
        <v>5150</v>
      </c>
      <c r="GS330" s="65" t="s">
        <v>334</v>
      </c>
      <c r="HS330" s="227"/>
      <c r="HW330" s="227"/>
      <c r="JW330" s="55" t="s">
        <v>1122</v>
      </c>
    </row>
    <row r="331" spans="1:283" x14ac:dyDescent="0.25">
      <c r="A331" s="55">
        <v>330</v>
      </c>
      <c r="B331" s="12" t="s">
        <v>7067</v>
      </c>
      <c r="C331" s="155">
        <v>20</v>
      </c>
      <c r="D331" s="55" t="s">
        <v>3763</v>
      </c>
      <c r="E331" s="90" t="s">
        <v>331</v>
      </c>
      <c r="G331" s="55" t="s">
        <v>332</v>
      </c>
      <c r="H331" s="55">
        <v>2014</v>
      </c>
      <c r="I331" s="55">
        <v>2011</v>
      </c>
      <c r="J331" s="55" t="s">
        <v>333</v>
      </c>
      <c r="K331" s="55" t="s">
        <v>330</v>
      </c>
      <c r="L331" s="55" t="s">
        <v>2737</v>
      </c>
      <c r="M331" s="90">
        <f>42+40/60</f>
        <v>42.666666666666664</v>
      </c>
      <c r="N331" s="90">
        <f>-84-28/60</f>
        <v>-84.466666666666669</v>
      </c>
      <c r="O331" s="90">
        <v>268.5</v>
      </c>
      <c r="U331" s="55">
        <v>2</v>
      </c>
      <c r="V331" s="55" t="s">
        <v>1805</v>
      </c>
      <c r="Y331" s="55" t="s">
        <v>1826</v>
      </c>
      <c r="Z331" s="55" t="s">
        <v>1344</v>
      </c>
      <c r="AA331" s="90" t="s">
        <v>1344</v>
      </c>
      <c r="AH331" s="55" t="s">
        <v>174</v>
      </c>
      <c r="AI331" s="168">
        <v>6.6</v>
      </c>
      <c r="AM331" s="55" t="s">
        <v>1288</v>
      </c>
      <c r="AN331" s="185" t="s">
        <v>1518</v>
      </c>
      <c r="AO331" s="185" t="s">
        <v>5150</v>
      </c>
      <c r="AQ331" s="55" t="s">
        <v>1546</v>
      </c>
      <c r="AR331" s="55" t="s">
        <v>218</v>
      </c>
      <c r="AS331" s="55" t="s">
        <v>218</v>
      </c>
      <c r="AU331" s="181" t="s">
        <v>7494</v>
      </c>
      <c r="AV331" s="185" t="s">
        <v>176</v>
      </c>
      <c r="AX331" s="185" t="s">
        <v>176</v>
      </c>
      <c r="AZ331" s="55" t="s">
        <v>229</v>
      </c>
      <c r="BA331" s="55" t="s">
        <v>229</v>
      </c>
      <c r="BB331" s="55" t="s">
        <v>2081</v>
      </c>
      <c r="BC331" s="55" t="s">
        <v>2081</v>
      </c>
      <c r="BD331" s="55" t="s">
        <v>176</v>
      </c>
      <c r="BE331" s="226">
        <v>0</v>
      </c>
      <c r="BG331" s="55" t="s">
        <v>176</v>
      </c>
      <c r="BH331" s="226">
        <v>0</v>
      </c>
      <c r="BI331" s="55" t="s">
        <v>176</v>
      </c>
      <c r="BJ331" s="55" t="s">
        <v>176</v>
      </c>
      <c r="BK331" s="55" t="s">
        <v>5976</v>
      </c>
      <c r="BM331" s="192" t="s">
        <v>160</v>
      </c>
      <c r="BN331" s="55">
        <v>4</v>
      </c>
      <c r="BO331" s="55">
        <v>4</v>
      </c>
      <c r="BQ331" s="55" t="s">
        <v>141</v>
      </c>
      <c r="BR331" s="55">
        <v>4322</v>
      </c>
      <c r="GN331" s="294">
        <v>100</v>
      </c>
      <c r="GO331" s="294">
        <v>13.16</v>
      </c>
      <c r="GP331" s="292" t="s">
        <v>5150</v>
      </c>
      <c r="GS331" s="65" t="s">
        <v>334</v>
      </c>
      <c r="HS331" s="227"/>
      <c r="HW331" s="227"/>
      <c r="JW331" s="55" t="s">
        <v>1122</v>
      </c>
    </row>
    <row r="332" spans="1:283" x14ac:dyDescent="0.25">
      <c r="A332" s="55">
        <v>331</v>
      </c>
      <c r="B332" s="12" t="s">
        <v>7067</v>
      </c>
      <c r="C332" s="155">
        <v>20</v>
      </c>
      <c r="D332" s="55" t="s">
        <v>3763</v>
      </c>
      <c r="E332" s="90" t="s">
        <v>331</v>
      </c>
      <c r="G332" s="55" t="s">
        <v>332</v>
      </c>
      <c r="H332" s="55">
        <v>2014</v>
      </c>
      <c r="I332" s="55">
        <v>2011</v>
      </c>
      <c r="J332" s="55" t="s">
        <v>333</v>
      </c>
      <c r="K332" s="55" t="s">
        <v>330</v>
      </c>
      <c r="L332" s="55" t="s">
        <v>2737</v>
      </c>
      <c r="M332" s="90">
        <f>42+40/60</f>
        <v>42.666666666666664</v>
      </c>
      <c r="N332" s="90">
        <f>-84-28/60</f>
        <v>-84.466666666666669</v>
      </c>
      <c r="O332" s="90">
        <v>268.5</v>
      </c>
      <c r="U332" s="55">
        <v>2</v>
      </c>
      <c r="V332" s="55" t="s">
        <v>1805</v>
      </c>
      <c r="Y332" s="55" t="s">
        <v>1826</v>
      </c>
      <c r="Z332" s="55" t="s">
        <v>1344</v>
      </c>
      <c r="AA332" s="90" t="s">
        <v>1344</v>
      </c>
      <c r="AH332" s="55" t="s">
        <v>174</v>
      </c>
      <c r="AI332" s="168">
        <v>6.6</v>
      </c>
      <c r="AM332" s="55" t="s">
        <v>1288</v>
      </c>
      <c r="AN332" s="185" t="s">
        <v>1519</v>
      </c>
      <c r="AO332" s="185" t="s">
        <v>5150</v>
      </c>
      <c r="AQ332" s="55" t="s">
        <v>1546</v>
      </c>
      <c r="AR332" s="55" t="s">
        <v>218</v>
      </c>
      <c r="AS332" s="55" t="s">
        <v>218</v>
      </c>
      <c r="AU332" s="181" t="s">
        <v>7494</v>
      </c>
      <c r="AV332" s="185" t="s">
        <v>176</v>
      </c>
      <c r="AX332" s="185" t="s">
        <v>176</v>
      </c>
      <c r="AZ332" s="55" t="s">
        <v>229</v>
      </c>
      <c r="BA332" s="55" t="s">
        <v>229</v>
      </c>
      <c r="BB332" s="55" t="s">
        <v>2081</v>
      </c>
      <c r="BC332" s="55" t="s">
        <v>2081</v>
      </c>
      <c r="BD332" s="55" t="s">
        <v>176</v>
      </c>
      <c r="BE332" s="226">
        <v>0</v>
      </c>
      <c r="BG332" s="55" t="s">
        <v>176</v>
      </c>
      <c r="BH332" s="226">
        <v>0</v>
      </c>
      <c r="BI332" s="55" t="s">
        <v>176</v>
      </c>
      <c r="BJ332" s="55" t="s">
        <v>176</v>
      </c>
      <c r="BK332" s="55" t="s">
        <v>5976</v>
      </c>
      <c r="BM332" s="192" t="s">
        <v>160</v>
      </c>
      <c r="BN332" s="55">
        <v>4</v>
      </c>
      <c r="BO332" s="55">
        <v>4</v>
      </c>
      <c r="BQ332" s="55" t="s">
        <v>141</v>
      </c>
      <c r="BR332" s="55">
        <v>3606</v>
      </c>
      <c r="GN332" s="294">
        <v>100</v>
      </c>
      <c r="GO332" s="294">
        <v>8.3800000000000008</v>
      </c>
      <c r="GP332" s="292" t="s">
        <v>5150</v>
      </c>
      <c r="GS332" s="65" t="s">
        <v>334</v>
      </c>
      <c r="HS332" s="227"/>
      <c r="HW332" s="227"/>
      <c r="JW332" s="55" t="s">
        <v>1122</v>
      </c>
    </row>
    <row r="333" spans="1:283" x14ac:dyDescent="0.25">
      <c r="A333" s="55">
        <v>332</v>
      </c>
      <c r="B333" s="12" t="s">
        <v>7067</v>
      </c>
      <c r="C333" s="155">
        <v>20</v>
      </c>
      <c r="D333" s="55" t="s">
        <v>3764</v>
      </c>
      <c r="E333" s="90" t="s">
        <v>331</v>
      </c>
      <c r="G333" s="55" t="s">
        <v>332</v>
      </c>
      <c r="H333" s="55">
        <v>2014</v>
      </c>
      <c r="I333" s="55">
        <v>2011</v>
      </c>
      <c r="J333" s="55" t="s">
        <v>333</v>
      </c>
      <c r="K333" s="55" t="s">
        <v>330</v>
      </c>
      <c r="L333" s="55" t="s">
        <v>2737</v>
      </c>
      <c r="M333" s="90">
        <f>42+40/60</f>
        <v>42.666666666666664</v>
      </c>
      <c r="N333" s="90">
        <f>-84-28/60</f>
        <v>-84.466666666666669</v>
      </c>
      <c r="O333" s="90">
        <v>268.5</v>
      </c>
      <c r="U333" s="55">
        <v>2</v>
      </c>
      <c r="V333" s="55" t="s">
        <v>1805</v>
      </c>
      <c r="Y333" s="55" t="s">
        <v>1826</v>
      </c>
      <c r="Z333" s="55" t="s">
        <v>1344</v>
      </c>
      <c r="AA333" s="90" t="s">
        <v>1344</v>
      </c>
      <c r="AH333" s="55" t="s">
        <v>174</v>
      </c>
      <c r="AI333" s="168">
        <v>6.6</v>
      </c>
      <c r="AM333" s="55" t="s">
        <v>1288</v>
      </c>
      <c r="AN333" s="185" t="s">
        <v>131</v>
      </c>
      <c r="AO333" s="185" t="s">
        <v>5150</v>
      </c>
      <c r="AQ333" s="55" t="s">
        <v>131</v>
      </c>
      <c r="AR333" s="55" t="s">
        <v>218</v>
      </c>
      <c r="AS333" s="55" t="s">
        <v>218</v>
      </c>
      <c r="AU333" s="181" t="s">
        <v>7494</v>
      </c>
      <c r="AV333" s="185" t="s">
        <v>176</v>
      </c>
      <c r="AX333" s="185" t="s">
        <v>176</v>
      </c>
      <c r="AZ333" s="55" t="s">
        <v>229</v>
      </c>
      <c r="BA333" s="55" t="s">
        <v>229</v>
      </c>
      <c r="BB333" s="55" t="s">
        <v>2081</v>
      </c>
      <c r="BC333" s="55" t="s">
        <v>2081</v>
      </c>
      <c r="BD333" s="55" t="s">
        <v>176</v>
      </c>
      <c r="BE333" s="226">
        <v>0</v>
      </c>
      <c r="BG333" s="55" t="s">
        <v>176</v>
      </c>
      <c r="BH333" s="226">
        <v>0</v>
      </c>
      <c r="BI333" s="55" t="s">
        <v>176</v>
      </c>
      <c r="BJ333" s="55" t="s">
        <v>176</v>
      </c>
      <c r="BK333" s="55" t="s">
        <v>5976</v>
      </c>
      <c r="BM333" s="192" t="s">
        <v>160</v>
      </c>
      <c r="BN333" s="55">
        <v>4</v>
      </c>
      <c r="BO333" s="55">
        <v>4</v>
      </c>
      <c r="BQ333" s="55" t="s">
        <v>141</v>
      </c>
      <c r="BR333" s="55">
        <v>3235</v>
      </c>
      <c r="GN333" s="294">
        <v>100</v>
      </c>
      <c r="GO333" s="294">
        <v>5.72</v>
      </c>
      <c r="GP333" s="292" t="s">
        <v>5150</v>
      </c>
      <c r="GS333" s="65" t="s">
        <v>334</v>
      </c>
      <c r="HS333" s="227"/>
      <c r="HW333" s="227"/>
      <c r="JW333" s="55" t="s">
        <v>1122</v>
      </c>
    </row>
    <row r="334" spans="1:283" x14ac:dyDescent="0.25">
      <c r="A334" s="55">
        <v>333</v>
      </c>
      <c r="B334" s="12" t="s">
        <v>7067</v>
      </c>
      <c r="C334" s="155">
        <v>21</v>
      </c>
      <c r="D334" s="55" t="s">
        <v>3765</v>
      </c>
      <c r="E334" s="90" t="s">
        <v>335</v>
      </c>
      <c r="G334" s="55" t="s">
        <v>336</v>
      </c>
      <c r="H334" s="55">
        <v>2013</v>
      </c>
      <c r="I334" s="55">
        <v>2009</v>
      </c>
      <c r="J334" s="55" t="s">
        <v>337</v>
      </c>
      <c r="K334" s="55" t="s">
        <v>340</v>
      </c>
      <c r="L334" s="55" t="s">
        <v>2737</v>
      </c>
      <c r="M334" s="90">
        <v>38.92</v>
      </c>
      <c r="N334" s="90">
        <v>-76.150000000000006</v>
      </c>
      <c r="O334" s="90">
        <v>4.8</v>
      </c>
      <c r="U334" s="55">
        <v>1</v>
      </c>
      <c r="V334" s="55" t="s">
        <v>1688</v>
      </c>
      <c r="Y334" s="55" t="s">
        <v>1827</v>
      </c>
      <c r="Z334" s="55" t="s">
        <v>1346</v>
      </c>
      <c r="AA334" s="90" t="s">
        <v>1675</v>
      </c>
      <c r="AH334" s="55" t="s">
        <v>1572</v>
      </c>
      <c r="AN334" s="185" t="s">
        <v>1494</v>
      </c>
      <c r="AO334" s="185" t="s">
        <v>5150</v>
      </c>
      <c r="AQ334" s="55" t="s">
        <v>553</v>
      </c>
      <c r="AR334" s="55" t="s">
        <v>345</v>
      </c>
      <c r="AS334" s="55" t="s">
        <v>227</v>
      </c>
      <c r="AU334" s="181" t="s">
        <v>7494</v>
      </c>
      <c r="AV334" s="185" t="s">
        <v>176</v>
      </c>
      <c r="AX334" s="185" t="s">
        <v>176</v>
      </c>
      <c r="BE334" s="226" t="s">
        <v>338</v>
      </c>
      <c r="BF334" s="191" t="s">
        <v>479</v>
      </c>
      <c r="BG334" s="55" t="s">
        <v>479</v>
      </c>
      <c r="BH334" s="226" t="s">
        <v>338</v>
      </c>
      <c r="BI334" s="55" t="s">
        <v>479</v>
      </c>
      <c r="BJ334" s="55" t="s">
        <v>176</v>
      </c>
      <c r="BK334" s="55" t="s">
        <v>5976</v>
      </c>
      <c r="BM334" s="192" t="s">
        <v>160</v>
      </c>
      <c r="BN334" s="55">
        <v>4</v>
      </c>
      <c r="BO334" s="55">
        <v>4</v>
      </c>
      <c r="BQ334" s="55" t="s">
        <v>141</v>
      </c>
      <c r="GP334" s="292" t="s">
        <v>7494</v>
      </c>
      <c r="GY334" s="65">
        <v>0.2</v>
      </c>
      <c r="GZ334" s="65">
        <v>0.2</v>
      </c>
      <c r="HC334" s="65" t="s">
        <v>343</v>
      </c>
      <c r="HS334" s="227"/>
      <c r="HW334" s="227"/>
      <c r="JU334" s="55" t="s">
        <v>344</v>
      </c>
      <c r="JV334" s="55" t="s">
        <v>684</v>
      </c>
    </row>
    <row r="335" spans="1:283" x14ac:dyDescent="0.25">
      <c r="A335" s="55">
        <v>334</v>
      </c>
      <c r="B335" s="12" t="s">
        <v>7067</v>
      </c>
      <c r="C335" s="155">
        <v>21</v>
      </c>
      <c r="D335" s="55" t="s">
        <v>3765</v>
      </c>
      <c r="E335" s="90" t="s">
        <v>335</v>
      </c>
      <c r="G335" s="55" t="s">
        <v>336</v>
      </c>
      <c r="H335" s="55">
        <v>2013</v>
      </c>
      <c r="I335" s="55">
        <v>2009</v>
      </c>
      <c r="J335" s="55" t="s">
        <v>337</v>
      </c>
      <c r="K335" s="55" t="s">
        <v>340</v>
      </c>
      <c r="L335" s="55" t="s">
        <v>2737</v>
      </c>
      <c r="M335" s="90">
        <v>38.92</v>
      </c>
      <c r="N335" s="90">
        <v>-76.150000000000006</v>
      </c>
      <c r="O335" s="90">
        <v>4.8</v>
      </c>
      <c r="U335" s="55">
        <v>1</v>
      </c>
      <c r="V335" s="55" t="s">
        <v>1688</v>
      </c>
      <c r="Y335" s="55" t="s">
        <v>1828</v>
      </c>
      <c r="Z335" s="55" t="s">
        <v>1346</v>
      </c>
      <c r="AA335" s="90" t="s">
        <v>1675</v>
      </c>
      <c r="AH335" s="55" t="s">
        <v>1572</v>
      </c>
      <c r="AN335" s="185" t="s">
        <v>1494</v>
      </c>
      <c r="AO335" s="185" t="s">
        <v>5150</v>
      </c>
      <c r="AQ335" s="55" t="s">
        <v>553</v>
      </c>
      <c r="AR335" s="55" t="s">
        <v>345</v>
      </c>
      <c r="AS335" s="55" t="s">
        <v>227</v>
      </c>
      <c r="AU335" s="181" t="s">
        <v>7494</v>
      </c>
      <c r="AV335" s="185" t="s">
        <v>176</v>
      </c>
      <c r="AX335" s="185" t="s">
        <v>176</v>
      </c>
      <c r="BE335" s="226" t="s">
        <v>338</v>
      </c>
      <c r="BF335" s="191" t="s">
        <v>479</v>
      </c>
      <c r="BG335" s="55" t="s">
        <v>479</v>
      </c>
      <c r="BH335" s="226" t="s">
        <v>338</v>
      </c>
      <c r="BI335" s="55" t="s">
        <v>479</v>
      </c>
      <c r="BJ335" s="55" t="s">
        <v>176</v>
      </c>
      <c r="BK335" s="55" t="s">
        <v>5976</v>
      </c>
      <c r="BM335" s="192" t="s">
        <v>160</v>
      </c>
      <c r="BN335" s="55">
        <v>4</v>
      </c>
      <c r="BO335" s="55">
        <v>4</v>
      </c>
      <c r="BQ335" s="55" t="s">
        <v>141</v>
      </c>
      <c r="GP335" s="292" t="s">
        <v>7494</v>
      </c>
      <c r="GY335" s="65">
        <v>1.79</v>
      </c>
      <c r="GZ335" s="65">
        <v>2.71</v>
      </c>
      <c r="HC335" s="65" t="s">
        <v>343</v>
      </c>
      <c r="HS335" s="227"/>
      <c r="HW335" s="227"/>
      <c r="JU335" s="55" t="s">
        <v>344</v>
      </c>
      <c r="JV335" s="55" t="s">
        <v>684</v>
      </c>
    </row>
    <row r="336" spans="1:283" x14ac:dyDescent="0.25">
      <c r="A336" s="55">
        <v>335</v>
      </c>
      <c r="B336" s="12" t="s">
        <v>7067</v>
      </c>
      <c r="C336" s="155">
        <v>21</v>
      </c>
      <c r="D336" s="55" t="s">
        <v>3765</v>
      </c>
      <c r="E336" s="90" t="s">
        <v>335</v>
      </c>
      <c r="G336" s="55" t="s">
        <v>336</v>
      </c>
      <c r="H336" s="55">
        <v>2013</v>
      </c>
      <c r="I336" s="55">
        <v>2009</v>
      </c>
      <c r="J336" s="55" t="s">
        <v>337</v>
      </c>
      <c r="K336" s="55" t="s">
        <v>340</v>
      </c>
      <c r="L336" s="55" t="s">
        <v>2737</v>
      </c>
      <c r="M336" s="90">
        <v>38.92</v>
      </c>
      <c r="N336" s="90">
        <v>-76.150000000000006</v>
      </c>
      <c r="O336" s="90">
        <v>4.8</v>
      </c>
      <c r="U336" s="55">
        <v>1</v>
      </c>
      <c r="V336" s="55" t="s">
        <v>1688</v>
      </c>
      <c r="Y336" s="55" t="s">
        <v>1829</v>
      </c>
      <c r="Z336" s="55" t="s">
        <v>1346</v>
      </c>
      <c r="AA336" s="90" t="s">
        <v>1675</v>
      </c>
      <c r="AH336" s="55" t="s">
        <v>1572</v>
      </c>
      <c r="AN336" s="185" t="s">
        <v>1494</v>
      </c>
      <c r="AO336" s="185" t="s">
        <v>5150</v>
      </c>
      <c r="AQ336" s="55" t="s">
        <v>553</v>
      </c>
      <c r="AR336" s="55" t="s">
        <v>345</v>
      </c>
      <c r="AS336" s="55" t="s">
        <v>227</v>
      </c>
      <c r="AU336" s="181" t="s">
        <v>7494</v>
      </c>
      <c r="AV336" s="185" t="s">
        <v>176</v>
      </c>
      <c r="AX336" s="185" t="s">
        <v>176</v>
      </c>
      <c r="BE336" s="226" t="s">
        <v>338</v>
      </c>
      <c r="BF336" s="191" t="s">
        <v>479</v>
      </c>
      <c r="BG336" s="55" t="s">
        <v>479</v>
      </c>
      <c r="BH336" s="226" t="s">
        <v>338</v>
      </c>
      <c r="BI336" s="55" t="s">
        <v>479</v>
      </c>
      <c r="BJ336" s="55" t="s">
        <v>176</v>
      </c>
      <c r="BK336" s="55" t="s">
        <v>5976</v>
      </c>
      <c r="BM336" s="192" t="s">
        <v>160</v>
      </c>
      <c r="BN336" s="55">
        <v>4</v>
      </c>
      <c r="BO336" s="55">
        <v>4</v>
      </c>
      <c r="BQ336" s="55" t="s">
        <v>141</v>
      </c>
      <c r="GP336" s="292" t="s">
        <v>7494</v>
      </c>
      <c r="GY336" s="65">
        <v>4.59</v>
      </c>
      <c r="GZ336" s="65">
        <v>3.62</v>
      </c>
      <c r="HC336" s="65" t="s">
        <v>343</v>
      </c>
      <c r="HS336" s="227"/>
      <c r="HW336" s="227"/>
      <c r="JU336" s="55" t="s">
        <v>344</v>
      </c>
      <c r="JV336" s="55" t="s">
        <v>684</v>
      </c>
    </row>
    <row r="337" spans="1:282" x14ac:dyDescent="0.25">
      <c r="A337" s="55">
        <v>336</v>
      </c>
      <c r="B337" s="12" t="s">
        <v>7067</v>
      </c>
      <c r="C337" s="155">
        <v>21</v>
      </c>
      <c r="D337" s="55" t="s">
        <v>3765</v>
      </c>
      <c r="E337" s="90" t="s">
        <v>335</v>
      </c>
      <c r="G337" s="55" t="s">
        <v>336</v>
      </c>
      <c r="H337" s="55">
        <v>2013</v>
      </c>
      <c r="I337" s="55">
        <v>2009</v>
      </c>
      <c r="J337" s="55" t="s">
        <v>337</v>
      </c>
      <c r="K337" s="55" t="s">
        <v>340</v>
      </c>
      <c r="L337" s="55" t="s">
        <v>2737</v>
      </c>
      <c r="M337" s="90">
        <v>38.92</v>
      </c>
      <c r="N337" s="90">
        <v>-76.150000000000006</v>
      </c>
      <c r="O337" s="90">
        <v>4.8</v>
      </c>
      <c r="U337" s="55">
        <v>1</v>
      </c>
      <c r="V337" s="55" t="s">
        <v>1688</v>
      </c>
      <c r="Y337" s="55" t="s">
        <v>1830</v>
      </c>
      <c r="Z337" s="55" t="s">
        <v>1346</v>
      </c>
      <c r="AA337" s="90" t="s">
        <v>1675</v>
      </c>
      <c r="AH337" s="55" t="s">
        <v>1572</v>
      </c>
      <c r="AN337" s="185" t="s">
        <v>1494</v>
      </c>
      <c r="AO337" s="185" t="s">
        <v>5150</v>
      </c>
      <c r="AQ337" s="55" t="s">
        <v>553</v>
      </c>
      <c r="AR337" s="55" t="s">
        <v>345</v>
      </c>
      <c r="AS337" s="55" t="s">
        <v>227</v>
      </c>
      <c r="AU337" s="181" t="s">
        <v>7494</v>
      </c>
      <c r="AV337" s="185" t="s">
        <v>176</v>
      </c>
      <c r="AX337" s="185" t="s">
        <v>176</v>
      </c>
      <c r="BE337" s="226" t="s">
        <v>338</v>
      </c>
      <c r="BF337" s="191" t="s">
        <v>479</v>
      </c>
      <c r="BG337" s="55" t="s">
        <v>479</v>
      </c>
      <c r="BH337" s="226" t="s">
        <v>338</v>
      </c>
      <c r="BI337" s="55" t="s">
        <v>479</v>
      </c>
      <c r="BJ337" s="55" t="s">
        <v>176</v>
      </c>
      <c r="BK337" s="55" t="s">
        <v>5976</v>
      </c>
      <c r="BM337" s="192" t="s">
        <v>160</v>
      </c>
      <c r="BN337" s="55">
        <v>4</v>
      </c>
      <c r="BO337" s="55">
        <v>4</v>
      </c>
      <c r="BQ337" s="55" t="s">
        <v>141</v>
      </c>
      <c r="GP337" s="292" t="s">
        <v>7494</v>
      </c>
      <c r="GY337" s="65">
        <v>5.23</v>
      </c>
      <c r="GZ337" s="65">
        <v>3.39</v>
      </c>
      <c r="HC337" s="65" t="s">
        <v>343</v>
      </c>
      <c r="HS337" s="227"/>
      <c r="HW337" s="227"/>
      <c r="JU337" s="55" t="s">
        <v>344</v>
      </c>
      <c r="JV337" s="55" t="s">
        <v>684</v>
      </c>
    </row>
    <row r="338" spans="1:282" x14ac:dyDescent="0.25">
      <c r="A338" s="55">
        <v>337</v>
      </c>
      <c r="B338" s="12" t="s">
        <v>7067</v>
      </c>
      <c r="C338" s="155">
        <v>21</v>
      </c>
      <c r="D338" s="55" t="s">
        <v>3765</v>
      </c>
      <c r="E338" s="90" t="s">
        <v>335</v>
      </c>
      <c r="G338" s="55" t="s">
        <v>336</v>
      </c>
      <c r="H338" s="55">
        <v>2013</v>
      </c>
      <c r="I338" s="55">
        <v>2009</v>
      </c>
      <c r="J338" s="55" t="s">
        <v>337</v>
      </c>
      <c r="K338" s="55" t="s">
        <v>340</v>
      </c>
      <c r="L338" s="55" t="s">
        <v>2737</v>
      </c>
      <c r="M338" s="90">
        <v>38.92</v>
      </c>
      <c r="N338" s="90">
        <v>-76.150000000000006</v>
      </c>
      <c r="O338" s="90">
        <v>4.8</v>
      </c>
      <c r="U338" s="55">
        <v>1</v>
      </c>
      <c r="V338" s="55" t="s">
        <v>1688</v>
      </c>
      <c r="Y338" s="55" t="s">
        <v>1831</v>
      </c>
      <c r="Z338" s="55" t="s">
        <v>1346</v>
      </c>
      <c r="AA338" s="90" t="s">
        <v>1675</v>
      </c>
      <c r="AH338" s="55" t="s">
        <v>1572</v>
      </c>
      <c r="AN338" s="185" t="s">
        <v>1494</v>
      </c>
      <c r="AO338" s="185" t="s">
        <v>5150</v>
      </c>
      <c r="AQ338" s="55" t="s">
        <v>553</v>
      </c>
      <c r="AR338" s="55" t="s">
        <v>345</v>
      </c>
      <c r="AS338" s="55" t="s">
        <v>227</v>
      </c>
      <c r="AU338" s="181" t="s">
        <v>7494</v>
      </c>
      <c r="AV338" s="185" t="s">
        <v>176</v>
      </c>
      <c r="AX338" s="185" t="s">
        <v>176</v>
      </c>
      <c r="BE338" s="226" t="s">
        <v>338</v>
      </c>
      <c r="BF338" s="191" t="s">
        <v>479</v>
      </c>
      <c r="BG338" s="55" t="s">
        <v>479</v>
      </c>
      <c r="BH338" s="226" t="s">
        <v>338</v>
      </c>
      <c r="BI338" s="55" t="s">
        <v>479</v>
      </c>
      <c r="BJ338" s="55" t="s">
        <v>176</v>
      </c>
      <c r="BK338" s="55" t="s">
        <v>5976</v>
      </c>
      <c r="BM338" s="192" t="s">
        <v>160</v>
      </c>
      <c r="BN338" s="55">
        <v>4</v>
      </c>
      <c r="BO338" s="55">
        <v>4</v>
      </c>
      <c r="BQ338" s="55" t="s">
        <v>141</v>
      </c>
      <c r="GP338" s="292" t="s">
        <v>7494</v>
      </c>
      <c r="GY338" s="65">
        <v>1.19</v>
      </c>
      <c r="GZ338" s="65">
        <v>0.5</v>
      </c>
      <c r="HC338" s="65" t="s">
        <v>343</v>
      </c>
      <c r="HS338" s="227"/>
      <c r="HW338" s="227"/>
      <c r="JU338" s="55" t="s">
        <v>344</v>
      </c>
      <c r="JV338" s="55" t="s">
        <v>684</v>
      </c>
    </row>
    <row r="339" spans="1:282" x14ac:dyDescent="0.25">
      <c r="A339" s="55">
        <v>338</v>
      </c>
      <c r="B339" s="12" t="s">
        <v>7067</v>
      </c>
      <c r="C339" s="155">
        <v>21</v>
      </c>
      <c r="D339" s="55" t="s">
        <v>3765</v>
      </c>
      <c r="E339" s="90" t="s">
        <v>335</v>
      </c>
      <c r="G339" s="55" t="s">
        <v>336</v>
      </c>
      <c r="H339" s="55">
        <v>2013</v>
      </c>
      <c r="I339" s="55">
        <v>2010</v>
      </c>
      <c r="J339" s="55" t="s">
        <v>337</v>
      </c>
      <c r="K339" s="55" t="s">
        <v>340</v>
      </c>
      <c r="L339" s="55" t="s">
        <v>2737</v>
      </c>
      <c r="M339" s="90">
        <v>38.92</v>
      </c>
      <c r="N339" s="90">
        <v>-76.150000000000006</v>
      </c>
      <c r="O339" s="90">
        <v>4.8</v>
      </c>
      <c r="U339" s="55">
        <v>2</v>
      </c>
      <c r="V339" s="55" t="s">
        <v>1688</v>
      </c>
      <c r="Y339" s="55" t="s">
        <v>1827</v>
      </c>
      <c r="Z339" s="55" t="s">
        <v>1346</v>
      </c>
      <c r="AA339" s="90" t="s">
        <v>1675</v>
      </c>
      <c r="AH339" s="55" t="s">
        <v>1572</v>
      </c>
      <c r="AN339" s="185" t="s">
        <v>1494</v>
      </c>
      <c r="AO339" s="185" t="s">
        <v>5150</v>
      </c>
      <c r="AQ339" s="55" t="s">
        <v>553</v>
      </c>
      <c r="AR339" s="55" t="s">
        <v>345</v>
      </c>
      <c r="AS339" s="55" t="s">
        <v>227</v>
      </c>
      <c r="AU339" s="181" t="s">
        <v>7494</v>
      </c>
      <c r="AV339" s="185" t="s">
        <v>176</v>
      </c>
      <c r="AX339" s="185" t="s">
        <v>176</v>
      </c>
      <c r="BE339" s="226" t="s">
        <v>338</v>
      </c>
      <c r="BF339" s="191" t="s">
        <v>479</v>
      </c>
      <c r="BG339" s="55" t="s">
        <v>479</v>
      </c>
      <c r="BH339" s="226" t="s">
        <v>338</v>
      </c>
      <c r="BI339" s="55" t="s">
        <v>479</v>
      </c>
      <c r="BJ339" s="55" t="s">
        <v>176</v>
      </c>
      <c r="BK339" s="55" t="s">
        <v>5976</v>
      </c>
      <c r="BM339" s="192" t="s">
        <v>160</v>
      </c>
      <c r="BN339" s="55">
        <v>4</v>
      </c>
      <c r="BO339" s="55">
        <v>4</v>
      </c>
      <c r="BQ339" s="55" t="s">
        <v>141</v>
      </c>
      <c r="GP339" s="292" t="s">
        <v>7494</v>
      </c>
      <c r="GY339" s="65">
        <v>0.01</v>
      </c>
      <c r="GZ339" s="65">
        <v>0.01</v>
      </c>
      <c r="HC339" s="65" t="s">
        <v>343</v>
      </c>
      <c r="HS339" s="227"/>
      <c r="HW339" s="227"/>
      <c r="JU339" s="55" t="s">
        <v>344</v>
      </c>
      <c r="JV339" s="55" t="s">
        <v>684</v>
      </c>
    </row>
    <row r="340" spans="1:282" x14ac:dyDescent="0.25">
      <c r="A340" s="55">
        <v>339</v>
      </c>
      <c r="B340" s="12" t="s">
        <v>7067</v>
      </c>
      <c r="C340" s="155">
        <v>21</v>
      </c>
      <c r="D340" s="55" t="s">
        <v>3765</v>
      </c>
      <c r="E340" s="90" t="s">
        <v>335</v>
      </c>
      <c r="G340" s="55" t="s">
        <v>336</v>
      </c>
      <c r="H340" s="55">
        <v>2013</v>
      </c>
      <c r="I340" s="55">
        <v>2010</v>
      </c>
      <c r="J340" s="55" t="s">
        <v>337</v>
      </c>
      <c r="K340" s="55" t="s">
        <v>340</v>
      </c>
      <c r="L340" s="55" t="s">
        <v>2737</v>
      </c>
      <c r="M340" s="90">
        <v>38.92</v>
      </c>
      <c r="N340" s="90">
        <v>-76.150000000000006</v>
      </c>
      <c r="O340" s="90">
        <v>4.8</v>
      </c>
      <c r="U340" s="55">
        <v>2</v>
      </c>
      <c r="V340" s="55" t="s">
        <v>1688</v>
      </c>
      <c r="Y340" s="55" t="s">
        <v>1828</v>
      </c>
      <c r="Z340" s="55" t="s">
        <v>1346</v>
      </c>
      <c r="AA340" s="90" t="s">
        <v>1675</v>
      </c>
      <c r="AH340" s="55" t="s">
        <v>1572</v>
      </c>
      <c r="AN340" s="185" t="s">
        <v>1494</v>
      </c>
      <c r="AO340" s="185" t="s">
        <v>5150</v>
      </c>
      <c r="AQ340" s="55" t="s">
        <v>553</v>
      </c>
      <c r="AR340" s="55" t="s">
        <v>345</v>
      </c>
      <c r="AS340" s="55" t="s">
        <v>227</v>
      </c>
      <c r="AU340" s="181" t="s">
        <v>7494</v>
      </c>
      <c r="AV340" s="185" t="s">
        <v>176</v>
      </c>
      <c r="AX340" s="185" t="s">
        <v>176</v>
      </c>
      <c r="BE340" s="226" t="s">
        <v>338</v>
      </c>
      <c r="BF340" s="191" t="s">
        <v>479</v>
      </c>
      <c r="BG340" s="55" t="s">
        <v>479</v>
      </c>
      <c r="BH340" s="226" t="s">
        <v>338</v>
      </c>
      <c r="BI340" s="55" t="s">
        <v>479</v>
      </c>
      <c r="BJ340" s="55" t="s">
        <v>176</v>
      </c>
      <c r="BK340" s="55" t="s">
        <v>5976</v>
      </c>
      <c r="BM340" s="192" t="s">
        <v>160</v>
      </c>
      <c r="BN340" s="55">
        <v>4</v>
      </c>
      <c r="BO340" s="55">
        <v>4</v>
      </c>
      <c r="BQ340" s="55" t="s">
        <v>141</v>
      </c>
      <c r="GP340" s="292" t="s">
        <v>7494</v>
      </c>
      <c r="GY340" s="65">
        <v>0.18</v>
      </c>
      <c r="GZ340" s="65">
        <v>0.09</v>
      </c>
      <c r="HC340" s="65" t="s">
        <v>343</v>
      </c>
      <c r="HS340" s="227"/>
      <c r="HW340" s="227"/>
      <c r="JU340" s="55" t="s">
        <v>344</v>
      </c>
      <c r="JV340" s="55" t="s">
        <v>684</v>
      </c>
    </row>
    <row r="341" spans="1:282" x14ac:dyDescent="0.25">
      <c r="A341" s="55">
        <v>340</v>
      </c>
      <c r="B341" s="12" t="s">
        <v>7067</v>
      </c>
      <c r="C341" s="155">
        <v>21</v>
      </c>
      <c r="D341" s="55" t="s">
        <v>3765</v>
      </c>
      <c r="E341" s="90" t="s">
        <v>335</v>
      </c>
      <c r="G341" s="55" t="s">
        <v>336</v>
      </c>
      <c r="H341" s="55">
        <v>2013</v>
      </c>
      <c r="I341" s="55">
        <v>2010</v>
      </c>
      <c r="J341" s="55" t="s">
        <v>337</v>
      </c>
      <c r="K341" s="55" t="s">
        <v>340</v>
      </c>
      <c r="L341" s="55" t="s">
        <v>2737</v>
      </c>
      <c r="M341" s="90">
        <v>38.92</v>
      </c>
      <c r="N341" s="90">
        <v>-76.150000000000006</v>
      </c>
      <c r="O341" s="90">
        <v>4.8</v>
      </c>
      <c r="U341" s="55">
        <v>2</v>
      </c>
      <c r="V341" s="55" t="s">
        <v>1688</v>
      </c>
      <c r="Y341" s="55" t="s">
        <v>1829</v>
      </c>
      <c r="Z341" s="55" t="s">
        <v>1346</v>
      </c>
      <c r="AA341" s="90" t="s">
        <v>1675</v>
      </c>
      <c r="AH341" s="55" t="s">
        <v>1572</v>
      </c>
      <c r="AN341" s="185" t="s">
        <v>1494</v>
      </c>
      <c r="AO341" s="185" t="s">
        <v>5150</v>
      </c>
      <c r="AQ341" s="55" t="s">
        <v>553</v>
      </c>
      <c r="AR341" s="55" t="s">
        <v>345</v>
      </c>
      <c r="AS341" s="55" t="s">
        <v>227</v>
      </c>
      <c r="AU341" s="181" t="s">
        <v>7494</v>
      </c>
      <c r="AV341" s="185" t="s">
        <v>176</v>
      </c>
      <c r="AX341" s="185" t="s">
        <v>176</v>
      </c>
      <c r="BE341" s="226" t="s">
        <v>338</v>
      </c>
      <c r="BF341" s="191" t="s">
        <v>479</v>
      </c>
      <c r="BG341" s="55" t="s">
        <v>479</v>
      </c>
      <c r="BH341" s="226" t="s">
        <v>338</v>
      </c>
      <c r="BI341" s="55" t="s">
        <v>479</v>
      </c>
      <c r="BJ341" s="55" t="s">
        <v>176</v>
      </c>
      <c r="BK341" s="55" t="s">
        <v>5976</v>
      </c>
      <c r="BM341" s="192" t="s">
        <v>160</v>
      </c>
      <c r="BN341" s="55">
        <v>4</v>
      </c>
      <c r="BO341" s="55">
        <v>4</v>
      </c>
      <c r="BQ341" s="55" t="s">
        <v>141</v>
      </c>
      <c r="GP341" s="292" t="s">
        <v>7494</v>
      </c>
      <c r="GY341" s="65">
        <v>1.83</v>
      </c>
      <c r="GZ341" s="65">
        <v>1.06</v>
      </c>
      <c r="HC341" s="65" t="s">
        <v>343</v>
      </c>
      <c r="HS341" s="227"/>
      <c r="HW341" s="227"/>
      <c r="JU341" s="55" t="s">
        <v>344</v>
      </c>
      <c r="JV341" s="55" t="s">
        <v>684</v>
      </c>
    </row>
    <row r="342" spans="1:282" x14ac:dyDescent="0.25">
      <c r="A342" s="55">
        <v>341</v>
      </c>
      <c r="B342" s="12" t="s">
        <v>7067</v>
      </c>
      <c r="C342" s="155">
        <v>21</v>
      </c>
      <c r="D342" s="55" t="s">
        <v>3765</v>
      </c>
      <c r="E342" s="90" t="s">
        <v>335</v>
      </c>
      <c r="G342" s="55" t="s">
        <v>336</v>
      </c>
      <c r="H342" s="55">
        <v>2013</v>
      </c>
      <c r="I342" s="55">
        <v>2010</v>
      </c>
      <c r="J342" s="55" t="s">
        <v>337</v>
      </c>
      <c r="K342" s="55" t="s">
        <v>340</v>
      </c>
      <c r="L342" s="55" t="s">
        <v>2737</v>
      </c>
      <c r="M342" s="90">
        <v>38.92</v>
      </c>
      <c r="N342" s="90">
        <v>-76.150000000000006</v>
      </c>
      <c r="O342" s="90">
        <v>4.8</v>
      </c>
      <c r="U342" s="55">
        <v>2</v>
      </c>
      <c r="V342" s="55" t="s">
        <v>1688</v>
      </c>
      <c r="Y342" s="55" t="s">
        <v>1830</v>
      </c>
      <c r="Z342" s="55" t="s">
        <v>1346</v>
      </c>
      <c r="AA342" s="90" t="s">
        <v>1675</v>
      </c>
      <c r="AH342" s="55" t="s">
        <v>1572</v>
      </c>
      <c r="AN342" s="185" t="s">
        <v>1494</v>
      </c>
      <c r="AO342" s="185" t="s">
        <v>5150</v>
      </c>
      <c r="AQ342" s="55" t="s">
        <v>553</v>
      </c>
      <c r="AR342" s="55" t="s">
        <v>345</v>
      </c>
      <c r="AS342" s="55" t="s">
        <v>227</v>
      </c>
      <c r="AU342" s="181" t="s">
        <v>7494</v>
      </c>
      <c r="AV342" s="185" t="s">
        <v>176</v>
      </c>
      <c r="AX342" s="185" t="s">
        <v>176</v>
      </c>
      <c r="BE342" s="226" t="s">
        <v>338</v>
      </c>
      <c r="BF342" s="191" t="s">
        <v>479</v>
      </c>
      <c r="BG342" s="55" t="s">
        <v>479</v>
      </c>
      <c r="BH342" s="226" t="s">
        <v>338</v>
      </c>
      <c r="BI342" s="55" t="s">
        <v>479</v>
      </c>
      <c r="BJ342" s="55" t="s">
        <v>176</v>
      </c>
      <c r="BK342" s="55" t="s">
        <v>5976</v>
      </c>
      <c r="BM342" s="192" t="s">
        <v>160</v>
      </c>
      <c r="BN342" s="55">
        <v>4</v>
      </c>
      <c r="BO342" s="55">
        <v>4</v>
      </c>
      <c r="BQ342" s="55" t="s">
        <v>141</v>
      </c>
      <c r="GP342" s="292" t="s">
        <v>7494</v>
      </c>
      <c r="GY342" s="65">
        <v>2.71</v>
      </c>
      <c r="GZ342" s="65">
        <v>3.39</v>
      </c>
      <c r="HC342" s="65" t="s">
        <v>343</v>
      </c>
      <c r="HS342" s="227"/>
      <c r="HW342" s="227"/>
      <c r="JU342" s="55" t="s">
        <v>344</v>
      </c>
      <c r="JV342" s="55" t="s">
        <v>684</v>
      </c>
    </row>
    <row r="343" spans="1:282" x14ac:dyDescent="0.25">
      <c r="A343" s="55">
        <v>342</v>
      </c>
      <c r="B343" s="12" t="s">
        <v>7067</v>
      </c>
      <c r="C343" s="155">
        <v>21</v>
      </c>
      <c r="D343" s="55" t="s">
        <v>3765</v>
      </c>
      <c r="E343" s="90" t="s">
        <v>335</v>
      </c>
      <c r="G343" s="55" t="s">
        <v>336</v>
      </c>
      <c r="H343" s="55">
        <v>2013</v>
      </c>
      <c r="I343" s="55">
        <v>2010</v>
      </c>
      <c r="J343" s="55" t="s">
        <v>337</v>
      </c>
      <c r="K343" s="55" t="s">
        <v>340</v>
      </c>
      <c r="L343" s="55" t="s">
        <v>2737</v>
      </c>
      <c r="M343" s="90">
        <v>38.92</v>
      </c>
      <c r="N343" s="90">
        <v>-76.150000000000006</v>
      </c>
      <c r="O343" s="90">
        <v>4.8</v>
      </c>
      <c r="U343" s="55">
        <v>2</v>
      </c>
      <c r="V343" s="55" t="s">
        <v>1688</v>
      </c>
      <c r="Y343" s="55" t="s">
        <v>1831</v>
      </c>
      <c r="Z343" s="55" t="s">
        <v>1346</v>
      </c>
      <c r="AA343" s="90" t="s">
        <v>1675</v>
      </c>
      <c r="AH343" s="55" t="s">
        <v>1572</v>
      </c>
      <c r="AN343" s="185" t="s">
        <v>1494</v>
      </c>
      <c r="AO343" s="185" t="s">
        <v>5150</v>
      </c>
      <c r="AQ343" s="55" t="s">
        <v>553</v>
      </c>
      <c r="AR343" s="55" t="s">
        <v>345</v>
      </c>
      <c r="AS343" s="55" t="s">
        <v>227</v>
      </c>
      <c r="AU343" s="181" t="s">
        <v>7494</v>
      </c>
      <c r="AV343" s="185" t="s">
        <v>176</v>
      </c>
      <c r="AX343" s="185" t="s">
        <v>176</v>
      </c>
      <c r="BE343" s="226" t="s">
        <v>338</v>
      </c>
      <c r="BF343" s="191" t="s">
        <v>479</v>
      </c>
      <c r="BG343" s="55" t="s">
        <v>479</v>
      </c>
      <c r="BH343" s="226" t="s">
        <v>338</v>
      </c>
      <c r="BI343" s="55" t="s">
        <v>479</v>
      </c>
      <c r="BJ343" s="55" t="s">
        <v>176</v>
      </c>
      <c r="BK343" s="55" t="s">
        <v>5976</v>
      </c>
      <c r="BM343" s="192" t="s">
        <v>160</v>
      </c>
      <c r="BN343" s="55">
        <v>4</v>
      </c>
      <c r="BO343" s="55">
        <v>4</v>
      </c>
      <c r="BQ343" s="55" t="s">
        <v>141</v>
      </c>
      <c r="GP343" s="292" t="s">
        <v>7494</v>
      </c>
      <c r="GY343" s="65">
        <v>2.75</v>
      </c>
      <c r="GZ343" s="65">
        <v>1.65</v>
      </c>
      <c r="HC343" s="65" t="s">
        <v>343</v>
      </c>
      <c r="HS343" s="227"/>
      <c r="HW343" s="227"/>
      <c r="JU343" s="55" t="s">
        <v>344</v>
      </c>
      <c r="JV343" s="55" t="s">
        <v>684</v>
      </c>
    </row>
    <row r="344" spans="1:282" x14ac:dyDescent="0.25">
      <c r="A344" s="55">
        <v>343</v>
      </c>
      <c r="B344" s="12" t="s">
        <v>7067</v>
      </c>
      <c r="C344" s="155">
        <v>21</v>
      </c>
      <c r="D344" s="55" t="s">
        <v>3765</v>
      </c>
      <c r="E344" s="90" t="s">
        <v>335</v>
      </c>
      <c r="G344" s="55" t="s">
        <v>336</v>
      </c>
      <c r="H344" s="55">
        <v>2013</v>
      </c>
      <c r="I344" s="55">
        <v>2010</v>
      </c>
      <c r="J344" s="55" t="s">
        <v>337</v>
      </c>
      <c r="K344" s="55" t="s">
        <v>340</v>
      </c>
      <c r="L344" s="55" t="s">
        <v>2737</v>
      </c>
      <c r="M344" s="90">
        <v>38.92</v>
      </c>
      <c r="N344" s="90">
        <v>-76.150000000000006</v>
      </c>
      <c r="O344" s="90">
        <v>4.8</v>
      </c>
      <c r="U344" s="55">
        <v>2</v>
      </c>
      <c r="V344" s="55" t="s">
        <v>1688</v>
      </c>
      <c r="Y344" s="55" t="s">
        <v>1832</v>
      </c>
      <c r="Z344" s="55" t="s">
        <v>1346</v>
      </c>
      <c r="AA344" s="90" t="s">
        <v>1675</v>
      </c>
      <c r="AH344" s="55" t="s">
        <v>1572</v>
      </c>
      <c r="AN344" s="185" t="s">
        <v>1494</v>
      </c>
      <c r="AO344" s="185" t="s">
        <v>5150</v>
      </c>
      <c r="AQ344" s="55" t="s">
        <v>553</v>
      </c>
      <c r="AR344" s="55" t="s">
        <v>345</v>
      </c>
      <c r="AS344" s="55" t="s">
        <v>227</v>
      </c>
      <c r="AU344" s="181" t="s">
        <v>7494</v>
      </c>
      <c r="AV344" s="185" t="s">
        <v>176</v>
      </c>
      <c r="AX344" s="185" t="s">
        <v>176</v>
      </c>
      <c r="BE344" s="226" t="s">
        <v>338</v>
      </c>
      <c r="BF344" s="191" t="s">
        <v>479</v>
      </c>
      <c r="BG344" s="55" t="s">
        <v>479</v>
      </c>
      <c r="BH344" s="226" t="s">
        <v>338</v>
      </c>
      <c r="BI344" s="55" t="s">
        <v>479</v>
      </c>
      <c r="BJ344" s="55" t="s">
        <v>176</v>
      </c>
      <c r="BK344" s="55" t="s">
        <v>5976</v>
      </c>
      <c r="BM344" s="192" t="s">
        <v>160</v>
      </c>
      <c r="BN344" s="55">
        <v>4</v>
      </c>
      <c r="BO344" s="55">
        <v>4</v>
      </c>
      <c r="BQ344" s="55" t="s">
        <v>141</v>
      </c>
      <c r="GP344" s="292" t="s">
        <v>7494</v>
      </c>
      <c r="GY344" s="65">
        <v>1.19</v>
      </c>
      <c r="GZ344" s="65">
        <v>0.5</v>
      </c>
      <c r="HC344" s="65" t="s">
        <v>343</v>
      </c>
      <c r="HS344" s="227"/>
      <c r="HW344" s="227"/>
      <c r="JU344" s="55" t="s">
        <v>344</v>
      </c>
      <c r="JV344" s="55" t="s">
        <v>684</v>
      </c>
    </row>
    <row r="345" spans="1:282" x14ac:dyDescent="0.25">
      <c r="A345" s="55">
        <v>344</v>
      </c>
      <c r="B345" s="12" t="s">
        <v>7067</v>
      </c>
      <c r="C345" s="155">
        <v>21</v>
      </c>
      <c r="D345" s="55" t="s">
        <v>3766</v>
      </c>
      <c r="E345" s="90" t="s">
        <v>335</v>
      </c>
      <c r="G345" s="55" t="s">
        <v>336</v>
      </c>
      <c r="H345" s="55">
        <v>2013</v>
      </c>
      <c r="I345" s="55">
        <v>2009</v>
      </c>
      <c r="J345" s="55" t="s">
        <v>337</v>
      </c>
      <c r="K345" s="55" t="s">
        <v>339</v>
      </c>
      <c r="L345" s="55" t="s">
        <v>2737</v>
      </c>
      <c r="M345" s="90">
        <v>38.82</v>
      </c>
      <c r="N345" s="90">
        <v>-76.75</v>
      </c>
      <c r="O345" s="90">
        <v>5.5</v>
      </c>
      <c r="U345" s="55">
        <v>1</v>
      </c>
      <c r="V345" s="55" t="s">
        <v>1688</v>
      </c>
      <c r="Y345" s="55" t="s">
        <v>1827</v>
      </c>
      <c r="Z345" s="55" t="s">
        <v>1346</v>
      </c>
      <c r="AA345" s="90" t="s">
        <v>1675</v>
      </c>
      <c r="AH345" s="55" t="s">
        <v>1572</v>
      </c>
      <c r="AN345" s="185" t="s">
        <v>1494</v>
      </c>
      <c r="AO345" s="185" t="s">
        <v>5150</v>
      </c>
      <c r="AQ345" s="55" t="s">
        <v>553</v>
      </c>
      <c r="AR345" s="55" t="s">
        <v>345</v>
      </c>
      <c r="AS345" s="55" t="s">
        <v>227</v>
      </c>
      <c r="AU345" s="181" t="s">
        <v>7494</v>
      </c>
      <c r="AV345" s="185" t="s">
        <v>176</v>
      </c>
      <c r="AX345" s="185" t="s">
        <v>176</v>
      </c>
      <c r="BE345" s="226" t="s">
        <v>338</v>
      </c>
      <c r="BF345" s="191" t="s">
        <v>479</v>
      </c>
      <c r="BG345" s="55" t="s">
        <v>479</v>
      </c>
      <c r="BH345" s="226" t="s">
        <v>338</v>
      </c>
      <c r="BI345" s="55" t="s">
        <v>479</v>
      </c>
      <c r="BJ345" s="55" t="s">
        <v>176</v>
      </c>
      <c r="BK345" s="55" t="s">
        <v>5976</v>
      </c>
      <c r="BM345" s="192" t="s">
        <v>160</v>
      </c>
      <c r="BN345" s="55">
        <v>4</v>
      </c>
      <c r="BO345" s="55">
        <v>4</v>
      </c>
      <c r="BQ345" s="55" t="s">
        <v>141</v>
      </c>
      <c r="GP345" s="292" t="s">
        <v>7494</v>
      </c>
      <c r="GY345" s="65">
        <v>0.25</v>
      </c>
      <c r="GZ345" s="65">
        <v>0.25</v>
      </c>
      <c r="HC345" s="65" t="s">
        <v>343</v>
      </c>
      <c r="HS345" s="227"/>
      <c r="HW345" s="227"/>
      <c r="JU345" s="55" t="s">
        <v>344</v>
      </c>
      <c r="JV345" s="55" t="s">
        <v>684</v>
      </c>
    </row>
    <row r="346" spans="1:282" x14ac:dyDescent="0.25">
      <c r="A346" s="55">
        <v>345</v>
      </c>
      <c r="B346" s="12" t="s">
        <v>7067</v>
      </c>
      <c r="C346" s="155">
        <v>21</v>
      </c>
      <c r="D346" s="55" t="s">
        <v>3766</v>
      </c>
      <c r="E346" s="90" t="s">
        <v>335</v>
      </c>
      <c r="G346" s="55" t="s">
        <v>336</v>
      </c>
      <c r="H346" s="55">
        <v>2013</v>
      </c>
      <c r="I346" s="55">
        <v>2009</v>
      </c>
      <c r="J346" s="55" t="s">
        <v>337</v>
      </c>
      <c r="K346" s="55" t="s">
        <v>339</v>
      </c>
      <c r="L346" s="55" t="s">
        <v>2737</v>
      </c>
      <c r="M346" s="90">
        <v>38.82</v>
      </c>
      <c r="N346" s="90">
        <v>-76.75</v>
      </c>
      <c r="O346" s="90">
        <v>5.5</v>
      </c>
      <c r="U346" s="55">
        <v>1</v>
      </c>
      <c r="V346" s="55" t="s">
        <v>1688</v>
      </c>
      <c r="Y346" s="55" t="s">
        <v>1828</v>
      </c>
      <c r="Z346" s="55" t="s">
        <v>1346</v>
      </c>
      <c r="AA346" s="90" t="s">
        <v>1675</v>
      </c>
      <c r="AH346" s="55" t="s">
        <v>1572</v>
      </c>
      <c r="AN346" s="185" t="s">
        <v>1494</v>
      </c>
      <c r="AO346" s="185" t="s">
        <v>5150</v>
      </c>
      <c r="AQ346" s="55" t="s">
        <v>553</v>
      </c>
      <c r="AR346" s="55" t="s">
        <v>345</v>
      </c>
      <c r="AS346" s="55" t="s">
        <v>227</v>
      </c>
      <c r="AU346" s="181" t="s">
        <v>7494</v>
      </c>
      <c r="AV346" s="185" t="s">
        <v>176</v>
      </c>
      <c r="AX346" s="185" t="s">
        <v>176</v>
      </c>
      <c r="BE346" s="226" t="s">
        <v>338</v>
      </c>
      <c r="BF346" s="191" t="s">
        <v>479</v>
      </c>
      <c r="BG346" s="55" t="s">
        <v>479</v>
      </c>
      <c r="BH346" s="226" t="s">
        <v>338</v>
      </c>
      <c r="BI346" s="55" t="s">
        <v>479</v>
      </c>
      <c r="BJ346" s="55" t="s">
        <v>176</v>
      </c>
      <c r="BK346" s="55" t="s">
        <v>5976</v>
      </c>
      <c r="BM346" s="192" t="s">
        <v>160</v>
      </c>
      <c r="BN346" s="55">
        <v>4</v>
      </c>
      <c r="BO346" s="55">
        <v>4</v>
      </c>
      <c r="BQ346" s="55" t="s">
        <v>141</v>
      </c>
      <c r="GP346" s="292" t="s">
        <v>7494</v>
      </c>
      <c r="GY346" s="65">
        <v>0.65</v>
      </c>
      <c r="GZ346" s="65">
        <v>0.4</v>
      </c>
      <c r="HC346" s="65" t="s">
        <v>343</v>
      </c>
      <c r="HS346" s="227"/>
      <c r="HW346" s="227"/>
      <c r="JU346" s="55" t="s">
        <v>344</v>
      </c>
      <c r="JV346" s="55" t="s">
        <v>684</v>
      </c>
    </row>
    <row r="347" spans="1:282" x14ac:dyDescent="0.25">
      <c r="A347" s="55">
        <v>346</v>
      </c>
      <c r="B347" s="12" t="s">
        <v>7067</v>
      </c>
      <c r="C347" s="155">
        <v>21</v>
      </c>
      <c r="D347" s="55" t="s">
        <v>3766</v>
      </c>
      <c r="E347" s="90" t="s">
        <v>335</v>
      </c>
      <c r="G347" s="55" t="s">
        <v>336</v>
      </c>
      <c r="H347" s="55">
        <v>2013</v>
      </c>
      <c r="I347" s="55">
        <v>2009</v>
      </c>
      <c r="J347" s="55" t="s">
        <v>337</v>
      </c>
      <c r="K347" s="55" t="s">
        <v>339</v>
      </c>
      <c r="L347" s="55" t="s">
        <v>2737</v>
      </c>
      <c r="M347" s="90">
        <v>38.82</v>
      </c>
      <c r="N347" s="90">
        <v>-76.75</v>
      </c>
      <c r="O347" s="90">
        <v>5.5</v>
      </c>
      <c r="U347" s="55">
        <v>1</v>
      </c>
      <c r="V347" s="55" t="s">
        <v>1688</v>
      </c>
      <c r="Y347" s="55" t="s">
        <v>1829</v>
      </c>
      <c r="Z347" s="55" t="s">
        <v>1346</v>
      </c>
      <c r="AA347" s="90" t="s">
        <v>1675</v>
      </c>
      <c r="AH347" s="55" t="s">
        <v>1572</v>
      </c>
      <c r="AN347" s="185" t="s">
        <v>1494</v>
      </c>
      <c r="AO347" s="185" t="s">
        <v>5150</v>
      </c>
      <c r="AQ347" s="55" t="s">
        <v>553</v>
      </c>
      <c r="AR347" s="55" t="s">
        <v>345</v>
      </c>
      <c r="AS347" s="55" t="s">
        <v>227</v>
      </c>
      <c r="AU347" s="181" t="s">
        <v>7494</v>
      </c>
      <c r="AV347" s="185" t="s">
        <v>176</v>
      </c>
      <c r="AX347" s="185" t="s">
        <v>176</v>
      </c>
      <c r="BE347" s="226" t="s">
        <v>338</v>
      </c>
      <c r="BF347" s="191" t="s">
        <v>479</v>
      </c>
      <c r="BG347" s="55" t="s">
        <v>479</v>
      </c>
      <c r="BH347" s="226" t="s">
        <v>338</v>
      </c>
      <c r="BI347" s="55" t="s">
        <v>479</v>
      </c>
      <c r="BJ347" s="55" t="s">
        <v>176</v>
      </c>
      <c r="BK347" s="55" t="s">
        <v>5976</v>
      </c>
      <c r="BM347" s="192" t="s">
        <v>160</v>
      </c>
      <c r="BN347" s="55">
        <v>4</v>
      </c>
      <c r="BO347" s="55">
        <v>4</v>
      </c>
      <c r="BQ347" s="55" t="s">
        <v>141</v>
      </c>
      <c r="GP347" s="292" t="s">
        <v>7494</v>
      </c>
      <c r="GY347" s="65">
        <v>4.32</v>
      </c>
      <c r="GZ347" s="65">
        <v>4.32</v>
      </c>
      <c r="HC347" s="65" t="s">
        <v>343</v>
      </c>
      <c r="HS347" s="227"/>
      <c r="HW347" s="227"/>
      <c r="JU347" s="55" t="s">
        <v>344</v>
      </c>
      <c r="JV347" s="55" t="s">
        <v>684</v>
      </c>
    </row>
    <row r="348" spans="1:282" x14ac:dyDescent="0.25">
      <c r="A348" s="55">
        <v>347</v>
      </c>
      <c r="B348" s="12" t="s">
        <v>7067</v>
      </c>
      <c r="C348" s="155">
        <v>21</v>
      </c>
      <c r="D348" s="55" t="s">
        <v>3766</v>
      </c>
      <c r="E348" s="90" t="s">
        <v>335</v>
      </c>
      <c r="G348" s="55" t="s">
        <v>336</v>
      </c>
      <c r="H348" s="55">
        <v>2013</v>
      </c>
      <c r="I348" s="55">
        <v>2009</v>
      </c>
      <c r="J348" s="55" t="s">
        <v>337</v>
      </c>
      <c r="K348" s="55" t="s">
        <v>339</v>
      </c>
      <c r="L348" s="55" t="s">
        <v>2737</v>
      </c>
      <c r="M348" s="90">
        <v>38.82</v>
      </c>
      <c r="N348" s="90">
        <v>-76.75</v>
      </c>
      <c r="O348" s="90">
        <v>5.5</v>
      </c>
      <c r="U348" s="55">
        <v>1</v>
      </c>
      <c r="V348" s="55" t="s">
        <v>1688</v>
      </c>
      <c r="Y348" s="55" t="s">
        <v>1830</v>
      </c>
      <c r="Z348" s="55" t="s">
        <v>1346</v>
      </c>
      <c r="AA348" s="90" t="s">
        <v>1675</v>
      </c>
      <c r="AH348" s="55" t="s">
        <v>1572</v>
      </c>
      <c r="AN348" s="185" t="s">
        <v>1494</v>
      </c>
      <c r="AO348" s="185" t="s">
        <v>5150</v>
      </c>
      <c r="AQ348" s="55" t="s">
        <v>553</v>
      </c>
      <c r="AR348" s="55" t="s">
        <v>345</v>
      </c>
      <c r="AS348" s="55" t="s">
        <v>227</v>
      </c>
      <c r="AU348" s="181" t="s">
        <v>7494</v>
      </c>
      <c r="AV348" s="185" t="s">
        <v>176</v>
      </c>
      <c r="AX348" s="185" t="s">
        <v>176</v>
      </c>
      <c r="BE348" s="226" t="s">
        <v>338</v>
      </c>
      <c r="BF348" s="191" t="s">
        <v>479</v>
      </c>
      <c r="BG348" s="55" t="s">
        <v>479</v>
      </c>
      <c r="BH348" s="226" t="s">
        <v>338</v>
      </c>
      <c r="BI348" s="55" t="s">
        <v>479</v>
      </c>
      <c r="BJ348" s="55" t="s">
        <v>176</v>
      </c>
      <c r="BK348" s="55" t="s">
        <v>5976</v>
      </c>
      <c r="BM348" s="192" t="s">
        <v>160</v>
      </c>
      <c r="BN348" s="55">
        <v>4</v>
      </c>
      <c r="BO348" s="55">
        <v>4</v>
      </c>
      <c r="BQ348" s="55" t="s">
        <v>141</v>
      </c>
      <c r="GP348" s="292" t="s">
        <v>7494</v>
      </c>
      <c r="GY348" s="65">
        <v>5.68</v>
      </c>
      <c r="GZ348" s="65">
        <v>2.56</v>
      </c>
      <c r="HC348" s="65" t="s">
        <v>343</v>
      </c>
      <c r="HS348" s="227"/>
      <c r="HW348" s="227"/>
      <c r="JU348" s="55" t="s">
        <v>344</v>
      </c>
      <c r="JV348" s="55" t="s">
        <v>684</v>
      </c>
    </row>
    <row r="349" spans="1:282" x14ac:dyDescent="0.25">
      <c r="A349" s="55">
        <v>348</v>
      </c>
      <c r="B349" s="12" t="s">
        <v>7067</v>
      </c>
      <c r="C349" s="155">
        <v>21</v>
      </c>
      <c r="D349" s="55" t="s">
        <v>3766</v>
      </c>
      <c r="E349" s="90" t="s">
        <v>335</v>
      </c>
      <c r="G349" s="55" t="s">
        <v>336</v>
      </c>
      <c r="H349" s="55">
        <v>2013</v>
      </c>
      <c r="I349" s="55">
        <v>2009</v>
      </c>
      <c r="J349" s="55" t="s">
        <v>337</v>
      </c>
      <c r="K349" s="55" t="s">
        <v>339</v>
      </c>
      <c r="L349" s="55" t="s">
        <v>2737</v>
      </c>
      <c r="M349" s="90">
        <v>38.82</v>
      </c>
      <c r="N349" s="90">
        <v>-76.75</v>
      </c>
      <c r="O349" s="90">
        <v>5.5</v>
      </c>
      <c r="U349" s="55">
        <v>1</v>
      </c>
      <c r="V349" s="55" t="s">
        <v>1688</v>
      </c>
      <c r="Y349" s="55" t="s">
        <v>1831</v>
      </c>
      <c r="Z349" s="55" t="s">
        <v>1346</v>
      </c>
      <c r="AA349" s="90" t="s">
        <v>1675</v>
      </c>
      <c r="AH349" s="55" t="s">
        <v>1572</v>
      </c>
      <c r="AN349" s="185" t="s">
        <v>1494</v>
      </c>
      <c r="AO349" s="185" t="s">
        <v>5150</v>
      </c>
      <c r="AQ349" s="55" t="s">
        <v>553</v>
      </c>
      <c r="AR349" s="55" t="s">
        <v>345</v>
      </c>
      <c r="AS349" s="55" t="s">
        <v>227</v>
      </c>
      <c r="AU349" s="181" t="s">
        <v>7494</v>
      </c>
      <c r="AV349" s="185" t="s">
        <v>176</v>
      </c>
      <c r="AX349" s="185" t="s">
        <v>176</v>
      </c>
      <c r="BE349" s="226" t="s">
        <v>338</v>
      </c>
      <c r="BF349" s="191" t="s">
        <v>479</v>
      </c>
      <c r="BG349" s="55" t="s">
        <v>479</v>
      </c>
      <c r="BH349" s="226" t="s">
        <v>338</v>
      </c>
      <c r="BI349" s="55" t="s">
        <v>479</v>
      </c>
      <c r="BJ349" s="55" t="s">
        <v>176</v>
      </c>
      <c r="BK349" s="55" t="s">
        <v>5976</v>
      </c>
      <c r="BM349" s="192" t="s">
        <v>160</v>
      </c>
      <c r="BN349" s="55">
        <v>4</v>
      </c>
      <c r="BO349" s="55">
        <v>4</v>
      </c>
      <c r="BQ349" s="55" t="s">
        <v>141</v>
      </c>
      <c r="GP349" s="292" t="s">
        <v>7494</v>
      </c>
      <c r="GY349" s="65">
        <v>3.47</v>
      </c>
      <c r="GZ349" s="65">
        <v>0.8</v>
      </c>
      <c r="HC349" s="65" t="s">
        <v>343</v>
      </c>
      <c r="HS349" s="227"/>
      <c r="HW349" s="227"/>
      <c r="JU349" s="55" t="s">
        <v>344</v>
      </c>
      <c r="JV349" s="55" t="s">
        <v>684</v>
      </c>
    </row>
    <row r="350" spans="1:282" x14ac:dyDescent="0.25">
      <c r="A350" s="55">
        <v>349</v>
      </c>
      <c r="B350" s="12" t="s">
        <v>7067</v>
      </c>
      <c r="C350" s="155">
        <v>21</v>
      </c>
      <c r="D350" s="55" t="s">
        <v>3766</v>
      </c>
      <c r="E350" s="90" t="s">
        <v>335</v>
      </c>
      <c r="G350" s="55" t="s">
        <v>336</v>
      </c>
      <c r="H350" s="55">
        <v>2013</v>
      </c>
      <c r="I350" s="55">
        <v>2010</v>
      </c>
      <c r="J350" s="55" t="s">
        <v>337</v>
      </c>
      <c r="K350" s="55" t="s">
        <v>339</v>
      </c>
      <c r="L350" s="55" t="s">
        <v>2737</v>
      </c>
      <c r="M350" s="90">
        <v>38.82</v>
      </c>
      <c r="N350" s="90">
        <v>-76.75</v>
      </c>
      <c r="O350" s="90">
        <v>5.5</v>
      </c>
      <c r="U350" s="55">
        <v>2</v>
      </c>
      <c r="V350" s="55" t="s">
        <v>1688</v>
      </c>
      <c r="Y350" s="55" t="s">
        <v>1827</v>
      </c>
      <c r="Z350" s="55" t="s">
        <v>1346</v>
      </c>
      <c r="AA350" s="90" t="s">
        <v>1675</v>
      </c>
      <c r="AH350" s="55" t="s">
        <v>1572</v>
      </c>
      <c r="AN350" s="185" t="s">
        <v>1494</v>
      </c>
      <c r="AO350" s="185" t="s">
        <v>5150</v>
      </c>
      <c r="AQ350" s="55" t="s">
        <v>553</v>
      </c>
      <c r="AR350" s="55" t="s">
        <v>345</v>
      </c>
      <c r="AS350" s="55" t="s">
        <v>227</v>
      </c>
      <c r="AU350" s="181" t="s">
        <v>7494</v>
      </c>
      <c r="AV350" s="185" t="s">
        <v>176</v>
      </c>
      <c r="AX350" s="185" t="s">
        <v>176</v>
      </c>
      <c r="BE350" s="226" t="s">
        <v>338</v>
      </c>
      <c r="BF350" s="191" t="s">
        <v>479</v>
      </c>
      <c r="BG350" s="55" t="s">
        <v>479</v>
      </c>
      <c r="BH350" s="226" t="s">
        <v>338</v>
      </c>
      <c r="BI350" s="55" t="s">
        <v>479</v>
      </c>
      <c r="BJ350" s="55" t="s">
        <v>176</v>
      </c>
      <c r="BK350" s="55" t="s">
        <v>5976</v>
      </c>
      <c r="BM350" s="192" t="s">
        <v>160</v>
      </c>
      <c r="BN350" s="55">
        <v>4</v>
      </c>
      <c r="BO350" s="55">
        <v>4</v>
      </c>
      <c r="BQ350" s="55" t="s">
        <v>141</v>
      </c>
      <c r="GP350" s="292" t="s">
        <v>7494</v>
      </c>
      <c r="GY350" s="65">
        <v>0.01</v>
      </c>
      <c r="GZ350" s="65">
        <v>0.01</v>
      </c>
      <c r="HC350" s="65" t="s">
        <v>343</v>
      </c>
      <c r="HS350" s="227"/>
      <c r="HW350" s="227"/>
      <c r="JU350" s="55" t="s">
        <v>344</v>
      </c>
      <c r="JV350" s="55" t="s">
        <v>684</v>
      </c>
    </row>
    <row r="351" spans="1:282" x14ac:dyDescent="0.25">
      <c r="A351" s="55">
        <v>350</v>
      </c>
      <c r="B351" s="12" t="s">
        <v>7067</v>
      </c>
      <c r="C351" s="155">
        <v>21</v>
      </c>
      <c r="D351" s="55" t="s">
        <v>3766</v>
      </c>
      <c r="E351" s="90" t="s">
        <v>335</v>
      </c>
      <c r="G351" s="55" t="s">
        <v>336</v>
      </c>
      <c r="H351" s="55">
        <v>2013</v>
      </c>
      <c r="I351" s="55">
        <v>2010</v>
      </c>
      <c r="J351" s="55" t="s">
        <v>337</v>
      </c>
      <c r="K351" s="55" t="s">
        <v>339</v>
      </c>
      <c r="L351" s="55" t="s">
        <v>2737</v>
      </c>
      <c r="M351" s="90">
        <v>38.82</v>
      </c>
      <c r="N351" s="90">
        <v>-76.75</v>
      </c>
      <c r="O351" s="90">
        <v>5.5</v>
      </c>
      <c r="U351" s="55">
        <v>2</v>
      </c>
      <c r="V351" s="55" t="s">
        <v>1688</v>
      </c>
      <c r="Y351" s="55" t="s">
        <v>1828</v>
      </c>
      <c r="Z351" s="55" t="s">
        <v>1346</v>
      </c>
      <c r="AA351" s="90" t="s">
        <v>1675</v>
      </c>
      <c r="AH351" s="55" t="s">
        <v>1572</v>
      </c>
      <c r="AN351" s="185" t="s">
        <v>1494</v>
      </c>
      <c r="AO351" s="185" t="s">
        <v>5150</v>
      </c>
      <c r="AQ351" s="55" t="s">
        <v>553</v>
      </c>
      <c r="AR351" s="55" t="s">
        <v>345</v>
      </c>
      <c r="AS351" s="55" t="s">
        <v>227</v>
      </c>
      <c r="AU351" s="181" t="s">
        <v>7494</v>
      </c>
      <c r="AV351" s="185" t="s">
        <v>176</v>
      </c>
      <c r="AX351" s="185" t="s">
        <v>176</v>
      </c>
      <c r="BE351" s="226" t="s">
        <v>338</v>
      </c>
      <c r="BF351" s="191" t="s">
        <v>479</v>
      </c>
      <c r="BG351" s="55" t="s">
        <v>479</v>
      </c>
      <c r="BH351" s="226" t="s">
        <v>338</v>
      </c>
      <c r="BI351" s="55" t="s">
        <v>479</v>
      </c>
      <c r="BJ351" s="55" t="s">
        <v>176</v>
      </c>
      <c r="BK351" s="55" t="s">
        <v>5976</v>
      </c>
      <c r="BM351" s="192" t="s">
        <v>160</v>
      </c>
      <c r="BN351" s="55">
        <v>4</v>
      </c>
      <c r="BO351" s="55">
        <v>4</v>
      </c>
      <c r="BQ351" s="55" t="s">
        <v>141</v>
      </c>
      <c r="GP351" s="292" t="s">
        <v>7494</v>
      </c>
      <c r="GY351" s="65">
        <v>0.14000000000000001</v>
      </c>
      <c r="GZ351" s="65">
        <v>0.09</v>
      </c>
      <c r="HC351" s="65" t="s">
        <v>343</v>
      </c>
      <c r="HS351" s="227"/>
      <c r="HW351" s="227"/>
      <c r="JU351" s="55" t="s">
        <v>344</v>
      </c>
      <c r="JV351" s="55" t="s">
        <v>684</v>
      </c>
    </row>
    <row r="352" spans="1:282" x14ac:dyDescent="0.25">
      <c r="A352" s="55">
        <v>351</v>
      </c>
      <c r="B352" s="12" t="s">
        <v>7067</v>
      </c>
      <c r="C352" s="155">
        <v>21</v>
      </c>
      <c r="D352" s="55" t="s">
        <v>3766</v>
      </c>
      <c r="E352" s="90" t="s">
        <v>335</v>
      </c>
      <c r="G352" s="55" t="s">
        <v>336</v>
      </c>
      <c r="H352" s="55">
        <v>2013</v>
      </c>
      <c r="I352" s="55">
        <v>2010</v>
      </c>
      <c r="J352" s="55" t="s">
        <v>337</v>
      </c>
      <c r="K352" s="55" t="s">
        <v>339</v>
      </c>
      <c r="L352" s="55" t="s">
        <v>2737</v>
      </c>
      <c r="M352" s="90">
        <v>38.82</v>
      </c>
      <c r="N352" s="90">
        <v>-76.75</v>
      </c>
      <c r="O352" s="90">
        <v>5.5</v>
      </c>
      <c r="U352" s="55">
        <v>2</v>
      </c>
      <c r="V352" s="55" t="s">
        <v>1688</v>
      </c>
      <c r="Y352" s="55" t="s">
        <v>1829</v>
      </c>
      <c r="Z352" s="55" t="s">
        <v>1346</v>
      </c>
      <c r="AA352" s="90" t="s">
        <v>1675</v>
      </c>
      <c r="AH352" s="55" t="s">
        <v>1572</v>
      </c>
      <c r="AN352" s="185" t="s">
        <v>1494</v>
      </c>
      <c r="AO352" s="185" t="s">
        <v>5150</v>
      </c>
      <c r="AQ352" s="55" t="s">
        <v>553</v>
      </c>
      <c r="AR352" s="55" t="s">
        <v>345</v>
      </c>
      <c r="AS352" s="55" t="s">
        <v>227</v>
      </c>
      <c r="AU352" s="181" t="s">
        <v>7494</v>
      </c>
      <c r="AV352" s="185" t="s">
        <v>176</v>
      </c>
      <c r="AX352" s="185" t="s">
        <v>176</v>
      </c>
      <c r="BE352" s="226" t="s">
        <v>338</v>
      </c>
      <c r="BF352" s="191" t="s">
        <v>479</v>
      </c>
      <c r="BG352" s="55" t="s">
        <v>479</v>
      </c>
      <c r="BH352" s="226" t="s">
        <v>338</v>
      </c>
      <c r="BI352" s="55" t="s">
        <v>479</v>
      </c>
      <c r="BJ352" s="55" t="s">
        <v>176</v>
      </c>
      <c r="BK352" s="55" t="s">
        <v>5976</v>
      </c>
      <c r="BM352" s="192" t="s">
        <v>160</v>
      </c>
      <c r="BN352" s="55">
        <v>4</v>
      </c>
      <c r="BO352" s="55">
        <v>4</v>
      </c>
      <c r="BQ352" s="55" t="s">
        <v>141</v>
      </c>
      <c r="GP352" s="292" t="s">
        <v>7494</v>
      </c>
      <c r="GY352" s="65">
        <v>4.29</v>
      </c>
      <c r="GZ352" s="65">
        <v>1.37</v>
      </c>
      <c r="HC352" s="65" t="s">
        <v>343</v>
      </c>
      <c r="HS352" s="227"/>
      <c r="HW352" s="227"/>
      <c r="JU352" s="55" t="s">
        <v>344</v>
      </c>
      <c r="JV352" s="55" t="s">
        <v>684</v>
      </c>
    </row>
    <row r="353" spans="1:282" x14ac:dyDescent="0.25">
      <c r="A353" s="55">
        <v>352</v>
      </c>
      <c r="B353" s="12" t="s">
        <v>7067</v>
      </c>
      <c r="C353" s="155">
        <v>21</v>
      </c>
      <c r="D353" s="55" t="s">
        <v>3766</v>
      </c>
      <c r="E353" s="90" t="s">
        <v>335</v>
      </c>
      <c r="G353" s="55" t="s">
        <v>336</v>
      </c>
      <c r="H353" s="55">
        <v>2013</v>
      </c>
      <c r="I353" s="55">
        <v>2010</v>
      </c>
      <c r="J353" s="55" t="s">
        <v>337</v>
      </c>
      <c r="K353" s="55" t="s">
        <v>339</v>
      </c>
      <c r="L353" s="55" t="s">
        <v>2737</v>
      </c>
      <c r="M353" s="90">
        <v>38.82</v>
      </c>
      <c r="N353" s="90">
        <v>-76.75</v>
      </c>
      <c r="O353" s="90">
        <v>5.5</v>
      </c>
      <c r="U353" s="55">
        <v>2</v>
      </c>
      <c r="V353" s="55" t="s">
        <v>1688</v>
      </c>
      <c r="Y353" s="55" t="s">
        <v>1830</v>
      </c>
      <c r="Z353" s="55" t="s">
        <v>1346</v>
      </c>
      <c r="AA353" s="90" t="s">
        <v>1675</v>
      </c>
      <c r="AH353" s="55" t="s">
        <v>1572</v>
      </c>
      <c r="AN353" s="185" t="s">
        <v>1494</v>
      </c>
      <c r="AO353" s="185" t="s">
        <v>5150</v>
      </c>
      <c r="AQ353" s="55" t="s">
        <v>553</v>
      </c>
      <c r="AR353" s="55" t="s">
        <v>345</v>
      </c>
      <c r="AS353" s="55" t="s">
        <v>227</v>
      </c>
      <c r="AU353" s="181" t="s">
        <v>7494</v>
      </c>
      <c r="AV353" s="185" t="s">
        <v>176</v>
      </c>
      <c r="AX353" s="185" t="s">
        <v>176</v>
      </c>
      <c r="BE353" s="226" t="s">
        <v>338</v>
      </c>
      <c r="BF353" s="191" t="s">
        <v>479</v>
      </c>
      <c r="BG353" s="55" t="s">
        <v>479</v>
      </c>
      <c r="BH353" s="226" t="s">
        <v>338</v>
      </c>
      <c r="BI353" s="55" t="s">
        <v>479</v>
      </c>
      <c r="BJ353" s="55" t="s">
        <v>176</v>
      </c>
      <c r="BK353" s="55" t="s">
        <v>5976</v>
      </c>
      <c r="BM353" s="192" t="s">
        <v>160</v>
      </c>
      <c r="BN353" s="55">
        <v>4</v>
      </c>
      <c r="BO353" s="55">
        <v>4</v>
      </c>
      <c r="BQ353" s="55" t="s">
        <v>141</v>
      </c>
      <c r="GP353" s="292" t="s">
        <v>7494</v>
      </c>
      <c r="GY353" s="65">
        <v>1.28</v>
      </c>
      <c r="GZ353" s="65">
        <v>0.27</v>
      </c>
      <c r="HC353" s="65" t="s">
        <v>343</v>
      </c>
      <c r="HS353" s="227"/>
      <c r="HW353" s="227"/>
      <c r="JU353" s="55" t="s">
        <v>344</v>
      </c>
      <c r="JV353" s="55" t="s">
        <v>684</v>
      </c>
    </row>
    <row r="354" spans="1:282" x14ac:dyDescent="0.25">
      <c r="A354" s="55">
        <v>353</v>
      </c>
      <c r="B354" s="12" t="s">
        <v>7067</v>
      </c>
      <c r="C354" s="155">
        <v>21</v>
      </c>
      <c r="D354" s="55" t="s">
        <v>3766</v>
      </c>
      <c r="E354" s="90" t="s">
        <v>335</v>
      </c>
      <c r="G354" s="55" t="s">
        <v>336</v>
      </c>
      <c r="H354" s="55">
        <v>2013</v>
      </c>
      <c r="I354" s="55">
        <v>2010</v>
      </c>
      <c r="J354" s="55" t="s">
        <v>337</v>
      </c>
      <c r="K354" s="55" t="s">
        <v>339</v>
      </c>
      <c r="L354" s="55" t="s">
        <v>2737</v>
      </c>
      <c r="M354" s="90">
        <v>38.82</v>
      </c>
      <c r="N354" s="90">
        <v>-76.75</v>
      </c>
      <c r="O354" s="90">
        <v>5.5</v>
      </c>
      <c r="U354" s="55">
        <v>2</v>
      </c>
      <c r="V354" s="55" t="s">
        <v>1688</v>
      </c>
      <c r="Y354" s="55" t="s">
        <v>1831</v>
      </c>
      <c r="Z354" s="55" t="s">
        <v>1346</v>
      </c>
      <c r="AA354" s="90" t="s">
        <v>1675</v>
      </c>
      <c r="AH354" s="55" t="s">
        <v>1572</v>
      </c>
      <c r="AN354" s="185" t="s">
        <v>1494</v>
      </c>
      <c r="AO354" s="185" t="s">
        <v>5150</v>
      </c>
      <c r="AQ354" s="55" t="s">
        <v>553</v>
      </c>
      <c r="AR354" s="55" t="s">
        <v>345</v>
      </c>
      <c r="AS354" s="55" t="s">
        <v>227</v>
      </c>
      <c r="AU354" s="181" t="s">
        <v>7494</v>
      </c>
      <c r="AV354" s="185" t="s">
        <v>176</v>
      </c>
      <c r="AX354" s="185" t="s">
        <v>176</v>
      </c>
      <c r="BE354" s="226" t="s">
        <v>338</v>
      </c>
      <c r="BF354" s="191" t="s">
        <v>479</v>
      </c>
      <c r="BG354" s="55" t="s">
        <v>479</v>
      </c>
      <c r="BH354" s="226" t="s">
        <v>338</v>
      </c>
      <c r="BI354" s="55" t="s">
        <v>479</v>
      </c>
      <c r="BJ354" s="55" t="s">
        <v>176</v>
      </c>
      <c r="BK354" s="55" t="s">
        <v>5976</v>
      </c>
      <c r="BM354" s="192" t="s">
        <v>160</v>
      </c>
      <c r="BN354" s="55">
        <v>4</v>
      </c>
      <c r="BO354" s="55">
        <v>4</v>
      </c>
      <c r="BQ354" s="55" t="s">
        <v>141</v>
      </c>
      <c r="GP354" s="292" t="s">
        <v>7494</v>
      </c>
      <c r="GY354" s="65">
        <v>2.19</v>
      </c>
      <c r="GZ354" s="65">
        <v>1.23</v>
      </c>
      <c r="HC354" s="65" t="s">
        <v>343</v>
      </c>
      <c r="HS354" s="227"/>
      <c r="HW354" s="227"/>
      <c r="JU354" s="55" t="s">
        <v>344</v>
      </c>
      <c r="JV354" s="55" t="s">
        <v>684</v>
      </c>
    </row>
    <row r="355" spans="1:282" x14ac:dyDescent="0.25">
      <c r="A355" s="55">
        <v>354</v>
      </c>
      <c r="B355" s="12" t="s">
        <v>7067</v>
      </c>
      <c r="C355" s="155">
        <v>21</v>
      </c>
      <c r="D355" s="55" t="s">
        <v>3766</v>
      </c>
      <c r="E355" s="90" t="s">
        <v>335</v>
      </c>
      <c r="G355" s="55" t="s">
        <v>336</v>
      </c>
      <c r="H355" s="55">
        <v>2013</v>
      </c>
      <c r="I355" s="55">
        <v>2010</v>
      </c>
      <c r="J355" s="55" t="s">
        <v>337</v>
      </c>
      <c r="K355" s="55" t="s">
        <v>339</v>
      </c>
      <c r="L355" s="55" t="s">
        <v>2737</v>
      </c>
      <c r="M355" s="90">
        <v>38.82</v>
      </c>
      <c r="N355" s="90">
        <v>-76.75</v>
      </c>
      <c r="O355" s="90">
        <v>5.5</v>
      </c>
      <c r="U355" s="55">
        <v>2</v>
      </c>
      <c r="V355" s="55" t="s">
        <v>1688</v>
      </c>
      <c r="Y355" s="55" t="s">
        <v>1832</v>
      </c>
      <c r="Z355" s="55" t="s">
        <v>1346</v>
      </c>
      <c r="AA355" s="90" t="s">
        <v>1675</v>
      </c>
      <c r="AH355" s="55" t="s">
        <v>1572</v>
      </c>
      <c r="AN355" s="185" t="s">
        <v>1494</v>
      </c>
      <c r="AO355" s="185" t="s">
        <v>5150</v>
      </c>
      <c r="AQ355" s="55" t="s">
        <v>553</v>
      </c>
      <c r="AR355" s="55" t="s">
        <v>345</v>
      </c>
      <c r="AS355" s="55" t="s">
        <v>227</v>
      </c>
      <c r="AU355" s="181" t="s">
        <v>7494</v>
      </c>
      <c r="AV355" s="185" t="s">
        <v>176</v>
      </c>
      <c r="AX355" s="185" t="s">
        <v>176</v>
      </c>
      <c r="BE355" s="226" t="s">
        <v>338</v>
      </c>
      <c r="BF355" s="191" t="s">
        <v>479</v>
      </c>
      <c r="BG355" s="55" t="s">
        <v>479</v>
      </c>
      <c r="BH355" s="226" t="s">
        <v>338</v>
      </c>
      <c r="BI355" s="55" t="s">
        <v>479</v>
      </c>
      <c r="BJ355" s="55" t="s">
        <v>176</v>
      </c>
      <c r="BK355" s="55" t="s">
        <v>5976</v>
      </c>
      <c r="BM355" s="192" t="s">
        <v>160</v>
      </c>
      <c r="BN355" s="55">
        <v>4</v>
      </c>
      <c r="BO355" s="55">
        <v>4</v>
      </c>
      <c r="BQ355" s="55" t="s">
        <v>141</v>
      </c>
      <c r="GP355" s="292" t="s">
        <v>7494</v>
      </c>
      <c r="GY355" s="65">
        <v>0.96</v>
      </c>
      <c r="GZ355" s="65">
        <v>0.09</v>
      </c>
      <c r="HC355" s="65" t="s">
        <v>343</v>
      </c>
      <c r="HS355" s="227"/>
      <c r="HW355" s="227"/>
      <c r="JU355" s="55" t="s">
        <v>344</v>
      </c>
      <c r="JV355" s="55" t="s">
        <v>684</v>
      </c>
    </row>
    <row r="356" spans="1:282" x14ac:dyDescent="0.25">
      <c r="A356" s="55">
        <v>355</v>
      </c>
      <c r="B356" s="12" t="s">
        <v>7067</v>
      </c>
      <c r="C356" s="155">
        <v>21</v>
      </c>
      <c r="D356" s="55" t="s">
        <v>3766</v>
      </c>
      <c r="E356" s="90" t="s">
        <v>335</v>
      </c>
      <c r="G356" s="55" t="s">
        <v>336</v>
      </c>
      <c r="H356" s="55">
        <v>2013</v>
      </c>
      <c r="I356" s="55">
        <v>2011</v>
      </c>
      <c r="J356" s="55" t="s">
        <v>337</v>
      </c>
      <c r="K356" s="55" t="s">
        <v>339</v>
      </c>
      <c r="L356" s="55" t="s">
        <v>2737</v>
      </c>
      <c r="M356" s="90">
        <v>38.82</v>
      </c>
      <c r="N356" s="90">
        <v>-76.75</v>
      </c>
      <c r="O356" s="90">
        <v>5.5</v>
      </c>
      <c r="U356" s="55">
        <v>3</v>
      </c>
      <c r="V356" s="55" t="s">
        <v>1688</v>
      </c>
      <c r="Y356" s="55" t="s">
        <v>1827</v>
      </c>
      <c r="Z356" s="55" t="s">
        <v>1346</v>
      </c>
      <c r="AA356" s="90" t="s">
        <v>1675</v>
      </c>
      <c r="AH356" s="55" t="s">
        <v>1572</v>
      </c>
      <c r="AN356" s="185" t="s">
        <v>1494</v>
      </c>
      <c r="AO356" s="185" t="s">
        <v>5150</v>
      </c>
      <c r="AQ356" s="55" t="s">
        <v>553</v>
      </c>
      <c r="AR356" s="55" t="s">
        <v>345</v>
      </c>
      <c r="AS356" s="55" t="s">
        <v>227</v>
      </c>
      <c r="AU356" s="181" t="s">
        <v>7494</v>
      </c>
      <c r="AV356" s="185" t="s">
        <v>176</v>
      </c>
      <c r="AX356" s="185" t="s">
        <v>176</v>
      </c>
      <c r="BE356" s="226" t="s">
        <v>338</v>
      </c>
      <c r="BF356" s="191" t="s">
        <v>479</v>
      </c>
      <c r="BG356" s="55" t="s">
        <v>479</v>
      </c>
      <c r="BH356" s="226" t="s">
        <v>338</v>
      </c>
      <c r="BI356" s="55" t="s">
        <v>479</v>
      </c>
      <c r="BJ356" s="55" t="s">
        <v>176</v>
      </c>
      <c r="BK356" s="55" t="s">
        <v>5976</v>
      </c>
      <c r="BM356" s="192" t="s">
        <v>160</v>
      </c>
      <c r="BN356" s="55">
        <v>4</v>
      </c>
      <c r="BO356" s="55">
        <v>4</v>
      </c>
      <c r="BQ356" s="55" t="s">
        <v>141</v>
      </c>
      <c r="GP356" s="292" t="s">
        <v>7494</v>
      </c>
      <c r="GY356" s="65">
        <v>0.05</v>
      </c>
      <c r="GZ356" s="65">
        <v>0.05</v>
      </c>
      <c r="HC356" s="65" t="s">
        <v>343</v>
      </c>
      <c r="HS356" s="227"/>
      <c r="HW356" s="227"/>
      <c r="JU356" s="55" t="s">
        <v>344</v>
      </c>
      <c r="JV356" s="55" t="s">
        <v>684</v>
      </c>
    </row>
    <row r="357" spans="1:282" x14ac:dyDescent="0.25">
      <c r="A357" s="55">
        <v>356</v>
      </c>
      <c r="B357" s="12" t="s">
        <v>7067</v>
      </c>
      <c r="C357" s="155">
        <v>21</v>
      </c>
      <c r="D357" s="55" t="s">
        <v>3766</v>
      </c>
      <c r="E357" s="90" t="s">
        <v>335</v>
      </c>
      <c r="G357" s="55" t="s">
        <v>336</v>
      </c>
      <c r="H357" s="55">
        <v>2013</v>
      </c>
      <c r="I357" s="55">
        <v>2011</v>
      </c>
      <c r="J357" s="55" t="s">
        <v>337</v>
      </c>
      <c r="K357" s="55" t="s">
        <v>339</v>
      </c>
      <c r="L357" s="55" t="s">
        <v>2737</v>
      </c>
      <c r="M357" s="90">
        <v>38.82</v>
      </c>
      <c r="N357" s="90">
        <v>-76.75</v>
      </c>
      <c r="O357" s="90">
        <v>5.5</v>
      </c>
      <c r="U357" s="55">
        <v>3</v>
      </c>
      <c r="V357" s="55" t="s">
        <v>1688</v>
      </c>
      <c r="Y357" s="55" t="s">
        <v>1828</v>
      </c>
      <c r="Z357" s="55" t="s">
        <v>1346</v>
      </c>
      <c r="AA357" s="90" t="s">
        <v>1675</v>
      </c>
      <c r="AH357" s="55" t="s">
        <v>1572</v>
      </c>
      <c r="AN357" s="185" t="s">
        <v>1494</v>
      </c>
      <c r="AO357" s="185" t="s">
        <v>5150</v>
      </c>
      <c r="AQ357" s="55" t="s">
        <v>553</v>
      </c>
      <c r="AR357" s="55" t="s">
        <v>345</v>
      </c>
      <c r="AS357" s="55" t="s">
        <v>227</v>
      </c>
      <c r="AU357" s="181" t="s">
        <v>7494</v>
      </c>
      <c r="AV357" s="185" t="s">
        <v>176</v>
      </c>
      <c r="AX357" s="185" t="s">
        <v>176</v>
      </c>
      <c r="BE357" s="226" t="s">
        <v>338</v>
      </c>
      <c r="BF357" s="191" t="s">
        <v>479</v>
      </c>
      <c r="BG357" s="55" t="s">
        <v>479</v>
      </c>
      <c r="BH357" s="226" t="s">
        <v>338</v>
      </c>
      <c r="BI357" s="55" t="s">
        <v>479</v>
      </c>
      <c r="BJ357" s="55" t="s">
        <v>176</v>
      </c>
      <c r="BK357" s="55" t="s">
        <v>5976</v>
      </c>
      <c r="BM357" s="192" t="s">
        <v>160</v>
      </c>
      <c r="BN357" s="55">
        <v>4</v>
      </c>
      <c r="BO357" s="55">
        <v>4</v>
      </c>
      <c r="BQ357" s="55" t="s">
        <v>141</v>
      </c>
      <c r="GP357" s="292" t="s">
        <v>7494</v>
      </c>
      <c r="GY357" s="65">
        <v>0.09</v>
      </c>
      <c r="GZ357" s="65">
        <v>0.09</v>
      </c>
      <c r="HC357" s="65" t="s">
        <v>343</v>
      </c>
      <c r="HS357" s="227"/>
      <c r="HW357" s="227"/>
      <c r="JU357" s="55" t="s">
        <v>344</v>
      </c>
      <c r="JV357" s="55" t="s">
        <v>684</v>
      </c>
    </row>
    <row r="358" spans="1:282" x14ac:dyDescent="0.25">
      <c r="A358" s="55">
        <v>357</v>
      </c>
      <c r="B358" s="12" t="s">
        <v>7067</v>
      </c>
      <c r="C358" s="155">
        <v>21</v>
      </c>
      <c r="D358" s="55" t="s">
        <v>3766</v>
      </c>
      <c r="E358" s="90" t="s">
        <v>335</v>
      </c>
      <c r="G358" s="55" t="s">
        <v>336</v>
      </c>
      <c r="H358" s="55">
        <v>2013</v>
      </c>
      <c r="I358" s="55">
        <v>2011</v>
      </c>
      <c r="J358" s="55" t="s">
        <v>337</v>
      </c>
      <c r="K358" s="55" t="s">
        <v>339</v>
      </c>
      <c r="L358" s="55" t="s">
        <v>2737</v>
      </c>
      <c r="M358" s="90">
        <v>38.82</v>
      </c>
      <c r="N358" s="90">
        <v>-76.75</v>
      </c>
      <c r="O358" s="90">
        <v>5.5</v>
      </c>
      <c r="U358" s="55">
        <v>3</v>
      </c>
      <c r="V358" s="55" t="s">
        <v>1688</v>
      </c>
      <c r="Y358" s="55" t="s">
        <v>1829</v>
      </c>
      <c r="Z358" s="55" t="s">
        <v>1346</v>
      </c>
      <c r="AA358" s="90" t="s">
        <v>1675</v>
      </c>
      <c r="AH358" s="55" t="s">
        <v>1572</v>
      </c>
      <c r="AN358" s="185" t="s">
        <v>1494</v>
      </c>
      <c r="AO358" s="185" t="s">
        <v>5150</v>
      </c>
      <c r="AQ358" s="55" t="s">
        <v>553</v>
      </c>
      <c r="AR358" s="55" t="s">
        <v>345</v>
      </c>
      <c r="AS358" s="55" t="s">
        <v>227</v>
      </c>
      <c r="AU358" s="181" t="s">
        <v>7494</v>
      </c>
      <c r="AV358" s="185" t="s">
        <v>176</v>
      </c>
      <c r="AX358" s="185" t="s">
        <v>176</v>
      </c>
      <c r="BE358" s="226" t="s">
        <v>338</v>
      </c>
      <c r="BF358" s="191" t="s">
        <v>479</v>
      </c>
      <c r="BG358" s="55" t="s">
        <v>479</v>
      </c>
      <c r="BH358" s="226" t="s">
        <v>338</v>
      </c>
      <c r="BI358" s="55" t="s">
        <v>479</v>
      </c>
      <c r="BJ358" s="55" t="s">
        <v>176</v>
      </c>
      <c r="BK358" s="55" t="s">
        <v>5976</v>
      </c>
      <c r="BM358" s="192" t="s">
        <v>160</v>
      </c>
      <c r="BN358" s="55">
        <v>4</v>
      </c>
      <c r="BO358" s="55">
        <v>4</v>
      </c>
      <c r="BQ358" s="55" t="s">
        <v>141</v>
      </c>
      <c r="GP358" s="292" t="s">
        <v>7494</v>
      </c>
      <c r="GY358" s="65">
        <v>0.56000000000000005</v>
      </c>
      <c r="GZ358" s="65">
        <v>0.37</v>
      </c>
      <c r="HC358" s="65" t="s">
        <v>343</v>
      </c>
      <c r="HS358" s="227"/>
      <c r="HW358" s="227"/>
      <c r="JU358" s="55" t="s">
        <v>344</v>
      </c>
      <c r="JV358" s="55" t="s">
        <v>684</v>
      </c>
    </row>
    <row r="359" spans="1:282" x14ac:dyDescent="0.25">
      <c r="A359" s="55">
        <v>358</v>
      </c>
      <c r="B359" s="12" t="s">
        <v>7067</v>
      </c>
      <c r="C359" s="155">
        <v>21</v>
      </c>
      <c r="D359" s="55" t="s">
        <v>3766</v>
      </c>
      <c r="E359" s="90" t="s">
        <v>335</v>
      </c>
      <c r="G359" s="55" t="s">
        <v>336</v>
      </c>
      <c r="H359" s="55">
        <v>2013</v>
      </c>
      <c r="I359" s="55">
        <v>2011</v>
      </c>
      <c r="J359" s="55" t="s">
        <v>337</v>
      </c>
      <c r="K359" s="55" t="s">
        <v>339</v>
      </c>
      <c r="L359" s="55" t="s">
        <v>2737</v>
      </c>
      <c r="M359" s="90">
        <v>38.82</v>
      </c>
      <c r="N359" s="90">
        <v>-76.75</v>
      </c>
      <c r="O359" s="90">
        <v>5.5</v>
      </c>
      <c r="U359" s="55">
        <v>3</v>
      </c>
      <c r="V359" s="55" t="s">
        <v>1688</v>
      </c>
      <c r="Y359" s="55" t="s">
        <v>1830</v>
      </c>
      <c r="Z359" s="55" t="s">
        <v>1346</v>
      </c>
      <c r="AA359" s="90" t="s">
        <v>1675</v>
      </c>
      <c r="AH359" s="55" t="s">
        <v>1572</v>
      </c>
      <c r="AN359" s="185" t="s">
        <v>1494</v>
      </c>
      <c r="AO359" s="185" t="s">
        <v>5150</v>
      </c>
      <c r="AQ359" s="55" t="s">
        <v>553</v>
      </c>
      <c r="AR359" s="55" t="s">
        <v>345</v>
      </c>
      <c r="AS359" s="55" t="s">
        <v>227</v>
      </c>
      <c r="AU359" s="181" t="s">
        <v>7494</v>
      </c>
      <c r="AV359" s="185" t="s">
        <v>176</v>
      </c>
      <c r="AX359" s="185" t="s">
        <v>176</v>
      </c>
      <c r="BE359" s="226" t="s">
        <v>338</v>
      </c>
      <c r="BF359" s="191" t="s">
        <v>479</v>
      </c>
      <c r="BG359" s="55" t="s">
        <v>479</v>
      </c>
      <c r="BH359" s="226" t="s">
        <v>338</v>
      </c>
      <c r="BI359" s="55" t="s">
        <v>479</v>
      </c>
      <c r="BJ359" s="55" t="s">
        <v>176</v>
      </c>
      <c r="BK359" s="55" t="s">
        <v>5976</v>
      </c>
      <c r="BM359" s="192" t="s">
        <v>160</v>
      </c>
      <c r="BN359" s="55">
        <v>4</v>
      </c>
      <c r="BO359" s="55">
        <v>4</v>
      </c>
      <c r="BQ359" s="55" t="s">
        <v>141</v>
      </c>
      <c r="GP359" s="292" t="s">
        <v>7494</v>
      </c>
      <c r="GY359" s="65">
        <v>3.43</v>
      </c>
      <c r="GZ359" s="65">
        <v>6.48</v>
      </c>
      <c r="HC359" s="65" t="s">
        <v>343</v>
      </c>
      <c r="HS359" s="227"/>
      <c r="HW359" s="227"/>
      <c r="JU359" s="55" t="s">
        <v>344</v>
      </c>
      <c r="JV359" s="55" t="s">
        <v>684</v>
      </c>
    </row>
    <row r="360" spans="1:282" x14ac:dyDescent="0.25">
      <c r="A360" s="55">
        <v>359</v>
      </c>
      <c r="B360" s="12" t="s">
        <v>7067</v>
      </c>
      <c r="C360" s="155">
        <v>21</v>
      </c>
      <c r="D360" s="55" t="s">
        <v>3766</v>
      </c>
      <c r="E360" s="90" t="s">
        <v>335</v>
      </c>
      <c r="G360" s="55" t="s">
        <v>336</v>
      </c>
      <c r="H360" s="55">
        <v>2013</v>
      </c>
      <c r="I360" s="55">
        <v>2011</v>
      </c>
      <c r="J360" s="55" t="s">
        <v>337</v>
      </c>
      <c r="K360" s="55" t="s">
        <v>339</v>
      </c>
      <c r="L360" s="55" t="s">
        <v>2737</v>
      </c>
      <c r="M360" s="90">
        <v>38.82</v>
      </c>
      <c r="N360" s="90">
        <v>-76.75</v>
      </c>
      <c r="O360" s="90">
        <v>5.5</v>
      </c>
      <c r="U360" s="55">
        <v>3</v>
      </c>
      <c r="V360" s="55" t="s">
        <v>1688</v>
      </c>
      <c r="Y360" s="55" t="s">
        <v>1831</v>
      </c>
      <c r="Z360" s="55" t="s">
        <v>1346</v>
      </c>
      <c r="AA360" s="90" t="s">
        <v>1675</v>
      </c>
      <c r="AH360" s="55" t="s">
        <v>1572</v>
      </c>
      <c r="AN360" s="185" t="s">
        <v>1494</v>
      </c>
      <c r="AO360" s="185" t="s">
        <v>5150</v>
      </c>
      <c r="AQ360" s="55" t="s">
        <v>553</v>
      </c>
      <c r="AR360" s="55" t="s">
        <v>345</v>
      </c>
      <c r="AS360" s="55" t="s">
        <v>227</v>
      </c>
      <c r="AU360" s="181" t="s">
        <v>7494</v>
      </c>
      <c r="AV360" s="185" t="s">
        <v>176</v>
      </c>
      <c r="AX360" s="185" t="s">
        <v>176</v>
      </c>
      <c r="BE360" s="226" t="s">
        <v>338</v>
      </c>
      <c r="BF360" s="191" t="s">
        <v>479</v>
      </c>
      <c r="BG360" s="55" t="s">
        <v>479</v>
      </c>
      <c r="BH360" s="226" t="s">
        <v>338</v>
      </c>
      <c r="BI360" s="55" t="s">
        <v>479</v>
      </c>
      <c r="BJ360" s="55" t="s">
        <v>176</v>
      </c>
      <c r="BK360" s="55" t="s">
        <v>5976</v>
      </c>
      <c r="BM360" s="192" t="s">
        <v>160</v>
      </c>
      <c r="BN360" s="55">
        <v>4</v>
      </c>
      <c r="BO360" s="55">
        <v>4</v>
      </c>
      <c r="BQ360" s="55" t="s">
        <v>141</v>
      </c>
      <c r="GP360" s="292" t="s">
        <v>7494</v>
      </c>
      <c r="GY360" s="65">
        <v>6.02</v>
      </c>
      <c r="GZ360" s="65">
        <v>7.96</v>
      </c>
      <c r="HC360" s="65" t="s">
        <v>343</v>
      </c>
      <c r="HS360" s="227"/>
      <c r="HW360" s="227"/>
      <c r="JU360" s="55" t="s">
        <v>344</v>
      </c>
      <c r="JV360" s="55" t="s">
        <v>684</v>
      </c>
    </row>
    <row r="361" spans="1:282" x14ac:dyDescent="0.25">
      <c r="A361" s="55">
        <v>360</v>
      </c>
      <c r="B361" s="12" t="s">
        <v>7067</v>
      </c>
      <c r="C361" s="155">
        <v>22</v>
      </c>
      <c r="D361" s="55" t="s">
        <v>3767</v>
      </c>
      <c r="E361" s="90" t="s">
        <v>335</v>
      </c>
      <c r="G361" s="55" t="s">
        <v>336</v>
      </c>
      <c r="H361" s="55">
        <v>2013</v>
      </c>
      <c r="I361" s="55">
        <v>2009</v>
      </c>
      <c r="J361" s="55" t="s">
        <v>352</v>
      </c>
      <c r="K361" s="55" t="s">
        <v>339</v>
      </c>
      <c r="L361" s="55" t="s">
        <v>2737</v>
      </c>
      <c r="M361" s="90">
        <v>38.82</v>
      </c>
      <c r="N361" s="90">
        <v>-76.75</v>
      </c>
      <c r="O361" s="90">
        <v>5.5</v>
      </c>
      <c r="U361" s="55">
        <v>1</v>
      </c>
      <c r="V361" s="55" t="s">
        <v>1688</v>
      </c>
      <c r="Y361" s="55" t="s">
        <v>1833</v>
      </c>
      <c r="Z361" s="55" t="s">
        <v>1346</v>
      </c>
      <c r="AA361" s="90" t="s">
        <v>1675</v>
      </c>
      <c r="AH361" s="55" t="s">
        <v>1572</v>
      </c>
      <c r="AN361" s="185" t="s">
        <v>1494</v>
      </c>
      <c r="AO361" s="185" t="s">
        <v>5150</v>
      </c>
      <c r="AQ361" s="55" t="s">
        <v>553</v>
      </c>
      <c r="AR361" s="55" t="s">
        <v>345</v>
      </c>
      <c r="AS361" s="55" t="s">
        <v>227</v>
      </c>
      <c r="AU361" s="181" t="s">
        <v>7494</v>
      </c>
      <c r="AV361" s="185" t="s">
        <v>176</v>
      </c>
      <c r="AX361" s="185" t="s">
        <v>176</v>
      </c>
      <c r="BE361" s="226" t="s">
        <v>338</v>
      </c>
      <c r="BF361" s="191" t="s">
        <v>479</v>
      </c>
      <c r="BG361" s="55" t="s">
        <v>479</v>
      </c>
      <c r="BH361" s="226" t="s">
        <v>338</v>
      </c>
      <c r="BI361" s="55" t="s">
        <v>479</v>
      </c>
      <c r="BJ361" s="55" t="s">
        <v>176</v>
      </c>
      <c r="BK361" s="55" t="s">
        <v>5976</v>
      </c>
      <c r="BM361" s="192" t="s">
        <v>160</v>
      </c>
      <c r="BN361" s="55">
        <v>4</v>
      </c>
      <c r="BO361" s="55">
        <v>4</v>
      </c>
      <c r="BQ361" s="55" t="s">
        <v>141</v>
      </c>
      <c r="GP361" s="292" t="s">
        <v>7494</v>
      </c>
      <c r="HD361" s="65">
        <v>53</v>
      </c>
      <c r="HE361" s="65">
        <v>41</v>
      </c>
      <c r="HH361" s="65" t="s">
        <v>348</v>
      </c>
      <c r="JU361" s="55" t="s">
        <v>349</v>
      </c>
    </row>
    <row r="362" spans="1:282" x14ac:dyDescent="0.25">
      <c r="A362" s="55">
        <v>361</v>
      </c>
      <c r="B362" s="12" t="s">
        <v>7067</v>
      </c>
      <c r="C362" s="155">
        <v>22</v>
      </c>
      <c r="D362" s="55" t="s">
        <v>3768</v>
      </c>
      <c r="E362" s="90" t="s">
        <v>335</v>
      </c>
      <c r="G362" s="55" t="s">
        <v>336</v>
      </c>
      <c r="H362" s="55">
        <v>2013</v>
      </c>
      <c r="I362" s="55">
        <v>2010</v>
      </c>
      <c r="J362" s="55" t="s">
        <v>352</v>
      </c>
      <c r="K362" s="55" t="s">
        <v>339</v>
      </c>
      <c r="L362" s="55" t="s">
        <v>2737</v>
      </c>
      <c r="M362" s="90">
        <v>38.82</v>
      </c>
      <c r="N362" s="90">
        <v>-76.75</v>
      </c>
      <c r="O362" s="90">
        <v>5.5</v>
      </c>
      <c r="U362" s="55">
        <v>2</v>
      </c>
      <c r="V362" s="55" t="s">
        <v>1688</v>
      </c>
      <c r="Y362" s="55" t="s">
        <v>1834</v>
      </c>
      <c r="Z362" s="55" t="s">
        <v>1346</v>
      </c>
      <c r="AA362" s="90" t="s">
        <v>1675</v>
      </c>
      <c r="AH362" s="55" t="s">
        <v>1572</v>
      </c>
      <c r="AN362" s="185" t="s">
        <v>1494</v>
      </c>
      <c r="AO362" s="185" t="s">
        <v>5150</v>
      </c>
      <c r="AQ362" s="55" t="s">
        <v>553</v>
      </c>
      <c r="AR362" s="55" t="s">
        <v>345</v>
      </c>
      <c r="AS362" s="55" t="s">
        <v>227</v>
      </c>
      <c r="AU362" s="181" t="s">
        <v>7494</v>
      </c>
      <c r="AV362" s="185" t="s">
        <v>176</v>
      </c>
      <c r="AX362" s="185" t="s">
        <v>176</v>
      </c>
      <c r="BE362" s="226" t="s">
        <v>346</v>
      </c>
      <c r="BF362" s="191" t="s">
        <v>479</v>
      </c>
      <c r="BG362" s="55" t="s">
        <v>479</v>
      </c>
      <c r="BH362" s="226" t="s">
        <v>346</v>
      </c>
      <c r="BI362" s="55" t="s">
        <v>479</v>
      </c>
      <c r="BJ362" s="55" t="s">
        <v>176</v>
      </c>
      <c r="BK362" s="55" t="s">
        <v>5976</v>
      </c>
      <c r="BM362" s="192" t="s">
        <v>160</v>
      </c>
      <c r="BN362" s="55">
        <v>4</v>
      </c>
      <c r="BO362" s="55">
        <v>4</v>
      </c>
      <c r="BQ362" s="55" t="s">
        <v>141</v>
      </c>
      <c r="GP362" s="292" t="s">
        <v>7494</v>
      </c>
      <c r="HD362" s="65">
        <v>43.2</v>
      </c>
      <c r="HE362" s="65">
        <v>47.9</v>
      </c>
      <c r="HH362" s="65" t="s">
        <v>348</v>
      </c>
      <c r="JU362" s="55" t="s">
        <v>349</v>
      </c>
    </row>
    <row r="363" spans="1:282" x14ac:dyDescent="0.25">
      <c r="A363" s="55">
        <v>362</v>
      </c>
      <c r="B363" s="12" t="s">
        <v>7067</v>
      </c>
      <c r="C363" s="155">
        <v>22</v>
      </c>
      <c r="D363" s="55" t="s">
        <v>3769</v>
      </c>
      <c r="E363" s="90" t="s">
        <v>335</v>
      </c>
      <c r="G363" s="55" t="s">
        <v>336</v>
      </c>
      <c r="H363" s="55">
        <v>2013</v>
      </c>
      <c r="I363" s="55">
        <v>2010</v>
      </c>
      <c r="J363" s="55" t="s">
        <v>352</v>
      </c>
      <c r="K363" s="55" t="s">
        <v>339</v>
      </c>
      <c r="L363" s="55" t="s">
        <v>2737</v>
      </c>
      <c r="M363" s="90">
        <v>38.82</v>
      </c>
      <c r="N363" s="90">
        <v>-76.75</v>
      </c>
      <c r="O363" s="90">
        <v>5.5</v>
      </c>
      <c r="U363" s="55">
        <v>2</v>
      </c>
      <c r="V363" s="55" t="s">
        <v>1688</v>
      </c>
      <c r="Y363" s="55" t="s">
        <v>1834</v>
      </c>
      <c r="Z363" s="55" t="s">
        <v>1346</v>
      </c>
      <c r="AA363" s="90" t="s">
        <v>1675</v>
      </c>
      <c r="AH363" s="55" t="s">
        <v>1572</v>
      </c>
      <c r="AN363" s="185" t="s">
        <v>1494</v>
      </c>
      <c r="AO363" s="185" t="s">
        <v>5150</v>
      </c>
      <c r="AQ363" s="55" t="s">
        <v>553</v>
      </c>
      <c r="AR363" s="55" t="s">
        <v>345</v>
      </c>
      <c r="AS363" s="55" t="s">
        <v>227</v>
      </c>
      <c r="AU363" s="181" t="s">
        <v>7494</v>
      </c>
      <c r="AV363" s="185" t="s">
        <v>176</v>
      </c>
      <c r="AX363" s="185" t="s">
        <v>176</v>
      </c>
      <c r="BE363" s="226" t="s">
        <v>347</v>
      </c>
      <c r="BF363" s="191" t="s">
        <v>479</v>
      </c>
      <c r="BG363" s="55" t="s">
        <v>479</v>
      </c>
      <c r="BH363" s="226" t="s">
        <v>347</v>
      </c>
      <c r="BI363" s="55" t="s">
        <v>479</v>
      </c>
      <c r="BJ363" s="55" t="s">
        <v>176</v>
      </c>
      <c r="BK363" s="55" t="s">
        <v>5976</v>
      </c>
      <c r="BM363" s="192" t="s">
        <v>160</v>
      </c>
      <c r="BN363" s="55">
        <v>4</v>
      </c>
      <c r="BO363" s="55">
        <v>4</v>
      </c>
      <c r="BQ363" s="55" t="s">
        <v>141</v>
      </c>
      <c r="GP363" s="292" t="s">
        <v>7494</v>
      </c>
      <c r="HD363" s="65">
        <v>43</v>
      </c>
      <c r="HE363" s="65">
        <v>44.8</v>
      </c>
      <c r="HH363" s="65" t="s">
        <v>348</v>
      </c>
      <c r="JU363" s="55" t="s">
        <v>349</v>
      </c>
    </row>
    <row r="364" spans="1:282" x14ac:dyDescent="0.25">
      <c r="A364" s="55">
        <v>363</v>
      </c>
      <c r="B364" s="12" t="s">
        <v>7067</v>
      </c>
      <c r="C364" s="155">
        <v>22</v>
      </c>
      <c r="D364" s="55" t="s">
        <v>3768</v>
      </c>
      <c r="E364" s="90" t="s">
        <v>335</v>
      </c>
      <c r="G364" s="55" t="s">
        <v>336</v>
      </c>
      <c r="H364" s="55">
        <v>2013</v>
      </c>
      <c r="I364" s="55">
        <v>2011</v>
      </c>
      <c r="J364" s="55" t="s">
        <v>352</v>
      </c>
      <c r="K364" s="55" t="s">
        <v>339</v>
      </c>
      <c r="L364" s="55" t="s">
        <v>2737</v>
      </c>
      <c r="M364" s="90">
        <v>38.82</v>
      </c>
      <c r="N364" s="90">
        <v>-76.75</v>
      </c>
      <c r="O364" s="90">
        <v>5.5</v>
      </c>
      <c r="U364" s="55">
        <v>3</v>
      </c>
      <c r="V364" s="55" t="s">
        <v>1688</v>
      </c>
      <c r="Y364" s="55" t="s">
        <v>1834</v>
      </c>
      <c r="Z364" s="55" t="s">
        <v>1346</v>
      </c>
      <c r="AA364" s="90" t="s">
        <v>1675</v>
      </c>
      <c r="AH364" s="55" t="s">
        <v>1572</v>
      </c>
      <c r="AN364" s="185" t="s">
        <v>1494</v>
      </c>
      <c r="AO364" s="185" t="s">
        <v>5150</v>
      </c>
      <c r="AQ364" s="55" t="s">
        <v>553</v>
      </c>
      <c r="AR364" s="55" t="s">
        <v>345</v>
      </c>
      <c r="AS364" s="55" t="s">
        <v>227</v>
      </c>
      <c r="AU364" s="181" t="s">
        <v>7494</v>
      </c>
      <c r="AV364" s="185" t="s">
        <v>176</v>
      </c>
      <c r="AX364" s="185" t="s">
        <v>176</v>
      </c>
      <c r="BE364" s="226" t="s">
        <v>346</v>
      </c>
      <c r="BF364" s="191" t="s">
        <v>479</v>
      </c>
      <c r="BG364" s="55" t="s">
        <v>479</v>
      </c>
      <c r="BH364" s="226" t="s">
        <v>346</v>
      </c>
      <c r="BI364" s="55" t="s">
        <v>479</v>
      </c>
      <c r="BJ364" s="55" t="s">
        <v>176</v>
      </c>
      <c r="BK364" s="55" t="s">
        <v>5976</v>
      </c>
      <c r="BM364" s="192" t="s">
        <v>160</v>
      </c>
      <c r="BN364" s="55">
        <v>4</v>
      </c>
      <c r="BO364" s="55">
        <v>4</v>
      </c>
      <c r="BQ364" s="55" t="s">
        <v>141</v>
      </c>
      <c r="GP364" s="292" t="s">
        <v>7494</v>
      </c>
      <c r="HD364" s="65">
        <v>65.7</v>
      </c>
      <c r="HE364" s="65">
        <v>62.5</v>
      </c>
      <c r="HH364" s="65" t="s">
        <v>348</v>
      </c>
      <c r="JU364" s="55" t="s">
        <v>349</v>
      </c>
    </row>
    <row r="365" spans="1:282" x14ac:dyDescent="0.25">
      <c r="A365" s="55">
        <v>364</v>
      </c>
      <c r="B365" s="12" t="s">
        <v>7067</v>
      </c>
      <c r="C365" s="155">
        <v>22</v>
      </c>
      <c r="D365" s="55" t="s">
        <v>3769</v>
      </c>
      <c r="E365" s="90" t="s">
        <v>335</v>
      </c>
      <c r="G365" s="55" t="s">
        <v>336</v>
      </c>
      <c r="H365" s="55">
        <v>2013</v>
      </c>
      <c r="I365" s="55">
        <v>2011</v>
      </c>
      <c r="J365" s="55" t="s">
        <v>352</v>
      </c>
      <c r="K365" s="55" t="s">
        <v>339</v>
      </c>
      <c r="L365" s="55" t="s">
        <v>2737</v>
      </c>
      <c r="M365" s="90">
        <v>38.82</v>
      </c>
      <c r="N365" s="90">
        <v>-76.75</v>
      </c>
      <c r="O365" s="90">
        <v>5.5</v>
      </c>
      <c r="U365" s="55">
        <v>3</v>
      </c>
      <c r="V365" s="55" t="s">
        <v>1688</v>
      </c>
      <c r="Y365" s="55" t="s">
        <v>1834</v>
      </c>
      <c r="Z365" s="55" t="s">
        <v>1346</v>
      </c>
      <c r="AA365" s="90" t="s">
        <v>1675</v>
      </c>
      <c r="AH365" s="55" t="s">
        <v>1572</v>
      </c>
      <c r="AN365" s="185" t="s">
        <v>1494</v>
      </c>
      <c r="AO365" s="185" t="s">
        <v>5150</v>
      </c>
      <c r="AQ365" s="55" t="s">
        <v>553</v>
      </c>
      <c r="AR365" s="55" t="s">
        <v>345</v>
      </c>
      <c r="AS365" s="55" t="s">
        <v>227</v>
      </c>
      <c r="AU365" s="181" t="s">
        <v>7494</v>
      </c>
      <c r="AV365" s="185" t="s">
        <v>176</v>
      </c>
      <c r="AX365" s="185" t="s">
        <v>176</v>
      </c>
      <c r="BE365" s="226" t="s">
        <v>347</v>
      </c>
      <c r="BF365" s="191" t="s">
        <v>479</v>
      </c>
      <c r="BG365" s="55" t="s">
        <v>479</v>
      </c>
      <c r="BH365" s="226" t="s">
        <v>347</v>
      </c>
      <c r="BI365" s="55" t="s">
        <v>479</v>
      </c>
      <c r="BJ365" s="55" t="s">
        <v>176</v>
      </c>
      <c r="BK365" s="55" t="s">
        <v>5976</v>
      </c>
      <c r="BM365" s="192" t="s">
        <v>160</v>
      </c>
      <c r="BN365" s="55">
        <v>4</v>
      </c>
      <c r="BO365" s="55">
        <v>4</v>
      </c>
      <c r="BQ365" s="55" t="s">
        <v>141</v>
      </c>
      <c r="GP365" s="292" t="s">
        <v>7494</v>
      </c>
      <c r="HD365" s="65">
        <v>62</v>
      </c>
      <c r="HE365" s="65">
        <v>69</v>
      </c>
      <c r="HH365" s="65" t="s">
        <v>348</v>
      </c>
      <c r="JU365" s="55" t="s">
        <v>349</v>
      </c>
    </row>
    <row r="366" spans="1:282" x14ac:dyDescent="0.25">
      <c r="A366" s="55">
        <v>365</v>
      </c>
      <c r="B366" s="12" t="s">
        <v>7067</v>
      </c>
      <c r="C366" s="155">
        <v>22</v>
      </c>
      <c r="D366" s="55" t="s">
        <v>3768</v>
      </c>
      <c r="E366" s="90" t="s">
        <v>335</v>
      </c>
      <c r="G366" s="55" t="s">
        <v>336</v>
      </c>
      <c r="H366" s="55">
        <v>2013</v>
      </c>
      <c r="I366" s="55">
        <v>2011</v>
      </c>
      <c r="J366" s="55" t="s">
        <v>352</v>
      </c>
      <c r="K366" s="55" t="s">
        <v>339</v>
      </c>
      <c r="L366" s="55" t="s">
        <v>2737</v>
      </c>
      <c r="M366" s="90">
        <v>38.82</v>
      </c>
      <c r="N366" s="90">
        <v>-76.75</v>
      </c>
      <c r="O366" s="90">
        <v>5.5</v>
      </c>
      <c r="U366" s="55">
        <v>3</v>
      </c>
      <c r="V366" s="55" t="s">
        <v>1688</v>
      </c>
      <c r="Y366" s="55" t="s">
        <v>1835</v>
      </c>
      <c r="Z366" s="55" t="s">
        <v>1346</v>
      </c>
      <c r="AA366" s="90" t="s">
        <v>1675</v>
      </c>
      <c r="AH366" s="55" t="s">
        <v>1572</v>
      </c>
      <c r="AN366" s="185" t="s">
        <v>1494</v>
      </c>
      <c r="AO366" s="185" t="s">
        <v>5150</v>
      </c>
      <c r="AQ366" s="55" t="s">
        <v>553</v>
      </c>
      <c r="AR366" s="55" t="s">
        <v>345</v>
      </c>
      <c r="AS366" s="55" t="s">
        <v>227</v>
      </c>
      <c r="AU366" s="181" t="s">
        <v>7494</v>
      </c>
      <c r="AV366" s="185" t="s">
        <v>176</v>
      </c>
      <c r="AX366" s="185" t="s">
        <v>176</v>
      </c>
      <c r="BE366" s="226" t="s">
        <v>346</v>
      </c>
      <c r="BF366" s="191" t="s">
        <v>479</v>
      </c>
      <c r="BG366" s="55" t="s">
        <v>479</v>
      </c>
      <c r="BH366" s="226" t="s">
        <v>346</v>
      </c>
      <c r="BI366" s="55" t="s">
        <v>479</v>
      </c>
      <c r="BJ366" s="55" t="s">
        <v>176</v>
      </c>
      <c r="BK366" s="55" t="s">
        <v>5976</v>
      </c>
      <c r="BM366" s="192" t="s">
        <v>160</v>
      </c>
      <c r="BN366" s="55">
        <v>4</v>
      </c>
      <c r="BO366" s="55">
        <v>4</v>
      </c>
      <c r="BQ366" s="55" t="s">
        <v>141</v>
      </c>
      <c r="GP366" s="292" t="s">
        <v>7494</v>
      </c>
      <c r="HD366" s="65">
        <v>57.9</v>
      </c>
      <c r="HE366" s="65">
        <v>66.7</v>
      </c>
      <c r="HH366" s="65" t="s">
        <v>348</v>
      </c>
      <c r="JU366" s="55" t="s">
        <v>349</v>
      </c>
    </row>
    <row r="367" spans="1:282" x14ac:dyDescent="0.25">
      <c r="A367" s="55">
        <v>366</v>
      </c>
      <c r="B367" s="12" t="s">
        <v>7067</v>
      </c>
      <c r="C367" s="155">
        <v>22</v>
      </c>
      <c r="D367" s="55" t="s">
        <v>3769</v>
      </c>
      <c r="E367" s="90" t="s">
        <v>335</v>
      </c>
      <c r="G367" s="55" t="s">
        <v>336</v>
      </c>
      <c r="H367" s="55">
        <v>2013</v>
      </c>
      <c r="I367" s="55">
        <v>2011</v>
      </c>
      <c r="J367" s="55" t="s">
        <v>352</v>
      </c>
      <c r="K367" s="55" t="s">
        <v>339</v>
      </c>
      <c r="L367" s="55" t="s">
        <v>2737</v>
      </c>
      <c r="M367" s="90">
        <v>38.82</v>
      </c>
      <c r="N367" s="90">
        <v>-76.75</v>
      </c>
      <c r="O367" s="90">
        <v>5.5</v>
      </c>
      <c r="U367" s="55">
        <v>3</v>
      </c>
      <c r="V367" s="55" t="s">
        <v>1688</v>
      </c>
      <c r="Y367" s="55" t="s">
        <v>1835</v>
      </c>
      <c r="Z367" s="55" t="s">
        <v>1346</v>
      </c>
      <c r="AA367" s="90" t="s">
        <v>1675</v>
      </c>
      <c r="AH367" s="55" t="s">
        <v>1572</v>
      </c>
      <c r="AN367" s="185" t="s">
        <v>1494</v>
      </c>
      <c r="AO367" s="185" t="s">
        <v>5150</v>
      </c>
      <c r="AQ367" s="55" t="s">
        <v>553</v>
      </c>
      <c r="AR367" s="55" t="s">
        <v>345</v>
      </c>
      <c r="AS367" s="55" t="s">
        <v>227</v>
      </c>
      <c r="AU367" s="181" t="s">
        <v>7494</v>
      </c>
      <c r="AV367" s="185" t="s">
        <v>176</v>
      </c>
      <c r="AX367" s="185" t="s">
        <v>176</v>
      </c>
      <c r="BE367" s="226" t="s">
        <v>347</v>
      </c>
      <c r="BF367" s="191" t="s">
        <v>479</v>
      </c>
      <c r="BG367" s="55" t="s">
        <v>479</v>
      </c>
      <c r="BH367" s="226" t="s">
        <v>347</v>
      </c>
      <c r="BI367" s="55" t="s">
        <v>479</v>
      </c>
      <c r="BJ367" s="55" t="s">
        <v>176</v>
      </c>
      <c r="BK367" s="55" t="s">
        <v>5976</v>
      </c>
      <c r="BM367" s="192" t="s">
        <v>160</v>
      </c>
      <c r="BN367" s="55">
        <v>4</v>
      </c>
      <c r="BO367" s="55">
        <v>4</v>
      </c>
      <c r="BQ367" s="55" t="s">
        <v>141</v>
      </c>
      <c r="GP367" s="292" t="s">
        <v>7494</v>
      </c>
      <c r="HD367" s="65">
        <v>58.4</v>
      </c>
      <c r="HE367" s="65">
        <v>65.2</v>
      </c>
      <c r="HH367" s="65" t="s">
        <v>348</v>
      </c>
      <c r="JU367" s="55" t="s">
        <v>349</v>
      </c>
    </row>
    <row r="368" spans="1:282" x14ac:dyDescent="0.25">
      <c r="A368" s="55">
        <v>367</v>
      </c>
      <c r="B368" s="12" t="s">
        <v>7067</v>
      </c>
      <c r="C368" s="155">
        <v>22</v>
      </c>
      <c r="D368" s="55" t="s">
        <v>3768</v>
      </c>
      <c r="E368" s="90" t="s">
        <v>335</v>
      </c>
      <c r="G368" s="55" t="s">
        <v>336</v>
      </c>
      <c r="H368" s="55">
        <v>2013</v>
      </c>
      <c r="I368" s="55">
        <v>2011</v>
      </c>
      <c r="J368" s="55" t="s">
        <v>352</v>
      </c>
      <c r="K368" s="55" t="s">
        <v>339</v>
      </c>
      <c r="L368" s="55" t="s">
        <v>2737</v>
      </c>
      <c r="M368" s="90">
        <v>38.82</v>
      </c>
      <c r="N368" s="90">
        <v>-76.75</v>
      </c>
      <c r="O368" s="90">
        <v>5.5</v>
      </c>
      <c r="U368" s="55">
        <v>3</v>
      </c>
      <c r="V368" s="55" t="s">
        <v>1688</v>
      </c>
      <c r="Y368" s="55" t="s">
        <v>1836</v>
      </c>
      <c r="Z368" s="55" t="s">
        <v>1346</v>
      </c>
      <c r="AA368" s="90" t="s">
        <v>1675</v>
      </c>
      <c r="AH368" s="55" t="s">
        <v>1572</v>
      </c>
      <c r="AN368" s="185" t="s">
        <v>1494</v>
      </c>
      <c r="AO368" s="185" t="s">
        <v>5150</v>
      </c>
      <c r="AQ368" s="55" t="s">
        <v>553</v>
      </c>
      <c r="AR368" s="55" t="s">
        <v>345</v>
      </c>
      <c r="AS368" s="55" t="s">
        <v>227</v>
      </c>
      <c r="AU368" s="181" t="s">
        <v>7494</v>
      </c>
      <c r="AV368" s="185" t="s">
        <v>176</v>
      </c>
      <c r="AX368" s="185" t="s">
        <v>176</v>
      </c>
      <c r="BE368" s="226" t="s">
        <v>346</v>
      </c>
      <c r="BF368" s="191" t="s">
        <v>479</v>
      </c>
      <c r="BG368" s="55" t="s">
        <v>479</v>
      </c>
      <c r="BH368" s="226" t="s">
        <v>346</v>
      </c>
      <c r="BI368" s="55" t="s">
        <v>479</v>
      </c>
      <c r="BJ368" s="55" t="s">
        <v>176</v>
      </c>
      <c r="BK368" s="55" t="s">
        <v>5976</v>
      </c>
      <c r="BM368" s="192" t="s">
        <v>160</v>
      </c>
      <c r="BN368" s="55">
        <v>4</v>
      </c>
      <c r="BO368" s="55">
        <v>4</v>
      </c>
      <c r="BQ368" s="55" t="s">
        <v>141</v>
      </c>
      <c r="GP368" s="292" t="s">
        <v>7494</v>
      </c>
      <c r="HD368" s="65">
        <v>75.900000000000006</v>
      </c>
      <c r="HE368" s="65">
        <v>74.599999999999994</v>
      </c>
      <c r="HH368" s="65" t="s">
        <v>348</v>
      </c>
      <c r="JU368" s="55" t="s">
        <v>349</v>
      </c>
    </row>
    <row r="369" spans="1:281" x14ac:dyDescent="0.25">
      <c r="A369" s="55">
        <v>368</v>
      </c>
      <c r="B369" s="12" t="s">
        <v>7067</v>
      </c>
      <c r="C369" s="155">
        <v>22</v>
      </c>
      <c r="D369" s="55" t="s">
        <v>3769</v>
      </c>
      <c r="E369" s="90" t="s">
        <v>335</v>
      </c>
      <c r="G369" s="55" t="s">
        <v>336</v>
      </c>
      <c r="H369" s="55">
        <v>2013</v>
      </c>
      <c r="I369" s="55">
        <v>2011</v>
      </c>
      <c r="J369" s="55" t="s">
        <v>352</v>
      </c>
      <c r="K369" s="55" t="s">
        <v>339</v>
      </c>
      <c r="L369" s="55" t="s">
        <v>2737</v>
      </c>
      <c r="M369" s="90">
        <v>38.82</v>
      </c>
      <c r="N369" s="90">
        <v>-76.75</v>
      </c>
      <c r="O369" s="90">
        <v>5.5</v>
      </c>
      <c r="U369" s="55">
        <v>3</v>
      </c>
      <c r="V369" s="55" t="s">
        <v>1688</v>
      </c>
      <c r="Y369" s="55" t="s">
        <v>1836</v>
      </c>
      <c r="Z369" s="55" t="s">
        <v>1346</v>
      </c>
      <c r="AA369" s="90" t="s">
        <v>1675</v>
      </c>
      <c r="AH369" s="55" t="s">
        <v>1572</v>
      </c>
      <c r="AN369" s="185" t="s">
        <v>1494</v>
      </c>
      <c r="AO369" s="185" t="s">
        <v>5150</v>
      </c>
      <c r="AQ369" s="55" t="s">
        <v>553</v>
      </c>
      <c r="AR369" s="55" t="s">
        <v>345</v>
      </c>
      <c r="AS369" s="55" t="s">
        <v>227</v>
      </c>
      <c r="AU369" s="181" t="s">
        <v>7494</v>
      </c>
      <c r="AV369" s="185" t="s">
        <v>176</v>
      </c>
      <c r="AX369" s="185" t="s">
        <v>176</v>
      </c>
      <c r="BE369" s="226" t="s">
        <v>347</v>
      </c>
      <c r="BF369" s="191" t="s">
        <v>479</v>
      </c>
      <c r="BG369" s="55" t="s">
        <v>479</v>
      </c>
      <c r="BH369" s="226" t="s">
        <v>347</v>
      </c>
      <c r="BI369" s="55" t="s">
        <v>479</v>
      </c>
      <c r="BJ369" s="55" t="s">
        <v>176</v>
      </c>
      <c r="BK369" s="55" t="s">
        <v>5976</v>
      </c>
      <c r="BM369" s="192" t="s">
        <v>160</v>
      </c>
      <c r="BN369" s="55">
        <v>4</v>
      </c>
      <c r="BO369" s="55">
        <v>4</v>
      </c>
      <c r="BQ369" s="55" t="s">
        <v>141</v>
      </c>
      <c r="GP369" s="292" t="s">
        <v>7494</v>
      </c>
      <c r="HD369" s="65">
        <v>62.6</v>
      </c>
      <c r="HE369" s="65">
        <v>60.1</v>
      </c>
      <c r="HH369" s="65" t="s">
        <v>348</v>
      </c>
      <c r="JU369" s="55" t="s">
        <v>349</v>
      </c>
    </row>
    <row r="370" spans="1:281" x14ac:dyDescent="0.25">
      <c r="A370" s="55">
        <v>369</v>
      </c>
      <c r="B370" s="12" t="s">
        <v>7067</v>
      </c>
      <c r="C370" s="155">
        <v>23</v>
      </c>
      <c r="D370" s="55" t="s">
        <v>3765</v>
      </c>
      <c r="E370" s="90" t="s">
        <v>335</v>
      </c>
      <c r="G370" s="55" t="s">
        <v>336</v>
      </c>
      <c r="H370" s="55">
        <v>2016</v>
      </c>
      <c r="I370" s="55">
        <v>2009</v>
      </c>
      <c r="J370" s="55" t="s">
        <v>350</v>
      </c>
      <c r="K370" s="55" t="s">
        <v>340</v>
      </c>
      <c r="L370" s="55" t="s">
        <v>2737</v>
      </c>
      <c r="M370" s="90">
        <v>38.92</v>
      </c>
      <c r="N370" s="90">
        <v>-76.150000000000006</v>
      </c>
      <c r="O370" s="90">
        <v>4.8</v>
      </c>
      <c r="U370" s="55">
        <v>1</v>
      </c>
      <c r="V370" s="55" t="s">
        <v>1688</v>
      </c>
      <c r="Y370" s="55" t="s">
        <v>1837</v>
      </c>
      <c r="Z370" s="55" t="s">
        <v>1346</v>
      </c>
      <c r="AA370" s="90" t="s">
        <v>1675</v>
      </c>
      <c r="AH370" s="55" t="s">
        <v>1572</v>
      </c>
      <c r="AN370" s="185" t="s">
        <v>1494</v>
      </c>
      <c r="AO370" s="185" t="s">
        <v>5150</v>
      </c>
      <c r="AQ370" s="55" t="s">
        <v>553</v>
      </c>
      <c r="AR370" s="55" t="s">
        <v>345</v>
      </c>
      <c r="AS370" s="55" t="s">
        <v>227</v>
      </c>
      <c r="AU370" s="181" t="s">
        <v>7494</v>
      </c>
      <c r="AV370" s="185" t="s">
        <v>176</v>
      </c>
      <c r="AX370" s="185" t="s">
        <v>176</v>
      </c>
      <c r="BE370" s="226" t="s">
        <v>338</v>
      </c>
      <c r="BF370" s="191" t="s">
        <v>479</v>
      </c>
      <c r="BG370" s="55" t="s">
        <v>479</v>
      </c>
      <c r="BH370" s="226" t="s">
        <v>338</v>
      </c>
      <c r="BI370" s="55" t="s">
        <v>479</v>
      </c>
      <c r="BJ370" s="55" t="s">
        <v>176</v>
      </c>
      <c r="BK370" s="55" t="s">
        <v>5976</v>
      </c>
      <c r="BM370" s="192" t="s">
        <v>160</v>
      </c>
      <c r="BN370" s="55">
        <v>4</v>
      </c>
      <c r="BO370" s="55">
        <v>4</v>
      </c>
      <c r="BQ370" s="55" t="s">
        <v>141</v>
      </c>
      <c r="CB370" s="66">
        <v>48.34</v>
      </c>
      <c r="CC370" s="66">
        <v>137.63</v>
      </c>
      <c r="GP370" s="292" t="s">
        <v>7494</v>
      </c>
      <c r="HS370" s="227"/>
      <c r="HW370" s="227"/>
    </row>
    <row r="371" spans="1:281" x14ac:dyDescent="0.25">
      <c r="A371" s="55">
        <v>370</v>
      </c>
      <c r="B371" s="12" t="s">
        <v>7067</v>
      </c>
      <c r="C371" s="155">
        <v>23</v>
      </c>
      <c r="D371" s="55" t="s">
        <v>3765</v>
      </c>
      <c r="E371" s="90" t="s">
        <v>335</v>
      </c>
      <c r="G371" s="55" t="s">
        <v>336</v>
      </c>
      <c r="H371" s="55">
        <v>2016</v>
      </c>
      <c r="I371" s="55">
        <v>2009</v>
      </c>
      <c r="J371" s="55" t="s">
        <v>350</v>
      </c>
      <c r="K371" s="55" t="s">
        <v>340</v>
      </c>
      <c r="L371" s="55" t="s">
        <v>2737</v>
      </c>
      <c r="M371" s="90">
        <v>38.92</v>
      </c>
      <c r="N371" s="90">
        <v>-76.150000000000006</v>
      </c>
      <c r="O371" s="90">
        <v>4.8</v>
      </c>
      <c r="U371" s="55">
        <v>1</v>
      </c>
      <c r="V371" s="55" t="s">
        <v>1688</v>
      </c>
      <c r="Y371" s="55" t="s">
        <v>1838</v>
      </c>
      <c r="Z371" s="55" t="s">
        <v>1346</v>
      </c>
      <c r="AA371" s="90" t="s">
        <v>1675</v>
      </c>
      <c r="AH371" s="55" t="s">
        <v>1572</v>
      </c>
      <c r="AN371" s="185" t="s">
        <v>1494</v>
      </c>
      <c r="AO371" s="185" t="s">
        <v>5150</v>
      </c>
      <c r="AQ371" s="55" t="s">
        <v>553</v>
      </c>
      <c r="AR371" s="55" t="s">
        <v>345</v>
      </c>
      <c r="AS371" s="55" t="s">
        <v>227</v>
      </c>
      <c r="AU371" s="181" t="s">
        <v>7494</v>
      </c>
      <c r="AV371" s="185" t="s">
        <v>176</v>
      </c>
      <c r="AX371" s="185" t="s">
        <v>176</v>
      </c>
      <c r="BE371" s="226" t="s">
        <v>338</v>
      </c>
      <c r="BF371" s="191" t="s">
        <v>479</v>
      </c>
      <c r="BG371" s="55" t="s">
        <v>479</v>
      </c>
      <c r="BH371" s="226" t="s">
        <v>338</v>
      </c>
      <c r="BI371" s="55" t="s">
        <v>479</v>
      </c>
      <c r="BJ371" s="55" t="s">
        <v>176</v>
      </c>
      <c r="BK371" s="55" t="s">
        <v>5976</v>
      </c>
      <c r="BM371" s="192" t="s">
        <v>160</v>
      </c>
      <c r="BN371" s="55">
        <v>4</v>
      </c>
      <c r="BO371" s="55">
        <v>4</v>
      </c>
      <c r="BQ371" s="55" t="s">
        <v>141</v>
      </c>
      <c r="CB371" s="66">
        <v>380.767</v>
      </c>
      <c r="CC371" s="66">
        <v>486.28</v>
      </c>
      <c r="GP371" s="292" t="s">
        <v>7494</v>
      </c>
      <c r="HS371" s="227"/>
      <c r="HW371" s="227"/>
    </row>
    <row r="372" spans="1:281" x14ac:dyDescent="0.25">
      <c r="A372" s="55">
        <v>371</v>
      </c>
      <c r="B372" s="12" t="s">
        <v>7067</v>
      </c>
      <c r="C372" s="155">
        <v>23</v>
      </c>
      <c r="D372" s="55" t="s">
        <v>3765</v>
      </c>
      <c r="E372" s="90" t="s">
        <v>335</v>
      </c>
      <c r="G372" s="55" t="s">
        <v>336</v>
      </c>
      <c r="H372" s="55">
        <v>2016</v>
      </c>
      <c r="I372" s="55">
        <v>2009</v>
      </c>
      <c r="J372" s="55" t="s">
        <v>350</v>
      </c>
      <c r="K372" s="55" t="s">
        <v>340</v>
      </c>
      <c r="L372" s="55" t="s">
        <v>2737</v>
      </c>
      <c r="M372" s="90">
        <v>38.92</v>
      </c>
      <c r="N372" s="90">
        <v>-76.150000000000006</v>
      </c>
      <c r="O372" s="90">
        <v>4.8</v>
      </c>
      <c r="U372" s="55">
        <v>1</v>
      </c>
      <c r="V372" s="55" t="s">
        <v>1688</v>
      </c>
      <c r="Y372" s="55" t="s">
        <v>1839</v>
      </c>
      <c r="Z372" s="55" t="s">
        <v>1346</v>
      </c>
      <c r="AA372" s="90" t="s">
        <v>1675</v>
      </c>
      <c r="AH372" s="55" t="s">
        <v>1572</v>
      </c>
      <c r="AN372" s="185" t="s">
        <v>1494</v>
      </c>
      <c r="AO372" s="185" t="s">
        <v>5150</v>
      </c>
      <c r="AQ372" s="55" t="s">
        <v>553</v>
      </c>
      <c r="AR372" s="55" t="s">
        <v>345</v>
      </c>
      <c r="AS372" s="55" t="s">
        <v>227</v>
      </c>
      <c r="AU372" s="181" t="s">
        <v>7494</v>
      </c>
      <c r="AV372" s="185" t="s">
        <v>176</v>
      </c>
      <c r="AX372" s="185" t="s">
        <v>176</v>
      </c>
      <c r="BE372" s="226" t="s">
        <v>338</v>
      </c>
      <c r="BF372" s="191" t="s">
        <v>479</v>
      </c>
      <c r="BG372" s="55" t="s">
        <v>479</v>
      </c>
      <c r="BH372" s="226" t="s">
        <v>338</v>
      </c>
      <c r="BI372" s="55" t="s">
        <v>479</v>
      </c>
      <c r="BJ372" s="55" t="s">
        <v>176</v>
      </c>
      <c r="BK372" s="55" t="s">
        <v>5976</v>
      </c>
      <c r="BM372" s="192" t="s">
        <v>160</v>
      </c>
      <c r="BN372" s="55">
        <v>4</v>
      </c>
      <c r="BO372" s="55">
        <v>4</v>
      </c>
      <c r="BQ372" s="55" t="s">
        <v>141</v>
      </c>
      <c r="CB372" s="66">
        <v>173.48</v>
      </c>
      <c r="CC372" s="66">
        <v>165.37</v>
      </c>
      <c r="GP372" s="292" t="s">
        <v>7494</v>
      </c>
      <c r="HS372" s="227"/>
      <c r="HW372" s="227"/>
    </row>
    <row r="373" spans="1:281" x14ac:dyDescent="0.25">
      <c r="A373" s="55">
        <v>372</v>
      </c>
      <c r="B373" s="12" t="s">
        <v>7067</v>
      </c>
      <c r="C373" s="155">
        <v>23</v>
      </c>
      <c r="D373" s="55" t="s">
        <v>3765</v>
      </c>
      <c r="E373" s="90" t="s">
        <v>335</v>
      </c>
      <c r="G373" s="55" t="s">
        <v>336</v>
      </c>
      <c r="H373" s="55">
        <v>2016</v>
      </c>
      <c r="I373" s="55">
        <v>2009</v>
      </c>
      <c r="J373" s="55" t="s">
        <v>350</v>
      </c>
      <c r="K373" s="55" t="s">
        <v>340</v>
      </c>
      <c r="L373" s="55" t="s">
        <v>2737</v>
      </c>
      <c r="M373" s="90">
        <v>38.92</v>
      </c>
      <c r="N373" s="90">
        <v>-76.150000000000006</v>
      </c>
      <c r="O373" s="90">
        <v>4.8</v>
      </c>
      <c r="U373" s="55">
        <v>1</v>
      </c>
      <c r="V373" s="55" t="s">
        <v>1688</v>
      </c>
      <c r="Y373" s="55" t="s">
        <v>1840</v>
      </c>
      <c r="Z373" s="55" t="s">
        <v>1346</v>
      </c>
      <c r="AA373" s="90" t="s">
        <v>1675</v>
      </c>
      <c r="AH373" s="55" t="s">
        <v>1572</v>
      </c>
      <c r="AN373" s="185" t="s">
        <v>1494</v>
      </c>
      <c r="AO373" s="185" t="s">
        <v>5150</v>
      </c>
      <c r="AQ373" s="55" t="s">
        <v>553</v>
      </c>
      <c r="AR373" s="55" t="s">
        <v>345</v>
      </c>
      <c r="AS373" s="55" t="s">
        <v>227</v>
      </c>
      <c r="AU373" s="181" t="s">
        <v>7494</v>
      </c>
      <c r="AV373" s="185" t="s">
        <v>176</v>
      </c>
      <c r="AX373" s="185" t="s">
        <v>176</v>
      </c>
      <c r="BE373" s="226" t="s">
        <v>338</v>
      </c>
      <c r="BF373" s="191" t="s">
        <v>479</v>
      </c>
      <c r="BG373" s="55" t="s">
        <v>479</v>
      </c>
      <c r="BH373" s="226" t="s">
        <v>338</v>
      </c>
      <c r="BI373" s="55" t="s">
        <v>479</v>
      </c>
      <c r="BJ373" s="55" t="s">
        <v>176</v>
      </c>
      <c r="BK373" s="55" t="s">
        <v>5976</v>
      </c>
      <c r="BM373" s="192" t="s">
        <v>160</v>
      </c>
      <c r="BN373" s="55">
        <v>4</v>
      </c>
      <c r="BO373" s="55">
        <v>4</v>
      </c>
      <c r="BQ373" s="55" t="s">
        <v>141</v>
      </c>
      <c r="CB373" s="66">
        <v>205.76</v>
      </c>
      <c r="CC373" s="66">
        <v>148.96</v>
      </c>
      <c r="GP373" s="292" t="s">
        <v>7494</v>
      </c>
      <c r="HS373" s="227"/>
      <c r="HW373" s="227"/>
    </row>
    <row r="374" spans="1:281" x14ac:dyDescent="0.25">
      <c r="A374" s="55">
        <v>373</v>
      </c>
      <c r="B374" s="12" t="s">
        <v>7067</v>
      </c>
      <c r="C374" s="155">
        <v>23</v>
      </c>
      <c r="D374" s="55" t="s">
        <v>3765</v>
      </c>
      <c r="E374" s="90" t="s">
        <v>335</v>
      </c>
      <c r="G374" s="55" t="s">
        <v>336</v>
      </c>
      <c r="H374" s="55">
        <v>2016</v>
      </c>
      <c r="I374" s="55">
        <v>2009</v>
      </c>
      <c r="J374" s="55" t="s">
        <v>350</v>
      </c>
      <c r="K374" s="55" t="s">
        <v>340</v>
      </c>
      <c r="L374" s="55" t="s">
        <v>2737</v>
      </c>
      <c r="M374" s="90">
        <v>38.92</v>
      </c>
      <c r="N374" s="90">
        <v>-76.150000000000006</v>
      </c>
      <c r="O374" s="90">
        <v>4.8</v>
      </c>
      <c r="U374" s="55">
        <v>1</v>
      </c>
      <c r="V374" s="55" t="s">
        <v>1688</v>
      </c>
      <c r="Y374" s="55" t="s">
        <v>1841</v>
      </c>
      <c r="Z374" s="55" t="s">
        <v>1346</v>
      </c>
      <c r="AA374" s="90" t="s">
        <v>1675</v>
      </c>
      <c r="AH374" s="55" t="s">
        <v>1572</v>
      </c>
      <c r="AN374" s="185" t="s">
        <v>1494</v>
      </c>
      <c r="AO374" s="185" t="s">
        <v>5150</v>
      </c>
      <c r="AQ374" s="55" t="s">
        <v>553</v>
      </c>
      <c r="AR374" s="55" t="s">
        <v>345</v>
      </c>
      <c r="AS374" s="55" t="s">
        <v>227</v>
      </c>
      <c r="AU374" s="181" t="s">
        <v>7494</v>
      </c>
      <c r="AV374" s="185" t="s">
        <v>176</v>
      </c>
      <c r="AX374" s="185" t="s">
        <v>176</v>
      </c>
      <c r="BE374" s="226" t="s">
        <v>338</v>
      </c>
      <c r="BF374" s="191" t="s">
        <v>479</v>
      </c>
      <c r="BG374" s="55" t="s">
        <v>479</v>
      </c>
      <c r="BH374" s="226" t="s">
        <v>338</v>
      </c>
      <c r="BI374" s="55" t="s">
        <v>479</v>
      </c>
      <c r="BJ374" s="55" t="s">
        <v>176</v>
      </c>
      <c r="BK374" s="55" t="s">
        <v>5976</v>
      </c>
      <c r="BM374" s="192" t="s">
        <v>160</v>
      </c>
      <c r="BN374" s="55">
        <v>4</v>
      </c>
      <c r="BO374" s="55">
        <v>4</v>
      </c>
      <c r="BQ374" s="55" t="s">
        <v>141</v>
      </c>
      <c r="CB374" s="66">
        <v>773.56</v>
      </c>
      <c r="CC374" s="66">
        <v>375.87</v>
      </c>
      <c r="GP374" s="292" t="s">
        <v>7494</v>
      </c>
      <c r="HS374" s="227"/>
      <c r="HW374" s="227"/>
    </row>
    <row r="375" spans="1:281" x14ac:dyDescent="0.25">
      <c r="A375" s="55">
        <v>374</v>
      </c>
      <c r="B375" s="12" t="s">
        <v>7067</v>
      </c>
      <c r="C375" s="155">
        <v>23</v>
      </c>
      <c r="D375" s="55" t="s">
        <v>3765</v>
      </c>
      <c r="E375" s="90" t="s">
        <v>335</v>
      </c>
      <c r="G375" s="55" t="s">
        <v>336</v>
      </c>
      <c r="H375" s="55">
        <v>2016</v>
      </c>
      <c r="I375" s="55">
        <v>2009</v>
      </c>
      <c r="J375" s="55" t="s">
        <v>350</v>
      </c>
      <c r="K375" s="55" t="s">
        <v>340</v>
      </c>
      <c r="L375" s="55" t="s">
        <v>2737</v>
      </c>
      <c r="M375" s="90">
        <v>38.92</v>
      </c>
      <c r="N375" s="90">
        <v>-76.150000000000006</v>
      </c>
      <c r="O375" s="90">
        <v>4.8</v>
      </c>
      <c r="U375" s="55">
        <v>1</v>
      </c>
      <c r="V375" s="55" t="s">
        <v>1688</v>
      </c>
      <c r="Y375" s="55" t="s">
        <v>1842</v>
      </c>
      <c r="Z375" s="55" t="s">
        <v>1346</v>
      </c>
      <c r="AA375" s="90" t="s">
        <v>1675</v>
      </c>
      <c r="AH375" s="55" t="s">
        <v>1572</v>
      </c>
      <c r="AN375" s="185" t="s">
        <v>1494</v>
      </c>
      <c r="AO375" s="185" t="s">
        <v>5150</v>
      </c>
      <c r="AQ375" s="55" t="s">
        <v>553</v>
      </c>
      <c r="AR375" s="55" t="s">
        <v>345</v>
      </c>
      <c r="AS375" s="55" t="s">
        <v>227</v>
      </c>
      <c r="AU375" s="181" t="s">
        <v>7494</v>
      </c>
      <c r="AV375" s="185" t="s">
        <v>176</v>
      </c>
      <c r="AX375" s="185" t="s">
        <v>176</v>
      </c>
      <c r="BE375" s="226" t="s">
        <v>338</v>
      </c>
      <c r="BF375" s="191" t="s">
        <v>479</v>
      </c>
      <c r="BG375" s="55" t="s">
        <v>479</v>
      </c>
      <c r="BH375" s="226" t="s">
        <v>338</v>
      </c>
      <c r="BI375" s="55" t="s">
        <v>479</v>
      </c>
      <c r="BJ375" s="55" t="s">
        <v>176</v>
      </c>
      <c r="BK375" s="55" t="s">
        <v>5976</v>
      </c>
      <c r="BM375" s="192" t="s">
        <v>160</v>
      </c>
      <c r="BN375" s="55">
        <v>4</v>
      </c>
      <c r="BO375" s="55">
        <v>4</v>
      </c>
      <c r="BQ375" s="55" t="s">
        <v>141</v>
      </c>
      <c r="CB375" s="66">
        <v>980.16</v>
      </c>
      <c r="CC375" s="66">
        <v>631.19000000000005</v>
      </c>
      <c r="GP375" s="292" t="s">
        <v>7494</v>
      </c>
      <c r="HS375" s="227"/>
      <c r="HW375" s="227"/>
    </row>
    <row r="376" spans="1:281" x14ac:dyDescent="0.25">
      <c r="A376" s="55">
        <v>375</v>
      </c>
      <c r="B376" s="12" t="s">
        <v>7067</v>
      </c>
      <c r="C376" s="155">
        <v>23</v>
      </c>
      <c r="D376" s="55" t="s">
        <v>3765</v>
      </c>
      <c r="E376" s="90" t="s">
        <v>335</v>
      </c>
      <c r="G376" s="55" t="s">
        <v>336</v>
      </c>
      <c r="H376" s="55">
        <v>2016</v>
      </c>
      <c r="I376" s="55">
        <v>2009</v>
      </c>
      <c r="J376" s="55" t="s">
        <v>350</v>
      </c>
      <c r="K376" s="55" t="s">
        <v>340</v>
      </c>
      <c r="L376" s="55" t="s">
        <v>2737</v>
      </c>
      <c r="M376" s="90">
        <v>38.92</v>
      </c>
      <c r="N376" s="90">
        <v>-76.150000000000006</v>
      </c>
      <c r="O376" s="90">
        <v>4.8</v>
      </c>
      <c r="U376" s="55">
        <v>1</v>
      </c>
      <c r="V376" s="55" t="s">
        <v>1688</v>
      </c>
      <c r="Y376" s="55" t="s">
        <v>1843</v>
      </c>
      <c r="Z376" s="55" t="s">
        <v>1346</v>
      </c>
      <c r="AA376" s="90" t="s">
        <v>1675</v>
      </c>
      <c r="AH376" s="55" t="s">
        <v>1572</v>
      </c>
      <c r="AN376" s="185" t="s">
        <v>1494</v>
      </c>
      <c r="AO376" s="185" t="s">
        <v>5150</v>
      </c>
      <c r="AQ376" s="55" t="s">
        <v>553</v>
      </c>
      <c r="AR376" s="55" t="s">
        <v>345</v>
      </c>
      <c r="AS376" s="55" t="s">
        <v>227</v>
      </c>
      <c r="AU376" s="181" t="s">
        <v>7494</v>
      </c>
      <c r="AV376" s="185" t="s">
        <v>176</v>
      </c>
      <c r="AX376" s="185" t="s">
        <v>176</v>
      </c>
      <c r="BE376" s="226" t="s">
        <v>338</v>
      </c>
      <c r="BF376" s="191" t="s">
        <v>479</v>
      </c>
      <c r="BG376" s="55" t="s">
        <v>479</v>
      </c>
      <c r="BH376" s="226" t="s">
        <v>338</v>
      </c>
      <c r="BI376" s="55" t="s">
        <v>479</v>
      </c>
      <c r="BJ376" s="55" t="s">
        <v>176</v>
      </c>
      <c r="BK376" s="55" t="s">
        <v>5976</v>
      </c>
      <c r="BM376" s="192" t="s">
        <v>160</v>
      </c>
      <c r="BN376" s="55">
        <v>4</v>
      </c>
      <c r="BO376" s="55">
        <v>4</v>
      </c>
      <c r="BQ376" s="55" t="s">
        <v>141</v>
      </c>
      <c r="CB376" s="66">
        <v>1158.3800000000001</v>
      </c>
      <c r="CC376" s="66">
        <v>358.94</v>
      </c>
      <c r="GP376" s="292" t="s">
        <v>7494</v>
      </c>
      <c r="HS376" s="227"/>
      <c r="HW376" s="227"/>
    </row>
    <row r="377" spans="1:281" x14ac:dyDescent="0.25">
      <c r="A377" s="55">
        <v>376</v>
      </c>
      <c r="B377" s="12" t="s">
        <v>7067</v>
      </c>
      <c r="C377" s="155">
        <v>23</v>
      </c>
      <c r="D377" s="55" t="s">
        <v>3765</v>
      </c>
      <c r="E377" s="90" t="s">
        <v>335</v>
      </c>
      <c r="G377" s="55" t="s">
        <v>336</v>
      </c>
      <c r="H377" s="55">
        <v>2016</v>
      </c>
      <c r="I377" s="55">
        <v>2009</v>
      </c>
      <c r="J377" s="55" t="s">
        <v>350</v>
      </c>
      <c r="K377" s="55" t="s">
        <v>340</v>
      </c>
      <c r="L377" s="55" t="s">
        <v>2737</v>
      </c>
      <c r="M377" s="90">
        <v>38.92</v>
      </c>
      <c r="N377" s="90">
        <v>-76.150000000000006</v>
      </c>
      <c r="O377" s="90">
        <v>4.8</v>
      </c>
      <c r="U377" s="55">
        <v>1</v>
      </c>
      <c r="V377" s="55" t="s">
        <v>1688</v>
      </c>
      <c r="Y377" s="55" t="s">
        <v>1844</v>
      </c>
      <c r="Z377" s="55" t="s">
        <v>1346</v>
      </c>
      <c r="AA377" s="90" t="s">
        <v>1675</v>
      </c>
      <c r="AH377" s="55" t="s">
        <v>1572</v>
      </c>
      <c r="AN377" s="185" t="s">
        <v>1494</v>
      </c>
      <c r="AO377" s="185" t="s">
        <v>5150</v>
      </c>
      <c r="AQ377" s="55" t="s">
        <v>553</v>
      </c>
      <c r="AR377" s="55" t="s">
        <v>345</v>
      </c>
      <c r="AS377" s="55" t="s">
        <v>227</v>
      </c>
      <c r="AU377" s="181" t="s">
        <v>7494</v>
      </c>
      <c r="AV377" s="185" t="s">
        <v>176</v>
      </c>
      <c r="AX377" s="185" t="s">
        <v>176</v>
      </c>
      <c r="BE377" s="226" t="s">
        <v>338</v>
      </c>
      <c r="BF377" s="191" t="s">
        <v>479</v>
      </c>
      <c r="BG377" s="55" t="s">
        <v>479</v>
      </c>
      <c r="BH377" s="226" t="s">
        <v>338</v>
      </c>
      <c r="BI377" s="55" t="s">
        <v>479</v>
      </c>
      <c r="BJ377" s="55" t="s">
        <v>176</v>
      </c>
      <c r="BK377" s="55" t="s">
        <v>5976</v>
      </c>
      <c r="BM377" s="192" t="s">
        <v>160</v>
      </c>
      <c r="BN377" s="55">
        <v>4</v>
      </c>
      <c r="BO377" s="55">
        <v>4</v>
      </c>
      <c r="BQ377" s="55" t="s">
        <v>141</v>
      </c>
      <c r="CB377" s="66">
        <v>573.70000000000005</v>
      </c>
      <c r="CC377" s="66">
        <v>131.72999999999999</v>
      </c>
      <c r="GP377" s="292" t="s">
        <v>7494</v>
      </c>
      <c r="HS377" s="227"/>
      <c r="HW377" s="227"/>
    </row>
    <row r="378" spans="1:281" x14ac:dyDescent="0.25">
      <c r="A378" s="55">
        <v>377</v>
      </c>
      <c r="B378" s="12" t="s">
        <v>7067</v>
      </c>
      <c r="C378" s="155">
        <v>23</v>
      </c>
      <c r="D378" s="55" t="s">
        <v>3765</v>
      </c>
      <c r="E378" s="90" t="s">
        <v>335</v>
      </c>
      <c r="G378" s="55" t="s">
        <v>336</v>
      </c>
      <c r="H378" s="55">
        <v>2016</v>
      </c>
      <c r="I378" s="55">
        <v>2009</v>
      </c>
      <c r="J378" s="55" t="s">
        <v>350</v>
      </c>
      <c r="K378" s="55" t="s">
        <v>340</v>
      </c>
      <c r="L378" s="55" t="s">
        <v>2737</v>
      </c>
      <c r="M378" s="90">
        <v>38.92</v>
      </c>
      <c r="N378" s="90">
        <v>-76.150000000000006</v>
      </c>
      <c r="O378" s="90">
        <v>4.8</v>
      </c>
      <c r="U378" s="55">
        <v>1</v>
      </c>
      <c r="V378" s="55" t="s">
        <v>1688</v>
      </c>
      <c r="Y378" s="55" t="s">
        <v>1845</v>
      </c>
      <c r="Z378" s="55" t="s">
        <v>1346</v>
      </c>
      <c r="AA378" s="90" t="s">
        <v>1675</v>
      </c>
      <c r="AH378" s="55" t="s">
        <v>1572</v>
      </c>
      <c r="AN378" s="185" t="s">
        <v>1494</v>
      </c>
      <c r="AO378" s="185" t="s">
        <v>5150</v>
      </c>
      <c r="AQ378" s="55" t="s">
        <v>553</v>
      </c>
      <c r="AR378" s="55" t="s">
        <v>345</v>
      </c>
      <c r="AS378" s="55" t="s">
        <v>227</v>
      </c>
      <c r="AU378" s="181" t="s">
        <v>7494</v>
      </c>
      <c r="AV378" s="185" t="s">
        <v>176</v>
      </c>
      <c r="AX378" s="185" t="s">
        <v>176</v>
      </c>
      <c r="BE378" s="226" t="s">
        <v>338</v>
      </c>
      <c r="BF378" s="191" t="s">
        <v>479</v>
      </c>
      <c r="BG378" s="55" t="s">
        <v>479</v>
      </c>
      <c r="BH378" s="226" t="s">
        <v>338</v>
      </c>
      <c r="BI378" s="55" t="s">
        <v>479</v>
      </c>
      <c r="BJ378" s="55" t="s">
        <v>176</v>
      </c>
      <c r="BK378" s="55" t="s">
        <v>5976</v>
      </c>
      <c r="BM378" s="192" t="s">
        <v>160</v>
      </c>
      <c r="BN378" s="55">
        <v>4</v>
      </c>
      <c r="BO378" s="55">
        <v>4</v>
      </c>
      <c r="BQ378" s="55" t="s">
        <v>141</v>
      </c>
      <c r="CB378" s="66">
        <v>800.61</v>
      </c>
      <c r="CC378" s="66">
        <v>191.9</v>
      </c>
      <c r="GP378" s="292" t="s">
        <v>7494</v>
      </c>
      <c r="HS378" s="227"/>
      <c r="HW378" s="227"/>
    </row>
    <row r="379" spans="1:281" x14ac:dyDescent="0.25">
      <c r="A379" s="55">
        <v>378</v>
      </c>
      <c r="B379" s="12" t="s">
        <v>7067</v>
      </c>
      <c r="C379" s="155">
        <v>23</v>
      </c>
      <c r="D379" s="55" t="s">
        <v>3765</v>
      </c>
      <c r="E379" s="90" t="s">
        <v>335</v>
      </c>
      <c r="G379" s="55" t="s">
        <v>336</v>
      </c>
      <c r="H379" s="55">
        <v>2016</v>
      </c>
      <c r="I379" s="55">
        <v>2009</v>
      </c>
      <c r="J379" s="55" t="s">
        <v>350</v>
      </c>
      <c r="K379" s="55" t="s">
        <v>340</v>
      </c>
      <c r="L379" s="55" t="s">
        <v>2737</v>
      </c>
      <c r="M379" s="90">
        <v>38.92</v>
      </c>
      <c r="N379" s="90">
        <v>-76.150000000000006</v>
      </c>
      <c r="O379" s="90">
        <v>4.8</v>
      </c>
      <c r="U379" s="55">
        <v>1</v>
      </c>
      <c r="V379" s="55" t="s">
        <v>1688</v>
      </c>
      <c r="Y379" s="55" t="s">
        <v>1846</v>
      </c>
      <c r="Z379" s="55" t="s">
        <v>1346</v>
      </c>
      <c r="AA379" s="90" t="s">
        <v>1675</v>
      </c>
      <c r="AH379" s="55" t="s">
        <v>1572</v>
      </c>
      <c r="AN379" s="185" t="s">
        <v>1494</v>
      </c>
      <c r="AO379" s="185" t="s">
        <v>5150</v>
      </c>
      <c r="AQ379" s="55" t="s">
        <v>553</v>
      </c>
      <c r="AR379" s="55" t="s">
        <v>345</v>
      </c>
      <c r="AS379" s="55" t="s">
        <v>227</v>
      </c>
      <c r="AU379" s="181" t="s">
        <v>7494</v>
      </c>
      <c r="AV379" s="185" t="s">
        <v>176</v>
      </c>
      <c r="AX379" s="185" t="s">
        <v>176</v>
      </c>
      <c r="BE379" s="226" t="s">
        <v>338</v>
      </c>
      <c r="BF379" s="191" t="s">
        <v>479</v>
      </c>
      <c r="BG379" s="55" t="s">
        <v>479</v>
      </c>
      <c r="BH379" s="226" t="s">
        <v>338</v>
      </c>
      <c r="BI379" s="55" t="s">
        <v>479</v>
      </c>
      <c r="BJ379" s="55" t="s">
        <v>176</v>
      </c>
      <c r="BK379" s="55" t="s">
        <v>5976</v>
      </c>
      <c r="BM379" s="192" t="s">
        <v>160</v>
      </c>
      <c r="BN379" s="55">
        <v>4</v>
      </c>
      <c r="BO379" s="55">
        <v>4</v>
      </c>
      <c r="BQ379" s="55" t="s">
        <v>141</v>
      </c>
      <c r="CB379" s="66">
        <v>893.59</v>
      </c>
      <c r="CC379" s="66">
        <v>240.28</v>
      </c>
      <c r="GP379" s="292" t="s">
        <v>7494</v>
      </c>
      <c r="HS379" s="227"/>
      <c r="HW379" s="227"/>
    </row>
    <row r="380" spans="1:281" x14ac:dyDescent="0.25">
      <c r="A380" s="55">
        <v>379</v>
      </c>
      <c r="B380" s="12" t="s">
        <v>7067</v>
      </c>
      <c r="C380" s="155">
        <v>23</v>
      </c>
      <c r="D380" s="55" t="s">
        <v>3765</v>
      </c>
      <c r="E380" s="90" t="s">
        <v>335</v>
      </c>
      <c r="G380" s="55" t="s">
        <v>336</v>
      </c>
      <c r="H380" s="55">
        <v>2016</v>
      </c>
      <c r="I380" s="55">
        <v>2009</v>
      </c>
      <c r="J380" s="55" t="s">
        <v>350</v>
      </c>
      <c r="K380" s="55" t="s">
        <v>340</v>
      </c>
      <c r="L380" s="55" t="s">
        <v>2737</v>
      </c>
      <c r="M380" s="90">
        <v>38.92</v>
      </c>
      <c r="N380" s="90">
        <v>-76.150000000000006</v>
      </c>
      <c r="O380" s="90">
        <v>4.8</v>
      </c>
      <c r="U380" s="55">
        <v>1</v>
      </c>
      <c r="V380" s="55" t="s">
        <v>1688</v>
      </c>
      <c r="Y380" s="55" t="s">
        <v>1847</v>
      </c>
      <c r="Z380" s="55" t="s">
        <v>1346</v>
      </c>
      <c r="AA380" s="90" t="s">
        <v>1675</v>
      </c>
      <c r="AH380" s="55" t="s">
        <v>1572</v>
      </c>
      <c r="AN380" s="185" t="s">
        <v>1494</v>
      </c>
      <c r="AO380" s="185" t="s">
        <v>5150</v>
      </c>
      <c r="AQ380" s="55" t="s">
        <v>553</v>
      </c>
      <c r="AR380" s="55" t="s">
        <v>345</v>
      </c>
      <c r="AS380" s="55" t="s">
        <v>227</v>
      </c>
      <c r="AU380" s="181" t="s">
        <v>7494</v>
      </c>
      <c r="AV380" s="185" t="s">
        <v>176</v>
      </c>
      <c r="AX380" s="185" t="s">
        <v>176</v>
      </c>
      <c r="BE380" s="226" t="s">
        <v>338</v>
      </c>
      <c r="BF380" s="191" t="s">
        <v>479</v>
      </c>
      <c r="BG380" s="55" t="s">
        <v>479</v>
      </c>
      <c r="BH380" s="226" t="s">
        <v>338</v>
      </c>
      <c r="BI380" s="55" t="s">
        <v>479</v>
      </c>
      <c r="BJ380" s="55" t="s">
        <v>176</v>
      </c>
      <c r="BK380" s="55" t="s">
        <v>5976</v>
      </c>
      <c r="BM380" s="192" t="s">
        <v>160</v>
      </c>
      <c r="BN380" s="55">
        <v>4</v>
      </c>
      <c r="BO380" s="55">
        <v>4</v>
      </c>
      <c r="BQ380" s="55" t="s">
        <v>141</v>
      </c>
      <c r="CB380" s="66">
        <v>787.75</v>
      </c>
      <c r="CC380" s="66">
        <v>183.11</v>
      </c>
      <c r="GP380" s="292" t="s">
        <v>7494</v>
      </c>
      <c r="HS380" s="227"/>
      <c r="HW380" s="227"/>
    </row>
    <row r="381" spans="1:281" x14ac:dyDescent="0.25">
      <c r="A381" s="55">
        <v>380</v>
      </c>
      <c r="B381" s="12" t="s">
        <v>7067</v>
      </c>
      <c r="C381" s="155">
        <v>23</v>
      </c>
      <c r="D381" s="55" t="s">
        <v>3765</v>
      </c>
      <c r="E381" s="90" t="s">
        <v>335</v>
      </c>
      <c r="G381" s="55" t="s">
        <v>336</v>
      </c>
      <c r="H381" s="55">
        <v>2016</v>
      </c>
      <c r="I381" s="55">
        <v>2009</v>
      </c>
      <c r="J381" s="55" t="s">
        <v>350</v>
      </c>
      <c r="K381" s="55" t="s">
        <v>340</v>
      </c>
      <c r="L381" s="55" t="s">
        <v>2737</v>
      </c>
      <c r="M381" s="90">
        <v>38.92</v>
      </c>
      <c r="N381" s="90">
        <v>-76.150000000000006</v>
      </c>
      <c r="O381" s="90">
        <v>4.8</v>
      </c>
      <c r="U381" s="55">
        <v>1</v>
      </c>
      <c r="V381" s="55" t="s">
        <v>1688</v>
      </c>
      <c r="Y381" s="55" t="s">
        <v>1848</v>
      </c>
      <c r="Z381" s="55" t="s">
        <v>1346</v>
      </c>
      <c r="AA381" s="90" t="s">
        <v>1675</v>
      </c>
      <c r="AH381" s="55" t="s">
        <v>1572</v>
      </c>
      <c r="AN381" s="185" t="s">
        <v>1494</v>
      </c>
      <c r="AO381" s="185" t="s">
        <v>5150</v>
      </c>
      <c r="AQ381" s="55" t="s">
        <v>553</v>
      </c>
      <c r="AR381" s="55" t="s">
        <v>345</v>
      </c>
      <c r="AS381" s="55" t="s">
        <v>227</v>
      </c>
      <c r="AU381" s="181" t="s">
        <v>7494</v>
      </c>
      <c r="AV381" s="185" t="s">
        <v>176</v>
      </c>
      <c r="AX381" s="185" t="s">
        <v>176</v>
      </c>
      <c r="BE381" s="226" t="s">
        <v>338</v>
      </c>
      <c r="BF381" s="191" t="s">
        <v>479</v>
      </c>
      <c r="BG381" s="55" t="s">
        <v>479</v>
      </c>
      <c r="BH381" s="226" t="s">
        <v>338</v>
      </c>
      <c r="BI381" s="55" t="s">
        <v>479</v>
      </c>
      <c r="BJ381" s="55" t="s">
        <v>176</v>
      </c>
      <c r="BK381" s="55" t="s">
        <v>5976</v>
      </c>
      <c r="BM381" s="192" t="s">
        <v>160</v>
      </c>
      <c r="BN381" s="55">
        <v>4</v>
      </c>
      <c r="BO381" s="55">
        <v>4</v>
      </c>
      <c r="BQ381" s="55" t="s">
        <v>141</v>
      </c>
      <c r="CB381" s="66">
        <v>414.26</v>
      </c>
      <c r="CC381" s="66">
        <v>158.61000000000001</v>
      </c>
      <c r="GP381" s="292" t="s">
        <v>7494</v>
      </c>
      <c r="HS381" s="227"/>
      <c r="HW381" s="227"/>
    </row>
    <row r="382" spans="1:281" x14ac:dyDescent="0.25">
      <c r="A382" s="55">
        <v>381</v>
      </c>
      <c r="B382" s="12" t="s">
        <v>7067</v>
      </c>
      <c r="C382" s="155">
        <v>23</v>
      </c>
      <c r="D382" s="55" t="s">
        <v>3765</v>
      </c>
      <c r="E382" s="90" t="s">
        <v>335</v>
      </c>
      <c r="G382" s="55" t="s">
        <v>336</v>
      </c>
      <c r="H382" s="55">
        <v>2016</v>
      </c>
      <c r="I382" s="55">
        <v>2009</v>
      </c>
      <c r="J382" s="55" t="s">
        <v>350</v>
      </c>
      <c r="K382" s="55" t="s">
        <v>339</v>
      </c>
      <c r="L382" s="55" t="s">
        <v>2737</v>
      </c>
      <c r="M382" s="90">
        <v>38.82</v>
      </c>
      <c r="N382" s="90">
        <v>-76.75</v>
      </c>
      <c r="O382" s="90">
        <v>5.5</v>
      </c>
      <c r="U382" s="55">
        <v>1</v>
      </c>
      <c r="V382" s="55" t="s">
        <v>1688</v>
      </c>
      <c r="Y382" s="55" t="s">
        <v>1837</v>
      </c>
      <c r="Z382" s="55" t="s">
        <v>1346</v>
      </c>
      <c r="AA382" s="90" t="s">
        <v>1675</v>
      </c>
      <c r="AH382" s="55" t="s">
        <v>1572</v>
      </c>
      <c r="AN382" s="185" t="s">
        <v>1494</v>
      </c>
      <c r="AO382" s="185" t="s">
        <v>5150</v>
      </c>
      <c r="AQ382" s="55" t="s">
        <v>553</v>
      </c>
      <c r="AR382" s="55" t="s">
        <v>345</v>
      </c>
      <c r="AS382" s="55" t="s">
        <v>227</v>
      </c>
      <c r="AU382" s="181" t="s">
        <v>7494</v>
      </c>
      <c r="AV382" s="185" t="s">
        <v>176</v>
      </c>
      <c r="AX382" s="185" t="s">
        <v>176</v>
      </c>
      <c r="BE382" s="226" t="s">
        <v>338</v>
      </c>
      <c r="BF382" s="191" t="s">
        <v>479</v>
      </c>
      <c r="BG382" s="55" t="s">
        <v>479</v>
      </c>
      <c r="BH382" s="226" t="s">
        <v>338</v>
      </c>
      <c r="BI382" s="55" t="s">
        <v>479</v>
      </c>
      <c r="BJ382" s="55" t="s">
        <v>176</v>
      </c>
      <c r="BK382" s="55" t="s">
        <v>5976</v>
      </c>
      <c r="BM382" s="192" t="s">
        <v>160</v>
      </c>
      <c r="BN382" s="55">
        <v>4</v>
      </c>
      <c r="BO382" s="55">
        <v>4</v>
      </c>
      <c r="BQ382" s="55" t="s">
        <v>141</v>
      </c>
      <c r="CB382" s="66">
        <v>134.26</v>
      </c>
      <c r="CC382" s="66">
        <v>124.87</v>
      </c>
      <c r="GP382" s="292" t="s">
        <v>7494</v>
      </c>
      <c r="HS382" s="227"/>
      <c r="HW382" s="227"/>
    </row>
    <row r="383" spans="1:281" x14ac:dyDescent="0.25">
      <c r="A383" s="55">
        <v>382</v>
      </c>
      <c r="B383" s="12" t="s">
        <v>7067</v>
      </c>
      <c r="C383" s="155">
        <v>23</v>
      </c>
      <c r="D383" s="55" t="s">
        <v>3765</v>
      </c>
      <c r="E383" s="90" t="s">
        <v>335</v>
      </c>
      <c r="G383" s="55" t="s">
        <v>336</v>
      </c>
      <c r="H383" s="55">
        <v>2016</v>
      </c>
      <c r="I383" s="55">
        <v>2009</v>
      </c>
      <c r="J383" s="55" t="s">
        <v>350</v>
      </c>
      <c r="K383" s="55" t="s">
        <v>339</v>
      </c>
      <c r="L383" s="55" t="s">
        <v>2737</v>
      </c>
      <c r="M383" s="90">
        <v>38.82</v>
      </c>
      <c r="N383" s="90">
        <v>-76.75</v>
      </c>
      <c r="O383" s="90">
        <v>5.5</v>
      </c>
      <c r="U383" s="55">
        <v>1</v>
      </c>
      <c r="V383" s="55" t="s">
        <v>1688</v>
      </c>
      <c r="Y383" s="55" t="s">
        <v>1838</v>
      </c>
      <c r="Z383" s="55" t="s">
        <v>1346</v>
      </c>
      <c r="AA383" s="90" t="s">
        <v>1675</v>
      </c>
      <c r="AH383" s="55" t="s">
        <v>1572</v>
      </c>
      <c r="AN383" s="185" t="s">
        <v>1494</v>
      </c>
      <c r="AO383" s="185" t="s">
        <v>5150</v>
      </c>
      <c r="AQ383" s="55" t="s">
        <v>553</v>
      </c>
      <c r="AR383" s="55" t="s">
        <v>345</v>
      </c>
      <c r="AS383" s="55" t="s">
        <v>227</v>
      </c>
      <c r="AU383" s="181" t="s">
        <v>7494</v>
      </c>
      <c r="AV383" s="185" t="s">
        <v>176</v>
      </c>
      <c r="AX383" s="185" t="s">
        <v>176</v>
      </c>
      <c r="BE383" s="226" t="s">
        <v>338</v>
      </c>
      <c r="BF383" s="191" t="s">
        <v>479</v>
      </c>
      <c r="BG383" s="55" t="s">
        <v>479</v>
      </c>
      <c r="BH383" s="226" t="s">
        <v>338</v>
      </c>
      <c r="BI383" s="55" t="s">
        <v>479</v>
      </c>
      <c r="BJ383" s="55" t="s">
        <v>176</v>
      </c>
      <c r="BK383" s="55" t="s">
        <v>5976</v>
      </c>
      <c r="BM383" s="192" t="s">
        <v>160</v>
      </c>
      <c r="BN383" s="55">
        <v>4</v>
      </c>
      <c r="BO383" s="55">
        <v>4</v>
      </c>
      <c r="BQ383" s="55" t="s">
        <v>141</v>
      </c>
      <c r="CB383" s="66">
        <v>145.25</v>
      </c>
      <c r="CC383" s="66">
        <v>134.22999999999999</v>
      </c>
      <c r="GP383" s="292" t="s">
        <v>7494</v>
      </c>
      <c r="HS383" s="227"/>
      <c r="HW383" s="227"/>
    </row>
    <row r="384" spans="1:281" x14ac:dyDescent="0.25">
      <c r="A384" s="55">
        <v>383</v>
      </c>
      <c r="B384" s="12" t="s">
        <v>7067</v>
      </c>
      <c r="C384" s="155">
        <v>23</v>
      </c>
      <c r="D384" s="55" t="s">
        <v>3765</v>
      </c>
      <c r="E384" s="90" t="s">
        <v>335</v>
      </c>
      <c r="G384" s="55" t="s">
        <v>336</v>
      </c>
      <c r="H384" s="55">
        <v>2016</v>
      </c>
      <c r="I384" s="55">
        <v>2009</v>
      </c>
      <c r="J384" s="55" t="s">
        <v>350</v>
      </c>
      <c r="K384" s="55" t="s">
        <v>339</v>
      </c>
      <c r="L384" s="55" t="s">
        <v>2737</v>
      </c>
      <c r="M384" s="90">
        <v>38.82</v>
      </c>
      <c r="N384" s="90">
        <v>-76.75</v>
      </c>
      <c r="O384" s="90">
        <v>5.5</v>
      </c>
      <c r="U384" s="55">
        <v>1</v>
      </c>
      <c r="V384" s="55" t="s">
        <v>1688</v>
      </c>
      <c r="Y384" s="55" t="s">
        <v>1839</v>
      </c>
      <c r="Z384" s="55" t="s">
        <v>1346</v>
      </c>
      <c r="AA384" s="90" t="s">
        <v>1675</v>
      </c>
      <c r="AH384" s="55" t="s">
        <v>1572</v>
      </c>
      <c r="AN384" s="185" t="s">
        <v>1494</v>
      </c>
      <c r="AO384" s="185" t="s">
        <v>5150</v>
      </c>
      <c r="AQ384" s="55" t="s">
        <v>553</v>
      </c>
      <c r="AR384" s="55" t="s">
        <v>345</v>
      </c>
      <c r="AS384" s="55" t="s">
        <v>227</v>
      </c>
      <c r="AU384" s="181" t="s">
        <v>7494</v>
      </c>
      <c r="AV384" s="185" t="s">
        <v>176</v>
      </c>
      <c r="AX384" s="185" t="s">
        <v>176</v>
      </c>
      <c r="BE384" s="226" t="s">
        <v>338</v>
      </c>
      <c r="BF384" s="191" t="s">
        <v>479</v>
      </c>
      <c r="BG384" s="55" t="s">
        <v>479</v>
      </c>
      <c r="BH384" s="226" t="s">
        <v>338</v>
      </c>
      <c r="BI384" s="55" t="s">
        <v>479</v>
      </c>
      <c r="BJ384" s="55" t="s">
        <v>176</v>
      </c>
      <c r="BK384" s="55" t="s">
        <v>5976</v>
      </c>
      <c r="BM384" s="192" t="s">
        <v>160</v>
      </c>
      <c r="BN384" s="55">
        <v>4</v>
      </c>
      <c r="BO384" s="55">
        <v>4</v>
      </c>
      <c r="BQ384" s="55" t="s">
        <v>141</v>
      </c>
      <c r="CB384" s="66">
        <v>95.83</v>
      </c>
      <c r="CC384" s="66">
        <v>95.83</v>
      </c>
      <c r="GP384" s="292" t="s">
        <v>7494</v>
      </c>
      <c r="HS384" s="227"/>
      <c r="HW384" s="227"/>
    </row>
    <row r="385" spans="1:231" x14ac:dyDescent="0.25">
      <c r="A385" s="55">
        <v>384</v>
      </c>
      <c r="B385" s="12" t="s">
        <v>7067</v>
      </c>
      <c r="C385" s="155">
        <v>23</v>
      </c>
      <c r="D385" s="55" t="s">
        <v>3765</v>
      </c>
      <c r="E385" s="90" t="s">
        <v>335</v>
      </c>
      <c r="G385" s="55" t="s">
        <v>336</v>
      </c>
      <c r="H385" s="55">
        <v>2016</v>
      </c>
      <c r="I385" s="55">
        <v>2009</v>
      </c>
      <c r="J385" s="55" t="s">
        <v>350</v>
      </c>
      <c r="K385" s="55" t="s">
        <v>339</v>
      </c>
      <c r="L385" s="55" t="s">
        <v>2737</v>
      </c>
      <c r="M385" s="90">
        <v>38.82</v>
      </c>
      <c r="N385" s="90">
        <v>-76.75</v>
      </c>
      <c r="O385" s="90">
        <v>5.5</v>
      </c>
      <c r="U385" s="55">
        <v>1</v>
      </c>
      <c r="V385" s="55" t="s">
        <v>1688</v>
      </c>
      <c r="Y385" s="55" t="s">
        <v>1840</v>
      </c>
      <c r="Z385" s="55" t="s">
        <v>1346</v>
      </c>
      <c r="AA385" s="90" t="s">
        <v>1675</v>
      </c>
      <c r="AH385" s="55" t="s">
        <v>1572</v>
      </c>
      <c r="AN385" s="185" t="s">
        <v>1494</v>
      </c>
      <c r="AO385" s="185" t="s">
        <v>5150</v>
      </c>
      <c r="AQ385" s="55" t="s">
        <v>553</v>
      </c>
      <c r="AR385" s="55" t="s">
        <v>345</v>
      </c>
      <c r="AS385" s="55" t="s">
        <v>227</v>
      </c>
      <c r="AU385" s="181" t="s">
        <v>7494</v>
      </c>
      <c r="AV385" s="185" t="s">
        <v>176</v>
      </c>
      <c r="AX385" s="185" t="s">
        <v>176</v>
      </c>
      <c r="BE385" s="226" t="s">
        <v>338</v>
      </c>
      <c r="BF385" s="191" t="s">
        <v>479</v>
      </c>
      <c r="BG385" s="55" t="s">
        <v>479</v>
      </c>
      <c r="BH385" s="226" t="s">
        <v>338</v>
      </c>
      <c r="BI385" s="55" t="s">
        <v>479</v>
      </c>
      <c r="BJ385" s="55" t="s">
        <v>176</v>
      </c>
      <c r="BK385" s="55" t="s">
        <v>5976</v>
      </c>
      <c r="BM385" s="192" t="s">
        <v>160</v>
      </c>
      <c r="BN385" s="55">
        <v>4</v>
      </c>
      <c r="BO385" s="55">
        <v>4</v>
      </c>
      <c r="BQ385" s="55" t="s">
        <v>141</v>
      </c>
      <c r="CB385" s="66">
        <v>131.72</v>
      </c>
      <c r="CC385" s="66">
        <v>115.8</v>
      </c>
      <c r="GP385" s="292" t="s">
        <v>7494</v>
      </c>
      <c r="HS385" s="227"/>
      <c r="HW385" s="227"/>
    </row>
    <row r="386" spans="1:231" x14ac:dyDescent="0.25">
      <c r="A386" s="55">
        <v>385</v>
      </c>
      <c r="B386" s="12" t="s">
        <v>7067</v>
      </c>
      <c r="C386" s="155">
        <v>23</v>
      </c>
      <c r="D386" s="55" t="s">
        <v>3765</v>
      </c>
      <c r="E386" s="90" t="s">
        <v>335</v>
      </c>
      <c r="G386" s="55" t="s">
        <v>336</v>
      </c>
      <c r="H386" s="55">
        <v>2016</v>
      </c>
      <c r="I386" s="55">
        <v>2009</v>
      </c>
      <c r="J386" s="55" t="s">
        <v>350</v>
      </c>
      <c r="K386" s="55" t="s">
        <v>339</v>
      </c>
      <c r="L386" s="55" t="s">
        <v>2737</v>
      </c>
      <c r="M386" s="90">
        <v>38.82</v>
      </c>
      <c r="N386" s="90">
        <v>-76.75</v>
      </c>
      <c r="O386" s="90">
        <v>5.5</v>
      </c>
      <c r="U386" s="55">
        <v>1</v>
      </c>
      <c r="V386" s="55" t="s">
        <v>1688</v>
      </c>
      <c r="Y386" s="55" t="s">
        <v>1841</v>
      </c>
      <c r="Z386" s="55" t="s">
        <v>1346</v>
      </c>
      <c r="AA386" s="90" t="s">
        <v>1675</v>
      </c>
      <c r="AH386" s="55" t="s">
        <v>1572</v>
      </c>
      <c r="AN386" s="185" t="s">
        <v>1494</v>
      </c>
      <c r="AO386" s="185" t="s">
        <v>5150</v>
      </c>
      <c r="AQ386" s="55" t="s">
        <v>553</v>
      </c>
      <c r="AR386" s="55" t="s">
        <v>345</v>
      </c>
      <c r="AS386" s="55" t="s">
        <v>227</v>
      </c>
      <c r="AU386" s="181" t="s">
        <v>7494</v>
      </c>
      <c r="AV386" s="185" t="s">
        <v>176</v>
      </c>
      <c r="AX386" s="185" t="s">
        <v>176</v>
      </c>
      <c r="BE386" s="226" t="s">
        <v>338</v>
      </c>
      <c r="BF386" s="191" t="s">
        <v>479</v>
      </c>
      <c r="BG386" s="55" t="s">
        <v>479</v>
      </c>
      <c r="BH386" s="226" t="s">
        <v>338</v>
      </c>
      <c r="BI386" s="55" t="s">
        <v>479</v>
      </c>
      <c r="BJ386" s="55" t="s">
        <v>176</v>
      </c>
      <c r="BK386" s="55" t="s">
        <v>5976</v>
      </c>
      <c r="BM386" s="192" t="s">
        <v>160</v>
      </c>
      <c r="BN386" s="55">
        <v>4</v>
      </c>
      <c r="BO386" s="55">
        <v>4</v>
      </c>
      <c r="BQ386" s="55" t="s">
        <v>141</v>
      </c>
      <c r="CB386" s="66">
        <v>136.16999999999999</v>
      </c>
      <c r="CC386" s="66">
        <v>142.71</v>
      </c>
      <c r="GP386" s="292" t="s">
        <v>7494</v>
      </c>
      <c r="HS386" s="227"/>
      <c r="HW386" s="227"/>
    </row>
    <row r="387" spans="1:231" x14ac:dyDescent="0.25">
      <c r="A387" s="55">
        <v>386</v>
      </c>
      <c r="B387" s="12" t="s">
        <v>7067</v>
      </c>
      <c r="C387" s="155">
        <v>23</v>
      </c>
      <c r="D387" s="55" t="s">
        <v>3765</v>
      </c>
      <c r="E387" s="90" t="s">
        <v>335</v>
      </c>
      <c r="G387" s="55" t="s">
        <v>336</v>
      </c>
      <c r="H387" s="55">
        <v>2016</v>
      </c>
      <c r="I387" s="55">
        <v>2009</v>
      </c>
      <c r="J387" s="55" t="s">
        <v>350</v>
      </c>
      <c r="K387" s="55" t="s">
        <v>339</v>
      </c>
      <c r="L387" s="55" t="s">
        <v>2737</v>
      </c>
      <c r="M387" s="90">
        <v>38.82</v>
      </c>
      <c r="N387" s="90">
        <v>-76.75</v>
      </c>
      <c r="O387" s="90">
        <v>5.5</v>
      </c>
      <c r="U387" s="55">
        <v>1</v>
      </c>
      <c r="V387" s="55" t="s">
        <v>1688</v>
      </c>
      <c r="Y387" s="55" t="s">
        <v>1842</v>
      </c>
      <c r="Z387" s="55" t="s">
        <v>1346</v>
      </c>
      <c r="AA387" s="90" t="s">
        <v>1675</v>
      </c>
      <c r="AH387" s="55" t="s">
        <v>1572</v>
      </c>
      <c r="AN387" s="185" t="s">
        <v>1494</v>
      </c>
      <c r="AO387" s="185" t="s">
        <v>5150</v>
      </c>
      <c r="AQ387" s="55" t="s">
        <v>553</v>
      </c>
      <c r="AR387" s="55" t="s">
        <v>345</v>
      </c>
      <c r="AS387" s="55" t="s">
        <v>227</v>
      </c>
      <c r="AU387" s="181" t="s">
        <v>7494</v>
      </c>
      <c r="AV387" s="185" t="s">
        <v>176</v>
      </c>
      <c r="AX387" s="185" t="s">
        <v>176</v>
      </c>
      <c r="BE387" s="226" t="s">
        <v>338</v>
      </c>
      <c r="BF387" s="191" t="s">
        <v>479</v>
      </c>
      <c r="BG387" s="55" t="s">
        <v>479</v>
      </c>
      <c r="BH387" s="226" t="s">
        <v>338</v>
      </c>
      <c r="BI387" s="55" t="s">
        <v>479</v>
      </c>
      <c r="BJ387" s="55" t="s">
        <v>176</v>
      </c>
      <c r="BK387" s="55" t="s">
        <v>5976</v>
      </c>
      <c r="BM387" s="192" t="s">
        <v>160</v>
      </c>
      <c r="BN387" s="55">
        <v>4</v>
      </c>
      <c r="BO387" s="55">
        <v>4</v>
      </c>
      <c r="BQ387" s="55" t="s">
        <v>141</v>
      </c>
      <c r="CB387" s="66">
        <v>156.55000000000001</v>
      </c>
      <c r="CC387" s="66">
        <v>143.08000000000001</v>
      </c>
      <c r="GP387" s="292" t="s">
        <v>7494</v>
      </c>
      <c r="HS387" s="227"/>
      <c r="HW387" s="227"/>
    </row>
    <row r="388" spans="1:231" x14ac:dyDescent="0.25">
      <c r="A388" s="55">
        <v>387</v>
      </c>
      <c r="B388" s="12" t="s">
        <v>7067</v>
      </c>
      <c r="C388" s="155">
        <v>23</v>
      </c>
      <c r="D388" s="55" t="s">
        <v>3765</v>
      </c>
      <c r="E388" s="90" t="s">
        <v>335</v>
      </c>
      <c r="G388" s="55" t="s">
        <v>336</v>
      </c>
      <c r="H388" s="55">
        <v>2016</v>
      </c>
      <c r="I388" s="55">
        <v>2009</v>
      </c>
      <c r="J388" s="55" t="s">
        <v>350</v>
      </c>
      <c r="K388" s="55" t="s">
        <v>339</v>
      </c>
      <c r="L388" s="55" t="s">
        <v>2737</v>
      </c>
      <c r="M388" s="90">
        <v>38.82</v>
      </c>
      <c r="N388" s="90">
        <v>-76.75</v>
      </c>
      <c r="O388" s="90">
        <v>5.5</v>
      </c>
      <c r="U388" s="55">
        <v>1</v>
      </c>
      <c r="V388" s="55" t="s">
        <v>1688</v>
      </c>
      <c r="Y388" s="55" t="s">
        <v>1843</v>
      </c>
      <c r="Z388" s="55" t="s">
        <v>1346</v>
      </c>
      <c r="AA388" s="90" t="s">
        <v>1675</v>
      </c>
      <c r="AH388" s="55" t="s">
        <v>1572</v>
      </c>
      <c r="AN388" s="185" t="s">
        <v>1494</v>
      </c>
      <c r="AO388" s="185" t="s">
        <v>5150</v>
      </c>
      <c r="AQ388" s="55" t="s">
        <v>553</v>
      </c>
      <c r="AR388" s="55" t="s">
        <v>345</v>
      </c>
      <c r="AS388" s="55" t="s">
        <v>227</v>
      </c>
      <c r="AU388" s="181" t="s">
        <v>7494</v>
      </c>
      <c r="AV388" s="185" t="s">
        <v>176</v>
      </c>
      <c r="AX388" s="185" t="s">
        <v>176</v>
      </c>
      <c r="BE388" s="226" t="s">
        <v>338</v>
      </c>
      <c r="BF388" s="191" t="s">
        <v>479</v>
      </c>
      <c r="BG388" s="55" t="s">
        <v>479</v>
      </c>
      <c r="BH388" s="226" t="s">
        <v>338</v>
      </c>
      <c r="BI388" s="55" t="s">
        <v>479</v>
      </c>
      <c r="BJ388" s="55" t="s">
        <v>176</v>
      </c>
      <c r="BK388" s="55" t="s">
        <v>5976</v>
      </c>
      <c r="BM388" s="192" t="s">
        <v>160</v>
      </c>
      <c r="BN388" s="55">
        <v>4</v>
      </c>
      <c r="BO388" s="55">
        <v>4</v>
      </c>
      <c r="BQ388" s="55" t="s">
        <v>141</v>
      </c>
      <c r="CB388" s="66">
        <v>213.67</v>
      </c>
      <c r="CC388" s="66">
        <v>208.77</v>
      </c>
      <c r="GP388" s="292" t="s">
        <v>7494</v>
      </c>
      <c r="HS388" s="227"/>
      <c r="HW388" s="227"/>
    </row>
    <row r="389" spans="1:231" x14ac:dyDescent="0.25">
      <c r="A389" s="55">
        <v>388</v>
      </c>
      <c r="B389" s="12" t="s">
        <v>7067</v>
      </c>
      <c r="C389" s="155">
        <v>23</v>
      </c>
      <c r="D389" s="55" t="s">
        <v>3765</v>
      </c>
      <c r="E389" s="90" t="s">
        <v>335</v>
      </c>
      <c r="G389" s="55" t="s">
        <v>336</v>
      </c>
      <c r="H389" s="55">
        <v>2016</v>
      </c>
      <c r="I389" s="55">
        <v>2009</v>
      </c>
      <c r="J389" s="55" t="s">
        <v>350</v>
      </c>
      <c r="K389" s="55" t="s">
        <v>339</v>
      </c>
      <c r="L389" s="55" t="s">
        <v>2737</v>
      </c>
      <c r="M389" s="90">
        <v>38.82</v>
      </c>
      <c r="N389" s="90">
        <v>-76.75</v>
      </c>
      <c r="O389" s="90">
        <v>5.5</v>
      </c>
      <c r="U389" s="55">
        <v>1</v>
      </c>
      <c r="V389" s="55" t="s">
        <v>1688</v>
      </c>
      <c r="Y389" s="55" t="s">
        <v>1844</v>
      </c>
      <c r="Z389" s="55" t="s">
        <v>1346</v>
      </c>
      <c r="AA389" s="90" t="s">
        <v>1675</v>
      </c>
      <c r="AH389" s="55" t="s">
        <v>1572</v>
      </c>
      <c r="AN389" s="185" t="s">
        <v>1494</v>
      </c>
      <c r="AO389" s="185" t="s">
        <v>5150</v>
      </c>
      <c r="AQ389" s="55" t="s">
        <v>553</v>
      </c>
      <c r="AR389" s="55" t="s">
        <v>345</v>
      </c>
      <c r="AS389" s="55" t="s">
        <v>227</v>
      </c>
      <c r="AU389" s="181" t="s">
        <v>7494</v>
      </c>
      <c r="AV389" s="185" t="s">
        <v>176</v>
      </c>
      <c r="AX389" s="185" t="s">
        <v>176</v>
      </c>
      <c r="BE389" s="226" t="s">
        <v>338</v>
      </c>
      <c r="BF389" s="191" t="s">
        <v>479</v>
      </c>
      <c r="BG389" s="55" t="s">
        <v>479</v>
      </c>
      <c r="BH389" s="226" t="s">
        <v>338</v>
      </c>
      <c r="BI389" s="55" t="s">
        <v>479</v>
      </c>
      <c r="BJ389" s="55" t="s">
        <v>176</v>
      </c>
      <c r="BK389" s="55" t="s">
        <v>5976</v>
      </c>
      <c r="BM389" s="192" t="s">
        <v>160</v>
      </c>
      <c r="BN389" s="55">
        <v>4</v>
      </c>
      <c r="BO389" s="55">
        <v>4</v>
      </c>
      <c r="BQ389" s="55" t="s">
        <v>141</v>
      </c>
      <c r="CB389" s="66">
        <v>147.91999999999999</v>
      </c>
      <c r="CC389" s="66">
        <v>125.47</v>
      </c>
      <c r="GP389" s="292" t="s">
        <v>7494</v>
      </c>
      <c r="HS389" s="227"/>
      <c r="HW389" s="227"/>
    </row>
    <row r="390" spans="1:231" x14ac:dyDescent="0.25">
      <c r="A390" s="55">
        <v>389</v>
      </c>
      <c r="B390" s="12" t="s">
        <v>7067</v>
      </c>
      <c r="C390" s="155">
        <v>23</v>
      </c>
      <c r="D390" s="55" t="s">
        <v>3765</v>
      </c>
      <c r="E390" s="90" t="s">
        <v>335</v>
      </c>
      <c r="G390" s="55" t="s">
        <v>336</v>
      </c>
      <c r="H390" s="55">
        <v>2016</v>
      </c>
      <c r="I390" s="55">
        <v>2009</v>
      </c>
      <c r="J390" s="55" t="s">
        <v>350</v>
      </c>
      <c r="K390" s="55" t="s">
        <v>339</v>
      </c>
      <c r="L390" s="55" t="s">
        <v>2737</v>
      </c>
      <c r="M390" s="90">
        <v>38.82</v>
      </c>
      <c r="N390" s="90">
        <v>-76.75</v>
      </c>
      <c r="O390" s="90">
        <v>5.5</v>
      </c>
      <c r="U390" s="55">
        <v>1</v>
      </c>
      <c r="V390" s="55" t="s">
        <v>1688</v>
      </c>
      <c r="Y390" s="55" t="s">
        <v>1845</v>
      </c>
      <c r="Z390" s="55" t="s">
        <v>1346</v>
      </c>
      <c r="AA390" s="90" t="s">
        <v>1675</v>
      </c>
      <c r="AH390" s="55" t="s">
        <v>1572</v>
      </c>
      <c r="AN390" s="185" t="s">
        <v>1494</v>
      </c>
      <c r="AO390" s="185" t="s">
        <v>5150</v>
      </c>
      <c r="AQ390" s="55" t="s">
        <v>553</v>
      </c>
      <c r="AR390" s="55" t="s">
        <v>345</v>
      </c>
      <c r="AS390" s="55" t="s">
        <v>227</v>
      </c>
      <c r="AU390" s="181" t="s">
        <v>7494</v>
      </c>
      <c r="AV390" s="185" t="s">
        <v>176</v>
      </c>
      <c r="AX390" s="185" t="s">
        <v>176</v>
      </c>
      <c r="BE390" s="226" t="s">
        <v>338</v>
      </c>
      <c r="BF390" s="191" t="s">
        <v>479</v>
      </c>
      <c r="BG390" s="55" t="s">
        <v>479</v>
      </c>
      <c r="BH390" s="226" t="s">
        <v>338</v>
      </c>
      <c r="BI390" s="55" t="s">
        <v>479</v>
      </c>
      <c r="BJ390" s="55" t="s">
        <v>176</v>
      </c>
      <c r="BK390" s="55" t="s">
        <v>5976</v>
      </c>
      <c r="BM390" s="192" t="s">
        <v>160</v>
      </c>
      <c r="BN390" s="55">
        <v>4</v>
      </c>
      <c r="BO390" s="55">
        <v>4</v>
      </c>
      <c r="BQ390" s="55" t="s">
        <v>141</v>
      </c>
      <c r="CB390" s="66">
        <v>176.87</v>
      </c>
      <c r="CC390" s="66">
        <v>107.89</v>
      </c>
      <c r="GP390" s="292" t="s">
        <v>7494</v>
      </c>
      <c r="HS390" s="227"/>
      <c r="HW390" s="227"/>
    </row>
    <row r="391" spans="1:231" x14ac:dyDescent="0.25">
      <c r="A391" s="55">
        <v>390</v>
      </c>
      <c r="B391" s="12" t="s">
        <v>7067</v>
      </c>
      <c r="C391" s="155">
        <v>23</v>
      </c>
      <c r="D391" s="55" t="s">
        <v>3765</v>
      </c>
      <c r="E391" s="90" t="s">
        <v>335</v>
      </c>
      <c r="G391" s="55" t="s">
        <v>336</v>
      </c>
      <c r="H391" s="55">
        <v>2016</v>
      </c>
      <c r="I391" s="55">
        <v>2009</v>
      </c>
      <c r="J391" s="55" t="s">
        <v>350</v>
      </c>
      <c r="K391" s="55" t="s">
        <v>339</v>
      </c>
      <c r="L391" s="55" t="s">
        <v>2737</v>
      </c>
      <c r="M391" s="90">
        <v>38.82</v>
      </c>
      <c r="N391" s="90">
        <v>-76.75</v>
      </c>
      <c r="O391" s="90">
        <v>5.5</v>
      </c>
      <c r="U391" s="55">
        <v>1</v>
      </c>
      <c r="V391" s="55" t="s">
        <v>1688</v>
      </c>
      <c r="Y391" s="55" t="s">
        <v>1846</v>
      </c>
      <c r="Z391" s="55" t="s">
        <v>1346</v>
      </c>
      <c r="AA391" s="90" t="s">
        <v>1675</v>
      </c>
      <c r="AH391" s="55" t="s">
        <v>1572</v>
      </c>
      <c r="AN391" s="185" t="s">
        <v>1494</v>
      </c>
      <c r="AO391" s="185" t="s">
        <v>5150</v>
      </c>
      <c r="AQ391" s="55" t="s">
        <v>553</v>
      </c>
      <c r="AR391" s="55" t="s">
        <v>345</v>
      </c>
      <c r="AS391" s="55" t="s">
        <v>227</v>
      </c>
      <c r="AU391" s="181" t="s">
        <v>7494</v>
      </c>
      <c r="AV391" s="185" t="s">
        <v>176</v>
      </c>
      <c r="AX391" s="185" t="s">
        <v>176</v>
      </c>
      <c r="BE391" s="226" t="s">
        <v>338</v>
      </c>
      <c r="BF391" s="191" t="s">
        <v>479</v>
      </c>
      <c r="BG391" s="55" t="s">
        <v>479</v>
      </c>
      <c r="BH391" s="226" t="s">
        <v>338</v>
      </c>
      <c r="BI391" s="55" t="s">
        <v>479</v>
      </c>
      <c r="BJ391" s="55" t="s">
        <v>176</v>
      </c>
      <c r="BK391" s="55" t="s">
        <v>5976</v>
      </c>
      <c r="BM391" s="192" t="s">
        <v>160</v>
      </c>
      <c r="BN391" s="55">
        <v>4</v>
      </c>
      <c r="BO391" s="55">
        <v>4</v>
      </c>
      <c r="BQ391" s="55" t="s">
        <v>141</v>
      </c>
      <c r="CB391" s="66">
        <v>205.41</v>
      </c>
      <c r="CC391" s="66">
        <v>123.37</v>
      </c>
      <c r="GP391" s="292" t="s">
        <v>7494</v>
      </c>
      <c r="HS391" s="227"/>
      <c r="HW391" s="227"/>
    </row>
    <row r="392" spans="1:231" x14ac:dyDescent="0.25">
      <c r="A392" s="55">
        <v>391</v>
      </c>
      <c r="B392" s="12" t="s">
        <v>7067</v>
      </c>
      <c r="C392" s="155">
        <v>23</v>
      </c>
      <c r="D392" s="55" t="s">
        <v>3765</v>
      </c>
      <c r="E392" s="90" t="s">
        <v>335</v>
      </c>
      <c r="G392" s="55" t="s">
        <v>336</v>
      </c>
      <c r="H392" s="55">
        <v>2016</v>
      </c>
      <c r="I392" s="55">
        <v>2009</v>
      </c>
      <c r="J392" s="55" t="s">
        <v>350</v>
      </c>
      <c r="K392" s="55" t="s">
        <v>339</v>
      </c>
      <c r="L392" s="55" t="s">
        <v>2737</v>
      </c>
      <c r="M392" s="90">
        <v>38.82</v>
      </c>
      <c r="N392" s="90">
        <v>-76.75</v>
      </c>
      <c r="O392" s="90">
        <v>5.5</v>
      </c>
      <c r="U392" s="55">
        <v>1</v>
      </c>
      <c r="V392" s="55" t="s">
        <v>1688</v>
      </c>
      <c r="Y392" s="55" t="s">
        <v>1847</v>
      </c>
      <c r="Z392" s="55" t="s">
        <v>1346</v>
      </c>
      <c r="AA392" s="90" t="s">
        <v>1675</v>
      </c>
      <c r="AH392" s="55" t="s">
        <v>1572</v>
      </c>
      <c r="AN392" s="185" t="s">
        <v>1494</v>
      </c>
      <c r="AO392" s="185" t="s">
        <v>5150</v>
      </c>
      <c r="AQ392" s="55" t="s">
        <v>553</v>
      </c>
      <c r="AR392" s="55" t="s">
        <v>345</v>
      </c>
      <c r="AS392" s="55" t="s">
        <v>227</v>
      </c>
      <c r="AU392" s="181" t="s">
        <v>7494</v>
      </c>
      <c r="AV392" s="185" t="s">
        <v>176</v>
      </c>
      <c r="AX392" s="185" t="s">
        <v>176</v>
      </c>
      <c r="BE392" s="226" t="s">
        <v>338</v>
      </c>
      <c r="BF392" s="191" t="s">
        <v>479</v>
      </c>
      <c r="BG392" s="55" t="s">
        <v>479</v>
      </c>
      <c r="BH392" s="226" t="s">
        <v>338</v>
      </c>
      <c r="BI392" s="55" t="s">
        <v>479</v>
      </c>
      <c r="BJ392" s="55" t="s">
        <v>176</v>
      </c>
      <c r="BK392" s="55" t="s">
        <v>5976</v>
      </c>
      <c r="BM392" s="192" t="s">
        <v>160</v>
      </c>
      <c r="BN392" s="55">
        <v>4</v>
      </c>
      <c r="BO392" s="55">
        <v>4</v>
      </c>
      <c r="BQ392" s="55" t="s">
        <v>141</v>
      </c>
      <c r="CB392" s="66">
        <v>184.57</v>
      </c>
      <c r="CC392" s="66">
        <v>143.34</v>
      </c>
      <c r="GP392" s="292" t="s">
        <v>7494</v>
      </c>
      <c r="HS392" s="227"/>
      <c r="HW392" s="227"/>
    </row>
    <row r="393" spans="1:231" x14ac:dyDescent="0.25">
      <c r="A393" s="55">
        <v>392</v>
      </c>
      <c r="B393" s="12" t="s">
        <v>7067</v>
      </c>
      <c r="C393" s="155">
        <v>23</v>
      </c>
      <c r="D393" s="55" t="s">
        <v>3765</v>
      </c>
      <c r="E393" s="90" t="s">
        <v>335</v>
      </c>
      <c r="G393" s="55" t="s">
        <v>336</v>
      </c>
      <c r="H393" s="55">
        <v>2016</v>
      </c>
      <c r="I393" s="55">
        <v>2009</v>
      </c>
      <c r="J393" s="55" t="s">
        <v>350</v>
      </c>
      <c r="K393" s="55" t="s">
        <v>339</v>
      </c>
      <c r="L393" s="55" t="s">
        <v>2737</v>
      </c>
      <c r="M393" s="90">
        <v>38.82</v>
      </c>
      <c r="N393" s="90">
        <v>-76.75</v>
      </c>
      <c r="O393" s="90">
        <v>5.5</v>
      </c>
      <c r="U393" s="55">
        <v>1</v>
      </c>
      <c r="V393" s="55" t="s">
        <v>1688</v>
      </c>
      <c r="Y393" s="55" t="s">
        <v>1848</v>
      </c>
      <c r="Z393" s="55" t="s">
        <v>1346</v>
      </c>
      <c r="AA393" s="90" t="s">
        <v>1675</v>
      </c>
      <c r="AH393" s="55" t="s">
        <v>1572</v>
      </c>
      <c r="AN393" s="185" t="s">
        <v>1494</v>
      </c>
      <c r="AO393" s="185" t="s">
        <v>5150</v>
      </c>
      <c r="AQ393" s="55" t="s">
        <v>553</v>
      </c>
      <c r="AR393" s="55" t="s">
        <v>345</v>
      </c>
      <c r="AS393" s="55" t="s">
        <v>227</v>
      </c>
      <c r="AU393" s="181" t="s">
        <v>7494</v>
      </c>
      <c r="AV393" s="185" t="s">
        <v>176</v>
      </c>
      <c r="AX393" s="185" t="s">
        <v>176</v>
      </c>
      <c r="BE393" s="226" t="s">
        <v>338</v>
      </c>
      <c r="BF393" s="191" t="s">
        <v>479</v>
      </c>
      <c r="BG393" s="55" t="s">
        <v>479</v>
      </c>
      <c r="BH393" s="226" t="s">
        <v>338</v>
      </c>
      <c r="BI393" s="55" t="s">
        <v>479</v>
      </c>
      <c r="BJ393" s="55" t="s">
        <v>176</v>
      </c>
      <c r="BK393" s="55" t="s">
        <v>5976</v>
      </c>
      <c r="BM393" s="192" t="s">
        <v>160</v>
      </c>
      <c r="BN393" s="55">
        <v>4</v>
      </c>
      <c r="BO393" s="55">
        <v>4</v>
      </c>
      <c r="BQ393" s="55" t="s">
        <v>141</v>
      </c>
      <c r="CB393" s="66">
        <v>125.35</v>
      </c>
      <c r="CC393" s="66">
        <v>115.56</v>
      </c>
      <c r="GP393" s="292" t="s">
        <v>7494</v>
      </c>
      <c r="HS393" s="227"/>
      <c r="HW393" s="227"/>
    </row>
    <row r="394" spans="1:231" x14ac:dyDescent="0.25">
      <c r="A394" s="55">
        <v>393</v>
      </c>
      <c r="B394" s="12" t="s">
        <v>7067</v>
      </c>
      <c r="C394" s="155">
        <v>23</v>
      </c>
      <c r="D394" s="55" t="s">
        <v>3765</v>
      </c>
      <c r="E394" s="90" t="s">
        <v>335</v>
      </c>
      <c r="G394" s="55" t="s">
        <v>336</v>
      </c>
      <c r="H394" s="55">
        <v>2016</v>
      </c>
      <c r="I394" s="55">
        <v>2010</v>
      </c>
      <c r="J394" s="55" t="s">
        <v>350</v>
      </c>
      <c r="K394" s="55" t="s">
        <v>340</v>
      </c>
      <c r="L394" s="55" t="s">
        <v>2737</v>
      </c>
      <c r="M394" s="90">
        <v>38.92</v>
      </c>
      <c r="N394" s="90">
        <v>-76.150000000000006</v>
      </c>
      <c r="O394" s="90">
        <v>4.8</v>
      </c>
      <c r="U394" s="55">
        <v>2</v>
      </c>
      <c r="V394" s="55" t="s">
        <v>1688</v>
      </c>
      <c r="Y394" s="55" t="s">
        <v>1839</v>
      </c>
      <c r="Z394" s="55" t="s">
        <v>1346</v>
      </c>
      <c r="AA394" s="90" t="s">
        <v>1675</v>
      </c>
      <c r="AH394" s="55" t="s">
        <v>1572</v>
      </c>
      <c r="AN394" s="185" t="s">
        <v>1494</v>
      </c>
      <c r="AO394" s="185" t="s">
        <v>5150</v>
      </c>
      <c r="AQ394" s="55" t="s">
        <v>553</v>
      </c>
      <c r="AR394" s="55" t="s">
        <v>345</v>
      </c>
      <c r="AS394" s="55" t="s">
        <v>227</v>
      </c>
      <c r="AU394" s="181" t="s">
        <v>7494</v>
      </c>
      <c r="AV394" s="185" t="s">
        <v>176</v>
      </c>
      <c r="AX394" s="185" t="s">
        <v>176</v>
      </c>
      <c r="BE394" s="226" t="s">
        <v>338</v>
      </c>
      <c r="BF394" s="191" t="s">
        <v>479</v>
      </c>
      <c r="BG394" s="55" t="s">
        <v>479</v>
      </c>
      <c r="BH394" s="226" t="s">
        <v>338</v>
      </c>
      <c r="BI394" s="55" t="s">
        <v>479</v>
      </c>
      <c r="BJ394" s="55" t="s">
        <v>176</v>
      </c>
      <c r="BK394" s="55" t="s">
        <v>5976</v>
      </c>
      <c r="BM394" s="192" t="s">
        <v>160</v>
      </c>
      <c r="BN394" s="55">
        <v>4</v>
      </c>
      <c r="BO394" s="55">
        <v>4</v>
      </c>
      <c r="BQ394" s="55" t="s">
        <v>141</v>
      </c>
      <c r="CB394" s="66">
        <v>143.54</v>
      </c>
      <c r="CC394" s="66">
        <v>111.54</v>
      </c>
      <c r="GP394" s="292" t="s">
        <v>7494</v>
      </c>
      <c r="HS394" s="227"/>
      <c r="HW394" s="227"/>
    </row>
    <row r="395" spans="1:231" x14ac:dyDescent="0.25">
      <c r="A395" s="55">
        <v>394</v>
      </c>
      <c r="B395" s="12" t="s">
        <v>7067</v>
      </c>
      <c r="C395" s="155">
        <v>23</v>
      </c>
      <c r="D395" s="55" t="s">
        <v>3765</v>
      </c>
      <c r="E395" s="90" t="s">
        <v>335</v>
      </c>
      <c r="G395" s="55" t="s">
        <v>336</v>
      </c>
      <c r="H395" s="55">
        <v>2016</v>
      </c>
      <c r="I395" s="55">
        <v>2010</v>
      </c>
      <c r="J395" s="55" t="s">
        <v>350</v>
      </c>
      <c r="K395" s="55" t="s">
        <v>340</v>
      </c>
      <c r="L395" s="55" t="s">
        <v>2737</v>
      </c>
      <c r="M395" s="90">
        <v>38.92</v>
      </c>
      <c r="N395" s="90">
        <v>-76.150000000000006</v>
      </c>
      <c r="O395" s="90">
        <v>4.8</v>
      </c>
      <c r="U395" s="55">
        <v>2</v>
      </c>
      <c r="V395" s="55" t="s">
        <v>1688</v>
      </c>
      <c r="Y395" s="55" t="s">
        <v>1849</v>
      </c>
      <c r="Z395" s="55" t="s">
        <v>1346</v>
      </c>
      <c r="AA395" s="90" t="s">
        <v>1675</v>
      </c>
      <c r="AH395" s="55" t="s">
        <v>1572</v>
      </c>
      <c r="AN395" s="185" t="s">
        <v>1494</v>
      </c>
      <c r="AO395" s="185" t="s">
        <v>5150</v>
      </c>
      <c r="AQ395" s="55" t="s">
        <v>553</v>
      </c>
      <c r="AR395" s="55" t="s">
        <v>345</v>
      </c>
      <c r="AS395" s="55" t="s">
        <v>227</v>
      </c>
      <c r="AU395" s="181" t="s">
        <v>7494</v>
      </c>
      <c r="AV395" s="185" t="s">
        <v>176</v>
      </c>
      <c r="AX395" s="185" t="s">
        <v>176</v>
      </c>
      <c r="BE395" s="226" t="s">
        <v>338</v>
      </c>
      <c r="BF395" s="191" t="s">
        <v>479</v>
      </c>
      <c r="BG395" s="55" t="s">
        <v>479</v>
      </c>
      <c r="BH395" s="226" t="s">
        <v>338</v>
      </c>
      <c r="BI395" s="55" t="s">
        <v>479</v>
      </c>
      <c r="BJ395" s="55" t="s">
        <v>176</v>
      </c>
      <c r="BK395" s="55" t="s">
        <v>5976</v>
      </c>
      <c r="BM395" s="192" t="s">
        <v>160</v>
      </c>
      <c r="BN395" s="55">
        <v>4</v>
      </c>
      <c r="BO395" s="55">
        <v>4</v>
      </c>
      <c r="BQ395" s="55" t="s">
        <v>141</v>
      </c>
      <c r="CB395" s="66">
        <v>199.11</v>
      </c>
      <c r="CC395" s="66">
        <v>128.12</v>
      </c>
      <c r="GP395" s="292" t="s">
        <v>7494</v>
      </c>
      <c r="HS395" s="227"/>
      <c r="HW395" s="227"/>
    </row>
    <row r="396" spans="1:231" x14ac:dyDescent="0.25">
      <c r="A396" s="55">
        <v>395</v>
      </c>
      <c r="B396" s="12" t="s">
        <v>7067</v>
      </c>
      <c r="C396" s="155">
        <v>23</v>
      </c>
      <c r="D396" s="55" t="s">
        <v>3765</v>
      </c>
      <c r="E396" s="90" t="s">
        <v>335</v>
      </c>
      <c r="G396" s="55" t="s">
        <v>336</v>
      </c>
      <c r="H396" s="55">
        <v>2016</v>
      </c>
      <c r="I396" s="55">
        <v>2010</v>
      </c>
      <c r="J396" s="55" t="s">
        <v>350</v>
      </c>
      <c r="K396" s="55" t="s">
        <v>340</v>
      </c>
      <c r="L396" s="55" t="s">
        <v>2737</v>
      </c>
      <c r="M396" s="90">
        <v>38.92</v>
      </c>
      <c r="N396" s="90">
        <v>-76.150000000000006</v>
      </c>
      <c r="O396" s="90">
        <v>4.8</v>
      </c>
      <c r="U396" s="55">
        <v>2</v>
      </c>
      <c r="V396" s="55" t="s">
        <v>1688</v>
      </c>
      <c r="Y396" s="55" t="s">
        <v>1850</v>
      </c>
      <c r="Z396" s="55" t="s">
        <v>1346</v>
      </c>
      <c r="AA396" s="90" t="s">
        <v>1675</v>
      </c>
      <c r="AH396" s="55" t="s">
        <v>1572</v>
      </c>
      <c r="AN396" s="185" t="s">
        <v>1494</v>
      </c>
      <c r="AO396" s="185" t="s">
        <v>5150</v>
      </c>
      <c r="AQ396" s="55" t="s">
        <v>553</v>
      </c>
      <c r="AR396" s="55" t="s">
        <v>345</v>
      </c>
      <c r="AS396" s="55" t="s">
        <v>227</v>
      </c>
      <c r="AU396" s="181" t="s">
        <v>7494</v>
      </c>
      <c r="AV396" s="185" t="s">
        <v>176</v>
      </c>
      <c r="AX396" s="185" t="s">
        <v>176</v>
      </c>
      <c r="BE396" s="226" t="s">
        <v>338</v>
      </c>
      <c r="BF396" s="191" t="s">
        <v>479</v>
      </c>
      <c r="BG396" s="55" t="s">
        <v>479</v>
      </c>
      <c r="BH396" s="226" t="s">
        <v>338</v>
      </c>
      <c r="BI396" s="55" t="s">
        <v>479</v>
      </c>
      <c r="BJ396" s="55" t="s">
        <v>176</v>
      </c>
      <c r="BK396" s="55" t="s">
        <v>5976</v>
      </c>
      <c r="BM396" s="192" t="s">
        <v>160</v>
      </c>
      <c r="BN396" s="55">
        <v>4</v>
      </c>
      <c r="BO396" s="55">
        <v>4</v>
      </c>
      <c r="BQ396" s="55" t="s">
        <v>141</v>
      </c>
      <c r="CB396" s="66">
        <v>147.15</v>
      </c>
      <c r="CC396" s="66">
        <v>135.15</v>
      </c>
      <c r="GP396" s="292" t="s">
        <v>7494</v>
      </c>
      <c r="HS396" s="227"/>
      <c r="HW396" s="227"/>
    </row>
    <row r="397" spans="1:231" x14ac:dyDescent="0.25">
      <c r="A397" s="55">
        <v>396</v>
      </c>
      <c r="B397" s="12" t="s">
        <v>7067</v>
      </c>
      <c r="C397" s="155">
        <v>23</v>
      </c>
      <c r="D397" s="55" t="s">
        <v>3765</v>
      </c>
      <c r="E397" s="90" t="s">
        <v>335</v>
      </c>
      <c r="G397" s="55" t="s">
        <v>336</v>
      </c>
      <c r="H397" s="55">
        <v>2016</v>
      </c>
      <c r="I397" s="55">
        <v>2010</v>
      </c>
      <c r="J397" s="55" t="s">
        <v>350</v>
      </c>
      <c r="K397" s="55" t="s">
        <v>340</v>
      </c>
      <c r="L397" s="55" t="s">
        <v>2737</v>
      </c>
      <c r="M397" s="90">
        <v>38.92</v>
      </c>
      <c r="N397" s="90">
        <v>-76.150000000000006</v>
      </c>
      <c r="O397" s="90">
        <v>4.8</v>
      </c>
      <c r="U397" s="55">
        <v>2</v>
      </c>
      <c r="V397" s="55" t="s">
        <v>1688</v>
      </c>
      <c r="Y397" s="55" t="s">
        <v>1844</v>
      </c>
      <c r="Z397" s="55" t="s">
        <v>1346</v>
      </c>
      <c r="AA397" s="90" t="s">
        <v>1675</v>
      </c>
      <c r="AH397" s="55" t="s">
        <v>1572</v>
      </c>
      <c r="AN397" s="185" t="s">
        <v>1494</v>
      </c>
      <c r="AO397" s="185" t="s">
        <v>5150</v>
      </c>
      <c r="AQ397" s="55" t="s">
        <v>553</v>
      </c>
      <c r="AR397" s="55" t="s">
        <v>345</v>
      </c>
      <c r="AS397" s="55" t="s">
        <v>227</v>
      </c>
      <c r="AU397" s="181" t="s">
        <v>7494</v>
      </c>
      <c r="AV397" s="185" t="s">
        <v>176</v>
      </c>
      <c r="AX397" s="185" t="s">
        <v>176</v>
      </c>
      <c r="BE397" s="226" t="s">
        <v>338</v>
      </c>
      <c r="BF397" s="191" t="s">
        <v>479</v>
      </c>
      <c r="BG397" s="55" t="s">
        <v>479</v>
      </c>
      <c r="BH397" s="226" t="s">
        <v>338</v>
      </c>
      <c r="BI397" s="55" t="s">
        <v>479</v>
      </c>
      <c r="BJ397" s="55" t="s">
        <v>176</v>
      </c>
      <c r="BK397" s="55" t="s">
        <v>5976</v>
      </c>
      <c r="BM397" s="192" t="s">
        <v>160</v>
      </c>
      <c r="BN397" s="55">
        <v>4</v>
      </c>
      <c r="BO397" s="55">
        <v>4</v>
      </c>
      <c r="BQ397" s="55" t="s">
        <v>141</v>
      </c>
      <c r="CB397" s="66">
        <v>212.21</v>
      </c>
      <c r="CC397" s="66">
        <v>177.71</v>
      </c>
      <c r="GP397" s="292" t="s">
        <v>7494</v>
      </c>
      <c r="HS397" s="227"/>
      <c r="HW397" s="227"/>
    </row>
    <row r="398" spans="1:231" x14ac:dyDescent="0.25">
      <c r="A398" s="55">
        <v>397</v>
      </c>
      <c r="B398" s="12" t="s">
        <v>7067</v>
      </c>
      <c r="C398" s="155">
        <v>23</v>
      </c>
      <c r="D398" s="55" t="s">
        <v>3765</v>
      </c>
      <c r="E398" s="90" t="s">
        <v>335</v>
      </c>
      <c r="G398" s="55" t="s">
        <v>336</v>
      </c>
      <c r="H398" s="55">
        <v>2016</v>
      </c>
      <c r="I398" s="55">
        <v>2010</v>
      </c>
      <c r="J398" s="55" t="s">
        <v>350</v>
      </c>
      <c r="K398" s="55" t="s">
        <v>340</v>
      </c>
      <c r="L398" s="55" t="s">
        <v>2737</v>
      </c>
      <c r="M398" s="90">
        <v>38.92</v>
      </c>
      <c r="N398" s="90">
        <v>-76.150000000000006</v>
      </c>
      <c r="O398" s="90">
        <v>4.8</v>
      </c>
      <c r="U398" s="55">
        <v>2</v>
      </c>
      <c r="V398" s="55" t="s">
        <v>1688</v>
      </c>
      <c r="Y398" s="55" t="s">
        <v>1845</v>
      </c>
      <c r="Z398" s="55" t="s">
        <v>1346</v>
      </c>
      <c r="AA398" s="90" t="s">
        <v>1675</v>
      </c>
      <c r="AH398" s="55" t="s">
        <v>1572</v>
      </c>
      <c r="AN398" s="185" t="s">
        <v>1494</v>
      </c>
      <c r="AO398" s="185" t="s">
        <v>5150</v>
      </c>
      <c r="AQ398" s="55" t="s">
        <v>553</v>
      </c>
      <c r="AR398" s="55" t="s">
        <v>345</v>
      </c>
      <c r="AS398" s="55" t="s">
        <v>227</v>
      </c>
      <c r="AU398" s="181" t="s">
        <v>7494</v>
      </c>
      <c r="AV398" s="185" t="s">
        <v>176</v>
      </c>
      <c r="AX398" s="185" t="s">
        <v>176</v>
      </c>
      <c r="BE398" s="226" t="s">
        <v>338</v>
      </c>
      <c r="BF398" s="191" t="s">
        <v>479</v>
      </c>
      <c r="BG398" s="55" t="s">
        <v>479</v>
      </c>
      <c r="BH398" s="226" t="s">
        <v>338</v>
      </c>
      <c r="BI398" s="55" t="s">
        <v>479</v>
      </c>
      <c r="BJ398" s="55" t="s">
        <v>176</v>
      </c>
      <c r="BK398" s="55" t="s">
        <v>5976</v>
      </c>
      <c r="BM398" s="192" t="s">
        <v>160</v>
      </c>
      <c r="BN398" s="55">
        <v>4</v>
      </c>
      <c r="BO398" s="55">
        <v>4</v>
      </c>
      <c r="BQ398" s="55" t="s">
        <v>141</v>
      </c>
      <c r="CB398" s="66">
        <v>215.25</v>
      </c>
      <c r="CC398" s="66">
        <v>163.25</v>
      </c>
      <c r="GP398" s="292" t="s">
        <v>7494</v>
      </c>
      <c r="HS398" s="227"/>
      <c r="HW398" s="227"/>
    </row>
    <row r="399" spans="1:231" x14ac:dyDescent="0.25">
      <c r="A399" s="55">
        <v>398</v>
      </c>
      <c r="B399" s="12" t="s">
        <v>7067</v>
      </c>
      <c r="C399" s="155">
        <v>23</v>
      </c>
      <c r="D399" s="55" t="s">
        <v>3765</v>
      </c>
      <c r="E399" s="90" t="s">
        <v>335</v>
      </c>
      <c r="G399" s="55" t="s">
        <v>336</v>
      </c>
      <c r="H399" s="55">
        <v>2016</v>
      </c>
      <c r="I399" s="55">
        <v>2010</v>
      </c>
      <c r="J399" s="55" t="s">
        <v>350</v>
      </c>
      <c r="K399" s="55" t="s">
        <v>340</v>
      </c>
      <c r="L399" s="55" t="s">
        <v>2737</v>
      </c>
      <c r="M399" s="90">
        <v>38.92</v>
      </c>
      <c r="N399" s="90">
        <v>-76.150000000000006</v>
      </c>
      <c r="O399" s="90">
        <v>4.8</v>
      </c>
      <c r="U399" s="55">
        <v>2</v>
      </c>
      <c r="V399" s="55" t="s">
        <v>1688</v>
      </c>
      <c r="Y399" s="55" t="s">
        <v>1846</v>
      </c>
      <c r="Z399" s="55" t="s">
        <v>1346</v>
      </c>
      <c r="AA399" s="90" t="s">
        <v>1675</v>
      </c>
      <c r="AH399" s="55" t="s">
        <v>1572</v>
      </c>
      <c r="AN399" s="185" t="s">
        <v>1494</v>
      </c>
      <c r="AO399" s="185" t="s">
        <v>5150</v>
      </c>
      <c r="AQ399" s="55" t="s">
        <v>553</v>
      </c>
      <c r="AR399" s="55" t="s">
        <v>345</v>
      </c>
      <c r="AS399" s="55" t="s">
        <v>227</v>
      </c>
      <c r="AU399" s="181" t="s">
        <v>7494</v>
      </c>
      <c r="AV399" s="185" t="s">
        <v>176</v>
      </c>
      <c r="AX399" s="185" t="s">
        <v>176</v>
      </c>
      <c r="BE399" s="226" t="s">
        <v>338</v>
      </c>
      <c r="BF399" s="191" t="s">
        <v>479</v>
      </c>
      <c r="BG399" s="55" t="s">
        <v>479</v>
      </c>
      <c r="BH399" s="226" t="s">
        <v>338</v>
      </c>
      <c r="BI399" s="55" t="s">
        <v>479</v>
      </c>
      <c r="BJ399" s="55" t="s">
        <v>176</v>
      </c>
      <c r="BK399" s="55" t="s">
        <v>5976</v>
      </c>
      <c r="BM399" s="192" t="s">
        <v>160</v>
      </c>
      <c r="BN399" s="55">
        <v>4</v>
      </c>
      <c r="BO399" s="55">
        <v>4</v>
      </c>
      <c r="BQ399" s="55" t="s">
        <v>141</v>
      </c>
      <c r="CB399" s="66">
        <v>182.28</v>
      </c>
      <c r="CC399" s="66">
        <v>130.79</v>
      </c>
      <c r="GP399" s="292" t="s">
        <v>7494</v>
      </c>
      <c r="HS399" s="227"/>
      <c r="HW399" s="227"/>
    </row>
    <row r="400" spans="1:231" x14ac:dyDescent="0.25">
      <c r="A400" s="55">
        <v>399</v>
      </c>
      <c r="B400" s="12" t="s">
        <v>7067</v>
      </c>
      <c r="C400" s="155">
        <v>23</v>
      </c>
      <c r="D400" s="55" t="s">
        <v>3765</v>
      </c>
      <c r="E400" s="90" t="s">
        <v>335</v>
      </c>
      <c r="G400" s="55" t="s">
        <v>336</v>
      </c>
      <c r="H400" s="55">
        <v>2016</v>
      </c>
      <c r="I400" s="55">
        <v>2010</v>
      </c>
      <c r="J400" s="55" t="s">
        <v>350</v>
      </c>
      <c r="K400" s="55" t="s">
        <v>340</v>
      </c>
      <c r="L400" s="55" t="s">
        <v>2737</v>
      </c>
      <c r="M400" s="90">
        <v>38.92</v>
      </c>
      <c r="N400" s="90">
        <v>-76.150000000000006</v>
      </c>
      <c r="O400" s="90">
        <v>4.8</v>
      </c>
      <c r="U400" s="55">
        <v>2</v>
      </c>
      <c r="V400" s="55" t="s">
        <v>1688</v>
      </c>
      <c r="Y400" s="55" t="s">
        <v>1848</v>
      </c>
      <c r="Z400" s="55" t="s">
        <v>1346</v>
      </c>
      <c r="AA400" s="90" t="s">
        <v>1675</v>
      </c>
      <c r="AH400" s="55" t="s">
        <v>1572</v>
      </c>
      <c r="AN400" s="185" t="s">
        <v>1494</v>
      </c>
      <c r="AO400" s="185" t="s">
        <v>5150</v>
      </c>
      <c r="AQ400" s="55" t="s">
        <v>553</v>
      </c>
      <c r="AR400" s="55" t="s">
        <v>345</v>
      </c>
      <c r="AS400" s="55" t="s">
        <v>227</v>
      </c>
      <c r="AU400" s="181" t="s">
        <v>7494</v>
      </c>
      <c r="AV400" s="185" t="s">
        <v>176</v>
      </c>
      <c r="AX400" s="185" t="s">
        <v>176</v>
      </c>
      <c r="BE400" s="226" t="s">
        <v>338</v>
      </c>
      <c r="BF400" s="191" t="s">
        <v>479</v>
      </c>
      <c r="BG400" s="55" t="s">
        <v>479</v>
      </c>
      <c r="BH400" s="226" t="s">
        <v>338</v>
      </c>
      <c r="BI400" s="55" t="s">
        <v>479</v>
      </c>
      <c r="BJ400" s="55" t="s">
        <v>176</v>
      </c>
      <c r="BK400" s="55" t="s">
        <v>5976</v>
      </c>
      <c r="BM400" s="192" t="s">
        <v>160</v>
      </c>
      <c r="BN400" s="55">
        <v>4</v>
      </c>
      <c r="BO400" s="55">
        <v>4</v>
      </c>
      <c r="BQ400" s="55" t="s">
        <v>141</v>
      </c>
      <c r="CB400" s="66">
        <v>163.34</v>
      </c>
      <c r="CC400" s="66">
        <v>163.34</v>
      </c>
      <c r="GP400" s="292" t="s">
        <v>7494</v>
      </c>
      <c r="HS400" s="227"/>
      <c r="HW400" s="227"/>
    </row>
    <row r="401" spans="1:231" x14ac:dyDescent="0.25">
      <c r="A401" s="55">
        <v>400</v>
      </c>
      <c r="B401" s="12" t="s">
        <v>7067</v>
      </c>
      <c r="C401" s="155">
        <v>23</v>
      </c>
      <c r="D401" s="55" t="s">
        <v>3765</v>
      </c>
      <c r="E401" s="90" t="s">
        <v>335</v>
      </c>
      <c r="G401" s="55" t="s">
        <v>336</v>
      </c>
      <c r="H401" s="55">
        <v>2016</v>
      </c>
      <c r="I401" s="55">
        <v>2010</v>
      </c>
      <c r="J401" s="55" t="s">
        <v>350</v>
      </c>
      <c r="K401" s="55" t="s">
        <v>340</v>
      </c>
      <c r="L401" s="55" t="s">
        <v>2737</v>
      </c>
      <c r="M401" s="90">
        <v>38.92</v>
      </c>
      <c r="N401" s="90">
        <v>-76.150000000000006</v>
      </c>
      <c r="O401" s="90">
        <v>4.8</v>
      </c>
      <c r="U401" s="55">
        <v>2</v>
      </c>
      <c r="V401" s="55" t="s">
        <v>1688</v>
      </c>
      <c r="Y401" s="55" t="s">
        <v>1851</v>
      </c>
      <c r="Z401" s="55" t="s">
        <v>1346</v>
      </c>
      <c r="AA401" s="90" t="s">
        <v>1675</v>
      </c>
      <c r="AH401" s="55" t="s">
        <v>1572</v>
      </c>
      <c r="AN401" s="185" t="s">
        <v>1494</v>
      </c>
      <c r="AO401" s="185" t="s">
        <v>5150</v>
      </c>
      <c r="AQ401" s="55" t="s">
        <v>553</v>
      </c>
      <c r="AR401" s="55" t="s">
        <v>345</v>
      </c>
      <c r="AS401" s="55" t="s">
        <v>227</v>
      </c>
      <c r="AU401" s="181" t="s">
        <v>7494</v>
      </c>
      <c r="AV401" s="185" t="s">
        <v>176</v>
      </c>
      <c r="AX401" s="185" t="s">
        <v>176</v>
      </c>
      <c r="BE401" s="226" t="s">
        <v>338</v>
      </c>
      <c r="BF401" s="191" t="s">
        <v>479</v>
      </c>
      <c r="BG401" s="55" t="s">
        <v>479</v>
      </c>
      <c r="BH401" s="226" t="s">
        <v>338</v>
      </c>
      <c r="BI401" s="55" t="s">
        <v>479</v>
      </c>
      <c r="BJ401" s="55" t="s">
        <v>176</v>
      </c>
      <c r="BK401" s="55" t="s">
        <v>5976</v>
      </c>
      <c r="BM401" s="192" t="s">
        <v>160</v>
      </c>
      <c r="BN401" s="55">
        <v>4</v>
      </c>
      <c r="BO401" s="55">
        <v>4</v>
      </c>
      <c r="BQ401" s="55" t="s">
        <v>141</v>
      </c>
      <c r="CB401" s="66">
        <v>160.38</v>
      </c>
      <c r="CC401" s="66">
        <v>101.88</v>
      </c>
      <c r="GP401" s="292" t="s">
        <v>7494</v>
      </c>
      <c r="HS401" s="227"/>
      <c r="HW401" s="227"/>
    </row>
    <row r="402" spans="1:231" x14ac:dyDescent="0.25">
      <c r="A402" s="55">
        <v>401</v>
      </c>
      <c r="B402" s="12" t="s">
        <v>7067</v>
      </c>
      <c r="C402" s="155">
        <v>23</v>
      </c>
      <c r="D402" s="55" t="s">
        <v>3765</v>
      </c>
      <c r="E402" s="90" t="s">
        <v>335</v>
      </c>
      <c r="G402" s="55" t="s">
        <v>336</v>
      </c>
      <c r="H402" s="55">
        <v>2016</v>
      </c>
      <c r="I402" s="55">
        <v>2010</v>
      </c>
      <c r="J402" s="55" t="s">
        <v>350</v>
      </c>
      <c r="K402" s="55" t="s">
        <v>340</v>
      </c>
      <c r="L402" s="55" t="s">
        <v>2737</v>
      </c>
      <c r="M402" s="90">
        <v>38.92</v>
      </c>
      <c r="N402" s="90">
        <v>-76.150000000000006</v>
      </c>
      <c r="O402" s="90">
        <v>4.8</v>
      </c>
      <c r="U402" s="55">
        <v>2</v>
      </c>
      <c r="V402" s="55" t="s">
        <v>1688</v>
      </c>
      <c r="Y402" s="55" t="s">
        <v>1852</v>
      </c>
      <c r="Z402" s="55" t="s">
        <v>1346</v>
      </c>
      <c r="AA402" s="90" t="s">
        <v>1675</v>
      </c>
      <c r="AH402" s="55" t="s">
        <v>1572</v>
      </c>
      <c r="AN402" s="185" t="s">
        <v>1494</v>
      </c>
      <c r="AO402" s="185" t="s">
        <v>5150</v>
      </c>
      <c r="AQ402" s="55" t="s">
        <v>553</v>
      </c>
      <c r="AR402" s="55" t="s">
        <v>345</v>
      </c>
      <c r="AS402" s="55" t="s">
        <v>227</v>
      </c>
      <c r="AU402" s="181" t="s">
        <v>7494</v>
      </c>
      <c r="AV402" s="185" t="s">
        <v>176</v>
      </c>
      <c r="AX402" s="185" t="s">
        <v>176</v>
      </c>
      <c r="BE402" s="226" t="s">
        <v>338</v>
      </c>
      <c r="BF402" s="191" t="s">
        <v>479</v>
      </c>
      <c r="BG402" s="55" t="s">
        <v>479</v>
      </c>
      <c r="BH402" s="226" t="s">
        <v>338</v>
      </c>
      <c r="BI402" s="55" t="s">
        <v>479</v>
      </c>
      <c r="BJ402" s="55" t="s">
        <v>176</v>
      </c>
      <c r="BK402" s="55" t="s">
        <v>5976</v>
      </c>
      <c r="BM402" s="192" t="s">
        <v>160</v>
      </c>
      <c r="BN402" s="55">
        <v>4</v>
      </c>
      <c r="BO402" s="55">
        <v>4</v>
      </c>
      <c r="BQ402" s="55" t="s">
        <v>141</v>
      </c>
      <c r="CB402" s="66">
        <v>160.44</v>
      </c>
      <c r="CC402" s="66">
        <v>95.94</v>
      </c>
      <c r="GP402" s="292" t="s">
        <v>7494</v>
      </c>
      <c r="HS402" s="227"/>
      <c r="HW402" s="227"/>
    </row>
    <row r="403" spans="1:231" x14ac:dyDescent="0.25">
      <c r="A403" s="55">
        <v>402</v>
      </c>
      <c r="B403" s="12" t="s">
        <v>7067</v>
      </c>
      <c r="C403" s="155">
        <v>23</v>
      </c>
      <c r="D403" s="55" t="s">
        <v>3765</v>
      </c>
      <c r="E403" s="90" t="s">
        <v>335</v>
      </c>
      <c r="G403" s="55" t="s">
        <v>336</v>
      </c>
      <c r="H403" s="55">
        <v>2016</v>
      </c>
      <c r="I403" s="55">
        <v>2010</v>
      </c>
      <c r="J403" s="55" t="s">
        <v>350</v>
      </c>
      <c r="K403" s="55" t="s">
        <v>339</v>
      </c>
      <c r="L403" s="55" t="s">
        <v>2737</v>
      </c>
      <c r="M403" s="90">
        <v>38.82</v>
      </c>
      <c r="N403" s="90">
        <v>-76.75</v>
      </c>
      <c r="O403" s="90">
        <v>5.5</v>
      </c>
      <c r="U403" s="55">
        <v>2</v>
      </c>
      <c r="V403" s="55" t="s">
        <v>1688</v>
      </c>
      <c r="Y403" s="55" t="s">
        <v>1853</v>
      </c>
      <c r="Z403" s="55" t="s">
        <v>1346</v>
      </c>
      <c r="AA403" s="90" t="s">
        <v>1675</v>
      </c>
      <c r="AH403" s="55" t="s">
        <v>1572</v>
      </c>
      <c r="AN403" s="185" t="s">
        <v>1494</v>
      </c>
      <c r="AO403" s="185" t="s">
        <v>5150</v>
      </c>
      <c r="AQ403" s="55" t="s">
        <v>553</v>
      </c>
      <c r="AR403" s="55" t="s">
        <v>345</v>
      </c>
      <c r="AS403" s="55" t="s">
        <v>227</v>
      </c>
      <c r="AU403" s="181" t="s">
        <v>7494</v>
      </c>
      <c r="AV403" s="185" t="s">
        <v>176</v>
      </c>
      <c r="AX403" s="185" t="s">
        <v>176</v>
      </c>
      <c r="BE403" s="226" t="s">
        <v>338</v>
      </c>
      <c r="BF403" s="191" t="s">
        <v>479</v>
      </c>
      <c r="BG403" s="55" t="s">
        <v>479</v>
      </c>
      <c r="BH403" s="226" t="s">
        <v>338</v>
      </c>
      <c r="BI403" s="55" t="s">
        <v>479</v>
      </c>
      <c r="BJ403" s="55" t="s">
        <v>176</v>
      </c>
      <c r="BK403" s="55" t="s">
        <v>5976</v>
      </c>
      <c r="BM403" s="192" t="s">
        <v>160</v>
      </c>
      <c r="BN403" s="55">
        <v>4</v>
      </c>
      <c r="BO403" s="55">
        <v>4</v>
      </c>
      <c r="BQ403" s="55" t="s">
        <v>141</v>
      </c>
      <c r="CB403" s="66">
        <v>129.25</v>
      </c>
      <c r="CC403" s="66">
        <v>1</v>
      </c>
      <c r="GP403" s="292" t="s">
        <v>7494</v>
      </c>
      <c r="HS403" s="227"/>
      <c r="HW403" s="227"/>
    </row>
    <row r="404" spans="1:231" x14ac:dyDescent="0.25">
      <c r="A404" s="55">
        <v>403</v>
      </c>
      <c r="B404" s="12" t="s">
        <v>7067</v>
      </c>
      <c r="C404" s="155">
        <v>23</v>
      </c>
      <c r="D404" s="55" t="s">
        <v>3765</v>
      </c>
      <c r="E404" s="90" t="s">
        <v>335</v>
      </c>
      <c r="G404" s="55" t="s">
        <v>336</v>
      </c>
      <c r="H404" s="55">
        <v>2016</v>
      </c>
      <c r="I404" s="55">
        <v>2010</v>
      </c>
      <c r="J404" s="55" t="s">
        <v>350</v>
      </c>
      <c r="K404" s="55" t="s">
        <v>339</v>
      </c>
      <c r="L404" s="55" t="s">
        <v>2737</v>
      </c>
      <c r="M404" s="90">
        <v>38.82</v>
      </c>
      <c r="N404" s="90">
        <v>-76.75</v>
      </c>
      <c r="O404" s="90">
        <v>5.5</v>
      </c>
      <c r="U404" s="55">
        <v>2</v>
      </c>
      <c r="V404" s="55" t="s">
        <v>1688</v>
      </c>
      <c r="Y404" s="55" t="s">
        <v>1854</v>
      </c>
      <c r="Z404" s="55" t="s">
        <v>1346</v>
      </c>
      <c r="AA404" s="90" t="s">
        <v>1675</v>
      </c>
      <c r="AH404" s="55" t="s">
        <v>1572</v>
      </c>
      <c r="AN404" s="185" t="s">
        <v>1494</v>
      </c>
      <c r="AO404" s="185" t="s">
        <v>5150</v>
      </c>
      <c r="AQ404" s="55" t="s">
        <v>553</v>
      </c>
      <c r="AR404" s="55" t="s">
        <v>345</v>
      </c>
      <c r="AS404" s="55" t="s">
        <v>227</v>
      </c>
      <c r="AU404" s="181" t="s">
        <v>7494</v>
      </c>
      <c r="AV404" s="185" t="s">
        <v>176</v>
      </c>
      <c r="AX404" s="185" t="s">
        <v>176</v>
      </c>
      <c r="BE404" s="226" t="s">
        <v>338</v>
      </c>
      <c r="BF404" s="191" t="s">
        <v>479</v>
      </c>
      <c r="BG404" s="55" t="s">
        <v>479</v>
      </c>
      <c r="BH404" s="226" t="s">
        <v>338</v>
      </c>
      <c r="BI404" s="55" t="s">
        <v>479</v>
      </c>
      <c r="BJ404" s="55" t="s">
        <v>176</v>
      </c>
      <c r="BK404" s="55" t="s">
        <v>5976</v>
      </c>
      <c r="BM404" s="192" t="s">
        <v>160</v>
      </c>
      <c r="BN404" s="55">
        <v>4</v>
      </c>
      <c r="BO404" s="55">
        <v>4</v>
      </c>
      <c r="BQ404" s="55" t="s">
        <v>141</v>
      </c>
      <c r="CB404" s="66">
        <v>727.89</v>
      </c>
      <c r="CC404" s="66">
        <v>68.03</v>
      </c>
      <c r="GP404" s="292" t="s">
        <v>7494</v>
      </c>
      <c r="HS404" s="227"/>
      <c r="HW404" s="227"/>
    </row>
    <row r="405" spans="1:231" x14ac:dyDescent="0.25">
      <c r="A405" s="55">
        <v>404</v>
      </c>
      <c r="B405" s="12" t="s">
        <v>7067</v>
      </c>
      <c r="C405" s="155">
        <v>23</v>
      </c>
      <c r="D405" s="55" t="s">
        <v>3765</v>
      </c>
      <c r="E405" s="90" t="s">
        <v>335</v>
      </c>
      <c r="G405" s="55" t="s">
        <v>336</v>
      </c>
      <c r="H405" s="55">
        <v>2016</v>
      </c>
      <c r="I405" s="55">
        <v>2010</v>
      </c>
      <c r="J405" s="55" t="s">
        <v>350</v>
      </c>
      <c r="K405" s="55" t="s">
        <v>339</v>
      </c>
      <c r="L405" s="55" t="s">
        <v>2737</v>
      </c>
      <c r="M405" s="90">
        <v>38.82</v>
      </c>
      <c r="N405" s="90">
        <v>-76.75</v>
      </c>
      <c r="O405" s="90">
        <v>5.5</v>
      </c>
      <c r="U405" s="55">
        <v>2</v>
      </c>
      <c r="V405" s="55" t="s">
        <v>1688</v>
      </c>
      <c r="Y405" s="55" t="s">
        <v>1842</v>
      </c>
      <c r="Z405" s="55" t="s">
        <v>1346</v>
      </c>
      <c r="AA405" s="90" t="s">
        <v>1675</v>
      </c>
      <c r="AH405" s="55" t="s">
        <v>1572</v>
      </c>
      <c r="AN405" s="185" t="s">
        <v>1494</v>
      </c>
      <c r="AO405" s="185" t="s">
        <v>5150</v>
      </c>
      <c r="AQ405" s="55" t="s">
        <v>553</v>
      </c>
      <c r="AR405" s="55" t="s">
        <v>345</v>
      </c>
      <c r="AS405" s="55" t="s">
        <v>227</v>
      </c>
      <c r="AU405" s="181" t="s">
        <v>7494</v>
      </c>
      <c r="AV405" s="185" t="s">
        <v>176</v>
      </c>
      <c r="AX405" s="185" t="s">
        <v>176</v>
      </c>
      <c r="BE405" s="226" t="s">
        <v>338</v>
      </c>
      <c r="BF405" s="191" t="s">
        <v>479</v>
      </c>
      <c r="BG405" s="55" t="s">
        <v>479</v>
      </c>
      <c r="BH405" s="226" t="s">
        <v>338</v>
      </c>
      <c r="BI405" s="55" t="s">
        <v>479</v>
      </c>
      <c r="BJ405" s="55" t="s">
        <v>176</v>
      </c>
      <c r="BK405" s="55" t="s">
        <v>5976</v>
      </c>
      <c r="BM405" s="192" t="s">
        <v>160</v>
      </c>
      <c r="BN405" s="55">
        <v>4</v>
      </c>
      <c r="BO405" s="55">
        <v>4</v>
      </c>
      <c r="BQ405" s="55" t="s">
        <v>141</v>
      </c>
      <c r="CB405" s="66">
        <v>619.04999999999995</v>
      </c>
      <c r="CC405" s="66">
        <v>231.29</v>
      </c>
      <c r="GP405" s="292" t="s">
        <v>7494</v>
      </c>
      <c r="HS405" s="227"/>
      <c r="HW405" s="227"/>
    </row>
    <row r="406" spans="1:231" x14ac:dyDescent="0.25">
      <c r="A406" s="55">
        <v>405</v>
      </c>
      <c r="B406" s="12" t="s">
        <v>7067</v>
      </c>
      <c r="C406" s="155">
        <v>23</v>
      </c>
      <c r="D406" s="55" t="s">
        <v>3765</v>
      </c>
      <c r="E406" s="90" t="s">
        <v>335</v>
      </c>
      <c r="G406" s="55" t="s">
        <v>336</v>
      </c>
      <c r="H406" s="55">
        <v>2016</v>
      </c>
      <c r="I406" s="55">
        <v>2010</v>
      </c>
      <c r="J406" s="55" t="s">
        <v>350</v>
      </c>
      <c r="K406" s="55" t="s">
        <v>339</v>
      </c>
      <c r="L406" s="55" t="s">
        <v>2737</v>
      </c>
      <c r="M406" s="90">
        <v>38.82</v>
      </c>
      <c r="N406" s="90">
        <v>-76.75</v>
      </c>
      <c r="O406" s="90">
        <v>5.5</v>
      </c>
      <c r="U406" s="55">
        <v>2</v>
      </c>
      <c r="V406" s="55" t="s">
        <v>1688</v>
      </c>
      <c r="Y406" s="55" t="s">
        <v>1843</v>
      </c>
      <c r="Z406" s="55" t="s">
        <v>1346</v>
      </c>
      <c r="AA406" s="90" t="s">
        <v>1675</v>
      </c>
      <c r="AH406" s="55" t="s">
        <v>1572</v>
      </c>
      <c r="AN406" s="185" t="s">
        <v>1494</v>
      </c>
      <c r="AO406" s="185" t="s">
        <v>5150</v>
      </c>
      <c r="AQ406" s="55" t="s">
        <v>553</v>
      </c>
      <c r="AR406" s="55" t="s">
        <v>345</v>
      </c>
      <c r="AS406" s="55" t="s">
        <v>227</v>
      </c>
      <c r="AU406" s="181" t="s">
        <v>7494</v>
      </c>
      <c r="AV406" s="185" t="s">
        <v>176</v>
      </c>
      <c r="AX406" s="185" t="s">
        <v>176</v>
      </c>
      <c r="BE406" s="226" t="s">
        <v>338</v>
      </c>
      <c r="BF406" s="191" t="s">
        <v>479</v>
      </c>
      <c r="BG406" s="55" t="s">
        <v>479</v>
      </c>
      <c r="BH406" s="226" t="s">
        <v>338</v>
      </c>
      <c r="BI406" s="55" t="s">
        <v>479</v>
      </c>
      <c r="BJ406" s="55" t="s">
        <v>176</v>
      </c>
      <c r="BK406" s="55" t="s">
        <v>5976</v>
      </c>
      <c r="BM406" s="192" t="s">
        <v>160</v>
      </c>
      <c r="BN406" s="55">
        <v>4</v>
      </c>
      <c r="BO406" s="55">
        <v>4</v>
      </c>
      <c r="BQ406" s="55" t="s">
        <v>141</v>
      </c>
      <c r="CB406" s="66">
        <v>591.84</v>
      </c>
      <c r="CC406" s="66">
        <v>81.63</v>
      </c>
      <c r="GP406" s="292" t="s">
        <v>7494</v>
      </c>
      <c r="HS406" s="227"/>
      <c r="HW406" s="227"/>
    </row>
    <row r="407" spans="1:231" x14ac:dyDescent="0.25">
      <c r="A407" s="55">
        <v>406</v>
      </c>
      <c r="B407" s="12" t="s">
        <v>7067</v>
      </c>
      <c r="C407" s="155">
        <v>23</v>
      </c>
      <c r="D407" s="55" t="s">
        <v>3765</v>
      </c>
      <c r="E407" s="90" t="s">
        <v>335</v>
      </c>
      <c r="G407" s="55" t="s">
        <v>336</v>
      </c>
      <c r="H407" s="55">
        <v>2016</v>
      </c>
      <c r="I407" s="55">
        <v>2010</v>
      </c>
      <c r="J407" s="55" t="s">
        <v>350</v>
      </c>
      <c r="K407" s="55" t="s">
        <v>339</v>
      </c>
      <c r="L407" s="55" t="s">
        <v>2737</v>
      </c>
      <c r="M407" s="90">
        <v>38.82</v>
      </c>
      <c r="N407" s="90">
        <v>-76.75</v>
      </c>
      <c r="O407" s="90">
        <v>5.5</v>
      </c>
      <c r="U407" s="55">
        <v>2</v>
      </c>
      <c r="V407" s="55" t="s">
        <v>1688</v>
      </c>
      <c r="Y407" s="55" t="s">
        <v>1855</v>
      </c>
      <c r="Z407" s="55" t="s">
        <v>1346</v>
      </c>
      <c r="AA407" s="90" t="s">
        <v>1675</v>
      </c>
      <c r="AH407" s="55" t="s">
        <v>1572</v>
      </c>
      <c r="AN407" s="185" t="s">
        <v>1494</v>
      </c>
      <c r="AO407" s="185" t="s">
        <v>5150</v>
      </c>
      <c r="AQ407" s="55" t="s">
        <v>553</v>
      </c>
      <c r="AR407" s="55" t="s">
        <v>345</v>
      </c>
      <c r="AS407" s="55" t="s">
        <v>227</v>
      </c>
      <c r="AU407" s="181" t="s">
        <v>7494</v>
      </c>
      <c r="AV407" s="185" t="s">
        <v>176</v>
      </c>
      <c r="AX407" s="185" t="s">
        <v>176</v>
      </c>
      <c r="BE407" s="226" t="s">
        <v>338</v>
      </c>
      <c r="BF407" s="191" t="s">
        <v>479</v>
      </c>
      <c r="BG407" s="55" t="s">
        <v>479</v>
      </c>
      <c r="BH407" s="226" t="s">
        <v>338</v>
      </c>
      <c r="BI407" s="55" t="s">
        <v>479</v>
      </c>
      <c r="BJ407" s="55" t="s">
        <v>176</v>
      </c>
      <c r="BK407" s="55" t="s">
        <v>5976</v>
      </c>
      <c r="BM407" s="192" t="s">
        <v>160</v>
      </c>
      <c r="BN407" s="55">
        <v>4</v>
      </c>
      <c r="BO407" s="55">
        <v>4</v>
      </c>
      <c r="BQ407" s="55" t="s">
        <v>141</v>
      </c>
      <c r="CB407" s="66">
        <v>401.36</v>
      </c>
      <c r="CC407" s="66">
        <v>142.86000000000001</v>
      </c>
      <c r="GP407" s="292" t="s">
        <v>7494</v>
      </c>
      <c r="HS407" s="227"/>
      <c r="HW407" s="227"/>
    </row>
    <row r="408" spans="1:231" x14ac:dyDescent="0.25">
      <c r="A408" s="55">
        <v>407</v>
      </c>
      <c r="B408" s="12" t="s">
        <v>7067</v>
      </c>
      <c r="C408" s="155">
        <v>23</v>
      </c>
      <c r="D408" s="55" t="s">
        <v>3765</v>
      </c>
      <c r="E408" s="90" t="s">
        <v>335</v>
      </c>
      <c r="G408" s="55" t="s">
        <v>336</v>
      </c>
      <c r="H408" s="55">
        <v>2016</v>
      </c>
      <c r="I408" s="55">
        <v>2010</v>
      </c>
      <c r="J408" s="55" t="s">
        <v>350</v>
      </c>
      <c r="K408" s="55" t="s">
        <v>339</v>
      </c>
      <c r="L408" s="55" t="s">
        <v>2737</v>
      </c>
      <c r="M408" s="90">
        <v>38.82</v>
      </c>
      <c r="N408" s="90">
        <v>-76.75</v>
      </c>
      <c r="O408" s="90">
        <v>5.5</v>
      </c>
      <c r="U408" s="55">
        <v>2</v>
      </c>
      <c r="V408" s="55" t="s">
        <v>1688</v>
      </c>
      <c r="Y408" s="55" t="s">
        <v>1856</v>
      </c>
      <c r="Z408" s="55" t="s">
        <v>1346</v>
      </c>
      <c r="AA408" s="90" t="s">
        <v>1675</v>
      </c>
      <c r="AH408" s="55" t="s">
        <v>1572</v>
      </c>
      <c r="AN408" s="185" t="s">
        <v>1494</v>
      </c>
      <c r="AO408" s="185" t="s">
        <v>5150</v>
      </c>
      <c r="AQ408" s="55" t="s">
        <v>553</v>
      </c>
      <c r="AR408" s="55" t="s">
        <v>345</v>
      </c>
      <c r="AS408" s="55" t="s">
        <v>227</v>
      </c>
      <c r="AU408" s="181" t="s">
        <v>7494</v>
      </c>
      <c r="AV408" s="185" t="s">
        <v>176</v>
      </c>
      <c r="AX408" s="185" t="s">
        <v>176</v>
      </c>
      <c r="BE408" s="226" t="s">
        <v>338</v>
      </c>
      <c r="BF408" s="191" t="s">
        <v>479</v>
      </c>
      <c r="BG408" s="55" t="s">
        <v>479</v>
      </c>
      <c r="BH408" s="226" t="s">
        <v>338</v>
      </c>
      <c r="BI408" s="55" t="s">
        <v>479</v>
      </c>
      <c r="BJ408" s="55" t="s">
        <v>176</v>
      </c>
      <c r="BK408" s="55" t="s">
        <v>5976</v>
      </c>
      <c r="BM408" s="192" t="s">
        <v>160</v>
      </c>
      <c r="BN408" s="55">
        <v>4</v>
      </c>
      <c r="BO408" s="55">
        <v>4</v>
      </c>
      <c r="BQ408" s="55" t="s">
        <v>141</v>
      </c>
      <c r="CB408" s="66">
        <v>1095.24</v>
      </c>
      <c r="CC408" s="66">
        <v>204.08</v>
      </c>
      <c r="GP408" s="292" t="s">
        <v>7494</v>
      </c>
      <c r="HS408" s="227"/>
      <c r="HW408" s="227"/>
    </row>
    <row r="409" spans="1:231" x14ac:dyDescent="0.25">
      <c r="A409" s="55">
        <v>408</v>
      </c>
      <c r="B409" s="12" t="s">
        <v>7067</v>
      </c>
      <c r="C409" s="155">
        <v>23</v>
      </c>
      <c r="D409" s="55" t="s">
        <v>3765</v>
      </c>
      <c r="E409" s="90" t="s">
        <v>335</v>
      </c>
      <c r="G409" s="55" t="s">
        <v>336</v>
      </c>
      <c r="H409" s="55">
        <v>2016</v>
      </c>
      <c r="I409" s="55">
        <v>2010</v>
      </c>
      <c r="J409" s="55" t="s">
        <v>350</v>
      </c>
      <c r="K409" s="55" t="s">
        <v>339</v>
      </c>
      <c r="L409" s="55" t="s">
        <v>2737</v>
      </c>
      <c r="M409" s="90">
        <v>38.82</v>
      </c>
      <c r="N409" s="90">
        <v>-76.75</v>
      </c>
      <c r="O409" s="90">
        <v>5.5</v>
      </c>
      <c r="U409" s="55">
        <v>2</v>
      </c>
      <c r="V409" s="55" t="s">
        <v>1688</v>
      </c>
      <c r="Y409" s="55" t="s">
        <v>1857</v>
      </c>
      <c r="Z409" s="55" t="s">
        <v>1346</v>
      </c>
      <c r="AA409" s="90" t="s">
        <v>1675</v>
      </c>
      <c r="AH409" s="55" t="s">
        <v>1572</v>
      </c>
      <c r="AN409" s="185" t="s">
        <v>1494</v>
      </c>
      <c r="AO409" s="185" t="s">
        <v>5150</v>
      </c>
      <c r="AQ409" s="55" t="s">
        <v>553</v>
      </c>
      <c r="AR409" s="55" t="s">
        <v>345</v>
      </c>
      <c r="AS409" s="55" t="s">
        <v>227</v>
      </c>
      <c r="AU409" s="181" t="s">
        <v>7494</v>
      </c>
      <c r="AV409" s="185" t="s">
        <v>176</v>
      </c>
      <c r="AX409" s="185" t="s">
        <v>176</v>
      </c>
      <c r="BE409" s="226" t="s">
        <v>338</v>
      </c>
      <c r="BF409" s="191" t="s">
        <v>479</v>
      </c>
      <c r="BG409" s="55" t="s">
        <v>479</v>
      </c>
      <c r="BH409" s="226" t="s">
        <v>338</v>
      </c>
      <c r="BI409" s="55" t="s">
        <v>479</v>
      </c>
      <c r="BJ409" s="55" t="s">
        <v>176</v>
      </c>
      <c r="BK409" s="55" t="s">
        <v>5976</v>
      </c>
      <c r="BM409" s="192" t="s">
        <v>160</v>
      </c>
      <c r="BN409" s="55">
        <v>4</v>
      </c>
      <c r="BO409" s="55">
        <v>4</v>
      </c>
      <c r="BQ409" s="55" t="s">
        <v>141</v>
      </c>
      <c r="CB409" s="66">
        <v>1482.99</v>
      </c>
      <c r="CC409" s="66">
        <v>489.8</v>
      </c>
      <c r="GP409" s="292" t="s">
        <v>7494</v>
      </c>
      <c r="HS409" s="227"/>
      <c r="HW409" s="227"/>
    </row>
    <row r="410" spans="1:231" x14ac:dyDescent="0.25">
      <c r="A410" s="55">
        <v>409</v>
      </c>
      <c r="B410" s="12" t="s">
        <v>7067</v>
      </c>
      <c r="C410" s="155">
        <v>23</v>
      </c>
      <c r="D410" s="55" t="s">
        <v>3765</v>
      </c>
      <c r="E410" s="90" t="s">
        <v>335</v>
      </c>
      <c r="G410" s="55" t="s">
        <v>336</v>
      </c>
      <c r="H410" s="55">
        <v>2016</v>
      </c>
      <c r="I410" s="55">
        <v>2010</v>
      </c>
      <c r="J410" s="55" t="s">
        <v>350</v>
      </c>
      <c r="K410" s="55" t="s">
        <v>339</v>
      </c>
      <c r="L410" s="55" t="s">
        <v>2737</v>
      </c>
      <c r="M410" s="90">
        <v>38.82</v>
      </c>
      <c r="N410" s="90">
        <v>-76.75</v>
      </c>
      <c r="O410" s="90">
        <v>5.5</v>
      </c>
      <c r="U410" s="55">
        <v>2</v>
      </c>
      <c r="V410" s="55" t="s">
        <v>1688</v>
      </c>
      <c r="Y410" s="55" t="s">
        <v>1846</v>
      </c>
      <c r="Z410" s="55" t="s">
        <v>1346</v>
      </c>
      <c r="AA410" s="90" t="s">
        <v>1675</v>
      </c>
      <c r="AH410" s="55" t="s">
        <v>1572</v>
      </c>
      <c r="AN410" s="185" t="s">
        <v>1494</v>
      </c>
      <c r="AO410" s="185" t="s">
        <v>5150</v>
      </c>
      <c r="AQ410" s="55" t="s">
        <v>553</v>
      </c>
      <c r="AR410" s="55" t="s">
        <v>345</v>
      </c>
      <c r="AS410" s="55" t="s">
        <v>227</v>
      </c>
      <c r="AU410" s="181" t="s">
        <v>7494</v>
      </c>
      <c r="AV410" s="185" t="s">
        <v>176</v>
      </c>
      <c r="AX410" s="185" t="s">
        <v>176</v>
      </c>
      <c r="BE410" s="226" t="s">
        <v>338</v>
      </c>
      <c r="BF410" s="191" t="s">
        <v>479</v>
      </c>
      <c r="BG410" s="55" t="s">
        <v>479</v>
      </c>
      <c r="BH410" s="226" t="s">
        <v>338</v>
      </c>
      <c r="BI410" s="55" t="s">
        <v>479</v>
      </c>
      <c r="BJ410" s="55" t="s">
        <v>176</v>
      </c>
      <c r="BK410" s="55" t="s">
        <v>5976</v>
      </c>
      <c r="BM410" s="192" t="s">
        <v>160</v>
      </c>
      <c r="BN410" s="55">
        <v>4</v>
      </c>
      <c r="BO410" s="55">
        <v>4</v>
      </c>
      <c r="BQ410" s="55" t="s">
        <v>141</v>
      </c>
      <c r="CB410" s="66">
        <v>353.74</v>
      </c>
      <c r="CC410" s="66">
        <v>136.05000000000001</v>
      </c>
      <c r="GP410" s="292" t="s">
        <v>7494</v>
      </c>
      <c r="HS410" s="227"/>
      <c r="HW410" s="227"/>
    </row>
    <row r="411" spans="1:231" x14ac:dyDescent="0.25">
      <c r="A411" s="55">
        <v>410</v>
      </c>
      <c r="B411" s="12" t="s">
        <v>7067</v>
      </c>
      <c r="C411" s="155">
        <v>23</v>
      </c>
      <c r="D411" s="55" t="s">
        <v>3765</v>
      </c>
      <c r="E411" s="90" t="s">
        <v>335</v>
      </c>
      <c r="G411" s="55" t="s">
        <v>336</v>
      </c>
      <c r="H411" s="55">
        <v>2016</v>
      </c>
      <c r="I411" s="55">
        <v>2010</v>
      </c>
      <c r="J411" s="55" t="s">
        <v>350</v>
      </c>
      <c r="K411" s="55" t="s">
        <v>339</v>
      </c>
      <c r="L411" s="55" t="s">
        <v>2737</v>
      </c>
      <c r="M411" s="90">
        <v>38.82</v>
      </c>
      <c r="N411" s="90">
        <v>-76.75</v>
      </c>
      <c r="O411" s="90">
        <v>5.5</v>
      </c>
      <c r="U411" s="55">
        <v>2</v>
      </c>
      <c r="V411" s="55" t="s">
        <v>1688</v>
      </c>
      <c r="Y411" s="55" t="s">
        <v>1858</v>
      </c>
      <c r="Z411" s="55" t="s">
        <v>1346</v>
      </c>
      <c r="AA411" s="90" t="s">
        <v>1675</v>
      </c>
      <c r="AH411" s="55" t="s">
        <v>1572</v>
      </c>
      <c r="AN411" s="185" t="s">
        <v>1494</v>
      </c>
      <c r="AO411" s="185" t="s">
        <v>5150</v>
      </c>
      <c r="AQ411" s="55" t="s">
        <v>553</v>
      </c>
      <c r="AR411" s="55" t="s">
        <v>345</v>
      </c>
      <c r="AS411" s="55" t="s">
        <v>227</v>
      </c>
      <c r="AU411" s="181" t="s">
        <v>7494</v>
      </c>
      <c r="AV411" s="185" t="s">
        <v>176</v>
      </c>
      <c r="AX411" s="185" t="s">
        <v>176</v>
      </c>
      <c r="BE411" s="226" t="s">
        <v>338</v>
      </c>
      <c r="BF411" s="191" t="s">
        <v>479</v>
      </c>
      <c r="BG411" s="55" t="s">
        <v>479</v>
      </c>
      <c r="BH411" s="226" t="s">
        <v>338</v>
      </c>
      <c r="BI411" s="55" t="s">
        <v>479</v>
      </c>
      <c r="BJ411" s="55" t="s">
        <v>176</v>
      </c>
      <c r="BK411" s="55" t="s">
        <v>5976</v>
      </c>
      <c r="BM411" s="192" t="s">
        <v>160</v>
      </c>
      <c r="BN411" s="55">
        <v>4</v>
      </c>
      <c r="BO411" s="55">
        <v>4</v>
      </c>
      <c r="BQ411" s="55" t="s">
        <v>141</v>
      </c>
      <c r="CB411" s="66">
        <v>544.22</v>
      </c>
      <c r="CC411" s="66">
        <v>122.45</v>
      </c>
      <c r="GP411" s="292" t="s">
        <v>7494</v>
      </c>
      <c r="HS411" s="227"/>
      <c r="HW411" s="227"/>
    </row>
    <row r="412" spans="1:231" x14ac:dyDescent="0.25">
      <c r="A412" s="55">
        <v>411</v>
      </c>
      <c r="B412" s="12" t="s">
        <v>7067</v>
      </c>
      <c r="C412" s="155">
        <v>23</v>
      </c>
      <c r="D412" s="55" t="s">
        <v>3765</v>
      </c>
      <c r="E412" s="90" t="s">
        <v>335</v>
      </c>
      <c r="G412" s="55" t="s">
        <v>336</v>
      </c>
      <c r="H412" s="55">
        <v>2016</v>
      </c>
      <c r="I412" s="55">
        <v>2010</v>
      </c>
      <c r="J412" s="55" t="s">
        <v>350</v>
      </c>
      <c r="K412" s="55" t="s">
        <v>339</v>
      </c>
      <c r="L412" s="55" t="s">
        <v>2737</v>
      </c>
      <c r="M412" s="90">
        <v>38.82</v>
      </c>
      <c r="N412" s="90">
        <v>-76.75</v>
      </c>
      <c r="O412" s="90">
        <v>5.5</v>
      </c>
      <c r="U412" s="55">
        <v>2</v>
      </c>
      <c r="V412" s="55" t="s">
        <v>1688</v>
      </c>
      <c r="Y412" s="55" t="s">
        <v>1847</v>
      </c>
      <c r="Z412" s="55" t="s">
        <v>1346</v>
      </c>
      <c r="AA412" s="90" t="s">
        <v>1675</v>
      </c>
      <c r="AH412" s="55" t="s">
        <v>1572</v>
      </c>
      <c r="AN412" s="185" t="s">
        <v>1494</v>
      </c>
      <c r="AO412" s="185" t="s">
        <v>5150</v>
      </c>
      <c r="AQ412" s="55" t="s">
        <v>553</v>
      </c>
      <c r="AR412" s="55" t="s">
        <v>345</v>
      </c>
      <c r="AS412" s="55" t="s">
        <v>227</v>
      </c>
      <c r="AU412" s="181" t="s">
        <v>7494</v>
      </c>
      <c r="AV412" s="185" t="s">
        <v>176</v>
      </c>
      <c r="AX412" s="185" t="s">
        <v>176</v>
      </c>
      <c r="BE412" s="226" t="s">
        <v>338</v>
      </c>
      <c r="BF412" s="191" t="s">
        <v>479</v>
      </c>
      <c r="BG412" s="55" t="s">
        <v>479</v>
      </c>
      <c r="BH412" s="226" t="s">
        <v>338</v>
      </c>
      <c r="BI412" s="55" t="s">
        <v>479</v>
      </c>
      <c r="BJ412" s="55" t="s">
        <v>176</v>
      </c>
      <c r="BK412" s="55" t="s">
        <v>5976</v>
      </c>
      <c r="BM412" s="192" t="s">
        <v>160</v>
      </c>
      <c r="BN412" s="55">
        <v>4</v>
      </c>
      <c r="BO412" s="55">
        <v>4</v>
      </c>
      <c r="BQ412" s="55" t="s">
        <v>141</v>
      </c>
      <c r="CB412" s="66">
        <v>272.11</v>
      </c>
      <c r="CC412" s="66">
        <v>81.63</v>
      </c>
      <c r="GP412" s="292" t="s">
        <v>7494</v>
      </c>
      <c r="HS412" s="227"/>
      <c r="HW412" s="227"/>
    </row>
    <row r="413" spans="1:231" x14ac:dyDescent="0.25">
      <c r="A413" s="55">
        <v>412</v>
      </c>
      <c r="B413" s="12" t="s">
        <v>7067</v>
      </c>
      <c r="C413" s="155">
        <v>23</v>
      </c>
      <c r="D413" s="55" t="s">
        <v>3765</v>
      </c>
      <c r="E413" s="90" t="s">
        <v>335</v>
      </c>
      <c r="G413" s="55" t="s">
        <v>336</v>
      </c>
      <c r="H413" s="55">
        <v>2016</v>
      </c>
      <c r="I413" s="55">
        <v>2010</v>
      </c>
      <c r="J413" s="55" t="s">
        <v>350</v>
      </c>
      <c r="K413" s="55" t="s">
        <v>339</v>
      </c>
      <c r="L413" s="55" t="s">
        <v>2737</v>
      </c>
      <c r="M413" s="90">
        <v>38.82</v>
      </c>
      <c r="N413" s="90">
        <v>-76.75</v>
      </c>
      <c r="O413" s="90">
        <v>5.5</v>
      </c>
      <c r="U413" s="55">
        <v>2</v>
      </c>
      <c r="V413" s="55" t="s">
        <v>1688</v>
      </c>
      <c r="Y413" s="55" t="s">
        <v>1848</v>
      </c>
      <c r="Z413" s="55" t="s">
        <v>1346</v>
      </c>
      <c r="AA413" s="90" t="s">
        <v>1675</v>
      </c>
      <c r="AH413" s="55" t="s">
        <v>1572</v>
      </c>
      <c r="AN413" s="185" t="s">
        <v>1494</v>
      </c>
      <c r="AO413" s="185" t="s">
        <v>5150</v>
      </c>
      <c r="AQ413" s="55" t="s">
        <v>553</v>
      </c>
      <c r="AR413" s="55" t="s">
        <v>345</v>
      </c>
      <c r="AS413" s="55" t="s">
        <v>227</v>
      </c>
      <c r="AU413" s="181" t="s">
        <v>7494</v>
      </c>
      <c r="AV413" s="185" t="s">
        <v>176</v>
      </c>
      <c r="AX413" s="185" t="s">
        <v>176</v>
      </c>
      <c r="BE413" s="226" t="s">
        <v>338</v>
      </c>
      <c r="BF413" s="191" t="s">
        <v>479</v>
      </c>
      <c r="BG413" s="55" t="s">
        <v>479</v>
      </c>
      <c r="BH413" s="226" t="s">
        <v>338</v>
      </c>
      <c r="BI413" s="55" t="s">
        <v>479</v>
      </c>
      <c r="BJ413" s="55" t="s">
        <v>176</v>
      </c>
      <c r="BK413" s="55" t="s">
        <v>5976</v>
      </c>
      <c r="BM413" s="192" t="s">
        <v>160</v>
      </c>
      <c r="BN413" s="55">
        <v>4</v>
      </c>
      <c r="BO413" s="55">
        <v>4</v>
      </c>
      <c r="BQ413" s="55" t="s">
        <v>141</v>
      </c>
      <c r="CB413" s="66">
        <v>653.05999999999995</v>
      </c>
      <c r="CC413" s="66">
        <v>326.52999999999997</v>
      </c>
      <c r="GP413" s="292" t="s">
        <v>7494</v>
      </c>
      <c r="HS413" s="227"/>
      <c r="HW413" s="227"/>
    </row>
    <row r="414" spans="1:231" x14ac:dyDescent="0.25">
      <c r="A414" s="55">
        <v>413</v>
      </c>
      <c r="B414" s="12" t="s">
        <v>7067</v>
      </c>
      <c r="C414" s="155">
        <v>23</v>
      </c>
      <c r="D414" s="55" t="s">
        <v>3765</v>
      </c>
      <c r="E414" s="90" t="s">
        <v>335</v>
      </c>
      <c r="G414" s="55" t="s">
        <v>336</v>
      </c>
      <c r="H414" s="55">
        <v>2016</v>
      </c>
      <c r="I414" s="55">
        <v>2010</v>
      </c>
      <c r="J414" s="55" t="s">
        <v>350</v>
      </c>
      <c r="K414" s="55" t="s">
        <v>339</v>
      </c>
      <c r="L414" s="55" t="s">
        <v>2737</v>
      </c>
      <c r="M414" s="90">
        <v>38.82</v>
      </c>
      <c r="N414" s="90">
        <v>-76.75</v>
      </c>
      <c r="O414" s="90">
        <v>5.5</v>
      </c>
      <c r="U414" s="55">
        <v>2</v>
      </c>
      <c r="V414" s="55" t="s">
        <v>1688</v>
      </c>
      <c r="Y414" s="55" t="s">
        <v>1851</v>
      </c>
      <c r="Z414" s="55" t="s">
        <v>1346</v>
      </c>
      <c r="AA414" s="90" t="s">
        <v>1675</v>
      </c>
      <c r="AH414" s="55" t="s">
        <v>1572</v>
      </c>
      <c r="AN414" s="185" t="s">
        <v>1494</v>
      </c>
      <c r="AO414" s="185" t="s">
        <v>5150</v>
      </c>
      <c r="AQ414" s="55" t="s">
        <v>553</v>
      </c>
      <c r="AR414" s="55" t="s">
        <v>345</v>
      </c>
      <c r="AS414" s="55" t="s">
        <v>227</v>
      </c>
      <c r="AU414" s="181" t="s">
        <v>7494</v>
      </c>
      <c r="AV414" s="185" t="s">
        <v>176</v>
      </c>
      <c r="AX414" s="185" t="s">
        <v>176</v>
      </c>
      <c r="BE414" s="226" t="s">
        <v>338</v>
      </c>
      <c r="BF414" s="191" t="s">
        <v>479</v>
      </c>
      <c r="BG414" s="55" t="s">
        <v>479</v>
      </c>
      <c r="BH414" s="226" t="s">
        <v>338</v>
      </c>
      <c r="BI414" s="55" t="s">
        <v>479</v>
      </c>
      <c r="BJ414" s="55" t="s">
        <v>176</v>
      </c>
      <c r="BK414" s="55" t="s">
        <v>5976</v>
      </c>
      <c r="BM414" s="192" t="s">
        <v>160</v>
      </c>
      <c r="BN414" s="55">
        <v>4</v>
      </c>
      <c r="BO414" s="55">
        <v>4</v>
      </c>
      <c r="BQ414" s="55" t="s">
        <v>141</v>
      </c>
      <c r="CB414" s="66">
        <v>1721.09</v>
      </c>
      <c r="CC414" s="66">
        <v>238.1</v>
      </c>
      <c r="GP414" s="292" t="s">
        <v>7494</v>
      </c>
      <c r="HS414" s="227"/>
      <c r="HW414" s="227"/>
    </row>
    <row r="415" spans="1:231" x14ac:dyDescent="0.25">
      <c r="A415" s="55">
        <v>414</v>
      </c>
      <c r="B415" s="12" t="s">
        <v>7067</v>
      </c>
      <c r="C415" s="155">
        <v>23</v>
      </c>
      <c r="D415" s="55" t="s">
        <v>3765</v>
      </c>
      <c r="E415" s="90" t="s">
        <v>335</v>
      </c>
      <c r="G415" s="55" t="s">
        <v>336</v>
      </c>
      <c r="H415" s="55">
        <v>2016</v>
      </c>
      <c r="I415" s="55">
        <v>2010</v>
      </c>
      <c r="J415" s="55" t="s">
        <v>350</v>
      </c>
      <c r="K415" s="55" t="s">
        <v>339</v>
      </c>
      <c r="L415" s="55" t="s">
        <v>2737</v>
      </c>
      <c r="M415" s="90">
        <v>38.82</v>
      </c>
      <c r="N415" s="90">
        <v>-76.75</v>
      </c>
      <c r="O415" s="90">
        <v>5.5</v>
      </c>
      <c r="U415" s="55">
        <v>2</v>
      </c>
      <c r="V415" s="55" t="s">
        <v>1688</v>
      </c>
      <c r="Y415" s="55" t="s">
        <v>1859</v>
      </c>
      <c r="Z415" s="55" t="s">
        <v>1346</v>
      </c>
      <c r="AA415" s="90" t="s">
        <v>1675</v>
      </c>
      <c r="AH415" s="55" t="s">
        <v>1572</v>
      </c>
      <c r="AN415" s="185" t="s">
        <v>1494</v>
      </c>
      <c r="AO415" s="185" t="s">
        <v>5150</v>
      </c>
      <c r="AQ415" s="55" t="s">
        <v>553</v>
      </c>
      <c r="AR415" s="55" t="s">
        <v>345</v>
      </c>
      <c r="AS415" s="55" t="s">
        <v>227</v>
      </c>
      <c r="AU415" s="181" t="s">
        <v>7494</v>
      </c>
      <c r="AV415" s="185" t="s">
        <v>176</v>
      </c>
      <c r="AX415" s="185" t="s">
        <v>176</v>
      </c>
      <c r="BE415" s="226" t="s">
        <v>338</v>
      </c>
      <c r="BF415" s="191" t="s">
        <v>479</v>
      </c>
      <c r="BG415" s="55" t="s">
        <v>479</v>
      </c>
      <c r="BH415" s="226" t="s">
        <v>338</v>
      </c>
      <c r="BI415" s="55" t="s">
        <v>479</v>
      </c>
      <c r="BJ415" s="55" t="s">
        <v>176</v>
      </c>
      <c r="BK415" s="55" t="s">
        <v>5976</v>
      </c>
      <c r="BM415" s="192" t="s">
        <v>160</v>
      </c>
      <c r="BN415" s="55">
        <v>4</v>
      </c>
      <c r="BO415" s="55">
        <v>4</v>
      </c>
      <c r="BQ415" s="55" t="s">
        <v>141</v>
      </c>
      <c r="CB415" s="66">
        <v>659.86</v>
      </c>
      <c r="CC415" s="66">
        <v>210.88</v>
      </c>
      <c r="GP415" s="292" t="s">
        <v>7494</v>
      </c>
      <c r="HS415" s="227"/>
      <c r="HW415" s="227"/>
    </row>
    <row r="416" spans="1:231" x14ac:dyDescent="0.25">
      <c r="A416" s="55">
        <v>415</v>
      </c>
      <c r="B416" s="12" t="s">
        <v>7067</v>
      </c>
      <c r="C416" s="155">
        <v>23</v>
      </c>
      <c r="D416" s="55" t="s">
        <v>3765</v>
      </c>
      <c r="E416" s="90" t="s">
        <v>335</v>
      </c>
      <c r="G416" s="55" t="s">
        <v>336</v>
      </c>
      <c r="H416" s="55">
        <v>2016</v>
      </c>
      <c r="I416" s="55">
        <v>2010</v>
      </c>
      <c r="J416" s="55" t="s">
        <v>350</v>
      </c>
      <c r="K416" s="55" t="s">
        <v>339</v>
      </c>
      <c r="L416" s="55" t="s">
        <v>2737</v>
      </c>
      <c r="M416" s="90">
        <v>38.82</v>
      </c>
      <c r="N416" s="90">
        <v>-76.75</v>
      </c>
      <c r="O416" s="90">
        <v>5.5</v>
      </c>
      <c r="U416" s="55">
        <v>2</v>
      </c>
      <c r="V416" s="55" t="s">
        <v>1688</v>
      </c>
      <c r="Y416" s="55" t="s">
        <v>1860</v>
      </c>
      <c r="Z416" s="55" t="s">
        <v>1346</v>
      </c>
      <c r="AA416" s="90" t="s">
        <v>1675</v>
      </c>
      <c r="AH416" s="55" t="s">
        <v>1572</v>
      </c>
      <c r="AN416" s="185" t="s">
        <v>1494</v>
      </c>
      <c r="AO416" s="185" t="s">
        <v>5150</v>
      </c>
      <c r="AQ416" s="55" t="s">
        <v>553</v>
      </c>
      <c r="AR416" s="55" t="s">
        <v>345</v>
      </c>
      <c r="AS416" s="55" t="s">
        <v>227</v>
      </c>
      <c r="AU416" s="181" t="s">
        <v>7494</v>
      </c>
      <c r="AV416" s="185" t="s">
        <v>176</v>
      </c>
      <c r="AX416" s="185" t="s">
        <v>176</v>
      </c>
      <c r="BE416" s="226" t="s">
        <v>338</v>
      </c>
      <c r="BF416" s="191" t="s">
        <v>479</v>
      </c>
      <c r="BG416" s="55" t="s">
        <v>479</v>
      </c>
      <c r="BH416" s="226" t="s">
        <v>338</v>
      </c>
      <c r="BI416" s="55" t="s">
        <v>479</v>
      </c>
      <c r="BJ416" s="55" t="s">
        <v>176</v>
      </c>
      <c r="BK416" s="55" t="s">
        <v>5976</v>
      </c>
      <c r="BM416" s="192" t="s">
        <v>160</v>
      </c>
      <c r="BN416" s="55">
        <v>4</v>
      </c>
      <c r="BO416" s="55">
        <v>4</v>
      </c>
      <c r="BQ416" s="55" t="s">
        <v>141</v>
      </c>
      <c r="CB416" s="66">
        <v>537.41999999999996</v>
      </c>
      <c r="CC416" s="66">
        <v>360.54</v>
      </c>
      <c r="GP416" s="292" t="s">
        <v>7494</v>
      </c>
      <c r="HS416" s="227"/>
      <c r="HW416" s="227"/>
    </row>
    <row r="417" spans="1:281" x14ac:dyDescent="0.25">
      <c r="A417" s="55">
        <v>416</v>
      </c>
      <c r="B417" s="12" t="s">
        <v>7067</v>
      </c>
      <c r="C417" s="155">
        <v>23</v>
      </c>
      <c r="D417" s="55" t="s">
        <v>3765</v>
      </c>
      <c r="E417" s="90" t="s">
        <v>335</v>
      </c>
      <c r="G417" s="55" t="s">
        <v>336</v>
      </c>
      <c r="H417" s="55">
        <v>2016</v>
      </c>
      <c r="I417" s="55">
        <v>2011</v>
      </c>
      <c r="J417" s="55" t="s">
        <v>350</v>
      </c>
      <c r="K417" s="55" t="s">
        <v>340</v>
      </c>
      <c r="L417" s="55" t="s">
        <v>2737</v>
      </c>
      <c r="M417" s="90">
        <v>38.92</v>
      </c>
      <c r="N417" s="90">
        <v>-76.150000000000006</v>
      </c>
      <c r="O417" s="90">
        <v>4.8</v>
      </c>
      <c r="U417" s="55">
        <v>3</v>
      </c>
      <c r="V417" s="55" t="s">
        <v>1688</v>
      </c>
      <c r="Y417" s="55" t="s">
        <v>1854</v>
      </c>
      <c r="Z417" s="55" t="s">
        <v>1346</v>
      </c>
      <c r="AA417" s="90" t="s">
        <v>1675</v>
      </c>
      <c r="AH417" s="55" t="s">
        <v>1572</v>
      </c>
      <c r="AN417" s="185" t="s">
        <v>1494</v>
      </c>
      <c r="AO417" s="185" t="s">
        <v>5150</v>
      </c>
      <c r="AQ417" s="55" t="s">
        <v>553</v>
      </c>
      <c r="AR417" s="55" t="s">
        <v>345</v>
      </c>
      <c r="AS417" s="55" t="s">
        <v>227</v>
      </c>
      <c r="AU417" s="181" t="s">
        <v>7494</v>
      </c>
      <c r="AV417" s="185" t="s">
        <v>176</v>
      </c>
      <c r="AX417" s="185" t="s">
        <v>176</v>
      </c>
      <c r="BE417" s="226" t="s">
        <v>338</v>
      </c>
      <c r="BF417" s="191" t="s">
        <v>479</v>
      </c>
      <c r="BG417" s="55" t="s">
        <v>479</v>
      </c>
      <c r="BH417" s="226" t="s">
        <v>338</v>
      </c>
      <c r="BI417" s="55" t="s">
        <v>479</v>
      </c>
      <c r="BJ417" s="55" t="s">
        <v>176</v>
      </c>
      <c r="BK417" s="55" t="s">
        <v>5976</v>
      </c>
      <c r="BM417" s="192" t="s">
        <v>160</v>
      </c>
      <c r="BN417" s="55">
        <v>4</v>
      </c>
      <c r="BO417" s="55">
        <v>4</v>
      </c>
      <c r="BQ417" s="55" t="s">
        <v>141</v>
      </c>
      <c r="CB417" s="66">
        <v>1.5</v>
      </c>
      <c r="CC417" s="66">
        <v>1.5</v>
      </c>
      <c r="GP417" s="292" t="s">
        <v>7494</v>
      </c>
      <c r="HS417" s="227"/>
      <c r="HW417" s="227"/>
    </row>
    <row r="418" spans="1:281" x14ac:dyDescent="0.25">
      <c r="A418" s="55">
        <v>417</v>
      </c>
      <c r="B418" s="12" t="s">
        <v>7067</v>
      </c>
      <c r="C418" s="155">
        <v>23</v>
      </c>
      <c r="D418" s="55" t="s">
        <v>3765</v>
      </c>
      <c r="E418" s="90" t="s">
        <v>335</v>
      </c>
      <c r="G418" s="55" t="s">
        <v>336</v>
      </c>
      <c r="H418" s="55">
        <v>2016</v>
      </c>
      <c r="I418" s="55">
        <v>2011</v>
      </c>
      <c r="J418" s="55" t="s">
        <v>350</v>
      </c>
      <c r="K418" s="55" t="s">
        <v>340</v>
      </c>
      <c r="L418" s="55" t="s">
        <v>2737</v>
      </c>
      <c r="M418" s="90">
        <v>38.92</v>
      </c>
      <c r="N418" s="90">
        <v>-76.150000000000006</v>
      </c>
      <c r="O418" s="90">
        <v>4.8</v>
      </c>
      <c r="U418" s="55">
        <v>3</v>
      </c>
      <c r="V418" s="55" t="s">
        <v>1688</v>
      </c>
      <c r="Y418" s="55" t="s">
        <v>1849</v>
      </c>
      <c r="Z418" s="55" t="s">
        <v>1346</v>
      </c>
      <c r="AA418" s="90" t="s">
        <v>1675</v>
      </c>
      <c r="AH418" s="55" t="s">
        <v>1572</v>
      </c>
      <c r="AN418" s="185" t="s">
        <v>1494</v>
      </c>
      <c r="AO418" s="185" t="s">
        <v>5150</v>
      </c>
      <c r="AQ418" s="55" t="s">
        <v>553</v>
      </c>
      <c r="AR418" s="55" t="s">
        <v>345</v>
      </c>
      <c r="AS418" s="55" t="s">
        <v>227</v>
      </c>
      <c r="AU418" s="181" t="s">
        <v>7494</v>
      </c>
      <c r="AV418" s="185" t="s">
        <v>176</v>
      </c>
      <c r="AX418" s="185" t="s">
        <v>176</v>
      </c>
      <c r="BE418" s="226" t="s">
        <v>338</v>
      </c>
      <c r="BF418" s="191" t="s">
        <v>479</v>
      </c>
      <c r="BG418" s="55" t="s">
        <v>479</v>
      </c>
      <c r="BH418" s="226" t="s">
        <v>338</v>
      </c>
      <c r="BI418" s="55" t="s">
        <v>479</v>
      </c>
      <c r="BJ418" s="55" t="s">
        <v>176</v>
      </c>
      <c r="BK418" s="55" t="s">
        <v>5976</v>
      </c>
      <c r="BM418" s="192" t="s">
        <v>160</v>
      </c>
      <c r="BN418" s="55">
        <v>4</v>
      </c>
      <c r="BO418" s="55">
        <v>4</v>
      </c>
      <c r="BQ418" s="55" t="s">
        <v>141</v>
      </c>
      <c r="CB418" s="66">
        <v>1.5</v>
      </c>
      <c r="CC418" s="66">
        <v>1.5</v>
      </c>
      <c r="GP418" s="292" t="s">
        <v>7494</v>
      </c>
      <c r="HS418" s="227"/>
      <c r="HW418" s="227"/>
    </row>
    <row r="419" spans="1:281" x14ac:dyDescent="0.25">
      <c r="A419" s="55">
        <v>418</v>
      </c>
      <c r="B419" s="12" t="s">
        <v>7067</v>
      </c>
      <c r="C419" s="155">
        <v>23</v>
      </c>
      <c r="D419" s="55" t="s">
        <v>3765</v>
      </c>
      <c r="E419" s="90" t="s">
        <v>335</v>
      </c>
      <c r="G419" s="55" t="s">
        <v>336</v>
      </c>
      <c r="H419" s="55">
        <v>2016</v>
      </c>
      <c r="I419" s="55">
        <v>2011</v>
      </c>
      <c r="J419" s="55" t="s">
        <v>350</v>
      </c>
      <c r="K419" s="55" t="s">
        <v>340</v>
      </c>
      <c r="L419" s="55" t="s">
        <v>2737</v>
      </c>
      <c r="M419" s="90">
        <v>38.92</v>
      </c>
      <c r="N419" s="90">
        <v>-76.150000000000006</v>
      </c>
      <c r="O419" s="90">
        <v>4.8</v>
      </c>
      <c r="U419" s="55">
        <v>3</v>
      </c>
      <c r="V419" s="55" t="s">
        <v>1688</v>
      </c>
      <c r="Y419" s="55" t="s">
        <v>1850</v>
      </c>
      <c r="Z419" s="55" t="s">
        <v>1346</v>
      </c>
      <c r="AA419" s="90" t="s">
        <v>1675</v>
      </c>
      <c r="AH419" s="55" t="s">
        <v>1572</v>
      </c>
      <c r="AN419" s="185" t="s">
        <v>1494</v>
      </c>
      <c r="AO419" s="185" t="s">
        <v>5150</v>
      </c>
      <c r="AQ419" s="55" t="s">
        <v>553</v>
      </c>
      <c r="AR419" s="55" t="s">
        <v>345</v>
      </c>
      <c r="AS419" s="55" t="s">
        <v>227</v>
      </c>
      <c r="AU419" s="181" t="s">
        <v>7494</v>
      </c>
      <c r="AV419" s="185" t="s">
        <v>176</v>
      </c>
      <c r="AX419" s="185" t="s">
        <v>176</v>
      </c>
      <c r="BE419" s="226" t="s">
        <v>338</v>
      </c>
      <c r="BF419" s="191" t="s">
        <v>479</v>
      </c>
      <c r="BG419" s="55" t="s">
        <v>479</v>
      </c>
      <c r="BH419" s="226" t="s">
        <v>338</v>
      </c>
      <c r="BI419" s="55" t="s">
        <v>479</v>
      </c>
      <c r="BJ419" s="55" t="s">
        <v>176</v>
      </c>
      <c r="BK419" s="55" t="s">
        <v>5976</v>
      </c>
      <c r="BM419" s="192" t="s">
        <v>160</v>
      </c>
      <c r="BN419" s="55">
        <v>4</v>
      </c>
      <c r="BO419" s="55">
        <v>4</v>
      </c>
      <c r="BQ419" s="55" t="s">
        <v>141</v>
      </c>
      <c r="CB419" s="66">
        <v>1.5</v>
      </c>
      <c r="CC419" s="66">
        <v>1.5</v>
      </c>
      <c r="GP419" s="292" t="s">
        <v>7494</v>
      </c>
      <c r="HS419" s="227"/>
      <c r="HW419" s="227"/>
    </row>
    <row r="420" spans="1:281" x14ac:dyDescent="0.25">
      <c r="A420" s="55">
        <v>419</v>
      </c>
      <c r="B420" s="12" t="s">
        <v>7067</v>
      </c>
      <c r="C420" s="155">
        <v>23</v>
      </c>
      <c r="D420" s="55" t="s">
        <v>3765</v>
      </c>
      <c r="E420" s="90" t="s">
        <v>335</v>
      </c>
      <c r="G420" s="55" t="s">
        <v>336</v>
      </c>
      <c r="H420" s="55">
        <v>2016</v>
      </c>
      <c r="I420" s="55">
        <v>2011</v>
      </c>
      <c r="J420" s="55" t="s">
        <v>350</v>
      </c>
      <c r="K420" s="55" t="s">
        <v>340</v>
      </c>
      <c r="L420" s="55" t="s">
        <v>2737</v>
      </c>
      <c r="M420" s="90">
        <v>38.92</v>
      </c>
      <c r="N420" s="90">
        <v>-76.150000000000006</v>
      </c>
      <c r="O420" s="90">
        <v>4.8</v>
      </c>
      <c r="U420" s="55">
        <v>3</v>
      </c>
      <c r="V420" s="55" t="s">
        <v>1688</v>
      </c>
      <c r="Y420" s="55" t="s">
        <v>1855</v>
      </c>
      <c r="Z420" s="55" t="s">
        <v>1346</v>
      </c>
      <c r="AA420" s="90" t="s">
        <v>1675</v>
      </c>
      <c r="AH420" s="55" t="s">
        <v>1572</v>
      </c>
      <c r="AN420" s="185" t="s">
        <v>1494</v>
      </c>
      <c r="AO420" s="185" t="s">
        <v>5150</v>
      </c>
      <c r="AQ420" s="55" t="s">
        <v>553</v>
      </c>
      <c r="AR420" s="55" t="s">
        <v>345</v>
      </c>
      <c r="AS420" s="55" t="s">
        <v>227</v>
      </c>
      <c r="AU420" s="181" t="s">
        <v>7494</v>
      </c>
      <c r="AV420" s="185" t="s">
        <v>176</v>
      </c>
      <c r="AX420" s="185" t="s">
        <v>176</v>
      </c>
      <c r="BE420" s="226" t="s">
        <v>338</v>
      </c>
      <c r="BF420" s="191" t="s">
        <v>479</v>
      </c>
      <c r="BG420" s="55" t="s">
        <v>479</v>
      </c>
      <c r="BH420" s="226" t="s">
        <v>338</v>
      </c>
      <c r="BI420" s="55" t="s">
        <v>479</v>
      </c>
      <c r="BJ420" s="55" t="s">
        <v>176</v>
      </c>
      <c r="BK420" s="55" t="s">
        <v>5976</v>
      </c>
      <c r="BM420" s="192" t="s">
        <v>160</v>
      </c>
      <c r="BN420" s="55">
        <v>4</v>
      </c>
      <c r="BO420" s="55">
        <v>4</v>
      </c>
      <c r="BQ420" s="55" t="s">
        <v>141</v>
      </c>
      <c r="CB420" s="66">
        <v>174.25</v>
      </c>
      <c r="CC420" s="66">
        <v>415.72</v>
      </c>
      <c r="GP420" s="292" t="s">
        <v>7494</v>
      </c>
      <c r="HS420" s="227"/>
      <c r="HW420" s="227"/>
    </row>
    <row r="421" spans="1:281" x14ac:dyDescent="0.25">
      <c r="A421" s="55">
        <v>420</v>
      </c>
      <c r="B421" s="12" t="s">
        <v>7067</v>
      </c>
      <c r="C421" s="155">
        <v>23</v>
      </c>
      <c r="D421" s="55" t="s">
        <v>3765</v>
      </c>
      <c r="E421" s="90" t="s">
        <v>335</v>
      </c>
      <c r="G421" s="55" t="s">
        <v>336</v>
      </c>
      <c r="H421" s="55">
        <v>2016</v>
      </c>
      <c r="I421" s="55">
        <v>2011</v>
      </c>
      <c r="J421" s="55" t="s">
        <v>350</v>
      </c>
      <c r="K421" s="55" t="s">
        <v>340</v>
      </c>
      <c r="L421" s="55" t="s">
        <v>2737</v>
      </c>
      <c r="M421" s="90">
        <v>38.92</v>
      </c>
      <c r="N421" s="90">
        <v>-76.150000000000006</v>
      </c>
      <c r="O421" s="90">
        <v>4.8</v>
      </c>
      <c r="U421" s="55">
        <v>3</v>
      </c>
      <c r="V421" s="55" t="s">
        <v>1688</v>
      </c>
      <c r="Y421" s="55" t="s">
        <v>1856</v>
      </c>
      <c r="Z421" s="55" t="s">
        <v>1346</v>
      </c>
      <c r="AA421" s="90" t="s">
        <v>1675</v>
      </c>
      <c r="AH421" s="55" t="s">
        <v>1572</v>
      </c>
      <c r="AN421" s="185" t="s">
        <v>1494</v>
      </c>
      <c r="AO421" s="185" t="s">
        <v>5150</v>
      </c>
      <c r="AQ421" s="55" t="s">
        <v>553</v>
      </c>
      <c r="AR421" s="55" t="s">
        <v>345</v>
      </c>
      <c r="AS421" s="55" t="s">
        <v>227</v>
      </c>
      <c r="AU421" s="181" t="s">
        <v>7494</v>
      </c>
      <c r="AV421" s="185" t="s">
        <v>176</v>
      </c>
      <c r="AX421" s="185" t="s">
        <v>176</v>
      </c>
      <c r="BE421" s="226" t="s">
        <v>338</v>
      </c>
      <c r="BF421" s="191" t="s">
        <v>479</v>
      </c>
      <c r="BG421" s="55" t="s">
        <v>479</v>
      </c>
      <c r="BH421" s="226" t="s">
        <v>338</v>
      </c>
      <c r="BI421" s="55" t="s">
        <v>479</v>
      </c>
      <c r="BJ421" s="55" t="s">
        <v>176</v>
      </c>
      <c r="BK421" s="55" t="s">
        <v>5976</v>
      </c>
      <c r="BM421" s="192" t="s">
        <v>160</v>
      </c>
      <c r="BN421" s="55">
        <v>4</v>
      </c>
      <c r="BO421" s="55">
        <v>4</v>
      </c>
      <c r="BQ421" s="55" t="s">
        <v>141</v>
      </c>
      <c r="CB421" s="66">
        <v>302.44</v>
      </c>
      <c r="CC421" s="66">
        <v>508.13</v>
      </c>
      <c r="GP421" s="292" t="s">
        <v>7494</v>
      </c>
      <c r="HS421" s="227"/>
      <c r="HW421" s="227"/>
    </row>
    <row r="422" spans="1:281" x14ac:dyDescent="0.25">
      <c r="A422" s="55">
        <v>421</v>
      </c>
      <c r="B422" s="12" t="s">
        <v>7067</v>
      </c>
      <c r="C422" s="155">
        <v>23</v>
      </c>
      <c r="D422" s="55" t="s">
        <v>3765</v>
      </c>
      <c r="E422" s="90" t="s">
        <v>335</v>
      </c>
      <c r="G422" s="55" t="s">
        <v>336</v>
      </c>
      <c r="H422" s="55">
        <v>2016</v>
      </c>
      <c r="I422" s="55">
        <v>2011</v>
      </c>
      <c r="J422" s="55" t="s">
        <v>350</v>
      </c>
      <c r="K422" s="55" t="s">
        <v>340</v>
      </c>
      <c r="L422" s="55" t="s">
        <v>2737</v>
      </c>
      <c r="M422" s="90">
        <v>38.92</v>
      </c>
      <c r="N422" s="90">
        <v>-76.150000000000006</v>
      </c>
      <c r="O422" s="90">
        <v>4.8</v>
      </c>
      <c r="U422" s="55">
        <v>3</v>
      </c>
      <c r="V422" s="55" t="s">
        <v>1688</v>
      </c>
      <c r="Y422" s="55" t="s">
        <v>1857</v>
      </c>
      <c r="Z422" s="55" t="s">
        <v>1346</v>
      </c>
      <c r="AA422" s="90" t="s">
        <v>1675</v>
      </c>
      <c r="AH422" s="55" t="s">
        <v>1572</v>
      </c>
      <c r="AN422" s="185" t="s">
        <v>1494</v>
      </c>
      <c r="AO422" s="185" t="s">
        <v>5150</v>
      </c>
      <c r="AQ422" s="55" t="s">
        <v>553</v>
      </c>
      <c r="AR422" s="55" t="s">
        <v>345</v>
      </c>
      <c r="AS422" s="55" t="s">
        <v>227</v>
      </c>
      <c r="AU422" s="181" t="s">
        <v>7494</v>
      </c>
      <c r="AV422" s="185" t="s">
        <v>176</v>
      </c>
      <c r="AX422" s="185" t="s">
        <v>176</v>
      </c>
      <c r="BE422" s="226" t="s">
        <v>338</v>
      </c>
      <c r="BF422" s="191" t="s">
        <v>479</v>
      </c>
      <c r="BG422" s="55" t="s">
        <v>479</v>
      </c>
      <c r="BH422" s="226" t="s">
        <v>338</v>
      </c>
      <c r="BI422" s="55" t="s">
        <v>479</v>
      </c>
      <c r="BJ422" s="55" t="s">
        <v>176</v>
      </c>
      <c r="BK422" s="55" t="s">
        <v>5976</v>
      </c>
      <c r="BM422" s="192" t="s">
        <v>160</v>
      </c>
      <c r="BN422" s="55">
        <v>4</v>
      </c>
      <c r="BO422" s="55">
        <v>4</v>
      </c>
      <c r="BQ422" s="55" t="s">
        <v>141</v>
      </c>
      <c r="CB422" s="66">
        <v>624.39</v>
      </c>
      <c r="CC422" s="66">
        <v>716.8</v>
      </c>
      <c r="GP422" s="292" t="s">
        <v>7494</v>
      </c>
      <c r="HS422" s="227"/>
      <c r="HW422" s="227"/>
    </row>
    <row r="423" spans="1:281" x14ac:dyDescent="0.25">
      <c r="A423" s="55">
        <v>422</v>
      </c>
      <c r="B423" s="12" t="s">
        <v>7067</v>
      </c>
      <c r="C423" s="155">
        <v>23</v>
      </c>
      <c r="D423" s="55" t="s">
        <v>3765</v>
      </c>
      <c r="E423" s="90" t="s">
        <v>335</v>
      </c>
      <c r="G423" s="55" t="s">
        <v>336</v>
      </c>
      <c r="H423" s="55">
        <v>2016</v>
      </c>
      <c r="I423" s="55">
        <v>2011</v>
      </c>
      <c r="J423" s="55" t="s">
        <v>350</v>
      </c>
      <c r="K423" s="55" t="s">
        <v>340</v>
      </c>
      <c r="L423" s="55" t="s">
        <v>2737</v>
      </c>
      <c r="M423" s="90">
        <v>38.92</v>
      </c>
      <c r="N423" s="90">
        <v>-76.150000000000006</v>
      </c>
      <c r="O423" s="90">
        <v>4.8</v>
      </c>
      <c r="U423" s="55">
        <v>3</v>
      </c>
      <c r="V423" s="55" t="s">
        <v>1688</v>
      </c>
      <c r="Y423" s="55" t="s">
        <v>1847</v>
      </c>
      <c r="Z423" s="55" t="s">
        <v>1346</v>
      </c>
      <c r="AA423" s="90" t="s">
        <v>1675</v>
      </c>
      <c r="AH423" s="55" t="s">
        <v>1572</v>
      </c>
      <c r="AN423" s="185" t="s">
        <v>1494</v>
      </c>
      <c r="AO423" s="185" t="s">
        <v>5150</v>
      </c>
      <c r="AQ423" s="55" t="s">
        <v>553</v>
      </c>
      <c r="AR423" s="55" t="s">
        <v>345</v>
      </c>
      <c r="AS423" s="55" t="s">
        <v>227</v>
      </c>
      <c r="AU423" s="181" t="s">
        <v>7494</v>
      </c>
      <c r="AV423" s="185" t="s">
        <v>176</v>
      </c>
      <c r="AX423" s="185" t="s">
        <v>176</v>
      </c>
      <c r="BE423" s="226" t="s">
        <v>338</v>
      </c>
      <c r="BF423" s="191" t="s">
        <v>479</v>
      </c>
      <c r="BG423" s="55" t="s">
        <v>479</v>
      </c>
      <c r="BH423" s="226" t="s">
        <v>338</v>
      </c>
      <c r="BI423" s="55" t="s">
        <v>479</v>
      </c>
      <c r="BJ423" s="55" t="s">
        <v>176</v>
      </c>
      <c r="BK423" s="55" t="s">
        <v>5976</v>
      </c>
      <c r="BM423" s="192" t="s">
        <v>160</v>
      </c>
      <c r="BN423" s="55">
        <v>4</v>
      </c>
      <c r="BO423" s="55">
        <v>4</v>
      </c>
      <c r="BQ423" s="55" t="s">
        <v>141</v>
      </c>
      <c r="CB423" s="66">
        <v>663.14</v>
      </c>
      <c r="CC423" s="66">
        <v>603.52</v>
      </c>
      <c r="GP423" s="292" t="s">
        <v>7494</v>
      </c>
      <c r="HS423" s="227"/>
      <c r="HW423" s="227"/>
    </row>
    <row r="424" spans="1:281" x14ac:dyDescent="0.25">
      <c r="A424" s="55">
        <v>423</v>
      </c>
      <c r="B424" s="12" t="s">
        <v>7067</v>
      </c>
      <c r="C424" s="155">
        <v>23</v>
      </c>
      <c r="D424" s="55" t="s">
        <v>3765</v>
      </c>
      <c r="E424" s="90" t="s">
        <v>335</v>
      </c>
      <c r="G424" s="55" t="s">
        <v>336</v>
      </c>
      <c r="H424" s="55">
        <v>2016</v>
      </c>
      <c r="I424" s="55">
        <v>2011</v>
      </c>
      <c r="J424" s="55" t="s">
        <v>350</v>
      </c>
      <c r="K424" s="55" t="s">
        <v>340</v>
      </c>
      <c r="L424" s="55" t="s">
        <v>2737</v>
      </c>
      <c r="M424" s="90">
        <v>38.92</v>
      </c>
      <c r="N424" s="90">
        <v>-76.150000000000006</v>
      </c>
      <c r="O424" s="90">
        <v>4.8</v>
      </c>
      <c r="U424" s="55">
        <v>3</v>
      </c>
      <c r="V424" s="55" t="s">
        <v>1688</v>
      </c>
      <c r="Y424" s="55" t="s">
        <v>1861</v>
      </c>
      <c r="Z424" s="55" t="s">
        <v>1346</v>
      </c>
      <c r="AA424" s="90" t="s">
        <v>1675</v>
      </c>
      <c r="AH424" s="55" t="s">
        <v>1572</v>
      </c>
      <c r="AN424" s="185" t="s">
        <v>1494</v>
      </c>
      <c r="AO424" s="185" t="s">
        <v>5150</v>
      </c>
      <c r="AQ424" s="55" t="s">
        <v>553</v>
      </c>
      <c r="AR424" s="55" t="s">
        <v>345</v>
      </c>
      <c r="AS424" s="55" t="s">
        <v>227</v>
      </c>
      <c r="AU424" s="181" t="s">
        <v>7494</v>
      </c>
      <c r="AV424" s="185" t="s">
        <v>176</v>
      </c>
      <c r="AX424" s="185" t="s">
        <v>176</v>
      </c>
      <c r="BE424" s="226" t="s">
        <v>338</v>
      </c>
      <c r="BF424" s="191" t="s">
        <v>479</v>
      </c>
      <c r="BG424" s="55" t="s">
        <v>479</v>
      </c>
      <c r="BH424" s="226" t="s">
        <v>338</v>
      </c>
      <c r="BI424" s="55" t="s">
        <v>479</v>
      </c>
      <c r="BJ424" s="55" t="s">
        <v>176</v>
      </c>
      <c r="BK424" s="55" t="s">
        <v>5976</v>
      </c>
      <c r="BM424" s="192" t="s">
        <v>160</v>
      </c>
      <c r="BN424" s="55">
        <v>4</v>
      </c>
      <c r="BO424" s="55">
        <v>4</v>
      </c>
      <c r="BQ424" s="55" t="s">
        <v>141</v>
      </c>
      <c r="CB424" s="66">
        <v>147.43</v>
      </c>
      <c r="CC424" s="66">
        <v>138.47999999999999</v>
      </c>
      <c r="GP424" s="292" t="s">
        <v>7494</v>
      </c>
      <c r="HS424" s="227"/>
      <c r="HW424" s="227"/>
    </row>
    <row r="425" spans="1:281" x14ac:dyDescent="0.25">
      <c r="A425" s="55">
        <v>424</v>
      </c>
      <c r="B425" s="12" t="s">
        <v>7067</v>
      </c>
      <c r="C425" s="155">
        <v>23</v>
      </c>
      <c r="D425" s="55" t="s">
        <v>3765</v>
      </c>
      <c r="E425" s="90" t="s">
        <v>335</v>
      </c>
      <c r="G425" s="55" t="s">
        <v>336</v>
      </c>
      <c r="H425" s="55">
        <v>2016</v>
      </c>
      <c r="I425" s="55">
        <v>2011</v>
      </c>
      <c r="J425" s="55" t="s">
        <v>350</v>
      </c>
      <c r="K425" s="55" t="s">
        <v>340</v>
      </c>
      <c r="L425" s="55" t="s">
        <v>2737</v>
      </c>
      <c r="M425" s="90">
        <v>38.92</v>
      </c>
      <c r="N425" s="90">
        <v>-76.150000000000006</v>
      </c>
      <c r="O425" s="90">
        <v>4.8</v>
      </c>
      <c r="U425" s="55">
        <v>3</v>
      </c>
      <c r="V425" s="55" t="s">
        <v>1688</v>
      </c>
      <c r="Y425" s="55" t="s">
        <v>1859</v>
      </c>
      <c r="Z425" s="55" t="s">
        <v>1346</v>
      </c>
      <c r="AA425" s="90" t="s">
        <v>1675</v>
      </c>
      <c r="AH425" s="55" t="s">
        <v>1572</v>
      </c>
      <c r="AN425" s="185" t="s">
        <v>1494</v>
      </c>
      <c r="AO425" s="185" t="s">
        <v>5150</v>
      </c>
      <c r="AQ425" s="55" t="s">
        <v>553</v>
      </c>
      <c r="AR425" s="55" t="s">
        <v>345</v>
      </c>
      <c r="AS425" s="55" t="s">
        <v>227</v>
      </c>
      <c r="AU425" s="181" t="s">
        <v>7494</v>
      </c>
      <c r="AV425" s="185" t="s">
        <v>176</v>
      </c>
      <c r="AX425" s="185" t="s">
        <v>176</v>
      </c>
      <c r="BE425" s="226" t="s">
        <v>338</v>
      </c>
      <c r="BF425" s="191" t="s">
        <v>479</v>
      </c>
      <c r="BG425" s="55" t="s">
        <v>479</v>
      </c>
      <c r="BH425" s="226" t="s">
        <v>338</v>
      </c>
      <c r="BI425" s="55" t="s">
        <v>479</v>
      </c>
      <c r="BJ425" s="55" t="s">
        <v>176</v>
      </c>
      <c r="BK425" s="55" t="s">
        <v>5976</v>
      </c>
      <c r="BM425" s="192" t="s">
        <v>160</v>
      </c>
      <c r="BN425" s="55">
        <v>4</v>
      </c>
      <c r="BO425" s="55">
        <v>4</v>
      </c>
      <c r="BQ425" s="55" t="s">
        <v>141</v>
      </c>
      <c r="CB425" s="66">
        <v>108.67</v>
      </c>
      <c r="CC425" s="66">
        <v>96.75</v>
      </c>
      <c r="GP425" s="292" t="s">
        <v>7494</v>
      </c>
      <c r="HS425" s="227"/>
      <c r="HW425" s="227"/>
    </row>
    <row r="426" spans="1:281" x14ac:dyDescent="0.25">
      <c r="A426" s="55">
        <v>425</v>
      </c>
      <c r="B426" s="12" t="s">
        <v>7067</v>
      </c>
      <c r="C426" s="155">
        <v>24</v>
      </c>
      <c r="D426" s="55" t="s">
        <v>3770</v>
      </c>
      <c r="E426" s="90" t="s">
        <v>353</v>
      </c>
      <c r="G426" s="55" t="s">
        <v>354</v>
      </c>
      <c r="H426" s="55">
        <v>2013</v>
      </c>
      <c r="I426" s="55">
        <v>2003</v>
      </c>
      <c r="J426" s="55" t="s">
        <v>247</v>
      </c>
      <c r="K426" s="55" t="s">
        <v>355</v>
      </c>
      <c r="L426" s="55" t="s">
        <v>2737</v>
      </c>
      <c r="M426" s="90">
        <v>31.48</v>
      </c>
      <c r="N426" s="90">
        <v>-83.53</v>
      </c>
      <c r="O426" s="90">
        <v>108.4</v>
      </c>
      <c r="P426" s="55">
        <v>19.600000000000001</v>
      </c>
      <c r="Q426" s="55">
        <v>18.600000000000001</v>
      </c>
      <c r="R426" s="55">
        <v>976</v>
      </c>
      <c r="S426" s="90">
        <v>1192</v>
      </c>
      <c r="U426" s="55">
        <v>2</v>
      </c>
      <c r="V426" s="55" t="s">
        <v>1816</v>
      </c>
      <c r="Y426" s="55" t="s">
        <v>1862</v>
      </c>
      <c r="Z426" s="55" t="s">
        <v>1347</v>
      </c>
      <c r="AA426" s="90" t="s">
        <v>1676</v>
      </c>
      <c r="AD426" s="90">
        <f>(1.55+1.78)/2</f>
        <v>1.665</v>
      </c>
      <c r="AH426" s="55" t="s">
        <v>174</v>
      </c>
      <c r="AM426" s="55" t="s">
        <v>1289</v>
      </c>
      <c r="AN426" s="185" t="s">
        <v>1514</v>
      </c>
      <c r="AO426" s="185" t="s">
        <v>5150</v>
      </c>
      <c r="AQ426" s="55" t="s">
        <v>1547</v>
      </c>
      <c r="AR426" s="55" t="s">
        <v>770</v>
      </c>
      <c r="AS426" s="55" t="s">
        <v>132</v>
      </c>
      <c r="AT426" s="181" t="s">
        <v>357</v>
      </c>
      <c r="AU426" s="181" t="s">
        <v>5150</v>
      </c>
      <c r="AV426" s="185" t="s">
        <v>479</v>
      </c>
      <c r="AW426" s="55" t="s">
        <v>357</v>
      </c>
      <c r="AX426" s="185" t="s">
        <v>479</v>
      </c>
      <c r="AY426" s="55" t="s">
        <v>176</v>
      </c>
      <c r="AZ426" s="55" t="s">
        <v>229</v>
      </c>
      <c r="BA426" s="55" t="s">
        <v>356</v>
      </c>
      <c r="BB426" s="55" t="s">
        <v>2081</v>
      </c>
      <c r="BC426" s="55" t="s">
        <v>2081</v>
      </c>
      <c r="BD426" s="55" t="s">
        <v>479</v>
      </c>
      <c r="BE426" s="226" t="s">
        <v>318</v>
      </c>
      <c r="BG426" s="55" t="s">
        <v>176</v>
      </c>
      <c r="BH426" s="226" t="s">
        <v>318</v>
      </c>
      <c r="BI426" s="55" t="s">
        <v>176</v>
      </c>
      <c r="BJ426" s="55" t="s">
        <v>176</v>
      </c>
      <c r="BK426" s="55" t="s">
        <v>5976</v>
      </c>
      <c r="BM426" s="192" t="s">
        <v>119</v>
      </c>
      <c r="BN426" s="55">
        <v>4</v>
      </c>
      <c r="BO426" s="55">
        <v>4</v>
      </c>
      <c r="BQ426" s="55" t="s">
        <v>141</v>
      </c>
      <c r="BS426" s="55">
        <f>(4.4+7.5)/2*1000</f>
        <v>5950</v>
      </c>
      <c r="CB426" s="66">
        <f>1.3*1000</f>
        <v>1300</v>
      </c>
      <c r="CC426" s="66">
        <f>3.2*1000</f>
        <v>3200</v>
      </c>
      <c r="CH426" s="90">
        <f>(1.64+1.65+1.63+1.65+1.69+1.73+1.66)/7</f>
        <v>1.6642857142857144</v>
      </c>
      <c r="CI426" s="90">
        <f>(1.65+1.63+1.61+1.64+1.65+1.71+1.64)/7</f>
        <v>1.6471428571428572</v>
      </c>
      <c r="CM426" s="65">
        <f>4.6/1000*100</f>
        <v>0.45999999999999996</v>
      </c>
      <c r="CN426" s="65">
        <v>0.74</v>
      </c>
      <c r="CQ426" s="65" t="s">
        <v>593</v>
      </c>
      <c r="CV426" s="65" t="s">
        <v>3040</v>
      </c>
      <c r="DA426" s="65" t="s">
        <v>4456</v>
      </c>
      <c r="DB426" s="65">
        <v>0.2</v>
      </c>
      <c r="DC426" s="65">
        <v>0.5</v>
      </c>
      <c r="DF426" s="65" t="s">
        <v>232</v>
      </c>
      <c r="FE426" s="65">
        <f>(24.8+17.7)/2</f>
        <v>21.25</v>
      </c>
      <c r="FF426" s="65">
        <f>(23.1+21)/2</f>
        <v>22.05</v>
      </c>
      <c r="GD426" s="65">
        <v>13.8</v>
      </c>
      <c r="GE426" s="65">
        <v>14.1</v>
      </c>
      <c r="GH426" s="65">
        <v>37599</v>
      </c>
      <c r="GP426" s="292" t="s">
        <v>7494</v>
      </c>
      <c r="HS426" s="227"/>
      <c r="HW426" s="227"/>
      <c r="JU426" s="55" t="s">
        <v>685</v>
      </c>
    </row>
    <row r="427" spans="1:281" x14ac:dyDescent="0.25">
      <c r="A427" s="55">
        <v>426</v>
      </c>
      <c r="B427" s="12" t="s">
        <v>7067</v>
      </c>
      <c r="C427" s="155">
        <v>24</v>
      </c>
      <c r="D427" s="55" t="s">
        <v>3771</v>
      </c>
      <c r="E427" s="90" t="s">
        <v>353</v>
      </c>
      <c r="G427" s="55" t="s">
        <v>354</v>
      </c>
      <c r="H427" s="55">
        <v>2013</v>
      </c>
      <c r="I427" s="55">
        <v>2003</v>
      </c>
      <c r="J427" s="55" t="s">
        <v>247</v>
      </c>
      <c r="K427" s="55" t="s">
        <v>355</v>
      </c>
      <c r="L427" s="55" t="s">
        <v>2737</v>
      </c>
      <c r="M427" s="90">
        <v>31.48</v>
      </c>
      <c r="N427" s="90">
        <v>-83.53</v>
      </c>
      <c r="O427" s="90">
        <v>108.4</v>
      </c>
      <c r="P427" s="55">
        <v>19.600000000000001</v>
      </c>
      <c r="Q427" s="55">
        <v>18.600000000000001</v>
      </c>
      <c r="R427" s="55">
        <v>976</v>
      </c>
      <c r="S427" s="90">
        <v>1192</v>
      </c>
      <c r="U427" s="55">
        <v>2</v>
      </c>
      <c r="V427" s="55" t="s">
        <v>1816</v>
      </c>
      <c r="Y427" s="55" t="s">
        <v>1862</v>
      </c>
      <c r="Z427" s="55" t="s">
        <v>1347</v>
      </c>
      <c r="AA427" s="90" t="s">
        <v>1676</v>
      </c>
      <c r="AD427" s="90">
        <f>(1.55+1.78)/2</f>
        <v>1.665</v>
      </c>
      <c r="AH427" s="55" t="s">
        <v>174</v>
      </c>
      <c r="AM427" s="55" t="s">
        <v>1289</v>
      </c>
      <c r="AN427" s="185" t="s">
        <v>1494</v>
      </c>
      <c r="AO427" s="185" t="s">
        <v>5150</v>
      </c>
      <c r="AQ427" s="55" t="s">
        <v>553</v>
      </c>
      <c r="AR427" s="55" t="s">
        <v>770</v>
      </c>
      <c r="AS427" s="55" t="s">
        <v>132</v>
      </c>
      <c r="AT427" s="181" t="s">
        <v>357</v>
      </c>
      <c r="AU427" s="181" t="s">
        <v>5150</v>
      </c>
      <c r="AV427" s="185" t="s">
        <v>176</v>
      </c>
      <c r="AW427" s="55" t="s">
        <v>357</v>
      </c>
      <c r="AX427" s="185" t="s">
        <v>176</v>
      </c>
      <c r="AY427" s="55" t="s">
        <v>176</v>
      </c>
      <c r="AZ427" s="55" t="s">
        <v>229</v>
      </c>
      <c r="BA427" s="55" t="s">
        <v>356</v>
      </c>
      <c r="BB427" s="55" t="s">
        <v>2081</v>
      </c>
      <c r="BC427" s="55" t="s">
        <v>2081</v>
      </c>
      <c r="BD427" s="55" t="s">
        <v>479</v>
      </c>
      <c r="BE427" s="226" t="s">
        <v>318</v>
      </c>
      <c r="BG427" s="55" t="s">
        <v>176</v>
      </c>
      <c r="BH427" s="226" t="s">
        <v>318</v>
      </c>
      <c r="BI427" s="55" t="s">
        <v>176</v>
      </c>
      <c r="BJ427" s="55" t="s">
        <v>176</v>
      </c>
      <c r="BK427" s="55" t="s">
        <v>5976</v>
      </c>
      <c r="BM427" s="192" t="s">
        <v>119</v>
      </c>
      <c r="BN427" s="55">
        <v>4</v>
      </c>
      <c r="BO427" s="55">
        <v>4</v>
      </c>
      <c r="BQ427" s="55" t="s">
        <v>141</v>
      </c>
      <c r="BS427" s="55">
        <f>8.8/2*1000</f>
        <v>4400</v>
      </c>
      <c r="CB427" s="66">
        <f>1.3*1000</f>
        <v>1300</v>
      </c>
      <c r="CC427" s="66">
        <f>2.4*1000</f>
        <v>2400</v>
      </c>
      <c r="CM427" s="65">
        <f>4.6/1000*100</f>
        <v>0.45999999999999996</v>
      </c>
      <c r="CN427" s="65">
        <v>0.7</v>
      </c>
      <c r="CQ427" s="65" t="s">
        <v>593</v>
      </c>
      <c r="CV427" s="65" t="s">
        <v>3040</v>
      </c>
      <c r="DA427" s="65" t="s">
        <v>4456</v>
      </c>
      <c r="DB427" s="65">
        <v>0.2</v>
      </c>
      <c r="DC427" s="65">
        <v>0.5</v>
      </c>
      <c r="DF427" s="65" t="s">
        <v>232</v>
      </c>
      <c r="GD427" s="65">
        <v>13.8</v>
      </c>
      <c r="GE427" s="65">
        <v>14.8</v>
      </c>
      <c r="GH427" s="65">
        <v>37748</v>
      </c>
      <c r="GP427" s="292" t="s">
        <v>7494</v>
      </c>
      <c r="HS427" s="227"/>
      <c r="HW427" s="227"/>
      <c r="JU427" s="55" t="s">
        <v>685</v>
      </c>
    </row>
    <row r="428" spans="1:281" x14ac:dyDescent="0.25">
      <c r="A428" s="55">
        <v>427</v>
      </c>
      <c r="B428" s="12" t="s">
        <v>7067</v>
      </c>
      <c r="C428" s="155">
        <v>24</v>
      </c>
      <c r="D428" s="55" t="s">
        <v>3771</v>
      </c>
      <c r="E428" s="90" t="s">
        <v>353</v>
      </c>
      <c r="G428" s="55" t="s">
        <v>354</v>
      </c>
      <c r="H428" s="55">
        <v>2013</v>
      </c>
      <c r="I428" s="55">
        <v>2003</v>
      </c>
      <c r="J428" s="55" t="s">
        <v>247</v>
      </c>
      <c r="K428" s="55" t="s">
        <v>355</v>
      </c>
      <c r="L428" s="55" t="s">
        <v>2737</v>
      </c>
      <c r="M428" s="90">
        <v>31.48</v>
      </c>
      <c r="N428" s="90">
        <v>-83.53</v>
      </c>
      <c r="O428" s="90">
        <v>108.4</v>
      </c>
      <c r="P428" s="55">
        <v>19.600000000000001</v>
      </c>
      <c r="Q428" s="55">
        <v>18.600000000000001</v>
      </c>
      <c r="R428" s="55">
        <v>976</v>
      </c>
      <c r="S428" s="90">
        <v>1192</v>
      </c>
      <c r="U428" s="55">
        <v>2</v>
      </c>
      <c r="V428" s="55" t="s">
        <v>1816</v>
      </c>
      <c r="Y428" s="55" t="s">
        <v>1862</v>
      </c>
      <c r="Z428" s="55" t="s">
        <v>1347</v>
      </c>
      <c r="AA428" s="90" t="s">
        <v>1676</v>
      </c>
      <c r="AD428" s="90">
        <f>(1.55+1.78)/2</f>
        <v>1.665</v>
      </c>
      <c r="AH428" s="55" t="s">
        <v>174</v>
      </c>
      <c r="AM428" s="55" t="s">
        <v>1289</v>
      </c>
      <c r="AN428" s="185" t="s">
        <v>1485</v>
      </c>
      <c r="AO428" s="185" t="s">
        <v>5150</v>
      </c>
      <c r="AQ428" s="55" t="s">
        <v>553</v>
      </c>
      <c r="AR428" s="55" t="s">
        <v>770</v>
      </c>
      <c r="AS428" s="55" t="s">
        <v>132</v>
      </c>
      <c r="AT428" s="181" t="s">
        <v>357</v>
      </c>
      <c r="AU428" s="181" t="s">
        <v>5150</v>
      </c>
      <c r="AV428" s="185" t="s">
        <v>176</v>
      </c>
      <c r="AW428" s="55" t="s">
        <v>357</v>
      </c>
      <c r="AX428" s="185" t="s">
        <v>176</v>
      </c>
      <c r="AY428" s="55" t="s">
        <v>176</v>
      </c>
      <c r="AZ428" s="55" t="s">
        <v>229</v>
      </c>
      <c r="BA428" s="55" t="s">
        <v>356</v>
      </c>
      <c r="BB428" s="55" t="s">
        <v>2081</v>
      </c>
      <c r="BC428" s="55" t="s">
        <v>2081</v>
      </c>
      <c r="BD428" s="55" t="s">
        <v>479</v>
      </c>
      <c r="BE428" s="226" t="s">
        <v>318</v>
      </c>
      <c r="BG428" s="55" t="s">
        <v>176</v>
      </c>
      <c r="BH428" s="226" t="s">
        <v>318</v>
      </c>
      <c r="BI428" s="55" t="s">
        <v>176</v>
      </c>
      <c r="BJ428" s="55" t="s">
        <v>176</v>
      </c>
      <c r="BK428" s="55" t="s">
        <v>5976</v>
      </c>
      <c r="BM428" s="192" t="s">
        <v>119</v>
      </c>
      <c r="BN428" s="55">
        <v>4</v>
      </c>
      <c r="BO428" s="55">
        <v>4</v>
      </c>
      <c r="BQ428" s="55" t="s">
        <v>141</v>
      </c>
      <c r="BS428" s="55">
        <f>5/2*1000</f>
        <v>2500</v>
      </c>
      <c r="CB428" s="66">
        <f>1.3*1000</f>
        <v>1300</v>
      </c>
      <c r="CC428" s="66">
        <f>1.3*1000</f>
        <v>1300</v>
      </c>
      <c r="CM428" s="65">
        <f>4.6/1000*100</f>
        <v>0.45999999999999996</v>
      </c>
      <c r="CN428" s="65">
        <v>0.59</v>
      </c>
      <c r="CQ428" s="65" t="s">
        <v>593</v>
      </c>
      <c r="CV428" s="65" t="s">
        <v>3040</v>
      </c>
      <c r="DA428" s="65" t="s">
        <v>4456</v>
      </c>
      <c r="DB428" s="65">
        <v>0.2</v>
      </c>
      <c r="DC428" s="65">
        <v>0.4</v>
      </c>
      <c r="DF428" s="65" t="s">
        <v>232</v>
      </c>
      <c r="GD428" s="65">
        <v>12.8</v>
      </c>
      <c r="GE428" s="65">
        <v>13.1</v>
      </c>
      <c r="GH428" s="65">
        <v>37875</v>
      </c>
      <c r="GP428" s="292" t="s">
        <v>7494</v>
      </c>
      <c r="HS428" s="227"/>
      <c r="HW428" s="227"/>
      <c r="JU428" s="55" t="s">
        <v>685</v>
      </c>
    </row>
    <row r="429" spans="1:281" x14ac:dyDescent="0.25">
      <c r="A429" s="55">
        <v>428</v>
      </c>
      <c r="B429" s="12" t="s">
        <v>7067</v>
      </c>
      <c r="C429" s="155">
        <v>24</v>
      </c>
      <c r="D429" s="55" t="s">
        <v>3772</v>
      </c>
      <c r="E429" s="90" t="s">
        <v>353</v>
      </c>
      <c r="G429" s="55" t="s">
        <v>354</v>
      </c>
      <c r="H429" s="55">
        <v>2013</v>
      </c>
      <c r="I429" s="55">
        <v>2003</v>
      </c>
      <c r="J429" s="55" t="s">
        <v>247</v>
      </c>
      <c r="K429" s="55" t="s">
        <v>355</v>
      </c>
      <c r="L429" s="55" t="s">
        <v>2737</v>
      </c>
      <c r="M429" s="90">
        <v>31.48</v>
      </c>
      <c r="N429" s="90">
        <v>-83.53</v>
      </c>
      <c r="O429" s="90">
        <v>108.4</v>
      </c>
      <c r="P429" s="55">
        <v>19.600000000000001</v>
      </c>
      <c r="Q429" s="55">
        <v>18.600000000000001</v>
      </c>
      <c r="R429" s="55">
        <v>976</v>
      </c>
      <c r="S429" s="90">
        <v>1192</v>
      </c>
      <c r="U429" s="55">
        <v>2</v>
      </c>
      <c r="V429" s="55" t="s">
        <v>1816</v>
      </c>
      <c r="Y429" s="55" t="s">
        <v>1862</v>
      </c>
      <c r="Z429" s="55" t="s">
        <v>1347</v>
      </c>
      <c r="AA429" s="90" t="s">
        <v>1676</v>
      </c>
      <c r="AD429" s="90">
        <f>(1.55+1.78)/2</f>
        <v>1.665</v>
      </c>
      <c r="AH429" s="55" t="s">
        <v>174</v>
      </c>
      <c r="AM429" s="55" t="s">
        <v>1289</v>
      </c>
      <c r="AN429" s="185" t="s">
        <v>1514</v>
      </c>
      <c r="AO429" s="185" t="s">
        <v>5150</v>
      </c>
      <c r="AQ429" s="55" t="s">
        <v>1547</v>
      </c>
      <c r="AR429" s="55" t="s">
        <v>770</v>
      </c>
      <c r="AS429" s="55" t="s">
        <v>132</v>
      </c>
      <c r="AT429" s="181" t="s">
        <v>357</v>
      </c>
      <c r="AU429" s="181" t="s">
        <v>5150</v>
      </c>
      <c r="AV429" s="185" t="s">
        <v>479</v>
      </c>
      <c r="AW429" s="55" t="s">
        <v>357</v>
      </c>
      <c r="AX429" s="185" t="s">
        <v>479</v>
      </c>
      <c r="AY429" s="55" t="s">
        <v>176</v>
      </c>
      <c r="AZ429" s="55" t="s">
        <v>229</v>
      </c>
      <c r="BA429" s="55" t="s">
        <v>356</v>
      </c>
      <c r="BB429" s="55" t="s">
        <v>2081</v>
      </c>
      <c r="BC429" s="55" t="s">
        <v>2081</v>
      </c>
      <c r="BD429" s="55" t="s">
        <v>479</v>
      </c>
      <c r="BE429" s="226" t="s">
        <v>359</v>
      </c>
      <c r="BF429" s="191" t="s">
        <v>479</v>
      </c>
      <c r="BG429" s="55" t="s">
        <v>479</v>
      </c>
      <c r="BH429" s="226" t="s">
        <v>359</v>
      </c>
      <c r="BI429" s="55" t="s">
        <v>479</v>
      </c>
      <c r="BJ429" s="55" t="s">
        <v>176</v>
      </c>
      <c r="BK429" s="55" t="s">
        <v>5976</v>
      </c>
      <c r="BM429" s="192" t="s">
        <v>119</v>
      </c>
      <c r="BN429" s="55">
        <v>4</v>
      </c>
      <c r="BO429" s="55">
        <v>4</v>
      </c>
      <c r="BQ429" s="55" t="s">
        <v>141</v>
      </c>
      <c r="BS429" s="55">
        <f>(4.2+6.9)/2*1000</f>
        <v>5550.0000000000009</v>
      </c>
      <c r="CB429" s="66">
        <f>3.4*1000</f>
        <v>3400</v>
      </c>
      <c r="CC429" s="66">
        <f>3.1*1000</f>
        <v>3100</v>
      </c>
      <c r="CH429" s="90">
        <v>1.65</v>
      </c>
      <c r="CI429" s="90">
        <v>1.63</v>
      </c>
      <c r="CM429" s="65">
        <v>0.5</v>
      </c>
      <c r="CN429" s="65">
        <v>0.73</v>
      </c>
      <c r="CQ429" s="65" t="s">
        <v>593</v>
      </c>
      <c r="CV429" s="65" t="s">
        <v>3040</v>
      </c>
      <c r="DA429" s="65" t="s">
        <v>4456</v>
      </c>
      <c r="DB429" s="65">
        <v>0.3</v>
      </c>
      <c r="DC429" s="65">
        <v>0.5</v>
      </c>
      <c r="DF429" s="65" t="s">
        <v>232</v>
      </c>
      <c r="FE429" s="65">
        <f>(28.5+37.6)/2</f>
        <v>33.049999999999997</v>
      </c>
      <c r="FF429" s="65">
        <f>(27.2+36.5)/2</f>
        <v>31.85</v>
      </c>
      <c r="GD429" s="65">
        <v>12.9</v>
      </c>
      <c r="GE429" s="65">
        <v>13.8</v>
      </c>
      <c r="GH429" s="65">
        <v>37957</v>
      </c>
      <c r="GP429" s="292" t="s">
        <v>7494</v>
      </c>
      <c r="HS429" s="227"/>
      <c r="HW429" s="227"/>
      <c r="JU429" s="55" t="s">
        <v>685</v>
      </c>
    </row>
    <row r="430" spans="1:281" x14ac:dyDescent="0.25">
      <c r="A430" s="55">
        <v>429</v>
      </c>
      <c r="B430" s="12" t="s">
        <v>7067</v>
      </c>
      <c r="C430" s="155">
        <v>24</v>
      </c>
      <c r="D430" s="55" t="s">
        <v>3773</v>
      </c>
      <c r="E430" s="90" t="s">
        <v>353</v>
      </c>
      <c r="G430" s="55" t="s">
        <v>354</v>
      </c>
      <c r="H430" s="55">
        <v>2013</v>
      </c>
      <c r="I430" s="55">
        <v>2003</v>
      </c>
      <c r="J430" s="55" t="s">
        <v>247</v>
      </c>
      <c r="K430" s="55" t="s">
        <v>355</v>
      </c>
      <c r="L430" s="55" t="s">
        <v>2737</v>
      </c>
      <c r="M430" s="90">
        <v>31.48</v>
      </c>
      <c r="N430" s="90">
        <v>-83.53</v>
      </c>
      <c r="O430" s="90">
        <v>108.4</v>
      </c>
      <c r="P430" s="55">
        <v>19.600000000000001</v>
      </c>
      <c r="Q430" s="55">
        <v>18.600000000000001</v>
      </c>
      <c r="R430" s="55">
        <v>976</v>
      </c>
      <c r="S430" s="90">
        <v>1192</v>
      </c>
      <c r="U430" s="55">
        <v>2</v>
      </c>
      <c r="V430" s="55" t="s">
        <v>1816</v>
      </c>
      <c r="Y430" s="55" t="s">
        <v>1862</v>
      </c>
      <c r="Z430" s="55" t="s">
        <v>1347</v>
      </c>
      <c r="AA430" s="90" t="s">
        <v>1676</v>
      </c>
      <c r="AD430" s="90">
        <f>(1.55+1.78)/2</f>
        <v>1.665</v>
      </c>
      <c r="AH430" s="55" t="s">
        <v>174</v>
      </c>
      <c r="AM430" s="55" t="s">
        <v>1289</v>
      </c>
      <c r="AN430" s="185" t="s">
        <v>1494</v>
      </c>
      <c r="AO430" s="185" t="s">
        <v>5150</v>
      </c>
      <c r="AQ430" s="55" t="s">
        <v>553</v>
      </c>
      <c r="AR430" s="55" t="s">
        <v>770</v>
      </c>
      <c r="AS430" s="55" t="s">
        <v>132</v>
      </c>
      <c r="AT430" s="181" t="s">
        <v>357</v>
      </c>
      <c r="AU430" s="181" t="s">
        <v>5150</v>
      </c>
      <c r="AV430" s="185" t="s">
        <v>176</v>
      </c>
      <c r="AW430" s="55" t="s">
        <v>357</v>
      </c>
      <c r="AX430" s="185" t="s">
        <v>176</v>
      </c>
      <c r="AY430" s="55" t="s">
        <v>176</v>
      </c>
      <c r="AZ430" s="55" t="s">
        <v>229</v>
      </c>
      <c r="BA430" s="55" t="s">
        <v>356</v>
      </c>
      <c r="BB430" s="55" t="s">
        <v>2081</v>
      </c>
      <c r="BC430" s="55" t="s">
        <v>2081</v>
      </c>
      <c r="BD430" s="55" t="s">
        <v>479</v>
      </c>
      <c r="BE430" s="226" t="s">
        <v>359</v>
      </c>
      <c r="BF430" s="191" t="s">
        <v>479</v>
      </c>
      <c r="BG430" s="55" t="s">
        <v>479</v>
      </c>
      <c r="BH430" s="226" t="s">
        <v>359</v>
      </c>
      <c r="BI430" s="55" t="s">
        <v>479</v>
      </c>
      <c r="BJ430" s="55" t="s">
        <v>176</v>
      </c>
      <c r="BK430" s="55" t="s">
        <v>5976</v>
      </c>
      <c r="BM430" s="192" t="s">
        <v>119</v>
      </c>
      <c r="BN430" s="55">
        <v>4</v>
      </c>
      <c r="BO430" s="55">
        <v>4</v>
      </c>
      <c r="BQ430" s="55" t="s">
        <v>141</v>
      </c>
      <c r="BS430" s="55">
        <f>9.8/2*1000</f>
        <v>4900</v>
      </c>
      <c r="CB430" s="66">
        <f>3.4*1000</f>
        <v>3400</v>
      </c>
      <c r="CC430" s="66">
        <f>3.8*1000</f>
        <v>3800</v>
      </c>
      <c r="CM430" s="65">
        <v>0.5</v>
      </c>
      <c r="CN430" s="65">
        <v>0.74</v>
      </c>
      <c r="CQ430" s="65" t="s">
        <v>593</v>
      </c>
      <c r="CV430" s="65" t="s">
        <v>3040</v>
      </c>
      <c r="DA430" s="65" t="s">
        <v>4456</v>
      </c>
      <c r="DB430" s="65">
        <v>0.3</v>
      </c>
      <c r="DC430" s="65">
        <v>0.5</v>
      </c>
      <c r="DF430" s="65" t="s">
        <v>232</v>
      </c>
      <c r="GD430" s="65">
        <v>13.2</v>
      </c>
      <c r="GE430" s="65">
        <v>13.4</v>
      </c>
      <c r="GH430" s="65">
        <v>38113</v>
      </c>
      <c r="GP430" s="292" t="s">
        <v>7494</v>
      </c>
      <c r="HS430" s="227"/>
      <c r="HW430" s="227"/>
      <c r="JU430" s="55" t="s">
        <v>685</v>
      </c>
    </row>
    <row r="431" spans="1:281" x14ac:dyDescent="0.25">
      <c r="A431" s="55">
        <v>430</v>
      </c>
      <c r="B431" s="12" t="s">
        <v>7067</v>
      </c>
      <c r="C431" s="155">
        <v>24</v>
      </c>
      <c r="D431" s="55" t="s">
        <v>3773</v>
      </c>
      <c r="E431" s="90" t="s">
        <v>353</v>
      </c>
      <c r="G431" s="55" t="s">
        <v>354</v>
      </c>
      <c r="H431" s="55">
        <v>2013</v>
      </c>
      <c r="I431" s="55">
        <v>2003</v>
      </c>
      <c r="J431" s="55" t="s">
        <v>247</v>
      </c>
      <c r="K431" s="55" t="s">
        <v>355</v>
      </c>
      <c r="L431" s="55" t="s">
        <v>2737</v>
      </c>
      <c r="M431" s="90">
        <v>31.48</v>
      </c>
      <c r="N431" s="90">
        <v>-83.53</v>
      </c>
      <c r="O431" s="90">
        <v>108.4</v>
      </c>
      <c r="P431" s="55">
        <v>19.600000000000001</v>
      </c>
      <c r="Q431" s="55">
        <v>18.600000000000001</v>
      </c>
      <c r="R431" s="55">
        <v>976</v>
      </c>
      <c r="S431" s="90">
        <v>1192</v>
      </c>
      <c r="U431" s="55">
        <v>2</v>
      </c>
      <c r="V431" s="55" t="s">
        <v>1816</v>
      </c>
      <c r="Y431" s="55" t="s">
        <v>1862</v>
      </c>
      <c r="Z431" s="55" t="s">
        <v>1347</v>
      </c>
      <c r="AA431" s="90" t="s">
        <v>1676</v>
      </c>
      <c r="AD431" s="90">
        <f>(1.55+1.78)/2</f>
        <v>1.665</v>
      </c>
      <c r="AH431" s="55" t="s">
        <v>174</v>
      </c>
      <c r="AM431" s="55" t="s">
        <v>1289</v>
      </c>
      <c r="AN431" s="185" t="s">
        <v>1485</v>
      </c>
      <c r="AO431" s="185" t="s">
        <v>5150</v>
      </c>
      <c r="AQ431" s="55" t="s">
        <v>553</v>
      </c>
      <c r="AR431" s="55" t="s">
        <v>770</v>
      </c>
      <c r="AS431" s="55" t="s">
        <v>132</v>
      </c>
      <c r="AT431" s="181" t="s">
        <v>357</v>
      </c>
      <c r="AU431" s="181" t="s">
        <v>5150</v>
      </c>
      <c r="AV431" s="185" t="s">
        <v>176</v>
      </c>
      <c r="AW431" s="55" t="s">
        <v>357</v>
      </c>
      <c r="AX431" s="185" t="s">
        <v>176</v>
      </c>
      <c r="AY431" s="55" t="s">
        <v>176</v>
      </c>
      <c r="AZ431" s="55" t="s">
        <v>229</v>
      </c>
      <c r="BA431" s="55" t="s">
        <v>356</v>
      </c>
      <c r="BB431" s="55" t="s">
        <v>2081</v>
      </c>
      <c r="BC431" s="55" t="s">
        <v>2081</v>
      </c>
      <c r="BD431" s="55" t="s">
        <v>479</v>
      </c>
      <c r="BE431" s="226" t="s">
        <v>359</v>
      </c>
      <c r="BF431" s="191" t="s">
        <v>479</v>
      </c>
      <c r="BG431" s="55" t="s">
        <v>479</v>
      </c>
      <c r="BH431" s="226" t="s">
        <v>359</v>
      </c>
      <c r="BI431" s="55" t="s">
        <v>479</v>
      </c>
      <c r="BJ431" s="55" t="s">
        <v>176</v>
      </c>
      <c r="BK431" s="55" t="s">
        <v>5976</v>
      </c>
      <c r="BM431" s="192" t="s">
        <v>119</v>
      </c>
      <c r="BN431" s="55">
        <v>4</v>
      </c>
      <c r="BO431" s="55">
        <v>4</v>
      </c>
      <c r="BQ431" s="55" t="s">
        <v>141</v>
      </c>
      <c r="BS431" s="55">
        <f>3.3/2*1000</f>
        <v>1650</v>
      </c>
      <c r="CB431" s="66">
        <f>3.4*1000</f>
        <v>3400</v>
      </c>
      <c r="CC431" s="66">
        <f>2.5*1000</f>
        <v>2500</v>
      </c>
      <c r="CM431" s="65">
        <v>0.5</v>
      </c>
      <c r="CN431" s="65">
        <v>0.54</v>
      </c>
      <c r="CQ431" s="65" t="s">
        <v>593</v>
      </c>
      <c r="CV431" s="65" t="s">
        <v>3040</v>
      </c>
      <c r="DA431" s="65" t="s">
        <v>4456</v>
      </c>
      <c r="DB431" s="65">
        <v>0.3</v>
      </c>
      <c r="DC431" s="65">
        <v>0.3</v>
      </c>
      <c r="DF431" s="65" t="s">
        <v>232</v>
      </c>
      <c r="GD431" s="65">
        <v>14.2</v>
      </c>
      <c r="GE431" s="65">
        <v>15</v>
      </c>
      <c r="GH431" s="65">
        <v>38232</v>
      </c>
      <c r="GP431" s="292" t="s">
        <v>7494</v>
      </c>
      <c r="HS431" s="227"/>
      <c r="HW431" s="227"/>
      <c r="JU431" s="55" t="s">
        <v>685</v>
      </c>
    </row>
    <row r="432" spans="1:281" x14ac:dyDescent="0.25">
      <c r="A432" s="55">
        <v>431</v>
      </c>
      <c r="B432" s="12" t="s">
        <v>7067</v>
      </c>
      <c r="C432" s="155">
        <v>24</v>
      </c>
      <c r="D432" s="55" t="s">
        <v>3774</v>
      </c>
      <c r="E432" s="90" t="s">
        <v>353</v>
      </c>
      <c r="G432" s="55" t="s">
        <v>354</v>
      </c>
      <c r="H432" s="55">
        <v>2013</v>
      </c>
      <c r="I432" s="55">
        <v>2003</v>
      </c>
      <c r="J432" s="55" t="s">
        <v>247</v>
      </c>
      <c r="K432" s="55" t="s">
        <v>355</v>
      </c>
      <c r="L432" s="55" t="s">
        <v>2737</v>
      </c>
      <c r="M432" s="90">
        <v>31.48</v>
      </c>
      <c r="N432" s="90">
        <v>-83.53</v>
      </c>
      <c r="O432" s="90">
        <v>108.4</v>
      </c>
      <c r="P432" s="55">
        <v>19.600000000000001</v>
      </c>
      <c r="Q432" s="55">
        <v>18.600000000000001</v>
      </c>
      <c r="R432" s="55">
        <v>976</v>
      </c>
      <c r="S432" s="90">
        <v>1192</v>
      </c>
      <c r="U432" s="55">
        <v>2</v>
      </c>
      <c r="V432" s="55" t="s">
        <v>1816</v>
      </c>
      <c r="Y432" s="55" t="s">
        <v>1862</v>
      </c>
      <c r="Z432" s="55" t="s">
        <v>1347</v>
      </c>
      <c r="AA432" s="90" t="s">
        <v>1676</v>
      </c>
      <c r="AD432" s="90">
        <f>(1.55+1.78)/2</f>
        <v>1.665</v>
      </c>
      <c r="AH432" s="55" t="s">
        <v>174</v>
      </c>
      <c r="AM432" s="55" t="s">
        <v>1289</v>
      </c>
      <c r="AN432" s="185" t="s">
        <v>1514</v>
      </c>
      <c r="AO432" s="185" t="s">
        <v>5150</v>
      </c>
      <c r="AQ432" s="55" t="s">
        <v>1547</v>
      </c>
      <c r="AR432" s="55" t="s">
        <v>770</v>
      </c>
      <c r="AS432" s="55" t="s">
        <v>132</v>
      </c>
      <c r="AT432" s="181" t="s">
        <v>357</v>
      </c>
      <c r="AU432" s="181" t="s">
        <v>5150</v>
      </c>
      <c r="AV432" s="185" t="s">
        <v>479</v>
      </c>
      <c r="AW432" s="55" t="s">
        <v>357</v>
      </c>
      <c r="AX432" s="185" t="s">
        <v>479</v>
      </c>
      <c r="AY432" s="55" t="s">
        <v>176</v>
      </c>
      <c r="AZ432" s="55" t="s">
        <v>229</v>
      </c>
      <c r="BA432" s="55" t="s">
        <v>356</v>
      </c>
      <c r="BB432" s="55" t="s">
        <v>2081</v>
      </c>
      <c r="BC432" s="55" t="s">
        <v>2081</v>
      </c>
      <c r="BD432" s="55" t="s">
        <v>479</v>
      </c>
      <c r="BE432" s="226" t="s">
        <v>358</v>
      </c>
      <c r="BF432" s="191" t="s">
        <v>479</v>
      </c>
      <c r="BG432" s="55" t="s">
        <v>479</v>
      </c>
      <c r="BH432" s="226" t="s">
        <v>358</v>
      </c>
      <c r="BI432" s="55" t="s">
        <v>479</v>
      </c>
      <c r="BJ432" s="55" t="s">
        <v>176</v>
      </c>
      <c r="BK432" s="55" t="s">
        <v>5976</v>
      </c>
      <c r="BM432" s="192" t="s">
        <v>119</v>
      </c>
      <c r="BN432" s="55">
        <v>4</v>
      </c>
      <c r="BO432" s="55">
        <v>4</v>
      </c>
      <c r="BQ432" s="55" t="s">
        <v>141</v>
      </c>
      <c r="BS432" s="55">
        <f>(4.9+7.6)/2*1000</f>
        <v>6250</v>
      </c>
      <c r="CB432" s="66">
        <f>3.9*1000</f>
        <v>3900</v>
      </c>
      <c r="CC432" s="66">
        <f>4.6*1000</f>
        <v>4600</v>
      </c>
      <c r="CH432" s="90">
        <v>1.73</v>
      </c>
      <c r="CI432" s="90">
        <v>1.71</v>
      </c>
      <c r="CM432" s="65">
        <v>0.56000000000000005</v>
      </c>
      <c r="CN432" s="65">
        <v>0.7</v>
      </c>
      <c r="CQ432" s="65" t="s">
        <v>593</v>
      </c>
      <c r="CV432" s="65" t="s">
        <v>3040</v>
      </c>
      <c r="DA432" s="65" t="s">
        <v>4456</v>
      </c>
      <c r="DB432" s="65">
        <v>0.3</v>
      </c>
      <c r="DC432" s="65">
        <v>1.5</v>
      </c>
      <c r="DF432" s="65" t="s">
        <v>232</v>
      </c>
      <c r="FE432" s="65">
        <f>(27+22.8+18)/3</f>
        <v>22.599999999999998</v>
      </c>
      <c r="FF432" s="65">
        <f>(33.1+24.1+19.4)/3</f>
        <v>25.533333333333331</v>
      </c>
      <c r="GD432" s="65">
        <v>18.899999999999999</v>
      </c>
      <c r="GE432" s="65">
        <v>19.2</v>
      </c>
      <c r="GH432" s="65">
        <v>38505</v>
      </c>
      <c r="GP432" s="292" t="s">
        <v>7494</v>
      </c>
      <c r="HS432" s="227"/>
      <c r="HW432" s="227"/>
      <c r="JU432" s="55" t="s">
        <v>685</v>
      </c>
    </row>
    <row r="433" spans="1:282" x14ac:dyDescent="0.25">
      <c r="A433" s="55">
        <v>432</v>
      </c>
      <c r="B433" s="12" t="s">
        <v>7067</v>
      </c>
      <c r="C433" s="155">
        <v>24</v>
      </c>
      <c r="D433" s="55" t="s">
        <v>3775</v>
      </c>
      <c r="E433" s="90" t="s">
        <v>353</v>
      </c>
      <c r="G433" s="55" t="s">
        <v>354</v>
      </c>
      <c r="H433" s="55">
        <v>2013</v>
      </c>
      <c r="I433" s="55">
        <v>2003</v>
      </c>
      <c r="J433" s="55" t="s">
        <v>247</v>
      </c>
      <c r="K433" s="55" t="s">
        <v>355</v>
      </c>
      <c r="L433" s="55" t="s">
        <v>2737</v>
      </c>
      <c r="M433" s="90">
        <v>31.48</v>
      </c>
      <c r="N433" s="90">
        <v>-83.53</v>
      </c>
      <c r="O433" s="90">
        <v>108.4</v>
      </c>
      <c r="P433" s="55">
        <v>19.600000000000001</v>
      </c>
      <c r="Q433" s="55">
        <v>18.600000000000001</v>
      </c>
      <c r="R433" s="55">
        <v>976</v>
      </c>
      <c r="S433" s="90">
        <v>1192</v>
      </c>
      <c r="U433" s="55">
        <v>2</v>
      </c>
      <c r="V433" s="55" t="s">
        <v>1816</v>
      </c>
      <c r="Y433" s="55" t="s">
        <v>1862</v>
      </c>
      <c r="Z433" s="55" t="s">
        <v>1347</v>
      </c>
      <c r="AA433" s="90" t="s">
        <v>1676</v>
      </c>
      <c r="AD433" s="90">
        <f>(1.55+1.78)/2</f>
        <v>1.665</v>
      </c>
      <c r="AH433" s="55" t="s">
        <v>174</v>
      </c>
      <c r="AM433" s="55" t="s">
        <v>1289</v>
      </c>
      <c r="AN433" s="185" t="s">
        <v>1494</v>
      </c>
      <c r="AO433" s="185" t="s">
        <v>5150</v>
      </c>
      <c r="AQ433" s="55" t="s">
        <v>553</v>
      </c>
      <c r="AR433" s="55" t="s">
        <v>770</v>
      </c>
      <c r="AS433" s="55" t="s">
        <v>132</v>
      </c>
      <c r="AT433" s="181" t="s">
        <v>357</v>
      </c>
      <c r="AU433" s="181" t="s">
        <v>5150</v>
      </c>
      <c r="AV433" s="185" t="s">
        <v>176</v>
      </c>
      <c r="AW433" s="55" t="s">
        <v>357</v>
      </c>
      <c r="AX433" s="185" t="s">
        <v>176</v>
      </c>
      <c r="AY433" s="55" t="s">
        <v>176</v>
      </c>
      <c r="AZ433" s="55" t="s">
        <v>229</v>
      </c>
      <c r="BA433" s="55" t="s">
        <v>356</v>
      </c>
      <c r="BB433" s="55" t="s">
        <v>2081</v>
      </c>
      <c r="BC433" s="55" t="s">
        <v>2081</v>
      </c>
      <c r="BD433" s="55" t="s">
        <v>479</v>
      </c>
      <c r="BE433" s="226" t="s">
        <v>358</v>
      </c>
      <c r="BF433" s="191" t="s">
        <v>479</v>
      </c>
      <c r="BG433" s="55" t="s">
        <v>479</v>
      </c>
      <c r="BH433" s="226" t="s">
        <v>358</v>
      </c>
      <c r="BI433" s="55" t="s">
        <v>479</v>
      </c>
      <c r="BJ433" s="55" t="s">
        <v>176</v>
      </c>
      <c r="BK433" s="55" t="s">
        <v>5976</v>
      </c>
      <c r="BM433" s="192" t="s">
        <v>119</v>
      </c>
      <c r="BN433" s="55">
        <v>4</v>
      </c>
      <c r="BO433" s="55">
        <v>4</v>
      </c>
      <c r="BQ433" s="55" t="s">
        <v>141</v>
      </c>
      <c r="BS433" s="55">
        <f>9.3/2*1000</f>
        <v>4650</v>
      </c>
      <c r="CB433" s="66">
        <f>3.9*1000</f>
        <v>3900</v>
      </c>
      <c r="CC433" s="66">
        <f>5.3*1000</f>
        <v>5300</v>
      </c>
      <c r="CM433" s="65">
        <v>0.56000000000000005</v>
      </c>
      <c r="CN433" s="65">
        <v>0.73</v>
      </c>
      <c r="CQ433" s="65" t="s">
        <v>593</v>
      </c>
      <c r="CV433" s="65" t="s">
        <v>3040</v>
      </c>
      <c r="DA433" s="65" t="s">
        <v>4456</v>
      </c>
      <c r="DB433" s="65">
        <v>0.3</v>
      </c>
      <c r="DC433" s="65">
        <v>0.5</v>
      </c>
      <c r="DF433" s="65" t="s">
        <v>232</v>
      </c>
      <c r="GP433" s="292" t="s">
        <v>7494</v>
      </c>
      <c r="HS433" s="227"/>
      <c r="HW433" s="227"/>
      <c r="JU433" s="55" t="s">
        <v>685</v>
      </c>
    </row>
    <row r="434" spans="1:282" x14ac:dyDescent="0.25">
      <c r="A434" s="55">
        <v>433</v>
      </c>
      <c r="B434" s="12" t="s">
        <v>7067</v>
      </c>
      <c r="C434" s="155">
        <v>24</v>
      </c>
      <c r="D434" s="55" t="s">
        <v>3775</v>
      </c>
      <c r="E434" s="90" t="s">
        <v>353</v>
      </c>
      <c r="G434" s="55" t="s">
        <v>354</v>
      </c>
      <c r="H434" s="55">
        <v>2013</v>
      </c>
      <c r="I434" s="55">
        <v>2003</v>
      </c>
      <c r="J434" s="55" t="s">
        <v>247</v>
      </c>
      <c r="K434" s="55" t="s">
        <v>355</v>
      </c>
      <c r="L434" s="55" t="s">
        <v>2737</v>
      </c>
      <c r="M434" s="90">
        <v>31.48</v>
      </c>
      <c r="N434" s="90">
        <v>-83.53</v>
      </c>
      <c r="O434" s="90">
        <v>108.4</v>
      </c>
      <c r="P434" s="55">
        <v>19.600000000000001</v>
      </c>
      <c r="Q434" s="55">
        <v>18.600000000000001</v>
      </c>
      <c r="R434" s="55">
        <v>976</v>
      </c>
      <c r="S434" s="90">
        <v>1192</v>
      </c>
      <c r="U434" s="55">
        <v>2</v>
      </c>
      <c r="V434" s="55" t="s">
        <v>1816</v>
      </c>
      <c r="Y434" s="55" t="s">
        <v>1862</v>
      </c>
      <c r="Z434" s="55" t="s">
        <v>1347</v>
      </c>
      <c r="AA434" s="90" t="s">
        <v>1676</v>
      </c>
      <c r="AD434" s="90">
        <f>(1.55+1.78)/2</f>
        <v>1.665</v>
      </c>
      <c r="AH434" s="55" t="s">
        <v>174</v>
      </c>
      <c r="AM434" s="55" t="s">
        <v>1289</v>
      </c>
      <c r="AN434" s="185" t="s">
        <v>1485</v>
      </c>
      <c r="AO434" s="185" t="s">
        <v>5150</v>
      </c>
      <c r="AQ434" s="55" t="s">
        <v>553</v>
      </c>
      <c r="AR434" s="55" t="s">
        <v>770</v>
      </c>
      <c r="AS434" s="55" t="s">
        <v>132</v>
      </c>
      <c r="AT434" s="181" t="s">
        <v>357</v>
      </c>
      <c r="AU434" s="181" t="s">
        <v>5150</v>
      </c>
      <c r="AV434" s="185" t="s">
        <v>176</v>
      </c>
      <c r="AW434" s="55" t="s">
        <v>357</v>
      </c>
      <c r="AX434" s="185" t="s">
        <v>176</v>
      </c>
      <c r="AY434" s="55" t="s">
        <v>176</v>
      </c>
      <c r="AZ434" s="55" t="s">
        <v>229</v>
      </c>
      <c r="BA434" s="55" t="s">
        <v>356</v>
      </c>
      <c r="BB434" s="55" t="s">
        <v>2081</v>
      </c>
      <c r="BC434" s="55" t="s">
        <v>2081</v>
      </c>
      <c r="BD434" s="55" t="s">
        <v>479</v>
      </c>
      <c r="BE434" s="226" t="s">
        <v>358</v>
      </c>
      <c r="BF434" s="191" t="s">
        <v>479</v>
      </c>
      <c r="BG434" s="55" t="s">
        <v>479</v>
      </c>
      <c r="BH434" s="226" t="s">
        <v>358</v>
      </c>
      <c r="BI434" s="55" t="s">
        <v>479</v>
      </c>
      <c r="BJ434" s="55" t="s">
        <v>176</v>
      </c>
      <c r="BK434" s="55" t="s">
        <v>5976</v>
      </c>
      <c r="BM434" s="192" t="s">
        <v>119</v>
      </c>
      <c r="BN434" s="55">
        <v>4</v>
      </c>
      <c r="BO434" s="55">
        <v>4</v>
      </c>
      <c r="BQ434" s="55" t="s">
        <v>141</v>
      </c>
      <c r="BS434" s="55">
        <f>3.5/2*1000</f>
        <v>1750</v>
      </c>
      <c r="CB434" s="66">
        <f>3.9*1000</f>
        <v>3900</v>
      </c>
      <c r="CC434" s="66">
        <f>3.5*1000</f>
        <v>3500</v>
      </c>
      <c r="CM434" s="65">
        <v>0.56000000000000005</v>
      </c>
      <c r="CN434" s="65">
        <v>0.52</v>
      </c>
      <c r="CQ434" s="65" t="s">
        <v>593</v>
      </c>
      <c r="CV434" s="65" t="s">
        <v>3040</v>
      </c>
      <c r="DA434" s="65" t="s">
        <v>4456</v>
      </c>
      <c r="DB434" s="65">
        <v>0.3</v>
      </c>
      <c r="DC434" s="65">
        <v>0.3</v>
      </c>
      <c r="DF434" s="65" t="s">
        <v>232</v>
      </c>
      <c r="GP434" s="292" t="s">
        <v>7494</v>
      </c>
      <c r="HS434" s="227"/>
      <c r="HW434" s="227"/>
      <c r="JU434" s="55" t="s">
        <v>685</v>
      </c>
    </row>
    <row r="435" spans="1:282" x14ac:dyDescent="0.25">
      <c r="A435" s="55">
        <v>434</v>
      </c>
      <c r="B435" s="12" t="s">
        <v>7067</v>
      </c>
      <c r="C435" s="155">
        <v>25</v>
      </c>
      <c r="D435" s="55" t="s">
        <v>3776</v>
      </c>
      <c r="E435" s="90" t="s">
        <v>361</v>
      </c>
      <c r="G435" s="55" t="s">
        <v>362</v>
      </c>
      <c r="H435" s="55">
        <v>2009</v>
      </c>
      <c r="I435" s="55">
        <v>2004</v>
      </c>
      <c r="J435" s="55" t="s">
        <v>276</v>
      </c>
      <c r="K435" s="55" t="s">
        <v>365</v>
      </c>
      <c r="L435" s="55" t="s">
        <v>2737</v>
      </c>
      <c r="M435" s="90">
        <f>(44+53/60+44+22/60+42+44/60+42+52/60)/4</f>
        <v>43.712499999999999</v>
      </c>
      <c r="N435" s="90">
        <f>(-73-28/60-73-26/60-76-39/60-70-3/60)/4</f>
        <v>-73.400000000000006</v>
      </c>
      <c r="O435" s="90">
        <v>301</v>
      </c>
      <c r="U435" s="55">
        <v>2</v>
      </c>
      <c r="V435" s="55" t="s">
        <v>1816</v>
      </c>
      <c r="Y435" s="55" t="s">
        <v>1863</v>
      </c>
      <c r="Z435" s="55" t="s">
        <v>1349</v>
      </c>
      <c r="AA435" s="90" t="s">
        <v>1677</v>
      </c>
      <c r="AE435" s="90">
        <f>(212+195+408+470)/(212+195+408+470+726+491+484+445+62+314+108+85)*100</f>
        <v>32.125</v>
      </c>
      <c r="AF435" s="90">
        <f>(726+491+484+445)/(212+195+408+470+726+491+484+445+62+314+108+85)*100</f>
        <v>53.65</v>
      </c>
      <c r="AH435" s="55" t="s">
        <v>6378</v>
      </c>
      <c r="AM435" s="55" t="s">
        <v>1290</v>
      </c>
      <c r="AN435" s="185" t="s">
        <v>131</v>
      </c>
      <c r="AO435" s="185" t="s">
        <v>5150</v>
      </c>
      <c r="AQ435" s="55" t="s">
        <v>131</v>
      </c>
      <c r="AR435" s="55" t="s">
        <v>610</v>
      </c>
      <c r="AS435" s="55" t="s">
        <v>1577</v>
      </c>
      <c r="AT435" s="181" t="s">
        <v>363</v>
      </c>
      <c r="AU435" s="181" t="s">
        <v>5150</v>
      </c>
      <c r="AV435" s="185" t="s">
        <v>479</v>
      </c>
      <c r="AW435" s="55" t="s">
        <v>363</v>
      </c>
      <c r="AX435" s="185" t="s">
        <v>479</v>
      </c>
      <c r="AY435" s="55" t="s">
        <v>176</v>
      </c>
      <c r="AZ435" s="55" t="s">
        <v>366</v>
      </c>
      <c r="BA435" s="55" t="s">
        <v>366</v>
      </c>
      <c r="BB435" s="55" t="s">
        <v>2082</v>
      </c>
      <c r="BC435" s="55" t="s">
        <v>2082</v>
      </c>
      <c r="BD435" s="55" t="s">
        <v>176</v>
      </c>
      <c r="BK435" s="55" t="s">
        <v>6269</v>
      </c>
      <c r="BM435" s="192" t="s">
        <v>160</v>
      </c>
      <c r="BN435" s="55">
        <v>4</v>
      </c>
      <c r="BO435" s="55">
        <v>4</v>
      </c>
      <c r="BQ435" s="55" t="s">
        <v>141</v>
      </c>
      <c r="CM435" s="65">
        <f>21/1000*100</f>
        <v>2.1</v>
      </c>
      <c r="CN435" s="65">
        <v>2</v>
      </c>
      <c r="CQ435" s="65" t="s">
        <v>1630</v>
      </c>
      <c r="CV435" s="65" t="s">
        <v>1630</v>
      </c>
      <c r="DA435" s="65" t="s">
        <v>4453</v>
      </c>
      <c r="DG435" s="65">
        <v>10.9</v>
      </c>
      <c r="DH435" s="65">
        <v>11.5</v>
      </c>
      <c r="DL435" s="65">
        <v>58</v>
      </c>
      <c r="DM435" s="65">
        <v>57</v>
      </c>
      <c r="DQ435" s="165">
        <v>7.24</v>
      </c>
      <c r="DR435" s="165">
        <v>7.22</v>
      </c>
      <c r="DV435" s="65">
        <v>166</v>
      </c>
      <c r="DW435" s="65">
        <v>166</v>
      </c>
      <c r="DZ435" s="65" t="s">
        <v>4467</v>
      </c>
      <c r="EK435" s="90">
        <f>16.5*10</f>
        <v>165</v>
      </c>
      <c r="EL435" s="90">
        <v>160</v>
      </c>
      <c r="GI435" s="65">
        <v>0.11700000000000001</v>
      </c>
      <c r="GJ435" s="65">
        <v>0.11799999999999999</v>
      </c>
      <c r="GM435" s="65" t="s">
        <v>367</v>
      </c>
      <c r="GP435" s="292" t="s">
        <v>7494</v>
      </c>
      <c r="GT435" s="227">
        <v>5</v>
      </c>
      <c r="GU435" s="65">
        <v>5</v>
      </c>
      <c r="GX435" s="65" t="s">
        <v>1667</v>
      </c>
      <c r="HX435" s="65">
        <v>501</v>
      </c>
      <c r="HY435" s="65">
        <v>510</v>
      </c>
      <c r="IB435" s="65" t="s">
        <v>368</v>
      </c>
      <c r="IC435" s="65">
        <v>3.41</v>
      </c>
      <c r="ID435" s="65">
        <v>3.76</v>
      </c>
      <c r="IG435" s="65" t="s">
        <v>596</v>
      </c>
      <c r="JQ435" s="65">
        <v>99999</v>
      </c>
      <c r="JU435" s="55" t="s">
        <v>369</v>
      </c>
      <c r="JV435" s="55" t="s">
        <v>694</v>
      </c>
    </row>
    <row r="436" spans="1:282" x14ac:dyDescent="0.25">
      <c r="A436" s="55">
        <v>435</v>
      </c>
      <c r="B436" s="12" t="s">
        <v>7067</v>
      </c>
      <c r="C436" s="155">
        <v>25</v>
      </c>
      <c r="D436" s="55" t="s">
        <v>3776</v>
      </c>
      <c r="E436" s="90" t="s">
        <v>361</v>
      </c>
      <c r="G436" s="55" t="s">
        <v>362</v>
      </c>
      <c r="H436" s="55">
        <v>2009</v>
      </c>
      <c r="I436" s="55">
        <v>2004</v>
      </c>
      <c r="J436" s="55" t="s">
        <v>276</v>
      </c>
      <c r="K436" s="55" t="s">
        <v>365</v>
      </c>
      <c r="L436" s="55" t="s">
        <v>2737</v>
      </c>
      <c r="M436" s="90">
        <f>(44+53/60+44+22/60+42+44/60+42+52/60)/4</f>
        <v>43.712499999999999</v>
      </c>
      <c r="N436" s="90">
        <f>(-73-28/60-73-26/60-76-39/60-70-3/60)/4</f>
        <v>-73.400000000000006</v>
      </c>
      <c r="O436" s="90">
        <v>301</v>
      </c>
      <c r="U436" s="55">
        <v>2</v>
      </c>
      <c r="V436" s="55" t="s">
        <v>1816</v>
      </c>
      <c r="Y436" s="55" t="s">
        <v>1863</v>
      </c>
      <c r="Z436" s="55" t="s">
        <v>1349</v>
      </c>
      <c r="AA436" s="90" t="s">
        <v>1677</v>
      </c>
      <c r="AE436" s="90">
        <f>(212+195+408+470)/(212+195+408+470+726+491+484+445+62+314+108+85)*100</f>
        <v>32.125</v>
      </c>
      <c r="AF436" s="90">
        <f>(726+491+484+445)/(212+195+408+470+726+491+484+445+62+314+108+85)*100</f>
        <v>53.65</v>
      </c>
      <c r="AH436" s="55" t="s">
        <v>6378</v>
      </c>
      <c r="AM436" s="55" t="s">
        <v>1290</v>
      </c>
      <c r="AN436" s="185" t="s">
        <v>131</v>
      </c>
      <c r="AO436" s="185" t="s">
        <v>5150</v>
      </c>
      <c r="AQ436" s="55" t="s">
        <v>131</v>
      </c>
      <c r="AR436" s="55" t="s">
        <v>610</v>
      </c>
      <c r="AS436" s="55" t="s">
        <v>1577</v>
      </c>
      <c r="AT436" s="181" t="s">
        <v>363</v>
      </c>
      <c r="AU436" s="181" t="s">
        <v>5150</v>
      </c>
      <c r="AV436" s="185" t="s">
        <v>479</v>
      </c>
      <c r="AW436" s="55" t="s">
        <v>363</v>
      </c>
      <c r="AX436" s="185" t="s">
        <v>479</v>
      </c>
      <c r="AY436" s="55" t="s">
        <v>176</v>
      </c>
      <c r="AZ436" s="55" t="s">
        <v>366</v>
      </c>
      <c r="BA436" s="55" t="s">
        <v>366</v>
      </c>
      <c r="BB436" s="55" t="s">
        <v>2082</v>
      </c>
      <c r="BC436" s="55" t="s">
        <v>2082</v>
      </c>
      <c r="BD436" s="55" t="s">
        <v>176</v>
      </c>
      <c r="BK436" s="55" t="s">
        <v>6269</v>
      </c>
      <c r="BM436" s="192" t="s">
        <v>160</v>
      </c>
      <c r="BN436" s="55">
        <v>4</v>
      </c>
      <c r="BO436" s="55">
        <v>4</v>
      </c>
      <c r="BQ436" s="55" t="s">
        <v>141</v>
      </c>
      <c r="CM436" s="65">
        <v>2.1</v>
      </c>
      <c r="CN436" s="65">
        <v>2</v>
      </c>
      <c r="CQ436" s="65" t="s">
        <v>1630</v>
      </c>
      <c r="CV436" s="65" t="s">
        <v>1630</v>
      </c>
      <c r="DA436" s="65" t="s">
        <v>4453</v>
      </c>
      <c r="DG436" s="65">
        <v>10.9</v>
      </c>
      <c r="DH436" s="65">
        <v>10.199999999999999</v>
      </c>
      <c r="DL436" s="65">
        <v>58</v>
      </c>
      <c r="DM436" s="65">
        <v>60</v>
      </c>
      <c r="DQ436" s="165">
        <v>7.24</v>
      </c>
      <c r="DR436" s="165">
        <v>7.19</v>
      </c>
      <c r="DV436" s="65">
        <v>166</v>
      </c>
      <c r="DW436" s="65">
        <v>162</v>
      </c>
      <c r="DZ436" s="65" t="s">
        <v>4467</v>
      </c>
      <c r="EK436" s="90">
        <f>16.5*10</f>
        <v>165</v>
      </c>
      <c r="EL436" s="90">
        <v>177</v>
      </c>
      <c r="GI436" s="65">
        <v>0.11700000000000001</v>
      </c>
      <c r="GJ436" s="65">
        <v>0.12</v>
      </c>
      <c r="GM436" s="65" t="s">
        <v>367</v>
      </c>
      <c r="GP436" s="292" t="s">
        <v>7494</v>
      </c>
      <c r="GT436" s="227">
        <v>5</v>
      </c>
      <c r="GU436" s="65">
        <v>5.0999999999999996</v>
      </c>
      <c r="GX436" s="65" t="s">
        <v>1667</v>
      </c>
      <c r="HX436" s="65">
        <v>501</v>
      </c>
      <c r="HY436" s="65">
        <v>492</v>
      </c>
      <c r="IB436" s="65" t="s">
        <v>368</v>
      </c>
      <c r="IC436" s="65">
        <v>3.41</v>
      </c>
      <c r="ID436" s="65">
        <v>6.27</v>
      </c>
      <c r="IG436" s="65" t="s">
        <v>596</v>
      </c>
      <c r="JQ436" s="65">
        <v>99999</v>
      </c>
      <c r="JU436" s="55" t="s">
        <v>369</v>
      </c>
      <c r="JV436" s="55" t="s">
        <v>694</v>
      </c>
    </row>
    <row r="437" spans="1:282" x14ac:dyDescent="0.25">
      <c r="A437" s="55">
        <v>436</v>
      </c>
      <c r="B437" s="12" t="s">
        <v>7067</v>
      </c>
      <c r="C437" s="155">
        <v>25</v>
      </c>
      <c r="D437" s="55" t="s">
        <v>3776</v>
      </c>
      <c r="E437" s="90" t="s">
        <v>361</v>
      </c>
      <c r="G437" s="55" t="s">
        <v>362</v>
      </c>
      <c r="H437" s="55">
        <v>2009</v>
      </c>
      <c r="I437" s="55">
        <v>2004</v>
      </c>
      <c r="J437" s="55" t="s">
        <v>276</v>
      </c>
      <c r="K437" s="55" t="s">
        <v>365</v>
      </c>
      <c r="L437" s="55" t="s">
        <v>2737</v>
      </c>
      <c r="M437" s="90">
        <f>(44+53/60+44+22/60+42+44/60+42+52/60)/4</f>
        <v>43.712499999999999</v>
      </c>
      <c r="N437" s="90">
        <f>(-73-28/60-73-26/60-76-39/60-70-3/60)/4</f>
        <v>-73.400000000000006</v>
      </c>
      <c r="O437" s="90">
        <v>301</v>
      </c>
      <c r="U437" s="55">
        <v>2</v>
      </c>
      <c r="V437" s="55" t="s">
        <v>1816</v>
      </c>
      <c r="Y437" s="55" t="s">
        <v>1863</v>
      </c>
      <c r="Z437" s="55" t="s">
        <v>1349</v>
      </c>
      <c r="AA437" s="90" t="s">
        <v>1677</v>
      </c>
      <c r="AE437" s="90">
        <f>(212+195+408+470)/(212+195+408+470+726+491+484+445+62+314+108+85)*100</f>
        <v>32.125</v>
      </c>
      <c r="AF437" s="90">
        <f>(726+491+484+445)/(212+195+408+470+726+491+484+445+62+314+108+85)*100</f>
        <v>53.65</v>
      </c>
      <c r="AH437" s="55" t="s">
        <v>6378</v>
      </c>
      <c r="AM437" s="55" t="s">
        <v>1290</v>
      </c>
      <c r="AN437" s="185" t="s">
        <v>131</v>
      </c>
      <c r="AO437" s="185" t="s">
        <v>5150</v>
      </c>
      <c r="AQ437" s="55" t="s">
        <v>131</v>
      </c>
      <c r="AR437" s="55" t="s">
        <v>610</v>
      </c>
      <c r="AS437" s="55" t="s">
        <v>1577</v>
      </c>
      <c r="AT437" s="181" t="s">
        <v>364</v>
      </c>
      <c r="AU437" s="181" t="s">
        <v>5150</v>
      </c>
      <c r="AV437" s="185" t="s">
        <v>479</v>
      </c>
      <c r="AW437" s="55" t="s">
        <v>364</v>
      </c>
      <c r="AX437" s="185" t="s">
        <v>479</v>
      </c>
      <c r="AY437" s="55" t="s">
        <v>176</v>
      </c>
      <c r="AZ437" s="55" t="s">
        <v>366</v>
      </c>
      <c r="BA437" s="55" t="s">
        <v>366</v>
      </c>
      <c r="BB437" s="55" t="s">
        <v>2082</v>
      </c>
      <c r="BC437" s="55" t="s">
        <v>2082</v>
      </c>
      <c r="BD437" s="55" t="s">
        <v>176</v>
      </c>
      <c r="BK437" s="55" t="s">
        <v>6269</v>
      </c>
      <c r="BM437" s="192" t="s">
        <v>160</v>
      </c>
      <c r="BN437" s="55">
        <v>4</v>
      </c>
      <c r="BO437" s="55">
        <v>4</v>
      </c>
      <c r="BQ437" s="55" t="s">
        <v>141</v>
      </c>
      <c r="CM437" s="65">
        <v>2.2999999999999998</v>
      </c>
      <c r="CN437" s="65">
        <v>2.1</v>
      </c>
      <c r="CQ437" s="65" t="s">
        <v>1630</v>
      </c>
      <c r="CV437" s="65" t="s">
        <v>1630</v>
      </c>
      <c r="DA437" s="65" t="s">
        <v>4453</v>
      </c>
      <c r="DG437" s="65">
        <v>11</v>
      </c>
      <c r="DH437" s="65">
        <v>10.9</v>
      </c>
      <c r="DL437" s="65">
        <v>62</v>
      </c>
      <c r="DM437" s="65">
        <v>65</v>
      </c>
      <c r="DQ437" s="165">
        <v>7.19</v>
      </c>
      <c r="DR437" s="165">
        <v>7.24</v>
      </c>
      <c r="DV437" s="65">
        <v>171</v>
      </c>
      <c r="DW437" s="65">
        <v>162</v>
      </c>
      <c r="DZ437" s="65" t="s">
        <v>4467</v>
      </c>
      <c r="EK437" s="90">
        <f>21.8*10</f>
        <v>218</v>
      </c>
      <c r="EL437" s="90">
        <v>224</v>
      </c>
      <c r="GI437" s="65">
        <v>0.121</v>
      </c>
      <c r="GJ437" s="65">
        <v>0.124</v>
      </c>
      <c r="GM437" s="65" t="s">
        <v>367</v>
      </c>
      <c r="GP437" s="292" t="s">
        <v>7494</v>
      </c>
      <c r="GT437" s="227">
        <v>5</v>
      </c>
      <c r="GU437" s="65">
        <v>4.7</v>
      </c>
      <c r="GX437" s="65" t="s">
        <v>1667</v>
      </c>
      <c r="HX437" s="65">
        <v>549</v>
      </c>
      <c r="HY437" s="65">
        <v>525</v>
      </c>
      <c r="IB437" s="65" t="s">
        <v>368</v>
      </c>
      <c r="IC437" s="65">
        <v>6.94</v>
      </c>
      <c r="ID437" s="65">
        <v>5.91</v>
      </c>
      <c r="IG437" s="65" t="s">
        <v>596</v>
      </c>
      <c r="JQ437" s="65">
        <v>99999</v>
      </c>
      <c r="JU437" s="55" t="s">
        <v>369</v>
      </c>
      <c r="JV437" s="55" t="s">
        <v>694</v>
      </c>
    </row>
    <row r="438" spans="1:282" x14ac:dyDescent="0.25">
      <c r="A438" s="55">
        <v>437</v>
      </c>
      <c r="B438" s="12" t="s">
        <v>7067</v>
      </c>
      <c r="C438" s="155">
        <v>25</v>
      </c>
      <c r="D438" s="55" t="s">
        <v>3776</v>
      </c>
      <c r="E438" s="90" t="s">
        <v>361</v>
      </c>
      <c r="G438" s="55" t="s">
        <v>362</v>
      </c>
      <c r="H438" s="55">
        <v>2009</v>
      </c>
      <c r="I438" s="55">
        <v>2004</v>
      </c>
      <c r="J438" s="55" t="s">
        <v>276</v>
      </c>
      <c r="K438" s="55" t="s">
        <v>365</v>
      </c>
      <c r="L438" s="55" t="s">
        <v>2737</v>
      </c>
      <c r="M438" s="90">
        <f>(44+53/60+44+22/60+42+44/60+42+52/60)/4</f>
        <v>43.712499999999999</v>
      </c>
      <c r="N438" s="90">
        <f>(-73-28/60-73-26/60-76-39/60-70-3/60)/4</f>
        <v>-73.400000000000006</v>
      </c>
      <c r="O438" s="90">
        <v>301</v>
      </c>
      <c r="U438" s="55">
        <v>2</v>
      </c>
      <c r="V438" s="55" t="s">
        <v>1816</v>
      </c>
      <c r="Y438" s="55" t="s">
        <v>1863</v>
      </c>
      <c r="Z438" s="55" t="s">
        <v>1349</v>
      </c>
      <c r="AA438" s="90" t="s">
        <v>1677</v>
      </c>
      <c r="AE438" s="90">
        <f>(212+195+408+470)/(212+195+408+470+726+491+484+445+62+314+108+85)*100</f>
        <v>32.125</v>
      </c>
      <c r="AF438" s="90">
        <f>(726+491+484+445)/(212+195+408+470+726+491+484+445+62+314+108+85)*100</f>
        <v>53.65</v>
      </c>
      <c r="AH438" s="55" t="s">
        <v>6378</v>
      </c>
      <c r="AM438" s="55" t="s">
        <v>1290</v>
      </c>
      <c r="AN438" s="185" t="s">
        <v>131</v>
      </c>
      <c r="AO438" s="185" t="s">
        <v>5150</v>
      </c>
      <c r="AQ438" s="55" t="s">
        <v>131</v>
      </c>
      <c r="AR438" s="55" t="s">
        <v>610</v>
      </c>
      <c r="AS438" s="55" t="s">
        <v>1577</v>
      </c>
      <c r="AT438" s="181" t="s">
        <v>364</v>
      </c>
      <c r="AU438" s="181" t="s">
        <v>5150</v>
      </c>
      <c r="AV438" s="185" t="s">
        <v>479</v>
      </c>
      <c r="AW438" s="55" t="s">
        <v>364</v>
      </c>
      <c r="AX438" s="185" t="s">
        <v>479</v>
      </c>
      <c r="AY438" s="55" t="s">
        <v>176</v>
      </c>
      <c r="AZ438" s="55" t="s">
        <v>366</v>
      </c>
      <c r="BA438" s="55" t="s">
        <v>366</v>
      </c>
      <c r="BB438" s="55" t="s">
        <v>2082</v>
      </c>
      <c r="BC438" s="55" t="s">
        <v>2082</v>
      </c>
      <c r="BD438" s="55" t="s">
        <v>176</v>
      </c>
      <c r="BK438" s="55" t="s">
        <v>6269</v>
      </c>
      <c r="BM438" s="192" t="s">
        <v>160</v>
      </c>
      <c r="BN438" s="55">
        <v>4</v>
      </c>
      <c r="BO438" s="55">
        <v>4</v>
      </c>
      <c r="BQ438" s="55" t="s">
        <v>141</v>
      </c>
      <c r="CM438" s="65">
        <v>2.2999999999999998</v>
      </c>
      <c r="CN438" s="65">
        <v>2.1</v>
      </c>
      <c r="CQ438" s="65" t="s">
        <v>1630</v>
      </c>
      <c r="CV438" s="65" t="s">
        <v>1630</v>
      </c>
      <c r="DA438" s="65" t="s">
        <v>4453</v>
      </c>
      <c r="DG438" s="65">
        <v>11</v>
      </c>
      <c r="DH438" s="65">
        <v>11.6</v>
      </c>
      <c r="DL438" s="65">
        <v>62</v>
      </c>
      <c r="DM438" s="65">
        <v>63</v>
      </c>
      <c r="DQ438" s="165">
        <v>7.19</v>
      </c>
      <c r="DR438" s="165">
        <v>7.29</v>
      </c>
      <c r="DV438" s="65">
        <v>171</v>
      </c>
      <c r="DW438" s="65">
        <v>162</v>
      </c>
      <c r="DZ438" s="65" t="s">
        <v>4467</v>
      </c>
      <c r="EK438" s="90">
        <f>21.8*10</f>
        <v>218</v>
      </c>
      <c r="EL438" s="90">
        <v>214</v>
      </c>
      <c r="GI438" s="65">
        <v>0.121</v>
      </c>
      <c r="GJ438" s="65">
        <v>0.12</v>
      </c>
      <c r="GM438" s="65" t="s">
        <v>367</v>
      </c>
      <c r="GP438" s="292" t="s">
        <v>7494</v>
      </c>
      <c r="GT438" s="227">
        <v>5</v>
      </c>
      <c r="GU438" s="65">
        <v>5</v>
      </c>
      <c r="GX438" s="65" t="s">
        <v>1667</v>
      </c>
      <c r="HX438" s="65">
        <v>549</v>
      </c>
      <c r="HY438" s="65">
        <v>527</v>
      </c>
      <c r="IB438" s="65" t="s">
        <v>368</v>
      </c>
      <c r="IC438" s="65">
        <v>6.94</v>
      </c>
      <c r="ID438" s="65">
        <v>6.42</v>
      </c>
      <c r="IG438" s="65" t="s">
        <v>596</v>
      </c>
      <c r="JQ438" s="65">
        <v>99999</v>
      </c>
      <c r="JU438" s="55" t="s">
        <v>369</v>
      </c>
      <c r="JV438" s="55" t="s">
        <v>694</v>
      </c>
    </row>
    <row r="439" spans="1:282" x14ac:dyDescent="0.25">
      <c r="A439" s="55">
        <v>438</v>
      </c>
      <c r="B439" s="12" t="s">
        <v>7067</v>
      </c>
      <c r="C439" s="155">
        <v>26</v>
      </c>
      <c r="D439" s="55" t="s">
        <v>3777</v>
      </c>
      <c r="E439" s="90" t="s">
        <v>370</v>
      </c>
      <c r="G439" s="55" t="s">
        <v>371</v>
      </c>
      <c r="H439" s="55">
        <v>2015</v>
      </c>
      <c r="I439" s="55">
        <v>2012</v>
      </c>
      <c r="J439" s="55" t="s">
        <v>276</v>
      </c>
      <c r="K439" s="55" t="s">
        <v>372</v>
      </c>
      <c r="L439" s="55" t="s">
        <v>2737</v>
      </c>
      <c r="M439" s="90">
        <f>35.39</f>
        <v>35.39</v>
      </c>
      <c r="N439" s="90">
        <f>-78.03</f>
        <v>-78.03</v>
      </c>
      <c r="O439" s="90">
        <v>24.3</v>
      </c>
      <c r="U439" s="55">
        <v>1</v>
      </c>
      <c r="V439" s="55">
        <v>1</v>
      </c>
      <c r="Y439" s="55" t="s">
        <v>377</v>
      </c>
      <c r="Z439" s="55" t="s">
        <v>1349</v>
      </c>
      <c r="AA439" s="90" t="s">
        <v>1677</v>
      </c>
      <c r="AH439" s="55" t="s">
        <v>174</v>
      </c>
      <c r="AM439" s="55" t="s">
        <v>1291</v>
      </c>
      <c r="AN439" s="185" t="s">
        <v>375</v>
      </c>
      <c r="AO439" s="185" t="s">
        <v>5150</v>
      </c>
      <c r="AQ439" s="55" t="s">
        <v>553</v>
      </c>
      <c r="AR439" s="55" t="s">
        <v>132</v>
      </c>
      <c r="AS439" s="55" t="s">
        <v>132</v>
      </c>
      <c r="AU439" s="181" t="s">
        <v>7494</v>
      </c>
      <c r="AV439" s="185" t="s">
        <v>176</v>
      </c>
      <c r="AX439" s="185" t="s">
        <v>176</v>
      </c>
      <c r="AZ439" s="55" t="s">
        <v>374</v>
      </c>
      <c r="BA439" s="55" t="s">
        <v>374</v>
      </c>
      <c r="BB439" s="55" t="s">
        <v>2081</v>
      </c>
      <c r="BC439" s="55" t="s">
        <v>2081</v>
      </c>
      <c r="BD439" s="55" t="s">
        <v>176</v>
      </c>
      <c r="BE439" s="226">
        <v>0</v>
      </c>
      <c r="BF439" s="55" t="s">
        <v>176</v>
      </c>
      <c r="BG439" s="55" t="s">
        <v>176</v>
      </c>
      <c r="BH439" s="226">
        <v>0</v>
      </c>
      <c r="BI439" s="55" t="s">
        <v>176</v>
      </c>
      <c r="BJ439" s="55" t="s">
        <v>176</v>
      </c>
      <c r="BK439" s="55" t="s">
        <v>5976</v>
      </c>
      <c r="BM439" s="192" t="s">
        <v>160</v>
      </c>
      <c r="BN439" s="55">
        <v>4</v>
      </c>
      <c r="BO439" s="55">
        <v>4</v>
      </c>
      <c r="BQ439" s="55" t="s">
        <v>315</v>
      </c>
      <c r="BS439" s="55">
        <f>(6.5+1.7)*1000</f>
        <v>8200</v>
      </c>
      <c r="BT439" s="55">
        <f>BS439/(205+53)</f>
        <v>31.782945736434108</v>
      </c>
      <c r="BU439" s="55" t="s">
        <v>386</v>
      </c>
      <c r="DB439" s="65">
        <v>10.685</v>
      </c>
      <c r="DC439" s="65">
        <v>29.363800000000001</v>
      </c>
      <c r="DF439" s="65" t="s">
        <v>385</v>
      </c>
      <c r="GP439" s="292" t="s">
        <v>7494</v>
      </c>
      <c r="HS439" s="227"/>
      <c r="HW439" s="227"/>
      <c r="JU439" s="55" t="s">
        <v>388</v>
      </c>
      <c r="JV439" s="55" t="s">
        <v>687</v>
      </c>
    </row>
    <row r="440" spans="1:282" x14ac:dyDescent="0.25">
      <c r="A440" s="55">
        <v>439</v>
      </c>
      <c r="B440" s="12" t="s">
        <v>7067</v>
      </c>
      <c r="C440" s="155">
        <v>26</v>
      </c>
      <c r="D440" s="55" t="s">
        <v>3777</v>
      </c>
      <c r="E440" s="90" t="s">
        <v>370</v>
      </c>
      <c r="G440" s="55" t="s">
        <v>371</v>
      </c>
      <c r="H440" s="55">
        <v>2015</v>
      </c>
      <c r="I440" s="55">
        <v>2012</v>
      </c>
      <c r="J440" s="55" t="s">
        <v>276</v>
      </c>
      <c r="K440" s="55" t="s">
        <v>372</v>
      </c>
      <c r="L440" s="55" t="s">
        <v>2737</v>
      </c>
      <c r="M440" s="90">
        <f>35.39</f>
        <v>35.39</v>
      </c>
      <c r="N440" s="90">
        <f>-78.03</f>
        <v>-78.03</v>
      </c>
      <c r="O440" s="90">
        <v>24.3</v>
      </c>
      <c r="U440" s="55">
        <v>1</v>
      </c>
      <c r="V440" s="55">
        <v>1</v>
      </c>
      <c r="Y440" s="55" t="s">
        <v>377</v>
      </c>
      <c r="Z440" s="55" t="s">
        <v>1349</v>
      </c>
      <c r="AA440" s="90" t="s">
        <v>1677</v>
      </c>
      <c r="AH440" s="55" t="s">
        <v>174</v>
      </c>
      <c r="AM440" s="55" t="s">
        <v>1291</v>
      </c>
      <c r="AN440" s="185" t="s">
        <v>376</v>
      </c>
      <c r="AO440" s="185" t="s">
        <v>5150</v>
      </c>
      <c r="AQ440" s="55" t="s">
        <v>553</v>
      </c>
      <c r="AR440" s="55" t="s">
        <v>132</v>
      </c>
      <c r="AS440" s="55" t="s">
        <v>132</v>
      </c>
      <c r="AU440" s="181" t="s">
        <v>7494</v>
      </c>
      <c r="AV440" s="185" t="s">
        <v>176</v>
      </c>
      <c r="AX440" s="185" t="s">
        <v>176</v>
      </c>
      <c r="AZ440" s="55" t="s">
        <v>374</v>
      </c>
      <c r="BA440" s="55" t="s">
        <v>374</v>
      </c>
      <c r="BB440" s="55" t="s">
        <v>2081</v>
      </c>
      <c r="BC440" s="55" t="s">
        <v>2081</v>
      </c>
      <c r="BD440" s="55" t="s">
        <v>176</v>
      </c>
      <c r="BE440" s="226">
        <v>0</v>
      </c>
      <c r="BF440" s="55" t="s">
        <v>176</v>
      </c>
      <c r="BG440" s="55" t="s">
        <v>176</v>
      </c>
      <c r="BH440" s="226">
        <v>0</v>
      </c>
      <c r="BI440" s="55" t="s">
        <v>176</v>
      </c>
      <c r="BJ440" s="55" t="s">
        <v>176</v>
      </c>
      <c r="BK440" s="55" t="s">
        <v>5976</v>
      </c>
      <c r="BM440" s="192" t="s">
        <v>160</v>
      </c>
      <c r="BN440" s="55">
        <v>4</v>
      </c>
      <c r="BO440" s="55">
        <v>4</v>
      </c>
      <c r="BQ440" s="55" t="s">
        <v>315</v>
      </c>
      <c r="BS440" s="55">
        <f>(9.6+2.8)*1000</f>
        <v>12399.999999999998</v>
      </c>
      <c r="BT440" s="55">
        <f>BS440/(256+66)</f>
        <v>38.509316770186331</v>
      </c>
      <c r="BU440" s="55" t="s">
        <v>386</v>
      </c>
      <c r="DB440" s="65">
        <v>10.685</v>
      </c>
      <c r="DC440" s="65">
        <v>14.356</v>
      </c>
      <c r="DF440" s="65" t="s">
        <v>385</v>
      </c>
      <c r="GP440" s="292" t="s">
        <v>7494</v>
      </c>
      <c r="HS440" s="227"/>
      <c r="HW440" s="227"/>
      <c r="JU440" s="55" t="s">
        <v>388</v>
      </c>
      <c r="JV440" s="55" t="s">
        <v>687</v>
      </c>
    </row>
    <row r="441" spans="1:282" x14ac:dyDescent="0.25">
      <c r="A441" s="55">
        <v>440</v>
      </c>
      <c r="B441" s="12" t="s">
        <v>7067</v>
      </c>
      <c r="C441" s="155">
        <v>26</v>
      </c>
      <c r="D441" s="55" t="s">
        <v>3777</v>
      </c>
      <c r="E441" s="90" t="s">
        <v>370</v>
      </c>
      <c r="G441" s="55" t="s">
        <v>371</v>
      </c>
      <c r="H441" s="55">
        <v>2015</v>
      </c>
      <c r="I441" s="55">
        <v>2012</v>
      </c>
      <c r="J441" s="55" t="s">
        <v>276</v>
      </c>
      <c r="K441" s="55" t="s">
        <v>372</v>
      </c>
      <c r="L441" s="55" t="s">
        <v>2737</v>
      </c>
      <c r="M441" s="90">
        <f>35.39</f>
        <v>35.39</v>
      </c>
      <c r="N441" s="90">
        <f>-78.03</f>
        <v>-78.03</v>
      </c>
      <c r="O441" s="90">
        <v>24.3</v>
      </c>
      <c r="U441" s="55">
        <v>1</v>
      </c>
      <c r="V441" s="55">
        <v>1</v>
      </c>
      <c r="Y441" s="55" t="s">
        <v>377</v>
      </c>
      <c r="Z441" s="55" t="s">
        <v>1349</v>
      </c>
      <c r="AA441" s="90" t="s">
        <v>1677</v>
      </c>
      <c r="AH441" s="55" t="s">
        <v>174</v>
      </c>
      <c r="AM441" s="55" t="s">
        <v>1291</v>
      </c>
      <c r="AN441" s="185" t="s">
        <v>241</v>
      </c>
      <c r="AO441" s="185" t="s">
        <v>5150</v>
      </c>
      <c r="AQ441" s="55" t="s">
        <v>553</v>
      </c>
      <c r="AR441" s="55" t="s">
        <v>132</v>
      </c>
      <c r="AS441" s="55" t="s">
        <v>132</v>
      </c>
      <c r="AU441" s="181" t="s">
        <v>7494</v>
      </c>
      <c r="AV441" s="185" t="s">
        <v>176</v>
      </c>
      <c r="AX441" s="185" t="s">
        <v>176</v>
      </c>
      <c r="AZ441" s="55" t="s">
        <v>374</v>
      </c>
      <c r="BA441" s="55" t="s">
        <v>374</v>
      </c>
      <c r="BB441" s="55" t="s">
        <v>2081</v>
      </c>
      <c r="BC441" s="55" t="s">
        <v>2081</v>
      </c>
      <c r="BD441" s="55" t="s">
        <v>176</v>
      </c>
      <c r="BE441" s="226">
        <v>0</v>
      </c>
      <c r="BF441" s="55" t="s">
        <v>176</v>
      </c>
      <c r="BG441" s="55" t="s">
        <v>176</v>
      </c>
      <c r="BH441" s="226">
        <v>0</v>
      </c>
      <c r="BI441" s="55" t="s">
        <v>176</v>
      </c>
      <c r="BJ441" s="55" t="s">
        <v>176</v>
      </c>
      <c r="BK441" s="55" t="s">
        <v>5976</v>
      </c>
      <c r="BM441" s="192" t="s">
        <v>160</v>
      </c>
      <c r="BN441" s="55">
        <v>4</v>
      </c>
      <c r="BO441" s="55">
        <v>4</v>
      </c>
      <c r="BQ441" s="55" t="s">
        <v>315</v>
      </c>
      <c r="BS441" s="55">
        <f>(8.7+2.5)*1000</f>
        <v>11200</v>
      </c>
      <c r="BT441" s="55">
        <f>BS441/(288+71)</f>
        <v>31.197771587743734</v>
      </c>
      <c r="BU441" s="55" t="s">
        <v>386</v>
      </c>
      <c r="DB441" s="65">
        <v>10.685</v>
      </c>
      <c r="DC441" s="65">
        <v>29.85</v>
      </c>
      <c r="DF441" s="65" t="s">
        <v>385</v>
      </c>
      <c r="GP441" s="292" t="s">
        <v>7494</v>
      </c>
      <c r="HS441" s="227"/>
      <c r="HW441" s="227"/>
      <c r="JU441" s="55" t="s">
        <v>388</v>
      </c>
      <c r="JV441" s="55" t="s">
        <v>687</v>
      </c>
    </row>
    <row r="442" spans="1:282" x14ac:dyDescent="0.25">
      <c r="A442" s="55">
        <v>441</v>
      </c>
      <c r="B442" s="12" t="s">
        <v>7067</v>
      </c>
      <c r="C442" s="155">
        <v>26</v>
      </c>
      <c r="D442" s="55" t="s">
        <v>3777</v>
      </c>
      <c r="E442" s="90" t="s">
        <v>370</v>
      </c>
      <c r="G442" s="55" t="s">
        <v>371</v>
      </c>
      <c r="H442" s="55">
        <v>2015</v>
      </c>
      <c r="I442" s="55">
        <v>2012</v>
      </c>
      <c r="J442" s="55" t="s">
        <v>276</v>
      </c>
      <c r="K442" s="55" t="s">
        <v>372</v>
      </c>
      <c r="L442" s="55" t="s">
        <v>2737</v>
      </c>
      <c r="M442" s="90">
        <f>35.39</f>
        <v>35.39</v>
      </c>
      <c r="N442" s="90">
        <f>-78.03</f>
        <v>-78.03</v>
      </c>
      <c r="O442" s="90">
        <v>24.3</v>
      </c>
      <c r="U442" s="55">
        <v>1</v>
      </c>
      <c r="V442" s="55">
        <v>1</v>
      </c>
      <c r="Y442" s="55" t="s">
        <v>378</v>
      </c>
      <c r="Z442" s="55" t="s">
        <v>1349</v>
      </c>
      <c r="AA442" s="90" t="s">
        <v>1677</v>
      </c>
      <c r="AH442" s="55" t="s">
        <v>174</v>
      </c>
      <c r="AM442" s="55" t="s">
        <v>1291</v>
      </c>
      <c r="AN442" s="185" t="s">
        <v>375</v>
      </c>
      <c r="AO442" s="185" t="s">
        <v>5150</v>
      </c>
      <c r="AQ442" s="55" t="s">
        <v>553</v>
      </c>
      <c r="AR442" s="55" t="s">
        <v>132</v>
      </c>
      <c r="AS442" s="55" t="s">
        <v>132</v>
      </c>
      <c r="AU442" s="181" t="s">
        <v>7494</v>
      </c>
      <c r="AV442" s="185" t="s">
        <v>176</v>
      </c>
      <c r="AX442" s="185" t="s">
        <v>176</v>
      </c>
      <c r="AZ442" s="55" t="s">
        <v>374</v>
      </c>
      <c r="BA442" s="55" t="s">
        <v>374</v>
      </c>
      <c r="BB442" s="55" t="s">
        <v>2081</v>
      </c>
      <c r="BC442" s="55" t="s">
        <v>2081</v>
      </c>
      <c r="BD442" s="55" t="s">
        <v>176</v>
      </c>
      <c r="BE442" s="226">
        <v>0</v>
      </c>
      <c r="BF442" s="55" t="s">
        <v>176</v>
      </c>
      <c r="BG442" s="55" t="s">
        <v>176</v>
      </c>
      <c r="BH442" s="226">
        <v>0</v>
      </c>
      <c r="BI442" s="55" t="s">
        <v>176</v>
      </c>
      <c r="BJ442" s="55" t="s">
        <v>176</v>
      </c>
      <c r="BK442" s="55" t="s">
        <v>5976</v>
      </c>
      <c r="BM442" s="192" t="s">
        <v>160</v>
      </c>
      <c r="BN442" s="55">
        <v>4</v>
      </c>
      <c r="BO442" s="55">
        <v>4</v>
      </c>
      <c r="BQ442" s="55" t="s">
        <v>315</v>
      </c>
      <c r="BS442" s="55">
        <f>(6.5+1.7)*1000</f>
        <v>8200</v>
      </c>
      <c r="BT442" s="55">
        <f>BS442/(205+53)</f>
        <v>31.782945736434108</v>
      </c>
      <c r="BU442" s="55" t="s">
        <v>386</v>
      </c>
      <c r="DB442" s="65">
        <v>14.273999999999999</v>
      </c>
      <c r="DC442" s="65">
        <v>27</v>
      </c>
      <c r="DF442" s="65" t="s">
        <v>385</v>
      </c>
      <c r="GP442" s="292" t="s">
        <v>7494</v>
      </c>
      <c r="HS442" s="227"/>
      <c r="HW442" s="227"/>
      <c r="JU442" s="55" t="s">
        <v>388</v>
      </c>
      <c r="JV442" s="55" t="s">
        <v>687</v>
      </c>
    </row>
    <row r="443" spans="1:282" x14ac:dyDescent="0.25">
      <c r="A443" s="55">
        <v>442</v>
      </c>
      <c r="B443" s="12" t="s">
        <v>7067</v>
      </c>
      <c r="C443" s="155">
        <v>26</v>
      </c>
      <c r="D443" s="55" t="s">
        <v>3777</v>
      </c>
      <c r="E443" s="90" t="s">
        <v>370</v>
      </c>
      <c r="G443" s="55" t="s">
        <v>371</v>
      </c>
      <c r="H443" s="55">
        <v>2015</v>
      </c>
      <c r="I443" s="55">
        <v>2012</v>
      </c>
      <c r="J443" s="55" t="s">
        <v>276</v>
      </c>
      <c r="K443" s="55" t="s">
        <v>372</v>
      </c>
      <c r="L443" s="55" t="s">
        <v>2737</v>
      </c>
      <c r="M443" s="90">
        <f>35.39</f>
        <v>35.39</v>
      </c>
      <c r="N443" s="90">
        <f>-78.03</f>
        <v>-78.03</v>
      </c>
      <c r="O443" s="90">
        <v>24.3</v>
      </c>
      <c r="U443" s="55">
        <v>1</v>
      </c>
      <c r="V443" s="55">
        <v>1</v>
      </c>
      <c r="Y443" s="55" t="s">
        <v>378</v>
      </c>
      <c r="Z443" s="55" t="s">
        <v>1349</v>
      </c>
      <c r="AA443" s="90" t="s">
        <v>1677</v>
      </c>
      <c r="AH443" s="55" t="s">
        <v>174</v>
      </c>
      <c r="AM443" s="55" t="s">
        <v>1291</v>
      </c>
      <c r="AN443" s="185" t="s">
        <v>376</v>
      </c>
      <c r="AO443" s="185" t="s">
        <v>5150</v>
      </c>
      <c r="AQ443" s="55" t="s">
        <v>553</v>
      </c>
      <c r="AR443" s="55" t="s">
        <v>132</v>
      </c>
      <c r="AS443" s="55" t="s">
        <v>132</v>
      </c>
      <c r="AU443" s="181" t="s">
        <v>7494</v>
      </c>
      <c r="AV443" s="185" t="s">
        <v>176</v>
      </c>
      <c r="AX443" s="185" t="s">
        <v>176</v>
      </c>
      <c r="AZ443" s="55" t="s">
        <v>374</v>
      </c>
      <c r="BA443" s="55" t="s">
        <v>374</v>
      </c>
      <c r="BB443" s="55" t="s">
        <v>2081</v>
      </c>
      <c r="BC443" s="55" t="s">
        <v>2081</v>
      </c>
      <c r="BD443" s="55" t="s">
        <v>176</v>
      </c>
      <c r="BE443" s="226">
        <v>0</v>
      </c>
      <c r="BF443" s="55" t="s">
        <v>176</v>
      </c>
      <c r="BG443" s="55" t="s">
        <v>176</v>
      </c>
      <c r="BH443" s="226">
        <v>0</v>
      </c>
      <c r="BI443" s="55" t="s">
        <v>176</v>
      </c>
      <c r="BJ443" s="55" t="s">
        <v>176</v>
      </c>
      <c r="BK443" s="55" t="s">
        <v>5976</v>
      </c>
      <c r="BM443" s="192" t="s">
        <v>160</v>
      </c>
      <c r="BN443" s="55">
        <v>4</v>
      </c>
      <c r="BO443" s="55">
        <v>4</v>
      </c>
      <c r="BQ443" s="55" t="s">
        <v>315</v>
      </c>
      <c r="BS443" s="55">
        <f>(9.6+2.8)*1000</f>
        <v>12399.999999999998</v>
      </c>
      <c r="BT443" s="55">
        <f>BS443/(256+66)</f>
        <v>38.509316770186331</v>
      </c>
      <c r="BU443" s="55" t="s">
        <v>386</v>
      </c>
      <c r="DB443" s="65">
        <v>14.273999999999999</v>
      </c>
      <c r="DC443" s="65">
        <v>25.285</v>
      </c>
      <c r="DF443" s="65" t="s">
        <v>385</v>
      </c>
      <c r="GP443" s="292" t="s">
        <v>7494</v>
      </c>
      <c r="HS443" s="227"/>
      <c r="HW443" s="227"/>
      <c r="JU443" s="55" t="s">
        <v>388</v>
      </c>
      <c r="JV443" s="55" t="s">
        <v>687</v>
      </c>
    </row>
    <row r="444" spans="1:282" x14ac:dyDescent="0.25">
      <c r="A444" s="55">
        <v>443</v>
      </c>
      <c r="B444" s="12" t="s">
        <v>7067</v>
      </c>
      <c r="C444" s="155">
        <v>26</v>
      </c>
      <c r="D444" s="55" t="s">
        <v>3777</v>
      </c>
      <c r="E444" s="90" t="s">
        <v>370</v>
      </c>
      <c r="G444" s="55" t="s">
        <v>371</v>
      </c>
      <c r="H444" s="55">
        <v>2015</v>
      </c>
      <c r="I444" s="55">
        <v>2012</v>
      </c>
      <c r="J444" s="55" t="s">
        <v>276</v>
      </c>
      <c r="K444" s="55" t="s">
        <v>372</v>
      </c>
      <c r="L444" s="55" t="s">
        <v>2737</v>
      </c>
      <c r="M444" s="90">
        <f>35.39</f>
        <v>35.39</v>
      </c>
      <c r="N444" s="90">
        <f>-78.03</f>
        <v>-78.03</v>
      </c>
      <c r="O444" s="90">
        <v>24.3</v>
      </c>
      <c r="U444" s="55">
        <v>1</v>
      </c>
      <c r="V444" s="55">
        <v>1</v>
      </c>
      <c r="Y444" s="55" t="s">
        <v>378</v>
      </c>
      <c r="Z444" s="55" t="s">
        <v>1349</v>
      </c>
      <c r="AA444" s="90" t="s">
        <v>1677</v>
      </c>
      <c r="AH444" s="55" t="s">
        <v>174</v>
      </c>
      <c r="AM444" s="55" t="s">
        <v>1291</v>
      </c>
      <c r="AN444" s="185" t="s">
        <v>241</v>
      </c>
      <c r="AO444" s="185" t="s">
        <v>5150</v>
      </c>
      <c r="AQ444" s="55" t="s">
        <v>553</v>
      </c>
      <c r="AR444" s="55" t="s">
        <v>132</v>
      </c>
      <c r="AS444" s="55" t="s">
        <v>132</v>
      </c>
      <c r="AU444" s="181" t="s">
        <v>7494</v>
      </c>
      <c r="AV444" s="185" t="s">
        <v>176</v>
      </c>
      <c r="AX444" s="185" t="s">
        <v>176</v>
      </c>
      <c r="AZ444" s="55" t="s">
        <v>374</v>
      </c>
      <c r="BA444" s="55" t="s">
        <v>374</v>
      </c>
      <c r="BB444" s="55" t="s">
        <v>2081</v>
      </c>
      <c r="BC444" s="55" t="s">
        <v>2081</v>
      </c>
      <c r="BD444" s="55" t="s">
        <v>176</v>
      </c>
      <c r="BE444" s="226">
        <v>0</v>
      </c>
      <c r="BF444" s="55" t="s">
        <v>176</v>
      </c>
      <c r="BG444" s="55" t="s">
        <v>176</v>
      </c>
      <c r="BH444" s="226">
        <v>0</v>
      </c>
      <c r="BI444" s="55" t="s">
        <v>176</v>
      </c>
      <c r="BJ444" s="55" t="s">
        <v>176</v>
      </c>
      <c r="BK444" s="55" t="s">
        <v>5976</v>
      </c>
      <c r="BM444" s="192" t="s">
        <v>160</v>
      </c>
      <c r="BN444" s="55">
        <v>4</v>
      </c>
      <c r="BO444" s="55">
        <v>4</v>
      </c>
      <c r="BQ444" s="55" t="s">
        <v>315</v>
      </c>
      <c r="BS444" s="55">
        <f>(8.7+2.5)*1000</f>
        <v>11200</v>
      </c>
      <c r="BT444" s="55">
        <f>BS444/(288+71)</f>
        <v>31.197771587743734</v>
      </c>
      <c r="BU444" s="55" t="s">
        <v>386</v>
      </c>
      <c r="DB444" s="65">
        <v>14.273999999999999</v>
      </c>
      <c r="DC444" s="65">
        <v>41.191000000000003</v>
      </c>
      <c r="DF444" s="65" t="s">
        <v>385</v>
      </c>
      <c r="GP444" s="292" t="s">
        <v>7494</v>
      </c>
      <c r="HS444" s="227"/>
      <c r="HW444" s="227"/>
      <c r="JU444" s="55" t="s">
        <v>388</v>
      </c>
      <c r="JV444" s="55" t="s">
        <v>687</v>
      </c>
    </row>
    <row r="445" spans="1:282" x14ac:dyDescent="0.25">
      <c r="A445" s="55">
        <v>444</v>
      </c>
      <c r="B445" s="12" t="s">
        <v>7067</v>
      </c>
      <c r="C445" s="155">
        <v>26</v>
      </c>
      <c r="D445" s="55" t="s">
        <v>3777</v>
      </c>
      <c r="E445" s="90" t="s">
        <v>370</v>
      </c>
      <c r="G445" s="55" t="s">
        <v>371</v>
      </c>
      <c r="H445" s="55">
        <v>2015</v>
      </c>
      <c r="I445" s="55">
        <v>2012</v>
      </c>
      <c r="J445" s="55" t="s">
        <v>276</v>
      </c>
      <c r="K445" s="55" t="s">
        <v>372</v>
      </c>
      <c r="L445" s="55" t="s">
        <v>2737</v>
      </c>
      <c r="M445" s="90">
        <f>35.39</f>
        <v>35.39</v>
      </c>
      <c r="N445" s="90">
        <f>-78.03</f>
        <v>-78.03</v>
      </c>
      <c r="O445" s="90">
        <v>24.3</v>
      </c>
      <c r="U445" s="55">
        <v>1</v>
      </c>
      <c r="V445" s="55">
        <v>1</v>
      </c>
      <c r="Y445" s="55" t="s">
        <v>379</v>
      </c>
      <c r="Z445" s="55" t="s">
        <v>1349</v>
      </c>
      <c r="AA445" s="90" t="s">
        <v>1677</v>
      </c>
      <c r="AH445" s="55" t="s">
        <v>174</v>
      </c>
      <c r="AM445" s="55" t="s">
        <v>1291</v>
      </c>
      <c r="AN445" s="185" t="s">
        <v>375</v>
      </c>
      <c r="AO445" s="185" t="s">
        <v>5150</v>
      </c>
      <c r="AQ445" s="55" t="s">
        <v>553</v>
      </c>
      <c r="AR445" s="55" t="s">
        <v>132</v>
      </c>
      <c r="AS445" s="55" t="s">
        <v>132</v>
      </c>
      <c r="AU445" s="181" t="s">
        <v>7494</v>
      </c>
      <c r="AV445" s="185" t="s">
        <v>176</v>
      </c>
      <c r="AX445" s="185" t="s">
        <v>176</v>
      </c>
      <c r="AZ445" s="55" t="s">
        <v>374</v>
      </c>
      <c r="BA445" s="55" t="s">
        <v>374</v>
      </c>
      <c r="BB445" s="55" t="s">
        <v>2081</v>
      </c>
      <c r="BC445" s="55" t="s">
        <v>2081</v>
      </c>
      <c r="BD445" s="55" t="s">
        <v>176</v>
      </c>
      <c r="BE445" s="226">
        <v>0</v>
      </c>
      <c r="BF445" s="55" t="s">
        <v>176</v>
      </c>
      <c r="BG445" s="55" t="s">
        <v>176</v>
      </c>
      <c r="BH445" s="226">
        <v>0</v>
      </c>
      <c r="BI445" s="55" t="s">
        <v>176</v>
      </c>
      <c r="BJ445" s="55" t="s">
        <v>176</v>
      </c>
      <c r="BK445" s="55" t="s">
        <v>5976</v>
      </c>
      <c r="BM445" s="192" t="s">
        <v>160</v>
      </c>
      <c r="BN445" s="55">
        <v>4</v>
      </c>
      <c r="BO445" s="55">
        <v>4</v>
      </c>
      <c r="BQ445" s="55" t="s">
        <v>315</v>
      </c>
      <c r="BS445" s="55">
        <f>(6.5+1.7)*1000</f>
        <v>8200</v>
      </c>
      <c r="BT445" s="55">
        <f>BS445/(205+53)</f>
        <v>31.782945736434108</v>
      </c>
      <c r="BU445" s="55" t="s">
        <v>386</v>
      </c>
      <c r="DB445" s="65">
        <v>11.582000000000001</v>
      </c>
      <c r="DC445" s="65">
        <v>36.215000000000003</v>
      </c>
      <c r="DF445" s="65" t="s">
        <v>385</v>
      </c>
      <c r="GP445" s="292" t="s">
        <v>7494</v>
      </c>
      <c r="HS445" s="227"/>
      <c r="HW445" s="227"/>
      <c r="JU445" s="55" t="s">
        <v>388</v>
      </c>
      <c r="JV445" s="55" t="s">
        <v>687</v>
      </c>
    </row>
    <row r="446" spans="1:282" x14ac:dyDescent="0.25">
      <c r="A446" s="55">
        <v>445</v>
      </c>
      <c r="B446" s="12" t="s">
        <v>7067</v>
      </c>
      <c r="C446" s="155">
        <v>26</v>
      </c>
      <c r="D446" s="55" t="s">
        <v>3777</v>
      </c>
      <c r="E446" s="90" t="s">
        <v>370</v>
      </c>
      <c r="G446" s="55" t="s">
        <v>371</v>
      </c>
      <c r="H446" s="55">
        <v>2015</v>
      </c>
      <c r="I446" s="55">
        <v>2012</v>
      </c>
      <c r="J446" s="55" t="s">
        <v>276</v>
      </c>
      <c r="K446" s="55" t="s">
        <v>372</v>
      </c>
      <c r="L446" s="55" t="s">
        <v>2737</v>
      </c>
      <c r="M446" s="90">
        <f>35.39</f>
        <v>35.39</v>
      </c>
      <c r="N446" s="90">
        <f>-78.03</f>
        <v>-78.03</v>
      </c>
      <c r="O446" s="90">
        <v>24.3</v>
      </c>
      <c r="U446" s="55">
        <v>1</v>
      </c>
      <c r="V446" s="55">
        <v>1</v>
      </c>
      <c r="Y446" s="55" t="s">
        <v>379</v>
      </c>
      <c r="Z446" s="55" t="s">
        <v>1349</v>
      </c>
      <c r="AA446" s="90" t="s">
        <v>1677</v>
      </c>
      <c r="AH446" s="55" t="s">
        <v>174</v>
      </c>
      <c r="AM446" s="55" t="s">
        <v>1291</v>
      </c>
      <c r="AN446" s="185" t="s">
        <v>376</v>
      </c>
      <c r="AO446" s="185" t="s">
        <v>5150</v>
      </c>
      <c r="AQ446" s="55" t="s">
        <v>553</v>
      </c>
      <c r="AR446" s="55" t="s">
        <v>132</v>
      </c>
      <c r="AS446" s="55" t="s">
        <v>132</v>
      </c>
      <c r="AU446" s="181" t="s">
        <v>7494</v>
      </c>
      <c r="AV446" s="185" t="s">
        <v>176</v>
      </c>
      <c r="AX446" s="185" t="s">
        <v>176</v>
      </c>
      <c r="AZ446" s="55" t="s">
        <v>374</v>
      </c>
      <c r="BA446" s="55" t="s">
        <v>374</v>
      </c>
      <c r="BB446" s="55" t="s">
        <v>2081</v>
      </c>
      <c r="BC446" s="55" t="s">
        <v>2081</v>
      </c>
      <c r="BD446" s="55" t="s">
        <v>176</v>
      </c>
      <c r="BE446" s="226">
        <v>0</v>
      </c>
      <c r="BF446" s="55" t="s">
        <v>176</v>
      </c>
      <c r="BG446" s="55" t="s">
        <v>176</v>
      </c>
      <c r="BH446" s="226">
        <v>0</v>
      </c>
      <c r="BI446" s="55" t="s">
        <v>176</v>
      </c>
      <c r="BJ446" s="55" t="s">
        <v>176</v>
      </c>
      <c r="BK446" s="55" t="s">
        <v>5976</v>
      </c>
      <c r="BM446" s="192" t="s">
        <v>160</v>
      </c>
      <c r="BN446" s="55">
        <v>4</v>
      </c>
      <c r="BO446" s="55">
        <v>4</v>
      </c>
      <c r="BQ446" s="55" t="s">
        <v>315</v>
      </c>
      <c r="BS446" s="55">
        <f>(9.6+2.8)*1000</f>
        <v>12399.999999999998</v>
      </c>
      <c r="BT446" s="55">
        <f>BS446/(256+66)</f>
        <v>38.509316770186331</v>
      </c>
      <c r="BU446" s="55" t="s">
        <v>386</v>
      </c>
      <c r="DB446" s="65">
        <v>11.582000000000001</v>
      </c>
      <c r="DC446" s="65">
        <v>23.082999999999998</v>
      </c>
      <c r="DF446" s="65" t="s">
        <v>385</v>
      </c>
      <c r="GP446" s="292" t="s">
        <v>7494</v>
      </c>
      <c r="HS446" s="227"/>
      <c r="HW446" s="227"/>
      <c r="JU446" s="55" t="s">
        <v>388</v>
      </c>
      <c r="JV446" s="55" t="s">
        <v>687</v>
      </c>
    </row>
    <row r="447" spans="1:282" x14ac:dyDescent="0.25">
      <c r="A447" s="55">
        <v>446</v>
      </c>
      <c r="B447" s="12" t="s">
        <v>7067</v>
      </c>
      <c r="C447" s="155">
        <v>26</v>
      </c>
      <c r="D447" s="55" t="s">
        <v>3777</v>
      </c>
      <c r="E447" s="90" t="s">
        <v>370</v>
      </c>
      <c r="G447" s="55" t="s">
        <v>371</v>
      </c>
      <c r="H447" s="55">
        <v>2015</v>
      </c>
      <c r="I447" s="55">
        <v>2012</v>
      </c>
      <c r="J447" s="55" t="s">
        <v>276</v>
      </c>
      <c r="K447" s="55" t="s">
        <v>372</v>
      </c>
      <c r="L447" s="55" t="s">
        <v>2737</v>
      </c>
      <c r="M447" s="90">
        <f>35.39</f>
        <v>35.39</v>
      </c>
      <c r="N447" s="90">
        <f>-78.03</f>
        <v>-78.03</v>
      </c>
      <c r="O447" s="90">
        <v>24.3</v>
      </c>
      <c r="U447" s="55">
        <v>1</v>
      </c>
      <c r="V447" s="55">
        <v>1</v>
      </c>
      <c r="Y447" s="55" t="s">
        <v>379</v>
      </c>
      <c r="Z447" s="55" t="s">
        <v>1349</v>
      </c>
      <c r="AA447" s="90" t="s">
        <v>1677</v>
      </c>
      <c r="AH447" s="55" t="s">
        <v>174</v>
      </c>
      <c r="AM447" s="55" t="s">
        <v>1291</v>
      </c>
      <c r="AN447" s="185" t="s">
        <v>241</v>
      </c>
      <c r="AO447" s="185" t="s">
        <v>5150</v>
      </c>
      <c r="AQ447" s="55" t="s">
        <v>553</v>
      </c>
      <c r="AR447" s="55" t="s">
        <v>132</v>
      </c>
      <c r="AS447" s="55" t="s">
        <v>132</v>
      </c>
      <c r="AU447" s="181" t="s">
        <v>7494</v>
      </c>
      <c r="AV447" s="185" t="s">
        <v>176</v>
      </c>
      <c r="AX447" s="185" t="s">
        <v>176</v>
      </c>
      <c r="AZ447" s="55" t="s">
        <v>374</v>
      </c>
      <c r="BA447" s="55" t="s">
        <v>374</v>
      </c>
      <c r="BB447" s="55" t="s">
        <v>2081</v>
      </c>
      <c r="BC447" s="55" t="s">
        <v>2081</v>
      </c>
      <c r="BD447" s="55" t="s">
        <v>176</v>
      </c>
      <c r="BE447" s="226">
        <v>0</v>
      </c>
      <c r="BF447" s="55" t="s">
        <v>176</v>
      </c>
      <c r="BG447" s="55" t="s">
        <v>176</v>
      </c>
      <c r="BH447" s="226">
        <v>0</v>
      </c>
      <c r="BI447" s="55" t="s">
        <v>176</v>
      </c>
      <c r="BJ447" s="55" t="s">
        <v>176</v>
      </c>
      <c r="BK447" s="55" t="s">
        <v>5976</v>
      </c>
      <c r="BM447" s="192" t="s">
        <v>160</v>
      </c>
      <c r="BN447" s="55">
        <v>4</v>
      </c>
      <c r="BO447" s="55">
        <v>4</v>
      </c>
      <c r="BQ447" s="55" t="s">
        <v>315</v>
      </c>
      <c r="BS447" s="55">
        <f>(8.7+2.5)*1000</f>
        <v>11200</v>
      </c>
      <c r="BT447" s="55">
        <f>BS447/(288+71)</f>
        <v>31.197771587743734</v>
      </c>
      <c r="BU447" s="55" t="s">
        <v>386</v>
      </c>
      <c r="DB447" s="65">
        <v>11.582000000000001</v>
      </c>
      <c r="DC447" s="65">
        <v>42.25</v>
      </c>
      <c r="DF447" s="65" t="s">
        <v>385</v>
      </c>
      <c r="GP447" s="292" t="s">
        <v>7494</v>
      </c>
      <c r="HS447" s="227"/>
      <c r="HW447" s="227"/>
      <c r="JU447" s="55" t="s">
        <v>388</v>
      </c>
      <c r="JV447" s="55" t="s">
        <v>687</v>
      </c>
    </row>
    <row r="448" spans="1:282" x14ac:dyDescent="0.25">
      <c r="A448" s="55">
        <v>447</v>
      </c>
      <c r="B448" s="12" t="s">
        <v>7067</v>
      </c>
      <c r="C448" s="155">
        <v>26</v>
      </c>
      <c r="D448" s="55" t="s">
        <v>3777</v>
      </c>
      <c r="E448" s="90" t="s">
        <v>370</v>
      </c>
      <c r="G448" s="55" t="s">
        <v>371</v>
      </c>
      <c r="H448" s="55">
        <v>2015</v>
      </c>
      <c r="I448" s="55">
        <v>2012</v>
      </c>
      <c r="J448" s="55" t="s">
        <v>276</v>
      </c>
      <c r="K448" s="55" t="s">
        <v>372</v>
      </c>
      <c r="L448" s="55" t="s">
        <v>2737</v>
      </c>
      <c r="M448" s="90">
        <f>35.39</f>
        <v>35.39</v>
      </c>
      <c r="N448" s="90">
        <f>-78.03</f>
        <v>-78.03</v>
      </c>
      <c r="O448" s="90">
        <v>24.3</v>
      </c>
      <c r="U448" s="55">
        <v>1</v>
      </c>
      <c r="V448" s="55">
        <v>1</v>
      </c>
      <c r="Y448" s="55" t="s">
        <v>380</v>
      </c>
      <c r="Z448" s="55" t="s">
        <v>1349</v>
      </c>
      <c r="AA448" s="90" t="s">
        <v>1677</v>
      </c>
      <c r="AH448" s="55" t="s">
        <v>174</v>
      </c>
      <c r="AM448" s="55" t="s">
        <v>1291</v>
      </c>
      <c r="AN448" s="185" t="s">
        <v>375</v>
      </c>
      <c r="AO448" s="185" t="s">
        <v>5150</v>
      </c>
      <c r="AQ448" s="55" t="s">
        <v>553</v>
      </c>
      <c r="AR448" s="55" t="s">
        <v>132</v>
      </c>
      <c r="AS448" s="55" t="s">
        <v>132</v>
      </c>
      <c r="AU448" s="181" t="s">
        <v>7494</v>
      </c>
      <c r="AV448" s="185" t="s">
        <v>176</v>
      </c>
      <c r="AX448" s="185" t="s">
        <v>176</v>
      </c>
      <c r="AZ448" s="55" t="s">
        <v>374</v>
      </c>
      <c r="BA448" s="55" t="s">
        <v>374</v>
      </c>
      <c r="BB448" s="55" t="s">
        <v>2081</v>
      </c>
      <c r="BC448" s="55" t="s">
        <v>2081</v>
      </c>
      <c r="BD448" s="55" t="s">
        <v>176</v>
      </c>
      <c r="BE448" s="226">
        <v>0</v>
      </c>
      <c r="BF448" s="55" t="s">
        <v>176</v>
      </c>
      <c r="BG448" s="55" t="s">
        <v>176</v>
      </c>
      <c r="BH448" s="226">
        <v>0</v>
      </c>
      <c r="BI448" s="55" t="s">
        <v>176</v>
      </c>
      <c r="BJ448" s="55" t="s">
        <v>176</v>
      </c>
      <c r="BK448" s="55" t="s">
        <v>5976</v>
      </c>
      <c r="BM448" s="192" t="s">
        <v>160</v>
      </c>
      <c r="BN448" s="55">
        <v>4</v>
      </c>
      <c r="BO448" s="55">
        <v>4</v>
      </c>
      <c r="BQ448" s="55" t="s">
        <v>315</v>
      </c>
      <c r="BS448" s="55">
        <f>(6.5+1.7)*1000</f>
        <v>8200</v>
      </c>
      <c r="BT448" s="55">
        <f>BS448/(205+53)</f>
        <v>31.782945736434108</v>
      </c>
      <c r="BU448" s="55" t="s">
        <v>386</v>
      </c>
      <c r="DB448" s="65">
        <v>12.153</v>
      </c>
      <c r="DC448" s="65">
        <v>21.289000000000001</v>
      </c>
      <c r="DF448" s="65" t="s">
        <v>385</v>
      </c>
      <c r="GP448" s="292" t="s">
        <v>7494</v>
      </c>
      <c r="HS448" s="227"/>
      <c r="HW448" s="227"/>
      <c r="JU448" s="55" t="s">
        <v>388</v>
      </c>
      <c r="JV448" s="55" t="s">
        <v>687</v>
      </c>
    </row>
    <row r="449" spans="1:282" x14ac:dyDescent="0.25">
      <c r="A449" s="55">
        <v>448</v>
      </c>
      <c r="B449" s="12" t="s">
        <v>7067</v>
      </c>
      <c r="C449" s="155">
        <v>26</v>
      </c>
      <c r="D449" s="55" t="s">
        <v>3777</v>
      </c>
      <c r="E449" s="90" t="s">
        <v>370</v>
      </c>
      <c r="G449" s="55" t="s">
        <v>371</v>
      </c>
      <c r="H449" s="55">
        <v>2015</v>
      </c>
      <c r="I449" s="55">
        <v>2012</v>
      </c>
      <c r="J449" s="55" t="s">
        <v>276</v>
      </c>
      <c r="K449" s="55" t="s">
        <v>372</v>
      </c>
      <c r="L449" s="55" t="s">
        <v>2737</v>
      </c>
      <c r="M449" s="90">
        <f>35.39</f>
        <v>35.39</v>
      </c>
      <c r="N449" s="90">
        <f>-78.03</f>
        <v>-78.03</v>
      </c>
      <c r="O449" s="90">
        <v>24.3</v>
      </c>
      <c r="U449" s="55">
        <v>1</v>
      </c>
      <c r="V449" s="55">
        <v>1</v>
      </c>
      <c r="Y449" s="55" t="s">
        <v>380</v>
      </c>
      <c r="Z449" s="55" t="s">
        <v>1349</v>
      </c>
      <c r="AA449" s="90" t="s">
        <v>1677</v>
      </c>
      <c r="AH449" s="55" t="s">
        <v>174</v>
      </c>
      <c r="AM449" s="55" t="s">
        <v>1291</v>
      </c>
      <c r="AN449" s="185" t="s">
        <v>376</v>
      </c>
      <c r="AO449" s="185" t="s">
        <v>5150</v>
      </c>
      <c r="AQ449" s="55" t="s">
        <v>553</v>
      </c>
      <c r="AR449" s="55" t="s">
        <v>132</v>
      </c>
      <c r="AS449" s="55" t="s">
        <v>132</v>
      </c>
      <c r="AU449" s="181" t="s">
        <v>7494</v>
      </c>
      <c r="AV449" s="185" t="s">
        <v>176</v>
      </c>
      <c r="AX449" s="185" t="s">
        <v>176</v>
      </c>
      <c r="AZ449" s="55" t="s">
        <v>374</v>
      </c>
      <c r="BA449" s="55" t="s">
        <v>374</v>
      </c>
      <c r="BB449" s="55" t="s">
        <v>2081</v>
      </c>
      <c r="BC449" s="55" t="s">
        <v>2081</v>
      </c>
      <c r="BD449" s="55" t="s">
        <v>176</v>
      </c>
      <c r="BE449" s="226">
        <v>0</v>
      </c>
      <c r="BF449" s="55" t="s">
        <v>176</v>
      </c>
      <c r="BG449" s="55" t="s">
        <v>176</v>
      </c>
      <c r="BH449" s="226">
        <v>0</v>
      </c>
      <c r="BI449" s="55" t="s">
        <v>176</v>
      </c>
      <c r="BJ449" s="55" t="s">
        <v>176</v>
      </c>
      <c r="BK449" s="55" t="s">
        <v>5976</v>
      </c>
      <c r="BM449" s="192" t="s">
        <v>160</v>
      </c>
      <c r="BN449" s="55">
        <v>4</v>
      </c>
      <c r="BO449" s="55">
        <v>4</v>
      </c>
      <c r="BQ449" s="55" t="s">
        <v>315</v>
      </c>
      <c r="BS449" s="55">
        <f>(9.6+2.8)*1000</f>
        <v>12399.999999999998</v>
      </c>
      <c r="BT449" s="55">
        <f>BS449/(256+66)</f>
        <v>38.509316770186331</v>
      </c>
      <c r="BU449" s="55" t="s">
        <v>386</v>
      </c>
      <c r="DB449" s="65">
        <v>12.153</v>
      </c>
      <c r="DC449" s="65">
        <v>26.346</v>
      </c>
      <c r="DF449" s="65" t="s">
        <v>385</v>
      </c>
      <c r="GP449" s="292" t="s">
        <v>7494</v>
      </c>
      <c r="HS449" s="227"/>
      <c r="HW449" s="227"/>
      <c r="JU449" s="55" t="s">
        <v>388</v>
      </c>
      <c r="JV449" s="55" t="s">
        <v>687</v>
      </c>
    </row>
    <row r="450" spans="1:282" x14ac:dyDescent="0.25">
      <c r="A450" s="55">
        <v>449</v>
      </c>
      <c r="B450" s="12" t="s">
        <v>7067</v>
      </c>
      <c r="C450" s="155">
        <v>26</v>
      </c>
      <c r="D450" s="55" t="s">
        <v>3777</v>
      </c>
      <c r="E450" s="90" t="s">
        <v>370</v>
      </c>
      <c r="G450" s="55" t="s">
        <v>371</v>
      </c>
      <c r="H450" s="55">
        <v>2015</v>
      </c>
      <c r="I450" s="55">
        <v>2012</v>
      </c>
      <c r="J450" s="55" t="s">
        <v>276</v>
      </c>
      <c r="K450" s="55" t="s">
        <v>372</v>
      </c>
      <c r="L450" s="55" t="s">
        <v>2737</v>
      </c>
      <c r="M450" s="90">
        <f>35.39</f>
        <v>35.39</v>
      </c>
      <c r="N450" s="90">
        <f>-78.03</f>
        <v>-78.03</v>
      </c>
      <c r="O450" s="90">
        <v>24.3</v>
      </c>
      <c r="U450" s="55">
        <v>1</v>
      </c>
      <c r="V450" s="55">
        <v>1</v>
      </c>
      <c r="Y450" s="55" t="s">
        <v>380</v>
      </c>
      <c r="Z450" s="55" t="s">
        <v>1349</v>
      </c>
      <c r="AA450" s="90" t="s">
        <v>1677</v>
      </c>
      <c r="AH450" s="55" t="s">
        <v>174</v>
      </c>
      <c r="AM450" s="55" t="s">
        <v>1291</v>
      </c>
      <c r="AN450" s="185" t="s">
        <v>241</v>
      </c>
      <c r="AO450" s="185" t="s">
        <v>5150</v>
      </c>
      <c r="AQ450" s="55" t="s">
        <v>553</v>
      </c>
      <c r="AR450" s="55" t="s">
        <v>132</v>
      </c>
      <c r="AS450" s="55" t="s">
        <v>132</v>
      </c>
      <c r="AU450" s="181" t="s">
        <v>7494</v>
      </c>
      <c r="AV450" s="185" t="s">
        <v>176</v>
      </c>
      <c r="AX450" s="185" t="s">
        <v>176</v>
      </c>
      <c r="AZ450" s="55" t="s">
        <v>374</v>
      </c>
      <c r="BA450" s="55" t="s">
        <v>374</v>
      </c>
      <c r="BB450" s="55" t="s">
        <v>2081</v>
      </c>
      <c r="BC450" s="55" t="s">
        <v>2081</v>
      </c>
      <c r="BD450" s="55" t="s">
        <v>176</v>
      </c>
      <c r="BE450" s="226">
        <v>0</v>
      </c>
      <c r="BF450" s="55" t="s">
        <v>176</v>
      </c>
      <c r="BG450" s="55" t="s">
        <v>176</v>
      </c>
      <c r="BH450" s="226">
        <v>0</v>
      </c>
      <c r="BI450" s="55" t="s">
        <v>176</v>
      </c>
      <c r="BJ450" s="55" t="s">
        <v>176</v>
      </c>
      <c r="BK450" s="55" t="s">
        <v>5976</v>
      </c>
      <c r="BM450" s="192" t="s">
        <v>160</v>
      </c>
      <c r="BN450" s="55">
        <v>4</v>
      </c>
      <c r="BO450" s="55">
        <v>4</v>
      </c>
      <c r="BQ450" s="55" t="s">
        <v>315</v>
      </c>
      <c r="BS450" s="55">
        <f>(8.7+2.5)*1000</f>
        <v>11200</v>
      </c>
      <c r="BT450" s="55">
        <f>BS450/(288+71)</f>
        <v>31.197771587743734</v>
      </c>
      <c r="BU450" s="55" t="s">
        <v>386</v>
      </c>
      <c r="DB450" s="65">
        <v>12.153</v>
      </c>
      <c r="DC450" s="65">
        <v>31.65</v>
      </c>
      <c r="DF450" s="65" t="s">
        <v>385</v>
      </c>
      <c r="GP450" s="292" t="s">
        <v>7494</v>
      </c>
      <c r="HS450" s="227"/>
      <c r="HW450" s="227"/>
      <c r="JU450" s="55" t="s">
        <v>388</v>
      </c>
      <c r="JV450" s="55" t="s">
        <v>687</v>
      </c>
    </row>
    <row r="451" spans="1:282" x14ac:dyDescent="0.25">
      <c r="A451" s="55">
        <v>450</v>
      </c>
      <c r="B451" s="12" t="s">
        <v>7067</v>
      </c>
      <c r="C451" s="155">
        <v>26</v>
      </c>
      <c r="D451" s="55" t="s">
        <v>3777</v>
      </c>
      <c r="E451" s="90" t="s">
        <v>370</v>
      </c>
      <c r="G451" s="55" t="s">
        <v>371</v>
      </c>
      <c r="H451" s="55">
        <v>2015</v>
      </c>
      <c r="I451" s="55">
        <v>2012</v>
      </c>
      <c r="J451" s="55" t="s">
        <v>276</v>
      </c>
      <c r="K451" s="55" t="s">
        <v>372</v>
      </c>
      <c r="L451" s="55" t="s">
        <v>2737</v>
      </c>
      <c r="M451" s="90">
        <f>35.39</f>
        <v>35.39</v>
      </c>
      <c r="N451" s="90">
        <f>-78.03</f>
        <v>-78.03</v>
      </c>
      <c r="O451" s="90">
        <v>24.3</v>
      </c>
      <c r="U451" s="55">
        <v>1</v>
      </c>
      <c r="V451" s="55">
        <v>1</v>
      </c>
      <c r="Y451" s="55" t="s">
        <v>381</v>
      </c>
      <c r="Z451" s="55" t="s">
        <v>1349</v>
      </c>
      <c r="AA451" s="90" t="s">
        <v>1677</v>
      </c>
      <c r="AH451" s="55" t="s">
        <v>174</v>
      </c>
      <c r="AM451" s="55" t="s">
        <v>1291</v>
      </c>
      <c r="AN451" s="185" t="s">
        <v>375</v>
      </c>
      <c r="AO451" s="185" t="s">
        <v>5150</v>
      </c>
      <c r="AQ451" s="55" t="s">
        <v>553</v>
      </c>
      <c r="AR451" s="55" t="s">
        <v>132</v>
      </c>
      <c r="AS451" s="55" t="s">
        <v>132</v>
      </c>
      <c r="AU451" s="181" t="s">
        <v>7494</v>
      </c>
      <c r="AV451" s="185" t="s">
        <v>176</v>
      </c>
      <c r="AX451" s="185" t="s">
        <v>176</v>
      </c>
      <c r="AZ451" s="55" t="s">
        <v>374</v>
      </c>
      <c r="BA451" s="55" t="s">
        <v>374</v>
      </c>
      <c r="BB451" s="55" t="s">
        <v>2081</v>
      </c>
      <c r="BC451" s="55" t="s">
        <v>2081</v>
      </c>
      <c r="BD451" s="55" t="s">
        <v>176</v>
      </c>
      <c r="BE451" s="226">
        <v>0</v>
      </c>
      <c r="BF451" s="55" t="s">
        <v>176</v>
      </c>
      <c r="BG451" s="55" t="s">
        <v>176</v>
      </c>
      <c r="BH451" s="226">
        <v>0</v>
      </c>
      <c r="BI451" s="55" t="s">
        <v>176</v>
      </c>
      <c r="BJ451" s="55" t="s">
        <v>176</v>
      </c>
      <c r="BK451" s="55" t="s">
        <v>5976</v>
      </c>
      <c r="BM451" s="192" t="s">
        <v>160</v>
      </c>
      <c r="BN451" s="55">
        <v>4</v>
      </c>
      <c r="BO451" s="55">
        <v>4</v>
      </c>
      <c r="BQ451" s="55" t="s">
        <v>315</v>
      </c>
      <c r="BS451" s="55">
        <f>(6.5+1.7)*1000</f>
        <v>8200</v>
      </c>
      <c r="BT451" s="55">
        <f>BS451/(205+53)</f>
        <v>31.782945736434108</v>
      </c>
      <c r="BU451" s="55" t="s">
        <v>386</v>
      </c>
      <c r="DB451" s="65">
        <v>12.643000000000001</v>
      </c>
      <c r="DC451" s="65">
        <v>15.497999999999999</v>
      </c>
      <c r="DF451" s="65" t="s">
        <v>385</v>
      </c>
      <c r="GP451" s="292" t="s">
        <v>7494</v>
      </c>
      <c r="HS451" s="227"/>
      <c r="HW451" s="227"/>
      <c r="JU451" s="55" t="s">
        <v>388</v>
      </c>
      <c r="JV451" s="55" t="s">
        <v>687</v>
      </c>
    </row>
    <row r="452" spans="1:282" x14ac:dyDescent="0.25">
      <c r="A452" s="55">
        <v>451</v>
      </c>
      <c r="B452" s="12" t="s">
        <v>7067</v>
      </c>
      <c r="C452" s="155">
        <v>26</v>
      </c>
      <c r="D452" s="55" t="s">
        <v>3777</v>
      </c>
      <c r="E452" s="90" t="s">
        <v>370</v>
      </c>
      <c r="G452" s="55" t="s">
        <v>371</v>
      </c>
      <c r="H452" s="55">
        <v>2015</v>
      </c>
      <c r="I452" s="55">
        <v>2012</v>
      </c>
      <c r="J452" s="55" t="s">
        <v>276</v>
      </c>
      <c r="K452" s="55" t="s">
        <v>372</v>
      </c>
      <c r="L452" s="55" t="s">
        <v>2737</v>
      </c>
      <c r="M452" s="90">
        <f>35.39</f>
        <v>35.39</v>
      </c>
      <c r="N452" s="90">
        <f>-78.03</f>
        <v>-78.03</v>
      </c>
      <c r="O452" s="90">
        <v>24.3</v>
      </c>
      <c r="U452" s="55">
        <v>1</v>
      </c>
      <c r="V452" s="55">
        <v>1</v>
      </c>
      <c r="Y452" s="55" t="s">
        <v>381</v>
      </c>
      <c r="Z452" s="55" t="s">
        <v>1349</v>
      </c>
      <c r="AA452" s="90" t="s">
        <v>1677</v>
      </c>
      <c r="AH452" s="55" t="s">
        <v>174</v>
      </c>
      <c r="AM452" s="55" t="s">
        <v>1291</v>
      </c>
      <c r="AN452" s="185" t="s">
        <v>376</v>
      </c>
      <c r="AO452" s="185" t="s">
        <v>5150</v>
      </c>
      <c r="AQ452" s="55" t="s">
        <v>553</v>
      </c>
      <c r="AR452" s="55" t="s">
        <v>132</v>
      </c>
      <c r="AS452" s="55" t="s">
        <v>132</v>
      </c>
      <c r="AU452" s="181" t="s">
        <v>7494</v>
      </c>
      <c r="AV452" s="185" t="s">
        <v>176</v>
      </c>
      <c r="AX452" s="185" t="s">
        <v>176</v>
      </c>
      <c r="AZ452" s="55" t="s">
        <v>374</v>
      </c>
      <c r="BA452" s="55" t="s">
        <v>374</v>
      </c>
      <c r="BB452" s="55" t="s">
        <v>2081</v>
      </c>
      <c r="BC452" s="55" t="s">
        <v>2081</v>
      </c>
      <c r="BD452" s="55" t="s">
        <v>176</v>
      </c>
      <c r="BE452" s="226">
        <v>0</v>
      </c>
      <c r="BF452" s="55" t="s">
        <v>176</v>
      </c>
      <c r="BG452" s="55" t="s">
        <v>176</v>
      </c>
      <c r="BH452" s="226">
        <v>0</v>
      </c>
      <c r="BI452" s="55" t="s">
        <v>176</v>
      </c>
      <c r="BJ452" s="55" t="s">
        <v>176</v>
      </c>
      <c r="BK452" s="55" t="s">
        <v>5976</v>
      </c>
      <c r="BM452" s="192" t="s">
        <v>160</v>
      </c>
      <c r="BN452" s="55">
        <v>4</v>
      </c>
      <c r="BO452" s="55">
        <v>4</v>
      </c>
      <c r="BQ452" s="55" t="s">
        <v>315</v>
      </c>
      <c r="BS452" s="55">
        <f>(9.6+2.8)*1000</f>
        <v>12399.999999999998</v>
      </c>
      <c r="BT452" s="55">
        <f>BS452/(256+66)</f>
        <v>38.509316770186331</v>
      </c>
      <c r="BU452" s="55" t="s">
        <v>386</v>
      </c>
      <c r="DB452" s="65">
        <v>12.643000000000001</v>
      </c>
      <c r="DC452" s="65">
        <v>26.75</v>
      </c>
      <c r="DF452" s="65" t="s">
        <v>385</v>
      </c>
      <c r="GP452" s="292" t="s">
        <v>7494</v>
      </c>
      <c r="HS452" s="227"/>
      <c r="HW452" s="227"/>
      <c r="JU452" s="55" t="s">
        <v>388</v>
      </c>
      <c r="JV452" s="55" t="s">
        <v>687</v>
      </c>
    </row>
    <row r="453" spans="1:282" x14ac:dyDescent="0.25">
      <c r="A453" s="55">
        <v>452</v>
      </c>
      <c r="B453" s="12" t="s">
        <v>7067</v>
      </c>
      <c r="C453" s="155">
        <v>26</v>
      </c>
      <c r="D453" s="55" t="s">
        <v>3777</v>
      </c>
      <c r="E453" s="90" t="s">
        <v>370</v>
      </c>
      <c r="G453" s="55" t="s">
        <v>371</v>
      </c>
      <c r="H453" s="55">
        <v>2015</v>
      </c>
      <c r="I453" s="55">
        <v>2012</v>
      </c>
      <c r="J453" s="55" t="s">
        <v>276</v>
      </c>
      <c r="K453" s="55" t="s">
        <v>372</v>
      </c>
      <c r="L453" s="55" t="s">
        <v>2737</v>
      </c>
      <c r="M453" s="90">
        <f>35.39</f>
        <v>35.39</v>
      </c>
      <c r="N453" s="90">
        <f>-78.03</f>
        <v>-78.03</v>
      </c>
      <c r="O453" s="90">
        <v>24.3</v>
      </c>
      <c r="U453" s="55">
        <v>1</v>
      </c>
      <c r="V453" s="55">
        <v>1</v>
      </c>
      <c r="Y453" s="55" t="s">
        <v>381</v>
      </c>
      <c r="Z453" s="55" t="s">
        <v>1349</v>
      </c>
      <c r="AA453" s="90" t="s">
        <v>1677</v>
      </c>
      <c r="AH453" s="55" t="s">
        <v>174</v>
      </c>
      <c r="AM453" s="55" t="s">
        <v>1291</v>
      </c>
      <c r="AN453" s="185" t="s">
        <v>241</v>
      </c>
      <c r="AO453" s="185" t="s">
        <v>5150</v>
      </c>
      <c r="AQ453" s="55" t="s">
        <v>553</v>
      </c>
      <c r="AR453" s="55" t="s">
        <v>132</v>
      </c>
      <c r="AS453" s="55" t="s">
        <v>132</v>
      </c>
      <c r="AU453" s="181" t="s">
        <v>7494</v>
      </c>
      <c r="AV453" s="185" t="s">
        <v>176</v>
      </c>
      <c r="AX453" s="185" t="s">
        <v>176</v>
      </c>
      <c r="AZ453" s="55" t="s">
        <v>374</v>
      </c>
      <c r="BA453" s="55" t="s">
        <v>374</v>
      </c>
      <c r="BB453" s="55" t="s">
        <v>2081</v>
      </c>
      <c r="BC453" s="55" t="s">
        <v>2081</v>
      </c>
      <c r="BD453" s="55" t="s">
        <v>176</v>
      </c>
      <c r="BE453" s="226">
        <v>0</v>
      </c>
      <c r="BF453" s="55" t="s">
        <v>176</v>
      </c>
      <c r="BG453" s="55" t="s">
        <v>176</v>
      </c>
      <c r="BH453" s="226">
        <v>0</v>
      </c>
      <c r="BI453" s="55" t="s">
        <v>176</v>
      </c>
      <c r="BJ453" s="55" t="s">
        <v>176</v>
      </c>
      <c r="BK453" s="55" t="s">
        <v>5976</v>
      </c>
      <c r="BM453" s="192" t="s">
        <v>160</v>
      </c>
      <c r="BN453" s="55">
        <v>4</v>
      </c>
      <c r="BO453" s="55">
        <v>4</v>
      </c>
      <c r="BQ453" s="55" t="s">
        <v>315</v>
      </c>
      <c r="BS453" s="55">
        <f>(8.7+2.5)*1000</f>
        <v>11200</v>
      </c>
      <c r="BT453" s="55">
        <f>BS453/(288+71)</f>
        <v>31.197771587743734</v>
      </c>
      <c r="BU453" s="55" t="s">
        <v>386</v>
      </c>
      <c r="DB453" s="65">
        <v>12.643000000000001</v>
      </c>
      <c r="DC453" s="65">
        <v>42.66</v>
      </c>
      <c r="DF453" s="65" t="s">
        <v>385</v>
      </c>
      <c r="GP453" s="292" t="s">
        <v>7494</v>
      </c>
      <c r="HS453" s="227"/>
      <c r="HW453" s="227"/>
      <c r="JU453" s="55" t="s">
        <v>388</v>
      </c>
      <c r="JV453" s="55" t="s">
        <v>687</v>
      </c>
    </row>
    <row r="454" spans="1:282" x14ac:dyDescent="0.25">
      <c r="A454" s="55">
        <v>453</v>
      </c>
      <c r="B454" s="12" t="s">
        <v>7067</v>
      </c>
      <c r="C454" s="155">
        <v>26</v>
      </c>
      <c r="D454" s="55" t="s">
        <v>3777</v>
      </c>
      <c r="E454" s="90" t="s">
        <v>370</v>
      </c>
      <c r="G454" s="55" t="s">
        <v>371</v>
      </c>
      <c r="H454" s="55">
        <v>2015</v>
      </c>
      <c r="I454" s="55">
        <v>2012</v>
      </c>
      <c r="J454" s="55" t="s">
        <v>276</v>
      </c>
      <c r="K454" s="55" t="s">
        <v>372</v>
      </c>
      <c r="L454" s="55" t="s">
        <v>2737</v>
      </c>
      <c r="M454" s="90">
        <f>35.39</f>
        <v>35.39</v>
      </c>
      <c r="N454" s="90">
        <f>-78.03</f>
        <v>-78.03</v>
      </c>
      <c r="O454" s="90">
        <v>24.3</v>
      </c>
      <c r="U454" s="55">
        <v>1</v>
      </c>
      <c r="V454" s="55">
        <v>1</v>
      </c>
      <c r="Y454" s="55" t="s">
        <v>382</v>
      </c>
      <c r="Z454" s="55" t="s">
        <v>1349</v>
      </c>
      <c r="AA454" s="90" t="s">
        <v>1677</v>
      </c>
      <c r="AH454" s="55" t="s">
        <v>174</v>
      </c>
      <c r="AM454" s="55" t="s">
        <v>1291</v>
      </c>
      <c r="AN454" s="185" t="s">
        <v>375</v>
      </c>
      <c r="AO454" s="185" t="s">
        <v>5150</v>
      </c>
      <c r="AQ454" s="55" t="s">
        <v>553</v>
      </c>
      <c r="AR454" s="55" t="s">
        <v>132</v>
      </c>
      <c r="AS454" s="55" t="s">
        <v>132</v>
      </c>
      <c r="AU454" s="181" t="s">
        <v>7494</v>
      </c>
      <c r="AV454" s="185" t="s">
        <v>176</v>
      </c>
      <c r="AX454" s="185" t="s">
        <v>176</v>
      </c>
      <c r="AZ454" s="55" t="s">
        <v>374</v>
      </c>
      <c r="BA454" s="55" t="s">
        <v>374</v>
      </c>
      <c r="BB454" s="55" t="s">
        <v>2081</v>
      </c>
      <c r="BC454" s="55" t="s">
        <v>2081</v>
      </c>
      <c r="BD454" s="55" t="s">
        <v>176</v>
      </c>
      <c r="BE454" s="226">
        <v>0</v>
      </c>
      <c r="BF454" s="55" t="s">
        <v>176</v>
      </c>
      <c r="BG454" s="55" t="s">
        <v>176</v>
      </c>
      <c r="BH454" s="226">
        <v>0</v>
      </c>
      <c r="BI454" s="55" t="s">
        <v>176</v>
      </c>
      <c r="BJ454" s="55" t="s">
        <v>176</v>
      </c>
      <c r="BK454" s="55" t="s">
        <v>5976</v>
      </c>
      <c r="BM454" s="192" t="s">
        <v>160</v>
      </c>
      <c r="BN454" s="55">
        <v>4</v>
      </c>
      <c r="BO454" s="55">
        <v>4</v>
      </c>
      <c r="BQ454" s="55" t="s">
        <v>315</v>
      </c>
      <c r="BS454" s="55">
        <f>(6.5+1.7)*1000</f>
        <v>8200</v>
      </c>
      <c r="BT454" s="55">
        <f>BS454/(205+53)</f>
        <v>31.782945736434108</v>
      </c>
      <c r="BU454" s="55" t="s">
        <v>386</v>
      </c>
      <c r="DB454" s="65">
        <v>4.3230000000000004</v>
      </c>
      <c r="DC454" s="65">
        <v>10.93</v>
      </c>
      <c r="DF454" s="65" t="s">
        <v>385</v>
      </c>
      <c r="GP454" s="292" t="s">
        <v>7494</v>
      </c>
      <c r="HS454" s="227"/>
      <c r="HW454" s="227"/>
      <c r="JU454" s="55" t="s">
        <v>388</v>
      </c>
      <c r="JV454" s="55" t="s">
        <v>687</v>
      </c>
    </row>
    <row r="455" spans="1:282" x14ac:dyDescent="0.25">
      <c r="A455" s="55">
        <v>454</v>
      </c>
      <c r="B455" s="12" t="s">
        <v>7067</v>
      </c>
      <c r="C455" s="155">
        <v>26</v>
      </c>
      <c r="D455" s="55" t="s">
        <v>3777</v>
      </c>
      <c r="E455" s="90" t="s">
        <v>370</v>
      </c>
      <c r="G455" s="55" t="s">
        <v>371</v>
      </c>
      <c r="H455" s="55">
        <v>2015</v>
      </c>
      <c r="I455" s="55">
        <v>2012</v>
      </c>
      <c r="J455" s="55" t="s">
        <v>276</v>
      </c>
      <c r="K455" s="55" t="s">
        <v>372</v>
      </c>
      <c r="L455" s="55" t="s">
        <v>2737</v>
      </c>
      <c r="M455" s="90">
        <f>35.39</f>
        <v>35.39</v>
      </c>
      <c r="N455" s="90">
        <f>-78.03</f>
        <v>-78.03</v>
      </c>
      <c r="O455" s="90">
        <v>24.3</v>
      </c>
      <c r="U455" s="55">
        <v>1</v>
      </c>
      <c r="V455" s="55">
        <v>1</v>
      </c>
      <c r="Y455" s="55" t="s">
        <v>382</v>
      </c>
      <c r="Z455" s="55" t="s">
        <v>1349</v>
      </c>
      <c r="AA455" s="90" t="s">
        <v>1677</v>
      </c>
      <c r="AH455" s="55" t="s">
        <v>174</v>
      </c>
      <c r="AM455" s="55" t="s">
        <v>1291</v>
      </c>
      <c r="AN455" s="185" t="s">
        <v>376</v>
      </c>
      <c r="AO455" s="185" t="s">
        <v>5150</v>
      </c>
      <c r="AQ455" s="55" t="s">
        <v>553</v>
      </c>
      <c r="AR455" s="55" t="s">
        <v>132</v>
      </c>
      <c r="AS455" s="55" t="s">
        <v>132</v>
      </c>
      <c r="AU455" s="181" t="s">
        <v>7494</v>
      </c>
      <c r="AV455" s="185" t="s">
        <v>176</v>
      </c>
      <c r="AX455" s="185" t="s">
        <v>176</v>
      </c>
      <c r="AZ455" s="55" t="s">
        <v>374</v>
      </c>
      <c r="BA455" s="55" t="s">
        <v>374</v>
      </c>
      <c r="BB455" s="55" t="s">
        <v>2081</v>
      </c>
      <c r="BC455" s="55" t="s">
        <v>2081</v>
      </c>
      <c r="BD455" s="55" t="s">
        <v>176</v>
      </c>
      <c r="BE455" s="226">
        <v>0</v>
      </c>
      <c r="BF455" s="55" t="s">
        <v>176</v>
      </c>
      <c r="BG455" s="55" t="s">
        <v>176</v>
      </c>
      <c r="BH455" s="226">
        <v>0</v>
      </c>
      <c r="BI455" s="55" t="s">
        <v>176</v>
      </c>
      <c r="BJ455" s="55" t="s">
        <v>176</v>
      </c>
      <c r="BK455" s="55" t="s">
        <v>5976</v>
      </c>
      <c r="BM455" s="192" t="s">
        <v>160</v>
      </c>
      <c r="BN455" s="55">
        <v>4</v>
      </c>
      <c r="BO455" s="55">
        <v>4</v>
      </c>
      <c r="BQ455" s="55" t="s">
        <v>315</v>
      </c>
      <c r="BS455" s="55">
        <f>(9.6+2.8)*1000</f>
        <v>12399.999999999998</v>
      </c>
      <c r="BT455" s="55">
        <f>BS455/(256+66)</f>
        <v>38.509316770186331</v>
      </c>
      <c r="BU455" s="55" t="s">
        <v>386</v>
      </c>
      <c r="DB455" s="65">
        <v>4.3230000000000004</v>
      </c>
      <c r="DC455" s="65">
        <v>6.1180000000000003</v>
      </c>
      <c r="DF455" s="65" t="s">
        <v>385</v>
      </c>
      <c r="GP455" s="292" t="s">
        <v>7494</v>
      </c>
      <c r="HS455" s="227"/>
      <c r="HW455" s="227"/>
      <c r="JU455" s="55" t="s">
        <v>388</v>
      </c>
      <c r="JV455" s="55" t="s">
        <v>687</v>
      </c>
    </row>
    <row r="456" spans="1:282" x14ac:dyDescent="0.25">
      <c r="A456" s="55">
        <v>455</v>
      </c>
      <c r="B456" s="12" t="s">
        <v>7067</v>
      </c>
      <c r="C456" s="155">
        <v>26</v>
      </c>
      <c r="D456" s="55" t="s">
        <v>3777</v>
      </c>
      <c r="E456" s="90" t="s">
        <v>370</v>
      </c>
      <c r="G456" s="55" t="s">
        <v>371</v>
      </c>
      <c r="H456" s="55">
        <v>2015</v>
      </c>
      <c r="I456" s="55">
        <v>2012</v>
      </c>
      <c r="J456" s="55" t="s">
        <v>276</v>
      </c>
      <c r="K456" s="55" t="s">
        <v>372</v>
      </c>
      <c r="L456" s="55" t="s">
        <v>2737</v>
      </c>
      <c r="M456" s="90">
        <f>35.39</f>
        <v>35.39</v>
      </c>
      <c r="N456" s="90">
        <f>-78.03</f>
        <v>-78.03</v>
      </c>
      <c r="O456" s="90">
        <v>24.3</v>
      </c>
      <c r="U456" s="55">
        <v>1</v>
      </c>
      <c r="V456" s="55">
        <v>1</v>
      </c>
      <c r="Y456" s="55" t="s">
        <v>382</v>
      </c>
      <c r="Z456" s="55" t="s">
        <v>1349</v>
      </c>
      <c r="AA456" s="90" t="s">
        <v>1677</v>
      </c>
      <c r="AH456" s="55" t="s">
        <v>174</v>
      </c>
      <c r="AM456" s="55" t="s">
        <v>1291</v>
      </c>
      <c r="AN456" s="185" t="s">
        <v>241</v>
      </c>
      <c r="AO456" s="185" t="s">
        <v>5150</v>
      </c>
      <c r="AQ456" s="55" t="s">
        <v>553</v>
      </c>
      <c r="AR456" s="55" t="s">
        <v>132</v>
      </c>
      <c r="AS456" s="55" t="s">
        <v>132</v>
      </c>
      <c r="AU456" s="181" t="s">
        <v>7494</v>
      </c>
      <c r="AV456" s="185" t="s">
        <v>176</v>
      </c>
      <c r="AX456" s="185" t="s">
        <v>176</v>
      </c>
      <c r="AZ456" s="55" t="s">
        <v>374</v>
      </c>
      <c r="BA456" s="55" t="s">
        <v>374</v>
      </c>
      <c r="BB456" s="55" t="s">
        <v>2081</v>
      </c>
      <c r="BC456" s="55" t="s">
        <v>2081</v>
      </c>
      <c r="BD456" s="55" t="s">
        <v>176</v>
      </c>
      <c r="BE456" s="226">
        <v>0</v>
      </c>
      <c r="BF456" s="55" t="s">
        <v>176</v>
      </c>
      <c r="BG456" s="55" t="s">
        <v>176</v>
      </c>
      <c r="BH456" s="226">
        <v>0</v>
      </c>
      <c r="BI456" s="55" t="s">
        <v>176</v>
      </c>
      <c r="BJ456" s="55" t="s">
        <v>176</v>
      </c>
      <c r="BK456" s="55" t="s">
        <v>5976</v>
      </c>
      <c r="BM456" s="192" t="s">
        <v>160</v>
      </c>
      <c r="BN456" s="55">
        <v>4</v>
      </c>
      <c r="BO456" s="55">
        <v>4</v>
      </c>
      <c r="BQ456" s="55" t="s">
        <v>315</v>
      </c>
      <c r="BS456" s="55">
        <f>(8.7+2.5)*1000</f>
        <v>11200</v>
      </c>
      <c r="BT456" s="55">
        <f>BS456/(288+71)</f>
        <v>31.197771587743734</v>
      </c>
      <c r="BU456" s="55" t="s">
        <v>386</v>
      </c>
      <c r="DB456" s="65">
        <v>4.3230000000000004</v>
      </c>
      <c r="DC456" s="65">
        <v>10.93</v>
      </c>
      <c r="DF456" s="65" t="s">
        <v>385</v>
      </c>
      <c r="GP456" s="292" t="s">
        <v>7494</v>
      </c>
      <c r="HS456" s="227"/>
      <c r="HW456" s="227"/>
      <c r="JU456" s="55" t="s">
        <v>388</v>
      </c>
      <c r="JV456" s="55" t="s">
        <v>687</v>
      </c>
    </row>
    <row r="457" spans="1:282" x14ac:dyDescent="0.25">
      <c r="A457" s="55">
        <v>456</v>
      </c>
      <c r="B457" s="12" t="s">
        <v>7067</v>
      </c>
      <c r="C457" s="155">
        <v>26</v>
      </c>
      <c r="D457" s="55" t="s">
        <v>3777</v>
      </c>
      <c r="E457" s="90" t="s">
        <v>370</v>
      </c>
      <c r="G457" s="55" t="s">
        <v>371</v>
      </c>
      <c r="H457" s="55">
        <v>2015</v>
      </c>
      <c r="I457" s="55">
        <v>2012</v>
      </c>
      <c r="J457" s="55" t="s">
        <v>276</v>
      </c>
      <c r="K457" s="55" t="s">
        <v>372</v>
      </c>
      <c r="L457" s="55" t="s">
        <v>2737</v>
      </c>
      <c r="M457" s="90">
        <f>35.39</f>
        <v>35.39</v>
      </c>
      <c r="N457" s="90">
        <f>-78.03</f>
        <v>-78.03</v>
      </c>
      <c r="O457" s="90">
        <v>24.3</v>
      </c>
      <c r="U457" s="55">
        <v>1</v>
      </c>
      <c r="V457" s="55">
        <v>1</v>
      </c>
      <c r="Y457" s="55" t="s">
        <v>383</v>
      </c>
      <c r="Z457" s="55" t="s">
        <v>1349</v>
      </c>
      <c r="AA457" s="90" t="s">
        <v>1677</v>
      </c>
      <c r="AH457" s="55" t="s">
        <v>174</v>
      </c>
      <c r="AM457" s="55" t="s">
        <v>1291</v>
      </c>
      <c r="AN457" s="185" t="s">
        <v>375</v>
      </c>
      <c r="AO457" s="185" t="s">
        <v>5150</v>
      </c>
      <c r="AQ457" s="55" t="s">
        <v>553</v>
      </c>
      <c r="AR457" s="55" t="s">
        <v>132</v>
      </c>
      <c r="AS457" s="55" t="s">
        <v>132</v>
      </c>
      <c r="AU457" s="181" t="s">
        <v>7494</v>
      </c>
      <c r="AV457" s="185" t="s">
        <v>176</v>
      </c>
      <c r="AX457" s="185" t="s">
        <v>176</v>
      </c>
      <c r="AZ457" s="55" t="s">
        <v>374</v>
      </c>
      <c r="BA457" s="55" t="s">
        <v>374</v>
      </c>
      <c r="BB457" s="55" t="s">
        <v>2081</v>
      </c>
      <c r="BC457" s="55" t="s">
        <v>2081</v>
      </c>
      <c r="BD457" s="55" t="s">
        <v>176</v>
      </c>
      <c r="BE457" s="226">
        <v>0</v>
      </c>
      <c r="BF457" s="55" t="s">
        <v>176</v>
      </c>
      <c r="BG457" s="55" t="s">
        <v>176</v>
      </c>
      <c r="BH457" s="226">
        <v>0</v>
      </c>
      <c r="BI457" s="55" t="s">
        <v>176</v>
      </c>
      <c r="BJ457" s="55" t="s">
        <v>176</v>
      </c>
      <c r="BK457" s="55" t="s">
        <v>5976</v>
      </c>
      <c r="BM457" s="192" t="s">
        <v>160</v>
      </c>
      <c r="BN457" s="55">
        <v>4</v>
      </c>
      <c r="BO457" s="55">
        <v>4</v>
      </c>
      <c r="BQ457" s="55" t="s">
        <v>315</v>
      </c>
      <c r="BS457" s="55">
        <f>(6.5+1.7)*1000</f>
        <v>8200</v>
      </c>
      <c r="BT457" s="55">
        <f>BS457/(205+53)</f>
        <v>31.782945736434108</v>
      </c>
      <c r="BU457" s="55" t="s">
        <v>386</v>
      </c>
      <c r="DB457" s="65">
        <v>2.0390000000000001</v>
      </c>
      <c r="DC457" s="65">
        <v>4.649</v>
      </c>
      <c r="DF457" s="65" t="s">
        <v>385</v>
      </c>
      <c r="GP457" s="292" t="s">
        <v>7494</v>
      </c>
      <c r="HS457" s="227"/>
      <c r="HW457" s="227"/>
      <c r="JU457" s="55" t="s">
        <v>388</v>
      </c>
      <c r="JV457" s="55" t="s">
        <v>687</v>
      </c>
    </row>
    <row r="458" spans="1:282" x14ac:dyDescent="0.25">
      <c r="A458" s="55">
        <v>457</v>
      </c>
      <c r="B458" s="12" t="s">
        <v>7067</v>
      </c>
      <c r="C458" s="155">
        <v>26</v>
      </c>
      <c r="D458" s="55" t="s">
        <v>3777</v>
      </c>
      <c r="E458" s="90" t="s">
        <v>370</v>
      </c>
      <c r="G458" s="55" t="s">
        <v>371</v>
      </c>
      <c r="H458" s="55">
        <v>2015</v>
      </c>
      <c r="I458" s="55">
        <v>2012</v>
      </c>
      <c r="J458" s="55" t="s">
        <v>276</v>
      </c>
      <c r="K458" s="55" t="s">
        <v>372</v>
      </c>
      <c r="L458" s="55" t="s">
        <v>2737</v>
      </c>
      <c r="M458" s="90">
        <f>35.39</f>
        <v>35.39</v>
      </c>
      <c r="N458" s="90">
        <f>-78.03</f>
        <v>-78.03</v>
      </c>
      <c r="O458" s="90">
        <v>24.3</v>
      </c>
      <c r="U458" s="55">
        <v>1</v>
      </c>
      <c r="V458" s="55">
        <v>1</v>
      </c>
      <c r="Y458" s="55" t="s">
        <v>383</v>
      </c>
      <c r="Z458" s="55" t="s">
        <v>1349</v>
      </c>
      <c r="AA458" s="90" t="s">
        <v>1677</v>
      </c>
      <c r="AH458" s="55" t="s">
        <v>174</v>
      </c>
      <c r="AM458" s="55" t="s">
        <v>1291</v>
      </c>
      <c r="AN458" s="185" t="s">
        <v>376</v>
      </c>
      <c r="AO458" s="185" t="s">
        <v>5150</v>
      </c>
      <c r="AQ458" s="55" t="s">
        <v>553</v>
      </c>
      <c r="AR458" s="55" t="s">
        <v>132</v>
      </c>
      <c r="AS458" s="55" t="s">
        <v>132</v>
      </c>
      <c r="AU458" s="181" t="s">
        <v>7494</v>
      </c>
      <c r="AV458" s="185" t="s">
        <v>176</v>
      </c>
      <c r="AX458" s="185" t="s">
        <v>176</v>
      </c>
      <c r="AZ458" s="55" t="s">
        <v>374</v>
      </c>
      <c r="BA458" s="55" t="s">
        <v>374</v>
      </c>
      <c r="BB458" s="55" t="s">
        <v>2081</v>
      </c>
      <c r="BC458" s="55" t="s">
        <v>2081</v>
      </c>
      <c r="BD458" s="55" t="s">
        <v>176</v>
      </c>
      <c r="BE458" s="226">
        <v>0</v>
      </c>
      <c r="BF458" s="55" t="s">
        <v>176</v>
      </c>
      <c r="BG458" s="55" t="s">
        <v>176</v>
      </c>
      <c r="BH458" s="226">
        <v>0</v>
      </c>
      <c r="BI458" s="55" t="s">
        <v>176</v>
      </c>
      <c r="BJ458" s="55" t="s">
        <v>176</v>
      </c>
      <c r="BK458" s="55" t="s">
        <v>5976</v>
      </c>
      <c r="BM458" s="192" t="s">
        <v>160</v>
      </c>
      <c r="BN458" s="55">
        <v>4</v>
      </c>
      <c r="BO458" s="55">
        <v>4</v>
      </c>
      <c r="BQ458" s="55" t="s">
        <v>315</v>
      </c>
      <c r="BS458" s="55">
        <f>(9.6+2.8)*1000</f>
        <v>12399.999999999998</v>
      </c>
      <c r="BT458" s="55">
        <f>BS458/(256+66)</f>
        <v>38.509316770186331</v>
      </c>
      <c r="BU458" s="55" t="s">
        <v>386</v>
      </c>
      <c r="DB458" s="65">
        <v>2.0390000000000001</v>
      </c>
      <c r="DC458" s="65">
        <v>5.6280000000000001</v>
      </c>
      <c r="DF458" s="65" t="s">
        <v>385</v>
      </c>
      <c r="GP458" s="292" t="s">
        <v>7494</v>
      </c>
      <c r="HS458" s="227"/>
      <c r="HW458" s="227"/>
      <c r="JU458" s="55" t="s">
        <v>388</v>
      </c>
      <c r="JV458" s="55" t="s">
        <v>687</v>
      </c>
    </row>
    <row r="459" spans="1:282" x14ac:dyDescent="0.25">
      <c r="A459" s="55">
        <v>458</v>
      </c>
      <c r="B459" s="12" t="s">
        <v>7067</v>
      </c>
      <c r="C459" s="155">
        <v>26</v>
      </c>
      <c r="D459" s="55" t="s">
        <v>3777</v>
      </c>
      <c r="E459" s="90" t="s">
        <v>370</v>
      </c>
      <c r="G459" s="55" t="s">
        <v>371</v>
      </c>
      <c r="H459" s="55">
        <v>2015</v>
      </c>
      <c r="I459" s="55">
        <v>2012</v>
      </c>
      <c r="J459" s="55" t="s">
        <v>276</v>
      </c>
      <c r="K459" s="55" t="s">
        <v>372</v>
      </c>
      <c r="L459" s="55" t="s">
        <v>2737</v>
      </c>
      <c r="M459" s="90">
        <f>35.39</f>
        <v>35.39</v>
      </c>
      <c r="N459" s="90">
        <f>-78.03</f>
        <v>-78.03</v>
      </c>
      <c r="O459" s="90">
        <v>24.3</v>
      </c>
      <c r="U459" s="55">
        <v>1</v>
      </c>
      <c r="V459" s="55">
        <v>1</v>
      </c>
      <c r="Y459" s="55" t="s">
        <v>383</v>
      </c>
      <c r="Z459" s="55" t="s">
        <v>1349</v>
      </c>
      <c r="AA459" s="90" t="s">
        <v>1677</v>
      </c>
      <c r="AH459" s="55" t="s">
        <v>174</v>
      </c>
      <c r="AM459" s="55" t="s">
        <v>1291</v>
      </c>
      <c r="AN459" s="185" t="s">
        <v>241</v>
      </c>
      <c r="AO459" s="185" t="s">
        <v>5150</v>
      </c>
      <c r="AQ459" s="55" t="s">
        <v>553</v>
      </c>
      <c r="AR459" s="55" t="s">
        <v>132</v>
      </c>
      <c r="AS459" s="55" t="s">
        <v>132</v>
      </c>
      <c r="AU459" s="181" t="s">
        <v>7494</v>
      </c>
      <c r="AV459" s="185" t="s">
        <v>176</v>
      </c>
      <c r="AX459" s="185" t="s">
        <v>176</v>
      </c>
      <c r="AZ459" s="55" t="s">
        <v>374</v>
      </c>
      <c r="BA459" s="55" t="s">
        <v>374</v>
      </c>
      <c r="BB459" s="55" t="s">
        <v>2081</v>
      </c>
      <c r="BC459" s="55" t="s">
        <v>2081</v>
      </c>
      <c r="BD459" s="55" t="s">
        <v>176</v>
      </c>
      <c r="BE459" s="226">
        <v>0</v>
      </c>
      <c r="BF459" s="55" t="s">
        <v>176</v>
      </c>
      <c r="BG459" s="55" t="s">
        <v>176</v>
      </c>
      <c r="BH459" s="226">
        <v>0</v>
      </c>
      <c r="BI459" s="55" t="s">
        <v>176</v>
      </c>
      <c r="BJ459" s="55" t="s">
        <v>176</v>
      </c>
      <c r="BK459" s="55" t="s">
        <v>5976</v>
      </c>
      <c r="BM459" s="192" t="s">
        <v>160</v>
      </c>
      <c r="BN459" s="55">
        <v>4</v>
      </c>
      <c r="BO459" s="55">
        <v>4</v>
      </c>
      <c r="BQ459" s="55" t="s">
        <v>315</v>
      </c>
      <c r="BS459" s="55">
        <f>(8.7+2.5)*1000</f>
        <v>11200</v>
      </c>
      <c r="BT459" s="55">
        <f>BS459/(288+71)</f>
        <v>31.197771587743734</v>
      </c>
      <c r="BU459" s="55" t="s">
        <v>386</v>
      </c>
      <c r="DB459" s="65">
        <v>2.0390000000000001</v>
      </c>
      <c r="DC459" s="65">
        <v>11.175000000000001</v>
      </c>
      <c r="DF459" s="65" t="s">
        <v>385</v>
      </c>
      <c r="GP459" s="292" t="s">
        <v>7494</v>
      </c>
      <c r="HS459" s="227"/>
      <c r="HW459" s="227"/>
      <c r="JU459" s="55" t="s">
        <v>388</v>
      </c>
      <c r="JV459" s="55" t="s">
        <v>687</v>
      </c>
    </row>
    <row r="460" spans="1:282" x14ac:dyDescent="0.25">
      <c r="A460" s="55">
        <v>459</v>
      </c>
      <c r="B460" s="12" t="s">
        <v>7067</v>
      </c>
      <c r="C460" s="155">
        <v>26</v>
      </c>
      <c r="D460" s="55" t="s">
        <v>3778</v>
      </c>
      <c r="E460" s="90" t="s">
        <v>370</v>
      </c>
      <c r="G460" s="55" t="s">
        <v>371</v>
      </c>
      <c r="H460" s="55">
        <v>2015</v>
      </c>
      <c r="I460" s="55">
        <v>2012</v>
      </c>
      <c r="J460" s="55" t="s">
        <v>276</v>
      </c>
      <c r="K460" s="55" t="s">
        <v>372</v>
      </c>
      <c r="L460" s="55" t="s">
        <v>2737</v>
      </c>
      <c r="M460" s="90">
        <f>35.39</f>
        <v>35.39</v>
      </c>
      <c r="N460" s="90">
        <f>-78.03</f>
        <v>-78.03</v>
      </c>
      <c r="O460" s="90">
        <v>24.3</v>
      </c>
      <c r="U460" s="55">
        <v>1</v>
      </c>
      <c r="V460" s="55">
        <v>1</v>
      </c>
      <c r="Y460" s="55" t="s">
        <v>377</v>
      </c>
      <c r="Z460" s="55" t="s">
        <v>1349</v>
      </c>
      <c r="AA460" s="90" t="s">
        <v>1677</v>
      </c>
      <c r="AH460" s="55" t="s">
        <v>174</v>
      </c>
      <c r="AM460" s="55" t="s">
        <v>1291</v>
      </c>
      <c r="AN460" s="185" t="s">
        <v>375</v>
      </c>
      <c r="AO460" s="185" t="s">
        <v>5150</v>
      </c>
      <c r="AQ460" s="55" t="s">
        <v>553</v>
      </c>
      <c r="AR460" s="55" t="s">
        <v>132</v>
      </c>
      <c r="AS460" s="55" t="s">
        <v>132</v>
      </c>
      <c r="AU460" s="181" t="s">
        <v>7494</v>
      </c>
      <c r="AV460" s="185" t="s">
        <v>176</v>
      </c>
      <c r="AX460" s="185" t="s">
        <v>176</v>
      </c>
      <c r="AZ460" s="55" t="s">
        <v>384</v>
      </c>
      <c r="BA460" s="55" t="s">
        <v>384</v>
      </c>
      <c r="BB460" s="55" t="s">
        <v>2081</v>
      </c>
      <c r="BC460" s="55" t="s">
        <v>2081</v>
      </c>
      <c r="BD460" s="55" t="s">
        <v>176</v>
      </c>
      <c r="BE460" s="226">
        <v>0</v>
      </c>
      <c r="BF460" s="55" t="s">
        <v>176</v>
      </c>
      <c r="BG460" s="55" t="s">
        <v>176</v>
      </c>
      <c r="BH460" s="226">
        <v>0</v>
      </c>
      <c r="BI460" s="55" t="s">
        <v>176</v>
      </c>
      <c r="BJ460" s="55" t="s">
        <v>176</v>
      </c>
      <c r="BK460" s="55" t="s">
        <v>5976</v>
      </c>
      <c r="BM460" s="192" t="s">
        <v>160</v>
      </c>
      <c r="BN460" s="55">
        <v>4</v>
      </c>
      <c r="BO460" s="55">
        <v>4</v>
      </c>
      <c r="BQ460" s="55" t="s">
        <v>315</v>
      </c>
      <c r="BS460" s="55">
        <f>(6.5+1.7)*1000</f>
        <v>8200</v>
      </c>
      <c r="BT460" s="55">
        <f>BS460/(205+53)</f>
        <v>31.782945736434108</v>
      </c>
      <c r="BU460" s="55" t="s">
        <v>387</v>
      </c>
      <c r="DB460" s="65">
        <v>9.5429999999999993</v>
      </c>
      <c r="DC460" s="65">
        <v>12.48</v>
      </c>
      <c r="DF460" s="65" t="s">
        <v>385</v>
      </c>
      <c r="GP460" s="292" t="s">
        <v>7494</v>
      </c>
      <c r="HS460" s="227"/>
      <c r="HW460" s="227"/>
      <c r="JU460" s="55" t="s">
        <v>388</v>
      </c>
      <c r="JV460" s="55" t="s">
        <v>687</v>
      </c>
    </row>
    <row r="461" spans="1:282" x14ac:dyDescent="0.25">
      <c r="A461" s="55">
        <v>460</v>
      </c>
      <c r="B461" s="12" t="s">
        <v>7067</v>
      </c>
      <c r="C461" s="155">
        <v>26</v>
      </c>
      <c r="D461" s="55" t="s">
        <v>3778</v>
      </c>
      <c r="E461" s="90" t="s">
        <v>370</v>
      </c>
      <c r="G461" s="55" t="s">
        <v>371</v>
      </c>
      <c r="H461" s="55">
        <v>2015</v>
      </c>
      <c r="I461" s="55">
        <v>2012</v>
      </c>
      <c r="J461" s="55" t="s">
        <v>276</v>
      </c>
      <c r="K461" s="55" t="s">
        <v>372</v>
      </c>
      <c r="L461" s="55" t="s">
        <v>2737</v>
      </c>
      <c r="M461" s="90">
        <f>35.39</f>
        <v>35.39</v>
      </c>
      <c r="N461" s="90">
        <f>-78.03</f>
        <v>-78.03</v>
      </c>
      <c r="O461" s="90">
        <v>24.3</v>
      </c>
      <c r="U461" s="55">
        <v>1</v>
      </c>
      <c r="V461" s="55">
        <v>1</v>
      </c>
      <c r="Y461" s="55" t="s">
        <v>377</v>
      </c>
      <c r="Z461" s="55" t="s">
        <v>1349</v>
      </c>
      <c r="AA461" s="90" t="s">
        <v>1677</v>
      </c>
      <c r="AH461" s="55" t="s">
        <v>174</v>
      </c>
      <c r="AM461" s="55" t="s">
        <v>1291</v>
      </c>
      <c r="AN461" s="185" t="s">
        <v>376</v>
      </c>
      <c r="AO461" s="185" t="s">
        <v>5150</v>
      </c>
      <c r="AQ461" s="55" t="s">
        <v>553</v>
      </c>
      <c r="AR461" s="55" t="s">
        <v>132</v>
      </c>
      <c r="AS461" s="55" t="s">
        <v>132</v>
      </c>
      <c r="AU461" s="181" t="s">
        <v>7494</v>
      </c>
      <c r="AV461" s="185" t="s">
        <v>176</v>
      </c>
      <c r="AX461" s="185" t="s">
        <v>176</v>
      </c>
      <c r="AZ461" s="55" t="s">
        <v>384</v>
      </c>
      <c r="BA461" s="55" t="s">
        <v>384</v>
      </c>
      <c r="BB461" s="55" t="s">
        <v>2081</v>
      </c>
      <c r="BC461" s="55" t="s">
        <v>2081</v>
      </c>
      <c r="BD461" s="55" t="s">
        <v>176</v>
      </c>
      <c r="BE461" s="226">
        <v>0</v>
      </c>
      <c r="BF461" s="55" t="s">
        <v>176</v>
      </c>
      <c r="BG461" s="55" t="s">
        <v>176</v>
      </c>
      <c r="BH461" s="226">
        <v>0</v>
      </c>
      <c r="BI461" s="55" t="s">
        <v>176</v>
      </c>
      <c r="BJ461" s="55" t="s">
        <v>176</v>
      </c>
      <c r="BK461" s="55" t="s">
        <v>5976</v>
      </c>
      <c r="BM461" s="192" t="s">
        <v>160</v>
      </c>
      <c r="BN461" s="55">
        <v>4</v>
      </c>
      <c r="BO461" s="55">
        <v>4</v>
      </c>
      <c r="BQ461" s="55" t="s">
        <v>315</v>
      </c>
      <c r="BS461" s="55">
        <f>(9.6+2.8)*1000</f>
        <v>12399.999999999998</v>
      </c>
      <c r="BT461" s="55">
        <f>BS461/(256+66)</f>
        <v>38.509316770186331</v>
      </c>
      <c r="BU461" s="55" t="s">
        <v>387</v>
      </c>
      <c r="DB461" s="65">
        <v>9.5429999999999993</v>
      </c>
      <c r="DC461" s="65">
        <v>11.42</v>
      </c>
      <c r="DF461" s="65" t="s">
        <v>385</v>
      </c>
      <c r="GP461" s="292" t="s">
        <v>7494</v>
      </c>
      <c r="HS461" s="227"/>
      <c r="HW461" s="227"/>
      <c r="JU461" s="55" t="s">
        <v>388</v>
      </c>
      <c r="JV461" s="55" t="s">
        <v>687</v>
      </c>
    </row>
    <row r="462" spans="1:282" x14ac:dyDescent="0.25">
      <c r="A462" s="55">
        <v>461</v>
      </c>
      <c r="B462" s="12" t="s">
        <v>7067</v>
      </c>
      <c r="C462" s="155">
        <v>26</v>
      </c>
      <c r="D462" s="55" t="s">
        <v>3778</v>
      </c>
      <c r="E462" s="90" t="s">
        <v>370</v>
      </c>
      <c r="G462" s="55" t="s">
        <v>371</v>
      </c>
      <c r="H462" s="55">
        <v>2015</v>
      </c>
      <c r="I462" s="55">
        <v>2012</v>
      </c>
      <c r="J462" s="55" t="s">
        <v>276</v>
      </c>
      <c r="K462" s="55" t="s">
        <v>372</v>
      </c>
      <c r="L462" s="55" t="s">
        <v>2737</v>
      </c>
      <c r="M462" s="90">
        <f>35.39</f>
        <v>35.39</v>
      </c>
      <c r="N462" s="90">
        <f>-78.03</f>
        <v>-78.03</v>
      </c>
      <c r="O462" s="90">
        <v>24.3</v>
      </c>
      <c r="U462" s="55">
        <v>1</v>
      </c>
      <c r="V462" s="55">
        <v>1</v>
      </c>
      <c r="Y462" s="55" t="s">
        <v>377</v>
      </c>
      <c r="Z462" s="55" t="s">
        <v>1349</v>
      </c>
      <c r="AA462" s="90" t="s">
        <v>1677</v>
      </c>
      <c r="AH462" s="55" t="s">
        <v>174</v>
      </c>
      <c r="AM462" s="55" t="s">
        <v>1291</v>
      </c>
      <c r="AN462" s="185" t="s">
        <v>241</v>
      </c>
      <c r="AO462" s="185" t="s">
        <v>5150</v>
      </c>
      <c r="AQ462" s="55" t="s">
        <v>553</v>
      </c>
      <c r="AR462" s="55" t="s">
        <v>132</v>
      </c>
      <c r="AS462" s="55" t="s">
        <v>132</v>
      </c>
      <c r="AU462" s="181" t="s">
        <v>7494</v>
      </c>
      <c r="AV462" s="185" t="s">
        <v>176</v>
      </c>
      <c r="AX462" s="185" t="s">
        <v>176</v>
      </c>
      <c r="AZ462" s="55" t="s">
        <v>384</v>
      </c>
      <c r="BA462" s="55" t="s">
        <v>384</v>
      </c>
      <c r="BB462" s="55" t="s">
        <v>2081</v>
      </c>
      <c r="BC462" s="55" t="s">
        <v>2081</v>
      </c>
      <c r="BD462" s="55" t="s">
        <v>176</v>
      </c>
      <c r="BE462" s="226">
        <v>0</v>
      </c>
      <c r="BF462" s="55" t="s">
        <v>176</v>
      </c>
      <c r="BG462" s="55" t="s">
        <v>176</v>
      </c>
      <c r="BH462" s="226">
        <v>0</v>
      </c>
      <c r="BI462" s="55" t="s">
        <v>176</v>
      </c>
      <c r="BJ462" s="55" t="s">
        <v>176</v>
      </c>
      <c r="BK462" s="55" t="s">
        <v>5976</v>
      </c>
      <c r="BM462" s="192" t="s">
        <v>160</v>
      </c>
      <c r="BN462" s="55">
        <v>4</v>
      </c>
      <c r="BO462" s="55">
        <v>4</v>
      </c>
      <c r="BQ462" s="55" t="s">
        <v>315</v>
      </c>
      <c r="BS462" s="55">
        <f>(8.7+2.5)*1000</f>
        <v>11200</v>
      </c>
      <c r="BT462" s="55">
        <f>BS462/(288+71)</f>
        <v>31.197771587743734</v>
      </c>
      <c r="BU462" s="55" t="s">
        <v>387</v>
      </c>
      <c r="DB462" s="65">
        <v>9.5429999999999993</v>
      </c>
      <c r="DC462" s="65">
        <v>19.899999999999999</v>
      </c>
      <c r="DF462" s="65" t="s">
        <v>385</v>
      </c>
      <c r="GP462" s="292" t="s">
        <v>7494</v>
      </c>
      <c r="HS462" s="227"/>
      <c r="HW462" s="227"/>
      <c r="JU462" s="55" t="s">
        <v>388</v>
      </c>
      <c r="JV462" s="55" t="s">
        <v>687</v>
      </c>
    </row>
    <row r="463" spans="1:282" x14ac:dyDescent="0.25">
      <c r="A463" s="55">
        <v>462</v>
      </c>
      <c r="B463" s="12" t="s">
        <v>7067</v>
      </c>
      <c r="C463" s="155">
        <v>26</v>
      </c>
      <c r="D463" s="55" t="s">
        <v>3778</v>
      </c>
      <c r="E463" s="90" t="s">
        <v>370</v>
      </c>
      <c r="G463" s="55" t="s">
        <v>371</v>
      </c>
      <c r="H463" s="55">
        <v>2015</v>
      </c>
      <c r="I463" s="55">
        <v>2012</v>
      </c>
      <c r="J463" s="55" t="s">
        <v>276</v>
      </c>
      <c r="K463" s="55" t="s">
        <v>372</v>
      </c>
      <c r="L463" s="55" t="s">
        <v>2737</v>
      </c>
      <c r="M463" s="90">
        <f>35.39</f>
        <v>35.39</v>
      </c>
      <c r="N463" s="90">
        <f>-78.03</f>
        <v>-78.03</v>
      </c>
      <c r="O463" s="90">
        <v>24.3</v>
      </c>
      <c r="U463" s="55">
        <v>1</v>
      </c>
      <c r="V463" s="55">
        <v>1</v>
      </c>
      <c r="Y463" s="55" t="s">
        <v>378</v>
      </c>
      <c r="Z463" s="55" t="s">
        <v>1349</v>
      </c>
      <c r="AA463" s="90" t="s">
        <v>1677</v>
      </c>
      <c r="AH463" s="55" t="s">
        <v>174</v>
      </c>
      <c r="AM463" s="55" t="s">
        <v>1291</v>
      </c>
      <c r="AN463" s="185" t="s">
        <v>375</v>
      </c>
      <c r="AO463" s="185" t="s">
        <v>5150</v>
      </c>
      <c r="AQ463" s="55" t="s">
        <v>553</v>
      </c>
      <c r="AR463" s="55" t="s">
        <v>132</v>
      </c>
      <c r="AS463" s="55" t="s">
        <v>132</v>
      </c>
      <c r="AU463" s="181" t="s">
        <v>7494</v>
      </c>
      <c r="AV463" s="185" t="s">
        <v>176</v>
      </c>
      <c r="AX463" s="185" t="s">
        <v>176</v>
      </c>
      <c r="AZ463" s="55" t="s">
        <v>384</v>
      </c>
      <c r="BA463" s="55" t="s">
        <v>384</v>
      </c>
      <c r="BB463" s="55" t="s">
        <v>2081</v>
      </c>
      <c r="BC463" s="55" t="s">
        <v>2081</v>
      </c>
      <c r="BD463" s="55" t="s">
        <v>176</v>
      </c>
      <c r="BE463" s="226">
        <v>0</v>
      </c>
      <c r="BF463" s="55" t="s">
        <v>176</v>
      </c>
      <c r="BG463" s="55" t="s">
        <v>176</v>
      </c>
      <c r="BH463" s="226">
        <v>0</v>
      </c>
      <c r="BI463" s="55" t="s">
        <v>176</v>
      </c>
      <c r="BJ463" s="55" t="s">
        <v>176</v>
      </c>
      <c r="BK463" s="55" t="s">
        <v>5976</v>
      </c>
      <c r="BM463" s="192" t="s">
        <v>160</v>
      </c>
      <c r="BN463" s="55">
        <v>4</v>
      </c>
      <c r="BO463" s="55">
        <v>4</v>
      </c>
      <c r="BQ463" s="55" t="s">
        <v>315</v>
      </c>
      <c r="BS463" s="55">
        <f>(6.5+1.7)*1000</f>
        <v>8200</v>
      </c>
      <c r="BT463" s="55">
        <f>BS463/(205+53)</f>
        <v>31.782945736434108</v>
      </c>
      <c r="BU463" s="55" t="s">
        <v>387</v>
      </c>
      <c r="DB463" s="65">
        <v>7.9119999999999999</v>
      </c>
      <c r="DC463" s="65">
        <v>13.458</v>
      </c>
      <c r="DF463" s="65" t="s">
        <v>385</v>
      </c>
      <c r="GP463" s="292" t="s">
        <v>7494</v>
      </c>
      <c r="HS463" s="227"/>
      <c r="HW463" s="227"/>
      <c r="JU463" s="55" t="s">
        <v>388</v>
      </c>
      <c r="JV463" s="55" t="s">
        <v>687</v>
      </c>
    </row>
    <row r="464" spans="1:282" x14ac:dyDescent="0.25">
      <c r="A464" s="55">
        <v>463</v>
      </c>
      <c r="B464" s="12" t="s">
        <v>7067</v>
      </c>
      <c r="C464" s="155">
        <v>26</v>
      </c>
      <c r="D464" s="55" t="s">
        <v>3778</v>
      </c>
      <c r="E464" s="90" t="s">
        <v>370</v>
      </c>
      <c r="G464" s="55" t="s">
        <v>371</v>
      </c>
      <c r="H464" s="55">
        <v>2015</v>
      </c>
      <c r="I464" s="55">
        <v>2012</v>
      </c>
      <c r="J464" s="55" t="s">
        <v>276</v>
      </c>
      <c r="K464" s="55" t="s">
        <v>372</v>
      </c>
      <c r="L464" s="55" t="s">
        <v>2737</v>
      </c>
      <c r="M464" s="90">
        <f>35.39</f>
        <v>35.39</v>
      </c>
      <c r="N464" s="90">
        <f>-78.03</f>
        <v>-78.03</v>
      </c>
      <c r="O464" s="90">
        <v>24.3</v>
      </c>
      <c r="U464" s="55">
        <v>1</v>
      </c>
      <c r="V464" s="55">
        <v>1</v>
      </c>
      <c r="Y464" s="55" t="s">
        <v>378</v>
      </c>
      <c r="Z464" s="55" t="s">
        <v>1349</v>
      </c>
      <c r="AA464" s="90" t="s">
        <v>1677</v>
      </c>
      <c r="AH464" s="55" t="s">
        <v>174</v>
      </c>
      <c r="AM464" s="55" t="s">
        <v>1291</v>
      </c>
      <c r="AN464" s="185" t="s">
        <v>376</v>
      </c>
      <c r="AO464" s="185" t="s">
        <v>5150</v>
      </c>
      <c r="AQ464" s="55" t="s">
        <v>553</v>
      </c>
      <c r="AR464" s="55" t="s">
        <v>132</v>
      </c>
      <c r="AS464" s="55" t="s">
        <v>132</v>
      </c>
      <c r="AU464" s="181" t="s">
        <v>7494</v>
      </c>
      <c r="AV464" s="185" t="s">
        <v>176</v>
      </c>
      <c r="AX464" s="185" t="s">
        <v>176</v>
      </c>
      <c r="AZ464" s="55" t="s">
        <v>384</v>
      </c>
      <c r="BA464" s="55" t="s">
        <v>384</v>
      </c>
      <c r="BB464" s="55" t="s">
        <v>2081</v>
      </c>
      <c r="BC464" s="55" t="s">
        <v>2081</v>
      </c>
      <c r="BD464" s="55" t="s">
        <v>176</v>
      </c>
      <c r="BE464" s="226">
        <v>0</v>
      </c>
      <c r="BF464" s="55" t="s">
        <v>176</v>
      </c>
      <c r="BG464" s="55" t="s">
        <v>176</v>
      </c>
      <c r="BH464" s="226">
        <v>0</v>
      </c>
      <c r="BI464" s="55" t="s">
        <v>176</v>
      </c>
      <c r="BJ464" s="55" t="s">
        <v>176</v>
      </c>
      <c r="BK464" s="55" t="s">
        <v>5976</v>
      </c>
      <c r="BM464" s="192" t="s">
        <v>160</v>
      </c>
      <c r="BN464" s="55">
        <v>4</v>
      </c>
      <c r="BO464" s="55">
        <v>4</v>
      </c>
      <c r="BQ464" s="55" t="s">
        <v>315</v>
      </c>
      <c r="BS464" s="55">
        <f>(9.6+2.8)*1000</f>
        <v>12399.999999999998</v>
      </c>
      <c r="BT464" s="55">
        <f>BS464/(256+66)</f>
        <v>38.509316770186331</v>
      </c>
      <c r="BU464" s="55" t="s">
        <v>387</v>
      </c>
      <c r="DB464" s="65">
        <v>7.9119999999999999</v>
      </c>
      <c r="DC464" s="65">
        <v>11.09</v>
      </c>
      <c r="DF464" s="65" t="s">
        <v>385</v>
      </c>
      <c r="GP464" s="292" t="s">
        <v>7494</v>
      </c>
      <c r="HS464" s="227"/>
      <c r="HW464" s="227"/>
      <c r="JU464" s="55" t="s">
        <v>388</v>
      </c>
      <c r="JV464" s="55" t="s">
        <v>687</v>
      </c>
    </row>
    <row r="465" spans="1:282" x14ac:dyDescent="0.25">
      <c r="A465" s="55">
        <v>464</v>
      </c>
      <c r="B465" s="12" t="s">
        <v>7067</v>
      </c>
      <c r="C465" s="155">
        <v>26</v>
      </c>
      <c r="D465" s="55" t="s">
        <v>3778</v>
      </c>
      <c r="E465" s="90" t="s">
        <v>370</v>
      </c>
      <c r="G465" s="55" t="s">
        <v>371</v>
      </c>
      <c r="H465" s="55">
        <v>2015</v>
      </c>
      <c r="I465" s="55">
        <v>2012</v>
      </c>
      <c r="J465" s="55" t="s">
        <v>276</v>
      </c>
      <c r="K465" s="55" t="s">
        <v>372</v>
      </c>
      <c r="L465" s="55" t="s">
        <v>2737</v>
      </c>
      <c r="M465" s="90">
        <f>35.39</f>
        <v>35.39</v>
      </c>
      <c r="N465" s="90">
        <f>-78.03</f>
        <v>-78.03</v>
      </c>
      <c r="O465" s="90">
        <v>24.3</v>
      </c>
      <c r="U465" s="55">
        <v>1</v>
      </c>
      <c r="V465" s="55">
        <v>1</v>
      </c>
      <c r="Y465" s="55" t="s">
        <v>378</v>
      </c>
      <c r="Z465" s="55" t="s">
        <v>1349</v>
      </c>
      <c r="AA465" s="90" t="s">
        <v>1677</v>
      </c>
      <c r="AH465" s="55" t="s">
        <v>174</v>
      </c>
      <c r="AM465" s="55" t="s">
        <v>1291</v>
      </c>
      <c r="AN465" s="185" t="s">
        <v>241</v>
      </c>
      <c r="AO465" s="185" t="s">
        <v>5150</v>
      </c>
      <c r="AQ465" s="55" t="s">
        <v>553</v>
      </c>
      <c r="AR465" s="55" t="s">
        <v>132</v>
      </c>
      <c r="AS465" s="55" t="s">
        <v>132</v>
      </c>
      <c r="AU465" s="181" t="s">
        <v>7494</v>
      </c>
      <c r="AV465" s="185" t="s">
        <v>176</v>
      </c>
      <c r="AX465" s="185" t="s">
        <v>176</v>
      </c>
      <c r="AZ465" s="55" t="s">
        <v>384</v>
      </c>
      <c r="BA465" s="55" t="s">
        <v>384</v>
      </c>
      <c r="BB465" s="55" t="s">
        <v>2081</v>
      </c>
      <c r="BC465" s="55" t="s">
        <v>2081</v>
      </c>
      <c r="BD465" s="55" t="s">
        <v>176</v>
      </c>
      <c r="BE465" s="226">
        <v>0</v>
      </c>
      <c r="BF465" s="55" t="s">
        <v>176</v>
      </c>
      <c r="BG465" s="55" t="s">
        <v>176</v>
      </c>
      <c r="BH465" s="226">
        <v>0</v>
      </c>
      <c r="BI465" s="55" t="s">
        <v>176</v>
      </c>
      <c r="BJ465" s="55" t="s">
        <v>176</v>
      </c>
      <c r="BK465" s="55" t="s">
        <v>5976</v>
      </c>
      <c r="BM465" s="192" t="s">
        <v>160</v>
      </c>
      <c r="BN465" s="55">
        <v>4</v>
      </c>
      <c r="BO465" s="55">
        <v>4</v>
      </c>
      <c r="BQ465" s="55" t="s">
        <v>315</v>
      </c>
      <c r="BS465" s="55">
        <f>(8.7+2.5)*1000</f>
        <v>11200</v>
      </c>
      <c r="BT465" s="55">
        <f>BS465/(288+71)</f>
        <v>31.197771587743734</v>
      </c>
      <c r="BU465" s="55" t="s">
        <v>387</v>
      </c>
      <c r="DB465" s="65">
        <v>7.9119999999999999</v>
      </c>
      <c r="DC465" s="65">
        <v>17.7</v>
      </c>
      <c r="DF465" s="65" t="s">
        <v>385</v>
      </c>
      <c r="GP465" s="292" t="s">
        <v>7494</v>
      </c>
      <c r="HS465" s="227"/>
      <c r="HW465" s="227"/>
      <c r="JU465" s="55" t="s">
        <v>388</v>
      </c>
      <c r="JV465" s="55" t="s">
        <v>687</v>
      </c>
    </row>
    <row r="466" spans="1:282" x14ac:dyDescent="0.25">
      <c r="A466" s="55">
        <v>465</v>
      </c>
      <c r="B466" s="12" t="s">
        <v>7067</v>
      </c>
      <c r="C466" s="155">
        <v>26</v>
      </c>
      <c r="D466" s="55" t="s">
        <v>3778</v>
      </c>
      <c r="E466" s="90" t="s">
        <v>370</v>
      </c>
      <c r="G466" s="55" t="s">
        <v>371</v>
      </c>
      <c r="H466" s="55">
        <v>2015</v>
      </c>
      <c r="I466" s="55">
        <v>2012</v>
      </c>
      <c r="J466" s="55" t="s">
        <v>276</v>
      </c>
      <c r="K466" s="55" t="s">
        <v>372</v>
      </c>
      <c r="L466" s="55" t="s">
        <v>2737</v>
      </c>
      <c r="M466" s="90">
        <f>35.39</f>
        <v>35.39</v>
      </c>
      <c r="N466" s="90">
        <f>-78.03</f>
        <v>-78.03</v>
      </c>
      <c r="O466" s="90">
        <v>24.3</v>
      </c>
      <c r="U466" s="55">
        <v>1</v>
      </c>
      <c r="V466" s="55">
        <v>1</v>
      </c>
      <c r="Y466" s="55" t="s">
        <v>379</v>
      </c>
      <c r="Z466" s="55" t="s">
        <v>1349</v>
      </c>
      <c r="AA466" s="90" t="s">
        <v>1677</v>
      </c>
      <c r="AH466" s="55" t="s">
        <v>174</v>
      </c>
      <c r="AM466" s="55" t="s">
        <v>1291</v>
      </c>
      <c r="AN466" s="185" t="s">
        <v>375</v>
      </c>
      <c r="AO466" s="185" t="s">
        <v>5150</v>
      </c>
      <c r="AQ466" s="55" t="s">
        <v>553</v>
      </c>
      <c r="AR466" s="55" t="s">
        <v>132</v>
      </c>
      <c r="AS466" s="55" t="s">
        <v>132</v>
      </c>
      <c r="AU466" s="181" t="s">
        <v>7494</v>
      </c>
      <c r="AV466" s="185" t="s">
        <v>176</v>
      </c>
      <c r="AX466" s="185" t="s">
        <v>176</v>
      </c>
      <c r="AZ466" s="55" t="s">
        <v>384</v>
      </c>
      <c r="BA466" s="55" t="s">
        <v>384</v>
      </c>
      <c r="BB466" s="55" t="s">
        <v>2081</v>
      </c>
      <c r="BC466" s="55" t="s">
        <v>2081</v>
      </c>
      <c r="BD466" s="55" t="s">
        <v>176</v>
      </c>
      <c r="BE466" s="226">
        <v>0</v>
      </c>
      <c r="BF466" s="55" t="s">
        <v>176</v>
      </c>
      <c r="BG466" s="55" t="s">
        <v>176</v>
      </c>
      <c r="BH466" s="226">
        <v>0</v>
      </c>
      <c r="BI466" s="55" t="s">
        <v>176</v>
      </c>
      <c r="BJ466" s="55" t="s">
        <v>176</v>
      </c>
      <c r="BK466" s="55" t="s">
        <v>5976</v>
      </c>
      <c r="BM466" s="192" t="s">
        <v>160</v>
      </c>
      <c r="BN466" s="55">
        <v>4</v>
      </c>
      <c r="BO466" s="55">
        <v>4</v>
      </c>
      <c r="BQ466" s="55" t="s">
        <v>315</v>
      </c>
      <c r="BS466" s="55">
        <f>(6.5+1.7)*1000</f>
        <v>8200</v>
      </c>
      <c r="BT466" s="55">
        <f>BS466/(205+53)</f>
        <v>31.782945736434108</v>
      </c>
      <c r="BU466" s="55" t="s">
        <v>387</v>
      </c>
      <c r="DB466" s="65">
        <v>7.4219999999999997</v>
      </c>
      <c r="DC466" s="65">
        <v>16.312999999999999</v>
      </c>
      <c r="DF466" s="65" t="s">
        <v>385</v>
      </c>
      <c r="GP466" s="292" t="s">
        <v>7494</v>
      </c>
      <c r="HS466" s="227"/>
      <c r="HW466" s="227"/>
      <c r="JU466" s="55" t="s">
        <v>388</v>
      </c>
      <c r="JV466" s="55" t="s">
        <v>687</v>
      </c>
    </row>
    <row r="467" spans="1:282" x14ac:dyDescent="0.25">
      <c r="A467" s="55">
        <v>466</v>
      </c>
      <c r="B467" s="12" t="s">
        <v>7067</v>
      </c>
      <c r="C467" s="155">
        <v>26</v>
      </c>
      <c r="D467" s="55" t="s">
        <v>3778</v>
      </c>
      <c r="E467" s="90" t="s">
        <v>370</v>
      </c>
      <c r="G467" s="55" t="s">
        <v>371</v>
      </c>
      <c r="H467" s="55">
        <v>2015</v>
      </c>
      <c r="I467" s="55">
        <v>2012</v>
      </c>
      <c r="J467" s="55" t="s">
        <v>276</v>
      </c>
      <c r="K467" s="55" t="s">
        <v>372</v>
      </c>
      <c r="L467" s="55" t="s">
        <v>2737</v>
      </c>
      <c r="M467" s="90">
        <f>35.39</f>
        <v>35.39</v>
      </c>
      <c r="N467" s="90">
        <f>-78.03</f>
        <v>-78.03</v>
      </c>
      <c r="O467" s="90">
        <v>24.3</v>
      </c>
      <c r="U467" s="55">
        <v>1</v>
      </c>
      <c r="V467" s="55">
        <v>1</v>
      </c>
      <c r="Y467" s="55" t="s">
        <v>379</v>
      </c>
      <c r="Z467" s="55" t="s">
        <v>1349</v>
      </c>
      <c r="AA467" s="90" t="s">
        <v>1677</v>
      </c>
      <c r="AH467" s="55" t="s">
        <v>174</v>
      </c>
      <c r="AM467" s="55" t="s">
        <v>1291</v>
      </c>
      <c r="AN467" s="185" t="s">
        <v>376</v>
      </c>
      <c r="AO467" s="185" t="s">
        <v>5150</v>
      </c>
      <c r="AQ467" s="55" t="s">
        <v>553</v>
      </c>
      <c r="AR467" s="55" t="s">
        <v>132</v>
      </c>
      <c r="AS467" s="55" t="s">
        <v>132</v>
      </c>
      <c r="AU467" s="181" t="s">
        <v>7494</v>
      </c>
      <c r="AV467" s="185" t="s">
        <v>176</v>
      </c>
      <c r="AX467" s="185" t="s">
        <v>176</v>
      </c>
      <c r="AZ467" s="55" t="s">
        <v>384</v>
      </c>
      <c r="BA467" s="55" t="s">
        <v>384</v>
      </c>
      <c r="BB467" s="55" t="s">
        <v>2081</v>
      </c>
      <c r="BC467" s="55" t="s">
        <v>2081</v>
      </c>
      <c r="BD467" s="55" t="s">
        <v>176</v>
      </c>
      <c r="BE467" s="226">
        <v>0</v>
      </c>
      <c r="BF467" s="55" t="s">
        <v>176</v>
      </c>
      <c r="BG467" s="55" t="s">
        <v>176</v>
      </c>
      <c r="BH467" s="226">
        <v>0</v>
      </c>
      <c r="BI467" s="55" t="s">
        <v>176</v>
      </c>
      <c r="BJ467" s="55" t="s">
        <v>176</v>
      </c>
      <c r="BK467" s="55" t="s">
        <v>5976</v>
      </c>
      <c r="BM467" s="192" t="s">
        <v>160</v>
      </c>
      <c r="BN467" s="55">
        <v>4</v>
      </c>
      <c r="BO467" s="55">
        <v>4</v>
      </c>
      <c r="BQ467" s="55" t="s">
        <v>315</v>
      </c>
      <c r="BS467" s="55">
        <f>(9.6+2.8)*1000</f>
        <v>12399.999999999998</v>
      </c>
      <c r="BT467" s="55">
        <f>BS467/(256+66)</f>
        <v>38.509316770186331</v>
      </c>
      <c r="BU467" s="55" t="s">
        <v>387</v>
      </c>
      <c r="DB467" s="65">
        <v>7.4219999999999997</v>
      </c>
      <c r="DC467" s="65">
        <v>14.927</v>
      </c>
      <c r="DF467" s="65" t="s">
        <v>385</v>
      </c>
      <c r="GP467" s="292" t="s">
        <v>7494</v>
      </c>
      <c r="HS467" s="227"/>
      <c r="HW467" s="227"/>
      <c r="JU467" s="55" t="s">
        <v>388</v>
      </c>
      <c r="JV467" s="55" t="s">
        <v>687</v>
      </c>
    </row>
    <row r="468" spans="1:282" x14ac:dyDescent="0.25">
      <c r="A468" s="55">
        <v>467</v>
      </c>
      <c r="B468" s="12" t="s">
        <v>7067</v>
      </c>
      <c r="C468" s="155">
        <v>26</v>
      </c>
      <c r="D468" s="55" t="s">
        <v>3778</v>
      </c>
      <c r="E468" s="90" t="s">
        <v>370</v>
      </c>
      <c r="G468" s="55" t="s">
        <v>371</v>
      </c>
      <c r="H468" s="55">
        <v>2015</v>
      </c>
      <c r="I468" s="55">
        <v>2012</v>
      </c>
      <c r="J468" s="55" t="s">
        <v>276</v>
      </c>
      <c r="K468" s="55" t="s">
        <v>372</v>
      </c>
      <c r="L468" s="55" t="s">
        <v>2737</v>
      </c>
      <c r="M468" s="90">
        <f>35.39</f>
        <v>35.39</v>
      </c>
      <c r="N468" s="90">
        <f>-78.03</f>
        <v>-78.03</v>
      </c>
      <c r="O468" s="90">
        <v>24.3</v>
      </c>
      <c r="U468" s="55">
        <v>1</v>
      </c>
      <c r="V468" s="55">
        <v>1</v>
      </c>
      <c r="Y468" s="55" t="s">
        <v>379</v>
      </c>
      <c r="Z468" s="55" t="s">
        <v>1349</v>
      </c>
      <c r="AA468" s="90" t="s">
        <v>1677</v>
      </c>
      <c r="AH468" s="55" t="s">
        <v>174</v>
      </c>
      <c r="AM468" s="55" t="s">
        <v>1291</v>
      </c>
      <c r="AN468" s="185" t="s">
        <v>241</v>
      </c>
      <c r="AO468" s="185" t="s">
        <v>5150</v>
      </c>
      <c r="AQ468" s="55" t="s">
        <v>553</v>
      </c>
      <c r="AR468" s="55" t="s">
        <v>132</v>
      </c>
      <c r="AS468" s="55" t="s">
        <v>132</v>
      </c>
      <c r="AU468" s="181" t="s">
        <v>7494</v>
      </c>
      <c r="AV468" s="185" t="s">
        <v>176</v>
      </c>
      <c r="AX468" s="185" t="s">
        <v>176</v>
      </c>
      <c r="AZ468" s="55" t="s">
        <v>384</v>
      </c>
      <c r="BA468" s="55" t="s">
        <v>384</v>
      </c>
      <c r="BB468" s="55" t="s">
        <v>2081</v>
      </c>
      <c r="BC468" s="55" t="s">
        <v>2081</v>
      </c>
      <c r="BD468" s="55" t="s">
        <v>176</v>
      </c>
      <c r="BE468" s="226">
        <v>0</v>
      </c>
      <c r="BF468" s="55" t="s">
        <v>176</v>
      </c>
      <c r="BG468" s="55" t="s">
        <v>176</v>
      </c>
      <c r="BH468" s="226">
        <v>0</v>
      </c>
      <c r="BI468" s="55" t="s">
        <v>176</v>
      </c>
      <c r="BJ468" s="55" t="s">
        <v>176</v>
      </c>
      <c r="BK468" s="55" t="s">
        <v>5976</v>
      </c>
      <c r="BM468" s="192" t="s">
        <v>160</v>
      </c>
      <c r="BN468" s="55">
        <v>4</v>
      </c>
      <c r="BO468" s="55">
        <v>4</v>
      </c>
      <c r="BQ468" s="55" t="s">
        <v>315</v>
      </c>
      <c r="BS468" s="55">
        <f>(8.7+2.5)*1000</f>
        <v>11200</v>
      </c>
      <c r="BT468" s="55">
        <f>BS468/(288+71)</f>
        <v>31.197771587743734</v>
      </c>
      <c r="BU468" s="55" t="s">
        <v>387</v>
      </c>
      <c r="DB468" s="65">
        <v>7.4219999999999997</v>
      </c>
      <c r="DC468" s="65">
        <v>23.33</v>
      </c>
      <c r="DF468" s="65" t="s">
        <v>385</v>
      </c>
      <c r="GP468" s="292" t="s">
        <v>7494</v>
      </c>
      <c r="HS468" s="227"/>
      <c r="HW468" s="227"/>
      <c r="JU468" s="55" t="s">
        <v>388</v>
      </c>
      <c r="JV468" s="55" t="s">
        <v>687</v>
      </c>
    </row>
    <row r="469" spans="1:282" x14ac:dyDescent="0.25">
      <c r="A469" s="55">
        <v>468</v>
      </c>
      <c r="B469" s="12" t="s">
        <v>7067</v>
      </c>
      <c r="C469" s="155">
        <v>26</v>
      </c>
      <c r="D469" s="55" t="s">
        <v>3778</v>
      </c>
      <c r="E469" s="90" t="s">
        <v>370</v>
      </c>
      <c r="G469" s="55" t="s">
        <v>371</v>
      </c>
      <c r="H469" s="55">
        <v>2015</v>
      </c>
      <c r="I469" s="55">
        <v>2012</v>
      </c>
      <c r="J469" s="55" t="s">
        <v>276</v>
      </c>
      <c r="K469" s="55" t="s">
        <v>372</v>
      </c>
      <c r="L469" s="55" t="s">
        <v>2737</v>
      </c>
      <c r="M469" s="90">
        <f>35.39</f>
        <v>35.39</v>
      </c>
      <c r="N469" s="90">
        <f>-78.03</f>
        <v>-78.03</v>
      </c>
      <c r="O469" s="90">
        <v>24.3</v>
      </c>
      <c r="U469" s="55">
        <v>1</v>
      </c>
      <c r="V469" s="55">
        <v>1</v>
      </c>
      <c r="Y469" s="55" t="s">
        <v>380</v>
      </c>
      <c r="Z469" s="55" t="s">
        <v>1349</v>
      </c>
      <c r="AA469" s="90" t="s">
        <v>1677</v>
      </c>
      <c r="AH469" s="55" t="s">
        <v>174</v>
      </c>
      <c r="AM469" s="55" t="s">
        <v>1291</v>
      </c>
      <c r="AN469" s="185" t="s">
        <v>375</v>
      </c>
      <c r="AO469" s="185" t="s">
        <v>5150</v>
      </c>
      <c r="AQ469" s="55" t="s">
        <v>553</v>
      </c>
      <c r="AR469" s="55" t="s">
        <v>132</v>
      </c>
      <c r="AS469" s="55" t="s">
        <v>132</v>
      </c>
      <c r="AU469" s="181" t="s">
        <v>7494</v>
      </c>
      <c r="AV469" s="185" t="s">
        <v>176</v>
      </c>
      <c r="AX469" s="185" t="s">
        <v>176</v>
      </c>
      <c r="AZ469" s="55" t="s">
        <v>384</v>
      </c>
      <c r="BA469" s="55" t="s">
        <v>384</v>
      </c>
      <c r="BB469" s="55" t="s">
        <v>2081</v>
      </c>
      <c r="BC469" s="55" t="s">
        <v>2081</v>
      </c>
      <c r="BD469" s="55" t="s">
        <v>176</v>
      </c>
      <c r="BE469" s="226">
        <v>0</v>
      </c>
      <c r="BF469" s="55" t="s">
        <v>176</v>
      </c>
      <c r="BG469" s="55" t="s">
        <v>176</v>
      </c>
      <c r="BH469" s="226">
        <v>0</v>
      </c>
      <c r="BI469" s="55" t="s">
        <v>176</v>
      </c>
      <c r="BJ469" s="55" t="s">
        <v>176</v>
      </c>
      <c r="BK469" s="55" t="s">
        <v>5976</v>
      </c>
      <c r="BM469" s="192" t="s">
        <v>160</v>
      </c>
      <c r="BN469" s="55">
        <v>4</v>
      </c>
      <c r="BO469" s="55">
        <v>4</v>
      </c>
      <c r="BQ469" s="55" t="s">
        <v>315</v>
      </c>
      <c r="BS469" s="55">
        <f>(6.5+1.7)*1000</f>
        <v>8200</v>
      </c>
      <c r="BT469" s="55">
        <f>BS469/(205+53)</f>
        <v>31.782945736434108</v>
      </c>
      <c r="BU469" s="55" t="s">
        <v>387</v>
      </c>
      <c r="DB469" s="65">
        <v>5.5469999999999997</v>
      </c>
      <c r="DC469" s="65">
        <v>6.77</v>
      </c>
      <c r="DF469" s="65" t="s">
        <v>385</v>
      </c>
      <c r="GP469" s="292" t="s">
        <v>7494</v>
      </c>
      <c r="HS469" s="227"/>
      <c r="HW469" s="227"/>
      <c r="JU469" s="55" t="s">
        <v>388</v>
      </c>
      <c r="JV469" s="55" t="s">
        <v>687</v>
      </c>
    </row>
    <row r="470" spans="1:282" x14ac:dyDescent="0.25">
      <c r="A470" s="55">
        <v>469</v>
      </c>
      <c r="B470" s="12" t="s">
        <v>7067</v>
      </c>
      <c r="C470" s="155">
        <v>26</v>
      </c>
      <c r="D470" s="55" t="s">
        <v>3778</v>
      </c>
      <c r="E470" s="90" t="s">
        <v>370</v>
      </c>
      <c r="G470" s="55" t="s">
        <v>371</v>
      </c>
      <c r="H470" s="55">
        <v>2015</v>
      </c>
      <c r="I470" s="55">
        <v>2012</v>
      </c>
      <c r="J470" s="55" t="s">
        <v>276</v>
      </c>
      <c r="K470" s="55" t="s">
        <v>372</v>
      </c>
      <c r="L470" s="55" t="s">
        <v>2737</v>
      </c>
      <c r="M470" s="90">
        <f>35.39</f>
        <v>35.39</v>
      </c>
      <c r="N470" s="90">
        <f>-78.03</f>
        <v>-78.03</v>
      </c>
      <c r="O470" s="90">
        <v>24.3</v>
      </c>
      <c r="U470" s="55">
        <v>1</v>
      </c>
      <c r="V470" s="55">
        <v>1</v>
      </c>
      <c r="Y470" s="55" t="s">
        <v>380</v>
      </c>
      <c r="Z470" s="55" t="s">
        <v>1349</v>
      </c>
      <c r="AA470" s="90" t="s">
        <v>1677</v>
      </c>
      <c r="AH470" s="55" t="s">
        <v>174</v>
      </c>
      <c r="AM470" s="55" t="s">
        <v>1291</v>
      </c>
      <c r="AN470" s="185" t="s">
        <v>376</v>
      </c>
      <c r="AO470" s="185" t="s">
        <v>5150</v>
      </c>
      <c r="AQ470" s="55" t="s">
        <v>553</v>
      </c>
      <c r="AR470" s="55" t="s">
        <v>132</v>
      </c>
      <c r="AS470" s="55" t="s">
        <v>132</v>
      </c>
      <c r="AU470" s="181" t="s">
        <v>7494</v>
      </c>
      <c r="AV470" s="185" t="s">
        <v>176</v>
      </c>
      <c r="AX470" s="185" t="s">
        <v>176</v>
      </c>
      <c r="AZ470" s="55" t="s">
        <v>384</v>
      </c>
      <c r="BA470" s="55" t="s">
        <v>384</v>
      </c>
      <c r="BB470" s="55" t="s">
        <v>2081</v>
      </c>
      <c r="BC470" s="55" t="s">
        <v>2081</v>
      </c>
      <c r="BD470" s="55" t="s">
        <v>176</v>
      </c>
      <c r="BE470" s="226">
        <v>0</v>
      </c>
      <c r="BF470" s="55" t="s">
        <v>176</v>
      </c>
      <c r="BG470" s="55" t="s">
        <v>176</v>
      </c>
      <c r="BH470" s="226">
        <v>0</v>
      </c>
      <c r="BI470" s="55" t="s">
        <v>176</v>
      </c>
      <c r="BJ470" s="55" t="s">
        <v>176</v>
      </c>
      <c r="BK470" s="55" t="s">
        <v>5976</v>
      </c>
      <c r="BM470" s="192" t="s">
        <v>160</v>
      </c>
      <c r="BN470" s="55">
        <v>4</v>
      </c>
      <c r="BO470" s="55">
        <v>4</v>
      </c>
      <c r="BQ470" s="55" t="s">
        <v>315</v>
      </c>
      <c r="BS470" s="55">
        <f>(9.6+2.8)*1000</f>
        <v>12399.999999999998</v>
      </c>
      <c r="BT470" s="55">
        <f>BS470/(256+66)</f>
        <v>38.509316770186331</v>
      </c>
      <c r="BU470" s="55" t="s">
        <v>387</v>
      </c>
      <c r="DB470" s="65">
        <v>5.5469999999999997</v>
      </c>
      <c r="DC470" s="65">
        <v>6.77</v>
      </c>
      <c r="DF470" s="65" t="s">
        <v>385</v>
      </c>
      <c r="GP470" s="292" t="s">
        <v>7494</v>
      </c>
      <c r="HS470" s="227"/>
      <c r="HW470" s="227"/>
      <c r="JU470" s="55" t="s">
        <v>388</v>
      </c>
      <c r="JV470" s="55" t="s">
        <v>687</v>
      </c>
    </row>
    <row r="471" spans="1:282" x14ac:dyDescent="0.25">
      <c r="A471" s="55">
        <v>470</v>
      </c>
      <c r="B471" s="12" t="s">
        <v>7067</v>
      </c>
      <c r="C471" s="155">
        <v>26</v>
      </c>
      <c r="D471" s="55" t="s">
        <v>3778</v>
      </c>
      <c r="E471" s="90" t="s">
        <v>370</v>
      </c>
      <c r="G471" s="55" t="s">
        <v>371</v>
      </c>
      <c r="H471" s="55">
        <v>2015</v>
      </c>
      <c r="I471" s="55">
        <v>2012</v>
      </c>
      <c r="J471" s="55" t="s">
        <v>276</v>
      </c>
      <c r="K471" s="55" t="s">
        <v>372</v>
      </c>
      <c r="L471" s="55" t="s">
        <v>2737</v>
      </c>
      <c r="M471" s="90">
        <f>35.39</f>
        <v>35.39</v>
      </c>
      <c r="N471" s="90">
        <f>-78.03</f>
        <v>-78.03</v>
      </c>
      <c r="O471" s="90">
        <v>24.3</v>
      </c>
      <c r="U471" s="55">
        <v>1</v>
      </c>
      <c r="V471" s="55">
        <v>1</v>
      </c>
      <c r="Y471" s="55" t="s">
        <v>380</v>
      </c>
      <c r="Z471" s="55" t="s">
        <v>1349</v>
      </c>
      <c r="AA471" s="90" t="s">
        <v>1677</v>
      </c>
      <c r="AH471" s="55" t="s">
        <v>174</v>
      </c>
      <c r="AM471" s="55" t="s">
        <v>1291</v>
      </c>
      <c r="AN471" s="185" t="s">
        <v>241</v>
      </c>
      <c r="AO471" s="185" t="s">
        <v>5150</v>
      </c>
      <c r="AQ471" s="55" t="s">
        <v>553</v>
      </c>
      <c r="AR471" s="55" t="s">
        <v>132</v>
      </c>
      <c r="AS471" s="55" t="s">
        <v>132</v>
      </c>
      <c r="AU471" s="181" t="s">
        <v>7494</v>
      </c>
      <c r="AV471" s="185" t="s">
        <v>176</v>
      </c>
      <c r="AX471" s="185" t="s">
        <v>176</v>
      </c>
      <c r="AZ471" s="55" t="s">
        <v>384</v>
      </c>
      <c r="BA471" s="55" t="s">
        <v>384</v>
      </c>
      <c r="BB471" s="55" t="s">
        <v>2081</v>
      </c>
      <c r="BC471" s="55" t="s">
        <v>2081</v>
      </c>
      <c r="BD471" s="55" t="s">
        <v>176</v>
      </c>
      <c r="BE471" s="226">
        <v>0</v>
      </c>
      <c r="BF471" s="55" t="s">
        <v>176</v>
      </c>
      <c r="BG471" s="55" t="s">
        <v>176</v>
      </c>
      <c r="BH471" s="226">
        <v>0</v>
      </c>
      <c r="BI471" s="55" t="s">
        <v>176</v>
      </c>
      <c r="BJ471" s="55" t="s">
        <v>176</v>
      </c>
      <c r="BK471" s="55" t="s">
        <v>5976</v>
      </c>
      <c r="BM471" s="192" t="s">
        <v>160</v>
      </c>
      <c r="BN471" s="55">
        <v>4</v>
      </c>
      <c r="BO471" s="55">
        <v>4</v>
      </c>
      <c r="BQ471" s="55" t="s">
        <v>315</v>
      </c>
      <c r="BS471" s="55">
        <f>(8.7+2.5)*1000</f>
        <v>11200</v>
      </c>
      <c r="BT471" s="55">
        <f>BS471/(288+71)</f>
        <v>31.197771587743734</v>
      </c>
      <c r="BU471" s="55" t="s">
        <v>387</v>
      </c>
      <c r="DB471" s="65">
        <v>5.5469999999999997</v>
      </c>
      <c r="DC471" s="65">
        <v>6.77</v>
      </c>
      <c r="DF471" s="65" t="s">
        <v>385</v>
      </c>
      <c r="GP471" s="292" t="s">
        <v>7494</v>
      </c>
      <c r="HS471" s="227"/>
      <c r="HW471" s="227"/>
      <c r="JU471" s="55" t="s">
        <v>388</v>
      </c>
      <c r="JV471" s="55" t="s">
        <v>687</v>
      </c>
    </row>
    <row r="472" spans="1:282" x14ac:dyDescent="0.25">
      <c r="A472" s="55">
        <v>471</v>
      </c>
      <c r="B472" s="12" t="s">
        <v>7067</v>
      </c>
      <c r="C472" s="155">
        <v>26</v>
      </c>
      <c r="D472" s="55" t="s">
        <v>3778</v>
      </c>
      <c r="E472" s="90" t="s">
        <v>370</v>
      </c>
      <c r="G472" s="55" t="s">
        <v>371</v>
      </c>
      <c r="H472" s="55">
        <v>2015</v>
      </c>
      <c r="I472" s="55">
        <v>2012</v>
      </c>
      <c r="J472" s="55" t="s">
        <v>276</v>
      </c>
      <c r="K472" s="55" t="s">
        <v>372</v>
      </c>
      <c r="L472" s="55" t="s">
        <v>2737</v>
      </c>
      <c r="M472" s="90">
        <f>35.39</f>
        <v>35.39</v>
      </c>
      <c r="N472" s="90">
        <f>-78.03</f>
        <v>-78.03</v>
      </c>
      <c r="O472" s="90">
        <v>24.3</v>
      </c>
      <c r="U472" s="55">
        <v>1</v>
      </c>
      <c r="V472" s="55">
        <v>1</v>
      </c>
      <c r="Y472" s="55" t="s">
        <v>381</v>
      </c>
      <c r="Z472" s="55" t="s">
        <v>1349</v>
      </c>
      <c r="AA472" s="90" t="s">
        <v>1677</v>
      </c>
      <c r="AH472" s="55" t="s">
        <v>174</v>
      </c>
      <c r="AM472" s="55" t="s">
        <v>1291</v>
      </c>
      <c r="AN472" s="185" t="s">
        <v>375</v>
      </c>
      <c r="AO472" s="185" t="s">
        <v>5150</v>
      </c>
      <c r="AQ472" s="55" t="s">
        <v>553</v>
      </c>
      <c r="AR472" s="55" t="s">
        <v>132</v>
      </c>
      <c r="AS472" s="55" t="s">
        <v>132</v>
      </c>
      <c r="AU472" s="181" t="s">
        <v>7494</v>
      </c>
      <c r="AV472" s="185" t="s">
        <v>176</v>
      </c>
      <c r="AX472" s="185" t="s">
        <v>176</v>
      </c>
      <c r="AZ472" s="55" t="s">
        <v>384</v>
      </c>
      <c r="BA472" s="55" t="s">
        <v>384</v>
      </c>
      <c r="BB472" s="55" t="s">
        <v>2081</v>
      </c>
      <c r="BC472" s="55" t="s">
        <v>2081</v>
      </c>
      <c r="BD472" s="55" t="s">
        <v>176</v>
      </c>
      <c r="BE472" s="226">
        <v>0</v>
      </c>
      <c r="BF472" s="55" t="s">
        <v>176</v>
      </c>
      <c r="BG472" s="55" t="s">
        <v>176</v>
      </c>
      <c r="BH472" s="226">
        <v>0</v>
      </c>
      <c r="BI472" s="55" t="s">
        <v>176</v>
      </c>
      <c r="BJ472" s="55" t="s">
        <v>176</v>
      </c>
      <c r="BK472" s="55" t="s">
        <v>5976</v>
      </c>
      <c r="BM472" s="192" t="s">
        <v>160</v>
      </c>
      <c r="BN472" s="55">
        <v>4</v>
      </c>
      <c r="BO472" s="55">
        <v>4</v>
      </c>
      <c r="BQ472" s="55" t="s">
        <v>315</v>
      </c>
      <c r="BS472" s="55">
        <f>(6.5+1.7)*1000</f>
        <v>8200</v>
      </c>
      <c r="BT472" s="55">
        <f>BS472/(205+53)</f>
        <v>31.782945736434108</v>
      </c>
      <c r="BU472" s="55" t="s">
        <v>387</v>
      </c>
      <c r="DB472" s="65">
        <v>7.7489999999999997</v>
      </c>
      <c r="DC472" s="65">
        <v>5.71</v>
      </c>
      <c r="DF472" s="65" t="s">
        <v>385</v>
      </c>
      <c r="GP472" s="292" t="s">
        <v>7494</v>
      </c>
      <c r="HS472" s="227"/>
      <c r="HW472" s="227"/>
      <c r="JU472" s="55" t="s">
        <v>388</v>
      </c>
      <c r="JV472" s="55" t="s">
        <v>687</v>
      </c>
    </row>
    <row r="473" spans="1:282" x14ac:dyDescent="0.25">
      <c r="A473" s="55">
        <v>472</v>
      </c>
      <c r="B473" s="12" t="s">
        <v>7067</v>
      </c>
      <c r="C473" s="155">
        <v>26</v>
      </c>
      <c r="D473" s="55" t="s">
        <v>3778</v>
      </c>
      <c r="E473" s="90" t="s">
        <v>370</v>
      </c>
      <c r="G473" s="55" t="s">
        <v>371</v>
      </c>
      <c r="H473" s="55">
        <v>2015</v>
      </c>
      <c r="I473" s="55">
        <v>2012</v>
      </c>
      <c r="J473" s="55" t="s">
        <v>276</v>
      </c>
      <c r="K473" s="55" t="s">
        <v>372</v>
      </c>
      <c r="L473" s="55" t="s">
        <v>2737</v>
      </c>
      <c r="M473" s="90">
        <f>35.39</f>
        <v>35.39</v>
      </c>
      <c r="N473" s="90">
        <f>-78.03</f>
        <v>-78.03</v>
      </c>
      <c r="O473" s="90">
        <v>24.3</v>
      </c>
      <c r="U473" s="55">
        <v>1</v>
      </c>
      <c r="V473" s="55">
        <v>1</v>
      </c>
      <c r="Y473" s="55" t="s">
        <v>381</v>
      </c>
      <c r="Z473" s="55" t="s">
        <v>1349</v>
      </c>
      <c r="AA473" s="90" t="s">
        <v>1677</v>
      </c>
      <c r="AH473" s="55" t="s">
        <v>174</v>
      </c>
      <c r="AM473" s="55" t="s">
        <v>1291</v>
      </c>
      <c r="AN473" s="185" t="s">
        <v>376</v>
      </c>
      <c r="AO473" s="185" t="s">
        <v>5150</v>
      </c>
      <c r="AQ473" s="55" t="s">
        <v>553</v>
      </c>
      <c r="AR473" s="55" t="s">
        <v>132</v>
      </c>
      <c r="AS473" s="55" t="s">
        <v>132</v>
      </c>
      <c r="AU473" s="181" t="s">
        <v>7494</v>
      </c>
      <c r="AV473" s="185" t="s">
        <v>176</v>
      </c>
      <c r="AX473" s="185" t="s">
        <v>176</v>
      </c>
      <c r="AZ473" s="55" t="s">
        <v>384</v>
      </c>
      <c r="BA473" s="55" t="s">
        <v>384</v>
      </c>
      <c r="BB473" s="55" t="s">
        <v>2081</v>
      </c>
      <c r="BC473" s="55" t="s">
        <v>2081</v>
      </c>
      <c r="BD473" s="55" t="s">
        <v>176</v>
      </c>
      <c r="BE473" s="226">
        <v>0</v>
      </c>
      <c r="BF473" s="55" t="s">
        <v>176</v>
      </c>
      <c r="BG473" s="55" t="s">
        <v>176</v>
      </c>
      <c r="BH473" s="226">
        <v>0</v>
      </c>
      <c r="BI473" s="55" t="s">
        <v>176</v>
      </c>
      <c r="BJ473" s="55" t="s">
        <v>176</v>
      </c>
      <c r="BK473" s="55" t="s">
        <v>5976</v>
      </c>
      <c r="BM473" s="192" t="s">
        <v>160</v>
      </c>
      <c r="BN473" s="55">
        <v>4</v>
      </c>
      <c r="BO473" s="55">
        <v>4</v>
      </c>
      <c r="BQ473" s="55" t="s">
        <v>315</v>
      </c>
      <c r="BS473" s="55">
        <f>(9.6+2.8)*1000</f>
        <v>12399.999999999998</v>
      </c>
      <c r="BT473" s="55">
        <f>BS473/(256+66)</f>
        <v>38.509316770186331</v>
      </c>
      <c r="BU473" s="55" t="s">
        <v>387</v>
      </c>
      <c r="DB473" s="65">
        <v>7.7489999999999997</v>
      </c>
      <c r="DC473" s="65">
        <v>4.4000000000000004</v>
      </c>
      <c r="DF473" s="65" t="s">
        <v>385</v>
      </c>
      <c r="GP473" s="292" t="s">
        <v>7494</v>
      </c>
      <c r="HS473" s="227"/>
      <c r="HW473" s="227"/>
      <c r="JU473" s="55" t="s">
        <v>388</v>
      </c>
      <c r="JV473" s="55" t="s">
        <v>687</v>
      </c>
    </row>
    <row r="474" spans="1:282" x14ac:dyDescent="0.25">
      <c r="A474" s="55">
        <v>473</v>
      </c>
      <c r="B474" s="12" t="s">
        <v>7067</v>
      </c>
      <c r="C474" s="155">
        <v>26</v>
      </c>
      <c r="D474" s="55" t="s">
        <v>3778</v>
      </c>
      <c r="E474" s="90" t="s">
        <v>370</v>
      </c>
      <c r="G474" s="55" t="s">
        <v>371</v>
      </c>
      <c r="H474" s="55">
        <v>2015</v>
      </c>
      <c r="I474" s="55">
        <v>2012</v>
      </c>
      <c r="J474" s="55" t="s">
        <v>276</v>
      </c>
      <c r="K474" s="55" t="s">
        <v>372</v>
      </c>
      <c r="L474" s="55" t="s">
        <v>2737</v>
      </c>
      <c r="M474" s="90">
        <f>35.39</f>
        <v>35.39</v>
      </c>
      <c r="N474" s="90">
        <f>-78.03</f>
        <v>-78.03</v>
      </c>
      <c r="O474" s="90">
        <v>24.3</v>
      </c>
      <c r="U474" s="55">
        <v>1</v>
      </c>
      <c r="V474" s="55">
        <v>1</v>
      </c>
      <c r="Y474" s="55" t="s">
        <v>381</v>
      </c>
      <c r="Z474" s="55" t="s">
        <v>1349</v>
      </c>
      <c r="AA474" s="90" t="s">
        <v>1677</v>
      </c>
      <c r="AH474" s="55" t="s">
        <v>174</v>
      </c>
      <c r="AM474" s="55" t="s">
        <v>1291</v>
      </c>
      <c r="AN474" s="185" t="s">
        <v>241</v>
      </c>
      <c r="AO474" s="185" t="s">
        <v>5150</v>
      </c>
      <c r="AQ474" s="55" t="s">
        <v>553</v>
      </c>
      <c r="AR474" s="55" t="s">
        <v>132</v>
      </c>
      <c r="AS474" s="55" t="s">
        <v>132</v>
      </c>
      <c r="AU474" s="181" t="s">
        <v>7494</v>
      </c>
      <c r="AV474" s="185" t="s">
        <v>176</v>
      </c>
      <c r="AX474" s="185" t="s">
        <v>176</v>
      </c>
      <c r="AZ474" s="55" t="s">
        <v>384</v>
      </c>
      <c r="BA474" s="55" t="s">
        <v>384</v>
      </c>
      <c r="BB474" s="55" t="s">
        <v>2081</v>
      </c>
      <c r="BC474" s="55" t="s">
        <v>2081</v>
      </c>
      <c r="BD474" s="55" t="s">
        <v>176</v>
      </c>
      <c r="BE474" s="226">
        <v>0</v>
      </c>
      <c r="BF474" s="55" t="s">
        <v>176</v>
      </c>
      <c r="BG474" s="55" t="s">
        <v>176</v>
      </c>
      <c r="BH474" s="226">
        <v>0</v>
      </c>
      <c r="BI474" s="55" t="s">
        <v>176</v>
      </c>
      <c r="BJ474" s="55" t="s">
        <v>176</v>
      </c>
      <c r="BK474" s="55" t="s">
        <v>5976</v>
      </c>
      <c r="BM474" s="192" t="s">
        <v>160</v>
      </c>
      <c r="BN474" s="55">
        <v>4</v>
      </c>
      <c r="BO474" s="55">
        <v>4</v>
      </c>
      <c r="BQ474" s="55" t="s">
        <v>315</v>
      </c>
      <c r="BS474" s="55">
        <f>(8.7+2.5)*1000</f>
        <v>11200</v>
      </c>
      <c r="BT474" s="55">
        <f>BS474/(288+71)</f>
        <v>31.197771587743734</v>
      </c>
      <c r="BU474" s="55" t="s">
        <v>387</v>
      </c>
      <c r="DB474" s="65">
        <v>7.7489999999999997</v>
      </c>
      <c r="DC474" s="65">
        <v>5.7</v>
      </c>
      <c r="DF474" s="65" t="s">
        <v>385</v>
      </c>
      <c r="GP474" s="292" t="s">
        <v>7494</v>
      </c>
      <c r="HS474" s="227"/>
      <c r="HW474" s="227"/>
      <c r="JU474" s="55" t="s">
        <v>388</v>
      </c>
      <c r="JV474" s="55" t="s">
        <v>687</v>
      </c>
    </row>
    <row r="475" spans="1:282" x14ac:dyDescent="0.25">
      <c r="A475" s="55">
        <v>474</v>
      </c>
      <c r="B475" s="12" t="s">
        <v>7067</v>
      </c>
      <c r="C475" s="155">
        <v>26</v>
      </c>
      <c r="D475" s="55" t="s">
        <v>3778</v>
      </c>
      <c r="E475" s="90" t="s">
        <v>370</v>
      </c>
      <c r="G475" s="55" t="s">
        <v>371</v>
      </c>
      <c r="H475" s="55">
        <v>2015</v>
      </c>
      <c r="I475" s="55">
        <v>2012</v>
      </c>
      <c r="J475" s="55" t="s">
        <v>276</v>
      </c>
      <c r="K475" s="55" t="s">
        <v>372</v>
      </c>
      <c r="L475" s="55" t="s">
        <v>2737</v>
      </c>
      <c r="M475" s="90">
        <f>35.39</f>
        <v>35.39</v>
      </c>
      <c r="N475" s="90">
        <f>-78.03</f>
        <v>-78.03</v>
      </c>
      <c r="O475" s="90">
        <v>24.3</v>
      </c>
      <c r="U475" s="55">
        <v>1</v>
      </c>
      <c r="V475" s="55">
        <v>1</v>
      </c>
      <c r="Y475" s="55" t="s">
        <v>382</v>
      </c>
      <c r="Z475" s="55" t="s">
        <v>1349</v>
      </c>
      <c r="AA475" s="90" t="s">
        <v>1677</v>
      </c>
      <c r="AH475" s="55" t="s">
        <v>174</v>
      </c>
      <c r="AM475" s="55" t="s">
        <v>1291</v>
      </c>
      <c r="AN475" s="185" t="s">
        <v>375</v>
      </c>
      <c r="AO475" s="185" t="s">
        <v>5150</v>
      </c>
      <c r="AQ475" s="55" t="s">
        <v>553</v>
      </c>
      <c r="AR475" s="55" t="s">
        <v>132</v>
      </c>
      <c r="AS475" s="55" t="s">
        <v>132</v>
      </c>
      <c r="AU475" s="181" t="s">
        <v>7494</v>
      </c>
      <c r="AV475" s="185" t="s">
        <v>176</v>
      </c>
      <c r="AX475" s="185" t="s">
        <v>176</v>
      </c>
      <c r="AZ475" s="55" t="s">
        <v>384</v>
      </c>
      <c r="BA475" s="55" t="s">
        <v>384</v>
      </c>
      <c r="BB475" s="55" t="s">
        <v>2081</v>
      </c>
      <c r="BC475" s="55" t="s">
        <v>2081</v>
      </c>
      <c r="BD475" s="55" t="s">
        <v>176</v>
      </c>
      <c r="BE475" s="226">
        <v>0</v>
      </c>
      <c r="BF475" s="55" t="s">
        <v>176</v>
      </c>
      <c r="BG475" s="55" t="s">
        <v>176</v>
      </c>
      <c r="BH475" s="226">
        <v>0</v>
      </c>
      <c r="BI475" s="55" t="s">
        <v>176</v>
      </c>
      <c r="BJ475" s="55" t="s">
        <v>176</v>
      </c>
      <c r="BK475" s="55" t="s">
        <v>5976</v>
      </c>
      <c r="BM475" s="192" t="s">
        <v>160</v>
      </c>
      <c r="BN475" s="55">
        <v>4</v>
      </c>
      <c r="BO475" s="55">
        <v>4</v>
      </c>
      <c r="BQ475" s="55" t="s">
        <v>315</v>
      </c>
      <c r="BS475" s="55">
        <f>(6.5+1.7)*1000</f>
        <v>8200</v>
      </c>
      <c r="BT475" s="55">
        <f>BS475/(205+53)</f>
        <v>31.782945736434108</v>
      </c>
      <c r="BU475" s="55" t="s">
        <v>387</v>
      </c>
      <c r="DB475" s="65">
        <v>4.3230000000000004</v>
      </c>
      <c r="DC475" s="65">
        <v>3.18</v>
      </c>
      <c r="DF475" s="65" t="s">
        <v>385</v>
      </c>
      <c r="GP475" s="292" t="s">
        <v>7494</v>
      </c>
      <c r="HS475" s="227"/>
      <c r="HW475" s="227"/>
      <c r="JU475" s="55" t="s">
        <v>388</v>
      </c>
      <c r="JV475" s="55" t="s">
        <v>687</v>
      </c>
    </row>
    <row r="476" spans="1:282" x14ac:dyDescent="0.25">
      <c r="A476" s="55">
        <v>475</v>
      </c>
      <c r="B476" s="12" t="s">
        <v>7067</v>
      </c>
      <c r="C476" s="155">
        <v>26</v>
      </c>
      <c r="D476" s="55" t="s">
        <v>3778</v>
      </c>
      <c r="E476" s="90" t="s">
        <v>370</v>
      </c>
      <c r="G476" s="55" t="s">
        <v>371</v>
      </c>
      <c r="H476" s="55">
        <v>2015</v>
      </c>
      <c r="I476" s="55">
        <v>2012</v>
      </c>
      <c r="J476" s="55" t="s">
        <v>276</v>
      </c>
      <c r="K476" s="55" t="s">
        <v>372</v>
      </c>
      <c r="L476" s="55" t="s">
        <v>2737</v>
      </c>
      <c r="M476" s="90">
        <f>35.39</f>
        <v>35.39</v>
      </c>
      <c r="N476" s="90">
        <f>-78.03</f>
        <v>-78.03</v>
      </c>
      <c r="O476" s="90">
        <v>24.3</v>
      </c>
      <c r="U476" s="55">
        <v>1</v>
      </c>
      <c r="V476" s="55">
        <v>1</v>
      </c>
      <c r="Y476" s="55" t="s">
        <v>382</v>
      </c>
      <c r="Z476" s="55" t="s">
        <v>1349</v>
      </c>
      <c r="AA476" s="90" t="s">
        <v>1677</v>
      </c>
      <c r="AH476" s="55" t="s">
        <v>174</v>
      </c>
      <c r="AM476" s="55" t="s">
        <v>1291</v>
      </c>
      <c r="AN476" s="185" t="s">
        <v>376</v>
      </c>
      <c r="AO476" s="185" t="s">
        <v>5150</v>
      </c>
      <c r="AQ476" s="55" t="s">
        <v>553</v>
      </c>
      <c r="AR476" s="55" t="s">
        <v>132</v>
      </c>
      <c r="AS476" s="55" t="s">
        <v>132</v>
      </c>
      <c r="AU476" s="181" t="s">
        <v>7494</v>
      </c>
      <c r="AV476" s="185" t="s">
        <v>176</v>
      </c>
      <c r="AX476" s="185" t="s">
        <v>176</v>
      </c>
      <c r="AZ476" s="55" t="s">
        <v>384</v>
      </c>
      <c r="BA476" s="55" t="s">
        <v>384</v>
      </c>
      <c r="BB476" s="55" t="s">
        <v>2081</v>
      </c>
      <c r="BC476" s="55" t="s">
        <v>2081</v>
      </c>
      <c r="BD476" s="55" t="s">
        <v>176</v>
      </c>
      <c r="BE476" s="226">
        <v>0</v>
      </c>
      <c r="BF476" s="55" t="s">
        <v>176</v>
      </c>
      <c r="BG476" s="55" t="s">
        <v>176</v>
      </c>
      <c r="BH476" s="226">
        <v>0</v>
      </c>
      <c r="BI476" s="55" t="s">
        <v>176</v>
      </c>
      <c r="BJ476" s="55" t="s">
        <v>176</v>
      </c>
      <c r="BK476" s="55" t="s">
        <v>5976</v>
      </c>
      <c r="BM476" s="192" t="s">
        <v>160</v>
      </c>
      <c r="BN476" s="55">
        <v>4</v>
      </c>
      <c r="BO476" s="55">
        <v>4</v>
      </c>
      <c r="BQ476" s="55" t="s">
        <v>315</v>
      </c>
      <c r="BS476" s="55">
        <f>(9.6+2.8)*1000</f>
        <v>12399.999999999998</v>
      </c>
      <c r="BT476" s="55">
        <f>BS476/(256+66)</f>
        <v>38.509316770186331</v>
      </c>
      <c r="BU476" s="55" t="s">
        <v>387</v>
      </c>
      <c r="DB476" s="65">
        <v>4.3230000000000004</v>
      </c>
      <c r="DC476" s="65">
        <v>4.2</v>
      </c>
      <c r="DF476" s="65" t="s">
        <v>385</v>
      </c>
      <c r="GP476" s="292" t="s">
        <v>7494</v>
      </c>
      <c r="HS476" s="227"/>
      <c r="HW476" s="227"/>
      <c r="JU476" s="55" t="s">
        <v>388</v>
      </c>
      <c r="JV476" s="55" t="s">
        <v>687</v>
      </c>
    </row>
    <row r="477" spans="1:282" x14ac:dyDescent="0.25">
      <c r="A477" s="55">
        <v>476</v>
      </c>
      <c r="B477" s="12" t="s">
        <v>7067</v>
      </c>
      <c r="C477" s="155">
        <v>26</v>
      </c>
      <c r="D477" s="55" t="s">
        <v>3778</v>
      </c>
      <c r="E477" s="90" t="s">
        <v>370</v>
      </c>
      <c r="G477" s="55" t="s">
        <v>371</v>
      </c>
      <c r="H477" s="55">
        <v>2015</v>
      </c>
      <c r="I477" s="55">
        <v>2012</v>
      </c>
      <c r="J477" s="55" t="s">
        <v>276</v>
      </c>
      <c r="K477" s="55" t="s">
        <v>372</v>
      </c>
      <c r="L477" s="55" t="s">
        <v>2737</v>
      </c>
      <c r="M477" s="90">
        <f>35.39</f>
        <v>35.39</v>
      </c>
      <c r="N477" s="90">
        <f>-78.03</f>
        <v>-78.03</v>
      </c>
      <c r="O477" s="90">
        <v>24.3</v>
      </c>
      <c r="U477" s="55">
        <v>1</v>
      </c>
      <c r="V477" s="55">
        <v>1</v>
      </c>
      <c r="Y477" s="55" t="s">
        <v>382</v>
      </c>
      <c r="Z477" s="55" t="s">
        <v>1349</v>
      </c>
      <c r="AA477" s="90" t="s">
        <v>1677</v>
      </c>
      <c r="AH477" s="55" t="s">
        <v>174</v>
      </c>
      <c r="AM477" s="55" t="s">
        <v>1291</v>
      </c>
      <c r="AN477" s="185" t="s">
        <v>241</v>
      </c>
      <c r="AO477" s="185" t="s">
        <v>5150</v>
      </c>
      <c r="AQ477" s="55" t="s">
        <v>553</v>
      </c>
      <c r="AR477" s="55" t="s">
        <v>132</v>
      </c>
      <c r="AS477" s="55" t="s">
        <v>132</v>
      </c>
      <c r="AU477" s="181" t="s">
        <v>7494</v>
      </c>
      <c r="AV477" s="185" t="s">
        <v>176</v>
      </c>
      <c r="AX477" s="185" t="s">
        <v>176</v>
      </c>
      <c r="AZ477" s="55" t="s">
        <v>384</v>
      </c>
      <c r="BA477" s="55" t="s">
        <v>384</v>
      </c>
      <c r="BB477" s="55" t="s">
        <v>2081</v>
      </c>
      <c r="BC477" s="55" t="s">
        <v>2081</v>
      </c>
      <c r="BD477" s="55" t="s">
        <v>176</v>
      </c>
      <c r="BE477" s="226">
        <v>0</v>
      </c>
      <c r="BF477" s="55" t="s">
        <v>176</v>
      </c>
      <c r="BG477" s="55" t="s">
        <v>176</v>
      </c>
      <c r="BH477" s="226">
        <v>0</v>
      </c>
      <c r="BI477" s="55" t="s">
        <v>176</v>
      </c>
      <c r="BJ477" s="55" t="s">
        <v>176</v>
      </c>
      <c r="BK477" s="55" t="s">
        <v>5976</v>
      </c>
      <c r="BM477" s="192" t="s">
        <v>160</v>
      </c>
      <c r="BN477" s="55">
        <v>4</v>
      </c>
      <c r="BO477" s="55">
        <v>4</v>
      </c>
      <c r="BQ477" s="55" t="s">
        <v>315</v>
      </c>
      <c r="BS477" s="55">
        <f>(8.7+2.5)*1000</f>
        <v>11200</v>
      </c>
      <c r="BT477" s="55">
        <f>BS477/(288+71)</f>
        <v>31.197771587743734</v>
      </c>
      <c r="BU477" s="55" t="s">
        <v>387</v>
      </c>
      <c r="DB477" s="65">
        <v>4.3230000000000004</v>
      </c>
      <c r="DC477" s="65">
        <v>3.18</v>
      </c>
      <c r="DF477" s="65" t="s">
        <v>385</v>
      </c>
      <c r="GP477" s="292" t="s">
        <v>7494</v>
      </c>
      <c r="HS477" s="227"/>
      <c r="HW477" s="227"/>
      <c r="JU477" s="55" t="s">
        <v>388</v>
      </c>
      <c r="JV477" s="55" t="s">
        <v>687</v>
      </c>
    </row>
    <row r="478" spans="1:282" x14ac:dyDescent="0.25">
      <c r="A478" s="55">
        <v>477</v>
      </c>
      <c r="B478" s="12" t="s">
        <v>7067</v>
      </c>
      <c r="C478" s="155">
        <v>26</v>
      </c>
      <c r="D478" s="55" t="s">
        <v>3778</v>
      </c>
      <c r="E478" s="90" t="s">
        <v>370</v>
      </c>
      <c r="G478" s="55" t="s">
        <v>371</v>
      </c>
      <c r="H478" s="55">
        <v>2015</v>
      </c>
      <c r="I478" s="55">
        <v>2012</v>
      </c>
      <c r="J478" s="55" t="s">
        <v>276</v>
      </c>
      <c r="K478" s="55" t="s">
        <v>372</v>
      </c>
      <c r="L478" s="55" t="s">
        <v>2737</v>
      </c>
      <c r="M478" s="90">
        <f>35.39</f>
        <v>35.39</v>
      </c>
      <c r="N478" s="90">
        <f>-78.03</f>
        <v>-78.03</v>
      </c>
      <c r="O478" s="90">
        <v>24.3</v>
      </c>
      <c r="U478" s="55">
        <v>1</v>
      </c>
      <c r="V478" s="55">
        <v>1</v>
      </c>
      <c r="Y478" s="55" t="s">
        <v>383</v>
      </c>
      <c r="Z478" s="55" t="s">
        <v>1349</v>
      </c>
      <c r="AA478" s="90" t="s">
        <v>1677</v>
      </c>
      <c r="AH478" s="55" t="s">
        <v>174</v>
      </c>
      <c r="AM478" s="55" t="s">
        <v>1291</v>
      </c>
      <c r="AN478" s="185" t="s">
        <v>375</v>
      </c>
      <c r="AO478" s="185" t="s">
        <v>5150</v>
      </c>
      <c r="AQ478" s="55" t="s">
        <v>553</v>
      </c>
      <c r="AR478" s="55" t="s">
        <v>132</v>
      </c>
      <c r="AS478" s="55" t="s">
        <v>132</v>
      </c>
      <c r="AU478" s="181" t="s">
        <v>7494</v>
      </c>
      <c r="AV478" s="185" t="s">
        <v>176</v>
      </c>
      <c r="AX478" s="185" t="s">
        <v>176</v>
      </c>
      <c r="AZ478" s="55" t="s">
        <v>384</v>
      </c>
      <c r="BA478" s="55" t="s">
        <v>384</v>
      </c>
      <c r="BB478" s="55" t="s">
        <v>2081</v>
      </c>
      <c r="BC478" s="55" t="s">
        <v>2081</v>
      </c>
      <c r="BD478" s="55" t="s">
        <v>176</v>
      </c>
      <c r="BE478" s="226">
        <v>0</v>
      </c>
      <c r="BF478" s="55" t="s">
        <v>176</v>
      </c>
      <c r="BG478" s="55" t="s">
        <v>176</v>
      </c>
      <c r="BH478" s="226">
        <v>0</v>
      </c>
      <c r="BI478" s="55" t="s">
        <v>176</v>
      </c>
      <c r="BJ478" s="55" t="s">
        <v>176</v>
      </c>
      <c r="BK478" s="55" t="s">
        <v>5976</v>
      </c>
      <c r="BM478" s="192" t="s">
        <v>160</v>
      </c>
      <c r="BN478" s="55">
        <v>4</v>
      </c>
      <c r="BO478" s="55">
        <v>4</v>
      </c>
      <c r="BQ478" s="55" t="s">
        <v>315</v>
      </c>
      <c r="BS478" s="55">
        <f>(6.5+1.7)*1000</f>
        <v>8200</v>
      </c>
      <c r="BT478" s="55">
        <f>BS478/(205+53)</f>
        <v>31.782945736434108</v>
      </c>
      <c r="BU478" s="55" t="s">
        <v>387</v>
      </c>
      <c r="DB478" s="65">
        <v>4.16</v>
      </c>
      <c r="DC478" s="65">
        <v>3.1</v>
      </c>
      <c r="DF478" s="65" t="s">
        <v>385</v>
      </c>
      <c r="GP478" s="292" t="s">
        <v>7494</v>
      </c>
      <c r="HS478" s="227"/>
      <c r="HW478" s="227"/>
      <c r="JU478" s="55" t="s">
        <v>388</v>
      </c>
      <c r="JV478" s="55" t="s">
        <v>687</v>
      </c>
    </row>
    <row r="479" spans="1:282" x14ac:dyDescent="0.25">
      <c r="A479" s="55">
        <v>478</v>
      </c>
      <c r="B479" s="12" t="s">
        <v>7067</v>
      </c>
      <c r="C479" s="155">
        <v>26</v>
      </c>
      <c r="D479" s="55" t="s">
        <v>3778</v>
      </c>
      <c r="E479" s="90" t="s">
        <v>370</v>
      </c>
      <c r="G479" s="55" t="s">
        <v>371</v>
      </c>
      <c r="H479" s="55">
        <v>2015</v>
      </c>
      <c r="I479" s="55">
        <v>2012</v>
      </c>
      <c r="J479" s="55" t="s">
        <v>276</v>
      </c>
      <c r="K479" s="55" t="s">
        <v>372</v>
      </c>
      <c r="L479" s="55" t="s">
        <v>2737</v>
      </c>
      <c r="M479" s="90">
        <f>35.39</f>
        <v>35.39</v>
      </c>
      <c r="N479" s="90">
        <f>-78.03</f>
        <v>-78.03</v>
      </c>
      <c r="O479" s="90">
        <v>24.3</v>
      </c>
      <c r="U479" s="55">
        <v>1</v>
      </c>
      <c r="V479" s="55">
        <v>1</v>
      </c>
      <c r="Y479" s="55" t="s">
        <v>383</v>
      </c>
      <c r="Z479" s="55" t="s">
        <v>1349</v>
      </c>
      <c r="AA479" s="90" t="s">
        <v>1677</v>
      </c>
      <c r="AH479" s="55" t="s">
        <v>174</v>
      </c>
      <c r="AM479" s="55" t="s">
        <v>1291</v>
      </c>
      <c r="AN479" s="185" t="s">
        <v>376</v>
      </c>
      <c r="AO479" s="185" t="s">
        <v>5150</v>
      </c>
      <c r="AQ479" s="55" t="s">
        <v>553</v>
      </c>
      <c r="AR479" s="55" t="s">
        <v>132</v>
      </c>
      <c r="AS479" s="55" t="s">
        <v>132</v>
      </c>
      <c r="AU479" s="181" t="s">
        <v>7494</v>
      </c>
      <c r="AV479" s="185" t="s">
        <v>176</v>
      </c>
      <c r="AX479" s="185" t="s">
        <v>176</v>
      </c>
      <c r="AZ479" s="55" t="s">
        <v>384</v>
      </c>
      <c r="BA479" s="55" t="s">
        <v>384</v>
      </c>
      <c r="BB479" s="55" t="s">
        <v>2081</v>
      </c>
      <c r="BC479" s="55" t="s">
        <v>2081</v>
      </c>
      <c r="BD479" s="55" t="s">
        <v>176</v>
      </c>
      <c r="BE479" s="226">
        <v>0</v>
      </c>
      <c r="BF479" s="55" t="s">
        <v>176</v>
      </c>
      <c r="BG479" s="55" t="s">
        <v>176</v>
      </c>
      <c r="BH479" s="226">
        <v>0</v>
      </c>
      <c r="BI479" s="55" t="s">
        <v>176</v>
      </c>
      <c r="BJ479" s="55" t="s">
        <v>176</v>
      </c>
      <c r="BK479" s="55" t="s">
        <v>5976</v>
      </c>
      <c r="BM479" s="192" t="s">
        <v>160</v>
      </c>
      <c r="BN479" s="55">
        <v>4</v>
      </c>
      <c r="BO479" s="55">
        <v>4</v>
      </c>
      <c r="BQ479" s="55" t="s">
        <v>315</v>
      </c>
      <c r="BS479" s="55">
        <f>(9.6+2.8)*1000</f>
        <v>12399.999999999998</v>
      </c>
      <c r="BT479" s="55">
        <f>BS479/(256+66)</f>
        <v>38.509316770186331</v>
      </c>
      <c r="BU479" s="55" t="s">
        <v>387</v>
      </c>
      <c r="DB479" s="65">
        <v>4.16</v>
      </c>
      <c r="DC479" s="65">
        <v>5.3</v>
      </c>
      <c r="DF479" s="65" t="s">
        <v>385</v>
      </c>
      <c r="GP479" s="292" t="s">
        <v>7494</v>
      </c>
      <c r="HS479" s="227"/>
      <c r="HW479" s="227"/>
      <c r="JU479" s="55" t="s">
        <v>388</v>
      </c>
      <c r="JV479" s="55" t="s">
        <v>687</v>
      </c>
    </row>
    <row r="480" spans="1:282" x14ac:dyDescent="0.25">
      <c r="A480" s="55">
        <v>479</v>
      </c>
      <c r="B480" s="12" t="s">
        <v>7067</v>
      </c>
      <c r="C480" s="155">
        <v>26</v>
      </c>
      <c r="D480" s="55" t="s">
        <v>3778</v>
      </c>
      <c r="E480" s="90" t="s">
        <v>370</v>
      </c>
      <c r="G480" s="55" t="s">
        <v>371</v>
      </c>
      <c r="H480" s="55">
        <v>2015</v>
      </c>
      <c r="I480" s="55">
        <v>2012</v>
      </c>
      <c r="J480" s="55" t="s">
        <v>276</v>
      </c>
      <c r="K480" s="55" t="s">
        <v>372</v>
      </c>
      <c r="L480" s="55" t="s">
        <v>2737</v>
      </c>
      <c r="M480" s="90">
        <f>35.39</f>
        <v>35.39</v>
      </c>
      <c r="N480" s="90">
        <f>-78.03</f>
        <v>-78.03</v>
      </c>
      <c r="O480" s="90">
        <v>24.3</v>
      </c>
      <c r="U480" s="55">
        <v>1</v>
      </c>
      <c r="V480" s="55">
        <v>1</v>
      </c>
      <c r="Y480" s="55" t="s">
        <v>383</v>
      </c>
      <c r="Z480" s="55" t="s">
        <v>1349</v>
      </c>
      <c r="AA480" s="90" t="s">
        <v>1677</v>
      </c>
      <c r="AH480" s="55" t="s">
        <v>174</v>
      </c>
      <c r="AM480" s="55" t="s">
        <v>1291</v>
      </c>
      <c r="AN480" s="185" t="s">
        <v>241</v>
      </c>
      <c r="AO480" s="185" t="s">
        <v>5150</v>
      </c>
      <c r="AQ480" s="55" t="s">
        <v>553</v>
      </c>
      <c r="AR480" s="55" t="s">
        <v>132</v>
      </c>
      <c r="AS480" s="55" t="s">
        <v>132</v>
      </c>
      <c r="AU480" s="181" t="s">
        <v>7494</v>
      </c>
      <c r="AV480" s="185" t="s">
        <v>176</v>
      </c>
      <c r="AX480" s="185" t="s">
        <v>176</v>
      </c>
      <c r="AZ480" s="55" t="s">
        <v>384</v>
      </c>
      <c r="BA480" s="55" t="s">
        <v>384</v>
      </c>
      <c r="BB480" s="55" t="s">
        <v>2081</v>
      </c>
      <c r="BC480" s="55" t="s">
        <v>2081</v>
      </c>
      <c r="BD480" s="55" t="s">
        <v>176</v>
      </c>
      <c r="BE480" s="226">
        <v>0</v>
      </c>
      <c r="BF480" s="55" t="s">
        <v>176</v>
      </c>
      <c r="BG480" s="55" t="s">
        <v>176</v>
      </c>
      <c r="BH480" s="226">
        <v>0</v>
      </c>
      <c r="BI480" s="55" t="s">
        <v>176</v>
      </c>
      <c r="BJ480" s="55" t="s">
        <v>176</v>
      </c>
      <c r="BK480" s="55" t="s">
        <v>5976</v>
      </c>
      <c r="BM480" s="192" t="s">
        <v>160</v>
      </c>
      <c r="BN480" s="55">
        <v>4</v>
      </c>
      <c r="BO480" s="55">
        <v>4</v>
      </c>
      <c r="BQ480" s="55" t="s">
        <v>315</v>
      </c>
      <c r="BS480" s="55">
        <f>(8.7+2.5)*1000</f>
        <v>11200</v>
      </c>
      <c r="BT480" s="55">
        <f>BS480/(288+71)</f>
        <v>31.197771587743734</v>
      </c>
      <c r="BU480" s="55" t="s">
        <v>387</v>
      </c>
      <c r="DB480" s="65">
        <v>4.16</v>
      </c>
      <c r="DC480" s="65">
        <v>6.3</v>
      </c>
      <c r="DF480" s="65" t="s">
        <v>385</v>
      </c>
      <c r="GP480" s="292" t="s">
        <v>7494</v>
      </c>
      <c r="HS480" s="227"/>
      <c r="HW480" s="227"/>
      <c r="JU480" s="55" t="s">
        <v>388</v>
      </c>
      <c r="JV480" s="55" t="s">
        <v>687</v>
      </c>
    </row>
    <row r="481" spans="1:282" x14ac:dyDescent="0.25">
      <c r="A481" s="55">
        <v>480</v>
      </c>
      <c r="B481" s="12" t="s">
        <v>7067</v>
      </c>
      <c r="C481" s="155">
        <v>26</v>
      </c>
      <c r="D481" s="55" t="s">
        <v>3779</v>
      </c>
      <c r="E481" s="90" t="s">
        <v>370</v>
      </c>
      <c r="G481" s="55" t="s">
        <v>371</v>
      </c>
      <c r="H481" s="55">
        <v>2015</v>
      </c>
      <c r="I481" s="55">
        <v>2012</v>
      </c>
      <c r="J481" s="55" t="s">
        <v>276</v>
      </c>
      <c r="K481" s="55" t="s">
        <v>373</v>
      </c>
      <c r="L481" s="55" t="s">
        <v>2737</v>
      </c>
      <c r="M481" s="90">
        <f>35.22</f>
        <v>35.22</v>
      </c>
      <c r="N481" s="90">
        <f>-77.65</f>
        <v>-77.650000000000006</v>
      </c>
      <c r="O481" s="90">
        <v>22.4</v>
      </c>
      <c r="U481" s="55">
        <v>1</v>
      </c>
      <c r="V481" s="55">
        <v>1</v>
      </c>
      <c r="Y481" s="55" t="s">
        <v>377</v>
      </c>
      <c r="Z481" s="55" t="s">
        <v>1349</v>
      </c>
      <c r="AA481" s="90" t="s">
        <v>1677</v>
      </c>
      <c r="AH481" s="55" t="s">
        <v>139</v>
      </c>
      <c r="AM481" s="55" t="s">
        <v>1291</v>
      </c>
      <c r="AN481" s="185" t="s">
        <v>375</v>
      </c>
      <c r="AO481" s="185" t="s">
        <v>5150</v>
      </c>
      <c r="AQ481" s="55" t="s">
        <v>553</v>
      </c>
      <c r="AR481" s="55" t="s">
        <v>132</v>
      </c>
      <c r="AS481" s="55" t="s">
        <v>132</v>
      </c>
      <c r="AU481" s="181" t="s">
        <v>7494</v>
      </c>
      <c r="AV481" s="185" t="s">
        <v>176</v>
      </c>
      <c r="AX481" s="185" t="s">
        <v>176</v>
      </c>
      <c r="AZ481" s="55" t="s">
        <v>374</v>
      </c>
      <c r="BA481" s="55" t="s">
        <v>374</v>
      </c>
      <c r="BB481" s="55" t="s">
        <v>2081</v>
      </c>
      <c r="BC481" s="55" t="s">
        <v>2081</v>
      </c>
      <c r="BD481" s="55" t="s">
        <v>176</v>
      </c>
      <c r="BE481" s="226">
        <v>0</v>
      </c>
      <c r="BF481" s="55" t="s">
        <v>176</v>
      </c>
      <c r="BG481" s="55" t="s">
        <v>176</v>
      </c>
      <c r="BH481" s="226">
        <v>0</v>
      </c>
      <c r="BI481" s="55" t="s">
        <v>176</v>
      </c>
      <c r="BJ481" s="55" t="s">
        <v>176</v>
      </c>
      <c r="BK481" s="55" t="s">
        <v>5976</v>
      </c>
      <c r="BM481" s="192" t="s">
        <v>160</v>
      </c>
      <c r="BN481" s="55">
        <v>4</v>
      </c>
      <c r="BO481" s="55">
        <v>4</v>
      </c>
      <c r="BQ481" s="55" t="s">
        <v>315</v>
      </c>
      <c r="BS481" s="55">
        <f>(6.1+1.6)*1000</f>
        <v>7699.9999999999991</v>
      </c>
      <c r="BT481" s="55">
        <f>BS481/(170+36)</f>
        <v>37.378640776699022</v>
      </c>
      <c r="BU481" s="55" t="s">
        <v>386</v>
      </c>
      <c r="DB481" s="65">
        <v>3.83</v>
      </c>
      <c r="DC481" s="65">
        <v>10.109</v>
      </c>
      <c r="DF481" s="65" t="s">
        <v>385</v>
      </c>
      <c r="GP481" s="292" t="s">
        <v>7494</v>
      </c>
      <c r="HS481" s="227"/>
      <c r="HW481" s="227"/>
      <c r="JU481" s="55" t="s">
        <v>388</v>
      </c>
      <c r="JV481" s="55" t="s">
        <v>687</v>
      </c>
    </row>
    <row r="482" spans="1:282" x14ac:dyDescent="0.25">
      <c r="A482" s="55">
        <v>481</v>
      </c>
      <c r="B482" s="12" t="s">
        <v>7067</v>
      </c>
      <c r="C482" s="155">
        <v>26</v>
      </c>
      <c r="D482" s="55" t="s">
        <v>3779</v>
      </c>
      <c r="E482" s="90" t="s">
        <v>370</v>
      </c>
      <c r="G482" s="55" t="s">
        <v>371</v>
      </c>
      <c r="H482" s="55">
        <v>2015</v>
      </c>
      <c r="I482" s="55">
        <v>2012</v>
      </c>
      <c r="J482" s="55" t="s">
        <v>276</v>
      </c>
      <c r="K482" s="55" t="s">
        <v>373</v>
      </c>
      <c r="L482" s="55" t="s">
        <v>2737</v>
      </c>
      <c r="M482" s="90">
        <f>35.22</f>
        <v>35.22</v>
      </c>
      <c r="N482" s="90">
        <f>-77.65</f>
        <v>-77.650000000000006</v>
      </c>
      <c r="O482" s="90">
        <v>22.4</v>
      </c>
      <c r="U482" s="55">
        <v>1</v>
      </c>
      <c r="V482" s="55">
        <v>1</v>
      </c>
      <c r="Y482" s="55" t="s">
        <v>377</v>
      </c>
      <c r="Z482" s="55" t="s">
        <v>1349</v>
      </c>
      <c r="AA482" s="90" t="s">
        <v>1677</v>
      </c>
      <c r="AH482" s="55" t="s">
        <v>139</v>
      </c>
      <c r="AM482" s="55" t="s">
        <v>1291</v>
      </c>
      <c r="AN482" s="185" t="s">
        <v>376</v>
      </c>
      <c r="AO482" s="185" t="s">
        <v>5150</v>
      </c>
      <c r="AQ482" s="55" t="s">
        <v>553</v>
      </c>
      <c r="AR482" s="55" t="s">
        <v>132</v>
      </c>
      <c r="AS482" s="55" t="s">
        <v>132</v>
      </c>
      <c r="AU482" s="181" t="s">
        <v>7494</v>
      </c>
      <c r="AV482" s="185" t="s">
        <v>176</v>
      </c>
      <c r="AX482" s="185" t="s">
        <v>176</v>
      </c>
      <c r="AZ482" s="55" t="s">
        <v>374</v>
      </c>
      <c r="BA482" s="55" t="s">
        <v>374</v>
      </c>
      <c r="BB482" s="55" t="s">
        <v>2081</v>
      </c>
      <c r="BC482" s="55" t="s">
        <v>2081</v>
      </c>
      <c r="BD482" s="55" t="s">
        <v>176</v>
      </c>
      <c r="BE482" s="226">
        <v>0</v>
      </c>
      <c r="BF482" s="55" t="s">
        <v>176</v>
      </c>
      <c r="BG482" s="55" t="s">
        <v>176</v>
      </c>
      <c r="BH482" s="226">
        <v>0</v>
      </c>
      <c r="BI482" s="55" t="s">
        <v>176</v>
      </c>
      <c r="BJ482" s="55" t="s">
        <v>176</v>
      </c>
      <c r="BK482" s="55" t="s">
        <v>5976</v>
      </c>
      <c r="BM482" s="192" t="s">
        <v>160</v>
      </c>
      <c r="BN482" s="55">
        <v>4</v>
      </c>
      <c r="BO482" s="55">
        <v>4</v>
      </c>
      <c r="BQ482" s="55" t="s">
        <v>315</v>
      </c>
      <c r="BS482" s="55">
        <f>(6.4+1.9)*1000</f>
        <v>8300</v>
      </c>
      <c r="BT482" s="55">
        <f>BS482/(110+27)</f>
        <v>60.583941605839414</v>
      </c>
      <c r="BU482" s="55" t="s">
        <v>386</v>
      </c>
      <c r="DB482" s="65">
        <v>3.83</v>
      </c>
      <c r="DC482" s="65">
        <v>6.032</v>
      </c>
      <c r="DF482" s="65" t="s">
        <v>385</v>
      </c>
      <c r="GP482" s="292" t="s">
        <v>7494</v>
      </c>
      <c r="HS482" s="227"/>
      <c r="HW482" s="227"/>
      <c r="JU482" s="55" t="s">
        <v>388</v>
      </c>
      <c r="JV482" s="55" t="s">
        <v>687</v>
      </c>
    </row>
    <row r="483" spans="1:282" x14ac:dyDescent="0.25">
      <c r="A483" s="55">
        <v>482</v>
      </c>
      <c r="B483" s="12" t="s">
        <v>7067</v>
      </c>
      <c r="C483" s="155">
        <v>26</v>
      </c>
      <c r="D483" s="55" t="s">
        <v>3779</v>
      </c>
      <c r="E483" s="90" t="s">
        <v>370</v>
      </c>
      <c r="G483" s="55" t="s">
        <v>371</v>
      </c>
      <c r="H483" s="55">
        <v>2015</v>
      </c>
      <c r="I483" s="55">
        <v>2012</v>
      </c>
      <c r="J483" s="55" t="s">
        <v>276</v>
      </c>
      <c r="K483" s="55" t="s">
        <v>373</v>
      </c>
      <c r="L483" s="55" t="s">
        <v>2737</v>
      </c>
      <c r="M483" s="90">
        <f>35.22</f>
        <v>35.22</v>
      </c>
      <c r="N483" s="90">
        <f>-77.65</f>
        <v>-77.650000000000006</v>
      </c>
      <c r="O483" s="90">
        <v>22.4</v>
      </c>
      <c r="U483" s="55">
        <v>1</v>
      </c>
      <c r="V483" s="55">
        <v>1</v>
      </c>
      <c r="Y483" s="55" t="s">
        <v>377</v>
      </c>
      <c r="Z483" s="55" t="s">
        <v>1349</v>
      </c>
      <c r="AA483" s="90" t="s">
        <v>1677</v>
      </c>
      <c r="AH483" s="55" t="s">
        <v>139</v>
      </c>
      <c r="AM483" s="55" t="s">
        <v>1291</v>
      </c>
      <c r="AN483" s="185" t="s">
        <v>241</v>
      </c>
      <c r="AO483" s="185" t="s">
        <v>5150</v>
      </c>
      <c r="AQ483" s="55" t="s">
        <v>553</v>
      </c>
      <c r="AR483" s="55" t="s">
        <v>132</v>
      </c>
      <c r="AS483" s="55" t="s">
        <v>132</v>
      </c>
      <c r="AU483" s="181" t="s">
        <v>7494</v>
      </c>
      <c r="AV483" s="185" t="s">
        <v>176</v>
      </c>
      <c r="AX483" s="185" t="s">
        <v>176</v>
      </c>
      <c r="AZ483" s="55" t="s">
        <v>374</v>
      </c>
      <c r="BA483" s="55" t="s">
        <v>374</v>
      </c>
      <c r="BB483" s="55" t="s">
        <v>2081</v>
      </c>
      <c r="BC483" s="55" t="s">
        <v>2081</v>
      </c>
      <c r="BD483" s="55" t="s">
        <v>176</v>
      </c>
      <c r="BE483" s="226">
        <v>0</v>
      </c>
      <c r="BF483" s="55" t="s">
        <v>176</v>
      </c>
      <c r="BG483" s="55" t="s">
        <v>176</v>
      </c>
      <c r="BH483" s="226">
        <v>0</v>
      </c>
      <c r="BI483" s="55" t="s">
        <v>176</v>
      </c>
      <c r="BJ483" s="55" t="s">
        <v>176</v>
      </c>
      <c r="BK483" s="55" t="s">
        <v>5976</v>
      </c>
      <c r="BM483" s="192" t="s">
        <v>160</v>
      </c>
      <c r="BN483" s="55">
        <v>4</v>
      </c>
      <c r="BO483" s="55">
        <v>4</v>
      </c>
      <c r="BQ483" s="55" t="s">
        <v>315</v>
      </c>
      <c r="BS483" s="55">
        <f>(6.5+1.8)*1000</f>
        <v>8300</v>
      </c>
      <c r="BT483" s="55">
        <f>BS483/(175+47)</f>
        <v>37.387387387387385</v>
      </c>
      <c r="BU483" s="55" t="s">
        <v>386</v>
      </c>
      <c r="DB483" s="65">
        <v>3.83</v>
      </c>
      <c r="DC483" s="65">
        <v>8.2330000000000005</v>
      </c>
      <c r="DF483" s="65" t="s">
        <v>385</v>
      </c>
      <c r="GP483" s="292" t="s">
        <v>7494</v>
      </c>
      <c r="HS483" s="227"/>
      <c r="HW483" s="227"/>
      <c r="JU483" s="55" t="s">
        <v>388</v>
      </c>
      <c r="JV483" s="55" t="s">
        <v>687</v>
      </c>
    </row>
    <row r="484" spans="1:282" x14ac:dyDescent="0.25">
      <c r="A484" s="55">
        <v>483</v>
      </c>
      <c r="B484" s="12" t="s">
        <v>7067</v>
      </c>
      <c r="C484" s="155">
        <v>26</v>
      </c>
      <c r="D484" s="55" t="s">
        <v>3779</v>
      </c>
      <c r="E484" s="90" t="s">
        <v>370</v>
      </c>
      <c r="G484" s="55" t="s">
        <v>371</v>
      </c>
      <c r="H484" s="55">
        <v>2015</v>
      </c>
      <c r="I484" s="55">
        <v>2012</v>
      </c>
      <c r="J484" s="55" t="s">
        <v>276</v>
      </c>
      <c r="K484" s="55" t="s">
        <v>373</v>
      </c>
      <c r="L484" s="55" t="s">
        <v>2737</v>
      </c>
      <c r="M484" s="90">
        <f>35.22</f>
        <v>35.22</v>
      </c>
      <c r="N484" s="90">
        <f>-77.65</f>
        <v>-77.650000000000006</v>
      </c>
      <c r="O484" s="90">
        <v>22.4</v>
      </c>
      <c r="U484" s="55">
        <v>1</v>
      </c>
      <c r="V484" s="55">
        <v>1</v>
      </c>
      <c r="Y484" s="55" t="s">
        <v>378</v>
      </c>
      <c r="Z484" s="55" t="s">
        <v>1349</v>
      </c>
      <c r="AA484" s="90" t="s">
        <v>1677</v>
      </c>
      <c r="AH484" s="55" t="s">
        <v>139</v>
      </c>
      <c r="AM484" s="55" t="s">
        <v>1291</v>
      </c>
      <c r="AN484" s="185" t="s">
        <v>375</v>
      </c>
      <c r="AO484" s="185" t="s">
        <v>5150</v>
      </c>
      <c r="AQ484" s="55" t="s">
        <v>553</v>
      </c>
      <c r="AR484" s="55" t="s">
        <v>132</v>
      </c>
      <c r="AS484" s="55" t="s">
        <v>132</v>
      </c>
      <c r="AU484" s="181" t="s">
        <v>7494</v>
      </c>
      <c r="AV484" s="185" t="s">
        <v>176</v>
      </c>
      <c r="AX484" s="185" t="s">
        <v>176</v>
      </c>
      <c r="AZ484" s="55" t="s">
        <v>374</v>
      </c>
      <c r="BA484" s="55" t="s">
        <v>374</v>
      </c>
      <c r="BB484" s="55" t="s">
        <v>2081</v>
      </c>
      <c r="BC484" s="55" t="s">
        <v>2081</v>
      </c>
      <c r="BD484" s="55" t="s">
        <v>176</v>
      </c>
      <c r="BE484" s="226">
        <v>0</v>
      </c>
      <c r="BF484" s="55" t="s">
        <v>176</v>
      </c>
      <c r="BG484" s="55" t="s">
        <v>176</v>
      </c>
      <c r="BH484" s="226">
        <v>0</v>
      </c>
      <c r="BI484" s="55" t="s">
        <v>176</v>
      </c>
      <c r="BJ484" s="55" t="s">
        <v>176</v>
      </c>
      <c r="BK484" s="55" t="s">
        <v>5976</v>
      </c>
      <c r="BM484" s="192" t="s">
        <v>160</v>
      </c>
      <c r="BN484" s="55">
        <v>4</v>
      </c>
      <c r="BO484" s="55">
        <v>4</v>
      </c>
      <c r="BQ484" s="55" t="s">
        <v>315</v>
      </c>
      <c r="BS484" s="55">
        <f>(6.1+1.6)*1000</f>
        <v>7699.9999999999991</v>
      </c>
      <c r="BT484" s="55">
        <f>BS484/(170+36)</f>
        <v>37.378640776699022</v>
      </c>
      <c r="BU484" s="55" t="s">
        <v>386</v>
      </c>
      <c r="DB484" s="65">
        <v>2.1880000000000002</v>
      </c>
      <c r="DC484" s="65">
        <v>3.74</v>
      </c>
      <c r="DF484" s="65" t="s">
        <v>385</v>
      </c>
      <c r="GP484" s="292" t="s">
        <v>7494</v>
      </c>
      <c r="HS484" s="227"/>
      <c r="HW484" s="227"/>
      <c r="JU484" s="55" t="s">
        <v>388</v>
      </c>
      <c r="JV484" s="55" t="s">
        <v>687</v>
      </c>
    </row>
    <row r="485" spans="1:282" x14ac:dyDescent="0.25">
      <c r="A485" s="55">
        <v>484</v>
      </c>
      <c r="B485" s="12" t="s">
        <v>7067</v>
      </c>
      <c r="C485" s="155">
        <v>26</v>
      </c>
      <c r="D485" s="55" t="s">
        <v>3779</v>
      </c>
      <c r="E485" s="90" t="s">
        <v>370</v>
      </c>
      <c r="G485" s="55" t="s">
        <v>371</v>
      </c>
      <c r="H485" s="55">
        <v>2015</v>
      </c>
      <c r="I485" s="55">
        <v>2012</v>
      </c>
      <c r="J485" s="55" t="s">
        <v>276</v>
      </c>
      <c r="K485" s="55" t="s">
        <v>373</v>
      </c>
      <c r="L485" s="55" t="s">
        <v>2737</v>
      </c>
      <c r="M485" s="90">
        <f>35.22</f>
        <v>35.22</v>
      </c>
      <c r="N485" s="90">
        <f>-77.65</f>
        <v>-77.650000000000006</v>
      </c>
      <c r="O485" s="90">
        <v>22.4</v>
      </c>
      <c r="U485" s="55">
        <v>1</v>
      </c>
      <c r="V485" s="55">
        <v>1</v>
      </c>
      <c r="Y485" s="55" t="s">
        <v>378</v>
      </c>
      <c r="Z485" s="55" t="s">
        <v>1349</v>
      </c>
      <c r="AA485" s="90" t="s">
        <v>1677</v>
      </c>
      <c r="AH485" s="55" t="s">
        <v>139</v>
      </c>
      <c r="AM485" s="55" t="s">
        <v>1291</v>
      </c>
      <c r="AN485" s="185" t="s">
        <v>376</v>
      </c>
      <c r="AO485" s="185" t="s">
        <v>5150</v>
      </c>
      <c r="AQ485" s="55" t="s">
        <v>553</v>
      </c>
      <c r="AR485" s="55" t="s">
        <v>132</v>
      </c>
      <c r="AS485" s="55" t="s">
        <v>132</v>
      </c>
      <c r="AU485" s="181" t="s">
        <v>7494</v>
      </c>
      <c r="AV485" s="185" t="s">
        <v>176</v>
      </c>
      <c r="AX485" s="185" t="s">
        <v>176</v>
      </c>
      <c r="AZ485" s="55" t="s">
        <v>374</v>
      </c>
      <c r="BA485" s="55" t="s">
        <v>374</v>
      </c>
      <c r="BB485" s="55" t="s">
        <v>2081</v>
      </c>
      <c r="BC485" s="55" t="s">
        <v>2081</v>
      </c>
      <c r="BD485" s="55" t="s">
        <v>176</v>
      </c>
      <c r="BE485" s="226">
        <v>0</v>
      </c>
      <c r="BF485" s="55" t="s">
        <v>176</v>
      </c>
      <c r="BG485" s="55" t="s">
        <v>176</v>
      </c>
      <c r="BH485" s="226">
        <v>0</v>
      </c>
      <c r="BI485" s="55" t="s">
        <v>176</v>
      </c>
      <c r="BJ485" s="55" t="s">
        <v>176</v>
      </c>
      <c r="BK485" s="55" t="s">
        <v>5976</v>
      </c>
      <c r="BM485" s="192" t="s">
        <v>160</v>
      </c>
      <c r="BN485" s="55">
        <v>4</v>
      </c>
      <c r="BO485" s="55">
        <v>4</v>
      </c>
      <c r="BQ485" s="55" t="s">
        <v>315</v>
      </c>
      <c r="BS485" s="55">
        <f>(6.4+1.9)*1000</f>
        <v>8300</v>
      </c>
      <c r="BT485" s="55">
        <f>BS485/(110+27)</f>
        <v>60.583941605839414</v>
      </c>
      <c r="BU485" s="55" t="s">
        <v>386</v>
      </c>
      <c r="DB485" s="65">
        <v>2.1880000000000002</v>
      </c>
      <c r="DC485" s="65">
        <v>3.74</v>
      </c>
      <c r="DF485" s="65" t="s">
        <v>385</v>
      </c>
      <c r="GP485" s="292" t="s">
        <v>7494</v>
      </c>
      <c r="HS485" s="227"/>
      <c r="HW485" s="227"/>
      <c r="JU485" s="55" t="s">
        <v>388</v>
      </c>
      <c r="JV485" s="55" t="s">
        <v>687</v>
      </c>
    </row>
    <row r="486" spans="1:282" x14ac:dyDescent="0.25">
      <c r="A486" s="55">
        <v>485</v>
      </c>
      <c r="B486" s="12" t="s">
        <v>7067</v>
      </c>
      <c r="C486" s="155">
        <v>26</v>
      </c>
      <c r="D486" s="55" t="s">
        <v>3779</v>
      </c>
      <c r="E486" s="90" t="s">
        <v>370</v>
      </c>
      <c r="G486" s="55" t="s">
        <v>371</v>
      </c>
      <c r="H486" s="55">
        <v>2015</v>
      </c>
      <c r="I486" s="55">
        <v>2012</v>
      </c>
      <c r="J486" s="55" t="s">
        <v>276</v>
      </c>
      <c r="K486" s="55" t="s">
        <v>373</v>
      </c>
      <c r="L486" s="55" t="s">
        <v>2737</v>
      </c>
      <c r="M486" s="90">
        <f>35.22</f>
        <v>35.22</v>
      </c>
      <c r="N486" s="90">
        <f>-77.65</f>
        <v>-77.650000000000006</v>
      </c>
      <c r="O486" s="90">
        <v>22.4</v>
      </c>
      <c r="U486" s="55">
        <v>1</v>
      </c>
      <c r="V486" s="55">
        <v>1</v>
      </c>
      <c r="Y486" s="55" t="s">
        <v>378</v>
      </c>
      <c r="Z486" s="55" t="s">
        <v>1349</v>
      </c>
      <c r="AA486" s="90" t="s">
        <v>1677</v>
      </c>
      <c r="AH486" s="55" t="s">
        <v>139</v>
      </c>
      <c r="AM486" s="55" t="s">
        <v>1291</v>
      </c>
      <c r="AN486" s="185" t="s">
        <v>241</v>
      </c>
      <c r="AO486" s="185" t="s">
        <v>5150</v>
      </c>
      <c r="AQ486" s="55" t="s">
        <v>553</v>
      </c>
      <c r="AR486" s="55" t="s">
        <v>132</v>
      </c>
      <c r="AS486" s="55" t="s">
        <v>132</v>
      </c>
      <c r="AU486" s="181" t="s">
        <v>7494</v>
      </c>
      <c r="AV486" s="185" t="s">
        <v>176</v>
      </c>
      <c r="AX486" s="185" t="s">
        <v>176</v>
      </c>
      <c r="AZ486" s="55" t="s">
        <v>374</v>
      </c>
      <c r="BA486" s="55" t="s">
        <v>374</v>
      </c>
      <c r="BB486" s="55" t="s">
        <v>2081</v>
      </c>
      <c r="BC486" s="55" t="s">
        <v>2081</v>
      </c>
      <c r="BD486" s="55" t="s">
        <v>176</v>
      </c>
      <c r="BE486" s="226">
        <v>0</v>
      </c>
      <c r="BF486" s="55" t="s">
        <v>176</v>
      </c>
      <c r="BG486" s="55" t="s">
        <v>176</v>
      </c>
      <c r="BH486" s="226">
        <v>0</v>
      </c>
      <c r="BI486" s="55" t="s">
        <v>176</v>
      </c>
      <c r="BJ486" s="55" t="s">
        <v>176</v>
      </c>
      <c r="BK486" s="55" t="s">
        <v>5976</v>
      </c>
      <c r="BM486" s="192" t="s">
        <v>160</v>
      </c>
      <c r="BN486" s="55">
        <v>4</v>
      </c>
      <c r="BO486" s="55">
        <v>4</v>
      </c>
      <c r="BQ486" s="55" t="s">
        <v>315</v>
      </c>
      <c r="BS486" s="55">
        <f>(6.5+1.8)*1000</f>
        <v>8300</v>
      </c>
      <c r="BT486" s="55">
        <f>BS486/(175+47)</f>
        <v>37.387387387387385</v>
      </c>
      <c r="BU486" s="55" t="s">
        <v>386</v>
      </c>
      <c r="DB486" s="65">
        <v>2.1880000000000002</v>
      </c>
      <c r="DC486" s="65">
        <v>3.74</v>
      </c>
      <c r="DF486" s="65" t="s">
        <v>385</v>
      </c>
      <c r="GP486" s="292" t="s">
        <v>7494</v>
      </c>
      <c r="HS486" s="227"/>
      <c r="HW486" s="227"/>
      <c r="JU486" s="55" t="s">
        <v>388</v>
      </c>
      <c r="JV486" s="55" t="s">
        <v>687</v>
      </c>
    </row>
    <row r="487" spans="1:282" x14ac:dyDescent="0.25">
      <c r="A487" s="55">
        <v>486</v>
      </c>
      <c r="B487" s="12" t="s">
        <v>7067</v>
      </c>
      <c r="C487" s="155">
        <v>26</v>
      </c>
      <c r="D487" s="55" t="s">
        <v>3779</v>
      </c>
      <c r="E487" s="90" t="s">
        <v>370</v>
      </c>
      <c r="G487" s="55" t="s">
        <v>371</v>
      </c>
      <c r="H487" s="55">
        <v>2015</v>
      </c>
      <c r="I487" s="55">
        <v>2012</v>
      </c>
      <c r="J487" s="55" t="s">
        <v>276</v>
      </c>
      <c r="K487" s="55" t="s">
        <v>373</v>
      </c>
      <c r="L487" s="55" t="s">
        <v>2737</v>
      </c>
      <c r="M487" s="90">
        <f>35.22</f>
        <v>35.22</v>
      </c>
      <c r="N487" s="90">
        <f>-77.65</f>
        <v>-77.650000000000006</v>
      </c>
      <c r="O487" s="90">
        <v>22.4</v>
      </c>
      <c r="U487" s="55">
        <v>1</v>
      </c>
      <c r="V487" s="55">
        <v>1</v>
      </c>
      <c r="Y487" s="55" t="s">
        <v>379</v>
      </c>
      <c r="Z487" s="55" t="s">
        <v>1349</v>
      </c>
      <c r="AA487" s="90" t="s">
        <v>1677</v>
      </c>
      <c r="AH487" s="55" t="s">
        <v>139</v>
      </c>
      <c r="AM487" s="55" t="s">
        <v>1291</v>
      </c>
      <c r="AN487" s="185" t="s">
        <v>375</v>
      </c>
      <c r="AO487" s="185" t="s">
        <v>5150</v>
      </c>
      <c r="AQ487" s="55" t="s">
        <v>553</v>
      </c>
      <c r="AR487" s="55" t="s">
        <v>132</v>
      </c>
      <c r="AS487" s="55" t="s">
        <v>132</v>
      </c>
      <c r="AU487" s="181" t="s">
        <v>7494</v>
      </c>
      <c r="AV487" s="185" t="s">
        <v>176</v>
      </c>
      <c r="AX487" s="185" t="s">
        <v>176</v>
      </c>
      <c r="AZ487" s="55" t="s">
        <v>374</v>
      </c>
      <c r="BA487" s="55" t="s">
        <v>374</v>
      </c>
      <c r="BB487" s="55" t="s">
        <v>2081</v>
      </c>
      <c r="BC487" s="55" t="s">
        <v>2081</v>
      </c>
      <c r="BD487" s="55" t="s">
        <v>176</v>
      </c>
      <c r="BE487" s="226">
        <v>0</v>
      </c>
      <c r="BF487" s="55" t="s">
        <v>176</v>
      </c>
      <c r="BG487" s="55" t="s">
        <v>176</v>
      </c>
      <c r="BH487" s="226">
        <v>0</v>
      </c>
      <c r="BI487" s="55" t="s">
        <v>176</v>
      </c>
      <c r="BJ487" s="55" t="s">
        <v>176</v>
      </c>
      <c r="BK487" s="55" t="s">
        <v>5976</v>
      </c>
      <c r="BM487" s="192" t="s">
        <v>160</v>
      </c>
      <c r="BN487" s="55">
        <v>4</v>
      </c>
      <c r="BO487" s="55">
        <v>4</v>
      </c>
      <c r="BQ487" s="55" t="s">
        <v>315</v>
      </c>
      <c r="BS487" s="55">
        <f>(6.1+1.6)*1000</f>
        <v>7699.9999999999991</v>
      </c>
      <c r="BT487" s="55">
        <f>BS487/(170+36)</f>
        <v>37.378640776699022</v>
      </c>
      <c r="BU487" s="55" t="s">
        <v>386</v>
      </c>
      <c r="DB487" s="65">
        <v>3.157</v>
      </c>
      <c r="DC487" s="65">
        <v>3.17</v>
      </c>
      <c r="DF487" s="65" t="s">
        <v>385</v>
      </c>
      <c r="GP487" s="292" t="s">
        <v>7494</v>
      </c>
      <c r="HS487" s="227"/>
      <c r="HW487" s="227"/>
      <c r="JU487" s="55" t="s">
        <v>388</v>
      </c>
      <c r="JV487" s="55" t="s">
        <v>687</v>
      </c>
    </row>
    <row r="488" spans="1:282" x14ac:dyDescent="0.25">
      <c r="A488" s="55">
        <v>487</v>
      </c>
      <c r="B488" s="12" t="s">
        <v>7067</v>
      </c>
      <c r="C488" s="155">
        <v>26</v>
      </c>
      <c r="D488" s="55" t="s">
        <v>3779</v>
      </c>
      <c r="E488" s="90" t="s">
        <v>370</v>
      </c>
      <c r="G488" s="55" t="s">
        <v>371</v>
      </c>
      <c r="H488" s="55">
        <v>2015</v>
      </c>
      <c r="I488" s="55">
        <v>2012</v>
      </c>
      <c r="J488" s="55" t="s">
        <v>276</v>
      </c>
      <c r="K488" s="55" t="s">
        <v>373</v>
      </c>
      <c r="L488" s="55" t="s">
        <v>2737</v>
      </c>
      <c r="M488" s="90">
        <f>35.22</f>
        <v>35.22</v>
      </c>
      <c r="N488" s="90">
        <f>-77.65</f>
        <v>-77.650000000000006</v>
      </c>
      <c r="O488" s="90">
        <v>22.4</v>
      </c>
      <c r="U488" s="55">
        <v>1</v>
      </c>
      <c r="V488" s="55">
        <v>1</v>
      </c>
      <c r="Y488" s="55" t="s">
        <v>379</v>
      </c>
      <c r="Z488" s="55" t="s">
        <v>1349</v>
      </c>
      <c r="AA488" s="90" t="s">
        <v>1677</v>
      </c>
      <c r="AH488" s="55" t="s">
        <v>139</v>
      </c>
      <c r="AM488" s="55" t="s">
        <v>1291</v>
      </c>
      <c r="AN488" s="185" t="s">
        <v>376</v>
      </c>
      <c r="AO488" s="185" t="s">
        <v>5150</v>
      </c>
      <c r="AQ488" s="55" t="s">
        <v>553</v>
      </c>
      <c r="AR488" s="55" t="s">
        <v>132</v>
      </c>
      <c r="AS488" s="55" t="s">
        <v>132</v>
      </c>
      <c r="AU488" s="181" t="s">
        <v>7494</v>
      </c>
      <c r="AV488" s="185" t="s">
        <v>176</v>
      </c>
      <c r="AX488" s="185" t="s">
        <v>176</v>
      </c>
      <c r="AZ488" s="55" t="s">
        <v>374</v>
      </c>
      <c r="BA488" s="55" t="s">
        <v>374</v>
      </c>
      <c r="BB488" s="55" t="s">
        <v>2081</v>
      </c>
      <c r="BC488" s="55" t="s">
        <v>2081</v>
      </c>
      <c r="BD488" s="55" t="s">
        <v>176</v>
      </c>
      <c r="BE488" s="226">
        <v>0</v>
      </c>
      <c r="BF488" s="55" t="s">
        <v>176</v>
      </c>
      <c r="BG488" s="55" t="s">
        <v>176</v>
      </c>
      <c r="BH488" s="226">
        <v>0</v>
      </c>
      <c r="BI488" s="55" t="s">
        <v>176</v>
      </c>
      <c r="BJ488" s="55" t="s">
        <v>176</v>
      </c>
      <c r="BK488" s="55" t="s">
        <v>5976</v>
      </c>
      <c r="BM488" s="192" t="s">
        <v>160</v>
      </c>
      <c r="BN488" s="55">
        <v>4</v>
      </c>
      <c r="BO488" s="55">
        <v>4</v>
      </c>
      <c r="BQ488" s="55" t="s">
        <v>315</v>
      </c>
      <c r="BS488" s="55">
        <f>(6.4+1.9)*1000</f>
        <v>8300</v>
      </c>
      <c r="BT488" s="55">
        <f>BS488/(110+27)</f>
        <v>60.583941605839414</v>
      </c>
      <c r="BU488" s="55" t="s">
        <v>386</v>
      </c>
      <c r="DB488" s="65">
        <v>3.157</v>
      </c>
      <c r="DC488" s="65">
        <v>4.87</v>
      </c>
      <c r="DF488" s="65" t="s">
        <v>385</v>
      </c>
      <c r="GP488" s="292" t="s">
        <v>7494</v>
      </c>
      <c r="HS488" s="227"/>
      <c r="HW488" s="227"/>
      <c r="JU488" s="55" t="s">
        <v>388</v>
      </c>
      <c r="JV488" s="55" t="s">
        <v>687</v>
      </c>
    </row>
    <row r="489" spans="1:282" x14ac:dyDescent="0.25">
      <c r="A489" s="55">
        <v>488</v>
      </c>
      <c r="B489" s="12" t="s">
        <v>7067</v>
      </c>
      <c r="C489" s="155">
        <v>26</v>
      </c>
      <c r="D489" s="55" t="s">
        <v>3779</v>
      </c>
      <c r="E489" s="90" t="s">
        <v>370</v>
      </c>
      <c r="G489" s="55" t="s">
        <v>371</v>
      </c>
      <c r="H489" s="55">
        <v>2015</v>
      </c>
      <c r="I489" s="55">
        <v>2012</v>
      </c>
      <c r="J489" s="55" t="s">
        <v>276</v>
      </c>
      <c r="K489" s="55" t="s">
        <v>373</v>
      </c>
      <c r="L489" s="55" t="s">
        <v>2737</v>
      </c>
      <c r="M489" s="90">
        <f>35.22</f>
        <v>35.22</v>
      </c>
      <c r="N489" s="90">
        <f>-77.65</f>
        <v>-77.650000000000006</v>
      </c>
      <c r="O489" s="90">
        <v>22.4</v>
      </c>
      <c r="U489" s="55">
        <v>1</v>
      </c>
      <c r="V489" s="55">
        <v>1</v>
      </c>
      <c r="Y489" s="55" t="s">
        <v>379</v>
      </c>
      <c r="Z489" s="55" t="s">
        <v>1349</v>
      </c>
      <c r="AA489" s="90" t="s">
        <v>1677</v>
      </c>
      <c r="AH489" s="55" t="s">
        <v>139</v>
      </c>
      <c r="AM489" s="55" t="s">
        <v>1291</v>
      </c>
      <c r="AN489" s="185" t="s">
        <v>241</v>
      </c>
      <c r="AO489" s="185" t="s">
        <v>5150</v>
      </c>
      <c r="AQ489" s="55" t="s">
        <v>553</v>
      </c>
      <c r="AR489" s="55" t="s">
        <v>132</v>
      </c>
      <c r="AS489" s="55" t="s">
        <v>132</v>
      </c>
      <c r="AU489" s="181" t="s">
        <v>7494</v>
      </c>
      <c r="AV489" s="185" t="s">
        <v>176</v>
      </c>
      <c r="AX489" s="185" t="s">
        <v>176</v>
      </c>
      <c r="AZ489" s="55" t="s">
        <v>374</v>
      </c>
      <c r="BA489" s="55" t="s">
        <v>374</v>
      </c>
      <c r="BB489" s="55" t="s">
        <v>2081</v>
      </c>
      <c r="BC489" s="55" t="s">
        <v>2081</v>
      </c>
      <c r="BD489" s="55" t="s">
        <v>176</v>
      </c>
      <c r="BE489" s="226">
        <v>0</v>
      </c>
      <c r="BF489" s="55" t="s">
        <v>176</v>
      </c>
      <c r="BG489" s="55" t="s">
        <v>176</v>
      </c>
      <c r="BH489" s="226">
        <v>0</v>
      </c>
      <c r="BI489" s="55" t="s">
        <v>176</v>
      </c>
      <c r="BJ489" s="55" t="s">
        <v>176</v>
      </c>
      <c r="BK489" s="55" t="s">
        <v>5976</v>
      </c>
      <c r="BM489" s="192" t="s">
        <v>160</v>
      </c>
      <c r="BN489" s="55">
        <v>4</v>
      </c>
      <c r="BO489" s="55">
        <v>4</v>
      </c>
      <c r="BQ489" s="55" t="s">
        <v>315</v>
      </c>
      <c r="BS489" s="55">
        <f>(6.5+1.8)*1000</f>
        <v>8300</v>
      </c>
      <c r="BT489" s="55">
        <f>BS489/(175+47)</f>
        <v>37.387387387387385</v>
      </c>
      <c r="BU489" s="55" t="s">
        <v>386</v>
      </c>
      <c r="DB489" s="65">
        <v>3.157</v>
      </c>
      <c r="DC489" s="65">
        <v>3.17</v>
      </c>
      <c r="DF489" s="65" t="s">
        <v>385</v>
      </c>
      <c r="GP489" s="292" t="s">
        <v>7494</v>
      </c>
      <c r="HS489" s="227"/>
      <c r="HW489" s="227"/>
      <c r="JU489" s="55" t="s">
        <v>388</v>
      </c>
      <c r="JV489" s="55" t="s">
        <v>687</v>
      </c>
    </row>
    <row r="490" spans="1:282" x14ac:dyDescent="0.25">
      <c r="A490" s="55">
        <v>489</v>
      </c>
      <c r="B490" s="12" t="s">
        <v>7067</v>
      </c>
      <c r="C490" s="155">
        <v>26</v>
      </c>
      <c r="D490" s="55" t="s">
        <v>3779</v>
      </c>
      <c r="E490" s="90" t="s">
        <v>370</v>
      </c>
      <c r="G490" s="55" t="s">
        <v>371</v>
      </c>
      <c r="H490" s="55">
        <v>2015</v>
      </c>
      <c r="I490" s="55">
        <v>2012</v>
      </c>
      <c r="J490" s="55" t="s">
        <v>276</v>
      </c>
      <c r="K490" s="55" t="s">
        <v>373</v>
      </c>
      <c r="L490" s="55" t="s">
        <v>2737</v>
      </c>
      <c r="M490" s="90">
        <f>35.22</f>
        <v>35.22</v>
      </c>
      <c r="N490" s="90">
        <f>-77.65</f>
        <v>-77.650000000000006</v>
      </c>
      <c r="O490" s="90">
        <v>22.4</v>
      </c>
      <c r="U490" s="55">
        <v>1</v>
      </c>
      <c r="V490" s="55">
        <v>1</v>
      </c>
      <c r="Y490" s="55" t="s">
        <v>380</v>
      </c>
      <c r="Z490" s="55" t="s">
        <v>1349</v>
      </c>
      <c r="AA490" s="90" t="s">
        <v>1677</v>
      </c>
      <c r="AH490" s="55" t="s">
        <v>139</v>
      </c>
      <c r="AM490" s="55" t="s">
        <v>1291</v>
      </c>
      <c r="AN490" s="185" t="s">
        <v>375</v>
      </c>
      <c r="AO490" s="185" t="s">
        <v>5150</v>
      </c>
      <c r="AQ490" s="55" t="s">
        <v>553</v>
      </c>
      <c r="AR490" s="55" t="s">
        <v>132</v>
      </c>
      <c r="AS490" s="55" t="s">
        <v>132</v>
      </c>
      <c r="AU490" s="181" t="s">
        <v>7494</v>
      </c>
      <c r="AV490" s="185" t="s">
        <v>176</v>
      </c>
      <c r="AX490" s="185" t="s">
        <v>176</v>
      </c>
      <c r="AZ490" s="55" t="s">
        <v>374</v>
      </c>
      <c r="BA490" s="55" t="s">
        <v>374</v>
      </c>
      <c r="BB490" s="55" t="s">
        <v>2081</v>
      </c>
      <c r="BC490" s="55" t="s">
        <v>2081</v>
      </c>
      <c r="BD490" s="55" t="s">
        <v>176</v>
      </c>
      <c r="BE490" s="226">
        <v>0</v>
      </c>
      <c r="BF490" s="55" t="s">
        <v>176</v>
      </c>
      <c r="BG490" s="55" t="s">
        <v>176</v>
      </c>
      <c r="BH490" s="226">
        <v>0</v>
      </c>
      <c r="BI490" s="55" t="s">
        <v>176</v>
      </c>
      <c r="BJ490" s="55" t="s">
        <v>176</v>
      </c>
      <c r="BK490" s="55" t="s">
        <v>5976</v>
      </c>
      <c r="BM490" s="192" t="s">
        <v>160</v>
      </c>
      <c r="BN490" s="55">
        <v>4</v>
      </c>
      <c r="BO490" s="55">
        <v>4</v>
      </c>
      <c r="BQ490" s="55" t="s">
        <v>315</v>
      </c>
      <c r="BS490" s="55">
        <f>(6.1+1.6)*1000</f>
        <v>7699.9999999999991</v>
      </c>
      <c r="BT490" s="55">
        <f>BS490/(170+36)</f>
        <v>37.378640776699022</v>
      </c>
      <c r="BU490" s="55" t="s">
        <v>386</v>
      </c>
      <c r="DB490" s="65">
        <v>4.9400000000000004</v>
      </c>
      <c r="DC490" s="65">
        <v>3.5649999999999999</v>
      </c>
      <c r="DF490" s="65" t="s">
        <v>385</v>
      </c>
      <c r="GP490" s="292" t="s">
        <v>7494</v>
      </c>
      <c r="HS490" s="227"/>
      <c r="HW490" s="227"/>
      <c r="JU490" s="55" t="s">
        <v>388</v>
      </c>
      <c r="JV490" s="55" t="s">
        <v>687</v>
      </c>
    </row>
    <row r="491" spans="1:282" x14ac:dyDescent="0.25">
      <c r="A491" s="55">
        <v>490</v>
      </c>
      <c r="B491" s="12" t="s">
        <v>7067</v>
      </c>
      <c r="C491" s="155">
        <v>26</v>
      </c>
      <c r="D491" s="55" t="s">
        <v>3779</v>
      </c>
      <c r="E491" s="90" t="s">
        <v>370</v>
      </c>
      <c r="G491" s="55" t="s">
        <v>371</v>
      </c>
      <c r="H491" s="55">
        <v>2015</v>
      </c>
      <c r="I491" s="55">
        <v>2012</v>
      </c>
      <c r="J491" s="55" t="s">
        <v>276</v>
      </c>
      <c r="K491" s="55" t="s">
        <v>373</v>
      </c>
      <c r="L491" s="55" t="s">
        <v>2737</v>
      </c>
      <c r="M491" s="90">
        <f>35.22</f>
        <v>35.22</v>
      </c>
      <c r="N491" s="90">
        <f>-77.65</f>
        <v>-77.650000000000006</v>
      </c>
      <c r="O491" s="90">
        <v>22.4</v>
      </c>
      <c r="U491" s="55">
        <v>1</v>
      </c>
      <c r="V491" s="55">
        <v>1</v>
      </c>
      <c r="Y491" s="55" t="s">
        <v>380</v>
      </c>
      <c r="Z491" s="55" t="s">
        <v>1349</v>
      </c>
      <c r="AA491" s="90" t="s">
        <v>1677</v>
      </c>
      <c r="AH491" s="55" t="s">
        <v>139</v>
      </c>
      <c r="AM491" s="55" t="s">
        <v>1291</v>
      </c>
      <c r="AN491" s="185" t="s">
        <v>376</v>
      </c>
      <c r="AO491" s="185" t="s">
        <v>5150</v>
      </c>
      <c r="AQ491" s="55" t="s">
        <v>553</v>
      </c>
      <c r="AR491" s="55" t="s">
        <v>132</v>
      </c>
      <c r="AS491" s="55" t="s">
        <v>132</v>
      </c>
      <c r="AU491" s="181" t="s">
        <v>7494</v>
      </c>
      <c r="AV491" s="185" t="s">
        <v>176</v>
      </c>
      <c r="AX491" s="185" t="s">
        <v>176</v>
      </c>
      <c r="AZ491" s="55" t="s">
        <v>374</v>
      </c>
      <c r="BA491" s="55" t="s">
        <v>374</v>
      </c>
      <c r="BB491" s="55" t="s">
        <v>2081</v>
      </c>
      <c r="BC491" s="55" t="s">
        <v>2081</v>
      </c>
      <c r="BD491" s="55" t="s">
        <v>176</v>
      </c>
      <c r="BE491" s="226">
        <v>0</v>
      </c>
      <c r="BF491" s="55" t="s">
        <v>176</v>
      </c>
      <c r="BG491" s="55" t="s">
        <v>176</v>
      </c>
      <c r="BH491" s="226">
        <v>0</v>
      </c>
      <c r="BI491" s="55" t="s">
        <v>176</v>
      </c>
      <c r="BJ491" s="55" t="s">
        <v>176</v>
      </c>
      <c r="BK491" s="55" t="s">
        <v>5976</v>
      </c>
      <c r="BM491" s="192" t="s">
        <v>160</v>
      </c>
      <c r="BN491" s="55">
        <v>4</v>
      </c>
      <c r="BO491" s="55">
        <v>4</v>
      </c>
      <c r="BQ491" s="55" t="s">
        <v>315</v>
      </c>
      <c r="BS491" s="55">
        <f>(6.4+1.9)*1000</f>
        <v>8300</v>
      </c>
      <c r="BT491" s="55">
        <f>BS491/(110+27)</f>
        <v>60.583941605839414</v>
      </c>
      <c r="BU491" s="55" t="s">
        <v>386</v>
      </c>
      <c r="DB491" s="65">
        <v>4.9400000000000004</v>
      </c>
      <c r="DC491" s="65">
        <v>3.5649999999999999</v>
      </c>
      <c r="DF491" s="65" t="s">
        <v>385</v>
      </c>
      <c r="GP491" s="292" t="s">
        <v>7494</v>
      </c>
      <c r="HS491" s="227"/>
      <c r="HW491" s="227"/>
      <c r="JU491" s="55" t="s">
        <v>388</v>
      </c>
      <c r="JV491" s="55" t="s">
        <v>687</v>
      </c>
    </row>
    <row r="492" spans="1:282" x14ac:dyDescent="0.25">
      <c r="A492" s="55">
        <v>491</v>
      </c>
      <c r="B492" s="12" t="s">
        <v>7067</v>
      </c>
      <c r="C492" s="155">
        <v>26</v>
      </c>
      <c r="D492" s="55" t="s">
        <v>3779</v>
      </c>
      <c r="E492" s="90" t="s">
        <v>370</v>
      </c>
      <c r="G492" s="55" t="s">
        <v>371</v>
      </c>
      <c r="H492" s="55">
        <v>2015</v>
      </c>
      <c r="I492" s="55">
        <v>2012</v>
      </c>
      <c r="J492" s="55" t="s">
        <v>276</v>
      </c>
      <c r="K492" s="55" t="s">
        <v>373</v>
      </c>
      <c r="L492" s="55" t="s">
        <v>2737</v>
      </c>
      <c r="M492" s="90">
        <f>35.22</f>
        <v>35.22</v>
      </c>
      <c r="N492" s="90">
        <f>-77.65</f>
        <v>-77.650000000000006</v>
      </c>
      <c r="O492" s="90">
        <v>22.4</v>
      </c>
      <c r="U492" s="55">
        <v>1</v>
      </c>
      <c r="V492" s="55">
        <v>1</v>
      </c>
      <c r="Y492" s="55" t="s">
        <v>380</v>
      </c>
      <c r="Z492" s="55" t="s">
        <v>1349</v>
      </c>
      <c r="AA492" s="90" t="s">
        <v>1677</v>
      </c>
      <c r="AH492" s="55" t="s">
        <v>139</v>
      </c>
      <c r="AM492" s="55" t="s">
        <v>1291</v>
      </c>
      <c r="AN492" s="185" t="s">
        <v>241</v>
      </c>
      <c r="AO492" s="185" t="s">
        <v>5150</v>
      </c>
      <c r="AQ492" s="55" t="s">
        <v>553</v>
      </c>
      <c r="AR492" s="55" t="s">
        <v>132</v>
      </c>
      <c r="AS492" s="55" t="s">
        <v>132</v>
      </c>
      <c r="AU492" s="181" t="s">
        <v>7494</v>
      </c>
      <c r="AV492" s="185" t="s">
        <v>176</v>
      </c>
      <c r="AX492" s="185" t="s">
        <v>176</v>
      </c>
      <c r="AZ492" s="55" t="s">
        <v>374</v>
      </c>
      <c r="BA492" s="55" t="s">
        <v>374</v>
      </c>
      <c r="BB492" s="55" t="s">
        <v>2081</v>
      </c>
      <c r="BC492" s="55" t="s">
        <v>2081</v>
      </c>
      <c r="BD492" s="55" t="s">
        <v>176</v>
      </c>
      <c r="BE492" s="226">
        <v>0</v>
      </c>
      <c r="BF492" s="55" t="s">
        <v>176</v>
      </c>
      <c r="BG492" s="55" t="s">
        <v>176</v>
      </c>
      <c r="BH492" s="226">
        <v>0</v>
      </c>
      <c r="BI492" s="55" t="s">
        <v>176</v>
      </c>
      <c r="BJ492" s="55" t="s">
        <v>176</v>
      </c>
      <c r="BK492" s="55" t="s">
        <v>5976</v>
      </c>
      <c r="BM492" s="192" t="s">
        <v>160</v>
      </c>
      <c r="BN492" s="55">
        <v>4</v>
      </c>
      <c r="BO492" s="55">
        <v>4</v>
      </c>
      <c r="BQ492" s="55" t="s">
        <v>315</v>
      </c>
      <c r="BS492" s="55">
        <f>(6.5+1.8)*1000</f>
        <v>8300</v>
      </c>
      <c r="BT492" s="55">
        <f>BS492/(175+47)</f>
        <v>37.387387387387385</v>
      </c>
      <c r="BU492" s="55" t="s">
        <v>386</v>
      </c>
      <c r="DB492" s="65">
        <v>4.9400000000000004</v>
      </c>
      <c r="DC492" s="65">
        <v>3.5649999999999999</v>
      </c>
      <c r="DF492" s="65" t="s">
        <v>385</v>
      </c>
      <c r="GP492" s="292" t="s">
        <v>7494</v>
      </c>
      <c r="HS492" s="227"/>
      <c r="HW492" s="227"/>
      <c r="JU492" s="55" t="s">
        <v>388</v>
      </c>
      <c r="JV492" s="55" t="s">
        <v>687</v>
      </c>
    </row>
    <row r="493" spans="1:282" x14ac:dyDescent="0.25">
      <c r="A493" s="55">
        <v>492</v>
      </c>
      <c r="B493" s="12" t="s">
        <v>7067</v>
      </c>
      <c r="C493" s="155">
        <v>26</v>
      </c>
      <c r="D493" s="55" t="s">
        <v>3779</v>
      </c>
      <c r="E493" s="90" t="s">
        <v>370</v>
      </c>
      <c r="G493" s="55" t="s">
        <v>371</v>
      </c>
      <c r="H493" s="55">
        <v>2015</v>
      </c>
      <c r="I493" s="55">
        <v>2012</v>
      </c>
      <c r="J493" s="55" t="s">
        <v>276</v>
      </c>
      <c r="K493" s="55" t="s">
        <v>373</v>
      </c>
      <c r="L493" s="55" t="s">
        <v>2737</v>
      </c>
      <c r="M493" s="90">
        <f>35.22</f>
        <v>35.22</v>
      </c>
      <c r="N493" s="90">
        <f>-77.65</f>
        <v>-77.650000000000006</v>
      </c>
      <c r="O493" s="90">
        <v>22.4</v>
      </c>
      <c r="U493" s="55">
        <v>1</v>
      </c>
      <c r="V493" s="55">
        <v>1</v>
      </c>
      <c r="Y493" s="55" t="s">
        <v>381</v>
      </c>
      <c r="Z493" s="55" t="s">
        <v>1349</v>
      </c>
      <c r="AA493" s="90" t="s">
        <v>1677</v>
      </c>
      <c r="AH493" s="55" t="s">
        <v>139</v>
      </c>
      <c r="AM493" s="55" t="s">
        <v>1291</v>
      </c>
      <c r="AN493" s="185" t="s">
        <v>375</v>
      </c>
      <c r="AO493" s="185" t="s">
        <v>5150</v>
      </c>
      <c r="AQ493" s="55" t="s">
        <v>553</v>
      </c>
      <c r="AR493" s="55" t="s">
        <v>132</v>
      </c>
      <c r="AS493" s="55" t="s">
        <v>132</v>
      </c>
      <c r="AU493" s="181" t="s">
        <v>7494</v>
      </c>
      <c r="AV493" s="185" t="s">
        <v>176</v>
      </c>
      <c r="AX493" s="185" t="s">
        <v>176</v>
      </c>
      <c r="AZ493" s="55" t="s">
        <v>374</v>
      </c>
      <c r="BA493" s="55" t="s">
        <v>374</v>
      </c>
      <c r="BB493" s="55" t="s">
        <v>2081</v>
      </c>
      <c r="BC493" s="55" t="s">
        <v>2081</v>
      </c>
      <c r="BD493" s="55" t="s">
        <v>176</v>
      </c>
      <c r="BE493" s="226">
        <v>0</v>
      </c>
      <c r="BF493" s="55" t="s">
        <v>176</v>
      </c>
      <c r="BG493" s="55" t="s">
        <v>176</v>
      </c>
      <c r="BH493" s="226">
        <v>0</v>
      </c>
      <c r="BI493" s="55" t="s">
        <v>176</v>
      </c>
      <c r="BJ493" s="55" t="s">
        <v>176</v>
      </c>
      <c r="BK493" s="55" t="s">
        <v>5976</v>
      </c>
      <c r="BM493" s="192" t="s">
        <v>160</v>
      </c>
      <c r="BN493" s="55">
        <v>4</v>
      </c>
      <c r="BO493" s="55">
        <v>4</v>
      </c>
      <c r="BQ493" s="55" t="s">
        <v>315</v>
      </c>
      <c r="BS493" s="55">
        <f>(6.1+1.6)*1000</f>
        <v>7699.9999999999991</v>
      </c>
      <c r="BT493" s="55">
        <f>BS493/(170+36)</f>
        <v>37.378640776699022</v>
      </c>
      <c r="BU493" s="55" t="s">
        <v>386</v>
      </c>
      <c r="DB493" s="65">
        <v>5.42</v>
      </c>
      <c r="DC493" s="65">
        <v>5.4</v>
      </c>
      <c r="DF493" s="65" t="s">
        <v>385</v>
      </c>
      <c r="GP493" s="292" t="s">
        <v>7494</v>
      </c>
      <c r="HS493" s="227"/>
      <c r="HW493" s="227"/>
      <c r="JU493" s="55" t="s">
        <v>388</v>
      </c>
      <c r="JV493" s="55" t="s">
        <v>687</v>
      </c>
    </row>
    <row r="494" spans="1:282" x14ac:dyDescent="0.25">
      <c r="A494" s="55">
        <v>493</v>
      </c>
      <c r="B494" s="12" t="s">
        <v>7067</v>
      </c>
      <c r="C494" s="155">
        <v>26</v>
      </c>
      <c r="D494" s="55" t="s">
        <v>3779</v>
      </c>
      <c r="E494" s="90" t="s">
        <v>370</v>
      </c>
      <c r="G494" s="55" t="s">
        <v>371</v>
      </c>
      <c r="H494" s="55">
        <v>2015</v>
      </c>
      <c r="I494" s="55">
        <v>2012</v>
      </c>
      <c r="J494" s="55" t="s">
        <v>276</v>
      </c>
      <c r="K494" s="55" t="s">
        <v>373</v>
      </c>
      <c r="L494" s="55" t="s">
        <v>2737</v>
      </c>
      <c r="M494" s="90">
        <f>35.22</f>
        <v>35.22</v>
      </c>
      <c r="N494" s="90">
        <f>-77.65</f>
        <v>-77.650000000000006</v>
      </c>
      <c r="O494" s="90">
        <v>22.4</v>
      </c>
      <c r="U494" s="55">
        <v>1</v>
      </c>
      <c r="V494" s="55">
        <v>1</v>
      </c>
      <c r="Y494" s="55" t="s">
        <v>381</v>
      </c>
      <c r="Z494" s="55" t="s">
        <v>1349</v>
      </c>
      <c r="AA494" s="90" t="s">
        <v>1677</v>
      </c>
      <c r="AH494" s="55" t="s">
        <v>139</v>
      </c>
      <c r="AM494" s="55" t="s">
        <v>1291</v>
      </c>
      <c r="AN494" s="185" t="s">
        <v>376</v>
      </c>
      <c r="AO494" s="185" t="s">
        <v>5150</v>
      </c>
      <c r="AQ494" s="55" t="s">
        <v>553</v>
      </c>
      <c r="AR494" s="55" t="s">
        <v>132</v>
      </c>
      <c r="AS494" s="55" t="s">
        <v>132</v>
      </c>
      <c r="AU494" s="181" t="s">
        <v>7494</v>
      </c>
      <c r="AV494" s="185" t="s">
        <v>176</v>
      </c>
      <c r="AX494" s="185" t="s">
        <v>176</v>
      </c>
      <c r="AZ494" s="55" t="s">
        <v>374</v>
      </c>
      <c r="BA494" s="55" t="s">
        <v>374</v>
      </c>
      <c r="BB494" s="55" t="s">
        <v>2081</v>
      </c>
      <c r="BC494" s="55" t="s">
        <v>2081</v>
      </c>
      <c r="BD494" s="55" t="s">
        <v>176</v>
      </c>
      <c r="BE494" s="226">
        <v>0</v>
      </c>
      <c r="BF494" s="55" t="s">
        <v>176</v>
      </c>
      <c r="BG494" s="55" t="s">
        <v>176</v>
      </c>
      <c r="BH494" s="226">
        <v>0</v>
      </c>
      <c r="BI494" s="55" t="s">
        <v>176</v>
      </c>
      <c r="BJ494" s="55" t="s">
        <v>176</v>
      </c>
      <c r="BK494" s="55" t="s">
        <v>5976</v>
      </c>
      <c r="BM494" s="192" t="s">
        <v>160</v>
      </c>
      <c r="BN494" s="55">
        <v>4</v>
      </c>
      <c r="BO494" s="55">
        <v>4</v>
      </c>
      <c r="BQ494" s="55" t="s">
        <v>315</v>
      </c>
      <c r="BS494" s="55">
        <f>(6.4+1.9)*1000</f>
        <v>8300</v>
      </c>
      <c r="BT494" s="55">
        <f>BS494/(110+27)</f>
        <v>60.583941605839414</v>
      </c>
      <c r="BU494" s="55" t="s">
        <v>386</v>
      </c>
      <c r="DB494" s="65">
        <v>5.42</v>
      </c>
      <c r="DC494" s="65">
        <v>5.4</v>
      </c>
      <c r="DF494" s="65" t="s">
        <v>385</v>
      </c>
      <c r="GP494" s="292" t="s">
        <v>7494</v>
      </c>
      <c r="HS494" s="227"/>
      <c r="HW494" s="227"/>
      <c r="JU494" s="55" t="s">
        <v>388</v>
      </c>
      <c r="JV494" s="55" t="s">
        <v>687</v>
      </c>
    </row>
    <row r="495" spans="1:282" x14ac:dyDescent="0.25">
      <c r="A495" s="55">
        <v>494</v>
      </c>
      <c r="B495" s="12" t="s">
        <v>7067</v>
      </c>
      <c r="C495" s="155">
        <v>26</v>
      </c>
      <c r="D495" s="55" t="s">
        <v>3779</v>
      </c>
      <c r="E495" s="90" t="s">
        <v>370</v>
      </c>
      <c r="G495" s="55" t="s">
        <v>371</v>
      </c>
      <c r="H495" s="55">
        <v>2015</v>
      </c>
      <c r="I495" s="55">
        <v>2012</v>
      </c>
      <c r="J495" s="55" t="s">
        <v>276</v>
      </c>
      <c r="K495" s="55" t="s">
        <v>373</v>
      </c>
      <c r="L495" s="55" t="s">
        <v>2737</v>
      </c>
      <c r="M495" s="90">
        <f>35.22</f>
        <v>35.22</v>
      </c>
      <c r="N495" s="90">
        <f>-77.65</f>
        <v>-77.650000000000006</v>
      </c>
      <c r="O495" s="90">
        <v>22.4</v>
      </c>
      <c r="U495" s="55">
        <v>1</v>
      </c>
      <c r="V495" s="55">
        <v>1</v>
      </c>
      <c r="Y495" s="55" t="s">
        <v>381</v>
      </c>
      <c r="Z495" s="55" t="s">
        <v>1349</v>
      </c>
      <c r="AA495" s="90" t="s">
        <v>1677</v>
      </c>
      <c r="AH495" s="55" t="s">
        <v>139</v>
      </c>
      <c r="AM495" s="55" t="s">
        <v>1291</v>
      </c>
      <c r="AN495" s="185" t="s">
        <v>241</v>
      </c>
      <c r="AO495" s="185" t="s">
        <v>5150</v>
      </c>
      <c r="AQ495" s="55" t="s">
        <v>553</v>
      </c>
      <c r="AR495" s="55" t="s">
        <v>132</v>
      </c>
      <c r="AS495" s="55" t="s">
        <v>132</v>
      </c>
      <c r="AU495" s="181" t="s">
        <v>7494</v>
      </c>
      <c r="AV495" s="185" t="s">
        <v>176</v>
      </c>
      <c r="AX495" s="185" t="s">
        <v>176</v>
      </c>
      <c r="AZ495" s="55" t="s">
        <v>374</v>
      </c>
      <c r="BA495" s="55" t="s">
        <v>374</v>
      </c>
      <c r="BB495" s="55" t="s">
        <v>2081</v>
      </c>
      <c r="BC495" s="55" t="s">
        <v>2081</v>
      </c>
      <c r="BD495" s="55" t="s">
        <v>176</v>
      </c>
      <c r="BE495" s="226">
        <v>0</v>
      </c>
      <c r="BF495" s="55" t="s">
        <v>176</v>
      </c>
      <c r="BG495" s="55" t="s">
        <v>176</v>
      </c>
      <c r="BH495" s="226">
        <v>0</v>
      </c>
      <c r="BI495" s="55" t="s">
        <v>176</v>
      </c>
      <c r="BJ495" s="55" t="s">
        <v>176</v>
      </c>
      <c r="BK495" s="55" t="s">
        <v>5976</v>
      </c>
      <c r="BM495" s="192" t="s">
        <v>160</v>
      </c>
      <c r="BN495" s="55">
        <v>4</v>
      </c>
      <c r="BO495" s="55">
        <v>4</v>
      </c>
      <c r="BQ495" s="55" t="s">
        <v>315</v>
      </c>
      <c r="BS495" s="55">
        <f>(6.5+1.8)*1000</f>
        <v>8300</v>
      </c>
      <c r="BT495" s="55">
        <f>BS495/(175+47)</f>
        <v>37.387387387387385</v>
      </c>
      <c r="BU495" s="55" t="s">
        <v>386</v>
      </c>
      <c r="DB495" s="65">
        <v>5.42</v>
      </c>
      <c r="DC495" s="65">
        <v>5.4</v>
      </c>
      <c r="DF495" s="65" t="s">
        <v>385</v>
      </c>
      <c r="GP495" s="292" t="s">
        <v>7494</v>
      </c>
      <c r="HS495" s="227"/>
      <c r="HW495" s="227"/>
      <c r="JU495" s="55" t="s">
        <v>388</v>
      </c>
      <c r="JV495" s="55" t="s">
        <v>687</v>
      </c>
    </row>
    <row r="496" spans="1:282" x14ac:dyDescent="0.25">
      <c r="A496" s="55">
        <v>495</v>
      </c>
      <c r="B496" s="12" t="s">
        <v>7067</v>
      </c>
      <c r="C496" s="155">
        <v>26</v>
      </c>
      <c r="D496" s="55" t="s">
        <v>3779</v>
      </c>
      <c r="E496" s="90" t="s">
        <v>370</v>
      </c>
      <c r="G496" s="55" t="s">
        <v>371</v>
      </c>
      <c r="H496" s="55">
        <v>2015</v>
      </c>
      <c r="I496" s="55">
        <v>2012</v>
      </c>
      <c r="J496" s="55" t="s">
        <v>276</v>
      </c>
      <c r="K496" s="55" t="s">
        <v>373</v>
      </c>
      <c r="L496" s="55" t="s">
        <v>2737</v>
      </c>
      <c r="M496" s="90">
        <f>35.22</f>
        <v>35.22</v>
      </c>
      <c r="N496" s="90">
        <f>-77.65</f>
        <v>-77.650000000000006</v>
      </c>
      <c r="O496" s="90">
        <v>22.4</v>
      </c>
      <c r="U496" s="55">
        <v>1</v>
      </c>
      <c r="V496" s="55">
        <v>1</v>
      </c>
      <c r="Y496" s="55" t="s">
        <v>382</v>
      </c>
      <c r="Z496" s="55" t="s">
        <v>1349</v>
      </c>
      <c r="AA496" s="90" t="s">
        <v>1677</v>
      </c>
      <c r="AH496" s="55" t="s">
        <v>139</v>
      </c>
      <c r="AM496" s="55" t="s">
        <v>1291</v>
      </c>
      <c r="AN496" s="185" t="s">
        <v>375</v>
      </c>
      <c r="AO496" s="185" t="s">
        <v>5150</v>
      </c>
      <c r="AQ496" s="55" t="s">
        <v>553</v>
      </c>
      <c r="AR496" s="55" t="s">
        <v>132</v>
      </c>
      <c r="AS496" s="55" t="s">
        <v>132</v>
      </c>
      <c r="AU496" s="181" t="s">
        <v>7494</v>
      </c>
      <c r="AV496" s="185" t="s">
        <v>176</v>
      </c>
      <c r="AX496" s="185" t="s">
        <v>176</v>
      </c>
      <c r="AZ496" s="55" t="s">
        <v>374</v>
      </c>
      <c r="BA496" s="55" t="s">
        <v>374</v>
      </c>
      <c r="BB496" s="55" t="s">
        <v>2081</v>
      </c>
      <c r="BC496" s="55" t="s">
        <v>2081</v>
      </c>
      <c r="BD496" s="55" t="s">
        <v>176</v>
      </c>
      <c r="BE496" s="226">
        <v>0</v>
      </c>
      <c r="BF496" s="55" t="s">
        <v>176</v>
      </c>
      <c r="BG496" s="55" t="s">
        <v>176</v>
      </c>
      <c r="BH496" s="226">
        <v>0</v>
      </c>
      <c r="BI496" s="55" t="s">
        <v>176</v>
      </c>
      <c r="BJ496" s="55" t="s">
        <v>176</v>
      </c>
      <c r="BK496" s="55" t="s">
        <v>5976</v>
      </c>
      <c r="BM496" s="192" t="s">
        <v>160</v>
      </c>
      <c r="BN496" s="55">
        <v>4</v>
      </c>
      <c r="BO496" s="55">
        <v>4</v>
      </c>
      <c r="BQ496" s="55" t="s">
        <v>315</v>
      </c>
      <c r="BS496" s="55">
        <f>(6.1+1.6)*1000</f>
        <v>7699.9999999999991</v>
      </c>
      <c r="BT496" s="55">
        <f>BS496/(170+36)</f>
        <v>37.378640776699022</v>
      </c>
      <c r="BU496" s="55" t="s">
        <v>386</v>
      </c>
      <c r="DB496" s="65">
        <v>1.9770000000000001</v>
      </c>
      <c r="DC496" s="65">
        <v>3.69</v>
      </c>
      <c r="DF496" s="65" t="s">
        <v>385</v>
      </c>
      <c r="GP496" s="292" t="s">
        <v>7494</v>
      </c>
      <c r="HS496" s="227"/>
      <c r="HW496" s="227"/>
      <c r="JU496" s="55" t="s">
        <v>388</v>
      </c>
      <c r="JV496" s="55" t="s">
        <v>687</v>
      </c>
    </row>
    <row r="497" spans="1:282" x14ac:dyDescent="0.25">
      <c r="A497" s="55">
        <v>496</v>
      </c>
      <c r="B497" s="12" t="s">
        <v>7067</v>
      </c>
      <c r="C497" s="155">
        <v>26</v>
      </c>
      <c r="D497" s="55" t="s">
        <v>3779</v>
      </c>
      <c r="E497" s="90" t="s">
        <v>370</v>
      </c>
      <c r="G497" s="55" t="s">
        <v>371</v>
      </c>
      <c r="H497" s="55">
        <v>2015</v>
      </c>
      <c r="I497" s="55">
        <v>2012</v>
      </c>
      <c r="J497" s="55" t="s">
        <v>276</v>
      </c>
      <c r="K497" s="55" t="s">
        <v>373</v>
      </c>
      <c r="L497" s="55" t="s">
        <v>2737</v>
      </c>
      <c r="M497" s="90">
        <f>35.22</f>
        <v>35.22</v>
      </c>
      <c r="N497" s="90">
        <f>-77.65</f>
        <v>-77.650000000000006</v>
      </c>
      <c r="O497" s="90">
        <v>22.4</v>
      </c>
      <c r="U497" s="55">
        <v>1</v>
      </c>
      <c r="V497" s="55">
        <v>1</v>
      </c>
      <c r="Y497" s="55" t="s">
        <v>382</v>
      </c>
      <c r="Z497" s="55" t="s">
        <v>1349</v>
      </c>
      <c r="AA497" s="90" t="s">
        <v>1677</v>
      </c>
      <c r="AH497" s="55" t="s">
        <v>139</v>
      </c>
      <c r="AM497" s="55" t="s">
        <v>1291</v>
      </c>
      <c r="AN497" s="185" t="s">
        <v>376</v>
      </c>
      <c r="AO497" s="185" t="s">
        <v>5150</v>
      </c>
      <c r="AQ497" s="55" t="s">
        <v>553</v>
      </c>
      <c r="AR497" s="55" t="s">
        <v>132</v>
      </c>
      <c r="AS497" s="55" t="s">
        <v>132</v>
      </c>
      <c r="AU497" s="181" t="s">
        <v>7494</v>
      </c>
      <c r="AV497" s="185" t="s">
        <v>176</v>
      </c>
      <c r="AX497" s="185" t="s">
        <v>176</v>
      </c>
      <c r="AZ497" s="55" t="s">
        <v>374</v>
      </c>
      <c r="BA497" s="55" t="s">
        <v>374</v>
      </c>
      <c r="BB497" s="55" t="s">
        <v>2081</v>
      </c>
      <c r="BC497" s="55" t="s">
        <v>2081</v>
      </c>
      <c r="BD497" s="55" t="s">
        <v>176</v>
      </c>
      <c r="BE497" s="226">
        <v>0</v>
      </c>
      <c r="BF497" s="55" t="s">
        <v>176</v>
      </c>
      <c r="BG497" s="55" t="s">
        <v>176</v>
      </c>
      <c r="BH497" s="226">
        <v>0</v>
      </c>
      <c r="BI497" s="55" t="s">
        <v>176</v>
      </c>
      <c r="BJ497" s="55" t="s">
        <v>176</v>
      </c>
      <c r="BK497" s="55" t="s">
        <v>5976</v>
      </c>
      <c r="BM497" s="192" t="s">
        <v>160</v>
      </c>
      <c r="BN497" s="55">
        <v>4</v>
      </c>
      <c r="BO497" s="55">
        <v>4</v>
      </c>
      <c r="BQ497" s="55" t="s">
        <v>315</v>
      </c>
      <c r="BS497" s="55">
        <f>(6.4+1.9)*1000</f>
        <v>8300</v>
      </c>
      <c r="BT497" s="55">
        <f>BS497/(110+27)</f>
        <v>60.583941605839414</v>
      </c>
      <c r="BU497" s="55" t="s">
        <v>386</v>
      </c>
      <c r="DB497" s="65">
        <v>1.9770000000000001</v>
      </c>
      <c r="DC497" s="65">
        <v>3.69</v>
      </c>
      <c r="DF497" s="65" t="s">
        <v>385</v>
      </c>
      <c r="GP497" s="292" t="s">
        <v>7494</v>
      </c>
      <c r="HS497" s="227"/>
      <c r="HW497" s="227"/>
      <c r="JU497" s="55" t="s">
        <v>388</v>
      </c>
      <c r="JV497" s="55" t="s">
        <v>687</v>
      </c>
    </row>
    <row r="498" spans="1:282" x14ac:dyDescent="0.25">
      <c r="A498" s="55">
        <v>497</v>
      </c>
      <c r="B498" s="12" t="s">
        <v>7067</v>
      </c>
      <c r="C498" s="155">
        <v>26</v>
      </c>
      <c r="D498" s="55" t="s">
        <v>3779</v>
      </c>
      <c r="E498" s="90" t="s">
        <v>370</v>
      </c>
      <c r="G498" s="55" t="s">
        <v>371</v>
      </c>
      <c r="H498" s="55">
        <v>2015</v>
      </c>
      <c r="I498" s="55">
        <v>2012</v>
      </c>
      <c r="J498" s="55" t="s">
        <v>276</v>
      </c>
      <c r="K498" s="55" t="s">
        <v>373</v>
      </c>
      <c r="L498" s="55" t="s">
        <v>2737</v>
      </c>
      <c r="M498" s="90">
        <f>35.22</f>
        <v>35.22</v>
      </c>
      <c r="N498" s="90">
        <f>-77.65</f>
        <v>-77.650000000000006</v>
      </c>
      <c r="O498" s="90">
        <v>22.4</v>
      </c>
      <c r="U498" s="55">
        <v>1</v>
      </c>
      <c r="V498" s="55">
        <v>1</v>
      </c>
      <c r="Y498" s="55" t="s">
        <v>382</v>
      </c>
      <c r="Z498" s="55" t="s">
        <v>1349</v>
      </c>
      <c r="AA498" s="90" t="s">
        <v>1677</v>
      </c>
      <c r="AH498" s="55" t="s">
        <v>139</v>
      </c>
      <c r="AM498" s="55" t="s">
        <v>1291</v>
      </c>
      <c r="AN498" s="185" t="s">
        <v>241</v>
      </c>
      <c r="AO498" s="185" t="s">
        <v>5150</v>
      </c>
      <c r="AQ498" s="55" t="s">
        <v>553</v>
      </c>
      <c r="AR498" s="55" t="s">
        <v>132</v>
      </c>
      <c r="AS498" s="55" t="s">
        <v>132</v>
      </c>
      <c r="AU498" s="181" t="s">
        <v>7494</v>
      </c>
      <c r="AV498" s="185" t="s">
        <v>176</v>
      </c>
      <c r="AX498" s="185" t="s">
        <v>176</v>
      </c>
      <c r="AZ498" s="55" t="s">
        <v>374</v>
      </c>
      <c r="BA498" s="55" t="s">
        <v>374</v>
      </c>
      <c r="BB498" s="55" t="s">
        <v>2081</v>
      </c>
      <c r="BC498" s="55" t="s">
        <v>2081</v>
      </c>
      <c r="BD498" s="55" t="s">
        <v>176</v>
      </c>
      <c r="BE498" s="226">
        <v>0</v>
      </c>
      <c r="BF498" s="55" t="s">
        <v>176</v>
      </c>
      <c r="BG498" s="55" t="s">
        <v>176</v>
      </c>
      <c r="BH498" s="226">
        <v>0</v>
      </c>
      <c r="BI498" s="55" t="s">
        <v>176</v>
      </c>
      <c r="BJ498" s="55" t="s">
        <v>176</v>
      </c>
      <c r="BK498" s="55" t="s">
        <v>5976</v>
      </c>
      <c r="BM498" s="192" t="s">
        <v>160</v>
      </c>
      <c r="BN498" s="55">
        <v>4</v>
      </c>
      <c r="BO498" s="55">
        <v>4</v>
      </c>
      <c r="BQ498" s="55" t="s">
        <v>315</v>
      </c>
      <c r="BS498" s="55">
        <f>(6.5+1.8)*1000</f>
        <v>8300</v>
      </c>
      <c r="BT498" s="55">
        <f>BS498/(175+47)</f>
        <v>37.387387387387385</v>
      </c>
      <c r="BU498" s="55" t="s">
        <v>386</v>
      </c>
      <c r="DB498" s="65">
        <v>1.9770000000000001</v>
      </c>
      <c r="DC498" s="65">
        <v>3.69</v>
      </c>
      <c r="DF498" s="65" t="s">
        <v>385</v>
      </c>
      <c r="GP498" s="292" t="s">
        <v>7494</v>
      </c>
      <c r="HS498" s="227"/>
      <c r="HW498" s="227"/>
      <c r="JU498" s="55" t="s">
        <v>388</v>
      </c>
      <c r="JV498" s="55" t="s">
        <v>687</v>
      </c>
    </row>
    <row r="499" spans="1:282" x14ac:dyDescent="0.25">
      <c r="A499" s="55">
        <v>498</v>
      </c>
      <c r="B499" s="12" t="s">
        <v>7067</v>
      </c>
      <c r="C499" s="155">
        <v>26</v>
      </c>
      <c r="D499" s="55" t="s">
        <v>3779</v>
      </c>
      <c r="E499" s="90" t="s">
        <v>370</v>
      </c>
      <c r="G499" s="55" t="s">
        <v>371</v>
      </c>
      <c r="H499" s="55">
        <v>2015</v>
      </c>
      <c r="I499" s="55">
        <v>2012</v>
      </c>
      <c r="J499" s="55" t="s">
        <v>276</v>
      </c>
      <c r="K499" s="55" t="s">
        <v>373</v>
      </c>
      <c r="L499" s="55" t="s">
        <v>2737</v>
      </c>
      <c r="M499" s="90">
        <f>35.22</f>
        <v>35.22</v>
      </c>
      <c r="N499" s="90">
        <f>-77.65</f>
        <v>-77.650000000000006</v>
      </c>
      <c r="O499" s="90">
        <v>22.4</v>
      </c>
      <c r="U499" s="55">
        <v>1</v>
      </c>
      <c r="V499" s="55">
        <v>1</v>
      </c>
      <c r="Y499" s="55" t="s">
        <v>383</v>
      </c>
      <c r="Z499" s="55" t="s">
        <v>1349</v>
      </c>
      <c r="AA499" s="90" t="s">
        <v>1677</v>
      </c>
      <c r="AH499" s="55" t="s">
        <v>139</v>
      </c>
      <c r="AM499" s="55" t="s">
        <v>1291</v>
      </c>
      <c r="AN499" s="185" t="s">
        <v>375</v>
      </c>
      <c r="AO499" s="185" t="s">
        <v>5150</v>
      </c>
      <c r="AQ499" s="55" t="s">
        <v>553</v>
      </c>
      <c r="AR499" s="55" t="s">
        <v>132</v>
      </c>
      <c r="AS499" s="55" t="s">
        <v>132</v>
      </c>
      <c r="AU499" s="181" t="s">
        <v>7494</v>
      </c>
      <c r="AV499" s="185" t="s">
        <v>176</v>
      </c>
      <c r="AX499" s="185" t="s">
        <v>176</v>
      </c>
      <c r="AZ499" s="55" t="s">
        <v>374</v>
      </c>
      <c r="BA499" s="55" t="s">
        <v>374</v>
      </c>
      <c r="BB499" s="55" t="s">
        <v>2081</v>
      </c>
      <c r="BC499" s="55" t="s">
        <v>2081</v>
      </c>
      <c r="BD499" s="55" t="s">
        <v>176</v>
      </c>
      <c r="BE499" s="226">
        <v>0</v>
      </c>
      <c r="BF499" s="55" t="s">
        <v>176</v>
      </c>
      <c r="BG499" s="55" t="s">
        <v>176</v>
      </c>
      <c r="BH499" s="226">
        <v>0</v>
      </c>
      <c r="BI499" s="55" t="s">
        <v>176</v>
      </c>
      <c r="BJ499" s="55" t="s">
        <v>176</v>
      </c>
      <c r="BK499" s="55" t="s">
        <v>5976</v>
      </c>
      <c r="BM499" s="192" t="s">
        <v>160</v>
      </c>
      <c r="BN499" s="55">
        <v>4</v>
      </c>
      <c r="BO499" s="55">
        <v>4</v>
      </c>
      <c r="BQ499" s="55" t="s">
        <v>315</v>
      </c>
      <c r="BS499" s="55">
        <f>(6.1+1.6)*1000</f>
        <v>7699.9999999999991</v>
      </c>
      <c r="BT499" s="55">
        <f>BS499/(170+36)</f>
        <v>37.378640776699022</v>
      </c>
      <c r="BU499" s="55" t="s">
        <v>386</v>
      </c>
      <c r="DB499" s="65">
        <v>4.3230000000000004</v>
      </c>
      <c r="DC499" s="65">
        <v>5.14</v>
      </c>
      <c r="DF499" s="65" t="s">
        <v>385</v>
      </c>
      <c r="GP499" s="292" t="s">
        <v>7494</v>
      </c>
      <c r="HS499" s="227"/>
      <c r="HW499" s="227"/>
      <c r="JU499" s="55" t="s">
        <v>388</v>
      </c>
      <c r="JV499" s="55" t="s">
        <v>687</v>
      </c>
    </row>
    <row r="500" spans="1:282" x14ac:dyDescent="0.25">
      <c r="A500" s="55">
        <v>499</v>
      </c>
      <c r="B500" s="12" t="s">
        <v>7067</v>
      </c>
      <c r="C500" s="155">
        <v>26</v>
      </c>
      <c r="D500" s="55" t="s">
        <v>3779</v>
      </c>
      <c r="E500" s="90" t="s">
        <v>370</v>
      </c>
      <c r="G500" s="55" t="s">
        <v>371</v>
      </c>
      <c r="H500" s="55">
        <v>2015</v>
      </c>
      <c r="I500" s="55">
        <v>2012</v>
      </c>
      <c r="J500" s="55" t="s">
        <v>276</v>
      </c>
      <c r="K500" s="55" t="s">
        <v>373</v>
      </c>
      <c r="L500" s="55" t="s">
        <v>2737</v>
      </c>
      <c r="M500" s="90">
        <f>35.22</f>
        <v>35.22</v>
      </c>
      <c r="N500" s="90">
        <f>-77.65</f>
        <v>-77.650000000000006</v>
      </c>
      <c r="O500" s="90">
        <v>22.4</v>
      </c>
      <c r="U500" s="55">
        <v>1</v>
      </c>
      <c r="V500" s="55">
        <v>1</v>
      </c>
      <c r="Y500" s="55" t="s">
        <v>383</v>
      </c>
      <c r="Z500" s="55" t="s">
        <v>1349</v>
      </c>
      <c r="AA500" s="90" t="s">
        <v>1677</v>
      </c>
      <c r="AH500" s="55" t="s">
        <v>139</v>
      </c>
      <c r="AM500" s="55" t="s">
        <v>1291</v>
      </c>
      <c r="AN500" s="185" t="s">
        <v>376</v>
      </c>
      <c r="AO500" s="185" t="s">
        <v>5150</v>
      </c>
      <c r="AQ500" s="55" t="s">
        <v>553</v>
      </c>
      <c r="AR500" s="55" t="s">
        <v>132</v>
      </c>
      <c r="AS500" s="55" t="s">
        <v>132</v>
      </c>
      <c r="AU500" s="181" t="s">
        <v>7494</v>
      </c>
      <c r="AV500" s="185" t="s">
        <v>176</v>
      </c>
      <c r="AX500" s="185" t="s">
        <v>176</v>
      </c>
      <c r="AZ500" s="55" t="s">
        <v>374</v>
      </c>
      <c r="BA500" s="55" t="s">
        <v>374</v>
      </c>
      <c r="BB500" s="55" t="s">
        <v>2081</v>
      </c>
      <c r="BC500" s="55" t="s">
        <v>2081</v>
      </c>
      <c r="BD500" s="55" t="s">
        <v>176</v>
      </c>
      <c r="BE500" s="226">
        <v>0</v>
      </c>
      <c r="BF500" s="55" t="s">
        <v>176</v>
      </c>
      <c r="BG500" s="55" t="s">
        <v>176</v>
      </c>
      <c r="BH500" s="226">
        <v>0</v>
      </c>
      <c r="BI500" s="55" t="s">
        <v>176</v>
      </c>
      <c r="BJ500" s="55" t="s">
        <v>176</v>
      </c>
      <c r="BK500" s="55" t="s">
        <v>5976</v>
      </c>
      <c r="BM500" s="192" t="s">
        <v>160</v>
      </c>
      <c r="BN500" s="55">
        <v>4</v>
      </c>
      <c r="BO500" s="55">
        <v>4</v>
      </c>
      <c r="BQ500" s="55" t="s">
        <v>315</v>
      </c>
      <c r="BS500" s="55">
        <f>(6.4+1.9)*1000</f>
        <v>8300</v>
      </c>
      <c r="BT500" s="55">
        <f>BS500/(110+27)</f>
        <v>60.583941605839414</v>
      </c>
      <c r="BU500" s="55" t="s">
        <v>386</v>
      </c>
      <c r="DB500" s="65">
        <v>4.3230000000000004</v>
      </c>
      <c r="DC500" s="65">
        <v>4.32</v>
      </c>
      <c r="DF500" s="65" t="s">
        <v>385</v>
      </c>
      <c r="GP500" s="292" t="s">
        <v>7494</v>
      </c>
      <c r="HS500" s="227"/>
      <c r="HW500" s="227"/>
      <c r="JU500" s="55" t="s">
        <v>388</v>
      </c>
      <c r="JV500" s="55" t="s">
        <v>687</v>
      </c>
    </row>
    <row r="501" spans="1:282" x14ac:dyDescent="0.25">
      <c r="A501" s="55">
        <v>500</v>
      </c>
      <c r="B501" s="12" t="s">
        <v>7067</v>
      </c>
      <c r="C501" s="155">
        <v>26</v>
      </c>
      <c r="D501" s="55" t="s">
        <v>3779</v>
      </c>
      <c r="E501" s="90" t="s">
        <v>370</v>
      </c>
      <c r="G501" s="55" t="s">
        <v>371</v>
      </c>
      <c r="H501" s="55">
        <v>2015</v>
      </c>
      <c r="I501" s="55">
        <v>2012</v>
      </c>
      <c r="J501" s="55" t="s">
        <v>276</v>
      </c>
      <c r="K501" s="55" t="s">
        <v>373</v>
      </c>
      <c r="L501" s="55" t="s">
        <v>2737</v>
      </c>
      <c r="M501" s="90">
        <f>35.22</f>
        <v>35.22</v>
      </c>
      <c r="N501" s="90">
        <f>-77.65</f>
        <v>-77.650000000000006</v>
      </c>
      <c r="O501" s="90">
        <v>22.4</v>
      </c>
      <c r="U501" s="55">
        <v>1</v>
      </c>
      <c r="V501" s="55">
        <v>1</v>
      </c>
      <c r="Y501" s="55" t="s">
        <v>383</v>
      </c>
      <c r="Z501" s="55" t="s">
        <v>1349</v>
      </c>
      <c r="AA501" s="90" t="s">
        <v>1677</v>
      </c>
      <c r="AH501" s="55" t="s">
        <v>139</v>
      </c>
      <c r="AM501" s="55" t="s">
        <v>1291</v>
      </c>
      <c r="AN501" s="185" t="s">
        <v>241</v>
      </c>
      <c r="AO501" s="185" t="s">
        <v>5150</v>
      </c>
      <c r="AQ501" s="55" t="s">
        <v>553</v>
      </c>
      <c r="AR501" s="55" t="s">
        <v>132</v>
      </c>
      <c r="AS501" s="55" t="s">
        <v>132</v>
      </c>
      <c r="AU501" s="181" t="s">
        <v>7494</v>
      </c>
      <c r="AV501" s="185" t="s">
        <v>176</v>
      </c>
      <c r="AX501" s="185" t="s">
        <v>176</v>
      </c>
      <c r="AZ501" s="55" t="s">
        <v>374</v>
      </c>
      <c r="BA501" s="55" t="s">
        <v>374</v>
      </c>
      <c r="BB501" s="55" t="s">
        <v>2081</v>
      </c>
      <c r="BC501" s="55" t="s">
        <v>2081</v>
      </c>
      <c r="BD501" s="55" t="s">
        <v>176</v>
      </c>
      <c r="BE501" s="226">
        <v>0</v>
      </c>
      <c r="BF501" s="55" t="s">
        <v>176</v>
      </c>
      <c r="BG501" s="55" t="s">
        <v>176</v>
      </c>
      <c r="BH501" s="226">
        <v>0</v>
      </c>
      <c r="BI501" s="55" t="s">
        <v>176</v>
      </c>
      <c r="BJ501" s="55" t="s">
        <v>176</v>
      </c>
      <c r="BK501" s="55" t="s">
        <v>5976</v>
      </c>
      <c r="BM501" s="192" t="s">
        <v>160</v>
      </c>
      <c r="BN501" s="55">
        <v>4</v>
      </c>
      <c r="BO501" s="55">
        <v>4</v>
      </c>
      <c r="BQ501" s="55" t="s">
        <v>315</v>
      </c>
      <c r="BS501" s="55">
        <f>(6.5+1.8)*1000</f>
        <v>8300</v>
      </c>
      <c r="BT501" s="55">
        <f>BS501/(175+47)</f>
        <v>37.387387387387385</v>
      </c>
      <c r="BU501" s="55" t="s">
        <v>386</v>
      </c>
      <c r="DB501" s="65">
        <v>4.3230000000000004</v>
      </c>
      <c r="DC501" s="65">
        <v>5.14</v>
      </c>
      <c r="DF501" s="65" t="s">
        <v>385</v>
      </c>
      <c r="GP501" s="292" t="s">
        <v>7494</v>
      </c>
      <c r="HS501" s="227"/>
      <c r="HW501" s="227"/>
      <c r="JU501" s="55" t="s">
        <v>388</v>
      </c>
      <c r="JV501" s="55" t="s">
        <v>687</v>
      </c>
    </row>
    <row r="502" spans="1:282" x14ac:dyDescent="0.25">
      <c r="A502" s="55">
        <v>501</v>
      </c>
      <c r="B502" s="12" t="s">
        <v>7067</v>
      </c>
      <c r="C502" s="155">
        <v>26</v>
      </c>
      <c r="D502" s="55" t="s">
        <v>3780</v>
      </c>
      <c r="E502" s="90" t="s">
        <v>370</v>
      </c>
      <c r="G502" s="55" t="s">
        <v>371</v>
      </c>
      <c r="H502" s="55">
        <v>2015</v>
      </c>
      <c r="I502" s="55">
        <v>2012</v>
      </c>
      <c r="J502" s="55" t="s">
        <v>276</v>
      </c>
      <c r="K502" s="55" t="s">
        <v>373</v>
      </c>
      <c r="L502" s="55" t="s">
        <v>2737</v>
      </c>
      <c r="M502" s="90">
        <f>35.22</f>
        <v>35.22</v>
      </c>
      <c r="N502" s="90">
        <f>-77.65</f>
        <v>-77.650000000000006</v>
      </c>
      <c r="O502" s="90">
        <v>22.4</v>
      </c>
      <c r="U502" s="55">
        <v>1</v>
      </c>
      <c r="V502" s="55">
        <v>1</v>
      </c>
      <c r="Y502" s="55" t="s">
        <v>377</v>
      </c>
      <c r="Z502" s="55" t="s">
        <v>1349</v>
      </c>
      <c r="AA502" s="90" t="s">
        <v>1677</v>
      </c>
      <c r="AH502" s="55" t="s">
        <v>139</v>
      </c>
      <c r="AM502" s="55" t="s">
        <v>1291</v>
      </c>
      <c r="AN502" s="185" t="s">
        <v>375</v>
      </c>
      <c r="AO502" s="185" t="s">
        <v>5150</v>
      </c>
      <c r="AQ502" s="55" t="s">
        <v>553</v>
      </c>
      <c r="AR502" s="55" t="s">
        <v>132</v>
      </c>
      <c r="AS502" s="55" t="s">
        <v>132</v>
      </c>
      <c r="AU502" s="181" t="s">
        <v>7494</v>
      </c>
      <c r="AV502" s="185" t="s">
        <v>176</v>
      </c>
      <c r="AX502" s="185" t="s">
        <v>176</v>
      </c>
      <c r="AZ502" s="55" t="s">
        <v>384</v>
      </c>
      <c r="BA502" s="55" t="s">
        <v>384</v>
      </c>
      <c r="BB502" s="55" t="s">
        <v>2081</v>
      </c>
      <c r="BC502" s="55" t="s">
        <v>2081</v>
      </c>
      <c r="BD502" s="55" t="s">
        <v>176</v>
      </c>
      <c r="BE502" s="226">
        <v>0</v>
      </c>
      <c r="BF502" s="55" t="s">
        <v>176</v>
      </c>
      <c r="BG502" s="55" t="s">
        <v>176</v>
      </c>
      <c r="BH502" s="226">
        <v>0</v>
      </c>
      <c r="BI502" s="55" t="s">
        <v>176</v>
      </c>
      <c r="BJ502" s="55" t="s">
        <v>176</v>
      </c>
      <c r="BK502" s="55" t="s">
        <v>5976</v>
      </c>
      <c r="BM502" s="192" t="s">
        <v>160</v>
      </c>
      <c r="BN502" s="55">
        <v>4</v>
      </c>
      <c r="BO502" s="55">
        <v>4</v>
      </c>
      <c r="BQ502" s="55" t="s">
        <v>315</v>
      </c>
      <c r="BS502" s="55">
        <f>(6.1+1.6)*1000</f>
        <v>7699.9999999999991</v>
      </c>
      <c r="BT502" s="55">
        <f>BS502/(170+36)</f>
        <v>37.378640776699022</v>
      </c>
      <c r="BU502" s="55" t="s">
        <v>387</v>
      </c>
      <c r="DB502" s="65">
        <v>4.133</v>
      </c>
      <c r="DC502" s="65">
        <v>6.9059999999999997</v>
      </c>
      <c r="DF502" s="65" t="s">
        <v>385</v>
      </c>
      <c r="GP502" s="292" t="s">
        <v>7494</v>
      </c>
      <c r="HS502" s="227"/>
      <c r="HW502" s="227"/>
      <c r="JU502" s="55" t="s">
        <v>388</v>
      </c>
      <c r="JV502" s="55" t="s">
        <v>687</v>
      </c>
    </row>
    <row r="503" spans="1:282" x14ac:dyDescent="0.25">
      <c r="A503" s="55">
        <v>502</v>
      </c>
      <c r="B503" s="12" t="s">
        <v>7067</v>
      </c>
      <c r="C503" s="155">
        <v>26</v>
      </c>
      <c r="D503" s="55" t="s">
        <v>3780</v>
      </c>
      <c r="E503" s="90" t="s">
        <v>370</v>
      </c>
      <c r="G503" s="55" t="s">
        <v>371</v>
      </c>
      <c r="H503" s="55">
        <v>2015</v>
      </c>
      <c r="I503" s="55">
        <v>2012</v>
      </c>
      <c r="J503" s="55" t="s">
        <v>276</v>
      </c>
      <c r="K503" s="55" t="s">
        <v>373</v>
      </c>
      <c r="L503" s="55" t="s">
        <v>2737</v>
      </c>
      <c r="M503" s="90">
        <f>35.22</f>
        <v>35.22</v>
      </c>
      <c r="N503" s="90">
        <f>-77.65</f>
        <v>-77.650000000000006</v>
      </c>
      <c r="O503" s="90">
        <v>22.4</v>
      </c>
      <c r="U503" s="55">
        <v>1</v>
      </c>
      <c r="V503" s="55">
        <v>1</v>
      </c>
      <c r="Y503" s="55" t="s">
        <v>377</v>
      </c>
      <c r="Z503" s="55" t="s">
        <v>1349</v>
      </c>
      <c r="AA503" s="90" t="s">
        <v>1677</v>
      </c>
      <c r="AH503" s="55" t="s">
        <v>139</v>
      </c>
      <c r="AM503" s="55" t="s">
        <v>1291</v>
      </c>
      <c r="AN503" s="185" t="s">
        <v>376</v>
      </c>
      <c r="AO503" s="185" t="s">
        <v>5150</v>
      </c>
      <c r="AQ503" s="55" t="s">
        <v>553</v>
      </c>
      <c r="AR503" s="55" t="s">
        <v>132</v>
      </c>
      <c r="AS503" s="55" t="s">
        <v>132</v>
      </c>
      <c r="AU503" s="181" t="s">
        <v>7494</v>
      </c>
      <c r="AV503" s="185" t="s">
        <v>176</v>
      </c>
      <c r="AX503" s="185" t="s">
        <v>176</v>
      </c>
      <c r="AZ503" s="55" t="s">
        <v>384</v>
      </c>
      <c r="BA503" s="55" t="s">
        <v>384</v>
      </c>
      <c r="BB503" s="55" t="s">
        <v>2081</v>
      </c>
      <c r="BC503" s="55" t="s">
        <v>2081</v>
      </c>
      <c r="BD503" s="55" t="s">
        <v>176</v>
      </c>
      <c r="BE503" s="226">
        <v>0</v>
      </c>
      <c r="BF503" s="55" t="s">
        <v>176</v>
      </c>
      <c r="BG503" s="55" t="s">
        <v>176</v>
      </c>
      <c r="BH503" s="226">
        <v>0</v>
      </c>
      <c r="BI503" s="55" t="s">
        <v>176</v>
      </c>
      <c r="BJ503" s="55" t="s">
        <v>176</v>
      </c>
      <c r="BK503" s="55" t="s">
        <v>5976</v>
      </c>
      <c r="BM503" s="192" t="s">
        <v>160</v>
      </c>
      <c r="BN503" s="55">
        <v>4</v>
      </c>
      <c r="BO503" s="55">
        <v>4</v>
      </c>
      <c r="BQ503" s="55" t="s">
        <v>315</v>
      </c>
      <c r="BS503" s="55">
        <f>(6.4+1.9)*1000</f>
        <v>8300</v>
      </c>
      <c r="BT503" s="55">
        <f>BS503/(110+27)</f>
        <v>60.583941605839414</v>
      </c>
      <c r="BU503" s="55" t="s">
        <v>387</v>
      </c>
      <c r="DB503" s="65">
        <v>4.133</v>
      </c>
      <c r="DC503" s="65">
        <v>6.9059999999999997</v>
      </c>
      <c r="DF503" s="65" t="s">
        <v>385</v>
      </c>
      <c r="GP503" s="292" t="s">
        <v>7494</v>
      </c>
      <c r="HS503" s="227"/>
      <c r="HW503" s="227"/>
      <c r="JU503" s="55" t="s">
        <v>388</v>
      </c>
      <c r="JV503" s="55" t="s">
        <v>687</v>
      </c>
    </row>
    <row r="504" spans="1:282" x14ac:dyDescent="0.25">
      <c r="A504" s="55">
        <v>503</v>
      </c>
      <c r="B504" s="12" t="s">
        <v>7067</v>
      </c>
      <c r="C504" s="155">
        <v>26</v>
      </c>
      <c r="D504" s="55" t="s">
        <v>3780</v>
      </c>
      <c r="E504" s="90" t="s">
        <v>370</v>
      </c>
      <c r="G504" s="55" t="s">
        <v>371</v>
      </c>
      <c r="H504" s="55">
        <v>2015</v>
      </c>
      <c r="I504" s="55">
        <v>2012</v>
      </c>
      <c r="J504" s="55" t="s">
        <v>276</v>
      </c>
      <c r="K504" s="55" t="s">
        <v>373</v>
      </c>
      <c r="L504" s="55" t="s">
        <v>2737</v>
      </c>
      <c r="M504" s="90">
        <f>35.22</f>
        <v>35.22</v>
      </c>
      <c r="N504" s="90">
        <f>-77.65</f>
        <v>-77.650000000000006</v>
      </c>
      <c r="O504" s="90">
        <v>22.4</v>
      </c>
      <c r="U504" s="55">
        <v>1</v>
      </c>
      <c r="V504" s="55">
        <v>1</v>
      </c>
      <c r="Y504" s="55" t="s">
        <v>377</v>
      </c>
      <c r="Z504" s="55" t="s">
        <v>1349</v>
      </c>
      <c r="AA504" s="90" t="s">
        <v>1677</v>
      </c>
      <c r="AH504" s="55" t="s">
        <v>139</v>
      </c>
      <c r="AM504" s="55" t="s">
        <v>1291</v>
      </c>
      <c r="AN504" s="185" t="s">
        <v>241</v>
      </c>
      <c r="AO504" s="185" t="s">
        <v>5150</v>
      </c>
      <c r="AQ504" s="55" t="s">
        <v>553</v>
      </c>
      <c r="AR504" s="55" t="s">
        <v>132</v>
      </c>
      <c r="AS504" s="55" t="s">
        <v>132</v>
      </c>
      <c r="AU504" s="181" t="s">
        <v>7494</v>
      </c>
      <c r="AV504" s="185" t="s">
        <v>176</v>
      </c>
      <c r="AX504" s="185" t="s">
        <v>176</v>
      </c>
      <c r="AZ504" s="55" t="s">
        <v>384</v>
      </c>
      <c r="BA504" s="55" t="s">
        <v>384</v>
      </c>
      <c r="BB504" s="55" t="s">
        <v>2081</v>
      </c>
      <c r="BC504" s="55" t="s">
        <v>2081</v>
      </c>
      <c r="BD504" s="55" t="s">
        <v>176</v>
      </c>
      <c r="BE504" s="226">
        <v>0</v>
      </c>
      <c r="BF504" s="55" t="s">
        <v>176</v>
      </c>
      <c r="BG504" s="55" t="s">
        <v>176</v>
      </c>
      <c r="BH504" s="226">
        <v>0</v>
      </c>
      <c r="BI504" s="55" t="s">
        <v>176</v>
      </c>
      <c r="BJ504" s="55" t="s">
        <v>176</v>
      </c>
      <c r="BK504" s="55" t="s">
        <v>5976</v>
      </c>
      <c r="BM504" s="192" t="s">
        <v>160</v>
      </c>
      <c r="BN504" s="55">
        <v>4</v>
      </c>
      <c r="BO504" s="55">
        <v>4</v>
      </c>
      <c r="BQ504" s="55" t="s">
        <v>315</v>
      </c>
      <c r="BS504" s="55">
        <f>(6.5+1.8)*1000</f>
        <v>8300</v>
      </c>
      <c r="BT504" s="55">
        <f>BS504/(175+47)</f>
        <v>37.387387387387385</v>
      </c>
      <c r="BU504" s="55" t="s">
        <v>387</v>
      </c>
      <c r="DB504" s="65">
        <v>4.133</v>
      </c>
      <c r="DC504" s="65">
        <v>6.9059999999999997</v>
      </c>
      <c r="DF504" s="65" t="s">
        <v>385</v>
      </c>
      <c r="GP504" s="292" t="s">
        <v>7494</v>
      </c>
      <c r="HS504" s="227"/>
      <c r="HW504" s="227"/>
      <c r="JU504" s="55" t="s">
        <v>388</v>
      </c>
      <c r="JV504" s="55" t="s">
        <v>687</v>
      </c>
    </row>
    <row r="505" spans="1:282" x14ac:dyDescent="0.25">
      <c r="A505" s="55">
        <v>504</v>
      </c>
      <c r="B505" s="12" t="s">
        <v>7067</v>
      </c>
      <c r="C505" s="155">
        <v>26</v>
      </c>
      <c r="D505" s="55" t="s">
        <v>3780</v>
      </c>
      <c r="E505" s="90" t="s">
        <v>370</v>
      </c>
      <c r="G505" s="55" t="s">
        <v>371</v>
      </c>
      <c r="H505" s="55">
        <v>2015</v>
      </c>
      <c r="I505" s="55">
        <v>2012</v>
      </c>
      <c r="J505" s="55" t="s">
        <v>276</v>
      </c>
      <c r="K505" s="55" t="s">
        <v>373</v>
      </c>
      <c r="L505" s="55" t="s">
        <v>2737</v>
      </c>
      <c r="M505" s="90">
        <f>35.22</f>
        <v>35.22</v>
      </c>
      <c r="N505" s="90">
        <f>-77.65</f>
        <v>-77.650000000000006</v>
      </c>
      <c r="O505" s="90">
        <v>22.4</v>
      </c>
      <c r="U505" s="55">
        <v>1</v>
      </c>
      <c r="V505" s="55">
        <v>1</v>
      </c>
      <c r="Y505" s="55" t="s">
        <v>378</v>
      </c>
      <c r="Z505" s="55" t="s">
        <v>1349</v>
      </c>
      <c r="AA505" s="90" t="s">
        <v>1677</v>
      </c>
      <c r="AH505" s="55" t="s">
        <v>139</v>
      </c>
      <c r="AM505" s="55" t="s">
        <v>1291</v>
      </c>
      <c r="AN505" s="185" t="s">
        <v>375</v>
      </c>
      <c r="AO505" s="185" t="s">
        <v>5150</v>
      </c>
      <c r="AQ505" s="55" t="s">
        <v>553</v>
      </c>
      <c r="AR505" s="55" t="s">
        <v>132</v>
      </c>
      <c r="AS505" s="55" t="s">
        <v>132</v>
      </c>
      <c r="AU505" s="181" t="s">
        <v>7494</v>
      </c>
      <c r="AV505" s="185" t="s">
        <v>176</v>
      </c>
      <c r="AX505" s="185" t="s">
        <v>176</v>
      </c>
      <c r="AZ505" s="55" t="s">
        <v>384</v>
      </c>
      <c r="BA505" s="55" t="s">
        <v>384</v>
      </c>
      <c r="BB505" s="55" t="s">
        <v>2081</v>
      </c>
      <c r="BC505" s="55" t="s">
        <v>2081</v>
      </c>
      <c r="BD505" s="55" t="s">
        <v>176</v>
      </c>
      <c r="BE505" s="226">
        <v>0</v>
      </c>
      <c r="BF505" s="55" t="s">
        <v>176</v>
      </c>
      <c r="BG505" s="55" t="s">
        <v>176</v>
      </c>
      <c r="BH505" s="226">
        <v>0</v>
      </c>
      <c r="BI505" s="55" t="s">
        <v>176</v>
      </c>
      <c r="BJ505" s="55" t="s">
        <v>176</v>
      </c>
      <c r="BK505" s="55" t="s">
        <v>5976</v>
      </c>
      <c r="BM505" s="192" t="s">
        <v>160</v>
      </c>
      <c r="BN505" s="55">
        <v>4</v>
      </c>
      <c r="BO505" s="55">
        <v>4</v>
      </c>
      <c r="BQ505" s="55" t="s">
        <v>315</v>
      </c>
      <c r="BS505" s="55">
        <f>(6.1+1.6)*1000</f>
        <v>7699.9999999999991</v>
      </c>
      <c r="BT505" s="55">
        <f>BS505/(170+36)</f>
        <v>37.378640776699022</v>
      </c>
      <c r="BU505" s="55" t="s">
        <v>387</v>
      </c>
      <c r="DB505" s="65">
        <v>2.2469999999999999</v>
      </c>
      <c r="DC505" s="65">
        <v>3.8780000000000001</v>
      </c>
      <c r="DF505" s="65" t="s">
        <v>385</v>
      </c>
      <c r="GP505" s="292" t="s">
        <v>7494</v>
      </c>
      <c r="HS505" s="227"/>
      <c r="HW505" s="227"/>
      <c r="JU505" s="55" t="s">
        <v>388</v>
      </c>
      <c r="JV505" s="55" t="s">
        <v>687</v>
      </c>
    </row>
    <row r="506" spans="1:282" x14ac:dyDescent="0.25">
      <c r="A506" s="55">
        <v>505</v>
      </c>
      <c r="B506" s="12" t="s">
        <v>7067</v>
      </c>
      <c r="C506" s="155">
        <v>26</v>
      </c>
      <c r="D506" s="55" t="s">
        <v>3780</v>
      </c>
      <c r="E506" s="90" t="s">
        <v>370</v>
      </c>
      <c r="G506" s="55" t="s">
        <v>371</v>
      </c>
      <c r="H506" s="55">
        <v>2015</v>
      </c>
      <c r="I506" s="55">
        <v>2012</v>
      </c>
      <c r="J506" s="55" t="s">
        <v>276</v>
      </c>
      <c r="K506" s="55" t="s">
        <v>373</v>
      </c>
      <c r="L506" s="55" t="s">
        <v>2737</v>
      </c>
      <c r="M506" s="90">
        <f>35.22</f>
        <v>35.22</v>
      </c>
      <c r="N506" s="90">
        <f>-77.65</f>
        <v>-77.650000000000006</v>
      </c>
      <c r="O506" s="90">
        <v>22.4</v>
      </c>
      <c r="U506" s="55">
        <v>1</v>
      </c>
      <c r="V506" s="55">
        <v>1</v>
      </c>
      <c r="Y506" s="55" t="s">
        <v>378</v>
      </c>
      <c r="Z506" s="55" t="s">
        <v>1349</v>
      </c>
      <c r="AA506" s="90" t="s">
        <v>1677</v>
      </c>
      <c r="AH506" s="55" t="s">
        <v>139</v>
      </c>
      <c r="AM506" s="55" t="s">
        <v>1291</v>
      </c>
      <c r="AN506" s="185" t="s">
        <v>376</v>
      </c>
      <c r="AO506" s="185" t="s">
        <v>5150</v>
      </c>
      <c r="AQ506" s="55" t="s">
        <v>553</v>
      </c>
      <c r="AR506" s="55" t="s">
        <v>132</v>
      </c>
      <c r="AS506" s="55" t="s">
        <v>132</v>
      </c>
      <c r="AU506" s="181" t="s">
        <v>7494</v>
      </c>
      <c r="AV506" s="185" t="s">
        <v>176</v>
      </c>
      <c r="AX506" s="185" t="s">
        <v>176</v>
      </c>
      <c r="AZ506" s="55" t="s">
        <v>384</v>
      </c>
      <c r="BA506" s="55" t="s">
        <v>384</v>
      </c>
      <c r="BB506" s="55" t="s">
        <v>2081</v>
      </c>
      <c r="BC506" s="55" t="s">
        <v>2081</v>
      </c>
      <c r="BD506" s="55" t="s">
        <v>176</v>
      </c>
      <c r="BE506" s="226">
        <v>0</v>
      </c>
      <c r="BF506" s="55" t="s">
        <v>176</v>
      </c>
      <c r="BG506" s="55" t="s">
        <v>176</v>
      </c>
      <c r="BH506" s="226">
        <v>0</v>
      </c>
      <c r="BI506" s="55" t="s">
        <v>176</v>
      </c>
      <c r="BJ506" s="55" t="s">
        <v>176</v>
      </c>
      <c r="BK506" s="55" t="s">
        <v>5976</v>
      </c>
      <c r="BM506" s="192" t="s">
        <v>160</v>
      </c>
      <c r="BN506" s="55">
        <v>4</v>
      </c>
      <c r="BO506" s="55">
        <v>4</v>
      </c>
      <c r="BQ506" s="55" t="s">
        <v>315</v>
      </c>
      <c r="BS506" s="55">
        <f>(6.4+1.9)*1000</f>
        <v>8300</v>
      </c>
      <c r="BT506" s="55">
        <f>BS506/(110+27)</f>
        <v>60.583941605839414</v>
      </c>
      <c r="BU506" s="55" t="s">
        <v>387</v>
      </c>
      <c r="DB506" s="65">
        <v>2.2469999999999999</v>
      </c>
      <c r="DC506" s="65">
        <v>3.8780000000000001</v>
      </c>
      <c r="DF506" s="65" t="s">
        <v>385</v>
      </c>
      <c r="GP506" s="292" t="s">
        <v>7494</v>
      </c>
      <c r="HS506" s="227"/>
      <c r="HW506" s="227"/>
      <c r="JU506" s="55" t="s">
        <v>388</v>
      </c>
      <c r="JV506" s="55" t="s">
        <v>687</v>
      </c>
    </row>
    <row r="507" spans="1:282" x14ac:dyDescent="0.25">
      <c r="A507" s="55">
        <v>506</v>
      </c>
      <c r="B507" s="12" t="s">
        <v>7067</v>
      </c>
      <c r="C507" s="155">
        <v>26</v>
      </c>
      <c r="D507" s="55" t="s">
        <v>3780</v>
      </c>
      <c r="E507" s="90" t="s">
        <v>370</v>
      </c>
      <c r="G507" s="55" t="s">
        <v>371</v>
      </c>
      <c r="H507" s="55">
        <v>2015</v>
      </c>
      <c r="I507" s="55">
        <v>2012</v>
      </c>
      <c r="J507" s="55" t="s">
        <v>276</v>
      </c>
      <c r="K507" s="55" t="s">
        <v>373</v>
      </c>
      <c r="L507" s="55" t="s">
        <v>2737</v>
      </c>
      <c r="M507" s="90">
        <f>35.22</f>
        <v>35.22</v>
      </c>
      <c r="N507" s="90">
        <f>-77.65</f>
        <v>-77.650000000000006</v>
      </c>
      <c r="O507" s="90">
        <v>22.4</v>
      </c>
      <c r="U507" s="55">
        <v>1</v>
      </c>
      <c r="V507" s="55">
        <v>1</v>
      </c>
      <c r="Y507" s="55" t="s">
        <v>378</v>
      </c>
      <c r="Z507" s="55" t="s">
        <v>1349</v>
      </c>
      <c r="AA507" s="90" t="s">
        <v>1677</v>
      </c>
      <c r="AH507" s="55" t="s">
        <v>139</v>
      </c>
      <c r="AM507" s="55" t="s">
        <v>1291</v>
      </c>
      <c r="AN507" s="185" t="s">
        <v>241</v>
      </c>
      <c r="AO507" s="185" t="s">
        <v>5150</v>
      </c>
      <c r="AQ507" s="55" t="s">
        <v>553</v>
      </c>
      <c r="AR507" s="55" t="s">
        <v>132</v>
      </c>
      <c r="AS507" s="55" t="s">
        <v>132</v>
      </c>
      <c r="AU507" s="181" t="s">
        <v>7494</v>
      </c>
      <c r="AV507" s="185" t="s">
        <v>176</v>
      </c>
      <c r="AX507" s="185" t="s">
        <v>176</v>
      </c>
      <c r="AZ507" s="55" t="s">
        <v>384</v>
      </c>
      <c r="BA507" s="55" t="s">
        <v>384</v>
      </c>
      <c r="BB507" s="55" t="s">
        <v>2081</v>
      </c>
      <c r="BC507" s="55" t="s">
        <v>2081</v>
      </c>
      <c r="BD507" s="55" t="s">
        <v>176</v>
      </c>
      <c r="BE507" s="226">
        <v>0</v>
      </c>
      <c r="BF507" s="55" t="s">
        <v>176</v>
      </c>
      <c r="BG507" s="55" t="s">
        <v>176</v>
      </c>
      <c r="BH507" s="226">
        <v>0</v>
      </c>
      <c r="BI507" s="55" t="s">
        <v>176</v>
      </c>
      <c r="BJ507" s="55" t="s">
        <v>176</v>
      </c>
      <c r="BK507" s="55" t="s">
        <v>5976</v>
      </c>
      <c r="BM507" s="192" t="s">
        <v>160</v>
      </c>
      <c r="BN507" s="55">
        <v>4</v>
      </c>
      <c r="BO507" s="55">
        <v>4</v>
      </c>
      <c r="BQ507" s="55" t="s">
        <v>315</v>
      </c>
      <c r="BS507" s="55">
        <f>(6.5+1.8)*1000</f>
        <v>8300</v>
      </c>
      <c r="BT507" s="55">
        <f>BS507/(175+47)</f>
        <v>37.387387387387385</v>
      </c>
      <c r="BU507" s="55" t="s">
        <v>387</v>
      </c>
      <c r="DB507" s="65">
        <v>2.2469999999999999</v>
      </c>
      <c r="DC507" s="65">
        <v>3.8780000000000001</v>
      </c>
      <c r="DF507" s="65" t="s">
        <v>385</v>
      </c>
      <c r="GP507" s="292" t="s">
        <v>7494</v>
      </c>
      <c r="HS507" s="227"/>
      <c r="HW507" s="227"/>
      <c r="JU507" s="55" t="s">
        <v>388</v>
      </c>
      <c r="JV507" s="55" t="s">
        <v>687</v>
      </c>
    </row>
    <row r="508" spans="1:282" x14ac:dyDescent="0.25">
      <c r="A508" s="55">
        <v>507</v>
      </c>
      <c r="B508" s="12" t="s">
        <v>7067</v>
      </c>
      <c r="C508" s="155">
        <v>26</v>
      </c>
      <c r="D508" s="55" t="s">
        <v>3780</v>
      </c>
      <c r="E508" s="90" t="s">
        <v>370</v>
      </c>
      <c r="G508" s="55" t="s">
        <v>371</v>
      </c>
      <c r="H508" s="55">
        <v>2015</v>
      </c>
      <c r="I508" s="55">
        <v>2012</v>
      </c>
      <c r="J508" s="55" t="s">
        <v>276</v>
      </c>
      <c r="K508" s="55" t="s">
        <v>373</v>
      </c>
      <c r="L508" s="55" t="s">
        <v>2737</v>
      </c>
      <c r="M508" s="90">
        <f>35.22</f>
        <v>35.22</v>
      </c>
      <c r="N508" s="90">
        <f>-77.65</f>
        <v>-77.650000000000006</v>
      </c>
      <c r="O508" s="90">
        <v>22.4</v>
      </c>
      <c r="U508" s="55">
        <v>1</v>
      </c>
      <c r="V508" s="55">
        <v>1</v>
      </c>
      <c r="Y508" s="55" t="s">
        <v>379</v>
      </c>
      <c r="Z508" s="55" t="s">
        <v>1349</v>
      </c>
      <c r="AA508" s="90" t="s">
        <v>1677</v>
      </c>
      <c r="AH508" s="55" t="s">
        <v>139</v>
      </c>
      <c r="AM508" s="55" t="s">
        <v>1291</v>
      </c>
      <c r="AN508" s="185" t="s">
        <v>375</v>
      </c>
      <c r="AO508" s="185" t="s">
        <v>5150</v>
      </c>
      <c r="AQ508" s="55" t="s">
        <v>553</v>
      </c>
      <c r="AR508" s="55" t="s">
        <v>132</v>
      </c>
      <c r="AS508" s="55" t="s">
        <v>132</v>
      </c>
      <c r="AU508" s="181" t="s">
        <v>7494</v>
      </c>
      <c r="AV508" s="185" t="s">
        <v>176</v>
      </c>
      <c r="AX508" s="185" t="s">
        <v>176</v>
      </c>
      <c r="AZ508" s="55" t="s">
        <v>384</v>
      </c>
      <c r="BA508" s="55" t="s">
        <v>384</v>
      </c>
      <c r="BB508" s="55" t="s">
        <v>2081</v>
      </c>
      <c r="BC508" s="55" t="s">
        <v>2081</v>
      </c>
      <c r="BD508" s="55" t="s">
        <v>176</v>
      </c>
      <c r="BE508" s="226">
        <v>0</v>
      </c>
      <c r="BF508" s="55" t="s">
        <v>176</v>
      </c>
      <c r="BG508" s="55" t="s">
        <v>176</v>
      </c>
      <c r="BH508" s="226">
        <v>0</v>
      </c>
      <c r="BI508" s="55" t="s">
        <v>176</v>
      </c>
      <c r="BJ508" s="55" t="s">
        <v>176</v>
      </c>
      <c r="BK508" s="55" t="s">
        <v>5976</v>
      </c>
      <c r="BM508" s="192" t="s">
        <v>160</v>
      </c>
      <c r="BN508" s="55">
        <v>4</v>
      </c>
      <c r="BO508" s="55">
        <v>4</v>
      </c>
      <c r="BQ508" s="55" t="s">
        <v>315</v>
      </c>
      <c r="BS508" s="55">
        <f>(6.1+1.6)*1000</f>
        <v>7699.9999999999991</v>
      </c>
      <c r="BT508" s="55">
        <f>BS508/(170+36)</f>
        <v>37.378640776699022</v>
      </c>
      <c r="BU508" s="55" t="s">
        <v>387</v>
      </c>
      <c r="DB508" s="65">
        <v>2.7269999999999999</v>
      </c>
      <c r="DC508" s="65">
        <v>3.8690000000000002</v>
      </c>
      <c r="DF508" s="65" t="s">
        <v>385</v>
      </c>
      <c r="GP508" s="292" t="s">
        <v>7494</v>
      </c>
      <c r="HS508" s="227"/>
      <c r="HW508" s="227"/>
      <c r="JU508" s="55" t="s">
        <v>388</v>
      </c>
      <c r="JV508" s="55" t="s">
        <v>687</v>
      </c>
    </row>
    <row r="509" spans="1:282" x14ac:dyDescent="0.25">
      <c r="A509" s="55">
        <v>508</v>
      </c>
      <c r="B509" s="12" t="s">
        <v>7067</v>
      </c>
      <c r="C509" s="155">
        <v>26</v>
      </c>
      <c r="D509" s="55" t="s">
        <v>3780</v>
      </c>
      <c r="E509" s="90" t="s">
        <v>370</v>
      </c>
      <c r="G509" s="55" t="s">
        <v>371</v>
      </c>
      <c r="H509" s="55">
        <v>2015</v>
      </c>
      <c r="I509" s="55">
        <v>2012</v>
      </c>
      <c r="J509" s="55" t="s">
        <v>276</v>
      </c>
      <c r="K509" s="55" t="s">
        <v>373</v>
      </c>
      <c r="L509" s="55" t="s">
        <v>2737</v>
      </c>
      <c r="M509" s="90">
        <f>35.22</f>
        <v>35.22</v>
      </c>
      <c r="N509" s="90">
        <f>-77.65</f>
        <v>-77.650000000000006</v>
      </c>
      <c r="O509" s="90">
        <v>22.4</v>
      </c>
      <c r="U509" s="55">
        <v>1</v>
      </c>
      <c r="V509" s="55">
        <v>1</v>
      </c>
      <c r="Y509" s="55" t="s">
        <v>379</v>
      </c>
      <c r="Z509" s="55" t="s">
        <v>1349</v>
      </c>
      <c r="AA509" s="90" t="s">
        <v>1677</v>
      </c>
      <c r="AH509" s="55" t="s">
        <v>139</v>
      </c>
      <c r="AM509" s="55" t="s">
        <v>1291</v>
      </c>
      <c r="AN509" s="185" t="s">
        <v>376</v>
      </c>
      <c r="AO509" s="185" t="s">
        <v>5150</v>
      </c>
      <c r="AQ509" s="55" t="s">
        <v>553</v>
      </c>
      <c r="AR509" s="55" t="s">
        <v>132</v>
      </c>
      <c r="AS509" s="55" t="s">
        <v>132</v>
      </c>
      <c r="AU509" s="181" t="s">
        <v>7494</v>
      </c>
      <c r="AV509" s="185" t="s">
        <v>176</v>
      </c>
      <c r="AX509" s="185" t="s">
        <v>176</v>
      </c>
      <c r="AZ509" s="55" t="s">
        <v>384</v>
      </c>
      <c r="BA509" s="55" t="s">
        <v>384</v>
      </c>
      <c r="BB509" s="55" t="s">
        <v>2081</v>
      </c>
      <c r="BC509" s="55" t="s">
        <v>2081</v>
      </c>
      <c r="BD509" s="55" t="s">
        <v>176</v>
      </c>
      <c r="BE509" s="226">
        <v>0</v>
      </c>
      <c r="BF509" s="55" t="s">
        <v>176</v>
      </c>
      <c r="BG509" s="55" t="s">
        <v>176</v>
      </c>
      <c r="BH509" s="226">
        <v>0</v>
      </c>
      <c r="BI509" s="55" t="s">
        <v>176</v>
      </c>
      <c r="BJ509" s="55" t="s">
        <v>176</v>
      </c>
      <c r="BK509" s="55" t="s">
        <v>5976</v>
      </c>
      <c r="BM509" s="192" t="s">
        <v>160</v>
      </c>
      <c r="BN509" s="55">
        <v>4</v>
      </c>
      <c r="BO509" s="55">
        <v>4</v>
      </c>
      <c r="BQ509" s="55" t="s">
        <v>315</v>
      </c>
      <c r="BS509" s="55">
        <f>(6.4+1.9)*1000</f>
        <v>8300</v>
      </c>
      <c r="BT509" s="55">
        <f>BS509/(110+27)</f>
        <v>60.583941605839414</v>
      </c>
      <c r="BU509" s="55" t="s">
        <v>387</v>
      </c>
      <c r="DB509" s="65">
        <v>2.7269999999999999</v>
      </c>
      <c r="DC509" s="65">
        <v>3.8690000000000002</v>
      </c>
      <c r="DF509" s="65" t="s">
        <v>385</v>
      </c>
      <c r="GP509" s="292" t="s">
        <v>7494</v>
      </c>
      <c r="HS509" s="227"/>
      <c r="HW509" s="227"/>
      <c r="JU509" s="55" t="s">
        <v>388</v>
      </c>
      <c r="JV509" s="55" t="s">
        <v>687</v>
      </c>
    </row>
    <row r="510" spans="1:282" x14ac:dyDescent="0.25">
      <c r="A510" s="55">
        <v>509</v>
      </c>
      <c r="B510" s="12" t="s">
        <v>7067</v>
      </c>
      <c r="C510" s="155">
        <v>26</v>
      </c>
      <c r="D510" s="55" t="s">
        <v>3780</v>
      </c>
      <c r="E510" s="90" t="s">
        <v>370</v>
      </c>
      <c r="G510" s="55" t="s">
        <v>371</v>
      </c>
      <c r="H510" s="55">
        <v>2015</v>
      </c>
      <c r="I510" s="55">
        <v>2012</v>
      </c>
      <c r="J510" s="55" t="s">
        <v>276</v>
      </c>
      <c r="K510" s="55" t="s">
        <v>373</v>
      </c>
      <c r="L510" s="55" t="s">
        <v>2737</v>
      </c>
      <c r="M510" s="90">
        <f>35.22</f>
        <v>35.22</v>
      </c>
      <c r="N510" s="90">
        <f>-77.65</f>
        <v>-77.650000000000006</v>
      </c>
      <c r="O510" s="90">
        <v>22.4</v>
      </c>
      <c r="U510" s="55">
        <v>1</v>
      </c>
      <c r="V510" s="55">
        <v>1</v>
      </c>
      <c r="Y510" s="55" t="s">
        <v>379</v>
      </c>
      <c r="Z510" s="55" t="s">
        <v>1349</v>
      </c>
      <c r="AA510" s="90" t="s">
        <v>1677</v>
      </c>
      <c r="AH510" s="55" t="s">
        <v>139</v>
      </c>
      <c r="AM510" s="55" t="s">
        <v>1291</v>
      </c>
      <c r="AN510" s="185" t="s">
        <v>241</v>
      </c>
      <c r="AO510" s="185" t="s">
        <v>5150</v>
      </c>
      <c r="AQ510" s="55" t="s">
        <v>553</v>
      </c>
      <c r="AR510" s="55" t="s">
        <v>132</v>
      </c>
      <c r="AS510" s="55" t="s">
        <v>132</v>
      </c>
      <c r="AU510" s="181" t="s">
        <v>7494</v>
      </c>
      <c r="AV510" s="185" t="s">
        <v>176</v>
      </c>
      <c r="AX510" s="185" t="s">
        <v>176</v>
      </c>
      <c r="AZ510" s="55" t="s">
        <v>384</v>
      </c>
      <c r="BA510" s="55" t="s">
        <v>384</v>
      </c>
      <c r="BB510" s="55" t="s">
        <v>2081</v>
      </c>
      <c r="BC510" s="55" t="s">
        <v>2081</v>
      </c>
      <c r="BD510" s="55" t="s">
        <v>176</v>
      </c>
      <c r="BE510" s="226">
        <v>0</v>
      </c>
      <c r="BF510" s="55" t="s">
        <v>176</v>
      </c>
      <c r="BG510" s="55" t="s">
        <v>176</v>
      </c>
      <c r="BH510" s="226">
        <v>0</v>
      </c>
      <c r="BI510" s="55" t="s">
        <v>176</v>
      </c>
      <c r="BJ510" s="55" t="s">
        <v>176</v>
      </c>
      <c r="BK510" s="55" t="s">
        <v>5976</v>
      </c>
      <c r="BM510" s="192" t="s">
        <v>160</v>
      </c>
      <c r="BN510" s="55">
        <v>4</v>
      </c>
      <c r="BO510" s="55">
        <v>4</v>
      </c>
      <c r="BQ510" s="55" t="s">
        <v>315</v>
      </c>
      <c r="BS510" s="55">
        <f>(6.5+1.8)*1000</f>
        <v>8300</v>
      </c>
      <c r="BT510" s="55">
        <f>BS510/(175+47)</f>
        <v>37.387387387387385</v>
      </c>
      <c r="BU510" s="55" t="s">
        <v>387</v>
      </c>
      <c r="DB510" s="65">
        <v>2.7269999999999999</v>
      </c>
      <c r="DC510" s="65">
        <v>3.8690000000000002</v>
      </c>
      <c r="DF510" s="65" t="s">
        <v>385</v>
      </c>
      <c r="GP510" s="292" t="s">
        <v>7494</v>
      </c>
      <c r="HS510" s="227"/>
      <c r="HW510" s="227"/>
      <c r="JU510" s="55" t="s">
        <v>388</v>
      </c>
      <c r="JV510" s="55" t="s">
        <v>687</v>
      </c>
    </row>
    <row r="511" spans="1:282" x14ac:dyDescent="0.25">
      <c r="A511" s="55">
        <v>510</v>
      </c>
      <c r="B511" s="12" t="s">
        <v>7067</v>
      </c>
      <c r="C511" s="155">
        <v>26</v>
      </c>
      <c r="D511" s="55" t="s">
        <v>3780</v>
      </c>
      <c r="E511" s="90" t="s">
        <v>370</v>
      </c>
      <c r="G511" s="55" t="s">
        <v>371</v>
      </c>
      <c r="H511" s="55">
        <v>2015</v>
      </c>
      <c r="I511" s="55">
        <v>2012</v>
      </c>
      <c r="J511" s="55" t="s">
        <v>276</v>
      </c>
      <c r="K511" s="55" t="s">
        <v>373</v>
      </c>
      <c r="L511" s="55" t="s">
        <v>2737</v>
      </c>
      <c r="M511" s="90">
        <f>35.22</f>
        <v>35.22</v>
      </c>
      <c r="N511" s="90">
        <f>-77.65</f>
        <v>-77.650000000000006</v>
      </c>
      <c r="O511" s="90">
        <v>22.4</v>
      </c>
      <c r="U511" s="55">
        <v>1</v>
      </c>
      <c r="V511" s="55">
        <v>1</v>
      </c>
      <c r="Y511" s="55" t="s">
        <v>380</v>
      </c>
      <c r="Z511" s="55" t="s">
        <v>1349</v>
      </c>
      <c r="AA511" s="90" t="s">
        <v>1677</v>
      </c>
      <c r="AH511" s="55" t="s">
        <v>139</v>
      </c>
      <c r="AM511" s="55" t="s">
        <v>1291</v>
      </c>
      <c r="AN511" s="185" t="s">
        <v>375</v>
      </c>
      <c r="AO511" s="185" t="s">
        <v>5150</v>
      </c>
      <c r="AQ511" s="55" t="s">
        <v>553</v>
      </c>
      <c r="AR511" s="55" t="s">
        <v>132</v>
      </c>
      <c r="AS511" s="55" t="s">
        <v>132</v>
      </c>
      <c r="AU511" s="181" t="s">
        <v>7494</v>
      </c>
      <c r="AV511" s="185" t="s">
        <v>176</v>
      </c>
      <c r="AX511" s="185" t="s">
        <v>176</v>
      </c>
      <c r="AZ511" s="55" t="s">
        <v>384</v>
      </c>
      <c r="BA511" s="55" t="s">
        <v>384</v>
      </c>
      <c r="BB511" s="55" t="s">
        <v>2081</v>
      </c>
      <c r="BC511" s="55" t="s">
        <v>2081</v>
      </c>
      <c r="BD511" s="55" t="s">
        <v>176</v>
      </c>
      <c r="BE511" s="226">
        <v>0</v>
      </c>
      <c r="BF511" s="55" t="s">
        <v>176</v>
      </c>
      <c r="BG511" s="55" t="s">
        <v>176</v>
      </c>
      <c r="BH511" s="226">
        <v>0</v>
      </c>
      <c r="BI511" s="55" t="s">
        <v>176</v>
      </c>
      <c r="BJ511" s="55" t="s">
        <v>176</v>
      </c>
      <c r="BK511" s="55" t="s">
        <v>5976</v>
      </c>
      <c r="BM511" s="192" t="s">
        <v>160</v>
      </c>
      <c r="BN511" s="55">
        <v>4</v>
      </c>
      <c r="BO511" s="55">
        <v>4</v>
      </c>
      <c r="BQ511" s="55" t="s">
        <v>315</v>
      </c>
      <c r="BS511" s="55">
        <f>(6.1+1.6)*1000</f>
        <v>7699.9999999999991</v>
      </c>
      <c r="BT511" s="55">
        <f>BS511/(170+36)</f>
        <v>37.378640776699022</v>
      </c>
      <c r="BU511" s="55" t="s">
        <v>387</v>
      </c>
      <c r="DB511" s="65">
        <v>4.8380000000000001</v>
      </c>
      <c r="DC511" s="65">
        <v>5.7350000000000003</v>
      </c>
      <c r="DF511" s="65" t="s">
        <v>385</v>
      </c>
      <c r="GP511" s="292" t="s">
        <v>7494</v>
      </c>
      <c r="HS511" s="227"/>
      <c r="HW511" s="227"/>
      <c r="JU511" s="55" t="s">
        <v>388</v>
      </c>
      <c r="JV511" s="55" t="s">
        <v>687</v>
      </c>
    </row>
    <row r="512" spans="1:282" x14ac:dyDescent="0.25">
      <c r="A512" s="55">
        <v>511</v>
      </c>
      <c r="B512" s="12" t="s">
        <v>7067</v>
      </c>
      <c r="C512" s="155">
        <v>26</v>
      </c>
      <c r="D512" s="55" t="s">
        <v>3780</v>
      </c>
      <c r="E512" s="90" t="s">
        <v>370</v>
      </c>
      <c r="G512" s="55" t="s">
        <v>371</v>
      </c>
      <c r="H512" s="55">
        <v>2015</v>
      </c>
      <c r="I512" s="55">
        <v>2012</v>
      </c>
      <c r="J512" s="55" t="s">
        <v>276</v>
      </c>
      <c r="K512" s="55" t="s">
        <v>373</v>
      </c>
      <c r="L512" s="55" t="s">
        <v>2737</v>
      </c>
      <c r="M512" s="90">
        <f>35.22</f>
        <v>35.22</v>
      </c>
      <c r="N512" s="90">
        <f>-77.65</f>
        <v>-77.650000000000006</v>
      </c>
      <c r="O512" s="90">
        <v>22.4</v>
      </c>
      <c r="U512" s="55">
        <v>1</v>
      </c>
      <c r="V512" s="55">
        <v>1</v>
      </c>
      <c r="Y512" s="55" t="s">
        <v>380</v>
      </c>
      <c r="Z512" s="55" t="s">
        <v>1349</v>
      </c>
      <c r="AA512" s="90" t="s">
        <v>1677</v>
      </c>
      <c r="AH512" s="55" t="s">
        <v>139</v>
      </c>
      <c r="AM512" s="55" t="s">
        <v>1291</v>
      </c>
      <c r="AN512" s="185" t="s">
        <v>376</v>
      </c>
      <c r="AO512" s="185" t="s">
        <v>5150</v>
      </c>
      <c r="AQ512" s="55" t="s">
        <v>553</v>
      </c>
      <c r="AR512" s="55" t="s">
        <v>132</v>
      </c>
      <c r="AS512" s="55" t="s">
        <v>132</v>
      </c>
      <c r="AU512" s="181" t="s">
        <v>7494</v>
      </c>
      <c r="AV512" s="185" t="s">
        <v>176</v>
      </c>
      <c r="AX512" s="185" t="s">
        <v>176</v>
      </c>
      <c r="AZ512" s="55" t="s">
        <v>384</v>
      </c>
      <c r="BA512" s="55" t="s">
        <v>384</v>
      </c>
      <c r="BB512" s="55" t="s">
        <v>2081</v>
      </c>
      <c r="BC512" s="55" t="s">
        <v>2081</v>
      </c>
      <c r="BD512" s="55" t="s">
        <v>176</v>
      </c>
      <c r="BE512" s="226">
        <v>0</v>
      </c>
      <c r="BF512" s="55" t="s">
        <v>176</v>
      </c>
      <c r="BG512" s="55" t="s">
        <v>176</v>
      </c>
      <c r="BH512" s="226">
        <v>0</v>
      </c>
      <c r="BI512" s="55" t="s">
        <v>176</v>
      </c>
      <c r="BJ512" s="55" t="s">
        <v>176</v>
      </c>
      <c r="BK512" s="55" t="s">
        <v>5976</v>
      </c>
      <c r="BM512" s="192" t="s">
        <v>160</v>
      </c>
      <c r="BN512" s="55">
        <v>4</v>
      </c>
      <c r="BO512" s="55">
        <v>4</v>
      </c>
      <c r="BQ512" s="55" t="s">
        <v>315</v>
      </c>
      <c r="BS512" s="55">
        <f>(6.4+1.9)*1000</f>
        <v>8300</v>
      </c>
      <c r="BT512" s="55">
        <f>BS512/(110+27)</f>
        <v>60.583941605839414</v>
      </c>
      <c r="BU512" s="55" t="s">
        <v>387</v>
      </c>
      <c r="DB512" s="65">
        <v>4.8380000000000001</v>
      </c>
      <c r="DC512" s="65">
        <v>5.7350000000000003</v>
      </c>
      <c r="DF512" s="65" t="s">
        <v>385</v>
      </c>
      <c r="GP512" s="292" t="s">
        <v>7494</v>
      </c>
      <c r="HS512" s="227"/>
      <c r="HW512" s="227"/>
      <c r="JU512" s="55" t="s">
        <v>388</v>
      </c>
      <c r="JV512" s="55" t="s">
        <v>687</v>
      </c>
    </row>
    <row r="513" spans="1:282" x14ac:dyDescent="0.25">
      <c r="A513" s="55">
        <v>512</v>
      </c>
      <c r="B513" s="12" t="s">
        <v>7067</v>
      </c>
      <c r="C513" s="155">
        <v>26</v>
      </c>
      <c r="D513" s="55" t="s">
        <v>3780</v>
      </c>
      <c r="E513" s="90" t="s">
        <v>370</v>
      </c>
      <c r="G513" s="55" t="s">
        <v>371</v>
      </c>
      <c r="H513" s="55">
        <v>2015</v>
      </c>
      <c r="I513" s="55">
        <v>2012</v>
      </c>
      <c r="J513" s="55" t="s">
        <v>276</v>
      </c>
      <c r="K513" s="55" t="s">
        <v>373</v>
      </c>
      <c r="L513" s="55" t="s">
        <v>2737</v>
      </c>
      <c r="M513" s="90">
        <f>35.22</f>
        <v>35.22</v>
      </c>
      <c r="N513" s="90">
        <f>-77.65</f>
        <v>-77.650000000000006</v>
      </c>
      <c r="O513" s="90">
        <v>22.4</v>
      </c>
      <c r="U513" s="55">
        <v>1</v>
      </c>
      <c r="V513" s="55">
        <v>1</v>
      </c>
      <c r="Y513" s="55" t="s">
        <v>380</v>
      </c>
      <c r="Z513" s="55" t="s">
        <v>1349</v>
      </c>
      <c r="AA513" s="90" t="s">
        <v>1677</v>
      </c>
      <c r="AH513" s="55" t="s">
        <v>139</v>
      </c>
      <c r="AM513" s="55" t="s">
        <v>1291</v>
      </c>
      <c r="AN513" s="185" t="s">
        <v>241</v>
      </c>
      <c r="AO513" s="185" t="s">
        <v>5150</v>
      </c>
      <c r="AQ513" s="55" t="s">
        <v>553</v>
      </c>
      <c r="AR513" s="55" t="s">
        <v>132</v>
      </c>
      <c r="AS513" s="55" t="s">
        <v>132</v>
      </c>
      <c r="AU513" s="181" t="s">
        <v>7494</v>
      </c>
      <c r="AV513" s="185" t="s">
        <v>176</v>
      </c>
      <c r="AX513" s="185" t="s">
        <v>176</v>
      </c>
      <c r="AZ513" s="55" t="s">
        <v>384</v>
      </c>
      <c r="BA513" s="55" t="s">
        <v>384</v>
      </c>
      <c r="BB513" s="55" t="s">
        <v>2081</v>
      </c>
      <c r="BC513" s="55" t="s">
        <v>2081</v>
      </c>
      <c r="BD513" s="55" t="s">
        <v>176</v>
      </c>
      <c r="BE513" s="226">
        <v>0</v>
      </c>
      <c r="BF513" s="55" t="s">
        <v>176</v>
      </c>
      <c r="BG513" s="55" t="s">
        <v>176</v>
      </c>
      <c r="BH513" s="226">
        <v>0</v>
      </c>
      <c r="BI513" s="55" t="s">
        <v>176</v>
      </c>
      <c r="BJ513" s="55" t="s">
        <v>176</v>
      </c>
      <c r="BK513" s="55" t="s">
        <v>5976</v>
      </c>
      <c r="BM513" s="192" t="s">
        <v>160</v>
      </c>
      <c r="BN513" s="55">
        <v>4</v>
      </c>
      <c r="BO513" s="55">
        <v>4</v>
      </c>
      <c r="BQ513" s="55" t="s">
        <v>315</v>
      </c>
      <c r="BS513" s="55">
        <f>(6.5+1.8)*1000</f>
        <v>8300</v>
      </c>
      <c r="BT513" s="55">
        <f>BS513/(175+47)</f>
        <v>37.387387387387385</v>
      </c>
      <c r="BU513" s="55" t="s">
        <v>387</v>
      </c>
      <c r="DB513" s="65">
        <v>4.8380000000000001</v>
      </c>
      <c r="DC513" s="65">
        <v>5.7350000000000003</v>
      </c>
      <c r="DF513" s="65" t="s">
        <v>385</v>
      </c>
      <c r="GP513" s="292" t="s">
        <v>7494</v>
      </c>
      <c r="HS513" s="227"/>
      <c r="HW513" s="227"/>
      <c r="JU513" s="55" t="s">
        <v>388</v>
      </c>
      <c r="JV513" s="55" t="s">
        <v>687</v>
      </c>
    </row>
    <row r="514" spans="1:282" x14ac:dyDescent="0.25">
      <c r="A514" s="55">
        <v>513</v>
      </c>
      <c r="B514" s="12" t="s">
        <v>7067</v>
      </c>
      <c r="C514" s="155">
        <v>26</v>
      </c>
      <c r="D514" s="55" t="s">
        <v>3780</v>
      </c>
      <c r="E514" s="90" t="s">
        <v>370</v>
      </c>
      <c r="G514" s="55" t="s">
        <v>371</v>
      </c>
      <c r="H514" s="55">
        <v>2015</v>
      </c>
      <c r="I514" s="55">
        <v>2012</v>
      </c>
      <c r="J514" s="55" t="s">
        <v>276</v>
      </c>
      <c r="K514" s="55" t="s">
        <v>373</v>
      </c>
      <c r="L514" s="55" t="s">
        <v>2737</v>
      </c>
      <c r="M514" s="90">
        <f>35.22</f>
        <v>35.22</v>
      </c>
      <c r="N514" s="90">
        <f>-77.65</f>
        <v>-77.650000000000006</v>
      </c>
      <c r="O514" s="90">
        <v>22.4</v>
      </c>
      <c r="U514" s="55">
        <v>1</v>
      </c>
      <c r="V514" s="55">
        <v>1</v>
      </c>
      <c r="Y514" s="55" t="s">
        <v>381</v>
      </c>
      <c r="Z514" s="55" t="s">
        <v>1349</v>
      </c>
      <c r="AA514" s="90" t="s">
        <v>1677</v>
      </c>
      <c r="AH514" s="55" t="s">
        <v>139</v>
      </c>
      <c r="AM514" s="55" t="s">
        <v>1291</v>
      </c>
      <c r="AN514" s="185" t="s">
        <v>375</v>
      </c>
      <c r="AO514" s="185" t="s">
        <v>5150</v>
      </c>
      <c r="AQ514" s="55" t="s">
        <v>553</v>
      </c>
      <c r="AR514" s="55" t="s">
        <v>132</v>
      </c>
      <c r="AS514" s="55" t="s">
        <v>132</v>
      </c>
      <c r="AU514" s="181" t="s">
        <v>7494</v>
      </c>
      <c r="AV514" s="185" t="s">
        <v>176</v>
      </c>
      <c r="AX514" s="185" t="s">
        <v>176</v>
      </c>
      <c r="AZ514" s="55" t="s">
        <v>384</v>
      </c>
      <c r="BA514" s="55" t="s">
        <v>384</v>
      </c>
      <c r="BB514" s="55" t="s">
        <v>2081</v>
      </c>
      <c r="BC514" s="55" t="s">
        <v>2081</v>
      </c>
      <c r="BD514" s="55" t="s">
        <v>176</v>
      </c>
      <c r="BE514" s="226">
        <v>0</v>
      </c>
      <c r="BF514" s="55" t="s">
        <v>176</v>
      </c>
      <c r="BG514" s="55" t="s">
        <v>176</v>
      </c>
      <c r="BH514" s="226">
        <v>0</v>
      </c>
      <c r="BI514" s="55" t="s">
        <v>176</v>
      </c>
      <c r="BJ514" s="55" t="s">
        <v>176</v>
      </c>
      <c r="BK514" s="55" t="s">
        <v>5976</v>
      </c>
      <c r="BM514" s="192" t="s">
        <v>160</v>
      </c>
      <c r="BN514" s="55">
        <v>4</v>
      </c>
      <c r="BO514" s="55">
        <v>4</v>
      </c>
      <c r="BQ514" s="55" t="s">
        <v>315</v>
      </c>
      <c r="BS514" s="55">
        <f>(6.1+1.6)*1000</f>
        <v>7699.9999999999991</v>
      </c>
      <c r="BT514" s="55">
        <f>BS514/(170+36)</f>
        <v>37.378640776699022</v>
      </c>
      <c r="BU514" s="55" t="s">
        <v>387</v>
      </c>
      <c r="DB514" s="65">
        <v>5.2370000000000001</v>
      </c>
      <c r="DC514" s="65">
        <v>6.38</v>
      </c>
      <c r="DF514" s="65" t="s">
        <v>385</v>
      </c>
      <c r="GP514" s="292" t="s">
        <v>7494</v>
      </c>
      <c r="HS514" s="227"/>
      <c r="HW514" s="227"/>
      <c r="JU514" s="55" t="s">
        <v>388</v>
      </c>
      <c r="JV514" s="55" t="s">
        <v>687</v>
      </c>
    </row>
    <row r="515" spans="1:282" x14ac:dyDescent="0.25">
      <c r="A515" s="55">
        <v>514</v>
      </c>
      <c r="B515" s="12" t="s">
        <v>7067</v>
      </c>
      <c r="C515" s="155">
        <v>26</v>
      </c>
      <c r="D515" s="55" t="s">
        <v>3780</v>
      </c>
      <c r="E515" s="90" t="s">
        <v>370</v>
      </c>
      <c r="G515" s="55" t="s">
        <v>371</v>
      </c>
      <c r="H515" s="55">
        <v>2015</v>
      </c>
      <c r="I515" s="55">
        <v>2012</v>
      </c>
      <c r="J515" s="55" t="s">
        <v>276</v>
      </c>
      <c r="K515" s="55" t="s">
        <v>373</v>
      </c>
      <c r="L515" s="55" t="s">
        <v>2737</v>
      </c>
      <c r="M515" s="90">
        <f>35.22</f>
        <v>35.22</v>
      </c>
      <c r="N515" s="90">
        <f>-77.65</f>
        <v>-77.650000000000006</v>
      </c>
      <c r="O515" s="90">
        <v>22.4</v>
      </c>
      <c r="U515" s="55">
        <v>1</v>
      </c>
      <c r="V515" s="55">
        <v>1</v>
      </c>
      <c r="Y515" s="55" t="s">
        <v>381</v>
      </c>
      <c r="Z515" s="55" t="s">
        <v>1349</v>
      </c>
      <c r="AA515" s="90" t="s">
        <v>1677</v>
      </c>
      <c r="AH515" s="55" t="s">
        <v>139</v>
      </c>
      <c r="AM515" s="55" t="s">
        <v>1291</v>
      </c>
      <c r="AN515" s="185" t="s">
        <v>376</v>
      </c>
      <c r="AO515" s="185" t="s">
        <v>5150</v>
      </c>
      <c r="AQ515" s="55" t="s">
        <v>553</v>
      </c>
      <c r="AR515" s="55" t="s">
        <v>132</v>
      </c>
      <c r="AS515" s="55" t="s">
        <v>132</v>
      </c>
      <c r="AU515" s="181" t="s">
        <v>7494</v>
      </c>
      <c r="AV515" s="185" t="s">
        <v>176</v>
      </c>
      <c r="AX515" s="185" t="s">
        <v>176</v>
      </c>
      <c r="AZ515" s="55" t="s">
        <v>384</v>
      </c>
      <c r="BA515" s="55" t="s">
        <v>384</v>
      </c>
      <c r="BB515" s="55" t="s">
        <v>2081</v>
      </c>
      <c r="BC515" s="55" t="s">
        <v>2081</v>
      </c>
      <c r="BD515" s="55" t="s">
        <v>176</v>
      </c>
      <c r="BE515" s="226">
        <v>0</v>
      </c>
      <c r="BF515" s="55" t="s">
        <v>176</v>
      </c>
      <c r="BG515" s="55" t="s">
        <v>176</v>
      </c>
      <c r="BH515" s="226">
        <v>0</v>
      </c>
      <c r="BI515" s="55" t="s">
        <v>176</v>
      </c>
      <c r="BJ515" s="55" t="s">
        <v>176</v>
      </c>
      <c r="BK515" s="55" t="s">
        <v>5976</v>
      </c>
      <c r="BM515" s="192" t="s">
        <v>160</v>
      </c>
      <c r="BN515" s="55">
        <v>4</v>
      </c>
      <c r="BO515" s="55">
        <v>4</v>
      </c>
      <c r="BQ515" s="55" t="s">
        <v>315</v>
      </c>
      <c r="BS515" s="55">
        <f>(6.4+1.9)*1000</f>
        <v>8300</v>
      </c>
      <c r="BT515" s="55">
        <f>BS515/(110+27)</f>
        <v>60.583941605839414</v>
      </c>
      <c r="BU515" s="55" t="s">
        <v>387</v>
      </c>
      <c r="DB515" s="65">
        <v>5.2370000000000001</v>
      </c>
      <c r="DC515" s="65">
        <v>6.38</v>
      </c>
      <c r="DF515" s="65" t="s">
        <v>385</v>
      </c>
      <c r="GP515" s="292" t="s">
        <v>7494</v>
      </c>
      <c r="HS515" s="227"/>
      <c r="HW515" s="227"/>
      <c r="JU515" s="55" t="s">
        <v>388</v>
      </c>
      <c r="JV515" s="55" t="s">
        <v>687</v>
      </c>
    </row>
    <row r="516" spans="1:282" x14ac:dyDescent="0.25">
      <c r="A516" s="55">
        <v>515</v>
      </c>
      <c r="B516" s="12" t="s">
        <v>7067</v>
      </c>
      <c r="C516" s="155">
        <v>26</v>
      </c>
      <c r="D516" s="55" t="s">
        <v>3780</v>
      </c>
      <c r="E516" s="90" t="s">
        <v>370</v>
      </c>
      <c r="G516" s="55" t="s">
        <v>371</v>
      </c>
      <c r="H516" s="55">
        <v>2015</v>
      </c>
      <c r="I516" s="55">
        <v>2012</v>
      </c>
      <c r="J516" s="55" t="s">
        <v>276</v>
      </c>
      <c r="K516" s="55" t="s">
        <v>373</v>
      </c>
      <c r="L516" s="55" t="s">
        <v>2737</v>
      </c>
      <c r="M516" s="90">
        <f>35.22</f>
        <v>35.22</v>
      </c>
      <c r="N516" s="90">
        <f>-77.65</f>
        <v>-77.650000000000006</v>
      </c>
      <c r="O516" s="90">
        <v>22.4</v>
      </c>
      <c r="U516" s="55">
        <v>1</v>
      </c>
      <c r="V516" s="55">
        <v>1</v>
      </c>
      <c r="Y516" s="55" t="s">
        <v>381</v>
      </c>
      <c r="Z516" s="55" t="s">
        <v>1349</v>
      </c>
      <c r="AA516" s="90" t="s">
        <v>1677</v>
      </c>
      <c r="AH516" s="55" t="s">
        <v>139</v>
      </c>
      <c r="AM516" s="55" t="s">
        <v>1291</v>
      </c>
      <c r="AN516" s="185" t="s">
        <v>241</v>
      </c>
      <c r="AO516" s="185" t="s">
        <v>5150</v>
      </c>
      <c r="AQ516" s="55" t="s">
        <v>553</v>
      </c>
      <c r="AR516" s="55" t="s">
        <v>132</v>
      </c>
      <c r="AS516" s="55" t="s">
        <v>132</v>
      </c>
      <c r="AU516" s="181" t="s">
        <v>7494</v>
      </c>
      <c r="AV516" s="185" t="s">
        <v>176</v>
      </c>
      <c r="AX516" s="185" t="s">
        <v>176</v>
      </c>
      <c r="AZ516" s="55" t="s">
        <v>384</v>
      </c>
      <c r="BA516" s="55" t="s">
        <v>384</v>
      </c>
      <c r="BB516" s="55" t="s">
        <v>2081</v>
      </c>
      <c r="BC516" s="55" t="s">
        <v>2081</v>
      </c>
      <c r="BD516" s="55" t="s">
        <v>176</v>
      </c>
      <c r="BE516" s="226">
        <v>0</v>
      </c>
      <c r="BF516" s="55" t="s">
        <v>176</v>
      </c>
      <c r="BG516" s="55" t="s">
        <v>176</v>
      </c>
      <c r="BH516" s="226">
        <v>0</v>
      </c>
      <c r="BI516" s="55" t="s">
        <v>176</v>
      </c>
      <c r="BJ516" s="55" t="s">
        <v>176</v>
      </c>
      <c r="BK516" s="55" t="s">
        <v>5976</v>
      </c>
      <c r="BM516" s="192" t="s">
        <v>160</v>
      </c>
      <c r="BN516" s="55">
        <v>4</v>
      </c>
      <c r="BO516" s="55">
        <v>4</v>
      </c>
      <c r="BQ516" s="55" t="s">
        <v>315</v>
      </c>
      <c r="BS516" s="55">
        <f>(6.5+1.8)*1000</f>
        <v>8300</v>
      </c>
      <c r="BT516" s="55">
        <f>BS516/(175+47)</f>
        <v>37.387387387387385</v>
      </c>
      <c r="BU516" s="55" t="s">
        <v>387</v>
      </c>
      <c r="DB516" s="65">
        <v>5.2370000000000001</v>
      </c>
      <c r="DC516" s="65">
        <v>6.38</v>
      </c>
      <c r="DF516" s="65" t="s">
        <v>385</v>
      </c>
      <c r="GP516" s="292" t="s">
        <v>7494</v>
      </c>
      <c r="HS516" s="227"/>
      <c r="HW516" s="227"/>
      <c r="JU516" s="55" t="s">
        <v>388</v>
      </c>
      <c r="JV516" s="55" t="s">
        <v>687</v>
      </c>
    </row>
    <row r="517" spans="1:282" x14ac:dyDescent="0.25">
      <c r="A517" s="55">
        <v>516</v>
      </c>
      <c r="B517" s="12" t="s">
        <v>7067</v>
      </c>
      <c r="C517" s="155">
        <v>26</v>
      </c>
      <c r="D517" s="55" t="s">
        <v>3780</v>
      </c>
      <c r="E517" s="90" t="s">
        <v>370</v>
      </c>
      <c r="G517" s="55" t="s">
        <v>371</v>
      </c>
      <c r="H517" s="55">
        <v>2015</v>
      </c>
      <c r="I517" s="55">
        <v>2012</v>
      </c>
      <c r="J517" s="55" t="s">
        <v>276</v>
      </c>
      <c r="K517" s="55" t="s">
        <v>373</v>
      </c>
      <c r="L517" s="55" t="s">
        <v>2737</v>
      </c>
      <c r="M517" s="90">
        <f>35.22</f>
        <v>35.22</v>
      </c>
      <c r="N517" s="90">
        <f>-77.65</f>
        <v>-77.650000000000006</v>
      </c>
      <c r="O517" s="90">
        <v>22.4</v>
      </c>
      <c r="U517" s="55">
        <v>1</v>
      </c>
      <c r="V517" s="55">
        <v>1</v>
      </c>
      <c r="Y517" s="55" t="s">
        <v>382</v>
      </c>
      <c r="Z517" s="55" t="s">
        <v>1349</v>
      </c>
      <c r="AA517" s="90" t="s">
        <v>1677</v>
      </c>
      <c r="AH517" s="55" t="s">
        <v>139</v>
      </c>
      <c r="AM517" s="55" t="s">
        <v>1291</v>
      </c>
      <c r="AN517" s="185" t="s">
        <v>375</v>
      </c>
      <c r="AO517" s="185" t="s">
        <v>5150</v>
      </c>
      <c r="AQ517" s="55" t="s">
        <v>553</v>
      </c>
      <c r="AR517" s="55" t="s">
        <v>132</v>
      </c>
      <c r="AS517" s="55" t="s">
        <v>132</v>
      </c>
      <c r="AU517" s="181" t="s">
        <v>7494</v>
      </c>
      <c r="AV517" s="185" t="s">
        <v>176</v>
      </c>
      <c r="AX517" s="185" t="s">
        <v>176</v>
      </c>
      <c r="AZ517" s="55" t="s">
        <v>384</v>
      </c>
      <c r="BA517" s="55" t="s">
        <v>384</v>
      </c>
      <c r="BB517" s="55" t="s">
        <v>2081</v>
      </c>
      <c r="BC517" s="55" t="s">
        <v>2081</v>
      </c>
      <c r="BD517" s="55" t="s">
        <v>176</v>
      </c>
      <c r="BE517" s="226">
        <v>0</v>
      </c>
      <c r="BF517" s="55" t="s">
        <v>176</v>
      </c>
      <c r="BG517" s="55" t="s">
        <v>176</v>
      </c>
      <c r="BH517" s="226">
        <v>0</v>
      </c>
      <c r="BI517" s="55" t="s">
        <v>176</v>
      </c>
      <c r="BJ517" s="55" t="s">
        <v>176</v>
      </c>
      <c r="BK517" s="55" t="s">
        <v>5976</v>
      </c>
      <c r="BM517" s="192" t="s">
        <v>160</v>
      </c>
      <c r="BN517" s="55">
        <v>4</v>
      </c>
      <c r="BO517" s="55">
        <v>4</v>
      </c>
      <c r="BQ517" s="55" t="s">
        <v>315</v>
      </c>
      <c r="BS517" s="55">
        <f>(6.1+1.6)*1000</f>
        <v>7699.9999999999991</v>
      </c>
      <c r="BT517" s="55">
        <f>BS517/(170+36)</f>
        <v>37.378640776699022</v>
      </c>
      <c r="BU517" s="55" t="s">
        <v>387</v>
      </c>
      <c r="DB517" s="65">
        <v>3.5859999999999999</v>
      </c>
      <c r="DC517" s="65">
        <v>4.0750000000000002</v>
      </c>
      <c r="DF517" s="65" t="s">
        <v>385</v>
      </c>
      <c r="GP517" s="292" t="s">
        <v>7494</v>
      </c>
      <c r="HS517" s="227"/>
      <c r="HW517" s="227"/>
      <c r="JU517" s="55" t="s">
        <v>388</v>
      </c>
      <c r="JV517" s="55" t="s">
        <v>687</v>
      </c>
    </row>
    <row r="518" spans="1:282" x14ac:dyDescent="0.25">
      <c r="A518" s="55">
        <v>517</v>
      </c>
      <c r="B518" s="12" t="s">
        <v>7067</v>
      </c>
      <c r="C518" s="155">
        <v>26</v>
      </c>
      <c r="D518" s="55" t="s">
        <v>3780</v>
      </c>
      <c r="E518" s="90" t="s">
        <v>370</v>
      </c>
      <c r="G518" s="55" t="s">
        <v>371</v>
      </c>
      <c r="H518" s="55">
        <v>2015</v>
      </c>
      <c r="I518" s="55">
        <v>2012</v>
      </c>
      <c r="J518" s="55" t="s">
        <v>276</v>
      </c>
      <c r="K518" s="55" t="s">
        <v>373</v>
      </c>
      <c r="L518" s="55" t="s">
        <v>2737</v>
      </c>
      <c r="M518" s="90">
        <f>35.22</f>
        <v>35.22</v>
      </c>
      <c r="N518" s="90">
        <f>-77.65</f>
        <v>-77.650000000000006</v>
      </c>
      <c r="O518" s="90">
        <v>22.4</v>
      </c>
      <c r="U518" s="55">
        <v>1</v>
      </c>
      <c r="V518" s="55">
        <v>1</v>
      </c>
      <c r="Y518" s="55" t="s">
        <v>382</v>
      </c>
      <c r="Z518" s="55" t="s">
        <v>1349</v>
      </c>
      <c r="AA518" s="90" t="s">
        <v>1677</v>
      </c>
      <c r="AH518" s="55" t="s">
        <v>139</v>
      </c>
      <c r="AM518" s="55" t="s">
        <v>1291</v>
      </c>
      <c r="AN518" s="185" t="s">
        <v>376</v>
      </c>
      <c r="AO518" s="185" t="s">
        <v>5150</v>
      </c>
      <c r="AQ518" s="55" t="s">
        <v>553</v>
      </c>
      <c r="AR518" s="55" t="s">
        <v>132</v>
      </c>
      <c r="AS518" s="55" t="s">
        <v>132</v>
      </c>
      <c r="AU518" s="181" t="s">
        <v>7494</v>
      </c>
      <c r="AV518" s="185" t="s">
        <v>176</v>
      </c>
      <c r="AX518" s="185" t="s">
        <v>176</v>
      </c>
      <c r="AZ518" s="55" t="s">
        <v>384</v>
      </c>
      <c r="BA518" s="55" t="s">
        <v>384</v>
      </c>
      <c r="BB518" s="55" t="s">
        <v>2081</v>
      </c>
      <c r="BC518" s="55" t="s">
        <v>2081</v>
      </c>
      <c r="BD518" s="55" t="s">
        <v>176</v>
      </c>
      <c r="BE518" s="226">
        <v>0</v>
      </c>
      <c r="BF518" s="55" t="s">
        <v>176</v>
      </c>
      <c r="BG518" s="55" t="s">
        <v>176</v>
      </c>
      <c r="BH518" s="226">
        <v>0</v>
      </c>
      <c r="BI518" s="55" t="s">
        <v>176</v>
      </c>
      <c r="BJ518" s="55" t="s">
        <v>176</v>
      </c>
      <c r="BK518" s="55" t="s">
        <v>5976</v>
      </c>
      <c r="BM518" s="192" t="s">
        <v>160</v>
      </c>
      <c r="BN518" s="55">
        <v>4</v>
      </c>
      <c r="BO518" s="55">
        <v>4</v>
      </c>
      <c r="BQ518" s="55" t="s">
        <v>315</v>
      </c>
      <c r="BS518" s="55">
        <f>(6.4+1.9)*1000</f>
        <v>8300</v>
      </c>
      <c r="BT518" s="55">
        <f>BS518/(110+27)</f>
        <v>60.583941605839414</v>
      </c>
      <c r="BU518" s="55" t="s">
        <v>387</v>
      </c>
      <c r="DB518" s="65">
        <v>3.5859999999999999</v>
      </c>
      <c r="DC518" s="65">
        <v>2.2799999999999998</v>
      </c>
      <c r="DF518" s="65" t="s">
        <v>385</v>
      </c>
      <c r="GP518" s="292" t="s">
        <v>7494</v>
      </c>
      <c r="HS518" s="227"/>
      <c r="HW518" s="227"/>
      <c r="JU518" s="55" t="s">
        <v>388</v>
      </c>
      <c r="JV518" s="55" t="s">
        <v>687</v>
      </c>
    </row>
    <row r="519" spans="1:282" x14ac:dyDescent="0.25">
      <c r="A519" s="55">
        <v>518</v>
      </c>
      <c r="B519" s="12" t="s">
        <v>7067</v>
      </c>
      <c r="C519" s="155">
        <v>26</v>
      </c>
      <c r="D519" s="55" t="s">
        <v>3780</v>
      </c>
      <c r="E519" s="90" t="s">
        <v>370</v>
      </c>
      <c r="G519" s="55" t="s">
        <v>371</v>
      </c>
      <c r="H519" s="55">
        <v>2015</v>
      </c>
      <c r="I519" s="55">
        <v>2012</v>
      </c>
      <c r="J519" s="55" t="s">
        <v>276</v>
      </c>
      <c r="K519" s="55" t="s">
        <v>373</v>
      </c>
      <c r="L519" s="55" t="s">
        <v>2737</v>
      </c>
      <c r="M519" s="90">
        <f>35.22</f>
        <v>35.22</v>
      </c>
      <c r="N519" s="90">
        <f>-77.65</f>
        <v>-77.650000000000006</v>
      </c>
      <c r="O519" s="90">
        <v>22.4</v>
      </c>
      <c r="U519" s="55">
        <v>1</v>
      </c>
      <c r="V519" s="55">
        <v>1</v>
      </c>
      <c r="Y519" s="55" t="s">
        <v>382</v>
      </c>
      <c r="Z519" s="55" t="s">
        <v>1349</v>
      </c>
      <c r="AA519" s="90" t="s">
        <v>1677</v>
      </c>
      <c r="AH519" s="55" t="s">
        <v>139</v>
      </c>
      <c r="AM519" s="55" t="s">
        <v>1291</v>
      </c>
      <c r="AN519" s="185" t="s">
        <v>241</v>
      </c>
      <c r="AO519" s="185" t="s">
        <v>5150</v>
      </c>
      <c r="AQ519" s="55" t="s">
        <v>553</v>
      </c>
      <c r="AR519" s="55" t="s">
        <v>132</v>
      </c>
      <c r="AS519" s="55" t="s">
        <v>132</v>
      </c>
      <c r="AU519" s="181" t="s">
        <v>7494</v>
      </c>
      <c r="AV519" s="185" t="s">
        <v>176</v>
      </c>
      <c r="AX519" s="185" t="s">
        <v>176</v>
      </c>
      <c r="AZ519" s="55" t="s">
        <v>384</v>
      </c>
      <c r="BA519" s="55" t="s">
        <v>384</v>
      </c>
      <c r="BB519" s="55" t="s">
        <v>2081</v>
      </c>
      <c r="BC519" s="55" t="s">
        <v>2081</v>
      </c>
      <c r="BD519" s="55" t="s">
        <v>176</v>
      </c>
      <c r="BE519" s="226">
        <v>0</v>
      </c>
      <c r="BF519" s="55" t="s">
        <v>176</v>
      </c>
      <c r="BG519" s="55" t="s">
        <v>176</v>
      </c>
      <c r="BH519" s="226">
        <v>0</v>
      </c>
      <c r="BI519" s="55" t="s">
        <v>176</v>
      </c>
      <c r="BJ519" s="55" t="s">
        <v>176</v>
      </c>
      <c r="BK519" s="55" t="s">
        <v>5976</v>
      </c>
      <c r="BM519" s="192" t="s">
        <v>160</v>
      </c>
      <c r="BN519" s="55">
        <v>4</v>
      </c>
      <c r="BO519" s="55">
        <v>4</v>
      </c>
      <c r="BQ519" s="55" t="s">
        <v>315</v>
      </c>
      <c r="BS519" s="55">
        <f>(6.5+1.8)*1000</f>
        <v>8300</v>
      </c>
      <c r="BT519" s="55">
        <f>BS519/(175+47)</f>
        <v>37.387387387387385</v>
      </c>
      <c r="BU519" s="55" t="s">
        <v>387</v>
      </c>
      <c r="DB519" s="65">
        <v>3.5859999999999999</v>
      </c>
      <c r="DC519" s="65">
        <v>4.0750000000000002</v>
      </c>
      <c r="DF519" s="65" t="s">
        <v>385</v>
      </c>
      <c r="GP519" s="292" t="s">
        <v>7494</v>
      </c>
      <c r="HS519" s="227"/>
      <c r="HW519" s="227"/>
      <c r="JU519" s="55" t="s">
        <v>388</v>
      </c>
      <c r="JV519" s="55" t="s">
        <v>687</v>
      </c>
    </row>
    <row r="520" spans="1:282" x14ac:dyDescent="0.25">
      <c r="A520" s="55">
        <v>519</v>
      </c>
      <c r="B520" s="12" t="s">
        <v>7067</v>
      </c>
      <c r="C520" s="155">
        <v>26</v>
      </c>
      <c r="D520" s="55" t="s">
        <v>3780</v>
      </c>
      <c r="E520" s="90" t="s">
        <v>370</v>
      </c>
      <c r="G520" s="55" t="s">
        <v>371</v>
      </c>
      <c r="H520" s="55">
        <v>2015</v>
      </c>
      <c r="I520" s="55">
        <v>2012</v>
      </c>
      <c r="J520" s="55" t="s">
        <v>276</v>
      </c>
      <c r="K520" s="55" t="s">
        <v>373</v>
      </c>
      <c r="L520" s="55" t="s">
        <v>2737</v>
      </c>
      <c r="M520" s="90">
        <f>35.22</f>
        <v>35.22</v>
      </c>
      <c r="N520" s="90">
        <f>-77.65</f>
        <v>-77.650000000000006</v>
      </c>
      <c r="O520" s="90">
        <v>22.4</v>
      </c>
      <c r="U520" s="55">
        <v>1</v>
      </c>
      <c r="V520" s="55">
        <v>1</v>
      </c>
      <c r="Y520" s="55" t="s">
        <v>383</v>
      </c>
      <c r="Z520" s="55" t="s">
        <v>1349</v>
      </c>
      <c r="AA520" s="90" t="s">
        <v>1677</v>
      </c>
      <c r="AH520" s="55" t="s">
        <v>139</v>
      </c>
      <c r="AM520" s="55" t="s">
        <v>1291</v>
      </c>
      <c r="AN520" s="185" t="s">
        <v>375</v>
      </c>
      <c r="AO520" s="185" t="s">
        <v>5150</v>
      </c>
      <c r="AQ520" s="55" t="s">
        <v>553</v>
      </c>
      <c r="AR520" s="55" t="s">
        <v>132</v>
      </c>
      <c r="AS520" s="55" t="s">
        <v>132</v>
      </c>
      <c r="AU520" s="181" t="s">
        <v>7494</v>
      </c>
      <c r="AV520" s="185" t="s">
        <v>176</v>
      </c>
      <c r="AX520" s="185" t="s">
        <v>176</v>
      </c>
      <c r="AZ520" s="55" t="s">
        <v>384</v>
      </c>
      <c r="BA520" s="55" t="s">
        <v>384</v>
      </c>
      <c r="BB520" s="55" t="s">
        <v>2081</v>
      </c>
      <c r="BC520" s="55" t="s">
        <v>2081</v>
      </c>
      <c r="BD520" s="55" t="s">
        <v>176</v>
      </c>
      <c r="BE520" s="226">
        <v>0</v>
      </c>
      <c r="BF520" s="55" t="s">
        <v>176</v>
      </c>
      <c r="BG520" s="55" t="s">
        <v>176</v>
      </c>
      <c r="BH520" s="226">
        <v>0</v>
      </c>
      <c r="BI520" s="55" t="s">
        <v>176</v>
      </c>
      <c r="BJ520" s="55" t="s">
        <v>176</v>
      </c>
      <c r="BK520" s="55" t="s">
        <v>5976</v>
      </c>
      <c r="BM520" s="192" t="s">
        <v>160</v>
      </c>
      <c r="BN520" s="55">
        <v>4</v>
      </c>
      <c r="BO520" s="55">
        <v>4</v>
      </c>
      <c r="BQ520" s="55" t="s">
        <v>315</v>
      </c>
      <c r="BS520" s="55">
        <f>(6.1+1.6)*1000</f>
        <v>7699.9999999999991</v>
      </c>
      <c r="BT520" s="55">
        <f>BS520/(170+36)</f>
        <v>37.378640776699022</v>
      </c>
      <c r="BU520" s="55" t="s">
        <v>387</v>
      </c>
      <c r="DB520" s="65">
        <v>6.4219999999999997</v>
      </c>
      <c r="DC520" s="65">
        <v>5.2</v>
      </c>
      <c r="DF520" s="65" t="s">
        <v>385</v>
      </c>
      <c r="GP520" s="292" t="s">
        <v>7494</v>
      </c>
      <c r="HS520" s="227"/>
      <c r="HW520" s="227"/>
      <c r="JU520" s="55" t="s">
        <v>388</v>
      </c>
      <c r="JV520" s="55" t="s">
        <v>687</v>
      </c>
    </row>
    <row r="521" spans="1:282" x14ac:dyDescent="0.25">
      <c r="A521" s="55">
        <v>520</v>
      </c>
      <c r="B521" s="12" t="s">
        <v>7067</v>
      </c>
      <c r="C521" s="155">
        <v>26</v>
      </c>
      <c r="D521" s="55" t="s">
        <v>3780</v>
      </c>
      <c r="E521" s="90" t="s">
        <v>370</v>
      </c>
      <c r="G521" s="55" t="s">
        <v>371</v>
      </c>
      <c r="H521" s="55">
        <v>2015</v>
      </c>
      <c r="I521" s="55">
        <v>2012</v>
      </c>
      <c r="J521" s="55" t="s">
        <v>276</v>
      </c>
      <c r="K521" s="55" t="s">
        <v>373</v>
      </c>
      <c r="L521" s="55" t="s">
        <v>2737</v>
      </c>
      <c r="M521" s="90">
        <f>35.22</f>
        <v>35.22</v>
      </c>
      <c r="N521" s="90">
        <f>-77.65</f>
        <v>-77.650000000000006</v>
      </c>
      <c r="O521" s="90">
        <v>22.4</v>
      </c>
      <c r="U521" s="55">
        <v>1</v>
      </c>
      <c r="V521" s="55">
        <v>1</v>
      </c>
      <c r="Y521" s="55" t="s">
        <v>383</v>
      </c>
      <c r="Z521" s="55" t="s">
        <v>1349</v>
      </c>
      <c r="AA521" s="90" t="s">
        <v>1677</v>
      </c>
      <c r="AH521" s="55" t="s">
        <v>139</v>
      </c>
      <c r="AM521" s="55" t="s">
        <v>1291</v>
      </c>
      <c r="AN521" s="185" t="s">
        <v>376</v>
      </c>
      <c r="AO521" s="185" t="s">
        <v>5150</v>
      </c>
      <c r="AQ521" s="55" t="s">
        <v>553</v>
      </c>
      <c r="AR521" s="55" t="s">
        <v>132</v>
      </c>
      <c r="AS521" s="55" t="s">
        <v>132</v>
      </c>
      <c r="AU521" s="181" t="s">
        <v>7494</v>
      </c>
      <c r="AV521" s="185" t="s">
        <v>176</v>
      </c>
      <c r="AX521" s="185" t="s">
        <v>176</v>
      </c>
      <c r="AZ521" s="55" t="s">
        <v>384</v>
      </c>
      <c r="BA521" s="55" t="s">
        <v>384</v>
      </c>
      <c r="BB521" s="55" t="s">
        <v>2081</v>
      </c>
      <c r="BC521" s="55" t="s">
        <v>2081</v>
      </c>
      <c r="BD521" s="55" t="s">
        <v>176</v>
      </c>
      <c r="BE521" s="226">
        <v>0</v>
      </c>
      <c r="BF521" s="55" t="s">
        <v>176</v>
      </c>
      <c r="BG521" s="55" t="s">
        <v>176</v>
      </c>
      <c r="BH521" s="226">
        <v>0</v>
      </c>
      <c r="BI521" s="55" t="s">
        <v>176</v>
      </c>
      <c r="BJ521" s="55" t="s">
        <v>176</v>
      </c>
      <c r="BK521" s="55" t="s">
        <v>5976</v>
      </c>
      <c r="BM521" s="192" t="s">
        <v>160</v>
      </c>
      <c r="BN521" s="55">
        <v>4</v>
      </c>
      <c r="BO521" s="55">
        <v>4</v>
      </c>
      <c r="BQ521" s="55" t="s">
        <v>315</v>
      </c>
      <c r="BS521" s="55">
        <f>(6.4+1.9)*1000</f>
        <v>8300</v>
      </c>
      <c r="BT521" s="55">
        <f>BS521/(110+27)</f>
        <v>60.583941605839414</v>
      </c>
      <c r="BU521" s="55" t="s">
        <v>387</v>
      </c>
      <c r="DB521" s="65">
        <v>6.4219999999999997</v>
      </c>
      <c r="DC521" s="65">
        <v>4.1399999999999997</v>
      </c>
      <c r="DF521" s="65" t="s">
        <v>385</v>
      </c>
      <c r="GP521" s="292" t="s">
        <v>7494</v>
      </c>
      <c r="HS521" s="227"/>
      <c r="HW521" s="227"/>
      <c r="JU521" s="55" t="s">
        <v>388</v>
      </c>
      <c r="JV521" s="55" t="s">
        <v>687</v>
      </c>
    </row>
    <row r="522" spans="1:282" x14ac:dyDescent="0.25">
      <c r="A522" s="55">
        <v>521</v>
      </c>
      <c r="B522" s="12" t="s">
        <v>7067</v>
      </c>
      <c r="C522" s="155">
        <v>26</v>
      </c>
      <c r="D522" s="55" t="s">
        <v>3780</v>
      </c>
      <c r="E522" s="90" t="s">
        <v>370</v>
      </c>
      <c r="G522" s="55" t="s">
        <v>371</v>
      </c>
      <c r="H522" s="55">
        <v>2015</v>
      </c>
      <c r="I522" s="55">
        <v>2012</v>
      </c>
      <c r="J522" s="55" t="s">
        <v>276</v>
      </c>
      <c r="K522" s="55" t="s">
        <v>373</v>
      </c>
      <c r="L522" s="55" t="s">
        <v>2737</v>
      </c>
      <c r="M522" s="90">
        <f>35.22</f>
        <v>35.22</v>
      </c>
      <c r="N522" s="90">
        <f>-77.65</f>
        <v>-77.650000000000006</v>
      </c>
      <c r="O522" s="90">
        <v>22.4</v>
      </c>
      <c r="U522" s="55">
        <v>1</v>
      </c>
      <c r="V522" s="55">
        <v>1</v>
      </c>
      <c r="Y522" s="55" t="s">
        <v>383</v>
      </c>
      <c r="Z522" s="55" t="s">
        <v>1349</v>
      </c>
      <c r="AA522" s="90" t="s">
        <v>1677</v>
      </c>
      <c r="AH522" s="55" t="s">
        <v>139</v>
      </c>
      <c r="AM522" s="55" t="s">
        <v>1291</v>
      </c>
      <c r="AN522" s="185" t="s">
        <v>241</v>
      </c>
      <c r="AO522" s="185" t="s">
        <v>5150</v>
      </c>
      <c r="AQ522" s="55" t="s">
        <v>553</v>
      </c>
      <c r="AR522" s="55" t="s">
        <v>132</v>
      </c>
      <c r="AS522" s="55" t="s">
        <v>132</v>
      </c>
      <c r="AU522" s="181" t="s">
        <v>7494</v>
      </c>
      <c r="AV522" s="185" t="s">
        <v>176</v>
      </c>
      <c r="AX522" s="185" t="s">
        <v>176</v>
      </c>
      <c r="AZ522" s="55" t="s">
        <v>384</v>
      </c>
      <c r="BA522" s="55" t="s">
        <v>384</v>
      </c>
      <c r="BB522" s="55" t="s">
        <v>2081</v>
      </c>
      <c r="BC522" s="55" t="s">
        <v>2081</v>
      </c>
      <c r="BD522" s="55" t="s">
        <v>176</v>
      </c>
      <c r="BE522" s="226">
        <v>0</v>
      </c>
      <c r="BF522" s="55" t="s">
        <v>176</v>
      </c>
      <c r="BG522" s="55" t="s">
        <v>176</v>
      </c>
      <c r="BH522" s="226">
        <v>0</v>
      </c>
      <c r="BI522" s="55" t="s">
        <v>176</v>
      </c>
      <c r="BJ522" s="55" t="s">
        <v>176</v>
      </c>
      <c r="BK522" s="55" t="s">
        <v>5976</v>
      </c>
      <c r="BM522" s="192" t="s">
        <v>160</v>
      </c>
      <c r="BN522" s="55">
        <v>4</v>
      </c>
      <c r="BO522" s="55">
        <v>4</v>
      </c>
      <c r="BQ522" s="55" t="s">
        <v>315</v>
      </c>
      <c r="BS522" s="55">
        <f>(6.5+1.8)*1000</f>
        <v>8300</v>
      </c>
      <c r="BT522" s="55">
        <f>BS522/(175+47)</f>
        <v>37.387387387387385</v>
      </c>
      <c r="BU522" s="55" t="s">
        <v>387</v>
      </c>
      <c r="DB522" s="65">
        <v>6.4219999999999997</v>
      </c>
      <c r="DC522" s="65">
        <v>6.58</v>
      </c>
      <c r="DF522" s="65" t="s">
        <v>385</v>
      </c>
      <c r="GP522" s="292" t="s">
        <v>7494</v>
      </c>
      <c r="HS522" s="227"/>
      <c r="HW522" s="227"/>
      <c r="JU522" s="55" t="s">
        <v>388</v>
      </c>
      <c r="JV522" s="55" t="s">
        <v>687</v>
      </c>
    </row>
    <row r="523" spans="1:282" x14ac:dyDescent="0.25">
      <c r="A523" s="55">
        <v>522</v>
      </c>
      <c r="B523" s="12" t="s">
        <v>7067</v>
      </c>
      <c r="C523" s="155">
        <v>27</v>
      </c>
      <c r="D523" s="55" t="s">
        <v>3781</v>
      </c>
      <c r="E523" s="90" t="s">
        <v>389</v>
      </c>
      <c r="G523" s="55" t="s">
        <v>390</v>
      </c>
      <c r="H523" s="55">
        <v>2017</v>
      </c>
      <c r="I523" s="55">
        <v>2008</v>
      </c>
      <c r="J523" s="55" t="s">
        <v>391</v>
      </c>
      <c r="K523" s="55" t="s">
        <v>392</v>
      </c>
      <c r="L523" s="55" t="s">
        <v>2737</v>
      </c>
      <c r="M523" s="90">
        <f>42+52/60</f>
        <v>42.866666666666667</v>
      </c>
      <c r="N523" s="90">
        <f>-76-33/60</f>
        <v>-76.55</v>
      </c>
      <c r="O523" s="90">
        <v>255.8</v>
      </c>
      <c r="S523" s="90">
        <v>979</v>
      </c>
      <c r="U523" s="55">
        <v>5</v>
      </c>
      <c r="V523" s="55" t="s">
        <v>1679</v>
      </c>
      <c r="Y523" s="55" t="s">
        <v>1864</v>
      </c>
      <c r="Z523" s="55" t="s">
        <v>1358</v>
      </c>
      <c r="AA523" s="90" t="s">
        <v>1681</v>
      </c>
      <c r="AH523" s="55" t="s">
        <v>139</v>
      </c>
      <c r="AM523" s="55" t="s">
        <v>1292</v>
      </c>
      <c r="AN523" s="185" t="s">
        <v>610</v>
      </c>
      <c r="AO523" s="185" t="s">
        <v>5150</v>
      </c>
      <c r="AQ523" s="55" t="s">
        <v>610</v>
      </c>
      <c r="AR523" s="55" t="s">
        <v>218</v>
      </c>
      <c r="AS523" s="55" t="s">
        <v>1577</v>
      </c>
      <c r="AT523" s="181" t="s">
        <v>393</v>
      </c>
      <c r="AU523" s="181" t="s">
        <v>5150</v>
      </c>
      <c r="AV523" s="185" t="s">
        <v>479</v>
      </c>
      <c r="AW523" s="55" t="s">
        <v>393</v>
      </c>
      <c r="AX523" s="185" t="s">
        <v>479</v>
      </c>
      <c r="AY523" s="55" t="s">
        <v>176</v>
      </c>
      <c r="BE523" s="226" t="s">
        <v>394</v>
      </c>
      <c r="BF523" s="191" t="s">
        <v>479</v>
      </c>
      <c r="BG523" s="55" t="s">
        <v>479</v>
      </c>
      <c r="BH523" s="226" t="s">
        <v>394</v>
      </c>
      <c r="BI523" s="55" t="s">
        <v>479</v>
      </c>
      <c r="BJ523" s="55" t="s">
        <v>176</v>
      </c>
      <c r="BK523" s="55" t="s">
        <v>5976</v>
      </c>
      <c r="BM523" s="192" t="s">
        <v>160</v>
      </c>
      <c r="BN523" s="55">
        <v>4</v>
      </c>
      <c r="BO523" s="55">
        <v>4</v>
      </c>
      <c r="BQ523" s="55" t="s">
        <v>315</v>
      </c>
      <c r="CB523" s="66">
        <v>5611</v>
      </c>
      <c r="CC523" s="66">
        <v>5786</v>
      </c>
      <c r="GN523" s="294">
        <f>14.59*10</f>
        <v>145.9</v>
      </c>
      <c r="GO523" s="294">
        <v>152</v>
      </c>
      <c r="GP523" s="292" t="s">
        <v>5150</v>
      </c>
      <c r="HS523" s="227"/>
      <c r="HW523" s="227"/>
    </row>
    <row r="524" spans="1:282" x14ac:dyDescent="0.25">
      <c r="A524" s="55">
        <v>523</v>
      </c>
      <c r="B524" s="12" t="s">
        <v>7067</v>
      </c>
      <c r="C524" s="155">
        <v>27</v>
      </c>
      <c r="D524" s="55" t="s">
        <v>3781</v>
      </c>
      <c r="E524" s="90" t="s">
        <v>389</v>
      </c>
      <c r="G524" s="55" t="s">
        <v>390</v>
      </c>
      <c r="H524" s="55">
        <v>2017</v>
      </c>
      <c r="I524" s="55">
        <v>2008</v>
      </c>
      <c r="J524" s="55" t="s">
        <v>391</v>
      </c>
      <c r="K524" s="55" t="s">
        <v>392</v>
      </c>
      <c r="L524" s="55" t="s">
        <v>2737</v>
      </c>
      <c r="M524" s="90">
        <f>42+52/60</f>
        <v>42.866666666666667</v>
      </c>
      <c r="N524" s="90">
        <f>-76-33/60</f>
        <v>-76.55</v>
      </c>
      <c r="O524" s="90">
        <v>255.8</v>
      </c>
      <c r="S524" s="90">
        <v>979</v>
      </c>
      <c r="U524" s="55">
        <v>5</v>
      </c>
      <c r="V524" s="55" t="s">
        <v>1679</v>
      </c>
      <c r="Y524" s="55" t="s">
        <v>1864</v>
      </c>
      <c r="Z524" s="55" t="s">
        <v>1358</v>
      </c>
      <c r="AA524" s="90" t="s">
        <v>1681</v>
      </c>
      <c r="AH524" s="55" t="s">
        <v>139</v>
      </c>
      <c r="AM524" s="55" t="s">
        <v>1292</v>
      </c>
      <c r="AN524" s="185" t="s">
        <v>610</v>
      </c>
      <c r="AO524" s="185" t="s">
        <v>5150</v>
      </c>
      <c r="AQ524" s="55" t="s">
        <v>610</v>
      </c>
      <c r="AR524" s="55" t="s">
        <v>218</v>
      </c>
      <c r="AS524" s="55" t="s">
        <v>1577</v>
      </c>
      <c r="AT524" s="181" t="s">
        <v>393</v>
      </c>
      <c r="AU524" s="181" t="s">
        <v>5150</v>
      </c>
      <c r="AV524" s="185" t="s">
        <v>479</v>
      </c>
      <c r="AW524" s="55" t="s">
        <v>393</v>
      </c>
      <c r="AX524" s="185" t="s">
        <v>479</v>
      </c>
      <c r="AY524" s="55" t="s">
        <v>176</v>
      </c>
      <c r="BE524" s="226" t="s">
        <v>394</v>
      </c>
      <c r="BF524" s="191" t="s">
        <v>479</v>
      </c>
      <c r="BG524" s="55" t="s">
        <v>479</v>
      </c>
      <c r="BH524" s="226" t="s">
        <v>394</v>
      </c>
      <c r="BI524" s="55" t="s">
        <v>479</v>
      </c>
      <c r="BJ524" s="55" t="s">
        <v>176</v>
      </c>
      <c r="BK524" s="55" t="s">
        <v>5976</v>
      </c>
      <c r="BM524" s="192" t="s">
        <v>160</v>
      </c>
      <c r="BN524" s="55">
        <v>4</v>
      </c>
      <c r="BO524" s="55">
        <v>4</v>
      </c>
      <c r="BQ524" s="55" t="s">
        <v>315</v>
      </c>
      <c r="CB524" s="66">
        <v>5611</v>
      </c>
      <c r="CC524" s="66">
        <v>6302</v>
      </c>
      <c r="GN524" s="294">
        <f>14.59*10</f>
        <v>145.9</v>
      </c>
      <c r="GO524" s="294">
        <v>47.9</v>
      </c>
      <c r="GP524" s="292" t="s">
        <v>5150</v>
      </c>
      <c r="HS524" s="227"/>
      <c r="HW524" s="227"/>
    </row>
    <row r="525" spans="1:282" x14ac:dyDescent="0.25">
      <c r="A525" s="55">
        <v>524</v>
      </c>
      <c r="B525" s="12" t="s">
        <v>7067</v>
      </c>
      <c r="C525" s="155">
        <v>27</v>
      </c>
      <c r="D525" s="55" t="s">
        <v>3781</v>
      </c>
      <c r="E525" s="90" t="s">
        <v>389</v>
      </c>
      <c r="G525" s="55" t="s">
        <v>390</v>
      </c>
      <c r="H525" s="55">
        <v>2017</v>
      </c>
      <c r="I525" s="55">
        <v>2008</v>
      </c>
      <c r="J525" s="55" t="s">
        <v>391</v>
      </c>
      <c r="K525" s="55" t="s">
        <v>392</v>
      </c>
      <c r="L525" s="55" t="s">
        <v>2737</v>
      </c>
      <c r="M525" s="90">
        <f>42+52/60</f>
        <v>42.866666666666667</v>
      </c>
      <c r="N525" s="90">
        <f>-76-33/60</f>
        <v>-76.55</v>
      </c>
      <c r="O525" s="90">
        <v>255.8</v>
      </c>
      <c r="S525" s="90">
        <v>979</v>
      </c>
      <c r="U525" s="55">
        <v>5</v>
      </c>
      <c r="V525" s="55" t="s">
        <v>1679</v>
      </c>
      <c r="Y525" s="55" t="s">
        <v>1864</v>
      </c>
      <c r="Z525" s="55" t="s">
        <v>1358</v>
      </c>
      <c r="AA525" s="90" t="s">
        <v>1681</v>
      </c>
      <c r="AH525" s="55" t="s">
        <v>139</v>
      </c>
      <c r="AM525" s="55" t="s">
        <v>1292</v>
      </c>
      <c r="AN525" s="185" t="s">
        <v>610</v>
      </c>
      <c r="AO525" s="185" t="s">
        <v>5150</v>
      </c>
      <c r="AQ525" s="55" t="s">
        <v>610</v>
      </c>
      <c r="AR525" s="55" t="s">
        <v>218</v>
      </c>
      <c r="AS525" s="55" t="s">
        <v>1577</v>
      </c>
      <c r="AT525" s="181" t="s">
        <v>393</v>
      </c>
      <c r="AU525" s="181" t="s">
        <v>5150</v>
      </c>
      <c r="AV525" s="185" t="s">
        <v>479</v>
      </c>
      <c r="AW525" s="55" t="s">
        <v>393</v>
      </c>
      <c r="AX525" s="185" t="s">
        <v>479</v>
      </c>
      <c r="AY525" s="55" t="s">
        <v>176</v>
      </c>
      <c r="BE525" s="226" t="s">
        <v>394</v>
      </c>
      <c r="BF525" s="191" t="s">
        <v>479</v>
      </c>
      <c r="BG525" s="55" t="s">
        <v>479</v>
      </c>
      <c r="BH525" s="226" t="s">
        <v>394</v>
      </c>
      <c r="BI525" s="55" t="s">
        <v>479</v>
      </c>
      <c r="BJ525" s="55" t="s">
        <v>176</v>
      </c>
      <c r="BK525" s="55" t="s">
        <v>5976</v>
      </c>
      <c r="BM525" s="192" t="s">
        <v>160</v>
      </c>
      <c r="BN525" s="55">
        <v>4</v>
      </c>
      <c r="BO525" s="55">
        <v>4</v>
      </c>
      <c r="BQ525" s="55" t="s">
        <v>315</v>
      </c>
      <c r="CB525" s="66">
        <v>5611</v>
      </c>
      <c r="CC525" s="66">
        <v>6477</v>
      </c>
      <c r="GN525" s="294">
        <f>14.59*10</f>
        <v>145.9</v>
      </c>
      <c r="GO525" s="294">
        <v>136.9</v>
      </c>
      <c r="GP525" s="292" t="s">
        <v>5150</v>
      </c>
      <c r="HS525" s="227"/>
      <c r="HW525" s="227"/>
    </row>
    <row r="526" spans="1:282" x14ac:dyDescent="0.25">
      <c r="A526" s="55">
        <v>525</v>
      </c>
      <c r="B526" s="12" t="s">
        <v>7067</v>
      </c>
      <c r="C526" s="155">
        <v>27</v>
      </c>
      <c r="D526" s="55" t="s">
        <v>3781</v>
      </c>
      <c r="E526" s="90" t="s">
        <v>389</v>
      </c>
      <c r="G526" s="55" t="s">
        <v>390</v>
      </c>
      <c r="H526" s="55">
        <v>2017</v>
      </c>
      <c r="I526" s="55">
        <v>2008</v>
      </c>
      <c r="J526" s="55" t="s">
        <v>391</v>
      </c>
      <c r="K526" s="55" t="s">
        <v>392</v>
      </c>
      <c r="L526" s="55" t="s">
        <v>2737</v>
      </c>
      <c r="M526" s="90">
        <f>42+52/60</f>
        <v>42.866666666666667</v>
      </c>
      <c r="N526" s="90">
        <f>-76-33/60</f>
        <v>-76.55</v>
      </c>
      <c r="O526" s="90">
        <v>255.8</v>
      </c>
      <c r="S526" s="90">
        <v>979</v>
      </c>
      <c r="U526" s="55">
        <v>5</v>
      </c>
      <c r="V526" s="55" t="s">
        <v>1679</v>
      </c>
      <c r="Y526" s="55" t="s">
        <v>1864</v>
      </c>
      <c r="Z526" s="55" t="s">
        <v>1358</v>
      </c>
      <c r="AA526" s="90" t="s">
        <v>1681</v>
      </c>
      <c r="AH526" s="55" t="s">
        <v>139</v>
      </c>
      <c r="AM526" s="55" t="s">
        <v>1292</v>
      </c>
      <c r="AN526" s="185" t="s">
        <v>610</v>
      </c>
      <c r="AO526" s="185" t="s">
        <v>5150</v>
      </c>
      <c r="AQ526" s="55" t="s">
        <v>610</v>
      </c>
      <c r="AR526" s="55" t="s">
        <v>218</v>
      </c>
      <c r="AS526" s="55" t="s">
        <v>1577</v>
      </c>
      <c r="AT526" s="181" t="s">
        <v>393</v>
      </c>
      <c r="AU526" s="181" t="s">
        <v>5150</v>
      </c>
      <c r="AV526" s="185" t="s">
        <v>479</v>
      </c>
      <c r="AW526" s="55" t="s">
        <v>393</v>
      </c>
      <c r="AX526" s="185" t="s">
        <v>479</v>
      </c>
      <c r="AY526" s="55" t="s">
        <v>176</v>
      </c>
      <c r="BE526" s="226" t="s">
        <v>394</v>
      </c>
      <c r="BF526" s="191" t="s">
        <v>479</v>
      </c>
      <c r="BG526" s="55" t="s">
        <v>479</v>
      </c>
      <c r="BH526" s="226" t="s">
        <v>394</v>
      </c>
      <c r="BI526" s="55" t="s">
        <v>479</v>
      </c>
      <c r="BJ526" s="55" t="s">
        <v>176</v>
      </c>
      <c r="BK526" s="55" t="s">
        <v>5976</v>
      </c>
      <c r="BM526" s="192" t="s">
        <v>160</v>
      </c>
      <c r="BN526" s="55">
        <v>4</v>
      </c>
      <c r="BO526" s="55">
        <v>4</v>
      </c>
      <c r="BQ526" s="55" t="s">
        <v>315</v>
      </c>
      <c r="CB526" s="66">
        <v>4914</v>
      </c>
      <c r="CC526" s="66">
        <v>4623</v>
      </c>
      <c r="GN526" s="294">
        <v>237.5</v>
      </c>
      <c r="GO526" s="294">
        <v>233.61</v>
      </c>
      <c r="GP526" s="292" t="s">
        <v>5150</v>
      </c>
      <c r="HS526" s="227"/>
      <c r="HW526" s="227"/>
    </row>
    <row r="527" spans="1:282" x14ac:dyDescent="0.25">
      <c r="A527" s="55">
        <v>526</v>
      </c>
      <c r="B527" s="12" t="s">
        <v>7067</v>
      </c>
      <c r="C527" s="155">
        <v>27</v>
      </c>
      <c r="D527" s="55" t="s">
        <v>3781</v>
      </c>
      <c r="E527" s="90" t="s">
        <v>389</v>
      </c>
      <c r="G527" s="55" t="s">
        <v>390</v>
      </c>
      <c r="H527" s="55">
        <v>2017</v>
      </c>
      <c r="I527" s="55">
        <v>2008</v>
      </c>
      <c r="J527" s="55" t="s">
        <v>391</v>
      </c>
      <c r="K527" s="55" t="s">
        <v>392</v>
      </c>
      <c r="L527" s="55" t="s">
        <v>2737</v>
      </c>
      <c r="M527" s="90">
        <f>42+52/60</f>
        <v>42.866666666666667</v>
      </c>
      <c r="N527" s="90">
        <f>-76-33/60</f>
        <v>-76.55</v>
      </c>
      <c r="O527" s="90">
        <v>255.8</v>
      </c>
      <c r="S527" s="90">
        <v>979</v>
      </c>
      <c r="U527" s="55">
        <v>5</v>
      </c>
      <c r="V527" s="55" t="s">
        <v>1679</v>
      </c>
      <c r="Y527" s="55" t="s">
        <v>1864</v>
      </c>
      <c r="Z527" s="55" t="s">
        <v>1358</v>
      </c>
      <c r="AA527" s="90" t="s">
        <v>1681</v>
      </c>
      <c r="AH527" s="55" t="s">
        <v>139</v>
      </c>
      <c r="AM527" s="55" t="s">
        <v>1292</v>
      </c>
      <c r="AN527" s="185" t="s">
        <v>610</v>
      </c>
      <c r="AO527" s="185" t="s">
        <v>5150</v>
      </c>
      <c r="AQ527" s="55" t="s">
        <v>610</v>
      </c>
      <c r="AR527" s="55" t="s">
        <v>218</v>
      </c>
      <c r="AS527" s="55" t="s">
        <v>1577</v>
      </c>
      <c r="AT527" s="181" t="s">
        <v>393</v>
      </c>
      <c r="AU527" s="181" t="s">
        <v>5150</v>
      </c>
      <c r="AV527" s="185" t="s">
        <v>479</v>
      </c>
      <c r="AW527" s="55" t="s">
        <v>393</v>
      </c>
      <c r="AX527" s="185" t="s">
        <v>479</v>
      </c>
      <c r="AY527" s="55" t="s">
        <v>176</v>
      </c>
      <c r="BE527" s="226" t="s">
        <v>394</v>
      </c>
      <c r="BF527" s="191" t="s">
        <v>479</v>
      </c>
      <c r="BG527" s="55" t="s">
        <v>479</v>
      </c>
      <c r="BH527" s="226" t="s">
        <v>394</v>
      </c>
      <c r="BI527" s="55" t="s">
        <v>479</v>
      </c>
      <c r="BJ527" s="55" t="s">
        <v>176</v>
      </c>
      <c r="BK527" s="55" t="s">
        <v>5976</v>
      </c>
      <c r="BM527" s="192" t="s">
        <v>160</v>
      </c>
      <c r="BN527" s="55">
        <v>4</v>
      </c>
      <c r="BO527" s="55">
        <v>4</v>
      </c>
      <c r="BQ527" s="55" t="s">
        <v>315</v>
      </c>
      <c r="CB527" s="66">
        <v>4914</v>
      </c>
      <c r="CC527" s="66">
        <v>5501</v>
      </c>
      <c r="GN527" s="294">
        <v>237.5</v>
      </c>
      <c r="GO527" s="294">
        <v>54.49</v>
      </c>
      <c r="GP527" s="292" t="s">
        <v>5150</v>
      </c>
      <c r="HS527" s="227"/>
      <c r="HW527" s="227"/>
    </row>
    <row r="528" spans="1:282" x14ac:dyDescent="0.25">
      <c r="A528" s="55">
        <v>527</v>
      </c>
      <c r="B528" s="12" t="s">
        <v>7067</v>
      </c>
      <c r="C528" s="155">
        <v>27</v>
      </c>
      <c r="D528" s="55" t="s">
        <v>3781</v>
      </c>
      <c r="E528" s="90" t="s">
        <v>389</v>
      </c>
      <c r="G528" s="55" t="s">
        <v>390</v>
      </c>
      <c r="H528" s="55">
        <v>2017</v>
      </c>
      <c r="I528" s="55">
        <v>2008</v>
      </c>
      <c r="J528" s="55" t="s">
        <v>391</v>
      </c>
      <c r="K528" s="55" t="s">
        <v>392</v>
      </c>
      <c r="L528" s="55" t="s">
        <v>2737</v>
      </c>
      <c r="M528" s="90">
        <f>42+52/60</f>
        <v>42.866666666666667</v>
      </c>
      <c r="N528" s="90">
        <f>-76-33/60</f>
        <v>-76.55</v>
      </c>
      <c r="O528" s="90">
        <v>255.8</v>
      </c>
      <c r="S528" s="90">
        <v>979</v>
      </c>
      <c r="U528" s="55">
        <v>5</v>
      </c>
      <c r="V528" s="55" t="s">
        <v>1679</v>
      </c>
      <c r="Y528" s="55" t="s">
        <v>1864</v>
      </c>
      <c r="Z528" s="55" t="s">
        <v>1358</v>
      </c>
      <c r="AA528" s="90" t="s">
        <v>1681</v>
      </c>
      <c r="AH528" s="55" t="s">
        <v>139</v>
      </c>
      <c r="AM528" s="55" t="s">
        <v>1292</v>
      </c>
      <c r="AN528" s="185" t="s">
        <v>610</v>
      </c>
      <c r="AO528" s="185" t="s">
        <v>5150</v>
      </c>
      <c r="AQ528" s="55" t="s">
        <v>610</v>
      </c>
      <c r="AR528" s="55" t="s">
        <v>218</v>
      </c>
      <c r="AS528" s="55" t="s">
        <v>1577</v>
      </c>
      <c r="AT528" s="181" t="s">
        <v>393</v>
      </c>
      <c r="AU528" s="181" t="s">
        <v>5150</v>
      </c>
      <c r="AV528" s="185" t="s">
        <v>479</v>
      </c>
      <c r="AW528" s="55" t="s">
        <v>393</v>
      </c>
      <c r="AX528" s="185" t="s">
        <v>479</v>
      </c>
      <c r="AY528" s="55" t="s">
        <v>176</v>
      </c>
      <c r="BE528" s="226" t="s">
        <v>394</v>
      </c>
      <c r="BF528" s="191" t="s">
        <v>479</v>
      </c>
      <c r="BG528" s="55" t="s">
        <v>479</v>
      </c>
      <c r="BH528" s="226" t="s">
        <v>394</v>
      </c>
      <c r="BI528" s="55" t="s">
        <v>479</v>
      </c>
      <c r="BJ528" s="55" t="s">
        <v>176</v>
      </c>
      <c r="BK528" s="55" t="s">
        <v>5976</v>
      </c>
      <c r="BM528" s="192" t="s">
        <v>160</v>
      </c>
      <c r="BN528" s="55">
        <v>4</v>
      </c>
      <c r="BO528" s="55">
        <v>4</v>
      </c>
      <c r="BQ528" s="55" t="s">
        <v>315</v>
      </c>
      <c r="CB528" s="66">
        <v>4914</v>
      </c>
      <c r="CC528" s="66">
        <v>4918</v>
      </c>
      <c r="GN528" s="294">
        <v>237.5</v>
      </c>
      <c r="GO528" s="294">
        <v>216.05</v>
      </c>
      <c r="GP528" s="292" t="s">
        <v>5150</v>
      </c>
      <c r="HS528" s="227"/>
      <c r="HW528" s="227"/>
    </row>
    <row r="529" spans="1:282" x14ac:dyDescent="0.25">
      <c r="A529" s="55">
        <v>528</v>
      </c>
      <c r="B529" s="12" t="s">
        <v>7067</v>
      </c>
      <c r="C529" s="155">
        <v>28</v>
      </c>
      <c r="D529" s="55" t="s">
        <v>3782</v>
      </c>
      <c r="E529" s="90" t="s">
        <v>395</v>
      </c>
      <c r="G529" s="55" t="s">
        <v>396</v>
      </c>
      <c r="H529" s="55">
        <v>2007</v>
      </c>
      <c r="I529" s="55">
        <v>2005</v>
      </c>
      <c r="J529" s="55" t="s">
        <v>397</v>
      </c>
      <c r="K529" s="55" t="s">
        <v>398</v>
      </c>
      <c r="L529" s="55" t="s">
        <v>2737</v>
      </c>
      <c r="M529" s="90">
        <f>39+13/60</f>
        <v>39.216666666666669</v>
      </c>
      <c r="N529" s="90">
        <f>-92-7/60</f>
        <v>-92.11666666666666</v>
      </c>
      <c r="O529" s="90">
        <v>262.2</v>
      </c>
      <c r="U529" s="55" t="s">
        <v>1677</v>
      </c>
      <c r="V529" s="55" t="s">
        <v>1677</v>
      </c>
      <c r="Y529" s="55" t="s">
        <v>1865</v>
      </c>
      <c r="Z529" s="55" t="s">
        <v>1355</v>
      </c>
      <c r="AA529" s="90" t="s">
        <v>1679</v>
      </c>
      <c r="AD529" s="90">
        <v>1.28</v>
      </c>
      <c r="AE529" s="90">
        <f>100-AF529-(21.3+45.5+49.9+24.8+54.6+42.9+23+38.3+39.7)/9</f>
        <v>5.2555555555555529</v>
      </c>
      <c r="AF529" s="90">
        <f>(70.3+50.2+49+65.8+42.8+55.3+69.2+55.7+54.4)/9</f>
        <v>56.966666666666669</v>
      </c>
      <c r="AH529" s="55" t="s">
        <v>399</v>
      </c>
      <c r="AI529" s="168">
        <f>(5.9+5+5+6.1+4.9+5.1+5.9+5.1+5.1)/9</f>
        <v>5.344444444444445</v>
      </c>
      <c r="AJ529" s="90">
        <f>(1+0.9+0.7+1+0.9+0.4+1+0.9+0.5)/9</f>
        <v>0.81111111111111123</v>
      </c>
      <c r="AM529" s="55" t="s">
        <v>1293</v>
      </c>
      <c r="AN529" s="185" t="s">
        <v>1498</v>
      </c>
      <c r="AO529" s="185" t="s">
        <v>5150</v>
      </c>
      <c r="AQ529" s="55" t="s">
        <v>553</v>
      </c>
      <c r="AR529" s="55" t="s">
        <v>1551</v>
      </c>
      <c r="AS529" s="55" t="s">
        <v>1585</v>
      </c>
      <c r="AT529" s="181" t="s">
        <v>400</v>
      </c>
      <c r="AU529" s="181" t="s">
        <v>5150</v>
      </c>
      <c r="AV529" s="185" t="s">
        <v>479</v>
      </c>
      <c r="AW529" s="55" t="s">
        <v>400</v>
      </c>
      <c r="AX529" s="185" t="s">
        <v>479</v>
      </c>
      <c r="AY529" s="55" t="s">
        <v>176</v>
      </c>
      <c r="AZ529" s="55" t="s">
        <v>401</v>
      </c>
      <c r="BA529" s="55" t="s">
        <v>156</v>
      </c>
      <c r="BB529" s="55" t="s">
        <v>2081</v>
      </c>
      <c r="BC529" s="55" t="s">
        <v>2082</v>
      </c>
      <c r="BD529" s="55" t="s">
        <v>479</v>
      </c>
      <c r="BE529" s="226" t="s">
        <v>403</v>
      </c>
      <c r="BF529" s="191" t="s">
        <v>479</v>
      </c>
      <c r="BG529" s="55" t="s">
        <v>479</v>
      </c>
      <c r="BH529" s="226" t="s">
        <v>402</v>
      </c>
      <c r="BI529" s="55" t="s">
        <v>479</v>
      </c>
      <c r="BJ529" s="55" t="s">
        <v>479</v>
      </c>
      <c r="BK529" s="55" t="s">
        <v>6269</v>
      </c>
      <c r="BM529" s="192" t="s">
        <v>160</v>
      </c>
      <c r="BN529" s="55">
        <v>3</v>
      </c>
      <c r="BO529" s="55">
        <v>3</v>
      </c>
      <c r="BQ529" s="55" t="s">
        <v>315</v>
      </c>
      <c r="CH529" s="90">
        <v>1.24</v>
      </c>
      <c r="CI529" s="90">
        <v>1.24</v>
      </c>
      <c r="EP529" s="65">
        <v>0.03</v>
      </c>
      <c r="EQ529" s="65">
        <v>2.8000000000000001E-2</v>
      </c>
      <c r="ET529" s="65" t="s">
        <v>405</v>
      </c>
      <c r="FE529" s="65">
        <f>10^(1.0005)</f>
        <v>10.011519555381691</v>
      </c>
      <c r="FF529" s="65">
        <f>10^1.3276</f>
        <v>21.261798598625219</v>
      </c>
      <c r="GD529" s="65">
        <v>0.4743</v>
      </c>
      <c r="GE529" s="65">
        <v>0.4919</v>
      </c>
      <c r="GH529" s="65" t="s">
        <v>404</v>
      </c>
      <c r="GP529" s="292" t="s">
        <v>7494</v>
      </c>
      <c r="HS529" s="227"/>
      <c r="HW529" s="227"/>
      <c r="JU529" s="55" t="s">
        <v>833</v>
      </c>
    </row>
    <row r="530" spans="1:282" x14ac:dyDescent="0.25">
      <c r="A530" s="55">
        <v>529</v>
      </c>
      <c r="B530" s="12" t="s">
        <v>7067</v>
      </c>
      <c r="C530" s="155">
        <v>28</v>
      </c>
      <c r="D530" s="55" t="s">
        <v>3783</v>
      </c>
      <c r="E530" s="90" t="s">
        <v>395</v>
      </c>
      <c r="G530" s="55" t="s">
        <v>396</v>
      </c>
      <c r="H530" s="55">
        <v>2007</v>
      </c>
      <c r="I530" s="55">
        <v>2005</v>
      </c>
      <c r="J530" s="55" t="s">
        <v>397</v>
      </c>
      <c r="K530" s="55" t="s">
        <v>398</v>
      </c>
      <c r="L530" s="55" t="s">
        <v>2737</v>
      </c>
      <c r="M530" s="90">
        <f>39+13/60</f>
        <v>39.216666666666669</v>
      </c>
      <c r="N530" s="90">
        <f>-92-7/60</f>
        <v>-92.11666666666666</v>
      </c>
      <c r="O530" s="90">
        <v>262.2</v>
      </c>
      <c r="U530" s="55" t="s">
        <v>1677</v>
      </c>
      <c r="V530" s="55" t="s">
        <v>1677</v>
      </c>
      <c r="Y530" s="55" t="s">
        <v>1865</v>
      </c>
      <c r="Z530" s="55" t="s">
        <v>1359</v>
      </c>
      <c r="AA530" s="90" t="s">
        <v>1679</v>
      </c>
      <c r="AD530" s="90">
        <v>1.28</v>
      </c>
      <c r="AE530" s="90">
        <f>100-AF530-(21.3+45.5+49.9+24.8+54.6+42.9+23+38.3+39.7)/9</f>
        <v>5.2555555555555529</v>
      </c>
      <c r="AF530" s="90">
        <f>(70.3+50.2+49+65.8+42.8+55.3+69.2+55.7+54.4)/9</f>
        <v>56.966666666666669</v>
      </c>
      <c r="AH530" s="55" t="s">
        <v>399</v>
      </c>
      <c r="AI530" s="168">
        <f>(5.9+5+5+6.1+4.9+5.1+5.9+5.1+5.1)/9</f>
        <v>5.344444444444445</v>
      </c>
      <c r="AJ530" s="90">
        <f>(1+0.9+0.7+1+0.9+0.4+1+0.9+0.5)/9</f>
        <v>0.81111111111111123</v>
      </c>
      <c r="AM530" s="55" t="s">
        <v>1293</v>
      </c>
      <c r="AN530" s="185" t="s">
        <v>1498</v>
      </c>
      <c r="AO530" s="185" t="s">
        <v>5150</v>
      </c>
      <c r="AQ530" s="55" t="s">
        <v>553</v>
      </c>
      <c r="AR530" s="55" t="s">
        <v>1551</v>
      </c>
      <c r="AS530" s="55" t="s">
        <v>1585</v>
      </c>
      <c r="AT530" s="181" t="s">
        <v>400</v>
      </c>
      <c r="AU530" s="181" t="s">
        <v>5150</v>
      </c>
      <c r="AV530" s="185" t="s">
        <v>479</v>
      </c>
      <c r="AW530" s="55" t="s">
        <v>400</v>
      </c>
      <c r="AX530" s="185" t="s">
        <v>479</v>
      </c>
      <c r="AY530" s="55" t="s">
        <v>176</v>
      </c>
      <c r="AZ530" s="55" t="s">
        <v>401</v>
      </c>
      <c r="BA530" s="55" t="s">
        <v>156</v>
      </c>
      <c r="BB530" s="55" t="s">
        <v>2081</v>
      </c>
      <c r="BC530" s="55" t="s">
        <v>2082</v>
      </c>
      <c r="BD530" s="55" t="s">
        <v>479</v>
      </c>
      <c r="BE530" s="226" t="s">
        <v>403</v>
      </c>
      <c r="BF530" s="191" t="s">
        <v>479</v>
      </c>
      <c r="BG530" s="55" t="s">
        <v>479</v>
      </c>
      <c r="BH530" s="226" t="s">
        <v>402</v>
      </c>
      <c r="BI530" s="55" t="s">
        <v>479</v>
      </c>
      <c r="BJ530" s="55" t="s">
        <v>479</v>
      </c>
      <c r="BK530" s="55" t="s">
        <v>6269</v>
      </c>
      <c r="BM530" s="192" t="s">
        <v>160</v>
      </c>
      <c r="BN530" s="55">
        <v>3</v>
      </c>
      <c r="BO530" s="55">
        <v>3</v>
      </c>
      <c r="BQ530" s="55" t="s">
        <v>315</v>
      </c>
      <c r="CH530" s="90">
        <v>1.36</v>
      </c>
      <c r="CI530" s="90">
        <v>1.38</v>
      </c>
      <c r="EP530" s="65">
        <v>2.8000000000000001E-2</v>
      </c>
      <c r="EQ530" s="65">
        <v>2.5999999999999999E-2</v>
      </c>
      <c r="ET530" s="65" t="s">
        <v>405</v>
      </c>
      <c r="FE530" s="65">
        <f>10^0.7856</f>
        <v>6.1037958555853074</v>
      </c>
      <c r="FF530" s="65">
        <f>10^1.2941</f>
        <v>19.683394644420513</v>
      </c>
      <c r="GD530" s="65">
        <v>0.4672</v>
      </c>
      <c r="GE530" s="65">
        <v>0.47420000000000001</v>
      </c>
      <c r="GH530" s="65" t="s">
        <v>404</v>
      </c>
      <c r="GP530" s="292" t="s">
        <v>7494</v>
      </c>
      <c r="HS530" s="227"/>
      <c r="HW530" s="227"/>
      <c r="JU530" s="55" t="s">
        <v>833</v>
      </c>
    </row>
    <row r="531" spans="1:282" x14ac:dyDescent="0.25">
      <c r="A531" s="55">
        <v>530</v>
      </c>
      <c r="B531" s="12" t="s">
        <v>7067</v>
      </c>
      <c r="C531" s="155">
        <v>28</v>
      </c>
      <c r="D531" s="55" t="s">
        <v>3784</v>
      </c>
      <c r="E531" s="90" t="s">
        <v>395</v>
      </c>
      <c r="G531" s="55" t="s">
        <v>396</v>
      </c>
      <c r="H531" s="55">
        <v>2007</v>
      </c>
      <c r="I531" s="55">
        <v>2005</v>
      </c>
      <c r="J531" s="55" t="s">
        <v>397</v>
      </c>
      <c r="K531" s="55" t="s">
        <v>398</v>
      </c>
      <c r="L531" s="55" t="s">
        <v>2737</v>
      </c>
      <c r="M531" s="90">
        <f>39+13/60</f>
        <v>39.216666666666669</v>
      </c>
      <c r="N531" s="90">
        <f>-92-7/60</f>
        <v>-92.11666666666666</v>
      </c>
      <c r="O531" s="90">
        <v>262.2</v>
      </c>
      <c r="U531" s="55" t="s">
        <v>1677</v>
      </c>
      <c r="V531" s="55" t="s">
        <v>1677</v>
      </c>
      <c r="Y531" s="55" t="s">
        <v>1865</v>
      </c>
      <c r="Z531" s="55" t="s">
        <v>1360</v>
      </c>
      <c r="AA531" s="90" t="s">
        <v>1679</v>
      </c>
      <c r="AD531" s="90">
        <v>1.28</v>
      </c>
      <c r="AE531" s="90">
        <f>100-AF531-(21.3+45.5+49.9+24.8+54.6+42.9+23+38.3+39.7)/9</f>
        <v>5.2555555555555529</v>
      </c>
      <c r="AF531" s="90">
        <f>(70.3+50.2+49+65.8+42.8+55.3+69.2+55.7+54.4)/9</f>
        <v>56.966666666666669</v>
      </c>
      <c r="AH531" s="55" t="s">
        <v>399</v>
      </c>
      <c r="AI531" s="168">
        <f>(5.9+5+5+6.1+4.9+5.1+5.9+5.1+5.1)/9</f>
        <v>5.344444444444445</v>
      </c>
      <c r="AJ531" s="90">
        <f>(1+0.9+0.7+1+0.9+0.4+1+0.9+0.5)/9</f>
        <v>0.81111111111111123</v>
      </c>
      <c r="AM531" s="55" t="s">
        <v>1293</v>
      </c>
      <c r="AN531" s="185" t="s">
        <v>1498</v>
      </c>
      <c r="AO531" s="185" t="s">
        <v>5150</v>
      </c>
      <c r="AQ531" s="55" t="s">
        <v>553</v>
      </c>
      <c r="AR531" s="55" t="s">
        <v>1551</v>
      </c>
      <c r="AS531" s="55" t="s">
        <v>1585</v>
      </c>
      <c r="AT531" s="181" t="s">
        <v>400</v>
      </c>
      <c r="AU531" s="181" t="s">
        <v>5150</v>
      </c>
      <c r="AV531" s="185" t="s">
        <v>479</v>
      </c>
      <c r="AW531" s="55" t="s">
        <v>400</v>
      </c>
      <c r="AX531" s="185" t="s">
        <v>479</v>
      </c>
      <c r="AY531" s="55" t="s">
        <v>176</v>
      </c>
      <c r="AZ531" s="55" t="s">
        <v>401</v>
      </c>
      <c r="BA531" s="55" t="s">
        <v>156</v>
      </c>
      <c r="BB531" s="55" t="s">
        <v>2081</v>
      </c>
      <c r="BC531" s="55" t="s">
        <v>2082</v>
      </c>
      <c r="BD531" s="55" t="s">
        <v>479</v>
      </c>
      <c r="BE531" s="226" t="s">
        <v>403</v>
      </c>
      <c r="BF531" s="191" t="s">
        <v>479</v>
      </c>
      <c r="BG531" s="55" t="s">
        <v>479</v>
      </c>
      <c r="BH531" s="226" t="s">
        <v>402</v>
      </c>
      <c r="BI531" s="55" t="s">
        <v>479</v>
      </c>
      <c r="BJ531" s="55" t="s">
        <v>479</v>
      </c>
      <c r="BK531" s="55" t="s">
        <v>6269</v>
      </c>
      <c r="BM531" s="192" t="s">
        <v>160</v>
      </c>
      <c r="BN531" s="55">
        <v>3</v>
      </c>
      <c r="BO531" s="55">
        <v>3</v>
      </c>
      <c r="BQ531" s="55" t="s">
        <v>315</v>
      </c>
      <c r="CH531" s="90">
        <v>1.22</v>
      </c>
      <c r="CI531" s="90">
        <v>1.25</v>
      </c>
      <c r="EP531" s="65">
        <v>2.8000000000000001E-2</v>
      </c>
      <c r="EQ531" s="65">
        <v>1.9E-2</v>
      </c>
      <c r="ET531" s="65" t="s">
        <v>405</v>
      </c>
      <c r="FE531" s="65">
        <f>10^0.0959</f>
        <v>1.2470963266393924</v>
      </c>
      <c r="FF531" s="65">
        <f>10^0.5215</f>
        <v>3.3227678521107569</v>
      </c>
      <c r="GD531" s="65">
        <v>0.53639999999999999</v>
      </c>
      <c r="GE531" s="65">
        <v>0.51890000000000003</v>
      </c>
      <c r="GH531" s="65" t="s">
        <v>404</v>
      </c>
      <c r="GP531" s="292" t="s">
        <v>7494</v>
      </c>
      <c r="HS531" s="227"/>
      <c r="HW531" s="227"/>
      <c r="JU531" s="55" t="s">
        <v>833</v>
      </c>
    </row>
    <row r="532" spans="1:282" x14ac:dyDescent="0.25">
      <c r="A532" s="55">
        <v>531</v>
      </c>
      <c r="B532" s="12" t="s">
        <v>7067</v>
      </c>
      <c r="C532" s="155">
        <v>29</v>
      </c>
      <c r="D532" s="55" t="s">
        <v>3785</v>
      </c>
      <c r="E532" s="90" t="s">
        <v>989</v>
      </c>
      <c r="G532" s="55" t="s">
        <v>406</v>
      </c>
      <c r="H532" s="55">
        <v>2009</v>
      </c>
      <c r="I532" s="55">
        <v>2006</v>
      </c>
      <c r="J532" s="55" t="s">
        <v>282</v>
      </c>
      <c r="K532" s="55" t="s">
        <v>407</v>
      </c>
      <c r="L532" s="55" t="s">
        <v>2737</v>
      </c>
      <c r="M532" s="90">
        <f>43+20/60</f>
        <v>43.333333333333336</v>
      </c>
      <c r="N532" s="90">
        <f>-89-43/60</f>
        <v>-89.716666666666669</v>
      </c>
      <c r="O532" s="90">
        <v>250</v>
      </c>
      <c r="U532" s="55">
        <v>4</v>
      </c>
      <c r="V532" s="55">
        <v>4</v>
      </c>
      <c r="Y532" s="55" t="s">
        <v>1866</v>
      </c>
      <c r="Z532" s="55" t="s">
        <v>1361</v>
      </c>
      <c r="AA532" s="90" t="s">
        <v>1682</v>
      </c>
      <c r="AD532" s="90">
        <f>(1.4+1.46+1.41+1.37+1.39+1.47+1.42)/7</f>
        <v>1.417142857142857</v>
      </c>
      <c r="AH532" s="55" t="s">
        <v>6378</v>
      </c>
      <c r="AI532" s="168">
        <f>(6.6+6.9+7+6.8+7.1+6.7+7)/7</f>
        <v>6.8714285714285719</v>
      </c>
      <c r="AM532" s="55" t="s">
        <v>1294</v>
      </c>
      <c r="AN532" s="185" t="s">
        <v>1499</v>
      </c>
      <c r="AO532" s="185" t="s">
        <v>5150</v>
      </c>
      <c r="AQ532" s="55" t="s">
        <v>553</v>
      </c>
      <c r="AR532" s="55" t="s">
        <v>408</v>
      </c>
      <c r="AS532" s="55" t="s">
        <v>1585</v>
      </c>
      <c r="AT532" s="181" t="s">
        <v>400</v>
      </c>
      <c r="AU532" s="181" t="s">
        <v>5150</v>
      </c>
      <c r="AV532" s="185" t="s">
        <v>479</v>
      </c>
      <c r="AW532" s="55" t="s">
        <v>400</v>
      </c>
      <c r="AX532" s="185" t="s">
        <v>479</v>
      </c>
      <c r="AY532" s="55" t="s">
        <v>176</v>
      </c>
      <c r="BE532" s="226" t="s">
        <v>415</v>
      </c>
      <c r="BG532" s="55" t="s">
        <v>479</v>
      </c>
      <c r="BH532" s="226" t="s">
        <v>415</v>
      </c>
      <c r="BI532" s="55" t="s">
        <v>479</v>
      </c>
      <c r="BK532" s="55" t="s">
        <v>5976</v>
      </c>
      <c r="BM532" s="192" t="s">
        <v>409</v>
      </c>
      <c r="BN532" s="55">
        <v>4</v>
      </c>
      <c r="BO532" s="55">
        <v>4</v>
      </c>
      <c r="BQ532" s="55" t="s">
        <v>141</v>
      </c>
      <c r="CH532" s="90">
        <v>1.47</v>
      </c>
      <c r="CI532" s="90">
        <v>1.4</v>
      </c>
      <c r="CM532" s="65">
        <v>3.63</v>
      </c>
      <c r="CN532" s="65">
        <v>4.2299999999999995</v>
      </c>
      <c r="CQ532" s="65" t="s">
        <v>1631</v>
      </c>
      <c r="CV532" s="65" t="s">
        <v>1630</v>
      </c>
      <c r="DA532" s="65" t="s">
        <v>4457</v>
      </c>
      <c r="DG532" s="65">
        <v>45.8</v>
      </c>
      <c r="DH532" s="65">
        <v>37.799999999999997</v>
      </c>
      <c r="DL532" s="65">
        <v>244</v>
      </c>
      <c r="DM532" s="65">
        <v>204</v>
      </c>
      <c r="DQ532" s="165">
        <v>6.7</v>
      </c>
      <c r="DR532" s="165">
        <v>6.6</v>
      </c>
      <c r="EK532" s="90">
        <v>336</v>
      </c>
      <c r="EL532" s="90">
        <v>365</v>
      </c>
      <c r="EO532" s="65" t="s">
        <v>412</v>
      </c>
      <c r="EU532" s="65">
        <v>0.52980000000000005</v>
      </c>
      <c r="EV532" s="65">
        <v>0.61539999999999995</v>
      </c>
      <c r="EY532" s="65" t="s">
        <v>830</v>
      </c>
      <c r="GD532" s="65">
        <v>0.21</v>
      </c>
      <c r="GE532" s="65">
        <v>0.26800000000000002</v>
      </c>
      <c r="GP532" s="292" t="s">
        <v>7494</v>
      </c>
      <c r="HS532" s="227"/>
      <c r="HW532" s="227"/>
      <c r="HX532" s="65">
        <v>1288</v>
      </c>
      <c r="HY532" s="65">
        <v>1376</v>
      </c>
      <c r="IB532" s="65" t="s">
        <v>411</v>
      </c>
      <c r="JG532" s="65">
        <f>40.3*0.012</f>
        <v>0.48359999999999997</v>
      </c>
      <c r="JH532" s="65">
        <f>87.1*0.012</f>
        <v>1.0451999999999999</v>
      </c>
      <c r="JK532" s="65" t="s">
        <v>947</v>
      </c>
      <c r="JR532" s="65">
        <v>99999</v>
      </c>
      <c r="JU532" s="55" t="s">
        <v>413</v>
      </c>
      <c r="JV532" s="55" t="s">
        <v>829</v>
      </c>
    </row>
    <row r="533" spans="1:282" x14ac:dyDescent="0.25">
      <c r="A533" s="55">
        <v>532</v>
      </c>
      <c r="B533" s="12" t="s">
        <v>7067</v>
      </c>
      <c r="C533" s="155">
        <v>29</v>
      </c>
      <c r="D533" s="55" t="s">
        <v>3785</v>
      </c>
      <c r="E533" s="90" t="s">
        <v>989</v>
      </c>
      <c r="G533" s="55" t="s">
        <v>406</v>
      </c>
      <c r="H533" s="55">
        <v>2009</v>
      </c>
      <c r="I533" s="55">
        <v>2006</v>
      </c>
      <c r="J533" s="55" t="s">
        <v>282</v>
      </c>
      <c r="K533" s="55" t="s">
        <v>407</v>
      </c>
      <c r="L533" s="55" t="s">
        <v>2737</v>
      </c>
      <c r="M533" s="90">
        <f>43+20/60</f>
        <v>43.333333333333336</v>
      </c>
      <c r="N533" s="90">
        <f>-89-43/60</f>
        <v>-89.716666666666669</v>
      </c>
      <c r="O533" s="90">
        <v>250</v>
      </c>
      <c r="U533" s="55">
        <v>4</v>
      </c>
      <c r="V533" s="55">
        <v>4</v>
      </c>
      <c r="Y533" s="55" t="s">
        <v>1866</v>
      </c>
      <c r="Z533" s="55" t="s">
        <v>1361</v>
      </c>
      <c r="AA533" s="90" t="s">
        <v>1682</v>
      </c>
      <c r="AD533" s="90">
        <f>(1.4+1.46+1.41+1.37+1.39+1.47+1.42)/7</f>
        <v>1.417142857142857</v>
      </c>
      <c r="AH533" s="55" t="s">
        <v>6378</v>
      </c>
      <c r="AI533" s="168">
        <f>(6.6+6.9+7+6.8+7.1+6.7+7)/7</f>
        <v>6.8714285714285719</v>
      </c>
      <c r="AM533" s="55" t="s">
        <v>1294</v>
      </c>
      <c r="AN533" s="185" t="s">
        <v>1499</v>
      </c>
      <c r="AO533" s="185" t="s">
        <v>5150</v>
      </c>
      <c r="AQ533" s="55" t="s">
        <v>553</v>
      </c>
      <c r="AR533" s="55" t="s">
        <v>132</v>
      </c>
      <c r="AS533" s="55" t="s">
        <v>1585</v>
      </c>
      <c r="AT533" s="181" t="s">
        <v>400</v>
      </c>
      <c r="AU533" s="181" t="s">
        <v>5150</v>
      </c>
      <c r="AV533" s="185" t="s">
        <v>479</v>
      </c>
      <c r="AW533" s="55" t="s">
        <v>400</v>
      </c>
      <c r="AX533" s="185" t="s">
        <v>479</v>
      </c>
      <c r="AY533" s="55" t="s">
        <v>176</v>
      </c>
      <c r="BE533" s="226" t="s">
        <v>415</v>
      </c>
      <c r="BG533" s="55" t="s">
        <v>479</v>
      </c>
      <c r="BH533" s="226" t="s">
        <v>415</v>
      </c>
      <c r="BI533" s="55" t="s">
        <v>479</v>
      </c>
      <c r="BK533" s="55" t="s">
        <v>5976</v>
      </c>
      <c r="BM533" s="192" t="s">
        <v>409</v>
      </c>
      <c r="BN533" s="55">
        <v>4</v>
      </c>
      <c r="BO533" s="55">
        <v>4</v>
      </c>
      <c r="BQ533" s="55" t="s">
        <v>141</v>
      </c>
      <c r="CH533" s="90">
        <v>1.47</v>
      </c>
      <c r="CI533" s="90">
        <v>1.4</v>
      </c>
      <c r="CM533" s="65">
        <v>3.63</v>
      </c>
      <c r="CN533" s="65">
        <v>4.2799999999999994</v>
      </c>
      <c r="CQ533" s="65" t="s">
        <v>1631</v>
      </c>
      <c r="CV533" s="65" t="s">
        <v>1630</v>
      </c>
      <c r="DA533" s="65" t="s">
        <v>4457</v>
      </c>
      <c r="DG533" s="65">
        <v>45.8</v>
      </c>
      <c r="DH533" s="65">
        <v>42.3</v>
      </c>
      <c r="DL533" s="65">
        <v>244</v>
      </c>
      <c r="DM533" s="65">
        <v>269</v>
      </c>
      <c r="DQ533" s="165">
        <v>6.7</v>
      </c>
      <c r="DR533" s="165">
        <v>6.9</v>
      </c>
      <c r="EK533" s="90">
        <v>336</v>
      </c>
      <c r="EL533" s="90">
        <v>385</v>
      </c>
      <c r="EO533" s="65" t="s">
        <v>412</v>
      </c>
      <c r="EU533" s="65">
        <v>0.52980000000000005</v>
      </c>
      <c r="EV533" s="65">
        <v>0.6</v>
      </c>
      <c r="EY533" s="65" t="s">
        <v>830</v>
      </c>
      <c r="GD533" s="65">
        <v>0.21</v>
      </c>
      <c r="GE533" s="65">
        <v>0.24399999999999999</v>
      </c>
      <c r="GP533" s="292" t="s">
        <v>7494</v>
      </c>
      <c r="HS533" s="227"/>
      <c r="HW533" s="227"/>
      <c r="HX533" s="65">
        <v>1288</v>
      </c>
      <c r="HY533" s="65">
        <v>1379</v>
      </c>
      <c r="IB533" s="65" t="s">
        <v>411</v>
      </c>
      <c r="JG533" s="65">
        <f>40.3*0.012</f>
        <v>0.48359999999999997</v>
      </c>
      <c r="JH533" s="65">
        <f>108.2*0.012</f>
        <v>1.2984</v>
      </c>
      <c r="JK533" s="65" t="s">
        <v>947</v>
      </c>
      <c r="JR533" s="65">
        <v>99999</v>
      </c>
      <c r="JU533" s="55" t="s">
        <v>413</v>
      </c>
      <c r="JV533" s="55" t="s">
        <v>829</v>
      </c>
    </row>
    <row r="534" spans="1:282" x14ac:dyDescent="0.25">
      <c r="A534" s="55">
        <v>533</v>
      </c>
      <c r="B534" s="12" t="s">
        <v>7067</v>
      </c>
      <c r="C534" s="155">
        <v>29</v>
      </c>
      <c r="D534" s="55" t="s">
        <v>3785</v>
      </c>
      <c r="E534" s="90" t="s">
        <v>989</v>
      </c>
      <c r="G534" s="55" t="s">
        <v>406</v>
      </c>
      <c r="H534" s="55">
        <v>2009</v>
      </c>
      <c r="I534" s="55">
        <v>2006</v>
      </c>
      <c r="J534" s="55" t="s">
        <v>282</v>
      </c>
      <c r="K534" s="55" t="s">
        <v>407</v>
      </c>
      <c r="L534" s="55" t="s">
        <v>2737</v>
      </c>
      <c r="M534" s="90">
        <f>43+20/60</f>
        <v>43.333333333333336</v>
      </c>
      <c r="N534" s="90">
        <f>-89-43/60</f>
        <v>-89.716666666666669</v>
      </c>
      <c r="O534" s="90">
        <v>250</v>
      </c>
      <c r="U534" s="55">
        <v>4</v>
      </c>
      <c r="V534" s="55">
        <v>4</v>
      </c>
      <c r="Y534" s="55" t="s">
        <v>1866</v>
      </c>
      <c r="Z534" s="55" t="s">
        <v>1361</v>
      </c>
      <c r="AA534" s="90" t="s">
        <v>1682</v>
      </c>
      <c r="AD534" s="90">
        <f>(1.4+1.46+1.41+1.37+1.39+1.47+1.42)/7</f>
        <v>1.417142857142857</v>
      </c>
      <c r="AH534" s="55" t="s">
        <v>6378</v>
      </c>
      <c r="AI534" s="168">
        <f>(6.6+6.9+7+6.8+7.1+6.7+7)/7</f>
        <v>6.8714285714285719</v>
      </c>
      <c r="AM534" s="55" t="s">
        <v>1294</v>
      </c>
      <c r="AN534" s="185" t="s">
        <v>1479</v>
      </c>
      <c r="AO534" s="185" t="s">
        <v>5150</v>
      </c>
      <c r="AQ534" s="55" t="s">
        <v>553</v>
      </c>
      <c r="AR534" s="55" t="s">
        <v>408</v>
      </c>
      <c r="AS534" s="55" t="s">
        <v>1585</v>
      </c>
      <c r="AT534" s="181" t="s">
        <v>400</v>
      </c>
      <c r="AU534" s="181" t="s">
        <v>5150</v>
      </c>
      <c r="AV534" s="185" t="s">
        <v>479</v>
      </c>
      <c r="AW534" s="55" t="s">
        <v>400</v>
      </c>
      <c r="AX534" s="185" t="s">
        <v>479</v>
      </c>
      <c r="AY534" s="55" t="s">
        <v>176</v>
      </c>
      <c r="BE534" s="226" t="s">
        <v>415</v>
      </c>
      <c r="BG534" s="55" t="s">
        <v>479</v>
      </c>
      <c r="BH534" s="226" t="s">
        <v>415</v>
      </c>
      <c r="BI534" s="55" t="s">
        <v>479</v>
      </c>
      <c r="BK534" s="55" t="s">
        <v>5976</v>
      </c>
      <c r="BM534" s="192" t="s">
        <v>409</v>
      </c>
      <c r="BN534" s="55">
        <v>4</v>
      </c>
      <c r="BO534" s="55">
        <v>4</v>
      </c>
      <c r="BQ534" s="55" t="s">
        <v>141</v>
      </c>
      <c r="CH534" s="90">
        <v>1.47</v>
      </c>
      <c r="CI534" s="90">
        <v>1.46</v>
      </c>
      <c r="CM534" s="65">
        <v>3.63</v>
      </c>
      <c r="CN534" s="65">
        <v>3.8299999999999996</v>
      </c>
      <c r="CQ534" s="65" t="s">
        <v>1631</v>
      </c>
      <c r="CV534" s="65" t="s">
        <v>1630</v>
      </c>
      <c r="DA534" s="65" t="s">
        <v>4457</v>
      </c>
      <c r="DG534" s="65">
        <v>45.8</v>
      </c>
      <c r="DH534" s="65">
        <v>37.299999999999997</v>
      </c>
      <c r="DL534" s="65">
        <v>244</v>
      </c>
      <c r="DM534" s="65">
        <v>161</v>
      </c>
      <c r="DQ534" s="165">
        <v>6.7</v>
      </c>
      <c r="DR534" s="165">
        <v>6.6</v>
      </c>
      <c r="EK534" s="90">
        <v>336</v>
      </c>
      <c r="EL534" s="90">
        <v>337</v>
      </c>
      <c r="EO534" s="65" t="s">
        <v>412</v>
      </c>
      <c r="EU534" s="65">
        <v>0.52980000000000005</v>
      </c>
      <c r="EV534" s="65">
        <v>0.63</v>
      </c>
      <c r="EY534" s="65" t="s">
        <v>830</v>
      </c>
      <c r="GD534" s="65">
        <v>0.21</v>
      </c>
      <c r="GE534" s="65">
        <v>0.23799999999999999</v>
      </c>
      <c r="GP534" s="292" t="s">
        <v>7494</v>
      </c>
      <c r="HS534" s="227"/>
      <c r="HW534" s="227"/>
      <c r="HX534" s="65">
        <v>1288</v>
      </c>
      <c r="HY534" s="65">
        <v>1336</v>
      </c>
      <c r="IB534" s="65" t="s">
        <v>411</v>
      </c>
      <c r="JG534" s="65">
        <f>40.3*0.012</f>
        <v>0.48359999999999997</v>
      </c>
      <c r="JH534" s="65">
        <f>105*0.012</f>
        <v>1.26</v>
      </c>
      <c r="JK534" s="65" t="s">
        <v>947</v>
      </c>
      <c r="JR534" s="65">
        <v>99999</v>
      </c>
      <c r="JU534" s="55" t="s">
        <v>413</v>
      </c>
      <c r="JV534" s="55" t="s">
        <v>829</v>
      </c>
    </row>
    <row r="535" spans="1:282" x14ac:dyDescent="0.25">
      <c r="A535" s="55">
        <v>534</v>
      </c>
      <c r="B535" s="12" t="s">
        <v>7067</v>
      </c>
      <c r="C535" s="155">
        <v>29</v>
      </c>
      <c r="D535" s="55" t="s">
        <v>3785</v>
      </c>
      <c r="E535" s="90" t="s">
        <v>989</v>
      </c>
      <c r="G535" s="55" t="s">
        <v>406</v>
      </c>
      <c r="H535" s="55">
        <v>2009</v>
      </c>
      <c r="I535" s="55">
        <v>2006</v>
      </c>
      <c r="J535" s="55" t="s">
        <v>282</v>
      </c>
      <c r="K535" s="55" t="s">
        <v>407</v>
      </c>
      <c r="L535" s="55" t="s">
        <v>2737</v>
      </c>
      <c r="M535" s="90">
        <f>43+20/60</f>
        <v>43.333333333333336</v>
      </c>
      <c r="N535" s="90">
        <f>-89-43/60</f>
        <v>-89.716666666666669</v>
      </c>
      <c r="O535" s="90">
        <v>250</v>
      </c>
      <c r="U535" s="55">
        <v>4</v>
      </c>
      <c r="V535" s="55">
        <v>4</v>
      </c>
      <c r="Y535" s="55" t="s">
        <v>1866</v>
      </c>
      <c r="Z535" s="55" t="s">
        <v>1361</v>
      </c>
      <c r="AA535" s="90" t="s">
        <v>1682</v>
      </c>
      <c r="AD535" s="90">
        <f>(1.4+1.46+1.41+1.37+1.39+1.47+1.42)/7</f>
        <v>1.417142857142857</v>
      </c>
      <c r="AH535" s="55" t="s">
        <v>6378</v>
      </c>
      <c r="AI535" s="168">
        <f>(6.6+6.9+7+6.8+7.1+6.7+7)/7</f>
        <v>6.8714285714285719</v>
      </c>
      <c r="AM535" s="55" t="s">
        <v>1294</v>
      </c>
      <c r="AN535" s="185" t="s">
        <v>1479</v>
      </c>
      <c r="AO535" s="185" t="s">
        <v>5150</v>
      </c>
      <c r="AQ535" s="55" t="s">
        <v>553</v>
      </c>
      <c r="AR535" s="55" t="s">
        <v>132</v>
      </c>
      <c r="AS535" s="55" t="s">
        <v>1585</v>
      </c>
      <c r="AT535" s="181" t="s">
        <v>400</v>
      </c>
      <c r="AU535" s="181" t="s">
        <v>5150</v>
      </c>
      <c r="AV535" s="185" t="s">
        <v>479</v>
      </c>
      <c r="AW535" s="55" t="s">
        <v>400</v>
      </c>
      <c r="AX535" s="185" t="s">
        <v>479</v>
      </c>
      <c r="AY535" s="55" t="s">
        <v>176</v>
      </c>
      <c r="BE535" s="226" t="s">
        <v>415</v>
      </c>
      <c r="BG535" s="55" t="s">
        <v>479</v>
      </c>
      <c r="BH535" s="226" t="s">
        <v>415</v>
      </c>
      <c r="BI535" s="55" t="s">
        <v>479</v>
      </c>
      <c r="BK535" s="55" t="s">
        <v>5976</v>
      </c>
      <c r="BM535" s="192" t="s">
        <v>409</v>
      </c>
      <c r="BN535" s="55">
        <v>4</v>
      </c>
      <c r="BO535" s="55">
        <v>4</v>
      </c>
      <c r="BQ535" s="55" t="s">
        <v>141</v>
      </c>
      <c r="CH535" s="90">
        <v>1.47</v>
      </c>
      <c r="CI535" s="90">
        <v>1.41</v>
      </c>
      <c r="CM535" s="65">
        <v>3.63</v>
      </c>
      <c r="CN535" s="65">
        <v>4.2299999999999995</v>
      </c>
      <c r="CQ535" s="65" t="s">
        <v>1631</v>
      </c>
      <c r="CV535" s="65" t="s">
        <v>1630</v>
      </c>
      <c r="DA535" s="65" t="s">
        <v>4457</v>
      </c>
      <c r="DG535" s="65">
        <v>45.8</v>
      </c>
      <c r="DH535" s="65">
        <v>54.5</v>
      </c>
      <c r="DL535" s="65">
        <v>244</v>
      </c>
      <c r="DM535" s="65">
        <v>204</v>
      </c>
      <c r="DQ535" s="165">
        <v>6.7</v>
      </c>
      <c r="DR535" s="165">
        <v>7</v>
      </c>
      <c r="EK535" s="90">
        <v>336</v>
      </c>
      <c r="EL535" s="90">
        <v>368</v>
      </c>
      <c r="EO535" s="65" t="s">
        <v>412</v>
      </c>
      <c r="EU535" s="65">
        <v>0.52980000000000005</v>
      </c>
      <c r="EV535" s="65">
        <v>0.65</v>
      </c>
      <c r="EY535" s="65" t="s">
        <v>830</v>
      </c>
      <c r="GD535" s="65">
        <v>0.21</v>
      </c>
      <c r="GE535" s="65">
        <v>0.221</v>
      </c>
      <c r="GP535" s="292" t="s">
        <v>7494</v>
      </c>
      <c r="HS535" s="227"/>
      <c r="HW535" s="227"/>
      <c r="HX535" s="65">
        <v>1288</v>
      </c>
      <c r="HY535" s="65">
        <v>1354</v>
      </c>
      <c r="IB535" s="65" t="s">
        <v>411</v>
      </c>
      <c r="JG535" s="65">
        <f>40.3*0.012</f>
        <v>0.48359999999999997</v>
      </c>
      <c r="JH535" s="65">
        <f>70.9*0.012</f>
        <v>0.85080000000000011</v>
      </c>
      <c r="JK535" s="65" t="s">
        <v>947</v>
      </c>
      <c r="JR535" s="65">
        <v>99999</v>
      </c>
      <c r="JU535" s="55" t="s">
        <v>413</v>
      </c>
      <c r="JV535" s="55" t="s">
        <v>829</v>
      </c>
    </row>
    <row r="536" spans="1:282" x14ac:dyDescent="0.25">
      <c r="A536" s="55">
        <v>535</v>
      </c>
      <c r="B536" s="12" t="s">
        <v>7067</v>
      </c>
      <c r="C536" s="155">
        <v>29</v>
      </c>
      <c r="D536" s="55" t="s">
        <v>3786</v>
      </c>
      <c r="E536" s="90" t="s">
        <v>989</v>
      </c>
      <c r="G536" s="55" t="s">
        <v>406</v>
      </c>
      <c r="H536" s="55">
        <v>2009</v>
      </c>
      <c r="I536" s="55">
        <v>2006</v>
      </c>
      <c r="J536" s="55" t="s">
        <v>282</v>
      </c>
      <c r="K536" s="55" t="s">
        <v>407</v>
      </c>
      <c r="L536" s="55" t="s">
        <v>2737</v>
      </c>
      <c r="M536" s="90">
        <f>43+20/60</f>
        <v>43.333333333333336</v>
      </c>
      <c r="N536" s="90">
        <f>-89-43/60</f>
        <v>-89.716666666666669</v>
      </c>
      <c r="O536" s="90">
        <v>250</v>
      </c>
      <c r="U536" s="55">
        <v>4</v>
      </c>
      <c r="V536" s="55">
        <v>4</v>
      </c>
      <c r="Y536" s="55" t="s">
        <v>1866</v>
      </c>
      <c r="Z536" s="55" t="s">
        <v>1361</v>
      </c>
      <c r="AA536" s="90" t="s">
        <v>1682</v>
      </c>
      <c r="AD536" s="90">
        <f>(1.4+1.46+1.41+1.37+1.39+1.47+1.42)/7</f>
        <v>1.417142857142857</v>
      </c>
      <c r="AH536" s="55" t="s">
        <v>6378</v>
      </c>
      <c r="AI536" s="168">
        <f>(6.6+6.9+7+6.8+7.1+6.7+7)/7</f>
        <v>6.8714285714285719</v>
      </c>
      <c r="AM536" s="55" t="s">
        <v>1294</v>
      </c>
      <c r="AN536" s="185" t="s">
        <v>1120</v>
      </c>
      <c r="AO536" s="185" t="s">
        <v>5150</v>
      </c>
      <c r="AQ536" s="55" t="s">
        <v>131</v>
      </c>
      <c r="AR536" s="55" t="s">
        <v>132</v>
      </c>
      <c r="AS536" s="55" t="s">
        <v>1585</v>
      </c>
      <c r="AT536" s="181" t="s">
        <v>400</v>
      </c>
      <c r="AU536" s="181" t="s">
        <v>5150</v>
      </c>
      <c r="AV536" s="185" t="s">
        <v>479</v>
      </c>
      <c r="AW536" s="55" t="s">
        <v>400</v>
      </c>
      <c r="AX536" s="185" t="s">
        <v>479</v>
      </c>
      <c r="AY536" s="55" t="s">
        <v>176</v>
      </c>
      <c r="BE536" s="226" t="s">
        <v>415</v>
      </c>
      <c r="BG536" s="55" t="s">
        <v>479</v>
      </c>
      <c r="BH536" s="226" t="s">
        <v>415</v>
      </c>
      <c r="BI536" s="55" t="s">
        <v>479</v>
      </c>
      <c r="BK536" s="55" t="s">
        <v>5976</v>
      </c>
      <c r="BM536" s="192" t="s">
        <v>409</v>
      </c>
      <c r="BN536" s="55">
        <v>4</v>
      </c>
      <c r="BO536" s="55">
        <v>4</v>
      </c>
      <c r="BQ536" s="55" t="s">
        <v>141</v>
      </c>
      <c r="CH536" s="90">
        <v>1.47</v>
      </c>
      <c r="CI536" s="90">
        <v>1.37</v>
      </c>
      <c r="CM536" s="65">
        <v>3.63</v>
      </c>
      <c r="CN536" s="65">
        <v>4.13</v>
      </c>
      <c r="CQ536" s="65" t="s">
        <v>1631</v>
      </c>
      <c r="CV536" s="65" t="s">
        <v>1630</v>
      </c>
      <c r="DA536" s="65" t="s">
        <v>4457</v>
      </c>
      <c r="DG536" s="65">
        <v>45.8</v>
      </c>
      <c r="DH536" s="65">
        <v>57.5</v>
      </c>
      <c r="DL536" s="65">
        <v>244</v>
      </c>
      <c r="DM536" s="65">
        <v>277</v>
      </c>
      <c r="DQ536" s="165">
        <v>6.7</v>
      </c>
      <c r="DR536" s="165">
        <v>6.8</v>
      </c>
      <c r="EK536" s="90">
        <v>336</v>
      </c>
      <c r="EL536" s="90">
        <v>352</v>
      </c>
      <c r="EO536" s="65" t="s">
        <v>412</v>
      </c>
      <c r="EU536" s="65">
        <v>0.52980000000000005</v>
      </c>
      <c r="EV536" s="65">
        <v>0.64</v>
      </c>
      <c r="EY536" s="65" t="s">
        <v>830</v>
      </c>
      <c r="GD536" s="65">
        <v>0.21</v>
      </c>
      <c r="GE536" s="65">
        <v>0.23300000000000001</v>
      </c>
      <c r="GP536" s="292" t="s">
        <v>7494</v>
      </c>
      <c r="HS536" s="227"/>
      <c r="HW536" s="227"/>
      <c r="HX536" s="65">
        <v>1288</v>
      </c>
      <c r="HY536" s="65">
        <v>1382</v>
      </c>
      <c r="IB536" s="65" t="s">
        <v>411</v>
      </c>
      <c r="JG536" s="65">
        <f>40.3*0.012</f>
        <v>0.48359999999999997</v>
      </c>
      <c r="JH536" s="65">
        <f>88.6*0.012</f>
        <v>1.0631999999999999</v>
      </c>
      <c r="JK536" s="65" t="s">
        <v>947</v>
      </c>
      <c r="JR536" s="65">
        <v>99999</v>
      </c>
      <c r="JU536" s="55" t="s">
        <v>413</v>
      </c>
      <c r="JV536" s="55" t="s">
        <v>829</v>
      </c>
    </row>
    <row r="537" spans="1:282" x14ac:dyDescent="0.25">
      <c r="A537" s="55">
        <v>536</v>
      </c>
      <c r="B537" s="12" t="s">
        <v>7067</v>
      </c>
      <c r="C537" s="155">
        <v>29</v>
      </c>
      <c r="D537" s="55" t="s">
        <v>3786</v>
      </c>
      <c r="E537" s="90" t="s">
        <v>989</v>
      </c>
      <c r="G537" s="55" t="s">
        <v>406</v>
      </c>
      <c r="H537" s="55">
        <v>2009</v>
      </c>
      <c r="I537" s="55">
        <v>2006</v>
      </c>
      <c r="J537" s="55" t="s">
        <v>282</v>
      </c>
      <c r="K537" s="55" t="s">
        <v>407</v>
      </c>
      <c r="L537" s="55" t="s">
        <v>2737</v>
      </c>
      <c r="M537" s="90">
        <f>43+20/60</f>
        <v>43.333333333333336</v>
      </c>
      <c r="N537" s="90">
        <f>-89-43/60</f>
        <v>-89.716666666666669</v>
      </c>
      <c r="O537" s="90">
        <v>250</v>
      </c>
      <c r="U537" s="55">
        <v>4</v>
      </c>
      <c r="V537" s="55">
        <v>4</v>
      </c>
      <c r="Y537" s="55" t="s">
        <v>1866</v>
      </c>
      <c r="Z537" s="55" t="s">
        <v>1361</v>
      </c>
      <c r="AA537" s="90" t="s">
        <v>1682</v>
      </c>
      <c r="AD537" s="90">
        <f>(1.4+1.46+1.41+1.37+1.39+1.47+1.42)/7</f>
        <v>1.417142857142857</v>
      </c>
      <c r="AH537" s="55" t="s">
        <v>6378</v>
      </c>
      <c r="AI537" s="168">
        <f>(6.6+6.9+7+6.8+7.1+6.7+7)/7</f>
        <v>6.8714285714285719</v>
      </c>
      <c r="AM537" s="55" t="s">
        <v>1294</v>
      </c>
      <c r="AN537" s="185" t="s">
        <v>1121</v>
      </c>
      <c r="AO537" s="185" t="s">
        <v>5150</v>
      </c>
      <c r="AQ537" s="55" t="s">
        <v>131</v>
      </c>
      <c r="AR537" s="55" t="s">
        <v>132</v>
      </c>
      <c r="AS537" s="55" t="s">
        <v>1585</v>
      </c>
      <c r="AT537" s="181" t="s">
        <v>400</v>
      </c>
      <c r="AU537" s="181" t="s">
        <v>5150</v>
      </c>
      <c r="AV537" s="185" t="s">
        <v>479</v>
      </c>
      <c r="AW537" s="55" t="s">
        <v>400</v>
      </c>
      <c r="AX537" s="185" t="s">
        <v>479</v>
      </c>
      <c r="AY537" s="55" t="s">
        <v>176</v>
      </c>
      <c r="BE537" s="226" t="s">
        <v>415</v>
      </c>
      <c r="BG537" s="55" t="s">
        <v>479</v>
      </c>
      <c r="BH537" s="226" t="s">
        <v>415</v>
      </c>
      <c r="BI537" s="55" t="s">
        <v>479</v>
      </c>
      <c r="BK537" s="55" t="s">
        <v>5976</v>
      </c>
      <c r="BM537" s="192" t="s">
        <v>409</v>
      </c>
      <c r="BN537" s="55">
        <v>4</v>
      </c>
      <c r="BO537" s="55">
        <v>4</v>
      </c>
      <c r="BQ537" s="55" t="s">
        <v>141</v>
      </c>
      <c r="CH537" s="90">
        <v>1.47</v>
      </c>
      <c r="CI537" s="90">
        <v>1.39</v>
      </c>
      <c r="CM537" s="65">
        <v>3.63</v>
      </c>
      <c r="CN537" s="65">
        <v>3.7</v>
      </c>
      <c r="CQ537" s="65" t="s">
        <v>1631</v>
      </c>
      <c r="CV537" s="65" t="s">
        <v>1630</v>
      </c>
      <c r="DA537" s="65" t="s">
        <v>4457</v>
      </c>
      <c r="DG537" s="65">
        <v>45.8</v>
      </c>
      <c r="DH537" s="65">
        <v>43.3</v>
      </c>
      <c r="DL537" s="65">
        <v>244</v>
      </c>
      <c r="DM537" s="65">
        <v>265</v>
      </c>
      <c r="DQ537" s="165">
        <v>6.7</v>
      </c>
      <c r="DR537" s="165">
        <v>7.1</v>
      </c>
      <c r="EK537" s="90">
        <v>336</v>
      </c>
      <c r="EL537" s="90">
        <v>411</v>
      </c>
      <c r="EO537" s="65" t="s">
        <v>412</v>
      </c>
      <c r="EU537" s="65">
        <v>0.52980000000000005</v>
      </c>
      <c r="EV537" s="65">
        <v>0.63</v>
      </c>
      <c r="EY537" s="65" t="s">
        <v>830</v>
      </c>
      <c r="GD537" s="65">
        <v>0.21</v>
      </c>
      <c r="GE537" s="65">
        <v>0.219</v>
      </c>
      <c r="GP537" s="292" t="s">
        <v>7494</v>
      </c>
      <c r="HS537" s="227"/>
      <c r="HW537" s="227"/>
      <c r="HX537" s="65">
        <v>1288</v>
      </c>
      <c r="HY537" s="65">
        <v>1360</v>
      </c>
      <c r="IB537" s="65" t="s">
        <v>411</v>
      </c>
      <c r="JG537" s="65">
        <f>40.3*0.012</f>
        <v>0.48359999999999997</v>
      </c>
      <c r="JH537" s="65">
        <f>72.5*0.012</f>
        <v>0.87</v>
      </c>
      <c r="JK537" s="65" t="s">
        <v>947</v>
      </c>
      <c r="JR537" s="65">
        <v>99999</v>
      </c>
      <c r="JU537" s="55" t="s">
        <v>413</v>
      </c>
      <c r="JV537" s="55" t="s">
        <v>829</v>
      </c>
    </row>
    <row r="538" spans="1:282" x14ac:dyDescent="0.25">
      <c r="A538" s="55">
        <v>537</v>
      </c>
      <c r="B538" s="12" t="s">
        <v>7067</v>
      </c>
      <c r="C538" s="155">
        <v>29</v>
      </c>
      <c r="D538" s="55" t="s">
        <v>3787</v>
      </c>
      <c r="E538" s="90" t="s">
        <v>989</v>
      </c>
      <c r="G538" s="55" t="s">
        <v>406</v>
      </c>
      <c r="H538" s="55">
        <v>2009</v>
      </c>
      <c r="I538" s="55">
        <v>2006</v>
      </c>
      <c r="J538" s="55" t="s">
        <v>282</v>
      </c>
      <c r="K538" s="55" t="s">
        <v>407</v>
      </c>
      <c r="L538" s="55" t="s">
        <v>2737</v>
      </c>
      <c r="M538" s="90">
        <f>43+20/60</f>
        <v>43.333333333333336</v>
      </c>
      <c r="N538" s="90">
        <f>-89-43/60</f>
        <v>-89.716666666666669</v>
      </c>
      <c r="O538" s="90">
        <v>250</v>
      </c>
      <c r="U538" s="55">
        <v>4</v>
      </c>
      <c r="V538" s="55">
        <v>4</v>
      </c>
      <c r="Y538" s="55" t="s">
        <v>1866</v>
      </c>
      <c r="Z538" s="55" t="s">
        <v>1361</v>
      </c>
      <c r="AA538" s="90" t="s">
        <v>1682</v>
      </c>
      <c r="AD538" s="90">
        <f>(1.4+1.46+1.41+1.37+1.39+1.47+1.42)/7</f>
        <v>1.417142857142857</v>
      </c>
      <c r="AH538" s="55" t="s">
        <v>6378</v>
      </c>
      <c r="AI538" s="168">
        <f>(6.6+6.9+7+6.8+7.1+6.7+7)/7</f>
        <v>6.8714285714285719</v>
      </c>
      <c r="AM538" s="55" t="s">
        <v>1294</v>
      </c>
      <c r="AN538" s="185" t="s">
        <v>1499</v>
      </c>
      <c r="AO538" s="185" t="s">
        <v>5150</v>
      </c>
      <c r="AQ538" s="55" t="s">
        <v>553</v>
      </c>
      <c r="AR538" s="55" t="s">
        <v>408</v>
      </c>
      <c r="AS538" s="55" t="s">
        <v>1585</v>
      </c>
      <c r="AT538" s="181" t="s">
        <v>400</v>
      </c>
      <c r="AU538" s="181" t="s">
        <v>5150</v>
      </c>
      <c r="AV538" s="185" t="s">
        <v>479</v>
      </c>
      <c r="AW538" s="55" t="s">
        <v>400</v>
      </c>
      <c r="AX538" s="185" t="s">
        <v>479</v>
      </c>
      <c r="AY538" s="55" t="s">
        <v>176</v>
      </c>
      <c r="BE538" s="226" t="s">
        <v>415</v>
      </c>
      <c r="BG538" s="55" t="s">
        <v>479</v>
      </c>
      <c r="BH538" s="226" t="s">
        <v>415</v>
      </c>
      <c r="BI538" s="55" t="s">
        <v>479</v>
      </c>
      <c r="BK538" s="55" t="s">
        <v>5976</v>
      </c>
      <c r="BM538" s="192" t="s">
        <v>410</v>
      </c>
      <c r="BN538" s="55">
        <v>4</v>
      </c>
      <c r="BO538" s="55">
        <v>4</v>
      </c>
      <c r="BQ538" s="55" t="s">
        <v>141</v>
      </c>
      <c r="CH538" s="90">
        <v>1.42</v>
      </c>
      <c r="CI538" s="90">
        <v>1.4</v>
      </c>
      <c r="CM538" s="65">
        <v>4</v>
      </c>
      <c r="CN538" s="65">
        <v>4.2299999999999995</v>
      </c>
      <c r="CQ538" s="65" t="s">
        <v>1631</v>
      </c>
      <c r="CV538" s="65" t="s">
        <v>1630</v>
      </c>
      <c r="DA538" s="65" t="s">
        <v>4457</v>
      </c>
      <c r="DG538" s="65">
        <v>33</v>
      </c>
      <c r="DH538" s="65">
        <v>37.799999999999997</v>
      </c>
      <c r="DL538" s="65">
        <v>208</v>
      </c>
      <c r="DM538" s="65">
        <v>204</v>
      </c>
      <c r="DQ538" s="165">
        <v>7</v>
      </c>
      <c r="DR538" s="165">
        <v>6.6</v>
      </c>
      <c r="EK538" s="90">
        <v>407</v>
      </c>
      <c r="EL538" s="90">
        <v>365</v>
      </c>
      <c r="EO538" s="65" t="s">
        <v>412</v>
      </c>
      <c r="EU538" s="65">
        <v>0.57999999999999996</v>
      </c>
      <c r="EV538" s="65">
        <v>0.61539999999999995</v>
      </c>
      <c r="EY538" s="65" t="s">
        <v>830</v>
      </c>
      <c r="GD538" s="65">
        <v>0.216</v>
      </c>
      <c r="GE538" s="65">
        <v>0.26800000000000002</v>
      </c>
      <c r="GP538" s="292" t="s">
        <v>7494</v>
      </c>
      <c r="HS538" s="227"/>
      <c r="HW538" s="227"/>
      <c r="HX538" s="65">
        <v>1306</v>
      </c>
      <c r="HY538" s="65">
        <v>1376</v>
      </c>
      <c r="IB538" s="65" t="s">
        <v>411</v>
      </c>
      <c r="JG538" s="65">
        <f>61.6*0.012</f>
        <v>0.73920000000000008</v>
      </c>
      <c r="JH538" s="65">
        <f>87.1*0.012</f>
        <v>1.0451999999999999</v>
      </c>
      <c r="JK538" s="65" t="s">
        <v>414</v>
      </c>
      <c r="JR538" s="65">
        <v>99999</v>
      </c>
      <c r="JU538" s="55" t="s">
        <v>413</v>
      </c>
      <c r="JV538" s="55" t="s">
        <v>829</v>
      </c>
    </row>
    <row r="539" spans="1:282" x14ac:dyDescent="0.25">
      <c r="A539" s="55">
        <v>538</v>
      </c>
      <c r="B539" s="12" t="s">
        <v>7067</v>
      </c>
      <c r="C539" s="155">
        <v>29</v>
      </c>
      <c r="D539" s="55" t="s">
        <v>3787</v>
      </c>
      <c r="E539" s="90" t="s">
        <v>989</v>
      </c>
      <c r="G539" s="55" t="s">
        <v>406</v>
      </c>
      <c r="H539" s="55">
        <v>2009</v>
      </c>
      <c r="I539" s="55">
        <v>2006</v>
      </c>
      <c r="J539" s="55" t="s">
        <v>282</v>
      </c>
      <c r="K539" s="55" t="s">
        <v>407</v>
      </c>
      <c r="L539" s="55" t="s">
        <v>2737</v>
      </c>
      <c r="M539" s="90">
        <f>43+20/60</f>
        <v>43.333333333333336</v>
      </c>
      <c r="N539" s="90">
        <f>-89-43/60</f>
        <v>-89.716666666666669</v>
      </c>
      <c r="O539" s="90">
        <v>250</v>
      </c>
      <c r="U539" s="55">
        <v>4</v>
      </c>
      <c r="V539" s="55">
        <v>4</v>
      </c>
      <c r="Y539" s="55" t="s">
        <v>1866</v>
      </c>
      <c r="Z539" s="55" t="s">
        <v>1361</v>
      </c>
      <c r="AA539" s="90" t="s">
        <v>1682</v>
      </c>
      <c r="AD539" s="90">
        <f>(1.4+1.46+1.41+1.37+1.39+1.47+1.42)/7</f>
        <v>1.417142857142857</v>
      </c>
      <c r="AH539" s="55" t="s">
        <v>6378</v>
      </c>
      <c r="AI539" s="168">
        <f>(6.6+6.9+7+6.8+7.1+6.7+7)/7</f>
        <v>6.8714285714285719</v>
      </c>
      <c r="AM539" s="55" t="s">
        <v>1294</v>
      </c>
      <c r="AN539" s="185" t="s">
        <v>1499</v>
      </c>
      <c r="AO539" s="185" t="s">
        <v>5150</v>
      </c>
      <c r="AQ539" s="55" t="s">
        <v>553</v>
      </c>
      <c r="AR539" s="55" t="s">
        <v>132</v>
      </c>
      <c r="AS539" s="55" t="s">
        <v>1585</v>
      </c>
      <c r="AT539" s="181" t="s">
        <v>400</v>
      </c>
      <c r="AU539" s="181" t="s">
        <v>5150</v>
      </c>
      <c r="AV539" s="185" t="s">
        <v>479</v>
      </c>
      <c r="AW539" s="55" t="s">
        <v>400</v>
      </c>
      <c r="AX539" s="185" t="s">
        <v>479</v>
      </c>
      <c r="AY539" s="55" t="s">
        <v>176</v>
      </c>
      <c r="BE539" s="226" t="s">
        <v>415</v>
      </c>
      <c r="BG539" s="55" t="s">
        <v>479</v>
      </c>
      <c r="BH539" s="226" t="s">
        <v>415</v>
      </c>
      <c r="BI539" s="55" t="s">
        <v>479</v>
      </c>
      <c r="BK539" s="55" t="s">
        <v>5976</v>
      </c>
      <c r="BM539" s="192" t="s">
        <v>410</v>
      </c>
      <c r="BN539" s="55">
        <v>4</v>
      </c>
      <c r="BO539" s="55">
        <v>4</v>
      </c>
      <c r="BQ539" s="55" t="s">
        <v>141</v>
      </c>
      <c r="CH539" s="90">
        <v>1.42</v>
      </c>
      <c r="CI539" s="90">
        <v>1.4</v>
      </c>
      <c r="CM539" s="65">
        <v>4</v>
      </c>
      <c r="CN539" s="65">
        <v>4.2799999999999994</v>
      </c>
      <c r="CQ539" s="65" t="s">
        <v>1631</v>
      </c>
      <c r="CV539" s="65" t="s">
        <v>1630</v>
      </c>
      <c r="DA539" s="65" t="s">
        <v>4457</v>
      </c>
      <c r="DG539" s="65">
        <v>33</v>
      </c>
      <c r="DH539" s="65">
        <v>42.3</v>
      </c>
      <c r="DL539" s="65">
        <v>208</v>
      </c>
      <c r="DM539" s="65">
        <v>269</v>
      </c>
      <c r="DQ539" s="165">
        <v>7</v>
      </c>
      <c r="DR539" s="165">
        <v>6.9</v>
      </c>
      <c r="EK539" s="90">
        <v>407</v>
      </c>
      <c r="EL539" s="90">
        <v>385</v>
      </c>
      <c r="EO539" s="65" t="s">
        <v>412</v>
      </c>
      <c r="EU539" s="65">
        <v>0.57999999999999996</v>
      </c>
      <c r="EV539" s="65">
        <v>0.6</v>
      </c>
      <c r="EY539" s="65" t="s">
        <v>830</v>
      </c>
      <c r="GD539" s="65">
        <v>0.216</v>
      </c>
      <c r="GE539" s="65">
        <v>0.24399999999999999</v>
      </c>
      <c r="GP539" s="292" t="s">
        <v>7494</v>
      </c>
      <c r="HS539" s="227"/>
      <c r="HW539" s="227"/>
      <c r="HX539" s="65">
        <v>1306</v>
      </c>
      <c r="HY539" s="65">
        <v>1379</v>
      </c>
      <c r="IB539" s="65" t="s">
        <v>411</v>
      </c>
      <c r="JG539" s="65">
        <f>61.6*0.012</f>
        <v>0.73920000000000008</v>
      </c>
      <c r="JH539" s="65">
        <f>108.2*0.012</f>
        <v>1.2984</v>
      </c>
      <c r="JK539" s="65" t="s">
        <v>414</v>
      </c>
      <c r="JR539" s="65">
        <v>99999</v>
      </c>
      <c r="JU539" s="55" t="s">
        <v>413</v>
      </c>
      <c r="JV539" s="55" t="s">
        <v>829</v>
      </c>
    </row>
    <row r="540" spans="1:282" x14ac:dyDescent="0.25">
      <c r="A540" s="55">
        <v>539</v>
      </c>
      <c r="B540" s="12" t="s">
        <v>7067</v>
      </c>
      <c r="C540" s="155">
        <v>29</v>
      </c>
      <c r="D540" s="55" t="s">
        <v>3787</v>
      </c>
      <c r="E540" s="90" t="s">
        <v>989</v>
      </c>
      <c r="G540" s="55" t="s">
        <v>406</v>
      </c>
      <c r="H540" s="55">
        <v>2009</v>
      </c>
      <c r="I540" s="55">
        <v>2006</v>
      </c>
      <c r="J540" s="55" t="s">
        <v>282</v>
      </c>
      <c r="K540" s="55" t="s">
        <v>407</v>
      </c>
      <c r="L540" s="55" t="s">
        <v>2737</v>
      </c>
      <c r="M540" s="90">
        <f>43+20/60</f>
        <v>43.333333333333336</v>
      </c>
      <c r="N540" s="90">
        <f>-89-43/60</f>
        <v>-89.716666666666669</v>
      </c>
      <c r="O540" s="90">
        <v>250</v>
      </c>
      <c r="U540" s="55">
        <v>4</v>
      </c>
      <c r="V540" s="55">
        <v>4</v>
      </c>
      <c r="Y540" s="55" t="s">
        <v>1866</v>
      </c>
      <c r="Z540" s="55" t="s">
        <v>1361</v>
      </c>
      <c r="AA540" s="90" t="s">
        <v>1682</v>
      </c>
      <c r="AD540" s="90">
        <f>(1.4+1.46+1.41+1.37+1.39+1.47+1.42)/7</f>
        <v>1.417142857142857</v>
      </c>
      <c r="AH540" s="55" t="s">
        <v>6378</v>
      </c>
      <c r="AI540" s="168">
        <f>(6.6+6.9+7+6.8+7.1+6.7+7)/7</f>
        <v>6.8714285714285719</v>
      </c>
      <c r="AM540" s="55" t="s">
        <v>1294</v>
      </c>
      <c r="AN540" s="185" t="s">
        <v>1479</v>
      </c>
      <c r="AO540" s="185" t="s">
        <v>5150</v>
      </c>
      <c r="AQ540" s="55" t="s">
        <v>553</v>
      </c>
      <c r="AR540" s="55" t="s">
        <v>408</v>
      </c>
      <c r="AS540" s="55" t="s">
        <v>1585</v>
      </c>
      <c r="AT540" s="181" t="s">
        <v>400</v>
      </c>
      <c r="AU540" s="181" t="s">
        <v>5150</v>
      </c>
      <c r="AV540" s="185" t="s">
        <v>479</v>
      </c>
      <c r="AW540" s="55" t="s">
        <v>400</v>
      </c>
      <c r="AX540" s="185" t="s">
        <v>479</v>
      </c>
      <c r="AY540" s="55" t="s">
        <v>176</v>
      </c>
      <c r="BE540" s="226" t="s">
        <v>415</v>
      </c>
      <c r="BG540" s="55" t="s">
        <v>479</v>
      </c>
      <c r="BH540" s="226" t="s">
        <v>415</v>
      </c>
      <c r="BI540" s="55" t="s">
        <v>479</v>
      </c>
      <c r="BK540" s="55" t="s">
        <v>5976</v>
      </c>
      <c r="BM540" s="192" t="s">
        <v>410</v>
      </c>
      <c r="BN540" s="55">
        <v>4</v>
      </c>
      <c r="BO540" s="55">
        <v>4</v>
      </c>
      <c r="BQ540" s="55" t="s">
        <v>141</v>
      </c>
      <c r="CH540" s="90">
        <v>1.42</v>
      </c>
      <c r="CI540" s="90">
        <v>1.46</v>
      </c>
      <c r="CM540" s="65">
        <v>4</v>
      </c>
      <c r="CN540" s="65">
        <v>3.8299999999999996</v>
      </c>
      <c r="CQ540" s="65" t="s">
        <v>1631</v>
      </c>
      <c r="CV540" s="65" t="s">
        <v>1630</v>
      </c>
      <c r="DA540" s="65" t="s">
        <v>4457</v>
      </c>
      <c r="DG540" s="65">
        <v>33</v>
      </c>
      <c r="DH540" s="65">
        <v>37.299999999999997</v>
      </c>
      <c r="DL540" s="65">
        <v>208</v>
      </c>
      <c r="DM540" s="65">
        <v>161</v>
      </c>
      <c r="DQ540" s="165">
        <v>7</v>
      </c>
      <c r="DR540" s="165">
        <v>6.6</v>
      </c>
      <c r="EK540" s="90">
        <v>407</v>
      </c>
      <c r="EL540" s="90">
        <v>337</v>
      </c>
      <c r="EO540" s="65" t="s">
        <v>412</v>
      </c>
      <c r="EU540" s="65">
        <v>0.57999999999999996</v>
      </c>
      <c r="EV540" s="65">
        <v>0.63</v>
      </c>
      <c r="EY540" s="65" t="s">
        <v>830</v>
      </c>
      <c r="GD540" s="65">
        <v>0.216</v>
      </c>
      <c r="GE540" s="65">
        <v>0.23799999999999999</v>
      </c>
      <c r="GP540" s="292" t="s">
        <v>7494</v>
      </c>
      <c r="HS540" s="227"/>
      <c r="HW540" s="227"/>
      <c r="HX540" s="65">
        <v>1306</v>
      </c>
      <c r="HY540" s="65">
        <v>1336</v>
      </c>
      <c r="IB540" s="65" t="s">
        <v>411</v>
      </c>
      <c r="JG540" s="65">
        <f>61.6*0.012</f>
        <v>0.73920000000000008</v>
      </c>
      <c r="JH540" s="65">
        <f>105*0.012</f>
        <v>1.26</v>
      </c>
      <c r="JK540" s="65" t="s">
        <v>414</v>
      </c>
      <c r="JR540" s="65">
        <v>99999</v>
      </c>
      <c r="JU540" s="55" t="s">
        <v>413</v>
      </c>
      <c r="JV540" s="55" t="s">
        <v>829</v>
      </c>
    </row>
    <row r="541" spans="1:282" x14ac:dyDescent="0.25">
      <c r="A541" s="55">
        <v>540</v>
      </c>
      <c r="B541" s="12" t="s">
        <v>7067</v>
      </c>
      <c r="C541" s="155">
        <v>29</v>
      </c>
      <c r="D541" s="55" t="s">
        <v>3787</v>
      </c>
      <c r="E541" s="90" t="s">
        <v>989</v>
      </c>
      <c r="G541" s="55" t="s">
        <v>406</v>
      </c>
      <c r="H541" s="55">
        <v>2009</v>
      </c>
      <c r="I541" s="55">
        <v>2006</v>
      </c>
      <c r="J541" s="55" t="s">
        <v>282</v>
      </c>
      <c r="K541" s="55" t="s">
        <v>407</v>
      </c>
      <c r="L541" s="55" t="s">
        <v>2737</v>
      </c>
      <c r="M541" s="90">
        <f>43+20/60</f>
        <v>43.333333333333336</v>
      </c>
      <c r="N541" s="90">
        <f>-89-43/60</f>
        <v>-89.716666666666669</v>
      </c>
      <c r="O541" s="90">
        <v>250</v>
      </c>
      <c r="U541" s="55">
        <v>4</v>
      </c>
      <c r="V541" s="55">
        <v>4</v>
      </c>
      <c r="Y541" s="55" t="s">
        <v>1866</v>
      </c>
      <c r="Z541" s="55" t="s">
        <v>1361</v>
      </c>
      <c r="AA541" s="90" t="s">
        <v>1682</v>
      </c>
      <c r="AD541" s="90">
        <f>(1.4+1.46+1.41+1.37+1.39+1.47+1.42)/7</f>
        <v>1.417142857142857</v>
      </c>
      <c r="AH541" s="55" t="s">
        <v>6378</v>
      </c>
      <c r="AI541" s="168">
        <f>(6.6+6.9+7+6.8+7.1+6.7+7)/7</f>
        <v>6.8714285714285719</v>
      </c>
      <c r="AM541" s="55" t="s">
        <v>1294</v>
      </c>
      <c r="AN541" s="185" t="s">
        <v>1479</v>
      </c>
      <c r="AO541" s="185" t="s">
        <v>5150</v>
      </c>
      <c r="AQ541" s="55" t="s">
        <v>553</v>
      </c>
      <c r="AR541" s="55" t="s">
        <v>132</v>
      </c>
      <c r="AS541" s="55" t="s">
        <v>1585</v>
      </c>
      <c r="AT541" s="181" t="s">
        <v>400</v>
      </c>
      <c r="AU541" s="181" t="s">
        <v>5150</v>
      </c>
      <c r="AV541" s="185" t="s">
        <v>479</v>
      </c>
      <c r="AW541" s="55" t="s">
        <v>400</v>
      </c>
      <c r="AX541" s="185" t="s">
        <v>479</v>
      </c>
      <c r="AY541" s="55" t="s">
        <v>176</v>
      </c>
      <c r="BE541" s="226" t="s">
        <v>415</v>
      </c>
      <c r="BG541" s="55" t="s">
        <v>479</v>
      </c>
      <c r="BH541" s="226" t="s">
        <v>415</v>
      </c>
      <c r="BI541" s="55" t="s">
        <v>479</v>
      </c>
      <c r="BK541" s="55" t="s">
        <v>5976</v>
      </c>
      <c r="BM541" s="192" t="s">
        <v>410</v>
      </c>
      <c r="BN541" s="55">
        <v>4</v>
      </c>
      <c r="BO541" s="55">
        <v>4</v>
      </c>
      <c r="BQ541" s="55" t="s">
        <v>141</v>
      </c>
      <c r="CH541" s="90">
        <v>1.42</v>
      </c>
      <c r="CI541" s="90">
        <v>1.41</v>
      </c>
      <c r="CM541" s="65">
        <v>4</v>
      </c>
      <c r="CN541" s="65">
        <v>4.2299999999999995</v>
      </c>
      <c r="CQ541" s="65" t="s">
        <v>1631</v>
      </c>
      <c r="CV541" s="65" t="s">
        <v>1630</v>
      </c>
      <c r="DA541" s="65" t="s">
        <v>4457</v>
      </c>
      <c r="DG541" s="65">
        <v>33</v>
      </c>
      <c r="DH541" s="65">
        <v>54.5</v>
      </c>
      <c r="DL541" s="65">
        <v>208</v>
      </c>
      <c r="DM541" s="65">
        <v>204</v>
      </c>
      <c r="DQ541" s="165">
        <v>7</v>
      </c>
      <c r="DR541" s="165">
        <v>7</v>
      </c>
      <c r="EK541" s="90">
        <v>407</v>
      </c>
      <c r="EL541" s="90">
        <v>368</v>
      </c>
      <c r="EO541" s="65" t="s">
        <v>412</v>
      </c>
      <c r="EU541" s="65">
        <v>0.57999999999999996</v>
      </c>
      <c r="EV541" s="65">
        <v>0.65</v>
      </c>
      <c r="EY541" s="65" t="s">
        <v>830</v>
      </c>
      <c r="GD541" s="65">
        <v>0.216</v>
      </c>
      <c r="GE541" s="65">
        <v>0.221</v>
      </c>
      <c r="GP541" s="292" t="s">
        <v>7494</v>
      </c>
      <c r="HS541" s="227"/>
      <c r="HW541" s="227"/>
      <c r="HX541" s="65">
        <v>1306</v>
      </c>
      <c r="HY541" s="65">
        <v>1354</v>
      </c>
      <c r="IB541" s="65" t="s">
        <v>411</v>
      </c>
      <c r="JG541" s="65">
        <f>61.6*0.012</f>
        <v>0.73920000000000008</v>
      </c>
      <c r="JH541" s="65">
        <f>70.9*0.012</f>
        <v>0.85080000000000011</v>
      </c>
      <c r="JK541" s="65" t="s">
        <v>414</v>
      </c>
      <c r="JR541" s="65">
        <v>99999</v>
      </c>
      <c r="JU541" s="55" t="s">
        <v>413</v>
      </c>
      <c r="JV541" s="55" t="s">
        <v>829</v>
      </c>
    </row>
    <row r="542" spans="1:282" x14ac:dyDescent="0.25">
      <c r="A542" s="55">
        <v>541</v>
      </c>
      <c r="B542" s="12" t="s">
        <v>7067</v>
      </c>
      <c r="C542" s="155">
        <v>29</v>
      </c>
      <c r="D542" s="55" t="s">
        <v>3773</v>
      </c>
      <c r="E542" s="90" t="s">
        <v>989</v>
      </c>
      <c r="G542" s="55" t="s">
        <v>406</v>
      </c>
      <c r="H542" s="55">
        <v>2009</v>
      </c>
      <c r="I542" s="55">
        <v>2006</v>
      </c>
      <c r="J542" s="55" t="s">
        <v>282</v>
      </c>
      <c r="K542" s="55" t="s">
        <v>407</v>
      </c>
      <c r="L542" s="55" t="s">
        <v>2737</v>
      </c>
      <c r="M542" s="90">
        <f>43+20/60</f>
        <v>43.333333333333336</v>
      </c>
      <c r="N542" s="90">
        <f>-89-43/60</f>
        <v>-89.716666666666669</v>
      </c>
      <c r="O542" s="90">
        <v>250</v>
      </c>
      <c r="U542" s="55">
        <v>4</v>
      </c>
      <c r="V542" s="55">
        <v>4</v>
      </c>
      <c r="Y542" s="55" t="s">
        <v>1866</v>
      </c>
      <c r="Z542" s="55" t="s">
        <v>1361</v>
      </c>
      <c r="AA542" s="90" t="s">
        <v>1682</v>
      </c>
      <c r="AD542" s="90">
        <f>(1.4+1.46+1.41+1.37+1.39+1.47+1.42)/7</f>
        <v>1.417142857142857</v>
      </c>
      <c r="AH542" s="55" t="s">
        <v>6378</v>
      </c>
      <c r="AI542" s="168">
        <f>(6.6+6.9+7+6.8+7.1+6.7+7)/7</f>
        <v>6.8714285714285719</v>
      </c>
      <c r="AM542" s="55" t="s">
        <v>1294</v>
      </c>
      <c r="AN542" s="185" t="s">
        <v>1120</v>
      </c>
      <c r="AO542" s="185" t="s">
        <v>5150</v>
      </c>
      <c r="AQ542" s="55" t="s">
        <v>131</v>
      </c>
      <c r="AR542" s="55" t="s">
        <v>132</v>
      </c>
      <c r="AS542" s="55" t="s">
        <v>1585</v>
      </c>
      <c r="AT542" s="181" t="s">
        <v>400</v>
      </c>
      <c r="AU542" s="181" t="s">
        <v>5150</v>
      </c>
      <c r="AV542" s="185" t="s">
        <v>479</v>
      </c>
      <c r="AW542" s="55" t="s">
        <v>400</v>
      </c>
      <c r="AX542" s="185" t="s">
        <v>479</v>
      </c>
      <c r="AY542" s="55" t="s">
        <v>176</v>
      </c>
      <c r="BE542" s="226" t="s">
        <v>415</v>
      </c>
      <c r="BG542" s="55" t="s">
        <v>479</v>
      </c>
      <c r="BH542" s="226" t="s">
        <v>415</v>
      </c>
      <c r="BI542" s="55" t="s">
        <v>479</v>
      </c>
      <c r="BK542" s="55" t="s">
        <v>5976</v>
      </c>
      <c r="BM542" s="192" t="s">
        <v>410</v>
      </c>
      <c r="BN542" s="55">
        <v>4</v>
      </c>
      <c r="BO542" s="55">
        <v>4</v>
      </c>
      <c r="BQ542" s="55" t="s">
        <v>141</v>
      </c>
      <c r="CH542" s="90">
        <v>1.42</v>
      </c>
      <c r="CI542" s="90">
        <v>1.37</v>
      </c>
      <c r="CM542" s="65">
        <v>4</v>
      </c>
      <c r="CN542" s="65">
        <v>4.13</v>
      </c>
      <c r="CQ542" s="65" t="s">
        <v>1631</v>
      </c>
      <c r="CV542" s="65" t="s">
        <v>1630</v>
      </c>
      <c r="DA542" s="65" t="s">
        <v>4457</v>
      </c>
      <c r="DG542" s="65">
        <v>33</v>
      </c>
      <c r="DH542" s="65">
        <v>57.5</v>
      </c>
      <c r="DL542" s="65">
        <v>208</v>
      </c>
      <c r="DM542" s="65">
        <v>277</v>
      </c>
      <c r="DQ542" s="165">
        <v>7</v>
      </c>
      <c r="DR542" s="165">
        <v>6.8</v>
      </c>
      <c r="EK542" s="90">
        <v>407</v>
      </c>
      <c r="EL542" s="90">
        <v>352</v>
      </c>
      <c r="EO542" s="65" t="s">
        <v>412</v>
      </c>
      <c r="EU542" s="65">
        <v>0.57999999999999996</v>
      </c>
      <c r="EV542" s="65">
        <v>0.64</v>
      </c>
      <c r="EY542" s="65" t="s">
        <v>830</v>
      </c>
      <c r="GD542" s="65">
        <v>0.216</v>
      </c>
      <c r="GE542" s="65">
        <v>0.23300000000000001</v>
      </c>
      <c r="GP542" s="292" t="s">
        <v>7494</v>
      </c>
      <c r="HS542" s="227"/>
      <c r="HW542" s="227"/>
      <c r="HX542" s="65">
        <v>1306</v>
      </c>
      <c r="HY542" s="65">
        <v>1382</v>
      </c>
      <c r="IB542" s="65" t="s">
        <v>411</v>
      </c>
      <c r="JG542" s="65">
        <f>61.6*0.012</f>
        <v>0.73920000000000008</v>
      </c>
      <c r="JH542" s="65">
        <f>88.6*0.012</f>
        <v>1.0631999999999999</v>
      </c>
      <c r="JK542" s="65" t="s">
        <v>414</v>
      </c>
      <c r="JR542" s="65">
        <v>99999</v>
      </c>
      <c r="JU542" s="55" t="s">
        <v>413</v>
      </c>
      <c r="JV542" s="55" t="s">
        <v>829</v>
      </c>
    </row>
    <row r="543" spans="1:282" x14ac:dyDescent="0.25">
      <c r="A543" s="55">
        <v>542</v>
      </c>
      <c r="B543" s="12" t="s">
        <v>7067</v>
      </c>
      <c r="C543" s="155">
        <v>29</v>
      </c>
      <c r="D543" s="55" t="s">
        <v>3788</v>
      </c>
      <c r="E543" s="90" t="s">
        <v>989</v>
      </c>
      <c r="G543" s="55" t="s">
        <v>406</v>
      </c>
      <c r="H543" s="55">
        <v>2009</v>
      </c>
      <c r="I543" s="55">
        <v>2006</v>
      </c>
      <c r="J543" s="55" t="s">
        <v>282</v>
      </c>
      <c r="K543" s="55" t="s">
        <v>407</v>
      </c>
      <c r="L543" s="55" t="s">
        <v>2737</v>
      </c>
      <c r="M543" s="90">
        <f>43+20/60</f>
        <v>43.333333333333336</v>
      </c>
      <c r="N543" s="90">
        <f>-89-43/60</f>
        <v>-89.716666666666669</v>
      </c>
      <c r="O543" s="90">
        <v>250</v>
      </c>
      <c r="U543" s="55">
        <v>4</v>
      </c>
      <c r="V543" s="55">
        <v>4</v>
      </c>
      <c r="Y543" s="55" t="s">
        <v>1866</v>
      </c>
      <c r="Z543" s="55" t="s">
        <v>1361</v>
      </c>
      <c r="AA543" s="90" t="s">
        <v>1682</v>
      </c>
      <c r="AD543" s="90">
        <f>(1.4+1.46+1.41+1.37+1.39+1.47+1.42)/7</f>
        <v>1.417142857142857</v>
      </c>
      <c r="AH543" s="55" t="s">
        <v>6378</v>
      </c>
      <c r="AI543" s="168">
        <f>(6.6+6.9+7+6.8+7.1+6.7+7)/7</f>
        <v>6.8714285714285719</v>
      </c>
      <c r="AM543" s="55" t="s">
        <v>1294</v>
      </c>
      <c r="AN543" s="185" t="s">
        <v>1121</v>
      </c>
      <c r="AO543" s="185" t="s">
        <v>5150</v>
      </c>
      <c r="AQ543" s="55" t="s">
        <v>131</v>
      </c>
      <c r="AR543" s="55" t="s">
        <v>132</v>
      </c>
      <c r="AS543" s="55" t="s">
        <v>1585</v>
      </c>
      <c r="AT543" s="181" t="s">
        <v>400</v>
      </c>
      <c r="AU543" s="181" t="s">
        <v>5150</v>
      </c>
      <c r="AV543" s="185" t="s">
        <v>479</v>
      </c>
      <c r="AW543" s="55" t="s">
        <v>400</v>
      </c>
      <c r="AX543" s="185" t="s">
        <v>479</v>
      </c>
      <c r="AY543" s="55" t="s">
        <v>176</v>
      </c>
      <c r="BE543" s="226" t="s">
        <v>415</v>
      </c>
      <c r="BG543" s="55" t="s">
        <v>479</v>
      </c>
      <c r="BH543" s="226" t="s">
        <v>415</v>
      </c>
      <c r="BI543" s="55" t="s">
        <v>479</v>
      </c>
      <c r="BK543" s="55" t="s">
        <v>5976</v>
      </c>
      <c r="BM543" s="192" t="s">
        <v>410</v>
      </c>
      <c r="BN543" s="55">
        <v>4</v>
      </c>
      <c r="BO543" s="55">
        <v>4</v>
      </c>
      <c r="BQ543" s="55" t="s">
        <v>141</v>
      </c>
      <c r="CH543" s="90">
        <v>1.42</v>
      </c>
      <c r="CI543" s="90">
        <v>1.39</v>
      </c>
      <c r="CM543" s="65">
        <v>4</v>
      </c>
      <c r="CN543" s="65">
        <v>3.7</v>
      </c>
      <c r="CQ543" s="65" t="s">
        <v>1631</v>
      </c>
      <c r="CV543" s="65" t="s">
        <v>1630</v>
      </c>
      <c r="DA543" s="65" t="s">
        <v>4457</v>
      </c>
      <c r="DG543" s="65">
        <v>33</v>
      </c>
      <c r="DH543" s="65">
        <v>43.3</v>
      </c>
      <c r="DL543" s="65">
        <v>208</v>
      </c>
      <c r="DM543" s="65">
        <v>265</v>
      </c>
      <c r="DQ543" s="165">
        <v>7</v>
      </c>
      <c r="DR543" s="165">
        <v>7.1</v>
      </c>
      <c r="EK543" s="90">
        <v>407</v>
      </c>
      <c r="EL543" s="90">
        <v>411</v>
      </c>
      <c r="EO543" s="65" t="s">
        <v>412</v>
      </c>
      <c r="EU543" s="65">
        <v>0.57999999999999996</v>
      </c>
      <c r="EV543" s="65">
        <v>0.63</v>
      </c>
      <c r="EY543" s="65" t="s">
        <v>830</v>
      </c>
      <c r="GD543" s="65">
        <v>0.216</v>
      </c>
      <c r="GE543" s="65">
        <v>0.219</v>
      </c>
      <c r="GP543" s="292" t="s">
        <v>7494</v>
      </c>
      <c r="HS543" s="227"/>
      <c r="HW543" s="227"/>
      <c r="HX543" s="65">
        <v>1306</v>
      </c>
      <c r="HY543" s="65">
        <v>1360</v>
      </c>
      <c r="IB543" s="65" t="s">
        <v>411</v>
      </c>
      <c r="JG543" s="65">
        <f>61.6*0.012</f>
        <v>0.73920000000000008</v>
      </c>
      <c r="JH543" s="65">
        <f>72.5*0.012</f>
        <v>0.87</v>
      </c>
      <c r="JK543" s="65" t="s">
        <v>414</v>
      </c>
      <c r="JR543" s="65">
        <v>99999</v>
      </c>
      <c r="JU543" s="55" t="s">
        <v>413</v>
      </c>
      <c r="JV543" s="55" t="s">
        <v>829</v>
      </c>
    </row>
    <row r="544" spans="1:282" x14ac:dyDescent="0.25">
      <c r="A544" s="55">
        <v>543</v>
      </c>
      <c r="B544" s="12" t="s">
        <v>7067</v>
      </c>
      <c r="C544" s="155">
        <v>29</v>
      </c>
      <c r="D544" s="55" t="s">
        <v>3789</v>
      </c>
      <c r="E544" s="90" t="s">
        <v>989</v>
      </c>
      <c r="G544" s="55" t="s">
        <v>406</v>
      </c>
      <c r="H544" s="55">
        <v>2009</v>
      </c>
      <c r="I544" s="55">
        <v>2006</v>
      </c>
      <c r="J544" s="55" t="s">
        <v>282</v>
      </c>
      <c r="K544" s="55" t="s">
        <v>407</v>
      </c>
      <c r="L544" s="55" t="s">
        <v>2737</v>
      </c>
      <c r="M544" s="90">
        <f>43+20/60</f>
        <v>43.333333333333336</v>
      </c>
      <c r="N544" s="90">
        <f>-89-43/60</f>
        <v>-89.716666666666669</v>
      </c>
      <c r="O544" s="90">
        <v>250</v>
      </c>
      <c r="U544" s="55">
        <v>4</v>
      </c>
      <c r="V544" s="55">
        <v>4</v>
      </c>
      <c r="Y544" s="55" t="s">
        <v>1866</v>
      </c>
      <c r="Z544" s="55" t="s">
        <v>1349</v>
      </c>
      <c r="AA544" s="90" t="s">
        <v>1677</v>
      </c>
      <c r="AD544" s="90">
        <f>(1.4+1.46+1.41+1.37+1.39+1.47+1.42)/7</f>
        <v>1.417142857142857</v>
      </c>
      <c r="AH544" s="55" t="s">
        <v>6378</v>
      </c>
      <c r="AI544" s="168">
        <f>(6.6+6.9+7+6.8+7.1+6.7+7)/7</f>
        <v>6.8714285714285719</v>
      </c>
      <c r="AM544" s="55" t="s">
        <v>1294</v>
      </c>
      <c r="AN544" s="185" t="s">
        <v>1499</v>
      </c>
      <c r="AO544" s="185" t="s">
        <v>5150</v>
      </c>
      <c r="AQ544" s="55" t="s">
        <v>553</v>
      </c>
      <c r="AR544" s="55" t="s">
        <v>408</v>
      </c>
      <c r="AS544" s="55" t="s">
        <v>1585</v>
      </c>
      <c r="AT544" s="181" t="s">
        <v>400</v>
      </c>
      <c r="AU544" s="181" t="s">
        <v>5150</v>
      </c>
      <c r="AV544" s="185" t="s">
        <v>479</v>
      </c>
      <c r="AW544" s="55" t="s">
        <v>400</v>
      </c>
      <c r="AX544" s="185" t="s">
        <v>479</v>
      </c>
      <c r="AY544" s="55" t="s">
        <v>176</v>
      </c>
      <c r="BE544" s="226" t="s">
        <v>415</v>
      </c>
      <c r="BG544" s="55" t="s">
        <v>479</v>
      </c>
      <c r="BH544" s="226" t="s">
        <v>415</v>
      </c>
      <c r="BI544" s="55" t="s">
        <v>479</v>
      </c>
      <c r="BK544" s="55" t="s">
        <v>5976</v>
      </c>
      <c r="BM544" s="192" t="s">
        <v>409</v>
      </c>
      <c r="BN544" s="55">
        <v>4</v>
      </c>
      <c r="BO544" s="55">
        <v>4</v>
      </c>
      <c r="BQ544" s="55" t="s">
        <v>141</v>
      </c>
      <c r="CH544" s="90">
        <v>1.49</v>
      </c>
      <c r="CI544" s="90">
        <v>1.45</v>
      </c>
      <c r="CM544" s="65">
        <v>2.93</v>
      </c>
      <c r="CN544" s="65">
        <v>3.3</v>
      </c>
      <c r="CQ544" s="65" t="s">
        <v>1631</v>
      </c>
      <c r="CV544" s="65" t="s">
        <v>1630</v>
      </c>
      <c r="DA544" s="65" t="s">
        <v>4457</v>
      </c>
      <c r="DG544" s="65">
        <v>24.3</v>
      </c>
      <c r="DH544" s="65">
        <v>20.8</v>
      </c>
      <c r="DL544" s="65">
        <v>145</v>
      </c>
      <c r="DM544" s="65">
        <v>104</v>
      </c>
      <c r="DQ544" s="165">
        <v>7.1</v>
      </c>
      <c r="DR544" s="165">
        <v>6.8</v>
      </c>
      <c r="EK544" s="90">
        <v>293</v>
      </c>
      <c r="EL544" s="90">
        <v>313</v>
      </c>
      <c r="EO544" s="65" t="s">
        <v>412</v>
      </c>
      <c r="EU544" s="65">
        <v>1.3393999999999999</v>
      </c>
      <c r="EV544" s="65">
        <v>1.2694000000000001</v>
      </c>
      <c r="EY544" s="65" t="s">
        <v>830</v>
      </c>
      <c r="GD544" s="65">
        <v>0.23</v>
      </c>
      <c r="GE544" s="65">
        <v>0.23499999999999999</v>
      </c>
      <c r="GP544" s="292" t="s">
        <v>7494</v>
      </c>
      <c r="HS544" s="227"/>
      <c r="HW544" s="227"/>
      <c r="HX544" s="65">
        <v>1092</v>
      </c>
      <c r="HY544" s="65">
        <v>1178</v>
      </c>
      <c r="IB544" s="65" t="s">
        <v>411</v>
      </c>
      <c r="JG544" s="65">
        <f>22*0.012</f>
        <v>0.26400000000000001</v>
      </c>
      <c r="JH544" s="65">
        <f>54.3*0.012</f>
        <v>0.65159999999999996</v>
      </c>
      <c r="JK544" s="65" t="s">
        <v>414</v>
      </c>
      <c r="JR544" s="65">
        <v>99999</v>
      </c>
      <c r="JU544" s="55" t="s">
        <v>413</v>
      </c>
      <c r="JV544" s="55" t="s">
        <v>829</v>
      </c>
    </row>
    <row r="545" spans="1:282" x14ac:dyDescent="0.25">
      <c r="A545" s="55">
        <v>544</v>
      </c>
      <c r="B545" s="12" t="s">
        <v>7067</v>
      </c>
      <c r="C545" s="155">
        <v>29</v>
      </c>
      <c r="D545" s="55" t="s">
        <v>3789</v>
      </c>
      <c r="E545" s="90" t="s">
        <v>989</v>
      </c>
      <c r="G545" s="55" t="s">
        <v>406</v>
      </c>
      <c r="H545" s="55">
        <v>2009</v>
      </c>
      <c r="I545" s="55">
        <v>2006</v>
      </c>
      <c r="J545" s="55" t="s">
        <v>282</v>
      </c>
      <c r="K545" s="55" t="s">
        <v>407</v>
      </c>
      <c r="L545" s="55" t="s">
        <v>2737</v>
      </c>
      <c r="M545" s="90">
        <f>43+20/60</f>
        <v>43.333333333333336</v>
      </c>
      <c r="N545" s="90">
        <f>-89-43/60</f>
        <v>-89.716666666666669</v>
      </c>
      <c r="O545" s="90">
        <v>250</v>
      </c>
      <c r="U545" s="55">
        <v>4</v>
      </c>
      <c r="V545" s="55">
        <v>4</v>
      </c>
      <c r="Y545" s="55" t="s">
        <v>1866</v>
      </c>
      <c r="Z545" s="55" t="s">
        <v>1349</v>
      </c>
      <c r="AA545" s="90" t="s">
        <v>1677</v>
      </c>
      <c r="AD545" s="90">
        <f>(1.4+1.46+1.41+1.37+1.39+1.47+1.42)/7</f>
        <v>1.417142857142857</v>
      </c>
      <c r="AH545" s="55" t="s">
        <v>6378</v>
      </c>
      <c r="AI545" s="168">
        <f>(6.6+6.9+7+6.8+7.1+6.7+7)/7</f>
        <v>6.8714285714285719</v>
      </c>
      <c r="AM545" s="55" t="s">
        <v>1294</v>
      </c>
      <c r="AN545" s="185" t="s">
        <v>1499</v>
      </c>
      <c r="AO545" s="185" t="s">
        <v>5150</v>
      </c>
      <c r="AQ545" s="55" t="s">
        <v>553</v>
      </c>
      <c r="AR545" s="55" t="s">
        <v>132</v>
      </c>
      <c r="AS545" s="55" t="s">
        <v>1585</v>
      </c>
      <c r="AT545" s="181" t="s">
        <v>400</v>
      </c>
      <c r="AU545" s="181" t="s">
        <v>5150</v>
      </c>
      <c r="AV545" s="185" t="s">
        <v>479</v>
      </c>
      <c r="AW545" s="55" t="s">
        <v>400</v>
      </c>
      <c r="AX545" s="185" t="s">
        <v>479</v>
      </c>
      <c r="AY545" s="55" t="s">
        <v>176</v>
      </c>
      <c r="BE545" s="226" t="s">
        <v>415</v>
      </c>
      <c r="BG545" s="55" t="s">
        <v>479</v>
      </c>
      <c r="BH545" s="226" t="s">
        <v>415</v>
      </c>
      <c r="BI545" s="55" t="s">
        <v>479</v>
      </c>
      <c r="BK545" s="55" t="s">
        <v>5976</v>
      </c>
      <c r="BM545" s="192" t="s">
        <v>409</v>
      </c>
      <c r="BN545" s="55">
        <v>4</v>
      </c>
      <c r="BO545" s="55">
        <v>4</v>
      </c>
      <c r="BQ545" s="55" t="s">
        <v>141</v>
      </c>
      <c r="CH545" s="90">
        <v>1.49</v>
      </c>
      <c r="CI545" s="90">
        <v>1.42</v>
      </c>
      <c r="CM545" s="65">
        <v>2.93</v>
      </c>
      <c r="CN545" s="65">
        <v>3.38</v>
      </c>
      <c r="CQ545" s="65" t="s">
        <v>1631</v>
      </c>
      <c r="CV545" s="65" t="s">
        <v>1630</v>
      </c>
      <c r="DA545" s="65" t="s">
        <v>4457</v>
      </c>
      <c r="DG545" s="65">
        <v>24.3</v>
      </c>
      <c r="DH545" s="65">
        <v>19</v>
      </c>
      <c r="DL545" s="65">
        <v>145</v>
      </c>
      <c r="DM545" s="65">
        <v>121</v>
      </c>
      <c r="DQ545" s="165">
        <v>7.1</v>
      </c>
      <c r="DR545" s="165">
        <v>6.6</v>
      </c>
      <c r="EK545" s="90">
        <v>293</v>
      </c>
      <c r="EL545" s="90">
        <v>404</v>
      </c>
      <c r="EO545" s="65" t="s">
        <v>412</v>
      </c>
      <c r="EU545" s="65">
        <v>1.3393999999999999</v>
      </c>
      <c r="EV545" s="65">
        <v>1.3277000000000001</v>
      </c>
      <c r="EY545" s="65" t="s">
        <v>830</v>
      </c>
      <c r="GD545" s="65">
        <v>0.23</v>
      </c>
      <c r="GE545" s="65">
        <v>0.22800000000000001</v>
      </c>
      <c r="GP545" s="292" t="s">
        <v>7494</v>
      </c>
      <c r="HS545" s="227"/>
      <c r="HW545" s="227"/>
      <c r="HX545" s="65">
        <v>1092</v>
      </c>
      <c r="HY545" s="65">
        <v>1169</v>
      </c>
      <c r="IB545" s="65" t="s">
        <v>411</v>
      </c>
      <c r="JG545" s="65">
        <f>22*0.012</f>
        <v>0.26400000000000001</v>
      </c>
      <c r="JH545" s="65">
        <f>29.1*0.012</f>
        <v>0.34920000000000001</v>
      </c>
      <c r="JK545" s="65" t="s">
        <v>414</v>
      </c>
      <c r="JR545" s="65">
        <v>99999</v>
      </c>
      <c r="JU545" s="55" t="s">
        <v>413</v>
      </c>
      <c r="JV545" s="55" t="s">
        <v>829</v>
      </c>
    </row>
    <row r="546" spans="1:282" x14ac:dyDescent="0.25">
      <c r="A546" s="55">
        <v>545</v>
      </c>
      <c r="B546" s="12" t="s">
        <v>7067</v>
      </c>
      <c r="C546" s="155">
        <v>29</v>
      </c>
      <c r="D546" s="55" t="s">
        <v>3789</v>
      </c>
      <c r="E546" s="90" t="s">
        <v>989</v>
      </c>
      <c r="G546" s="55" t="s">
        <v>406</v>
      </c>
      <c r="H546" s="55">
        <v>2009</v>
      </c>
      <c r="I546" s="55">
        <v>2006</v>
      </c>
      <c r="J546" s="55" t="s">
        <v>282</v>
      </c>
      <c r="K546" s="55" t="s">
        <v>407</v>
      </c>
      <c r="L546" s="55" t="s">
        <v>2737</v>
      </c>
      <c r="M546" s="90">
        <f>43+20/60</f>
        <v>43.333333333333336</v>
      </c>
      <c r="N546" s="90">
        <f>-89-43/60</f>
        <v>-89.716666666666669</v>
      </c>
      <c r="O546" s="90">
        <v>250</v>
      </c>
      <c r="U546" s="55">
        <v>4</v>
      </c>
      <c r="V546" s="55">
        <v>4</v>
      </c>
      <c r="Y546" s="55" t="s">
        <v>1866</v>
      </c>
      <c r="Z546" s="55" t="s">
        <v>1349</v>
      </c>
      <c r="AA546" s="90" t="s">
        <v>1677</v>
      </c>
      <c r="AD546" s="90">
        <f>(1.4+1.46+1.41+1.37+1.39+1.47+1.42)/7</f>
        <v>1.417142857142857</v>
      </c>
      <c r="AH546" s="55" t="s">
        <v>6378</v>
      </c>
      <c r="AI546" s="168">
        <f>(6.6+6.9+7+6.8+7.1+6.7+7)/7</f>
        <v>6.8714285714285719</v>
      </c>
      <c r="AM546" s="55" t="s">
        <v>1294</v>
      </c>
      <c r="AN546" s="185" t="s">
        <v>1479</v>
      </c>
      <c r="AO546" s="185" t="s">
        <v>5150</v>
      </c>
      <c r="AQ546" s="55" t="s">
        <v>553</v>
      </c>
      <c r="AR546" s="55" t="s">
        <v>408</v>
      </c>
      <c r="AS546" s="55" t="s">
        <v>1585</v>
      </c>
      <c r="AT546" s="181" t="s">
        <v>400</v>
      </c>
      <c r="AU546" s="181" t="s">
        <v>5150</v>
      </c>
      <c r="AV546" s="185" t="s">
        <v>479</v>
      </c>
      <c r="AW546" s="55" t="s">
        <v>400</v>
      </c>
      <c r="AX546" s="185" t="s">
        <v>479</v>
      </c>
      <c r="AY546" s="55" t="s">
        <v>176</v>
      </c>
      <c r="BE546" s="226" t="s">
        <v>415</v>
      </c>
      <c r="BG546" s="55" t="s">
        <v>479</v>
      </c>
      <c r="BH546" s="226" t="s">
        <v>415</v>
      </c>
      <c r="BI546" s="55" t="s">
        <v>479</v>
      </c>
      <c r="BK546" s="55" t="s">
        <v>5976</v>
      </c>
      <c r="BM546" s="192" t="s">
        <v>409</v>
      </c>
      <c r="BN546" s="55">
        <v>4</v>
      </c>
      <c r="BO546" s="55">
        <v>4</v>
      </c>
      <c r="BQ546" s="55" t="s">
        <v>141</v>
      </c>
      <c r="CH546" s="90">
        <v>1.49</v>
      </c>
      <c r="CI546" s="90">
        <v>1.48</v>
      </c>
      <c r="CM546" s="65">
        <v>2.93</v>
      </c>
      <c r="CN546" s="65">
        <v>3.25</v>
      </c>
      <c r="CQ546" s="65" t="s">
        <v>1631</v>
      </c>
      <c r="CV546" s="65" t="s">
        <v>1630</v>
      </c>
      <c r="DA546" s="65" t="s">
        <v>4457</v>
      </c>
      <c r="DG546" s="65">
        <v>24.3</v>
      </c>
      <c r="DH546" s="65">
        <v>22.5</v>
      </c>
      <c r="DL546" s="65">
        <v>145</v>
      </c>
      <c r="DM546" s="65">
        <v>92</v>
      </c>
      <c r="DQ546" s="165">
        <v>7.1</v>
      </c>
      <c r="DR546" s="165">
        <v>7</v>
      </c>
      <c r="EK546" s="90">
        <v>293</v>
      </c>
      <c r="EL546" s="90">
        <v>279</v>
      </c>
      <c r="EO546" s="65" t="s">
        <v>412</v>
      </c>
      <c r="EU546" s="65">
        <v>1.3393999999999999</v>
      </c>
      <c r="EV546" s="65">
        <v>1.3549</v>
      </c>
      <c r="EY546" s="65" t="s">
        <v>830</v>
      </c>
      <c r="GD546" s="65">
        <v>0.23</v>
      </c>
      <c r="GE546" s="65">
        <v>0.22700000000000001</v>
      </c>
      <c r="GP546" s="292" t="s">
        <v>7494</v>
      </c>
      <c r="HS546" s="227"/>
      <c r="HW546" s="227"/>
      <c r="HX546" s="65">
        <v>1092</v>
      </c>
      <c r="HY546" s="65">
        <v>1148</v>
      </c>
      <c r="IB546" s="65" t="s">
        <v>411</v>
      </c>
      <c r="JG546" s="65">
        <f>22*0.012</f>
        <v>0.26400000000000001</v>
      </c>
      <c r="JH546" s="65">
        <f>43.9*0.012</f>
        <v>0.52680000000000005</v>
      </c>
      <c r="JK546" s="65" t="s">
        <v>414</v>
      </c>
      <c r="JR546" s="65">
        <v>99999</v>
      </c>
      <c r="JU546" s="55" t="s">
        <v>413</v>
      </c>
      <c r="JV546" s="55" t="s">
        <v>829</v>
      </c>
    </row>
    <row r="547" spans="1:282" x14ac:dyDescent="0.25">
      <c r="A547" s="55">
        <v>546</v>
      </c>
      <c r="B547" s="12" t="s">
        <v>7067</v>
      </c>
      <c r="C547" s="155">
        <v>29</v>
      </c>
      <c r="D547" s="55" t="s">
        <v>3789</v>
      </c>
      <c r="E547" s="90" t="s">
        <v>989</v>
      </c>
      <c r="G547" s="55" t="s">
        <v>406</v>
      </c>
      <c r="H547" s="55">
        <v>2009</v>
      </c>
      <c r="I547" s="55">
        <v>2006</v>
      </c>
      <c r="J547" s="55" t="s">
        <v>282</v>
      </c>
      <c r="K547" s="55" t="s">
        <v>407</v>
      </c>
      <c r="L547" s="55" t="s">
        <v>2737</v>
      </c>
      <c r="M547" s="90">
        <f>43+20/60</f>
        <v>43.333333333333336</v>
      </c>
      <c r="N547" s="90">
        <f>-89-43/60</f>
        <v>-89.716666666666669</v>
      </c>
      <c r="O547" s="90">
        <v>250</v>
      </c>
      <c r="U547" s="55">
        <v>4</v>
      </c>
      <c r="V547" s="55">
        <v>4</v>
      </c>
      <c r="Y547" s="55" t="s">
        <v>1866</v>
      </c>
      <c r="Z547" s="55" t="s">
        <v>1349</v>
      </c>
      <c r="AA547" s="90" t="s">
        <v>1677</v>
      </c>
      <c r="AD547" s="90">
        <f>(1.4+1.46+1.41+1.37+1.39+1.47+1.42)/7</f>
        <v>1.417142857142857</v>
      </c>
      <c r="AH547" s="55" t="s">
        <v>6378</v>
      </c>
      <c r="AI547" s="168">
        <f>(6.6+6.9+7+6.8+7.1+6.7+7)/7</f>
        <v>6.8714285714285719</v>
      </c>
      <c r="AM547" s="55" t="s">
        <v>1294</v>
      </c>
      <c r="AN547" s="185" t="s">
        <v>1479</v>
      </c>
      <c r="AO547" s="185" t="s">
        <v>5150</v>
      </c>
      <c r="AQ547" s="55" t="s">
        <v>553</v>
      </c>
      <c r="AR547" s="55" t="s">
        <v>132</v>
      </c>
      <c r="AS547" s="55" t="s">
        <v>1585</v>
      </c>
      <c r="AT547" s="181" t="s">
        <v>400</v>
      </c>
      <c r="AU547" s="181" t="s">
        <v>5150</v>
      </c>
      <c r="AV547" s="185" t="s">
        <v>479</v>
      </c>
      <c r="AW547" s="55" t="s">
        <v>400</v>
      </c>
      <c r="AX547" s="185" t="s">
        <v>479</v>
      </c>
      <c r="AY547" s="55" t="s">
        <v>176</v>
      </c>
      <c r="BE547" s="226" t="s">
        <v>415</v>
      </c>
      <c r="BG547" s="55" t="s">
        <v>479</v>
      </c>
      <c r="BH547" s="226" t="s">
        <v>415</v>
      </c>
      <c r="BI547" s="55" t="s">
        <v>479</v>
      </c>
      <c r="BK547" s="55" t="s">
        <v>5976</v>
      </c>
      <c r="BM547" s="192" t="s">
        <v>409</v>
      </c>
      <c r="BN547" s="55">
        <v>4</v>
      </c>
      <c r="BO547" s="55">
        <v>4</v>
      </c>
      <c r="BQ547" s="55" t="s">
        <v>141</v>
      </c>
      <c r="CH547" s="90">
        <v>1.49</v>
      </c>
      <c r="CI547" s="90">
        <v>1.43</v>
      </c>
      <c r="CM547" s="65">
        <v>2.93</v>
      </c>
      <c r="CN547" s="65">
        <v>3.3299999999999996</v>
      </c>
      <c r="CQ547" s="65" t="s">
        <v>1631</v>
      </c>
      <c r="CV547" s="65" t="s">
        <v>1630</v>
      </c>
      <c r="DA547" s="65" t="s">
        <v>4457</v>
      </c>
      <c r="DG547" s="65">
        <v>24.3</v>
      </c>
      <c r="DH547" s="65">
        <v>20.8</v>
      </c>
      <c r="DL547" s="65">
        <v>145</v>
      </c>
      <c r="DM547" s="65">
        <v>104</v>
      </c>
      <c r="DQ547" s="165">
        <v>7.1</v>
      </c>
      <c r="DR547" s="165">
        <v>6.7</v>
      </c>
      <c r="EK547" s="90">
        <v>293</v>
      </c>
      <c r="EL547" s="90">
        <v>365</v>
      </c>
      <c r="EO547" s="65" t="s">
        <v>412</v>
      </c>
      <c r="EU547" s="65">
        <v>1.3393999999999999</v>
      </c>
      <c r="EV547" s="65">
        <v>1.38</v>
      </c>
      <c r="EY547" s="65" t="s">
        <v>830</v>
      </c>
      <c r="GD547" s="65">
        <v>0.23</v>
      </c>
      <c r="GE547" s="65">
        <v>0.22700000000000001</v>
      </c>
      <c r="GP547" s="292" t="s">
        <v>7494</v>
      </c>
      <c r="HS547" s="227"/>
      <c r="HW547" s="227"/>
      <c r="HX547" s="65">
        <v>1092</v>
      </c>
      <c r="HY547" s="65">
        <v>1189</v>
      </c>
      <c r="IB547" s="65" t="s">
        <v>411</v>
      </c>
      <c r="JG547" s="65">
        <f>22*0.012</f>
        <v>0.26400000000000001</v>
      </c>
      <c r="JH547" s="65">
        <f>34.3*0.012</f>
        <v>0.41159999999999997</v>
      </c>
      <c r="JK547" s="65" t="s">
        <v>414</v>
      </c>
      <c r="JR547" s="65">
        <v>99999</v>
      </c>
      <c r="JU547" s="55" t="s">
        <v>413</v>
      </c>
      <c r="JV547" s="55" t="s">
        <v>829</v>
      </c>
    </row>
    <row r="548" spans="1:282" x14ac:dyDescent="0.25">
      <c r="A548" s="55">
        <v>547</v>
      </c>
      <c r="B548" s="12" t="s">
        <v>7067</v>
      </c>
      <c r="C548" s="155">
        <v>29</v>
      </c>
      <c r="D548" s="55" t="s">
        <v>3790</v>
      </c>
      <c r="E548" s="90" t="s">
        <v>989</v>
      </c>
      <c r="G548" s="55" t="s">
        <v>406</v>
      </c>
      <c r="H548" s="55">
        <v>2009</v>
      </c>
      <c r="I548" s="55">
        <v>2006</v>
      </c>
      <c r="J548" s="55" t="s">
        <v>282</v>
      </c>
      <c r="K548" s="55" t="s">
        <v>407</v>
      </c>
      <c r="L548" s="55" t="s">
        <v>2737</v>
      </c>
      <c r="M548" s="90">
        <f>43+20/60</f>
        <v>43.333333333333336</v>
      </c>
      <c r="N548" s="90">
        <f>-89-43/60</f>
        <v>-89.716666666666669</v>
      </c>
      <c r="O548" s="90">
        <v>250</v>
      </c>
      <c r="U548" s="55">
        <v>4</v>
      </c>
      <c r="V548" s="55">
        <v>4</v>
      </c>
      <c r="Y548" s="55" t="s">
        <v>1866</v>
      </c>
      <c r="Z548" s="55" t="s">
        <v>1349</v>
      </c>
      <c r="AA548" s="90" t="s">
        <v>1677</v>
      </c>
      <c r="AD548" s="90">
        <f>(1.4+1.46+1.41+1.37+1.39+1.47+1.42)/7</f>
        <v>1.417142857142857</v>
      </c>
      <c r="AH548" s="55" t="s">
        <v>6378</v>
      </c>
      <c r="AI548" s="168">
        <f>(6.6+6.9+7+6.8+7.1+6.7+7)/7</f>
        <v>6.8714285714285719</v>
      </c>
      <c r="AM548" s="55" t="s">
        <v>1294</v>
      </c>
      <c r="AN548" s="185" t="s">
        <v>1120</v>
      </c>
      <c r="AO548" s="185" t="s">
        <v>5150</v>
      </c>
      <c r="AQ548" s="55" t="s">
        <v>131</v>
      </c>
      <c r="AR548" s="55" t="s">
        <v>132</v>
      </c>
      <c r="AS548" s="55" t="s">
        <v>1585</v>
      </c>
      <c r="AT548" s="181" t="s">
        <v>400</v>
      </c>
      <c r="AU548" s="181" t="s">
        <v>5150</v>
      </c>
      <c r="AV548" s="185" t="s">
        <v>479</v>
      </c>
      <c r="AW548" s="55" t="s">
        <v>400</v>
      </c>
      <c r="AX548" s="185" t="s">
        <v>479</v>
      </c>
      <c r="AY548" s="55" t="s">
        <v>176</v>
      </c>
      <c r="BE548" s="226" t="s">
        <v>415</v>
      </c>
      <c r="BG548" s="55" t="s">
        <v>479</v>
      </c>
      <c r="BH548" s="226" t="s">
        <v>415</v>
      </c>
      <c r="BI548" s="55" t="s">
        <v>479</v>
      </c>
      <c r="BK548" s="55" t="s">
        <v>5976</v>
      </c>
      <c r="BM548" s="192" t="s">
        <v>409</v>
      </c>
      <c r="BN548" s="55">
        <v>4</v>
      </c>
      <c r="BO548" s="55">
        <v>4</v>
      </c>
      <c r="BQ548" s="55" t="s">
        <v>141</v>
      </c>
      <c r="CH548" s="90">
        <v>1.49</v>
      </c>
      <c r="CI548" s="90">
        <v>1.44</v>
      </c>
      <c r="CM548" s="65">
        <v>2.93</v>
      </c>
      <c r="CN548" s="65">
        <v>3.3</v>
      </c>
      <c r="CQ548" s="65" t="s">
        <v>1631</v>
      </c>
      <c r="CV548" s="65" t="s">
        <v>1630</v>
      </c>
      <c r="DA548" s="65" t="s">
        <v>4457</v>
      </c>
      <c r="DG548" s="65">
        <v>24.3</v>
      </c>
      <c r="DH548" s="65">
        <v>22</v>
      </c>
      <c r="DL548" s="65">
        <v>145</v>
      </c>
      <c r="DM548" s="65">
        <v>132</v>
      </c>
      <c r="DQ548" s="165">
        <v>7.1</v>
      </c>
      <c r="DR548" s="165">
        <v>7.2</v>
      </c>
      <c r="EK548" s="90">
        <v>293</v>
      </c>
      <c r="EL548" s="90">
        <v>355</v>
      </c>
      <c r="EO548" s="65" t="s">
        <v>412</v>
      </c>
      <c r="EU548" s="65">
        <v>1.3393999999999999</v>
      </c>
      <c r="EV548" s="65">
        <v>1.49</v>
      </c>
      <c r="EY548" s="65" t="s">
        <v>830</v>
      </c>
      <c r="GD548" s="65">
        <v>0.23</v>
      </c>
      <c r="GE548" s="65">
        <v>0.22700000000000001</v>
      </c>
      <c r="GP548" s="292" t="s">
        <v>7494</v>
      </c>
      <c r="HS548" s="227"/>
      <c r="HW548" s="227"/>
      <c r="HX548" s="65">
        <v>1092</v>
      </c>
      <c r="HY548" s="65">
        <v>1229</v>
      </c>
      <c r="IB548" s="65" t="s">
        <v>411</v>
      </c>
      <c r="JG548" s="65">
        <f>22*0.012</f>
        <v>0.26400000000000001</v>
      </c>
      <c r="JH548" s="65">
        <f>66*0.012</f>
        <v>0.79200000000000004</v>
      </c>
      <c r="JK548" s="65" t="s">
        <v>414</v>
      </c>
      <c r="JR548" s="65">
        <v>99999</v>
      </c>
      <c r="JU548" s="55" t="s">
        <v>413</v>
      </c>
      <c r="JV548" s="55" t="s">
        <v>829</v>
      </c>
    </row>
    <row r="549" spans="1:282" x14ac:dyDescent="0.25">
      <c r="A549" s="55">
        <v>548</v>
      </c>
      <c r="B549" s="12" t="s">
        <v>7067</v>
      </c>
      <c r="C549" s="155">
        <v>29</v>
      </c>
      <c r="D549" s="55" t="s">
        <v>3790</v>
      </c>
      <c r="E549" s="90" t="s">
        <v>989</v>
      </c>
      <c r="G549" s="55" t="s">
        <v>406</v>
      </c>
      <c r="H549" s="55">
        <v>2009</v>
      </c>
      <c r="I549" s="55">
        <v>2006</v>
      </c>
      <c r="J549" s="55" t="s">
        <v>282</v>
      </c>
      <c r="K549" s="55" t="s">
        <v>407</v>
      </c>
      <c r="L549" s="55" t="s">
        <v>2737</v>
      </c>
      <c r="M549" s="90">
        <f>43+20/60</f>
        <v>43.333333333333336</v>
      </c>
      <c r="N549" s="90">
        <f>-89-43/60</f>
        <v>-89.716666666666669</v>
      </c>
      <c r="O549" s="90">
        <v>250</v>
      </c>
      <c r="U549" s="55">
        <v>4</v>
      </c>
      <c r="V549" s="55">
        <v>4</v>
      </c>
      <c r="Y549" s="55" t="s">
        <v>1866</v>
      </c>
      <c r="Z549" s="55" t="s">
        <v>1349</v>
      </c>
      <c r="AA549" s="90" t="s">
        <v>1677</v>
      </c>
      <c r="AD549" s="90">
        <f>(1.4+1.46+1.41+1.37+1.39+1.47+1.42)/7</f>
        <v>1.417142857142857</v>
      </c>
      <c r="AH549" s="55" t="s">
        <v>6378</v>
      </c>
      <c r="AI549" s="168">
        <f>(6.6+6.9+7+6.8+7.1+6.7+7)/7</f>
        <v>6.8714285714285719</v>
      </c>
      <c r="AM549" s="55" t="s">
        <v>1294</v>
      </c>
      <c r="AN549" s="185" t="s">
        <v>1121</v>
      </c>
      <c r="AO549" s="185" t="s">
        <v>5150</v>
      </c>
      <c r="AQ549" s="55" t="s">
        <v>131</v>
      </c>
      <c r="AR549" s="55" t="s">
        <v>132</v>
      </c>
      <c r="AS549" s="55" t="s">
        <v>1585</v>
      </c>
      <c r="AT549" s="181" t="s">
        <v>400</v>
      </c>
      <c r="AU549" s="181" t="s">
        <v>5150</v>
      </c>
      <c r="AV549" s="185" t="s">
        <v>479</v>
      </c>
      <c r="AW549" s="55" t="s">
        <v>400</v>
      </c>
      <c r="AX549" s="185" t="s">
        <v>479</v>
      </c>
      <c r="AY549" s="55" t="s">
        <v>176</v>
      </c>
      <c r="BE549" s="226" t="s">
        <v>415</v>
      </c>
      <c r="BG549" s="55" t="s">
        <v>479</v>
      </c>
      <c r="BH549" s="226" t="s">
        <v>415</v>
      </c>
      <c r="BI549" s="55" t="s">
        <v>479</v>
      </c>
      <c r="BK549" s="55" t="s">
        <v>5976</v>
      </c>
      <c r="BM549" s="192" t="s">
        <v>409</v>
      </c>
      <c r="BN549" s="55">
        <v>4</v>
      </c>
      <c r="BO549" s="55">
        <v>4</v>
      </c>
      <c r="BQ549" s="55" t="s">
        <v>141</v>
      </c>
      <c r="CH549" s="90">
        <v>1.49</v>
      </c>
      <c r="CI549" s="90">
        <v>1.45</v>
      </c>
      <c r="CM549" s="65">
        <v>2.93</v>
      </c>
      <c r="CN549" s="65">
        <v>3.13</v>
      </c>
      <c r="CQ549" s="65" t="s">
        <v>1631</v>
      </c>
      <c r="CV549" s="65" t="s">
        <v>1630</v>
      </c>
      <c r="DA549" s="65" t="s">
        <v>4457</v>
      </c>
      <c r="DG549" s="65">
        <v>24.3</v>
      </c>
      <c r="DH549" s="65">
        <v>18.8</v>
      </c>
      <c r="DL549" s="65">
        <v>145</v>
      </c>
      <c r="DM549" s="65">
        <v>147</v>
      </c>
      <c r="DQ549" s="165">
        <v>7.1</v>
      </c>
      <c r="DR549" s="165">
        <v>6.8</v>
      </c>
      <c r="EK549" s="90">
        <v>293</v>
      </c>
      <c r="EL549" s="90">
        <v>302</v>
      </c>
      <c r="EO549" s="65" t="s">
        <v>412</v>
      </c>
      <c r="EU549" s="65">
        <v>1.3393999999999999</v>
      </c>
      <c r="EV549" s="65">
        <v>1.53</v>
      </c>
      <c r="EY549" s="65" t="s">
        <v>830</v>
      </c>
      <c r="GD549" s="65">
        <v>0.23</v>
      </c>
      <c r="GE549" s="65">
        <v>0.222</v>
      </c>
      <c r="GP549" s="292" t="s">
        <v>7494</v>
      </c>
      <c r="HS549" s="227"/>
      <c r="HW549" s="227"/>
      <c r="HX549" s="65">
        <v>1092</v>
      </c>
      <c r="HY549" s="65">
        <v>1217</v>
      </c>
      <c r="IB549" s="65" t="s">
        <v>411</v>
      </c>
      <c r="JG549" s="65">
        <f>22*0.012</f>
        <v>0.26400000000000001</v>
      </c>
      <c r="JH549" s="65">
        <f>41.7*0.012</f>
        <v>0.50040000000000007</v>
      </c>
      <c r="JK549" s="65" t="s">
        <v>414</v>
      </c>
      <c r="JR549" s="65">
        <v>99999</v>
      </c>
      <c r="JU549" s="55" t="s">
        <v>413</v>
      </c>
      <c r="JV549" s="55" t="s">
        <v>829</v>
      </c>
    </row>
    <row r="550" spans="1:282" x14ac:dyDescent="0.25">
      <c r="A550" s="55">
        <v>549</v>
      </c>
      <c r="B550" s="12" t="s">
        <v>7067</v>
      </c>
      <c r="C550" s="155">
        <v>29</v>
      </c>
      <c r="D550" s="55" t="s">
        <v>3791</v>
      </c>
      <c r="E550" s="90" t="s">
        <v>989</v>
      </c>
      <c r="G550" s="55" t="s">
        <v>406</v>
      </c>
      <c r="H550" s="55">
        <v>2009</v>
      </c>
      <c r="I550" s="55">
        <v>2006</v>
      </c>
      <c r="J550" s="55" t="s">
        <v>282</v>
      </c>
      <c r="K550" s="55" t="s">
        <v>407</v>
      </c>
      <c r="L550" s="55" t="s">
        <v>2737</v>
      </c>
      <c r="M550" s="90">
        <f>43+20/60</f>
        <v>43.333333333333336</v>
      </c>
      <c r="N550" s="90">
        <f>-89-43/60</f>
        <v>-89.716666666666669</v>
      </c>
      <c r="O550" s="90">
        <v>250</v>
      </c>
      <c r="U550" s="55">
        <v>4</v>
      </c>
      <c r="V550" s="55">
        <v>4</v>
      </c>
      <c r="Y550" s="55" t="s">
        <v>1866</v>
      </c>
      <c r="Z550" s="55" t="s">
        <v>1349</v>
      </c>
      <c r="AA550" s="90" t="s">
        <v>1677</v>
      </c>
      <c r="AD550" s="90">
        <f>(1.4+1.46+1.41+1.37+1.39+1.47+1.42)/7</f>
        <v>1.417142857142857</v>
      </c>
      <c r="AH550" s="55" t="s">
        <v>6378</v>
      </c>
      <c r="AI550" s="168">
        <f>(6.6+6.9+7+6.8+7.1+6.7+7)/7</f>
        <v>6.8714285714285719</v>
      </c>
      <c r="AM550" s="55" t="s">
        <v>1294</v>
      </c>
      <c r="AN550" s="185" t="s">
        <v>1499</v>
      </c>
      <c r="AO550" s="185" t="s">
        <v>5150</v>
      </c>
      <c r="AQ550" s="55" t="s">
        <v>553</v>
      </c>
      <c r="AR550" s="55" t="s">
        <v>408</v>
      </c>
      <c r="AS550" s="55" t="s">
        <v>1585</v>
      </c>
      <c r="AT550" s="181" t="s">
        <v>400</v>
      </c>
      <c r="AU550" s="181" t="s">
        <v>5150</v>
      </c>
      <c r="AV550" s="185" t="s">
        <v>479</v>
      </c>
      <c r="AW550" s="55" t="s">
        <v>400</v>
      </c>
      <c r="AX550" s="185" t="s">
        <v>479</v>
      </c>
      <c r="AY550" s="55" t="s">
        <v>176</v>
      </c>
      <c r="BE550" s="226" t="s">
        <v>415</v>
      </c>
      <c r="BG550" s="55" t="s">
        <v>479</v>
      </c>
      <c r="BH550" s="226" t="s">
        <v>415</v>
      </c>
      <c r="BI550" s="55" t="s">
        <v>479</v>
      </c>
      <c r="BK550" s="55" t="s">
        <v>5976</v>
      </c>
      <c r="BM550" s="192" t="s">
        <v>410</v>
      </c>
      <c r="BN550" s="55">
        <v>4</v>
      </c>
      <c r="BO550" s="55">
        <v>4</v>
      </c>
      <c r="BQ550" s="55" t="s">
        <v>141</v>
      </c>
      <c r="CH550" s="90">
        <v>1.4</v>
      </c>
      <c r="CI550" s="90">
        <v>1.45</v>
      </c>
      <c r="CM550" s="65">
        <v>3.38</v>
      </c>
      <c r="CN550" s="65">
        <v>3.3</v>
      </c>
      <c r="CQ550" s="65" t="s">
        <v>1631</v>
      </c>
      <c r="CV550" s="65" t="s">
        <v>1630</v>
      </c>
      <c r="DA550" s="65" t="s">
        <v>4457</v>
      </c>
      <c r="DG550" s="65">
        <v>28</v>
      </c>
      <c r="DH550" s="65">
        <v>20.8</v>
      </c>
      <c r="DL550" s="65">
        <v>120</v>
      </c>
      <c r="DM550" s="65">
        <v>104</v>
      </c>
      <c r="DQ550" s="165">
        <v>6.7</v>
      </c>
      <c r="DR550" s="165">
        <v>6.8</v>
      </c>
      <c r="EK550" s="90">
        <v>369</v>
      </c>
      <c r="EL550" s="90">
        <v>313</v>
      </c>
      <c r="EO550" s="65" t="s">
        <v>412</v>
      </c>
      <c r="EU550" s="65">
        <v>1.4172</v>
      </c>
      <c r="EV550" s="65">
        <v>1.2694000000000001</v>
      </c>
      <c r="EY550" s="65" t="s">
        <v>830</v>
      </c>
      <c r="GD550" s="65">
        <v>0.23</v>
      </c>
      <c r="GE550" s="65">
        <v>0.23499999999999999</v>
      </c>
      <c r="GP550" s="292" t="s">
        <v>7494</v>
      </c>
      <c r="HS550" s="227"/>
      <c r="HW550" s="227"/>
      <c r="HX550" s="65">
        <v>1172</v>
      </c>
      <c r="HY550" s="65">
        <v>1178</v>
      </c>
      <c r="IB550" s="65" t="s">
        <v>411</v>
      </c>
      <c r="JG550" s="65">
        <f>40.7*0.012</f>
        <v>0.48840000000000006</v>
      </c>
      <c r="JH550" s="65">
        <f>54.3*0.012</f>
        <v>0.65159999999999996</v>
      </c>
      <c r="JK550" s="65" t="s">
        <v>414</v>
      </c>
      <c r="JR550" s="65">
        <v>99999</v>
      </c>
      <c r="JU550" s="55" t="s">
        <v>413</v>
      </c>
      <c r="JV550" s="55" t="s">
        <v>829</v>
      </c>
    </row>
    <row r="551" spans="1:282" x14ac:dyDescent="0.25">
      <c r="A551" s="55">
        <v>550</v>
      </c>
      <c r="B551" s="12" t="s">
        <v>7067</v>
      </c>
      <c r="C551" s="155">
        <v>29</v>
      </c>
      <c r="D551" s="55" t="s">
        <v>3791</v>
      </c>
      <c r="E551" s="90" t="s">
        <v>989</v>
      </c>
      <c r="G551" s="55" t="s">
        <v>406</v>
      </c>
      <c r="H551" s="55">
        <v>2009</v>
      </c>
      <c r="I551" s="55">
        <v>2006</v>
      </c>
      <c r="J551" s="55" t="s">
        <v>282</v>
      </c>
      <c r="K551" s="55" t="s">
        <v>407</v>
      </c>
      <c r="L551" s="55" t="s">
        <v>2737</v>
      </c>
      <c r="M551" s="90">
        <f>43+20/60</f>
        <v>43.333333333333336</v>
      </c>
      <c r="N551" s="90">
        <f>-89-43/60</f>
        <v>-89.716666666666669</v>
      </c>
      <c r="O551" s="90">
        <v>250</v>
      </c>
      <c r="U551" s="55">
        <v>4</v>
      </c>
      <c r="V551" s="55">
        <v>4</v>
      </c>
      <c r="Y551" s="55" t="s">
        <v>1866</v>
      </c>
      <c r="Z551" s="55" t="s">
        <v>1349</v>
      </c>
      <c r="AA551" s="90" t="s">
        <v>1677</v>
      </c>
      <c r="AD551" s="90">
        <f>(1.4+1.46+1.41+1.37+1.39+1.47+1.42)/7</f>
        <v>1.417142857142857</v>
      </c>
      <c r="AH551" s="55" t="s">
        <v>6378</v>
      </c>
      <c r="AI551" s="168">
        <f>(6.6+6.9+7+6.8+7.1+6.7+7)/7</f>
        <v>6.8714285714285719</v>
      </c>
      <c r="AM551" s="55" t="s">
        <v>1294</v>
      </c>
      <c r="AN551" s="185" t="s">
        <v>1499</v>
      </c>
      <c r="AO551" s="185" t="s">
        <v>5150</v>
      </c>
      <c r="AQ551" s="55" t="s">
        <v>553</v>
      </c>
      <c r="AR551" s="55" t="s">
        <v>132</v>
      </c>
      <c r="AS551" s="55" t="s">
        <v>1585</v>
      </c>
      <c r="AT551" s="181" t="s">
        <v>400</v>
      </c>
      <c r="AU551" s="181" t="s">
        <v>5150</v>
      </c>
      <c r="AV551" s="185" t="s">
        <v>479</v>
      </c>
      <c r="AW551" s="55" t="s">
        <v>400</v>
      </c>
      <c r="AX551" s="185" t="s">
        <v>479</v>
      </c>
      <c r="AY551" s="55" t="s">
        <v>176</v>
      </c>
      <c r="BE551" s="226" t="s">
        <v>415</v>
      </c>
      <c r="BG551" s="55" t="s">
        <v>479</v>
      </c>
      <c r="BH551" s="226" t="s">
        <v>415</v>
      </c>
      <c r="BI551" s="55" t="s">
        <v>479</v>
      </c>
      <c r="BK551" s="55" t="s">
        <v>5976</v>
      </c>
      <c r="BM551" s="192" t="s">
        <v>410</v>
      </c>
      <c r="BN551" s="55">
        <v>4</v>
      </c>
      <c r="BO551" s="55">
        <v>4</v>
      </c>
      <c r="BQ551" s="55" t="s">
        <v>141</v>
      </c>
      <c r="CH551" s="90">
        <v>1.4</v>
      </c>
      <c r="CI551" s="90">
        <v>1.42</v>
      </c>
      <c r="CM551" s="65">
        <v>3.38</v>
      </c>
      <c r="CN551" s="65">
        <v>3.38</v>
      </c>
      <c r="CQ551" s="65" t="s">
        <v>1631</v>
      </c>
      <c r="CV551" s="65" t="s">
        <v>1630</v>
      </c>
      <c r="DA551" s="65" t="s">
        <v>4457</v>
      </c>
      <c r="DG551" s="65">
        <v>28</v>
      </c>
      <c r="DH551" s="65">
        <v>19</v>
      </c>
      <c r="DL551" s="65">
        <v>120</v>
      </c>
      <c r="DM551" s="65">
        <v>121</v>
      </c>
      <c r="DQ551" s="165">
        <v>6.7</v>
      </c>
      <c r="DR551" s="165">
        <v>6.6</v>
      </c>
      <c r="EK551" s="90">
        <v>369</v>
      </c>
      <c r="EL551" s="90">
        <v>404</v>
      </c>
      <c r="EO551" s="65" t="s">
        <v>412</v>
      </c>
      <c r="EU551" s="65">
        <v>1.4172</v>
      </c>
      <c r="EV551" s="65">
        <v>1.3277000000000001</v>
      </c>
      <c r="EY551" s="65" t="s">
        <v>830</v>
      </c>
      <c r="GD551" s="65">
        <v>0.23</v>
      </c>
      <c r="GE551" s="65">
        <v>0.22800000000000001</v>
      </c>
      <c r="GP551" s="292" t="s">
        <v>7494</v>
      </c>
      <c r="HS551" s="227"/>
      <c r="HW551" s="227"/>
      <c r="HX551" s="65">
        <v>1172</v>
      </c>
      <c r="HY551" s="65">
        <v>1169</v>
      </c>
      <c r="IB551" s="65" t="s">
        <v>411</v>
      </c>
      <c r="JG551" s="65">
        <f>40.7*0.012</f>
        <v>0.48840000000000006</v>
      </c>
      <c r="JH551" s="65">
        <f>29.1*0.012</f>
        <v>0.34920000000000001</v>
      </c>
      <c r="JK551" s="65" t="s">
        <v>414</v>
      </c>
      <c r="JR551" s="65">
        <v>99999</v>
      </c>
      <c r="JU551" s="55" t="s">
        <v>413</v>
      </c>
      <c r="JV551" s="55" t="s">
        <v>829</v>
      </c>
    </row>
    <row r="552" spans="1:282" x14ac:dyDescent="0.25">
      <c r="A552" s="55">
        <v>551</v>
      </c>
      <c r="B552" s="12" t="s">
        <v>7067</v>
      </c>
      <c r="C552" s="155">
        <v>29</v>
      </c>
      <c r="D552" s="55" t="s">
        <v>3791</v>
      </c>
      <c r="E552" s="90" t="s">
        <v>989</v>
      </c>
      <c r="G552" s="55" t="s">
        <v>406</v>
      </c>
      <c r="H552" s="55">
        <v>2009</v>
      </c>
      <c r="I552" s="55">
        <v>2006</v>
      </c>
      <c r="J552" s="55" t="s">
        <v>282</v>
      </c>
      <c r="K552" s="55" t="s">
        <v>407</v>
      </c>
      <c r="L552" s="55" t="s">
        <v>2737</v>
      </c>
      <c r="M552" s="90">
        <f>43+20/60</f>
        <v>43.333333333333336</v>
      </c>
      <c r="N552" s="90">
        <f>-89-43/60</f>
        <v>-89.716666666666669</v>
      </c>
      <c r="O552" s="90">
        <v>250</v>
      </c>
      <c r="U552" s="55">
        <v>4</v>
      </c>
      <c r="V552" s="55">
        <v>4</v>
      </c>
      <c r="Y552" s="55" t="s">
        <v>1866</v>
      </c>
      <c r="Z552" s="55" t="s">
        <v>1349</v>
      </c>
      <c r="AA552" s="90" t="s">
        <v>1677</v>
      </c>
      <c r="AD552" s="90">
        <f>(1.4+1.46+1.41+1.37+1.39+1.47+1.42)/7</f>
        <v>1.417142857142857</v>
      </c>
      <c r="AH552" s="55" t="s">
        <v>6378</v>
      </c>
      <c r="AI552" s="168">
        <f>(6.6+6.9+7+6.8+7.1+6.7+7)/7</f>
        <v>6.8714285714285719</v>
      </c>
      <c r="AM552" s="55" t="s">
        <v>1294</v>
      </c>
      <c r="AN552" s="185" t="s">
        <v>1479</v>
      </c>
      <c r="AO552" s="185" t="s">
        <v>5150</v>
      </c>
      <c r="AQ552" s="55" t="s">
        <v>553</v>
      </c>
      <c r="AR552" s="55" t="s">
        <v>408</v>
      </c>
      <c r="AS552" s="55" t="s">
        <v>1585</v>
      </c>
      <c r="AT552" s="181" t="s">
        <v>400</v>
      </c>
      <c r="AU552" s="181" t="s">
        <v>5150</v>
      </c>
      <c r="AV552" s="185" t="s">
        <v>479</v>
      </c>
      <c r="AW552" s="55" t="s">
        <v>400</v>
      </c>
      <c r="AX552" s="185" t="s">
        <v>479</v>
      </c>
      <c r="AY552" s="55" t="s">
        <v>176</v>
      </c>
      <c r="BE552" s="226" t="s">
        <v>415</v>
      </c>
      <c r="BG552" s="55" t="s">
        <v>479</v>
      </c>
      <c r="BH552" s="226" t="s">
        <v>415</v>
      </c>
      <c r="BI552" s="55" t="s">
        <v>479</v>
      </c>
      <c r="BK552" s="55" t="s">
        <v>5976</v>
      </c>
      <c r="BM552" s="192" t="s">
        <v>410</v>
      </c>
      <c r="BN552" s="55">
        <v>4</v>
      </c>
      <c r="BO552" s="55">
        <v>4</v>
      </c>
      <c r="BQ552" s="55" t="s">
        <v>141</v>
      </c>
      <c r="CH552" s="90">
        <v>1.4</v>
      </c>
      <c r="CI552" s="90">
        <v>1.48</v>
      </c>
      <c r="CM552" s="65">
        <v>3.38</v>
      </c>
      <c r="CN552" s="65">
        <v>3.25</v>
      </c>
      <c r="CQ552" s="65" t="s">
        <v>1631</v>
      </c>
      <c r="CV552" s="65" t="s">
        <v>1630</v>
      </c>
      <c r="DA552" s="65" t="s">
        <v>4457</v>
      </c>
      <c r="DG552" s="65">
        <v>28</v>
      </c>
      <c r="DH552" s="65">
        <v>22.5</v>
      </c>
      <c r="DL552" s="65">
        <v>120</v>
      </c>
      <c r="DM552" s="65">
        <v>92</v>
      </c>
      <c r="DQ552" s="165">
        <v>6.7</v>
      </c>
      <c r="DR552" s="165">
        <v>7</v>
      </c>
      <c r="EK552" s="90">
        <v>369</v>
      </c>
      <c r="EL552" s="90">
        <v>279</v>
      </c>
      <c r="EO552" s="65" t="s">
        <v>412</v>
      </c>
      <c r="EU552" s="65">
        <v>1.4172</v>
      </c>
      <c r="EV552" s="65">
        <v>1.3549</v>
      </c>
      <c r="EY552" s="65" t="s">
        <v>830</v>
      </c>
      <c r="GD552" s="65">
        <v>0.23</v>
      </c>
      <c r="GE552" s="65">
        <v>0.22700000000000001</v>
      </c>
      <c r="GP552" s="292" t="s">
        <v>7494</v>
      </c>
      <c r="HS552" s="227"/>
      <c r="HW552" s="227"/>
      <c r="HX552" s="65">
        <v>1172</v>
      </c>
      <c r="HY552" s="65">
        <v>1148</v>
      </c>
      <c r="IB552" s="65" t="s">
        <v>411</v>
      </c>
      <c r="JG552" s="65">
        <f>40.7*0.012</f>
        <v>0.48840000000000006</v>
      </c>
      <c r="JH552" s="65">
        <f>43.9*0.012</f>
        <v>0.52680000000000005</v>
      </c>
      <c r="JK552" s="65" t="s">
        <v>414</v>
      </c>
      <c r="JR552" s="65">
        <v>99999</v>
      </c>
      <c r="JU552" s="55" t="s">
        <v>413</v>
      </c>
      <c r="JV552" s="55" t="s">
        <v>829</v>
      </c>
    </row>
    <row r="553" spans="1:282" x14ac:dyDescent="0.25">
      <c r="A553" s="55">
        <v>552</v>
      </c>
      <c r="B553" s="12" t="s">
        <v>7067</v>
      </c>
      <c r="C553" s="155">
        <v>29</v>
      </c>
      <c r="D553" s="55" t="s">
        <v>3791</v>
      </c>
      <c r="E553" s="90" t="s">
        <v>989</v>
      </c>
      <c r="G553" s="55" t="s">
        <v>406</v>
      </c>
      <c r="H553" s="55">
        <v>2009</v>
      </c>
      <c r="I553" s="55">
        <v>2006</v>
      </c>
      <c r="J553" s="55" t="s">
        <v>282</v>
      </c>
      <c r="K553" s="55" t="s">
        <v>407</v>
      </c>
      <c r="L553" s="55" t="s">
        <v>2737</v>
      </c>
      <c r="M553" s="90">
        <f>43+20/60</f>
        <v>43.333333333333336</v>
      </c>
      <c r="N553" s="90">
        <f>-89-43/60</f>
        <v>-89.716666666666669</v>
      </c>
      <c r="O553" s="90">
        <v>250</v>
      </c>
      <c r="U553" s="55">
        <v>4</v>
      </c>
      <c r="V553" s="55">
        <v>4</v>
      </c>
      <c r="Y553" s="55" t="s">
        <v>1866</v>
      </c>
      <c r="Z553" s="55" t="s">
        <v>1349</v>
      </c>
      <c r="AA553" s="90" t="s">
        <v>1677</v>
      </c>
      <c r="AD553" s="90">
        <f>(1.4+1.46+1.41+1.37+1.39+1.47+1.42)/7</f>
        <v>1.417142857142857</v>
      </c>
      <c r="AH553" s="55" t="s">
        <v>6378</v>
      </c>
      <c r="AI553" s="168">
        <f>(6.6+6.9+7+6.8+7.1+6.7+7)/7</f>
        <v>6.8714285714285719</v>
      </c>
      <c r="AM553" s="55" t="s">
        <v>1294</v>
      </c>
      <c r="AN553" s="185" t="s">
        <v>1479</v>
      </c>
      <c r="AO553" s="185" t="s">
        <v>5150</v>
      </c>
      <c r="AQ553" s="55" t="s">
        <v>553</v>
      </c>
      <c r="AR553" s="55" t="s">
        <v>132</v>
      </c>
      <c r="AS553" s="55" t="s">
        <v>1585</v>
      </c>
      <c r="AT553" s="181" t="s">
        <v>400</v>
      </c>
      <c r="AU553" s="181" t="s">
        <v>5150</v>
      </c>
      <c r="AV553" s="185" t="s">
        <v>479</v>
      </c>
      <c r="AW553" s="55" t="s">
        <v>400</v>
      </c>
      <c r="AX553" s="185" t="s">
        <v>479</v>
      </c>
      <c r="AY553" s="55" t="s">
        <v>176</v>
      </c>
      <c r="BE553" s="226" t="s">
        <v>415</v>
      </c>
      <c r="BG553" s="55" t="s">
        <v>479</v>
      </c>
      <c r="BH553" s="226" t="s">
        <v>415</v>
      </c>
      <c r="BI553" s="55" t="s">
        <v>479</v>
      </c>
      <c r="BK553" s="55" t="s">
        <v>5976</v>
      </c>
      <c r="BM553" s="192" t="s">
        <v>410</v>
      </c>
      <c r="BN553" s="55">
        <v>4</v>
      </c>
      <c r="BO553" s="55">
        <v>4</v>
      </c>
      <c r="BQ553" s="55" t="s">
        <v>141</v>
      </c>
      <c r="CH553" s="90">
        <v>1.4</v>
      </c>
      <c r="CI553" s="90">
        <v>1.43</v>
      </c>
      <c r="CM553" s="65">
        <v>3.38</v>
      </c>
      <c r="CN553" s="65">
        <v>3.3299999999999996</v>
      </c>
      <c r="CQ553" s="65" t="s">
        <v>1631</v>
      </c>
      <c r="CV553" s="65" t="s">
        <v>1630</v>
      </c>
      <c r="DA553" s="65" t="s">
        <v>4457</v>
      </c>
      <c r="DG553" s="65">
        <v>28</v>
      </c>
      <c r="DH553" s="65">
        <v>20.8</v>
      </c>
      <c r="DL553" s="65">
        <v>120</v>
      </c>
      <c r="DM553" s="65">
        <v>104</v>
      </c>
      <c r="DQ553" s="165">
        <v>6.7</v>
      </c>
      <c r="DR553" s="165">
        <v>6.7</v>
      </c>
      <c r="EK553" s="90">
        <v>369</v>
      </c>
      <c r="EL553" s="90">
        <v>365</v>
      </c>
      <c r="EO553" s="65" t="s">
        <v>412</v>
      </c>
      <c r="EU553" s="65">
        <v>1.4172</v>
      </c>
      <c r="EV553" s="65">
        <v>1.38</v>
      </c>
      <c r="EY553" s="65" t="s">
        <v>830</v>
      </c>
      <c r="GD553" s="65">
        <v>0.23</v>
      </c>
      <c r="GE553" s="65">
        <v>0.22700000000000001</v>
      </c>
      <c r="GP553" s="292" t="s">
        <v>7494</v>
      </c>
      <c r="HS553" s="227"/>
      <c r="HW553" s="227"/>
      <c r="HX553" s="65">
        <v>1172</v>
      </c>
      <c r="HY553" s="65">
        <v>1189</v>
      </c>
      <c r="IB553" s="65" t="s">
        <v>411</v>
      </c>
      <c r="JG553" s="65">
        <f>40.7*0.012</f>
        <v>0.48840000000000006</v>
      </c>
      <c r="JH553" s="65">
        <f>34.3*0.012</f>
        <v>0.41159999999999997</v>
      </c>
      <c r="JK553" s="65" t="s">
        <v>414</v>
      </c>
      <c r="JR553" s="65">
        <v>99999</v>
      </c>
      <c r="JU553" s="55" t="s">
        <v>413</v>
      </c>
      <c r="JV553" s="55" t="s">
        <v>829</v>
      </c>
    </row>
    <row r="554" spans="1:282" x14ac:dyDescent="0.25">
      <c r="A554" s="55">
        <v>553</v>
      </c>
      <c r="B554" s="12" t="s">
        <v>7067</v>
      </c>
      <c r="C554" s="155">
        <v>29</v>
      </c>
      <c r="D554" s="55" t="s">
        <v>3792</v>
      </c>
      <c r="E554" s="90" t="s">
        <v>989</v>
      </c>
      <c r="G554" s="55" t="s">
        <v>406</v>
      </c>
      <c r="H554" s="55">
        <v>2009</v>
      </c>
      <c r="I554" s="55">
        <v>2006</v>
      </c>
      <c r="J554" s="55" t="s">
        <v>282</v>
      </c>
      <c r="K554" s="55" t="s">
        <v>407</v>
      </c>
      <c r="L554" s="55" t="s">
        <v>2737</v>
      </c>
      <c r="M554" s="90">
        <f>43+20/60</f>
        <v>43.333333333333336</v>
      </c>
      <c r="N554" s="90">
        <f>-89-43/60</f>
        <v>-89.716666666666669</v>
      </c>
      <c r="O554" s="90">
        <v>250</v>
      </c>
      <c r="U554" s="55">
        <v>4</v>
      </c>
      <c r="V554" s="55">
        <v>4</v>
      </c>
      <c r="Y554" s="55" t="s">
        <v>1866</v>
      </c>
      <c r="Z554" s="55" t="s">
        <v>1349</v>
      </c>
      <c r="AA554" s="90" t="s">
        <v>1677</v>
      </c>
      <c r="AD554" s="90">
        <f>(1.4+1.46+1.41+1.37+1.39+1.47+1.42)/7</f>
        <v>1.417142857142857</v>
      </c>
      <c r="AH554" s="55" t="s">
        <v>6378</v>
      </c>
      <c r="AI554" s="168">
        <f>(6.6+6.9+7+6.8+7.1+6.7+7)/7</f>
        <v>6.8714285714285719</v>
      </c>
      <c r="AM554" s="55" t="s">
        <v>1294</v>
      </c>
      <c r="AN554" s="185" t="s">
        <v>1120</v>
      </c>
      <c r="AO554" s="185" t="s">
        <v>5150</v>
      </c>
      <c r="AQ554" s="55" t="s">
        <v>131</v>
      </c>
      <c r="AR554" s="55" t="s">
        <v>132</v>
      </c>
      <c r="AS554" s="55" t="s">
        <v>1585</v>
      </c>
      <c r="AT554" s="181" t="s">
        <v>400</v>
      </c>
      <c r="AU554" s="181" t="s">
        <v>5150</v>
      </c>
      <c r="AV554" s="185" t="s">
        <v>479</v>
      </c>
      <c r="AW554" s="55" t="s">
        <v>400</v>
      </c>
      <c r="AX554" s="185" t="s">
        <v>479</v>
      </c>
      <c r="AY554" s="55" t="s">
        <v>176</v>
      </c>
      <c r="BE554" s="226" t="s">
        <v>415</v>
      </c>
      <c r="BG554" s="55" t="s">
        <v>479</v>
      </c>
      <c r="BH554" s="226" t="s">
        <v>415</v>
      </c>
      <c r="BI554" s="55" t="s">
        <v>479</v>
      </c>
      <c r="BK554" s="55" t="s">
        <v>5976</v>
      </c>
      <c r="BM554" s="192" t="s">
        <v>410</v>
      </c>
      <c r="BN554" s="55">
        <v>4</v>
      </c>
      <c r="BO554" s="55">
        <v>4</v>
      </c>
      <c r="BQ554" s="55" t="s">
        <v>141</v>
      </c>
      <c r="CH554" s="90">
        <v>1.4</v>
      </c>
      <c r="CI554" s="90">
        <v>1.44</v>
      </c>
      <c r="CM554" s="65">
        <v>3.38</v>
      </c>
      <c r="CN554" s="65">
        <v>3.3</v>
      </c>
      <c r="CQ554" s="65" t="s">
        <v>1631</v>
      </c>
      <c r="CV554" s="65" t="s">
        <v>1630</v>
      </c>
      <c r="DA554" s="65" t="s">
        <v>4457</v>
      </c>
      <c r="DG554" s="65">
        <v>28</v>
      </c>
      <c r="DH554" s="65">
        <v>22</v>
      </c>
      <c r="DL554" s="65">
        <v>120</v>
      </c>
      <c r="DM554" s="65">
        <v>132</v>
      </c>
      <c r="DQ554" s="165">
        <v>6.7</v>
      </c>
      <c r="DR554" s="165">
        <v>7.2</v>
      </c>
      <c r="EK554" s="90">
        <v>369</v>
      </c>
      <c r="EL554" s="90">
        <v>355</v>
      </c>
      <c r="EO554" s="65" t="s">
        <v>412</v>
      </c>
      <c r="EU554" s="65">
        <v>1.4172</v>
      </c>
      <c r="EV554" s="65">
        <v>1.49</v>
      </c>
      <c r="EY554" s="65" t="s">
        <v>830</v>
      </c>
      <c r="GD554" s="65">
        <v>0.23</v>
      </c>
      <c r="GE554" s="65">
        <v>0.22700000000000001</v>
      </c>
      <c r="GP554" s="292" t="s">
        <v>7494</v>
      </c>
      <c r="HS554" s="227"/>
      <c r="HW554" s="227"/>
      <c r="HX554" s="65">
        <v>1172</v>
      </c>
      <c r="HY554" s="65">
        <v>1229</v>
      </c>
      <c r="IB554" s="65" t="s">
        <v>411</v>
      </c>
      <c r="JG554" s="65">
        <f>40.7*0.012</f>
        <v>0.48840000000000006</v>
      </c>
      <c r="JH554" s="65">
        <f>66*0.012</f>
        <v>0.79200000000000004</v>
      </c>
      <c r="JK554" s="65" t="s">
        <v>414</v>
      </c>
      <c r="JR554" s="65">
        <v>99999</v>
      </c>
      <c r="JU554" s="55" t="s">
        <v>413</v>
      </c>
      <c r="JV554" s="55" t="s">
        <v>829</v>
      </c>
    </row>
    <row r="555" spans="1:282" x14ac:dyDescent="0.25">
      <c r="A555" s="55">
        <v>554</v>
      </c>
      <c r="B555" s="12" t="s">
        <v>7067</v>
      </c>
      <c r="C555" s="155">
        <v>29</v>
      </c>
      <c r="D555" s="55" t="s">
        <v>3792</v>
      </c>
      <c r="E555" s="90" t="s">
        <v>989</v>
      </c>
      <c r="G555" s="55" t="s">
        <v>406</v>
      </c>
      <c r="H555" s="55">
        <v>2009</v>
      </c>
      <c r="I555" s="55">
        <v>2006</v>
      </c>
      <c r="J555" s="55" t="s">
        <v>282</v>
      </c>
      <c r="K555" s="55" t="s">
        <v>407</v>
      </c>
      <c r="L555" s="55" t="s">
        <v>2737</v>
      </c>
      <c r="M555" s="90">
        <f>43+20/60</f>
        <v>43.333333333333336</v>
      </c>
      <c r="N555" s="90">
        <f>-89-43/60</f>
        <v>-89.716666666666669</v>
      </c>
      <c r="O555" s="90">
        <v>250</v>
      </c>
      <c r="U555" s="55">
        <v>4</v>
      </c>
      <c r="V555" s="55">
        <v>4</v>
      </c>
      <c r="Y555" s="55" t="s">
        <v>1866</v>
      </c>
      <c r="Z555" s="55" t="s">
        <v>1349</v>
      </c>
      <c r="AA555" s="90" t="s">
        <v>1677</v>
      </c>
      <c r="AD555" s="90">
        <f>(1.4+1.46+1.41+1.37+1.39+1.47+1.42)/7</f>
        <v>1.417142857142857</v>
      </c>
      <c r="AH555" s="55" t="s">
        <v>6378</v>
      </c>
      <c r="AI555" s="168">
        <f>(6.6+6.9+7+6.8+7.1+6.7+7)/7</f>
        <v>6.8714285714285719</v>
      </c>
      <c r="AM555" s="55" t="s">
        <v>1294</v>
      </c>
      <c r="AN555" s="185" t="s">
        <v>1121</v>
      </c>
      <c r="AO555" s="185" t="s">
        <v>5150</v>
      </c>
      <c r="AQ555" s="55" t="s">
        <v>131</v>
      </c>
      <c r="AR555" s="55" t="s">
        <v>132</v>
      </c>
      <c r="AS555" s="55" t="s">
        <v>1585</v>
      </c>
      <c r="AT555" s="181" t="s">
        <v>400</v>
      </c>
      <c r="AU555" s="181" t="s">
        <v>5150</v>
      </c>
      <c r="AV555" s="185" t="s">
        <v>479</v>
      </c>
      <c r="AW555" s="55" t="s">
        <v>400</v>
      </c>
      <c r="AX555" s="185" t="s">
        <v>479</v>
      </c>
      <c r="AY555" s="55" t="s">
        <v>176</v>
      </c>
      <c r="BE555" s="226" t="s">
        <v>415</v>
      </c>
      <c r="BG555" s="55" t="s">
        <v>479</v>
      </c>
      <c r="BH555" s="226" t="s">
        <v>415</v>
      </c>
      <c r="BI555" s="55" t="s">
        <v>479</v>
      </c>
      <c r="BK555" s="55" t="s">
        <v>5976</v>
      </c>
      <c r="BM555" s="192" t="s">
        <v>410</v>
      </c>
      <c r="BN555" s="55">
        <v>4</v>
      </c>
      <c r="BO555" s="55">
        <v>4</v>
      </c>
      <c r="BQ555" s="55" t="s">
        <v>141</v>
      </c>
      <c r="CH555" s="90">
        <v>1.4</v>
      </c>
      <c r="CI555" s="90">
        <v>1.45</v>
      </c>
      <c r="CM555" s="65">
        <v>3.38</v>
      </c>
      <c r="CN555" s="65">
        <v>3.13</v>
      </c>
      <c r="CQ555" s="65" t="s">
        <v>1631</v>
      </c>
      <c r="CV555" s="65" t="s">
        <v>1630</v>
      </c>
      <c r="DA555" s="65" t="s">
        <v>4457</v>
      </c>
      <c r="DG555" s="65">
        <v>28</v>
      </c>
      <c r="DH555" s="65">
        <v>18.8</v>
      </c>
      <c r="DL555" s="65">
        <v>120</v>
      </c>
      <c r="DM555" s="65">
        <v>147</v>
      </c>
      <c r="DQ555" s="165">
        <v>6.7</v>
      </c>
      <c r="DR555" s="165">
        <v>6.8</v>
      </c>
      <c r="EK555" s="90">
        <v>369</v>
      </c>
      <c r="EL555" s="90">
        <v>302</v>
      </c>
      <c r="EO555" s="65" t="s">
        <v>412</v>
      </c>
      <c r="EU555" s="65">
        <v>1.4172</v>
      </c>
      <c r="EV555" s="65">
        <v>1.53</v>
      </c>
      <c r="EY555" s="65" t="s">
        <v>830</v>
      </c>
      <c r="GD555" s="65">
        <v>0.23</v>
      </c>
      <c r="GE555" s="65">
        <v>0.222</v>
      </c>
      <c r="GP555" s="292" t="s">
        <v>7494</v>
      </c>
      <c r="HS555" s="227"/>
      <c r="HW555" s="227"/>
      <c r="HX555" s="65">
        <v>1172</v>
      </c>
      <c r="HY555" s="65">
        <v>1217</v>
      </c>
      <c r="IB555" s="65" t="s">
        <v>411</v>
      </c>
      <c r="JG555" s="65">
        <f>40.7*0.012</f>
        <v>0.48840000000000006</v>
      </c>
      <c r="JH555" s="65">
        <f>41.7*0.012</f>
        <v>0.50040000000000007</v>
      </c>
      <c r="JK555" s="65" t="s">
        <v>414</v>
      </c>
      <c r="JR555" s="65">
        <v>99999</v>
      </c>
      <c r="JU555" s="55" t="s">
        <v>413</v>
      </c>
      <c r="JV555" s="55" t="s">
        <v>829</v>
      </c>
    </row>
    <row r="556" spans="1:282" x14ac:dyDescent="0.25">
      <c r="A556" s="55">
        <v>555</v>
      </c>
      <c r="B556" s="12" t="s">
        <v>7067</v>
      </c>
      <c r="C556" s="155">
        <v>29</v>
      </c>
      <c r="D556" s="55" t="s">
        <v>3793</v>
      </c>
      <c r="E556" s="90" t="s">
        <v>989</v>
      </c>
      <c r="G556" s="55" t="s">
        <v>406</v>
      </c>
      <c r="H556" s="55">
        <v>2009</v>
      </c>
      <c r="I556" s="55">
        <v>2006</v>
      </c>
      <c r="J556" s="55" t="s">
        <v>282</v>
      </c>
      <c r="K556" s="55" t="s">
        <v>407</v>
      </c>
      <c r="L556" s="55" t="s">
        <v>2737</v>
      </c>
      <c r="M556" s="90">
        <f>43+20/60</f>
        <v>43.333333333333336</v>
      </c>
      <c r="N556" s="90">
        <f>-89-43/60</f>
        <v>-89.716666666666669</v>
      </c>
      <c r="O556" s="90">
        <v>250</v>
      </c>
      <c r="U556" s="55">
        <v>4</v>
      </c>
      <c r="V556" s="55">
        <v>4</v>
      </c>
      <c r="Y556" s="55" t="s">
        <v>1866</v>
      </c>
      <c r="Z556" s="55" t="s">
        <v>1356</v>
      </c>
      <c r="AA556" s="90" t="s">
        <v>1680</v>
      </c>
      <c r="AD556" s="90">
        <f>(1.4+1.46+1.41+1.37+1.39+1.47+1.42)/7</f>
        <v>1.417142857142857</v>
      </c>
      <c r="AH556" s="55" t="s">
        <v>6378</v>
      </c>
      <c r="AI556" s="168">
        <f>(6.6+6.9+7+6.8+7.1+6.7+7)/7</f>
        <v>6.8714285714285719</v>
      </c>
      <c r="AM556" s="55" t="s">
        <v>1294</v>
      </c>
      <c r="AN556" s="185" t="s">
        <v>1499</v>
      </c>
      <c r="AO556" s="185" t="s">
        <v>5150</v>
      </c>
      <c r="AQ556" s="55" t="s">
        <v>553</v>
      </c>
      <c r="AR556" s="55" t="s">
        <v>408</v>
      </c>
      <c r="AS556" s="55" t="s">
        <v>1585</v>
      </c>
      <c r="AT556" s="181" t="s">
        <v>400</v>
      </c>
      <c r="AU556" s="181" t="s">
        <v>5150</v>
      </c>
      <c r="AV556" s="185" t="s">
        <v>479</v>
      </c>
      <c r="AW556" s="55" t="s">
        <v>400</v>
      </c>
      <c r="AX556" s="185" t="s">
        <v>479</v>
      </c>
      <c r="AY556" s="55" t="s">
        <v>176</v>
      </c>
      <c r="BE556" s="226" t="s">
        <v>415</v>
      </c>
      <c r="BG556" s="55" t="s">
        <v>479</v>
      </c>
      <c r="BH556" s="226" t="s">
        <v>415</v>
      </c>
      <c r="BI556" s="55" t="s">
        <v>479</v>
      </c>
      <c r="BK556" s="55" t="s">
        <v>5976</v>
      </c>
      <c r="BM556" s="192" t="s">
        <v>409</v>
      </c>
      <c r="BN556" s="55">
        <v>4</v>
      </c>
      <c r="BO556" s="55">
        <v>4</v>
      </c>
      <c r="BQ556" s="55" t="s">
        <v>141</v>
      </c>
      <c r="CH556" s="90">
        <v>1.57</v>
      </c>
      <c r="CI556" s="90">
        <v>1.55</v>
      </c>
      <c r="CM556" s="65">
        <v>2.58</v>
      </c>
      <c r="CN556" s="65">
        <v>2.75</v>
      </c>
      <c r="CQ556" s="65" t="s">
        <v>1631</v>
      </c>
      <c r="CV556" s="65" t="s">
        <v>1630</v>
      </c>
      <c r="DA556" s="65" t="s">
        <v>4457</v>
      </c>
      <c r="DG556" s="65">
        <v>23.8</v>
      </c>
      <c r="DH556" s="65">
        <v>16.8</v>
      </c>
      <c r="DL556" s="65">
        <v>130</v>
      </c>
      <c r="DM556" s="65">
        <v>77</v>
      </c>
      <c r="DQ556" s="165">
        <v>6.7</v>
      </c>
      <c r="DR556" s="165">
        <v>6.7</v>
      </c>
      <c r="EK556" s="90">
        <v>166</v>
      </c>
      <c r="EL556" s="90">
        <v>263</v>
      </c>
      <c r="EO556" s="65" t="s">
        <v>412</v>
      </c>
      <c r="EU556" s="65">
        <v>1.49</v>
      </c>
      <c r="EV556" s="65">
        <v>1.3345</v>
      </c>
      <c r="EY556" s="65" t="s">
        <v>830</v>
      </c>
      <c r="GD556" s="65">
        <v>0.23400000000000001</v>
      </c>
      <c r="GE556" s="65">
        <v>0.23200000000000001</v>
      </c>
      <c r="GP556" s="292" t="s">
        <v>7494</v>
      </c>
      <c r="HS556" s="227"/>
      <c r="HW556" s="227"/>
      <c r="HX556" s="65">
        <v>797</v>
      </c>
      <c r="HY556" s="65">
        <v>977</v>
      </c>
      <c r="IB556" s="65" t="s">
        <v>411</v>
      </c>
      <c r="JR556" s="65">
        <v>99999</v>
      </c>
      <c r="JU556" s="55" t="s">
        <v>413</v>
      </c>
      <c r="JV556" s="55" t="s">
        <v>829</v>
      </c>
    </row>
    <row r="557" spans="1:282" x14ac:dyDescent="0.25">
      <c r="A557" s="55">
        <v>556</v>
      </c>
      <c r="B557" s="12" t="s">
        <v>7067</v>
      </c>
      <c r="C557" s="155">
        <v>29</v>
      </c>
      <c r="D557" s="55" t="s">
        <v>3793</v>
      </c>
      <c r="E557" s="90" t="s">
        <v>989</v>
      </c>
      <c r="G557" s="55" t="s">
        <v>406</v>
      </c>
      <c r="H557" s="55">
        <v>2009</v>
      </c>
      <c r="I557" s="55">
        <v>2006</v>
      </c>
      <c r="J557" s="55" t="s">
        <v>282</v>
      </c>
      <c r="K557" s="55" t="s">
        <v>407</v>
      </c>
      <c r="L557" s="55" t="s">
        <v>2737</v>
      </c>
      <c r="M557" s="90">
        <f>43+20/60</f>
        <v>43.333333333333336</v>
      </c>
      <c r="N557" s="90">
        <f>-89-43/60</f>
        <v>-89.716666666666669</v>
      </c>
      <c r="O557" s="90">
        <v>250</v>
      </c>
      <c r="U557" s="55">
        <v>4</v>
      </c>
      <c r="V557" s="55">
        <v>4</v>
      </c>
      <c r="Y557" s="55" t="s">
        <v>1866</v>
      </c>
      <c r="Z557" s="55" t="s">
        <v>1356</v>
      </c>
      <c r="AA557" s="90" t="s">
        <v>1680</v>
      </c>
      <c r="AD557" s="90">
        <f>(1.4+1.46+1.41+1.37+1.39+1.47+1.42)/7</f>
        <v>1.417142857142857</v>
      </c>
      <c r="AH557" s="55" t="s">
        <v>6378</v>
      </c>
      <c r="AI557" s="168">
        <f>(6.6+6.9+7+6.8+7.1+6.7+7)/7</f>
        <v>6.8714285714285719</v>
      </c>
      <c r="AM557" s="55" t="s">
        <v>1294</v>
      </c>
      <c r="AN557" s="185" t="s">
        <v>1499</v>
      </c>
      <c r="AO557" s="185" t="s">
        <v>5150</v>
      </c>
      <c r="AQ557" s="55" t="s">
        <v>553</v>
      </c>
      <c r="AR557" s="55" t="s">
        <v>132</v>
      </c>
      <c r="AS557" s="55" t="s">
        <v>1585</v>
      </c>
      <c r="AT557" s="181" t="s">
        <v>400</v>
      </c>
      <c r="AU557" s="181" t="s">
        <v>5150</v>
      </c>
      <c r="AV557" s="185" t="s">
        <v>479</v>
      </c>
      <c r="AW557" s="55" t="s">
        <v>400</v>
      </c>
      <c r="AX557" s="185" t="s">
        <v>479</v>
      </c>
      <c r="AY557" s="55" t="s">
        <v>176</v>
      </c>
      <c r="BE557" s="226" t="s">
        <v>415</v>
      </c>
      <c r="BG557" s="55" t="s">
        <v>479</v>
      </c>
      <c r="BH557" s="226" t="s">
        <v>415</v>
      </c>
      <c r="BI557" s="55" t="s">
        <v>479</v>
      </c>
      <c r="BK557" s="55" t="s">
        <v>5976</v>
      </c>
      <c r="BM557" s="192" t="s">
        <v>409</v>
      </c>
      <c r="BN557" s="55">
        <v>4</v>
      </c>
      <c r="BO557" s="55">
        <v>4</v>
      </c>
      <c r="BQ557" s="55" t="s">
        <v>141</v>
      </c>
      <c r="CH557" s="90">
        <v>1.57</v>
      </c>
      <c r="CI557" s="90">
        <v>1.5</v>
      </c>
      <c r="CM557" s="65">
        <v>2.58</v>
      </c>
      <c r="CN557" s="65">
        <v>2.9</v>
      </c>
      <c r="CQ557" s="65" t="s">
        <v>1631</v>
      </c>
      <c r="CV557" s="65" t="s">
        <v>1630</v>
      </c>
      <c r="DA557" s="65" t="s">
        <v>4457</v>
      </c>
      <c r="DG557" s="65">
        <v>23.8</v>
      </c>
      <c r="DH557" s="65">
        <v>15.3</v>
      </c>
      <c r="DL557" s="65">
        <v>130</v>
      </c>
      <c r="DM557" s="65">
        <v>77</v>
      </c>
      <c r="DQ557" s="165">
        <v>6.7</v>
      </c>
      <c r="DR557" s="165">
        <v>7</v>
      </c>
      <c r="EK557" s="90">
        <v>166</v>
      </c>
      <c r="EL557" s="90">
        <v>286</v>
      </c>
      <c r="EO557" s="65" t="s">
        <v>412</v>
      </c>
      <c r="EU557" s="65">
        <v>1.49</v>
      </c>
      <c r="EV557" s="65">
        <v>1.6107</v>
      </c>
      <c r="EY557" s="65" t="s">
        <v>830</v>
      </c>
      <c r="GD557" s="65">
        <v>0.23400000000000001</v>
      </c>
      <c r="GE557" s="65">
        <v>0.23899999999999999</v>
      </c>
      <c r="GP557" s="292" t="s">
        <v>7494</v>
      </c>
      <c r="HS557" s="227"/>
      <c r="HW557" s="227"/>
      <c r="HX557" s="65">
        <v>797</v>
      </c>
      <c r="HY557" s="65">
        <v>962</v>
      </c>
      <c r="IB557" s="65" t="s">
        <v>411</v>
      </c>
      <c r="JR557" s="65">
        <v>99999</v>
      </c>
      <c r="JU557" s="55" t="s">
        <v>413</v>
      </c>
      <c r="JV557" s="55" t="s">
        <v>829</v>
      </c>
    </row>
    <row r="558" spans="1:282" x14ac:dyDescent="0.25">
      <c r="A558" s="55">
        <v>557</v>
      </c>
      <c r="B558" s="12" t="s">
        <v>7067</v>
      </c>
      <c r="C558" s="155">
        <v>29</v>
      </c>
      <c r="D558" s="55" t="s">
        <v>3793</v>
      </c>
      <c r="E558" s="90" t="s">
        <v>989</v>
      </c>
      <c r="G558" s="55" t="s">
        <v>406</v>
      </c>
      <c r="H558" s="55">
        <v>2009</v>
      </c>
      <c r="I558" s="55">
        <v>2006</v>
      </c>
      <c r="J558" s="55" t="s">
        <v>282</v>
      </c>
      <c r="K558" s="55" t="s">
        <v>407</v>
      </c>
      <c r="L558" s="55" t="s">
        <v>2737</v>
      </c>
      <c r="M558" s="90">
        <f>43+20/60</f>
        <v>43.333333333333336</v>
      </c>
      <c r="N558" s="90">
        <f>-89-43/60</f>
        <v>-89.716666666666669</v>
      </c>
      <c r="O558" s="90">
        <v>250</v>
      </c>
      <c r="U558" s="55">
        <v>4</v>
      </c>
      <c r="V558" s="55">
        <v>4</v>
      </c>
      <c r="Y558" s="55" t="s">
        <v>1866</v>
      </c>
      <c r="Z558" s="55" t="s">
        <v>1356</v>
      </c>
      <c r="AA558" s="90" t="s">
        <v>1680</v>
      </c>
      <c r="AD558" s="90">
        <f>(1.4+1.46+1.41+1.37+1.39+1.47+1.42)/7</f>
        <v>1.417142857142857</v>
      </c>
      <c r="AH558" s="55" t="s">
        <v>6378</v>
      </c>
      <c r="AI558" s="168">
        <f>(6.6+6.9+7+6.8+7.1+6.7+7)/7</f>
        <v>6.8714285714285719</v>
      </c>
      <c r="AM558" s="55" t="s">
        <v>1294</v>
      </c>
      <c r="AN558" s="185" t="s">
        <v>1479</v>
      </c>
      <c r="AO558" s="185" t="s">
        <v>5150</v>
      </c>
      <c r="AQ558" s="55" t="s">
        <v>553</v>
      </c>
      <c r="AR558" s="55" t="s">
        <v>408</v>
      </c>
      <c r="AS558" s="55" t="s">
        <v>1585</v>
      </c>
      <c r="AT558" s="181" t="s">
        <v>400</v>
      </c>
      <c r="AU558" s="181" t="s">
        <v>5150</v>
      </c>
      <c r="AV558" s="185" t="s">
        <v>479</v>
      </c>
      <c r="AW558" s="55" t="s">
        <v>400</v>
      </c>
      <c r="AX558" s="185" t="s">
        <v>479</v>
      </c>
      <c r="AY558" s="55" t="s">
        <v>176</v>
      </c>
      <c r="BE558" s="226" t="s">
        <v>415</v>
      </c>
      <c r="BG558" s="55" t="s">
        <v>479</v>
      </c>
      <c r="BH558" s="226" t="s">
        <v>415</v>
      </c>
      <c r="BI558" s="55" t="s">
        <v>479</v>
      </c>
      <c r="BK558" s="55" t="s">
        <v>5976</v>
      </c>
      <c r="BM558" s="192" t="s">
        <v>409</v>
      </c>
      <c r="BN558" s="55">
        <v>4</v>
      </c>
      <c r="BO558" s="55">
        <v>4</v>
      </c>
      <c r="BQ558" s="55" t="s">
        <v>141</v>
      </c>
      <c r="CH558" s="90">
        <v>1.57</v>
      </c>
      <c r="CI558" s="90">
        <v>1.54</v>
      </c>
      <c r="CM558" s="65">
        <v>2.58</v>
      </c>
      <c r="CN558" s="65">
        <v>2.63</v>
      </c>
      <c r="CQ558" s="65" t="s">
        <v>1631</v>
      </c>
      <c r="CV558" s="65" t="s">
        <v>1630</v>
      </c>
      <c r="DA558" s="65" t="s">
        <v>4457</v>
      </c>
      <c r="DG558" s="65">
        <v>23.8</v>
      </c>
      <c r="DH558" s="65">
        <v>13.8</v>
      </c>
      <c r="DL558" s="65">
        <v>130</v>
      </c>
      <c r="DM558" s="65">
        <v>73</v>
      </c>
      <c r="DQ558" s="165">
        <v>6.7</v>
      </c>
      <c r="DR558" s="165">
        <v>6.8</v>
      </c>
      <c r="EK558" s="90">
        <v>166</v>
      </c>
      <c r="EL558" s="90">
        <v>276</v>
      </c>
      <c r="EO558" s="65" t="s">
        <v>412</v>
      </c>
      <c r="EU558" s="65">
        <v>1.49</v>
      </c>
      <c r="EV558" s="65">
        <v>1.54</v>
      </c>
      <c r="EY558" s="65" t="s">
        <v>830</v>
      </c>
      <c r="GD558" s="65">
        <v>0.23400000000000001</v>
      </c>
      <c r="GE558" s="65">
        <v>0.23300000000000001</v>
      </c>
      <c r="GP558" s="292" t="s">
        <v>7494</v>
      </c>
      <c r="HS558" s="227"/>
      <c r="HW558" s="227"/>
      <c r="HX558" s="65">
        <v>797</v>
      </c>
      <c r="HY558" s="65">
        <v>944</v>
      </c>
      <c r="IB558" s="65" t="s">
        <v>411</v>
      </c>
      <c r="JR558" s="65">
        <v>99999</v>
      </c>
      <c r="JU558" s="55" t="s">
        <v>413</v>
      </c>
      <c r="JV558" s="55" t="s">
        <v>829</v>
      </c>
    </row>
    <row r="559" spans="1:282" x14ac:dyDescent="0.25">
      <c r="A559" s="55">
        <v>558</v>
      </c>
      <c r="B559" s="12" t="s">
        <v>7067</v>
      </c>
      <c r="C559" s="155">
        <v>29</v>
      </c>
      <c r="D559" s="55" t="s">
        <v>3793</v>
      </c>
      <c r="E559" s="90" t="s">
        <v>989</v>
      </c>
      <c r="G559" s="55" t="s">
        <v>406</v>
      </c>
      <c r="H559" s="55">
        <v>2009</v>
      </c>
      <c r="I559" s="55">
        <v>2006</v>
      </c>
      <c r="J559" s="55" t="s">
        <v>282</v>
      </c>
      <c r="K559" s="55" t="s">
        <v>407</v>
      </c>
      <c r="L559" s="55" t="s">
        <v>2737</v>
      </c>
      <c r="M559" s="90">
        <f>43+20/60</f>
        <v>43.333333333333336</v>
      </c>
      <c r="N559" s="90">
        <f>-89-43/60</f>
        <v>-89.716666666666669</v>
      </c>
      <c r="O559" s="90">
        <v>250</v>
      </c>
      <c r="U559" s="55">
        <v>4</v>
      </c>
      <c r="V559" s="55">
        <v>4</v>
      </c>
      <c r="Y559" s="55" t="s">
        <v>1866</v>
      </c>
      <c r="Z559" s="55" t="s">
        <v>1356</v>
      </c>
      <c r="AA559" s="90" t="s">
        <v>1680</v>
      </c>
      <c r="AD559" s="90">
        <f>(1.4+1.46+1.41+1.37+1.39+1.47+1.42)/7</f>
        <v>1.417142857142857</v>
      </c>
      <c r="AH559" s="55" t="s">
        <v>6378</v>
      </c>
      <c r="AI559" s="168">
        <f>(6.6+6.9+7+6.8+7.1+6.7+7)/7</f>
        <v>6.8714285714285719</v>
      </c>
      <c r="AM559" s="55" t="s">
        <v>1294</v>
      </c>
      <c r="AN559" s="185" t="s">
        <v>1479</v>
      </c>
      <c r="AO559" s="185" t="s">
        <v>5150</v>
      </c>
      <c r="AQ559" s="55" t="s">
        <v>553</v>
      </c>
      <c r="AR559" s="55" t="s">
        <v>132</v>
      </c>
      <c r="AS559" s="55" t="s">
        <v>1585</v>
      </c>
      <c r="AT559" s="181" t="s">
        <v>400</v>
      </c>
      <c r="AU559" s="181" t="s">
        <v>5150</v>
      </c>
      <c r="AV559" s="185" t="s">
        <v>479</v>
      </c>
      <c r="AW559" s="55" t="s">
        <v>400</v>
      </c>
      <c r="AX559" s="185" t="s">
        <v>479</v>
      </c>
      <c r="AY559" s="55" t="s">
        <v>176</v>
      </c>
      <c r="BE559" s="226" t="s">
        <v>415</v>
      </c>
      <c r="BG559" s="55" t="s">
        <v>479</v>
      </c>
      <c r="BH559" s="226" t="s">
        <v>415</v>
      </c>
      <c r="BI559" s="55" t="s">
        <v>479</v>
      </c>
      <c r="BK559" s="55" t="s">
        <v>5976</v>
      </c>
      <c r="BM559" s="192" t="s">
        <v>409</v>
      </c>
      <c r="BN559" s="55">
        <v>4</v>
      </c>
      <c r="BO559" s="55">
        <v>4</v>
      </c>
      <c r="BQ559" s="55" t="s">
        <v>141</v>
      </c>
      <c r="CH559" s="90">
        <v>1.57</v>
      </c>
      <c r="CI559" s="90">
        <v>1.55</v>
      </c>
      <c r="CM559" s="65">
        <v>2.58</v>
      </c>
      <c r="CN559" s="65">
        <v>2.83</v>
      </c>
      <c r="CQ559" s="65" t="s">
        <v>1631</v>
      </c>
      <c r="CV559" s="65" t="s">
        <v>1630</v>
      </c>
      <c r="DA559" s="65" t="s">
        <v>4457</v>
      </c>
      <c r="DG559" s="65">
        <v>23.8</v>
      </c>
      <c r="DH559" s="65">
        <v>16.8</v>
      </c>
      <c r="DL559" s="65">
        <v>130</v>
      </c>
      <c r="DM559" s="65">
        <v>71</v>
      </c>
      <c r="DQ559" s="165">
        <v>6.7</v>
      </c>
      <c r="DR559" s="165">
        <v>7.1</v>
      </c>
      <c r="EK559" s="90">
        <v>166</v>
      </c>
      <c r="EL559" s="90">
        <v>272</v>
      </c>
      <c r="EO559" s="65" t="s">
        <v>412</v>
      </c>
      <c r="EU559" s="65">
        <v>1.49</v>
      </c>
      <c r="EV559" s="65">
        <v>1.3345</v>
      </c>
      <c r="EY559" s="65" t="s">
        <v>830</v>
      </c>
      <c r="GD559" s="65">
        <v>0.23400000000000001</v>
      </c>
      <c r="GE559" s="65">
        <v>0.23</v>
      </c>
      <c r="GP559" s="292" t="s">
        <v>7494</v>
      </c>
      <c r="HS559" s="227"/>
      <c r="HW559" s="227"/>
      <c r="HX559" s="65">
        <v>797</v>
      </c>
      <c r="HY559" s="65">
        <v>984</v>
      </c>
      <c r="IB559" s="65" t="s">
        <v>411</v>
      </c>
      <c r="JR559" s="65">
        <v>99999</v>
      </c>
      <c r="JU559" s="55" t="s">
        <v>413</v>
      </c>
      <c r="JV559" s="55" t="s">
        <v>829</v>
      </c>
    </row>
    <row r="560" spans="1:282" x14ac:dyDescent="0.25">
      <c r="A560" s="55">
        <v>559</v>
      </c>
      <c r="B560" s="12" t="s">
        <v>7067</v>
      </c>
      <c r="C560" s="155">
        <v>29</v>
      </c>
      <c r="D560" s="55" t="s">
        <v>3794</v>
      </c>
      <c r="E560" s="90" t="s">
        <v>989</v>
      </c>
      <c r="G560" s="55" t="s">
        <v>406</v>
      </c>
      <c r="H560" s="55">
        <v>2009</v>
      </c>
      <c r="I560" s="55">
        <v>2006</v>
      </c>
      <c r="J560" s="55" t="s">
        <v>282</v>
      </c>
      <c r="K560" s="55" t="s">
        <v>407</v>
      </c>
      <c r="L560" s="55" t="s">
        <v>2737</v>
      </c>
      <c r="M560" s="90">
        <f>43+20/60</f>
        <v>43.333333333333336</v>
      </c>
      <c r="N560" s="90">
        <f>-89-43/60</f>
        <v>-89.716666666666669</v>
      </c>
      <c r="O560" s="90">
        <v>250</v>
      </c>
      <c r="U560" s="55">
        <v>4</v>
      </c>
      <c r="V560" s="55">
        <v>4</v>
      </c>
      <c r="Y560" s="55" t="s">
        <v>1866</v>
      </c>
      <c r="Z560" s="55" t="s">
        <v>1356</v>
      </c>
      <c r="AA560" s="90" t="s">
        <v>1680</v>
      </c>
      <c r="AD560" s="90">
        <f>(1.4+1.46+1.41+1.37+1.39+1.47+1.42)/7</f>
        <v>1.417142857142857</v>
      </c>
      <c r="AH560" s="55" t="s">
        <v>6378</v>
      </c>
      <c r="AI560" s="168">
        <f>(6.6+6.9+7+6.8+7.1+6.7+7)/7</f>
        <v>6.8714285714285719</v>
      </c>
      <c r="AM560" s="55" t="s">
        <v>1294</v>
      </c>
      <c r="AN560" s="185" t="s">
        <v>1120</v>
      </c>
      <c r="AO560" s="185" t="s">
        <v>5150</v>
      </c>
      <c r="AQ560" s="55" t="s">
        <v>131</v>
      </c>
      <c r="AR560" s="55" t="s">
        <v>132</v>
      </c>
      <c r="AS560" s="55" t="s">
        <v>1585</v>
      </c>
      <c r="AT560" s="181" t="s">
        <v>400</v>
      </c>
      <c r="AU560" s="181" t="s">
        <v>5150</v>
      </c>
      <c r="AV560" s="185" t="s">
        <v>479</v>
      </c>
      <c r="AW560" s="55" t="s">
        <v>400</v>
      </c>
      <c r="AX560" s="185" t="s">
        <v>479</v>
      </c>
      <c r="AY560" s="55" t="s">
        <v>176</v>
      </c>
      <c r="BE560" s="226" t="s">
        <v>415</v>
      </c>
      <c r="BG560" s="55" t="s">
        <v>479</v>
      </c>
      <c r="BH560" s="226" t="s">
        <v>415</v>
      </c>
      <c r="BI560" s="55" t="s">
        <v>479</v>
      </c>
      <c r="BK560" s="55" t="s">
        <v>5976</v>
      </c>
      <c r="BM560" s="192" t="s">
        <v>409</v>
      </c>
      <c r="BN560" s="55">
        <v>4</v>
      </c>
      <c r="BO560" s="55">
        <v>4</v>
      </c>
      <c r="BQ560" s="55" t="s">
        <v>141</v>
      </c>
      <c r="CH560" s="90">
        <v>1.57</v>
      </c>
      <c r="CI560" s="90">
        <v>1.55</v>
      </c>
      <c r="CM560" s="65">
        <v>2.58</v>
      </c>
      <c r="CN560" s="65">
        <v>2.38</v>
      </c>
      <c r="CQ560" s="65" t="s">
        <v>1631</v>
      </c>
      <c r="CV560" s="65" t="s">
        <v>1630</v>
      </c>
      <c r="DA560" s="65" t="s">
        <v>4457</v>
      </c>
      <c r="DG560" s="65">
        <v>23.8</v>
      </c>
      <c r="DH560" s="65">
        <v>14.8</v>
      </c>
      <c r="DL560" s="65">
        <v>130</v>
      </c>
      <c r="DM560" s="65">
        <v>87</v>
      </c>
      <c r="DQ560" s="165">
        <v>6.7</v>
      </c>
      <c r="DR560" s="165">
        <v>6.8</v>
      </c>
      <c r="EK560" s="90">
        <v>166</v>
      </c>
      <c r="EL560" s="90">
        <v>249</v>
      </c>
      <c r="EO560" s="65" t="s">
        <v>412</v>
      </c>
      <c r="EU560" s="65">
        <v>1.49</v>
      </c>
      <c r="EV560" s="65">
        <v>1.56</v>
      </c>
      <c r="EY560" s="65" t="s">
        <v>830</v>
      </c>
      <c r="GD560" s="65">
        <v>0.23400000000000001</v>
      </c>
      <c r="GE560" s="65">
        <v>0.23</v>
      </c>
      <c r="GP560" s="292" t="s">
        <v>7494</v>
      </c>
      <c r="HS560" s="227"/>
      <c r="HW560" s="227"/>
      <c r="HX560" s="65">
        <v>797</v>
      </c>
      <c r="HY560" s="65">
        <v>949</v>
      </c>
      <c r="IB560" s="65" t="s">
        <v>411</v>
      </c>
      <c r="JR560" s="65">
        <v>99999</v>
      </c>
      <c r="JU560" s="55" t="s">
        <v>413</v>
      </c>
      <c r="JV560" s="55" t="s">
        <v>829</v>
      </c>
    </row>
    <row r="561" spans="1:282" x14ac:dyDescent="0.25">
      <c r="A561" s="55">
        <v>560</v>
      </c>
      <c r="B561" s="12" t="s">
        <v>7067</v>
      </c>
      <c r="C561" s="155">
        <v>29</v>
      </c>
      <c r="D561" s="55" t="s">
        <v>3794</v>
      </c>
      <c r="E561" s="90" t="s">
        <v>989</v>
      </c>
      <c r="G561" s="55" t="s">
        <v>406</v>
      </c>
      <c r="H561" s="55">
        <v>2009</v>
      </c>
      <c r="I561" s="55">
        <v>2006</v>
      </c>
      <c r="J561" s="55" t="s">
        <v>282</v>
      </c>
      <c r="K561" s="55" t="s">
        <v>407</v>
      </c>
      <c r="L561" s="55" t="s">
        <v>2737</v>
      </c>
      <c r="M561" s="90">
        <f>43+20/60</f>
        <v>43.333333333333336</v>
      </c>
      <c r="N561" s="90">
        <f>-89-43/60</f>
        <v>-89.716666666666669</v>
      </c>
      <c r="O561" s="90">
        <v>250</v>
      </c>
      <c r="U561" s="55">
        <v>4</v>
      </c>
      <c r="V561" s="55">
        <v>4</v>
      </c>
      <c r="Y561" s="55" t="s">
        <v>1866</v>
      </c>
      <c r="Z561" s="55" t="s">
        <v>1356</v>
      </c>
      <c r="AA561" s="90" t="s">
        <v>1680</v>
      </c>
      <c r="AD561" s="90">
        <f>(1.4+1.46+1.41+1.37+1.39+1.47+1.42)/7</f>
        <v>1.417142857142857</v>
      </c>
      <c r="AH561" s="55" t="s">
        <v>6378</v>
      </c>
      <c r="AI561" s="168">
        <f>(6.6+6.9+7+6.8+7.1+6.7+7)/7</f>
        <v>6.8714285714285719</v>
      </c>
      <c r="AM561" s="55" t="s">
        <v>1294</v>
      </c>
      <c r="AN561" s="185" t="s">
        <v>1121</v>
      </c>
      <c r="AO561" s="185" t="s">
        <v>5150</v>
      </c>
      <c r="AQ561" s="55" t="s">
        <v>131</v>
      </c>
      <c r="AR561" s="55" t="s">
        <v>132</v>
      </c>
      <c r="AS561" s="55" t="s">
        <v>1585</v>
      </c>
      <c r="AT561" s="181" t="s">
        <v>400</v>
      </c>
      <c r="AU561" s="181" t="s">
        <v>5150</v>
      </c>
      <c r="AV561" s="185" t="s">
        <v>479</v>
      </c>
      <c r="AW561" s="55" t="s">
        <v>400</v>
      </c>
      <c r="AX561" s="185" t="s">
        <v>479</v>
      </c>
      <c r="AY561" s="55" t="s">
        <v>176</v>
      </c>
      <c r="BE561" s="226" t="s">
        <v>415</v>
      </c>
      <c r="BG561" s="55" t="s">
        <v>479</v>
      </c>
      <c r="BH561" s="226" t="s">
        <v>415</v>
      </c>
      <c r="BI561" s="55" t="s">
        <v>479</v>
      </c>
      <c r="BK561" s="55" t="s">
        <v>5976</v>
      </c>
      <c r="BM561" s="192" t="s">
        <v>409</v>
      </c>
      <c r="BN561" s="55">
        <v>4</v>
      </c>
      <c r="BO561" s="55">
        <v>4</v>
      </c>
      <c r="BQ561" s="55" t="s">
        <v>141</v>
      </c>
      <c r="CH561" s="90">
        <v>1.57</v>
      </c>
      <c r="CI561" s="90">
        <v>1.51</v>
      </c>
      <c r="CM561" s="65">
        <v>2.58</v>
      </c>
      <c r="CN561" s="65">
        <v>2.38</v>
      </c>
      <c r="CQ561" s="65" t="s">
        <v>1631</v>
      </c>
      <c r="CV561" s="65" t="s">
        <v>1630</v>
      </c>
      <c r="DA561" s="65" t="s">
        <v>4457</v>
      </c>
      <c r="DG561" s="65">
        <v>23.8</v>
      </c>
      <c r="DH561" s="65">
        <v>12.8</v>
      </c>
      <c r="DL561" s="65">
        <v>130</v>
      </c>
      <c r="DM561" s="65">
        <v>92</v>
      </c>
      <c r="DQ561" s="165">
        <v>6.7</v>
      </c>
      <c r="DR561" s="165">
        <v>7.2</v>
      </c>
      <c r="EK561" s="90">
        <v>166</v>
      </c>
      <c r="EL561" s="90">
        <v>238</v>
      </c>
      <c r="EO561" s="65" t="s">
        <v>412</v>
      </c>
      <c r="EU561" s="65">
        <v>1.49</v>
      </c>
      <c r="EV561" s="65">
        <v>1.56</v>
      </c>
      <c r="EY561" s="65" t="s">
        <v>830</v>
      </c>
      <c r="GD561" s="65">
        <v>0.23400000000000001</v>
      </c>
      <c r="GE561" s="65">
        <v>0.23400000000000001</v>
      </c>
      <c r="GP561" s="292" t="s">
        <v>7494</v>
      </c>
      <c r="HS561" s="227"/>
      <c r="HW561" s="227"/>
      <c r="HX561" s="65">
        <v>797</v>
      </c>
      <c r="HY561" s="65">
        <v>922</v>
      </c>
      <c r="IB561" s="65" t="s">
        <v>411</v>
      </c>
      <c r="JR561" s="65">
        <v>99999</v>
      </c>
      <c r="JU561" s="55" t="s">
        <v>413</v>
      </c>
      <c r="JV561" s="55" t="s">
        <v>829</v>
      </c>
    </row>
    <row r="562" spans="1:282" x14ac:dyDescent="0.25">
      <c r="A562" s="55">
        <v>561</v>
      </c>
      <c r="B562" s="12" t="s">
        <v>7067</v>
      </c>
      <c r="C562" s="155">
        <v>29</v>
      </c>
      <c r="D562" s="55" t="s">
        <v>3795</v>
      </c>
      <c r="E562" s="90" t="s">
        <v>989</v>
      </c>
      <c r="G562" s="55" t="s">
        <v>406</v>
      </c>
      <c r="H562" s="55">
        <v>2009</v>
      </c>
      <c r="I562" s="55">
        <v>2006</v>
      </c>
      <c r="J562" s="55" t="s">
        <v>282</v>
      </c>
      <c r="K562" s="55" t="s">
        <v>407</v>
      </c>
      <c r="L562" s="55" t="s">
        <v>2737</v>
      </c>
      <c r="M562" s="90">
        <f>43+20/60</f>
        <v>43.333333333333336</v>
      </c>
      <c r="N562" s="90">
        <f>-89-43/60</f>
        <v>-89.716666666666669</v>
      </c>
      <c r="O562" s="90">
        <v>250</v>
      </c>
      <c r="U562" s="55">
        <v>4</v>
      </c>
      <c r="V562" s="55">
        <v>4</v>
      </c>
      <c r="Y562" s="55" t="s">
        <v>1866</v>
      </c>
      <c r="Z562" s="55" t="s">
        <v>1356</v>
      </c>
      <c r="AA562" s="90" t="s">
        <v>1680</v>
      </c>
      <c r="AD562" s="90">
        <f>(1.4+1.46+1.41+1.37+1.39+1.47+1.42)/7</f>
        <v>1.417142857142857</v>
      </c>
      <c r="AH562" s="55" t="s">
        <v>6378</v>
      </c>
      <c r="AI562" s="168">
        <f>(6.6+6.9+7+6.8+7.1+6.7+7)/7</f>
        <v>6.8714285714285719</v>
      </c>
      <c r="AM562" s="55" t="s">
        <v>1294</v>
      </c>
      <c r="AN562" s="185" t="s">
        <v>1499</v>
      </c>
      <c r="AO562" s="185" t="s">
        <v>5150</v>
      </c>
      <c r="AQ562" s="55" t="s">
        <v>553</v>
      </c>
      <c r="AR562" s="55" t="s">
        <v>408</v>
      </c>
      <c r="AS562" s="55" t="s">
        <v>1585</v>
      </c>
      <c r="AT562" s="181" t="s">
        <v>400</v>
      </c>
      <c r="AU562" s="181" t="s">
        <v>5150</v>
      </c>
      <c r="AV562" s="185" t="s">
        <v>479</v>
      </c>
      <c r="AW562" s="55" t="s">
        <v>400</v>
      </c>
      <c r="AX562" s="185" t="s">
        <v>479</v>
      </c>
      <c r="AY562" s="55" t="s">
        <v>176</v>
      </c>
      <c r="BE562" s="226" t="s">
        <v>415</v>
      </c>
      <c r="BG562" s="55" t="s">
        <v>479</v>
      </c>
      <c r="BH562" s="226" t="s">
        <v>415</v>
      </c>
      <c r="BI562" s="55" t="s">
        <v>479</v>
      </c>
      <c r="BK562" s="55" t="s">
        <v>5976</v>
      </c>
      <c r="BM562" s="192" t="s">
        <v>410</v>
      </c>
      <c r="BN562" s="55">
        <v>4</v>
      </c>
      <c r="BO562" s="55">
        <v>4</v>
      </c>
      <c r="BQ562" s="55" t="s">
        <v>141</v>
      </c>
      <c r="CH562" s="90">
        <v>1.57</v>
      </c>
      <c r="CI562" s="90">
        <v>1.55</v>
      </c>
      <c r="CM562" s="65">
        <v>2.48</v>
      </c>
      <c r="CN562" s="65">
        <v>2.75</v>
      </c>
      <c r="CQ562" s="65" t="s">
        <v>1631</v>
      </c>
      <c r="CV562" s="65" t="s">
        <v>1630</v>
      </c>
      <c r="DA562" s="65" t="s">
        <v>4457</v>
      </c>
      <c r="DG562" s="65">
        <v>13</v>
      </c>
      <c r="DH562" s="65">
        <v>16.8</v>
      </c>
      <c r="DL562" s="65">
        <v>86</v>
      </c>
      <c r="DM562" s="65">
        <v>77</v>
      </c>
      <c r="DQ562" s="165">
        <v>7</v>
      </c>
      <c r="DR562" s="165">
        <v>6.7</v>
      </c>
      <c r="EK562" s="90">
        <v>267</v>
      </c>
      <c r="EL562" s="90">
        <v>263</v>
      </c>
      <c r="EO562" s="65" t="s">
        <v>412</v>
      </c>
      <c r="EU562" s="65">
        <v>1.54</v>
      </c>
      <c r="EV562" s="65">
        <v>1.3345</v>
      </c>
      <c r="EY562" s="65" t="s">
        <v>830</v>
      </c>
      <c r="GD562" s="65">
        <v>0.23400000000000001</v>
      </c>
      <c r="GE562" s="65">
        <v>0.23200000000000001</v>
      </c>
      <c r="GP562" s="292" t="s">
        <v>7494</v>
      </c>
      <c r="HS562" s="227"/>
      <c r="HW562" s="227"/>
      <c r="HX562" s="65">
        <v>878</v>
      </c>
      <c r="HY562" s="65">
        <v>977</v>
      </c>
      <c r="IB562" s="65" t="s">
        <v>411</v>
      </c>
      <c r="JR562" s="65">
        <v>99999</v>
      </c>
      <c r="JU562" s="55" t="s">
        <v>413</v>
      </c>
      <c r="JV562" s="55" t="s">
        <v>829</v>
      </c>
    </row>
    <row r="563" spans="1:282" x14ac:dyDescent="0.25">
      <c r="A563" s="55">
        <v>562</v>
      </c>
      <c r="B563" s="12" t="s">
        <v>7067</v>
      </c>
      <c r="C563" s="155">
        <v>29</v>
      </c>
      <c r="D563" s="55" t="s">
        <v>3795</v>
      </c>
      <c r="E563" s="90" t="s">
        <v>989</v>
      </c>
      <c r="G563" s="55" t="s">
        <v>406</v>
      </c>
      <c r="H563" s="55">
        <v>2009</v>
      </c>
      <c r="I563" s="55">
        <v>2006</v>
      </c>
      <c r="J563" s="55" t="s">
        <v>282</v>
      </c>
      <c r="K563" s="55" t="s">
        <v>407</v>
      </c>
      <c r="L563" s="55" t="s">
        <v>2737</v>
      </c>
      <c r="M563" s="90">
        <f>43+20/60</f>
        <v>43.333333333333336</v>
      </c>
      <c r="N563" s="90">
        <f>-89-43/60</f>
        <v>-89.716666666666669</v>
      </c>
      <c r="O563" s="90">
        <v>250</v>
      </c>
      <c r="U563" s="55">
        <v>4</v>
      </c>
      <c r="V563" s="55">
        <v>4</v>
      </c>
      <c r="Y563" s="55" t="s">
        <v>1866</v>
      </c>
      <c r="Z563" s="55" t="s">
        <v>1356</v>
      </c>
      <c r="AA563" s="90" t="s">
        <v>1680</v>
      </c>
      <c r="AD563" s="90">
        <f>(1.4+1.46+1.41+1.37+1.39+1.47+1.42)/7</f>
        <v>1.417142857142857</v>
      </c>
      <c r="AH563" s="55" t="s">
        <v>6378</v>
      </c>
      <c r="AI563" s="168">
        <f>(6.6+6.9+7+6.8+7.1+6.7+7)/7</f>
        <v>6.8714285714285719</v>
      </c>
      <c r="AM563" s="55" t="s">
        <v>1294</v>
      </c>
      <c r="AN563" s="185" t="s">
        <v>1499</v>
      </c>
      <c r="AO563" s="185" t="s">
        <v>5150</v>
      </c>
      <c r="AQ563" s="55" t="s">
        <v>553</v>
      </c>
      <c r="AR563" s="55" t="s">
        <v>132</v>
      </c>
      <c r="AS563" s="55" t="s">
        <v>1585</v>
      </c>
      <c r="AT563" s="181" t="s">
        <v>400</v>
      </c>
      <c r="AU563" s="181" t="s">
        <v>5150</v>
      </c>
      <c r="AV563" s="185" t="s">
        <v>479</v>
      </c>
      <c r="AW563" s="55" t="s">
        <v>400</v>
      </c>
      <c r="AX563" s="185" t="s">
        <v>479</v>
      </c>
      <c r="AY563" s="55" t="s">
        <v>176</v>
      </c>
      <c r="BE563" s="226" t="s">
        <v>415</v>
      </c>
      <c r="BG563" s="55" t="s">
        <v>479</v>
      </c>
      <c r="BH563" s="226" t="s">
        <v>415</v>
      </c>
      <c r="BI563" s="55" t="s">
        <v>479</v>
      </c>
      <c r="BK563" s="55" t="s">
        <v>5976</v>
      </c>
      <c r="BM563" s="192" t="s">
        <v>410</v>
      </c>
      <c r="BN563" s="55">
        <v>4</v>
      </c>
      <c r="BO563" s="55">
        <v>4</v>
      </c>
      <c r="BQ563" s="55" t="s">
        <v>141</v>
      </c>
      <c r="CH563" s="90">
        <v>1.57</v>
      </c>
      <c r="CI563" s="90">
        <v>1.5</v>
      </c>
      <c r="CM563" s="65">
        <v>2.48</v>
      </c>
      <c r="CN563" s="65">
        <v>2.9</v>
      </c>
      <c r="CQ563" s="65" t="s">
        <v>1631</v>
      </c>
      <c r="CV563" s="65" t="s">
        <v>1630</v>
      </c>
      <c r="DA563" s="65" t="s">
        <v>4457</v>
      </c>
      <c r="DG563" s="65">
        <v>13</v>
      </c>
      <c r="DH563" s="65">
        <v>15.3</v>
      </c>
      <c r="DL563" s="65">
        <v>86</v>
      </c>
      <c r="DM563" s="65">
        <v>77</v>
      </c>
      <c r="DQ563" s="165">
        <v>7</v>
      </c>
      <c r="DR563" s="165">
        <v>7</v>
      </c>
      <c r="EK563" s="90">
        <v>267</v>
      </c>
      <c r="EL563" s="90">
        <v>286</v>
      </c>
      <c r="EO563" s="65" t="s">
        <v>412</v>
      </c>
      <c r="EU563" s="65">
        <v>1.54</v>
      </c>
      <c r="EV563" s="65">
        <v>1.6107</v>
      </c>
      <c r="EY563" s="65" t="s">
        <v>830</v>
      </c>
      <c r="GD563" s="65">
        <v>0.23400000000000001</v>
      </c>
      <c r="GE563" s="65">
        <v>0.23899999999999999</v>
      </c>
      <c r="GP563" s="292" t="s">
        <v>7494</v>
      </c>
      <c r="HS563" s="227"/>
      <c r="HW563" s="227"/>
      <c r="HX563" s="65">
        <v>878</v>
      </c>
      <c r="HY563" s="65">
        <v>962</v>
      </c>
      <c r="IB563" s="65" t="s">
        <v>411</v>
      </c>
      <c r="JR563" s="65">
        <v>99999</v>
      </c>
      <c r="JU563" s="55" t="s">
        <v>413</v>
      </c>
      <c r="JV563" s="55" t="s">
        <v>829</v>
      </c>
    </row>
    <row r="564" spans="1:282" x14ac:dyDescent="0.25">
      <c r="A564" s="55">
        <v>563</v>
      </c>
      <c r="B564" s="12" t="s">
        <v>7067</v>
      </c>
      <c r="C564" s="155">
        <v>29</v>
      </c>
      <c r="D564" s="55" t="s">
        <v>3795</v>
      </c>
      <c r="E564" s="90" t="s">
        <v>989</v>
      </c>
      <c r="G564" s="55" t="s">
        <v>406</v>
      </c>
      <c r="H564" s="55">
        <v>2009</v>
      </c>
      <c r="I564" s="55">
        <v>2006</v>
      </c>
      <c r="J564" s="55" t="s">
        <v>282</v>
      </c>
      <c r="K564" s="55" t="s">
        <v>407</v>
      </c>
      <c r="L564" s="55" t="s">
        <v>2737</v>
      </c>
      <c r="M564" s="90">
        <f>43+20/60</f>
        <v>43.333333333333336</v>
      </c>
      <c r="N564" s="90">
        <f>-89-43/60</f>
        <v>-89.716666666666669</v>
      </c>
      <c r="O564" s="90">
        <v>250</v>
      </c>
      <c r="U564" s="55">
        <v>4</v>
      </c>
      <c r="V564" s="55">
        <v>4</v>
      </c>
      <c r="Y564" s="55" t="s">
        <v>1866</v>
      </c>
      <c r="Z564" s="55" t="s">
        <v>1356</v>
      </c>
      <c r="AA564" s="90" t="s">
        <v>1680</v>
      </c>
      <c r="AD564" s="90">
        <f>(1.4+1.46+1.41+1.37+1.39+1.47+1.42)/7</f>
        <v>1.417142857142857</v>
      </c>
      <c r="AH564" s="55" t="s">
        <v>6378</v>
      </c>
      <c r="AI564" s="168">
        <f>(6.6+6.9+7+6.8+7.1+6.7+7)/7</f>
        <v>6.8714285714285719</v>
      </c>
      <c r="AM564" s="55" t="s">
        <v>1294</v>
      </c>
      <c r="AN564" s="185" t="s">
        <v>1479</v>
      </c>
      <c r="AO564" s="185" t="s">
        <v>5150</v>
      </c>
      <c r="AQ564" s="55" t="s">
        <v>553</v>
      </c>
      <c r="AR564" s="55" t="s">
        <v>408</v>
      </c>
      <c r="AS564" s="55" t="s">
        <v>1585</v>
      </c>
      <c r="AT564" s="181" t="s">
        <v>400</v>
      </c>
      <c r="AU564" s="181" t="s">
        <v>5150</v>
      </c>
      <c r="AV564" s="185" t="s">
        <v>479</v>
      </c>
      <c r="AW564" s="55" t="s">
        <v>400</v>
      </c>
      <c r="AX564" s="185" t="s">
        <v>479</v>
      </c>
      <c r="AY564" s="55" t="s">
        <v>176</v>
      </c>
      <c r="BE564" s="226" t="s">
        <v>415</v>
      </c>
      <c r="BG564" s="55" t="s">
        <v>479</v>
      </c>
      <c r="BH564" s="226" t="s">
        <v>415</v>
      </c>
      <c r="BI564" s="55" t="s">
        <v>479</v>
      </c>
      <c r="BK564" s="55" t="s">
        <v>5976</v>
      </c>
      <c r="BM564" s="192" t="s">
        <v>410</v>
      </c>
      <c r="BN564" s="55">
        <v>4</v>
      </c>
      <c r="BO564" s="55">
        <v>4</v>
      </c>
      <c r="BQ564" s="55" t="s">
        <v>141</v>
      </c>
      <c r="CH564" s="90">
        <v>1.57</v>
      </c>
      <c r="CI564" s="90">
        <v>1.54</v>
      </c>
      <c r="CM564" s="65">
        <v>2.48</v>
      </c>
      <c r="CN564" s="65">
        <v>2.63</v>
      </c>
      <c r="CQ564" s="65" t="s">
        <v>1631</v>
      </c>
      <c r="CV564" s="65" t="s">
        <v>1630</v>
      </c>
      <c r="DA564" s="65" t="s">
        <v>4457</v>
      </c>
      <c r="DG564" s="65">
        <v>13</v>
      </c>
      <c r="DH564" s="65">
        <v>13.8</v>
      </c>
      <c r="DL564" s="65">
        <v>86</v>
      </c>
      <c r="DM564" s="65">
        <v>73</v>
      </c>
      <c r="DQ564" s="165">
        <v>7</v>
      </c>
      <c r="DR564" s="165">
        <v>6.8</v>
      </c>
      <c r="EK564" s="90">
        <v>267</v>
      </c>
      <c r="EL564" s="90">
        <v>276</v>
      </c>
      <c r="EO564" s="65" t="s">
        <v>412</v>
      </c>
      <c r="EU564" s="65">
        <v>1.54</v>
      </c>
      <c r="EV564" s="65">
        <v>1.54</v>
      </c>
      <c r="EY564" s="65" t="s">
        <v>830</v>
      </c>
      <c r="GD564" s="65">
        <v>0.23400000000000001</v>
      </c>
      <c r="GE564" s="65">
        <v>0.23300000000000001</v>
      </c>
      <c r="GP564" s="292" t="s">
        <v>7494</v>
      </c>
      <c r="HS564" s="227"/>
      <c r="HW564" s="227"/>
      <c r="HX564" s="65">
        <v>878</v>
      </c>
      <c r="HY564" s="65">
        <v>944</v>
      </c>
      <c r="IB564" s="65" t="s">
        <v>411</v>
      </c>
      <c r="JR564" s="65">
        <v>99999</v>
      </c>
      <c r="JU564" s="55" t="s">
        <v>413</v>
      </c>
      <c r="JV564" s="55" t="s">
        <v>829</v>
      </c>
    </row>
    <row r="565" spans="1:282" x14ac:dyDescent="0.25">
      <c r="A565" s="55">
        <v>564</v>
      </c>
      <c r="B565" s="12" t="s">
        <v>7067</v>
      </c>
      <c r="C565" s="155">
        <v>29</v>
      </c>
      <c r="D565" s="55" t="s">
        <v>3795</v>
      </c>
      <c r="E565" s="90" t="s">
        <v>989</v>
      </c>
      <c r="G565" s="55" t="s">
        <v>406</v>
      </c>
      <c r="H565" s="55">
        <v>2009</v>
      </c>
      <c r="I565" s="55">
        <v>2006</v>
      </c>
      <c r="J565" s="55" t="s">
        <v>282</v>
      </c>
      <c r="K565" s="55" t="s">
        <v>407</v>
      </c>
      <c r="L565" s="55" t="s">
        <v>2737</v>
      </c>
      <c r="M565" s="90">
        <f>43+20/60</f>
        <v>43.333333333333336</v>
      </c>
      <c r="N565" s="90">
        <f>-89-43/60</f>
        <v>-89.716666666666669</v>
      </c>
      <c r="O565" s="90">
        <v>250</v>
      </c>
      <c r="U565" s="55">
        <v>4</v>
      </c>
      <c r="V565" s="55">
        <v>4</v>
      </c>
      <c r="Y565" s="55" t="s">
        <v>1866</v>
      </c>
      <c r="Z565" s="55" t="s">
        <v>1356</v>
      </c>
      <c r="AA565" s="90" t="s">
        <v>1680</v>
      </c>
      <c r="AD565" s="90">
        <f>(1.4+1.46+1.41+1.37+1.39+1.47+1.42)/7</f>
        <v>1.417142857142857</v>
      </c>
      <c r="AH565" s="55" t="s">
        <v>6378</v>
      </c>
      <c r="AI565" s="168">
        <f>(6.6+6.9+7+6.8+7.1+6.7+7)/7</f>
        <v>6.8714285714285719</v>
      </c>
      <c r="AM565" s="55" t="s">
        <v>1294</v>
      </c>
      <c r="AN565" s="185" t="s">
        <v>1479</v>
      </c>
      <c r="AO565" s="185" t="s">
        <v>5150</v>
      </c>
      <c r="AQ565" s="55" t="s">
        <v>553</v>
      </c>
      <c r="AR565" s="55" t="s">
        <v>132</v>
      </c>
      <c r="AS565" s="55" t="s">
        <v>1585</v>
      </c>
      <c r="AT565" s="181" t="s">
        <v>400</v>
      </c>
      <c r="AU565" s="181" t="s">
        <v>5150</v>
      </c>
      <c r="AV565" s="185" t="s">
        <v>479</v>
      </c>
      <c r="AW565" s="55" t="s">
        <v>400</v>
      </c>
      <c r="AX565" s="185" t="s">
        <v>479</v>
      </c>
      <c r="AY565" s="55" t="s">
        <v>176</v>
      </c>
      <c r="BE565" s="226" t="s">
        <v>415</v>
      </c>
      <c r="BG565" s="55" t="s">
        <v>479</v>
      </c>
      <c r="BH565" s="226" t="s">
        <v>415</v>
      </c>
      <c r="BI565" s="55" t="s">
        <v>479</v>
      </c>
      <c r="BK565" s="55" t="s">
        <v>5976</v>
      </c>
      <c r="BM565" s="192" t="s">
        <v>410</v>
      </c>
      <c r="BN565" s="55">
        <v>4</v>
      </c>
      <c r="BO565" s="55">
        <v>4</v>
      </c>
      <c r="BQ565" s="55" t="s">
        <v>141</v>
      </c>
      <c r="CH565" s="90">
        <v>1.57</v>
      </c>
      <c r="CI565" s="90">
        <v>1.55</v>
      </c>
      <c r="CM565" s="65">
        <v>2.48</v>
      </c>
      <c r="CN565" s="65">
        <v>2.83</v>
      </c>
      <c r="CQ565" s="65" t="s">
        <v>1631</v>
      </c>
      <c r="CV565" s="65" t="s">
        <v>1630</v>
      </c>
      <c r="DA565" s="65" t="s">
        <v>4457</v>
      </c>
      <c r="DG565" s="65">
        <v>13</v>
      </c>
      <c r="DH565" s="65">
        <v>16.8</v>
      </c>
      <c r="DL565" s="65">
        <v>86</v>
      </c>
      <c r="DM565" s="65">
        <v>71</v>
      </c>
      <c r="DQ565" s="165">
        <v>7</v>
      </c>
      <c r="DR565" s="165">
        <v>7.1</v>
      </c>
      <c r="EK565" s="90">
        <v>267</v>
      </c>
      <c r="EL565" s="90">
        <v>272</v>
      </c>
      <c r="EO565" s="65" t="s">
        <v>412</v>
      </c>
      <c r="EU565" s="65">
        <v>1.54</v>
      </c>
      <c r="EV565" s="65">
        <v>1.3345</v>
      </c>
      <c r="EY565" s="65" t="s">
        <v>830</v>
      </c>
      <c r="GD565" s="65">
        <v>0.23400000000000001</v>
      </c>
      <c r="GE565" s="65">
        <v>0.23</v>
      </c>
      <c r="GP565" s="292" t="s">
        <v>7494</v>
      </c>
      <c r="HS565" s="227"/>
      <c r="HW565" s="227"/>
      <c r="HX565" s="65">
        <v>878</v>
      </c>
      <c r="HY565" s="65">
        <v>984</v>
      </c>
      <c r="IB565" s="65" t="s">
        <v>411</v>
      </c>
      <c r="JR565" s="65">
        <v>99999</v>
      </c>
      <c r="JU565" s="55" t="s">
        <v>413</v>
      </c>
      <c r="JV565" s="55" t="s">
        <v>829</v>
      </c>
    </row>
    <row r="566" spans="1:282" x14ac:dyDescent="0.25">
      <c r="A566" s="55">
        <v>565</v>
      </c>
      <c r="B566" s="12" t="s">
        <v>7067</v>
      </c>
      <c r="C566" s="155">
        <v>29</v>
      </c>
      <c r="D566" s="55" t="s">
        <v>3796</v>
      </c>
      <c r="E566" s="90" t="s">
        <v>989</v>
      </c>
      <c r="G566" s="55" t="s">
        <v>406</v>
      </c>
      <c r="H566" s="55">
        <v>2009</v>
      </c>
      <c r="I566" s="55">
        <v>2006</v>
      </c>
      <c r="J566" s="55" t="s">
        <v>282</v>
      </c>
      <c r="K566" s="55" t="s">
        <v>407</v>
      </c>
      <c r="L566" s="55" t="s">
        <v>2737</v>
      </c>
      <c r="M566" s="90">
        <f>43+20/60</f>
        <v>43.333333333333336</v>
      </c>
      <c r="N566" s="90">
        <f>-89-43/60</f>
        <v>-89.716666666666669</v>
      </c>
      <c r="O566" s="90">
        <v>250</v>
      </c>
      <c r="U566" s="55">
        <v>4</v>
      </c>
      <c r="V566" s="55">
        <v>4</v>
      </c>
      <c r="Y566" s="55" t="s">
        <v>1866</v>
      </c>
      <c r="Z566" s="55" t="s">
        <v>1356</v>
      </c>
      <c r="AA566" s="90" t="s">
        <v>1680</v>
      </c>
      <c r="AD566" s="90">
        <f>(1.4+1.46+1.41+1.37+1.39+1.47+1.42)/7</f>
        <v>1.417142857142857</v>
      </c>
      <c r="AH566" s="55" t="s">
        <v>6378</v>
      </c>
      <c r="AI566" s="168">
        <f>(6.6+6.9+7+6.8+7.1+6.7+7)/7</f>
        <v>6.8714285714285719</v>
      </c>
      <c r="AM566" s="55" t="s">
        <v>1294</v>
      </c>
      <c r="AN566" s="185" t="s">
        <v>1120</v>
      </c>
      <c r="AO566" s="185" t="s">
        <v>5150</v>
      </c>
      <c r="AQ566" s="55" t="s">
        <v>131</v>
      </c>
      <c r="AR566" s="55" t="s">
        <v>132</v>
      </c>
      <c r="AS566" s="55" t="s">
        <v>1585</v>
      </c>
      <c r="AT566" s="181" t="s">
        <v>400</v>
      </c>
      <c r="AU566" s="181" t="s">
        <v>5150</v>
      </c>
      <c r="AV566" s="185" t="s">
        <v>479</v>
      </c>
      <c r="AW566" s="55" t="s">
        <v>400</v>
      </c>
      <c r="AX566" s="185" t="s">
        <v>479</v>
      </c>
      <c r="AY566" s="55" t="s">
        <v>176</v>
      </c>
      <c r="BE566" s="226" t="s">
        <v>415</v>
      </c>
      <c r="BG566" s="55" t="s">
        <v>479</v>
      </c>
      <c r="BH566" s="226" t="s">
        <v>415</v>
      </c>
      <c r="BI566" s="55" t="s">
        <v>479</v>
      </c>
      <c r="BK566" s="55" t="s">
        <v>5976</v>
      </c>
      <c r="BM566" s="192" t="s">
        <v>410</v>
      </c>
      <c r="BN566" s="55">
        <v>4</v>
      </c>
      <c r="BO566" s="55">
        <v>4</v>
      </c>
      <c r="BQ566" s="55" t="s">
        <v>141</v>
      </c>
      <c r="CH566" s="90">
        <v>1.57</v>
      </c>
      <c r="CI566" s="90">
        <v>1.55</v>
      </c>
      <c r="CM566" s="65">
        <v>2.48</v>
      </c>
      <c r="CN566" s="65">
        <v>2.38</v>
      </c>
      <c r="CQ566" s="65" t="s">
        <v>1631</v>
      </c>
      <c r="CV566" s="65" t="s">
        <v>1630</v>
      </c>
      <c r="DA566" s="65" t="s">
        <v>4457</v>
      </c>
      <c r="DG566" s="65">
        <v>13</v>
      </c>
      <c r="DH566" s="65">
        <v>14.8</v>
      </c>
      <c r="DL566" s="65">
        <v>86</v>
      </c>
      <c r="DM566" s="65">
        <v>87</v>
      </c>
      <c r="DQ566" s="165">
        <v>7</v>
      </c>
      <c r="DR566" s="165">
        <v>6.8</v>
      </c>
      <c r="EK566" s="90">
        <v>267</v>
      </c>
      <c r="EL566" s="90">
        <v>249</v>
      </c>
      <c r="EO566" s="65" t="s">
        <v>412</v>
      </c>
      <c r="EU566" s="65">
        <v>1.54</v>
      </c>
      <c r="EV566" s="65">
        <v>1.56</v>
      </c>
      <c r="EY566" s="65" t="s">
        <v>830</v>
      </c>
      <c r="GD566" s="65">
        <v>0.23400000000000001</v>
      </c>
      <c r="GE566" s="65">
        <v>0.23</v>
      </c>
      <c r="GP566" s="292" t="s">
        <v>7494</v>
      </c>
      <c r="HS566" s="227"/>
      <c r="HW566" s="227"/>
      <c r="HX566" s="65">
        <v>878</v>
      </c>
      <c r="HY566" s="65">
        <v>949</v>
      </c>
      <c r="IB566" s="65" t="s">
        <v>411</v>
      </c>
      <c r="JR566" s="65">
        <v>99999</v>
      </c>
      <c r="JU566" s="55" t="s">
        <v>413</v>
      </c>
      <c r="JV566" s="55" t="s">
        <v>829</v>
      </c>
    </row>
    <row r="567" spans="1:282" x14ac:dyDescent="0.25">
      <c r="A567" s="55">
        <v>566</v>
      </c>
      <c r="B567" s="12" t="s">
        <v>7067</v>
      </c>
      <c r="C567" s="155">
        <v>29</v>
      </c>
      <c r="D567" s="55" t="s">
        <v>3796</v>
      </c>
      <c r="E567" s="90" t="s">
        <v>989</v>
      </c>
      <c r="G567" s="55" t="s">
        <v>406</v>
      </c>
      <c r="H567" s="55">
        <v>2009</v>
      </c>
      <c r="I567" s="55">
        <v>2006</v>
      </c>
      <c r="J567" s="55" t="s">
        <v>282</v>
      </c>
      <c r="K567" s="55" t="s">
        <v>407</v>
      </c>
      <c r="L567" s="55" t="s">
        <v>2737</v>
      </c>
      <c r="M567" s="90">
        <f>43+20/60</f>
        <v>43.333333333333336</v>
      </c>
      <c r="N567" s="90">
        <f>-89-43/60</f>
        <v>-89.716666666666669</v>
      </c>
      <c r="O567" s="90">
        <v>250</v>
      </c>
      <c r="U567" s="55">
        <v>4</v>
      </c>
      <c r="V567" s="55">
        <v>4</v>
      </c>
      <c r="Y567" s="55" t="s">
        <v>1866</v>
      </c>
      <c r="Z567" s="55" t="s">
        <v>1356</v>
      </c>
      <c r="AA567" s="90" t="s">
        <v>1680</v>
      </c>
      <c r="AD567" s="90">
        <f>(1.4+1.46+1.41+1.37+1.39+1.47+1.42)/7</f>
        <v>1.417142857142857</v>
      </c>
      <c r="AH567" s="55" t="s">
        <v>6378</v>
      </c>
      <c r="AI567" s="168">
        <f>(6.6+6.9+7+6.8+7.1+6.7+7)/7</f>
        <v>6.8714285714285719</v>
      </c>
      <c r="AM567" s="55" t="s">
        <v>1294</v>
      </c>
      <c r="AN567" s="185" t="s">
        <v>1121</v>
      </c>
      <c r="AO567" s="185" t="s">
        <v>5150</v>
      </c>
      <c r="AQ567" s="55" t="s">
        <v>131</v>
      </c>
      <c r="AR567" s="55" t="s">
        <v>132</v>
      </c>
      <c r="AS567" s="55" t="s">
        <v>1585</v>
      </c>
      <c r="AT567" s="181" t="s">
        <v>400</v>
      </c>
      <c r="AU567" s="181" t="s">
        <v>5150</v>
      </c>
      <c r="AV567" s="185" t="s">
        <v>479</v>
      </c>
      <c r="AW567" s="55" t="s">
        <v>400</v>
      </c>
      <c r="AX567" s="185" t="s">
        <v>479</v>
      </c>
      <c r="AY567" s="55" t="s">
        <v>176</v>
      </c>
      <c r="BE567" s="226" t="s">
        <v>415</v>
      </c>
      <c r="BG567" s="55" t="s">
        <v>479</v>
      </c>
      <c r="BH567" s="226" t="s">
        <v>415</v>
      </c>
      <c r="BI567" s="55" t="s">
        <v>479</v>
      </c>
      <c r="BK567" s="55" t="s">
        <v>5976</v>
      </c>
      <c r="BM567" s="192" t="s">
        <v>410</v>
      </c>
      <c r="BN567" s="55">
        <v>4</v>
      </c>
      <c r="BO567" s="55">
        <v>4</v>
      </c>
      <c r="BQ567" s="55" t="s">
        <v>141</v>
      </c>
      <c r="CH567" s="90">
        <v>1.57</v>
      </c>
      <c r="CI567" s="90">
        <v>1.51</v>
      </c>
      <c r="CM567" s="65">
        <v>2.48</v>
      </c>
      <c r="CN567" s="65">
        <v>2.38</v>
      </c>
      <c r="CQ567" s="65" t="s">
        <v>1631</v>
      </c>
      <c r="CV567" s="65" t="s">
        <v>1630</v>
      </c>
      <c r="DA567" s="65" t="s">
        <v>4457</v>
      </c>
      <c r="DG567" s="65">
        <v>13</v>
      </c>
      <c r="DH567" s="65">
        <v>12.8</v>
      </c>
      <c r="DL567" s="65">
        <v>86</v>
      </c>
      <c r="DM567" s="65">
        <v>92</v>
      </c>
      <c r="DQ567" s="165">
        <v>7</v>
      </c>
      <c r="DR567" s="165">
        <v>7.2</v>
      </c>
      <c r="EK567" s="90">
        <v>267</v>
      </c>
      <c r="EL567" s="90">
        <v>238</v>
      </c>
      <c r="EO567" s="65" t="s">
        <v>412</v>
      </c>
      <c r="EU567" s="65">
        <v>1.54</v>
      </c>
      <c r="EV567" s="65">
        <v>1.56</v>
      </c>
      <c r="EY567" s="65" t="s">
        <v>830</v>
      </c>
      <c r="GD567" s="65">
        <v>0.23400000000000001</v>
      </c>
      <c r="GE567" s="65">
        <v>0.23400000000000001</v>
      </c>
      <c r="GP567" s="292" t="s">
        <v>7494</v>
      </c>
      <c r="HS567" s="227"/>
      <c r="HW567" s="227"/>
      <c r="HX567" s="65">
        <v>878</v>
      </c>
      <c r="HY567" s="65">
        <v>922</v>
      </c>
      <c r="IB567" s="65" t="s">
        <v>411</v>
      </c>
      <c r="JR567" s="65">
        <v>99999</v>
      </c>
      <c r="JU567" s="55" t="s">
        <v>413</v>
      </c>
      <c r="JV567" s="55" t="s">
        <v>829</v>
      </c>
    </row>
    <row r="568" spans="1:282" x14ac:dyDescent="0.25">
      <c r="A568" s="55">
        <v>567</v>
      </c>
      <c r="B568" s="12" t="s">
        <v>7067</v>
      </c>
      <c r="C568" s="155">
        <v>30</v>
      </c>
      <c r="D568" s="55" t="s">
        <v>3797</v>
      </c>
      <c r="E568" s="90" t="s">
        <v>416</v>
      </c>
      <c r="G568" s="55" t="s">
        <v>417</v>
      </c>
      <c r="H568" s="55">
        <v>2002</v>
      </c>
      <c r="I568" s="55">
        <v>1998</v>
      </c>
      <c r="J568" s="55" t="s">
        <v>418</v>
      </c>
      <c r="K568" s="55" t="s">
        <v>419</v>
      </c>
      <c r="L568" s="55" t="s">
        <v>2737</v>
      </c>
      <c r="M568" s="90">
        <f>38+32/60</f>
        <v>38.533333333333331</v>
      </c>
      <c r="N568" s="90">
        <f>-121-47/60</f>
        <v>-121.78333333333333</v>
      </c>
      <c r="O568" s="90">
        <v>18.399999999999999</v>
      </c>
      <c r="S568" s="90">
        <v>483</v>
      </c>
      <c r="U568" s="55">
        <v>2</v>
      </c>
      <c r="V568" s="55" t="s">
        <v>1816</v>
      </c>
      <c r="Y568" s="55">
        <v>36145</v>
      </c>
      <c r="Z568" s="55" t="s">
        <v>1362</v>
      </c>
      <c r="AA568" s="90" t="s">
        <v>1683</v>
      </c>
      <c r="AE568" s="90">
        <v>36</v>
      </c>
      <c r="AF568" s="90">
        <v>46</v>
      </c>
      <c r="AH568" s="55" t="s">
        <v>139</v>
      </c>
      <c r="AM568" s="55" t="s">
        <v>1295</v>
      </c>
      <c r="AN568" s="185" t="s">
        <v>1497</v>
      </c>
      <c r="AO568" s="185" t="s">
        <v>5150</v>
      </c>
      <c r="AQ568" s="55" t="s">
        <v>553</v>
      </c>
      <c r="AR568" s="55" t="s">
        <v>1552</v>
      </c>
      <c r="AS568" s="55" t="s">
        <v>1577</v>
      </c>
      <c r="AT568" s="181" t="s">
        <v>420</v>
      </c>
      <c r="AU568" s="181" t="s">
        <v>5150</v>
      </c>
      <c r="AV568" s="185" t="s">
        <v>479</v>
      </c>
      <c r="AW568" s="55" t="s">
        <v>420</v>
      </c>
      <c r="AX568" s="185" t="s">
        <v>479</v>
      </c>
      <c r="AY568" s="55" t="s">
        <v>176</v>
      </c>
      <c r="BE568" s="226" t="s">
        <v>347</v>
      </c>
      <c r="BF568" s="191" t="s">
        <v>479</v>
      </c>
      <c r="BG568" s="55" t="s">
        <v>479</v>
      </c>
      <c r="BH568" s="226" t="s">
        <v>421</v>
      </c>
      <c r="BI568" s="55" t="s">
        <v>479</v>
      </c>
      <c r="BJ568" s="55" t="s">
        <v>479</v>
      </c>
      <c r="BK568" s="55" t="s">
        <v>5976</v>
      </c>
      <c r="BM568" s="192" t="s">
        <v>119</v>
      </c>
      <c r="BN568" s="55">
        <v>4</v>
      </c>
      <c r="BO568" s="55">
        <v>4</v>
      </c>
      <c r="BQ568" s="55" t="s">
        <v>315</v>
      </c>
      <c r="FE568" s="65">
        <v>4.8099999999999997E-2</v>
      </c>
      <c r="FF568" s="65">
        <v>9.6299999999999997E-2</v>
      </c>
      <c r="FI568" s="65" t="s">
        <v>424</v>
      </c>
      <c r="FO568" s="65">
        <f>6.84</f>
        <v>6.84</v>
      </c>
      <c r="FP568" s="65">
        <f>1.29</f>
        <v>1.29</v>
      </c>
      <c r="FS568" s="65" t="s">
        <v>6376</v>
      </c>
      <c r="GD568" s="65">
        <v>0.21840000000000001</v>
      </c>
      <c r="GE568" s="65">
        <v>0.2094</v>
      </c>
      <c r="GH568" s="65" t="s">
        <v>423</v>
      </c>
      <c r="GP568" s="292" t="s">
        <v>7494</v>
      </c>
      <c r="HS568" s="227"/>
      <c r="HW568" s="227"/>
      <c r="JU568" s="55" t="s">
        <v>688</v>
      </c>
    </row>
    <row r="569" spans="1:282" x14ac:dyDescent="0.25">
      <c r="A569" s="55">
        <v>568</v>
      </c>
      <c r="B569" s="12" t="s">
        <v>7067</v>
      </c>
      <c r="C569" s="155">
        <v>30</v>
      </c>
      <c r="D569" s="55" t="s">
        <v>3797</v>
      </c>
      <c r="E569" s="90" t="s">
        <v>416</v>
      </c>
      <c r="G569" s="55" t="s">
        <v>417</v>
      </c>
      <c r="H569" s="55">
        <v>2002</v>
      </c>
      <c r="I569" s="55">
        <v>1998</v>
      </c>
      <c r="J569" s="55" t="s">
        <v>418</v>
      </c>
      <c r="K569" s="55" t="s">
        <v>419</v>
      </c>
      <c r="L569" s="55" t="s">
        <v>2737</v>
      </c>
      <c r="M569" s="90">
        <f>38+32/60</f>
        <v>38.533333333333331</v>
      </c>
      <c r="N569" s="90">
        <f>-121-47/60</f>
        <v>-121.78333333333333</v>
      </c>
      <c r="O569" s="90">
        <v>18.399999999999999</v>
      </c>
      <c r="S569" s="90">
        <v>483</v>
      </c>
      <c r="U569" s="55">
        <v>2</v>
      </c>
      <c r="V569" s="55" t="s">
        <v>1816</v>
      </c>
      <c r="Y569" s="55">
        <v>36145</v>
      </c>
      <c r="Z569" s="55" t="s">
        <v>1362</v>
      </c>
      <c r="AA569" s="90" t="s">
        <v>1683</v>
      </c>
      <c r="AE569" s="90">
        <v>36</v>
      </c>
      <c r="AF569" s="90">
        <v>46</v>
      </c>
      <c r="AH569" s="55" t="s">
        <v>139</v>
      </c>
      <c r="AM569" s="55" t="s">
        <v>1295</v>
      </c>
      <c r="AN569" s="185" t="s">
        <v>1497</v>
      </c>
      <c r="AO569" s="185" t="s">
        <v>5150</v>
      </c>
      <c r="AQ569" s="55" t="s">
        <v>553</v>
      </c>
      <c r="AR569" s="55" t="s">
        <v>1552</v>
      </c>
      <c r="AS569" s="55" t="s">
        <v>1577</v>
      </c>
      <c r="AT569" s="181" t="s">
        <v>420</v>
      </c>
      <c r="AU569" s="181" t="s">
        <v>5150</v>
      </c>
      <c r="AV569" s="185" t="s">
        <v>479</v>
      </c>
      <c r="AW569" s="55" t="s">
        <v>420</v>
      </c>
      <c r="AX569" s="185" t="s">
        <v>479</v>
      </c>
      <c r="AY569" s="55" t="s">
        <v>176</v>
      </c>
      <c r="BE569" s="226" t="s">
        <v>347</v>
      </c>
      <c r="BF569" s="191" t="s">
        <v>479</v>
      </c>
      <c r="BG569" s="55" t="s">
        <v>479</v>
      </c>
      <c r="BH569" s="226" t="s">
        <v>422</v>
      </c>
      <c r="BI569" s="55" t="s">
        <v>479</v>
      </c>
      <c r="BJ569" s="55" t="s">
        <v>479</v>
      </c>
      <c r="BK569" s="55" t="s">
        <v>5976</v>
      </c>
      <c r="BM569" s="192" t="s">
        <v>119</v>
      </c>
      <c r="BN569" s="55">
        <v>4</v>
      </c>
      <c r="BO569" s="55">
        <v>4</v>
      </c>
      <c r="BQ569" s="55" t="s">
        <v>315</v>
      </c>
      <c r="FE569" s="65">
        <v>4.8099999999999997E-2</v>
      </c>
      <c r="FF569" s="65">
        <v>0.1206</v>
      </c>
      <c r="FI569" s="65" t="s">
        <v>424</v>
      </c>
      <c r="FO569" s="65">
        <f>6.84</f>
        <v>6.84</v>
      </c>
      <c r="FP569" s="65">
        <f>3.42</f>
        <v>3.42</v>
      </c>
      <c r="FS569" s="65" t="s">
        <v>6376</v>
      </c>
      <c r="GD569" s="65">
        <v>0.21840000000000001</v>
      </c>
      <c r="GE569" s="65">
        <v>0.1958</v>
      </c>
      <c r="GH569" s="65" t="s">
        <v>423</v>
      </c>
      <c r="GP569" s="292" t="s">
        <v>7494</v>
      </c>
      <c r="HS569" s="227"/>
      <c r="HW569" s="227"/>
      <c r="JU569" s="55" t="s">
        <v>688</v>
      </c>
    </row>
    <row r="570" spans="1:282" x14ac:dyDescent="0.25">
      <c r="A570" s="55">
        <v>569</v>
      </c>
      <c r="B570" s="12" t="s">
        <v>7067</v>
      </c>
      <c r="C570" s="155">
        <v>30</v>
      </c>
      <c r="D570" s="55" t="s">
        <v>3797</v>
      </c>
      <c r="E570" s="90" t="s">
        <v>416</v>
      </c>
      <c r="G570" s="55" t="s">
        <v>417</v>
      </c>
      <c r="H570" s="55">
        <v>2002</v>
      </c>
      <c r="I570" s="55">
        <v>1999</v>
      </c>
      <c r="J570" s="55" t="s">
        <v>418</v>
      </c>
      <c r="K570" s="55" t="s">
        <v>419</v>
      </c>
      <c r="L570" s="55" t="s">
        <v>2737</v>
      </c>
      <c r="M570" s="90">
        <f>38+32/60</f>
        <v>38.533333333333331</v>
      </c>
      <c r="N570" s="90">
        <f>-121-47/60</f>
        <v>-121.78333333333333</v>
      </c>
      <c r="O570" s="90">
        <v>18.399999999999999</v>
      </c>
      <c r="S570" s="90">
        <v>483</v>
      </c>
      <c r="U570" s="55">
        <v>3</v>
      </c>
      <c r="V570" s="55" t="s">
        <v>1816</v>
      </c>
      <c r="Y570" s="55">
        <v>36170</v>
      </c>
      <c r="Z570" s="55" t="s">
        <v>1362</v>
      </c>
      <c r="AA570" s="90" t="s">
        <v>1683</v>
      </c>
      <c r="AE570" s="90">
        <v>36</v>
      </c>
      <c r="AF570" s="90">
        <v>46</v>
      </c>
      <c r="AH570" s="55" t="s">
        <v>139</v>
      </c>
      <c r="AM570" s="55" t="s">
        <v>1295</v>
      </c>
      <c r="AN570" s="185" t="s">
        <v>1497</v>
      </c>
      <c r="AO570" s="185" t="s">
        <v>5150</v>
      </c>
      <c r="AQ570" s="55" t="s">
        <v>553</v>
      </c>
      <c r="AR570" s="55" t="s">
        <v>1552</v>
      </c>
      <c r="AS570" s="55" t="s">
        <v>1577</v>
      </c>
      <c r="AT570" s="181" t="s">
        <v>420</v>
      </c>
      <c r="AU570" s="181" t="s">
        <v>5150</v>
      </c>
      <c r="AV570" s="185" t="s">
        <v>479</v>
      </c>
      <c r="AW570" s="55" t="s">
        <v>420</v>
      </c>
      <c r="AX570" s="185" t="s">
        <v>479</v>
      </c>
      <c r="AY570" s="55" t="s">
        <v>176</v>
      </c>
      <c r="BE570" s="226" t="s">
        <v>347</v>
      </c>
      <c r="BF570" s="191" t="s">
        <v>479</v>
      </c>
      <c r="BG570" s="55" t="s">
        <v>479</v>
      </c>
      <c r="BH570" s="226" t="s">
        <v>421</v>
      </c>
      <c r="BI570" s="55" t="s">
        <v>479</v>
      </c>
      <c r="BJ570" s="55" t="s">
        <v>479</v>
      </c>
      <c r="BK570" s="55" t="s">
        <v>5976</v>
      </c>
      <c r="BM570" s="192" t="s">
        <v>119</v>
      </c>
      <c r="BN570" s="55">
        <v>4</v>
      </c>
      <c r="BO570" s="55">
        <v>4</v>
      </c>
      <c r="BQ570" s="55" t="s">
        <v>315</v>
      </c>
      <c r="FE570" s="65">
        <v>2.4E-2</v>
      </c>
      <c r="FF570" s="65">
        <v>9.6000000000000002E-2</v>
      </c>
      <c r="FI570" s="65" t="s">
        <v>424</v>
      </c>
      <c r="FO570" s="65">
        <f>5.95</f>
        <v>5.95</v>
      </c>
      <c r="FP570" s="65">
        <f>0.97</f>
        <v>0.97</v>
      </c>
      <c r="FS570" s="65" t="s">
        <v>6376</v>
      </c>
      <c r="GD570" s="65">
        <v>0.1966</v>
      </c>
      <c r="GE570" s="65">
        <v>0.20660000000000001</v>
      </c>
      <c r="GH570" s="65" t="s">
        <v>423</v>
      </c>
      <c r="GP570" s="292" t="s">
        <v>7494</v>
      </c>
      <c r="HS570" s="227"/>
      <c r="HW570" s="227"/>
      <c r="JU570" s="55" t="s">
        <v>688</v>
      </c>
    </row>
    <row r="571" spans="1:282" x14ac:dyDescent="0.25">
      <c r="A571" s="55">
        <v>570</v>
      </c>
      <c r="B571" s="12" t="s">
        <v>7067</v>
      </c>
      <c r="C571" s="155">
        <v>30</v>
      </c>
      <c r="D571" s="55" t="s">
        <v>3797</v>
      </c>
      <c r="E571" s="90" t="s">
        <v>416</v>
      </c>
      <c r="G571" s="55" t="s">
        <v>417</v>
      </c>
      <c r="H571" s="55">
        <v>2002</v>
      </c>
      <c r="I571" s="55">
        <v>1999</v>
      </c>
      <c r="J571" s="55" t="s">
        <v>418</v>
      </c>
      <c r="K571" s="55" t="s">
        <v>419</v>
      </c>
      <c r="L571" s="55" t="s">
        <v>2737</v>
      </c>
      <c r="M571" s="90">
        <f>38+32/60</f>
        <v>38.533333333333331</v>
      </c>
      <c r="N571" s="90">
        <f>-121-47/60</f>
        <v>-121.78333333333333</v>
      </c>
      <c r="O571" s="90">
        <v>18.399999999999999</v>
      </c>
      <c r="S571" s="90">
        <v>483</v>
      </c>
      <c r="U571" s="55">
        <v>3</v>
      </c>
      <c r="V571" s="55" t="s">
        <v>1816</v>
      </c>
      <c r="Y571" s="55">
        <v>36170</v>
      </c>
      <c r="Z571" s="55" t="s">
        <v>1362</v>
      </c>
      <c r="AA571" s="90" t="s">
        <v>1683</v>
      </c>
      <c r="AE571" s="90">
        <v>36</v>
      </c>
      <c r="AF571" s="90">
        <v>46</v>
      </c>
      <c r="AH571" s="55" t="s">
        <v>139</v>
      </c>
      <c r="AM571" s="55" t="s">
        <v>1295</v>
      </c>
      <c r="AN571" s="185" t="s">
        <v>1497</v>
      </c>
      <c r="AO571" s="185" t="s">
        <v>5150</v>
      </c>
      <c r="AQ571" s="55" t="s">
        <v>553</v>
      </c>
      <c r="AR571" s="55" t="s">
        <v>1552</v>
      </c>
      <c r="AS571" s="55" t="s">
        <v>1577</v>
      </c>
      <c r="AT571" s="181" t="s">
        <v>420</v>
      </c>
      <c r="AU571" s="181" t="s">
        <v>5150</v>
      </c>
      <c r="AV571" s="185" t="s">
        <v>479</v>
      </c>
      <c r="AW571" s="55" t="s">
        <v>420</v>
      </c>
      <c r="AX571" s="185" t="s">
        <v>479</v>
      </c>
      <c r="AY571" s="55" t="s">
        <v>176</v>
      </c>
      <c r="BE571" s="226" t="s">
        <v>347</v>
      </c>
      <c r="BF571" s="191" t="s">
        <v>479</v>
      </c>
      <c r="BG571" s="55" t="s">
        <v>479</v>
      </c>
      <c r="BH571" s="226" t="s">
        <v>422</v>
      </c>
      <c r="BI571" s="55" t="s">
        <v>479</v>
      </c>
      <c r="BJ571" s="55" t="s">
        <v>479</v>
      </c>
      <c r="BK571" s="55" t="s">
        <v>5976</v>
      </c>
      <c r="BM571" s="192" t="s">
        <v>119</v>
      </c>
      <c r="BN571" s="55">
        <v>4</v>
      </c>
      <c r="BO571" s="55">
        <v>4</v>
      </c>
      <c r="BQ571" s="55" t="s">
        <v>315</v>
      </c>
      <c r="FE571" s="65">
        <v>2.4E-2</v>
      </c>
      <c r="FF571" s="65">
        <v>9.6000000000000002E-2</v>
      </c>
      <c r="FI571" s="65" t="s">
        <v>424</v>
      </c>
      <c r="FO571" s="65">
        <f>5.95</f>
        <v>5.95</v>
      </c>
      <c r="FP571" s="65">
        <f>1.46</f>
        <v>1.46</v>
      </c>
      <c r="FS571" s="65" t="s">
        <v>6376</v>
      </c>
      <c r="GD571" s="65">
        <v>0.1966</v>
      </c>
      <c r="GE571" s="65">
        <v>0.1885</v>
      </c>
      <c r="GH571" s="65" t="s">
        <v>423</v>
      </c>
      <c r="GP571" s="292" t="s">
        <v>7494</v>
      </c>
      <c r="HS571" s="227"/>
      <c r="HW571" s="227"/>
      <c r="JU571" s="55" t="s">
        <v>688</v>
      </c>
    </row>
    <row r="572" spans="1:282" x14ac:dyDescent="0.25">
      <c r="A572" s="55">
        <v>571</v>
      </c>
      <c r="B572" s="12" t="s">
        <v>7067</v>
      </c>
      <c r="C572" s="155">
        <v>30</v>
      </c>
      <c r="D572" s="55" t="s">
        <v>3797</v>
      </c>
      <c r="E572" s="90" t="s">
        <v>416</v>
      </c>
      <c r="G572" s="55" t="s">
        <v>417</v>
      </c>
      <c r="H572" s="55">
        <v>2002</v>
      </c>
      <c r="I572" s="55">
        <v>1999</v>
      </c>
      <c r="J572" s="55" t="s">
        <v>418</v>
      </c>
      <c r="K572" s="55" t="s">
        <v>419</v>
      </c>
      <c r="L572" s="55" t="s">
        <v>2737</v>
      </c>
      <c r="M572" s="90">
        <f>38+32/60</f>
        <v>38.533333333333331</v>
      </c>
      <c r="N572" s="90">
        <f>-121-47/60</f>
        <v>-121.78333333333333</v>
      </c>
      <c r="O572" s="90">
        <v>18.399999999999999</v>
      </c>
      <c r="S572" s="90">
        <v>483</v>
      </c>
      <c r="U572" s="55">
        <v>3</v>
      </c>
      <c r="V572" s="55" t="s">
        <v>1816</v>
      </c>
      <c r="Y572" s="55">
        <v>36187</v>
      </c>
      <c r="Z572" s="55" t="s">
        <v>1362</v>
      </c>
      <c r="AA572" s="90" t="s">
        <v>1683</v>
      </c>
      <c r="AE572" s="90">
        <v>36</v>
      </c>
      <c r="AF572" s="90">
        <v>46</v>
      </c>
      <c r="AH572" s="55" t="s">
        <v>139</v>
      </c>
      <c r="AM572" s="55" t="s">
        <v>1295</v>
      </c>
      <c r="AN572" s="185" t="s">
        <v>1497</v>
      </c>
      <c r="AO572" s="185" t="s">
        <v>5150</v>
      </c>
      <c r="AQ572" s="55" t="s">
        <v>553</v>
      </c>
      <c r="AR572" s="55" t="s">
        <v>1552</v>
      </c>
      <c r="AS572" s="55" t="s">
        <v>1577</v>
      </c>
      <c r="AT572" s="181" t="s">
        <v>420</v>
      </c>
      <c r="AU572" s="181" t="s">
        <v>5150</v>
      </c>
      <c r="AV572" s="185" t="s">
        <v>479</v>
      </c>
      <c r="AW572" s="55" t="s">
        <v>420</v>
      </c>
      <c r="AX572" s="185" t="s">
        <v>479</v>
      </c>
      <c r="AY572" s="55" t="s">
        <v>176</v>
      </c>
      <c r="BE572" s="226" t="s">
        <v>347</v>
      </c>
      <c r="BF572" s="191" t="s">
        <v>479</v>
      </c>
      <c r="BG572" s="55" t="s">
        <v>479</v>
      </c>
      <c r="BH572" s="226" t="s">
        <v>421</v>
      </c>
      <c r="BI572" s="55" t="s">
        <v>479</v>
      </c>
      <c r="BJ572" s="55" t="s">
        <v>479</v>
      </c>
      <c r="BK572" s="55" t="s">
        <v>5976</v>
      </c>
      <c r="BM572" s="192" t="s">
        <v>119</v>
      </c>
      <c r="BN572" s="55">
        <v>4</v>
      </c>
      <c r="BO572" s="55">
        <v>4</v>
      </c>
      <c r="BQ572" s="55" t="s">
        <v>315</v>
      </c>
      <c r="FE572" s="65">
        <v>1.24E-2</v>
      </c>
      <c r="FF572" s="65">
        <v>9.6500000000000002E-2</v>
      </c>
      <c r="FI572" s="65" t="s">
        <v>424</v>
      </c>
      <c r="FO572" s="65">
        <v>0</v>
      </c>
      <c r="FP572" s="65">
        <f>0.16</f>
        <v>0.16</v>
      </c>
      <c r="FS572" s="65" t="s">
        <v>6376</v>
      </c>
      <c r="GD572" s="65">
        <v>0.22539999999999999</v>
      </c>
      <c r="GE572" s="65">
        <v>0.2137</v>
      </c>
      <c r="GH572" s="65" t="s">
        <v>423</v>
      </c>
      <c r="GP572" s="292" t="s">
        <v>7494</v>
      </c>
      <c r="HS572" s="227"/>
      <c r="HW572" s="227"/>
      <c r="JU572" s="55" t="s">
        <v>688</v>
      </c>
    </row>
    <row r="573" spans="1:282" x14ac:dyDescent="0.25">
      <c r="A573" s="55">
        <v>572</v>
      </c>
      <c r="B573" s="12" t="s">
        <v>7067</v>
      </c>
      <c r="C573" s="155">
        <v>30</v>
      </c>
      <c r="D573" s="55" t="s">
        <v>3797</v>
      </c>
      <c r="E573" s="90" t="s">
        <v>416</v>
      </c>
      <c r="G573" s="55" t="s">
        <v>417</v>
      </c>
      <c r="H573" s="55">
        <v>2002</v>
      </c>
      <c r="I573" s="55">
        <v>1999</v>
      </c>
      <c r="J573" s="55" t="s">
        <v>418</v>
      </c>
      <c r="K573" s="55" t="s">
        <v>419</v>
      </c>
      <c r="L573" s="55" t="s">
        <v>2737</v>
      </c>
      <c r="M573" s="90">
        <f>38+32/60</f>
        <v>38.533333333333331</v>
      </c>
      <c r="N573" s="90">
        <f>-121-47/60</f>
        <v>-121.78333333333333</v>
      </c>
      <c r="O573" s="90">
        <v>18.399999999999999</v>
      </c>
      <c r="S573" s="90">
        <v>483</v>
      </c>
      <c r="U573" s="55">
        <v>3</v>
      </c>
      <c r="V573" s="55" t="s">
        <v>1816</v>
      </c>
      <c r="Y573" s="55">
        <v>36187</v>
      </c>
      <c r="Z573" s="55" t="s">
        <v>1362</v>
      </c>
      <c r="AA573" s="90" t="s">
        <v>1683</v>
      </c>
      <c r="AE573" s="90">
        <v>36</v>
      </c>
      <c r="AF573" s="90">
        <v>46</v>
      </c>
      <c r="AH573" s="55" t="s">
        <v>139</v>
      </c>
      <c r="AM573" s="55" t="s">
        <v>1295</v>
      </c>
      <c r="AN573" s="185" t="s">
        <v>1497</v>
      </c>
      <c r="AO573" s="185" t="s">
        <v>5150</v>
      </c>
      <c r="AQ573" s="55" t="s">
        <v>553</v>
      </c>
      <c r="AR573" s="55" t="s">
        <v>1552</v>
      </c>
      <c r="AS573" s="55" t="s">
        <v>1577</v>
      </c>
      <c r="AT573" s="181" t="s">
        <v>420</v>
      </c>
      <c r="AU573" s="181" t="s">
        <v>5150</v>
      </c>
      <c r="AV573" s="185" t="s">
        <v>479</v>
      </c>
      <c r="AW573" s="55" t="s">
        <v>420</v>
      </c>
      <c r="AX573" s="185" t="s">
        <v>479</v>
      </c>
      <c r="AY573" s="55" t="s">
        <v>176</v>
      </c>
      <c r="BE573" s="226" t="s">
        <v>347</v>
      </c>
      <c r="BF573" s="191" t="s">
        <v>479</v>
      </c>
      <c r="BG573" s="55" t="s">
        <v>479</v>
      </c>
      <c r="BH573" s="226" t="s">
        <v>422</v>
      </c>
      <c r="BI573" s="55" t="s">
        <v>479</v>
      </c>
      <c r="BJ573" s="55" t="s">
        <v>479</v>
      </c>
      <c r="BK573" s="55" t="s">
        <v>5976</v>
      </c>
      <c r="BM573" s="192" t="s">
        <v>119</v>
      </c>
      <c r="BN573" s="55">
        <v>4</v>
      </c>
      <c r="BO573" s="55">
        <v>4</v>
      </c>
      <c r="BQ573" s="55" t="s">
        <v>315</v>
      </c>
      <c r="FE573" s="65">
        <v>1.24E-2</v>
      </c>
      <c r="FF573" s="65">
        <v>7.8600000000000003E-2</v>
      </c>
      <c r="FI573" s="65" t="s">
        <v>424</v>
      </c>
      <c r="FO573" s="65">
        <v>0</v>
      </c>
      <c r="FP573" s="65">
        <f>0.02</f>
        <v>0.02</v>
      </c>
      <c r="FS573" s="65" t="s">
        <v>6376</v>
      </c>
      <c r="GD573" s="65">
        <v>0.22539999999999999</v>
      </c>
      <c r="GE573" s="65">
        <v>0.19919999999999999</v>
      </c>
      <c r="GH573" s="65" t="s">
        <v>423</v>
      </c>
      <c r="GP573" s="292" t="s">
        <v>7494</v>
      </c>
      <c r="HS573" s="227"/>
      <c r="HW573" s="227"/>
      <c r="JU573" s="55" t="s">
        <v>688</v>
      </c>
    </row>
    <row r="574" spans="1:282" x14ac:dyDescent="0.25">
      <c r="A574" s="55">
        <v>573</v>
      </c>
      <c r="B574" s="12" t="s">
        <v>7067</v>
      </c>
      <c r="C574" s="155">
        <v>30</v>
      </c>
      <c r="D574" s="55" t="s">
        <v>3797</v>
      </c>
      <c r="E574" s="90" t="s">
        <v>416</v>
      </c>
      <c r="G574" s="55" t="s">
        <v>417</v>
      </c>
      <c r="H574" s="55">
        <v>2002</v>
      </c>
      <c r="I574" s="55">
        <v>1999</v>
      </c>
      <c r="J574" s="55" t="s">
        <v>418</v>
      </c>
      <c r="K574" s="55" t="s">
        <v>419</v>
      </c>
      <c r="L574" s="55" t="s">
        <v>2737</v>
      </c>
      <c r="M574" s="90">
        <f>38+32/60</f>
        <v>38.533333333333331</v>
      </c>
      <c r="N574" s="90">
        <f>-121-47/60</f>
        <v>-121.78333333333333</v>
      </c>
      <c r="O574" s="90">
        <v>18.399999999999999</v>
      </c>
      <c r="S574" s="90">
        <v>483</v>
      </c>
      <c r="U574" s="55">
        <v>3</v>
      </c>
      <c r="V574" s="55" t="s">
        <v>1816</v>
      </c>
      <c r="Y574" s="55">
        <v>36198</v>
      </c>
      <c r="Z574" s="55" t="s">
        <v>1362</v>
      </c>
      <c r="AA574" s="90" t="s">
        <v>1683</v>
      </c>
      <c r="AE574" s="90">
        <v>36</v>
      </c>
      <c r="AF574" s="90">
        <v>46</v>
      </c>
      <c r="AH574" s="55" t="s">
        <v>139</v>
      </c>
      <c r="AM574" s="55" t="s">
        <v>1295</v>
      </c>
      <c r="AN574" s="185" t="s">
        <v>1497</v>
      </c>
      <c r="AO574" s="185" t="s">
        <v>5150</v>
      </c>
      <c r="AQ574" s="55" t="s">
        <v>553</v>
      </c>
      <c r="AR574" s="55" t="s">
        <v>1552</v>
      </c>
      <c r="AS574" s="55" t="s">
        <v>1577</v>
      </c>
      <c r="AT574" s="181" t="s">
        <v>420</v>
      </c>
      <c r="AU574" s="181" t="s">
        <v>5150</v>
      </c>
      <c r="AV574" s="185" t="s">
        <v>479</v>
      </c>
      <c r="AW574" s="55" t="s">
        <v>420</v>
      </c>
      <c r="AX574" s="185" t="s">
        <v>479</v>
      </c>
      <c r="AY574" s="55" t="s">
        <v>176</v>
      </c>
      <c r="BE574" s="226" t="s">
        <v>347</v>
      </c>
      <c r="BF574" s="191" t="s">
        <v>479</v>
      </c>
      <c r="BG574" s="55" t="s">
        <v>479</v>
      </c>
      <c r="BH574" s="226" t="s">
        <v>421</v>
      </c>
      <c r="BI574" s="55" t="s">
        <v>479</v>
      </c>
      <c r="BJ574" s="55" t="s">
        <v>479</v>
      </c>
      <c r="BK574" s="55" t="s">
        <v>5976</v>
      </c>
      <c r="BM574" s="192" t="s">
        <v>119</v>
      </c>
      <c r="BN574" s="55">
        <v>4</v>
      </c>
      <c r="BO574" s="55">
        <v>4</v>
      </c>
      <c r="BQ574" s="55" t="s">
        <v>315</v>
      </c>
      <c r="FE574" s="65">
        <v>1.2999999999999999E-2</v>
      </c>
      <c r="FF574" s="65">
        <v>6.9000000000000006E-2</v>
      </c>
      <c r="FI574" s="65" t="s">
        <v>424</v>
      </c>
      <c r="FO574" s="65">
        <f>2.22</f>
        <v>2.2200000000000002</v>
      </c>
      <c r="FP574" s="65">
        <f>1.68</f>
        <v>1.68</v>
      </c>
      <c r="FS574" s="65" t="s">
        <v>6376</v>
      </c>
      <c r="GD574" s="65">
        <v>0.26869999999999999</v>
      </c>
      <c r="GE574" s="65">
        <v>0.28589999999999999</v>
      </c>
      <c r="GH574" s="65" t="s">
        <v>423</v>
      </c>
      <c r="GP574" s="292" t="s">
        <v>7494</v>
      </c>
      <c r="HS574" s="227"/>
      <c r="HW574" s="227"/>
      <c r="JU574" s="55" t="s">
        <v>688</v>
      </c>
    </row>
    <row r="575" spans="1:282" x14ac:dyDescent="0.25">
      <c r="A575" s="55">
        <v>574</v>
      </c>
      <c r="B575" s="12" t="s">
        <v>7067</v>
      </c>
      <c r="C575" s="155">
        <v>30</v>
      </c>
      <c r="D575" s="55" t="s">
        <v>3797</v>
      </c>
      <c r="E575" s="90" t="s">
        <v>416</v>
      </c>
      <c r="G575" s="55" t="s">
        <v>417</v>
      </c>
      <c r="H575" s="55">
        <v>2002</v>
      </c>
      <c r="I575" s="55">
        <v>1999</v>
      </c>
      <c r="J575" s="55" t="s">
        <v>418</v>
      </c>
      <c r="K575" s="55" t="s">
        <v>419</v>
      </c>
      <c r="L575" s="55" t="s">
        <v>2737</v>
      </c>
      <c r="M575" s="90">
        <f>38+32/60</f>
        <v>38.533333333333331</v>
      </c>
      <c r="N575" s="90">
        <f>-121-47/60</f>
        <v>-121.78333333333333</v>
      </c>
      <c r="O575" s="90">
        <v>18.399999999999999</v>
      </c>
      <c r="S575" s="90">
        <v>483</v>
      </c>
      <c r="U575" s="55">
        <v>3</v>
      </c>
      <c r="V575" s="55" t="s">
        <v>1816</v>
      </c>
      <c r="Y575" s="55">
        <v>36198</v>
      </c>
      <c r="Z575" s="55" t="s">
        <v>1362</v>
      </c>
      <c r="AA575" s="90" t="s">
        <v>1683</v>
      </c>
      <c r="AE575" s="90">
        <v>36</v>
      </c>
      <c r="AF575" s="90">
        <v>46</v>
      </c>
      <c r="AH575" s="55" t="s">
        <v>139</v>
      </c>
      <c r="AM575" s="55" t="s">
        <v>1295</v>
      </c>
      <c r="AN575" s="185" t="s">
        <v>1497</v>
      </c>
      <c r="AO575" s="185" t="s">
        <v>5150</v>
      </c>
      <c r="AQ575" s="55" t="s">
        <v>553</v>
      </c>
      <c r="AR575" s="55" t="s">
        <v>1552</v>
      </c>
      <c r="AS575" s="55" t="s">
        <v>1577</v>
      </c>
      <c r="AT575" s="181" t="s">
        <v>420</v>
      </c>
      <c r="AU575" s="181" t="s">
        <v>5150</v>
      </c>
      <c r="AV575" s="185" t="s">
        <v>479</v>
      </c>
      <c r="AW575" s="55" t="s">
        <v>420</v>
      </c>
      <c r="AX575" s="185" t="s">
        <v>479</v>
      </c>
      <c r="AY575" s="55" t="s">
        <v>176</v>
      </c>
      <c r="BE575" s="226" t="s">
        <v>347</v>
      </c>
      <c r="BF575" s="191" t="s">
        <v>479</v>
      </c>
      <c r="BG575" s="55" t="s">
        <v>479</v>
      </c>
      <c r="BH575" s="226" t="s">
        <v>422</v>
      </c>
      <c r="BI575" s="55" t="s">
        <v>479</v>
      </c>
      <c r="BJ575" s="55" t="s">
        <v>479</v>
      </c>
      <c r="BK575" s="55" t="s">
        <v>5976</v>
      </c>
      <c r="BM575" s="192" t="s">
        <v>119</v>
      </c>
      <c r="BN575" s="55">
        <v>4</v>
      </c>
      <c r="BO575" s="55">
        <v>4</v>
      </c>
      <c r="BQ575" s="55" t="s">
        <v>315</v>
      </c>
      <c r="FE575" s="65">
        <v>1.2999999999999999E-2</v>
      </c>
      <c r="FF575" s="65">
        <v>7.8E-2</v>
      </c>
      <c r="FI575" s="65" t="s">
        <v>424</v>
      </c>
      <c r="FO575" s="65">
        <f>2.22</f>
        <v>2.2200000000000002</v>
      </c>
      <c r="FP575" s="65">
        <f>1.39</f>
        <v>1.39</v>
      </c>
      <c r="FS575" s="65" t="s">
        <v>6376</v>
      </c>
      <c r="GD575" s="65">
        <v>0.26869999999999999</v>
      </c>
      <c r="GE575" s="65">
        <v>0.28589999999999999</v>
      </c>
      <c r="GH575" s="65" t="s">
        <v>423</v>
      </c>
      <c r="GP575" s="292" t="s">
        <v>7494</v>
      </c>
      <c r="HS575" s="227"/>
      <c r="HW575" s="227"/>
      <c r="JU575" s="55" t="s">
        <v>688</v>
      </c>
    </row>
    <row r="576" spans="1:282" x14ac:dyDescent="0.25">
      <c r="A576" s="55">
        <v>575</v>
      </c>
      <c r="B576" s="12" t="s">
        <v>7067</v>
      </c>
      <c r="C576" s="155">
        <v>30</v>
      </c>
      <c r="D576" s="55" t="s">
        <v>3797</v>
      </c>
      <c r="E576" s="90" t="s">
        <v>416</v>
      </c>
      <c r="G576" s="55" t="s">
        <v>417</v>
      </c>
      <c r="H576" s="55">
        <v>2002</v>
      </c>
      <c r="I576" s="55">
        <v>1999</v>
      </c>
      <c r="J576" s="55" t="s">
        <v>418</v>
      </c>
      <c r="K576" s="55" t="s">
        <v>419</v>
      </c>
      <c r="L576" s="55" t="s">
        <v>2737</v>
      </c>
      <c r="M576" s="90">
        <f>38+32/60</f>
        <v>38.533333333333331</v>
      </c>
      <c r="N576" s="90">
        <f>-121-47/60</f>
        <v>-121.78333333333333</v>
      </c>
      <c r="O576" s="90">
        <v>18.399999999999999</v>
      </c>
      <c r="S576" s="90">
        <v>483</v>
      </c>
      <c r="U576" s="55">
        <v>3</v>
      </c>
      <c r="V576" s="55" t="s">
        <v>1816</v>
      </c>
      <c r="Y576" s="55">
        <v>36232</v>
      </c>
      <c r="Z576" s="55" t="s">
        <v>1362</v>
      </c>
      <c r="AA576" s="90" t="s">
        <v>1683</v>
      </c>
      <c r="AE576" s="90">
        <v>36</v>
      </c>
      <c r="AF576" s="90">
        <v>46</v>
      </c>
      <c r="AH576" s="55" t="s">
        <v>139</v>
      </c>
      <c r="AM576" s="55" t="s">
        <v>1295</v>
      </c>
      <c r="AN576" s="185" t="s">
        <v>1497</v>
      </c>
      <c r="AO576" s="185" t="s">
        <v>5150</v>
      </c>
      <c r="AQ576" s="55" t="s">
        <v>553</v>
      </c>
      <c r="AR576" s="55" t="s">
        <v>1552</v>
      </c>
      <c r="AS576" s="55" t="s">
        <v>1577</v>
      </c>
      <c r="AT576" s="181" t="s">
        <v>420</v>
      </c>
      <c r="AU576" s="181" t="s">
        <v>5150</v>
      </c>
      <c r="AV576" s="185" t="s">
        <v>479</v>
      </c>
      <c r="AW576" s="55" t="s">
        <v>420</v>
      </c>
      <c r="AX576" s="185" t="s">
        <v>479</v>
      </c>
      <c r="AY576" s="55" t="s">
        <v>176</v>
      </c>
      <c r="BE576" s="226" t="s">
        <v>347</v>
      </c>
      <c r="BF576" s="191" t="s">
        <v>479</v>
      </c>
      <c r="BG576" s="55" t="s">
        <v>479</v>
      </c>
      <c r="BH576" s="226" t="s">
        <v>421</v>
      </c>
      <c r="BI576" s="55" t="s">
        <v>479</v>
      </c>
      <c r="BJ576" s="55" t="s">
        <v>479</v>
      </c>
      <c r="BK576" s="55" t="s">
        <v>5976</v>
      </c>
      <c r="BM576" s="192" t="s">
        <v>119</v>
      </c>
      <c r="BN576" s="55">
        <v>4</v>
      </c>
      <c r="BO576" s="55">
        <v>4</v>
      </c>
      <c r="BQ576" s="55" t="s">
        <v>315</v>
      </c>
      <c r="FE576" s="65">
        <v>4.7999999999999996E-3</v>
      </c>
      <c r="FF576" s="65">
        <v>6.9000000000000006E-2</v>
      </c>
      <c r="FI576" s="65" t="s">
        <v>424</v>
      </c>
      <c r="FO576" s="65">
        <f>3.41</f>
        <v>3.41</v>
      </c>
      <c r="FP576" s="65">
        <f>0.21</f>
        <v>0.21</v>
      </c>
      <c r="FS576" s="65" t="s">
        <v>6376</v>
      </c>
      <c r="GD576" s="65">
        <v>0.25319999999999998</v>
      </c>
      <c r="GE576" s="65">
        <v>0.25869999999999999</v>
      </c>
      <c r="GH576" s="65" t="s">
        <v>423</v>
      </c>
      <c r="GP576" s="292" t="s">
        <v>7494</v>
      </c>
      <c r="HS576" s="227"/>
      <c r="HW576" s="227"/>
      <c r="JU576" s="55" t="s">
        <v>688</v>
      </c>
    </row>
    <row r="577" spans="1:281" x14ac:dyDescent="0.25">
      <c r="A577" s="55">
        <v>576</v>
      </c>
      <c r="B577" s="12" t="s">
        <v>7067</v>
      </c>
      <c r="C577" s="155">
        <v>30</v>
      </c>
      <c r="D577" s="55" t="s">
        <v>3797</v>
      </c>
      <c r="E577" s="90" t="s">
        <v>416</v>
      </c>
      <c r="G577" s="55" t="s">
        <v>417</v>
      </c>
      <c r="H577" s="55">
        <v>2002</v>
      </c>
      <c r="I577" s="55">
        <v>1999</v>
      </c>
      <c r="J577" s="55" t="s">
        <v>418</v>
      </c>
      <c r="K577" s="55" t="s">
        <v>419</v>
      </c>
      <c r="L577" s="55" t="s">
        <v>2737</v>
      </c>
      <c r="M577" s="90">
        <f>38+32/60</f>
        <v>38.533333333333331</v>
      </c>
      <c r="N577" s="90">
        <f>-121-47/60</f>
        <v>-121.78333333333333</v>
      </c>
      <c r="O577" s="90">
        <v>18.399999999999999</v>
      </c>
      <c r="S577" s="90">
        <v>483</v>
      </c>
      <c r="U577" s="55">
        <v>3</v>
      </c>
      <c r="V577" s="55" t="s">
        <v>1816</v>
      </c>
      <c r="Y577" s="55">
        <v>36232</v>
      </c>
      <c r="Z577" s="55" t="s">
        <v>1362</v>
      </c>
      <c r="AA577" s="90" t="s">
        <v>1683</v>
      </c>
      <c r="AE577" s="90">
        <v>36</v>
      </c>
      <c r="AF577" s="90">
        <v>46</v>
      </c>
      <c r="AH577" s="55" t="s">
        <v>139</v>
      </c>
      <c r="AM577" s="55" t="s">
        <v>1295</v>
      </c>
      <c r="AN577" s="185" t="s">
        <v>1497</v>
      </c>
      <c r="AO577" s="185" t="s">
        <v>5150</v>
      </c>
      <c r="AQ577" s="55" t="s">
        <v>553</v>
      </c>
      <c r="AR577" s="55" t="s">
        <v>1552</v>
      </c>
      <c r="AS577" s="55" t="s">
        <v>1577</v>
      </c>
      <c r="AT577" s="181" t="s">
        <v>420</v>
      </c>
      <c r="AU577" s="181" t="s">
        <v>5150</v>
      </c>
      <c r="AV577" s="185" t="s">
        <v>479</v>
      </c>
      <c r="AW577" s="55" t="s">
        <v>420</v>
      </c>
      <c r="AX577" s="185" t="s">
        <v>479</v>
      </c>
      <c r="AY577" s="55" t="s">
        <v>176</v>
      </c>
      <c r="BE577" s="226" t="s">
        <v>347</v>
      </c>
      <c r="BF577" s="191" t="s">
        <v>479</v>
      </c>
      <c r="BG577" s="55" t="s">
        <v>479</v>
      </c>
      <c r="BH577" s="226" t="s">
        <v>422</v>
      </c>
      <c r="BI577" s="55" t="s">
        <v>479</v>
      </c>
      <c r="BJ577" s="55" t="s">
        <v>479</v>
      </c>
      <c r="BK577" s="55" t="s">
        <v>5976</v>
      </c>
      <c r="BM577" s="192" t="s">
        <v>119</v>
      </c>
      <c r="BN577" s="55">
        <v>4</v>
      </c>
      <c r="BO577" s="55">
        <v>4</v>
      </c>
      <c r="BQ577" s="55" t="s">
        <v>315</v>
      </c>
      <c r="FE577" s="65">
        <v>4.7999999999999996E-3</v>
      </c>
      <c r="FF577" s="65">
        <v>7.8E-2</v>
      </c>
      <c r="FI577" s="65" t="s">
        <v>424</v>
      </c>
      <c r="FO577" s="65">
        <f>3.41</f>
        <v>3.41</v>
      </c>
      <c r="FP577" s="65">
        <f>1.01</f>
        <v>1.01</v>
      </c>
      <c r="FS577" s="65" t="s">
        <v>6376</v>
      </c>
      <c r="GD577" s="65">
        <v>0.25319999999999998</v>
      </c>
      <c r="GE577" s="65">
        <v>0.25869999999999999</v>
      </c>
      <c r="GH577" s="65" t="s">
        <v>423</v>
      </c>
      <c r="GP577" s="292" t="s">
        <v>7494</v>
      </c>
      <c r="HS577" s="227"/>
      <c r="HW577" s="227"/>
      <c r="JU577" s="55" t="s">
        <v>688</v>
      </c>
    </row>
    <row r="578" spans="1:281" x14ac:dyDescent="0.25">
      <c r="A578" s="55">
        <v>577</v>
      </c>
      <c r="B578" s="12" t="s">
        <v>7067</v>
      </c>
      <c r="C578" s="155">
        <v>30</v>
      </c>
      <c r="D578" s="55" t="s">
        <v>3797</v>
      </c>
      <c r="E578" s="90" t="s">
        <v>416</v>
      </c>
      <c r="G578" s="55" t="s">
        <v>417</v>
      </c>
      <c r="H578" s="55">
        <v>2002</v>
      </c>
      <c r="I578" s="55">
        <v>1999</v>
      </c>
      <c r="J578" s="55" t="s">
        <v>418</v>
      </c>
      <c r="K578" s="55" t="s">
        <v>419</v>
      </c>
      <c r="L578" s="55" t="s">
        <v>2737</v>
      </c>
      <c r="M578" s="90">
        <f>38+32/60</f>
        <v>38.533333333333331</v>
      </c>
      <c r="N578" s="90">
        <f>-121-47/60</f>
        <v>-121.78333333333333</v>
      </c>
      <c r="O578" s="90">
        <v>18.399999999999999</v>
      </c>
      <c r="S578" s="90">
        <v>483</v>
      </c>
      <c r="U578" s="55">
        <v>3</v>
      </c>
      <c r="V578" s="55" t="s">
        <v>1816</v>
      </c>
      <c r="Y578" s="55">
        <v>36234</v>
      </c>
      <c r="Z578" s="55" t="s">
        <v>1362</v>
      </c>
      <c r="AA578" s="90" t="s">
        <v>1683</v>
      </c>
      <c r="AE578" s="90">
        <v>36</v>
      </c>
      <c r="AF578" s="90">
        <v>46</v>
      </c>
      <c r="AH578" s="55" t="s">
        <v>139</v>
      </c>
      <c r="AM578" s="55" t="s">
        <v>1295</v>
      </c>
      <c r="AN578" s="185" t="s">
        <v>1497</v>
      </c>
      <c r="AO578" s="185" t="s">
        <v>5150</v>
      </c>
      <c r="AQ578" s="55" t="s">
        <v>553</v>
      </c>
      <c r="AR578" s="55" t="s">
        <v>1552</v>
      </c>
      <c r="AS578" s="55" t="s">
        <v>1577</v>
      </c>
      <c r="AT578" s="181" t="s">
        <v>420</v>
      </c>
      <c r="AU578" s="181" t="s">
        <v>5150</v>
      </c>
      <c r="AV578" s="185" t="s">
        <v>479</v>
      </c>
      <c r="AW578" s="55" t="s">
        <v>420</v>
      </c>
      <c r="AX578" s="185" t="s">
        <v>479</v>
      </c>
      <c r="AY578" s="55" t="s">
        <v>176</v>
      </c>
      <c r="BE578" s="226" t="s">
        <v>347</v>
      </c>
      <c r="BF578" s="191" t="s">
        <v>479</v>
      </c>
      <c r="BG578" s="55" t="s">
        <v>479</v>
      </c>
      <c r="BH578" s="226" t="s">
        <v>421</v>
      </c>
      <c r="BI578" s="55" t="s">
        <v>479</v>
      </c>
      <c r="BJ578" s="55" t="s">
        <v>479</v>
      </c>
      <c r="BK578" s="55" t="s">
        <v>5976</v>
      </c>
      <c r="BM578" s="192" t="s">
        <v>119</v>
      </c>
      <c r="BN578" s="55">
        <v>4</v>
      </c>
      <c r="BO578" s="55">
        <v>4</v>
      </c>
      <c r="BQ578" s="55" t="s">
        <v>315</v>
      </c>
      <c r="FE578" s="65">
        <v>3.7000000000000002E-3</v>
      </c>
      <c r="FF578" s="65">
        <v>6.3E-2</v>
      </c>
      <c r="FI578" s="65" t="s">
        <v>424</v>
      </c>
      <c r="FO578" s="65">
        <v>0</v>
      </c>
      <c r="FP578" s="65">
        <v>0</v>
      </c>
      <c r="FS578" s="65" t="s">
        <v>6376</v>
      </c>
      <c r="GD578" s="65">
        <v>0.246</v>
      </c>
      <c r="GE578" s="65">
        <v>0.24779999999999999</v>
      </c>
      <c r="GH578" s="65" t="s">
        <v>423</v>
      </c>
      <c r="GP578" s="292" t="s">
        <v>7494</v>
      </c>
      <c r="HS578" s="227"/>
      <c r="HW578" s="227"/>
      <c r="JU578" s="55" t="s">
        <v>688</v>
      </c>
    </row>
    <row r="579" spans="1:281" x14ac:dyDescent="0.25">
      <c r="A579" s="55">
        <v>578</v>
      </c>
      <c r="B579" s="12" t="s">
        <v>7067</v>
      </c>
      <c r="C579" s="155">
        <v>30</v>
      </c>
      <c r="D579" s="55" t="s">
        <v>3797</v>
      </c>
      <c r="E579" s="90" t="s">
        <v>416</v>
      </c>
      <c r="G579" s="55" t="s">
        <v>417</v>
      </c>
      <c r="H579" s="55">
        <v>2002</v>
      </c>
      <c r="I579" s="55">
        <v>1999</v>
      </c>
      <c r="J579" s="55" t="s">
        <v>418</v>
      </c>
      <c r="K579" s="55" t="s">
        <v>419</v>
      </c>
      <c r="L579" s="55" t="s">
        <v>2737</v>
      </c>
      <c r="M579" s="90">
        <f>38+32/60</f>
        <v>38.533333333333331</v>
      </c>
      <c r="N579" s="90">
        <f>-121-47/60</f>
        <v>-121.78333333333333</v>
      </c>
      <c r="O579" s="90">
        <v>18.399999999999999</v>
      </c>
      <c r="S579" s="90">
        <v>483</v>
      </c>
      <c r="U579" s="55">
        <v>3</v>
      </c>
      <c r="V579" s="55" t="s">
        <v>1816</v>
      </c>
      <c r="Y579" s="55">
        <v>36234</v>
      </c>
      <c r="Z579" s="55" t="s">
        <v>1362</v>
      </c>
      <c r="AA579" s="90" t="s">
        <v>1683</v>
      </c>
      <c r="AE579" s="90">
        <v>36</v>
      </c>
      <c r="AF579" s="90">
        <v>46</v>
      </c>
      <c r="AH579" s="55" t="s">
        <v>139</v>
      </c>
      <c r="AM579" s="55" t="s">
        <v>1295</v>
      </c>
      <c r="AN579" s="185" t="s">
        <v>1497</v>
      </c>
      <c r="AO579" s="185" t="s">
        <v>5150</v>
      </c>
      <c r="AQ579" s="55" t="s">
        <v>553</v>
      </c>
      <c r="AR579" s="55" t="s">
        <v>1552</v>
      </c>
      <c r="AS579" s="55" t="s">
        <v>1577</v>
      </c>
      <c r="AT579" s="181" t="s">
        <v>420</v>
      </c>
      <c r="AU579" s="181" t="s">
        <v>5150</v>
      </c>
      <c r="AV579" s="185" t="s">
        <v>479</v>
      </c>
      <c r="AW579" s="55" t="s">
        <v>420</v>
      </c>
      <c r="AX579" s="185" t="s">
        <v>479</v>
      </c>
      <c r="AY579" s="55" t="s">
        <v>176</v>
      </c>
      <c r="BE579" s="226" t="s">
        <v>347</v>
      </c>
      <c r="BF579" s="191" t="s">
        <v>479</v>
      </c>
      <c r="BG579" s="55" t="s">
        <v>479</v>
      </c>
      <c r="BH579" s="226" t="s">
        <v>422</v>
      </c>
      <c r="BI579" s="55" t="s">
        <v>479</v>
      </c>
      <c r="BJ579" s="55" t="s">
        <v>479</v>
      </c>
      <c r="BK579" s="55" t="s">
        <v>5976</v>
      </c>
      <c r="BM579" s="192" t="s">
        <v>119</v>
      </c>
      <c r="BN579" s="55">
        <v>4</v>
      </c>
      <c r="BO579" s="55">
        <v>4</v>
      </c>
      <c r="BQ579" s="55" t="s">
        <v>315</v>
      </c>
      <c r="FE579" s="65">
        <v>3.7000000000000002E-3</v>
      </c>
      <c r="FF579" s="65">
        <v>7.6999999999999999E-2</v>
      </c>
      <c r="FI579" s="65" t="s">
        <v>424</v>
      </c>
      <c r="FO579" s="65">
        <v>0</v>
      </c>
      <c r="FP579" s="65">
        <v>0</v>
      </c>
      <c r="FS579" s="65" t="s">
        <v>6376</v>
      </c>
      <c r="GD579" s="65">
        <v>0.246</v>
      </c>
      <c r="GE579" s="65">
        <v>0.24779999999999999</v>
      </c>
      <c r="GH579" s="65" t="s">
        <v>423</v>
      </c>
      <c r="GP579" s="292" t="s">
        <v>7494</v>
      </c>
      <c r="HS579" s="227"/>
      <c r="HW579" s="227"/>
      <c r="JU579" s="55" t="s">
        <v>688</v>
      </c>
    </row>
    <row r="580" spans="1:281" x14ac:dyDescent="0.25">
      <c r="A580" s="55">
        <v>579</v>
      </c>
      <c r="B580" s="12" t="s">
        <v>7067</v>
      </c>
      <c r="C580" s="155">
        <v>30</v>
      </c>
      <c r="D580" s="55" t="s">
        <v>3797</v>
      </c>
      <c r="E580" s="90" t="s">
        <v>416</v>
      </c>
      <c r="G580" s="55" t="s">
        <v>417</v>
      </c>
      <c r="H580" s="55">
        <v>2002</v>
      </c>
      <c r="I580" s="55">
        <v>1999</v>
      </c>
      <c r="J580" s="55" t="s">
        <v>418</v>
      </c>
      <c r="K580" s="55" t="s">
        <v>419</v>
      </c>
      <c r="L580" s="55" t="s">
        <v>2737</v>
      </c>
      <c r="M580" s="90">
        <f>38+32/60</f>
        <v>38.533333333333331</v>
      </c>
      <c r="N580" s="90">
        <f>-121-47/60</f>
        <v>-121.78333333333333</v>
      </c>
      <c r="O580" s="90">
        <v>18.399999999999999</v>
      </c>
      <c r="S580" s="90">
        <v>483</v>
      </c>
      <c r="U580" s="55">
        <v>3</v>
      </c>
      <c r="V580" s="55" t="s">
        <v>1816</v>
      </c>
      <c r="Y580" s="55">
        <v>36514</v>
      </c>
      <c r="Z580" s="55" t="s">
        <v>1362</v>
      </c>
      <c r="AA580" s="90" t="s">
        <v>1683</v>
      </c>
      <c r="AE580" s="90">
        <v>36</v>
      </c>
      <c r="AF580" s="90">
        <v>46</v>
      </c>
      <c r="AH580" s="55" t="s">
        <v>139</v>
      </c>
      <c r="AM580" s="55" t="s">
        <v>1295</v>
      </c>
      <c r="AN580" s="185" t="s">
        <v>1497</v>
      </c>
      <c r="AO580" s="185" t="s">
        <v>5150</v>
      </c>
      <c r="AQ580" s="55" t="s">
        <v>553</v>
      </c>
      <c r="AR580" s="55" t="s">
        <v>1552</v>
      </c>
      <c r="AS580" s="55" t="s">
        <v>1577</v>
      </c>
      <c r="AT580" s="181" t="s">
        <v>420</v>
      </c>
      <c r="AU580" s="181" t="s">
        <v>5150</v>
      </c>
      <c r="AV580" s="185" t="s">
        <v>479</v>
      </c>
      <c r="AW580" s="55" t="s">
        <v>420</v>
      </c>
      <c r="AX580" s="185" t="s">
        <v>479</v>
      </c>
      <c r="AY580" s="55" t="s">
        <v>176</v>
      </c>
      <c r="BE580" s="226" t="s">
        <v>347</v>
      </c>
      <c r="BF580" s="191" t="s">
        <v>479</v>
      </c>
      <c r="BG580" s="55" t="s">
        <v>479</v>
      </c>
      <c r="BH580" s="226" t="s">
        <v>421</v>
      </c>
      <c r="BI580" s="55" t="s">
        <v>479</v>
      </c>
      <c r="BJ580" s="55" t="s">
        <v>479</v>
      </c>
      <c r="BK580" s="55" t="s">
        <v>5976</v>
      </c>
      <c r="BM580" s="192" t="s">
        <v>119</v>
      </c>
      <c r="BN580" s="55">
        <v>4</v>
      </c>
      <c r="BO580" s="55">
        <v>4</v>
      </c>
      <c r="BQ580" s="55" t="s">
        <v>315</v>
      </c>
      <c r="FE580" s="65">
        <v>3.3999999999999998E-3</v>
      </c>
      <c r="FF580" s="65">
        <v>5.5E-2</v>
      </c>
      <c r="FI580" s="65" t="s">
        <v>424</v>
      </c>
      <c r="FO580" s="65">
        <f>0.32</f>
        <v>0.32</v>
      </c>
      <c r="FP580" s="65">
        <f>0.02</f>
        <v>0.02</v>
      </c>
      <c r="FS580" s="65" t="s">
        <v>6376</v>
      </c>
      <c r="GD580" s="65">
        <v>0.1182</v>
      </c>
      <c r="GE580" s="65">
        <v>0.12089999999999999</v>
      </c>
      <c r="GH580" s="65" t="s">
        <v>423</v>
      </c>
      <c r="GP580" s="292" t="s">
        <v>7494</v>
      </c>
      <c r="HS580" s="227"/>
      <c r="HW580" s="227"/>
      <c r="JU580" s="55" t="s">
        <v>688</v>
      </c>
    </row>
    <row r="581" spans="1:281" x14ac:dyDescent="0.25">
      <c r="A581" s="55">
        <v>580</v>
      </c>
      <c r="B581" s="12" t="s">
        <v>7067</v>
      </c>
      <c r="C581" s="155">
        <v>30</v>
      </c>
      <c r="D581" s="55" t="s">
        <v>3797</v>
      </c>
      <c r="E581" s="90" t="s">
        <v>416</v>
      </c>
      <c r="G581" s="55" t="s">
        <v>417</v>
      </c>
      <c r="H581" s="55">
        <v>2002</v>
      </c>
      <c r="I581" s="55">
        <v>1999</v>
      </c>
      <c r="J581" s="55" t="s">
        <v>418</v>
      </c>
      <c r="K581" s="55" t="s">
        <v>419</v>
      </c>
      <c r="L581" s="55" t="s">
        <v>2737</v>
      </c>
      <c r="M581" s="90">
        <f>38+32/60</f>
        <v>38.533333333333331</v>
      </c>
      <c r="N581" s="90">
        <f>-121-47/60</f>
        <v>-121.78333333333333</v>
      </c>
      <c r="O581" s="90">
        <v>18.399999999999999</v>
      </c>
      <c r="S581" s="90">
        <v>483</v>
      </c>
      <c r="U581" s="55">
        <v>3</v>
      </c>
      <c r="V581" s="55" t="s">
        <v>1816</v>
      </c>
      <c r="Y581" s="55">
        <v>36514</v>
      </c>
      <c r="Z581" s="55" t="s">
        <v>1362</v>
      </c>
      <c r="AA581" s="90" t="s">
        <v>1683</v>
      </c>
      <c r="AE581" s="90">
        <v>36</v>
      </c>
      <c r="AF581" s="90">
        <v>46</v>
      </c>
      <c r="AH581" s="55" t="s">
        <v>139</v>
      </c>
      <c r="AM581" s="55" t="s">
        <v>1295</v>
      </c>
      <c r="AN581" s="185" t="s">
        <v>1497</v>
      </c>
      <c r="AO581" s="185" t="s">
        <v>5150</v>
      </c>
      <c r="AQ581" s="55" t="s">
        <v>553</v>
      </c>
      <c r="AR581" s="55" t="s">
        <v>1552</v>
      </c>
      <c r="AS581" s="55" t="s">
        <v>1577</v>
      </c>
      <c r="AT581" s="181" t="s">
        <v>420</v>
      </c>
      <c r="AU581" s="181" t="s">
        <v>5150</v>
      </c>
      <c r="AV581" s="185" t="s">
        <v>479</v>
      </c>
      <c r="AW581" s="55" t="s">
        <v>420</v>
      </c>
      <c r="AX581" s="185" t="s">
        <v>479</v>
      </c>
      <c r="AY581" s="55" t="s">
        <v>176</v>
      </c>
      <c r="BE581" s="226" t="s">
        <v>347</v>
      </c>
      <c r="BF581" s="191" t="s">
        <v>479</v>
      </c>
      <c r="BG581" s="55" t="s">
        <v>479</v>
      </c>
      <c r="BH581" s="226" t="s">
        <v>422</v>
      </c>
      <c r="BI581" s="55" t="s">
        <v>479</v>
      </c>
      <c r="BJ581" s="55" t="s">
        <v>479</v>
      </c>
      <c r="BK581" s="55" t="s">
        <v>5976</v>
      </c>
      <c r="BM581" s="192" t="s">
        <v>119</v>
      </c>
      <c r="BN581" s="55">
        <v>4</v>
      </c>
      <c r="BO581" s="55">
        <v>4</v>
      </c>
      <c r="BQ581" s="55" t="s">
        <v>315</v>
      </c>
      <c r="FE581" s="65">
        <v>3.3999999999999998E-3</v>
      </c>
      <c r="FF581" s="65">
        <v>6.6000000000000003E-2</v>
      </c>
      <c r="FI581" s="65" t="s">
        <v>424</v>
      </c>
      <c r="FO581" s="65">
        <f>0.32</f>
        <v>0.32</v>
      </c>
      <c r="FP581" s="65">
        <f>0.13</f>
        <v>0.13</v>
      </c>
      <c r="FS581" s="65" t="s">
        <v>6376</v>
      </c>
      <c r="GD581" s="65">
        <v>0.1182</v>
      </c>
      <c r="GE581" s="65">
        <v>0.12089999999999999</v>
      </c>
      <c r="GH581" s="65" t="s">
        <v>423</v>
      </c>
      <c r="GP581" s="292" t="s">
        <v>7494</v>
      </c>
      <c r="HS581" s="227"/>
      <c r="HW581" s="227"/>
      <c r="JU581" s="55" t="s">
        <v>688</v>
      </c>
    </row>
    <row r="582" spans="1:281" x14ac:dyDescent="0.25">
      <c r="A582" s="55">
        <v>581</v>
      </c>
      <c r="B582" s="12" t="s">
        <v>7067</v>
      </c>
      <c r="C582" s="155">
        <v>30</v>
      </c>
      <c r="D582" s="55" t="s">
        <v>3797</v>
      </c>
      <c r="E582" s="90" t="s">
        <v>416</v>
      </c>
      <c r="G582" s="55" t="s">
        <v>417</v>
      </c>
      <c r="H582" s="55">
        <v>2002</v>
      </c>
      <c r="I582" s="55">
        <v>2000</v>
      </c>
      <c r="J582" s="55" t="s">
        <v>418</v>
      </c>
      <c r="K582" s="55" t="s">
        <v>419</v>
      </c>
      <c r="L582" s="55" t="s">
        <v>2737</v>
      </c>
      <c r="M582" s="90">
        <f>38+32/60</f>
        <v>38.533333333333331</v>
      </c>
      <c r="N582" s="90">
        <f>-121-47/60</f>
        <v>-121.78333333333333</v>
      </c>
      <c r="O582" s="90">
        <v>18.399999999999999</v>
      </c>
      <c r="S582" s="90">
        <v>483</v>
      </c>
      <c r="U582" s="55">
        <v>4</v>
      </c>
      <c r="V582" s="55" t="s">
        <v>1816</v>
      </c>
      <c r="Y582" s="55">
        <v>36535</v>
      </c>
      <c r="Z582" s="55" t="s">
        <v>1362</v>
      </c>
      <c r="AA582" s="90" t="s">
        <v>1683</v>
      </c>
      <c r="AE582" s="90">
        <v>36</v>
      </c>
      <c r="AF582" s="90">
        <v>46</v>
      </c>
      <c r="AH582" s="55" t="s">
        <v>139</v>
      </c>
      <c r="AM582" s="55" t="s">
        <v>1295</v>
      </c>
      <c r="AN582" s="185" t="s">
        <v>1497</v>
      </c>
      <c r="AO582" s="185" t="s">
        <v>5150</v>
      </c>
      <c r="AQ582" s="55" t="s">
        <v>553</v>
      </c>
      <c r="AR582" s="55" t="s">
        <v>1552</v>
      </c>
      <c r="AS582" s="55" t="s">
        <v>1577</v>
      </c>
      <c r="AT582" s="181" t="s">
        <v>420</v>
      </c>
      <c r="AU582" s="181" t="s">
        <v>5150</v>
      </c>
      <c r="AV582" s="185" t="s">
        <v>479</v>
      </c>
      <c r="AW582" s="55" t="s">
        <v>420</v>
      </c>
      <c r="AX582" s="185" t="s">
        <v>479</v>
      </c>
      <c r="AY582" s="55" t="s">
        <v>176</v>
      </c>
      <c r="BE582" s="226" t="s">
        <v>347</v>
      </c>
      <c r="BF582" s="191" t="s">
        <v>479</v>
      </c>
      <c r="BG582" s="55" t="s">
        <v>479</v>
      </c>
      <c r="BH582" s="226" t="s">
        <v>421</v>
      </c>
      <c r="BI582" s="55" t="s">
        <v>479</v>
      </c>
      <c r="BJ582" s="55" t="s">
        <v>479</v>
      </c>
      <c r="BK582" s="55" t="s">
        <v>5976</v>
      </c>
      <c r="BM582" s="192" t="s">
        <v>119</v>
      </c>
      <c r="BN582" s="55">
        <v>4</v>
      </c>
      <c r="BO582" s="55">
        <v>4</v>
      </c>
      <c r="BQ582" s="55" t="s">
        <v>315</v>
      </c>
      <c r="FE582" s="65">
        <v>3.3E-3</v>
      </c>
      <c r="FF582" s="65">
        <v>5.3999999999999999E-2</v>
      </c>
      <c r="FI582" s="65" t="s">
        <v>424</v>
      </c>
      <c r="FO582" s="65">
        <f>0.15</f>
        <v>0.15</v>
      </c>
      <c r="FP582" s="65">
        <f>0.18</f>
        <v>0.18</v>
      </c>
      <c r="FS582" s="65" t="s">
        <v>6376</v>
      </c>
      <c r="GD582" s="65">
        <v>0.11169999999999999</v>
      </c>
      <c r="GE582" s="65">
        <v>0.1163</v>
      </c>
      <c r="GH582" s="65" t="s">
        <v>423</v>
      </c>
      <c r="GP582" s="292" t="s">
        <v>7494</v>
      </c>
      <c r="HS582" s="227"/>
      <c r="HW582" s="227"/>
      <c r="JU582" s="55" t="s">
        <v>688</v>
      </c>
    </row>
    <row r="583" spans="1:281" x14ac:dyDescent="0.25">
      <c r="A583" s="55">
        <v>582</v>
      </c>
      <c r="B583" s="12" t="s">
        <v>7067</v>
      </c>
      <c r="C583" s="155">
        <v>30</v>
      </c>
      <c r="D583" s="55" t="s">
        <v>3797</v>
      </c>
      <c r="E583" s="90" t="s">
        <v>416</v>
      </c>
      <c r="G583" s="55" t="s">
        <v>417</v>
      </c>
      <c r="H583" s="55">
        <v>2002</v>
      </c>
      <c r="I583" s="55">
        <v>2000</v>
      </c>
      <c r="J583" s="55" t="s">
        <v>418</v>
      </c>
      <c r="K583" s="55" t="s">
        <v>419</v>
      </c>
      <c r="L583" s="55" t="s">
        <v>2737</v>
      </c>
      <c r="M583" s="90">
        <f>38+32/60</f>
        <v>38.533333333333331</v>
      </c>
      <c r="N583" s="90">
        <f>-121-47/60</f>
        <v>-121.78333333333333</v>
      </c>
      <c r="O583" s="90">
        <v>18.399999999999999</v>
      </c>
      <c r="S583" s="90">
        <v>483</v>
      </c>
      <c r="U583" s="55">
        <v>4</v>
      </c>
      <c r="V583" s="55" t="s">
        <v>1816</v>
      </c>
      <c r="Y583" s="55">
        <v>36535</v>
      </c>
      <c r="Z583" s="55" t="s">
        <v>1362</v>
      </c>
      <c r="AA583" s="90" t="s">
        <v>1683</v>
      </c>
      <c r="AE583" s="90">
        <v>36</v>
      </c>
      <c r="AF583" s="90">
        <v>46</v>
      </c>
      <c r="AH583" s="55" t="s">
        <v>139</v>
      </c>
      <c r="AM583" s="55" t="s">
        <v>1295</v>
      </c>
      <c r="AN583" s="185" t="s">
        <v>1497</v>
      </c>
      <c r="AO583" s="185" t="s">
        <v>5150</v>
      </c>
      <c r="AQ583" s="55" t="s">
        <v>553</v>
      </c>
      <c r="AR583" s="55" t="s">
        <v>1552</v>
      </c>
      <c r="AS583" s="55" t="s">
        <v>1577</v>
      </c>
      <c r="AT583" s="181" t="s">
        <v>420</v>
      </c>
      <c r="AU583" s="181" t="s">
        <v>5150</v>
      </c>
      <c r="AV583" s="185" t="s">
        <v>479</v>
      </c>
      <c r="AW583" s="55" t="s">
        <v>420</v>
      </c>
      <c r="AX583" s="185" t="s">
        <v>479</v>
      </c>
      <c r="AY583" s="55" t="s">
        <v>176</v>
      </c>
      <c r="BE583" s="226" t="s">
        <v>347</v>
      </c>
      <c r="BF583" s="191" t="s">
        <v>479</v>
      </c>
      <c r="BG583" s="55" t="s">
        <v>479</v>
      </c>
      <c r="BH583" s="226" t="s">
        <v>422</v>
      </c>
      <c r="BI583" s="55" t="s">
        <v>479</v>
      </c>
      <c r="BJ583" s="55" t="s">
        <v>479</v>
      </c>
      <c r="BK583" s="55" t="s">
        <v>5976</v>
      </c>
      <c r="BM583" s="192" t="s">
        <v>119</v>
      </c>
      <c r="BN583" s="55">
        <v>4</v>
      </c>
      <c r="BO583" s="55">
        <v>4</v>
      </c>
      <c r="BQ583" s="55" t="s">
        <v>315</v>
      </c>
      <c r="FE583" s="65">
        <v>3.3E-3</v>
      </c>
      <c r="FF583" s="65">
        <v>6.6000000000000003E-2</v>
      </c>
      <c r="FI583" s="65" t="s">
        <v>424</v>
      </c>
      <c r="FO583" s="65">
        <f>0.15</f>
        <v>0.15</v>
      </c>
      <c r="FP583" s="65">
        <f>0.08</f>
        <v>0.08</v>
      </c>
      <c r="FS583" s="65" t="s">
        <v>6376</v>
      </c>
      <c r="GD583" s="65">
        <v>0.11169999999999999</v>
      </c>
      <c r="GE583" s="65">
        <v>0.1163</v>
      </c>
      <c r="GH583" s="65" t="s">
        <v>423</v>
      </c>
      <c r="GP583" s="292" t="s">
        <v>7494</v>
      </c>
      <c r="HS583" s="227"/>
      <c r="HW583" s="227"/>
      <c r="JU583" s="55" t="s">
        <v>688</v>
      </c>
    </row>
    <row r="584" spans="1:281" x14ac:dyDescent="0.25">
      <c r="A584" s="55">
        <v>583</v>
      </c>
      <c r="B584" s="12" t="s">
        <v>7067</v>
      </c>
      <c r="C584" s="155">
        <v>30</v>
      </c>
      <c r="D584" s="55" t="s">
        <v>3797</v>
      </c>
      <c r="E584" s="90" t="s">
        <v>416</v>
      </c>
      <c r="G584" s="55" t="s">
        <v>417</v>
      </c>
      <c r="H584" s="55">
        <v>2002</v>
      </c>
      <c r="I584" s="55">
        <v>2000</v>
      </c>
      <c r="J584" s="55" t="s">
        <v>418</v>
      </c>
      <c r="K584" s="55" t="s">
        <v>419</v>
      </c>
      <c r="L584" s="55" t="s">
        <v>2737</v>
      </c>
      <c r="M584" s="90">
        <f>38+32/60</f>
        <v>38.533333333333331</v>
      </c>
      <c r="N584" s="90">
        <f>-121-47/60</f>
        <v>-121.78333333333333</v>
      </c>
      <c r="O584" s="90">
        <v>18.399999999999999</v>
      </c>
      <c r="S584" s="90">
        <v>483</v>
      </c>
      <c r="U584" s="55">
        <v>4</v>
      </c>
      <c r="V584" s="55" t="s">
        <v>1816</v>
      </c>
      <c r="Y584" s="55">
        <v>36541</v>
      </c>
      <c r="Z584" s="55" t="s">
        <v>1362</v>
      </c>
      <c r="AA584" s="90" t="s">
        <v>1683</v>
      </c>
      <c r="AE584" s="90">
        <v>36</v>
      </c>
      <c r="AF584" s="90">
        <v>46</v>
      </c>
      <c r="AH584" s="55" t="s">
        <v>139</v>
      </c>
      <c r="AM584" s="55" t="s">
        <v>1295</v>
      </c>
      <c r="AN584" s="185" t="s">
        <v>1497</v>
      </c>
      <c r="AO584" s="185" t="s">
        <v>5150</v>
      </c>
      <c r="AQ584" s="55" t="s">
        <v>553</v>
      </c>
      <c r="AR584" s="55" t="s">
        <v>1552</v>
      </c>
      <c r="AS584" s="55" t="s">
        <v>1577</v>
      </c>
      <c r="AT584" s="181" t="s">
        <v>420</v>
      </c>
      <c r="AU584" s="181" t="s">
        <v>5150</v>
      </c>
      <c r="AV584" s="185" t="s">
        <v>479</v>
      </c>
      <c r="AW584" s="55" t="s">
        <v>420</v>
      </c>
      <c r="AX584" s="185" t="s">
        <v>479</v>
      </c>
      <c r="AY584" s="55" t="s">
        <v>176</v>
      </c>
      <c r="BE584" s="226" t="s">
        <v>347</v>
      </c>
      <c r="BF584" s="191" t="s">
        <v>479</v>
      </c>
      <c r="BG584" s="55" t="s">
        <v>479</v>
      </c>
      <c r="BH584" s="226" t="s">
        <v>421</v>
      </c>
      <c r="BI584" s="55" t="s">
        <v>479</v>
      </c>
      <c r="BJ584" s="55" t="s">
        <v>479</v>
      </c>
      <c r="BK584" s="55" t="s">
        <v>5976</v>
      </c>
      <c r="BM584" s="192" t="s">
        <v>119</v>
      </c>
      <c r="BN584" s="55">
        <v>4</v>
      </c>
      <c r="BO584" s="55">
        <v>4</v>
      </c>
      <c r="BQ584" s="55" t="s">
        <v>315</v>
      </c>
      <c r="FE584" s="65">
        <v>3.0999999999999999E-3</v>
      </c>
      <c r="FF584" s="65">
        <v>5.3999999999999999E-2</v>
      </c>
      <c r="FI584" s="65" t="s">
        <v>424</v>
      </c>
      <c r="FO584" s="65">
        <f>18.89</f>
        <v>18.89</v>
      </c>
      <c r="FP584" s="65">
        <f>4.51</f>
        <v>4.51</v>
      </c>
      <c r="FS584" s="65" t="s">
        <v>6376</v>
      </c>
      <c r="GD584" s="65">
        <v>0.1225</v>
      </c>
      <c r="GE584" s="65">
        <v>0.1225</v>
      </c>
      <c r="GH584" s="65" t="s">
        <v>423</v>
      </c>
      <c r="GP584" s="292" t="s">
        <v>7494</v>
      </c>
      <c r="HS584" s="227"/>
      <c r="HW584" s="227"/>
      <c r="JU584" s="55" t="s">
        <v>688</v>
      </c>
    </row>
    <row r="585" spans="1:281" x14ac:dyDescent="0.25">
      <c r="A585" s="55">
        <v>584</v>
      </c>
      <c r="B585" s="12" t="s">
        <v>7067</v>
      </c>
      <c r="C585" s="155">
        <v>30</v>
      </c>
      <c r="D585" s="55" t="s">
        <v>3797</v>
      </c>
      <c r="E585" s="90" t="s">
        <v>416</v>
      </c>
      <c r="G585" s="55" t="s">
        <v>417</v>
      </c>
      <c r="H585" s="55">
        <v>2002</v>
      </c>
      <c r="I585" s="55">
        <v>2000</v>
      </c>
      <c r="J585" s="55" t="s">
        <v>418</v>
      </c>
      <c r="K585" s="55" t="s">
        <v>419</v>
      </c>
      <c r="L585" s="55" t="s">
        <v>2737</v>
      </c>
      <c r="M585" s="90">
        <f>38+32/60</f>
        <v>38.533333333333331</v>
      </c>
      <c r="N585" s="90">
        <f>-121-47/60</f>
        <v>-121.78333333333333</v>
      </c>
      <c r="O585" s="90">
        <v>18.399999999999999</v>
      </c>
      <c r="S585" s="90">
        <v>483</v>
      </c>
      <c r="U585" s="55">
        <v>4</v>
      </c>
      <c r="V585" s="55" t="s">
        <v>1816</v>
      </c>
      <c r="Y585" s="55">
        <v>36541</v>
      </c>
      <c r="Z585" s="55" t="s">
        <v>1362</v>
      </c>
      <c r="AA585" s="90" t="s">
        <v>1683</v>
      </c>
      <c r="AE585" s="90">
        <v>36</v>
      </c>
      <c r="AF585" s="90">
        <v>46</v>
      </c>
      <c r="AH585" s="55" t="s">
        <v>139</v>
      </c>
      <c r="AM585" s="55" t="s">
        <v>1295</v>
      </c>
      <c r="AN585" s="185" t="s">
        <v>1497</v>
      </c>
      <c r="AO585" s="185" t="s">
        <v>5150</v>
      </c>
      <c r="AQ585" s="55" t="s">
        <v>553</v>
      </c>
      <c r="AR585" s="55" t="s">
        <v>1552</v>
      </c>
      <c r="AS585" s="55" t="s">
        <v>1577</v>
      </c>
      <c r="AT585" s="181" t="s">
        <v>420</v>
      </c>
      <c r="AU585" s="181" t="s">
        <v>5150</v>
      </c>
      <c r="AV585" s="185" t="s">
        <v>479</v>
      </c>
      <c r="AW585" s="55" t="s">
        <v>420</v>
      </c>
      <c r="AX585" s="185" t="s">
        <v>479</v>
      </c>
      <c r="AY585" s="55" t="s">
        <v>176</v>
      </c>
      <c r="BE585" s="226" t="s">
        <v>347</v>
      </c>
      <c r="BF585" s="191" t="s">
        <v>479</v>
      </c>
      <c r="BG585" s="55" t="s">
        <v>479</v>
      </c>
      <c r="BH585" s="226" t="s">
        <v>422</v>
      </c>
      <c r="BI585" s="55" t="s">
        <v>479</v>
      </c>
      <c r="BJ585" s="55" t="s">
        <v>479</v>
      </c>
      <c r="BK585" s="55" t="s">
        <v>5976</v>
      </c>
      <c r="BM585" s="192" t="s">
        <v>119</v>
      </c>
      <c r="BN585" s="55">
        <v>4</v>
      </c>
      <c r="BO585" s="55">
        <v>4</v>
      </c>
      <c r="BQ585" s="55" t="s">
        <v>315</v>
      </c>
      <c r="FE585" s="65">
        <v>3.0999999999999999E-3</v>
      </c>
      <c r="FF585" s="65">
        <v>0.06</v>
      </c>
      <c r="FI585" s="65" t="s">
        <v>424</v>
      </c>
      <c r="FO585" s="65">
        <f>18.89</f>
        <v>18.89</v>
      </c>
      <c r="FP585" s="65">
        <f>7.51</f>
        <v>7.51</v>
      </c>
      <c r="FS585" s="65" t="s">
        <v>6376</v>
      </c>
      <c r="GD585" s="65">
        <v>0.1225</v>
      </c>
      <c r="GE585" s="65">
        <v>0.1225</v>
      </c>
      <c r="GH585" s="65" t="s">
        <v>423</v>
      </c>
      <c r="GP585" s="292" t="s">
        <v>7494</v>
      </c>
      <c r="HS585" s="227"/>
      <c r="HW585" s="227"/>
      <c r="JU585" s="55" t="s">
        <v>688</v>
      </c>
    </row>
    <row r="586" spans="1:281" x14ac:dyDescent="0.25">
      <c r="A586" s="55">
        <v>585</v>
      </c>
      <c r="B586" s="12" t="s">
        <v>7067</v>
      </c>
      <c r="C586" s="155">
        <v>30</v>
      </c>
      <c r="D586" s="55" t="s">
        <v>3797</v>
      </c>
      <c r="E586" s="90" t="s">
        <v>416</v>
      </c>
      <c r="G586" s="55" t="s">
        <v>417</v>
      </c>
      <c r="H586" s="55">
        <v>2002</v>
      </c>
      <c r="I586" s="55">
        <v>2000</v>
      </c>
      <c r="J586" s="55" t="s">
        <v>418</v>
      </c>
      <c r="K586" s="55" t="s">
        <v>419</v>
      </c>
      <c r="L586" s="55" t="s">
        <v>2737</v>
      </c>
      <c r="M586" s="90">
        <f>38+32/60</f>
        <v>38.533333333333331</v>
      </c>
      <c r="N586" s="90">
        <f>-121-47/60</f>
        <v>-121.78333333333333</v>
      </c>
      <c r="O586" s="90">
        <v>18.399999999999999</v>
      </c>
      <c r="S586" s="90">
        <v>483</v>
      </c>
      <c r="U586" s="55">
        <v>4</v>
      </c>
      <c r="V586" s="55" t="s">
        <v>1816</v>
      </c>
      <c r="Y586" s="55">
        <v>36549</v>
      </c>
      <c r="Z586" s="55" t="s">
        <v>1362</v>
      </c>
      <c r="AA586" s="90" t="s">
        <v>1683</v>
      </c>
      <c r="AE586" s="90">
        <v>36</v>
      </c>
      <c r="AF586" s="90">
        <v>46</v>
      </c>
      <c r="AH586" s="55" t="s">
        <v>139</v>
      </c>
      <c r="AM586" s="55" t="s">
        <v>1295</v>
      </c>
      <c r="AN586" s="185" t="s">
        <v>1497</v>
      </c>
      <c r="AO586" s="185" t="s">
        <v>5150</v>
      </c>
      <c r="AQ586" s="55" t="s">
        <v>553</v>
      </c>
      <c r="AR586" s="55" t="s">
        <v>1552</v>
      </c>
      <c r="AS586" s="55" t="s">
        <v>1577</v>
      </c>
      <c r="AT586" s="181" t="s">
        <v>420</v>
      </c>
      <c r="AU586" s="181" t="s">
        <v>5150</v>
      </c>
      <c r="AV586" s="185" t="s">
        <v>479</v>
      </c>
      <c r="AW586" s="55" t="s">
        <v>420</v>
      </c>
      <c r="AX586" s="185" t="s">
        <v>479</v>
      </c>
      <c r="AY586" s="55" t="s">
        <v>176</v>
      </c>
      <c r="BE586" s="226" t="s">
        <v>347</v>
      </c>
      <c r="BF586" s="191" t="s">
        <v>479</v>
      </c>
      <c r="BG586" s="55" t="s">
        <v>479</v>
      </c>
      <c r="BH586" s="226" t="s">
        <v>421</v>
      </c>
      <c r="BI586" s="55" t="s">
        <v>479</v>
      </c>
      <c r="BJ586" s="55" t="s">
        <v>479</v>
      </c>
      <c r="BK586" s="55" t="s">
        <v>5976</v>
      </c>
      <c r="BM586" s="192" t="s">
        <v>119</v>
      </c>
      <c r="BN586" s="55">
        <v>4</v>
      </c>
      <c r="BO586" s="55">
        <v>4</v>
      </c>
      <c r="BQ586" s="55" t="s">
        <v>315</v>
      </c>
      <c r="FO586" s="65">
        <f>0.29</f>
        <v>0.28999999999999998</v>
      </c>
      <c r="FP586" s="65">
        <f>0.22</f>
        <v>0.22</v>
      </c>
      <c r="FS586" s="65" t="s">
        <v>6376</v>
      </c>
      <c r="GD586" s="65">
        <v>0.14960000000000001</v>
      </c>
      <c r="GE586" s="65">
        <v>0.1641</v>
      </c>
      <c r="GH586" s="65" t="s">
        <v>423</v>
      </c>
      <c r="GP586" s="292" t="s">
        <v>7494</v>
      </c>
      <c r="HS586" s="227"/>
      <c r="HW586" s="227"/>
      <c r="JU586" s="55" t="s">
        <v>688</v>
      </c>
    </row>
    <row r="587" spans="1:281" x14ac:dyDescent="0.25">
      <c r="A587" s="55">
        <v>586</v>
      </c>
      <c r="B587" s="12" t="s">
        <v>7067</v>
      </c>
      <c r="C587" s="155">
        <v>30</v>
      </c>
      <c r="D587" s="55" t="s">
        <v>3797</v>
      </c>
      <c r="E587" s="90" t="s">
        <v>416</v>
      </c>
      <c r="G587" s="55" t="s">
        <v>417</v>
      </c>
      <c r="H587" s="55">
        <v>2002</v>
      </c>
      <c r="I587" s="55">
        <v>2000</v>
      </c>
      <c r="J587" s="55" t="s">
        <v>418</v>
      </c>
      <c r="K587" s="55" t="s">
        <v>419</v>
      </c>
      <c r="L587" s="55" t="s">
        <v>2737</v>
      </c>
      <c r="M587" s="90">
        <f>38+32/60</f>
        <v>38.533333333333331</v>
      </c>
      <c r="N587" s="90">
        <f>-121-47/60</f>
        <v>-121.78333333333333</v>
      </c>
      <c r="O587" s="90">
        <v>18.399999999999999</v>
      </c>
      <c r="S587" s="90">
        <v>483</v>
      </c>
      <c r="U587" s="55">
        <v>4</v>
      </c>
      <c r="V587" s="55" t="s">
        <v>1816</v>
      </c>
      <c r="Y587" s="55">
        <v>36549</v>
      </c>
      <c r="Z587" s="55" t="s">
        <v>1362</v>
      </c>
      <c r="AA587" s="90" t="s">
        <v>1683</v>
      </c>
      <c r="AE587" s="90">
        <v>36</v>
      </c>
      <c r="AF587" s="90">
        <v>46</v>
      </c>
      <c r="AH587" s="55" t="s">
        <v>139</v>
      </c>
      <c r="AM587" s="55" t="s">
        <v>1295</v>
      </c>
      <c r="AN587" s="185" t="s">
        <v>1497</v>
      </c>
      <c r="AO587" s="185" t="s">
        <v>5150</v>
      </c>
      <c r="AQ587" s="55" t="s">
        <v>553</v>
      </c>
      <c r="AR587" s="55" t="s">
        <v>1552</v>
      </c>
      <c r="AS587" s="55" t="s">
        <v>1577</v>
      </c>
      <c r="AT587" s="181" t="s">
        <v>420</v>
      </c>
      <c r="AU587" s="181" t="s">
        <v>5150</v>
      </c>
      <c r="AV587" s="185" t="s">
        <v>479</v>
      </c>
      <c r="AW587" s="55" t="s">
        <v>420</v>
      </c>
      <c r="AX587" s="185" t="s">
        <v>479</v>
      </c>
      <c r="AY587" s="55" t="s">
        <v>176</v>
      </c>
      <c r="BE587" s="226" t="s">
        <v>347</v>
      </c>
      <c r="BF587" s="191" t="s">
        <v>479</v>
      </c>
      <c r="BG587" s="55" t="s">
        <v>479</v>
      </c>
      <c r="BH587" s="226" t="s">
        <v>422</v>
      </c>
      <c r="BI587" s="55" t="s">
        <v>479</v>
      </c>
      <c r="BJ587" s="55" t="s">
        <v>479</v>
      </c>
      <c r="BK587" s="55" t="s">
        <v>5976</v>
      </c>
      <c r="BM587" s="192" t="s">
        <v>119</v>
      </c>
      <c r="BN587" s="55">
        <v>4</v>
      </c>
      <c r="BO587" s="55">
        <v>4</v>
      </c>
      <c r="BQ587" s="55" t="s">
        <v>315</v>
      </c>
      <c r="FO587" s="65">
        <f>0.29</f>
        <v>0.28999999999999998</v>
      </c>
      <c r="FP587" s="65">
        <f>0.23</f>
        <v>0.23</v>
      </c>
      <c r="FS587" s="65" t="s">
        <v>6376</v>
      </c>
      <c r="GD587" s="65">
        <v>0.14960000000000001</v>
      </c>
      <c r="GE587" s="65">
        <v>0.1542</v>
      </c>
      <c r="GH587" s="65" t="s">
        <v>423</v>
      </c>
      <c r="GP587" s="292" t="s">
        <v>7494</v>
      </c>
      <c r="HS587" s="227"/>
      <c r="HW587" s="227"/>
      <c r="JU587" s="55" t="s">
        <v>688</v>
      </c>
    </row>
    <row r="588" spans="1:281" x14ac:dyDescent="0.25">
      <c r="A588" s="55">
        <v>587</v>
      </c>
      <c r="B588" s="12" t="s">
        <v>7067</v>
      </c>
      <c r="C588" s="155">
        <v>30</v>
      </c>
      <c r="D588" s="55" t="s">
        <v>3797</v>
      </c>
      <c r="E588" s="90" t="s">
        <v>416</v>
      </c>
      <c r="G588" s="55" t="s">
        <v>417</v>
      </c>
      <c r="H588" s="55">
        <v>2002</v>
      </c>
      <c r="I588" s="55">
        <v>2000</v>
      </c>
      <c r="J588" s="55" t="s">
        <v>418</v>
      </c>
      <c r="K588" s="55" t="s">
        <v>419</v>
      </c>
      <c r="L588" s="55" t="s">
        <v>2737</v>
      </c>
      <c r="M588" s="90">
        <f>38+32/60</f>
        <v>38.533333333333331</v>
      </c>
      <c r="N588" s="90">
        <f>-121-47/60</f>
        <v>-121.78333333333333</v>
      </c>
      <c r="O588" s="90">
        <v>18.399999999999999</v>
      </c>
      <c r="S588" s="90">
        <v>483</v>
      </c>
      <c r="U588" s="55">
        <v>4</v>
      </c>
      <c r="V588" s="55" t="s">
        <v>1816</v>
      </c>
      <c r="Y588" s="55">
        <v>36562</v>
      </c>
      <c r="Z588" s="55" t="s">
        <v>1362</v>
      </c>
      <c r="AA588" s="90" t="s">
        <v>1683</v>
      </c>
      <c r="AE588" s="90">
        <v>36</v>
      </c>
      <c r="AF588" s="90">
        <v>46</v>
      </c>
      <c r="AH588" s="55" t="s">
        <v>139</v>
      </c>
      <c r="AM588" s="55" t="s">
        <v>1295</v>
      </c>
      <c r="AN588" s="185" t="s">
        <v>1497</v>
      </c>
      <c r="AO588" s="185" t="s">
        <v>5150</v>
      </c>
      <c r="AQ588" s="55" t="s">
        <v>553</v>
      </c>
      <c r="AR588" s="55" t="s">
        <v>1552</v>
      </c>
      <c r="AS588" s="55" t="s">
        <v>1577</v>
      </c>
      <c r="AT588" s="181" t="s">
        <v>420</v>
      </c>
      <c r="AU588" s="181" t="s">
        <v>5150</v>
      </c>
      <c r="AV588" s="185" t="s">
        <v>479</v>
      </c>
      <c r="AW588" s="55" t="s">
        <v>420</v>
      </c>
      <c r="AX588" s="185" t="s">
        <v>479</v>
      </c>
      <c r="AY588" s="55" t="s">
        <v>176</v>
      </c>
      <c r="BE588" s="226" t="s">
        <v>347</v>
      </c>
      <c r="BF588" s="191" t="s">
        <v>479</v>
      </c>
      <c r="BG588" s="55" t="s">
        <v>479</v>
      </c>
      <c r="BH588" s="226" t="s">
        <v>421</v>
      </c>
      <c r="BI588" s="55" t="s">
        <v>479</v>
      </c>
      <c r="BJ588" s="55" t="s">
        <v>479</v>
      </c>
      <c r="BK588" s="55" t="s">
        <v>5976</v>
      </c>
      <c r="BM588" s="192" t="s">
        <v>119</v>
      </c>
      <c r="BN588" s="55">
        <v>4</v>
      </c>
      <c r="BO588" s="55">
        <v>4</v>
      </c>
      <c r="BQ588" s="55" t="s">
        <v>315</v>
      </c>
      <c r="FO588" s="65">
        <f>15.83</f>
        <v>15.83</v>
      </c>
      <c r="FP588" s="65">
        <f>1.64</f>
        <v>1.64</v>
      </c>
      <c r="FS588" s="65" t="s">
        <v>6376</v>
      </c>
      <c r="GD588" s="65">
        <v>0.25180000000000002</v>
      </c>
      <c r="GE588" s="65">
        <v>0.2671</v>
      </c>
      <c r="GH588" s="65" t="s">
        <v>423</v>
      </c>
      <c r="GP588" s="292" t="s">
        <v>7494</v>
      </c>
      <c r="HS588" s="227"/>
      <c r="HW588" s="227"/>
      <c r="JU588" s="55" t="s">
        <v>688</v>
      </c>
    </row>
    <row r="589" spans="1:281" x14ac:dyDescent="0.25">
      <c r="A589" s="55">
        <v>588</v>
      </c>
      <c r="B589" s="12" t="s">
        <v>7067</v>
      </c>
      <c r="C589" s="155">
        <v>30</v>
      </c>
      <c r="D589" s="55" t="s">
        <v>3797</v>
      </c>
      <c r="E589" s="90" t="s">
        <v>416</v>
      </c>
      <c r="G589" s="55" t="s">
        <v>417</v>
      </c>
      <c r="H589" s="55">
        <v>2002</v>
      </c>
      <c r="I589" s="55">
        <v>2000</v>
      </c>
      <c r="J589" s="55" t="s">
        <v>418</v>
      </c>
      <c r="K589" s="55" t="s">
        <v>419</v>
      </c>
      <c r="L589" s="55" t="s">
        <v>2737</v>
      </c>
      <c r="M589" s="90">
        <f>38+32/60</f>
        <v>38.533333333333331</v>
      </c>
      <c r="N589" s="90">
        <f>-121-47/60</f>
        <v>-121.78333333333333</v>
      </c>
      <c r="O589" s="90">
        <v>18.399999999999999</v>
      </c>
      <c r="S589" s="90">
        <v>483</v>
      </c>
      <c r="U589" s="55">
        <v>4</v>
      </c>
      <c r="V589" s="55" t="s">
        <v>1816</v>
      </c>
      <c r="Y589" s="55">
        <v>36562</v>
      </c>
      <c r="Z589" s="55" t="s">
        <v>1362</v>
      </c>
      <c r="AA589" s="90" t="s">
        <v>1683</v>
      </c>
      <c r="AE589" s="90">
        <v>36</v>
      </c>
      <c r="AF589" s="90">
        <v>46</v>
      </c>
      <c r="AH589" s="55" t="s">
        <v>139</v>
      </c>
      <c r="AM589" s="55" t="s">
        <v>1295</v>
      </c>
      <c r="AN589" s="185" t="s">
        <v>1497</v>
      </c>
      <c r="AO589" s="185" t="s">
        <v>5150</v>
      </c>
      <c r="AQ589" s="55" t="s">
        <v>553</v>
      </c>
      <c r="AR589" s="55" t="s">
        <v>1552</v>
      </c>
      <c r="AS589" s="55" t="s">
        <v>1577</v>
      </c>
      <c r="AT589" s="181" t="s">
        <v>420</v>
      </c>
      <c r="AU589" s="181" t="s">
        <v>5150</v>
      </c>
      <c r="AV589" s="185" t="s">
        <v>479</v>
      </c>
      <c r="AW589" s="55" t="s">
        <v>420</v>
      </c>
      <c r="AX589" s="185" t="s">
        <v>479</v>
      </c>
      <c r="AY589" s="55" t="s">
        <v>176</v>
      </c>
      <c r="BE589" s="226" t="s">
        <v>347</v>
      </c>
      <c r="BF589" s="191" t="s">
        <v>479</v>
      </c>
      <c r="BG589" s="55" t="s">
        <v>479</v>
      </c>
      <c r="BH589" s="226" t="s">
        <v>422</v>
      </c>
      <c r="BI589" s="55" t="s">
        <v>479</v>
      </c>
      <c r="BJ589" s="55" t="s">
        <v>479</v>
      </c>
      <c r="BK589" s="55" t="s">
        <v>5976</v>
      </c>
      <c r="BM589" s="192" t="s">
        <v>119</v>
      </c>
      <c r="BN589" s="55">
        <v>4</v>
      </c>
      <c r="BO589" s="55">
        <v>4</v>
      </c>
      <c r="BQ589" s="55" t="s">
        <v>315</v>
      </c>
      <c r="FO589" s="65">
        <f>15.83</f>
        <v>15.83</v>
      </c>
      <c r="FP589" s="65">
        <f>2.32</f>
        <v>2.3199999999999998</v>
      </c>
      <c r="FS589" s="65" t="s">
        <v>6376</v>
      </c>
      <c r="GD589" s="65">
        <v>0.25180000000000002</v>
      </c>
      <c r="GE589" s="65">
        <v>0.2671</v>
      </c>
      <c r="GH589" s="65" t="s">
        <v>423</v>
      </c>
      <c r="GP589" s="292" t="s">
        <v>7494</v>
      </c>
      <c r="HS589" s="227"/>
      <c r="HW589" s="227"/>
      <c r="JU589" s="55" t="s">
        <v>688</v>
      </c>
    </row>
    <row r="590" spans="1:281" x14ac:dyDescent="0.25">
      <c r="A590" s="55">
        <v>589</v>
      </c>
      <c r="B590" s="12" t="s">
        <v>7067</v>
      </c>
      <c r="C590" s="155">
        <v>30</v>
      </c>
      <c r="D590" s="55" t="s">
        <v>3797</v>
      </c>
      <c r="E590" s="90" t="s">
        <v>416</v>
      </c>
      <c r="G590" s="55" t="s">
        <v>417</v>
      </c>
      <c r="H590" s="55">
        <v>2002</v>
      </c>
      <c r="I590" s="55">
        <v>2000</v>
      </c>
      <c r="J590" s="55" t="s">
        <v>418</v>
      </c>
      <c r="K590" s="55" t="s">
        <v>419</v>
      </c>
      <c r="L590" s="55" t="s">
        <v>2737</v>
      </c>
      <c r="M590" s="90">
        <f>38+32/60</f>
        <v>38.533333333333331</v>
      </c>
      <c r="N590" s="90">
        <f>-121-47/60</f>
        <v>-121.78333333333333</v>
      </c>
      <c r="O590" s="90">
        <v>18.399999999999999</v>
      </c>
      <c r="S590" s="90">
        <v>483</v>
      </c>
      <c r="U590" s="55">
        <v>4</v>
      </c>
      <c r="V590" s="55" t="s">
        <v>1816</v>
      </c>
      <c r="Y590" s="55">
        <v>36566</v>
      </c>
      <c r="Z590" s="55" t="s">
        <v>1362</v>
      </c>
      <c r="AA590" s="90" t="s">
        <v>1683</v>
      </c>
      <c r="AE590" s="90">
        <v>36</v>
      </c>
      <c r="AF590" s="90">
        <v>46</v>
      </c>
      <c r="AH590" s="55" t="s">
        <v>139</v>
      </c>
      <c r="AM590" s="55" t="s">
        <v>1295</v>
      </c>
      <c r="AN590" s="185" t="s">
        <v>1497</v>
      </c>
      <c r="AO590" s="185" t="s">
        <v>5150</v>
      </c>
      <c r="AQ590" s="55" t="s">
        <v>553</v>
      </c>
      <c r="AR590" s="55" t="s">
        <v>1552</v>
      </c>
      <c r="AS590" s="55" t="s">
        <v>1577</v>
      </c>
      <c r="AT590" s="181" t="s">
        <v>420</v>
      </c>
      <c r="AU590" s="181" t="s">
        <v>5150</v>
      </c>
      <c r="AV590" s="185" t="s">
        <v>479</v>
      </c>
      <c r="AW590" s="55" t="s">
        <v>420</v>
      </c>
      <c r="AX590" s="185" t="s">
        <v>479</v>
      </c>
      <c r="AY590" s="55" t="s">
        <v>176</v>
      </c>
      <c r="BE590" s="226" t="s">
        <v>347</v>
      </c>
      <c r="BF590" s="191" t="s">
        <v>479</v>
      </c>
      <c r="BG590" s="55" t="s">
        <v>479</v>
      </c>
      <c r="BH590" s="226" t="s">
        <v>421</v>
      </c>
      <c r="BI590" s="55" t="s">
        <v>479</v>
      </c>
      <c r="BJ590" s="55" t="s">
        <v>479</v>
      </c>
      <c r="BK590" s="55" t="s">
        <v>5976</v>
      </c>
      <c r="BM590" s="192" t="s">
        <v>119</v>
      </c>
      <c r="BN590" s="55">
        <v>4</v>
      </c>
      <c r="BO590" s="55">
        <v>4</v>
      </c>
      <c r="BQ590" s="55" t="s">
        <v>315</v>
      </c>
      <c r="FO590" s="65">
        <f>6.93</f>
        <v>6.93</v>
      </c>
      <c r="FP590" s="65">
        <f>0.98</f>
        <v>0.98</v>
      </c>
      <c r="FS590" s="65" t="s">
        <v>6376</v>
      </c>
      <c r="GD590" s="65">
        <v>0.25900000000000001</v>
      </c>
      <c r="GE590" s="65">
        <v>0.27429999999999999</v>
      </c>
      <c r="GH590" s="65" t="s">
        <v>423</v>
      </c>
      <c r="GP590" s="292" t="s">
        <v>7494</v>
      </c>
      <c r="HS590" s="227"/>
      <c r="HW590" s="227"/>
      <c r="JU590" s="55" t="s">
        <v>688</v>
      </c>
    </row>
    <row r="591" spans="1:281" x14ac:dyDescent="0.25">
      <c r="A591" s="55">
        <v>590</v>
      </c>
      <c r="B591" s="12" t="s">
        <v>7067</v>
      </c>
      <c r="C591" s="155">
        <v>30</v>
      </c>
      <c r="D591" s="55" t="s">
        <v>3797</v>
      </c>
      <c r="E591" s="90" t="s">
        <v>416</v>
      </c>
      <c r="G591" s="55" t="s">
        <v>417</v>
      </c>
      <c r="H591" s="55">
        <v>2002</v>
      </c>
      <c r="I591" s="55">
        <v>2000</v>
      </c>
      <c r="J591" s="55" t="s">
        <v>418</v>
      </c>
      <c r="K591" s="55" t="s">
        <v>419</v>
      </c>
      <c r="L591" s="55" t="s">
        <v>2737</v>
      </c>
      <c r="M591" s="90">
        <f>38+32/60</f>
        <v>38.533333333333331</v>
      </c>
      <c r="N591" s="90">
        <f>-121-47/60</f>
        <v>-121.78333333333333</v>
      </c>
      <c r="O591" s="90">
        <v>18.399999999999999</v>
      </c>
      <c r="S591" s="90">
        <v>483</v>
      </c>
      <c r="U591" s="55">
        <v>4</v>
      </c>
      <c r="V591" s="55" t="s">
        <v>1816</v>
      </c>
      <c r="Y591" s="55">
        <v>36566</v>
      </c>
      <c r="Z591" s="55" t="s">
        <v>1362</v>
      </c>
      <c r="AA591" s="90" t="s">
        <v>1683</v>
      </c>
      <c r="AE591" s="90">
        <v>36</v>
      </c>
      <c r="AF591" s="90">
        <v>46</v>
      </c>
      <c r="AH591" s="55" t="s">
        <v>139</v>
      </c>
      <c r="AM591" s="55" t="s">
        <v>1295</v>
      </c>
      <c r="AN591" s="185" t="s">
        <v>1497</v>
      </c>
      <c r="AO591" s="185" t="s">
        <v>5150</v>
      </c>
      <c r="AQ591" s="55" t="s">
        <v>553</v>
      </c>
      <c r="AR591" s="55" t="s">
        <v>1552</v>
      </c>
      <c r="AS591" s="55" t="s">
        <v>1577</v>
      </c>
      <c r="AT591" s="181" t="s">
        <v>420</v>
      </c>
      <c r="AU591" s="181" t="s">
        <v>5150</v>
      </c>
      <c r="AV591" s="185" t="s">
        <v>479</v>
      </c>
      <c r="AW591" s="55" t="s">
        <v>420</v>
      </c>
      <c r="AX591" s="185" t="s">
        <v>479</v>
      </c>
      <c r="AY591" s="55" t="s">
        <v>176</v>
      </c>
      <c r="BE591" s="226" t="s">
        <v>347</v>
      </c>
      <c r="BF591" s="191" t="s">
        <v>479</v>
      </c>
      <c r="BG591" s="55" t="s">
        <v>479</v>
      </c>
      <c r="BH591" s="226" t="s">
        <v>422</v>
      </c>
      <c r="BI591" s="55" t="s">
        <v>479</v>
      </c>
      <c r="BJ591" s="55" t="s">
        <v>479</v>
      </c>
      <c r="BK591" s="55" t="s">
        <v>5976</v>
      </c>
      <c r="BM591" s="192" t="s">
        <v>119</v>
      </c>
      <c r="BN591" s="55">
        <v>4</v>
      </c>
      <c r="BO591" s="55">
        <v>4</v>
      </c>
      <c r="BQ591" s="55" t="s">
        <v>315</v>
      </c>
      <c r="FO591" s="65">
        <f>6.93</f>
        <v>6.93</v>
      </c>
      <c r="FP591" s="65">
        <f>0.26</f>
        <v>0.26</v>
      </c>
      <c r="FS591" s="65" t="s">
        <v>6376</v>
      </c>
      <c r="GD591" s="65">
        <v>0.25900000000000001</v>
      </c>
      <c r="GE591" s="65">
        <v>0.2797</v>
      </c>
      <c r="GH591" s="65" t="s">
        <v>423</v>
      </c>
      <c r="GP591" s="292" t="s">
        <v>7494</v>
      </c>
      <c r="HS591" s="227"/>
      <c r="HW591" s="227"/>
      <c r="JU591" s="55" t="s">
        <v>688</v>
      </c>
    </row>
    <row r="592" spans="1:281" x14ac:dyDescent="0.25">
      <c r="A592" s="55">
        <v>591</v>
      </c>
      <c r="B592" s="12" t="s">
        <v>7067</v>
      </c>
      <c r="C592" s="155">
        <v>30</v>
      </c>
      <c r="D592" s="55" t="s">
        <v>3797</v>
      </c>
      <c r="E592" s="90" t="s">
        <v>416</v>
      </c>
      <c r="G592" s="55" t="s">
        <v>417</v>
      </c>
      <c r="H592" s="55">
        <v>2002</v>
      </c>
      <c r="I592" s="55">
        <v>2000</v>
      </c>
      <c r="J592" s="55" t="s">
        <v>418</v>
      </c>
      <c r="K592" s="55" t="s">
        <v>419</v>
      </c>
      <c r="L592" s="55" t="s">
        <v>2737</v>
      </c>
      <c r="M592" s="90">
        <f>38+32/60</f>
        <v>38.533333333333331</v>
      </c>
      <c r="N592" s="90">
        <f>-121-47/60</f>
        <v>-121.78333333333333</v>
      </c>
      <c r="O592" s="90">
        <v>18.399999999999999</v>
      </c>
      <c r="S592" s="90">
        <v>483</v>
      </c>
      <c r="U592" s="55">
        <v>4</v>
      </c>
      <c r="V592" s="55" t="s">
        <v>1816</v>
      </c>
      <c r="Y592" s="55">
        <v>36572</v>
      </c>
      <c r="Z592" s="55" t="s">
        <v>1362</v>
      </c>
      <c r="AA592" s="90" t="s">
        <v>1683</v>
      </c>
      <c r="AE592" s="90">
        <v>36</v>
      </c>
      <c r="AF592" s="90">
        <v>46</v>
      </c>
      <c r="AH592" s="55" t="s">
        <v>139</v>
      </c>
      <c r="AM592" s="55" t="s">
        <v>1295</v>
      </c>
      <c r="AN592" s="185" t="s">
        <v>1497</v>
      </c>
      <c r="AO592" s="185" t="s">
        <v>5150</v>
      </c>
      <c r="AQ592" s="55" t="s">
        <v>553</v>
      </c>
      <c r="AR592" s="55" t="s">
        <v>1552</v>
      </c>
      <c r="AS592" s="55" t="s">
        <v>1577</v>
      </c>
      <c r="AT592" s="181" t="s">
        <v>420</v>
      </c>
      <c r="AU592" s="181" t="s">
        <v>5150</v>
      </c>
      <c r="AV592" s="185" t="s">
        <v>479</v>
      </c>
      <c r="AW592" s="55" t="s">
        <v>420</v>
      </c>
      <c r="AX592" s="185" t="s">
        <v>479</v>
      </c>
      <c r="AY592" s="55" t="s">
        <v>176</v>
      </c>
      <c r="BE592" s="226" t="s">
        <v>347</v>
      </c>
      <c r="BF592" s="191" t="s">
        <v>479</v>
      </c>
      <c r="BG592" s="55" t="s">
        <v>479</v>
      </c>
      <c r="BH592" s="226" t="s">
        <v>421</v>
      </c>
      <c r="BI592" s="55" t="s">
        <v>479</v>
      </c>
      <c r="BJ592" s="55" t="s">
        <v>479</v>
      </c>
      <c r="BK592" s="55" t="s">
        <v>5976</v>
      </c>
      <c r="BM592" s="192" t="s">
        <v>119</v>
      </c>
      <c r="BN592" s="55">
        <v>4</v>
      </c>
      <c r="BO592" s="55">
        <v>4</v>
      </c>
      <c r="BQ592" s="55" t="s">
        <v>315</v>
      </c>
      <c r="FO592" s="65">
        <f>1.05</f>
        <v>1.05</v>
      </c>
      <c r="FP592" s="65">
        <f>0.19</f>
        <v>0.19</v>
      </c>
      <c r="FS592" s="65" t="s">
        <v>6376</v>
      </c>
      <c r="GD592" s="65">
        <v>0.26429999999999998</v>
      </c>
      <c r="GE592" s="65">
        <v>0.28239999999999998</v>
      </c>
      <c r="GH592" s="65" t="s">
        <v>423</v>
      </c>
      <c r="GP592" s="292" t="s">
        <v>7494</v>
      </c>
      <c r="HS592" s="227"/>
      <c r="HW592" s="227"/>
      <c r="JU592" s="55" t="s">
        <v>688</v>
      </c>
    </row>
    <row r="593" spans="1:281" x14ac:dyDescent="0.25">
      <c r="A593" s="55">
        <v>592</v>
      </c>
      <c r="B593" s="12" t="s">
        <v>7067</v>
      </c>
      <c r="C593" s="155">
        <v>30</v>
      </c>
      <c r="D593" s="55" t="s">
        <v>3797</v>
      </c>
      <c r="E593" s="90" t="s">
        <v>416</v>
      </c>
      <c r="G593" s="55" t="s">
        <v>417</v>
      </c>
      <c r="H593" s="55">
        <v>2002</v>
      </c>
      <c r="I593" s="55">
        <v>2000</v>
      </c>
      <c r="J593" s="55" t="s">
        <v>418</v>
      </c>
      <c r="K593" s="55" t="s">
        <v>419</v>
      </c>
      <c r="L593" s="55" t="s">
        <v>2737</v>
      </c>
      <c r="M593" s="90">
        <f>38+32/60</f>
        <v>38.533333333333331</v>
      </c>
      <c r="N593" s="90">
        <f>-121-47/60</f>
        <v>-121.78333333333333</v>
      </c>
      <c r="O593" s="90">
        <v>18.399999999999999</v>
      </c>
      <c r="S593" s="90">
        <v>483</v>
      </c>
      <c r="U593" s="55">
        <v>4</v>
      </c>
      <c r="V593" s="55" t="s">
        <v>1816</v>
      </c>
      <c r="Y593" s="55">
        <v>36572</v>
      </c>
      <c r="Z593" s="55" t="s">
        <v>1362</v>
      </c>
      <c r="AA593" s="90" t="s">
        <v>1683</v>
      </c>
      <c r="AE593" s="90">
        <v>36</v>
      </c>
      <c r="AF593" s="90">
        <v>46</v>
      </c>
      <c r="AH593" s="55" t="s">
        <v>139</v>
      </c>
      <c r="AM593" s="55" t="s">
        <v>1295</v>
      </c>
      <c r="AN593" s="185" t="s">
        <v>1497</v>
      </c>
      <c r="AO593" s="185" t="s">
        <v>5150</v>
      </c>
      <c r="AQ593" s="55" t="s">
        <v>553</v>
      </c>
      <c r="AR593" s="55" t="s">
        <v>1552</v>
      </c>
      <c r="AS593" s="55" t="s">
        <v>1577</v>
      </c>
      <c r="AT593" s="181" t="s">
        <v>420</v>
      </c>
      <c r="AU593" s="181" t="s">
        <v>5150</v>
      </c>
      <c r="AV593" s="185" t="s">
        <v>479</v>
      </c>
      <c r="AW593" s="55" t="s">
        <v>420</v>
      </c>
      <c r="AX593" s="185" t="s">
        <v>479</v>
      </c>
      <c r="AY593" s="55" t="s">
        <v>176</v>
      </c>
      <c r="BE593" s="226" t="s">
        <v>347</v>
      </c>
      <c r="BF593" s="191" t="s">
        <v>479</v>
      </c>
      <c r="BG593" s="55" t="s">
        <v>479</v>
      </c>
      <c r="BH593" s="226" t="s">
        <v>422</v>
      </c>
      <c r="BI593" s="55" t="s">
        <v>479</v>
      </c>
      <c r="BJ593" s="55" t="s">
        <v>479</v>
      </c>
      <c r="BK593" s="55" t="s">
        <v>5976</v>
      </c>
      <c r="BM593" s="192" t="s">
        <v>119</v>
      </c>
      <c r="BN593" s="55">
        <v>4</v>
      </c>
      <c r="BO593" s="55">
        <v>4</v>
      </c>
      <c r="BQ593" s="55" t="s">
        <v>315</v>
      </c>
      <c r="FO593" s="65">
        <f>1.05</f>
        <v>1.05</v>
      </c>
      <c r="FP593" s="65">
        <f>0.24</f>
        <v>0.24</v>
      </c>
      <c r="FS593" s="65" t="s">
        <v>6376</v>
      </c>
      <c r="GD593" s="65">
        <v>0.26429999999999998</v>
      </c>
      <c r="GE593" s="65">
        <v>0.2923</v>
      </c>
      <c r="GH593" s="65" t="s">
        <v>423</v>
      </c>
      <c r="GP593" s="292" t="s">
        <v>7494</v>
      </c>
      <c r="HS593" s="227"/>
      <c r="HW593" s="227"/>
      <c r="JU593" s="55" t="s">
        <v>688</v>
      </c>
    </row>
    <row r="594" spans="1:281" x14ac:dyDescent="0.25">
      <c r="A594" s="55">
        <v>593</v>
      </c>
      <c r="B594" s="12" t="s">
        <v>7067</v>
      </c>
      <c r="C594" s="155">
        <v>30</v>
      </c>
      <c r="D594" s="55" t="s">
        <v>3797</v>
      </c>
      <c r="E594" s="90" t="s">
        <v>416</v>
      </c>
      <c r="G594" s="55" t="s">
        <v>417</v>
      </c>
      <c r="H594" s="55">
        <v>2002</v>
      </c>
      <c r="I594" s="55">
        <v>2000</v>
      </c>
      <c r="J594" s="55" t="s">
        <v>418</v>
      </c>
      <c r="K594" s="55" t="s">
        <v>419</v>
      </c>
      <c r="L594" s="55" t="s">
        <v>2737</v>
      </c>
      <c r="M594" s="90">
        <f>38+32/60</f>
        <v>38.533333333333331</v>
      </c>
      <c r="N594" s="90">
        <f>-121-47/60</f>
        <v>-121.78333333333333</v>
      </c>
      <c r="O594" s="90">
        <v>18.399999999999999</v>
      </c>
      <c r="S594" s="90">
        <v>483</v>
      </c>
      <c r="U594" s="55">
        <v>4</v>
      </c>
      <c r="V594" s="55" t="s">
        <v>1816</v>
      </c>
      <c r="Y594" s="55">
        <v>36582</v>
      </c>
      <c r="Z594" s="55" t="s">
        <v>1362</v>
      </c>
      <c r="AA594" s="90" t="s">
        <v>1683</v>
      </c>
      <c r="AE594" s="90">
        <v>36</v>
      </c>
      <c r="AF594" s="90">
        <v>46</v>
      </c>
      <c r="AH594" s="55" t="s">
        <v>139</v>
      </c>
      <c r="AM594" s="55" t="s">
        <v>1295</v>
      </c>
      <c r="AN594" s="185" t="s">
        <v>1497</v>
      </c>
      <c r="AO594" s="185" t="s">
        <v>5150</v>
      </c>
      <c r="AQ594" s="55" t="s">
        <v>553</v>
      </c>
      <c r="AR594" s="55" t="s">
        <v>1552</v>
      </c>
      <c r="AS594" s="55" t="s">
        <v>1577</v>
      </c>
      <c r="AT594" s="181" t="s">
        <v>420</v>
      </c>
      <c r="AU594" s="181" t="s">
        <v>5150</v>
      </c>
      <c r="AV594" s="185" t="s">
        <v>479</v>
      </c>
      <c r="AW594" s="55" t="s">
        <v>420</v>
      </c>
      <c r="AX594" s="185" t="s">
        <v>479</v>
      </c>
      <c r="AY594" s="55" t="s">
        <v>176</v>
      </c>
      <c r="BE594" s="226" t="s">
        <v>347</v>
      </c>
      <c r="BF594" s="191" t="s">
        <v>479</v>
      </c>
      <c r="BG594" s="55" t="s">
        <v>479</v>
      </c>
      <c r="BH594" s="226" t="s">
        <v>421</v>
      </c>
      <c r="BI594" s="55" t="s">
        <v>479</v>
      </c>
      <c r="BJ594" s="55" t="s">
        <v>479</v>
      </c>
      <c r="BK594" s="55" t="s">
        <v>5976</v>
      </c>
      <c r="BM594" s="192" t="s">
        <v>119</v>
      </c>
      <c r="BN594" s="55">
        <v>4</v>
      </c>
      <c r="BO594" s="55">
        <v>4</v>
      </c>
      <c r="BQ594" s="55" t="s">
        <v>315</v>
      </c>
      <c r="FO594" s="65">
        <f>0.2</f>
        <v>0.2</v>
      </c>
      <c r="FP594" s="65">
        <f>0.2</f>
        <v>0.2</v>
      </c>
      <c r="FS594" s="65" t="s">
        <v>6376</v>
      </c>
      <c r="GD594" s="65">
        <v>0.26419999999999999</v>
      </c>
      <c r="GE594" s="65">
        <v>0.28589999999999999</v>
      </c>
      <c r="GH594" s="65" t="s">
        <v>423</v>
      </c>
      <c r="GP594" s="292" t="s">
        <v>7494</v>
      </c>
      <c r="HS594" s="227"/>
      <c r="HW594" s="227"/>
      <c r="JU594" s="55" t="s">
        <v>688</v>
      </c>
    </row>
    <row r="595" spans="1:281" x14ac:dyDescent="0.25">
      <c r="A595" s="55">
        <v>594</v>
      </c>
      <c r="B595" s="12" t="s">
        <v>7067</v>
      </c>
      <c r="C595" s="155">
        <v>30</v>
      </c>
      <c r="D595" s="55" t="s">
        <v>3797</v>
      </c>
      <c r="E595" s="90" t="s">
        <v>416</v>
      </c>
      <c r="G595" s="55" t="s">
        <v>417</v>
      </c>
      <c r="H595" s="55">
        <v>2002</v>
      </c>
      <c r="I595" s="55">
        <v>2000</v>
      </c>
      <c r="J595" s="55" t="s">
        <v>418</v>
      </c>
      <c r="K595" s="55" t="s">
        <v>419</v>
      </c>
      <c r="L595" s="55" t="s">
        <v>2737</v>
      </c>
      <c r="M595" s="90">
        <f>38+32/60</f>
        <v>38.533333333333331</v>
      </c>
      <c r="N595" s="90">
        <f>-121-47/60</f>
        <v>-121.78333333333333</v>
      </c>
      <c r="O595" s="90">
        <v>18.399999999999999</v>
      </c>
      <c r="S595" s="90">
        <v>483</v>
      </c>
      <c r="U595" s="55">
        <v>4</v>
      </c>
      <c r="V595" s="55" t="s">
        <v>1816</v>
      </c>
      <c r="Y595" s="55">
        <v>36582</v>
      </c>
      <c r="Z595" s="55" t="s">
        <v>1362</v>
      </c>
      <c r="AA595" s="90" t="s">
        <v>1683</v>
      </c>
      <c r="AE595" s="90">
        <v>36</v>
      </c>
      <c r="AF595" s="90">
        <v>46</v>
      </c>
      <c r="AH595" s="55" t="s">
        <v>139</v>
      </c>
      <c r="AM595" s="55" t="s">
        <v>1295</v>
      </c>
      <c r="AN595" s="185" t="s">
        <v>1497</v>
      </c>
      <c r="AO595" s="185" t="s">
        <v>5150</v>
      </c>
      <c r="AQ595" s="55" t="s">
        <v>553</v>
      </c>
      <c r="AR595" s="55" t="s">
        <v>1552</v>
      </c>
      <c r="AS595" s="55" t="s">
        <v>1577</v>
      </c>
      <c r="AT595" s="181" t="s">
        <v>420</v>
      </c>
      <c r="AU595" s="181" t="s">
        <v>5150</v>
      </c>
      <c r="AV595" s="185" t="s">
        <v>479</v>
      </c>
      <c r="AW595" s="55" t="s">
        <v>420</v>
      </c>
      <c r="AX595" s="185" t="s">
        <v>479</v>
      </c>
      <c r="AY595" s="55" t="s">
        <v>176</v>
      </c>
      <c r="BE595" s="226" t="s">
        <v>347</v>
      </c>
      <c r="BF595" s="191" t="s">
        <v>479</v>
      </c>
      <c r="BG595" s="55" t="s">
        <v>479</v>
      </c>
      <c r="BH595" s="226" t="s">
        <v>422</v>
      </c>
      <c r="BI595" s="55" t="s">
        <v>479</v>
      </c>
      <c r="BJ595" s="55" t="s">
        <v>479</v>
      </c>
      <c r="BK595" s="55" t="s">
        <v>5976</v>
      </c>
      <c r="BM595" s="192" t="s">
        <v>119</v>
      </c>
      <c r="BN595" s="55">
        <v>4</v>
      </c>
      <c r="BO595" s="55">
        <v>4</v>
      </c>
      <c r="BQ595" s="55" t="s">
        <v>315</v>
      </c>
      <c r="FO595" s="65">
        <f>0.2</f>
        <v>0.2</v>
      </c>
      <c r="FP595" s="65">
        <f>0.1</f>
        <v>0.1</v>
      </c>
      <c r="FS595" s="65" t="s">
        <v>6376</v>
      </c>
      <c r="GD595" s="65">
        <v>0.26419999999999999</v>
      </c>
      <c r="GE595" s="65">
        <v>0.29049999999999998</v>
      </c>
      <c r="GH595" s="65" t="s">
        <v>423</v>
      </c>
      <c r="GP595" s="292" t="s">
        <v>7494</v>
      </c>
      <c r="HS595" s="227"/>
      <c r="HW595" s="227"/>
      <c r="JU595" s="55" t="s">
        <v>688</v>
      </c>
    </row>
    <row r="596" spans="1:281" x14ac:dyDescent="0.25">
      <c r="A596" s="55">
        <v>595</v>
      </c>
      <c r="B596" s="12" t="s">
        <v>7067</v>
      </c>
      <c r="C596" s="155">
        <v>30</v>
      </c>
      <c r="D596" s="55" t="s">
        <v>3797</v>
      </c>
      <c r="E596" s="90" t="s">
        <v>416</v>
      </c>
      <c r="G596" s="55" t="s">
        <v>417</v>
      </c>
      <c r="H596" s="55">
        <v>2002</v>
      </c>
      <c r="I596" s="55">
        <v>2000</v>
      </c>
      <c r="J596" s="55" t="s">
        <v>418</v>
      </c>
      <c r="K596" s="55" t="s">
        <v>419</v>
      </c>
      <c r="L596" s="55" t="s">
        <v>2737</v>
      </c>
      <c r="M596" s="90">
        <f>38+32/60</f>
        <v>38.533333333333331</v>
      </c>
      <c r="N596" s="90">
        <f>-121-47/60</f>
        <v>-121.78333333333333</v>
      </c>
      <c r="O596" s="90">
        <v>18.399999999999999</v>
      </c>
      <c r="S596" s="90">
        <v>483</v>
      </c>
      <c r="U596" s="55">
        <v>4</v>
      </c>
      <c r="V596" s="55" t="s">
        <v>1816</v>
      </c>
      <c r="Y596" s="55">
        <v>36587</v>
      </c>
      <c r="Z596" s="55" t="s">
        <v>1362</v>
      </c>
      <c r="AA596" s="90" t="s">
        <v>1683</v>
      </c>
      <c r="AE596" s="90">
        <v>36</v>
      </c>
      <c r="AF596" s="90">
        <v>46</v>
      </c>
      <c r="AH596" s="55" t="s">
        <v>139</v>
      </c>
      <c r="AM596" s="55" t="s">
        <v>1295</v>
      </c>
      <c r="AN596" s="185" t="s">
        <v>1497</v>
      </c>
      <c r="AO596" s="185" t="s">
        <v>5150</v>
      </c>
      <c r="AQ596" s="55" t="s">
        <v>553</v>
      </c>
      <c r="AR596" s="55" t="s">
        <v>1552</v>
      </c>
      <c r="AS596" s="55" t="s">
        <v>1577</v>
      </c>
      <c r="AT596" s="181" t="s">
        <v>420</v>
      </c>
      <c r="AU596" s="181" t="s">
        <v>5150</v>
      </c>
      <c r="AV596" s="185" t="s">
        <v>479</v>
      </c>
      <c r="AW596" s="55" t="s">
        <v>420</v>
      </c>
      <c r="AX596" s="185" t="s">
        <v>479</v>
      </c>
      <c r="AY596" s="55" t="s">
        <v>176</v>
      </c>
      <c r="BE596" s="226" t="s">
        <v>347</v>
      </c>
      <c r="BF596" s="191" t="s">
        <v>479</v>
      </c>
      <c r="BG596" s="55" t="s">
        <v>479</v>
      </c>
      <c r="BH596" s="226" t="s">
        <v>421</v>
      </c>
      <c r="BI596" s="55" t="s">
        <v>479</v>
      </c>
      <c r="BJ596" s="55" t="s">
        <v>479</v>
      </c>
      <c r="BK596" s="55" t="s">
        <v>5976</v>
      </c>
      <c r="BM596" s="192" t="s">
        <v>119</v>
      </c>
      <c r="BN596" s="55">
        <v>4</v>
      </c>
      <c r="BO596" s="55">
        <v>4</v>
      </c>
      <c r="BQ596" s="55" t="s">
        <v>315</v>
      </c>
      <c r="FO596" s="65">
        <f>23.11</f>
        <v>23.11</v>
      </c>
      <c r="FP596" s="65">
        <f>1.48</f>
        <v>1.48</v>
      </c>
      <c r="FS596" s="65" t="s">
        <v>6376</v>
      </c>
      <c r="GD596" s="65">
        <v>0.26150000000000001</v>
      </c>
      <c r="GE596" s="65">
        <v>0.28589999999999999</v>
      </c>
      <c r="GH596" s="65" t="s">
        <v>423</v>
      </c>
      <c r="GP596" s="292" t="s">
        <v>7494</v>
      </c>
      <c r="HS596" s="227"/>
      <c r="HW596" s="227"/>
      <c r="JU596" s="55" t="s">
        <v>688</v>
      </c>
    </row>
    <row r="597" spans="1:281" x14ac:dyDescent="0.25">
      <c r="A597" s="55">
        <v>596</v>
      </c>
      <c r="B597" s="12" t="s">
        <v>7067</v>
      </c>
      <c r="C597" s="155">
        <v>30</v>
      </c>
      <c r="D597" s="55" t="s">
        <v>3797</v>
      </c>
      <c r="E597" s="90" t="s">
        <v>416</v>
      </c>
      <c r="G597" s="55" t="s">
        <v>417</v>
      </c>
      <c r="H597" s="55">
        <v>2002</v>
      </c>
      <c r="I597" s="55">
        <v>2000</v>
      </c>
      <c r="J597" s="55" t="s">
        <v>418</v>
      </c>
      <c r="K597" s="55" t="s">
        <v>419</v>
      </c>
      <c r="L597" s="55" t="s">
        <v>2737</v>
      </c>
      <c r="M597" s="90">
        <f>38+32/60</f>
        <v>38.533333333333331</v>
      </c>
      <c r="N597" s="90">
        <f>-121-47/60</f>
        <v>-121.78333333333333</v>
      </c>
      <c r="O597" s="90">
        <v>18.399999999999999</v>
      </c>
      <c r="S597" s="90">
        <v>483</v>
      </c>
      <c r="U597" s="55">
        <v>4</v>
      </c>
      <c r="V597" s="55" t="s">
        <v>1816</v>
      </c>
      <c r="Y597" s="55">
        <v>36587</v>
      </c>
      <c r="Z597" s="55" t="s">
        <v>1362</v>
      </c>
      <c r="AA597" s="90" t="s">
        <v>1683</v>
      </c>
      <c r="AE597" s="90">
        <v>36</v>
      </c>
      <c r="AF597" s="90">
        <v>46</v>
      </c>
      <c r="AH597" s="55" t="s">
        <v>139</v>
      </c>
      <c r="AM597" s="55" t="s">
        <v>1295</v>
      </c>
      <c r="AN597" s="185" t="s">
        <v>1497</v>
      </c>
      <c r="AO597" s="185" t="s">
        <v>5150</v>
      </c>
      <c r="AQ597" s="55" t="s">
        <v>553</v>
      </c>
      <c r="AR597" s="55" t="s">
        <v>1552</v>
      </c>
      <c r="AS597" s="55" t="s">
        <v>1577</v>
      </c>
      <c r="AT597" s="181" t="s">
        <v>420</v>
      </c>
      <c r="AU597" s="181" t="s">
        <v>5150</v>
      </c>
      <c r="AV597" s="185" t="s">
        <v>479</v>
      </c>
      <c r="AW597" s="55" t="s">
        <v>420</v>
      </c>
      <c r="AX597" s="185" t="s">
        <v>479</v>
      </c>
      <c r="AY597" s="55" t="s">
        <v>176</v>
      </c>
      <c r="BE597" s="226" t="s">
        <v>347</v>
      </c>
      <c r="BF597" s="191" t="s">
        <v>479</v>
      </c>
      <c r="BG597" s="55" t="s">
        <v>479</v>
      </c>
      <c r="BH597" s="226" t="s">
        <v>422</v>
      </c>
      <c r="BI597" s="55" t="s">
        <v>479</v>
      </c>
      <c r="BJ597" s="55" t="s">
        <v>479</v>
      </c>
      <c r="BK597" s="55" t="s">
        <v>5976</v>
      </c>
      <c r="BM597" s="192" t="s">
        <v>119</v>
      </c>
      <c r="BN597" s="55">
        <v>4</v>
      </c>
      <c r="BO597" s="55">
        <v>4</v>
      </c>
      <c r="BQ597" s="55" t="s">
        <v>315</v>
      </c>
      <c r="FO597" s="65">
        <f>23.11</f>
        <v>23.11</v>
      </c>
      <c r="FP597" s="65">
        <f>2.56</f>
        <v>2.56</v>
      </c>
      <c r="FS597" s="65" t="s">
        <v>6376</v>
      </c>
      <c r="GD597" s="65">
        <v>0.26150000000000001</v>
      </c>
      <c r="GE597" s="65">
        <v>0.2913</v>
      </c>
      <c r="GH597" s="65" t="s">
        <v>423</v>
      </c>
      <c r="GP597" s="292" t="s">
        <v>7494</v>
      </c>
      <c r="HS597" s="227"/>
      <c r="HW597" s="227"/>
      <c r="JU597" s="55" t="s">
        <v>688</v>
      </c>
    </row>
    <row r="598" spans="1:281" x14ac:dyDescent="0.25">
      <c r="A598" s="55">
        <v>597</v>
      </c>
      <c r="B598" s="12" t="s">
        <v>7067</v>
      </c>
      <c r="C598" s="155">
        <v>30</v>
      </c>
      <c r="D598" s="55" t="s">
        <v>3797</v>
      </c>
      <c r="E598" s="90" t="s">
        <v>416</v>
      </c>
      <c r="G598" s="55" t="s">
        <v>417</v>
      </c>
      <c r="H598" s="55">
        <v>2002</v>
      </c>
      <c r="I598" s="55">
        <v>2000</v>
      </c>
      <c r="J598" s="55" t="s">
        <v>418</v>
      </c>
      <c r="K598" s="55" t="s">
        <v>419</v>
      </c>
      <c r="L598" s="55" t="s">
        <v>2737</v>
      </c>
      <c r="M598" s="90">
        <f>38+32/60</f>
        <v>38.533333333333331</v>
      </c>
      <c r="N598" s="90">
        <f>-121-47/60</f>
        <v>-121.78333333333333</v>
      </c>
      <c r="O598" s="90">
        <v>18.399999999999999</v>
      </c>
      <c r="S598" s="90">
        <v>483</v>
      </c>
      <c r="U598" s="55">
        <v>4</v>
      </c>
      <c r="V598" s="55" t="s">
        <v>1816</v>
      </c>
      <c r="Y598" s="55">
        <v>36598</v>
      </c>
      <c r="Z598" s="55" t="s">
        <v>1362</v>
      </c>
      <c r="AA598" s="90" t="s">
        <v>1683</v>
      </c>
      <c r="AE598" s="90">
        <v>36</v>
      </c>
      <c r="AF598" s="90">
        <v>46</v>
      </c>
      <c r="AH598" s="55" t="s">
        <v>139</v>
      </c>
      <c r="AM598" s="55" t="s">
        <v>1295</v>
      </c>
      <c r="AN598" s="185" t="s">
        <v>1497</v>
      </c>
      <c r="AO598" s="185" t="s">
        <v>5150</v>
      </c>
      <c r="AQ598" s="55" t="s">
        <v>553</v>
      </c>
      <c r="AR598" s="55" t="s">
        <v>1552</v>
      </c>
      <c r="AS598" s="55" t="s">
        <v>1577</v>
      </c>
      <c r="AT598" s="181" t="s">
        <v>420</v>
      </c>
      <c r="AU598" s="181" t="s">
        <v>5150</v>
      </c>
      <c r="AV598" s="185" t="s">
        <v>479</v>
      </c>
      <c r="AW598" s="55" t="s">
        <v>420</v>
      </c>
      <c r="AX598" s="185" t="s">
        <v>479</v>
      </c>
      <c r="AY598" s="55" t="s">
        <v>176</v>
      </c>
      <c r="BE598" s="226" t="s">
        <v>347</v>
      </c>
      <c r="BF598" s="191" t="s">
        <v>479</v>
      </c>
      <c r="BG598" s="55" t="s">
        <v>479</v>
      </c>
      <c r="BH598" s="226" t="s">
        <v>421</v>
      </c>
      <c r="BI598" s="55" t="s">
        <v>479</v>
      </c>
      <c r="BJ598" s="55" t="s">
        <v>479</v>
      </c>
      <c r="BK598" s="55" t="s">
        <v>5976</v>
      </c>
      <c r="BM598" s="192" t="s">
        <v>119</v>
      </c>
      <c r="BN598" s="55">
        <v>4</v>
      </c>
      <c r="BO598" s="55">
        <v>4</v>
      </c>
      <c r="BQ598" s="55" t="s">
        <v>315</v>
      </c>
      <c r="FO598" s="65">
        <f>30.62</f>
        <v>30.62</v>
      </c>
      <c r="FP598" s="65">
        <f>4.93</f>
        <v>4.93</v>
      </c>
      <c r="FS598" s="65" t="s">
        <v>6376</v>
      </c>
      <c r="GD598" s="65">
        <v>0.24779999999999999</v>
      </c>
      <c r="GE598" s="65">
        <v>0.25690000000000002</v>
      </c>
      <c r="GH598" s="65" t="s">
        <v>423</v>
      </c>
      <c r="GP598" s="292" t="s">
        <v>7494</v>
      </c>
      <c r="HS598" s="227"/>
      <c r="HW598" s="227"/>
      <c r="JU598" s="55" t="s">
        <v>688</v>
      </c>
    </row>
    <row r="599" spans="1:281" x14ac:dyDescent="0.25">
      <c r="A599" s="55">
        <v>598</v>
      </c>
      <c r="B599" s="12" t="s">
        <v>7067</v>
      </c>
      <c r="C599" s="155">
        <v>30</v>
      </c>
      <c r="D599" s="55" t="s">
        <v>3797</v>
      </c>
      <c r="E599" s="90" t="s">
        <v>416</v>
      </c>
      <c r="G599" s="55" t="s">
        <v>417</v>
      </c>
      <c r="H599" s="55">
        <v>2002</v>
      </c>
      <c r="I599" s="55">
        <v>2000</v>
      </c>
      <c r="J599" s="55" t="s">
        <v>418</v>
      </c>
      <c r="K599" s="55" t="s">
        <v>419</v>
      </c>
      <c r="L599" s="55" t="s">
        <v>2737</v>
      </c>
      <c r="M599" s="90">
        <f>38+32/60</f>
        <v>38.533333333333331</v>
      </c>
      <c r="N599" s="90">
        <f>-121-47/60</f>
        <v>-121.78333333333333</v>
      </c>
      <c r="O599" s="90">
        <v>18.399999999999999</v>
      </c>
      <c r="S599" s="90">
        <v>483</v>
      </c>
      <c r="U599" s="55">
        <v>4</v>
      </c>
      <c r="V599" s="55" t="s">
        <v>1816</v>
      </c>
      <c r="Y599" s="55">
        <v>36598</v>
      </c>
      <c r="Z599" s="55" t="s">
        <v>1362</v>
      </c>
      <c r="AA599" s="90" t="s">
        <v>1683</v>
      </c>
      <c r="AE599" s="90">
        <v>36</v>
      </c>
      <c r="AF599" s="90">
        <v>46</v>
      </c>
      <c r="AH599" s="55" t="s">
        <v>139</v>
      </c>
      <c r="AM599" s="55" t="s">
        <v>1295</v>
      </c>
      <c r="AN599" s="185" t="s">
        <v>1497</v>
      </c>
      <c r="AO599" s="185" t="s">
        <v>5150</v>
      </c>
      <c r="AQ599" s="55" t="s">
        <v>553</v>
      </c>
      <c r="AR599" s="55" t="s">
        <v>1552</v>
      </c>
      <c r="AS599" s="55" t="s">
        <v>1577</v>
      </c>
      <c r="AT599" s="181" t="s">
        <v>420</v>
      </c>
      <c r="AU599" s="181" t="s">
        <v>5150</v>
      </c>
      <c r="AV599" s="185" t="s">
        <v>479</v>
      </c>
      <c r="AW599" s="55" t="s">
        <v>420</v>
      </c>
      <c r="AX599" s="185" t="s">
        <v>479</v>
      </c>
      <c r="AY599" s="55" t="s">
        <v>176</v>
      </c>
      <c r="BE599" s="226" t="s">
        <v>347</v>
      </c>
      <c r="BF599" s="191" t="s">
        <v>479</v>
      </c>
      <c r="BG599" s="55" t="s">
        <v>479</v>
      </c>
      <c r="BH599" s="226" t="s">
        <v>422</v>
      </c>
      <c r="BI599" s="55" t="s">
        <v>479</v>
      </c>
      <c r="BJ599" s="55" t="s">
        <v>479</v>
      </c>
      <c r="BK599" s="55" t="s">
        <v>5976</v>
      </c>
      <c r="BM599" s="192" t="s">
        <v>119</v>
      </c>
      <c r="BN599" s="55">
        <v>4</v>
      </c>
      <c r="BO599" s="55">
        <v>4</v>
      </c>
      <c r="BQ599" s="55" t="s">
        <v>315</v>
      </c>
      <c r="FO599" s="65">
        <f>30.62</f>
        <v>30.62</v>
      </c>
      <c r="FP599" s="65">
        <f>6.03</f>
        <v>6.03</v>
      </c>
      <c r="FS599" s="65" t="s">
        <v>6376</v>
      </c>
      <c r="GD599" s="65">
        <v>0.24779999999999999</v>
      </c>
      <c r="GE599" s="65">
        <v>0.2641</v>
      </c>
      <c r="GH599" s="65" t="s">
        <v>423</v>
      </c>
      <c r="GP599" s="292" t="s">
        <v>7494</v>
      </c>
      <c r="HS599" s="227"/>
      <c r="HW599" s="227"/>
      <c r="JU599" s="55" t="s">
        <v>688</v>
      </c>
    </row>
    <row r="600" spans="1:281" x14ac:dyDescent="0.25">
      <c r="A600" s="55">
        <v>599</v>
      </c>
      <c r="B600" s="12" t="s">
        <v>7067</v>
      </c>
      <c r="C600" s="155">
        <v>30</v>
      </c>
      <c r="D600" s="55" t="s">
        <v>3798</v>
      </c>
      <c r="E600" s="90" t="s">
        <v>416</v>
      </c>
      <c r="G600" s="55" t="s">
        <v>417</v>
      </c>
      <c r="H600" s="55">
        <v>2002</v>
      </c>
      <c r="I600" s="55">
        <v>1998</v>
      </c>
      <c r="J600" s="55" t="s">
        <v>418</v>
      </c>
      <c r="K600" s="55" t="s">
        <v>419</v>
      </c>
      <c r="L600" s="55" t="s">
        <v>2737</v>
      </c>
      <c r="M600" s="90">
        <f>38+32/60</f>
        <v>38.533333333333331</v>
      </c>
      <c r="N600" s="90">
        <f>-121-47/60</f>
        <v>-121.78333333333333</v>
      </c>
      <c r="O600" s="90">
        <v>18.399999999999999</v>
      </c>
      <c r="S600" s="90">
        <v>483</v>
      </c>
      <c r="U600" s="55">
        <v>2</v>
      </c>
      <c r="V600" s="55" t="s">
        <v>1816</v>
      </c>
      <c r="Y600" s="55">
        <v>36145</v>
      </c>
      <c r="Z600" s="55" t="s">
        <v>1363</v>
      </c>
      <c r="AA600" s="90" t="s">
        <v>1684</v>
      </c>
      <c r="AE600" s="90">
        <v>36</v>
      </c>
      <c r="AF600" s="90">
        <v>46</v>
      </c>
      <c r="AH600" s="55" t="s">
        <v>139</v>
      </c>
      <c r="AM600" s="55" t="s">
        <v>1295</v>
      </c>
      <c r="AN600" s="185" t="s">
        <v>1497</v>
      </c>
      <c r="AO600" s="185" t="s">
        <v>5150</v>
      </c>
      <c r="AQ600" s="55" t="s">
        <v>553</v>
      </c>
      <c r="AR600" s="55" t="s">
        <v>1552</v>
      </c>
      <c r="AS600" s="55" t="s">
        <v>1577</v>
      </c>
      <c r="AT600" s="181" t="s">
        <v>420</v>
      </c>
      <c r="AU600" s="181" t="s">
        <v>5150</v>
      </c>
      <c r="AV600" s="185" t="s">
        <v>479</v>
      </c>
      <c r="AW600" s="55" t="s">
        <v>420</v>
      </c>
      <c r="AX600" s="185" t="s">
        <v>479</v>
      </c>
      <c r="AY600" s="55" t="s">
        <v>176</v>
      </c>
      <c r="BE600" s="226" t="s">
        <v>347</v>
      </c>
      <c r="BF600" s="191" t="s">
        <v>479</v>
      </c>
      <c r="BG600" s="55" t="s">
        <v>479</v>
      </c>
      <c r="BH600" s="226" t="s">
        <v>421</v>
      </c>
      <c r="BI600" s="55" t="s">
        <v>479</v>
      </c>
      <c r="BJ600" s="55" t="s">
        <v>479</v>
      </c>
      <c r="BK600" s="55" t="s">
        <v>5976</v>
      </c>
      <c r="BM600" s="192" t="s">
        <v>119</v>
      </c>
      <c r="BN600" s="55">
        <v>4</v>
      </c>
      <c r="BO600" s="55">
        <v>4</v>
      </c>
      <c r="BQ600" s="55" t="s">
        <v>315</v>
      </c>
      <c r="FO600" s="65">
        <f>3.18</f>
        <v>3.18</v>
      </c>
      <c r="FP600" s="65">
        <f>0.69</f>
        <v>0.69</v>
      </c>
      <c r="FS600" s="65" t="s">
        <v>6376</v>
      </c>
      <c r="GD600" s="65">
        <v>0.11459999999999999</v>
      </c>
      <c r="GE600" s="65">
        <v>0.11269999999999999</v>
      </c>
      <c r="GH600" s="65" t="s">
        <v>423</v>
      </c>
      <c r="GP600" s="292" t="s">
        <v>7494</v>
      </c>
      <c r="HS600" s="227"/>
      <c r="HW600" s="227"/>
      <c r="JU600" s="55" t="s">
        <v>688</v>
      </c>
    </row>
    <row r="601" spans="1:281" x14ac:dyDescent="0.25">
      <c r="A601" s="55">
        <v>600</v>
      </c>
      <c r="B601" s="12" t="s">
        <v>7067</v>
      </c>
      <c r="C601" s="155">
        <v>30</v>
      </c>
      <c r="D601" s="55" t="s">
        <v>3798</v>
      </c>
      <c r="E601" s="90" t="s">
        <v>416</v>
      </c>
      <c r="G601" s="55" t="s">
        <v>417</v>
      </c>
      <c r="H601" s="55">
        <v>2002</v>
      </c>
      <c r="I601" s="55">
        <v>1998</v>
      </c>
      <c r="J601" s="55" t="s">
        <v>418</v>
      </c>
      <c r="K601" s="55" t="s">
        <v>419</v>
      </c>
      <c r="L601" s="55" t="s">
        <v>2737</v>
      </c>
      <c r="M601" s="90">
        <f>38+32/60</f>
        <v>38.533333333333331</v>
      </c>
      <c r="N601" s="90">
        <f>-121-47/60</f>
        <v>-121.78333333333333</v>
      </c>
      <c r="O601" s="90">
        <v>18.399999999999999</v>
      </c>
      <c r="S601" s="90">
        <v>483</v>
      </c>
      <c r="U601" s="55">
        <v>2</v>
      </c>
      <c r="V601" s="55" t="s">
        <v>1816</v>
      </c>
      <c r="Y601" s="55">
        <v>36145</v>
      </c>
      <c r="Z601" s="55" t="s">
        <v>1363</v>
      </c>
      <c r="AA601" s="90" t="s">
        <v>1684</v>
      </c>
      <c r="AE601" s="90">
        <v>36</v>
      </c>
      <c r="AF601" s="90">
        <v>46</v>
      </c>
      <c r="AH601" s="55" t="s">
        <v>139</v>
      </c>
      <c r="AM601" s="55" t="s">
        <v>1295</v>
      </c>
      <c r="AN601" s="185" t="s">
        <v>1497</v>
      </c>
      <c r="AO601" s="185" t="s">
        <v>5150</v>
      </c>
      <c r="AQ601" s="55" t="s">
        <v>553</v>
      </c>
      <c r="AR601" s="55" t="s">
        <v>1552</v>
      </c>
      <c r="AS601" s="55" t="s">
        <v>1577</v>
      </c>
      <c r="AT601" s="181" t="s">
        <v>420</v>
      </c>
      <c r="AU601" s="181" t="s">
        <v>5150</v>
      </c>
      <c r="AV601" s="185" t="s">
        <v>479</v>
      </c>
      <c r="AW601" s="55" t="s">
        <v>420</v>
      </c>
      <c r="AX601" s="185" t="s">
        <v>479</v>
      </c>
      <c r="AY601" s="55" t="s">
        <v>176</v>
      </c>
      <c r="BE601" s="226" t="s">
        <v>347</v>
      </c>
      <c r="BF601" s="191" t="s">
        <v>479</v>
      </c>
      <c r="BG601" s="55" t="s">
        <v>479</v>
      </c>
      <c r="BH601" s="226" t="s">
        <v>422</v>
      </c>
      <c r="BI601" s="55" t="s">
        <v>479</v>
      </c>
      <c r="BJ601" s="55" t="s">
        <v>479</v>
      </c>
      <c r="BK601" s="55" t="s">
        <v>5976</v>
      </c>
      <c r="BM601" s="192" t="s">
        <v>119</v>
      </c>
      <c r="BN601" s="55">
        <v>4</v>
      </c>
      <c r="BO601" s="55">
        <v>4</v>
      </c>
      <c r="BQ601" s="55" t="s">
        <v>315</v>
      </c>
      <c r="FO601" s="65">
        <f>3.18</f>
        <v>3.18</v>
      </c>
      <c r="FP601" s="65">
        <f>0.22</f>
        <v>0.22</v>
      </c>
      <c r="FS601" s="65" t="s">
        <v>6376</v>
      </c>
      <c r="GD601" s="65">
        <v>0.11459999999999999</v>
      </c>
      <c r="GE601" s="65">
        <v>0.114</v>
      </c>
      <c r="GH601" s="65" t="s">
        <v>423</v>
      </c>
      <c r="GP601" s="292" t="s">
        <v>7494</v>
      </c>
      <c r="HS601" s="227"/>
      <c r="HW601" s="227"/>
      <c r="JU601" s="55" t="s">
        <v>688</v>
      </c>
    </row>
    <row r="602" spans="1:281" x14ac:dyDescent="0.25">
      <c r="A602" s="55">
        <v>601</v>
      </c>
      <c r="B602" s="12" t="s">
        <v>7067</v>
      </c>
      <c r="C602" s="155">
        <v>30</v>
      </c>
      <c r="D602" s="55" t="s">
        <v>3798</v>
      </c>
      <c r="E602" s="90" t="s">
        <v>416</v>
      </c>
      <c r="G602" s="55" t="s">
        <v>417</v>
      </c>
      <c r="H602" s="55">
        <v>2002</v>
      </c>
      <c r="I602" s="55">
        <v>1999</v>
      </c>
      <c r="J602" s="55" t="s">
        <v>418</v>
      </c>
      <c r="K602" s="55" t="s">
        <v>419</v>
      </c>
      <c r="L602" s="55" t="s">
        <v>2737</v>
      </c>
      <c r="M602" s="90">
        <f>38+32/60</f>
        <v>38.533333333333331</v>
      </c>
      <c r="N602" s="90">
        <f>-121-47/60</f>
        <v>-121.78333333333333</v>
      </c>
      <c r="O602" s="90">
        <v>18.399999999999999</v>
      </c>
      <c r="S602" s="90">
        <v>483</v>
      </c>
      <c r="U602" s="55">
        <v>3</v>
      </c>
      <c r="V602" s="55" t="s">
        <v>1816</v>
      </c>
      <c r="Y602" s="55">
        <v>36170</v>
      </c>
      <c r="Z602" s="55" t="s">
        <v>1363</v>
      </c>
      <c r="AA602" s="90" t="s">
        <v>1684</v>
      </c>
      <c r="AE602" s="90">
        <v>36</v>
      </c>
      <c r="AF602" s="90">
        <v>46</v>
      </c>
      <c r="AH602" s="55" t="s">
        <v>139</v>
      </c>
      <c r="AM602" s="55" t="s">
        <v>1295</v>
      </c>
      <c r="AN602" s="185" t="s">
        <v>1497</v>
      </c>
      <c r="AO602" s="185" t="s">
        <v>5150</v>
      </c>
      <c r="AQ602" s="55" t="s">
        <v>553</v>
      </c>
      <c r="AR602" s="55" t="s">
        <v>1552</v>
      </c>
      <c r="AS602" s="55" t="s">
        <v>1577</v>
      </c>
      <c r="AT602" s="181" t="s">
        <v>420</v>
      </c>
      <c r="AU602" s="181" t="s">
        <v>5150</v>
      </c>
      <c r="AV602" s="185" t="s">
        <v>479</v>
      </c>
      <c r="AW602" s="55" t="s">
        <v>420</v>
      </c>
      <c r="AX602" s="185" t="s">
        <v>479</v>
      </c>
      <c r="AY602" s="55" t="s">
        <v>176</v>
      </c>
      <c r="BE602" s="226" t="s">
        <v>347</v>
      </c>
      <c r="BF602" s="191" t="s">
        <v>479</v>
      </c>
      <c r="BG602" s="55" t="s">
        <v>479</v>
      </c>
      <c r="BH602" s="226" t="s">
        <v>421</v>
      </c>
      <c r="BI602" s="55" t="s">
        <v>479</v>
      </c>
      <c r="BJ602" s="55" t="s">
        <v>479</v>
      </c>
      <c r="BK602" s="55" t="s">
        <v>5976</v>
      </c>
      <c r="BM602" s="192" t="s">
        <v>119</v>
      </c>
      <c r="BN602" s="55">
        <v>4</v>
      </c>
      <c r="BO602" s="55">
        <v>4</v>
      </c>
      <c r="BQ602" s="55" t="s">
        <v>315</v>
      </c>
      <c r="FO602" s="65">
        <f>0.61</f>
        <v>0.61</v>
      </c>
      <c r="FP602" s="65">
        <f>0.3</f>
        <v>0.3</v>
      </c>
      <c r="FS602" s="65" t="s">
        <v>6376</v>
      </c>
      <c r="GD602" s="65">
        <v>0.1154</v>
      </c>
      <c r="GE602" s="65">
        <v>0.15540000000000001</v>
      </c>
      <c r="GH602" s="65" t="s">
        <v>423</v>
      </c>
      <c r="GP602" s="292" t="s">
        <v>7494</v>
      </c>
      <c r="HS602" s="227"/>
      <c r="HW602" s="227"/>
      <c r="JU602" s="55" t="s">
        <v>688</v>
      </c>
    </row>
    <row r="603" spans="1:281" x14ac:dyDescent="0.25">
      <c r="A603" s="55">
        <v>602</v>
      </c>
      <c r="B603" s="12" t="s">
        <v>7067</v>
      </c>
      <c r="C603" s="155">
        <v>30</v>
      </c>
      <c r="D603" s="55" t="s">
        <v>3798</v>
      </c>
      <c r="E603" s="90" t="s">
        <v>416</v>
      </c>
      <c r="G603" s="55" t="s">
        <v>417</v>
      </c>
      <c r="H603" s="55">
        <v>2002</v>
      </c>
      <c r="I603" s="55">
        <v>1999</v>
      </c>
      <c r="J603" s="55" t="s">
        <v>418</v>
      </c>
      <c r="K603" s="55" t="s">
        <v>419</v>
      </c>
      <c r="L603" s="55" t="s">
        <v>2737</v>
      </c>
      <c r="M603" s="90">
        <f>38+32/60</f>
        <v>38.533333333333331</v>
      </c>
      <c r="N603" s="90">
        <f>-121-47/60</f>
        <v>-121.78333333333333</v>
      </c>
      <c r="O603" s="90">
        <v>18.399999999999999</v>
      </c>
      <c r="S603" s="90">
        <v>483</v>
      </c>
      <c r="U603" s="55">
        <v>3</v>
      </c>
      <c r="V603" s="55" t="s">
        <v>1816</v>
      </c>
      <c r="Y603" s="55">
        <v>36170</v>
      </c>
      <c r="Z603" s="55" t="s">
        <v>1363</v>
      </c>
      <c r="AA603" s="90" t="s">
        <v>1684</v>
      </c>
      <c r="AE603" s="90">
        <v>36</v>
      </c>
      <c r="AF603" s="90">
        <v>46</v>
      </c>
      <c r="AH603" s="55" t="s">
        <v>139</v>
      </c>
      <c r="AM603" s="55" t="s">
        <v>1295</v>
      </c>
      <c r="AN603" s="185" t="s">
        <v>1497</v>
      </c>
      <c r="AO603" s="185" t="s">
        <v>5150</v>
      </c>
      <c r="AQ603" s="55" t="s">
        <v>553</v>
      </c>
      <c r="AR603" s="55" t="s">
        <v>1552</v>
      </c>
      <c r="AS603" s="55" t="s">
        <v>1577</v>
      </c>
      <c r="AT603" s="181" t="s">
        <v>420</v>
      </c>
      <c r="AU603" s="181" t="s">
        <v>5150</v>
      </c>
      <c r="AV603" s="185" t="s">
        <v>479</v>
      </c>
      <c r="AW603" s="55" t="s">
        <v>420</v>
      </c>
      <c r="AX603" s="185" t="s">
        <v>479</v>
      </c>
      <c r="AY603" s="55" t="s">
        <v>176</v>
      </c>
      <c r="BE603" s="226" t="s">
        <v>347</v>
      </c>
      <c r="BF603" s="191" t="s">
        <v>479</v>
      </c>
      <c r="BG603" s="55" t="s">
        <v>479</v>
      </c>
      <c r="BH603" s="226" t="s">
        <v>422</v>
      </c>
      <c r="BI603" s="55" t="s">
        <v>479</v>
      </c>
      <c r="BJ603" s="55" t="s">
        <v>479</v>
      </c>
      <c r="BK603" s="55" t="s">
        <v>5976</v>
      </c>
      <c r="BM603" s="192" t="s">
        <v>119</v>
      </c>
      <c r="BN603" s="55">
        <v>4</v>
      </c>
      <c r="BO603" s="55">
        <v>4</v>
      </c>
      <c r="BQ603" s="55" t="s">
        <v>315</v>
      </c>
      <c r="FO603" s="65">
        <f>0.61</f>
        <v>0.61</v>
      </c>
      <c r="FP603" s="65">
        <f>0.34</f>
        <v>0.34</v>
      </c>
      <c r="FS603" s="65" t="s">
        <v>6376</v>
      </c>
      <c r="GD603" s="65">
        <v>0.1154</v>
      </c>
      <c r="GE603" s="65">
        <v>0.15540000000000001</v>
      </c>
      <c r="GH603" s="65" t="s">
        <v>423</v>
      </c>
      <c r="GP603" s="292" t="s">
        <v>7494</v>
      </c>
      <c r="HS603" s="227"/>
      <c r="HW603" s="227"/>
      <c r="JU603" s="55" t="s">
        <v>688</v>
      </c>
    </row>
    <row r="604" spans="1:281" x14ac:dyDescent="0.25">
      <c r="A604" s="55">
        <v>603</v>
      </c>
      <c r="B604" s="12" t="s">
        <v>7067</v>
      </c>
      <c r="C604" s="155">
        <v>30</v>
      </c>
      <c r="D604" s="55" t="s">
        <v>3798</v>
      </c>
      <c r="E604" s="90" t="s">
        <v>416</v>
      </c>
      <c r="G604" s="55" t="s">
        <v>417</v>
      </c>
      <c r="H604" s="55">
        <v>2002</v>
      </c>
      <c r="I604" s="55">
        <v>1999</v>
      </c>
      <c r="J604" s="55" t="s">
        <v>418</v>
      </c>
      <c r="K604" s="55" t="s">
        <v>419</v>
      </c>
      <c r="L604" s="55" t="s">
        <v>2737</v>
      </c>
      <c r="M604" s="90">
        <f>38+32/60</f>
        <v>38.533333333333331</v>
      </c>
      <c r="N604" s="90">
        <f>-121-47/60</f>
        <v>-121.78333333333333</v>
      </c>
      <c r="O604" s="90">
        <v>18.399999999999999</v>
      </c>
      <c r="S604" s="90">
        <v>483</v>
      </c>
      <c r="U604" s="55">
        <v>3</v>
      </c>
      <c r="V604" s="55" t="s">
        <v>1816</v>
      </c>
      <c r="Y604" s="55">
        <v>36187</v>
      </c>
      <c r="Z604" s="55" t="s">
        <v>1363</v>
      </c>
      <c r="AA604" s="90" t="s">
        <v>1684</v>
      </c>
      <c r="AE604" s="90">
        <v>36</v>
      </c>
      <c r="AF604" s="90">
        <v>46</v>
      </c>
      <c r="AH604" s="55" t="s">
        <v>139</v>
      </c>
      <c r="AM604" s="55" t="s">
        <v>1295</v>
      </c>
      <c r="AN604" s="185" t="s">
        <v>1497</v>
      </c>
      <c r="AO604" s="185" t="s">
        <v>5150</v>
      </c>
      <c r="AQ604" s="55" t="s">
        <v>553</v>
      </c>
      <c r="AR604" s="55" t="s">
        <v>1552</v>
      </c>
      <c r="AS604" s="55" t="s">
        <v>1577</v>
      </c>
      <c r="AT604" s="181" t="s">
        <v>420</v>
      </c>
      <c r="AU604" s="181" t="s">
        <v>5150</v>
      </c>
      <c r="AV604" s="185" t="s">
        <v>479</v>
      </c>
      <c r="AW604" s="55" t="s">
        <v>420</v>
      </c>
      <c r="AX604" s="185" t="s">
        <v>479</v>
      </c>
      <c r="AY604" s="55" t="s">
        <v>176</v>
      </c>
      <c r="BE604" s="226" t="s">
        <v>347</v>
      </c>
      <c r="BF604" s="191" t="s">
        <v>479</v>
      </c>
      <c r="BG604" s="55" t="s">
        <v>479</v>
      </c>
      <c r="BH604" s="226" t="s">
        <v>421</v>
      </c>
      <c r="BI604" s="55" t="s">
        <v>479</v>
      </c>
      <c r="BJ604" s="55" t="s">
        <v>479</v>
      </c>
      <c r="BK604" s="55" t="s">
        <v>5976</v>
      </c>
      <c r="BM604" s="192" t="s">
        <v>119</v>
      </c>
      <c r="BN604" s="55">
        <v>4</v>
      </c>
      <c r="BO604" s="55">
        <v>4</v>
      </c>
      <c r="BQ604" s="55" t="s">
        <v>315</v>
      </c>
      <c r="FO604" s="65">
        <f>10.71</f>
        <v>10.71</v>
      </c>
      <c r="FP604" s="65">
        <f>3.42</f>
        <v>3.42</v>
      </c>
      <c r="FS604" s="65" t="s">
        <v>6376</v>
      </c>
      <c r="GD604" s="65">
        <v>0.11890000000000001</v>
      </c>
      <c r="GE604" s="65">
        <v>0.1174</v>
      </c>
      <c r="GH604" s="65" t="s">
        <v>423</v>
      </c>
      <c r="GP604" s="292" t="s">
        <v>7494</v>
      </c>
      <c r="HS604" s="227"/>
      <c r="HW604" s="227"/>
      <c r="JU604" s="55" t="s">
        <v>688</v>
      </c>
    </row>
    <row r="605" spans="1:281" x14ac:dyDescent="0.25">
      <c r="A605" s="55">
        <v>604</v>
      </c>
      <c r="B605" s="12" t="s">
        <v>7067</v>
      </c>
      <c r="C605" s="155">
        <v>30</v>
      </c>
      <c r="D605" s="55" t="s">
        <v>3798</v>
      </c>
      <c r="E605" s="90" t="s">
        <v>416</v>
      </c>
      <c r="G605" s="55" t="s">
        <v>417</v>
      </c>
      <c r="H605" s="55">
        <v>2002</v>
      </c>
      <c r="I605" s="55">
        <v>1999</v>
      </c>
      <c r="J605" s="55" t="s">
        <v>418</v>
      </c>
      <c r="K605" s="55" t="s">
        <v>419</v>
      </c>
      <c r="L605" s="55" t="s">
        <v>2737</v>
      </c>
      <c r="M605" s="90">
        <f>38+32/60</f>
        <v>38.533333333333331</v>
      </c>
      <c r="N605" s="90">
        <f>-121-47/60</f>
        <v>-121.78333333333333</v>
      </c>
      <c r="O605" s="90">
        <v>18.399999999999999</v>
      </c>
      <c r="S605" s="90">
        <v>483</v>
      </c>
      <c r="U605" s="55">
        <v>3</v>
      </c>
      <c r="V605" s="55" t="s">
        <v>1816</v>
      </c>
      <c r="Y605" s="55">
        <v>36187</v>
      </c>
      <c r="Z605" s="55" t="s">
        <v>1363</v>
      </c>
      <c r="AA605" s="90" t="s">
        <v>1684</v>
      </c>
      <c r="AE605" s="90">
        <v>36</v>
      </c>
      <c r="AF605" s="90">
        <v>46</v>
      </c>
      <c r="AH605" s="55" t="s">
        <v>139</v>
      </c>
      <c r="AM605" s="55" t="s">
        <v>1295</v>
      </c>
      <c r="AN605" s="185" t="s">
        <v>1497</v>
      </c>
      <c r="AO605" s="185" t="s">
        <v>5150</v>
      </c>
      <c r="AQ605" s="55" t="s">
        <v>553</v>
      </c>
      <c r="AR605" s="55" t="s">
        <v>1552</v>
      </c>
      <c r="AS605" s="55" t="s">
        <v>1577</v>
      </c>
      <c r="AT605" s="181" t="s">
        <v>420</v>
      </c>
      <c r="AU605" s="181" t="s">
        <v>5150</v>
      </c>
      <c r="AV605" s="185" t="s">
        <v>479</v>
      </c>
      <c r="AW605" s="55" t="s">
        <v>420</v>
      </c>
      <c r="AX605" s="185" t="s">
        <v>479</v>
      </c>
      <c r="AY605" s="55" t="s">
        <v>176</v>
      </c>
      <c r="BE605" s="226" t="s">
        <v>347</v>
      </c>
      <c r="BF605" s="191" t="s">
        <v>479</v>
      </c>
      <c r="BG605" s="55" t="s">
        <v>479</v>
      </c>
      <c r="BH605" s="226" t="s">
        <v>422</v>
      </c>
      <c r="BI605" s="55" t="s">
        <v>479</v>
      </c>
      <c r="BJ605" s="55" t="s">
        <v>479</v>
      </c>
      <c r="BK605" s="55" t="s">
        <v>5976</v>
      </c>
      <c r="BM605" s="192" t="s">
        <v>119</v>
      </c>
      <c r="BN605" s="55">
        <v>4</v>
      </c>
      <c r="BO605" s="55">
        <v>4</v>
      </c>
      <c r="BQ605" s="55" t="s">
        <v>315</v>
      </c>
      <c r="FO605" s="65">
        <f>10.71</f>
        <v>10.71</v>
      </c>
      <c r="FP605" s="65">
        <f>2.95</f>
        <v>2.95</v>
      </c>
      <c r="FS605" s="65" t="s">
        <v>6376</v>
      </c>
      <c r="GD605" s="65">
        <v>0.11890000000000001</v>
      </c>
      <c r="GE605" s="65">
        <v>0.1174</v>
      </c>
      <c r="GH605" s="65" t="s">
        <v>423</v>
      </c>
      <c r="GP605" s="292" t="s">
        <v>7494</v>
      </c>
      <c r="HS605" s="227"/>
      <c r="HW605" s="227"/>
      <c r="JU605" s="55" t="s">
        <v>688</v>
      </c>
    </row>
    <row r="606" spans="1:281" x14ac:dyDescent="0.25">
      <c r="A606" s="55">
        <v>605</v>
      </c>
      <c r="B606" s="12" t="s">
        <v>7067</v>
      </c>
      <c r="C606" s="155">
        <v>30</v>
      </c>
      <c r="D606" s="55" t="s">
        <v>3798</v>
      </c>
      <c r="E606" s="90" t="s">
        <v>416</v>
      </c>
      <c r="G606" s="55" t="s">
        <v>417</v>
      </c>
      <c r="H606" s="55">
        <v>2002</v>
      </c>
      <c r="I606" s="55">
        <v>1999</v>
      </c>
      <c r="J606" s="55" t="s">
        <v>418</v>
      </c>
      <c r="K606" s="55" t="s">
        <v>419</v>
      </c>
      <c r="L606" s="55" t="s">
        <v>2737</v>
      </c>
      <c r="M606" s="90">
        <f>38+32/60</f>
        <v>38.533333333333331</v>
      </c>
      <c r="N606" s="90">
        <f>-121-47/60</f>
        <v>-121.78333333333333</v>
      </c>
      <c r="O606" s="90">
        <v>18.399999999999999</v>
      </c>
      <c r="S606" s="90">
        <v>483</v>
      </c>
      <c r="U606" s="55">
        <v>3</v>
      </c>
      <c r="V606" s="55" t="s">
        <v>1816</v>
      </c>
      <c r="Y606" s="55">
        <v>36198</v>
      </c>
      <c r="Z606" s="55" t="s">
        <v>1363</v>
      </c>
      <c r="AA606" s="90" t="s">
        <v>1684</v>
      </c>
      <c r="AE606" s="90">
        <v>36</v>
      </c>
      <c r="AF606" s="90">
        <v>46</v>
      </c>
      <c r="AH606" s="55" t="s">
        <v>139</v>
      </c>
      <c r="AM606" s="55" t="s">
        <v>1295</v>
      </c>
      <c r="AN606" s="185" t="s">
        <v>1497</v>
      </c>
      <c r="AO606" s="185" t="s">
        <v>5150</v>
      </c>
      <c r="AQ606" s="55" t="s">
        <v>553</v>
      </c>
      <c r="AR606" s="55" t="s">
        <v>1552</v>
      </c>
      <c r="AS606" s="55" t="s">
        <v>1577</v>
      </c>
      <c r="AT606" s="181" t="s">
        <v>420</v>
      </c>
      <c r="AU606" s="181" t="s">
        <v>5150</v>
      </c>
      <c r="AV606" s="185" t="s">
        <v>479</v>
      </c>
      <c r="AW606" s="55" t="s">
        <v>420</v>
      </c>
      <c r="AX606" s="185" t="s">
        <v>479</v>
      </c>
      <c r="AY606" s="55" t="s">
        <v>176</v>
      </c>
      <c r="BE606" s="226" t="s">
        <v>347</v>
      </c>
      <c r="BF606" s="191" t="s">
        <v>479</v>
      </c>
      <c r="BG606" s="55" t="s">
        <v>479</v>
      </c>
      <c r="BH606" s="226" t="s">
        <v>421</v>
      </c>
      <c r="BI606" s="55" t="s">
        <v>479</v>
      </c>
      <c r="BJ606" s="55" t="s">
        <v>479</v>
      </c>
      <c r="BK606" s="55" t="s">
        <v>5976</v>
      </c>
      <c r="BM606" s="192" t="s">
        <v>119</v>
      </c>
      <c r="BN606" s="55">
        <v>4</v>
      </c>
      <c r="BO606" s="55">
        <v>4</v>
      </c>
      <c r="BQ606" s="55" t="s">
        <v>315</v>
      </c>
      <c r="FO606" s="65">
        <f>8.71</f>
        <v>8.7100000000000009</v>
      </c>
      <c r="FP606" s="65">
        <f>0.93</f>
        <v>0.93</v>
      </c>
      <c r="FS606" s="65" t="s">
        <v>6376</v>
      </c>
      <c r="GD606" s="65">
        <v>0.16980000000000001</v>
      </c>
      <c r="GE606" s="65">
        <v>0.1479</v>
      </c>
      <c r="GH606" s="65" t="s">
        <v>423</v>
      </c>
      <c r="GP606" s="292" t="s">
        <v>7494</v>
      </c>
      <c r="HS606" s="227"/>
      <c r="HW606" s="227"/>
      <c r="JU606" s="55" t="s">
        <v>688</v>
      </c>
    </row>
    <row r="607" spans="1:281" x14ac:dyDescent="0.25">
      <c r="A607" s="55">
        <v>606</v>
      </c>
      <c r="B607" s="12" t="s">
        <v>7067</v>
      </c>
      <c r="C607" s="155">
        <v>30</v>
      </c>
      <c r="D607" s="55" t="s">
        <v>3798</v>
      </c>
      <c r="E607" s="90" t="s">
        <v>416</v>
      </c>
      <c r="G607" s="55" t="s">
        <v>417</v>
      </c>
      <c r="H607" s="55">
        <v>2002</v>
      </c>
      <c r="I607" s="55">
        <v>1999</v>
      </c>
      <c r="J607" s="55" t="s">
        <v>418</v>
      </c>
      <c r="K607" s="55" t="s">
        <v>419</v>
      </c>
      <c r="L607" s="55" t="s">
        <v>2737</v>
      </c>
      <c r="M607" s="90">
        <f>38+32/60</f>
        <v>38.533333333333331</v>
      </c>
      <c r="N607" s="90">
        <f>-121-47/60</f>
        <v>-121.78333333333333</v>
      </c>
      <c r="O607" s="90">
        <v>18.399999999999999</v>
      </c>
      <c r="S607" s="90">
        <v>483</v>
      </c>
      <c r="U607" s="55">
        <v>3</v>
      </c>
      <c r="V607" s="55" t="s">
        <v>1816</v>
      </c>
      <c r="Y607" s="55">
        <v>36198</v>
      </c>
      <c r="Z607" s="55" t="s">
        <v>1363</v>
      </c>
      <c r="AA607" s="90" t="s">
        <v>1684</v>
      </c>
      <c r="AE607" s="90">
        <v>36</v>
      </c>
      <c r="AF607" s="90">
        <v>46</v>
      </c>
      <c r="AH607" s="55" t="s">
        <v>139</v>
      </c>
      <c r="AM607" s="55" t="s">
        <v>1295</v>
      </c>
      <c r="AN607" s="185" t="s">
        <v>1497</v>
      </c>
      <c r="AO607" s="185" t="s">
        <v>5150</v>
      </c>
      <c r="AQ607" s="55" t="s">
        <v>553</v>
      </c>
      <c r="AR607" s="55" t="s">
        <v>1552</v>
      </c>
      <c r="AS607" s="55" t="s">
        <v>1577</v>
      </c>
      <c r="AT607" s="181" t="s">
        <v>420</v>
      </c>
      <c r="AU607" s="181" t="s">
        <v>5150</v>
      </c>
      <c r="AV607" s="185" t="s">
        <v>479</v>
      </c>
      <c r="AW607" s="55" t="s">
        <v>420</v>
      </c>
      <c r="AX607" s="185" t="s">
        <v>479</v>
      </c>
      <c r="AY607" s="55" t="s">
        <v>176</v>
      </c>
      <c r="BE607" s="226" t="s">
        <v>347</v>
      </c>
      <c r="BF607" s="191" t="s">
        <v>479</v>
      </c>
      <c r="BG607" s="55" t="s">
        <v>479</v>
      </c>
      <c r="BH607" s="226" t="s">
        <v>422</v>
      </c>
      <c r="BI607" s="55" t="s">
        <v>479</v>
      </c>
      <c r="BJ607" s="55" t="s">
        <v>479</v>
      </c>
      <c r="BK607" s="55" t="s">
        <v>5976</v>
      </c>
      <c r="BM607" s="192" t="s">
        <v>119</v>
      </c>
      <c r="BN607" s="55">
        <v>4</v>
      </c>
      <c r="BO607" s="55">
        <v>4</v>
      </c>
      <c r="BQ607" s="55" t="s">
        <v>315</v>
      </c>
      <c r="FO607" s="65">
        <f>8.71</f>
        <v>8.7100000000000009</v>
      </c>
      <c r="FP607" s="65">
        <f>0.67</f>
        <v>0.67</v>
      </c>
      <c r="FS607" s="65" t="s">
        <v>6376</v>
      </c>
      <c r="GD607" s="65">
        <v>0.16980000000000001</v>
      </c>
      <c r="GE607" s="65">
        <v>0.13600000000000001</v>
      </c>
      <c r="GH607" s="65" t="s">
        <v>423</v>
      </c>
      <c r="GP607" s="292" t="s">
        <v>7494</v>
      </c>
      <c r="HS607" s="227"/>
      <c r="HW607" s="227"/>
      <c r="JU607" s="55" t="s">
        <v>688</v>
      </c>
    </row>
    <row r="608" spans="1:281" x14ac:dyDescent="0.25">
      <c r="A608" s="55">
        <v>607</v>
      </c>
      <c r="B608" s="12" t="s">
        <v>7067</v>
      </c>
      <c r="C608" s="155">
        <v>30</v>
      </c>
      <c r="D608" s="55" t="s">
        <v>3798</v>
      </c>
      <c r="E608" s="90" t="s">
        <v>416</v>
      </c>
      <c r="G608" s="55" t="s">
        <v>417</v>
      </c>
      <c r="H608" s="55">
        <v>2002</v>
      </c>
      <c r="I608" s="55">
        <v>1999</v>
      </c>
      <c r="J608" s="55" t="s">
        <v>418</v>
      </c>
      <c r="K608" s="55" t="s">
        <v>419</v>
      </c>
      <c r="L608" s="55" t="s">
        <v>2737</v>
      </c>
      <c r="M608" s="90">
        <f>38+32/60</f>
        <v>38.533333333333331</v>
      </c>
      <c r="N608" s="90">
        <f>-121-47/60</f>
        <v>-121.78333333333333</v>
      </c>
      <c r="O608" s="90">
        <v>18.399999999999999</v>
      </c>
      <c r="S608" s="90">
        <v>483</v>
      </c>
      <c r="U608" s="55">
        <v>3</v>
      </c>
      <c r="V608" s="55" t="s">
        <v>1816</v>
      </c>
      <c r="Y608" s="55">
        <v>36232</v>
      </c>
      <c r="Z608" s="55" t="s">
        <v>1363</v>
      </c>
      <c r="AA608" s="90" t="s">
        <v>1684</v>
      </c>
      <c r="AE608" s="90">
        <v>36</v>
      </c>
      <c r="AF608" s="90">
        <v>46</v>
      </c>
      <c r="AH608" s="55" t="s">
        <v>139</v>
      </c>
      <c r="AM608" s="55" t="s">
        <v>1295</v>
      </c>
      <c r="AN608" s="185" t="s">
        <v>1497</v>
      </c>
      <c r="AO608" s="185" t="s">
        <v>5150</v>
      </c>
      <c r="AQ608" s="55" t="s">
        <v>553</v>
      </c>
      <c r="AR608" s="55" t="s">
        <v>1552</v>
      </c>
      <c r="AS608" s="55" t="s">
        <v>1577</v>
      </c>
      <c r="AT608" s="181" t="s">
        <v>420</v>
      </c>
      <c r="AU608" s="181" t="s">
        <v>5150</v>
      </c>
      <c r="AV608" s="185" t="s">
        <v>479</v>
      </c>
      <c r="AW608" s="55" t="s">
        <v>420</v>
      </c>
      <c r="AX608" s="185" t="s">
        <v>479</v>
      </c>
      <c r="AY608" s="55" t="s">
        <v>176</v>
      </c>
      <c r="BE608" s="226" t="s">
        <v>347</v>
      </c>
      <c r="BF608" s="191" t="s">
        <v>479</v>
      </c>
      <c r="BG608" s="55" t="s">
        <v>479</v>
      </c>
      <c r="BH608" s="226" t="s">
        <v>421</v>
      </c>
      <c r="BI608" s="55" t="s">
        <v>479</v>
      </c>
      <c r="BJ608" s="55" t="s">
        <v>479</v>
      </c>
      <c r="BK608" s="55" t="s">
        <v>5976</v>
      </c>
      <c r="BM608" s="192" t="s">
        <v>119</v>
      </c>
      <c r="BN608" s="55">
        <v>4</v>
      </c>
      <c r="BO608" s="55">
        <v>4</v>
      </c>
      <c r="BQ608" s="55" t="s">
        <v>315</v>
      </c>
      <c r="FO608" s="65">
        <f>101.24/8</f>
        <v>12.654999999999999</v>
      </c>
      <c r="FP608" s="65">
        <f>14.98/8</f>
        <v>1.8725000000000001</v>
      </c>
      <c r="FS608" s="65" t="s">
        <v>6376</v>
      </c>
      <c r="GD608" s="65">
        <v>0.18060000000000001</v>
      </c>
      <c r="GE608" s="65">
        <v>0.1696</v>
      </c>
      <c r="GH608" s="65" t="s">
        <v>423</v>
      </c>
      <c r="GP608" s="292" t="s">
        <v>7494</v>
      </c>
      <c r="HS608" s="227"/>
      <c r="HW608" s="227"/>
      <c r="JU608" s="55" t="s">
        <v>688</v>
      </c>
    </row>
    <row r="609" spans="1:281" x14ac:dyDescent="0.25">
      <c r="A609" s="55">
        <v>608</v>
      </c>
      <c r="B609" s="12" t="s">
        <v>7067</v>
      </c>
      <c r="C609" s="155">
        <v>30</v>
      </c>
      <c r="D609" s="55" t="s">
        <v>3798</v>
      </c>
      <c r="E609" s="90" t="s">
        <v>416</v>
      </c>
      <c r="G609" s="55" t="s">
        <v>417</v>
      </c>
      <c r="H609" s="55">
        <v>2002</v>
      </c>
      <c r="I609" s="55">
        <v>1999</v>
      </c>
      <c r="J609" s="55" t="s">
        <v>418</v>
      </c>
      <c r="K609" s="55" t="s">
        <v>419</v>
      </c>
      <c r="L609" s="55" t="s">
        <v>2737</v>
      </c>
      <c r="M609" s="90">
        <f>38+32/60</f>
        <v>38.533333333333331</v>
      </c>
      <c r="N609" s="90">
        <f>-121-47/60</f>
        <v>-121.78333333333333</v>
      </c>
      <c r="O609" s="90">
        <v>18.399999999999999</v>
      </c>
      <c r="S609" s="90">
        <v>483</v>
      </c>
      <c r="U609" s="55">
        <v>3</v>
      </c>
      <c r="V609" s="55" t="s">
        <v>1816</v>
      </c>
      <c r="Y609" s="55">
        <v>36232</v>
      </c>
      <c r="Z609" s="55" t="s">
        <v>1363</v>
      </c>
      <c r="AA609" s="90" t="s">
        <v>1684</v>
      </c>
      <c r="AE609" s="90">
        <v>36</v>
      </c>
      <c r="AF609" s="90">
        <v>46</v>
      </c>
      <c r="AH609" s="55" t="s">
        <v>139</v>
      </c>
      <c r="AM609" s="55" t="s">
        <v>1295</v>
      </c>
      <c r="AN609" s="185" t="s">
        <v>1497</v>
      </c>
      <c r="AO609" s="185" t="s">
        <v>5150</v>
      </c>
      <c r="AQ609" s="55" t="s">
        <v>553</v>
      </c>
      <c r="AR609" s="55" t="s">
        <v>1552</v>
      </c>
      <c r="AS609" s="55" t="s">
        <v>1577</v>
      </c>
      <c r="AT609" s="181" t="s">
        <v>420</v>
      </c>
      <c r="AU609" s="181" t="s">
        <v>5150</v>
      </c>
      <c r="AV609" s="185" t="s">
        <v>479</v>
      </c>
      <c r="AW609" s="55" t="s">
        <v>420</v>
      </c>
      <c r="AX609" s="185" t="s">
        <v>479</v>
      </c>
      <c r="AY609" s="55" t="s">
        <v>176</v>
      </c>
      <c r="BE609" s="226" t="s">
        <v>347</v>
      </c>
      <c r="BF609" s="191" t="s">
        <v>479</v>
      </c>
      <c r="BG609" s="55" t="s">
        <v>479</v>
      </c>
      <c r="BH609" s="226" t="s">
        <v>422</v>
      </c>
      <c r="BI609" s="55" t="s">
        <v>479</v>
      </c>
      <c r="BJ609" s="55" t="s">
        <v>479</v>
      </c>
      <c r="BK609" s="55" t="s">
        <v>5976</v>
      </c>
      <c r="BM609" s="192" t="s">
        <v>119</v>
      </c>
      <c r="BN609" s="55">
        <v>4</v>
      </c>
      <c r="BO609" s="55">
        <v>4</v>
      </c>
      <c r="BQ609" s="55" t="s">
        <v>315</v>
      </c>
      <c r="FO609" s="65">
        <f>101.24/8</f>
        <v>12.654999999999999</v>
      </c>
      <c r="FP609" s="65">
        <f>15.92/8</f>
        <v>1.99</v>
      </c>
      <c r="FS609" s="65" t="s">
        <v>6376</v>
      </c>
      <c r="GD609" s="65">
        <v>0.18060000000000001</v>
      </c>
      <c r="GE609" s="65">
        <v>0.1696</v>
      </c>
      <c r="GH609" s="65" t="s">
        <v>423</v>
      </c>
      <c r="GP609" s="292" t="s">
        <v>7494</v>
      </c>
      <c r="HS609" s="227"/>
      <c r="HW609" s="227"/>
      <c r="JU609" s="55" t="s">
        <v>688</v>
      </c>
    </row>
    <row r="610" spans="1:281" x14ac:dyDescent="0.25">
      <c r="A610" s="55">
        <v>609</v>
      </c>
      <c r="B610" s="12" t="s">
        <v>7067</v>
      </c>
      <c r="C610" s="155">
        <v>30</v>
      </c>
      <c r="D610" s="55" t="s">
        <v>3798</v>
      </c>
      <c r="E610" s="90" t="s">
        <v>416</v>
      </c>
      <c r="G610" s="55" t="s">
        <v>417</v>
      </c>
      <c r="H610" s="55">
        <v>2002</v>
      </c>
      <c r="I610" s="55">
        <v>1999</v>
      </c>
      <c r="J610" s="55" t="s">
        <v>418</v>
      </c>
      <c r="K610" s="55" t="s">
        <v>419</v>
      </c>
      <c r="L610" s="55" t="s">
        <v>2737</v>
      </c>
      <c r="M610" s="90">
        <f>38+32/60</f>
        <v>38.533333333333331</v>
      </c>
      <c r="N610" s="90">
        <f>-121-47/60</f>
        <v>-121.78333333333333</v>
      </c>
      <c r="O610" s="90">
        <v>18.399999999999999</v>
      </c>
      <c r="S610" s="90">
        <v>483</v>
      </c>
      <c r="U610" s="55">
        <v>3</v>
      </c>
      <c r="V610" s="55" t="s">
        <v>1816</v>
      </c>
      <c r="Y610" s="55">
        <v>36234</v>
      </c>
      <c r="Z610" s="55" t="s">
        <v>1363</v>
      </c>
      <c r="AA610" s="90" t="s">
        <v>1684</v>
      </c>
      <c r="AE610" s="90">
        <v>36</v>
      </c>
      <c r="AF610" s="90">
        <v>46</v>
      </c>
      <c r="AH610" s="55" t="s">
        <v>139</v>
      </c>
      <c r="AM610" s="55" t="s">
        <v>1295</v>
      </c>
      <c r="AN610" s="185" t="s">
        <v>1497</v>
      </c>
      <c r="AO610" s="185" t="s">
        <v>5150</v>
      </c>
      <c r="AQ610" s="55" t="s">
        <v>553</v>
      </c>
      <c r="AR610" s="55" t="s">
        <v>1552</v>
      </c>
      <c r="AS610" s="55" t="s">
        <v>1577</v>
      </c>
      <c r="AT610" s="181" t="s">
        <v>420</v>
      </c>
      <c r="AU610" s="181" t="s">
        <v>5150</v>
      </c>
      <c r="AV610" s="185" t="s">
        <v>479</v>
      </c>
      <c r="AW610" s="55" t="s">
        <v>420</v>
      </c>
      <c r="AX610" s="185" t="s">
        <v>479</v>
      </c>
      <c r="AY610" s="55" t="s">
        <v>176</v>
      </c>
      <c r="BE610" s="226" t="s">
        <v>347</v>
      </c>
      <c r="BF610" s="191" t="s">
        <v>479</v>
      </c>
      <c r="BG610" s="55" t="s">
        <v>479</v>
      </c>
      <c r="BH610" s="226" t="s">
        <v>421</v>
      </c>
      <c r="BI610" s="55" t="s">
        <v>479</v>
      </c>
      <c r="BJ610" s="55" t="s">
        <v>479</v>
      </c>
      <c r="BK610" s="55" t="s">
        <v>5976</v>
      </c>
      <c r="BM610" s="192" t="s">
        <v>119</v>
      </c>
      <c r="BN610" s="55">
        <v>4</v>
      </c>
      <c r="BO610" s="55">
        <v>4</v>
      </c>
      <c r="BQ610" s="55" t="s">
        <v>315</v>
      </c>
      <c r="GD610" s="65">
        <v>0.18329999999999999</v>
      </c>
      <c r="GE610" s="65">
        <v>0.16689999999999999</v>
      </c>
      <c r="GH610" s="65" t="s">
        <v>423</v>
      </c>
      <c r="GP610" s="292" t="s">
        <v>7494</v>
      </c>
      <c r="HS610" s="227"/>
      <c r="HW610" s="227"/>
      <c r="JU610" s="55" t="s">
        <v>688</v>
      </c>
    </row>
    <row r="611" spans="1:281" x14ac:dyDescent="0.25">
      <c r="A611" s="55">
        <v>610</v>
      </c>
      <c r="B611" s="12" t="s">
        <v>7067</v>
      </c>
      <c r="C611" s="155">
        <v>30</v>
      </c>
      <c r="D611" s="55" t="s">
        <v>3798</v>
      </c>
      <c r="E611" s="90" t="s">
        <v>416</v>
      </c>
      <c r="G611" s="55" t="s">
        <v>417</v>
      </c>
      <c r="H611" s="55">
        <v>2002</v>
      </c>
      <c r="I611" s="55">
        <v>1999</v>
      </c>
      <c r="J611" s="55" t="s">
        <v>418</v>
      </c>
      <c r="K611" s="55" t="s">
        <v>419</v>
      </c>
      <c r="L611" s="55" t="s">
        <v>2737</v>
      </c>
      <c r="M611" s="90">
        <f>38+32/60</f>
        <v>38.533333333333331</v>
      </c>
      <c r="N611" s="90">
        <f>-121-47/60</f>
        <v>-121.78333333333333</v>
      </c>
      <c r="O611" s="90">
        <v>18.399999999999999</v>
      </c>
      <c r="S611" s="90">
        <v>483</v>
      </c>
      <c r="U611" s="55">
        <v>3</v>
      </c>
      <c r="V611" s="55" t="s">
        <v>1816</v>
      </c>
      <c r="Y611" s="55">
        <v>36234</v>
      </c>
      <c r="Z611" s="55" t="s">
        <v>1363</v>
      </c>
      <c r="AA611" s="90" t="s">
        <v>1684</v>
      </c>
      <c r="AE611" s="90">
        <v>36</v>
      </c>
      <c r="AF611" s="90">
        <v>46</v>
      </c>
      <c r="AH611" s="55" t="s">
        <v>139</v>
      </c>
      <c r="AM611" s="55" t="s">
        <v>1295</v>
      </c>
      <c r="AN611" s="185" t="s">
        <v>1497</v>
      </c>
      <c r="AO611" s="185" t="s">
        <v>5150</v>
      </c>
      <c r="AQ611" s="55" t="s">
        <v>553</v>
      </c>
      <c r="AR611" s="55" t="s">
        <v>1552</v>
      </c>
      <c r="AS611" s="55" t="s">
        <v>1577</v>
      </c>
      <c r="AT611" s="181" t="s">
        <v>420</v>
      </c>
      <c r="AU611" s="181" t="s">
        <v>5150</v>
      </c>
      <c r="AV611" s="185" t="s">
        <v>479</v>
      </c>
      <c r="AW611" s="55" t="s">
        <v>420</v>
      </c>
      <c r="AX611" s="185" t="s">
        <v>479</v>
      </c>
      <c r="AY611" s="55" t="s">
        <v>176</v>
      </c>
      <c r="BE611" s="226" t="s">
        <v>347</v>
      </c>
      <c r="BF611" s="191" t="s">
        <v>479</v>
      </c>
      <c r="BG611" s="55" t="s">
        <v>479</v>
      </c>
      <c r="BH611" s="226" t="s">
        <v>422</v>
      </c>
      <c r="BI611" s="55" t="s">
        <v>479</v>
      </c>
      <c r="BJ611" s="55" t="s">
        <v>479</v>
      </c>
      <c r="BK611" s="55" t="s">
        <v>5976</v>
      </c>
      <c r="BM611" s="192" t="s">
        <v>119</v>
      </c>
      <c r="BN611" s="55">
        <v>4</v>
      </c>
      <c r="BO611" s="55">
        <v>4</v>
      </c>
      <c r="BQ611" s="55" t="s">
        <v>315</v>
      </c>
      <c r="GD611" s="65">
        <v>0.18329999999999999</v>
      </c>
      <c r="GE611" s="65">
        <v>0.16689999999999999</v>
      </c>
      <c r="GH611" s="65" t="s">
        <v>423</v>
      </c>
      <c r="GP611" s="292" t="s">
        <v>7494</v>
      </c>
      <c r="HS611" s="227"/>
      <c r="HW611" s="227"/>
      <c r="JU611" s="55" t="s">
        <v>688</v>
      </c>
    </row>
    <row r="612" spans="1:281" x14ac:dyDescent="0.25">
      <c r="A612" s="55">
        <v>611</v>
      </c>
      <c r="B612" s="12" t="s">
        <v>7067</v>
      </c>
      <c r="C612" s="155">
        <v>30</v>
      </c>
      <c r="D612" s="55" t="s">
        <v>3798</v>
      </c>
      <c r="E612" s="90" t="s">
        <v>416</v>
      </c>
      <c r="G612" s="55" t="s">
        <v>417</v>
      </c>
      <c r="H612" s="55">
        <v>2002</v>
      </c>
      <c r="I612" s="55">
        <v>1999</v>
      </c>
      <c r="J612" s="55" t="s">
        <v>418</v>
      </c>
      <c r="K612" s="55" t="s">
        <v>419</v>
      </c>
      <c r="L612" s="55" t="s">
        <v>2737</v>
      </c>
      <c r="M612" s="90">
        <f>38+32/60</f>
        <v>38.533333333333331</v>
      </c>
      <c r="N612" s="90">
        <f>-121-47/60</f>
        <v>-121.78333333333333</v>
      </c>
      <c r="O612" s="90">
        <v>18.399999999999999</v>
      </c>
      <c r="S612" s="90">
        <v>483</v>
      </c>
      <c r="U612" s="55">
        <v>3</v>
      </c>
      <c r="V612" s="55" t="s">
        <v>1816</v>
      </c>
      <c r="Y612" s="55">
        <v>36514</v>
      </c>
      <c r="Z612" s="55" t="s">
        <v>1363</v>
      </c>
      <c r="AA612" s="90" t="s">
        <v>1684</v>
      </c>
      <c r="AE612" s="90">
        <v>36</v>
      </c>
      <c r="AF612" s="90">
        <v>46</v>
      </c>
      <c r="AH612" s="55" t="s">
        <v>139</v>
      </c>
      <c r="AM612" s="55" t="s">
        <v>1295</v>
      </c>
      <c r="AN612" s="185" t="s">
        <v>1497</v>
      </c>
      <c r="AO612" s="185" t="s">
        <v>5150</v>
      </c>
      <c r="AQ612" s="55" t="s">
        <v>553</v>
      </c>
      <c r="AR612" s="55" t="s">
        <v>1552</v>
      </c>
      <c r="AS612" s="55" t="s">
        <v>1577</v>
      </c>
      <c r="AT612" s="181" t="s">
        <v>420</v>
      </c>
      <c r="AU612" s="181" t="s">
        <v>5150</v>
      </c>
      <c r="AV612" s="185" t="s">
        <v>479</v>
      </c>
      <c r="AW612" s="55" t="s">
        <v>420</v>
      </c>
      <c r="AX612" s="185" t="s">
        <v>479</v>
      </c>
      <c r="AY612" s="55" t="s">
        <v>176</v>
      </c>
      <c r="BE612" s="226" t="s">
        <v>347</v>
      </c>
      <c r="BF612" s="191" t="s">
        <v>479</v>
      </c>
      <c r="BG612" s="55" t="s">
        <v>479</v>
      </c>
      <c r="BH612" s="226" t="s">
        <v>421</v>
      </c>
      <c r="BI612" s="55" t="s">
        <v>479</v>
      </c>
      <c r="BJ612" s="55" t="s">
        <v>479</v>
      </c>
      <c r="BK612" s="55" t="s">
        <v>5976</v>
      </c>
      <c r="BM612" s="192" t="s">
        <v>119</v>
      </c>
      <c r="BN612" s="55">
        <v>4</v>
      </c>
      <c r="BO612" s="55">
        <v>4</v>
      </c>
      <c r="BQ612" s="55" t="s">
        <v>315</v>
      </c>
      <c r="GD612" s="65">
        <v>0.10920000000000001</v>
      </c>
      <c r="GE612" s="65">
        <v>0.11459999999999999</v>
      </c>
      <c r="GH612" s="65" t="s">
        <v>423</v>
      </c>
      <c r="GP612" s="292" t="s">
        <v>7494</v>
      </c>
      <c r="HS612" s="227"/>
      <c r="HW612" s="227"/>
      <c r="JU612" s="55" t="s">
        <v>688</v>
      </c>
    </row>
    <row r="613" spans="1:281" x14ac:dyDescent="0.25">
      <c r="A613" s="55">
        <v>612</v>
      </c>
      <c r="B613" s="12" t="s">
        <v>7067</v>
      </c>
      <c r="C613" s="155">
        <v>30</v>
      </c>
      <c r="D613" s="55" t="s">
        <v>3798</v>
      </c>
      <c r="E613" s="90" t="s">
        <v>416</v>
      </c>
      <c r="G613" s="55" t="s">
        <v>417</v>
      </c>
      <c r="H613" s="55">
        <v>2002</v>
      </c>
      <c r="I613" s="55">
        <v>1999</v>
      </c>
      <c r="J613" s="55" t="s">
        <v>418</v>
      </c>
      <c r="K613" s="55" t="s">
        <v>419</v>
      </c>
      <c r="L613" s="55" t="s">
        <v>2737</v>
      </c>
      <c r="M613" s="90">
        <f>38+32/60</f>
        <v>38.533333333333331</v>
      </c>
      <c r="N613" s="90">
        <f>-121-47/60</f>
        <v>-121.78333333333333</v>
      </c>
      <c r="O613" s="90">
        <v>18.399999999999999</v>
      </c>
      <c r="S613" s="90">
        <v>483</v>
      </c>
      <c r="U613" s="55">
        <v>3</v>
      </c>
      <c r="V613" s="55" t="s">
        <v>1816</v>
      </c>
      <c r="Y613" s="55">
        <v>36514</v>
      </c>
      <c r="Z613" s="55" t="s">
        <v>1363</v>
      </c>
      <c r="AA613" s="90" t="s">
        <v>1684</v>
      </c>
      <c r="AE613" s="90">
        <v>36</v>
      </c>
      <c r="AF613" s="90">
        <v>46</v>
      </c>
      <c r="AH613" s="55" t="s">
        <v>139</v>
      </c>
      <c r="AM613" s="55" t="s">
        <v>1295</v>
      </c>
      <c r="AN613" s="185" t="s">
        <v>1497</v>
      </c>
      <c r="AO613" s="185" t="s">
        <v>5150</v>
      </c>
      <c r="AQ613" s="55" t="s">
        <v>553</v>
      </c>
      <c r="AR613" s="55" t="s">
        <v>1552</v>
      </c>
      <c r="AS613" s="55" t="s">
        <v>1577</v>
      </c>
      <c r="AT613" s="181" t="s">
        <v>420</v>
      </c>
      <c r="AU613" s="181" t="s">
        <v>5150</v>
      </c>
      <c r="AV613" s="185" t="s">
        <v>479</v>
      </c>
      <c r="AW613" s="55" t="s">
        <v>420</v>
      </c>
      <c r="AX613" s="185" t="s">
        <v>479</v>
      </c>
      <c r="AY613" s="55" t="s">
        <v>176</v>
      </c>
      <c r="BE613" s="226" t="s">
        <v>347</v>
      </c>
      <c r="BF613" s="191" t="s">
        <v>479</v>
      </c>
      <c r="BG613" s="55" t="s">
        <v>479</v>
      </c>
      <c r="BH613" s="226" t="s">
        <v>422</v>
      </c>
      <c r="BI613" s="55" t="s">
        <v>479</v>
      </c>
      <c r="BJ613" s="55" t="s">
        <v>479</v>
      </c>
      <c r="BK613" s="55" t="s">
        <v>5976</v>
      </c>
      <c r="BM613" s="192" t="s">
        <v>119</v>
      </c>
      <c r="BN613" s="55">
        <v>4</v>
      </c>
      <c r="BO613" s="55">
        <v>4</v>
      </c>
      <c r="BQ613" s="55" t="s">
        <v>315</v>
      </c>
      <c r="GD613" s="65">
        <v>0.10920000000000001</v>
      </c>
      <c r="GE613" s="65">
        <v>0.1265</v>
      </c>
      <c r="GH613" s="65" t="s">
        <v>423</v>
      </c>
      <c r="GP613" s="292" t="s">
        <v>7494</v>
      </c>
      <c r="HS613" s="227"/>
      <c r="HW613" s="227"/>
      <c r="JU613" s="55" t="s">
        <v>688</v>
      </c>
    </row>
    <row r="614" spans="1:281" x14ac:dyDescent="0.25">
      <c r="A614" s="55">
        <v>613</v>
      </c>
      <c r="B614" s="12" t="s">
        <v>7067</v>
      </c>
      <c r="C614" s="155">
        <v>30</v>
      </c>
      <c r="D614" s="55" t="s">
        <v>3798</v>
      </c>
      <c r="E614" s="90" t="s">
        <v>416</v>
      </c>
      <c r="G614" s="55" t="s">
        <v>417</v>
      </c>
      <c r="H614" s="55">
        <v>2002</v>
      </c>
      <c r="I614" s="55">
        <v>2000</v>
      </c>
      <c r="J614" s="55" t="s">
        <v>418</v>
      </c>
      <c r="K614" s="55" t="s">
        <v>419</v>
      </c>
      <c r="L614" s="55" t="s">
        <v>2737</v>
      </c>
      <c r="M614" s="90">
        <f>38+32/60</f>
        <v>38.533333333333331</v>
      </c>
      <c r="N614" s="90">
        <f>-121-47/60</f>
        <v>-121.78333333333333</v>
      </c>
      <c r="O614" s="90">
        <v>18.399999999999999</v>
      </c>
      <c r="S614" s="90">
        <v>483</v>
      </c>
      <c r="U614" s="55">
        <v>4</v>
      </c>
      <c r="V614" s="55" t="s">
        <v>1816</v>
      </c>
      <c r="Y614" s="55">
        <v>36535</v>
      </c>
      <c r="Z614" s="55" t="s">
        <v>1363</v>
      </c>
      <c r="AA614" s="90" t="s">
        <v>1684</v>
      </c>
      <c r="AE614" s="90">
        <v>36</v>
      </c>
      <c r="AF614" s="90">
        <v>46</v>
      </c>
      <c r="AH614" s="55" t="s">
        <v>139</v>
      </c>
      <c r="AM614" s="55" t="s">
        <v>1295</v>
      </c>
      <c r="AN614" s="185" t="s">
        <v>1497</v>
      </c>
      <c r="AO614" s="185" t="s">
        <v>5150</v>
      </c>
      <c r="AQ614" s="55" t="s">
        <v>553</v>
      </c>
      <c r="AR614" s="55" t="s">
        <v>1552</v>
      </c>
      <c r="AS614" s="55" t="s">
        <v>1577</v>
      </c>
      <c r="AT614" s="181" t="s">
        <v>420</v>
      </c>
      <c r="AU614" s="181" t="s">
        <v>5150</v>
      </c>
      <c r="AV614" s="185" t="s">
        <v>479</v>
      </c>
      <c r="AW614" s="55" t="s">
        <v>420</v>
      </c>
      <c r="AX614" s="185" t="s">
        <v>479</v>
      </c>
      <c r="AY614" s="55" t="s">
        <v>176</v>
      </c>
      <c r="BE614" s="226" t="s">
        <v>347</v>
      </c>
      <c r="BF614" s="191" t="s">
        <v>479</v>
      </c>
      <c r="BG614" s="55" t="s">
        <v>479</v>
      </c>
      <c r="BH614" s="226" t="s">
        <v>421</v>
      </c>
      <c r="BI614" s="55" t="s">
        <v>479</v>
      </c>
      <c r="BJ614" s="55" t="s">
        <v>479</v>
      </c>
      <c r="BK614" s="55" t="s">
        <v>5976</v>
      </c>
      <c r="BM614" s="192" t="s">
        <v>119</v>
      </c>
      <c r="BN614" s="55">
        <v>4</v>
      </c>
      <c r="BO614" s="55">
        <v>4</v>
      </c>
      <c r="BQ614" s="55" t="s">
        <v>315</v>
      </c>
      <c r="GD614" s="65">
        <v>0.10630000000000001</v>
      </c>
      <c r="GE614" s="65">
        <v>0.11360000000000001</v>
      </c>
      <c r="GH614" s="65" t="s">
        <v>423</v>
      </c>
      <c r="GP614" s="292" t="s">
        <v>7494</v>
      </c>
      <c r="HS614" s="227"/>
      <c r="HW614" s="227"/>
      <c r="JU614" s="55" t="s">
        <v>688</v>
      </c>
    </row>
    <row r="615" spans="1:281" x14ac:dyDescent="0.25">
      <c r="A615" s="55">
        <v>614</v>
      </c>
      <c r="B615" s="12" t="s">
        <v>7067</v>
      </c>
      <c r="C615" s="155">
        <v>30</v>
      </c>
      <c r="D615" s="55" t="s">
        <v>3798</v>
      </c>
      <c r="E615" s="90" t="s">
        <v>416</v>
      </c>
      <c r="G615" s="55" t="s">
        <v>417</v>
      </c>
      <c r="H615" s="55">
        <v>2002</v>
      </c>
      <c r="I615" s="55">
        <v>2000</v>
      </c>
      <c r="J615" s="55" t="s">
        <v>418</v>
      </c>
      <c r="K615" s="55" t="s">
        <v>419</v>
      </c>
      <c r="L615" s="55" t="s">
        <v>2737</v>
      </c>
      <c r="M615" s="90">
        <f>38+32/60</f>
        <v>38.533333333333331</v>
      </c>
      <c r="N615" s="90">
        <f>-121-47/60</f>
        <v>-121.78333333333333</v>
      </c>
      <c r="O615" s="90">
        <v>18.399999999999999</v>
      </c>
      <c r="S615" s="90">
        <v>483</v>
      </c>
      <c r="U615" s="55">
        <v>4</v>
      </c>
      <c r="V615" s="55" t="s">
        <v>1816</v>
      </c>
      <c r="Y615" s="55">
        <v>36535</v>
      </c>
      <c r="Z615" s="55" t="s">
        <v>1363</v>
      </c>
      <c r="AA615" s="90" t="s">
        <v>1684</v>
      </c>
      <c r="AE615" s="90">
        <v>36</v>
      </c>
      <c r="AF615" s="90">
        <v>46</v>
      </c>
      <c r="AH615" s="55" t="s">
        <v>139</v>
      </c>
      <c r="AM615" s="55" t="s">
        <v>1295</v>
      </c>
      <c r="AN615" s="185" t="s">
        <v>1497</v>
      </c>
      <c r="AO615" s="185" t="s">
        <v>5150</v>
      </c>
      <c r="AQ615" s="55" t="s">
        <v>553</v>
      </c>
      <c r="AR615" s="55" t="s">
        <v>1552</v>
      </c>
      <c r="AS615" s="55" t="s">
        <v>1577</v>
      </c>
      <c r="AT615" s="181" t="s">
        <v>420</v>
      </c>
      <c r="AU615" s="181" t="s">
        <v>5150</v>
      </c>
      <c r="AV615" s="185" t="s">
        <v>479</v>
      </c>
      <c r="AW615" s="55" t="s">
        <v>420</v>
      </c>
      <c r="AX615" s="185" t="s">
        <v>479</v>
      </c>
      <c r="AY615" s="55" t="s">
        <v>176</v>
      </c>
      <c r="BE615" s="226" t="s">
        <v>347</v>
      </c>
      <c r="BF615" s="191" t="s">
        <v>479</v>
      </c>
      <c r="BG615" s="55" t="s">
        <v>479</v>
      </c>
      <c r="BH615" s="226" t="s">
        <v>422</v>
      </c>
      <c r="BI615" s="55" t="s">
        <v>479</v>
      </c>
      <c r="BJ615" s="55" t="s">
        <v>479</v>
      </c>
      <c r="BK615" s="55" t="s">
        <v>5976</v>
      </c>
      <c r="BM615" s="192" t="s">
        <v>119</v>
      </c>
      <c r="BN615" s="55">
        <v>4</v>
      </c>
      <c r="BO615" s="55">
        <v>4</v>
      </c>
      <c r="BQ615" s="55" t="s">
        <v>315</v>
      </c>
      <c r="GD615" s="65">
        <v>0.10630000000000001</v>
      </c>
      <c r="GE615" s="65">
        <v>0.1255</v>
      </c>
      <c r="GH615" s="65" t="s">
        <v>423</v>
      </c>
      <c r="GP615" s="292" t="s">
        <v>7494</v>
      </c>
      <c r="HS615" s="227"/>
      <c r="HW615" s="227"/>
      <c r="JU615" s="55" t="s">
        <v>688</v>
      </c>
    </row>
    <row r="616" spans="1:281" x14ac:dyDescent="0.25">
      <c r="A616" s="55">
        <v>615</v>
      </c>
      <c r="B616" s="12" t="s">
        <v>7067</v>
      </c>
      <c r="C616" s="155">
        <v>30</v>
      </c>
      <c r="D616" s="55" t="s">
        <v>3798</v>
      </c>
      <c r="E616" s="90" t="s">
        <v>416</v>
      </c>
      <c r="G616" s="55" t="s">
        <v>417</v>
      </c>
      <c r="H616" s="55">
        <v>2002</v>
      </c>
      <c r="I616" s="55">
        <v>2000</v>
      </c>
      <c r="J616" s="55" t="s">
        <v>418</v>
      </c>
      <c r="K616" s="55" t="s">
        <v>419</v>
      </c>
      <c r="L616" s="55" t="s">
        <v>2737</v>
      </c>
      <c r="M616" s="90">
        <f>38+32/60</f>
        <v>38.533333333333331</v>
      </c>
      <c r="N616" s="90">
        <f>-121-47/60</f>
        <v>-121.78333333333333</v>
      </c>
      <c r="O616" s="90">
        <v>18.399999999999999</v>
      </c>
      <c r="S616" s="90">
        <v>483</v>
      </c>
      <c r="U616" s="55">
        <v>4</v>
      </c>
      <c r="V616" s="55" t="s">
        <v>1816</v>
      </c>
      <c r="Y616" s="55">
        <v>36541</v>
      </c>
      <c r="Z616" s="55" t="s">
        <v>1363</v>
      </c>
      <c r="AA616" s="90" t="s">
        <v>1684</v>
      </c>
      <c r="AE616" s="90">
        <v>36</v>
      </c>
      <c r="AF616" s="90">
        <v>46</v>
      </c>
      <c r="AH616" s="55" t="s">
        <v>139</v>
      </c>
      <c r="AM616" s="55" t="s">
        <v>1295</v>
      </c>
      <c r="AN616" s="185" t="s">
        <v>1497</v>
      </c>
      <c r="AO616" s="185" t="s">
        <v>5150</v>
      </c>
      <c r="AQ616" s="55" t="s">
        <v>553</v>
      </c>
      <c r="AR616" s="55" t="s">
        <v>1552</v>
      </c>
      <c r="AS616" s="55" t="s">
        <v>1577</v>
      </c>
      <c r="AT616" s="181" t="s">
        <v>420</v>
      </c>
      <c r="AU616" s="181" t="s">
        <v>5150</v>
      </c>
      <c r="AV616" s="185" t="s">
        <v>479</v>
      </c>
      <c r="AW616" s="55" t="s">
        <v>420</v>
      </c>
      <c r="AX616" s="185" t="s">
        <v>479</v>
      </c>
      <c r="AY616" s="55" t="s">
        <v>176</v>
      </c>
      <c r="BE616" s="226" t="s">
        <v>347</v>
      </c>
      <c r="BF616" s="191" t="s">
        <v>479</v>
      </c>
      <c r="BG616" s="55" t="s">
        <v>479</v>
      </c>
      <c r="BH616" s="226" t="s">
        <v>421</v>
      </c>
      <c r="BI616" s="55" t="s">
        <v>479</v>
      </c>
      <c r="BJ616" s="55" t="s">
        <v>479</v>
      </c>
      <c r="BK616" s="55" t="s">
        <v>5976</v>
      </c>
      <c r="BM616" s="192" t="s">
        <v>119</v>
      </c>
      <c r="BN616" s="55">
        <v>4</v>
      </c>
      <c r="BO616" s="55">
        <v>4</v>
      </c>
      <c r="BQ616" s="55" t="s">
        <v>315</v>
      </c>
      <c r="GD616" s="65">
        <v>0.1072</v>
      </c>
      <c r="GE616" s="65">
        <v>0.11360000000000001</v>
      </c>
      <c r="GH616" s="65" t="s">
        <v>423</v>
      </c>
      <c r="GP616" s="292" t="s">
        <v>7494</v>
      </c>
      <c r="HS616" s="227"/>
      <c r="HW616" s="227"/>
      <c r="JU616" s="55" t="s">
        <v>688</v>
      </c>
    </row>
    <row r="617" spans="1:281" x14ac:dyDescent="0.25">
      <c r="A617" s="55">
        <v>616</v>
      </c>
      <c r="B617" s="12" t="s">
        <v>7067</v>
      </c>
      <c r="C617" s="155">
        <v>30</v>
      </c>
      <c r="D617" s="55" t="s">
        <v>3798</v>
      </c>
      <c r="E617" s="90" t="s">
        <v>416</v>
      </c>
      <c r="G617" s="55" t="s">
        <v>417</v>
      </c>
      <c r="H617" s="55">
        <v>2002</v>
      </c>
      <c r="I617" s="55">
        <v>2000</v>
      </c>
      <c r="J617" s="55" t="s">
        <v>418</v>
      </c>
      <c r="K617" s="55" t="s">
        <v>419</v>
      </c>
      <c r="L617" s="55" t="s">
        <v>2737</v>
      </c>
      <c r="M617" s="90">
        <f>38+32/60</f>
        <v>38.533333333333331</v>
      </c>
      <c r="N617" s="90">
        <f>-121-47/60</f>
        <v>-121.78333333333333</v>
      </c>
      <c r="O617" s="90">
        <v>18.399999999999999</v>
      </c>
      <c r="S617" s="90">
        <v>483</v>
      </c>
      <c r="U617" s="55">
        <v>4</v>
      </c>
      <c r="V617" s="55" t="s">
        <v>1816</v>
      </c>
      <c r="Y617" s="55">
        <v>36541</v>
      </c>
      <c r="Z617" s="55" t="s">
        <v>1363</v>
      </c>
      <c r="AA617" s="90" t="s">
        <v>1684</v>
      </c>
      <c r="AE617" s="90">
        <v>36</v>
      </c>
      <c r="AF617" s="90">
        <v>46</v>
      </c>
      <c r="AH617" s="55" t="s">
        <v>139</v>
      </c>
      <c r="AM617" s="55" t="s">
        <v>1295</v>
      </c>
      <c r="AN617" s="185" t="s">
        <v>1497</v>
      </c>
      <c r="AO617" s="185" t="s">
        <v>5150</v>
      </c>
      <c r="AQ617" s="55" t="s">
        <v>553</v>
      </c>
      <c r="AR617" s="55" t="s">
        <v>1552</v>
      </c>
      <c r="AS617" s="55" t="s">
        <v>1577</v>
      </c>
      <c r="AT617" s="181" t="s">
        <v>420</v>
      </c>
      <c r="AU617" s="181" t="s">
        <v>5150</v>
      </c>
      <c r="AV617" s="185" t="s">
        <v>479</v>
      </c>
      <c r="AW617" s="55" t="s">
        <v>420</v>
      </c>
      <c r="AX617" s="185" t="s">
        <v>479</v>
      </c>
      <c r="AY617" s="55" t="s">
        <v>176</v>
      </c>
      <c r="BE617" s="226" t="s">
        <v>347</v>
      </c>
      <c r="BF617" s="191" t="s">
        <v>479</v>
      </c>
      <c r="BG617" s="55" t="s">
        <v>479</v>
      </c>
      <c r="BH617" s="226" t="s">
        <v>422</v>
      </c>
      <c r="BI617" s="55" t="s">
        <v>479</v>
      </c>
      <c r="BJ617" s="55" t="s">
        <v>479</v>
      </c>
      <c r="BK617" s="55" t="s">
        <v>5976</v>
      </c>
      <c r="BM617" s="192" t="s">
        <v>119</v>
      </c>
      <c r="BN617" s="55">
        <v>4</v>
      </c>
      <c r="BO617" s="55">
        <v>4</v>
      </c>
      <c r="BQ617" s="55" t="s">
        <v>315</v>
      </c>
      <c r="GD617" s="65">
        <v>0.1072</v>
      </c>
      <c r="GE617" s="65">
        <v>0.12540000000000001</v>
      </c>
      <c r="GH617" s="65" t="s">
        <v>423</v>
      </c>
      <c r="GP617" s="292" t="s">
        <v>7494</v>
      </c>
      <c r="HS617" s="227"/>
      <c r="HW617" s="227"/>
      <c r="JU617" s="55" t="s">
        <v>688</v>
      </c>
    </row>
    <row r="618" spans="1:281" x14ac:dyDescent="0.25">
      <c r="A618" s="55">
        <v>617</v>
      </c>
      <c r="B618" s="12" t="s">
        <v>7067</v>
      </c>
      <c r="C618" s="155">
        <v>30</v>
      </c>
      <c r="D618" s="55" t="s">
        <v>3798</v>
      </c>
      <c r="E618" s="90" t="s">
        <v>416</v>
      </c>
      <c r="G618" s="55" t="s">
        <v>417</v>
      </c>
      <c r="H618" s="55">
        <v>2002</v>
      </c>
      <c r="I618" s="55">
        <v>2000</v>
      </c>
      <c r="J618" s="55" t="s">
        <v>418</v>
      </c>
      <c r="K618" s="55" t="s">
        <v>419</v>
      </c>
      <c r="L618" s="55" t="s">
        <v>2737</v>
      </c>
      <c r="M618" s="90">
        <f>38+32/60</f>
        <v>38.533333333333331</v>
      </c>
      <c r="N618" s="90">
        <f>-121-47/60</f>
        <v>-121.78333333333333</v>
      </c>
      <c r="O618" s="90">
        <v>18.399999999999999</v>
      </c>
      <c r="S618" s="90">
        <v>483</v>
      </c>
      <c r="U618" s="55">
        <v>4</v>
      </c>
      <c r="V618" s="55" t="s">
        <v>1816</v>
      </c>
      <c r="Y618" s="55">
        <v>36549</v>
      </c>
      <c r="Z618" s="55" t="s">
        <v>1363</v>
      </c>
      <c r="AA618" s="90" t="s">
        <v>1684</v>
      </c>
      <c r="AE618" s="90">
        <v>36</v>
      </c>
      <c r="AF618" s="90">
        <v>46</v>
      </c>
      <c r="AH618" s="55" t="s">
        <v>139</v>
      </c>
      <c r="AM618" s="55" t="s">
        <v>1295</v>
      </c>
      <c r="AN618" s="185" t="s">
        <v>1497</v>
      </c>
      <c r="AO618" s="185" t="s">
        <v>5150</v>
      </c>
      <c r="AQ618" s="55" t="s">
        <v>553</v>
      </c>
      <c r="AR618" s="55" t="s">
        <v>1552</v>
      </c>
      <c r="AS618" s="55" t="s">
        <v>1577</v>
      </c>
      <c r="AT618" s="181" t="s">
        <v>420</v>
      </c>
      <c r="AU618" s="181" t="s">
        <v>5150</v>
      </c>
      <c r="AV618" s="185" t="s">
        <v>479</v>
      </c>
      <c r="AW618" s="55" t="s">
        <v>420</v>
      </c>
      <c r="AX618" s="185" t="s">
        <v>479</v>
      </c>
      <c r="AY618" s="55" t="s">
        <v>176</v>
      </c>
      <c r="BE618" s="226" t="s">
        <v>347</v>
      </c>
      <c r="BF618" s="191" t="s">
        <v>479</v>
      </c>
      <c r="BG618" s="55" t="s">
        <v>479</v>
      </c>
      <c r="BH618" s="226" t="s">
        <v>421</v>
      </c>
      <c r="BI618" s="55" t="s">
        <v>479</v>
      </c>
      <c r="BJ618" s="55" t="s">
        <v>479</v>
      </c>
      <c r="BK618" s="55" t="s">
        <v>5976</v>
      </c>
      <c r="BM618" s="192" t="s">
        <v>119</v>
      </c>
      <c r="BN618" s="55">
        <v>4</v>
      </c>
      <c r="BO618" s="55">
        <v>4</v>
      </c>
      <c r="BQ618" s="55" t="s">
        <v>315</v>
      </c>
      <c r="GD618" s="65">
        <v>0.1062</v>
      </c>
      <c r="GE618" s="65">
        <v>0.11360000000000001</v>
      </c>
      <c r="GH618" s="65" t="s">
        <v>423</v>
      </c>
      <c r="GP618" s="292" t="s">
        <v>7494</v>
      </c>
      <c r="HS618" s="227"/>
      <c r="HW618" s="227"/>
      <c r="JU618" s="55" t="s">
        <v>688</v>
      </c>
    </row>
    <row r="619" spans="1:281" x14ac:dyDescent="0.25">
      <c r="A619" s="55">
        <v>618</v>
      </c>
      <c r="B619" s="12" t="s">
        <v>7067</v>
      </c>
      <c r="C619" s="155">
        <v>30</v>
      </c>
      <c r="D619" s="55" t="s">
        <v>3798</v>
      </c>
      <c r="E619" s="90" t="s">
        <v>416</v>
      </c>
      <c r="G619" s="55" t="s">
        <v>417</v>
      </c>
      <c r="H619" s="55">
        <v>2002</v>
      </c>
      <c r="I619" s="55">
        <v>2000</v>
      </c>
      <c r="J619" s="55" t="s">
        <v>418</v>
      </c>
      <c r="K619" s="55" t="s">
        <v>419</v>
      </c>
      <c r="L619" s="55" t="s">
        <v>2737</v>
      </c>
      <c r="M619" s="90">
        <f>38+32/60</f>
        <v>38.533333333333331</v>
      </c>
      <c r="N619" s="90">
        <f>-121-47/60</f>
        <v>-121.78333333333333</v>
      </c>
      <c r="O619" s="90">
        <v>18.399999999999999</v>
      </c>
      <c r="S619" s="90">
        <v>483</v>
      </c>
      <c r="U619" s="55">
        <v>4</v>
      </c>
      <c r="V619" s="55" t="s">
        <v>1816</v>
      </c>
      <c r="Y619" s="55">
        <v>36549</v>
      </c>
      <c r="Z619" s="55" t="s">
        <v>1363</v>
      </c>
      <c r="AA619" s="90" t="s">
        <v>1684</v>
      </c>
      <c r="AE619" s="90">
        <v>36</v>
      </c>
      <c r="AF619" s="90">
        <v>46</v>
      </c>
      <c r="AH619" s="55" t="s">
        <v>139</v>
      </c>
      <c r="AM619" s="55" t="s">
        <v>1295</v>
      </c>
      <c r="AN619" s="185" t="s">
        <v>1497</v>
      </c>
      <c r="AO619" s="185" t="s">
        <v>5150</v>
      </c>
      <c r="AQ619" s="55" t="s">
        <v>553</v>
      </c>
      <c r="AR619" s="55" t="s">
        <v>1552</v>
      </c>
      <c r="AS619" s="55" t="s">
        <v>1577</v>
      </c>
      <c r="AT619" s="181" t="s">
        <v>420</v>
      </c>
      <c r="AU619" s="181" t="s">
        <v>5150</v>
      </c>
      <c r="AV619" s="185" t="s">
        <v>479</v>
      </c>
      <c r="AW619" s="55" t="s">
        <v>420</v>
      </c>
      <c r="AX619" s="185" t="s">
        <v>479</v>
      </c>
      <c r="AY619" s="55" t="s">
        <v>176</v>
      </c>
      <c r="BE619" s="226" t="s">
        <v>347</v>
      </c>
      <c r="BF619" s="191" t="s">
        <v>479</v>
      </c>
      <c r="BG619" s="55" t="s">
        <v>479</v>
      </c>
      <c r="BH619" s="226" t="s">
        <v>422</v>
      </c>
      <c r="BI619" s="55" t="s">
        <v>479</v>
      </c>
      <c r="BJ619" s="55" t="s">
        <v>479</v>
      </c>
      <c r="BK619" s="55" t="s">
        <v>5976</v>
      </c>
      <c r="BM619" s="192" t="s">
        <v>119</v>
      </c>
      <c r="BN619" s="55">
        <v>4</v>
      </c>
      <c r="BO619" s="55">
        <v>4</v>
      </c>
      <c r="BQ619" s="55" t="s">
        <v>315</v>
      </c>
      <c r="GD619" s="65">
        <v>0.1062</v>
      </c>
      <c r="GE619" s="65">
        <v>0.12540000000000001</v>
      </c>
      <c r="GH619" s="65" t="s">
        <v>423</v>
      </c>
      <c r="GP619" s="292" t="s">
        <v>7494</v>
      </c>
      <c r="HS619" s="227"/>
      <c r="HW619" s="227"/>
      <c r="JU619" s="55" t="s">
        <v>688</v>
      </c>
    </row>
    <row r="620" spans="1:281" x14ac:dyDescent="0.25">
      <c r="A620" s="55">
        <v>619</v>
      </c>
      <c r="B620" s="12" t="s">
        <v>7067</v>
      </c>
      <c r="C620" s="155">
        <v>30</v>
      </c>
      <c r="D620" s="55" t="s">
        <v>3798</v>
      </c>
      <c r="E620" s="90" t="s">
        <v>416</v>
      </c>
      <c r="G620" s="55" t="s">
        <v>417</v>
      </c>
      <c r="H620" s="55">
        <v>2002</v>
      </c>
      <c r="I620" s="55">
        <v>2000</v>
      </c>
      <c r="J620" s="55" t="s">
        <v>418</v>
      </c>
      <c r="K620" s="55" t="s">
        <v>419</v>
      </c>
      <c r="L620" s="55" t="s">
        <v>2737</v>
      </c>
      <c r="M620" s="90">
        <f>38+32/60</f>
        <v>38.533333333333331</v>
      </c>
      <c r="N620" s="90">
        <f>-121-47/60</f>
        <v>-121.78333333333333</v>
      </c>
      <c r="O620" s="90">
        <v>18.399999999999999</v>
      </c>
      <c r="S620" s="90">
        <v>483</v>
      </c>
      <c r="U620" s="55">
        <v>4</v>
      </c>
      <c r="V620" s="55" t="s">
        <v>1816</v>
      </c>
      <c r="Y620" s="55">
        <v>36562</v>
      </c>
      <c r="Z620" s="55" t="s">
        <v>1363</v>
      </c>
      <c r="AA620" s="90" t="s">
        <v>1684</v>
      </c>
      <c r="AE620" s="90">
        <v>36</v>
      </c>
      <c r="AF620" s="90">
        <v>46</v>
      </c>
      <c r="AH620" s="55" t="s">
        <v>139</v>
      </c>
      <c r="AM620" s="55" t="s">
        <v>1295</v>
      </c>
      <c r="AN620" s="185" t="s">
        <v>1497</v>
      </c>
      <c r="AO620" s="185" t="s">
        <v>5150</v>
      </c>
      <c r="AQ620" s="55" t="s">
        <v>553</v>
      </c>
      <c r="AR620" s="55" t="s">
        <v>1552</v>
      </c>
      <c r="AS620" s="55" t="s">
        <v>1577</v>
      </c>
      <c r="AT620" s="181" t="s">
        <v>420</v>
      </c>
      <c r="AU620" s="181" t="s">
        <v>5150</v>
      </c>
      <c r="AV620" s="185" t="s">
        <v>479</v>
      </c>
      <c r="AW620" s="55" t="s">
        <v>420</v>
      </c>
      <c r="AX620" s="185" t="s">
        <v>479</v>
      </c>
      <c r="AY620" s="55" t="s">
        <v>176</v>
      </c>
      <c r="BE620" s="226" t="s">
        <v>347</v>
      </c>
      <c r="BF620" s="191" t="s">
        <v>479</v>
      </c>
      <c r="BG620" s="55" t="s">
        <v>479</v>
      </c>
      <c r="BH620" s="226" t="s">
        <v>421</v>
      </c>
      <c r="BI620" s="55" t="s">
        <v>479</v>
      </c>
      <c r="BJ620" s="55" t="s">
        <v>479</v>
      </c>
      <c r="BK620" s="55" t="s">
        <v>5976</v>
      </c>
      <c r="BM620" s="192" t="s">
        <v>119</v>
      </c>
      <c r="BN620" s="55">
        <v>4</v>
      </c>
      <c r="BO620" s="55">
        <v>4</v>
      </c>
      <c r="BQ620" s="55" t="s">
        <v>315</v>
      </c>
      <c r="GD620" s="65">
        <v>0.13350000000000001</v>
      </c>
      <c r="GE620" s="65">
        <v>0.1472</v>
      </c>
      <c r="GH620" s="65" t="s">
        <v>423</v>
      </c>
      <c r="GP620" s="292" t="s">
        <v>7494</v>
      </c>
      <c r="HS620" s="227"/>
      <c r="HW620" s="227"/>
      <c r="JU620" s="55" t="s">
        <v>688</v>
      </c>
    </row>
    <row r="621" spans="1:281" x14ac:dyDescent="0.25">
      <c r="A621" s="55">
        <v>620</v>
      </c>
      <c r="B621" s="12" t="s">
        <v>7067</v>
      </c>
      <c r="C621" s="155">
        <v>30</v>
      </c>
      <c r="D621" s="55" t="s">
        <v>3798</v>
      </c>
      <c r="E621" s="90" t="s">
        <v>416</v>
      </c>
      <c r="G621" s="55" t="s">
        <v>417</v>
      </c>
      <c r="H621" s="55">
        <v>2002</v>
      </c>
      <c r="I621" s="55">
        <v>2000</v>
      </c>
      <c r="J621" s="55" t="s">
        <v>418</v>
      </c>
      <c r="K621" s="55" t="s">
        <v>419</v>
      </c>
      <c r="L621" s="55" t="s">
        <v>2737</v>
      </c>
      <c r="M621" s="90">
        <f>38+32/60</f>
        <v>38.533333333333331</v>
      </c>
      <c r="N621" s="90">
        <f>-121-47/60</f>
        <v>-121.78333333333333</v>
      </c>
      <c r="O621" s="90">
        <v>18.399999999999999</v>
      </c>
      <c r="S621" s="90">
        <v>483</v>
      </c>
      <c r="U621" s="55">
        <v>4</v>
      </c>
      <c r="V621" s="55" t="s">
        <v>1816</v>
      </c>
      <c r="Y621" s="55">
        <v>36562</v>
      </c>
      <c r="Z621" s="55" t="s">
        <v>1363</v>
      </c>
      <c r="AA621" s="90" t="s">
        <v>1684</v>
      </c>
      <c r="AE621" s="90">
        <v>36</v>
      </c>
      <c r="AF621" s="90">
        <v>46</v>
      </c>
      <c r="AH621" s="55" t="s">
        <v>139</v>
      </c>
      <c r="AM621" s="55" t="s">
        <v>1295</v>
      </c>
      <c r="AN621" s="185" t="s">
        <v>1497</v>
      </c>
      <c r="AO621" s="185" t="s">
        <v>5150</v>
      </c>
      <c r="AQ621" s="55" t="s">
        <v>553</v>
      </c>
      <c r="AR621" s="55" t="s">
        <v>1552</v>
      </c>
      <c r="AS621" s="55" t="s">
        <v>1577</v>
      </c>
      <c r="AT621" s="181" t="s">
        <v>420</v>
      </c>
      <c r="AU621" s="181" t="s">
        <v>5150</v>
      </c>
      <c r="AV621" s="185" t="s">
        <v>479</v>
      </c>
      <c r="AW621" s="55" t="s">
        <v>420</v>
      </c>
      <c r="AX621" s="185" t="s">
        <v>479</v>
      </c>
      <c r="AY621" s="55" t="s">
        <v>176</v>
      </c>
      <c r="BE621" s="226" t="s">
        <v>347</v>
      </c>
      <c r="BF621" s="191" t="s">
        <v>479</v>
      </c>
      <c r="BG621" s="55" t="s">
        <v>479</v>
      </c>
      <c r="BH621" s="226" t="s">
        <v>422</v>
      </c>
      <c r="BI621" s="55" t="s">
        <v>479</v>
      </c>
      <c r="BJ621" s="55" t="s">
        <v>479</v>
      </c>
      <c r="BK621" s="55" t="s">
        <v>5976</v>
      </c>
      <c r="BM621" s="192" t="s">
        <v>119</v>
      </c>
      <c r="BN621" s="55">
        <v>4</v>
      </c>
      <c r="BO621" s="55">
        <v>4</v>
      </c>
      <c r="BQ621" s="55" t="s">
        <v>315</v>
      </c>
      <c r="GD621" s="65">
        <v>0.13350000000000001</v>
      </c>
      <c r="GE621" s="65">
        <v>0.1381</v>
      </c>
      <c r="GH621" s="65" t="s">
        <v>423</v>
      </c>
      <c r="GP621" s="292" t="s">
        <v>7494</v>
      </c>
      <c r="HS621" s="227"/>
      <c r="HW621" s="227"/>
      <c r="JU621" s="55" t="s">
        <v>688</v>
      </c>
    </row>
    <row r="622" spans="1:281" x14ac:dyDescent="0.25">
      <c r="A622" s="55">
        <v>621</v>
      </c>
      <c r="B622" s="12" t="s">
        <v>7067</v>
      </c>
      <c r="C622" s="155">
        <v>30</v>
      </c>
      <c r="D622" s="55" t="s">
        <v>3798</v>
      </c>
      <c r="E622" s="90" t="s">
        <v>416</v>
      </c>
      <c r="G622" s="55" t="s">
        <v>417</v>
      </c>
      <c r="H622" s="55">
        <v>2002</v>
      </c>
      <c r="I622" s="55">
        <v>2000</v>
      </c>
      <c r="J622" s="55" t="s">
        <v>418</v>
      </c>
      <c r="K622" s="55" t="s">
        <v>419</v>
      </c>
      <c r="L622" s="55" t="s">
        <v>2737</v>
      </c>
      <c r="M622" s="90">
        <f>38+32/60</f>
        <v>38.533333333333331</v>
      </c>
      <c r="N622" s="90">
        <f>-121-47/60</f>
        <v>-121.78333333333333</v>
      </c>
      <c r="O622" s="90">
        <v>18.399999999999999</v>
      </c>
      <c r="S622" s="90">
        <v>483</v>
      </c>
      <c r="U622" s="55">
        <v>4</v>
      </c>
      <c r="V622" s="55" t="s">
        <v>1816</v>
      </c>
      <c r="Y622" s="55">
        <v>36566</v>
      </c>
      <c r="Z622" s="55" t="s">
        <v>1363</v>
      </c>
      <c r="AA622" s="90" t="s">
        <v>1684</v>
      </c>
      <c r="AE622" s="90">
        <v>36</v>
      </c>
      <c r="AF622" s="90">
        <v>46</v>
      </c>
      <c r="AH622" s="55" t="s">
        <v>139</v>
      </c>
      <c r="AM622" s="55" t="s">
        <v>1295</v>
      </c>
      <c r="AN622" s="185" t="s">
        <v>1497</v>
      </c>
      <c r="AO622" s="185" t="s">
        <v>5150</v>
      </c>
      <c r="AQ622" s="55" t="s">
        <v>553</v>
      </c>
      <c r="AR622" s="55" t="s">
        <v>1552</v>
      </c>
      <c r="AS622" s="55" t="s">
        <v>1577</v>
      </c>
      <c r="AT622" s="181" t="s">
        <v>420</v>
      </c>
      <c r="AU622" s="181" t="s">
        <v>5150</v>
      </c>
      <c r="AV622" s="185" t="s">
        <v>479</v>
      </c>
      <c r="AW622" s="55" t="s">
        <v>420</v>
      </c>
      <c r="AX622" s="185" t="s">
        <v>479</v>
      </c>
      <c r="AY622" s="55" t="s">
        <v>176</v>
      </c>
      <c r="BE622" s="226" t="s">
        <v>347</v>
      </c>
      <c r="BF622" s="191" t="s">
        <v>479</v>
      </c>
      <c r="BG622" s="55" t="s">
        <v>479</v>
      </c>
      <c r="BH622" s="226" t="s">
        <v>421</v>
      </c>
      <c r="BI622" s="55" t="s">
        <v>479</v>
      </c>
      <c r="BJ622" s="55" t="s">
        <v>479</v>
      </c>
      <c r="BK622" s="55" t="s">
        <v>5976</v>
      </c>
      <c r="BM622" s="192" t="s">
        <v>119</v>
      </c>
      <c r="BN622" s="55">
        <v>4</v>
      </c>
      <c r="BO622" s="55">
        <v>4</v>
      </c>
      <c r="BQ622" s="55" t="s">
        <v>315</v>
      </c>
      <c r="GD622" s="65">
        <v>0.1517</v>
      </c>
      <c r="GE622" s="65">
        <v>0.18179999999999999</v>
      </c>
      <c r="GH622" s="65" t="s">
        <v>423</v>
      </c>
      <c r="GP622" s="292" t="s">
        <v>7494</v>
      </c>
      <c r="HS622" s="227"/>
      <c r="HW622" s="227"/>
      <c r="JU622" s="55" t="s">
        <v>688</v>
      </c>
    </row>
    <row r="623" spans="1:281" x14ac:dyDescent="0.25">
      <c r="A623" s="55">
        <v>622</v>
      </c>
      <c r="B623" s="12" t="s">
        <v>7067</v>
      </c>
      <c r="C623" s="155">
        <v>30</v>
      </c>
      <c r="D623" s="55" t="s">
        <v>3798</v>
      </c>
      <c r="E623" s="90" t="s">
        <v>416</v>
      </c>
      <c r="G623" s="55" t="s">
        <v>417</v>
      </c>
      <c r="H623" s="55">
        <v>2002</v>
      </c>
      <c r="I623" s="55">
        <v>2000</v>
      </c>
      <c r="J623" s="55" t="s">
        <v>418</v>
      </c>
      <c r="K623" s="55" t="s">
        <v>419</v>
      </c>
      <c r="L623" s="55" t="s">
        <v>2737</v>
      </c>
      <c r="M623" s="90">
        <f>38+32/60</f>
        <v>38.533333333333331</v>
      </c>
      <c r="N623" s="90">
        <f>-121-47/60</f>
        <v>-121.78333333333333</v>
      </c>
      <c r="O623" s="90">
        <v>18.399999999999999</v>
      </c>
      <c r="S623" s="90">
        <v>483</v>
      </c>
      <c r="U623" s="55">
        <v>4</v>
      </c>
      <c r="V623" s="55" t="s">
        <v>1816</v>
      </c>
      <c r="Y623" s="55">
        <v>36566</v>
      </c>
      <c r="Z623" s="55" t="s">
        <v>1363</v>
      </c>
      <c r="AA623" s="90" t="s">
        <v>1684</v>
      </c>
      <c r="AE623" s="90">
        <v>36</v>
      </c>
      <c r="AF623" s="90">
        <v>46</v>
      </c>
      <c r="AH623" s="55" t="s">
        <v>139</v>
      </c>
      <c r="AM623" s="55" t="s">
        <v>1295</v>
      </c>
      <c r="AN623" s="185" t="s">
        <v>1497</v>
      </c>
      <c r="AO623" s="185" t="s">
        <v>5150</v>
      </c>
      <c r="AQ623" s="55" t="s">
        <v>553</v>
      </c>
      <c r="AR623" s="55" t="s">
        <v>1552</v>
      </c>
      <c r="AS623" s="55" t="s">
        <v>1577</v>
      </c>
      <c r="AT623" s="181" t="s">
        <v>420</v>
      </c>
      <c r="AU623" s="181" t="s">
        <v>5150</v>
      </c>
      <c r="AV623" s="185" t="s">
        <v>479</v>
      </c>
      <c r="AW623" s="55" t="s">
        <v>420</v>
      </c>
      <c r="AX623" s="185" t="s">
        <v>479</v>
      </c>
      <c r="AY623" s="55" t="s">
        <v>176</v>
      </c>
      <c r="BE623" s="226" t="s">
        <v>347</v>
      </c>
      <c r="BF623" s="191" t="s">
        <v>479</v>
      </c>
      <c r="BG623" s="55" t="s">
        <v>479</v>
      </c>
      <c r="BH623" s="226" t="s">
        <v>422</v>
      </c>
      <c r="BI623" s="55" t="s">
        <v>479</v>
      </c>
      <c r="BJ623" s="55" t="s">
        <v>479</v>
      </c>
      <c r="BK623" s="55" t="s">
        <v>5976</v>
      </c>
      <c r="BM623" s="192" t="s">
        <v>119</v>
      </c>
      <c r="BN623" s="55">
        <v>4</v>
      </c>
      <c r="BO623" s="55">
        <v>4</v>
      </c>
      <c r="BQ623" s="55" t="s">
        <v>315</v>
      </c>
      <c r="GD623" s="65">
        <v>0.1517</v>
      </c>
      <c r="GE623" s="65">
        <v>0.18179999999999999</v>
      </c>
      <c r="GH623" s="65" t="s">
        <v>423</v>
      </c>
      <c r="GP623" s="292" t="s">
        <v>7494</v>
      </c>
      <c r="HS623" s="227"/>
      <c r="HW623" s="227"/>
      <c r="JU623" s="55" t="s">
        <v>688</v>
      </c>
    </row>
    <row r="624" spans="1:281" x14ac:dyDescent="0.25">
      <c r="A624" s="55">
        <v>623</v>
      </c>
      <c r="B624" s="12" t="s">
        <v>7067</v>
      </c>
      <c r="C624" s="155">
        <v>30</v>
      </c>
      <c r="D624" s="55" t="s">
        <v>3798</v>
      </c>
      <c r="E624" s="90" t="s">
        <v>416</v>
      </c>
      <c r="G624" s="55" t="s">
        <v>417</v>
      </c>
      <c r="H624" s="55">
        <v>2002</v>
      </c>
      <c r="I624" s="55">
        <v>2000</v>
      </c>
      <c r="J624" s="55" t="s">
        <v>418</v>
      </c>
      <c r="K624" s="55" t="s">
        <v>419</v>
      </c>
      <c r="L624" s="55" t="s">
        <v>2737</v>
      </c>
      <c r="M624" s="90">
        <f>38+32/60</f>
        <v>38.533333333333331</v>
      </c>
      <c r="N624" s="90">
        <f>-121-47/60</f>
        <v>-121.78333333333333</v>
      </c>
      <c r="O624" s="90">
        <v>18.399999999999999</v>
      </c>
      <c r="S624" s="90">
        <v>483</v>
      </c>
      <c r="U624" s="55">
        <v>4</v>
      </c>
      <c r="V624" s="55" t="s">
        <v>1816</v>
      </c>
      <c r="Y624" s="55">
        <v>36572</v>
      </c>
      <c r="Z624" s="55" t="s">
        <v>1363</v>
      </c>
      <c r="AA624" s="90" t="s">
        <v>1684</v>
      </c>
      <c r="AE624" s="90">
        <v>36</v>
      </c>
      <c r="AF624" s="90">
        <v>46</v>
      </c>
      <c r="AH624" s="55" t="s">
        <v>139</v>
      </c>
      <c r="AM624" s="55" t="s">
        <v>1295</v>
      </c>
      <c r="AN624" s="185" t="s">
        <v>1497</v>
      </c>
      <c r="AO624" s="185" t="s">
        <v>5150</v>
      </c>
      <c r="AQ624" s="55" t="s">
        <v>553</v>
      </c>
      <c r="AR624" s="55" t="s">
        <v>1552</v>
      </c>
      <c r="AS624" s="55" t="s">
        <v>1577</v>
      </c>
      <c r="AT624" s="181" t="s">
        <v>420</v>
      </c>
      <c r="AU624" s="181" t="s">
        <v>5150</v>
      </c>
      <c r="AV624" s="185" t="s">
        <v>479</v>
      </c>
      <c r="AW624" s="55" t="s">
        <v>420</v>
      </c>
      <c r="AX624" s="185" t="s">
        <v>479</v>
      </c>
      <c r="AY624" s="55" t="s">
        <v>176</v>
      </c>
      <c r="BE624" s="226" t="s">
        <v>347</v>
      </c>
      <c r="BF624" s="191" t="s">
        <v>479</v>
      </c>
      <c r="BG624" s="55" t="s">
        <v>479</v>
      </c>
      <c r="BH624" s="226" t="s">
        <v>421</v>
      </c>
      <c r="BI624" s="55" t="s">
        <v>479</v>
      </c>
      <c r="BJ624" s="55" t="s">
        <v>479</v>
      </c>
      <c r="BK624" s="55" t="s">
        <v>5976</v>
      </c>
      <c r="BM624" s="192" t="s">
        <v>119</v>
      </c>
      <c r="BN624" s="55">
        <v>4</v>
      </c>
      <c r="BO624" s="55">
        <v>4</v>
      </c>
      <c r="BQ624" s="55" t="s">
        <v>315</v>
      </c>
      <c r="GD624" s="65">
        <v>0.1925</v>
      </c>
      <c r="GE624" s="65">
        <v>0.22900000000000001</v>
      </c>
      <c r="GH624" s="65" t="s">
        <v>423</v>
      </c>
      <c r="GP624" s="292" t="s">
        <v>7494</v>
      </c>
      <c r="HS624" s="227"/>
      <c r="HW624" s="227"/>
      <c r="JU624" s="55" t="s">
        <v>688</v>
      </c>
    </row>
    <row r="625" spans="1:281" x14ac:dyDescent="0.25">
      <c r="A625" s="55">
        <v>624</v>
      </c>
      <c r="B625" s="12" t="s">
        <v>7067</v>
      </c>
      <c r="C625" s="155">
        <v>30</v>
      </c>
      <c r="D625" s="55" t="s">
        <v>3798</v>
      </c>
      <c r="E625" s="90" t="s">
        <v>416</v>
      </c>
      <c r="G625" s="55" t="s">
        <v>417</v>
      </c>
      <c r="H625" s="55">
        <v>2002</v>
      </c>
      <c r="I625" s="55">
        <v>2000</v>
      </c>
      <c r="J625" s="55" t="s">
        <v>418</v>
      </c>
      <c r="K625" s="55" t="s">
        <v>419</v>
      </c>
      <c r="L625" s="55" t="s">
        <v>2737</v>
      </c>
      <c r="M625" s="90">
        <f>38+32/60</f>
        <v>38.533333333333331</v>
      </c>
      <c r="N625" s="90">
        <f>-121-47/60</f>
        <v>-121.78333333333333</v>
      </c>
      <c r="O625" s="90">
        <v>18.399999999999999</v>
      </c>
      <c r="S625" s="90">
        <v>483</v>
      </c>
      <c r="U625" s="55">
        <v>4</v>
      </c>
      <c r="V625" s="55" t="s">
        <v>1816</v>
      </c>
      <c r="Y625" s="55">
        <v>36572</v>
      </c>
      <c r="Z625" s="55" t="s">
        <v>1363</v>
      </c>
      <c r="AA625" s="90" t="s">
        <v>1684</v>
      </c>
      <c r="AE625" s="90">
        <v>36</v>
      </c>
      <c r="AF625" s="90">
        <v>46</v>
      </c>
      <c r="AH625" s="55" t="s">
        <v>139</v>
      </c>
      <c r="AM625" s="55" t="s">
        <v>1295</v>
      </c>
      <c r="AN625" s="185" t="s">
        <v>1497</v>
      </c>
      <c r="AO625" s="185" t="s">
        <v>5150</v>
      </c>
      <c r="AQ625" s="55" t="s">
        <v>553</v>
      </c>
      <c r="AR625" s="55" t="s">
        <v>1552</v>
      </c>
      <c r="AS625" s="55" t="s">
        <v>1577</v>
      </c>
      <c r="AT625" s="181" t="s">
        <v>420</v>
      </c>
      <c r="AU625" s="181" t="s">
        <v>5150</v>
      </c>
      <c r="AV625" s="185" t="s">
        <v>479</v>
      </c>
      <c r="AW625" s="55" t="s">
        <v>420</v>
      </c>
      <c r="AX625" s="185" t="s">
        <v>479</v>
      </c>
      <c r="AY625" s="55" t="s">
        <v>176</v>
      </c>
      <c r="BE625" s="226" t="s">
        <v>347</v>
      </c>
      <c r="BF625" s="191" t="s">
        <v>479</v>
      </c>
      <c r="BG625" s="55" t="s">
        <v>479</v>
      </c>
      <c r="BH625" s="226" t="s">
        <v>422</v>
      </c>
      <c r="BI625" s="55" t="s">
        <v>479</v>
      </c>
      <c r="BJ625" s="55" t="s">
        <v>479</v>
      </c>
      <c r="BK625" s="55" t="s">
        <v>5976</v>
      </c>
      <c r="BM625" s="192" t="s">
        <v>119</v>
      </c>
      <c r="BN625" s="55">
        <v>4</v>
      </c>
      <c r="BO625" s="55">
        <v>4</v>
      </c>
      <c r="BQ625" s="55" t="s">
        <v>315</v>
      </c>
      <c r="GD625" s="65">
        <v>0.1925</v>
      </c>
      <c r="GE625" s="65">
        <v>0.24629999999999999</v>
      </c>
      <c r="GH625" s="65" t="s">
        <v>423</v>
      </c>
      <c r="GP625" s="292" t="s">
        <v>7494</v>
      </c>
      <c r="HS625" s="227"/>
      <c r="HW625" s="227"/>
      <c r="JU625" s="55" t="s">
        <v>688</v>
      </c>
    </row>
    <row r="626" spans="1:281" x14ac:dyDescent="0.25">
      <c r="A626" s="55">
        <v>625</v>
      </c>
      <c r="B626" s="12" t="s">
        <v>7067</v>
      </c>
      <c r="C626" s="155">
        <v>30</v>
      </c>
      <c r="D626" s="55" t="s">
        <v>3798</v>
      </c>
      <c r="E626" s="90" t="s">
        <v>416</v>
      </c>
      <c r="G626" s="55" t="s">
        <v>417</v>
      </c>
      <c r="H626" s="55">
        <v>2002</v>
      </c>
      <c r="I626" s="55">
        <v>2000</v>
      </c>
      <c r="J626" s="55" t="s">
        <v>418</v>
      </c>
      <c r="K626" s="55" t="s">
        <v>419</v>
      </c>
      <c r="L626" s="55" t="s">
        <v>2737</v>
      </c>
      <c r="M626" s="90">
        <f>38+32/60</f>
        <v>38.533333333333331</v>
      </c>
      <c r="N626" s="90">
        <f>-121-47/60</f>
        <v>-121.78333333333333</v>
      </c>
      <c r="O626" s="90">
        <v>18.399999999999999</v>
      </c>
      <c r="S626" s="90">
        <v>483</v>
      </c>
      <c r="U626" s="55">
        <v>4</v>
      </c>
      <c r="V626" s="55" t="s">
        <v>1816</v>
      </c>
      <c r="Y626" s="55">
        <v>36582</v>
      </c>
      <c r="Z626" s="55" t="s">
        <v>1363</v>
      </c>
      <c r="AA626" s="90" t="s">
        <v>1684</v>
      </c>
      <c r="AE626" s="90">
        <v>36</v>
      </c>
      <c r="AF626" s="90">
        <v>46</v>
      </c>
      <c r="AH626" s="55" t="s">
        <v>139</v>
      </c>
      <c r="AM626" s="55" t="s">
        <v>1295</v>
      </c>
      <c r="AN626" s="185" t="s">
        <v>1497</v>
      </c>
      <c r="AO626" s="185" t="s">
        <v>5150</v>
      </c>
      <c r="AQ626" s="55" t="s">
        <v>553</v>
      </c>
      <c r="AR626" s="55" t="s">
        <v>1552</v>
      </c>
      <c r="AS626" s="55" t="s">
        <v>1577</v>
      </c>
      <c r="AT626" s="181" t="s">
        <v>420</v>
      </c>
      <c r="AU626" s="181" t="s">
        <v>5150</v>
      </c>
      <c r="AV626" s="185" t="s">
        <v>479</v>
      </c>
      <c r="AW626" s="55" t="s">
        <v>420</v>
      </c>
      <c r="AX626" s="185" t="s">
        <v>479</v>
      </c>
      <c r="AY626" s="55" t="s">
        <v>176</v>
      </c>
      <c r="BE626" s="226" t="s">
        <v>347</v>
      </c>
      <c r="BF626" s="191" t="s">
        <v>479</v>
      </c>
      <c r="BG626" s="55" t="s">
        <v>479</v>
      </c>
      <c r="BH626" s="226" t="s">
        <v>421</v>
      </c>
      <c r="BI626" s="55" t="s">
        <v>479</v>
      </c>
      <c r="BJ626" s="55" t="s">
        <v>479</v>
      </c>
      <c r="BK626" s="55" t="s">
        <v>5976</v>
      </c>
      <c r="BM626" s="192" t="s">
        <v>119</v>
      </c>
      <c r="BN626" s="55">
        <v>4</v>
      </c>
      <c r="BO626" s="55">
        <v>4</v>
      </c>
      <c r="BQ626" s="55" t="s">
        <v>315</v>
      </c>
      <c r="GD626" s="65">
        <v>0.19980000000000001</v>
      </c>
      <c r="GE626" s="65">
        <v>0.24540000000000001</v>
      </c>
      <c r="GH626" s="65" t="s">
        <v>423</v>
      </c>
      <c r="GP626" s="292" t="s">
        <v>7494</v>
      </c>
      <c r="HS626" s="227"/>
      <c r="HW626" s="227"/>
      <c r="JU626" s="55" t="s">
        <v>688</v>
      </c>
    </row>
    <row r="627" spans="1:281" x14ac:dyDescent="0.25">
      <c r="A627" s="55">
        <v>626</v>
      </c>
      <c r="B627" s="12" t="s">
        <v>7067</v>
      </c>
      <c r="C627" s="155">
        <v>30</v>
      </c>
      <c r="D627" s="55" t="s">
        <v>3798</v>
      </c>
      <c r="E627" s="90" t="s">
        <v>416</v>
      </c>
      <c r="G627" s="55" t="s">
        <v>417</v>
      </c>
      <c r="H627" s="55">
        <v>2002</v>
      </c>
      <c r="I627" s="55">
        <v>2000</v>
      </c>
      <c r="J627" s="55" t="s">
        <v>418</v>
      </c>
      <c r="K627" s="55" t="s">
        <v>419</v>
      </c>
      <c r="L627" s="55" t="s">
        <v>2737</v>
      </c>
      <c r="M627" s="90">
        <f>38+32/60</f>
        <v>38.533333333333331</v>
      </c>
      <c r="N627" s="90">
        <f>-121-47/60</f>
        <v>-121.78333333333333</v>
      </c>
      <c r="O627" s="90">
        <v>18.399999999999999</v>
      </c>
      <c r="S627" s="90">
        <v>483</v>
      </c>
      <c r="U627" s="55">
        <v>4</v>
      </c>
      <c r="V627" s="55" t="s">
        <v>1816</v>
      </c>
      <c r="Y627" s="55">
        <v>36582</v>
      </c>
      <c r="Z627" s="55" t="s">
        <v>1363</v>
      </c>
      <c r="AA627" s="90" t="s">
        <v>1684</v>
      </c>
      <c r="AE627" s="90">
        <v>36</v>
      </c>
      <c r="AF627" s="90">
        <v>46</v>
      </c>
      <c r="AH627" s="55" t="s">
        <v>139</v>
      </c>
      <c r="AM627" s="55" t="s">
        <v>1295</v>
      </c>
      <c r="AN627" s="185" t="s">
        <v>1497</v>
      </c>
      <c r="AO627" s="185" t="s">
        <v>5150</v>
      </c>
      <c r="AQ627" s="55" t="s">
        <v>553</v>
      </c>
      <c r="AR627" s="55" t="s">
        <v>1552</v>
      </c>
      <c r="AS627" s="55" t="s">
        <v>1577</v>
      </c>
      <c r="AT627" s="181" t="s">
        <v>420</v>
      </c>
      <c r="AU627" s="181" t="s">
        <v>5150</v>
      </c>
      <c r="AV627" s="185" t="s">
        <v>479</v>
      </c>
      <c r="AW627" s="55" t="s">
        <v>420</v>
      </c>
      <c r="AX627" s="185" t="s">
        <v>479</v>
      </c>
      <c r="AY627" s="55" t="s">
        <v>176</v>
      </c>
      <c r="BE627" s="226" t="s">
        <v>347</v>
      </c>
      <c r="BF627" s="191" t="s">
        <v>479</v>
      </c>
      <c r="BG627" s="55" t="s">
        <v>479</v>
      </c>
      <c r="BH627" s="226" t="s">
        <v>422</v>
      </c>
      <c r="BI627" s="55" t="s">
        <v>479</v>
      </c>
      <c r="BJ627" s="55" t="s">
        <v>479</v>
      </c>
      <c r="BK627" s="55" t="s">
        <v>5976</v>
      </c>
      <c r="BM627" s="192" t="s">
        <v>119</v>
      </c>
      <c r="BN627" s="55">
        <v>4</v>
      </c>
      <c r="BO627" s="55">
        <v>4</v>
      </c>
      <c r="BQ627" s="55" t="s">
        <v>315</v>
      </c>
      <c r="GD627" s="65">
        <v>0.19980000000000001</v>
      </c>
      <c r="GE627" s="65">
        <v>0.25359999999999999</v>
      </c>
      <c r="GH627" s="65" t="s">
        <v>423</v>
      </c>
      <c r="GP627" s="292" t="s">
        <v>7494</v>
      </c>
      <c r="HS627" s="227"/>
      <c r="HW627" s="227"/>
      <c r="JU627" s="55" t="s">
        <v>688</v>
      </c>
    </row>
    <row r="628" spans="1:281" x14ac:dyDescent="0.25">
      <c r="A628" s="55">
        <v>627</v>
      </c>
      <c r="B628" s="12" t="s">
        <v>7067</v>
      </c>
      <c r="C628" s="155">
        <v>30</v>
      </c>
      <c r="D628" s="55" t="s">
        <v>3798</v>
      </c>
      <c r="E628" s="90" t="s">
        <v>416</v>
      </c>
      <c r="G628" s="55" t="s">
        <v>417</v>
      </c>
      <c r="H628" s="55">
        <v>2002</v>
      </c>
      <c r="I628" s="55">
        <v>2000</v>
      </c>
      <c r="J628" s="55" t="s">
        <v>418</v>
      </c>
      <c r="K628" s="55" t="s">
        <v>419</v>
      </c>
      <c r="L628" s="55" t="s">
        <v>2737</v>
      </c>
      <c r="M628" s="90">
        <f>38+32/60</f>
        <v>38.533333333333331</v>
      </c>
      <c r="N628" s="90">
        <f>-121-47/60</f>
        <v>-121.78333333333333</v>
      </c>
      <c r="O628" s="90">
        <v>18.399999999999999</v>
      </c>
      <c r="S628" s="90">
        <v>483</v>
      </c>
      <c r="U628" s="55">
        <v>4</v>
      </c>
      <c r="V628" s="55" t="s">
        <v>1816</v>
      </c>
      <c r="Y628" s="55">
        <v>36587</v>
      </c>
      <c r="Z628" s="55" t="s">
        <v>1363</v>
      </c>
      <c r="AA628" s="90" t="s">
        <v>1684</v>
      </c>
      <c r="AE628" s="90">
        <v>36</v>
      </c>
      <c r="AF628" s="90">
        <v>46</v>
      </c>
      <c r="AH628" s="55" t="s">
        <v>139</v>
      </c>
      <c r="AM628" s="55" t="s">
        <v>1295</v>
      </c>
      <c r="AN628" s="185" t="s">
        <v>1497</v>
      </c>
      <c r="AO628" s="185" t="s">
        <v>5150</v>
      </c>
      <c r="AQ628" s="55" t="s">
        <v>553</v>
      </c>
      <c r="AR628" s="55" t="s">
        <v>1552</v>
      </c>
      <c r="AS628" s="55" t="s">
        <v>1577</v>
      </c>
      <c r="AT628" s="181" t="s">
        <v>420</v>
      </c>
      <c r="AU628" s="181" t="s">
        <v>5150</v>
      </c>
      <c r="AV628" s="185" t="s">
        <v>479</v>
      </c>
      <c r="AW628" s="55" t="s">
        <v>420</v>
      </c>
      <c r="AX628" s="185" t="s">
        <v>479</v>
      </c>
      <c r="AY628" s="55" t="s">
        <v>176</v>
      </c>
      <c r="BE628" s="226" t="s">
        <v>347</v>
      </c>
      <c r="BF628" s="191" t="s">
        <v>479</v>
      </c>
      <c r="BG628" s="55" t="s">
        <v>479</v>
      </c>
      <c r="BH628" s="226" t="s">
        <v>421</v>
      </c>
      <c r="BI628" s="55" t="s">
        <v>479</v>
      </c>
      <c r="BJ628" s="55" t="s">
        <v>479</v>
      </c>
      <c r="BK628" s="55" t="s">
        <v>5976</v>
      </c>
      <c r="BM628" s="192" t="s">
        <v>119</v>
      </c>
      <c r="BN628" s="55">
        <v>4</v>
      </c>
      <c r="BO628" s="55">
        <v>4</v>
      </c>
      <c r="BQ628" s="55" t="s">
        <v>315</v>
      </c>
      <c r="GD628" s="65">
        <v>0.2006</v>
      </c>
      <c r="GE628" s="65">
        <v>0.2389</v>
      </c>
      <c r="GH628" s="65" t="s">
        <v>423</v>
      </c>
      <c r="GP628" s="292" t="s">
        <v>7494</v>
      </c>
      <c r="HS628" s="227"/>
      <c r="HW628" s="227"/>
      <c r="JU628" s="55" t="s">
        <v>688</v>
      </c>
    </row>
    <row r="629" spans="1:281" x14ac:dyDescent="0.25">
      <c r="A629" s="55">
        <v>628</v>
      </c>
      <c r="B629" s="12" t="s">
        <v>7067</v>
      </c>
      <c r="C629" s="155">
        <v>30</v>
      </c>
      <c r="D629" s="55" t="s">
        <v>3798</v>
      </c>
      <c r="E629" s="90" t="s">
        <v>416</v>
      </c>
      <c r="G629" s="55" t="s">
        <v>417</v>
      </c>
      <c r="H629" s="55">
        <v>2002</v>
      </c>
      <c r="I629" s="55">
        <v>2000</v>
      </c>
      <c r="J629" s="55" t="s">
        <v>418</v>
      </c>
      <c r="K629" s="55" t="s">
        <v>419</v>
      </c>
      <c r="L629" s="55" t="s">
        <v>2737</v>
      </c>
      <c r="M629" s="90">
        <f>38+32/60</f>
        <v>38.533333333333331</v>
      </c>
      <c r="N629" s="90">
        <f>-121-47/60</f>
        <v>-121.78333333333333</v>
      </c>
      <c r="O629" s="90">
        <v>18.399999999999999</v>
      </c>
      <c r="S629" s="90">
        <v>483</v>
      </c>
      <c r="U629" s="55">
        <v>4</v>
      </c>
      <c r="V629" s="55" t="s">
        <v>1816</v>
      </c>
      <c r="Y629" s="55">
        <v>36587</v>
      </c>
      <c r="Z629" s="55" t="s">
        <v>1363</v>
      </c>
      <c r="AA629" s="90" t="s">
        <v>1684</v>
      </c>
      <c r="AE629" s="90">
        <v>36</v>
      </c>
      <c r="AF629" s="90">
        <v>46</v>
      </c>
      <c r="AH629" s="55" t="s">
        <v>139</v>
      </c>
      <c r="AM629" s="55" t="s">
        <v>1295</v>
      </c>
      <c r="AN629" s="185" t="s">
        <v>1497</v>
      </c>
      <c r="AO629" s="185" t="s">
        <v>5150</v>
      </c>
      <c r="AQ629" s="55" t="s">
        <v>553</v>
      </c>
      <c r="AR629" s="55" t="s">
        <v>1552</v>
      </c>
      <c r="AS629" s="55" t="s">
        <v>1577</v>
      </c>
      <c r="AT629" s="181" t="s">
        <v>420</v>
      </c>
      <c r="AU629" s="181" t="s">
        <v>5150</v>
      </c>
      <c r="AV629" s="185" t="s">
        <v>479</v>
      </c>
      <c r="AW629" s="55" t="s">
        <v>420</v>
      </c>
      <c r="AX629" s="185" t="s">
        <v>479</v>
      </c>
      <c r="AY629" s="55" t="s">
        <v>176</v>
      </c>
      <c r="BE629" s="226" t="s">
        <v>347</v>
      </c>
      <c r="BF629" s="191" t="s">
        <v>479</v>
      </c>
      <c r="BG629" s="55" t="s">
        <v>479</v>
      </c>
      <c r="BH629" s="226" t="s">
        <v>422</v>
      </c>
      <c r="BI629" s="55" t="s">
        <v>479</v>
      </c>
      <c r="BJ629" s="55" t="s">
        <v>479</v>
      </c>
      <c r="BK629" s="55" t="s">
        <v>5976</v>
      </c>
      <c r="BM629" s="192" t="s">
        <v>119</v>
      </c>
      <c r="BN629" s="55">
        <v>4</v>
      </c>
      <c r="BO629" s="55">
        <v>4</v>
      </c>
      <c r="BQ629" s="55" t="s">
        <v>315</v>
      </c>
      <c r="GD629" s="65">
        <v>0.2006</v>
      </c>
      <c r="GE629" s="65">
        <v>0.25169999999999998</v>
      </c>
      <c r="GH629" s="65" t="s">
        <v>423</v>
      </c>
      <c r="GP629" s="292" t="s">
        <v>7494</v>
      </c>
      <c r="HS629" s="227"/>
      <c r="HW629" s="227"/>
      <c r="JU629" s="55" t="s">
        <v>688</v>
      </c>
    </row>
    <row r="630" spans="1:281" x14ac:dyDescent="0.25">
      <c r="A630" s="55">
        <v>629</v>
      </c>
      <c r="B630" s="12" t="s">
        <v>7067</v>
      </c>
      <c r="C630" s="155">
        <v>30</v>
      </c>
      <c r="D630" s="55" t="s">
        <v>3798</v>
      </c>
      <c r="E630" s="90" t="s">
        <v>416</v>
      </c>
      <c r="G630" s="55" t="s">
        <v>417</v>
      </c>
      <c r="H630" s="55">
        <v>2002</v>
      </c>
      <c r="I630" s="55">
        <v>2000</v>
      </c>
      <c r="J630" s="55" t="s">
        <v>418</v>
      </c>
      <c r="K630" s="55" t="s">
        <v>419</v>
      </c>
      <c r="L630" s="55" t="s">
        <v>2737</v>
      </c>
      <c r="M630" s="90">
        <f>38+32/60</f>
        <v>38.533333333333331</v>
      </c>
      <c r="N630" s="90">
        <f>-121-47/60</f>
        <v>-121.78333333333333</v>
      </c>
      <c r="O630" s="90">
        <v>18.399999999999999</v>
      </c>
      <c r="S630" s="90">
        <v>483</v>
      </c>
      <c r="U630" s="55">
        <v>4</v>
      </c>
      <c r="V630" s="55" t="s">
        <v>1816</v>
      </c>
      <c r="Y630" s="55">
        <v>36598</v>
      </c>
      <c r="Z630" s="55" t="s">
        <v>1363</v>
      </c>
      <c r="AA630" s="90" t="s">
        <v>1684</v>
      </c>
      <c r="AE630" s="90">
        <v>36</v>
      </c>
      <c r="AF630" s="90">
        <v>46</v>
      </c>
      <c r="AH630" s="55" t="s">
        <v>139</v>
      </c>
      <c r="AM630" s="55" t="s">
        <v>1295</v>
      </c>
      <c r="AN630" s="185" t="s">
        <v>1497</v>
      </c>
      <c r="AO630" s="185" t="s">
        <v>5150</v>
      </c>
      <c r="AQ630" s="55" t="s">
        <v>553</v>
      </c>
      <c r="AR630" s="55" t="s">
        <v>1552</v>
      </c>
      <c r="AS630" s="55" t="s">
        <v>1577</v>
      </c>
      <c r="AT630" s="181" t="s">
        <v>420</v>
      </c>
      <c r="AU630" s="181" t="s">
        <v>5150</v>
      </c>
      <c r="AV630" s="185" t="s">
        <v>479</v>
      </c>
      <c r="AW630" s="55" t="s">
        <v>420</v>
      </c>
      <c r="AX630" s="185" t="s">
        <v>479</v>
      </c>
      <c r="AY630" s="55" t="s">
        <v>176</v>
      </c>
      <c r="BE630" s="226" t="s">
        <v>347</v>
      </c>
      <c r="BF630" s="191" t="s">
        <v>479</v>
      </c>
      <c r="BG630" s="55" t="s">
        <v>479</v>
      </c>
      <c r="BH630" s="226" t="s">
        <v>421</v>
      </c>
      <c r="BI630" s="55" t="s">
        <v>479</v>
      </c>
      <c r="BJ630" s="55" t="s">
        <v>479</v>
      </c>
      <c r="BK630" s="55" t="s">
        <v>5976</v>
      </c>
      <c r="BM630" s="192" t="s">
        <v>119</v>
      </c>
      <c r="BN630" s="55">
        <v>4</v>
      </c>
      <c r="BO630" s="55">
        <v>4</v>
      </c>
      <c r="BQ630" s="55" t="s">
        <v>315</v>
      </c>
      <c r="GD630" s="65">
        <v>0.1988</v>
      </c>
      <c r="GE630" s="65">
        <v>0.2334</v>
      </c>
      <c r="GH630" s="65" t="s">
        <v>423</v>
      </c>
      <c r="GP630" s="292" t="s">
        <v>7494</v>
      </c>
      <c r="HS630" s="227"/>
      <c r="HW630" s="227"/>
      <c r="JU630" s="55" t="s">
        <v>688</v>
      </c>
    </row>
    <row r="631" spans="1:281" x14ac:dyDescent="0.25">
      <c r="A631" s="55">
        <v>630</v>
      </c>
      <c r="B631" s="12" t="s">
        <v>7067</v>
      </c>
      <c r="C631" s="155">
        <v>30</v>
      </c>
      <c r="D631" s="55" t="s">
        <v>3798</v>
      </c>
      <c r="E631" s="90" t="s">
        <v>416</v>
      </c>
      <c r="G631" s="55" t="s">
        <v>417</v>
      </c>
      <c r="H631" s="55">
        <v>2002</v>
      </c>
      <c r="I631" s="55">
        <v>2000</v>
      </c>
      <c r="J631" s="55" t="s">
        <v>418</v>
      </c>
      <c r="K631" s="55" t="s">
        <v>419</v>
      </c>
      <c r="L631" s="55" t="s">
        <v>2737</v>
      </c>
      <c r="M631" s="90">
        <f>38+32/60</f>
        <v>38.533333333333331</v>
      </c>
      <c r="N631" s="90">
        <f>-121-47/60</f>
        <v>-121.78333333333333</v>
      </c>
      <c r="O631" s="90">
        <v>18.399999999999999</v>
      </c>
      <c r="S631" s="90">
        <v>483</v>
      </c>
      <c r="U631" s="55">
        <v>4</v>
      </c>
      <c r="V631" s="55" t="s">
        <v>1816</v>
      </c>
      <c r="Y631" s="55">
        <v>36598</v>
      </c>
      <c r="Z631" s="55" t="s">
        <v>1363</v>
      </c>
      <c r="AA631" s="90" t="s">
        <v>1684</v>
      </c>
      <c r="AE631" s="90">
        <v>36</v>
      </c>
      <c r="AF631" s="90">
        <v>46</v>
      </c>
      <c r="AH631" s="55" t="s">
        <v>139</v>
      </c>
      <c r="AM631" s="55" t="s">
        <v>1295</v>
      </c>
      <c r="AN631" s="185" t="s">
        <v>1497</v>
      </c>
      <c r="AO631" s="185" t="s">
        <v>5150</v>
      </c>
      <c r="AQ631" s="55" t="s">
        <v>553</v>
      </c>
      <c r="AR631" s="55" t="s">
        <v>1552</v>
      </c>
      <c r="AS631" s="55" t="s">
        <v>1577</v>
      </c>
      <c r="AT631" s="181" t="s">
        <v>420</v>
      </c>
      <c r="AU631" s="181" t="s">
        <v>5150</v>
      </c>
      <c r="AV631" s="185" t="s">
        <v>479</v>
      </c>
      <c r="AW631" s="55" t="s">
        <v>420</v>
      </c>
      <c r="AX631" s="185" t="s">
        <v>479</v>
      </c>
      <c r="AY631" s="55" t="s">
        <v>176</v>
      </c>
      <c r="BE631" s="226" t="s">
        <v>347</v>
      </c>
      <c r="BF631" s="191" t="s">
        <v>479</v>
      </c>
      <c r="BG631" s="55" t="s">
        <v>479</v>
      </c>
      <c r="BH631" s="226" t="s">
        <v>422</v>
      </c>
      <c r="BI631" s="55" t="s">
        <v>479</v>
      </c>
      <c r="BJ631" s="55" t="s">
        <v>479</v>
      </c>
      <c r="BK631" s="55" t="s">
        <v>5976</v>
      </c>
      <c r="BM631" s="192" t="s">
        <v>119</v>
      </c>
      <c r="BN631" s="55">
        <v>4</v>
      </c>
      <c r="BO631" s="55">
        <v>4</v>
      </c>
      <c r="BQ631" s="55" t="s">
        <v>315</v>
      </c>
      <c r="GD631" s="65">
        <v>0.1988</v>
      </c>
      <c r="GE631" s="65">
        <v>0.24709999999999999</v>
      </c>
      <c r="GH631" s="65" t="s">
        <v>423</v>
      </c>
      <c r="GP631" s="292" t="s">
        <v>7494</v>
      </c>
      <c r="HS631" s="227"/>
      <c r="HW631" s="227"/>
      <c r="JU631" s="55" t="s">
        <v>688</v>
      </c>
    </row>
    <row r="632" spans="1:281" x14ac:dyDescent="0.25">
      <c r="A632" s="55">
        <v>631</v>
      </c>
      <c r="B632" s="12" t="s">
        <v>7067</v>
      </c>
      <c r="C632" s="155">
        <v>30</v>
      </c>
      <c r="D632" s="55" t="s">
        <v>3799</v>
      </c>
      <c r="E632" s="90" t="s">
        <v>416</v>
      </c>
      <c r="G632" s="55" t="s">
        <v>417</v>
      </c>
      <c r="H632" s="55">
        <v>2002</v>
      </c>
      <c r="I632" s="55">
        <v>1998</v>
      </c>
      <c r="J632" s="55" t="s">
        <v>418</v>
      </c>
      <c r="K632" s="55" t="s">
        <v>419</v>
      </c>
      <c r="L632" s="55" t="s">
        <v>2737</v>
      </c>
      <c r="M632" s="90">
        <f>38+32/60</f>
        <v>38.533333333333331</v>
      </c>
      <c r="N632" s="90">
        <f>-121-47/60</f>
        <v>-121.78333333333333</v>
      </c>
      <c r="O632" s="90">
        <v>18.399999999999999</v>
      </c>
      <c r="S632" s="90">
        <v>483</v>
      </c>
      <c r="U632" s="55">
        <v>2</v>
      </c>
      <c r="V632" s="55" t="s">
        <v>1816</v>
      </c>
      <c r="Y632" s="55">
        <v>36145</v>
      </c>
      <c r="Z632" s="55" t="s">
        <v>1364</v>
      </c>
      <c r="AA632" s="90" t="s">
        <v>1685</v>
      </c>
      <c r="AE632" s="90">
        <v>36</v>
      </c>
      <c r="AF632" s="90">
        <v>46</v>
      </c>
      <c r="AH632" s="55" t="s">
        <v>139</v>
      </c>
      <c r="AM632" s="55" t="s">
        <v>1295</v>
      </c>
      <c r="AN632" s="185" t="s">
        <v>1497</v>
      </c>
      <c r="AO632" s="185" t="s">
        <v>5150</v>
      </c>
      <c r="AQ632" s="55" t="s">
        <v>553</v>
      </c>
      <c r="AR632" s="55" t="s">
        <v>1552</v>
      </c>
      <c r="AS632" s="55" t="s">
        <v>1577</v>
      </c>
      <c r="AT632" s="181" t="s">
        <v>420</v>
      </c>
      <c r="AU632" s="181" t="s">
        <v>5150</v>
      </c>
      <c r="AV632" s="185" t="s">
        <v>479</v>
      </c>
      <c r="AW632" s="55" t="s">
        <v>420</v>
      </c>
      <c r="AX632" s="185" t="s">
        <v>479</v>
      </c>
      <c r="AY632" s="55" t="s">
        <v>176</v>
      </c>
      <c r="BE632" s="226" t="s">
        <v>347</v>
      </c>
      <c r="BF632" s="191" t="s">
        <v>479</v>
      </c>
      <c r="BG632" s="55" t="s">
        <v>479</v>
      </c>
      <c r="BH632" s="226" t="s">
        <v>421</v>
      </c>
      <c r="BI632" s="55" t="s">
        <v>479</v>
      </c>
      <c r="BJ632" s="55" t="s">
        <v>479</v>
      </c>
      <c r="BK632" s="55" t="s">
        <v>5976</v>
      </c>
      <c r="BM632" s="192" t="s">
        <v>119</v>
      </c>
      <c r="BN632" s="55">
        <v>4</v>
      </c>
      <c r="BO632" s="55">
        <v>4</v>
      </c>
      <c r="BQ632" s="55" t="s">
        <v>315</v>
      </c>
      <c r="GD632" s="65">
        <v>0.1116</v>
      </c>
      <c r="GE632" s="65">
        <v>0.108</v>
      </c>
      <c r="GH632" s="65" t="s">
        <v>423</v>
      </c>
      <c r="GP632" s="292" t="s">
        <v>7494</v>
      </c>
      <c r="HS632" s="227"/>
      <c r="HW632" s="227"/>
      <c r="JU632" s="55" t="s">
        <v>688</v>
      </c>
    </row>
    <row r="633" spans="1:281" x14ac:dyDescent="0.25">
      <c r="A633" s="55">
        <v>632</v>
      </c>
      <c r="B633" s="12" t="s">
        <v>7067</v>
      </c>
      <c r="C633" s="155">
        <v>30</v>
      </c>
      <c r="D633" s="55" t="s">
        <v>3799</v>
      </c>
      <c r="E633" s="90" t="s">
        <v>416</v>
      </c>
      <c r="G633" s="55" t="s">
        <v>417</v>
      </c>
      <c r="H633" s="55">
        <v>2002</v>
      </c>
      <c r="I633" s="55">
        <v>1998</v>
      </c>
      <c r="J633" s="55" t="s">
        <v>418</v>
      </c>
      <c r="K633" s="55" t="s">
        <v>419</v>
      </c>
      <c r="L633" s="55" t="s">
        <v>2737</v>
      </c>
      <c r="M633" s="90">
        <f>38+32/60</f>
        <v>38.533333333333331</v>
      </c>
      <c r="N633" s="90">
        <f>-121-47/60</f>
        <v>-121.78333333333333</v>
      </c>
      <c r="O633" s="90">
        <v>18.399999999999999</v>
      </c>
      <c r="S633" s="90">
        <v>483</v>
      </c>
      <c r="U633" s="55">
        <v>2</v>
      </c>
      <c r="V633" s="55" t="s">
        <v>1816</v>
      </c>
      <c r="Y633" s="55">
        <v>36145</v>
      </c>
      <c r="Z633" s="55" t="s">
        <v>1364</v>
      </c>
      <c r="AA633" s="90" t="s">
        <v>1685</v>
      </c>
      <c r="AE633" s="90">
        <v>36</v>
      </c>
      <c r="AF633" s="90">
        <v>46</v>
      </c>
      <c r="AH633" s="55" t="s">
        <v>139</v>
      </c>
      <c r="AM633" s="55" t="s">
        <v>1295</v>
      </c>
      <c r="AN633" s="185" t="s">
        <v>1497</v>
      </c>
      <c r="AO633" s="185" t="s">
        <v>5150</v>
      </c>
      <c r="AQ633" s="55" t="s">
        <v>553</v>
      </c>
      <c r="AR633" s="55" t="s">
        <v>1552</v>
      </c>
      <c r="AS633" s="55" t="s">
        <v>1577</v>
      </c>
      <c r="AT633" s="181" t="s">
        <v>420</v>
      </c>
      <c r="AU633" s="181" t="s">
        <v>5150</v>
      </c>
      <c r="AV633" s="185" t="s">
        <v>479</v>
      </c>
      <c r="AW633" s="55" t="s">
        <v>420</v>
      </c>
      <c r="AX633" s="185" t="s">
        <v>479</v>
      </c>
      <c r="AY633" s="55" t="s">
        <v>176</v>
      </c>
      <c r="BE633" s="226" t="s">
        <v>347</v>
      </c>
      <c r="BF633" s="191" t="s">
        <v>479</v>
      </c>
      <c r="BG633" s="55" t="s">
        <v>479</v>
      </c>
      <c r="BH633" s="226" t="s">
        <v>422</v>
      </c>
      <c r="BI633" s="55" t="s">
        <v>479</v>
      </c>
      <c r="BJ633" s="55" t="s">
        <v>479</v>
      </c>
      <c r="BK633" s="55" t="s">
        <v>5976</v>
      </c>
      <c r="BM633" s="192" t="s">
        <v>119</v>
      </c>
      <c r="BN633" s="55">
        <v>4</v>
      </c>
      <c r="BO633" s="55">
        <v>4</v>
      </c>
      <c r="BQ633" s="55" t="s">
        <v>315</v>
      </c>
      <c r="GD633" s="65">
        <v>0.1116</v>
      </c>
      <c r="GE633" s="65">
        <v>0.108</v>
      </c>
      <c r="GH633" s="65" t="s">
        <v>423</v>
      </c>
      <c r="GP633" s="292" t="s">
        <v>7494</v>
      </c>
      <c r="HS633" s="227"/>
      <c r="HW633" s="227"/>
      <c r="JU633" s="55" t="s">
        <v>688</v>
      </c>
    </row>
    <row r="634" spans="1:281" x14ac:dyDescent="0.25">
      <c r="A634" s="55">
        <v>633</v>
      </c>
      <c r="B634" s="12" t="s">
        <v>7067</v>
      </c>
      <c r="C634" s="155">
        <v>30</v>
      </c>
      <c r="D634" s="55" t="s">
        <v>3799</v>
      </c>
      <c r="E634" s="90" t="s">
        <v>416</v>
      </c>
      <c r="G634" s="55" t="s">
        <v>417</v>
      </c>
      <c r="H634" s="55">
        <v>2002</v>
      </c>
      <c r="I634" s="55">
        <v>1999</v>
      </c>
      <c r="J634" s="55" t="s">
        <v>418</v>
      </c>
      <c r="K634" s="55" t="s">
        <v>419</v>
      </c>
      <c r="L634" s="55" t="s">
        <v>2737</v>
      </c>
      <c r="M634" s="90">
        <f>38+32/60</f>
        <v>38.533333333333331</v>
      </c>
      <c r="N634" s="90">
        <f>-121-47/60</f>
        <v>-121.78333333333333</v>
      </c>
      <c r="O634" s="90">
        <v>18.399999999999999</v>
      </c>
      <c r="S634" s="90">
        <v>483</v>
      </c>
      <c r="U634" s="55">
        <v>3</v>
      </c>
      <c r="V634" s="55" t="s">
        <v>1816</v>
      </c>
      <c r="Y634" s="55">
        <v>36170</v>
      </c>
      <c r="Z634" s="55" t="s">
        <v>1364</v>
      </c>
      <c r="AA634" s="90" t="s">
        <v>1685</v>
      </c>
      <c r="AE634" s="90">
        <v>36</v>
      </c>
      <c r="AF634" s="90">
        <v>46</v>
      </c>
      <c r="AH634" s="55" t="s">
        <v>139</v>
      </c>
      <c r="AM634" s="55" t="s">
        <v>1295</v>
      </c>
      <c r="AN634" s="185" t="s">
        <v>1497</v>
      </c>
      <c r="AO634" s="185" t="s">
        <v>5150</v>
      </c>
      <c r="AQ634" s="55" t="s">
        <v>553</v>
      </c>
      <c r="AR634" s="55" t="s">
        <v>1552</v>
      </c>
      <c r="AS634" s="55" t="s">
        <v>1577</v>
      </c>
      <c r="AT634" s="181" t="s">
        <v>420</v>
      </c>
      <c r="AU634" s="181" t="s">
        <v>5150</v>
      </c>
      <c r="AV634" s="185" t="s">
        <v>479</v>
      </c>
      <c r="AW634" s="55" t="s">
        <v>420</v>
      </c>
      <c r="AX634" s="185" t="s">
        <v>479</v>
      </c>
      <c r="AY634" s="55" t="s">
        <v>176</v>
      </c>
      <c r="BE634" s="226" t="s">
        <v>347</v>
      </c>
      <c r="BF634" s="191" t="s">
        <v>479</v>
      </c>
      <c r="BG634" s="55" t="s">
        <v>479</v>
      </c>
      <c r="BH634" s="226" t="s">
        <v>421</v>
      </c>
      <c r="BI634" s="55" t="s">
        <v>479</v>
      </c>
      <c r="BJ634" s="55" t="s">
        <v>479</v>
      </c>
      <c r="BK634" s="55" t="s">
        <v>5976</v>
      </c>
      <c r="BM634" s="192" t="s">
        <v>119</v>
      </c>
      <c r="BN634" s="55">
        <v>4</v>
      </c>
      <c r="BO634" s="55">
        <v>4</v>
      </c>
      <c r="BQ634" s="55" t="s">
        <v>315</v>
      </c>
      <c r="GD634" s="65">
        <v>0.1089</v>
      </c>
      <c r="GE634" s="65">
        <v>0.1116</v>
      </c>
      <c r="GH634" s="65" t="s">
        <v>423</v>
      </c>
      <c r="GP634" s="292" t="s">
        <v>7494</v>
      </c>
      <c r="HS634" s="227"/>
      <c r="HW634" s="227"/>
      <c r="JU634" s="55" t="s">
        <v>688</v>
      </c>
    </row>
    <row r="635" spans="1:281" x14ac:dyDescent="0.25">
      <c r="A635" s="55">
        <v>634</v>
      </c>
      <c r="B635" s="12" t="s">
        <v>7067</v>
      </c>
      <c r="C635" s="155">
        <v>30</v>
      </c>
      <c r="D635" s="55" t="s">
        <v>3799</v>
      </c>
      <c r="E635" s="90" t="s">
        <v>416</v>
      </c>
      <c r="G635" s="55" t="s">
        <v>417</v>
      </c>
      <c r="H635" s="55">
        <v>2002</v>
      </c>
      <c r="I635" s="55">
        <v>1999</v>
      </c>
      <c r="J635" s="55" t="s">
        <v>418</v>
      </c>
      <c r="K635" s="55" t="s">
        <v>419</v>
      </c>
      <c r="L635" s="55" t="s">
        <v>2737</v>
      </c>
      <c r="M635" s="90">
        <f>38+32/60</f>
        <v>38.533333333333331</v>
      </c>
      <c r="N635" s="90">
        <f>-121-47/60</f>
        <v>-121.78333333333333</v>
      </c>
      <c r="O635" s="90">
        <v>18.399999999999999</v>
      </c>
      <c r="S635" s="90">
        <v>483</v>
      </c>
      <c r="U635" s="55">
        <v>3</v>
      </c>
      <c r="V635" s="55" t="s">
        <v>1816</v>
      </c>
      <c r="Y635" s="55">
        <v>36170</v>
      </c>
      <c r="Z635" s="55" t="s">
        <v>1364</v>
      </c>
      <c r="AA635" s="90" t="s">
        <v>1685</v>
      </c>
      <c r="AE635" s="90">
        <v>36</v>
      </c>
      <c r="AF635" s="90">
        <v>46</v>
      </c>
      <c r="AH635" s="55" t="s">
        <v>139</v>
      </c>
      <c r="AM635" s="55" t="s">
        <v>1295</v>
      </c>
      <c r="AN635" s="185" t="s">
        <v>1497</v>
      </c>
      <c r="AO635" s="185" t="s">
        <v>5150</v>
      </c>
      <c r="AQ635" s="55" t="s">
        <v>553</v>
      </c>
      <c r="AR635" s="55" t="s">
        <v>1552</v>
      </c>
      <c r="AS635" s="55" t="s">
        <v>1577</v>
      </c>
      <c r="AT635" s="181" t="s">
        <v>420</v>
      </c>
      <c r="AU635" s="181" t="s">
        <v>5150</v>
      </c>
      <c r="AV635" s="185" t="s">
        <v>479</v>
      </c>
      <c r="AW635" s="55" t="s">
        <v>420</v>
      </c>
      <c r="AX635" s="185" t="s">
        <v>479</v>
      </c>
      <c r="AY635" s="55" t="s">
        <v>176</v>
      </c>
      <c r="BE635" s="226" t="s">
        <v>347</v>
      </c>
      <c r="BF635" s="191" t="s">
        <v>479</v>
      </c>
      <c r="BG635" s="55" t="s">
        <v>479</v>
      </c>
      <c r="BH635" s="226" t="s">
        <v>422</v>
      </c>
      <c r="BI635" s="55" t="s">
        <v>479</v>
      </c>
      <c r="BJ635" s="55" t="s">
        <v>479</v>
      </c>
      <c r="BK635" s="55" t="s">
        <v>5976</v>
      </c>
      <c r="BM635" s="192" t="s">
        <v>119</v>
      </c>
      <c r="BN635" s="55">
        <v>4</v>
      </c>
      <c r="BO635" s="55">
        <v>4</v>
      </c>
      <c r="BQ635" s="55" t="s">
        <v>315</v>
      </c>
      <c r="GD635" s="65">
        <v>0.1089</v>
      </c>
      <c r="GE635" s="65">
        <v>0.10349999999999999</v>
      </c>
      <c r="GH635" s="65" t="s">
        <v>423</v>
      </c>
      <c r="GP635" s="292" t="s">
        <v>7494</v>
      </c>
      <c r="HS635" s="227"/>
      <c r="HW635" s="227"/>
      <c r="JU635" s="55" t="s">
        <v>688</v>
      </c>
    </row>
    <row r="636" spans="1:281" x14ac:dyDescent="0.25">
      <c r="A636" s="55">
        <v>635</v>
      </c>
      <c r="B636" s="12" t="s">
        <v>7067</v>
      </c>
      <c r="C636" s="155">
        <v>30</v>
      </c>
      <c r="D636" s="55" t="s">
        <v>3799</v>
      </c>
      <c r="E636" s="90" t="s">
        <v>416</v>
      </c>
      <c r="G636" s="55" t="s">
        <v>417</v>
      </c>
      <c r="H636" s="55">
        <v>2002</v>
      </c>
      <c r="I636" s="55">
        <v>1999</v>
      </c>
      <c r="J636" s="55" t="s">
        <v>418</v>
      </c>
      <c r="K636" s="55" t="s">
        <v>419</v>
      </c>
      <c r="L636" s="55" t="s">
        <v>2737</v>
      </c>
      <c r="M636" s="90">
        <f>38+32/60</f>
        <v>38.533333333333331</v>
      </c>
      <c r="N636" s="90">
        <f>-121-47/60</f>
        <v>-121.78333333333333</v>
      </c>
      <c r="O636" s="90">
        <v>18.399999999999999</v>
      </c>
      <c r="S636" s="90">
        <v>483</v>
      </c>
      <c r="U636" s="55">
        <v>3</v>
      </c>
      <c r="V636" s="55" t="s">
        <v>1816</v>
      </c>
      <c r="Y636" s="55">
        <v>36187</v>
      </c>
      <c r="Z636" s="55" t="s">
        <v>1364</v>
      </c>
      <c r="AA636" s="90" t="s">
        <v>1685</v>
      </c>
      <c r="AE636" s="90">
        <v>36</v>
      </c>
      <c r="AF636" s="90">
        <v>46</v>
      </c>
      <c r="AH636" s="55" t="s">
        <v>139</v>
      </c>
      <c r="AM636" s="55" t="s">
        <v>1295</v>
      </c>
      <c r="AN636" s="185" t="s">
        <v>1497</v>
      </c>
      <c r="AO636" s="185" t="s">
        <v>5150</v>
      </c>
      <c r="AQ636" s="55" t="s">
        <v>553</v>
      </c>
      <c r="AR636" s="55" t="s">
        <v>1552</v>
      </c>
      <c r="AS636" s="55" t="s">
        <v>1577</v>
      </c>
      <c r="AT636" s="181" t="s">
        <v>420</v>
      </c>
      <c r="AU636" s="181" t="s">
        <v>5150</v>
      </c>
      <c r="AV636" s="185" t="s">
        <v>479</v>
      </c>
      <c r="AW636" s="55" t="s">
        <v>420</v>
      </c>
      <c r="AX636" s="185" t="s">
        <v>479</v>
      </c>
      <c r="AY636" s="55" t="s">
        <v>176</v>
      </c>
      <c r="BE636" s="226" t="s">
        <v>347</v>
      </c>
      <c r="BF636" s="191" t="s">
        <v>479</v>
      </c>
      <c r="BG636" s="55" t="s">
        <v>479</v>
      </c>
      <c r="BH636" s="226" t="s">
        <v>421</v>
      </c>
      <c r="BI636" s="55" t="s">
        <v>479</v>
      </c>
      <c r="BJ636" s="55" t="s">
        <v>479</v>
      </c>
      <c r="BK636" s="55" t="s">
        <v>5976</v>
      </c>
      <c r="BM636" s="192" t="s">
        <v>119</v>
      </c>
      <c r="BN636" s="55">
        <v>4</v>
      </c>
      <c r="BO636" s="55">
        <v>4</v>
      </c>
      <c r="BQ636" s="55" t="s">
        <v>315</v>
      </c>
      <c r="GD636" s="65">
        <v>0.11070000000000001</v>
      </c>
      <c r="GE636" s="65">
        <v>0.1133</v>
      </c>
      <c r="GH636" s="65" t="s">
        <v>423</v>
      </c>
      <c r="GP636" s="292" t="s">
        <v>7494</v>
      </c>
      <c r="HS636" s="227"/>
      <c r="HW636" s="227"/>
      <c r="JU636" s="55" t="s">
        <v>688</v>
      </c>
    </row>
    <row r="637" spans="1:281" x14ac:dyDescent="0.25">
      <c r="A637" s="55">
        <v>636</v>
      </c>
      <c r="B637" s="12" t="s">
        <v>7067</v>
      </c>
      <c r="C637" s="155">
        <v>30</v>
      </c>
      <c r="D637" s="55" t="s">
        <v>3799</v>
      </c>
      <c r="E637" s="90" t="s">
        <v>416</v>
      </c>
      <c r="G637" s="55" t="s">
        <v>417</v>
      </c>
      <c r="H637" s="55">
        <v>2002</v>
      </c>
      <c r="I637" s="55">
        <v>1999</v>
      </c>
      <c r="J637" s="55" t="s">
        <v>418</v>
      </c>
      <c r="K637" s="55" t="s">
        <v>419</v>
      </c>
      <c r="L637" s="55" t="s">
        <v>2737</v>
      </c>
      <c r="M637" s="90">
        <f>38+32/60</f>
        <v>38.533333333333331</v>
      </c>
      <c r="N637" s="90">
        <f>-121-47/60</f>
        <v>-121.78333333333333</v>
      </c>
      <c r="O637" s="90">
        <v>18.399999999999999</v>
      </c>
      <c r="S637" s="90">
        <v>483</v>
      </c>
      <c r="U637" s="55">
        <v>3</v>
      </c>
      <c r="V637" s="55" t="s">
        <v>1816</v>
      </c>
      <c r="Y637" s="55">
        <v>36187</v>
      </c>
      <c r="Z637" s="55" t="s">
        <v>1364</v>
      </c>
      <c r="AA637" s="90" t="s">
        <v>1685</v>
      </c>
      <c r="AE637" s="90">
        <v>36</v>
      </c>
      <c r="AF637" s="90">
        <v>46</v>
      </c>
      <c r="AH637" s="55" t="s">
        <v>139</v>
      </c>
      <c r="AM637" s="55" t="s">
        <v>1295</v>
      </c>
      <c r="AN637" s="185" t="s">
        <v>1497</v>
      </c>
      <c r="AO637" s="185" t="s">
        <v>5150</v>
      </c>
      <c r="AQ637" s="55" t="s">
        <v>553</v>
      </c>
      <c r="AR637" s="55" t="s">
        <v>1552</v>
      </c>
      <c r="AS637" s="55" t="s">
        <v>1577</v>
      </c>
      <c r="AT637" s="181" t="s">
        <v>420</v>
      </c>
      <c r="AU637" s="181" t="s">
        <v>5150</v>
      </c>
      <c r="AV637" s="185" t="s">
        <v>479</v>
      </c>
      <c r="AW637" s="55" t="s">
        <v>420</v>
      </c>
      <c r="AX637" s="185" t="s">
        <v>479</v>
      </c>
      <c r="AY637" s="55" t="s">
        <v>176</v>
      </c>
      <c r="BE637" s="226" t="s">
        <v>347</v>
      </c>
      <c r="BF637" s="191" t="s">
        <v>479</v>
      </c>
      <c r="BG637" s="55" t="s">
        <v>479</v>
      </c>
      <c r="BH637" s="226" t="s">
        <v>422</v>
      </c>
      <c r="BI637" s="55" t="s">
        <v>479</v>
      </c>
      <c r="BJ637" s="55" t="s">
        <v>479</v>
      </c>
      <c r="BK637" s="55" t="s">
        <v>5976</v>
      </c>
      <c r="BM637" s="192" t="s">
        <v>119</v>
      </c>
      <c r="BN637" s="55">
        <v>4</v>
      </c>
      <c r="BO637" s="55">
        <v>4</v>
      </c>
      <c r="BQ637" s="55" t="s">
        <v>315</v>
      </c>
      <c r="GD637" s="65">
        <v>0.11070000000000001</v>
      </c>
      <c r="GE637" s="65">
        <v>0.1062</v>
      </c>
      <c r="GH637" s="65" t="s">
        <v>423</v>
      </c>
      <c r="GP637" s="292" t="s">
        <v>7494</v>
      </c>
      <c r="HS637" s="227"/>
      <c r="HW637" s="227"/>
      <c r="JU637" s="55" t="s">
        <v>688</v>
      </c>
    </row>
    <row r="638" spans="1:281" x14ac:dyDescent="0.25">
      <c r="A638" s="55">
        <v>637</v>
      </c>
      <c r="B638" s="12" t="s">
        <v>7067</v>
      </c>
      <c r="C638" s="155">
        <v>30</v>
      </c>
      <c r="D638" s="55" t="s">
        <v>3799</v>
      </c>
      <c r="E638" s="90" t="s">
        <v>416</v>
      </c>
      <c r="G638" s="55" t="s">
        <v>417</v>
      </c>
      <c r="H638" s="55">
        <v>2002</v>
      </c>
      <c r="I638" s="55">
        <v>1999</v>
      </c>
      <c r="J638" s="55" t="s">
        <v>418</v>
      </c>
      <c r="K638" s="55" t="s">
        <v>419</v>
      </c>
      <c r="L638" s="55" t="s">
        <v>2737</v>
      </c>
      <c r="M638" s="90">
        <f>38+32/60</f>
        <v>38.533333333333331</v>
      </c>
      <c r="N638" s="90">
        <f>-121-47/60</f>
        <v>-121.78333333333333</v>
      </c>
      <c r="O638" s="90">
        <v>18.399999999999999</v>
      </c>
      <c r="S638" s="90">
        <v>483</v>
      </c>
      <c r="U638" s="55">
        <v>3</v>
      </c>
      <c r="V638" s="55" t="s">
        <v>1816</v>
      </c>
      <c r="Y638" s="55">
        <v>36198</v>
      </c>
      <c r="Z638" s="55" t="s">
        <v>1364</v>
      </c>
      <c r="AA638" s="90" t="s">
        <v>1685</v>
      </c>
      <c r="AE638" s="90">
        <v>36</v>
      </c>
      <c r="AF638" s="90">
        <v>46</v>
      </c>
      <c r="AH638" s="55" t="s">
        <v>139</v>
      </c>
      <c r="AM638" s="55" t="s">
        <v>1295</v>
      </c>
      <c r="AN638" s="185" t="s">
        <v>1497</v>
      </c>
      <c r="AO638" s="185" t="s">
        <v>5150</v>
      </c>
      <c r="AQ638" s="55" t="s">
        <v>553</v>
      </c>
      <c r="AR638" s="55" t="s">
        <v>1552</v>
      </c>
      <c r="AS638" s="55" t="s">
        <v>1577</v>
      </c>
      <c r="AT638" s="181" t="s">
        <v>420</v>
      </c>
      <c r="AU638" s="181" t="s">
        <v>5150</v>
      </c>
      <c r="AV638" s="185" t="s">
        <v>479</v>
      </c>
      <c r="AW638" s="55" t="s">
        <v>420</v>
      </c>
      <c r="AX638" s="185" t="s">
        <v>479</v>
      </c>
      <c r="AY638" s="55" t="s">
        <v>176</v>
      </c>
      <c r="BE638" s="226" t="s">
        <v>347</v>
      </c>
      <c r="BF638" s="191" t="s">
        <v>479</v>
      </c>
      <c r="BG638" s="55" t="s">
        <v>479</v>
      </c>
      <c r="BH638" s="226" t="s">
        <v>421</v>
      </c>
      <c r="BI638" s="55" t="s">
        <v>479</v>
      </c>
      <c r="BJ638" s="55" t="s">
        <v>479</v>
      </c>
      <c r="BK638" s="55" t="s">
        <v>5976</v>
      </c>
      <c r="BM638" s="192" t="s">
        <v>119</v>
      </c>
      <c r="BN638" s="55">
        <v>4</v>
      </c>
      <c r="BO638" s="55">
        <v>4</v>
      </c>
      <c r="BQ638" s="55" t="s">
        <v>315</v>
      </c>
      <c r="GD638" s="65">
        <v>0.12939999999999999</v>
      </c>
      <c r="GE638" s="65">
        <v>0.10780000000000001</v>
      </c>
      <c r="GH638" s="65" t="s">
        <v>423</v>
      </c>
      <c r="GP638" s="292" t="s">
        <v>7494</v>
      </c>
      <c r="HS638" s="227"/>
      <c r="HW638" s="227"/>
      <c r="JU638" s="55" t="s">
        <v>688</v>
      </c>
    </row>
    <row r="639" spans="1:281" x14ac:dyDescent="0.25">
      <c r="A639" s="55">
        <v>638</v>
      </c>
      <c r="B639" s="12" t="s">
        <v>7067</v>
      </c>
      <c r="C639" s="155">
        <v>30</v>
      </c>
      <c r="D639" s="55" t="s">
        <v>3799</v>
      </c>
      <c r="E639" s="90" t="s">
        <v>416</v>
      </c>
      <c r="G639" s="55" t="s">
        <v>417</v>
      </c>
      <c r="H639" s="55">
        <v>2002</v>
      </c>
      <c r="I639" s="55">
        <v>1999</v>
      </c>
      <c r="J639" s="55" t="s">
        <v>418</v>
      </c>
      <c r="K639" s="55" t="s">
        <v>419</v>
      </c>
      <c r="L639" s="55" t="s">
        <v>2737</v>
      </c>
      <c r="M639" s="90">
        <f>38+32/60</f>
        <v>38.533333333333331</v>
      </c>
      <c r="N639" s="90">
        <f>-121-47/60</f>
        <v>-121.78333333333333</v>
      </c>
      <c r="O639" s="90">
        <v>18.399999999999999</v>
      </c>
      <c r="S639" s="90">
        <v>483</v>
      </c>
      <c r="U639" s="55">
        <v>3</v>
      </c>
      <c r="V639" s="55" t="s">
        <v>1816</v>
      </c>
      <c r="Y639" s="55">
        <v>36198</v>
      </c>
      <c r="Z639" s="55" t="s">
        <v>1364</v>
      </c>
      <c r="AA639" s="90" t="s">
        <v>1685</v>
      </c>
      <c r="AE639" s="90">
        <v>36</v>
      </c>
      <c r="AF639" s="90">
        <v>46</v>
      </c>
      <c r="AH639" s="55" t="s">
        <v>139</v>
      </c>
      <c r="AM639" s="55" t="s">
        <v>1295</v>
      </c>
      <c r="AN639" s="185" t="s">
        <v>1497</v>
      </c>
      <c r="AO639" s="185" t="s">
        <v>5150</v>
      </c>
      <c r="AQ639" s="55" t="s">
        <v>553</v>
      </c>
      <c r="AR639" s="55" t="s">
        <v>1552</v>
      </c>
      <c r="AS639" s="55" t="s">
        <v>1577</v>
      </c>
      <c r="AT639" s="181" t="s">
        <v>420</v>
      </c>
      <c r="AU639" s="181" t="s">
        <v>5150</v>
      </c>
      <c r="AV639" s="185" t="s">
        <v>479</v>
      </c>
      <c r="AW639" s="55" t="s">
        <v>420</v>
      </c>
      <c r="AX639" s="185" t="s">
        <v>479</v>
      </c>
      <c r="AY639" s="55" t="s">
        <v>176</v>
      </c>
      <c r="BE639" s="226" t="s">
        <v>347</v>
      </c>
      <c r="BF639" s="191" t="s">
        <v>479</v>
      </c>
      <c r="BG639" s="55" t="s">
        <v>479</v>
      </c>
      <c r="BH639" s="226" t="s">
        <v>422</v>
      </c>
      <c r="BI639" s="55" t="s">
        <v>479</v>
      </c>
      <c r="BJ639" s="55" t="s">
        <v>479</v>
      </c>
      <c r="BK639" s="55" t="s">
        <v>5976</v>
      </c>
      <c r="BM639" s="192" t="s">
        <v>119</v>
      </c>
      <c r="BN639" s="55">
        <v>4</v>
      </c>
      <c r="BO639" s="55">
        <v>4</v>
      </c>
      <c r="BQ639" s="55" t="s">
        <v>315</v>
      </c>
      <c r="GD639" s="65">
        <v>0.12939999999999999</v>
      </c>
      <c r="GE639" s="65">
        <v>0.10780000000000001</v>
      </c>
      <c r="GH639" s="65" t="s">
        <v>423</v>
      </c>
      <c r="GP639" s="292" t="s">
        <v>7494</v>
      </c>
      <c r="HS639" s="227"/>
      <c r="HW639" s="227"/>
      <c r="JU639" s="55" t="s">
        <v>688</v>
      </c>
    </row>
    <row r="640" spans="1:281" x14ac:dyDescent="0.25">
      <c r="A640" s="55">
        <v>639</v>
      </c>
      <c r="B640" s="12" t="s">
        <v>7067</v>
      </c>
      <c r="C640" s="155">
        <v>30</v>
      </c>
      <c r="D640" s="55" t="s">
        <v>3799</v>
      </c>
      <c r="E640" s="90" t="s">
        <v>416</v>
      </c>
      <c r="G640" s="55" t="s">
        <v>417</v>
      </c>
      <c r="H640" s="55">
        <v>2002</v>
      </c>
      <c r="I640" s="55">
        <v>1999</v>
      </c>
      <c r="J640" s="55" t="s">
        <v>418</v>
      </c>
      <c r="K640" s="55" t="s">
        <v>419</v>
      </c>
      <c r="L640" s="55" t="s">
        <v>2737</v>
      </c>
      <c r="M640" s="90">
        <f>38+32/60</f>
        <v>38.533333333333331</v>
      </c>
      <c r="N640" s="90">
        <f>-121-47/60</f>
        <v>-121.78333333333333</v>
      </c>
      <c r="O640" s="90">
        <v>18.399999999999999</v>
      </c>
      <c r="S640" s="90">
        <v>483</v>
      </c>
      <c r="U640" s="55">
        <v>3</v>
      </c>
      <c r="V640" s="55" t="s">
        <v>1816</v>
      </c>
      <c r="Y640" s="55">
        <v>36232</v>
      </c>
      <c r="Z640" s="55" t="s">
        <v>1364</v>
      </c>
      <c r="AA640" s="90" t="s">
        <v>1685</v>
      </c>
      <c r="AE640" s="90">
        <v>36</v>
      </c>
      <c r="AF640" s="90">
        <v>46</v>
      </c>
      <c r="AH640" s="55" t="s">
        <v>139</v>
      </c>
      <c r="AM640" s="55" t="s">
        <v>1295</v>
      </c>
      <c r="AN640" s="185" t="s">
        <v>1497</v>
      </c>
      <c r="AO640" s="185" t="s">
        <v>5150</v>
      </c>
      <c r="AQ640" s="55" t="s">
        <v>553</v>
      </c>
      <c r="AR640" s="55" t="s">
        <v>1552</v>
      </c>
      <c r="AS640" s="55" t="s">
        <v>1577</v>
      </c>
      <c r="AT640" s="181" t="s">
        <v>420</v>
      </c>
      <c r="AU640" s="181" t="s">
        <v>5150</v>
      </c>
      <c r="AV640" s="185" t="s">
        <v>479</v>
      </c>
      <c r="AW640" s="55" t="s">
        <v>420</v>
      </c>
      <c r="AX640" s="185" t="s">
        <v>479</v>
      </c>
      <c r="AY640" s="55" t="s">
        <v>176</v>
      </c>
      <c r="BE640" s="226" t="s">
        <v>347</v>
      </c>
      <c r="BF640" s="191" t="s">
        <v>479</v>
      </c>
      <c r="BG640" s="55" t="s">
        <v>479</v>
      </c>
      <c r="BH640" s="226" t="s">
        <v>421</v>
      </c>
      <c r="BI640" s="55" t="s">
        <v>479</v>
      </c>
      <c r="BJ640" s="55" t="s">
        <v>479</v>
      </c>
      <c r="BK640" s="55" t="s">
        <v>5976</v>
      </c>
      <c r="BM640" s="192" t="s">
        <v>119</v>
      </c>
      <c r="BN640" s="55">
        <v>4</v>
      </c>
      <c r="BO640" s="55">
        <v>4</v>
      </c>
      <c r="BQ640" s="55" t="s">
        <v>315</v>
      </c>
      <c r="GD640" s="65">
        <v>0.1303</v>
      </c>
      <c r="GE640" s="65">
        <v>0.1133</v>
      </c>
      <c r="GH640" s="65" t="s">
        <v>423</v>
      </c>
      <c r="GP640" s="292" t="s">
        <v>7494</v>
      </c>
      <c r="HS640" s="227"/>
      <c r="HW640" s="227"/>
      <c r="JU640" s="55" t="s">
        <v>688</v>
      </c>
    </row>
    <row r="641" spans="1:281" x14ac:dyDescent="0.25">
      <c r="A641" s="55">
        <v>640</v>
      </c>
      <c r="B641" s="12" t="s">
        <v>7067</v>
      </c>
      <c r="C641" s="155">
        <v>30</v>
      </c>
      <c r="D641" s="55" t="s">
        <v>3799</v>
      </c>
      <c r="E641" s="90" t="s">
        <v>416</v>
      </c>
      <c r="G641" s="55" t="s">
        <v>417</v>
      </c>
      <c r="H641" s="55">
        <v>2002</v>
      </c>
      <c r="I641" s="55">
        <v>1999</v>
      </c>
      <c r="J641" s="55" t="s">
        <v>418</v>
      </c>
      <c r="K641" s="55" t="s">
        <v>419</v>
      </c>
      <c r="L641" s="55" t="s">
        <v>2737</v>
      </c>
      <c r="M641" s="90">
        <f>38+32/60</f>
        <v>38.533333333333331</v>
      </c>
      <c r="N641" s="90">
        <f>-121-47/60</f>
        <v>-121.78333333333333</v>
      </c>
      <c r="O641" s="90">
        <v>18.399999999999999</v>
      </c>
      <c r="S641" s="90">
        <v>483</v>
      </c>
      <c r="U641" s="55">
        <v>3</v>
      </c>
      <c r="V641" s="55" t="s">
        <v>1816</v>
      </c>
      <c r="Y641" s="55">
        <v>36232</v>
      </c>
      <c r="Z641" s="55" t="s">
        <v>1364</v>
      </c>
      <c r="AA641" s="90" t="s">
        <v>1685</v>
      </c>
      <c r="AE641" s="90">
        <v>36</v>
      </c>
      <c r="AF641" s="90">
        <v>46</v>
      </c>
      <c r="AH641" s="55" t="s">
        <v>139</v>
      </c>
      <c r="AM641" s="55" t="s">
        <v>1295</v>
      </c>
      <c r="AN641" s="185" t="s">
        <v>1497</v>
      </c>
      <c r="AO641" s="185" t="s">
        <v>5150</v>
      </c>
      <c r="AQ641" s="55" t="s">
        <v>553</v>
      </c>
      <c r="AR641" s="55" t="s">
        <v>1552</v>
      </c>
      <c r="AS641" s="55" t="s">
        <v>1577</v>
      </c>
      <c r="AT641" s="181" t="s">
        <v>420</v>
      </c>
      <c r="AU641" s="181" t="s">
        <v>5150</v>
      </c>
      <c r="AV641" s="185" t="s">
        <v>479</v>
      </c>
      <c r="AW641" s="55" t="s">
        <v>420</v>
      </c>
      <c r="AX641" s="185" t="s">
        <v>479</v>
      </c>
      <c r="AY641" s="55" t="s">
        <v>176</v>
      </c>
      <c r="BE641" s="226" t="s">
        <v>347</v>
      </c>
      <c r="BF641" s="191" t="s">
        <v>479</v>
      </c>
      <c r="BG641" s="55" t="s">
        <v>479</v>
      </c>
      <c r="BH641" s="226" t="s">
        <v>422</v>
      </c>
      <c r="BI641" s="55" t="s">
        <v>479</v>
      </c>
      <c r="BJ641" s="55" t="s">
        <v>479</v>
      </c>
      <c r="BK641" s="55" t="s">
        <v>5976</v>
      </c>
      <c r="BM641" s="192" t="s">
        <v>119</v>
      </c>
      <c r="BN641" s="55">
        <v>4</v>
      </c>
      <c r="BO641" s="55">
        <v>4</v>
      </c>
      <c r="BQ641" s="55" t="s">
        <v>315</v>
      </c>
      <c r="GD641" s="65">
        <v>0.1303</v>
      </c>
      <c r="GE641" s="65">
        <v>0.10780000000000001</v>
      </c>
      <c r="GH641" s="65" t="s">
        <v>423</v>
      </c>
      <c r="GP641" s="292" t="s">
        <v>7494</v>
      </c>
      <c r="HS641" s="227"/>
      <c r="HW641" s="227"/>
      <c r="JU641" s="55" t="s">
        <v>688</v>
      </c>
    </row>
    <row r="642" spans="1:281" x14ac:dyDescent="0.25">
      <c r="A642" s="55">
        <v>641</v>
      </c>
      <c r="B642" s="12" t="s">
        <v>7067</v>
      </c>
      <c r="C642" s="155">
        <v>30</v>
      </c>
      <c r="D642" s="55" t="s">
        <v>3799</v>
      </c>
      <c r="E642" s="90" t="s">
        <v>416</v>
      </c>
      <c r="G642" s="55" t="s">
        <v>417</v>
      </c>
      <c r="H642" s="55">
        <v>2002</v>
      </c>
      <c r="I642" s="55">
        <v>1999</v>
      </c>
      <c r="J642" s="55" t="s">
        <v>418</v>
      </c>
      <c r="K642" s="55" t="s">
        <v>419</v>
      </c>
      <c r="L642" s="55" t="s">
        <v>2737</v>
      </c>
      <c r="M642" s="90">
        <f>38+32/60</f>
        <v>38.533333333333331</v>
      </c>
      <c r="N642" s="90">
        <f>-121-47/60</f>
        <v>-121.78333333333333</v>
      </c>
      <c r="O642" s="90">
        <v>18.399999999999999</v>
      </c>
      <c r="S642" s="90">
        <v>483</v>
      </c>
      <c r="U642" s="55">
        <v>3</v>
      </c>
      <c r="V642" s="55" t="s">
        <v>1816</v>
      </c>
      <c r="Y642" s="55">
        <v>36234</v>
      </c>
      <c r="Z642" s="55" t="s">
        <v>1364</v>
      </c>
      <c r="AA642" s="90" t="s">
        <v>1685</v>
      </c>
      <c r="AE642" s="90">
        <v>36</v>
      </c>
      <c r="AF642" s="90">
        <v>46</v>
      </c>
      <c r="AH642" s="55" t="s">
        <v>139</v>
      </c>
      <c r="AM642" s="55" t="s">
        <v>1295</v>
      </c>
      <c r="AN642" s="185" t="s">
        <v>1497</v>
      </c>
      <c r="AO642" s="185" t="s">
        <v>5150</v>
      </c>
      <c r="AQ642" s="55" t="s">
        <v>553</v>
      </c>
      <c r="AR642" s="55" t="s">
        <v>1552</v>
      </c>
      <c r="AS642" s="55" t="s">
        <v>1577</v>
      </c>
      <c r="AT642" s="181" t="s">
        <v>420</v>
      </c>
      <c r="AU642" s="181" t="s">
        <v>5150</v>
      </c>
      <c r="AV642" s="185" t="s">
        <v>479</v>
      </c>
      <c r="AW642" s="55" t="s">
        <v>420</v>
      </c>
      <c r="AX642" s="185" t="s">
        <v>479</v>
      </c>
      <c r="AY642" s="55" t="s">
        <v>176</v>
      </c>
      <c r="BE642" s="226" t="s">
        <v>347</v>
      </c>
      <c r="BF642" s="191" t="s">
        <v>479</v>
      </c>
      <c r="BG642" s="55" t="s">
        <v>479</v>
      </c>
      <c r="BH642" s="226" t="s">
        <v>421</v>
      </c>
      <c r="BI642" s="55" t="s">
        <v>479</v>
      </c>
      <c r="BJ642" s="55" t="s">
        <v>479</v>
      </c>
      <c r="BK642" s="55" t="s">
        <v>5976</v>
      </c>
      <c r="BM642" s="192" t="s">
        <v>119</v>
      </c>
      <c r="BN642" s="55">
        <v>4</v>
      </c>
      <c r="BO642" s="55">
        <v>4</v>
      </c>
      <c r="BQ642" s="55" t="s">
        <v>315</v>
      </c>
      <c r="GD642" s="65">
        <v>0.1285</v>
      </c>
      <c r="GE642" s="65">
        <v>0.1124</v>
      </c>
      <c r="GH642" s="65" t="s">
        <v>423</v>
      </c>
      <c r="GP642" s="292" t="s">
        <v>7494</v>
      </c>
      <c r="HS642" s="227"/>
      <c r="HW642" s="227"/>
      <c r="JU642" s="55" t="s">
        <v>688</v>
      </c>
    </row>
    <row r="643" spans="1:281" x14ac:dyDescent="0.25">
      <c r="A643" s="55">
        <v>642</v>
      </c>
      <c r="B643" s="12" t="s">
        <v>7067</v>
      </c>
      <c r="C643" s="155">
        <v>30</v>
      </c>
      <c r="D643" s="55" t="s">
        <v>3799</v>
      </c>
      <c r="E643" s="90" t="s">
        <v>416</v>
      </c>
      <c r="G643" s="55" t="s">
        <v>417</v>
      </c>
      <c r="H643" s="55">
        <v>2002</v>
      </c>
      <c r="I643" s="55">
        <v>1999</v>
      </c>
      <c r="J643" s="55" t="s">
        <v>418</v>
      </c>
      <c r="K643" s="55" t="s">
        <v>419</v>
      </c>
      <c r="L643" s="55" t="s">
        <v>2737</v>
      </c>
      <c r="M643" s="90">
        <f>38+32/60</f>
        <v>38.533333333333331</v>
      </c>
      <c r="N643" s="90">
        <f>-121-47/60</f>
        <v>-121.78333333333333</v>
      </c>
      <c r="O643" s="90">
        <v>18.399999999999999</v>
      </c>
      <c r="S643" s="90">
        <v>483</v>
      </c>
      <c r="U643" s="55">
        <v>3</v>
      </c>
      <c r="V643" s="55" t="s">
        <v>1816</v>
      </c>
      <c r="Y643" s="55">
        <v>36234</v>
      </c>
      <c r="Z643" s="55" t="s">
        <v>1364</v>
      </c>
      <c r="AA643" s="90" t="s">
        <v>1685</v>
      </c>
      <c r="AE643" s="90">
        <v>36</v>
      </c>
      <c r="AF643" s="90">
        <v>46</v>
      </c>
      <c r="AH643" s="55" t="s">
        <v>139</v>
      </c>
      <c r="AM643" s="55" t="s">
        <v>1295</v>
      </c>
      <c r="AN643" s="185" t="s">
        <v>1497</v>
      </c>
      <c r="AO643" s="185" t="s">
        <v>5150</v>
      </c>
      <c r="AQ643" s="55" t="s">
        <v>553</v>
      </c>
      <c r="AR643" s="55" t="s">
        <v>1552</v>
      </c>
      <c r="AS643" s="55" t="s">
        <v>1577</v>
      </c>
      <c r="AT643" s="181" t="s">
        <v>420</v>
      </c>
      <c r="AU643" s="181" t="s">
        <v>5150</v>
      </c>
      <c r="AV643" s="185" t="s">
        <v>479</v>
      </c>
      <c r="AW643" s="55" t="s">
        <v>420</v>
      </c>
      <c r="AX643" s="185" t="s">
        <v>479</v>
      </c>
      <c r="AY643" s="55" t="s">
        <v>176</v>
      </c>
      <c r="BE643" s="226" t="s">
        <v>347</v>
      </c>
      <c r="BF643" s="191" t="s">
        <v>479</v>
      </c>
      <c r="BG643" s="55" t="s">
        <v>479</v>
      </c>
      <c r="BH643" s="226" t="s">
        <v>422</v>
      </c>
      <c r="BI643" s="55" t="s">
        <v>479</v>
      </c>
      <c r="BJ643" s="55" t="s">
        <v>479</v>
      </c>
      <c r="BK643" s="55" t="s">
        <v>5976</v>
      </c>
      <c r="BM643" s="192" t="s">
        <v>119</v>
      </c>
      <c r="BN643" s="55">
        <v>4</v>
      </c>
      <c r="BO643" s="55">
        <v>4</v>
      </c>
      <c r="BQ643" s="55" t="s">
        <v>315</v>
      </c>
      <c r="GD643" s="65">
        <v>0.1285</v>
      </c>
      <c r="GE643" s="65">
        <v>0.1061</v>
      </c>
      <c r="GH643" s="65" t="s">
        <v>423</v>
      </c>
      <c r="GP643" s="292" t="s">
        <v>7494</v>
      </c>
      <c r="HS643" s="227"/>
      <c r="HW643" s="227"/>
      <c r="JU643" s="55" t="s">
        <v>688</v>
      </c>
    </row>
    <row r="644" spans="1:281" x14ac:dyDescent="0.25">
      <c r="A644" s="55">
        <v>643</v>
      </c>
      <c r="B644" s="12" t="s">
        <v>7067</v>
      </c>
      <c r="C644" s="155">
        <v>30</v>
      </c>
      <c r="D644" s="55" t="s">
        <v>3799</v>
      </c>
      <c r="E644" s="90" t="s">
        <v>416</v>
      </c>
      <c r="G644" s="55" t="s">
        <v>417</v>
      </c>
      <c r="H644" s="55">
        <v>2002</v>
      </c>
      <c r="I644" s="55">
        <v>1999</v>
      </c>
      <c r="J644" s="55" t="s">
        <v>418</v>
      </c>
      <c r="K644" s="55" t="s">
        <v>419</v>
      </c>
      <c r="L644" s="55" t="s">
        <v>2737</v>
      </c>
      <c r="M644" s="90">
        <f>38+32/60</f>
        <v>38.533333333333331</v>
      </c>
      <c r="N644" s="90">
        <f>-121-47/60</f>
        <v>-121.78333333333333</v>
      </c>
      <c r="O644" s="90">
        <v>18.399999999999999</v>
      </c>
      <c r="S644" s="90">
        <v>483</v>
      </c>
      <c r="U644" s="55">
        <v>3</v>
      </c>
      <c r="V644" s="55" t="s">
        <v>1816</v>
      </c>
      <c r="Y644" s="55">
        <v>36514</v>
      </c>
      <c r="Z644" s="55" t="s">
        <v>1364</v>
      </c>
      <c r="AA644" s="90" t="s">
        <v>1685</v>
      </c>
      <c r="AE644" s="90">
        <v>36</v>
      </c>
      <c r="AF644" s="90">
        <v>46</v>
      </c>
      <c r="AH644" s="55" t="s">
        <v>139</v>
      </c>
      <c r="AM644" s="55" t="s">
        <v>1295</v>
      </c>
      <c r="AN644" s="185" t="s">
        <v>1497</v>
      </c>
      <c r="AO644" s="185" t="s">
        <v>5150</v>
      </c>
      <c r="AQ644" s="55" t="s">
        <v>553</v>
      </c>
      <c r="AR644" s="55" t="s">
        <v>1552</v>
      </c>
      <c r="AS644" s="55" t="s">
        <v>1577</v>
      </c>
      <c r="AT644" s="181" t="s">
        <v>420</v>
      </c>
      <c r="AU644" s="181" t="s">
        <v>5150</v>
      </c>
      <c r="AV644" s="185" t="s">
        <v>479</v>
      </c>
      <c r="AW644" s="55" t="s">
        <v>420</v>
      </c>
      <c r="AX644" s="185" t="s">
        <v>479</v>
      </c>
      <c r="AY644" s="55" t="s">
        <v>176</v>
      </c>
      <c r="BE644" s="226" t="s">
        <v>347</v>
      </c>
      <c r="BF644" s="191" t="s">
        <v>479</v>
      </c>
      <c r="BG644" s="55" t="s">
        <v>479</v>
      </c>
      <c r="BH644" s="226" t="s">
        <v>421</v>
      </c>
      <c r="BI644" s="55" t="s">
        <v>479</v>
      </c>
      <c r="BJ644" s="55" t="s">
        <v>479</v>
      </c>
      <c r="BK644" s="55" t="s">
        <v>5976</v>
      </c>
      <c r="BM644" s="192" t="s">
        <v>119</v>
      </c>
      <c r="BN644" s="55">
        <v>4</v>
      </c>
      <c r="BO644" s="55">
        <v>4</v>
      </c>
      <c r="BQ644" s="55" t="s">
        <v>315</v>
      </c>
      <c r="GD644" s="65">
        <v>0.1051</v>
      </c>
      <c r="GE644" s="65">
        <v>0.1069</v>
      </c>
      <c r="GH644" s="65" t="s">
        <v>423</v>
      </c>
      <c r="GP644" s="292" t="s">
        <v>7494</v>
      </c>
      <c r="HS644" s="227"/>
      <c r="HW644" s="227"/>
      <c r="JU644" s="55" t="s">
        <v>688</v>
      </c>
    </row>
    <row r="645" spans="1:281" x14ac:dyDescent="0.25">
      <c r="A645" s="55">
        <v>644</v>
      </c>
      <c r="B645" s="12" t="s">
        <v>7067</v>
      </c>
      <c r="C645" s="155">
        <v>30</v>
      </c>
      <c r="D645" s="55" t="s">
        <v>3799</v>
      </c>
      <c r="E645" s="90" t="s">
        <v>416</v>
      </c>
      <c r="G645" s="55" t="s">
        <v>417</v>
      </c>
      <c r="H645" s="55">
        <v>2002</v>
      </c>
      <c r="I645" s="55">
        <v>1999</v>
      </c>
      <c r="J645" s="55" t="s">
        <v>418</v>
      </c>
      <c r="K645" s="55" t="s">
        <v>419</v>
      </c>
      <c r="L645" s="55" t="s">
        <v>2737</v>
      </c>
      <c r="M645" s="90">
        <f>38+32/60</f>
        <v>38.533333333333331</v>
      </c>
      <c r="N645" s="90">
        <f>-121-47/60</f>
        <v>-121.78333333333333</v>
      </c>
      <c r="O645" s="90">
        <v>18.399999999999999</v>
      </c>
      <c r="S645" s="90">
        <v>483</v>
      </c>
      <c r="U645" s="55">
        <v>3</v>
      </c>
      <c r="V645" s="55" t="s">
        <v>1816</v>
      </c>
      <c r="Y645" s="55">
        <v>36514</v>
      </c>
      <c r="Z645" s="55" t="s">
        <v>1364</v>
      </c>
      <c r="AA645" s="90" t="s">
        <v>1685</v>
      </c>
      <c r="AE645" s="90">
        <v>36</v>
      </c>
      <c r="AF645" s="90">
        <v>46</v>
      </c>
      <c r="AH645" s="55" t="s">
        <v>139</v>
      </c>
      <c r="AM645" s="55" t="s">
        <v>1295</v>
      </c>
      <c r="AN645" s="185" t="s">
        <v>1497</v>
      </c>
      <c r="AO645" s="185" t="s">
        <v>5150</v>
      </c>
      <c r="AQ645" s="55" t="s">
        <v>553</v>
      </c>
      <c r="AR645" s="55" t="s">
        <v>1552</v>
      </c>
      <c r="AS645" s="55" t="s">
        <v>1577</v>
      </c>
      <c r="AT645" s="181" t="s">
        <v>420</v>
      </c>
      <c r="AU645" s="181" t="s">
        <v>5150</v>
      </c>
      <c r="AV645" s="185" t="s">
        <v>479</v>
      </c>
      <c r="AW645" s="55" t="s">
        <v>420</v>
      </c>
      <c r="AX645" s="185" t="s">
        <v>479</v>
      </c>
      <c r="AY645" s="55" t="s">
        <v>176</v>
      </c>
      <c r="BE645" s="226" t="s">
        <v>347</v>
      </c>
      <c r="BF645" s="191" t="s">
        <v>479</v>
      </c>
      <c r="BG645" s="55" t="s">
        <v>479</v>
      </c>
      <c r="BH645" s="226" t="s">
        <v>422</v>
      </c>
      <c r="BI645" s="55" t="s">
        <v>479</v>
      </c>
      <c r="BJ645" s="55" t="s">
        <v>479</v>
      </c>
      <c r="BK645" s="55" t="s">
        <v>5976</v>
      </c>
      <c r="BM645" s="192" t="s">
        <v>119</v>
      </c>
      <c r="BN645" s="55">
        <v>4</v>
      </c>
      <c r="BO645" s="55">
        <v>4</v>
      </c>
      <c r="BQ645" s="55" t="s">
        <v>315</v>
      </c>
      <c r="GD645" s="65">
        <v>0.1051</v>
      </c>
      <c r="GE645" s="65">
        <v>0.1114</v>
      </c>
      <c r="GH645" s="65" t="s">
        <v>423</v>
      </c>
      <c r="GP645" s="292" t="s">
        <v>7494</v>
      </c>
      <c r="HS645" s="227"/>
      <c r="HW645" s="227"/>
      <c r="JU645" s="55" t="s">
        <v>688</v>
      </c>
    </row>
    <row r="646" spans="1:281" x14ac:dyDescent="0.25">
      <c r="A646" s="55">
        <v>645</v>
      </c>
      <c r="B646" s="12" t="s">
        <v>7067</v>
      </c>
      <c r="C646" s="155">
        <v>30</v>
      </c>
      <c r="D646" s="55" t="s">
        <v>3799</v>
      </c>
      <c r="E646" s="90" t="s">
        <v>416</v>
      </c>
      <c r="G646" s="55" t="s">
        <v>417</v>
      </c>
      <c r="H646" s="55">
        <v>2002</v>
      </c>
      <c r="I646" s="55">
        <v>2000</v>
      </c>
      <c r="J646" s="55" t="s">
        <v>418</v>
      </c>
      <c r="K646" s="55" t="s">
        <v>419</v>
      </c>
      <c r="L646" s="55" t="s">
        <v>2737</v>
      </c>
      <c r="M646" s="90">
        <f>38+32/60</f>
        <v>38.533333333333331</v>
      </c>
      <c r="N646" s="90">
        <f>-121-47/60</f>
        <v>-121.78333333333333</v>
      </c>
      <c r="O646" s="90">
        <v>18.399999999999999</v>
      </c>
      <c r="S646" s="90">
        <v>483</v>
      </c>
      <c r="U646" s="55">
        <v>4</v>
      </c>
      <c r="V646" s="55" t="s">
        <v>1816</v>
      </c>
      <c r="Y646" s="55">
        <v>36535</v>
      </c>
      <c r="Z646" s="55" t="s">
        <v>1364</v>
      </c>
      <c r="AA646" s="90" t="s">
        <v>1685</v>
      </c>
      <c r="AE646" s="90">
        <v>36</v>
      </c>
      <c r="AF646" s="90">
        <v>46</v>
      </c>
      <c r="AH646" s="55" t="s">
        <v>139</v>
      </c>
      <c r="AM646" s="55" t="s">
        <v>1295</v>
      </c>
      <c r="AN646" s="185" t="s">
        <v>1497</v>
      </c>
      <c r="AO646" s="185" t="s">
        <v>5150</v>
      </c>
      <c r="AQ646" s="55" t="s">
        <v>553</v>
      </c>
      <c r="AR646" s="55" t="s">
        <v>1552</v>
      </c>
      <c r="AS646" s="55" t="s">
        <v>1577</v>
      </c>
      <c r="AT646" s="181" t="s">
        <v>420</v>
      </c>
      <c r="AU646" s="181" t="s">
        <v>5150</v>
      </c>
      <c r="AV646" s="185" t="s">
        <v>479</v>
      </c>
      <c r="AW646" s="55" t="s">
        <v>420</v>
      </c>
      <c r="AX646" s="185" t="s">
        <v>479</v>
      </c>
      <c r="AY646" s="55" t="s">
        <v>176</v>
      </c>
      <c r="BE646" s="226" t="s">
        <v>347</v>
      </c>
      <c r="BF646" s="191" t="s">
        <v>479</v>
      </c>
      <c r="BG646" s="55" t="s">
        <v>479</v>
      </c>
      <c r="BH646" s="226" t="s">
        <v>421</v>
      </c>
      <c r="BI646" s="55" t="s">
        <v>479</v>
      </c>
      <c r="BJ646" s="55" t="s">
        <v>479</v>
      </c>
      <c r="BK646" s="55" t="s">
        <v>5976</v>
      </c>
      <c r="BM646" s="192" t="s">
        <v>119</v>
      </c>
      <c r="BN646" s="55">
        <v>4</v>
      </c>
      <c r="BO646" s="55">
        <v>4</v>
      </c>
      <c r="BQ646" s="55" t="s">
        <v>315</v>
      </c>
      <c r="GD646" s="65">
        <v>0.1033</v>
      </c>
      <c r="GE646" s="65">
        <v>0.1086</v>
      </c>
      <c r="GH646" s="65" t="s">
        <v>423</v>
      </c>
      <c r="GP646" s="292" t="s">
        <v>7494</v>
      </c>
      <c r="HS646" s="227"/>
      <c r="HW646" s="227"/>
      <c r="JU646" s="55" t="s">
        <v>688</v>
      </c>
    </row>
    <row r="647" spans="1:281" x14ac:dyDescent="0.25">
      <c r="A647" s="55">
        <v>646</v>
      </c>
      <c r="B647" s="12" t="s">
        <v>7067</v>
      </c>
      <c r="C647" s="155">
        <v>30</v>
      </c>
      <c r="D647" s="55" t="s">
        <v>3799</v>
      </c>
      <c r="E647" s="90" t="s">
        <v>416</v>
      </c>
      <c r="G647" s="55" t="s">
        <v>417</v>
      </c>
      <c r="H647" s="55">
        <v>2002</v>
      </c>
      <c r="I647" s="55">
        <v>2000</v>
      </c>
      <c r="J647" s="55" t="s">
        <v>418</v>
      </c>
      <c r="K647" s="55" t="s">
        <v>419</v>
      </c>
      <c r="L647" s="55" t="s">
        <v>2737</v>
      </c>
      <c r="M647" s="90">
        <f>38+32/60</f>
        <v>38.533333333333331</v>
      </c>
      <c r="N647" s="90">
        <f>-121-47/60</f>
        <v>-121.78333333333333</v>
      </c>
      <c r="O647" s="90">
        <v>18.399999999999999</v>
      </c>
      <c r="S647" s="90">
        <v>483</v>
      </c>
      <c r="U647" s="55">
        <v>4</v>
      </c>
      <c r="V647" s="55" t="s">
        <v>1816</v>
      </c>
      <c r="Y647" s="55">
        <v>36535</v>
      </c>
      <c r="Z647" s="55" t="s">
        <v>1364</v>
      </c>
      <c r="AA647" s="90" t="s">
        <v>1685</v>
      </c>
      <c r="AE647" s="90">
        <v>36</v>
      </c>
      <c r="AF647" s="90">
        <v>46</v>
      </c>
      <c r="AH647" s="55" t="s">
        <v>139</v>
      </c>
      <c r="AM647" s="55" t="s">
        <v>1295</v>
      </c>
      <c r="AN647" s="185" t="s">
        <v>1497</v>
      </c>
      <c r="AO647" s="185" t="s">
        <v>5150</v>
      </c>
      <c r="AQ647" s="55" t="s">
        <v>553</v>
      </c>
      <c r="AR647" s="55" t="s">
        <v>1552</v>
      </c>
      <c r="AS647" s="55" t="s">
        <v>1577</v>
      </c>
      <c r="AT647" s="181" t="s">
        <v>420</v>
      </c>
      <c r="AU647" s="181" t="s">
        <v>5150</v>
      </c>
      <c r="AV647" s="185" t="s">
        <v>479</v>
      </c>
      <c r="AW647" s="55" t="s">
        <v>420</v>
      </c>
      <c r="AX647" s="185" t="s">
        <v>479</v>
      </c>
      <c r="AY647" s="55" t="s">
        <v>176</v>
      </c>
      <c r="BE647" s="226" t="s">
        <v>347</v>
      </c>
      <c r="BF647" s="191" t="s">
        <v>479</v>
      </c>
      <c r="BG647" s="55" t="s">
        <v>479</v>
      </c>
      <c r="BH647" s="226" t="s">
        <v>422</v>
      </c>
      <c r="BI647" s="55" t="s">
        <v>479</v>
      </c>
      <c r="BJ647" s="55" t="s">
        <v>479</v>
      </c>
      <c r="BK647" s="55" t="s">
        <v>5976</v>
      </c>
      <c r="BM647" s="192" t="s">
        <v>119</v>
      </c>
      <c r="BN647" s="55">
        <v>4</v>
      </c>
      <c r="BO647" s="55">
        <v>4</v>
      </c>
      <c r="BQ647" s="55" t="s">
        <v>315</v>
      </c>
      <c r="GD647" s="65">
        <v>0.1033</v>
      </c>
      <c r="GE647" s="65">
        <v>0.11219999999999999</v>
      </c>
      <c r="GH647" s="65" t="s">
        <v>423</v>
      </c>
      <c r="GP647" s="292" t="s">
        <v>7494</v>
      </c>
      <c r="HS647" s="227"/>
      <c r="HW647" s="227"/>
      <c r="JU647" s="55" t="s">
        <v>688</v>
      </c>
    </row>
    <row r="648" spans="1:281" x14ac:dyDescent="0.25">
      <c r="A648" s="55">
        <v>647</v>
      </c>
      <c r="B648" s="12" t="s">
        <v>7067</v>
      </c>
      <c r="C648" s="155">
        <v>30</v>
      </c>
      <c r="D648" s="55" t="s">
        <v>3799</v>
      </c>
      <c r="E648" s="90" t="s">
        <v>416</v>
      </c>
      <c r="G648" s="55" t="s">
        <v>417</v>
      </c>
      <c r="H648" s="55">
        <v>2002</v>
      </c>
      <c r="I648" s="55">
        <v>2000</v>
      </c>
      <c r="J648" s="55" t="s">
        <v>418</v>
      </c>
      <c r="K648" s="55" t="s">
        <v>419</v>
      </c>
      <c r="L648" s="55" t="s">
        <v>2737</v>
      </c>
      <c r="M648" s="90">
        <f>38+32/60</f>
        <v>38.533333333333331</v>
      </c>
      <c r="N648" s="90">
        <f>-121-47/60</f>
        <v>-121.78333333333333</v>
      </c>
      <c r="O648" s="90">
        <v>18.399999999999999</v>
      </c>
      <c r="S648" s="90">
        <v>483</v>
      </c>
      <c r="U648" s="55">
        <v>4</v>
      </c>
      <c r="V648" s="55" t="s">
        <v>1816</v>
      </c>
      <c r="Y648" s="55">
        <v>36541</v>
      </c>
      <c r="Z648" s="55" t="s">
        <v>1364</v>
      </c>
      <c r="AA648" s="90" t="s">
        <v>1685</v>
      </c>
      <c r="AE648" s="90">
        <v>36</v>
      </c>
      <c r="AF648" s="90">
        <v>46</v>
      </c>
      <c r="AH648" s="55" t="s">
        <v>139</v>
      </c>
      <c r="AM648" s="55" t="s">
        <v>1295</v>
      </c>
      <c r="AN648" s="185" t="s">
        <v>1497</v>
      </c>
      <c r="AO648" s="185" t="s">
        <v>5150</v>
      </c>
      <c r="AQ648" s="55" t="s">
        <v>553</v>
      </c>
      <c r="AR648" s="55" t="s">
        <v>1552</v>
      </c>
      <c r="AS648" s="55" t="s">
        <v>1577</v>
      </c>
      <c r="AT648" s="181" t="s">
        <v>420</v>
      </c>
      <c r="AU648" s="181" t="s">
        <v>5150</v>
      </c>
      <c r="AV648" s="185" t="s">
        <v>479</v>
      </c>
      <c r="AW648" s="55" t="s">
        <v>420</v>
      </c>
      <c r="AX648" s="185" t="s">
        <v>479</v>
      </c>
      <c r="AY648" s="55" t="s">
        <v>176</v>
      </c>
      <c r="BE648" s="226" t="s">
        <v>347</v>
      </c>
      <c r="BF648" s="191" t="s">
        <v>479</v>
      </c>
      <c r="BG648" s="55" t="s">
        <v>479</v>
      </c>
      <c r="BH648" s="226" t="s">
        <v>421</v>
      </c>
      <c r="BI648" s="55" t="s">
        <v>479</v>
      </c>
      <c r="BJ648" s="55" t="s">
        <v>479</v>
      </c>
      <c r="BK648" s="55" t="s">
        <v>5976</v>
      </c>
      <c r="BM648" s="192" t="s">
        <v>119</v>
      </c>
      <c r="BN648" s="55">
        <v>4</v>
      </c>
      <c r="BO648" s="55">
        <v>4</v>
      </c>
      <c r="BQ648" s="55" t="s">
        <v>315</v>
      </c>
      <c r="GD648" s="65">
        <v>0.1024</v>
      </c>
      <c r="GE648" s="65">
        <v>0.1095</v>
      </c>
      <c r="GH648" s="65" t="s">
        <v>423</v>
      </c>
      <c r="GP648" s="292" t="s">
        <v>7494</v>
      </c>
      <c r="HS648" s="227"/>
      <c r="HW648" s="227"/>
      <c r="JU648" s="55" t="s">
        <v>688</v>
      </c>
    </row>
    <row r="649" spans="1:281" x14ac:dyDescent="0.25">
      <c r="A649" s="55">
        <v>648</v>
      </c>
      <c r="B649" s="12" t="s">
        <v>7067</v>
      </c>
      <c r="C649" s="155">
        <v>30</v>
      </c>
      <c r="D649" s="55" t="s">
        <v>3799</v>
      </c>
      <c r="E649" s="90" t="s">
        <v>416</v>
      </c>
      <c r="G649" s="55" t="s">
        <v>417</v>
      </c>
      <c r="H649" s="55">
        <v>2002</v>
      </c>
      <c r="I649" s="55">
        <v>2000</v>
      </c>
      <c r="J649" s="55" t="s">
        <v>418</v>
      </c>
      <c r="K649" s="55" t="s">
        <v>419</v>
      </c>
      <c r="L649" s="55" t="s">
        <v>2737</v>
      </c>
      <c r="M649" s="90">
        <f>38+32/60</f>
        <v>38.533333333333331</v>
      </c>
      <c r="N649" s="90">
        <f>-121-47/60</f>
        <v>-121.78333333333333</v>
      </c>
      <c r="O649" s="90">
        <v>18.399999999999999</v>
      </c>
      <c r="S649" s="90">
        <v>483</v>
      </c>
      <c r="U649" s="55">
        <v>4</v>
      </c>
      <c r="V649" s="55" t="s">
        <v>1816</v>
      </c>
      <c r="Y649" s="55">
        <v>36541</v>
      </c>
      <c r="Z649" s="55" t="s">
        <v>1364</v>
      </c>
      <c r="AA649" s="90" t="s">
        <v>1685</v>
      </c>
      <c r="AE649" s="90">
        <v>36</v>
      </c>
      <c r="AF649" s="90">
        <v>46</v>
      </c>
      <c r="AH649" s="55" t="s">
        <v>139</v>
      </c>
      <c r="AM649" s="55" t="s">
        <v>1295</v>
      </c>
      <c r="AN649" s="185" t="s">
        <v>1497</v>
      </c>
      <c r="AO649" s="185" t="s">
        <v>5150</v>
      </c>
      <c r="AQ649" s="55" t="s">
        <v>553</v>
      </c>
      <c r="AR649" s="55" t="s">
        <v>1552</v>
      </c>
      <c r="AS649" s="55" t="s">
        <v>1577</v>
      </c>
      <c r="AT649" s="181" t="s">
        <v>420</v>
      </c>
      <c r="AU649" s="181" t="s">
        <v>5150</v>
      </c>
      <c r="AV649" s="185" t="s">
        <v>479</v>
      </c>
      <c r="AW649" s="55" t="s">
        <v>420</v>
      </c>
      <c r="AX649" s="185" t="s">
        <v>479</v>
      </c>
      <c r="AY649" s="55" t="s">
        <v>176</v>
      </c>
      <c r="BE649" s="226" t="s">
        <v>347</v>
      </c>
      <c r="BF649" s="191" t="s">
        <v>479</v>
      </c>
      <c r="BG649" s="55" t="s">
        <v>479</v>
      </c>
      <c r="BH649" s="226" t="s">
        <v>422</v>
      </c>
      <c r="BI649" s="55" t="s">
        <v>479</v>
      </c>
      <c r="BJ649" s="55" t="s">
        <v>479</v>
      </c>
      <c r="BK649" s="55" t="s">
        <v>5976</v>
      </c>
      <c r="BM649" s="192" t="s">
        <v>119</v>
      </c>
      <c r="BN649" s="55">
        <v>4</v>
      </c>
      <c r="BO649" s="55">
        <v>4</v>
      </c>
      <c r="BQ649" s="55" t="s">
        <v>315</v>
      </c>
      <c r="GD649" s="65">
        <v>0.1024</v>
      </c>
      <c r="GE649" s="65">
        <v>0.1095</v>
      </c>
      <c r="GH649" s="65" t="s">
        <v>423</v>
      </c>
      <c r="GP649" s="292" t="s">
        <v>7494</v>
      </c>
      <c r="HS649" s="227"/>
      <c r="HW649" s="227"/>
      <c r="JU649" s="55" t="s">
        <v>688</v>
      </c>
    </row>
    <row r="650" spans="1:281" x14ac:dyDescent="0.25">
      <c r="A650" s="55">
        <v>649</v>
      </c>
      <c r="B650" s="12" t="s">
        <v>7067</v>
      </c>
      <c r="C650" s="155">
        <v>30</v>
      </c>
      <c r="D650" s="55" t="s">
        <v>3799</v>
      </c>
      <c r="E650" s="90" t="s">
        <v>416</v>
      </c>
      <c r="G650" s="55" t="s">
        <v>417</v>
      </c>
      <c r="H650" s="55">
        <v>2002</v>
      </c>
      <c r="I650" s="55">
        <v>2000</v>
      </c>
      <c r="J650" s="55" t="s">
        <v>418</v>
      </c>
      <c r="K650" s="55" t="s">
        <v>419</v>
      </c>
      <c r="L650" s="55" t="s">
        <v>2737</v>
      </c>
      <c r="M650" s="90">
        <f>38+32/60</f>
        <v>38.533333333333331</v>
      </c>
      <c r="N650" s="90">
        <f>-121-47/60</f>
        <v>-121.78333333333333</v>
      </c>
      <c r="O650" s="90">
        <v>18.399999999999999</v>
      </c>
      <c r="S650" s="90">
        <v>483</v>
      </c>
      <c r="U650" s="55">
        <v>4</v>
      </c>
      <c r="V650" s="55" t="s">
        <v>1816</v>
      </c>
      <c r="Y650" s="55">
        <v>36549</v>
      </c>
      <c r="Z650" s="55" t="s">
        <v>1364</v>
      </c>
      <c r="AA650" s="90" t="s">
        <v>1685</v>
      </c>
      <c r="AE650" s="90">
        <v>36</v>
      </c>
      <c r="AF650" s="90">
        <v>46</v>
      </c>
      <c r="AH650" s="55" t="s">
        <v>139</v>
      </c>
      <c r="AM650" s="55" t="s">
        <v>1295</v>
      </c>
      <c r="AN650" s="185" t="s">
        <v>1497</v>
      </c>
      <c r="AO650" s="185" t="s">
        <v>5150</v>
      </c>
      <c r="AQ650" s="55" t="s">
        <v>553</v>
      </c>
      <c r="AR650" s="55" t="s">
        <v>1552</v>
      </c>
      <c r="AS650" s="55" t="s">
        <v>1577</v>
      </c>
      <c r="AT650" s="181" t="s">
        <v>420</v>
      </c>
      <c r="AU650" s="181" t="s">
        <v>5150</v>
      </c>
      <c r="AV650" s="185" t="s">
        <v>479</v>
      </c>
      <c r="AW650" s="55" t="s">
        <v>420</v>
      </c>
      <c r="AX650" s="185" t="s">
        <v>479</v>
      </c>
      <c r="AY650" s="55" t="s">
        <v>176</v>
      </c>
      <c r="BE650" s="226" t="s">
        <v>347</v>
      </c>
      <c r="BF650" s="191" t="s">
        <v>479</v>
      </c>
      <c r="BG650" s="55" t="s">
        <v>479</v>
      </c>
      <c r="BH650" s="226" t="s">
        <v>421</v>
      </c>
      <c r="BI650" s="55" t="s">
        <v>479</v>
      </c>
      <c r="BJ650" s="55" t="s">
        <v>479</v>
      </c>
      <c r="BK650" s="55" t="s">
        <v>5976</v>
      </c>
      <c r="BM650" s="192" t="s">
        <v>119</v>
      </c>
      <c r="BN650" s="55">
        <v>4</v>
      </c>
      <c r="BO650" s="55">
        <v>4</v>
      </c>
      <c r="BQ650" s="55" t="s">
        <v>315</v>
      </c>
      <c r="GD650" s="65">
        <v>0.10589999999999999</v>
      </c>
      <c r="GE650" s="65">
        <v>0.1086</v>
      </c>
      <c r="GH650" s="65" t="s">
        <v>423</v>
      </c>
      <c r="GP650" s="292" t="s">
        <v>7494</v>
      </c>
      <c r="HS650" s="227"/>
      <c r="HW650" s="227"/>
      <c r="JU650" s="55" t="s">
        <v>688</v>
      </c>
    </row>
    <row r="651" spans="1:281" x14ac:dyDescent="0.25">
      <c r="A651" s="55">
        <v>650</v>
      </c>
      <c r="B651" s="12" t="s">
        <v>7067</v>
      </c>
      <c r="C651" s="155">
        <v>30</v>
      </c>
      <c r="D651" s="55" t="s">
        <v>3799</v>
      </c>
      <c r="E651" s="90" t="s">
        <v>416</v>
      </c>
      <c r="G651" s="55" t="s">
        <v>417</v>
      </c>
      <c r="H651" s="55">
        <v>2002</v>
      </c>
      <c r="I651" s="55">
        <v>2000</v>
      </c>
      <c r="J651" s="55" t="s">
        <v>418</v>
      </c>
      <c r="K651" s="55" t="s">
        <v>419</v>
      </c>
      <c r="L651" s="55" t="s">
        <v>2737</v>
      </c>
      <c r="M651" s="90">
        <f>38+32/60</f>
        <v>38.533333333333331</v>
      </c>
      <c r="N651" s="90">
        <f>-121-47/60</f>
        <v>-121.78333333333333</v>
      </c>
      <c r="O651" s="90">
        <v>18.399999999999999</v>
      </c>
      <c r="S651" s="90">
        <v>483</v>
      </c>
      <c r="U651" s="55">
        <v>4</v>
      </c>
      <c r="V651" s="55" t="s">
        <v>1816</v>
      </c>
      <c r="Y651" s="55">
        <v>36549</v>
      </c>
      <c r="Z651" s="55" t="s">
        <v>1364</v>
      </c>
      <c r="AA651" s="90" t="s">
        <v>1685</v>
      </c>
      <c r="AE651" s="90">
        <v>36</v>
      </c>
      <c r="AF651" s="90">
        <v>46</v>
      </c>
      <c r="AH651" s="55" t="s">
        <v>139</v>
      </c>
      <c r="AM651" s="55" t="s">
        <v>1295</v>
      </c>
      <c r="AN651" s="185" t="s">
        <v>1497</v>
      </c>
      <c r="AO651" s="185" t="s">
        <v>5150</v>
      </c>
      <c r="AQ651" s="55" t="s">
        <v>553</v>
      </c>
      <c r="AR651" s="55" t="s">
        <v>1552</v>
      </c>
      <c r="AS651" s="55" t="s">
        <v>1577</v>
      </c>
      <c r="AT651" s="181" t="s">
        <v>420</v>
      </c>
      <c r="AU651" s="181" t="s">
        <v>5150</v>
      </c>
      <c r="AV651" s="185" t="s">
        <v>479</v>
      </c>
      <c r="AW651" s="55" t="s">
        <v>420</v>
      </c>
      <c r="AX651" s="185" t="s">
        <v>479</v>
      </c>
      <c r="AY651" s="55" t="s">
        <v>176</v>
      </c>
      <c r="BE651" s="226" t="s">
        <v>347</v>
      </c>
      <c r="BF651" s="191" t="s">
        <v>479</v>
      </c>
      <c r="BG651" s="55" t="s">
        <v>479</v>
      </c>
      <c r="BH651" s="226" t="s">
        <v>422</v>
      </c>
      <c r="BI651" s="55" t="s">
        <v>479</v>
      </c>
      <c r="BJ651" s="55" t="s">
        <v>479</v>
      </c>
      <c r="BK651" s="55" t="s">
        <v>5976</v>
      </c>
      <c r="BM651" s="192" t="s">
        <v>119</v>
      </c>
      <c r="BN651" s="55">
        <v>4</v>
      </c>
      <c r="BO651" s="55">
        <v>4</v>
      </c>
      <c r="BQ651" s="55" t="s">
        <v>315</v>
      </c>
      <c r="GD651" s="65">
        <v>0.10589999999999999</v>
      </c>
      <c r="GE651" s="65">
        <v>0.1086</v>
      </c>
      <c r="GH651" s="65" t="s">
        <v>423</v>
      </c>
      <c r="GP651" s="292" t="s">
        <v>7494</v>
      </c>
      <c r="HS651" s="227"/>
      <c r="HW651" s="227"/>
      <c r="JU651" s="55" t="s">
        <v>688</v>
      </c>
    </row>
    <row r="652" spans="1:281" x14ac:dyDescent="0.25">
      <c r="A652" s="55">
        <v>651</v>
      </c>
      <c r="B652" s="12" t="s">
        <v>7067</v>
      </c>
      <c r="C652" s="155">
        <v>30</v>
      </c>
      <c r="D652" s="55" t="s">
        <v>3799</v>
      </c>
      <c r="E652" s="90" t="s">
        <v>416</v>
      </c>
      <c r="G652" s="55" t="s">
        <v>417</v>
      </c>
      <c r="H652" s="55">
        <v>2002</v>
      </c>
      <c r="I652" s="55">
        <v>2000</v>
      </c>
      <c r="J652" s="55" t="s">
        <v>418</v>
      </c>
      <c r="K652" s="55" t="s">
        <v>419</v>
      </c>
      <c r="L652" s="55" t="s">
        <v>2737</v>
      </c>
      <c r="M652" s="90">
        <f>38+32/60</f>
        <v>38.533333333333331</v>
      </c>
      <c r="N652" s="90">
        <f>-121-47/60</f>
        <v>-121.78333333333333</v>
      </c>
      <c r="O652" s="90">
        <v>18.399999999999999</v>
      </c>
      <c r="S652" s="90">
        <v>483</v>
      </c>
      <c r="U652" s="55">
        <v>4</v>
      </c>
      <c r="V652" s="55" t="s">
        <v>1816</v>
      </c>
      <c r="Y652" s="55">
        <v>36562</v>
      </c>
      <c r="Z652" s="55" t="s">
        <v>1364</v>
      </c>
      <c r="AA652" s="90" t="s">
        <v>1685</v>
      </c>
      <c r="AE652" s="90">
        <v>36</v>
      </c>
      <c r="AF652" s="90">
        <v>46</v>
      </c>
      <c r="AH652" s="55" t="s">
        <v>139</v>
      </c>
      <c r="AM652" s="55" t="s">
        <v>1295</v>
      </c>
      <c r="AN652" s="185" t="s">
        <v>1497</v>
      </c>
      <c r="AO652" s="185" t="s">
        <v>5150</v>
      </c>
      <c r="AQ652" s="55" t="s">
        <v>553</v>
      </c>
      <c r="AR652" s="55" t="s">
        <v>1552</v>
      </c>
      <c r="AS652" s="55" t="s">
        <v>1577</v>
      </c>
      <c r="AT652" s="181" t="s">
        <v>420</v>
      </c>
      <c r="AU652" s="181" t="s">
        <v>5150</v>
      </c>
      <c r="AV652" s="185" t="s">
        <v>479</v>
      </c>
      <c r="AW652" s="55" t="s">
        <v>420</v>
      </c>
      <c r="AX652" s="185" t="s">
        <v>479</v>
      </c>
      <c r="AY652" s="55" t="s">
        <v>176</v>
      </c>
      <c r="BE652" s="226" t="s">
        <v>347</v>
      </c>
      <c r="BF652" s="191" t="s">
        <v>479</v>
      </c>
      <c r="BG652" s="55" t="s">
        <v>479</v>
      </c>
      <c r="BH652" s="226" t="s">
        <v>421</v>
      </c>
      <c r="BI652" s="55" t="s">
        <v>479</v>
      </c>
      <c r="BJ652" s="55" t="s">
        <v>479</v>
      </c>
      <c r="BK652" s="55" t="s">
        <v>5976</v>
      </c>
      <c r="BM652" s="192" t="s">
        <v>119</v>
      </c>
      <c r="BN652" s="55">
        <v>4</v>
      </c>
      <c r="BO652" s="55">
        <v>4</v>
      </c>
      <c r="BQ652" s="55" t="s">
        <v>315</v>
      </c>
      <c r="GD652" s="65">
        <v>0.11310000000000001</v>
      </c>
      <c r="GE652" s="65">
        <v>0.11310000000000001</v>
      </c>
      <c r="GH652" s="65" t="s">
        <v>423</v>
      </c>
      <c r="GP652" s="292" t="s">
        <v>7494</v>
      </c>
      <c r="HS652" s="227"/>
      <c r="HW652" s="227"/>
      <c r="JU652" s="55" t="s">
        <v>688</v>
      </c>
    </row>
    <row r="653" spans="1:281" x14ac:dyDescent="0.25">
      <c r="A653" s="55">
        <v>652</v>
      </c>
      <c r="B653" s="12" t="s">
        <v>7067</v>
      </c>
      <c r="C653" s="155">
        <v>30</v>
      </c>
      <c r="D653" s="55" t="s">
        <v>3799</v>
      </c>
      <c r="E653" s="90" t="s">
        <v>416</v>
      </c>
      <c r="G653" s="55" t="s">
        <v>417</v>
      </c>
      <c r="H653" s="55">
        <v>2002</v>
      </c>
      <c r="I653" s="55">
        <v>2000</v>
      </c>
      <c r="J653" s="55" t="s">
        <v>418</v>
      </c>
      <c r="K653" s="55" t="s">
        <v>419</v>
      </c>
      <c r="L653" s="55" t="s">
        <v>2737</v>
      </c>
      <c r="M653" s="90">
        <f>38+32/60</f>
        <v>38.533333333333331</v>
      </c>
      <c r="N653" s="90">
        <f>-121-47/60</f>
        <v>-121.78333333333333</v>
      </c>
      <c r="O653" s="90">
        <v>18.399999999999999</v>
      </c>
      <c r="S653" s="90">
        <v>483</v>
      </c>
      <c r="U653" s="55">
        <v>4</v>
      </c>
      <c r="V653" s="55" t="s">
        <v>1816</v>
      </c>
      <c r="Y653" s="55">
        <v>36562</v>
      </c>
      <c r="Z653" s="55" t="s">
        <v>1364</v>
      </c>
      <c r="AA653" s="90" t="s">
        <v>1685</v>
      </c>
      <c r="AE653" s="90">
        <v>36</v>
      </c>
      <c r="AF653" s="90">
        <v>46</v>
      </c>
      <c r="AH653" s="55" t="s">
        <v>139</v>
      </c>
      <c r="AM653" s="55" t="s">
        <v>1295</v>
      </c>
      <c r="AN653" s="185" t="s">
        <v>1497</v>
      </c>
      <c r="AO653" s="185" t="s">
        <v>5150</v>
      </c>
      <c r="AQ653" s="55" t="s">
        <v>553</v>
      </c>
      <c r="AR653" s="55" t="s">
        <v>1552</v>
      </c>
      <c r="AS653" s="55" t="s">
        <v>1577</v>
      </c>
      <c r="AT653" s="181" t="s">
        <v>420</v>
      </c>
      <c r="AU653" s="181" t="s">
        <v>5150</v>
      </c>
      <c r="AV653" s="185" t="s">
        <v>479</v>
      </c>
      <c r="AW653" s="55" t="s">
        <v>420</v>
      </c>
      <c r="AX653" s="185" t="s">
        <v>479</v>
      </c>
      <c r="AY653" s="55" t="s">
        <v>176</v>
      </c>
      <c r="BE653" s="226" t="s">
        <v>347</v>
      </c>
      <c r="BF653" s="191" t="s">
        <v>479</v>
      </c>
      <c r="BG653" s="55" t="s">
        <v>479</v>
      </c>
      <c r="BH653" s="226" t="s">
        <v>422</v>
      </c>
      <c r="BI653" s="55" t="s">
        <v>479</v>
      </c>
      <c r="BJ653" s="55" t="s">
        <v>479</v>
      </c>
      <c r="BK653" s="55" t="s">
        <v>5976</v>
      </c>
      <c r="BM653" s="192" t="s">
        <v>119</v>
      </c>
      <c r="BN653" s="55">
        <v>4</v>
      </c>
      <c r="BO653" s="55">
        <v>4</v>
      </c>
      <c r="BQ653" s="55" t="s">
        <v>315</v>
      </c>
      <c r="GD653" s="65">
        <v>0.11310000000000001</v>
      </c>
      <c r="GE653" s="65">
        <v>0.11310000000000001</v>
      </c>
      <c r="GH653" s="65" t="s">
        <v>423</v>
      </c>
      <c r="GP653" s="292" t="s">
        <v>7494</v>
      </c>
      <c r="HS653" s="227"/>
      <c r="HW653" s="227"/>
      <c r="JU653" s="55" t="s">
        <v>688</v>
      </c>
    </row>
    <row r="654" spans="1:281" x14ac:dyDescent="0.25">
      <c r="A654" s="55">
        <v>653</v>
      </c>
      <c r="B654" s="12" t="s">
        <v>7067</v>
      </c>
      <c r="C654" s="155">
        <v>30</v>
      </c>
      <c r="D654" s="55" t="s">
        <v>3799</v>
      </c>
      <c r="E654" s="90" t="s">
        <v>416</v>
      </c>
      <c r="G654" s="55" t="s">
        <v>417</v>
      </c>
      <c r="H654" s="55">
        <v>2002</v>
      </c>
      <c r="I654" s="55">
        <v>2000</v>
      </c>
      <c r="J654" s="55" t="s">
        <v>418</v>
      </c>
      <c r="K654" s="55" t="s">
        <v>419</v>
      </c>
      <c r="L654" s="55" t="s">
        <v>2737</v>
      </c>
      <c r="M654" s="90">
        <f>38+32/60</f>
        <v>38.533333333333331</v>
      </c>
      <c r="N654" s="90">
        <f>-121-47/60</f>
        <v>-121.78333333333333</v>
      </c>
      <c r="O654" s="90">
        <v>18.399999999999999</v>
      </c>
      <c r="S654" s="90">
        <v>483</v>
      </c>
      <c r="U654" s="55">
        <v>4</v>
      </c>
      <c r="V654" s="55" t="s">
        <v>1816</v>
      </c>
      <c r="Y654" s="55">
        <v>36566</v>
      </c>
      <c r="Z654" s="55" t="s">
        <v>1364</v>
      </c>
      <c r="AA654" s="90" t="s">
        <v>1685</v>
      </c>
      <c r="AE654" s="90">
        <v>36</v>
      </c>
      <c r="AF654" s="90">
        <v>46</v>
      </c>
      <c r="AH654" s="55" t="s">
        <v>139</v>
      </c>
      <c r="AM654" s="55" t="s">
        <v>1295</v>
      </c>
      <c r="AN654" s="185" t="s">
        <v>1497</v>
      </c>
      <c r="AO654" s="185" t="s">
        <v>5150</v>
      </c>
      <c r="AQ654" s="55" t="s">
        <v>553</v>
      </c>
      <c r="AR654" s="55" t="s">
        <v>1552</v>
      </c>
      <c r="AS654" s="55" t="s">
        <v>1577</v>
      </c>
      <c r="AT654" s="181" t="s">
        <v>420</v>
      </c>
      <c r="AU654" s="181" t="s">
        <v>5150</v>
      </c>
      <c r="AV654" s="185" t="s">
        <v>479</v>
      </c>
      <c r="AW654" s="55" t="s">
        <v>420</v>
      </c>
      <c r="AX654" s="185" t="s">
        <v>479</v>
      </c>
      <c r="AY654" s="55" t="s">
        <v>176</v>
      </c>
      <c r="BE654" s="226" t="s">
        <v>347</v>
      </c>
      <c r="BF654" s="191" t="s">
        <v>479</v>
      </c>
      <c r="BG654" s="55" t="s">
        <v>479</v>
      </c>
      <c r="BH654" s="226" t="s">
        <v>421</v>
      </c>
      <c r="BI654" s="55" t="s">
        <v>479</v>
      </c>
      <c r="BJ654" s="55" t="s">
        <v>479</v>
      </c>
      <c r="BK654" s="55" t="s">
        <v>5976</v>
      </c>
      <c r="BM654" s="192" t="s">
        <v>119</v>
      </c>
      <c r="BN654" s="55">
        <v>4</v>
      </c>
      <c r="BO654" s="55">
        <v>4</v>
      </c>
      <c r="BQ654" s="55" t="s">
        <v>315</v>
      </c>
      <c r="GD654" s="65">
        <v>0.113</v>
      </c>
      <c r="GE654" s="65">
        <v>0.114</v>
      </c>
      <c r="GH654" s="65" t="s">
        <v>423</v>
      </c>
      <c r="GP654" s="292" t="s">
        <v>7494</v>
      </c>
      <c r="HS654" s="227"/>
      <c r="HW654" s="227"/>
      <c r="JU654" s="55" t="s">
        <v>688</v>
      </c>
    </row>
    <row r="655" spans="1:281" x14ac:dyDescent="0.25">
      <c r="A655" s="55">
        <v>654</v>
      </c>
      <c r="B655" s="12" t="s">
        <v>7067</v>
      </c>
      <c r="C655" s="155">
        <v>30</v>
      </c>
      <c r="D655" s="55" t="s">
        <v>3799</v>
      </c>
      <c r="E655" s="90" t="s">
        <v>416</v>
      </c>
      <c r="G655" s="55" t="s">
        <v>417</v>
      </c>
      <c r="H655" s="55">
        <v>2002</v>
      </c>
      <c r="I655" s="55">
        <v>2000</v>
      </c>
      <c r="J655" s="55" t="s">
        <v>418</v>
      </c>
      <c r="K655" s="55" t="s">
        <v>419</v>
      </c>
      <c r="L655" s="55" t="s">
        <v>2737</v>
      </c>
      <c r="M655" s="90">
        <f>38+32/60</f>
        <v>38.533333333333331</v>
      </c>
      <c r="N655" s="90">
        <f>-121-47/60</f>
        <v>-121.78333333333333</v>
      </c>
      <c r="O655" s="90">
        <v>18.399999999999999</v>
      </c>
      <c r="S655" s="90">
        <v>483</v>
      </c>
      <c r="U655" s="55">
        <v>4</v>
      </c>
      <c r="V655" s="55" t="s">
        <v>1816</v>
      </c>
      <c r="Y655" s="55">
        <v>36566</v>
      </c>
      <c r="Z655" s="55" t="s">
        <v>1364</v>
      </c>
      <c r="AA655" s="90" t="s">
        <v>1685</v>
      </c>
      <c r="AE655" s="90">
        <v>36</v>
      </c>
      <c r="AF655" s="90">
        <v>46</v>
      </c>
      <c r="AH655" s="55" t="s">
        <v>139</v>
      </c>
      <c r="AM655" s="55" t="s">
        <v>1295</v>
      </c>
      <c r="AN655" s="185" t="s">
        <v>1497</v>
      </c>
      <c r="AO655" s="185" t="s">
        <v>5150</v>
      </c>
      <c r="AQ655" s="55" t="s">
        <v>553</v>
      </c>
      <c r="AR655" s="55" t="s">
        <v>1552</v>
      </c>
      <c r="AS655" s="55" t="s">
        <v>1577</v>
      </c>
      <c r="AT655" s="181" t="s">
        <v>420</v>
      </c>
      <c r="AU655" s="181" t="s">
        <v>5150</v>
      </c>
      <c r="AV655" s="185" t="s">
        <v>479</v>
      </c>
      <c r="AW655" s="55" t="s">
        <v>420</v>
      </c>
      <c r="AX655" s="185" t="s">
        <v>479</v>
      </c>
      <c r="AY655" s="55" t="s">
        <v>176</v>
      </c>
      <c r="BE655" s="226" t="s">
        <v>347</v>
      </c>
      <c r="BF655" s="191" t="s">
        <v>479</v>
      </c>
      <c r="BG655" s="55" t="s">
        <v>479</v>
      </c>
      <c r="BH655" s="226" t="s">
        <v>422</v>
      </c>
      <c r="BI655" s="55" t="s">
        <v>479</v>
      </c>
      <c r="BJ655" s="55" t="s">
        <v>479</v>
      </c>
      <c r="BK655" s="55" t="s">
        <v>5976</v>
      </c>
      <c r="BM655" s="192" t="s">
        <v>119</v>
      </c>
      <c r="BN655" s="55">
        <v>4</v>
      </c>
      <c r="BO655" s="55">
        <v>4</v>
      </c>
      <c r="BQ655" s="55" t="s">
        <v>315</v>
      </c>
      <c r="GD655" s="65">
        <v>0.113</v>
      </c>
      <c r="GE655" s="65">
        <v>0.112</v>
      </c>
      <c r="GH655" s="65" t="s">
        <v>423</v>
      </c>
      <c r="GP655" s="292" t="s">
        <v>7494</v>
      </c>
      <c r="HS655" s="227"/>
      <c r="HW655" s="227"/>
      <c r="JU655" s="55" t="s">
        <v>688</v>
      </c>
    </row>
    <row r="656" spans="1:281" x14ac:dyDescent="0.25">
      <c r="A656" s="55">
        <v>655</v>
      </c>
      <c r="B656" s="12" t="s">
        <v>7067</v>
      </c>
      <c r="C656" s="155">
        <v>30</v>
      </c>
      <c r="D656" s="55" t="s">
        <v>3799</v>
      </c>
      <c r="E656" s="90" t="s">
        <v>416</v>
      </c>
      <c r="G656" s="55" t="s">
        <v>417</v>
      </c>
      <c r="H656" s="55">
        <v>2002</v>
      </c>
      <c r="I656" s="55">
        <v>2000</v>
      </c>
      <c r="J656" s="55" t="s">
        <v>418</v>
      </c>
      <c r="K656" s="55" t="s">
        <v>419</v>
      </c>
      <c r="L656" s="55" t="s">
        <v>2737</v>
      </c>
      <c r="M656" s="90">
        <f>38+32/60</f>
        <v>38.533333333333331</v>
      </c>
      <c r="N656" s="90">
        <f>-121-47/60</f>
        <v>-121.78333333333333</v>
      </c>
      <c r="O656" s="90">
        <v>18.399999999999999</v>
      </c>
      <c r="S656" s="90">
        <v>483</v>
      </c>
      <c r="U656" s="55">
        <v>4</v>
      </c>
      <c r="V656" s="55" t="s">
        <v>1816</v>
      </c>
      <c r="Y656" s="55">
        <v>36572</v>
      </c>
      <c r="Z656" s="55" t="s">
        <v>1364</v>
      </c>
      <c r="AA656" s="90" t="s">
        <v>1685</v>
      </c>
      <c r="AE656" s="90">
        <v>36</v>
      </c>
      <c r="AF656" s="90">
        <v>46</v>
      </c>
      <c r="AH656" s="55" t="s">
        <v>139</v>
      </c>
      <c r="AM656" s="55" t="s">
        <v>1295</v>
      </c>
      <c r="AN656" s="185" t="s">
        <v>1497</v>
      </c>
      <c r="AO656" s="185" t="s">
        <v>5150</v>
      </c>
      <c r="AQ656" s="55" t="s">
        <v>553</v>
      </c>
      <c r="AR656" s="55" t="s">
        <v>1552</v>
      </c>
      <c r="AS656" s="55" t="s">
        <v>1577</v>
      </c>
      <c r="AT656" s="181" t="s">
        <v>420</v>
      </c>
      <c r="AU656" s="181" t="s">
        <v>5150</v>
      </c>
      <c r="AV656" s="185" t="s">
        <v>479</v>
      </c>
      <c r="AW656" s="55" t="s">
        <v>420</v>
      </c>
      <c r="AX656" s="185" t="s">
        <v>479</v>
      </c>
      <c r="AY656" s="55" t="s">
        <v>176</v>
      </c>
      <c r="BE656" s="226" t="s">
        <v>347</v>
      </c>
      <c r="BF656" s="191" t="s">
        <v>479</v>
      </c>
      <c r="BG656" s="55" t="s">
        <v>479</v>
      </c>
      <c r="BH656" s="226" t="s">
        <v>421</v>
      </c>
      <c r="BI656" s="55" t="s">
        <v>479</v>
      </c>
      <c r="BJ656" s="55" t="s">
        <v>479</v>
      </c>
      <c r="BK656" s="55" t="s">
        <v>5976</v>
      </c>
      <c r="BM656" s="192" t="s">
        <v>119</v>
      </c>
      <c r="BN656" s="55">
        <v>4</v>
      </c>
      <c r="BO656" s="55">
        <v>4</v>
      </c>
      <c r="BQ656" s="55" t="s">
        <v>315</v>
      </c>
      <c r="GD656" s="65">
        <v>0.1318</v>
      </c>
      <c r="GE656" s="65">
        <v>0.1318</v>
      </c>
      <c r="GH656" s="65" t="s">
        <v>423</v>
      </c>
      <c r="GP656" s="292" t="s">
        <v>7494</v>
      </c>
      <c r="HS656" s="227"/>
      <c r="HW656" s="227"/>
      <c r="JU656" s="55" t="s">
        <v>688</v>
      </c>
    </row>
    <row r="657" spans="1:281" x14ac:dyDescent="0.25">
      <c r="A657" s="55">
        <v>656</v>
      </c>
      <c r="B657" s="12" t="s">
        <v>7067</v>
      </c>
      <c r="C657" s="155">
        <v>30</v>
      </c>
      <c r="D657" s="55" t="s">
        <v>3799</v>
      </c>
      <c r="E657" s="90" t="s">
        <v>416</v>
      </c>
      <c r="G657" s="55" t="s">
        <v>417</v>
      </c>
      <c r="H657" s="55">
        <v>2002</v>
      </c>
      <c r="I657" s="55">
        <v>2000</v>
      </c>
      <c r="J657" s="55" t="s">
        <v>418</v>
      </c>
      <c r="K657" s="55" t="s">
        <v>419</v>
      </c>
      <c r="L657" s="55" t="s">
        <v>2737</v>
      </c>
      <c r="M657" s="90">
        <f>38+32/60</f>
        <v>38.533333333333331</v>
      </c>
      <c r="N657" s="90">
        <f>-121-47/60</f>
        <v>-121.78333333333333</v>
      </c>
      <c r="O657" s="90">
        <v>18.399999999999999</v>
      </c>
      <c r="S657" s="90">
        <v>483</v>
      </c>
      <c r="U657" s="55">
        <v>4</v>
      </c>
      <c r="V657" s="55" t="s">
        <v>1816</v>
      </c>
      <c r="Y657" s="55">
        <v>36572</v>
      </c>
      <c r="Z657" s="55" t="s">
        <v>1364</v>
      </c>
      <c r="AA657" s="90" t="s">
        <v>1685</v>
      </c>
      <c r="AE657" s="90">
        <v>36</v>
      </c>
      <c r="AF657" s="90">
        <v>46</v>
      </c>
      <c r="AH657" s="55" t="s">
        <v>139</v>
      </c>
      <c r="AM657" s="55" t="s">
        <v>1295</v>
      </c>
      <c r="AN657" s="185" t="s">
        <v>1497</v>
      </c>
      <c r="AO657" s="185" t="s">
        <v>5150</v>
      </c>
      <c r="AQ657" s="55" t="s">
        <v>553</v>
      </c>
      <c r="AR657" s="55" t="s">
        <v>1552</v>
      </c>
      <c r="AS657" s="55" t="s">
        <v>1577</v>
      </c>
      <c r="AT657" s="181" t="s">
        <v>420</v>
      </c>
      <c r="AU657" s="181" t="s">
        <v>5150</v>
      </c>
      <c r="AV657" s="185" t="s">
        <v>479</v>
      </c>
      <c r="AW657" s="55" t="s">
        <v>420</v>
      </c>
      <c r="AX657" s="185" t="s">
        <v>479</v>
      </c>
      <c r="AY657" s="55" t="s">
        <v>176</v>
      </c>
      <c r="BE657" s="226" t="s">
        <v>347</v>
      </c>
      <c r="BF657" s="191" t="s">
        <v>479</v>
      </c>
      <c r="BG657" s="55" t="s">
        <v>479</v>
      </c>
      <c r="BH657" s="226" t="s">
        <v>422</v>
      </c>
      <c r="BI657" s="55" t="s">
        <v>479</v>
      </c>
      <c r="BJ657" s="55" t="s">
        <v>479</v>
      </c>
      <c r="BK657" s="55" t="s">
        <v>5976</v>
      </c>
      <c r="BM657" s="192" t="s">
        <v>119</v>
      </c>
      <c r="BN657" s="55">
        <v>4</v>
      </c>
      <c r="BO657" s="55">
        <v>4</v>
      </c>
      <c r="BQ657" s="55" t="s">
        <v>315</v>
      </c>
      <c r="GD657" s="65">
        <v>0.1318</v>
      </c>
      <c r="GE657" s="65">
        <v>0.14699999999999999</v>
      </c>
      <c r="GH657" s="65" t="s">
        <v>423</v>
      </c>
      <c r="GP657" s="292" t="s">
        <v>7494</v>
      </c>
      <c r="HS657" s="227"/>
      <c r="HW657" s="227"/>
      <c r="JU657" s="55" t="s">
        <v>688</v>
      </c>
    </row>
    <row r="658" spans="1:281" x14ac:dyDescent="0.25">
      <c r="A658" s="55">
        <v>657</v>
      </c>
      <c r="B658" s="12" t="s">
        <v>7067</v>
      </c>
      <c r="C658" s="155">
        <v>30</v>
      </c>
      <c r="D658" s="55" t="s">
        <v>3799</v>
      </c>
      <c r="E658" s="90" t="s">
        <v>416</v>
      </c>
      <c r="G658" s="55" t="s">
        <v>417</v>
      </c>
      <c r="H658" s="55">
        <v>2002</v>
      </c>
      <c r="I658" s="55">
        <v>2000</v>
      </c>
      <c r="J658" s="55" t="s">
        <v>418</v>
      </c>
      <c r="K658" s="55" t="s">
        <v>419</v>
      </c>
      <c r="L658" s="55" t="s">
        <v>2737</v>
      </c>
      <c r="M658" s="90">
        <f>38+32/60</f>
        <v>38.533333333333331</v>
      </c>
      <c r="N658" s="90">
        <f>-121-47/60</f>
        <v>-121.78333333333333</v>
      </c>
      <c r="O658" s="90">
        <v>18.399999999999999</v>
      </c>
      <c r="S658" s="90">
        <v>483</v>
      </c>
      <c r="U658" s="55">
        <v>4</v>
      </c>
      <c r="V658" s="55" t="s">
        <v>1816</v>
      </c>
      <c r="Y658" s="55">
        <v>36582</v>
      </c>
      <c r="Z658" s="55" t="s">
        <v>1364</v>
      </c>
      <c r="AA658" s="90" t="s">
        <v>1685</v>
      </c>
      <c r="AE658" s="90">
        <v>36</v>
      </c>
      <c r="AF658" s="90">
        <v>46</v>
      </c>
      <c r="AH658" s="55" t="s">
        <v>139</v>
      </c>
      <c r="AM658" s="55" t="s">
        <v>1295</v>
      </c>
      <c r="AN658" s="185" t="s">
        <v>1497</v>
      </c>
      <c r="AO658" s="185" t="s">
        <v>5150</v>
      </c>
      <c r="AQ658" s="55" t="s">
        <v>553</v>
      </c>
      <c r="AR658" s="55" t="s">
        <v>1552</v>
      </c>
      <c r="AS658" s="55" t="s">
        <v>1577</v>
      </c>
      <c r="AT658" s="181" t="s">
        <v>420</v>
      </c>
      <c r="AU658" s="181" t="s">
        <v>5150</v>
      </c>
      <c r="AV658" s="185" t="s">
        <v>479</v>
      </c>
      <c r="AW658" s="55" t="s">
        <v>420</v>
      </c>
      <c r="AX658" s="185" t="s">
        <v>479</v>
      </c>
      <c r="AY658" s="55" t="s">
        <v>176</v>
      </c>
      <c r="BE658" s="226" t="s">
        <v>347</v>
      </c>
      <c r="BF658" s="191" t="s">
        <v>479</v>
      </c>
      <c r="BG658" s="55" t="s">
        <v>479</v>
      </c>
      <c r="BH658" s="226" t="s">
        <v>421</v>
      </c>
      <c r="BI658" s="55" t="s">
        <v>479</v>
      </c>
      <c r="BJ658" s="55" t="s">
        <v>479</v>
      </c>
      <c r="BK658" s="55" t="s">
        <v>5976</v>
      </c>
      <c r="BM658" s="192" t="s">
        <v>119</v>
      </c>
      <c r="BN658" s="55">
        <v>4</v>
      </c>
      <c r="BO658" s="55">
        <v>4</v>
      </c>
      <c r="BQ658" s="55" t="s">
        <v>315</v>
      </c>
      <c r="GD658" s="65">
        <v>0.14610000000000001</v>
      </c>
      <c r="GE658" s="65">
        <v>0.16400000000000001</v>
      </c>
      <c r="GH658" s="65" t="s">
        <v>423</v>
      </c>
      <c r="GP658" s="292" t="s">
        <v>7494</v>
      </c>
      <c r="HS658" s="227"/>
      <c r="HW658" s="227"/>
      <c r="JU658" s="55" t="s">
        <v>688</v>
      </c>
    </row>
    <row r="659" spans="1:281" x14ac:dyDescent="0.25">
      <c r="A659" s="55">
        <v>658</v>
      </c>
      <c r="B659" s="12" t="s">
        <v>7067</v>
      </c>
      <c r="C659" s="155">
        <v>30</v>
      </c>
      <c r="D659" s="55" t="s">
        <v>3799</v>
      </c>
      <c r="E659" s="90" t="s">
        <v>416</v>
      </c>
      <c r="G659" s="55" t="s">
        <v>417</v>
      </c>
      <c r="H659" s="55">
        <v>2002</v>
      </c>
      <c r="I659" s="55">
        <v>2000</v>
      </c>
      <c r="J659" s="55" t="s">
        <v>418</v>
      </c>
      <c r="K659" s="55" t="s">
        <v>419</v>
      </c>
      <c r="L659" s="55" t="s">
        <v>2737</v>
      </c>
      <c r="M659" s="90">
        <f>38+32/60</f>
        <v>38.533333333333331</v>
      </c>
      <c r="N659" s="90">
        <f>-121-47/60</f>
        <v>-121.78333333333333</v>
      </c>
      <c r="O659" s="90">
        <v>18.399999999999999</v>
      </c>
      <c r="S659" s="90">
        <v>483</v>
      </c>
      <c r="U659" s="55">
        <v>4</v>
      </c>
      <c r="V659" s="55" t="s">
        <v>1816</v>
      </c>
      <c r="Y659" s="55">
        <v>36582</v>
      </c>
      <c r="Z659" s="55" t="s">
        <v>1364</v>
      </c>
      <c r="AA659" s="90" t="s">
        <v>1685</v>
      </c>
      <c r="AE659" s="90">
        <v>36</v>
      </c>
      <c r="AF659" s="90">
        <v>46</v>
      </c>
      <c r="AH659" s="55" t="s">
        <v>139</v>
      </c>
      <c r="AM659" s="55" t="s">
        <v>1295</v>
      </c>
      <c r="AN659" s="185" t="s">
        <v>1497</v>
      </c>
      <c r="AO659" s="185" t="s">
        <v>5150</v>
      </c>
      <c r="AQ659" s="55" t="s">
        <v>553</v>
      </c>
      <c r="AR659" s="55" t="s">
        <v>1552</v>
      </c>
      <c r="AS659" s="55" t="s">
        <v>1577</v>
      </c>
      <c r="AT659" s="181" t="s">
        <v>420</v>
      </c>
      <c r="AU659" s="181" t="s">
        <v>5150</v>
      </c>
      <c r="AV659" s="185" t="s">
        <v>479</v>
      </c>
      <c r="AW659" s="55" t="s">
        <v>420</v>
      </c>
      <c r="AX659" s="185" t="s">
        <v>479</v>
      </c>
      <c r="AY659" s="55" t="s">
        <v>176</v>
      </c>
      <c r="BE659" s="226" t="s">
        <v>347</v>
      </c>
      <c r="BF659" s="191" t="s">
        <v>479</v>
      </c>
      <c r="BG659" s="55" t="s">
        <v>479</v>
      </c>
      <c r="BH659" s="226" t="s">
        <v>422</v>
      </c>
      <c r="BI659" s="55" t="s">
        <v>479</v>
      </c>
      <c r="BJ659" s="55" t="s">
        <v>479</v>
      </c>
      <c r="BK659" s="55" t="s">
        <v>5976</v>
      </c>
      <c r="BM659" s="192" t="s">
        <v>119</v>
      </c>
      <c r="BN659" s="55">
        <v>4</v>
      </c>
      <c r="BO659" s="55">
        <v>4</v>
      </c>
      <c r="BQ659" s="55" t="s">
        <v>315</v>
      </c>
      <c r="GD659" s="65">
        <v>0.14610000000000001</v>
      </c>
      <c r="GE659" s="65">
        <v>0.1658</v>
      </c>
      <c r="GH659" s="65" t="s">
        <v>423</v>
      </c>
      <c r="GP659" s="292" t="s">
        <v>7494</v>
      </c>
      <c r="HS659" s="227"/>
      <c r="HW659" s="227"/>
      <c r="JU659" s="55" t="s">
        <v>688</v>
      </c>
    </row>
    <row r="660" spans="1:281" x14ac:dyDescent="0.25">
      <c r="A660" s="55">
        <v>659</v>
      </c>
      <c r="B660" s="12" t="s">
        <v>7067</v>
      </c>
      <c r="C660" s="155">
        <v>30</v>
      </c>
      <c r="D660" s="55" t="s">
        <v>3799</v>
      </c>
      <c r="E660" s="90" t="s">
        <v>416</v>
      </c>
      <c r="G660" s="55" t="s">
        <v>417</v>
      </c>
      <c r="H660" s="55">
        <v>2002</v>
      </c>
      <c r="I660" s="55">
        <v>2000</v>
      </c>
      <c r="J660" s="55" t="s">
        <v>418</v>
      </c>
      <c r="K660" s="55" t="s">
        <v>419</v>
      </c>
      <c r="L660" s="55" t="s">
        <v>2737</v>
      </c>
      <c r="M660" s="90">
        <f>38+32/60</f>
        <v>38.533333333333331</v>
      </c>
      <c r="N660" s="90">
        <f>-121-47/60</f>
        <v>-121.78333333333333</v>
      </c>
      <c r="O660" s="90">
        <v>18.399999999999999</v>
      </c>
      <c r="S660" s="90">
        <v>483</v>
      </c>
      <c r="U660" s="55">
        <v>4</v>
      </c>
      <c r="V660" s="55" t="s">
        <v>1816</v>
      </c>
      <c r="Y660" s="55">
        <v>36587</v>
      </c>
      <c r="Z660" s="55" t="s">
        <v>1364</v>
      </c>
      <c r="AA660" s="90" t="s">
        <v>1685</v>
      </c>
      <c r="AE660" s="90">
        <v>36</v>
      </c>
      <c r="AF660" s="90">
        <v>46</v>
      </c>
      <c r="AH660" s="55" t="s">
        <v>139</v>
      </c>
      <c r="AM660" s="55" t="s">
        <v>1295</v>
      </c>
      <c r="AN660" s="185" t="s">
        <v>1497</v>
      </c>
      <c r="AO660" s="185" t="s">
        <v>5150</v>
      </c>
      <c r="AQ660" s="55" t="s">
        <v>553</v>
      </c>
      <c r="AR660" s="55" t="s">
        <v>1552</v>
      </c>
      <c r="AS660" s="55" t="s">
        <v>1577</v>
      </c>
      <c r="AT660" s="181" t="s">
        <v>420</v>
      </c>
      <c r="AU660" s="181" t="s">
        <v>5150</v>
      </c>
      <c r="AV660" s="185" t="s">
        <v>479</v>
      </c>
      <c r="AW660" s="55" t="s">
        <v>420</v>
      </c>
      <c r="AX660" s="185" t="s">
        <v>479</v>
      </c>
      <c r="AY660" s="55" t="s">
        <v>176</v>
      </c>
      <c r="BE660" s="226" t="s">
        <v>347</v>
      </c>
      <c r="BF660" s="191" t="s">
        <v>479</v>
      </c>
      <c r="BG660" s="55" t="s">
        <v>479</v>
      </c>
      <c r="BH660" s="226" t="s">
        <v>421</v>
      </c>
      <c r="BI660" s="55" t="s">
        <v>479</v>
      </c>
      <c r="BJ660" s="55" t="s">
        <v>479</v>
      </c>
      <c r="BK660" s="55" t="s">
        <v>5976</v>
      </c>
      <c r="BM660" s="192" t="s">
        <v>119</v>
      </c>
      <c r="BN660" s="55">
        <v>4</v>
      </c>
      <c r="BO660" s="55">
        <v>4</v>
      </c>
      <c r="BQ660" s="55" t="s">
        <v>315</v>
      </c>
      <c r="GD660" s="65">
        <v>0.15140000000000001</v>
      </c>
      <c r="GE660" s="65">
        <v>0.18720000000000001</v>
      </c>
      <c r="GH660" s="65" t="s">
        <v>423</v>
      </c>
      <c r="GP660" s="292" t="s">
        <v>7494</v>
      </c>
      <c r="HS660" s="227"/>
      <c r="HW660" s="227"/>
      <c r="JU660" s="55" t="s">
        <v>688</v>
      </c>
    </row>
    <row r="661" spans="1:281" x14ac:dyDescent="0.25">
      <c r="A661" s="55">
        <v>660</v>
      </c>
      <c r="B661" s="12" t="s">
        <v>7067</v>
      </c>
      <c r="C661" s="155">
        <v>30</v>
      </c>
      <c r="D661" s="55" t="s">
        <v>3799</v>
      </c>
      <c r="E661" s="90" t="s">
        <v>416</v>
      </c>
      <c r="G661" s="55" t="s">
        <v>417</v>
      </c>
      <c r="H661" s="55">
        <v>2002</v>
      </c>
      <c r="I661" s="55">
        <v>2000</v>
      </c>
      <c r="J661" s="55" t="s">
        <v>418</v>
      </c>
      <c r="K661" s="55" t="s">
        <v>419</v>
      </c>
      <c r="L661" s="55" t="s">
        <v>2737</v>
      </c>
      <c r="M661" s="90">
        <f>38+32/60</f>
        <v>38.533333333333331</v>
      </c>
      <c r="N661" s="90">
        <f>-121-47/60</f>
        <v>-121.78333333333333</v>
      </c>
      <c r="O661" s="90">
        <v>18.399999999999999</v>
      </c>
      <c r="S661" s="90">
        <v>483</v>
      </c>
      <c r="U661" s="55">
        <v>4</v>
      </c>
      <c r="V661" s="55" t="s">
        <v>1816</v>
      </c>
      <c r="Y661" s="55">
        <v>36587</v>
      </c>
      <c r="Z661" s="55" t="s">
        <v>1364</v>
      </c>
      <c r="AA661" s="90" t="s">
        <v>1685</v>
      </c>
      <c r="AE661" s="90">
        <v>36</v>
      </c>
      <c r="AF661" s="90">
        <v>46</v>
      </c>
      <c r="AH661" s="55" t="s">
        <v>139</v>
      </c>
      <c r="AM661" s="55" t="s">
        <v>1295</v>
      </c>
      <c r="AN661" s="185" t="s">
        <v>1497</v>
      </c>
      <c r="AO661" s="185" t="s">
        <v>5150</v>
      </c>
      <c r="AQ661" s="55" t="s">
        <v>553</v>
      </c>
      <c r="AR661" s="55" t="s">
        <v>1552</v>
      </c>
      <c r="AS661" s="55" t="s">
        <v>1577</v>
      </c>
      <c r="AT661" s="181" t="s">
        <v>420</v>
      </c>
      <c r="AU661" s="181" t="s">
        <v>5150</v>
      </c>
      <c r="AV661" s="185" t="s">
        <v>479</v>
      </c>
      <c r="AW661" s="55" t="s">
        <v>420</v>
      </c>
      <c r="AX661" s="185" t="s">
        <v>479</v>
      </c>
      <c r="AY661" s="55" t="s">
        <v>176</v>
      </c>
      <c r="BE661" s="226" t="s">
        <v>347</v>
      </c>
      <c r="BF661" s="191" t="s">
        <v>479</v>
      </c>
      <c r="BG661" s="55" t="s">
        <v>479</v>
      </c>
      <c r="BH661" s="226" t="s">
        <v>422</v>
      </c>
      <c r="BI661" s="55" t="s">
        <v>479</v>
      </c>
      <c r="BJ661" s="55" t="s">
        <v>479</v>
      </c>
      <c r="BK661" s="55" t="s">
        <v>5976</v>
      </c>
      <c r="BM661" s="192" t="s">
        <v>119</v>
      </c>
      <c r="BN661" s="55">
        <v>4</v>
      </c>
      <c r="BO661" s="55">
        <v>4</v>
      </c>
      <c r="BQ661" s="55" t="s">
        <v>315</v>
      </c>
      <c r="GD661" s="65">
        <v>0.15140000000000001</v>
      </c>
      <c r="GE661" s="65">
        <v>0.1792</v>
      </c>
      <c r="GH661" s="65" t="s">
        <v>423</v>
      </c>
      <c r="GP661" s="292" t="s">
        <v>7494</v>
      </c>
      <c r="HS661" s="227"/>
      <c r="HW661" s="227"/>
      <c r="JU661" s="55" t="s">
        <v>688</v>
      </c>
    </row>
    <row r="662" spans="1:281" x14ac:dyDescent="0.25">
      <c r="A662" s="55">
        <v>661</v>
      </c>
      <c r="B662" s="12" t="s">
        <v>7067</v>
      </c>
      <c r="C662" s="155">
        <v>30</v>
      </c>
      <c r="D662" s="55" t="s">
        <v>3799</v>
      </c>
      <c r="E662" s="90" t="s">
        <v>416</v>
      </c>
      <c r="G662" s="55" t="s">
        <v>417</v>
      </c>
      <c r="H662" s="55">
        <v>2002</v>
      </c>
      <c r="I662" s="55">
        <v>2000</v>
      </c>
      <c r="J662" s="55" t="s">
        <v>418</v>
      </c>
      <c r="K662" s="55" t="s">
        <v>419</v>
      </c>
      <c r="L662" s="55" t="s">
        <v>2737</v>
      </c>
      <c r="M662" s="90">
        <f>38+32/60</f>
        <v>38.533333333333331</v>
      </c>
      <c r="N662" s="90">
        <f>-121-47/60</f>
        <v>-121.78333333333333</v>
      </c>
      <c r="O662" s="90">
        <v>18.399999999999999</v>
      </c>
      <c r="S662" s="90">
        <v>483</v>
      </c>
      <c r="U662" s="55">
        <v>4</v>
      </c>
      <c r="V662" s="55" t="s">
        <v>1816</v>
      </c>
      <c r="Y662" s="55">
        <v>36598</v>
      </c>
      <c r="Z662" s="55" t="s">
        <v>1364</v>
      </c>
      <c r="AA662" s="90" t="s">
        <v>1685</v>
      </c>
      <c r="AE662" s="90">
        <v>36</v>
      </c>
      <c r="AF662" s="90">
        <v>46</v>
      </c>
      <c r="AH662" s="55" t="s">
        <v>139</v>
      </c>
      <c r="AM662" s="55" t="s">
        <v>1295</v>
      </c>
      <c r="AN662" s="185" t="s">
        <v>1497</v>
      </c>
      <c r="AO662" s="185" t="s">
        <v>5150</v>
      </c>
      <c r="AQ662" s="55" t="s">
        <v>553</v>
      </c>
      <c r="AR662" s="55" t="s">
        <v>1552</v>
      </c>
      <c r="AS662" s="55" t="s">
        <v>1577</v>
      </c>
      <c r="AT662" s="181" t="s">
        <v>420</v>
      </c>
      <c r="AU662" s="181" t="s">
        <v>5150</v>
      </c>
      <c r="AV662" s="185" t="s">
        <v>479</v>
      </c>
      <c r="AW662" s="55" t="s">
        <v>420</v>
      </c>
      <c r="AX662" s="185" t="s">
        <v>479</v>
      </c>
      <c r="AY662" s="55" t="s">
        <v>176</v>
      </c>
      <c r="BE662" s="226" t="s">
        <v>347</v>
      </c>
      <c r="BF662" s="191" t="s">
        <v>479</v>
      </c>
      <c r="BG662" s="55" t="s">
        <v>479</v>
      </c>
      <c r="BH662" s="226" t="s">
        <v>421</v>
      </c>
      <c r="BI662" s="55" t="s">
        <v>479</v>
      </c>
      <c r="BJ662" s="55" t="s">
        <v>479</v>
      </c>
      <c r="BK662" s="55" t="s">
        <v>5976</v>
      </c>
      <c r="BM662" s="192" t="s">
        <v>119</v>
      </c>
      <c r="BN662" s="55">
        <v>4</v>
      </c>
      <c r="BO662" s="55">
        <v>4</v>
      </c>
      <c r="BQ662" s="55" t="s">
        <v>315</v>
      </c>
      <c r="GD662" s="65">
        <v>0.14960000000000001</v>
      </c>
      <c r="GE662" s="65">
        <v>0.1953</v>
      </c>
      <c r="GH662" s="65" t="s">
        <v>423</v>
      </c>
      <c r="GP662" s="292" t="s">
        <v>7494</v>
      </c>
      <c r="HS662" s="227"/>
      <c r="HW662" s="227"/>
      <c r="JU662" s="55" t="s">
        <v>688</v>
      </c>
    </row>
    <row r="663" spans="1:281" x14ac:dyDescent="0.25">
      <c r="A663" s="55">
        <v>662</v>
      </c>
      <c r="B663" s="12" t="s">
        <v>7067</v>
      </c>
      <c r="C663" s="155">
        <v>30</v>
      </c>
      <c r="D663" s="55" t="s">
        <v>3799</v>
      </c>
      <c r="E663" s="90" t="s">
        <v>416</v>
      </c>
      <c r="G663" s="55" t="s">
        <v>417</v>
      </c>
      <c r="H663" s="55">
        <v>2002</v>
      </c>
      <c r="I663" s="55">
        <v>2000</v>
      </c>
      <c r="J663" s="55" t="s">
        <v>418</v>
      </c>
      <c r="K663" s="55" t="s">
        <v>419</v>
      </c>
      <c r="L663" s="55" t="s">
        <v>2737</v>
      </c>
      <c r="M663" s="90">
        <f>38+32/60</f>
        <v>38.533333333333331</v>
      </c>
      <c r="N663" s="90">
        <f>-121-47/60</f>
        <v>-121.78333333333333</v>
      </c>
      <c r="O663" s="90">
        <v>18.399999999999999</v>
      </c>
      <c r="S663" s="90">
        <v>483</v>
      </c>
      <c r="U663" s="55">
        <v>4</v>
      </c>
      <c r="V663" s="55" t="s">
        <v>1816</v>
      </c>
      <c r="Y663" s="55">
        <v>36598</v>
      </c>
      <c r="Z663" s="55" t="s">
        <v>1364</v>
      </c>
      <c r="AA663" s="90" t="s">
        <v>1685</v>
      </c>
      <c r="AE663" s="90">
        <v>36</v>
      </c>
      <c r="AF663" s="90">
        <v>46</v>
      </c>
      <c r="AH663" s="55" t="s">
        <v>139</v>
      </c>
      <c r="AM663" s="55" t="s">
        <v>1295</v>
      </c>
      <c r="AN663" s="185" t="s">
        <v>1497</v>
      </c>
      <c r="AO663" s="185" t="s">
        <v>5150</v>
      </c>
      <c r="AQ663" s="55" t="s">
        <v>553</v>
      </c>
      <c r="AR663" s="55" t="s">
        <v>1552</v>
      </c>
      <c r="AS663" s="55" t="s">
        <v>1577</v>
      </c>
      <c r="AT663" s="181" t="s">
        <v>420</v>
      </c>
      <c r="AU663" s="181" t="s">
        <v>5150</v>
      </c>
      <c r="AV663" s="185" t="s">
        <v>479</v>
      </c>
      <c r="AW663" s="55" t="s">
        <v>420</v>
      </c>
      <c r="AX663" s="185" t="s">
        <v>479</v>
      </c>
      <c r="AY663" s="55" t="s">
        <v>176</v>
      </c>
      <c r="BE663" s="226" t="s">
        <v>347</v>
      </c>
      <c r="BF663" s="191" t="s">
        <v>479</v>
      </c>
      <c r="BG663" s="55" t="s">
        <v>479</v>
      </c>
      <c r="BH663" s="226" t="s">
        <v>422</v>
      </c>
      <c r="BI663" s="55" t="s">
        <v>479</v>
      </c>
      <c r="BJ663" s="55" t="s">
        <v>479</v>
      </c>
      <c r="BK663" s="55" t="s">
        <v>5976</v>
      </c>
      <c r="BM663" s="192" t="s">
        <v>119</v>
      </c>
      <c r="BN663" s="55">
        <v>4</v>
      </c>
      <c r="BO663" s="55">
        <v>4</v>
      </c>
      <c r="BQ663" s="55" t="s">
        <v>315</v>
      </c>
      <c r="GD663" s="65">
        <v>0.14960000000000001</v>
      </c>
      <c r="GE663" s="65">
        <v>0.18540000000000001</v>
      </c>
      <c r="GH663" s="65" t="s">
        <v>423</v>
      </c>
      <c r="GP663" s="292" t="s">
        <v>7494</v>
      </c>
      <c r="HS663" s="227"/>
      <c r="HW663" s="227"/>
      <c r="JU663" s="55" t="s">
        <v>688</v>
      </c>
    </row>
    <row r="664" spans="1:281" x14ac:dyDescent="0.25">
      <c r="A664" s="55">
        <v>663</v>
      </c>
      <c r="B664" s="12" t="s">
        <v>7067</v>
      </c>
      <c r="C664" s="155">
        <v>30</v>
      </c>
      <c r="D664" s="55" t="s">
        <v>3800</v>
      </c>
      <c r="E664" s="90" t="s">
        <v>416</v>
      </c>
      <c r="G664" s="55" t="s">
        <v>417</v>
      </c>
      <c r="H664" s="55">
        <v>2002</v>
      </c>
      <c r="I664" s="55">
        <v>1998</v>
      </c>
      <c r="J664" s="55" t="s">
        <v>418</v>
      </c>
      <c r="K664" s="55" t="s">
        <v>419</v>
      </c>
      <c r="L664" s="55" t="s">
        <v>2737</v>
      </c>
      <c r="M664" s="90">
        <f>38+32/60</f>
        <v>38.533333333333331</v>
      </c>
      <c r="N664" s="90">
        <f>-121-47/60</f>
        <v>-121.78333333333333</v>
      </c>
      <c r="O664" s="90">
        <v>18.399999999999999</v>
      </c>
      <c r="S664" s="90">
        <v>483</v>
      </c>
      <c r="U664" s="55">
        <v>2</v>
      </c>
      <c r="V664" s="55" t="s">
        <v>1816</v>
      </c>
      <c r="Y664" s="55">
        <v>36145</v>
      </c>
      <c r="Z664" s="55" t="s">
        <v>1365</v>
      </c>
      <c r="AA664" s="90" t="s">
        <v>1685</v>
      </c>
      <c r="AE664" s="90">
        <v>36</v>
      </c>
      <c r="AF664" s="90">
        <v>46</v>
      </c>
      <c r="AH664" s="55" t="s">
        <v>139</v>
      </c>
      <c r="AM664" s="55" t="s">
        <v>1295</v>
      </c>
      <c r="AN664" s="185" t="s">
        <v>1497</v>
      </c>
      <c r="AO664" s="185" t="s">
        <v>5150</v>
      </c>
      <c r="AQ664" s="55" t="s">
        <v>553</v>
      </c>
      <c r="AR664" s="55" t="s">
        <v>1552</v>
      </c>
      <c r="AS664" s="55" t="s">
        <v>1577</v>
      </c>
      <c r="AT664" s="181" t="s">
        <v>420</v>
      </c>
      <c r="AU664" s="181" t="s">
        <v>5150</v>
      </c>
      <c r="AV664" s="185" t="s">
        <v>479</v>
      </c>
      <c r="AW664" s="55" t="s">
        <v>420</v>
      </c>
      <c r="AX664" s="185" t="s">
        <v>479</v>
      </c>
      <c r="AY664" s="55" t="s">
        <v>176</v>
      </c>
      <c r="BE664" s="226" t="s">
        <v>347</v>
      </c>
      <c r="BF664" s="191" t="s">
        <v>479</v>
      </c>
      <c r="BG664" s="55" t="s">
        <v>479</v>
      </c>
      <c r="BH664" s="226" t="s">
        <v>421</v>
      </c>
      <c r="BI664" s="55" t="s">
        <v>479</v>
      </c>
      <c r="BJ664" s="55" t="s">
        <v>479</v>
      </c>
      <c r="BK664" s="55" t="s">
        <v>5976</v>
      </c>
      <c r="BM664" s="192" t="s">
        <v>119</v>
      </c>
      <c r="BN664" s="55">
        <v>4</v>
      </c>
      <c r="BO664" s="55">
        <v>4</v>
      </c>
      <c r="BQ664" s="55" t="s">
        <v>315</v>
      </c>
      <c r="GD664" s="65">
        <v>0.14299999999999999</v>
      </c>
      <c r="GE664" s="65">
        <v>0.19539999999999999</v>
      </c>
      <c r="GH664" s="65" t="s">
        <v>423</v>
      </c>
      <c r="GP664" s="292" t="s">
        <v>7494</v>
      </c>
      <c r="HS664" s="227"/>
      <c r="HW664" s="227"/>
      <c r="JU664" s="55" t="s">
        <v>688</v>
      </c>
    </row>
    <row r="665" spans="1:281" x14ac:dyDescent="0.25">
      <c r="A665" s="55">
        <v>664</v>
      </c>
      <c r="B665" s="12" t="s">
        <v>7067</v>
      </c>
      <c r="C665" s="155">
        <v>30</v>
      </c>
      <c r="D665" s="55" t="s">
        <v>3800</v>
      </c>
      <c r="E665" s="90" t="s">
        <v>416</v>
      </c>
      <c r="G665" s="55" t="s">
        <v>417</v>
      </c>
      <c r="H665" s="55">
        <v>2002</v>
      </c>
      <c r="I665" s="55">
        <v>1998</v>
      </c>
      <c r="J665" s="55" t="s">
        <v>418</v>
      </c>
      <c r="K665" s="55" t="s">
        <v>419</v>
      </c>
      <c r="L665" s="55" t="s">
        <v>2737</v>
      </c>
      <c r="M665" s="90">
        <f>38+32/60</f>
        <v>38.533333333333331</v>
      </c>
      <c r="N665" s="90">
        <f>-121-47/60</f>
        <v>-121.78333333333333</v>
      </c>
      <c r="O665" s="90">
        <v>18.399999999999999</v>
      </c>
      <c r="S665" s="90">
        <v>483</v>
      </c>
      <c r="U665" s="55">
        <v>2</v>
      </c>
      <c r="V665" s="55" t="s">
        <v>1816</v>
      </c>
      <c r="Y665" s="55">
        <v>36145</v>
      </c>
      <c r="Z665" s="55" t="s">
        <v>1365</v>
      </c>
      <c r="AA665" s="90" t="s">
        <v>1685</v>
      </c>
      <c r="AE665" s="90">
        <v>36</v>
      </c>
      <c r="AF665" s="90">
        <v>46</v>
      </c>
      <c r="AH665" s="55" t="s">
        <v>139</v>
      </c>
      <c r="AM665" s="55" t="s">
        <v>1295</v>
      </c>
      <c r="AN665" s="185" t="s">
        <v>1497</v>
      </c>
      <c r="AO665" s="185" t="s">
        <v>5150</v>
      </c>
      <c r="AQ665" s="55" t="s">
        <v>553</v>
      </c>
      <c r="AR665" s="55" t="s">
        <v>1552</v>
      </c>
      <c r="AS665" s="55" t="s">
        <v>1577</v>
      </c>
      <c r="AT665" s="181" t="s">
        <v>420</v>
      </c>
      <c r="AU665" s="181" t="s">
        <v>5150</v>
      </c>
      <c r="AV665" s="185" t="s">
        <v>479</v>
      </c>
      <c r="AW665" s="55" t="s">
        <v>420</v>
      </c>
      <c r="AX665" s="185" t="s">
        <v>479</v>
      </c>
      <c r="AY665" s="55" t="s">
        <v>176</v>
      </c>
      <c r="BE665" s="226" t="s">
        <v>347</v>
      </c>
      <c r="BF665" s="191" t="s">
        <v>479</v>
      </c>
      <c r="BG665" s="55" t="s">
        <v>479</v>
      </c>
      <c r="BH665" s="226" t="s">
        <v>422</v>
      </c>
      <c r="BI665" s="55" t="s">
        <v>479</v>
      </c>
      <c r="BJ665" s="55" t="s">
        <v>479</v>
      </c>
      <c r="BK665" s="55" t="s">
        <v>5976</v>
      </c>
      <c r="BM665" s="192" t="s">
        <v>119</v>
      </c>
      <c r="BN665" s="55">
        <v>4</v>
      </c>
      <c r="BO665" s="55">
        <v>4</v>
      </c>
      <c r="BQ665" s="55" t="s">
        <v>315</v>
      </c>
      <c r="GD665" s="65">
        <v>0.14299999999999999</v>
      </c>
      <c r="GE665" s="65">
        <v>0.17799999999999999</v>
      </c>
      <c r="GH665" s="65" t="s">
        <v>423</v>
      </c>
      <c r="GP665" s="292" t="s">
        <v>7494</v>
      </c>
      <c r="HS665" s="227"/>
      <c r="HW665" s="227"/>
      <c r="JU665" s="55" t="s">
        <v>688</v>
      </c>
    </row>
    <row r="666" spans="1:281" x14ac:dyDescent="0.25">
      <c r="A666" s="55">
        <v>665</v>
      </c>
      <c r="B666" s="12" t="s">
        <v>7067</v>
      </c>
      <c r="C666" s="155">
        <v>30</v>
      </c>
      <c r="D666" s="55" t="s">
        <v>3800</v>
      </c>
      <c r="E666" s="90" t="s">
        <v>416</v>
      </c>
      <c r="G666" s="55" t="s">
        <v>417</v>
      </c>
      <c r="H666" s="55">
        <v>2002</v>
      </c>
      <c r="I666" s="55">
        <v>1999</v>
      </c>
      <c r="J666" s="55" t="s">
        <v>418</v>
      </c>
      <c r="K666" s="55" t="s">
        <v>419</v>
      </c>
      <c r="L666" s="55" t="s">
        <v>2737</v>
      </c>
      <c r="M666" s="90">
        <f>38+32/60</f>
        <v>38.533333333333331</v>
      </c>
      <c r="N666" s="90">
        <f>-121-47/60</f>
        <v>-121.78333333333333</v>
      </c>
      <c r="O666" s="90">
        <v>18.399999999999999</v>
      </c>
      <c r="S666" s="90">
        <v>483</v>
      </c>
      <c r="U666" s="55">
        <v>3</v>
      </c>
      <c r="V666" s="55" t="s">
        <v>1816</v>
      </c>
      <c r="Y666" s="55">
        <v>36170</v>
      </c>
      <c r="Z666" s="55" t="s">
        <v>1365</v>
      </c>
      <c r="AA666" s="90" t="s">
        <v>1685</v>
      </c>
      <c r="AE666" s="90">
        <v>36</v>
      </c>
      <c r="AF666" s="90">
        <v>46</v>
      </c>
      <c r="AH666" s="55" t="s">
        <v>139</v>
      </c>
      <c r="AM666" s="55" t="s">
        <v>1295</v>
      </c>
      <c r="AN666" s="185" t="s">
        <v>1497</v>
      </c>
      <c r="AO666" s="185" t="s">
        <v>5150</v>
      </c>
      <c r="AQ666" s="55" t="s">
        <v>553</v>
      </c>
      <c r="AR666" s="55" t="s">
        <v>1552</v>
      </c>
      <c r="AS666" s="55" t="s">
        <v>1577</v>
      </c>
      <c r="AT666" s="181" t="s">
        <v>420</v>
      </c>
      <c r="AU666" s="181" t="s">
        <v>5150</v>
      </c>
      <c r="AV666" s="185" t="s">
        <v>479</v>
      </c>
      <c r="AW666" s="55" t="s">
        <v>420</v>
      </c>
      <c r="AX666" s="185" t="s">
        <v>479</v>
      </c>
      <c r="AY666" s="55" t="s">
        <v>176</v>
      </c>
      <c r="BE666" s="226" t="s">
        <v>347</v>
      </c>
      <c r="BF666" s="191" t="s">
        <v>479</v>
      </c>
      <c r="BG666" s="55" t="s">
        <v>479</v>
      </c>
      <c r="BH666" s="226" t="s">
        <v>421</v>
      </c>
      <c r="BI666" s="55" t="s">
        <v>479</v>
      </c>
      <c r="BJ666" s="55" t="s">
        <v>479</v>
      </c>
      <c r="BK666" s="55" t="s">
        <v>5976</v>
      </c>
      <c r="BM666" s="192" t="s">
        <v>119</v>
      </c>
      <c r="BN666" s="55">
        <v>4</v>
      </c>
      <c r="BO666" s="55">
        <v>4</v>
      </c>
      <c r="BQ666" s="55" t="s">
        <v>315</v>
      </c>
      <c r="GD666" s="65">
        <v>0.13950000000000001</v>
      </c>
      <c r="GE666" s="65">
        <v>0.1789</v>
      </c>
      <c r="GH666" s="65" t="s">
        <v>423</v>
      </c>
      <c r="GP666" s="292" t="s">
        <v>7494</v>
      </c>
      <c r="HS666" s="227"/>
      <c r="HW666" s="227"/>
      <c r="JU666" s="55" t="s">
        <v>688</v>
      </c>
    </row>
    <row r="667" spans="1:281" x14ac:dyDescent="0.25">
      <c r="A667" s="55">
        <v>666</v>
      </c>
      <c r="B667" s="12" t="s">
        <v>7067</v>
      </c>
      <c r="C667" s="155">
        <v>30</v>
      </c>
      <c r="D667" s="55" t="s">
        <v>3800</v>
      </c>
      <c r="E667" s="90" t="s">
        <v>416</v>
      </c>
      <c r="G667" s="55" t="s">
        <v>417</v>
      </c>
      <c r="H667" s="55">
        <v>2002</v>
      </c>
      <c r="I667" s="55">
        <v>1999</v>
      </c>
      <c r="J667" s="55" t="s">
        <v>418</v>
      </c>
      <c r="K667" s="55" t="s">
        <v>419</v>
      </c>
      <c r="L667" s="55" t="s">
        <v>2737</v>
      </c>
      <c r="M667" s="90">
        <f>38+32/60</f>
        <v>38.533333333333331</v>
      </c>
      <c r="N667" s="90">
        <f>-121-47/60</f>
        <v>-121.78333333333333</v>
      </c>
      <c r="O667" s="90">
        <v>18.399999999999999</v>
      </c>
      <c r="S667" s="90">
        <v>483</v>
      </c>
      <c r="U667" s="55">
        <v>3</v>
      </c>
      <c r="V667" s="55" t="s">
        <v>1816</v>
      </c>
      <c r="Y667" s="55">
        <v>36170</v>
      </c>
      <c r="Z667" s="55" t="s">
        <v>1365</v>
      </c>
      <c r="AA667" s="90" t="s">
        <v>1685</v>
      </c>
      <c r="AE667" s="90">
        <v>36</v>
      </c>
      <c r="AF667" s="90">
        <v>46</v>
      </c>
      <c r="AH667" s="55" t="s">
        <v>139</v>
      </c>
      <c r="AM667" s="55" t="s">
        <v>1295</v>
      </c>
      <c r="AN667" s="185" t="s">
        <v>1497</v>
      </c>
      <c r="AO667" s="185" t="s">
        <v>5150</v>
      </c>
      <c r="AQ667" s="55" t="s">
        <v>553</v>
      </c>
      <c r="AR667" s="55" t="s">
        <v>1552</v>
      </c>
      <c r="AS667" s="55" t="s">
        <v>1577</v>
      </c>
      <c r="AT667" s="181" t="s">
        <v>420</v>
      </c>
      <c r="AU667" s="181" t="s">
        <v>5150</v>
      </c>
      <c r="AV667" s="185" t="s">
        <v>479</v>
      </c>
      <c r="AW667" s="55" t="s">
        <v>420</v>
      </c>
      <c r="AX667" s="185" t="s">
        <v>479</v>
      </c>
      <c r="AY667" s="55" t="s">
        <v>176</v>
      </c>
      <c r="BE667" s="226" t="s">
        <v>347</v>
      </c>
      <c r="BF667" s="191" t="s">
        <v>479</v>
      </c>
      <c r="BG667" s="55" t="s">
        <v>479</v>
      </c>
      <c r="BH667" s="226" t="s">
        <v>422</v>
      </c>
      <c r="BI667" s="55" t="s">
        <v>479</v>
      </c>
      <c r="BJ667" s="55" t="s">
        <v>479</v>
      </c>
      <c r="BK667" s="55" t="s">
        <v>5976</v>
      </c>
      <c r="BM667" s="192" t="s">
        <v>119</v>
      </c>
      <c r="BN667" s="55">
        <v>4</v>
      </c>
      <c r="BO667" s="55">
        <v>4</v>
      </c>
      <c r="BQ667" s="55" t="s">
        <v>315</v>
      </c>
      <c r="GD667" s="65">
        <v>0.13950000000000001</v>
      </c>
      <c r="GE667" s="65">
        <v>0.16889999999999999</v>
      </c>
      <c r="GH667" s="65" t="s">
        <v>423</v>
      </c>
      <c r="GP667" s="292" t="s">
        <v>7494</v>
      </c>
      <c r="HS667" s="227"/>
      <c r="HW667" s="227"/>
      <c r="JU667" s="55" t="s">
        <v>688</v>
      </c>
    </row>
    <row r="668" spans="1:281" x14ac:dyDescent="0.25">
      <c r="A668" s="55">
        <v>667</v>
      </c>
      <c r="B668" s="12" t="s">
        <v>7067</v>
      </c>
      <c r="C668" s="155">
        <v>30</v>
      </c>
      <c r="D668" s="55" t="s">
        <v>3800</v>
      </c>
      <c r="E668" s="90" t="s">
        <v>416</v>
      </c>
      <c r="G668" s="55" t="s">
        <v>417</v>
      </c>
      <c r="H668" s="55">
        <v>2002</v>
      </c>
      <c r="I668" s="55">
        <v>1999</v>
      </c>
      <c r="J668" s="55" t="s">
        <v>418</v>
      </c>
      <c r="K668" s="55" t="s">
        <v>419</v>
      </c>
      <c r="L668" s="55" t="s">
        <v>2737</v>
      </c>
      <c r="M668" s="90">
        <f>38+32/60</f>
        <v>38.533333333333331</v>
      </c>
      <c r="N668" s="90">
        <f>-121-47/60</f>
        <v>-121.78333333333333</v>
      </c>
      <c r="O668" s="90">
        <v>18.399999999999999</v>
      </c>
      <c r="S668" s="90">
        <v>483</v>
      </c>
      <c r="U668" s="55">
        <v>3</v>
      </c>
      <c r="V668" s="55" t="s">
        <v>1816</v>
      </c>
      <c r="Y668" s="55">
        <v>36187</v>
      </c>
      <c r="Z668" s="55" t="s">
        <v>1365</v>
      </c>
      <c r="AA668" s="90" t="s">
        <v>1685</v>
      </c>
      <c r="AE668" s="90">
        <v>36</v>
      </c>
      <c r="AF668" s="90">
        <v>46</v>
      </c>
      <c r="AH668" s="55" t="s">
        <v>139</v>
      </c>
      <c r="AM668" s="55" t="s">
        <v>1295</v>
      </c>
      <c r="AN668" s="185" t="s">
        <v>1497</v>
      </c>
      <c r="AO668" s="185" t="s">
        <v>5150</v>
      </c>
      <c r="AQ668" s="55" t="s">
        <v>553</v>
      </c>
      <c r="AR668" s="55" t="s">
        <v>1552</v>
      </c>
      <c r="AS668" s="55" t="s">
        <v>1577</v>
      </c>
      <c r="AT668" s="181" t="s">
        <v>420</v>
      </c>
      <c r="AU668" s="181" t="s">
        <v>5150</v>
      </c>
      <c r="AV668" s="185" t="s">
        <v>479</v>
      </c>
      <c r="AW668" s="55" t="s">
        <v>420</v>
      </c>
      <c r="AX668" s="185" t="s">
        <v>479</v>
      </c>
      <c r="AY668" s="55" t="s">
        <v>176</v>
      </c>
      <c r="BE668" s="226" t="s">
        <v>347</v>
      </c>
      <c r="BF668" s="191" t="s">
        <v>479</v>
      </c>
      <c r="BG668" s="55" t="s">
        <v>479</v>
      </c>
      <c r="BH668" s="226" t="s">
        <v>421</v>
      </c>
      <c r="BI668" s="55" t="s">
        <v>479</v>
      </c>
      <c r="BJ668" s="55" t="s">
        <v>479</v>
      </c>
      <c r="BK668" s="55" t="s">
        <v>5976</v>
      </c>
      <c r="BM668" s="192" t="s">
        <v>119</v>
      </c>
      <c r="BN668" s="55">
        <v>4</v>
      </c>
      <c r="BO668" s="55">
        <v>4</v>
      </c>
      <c r="BQ668" s="55" t="s">
        <v>315</v>
      </c>
      <c r="GD668" s="65">
        <v>0.1414</v>
      </c>
      <c r="GE668" s="65">
        <v>0.18820000000000001</v>
      </c>
      <c r="GH668" s="65" t="s">
        <v>423</v>
      </c>
      <c r="GP668" s="292" t="s">
        <v>7494</v>
      </c>
      <c r="HS668" s="227"/>
      <c r="HW668" s="227"/>
      <c r="JU668" s="55" t="s">
        <v>688</v>
      </c>
    </row>
    <row r="669" spans="1:281" x14ac:dyDescent="0.25">
      <c r="A669" s="55">
        <v>668</v>
      </c>
      <c r="B669" s="12" t="s">
        <v>7067</v>
      </c>
      <c r="C669" s="155">
        <v>30</v>
      </c>
      <c r="D669" s="55" t="s">
        <v>3800</v>
      </c>
      <c r="E669" s="90" t="s">
        <v>416</v>
      </c>
      <c r="G669" s="55" t="s">
        <v>417</v>
      </c>
      <c r="H669" s="55">
        <v>2002</v>
      </c>
      <c r="I669" s="55">
        <v>1999</v>
      </c>
      <c r="J669" s="55" t="s">
        <v>418</v>
      </c>
      <c r="K669" s="55" t="s">
        <v>419</v>
      </c>
      <c r="L669" s="55" t="s">
        <v>2737</v>
      </c>
      <c r="M669" s="90">
        <f>38+32/60</f>
        <v>38.533333333333331</v>
      </c>
      <c r="N669" s="90">
        <f>-121-47/60</f>
        <v>-121.78333333333333</v>
      </c>
      <c r="O669" s="90">
        <v>18.399999999999999</v>
      </c>
      <c r="S669" s="90">
        <v>483</v>
      </c>
      <c r="U669" s="55">
        <v>3</v>
      </c>
      <c r="V669" s="55" t="s">
        <v>1816</v>
      </c>
      <c r="Y669" s="55">
        <v>36187</v>
      </c>
      <c r="Z669" s="55" t="s">
        <v>1365</v>
      </c>
      <c r="AA669" s="90" t="s">
        <v>1685</v>
      </c>
      <c r="AE669" s="90">
        <v>36</v>
      </c>
      <c r="AF669" s="90">
        <v>46</v>
      </c>
      <c r="AH669" s="55" t="s">
        <v>139</v>
      </c>
      <c r="AM669" s="55" t="s">
        <v>1295</v>
      </c>
      <c r="AN669" s="185" t="s">
        <v>1497</v>
      </c>
      <c r="AO669" s="185" t="s">
        <v>5150</v>
      </c>
      <c r="AQ669" s="55" t="s">
        <v>553</v>
      </c>
      <c r="AR669" s="55" t="s">
        <v>1552</v>
      </c>
      <c r="AS669" s="55" t="s">
        <v>1577</v>
      </c>
      <c r="AT669" s="181" t="s">
        <v>420</v>
      </c>
      <c r="AU669" s="181" t="s">
        <v>5150</v>
      </c>
      <c r="AV669" s="185" t="s">
        <v>479</v>
      </c>
      <c r="AW669" s="55" t="s">
        <v>420</v>
      </c>
      <c r="AX669" s="185" t="s">
        <v>479</v>
      </c>
      <c r="AY669" s="55" t="s">
        <v>176</v>
      </c>
      <c r="BE669" s="226" t="s">
        <v>347</v>
      </c>
      <c r="BF669" s="191" t="s">
        <v>479</v>
      </c>
      <c r="BG669" s="55" t="s">
        <v>479</v>
      </c>
      <c r="BH669" s="226" t="s">
        <v>422</v>
      </c>
      <c r="BI669" s="55" t="s">
        <v>479</v>
      </c>
      <c r="BJ669" s="55" t="s">
        <v>479</v>
      </c>
      <c r="BK669" s="55" t="s">
        <v>5976</v>
      </c>
      <c r="BM669" s="192" t="s">
        <v>119</v>
      </c>
      <c r="BN669" s="55">
        <v>4</v>
      </c>
      <c r="BO669" s="55">
        <v>4</v>
      </c>
      <c r="BQ669" s="55" t="s">
        <v>315</v>
      </c>
      <c r="GD669" s="65">
        <v>0.1414</v>
      </c>
      <c r="GE669" s="65">
        <v>0.17349999999999999</v>
      </c>
      <c r="GH669" s="65" t="s">
        <v>423</v>
      </c>
      <c r="GP669" s="292" t="s">
        <v>7494</v>
      </c>
      <c r="HS669" s="227"/>
      <c r="HW669" s="227"/>
      <c r="JU669" s="55" t="s">
        <v>688</v>
      </c>
    </row>
    <row r="670" spans="1:281" x14ac:dyDescent="0.25">
      <c r="A670" s="55">
        <v>669</v>
      </c>
      <c r="B670" s="12" t="s">
        <v>7067</v>
      </c>
      <c r="C670" s="155">
        <v>30</v>
      </c>
      <c r="D670" s="55" t="s">
        <v>3800</v>
      </c>
      <c r="E670" s="90" t="s">
        <v>416</v>
      </c>
      <c r="G670" s="55" t="s">
        <v>417</v>
      </c>
      <c r="H670" s="55">
        <v>2002</v>
      </c>
      <c r="I670" s="55">
        <v>1999</v>
      </c>
      <c r="J670" s="55" t="s">
        <v>418</v>
      </c>
      <c r="K670" s="55" t="s">
        <v>419</v>
      </c>
      <c r="L670" s="55" t="s">
        <v>2737</v>
      </c>
      <c r="M670" s="90">
        <f>38+32/60</f>
        <v>38.533333333333331</v>
      </c>
      <c r="N670" s="90">
        <f>-121-47/60</f>
        <v>-121.78333333333333</v>
      </c>
      <c r="O670" s="90">
        <v>18.399999999999999</v>
      </c>
      <c r="S670" s="90">
        <v>483</v>
      </c>
      <c r="U670" s="55">
        <v>3</v>
      </c>
      <c r="V670" s="55" t="s">
        <v>1816</v>
      </c>
      <c r="Y670" s="55">
        <v>36198</v>
      </c>
      <c r="Z670" s="55" t="s">
        <v>1365</v>
      </c>
      <c r="AA670" s="90" t="s">
        <v>1685</v>
      </c>
      <c r="AE670" s="90">
        <v>36</v>
      </c>
      <c r="AF670" s="90">
        <v>46</v>
      </c>
      <c r="AH670" s="55" t="s">
        <v>139</v>
      </c>
      <c r="AM670" s="55" t="s">
        <v>1295</v>
      </c>
      <c r="AN670" s="185" t="s">
        <v>1497</v>
      </c>
      <c r="AO670" s="185" t="s">
        <v>5150</v>
      </c>
      <c r="AQ670" s="55" t="s">
        <v>553</v>
      </c>
      <c r="AR670" s="55" t="s">
        <v>1552</v>
      </c>
      <c r="AS670" s="55" t="s">
        <v>1577</v>
      </c>
      <c r="AT670" s="181" t="s">
        <v>420</v>
      </c>
      <c r="AU670" s="181" t="s">
        <v>5150</v>
      </c>
      <c r="AV670" s="185" t="s">
        <v>479</v>
      </c>
      <c r="AW670" s="55" t="s">
        <v>420</v>
      </c>
      <c r="AX670" s="185" t="s">
        <v>479</v>
      </c>
      <c r="AY670" s="55" t="s">
        <v>176</v>
      </c>
      <c r="BE670" s="226" t="s">
        <v>347</v>
      </c>
      <c r="BF670" s="191" t="s">
        <v>479</v>
      </c>
      <c r="BG670" s="55" t="s">
        <v>479</v>
      </c>
      <c r="BH670" s="226" t="s">
        <v>421</v>
      </c>
      <c r="BI670" s="55" t="s">
        <v>479</v>
      </c>
      <c r="BJ670" s="55" t="s">
        <v>479</v>
      </c>
      <c r="BK670" s="55" t="s">
        <v>5976</v>
      </c>
      <c r="BM670" s="192" t="s">
        <v>119</v>
      </c>
      <c r="BN670" s="55">
        <v>4</v>
      </c>
      <c r="BO670" s="55">
        <v>4</v>
      </c>
      <c r="BQ670" s="55" t="s">
        <v>315</v>
      </c>
      <c r="GD670" s="65">
        <v>0.17630000000000001</v>
      </c>
      <c r="GE670" s="65">
        <v>0.1983</v>
      </c>
      <c r="GH670" s="65" t="s">
        <v>423</v>
      </c>
      <c r="GP670" s="292" t="s">
        <v>7494</v>
      </c>
      <c r="HS670" s="227"/>
      <c r="HW670" s="227"/>
      <c r="JU670" s="55" t="s">
        <v>688</v>
      </c>
    </row>
    <row r="671" spans="1:281" x14ac:dyDescent="0.25">
      <c r="A671" s="55">
        <v>670</v>
      </c>
      <c r="B671" s="12" t="s">
        <v>7067</v>
      </c>
      <c r="C671" s="155">
        <v>30</v>
      </c>
      <c r="D671" s="55" t="s">
        <v>3800</v>
      </c>
      <c r="E671" s="90" t="s">
        <v>416</v>
      </c>
      <c r="G671" s="55" t="s">
        <v>417</v>
      </c>
      <c r="H671" s="55">
        <v>2002</v>
      </c>
      <c r="I671" s="55">
        <v>1999</v>
      </c>
      <c r="J671" s="55" t="s">
        <v>418</v>
      </c>
      <c r="K671" s="55" t="s">
        <v>419</v>
      </c>
      <c r="L671" s="55" t="s">
        <v>2737</v>
      </c>
      <c r="M671" s="90">
        <f>38+32/60</f>
        <v>38.533333333333331</v>
      </c>
      <c r="N671" s="90">
        <f>-121-47/60</f>
        <v>-121.78333333333333</v>
      </c>
      <c r="O671" s="90">
        <v>18.399999999999999</v>
      </c>
      <c r="S671" s="90">
        <v>483</v>
      </c>
      <c r="U671" s="55">
        <v>3</v>
      </c>
      <c r="V671" s="55" t="s">
        <v>1816</v>
      </c>
      <c r="Y671" s="55">
        <v>36198</v>
      </c>
      <c r="Z671" s="55" t="s">
        <v>1365</v>
      </c>
      <c r="AA671" s="90" t="s">
        <v>1685</v>
      </c>
      <c r="AE671" s="90">
        <v>36</v>
      </c>
      <c r="AF671" s="90">
        <v>46</v>
      </c>
      <c r="AH671" s="55" t="s">
        <v>139</v>
      </c>
      <c r="AM671" s="55" t="s">
        <v>1295</v>
      </c>
      <c r="AN671" s="185" t="s">
        <v>1497</v>
      </c>
      <c r="AO671" s="185" t="s">
        <v>5150</v>
      </c>
      <c r="AQ671" s="55" t="s">
        <v>553</v>
      </c>
      <c r="AR671" s="55" t="s">
        <v>1552</v>
      </c>
      <c r="AS671" s="55" t="s">
        <v>1577</v>
      </c>
      <c r="AT671" s="181" t="s">
        <v>420</v>
      </c>
      <c r="AU671" s="181" t="s">
        <v>5150</v>
      </c>
      <c r="AV671" s="185" t="s">
        <v>479</v>
      </c>
      <c r="AW671" s="55" t="s">
        <v>420</v>
      </c>
      <c r="AX671" s="185" t="s">
        <v>479</v>
      </c>
      <c r="AY671" s="55" t="s">
        <v>176</v>
      </c>
      <c r="BE671" s="226" t="s">
        <v>347</v>
      </c>
      <c r="BF671" s="191" t="s">
        <v>479</v>
      </c>
      <c r="BG671" s="55" t="s">
        <v>479</v>
      </c>
      <c r="BH671" s="226" t="s">
        <v>422</v>
      </c>
      <c r="BI671" s="55" t="s">
        <v>479</v>
      </c>
      <c r="BJ671" s="55" t="s">
        <v>479</v>
      </c>
      <c r="BK671" s="55" t="s">
        <v>5976</v>
      </c>
      <c r="BM671" s="192" t="s">
        <v>119</v>
      </c>
      <c r="BN671" s="55">
        <v>4</v>
      </c>
      <c r="BO671" s="55">
        <v>4</v>
      </c>
      <c r="BQ671" s="55" t="s">
        <v>315</v>
      </c>
      <c r="GD671" s="65">
        <v>0.17630000000000001</v>
      </c>
      <c r="GE671" s="65">
        <v>0.14599999999999999</v>
      </c>
      <c r="GH671" s="65" t="s">
        <v>423</v>
      </c>
      <c r="GP671" s="292" t="s">
        <v>7494</v>
      </c>
      <c r="HS671" s="227"/>
      <c r="HW671" s="227"/>
      <c r="JU671" s="55" t="s">
        <v>688</v>
      </c>
    </row>
    <row r="672" spans="1:281" x14ac:dyDescent="0.25">
      <c r="A672" s="55">
        <v>671</v>
      </c>
      <c r="B672" s="12" t="s">
        <v>7067</v>
      </c>
      <c r="C672" s="155">
        <v>30</v>
      </c>
      <c r="D672" s="55" t="s">
        <v>3800</v>
      </c>
      <c r="E672" s="90" t="s">
        <v>416</v>
      </c>
      <c r="G672" s="55" t="s">
        <v>417</v>
      </c>
      <c r="H672" s="55">
        <v>2002</v>
      </c>
      <c r="I672" s="55">
        <v>1999</v>
      </c>
      <c r="J672" s="55" t="s">
        <v>418</v>
      </c>
      <c r="K672" s="55" t="s">
        <v>419</v>
      </c>
      <c r="L672" s="55" t="s">
        <v>2737</v>
      </c>
      <c r="M672" s="90">
        <f>38+32/60</f>
        <v>38.533333333333331</v>
      </c>
      <c r="N672" s="90">
        <f>-121-47/60</f>
        <v>-121.78333333333333</v>
      </c>
      <c r="O672" s="90">
        <v>18.399999999999999</v>
      </c>
      <c r="S672" s="90">
        <v>483</v>
      </c>
      <c r="U672" s="55">
        <v>3</v>
      </c>
      <c r="V672" s="55" t="s">
        <v>1816</v>
      </c>
      <c r="Y672" s="55">
        <v>36232</v>
      </c>
      <c r="Z672" s="55" t="s">
        <v>1365</v>
      </c>
      <c r="AA672" s="90" t="s">
        <v>1685</v>
      </c>
      <c r="AE672" s="90">
        <v>36</v>
      </c>
      <c r="AF672" s="90">
        <v>46</v>
      </c>
      <c r="AH672" s="55" t="s">
        <v>139</v>
      </c>
      <c r="AM672" s="55" t="s">
        <v>1295</v>
      </c>
      <c r="AN672" s="185" t="s">
        <v>1497</v>
      </c>
      <c r="AO672" s="185" t="s">
        <v>5150</v>
      </c>
      <c r="AQ672" s="55" t="s">
        <v>553</v>
      </c>
      <c r="AR672" s="55" t="s">
        <v>1552</v>
      </c>
      <c r="AS672" s="55" t="s">
        <v>1577</v>
      </c>
      <c r="AT672" s="181" t="s">
        <v>420</v>
      </c>
      <c r="AU672" s="181" t="s">
        <v>5150</v>
      </c>
      <c r="AV672" s="185" t="s">
        <v>479</v>
      </c>
      <c r="AW672" s="55" t="s">
        <v>420</v>
      </c>
      <c r="AX672" s="185" t="s">
        <v>479</v>
      </c>
      <c r="AY672" s="55" t="s">
        <v>176</v>
      </c>
      <c r="BE672" s="226" t="s">
        <v>347</v>
      </c>
      <c r="BF672" s="191" t="s">
        <v>479</v>
      </c>
      <c r="BG672" s="55" t="s">
        <v>479</v>
      </c>
      <c r="BH672" s="226" t="s">
        <v>421</v>
      </c>
      <c r="BI672" s="55" t="s">
        <v>479</v>
      </c>
      <c r="BJ672" s="55" t="s">
        <v>479</v>
      </c>
      <c r="BK672" s="55" t="s">
        <v>5976</v>
      </c>
      <c r="BM672" s="192" t="s">
        <v>119</v>
      </c>
      <c r="BN672" s="55">
        <v>4</v>
      </c>
      <c r="BO672" s="55">
        <v>4</v>
      </c>
      <c r="BQ672" s="55" t="s">
        <v>315</v>
      </c>
      <c r="GD672" s="65">
        <v>0.1699</v>
      </c>
      <c r="GE672" s="65">
        <v>0.1837</v>
      </c>
      <c r="GH672" s="65" t="s">
        <v>423</v>
      </c>
      <c r="GP672" s="292" t="s">
        <v>7494</v>
      </c>
      <c r="HS672" s="227"/>
      <c r="HW672" s="227"/>
      <c r="JU672" s="55" t="s">
        <v>688</v>
      </c>
    </row>
    <row r="673" spans="1:281" x14ac:dyDescent="0.25">
      <c r="A673" s="55">
        <v>672</v>
      </c>
      <c r="B673" s="12" t="s">
        <v>7067</v>
      </c>
      <c r="C673" s="155">
        <v>30</v>
      </c>
      <c r="D673" s="55" t="s">
        <v>3800</v>
      </c>
      <c r="E673" s="90" t="s">
        <v>416</v>
      </c>
      <c r="G673" s="55" t="s">
        <v>417</v>
      </c>
      <c r="H673" s="55">
        <v>2002</v>
      </c>
      <c r="I673" s="55">
        <v>1999</v>
      </c>
      <c r="J673" s="55" t="s">
        <v>418</v>
      </c>
      <c r="K673" s="55" t="s">
        <v>419</v>
      </c>
      <c r="L673" s="55" t="s">
        <v>2737</v>
      </c>
      <c r="M673" s="90">
        <f>38+32/60</f>
        <v>38.533333333333331</v>
      </c>
      <c r="N673" s="90">
        <f>-121-47/60</f>
        <v>-121.78333333333333</v>
      </c>
      <c r="O673" s="90">
        <v>18.399999999999999</v>
      </c>
      <c r="S673" s="90">
        <v>483</v>
      </c>
      <c r="U673" s="55">
        <v>3</v>
      </c>
      <c r="V673" s="55" t="s">
        <v>1816</v>
      </c>
      <c r="Y673" s="55">
        <v>36232</v>
      </c>
      <c r="Z673" s="55" t="s">
        <v>1365</v>
      </c>
      <c r="AA673" s="90" t="s">
        <v>1685</v>
      </c>
      <c r="AE673" s="90">
        <v>36</v>
      </c>
      <c r="AF673" s="90">
        <v>46</v>
      </c>
      <c r="AH673" s="55" t="s">
        <v>139</v>
      </c>
      <c r="AM673" s="55" t="s">
        <v>1295</v>
      </c>
      <c r="AN673" s="185" t="s">
        <v>1497</v>
      </c>
      <c r="AO673" s="185" t="s">
        <v>5150</v>
      </c>
      <c r="AQ673" s="55" t="s">
        <v>553</v>
      </c>
      <c r="AR673" s="55" t="s">
        <v>1552</v>
      </c>
      <c r="AS673" s="55" t="s">
        <v>1577</v>
      </c>
      <c r="AT673" s="181" t="s">
        <v>420</v>
      </c>
      <c r="AU673" s="181" t="s">
        <v>5150</v>
      </c>
      <c r="AV673" s="185" t="s">
        <v>479</v>
      </c>
      <c r="AW673" s="55" t="s">
        <v>420</v>
      </c>
      <c r="AX673" s="185" t="s">
        <v>479</v>
      </c>
      <c r="AY673" s="55" t="s">
        <v>176</v>
      </c>
      <c r="BE673" s="226" t="s">
        <v>347</v>
      </c>
      <c r="BF673" s="191" t="s">
        <v>479</v>
      </c>
      <c r="BG673" s="55" t="s">
        <v>479</v>
      </c>
      <c r="BH673" s="226" t="s">
        <v>422</v>
      </c>
      <c r="BI673" s="55" t="s">
        <v>479</v>
      </c>
      <c r="BJ673" s="55" t="s">
        <v>479</v>
      </c>
      <c r="BK673" s="55" t="s">
        <v>5976</v>
      </c>
      <c r="BM673" s="192" t="s">
        <v>119</v>
      </c>
      <c r="BN673" s="55">
        <v>4</v>
      </c>
      <c r="BO673" s="55">
        <v>4</v>
      </c>
      <c r="BQ673" s="55" t="s">
        <v>315</v>
      </c>
      <c r="GD673" s="65">
        <v>0.1699</v>
      </c>
      <c r="GE673" s="65">
        <v>0.1671</v>
      </c>
      <c r="GH673" s="65" t="s">
        <v>423</v>
      </c>
      <c r="GP673" s="292" t="s">
        <v>7494</v>
      </c>
      <c r="HS673" s="227"/>
      <c r="HW673" s="227"/>
      <c r="JU673" s="55" t="s">
        <v>688</v>
      </c>
    </row>
    <row r="674" spans="1:281" x14ac:dyDescent="0.25">
      <c r="A674" s="55">
        <v>673</v>
      </c>
      <c r="B674" s="12" t="s">
        <v>7067</v>
      </c>
      <c r="C674" s="155">
        <v>30</v>
      </c>
      <c r="D674" s="55" t="s">
        <v>3800</v>
      </c>
      <c r="E674" s="90" t="s">
        <v>416</v>
      </c>
      <c r="G674" s="55" t="s">
        <v>417</v>
      </c>
      <c r="H674" s="55">
        <v>2002</v>
      </c>
      <c r="I674" s="55">
        <v>1999</v>
      </c>
      <c r="J674" s="55" t="s">
        <v>418</v>
      </c>
      <c r="K674" s="55" t="s">
        <v>419</v>
      </c>
      <c r="L674" s="55" t="s">
        <v>2737</v>
      </c>
      <c r="M674" s="90">
        <f>38+32/60</f>
        <v>38.533333333333331</v>
      </c>
      <c r="N674" s="90">
        <f>-121-47/60</f>
        <v>-121.78333333333333</v>
      </c>
      <c r="O674" s="90">
        <v>18.399999999999999</v>
      </c>
      <c r="S674" s="90">
        <v>483</v>
      </c>
      <c r="U674" s="55">
        <v>3</v>
      </c>
      <c r="V674" s="55" t="s">
        <v>1816</v>
      </c>
      <c r="Y674" s="55">
        <v>36234</v>
      </c>
      <c r="Z674" s="55" t="s">
        <v>1365</v>
      </c>
      <c r="AA674" s="90" t="s">
        <v>1685</v>
      </c>
      <c r="AE674" s="90">
        <v>36</v>
      </c>
      <c r="AF674" s="90">
        <v>46</v>
      </c>
      <c r="AH674" s="55" t="s">
        <v>139</v>
      </c>
      <c r="AM674" s="55" t="s">
        <v>1295</v>
      </c>
      <c r="AN674" s="185" t="s">
        <v>1497</v>
      </c>
      <c r="AO674" s="185" t="s">
        <v>5150</v>
      </c>
      <c r="AQ674" s="55" t="s">
        <v>553</v>
      </c>
      <c r="AR674" s="55" t="s">
        <v>1552</v>
      </c>
      <c r="AS674" s="55" t="s">
        <v>1577</v>
      </c>
      <c r="AT674" s="181" t="s">
        <v>420</v>
      </c>
      <c r="AU674" s="181" t="s">
        <v>5150</v>
      </c>
      <c r="AV674" s="185" t="s">
        <v>479</v>
      </c>
      <c r="AW674" s="55" t="s">
        <v>420</v>
      </c>
      <c r="AX674" s="185" t="s">
        <v>479</v>
      </c>
      <c r="AY674" s="55" t="s">
        <v>176</v>
      </c>
      <c r="BE674" s="226" t="s">
        <v>347</v>
      </c>
      <c r="BF674" s="191" t="s">
        <v>479</v>
      </c>
      <c r="BG674" s="55" t="s">
        <v>479</v>
      </c>
      <c r="BH674" s="226" t="s">
        <v>421</v>
      </c>
      <c r="BI674" s="55" t="s">
        <v>479</v>
      </c>
      <c r="BJ674" s="55" t="s">
        <v>479</v>
      </c>
      <c r="BK674" s="55" t="s">
        <v>5976</v>
      </c>
      <c r="BM674" s="192" t="s">
        <v>119</v>
      </c>
      <c r="BN674" s="55">
        <v>4</v>
      </c>
      <c r="BO674" s="55">
        <v>4</v>
      </c>
      <c r="BQ674" s="55" t="s">
        <v>315</v>
      </c>
      <c r="GD674" s="65">
        <v>0.16350000000000001</v>
      </c>
      <c r="GE674" s="65">
        <v>0.17910000000000001</v>
      </c>
      <c r="GH674" s="65" t="s">
        <v>423</v>
      </c>
      <c r="GP674" s="292" t="s">
        <v>7494</v>
      </c>
      <c r="HS674" s="227"/>
      <c r="HW674" s="227"/>
      <c r="JU674" s="55" t="s">
        <v>688</v>
      </c>
    </row>
    <row r="675" spans="1:281" x14ac:dyDescent="0.25">
      <c r="A675" s="55">
        <v>674</v>
      </c>
      <c r="B675" s="12" t="s">
        <v>7067</v>
      </c>
      <c r="C675" s="155">
        <v>30</v>
      </c>
      <c r="D675" s="55" t="s">
        <v>3800</v>
      </c>
      <c r="E675" s="90" t="s">
        <v>416</v>
      </c>
      <c r="G675" s="55" t="s">
        <v>417</v>
      </c>
      <c r="H675" s="55">
        <v>2002</v>
      </c>
      <c r="I675" s="55">
        <v>1999</v>
      </c>
      <c r="J675" s="55" t="s">
        <v>418</v>
      </c>
      <c r="K675" s="55" t="s">
        <v>419</v>
      </c>
      <c r="L675" s="55" t="s">
        <v>2737</v>
      </c>
      <c r="M675" s="90">
        <f>38+32/60</f>
        <v>38.533333333333331</v>
      </c>
      <c r="N675" s="90">
        <f>-121-47/60</f>
        <v>-121.78333333333333</v>
      </c>
      <c r="O675" s="90">
        <v>18.399999999999999</v>
      </c>
      <c r="S675" s="90">
        <v>483</v>
      </c>
      <c r="U675" s="55">
        <v>3</v>
      </c>
      <c r="V675" s="55" t="s">
        <v>1816</v>
      </c>
      <c r="Y675" s="55">
        <v>36234</v>
      </c>
      <c r="Z675" s="55" t="s">
        <v>1365</v>
      </c>
      <c r="AA675" s="90" t="s">
        <v>1685</v>
      </c>
      <c r="AE675" s="90">
        <v>36</v>
      </c>
      <c r="AF675" s="90">
        <v>46</v>
      </c>
      <c r="AH675" s="55" t="s">
        <v>139</v>
      </c>
      <c r="AM675" s="55" t="s">
        <v>1295</v>
      </c>
      <c r="AN675" s="185" t="s">
        <v>1497</v>
      </c>
      <c r="AO675" s="185" t="s">
        <v>5150</v>
      </c>
      <c r="AQ675" s="55" t="s">
        <v>553</v>
      </c>
      <c r="AR675" s="55" t="s">
        <v>1552</v>
      </c>
      <c r="AS675" s="55" t="s">
        <v>1577</v>
      </c>
      <c r="AT675" s="181" t="s">
        <v>420</v>
      </c>
      <c r="AU675" s="181" t="s">
        <v>5150</v>
      </c>
      <c r="AV675" s="185" t="s">
        <v>479</v>
      </c>
      <c r="AW675" s="55" t="s">
        <v>420</v>
      </c>
      <c r="AX675" s="185" t="s">
        <v>479</v>
      </c>
      <c r="AY675" s="55" t="s">
        <v>176</v>
      </c>
      <c r="BE675" s="226" t="s">
        <v>347</v>
      </c>
      <c r="BF675" s="191" t="s">
        <v>479</v>
      </c>
      <c r="BG675" s="55" t="s">
        <v>479</v>
      </c>
      <c r="BH675" s="226" t="s">
        <v>422</v>
      </c>
      <c r="BI675" s="55" t="s">
        <v>479</v>
      </c>
      <c r="BJ675" s="55" t="s">
        <v>479</v>
      </c>
      <c r="BK675" s="55" t="s">
        <v>5976</v>
      </c>
      <c r="BM675" s="192" t="s">
        <v>119</v>
      </c>
      <c r="BN675" s="55">
        <v>4</v>
      </c>
      <c r="BO675" s="55">
        <v>4</v>
      </c>
      <c r="BQ675" s="55" t="s">
        <v>315</v>
      </c>
      <c r="GD675" s="65">
        <v>0.16350000000000001</v>
      </c>
      <c r="GE675" s="65">
        <v>0.16259999999999999</v>
      </c>
      <c r="GH675" s="65" t="s">
        <v>423</v>
      </c>
      <c r="GP675" s="292" t="s">
        <v>7494</v>
      </c>
      <c r="HS675" s="227"/>
      <c r="HW675" s="227"/>
      <c r="JU675" s="55" t="s">
        <v>688</v>
      </c>
    </row>
    <row r="676" spans="1:281" x14ac:dyDescent="0.25">
      <c r="A676" s="55">
        <v>675</v>
      </c>
      <c r="B676" s="12" t="s">
        <v>7067</v>
      </c>
      <c r="C676" s="155">
        <v>30</v>
      </c>
      <c r="D676" s="55" t="s">
        <v>3800</v>
      </c>
      <c r="E676" s="90" t="s">
        <v>416</v>
      </c>
      <c r="G676" s="55" t="s">
        <v>417</v>
      </c>
      <c r="H676" s="55">
        <v>2002</v>
      </c>
      <c r="I676" s="55">
        <v>1999</v>
      </c>
      <c r="J676" s="55" t="s">
        <v>418</v>
      </c>
      <c r="K676" s="55" t="s">
        <v>419</v>
      </c>
      <c r="L676" s="55" t="s">
        <v>2737</v>
      </c>
      <c r="M676" s="90">
        <f>38+32/60</f>
        <v>38.533333333333331</v>
      </c>
      <c r="N676" s="90">
        <f>-121-47/60</f>
        <v>-121.78333333333333</v>
      </c>
      <c r="O676" s="90">
        <v>18.399999999999999</v>
      </c>
      <c r="S676" s="90">
        <v>483</v>
      </c>
      <c r="U676" s="55">
        <v>3</v>
      </c>
      <c r="V676" s="55" t="s">
        <v>1816</v>
      </c>
      <c r="Y676" s="55">
        <v>36514</v>
      </c>
      <c r="Z676" s="55" t="s">
        <v>1365</v>
      </c>
      <c r="AA676" s="90" t="s">
        <v>1685</v>
      </c>
      <c r="AE676" s="90">
        <v>36</v>
      </c>
      <c r="AF676" s="90">
        <v>46</v>
      </c>
      <c r="AH676" s="55" t="s">
        <v>139</v>
      </c>
      <c r="AM676" s="55" t="s">
        <v>1295</v>
      </c>
      <c r="AN676" s="185" t="s">
        <v>1497</v>
      </c>
      <c r="AO676" s="185" t="s">
        <v>5150</v>
      </c>
      <c r="AQ676" s="55" t="s">
        <v>553</v>
      </c>
      <c r="AR676" s="55" t="s">
        <v>1552</v>
      </c>
      <c r="AS676" s="55" t="s">
        <v>1577</v>
      </c>
      <c r="AT676" s="181" t="s">
        <v>420</v>
      </c>
      <c r="AU676" s="181" t="s">
        <v>5150</v>
      </c>
      <c r="AV676" s="185" t="s">
        <v>479</v>
      </c>
      <c r="AW676" s="55" t="s">
        <v>420</v>
      </c>
      <c r="AX676" s="185" t="s">
        <v>479</v>
      </c>
      <c r="AY676" s="55" t="s">
        <v>176</v>
      </c>
      <c r="BE676" s="226" t="s">
        <v>347</v>
      </c>
      <c r="BF676" s="191" t="s">
        <v>479</v>
      </c>
      <c r="BG676" s="55" t="s">
        <v>479</v>
      </c>
      <c r="BH676" s="226" t="s">
        <v>421</v>
      </c>
      <c r="BI676" s="55" t="s">
        <v>479</v>
      </c>
      <c r="BJ676" s="55" t="s">
        <v>479</v>
      </c>
      <c r="BK676" s="55" t="s">
        <v>5976</v>
      </c>
      <c r="BM676" s="192" t="s">
        <v>119</v>
      </c>
      <c r="BN676" s="55">
        <v>4</v>
      </c>
      <c r="BO676" s="55">
        <v>4</v>
      </c>
      <c r="BQ676" s="55" t="s">
        <v>315</v>
      </c>
      <c r="GD676" s="65">
        <v>0.1416</v>
      </c>
      <c r="GE676" s="65">
        <v>0.18099999999999999</v>
      </c>
      <c r="GH676" s="65" t="s">
        <v>423</v>
      </c>
      <c r="GP676" s="292" t="s">
        <v>7494</v>
      </c>
      <c r="HS676" s="227"/>
      <c r="HW676" s="227"/>
      <c r="JU676" s="55" t="s">
        <v>688</v>
      </c>
    </row>
    <row r="677" spans="1:281" x14ac:dyDescent="0.25">
      <c r="A677" s="55">
        <v>676</v>
      </c>
      <c r="B677" s="12" t="s">
        <v>7067</v>
      </c>
      <c r="C677" s="155">
        <v>30</v>
      </c>
      <c r="D677" s="55" t="s">
        <v>3800</v>
      </c>
      <c r="E677" s="90" t="s">
        <v>416</v>
      </c>
      <c r="G677" s="55" t="s">
        <v>417</v>
      </c>
      <c r="H677" s="55">
        <v>2002</v>
      </c>
      <c r="I677" s="55">
        <v>1999</v>
      </c>
      <c r="J677" s="55" t="s">
        <v>418</v>
      </c>
      <c r="K677" s="55" t="s">
        <v>419</v>
      </c>
      <c r="L677" s="55" t="s">
        <v>2737</v>
      </c>
      <c r="M677" s="90">
        <f>38+32/60</f>
        <v>38.533333333333331</v>
      </c>
      <c r="N677" s="90">
        <f>-121-47/60</f>
        <v>-121.78333333333333</v>
      </c>
      <c r="O677" s="90">
        <v>18.399999999999999</v>
      </c>
      <c r="S677" s="90">
        <v>483</v>
      </c>
      <c r="U677" s="55">
        <v>3</v>
      </c>
      <c r="V677" s="55" t="s">
        <v>1816</v>
      </c>
      <c r="Y677" s="55">
        <v>36514</v>
      </c>
      <c r="Z677" s="55" t="s">
        <v>1365</v>
      </c>
      <c r="AA677" s="90" t="s">
        <v>1685</v>
      </c>
      <c r="AE677" s="90">
        <v>36</v>
      </c>
      <c r="AF677" s="90">
        <v>46</v>
      </c>
      <c r="AH677" s="55" t="s">
        <v>139</v>
      </c>
      <c r="AM677" s="55" t="s">
        <v>1295</v>
      </c>
      <c r="AN677" s="185" t="s">
        <v>1497</v>
      </c>
      <c r="AO677" s="185" t="s">
        <v>5150</v>
      </c>
      <c r="AQ677" s="55" t="s">
        <v>553</v>
      </c>
      <c r="AR677" s="55" t="s">
        <v>1552</v>
      </c>
      <c r="AS677" s="55" t="s">
        <v>1577</v>
      </c>
      <c r="AT677" s="181" t="s">
        <v>420</v>
      </c>
      <c r="AU677" s="181" t="s">
        <v>5150</v>
      </c>
      <c r="AV677" s="185" t="s">
        <v>479</v>
      </c>
      <c r="AW677" s="55" t="s">
        <v>420</v>
      </c>
      <c r="AX677" s="185" t="s">
        <v>479</v>
      </c>
      <c r="AY677" s="55" t="s">
        <v>176</v>
      </c>
      <c r="BE677" s="226" t="s">
        <v>347</v>
      </c>
      <c r="BF677" s="191" t="s">
        <v>479</v>
      </c>
      <c r="BG677" s="55" t="s">
        <v>479</v>
      </c>
      <c r="BH677" s="226" t="s">
        <v>422</v>
      </c>
      <c r="BI677" s="55" t="s">
        <v>479</v>
      </c>
      <c r="BJ677" s="55" t="s">
        <v>479</v>
      </c>
      <c r="BK677" s="55" t="s">
        <v>5976</v>
      </c>
      <c r="BM677" s="192" t="s">
        <v>119</v>
      </c>
      <c r="BN677" s="55">
        <v>4</v>
      </c>
      <c r="BO677" s="55">
        <v>4</v>
      </c>
      <c r="BQ677" s="55" t="s">
        <v>315</v>
      </c>
      <c r="GD677" s="65">
        <v>0.1416</v>
      </c>
      <c r="GE677" s="65">
        <v>0.17</v>
      </c>
      <c r="GH677" s="65" t="s">
        <v>423</v>
      </c>
      <c r="GP677" s="292" t="s">
        <v>7494</v>
      </c>
      <c r="HS677" s="227"/>
      <c r="HW677" s="227"/>
      <c r="JU677" s="55" t="s">
        <v>688</v>
      </c>
    </row>
    <row r="678" spans="1:281" x14ac:dyDescent="0.25">
      <c r="A678" s="55">
        <v>677</v>
      </c>
      <c r="B678" s="12" t="s">
        <v>7067</v>
      </c>
      <c r="C678" s="155">
        <v>30</v>
      </c>
      <c r="D678" s="55" t="s">
        <v>3800</v>
      </c>
      <c r="E678" s="90" t="s">
        <v>416</v>
      </c>
      <c r="G678" s="55" t="s">
        <v>417</v>
      </c>
      <c r="H678" s="55">
        <v>2002</v>
      </c>
      <c r="I678" s="55">
        <v>2000</v>
      </c>
      <c r="J678" s="55" t="s">
        <v>418</v>
      </c>
      <c r="K678" s="55" t="s">
        <v>419</v>
      </c>
      <c r="L678" s="55" t="s">
        <v>2737</v>
      </c>
      <c r="M678" s="90">
        <f>38+32/60</f>
        <v>38.533333333333331</v>
      </c>
      <c r="N678" s="90">
        <f>-121-47/60</f>
        <v>-121.78333333333333</v>
      </c>
      <c r="O678" s="90">
        <v>18.399999999999999</v>
      </c>
      <c r="S678" s="90">
        <v>483</v>
      </c>
      <c r="U678" s="55">
        <v>4</v>
      </c>
      <c r="V678" s="55" t="s">
        <v>1816</v>
      </c>
      <c r="Y678" s="55">
        <v>36535</v>
      </c>
      <c r="Z678" s="55" t="s">
        <v>1365</v>
      </c>
      <c r="AA678" s="90" t="s">
        <v>1685</v>
      </c>
      <c r="AE678" s="90">
        <v>36</v>
      </c>
      <c r="AF678" s="90">
        <v>46</v>
      </c>
      <c r="AH678" s="55" t="s">
        <v>139</v>
      </c>
      <c r="AM678" s="55" t="s">
        <v>1295</v>
      </c>
      <c r="AN678" s="185" t="s">
        <v>1497</v>
      </c>
      <c r="AO678" s="185" t="s">
        <v>5150</v>
      </c>
      <c r="AQ678" s="55" t="s">
        <v>553</v>
      </c>
      <c r="AR678" s="55" t="s">
        <v>1552</v>
      </c>
      <c r="AS678" s="55" t="s">
        <v>1577</v>
      </c>
      <c r="AT678" s="181" t="s">
        <v>420</v>
      </c>
      <c r="AU678" s="181" t="s">
        <v>5150</v>
      </c>
      <c r="AV678" s="185" t="s">
        <v>479</v>
      </c>
      <c r="AW678" s="55" t="s">
        <v>420</v>
      </c>
      <c r="AX678" s="185" t="s">
        <v>479</v>
      </c>
      <c r="AY678" s="55" t="s">
        <v>176</v>
      </c>
      <c r="BE678" s="226" t="s">
        <v>347</v>
      </c>
      <c r="BF678" s="191" t="s">
        <v>479</v>
      </c>
      <c r="BG678" s="55" t="s">
        <v>479</v>
      </c>
      <c r="BH678" s="226" t="s">
        <v>421</v>
      </c>
      <c r="BI678" s="55" t="s">
        <v>479</v>
      </c>
      <c r="BJ678" s="55" t="s">
        <v>479</v>
      </c>
      <c r="BK678" s="55" t="s">
        <v>5976</v>
      </c>
      <c r="BM678" s="192" t="s">
        <v>119</v>
      </c>
      <c r="BN678" s="55">
        <v>4</v>
      </c>
      <c r="BO678" s="55">
        <v>4</v>
      </c>
      <c r="BQ678" s="55" t="s">
        <v>315</v>
      </c>
      <c r="GD678" s="65">
        <v>0.14069999999999999</v>
      </c>
      <c r="GE678" s="65">
        <v>0.1865</v>
      </c>
      <c r="GH678" s="65" t="s">
        <v>423</v>
      </c>
      <c r="GP678" s="292" t="s">
        <v>7494</v>
      </c>
      <c r="HS678" s="227"/>
      <c r="HW678" s="227"/>
      <c r="JU678" s="55" t="s">
        <v>688</v>
      </c>
    </row>
    <row r="679" spans="1:281" x14ac:dyDescent="0.25">
      <c r="A679" s="55">
        <v>678</v>
      </c>
      <c r="B679" s="12" t="s">
        <v>7067</v>
      </c>
      <c r="C679" s="155">
        <v>30</v>
      </c>
      <c r="D679" s="55" t="s">
        <v>3800</v>
      </c>
      <c r="E679" s="90" t="s">
        <v>416</v>
      </c>
      <c r="G679" s="55" t="s">
        <v>417</v>
      </c>
      <c r="H679" s="55">
        <v>2002</v>
      </c>
      <c r="I679" s="55">
        <v>2000</v>
      </c>
      <c r="J679" s="55" t="s">
        <v>418</v>
      </c>
      <c r="K679" s="55" t="s">
        <v>419</v>
      </c>
      <c r="L679" s="55" t="s">
        <v>2737</v>
      </c>
      <c r="M679" s="90">
        <f>38+32/60</f>
        <v>38.533333333333331</v>
      </c>
      <c r="N679" s="90">
        <f>-121-47/60</f>
        <v>-121.78333333333333</v>
      </c>
      <c r="O679" s="90">
        <v>18.399999999999999</v>
      </c>
      <c r="S679" s="90">
        <v>483</v>
      </c>
      <c r="U679" s="55">
        <v>4</v>
      </c>
      <c r="V679" s="55" t="s">
        <v>1816</v>
      </c>
      <c r="Y679" s="55">
        <v>36535</v>
      </c>
      <c r="Z679" s="55" t="s">
        <v>1365</v>
      </c>
      <c r="AA679" s="90" t="s">
        <v>1685</v>
      </c>
      <c r="AE679" s="90">
        <v>36</v>
      </c>
      <c r="AF679" s="90">
        <v>46</v>
      </c>
      <c r="AH679" s="55" t="s">
        <v>139</v>
      </c>
      <c r="AM679" s="55" t="s">
        <v>1295</v>
      </c>
      <c r="AN679" s="185" t="s">
        <v>1497</v>
      </c>
      <c r="AO679" s="185" t="s">
        <v>5150</v>
      </c>
      <c r="AQ679" s="55" t="s">
        <v>553</v>
      </c>
      <c r="AR679" s="55" t="s">
        <v>1552</v>
      </c>
      <c r="AS679" s="55" t="s">
        <v>1577</v>
      </c>
      <c r="AT679" s="181" t="s">
        <v>420</v>
      </c>
      <c r="AU679" s="181" t="s">
        <v>5150</v>
      </c>
      <c r="AV679" s="185" t="s">
        <v>479</v>
      </c>
      <c r="AW679" s="55" t="s">
        <v>420</v>
      </c>
      <c r="AX679" s="185" t="s">
        <v>479</v>
      </c>
      <c r="AY679" s="55" t="s">
        <v>176</v>
      </c>
      <c r="BE679" s="226" t="s">
        <v>347</v>
      </c>
      <c r="BF679" s="191" t="s">
        <v>479</v>
      </c>
      <c r="BG679" s="55" t="s">
        <v>479</v>
      </c>
      <c r="BH679" s="226" t="s">
        <v>422</v>
      </c>
      <c r="BI679" s="55" t="s">
        <v>479</v>
      </c>
      <c r="BJ679" s="55" t="s">
        <v>479</v>
      </c>
      <c r="BK679" s="55" t="s">
        <v>5976</v>
      </c>
      <c r="BM679" s="192" t="s">
        <v>119</v>
      </c>
      <c r="BN679" s="55">
        <v>4</v>
      </c>
      <c r="BO679" s="55">
        <v>4</v>
      </c>
      <c r="BQ679" s="55" t="s">
        <v>315</v>
      </c>
      <c r="GD679" s="65">
        <v>0.14069999999999999</v>
      </c>
      <c r="GE679" s="65">
        <v>0.17280000000000001</v>
      </c>
      <c r="GH679" s="65" t="s">
        <v>423</v>
      </c>
      <c r="GP679" s="292" t="s">
        <v>7494</v>
      </c>
      <c r="HS679" s="227"/>
      <c r="HW679" s="227"/>
      <c r="JU679" s="55" t="s">
        <v>688</v>
      </c>
    </row>
    <row r="680" spans="1:281" x14ac:dyDescent="0.25">
      <c r="A680" s="55">
        <v>679</v>
      </c>
      <c r="B680" s="12" t="s">
        <v>7067</v>
      </c>
      <c r="C680" s="155">
        <v>30</v>
      </c>
      <c r="D680" s="55" t="s">
        <v>3800</v>
      </c>
      <c r="E680" s="90" t="s">
        <v>416</v>
      </c>
      <c r="G680" s="55" t="s">
        <v>417</v>
      </c>
      <c r="H680" s="55">
        <v>2002</v>
      </c>
      <c r="I680" s="55">
        <v>2000</v>
      </c>
      <c r="J680" s="55" t="s">
        <v>418</v>
      </c>
      <c r="K680" s="55" t="s">
        <v>419</v>
      </c>
      <c r="L680" s="55" t="s">
        <v>2737</v>
      </c>
      <c r="M680" s="90">
        <f>38+32/60</f>
        <v>38.533333333333331</v>
      </c>
      <c r="N680" s="90">
        <f>-121-47/60</f>
        <v>-121.78333333333333</v>
      </c>
      <c r="O680" s="90">
        <v>18.399999999999999</v>
      </c>
      <c r="S680" s="90">
        <v>483</v>
      </c>
      <c r="U680" s="55">
        <v>4</v>
      </c>
      <c r="V680" s="55" t="s">
        <v>1816</v>
      </c>
      <c r="Y680" s="55">
        <v>36541</v>
      </c>
      <c r="Z680" s="55" t="s">
        <v>1365</v>
      </c>
      <c r="AA680" s="90" t="s">
        <v>1685</v>
      </c>
      <c r="AE680" s="90">
        <v>36</v>
      </c>
      <c r="AF680" s="90">
        <v>46</v>
      </c>
      <c r="AH680" s="55" t="s">
        <v>139</v>
      </c>
      <c r="AM680" s="55" t="s">
        <v>1295</v>
      </c>
      <c r="AN680" s="185" t="s">
        <v>1497</v>
      </c>
      <c r="AO680" s="185" t="s">
        <v>5150</v>
      </c>
      <c r="AQ680" s="55" t="s">
        <v>553</v>
      </c>
      <c r="AR680" s="55" t="s">
        <v>1552</v>
      </c>
      <c r="AS680" s="55" t="s">
        <v>1577</v>
      </c>
      <c r="AT680" s="181" t="s">
        <v>420</v>
      </c>
      <c r="AU680" s="181" t="s">
        <v>5150</v>
      </c>
      <c r="AV680" s="185" t="s">
        <v>479</v>
      </c>
      <c r="AW680" s="55" t="s">
        <v>420</v>
      </c>
      <c r="AX680" s="185" t="s">
        <v>479</v>
      </c>
      <c r="AY680" s="55" t="s">
        <v>176</v>
      </c>
      <c r="BE680" s="226" t="s">
        <v>347</v>
      </c>
      <c r="BF680" s="191" t="s">
        <v>479</v>
      </c>
      <c r="BG680" s="55" t="s">
        <v>479</v>
      </c>
      <c r="BH680" s="226" t="s">
        <v>421</v>
      </c>
      <c r="BI680" s="55" t="s">
        <v>479</v>
      </c>
      <c r="BJ680" s="55" t="s">
        <v>479</v>
      </c>
      <c r="BK680" s="55" t="s">
        <v>5976</v>
      </c>
      <c r="BM680" s="192" t="s">
        <v>119</v>
      </c>
      <c r="BN680" s="55">
        <v>4</v>
      </c>
      <c r="BO680" s="55">
        <v>4</v>
      </c>
      <c r="BQ680" s="55" t="s">
        <v>315</v>
      </c>
      <c r="GD680" s="65">
        <v>0.1416</v>
      </c>
      <c r="GE680" s="65">
        <v>0.1875</v>
      </c>
      <c r="GH680" s="65" t="s">
        <v>423</v>
      </c>
      <c r="GP680" s="292" t="s">
        <v>7494</v>
      </c>
      <c r="HS680" s="227"/>
      <c r="HW680" s="227"/>
      <c r="JU680" s="55" t="s">
        <v>688</v>
      </c>
    </row>
    <row r="681" spans="1:281" x14ac:dyDescent="0.25">
      <c r="A681" s="55">
        <v>680</v>
      </c>
      <c r="B681" s="12" t="s">
        <v>7067</v>
      </c>
      <c r="C681" s="155">
        <v>30</v>
      </c>
      <c r="D681" s="55" t="s">
        <v>3800</v>
      </c>
      <c r="E681" s="90" t="s">
        <v>416</v>
      </c>
      <c r="G681" s="55" t="s">
        <v>417</v>
      </c>
      <c r="H681" s="55">
        <v>2002</v>
      </c>
      <c r="I681" s="55">
        <v>2000</v>
      </c>
      <c r="J681" s="55" t="s">
        <v>418</v>
      </c>
      <c r="K681" s="55" t="s">
        <v>419</v>
      </c>
      <c r="L681" s="55" t="s">
        <v>2737</v>
      </c>
      <c r="M681" s="90">
        <f>38+32/60</f>
        <v>38.533333333333331</v>
      </c>
      <c r="N681" s="90">
        <f>-121-47/60</f>
        <v>-121.78333333333333</v>
      </c>
      <c r="O681" s="90">
        <v>18.399999999999999</v>
      </c>
      <c r="S681" s="90">
        <v>483</v>
      </c>
      <c r="U681" s="55">
        <v>4</v>
      </c>
      <c r="V681" s="55" t="s">
        <v>1816</v>
      </c>
      <c r="Y681" s="55">
        <v>36541</v>
      </c>
      <c r="Z681" s="55" t="s">
        <v>1365</v>
      </c>
      <c r="AA681" s="90" t="s">
        <v>1685</v>
      </c>
      <c r="AE681" s="90">
        <v>36</v>
      </c>
      <c r="AF681" s="90">
        <v>46</v>
      </c>
      <c r="AH681" s="55" t="s">
        <v>139</v>
      </c>
      <c r="AM681" s="55" t="s">
        <v>1295</v>
      </c>
      <c r="AN681" s="185" t="s">
        <v>1497</v>
      </c>
      <c r="AO681" s="185" t="s">
        <v>5150</v>
      </c>
      <c r="AQ681" s="55" t="s">
        <v>553</v>
      </c>
      <c r="AR681" s="55" t="s">
        <v>1552</v>
      </c>
      <c r="AS681" s="55" t="s">
        <v>1577</v>
      </c>
      <c r="AT681" s="181" t="s">
        <v>420</v>
      </c>
      <c r="AU681" s="181" t="s">
        <v>5150</v>
      </c>
      <c r="AV681" s="185" t="s">
        <v>479</v>
      </c>
      <c r="AW681" s="55" t="s">
        <v>420</v>
      </c>
      <c r="AX681" s="185" t="s">
        <v>479</v>
      </c>
      <c r="AY681" s="55" t="s">
        <v>176</v>
      </c>
      <c r="BE681" s="226" t="s">
        <v>347</v>
      </c>
      <c r="BF681" s="191" t="s">
        <v>479</v>
      </c>
      <c r="BG681" s="55" t="s">
        <v>479</v>
      </c>
      <c r="BH681" s="226" t="s">
        <v>422</v>
      </c>
      <c r="BI681" s="55" t="s">
        <v>479</v>
      </c>
      <c r="BJ681" s="55" t="s">
        <v>479</v>
      </c>
      <c r="BK681" s="55" t="s">
        <v>5976</v>
      </c>
      <c r="BM681" s="192" t="s">
        <v>119</v>
      </c>
      <c r="BN681" s="55">
        <v>4</v>
      </c>
      <c r="BO681" s="55">
        <v>4</v>
      </c>
      <c r="BQ681" s="55" t="s">
        <v>315</v>
      </c>
      <c r="GD681" s="65">
        <v>0.1416</v>
      </c>
      <c r="GE681" s="65">
        <v>0.17280000000000001</v>
      </c>
      <c r="GH681" s="65" t="s">
        <v>423</v>
      </c>
      <c r="GP681" s="292" t="s">
        <v>7494</v>
      </c>
      <c r="HS681" s="227"/>
      <c r="HW681" s="227"/>
      <c r="JU681" s="55" t="s">
        <v>688</v>
      </c>
    </row>
    <row r="682" spans="1:281" x14ac:dyDescent="0.25">
      <c r="A682" s="55">
        <v>681</v>
      </c>
      <c r="B682" s="12" t="s">
        <v>7067</v>
      </c>
      <c r="C682" s="155">
        <v>30</v>
      </c>
      <c r="D682" s="55" t="s">
        <v>3800</v>
      </c>
      <c r="E682" s="90" t="s">
        <v>416</v>
      </c>
      <c r="G682" s="55" t="s">
        <v>417</v>
      </c>
      <c r="H682" s="55">
        <v>2002</v>
      </c>
      <c r="I682" s="55">
        <v>2000</v>
      </c>
      <c r="J682" s="55" t="s">
        <v>418</v>
      </c>
      <c r="K682" s="55" t="s">
        <v>419</v>
      </c>
      <c r="L682" s="55" t="s">
        <v>2737</v>
      </c>
      <c r="M682" s="90">
        <f>38+32/60</f>
        <v>38.533333333333331</v>
      </c>
      <c r="N682" s="90">
        <f>-121-47/60</f>
        <v>-121.78333333333333</v>
      </c>
      <c r="O682" s="90">
        <v>18.399999999999999</v>
      </c>
      <c r="S682" s="90">
        <v>483</v>
      </c>
      <c r="U682" s="55">
        <v>4</v>
      </c>
      <c r="V682" s="55" t="s">
        <v>1816</v>
      </c>
      <c r="Y682" s="55">
        <v>36549</v>
      </c>
      <c r="Z682" s="55" t="s">
        <v>1365</v>
      </c>
      <c r="AA682" s="90" t="s">
        <v>1685</v>
      </c>
      <c r="AE682" s="90">
        <v>36</v>
      </c>
      <c r="AF682" s="90">
        <v>46</v>
      </c>
      <c r="AH682" s="55" t="s">
        <v>139</v>
      </c>
      <c r="AM682" s="55" t="s">
        <v>1295</v>
      </c>
      <c r="AN682" s="185" t="s">
        <v>1497</v>
      </c>
      <c r="AO682" s="185" t="s">
        <v>5150</v>
      </c>
      <c r="AQ682" s="55" t="s">
        <v>553</v>
      </c>
      <c r="AR682" s="55" t="s">
        <v>1552</v>
      </c>
      <c r="AS682" s="55" t="s">
        <v>1577</v>
      </c>
      <c r="AT682" s="181" t="s">
        <v>420</v>
      </c>
      <c r="AU682" s="181" t="s">
        <v>5150</v>
      </c>
      <c r="AV682" s="185" t="s">
        <v>479</v>
      </c>
      <c r="AW682" s="55" t="s">
        <v>420</v>
      </c>
      <c r="AX682" s="185" t="s">
        <v>479</v>
      </c>
      <c r="AY682" s="55" t="s">
        <v>176</v>
      </c>
      <c r="BE682" s="226" t="s">
        <v>347</v>
      </c>
      <c r="BF682" s="191" t="s">
        <v>479</v>
      </c>
      <c r="BG682" s="55" t="s">
        <v>479</v>
      </c>
      <c r="BH682" s="226" t="s">
        <v>421</v>
      </c>
      <c r="BI682" s="55" t="s">
        <v>479</v>
      </c>
      <c r="BJ682" s="55" t="s">
        <v>479</v>
      </c>
      <c r="BK682" s="55" t="s">
        <v>5976</v>
      </c>
      <c r="BM682" s="192" t="s">
        <v>119</v>
      </c>
      <c r="BN682" s="55">
        <v>4</v>
      </c>
      <c r="BO682" s="55">
        <v>4</v>
      </c>
      <c r="BQ682" s="55" t="s">
        <v>315</v>
      </c>
      <c r="GD682" s="65">
        <v>0.1389</v>
      </c>
      <c r="GE682" s="65">
        <v>0.1875</v>
      </c>
      <c r="GH682" s="65" t="s">
        <v>423</v>
      </c>
      <c r="GP682" s="292" t="s">
        <v>7494</v>
      </c>
      <c r="HS682" s="227"/>
      <c r="HW682" s="227"/>
      <c r="JU682" s="55" t="s">
        <v>688</v>
      </c>
    </row>
    <row r="683" spans="1:281" x14ac:dyDescent="0.25">
      <c r="A683" s="55">
        <v>682</v>
      </c>
      <c r="B683" s="12" t="s">
        <v>7067</v>
      </c>
      <c r="C683" s="155">
        <v>30</v>
      </c>
      <c r="D683" s="55" t="s">
        <v>3800</v>
      </c>
      <c r="E683" s="90" t="s">
        <v>416</v>
      </c>
      <c r="G683" s="55" t="s">
        <v>417</v>
      </c>
      <c r="H683" s="55">
        <v>2002</v>
      </c>
      <c r="I683" s="55">
        <v>2000</v>
      </c>
      <c r="J683" s="55" t="s">
        <v>418</v>
      </c>
      <c r="K683" s="55" t="s">
        <v>419</v>
      </c>
      <c r="L683" s="55" t="s">
        <v>2737</v>
      </c>
      <c r="M683" s="90">
        <f>38+32/60</f>
        <v>38.533333333333331</v>
      </c>
      <c r="N683" s="90">
        <f>-121-47/60</f>
        <v>-121.78333333333333</v>
      </c>
      <c r="O683" s="90">
        <v>18.399999999999999</v>
      </c>
      <c r="S683" s="90">
        <v>483</v>
      </c>
      <c r="U683" s="55">
        <v>4</v>
      </c>
      <c r="V683" s="55" t="s">
        <v>1816</v>
      </c>
      <c r="Y683" s="55">
        <v>36549</v>
      </c>
      <c r="Z683" s="55" t="s">
        <v>1365</v>
      </c>
      <c r="AA683" s="90" t="s">
        <v>1685</v>
      </c>
      <c r="AE683" s="90">
        <v>36</v>
      </c>
      <c r="AF683" s="90">
        <v>46</v>
      </c>
      <c r="AH683" s="55" t="s">
        <v>139</v>
      </c>
      <c r="AM683" s="55" t="s">
        <v>1295</v>
      </c>
      <c r="AN683" s="185" t="s">
        <v>1497</v>
      </c>
      <c r="AO683" s="185" t="s">
        <v>5150</v>
      </c>
      <c r="AQ683" s="55" t="s">
        <v>553</v>
      </c>
      <c r="AR683" s="55" t="s">
        <v>1552</v>
      </c>
      <c r="AS683" s="55" t="s">
        <v>1577</v>
      </c>
      <c r="AT683" s="181" t="s">
        <v>420</v>
      </c>
      <c r="AU683" s="181" t="s">
        <v>5150</v>
      </c>
      <c r="AV683" s="185" t="s">
        <v>479</v>
      </c>
      <c r="AW683" s="55" t="s">
        <v>420</v>
      </c>
      <c r="AX683" s="185" t="s">
        <v>479</v>
      </c>
      <c r="AY683" s="55" t="s">
        <v>176</v>
      </c>
      <c r="BE683" s="226" t="s">
        <v>347</v>
      </c>
      <c r="BF683" s="191" t="s">
        <v>479</v>
      </c>
      <c r="BG683" s="55" t="s">
        <v>479</v>
      </c>
      <c r="BH683" s="226" t="s">
        <v>422</v>
      </c>
      <c r="BI683" s="55" t="s">
        <v>479</v>
      </c>
      <c r="BJ683" s="55" t="s">
        <v>479</v>
      </c>
      <c r="BK683" s="55" t="s">
        <v>5976</v>
      </c>
      <c r="BM683" s="192" t="s">
        <v>119</v>
      </c>
      <c r="BN683" s="55">
        <v>4</v>
      </c>
      <c r="BO683" s="55">
        <v>4</v>
      </c>
      <c r="BQ683" s="55" t="s">
        <v>315</v>
      </c>
      <c r="GD683" s="65">
        <v>0.1389</v>
      </c>
      <c r="GE683" s="65">
        <v>0.17469999999999999</v>
      </c>
      <c r="GH683" s="65" t="s">
        <v>423</v>
      </c>
      <c r="GP683" s="292" t="s">
        <v>7494</v>
      </c>
      <c r="HS683" s="227"/>
      <c r="HW683" s="227"/>
      <c r="JU683" s="55" t="s">
        <v>688</v>
      </c>
    </row>
    <row r="684" spans="1:281" x14ac:dyDescent="0.25">
      <c r="A684" s="55">
        <v>683</v>
      </c>
      <c r="B684" s="12" t="s">
        <v>7067</v>
      </c>
      <c r="C684" s="155">
        <v>30</v>
      </c>
      <c r="D684" s="55" t="s">
        <v>3800</v>
      </c>
      <c r="E684" s="90" t="s">
        <v>416</v>
      </c>
      <c r="G684" s="55" t="s">
        <v>417</v>
      </c>
      <c r="H684" s="55">
        <v>2002</v>
      </c>
      <c r="I684" s="55">
        <v>2000</v>
      </c>
      <c r="J684" s="55" t="s">
        <v>418</v>
      </c>
      <c r="K684" s="55" t="s">
        <v>419</v>
      </c>
      <c r="L684" s="55" t="s">
        <v>2737</v>
      </c>
      <c r="M684" s="90">
        <f>38+32/60</f>
        <v>38.533333333333331</v>
      </c>
      <c r="N684" s="90">
        <f>-121-47/60</f>
        <v>-121.78333333333333</v>
      </c>
      <c r="O684" s="90">
        <v>18.399999999999999</v>
      </c>
      <c r="S684" s="90">
        <v>483</v>
      </c>
      <c r="U684" s="55">
        <v>4</v>
      </c>
      <c r="V684" s="55" t="s">
        <v>1816</v>
      </c>
      <c r="Y684" s="55">
        <v>36562</v>
      </c>
      <c r="Z684" s="55" t="s">
        <v>1365</v>
      </c>
      <c r="AA684" s="90" t="s">
        <v>1685</v>
      </c>
      <c r="AE684" s="90">
        <v>36</v>
      </c>
      <c r="AF684" s="90">
        <v>46</v>
      </c>
      <c r="AH684" s="55" t="s">
        <v>139</v>
      </c>
      <c r="AM684" s="55" t="s">
        <v>1295</v>
      </c>
      <c r="AN684" s="185" t="s">
        <v>1497</v>
      </c>
      <c r="AO684" s="185" t="s">
        <v>5150</v>
      </c>
      <c r="AQ684" s="55" t="s">
        <v>553</v>
      </c>
      <c r="AR684" s="55" t="s">
        <v>1552</v>
      </c>
      <c r="AS684" s="55" t="s">
        <v>1577</v>
      </c>
      <c r="AT684" s="181" t="s">
        <v>420</v>
      </c>
      <c r="AU684" s="181" t="s">
        <v>5150</v>
      </c>
      <c r="AV684" s="185" t="s">
        <v>479</v>
      </c>
      <c r="AW684" s="55" t="s">
        <v>420</v>
      </c>
      <c r="AX684" s="185" t="s">
        <v>479</v>
      </c>
      <c r="AY684" s="55" t="s">
        <v>176</v>
      </c>
      <c r="BE684" s="226" t="s">
        <v>347</v>
      </c>
      <c r="BF684" s="191" t="s">
        <v>479</v>
      </c>
      <c r="BG684" s="55" t="s">
        <v>479</v>
      </c>
      <c r="BH684" s="226" t="s">
        <v>421</v>
      </c>
      <c r="BI684" s="55" t="s">
        <v>479</v>
      </c>
      <c r="BJ684" s="55" t="s">
        <v>479</v>
      </c>
      <c r="BK684" s="55" t="s">
        <v>5976</v>
      </c>
      <c r="BM684" s="192" t="s">
        <v>119</v>
      </c>
      <c r="BN684" s="55">
        <v>4</v>
      </c>
      <c r="BO684" s="55">
        <v>4</v>
      </c>
      <c r="BQ684" s="55" t="s">
        <v>315</v>
      </c>
      <c r="GD684" s="65">
        <v>0.14530000000000001</v>
      </c>
      <c r="GE684" s="65">
        <v>0.18940000000000001</v>
      </c>
      <c r="GH684" s="65" t="s">
        <v>423</v>
      </c>
      <c r="GP684" s="292" t="s">
        <v>7494</v>
      </c>
      <c r="HS684" s="227"/>
      <c r="HW684" s="227"/>
      <c r="JU684" s="55" t="s">
        <v>688</v>
      </c>
    </row>
    <row r="685" spans="1:281" x14ac:dyDescent="0.25">
      <c r="A685" s="55">
        <v>684</v>
      </c>
      <c r="B685" s="12" t="s">
        <v>7067</v>
      </c>
      <c r="C685" s="155">
        <v>30</v>
      </c>
      <c r="D685" s="55" t="s">
        <v>3800</v>
      </c>
      <c r="E685" s="90" t="s">
        <v>416</v>
      </c>
      <c r="G685" s="55" t="s">
        <v>417</v>
      </c>
      <c r="H685" s="55">
        <v>2002</v>
      </c>
      <c r="I685" s="55">
        <v>2000</v>
      </c>
      <c r="J685" s="55" t="s">
        <v>418</v>
      </c>
      <c r="K685" s="55" t="s">
        <v>419</v>
      </c>
      <c r="L685" s="55" t="s">
        <v>2737</v>
      </c>
      <c r="M685" s="90">
        <f>38+32/60</f>
        <v>38.533333333333331</v>
      </c>
      <c r="N685" s="90">
        <f>-121-47/60</f>
        <v>-121.78333333333333</v>
      </c>
      <c r="O685" s="90">
        <v>18.399999999999999</v>
      </c>
      <c r="S685" s="90">
        <v>483</v>
      </c>
      <c r="U685" s="55">
        <v>4</v>
      </c>
      <c r="V685" s="55" t="s">
        <v>1816</v>
      </c>
      <c r="Y685" s="55">
        <v>36562</v>
      </c>
      <c r="Z685" s="55" t="s">
        <v>1365</v>
      </c>
      <c r="AA685" s="90" t="s">
        <v>1685</v>
      </c>
      <c r="AE685" s="90">
        <v>36</v>
      </c>
      <c r="AF685" s="90">
        <v>46</v>
      </c>
      <c r="AH685" s="55" t="s">
        <v>139</v>
      </c>
      <c r="AM685" s="55" t="s">
        <v>1295</v>
      </c>
      <c r="AN685" s="185" t="s">
        <v>1497</v>
      </c>
      <c r="AO685" s="185" t="s">
        <v>5150</v>
      </c>
      <c r="AQ685" s="55" t="s">
        <v>553</v>
      </c>
      <c r="AR685" s="55" t="s">
        <v>1552</v>
      </c>
      <c r="AS685" s="55" t="s">
        <v>1577</v>
      </c>
      <c r="AT685" s="181" t="s">
        <v>420</v>
      </c>
      <c r="AU685" s="181" t="s">
        <v>5150</v>
      </c>
      <c r="AV685" s="185" t="s">
        <v>479</v>
      </c>
      <c r="AW685" s="55" t="s">
        <v>420</v>
      </c>
      <c r="AX685" s="185" t="s">
        <v>479</v>
      </c>
      <c r="AY685" s="55" t="s">
        <v>176</v>
      </c>
      <c r="BE685" s="226" t="s">
        <v>347</v>
      </c>
      <c r="BF685" s="191" t="s">
        <v>479</v>
      </c>
      <c r="BG685" s="55" t="s">
        <v>479</v>
      </c>
      <c r="BH685" s="226" t="s">
        <v>422</v>
      </c>
      <c r="BI685" s="55" t="s">
        <v>479</v>
      </c>
      <c r="BJ685" s="55" t="s">
        <v>479</v>
      </c>
      <c r="BK685" s="55" t="s">
        <v>5976</v>
      </c>
      <c r="BM685" s="192" t="s">
        <v>119</v>
      </c>
      <c r="BN685" s="55">
        <v>4</v>
      </c>
      <c r="BO685" s="55">
        <v>4</v>
      </c>
      <c r="BQ685" s="55" t="s">
        <v>315</v>
      </c>
      <c r="GD685" s="65">
        <v>0.14530000000000001</v>
      </c>
      <c r="GE685" s="65">
        <v>0.1774</v>
      </c>
      <c r="GH685" s="65" t="s">
        <v>423</v>
      </c>
      <c r="GP685" s="292" t="s">
        <v>7494</v>
      </c>
      <c r="HS685" s="227"/>
      <c r="HW685" s="227"/>
      <c r="JU685" s="55" t="s">
        <v>688</v>
      </c>
    </row>
    <row r="686" spans="1:281" x14ac:dyDescent="0.25">
      <c r="A686" s="55">
        <v>685</v>
      </c>
      <c r="B686" s="12" t="s">
        <v>7067</v>
      </c>
      <c r="C686" s="155">
        <v>30</v>
      </c>
      <c r="D686" s="55" t="s">
        <v>3800</v>
      </c>
      <c r="E686" s="90" t="s">
        <v>416</v>
      </c>
      <c r="G686" s="55" t="s">
        <v>417</v>
      </c>
      <c r="H686" s="55">
        <v>2002</v>
      </c>
      <c r="I686" s="55">
        <v>2000</v>
      </c>
      <c r="J686" s="55" t="s">
        <v>418</v>
      </c>
      <c r="K686" s="55" t="s">
        <v>419</v>
      </c>
      <c r="L686" s="55" t="s">
        <v>2737</v>
      </c>
      <c r="M686" s="90">
        <f>38+32/60</f>
        <v>38.533333333333331</v>
      </c>
      <c r="N686" s="90">
        <f>-121-47/60</f>
        <v>-121.78333333333333</v>
      </c>
      <c r="O686" s="90">
        <v>18.399999999999999</v>
      </c>
      <c r="S686" s="90">
        <v>483</v>
      </c>
      <c r="U686" s="55">
        <v>4</v>
      </c>
      <c r="V686" s="55" t="s">
        <v>1816</v>
      </c>
      <c r="Y686" s="55">
        <v>36566</v>
      </c>
      <c r="Z686" s="55" t="s">
        <v>1365</v>
      </c>
      <c r="AA686" s="90" t="s">
        <v>1685</v>
      </c>
      <c r="AE686" s="90">
        <v>36</v>
      </c>
      <c r="AF686" s="90">
        <v>46</v>
      </c>
      <c r="AH686" s="55" t="s">
        <v>139</v>
      </c>
      <c r="AM686" s="55" t="s">
        <v>1295</v>
      </c>
      <c r="AN686" s="185" t="s">
        <v>1497</v>
      </c>
      <c r="AO686" s="185" t="s">
        <v>5150</v>
      </c>
      <c r="AQ686" s="55" t="s">
        <v>553</v>
      </c>
      <c r="AR686" s="55" t="s">
        <v>1552</v>
      </c>
      <c r="AS686" s="55" t="s">
        <v>1577</v>
      </c>
      <c r="AT686" s="181" t="s">
        <v>420</v>
      </c>
      <c r="AU686" s="181" t="s">
        <v>5150</v>
      </c>
      <c r="AV686" s="185" t="s">
        <v>479</v>
      </c>
      <c r="AW686" s="55" t="s">
        <v>420</v>
      </c>
      <c r="AX686" s="185" t="s">
        <v>479</v>
      </c>
      <c r="AY686" s="55" t="s">
        <v>176</v>
      </c>
      <c r="BE686" s="226" t="s">
        <v>347</v>
      </c>
      <c r="BF686" s="191" t="s">
        <v>479</v>
      </c>
      <c r="BG686" s="55" t="s">
        <v>479</v>
      </c>
      <c r="BH686" s="226" t="s">
        <v>421</v>
      </c>
      <c r="BI686" s="55" t="s">
        <v>479</v>
      </c>
      <c r="BJ686" s="55" t="s">
        <v>479</v>
      </c>
      <c r="BK686" s="55" t="s">
        <v>5976</v>
      </c>
      <c r="BM686" s="192" t="s">
        <v>119</v>
      </c>
      <c r="BN686" s="55">
        <v>4</v>
      </c>
      <c r="BO686" s="55">
        <v>4</v>
      </c>
      <c r="BQ686" s="55" t="s">
        <v>315</v>
      </c>
      <c r="GD686" s="65">
        <v>0.14630000000000001</v>
      </c>
      <c r="GE686" s="65">
        <v>0.19489999999999999</v>
      </c>
      <c r="GH686" s="65" t="s">
        <v>423</v>
      </c>
      <c r="GP686" s="292" t="s">
        <v>7494</v>
      </c>
      <c r="HS686" s="227"/>
      <c r="HW686" s="227"/>
      <c r="JU686" s="55" t="s">
        <v>688</v>
      </c>
    </row>
    <row r="687" spans="1:281" x14ac:dyDescent="0.25">
      <c r="A687" s="55">
        <v>686</v>
      </c>
      <c r="B687" s="12" t="s">
        <v>7067</v>
      </c>
      <c r="C687" s="155">
        <v>30</v>
      </c>
      <c r="D687" s="55" t="s">
        <v>3800</v>
      </c>
      <c r="E687" s="90" t="s">
        <v>416</v>
      </c>
      <c r="G687" s="55" t="s">
        <v>417</v>
      </c>
      <c r="H687" s="55">
        <v>2002</v>
      </c>
      <c r="I687" s="55">
        <v>2000</v>
      </c>
      <c r="J687" s="55" t="s">
        <v>418</v>
      </c>
      <c r="K687" s="55" t="s">
        <v>419</v>
      </c>
      <c r="L687" s="55" t="s">
        <v>2737</v>
      </c>
      <c r="M687" s="90">
        <f>38+32/60</f>
        <v>38.533333333333331</v>
      </c>
      <c r="N687" s="90">
        <f>-121-47/60</f>
        <v>-121.78333333333333</v>
      </c>
      <c r="O687" s="90">
        <v>18.399999999999999</v>
      </c>
      <c r="S687" s="90">
        <v>483</v>
      </c>
      <c r="U687" s="55">
        <v>4</v>
      </c>
      <c r="V687" s="55" t="s">
        <v>1816</v>
      </c>
      <c r="Y687" s="55">
        <v>36566</v>
      </c>
      <c r="Z687" s="55" t="s">
        <v>1365</v>
      </c>
      <c r="AA687" s="90" t="s">
        <v>1685</v>
      </c>
      <c r="AE687" s="90">
        <v>36</v>
      </c>
      <c r="AF687" s="90">
        <v>46</v>
      </c>
      <c r="AH687" s="55" t="s">
        <v>139</v>
      </c>
      <c r="AM687" s="55" t="s">
        <v>1295</v>
      </c>
      <c r="AN687" s="185" t="s">
        <v>1497</v>
      </c>
      <c r="AO687" s="185" t="s">
        <v>5150</v>
      </c>
      <c r="AQ687" s="55" t="s">
        <v>553</v>
      </c>
      <c r="AR687" s="55" t="s">
        <v>1552</v>
      </c>
      <c r="AS687" s="55" t="s">
        <v>1577</v>
      </c>
      <c r="AT687" s="181" t="s">
        <v>420</v>
      </c>
      <c r="AU687" s="181" t="s">
        <v>5150</v>
      </c>
      <c r="AV687" s="185" t="s">
        <v>479</v>
      </c>
      <c r="AW687" s="55" t="s">
        <v>420</v>
      </c>
      <c r="AX687" s="185" t="s">
        <v>479</v>
      </c>
      <c r="AY687" s="55" t="s">
        <v>176</v>
      </c>
      <c r="BE687" s="226" t="s">
        <v>347</v>
      </c>
      <c r="BF687" s="191" t="s">
        <v>479</v>
      </c>
      <c r="BG687" s="55" t="s">
        <v>479</v>
      </c>
      <c r="BH687" s="226" t="s">
        <v>422</v>
      </c>
      <c r="BI687" s="55" t="s">
        <v>479</v>
      </c>
      <c r="BJ687" s="55" t="s">
        <v>479</v>
      </c>
      <c r="BK687" s="55" t="s">
        <v>5976</v>
      </c>
      <c r="BM687" s="192" t="s">
        <v>119</v>
      </c>
      <c r="BN687" s="55">
        <v>4</v>
      </c>
      <c r="BO687" s="55">
        <v>4</v>
      </c>
      <c r="BQ687" s="55" t="s">
        <v>315</v>
      </c>
      <c r="GD687" s="65">
        <v>0.14630000000000001</v>
      </c>
      <c r="GE687" s="65">
        <v>0.18110000000000001</v>
      </c>
      <c r="GH687" s="65" t="s">
        <v>423</v>
      </c>
      <c r="GP687" s="292" t="s">
        <v>7494</v>
      </c>
      <c r="HS687" s="227"/>
      <c r="HW687" s="227"/>
      <c r="JU687" s="55" t="s">
        <v>688</v>
      </c>
    </row>
    <row r="688" spans="1:281" x14ac:dyDescent="0.25">
      <c r="A688" s="55">
        <v>687</v>
      </c>
      <c r="B688" s="12" t="s">
        <v>7067</v>
      </c>
      <c r="C688" s="155">
        <v>30</v>
      </c>
      <c r="D688" s="55" t="s">
        <v>3800</v>
      </c>
      <c r="E688" s="90" t="s">
        <v>416</v>
      </c>
      <c r="G688" s="55" t="s">
        <v>417</v>
      </c>
      <c r="H688" s="55">
        <v>2002</v>
      </c>
      <c r="I688" s="55">
        <v>2000</v>
      </c>
      <c r="J688" s="55" t="s">
        <v>418</v>
      </c>
      <c r="K688" s="55" t="s">
        <v>419</v>
      </c>
      <c r="L688" s="55" t="s">
        <v>2737</v>
      </c>
      <c r="M688" s="90">
        <f>38+32/60</f>
        <v>38.533333333333331</v>
      </c>
      <c r="N688" s="90">
        <f>-121-47/60</f>
        <v>-121.78333333333333</v>
      </c>
      <c r="O688" s="90">
        <v>18.399999999999999</v>
      </c>
      <c r="S688" s="90">
        <v>483</v>
      </c>
      <c r="U688" s="55">
        <v>4</v>
      </c>
      <c r="V688" s="55" t="s">
        <v>1816</v>
      </c>
      <c r="Y688" s="55">
        <v>36572</v>
      </c>
      <c r="Z688" s="55" t="s">
        <v>1365</v>
      </c>
      <c r="AA688" s="90" t="s">
        <v>1685</v>
      </c>
      <c r="AE688" s="90">
        <v>36</v>
      </c>
      <c r="AF688" s="90">
        <v>46</v>
      </c>
      <c r="AH688" s="55" t="s">
        <v>139</v>
      </c>
      <c r="AM688" s="55" t="s">
        <v>1295</v>
      </c>
      <c r="AN688" s="185" t="s">
        <v>1497</v>
      </c>
      <c r="AO688" s="185" t="s">
        <v>5150</v>
      </c>
      <c r="AQ688" s="55" t="s">
        <v>553</v>
      </c>
      <c r="AR688" s="55" t="s">
        <v>1552</v>
      </c>
      <c r="AS688" s="55" t="s">
        <v>1577</v>
      </c>
      <c r="AT688" s="181" t="s">
        <v>420</v>
      </c>
      <c r="AU688" s="181" t="s">
        <v>5150</v>
      </c>
      <c r="AV688" s="185" t="s">
        <v>479</v>
      </c>
      <c r="AW688" s="55" t="s">
        <v>420</v>
      </c>
      <c r="AX688" s="185" t="s">
        <v>479</v>
      </c>
      <c r="AY688" s="55" t="s">
        <v>176</v>
      </c>
      <c r="BE688" s="226" t="s">
        <v>347</v>
      </c>
      <c r="BF688" s="191" t="s">
        <v>479</v>
      </c>
      <c r="BG688" s="55" t="s">
        <v>479</v>
      </c>
      <c r="BH688" s="226" t="s">
        <v>421</v>
      </c>
      <c r="BI688" s="55" t="s">
        <v>479</v>
      </c>
      <c r="BJ688" s="55" t="s">
        <v>479</v>
      </c>
      <c r="BK688" s="55" t="s">
        <v>5976</v>
      </c>
      <c r="BM688" s="192" t="s">
        <v>119</v>
      </c>
      <c r="BN688" s="55">
        <v>4</v>
      </c>
      <c r="BO688" s="55">
        <v>4</v>
      </c>
      <c r="BQ688" s="55" t="s">
        <v>315</v>
      </c>
      <c r="GD688" s="65">
        <v>0.15640000000000001</v>
      </c>
      <c r="GE688" s="65">
        <v>0.1958</v>
      </c>
      <c r="GH688" s="65" t="s">
        <v>423</v>
      </c>
      <c r="GP688" s="292" t="s">
        <v>7494</v>
      </c>
      <c r="HS688" s="227"/>
      <c r="HW688" s="227"/>
      <c r="JU688" s="55" t="s">
        <v>688</v>
      </c>
    </row>
    <row r="689" spans="1:282" x14ac:dyDescent="0.25">
      <c r="A689" s="55">
        <v>688</v>
      </c>
      <c r="B689" s="12" t="s">
        <v>7067</v>
      </c>
      <c r="C689" s="155">
        <v>30</v>
      </c>
      <c r="D689" s="55" t="s">
        <v>3800</v>
      </c>
      <c r="E689" s="90" t="s">
        <v>416</v>
      </c>
      <c r="G689" s="55" t="s">
        <v>417</v>
      </c>
      <c r="H689" s="55">
        <v>2002</v>
      </c>
      <c r="I689" s="55">
        <v>2000</v>
      </c>
      <c r="J689" s="55" t="s">
        <v>418</v>
      </c>
      <c r="K689" s="55" t="s">
        <v>419</v>
      </c>
      <c r="L689" s="55" t="s">
        <v>2737</v>
      </c>
      <c r="M689" s="90">
        <f>38+32/60</f>
        <v>38.533333333333331</v>
      </c>
      <c r="N689" s="90">
        <f>-121-47/60</f>
        <v>-121.78333333333333</v>
      </c>
      <c r="O689" s="90">
        <v>18.399999999999999</v>
      </c>
      <c r="S689" s="90">
        <v>483</v>
      </c>
      <c r="U689" s="55">
        <v>4</v>
      </c>
      <c r="V689" s="55" t="s">
        <v>1816</v>
      </c>
      <c r="Y689" s="55">
        <v>36572</v>
      </c>
      <c r="Z689" s="55" t="s">
        <v>1365</v>
      </c>
      <c r="AA689" s="90" t="s">
        <v>1685</v>
      </c>
      <c r="AE689" s="90">
        <v>36</v>
      </c>
      <c r="AF689" s="90">
        <v>46</v>
      </c>
      <c r="AH689" s="55" t="s">
        <v>139</v>
      </c>
      <c r="AM689" s="55" t="s">
        <v>1295</v>
      </c>
      <c r="AN689" s="185" t="s">
        <v>1497</v>
      </c>
      <c r="AO689" s="185" t="s">
        <v>5150</v>
      </c>
      <c r="AQ689" s="55" t="s">
        <v>553</v>
      </c>
      <c r="AR689" s="55" t="s">
        <v>1552</v>
      </c>
      <c r="AS689" s="55" t="s">
        <v>1577</v>
      </c>
      <c r="AT689" s="181" t="s">
        <v>420</v>
      </c>
      <c r="AU689" s="181" t="s">
        <v>5150</v>
      </c>
      <c r="AV689" s="185" t="s">
        <v>479</v>
      </c>
      <c r="AW689" s="55" t="s">
        <v>420</v>
      </c>
      <c r="AX689" s="185" t="s">
        <v>479</v>
      </c>
      <c r="AY689" s="55" t="s">
        <v>176</v>
      </c>
      <c r="BE689" s="226" t="s">
        <v>347</v>
      </c>
      <c r="BF689" s="191" t="s">
        <v>479</v>
      </c>
      <c r="BG689" s="55" t="s">
        <v>479</v>
      </c>
      <c r="BH689" s="226" t="s">
        <v>422</v>
      </c>
      <c r="BI689" s="55" t="s">
        <v>479</v>
      </c>
      <c r="BJ689" s="55" t="s">
        <v>479</v>
      </c>
      <c r="BK689" s="55" t="s">
        <v>5976</v>
      </c>
      <c r="BM689" s="192" t="s">
        <v>119</v>
      </c>
      <c r="BN689" s="55">
        <v>4</v>
      </c>
      <c r="BO689" s="55">
        <v>4</v>
      </c>
      <c r="BQ689" s="55" t="s">
        <v>315</v>
      </c>
      <c r="GD689" s="65">
        <v>0.15640000000000001</v>
      </c>
      <c r="GE689" s="65">
        <v>0.1958</v>
      </c>
      <c r="GH689" s="65" t="s">
        <v>423</v>
      </c>
      <c r="GP689" s="292" t="s">
        <v>7494</v>
      </c>
      <c r="HS689" s="227"/>
      <c r="HW689" s="227"/>
      <c r="JU689" s="55" t="s">
        <v>688</v>
      </c>
    </row>
    <row r="690" spans="1:282" x14ac:dyDescent="0.25">
      <c r="A690" s="55">
        <v>689</v>
      </c>
      <c r="B690" s="12" t="s">
        <v>7067</v>
      </c>
      <c r="C690" s="155">
        <v>30</v>
      </c>
      <c r="D690" s="55" t="s">
        <v>3800</v>
      </c>
      <c r="E690" s="90" t="s">
        <v>416</v>
      </c>
      <c r="G690" s="55" t="s">
        <v>417</v>
      </c>
      <c r="H690" s="55">
        <v>2002</v>
      </c>
      <c r="I690" s="55">
        <v>2000</v>
      </c>
      <c r="J690" s="55" t="s">
        <v>418</v>
      </c>
      <c r="K690" s="55" t="s">
        <v>419</v>
      </c>
      <c r="L690" s="55" t="s">
        <v>2737</v>
      </c>
      <c r="M690" s="90">
        <f>38+32/60</f>
        <v>38.533333333333331</v>
      </c>
      <c r="N690" s="90">
        <f>-121-47/60</f>
        <v>-121.78333333333333</v>
      </c>
      <c r="O690" s="90">
        <v>18.399999999999999</v>
      </c>
      <c r="S690" s="90">
        <v>483</v>
      </c>
      <c r="U690" s="55">
        <v>4</v>
      </c>
      <c r="V690" s="55" t="s">
        <v>1816</v>
      </c>
      <c r="Y690" s="55">
        <v>36582</v>
      </c>
      <c r="Z690" s="55" t="s">
        <v>1365</v>
      </c>
      <c r="AA690" s="90" t="s">
        <v>1685</v>
      </c>
      <c r="AE690" s="90">
        <v>36</v>
      </c>
      <c r="AF690" s="90">
        <v>46</v>
      </c>
      <c r="AH690" s="55" t="s">
        <v>139</v>
      </c>
      <c r="AM690" s="55" t="s">
        <v>1295</v>
      </c>
      <c r="AN690" s="185" t="s">
        <v>1497</v>
      </c>
      <c r="AO690" s="185" t="s">
        <v>5150</v>
      </c>
      <c r="AQ690" s="55" t="s">
        <v>553</v>
      </c>
      <c r="AR690" s="55" t="s">
        <v>1552</v>
      </c>
      <c r="AS690" s="55" t="s">
        <v>1577</v>
      </c>
      <c r="AT690" s="181" t="s">
        <v>420</v>
      </c>
      <c r="AU690" s="181" t="s">
        <v>5150</v>
      </c>
      <c r="AV690" s="185" t="s">
        <v>479</v>
      </c>
      <c r="AW690" s="55" t="s">
        <v>420</v>
      </c>
      <c r="AX690" s="185" t="s">
        <v>479</v>
      </c>
      <c r="AY690" s="55" t="s">
        <v>176</v>
      </c>
      <c r="BE690" s="226" t="s">
        <v>347</v>
      </c>
      <c r="BF690" s="191" t="s">
        <v>479</v>
      </c>
      <c r="BG690" s="55" t="s">
        <v>479</v>
      </c>
      <c r="BH690" s="226" t="s">
        <v>421</v>
      </c>
      <c r="BI690" s="55" t="s">
        <v>479</v>
      </c>
      <c r="BJ690" s="55" t="s">
        <v>479</v>
      </c>
      <c r="BK690" s="55" t="s">
        <v>5976</v>
      </c>
      <c r="BM690" s="192" t="s">
        <v>119</v>
      </c>
      <c r="BN690" s="55">
        <v>4</v>
      </c>
      <c r="BO690" s="55">
        <v>4</v>
      </c>
      <c r="BQ690" s="55" t="s">
        <v>315</v>
      </c>
      <c r="GD690" s="65">
        <v>0.17100000000000001</v>
      </c>
      <c r="GE690" s="65">
        <v>0.20399999999999999</v>
      </c>
      <c r="GH690" s="65" t="s">
        <v>423</v>
      </c>
      <c r="GP690" s="292" t="s">
        <v>7494</v>
      </c>
      <c r="HS690" s="227"/>
      <c r="HW690" s="227"/>
      <c r="JU690" s="55" t="s">
        <v>688</v>
      </c>
    </row>
    <row r="691" spans="1:282" x14ac:dyDescent="0.25">
      <c r="A691" s="55">
        <v>690</v>
      </c>
      <c r="B691" s="12" t="s">
        <v>7067</v>
      </c>
      <c r="C691" s="155">
        <v>30</v>
      </c>
      <c r="D691" s="55" t="s">
        <v>3800</v>
      </c>
      <c r="E691" s="90" t="s">
        <v>416</v>
      </c>
      <c r="G691" s="55" t="s">
        <v>417</v>
      </c>
      <c r="H691" s="55">
        <v>2002</v>
      </c>
      <c r="I691" s="55">
        <v>2000</v>
      </c>
      <c r="J691" s="55" t="s">
        <v>418</v>
      </c>
      <c r="K691" s="55" t="s">
        <v>419</v>
      </c>
      <c r="L691" s="55" t="s">
        <v>2737</v>
      </c>
      <c r="M691" s="90">
        <f>38+32/60</f>
        <v>38.533333333333331</v>
      </c>
      <c r="N691" s="90">
        <f>-121-47/60</f>
        <v>-121.78333333333333</v>
      </c>
      <c r="O691" s="90">
        <v>18.399999999999999</v>
      </c>
      <c r="S691" s="90">
        <v>483</v>
      </c>
      <c r="U691" s="55">
        <v>4</v>
      </c>
      <c r="V691" s="55" t="s">
        <v>1816</v>
      </c>
      <c r="Y691" s="55">
        <v>36582</v>
      </c>
      <c r="Z691" s="55" t="s">
        <v>1365</v>
      </c>
      <c r="AA691" s="90" t="s">
        <v>1685</v>
      </c>
      <c r="AE691" s="90">
        <v>36</v>
      </c>
      <c r="AF691" s="90">
        <v>46</v>
      </c>
      <c r="AH691" s="55" t="s">
        <v>139</v>
      </c>
      <c r="AM691" s="55" t="s">
        <v>1295</v>
      </c>
      <c r="AN691" s="185" t="s">
        <v>1497</v>
      </c>
      <c r="AO691" s="185" t="s">
        <v>5150</v>
      </c>
      <c r="AQ691" s="55" t="s">
        <v>553</v>
      </c>
      <c r="AR691" s="55" t="s">
        <v>1552</v>
      </c>
      <c r="AS691" s="55" t="s">
        <v>1577</v>
      </c>
      <c r="AT691" s="181" t="s">
        <v>420</v>
      </c>
      <c r="AU691" s="181" t="s">
        <v>5150</v>
      </c>
      <c r="AV691" s="185" t="s">
        <v>479</v>
      </c>
      <c r="AW691" s="55" t="s">
        <v>420</v>
      </c>
      <c r="AX691" s="185" t="s">
        <v>479</v>
      </c>
      <c r="AY691" s="55" t="s">
        <v>176</v>
      </c>
      <c r="BE691" s="226" t="s">
        <v>347</v>
      </c>
      <c r="BF691" s="191" t="s">
        <v>479</v>
      </c>
      <c r="BG691" s="55" t="s">
        <v>479</v>
      </c>
      <c r="BH691" s="226" t="s">
        <v>422</v>
      </c>
      <c r="BI691" s="55" t="s">
        <v>479</v>
      </c>
      <c r="BJ691" s="55" t="s">
        <v>479</v>
      </c>
      <c r="BK691" s="55" t="s">
        <v>5976</v>
      </c>
      <c r="BM691" s="192" t="s">
        <v>119</v>
      </c>
      <c r="BN691" s="55">
        <v>4</v>
      </c>
      <c r="BO691" s="55">
        <v>4</v>
      </c>
      <c r="BQ691" s="55" t="s">
        <v>315</v>
      </c>
      <c r="GD691" s="65">
        <v>0.17100000000000001</v>
      </c>
      <c r="GE691" s="65">
        <v>0.20399999999999999</v>
      </c>
      <c r="GH691" s="65" t="s">
        <v>423</v>
      </c>
      <c r="GP691" s="292" t="s">
        <v>7494</v>
      </c>
      <c r="HS691" s="227"/>
      <c r="HW691" s="227"/>
      <c r="JU691" s="55" t="s">
        <v>688</v>
      </c>
    </row>
    <row r="692" spans="1:282" x14ac:dyDescent="0.25">
      <c r="A692" s="55">
        <v>691</v>
      </c>
      <c r="B692" s="12" t="s">
        <v>7067</v>
      </c>
      <c r="C692" s="155">
        <v>30</v>
      </c>
      <c r="D692" s="55" t="s">
        <v>3800</v>
      </c>
      <c r="E692" s="90" t="s">
        <v>416</v>
      </c>
      <c r="G692" s="55" t="s">
        <v>417</v>
      </c>
      <c r="H692" s="55">
        <v>2002</v>
      </c>
      <c r="I692" s="55">
        <v>2000</v>
      </c>
      <c r="J692" s="55" t="s">
        <v>418</v>
      </c>
      <c r="K692" s="55" t="s">
        <v>419</v>
      </c>
      <c r="L692" s="55" t="s">
        <v>2737</v>
      </c>
      <c r="M692" s="90">
        <f>38+32/60</f>
        <v>38.533333333333331</v>
      </c>
      <c r="N692" s="90">
        <f>-121-47/60</f>
        <v>-121.78333333333333</v>
      </c>
      <c r="O692" s="90">
        <v>18.399999999999999</v>
      </c>
      <c r="S692" s="90">
        <v>483</v>
      </c>
      <c r="U692" s="55">
        <v>4</v>
      </c>
      <c r="V692" s="55" t="s">
        <v>1816</v>
      </c>
      <c r="Y692" s="55">
        <v>36587</v>
      </c>
      <c r="Z692" s="55" t="s">
        <v>1365</v>
      </c>
      <c r="AA692" s="90" t="s">
        <v>1685</v>
      </c>
      <c r="AE692" s="90">
        <v>36</v>
      </c>
      <c r="AF692" s="90">
        <v>46</v>
      </c>
      <c r="AH692" s="55" t="s">
        <v>139</v>
      </c>
      <c r="AM692" s="55" t="s">
        <v>1295</v>
      </c>
      <c r="AN692" s="185" t="s">
        <v>1497</v>
      </c>
      <c r="AO692" s="185" t="s">
        <v>5150</v>
      </c>
      <c r="AQ692" s="55" t="s">
        <v>553</v>
      </c>
      <c r="AR692" s="55" t="s">
        <v>1552</v>
      </c>
      <c r="AS692" s="55" t="s">
        <v>1577</v>
      </c>
      <c r="AT692" s="181" t="s">
        <v>420</v>
      </c>
      <c r="AU692" s="181" t="s">
        <v>5150</v>
      </c>
      <c r="AV692" s="185" t="s">
        <v>479</v>
      </c>
      <c r="AW692" s="55" t="s">
        <v>420</v>
      </c>
      <c r="AX692" s="185" t="s">
        <v>479</v>
      </c>
      <c r="AY692" s="55" t="s">
        <v>176</v>
      </c>
      <c r="BE692" s="226" t="s">
        <v>347</v>
      </c>
      <c r="BF692" s="191" t="s">
        <v>479</v>
      </c>
      <c r="BG692" s="55" t="s">
        <v>479</v>
      </c>
      <c r="BH692" s="226" t="s">
        <v>421</v>
      </c>
      <c r="BI692" s="55" t="s">
        <v>479</v>
      </c>
      <c r="BJ692" s="55" t="s">
        <v>479</v>
      </c>
      <c r="BK692" s="55" t="s">
        <v>5976</v>
      </c>
      <c r="BM692" s="192" t="s">
        <v>119</v>
      </c>
      <c r="BN692" s="55">
        <v>4</v>
      </c>
      <c r="BO692" s="55">
        <v>4</v>
      </c>
      <c r="BQ692" s="55" t="s">
        <v>315</v>
      </c>
      <c r="GD692" s="65">
        <v>0.17660000000000001</v>
      </c>
      <c r="GE692" s="65">
        <v>0.20860000000000001</v>
      </c>
      <c r="GH692" s="65" t="s">
        <v>423</v>
      </c>
      <c r="GP692" s="292" t="s">
        <v>7494</v>
      </c>
      <c r="HS692" s="227"/>
      <c r="HW692" s="227"/>
      <c r="JU692" s="55" t="s">
        <v>688</v>
      </c>
    </row>
    <row r="693" spans="1:282" x14ac:dyDescent="0.25">
      <c r="A693" s="55">
        <v>692</v>
      </c>
      <c r="B693" s="12" t="s">
        <v>7067</v>
      </c>
      <c r="C693" s="155">
        <v>30</v>
      </c>
      <c r="D693" s="55" t="s">
        <v>3800</v>
      </c>
      <c r="E693" s="90" t="s">
        <v>416</v>
      </c>
      <c r="G693" s="55" t="s">
        <v>417</v>
      </c>
      <c r="H693" s="55">
        <v>2002</v>
      </c>
      <c r="I693" s="55">
        <v>2000</v>
      </c>
      <c r="J693" s="55" t="s">
        <v>418</v>
      </c>
      <c r="K693" s="55" t="s">
        <v>419</v>
      </c>
      <c r="L693" s="55" t="s">
        <v>2737</v>
      </c>
      <c r="M693" s="90">
        <f>38+32/60</f>
        <v>38.533333333333331</v>
      </c>
      <c r="N693" s="90">
        <f>-121-47/60</f>
        <v>-121.78333333333333</v>
      </c>
      <c r="O693" s="90">
        <v>18.399999999999999</v>
      </c>
      <c r="S693" s="90">
        <v>483</v>
      </c>
      <c r="U693" s="55">
        <v>4</v>
      </c>
      <c r="V693" s="55" t="s">
        <v>1816</v>
      </c>
      <c r="Y693" s="55">
        <v>36587</v>
      </c>
      <c r="Z693" s="55" t="s">
        <v>1365</v>
      </c>
      <c r="AA693" s="90" t="s">
        <v>1685</v>
      </c>
      <c r="AE693" s="90">
        <v>36</v>
      </c>
      <c r="AF693" s="90">
        <v>46</v>
      </c>
      <c r="AH693" s="55" t="s">
        <v>139</v>
      </c>
      <c r="AM693" s="55" t="s">
        <v>1295</v>
      </c>
      <c r="AN693" s="185" t="s">
        <v>1497</v>
      </c>
      <c r="AO693" s="185" t="s">
        <v>5150</v>
      </c>
      <c r="AQ693" s="55" t="s">
        <v>553</v>
      </c>
      <c r="AR693" s="55" t="s">
        <v>1552</v>
      </c>
      <c r="AS693" s="55" t="s">
        <v>1577</v>
      </c>
      <c r="AT693" s="181" t="s">
        <v>420</v>
      </c>
      <c r="AU693" s="181" t="s">
        <v>5150</v>
      </c>
      <c r="AV693" s="185" t="s">
        <v>479</v>
      </c>
      <c r="AW693" s="55" t="s">
        <v>420</v>
      </c>
      <c r="AX693" s="185" t="s">
        <v>479</v>
      </c>
      <c r="AY693" s="55" t="s">
        <v>176</v>
      </c>
      <c r="BE693" s="226" t="s">
        <v>347</v>
      </c>
      <c r="BF693" s="191" t="s">
        <v>479</v>
      </c>
      <c r="BG693" s="55" t="s">
        <v>479</v>
      </c>
      <c r="BH693" s="226" t="s">
        <v>422</v>
      </c>
      <c r="BI693" s="55" t="s">
        <v>479</v>
      </c>
      <c r="BJ693" s="55" t="s">
        <v>479</v>
      </c>
      <c r="BK693" s="55" t="s">
        <v>5976</v>
      </c>
      <c r="BM693" s="192" t="s">
        <v>119</v>
      </c>
      <c r="BN693" s="55">
        <v>4</v>
      </c>
      <c r="BO693" s="55">
        <v>4</v>
      </c>
      <c r="BQ693" s="55" t="s">
        <v>315</v>
      </c>
      <c r="GD693" s="65">
        <v>0.17660000000000001</v>
      </c>
      <c r="GE693" s="65">
        <v>0.20860000000000001</v>
      </c>
      <c r="GH693" s="65" t="s">
        <v>423</v>
      </c>
      <c r="GP693" s="292" t="s">
        <v>7494</v>
      </c>
      <c r="HS693" s="227"/>
      <c r="HW693" s="227"/>
      <c r="JU693" s="55" t="s">
        <v>688</v>
      </c>
    </row>
    <row r="694" spans="1:282" x14ac:dyDescent="0.25">
      <c r="A694" s="55">
        <v>693</v>
      </c>
      <c r="B694" s="12" t="s">
        <v>7067</v>
      </c>
      <c r="C694" s="155">
        <v>30</v>
      </c>
      <c r="D694" s="55" t="s">
        <v>3800</v>
      </c>
      <c r="E694" s="90" t="s">
        <v>416</v>
      </c>
      <c r="G694" s="55" t="s">
        <v>417</v>
      </c>
      <c r="H694" s="55">
        <v>2002</v>
      </c>
      <c r="I694" s="55">
        <v>2000</v>
      </c>
      <c r="J694" s="55" t="s">
        <v>418</v>
      </c>
      <c r="K694" s="55" t="s">
        <v>419</v>
      </c>
      <c r="L694" s="55" t="s">
        <v>2737</v>
      </c>
      <c r="M694" s="90">
        <f>38+32/60</f>
        <v>38.533333333333331</v>
      </c>
      <c r="N694" s="90">
        <f>-121-47/60</f>
        <v>-121.78333333333333</v>
      </c>
      <c r="O694" s="90">
        <v>18.399999999999999</v>
      </c>
      <c r="S694" s="90">
        <v>483</v>
      </c>
      <c r="U694" s="55">
        <v>4</v>
      </c>
      <c r="V694" s="55" t="s">
        <v>1816</v>
      </c>
      <c r="Y694" s="55">
        <v>36598</v>
      </c>
      <c r="Z694" s="55" t="s">
        <v>1365</v>
      </c>
      <c r="AA694" s="90" t="s">
        <v>1685</v>
      </c>
      <c r="AE694" s="90">
        <v>36</v>
      </c>
      <c r="AF694" s="90">
        <v>46</v>
      </c>
      <c r="AH694" s="55" t="s">
        <v>139</v>
      </c>
      <c r="AM694" s="55" t="s">
        <v>1295</v>
      </c>
      <c r="AN694" s="185" t="s">
        <v>1497</v>
      </c>
      <c r="AO694" s="185" t="s">
        <v>5150</v>
      </c>
      <c r="AQ694" s="55" t="s">
        <v>553</v>
      </c>
      <c r="AR694" s="55" t="s">
        <v>1552</v>
      </c>
      <c r="AS694" s="55" t="s">
        <v>1577</v>
      </c>
      <c r="AT694" s="181" t="s">
        <v>420</v>
      </c>
      <c r="AU694" s="181" t="s">
        <v>5150</v>
      </c>
      <c r="AV694" s="185" t="s">
        <v>479</v>
      </c>
      <c r="AW694" s="55" t="s">
        <v>420</v>
      </c>
      <c r="AX694" s="185" t="s">
        <v>479</v>
      </c>
      <c r="AY694" s="55" t="s">
        <v>176</v>
      </c>
      <c r="BE694" s="226" t="s">
        <v>347</v>
      </c>
      <c r="BF694" s="191" t="s">
        <v>479</v>
      </c>
      <c r="BG694" s="55" t="s">
        <v>479</v>
      </c>
      <c r="BH694" s="226" t="s">
        <v>421</v>
      </c>
      <c r="BI694" s="55" t="s">
        <v>479</v>
      </c>
      <c r="BJ694" s="55" t="s">
        <v>479</v>
      </c>
      <c r="BK694" s="55" t="s">
        <v>5976</v>
      </c>
      <c r="BM694" s="192" t="s">
        <v>119</v>
      </c>
      <c r="BN694" s="55">
        <v>4</v>
      </c>
      <c r="BO694" s="55">
        <v>4</v>
      </c>
      <c r="BQ694" s="55" t="s">
        <v>315</v>
      </c>
      <c r="GD694" s="65">
        <v>0.1757</v>
      </c>
      <c r="GE694" s="65">
        <v>0.21790000000000001</v>
      </c>
      <c r="GH694" s="65" t="s">
        <v>423</v>
      </c>
      <c r="GP694" s="292" t="s">
        <v>7494</v>
      </c>
      <c r="HS694" s="227"/>
      <c r="HW694" s="227"/>
      <c r="JU694" s="55" t="s">
        <v>688</v>
      </c>
    </row>
    <row r="695" spans="1:282" x14ac:dyDescent="0.25">
      <c r="A695" s="55">
        <v>694</v>
      </c>
      <c r="B695" s="12" t="s">
        <v>7067</v>
      </c>
      <c r="C695" s="155">
        <v>30</v>
      </c>
      <c r="D695" s="55" t="s">
        <v>3800</v>
      </c>
      <c r="E695" s="90" t="s">
        <v>416</v>
      </c>
      <c r="G695" s="55" t="s">
        <v>417</v>
      </c>
      <c r="H695" s="55">
        <v>2002</v>
      </c>
      <c r="I695" s="55">
        <v>2000</v>
      </c>
      <c r="J695" s="55" t="s">
        <v>418</v>
      </c>
      <c r="K695" s="55" t="s">
        <v>419</v>
      </c>
      <c r="L695" s="55" t="s">
        <v>2737</v>
      </c>
      <c r="M695" s="90">
        <f>38+32/60</f>
        <v>38.533333333333331</v>
      </c>
      <c r="N695" s="90">
        <f>-121-47/60</f>
        <v>-121.78333333333333</v>
      </c>
      <c r="O695" s="90">
        <v>18.399999999999999</v>
      </c>
      <c r="S695" s="90">
        <v>483</v>
      </c>
      <c r="U695" s="55">
        <v>4</v>
      </c>
      <c r="V695" s="55" t="s">
        <v>1816</v>
      </c>
      <c r="Y695" s="55">
        <v>36598</v>
      </c>
      <c r="Z695" s="55" t="s">
        <v>1365</v>
      </c>
      <c r="AA695" s="90" t="s">
        <v>1685</v>
      </c>
      <c r="AE695" s="90">
        <v>36</v>
      </c>
      <c r="AF695" s="90">
        <v>46</v>
      </c>
      <c r="AH695" s="55" t="s">
        <v>139</v>
      </c>
      <c r="AM695" s="55" t="s">
        <v>1295</v>
      </c>
      <c r="AN695" s="185" t="s">
        <v>1497</v>
      </c>
      <c r="AO695" s="185" t="s">
        <v>5150</v>
      </c>
      <c r="AQ695" s="55" t="s">
        <v>553</v>
      </c>
      <c r="AR695" s="55" t="s">
        <v>1552</v>
      </c>
      <c r="AS695" s="55" t="s">
        <v>1577</v>
      </c>
      <c r="AT695" s="181" t="s">
        <v>420</v>
      </c>
      <c r="AU695" s="181" t="s">
        <v>5150</v>
      </c>
      <c r="AV695" s="185" t="s">
        <v>479</v>
      </c>
      <c r="AW695" s="55" t="s">
        <v>420</v>
      </c>
      <c r="AX695" s="185" t="s">
        <v>479</v>
      </c>
      <c r="AY695" s="55" t="s">
        <v>176</v>
      </c>
      <c r="BE695" s="226" t="s">
        <v>347</v>
      </c>
      <c r="BF695" s="191" t="s">
        <v>479</v>
      </c>
      <c r="BG695" s="55" t="s">
        <v>479</v>
      </c>
      <c r="BH695" s="226" t="s">
        <v>422</v>
      </c>
      <c r="BI695" s="55" t="s">
        <v>479</v>
      </c>
      <c r="BJ695" s="55" t="s">
        <v>479</v>
      </c>
      <c r="BK695" s="55" t="s">
        <v>5976</v>
      </c>
      <c r="BM695" s="192" t="s">
        <v>119</v>
      </c>
      <c r="BN695" s="55">
        <v>4</v>
      </c>
      <c r="BO695" s="55">
        <v>4</v>
      </c>
      <c r="BQ695" s="55" t="s">
        <v>315</v>
      </c>
      <c r="GD695" s="65">
        <v>0.1757</v>
      </c>
      <c r="GE695" s="65">
        <v>0.21060000000000001</v>
      </c>
      <c r="GH695" s="65" t="s">
        <v>423</v>
      </c>
      <c r="GP695" s="292" t="s">
        <v>7494</v>
      </c>
      <c r="HS695" s="227"/>
      <c r="HW695" s="227"/>
      <c r="JU695" s="55" t="s">
        <v>688</v>
      </c>
    </row>
    <row r="696" spans="1:282" x14ac:dyDescent="0.25">
      <c r="A696" s="55">
        <v>695</v>
      </c>
      <c r="B696" s="12" t="s">
        <v>7067</v>
      </c>
      <c r="C696" s="155">
        <v>31</v>
      </c>
      <c r="D696" s="55" t="s">
        <v>3801</v>
      </c>
      <c r="E696" s="90" t="s">
        <v>425</v>
      </c>
      <c r="G696" s="55" t="s">
        <v>426</v>
      </c>
      <c r="H696" s="55">
        <v>1999</v>
      </c>
      <c r="I696" s="55">
        <v>1997</v>
      </c>
      <c r="J696" s="55" t="s">
        <v>427</v>
      </c>
      <c r="K696" s="55" t="s">
        <v>298</v>
      </c>
      <c r="L696" s="55" t="s">
        <v>2737</v>
      </c>
      <c r="M696" s="90">
        <v>40.716666666666669</v>
      </c>
      <c r="N696" s="90">
        <v>-77.916666666666671</v>
      </c>
      <c r="O696" s="90">
        <v>350</v>
      </c>
      <c r="S696" s="90">
        <v>975</v>
      </c>
      <c r="U696" s="55">
        <v>1</v>
      </c>
      <c r="V696" s="55">
        <v>1</v>
      </c>
      <c r="Y696" s="55" t="s">
        <v>429</v>
      </c>
      <c r="Z696" s="55" t="s">
        <v>1344</v>
      </c>
      <c r="AA696" s="90" t="s">
        <v>1344</v>
      </c>
      <c r="AH696" s="55" t="s">
        <v>6378</v>
      </c>
      <c r="AI696" s="168">
        <v>6.38</v>
      </c>
      <c r="AN696" s="185" t="s">
        <v>1491</v>
      </c>
      <c r="AO696" s="185" t="s">
        <v>5150</v>
      </c>
      <c r="AQ696" s="55" t="s">
        <v>1545</v>
      </c>
      <c r="AR696" s="55" t="s">
        <v>132</v>
      </c>
      <c r="AS696" s="55" t="s">
        <v>132</v>
      </c>
      <c r="AU696" s="181" t="s">
        <v>7494</v>
      </c>
      <c r="AV696" s="185" t="s">
        <v>176</v>
      </c>
      <c r="AX696" s="185" t="s">
        <v>176</v>
      </c>
      <c r="AZ696" s="55" t="s">
        <v>277</v>
      </c>
      <c r="BA696" s="55" t="s">
        <v>277</v>
      </c>
      <c r="BB696" s="55" t="s">
        <v>2081</v>
      </c>
      <c r="BC696" s="55" t="s">
        <v>2081</v>
      </c>
      <c r="BD696" s="55" t="s">
        <v>176</v>
      </c>
      <c r="BE696" s="226" t="s">
        <v>434</v>
      </c>
      <c r="BF696" s="191" t="s">
        <v>479</v>
      </c>
      <c r="BG696" s="55" t="s">
        <v>479</v>
      </c>
      <c r="BH696" s="226" t="s">
        <v>434</v>
      </c>
      <c r="BI696" s="55" t="s">
        <v>479</v>
      </c>
      <c r="BK696" s="55" t="s">
        <v>5976</v>
      </c>
      <c r="BM696" s="192" t="s">
        <v>119</v>
      </c>
      <c r="BN696" s="55">
        <v>5</v>
      </c>
      <c r="BO696" s="55">
        <v>5</v>
      </c>
      <c r="BQ696" s="55" t="s">
        <v>141</v>
      </c>
      <c r="BU696" s="55" t="s">
        <v>277</v>
      </c>
      <c r="BV696" s="55" t="s">
        <v>433</v>
      </c>
      <c r="BW696" s="65">
        <v>0.44500000000000001</v>
      </c>
      <c r="BX696" s="65">
        <v>0.36470000000000002</v>
      </c>
      <c r="CA696" s="65" t="s">
        <v>807</v>
      </c>
      <c r="CB696" s="66">
        <f>(29.13*48545)/1000</f>
        <v>1414.1158499999999</v>
      </c>
      <c r="CC696" s="66">
        <f>(28.93*31255)/1000</f>
        <v>904.20715000000007</v>
      </c>
      <c r="EK696" s="90">
        <v>131.69999999999999</v>
      </c>
      <c r="EL696" s="90">
        <v>244.89</v>
      </c>
      <c r="GP696" s="292" t="s">
        <v>7494</v>
      </c>
      <c r="HI696" s="65">
        <v>3.54</v>
      </c>
      <c r="HJ696" s="65">
        <v>18.39</v>
      </c>
      <c r="HM696" s="65" t="s">
        <v>432</v>
      </c>
      <c r="JU696" s="55" t="s">
        <v>441</v>
      </c>
      <c r="JV696" s="55" t="s">
        <v>432</v>
      </c>
    </row>
    <row r="697" spans="1:282" x14ac:dyDescent="0.25">
      <c r="A697" s="55">
        <v>696</v>
      </c>
      <c r="B697" s="12" t="s">
        <v>7067</v>
      </c>
      <c r="C697" s="155">
        <v>31</v>
      </c>
      <c r="D697" s="55" t="s">
        <v>3802</v>
      </c>
      <c r="E697" s="90" t="s">
        <v>425</v>
      </c>
      <c r="G697" s="55" t="s">
        <v>426</v>
      </c>
      <c r="H697" s="55">
        <v>1999</v>
      </c>
      <c r="I697" s="55">
        <v>1997</v>
      </c>
      <c r="J697" s="55" t="s">
        <v>427</v>
      </c>
      <c r="K697" s="55" t="s">
        <v>298</v>
      </c>
      <c r="L697" s="55" t="s">
        <v>2737</v>
      </c>
      <c r="M697" s="90">
        <v>40.716666666666669</v>
      </c>
      <c r="N697" s="90">
        <v>-77.916666666666671</v>
      </c>
      <c r="O697" s="90">
        <v>350</v>
      </c>
      <c r="S697" s="90">
        <v>975</v>
      </c>
      <c r="U697" s="55">
        <v>1</v>
      </c>
      <c r="V697" s="55">
        <v>1</v>
      </c>
      <c r="Y697" s="55" t="s">
        <v>429</v>
      </c>
      <c r="Z697" s="55" t="s">
        <v>1344</v>
      </c>
      <c r="AA697" s="90" t="s">
        <v>1344</v>
      </c>
      <c r="AH697" s="55" t="s">
        <v>6378</v>
      </c>
      <c r="AI697" s="168">
        <v>6.38</v>
      </c>
      <c r="AN697" s="185" t="s">
        <v>428</v>
      </c>
      <c r="AO697" s="185" t="s">
        <v>5150</v>
      </c>
      <c r="AQ697" s="55" t="s">
        <v>1548</v>
      </c>
      <c r="AR697" s="55" t="s">
        <v>132</v>
      </c>
      <c r="AS697" s="55" t="s">
        <v>132</v>
      </c>
      <c r="AU697" s="181" t="s">
        <v>7494</v>
      </c>
      <c r="AV697" s="185" t="s">
        <v>176</v>
      </c>
      <c r="AX697" s="185" t="s">
        <v>176</v>
      </c>
      <c r="AZ697" s="55" t="s">
        <v>277</v>
      </c>
      <c r="BA697" s="55" t="s">
        <v>277</v>
      </c>
      <c r="BB697" s="55" t="s">
        <v>2081</v>
      </c>
      <c r="BC697" s="55" t="s">
        <v>2081</v>
      </c>
      <c r="BD697" s="55" t="s">
        <v>176</v>
      </c>
      <c r="BE697" s="226" t="s">
        <v>434</v>
      </c>
      <c r="BF697" s="191" t="s">
        <v>479</v>
      </c>
      <c r="BG697" s="55" t="s">
        <v>479</v>
      </c>
      <c r="BH697" s="226" t="s">
        <v>434</v>
      </c>
      <c r="BI697" s="55" t="s">
        <v>479</v>
      </c>
      <c r="BK697" s="55" t="s">
        <v>5976</v>
      </c>
      <c r="BM697" s="192" t="s">
        <v>119</v>
      </c>
      <c r="BN697" s="55">
        <v>5</v>
      </c>
      <c r="BO697" s="55">
        <v>5</v>
      </c>
      <c r="BQ697" s="55" t="s">
        <v>141</v>
      </c>
      <c r="BU697" s="55" t="s">
        <v>277</v>
      </c>
      <c r="BV697" s="55" t="s">
        <v>433</v>
      </c>
      <c r="BW697" s="65">
        <v>0.44500000000000001</v>
      </c>
      <c r="BX697" s="65">
        <v>0.48680000000000001</v>
      </c>
      <c r="CA697" s="65" t="s">
        <v>807</v>
      </c>
      <c r="CB697" s="66">
        <f>(29.13*48545)/1000</f>
        <v>1414.1158499999999</v>
      </c>
      <c r="CC697" s="66">
        <f>(35.33*45885)/1000</f>
        <v>1621.1170499999998</v>
      </c>
      <c r="EK697" s="90">
        <v>131.69999999999999</v>
      </c>
      <c r="EL697" s="90">
        <v>271.95999999999998</v>
      </c>
      <c r="GP697" s="292" t="s">
        <v>7494</v>
      </c>
      <c r="HI697" s="65">
        <v>3.54</v>
      </c>
      <c r="HJ697" s="65">
        <v>16.77</v>
      </c>
      <c r="HM697" s="65" t="s">
        <v>432</v>
      </c>
      <c r="JU697" s="55" t="s">
        <v>441</v>
      </c>
      <c r="JV697" s="55" t="s">
        <v>432</v>
      </c>
    </row>
    <row r="698" spans="1:282" x14ac:dyDescent="0.25">
      <c r="A698" s="55">
        <v>697</v>
      </c>
      <c r="B698" s="12" t="s">
        <v>7067</v>
      </c>
      <c r="C698" s="155">
        <v>31</v>
      </c>
      <c r="D698" s="55" t="s">
        <v>3801</v>
      </c>
      <c r="E698" s="90" t="s">
        <v>425</v>
      </c>
      <c r="G698" s="55" t="s">
        <v>426</v>
      </c>
      <c r="H698" s="55">
        <v>1999</v>
      </c>
      <c r="I698" s="55">
        <v>1997</v>
      </c>
      <c r="J698" s="55" t="s">
        <v>427</v>
      </c>
      <c r="K698" s="55" t="s">
        <v>298</v>
      </c>
      <c r="L698" s="55" t="s">
        <v>2737</v>
      </c>
      <c r="M698" s="90">
        <v>40.716666666666669</v>
      </c>
      <c r="N698" s="90">
        <v>-77.916666666666671</v>
      </c>
      <c r="O698" s="90">
        <v>350</v>
      </c>
      <c r="S698" s="90">
        <v>975</v>
      </c>
      <c r="U698" s="55">
        <v>1</v>
      </c>
      <c r="V698" s="55">
        <v>1</v>
      </c>
      <c r="Y698" s="55" t="s">
        <v>430</v>
      </c>
      <c r="Z698" s="55" t="s">
        <v>1344</v>
      </c>
      <c r="AA698" s="90" t="s">
        <v>1344</v>
      </c>
      <c r="AH698" s="55" t="s">
        <v>6378</v>
      </c>
      <c r="AI698" s="168">
        <v>6.38</v>
      </c>
      <c r="AN698" s="185" t="s">
        <v>1491</v>
      </c>
      <c r="AO698" s="185" t="s">
        <v>5150</v>
      </c>
      <c r="AQ698" s="55" t="s">
        <v>1545</v>
      </c>
      <c r="AR698" s="55" t="s">
        <v>132</v>
      </c>
      <c r="AS698" s="55" t="s">
        <v>132</v>
      </c>
      <c r="AU698" s="181" t="s">
        <v>7494</v>
      </c>
      <c r="AV698" s="185" t="s">
        <v>176</v>
      </c>
      <c r="AX698" s="185" t="s">
        <v>176</v>
      </c>
      <c r="AZ698" s="55" t="s">
        <v>277</v>
      </c>
      <c r="BA698" s="55" t="s">
        <v>277</v>
      </c>
      <c r="BB698" s="55" t="s">
        <v>2081</v>
      </c>
      <c r="BC698" s="55" t="s">
        <v>2081</v>
      </c>
      <c r="BD698" s="55" t="s">
        <v>176</v>
      </c>
      <c r="BE698" s="226" t="s">
        <v>434</v>
      </c>
      <c r="BF698" s="191" t="s">
        <v>479</v>
      </c>
      <c r="BG698" s="55" t="s">
        <v>479</v>
      </c>
      <c r="BH698" s="226" t="s">
        <v>434</v>
      </c>
      <c r="BI698" s="55" t="s">
        <v>479</v>
      </c>
      <c r="BK698" s="55" t="s">
        <v>5976</v>
      </c>
      <c r="BM698" s="192" t="s">
        <v>119</v>
      </c>
      <c r="BN698" s="55">
        <v>5</v>
      </c>
      <c r="BO698" s="55">
        <v>5</v>
      </c>
      <c r="BQ698" s="55" t="s">
        <v>141</v>
      </c>
      <c r="BU698" s="55" t="s">
        <v>277</v>
      </c>
      <c r="BV698" s="55" t="s">
        <v>433</v>
      </c>
      <c r="BW698" s="65">
        <v>2.3849999999999998</v>
      </c>
      <c r="BX698" s="65">
        <v>2.7770000000000001</v>
      </c>
      <c r="CA698" s="65" t="s">
        <v>807</v>
      </c>
      <c r="GP698" s="292" t="s">
        <v>7494</v>
      </c>
      <c r="HI698" s="65">
        <v>16.531400000000001</v>
      </c>
      <c r="HJ698" s="65">
        <v>26.787500000000001</v>
      </c>
      <c r="HM698" s="65" t="s">
        <v>432</v>
      </c>
      <c r="JU698" s="55" t="s">
        <v>441</v>
      </c>
      <c r="JV698" s="55" t="s">
        <v>432</v>
      </c>
    </row>
    <row r="699" spans="1:282" x14ac:dyDescent="0.25">
      <c r="A699" s="55">
        <v>698</v>
      </c>
      <c r="B699" s="12" t="s">
        <v>7067</v>
      </c>
      <c r="C699" s="155">
        <v>31</v>
      </c>
      <c r="D699" s="55" t="s">
        <v>3802</v>
      </c>
      <c r="E699" s="90" t="s">
        <v>425</v>
      </c>
      <c r="G699" s="55" t="s">
        <v>426</v>
      </c>
      <c r="H699" s="55">
        <v>1999</v>
      </c>
      <c r="I699" s="55">
        <v>1997</v>
      </c>
      <c r="J699" s="55" t="s">
        <v>427</v>
      </c>
      <c r="K699" s="55" t="s">
        <v>298</v>
      </c>
      <c r="L699" s="55" t="s">
        <v>2737</v>
      </c>
      <c r="M699" s="90">
        <v>40.716666666666669</v>
      </c>
      <c r="N699" s="90">
        <v>-77.916666666666671</v>
      </c>
      <c r="O699" s="90">
        <v>350</v>
      </c>
      <c r="S699" s="90">
        <v>975</v>
      </c>
      <c r="U699" s="55">
        <v>1</v>
      </c>
      <c r="V699" s="55">
        <v>1</v>
      </c>
      <c r="Y699" s="55" t="s">
        <v>430</v>
      </c>
      <c r="Z699" s="55" t="s">
        <v>1344</v>
      </c>
      <c r="AA699" s="90" t="s">
        <v>1344</v>
      </c>
      <c r="AH699" s="55" t="s">
        <v>6378</v>
      </c>
      <c r="AI699" s="168">
        <v>6.38</v>
      </c>
      <c r="AN699" s="185" t="s">
        <v>428</v>
      </c>
      <c r="AO699" s="185" t="s">
        <v>5150</v>
      </c>
      <c r="AQ699" s="55" t="s">
        <v>1548</v>
      </c>
      <c r="AR699" s="55" t="s">
        <v>132</v>
      </c>
      <c r="AS699" s="55" t="s">
        <v>132</v>
      </c>
      <c r="AU699" s="181" t="s">
        <v>7494</v>
      </c>
      <c r="AV699" s="185" t="s">
        <v>176</v>
      </c>
      <c r="AX699" s="185" t="s">
        <v>176</v>
      </c>
      <c r="AZ699" s="55" t="s">
        <v>277</v>
      </c>
      <c r="BA699" s="55" t="s">
        <v>277</v>
      </c>
      <c r="BB699" s="55" t="s">
        <v>2081</v>
      </c>
      <c r="BC699" s="55" t="s">
        <v>2081</v>
      </c>
      <c r="BD699" s="55" t="s">
        <v>176</v>
      </c>
      <c r="BE699" s="226" t="s">
        <v>434</v>
      </c>
      <c r="BF699" s="191" t="s">
        <v>479</v>
      </c>
      <c r="BG699" s="55" t="s">
        <v>479</v>
      </c>
      <c r="BH699" s="226" t="s">
        <v>434</v>
      </c>
      <c r="BI699" s="55" t="s">
        <v>479</v>
      </c>
      <c r="BK699" s="55" t="s">
        <v>5976</v>
      </c>
      <c r="BM699" s="192" t="s">
        <v>119</v>
      </c>
      <c r="BN699" s="55">
        <v>5</v>
      </c>
      <c r="BO699" s="55">
        <v>5</v>
      </c>
      <c r="BQ699" s="55" t="s">
        <v>141</v>
      </c>
      <c r="BU699" s="55" t="s">
        <v>277</v>
      </c>
      <c r="BV699" s="55" t="s">
        <v>433</v>
      </c>
      <c r="BW699" s="65">
        <v>2.3849999999999998</v>
      </c>
      <c r="BX699" s="65">
        <v>3.3530000000000002</v>
      </c>
      <c r="CA699" s="65" t="s">
        <v>807</v>
      </c>
      <c r="GP699" s="292" t="s">
        <v>7494</v>
      </c>
      <c r="HI699" s="65">
        <v>16.531400000000001</v>
      </c>
      <c r="HJ699" s="65">
        <v>39.47</v>
      </c>
      <c r="HM699" s="65" t="s">
        <v>432</v>
      </c>
      <c r="JU699" s="55" t="s">
        <v>441</v>
      </c>
      <c r="JV699" s="55" t="s">
        <v>432</v>
      </c>
    </row>
    <row r="700" spans="1:282" x14ac:dyDescent="0.25">
      <c r="A700" s="55">
        <v>699</v>
      </c>
      <c r="B700" s="12" t="s">
        <v>7067</v>
      </c>
      <c r="C700" s="155">
        <v>31</v>
      </c>
      <c r="D700" s="55" t="s">
        <v>3801</v>
      </c>
      <c r="E700" s="90" t="s">
        <v>425</v>
      </c>
      <c r="G700" s="55" t="s">
        <v>426</v>
      </c>
      <c r="H700" s="55">
        <v>1999</v>
      </c>
      <c r="I700" s="55">
        <v>1997</v>
      </c>
      <c r="J700" s="55" t="s">
        <v>427</v>
      </c>
      <c r="K700" s="55" t="s">
        <v>298</v>
      </c>
      <c r="L700" s="55" t="s">
        <v>2737</v>
      </c>
      <c r="M700" s="90">
        <v>40.716666666666669</v>
      </c>
      <c r="N700" s="90">
        <v>-77.916666666666671</v>
      </c>
      <c r="O700" s="90">
        <v>350</v>
      </c>
      <c r="S700" s="90">
        <v>975</v>
      </c>
      <c r="U700" s="55">
        <v>1</v>
      </c>
      <c r="V700" s="55">
        <v>1</v>
      </c>
      <c r="Y700" s="55" t="s">
        <v>431</v>
      </c>
      <c r="Z700" s="55" t="s">
        <v>1344</v>
      </c>
      <c r="AA700" s="90" t="s">
        <v>1344</v>
      </c>
      <c r="AH700" s="55" t="s">
        <v>6378</v>
      </c>
      <c r="AI700" s="168">
        <v>6.38</v>
      </c>
      <c r="AN700" s="185" t="s">
        <v>1491</v>
      </c>
      <c r="AO700" s="185" t="s">
        <v>5150</v>
      </c>
      <c r="AQ700" s="55" t="s">
        <v>1545</v>
      </c>
      <c r="AR700" s="55" t="s">
        <v>132</v>
      </c>
      <c r="AS700" s="55" t="s">
        <v>132</v>
      </c>
      <c r="AU700" s="181" t="s">
        <v>7494</v>
      </c>
      <c r="AV700" s="185" t="s">
        <v>176</v>
      </c>
      <c r="AX700" s="185" t="s">
        <v>176</v>
      </c>
      <c r="AZ700" s="55" t="s">
        <v>277</v>
      </c>
      <c r="BA700" s="55" t="s">
        <v>277</v>
      </c>
      <c r="BB700" s="55" t="s">
        <v>2081</v>
      </c>
      <c r="BC700" s="55" t="s">
        <v>2081</v>
      </c>
      <c r="BD700" s="55" t="s">
        <v>176</v>
      </c>
      <c r="BE700" s="226" t="s">
        <v>434</v>
      </c>
      <c r="BF700" s="191" t="s">
        <v>479</v>
      </c>
      <c r="BG700" s="55" t="s">
        <v>479</v>
      </c>
      <c r="BH700" s="226" t="s">
        <v>434</v>
      </c>
      <c r="BI700" s="55" t="s">
        <v>479</v>
      </c>
      <c r="BK700" s="55" t="s">
        <v>5976</v>
      </c>
      <c r="BM700" s="192" t="s">
        <v>119</v>
      </c>
      <c r="BN700" s="55">
        <v>5</v>
      </c>
      <c r="BO700" s="55">
        <v>5</v>
      </c>
      <c r="BQ700" s="55" t="s">
        <v>141</v>
      </c>
      <c r="BU700" s="55" t="s">
        <v>277</v>
      </c>
      <c r="GP700" s="292" t="s">
        <v>7494</v>
      </c>
      <c r="HI700" s="65">
        <v>45.444699999999997</v>
      </c>
      <c r="HJ700" s="65">
        <v>61.37</v>
      </c>
      <c r="HM700" s="65" t="s">
        <v>432</v>
      </c>
      <c r="JU700" s="55" t="s">
        <v>441</v>
      </c>
      <c r="JV700" s="55" t="s">
        <v>432</v>
      </c>
    </row>
    <row r="701" spans="1:282" x14ac:dyDescent="0.25">
      <c r="A701" s="55">
        <v>700</v>
      </c>
      <c r="B701" s="12" t="s">
        <v>7067</v>
      </c>
      <c r="C701" s="155">
        <v>31</v>
      </c>
      <c r="D701" s="55" t="s">
        <v>3802</v>
      </c>
      <c r="E701" s="90" t="s">
        <v>425</v>
      </c>
      <c r="G701" s="55" t="s">
        <v>426</v>
      </c>
      <c r="H701" s="55">
        <v>1999</v>
      </c>
      <c r="I701" s="55">
        <v>1997</v>
      </c>
      <c r="J701" s="55" t="s">
        <v>427</v>
      </c>
      <c r="K701" s="55" t="s">
        <v>298</v>
      </c>
      <c r="L701" s="55" t="s">
        <v>2737</v>
      </c>
      <c r="M701" s="90">
        <v>40.716666666666669</v>
      </c>
      <c r="N701" s="90">
        <v>-77.916666666666671</v>
      </c>
      <c r="O701" s="90">
        <v>350</v>
      </c>
      <c r="S701" s="90">
        <v>975</v>
      </c>
      <c r="U701" s="55">
        <v>1</v>
      </c>
      <c r="V701" s="55">
        <v>1</v>
      </c>
      <c r="Y701" s="55" t="s">
        <v>431</v>
      </c>
      <c r="Z701" s="55" t="s">
        <v>1344</v>
      </c>
      <c r="AA701" s="90" t="s">
        <v>1344</v>
      </c>
      <c r="AH701" s="55" t="s">
        <v>6378</v>
      </c>
      <c r="AI701" s="168">
        <v>6.38</v>
      </c>
      <c r="AN701" s="185" t="s">
        <v>428</v>
      </c>
      <c r="AO701" s="185" t="s">
        <v>5150</v>
      </c>
      <c r="AQ701" s="55" t="s">
        <v>1548</v>
      </c>
      <c r="AR701" s="55" t="s">
        <v>132</v>
      </c>
      <c r="AS701" s="55" t="s">
        <v>132</v>
      </c>
      <c r="AU701" s="181" t="s">
        <v>7494</v>
      </c>
      <c r="AV701" s="185" t="s">
        <v>176</v>
      </c>
      <c r="AX701" s="185" t="s">
        <v>176</v>
      </c>
      <c r="AZ701" s="55" t="s">
        <v>277</v>
      </c>
      <c r="BA701" s="55" t="s">
        <v>277</v>
      </c>
      <c r="BB701" s="55" t="s">
        <v>2081</v>
      </c>
      <c r="BC701" s="55" t="s">
        <v>2081</v>
      </c>
      <c r="BD701" s="55" t="s">
        <v>176</v>
      </c>
      <c r="BE701" s="226" t="s">
        <v>434</v>
      </c>
      <c r="BF701" s="191" t="s">
        <v>479</v>
      </c>
      <c r="BG701" s="55" t="s">
        <v>479</v>
      </c>
      <c r="BH701" s="226" t="s">
        <v>434</v>
      </c>
      <c r="BI701" s="55" t="s">
        <v>479</v>
      </c>
      <c r="BK701" s="55" t="s">
        <v>5976</v>
      </c>
      <c r="BM701" s="192" t="s">
        <v>119</v>
      </c>
      <c r="BN701" s="55">
        <v>5</v>
      </c>
      <c r="BO701" s="55">
        <v>5</v>
      </c>
      <c r="BQ701" s="55" t="s">
        <v>141</v>
      </c>
      <c r="BU701" s="55" t="s">
        <v>277</v>
      </c>
      <c r="GP701" s="292" t="s">
        <v>7494</v>
      </c>
      <c r="HI701" s="65">
        <v>45.444699999999997</v>
      </c>
      <c r="HJ701" s="65">
        <v>82.69</v>
      </c>
      <c r="HM701" s="65" t="s">
        <v>432</v>
      </c>
      <c r="JU701" s="55" t="s">
        <v>441</v>
      </c>
      <c r="JV701" s="55" t="s">
        <v>432</v>
      </c>
    </row>
    <row r="702" spans="1:282" x14ac:dyDescent="0.25">
      <c r="A702" s="55">
        <v>701</v>
      </c>
      <c r="B702" s="12" t="s">
        <v>7067</v>
      </c>
      <c r="C702" s="155">
        <v>32</v>
      </c>
      <c r="D702" s="55" t="s">
        <v>3803</v>
      </c>
      <c r="E702" s="90" t="s">
        <v>435</v>
      </c>
      <c r="G702" s="55" t="s">
        <v>436</v>
      </c>
      <c r="H702" s="55">
        <v>2007</v>
      </c>
      <c r="I702" s="55">
        <v>2001</v>
      </c>
      <c r="J702" s="55" t="s">
        <v>397</v>
      </c>
      <c r="K702" s="55" t="s">
        <v>437</v>
      </c>
      <c r="L702" s="55" t="s">
        <v>2737</v>
      </c>
      <c r="M702" s="90">
        <f>42.05</f>
        <v>42.05</v>
      </c>
      <c r="N702" s="90">
        <f>-93.71</f>
        <v>-93.71</v>
      </c>
      <c r="O702" s="90">
        <v>307.8</v>
      </c>
      <c r="P702" s="55">
        <v>10.1</v>
      </c>
      <c r="Q702" s="55">
        <v>9.1999999999999993</v>
      </c>
      <c r="R702" s="55">
        <v>807</v>
      </c>
      <c r="S702" s="90">
        <v>837</v>
      </c>
      <c r="U702" s="55">
        <v>1</v>
      </c>
      <c r="V702" s="55" t="s">
        <v>1694</v>
      </c>
      <c r="Y702" s="55" t="s">
        <v>1867</v>
      </c>
      <c r="Z702" s="55" t="s">
        <v>1366</v>
      </c>
      <c r="AA702" s="90" t="s">
        <v>1686</v>
      </c>
      <c r="AD702" s="90">
        <v>1.25</v>
      </c>
      <c r="AH702" s="55" t="s">
        <v>139</v>
      </c>
      <c r="AM702" s="55" t="s">
        <v>1296</v>
      </c>
      <c r="AN702" s="185" t="s">
        <v>440</v>
      </c>
      <c r="AO702" s="185" t="s">
        <v>5150</v>
      </c>
      <c r="AQ702" s="55" t="s">
        <v>1545</v>
      </c>
      <c r="AR702" s="55" t="s">
        <v>158</v>
      </c>
      <c r="AS702" s="55" t="s">
        <v>1575</v>
      </c>
      <c r="AT702" s="181" t="s">
        <v>438</v>
      </c>
      <c r="AU702" s="181" t="s">
        <v>5150</v>
      </c>
      <c r="AV702" s="185" t="s">
        <v>176</v>
      </c>
      <c r="AW702" s="55" t="s">
        <v>438</v>
      </c>
      <c r="AX702" s="185" t="s">
        <v>176</v>
      </c>
      <c r="AY702" s="55" t="s">
        <v>176</v>
      </c>
      <c r="AZ702" s="55" t="s">
        <v>439</v>
      </c>
      <c r="BA702" s="55" t="s">
        <v>439</v>
      </c>
      <c r="BB702" s="55" t="s">
        <v>2082</v>
      </c>
      <c r="BC702" s="55" t="s">
        <v>2082</v>
      </c>
      <c r="BD702" s="55" t="s">
        <v>176</v>
      </c>
      <c r="BK702" s="55" t="s">
        <v>6269</v>
      </c>
      <c r="BM702" s="192" t="s">
        <v>119</v>
      </c>
      <c r="BN702" s="55">
        <v>4</v>
      </c>
      <c r="BO702" s="55">
        <v>4</v>
      </c>
      <c r="BQ702" s="55" t="s">
        <v>141</v>
      </c>
      <c r="DB702" s="65">
        <f>27.6*0.067</f>
        <v>1.8492000000000002</v>
      </c>
      <c r="DC702" s="65">
        <f>27.8*0.067</f>
        <v>1.8626000000000003</v>
      </c>
      <c r="DF702" s="65" t="s">
        <v>442</v>
      </c>
      <c r="GP702" s="292" t="s">
        <v>7494</v>
      </c>
      <c r="HS702" s="227"/>
      <c r="HW702" s="227"/>
    </row>
    <row r="703" spans="1:282" x14ac:dyDescent="0.25">
      <c r="A703" s="55">
        <v>702</v>
      </c>
      <c r="B703" s="12" t="s">
        <v>7067</v>
      </c>
      <c r="C703" s="155">
        <v>32</v>
      </c>
      <c r="D703" s="55" t="s">
        <v>3804</v>
      </c>
      <c r="E703" s="90" t="s">
        <v>435</v>
      </c>
      <c r="G703" s="55" t="s">
        <v>436</v>
      </c>
      <c r="H703" s="55">
        <v>2007</v>
      </c>
      <c r="I703" s="55">
        <v>2001</v>
      </c>
      <c r="J703" s="55" t="s">
        <v>397</v>
      </c>
      <c r="K703" s="55" t="s">
        <v>437</v>
      </c>
      <c r="L703" s="55" t="s">
        <v>2737</v>
      </c>
      <c r="M703" s="90">
        <f>42.05</f>
        <v>42.05</v>
      </c>
      <c r="N703" s="90">
        <f>-93.71</f>
        <v>-93.71</v>
      </c>
      <c r="O703" s="90">
        <v>307.8</v>
      </c>
      <c r="P703" s="55">
        <v>10.1</v>
      </c>
      <c r="Q703" s="55">
        <v>9.1999999999999993</v>
      </c>
      <c r="R703" s="55">
        <v>807</v>
      </c>
      <c r="S703" s="90">
        <v>837</v>
      </c>
      <c r="U703" s="55">
        <v>1</v>
      </c>
      <c r="V703" s="55" t="s">
        <v>1694</v>
      </c>
      <c r="Y703" s="55" t="s">
        <v>1867</v>
      </c>
      <c r="Z703" s="55" t="s">
        <v>1366</v>
      </c>
      <c r="AA703" s="90" t="s">
        <v>1686</v>
      </c>
      <c r="AD703" s="90">
        <v>1.25</v>
      </c>
      <c r="AH703" s="55" t="s">
        <v>139</v>
      </c>
      <c r="AM703" s="55" t="s">
        <v>1296</v>
      </c>
      <c r="AN703" s="185" t="s">
        <v>131</v>
      </c>
      <c r="AO703" s="185" t="s">
        <v>5150</v>
      </c>
      <c r="AQ703" s="55" t="s">
        <v>131</v>
      </c>
      <c r="AR703" s="55" t="s">
        <v>132</v>
      </c>
      <c r="AS703" s="55" t="s">
        <v>1575</v>
      </c>
      <c r="AT703" s="181" t="s">
        <v>438</v>
      </c>
      <c r="AU703" s="181" t="s">
        <v>5150</v>
      </c>
      <c r="AV703" s="185" t="s">
        <v>176</v>
      </c>
      <c r="AW703" s="55" t="s">
        <v>438</v>
      </c>
      <c r="AX703" s="185" t="s">
        <v>176</v>
      </c>
      <c r="AY703" s="55" t="s">
        <v>176</v>
      </c>
      <c r="AZ703" s="55" t="s">
        <v>439</v>
      </c>
      <c r="BA703" s="55" t="s">
        <v>439</v>
      </c>
      <c r="BB703" s="55" t="s">
        <v>2082</v>
      </c>
      <c r="BC703" s="55" t="s">
        <v>2082</v>
      </c>
      <c r="BD703" s="55" t="s">
        <v>176</v>
      </c>
      <c r="BK703" s="55" t="s">
        <v>6269</v>
      </c>
      <c r="BM703" s="192" t="s">
        <v>119</v>
      </c>
      <c r="BN703" s="55">
        <v>4</v>
      </c>
      <c r="BO703" s="55">
        <v>4</v>
      </c>
      <c r="BQ703" s="55" t="s">
        <v>141</v>
      </c>
      <c r="DB703" s="65">
        <f>27.6*0.067</f>
        <v>1.8492000000000002</v>
      </c>
      <c r="DC703" s="65">
        <f>13.7*0.067</f>
        <v>0.91790000000000005</v>
      </c>
      <c r="DF703" s="65" t="s">
        <v>442</v>
      </c>
      <c r="GP703" s="292" t="s">
        <v>7494</v>
      </c>
      <c r="HS703" s="227"/>
      <c r="HW703" s="227"/>
    </row>
    <row r="704" spans="1:282" x14ac:dyDescent="0.25">
      <c r="A704" s="55">
        <v>703</v>
      </c>
      <c r="B704" s="12" t="s">
        <v>7067</v>
      </c>
      <c r="C704" s="155">
        <v>32</v>
      </c>
      <c r="D704" s="55" t="s">
        <v>3803</v>
      </c>
      <c r="E704" s="90" t="s">
        <v>435</v>
      </c>
      <c r="G704" s="55" t="s">
        <v>436</v>
      </c>
      <c r="H704" s="55">
        <v>2007</v>
      </c>
      <c r="I704" s="55">
        <v>2002</v>
      </c>
      <c r="J704" s="55" t="s">
        <v>397</v>
      </c>
      <c r="K704" s="55" t="s">
        <v>437</v>
      </c>
      <c r="L704" s="55" t="s">
        <v>2737</v>
      </c>
      <c r="M704" s="90">
        <f>42.05</f>
        <v>42.05</v>
      </c>
      <c r="N704" s="90">
        <f>-93.71</f>
        <v>-93.71</v>
      </c>
      <c r="O704" s="90">
        <v>307.8</v>
      </c>
      <c r="P704" s="55">
        <v>10.199999999999999</v>
      </c>
      <c r="Q704" s="55">
        <v>9.1999999999999993</v>
      </c>
      <c r="R704" s="55">
        <v>831</v>
      </c>
      <c r="S704" s="90">
        <v>837</v>
      </c>
      <c r="U704" s="55">
        <v>2</v>
      </c>
      <c r="V704" s="55" t="s">
        <v>1694</v>
      </c>
      <c r="Y704" s="55" t="s">
        <v>1867</v>
      </c>
      <c r="Z704" s="55" t="s">
        <v>1366</v>
      </c>
      <c r="AA704" s="90" t="s">
        <v>1686</v>
      </c>
      <c r="AD704" s="90">
        <v>1.25</v>
      </c>
      <c r="AH704" s="55" t="s">
        <v>139</v>
      </c>
      <c r="AM704" s="55" t="s">
        <v>1296</v>
      </c>
      <c r="AN704" s="185" t="s">
        <v>440</v>
      </c>
      <c r="AO704" s="185" t="s">
        <v>5150</v>
      </c>
      <c r="AQ704" s="55" t="s">
        <v>1545</v>
      </c>
      <c r="AR704" s="55" t="s">
        <v>158</v>
      </c>
      <c r="AS704" s="55" t="s">
        <v>1575</v>
      </c>
      <c r="AT704" s="181" t="s">
        <v>438</v>
      </c>
      <c r="AU704" s="181" t="s">
        <v>5150</v>
      </c>
      <c r="AV704" s="185" t="s">
        <v>176</v>
      </c>
      <c r="AW704" s="55" t="s">
        <v>438</v>
      </c>
      <c r="AX704" s="185" t="s">
        <v>176</v>
      </c>
      <c r="AY704" s="55" t="s">
        <v>176</v>
      </c>
      <c r="AZ704" s="55" t="s">
        <v>439</v>
      </c>
      <c r="BA704" s="55" t="s">
        <v>439</v>
      </c>
      <c r="BB704" s="55" t="s">
        <v>2082</v>
      </c>
      <c r="BC704" s="55" t="s">
        <v>2082</v>
      </c>
      <c r="BD704" s="55" t="s">
        <v>176</v>
      </c>
      <c r="BK704" s="55" t="s">
        <v>6269</v>
      </c>
      <c r="BM704" s="192" t="s">
        <v>119</v>
      </c>
      <c r="BN704" s="55">
        <v>4</v>
      </c>
      <c r="BO704" s="55">
        <v>4</v>
      </c>
      <c r="BQ704" s="55" t="s">
        <v>141</v>
      </c>
      <c r="CB704" s="66">
        <f>12.4*1000</f>
        <v>12400</v>
      </c>
      <c r="CC704" s="66">
        <f>12.1*1000</f>
        <v>12100</v>
      </c>
      <c r="DB704" s="65">
        <f>61.7*0.067</f>
        <v>4.1339000000000006</v>
      </c>
      <c r="DC704" s="65">
        <f>49.3*0.067</f>
        <v>3.3031000000000001</v>
      </c>
      <c r="DF704" s="65" t="s">
        <v>442</v>
      </c>
      <c r="FT704" s="65">
        <v>19.100000000000001</v>
      </c>
      <c r="FU704" s="65">
        <v>23.4</v>
      </c>
      <c r="FX704" s="65" t="s">
        <v>443</v>
      </c>
      <c r="GP704" s="292" t="s">
        <v>7494</v>
      </c>
      <c r="HS704" s="227"/>
      <c r="HW704" s="227"/>
    </row>
    <row r="705" spans="1:231" x14ac:dyDescent="0.25">
      <c r="A705" s="55">
        <v>704</v>
      </c>
      <c r="B705" s="12" t="s">
        <v>7067</v>
      </c>
      <c r="C705" s="155">
        <v>32</v>
      </c>
      <c r="D705" s="55" t="s">
        <v>3804</v>
      </c>
      <c r="E705" s="90" t="s">
        <v>435</v>
      </c>
      <c r="G705" s="55" t="s">
        <v>436</v>
      </c>
      <c r="H705" s="55">
        <v>2007</v>
      </c>
      <c r="I705" s="55">
        <v>2002</v>
      </c>
      <c r="J705" s="55" t="s">
        <v>397</v>
      </c>
      <c r="K705" s="55" t="s">
        <v>437</v>
      </c>
      <c r="L705" s="55" t="s">
        <v>2737</v>
      </c>
      <c r="M705" s="90">
        <f>42.05</f>
        <v>42.05</v>
      </c>
      <c r="N705" s="90">
        <f>-93.71</f>
        <v>-93.71</v>
      </c>
      <c r="O705" s="90">
        <v>307.8</v>
      </c>
      <c r="P705" s="55">
        <v>10.199999999999999</v>
      </c>
      <c r="Q705" s="55">
        <v>9.1999999999999993</v>
      </c>
      <c r="R705" s="55">
        <v>831</v>
      </c>
      <c r="S705" s="90">
        <v>837</v>
      </c>
      <c r="U705" s="55">
        <v>2</v>
      </c>
      <c r="V705" s="55" t="s">
        <v>1694</v>
      </c>
      <c r="Y705" s="55" t="s">
        <v>1867</v>
      </c>
      <c r="Z705" s="55" t="s">
        <v>1366</v>
      </c>
      <c r="AA705" s="90" t="s">
        <v>1686</v>
      </c>
      <c r="AD705" s="90">
        <v>1.25</v>
      </c>
      <c r="AH705" s="55" t="s">
        <v>139</v>
      </c>
      <c r="AM705" s="55" t="s">
        <v>1296</v>
      </c>
      <c r="AN705" s="185" t="s">
        <v>131</v>
      </c>
      <c r="AO705" s="185" t="s">
        <v>5150</v>
      </c>
      <c r="AQ705" s="55" t="s">
        <v>131</v>
      </c>
      <c r="AR705" s="55" t="s">
        <v>132</v>
      </c>
      <c r="AS705" s="55" t="s">
        <v>1575</v>
      </c>
      <c r="AT705" s="181" t="s">
        <v>438</v>
      </c>
      <c r="AU705" s="181" t="s">
        <v>5150</v>
      </c>
      <c r="AV705" s="185" t="s">
        <v>176</v>
      </c>
      <c r="AW705" s="55" t="s">
        <v>438</v>
      </c>
      <c r="AX705" s="185" t="s">
        <v>176</v>
      </c>
      <c r="AY705" s="55" t="s">
        <v>176</v>
      </c>
      <c r="AZ705" s="55" t="s">
        <v>439</v>
      </c>
      <c r="BA705" s="55" t="s">
        <v>439</v>
      </c>
      <c r="BB705" s="55" t="s">
        <v>2082</v>
      </c>
      <c r="BC705" s="55" t="s">
        <v>2082</v>
      </c>
      <c r="BD705" s="55" t="s">
        <v>176</v>
      </c>
      <c r="BK705" s="55" t="s">
        <v>6269</v>
      </c>
      <c r="BM705" s="192" t="s">
        <v>119</v>
      </c>
      <c r="BN705" s="55">
        <v>4</v>
      </c>
      <c r="BO705" s="55">
        <v>4</v>
      </c>
      <c r="BQ705" s="55" t="s">
        <v>141</v>
      </c>
      <c r="BS705" s="55">
        <f>2.43*1000</f>
        <v>2430</v>
      </c>
      <c r="BT705" s="55">
        <f>BS705/55.88</f>
        <v>43.486041517537579</v>
      </c>
      <c r="CB705" s="66">
        <f>12.4*1000</f>
        <v>12400</v>
      </c>
      <c r="CC705" s="66">
        <f>11.2*1000</f>
        <v>11200</v>
      </c>
      <c r="DB705" s="65">
        <f>61.7*0.067</f>
        <v>4.1339000000000006</v>
      </c>
      <c r="DC705" s="65">
        <f>26.5*0.067</f>
        <v>1.7755000000000001</v>
      </c>
      <c r="DF705" s="65" t="s">
        <v>442</v>
      </c>
      <c r="FT705" s="65">
        <v>19.100000000000001</v>
      </c>
      <c r="FU705" s="65">
        <v>5.8</v>
      </c>
      <c r="FX705" s="65" t="s">
        <v>443</v>
      </c>
      <c r="GP705" s="292" t="s">
        <v>7494</v>
      </c>
      <c r="HS705" s="227"/>
      <c r="HW705" s="227"/>
    </row>
    <row r="706" spans="1:231" x14ac:dyDescent="0.25">
      <c r="A706" s="55">
        <v>705</v>
      </c>
      <c r="B706" s="12" t="s">
        <v>7067</v>
      </c>
      <c r="C706" s="155">
        <v>32</v>
      </c>
      <c r="D706" s="55" t="s">
        <v>3803</v>
      </c>
      <c r="E706" s="90" t="s">
        <v>435</v>
      </c>
      <c r="G706" s="55" t="s">
        <v>436</v>
      </c>
      <c r="H706" s="55">
        <v>2007</v>
      </c>
      <c r="I706" s="55">
        <v>2003</v>
      </c>
      <c r="J706" s="55" t="s">
        <v>397</v>
      </c>
      <c r="K706" s="55" t="s">
        <v>437</v>
      </c>
      <c r="L706" s="55" t="s">
        <v>2737</v>
      </c>
      <c r="M706" s="90">
        <f>42.05</f>
        <v>42.05</v>
      </c>
      <c r="N706" s="90">
        <f>-93.71</f>
        <v>-93.71</v>
      </c>
      <c r="O706" s="90">
        <v>307.8</v>
      </c>
      <c r="P706" s="55">
        <v>9.4</v>
      </c>
      <c r="Q706" s="55">
        <v>9.1999999999999993</v>
      </c>
      <c r="R706" s="55">
        <v>891</v>
      </c>
      <c r="S706" s="90">
        <v>837</v>
      </c>
      <c r="U706" s="55">
        <v>3</v>
      </c>
      <c r="V706" s="55" t="s">
        <v>1694</v>
      </c>
      <c r="Y706" s="55" t="s">
        <v>1867</v>
      </c>
      <c r="Z706" s="55" t="s">
        <v>1366</v>
      </c>
      <c r="AA706" s="90" t="s">
        <v>1686</v>
      </c>
      <c r="AD706" s="90">
        <v>1.25</v>
      </c>
      <c r="AH706" s="55" t="s">
        <v>139</v>
      </c>
      <c r="AM706" s="55" t="s">
        <v>1296</v>
      </c>
      <c r="AN706" s="185" t="s">
        <v>440</v>
      </c>
      <c r="AO706" s="185" t="s">
        <v>5150</v>
      </c>
      <c r="AQ706" s="55" t="s">
        <v>1545</v>
      </c>
      <c r="AR706" s="55" t="s">
        <v>158</v>
      </c>
      <c r="AS706" s="55" t="s">
        <v>1575</v>
      </c>
      <c r="AT706" s="181" t="s">
        <v>438</v>
      </c>
      <c r="AU706" s="181" t="s">
        <v>5150</v>
      </c>
      <c r="AV706" s="185" t="s">
        <v>176</v>
      </c>
      <c r="AW706" s="55" t="s">
        <v>438</v>
      </c>
      <c r="AX706" s="185" t="s">
        <v>176</v>
      </c>
      <c r="AY706" s="55" t="s">
        <v>176</v>
      </c>
      <c r="AZ706" s="55" t="s">
        <v>439</v>
      </c>
      <c r="BA706" s="55" t="s">
        <v>439</v>
      </c>
      <c r="BB706" s="55" t="s">
        <v>2082</v>
      </c>
      <c r="BC706" s="55" t="s">
        <v>2082</v>
      </c>
      <c r="BD706" s="55" t="s">
        <v>176</v>
      </c>
      <c r="BK706" s="55" t="s">
        <v>6269</v>
      </c>
      <c r="BM706" s="192" t="s">
        <v>119</v>
      </c>
      <c r="BN706" s="55">
        <v>4</v>
      </c>
      <c r="BO706" s="55">
        <v>4</v>
      </c>
      <c r="BQ706" s="55" t="s">
        <v>141</v>
      </c>
      <c r="BS706" s="55">
        <f>1.46*1000</f>
        <v>1460</v>
      </c>
      <c r="BT706" s="55">
        <f>BS706/18.8</f>
        <v>77.659574468085097</v>
      </c>
      <c r="CB706" s="66">
        <f>2.7*1000</f>
        <v>2700</v>
      </c>
      <c r="CC706" s="66">
        <f>2.4*1000</f>
        <v>2400</v>
      </c>
      <c r="DB706" s="65">
        <f>52.9*0.067</f>
        <v>3.5443000000000002</v>
      </c>
      <c r="DC706" s="65">
        <f>54.6*0.067</f>
        <v>3.6582000000000003</v>
      </c>
      <c r="DF706" s="65" t="s">
        <v>442</v>
      </c>
      <c r="FT706" s="65">
        <v>24.7</v>
      </c>
      <c r="FU706" s="65">
        <v>24.8</v>
      </c>
      <c r="FX706" s="65" t="s">
        <v>443</v>
      </c>
      <c r="GP706" s="292" t="s">
        <v>7494</v>
      </c>
      <c r="HS706" s="227"/>
      <c r="HW706" s="227"/>
    </row>
    <row r="707" spans="1:231" x14ac:dyDescent="0.25">
      <c r="A707" s="55">
        <v>706</v>
      </c>
      <c r="B707" s="12" t="s">
        <v>7067</v>
      </c>
      <c r="C707" s="155">
        <v>32</v>
      </c>
      <c r="D707" s="55" t="s">
        <v>3804</v>
      </c>
      <c r="E707" s="90" t="s">
        <v>435</v>
      </c>
      <c r="G707" s="55" t="s">
        <v>436</v>
      </c>
      <c r="H707" s="55">
        <v>2007</v>
      </c>
      <c r="I707" s="55">
        <v>2003</v>
      </c>
      <c r="J707" s="55" t="s">
        <v>397</v>
      </c>
      <c r="K707" s="55" t="s">
        <v>437</v>
      </c>
      <c r="L707" s="55" t="s">
        <v>2737</v>
      </c>
      <c r="M707" s="90">
        <f>42.05</f>
        <v>42.05</v>
      </c>
      <c r="N707" s="90">
        <f>-93.71</f>
        <v>-93.71</v>
      </c>
      <c r="O707" s="90">
        <v>307.8</v>
      </c>
      <c r="P707" s="55">
        <v>9.4</v>
      </c>
      <c r="Q707" s="55">
        <v>9.1999999999999993</v>
      </c>
      <c r="R707" s="55">
        <v>891</v>
      </c>
      <c r="S707" s="90">
        <v>837</v>
      </c>
      <c r="U707" s="55">
        <v>3</v>
      </c>
      <c r="V707" s="55" t="s">
        <v>1694</v>
      </c>
      <c r="Y707" s="55" t="s">
        <v>1867</v>
      </c>
      <c r="Z707" s="55" t="s">
        <v>1366</v>
      </c>
      <c r="AA707" s="90" t="s">
        <v>1686</v>
      </c>
      <c r="AD707" s="90">
        <v>1.25</v>
      </c>
      <c r="AH707" s="55" t="s">
        <v>139</v>
      </c>
      <c r="AM707" s="55" t="s">
        <v>1296</v>
      </c>
      <c r="AN707" s="185" t="s">
        <v>131</v>
      </c>
      <c r="AO707" s="185" t="s">
        <v>5150</v>
      </c>
      <c r="AQ707" s="55" t="s">
        <v>131</v>
      </c>
      <c r="AR707" s="55" t="s">
        <v>132</v>
      </c>
      <c r="AS707" s="55" t="s">
        <v>1575</v>
      </c>
      <c r="AT707" s="181" t="s">
        <v>438</v>
      </c>
      <c r="AU707" s="181" t="s">
        <v>5150</v>
      </c>
      <c r="AV707" s="185" t="s">
        <v>176</v>
      </c>
      <c r="AW707" s="55" t="s">
        <v>438</v>
      </c>
      <c r="AX707" s="185" t="s">
        <v>176</v>
      </c>
      <c r="AY707" s="55" t="s">
        <v>176</v>
      </c>
      <c r="AZ707" s="55" t="s">
        <v>439</v>
      </c>
      <c r="BA707" s="55" t="s">
        <v>439</v>
      </c>
      <c r="BB707" s="55" t="s">
        <v>2082</v>
      </c>
      <c r="BC707" s="55" t="s">
        <v>2082</v>
      </c>
      <c r="BD707" s="55" t="s">
        <v>176</v>
      </c>
      <c r="BK707" s="55" t="s">
        <v>6269</v>
      </c>
      <c r="BM707" s="192" t="s">
        <v>119</v>
      </c>
      <c r="BN707" s="55">
        <v>4</v>
      </c>
      <c r="BO707" s="55">
        <v>4</v>
      </c>
      <c r="BQ707" s="55" t="s">
        <v>141</v>
      </c>
      <c r="BS707" s="55">
        <f>0.25*1000</f>
        <v>250</v>
      </c>
      <c r="BT707" s="55">
        <f>BS707/9.3</f>
        <v>26.881720430107524</v>
      </c>
      <c r="CB707" s="66">
        <f>2.7*1000</f>
        <v>2700</v>
      </c>
      <c r="CC707" s="66">
        <f>2.7*1000</f>
        <v>2700</v>
      </c>
      <c r="DB707" s="65">
        <f>52.9*0.067</f>
        <v>3.5443000000000002</v>
      </c>
      <c r="DC707" s="65">
        <f>44.2*0.067</f>
        <v>2.9614000000000003</v>
      </c>
      <c r="DF707" s="65" t="s">
        <v>442</v>
      </c>
      <c r="FT707" s="65">
        <v>24.7</v>
      </c>
      <c r="FU707" s="65">
        <v>11.8</v>
      </c>
      <c r="FX707" s="65" t="s">
        <v>443</v>
      </c>
      <c r="GP707" s="292" t="s">
        <v>7494</v>
      </c>
      <c r="HS707" s="227"/>
      <c r="HW707" s="227"/>
    </row>
    <row r="708" spans="1:231" x14ac:dyDescent="0.25">
      <c r="A708" s="55">
        <v>707</v>
      </c>
      <c r="B708" s="12" t="s">
        <v>7067</v>
      </c>
      <c r="C708" s="155">
        <v>32</v>
      </c>
      <c r="D708" s="55" t="s">
        <v>3803</v>
      </c>
      <c r="E708" s="90" t="s">
        <v>435</v>
      </c>
      <c r="G708" s="55" t="s">
        <v>436</v>
      </c>
      <c r="H708" s="55">
        <v>2007</v>
      </c>
      <c r="I708" s="55">
        <v>2004</v>
      </c>
      <c r="J708" s="55" t="s">
        <v>397</v>
      </c>
      <c r="K708" s="55" t="s">
        <v>437</v>
      </c>
      <c r="L708" s="55" t="s">
        <v>2737</v>
      </c>
      <c r="M708" s="90">
        <f>42.05</f>
        <v>42.05</v>
      </c>
      <c r="N708" s="90">
        <f>-93.71</f>
        <v>-93.71</v>
      </c>
      <c r="O708" s="90">
        <v>307.8</v>
      </c>
      <c r="P708" s="55">
        <v>9.9</v>
      </c>
      <c r="Q708" s="55">
        <v>9.1999999999999993</v>
      </c>
      <c r="R708" s="55">
        <v>865</v>
      </c>
      <c r="S708" s="90">
        <v>837</v>
      </c>
      <c r="U708" s="55">
        <v>4</v>
      </c>
      <c r="V708" s="55" t="s">
        <v>1694</v>
      </c>
      <c r="Y708" s="55" t="s">
        <v>1867</v>
      </c>
      <c r="Z708" s="55" t="s">
        <v>1366</v>
      </c>
      <c r="AA708" s="90" t="s">
        <v>1686</v>
      </c>
      <c r="AD708" s="90">
        <v>1.25</v>
      </c>
      <c r="AH708" s="55" t="s">
        <v>139</v>
      </c>
      <c r="AM708" s="55" t="s">
        <v>1296</v>
      </c>
      <c r="AN708" s="185" t="s">
        <v>440</v>
      </c>
      <c r="AO708" s="185" t="s">
        <v>5150</v>
      </c>
      <c r="AQ708" s="55" t="s">
        <v>1545</v>
      </c>
      <c r="AR708" s="55" t="s">
        <v>158</v>
      </c>
      <c r="AS708" s="55" t="s">
        <v>1575</v>
      </c>
      <c r="AT708" s="181" t="s">
        <v>438</v>
      </c>
      <c r="AU708" s="181" t="s">
        <v>5150</v>
      </c>
      <c r="AV708" s="185" t="s">
        <v>176</v>
      </c>
      <c r="AW708" s="55" t="s">
        <v>438</v>
      </c>
      <c r="AX708" s="185" t="s">
        <v>176</v>
      </c>
      <c r="AY708" s="55" t="s">
        <v>176</v>
      </c>
      <c r="AZ708" s="55" t="s">
        <v>439</v>
      </c>
      <c r="BA708" s="55" t="s">
        <v>439</v>
      </c>
      <c r="BB708" s="55" t="s">
        <v>2082</v>
      </c>
      <c r="BC708" s="55" t="s">
        <v>2082</v>
      </c>
      <c r="BD708" s="55" t="s">
        <v>176</v>
      </c>
      <c r="BK708" s="55" t="s">
        <v>6269</v>
      </c>
      <c r="BM708" s="192" t="s">
        <v>119</v>
      </c>
      <c r="BN708" s="55">
        <v>4</v>
      </c>
      <c r="BO708" s="55">
        <v>4</v>
      </c>
      <c r="BQ708" s="55" t="s">
        <v>141</v>
      </c>
      <c r="BS708" s="55">
        <f>2.02*1000</f>
        <v>2020</v>
      </c>
      <c r="BT708" s="55">
        <f>BS708/25.5</f>
        <v>79.215686274509807</v>
      </c>
      <c r="CB708" s="66">
        <f>13.3*1000</f>
        <v>13300</v>
      </c>
      <c r="CC708" s="66">
        <f>13.1*1000</f>
        <v>13100</v>
      </c>
      <c r="DB708" s="65">
        <f>94.6*0.067</f>
        <v>6.3381999999999996</v>
      </c>
      <c r="DC708" s="65">
        <f>59.6*0.067</f>
        <v>3.9932000000000003</v>
      </c>
      <c r="DF708" s="65" t="s">
        <v>442</v>
      </c>
      <c r="FT708" s="65">
        <v>19.8</v>
      </c>
      <c r="FU708" s="65">
        <v>17.399999999999999</v>
      </c>
      <c r="FX708" s="65" t="s">
        <v>443</v>
      </c>
      <c r="GP708" s="292" t="s">
        <v>7494</v>
      </c>
      <c r="HS708" s="227"/>
      <c r="HW708" s="227"/>
    </row>
    <row r="709" spans="1:231" x14ac:dyDescent="0.25">
      <c r="A709" s="55">
        <v>708</v>
      </c>
      <c r="B709" s="12" t="s">
        <v>7067</v>
      </c>
      <c r="C709" s="155">
        <v>32</v>
      </c>
      <c r="D709" s="55" t="s">
        <v>3804</v>
      </c>
      <c r="E709" s="90" t="s">
        <v>435</v>
      </c>
      <c r="G709" s="55" t="s">
        <v>436</v>
      </c>
      <c r="H709" s="55">
        <v>2007</v>
      </c>
      <c r="I709" s="55">
        <v>2004</v>
      </c>
      <c r="J709" s="55" t="s">
        <v>397</v>
      </c>
      <c r="K709" s="55" t="s">
        <v>437</v>
      </c>
      <c r="L709" s="55" t="s">
        <v>2737</v>
      </c>
      <c r="M709" s="90">
        <f>42.05</f>
        <v>42.05</v>
      </c>
      <c r="N709" s="90">
        <f>-93.71</f>
        <v>-93.71</v>
      </c>
      <c r="O709" s="90">
        <v>307.8</v>
      </c>
      <c r="P709" s="55">
        <v>9.9</v>
      </c>
      <c r="Q709" s="55">
        <v>9.1999999999999993</v>
      </c>
      <c r="R709" s="55">
        <v>865</v>
      </c>
      <c r="S709" s="90">
        <v>837</v>
      </c>
      <c r="U709" s="55">
        <v>4</v>
      </c>
      <c r="V709" s="55" t="s">
        <v>1694</v>
      </c>
      <c r="Y709" s="55" t="s">
        <v>1867</v>
      </c>
      <c r="Z709" s="55" t="s">
        <v>1366</v>
      </c>
      <c r="AA709" s="90" t="s">
        <v>1686</v>
      </c>
      <c r="AD709" s="90">
        <v>1.25</v>
      </c>
      <c r="AH709" s="55" t="s">
        <v>139</v>
      </c>
      <c r="AM709" s="55" t="s">
        <v>1296</v>
      </c>
      <c r="AN709" s="185" t="s">
        <v>131</v>
      </c>
      <c r="AO709" s="185" t="s">
        <v>5150</v>
      </c>
      <c r="AQ709" s="55" t="s">
        <v>131</v>
      </c>
      <c r="AR709" s="55" t="s">
        <v>132</v>
      </c>
      <c r="AS709" s="55" t="s">
        <v>1575</v>
      </c>
      <c r="AT709" s="181" t="s">
        <v>438</v>
      </c>
      <c r="AU709" s="181" t="s">
        <v>5150</v>
      </c>
      <c r="AV709" s="185" t="s">
        <v>176</v>
      </c>
      <c r="AW709" s="55" t="s">
        <v>438</v>
      </c>
      <c r="AX709" s="185" t="s">
        <v>176</v>
      </c>
      <c r="AY709" s="55" t="s">
        <v>176</v>
      </c>
      <c r="AZ709" s="55" t="s">
        <v>439</v>
      </c>
      <c r="BA709" s="55" t="s">
        <v>439</v>
      </c>
      <c r="BB709" s="55" t="s">
        <v>2082</v>
      </c>
      <c r="BC709" s="55" t="s">
        <v>2082</v>
      </c>
      <c r="BD709" s="55" t="s">
        <v>176</v>
      </c>
      <c r="BK709" s="55" t="s">
        <v>6269</v>
      </c>
      <c r="BM709" s="192" t="s">
        <v>119</v>
      </c>
      <c r="BN709" s="55">
        <v>4</v>
      </c>
      <c r="BO709" s="55">
        <v>4</v>
      </c>
      <c r="BQ709" s="55" t="s">
        <v>141</v>
      </c>
      <c r="BS709" s="55">
        <f>1.48*1000</f>
        <v>1480</v>
      </c>
      <c r="BT709" s="55">
        <f>BS709/48.5</f>
        <v>30.515463917525775</v>
      </c>
      <c r="CB709" s="66">
        <f>13.3*1000</f>
        <v>13300</v>
      </c>
      <c r="CC709" s="66">
        <f>13.3*1000</f>
        <v>13300</v>
      </c>
      <c r="DB709" s="65">
        <f>94.6*0.067</f>
        <v>6.3381999999999996</v>
      </c>
      <c r="DC709" s="65">
        <f>70.4*0.067</f>
        <v>4.716800000000001</v>
      </c>
      <c r="DF709" s="65" t="s">
        <v>442</v>
      </c>
      <c r="FT709" s="65">
        <v>19.8</v>
      </c>
      <c r="FU709" s="65">
        <v>9.3000000000000007</v>
      </c>
      <c r="FX709" s="65" t="s">
        <v>443</v>
      </c>
      <c r="GP709" s="292" t="s">
        <v>7494</v>
      </c>
      <c r="HS709" s="227"/>
      <c r="HW709" s="227"/>
    </row>
    <row r="710" spans="1:231" x14ac:dyDescent="0.25">
      <c r="A710" s="55">
        <v>709</v>
      </c>
      <c r="B710" s="12" t="s">
        <v>7067</v>
      </c>
      <c r="C710" s="155">
        <v>32</v>
      </c>
      <c r="D710" s="55" t="s">
        <v>3803</v>
      </c>
      <c r="E710" s="90" t="s">
        <v>435</v>
      </c>
      <c r="G710" s="55" t="s">
        <v>436</v>
      </c>
      <c r="H710" s="55">
        <v>2007</v>
      </c>
      <c r="I710" s="55">
        <v>2005</v>
      </c>
      <c r="J710" s="55" t="s">
        <v>397</v>
      </c>
      <c r="K710" s="55" t="s">
        <v>437</v>
      </c>
      <c r="L710" s="55" t="s">
        <v>2737</v>
      </c>
      <c r="M710" s="90">
        <f>42.05</f>
        <v>42.05</v>
      </c>
      <c r="N710" s="90">
        <f>-93.71</f>
        <v>-93.71</v>
      </c>
      <c r="O710" s="90">
        <v>307.8</v>
      </c>
      <c r="P710" s="55">
        <v>10.6</v>
      </c>
      <c r="Q710" s="55">
        <v>9.1999999999999993</v>
      </c>
      <c r="R710" s="55">
        <v>893</v>
      </c>
      <c r="S710" s="90">
        <v>837</v>
      </c>
      <c r="U710" s="55">
        <v>5</v>
      </c>
      <c r="V710" s="55" t="s">
        <v>1694</v>
      </c>
      <c r="Y710" s="55" t="s">
        <v>1867</v>
      </c>
      <c r="Z710" s="55" t="s">
        <v>1366</v>
      </c>
      <c r="AA710" s="90" t="s">
        <v>1686</v>
      </c>
      <c r="AD710" s="90">
        <v>1.25</v>
      </c>
      <c r="AH710" s="55" t="s">
        <v>139</v>
      </c>
      <c r="AM710" s="55" t="s">
        <v>1296</v>
      </c>
      <c r="AN710" s="185" t="s">
        <v>440</v>
      </c>
      <c r="AO710" s="185" t="s">
        <v>5150</v>
      </c>
      <c r="AQ710" s="55" t="s">
        <v>1545</v>
      </c>
      <c r="AR710" s="55" t="s">
        <v>158</v>
      </c>
      <c r="AS710" s="55" t="s">
        <v>1575</v>
      </c>
      <c r="AT710" s="181" t="s">
        <v>438</v>
      </c>
      <c r="AU710" s="181" t="s">
        <v>5150</v>
      </c>
      <c r="AV710" s="185" t="s">
        <v>176</v>
      </c>
      <c r="AW710" s="55" t="s">
        <v>438</v>
      </c>
      <c r="AX710" s="185" t="s">
        <v>176</v>
      </c>
      <c r="AY710" s="55" t="s">
        <v>176</v>
      </c>
      <c r="AZ710" s="55" t="s">
        <v>439</v>
      </c>
      <c r="BA710" s="55" t="s">
        <v>439</v>
      </c>
      <c r="BB710" s="55" t="s">
        <v>2082</v>
      </c>
      <c r="BC710" s="55" t="s">
        <v>2082</v>
      </c>
      <c r="BD710" s="55" t="s">
        <v>176</v>
      </c>
      <c r="BK710" s="55" t="s">
        <v>6269</v>
      </c>
      <c r="BM710" s="192" t="s">
        <v>119</v>
      </c>
      <c r="BN710" s="55">
        <v>4</v>
      </c>
      <c r="BO710" s="55">
        <v>4</v>
      </c>
      <c r="BQ710" s="55" t="s">
        <v>141</v>
      </c>
      <c r="BS710" s="55">
        <f>1.48*1000</f>
        <v>1480</v>
      </c>
      <c r="BT710" s="55">
        <f>BS710/16</f>
        <v>92.5</v>
      </c>
      <c r="CB710" s="66">
        <f>4.5*1000</f>
        <v>4500</v>
      </c>
      <c r="CC710" s="66">
        <f>4.2*1000</f>
        <v>4200</v>
      </c>
      <c r="DB710" s="65">
        <f>65.3*0.067</f>
        <v>4.3750999999999998</v>
      </c>
      <c r="DC710" s="65">
        <f>46.2*0.067</f>
        <v>3.0954000000000006</v>
      </c>
      <c r="DF710" s="65" t="s">
        <v>442</v>
      </c>
      <c r="FT710" s="65">
        <v>21.6</v>
      </c>
      <c r="FU710" s="65">
        <v>17.7</v>
      </c>
      <c r="FX710" s="65" t="s">
        <v>443</v>
      </c>
      <c r="GP710" s="292" t="s">
        <v>7494</v>
      </c>
      <c r="HS710" s="227"/>
      <c r="HW710" s="227"/>
    </row>
    <row r="711" spans="1:231" x14ac:dyDescent="0.25">
      <c r="A711" s="55">
        <v>710</v>
      </c>
      <c r="B711" s="12" t="s">
        <v>7067</v>
      </c>
      <c r="C711" s="155">
        <v>32</v>
      </c>
      <c r="D711" s="55" t="s">
        <v>3804</v>
      </c>
      <c r="E711" s="90" t="s">
        <v>435</v>
      </c>
      <c r="G711" s="55" t="s">
        <v>436</v>
      </c>
      <c r="H711" s="55">
        <v>2007</v>
      </c>
      <c r="I711" s="55">
        <v>2005</v>
      </c>
      <c r="J711" s="55" t="s">
        <v>397</v>
      </c>
      <c r="K711" s="55" t="s">
        <v>437</v>
      </c>
      <c r="L711" s="55" t="s">
        <v>2737</v>
      </c>
      <c r="M711" s="90">
        <f>42.05</f>
        <v>42.05</v>
      </c>
      <c r="N711" s="90">
        <f>-93.71</f>
        <v>-93.71</v>
      </c>
      <c r="O711" s="90">
        <v>307.8</v>
      </c>
      <c r="P711" s="55">
        <v>10.6</v>
      </c>
      <c r="Q711" s="55">
        <v>9.1999999999999993</v>
      </c>
      <c r="R711" s="55">
        <v>893</v>
      </c>
      <c r="S711" s="90">
        <v>837</v>
      </c>
      <c r="U711" s="55">
        <v>5</v>
      </c>
      <c r="V711" s="55" t="s">
        <v>1694</v>
      </c>
      <c r="Y711" s="55" t="s">
        <v>1867</v>
      </c>
      <c r="Z711" s="55" t="s">
        <v>1366</v>
      </c>
      <c r="AA711" s="90" t="s">
        <v>1686</v>
      </c>
      <c r="AD711" s="90">
        <v>1.25</v>
      </c>
      <c r="AH711" s="55" t="s">
        <v>139</v>
      </c>
      <c r="AM711" s="55" t="s">
        <v>1296</v>
      </c>
      <c r="AN711" s="185" t="s">
        <v>131</v>
      </c>
      <c r="AO711" s="185" t="s">
        <v>5150</v>
      </c>
      <c r="AQ711" s="55" t="s">
        <v>131</v>
      </c>
      <c r="AR711" s="55" t="s">
        <v>132</v>
      </c>
      <c r="AS711" s="55" t="s">
        <v>1575</v>
      </c>
      <c r="AT711" s="181" t="s">
        <v>438</v>
      </c>
      <c r="AU711" s="181" t="s">
        <v>5150</v>
      </c>
      <c r="AV711" s="185" t="s">
        <v>176</v>
      </c>
      <c r="AW711" s="55" t="s">
        <v>438</v>
      </c>
      <c r="AX711" s="185" t="s">
        <v>176</v>
      </c>
      <c r="AY711" s="55" t="s">
        <v>176</v>
      </c>
      <c r="AZ711" s="55" t="s">
        <v>439</v>
      </c>
      <c r="BA711" s="55" t="s">
        <v>439</v>
      </c>
      <c r="BB711" s="55" t="s">
        <v>2082</v>
      </c>
      <c r="BC711" s="55" t="s">
        <v>2082</v>
      </c>
      <c r="BD711" s="55" t="s">
        <v>176</v>
      </c>
      <c r="BK711" s="55" t="s">
        <v>6269</v>
      </c>
      <c r="BM711" s="192" t="s">
        <v>119</v>
      </c>
      <c r="BN711" s="55">
        <v>4</v>
      </c>
      <c r="BO711" s="55">
        <v>4</v>
      </c>
      <c r="BQ711" s="55" t="s">
        <v>141</v>
      </c>
      <c r="BS711" s="55">
        <f>2.74*1000</f>
        <v>2740</v>
      </c>
      <c r="BT711" s="55">
        <f>BS711/76.5</f>
        <v>35.816993464052288</v>
      </c>
      <c r="CB711" s="66">
        <f>4.5*1000</f>
        <v>4500</v>
      </c>
      <c r="CC711" s="66">
        <f>4.2*1000</f>
        <v>4200</v>
      </c>
      <c r="DB711" s="65">
        <f>65.3*0.067</f>
        <v>4.3750999999999998</v>
      </c>
      <c r="DC711" s="65">
        <f>82.9*0.067</f>
        <v>5.5543000000000005</v>
      </c>
      <c r="DF711" s="65" t="s">
        <v>442</v>
      </c>
      <c r="FT711" s="65">
        <v>21.6</v>
      </c>
      <c r="FU711" s="65">
        <v>8</v>
      </c>
      <c r="FX711" s="65" t="s">
        <v>443</v>
      </c>
      <c r="GP711" s="292" t="s">
        <v>7494</v>
      </c>
      <c r="HS711" s="227"/>
      <c r="HW711" s="227"/>
    </row>
    <row r="712" spans="1:231" x14ac:dyDescent="0.25">
      <c r="A712" s="55">
        <v>711</v>
      </c>
      <c r="B712" s="12" t="s">
        <v>7067</v>
      </c>
      <c r="C712" s="155">
        <v>33</v>
      </c>
      <c r="D712" s="55" t="s">
        <v>3805</v>
      </c>
      <c r="E712" s="90" t="s">
        <v>444</v>
      </c>
      <c r="G712" s="55" t="s">
        <v>445</v>
      </c>
      <c r="H712" s="55">
        <v>2016</v>
      </c>
      <c r="I712" s="55">
        <v>2011</v>
      </c>
      <c r="J712" s="55" t="s">
        <v>446</v>
      </c>
      <c r="K712" s="55" t="s">
        <v>298</v>
      </c>
      <c r="L712" s="55" t="s">
        <v>2737</v>
      </c>
      <c r="M712" s="90">
        <v>40.72</v>
      </c>
      <c r="N712" s="90">
        <v>-77.92</v>
      </c>
      <c r="O712" s="90">
        <v>350</v>
      </c>
      <c r="U712" s="55">
        <v>1</v>
      </c>
      <c r="V712" s="55" t="s">
        <v>1816</v>
      </c>
      <c r="Y712" s="55" t="s">
        <v>1868</v>
      </c>
      <c r="Z712" s="55" t="s">
        <v>1344</v>
      </c>
      <c r="AA712" s="90" t="s">
        <v>1344</v>
      </c>
      <c r="AH712" s="55" t="s">
        <v>6378</v>
      </c>
      <c r="AM712" s="55" t="s">
        <v>1297</v>
      </c>
      <c r="AN712" s="185" t="s">
        <v>131</v>
      </c>
      <c r="AO712" s="185" t="s">
        <v>5150</v>
      </c>
      <c r="AQ712" s="55" t="s">
        <v>131</v>
      </c>
      <c r="AR712" s="55" t="s">
        <v>158</v>
      </c>
      <c r="AS712" s="55" t="s">
        <v>158</v>
      </c>
      <c r="AU712" s="181" t="s">
        <v>7494</v>
      </c>
      <c r="AV712" s="185" t="s">
        <v>176</v>
      </c>
      <c r="AX712" s="185" t="s">
        <v>176</v>
      </c>
      <c r="AZ712" s="55" t="s">
        <v>447</v>
      </c>
      <c r="BA712" s="55" t="s">
        <v>447</v>
      </c>
      <c r="BB712" s="55" t="s">
        <v>2082</v>
      </c>
      <c r="BC712" s="55" t="s">
        <v>2082</v>
      </c>
      <c r="BD712" s="55" t="s">
        <v>176</v>
      </c>
      <c r="BK712" s="55" t="s">
        <v>6269</v>
      </c>
      <c r="BM712" s="192" t="s">
        <v>160</v>
      </c>
      <c r="BN712" s="55">
        <v>4</v>
      </c>
      <c r="BO712" s="55">
        <v>4</v>
      </c>
      <c r="BQ712" s="55" t="s">
        <v>315</v>
      </c>
      <c r="CB712" s="66">
        <f>2.4*1000</f>
        <v>2400</v>
      </c>
      <c r="CC712" s="66">
        <f>2.8*1000</f>
        <v>2800</v>
      </c>
      <c r="GN712" s="294">
        <v>1800</v>
      </c>
      <c r="GO712" s="294">
        <v>1770</v>
      </c>
      <c r="GP712" s="292" t="s">
        <v>5150</v>
      </c>
      <c r="HS712" s="227"/>
      <c r="HW712" s="227"/>
    </row>
    <row r="713" spans="1:231" x14ac:dyDescent="0.25">
      <c r="A713" s="55">
        <v>712</v>
      </c>
      <c r="B713" s="12" t="s">
        <v>7067</v>
      </c>
      <c r="C713" s="155">
        <v>33</v>
      </c>
      <c r="D713" s="55" t="s">
        <v>3805</v>
      </c>
      <c r="E713" s="90" t="s">
        <v>444</v>
      </c>
      <c r="G713" s="55" t="s">
        <v>445</v>
      </c>
      <c r="H713" s="55">
        <v>2016</v>
      </c>
      <c r="I713" s="55">
        <v>2011</v>
      </c>
      <c r="J713" s="55" t="s">
        <v>446</v>
      </c>
      <c r="K713" s="55" t="s">
        <v>298</v>
      </c>
      <c r="L713" s="55" t="s">
        <v>2737</v>
      </c>
      <c r="M713" s="90">
        <v>40.72</v>
      </c>
      <c r="N713" s="90">
        <v>-77.92</v>
      </c>
      <c r="O713" s="90">
        <v>350</v>
      </c>
      <c r="U713" s="55">
        <v>1</v>
      </c>
      <c r="V713" s="55" t="s">
        <v>1816</v>
      </c>
      <c r="Y713" s="55" t="s">
        <v>1869</v>
      </c>
      <c r="Z713" s="55" t="s">
        <v>1344</v>
      </c>
      <c r="AA713" s="90" t="s">
        <v>1344</v>
      </c>
      <c r="AH713" s="55" t="s">
        <v>6378</v>
      </c>
      <c r="AM713" s="55" t="s">
        <v>1297</v>
      </c>
      <c r="AN713" s="185" t="s">
        <v>131</v>
      </c>
      <c r="AO713" s="185" t="s">
        <v>5150</v>
      </c>
      <c r="AQ713" s="55" t="s">
        <v>131</v>
      </c>
      <c r="AR713" s="55" t="s">
        <v>158</v>
      </c>
      <c r="AS713" s="55" t="s">
        <v>158</v>
      </c>
      <c r="AU713" s="181" t="s">
        <v>7494</v>
      </c>
      <c r="AV713" s="185" t="s">
        <v>176</v>
      </c>
      <c r="AX713" s="185" t="s">
        <v>176</v>
      </c>
      <c r="AZ713" s="55" t="s">
        <v>447</v>
      </c>
      <c r="BA713" s="55" t="s">
        <v>447</v>
      </c>
      <c r="BB713" s="55" t="s">
        <v>2082</v>
      </c>
      <c r="BC713" s="55" t="s">
        <v>2082</v>
      </c>
      <c r="BD713" s="55" t="s">
        <v>176</v>
      </c>
      <c r="BK713" s="55" t="s">
        <v>6269</v>
      </c>
      <c r="BM713" s="192" t="s">
        <v>160</v>
      </c>
      <c r="BN713" s="55">
        <v>4</v>
      </c>
      <c r="BO713" s="55">
        <v>4</v>
      </c>
      <c r="BQ713" s="55" t="s">
        <v>315</v>
      </c>
      <c r="CB713" s="66">
        <f>2.8*1000</f>
        <v>2800</v>
      </c>
      <c r="CC713" s="66">
        <f>3.2*1000</f>
        <v>3200</v>
      </c>
      <c r="GN713" s="294">
        <v>340</v>
      </c>
      <c r="GO713" s="294">
        <v>260</v>
      </c>
      <c r="GP713" s="292" t="s">
        <v>5150</v>
      </c>
      <c r="HS713" s="227"/>
      <c r="HW713" s="227"/>
    </row>
    <row r="714" spans="1:231" x14ac:dyDescent="0.25">
      <c r="A714" s="55">
        <v>713</v>
      </c>
      <c r="B714" s="12" t="s">
        <v>7067</v>
      </c>
      <c r="C714" s="155">
        <v>33</v>
      </c>
      <c r="D714" s="55" t="s">
        <v>3805</v>
      </c>
      <c r="E714" s="90" t="s">
        <v>444</v>
      </c>
      <c r="G714" s="55" t="s">
        <v>445</v>
      </c>
      <c r="H714" s="55">
        <v>2016</v>
      </c>
      <c r="I714" s="55">
        <v>2011</v>
      </c>
      <c r="J714" s="55" t="s">
        <v>446</v>
      </c>
      <c r="K714" s="55" t="s">
        <v>298</v>
      </c>
      <c r="L714" s="55" t="s">
        <v>2737</v>
      </c>
      <c r="M714" s="90">
        <v>40.72</v>
      </c>
      <c r="N714" s="90">
        <v>-77.92</v>
      </c>
      <c r="O714" s="90">
        <v>350</v>
      </c>
      <c r="U714" s="55">
        <v>1</v>
      </c>
      <c r="V714" s="55" t="s">
        <v>1816</v>
      </c>
      <c r="Y714" s="55" t="s">
        <v>1870</v>
      </c>
      <c r="Z714" s="55" t="s">
        <v>1344</v>
      </c>
      <c r="AA714" s="90" t="s">
        <v>1344</v>
      </c>
      <c r="AH714" s="55" t="s">
        <v>6378</v>
      </c>
      <c r="AM714" s="55" t="s">
        <v>1297</v>
      </c>
      <c r="AN714" s="185" t="s">
        <v>131</v>
      </c>
      <c r="AO714" s="185" t="s">
        <v>5150</v>
      </c>
      <c r="AQ714" s="55" t="s">
        <v>131</v>
      </c>
      <c r="AR714" s="55" t="s">
        <v>158</v>
      </c>
      <c r="AS714" s="55" t="s">
        <v>158</v>
      </c>
      <c r="AU714" s="181" t="s">
        <v>7494</v>
      </c>
      <c r="AV714" s="185" t="s">
        <v>176</v>
      </c>
      <c r="AX714" s="185" t="s">
        <v>176</v>
      </c>
      <c r="AZ714" s="55" t="s">
        <v>447</v>
      </c>
      <c r="BA714" s="55" t="s">
        <v>447</v>
      </c>
      <c r="BB714" s="55" t="s">
        <v>2082</v>
      </c>
      <c r="BC714" s="55" t="s">
        <v>2082</v>
      </c>
      <c r="BD714" s="55" t="s">
        <v>176</v>
      </c>
      <c r="BK714" s="55" t="s">
        <v>6269</v>
      </c>
      <c r="BM714" s="192" t="s">
        <v>160</v>
      </c>
      <c r="BN714" s="55">
        <v>4</v>
      </c>
      <c r="BO714" s="55">
        <v>4</v>
      </c>
      <c r="BQ714" s="55" t="s">
        <v>315</v>
      </c>
      <c r="CB714" s="66">
        <f>2.3*1000</f>
        <v>2300</v>
      </c>
      <c r="CC714" s="66">
        <f>2.8*1000</f>
        <v>2800</v>
      </c>
      <c r="GN714" s="294">
        <v>600</v>
      </c>
      <c r="GO714" s="294">
        <v>670</v>
      </c>
      <c r="GP714" s="292" t="s">
        <v>5150</v>
      </c>
      <c r="HS714" s="227"/>
      <c r="HW714" s="227"/>
    </row>
    <row r="715" spans="1:231" x14ac:dyDescent="0.25">
      <c r="A715" s="55">
        <v>714</v>
      </c>
      <c r="B715" s="12" t="s">
        <v>7067</v>
      </c>
      <c r="C715" s="155">
        <v>33</v>
      </c>
      <c r="D715" s="55" t="s">
        <v>3805</v>
      </c>
      <c r="E715" s="90" t="s">
        <v>444</v>
      </c>
      <c r="G715" s="55" t="s">
        <v>445</v>
      </c>
      <c r="H715" s="55">
        <v>2016</v>
      </c>
      <c r="I715" s="55">
        <v>2011</v>
      </c>
      <c r="J715" s="55" t="s">
        <v>446</v>
      </c>
      <c r="K715" s="55" t="s">
        <v>298</v>
      </c>
      <c r="L715" s="55" t="s">
        <v>2737</v>
      </c>
      <c r="M715" s="90">
        <v>40.72</v>
      </c>
      <c r="N715" s="90">
        <v>-77.92</v>
      </c>
      <c r="O715" s="90">
        <v>350</v>
      </c>
      <c r="U715" s="55">
        <v>1</v>
      </c>
      <c r="V715" s="55" t="s">
        <v>1816</v>
      </c>
      <c r="Y715" s="55" t="s">
        <v>1871</v>
      </c>
      <c r="Z715" s="55" t="s">
        <v>1344</v>
      </c>
      <c r="AA715" s="90" t="s">
        <v>1344</v>
      </c>
      <c r="AH715" s="55" t="s">
        <v>6378</v>
      </c>
      <c r="AM715" s="55" t="s">
        <v>1297</v>
      </c>
      <c r="AN715" s="185" t="s">
        <v>131</v>
      </c>
      <c r="AO715" s="185" t="s">
        <v>5150</v>
      </c>
      <c r="AQ715" s="55" t="s">
        <v>131</v>
      </c>
      <c r="AR715" s="55" t="s">
        <v>158</v>
      </c>
      <c r="AS715" s="55" t="s">
        <v>158</v>
      </c>
      <c r="AU715" s="181" t="s">
        <v>7494</v>
      </c>
      <c r="AV715" s="185" t="s">
        <v>176</v>
      </c>
      <c r="AX715" s="185" t="s">
        <v>176</v>
      </c>
      <c r="AZ715" s="55" t="s">
        <v>447</v>
      </c>
      <c r="BA715" s="55" t="s">
        <v>447</v>
      </c>
      <c r="BB715" s="55" t="s">
        <v>2082</v>
      </c>
      <c r="BC715" s="55" t="s">
        <v>2082</v>
      </c>
      <c r="BD715" s="55" t="s">
        <v>176</v>
      </c>
      <c r="BK715" s="55" t="s">
        <v>6269</v>
      </c>
      <c r="BM715" s="192" t="s">
        <v>160</v>
      </c>
      <c r="BN715" s="55">
        <v>4</v>
      </c>
      <c r="BO715" s="55">
        <v>4</v>
      </c>
      <c r="BQ715" s="55" t="s">
        <v>315</v>
      </c>
      <c r="CB715" s="66">
        <f>3*1000</f>
        <v>3000</v>
      </c>
      <c r="CC715" s="66">
        <f>3.8*1000</f>
        <v>3800</v>
      </c>
      <c r="GN715" s="294">
        <v>160</v>
      </c>
      <c r="GO715" s="294">
        <v>110</v>
      </c>
      <c r="GP715" s="292" t="s">
        <v>5150</v>
      </c>
      <c r="HS715" s="227"/>
      <c r="HW715" s="227"/>
    </row>
    <row r="716" spans="1:231" x14ac:dyDescent="0.25">
      <c r="A716" s="55">
        <v>715</v>
      </c>
      <c r="B716" s="12" t="s">
        <v>7067</v>
      </c>
      <c r="C716" s="155">
        <v>33</v>
      </c>
      <c r="D716" s="55" t="s">
        <v>3805</v>
      </c>
      <c r="E716" s="90" t="s">
        <v>444</v>
      </c>
      <c r="G716" s="55" t="s">
        <v>445</v>
      </c>
      <c r="H716" s="55">
        <v>2016</v>
      </c>
      <c r="I716" s="55">
        <v>2012</v>
      </c>
      <c r="J716" s="55" t="s">
        <v>446</v>
      </c>
      <c r="K716" s="55" t="s">
        <v>298</v>
      </c>
      <c r="L716" s="55" t="s">
        <v>2737</v>
      </c>
      <c r="M716" s="90">
        <v>40.72</v>
      </c>
      <c r="N716" s="90">
        <v>-77.92</v>
      </c>
      <c r="O716" s="90">
        <v>350</v>
      </c>
      <c r="U716" s="55">
        <v>2</v>
      </c>
      <c r="V716" s="55" t="s">
        <v>1816</v>
      </c>
      <c r="Y716" s="55" t="s">
        <v>1868</v>
      </c>
      <c r="Z716" s="55" t="s">
        <v>1344</v>
      </c>
      <c r="AA716" s="90" t="s">
        <v>1344</v>
      </c>
      <c r="AH716" s="55" t="s">
        <v>6378</v>
      </c>
      <c r="AM716" s="55" t="s">
        <v>1297</v>
      </c>
      <c r="AN716" s="185" t="s">
        <v>131</v>
      </c>
      <c r="AO716" s="185" t="s">
        <v>5150</v>
      </c>
      <c r="AQ716" s="55" t="s">
        <v>131</v>
      </c>
      <c r="AR716" s="55" t="s">
        <v>158</v>
      </c>
      <c r="AS716" s="55" t="s">
        <v>158</v>
      </c>
      <c r="AU716" s="181" t="s">
        <v>7494</v>
      </c>
      <c r="AV716" s="185" t="s">
        <v>176</v>
      </c>
      <c r="AX716" s="185" t="s">
        <v>176</v>
      </c>
      <c r="AZ716" s="55" t="s">
        <v>447</v>
      </c>
      <c r="BA716" s="55" t="s">
        <v>447</v>
      </c>
      <c r="BB716" s="55" t="s">
        <v>2082</v>
      </c>
      <c r="BC716" s="55" t="s">
        <v>2082</v>
      </c>
      <c r="BD716" s="55" t="s">
        <v>176</v>
      </c>
      <c r="BK716" s="55" t="s">
        <v>6269</v>
      </c>
      <c r="BM716" s="192" t="s">
        <v>160</v>
      </c>
      <c r="BN716" s="55">
        <v>4</v>
      </c>
      <c r="BO716" s="55">
        <v>4</v>
      </c>
      <c r="BQ716" s="55" t="s">
        <v>315</v>
      </c>
      <c r="CB716" s="66">
        <f>3.6*1000</f>
        <v>3600</v>
      </c>
      <c r="CC716" s="66">
        <f>3.5*1000</f>
        <v>3500</v>
      </c>
      <c r="GN716" s="294">
        <v>30</v>
      </c>
      <c r="GO716" s="294">
        <v>910</v>
      </c>
      <c r="GP716" s="292" t="s">
        <v>5150</v>
      </c>
      <c r="HS716" s="227"/>
      <c r="HW716" s="227"/>
    </row>
    <row r="717" spans="1:231" x14ac:dyDescent="0.25">
      <c r="A717" s="55">
        <v>716</v>
      </c>
      <c r="B717" s="12" t="s">
        <v>7067</v>
      </c>
      <c r="C717" s="155">
        <v>33</v>
      </c>
      <c r="D717" s="55" t="s">
        <v>3805</v>
      </c>
      <c r="E717" s="90" t="s">
        <v>444</v>
      </c>
      <c r="G717" s="55" t="s">
        <v>445</v>
      </c>
      <c r="H717" s="55">
        <v>2016</v>
      </c>
      <c r="I717" s="55">
        <v>2012</v>
      </c>
      <c r="J717" s="55" t="s">
        <v>446</v>
      </c>
      <c r="K717" s="55" t="s">
        <v>298</v>
      </c>
      <c r="L717" s="55" t="s">
        <v>2737</v>
      </c>
      <c r="M717" s="90">
        <v>40.72</v>
      </c>
      <c r="N717" s="90">
        <v>-77.92</v>
      </c>
      <c r="O717" s="90">
        <v>350</v>
      </c>
      <c r="U717" s="55">
        <v>2</v>
      </c>
      <c r="V717" s="55" t="s">
        <v>1816</v>
      </c>
      <c r="Y717" s="55" t="s">
        <v>1869</v>
      </c>
      <c r="Z717" s="55" t="s">
        <v>1344</v>
      </c>
      <c r="AA717" s="90" t="s">
        <v>1344</v>
      </c>
      <c r="AH717" s="55" t="s">
        <v>6378</v>
      </c>
      <c r="AM717" s="55" t="s">
        <v>1297</v>
      </c>
      <c r="AN717" s="185" t="s">
        <v>131</v>
      </c>
      <c r="AO717" s="185" t="s">
        <v>5150</v>
      </c>
      <c r="AQ717" s="55" t="s">
        <v>131</v>
      </c>
      <c r="AR717" s="55" t="s">
        <v>158</v>
      </c>
      <c r="AS717" s="55" t="s">
        <v>158</v>
      </c>
      <c r="AU717" s="181" t="s">
        <v>7494</v>
      </c>
      <c r="AV717" s="185" t="s">
        <v>176</v>
      </c>
      <c r="AX717" s="185" t="s">
        <v>176</v>
      </c>
      <c r="AZ717" s="55" t="s">
        <v>447</v>
      </c>
      <c r="BA717" s="55" t="s">
        <v>447</v>
      </c>
      <c r="BB717" s="55" t="s">
        <v>2082</v>
      </c>
      <c r="BC717" s="55" t="s">
        <v>2082</v>
      </c>
      <c r="BD717" s="55" t="s">
        <v>176</v>
      </c>
      <c r="BK717" s="55" t="s">
        <v>6269</v>
      </c>
      <c r="BM717" s="192" t="s">
        <v>160</v>
      </c>
      <c r="BN717" s="55">
        <v>4</v>
      </c>
      <c r="BO717" s="55">
        <v>4</v>
      </c>
      <c r="BQ717" s="55" t="s">
        <v>315</v>
      </c>
      <c r="CB717" s="66">
        <f>3.5*1000</f>
        <v>3500</v>
      </c>
      <c r="CC717" s="66">
        <f>3.7*1000</f>
        <v>3700</v>
      </c>
      <c r="GN717" s="294">
        <v>90</v>
      </c>
      <c r="GO717" s="294">
        <v>510</v>
      </c>
      <c r="GP717" s="292" t="s">
        <v>5150</v>
      </c>
      <c r="HS717" s="227"/>
      <c r="HW717" s="227"/>
    </row>
    <row r="718" spans="1:231" x14ac:dyDescent="0.25">
      <c r="A718" s="55">
        <v>717</v>
      </c>
      <c r="B718" s="12" t="s">
        <v>7067</v>
      </c>
      <c r="C718" s="155">
        <v>33</v>
      </c>
      <c r="D718" s="55" t="s">
        <v>3805</v>
      </c>
      <c r="E718" s="90" t="s">
        <v>444</v>
      </c>
      <c r="G718" s="55" t="s">
        <v>445</v>
      </c>
      <c r="H718" s="55">
        <v>2016</v>
      </c>
      <c r="I718" s="55">
        <v>2012</v>
      </c>
      <c r="J718" s="55" t="s">
        <v>446</v>
      </c>
      <c r="K718" s="55" t="s">
        <v>298</v>
      </c>
      <c r="L718" s="55" t="s">
        <v>2737</v>
      </c>
      <c r="M718" s="90">
        <v>40.72</v>
      </c>
      <c r="N718" s="90">
        <v>-77.92</v>
      </c>
      <c r="O718" s="90">
        <v>350</v>
      </c>
      <c r="U718" s="55">
        <v>2</v>
      </c>
      <c r="V718" s="55" t="s">
        <v>1816</v>
      </c>
      <c r="Y718" s="55" t="s">
        <v>1870</v>
      </c>
      <c r="Z718" s="55" t="s">
        <v>1344</v>
      </c>
      <c r="AA718" s="90" t="s">
        <v>1344</v>
      </c>
      <c r="AH718" s="55" t="s">
        <v>6378</v>
      </c>
      <c r="AM718" s="55" t="s">
        <v>1297</v>
      </c>
      <c r="AN718" s="185" t="s">
        <v>131</v>
      </c>
      <c r="AO718" s="185" t="s">
        <v>5150</v>
      </c>
      <c r="AQ718" s="55" t="s">
        <v>131</v>
      </c>
      <c r="AR718" s="55" t="s">
        <v>158</v>
      </c>
      <c r="AS718" s="55" t="s">
        <v>158</v>
      </c>
      <c r="AU718" s="181" t="s">
        <v>7494</v>
      </c>
      <c r="AV718" s="185" t="s">
        <v>176</v>
      </c>
      <c r="AX718" s="185" t="s">
        <v>176</v>
      </c>
      <c r="AZ718" s="55" t="s">
        <v>447</v>
      </c>
      <c r="BA718" s="55" t="s">
        <v>447</v>
      </c>
      <c r="BB718" s="55" t="s">
        <v>2082</v>
      </c>
      <c r="BC718" s="55" t="s">
        <v>2082</v>
      </c>
      <c r="BD718" s="55" t="s">
        <v>176</v>
      </c>
      <c r="BK718" s="55" t="s">
        <v>6269</v>
      </c>
      <c r="BM718" s="192" t="s">
        <v>160</v>
      </c>
      <c r="BN718" s="55">
        <v>4</v>
      </c>
      <c r="BO718" s="55">
        <v>4</v>
      </c>
      <c r="BQ718" s="55" t="s">
        <v>315</v>
      </c>
      <c r="CB718" s="66">
        <f>3*1000</f>
        <v>3000</v>
      </c>
      <c r="CC718" s="66">
        <f>3.5*1000</f>
        <v>3500</v>
      </c>
      <c r="GN718" s="294">
        <v>490</v>
      </c>
      <c r="GO718" s="294">
        <v>470</v>
      </c>
      <c r="GP718" s="292" t="s">
        <v>5150</v>
      </c>
      <c r="HS718" s="227"/>
      <c r="HW718" s="227"/>
    </row>
    <row r="719" spans="1:231" x14ac:dyDescent="0.25">
      <c r="A719" s="55">
        <v>718</v>
      </c>
      <c r="B719" s="12" t="s">
        <v>7067</v>
      </c>
      <c r="C719" s="155">
        <v>33</v>
      </c>
      <c r="D719" s="55" t="s">
        <v>3805</v>
      </c>
      <c r="E719" s="90" t="s">
        <v>444</v>
      </c>
      <c r="G719" s="55" t="s">
        <v>445</v>
      </c>
      <c r="H719" s="55">
        <v>2016</v>
      </c>
      <c r="I719" s="55">
        <v>2012</v>
      </c>
      <c r="J719" s="55" t="s">
        <v>446</v>
      </c>
      <c r="K719" s="55" t="s">
        <v>298</v>
      </c>
      <c r="L719" s="55" t="s">
        <v>2737</v>
      </c>
      <c r="M719" s="90">
        <v>40.72</v>
      </c>
      <c r="N719" s="90">
        <v>-77.92</v>
      </c>
      <c r="O719" s="90">
        <v>350</v>
      </c>
      <c r="U719" s="55">
        <v>2</v>
      </c>
      <c r="V719" s="55" t="s">
        <v>1816</v>
      </c>
      <c r="Y719" s="55" t="s">
        <v>1871</v>
      </c>
      <c r="Z719" s="55" t="s">
        <v>1344</v>
      </c>
      <c r="AA719" s="90" t="s">
        <v>1344</v>
      </c>
      <c r="AH719" s="55" t="s">
        <v>6378</v>
      </c>
      <c r="AM719" s="55" t="s">
        <v>1297</v>
      </c>
      <c r="AN719" s="185" t="s">
        <v>131</v>
      </c>
      <c r="AO719" s="185" t="s">
        <v>5150</v>
      </c>
      <c r="AQ719" s="55" t="s">
        <v>131</v>
      </c>
      <c r="AR719" s="55" t="s">
        <v>158</v>
      </c>
      <c r="AS719" s="55" t="s">
        <v>158</v>
      </c>
      <c r="AU719" s="181" t="s">
        <v>7494</v>
      </c>
      <c r="AV719" s="185" t="s">
        <v>176</v>
      </c>
      <c r="AX719" s="185" t="s">
        <v>176</v>
      </c>
      <c r="AZ719" s="55" t="s">
        <v>447</v>
      </c>
      <c r="BA719" s="55" t="s">
        <v>447</v>
      </c>
      <c r="BB719" s="55" t="s">
        <v>2082</v>
      </c>
      <c r="BC719" s="55" t="s">
        <v>2082</v>
      </c>
      <c r="BD719" s="55" t="s">
        <v>176</v>
      </c>
      <c r="BK719" s="55" t="s">
        <v>6269</v>
      </c>
      <c r="BM719" s="192" t="s">
        <v>160</v>
      </c>
      <c r="BN719" s="55">
        <v>4</v>
      </c>
      <c r="BO719" s="55">
        <v>4</v>
      </c>
      <c r="BQ719" s="55" t="s">
        <v>315</v>
      </c>
      <c r="CB719" s="66">
        <f>3.6*1000</f>
        <v>3600</v>
      </c>
      <c r="CC719" s="66">
        <f>3.8*1000</f>
        <v>3800</v>
      </c>
      <c r="GN719" s="294">
        <v>80</v>
      </c>
      <c r="GO719" s="294">
        <v>130</v>
      </c>
      <c r="GP719" s="292" t="s">
        <v>5150</v>
      </c>
      <c r="HS719" s="227"/>
      <c r="HW719" s="227"/>
    </row>
    <row r="720" spans="1:231" x14ac:dyDescent="0.25">
      <c r="A720" s="55">
        <v>719</v>
      </c>
      <c r="B720" s="12" t="s">
        <v>7067</v>
      </c>
      <c r="C720" s="155">
        <v>33</v>
      </c>
      <c r="D720" s="55" t="s">
        <v>3805</v>
      </c>
      <c r="E720" s="90" t="s">
        <v>444</v>
      </c>
      <c r="G720" s="55" t="s">
        <v>445</v>
      </c>
      <c r="H720" s="55">
        <v>2016</v>
      </c>
      <c r="I720" s="55">
        <v>2013</v>
      </c>
      <c r="J720" s="55" t="s">
        <v>446</v>
      </c>
      <c r="K720" s="55" t="s">
        <v>298</v>
      </c>
      <c r="L720" s="55" t="s">
        <v>2737</v>
      </c>
      <c r="M720" s="90">
        <v>40.72</v>
      </c>
      <c r="N720" s="90">
        <v>-77.92</v>
      </c>
      <c r="O720" s="90">
        <v>350</v>
      </c>
      <c r="U720" s="55">
        <v>3</v>
      </c>
      <c r="V720" s="55" t="s">
        <v>1816</v>
      </c>
      <c r="Y720" s="55" t="s">
        <v>1868</v>
      </c>
      <c r="Z720" s="55" t="s">
        <v>1344</v>
      </c>
      <c r="AA720" s="90" t="s">
        <v>1344</v>
      </c>
      <c r="AH720" s="55" t="s">
        <v>6378</v>
      </c>
      <c r="AM720" s="55" t="s">
        <v>1297</v>
      </c>
      <c r="AN720" s="185" t="s">
        <v>131</v>
      </c>
      <c r="AO720" s="185" t="s">
        <v>5150</v>
      </c>
      <c r="AQ720" s="55" t="s">
        <v>131</v>
      </c>
      <c r="AR720" s="55" t="s">
        <v>158</v>
      </c>
      <c r="AS720" s="55" t="s">
        <v>158</v>
      </c>
      <c r="AU720" s="181" t="s">
        <v>7494</v>
      </c>
      <c r="AV720" s="185" t="s">
        <v>176</v>
      </c>
      <c r="AX720" s="185" t="s">
        <v>176</v>
      </c>
      <c r="AZ720" s="55" t="s">
        <v>447</v>
      </c>
      <c r="BA720" s="55" t="s">
        <v>447</v>
      </c>
      <c r="BB720" s="55" t="s">
        <v>2082</v>
      </c>
      <c r="BC720" s="55" t="s">
        <v>2082</v>
      </c>
      <c r="BD720" s="55" t="s">
        <v>176</v>
      </c>
      <c r="BK720" s="55" t="s">
        <v>6269</v>
      </c>
      <c r="BM720" s="192" t="s">
        <v>160</v>
      </c>
      <c r="BN720" s="55">
        <v>4</v>
      </c>
      <c r="BO720" s="55">
        <v>4</v>
      </c>
      <c r="BQ720" s="55" t="s">
        <v>315</v>
      </c>
      <c r="CB720" s="66">
        <f>3.6*1000</f>
        <v>3600</v>
      </c>
      <c r="CC720" s="66">
        <f>3.7*1000</f>
        <v>3700</v>
      </c>
      <c r="GN720" s="294">
        <v>1050</v>
      </c>
      <c r="GO720" s="294">
        <v>550</v>
      </c>
      <c r="GP720" s="292" t="s">
        <v>5150</v>
      </c>
      <c r="HS720" s="227"/>
      <c r="HW720" s="227"/>
    </row>
    <row r="721" spans="1:281" x14ac:dyDescent="0.25">
      <c r="A721" s="55">
        <v>720</v>
      </c>
      <c r="B721" s="12" t="s">
        <v>7067</v>
      </c>
      <c r="C721" s="155">
        <v>33</v>
      </c>
      <c r="D721" s="55" t="s">
        <v>3805</v>
      </c>
      <c r="E721" s="90" t="s">
        <v>444</v>
      </c>
      <c r="G721" s="55" t="s">
        <v>445</v>
      </c>
      <c r="H721" s="55">
        <v>2016</v>
      </c>
      <c r="I721" s="55">
        <v>2013</v>
      </c>
      <c r="J721" s="55" t="s">
        <v>446</v>
      </c>
      <c r="K721" s="55" t="s">
        <v>298</v>
      </c>
      <c r="L721" s="55" t="s">
        <v>2737</v>
      </c>
      <c r="M721" s="90">
        <v>40.72</v>
      </c>
      <c r="N721" s="90">
        <v>-77.92</v>
      </c>
      <c r="O721" s="90">
        <v>350</v>
      </c>
      <c r="U721" s="55">
        <v>3</v>
      </c>
      <c r="V721" s="55" t="s">
        <v>1816</v>
      </c>
      <c r="Y721" s="55" t="s">
        <v>1869</v>
      </c>
      <c r="Z721" s="55" t="s">
        <v>1344</v>
      </c>
      <c r="AA721" s="90" t="s">
        <v>1344</v>
      </c>
      <c r="AH721" s="55" t="s">
        <v>6378</v>
      </c>
      <c r="AM721" s="55" t="s">
        <v>1297</v>
      </c>
      <c r="AN721" s="185" t="s">
        <v>131</v>
      </c>
      <c r="AO721" s="185" t="s">
        <v>5150</v>
      </c>
      <c r="AQ721" s="55" t="s">
        <v>131</v>
      </c>
      <c r="AR721" s="55" t="s">
        <v>158</v>
      </c>
      <c r="AS721" s="55" t="s">
        <v>158</v>
      </c>
      <c r="AU721" s="181" t="s">
        <v>7494</v>
      </c>
      <c r="AV721" s="185" t="s">
        <v>176</v>
      </c>
      <c r="AX721" s="185" t="s">
        <v>176</v>
      </c>
      <c r="AZ721" s="55" t="s">
        <v>447</v>
      </c>
      <c r="BA721" s="55" t="s">
        <v>447</v>
      </c>
      <c r="BB721" s="55" t="s">
        <v>2082</v>
      </c>
      <c r="BC721" s="55" t="s">
        <v>2082</v>
      </c>
      <c r="BD721" s="55" t="s">
        <v>176</v>
      </c>
      <c r="BK721" s="55" t="s">
        <v>6269</v>
      </c>
      <c r="BM721" s="192" t="s">
        <v>160</v>
      </c>
      <c r="BN721" s="55">
        <v>4</v>
      </c>
      <c r="BO721" s="55">
        <v>4</v>
      </c>
      <c r="BQ721" s="55" t="s">
        <v>315</v>
      </c>
      <c r="CB721" s="66">
        <f>3.4*1000</f>
        <v>3400</v>
      </c>
      <c r="CC721" s="66">
        <f>2.9*1000</f>
        <v>2900</v>
      </c>
      <c r="GN721" s="294">
        <v>1460</v>
      </c>
      <c r="GO721" s="294">
        <v>660</v>
      </c>
      <c r="GP721" s="292" t="s">
        <v>5150</v>
      </c>
      <c r="HS721" s="227"/>
      <c r="HW721" s="227"/>
    </row>
    <row r="722" spans="1:281" x14ac:dyDescent="0.25">
      <c r="A722" s="55">
        <v>721</v>
      </c>
      <c r="B722" s="12" t="s">
        <v>7067</v>
      </c>
      <c r="C722" s="155">
        <v>33</v>
      </c>
      <c r="D722" s="55" t="s">
        <v>3805</v>
      </c>
      <c r="E722" s="90" t="s">
        <v>444</v>
      </c>
      <c r="G722" s="55" t="s">
        <v>445</v>
      </c>
      <c r="H722" s="55">
        <v>2016</v>
      </c>
      <c r="I722" s="55">
        <v>2013</v>
      </c>
      <c r="J722" s="55" t="s">
        <v>446</v>
      </c>
      <c r="K722" s="55" t="s">
        <v>298</v>
      </c>
      <c r="L722" s="55" t="s">
        <v>2737</v>
      </c>
      <c r="M722" s="90">
        <v>40.72</v>
      </c>
      <c r="N722" s="90">
        <v>-77.92</v>
      </c>
      <c r="O722" s="90">
        <v>350</v>
      </c>
      <c r="U722" s="55">
        <v>3</v>
      </c>
      <c r="V722" s="55" t="s">
        <v>1816</v>
      </c>
      <c r="Y722" s="55" t="s">
        <v>1870</v>
      </c>
      <c r="Z722" s="55" t="s">
        <v>1344</v>
      </c>
      <c r="AA722" s="90" t="s">
        <v>1344</v>
      </c>
      <c r="AH722" s="55" t="s">
        <v>6378</v>
      </c>
      <c r="AM722" s="55" t="s">
        <v>1297</v>
      </c>
      <c r="AN722" s="185" t="s">
        <v>131</v>
      </c>
      <c r="AO722" s="185" t="s">
        <v>5150</v>
      </c>
      <c r="AQ722" s="55" t="s">
        <v>131</v>
      </c>
      <c r="AR722" s="55" t="s">
        <v>158</v>
      </c>
      <c r="AS722" s="55" t="s">
        <v>158</v>
      </c>
      <c r="AU722" s="181" t="s">
        <v>7494</v>
      </c>
      <c r="AV722" s="185" t="s">
        <v>176</v>
      </c>
      <c r="AX722" s="185" t="s">
        <v>176</v>
      </c>
      <c r="AZ722" s="55" t="s">
        <v>447</v>
      </c>
      <c r="BA722" s="55" t="s">
        <v>447</v>
      </c>
      <c r="BB722" s="55" t="s">
        <v>2082</v>
      </c>
      <c r="BC722" s="55" t="s">
        <v>2082</v>
      </c>
      <c r="BD722" s="55" t="s">
        <v>176</v>
      </c>
      <c r="BK722" s="55" t="s">
        <v>6269</v>
      </c>
      <c r="BM722" s="192" t="s">
        <v>160</v>
      </c>
      <c r="BN722" s="55">
        <v>4</v>
      </c>
      <c r="BO722" s="55">
        <v>4</v>
      </c>
      <c r="BQ722" s="55" t="s">
        <v>315</v>
      </c>
      <c r="CB722" s="66">
        <f>3.4*1000</f>
        <v>3400</v>
      </c>
      <c r="CC722" s="66">
        <f>2.9*1000</f>
        <v>2900</v>
      </c>
      <c r="GN722" s="294">
        <v>1130</v>
      </c>
      <c r="GO722" s="294">
        <v>540</v>
      </c>
      <c r="GP722" s="292" t="s">
        <v>5150</v>
      </c>
      <c r="HS722" s="227"/>
      <c r="HW722" s="227"/>
    </row>
    <row r="723" spans="1:281" x14ac:dyDescent="0.25">
      <c r="A723" s="55">
        <v>722</v>
      </c>
      <c r="B723" s="12" t="s">
        <v>7067</v>
      </c>
      <c r="C723" s="155">
        <v>33</v>
      </c>
      <c r="D723" s="55" t="s">
        <v>3805</v>
      </c>
      <c r="E723" s="90" t="s">
        <v>444</v>
      </c>
      <c r="G723" s="55" t="s">
        <v>445</v>
      </c>
      <c r="H723" s="55">
        <v>2016</v>
      </c>
      <c r="I723" s="55">
        <v>2013</v>
      </c>
      <c r="J723" s="55" t="s">
        <v>446</v>
      </c>
      <c r="K723" s="55" t="s">
        <v>298</v>
      </c>
      <c r="L723" s="55" t="s">
        <v>2737</v>
      </c>
      <c r="M723" s="90">
        <v>40.72</v>
      </c>
      <c r="N723" s="90">
        <v>-77.92</v>
      </c>
      <c r="O723" s="90">
        <v>350</v>
      </c>
      <c r="U723" s="55">
        <v>3</v>
      </c>
      <c r="V723" s="55" t="s">
        <v>1816</v>
      </c>
      <c r="Y723" s="55" t="s">
        <v>1871</v>
      </c>
      <c r="Z723" s="55" t="s">
        <v>1344</v>
      </c>
      <c r="AA723" s="90" t="s">
        <v>1344</v>
      </c>
      <c r="AH723" s="55" t="s">
        <v>6378</v>
      </c>
      <c r="AM723" s="55" t="s">
        <v>1297</v>
      </c>
      <c r="AN723" s="185" t="s">
        <v>131</v>
      </c>
      <c r="AO723" s="185" t="s">
        <v>5150</v>
      </c>
      <c r="AQ723" s="55" t="s">
        <v>131</v>
      </c>
      <c r="AR723" s="55" t="s">
        <v>158</v>
      </c>
      <c r="AS723" s="55" t="s">
        <v>158</v>
      </c>
      <c r="AU723" s="181" t="s">
        <v>7494</v>
      </c>
      <c r="AV723" s="185" t="s">
        <v>176</v>
      </c>
      <c r="AX723" s="185" t="s">
        <v>176</v>
      </c>
      <c r="AZ723" s="55" t="s">
        <v>447</v>
      </c>
      <c r="BA723" s="55" t="s">
        <v>447</v>
      </c>
      <c r="BB723" s="55" t="s">
        <v>2082</v>
      </c>
      <c r="BC723" s="55" t="s">
        <v>2082</v>
      </c>
      <c r="BD723" s="55" t="s">
        <v>176</v>
      </c>
      <c r="BK723" s="55" t="s">
        <v>6269</v>
      </c>
      <c r="BM723" s="192" t="s">
        <v>160</v>
      </c>
      <c r="BN723" s="55">
        <v>4</v>
      </c>
      <c r="BO723" s="55">
        <v>4</v>
      </c>
      <c r="BQ723" s="55" t="s">
        <v>315</v>
      </c>
      <c r="CB723" s="66">
        <f>3.6*1000</f>
        <v>3600</v>
      </c>
      <c r="CC723" s="66">
        <f>3.7*1000</f>
        <v>3700</v>
      </c>
      <c r="GN723" s="294">
        <v>510</v>
      </c>
      <c r="GO723" s="294">
        <v>200</v>
      </c>
      <c r="GP723" s="292" t="s">
        <v>5150</v>
      </c>
      <c r="HS723" s="227"/>
      <c r="HW723" s="227"/>
    </row>
    <row r="724" spans="1:281" x14ac:dyDescent="0.25">
      <c r="A724" s="55">
        <v>723</v>
      </c>
      <c r="B724" s="12" t="s">
        <v>7067</v>
      </c>
      <c r="C724" s="155">
        <v>33</v>
      </c>
      <c r="D724" s="55" t="s">
        <v>3806</v>
      </c>
      <c r="E724" s="90" t="s">
        <v>444</v>
      </c>
      <c r="G724" s="55" t="s">
        <v>445</v>
      </c>
      <c r="H724" s="55">
        <v>2016</v>
      </c>
      <c r="I724" s="55">
        <v>2012</v>
      </c>
      <c r="J724" s="55" t="s">
        <v>446</v>
      </c>
      <c r="K724" s="55" t="s">
        <v>298</v>
      </c>
      <c r="L724" s="55" t="s">
        <v>2737</v>
      </c>
      <c r="M724" s="90">
        <v>40.72</v>
      </c>
      <c r="N724" s="90">
        <v>-77.92</v>
      </c>
      <c r="O724" s="90">
        <v>350</v>
      </c>
      <c r="U724" s="55">
        <v>2</v>
      </c>
      <c r="V724" s="55" t="s">
        <v>1816</v>
      </c>
      <c r="Y724" s="55" t="s">
        <v>1868</v>
      </c>
      <c r="Z724" s="55" t="s">
        <v>1344</v>
      </c>
      <c r="AA724" s="90" t="s">
        <v>1344</v>
      </c>
      <c r="AH724" s="55" t="s">
        <v>6378</v>
      </c>
      <c r="AM724" s="55" t="s">
        <v>1297</v>
      </c>
      <c r="AN724" s="185" t="s">
        <v>241</v>
      </c>
      <c r="AO724" s="185" t="s">
        <v>5150</v>
      </c>
      <c r="AQ724" s="55" t="s">
        <v>553</v>
      </c>
      <c r="AR724" s="55" t="s">
        <v>132</v>
      </c>
      <c r="AS724" s="55" t="s">
        <v>132</v>
      </c>
      <c r="AU724" s="181" t="s">
        <v>7494</v>
      </c>
      <c r="AV724" s="185" t="s">
        <v>176</v>
      </c>
      <c r="AX724" s="185" t="s">
        <v>176</v>
      </c>
      <c r="AZ724" s="55" t="s">
        <v>447</v>
      </c>
      <c r="BA724" s="55" t="s">
        <v>447</v>
      </c>
      <c r="BB724" s="55" t="s">
        <v>2082</v>
      </c>
      <c r="BC724" s="55" t="s">
        <v>2082</v>
      </c>
      <c r="BD724" s="55" t="s">
        <v>176</v>
      </c>
      <c r="BK724" s="55" t="s">
        <v>6269</v>
      </c>
      <c r="BM724" s="192" t="s">
        <v>160</v>
      </c>
      <c r="BN724" s="55">
        <v>4</v>
      </c>
      <c r="BO724" s="55">
        <v>4</v>
      </c>
      <c r="BQ724" s="55" t="s">
        <v>315</v>
      </c>
      <c r="CB724" s="66">
        <f>10.3*1000</f>
        <v>10300</v>
      </c>
      <c r="CC724" s="66">
        <f>11.9*1000</f>
        <v>11900</v>
      </c>
      <c r="GN724" s="294">
        <v>700</v>
      </c>
      <c r="GO724" s="294">
        <v>430</v>
      </c>
      <c r="GP724" s="292" t="s">
        <v>5150</v>
      </c>
      <c r="HS724" s="227"/>
      <c r="HW724" s="227"/>
    </row>
    <row r="725" spans="1:281" x14ac:dyDescent="0.25">
      <c r="A725" s="55">
        <v>724</v>
      </c>
      <c r="B725" s="12" t="s">
        <v>7067</v>
      </c>
      <c r="C725" s="155">
        <v>33</v>
      </c>
      <c r="D725" s="55" t="s">
        <v>3806</v>
      </c>
      <c r="E725" s="90" t="s">
        <v>444</v>
      </c>
      <c r="G725" s="55" t="s">
        <v>445</v>
      </c>
      <c r="H725" s="55">
        <v>2016</v>
      </c>
      <c r="I725" s="55">
        <v>2012</v>
      </c>
      <c r="J725" s="55" t="s">
        <v>446</v>
      </c>
      <c r="K725" s="55" t="s">
        <v>298</v>
      </c>
      <c r="L725" s="55" t="s">
        <v>2737</v>
      </c>
      <c r="M725" s="90">
        <v>40.72</v>
      </c>
      <c r="N725" s="90">
        <v>-77.92</v>
      </c>
      <c r="O725" s="90">
        <v>350</v>
      </c>
      <c r="U725" s="55">
        <v>2</v>
      </c>
      <c r="V725" s="55" t="s">
        <v>1816</v>
      </c>
      <c r="Y725" s="55" t="s">
        <v>1869</v>
      </c>
      <c r="Z725" s="55" t="s">
        <v>1344</v>
      </c>
      <c r="AA725" s="90" t="s">
        <v>1344</v>
      </c>
      <c r="AH725" s="55" t="s">
        <v>6378</v>
      </c>
      <c r="AM725" s="55" t="s">
        <v>1297</v>
      </c>
      <c r="AN725" s="185" t="s">
        <v>241</v>
      </c>
      <c r="AO725" s="185" t="s">
        <v>5150</v>
      </c>
      <c r="AQ725" s="55" t="s">
        <v>553</v>
      </c>
      <c r="AR725" s="55" t="s">
        <v>132</v>
      </c>
      <c r="AS725" s="55" t="s">
        <v>132</v>
      </c>
      <c r="AU725" s="181" t="s">
        <v>7494</v>
      </c>
      <c r="AV725" s="185" t="s">
        <v>176</v>
      </c>
      <c r="AX725" s="185" t="s">
        <v>176</v>
      </c>
      <c r="AZ725" s="55" t="s">
        <v>447</v>
      </c>
      <c r="BA725" s="55" t="s">
        <v>447</v>
      </c>
      <c r="BB725" s="55" t="s">
        <v>2082</v>
      </c>
      <c r="BC725" s="55" t="s">
        <v>2082</v>
      </c>
      <c r="BD725" s="55" t="s">
        <v>176</v>
      </c>
      <c r="BK725" s="55" t="s">
        <v>6269</v>
      </c>
      <c r="BM725" s="192" t="s">
        <v>160</v>
      </c>
      <c r="BN725" s="55">
        <v>4</v>
      </c>
      <c r="BO725" s="55">
        <v>4</v>
      </c>
      <c r="BQ725" s="55" t="s">
        <v>315</v>
      </c>
      <c r="CB725" s="66">
        <f>10.1*1000</f>
        <v>10100</v>
      </c>
      <c r="CC725" s="66">
        <f>10.9*1000</f>
        <v>10900</v>
      </c>
      <c r="GN725" s="294">
        <v>150</v>
      </c>
      <c r="GO725" s="294">
        <v>530</v>
      </c>
      <c r="GP725" s="292" t="s">
        <v>5150</v>
      </c>
      <c r="HS725" s="227"/>
      <c r="HW725" s="227"/>
    </row>
    <row r="726" spans="1:281" x14ac:dyDescent="0.25">
      <c r="A726" s="55">
        <v>725</v>
      </c>
      <c r="B726" s="12" t="s">
        <v>7067</v>
      </c>
      <c r="C726" s="155">
        <v>33</v>
      </c>
      <c r="D726" s="55" t="s">
        <v>3806</v>
      </c>
      <c r="E726" s="90" t="s">
        <v>444</v>
      </c>
      <c r="G726" s="55" t="s">
        <v>445</v>
      </c>
      <c r="H726" s="55">
        <v>2016</v>
      </c>
      <c r="I726" s="55">
        <v>2012</v>
      </c>
      <c r="J726" s="55" t="s">
        <v>446</v>
      </c>
      <c r="K726" s="55" t="s">
        <v>298</v>
      </c>
      <c r="L726" s="55" t="s">
        <v>2737</v>
      </c>
      <c r="M726" s="90">
        <v>40.72</v>
      </c>
      <c r="N726" s="90">
        <v>-77.92</v>
      </c>
      <c r="O726" s="90">
        <v>350</v>
      </c>
      <c r="U726" s="55">
        <v>2</v>
      </c>
      <c r="V726" s="55" t="s">
        <v>1816</v>
      </c>
      <c r="Y726" s="55" t="s">
        <v>1870</v>
      </c>
      <c r="Z726" s="55" t="s">
        <v>1344</v>
      </c>
      <c r="AA726" s="90" t="s">
        <v>1344</v>
      </c>
      <c r="AH726" s="55" t="s">
        <v>6378</v>
      </c>
      <c r="AM726" s="55" t="s">
        <v>1297</v>
      </c>
      <c r="AN726" s="185" t="s">
        <v>241</v>
      </c>
      <c r="AO726" s="185" t="s">
        <v>5150</v>
      </c>
      <c r="AQ726" s="55" t="s">
        <v>553</v>
      </c>
      <c r="AR726" s="55" t="s">
        <v>132</v>
      </c>
      <c r="AS726" s="55" t="s">
        <v>132</v>
      </c>
      <c r="AU726" s="181" t="s">
        <v>7494</v>
      </c>
      <c r="AV726" s="185" t="s">
        <v>176</v>
      </c>
      <c r="AX726" s="185" t="s">
        <v>176</v>
      </c>
      <c r="AZ726" s="55" t="s">
        <v>447</v>
      </c>
      <c r="BA726" s="55" t="s">
        <v>447</v>
      </c>
      <c r="BB726" s="55" t="s">
        <v>2082</v>
      </c>
      <c r="BC726" s="55" t="s">
        <v>2082</v>
      </c>
      <c r="BD726" s="55" t="s">
        <v>176</v>
      </c>
      <c r="BK726" s="55" t="s">
        <v>6269</v>
      </c>
      <c r="BM726" s="192" t="s">
        <v>160</v>
      </c>
      <c r="BN726" s="55">
        <v>4</v>
      </c>
      <c r="BO726" s="55">
        <v>4</v>
      </c>
      <c r="BQ726" s="55" t="s">
        <v>315</v>
      </c>
      <c r="CB726" s="66">
        <f>9.8*1000</f>
        <v>9800</v>
      </c>
      <c r="CC726" s="66">
        <f>10.1*1000</f>
        <v>10100</v>
      </c>
      <c r="GN726" s="294">
        <v>120</v>
      </c>
      <c r="GO726" s="294">
        <v>680</v>
      </c>
      <c r="GP726" s="292" t="s">
        <v>5150</v>
      </c>
      <c r="HS726" s="227"/>
      <c r="HW726" s="227"/>
    </row>
    <row r="727" spans="1:281" x14ac:dyDescent="0.25">
      <c r="A727" s="55">
        <v>726</v>
      </c>
      <c r="B727" s="12" t="s">
        <v>7067</v>
      </c>
      <c r="C727" s="155">
        <v>33</v>
      </c>
      <c r="D727" s="55" t="s">
        <v>3806</v>
      </c>
      <c r="E727" s="90" t="s">
        <v>444</v>
      </c>
      <c r="G727" s="55" t="s">
        <v>445</v>
      </c>
      <c r="H727" s="55">
        <v>2016</v>
      </c>
      <c r="I727" s="55">
        <v>2012</v>
      </c>
      <c r="J727" s="55" t="s">
        <v>446</v>
      </c>
      <c r="K727" s="55" t="s">
        <v>298</v>
      </c>
      <c r="L727" s="55" t="s">
        <v>2737</v>
      </c>
      <c r="M727" s="90">
        <v>40.72</v>
      </c>
      <c r="N727" s="90">
        <v>-77.92</v>
      </c>
      <c r="O727" s="90">
        <v>350</v>
      </c>
      <c r="U727" s="55">
        <v>2</v>
      </c>
      <c r="V727" s="55" t="s">
        <v>1816</v>
      </c>
      <c r="Y727" s="55" t="s">
        <v>1871</v>
      </c>
      <c r="Z727" s="55" t="s">
        <v>1344</v>
      </c>
      <c r="AA727" s="90" t="s">
        <v>1344</v>
      </c>
      <c r="AH727" s="55" t="s">
        <v>6378</v>
      </c>
      <c r="AM727" s="55" t="s">
        <v>1297</v>
      </c>
      <c r="AN727" s="185" t="s">
        <v>241</v>
      </c>
      <c r="AO727" s="185" t="s">
        <v>5150</v>
      </c>
      <c r="AQ727" s="55" t="s">
        <v>553</v>
      </c>
      <c r="AR727" s="55" t="s">
        <v>132</v>
      </c>
      <c r="AS727" s="55" t="s">
        <v>132</v>
      </c>
      <c r="AU727" s="181" t="s">
        <v>7494</v>
      </c>
      <c r="AV727" s="185" t="s">
        <v>176</v>
      </c>
      <c r="AX727" s="185" t="s">
        <v>176</v>
      </c>
      <c r="AZ727" s="55" t="s">
        <v>447</v>
      </c>
      <c r="BA727" s="55" t="s">
        <v>447</v>
      </c>
      <c r="BB727" s="55" t="s">
        <v>2082</v>
      </c>
      <c r="BC727" s="55" t="s">
        <v>2082</v>
      </c>
      <c r="BD727" s="55" t="s">
        <v>176</v>
      </c>
      <c r="BK727" s="55" t="s">
        <v>6269</v>
      </c>
      <c r="BM727" s="192" t="s">
        <v>160</v>
      </c>
      <c r="BN727" s="55">
        <v>4</v>
      </c>
      <c r="BO727" s="55">
        <v>4</v>
      </c>
      <c r="BQ727" s="55" t="s">
        <v>315</v>
      </c>
      <c r="CB727" s="66">
        <f>10.6*1000</f>
        <v>10600</v>
      </c>
      <c r="CC727" s="66">
        <f>11.7*1000</f>
        <v>11700</v>
      </c>
      <c r="GN727" s="294">
        <v>50</v>
      </c>
      <c r="GO727" s="294">
        <v>290</v>
      </c>
      <c r="GP727" s="292" t="s">
        <v>5150</v>
      </c>
      <c r="HS727" s="227"/>
      <c r="HW727" s="227"/>
    </row>
    <row r="728" spans="1:281" x14ac:dyDescent="0.25">
      <c r="A728" s="55">
        <v>727</v>
      </c>
      <c r="B728" s="12" t="s">
        <v>7067</v>
      </c>
      <c r="C728" s="155">
        <v>33</v>
      </c>
      <c r="D728" s="55" t="s">
        <v>3806</v>
      </c>
      <c r="E728" s="90" t="s">
        <v>444</v>
      </c>
      <c r="G728" s="55" t="s">
        <v>445</v>
      </c>
      <c r="H728" s="55">
        <v>2016</v>
      </c>
      <c r="I728" s="55">
        <v>2013</v>
      </c>
      <c r="J728" s="55" t="s">
        <v>446</v>
      </c>
      <c r="K728" s="55" t="s">
        <v>298</v>
      </c>
      <c r="L728" s="55" t="s">
        <v>2737</v>
      </c>
      <c r="M728" s="90">
        <v>40.72</v>
      </c>
      <c r="N728" s="90">
        <v>-77.92</v>
      </c>
      <c r="O728" s="90">
        <v>350</v>
      </c>
      <c r="U728" s="55">
        <v>3</v>
      </c>
      <c r="V728" s="55" t="s">
        <v>1816</v>
      </c>
      <c r="Y728" s="55" t="s">
        <v>1868</v>
      </c>
      <c r="Z728" s="55" t="s">
        <v>1344</v>
      </c>
      <c r="AA728" s="90" t="s">
        <v>1344</v>
      </c>
      <c r="AH728" s="55" t="s">
        <v>6378</v>
      </c>
      <c r="AM728" s="55" t="s">
        <v>1297</v>
      </c>
      <c r="AN728" s="185" t="s">
        <v>241</v>
      </c>
      <c r="AO728" s="185" t="s">
        <v>5150</v>
      </c>
      <c r="AQ728" s="55" t="s">
        <v>553</v>
      </c>
      <c r="AR728" s="55" t="s">
        <v>132</v>
      </c>
      <c r="AS728" s="55" t="s">
        <v>132</v>
      </c>
      <c r="AU728" s="181" t="s">
        <v>7494</v>
      </c>
      <c r="AV728" s="185" t="s">
        <v>176</v>
      </c>
      <c r="AX728" s="185" t="s">
        <v>176</v>
      </c>
      <c r="AZ728" s="55" t="s">
        <v>447</v>
      </c>
      <c r="BA728" s="55" t="s">
        <v>447</v>
      </c>
      <c r="BB728" s="55" t="s">
        <v>2082</v>
      </c>
      <c r="BC728" s="55" t="s">
        <v>2082</v>
      </c>
      <c r="BD728" s="55" t="s">
        <v>176</v>
      </c>
      <c r="BK728" s="55" t="s">
        <v>6269</v>
      </c>
      <c r="BM728" s="192" t="s">
        <v>160</v>
      </c>
      <c r="BN728" s="55">
        <v>4</v>
      </c>
      <c r="BO728" s="55">
        <v>4</v>
      </c>
      <c r="BQ728" s="55" t="s">
        <v>315</v>
      </c>
      <c r="CB728" s="66">
        <f>11.2*1000</f>
        <v>11200</v>
      </c>
      <c r="CC728" s="66">
        <f>11*1000</f>
        <v>11000</v>
      </c>
      <c r="GN728" s="294">
        <v>220</v>
      </c>
      <c r="GO728" s="294">
        <v>240</v>
      </c>
      <c r="GP728" s="292" t="s">
        <v>5150</v>
      </c>
      <c r="HS728" s="227"/>
      <c r="HW728" s="227"/>
    </row>
    <row r="729" spans="1:281" x14ac:dyDescent="0.25">
      <c r="A729" s="55">
        <v>728</v>
      </c>
      <c r="B729" s="12" t="s">
        <v>7067</v>
      </c>
      <c r="C729" s="155">
        <v>33</v>
      </c>
      <c r="D729" s="55" t="s">
        <v>3806</v>
      </c>
      <c r="E729" s="90" t="s">
        <v>444</v>
      </c>
      <c r="G729" s="55" t="s">
        <v>445</v>
      </c>
      <c r="H729" s="55">
        <v>2016</v>
      </c>
      <c r="I729" s="55">
        <v>2013</v>
      </c>
      <c r="J729" s="55" t="s">
        <v>446</v>
      </c>
      <c r="K729" s="55" t="s">
        <v>298</v>
      </c>
      <c r="L729" s="55" t="s">
        <v>2737</v>
      </c>
      <c r="M729" s="90">
        <v>40.72</v>
      </c>
      <c r="N729" s="90">
        <v>-77.92</v>
      </c>
      <c r="O729" s="90">
        <v>350</v>
      </c>
      <c r="U729" s="55">
        <v>3</v>
      </c>
      <c r="V729" s="55" t="s">
        <v>1816</v>
      </c>
      <c r="Y729" s="55" t="s">
        <v>1869</v>
      </c>
      <c r="Z729" s="55" t="s">
        <v>1344</v>
      </c>
      <c r="AA729" s="90" t="s">
        <v>1344</v>
      </c>
      <c r="AH729" s="55" t="s">
        <v>6378</v>
      </c>
      <c r="AM729" s="55" t="s">
        <v>1297</v>
      </c>
      <c r="AN729" s="185" t="s">
        <v>241</v>
      </c>
      <c r="AO729" s="185" t="s">
        <v>5150</v>
      </c>
      <c r="AQ729" s="55" t="s">
        <v>553</v>
      </c>
      <c r="AR729" s="55" t="s">
        <v>132</v>
      </c>
      <c r="AS729" s="55" t="s">
        <v>132</v>
      </c>
      <c r="AU729" s="181" t="s">
        <v>7494</v>
      </c>
      <c r="AV729" s="185" t="s">
        <v>176</v>
      </c>
      <c r="AX729" s="185" t="s">
        <v>176</v>
      </c>
      <c r="AZ729" s="55" t="s">
        <v>447</v>
      </c>
      <c r="BA729" s="55" t="s">
        <v>447</v>
      </c>
      <c r="BB729" s="55" t="s">
        <v>2082</v>
      </c>
      <c r="BC729" s="55" t="s">
        <v>2082</v>
      </c>
      <c r="BD729" s="55" t="s">
        <v>176</v>
      </c>
      <c r="BK729" s="55" t="s">
        <v>6269</v>
      </c>
      <c r="BM729" s="192" t="s">
        <v>160</v>
      </c>
      <c r="BN729" s="55">
        <v>4</v>
      </c>
      <c r="BO729" s="55">
        <v>4</v>
      </c>
      <c r="BQ729" s="55" t="s">
        <v>315</v>
      </c>
      <c r="CB729" s="66">
        <f>11.2*1000</f>
        <v>11200</v>
      </c>
      <c r="CC729" s="66">
        <f>11.1*1000</f>
        <v>11100</v>
      </c>
      <c r="GN729" s="294">
        <v>230</v>
      </c>
      <c r="GO729" s="294">
        <v>140</v>
      </c>
      <c r="GP729" s="292" t="s">
        <v>5150</v>
      </c>
      <c r="HS729" s="227"/>
      <c r="HW729" s="227"/>
    </row>
    <row r="730" spans="1:281" x14ac:dyDescent="0.25">
      <c r="A730" s="55">
        <v>729</v>
      </c>
      <c r="B730" s="12" t="s">
        <v>7067</v>
      </c>
      <c r="C730" s="155">
        <v>33</v>
      </c>
      <c r="D730" s="55" t="s">
        <v>3806</v>
      </c>
      <c r="E730" s="90" t="s">
        <v>444</v>
      </c>
      <c r="G730" s="55" t="s">
        <v>445</v>
      </c>
      <c r="H730" s="55">
        <v>2016</v>
      </c>
      <c r="I730" s="55">
        <v>2013</v>
      </c>
      <c r="J730" s="55" t="s">
        <v>446</v>
      </c>
      <c r="K730" s="55" t="s">
        <v>298</v>
      </c>
      <c r="L730" s="55" t="s">
        <v>2737</v>
      </c>
      <c r="M730" s="90">
        <v>40.72</v>
      </c>
      <c r="N730" s="90">
        <v>-77.92</v>
      </c>
      <c r="O730" s="90">
        <v>350</v>
      </c>
      <c r="U730" s="55">
        <v>3</v>
      </c>
      <c r="V730" s="55" t="s">
        <v>1816</v>
      </c>
      <c r="Y730" s="55" t="s">
        <v>1870</v>
      </c>
      <c r="Z730" s="55" t="s">
        <v>1344</v>
      </c>
      <c r="AA730" s="90" t="s">
        <v>1344</v>
      </c>
      <c r="AH730" s="55" t="s">
        <v>6378</v>
      </c>
      <c r="AM730" s="55" t="s">
        <v>1297</v>
      </c>
      <c r="AN730" s="185" t="s">
        <v>241</v>
      </c>
      <c r="AO730" s="185" t="s">
        <v>5150</v>
      </c>
      <c r="AQ730" s="55" t="s">
        <v>553</v>
      </c>
      <c r="AR730" s="55" t="s">
        <v>132</v>
      </c>
      <c r="AS730" s="55" t="s">
        <v>132</v>
      </c>
      <c r="AU730" s="181" t="s">
        <v>7494</v>
      </c>
      <c r="AV730" s="185" t="s">
        <v>176</v>
      </c>
      <c r="AX730" s="185" t="s">
        <v>176</v>
      </c>
      <c r="AZ730" s="55" t="s">
        <v>447</v>
      </c>
      <c r="BA730" s="55" t="s">
        <v>447</v>
      </c>
      <c r="BB730" s="55" t="s">
        <v>2082</v>
      </c>
      <c r="BC730" s="55" t="s">
        <v>2082</v>
      </c>
      <c r="BD730" s="55" t="s">
        <v>176</v>
      </c>
      <c r="BK730" s="55" t="s">
        <v>6269</v>
      </c>
      <c r="BM730" s="192" t="s">
        <v>160</v>
      </c>
      <c r="BN730" s="55">
        <v>4</v>
      </c>
      <c r="BO730" s="55">
        <v>4</v>
      </c>
      <c r="BQ730" s="55" t="s">
        <v>315</v>
      </c>
      <c r="GN730" s="294">
        <v>100</v>
      </c>
      <c r="GO730" s="294">
        <v>130</v>
      </c>
      <c r="GP730" s="292" t="s">
        <v>5150</v>
      </c>
      <c r="HS730" s="227"/>
      <c r="HW730" s="227"/>
    </row>
    <row r="731" spans="1:281" x14ac:dyDescent="0.25">
      <c r="A731" s="55">
        <v>730</v>
      </c>
      <c r="B731" s="12" t="s">
        <v>7067</v>
      </c>
      <c r="C731" s="155">
        <v>33</v>
      </c>
      <c r="D731" s="55" t="s">
        <v>3806</v>
      </c>
      <c r="E731" s="90" t="s">
        <v>444</v>
      </c>
      <c r="G731" s="55" t="s">
        <v>445</v>
      </c>
      <c r="H731" s="55">
        <v>2016</v>
      </c>
      <c r="I731" s="55">
        <v>2013</v>
      </c>
      <c r="J731" s="55" t="s">
        <v>446</v>
      </c>
      <c r="K731" s="55" t="s">
        <v>298</v>
      </c>
      <c r="L731" s="55" t="s">
        <v>2737</v>
      </c>
      <c r="M731" s="90">
        <v>40.72</v>
      </c>
      <c r="N731" s="90">
        <v>-77.92</v>
      </c>
      <c r="O731" s="90">
        <v>350</v>
      </c>
      <c r="U731" s="55">
        <v>3</v>
      </c>
      <c r="V731" s="55" t="s">
        <v>1816</v>
      </c>
      <c r="Y731" s="55" t="s">
        <v>1871</v>
      </c>
      <c r="Z731" s="55" t="s">
        <v>1344</v>
      </c>
      <c r="AA731" s="90" t="s">
        <v>1344</v>
      </c>
      <c r="AH731" s="55" t="s">
        <v>6378</v>
      </c>
      <c r="AM731" s="55" t="s">
        <v>1297</v>
      </c>
      <c r="AN731" s="185" t="s">
        <v>241</v>
      </c>
      <c r="AO731" s="185" t="s">
        <v>5150</v>
      </c>
      <c r="AQ731" s="55" t="s">
        <v>553</v>
      </c>
      <c r="AR731" s="55" t="s">
        <v>132</v>
      </c>
      <c r="AS731" s="55" t="s">
        <v>132</v>
      </c>
      <c r="AU731" s="181" t="s">
        <v>7494</v>
      </c>
      <c r="AV731" s="185" t="s">
        <v>176</v>
      </c>
      <c r="AX731" s="185" t="s">
        <v>176</v>
      </c>
      <c r="AZ731" s="55" t="s">
        <v>447</v>
      </c>
      <c r="BA731" s="55" t="s">
        <v>447</v>
      </c>
      <c r="BB731" s="55" t="s">
        <v>2082</v>
      </c>
      <c r="BC731" s="55" t="s">
        <v>2082</v>
      </c>
      <c r="BD731" s="55" t="s">
        <v>176</v>
      </c>
      <c r="BK731" s="55" t="s">
        <v>6269</v>
      </c>
      <c r="BM731" s="192" t="s">
        <v>160</v>
      </c>
      <c r="BN731" s="55">
        <v>4</v>
      </c>
      <c r="BO731" s="55">
        <v>4</v>
      </c>
      <c r="BQ731" s="55" t="s">
        <v>315</v>
      </c>
      <c r="CB731" s="66">
        <f>12.4*1000</f>
        <v>12400</v>
      </c>
      <c r="CC731" s="66">
        <f>12.1*1000</f>
        <v>12100</v>
      </c>
      <c r="GP731" s="292" t="s">
        <v>7494</v>
      </c>
      <c r="HS731" s="227"/>
      <c r="HW731" s="227"/>
    </row>
    <row r="732" spans="1:281" x14ac:dyDescent="0.25">
      <c r="A732" s="55">
        <v>731</v>
      </c>
      <c r="B732" s="12" t="s">
        <v>7067</v>
      </c>
      <c r="C732" s="155">
        <v>33</v>
      </c>
      <c r="D732" s="55" t="s">
        <v>3806</v>
      </c>
      <c r="E732" s="90" t="s">
        <v>444</v>
      </c>
      <c r="G732" s="55" t="s">
        <v>445</v>
      </c>
      <c r="H732" s="55">
        <v>2016</v>
      </c>
      <c r="I732" s="55">
        <v>2014</v>
      </c>
      <c r="J732" s="55" t="s">
        <v>446</v>
      </c>
      <c r="K732" s="55" t="s">
        <v>298</v>
      </c>
      <c r="L732" s="55" t="s">
        <v>2737</v>
      </c>
      <c r="M732" s="90">
        <v>40.72</v>
      </c>
      <c r="N732" s="90">
        <v>-77.92</v>
      </c>
      <c r="O732" s="90">
        <v>350</v>
      </c>
      <c r="U732" s="55">
        <v>4</v>
      </c>
      <c r="V732" s="55" t="s">
        <v>1816</v>
      </c>
      <c r="Y732" s="55" t="s">
        <v>1868</v>
      </c>
      <c r="Z732" s="55" t="s">
        <v>1344</v>
      </c>
      <c r="AA732" s="90" t="s">
        <v>1344</v>
      </c>
      <c r="AH732" s="55" t="s">
        <v>6378</v>
      </c>
      <c r="AM732" s="55" t="s">
        <v>1297</v>
      </c>
      <c r="AN732" s="185" t="s">
        <v>241</v>
      </c>
      <c r="AO732" s="185" t="s">
        <v>5150</v>
      </c>
      <c r="AQ732" s="55" t="s">
        <v>553</v>
      </c>
      <c r="AR732" s="55" t="s">
        <v>132</v>
      </c>
      <c r="AS732" s="55" t="s">
        <v>132</v>
      </c>
      <c r="AU732" s="181" t="s">
        <v>7494</v>
      </c>
      <c r="AV732" s="185" t="s">
        <v>176</v>
      </c>
      <c r="AX732" s="185" t="s">
        <v>176</v>
      </c>
      <c r="AZ732" s="55" t="s">
        <v>447</v>
      </c>
      <c r="BA732" s="55" t="s">
        <v>447</v>
      </c>
      <c r="BB732" s="55" t="s">
        <v>2082</v>
      </c>
      <c r="BC732" s="55" t="s">
        <v>2082</v>
      </c>
      <c r="BD732" s="55" t="s">
        <v>176</v>
      </c>
      <c r="BK732" s="55" t="s">
        <v>6269</v>
      </c>
      <c r="BM732" s="192" t="s">
        <v>160</v>
      </c>
      <c r="BN732" s="55">
        <v>4</v>
      </c>
      <c r="BO732" s="55">
        <v>4</v>
      </c>
      <c r="BQ732" s="55" t="s">
        <v>315</v>
      </c>
      <c r="GN732" s="294">
        <v>240</v>
      </c>
      <c r="GO732" s="294">
        <v>660</v>
      </c>
      <c r="GP732" s="292" t="s">
        <v>5150</v>
      </c>
      <c r="HS732" s="227"/>
      <c r="HW732" s="227"/>
    </row>
    <row r="733" spans="1:281" x14ac:dyDescent="0.25">
      <c r="A733" s="55">
        <v>732</v>
      </c>
      <c r="B733" s="12" t="s">
        <v>7067</v>
      </c>
      <c r="C733" s="155">
        <v>33</v>
      </c>
      <c r="D733" s="55" t="s">
        <v>3806</v>
      </c>
      <c r="E733" s="90" t="s">
        <v>444</v>
      </c>
      <c r="G733" s="55" t="s">
        <v>445</v>
      </c>
      <c r="H733" s="55">
        <v>2016</v>
      </c>
      <c r="I733" s="55">
        <v>2014</v>
      </c>
      <c r="J733" s="55" t="s">
        <v>446</v>
      </c>
      <c r="K733" s="55" t="s">
        <v>298</v>
      </c>
      <c r="L733" s="55" t="s">
        <v>2737</v>
      </c>
      <c r="M733" s="90">
        <v>40.72</v>
      </c>
      <c r="N733" s="90">
        <v>-77.92</v>
      </c>
      <c r="O733" s="90">
        <v>350</v>
      </c>
      <c r="U733" s="55">
        <v>4</v>
      </c>
      <c r="V733" s="55" t="s">
        <v>1816</v>
      </c>
      <c r="Y733" s="55" t="s">
        <v>1869</v>
      </c>
      <c r="Z733" s="55" t="s">
        <v>1344</v>
      </c>
      <c r="AA733" s="90" t="s">
        <v>1344</v>
      </c>
      <c r="AH733" s="55" t="s">
        <v>6378</v>
      </c>
      <c r="AM733" s="55" t="s">
        <v>1297</v>
      </c>
      <c r="AN733" s="185" t="s">
        <v>241</v>
      </c>
      <c r="AO733" s="185" t="s">
        <v>5150</v>
      </c>
      <c r="AQ733" s="55" t="s">
        <v>553</v>
      </c>
      <c r="AR733" s="55" t="s">
        <v>132</v>
      </c>
      <c r="AS733" s="55" t="s">
        <v>132</v>
      </c>
      <c r="AU733" s="181" t="s">
        <v>7494</v>
      </c>
      <c r="AV733" s="185" t="s">
        <v>176</v>
      </c>
      <c r="AX733" s="185" t="s">
        <v>176</v>
      </c>
      <c r="AZ733" s="55" t="s">
        <v>447</v>
      </c>
      <c r="BA733" s="55" t="s">
        <v>447</v>
      </c>
      <c r="BB733" s="55" t="s">
        <v>2082</v>
      </c>
      <c r="BC733" s="55" t="s">
        <v>2082</v>
      </c>
      <c r="BD733" s="55" t="s">
        <v>176</v>
      </c>
      <c r="BK733" s="55" t="s">
        <v>6269</v>
      </c>
      <c r="BM733" s="192" t="s">
        <v>160</v>
      </c>
      <c r="BN733" s="55">
        <v>4</v>
      </c>
      <c r="BO733" s="55">
        <v>4</v>
      </c>
      <c r="BQ733" s="55" t="s">
        <v>315</v>
      </c>
      <c r="GN733" s="294">
        <v>30</v>
      </c>
      <c r="GO733" s="294">
        <v>250</v>
      </c>
      <c r="GP733" s="292" t="s">
        <v>5150</v>
      </c>
      <c r="HS733" s="227"/>
      <c r="HW733" s="227"/>
    </row>
    <row r="734" spans="1:281" x14ac:dyDescent="0.25">
      <c r="A734" s="55">
        <v>733</v>
      </c>
      <c r="B734" s="12" t="s">
        <v>7067</v>
      </c>
      <c r="C734" s="155">
        <v>33</v>
      </c>
      <c r="D734" s="55" t="s">
        <v>3806</v>
      </c>
      <c r="E734" s="90" t="s">
        <v>444</v>
      </c>
      <c r="G734" s="55" t="s">
        <v>445</v>
      </c>
      <c r="H734" s="55">
        <v>2016</v>
      </c>
      <c r="I734" s="55">
        <v>2014</v>
      </c>
      <c r="J734" s="55" t="s">
        <v>446</v>
      </c>
      <c r="K734" s="55" t="s">
        <v>298</v>
      </c>
      <c r="L734" s="55" t="s">
        <v>2737</v>
      </c>
      <c r="M734" s="90">
        <v>40.72</v>
      </c>
      <c r="N734" s="90">
        <v>-77.92</v>
      </c>
      <c r="O734" s="90">
        <v>350</v>
      </c>
      <c r="U734" s="55">
        <v>4</v>
      </c>
      <c r="V734" s="55" t="s">
        <v>1816</v>
      </c>
      <c r="Y734" s="55" t="s">
        <v>1870</v>
      </c>
      <c r="Z734" s="55" t="s">
        <v>1344</v>
      </c>
      <c r="AA734" s="90" t="s">
        <v>1344</v>
      </c>
      <c r="AH734" s="55" t="s">
        <v>6378</v>
      </c>
      <c r="AM734" s="55" t="s">
        <v>1297</v>
      </c>
      <c r="AN734" s="185" t="s">
        <v>241</v>
      </c>
      <c r="AO734" s="185" t="s">
        <v>5150</v>
      </c>
      <c r="AQ734" s="55" t="s">
        <v>553</v>
      </c>
      <c r="AR734" s="55" t="s">
        <v>132</v>
      </c>
      <c r="AS734" s="55" t="s">
        <v>132</v>
      </c>
      <c r="AU734" s="181" t="s">
        <v>7494</v>
      </c>
      <c r="AV734" s="185" t="s">
        <v>176</v>
      </c>
      <c r="AX734" s="185" t="s">
        <v>176</v>
      </c>
      <c r="AZ734" s="55" t="s">
        <v>447</v>
      </c>
      <c r="BA734" s="55" t="s">
        <v>447</v>
      </c>
      <c r="BB734" s="55" t="s">
        <v>2082</v>
      </c>
      <c r="BC734" s="55" t="s">
        <v>2082</v>
      </c>
      <c r="BD734" s="55" t="s">
        <v>176</v>
      </c>
      <c r="BK734" s="55" t="s">
        <v>6269</v>
      </c>
      <c r="BM734" s="192" t="s">
        <v>160</v>
      </c>
      <c r="BN734" s="55">
        <v>4</v>
      </c>
      <c r="BO734" s="55">
        <v>4</v>
      </c>
      <c r="BQ734" s="55" t="s">
        <v>315</v>
      </c>
      <c r="GN734" s="294">
        <v>10</v>
      </c>
      <c r="GO734" s="294">
        <v>170</v>
      </c>
      <c r="GP734" s="292" t="s">
        <v>5150</v>
      </c>
      <c r="HS734" s="227"/>
      <c r="HW734" s="227"/>
    </row>
    <row r="735" spans="1:281" x14ac:dyDescent="0.25">
      <c r="A735" s="55">
        <v>734</v>
      </c>
      <c r="B735" s="12" t="s">
        <v>7067</v>
      </c>
      <c r="C735" s="155">
        <v>33</v>
      </c>
      <c r="D735" s="55" t="s">
        <v>3806</v>
      </c>
      <c r="E735" s="90" t="s">
        <v>444</v>
      </c>
      <c r="G735" s="55" t="s">
        <v>445</v>
      </c>
      <c r="H735" s="55">
        <v>2016</v>
      </c>
      <c r="I735" s="55">
        <v>2014</v>
      </c>
      <c r="J735" s="55" t="s">
        <v>446</v>
      </c>
      <c r="K735" s="55" t="s">
        <v>298</v>
      </c>
      <c r="L735" s="55" t="s">
        <v>2737</v>
      </c>
      <c r="M735" s="90">
        <v>40.72</v>
      </c>
      <c r="N735" s="90">
        <v>-77.92</v>
      </c>
      <c r="O735" s="90">
        <v>350</v>
      </c>
      <c r="U735" s="55">
        <v>4</v>
      </c>
      <c r="V735" s="55" t="s">
        <v>1816</v>
      </c>
      <c r="Y735" s="55" t="s">
        <v>1871</v>
      </c>
      <c r="Z735" s="55" t="s">
        <v>1344</v>
      </c>
      <c r="AA735" s="90" t="s">
        <v>1344</v>
      </c>
      <c r="AH735" s="55" t="s">
        <v>6378</v>
      </c>
      <c r="AM735" s="55" t="s">
        <v>1297</v>
      </c>
      <c r="AN735" s="185" t="s">
        <v>241</v>
      </c>
      <c r="AO735" s="185" t="s">
        <v>5150</v>
      </c>
      <c r="AQ735" s="55" t="s">
        <v>553</v>
      </c>
      <c r="AR735" s="55" t="s">
        <v>132</v>
      </c>
      <c r="AS735" s="55" t="s">
        <v>132</v>
      </c>
      <c r="AU735" s="181" t="s">
        <v>7494</v>
      </c>
      <c r="AV735" s="185" t="s">
        <v>176</v>
      </c>
      <c r="AX735" s="185" t="s">
        <v>176</v>
      </c>
      <c r="AZ735" s="55" t="s">
        <v>447</v>
      </c>
      <c r="BA735" s="55" t="s">
        <v>447</v>
      </c>
      <c r="BB735" s="55" t="s">
        <v>2082</v>
      </c>
      <c r="BC735" s="55" t="s">
        <v>2082</v>
      </c>
      <c r="BD735" s="55" t="s">
        <v>176</v>
      </c>
      <c r="BK735" s="55" t="s">
        <v>6269</v>
      </c>
      <c r="BM735" s="192" t="s">
        <v>160</v>
      </c>
      <c r="BN735" s="55">
        <v>4</v>
      </c>
      <c r="BO735" s="55">
        <v>4</v>
      </c>
      <c r="BQ735" s="55" t="s">
        <v>315</v>
      </c>
      <c r="GN735" s="294">
        <v>10</v>
      </c>
      <c r="GO735" s="294">
        <v>70</v>
      </c>
      <c r="GP735" s="292" t="s">
        <v>5150</v>
      </c>
      <c r="HS735" s="227"/>
      <c r="HW735" s="227"/>
    </row>
    <row r="736" spans="1:281" x14ac:dyDescent="0.25">
      <c r="A736" s="55">
        <v>735</v>
      </c>
      <c r="B736" s="12" t="s">
        <v>7067</v>
      </c>
      <c r="C736" s="155">
        <v>34</v>
      </c>
      <c r="D736" s="55" t="s">
        <v>3807</v>
      </c>
      <c r="E736" s="90" t="s">
        <v>448</v>
      </c>
      <c r="G736" s="55" t="s">
        <v>449</v>
      </c>
      <c r="H736" s="55">
        <v>2004</v>
      </c>
      <c r="I736" s="55">
        <v>1989</v>
      </c>
      <c r="J736" s="55" t="s">
        <v>450</v>
      </c>
      <c r="K736" s="55" t="s">
        <v>451</v>
      </c>
      <c r="L736" s="55" t="s">
        <v>2737</v>
      </c>
      <c r="M736" s="90">
        <f>30+1/60</f>
        <v>30.016666666666666</v>
      </c>
      <c r="N736" s="90">
        <f>-85-32/60</f>
        <v>-85.533333333333331</v>
      </c>
      <c r="O736" s="90">
        <v>4.8</v>
      </c>
      <c r="U736" s="55">
        <v>4</v>
      </c>
      <c r="V736" s="55" t="s">
        <v>1677</v>
      </c>
      <c r="Y736" s="55" t="s">
        <v>1872</v>
      </c>
      <c r="Z736" s="55" t="s">
        <v>1344</v>
      </c>
      <c r="AA736" s="90" t="s">
        <v>1344</v>
      </c>
      <c r="AE736" s="90">
        <v>66</v>
      </c>
      <c r="AF736" s="90">
        <v>22</v>
      </c>
      <c r="AH736" s="55" t="s">
        <v>6378</v>
      </c>
      <c r="AM736" s="55" t="s">
        <v>1300</v>
      </c>
      <c r="AN736" s="185" t="s">
        <v>1491</v>
      </c>
      <c r="AO736" s="185" t="s">
        <v>5150</v>
      </c>
      <c r="AQ736" s="55" t="s">
        <v>1545</v>
      </c>
      <c r="AR736" s="55" t="s">
        <v>132</v>
      </c>
      <c r="AS736" s="55" t="s">
        <v>1585</v>
      </c>
      <c r="AT736" s="181" t="s">
        <v>400</v>
      </c>
      <c r="AU736" s="181" t="s">
        <v>5150</v>
      </c>
      <c r="AV736" s="185" t="s">
        <v>479</v>
      </c>
      <c r="AW736" s="55" t="s">
        <v>400</v>
      </c>
      <c r="AX736" s="185" t="s">
        <v>479</v>
      </c>
      <c r="AY736" s="55" t="s">
        <v>176</v>
      </c>
      <c r="AZ736" s="55" t="s">
        <v>454</v>
      </c>
      <c r="BA736" s="55" t="s">
        <v>156</v>
      </c>
      <c r="BB736" s="55" t="s">
        <v>2081</v>
      </c>
      <c r="BC736" s="55" t="s">
        <v>2082</v>
      </c>
      <c r="BD736" s="55" t="s">
        <v>479</v>
      </c>
      <c r="BE736" s="226" t="s">
        <v>452</v>
      </c>
      <c r="BF736" s="191" t="s">
        <v>479</v>
      </c>
      <c r="BG736" s="55" t="s">
        <v>479</v>
      </c>
      <c r="BH736" s="226" t="s">
        <v>453</v>
      </c>
      <c r="BI736" s="55" t="s">
        <v>479</v>
      </c>
      <c r="BJ736" s="55" t="s">
        <v>479</v>
      </c>
      <c r="BK736" s="55" t="s">
        <v>6269</v>
      </c>
      <c r="BM736" s="192" t="s">
        <v>160</v>
      </c>
      <c r="BV736" s="55" t="s">
        <v>455</v>
      </c>
      <c r="CB736" s="66">
        <f>(11.1+8.1+11.6+8+9.9+8.3+7.3+10.7+10.2)/9*1000</f>
        <v>9466.6666666666661</v>
      </c>
      <c r="CC736" s="66">
        <f>(8.6+8.9+9.9)/3*1000</f>
        <v>9133.3333333333321</v>
      </c>
      <c r="FT736" s="65">
        <f>(17.8+9.6+6.6)/3</f>
        <v>11.333333333333334</v>
      </c>
      <c r="FU736" s="65">
        <f>(19.9+22.4+31.6+26.8+32.6+24.1+13.3+27.6+16.9)/9</f>
        <v>23.911111111111111</v>
      </c>
      <c r="FX736" s="65" t="s">
        <v>443</v>
      </c>
      <c r="GP736" s="292" t="s">
        <v>7494</v>
      </c>
      <c r="HS736" s="227"/>
      <c r="HW736" s="227"/>
      <c r="JU736" s="55" t="s">
        <v>443</v>
      </c>
    </row>
    <row r="737" spans="1:281" x14ac:dyDescent="0.25">
      <c r="A737" s="55">
        <v>736</v>
      </c>
      <c r="B737" s="12" t="s">
        <v>7067</v>
      </c>
      <c r="C737" s="155">
        <v>34</v>
      </c>
      <c r="D737" s="55" t="s">
        <v>3807</v>
      </c>
      <c r="E737" s="90" t="s">
        <v>448</v>
      </c>
      <c r="G737" s="55" t="s">
        <v>449</v>
      </c>
      <c r="H737" s="55">
        <v>2004</v>
      </c>
      <c r="I737" s="55">
        <v>1989</v>
      </c>
      <c r="J737" s="55" t="s">
        <v>450</v>
      </c>
      <c r="K737" s="55" t="s">
        <v>451</v>
      </c>
      <c r="L737" s="55" t="s">
        <v>2737</v>
      </c>
      <c r="M737" s="90">
        <f>30+1/60</f>
        <v>30.016666666666666</v>
      </c>
      <c r="N737" s="90">
        <f>-85-32/60</f>
        <v>-85.533333333333331</v>
      </c>
      <c r="O737" s="90">
        <v>4.8</v>
      </c>
      <c r="U737" s="55">
        <v>4</v>
      </c>
      <c r="V737" s="55" t="s">
        <v>1677</v>
      </c>
      <c r="Y737" s="55" t="s">
        <v>1872</v>
      </c>
      <c r="Z737" s="55" t="s">
        <v>1344</v>
      </c>
      <c r="AA737" s="90" t="s">
        <v>1344</v>
      </c>
      <c r="AE737" s="90">
        <v>66</v>
      </c>
      <c r="AF737" s="90">
        <v>22</v>
      </c>
      <c r="AH737" s="55" t="s">
        <v>6378</v>
      </c>
      <c r="AM737" s="55" t="s">
        <v>1300</v>
      </c>
      <c r="AN737" s="185" t="s">
        <v>1491</v>
      </c>
      <c r="AO737" s="185" t="s">
        <v>5150</v>
      </c>
      <c r="AQ737" s="55" t="s">
        <v>1545</v>
      </c>
      <c r="AR737" s="55" t="s">
        <v>132</v>
      </c>
      <c r="AS737" s="55" t="s">
        <v>1585</v>
      </c>
      <c r="AT737" s="181" t="s">
        <v>400</v>
      </c>
      <c r="AU737" s="181" t="s">
        <v>5150</v>
      </c>
      <c r="AV737" s="185" t="s">
        <v>479</v>
      </c>
      <c r="AW737" s="55" t="s">
        <v>400</v>
      </c>
      <c r="AX737" s="185" t="s">
        <v>479</v>
      </c>
      <c r="AY737" s="55" t="s">
        <v>176</v>
      </c>
      <c r="AZ737" s="55" t="s">
        <v>454</v>
      </c>
      <c r="BA737" s="55" t="s">
        <v>156</v>
      </c>
      <c r="BB737" s="55" t="s">
        <v>2081</v>
      </c>
      <c r="BC737" s="55" t="s">
        <v>2082</v>
      </c>
      <c r="BD737" s="55" t="s">
        <v>479</v>
      </c>
      <c r="BE737" s="226" t="s">
        <v>452</v>
      </c>
      <c r="BF737" s="191" t="s">
        <v>479</v>
      </c>
      <c r="BG737" s="55" t="s">
        <v>479</v>
      </c>
      <c r="BH737" s="226" t="s">
        <v>453</v>
      </c>
      <c r="BI737" s="55" t="s">
        <v>479</v>
      </c>
      <c r="BJ737" s="55" t="s">
        <v>479</v>
      </c>
      <c r="BK737" s="55" t="s">
        <v>6269</v>
      </c>
      <c r="BM737" s="192" t="s">
        <v>160</v>
      </c>
      <c r="BV737" s="55" t="s">
        <v>456</v>
      </c>
      <c r="CB737" s="66">
        <f>(11.5+8.3+12.1+8.4+9.6+7.6+7.1+10.6+9.9)/9*1000</f>
        <v>9455.5555555555566</v>
      </c>
      <c r="CC737" s="66">
        <f>(8.5+8.6+10.1)/3*1000</f>
        <v>9066.6666666666679</v>
      </c>
      <c r="FT737" s="65">
        <f>(15.1+10.7+6.4)/3</f>
        <v>10.733333333333333</v>
      </c>
      <c r="FU737" s="65">
        <f>(20+25+33.5+29+34.5+22.5+15.6+30.1+17.1)/9</f>
        <v>25.255555555555553</v>
      </c>
      <c r="FX737" s="65" t="s">
        <v>443</v>
      </c>
      <c r="GP737" s="292" t="s">
        <v>7494</v>
      </c>
      <c r="HS737" s="227"/>
      <c r="HW737" s="227"/>
      <c r="JU737" s="55" t="s">
        <v>443</v>
      </c>
    </row>
    <row r="738" spans="1:281" x14ac:dyDescent="0.25">
      <c r="A738" s="55">
        <v>737</v>
      </c>
      <c r="B738" s="12" t="s">
        <v>7067</v>
      </c>
      <c r="C738" s="155">
        <v>34</v>
      </c>
      <c r="D738" s="55" t="s">
        <v>3807</v>
      </c>
      <c r="E738" s="90" t="s">
        <v>448</v>
      </c>
      <c r="G738" s="55" t="s">
        <v>449</v>
      </c>
      <c r="H738" s="55">
        <v>2004</v>
      </c>
      <c r="I738" s="55">
        <v>1989</v>
      </c>
      <c r="J738" s="55" t="s">
        <v>450</v>
      </c>
      <c r="K738" s="55" t="s">
        <v>451</v>
      </c>
      <c r="L738" s="55" t="s">
        <v>2737</v>
      </c>
      <c r="M738" s="90">
        <f>30+1/60</f>
        <v>30.016666666666666</v>
      </c>
      <c r="N738" s="90">
        <f>-85-32/60</f>
        <v>-85.533333333333331</v>
      </c>
      <c r="O738" s="90">
        <v>4.8</v>
      </c>
      <c r="U738" s="55">
        <v>4</v>
      </c>
      <c r="V738" s="55" t="s">
        <v>1677</v>
      </c>
      <c r="Y738" s="55" t="s">
        <v>1872</v>
      </c>
      <c r="Z738" s="55" t="s">
        <v>1344</v>
      </c>
      <c r="AA738" s="90" t="s">
        <v>1344</v>
      </c>
      <c r="AE738" s="90">
        <v>66</v>
      </c>
      <c r="AF738" s="90">
        <v>22</v>
      </c>
      <c r="AH738" s="55" t="s">
        <v>6378</v>
      </c>
      <c r="AM738" s="55" t="s">
        <v>1300</v>
      </c>
      <c r="AN738" s="185" t="s">
        <v>1491</v>
      </c>
      <c r="AO738" s="185" t="s">
        <v>5150</v>
      </c>
      <c r="AQ738" s="55" t="s">
        <v>1545</v>
      </c>
      <c r="AR738" s="55" t="s">
        <v>132</v>
      </c>
      <c r="AS738" s="55" t="s">
        <v>1585</v>
      </c>
      <c r="AT738" s="181" t="s">
        <v>400</v>
      </c>
      <c r="AU738" s="181" t="s">
        <v>5150</v>
      </c>
      <c r="AV738" s="185" t="s">
        <v>479</v>
      </c>
      <c r="AW738" s="55" t="s">
        <v>400</v>
      </c>
      <c r="AX738" s="185" t="s">
        <v>479</v>
      </c>
      <c r="AY738" s="55" t="s">
        <v>176</v>
      </c>
      <c r="AZ738" s="55" t="s">
        <v>454</v>
      </c>
      <c r="BA738" s="55" t="s">
        <v>156</v>
      </c>
      <c r="BB738" s="55" t="s">
        <v>2081</v>
      </c>
      <c r="BC738" s="55" t="s">
        <v>2082</v>
      </c>
      <c r="BD738" s="55" t="s">
        <v>479</v>
      </c>
      <c r="BE738" s="226" t="s">
        <v>452</v>
      </c>
      <c r="BF738" s="191" t="s">
        <v>479</v>
      </c>
      <c r="BG738" s="55" t="s">
        <v>479</v>
      </c>
      <c r="BH738" s="226" t="s">
        <v>453</v>
      </c>
      <c r="BI738" s="55" t="s">
        <v>479</v>
      </c>
      <c r="BJ738" s="55" t="s">
        <v>479</v>
      </c>
      <c r="BK738" s="55" t="s">
        <v>6269</v>
      </c>
      <c r="BM738" s="192" t="s">
        <v>160</v>
      </c>
      <c r="BV738" s="55" t="s">
        <v>457</v>
      </c>
      <c r="CB738" s="66">
        <f>(11.3+8.5+12.1+7.7+8.8+7.7+7.9+10.1+10)/9*1000</f>
        <v>9344.4444444444453</v>
      </c>
      <c r="CC738" s="66">
        <f>(9.2+8.8+10.1)/3*1000</f>
        <v>9366.6666666666679</v>
      </c>
      <c r="FT738" s="65">
        <f>(15.9+10.3+6.9)/3</f>
        <v>11.033333333333333</v>
      </c>
      <c r="FU738" s="65">
        <f>(20.3+23.4+30.5+27.4+30.1+20.7+15.7+28+15.3)/9</f>
        <v>23.488888888888887</v>
      </c>
      <c r="FX738" s="65" t="s">
        <v>443</v>
      </c>
      <c r="GP738" s="292" t="s">
        <v>7494</v>
      </c>
      <c r="HS738" s="227"/>
      <c r="HW738" s="227"/>
      <c r="JU738" s="55" t="s">
        <v>443</v>
      </c>
    </row>
    <row r="739" spans="1:281" x14ac:dyDescent="0.25">
      <c r="A739" s="55">
        <v>738</v>
      </c>
      <c r="B739" s="12" t="s">
        <v>7067</v>
      </c>
      <c r="C739" s="155">
        <v>35</v>
      </c>
      <c r="D739" s="55" t="s">
        <v>3808</v>
      </c>
      <c r="E739" s="90" t="s">
        <v>458</v>
      </c>
      <c r="G739" s="55" t="s">
        <v>459</v>
      </c>
      <c r="H739" s="55">
        <v>2011</v>
      </c>
      <c r="I739" s="55">
        <v>2006</v>
      </c>
      <c r="J739" s="55" t="s">
        <v>127</v>
      </c>
      <c r="K739" s="55" t="s">
        <v>460</v>
      </c>
      <c r="L739" s="55" t="s">
        <v>2737</v>
      </c>
      <c r="M739" s="90">
        <f>38+32/60</f>
        <v>38.533333333333331</v>
      </c>
      <c r="N739" s="90">
        <f>-121-52/60</f>
        <v>-121.86666666666666</v>
      </c>
      <c r="O739" s="90">
        <v>27.1</v>
      </c>
      <c r="T739" s="55" t="s">
        <v>461</v>
      </c>
      <c r="U739" s="55">
        <v>1</v>
      </c>
      <c r="V739" s="55">
        <v>1</v>
      </c>
      <c r="Y739" s="55" t="s">
        <v>351</v>
      </c>
      <c r="Z739" s="55" t="s">
        <v>1349</v>
      </c>
      <c r="AA739" s="90" t="s">
        <v>1677</v>
      </c>
      <c r="AH739" s="55" t="s">
        <v>6378</v>
      </c>
      <c r="AM739" s="55" t="s">
        <v>1298</v>
      </c>
      <c r="AN739" s="185" t="s">
        <v>241</v>
      </c>
      <c r="AO739" s="185" t="s">
        <v>5150</v>
      </c>
      <c r="AQ739" s="55" t="s">
        <v>553</v>
      </c>
      <c r="AR739" s="55" t="s">
        <v>240</v>
      </c>
      <c r="AS739" s="55" t="s">
        <v>1580</v>
      </c>
      <c r="AT739" s="181" t="s">
        <v>1123</v>
      </c>
      <c r="AU739" s="181" t="s">
        <v>5150</v>
      </c>
      <c r="AV739" s="185" t="s">
        <v>176</v>
      </c>
      <c r="AW739" s="55" t="s">
        <v>1123</v>
      </c>
      <c r="AX739" s="185" t="s">
        <v>176</v>
      </c>
      <c r="AY739" s="55" t="s">
        <v>176</v>
      </c>
      <c r="AZ739" s="55" t="s">
        <v>464</v>
      </c>
      <c r="BA739" s="55" t="s">
        <v>421</v>
      </c>
      <c r="BB739" s="55" t="s">
        <v>2081</v>
      </c>
      <c r="BC739" s="55" t="s">
        <v>2081</v>
      </c>
      <c r="BD739" s="55" t="s">
        <v>479</v>
      </c>
      <c r="BE739" s="226" t="s">
        <v>463</v>
      </c>
      <c r="BF739" s="191" t="s">
        <v>479</v>
      </c>
      <c r="BG739" s="55" t="s">
        <v>479</v>
      </c>
      <c r="BH739" s="226" t="s">
        <v>463</v>
      </c>
      <c r="BI739" s="55" t="s">
        <v>479</v>
      </c>
      <c r="BJ739" s="55" t="s">
        <v>479</v>
      </c>
      <c r="BK739" s="55" t="s">
        <v>5976</v>
      </c>
      <c r="BM739" s="192" t="s">
        <v>160</v>
      </c>
      <c r="BN739" s="55">
        <v>3</v>
      </c>
      <c r="BO739" s="55">
        <v>3</v>
      </c>
      <c r="BQ739" s="55" t="s">
        <v>462</v>
      </c>
      <c r="GP739" s="292" t="s">
        <v>7494</v>
      </c>
      <c r="HN739" s="65">
        <f>(5.99+29+17.85+7)/4</f>
        <v>14.96</v>
      </c>
      <c r="HO739" s="65">
        <f>(5.5+25.83+16.22+9.47)/4</f>
        <v>14.254999999999999</v>
      </c>
      <c r="HR739" s="65" t="s">
        <v>1617</v>
      </c>
      <c r="IR739" s="65">
        <f>326*0.61/29</f>
        <v>6.8572413793103442</v>
      </c>
      <c r="IS739" s="65">
        <f>178*0.61/29</f>
        <v>3.7441379310344827</v>
      </c>
      <c r="IV739" s="65" t="s">
        <v>465</v>
      </c>
      <c r="JU739" s="55" t="s">
        <v>695</v>
      </c>
    </row>
    <row r="740" spans="1:281" x14ac:dyDescent="0.25">
      <c r="A740" s="55">
        <v>739</v>
      </c>
      <c r="B740" s="12" t="s">
        <v>7067</v>
      </c>
      <c r="C740" s="155">
        <v>35</v>
      </c>
      <c r="D740" s="55" t="s">
        <v>3808</v>
      </c>
      <c r="E740" s="90" t="s">
        <v>458</v>
      </c>
      <c r="G740" s="55" t="s">
        <v>459</v>
      </c>
      <c r="H740" s="55">
        <v>2011</v>
      </c>
      <c r="I740" s="55">
        <v>2006</v>
      </c>
      <c r="J740" s="55" t="s">
        <v>127</v>
      </c>
      <c r="K740" s="55" t="s">
        <v>460</v>
      </c>
      <c r="L740" s="55" t="s">
        <v>2737</v>
      </c>
      <c r="M740" s="90">
        <f>38+32/60</f>
        <v>38.533333333333331</v>
      </c>
      <c r="N740" s="90">
        <f>-121-52/60</f>
        <v>-121.86666666666666</v>
      </c>
      <c r="O740" s="90">
        <v>27.1</v>
      </c>
      <c r="T740" s="55" t="s">
        <v>461</v>
      </c>
      <c r="U740" s="55">
        <v>1</v>
      </c>
      <c r="V740" s="55">
        <v>1</v>
      </c>
      <c r="Y740" s="55" t="s">
        <v>467</v>
      </c>
      <c r="Z740" s="55" t="s">
        <v>1349</v>
      </c>
      <c r="AA740" s="90" t="s">
        <v>1677</v>
      </c>
      <c r="AH740" s="55" t="s">
        <v>6378</v>
      </c>
      <c r="AM740" s="55" t="s">
        <v>1298</v>
      </c>
      <c r="AN740" s="185" t="s">
        <v>241</v>
      </c>
      <c r="AO740" s="185" t="s">
        <v>5150</v>
      </c>
      <c r="AQ740" s="55" t="s">
        <v>553</v>
      </c>
      <c r="AR740" s="55" t="s">
        <v>240</v>
      </c>
      <c r="AS740" s="55" t="s">
        <v>1580</v>
      </c>
      <c r="AT740" s="181" t="s">
        <v>1123</v>
      </c>
      <c r="AU740" s="181" t="s">
        <v>5150</v>
      </c>
      <c r="AV740" s="185" t="s">
        <v>176</v>
      </c>
      <c r="AW740" s="55" t="s">
        <v>1123</v>
      </c>
      <c r="AX740" s="185" t="s">
        <v>176</v>
      </c>
      <c r="AY740" s="55" t="s">
        <v>176</v>
      </c>
      <c r="AZ740" s="55" t="s">
        <v>464</v>
      </c>
      <c r="BA740" s="55" t="s">
        <v>421</v>
      </c>
      <c r="BB740" s="55" t="s">
        <v>2081</v>
      </c>
      <c r="BC740" s="55" t="s">
        <v>2081</v>
      </c>
      <c r="BD740" s="55" t="s">
        <v>479</v>
      </c>
      <c r="BE740" s="226" t="s">
        <v>463</v>
      </c>
      <c r="BF740" s="191" t="s">
        <v>479</v>
      </c>
      <c r="BG740" s="55" t="s">
        <v>479</v>
      </c>
      <c r="BH740" s="226" t="s">
        <v>463</v>
      </c>
      <c r="BI740" s="55" t="s">
        <v>479</v>
      </c>
      <c r="BJ740" s="55" t="s">
        <v>479</v>
      </c>
      <c r="BK740" s="55" t="s">
        <v>5976</v>
      </c>
      <c r="BM740" s="192" t="s">
        <v>160</v>
      </c>
      <c r="BN740" s="55">
        <v>3</v>
      </c>
      <c r="BO740" s="55">
        <v>3</v>
      </c>
      <c r="BQ740" s="55" t="s">
        <v>462</v>
      </c>
      <c r="GP740" s="292" t="s">
        <v>7494</v>
      </c>
      <c r="HN740" s="65">
        <f>(5.99+29+17.85+7)/4</f>
        <v>14.96</v>
      </c>
      <c r="HO740" s="65">
        <f>(6.07+26.97+16.55+9.63)/4</f>
        <v>14.805000000000001</v>
      </c>
      <c r="HR740" s="65" t="s">
        <v>1617</v>
      </c>
      <c r="IR740" s="65">
        <f>237*0.61/69</f>
        <v>2.0952173913043479</v>
      </c>
      <c r="IS740" s="65">
        <f>328*0.61/69</f>
        <v>2.899710144927536</v>
      </c>
      <c r="IV740" s="65" t="s">
        <v>465</v>
      </c>
      <c r="JU740" s="55" t="s">
        <v>695</v>
      </c>
    </row>
    <row r="741" spans="1:281" x14ac:dyDescent="0.25">
      <c r="A741" s="55">
        <v>740</v>
      </c>
      <c r="B741" s="12" t="s">
        <v>7067</v>
      </c>
      <c r="C741" s="155">
        <v>35</v>
      </c>
      <c r="D741" s="55" t="s">
        <v>3808</v>
      </c>
      <c r="E741" s="90" t="s">
        <v>458</v>
      </c>
      <c r="G741" s="55" t="s">
        <v>459</v>
      </c>
      <c r="H741" s="55">
        <v>2011</v>
      </c>
      <c r="I741" s="55">
        <v>2006</v>
      </c>
      <c r="J741" s="55" t="s">
        <v>127</v>
      </c>
      <c r="K741" s="55" t="s">
        <v>460</v>
      </c>
      <c r="L741" s="55" t="s">
        <v>2737</v>
      </c>
      <c r="M741" s="90">
        <f>38+32/60</f>
        <v>38.533333333333331</v>
      </c>
      <c r="N741" s="90">
        <f>-121-52/60</f>
        <v>-121.86666666666666</v>
      </c>
      <c r="O741" s="90">
        <v>27.1</v>
      </c>
      <c r="T741" s="55" t="s">
        <v>461</v>
      </c>
      <c r="U741" s="55">
        <v>1</v>
      </c>
      <c r="V741" s="55">
        <v>1</v>
      </c>
      <c r="Y741" s="55" t="s">
        <v>468</v>
      </c>
      <c r="Z741" s="55" t="s">
        <v>1349</v>
      </c>
      <c r="AA741" s="90" t="s">
        <v>1677</v>
      </c>
      <c r="AH741" s="55" t="s">
        <v>6378</v>
      </c>
      <c r="AM741" s="55" t="s">
        <v>1298</v>
      </c>
      <c r="AN741" s="185" t="s">
        <v>241</v>
      </c>
      <c r="AO741" s="185" t="s">
        <v>5150</v>
      </c>
      <c r="AQ741" s="55" t="s">
        <v>553</v>
      </c>
      <c r="AR741" s="55" t="s">
        <v>240</v>
      </c>
      <c r="AS741" s="55" t="s">
        <v>1580</v>
      </c>
      <c r="AT741" s="181" t="s">
        <v>1123</v>
      </c>
      <c r="AU741" s="181" t="s">
        <v>5150</v>
      </c>
      <c r="AV741" s="185" t="s">
        <v>176</v>
      </c>
      <c r="AW741" s="55" t="s">
        <v>1123</v>
      </c>
      <c r="AX741" s="185" t="s">
        <v>176</v>
      </c>
      <c r="AY741" s="55" t="s">
        <v>176</v>
      </c>
      <c r="AZ741" s="55" t="s">
        <v>464</v>
      </c>
      <c r="BA741" s="55" t="s">
        <v>421</v>
      </c>
      <c r="BB741" s="55" t="s">
        <v>2081</v>
      </c>
      <c r="BC741" s="55" t="s">
        <v>2081</v>
      </c>
      <c r="BD741" s="55" t="s">
        <v>479</v>
      </c>
      <c r="BE741" s="226" t="s">
        <v>463</v>
      </c>
      <c r="BF741" s="191" t="s">
        <v>479</v>
      </c>
      <c r="BG741" s="55" t="s">
        <v>479</v>
      </c>
      <c r="BH741" s="226" t="s">
        <v>463</v>
      </c>
      <c r="BI741" s="55" t="s">
        <v>479</v>
      </c>
      <c r="BJ741" s="55" t="s">
        <v>479</v>
      </c>
      <c r="BK741" s="55" t="s">
        <v>5976</v>
      </c>
      <c r="BM741" s="192" t="s">
        <v>160</v>
      </c>
      <c r="BN741" s="55">
        <v>3</v>
      </c>
      <c r="BO741" s="55">
        <v>3</v>
      </c>
      <c r="BQ741" s="55" t="s">
        <v>462</v>
      </c>
      <c r="GP741" s="292" t="s">
        <v>7494</v>
      </c>
      <c r="HN741" s="65">
        <f>(6.64+26.81+18.02+6.37)/4</f>
        <v>14.459999999999999</v>
      </c>
      <c r="HO741" s="65">
        <f>(6.64+25.18+17.86+6.13)/4</f>
        <v>13.952500000000001</v>
      </c>
      <c r="HR741" s="65" t="s">
        <v>1618</v>
      </c>
      <c r="IR741" s="65">
        <f>278*0.61/100</f>
        <v>1.6957999999999998</v>
      </c>
      <c r="IS741" s="65">
        <f>354*0.61/100</f>
        <v>2.1593999999999998</v>
      </c>
      <c r="IV741" s="65" t="s">
        <v>465</v>
      </c>
      <c r="JU741" s="55" t="s">
        <v>695</v>
      </c>
    </row>
    <row r="742" spans="1:281" x14ac:dyDescent="0.25">
      <c r="A742" s="55">
        <v>741</v>
      </c>
      <c r="B742" s="12" t="s">
        <v>7067</v>
      </c>
      <c r="C742" s="155">
        <v>35</v>
      </c>
      <c r="D742" s="55" t="s">
        <v>3808</v>
      </c>
      <c r="E742" s="90" t="s">
        <v>458</v>
      </c>
      <c r="G742" s="55" t="s">
        <v>459</v>
      </c>
      <c r="H742" s="55">
        <v>2011</v>
      </c>
      <c r="I742" s="55">
        <v>2006</v>
      </c>
      <c r="J742" s="55" t="s">
        <v>127</v>
      </c>
      <c r="K742" s="55" t="s">
        <v>460</v>
      </c>
      <c r="L742" s="55" t="s">
        <v>2737</v>
      </c>
      <c r="M742" s="90">
        <f>38+32/60</f>
        <v>38.533333333333331</v>
      </c>
      <c r="N742" s="90">
        <f>-121-52/60</f>
        <v>-121.86666666666666</v>
      </c>
      <c r="O742" s="90">
        <v>27.1</v>
      </c>
      <c r="T742" s="55" t="s">
        <v>461</v>
      </c>
      <c r="U742" s="55">
        <v>1</v>
      </c>
      <c r="V742" s="55">
        <v>1</v>
      </c>
      <c r="Y742" s="55" t="s">
        <v>469</v>
      </c>
      <c r="Z742" s="55" t="s">
        <v>1349</v>
      </c>
      <c r="AA742" s="90" t="s">
        <v>1677</v>
      </c>
      <c r="AH742" s="55" t="s">
        <v>6378</v>
      </c>
      <c r="AM742" s="55" t="s">
        <v>1298</v>
      </c>
      <c r="AN742" s="185" t="s">
        <v>241</v>
      </c>
      <c r="AO742" s="185" t="s">
        <v>5150</v>
      </c>
      <c r="AQ742" s="55" t="s">
        <v>553</v>
      </c>
      <c r="AR742" s="55" t="s">
        <v>240</v>
      </c>
      <c r="AS742" s="55" t="s">
        <v>1580</v>
      </c>
      <c r="AT742" s="181" t="s">
        <v>1123</v>
      </c>
      <c r="AU742" s="181" t="s">
        <v>5150</v>
      </c>
      <c r="AV742" s="185" t="s">
        <v>176</v>
      </c>
      <c r="AW742" s="55" t="s">
        <v>1123</v>
      </c>
      <c r="AX742" s="185" t="s">
        <v>176</v>
      </c>
      <c r="AY742" s="55" t="s">
        <v>176</v>
      </c>
      <c r="AZ742" s="55" t="s">
        <v>464</v>
      </c>
      <c r="BA742" s="55" t="s">
        <v>421</v>
      </c>
      <c r="BB742" s="55" t="s">
        <v>2081</v>
      </c>
      <c r="BC742" s="55" t="s">
        <v>2081</v>
      </c>
      <c r="BD742" s="55" t="s">
        <v>479</v>
      </c>
      <c r="BE742" s="226" t="s">
        <v>463</v>
      </c>
      <c r="BF742" s="191" t="s">
        <v>479</v>
      </c>
      <c r="BG742" s="55" t="s">
        <v>479</v>
      </c>
      <c r="BH742" s="226" t="s">
        <v>463</v>
      </c>
      <c r="BI742" s="55" t="s">
        <v>479</v>
      </c>
      <c r="BJ742" s="55" t="s">
        <v>479</v>
      </c>
      <c r="BK742" s="55" t="s">
        <v>5976</v>
      </c>
      <c r="BM742" s="192" t="s">
        <v>160</v>
      </c>
      <c r="BN742" s="55">
        <v>3</v>
      </c>
      <c r="BO742" s="55">
        <v>3</v>
      </c>
      <c r="BQ742" s="55" t="s">
        <v>462</v>
      </c>
      <c r="GP742" s="292" t="s">
        <v>7494</v>
      </c>
      <c r="HN742" s="65">
        <f>(6.64+26.81+18.02+6.37)/4</f>
        <v>14.459999999999999</v>
      </c>
      <c r="HO742" s="65">
        <f>(6.4+25.51+18.91+6.94)/4</f>
        <v>14.440000000000001</v>
      </c>
      <c r="HR742" s="65" t="s">
        <v>1618</v>
      </c>
      <c r="IR742" s="65">
        <f>154*0.61/134</f>
        <v>0.70104477611940297</v>
      </c>
      <c r="IS742" s="65">
        <f>238*0.61/134</f>
        <v>1.0834328358208956</v>
      </c>
      <c r="IV742" s="65" t="s">
        <v>465</v>
      </c>
      <c r="JU742" s="55" t="s">
        <v>695</v>
      </c>
    </row>
    <row r="743" spans="1:281" x14ac:dyDescent="0.25">
      <c r="A743" s="55">
        <v>742</v>
      </c>
      <c r="B743" s="12" t="s">
        <v>7067</v>
      </c>
      <c r="C743" s="155">
        <v>35</v>
      </c>
      <c r="D743" s="55" t="s">
        <v>3808</v>
      </c>
      <c r="E743" s="90" t="s">
        <v>458</v>
      </c>
      <c r="G743" s="55" t="s">
        <v>459</v>
      </c>
      <c r="H743" s="55">
        <v>2011</v>
      </c>
      <c r="I743" s="55">
        <v>2006</v>
      </c>
      <c r="J743" s="55" t="s">
        <v>127</v>
      </c>
      <c r="K743" s="55" t="s">
        <v>460</v>
      </c>
      <c r="L743" s="55" t="s">
        <v>2737</v>
      </c>
      <c r="M743" s="90">
        <f>38+32/60</f>
        <v>38.533333333333331</v>
      </c>
      <c r="N743" s="90">
        <f>-121-52/60</f>
        <v>-121.86666666666666</v>
      </c>
      <c r="O743" s="90">
        <v>27.1</v>
      </c>
      <c r="T743" s="55" t="s">
        <v>461</v>
      </c>
      <c r="U743" s="55">
        <v>1</v>
      </c>
      <c r="V743" s="55">
        <v>1</v>
      </c>
      <c r="Y743" s="55" t="s">
        <v>351</v>
      </c>
      <c r="Z743" s="55" t="s">
        <v>1349</v>
      </c>
      <c r="AA743" s="90" t="s">
        <v>1677</v>
      </c>
      <c r="AH743" s="55" t="s">
        <v>6378</v>
      </c>
      <c r="AM743" s="55" t="s">
        <v>1298</v>
      </c>
      <c r="AN743" s="185" t="s">
        <v>241</v>
      </c>
      <c r="AO743" s="185" t="s">
        <v>5150</v>
      </c>
      <c r="AQ743" s="55" t="s">
        <v>553</v>
      </c>
      <c r="AR743" s="55" t="s">
        <v>240</v>
      </c>
      <c r="AS743" s="55" t="s">
        <v>1580</v>
      </c>
      <c r="AT743" s="181" t="s">
        <v>1123</v>
      </c>
      <c r="AU743" s="181" t="s">
        <v>5150</v>
      </c>
      <c r="AV743" s="185" t="s">
        <v>176</v>
      </c>
      <c r="AW743" s="55" t="s">
        <v>1123</v>
      </c>
      <c r="AX743" s="185" t="s">
        <v>176</v>
      </c>
      <c r="AY743" s="55" t="s">
        <v>176</v>
      </c>
      <c r="AZ743" s="55" t="s">
        <v>464</v>
      </c>
      <c r="BA743" s="55" t="s">
        <v>421</v>
      </c>
      <c r="BB743" s="55" t="s">
        <v>2081</v>
      </c>
      <c r="BC743" s="55" t="s">
        <v>2081</v>
      </c>
      <c r="BD743" s="55" t="s">
        <v>479</v>
      </c>
      <c r="BE743" s="226" t="s">
        <v>463</v>
      </c>
      <c r="BF743" s="191" t="s">
        <v>479</v>
      </c>
      <c r="BG743" s="55" t="s">
        <v>479</v>
      </c>
      <c r="BH743" s="226" t="s">
        <v>466</v>
      </c>
      <c r="BI743" s="55" t="s">
        <v>479</v>
      </c>
      <c r="BJ743" s="55" t="s">
        <v>479</v>
      </c>
      <c r="BK743" s="55" t="s">
        <v>5976</v>
      </c>
      <c r="BM743" s="192" t="s">
        <v>160</v>
      </c>
      <c r="BN743" s="55">
        <v>3</v>
      </c>
      <c r="BO743" s="55">
        <v>3</v>
      </c>
      <c r="BQ743" s="55" t="s">
        <v>462</v>
      </c>
      <c r="GP743" s="292" t="s">
        <v>7494</v>
      </c>
      <c r="HS743" s="227"/>
      <c r="HW743" s="227"/>
      <c r="IR743" s="65">
        <f>326*0.61/29</f>
        <v>6.8572413793103442</v>
      </c>
      <c r="IS743" s="65">
        <f>194*0.61/29</f>
        <v>4.0806896551724137</v>
      </c>
      <c r="IV743" s="65" t="s">
        <v>465</v>
      </c>
      <c r="JU743" s="55" t="s">
        <v>695</v>
      </c>
    </row>
    <row r="744" spans="1:281" x14ac:dyDescent="0.25">
      <c r="A744" s="55">
        <v>743</v>
      </c>
      <c r="B744" s="12" t="s">
        <v>7067</v>
      </c>
      <c r="C744" s="155">
        <v>35</v>
      </c>
      <c r="D744" s="55" t="s">
        <v>3808</v>
      </c>
      <c r="E744" s="90" t="s">
        <v>458</v>
      </c>
      <c r="G744" s="55" t="s">
        <v>459</v>
      </c>
      <c r="H744" s="55">
        <v>2011</v>
      </c>
      <c r="I744" s="55">
        <v>2006</v>
      </c>
      <c r="J744" s="55" t="s">
        <v>127</v>
      </c>
      <c r="K744" s="55" t="s">
        <v>460</v>
      </c>
      <c r="L744" s="55" t="s">
        <v>2737</v>
      </c>
      <c r="M744" s="90">
        <f>38+32/60</f>
        <v>38.533333333333331</v>
      </c>
      <c r="N744" s="90">
        <f>-121-52/60</f>
        <v>-121.86666666666666</v>
      </c>
      <c r="O744" s="90">
        <v>27.1</v>
      </c>
      <c r="T744" s="55" t="s">
        <v>461</v>
      </c>
      <c r="U744" s="55">
        <v>1</v>
      </c>
      <c r="V744" s="55">
        <v>1</v>
      </c>
      <c r="Y744" s="55" t="s">
        <v>467</v>
      </c>
      <c r="Z744" s="55" t="s">
        <v>1349</v>
      </c>
      <c r="AA744" s="90" t="s">
        <v>1677</v>
      </c>
      <c r="AH744" s="55" t="s">
        <v>6378</v>
      </c>
      <c r="AM744" s="55" t="s">
        <v>1298</v>
      </c>
      <c r="AN744" s="185" t="s">
        <v>241</v>
      </c>
      <c r="AO744" s="185" t="s">
        <v>5150</v>
      </c>
      <c r="AQ744" s="55" t="s">
        <v>553</v>
      </c>
      <c r="AR744" s="55" t="s">
        <v>240</v>
      </c>
      <c r="AS744" s="55" t="s">
        <v>1580</v>
      </c>
      <c r="AT744" s="181" t="s">
        <v>1123</v>
      </c>
      <c r="AU744" s="181" t="s">
        <v>5150</v>
      </c>
      <c r="AV744" s="185" t="s">
        <v>176</v>
      </c>
      <c r="AW744" s="55" t="s">
        <v>1123</v>
      </c>
      <c r="AX744" s="185" t="s">
        <v>176</v>
      </c>
      <c r="AY744" s="55" t="s">
        <v>176</v>
      </c>
      <c r="AZ744" s="55" t="s">
        <v>464</v>
      </c>
      <c r="BA744" s="55" t="s">
        <v>421</v>
      </c>
      <c r="BB744" s="55" t="s">
        <v>2081</v>
      </c>
      <c r="BC744" s="55" t="s">
        <v>2081</v>
      </c>
      <c r="BD744" s="55" t="s">
        <v>479</v>
      </c>
      <c r="BE744" s="226" t="s">
        <v>463</v>
      </c>
      <c r="BF744" s="191" t="s">
        <v>479</v>
      </c>
      <c r="BG744" s="55" t="s">
        <v>479</v>
      </c>
      <c r="BH744" s="226" t="s">
        <v>466</v>
      </c>
      <c r="BI744" s="55" t="s">
        <v>479</v>
      </c>
      <c r="BJ744" s="55" t="s">
        <v>479</v>
      </c>
      <c r="BK744" s="55" t="s">
        <v>5976</v>
      </c>
      <c r="BM744" s="192" t="s">
        <v>160</v>
      </c>
      <c r="BN744" s="55">
        <v>3</v>
      </c>
      <c r="BO744" s="55">
        <v>3</v>
      </c>
      <c r="BQ744" s="55" t="s">
        <v>462</v>
      </c>
      <c r="GP744" s="292" t="s">
        <v>7494</v>
      </c>
      <c r="HS744" s="227"/>
      <c r="HW744" s="227"/>
      <c r="IR744" s="65">
        <f>237*0.61/69</f>
        <v>2.0952173913043479</v>
      </c>
      <c r="IS744" s="65">
        <f>163*0.61/69</f>
        <v>1.441014492753623</v>
      </c>
      <c r="IV744" s="65" t="s">
        <v>465</v>
      </c>
      <c r="JU744" s="55" t="s">
        <v>695</v>
      </c>
    </row>
    <row r="745" spans="1:281" x14ac:dyDescent="0.25">
      <c r="A745" s="55">
        <v>744</v>
      </c>
      <c r="B745" s="12" t="s">
        <v>7067</v>
      </c>
      <c r="C745" s="155">
        <v>35</v>
      </c>
      <c r="D745" s="55" t="s">
        <v>3808</v>
      </c>
      <c r="E745" s="90" t="s">
        <v>458</v>
      </c>
      <c r="G745" s="55" t="s">
        <v>459</v>
      </c>
      <c r="H745" s="55">
        <v>2011</v>
      </c>
      <c r="I745" s="55">
        <v>2006</v>
      </c>
      <c r="J745" s="55" t="s">
        <v>127</v>
      </c>
      <c r="K745" s="55" t="s">
        <v>460</v>
      </c>
      <c r="L745" s="55" t="s">
        <v>2737</v>
      </c>
      <c r="M745" s="90">
        <f>38+32/60</f>
        <v>38.533333333333331</v>
      </c>
      <c r="N745" s="90">
        <f>-121-52/60</f>
        <v>-121.86666666666666</v>
      </c>
      <c r="O745" s="90">
        <v>27.1</v>
      </c>
      <c r="T745" s="55" t="s">
        <v>461</v>
      </c>
      <c r="U745" s="55">
        <v>1</v>
      </c>
      <c r="V745" s="55">
        <v>1</v>
      </c>
      <c r="Y745" s="55" t="s">
        <v>468</v>
      </c>
      <c r="Z745" s="55" t="s">
        <v>1349</v>
      </c>
      <c r="AA745" s="90" t="s">
        <v>1677</v>
      </c>
      <c r="AH745" s="55" t="s">
        <v>6378</v>
      </c>
      <c r="AM745" s="55" t="s">
        <v>1298</v>
      </c>
      <c r="AN745" s="185" t="s">
        <v>241</v>
      </c>
      <c r="AO745" s="185" t="s">
        <v>5150</v>
      </c>
      <c r="AQ745" s="55" t="s">
        <v>553</v>
      </c>
      <c r="AR745" s="55" t="s">
        <v>240</v>
      </c>
      <c r="AS745" s="55" t="s">
        <v>1580</v>
      </c>
      <c r="AT745" s="181" t="s">
        <v>1123</v>
      </c>
      <c r="AU745" s="181" t="s">
        <v>5150</v>
      </c>
      <c r="AV745" s="185" t="s">
        <v>176</v>
      </c>
      <c r="AW745" s="55" t="s">
        <v>1123</v>
      </c>
      <c r="AX745" s="185" t="s">
        <v>176</v>
      </c>
      <c r="AY745" s="55" t="s">
        <v>176</v>
      </c>
      <c r="AZ745" s="55" t="s">
        <v>464</v>
      </c>
      <c r="BA745" s="55" t="s">
        <v>421</v>
      </c>
      <c r="BB745" s="55" t="s">
        <v>2081</v>
      </c>
      <c r="BC745" s="55" t="s">
        <v>2081</v>
      </c>
      <c r="BD745" s="55" t="s">
        <v>479</v>
      </c>
      <c r="BE745" s="226" t="s">
        <v>463</v>
      </c>
      <c r="BF745" s="191" t="s">
        <v>479</v>
      </c>
      <c r="BG745" s="55" t="s">
        <v>479</v>
      </c>
      <c r="BH745" s="226" t="s">
        <v>466</v>
      </c>
      <c r="BI745" s="55" t="s">
        <v>479</v>
      </c>
      <c r="BJ745" s="55" t="s">
        <v>479</v>
      </c>
      <c r="BK745" s="55" t="s">
        <v>5976</v>
      </c>
      <c r="BM745" s="192" t="s">
        <v>160</v>
      </c>
      <c r="BN745" s="55">
        <v>3</v>
      </c>
      <c r="BO745" s="55">
        <v>3</v>
      </c>
      <c r="BQ745" s="55" t="s">
        <v>462</v>
      </c>
      <c r="GP745" s="292" t="s">
        <v>7494</v>
      </c>
      <c r="HS745" s="227"/>
      <c r="HW745" s="227"/>
      <c r="JU745" s="55" t="s">
        <v>695</v>
      </c>
    </row>
    <row r="746" spans="1:281" x14ac:dyDescent="0.25">
      <c r="A746" s="55">
        <v>745</v>
      </c>
      <c r="B746" s="12" t="s">
        <v>7067</v>
      </c>
      <c r="C746" s="155">
        <v>35</v>
      </c>
      <c r="D746" s="55" t="s">
        <v>3808</v>
      </c>
      <c r="E746" s="90" t="s">
        <v>458</v>
      </c>
      <c r="G746" s="55" t="s">
        <v>459</v>
      </c>
      <c r="H746" s="55">
        <v>2011</v>
      </c>
      <c r="I746" s="55">
        <v>2006</v>
      </c>
      <c r="J746" s="55" t="s">
        <v>127</v>
      </c>
      <c r="K746" s="55" t="s">
        <v>460</v>
      </c>
      <c r="L746" s="55" t="s">
        <v>2737</v>
      </c>
      <c r="M746" s="90">
        <f>38+32/60</f>
        <v>38.533333333333331</v>
      </c>
      <c r="N746" s="90">
        <f>-121-52/60</f>
        <v>-121.86666666666666</v>
      </c>
      <c r="O746" s="90">
        <v>27.1</v>
      </c>
      <c r="T746" s="55" t="s">
        <v>461</v>
      </c>
      <c r="U746" s="55">
        <v>1</v>
      </c>
      <c r="V746" s="55">
        <v>1</v>
      </c>
      <c r="Y746" s="55" t="s">
        <v>469</v>
      </c>
      <c r="Z746" s="55" t="s">
        <v>1349</v>
      </c>
      <c r="AA746" s="90" t="s">
        <v>1677</v>
      </c>
      <c r="AH746" s="55" t="s">
        <v>6378</v>
      </c>
      <c r="AM746" s="55" t="s">
        <v>1298</v>
      </c>
      <c r="AN746" s="185" t="s">
        <v>241</v>
      </c>
      <c r="AO746" s="185" t="s">
        <v>5150</v>
      </c>
      <c r="AQ746" s="55" t="s">
        <v>553</v>
      </c>
      <c r="AR746" s="55" t="s">
        <v>240</v>
      </c>
      <c r="AS746" s="55" t="s">
        <v>1580</v>
      </c>
      <c r="AT746" s="181" t="s">
        <v>1123</v>
      </c>
      <c r="AU746" s="181" t="s">
        <v>5150</v>
      </c>
      <c r="AV746" s="185" t="s">
        <v>176</v>
      </c>
      <c r="AW746" s="55" t="s">
        <v>1123</v>
      </c>
      <c r="AX746" s="185" t="s">
        <v>176</v>
      </c>
      <c r="AY746" s="55" t="s">
        <v>176</v>
      </c>
      <c r="AZ746" s="55" t="s">
        <v>464</v>
      </c>
      <c r="BA746" s="55" t="s">
        <v>421</v>
      </c>
      <c r="BB746" s="55" t="s">
        <v>2081</v>
      </c>
      <c r="BC746" s="55" t="s">
        <v>2081</v>
      </c>
      <c r="BD746" s="55" t="s">
        <v>479</v>
      </c>
      <c r="BE746" s="226" t="s">
        <v>463</v>
      </c>
      <c r="BF746" s="191" t="s">
        <v>479</v>
      </c>
      <c r="BG746" s="55" t="s">
        <v>479</v>
      </c>
      <c r="BH746" s="226" t="s">
        <v>466</v>
      </c>
      <c r="BI746" s="55" t="s">
        <v>479</v>
      </c>
      <c r="BJ746" s="55" t="s">
        <v>479</v>
      </c>
      <c r="BK746" s="55" t="s">
        <v>5976</v>
      </c>
      <c r="BM746" s="192" t="s">
        <v>160</v>
      </c>
      <c r="BN746" s="55">
        <v>3</v>
      </c>
      <c r="BO746" s="55">
        <v>3</v>
      </c>
      <c r="BQ746" s="55" t="s">
        <v>462</v>
      </c>
      <c r="GP746" s="292" t="s">
        <v>7494</v>
      </c>
      <c r="HS746" s="227"/>
      <c r="HW746" s="227"/>
      <c r="IR746" s="65">
        <f>154*0.61/134</f>
        <v>0.70104477611940297</v>
      </c>
      <c r="IS746" s="65">
        <f>401*0.61/134</f>
        <v>1.8254477611940298</v>
      </c>
      <c r="IV746" s="65" t="s">
        <v>465</v>
      </c>
      <c r="JU746" s="55" t="s">
        <v>695</v>
      </c>
    </row>
    <row r="747" spans="1:281" x14ac:dyDescent="0.25">
      <c r="A747" s="55">
        <v>746</v>
      </c>
      <c r="B747" s="12" t="s">
        <v>7067</v>
      </c>
      <c r="C747" s="155">
        <v>36</v>
      </c>
      <c r="D747" s="55" t="s">
        <v>3809</v>
      </c>
      <c r="E747" s="90" t="s">
        <v>470</v>
      </c>
      <c r="G747" s="55" t="s">
        <v>471</v>
      </c>
      <c r="H747" s="55">
        <v>1992</v>
      </c>
      <c r="I747" s="55">
        <v>1982</v>
      </c>
      <c r="J747" s="55" t="s">
        <v>472</v>
      </c>
      <c r="K747" s="55" t="s">
        <v>473</v>
      </c>
      <c r="L747" s="55" t="s">
        <v>2737</v>
      </c>
      <c r="M747" s="90">
        <f>33+54/60</f>
        <v>33.9</v>
      </c>
      <c r="N747" s="90">
        <f>-83-24/60</f>
        <v>-83.4</v>
      </c>
      <c r="O747" s="90">
        <v>185.5</v>
      </c>
      <c r="U747" s="55">
        <v>3</v>
      </c>
      <c r="V747" s="55">
        <v>3</v>
      </c>
      <c r="Y747" s="55" t="s">
        <v>1873</v>
      </c>
      <c r="Z747" s="55" t="s">
        <v>1354</v>
      </c>
      <c r="AA747" s="90" t="s">
        <v>1677</v>
      </c>
      <c r="AH747" s="55" t="s">
        <v>769</v>
      </c>
      <c r="AM747" s="55" t="s">
        <v>1299</v>
      </c>
      <c r="AN747" s="185" t="s">
        <v>1485</v>
      </c>
      <c r="AO747" s="185" t="s">
        <v>5150</v>
      </c>
      <c r="AQ747" s="55" t="s">
        <v>553</v>
      </c>
      <c r="AR747" s="55" t="s">
        <v>218</v>
      </c>
      <c r="AS747" s="55" t="s">
        <v>218</v>
      </c>
      <c r="AU747" s="181" t="s">
        <v>7494</v>
      </c>
      <c r="AV747" s="185" t="s">
        <v>176</v>
      </c>
      <c r="AX747" s="185" t="s">
        <v>176</v>
      </c>
      <c r="AZ747" s="55" t="s">
        <v>464</v>
      </c>
      <c r="BA747" s="55" t="s">
        <v>474</v>
      </c>
      <c r="BB747" s="55" t="s">
        <v>2081</v>
      </c>
      <c r="BC747" s="55" t="s">
        <v>2082</v>
      </c>
      <c r="BD747" s="55" t="s">
        <v>479</v>
      </c>
      <c r="BE747" s="226" t="s">
        <v>475</v>
      </c>
      <c r="BF747" s="191" t="s">
        <v>479</v>
      </c>
      <c r="BG747" s="55" t="s">
        <v>479</v>
      </c>
      <c r="BH747" s="226" t="s">
        <v>318</v>
      </c>
      <c r="BI747" s="55" t="s">
        <v>479</v>
      </c>
      <c r="BJ747" s="55" t="s">
        <v>479</v>
      </c>
      <c r="BK747" s="55" t="s">
        <v>6269</v>
      </c>
      <c r="BM747" s="192" t="s">
        <v>119</v>
      </c>
      <c r="BN747" s="55">
        <v>3</v>
      </c>
      <c r="BO747" s="55">
        <v>3</v>
      </c>
      <c r="BQ747" s="55" t="s">
        <v>315</v>
      </c>
      <c r="BV747" s="55" t="s">
        <v>480</v>
      </c>
      <c r="CB747" s="66">
        <f>13.1*1000/5</f>
        <v>2620</v>
      </c>
      <c r="CC747" s="66">
        <f>15.3*1000/5</f>
        <v>3060</v>
      </c>
      <c r="CG747" s="65" t="s">
        <v>486</v>
      </c>
      <c r="CM747" s="65">
        <v>0.64</v>
      </c>
      <c r="CN747" s="65">
        <v>1.81</v>
      </c>
      <c r="CQ747" s="65" t="s">
        <v>163</v>
      </c>
      <c r="CV747" s="65" t="s">
        <v>3039</v>
      </c>
      <c r="DA747" s="65" t="s">
        <v>4458</v>
      </c>
      <c r="DB747" s="65">
        <f>0.05*10000</f>
        <v>500</v>
      </c>
      <c r="DC747" s="65">
        <v>1500</v>
      </c>
      <c r="DF747" s="65" t="s">
        <v>489</v>
      </c>
      <c r="EK747" s="90">
        <f>0.41*1000</f>
        <v>410</v>
      </c>
      <c r="EL747" s="90">
        <f>0.86*1000</f>
        <v>860</v>
      </c>
      <c r="EO747" s="65" t="s">
        <v>490</v>
      </c>
      <c r="FO747" s="65">
        <f>1/100*1237*37</f>
        <v>457.69000000000005</v>
      </c>
      <c r="FP747" s="65">
        <f>1/100*1237*6</f>
        <v>74.22</v>
      </c>
      <c r="FS747" s="65" t="s">
        <v>6368</v>
      </c>
      <c r="GP747" s="292" t="s">
        <v>7494</v>
      </c>
      <c r="HS747" s="227"/>
      <c r="HW747" s="227"/>
      <c r="JU747" s="55" t="s">
        <v>696</v>
      </c>
    </row>
    <row r="748" spans="1:281" x14ac:dyDescent="0.25">
      <c r="A748" s="55">
        <v>747</v>
      </c>
      <c r="B748" s="12" t="s">
        <v>7067</v>
      </c>
      <c r="C748" s="155">
        <v>36</v>
      </c>
      <c r="D748" s="55" t="s">
        <v>3809</v>
      </c>
      <c r="E748" s="90" t="s">
        <v>470</v>
      </c>
      <c r="G748" s="55" t="s">
        <v>471</v>
      </c>
      <c r="H748" s="55">
        <v>1992</v>
      </c>
      <c r="I748" s="55">
        <v>1982</v>
      </c>
      <c r="J748" s="55" t="s">
        <v>472</v>
      </c>
      <c r="K748" s="55" t="s">
        <v>473</v>
      </c>
      <c r="L748" s="55" t="s">
        <v>2737</v>
      </c>
      <c r="M748" s="90">
        <f>33+54/60</f>
        <v>33.9</v>
      </c>
      <c r="N748" s="90">
        <f>-83-24/60</f>
        <v>-83.4</v>
      </c>
      <c r="O748" s="90">
        <v>185.5</v>
      </c>
      <c r="U748" s="55">
        <v>3</v>
      </c>
      <c r="V748" s="55">
        <v>3</v>
      </c>
      <c r="Y748" s="55" t="s">
        <v>1873</v>
      </c>
      <c r="Z748" s="55" t="s">
        <v>1354</v>
      </c>
      <c r="AA748" s="90" t="s">
        <v>1677</v>
      </c>
      <c r="AH748" s="55" t="s">
        <v>769</v>
      </c>
      <c r="AM748" s="55" t="s">
        <v>1299</v>
      </c>
      <c r="AN748" s="185" t="s">
        <v>1485</v>
      </c>
      <c r="AO748" s="185" t="s">
        <v>5150</v>
      </c>
      <c r="AQ748" s="55" t="s">
        <v>553</v>
      </c>
      <c r="AR748" s="55" t="s">
        <v>218</v>
      </c>
      <c r="AS748" s="55" t="s">
        <v>218</v>
      </c>
      <c r="AU748" s="181" t="s">
        <v>7494</v>
      </c>
      <c r="AV748" s="185" t="s">
        <v>176</v>
      </c>
      <c r="AX748" s="185" t="s">
        <v>176</v>
      </c>
      <c r="AZ748" s="55" t="s">
        <v>464</v>
      </c>
      <c r="BA748" s="55" t="s">
        <v>474</v>
      </c>
      <c r="BB748" s="55" t="s">
        <v>2081</v>
      </c>
      <c r="BC748" s="55" t="s">
        <v>2082</v>
      </c>
      <c r="BD748" s="55" t="s">
        <v>479</v>
      </c>
      <c r="BE748" s="226" t="s">
        <v>475</v>
      </c>
      <c r="BF748" s="191" t="s">
        <v>479</v>
      </c>
      <c r="BG748" s="55" t="s">
        <v>479</v>
      </c>
      <c r="BH748" s="226" t="s">
        <v>318</v>
      </c>
      <c r="BI748" s="55" t="s">
        <v>479</v>
      </c>
      <c r="BJ748" s="55" t="s">
        <v>479</v>
      </c>
      <c r="BK748" s="55" t="s">
        <v>6269</v>
      </c>
      <c r="BM748" s="192" t="s">
        <v>119</v>
      </c>
      <c r="BN748" s="55">
        <v>3</v>
      </c>
      <c r="BO748" s="55">
        <v>3</v>
      </c>
      <c r="BQ748" s="55" t="s">
        <v>315</v>
      </c>
      <c r="BV748" s="55" t="s">
        <v>481</v>
      </c>
      <c r="CB748" s="66">
        <f>18.4*1000/5</f>
        <v>3680</v>
      </c>
      <c r="CC748" s="66">
        <f>24.7*1000/5</f>
        <v>4940</v>
      </c>
      <c r="CG748" s="65" t="s">
        <v>487</v>
      </c>
      <c r="CM748" s="65">
        <v>1.3</v>
      </c>
      <c r="CN748" s="65">
        <v>2.25</v>
      </c>
      <c r="CQ748" s="65" t="s">
        <v>163</v>
      </c>
      <c r="CV748" s="65" t="s">
        <v>3039</v>
      </c>
      <c r="DA748" s="65" t="s">
        <v>4458</v>
      </c>
      <c r="DB748" s="65">
        <v>900</v>
      </c>
      <c r="DC748" s="65">
        <v>1700</v>
      </c>
      <c r="DF748" s="65" t="s">
        <v>489</v>
      </c>
      <c r="EK748" s="90">
        <f>0.5*1000</f>
        <v>500</v>
      </c>
      <c r="EL748" s="90">
        <f>0.86*1000</f>
        <v>860</v>
      </c>
      <c r="EO748" s="65" t="s">
        <v>490</v>
      </c>
      <c r="FO748" s="65">
        <f>1/100*1237*35</f>
        <v>432.95000000000005</v>
      </c>
      <c r="FP748" s="65">
        <f>1/100*1237*6</f>
        <v>74.22</v>
      </c>
      <c r="FS748" s="65" t="s">
        <v>6368</v>
      </c>
      <c r="GP748" s="292" t="s">
        <v>7494</v>
      </c>
      <c r="HS748" s="227"/>
      <c r="HW748" s="227"/>
      <c r="JU748" s="55" t="s">
        <v>696</v>
      </c>
    </row>
    <row r="749" spans="1:281" x14ac:dyDescent="0.25">
      <c r="A749" s="55">
        <v>748</v>
      </c>
      <c r="B749" s="12" t="s">
        <v>7067</v>
      </c>
      <c r="C749" s="155">
        <v>36</v>
      </c>
      <c r="D749" s="55" t="s">
        <v>3809</v>
      </c>
      <c r="E749" s="90" t="s">
        <v>470</v>
      </c>
      <c r="G749" s="55" t="s">
        <v>471</v>
      </c>
      <c r="H749" s="55">
        <v>1992</v>
      </c>
      <c r="I749" s="55">
        <v>1982</v>
      </c>
      <c r="J749" s="55" t="s">
        <v>472</v>
      </c>
      <c r="K749" s="55" t="s">
        <v>473</v>
      </c>
      <c r="L749" s="55" t="s">
        <v>2737</v>
      </c>
      <c r="M749" s="90">
        <f>33+54/60</f>
        <v>33.9</v>
      </c>
      <c r="N749" s="90">
        <f>-83-24/60</f>
        <v>-83.4</v>
      </c>
      <c r="O749" s="90">
        <v>185.5</v>
      </c>
      <c r="U749" s="55">
        <v>3</v>
      </c>
      <c r="V749" s="55">
        <v>3</v>
      </c>
      <c r="Y749" s="55" t="s">
        <v>1873</v>
      </c>
      <c r="Z749" s="55" t="s">
        <v>1354</v>
      </c>
      <c r="AA749" s="90" t="s">
        <v>1677</v>
      </c>
      <c r="AH749" s="55" t="s">
        <v>769</v>
      </c>
      <c r="AM749" s="55" t="s">
        <v>1299</v>
      </c>
      <c r="AN749" s="185" t="s">
        <v>1485</v>
      </c>
      <c r="AO749" s="185" t="s">
        <v>5150</v>
      </c>
      <c r="AQ749" s="55" t="s">
        <v>553</v>
      </c>
      <c r="AR749" s="55" t="s">
        <v>218</v>
      </c>
      <c r="AS749" s="55" t="s">
        <v>218</v>
      </c>
      <c r="AU749" s="181" t="s">
        <v>7494</v>
      </c>
      <c r="AV749" s="185" t="s">
        <v>176</v>
      </c>
      <c r="AX749" s="185" t="s">
        <v>176</v>
      </c>
      <c r="AZ749" s="55" t="s">
        <v>464</v>
      </c>
      <c r="BA749" s="55" t="s">
        <v>474</v>
      </c>
      <c r="BB749" s="55" t="s">
        <v>2081</v>
      </c>
      <c r="BC749" s="55" t="s">
        <v>2082</v>
      </c>
      <c r="BD749" s="55" t="s">
        <v>479</v>
      </c>
      <c r="BE749" s="226" t="s">
        <v>475</v>
      </c>
      <c r="BF749" s="191" t="s">
        <v>479</v>
      </c>
      <c r="BG749" s="55" t="s">
        <v>479</v>
      </c>
      <c r="BH749" s="226" t="s">
        <v>318</v>
      </c>
      <c r="BI749" s="55" t="s">
        <v>479</v>
      </c>
      <c r="BJ749" s="55" t="s">
        <v>479</v>
      </c>
      <c r="BK749" s="55" t="s">
        <v>6269</v>
      </c>
      <c r="BM749" s="192" t="s">
        <v>119</v>
      </c>
      <c r="BN749" s="55">
        <v>3</v>
      </c>
      <c r="BO749" s="55">
        <v>3</v>
      </c>
      <c r="BQ749" s="55" t="s">
        <v>315</v>
      </c>
      <c r="BV749" s="55" t="s">
        <v>482</v>
      </c>
      <c r="CB749" s="66">
        <f>16.1*1000/5</f>
        <v>3220.0000000000005</v>
      </c>
      <c r="CC749" s="66">
        <f>15.4*1000/5</f>
        <v>3080</v>
      </c>
      <c r="CG749" s="65" t="s">
        <v>488</v>
      </c>
      <c r="CM749" s="65">
        <v>1.17</v>
      </c>
      <c r="CN749" s="65">
        <v>2.86</v>
      </c>
      <c r="CQ749" s="65" t="s">
        <v>163</v>
      </c>
      <c r="CV749" s="65" t="s">
        <v>3039</v>
      </c>
      <c r="DA749" s="65" t="s">
        <v>4458</v>
      </c>
      <c r="DB749" s="65">
        <v>900</v>
      </c>
      <c r="DC749" s="65">
        <v>2200</v>
      </c>
      <c r="DF749" s="65" t="s">
        <v>489</v>
      </c>
      <c r="EK749" s="90">
        <f>0.59*1000</f>
        <v>590</v>
      </c>
      <c r="EL749" s="90">
        <f>0.88*1000</f>
        <v>880</v>
      </c>
      <c r="EO749" s="65" t="s">
        <v>490</v>
      </c>
      <c r="GP749" s="292" t="s">
        <v>7494</v>
      </c>
      <c r="HS749" s="227"/>
      <c r="HW749" s="227"/>
      <c r="JU749" s="55" t="s">
        <v>696</v>
      </c>
    </row>
    <row r="750" spans="1:281" x14ac:dyDescent="0.25">
      <c r="A750" s="55">
        <v>749</v>
      </c>
      <c r="B750" s="12" t="s">
        <v>7067</v>
      </c>
      <c r="C750" s="155">
        <v>36</v>
      </c>
      <c r="D750" s="55" t="s">
        <v>3810</v>
      </c>
      <c r="E750" s="90" t="s">
        <v>470</v>
      </c>
      <c r="G750" s="55" t="s">
        <v>471</v>
      </c>
      <c r="H750" s="55">
        <v>1992</v>
      </c>
      <c r="I750" s="55">
        <v>1982</v>
      </c>
      <c r="J750" s="55" t="s">
        <v>472</v>
      </c>
      <c r="K750" s="55" t="s">
        <v>473</v>
      </c>
      <c r="L750" s="55" t="s">
        <v>2737</v>
      </c>
      <c r="M750" s="90">
        <f>33+54/60</f>
        <v>33.9</v>
      </c>
      <c r="N750" s="90">
        <f>-83-24/60</f>
        <v>-83.4</v>
      </c>
      <c r="O750" s="90">
        <v>185.5</v>
      </c>
      <c r="U750" s="55">
        <v>3</v>
      </c>
      <c r="V750" s="55">
        <v>3</v>
      </c>
      <c r="Y750" s="55" t="s">
        <v>1873</v>
      </c>
      <c r="Z750" s="55" t="s">
        <v>1354</v>
      </c>
      <c r="AA750" s="90" t="s">
        <v>1677</v>
      </c>
      <c r="AH750" s="55" t="s">
        <v>769</v>
      </c>
      <c r="AM750" s="55" t="s">
        <v>1299</v>
      </c>
      <c r="AN750" s="185" t="s">
        <v>1485</v>
      </c>
      <c r="AO750" s="185" t="s">
        <v>5150</v>
      </c>
      <c r="AQ750" s="55" t="s">
        <v>553</v>
      </c>
      <c r="AR750" s="55" t="s">
        <v>218</v>
      </c>
      <c r="AS750" s="55" t="s">
        <v>218</v>
      </c>
      <c r="AU750" s="181" t="s">
        <v>7494</v>
      </c>
      <c r="AV750" s="185" t="s">
        <v>176</v>
      </c>
      <c r="AX750" s="185" t="s">
        <v>176</v>
      </c>
      <c r="AZ750" s="55" t="s">
        <v>464</v>
      </c>
      <c r="BA750" s="55" t="s">
        <v>474</v>
      </c>
      <c r="BB750" s="55" t="s">
        <v>2081</v>
      </c>
      <c r="BC750" s="55" t="s">
        <v>2082</v>
      </c>
      <c r="BD750" s="55" t="s">
        <v>479</v>
      </c>
      <c r="BE750" s="226" t="s">
        <v>476</v>
      </c>
      <c r="BF750" s="191" t="s">
        <v>479</v>
      </c>
      <c r="BG750" s="55" t="s">
        <v>479</v>
      </c>
      <c r="BH750" s="226" t="s">
        <v>477</v>
      </c>
      <c r="BI750" s="55" t="s">
        <v>479</v>
      </c>
      <c r="BJ750" s="55" t="s">
        <v>479</v>
      </c>
      <c r="BK750" s="55" t="s">
        <v>6269</v>
      </c>
      <c r="BM750" s="192" t="s">
        <v>119</v>
      </c>
      <c r="BN750" s="55">
        <v>3</v>
      </c>
      <c r="BO750" s="55">
        <v>3</v>
      </c>
      <c r="BQ750" s="55" t="s">
        <v>315</v>
      </c>
      <c r="BV750" s="55" t="s">
        <v>483</v>
      </c>
      <c r="CB750" s="66">
        <f>31.1*1000/5</f>
        <v>6220</v>
      </c>
      <c r="CC750" s="66">
        <f>29.9*1000/5</f>
        <v>5980</v>
      </c>
      <c r="CG750" s="65" t="s">
        <v>486</v>
      </c>
      <c r="CM750" s="65">
        <v>0.71</v>
      </c>
      <c r="CN750" s="65">
        <v>1.81</v>
      </c>
      <c r="CQ750" s="65" t="s">
        <v>163</v>
      </c>
      <c r="CV750" s="65" t="s">
        <v>3039</v>
      </c>
      <c r="DA750" s="65" t="s">
        <v>4458</v>
      </c>
      <c r="DB750" s="65">
        <f>0.06*10000</f>
        <v>600</v>
      </c>
      <c r="DC750" s="65">
        <v>1400</v>
      </c>
      <c r="DF750" s="65" t="s">
        <v>489</v>
      </c>
      <c r="EK750" s="90">
        <f>0.59*1000</f>
        <v>590</v>
      </c>
      <c r="EL750" s="90">
        <f>0.88*1000</f>
        <v>880</v>
      </c>
      <c r="EO750" s="65" t="s">
        <v>490</v>
      </c>
      <c r="GP750" s="292" t="s">
        <v>7494</v>
      </c>
      <c r="HS750" s="227"/>
      <c r="HW750" s="227"/>
      <c r="JU750" s="55" t="s">
        <v>696</v>
      </c>
    </row>
    <row r="751" spans="1:281" x14ac:dyDescent="0.25">
      <c r="A751" s="55">
        <v>750</v>
      </c>
      <c r="B751" s="12" t="s">
        <v>7067</v>
      </c>
      <c r="C751" s="155">
        <v>36</v>
      </c>
      <c r="D751" s="55" t="s">
        <v>3810</v>
      </c>
      <c r="E751" s="90" t="s">
        <v>470</v>
      </c>
      <c r="G751" s="55" t="s">
        <v>471</v>
      </c>
      <c r="H751" s="55">
        <v>1992</v>
      </c>
      <c r="I751" s="55">
        <v>1982</v>
      </c>
      <c r="J751" s="55" t="s">
        <v>472</v>
      </c>
      <c r="K751" s="55" t="s">
        <v>473</v>
      </c>
      <c r="L751" s="55" t="s">
        <v>2737</v>
      </c>
      <c r="M751" s="90">
        <f>33+54/60</f>
        <v>33.9</v>
      </c>
      <c r="N751" s="90">
        <f>-83-24/60</f>
        <v>-83.4</v>
      </c>
      <c r="O751" s="90">
        <v>185.5</v>
      </c>
      <c r="U751" s="55">
        <v>3</v>
      </c>
      <c r="V751" s="55">
        <v>3</v>
      </c>
      <c r="Y751" s="55" t="s">
        <v>1873</v>
      </c>
      <c r="Z751" s="55" t="s">
        <v>1354</v>
      </c>
      <c r="AA751" s="90" t="s">
        <v>1677</v>
      </c>
      <c r="AH751" s="55" t="s">
        <v>769</v>
      </c>
      <c r="AM751" s="55" t="s">
        <v>1299</v>
      </c>
      <c r="AN751" s="185" t="s">
        <v>1485</v>
      </c>
      <c r="AO751" s="185" t="s">
        <v>5150</v>
      </c>
      <c r="AQ751" s="55" t="s">
        <v>553</v>
      </c>
      <c r="AR751" s="55" t="s">
        <v>218</v>
      </c>
      <c r="AS751" s="55" t="s">
        <v>218</v>
      </c>
      <c r="AU751" s="181" t="s">
        <v>7494</v>
      </c>
      <c r="AV751" s="185" t="s">
        <v>176</v>
      </c>
      <c r="AX751" s="185" t="s">
        <v>176</v>
      </c>
      <c r="AZ751" s="55" t="s">
        <v>464</v>
      </c>
      <c r="BA751" s="55" t="s">
        <v>474</v>
      </c>
      <c r="BB751" s="55" t="s">
        <v>2081</v>
      </c>
      <c r="BC751" s="55" t="s">
        <v>2082</v>
      </c>
      <c r="BD751" s="55" t="s">
        <v>479</v>
      </c>
      <c r="BE751" s="226" t="s">
        <v>476</v>
      </c>
      <c r="BF751" s="191" t="s">
        <v>479</v>
      </c>
      <c r="BG751" s="55" t="s">
        <v>479</v>
      </c>
      <c r="BH751" s="226" t="s">
        <v>477</v>
      </c>
      <c r="BI751" s="55" t="s">
        <v>479</v>
      </c>
      <c r="BJ751" s="55" t="s">
        <v>479</v>
      </c>
      <c r="BK751" s="55" t="s">
        <v>6269</v>
      </c>
      <c r="BM751" s="192" t="s">
        <v>119</v>
      </c>
      <c r="BN751" s="55">
        <v>3</v>
      </c>
      <c r="BO751" s="55">
        <v>3</v>
      </c>
      <c r="BQ751" s="55" t="s">
        <v>315</v>
      </c>
      <c r="BV751" s="55" t="s">
        <v>484</v>
      </c>
      <c r="CB751" s="66">
        <f>32.1*1000/5</f>
        <v>6420</v>
      </c>
      <c r="CC751" s="66">
        <f>32.8*1000/5</f>
        <v>6560</v>
      </c>
      <c r="CG751" s="65" t="s">
        <v>487</v>
      </c>
      <c r="CM751" s="65">
        <v>1.38</v>
      </c>
      <c r="CN751" s="65">
        <v>2.38</v>
      </c>
      <c r="CQ751" s="65" t="s">
        <v>163</v>
      </c>
      <c r="CV751" s="65" t="s">
        <v>3039</v>
      </c>
      <c r="DA751" s="65" t="s">
        <v>4458</v>
      </c>
      <c r="DB751" s="65">
        <v>1100</v>
      </c>
      <c r="DC751" s="65">
        <v>1900</v>
      </c>
      <c r="DF751" s="65" t="s">
        <v>489</v>
      </c>
      <c r="EK751" s="90">
        <f>0.69*1000</f>
        <v>690</v>
      </c>
      <c r="EL751" s="90">
        <v>900</v>
      </c>
      <c r="EO751" s="65" t="s">
        <v>490</v>
      </c>
      <c r="GP751" s="292" t="s">
        <v>7494</v>
      </c>
      <c r="HS751" s="227"/>
      <c r="HW751" s="227"/>
      <c r="JU751" s="55" t="s">
        <v>696</v>
      </c>
    </row>
    <row r="752" spans="1:281" x14ac:dyDescent="0.25">
      <c r="A752" s="55">
        <v>751</v>
      </c>
      <c r="B752" s="12" t="s">
        <v>7067</v>
      </c>
      <c r="C752" s="155">
        <v>36</v>
      </c>
      <c r="D752" s="55" t="s">
        <v>3810</v>
      </c>
      <c r="E752" s="90" t="s">
        <v>470</v>
      </c>
      <c r="G752" s="55" t="s">
        <v>471</v>
      </c>
      <c r="H752" s="55">
        <v>1992</v>
      </c>
      <c r="I752" s="55">
        <v>1982</v>
      </c>
      <c r="J752" s="55" t="s">
        <v>472</v>
      </c>
      <c r="K752" s="55" t="s">
        <v>473</v>
      </c>
      <c r="L752" s="55" t="s">
        <v>2737</v>
      </c>
      <c r="M752" s="90">
        <f>33+54/60</f>
        <v>33.9</v>
      </c>
      <c r="N752" s="90">
        <f>-83-24/60</f>
        <v>-83.4</v>
      </c>
      <c r="O752" s="90">
        <v>185.5</v>
      </c>
      <c r="U752" s="55">
        <v>3</v>
      </c>
      <c r="V752" s="55">
        <v>3</v>
      </c>
      <c r="Y752" s="55" t="s">
        <v>1873</v>
      </c>
      <c r="Z752" s="55" t="s">
        <v>1354</v>
      </c>
      <c r="AA752" s="90" t="s">
        <v>1677</v>
      </c>
      <c r="AH752" s="55" t="s">
        <v>769</v>
      </c>
      <c r="AM752" s="55" t="s">
        <v>1299</v>
      </c>
      <c r="AN752" s="185" t="s">
        <v>1485</v>
      </c>
      <c r="AO752" s="185" t="s">
        <v>5150</v>
      </c>
      <c r="AQ752" s="55" t="s">
        <v>553</v>
      </c>
      <c r="AR752" s="55" t="s">
        <v>218</v>
      </c>
      <c r="AS752" s="55" t="s">
        <v>218</v>
      </c>
      <c r="AU752" s="181" t="s">
        <v>7494</v>
      </c>
      <c r="AV752" s="185" t="s">
        <v>176</v>
      </c>
      <c r="AX752" s="185" t="s">
        <v>176</v>
      </c>
      <c r="AZ752" s="55" t="s">
        <v>464</v>
      </c>
      <c r="BA752" s="55" t="s">
        <v>474</v>
      </c>
      <c r="BB752" s="55" t="s">
        <v>2081</v>
      </c>
      <c r="BC752" s="55" t="s">
        <v>2082</v>
      </c>
      <c r="BD752" s="55" t="s">
        <v>479</v>
      </c>
      <c r="BE752" s="226" t="s">
        <v>476</v>
      </c>
      <c r="BF752" s="191" t="s">
        <v>479</v>
      </c>
      <c r="BG752" s="55" t="s">
        <v>479</v>
      </c>
      <c r="BH752" s="226" t="s">
        <v>477</v>
      </c>
      <c r="BI752" s="55" t="s">
        <v>479</v>
      </c>
      <c r="BJ752" s="55" t="s">
        <v>479</v>
      </c>
      <c r="BK752" s="55" t="s">
        <v>6269</v>
      </c>
      <c r="BM752" s="192" t="s">
        <v>119</v>
      </c>
      <c r="BN752" s="55">
        <v>3</v>
      </c>
      <c r="BO752" s="55">
        <v>3</v>
      </c>
      <c r="BQ752" s="55" t="s">
        <v>315</v>
      </c>
      <c r="BV752" s="55" t="s">
        <v>485</v>
      </c>
      <c r="CB752" s="66">
        <f>35.7*1000/5</f>
        <v>7140</v>
      </c>
      <c r="CC752" s="66">
        <f>30.3*1000/5</f>
        <v>6060</v>
      </c>
      <c r="CG752" s="65" t="s">
        <v>488</v>
      </c>
      <c r="CM752" s="65">
        <v>1.44</v>
      </c>
      <c r="CN752" s="65">
        <v>3.07</v>
      </c>
      <c r="CQ752" s="65" t="s">
        <v>163</v>
      </c>
      <c r="CV752" s="65" t="s">
        <v>3039</v>
      </c>
      <c r="DA752" s="65" t="s">
        <v>4458</v>
      </c>
      <c r="DB752" s="65">
        <v>1100</v>
      </c>
      <c r="DC752" s="65">
        <v>2300</v>
      </c>
      <c r="DF752" s="65" t="s">
        <v>489</v>
      </c>
      <c r="EK752" s="90">
        <f>0.7*1000</f>
        <v>700</v>
      </c>
      <c r="EL752" s="90">
        <v>930</v>
      </c>
      <c r="EO752" s="65" t="s">
        <v>490</v>
      </c>
      <c r="GP752" s="292" t="s">
        <v>7494</v>
      </c>
      <c r="HS752" s="227"/>
      <c r="HW752" s="227"/>
      <c r="JU752" s="55" t="s">
        <v>696</v>
      </c>
    </row>
    <row r="753" spans="1:281" x14ac:dyDescent="0.25">
      <c r="A753" s="55">
        <v>752</v>
      </c>
      <c r="B753" s="12" t="s">
        <v>7067</v>
      </c>
      <c r="C753" s="155">
        <v>37</v>
      </c>
      <c r="D753" s="55" t="s">
        <v>3811</v>
      </c>
      <c r="E753" s="90" t="s">
        <v>491</v>
      </c>
      <c r="G753" s="55" t="s">
        <v>492</v>
      </c>
      <c r="H753" s="55">
        <v>2012</v>
      </c>
      <c r="I753" s="55">
        <v>2009</v>
      </c>
      <c r="J753" s="55" t="s">
        <v>112</v>
      </c>
      <c r="K753" s="55" t="s">
        <v>493</v>
      </c>
      <c r="L753" s="55" t="s">
        <v>2737</v>
      </c>
      <c r="M753" s="90">
        <f>44+19/60</f>
        <v>44.31666666666667</v>
      </c>
      <c r="N753" s="90">
        <f>-96-46/60</f>
        <v>-96.766666666666666</v>
      </c>
      <c r="O753" s="90">
        <v>504.6</v>
      </c>
      <c r="Q753" s="55">
        <v>8</v>
      </c>
      <c r="R753" s="55">
        <v>580</v>
      </c>
      <c r="U753" s="55">
        <v>1</v>
      </c>
      <c r="V753" s="55">
        <v>2</v>
      </c>
      <c r="Y753" s="55" t="s">
        <v>1874</v>
      </c>
      <c r="Z753" s="55" t="s">
        <v>1349</v>
      </c>
      <c r="AA753" s="90" t="s">
        <v>1677</v>
      </c>
      <c r="AE753" s="90">
        <v>60</v>
      </c>
      <c r="AF753" s="90">
        <f>100-60-28</f>
        <v>12</v>
      </c>
      <c r="AH753" s="55" t="s">
        <v>494</v>
      </c>
      <c r="AI753" s="168">
        <v>7.4</v>
      </c>
      <c r="AJ753" s="90">
        <v>2.9</v>
      </c>
      <c r="AL753" s="55">
        <v>0.31</v>
      </c>
      <c r="AM753" s="55" t="s">
        <v>1301</v>
      </c>
      <c r="AN753" s="185" t="s">
        <v>499</v>
      </c>
      <c r="AO753" s="185" t="s">
        <v>5150</v>
      </c>
      <c r="AQ753" s="55" t="s">
        <v>1097</v>
      </c>
      <c r="AR753" s="55" t="s">
        <v>496</v>
      </c>
      <c r="AS753" s="55" t="s">
        <v>1588</v>
      </c>
      <c r="AT753" s="181" t="s">
        <v>1586</v>
      </c>
      <c r="AU753" s="181" t="s">
        <v>5150</v>
      </c>
      <c r="AV753" s="185" t="s">
        <v>176</v>
      </c>
      <c r="AW753" s="55" t="s">
        <v>1586</v>
      </c>
      <c r="AX753" s="185" t="s">
        <v>176</v>
      </c>
      <c r="AY753" s="55" t="s">
        <v>176</v>
      </c>
      <c r="AZ753" s="55" t="s">
        <v>497</v>
      </c>
      <c r="BA753" s="55" t="s">
        <v>156</v>
      </c>
      <c r="BB753" s="55" t="s">
        <v>2081</v>
      </c>
      <c r="BC753" s="55" t="s">
        <v>2082</v>
      </c>
      <c r="BD753" s="55" t="s">
        <v>479</v>
      </c>
      <c r="BK753" s="55" t="s">
        <v>6269</v>
      </c>
      <c r="BM753" s="192" t="s">
        <v>160</v>
      </c>
      <c r="BN753" s="55">
        <v>4</v>
      </c>
      <c r="BO753" s="55">
        <v>4</v>
      </c>
      <c r="BQ753" s="55" t="s">
        <v>141</v>
      </c>
      <c r="GP753" s="292" t="s">
        <v>7494</v>
      </c>
      <c r="HI753" s="65">
        <v>58.12</v>
      </c>
      <c r="HJ753" s="65">
        <v>82.59</v>
      </c>
      <c r="HM753" s="65" t="s">
        <v>498</v>
      </c>
      <c r="JU753" s="55" t="s">
        <v>697</v>
      </c>
    </row>
    <row r="754" spans="1:281" x14ac:dyDescent="0.25">
      <c r="A754" s="55">
        <v>753</v>
      </c>
      <c r="B754" s="12" t="s">
        <v>7067</v>
      </c>
      <c r="C754" s="155">
        <v>37</v>
      </c>
      <c r="D754" s="55" t="s">
        <v>3812</v>
      </c>
      <c r="E754" s="90" t="s">
        <v>491</v>
      </c>
      <c r="G754" s="55" t="s">
        <v>492</v>
      </c>
      <c r="H754" s="55">
        <v>2012</v>
      </c>
      <c r="I754" s="55">
        <v>2009</v>
      </c>
      <c r="J754" s="55" t="s">
        <v>112</v>
      </c>
      <c r="K754" s="55" t="s">
        <v>493</v>
      </c>
      <c r="L754" s="55" t="s">
        <v>2737</v>
      </c>
      <c r="M754" s="90">
        <f>44+19/60</f>
        <v>44.31666666666667</v>
      </c>
      <c r="N754" s="90">
        <f>-96-46/60</f>
        <v>-96.766666666666666</v>
      </c>
      <c r="O754" s="90">
        <v>504.6</v>
      </c>
      <c r="Q754" s="55">
        <v>8</v>
      </c>
      <c r="R754" s="55">
        <v>580</v>
      </c>
      <c r="U754" s="55">
        <v>1</v>
      </c>
      <c r="V754" s="55">
        <v>2</v>
      </c>
      <c r="Y754" s="55" t="s">
        <v>1874</v>
      </c>
      <c r="Z754" s="55" t="s">
        <v>1349</v>
      </c>
      <c r="AA754" s="90" t="s">
        <v>1677</v>
      </c>
      <c r="AE754" s="90">
        <v>60</v>
      </c>
      <c r="AF754" s="90">
        <f>100-60-28</f>
        <v>12</v>
      </c>
      <c r="AH754" s="55" t="s">
        <v>494</v>
      </c>
      <c r="AI754" s="168">
        <v>7.4</v>
      </c>
      <c r="AJ754" s="90">
        <v>2.9</v>
      </c>
      <c r="AL754" s="55">
        <v>0.31</v>
      </c>
      <c r="AM754" s="55" t="s">
        <v>1301</v>
      </c>
      <c r="AN754" s="185" t="s">
        <v>496</v>
      </c>
      <c r="AO754" s="185" t="s">
        <v>5150</v>
      </c>
      <c r="AQ754" s="55" t="s">
        <v>1545</v>
      </c>
      <c r="AR754" s="55" t="s">
        <v>496</v>
      </c>
      <c r="AS754" s="55" t="s">
        <v>1588</v>
      </c>
      <c r="AT754" s="181" t="s">
        <v>1586</v>
      </c>
      <c r="AU754" s="181" t="s">
        <v>5150</v>
      </c>
      <c r="AV754" s="185" t="s">
        <v>176</v>
      </c>
      <c r="AW754" s="55" t="s">
        <v>1586</v>
      </c>
      <c r="AX754" s="185" t="s">
        <v>176</v>
      </c>
      <c r="AY754" s="55" t="s">
        <v>176</v>
      </c>
      <c r="AZ754" s="55" t="s">
        <v>497</v>
      </c>
      <c r="BA754" s="55" t="s">
        <v>156</v>
      </c>
      <c r="BB754" s="55" t="s">
        <v>2081</v>
      </c>
      <c r="BC754" s="55" t="s">
        <v>2082</v>
      </c>
      <c r="BD754" s="55" t="s">
        <v>479</v>
      </c>
      <c r="BK754" s="55" t="s">
        <v>6269</v>
      </c>
      <c r="BM754" s="192" t="s">
        <v>160</v>
      </c>
      <c r="BN754" s="55">
        <v>4</v>
      </c>
      <c r="BO754" s="55">
        <v>4</v>
      </c>
      <c r="BQ754" s="55" t="s">
        <v>141</v>
      </c>
      <c r="GP754" s="292" t="s">
        <v>7494</v>
      </c>
      <c r="HI754" s="65">
        <v>58.12</v>
      </c>
      <c r="HJ754" s="65">
        <v>146.5</v>
      </c>
      <c r="HM754" s="65" t="s">
        <v>498</v>
      </c>
      <c r="JU754" s="55" t="s">
        <v>697</v>
      </c>
    </row>
    <row r="755" spans="1:281" x14ac:dyDescent="0.25">
      <c r="A755" s="55">
        <v>754</v>
      </c>
      <c r="B755" s="12" t="s">
        <v>7067</v>
      </c>
      <c r="C755" s="155">
        <v>37</v>
      </c>
      <c r="D755" s="55" t="s">
        <v>3813</v>
      </c>
      <c r="E755" s="90" t="s">
        <v>491</v>
      </c>
      <c r="G755" s="55" t="s">
        <v>492</v>
      </c>
      <c r="H755" s="55">
        <v>2012</v>
      </c>
      <c r="I755" s="55">
        <v>2009</v>
      </c>
      <c r="J755" s="55" t="s">
        <v>112</v>
      </c>
      <c r="K755" s="55" t="s">
        <v>493</v>
      </c>
      <c r="L755" s="55" t="s">
        <v>2737</v>
      </c>
      <c r="M755" s="90">
        <f>44+19/60</f>
        <v>44.31666666666667</v>
      </c>
      <c r="N755" s="90">
        <f>-96-46/60</f>
        <v>-96.766666666666666</v>
      </c>
      <c r="O755" s="90">
        <v>504.6</v>
      </c>
      <c r="Q755" s="55">
        <v>8</v>
      </c>
      <c r="R755" s="55">
        <v>580</v>
      </c>
      <c r="U755" s="55">
        <v>1</v>
      </c>
      <c r="V755" s="55">
        <v>2</v>
      </c>
      <c r="Y755" s="55" t="s">
        <v>1874</v>
      </c>
      <c r="Z755" s="55" t="s">
        <v>1349</v>
      </c>
      <c r="AA755" s="90" t="s">
        <v>1677</v>
      </c>
      <c r="AE755" s="90">
        <v>60</v>
      </c>
      <c r="AF755" s="90">
        <f>100-60-28</f>
        <v>12</v>
      </c>
      <c r="AH755" s="55" t="s">
        <v>494</v>
      </c>
      <c r="AI755" s="168">
        <v>7.4</v>
      </c>
      <c r="AJ755" s="90">
        <v>2.9</v>
      </c>
      <c r="AL755" s="55">
        <v>0.31</v>
      </c>
      <c r="AM755" s="55" t="s">
        <v>1301</v>
      </c>
      <c r="AN755" s="185" t="s">
        <v>241</v>
      </c>
      <c r="AO755" s="185" t="s">
        <v>5150</v>
      </c>
      <c r="AQ755" s="55" t="s">
        <v>553</v>
      </c>
      <c r="AR755" s="55" t="s">
        <v>496</v>
      </c>
      <c r="AS755" s="55" t="s">
        <v>1588</v>
      </c>
      <c r="AT755" s="181" t="s">
        <v>1586</v>
      </c>
      <c r="AU755" s="181" t="s">
        <v>5150</v>
      </c>
      <c r="AV755" s="185" t="s">
        <v>176</v>
      </c>
      <c r="AW755" s="55" t="s">
        <v>1586</v>
      </c>
      <c r="AX755" s="185" t="s">
        <v>176</v>
      </c>
      <c r="AY755" s="55" t="s">
        <v>176</v>
      </c>
      <c r="AZ755" s="55" t="s">
        <v>497</v>
      </c>
      <c r="BA755" s="55" t="s">
        <v>156</v>
      </c>
      <c r="BB755" s="55" t="s">
        <v>2081</v>
      </c>
      <c r="BC755" s="55" t="s">
        <v>2082</v>
      </c>
      <c r="BD755" s="55" t="s">
        <v>479</v>
      </c>
      <c r="BK755" s="55" t="s">
        <v>6269</v>
      </c>
      <c r="BM755" s="192" t="s">
        <v>160</v>
      </c>
      <c r="BN755" s="55">
        <v>4</v>
      </c>
      <c r="BO755" s="55">
        <v>4</v>
      </c>
      <c r="BQ755" s="55" t="s">
        <v>141</v>
      </c>
      <c r="GP755" s="292" t="s">
        <v>7494</v>
      </c>
      <c r="HI755" s="65">
        <v>58.12</v>
      </c>
      <c r="HJ755" s="65">
        <v>111.06</v>
      </c>
      <c r="HM755" s="65" t="s">
        <v>498</v>
      </c>
      <c r="JU755" s="55" t="s">
        <v>697</v>
      </c>
    </row>
    <row r="756" spans="1:281" x14ac:dyDescent="0.25">
      <c r="A756" s="55">
        <v>755</v>
      </c>
      <c r="B756" s="12" t="s">
        <v>7067</v>
      </c>
      <c r="C756" s="155">
        <v>37</v>
      </c>
      <c r="D756" s="55" t="s">
        <v>3814</v>
      </c>
      <c r="E756" s="90" t="s">
        <v>491</v>
      </c>
      <c r="G756" s="55" t="s">
        <v>492</v>
      </c>
      <c r="H756" s="55">
        <v>2012</v>
      </c>
      <c r="I756" s="55">
        <v>2009</v>
      </c>
      <c r="J756" s="55" t="s">
        <v>112</v>
      </c>
      <c r="K756" s="55" t="s">
        <v>493</v>
      </c>
      <c r="L756" s="55" t="s">
        <v>2737</v>
      </c>
      <c r="M756" s="90">
        <f>44+19/60</f>
        <v>44.31666666666667</v>
      </c>
      <c r="N756" s="90">
        <f>-96-46/60</f>
        <v>-96.766666666666666</v>
      </c>
      <c r="O756" s="90">
        <v>504.6</v>
      </c>
      <c r="Q756" s="55">
        <v>8</v>
      </c>
      <c r="R756" s="55">
        <v>580</v>
      </c>
      <c r="U756" s="55">
        <v>1</v>
      </c>
      <c r="V756" s="55">
        <v>2</v>
      </c>
      <c r="Y756" s="55" t="s">
        <v>1874</v>
      </c>
      <c r="Z756" s="55" t="s">
        <v>1349</v>
      </c>
      <c r="AA756" s="90" t="s">
        <v>1677</v>
      </c>
      <c r="AE756" s="90">
        <v>60</v>
      </c>
      <c r="AF756" s="90">
        <f>100-60-28</f>
        <v>12</v>
      </c>
      <c r="AH756" s="55" t="s">
        <v>494</v>
      </c>
      <c r="AI756" s="168">
        <v>7.4</v>
      </c>
      <c r="AJ756" s="90">
        <v>2.9</v>
      </c>
      <c r="AL756" s="55">
        <v>0.31</v>
      </c>
      <c r="AM756" s="55" t="s">
        <v>1301</v>
      </c>
      <c r="AN756" s="185" t="s">
        <v>1521</v>
      </c>
      <c r="AO756" s="185" t="s">
        <v>5150</v>
      </c>
      <c r="AQ756" s="55" t="s">
        <v>1549</v>
      </c>
      <c r="AR756" s="55" t="s">
        <v>496</v>
      </c>
      <c r="AS756" s="55" t="s">
        <v>1588</v>
      </c>
      <c r="AT756" s="181" t="s">
        <v>1586</v>
      </c>
      <c r="AU756" s="181" t="s">
        <v>5150</v>
      </c>
      <c r="AV756" s="185" t="s">
        <v>176</v>
      </c>
      <c r="AW756" s="55" t="s">
        <v>1586</v>
      </c>
      <c r="AX756" s="185" t="s">
        <v>176</v>
      </c>
      <c r="AY756" s="55" t="s">
        <v>176</v>
      </c>
      <c r="AZ756" s="55" t="s">
        <v>497</v>
      </c>
      <c r="BA756" s="55" t="s">
        <v>156</v>
      </c>
      <c r="BB756" s="55" t="s">
        <v>2081</v>
      </c>
      <c r="BC756" s="55" t="s">
        <v>2082</v>
      </c>
      <c r="BD756" s="55" t="s">
        <v>479</v>
      </c>
      <c r="BK756" s="55" t="s">
        <v>6269</v>
      </c>
      <c r="BM756" s="192" t="s">
        <v>160</v>
      </c>
      <c r="BN756" s="55">
        <v>4</v>
      </c>
      <c r="BO756" s="55">
        <v>4</v>
      </c>
      <c r="BQ756" s="55" t="s">
        <v>141</v>
      </c>
      <c r="GP756" s="292" t="s">
        <v>7494</v>
      </c>
      <c r="HI756" s="65">
        <v>58.12</v>
      </c>
      <c r="HJ756" s="65">
        <v>213.15</v>
      </c>
      <c r="HM756" s="65" t="s">
        <v>498</v>
      </c>
      <c r="JU756" s="55" t="s">
        <v>697</v>
      </c>
    </row>
    <row r="757" spans="1:281" x14ac:dyDescent="0.25">
      <c r="A757" s="55">
        <v>756</v>
      </c>
      <c r="B757" s="12" t="s">
        <v>7067</v>
      </c>
      <c r="C757" s="155">
        <v>37</v>
      </c>
      <c r="D757" s="55" t="s">
        <v>3815</v>
      </c>
      <c r="E757" s="90" t="s">
        <v>491</v>
      </c>
      <c r="G757" s="55" t="s">
        <v>492</v>
      </c>
      <c r="H757" s="55">
        <v>2012</v>
      </c>
      <c r="I757" s="55">
        <v>2009</v>
      </c>
      <c r="J757" s="55" t="s">
        <v>112</v>
      </c>
      <c r="K757" s="55" t="s">
        <v>493</v>
      </c>
      <c r="L757" s="55" t="s">
        <v>2737</v>
      </c>
      <c r="M757" s="90">
        <f>44+19/60</f>
        <v>44.31666666666667</v>
      </c>
      <c r="N757" s="90">
        <f>-96-46/60</f>
        <v>-96.766666666666666</v>
      </c>
      <c r="O757" s="90">
        <v>504.6</v>
      </c>
      <c r="Q757" s="55">
        <v>8</v>
      </c>
      <c r="R757" s="55">
        <v>580</v>
      </c>
      <c r="U757" s="55">
        <v>1</v>
      </c>
      <c r="V757" s="55">
        <v>2</v>
      </c>
      <c r="Y757" s="55" t="s">
        <v>1874</v>
      </c>
      <c r="Z757" s="55" t="s">
        <v>1349</v>
      </c>
      <c r="AA757" s="90" t="s">
        <v>1677</v>
      </c>
      <c r="AE757" s="90">
        <v>60</v>
      </c>
      <c r="AF757" s="90">
        <f>100-60-28</f>
        <v>12</v>
      </c>
      <c r="AH757" s="55" t="s">
        <v>494</v>
      </c>
      <c r="AI757" s="168">
        <v>7.4</v>
      </c>
      <c r="AJ757" s="90">
        <v>2.9</v>
      </c>
      <c r="AL757" s="55">
        <v>0.31</v>
      </c>
      <c r="AM757" s="55" t="s">
        <v>1301</v>
      </c>
      <c r="AN757" s="185" t="s">
        <v>1523</v>
      </c>
      <c r="AO757" s="185" t="s">
        <v>5150</v>
      </c>
      <c r="AQ757" s="55" t="s">
        <v>1546</v>
      </c>
      <c r="AR757" s="55" t="s">
        <v>496</v>
      </c>
      <c r="AS757" s="55" t="s">
        <v>1588</v>
      </c>
      <c r="AT757" s="181" t="s">
        <v>1586</v>
      </c>
      <c r="AU757" s="181" t="s">
        <v>5150</v>
      </c>
      <c r="AV757" s="185" t="s">
        <v>176</v>
      </c>
      <c r="AW757" s="55" t="s">
        <v>1586</v>
      </c>
      <c r="AX757" s="185" t="s">
        <v>176</v>
      </c>
      <c r="AY757" s="55" t="s">
        <v>176</v>
      </c>
      <c r="AZ757" s="55" t="s">
        <v>497</v>
      </c>
      <c r="BA757" s="55" t="s">
        <v>156</v>
      </c>
      <c r="BB757" s="55" t="s">
        <v>2081</v>
      </c>
      <c r="BC757" s="55" t="s">
        <v>2082</v>
      </c>
      <c r="BD757" s="55" t="s">
        <v>479</v>
      </c>
      <c r="BK757" s="55" t="s">
        <v>6269</v>
      </c>
      <c r="BM757" s="192" t="s">
        <v>160</v>
      </c>
      <c r="BN757" s="55">
        <v>4</v>
      </c>
      <c r="BO757" s="55">
        <v>4</v>
      </c>
      <c r="BQ757" s="55" t="s">
        <v>141</v>
      </c>
      <c r="GP757" s="292" t="s">
        <v>7494</v>
      </c>
      <c r="HI757" s="65">
        <v>58.12</v>
      </c>
      <c r="HJ757" s="65">
        <v>176.05</v>
      </c>
      <c r="HM757" s="65" t="s">
        <v>498</v>
      </c>
      <c r="JU757" s="55" t="s">
        <v>697</v>
      </c>
    </row>
    <row r="758" spans="1:281" x14ac:dyDescent="0.25">
      <c r="A758" s="55">
        <v>757</v>
      </c>
      <c r="B758" s="12" t="s">
        <v>7067</v>
      </c>
      <c r="C758" s="155">
        <v>37</v>
      </c>
      <c r="D758" s="55" t="s">
        <v>3816</v>
      </c>
      <c r="E758" s="90" t="s">
        <v>491</v>
      </c>
      <c r="G758" s="55" t="s">
        <v>492</v>
      </c>
      <c r="H758" s="55">
        <v>2012</v>
      </c>
      <c r="I758" s="55">
        <v>2009</v>
      </c>
      <c r="J758" s="55" t="s">
        <v>112</v>
      </c>
      <c r="K758" s="55" t="s">
        <v>493</v>
      </c>
      <c r="L758" s="55" t="s">
        <v>2737</v>
      </c>
      <c r="M758" s="90">
        <f>44+19/60</f>
        <v>44.31666666666667</v>
      </c>
      <c r="N758" s="90">
        <f>-96-46/60</f>
        <v>-96.766666666666666</v>
      </c>
      <c r="O758" s="90">
        <v>504.6</v>
      </c>
      <c r="Q758" s="55">
        <v>8</v>
      </c>
      <c r="R758" s="55">
        <v>580</v>
      </c>
      <c r="U758" s="55">
        <v>1</v>
      </c>
      <c r="V758" s="55">
        <v>2</v>
      </c>
      <c r="Y758" s="55" t="s">
        <v>1874</v>
      </c>
      <c r="Z758" s="55" t="s">
        <v>1349</v>
      </c>
      <c r="AA758" s="90" t="s">
        <v>1677</v>
      </c>
      <c r="AE758" s="90">
        <v>60</v>
      </c>
      <c r="AF758" s="90">
        <f>100-60-28</f>
        <v>12</v>
      </c>
      <c r="AH758" s="55" t="s">
        <v>494</v>
      </c>
      <c r="AI758" s="168">
        <v>7.4</v>
      </c>
      <c r="AJ758" s="90">
        <v>2.9</v>
      </c>
      <c r="AL758" s="55">
        <v>0.31</v>
      </c>
      <c r="AM758" s="55" t="s">
        <v>1301</v>
      </c>
      <c r="AN758" s="185" t="s">
        <v>1522</v>
      </c>
      <c r="AO758" s="185" t="s">
        <v>5150</v>
      </c>
      <c r="AQ758" s="55" t="s">
        <v>1549</v>
      </c>
      <c r="AR758" s="55" t="s">
        <v>496</v>
      </c>
      <c r="AS758" s="55" t="s">
        <v>1588</v>
      </c>
      <c r="AT758" s="181" t="s">
        <v>1586</v>
      </c>
      <c r="AU758" s="181" t="s">
        <v>5150</v>
      </c>
      <c r="AV758" s="185" t="s">
        <v>176</v>
      </c>
      <c r="AW758" s="55" t="s">
        <v>1586</v>
      </c>
      <c r="AX758" s="185" t="s">
        <v>176</v>
      </c>
      <c r="AY758" s="55" t="s">
        <v>176</v>
      </c>
      <c r="AZ758" s="55" t="s">
        <v>497</v>
      </c>
      <c r="BA758" s="55" t="s">
        <v>156</v>
      </c>
      <c r="BB758" s="55" t="s">
        <v>2081</v>
      </c>
      <c r="BC758" s="55" t="s">
        <v>2082</v>
      </c>
      <c r="BD758" s="55" t="s">
        <v>479</v>
      </c>
      <c r="BK758" s="55" t="s">
        <v>6269</v>
      </c>
      <c r="BM758" s="192" t="s">
        <v>160</v>
      </c>
      <c r="BN758" s="55">
        <v>4</v>
      </c>
      <c r="BO758" s="55">
        <v>4</v>
      </c>
      <c r="BQ758" s="55" t="s">
        <v>141</v>
      </c>
      <c r="GP758" s="292" t="s">
        <v>7494</v>
      </c>
      <c r="HI758" s="65">
        <v>58.12</v>
      </c>
      <c r="HJ758" s="65">
        <v>83.92</v>
      </c>
      <c r="HM758" s="65" t="s">
        <v>498</v>
      </c>
      <c r="JU758" s="55" t="s">
        <v>697</v>
      </c>
    </row>
    <row r="759" spans="1:281" x14ac:dyDescent="0.25">
      <c r="A759" s="55">
        <v>758</v>
      </c>
      <c r="B759" s="12" t="s">
        <v>7067</v>
      </c>
      <c r="C759" s="155">
        <v>37</v>
      </c>
      <c r="D759" s="55" t="s">
        <v>3817</v>
      </c>
      <c r="E759" s="90" t="s">
        <v>491</v>
      </c>
      <c r="G759" s="55" t="s">
        <v>492</v>
      </c>
      <c r="H759" s="55">
        <v>2012</v>
      </c>
      <c r="I759" s="55">
        <v>2009</v>
      </c>
      <c r="J759" s="55" t="s">
        <v>112</v>
      </c>
      <c r="K759" s="55" t="s">
        <v>493</v>
      </c>
      <c r="L759" s="55" t="s">
        <v>2737</v>
      </c>
      <c r="M759" s="90">
        <f>44+19/60</f>
        <v>44.31666666666667</v>
      </c>
      <c r="N759" s="90">
        <f>-96-46/60</f>
        <v>-96.766666666666666</v>
      </c>
      <c r="O759" s="90">
        <v>504.6</v>
      </c>
      <c r="Q759" s="55">
        <v>8</v>
      </c>
      <c r="R759" s="55">
        <v>580</v>
      </c>
      <c r="U759" s="55">
        <v>1</v>
      </c>
      <c r="V759" s="55">
        <v>2</v>
      </c>
      <c r="Y759" s="55" t="s">
        <v>1874</v>
      </c>
      <c r="Z759" s="55" t="s">
        <v>1349</v>
      </c>
      <c r="AA759" s="90" t="s">
        <v>1677</v>
      </c>
      <c r="AE759" s="90">
        <v>60</v>
      </c>
      <c r="AF759" s="90">
        <f>100-60-28</f>
        <v>12</v>
      </c>
      <c r="AH759" s="55" t="s">
        <v>494</v>
      </c>
      <c r="AI759" s="168">
        <v>7.4</v>
      </c>
      <c r="AJ759" s="90">
        <v>2.9</v>
      </c>
      <c r="AL759" s="55">
        <v>0.31</v>
      </c>
      <c r="AM759" s="55" t="s">
        <v>1301</v>
      </c>
      <c r="AN759" s="185" t="s">
        <v>1520</v>
      </c>
      <c r="AO759" s="185" t="s">
        <v>5150</v>
      </c>
      <c r="AQ759" s="55" t="s">
        <v>610</v>
      </c>
      <c r="AR759" s="55" t="s">
        <v>496</v>
      </c>
      <c r="AS759" s="55" t="s">
        <v>1588</v>
      </c>
      <c r="AT759" s="181" t="s">
        <v>1586</v>
      </c>
      <c r="AU759" s="181" t="s">
        <v>5150</v>
      </c>
      <c r="AV759" s="185" t="s">
        <v>176</v>
      </c>
      <c r="AW759" s="55" t="s">
        <v>1586</v>
      </c>
      <c r="AX759" s="185" t="s">
        <v>176</v>
      </c>
      <c r="AY759" s="55" t="s">
        <v>176</v>
      </c>
      <c r="AZ759" s="55" t="s">
        <v>497</v>
      </c>
      <c r="BA759" s="55" t="s">
        <v>156</v>
      </c>
      <c r="BB759" s="55" t="s">
        <v>2081</v>
      </c>
      <c r="BC759" s="55" t="s">
        <v>2082</v>
      </c>
      <c r="BD759" s="55" t="s">
        <v>479</v>
      </c>
      <c r="BK759" s="55" t="s">
        <v>6269</v>
      </c>
      <c r="BM759" s="192" t="s">
        <v>160</v>
      </c>
      <c r="BN759" s="55">
        <v>4</v>
      </c>
      <c r="BO759" s="55">
        <v>4</v>
      </c>
      <c r="BQ759" s="55" t="s">
        <v>141</v>
      </c>
      <c r="GP759" s="292" t="s">
        <v>7494</v>
      </c>
      <c r="HI759" s="65">
        <v>58.12</v>
      </c>
      <c r="HJ759" s="65">
        <v>179.97</v>
      </c>
      <c r="HM759" s="65" t="s">
        <v>498</v>
      </c>
      <c r="JU759" s="55" t="s">
        <v>697</v>
      </c>
    </row>
    <row r="760" spans="1:281" x14ac:dyDescent="0.25">
      <c r="A760" s="55">
        <v>759</v>
      </c>
      <c r="B760" s="12" t="s">
        <v>7067</v>
      </c>
      <c r="C760" s="155">
        <v>37</v>
      </c>
      <c r="D760" s="55" t="s">
        <v>3811</v>
      </c>
      <c r="E760" s="90" t="s">
        <v>491</v>
      </c>
      <c r="G760" s="55" t="s">
        <v>492</v>
      </c>
      <c r="H760" s="55">
        <v>2012</v>
      </c>
      <c r="I760" s="55">
        <v>2010</v>
      </c>
      <c r="J760" s="55" t="s">
        <v>112</v>
      </c>
      <c r="K760" s="55" t="s">
        <v>493</v>
      </c>
      <c r="L760" s="55" t="s">
        <v>2737</v>
      </c>
      <c r="M760" s="90">
        <f>44+19/60</f>
        <v>44.31666666666667</v>
      </c>
      <c r="N760" s="90">
        <f>-96-46/60</f>
        <v>-96.766666666666666</v>
      </c>
      <c r="O760" s="90">
        <v>504.6</v>
      </c>
      <c r="Q760" s="55">
        <v>8</v>
      </c>
      <c r="R760" s="55">
        <v>580</v>
      </c>
      <c r="U760" s="55">
        <v>2</v>
      </c>
      <c r="V760" s="55">
        <v>2</v>
      </c>
      <c r="Y760" s="55" t="s">
        <v>1874</v>
      </c>
      <c r="Z760" s="55" t="s">
        <v>1349</v>
      </c>
      <c r="AA760" s="90" t="s">
        <v>1677</v>
      </c>
      <c r="AE760" s="90">
        <v>60</v>
      </c>
      <c r="AF760" s="90">
        <f>100-60-28</f>
        <v>12</v>
      </c>
      <c r="AH760" s="55" t="s">
        <v>494</v>
      </c>
      <c r="AI760" s="168">
        <v>7.4</v>
      </c>
      <c r="AJ760" s="90">
        <v>2.9</v>
      </c>
      <c r="AL760" s="55">
        <v>0.31</v>
      </c>
      <c r="AM760" s="55" t="s">
        <v>1301</v>
      </c>
      <c r="AN760" s="185" t="s">
        <v>499</v>
      </c>
      <c r="AO760" s="185" t="s">
        <v>5150</v>
      </c>
      <c r="AQ760" s="55" t="s">
        <v>1097</v>
      </c>
      <c r="AR760" s="55" t="s">
        <v>496</v>
      </c>
      <c r="AS760" s="55" t="s">
        <v>1588</v>
      </c>
      <c r="AT760" s="181" t="s">
        <v>1586</v>
      </c>
      <c r="AU760" s="181" t="s">
        <v>5150</v>
      </c>
      <c r="AV760" s="185" t="s">
        <v>176</v>
      </c>
      <c r="AW760" s="55" t="s">
        <v>1586</v>
      </c>
      <c r="AX760" s="185" t="s">
        <v>176</v>
      </c>
      <c r="AY760" s="55" t="s">
        <v>176</v>
      </c>
      <c r="AZ760" s="55" t="s">
        <v>497</v>
      </c>
      <c r="BA760" s="55" t="s">
        <v>156</v>
      </c>
      <c r="BB760" s="55" t="s">
        <v>2081</v>
      </c>
      <c r="BC760" s="55" t="s">
        <v>2082</v>
      </c>
      <c r="BD760" s="55" t="s">
        <v>479</v>
      </c>
      <c r="BK760" s="55" t="s">
        <v>6269</v>
      </c>
      <c r="BM760" s="192" t="s">
        <v>160</v>
      </c>
      <c r="BN760" s="55">
        <v>4</v>
      </c>
      <c r="BO760" s="55">
        <v>4</v>
      </c>
      <c r="BQ760" s="55" t="s">
        <v>141</v>
      </c>
      <c r="GP760" s="292" t="s">
        <v>7494</v>
      </c>
      <c r="HI760" s="65">
        <v>27.44</v>
      </c>
      <c r="HJ760" s="65">
        <v>40.340000000000003</v>
      </c>
      <c r="HM760" s="65" t="s">
        <v>498</v>
      </c>
      <c r="JU760" s="55" t="s">
        <v>697</v>
      </c>
    </row>
    <row r="761" spans="1:281" x14ac:dyDescent="0.25">
      <c r="A761" s="55">
        <v>760</v>
      </c>
      <c r="B761" s="12" t="s">
        <v>7067</v>
      </c>
      <c r="C761" s="155">
        <v>37</v>
      </c>
      <c r="D761" s="55" t="s">
        <v>3812</v>
      </c>
      <c r="E761" s="90" t="s">
        <v>491</v>
      </c>
      <c r="G761" s="55" t="s">
        <v>492</v>
      </c>
      <c r="H761" s="55">
        <v>2012</v>
      </c>
      <c r="I761" s="55">
        <v>2010</v>
      </c>
      <c r="J761" s="55" t="s">
        <v>112</v>
      </c>
      <c r="K761" s="55" t="s">
        <v>493</v>
      </c>
      <c r="L761" s="55" t="s">
        <v>2737</v>
      </c>
      <c r="M761" s="90">
        <f>44+19/60</f>
        <v>44.31666666666667</v>
      </c>
      <c r="N761" s="90">
        <f>-96-46/60</f>
        <v>-96.766666666666666</v>
      </c>
      <c r="O761" s="90">
        <v>504.6</v>
      </c>
      <c r="Q761" s="55">
        <v>8</v>
      </c>
      <c r="R761" s="55">
        <v>580</v>
      </c>
      <c r="U761" s="55">
        <v>2</v>
      </c>
      <c r="V761" s="55">
        <v>2</v>
      </c>
      <c r="Y761" s="55" t="s">
        <v>1874</v>
      </c>
      <c r="Z761" s="55" t="s">
        <v>1349</v>
      </c>
      <c r="AA761" s="90" t="s">
        <v>1677</v>
      </c>
      <c r="AE761" s="90">
        <v>60</v>
      </c>
      <c r="AF761" s="90">
        <f>100-60-28</f>
        <v>12</v>
      </c>
      <c r="AH761" s="55" t="s">
        <v>494</v>
      </c>
      <c r="AI761" s="168">
        <v>7.4</v>
      </c>
      <c r="AJ761" s="90">
        <v>2.9</v>
      </c>
      <c r="AL761" s="55">
        <v>0.31</v>
      </c>
      <c r="AM761" s="55" t="s">
        <v>1301</v>
      </c>
      <c r="AN761" s="185" t="s">
        <v>496</v>
      </c>
      <c r="AO761" s="185" t="s">
        <v>5150</v>
      </c>
      <c r="AQ761" s="55" t="s">
        <v>1545</v>
      </c>
      <c r="AR761" s="55" t="s">
        <v>496</v>
      </c>
      <c r="AS761" s="55" t="s">
        <v>1588</v>
      </c>
      <c r="AT761" s="181" t="s">
        <v>1586</v>
      </c>
      <c r="AU761" s="181" t="s">
        <v>5150</v>
      </c>
      <c r="AV761" s="185" t="s">
        <v>176</v>
      </c>
      <c r="AW761" s="55" t="s">
        <v>1586</v>
      </c>
      <c r="AX761" s="185" t="s">
        <v>176</v>
      </c>
      <c r="AY761" s="55" t="s">
        <v>176</v>
      </c>
      <c r="AZ761" s="55" t="s">
        <v>497</v>
      </c>
      <c r="BA761" s="55" t="s">
        <v>156</v>
      </c>
      <c r="BB761" s="55" t="s">
        <v>2081</v>
      </c>
      <c r="BC761" s="55" t="s">
        <v>2082</v>
      </c>
      <c r="BD761" s="55" t="s">
        <v>479</v>
      </c>
      <c r="BK761" s="55" t="s">
        <v>6269</v>
      </c>
      <c r="BM761" s="192" t="s">
        <v>160</v>
      </c>
      <c r="BN761" s="55">
        <v>4</v>
      </c>
      <c r="BO761" s="55">
        <v>4</v>
      </c>
      <c r="BQ761" s="55" t="s">
        <v>141</v>
      </c>
      <c r="GP761" s="292" t="s">
        <v>7494</v>
      </c>
      <c r="HI761" s="65">
        <v>27.44</v>
      </c>
      <c r="HJ761" s="65">
        <v>83.55</v>
      </c>
      <c r="HM761" s="65" t="s">
        <v>498</v>
      </c>
      <c r="JU761" s="55" t="s">
        <v>697</v>
      </c>
    </row>
    <row r="762" spans="1:281" x14ac:dyDescent="0.25">
      <c r="A762" s="55">
        <v>761</v>
      </c>
      <c r="B762" s="12" t="s">
        <v>7067</v>
      </c>
      <c r="C762" s="155">
        <v>37</v>
      </c>
      <c r="D762" s="55" t="s">
        <v>3813</v>
      </c>
      <c r="E762" s="90" t="s">
        <v>491</v>
      </c>
      <c r="G762" s="55" t="s">
        <v>492</v>
      </c>
      <c r="H762" s="55">
        <v>2012</v>
      </c>
      <c r="I762" s="55">
        <v>2010</v>
      </c>
      <c r="J762" s="55" t="s">
        <v>112</v>
      </c>
      <c r="K762" s="55" t="s">
        <v>493</v>
      </c>
      <c r="L762" s="55" t="s">
        <v>2737</v>
      </c>
      <c r="M762" s="90">
        <f>44+19/60</f>
        <v>44.31666666666667</v>
      </c>
      <c r="N762" s="90">
        <f>-96-46/60</f>
        <v>-96.766666666666666</v>
      </c>
      <c r="O762" s="90">
        <v>504.6</v>
      </c>
      <c r="Q762" s="55">
        <v>8</v>
      </c>
      <c r="R762" s="55">
        <v>580</v>
      </c>
      <c r="U762" s="55">
        <v>2</v>
      </c>
      <c r="V762" s="55">
        <v>2</v>
      </c>
      <c r="Y762" s="55" t="s">
        <v>1874</v>
      </c>
      <c r="Z762" s="55" t="s">
        <v>1349</v>
      </c>
      <c r="AA762" s="90" t="s">
        <v>1677</v>
      </c>
      <c r="AE762" s="90">
        <v>60</v>
      </c>
      <c r="AF762" s="90">
        <f>100-60-28</f>
        <v>12</v>
      </c>
      <c r="AH762" s="55" t="s">
        <v>494</v>
      </c>
      <c r="AI762" s="168">
        <v>7.4</v>
      </c>
      <c r="AJ762" s="90">
        <v>2.9</v>
      </c>
      <c r="AL762" s="55">
        <v>0.31</v>
      </c>
      <c r="AM762" s="55" t="s">
        <v>1301</v>
      </c>
      <c r="AN762" s="185" t="s">
        <v>241</v>
      </c>
      <c r="AO762" s="185" t="s">
        <v>5150</v>
      </c>
      <c r="AQ762" s="55" t="s">
        <v>553</v>
      </c>
      <c r="AR762" s="55" t="s">
        <v>496</v>
      </c>
      <c r="AS762" s="55" t="s">
        <v>1588</v>
      </c>
      <c r="AT762" s="181" t="s">
        <v>1586</v>
      </c>
      <c r="AU762" s="181" t="s">
        <v>5150</v>
      </c>
      <c r="AV762" s="185" t="s">
        <v>176</v>
      </c>
      <c r="AW762" s="55" t="s">
        <v>1586</v>
      </c>
      <c r="AX762" s="185" t="s">
        <v>176</v>
      </c>
      <c r="AY762" s="55" t="s">
        <v>176</v>
      </c>
      <c r="AZ762" s="55" t="s">
        <v>497</v>
      </c>
      <c r="BA762" s="55" t="s">
        <v>156</v>
      </c>
      <c r="BB762" s="55" t="s">
        <v>2081</v>
      </c>
      <c r="BC762" s="55" t="s">
        <v>2082</v>
      </c>
      <c r="BD762" s="55" t="s">
        <v>479</v>
      </c>
      <c r="BK762" s="55" t="s">
        <v>6269</v>
      </c>
      <c r="BM762" s="192" t="s">
        <v>160</v>
      </c>
      <c r="BN762" s="55">
        <v>4</v>
      </c>
      <c r="BO762" s="55">
        <v>4</v>
      </c>
      <c r="BQ762" s="55" t="s">
        <v>141</v>
      </c>
      <c r="GP762" s="292" t="s">
        <v>7494</v>
      </c>
      <c r="HI762" s="65">
        <v>27.44</v>
      </c>
      <c r="HJ762" s="65">
        <v>41.73</v>
      </c>
      <c r="HM762" s="65" t="s">
        <v>498</v>
      </c>
      <c r="JU762" s="55" t="s">
        <v>697</v>
      </c>
    </row>
    <row r="763" spans="1:281" x14ac:dyDescent="0.25">
      <c r="A763" s="55">
        <v>762</v>
      </c>
      <c r="B763" s="12" t="s">
        <v>7067</v>
      </c>
      <c r="C763" s="155">
        <v>37</v>
      </c>
      <c r="D763" s="55" t="s">
        <v>3814</v>
      </c>
      <c r="E763" s="90" t="s">
        <v>491</v>
      </c>
      <c r="G763" s="55" t="s">
        <v>492</v>
      </c>
      <c r="H763" s="55">
        <v>2012</v>
      </c>
      <c r="I763" s="55">
        <v>2010</v>
      </c>
      <c r="J763" s="55" t="s">
        <v>112</v>
      </c>
      <c r="K763" s="55" t="s">
        <v>493</v>
      </c>
      <c r="L763" s="55" t="s">
        <v>2737</v>
      </c>
      <c r="M763" s="90">
        <f>44+19/60</f>
        <v>44.31666666666667</v>
      </c>
      <c r="N763" s="90">
        <f>-96-46/60</f>
        <v>-96.766666666666666</v>
      </c>
      <c r="O763" s="90">
        <v>504.6</v>
      </c>
      <c r="Q763" s="55">
        <v>8</v>
      </c>
      <c r="R763" s="55">
        <v>580</v>
      </c>
      <c r="U763" s="55">
        <v>2</v>
      </c>
      <c r="V763" s="55">
        <v>2</v>
      </c>
      <c r="Y763" s="55" t="s">
        <v>1874</v>
      </c>
      <c r="Z763" s="55" t="s">
        <v>1349</v>
      </c>
      <c r="AA763" s="90" t="s">
        <v>1677</v>
      </c>
      <c r="AE763" s="90">
        <v>60</v>
      </c>
      <c r="AF763" s="90">
        <f>100-60-28</f>
        <v>12</v>
      </c>
      <c r="AH763" s="55" t="s">
        <v>494</v>
      </c>
      <c r="AI763" s="168">
        <v>7.4</v>
      </c>
      <c r="AJ763" s="90">
        <v>2.9</v>
      </c>
      <c r="AL763" s="55">
        <v>0.31</v>
      </c>
      <c r="AM763" s="55" t="s">
        <v>1301</v>
      </c>
      <c r="AN763" s="185" t="s">
        <v>1521</v>
      </c>
      <c r="AO763" s="185" t="s">
        <v>5150</v>
      </c>
      <c r="AQ763" s="55" t="s">
        <v>1549</v>
      </c>
      <c r="AR763" s="55" t="s">
        <v>496</v>
      </c>
      <c r="AS763" s="55" t="s">
        <v>1588</v>
      </c>
      <c r="AT763" s="181" t="s">
        <v>1586</v>
      </c>
      <c r="AU763" s="181" t="s">
        <v>5150</v>
      </c>
      <c r="AV763" s="185" t="s">
        <v>176</v>
      </c>
      <c r="AW763" s="55" t="s">
        <v>1586</v>
      </c>
      <c r="AX763" s="185" t="s">
        <v>176</v>
      </c>
      <c r="AY763" s="55" t="s">
        <v>176</v>
      </c>
      <c r="AZ763" s="55" t="s">
        <v>497</v>
      </c>
      <c r="BA763" s="55" t="s">
        <v>156</v>
      </c>
      <c r="BB763" s="55" t="s">
        <v>2081</v>
      </c>
      <c r="BC763" s="55" t="s">
        <v>2082</v>
      </c>
      <c r="BD763" s="55" t="s">
        <v>479</v>
      </c>
      <c r="BK763" s="55" t="s">
        <v>6269</v>
      </c>
      <c r="BM763" s="192" t="s">
        <v>160</v>
      </c>
      <c r="BN763" s="55">
        <v>4</v>
      </c>
      <c r="BO763" s="55">
        <v>4</v>
      </c>
      <c r="BQ763" s="55" t="s">
        <v>141</v>
      </c>
      <c r="GP763" s="292" t="s">
        <v>7494</v>
      </c>
      <c r="HI763" s="65">
        <v>27.44</v>
      </c>
      <c r="HJ763" s="65">
        <v>76.89</v>
      </c>
      <c r="HM763" s="65" t="s">
        <v>498</v>
      </c>
      <c r="JU763" s="55" t="s">
        <v>697</v>
      </c>
    </row>
    <row r="764" spans="1:281" x14ac:dyDescent="0.25">
      <c r="A764" s="55">
        <v>763</v>
      </c>
      <c r="B764" s="12" t="s">
        <v>7067</v>
      </c>
      <c r="C764" s="155">
        <v>37</v>
      </c>
      <c r="D764" s="55" t="s">
        <v>3815</v>
      </c>
      <c r="E764" s="90" t="s">
        <v>491</v>
      </c>
      <c r="G764" s="55" t="s">
        <v>492</v>
      </c>
      <c r="H764" s="55">
        <v>2012</v>
      </c>
      <c r="I764" s="55">
        <v>2010</v>
      </c>
      <c r="J764" s="55" t="s">
        <v>112</v>
      </c>
      <c r="K764" s="55" t="s">
        <v>493</v>
      </c>
      <c r="L764" s="55" t="s">
        <v>2737</v>
      </c>
      <c r="M764" s="90">
        <f>44+19/60</f>
        <v>44.31666666666667</v>
      </c>
      <c r="N764" s="90">
        <f>-96-46/60</f>
        <v>-96.766666666666666</v>
      </c>
      <c r="O764" s="90">
        <v>504.6</v>
      </c>
      <c r="Q764" s="55">
        <v>8</v>
      </c>
      <c r="R764" s="55">
        <v>580</v>
      </c>
      <c r="U764" s="55">
        <v>2</v>
      </c>
      <c r="V764" s="55">
        <v>2</v>
      </c>
      <c r="Y764" s="55" t="s">
        <v>1874</v>
      </c>
      <c r="Z764" s="55" t="s">
        <v>1349</v>
      </c>
      <c r="AA764" s="90" t="s">
        <v>1677</v>
      </c>
      <c r="AE764" s="90">
        <v>60</v>
      </c>
      <c r="AF764" s="90">
        <f>100-60-28</f>
        <v>12</v>
      </c>
      <c r="AH764" s="55" t="s">
        <v>494</v>
      </c>
      <c r="AI764" s="168">
        <v>7.4</v>
      </c>
      <c r="AJ764" s="90">
        <v>2.9</v>
      </c>
      <c r="AL764" s="55">
        <v>0.31</v>
      </c>
      <c r="AM764" s="55" t="s">
        <v>1301</v>
      </c>
      <c r="AN764" s="185" t="s">
        <v>1523</v>
      </c>
      <c r="AO764" s="185" t="s">
        <v>5150</v>
      </c>
      <c r="AQ764" s="55" t="s">
        <v>1546</v>
      </c>
      <c r="AR764" s="55" t="s">
        <v>496</v>
      </c>
      <c r="AS764" s="55" t="s">
        <v>1588</v>
      </c>
      <c r="AT764" s="181" t="s">
        <v>1586</v>
      </c>
      <c r="AU764" s="181" t="s">
        <v>5150</v>
      </c>
      <c r="AV764" s="185" t="s">
        <v>176</v>
      </c>
      <c r="AW764" s="55" t="s">
        <v>1586</v>
      </c>
      <c r="AX764" s="185" t="s">
        <v>176</v>
      </c>
      <c r="AY764" s="55" t="s">
        <v>176</v>
      </c>
      <c r="AZ764" s="55" t="s">
        <v>497</v>
      </c>
      <c r="BA764" s="55" t="s">
        <v>156</v>
      </c>
      <c r="BB764" s="55" t="s">
        <v>2081</v>
      </c>
      <c r="BC764" s="55" t="s">
        <v>2082</v>
      </c>
      <c r="BD764" s="55" t="s">
        <v>479</v>
      </c>
      <c r="BK764" s="55" t="s">
        <v>6269</v>
      </c>
      <c r="BM764" s="192" t="s">
        <v>160</v>
      </c>
      <c r="BN764" s="55">
        <v>4</v>
      </c>
      <c r="BO764" s="55">
        <v>4</v>
      </c>
      <c r="BQ764" s="55" t="s">
        <v>141</v>
      </c>
      <c r="GP764" s="292" t="s">
        <v>7494</v>
      </c>
      <c r="HI764" s="65">
        <v>27.44</v>
      </c>
      <c r="HJ764" s="65">
        <v>103.25</v>
      </c>
      <c r="HM764" s="65" t="s">
        <v>498</v>
      </c>
      <c r="JU764" s="55" t="s">
        <v>697</v>
      </c>
    </row>
    <row r="765" spans="1:281" x14ac:dyDescent="0.25">
      <c r="A765" s="55">
        <v>764</v>
      </c>
      <c r="B765" s="12" t="s">
        <v>7067</v>
      </c>
      <c r="C765" s="155">
        <v>37</v>
      </c>
      <c r="D765" s="55" t="s">
        <v>3816</v>
      </c>
      <c r="E765" s="90" t="s">
        <v>491</v>
      </c>
      <c r="G765" s="55" t="s">
        <v>492</v>
      </c>
      <c r="H765" s="55">
        <v>2012</v>
      </c>
      <c r="I765" s="55">
        <v>2010</v>
      </c>
      <c r="J765" s="55" t="s">
        <v>112</v>
      </c>
      <c r="K765" s="55" t="s">
        <v>493</v>
      </c>
      <c r="L765" s="55" t="s">
        <v>2737</v>
      </c>
      <c r="M765" s="90">
        <f>44+19/60</f>
        <v>44.31666666666667</v>
      </c>
      <c r="N765" s="90">
        <f>-96-46/60</f>
        <v>-96.766666666666666</v>
      </c>
      <c r="O765" s="90">
        <v>504.6</v>
      </c>
      <c r="Q765" s="55">
        <v>8</v>
      </c>
      <c r="R765" s="55">
        <v>580</v>
      </c>
      <c r="U765" s="55">
        <v>2</v>
      </c>
      <c r="V765" s="55">
        <v>2</v>
      </c>
      <c r="Y765" s="55" t="s">
        <v>1874</v>
      </c>
      <c r="Z765" s="55" t="s">
        <v>1349</v>
      </c>
      <c r="AA765" s="90" t="s">
        <v>1677</v>
      </c>
      <c r="AE765" s="90">
        <v>60</v>
      </c>
      <c r="AF765" s="90">
        <f>100-60-28</f>
        <v>12</v>
      </c>
      <c r="AH765" s="55" t="s">
        <v>494</v>
      </c>
      <c r="AI765" s="168">
        <v>7.4</v>
      </c>
      <c r="AJ765" s="90">
        <v>2.9</v>
      </c>
      <c r="AL765" s="55">
        <v>0.31</v>
      </c>
      <c r="AM765" s="55" t="s">
        <v>1301</v>
      </c>
      <c r="AN765" s="185" t="s">
        <v>1522</v>
      </c>
      <c r="AO765" s="185" t="s">
        <v>5150</v>
      </c>
      <c r="AQ765" s="55" t="s">
        <v>1549</v>
      </c>
      <c r="AR765" s="55" t="s">
        <v>496</v>
      </c>
      <c r="AS765" s="55" t="s">
        <v>1588</v>
      </c>
      <c r="AT765" s="181" t="s">
        <v>1586</v>
      </c>
      <c r="AU765" s="181" t="s">
        <v>5150</v>
      </c>
      <c r="AV765" s="185" t="s">
        <v>176</v>
      </c>
      <c r="AW765" s="55" t="s">
        <v>1586</v>
      </c>
      <c r="AX765" s="185" t="s">
        <v>176</v>
      </c>
      <c r="AY765" s="55" t="s">
        <v>176</v>
      </c>
      <c r="AZ765" s="55" t="s">
        <v>497</v>
      </c>
      <c r="BA765" s="55" t="s">
        <v>156</v>
      </c>
      <c r="BB765" s="55" t="s">
        <v>2081</v>
      </c>
      <c r="BC765" s="55" t="s">
        <v>2082</v>
      </c>
      <c r="BD765" s="55" t="s">
        <v>479</v>
      </c>
      <c r="BK765" s="55" t="s">
        <v>6269</v>
      </c>
      <c r="BM765" s="192" t="s">
        <v>160</v>
      </c>
      <c r="BN765" s="55">
        <v>4</v>
      </c>
      <c r="BO765" s="55">
        <v>4</v>
      </c>
      <c r="BQ765" s="55" t="s">
        <v>141</v>
      </c>
      <c r="GP765" s="292" t="s">
        <v>7494</v>
      </c>
      <c r="HI765" s="65">
        <v>27.44</v>
      </c>
      <c r="HJ765" s="65">
        <v>42.8</v>
      </c>
      <c r="HM765" s="65" t="s">
        <v>498</v>
      </c>
      <c r="JU765" s="55" t="s">
        <v>697</v>
      </c>
    </row>
    <row r="766" spans="1:281" x14ac:dyDescent="0.25">
      <c r="A766" s="55">
        <v>765</v>
      </c>
      <c r="B766" s="12" t="s">
        <v>7067</v>
      </c>
      <c r="C766" s="155">
        <v>37</v>
      </c>
      <c r="D766" s="55" t="s">
        <v>3817</v>
      </c>
      <c r="E766" s="90" t="s">
        <v>491</v>
      </c>
      <c r="G766" s="55" t="s">
        <v>492</v>
      </c>
      <c r="H766" s="55">
        <v>2012</v>
      </c>
      <c r="I766" s="55">
        <v>2010</v>
      </c>
      <c r="J766" s="55" t="s">
        <v>112</v>
      </c>
      <c r="K766" s="55" t="s">
        <v>493</v>
      </c>
      <c r="L766" s="55" t="s">
        <v>2737</v>
      </c>
      <c r="M766" s="90">
        <f>44+19/60</f>
        <v>44.31666666666667</v>
      </c>
      <c r="N766" s="90">
        <f>-96-46/60</f>
        <v>-96.766666666666666</v>
      </c>
      <c r="O766" s="90">
        <v>504.6</v>
      </c>
      <c r="Q766" s="55">
        <v>8</v>
      </c>
      <c r="R766" s="55">
        <v>580</v>
      </c>
      <c r="U766" s="55">
        <v>2</v>
      </c>
      <c r="V766" s="55">
        <v>2</v>
      </c>
      <c r="Y766" s="55" t="s">
        <v>1874</v>
      </c>
      <c r="Z766" s="55" t="s">
        <v>1349</v>
      </c>
      <c r="AA766" s="90" t="s">
        <v>1677</v>
      </c>
      <c r="AE766" s="90">
        <v>60</v>
      </c>
      <c r="AF766" s="90">
        <f>100-60-28</f>
        <v>12</v>
      </c>
      <c r="AH766" s="55" t="s">
        <v>494</v>
      </c>
      <c r="AI766" s="168">
        <v>7.4</v>
      </c>
      <c r="AJ766" s="90">
        <v>2.9</v>
      </c>
      <c r="AL766" s="55">
        <v>0.31</v>
      </c>
      <c r="AM766" s="55" t="s">
        <v>1301</v>
      </c>
      <c r="AN766" s="185" t="s">
        <v>1520</v>
      </c>
      <c r="AO766" s="185" t="s">
        <v>5150</v>
      </c>
      <c r="AQ766" s="55" t="s">
        <v>610</v>
      </c>
      <c r="AR766" s="55" t="s">
        <v>496</v>
      </c>
      <c r="AS766" s="55" t="s">
        <v>1588</v>
      </c>
      <c r="AT766" s="181" t="s">
        <v>1586</v>
      </c>
      <c r="AU766" s="181" t="s">
        <v>5150</v>
      </c>
      <c r="AV766" s="185" t="s">
        <v>176</v>
      </c>
      <c r="AW766" s="55" t="s">
        <v>1586</v>
      </c>
      <c r="AX766" s="185" t="s">
        <v>176</v>
      </c>
      <c r="AY766" s="55" t="s">
        <v>176</v>
      </c>
      <c r="AZ766" s="55" t="s">
        <v>497</v>
      </c>
      <c r="BA766" s="55" t="s">
        <v>156</v>
      </c>
      <c r="BB766" s="55" t="s">
        <v>2081</v>
      </c>
      <c r="BC766" s="55" t="s">
        <v>2082</v>
      </c>
      <c r="BD766" s="55" t="s">
        <v>479</v>
      </c>
      <c r="BK766" s="55" t="s">
        <v>6269</v>
      </c>
      <c r="BM766" s="192" t="s">
        <v>160</v>
      </c>
      <c r="BN766" s="55">
        <v>4</v>
      </c>
      <c r="BO766" s="55">
        <v>4</v>
      </c>
      <c r="BQ766" s="55" t="s">
        <v>141</v>
      </c>
      <c r="GP766" s="292" t="s">
        <v>7494</v>
      </c>
      <c r="HI766" s="65">
        <v>27.44</v>
      </c>
      <c r="HJ766" s="65">
        <v>111.51</v>
      </c>
      <c r="HM766" s="65" t="s">
        <v>498</v>
      </c>
      <c r="JU766" s="55" t="s">
        <v>697</v>
      </c>
    </row>
    <row r="767" spans="1:281" x14ac:dyDescent="0.25">
      <c r="A767" s="55">
        <v>766</v>
      </c>
      <c r="B767" s="12" t="s">
        <v>7067</v>
      </c>
      <c r="C767" s="155">
        <v>38</v>
      </c>
      <c r="D767" s="55" t="s">
        <v>3818</v>
      </c>
      <c r="E767" s="90" t="s">
        <v>500</v>
      </c>
      <c r="G767" s="55" t="s">
        <v>501</v>
      </c>
      <c r="H767" s="55">
        <v>2005</v>
      </c>
      <c r="I767" s="55">
        <v>1999</v>
      </c>
      <c r="J767" s="55" t="s">
        <v>276</v>
      </c>
      <c r="K767" s="55" t="s">
        <v>502</v>
      </c>
      <c r="L767" s="55" t="s">
        <v>2737</v>
      </c>
      <c r="M767" s="90">
        <v>40.19</v>
      </c>
      <c r="N767" s="90">
        <v>-103.17</v>
      </c>
      <c r="O767" s="90">
        <v>1401.6</v>
      </c>
      <c r="U767" s="55" t="s">
        <v>1679</v>
      </c>
      <c r="V767" s="55" t="s">
        <v>1818</v>
      </c>
      <c r="Y767" s="55" t="s">
        <v>1878</v>
      </c>
      <c r="Z767" s="55" t="s">
        <v>1347</v>
      </c>
      <c r="AA767" s="90" t="s">
        <v>1676</v>
      </c>
      <c r="AH767" s="55" t="s">
        <v>6378</v>
      </c>
      <c r="AN767" s="185" t="s">
        <v>503</v>
      </c>
      <c r="AO767" s="185" t="s">
        <v>5150</v>
      </c>
      <c r="AQ767" s="55" t="s">
        <v>1545</v>
      </c>
      <c r="AR767" s="55" t="s">
        <v>1491</v>
      </c>
      <c r="AS767" s="55" t="s">
        <v>1587</v>
      </c>
      <c r="AT767" s="181" t="s">
        <v>543</v>
      </c>
      <c r="AU767" s="181" t="s">
        <v>5150</v>
      </c>
      <c r="AV767" s="185" t="s">
        <v>479</v>
      </c>
      <c r="AW767" s="55" t="s">
        <v>517</v>
      </c>
      <c r="AX767" s="185" t="s">
        <v>479</v>
      </c>
      <c r="AY767" s="55" t="s">
        <v>479</v>
      </c>
      <c r="AZ767" s="55" t="s">
        <v>278</v>
      </c>
      <c r="BA767" s="55" t="s">
        <v>156</v>
      </c>
      <c r="BB767" s="55" t="s">
        <v>2081</v>
      </c>
      <c r="BC767" s="55" t="s">
        <v>2082</v>
      </c>
      <c r="BD767" s="55" t="s">
        <v>479</v>
      </c>
      <c r="BE767" s="226" t="s">
        <v>504</v>
      </c>
      <c r="BF767" s="191" t="s">
        <v>479</v>
      </c>
      <c r="BG767" s="55" t="s">
        <v>479</v>
      </c>
      <c r="BH767" s="226" t="s">
        <v>504</v>
      </c>
      <c r="BI767" s="55" t="str">
        <f>BG767</f>
        <v>Yes</v>
      </c>
      <c r="BK767" s="55" t="s">
        <v>6269</v>
      </c>
      <c r="BM767" s="192" t="s">
        <v>119</v>
      </c>
      <c r="EK767" s="90">
        <v>110</v>
      </c>
      <c r="EL767" s="90">
        <v>124</v>
      </c>
      <c r="GP767" s="292" t="s">
        <v>7494</v>
      </c>
      <c r="HS767" s="227"/>
      <c r="HW767" s="227"/>
      <c r="IC767" s="65">
        <v>25.1</v>
      </c>
      <c r="ID767" s="65">
        <v>24.9</v>
      </c>
      <c r="IG767" s="65" t="s">
        <v>545</v>
      </c>
      <c r="IR767" s="65">
        <f>0.077</f>
        <v>7.6999999999999999E-2</v>
      </c>
      <c r="IS767" s="65">
        <v>0.16200000000000001</v>
      </c>
      <c r="IV767" s="65" t="s">
        <v>544</v>
      </c>
      <c r="JG767" s="65">
        <f>(114+203)/2*0.614</f>
        <v>97.319000000000003</v>
      </c>
      <c r="JH767" s="65">
        <f>177*0.614</f>
        <v>108.678</v>
      </c>
      <c r="JL767" s="65">
        <f>29.7*0.614</f>
        <v>18.235799999999998</v>
      </c>
      <c r="JM767" s="65">
        <f>31.8*0.614</f>
        <v>19.525200000000002</v>
      </c>
      <c r="JU767" s="55" t="s">
        <v>698</v>
      </c>
    </row>
    <row r="768" spans="1:281" x14ac:dyDescent="0.25">
      <c r="A768" s="55">
        <v>767</v>
      </c>
      <c r="B768" s="12" t="s">
        <v>7067</v>
      </c>
      <c r="C768" s="155">
        <v>38</v>
      </c>
      <c r="D768" s="55" t="s">
        <v>3819</v>
      </c>
      <c r="E768" s="90" t="s">
        <v>500</v>
      </c>
      <c r="G768" s="55" t="s">
        <v>501</v>
      </c>
      <c r="H768" s="55">
        <v>2005</v>
      </c>
      <c r="I768" s="55">
        <v>1999</v>
      </c>
      <c r="J768" s="55" t="s">
        <v>276</v>
      </c>
      <c r="K768" s="55" t="s">
        <v>502</v>
      </c>
      <c r="L768" s="55" t="s">
        <v>2737</v>
      </c>
      <c r="M768" s="90">
        <v>40.19</v>
      </c>
      <c r="N768" s="90">
        <v>-103.17</v>
      </c>
      <c r="O768" s="90">
        <v>1401.6</v>
      </c>
      <c r="U768" s="55" t="s">
        <v>1679</v>
      </c>
      <c r="V768" s="55" t="s">
        <v>1818</v>
      </c>
      <c r="Y768" s="55" t="s">
        <v>1878</v>
      </c>
      <c r="Z768" s="55" t="s">
        <v>1348</v>
      </c>
      <c r="AA768" s="90" t="s">
        <v>1676</v>
      </c>
      <c r="AH768" s="55" t="s">
        <v>6378</v>
      </c>
      <c r="AN768" s="185" t="s">
        <v>503</v>
      </c>
      <c r="AO768" s="185" t="s">
        <v>5150</v>
      </c>
      <c r="AQ768" s="55" t="s">
        <v>1545</v>
      </c>
      <c r="AR768" s="55" t="s">
        <v>1491</v>
      </c>
      <c r="AS768" s="55" t="s">
        <v>1587</v>
      </c>
      <c r="AT768" s="181" t="s">
        <v>543</v>
      </c>
      <c r="AU768" s="181" t="s">
        <v>5150</v>
      </c>
      <c r="AV768" s="185" t="s">
        <v>479</v>
      </c>
      <c r="AW768" s="55" t="s">
        <v>517</v>
      </c>
      <c r="AX768" s="185" t="s">
        <v>479</v>
      </c>
      <c r="AY768" s="55" t="s">
        <v>479</v>
      </c>
      <c r="AZ768" s="55" t="s">
        <v>278</v>
      </c>
      <c r="BA768" s="55" t="s">
        <v>156</v>
      </c>
      <c r="BB768" s="55" t="s">
        <v>2081</v>
      </c>
      <c r="BC768" s="55" t="s">
        <v>2082</v>
      </c>
      <c r="BD768" s="55" t="s">
        <v>479</v>
      </c>
      <c r="BE768" s="226" t="s">
        <v>504</v>
      </c>
      <c r="BF768" s="191" t="s">
        <v>479</v>
      </c>
      <c r="BG768" s="55" t="s">
        <v>479</v>
      </c>
      <c r="BH768" s="226" t="s">
        <v>504</v>
      </c>
      <c r="BI768" s="55" t="str">
        <f>BG768</f>
        <v>Yes</v>
      </c>
      <c r="BK768" s="55" t="s">
        <v>6269</v>
      </c>
      <c r="BM768" s="192" t="s">
        <v>119</v>
      </c>
      <c r="GP768" s="292" t="s">
        <v>7494</v>
      </c>
      <c r="HS768" s="227"/>
      <c r="HW768" s="227"/>
      <c r="IC768" s="65">
        <v>9.1</v>
      </c>
      <c r="ID768" s="65">
        <v>10</v>
      </c>
      <c r="IG768" s="65" t="s">
        <v>545</v>
      </c>
      <c r="IR768" s="65">
        <f>0.057</f>
        <v>5.7000000000000002E-2</v>
      </c>
      <c r="IS768" s="65">
        <v>5.2999999999999999E-2</v>
      </c>
      <c r="IV768" s="65" t="s">
        <v>544</v>
      </c>
      <c r="JG768" s="65">
        <f>114*0.614</f>
        <v>69.995999999999995</v>
      </c>
      <c r="JH768" s="65">
        <f>134*0.614</f>
        <v>82.275999999999996</v>
      </c>
      <c r="JL768" s="65">
        <f>15.8*0.614</f>
        <v>9.7012</v>
      </c>
      <c r="JM768" s="65">
        <f>15.8*0.614</f>
        <v>9.7012</v>
      </c>
      <c r="JU768" s="55" t="s">
        <v>698</v>
      </c>
    </row>
    <row r="769" spans="1:281" x14ac:dyDescent="0.25">
      <c r="A769" s="55">
        <v>768</v>
      </c>
      <c r="B769" s="12" t="s">
        <v>7067</v>
      </c>
      <c r="C769" s="155">
        <v>38</v>
      </c>
      <c r="D769" s="55" t="s">
        <v>3820</v>
      </c>
      <c r="E769" s="90" t="s">
        <v>500</v>
      </c>
      <c r="G769" s="55" t="s">
        <v>501</v>
      </c>
      <c r="H769" s="55">
        <v>2005</v>
      </c>
      <c r="I769" s="55">
        <v>1999</v>
      </c>
      <c r="J769" s="55" t="s">
        <v>276</v>
      </c>
      <c r="K769" s="55" t="s">
        <v>502</v>
      </c>
      <c r="L769" s="55" t="s">
        <v>2737</v>
      </c>
      <c r="M769" s="90">
        <v>40.19</v>
      </c>
      <c r="N769" s="90">
        <v>-103.17</v>
      </c>
      <c r="O769" s="90">
        <v>1401.6</v>
      </c>
      <c r="U769" s="55" t="s">
        <v>1679</v>
      </c>
      <c r="V769" s="55" t="s">
        <v>1818</v>
      </c>
      <c r="Y769" s="55" t="s">
        <v>1878</v>
      </c>
      <c r="Z769" s="55" t="s">
        <v>1357</v>
      </c>
      <c r="AA769" s="90" t="s">
        <v>1677</v>
      </c>
      <c r="AH769" s="55" t="s">
        <v>6378</v>
      </c>
      <c r="AN769" s="185" t="s">
        <v>503</v>
      </c>
      <c r="AO769" s="185" t="s">
        <v>5150</v>
      </c>
      <c r="AQ769" s="55" t="s">
        <v>1545</v>
      </c>
      <c r="AR769" s="55" t="s">
        <v>1491</v>
      </c>
      <c r="AS769" s="55" t="s">
        <v>1587</v>
      </c>
      <c r="AT769" s="181" t="s">
        <v>543</v>
      </c>
      <c r="AU769" s="181" t="s">
        <v>5150</v>
      </c>
      <c r="AV769" s="185" t="s">
        <v>479</v>
      </c>
      <c r="AW769" s="55" t="s">
        <v>517</v>
      </c>
      <c r="AX769" s="185" t="s">
        <v>479</v>
      </c>
      <c r="AY769" s="55" t="s">
        <v>479</v>
      </c>
      <c r="AZ769" s="55" t="s">
        <v>278</v>
      </c>
      <c r="BA769" s="55" t="s">
        <v>156</v>
      </c>
      <c r="BB769" s="55" t="s">
        <v>2081</v>
      </c>
      <c r="BC769" s="55" t="s">
        <v>2082</v>
      </c>
      <c r="BD769" s="55" t="s">
        <v>479</v>
      </c>
      <c r="BE769" s="226" t="s">
        <v>504</v>
      </c>
      <c r="BF769" s="191" t="s">
        <v>479</v>
      </c>
      <c r="BG769" s="55" t="s">
        <v>479</v>
      </c>
      <c r="BH769" s="226" t="s">
        <v>504</v>
      </c>
      <c r="BI769" s="55" t="str">
        <f>BG769</f>
        <v>Yes</v>
      </c>
      <c r="BK769" s="55" t="s">
        <v>6269</v>
      </c>
      <c r="BM769" s="192" t="s">
        <v>119</v>
      </c>
      <c r="GP769" s="292" t="s">
        <v>7494</v>
      </c>
      <c r="IC769" s="65">
        <v>23</v>
      </c>
      <c r="ID769" s="65">
        <v>14.6</v>
      </c>
      <c r="IG769" s="65" t="s">
        <v>545</v>
      </c>
      <c r="IR769" s="65">
        <f>0.124</f>
        <v>0.124</v>
      </c>
      <c r="IS769" s="65">
        <v>0.05</v>
      </c>
      <c r="IV769" s="65" t="s">
        <v>544</v>
      </c>
      <c r="JG769" s="65">
        <f>203*0.614</f>
        <v>124.642</v>
      </c>
      <c r="JH769" s="65">
        <f>254*0.614</f>
        <v>155.95599999999999</v>
      </c>
      <c r="JL769" s="65">
        <f>28.1*0.614</f>
        <v>17.253399999999999</v>
      </c>
      <c r="JM769" s="65">
        <f>29.7*0.614</f>
        <v>18.235799999999998</v>
      </c>
      <c r="JU769" s="55" t="s">
        <v>698</v>
      </c>
    </row>
    <row r="770" spans="1:281" x14ac:dyDescent="0.25">
      <c r="A770" s="55">
        <v>769</v>
      </c>
      <c r="B770" s="12" t="s">
        <v>7067</v>
      </c>
      <c r="C770" s="155">
        <v>38</v>
      </c>
      <c r="D770" s="55" t="s">
        <v>3821</v>
      </c>
      <c r="E770" s="90" t="s">
        <v>500</v>
      </c>
      <c r="G770" s="55" t="s">
        <v>501</v>
      </c>
      <c r="H770" s="55">
        <v>2005</v>
      </c>
      <c r="I770" s="55">
        <v>1999</v>
      </c>
      <c r="J770" s="55" t="s">
        <v>276</v>
      </c>
      <c r="K770" s="55" t="s">
        <v>505</v>
      </c>
      <c r="L770" s="55" t="s">
        <v>2737</v>
      </c>
      <c r="M770" s="90">
        <v>44.34</v>
      </c>
      <c r="N770" s="90">
        <v>-96.82</v>
      </c>
      <c r="O770" s="90">
        <v>501</v>
      </c>
      <c r="U770" s="55" t="s">
        <v>1679</v>
      </c>
      <c r="V770" s="55" t="s">
        <v>1818</v>
      </c>
      <c r="Y770" s="55" t="s">
        <v>1878</v>
      </c>
      <c r="Z770" s="55" t="s">
        <v>1347</v>
      </c>
      <c r="AA770" s="90" t="s">
        <v>1676</v>
      </c>
      <c r="AH770" s="55" t="s">
        <v>494</v>
      </c>
      <c r="AN770" s="185" t="s">
        <v>114</v>
      </c>
      <c r="AO770" s="185" t="s">
        <v>5150</v>
      </c>
      <c r="AQ770" s="55" t="s">
        <v>553</v>
      </c>
      <c r="AR770" s="55" t="s">
        <v>132</v>
      </c>
      <c r="AS770" s="55" t="s">
        <v>1587</v>
      </c>
      <c r="AT770" s="181" t="s">
        <v>519</v>
      </c>
      <c r="AU770" s="181" t="s">
        <v>5150</v>
      </c>
      <c r="AV770" s="185" t="s">
        <v>176</v>
      </c>
      <c r="AW770" s="55" t="s">
        <v>518</v>
      </c>
      <c r="AX770" s="185" t="s">
        <v>479</v>
      </c>
      <c r="AY770" s="55" t="s">
        <v>479</v>
      </c>
      <c r="AZ770" s="55" t="s">
        <v>506</v>
      </c>
      <c r="BA770" s="55" t="s">
        <v>506</v>
      </c>
      <c r="BB770" s="55" t="s">
        <v>2081</v>
      </c>
      <c r="BC770" s="55" t="s">
        <v>2081</v>
      </c>
      <c r="BD770" s="55" t="s">
        <v>176</v>
      </c>
      <c r="BE770" s="226" t="s">
        <v>515</v>
      </c>
      <c r="BG770" s="55" t="s">
        <v>479</v>
      </c>
      <c r="BH770" s="226">
        <v>0</v>
      </c>
      <c r="BI770" s="55" t="s">
        <v>176</v>
      </c>
      <c r="BJ770" s="55" t="s">
        <v>479</v>
      </c>
      <c r="BK770" s="55" t="s">
        <v>5976</v>
      </c>
      <c r="BM770" s="192" t="s">
        <v>119</v>
      </c>
      <c r="EK770" s="90">
        <v>491</v>
      </c>
      <c r="EL770" s="90">
        <v>495</v>
      </c>
      <c r="GP770" s="292" t="s">
        <v>7494</v>
      </c>
      <c r="IC770" s="65">
        <v>26.3</v>
      </c>
      <c r="ID770" s="65">
        <v>34.299999999999997</v>
      </c>
      <c r="IG770" s="65" t="s">
        <v>545</v>
      </c>
      <c r="IR770" s="65">
        <f>0.061</f>
        <v>6.0999999999999999E-2</v>
      </c>
      <c r="IS770" s="65">
        <v>4.8000000000000001E-2</v>
      </c>
      <c r="IV770" s="65" t="s">
        <v>544</v>
      </c>
      <c r="JG770" s="65">
        <f>331*0.614</f>
        <v>203.23400000000001</v>
      </c>
      <c r="JH770" s="65">
        <f>375*0.614</f>
        <v>230.25</v>
      </c>
      <c r="JL770" s="65">
        <f>34.6*0.614</f>
        <v>21.244399999999999</v>
      </c>
      <c r="JM770" s="65">
        <f>40.4*0.614</f>
        <v>24.805599999999998</v>
      </c>
      <c r="JU770" s="55" t="s">
        <v>698</v>
      </c>
    </row>
    <row r="771" spans="1:281" x14ac:dyDescent="0.25">
      <c r="A771" s="55">
        <v>770</v>
      </c>
      <c r="B771" s="12" t="s">
        <v>7067</v>
      </c>
      <c r="C771" s="155">
        <v>38</v>
      </c>
      <c r="D771" s="55" t="s">
        <v>3822</v>
      </c>
      <c r="E771" s="90" t="s">
        <v>500</v>
      </c>
      <c r="G771" s="55" t="s">
        <v>501</v>
      </c>
      <c r="H771" s="55">
        <v>2005</v>
      </c>
      <c r="I771" s="55">
        <v>1999</v>
      </c>
      <c r="J771" s="55" t="s">
        <v>276</v>
      </c>
      <c r="K771" s="55" t="s">
        <v>505</v>
      </c>
      <c r="L771" s="55" t="s">
        <v>2737</v>
      </c>
      <c r="M771" s="90">
        <v>44.34</v>
      </c>
      <c r="N771" s="90">
        <v>-96.82</v>
      </c>
      <c r="O771" s="90">
        <v>501</v>
      </c>
      <c r="U771" s="55" t="s">
        <v>1679</v>
      </c>
      <c r="V771" s="55" t="s">
        <v>1818</v>
      </c>
      <c r="Y771" s="55" t="s">
        <v>1878</v>
      </c>
      <c r="Z771" s="55" t="s">
        <v>1348</v>
      </c>
      <c r="AA771" s="90" t="s">
        <v>1676</v>
      </c>
      <c r="AH771" s="55" t="s">
        <v>494</v>
      </c>
      <c r="AN771" s="185" t="s">
        <v>114</v>
      </c>
      <c r="AO771" s="185" t="s">
        <v>5150</v>
      </c>
      <c r="AQ771" s="55" t="s">
        <v>553</v>
      </c>
      <c r="AR771" s="55" t="s">
        <v>132</v>
      </c>
      <c r="AS771" s="55" t="s">
        <v>1587</v>
      </c>
      <c r="AT771" s="181" t="s">
        <v>519</v>
      </c>
      <c r="AU771" s="181" t="s">
        <v>5150</v>
      </c>
      <c r="AV771" s="185" t="s">
        <v>176</v>
      </c>
      <c r="AW771" s="55" t="s">
        <v>518</v>
      </c>
      <c r="AX771" s="185" t="s">
        <v>479</v>
      </c>
      <c r="AY771" s="55" t="s">
        <v>479</v>
      </c>
      <c r="AZ771" s="55" t="s">
        <v>506</v>
      </c>
      <c r="BA771" s="55" t="s">
        <v>506</v>
      </c>
      <c r="BB771" s="55" t="s">
        <v>2081</v>
      </c>
      <c r="BC771" s="55" t="s">
        <v>2081</v>
      </c>
      <c r="BD771" s="55" t="s">
        <v>176</v>
      </c>
      <c r="BE771" s="226" t="s">
        <v>515</v>
      </c>
      <c r="BG771" s="55" t="s">
        <v>479</v>
      </c>
      <c r="BH771" s="226">
        <v>0</v>
      </c>
      <c r="BI771" s="55" t="s">
        <v>176</v>
      </c>
      <c r="BJ771" s="55" t="s">
        <v>479</v>
      </c>
      <c r="BK771" s="55" t="s">
        <v>5976</v>
      </c>
      <c r="BM771" s="192" t="s">
        <v>119</v>
      </c>
      <c r="GP771" s="292" t="s">
        <v>7494</v>
      </c>
      <c r="IC771" s="65">
        <v>17.8</v>
      </c>
      <c r="ID771" s="65">
        <v>17.399999999999999</v>
      </c>
      <c r="IG771" s="65" t="s">
        <v>545</v>
      </c>
      <c r="IR771" s="65">
        <f>0.026</f>
        <v>2.5999999999999999E-2</v>
      </c>
      <c r="IS771" s="65">
        <v>2.7E-2</v>
      </c>
      <c r="IV771" s="65" t="s">
        <v>544</v>
      </c>
      <c r="JG771" s="65">
        <f>366*0.614</f>
        <v>224.72399999999999</v>
      </c>
      <c r="JH771" s="65">
        <f>380*0.614</f>
        <v>233.32</v>
      </c>
      <c r="JL771" s="65">
        <f>32.3*0.614</f>
        <v>19.832199999999997</v>
      </c>
      <c r="JM771" s="65">
        <f>31*0.614</f>
        <v>19.033999999999999</v>
      </c>
      <c r="JU771" s="55" t="s">
        <v>698</v>
      </c>
    </row>
    <row r="772" spans="1:281" x14ac:dyDescent="0.25">
      <c r="A772" s="55">
        <v>771</v>
      </c>
      <c r="B772" s="12" t="s">
        <v>7067</v>
      </c>
      <c r="C772" s="155">
        <v>38</v>
      </c>
      <c r="D772" s="55" t="s">
        <v>3823</v>
      </c>
      <c r="E772" s="90" t="s">
        <v>500</v>
      </c>
      <c r="G772" s="55" t="s">
        <v>501</v>
      </c>
      <c r="H772" s="55">
        <v>2005</v>
      </c>
      <c r="I772" s="55">
        <v>1999</v>
      </c>
      <c r="J772" s="55" t="s">
        <v>276</v>
      </c>
      <c r="K772" s="55" t="s">
        <v>505</v>
      </c>
      <c r="L772" s="55" t="s">
        <v>2737</v>
      </c>
      <c r="M772" s="90">
        <v>44.34</v>
      </c>
      <c r="N772" s="90">
        <v>-96.82</v>
      </c>
      <c r="O772" s="90">
        <v>501</v>
      </c>
      <c r="U772" s="55" t="s">
        <v>1679</v>
      </c>
      <c r="V772" s="55" t="s">
        <v>1818</v>
      </c>
      <c r="Y772" s="55" t="s">
        <v>1878</v>
      </c>
      <c r="Z772" s="55" t="s">
        <v>1357</v>
      </c>
      <c r="AA772" s="90" t="s">
        <v>1677</v>
      </c>
      <c r="AH772" s="55" t="s">
        <v>494</v>
      </c>
      <c r="AN772" s="185" t="s">
        <v>114</v>
      </c>
      <c r="AO772" s="185" t="s">
        <v>5150</v>
      </c>
      <c r="AQ772" s="55" t="s">
        <v>553</v>
      </c>
      <c r="AR772" s="55" t="s">
        <v>132</v>
      </c>
      <c r="AS772" s="55" t="s">
        <v>1587</v>
      </c>
      <c r="AT772" s="181" t="s">
        <v>519</v>
      </c>
      <c r="AU772" s="181" t="s">
        <v>5150</v>
      </c>
      <c r="AV772" s="185" t="s">
        <v>176</v>
      </c>
      <c r="AW772" s="55" t="s">
        <v>518</v>
      </c>
      <c r="AX772" s="185" t="s">
        <v>479</v>
      </c>
      <c r="AY772" s="55" t="s">
        <v>479</v>
      </c>
      <c r="AZ772" s="55" t="s">
        <v>506</v>
      </c>
      <c r="BA772" s="55" t="s">
        <v>506</v>
      </c>
      <c r="BB772" s="55" t="s">
        <v>2081</v>
      </c>
      <c r="BC772" s="55" t="s">
        <v>2081</v>
      </c>
      <c r="BD772" s="55" t="s">
        <v>176</v>
      </c>
      <c r="BE772" s="226" t="s">
        <v>515</v>
      </c>
      <c r="BG772" s="55" t="s">
        <v>479</v>
      </c>
      <c r="BH772" s="226">
        <v>0</v>
      </c>
      <c r="BI772" s="55" t="s">
        <v>176</v>
      </c>
      <c r="BJ772" s="55" t="s">
        <v>479</v>
      </c>
      <c r="BK772" s="55" t="s">
        <v>5976</v>
      </c>
      <c r="BM772" s="192" t="s">
        <v>119</v>
      </c>
      <c r="GP772" s="292" t="s">
        <v>7494</v>
      </c>
      <c r="IC772" s="65">
        <v>21.5</v>
      </c>
      <c r="ID772" s="65">
        <v>21.5</v>
      </c>
      <c r="IG772" s="65" t="s">
        <v>545</v>
      </c>
      <c r="IR772" s="65">
        <v>0.02</v>
      </c>
      <c r="IS772" s="65">
        <v>2.1000000000000001E-2</v>
      </c>
      <c r="IV772" s="65" t="s">
        <v>544</v>
      </c>
      <c r="JG772" s="65">
        <f>548*0.614</f>
        <v>336.47199999999998</v>
      </c>
      <c r="JH772" s="65">
        <f>544*0.614</f>
        <v>334.01600000000002</v>
      </c>
      <c r="JL772" s="65">
        <f>57.8*0.614</f>
        <v>35.489199999999997</v>
      </c>
      <c r="JM772" s="65">
        <f>51.4*0.614</f>
        <v>31.5596</v>
      </c>
      <c r="JU772" s="55" t="s">
        <v>698</v>
      </c>
    </row>
    <row r="773" spans="1:281" x14ac:dyDescent="0.25">
      <c r="A773" s="55">
        <v>772</v>
      </c>
      <c r="B773" s="12" t="s">
        <v>7067</v>
      </c>
      <c r="C773" s="155">
        <v>38</v>
      </c>
      <c r="D773" s="55" t="s">
        <v>3824</v>
      </c>
      <c r="E773" s="90" t="s">
        <v>500</v>
      </c>
      <c r="G773" s="55" t="s">
        <v>501</v>
      </c>
      <c r="H773" s="55">
        <v>2005</v>
      </c>
      <c r="I773" s="55">
        <v>1999</v>
      </c>
      <c r="J773" s="55" t="s">
        <v>276</v>
      </c>
      <c r="K773" s="55" t="s">
        <v>516</v>
      </c>
      <c r="L773" s="55" t="s">
        <v>2737</v>
      </c>
      <c r="M773" s="90">
        <v>35.18</v>
      </c>
      <c r="N773" s="90">
        <v>-102.08</v>
      </c>
      <c r="O773" s="90">
        <v>1154</v>
      </c>
      <c r="U773" s="55" t="s">
        <v>1885</v>
      </c>
      <c r="V773" s="55" t="s">
        <v>1681</v>
      </c>
      <c r="Y773" s="55" t="s">
        <v>1879</v>
      </c>
      <c r="Z773" s="55" t="s">
        <v>1347</v>
      </c>
      <c r="AA773" s="90" t="s">
        <v>1676</v>
      </c>
      <c r="AH773" s="55" t="s">
        <v>1022</v>
      </c>
      <c r="AN773" s="185" t="s">
        <v>1491</v>
      </c>
      <c r="AO773" s="185" t="s">
        <v>5150</v>
      </c>
      <c r="AQ773" s="55" t="s">
        <v>1545</v>
      </c>
      <c r="AR773" s="55" t="s">
        <v>116</v>
      </c>
      <c r="AS773" s="55" t="s">
        <v>1587</v>
      </c>
      <c r="AT773" s="181" t="s">
        <v>520</v>
      </c>
      <c r="AU773" s="181" t="s">
        <v>5150</v>
      </c>
      <c r="AV773" s="185" t="s">
        <v>176</v>
      </c>
      <c r="AW773" s="55" t="s">
        <v>521</v>
      </c>
      <c r="AX773" s="185" t="s">
        <v>176</v>
      </c>
      <c r="AY773" s="55" t="s">
        <v>479</v>
      </c>
      <c r="AZ773" s="55" t="s">
        <v>156</v>
      </c>
      <c r="BA773" s="55" t="s">
        <v>156</v>
      </c>
      <c r="BB773" s="55" t="s">
        <v>2082</v>
      </c>
      <c r="BC773" s="55" t="s">
        <v>2082</v>
      </c>
      <c r="BD773" s="55" t="s">
        <v>176</v>
      </c>
      <c r="BE773" s="226" t="s">
        <v>504</v>
      </c>
      <c r="BG773" s="55" t="s">
        <v>479</v>
      </c>
      <c r="BH773" s="226">
        <v>0</v>
      </c>
      <c r="BI773" s="55" t="s">
        <v>176</v>
      </c>
      <c r="BJ773" s="55" t="s">
        <v>479</v>
      </c>
      <c r="BK773" s="55" t="s">
        <v>6269</v>
      </c>
      <c r="BM773" s="192" t="s">
        <v>119</v>
      </c>
      <c r="EK773" s="90">
        <v>377</v>
      </c>
      <c r="EL773" s="90">
        <v>456</v>
      </c>
      <c r="GP773" s="292" t="s">
        <v>7494</v>
      </c>
      <c r="IC773" s="65">
        <v>17.600000000000001</v>
      </c>
      <c r="ID773" s="65">
        <v>31.9</v>
      </c>
      <c r="IG773" s="65" t="s">
        <v>545</v>
      </c>
      <c r="IR773" s="65">
        <v>8.4000000000000005E-2</v>
      </c>
      <c r="IS773" s="65">
        <v>6.6000000000000003E-2</v>
      </c>
      <c r="IV773" s="65" t="s">
        <v>544</v>
      </c>
      <c r="JG773" s="65">
        <f>209*0.614</f>
        <v>128.32599999999999</v>
      </c>
      <c r="JH773" s="65">
        <f>331*0.614</f>
        <v>203.23400000000001</v>
      </c>
      <c r="JL773" s="65">
        <f>26.3*0.614</f>
        <v>16.148199999999999</v>
      </c>
      <c r="JM773" s="65">
        <f>37.1*0.614</f>
        <v>22.779399999999999</v>
      </c>
      <c r="JU773" s="55" t="s">
        <v>698</v>
      </c>
    </row>
    <row r="774" spans="1:281" x14ac:dyDescent="0.25">
      <c r="A774" s="55">
        <v>773</v>
      </c>
      <c r="B774" s="12" t="s">
        <v>7067</v>
      </c>
      <c r="C774" s="155">
        <v>38</v>
      </c>
      <c r="D774" s="55" t="s">
        <v>3825</v>
      </c>
      <c r="E774" s="90" t="s">
        <v>500</v>
      </c>
      <c r="G774" s="55" t="s">
        <v>501</v>
      </c>
      <c r="H774" s="55">
        <v>2005</v>
      </c>
      <c r="I774" s="55">
        <v>1999</v>
      </c>
      <c r="J774" s="55" t="s">
        <v>276</v>
      </c>
      <c r="K774" s="55" t="s">
        <v>516</v>
      </c>
      <c r="L774" s="55" t="s">
        <v>2737</v>
      </c>
      <c r="M774" s="90">
        <v>35.18</v>
      </c>
      <c r="N774" s="90">
        <v>-102.08</v>
      </c>
      <c r="O774" s="90">
        <v>1154</v>
      </c>
      <c r="U774" s="55" t="s">
        <v>1885</v>
      </c>
      <c r="V774" s="55" t="s">
        <v>1681</v>
      </c>
      <c r="Y774" s="55" t="s">
        <v>1879</v>
      </c>
      <c r="Z774" s="55" t="s">
        <v>1348</v>
      </c>
      <c r="AA774" s="90" t="s">
        <v>1676</v>
      </c>
      <c r="AH774" s="55" t="s">
        <v>1022</v>
      </c>
      <c r="AN774" s="185" t="s">
        <v>1491</v>
      </c>
      <c r="AO774" s="185" t="s">
        <v>5150</v>
      </c>
      <c r="AQ774" s="55" t="s">
        <v>1545</v>
      </c>
      <c r="AR774" s="55" t="s">
        <v>116</v>
      </c>
      <c r="AS774" s="55" t="s">
        <v>1587</v>
      </c>
      <c r="AT774" s="181" t="s">
        <v>520</v>
      </c>
      <c r="AU774" s="181" t="s">
        <v>5150</v>
      </c>
      <c r="AV774" s="185" t="s">
        <v>176</v>
      </c>
      <c r="AW774" s="55" t="s">
        <v>521</v>
      </c>
      <c r="AX774" s="185" t="s">
        <v>176</v>
      </c>
      <c r="AY774" s="55" t="s">
        <v>479</v>
      </c>
      <c r="AZ774" s="55" t="s">
        <v>156</v>
      </c>
      <c r="BA774" s="55" t="s">
        <v>156</v>
      </c>
      <c r="BB774" s="55" t="s">
        <v>2082</v>
      </c>
      <c r="BC774" s="55" t="s">
        <v>2082</v>
      </c>
      <c r="BD774" s="55" t="s">
        <v>176</v>
      </c>
      <c r="BE774" s="226" t="s">
        <v>504</v>
      </c>
      <c r="BG774" s="55" t="s">
        <v>479</v>
      </c>
      <c r="BH774" s="226">
        <v>0</v>
      </c>
      <c r="BI774" s="55" t="s">
        <v>176</v>
      </c>
      <c r="BJ774" s="55" t="s">
        <v>479</v>
      </c>
      <c r="BK774" s="55" t="s">
        <v>6269</v>
      </c>
      <c r="BM774" s="192" t="s">
        <v>119</v>
      </c>
      <c r="GP774" s="292" t="s">
        <v>7494</v>
      </c>
      <c r="IC774" s="65">
        <v>8</v>
      </c>
      <c r="ID774" s="65">
        <v>10.4</v>
      </c>
      <c r="IG774" s="65" t="s">
        <v>545</v>
      </c>
      <c r="IR774" s="65">
        <v>2.5000000000000001E-2</v>
      </c>
      <c r="IS774" s="65">
        <v>2.7E-2</v>
      </c>
      <c r="IV774" s="65" t="s">
        <v>544</v>
      </c>
      <c r="JG774" s="65">
        <f>197*0.614</f>
        <v>120.958</v>
      </c>
      <c r="JH774" s="65">
        <f>223*0.614</f>
        <v>136.922</v>
      </c>
      <c r="JL774" s="65">
        <f>20.3*0.614</f>
        <v>12.4642</v>
      </c>
      <c r="JM774" s="65">
        <f>24.6*0.614</f>
        <v>15.1044</v>
      </c>
      <c r="JU774" s="55" t="s">
        <v>698</v>
      </c>
    </row>
    <row r="775" spans="1:281" x14ac:dyDescent="0.25">
      <c r="A775" s="55">
        <v>774</v>
      </c>
      <c r="B775" s="12" t="s">
        <v>7067</v>
      </c>
      <c r="C775" s="155">
        <v>38</v>
      </c>
      <c r="D775" s="55" t="s">
        <v>3826</v>
      </c>
      <c r="E775" s="90" t="s">
        <v>500</v>
      </c>
      <c r="G775" s="55" t="s">
        <v>501</v>
      </c>
      <c r="H775" s="55">
        <v>2005</v>
      </c>
      <c r="I775" s="55">
        <v>1999</v>
      </c>
      <c r="J775" s="55" t="s">
        <v>276</v>
      </c>
      <c r="K775" s="55" t="s">
        <v>516</v>
      </c>
      <c r="L775" s="55" t="s">
        <v>2737</v>
      </c>
      <c r="M775" s="90">
        <v>35.18</v>
      </c>
      <c r="N775" s="90">
        <v>-102.08</v>
      </c>
      <c r="O775" s="90">
        <v>1154</v>
      </c>
      <c r="U775" s="55" t="s">
        <v>1885</v>
      </c>
      <c r="V775" s="55" t="s">
        <v>1681</v>
      </c>
      <c r="Y775" s="55" t="s">
        <v>1879</v>
      </c>
      <c r="Z775" s="55" t="s">
        <v>1357</v>
      </c>
      <c r="AA775" s="90" t="s">
        <v>1677</v>
      </c>
      <c r="AH775" s="55" t="s">
        <v>1022</v>
      </c>
      <c r="AN775" s="185" t="s">
        <v>1491</v>
      </c>
      <c r="AO775" s="185" t="s">
        <v>5150</v>
      </c>
      <c r="AQ775" s="55" t="s">
        <v>1545</v>
      </c>
      <c r="AR775" s="55" t="s">
        <v>116</v>
      </c>
      <c r="AS775" s="55" t="s">
        <v>1587</v>
      </c>
      <c r="AT775" s="181" t="s">
        <v>520</v>
      </c>
      <c r="AU775" s="181" t="s">
        <v>5150</v>
      </c>
      <c r="AV775" s="185" t="s">
        <v>176</v>
      </c>
      <c r="AW775" s="55" t="s">
        <v>521</v>
      </c>
      <c r="AX775" s="185" t="s">
        <v>176</v>
      </c>
      <c r="AY775" s="55" t="s">
        <v>479</v>
      </c>
      <c r="AZ775" s="55" t="s">
        <v>156</v>
      </c>
      <c r="BA775" s="55" t="s">
        <v>156</v>
      </c>
      <c r="BB775" s="55" t="s">
        <v>2082</v>
      </c>
      <c r="BC775" s="55" t="s">
        <v>2082</v>
      </c>
      <c r="BD775" s="55" t="s">
        <v>176</v>
      </c>
      <c r="BE775" s="226" t="s">
        <v>504</v>
      </c>
      <c r="BG775" s="55" t="s">
        <v>479</v>
      </c>
      <c r="BH775" s="226">
        <v>0</v>
      </c>
      <c r="BI775" s="55" t="s">
        <v>176</v>
      </c>
      <c r="BJ775" s="55" t="s">
        <v>479</v>
      </c>
      <c r="BK775" s="55" t="s">
        <v>6269</v>
      </c>
      <c r="BM775" s="192" t="s">
        <v>119</v>
      </c>
      <c r="GP775" s="292" t="s">
        <v>7494</v>
      </c>
      <c r="IC775" s="65">
        <v>7.2</v>
      </c>
      <c r="ID775" s="65">
        <v>12.3</v>
      </c>
      <c r="IG775" s="65" t="s">
        <v>545</v>
      </c>
      <c r="IR775" s="65">
        <v>0.03</v>
      </c>
      <c r="IS775" s="65">
        <v>7.2999999999999995E-2</v>
      </c>
      <c r="IV775" s="65" t="s">
        <v>544</v>
      </c>
      <c r="JG775" s="65">
        <f>305*0.614</f>
        <v>187.27</v>
      </c>
      <c r="JH775" s="65">
        <f>384*0.614</f>
        <v>235.77600000000001</v>
      </c>
      <c r="JL775" s="65">
        <f>35.5*0.614</f>
        <v>21.797000000000001</v>
      </c>
      <c r="JM775" s="65">
        <f>42.3*0.614</f>
        <v>25.972199999999997</v>
      </c>
      <c r="JU775" s="55" t="s">
        <v>698</v>
      </c>
    </row>
    <row r="776" spans="1:281" x14ac:dyDescent="0.25">
      <c r="A776" s="55">
        <v>775</v>
      </c>
      <c r="B776" s="12" t="s">
        <v>7067</v>
      </c>
      <c r="C776" s="155">
        <v>38</v>
      </c>
      <c r="D776" s="55" t="s">
        <v>3827</v>
      </c>
      <c r="E776" s="90" t="s">
        <v>500</v>
      </c>
      <c r="G776" s="55" t="s">
        <v>501</v>
      </c>
      <c r="H776" s="55">
        <v>2005</v>
      </c>
      <c r="I776" s="55">
        <v>1999</v>
      </c>
      <c r="J776" s="55" t="s">
        <v>276</v>
      </c>
      <c r="K776" s="55" t="s">
        <v>522</v>
      </c>
      <c r="L776" s="55" t="s">
        <v>2737</v>
      </c>
      <c r="M776" s="90">
        <v>46.89</v>
      </c>
      <c r="N776" s="90">
        <v>-96.78</v>
      </c>
      <c r="O776" s="90">
        <v>274.10000000000002</v>
      </c>
      <c r="U776" s="55" t="s">
        <v>1886</v>
      </c>
      <c r="V776" s="55" t="s">
        <v>1884</v>
      </c>
      <c r="Y776" s="55" t="s">
        <v>1880</v>
      </c>
      <c r="Z776" s="55" t="s">
        <v>1347</v>
      </c>
      <c r="AA776" s="90" t="s">
        <v>1676</v>
      </c>
      <c r="AH776" s="55" t="s">
        <v>523</v>
      </c>
      <c r="AN776" s="185" t="s">
        <v>375</v>
      </c>
      <c r="AO776" s="185" t="s">
        <v>5150</v>
      </c>
      <c r="AQ776" s="55" t="s">
        <v>553</v>
      </c>
      <c r="AR776" s="55" t="s">
        <v>116</v>
      </c>
      <c r="AS776" s="55" t="s">
        <v>1587</v>
      </c>
      <c r="AT776" s="181" t="s">
        <v>524</v>
      </c>
      <c r="AU776" s="181" t="s">
        <v>5150</v>
      </c>
      <c r="AV776" s="185" t="s">
        <v>176</v>
      </c>
      <c r="AW776" s="55" t="s">
        <v>524</v>
      </c>
      <c r="AX776" s="185" t="s">
        <v>176</v>
      </c>
      <c r="AY776" s="55" t="s">
        <v>176</v>
      </c>
      <c r="AZ776" s="55" t="s">
        <v>156</v>
      </c>
      <c r="BA776" s="55" t="s">
        <v>525</v>
      </c>
      <c r="BB776" s="55" t="s">
        <v>2082</v>
      </c>
      <c r="BC776" s="55" t="s">
        <v>2081</v>
      </c>
      <c r="BD776" s="55" t="s">
        <v>479</v>
      </c>
      <c r="BE776" s="226">
        <v>0</v>
      </c>
      <c r="BG776" s="55" t="s">
        <v>176</v>
      </c>
      <c r="BH776" s="226">
        <v>0</v>
      </c>
      <c r="BI776" s="55" t="s">
        <v>176</v>
      </c>
      <c r="BJ776" s="55" t="s">
        <v>176</v>
      </c>
      <c r="BK776" s="55" t="s">
        <v>5976</v>
      </c>
      <c r="BM776" s="192" t="s">
        <v>119</v>
      </c>
      <c r="EK776" s="90">
        <v>739</v>
      </c>
      <c r="EL776" s="90">
        <v>832</v>
      </c>
      <c r="GP776" s="292" t="s">
        <v>7494</v>
      </c>
      <c r="IC776" s="65">
        <v>14.4</v>
      </c>
      <c r="ID776" s="65">
        <v>21.2</v>
      </c>
      <c r="IG776" s="65" t="s">
        <v>545</v>
      </c>
      <c r="IR776" s="65">
        <v>0.05</v>
      </c>
      <c r="IS776" s="65">
        <v>2.5000000000000001E-2</v>
      </c>
      <c r="IV776" s="65" t="s">
        <v>544</v>
      </c>
      <c r="JG776" s="65">
        <f>243*0.614</f>
        <v>149.202</v>
      </c>
      <c r="JH776" s="65">
        <f>491*0.614</f>
        <v>301.47399999999999</v>
      </c>
      <c r="JL776" s="65">
        <f>42*0.614</f>
        <v>25.788</v>
      </c>
      <c r="JM776" s="65">
        <f>62.6*0.614</f>
        <v>38.436399999999999</v>
      </c>
      <c r="JU776" s="55" t="s">
        <v>698</v>
      </c>
    </row>
    <row r="777" spans="1:281" x14ac:dyDescent="0.25">
      <c r="A777" s="55">
        <v>776</v>
      </c>
      <c r="B777" s="12" t="s">
        <v>7067</v>
      </c>
      <c r="C777" s="155">
        <v>38</v>
      </c>
      <c r="D777" s="55" t="s">
        <v>3828</v>
      </c>
      <c r="E777" s="90" t="s">
        <v>500</v>
      </c>
      <c r="G777" s="55" t="s">
        <v>501</v>
      </c>
      <c r="H777" s="55">
        <v>2005</v>
      </c>
      <c r="I777" s="55">
        <v>1999</v>
      </c>
      <c r="J777" s="55" t="s">
        <v>276</v>
      </c>
      <c r="K777" s="55" t="s">
        <v>522</v>
      </c>
      <c r="L777" s="55" t="s">
        <v>2737</v>
      </c>
      <c r="M777" s="90">
        <v>46.89</v>
      </c>
      <c r="N777" s="90">
        <v>-96.78</v>
      </c>
      <c r="O777" s="90">
        <v>274.10000000000002</v>
      </c>
      <c r="U777" s="55" t="s">
        <v>1886</v>
      </c>
      <c r="V777" s="55" t="s">
        <v>1884</v>
      </c>
      <c r="Y777" s="55" t="s">
        <v>1880</v>
      </c>
      <c r="Z777" s="55" t="s">
        <v>1348</v>
      </c>
      <c r="AA777" s="90" t="s">
        <v>1676</v>
      </c>
      <c r="AH777" s="55" t="s">
        <v>523</v>
      </c>
      <c r="AN777" s="185" t="s">
        <v>375</v>
      </c>
      <c r="AO777" s="185" t="s">
        <v>5150</v>
      </c>
      <c r="AQ777" s="55" t="s">
        <v>553</v>
      </c>
      <c r="AR777" s="55" t="s">
        <v>116</v>
      </c>
      <c r="AS777" s="55" t="s">
        <v>1587</v>
      </c>
      <c r="AT777" s="181" t="s">
        <v>524</v>
      </c>
      <c r="AU777" s="181" t="s">
        <v>5150</v>
      </c>
      <c r="AV777" s="185" t="s">
        <v>176</v>
      </c>
      <c r="AW777" s="55" t="s">
        <v>524</v>
      </c>
      <c r="AX777" s="185" t="s">
        <v>176</v>
      </c>
      <c r="AY777" s="55" t="s">
        <v>176</v>
      </c>
      <c r="AZ777" s="55" t="s">
        <v>156</v>
      </c>
      <c r="BA777" s="55" t="s">
        <v>525</v>
      </c>
      <c r="BB777" s="55" t="s">
        <v>2082</v>
      </c>
      <c r="BC777" s="55" t="s">
        <v>2081</v>
      </c>
      <c r="BD777" s="55" t="s">
        <v>479</v>
      </c>
      <c r="BE777" s="226">
        <v>0</v>
      </c>
      <c r="BG777" s="55" t="s">
        <v>176</v>
      </c>
      <c r="BH777" s="226">
        <v>0</v>
      </c>
      <c r="BI777" s="55" t="s">
        <v>176</v>
      </c>
      <c r="BJ777" s="55" t="s">
        <v>176</v>
      </c>
      <c r="BK777" s="55" t="s">
        <v>5976</v>
      </c>
      <c r="BM777" s="192" t="s">
        <v>119</v>
      </c>
      <c r="GP777" s="292" t="s">
        <v>7494</v>
      </c>
      <c r="IC777" s="65">
        <v>11.7</v>
      </c>
      <c r="ID777" s="65">
        <v>10.1</v>
      </c>
      <c r="IG777" s="65" t="s">
        <v>545</v>
      </c>
      <c r="IR777" s="65">
        <v>2.3E-2</v>
      </c>
      <c r="IS777" s="65">
        <v>1.9E-2</v>
      </c>
      <c r="IV777" s="65" t="s">
        <v>544</v>
      </c>
      <c r="JG777" s="65">
        <f>259*0.614</f>
        <v>159.02600000000001</v>
      </c>
      <c r="JH777" s="65">
        <f>334*0.614</f>
        <v>205.07599999999999</v>
      </c>
      <c r="JL777" s="65">
        <f>42.9*0.614</f>
        <v>26.340599999999998</v>
      </c>
      <c r="JM777" s="65">
        <f>42.3*0.614</f>
        <v>25.972199999999997</v>
      </c>
      <c r="JU777" s="55" t="s">
        <v>698</v>
      </c>
    </row>
    <row r="778" spans="1:281" x14ac:dyDescent="0.25">
      <c r="A778" s="55">
        <v>777</v>
      </c>
      <c r="B778" s="12" t="s">
        <v>7067</v>
      </c>
      <c r="C778" s="155">
        <v>38</v>
      </c>
      <c r="D778" s="55" t="s">
        <v>3829</v>
      </c>
      <c r="E778" s="90" t="s">
        <v>500</v>
      </c>
      <c r="G778" s="55" t="s">
        <v>501</v>
      </c>
      <c r="H778" s="55">
        <v>2005</v>
      </c>
      <c r="I778" s="55">
        <v>1999</v>
      </c>
      <c r="J778" s="55" t="s">
        <v>276</v>
      </c>
      <c r="K778" s="55" t="s">
        <v>522</v>
      </c>
      <c r="L778" s="55" t="s">
        <v>2737</v>
      </c>
      <c r="M778" s="90">
        <v>46.89</v>
      </c>
      <c r="N778" s="90">
        <v>-96.78</v>
      </c>
      <c r="O778" s="90">
        <v>274.10000000000002</v>
      </c>
      <c r="U778" s="55" t="s">
        <v>1886</v>
      </c>
      <c r="V778" s="55" t="s">
        <v>1884</v>
      </c>
      <c r="Y778" s="55" t="s">
        <v>1880</v>
      </c>
      <c r="Z778" s="55" t="s">
        <v>1357</v>
      </c>
      <c r="AA778" s="90" t="s">
        <v>1677</v>
      </c>
      <c r="AH778" s="55" t="s">
        <v>523</v>
      </c>
      <c r="AN778" s="185" t="s">
        <v>375</v>
      </c>
      <c r="AO778" s="185" t="s">
        <v>5150</v>
      </c>
      <c r="AQ778" s="55" t="s">
        <v>553</v>
      </c>
      <c r="AR778" s="55" t="s">
        <v>116</v>
      </c>
      <c r="AS778" s="55" t="s">
        <v>1587</v>
      </c>
      <c r="AT778" s="181" t="s">
        <v>524</v>
      </c>
      <c r="AU778" s="181" t="s">
        <v>5150</v>
      </c>
      <c r="AV778" s="185" t="s">
        <v>176</v>
      </c>
      <c r="AW778" s="55" t="s">
        <v>524</v>
      </c>
      <c r="AX778" s="185" t="s">
        <v>176</v>
      </c>
      <c r="AY778" s="55" t="s">
        <v>176</v>
      </c>
      <c r="AZ778" s="55" t="s">
        <v>156</v>
      </c>
      <c r="BA778" s="55" t="s">
        <v>525</v>
      </c>
      <c r="BB778" s="55" t="s">
        <v>2082</v>
      </c>
      <c r="BC778" s="55" t="s">
        <v>2081</v>
      </c>
      <c r="BD778" s="55" t="s">
        <v>479</v>
      </c>
      <c r="BE778" s="226">
        <v>0</v>
      </c>
      <c r="BG778" s="55" t="s">
        <v>176</v>
      </c>
      <c r="BH778" s="226">
        <v>0</v>
      </c>
      <c r="BI778" s="55" t="s">
        <v>176</v>
      </c>
      <c r="BJ778" s="55" t="s">
        <v>176</v>
      </c>
      <c r="BK778" s="55" t="s">
        <v>5976</v>
      </c>
      <c r="BM778" s="192" t="s">
        <v>119</v>
      </c>
      <c r="GP778" s="292" t="s">
        <v>7494</v>
      </c>
      <c r="IC778" s="65">
        <v>12.9</v>
      </c>
      <c r="ID778" s="65">
        <v>10.6</v>
      </c>
      <c r="IG778" s="65" t="s">
        <v>545</v>
      </c>
      <c r="IR778" s="65">
        <v>2.1000000000000001E-2</v>
      </c>
      <c r="IS778" s="65">
        <v>2.4E-2</v>
      </c>
      <c r="IV778" s="65" t="s">
        <v>544</v>
      </c>
      <c r="JG778" s="65">
        <f>391*0.614</f>
        <v>240.07399999999998</v>
      </c>
      <c r="JH778" s="65">
        <f>401*0.614</f>
        <v>246.214</v>
      </c>
      <c r="JL778" s="65">
        <f>64.9*0.614</f>
        <v>39.848600000000005</v>
      </c>
      <c r="JM778" s="65">
        <f>52*0.614</f>
        <v>31.928000000000001</v>
      </c>
      <c r="JU778" s="55" t="s">
        <v>698</v>
      </c>
    </row>
    <row r="779" spans="1:281" x14ac:dyDescent="0.25">
      <c r="A779" s="55">
        <v>778</v>
      </c>
      <c r="B779" s="12" t="s">
        <v>7067</v>
      </c>
      <c r="C779" s="155">
        <v>38</v>
      </c>
      <c r="D779" s="55" t="s">
        <v>3830</v>
      </c>
      <c r="E779" s="90" t="s">
        <v>500</v>
      </c>
      <c r="G779" s="55" t="s">
        <v>501</v>
      </c>
      <c r="H779" s="55">
        <v>2005</v>
      </c>
      <c r="I779" s="55">
        <v>1999</v>
      </c>
      <c r="J779" s="55" t="s">
        <v>276</v>
      </c>
      <c r="K779" s="55" t="s">
        <v>526</v>
      </c>
      <c r="L779" s="55" t="s">
        <v>2737</v>
      </c>
      <c r="M779" s="90">
        <v>46.84</v>
      </c>
      <c r="N779" s="90">
        <v>-100.91</v>
      </c>
      <c r="O779" s="90">
        <v>558.1</v>
      </c>
      <c r="U779" s="55" t="s">
        <v>1887</v>
      </c>
      <c r="V779" s="55" t="s">
        <v>1885</v>
      </c>
      <c r="Y779" s="55" t="s">
        <v>1881</v>
      </c>
      <c r="Z779" s="55" t="s">
        <v>1347</v>
      </c>
      <c r="AA779" s="90" t="s">
        <v>1676</v>
      </c>
      <c r="AH779" s="55" t="s">
        <v>6378</v>
      </c>
      <c r="AN779" s="185" t="s">
        <v>527</v>
      </c>
      <c r="AO779" s="185" t="s">
        <v>5150</v>
      </c>
      <c r="AQ779" s="55" t="s">
        <v>1550</v>
      </c>
      <c r="AR779" s="55" t="s">
        <v>1500</v>
      </c>
      <c r="AS779" s="55" t="s">
        <v>1587</v>
      </c>
      <c r="AT779" s="181" t="s">
        <v>528</v>
      </c>
      <c r="AU779" s="181" t="s">
        <v>5150</v>
      </c>
      <c r="AV779" s="185" t="s">
        <v>176</v>
      </c>
      <c r="AW779" s="55" t="s">
        <v>529</v>
      </c>
      <c r="AX779" s="185" t="s">
        <v>479</v>
      </c>
      <c r="AY779" s="55" t="s">
        <v>479</v>
      </c>
      <c r="AZ779" s="55" t="s">
        <v>506</v>
      </c>
      <c r="BA779" s="55" t="s">
        <v>156</v>
      </c>
      <c r="BB779" s="55" t="s">
        <v>2081</v>
      </c>
      <c r="BC779" s="55" t="s">
        <v>2082</v>
      </c>
      <c r="BD779" s="55" t="s">
        <v>479</v>
      </c>
      <c r="BE779" s="226" t="s">
        <v>530</v>
      </c>
      <c r="BF779" s="191" t="s">
        <v>479</v>
      </c>
      <c r="BG779" s="55" t="s">
        <v>479</v>
      </c>
      <c r="BH779" s="226" t="s">
        <v>530</v>
      </c>
      <c r="BI779" s="55" t="s">
        <v>479</v>
      </c>
      <c r="BJ779" s="55" t="s">
        <v>176</v>
      </c>
      <c r="BK779" s="55" t="s">
        <v>6269</v>
      </c>
      <c r="BM779" s="192" t="s">
        <v>119</v>
      </c>
      <c r="EK779" s="90">
        <v>218</v>
      </c>
      <c r="EL779" s="90">
        <v>507</v>
      </c>
      <c r="GP779" s="292" t="s">
        <v>7494</v>
      </c>
      <c r="IC779" s="65">
        <v>21.7</v>
      </c>
      <c r="ID779" s="65">
        <v>35.6</v>
      </c>
      <c r="IG779" s="65" t="s">
        <v>545</v>
      </c>
      <c r="IR779" s="65">
        <v>4.4999999999999998E-2</v>
      </c>
      <c r="IS779" s="65">
        <v>4.8000000000000001E-2</v>
      </c>
      <c r="IV779" s="65" t="s">
        <v>544</v>
      </c>
      <c r="JG779" s="65">
        <f>297*0.614</f>
        <v>182.358</v>
      </c>
      <c r="JH779" s="65">
        <f>444*0.614</f>
        <v>272.61599999999999</v>
      </c>
      <c r="JL779" s="65">
        <f>30.9*0.614</f>
        <v>18.9726</v>
      </c>
      <c r="JM779" s="65">
        <f>49.2*0.614</f>
        <v>30.2088</v>
      </c>
      <c r="JU779" s="55" t="s">
        <v>698</v>
      </c>
    </row>
    <row r="780" spans="1:281" x14ac:dyDescent="0.25">
      <c r="A780" s="55">
        <v>779</v>
      </c>
      <c r="B780" s="12" t="s">
        <v>7067</v>
      </c>
      <c r="C780" s="155">
        <v>38</v>
      </c>
      <c r="D780" s="55" t="s">
        <v>3831</v>
      </c>
      <c r="E780" s="90" t="s">
        <v>500</v>
      </c>
      <c r="G780" s="55" t="s">
        <v>501</v>
      </c>
      <c r="H780" s="55">
        <v>2005</v>
      </c>
      <c r="I780" s="55">
        <v>1999</v>
      </c>
      <c r="J780" s="55" t="s">
        <v>276</v>
      </c>
      <c r="K780" s="55" t="s">
        <v>526</v>
      </c>
      <c r="L780" s="55" t="s">
        <v>2737</v>
      </c>
      <c r="M780" s="90">
        <v>46.84</v>
      </c>
      <c r="N780" s="90">
        <v>-100.91</v>
      </c>
      <c r="O780" s="90">
        <v>558.1</v>
      </c>
      <c r="U780" s="55" t="s">
        <v>1887</v>
      </c>
      <c r="V780" s="55" t="s">
        <v>1885</v>
      </c>
      <c r="Y780" s="55" t="s">
        <v>1881</v>
      </c>
      <c r="Z780" s="55" t="s">
        <v>1348</v>
      </c>
      <c r="AA780" s="90" t="s">
        <v>1676</v>
      </c>
      <c r="AH780" s="55" t="s">
        <v>6378</v>
      </c>
      <c r="AN780" s="185" t="s">
        <v>527</v>
      </c>
      <c r="AO780" s="185" t="s">
        <v>5150</v>
      </c>
      <c r="AQ780" s="55" t="s">
        <v>1550</v>
      </c>
      <c r="AR780" s="55" t="s">
        <v>1500</v>
      </c>
      <c r="AS780" s="55" t="s">
        <v>1587</v>
      </c>
      <c r="AT780" s="181" t="s">
        <v>528</v>
      </c>
      <c r="AU780" s="181" t="s">
        <v>5150</v>
      </c>
      <c r="AV780" s="185" t="s">
        <v>176</v>
      </c>
      <c r="AW780" s="55" t="s">
        <v>529</v>
      </c>
      <c r="AX780" s="185" t="s">
        <v>479</v>
      </c>
      <c r="AY780" s="55" t="s">
        <v>479</v>
      </c>
      <c r="AZ780" s="55" t="s">
        <v>506</v>
      </c>
      <c r="BA780" s="55" t="s">
        <v>156</v>
      </c>
      <c r="BB780" s="55" t="s">
        <v>2081</v>
      </c>
      <c r="BC780" s="55" t="s">
        <v>2082</v>
      </c>
      <c r="BD780" s="55" t="s">
        <v>479</v>
      </c>
      <c r="BE780" s="226" t="s">
        <v>530</v>
      </c>
      <c r="BF780" s="191" t="s">
        <v>479</v>
      </c>
      <c r="BG780" s="55" t="s">
        <v>479</v>
      </c>
      <c r="BH780" s="226" t="s">
        <v>530</v>
      </c>
      <c r="BI780" s="55" t="s">
        <v>479</v>
      </c>
      <c r="BJ780" s="55" t="s">
        <v>176</v>
      </c>
      <c r="BK780" s="55" t="s">
        <v>6269</v>
      </c>
      <c r="BM780" s="192" t="s">
        <v>119</v>
      </c>
      <c r="GP780" s="292" t="s">
        <v>7494</v>
      </c>
      <c r="IC780" s="65">
        <v>7.5</v>
      </c>
      <c r="ID780" s="65">
        <v>19.7</v>
      </c>
      <c r="IG780" s="65" t="s">
        <v>545</v>
      </c>
      <c r="IR780" s="65">
        <v>2.3E-2</v>
      </c>
      <c r="IS780" s="65">
        <v>2.4E-2</v>
      </c>
      <c r="IV780" s="65" t="s">
        <v>544</v>
      </c>
      <c r="JG780" s="65">
        <f>213*0.614</f>
        <v>130.78200000000001</v>
      </c>
      <c r="JH780" s="65">
        <f>227*0.614</f>
        <v>139.37799999999999</v>
      </c>
      <c r="JL780" s="65">
        <f>16.8*0.614</f>
        <v>10.315200000000001</v>
      </c>
      <c r="JM780" s="65">
        <f>30.1*0.614</f>
        <v>18.481400000000001</v>
      </c>
      <c r="JU780" s="55" t="s">
        <v>698</v>
      </c>
    </row>
    <row r="781" spans="1:281" x14ac:dyDescent="0.25">
      <c r="A781" s="55">
        <v>780</v>
      </c>
      <c r="B781" s="12" t="s">
        <v>7067</v>
      </c>
      <c r="C781" s="155">
        <v>38</v>
      </c>
      <c r="D781" s="55" t="s">
        <v>3832</v>
      </c>
      <c r="E781" s="90" t="s">
        <v>500</v>
      </c>
      <c r="G781" s="55" t="s">
        <v>501</v>
      </c>
      <c r="H781" s="55">
        <v>2005</v>
      </c>
      <c r="I781" s="55">
        <v>1999</v>
      </c>
      <c r="J781" s="55" t="s">
        <v>276</v>
      </c>
      <c r="K781" s="55" t="s">
        <v>526</v>
      </c>
      <c r="L781" s="55" t="s">
        <v>2737</v>
      </c>
      <c r="M781" s="90">
        <v>46.84</v>
      </c>
      <c r="N781" s="90">
        <v>-100.91</v>
      </c>
      <c r="O781" s="90">
        <v>558.1</v>
      </c>
      <c r="U781" s="55" t="s">
        <v>1887</v>
      </c>
      <c r="V781" s="55" t="s">
        <v>1885</v>
      </c>
      <c r="Y781" s="55" t="s">
        <v>1881</v>
      </c>
      <c r="Z781" s="55" t="s">
        <v>1357</v>
      </c>
      <c r="AA781" s="90" t="s">
        <v>1677</v>
      </c>
      <c r="AH781" s="55" t="s">
        <v>6378</v>
      </c>
      <c r="AN781" s="185" t="s">
        <v>527</v>
      </c>
      <c r="AO781" s="185" t="s">
        <v>5150</v>
      </c>
      <c r="AQ781" s="55" t="s">
        <v>1550</v>
      </c>
      <c r="AR781" s="55" t="s">
        <v>1500</v>
      </c>
      <c r="AS781" s="55" t="s">
        <v>1587</v>
      </c>
      <c r="AT781" s="181" t="s">
        <v>528</v>
      </c>
      <c r="AU781" s="181" t="s">
        <v>5150</v>
      </c>
      <c r="AV781" s="185" t="s">
        <v>176</v>
      </c>
      <c r="AW781" s="55" t="s">
        <v>529</v>
      </c>
      <c r="AX781" s="185" t="s">
        <v>479</v>
      </c>
      <c r="AY781" s="55" t="s">
        <v>479</v>
      </c>
      <c r="AZ781" s="55" t="s">
        <v>506</v>
      </c>
      <c r="BA781" s="55" t="s">
        <v>156</v>
      </c>
      <c r="BB781" s="55" t="s">
        <v>2081</v>
      </c>
      <c r="BC781" s="55" t="s">
        <v>2082</v>
      </c>
      <c r="BD781" s="55" t="s">
        <v>479</v>
      </c>
      <c r="BE781" s="226" t="s">
        <v>530</v>
      </c>
      <c r="BF781" s="191" t="s">
        <v>479</v>
      </c>
      <c r="BG781" s="55" t="s">
        <v>479</v>
      </c>
      <c r="BH781" s="226" t="s">
        <v>530</v>
      </c>
      <c r="BI781" s="55" t="s">
        <v>479</v>
      </c>
      <c r="BJ781" s="55" t="s">
        <v>176</v>
      </c>
      <c r="BK781" s="55" t="s">
        <v>6269</v>
      </c>
      <c r="BM781" s="192" t="s">
        <v>119</v>
      </c>
      <c r="GP781" s="292" t="s">
        <v>7494</v>
      </c>
      <c r="IC781" s="65">
        <v>9</v>
      </c>
      <c r="ID781" s="65">
        <v>15.7</v>
      </c>
      <c r="IG781" s="65" t="s">
        <v>545</v>
      </c>
      <c r="IR781" s="65">
        <v>2.3E-2</v>
      </c>
      <c r="IS781" s="65">
        <v>0.02</v>
      </c>
      <c r="IV781" s="65" t="s">
        <v>544</v>
      </c>
      <c r="JG781" s="65">
        <f>275*0.614</f>
        <v>168.85</v>
      </c>
      <c r="JH781" s="65">
        <f>453*0.614</f>
        <v>278.142</v>
      </c>
      <c r="JL781" s="65">
        <f>23.5*0.614</f>
        <v>14.429</v>
      </c>
      <c r="JM781" s="65">
        <f>36.5*0.614</f>
        <v>22.411000000000001</v>
      </c>
      <c r="JU781" s="55" t="s">
        <v>698</v>
      </c>
    </row>
    <row r="782" spans="1:281" x14ac:dyDescent="0.25">
      <c r="A782" s="55">
        <v>781</v>
      </c>
      <c r="B782" s="12" t="s">
        <v>7067</v>
      </c>
      <c r="C782" s="155">
        <v>38</v>
      </c>
      <c r="D782" s="55" t="s">
        <v>3833</v>
      </c>
      <c r="E782" s="90" t="s">
        <v>500</v>
      </c>
      <c r="G782" s="55" t="s">
        <v>501</v>
      </c>
      <c r="H782" s="55">
        <v>2005</v>
      </c>
      <c r="I782" s="55">
        <v>1999</v>
      </c>
      <c r="J782" s="55" t="s">
        <v>276</v>
      </c>
      <c r="K782" s="55" t="s">
        <v>531</v>
      </c>
      <c r="L782" s="55" t="s">
        <v>2737</v>
      </c>
      <c r="M782" s="90">
        <v>41.23</v>
      </c>
      <c r="N782" s="90">
        <v>-96.51</v>
      </c>
      <c r="O782" s="90">
        <v>365.7</v>
      </c>
      <c r="U782" s="55" t="s">
        <v>1681</v>
      </c>
      <c r="V782" s="55" t="s">
        <v>1876</v>
      </c>
      <c r="Y782" s="55" t="s">
        <v>1882</v>
      </c>
      <c r="Z782" s="55" t="s">
        <v>1347</v>
      </c>
      <c r="AA782" s="90" t="s">
        <v>1676</v>
      </c>
      <c r="AH782" s="55" t="s">
        <v>1022</v>
      </c>
      <c r="AN782" s="185" t="s">
        <v>1481</v>
      </c>
      <c r="AO782" s="185" t="s">
        <v>5150</v>
      </c>
      <c r="AQ782" s="55" t="s">
        <v>1546</v>
      </c>
      <c r="AR782" s="55" t="s">
        <v>132</v>
      </c>
      <c r="AS782" s="55" t="s">
        <v>1587</v>
      </c>
      <c r="AT782" s="181" t="s">
        <v>519</v>
      </c>
      <c r="AU782" s="181" t="s">
        <v>5150</v>
      </c>
      <c r="AV782" s="185" t="s">
        <v>176</v>
      </c>
      <c r="AW782" s="55" t="s">
        <v>532</v>
      </c>
      <c r="AX782" s="185" t="s">
        <v>479</v>
      </c>
      <c r="AY782" s="55" t="s">
        <v>479</v>
      </c>
      <c r="AZ782" s="55" t="s">
        <v>536</v>
      </c>
      <c r="BA782" s="55" t="s">
        <v>536</v>
      </c>
      <c r="BB782" s="55" t="s">
        <v>2081</v>
      </c>
      <c r="BC782" s="55" t="s">
        <v>2081</v>
      </c>
      <c r="BD782" s="55" t="s">
        <v>176</v>
      </c>
      <c r="BE782" s="226" t="s">
        <v>533</v>
      </c>
      <c r="BF782" s="191" t="s">
        <v>479</v>
      </c>
      <c r="BG782" s="55" t="s">
        <v>479</v>
      </c>
      <c r="BH782" s="226" t="s">
        <v>533</v>
      </c>
      <c r="BI782" s="55" t="s">
        <v>479</v>
      </c>
      <c r="BJ782" s="55" t="s">
        <v>176</v>
      </c>
      <c r="BK782" s="55" t="s">
        <v>5976</v>
      </c>
      <c r="BM782" s="192" t="s">
        <v>119</v>
      </c>
      <c r="EK782" s="90">
        <v>584</v>
      </c>
      <c r="EL782" s="90">
        <v>622</v>
      </c>
      <c r="GP782" s="292" t="s">
        <v>7494</v>
      </c>
      <c r="IC782" s="65">
        <v>19.3</v>
      </c>
      <c r="ID782" s="65">
        <v>29.5</v>
      </c>
      <c r="IG782" s="65" t="s">
        <v>545</v>
      </c>
      <c r="IR782" s="65">
        <v>7.1999999999999995E-2</v>
      </c>
      <c r="IS782" s="65">
        <v>6.2E-2</v>
      </c>
      <c r="IV782" s="65" t="s">
        <v>544</v>
      </c>
      <c r="JG782" s="65">
        <f>195*0.614</f>
        <v>119.73</v>
      </c>
      <c r="JH782" s="65">
        <f>324*0.614</f>
        <v>198.93600000000001</v>
      </c>
      <c r="JL782" s="65">
        <f>29.6*0.614</f>
        <v>18.174400000000002</v>
      </c>
      <c r="JM782" s="65">
        <f>36.7*0.614</f>
        <v>22.533800000000003</v>
      </c>
      <c r="JU782" s="55" t="s">
        <v>698</v>
      </c>
    </row>
    <row r="783" spans="1:281" x14ac:dyDescent="0.25">
      <c r="A783" s="55">
        <v>782</v>
      </c>
      <c r="B783" s="12" t="s">
        <v>7067</v>
      </c>
      <c r="C783" s="155">
        <v>38</v>
      </c>
      <c r="D783" s="55" t="s">
        <v>3834</v>
      </c>
      <c r="E783" s="90" t="s">
        <v>500</v>
      </c>
      <c r="G783" s="55" t="s">
        <v>501</v>
      </c>
      <c r="H783" s="55">
        <v>2005</v>
      </c>
      <c r="I783" s="55">
        <v>1999</v>
      </c>
      <c r="J783" s="55" t="s">
        <v>276</v>
      </c>
      <c r="K783" s="55" t="s">
        <v>531</v>
      </c>
      <c r="L783" s="55" t="s">
        <v>2737</v>
      </c>
      <c r="M783" s="90">
        <v>41.23</v>
      </c>
      <c r="N783" s="90">
        <v>-96.51</v>
      </c>
      <c r="O783" s="90">
        <v>365.7</v>
      </c>
      <c r="U783" s="55" t="s">
        <v>1681</v>
      </c>
      <c r="V783" s="55" t="s">
        <v>1876</v>
      </c>
      <c r="Y783" s="55" t="s">
        <v>1882</v>
      </c>
      <c r="Z783" s="55" t="s">
        <v>1348</v>
      </c>
      <c r="AA783" s="90" t="s">
        <v>1676</v>
      </c>
      <c r="AH783" s="55" t="s">
        <v>1022</v>
      </c>
      <c r="AN783" s="185" t="s">
        <v>1481</v>
      </c>
      <c r="AO783" s="185" t="s">
        <v>5150</v>
      </c>
      <c r="AQ783" s="55" t="s">
        <v>1546</v>
      </c>
      <c r="AR783" s="55" t="s">
        <v>132</v>
      </c>
      <c r="AS783" s="55" t="s">
        <v>1587</v>
      </c>
      <c r="AT783" s="181" t="s">
        <v>519</v>
      </c>
      <c r="AU783" s="181" t="s">
        <v>5150</v>
      </c>
      <c r="AV783" s="185" t="s">
        <v>176</v>
      </c>
      <c r="AW783" s="55" t="s">
        <v>532</v>
      </c>
      <c r="AX783" s="185" t="s">
        <v>479</v>
      </c>
      <c r="AY783" s="55" t="s">
        <v>479</v>
      </c>
      <c r="AZ783" s="55" t="s">
        <v>536</v>
      </c>
      <c r="BA783" s="55" t="s">
        <v>536</v>
      </c>
      <c r="BB783" s="55" t="s">
        <v>2081</v>
      </c>
      <c r="BC783" s="55" t="s">
        <v>2081</v>
      </c>
      <c r="BD783" s="55" t="s">
        <v>176</v>
      </c>
      <c r="BE783" s="226" t="s">
        <v>533</v>
      </c>
      <c r="BF783" s="191" t="s">
        <v>479</v>
      </c>
      <c r="BG783" s="55" t="s">
        <v>479</v>
      </c>
      <c r="BH783" s="226" t="s">
        <v>533</v>
      </c>
      <c r="BI783" s="55" t="s">
        <v>479</v>
      </c>
      <c r="BJ783" s="55" t="s">
        <v>176</v>
      </c>
      <c r="BK783" s="55" t="s">
        <v>5976</v>
      </c>
      <c r="BM783" s="192" t="s">
        <v>119</v>
      </c>
      <c r="GP783" s="292" t="s">
        <v>7494</v>
      </c>
      <c r="IC783" s="65">
        <v>10.8</v>
      </c>
      <c r="ID783" s="65">
        <v>11.3</v>
      </c>
      <c r="IG783" s="65" t="s">
        <v>545</v>
      </c>
      <c r="IR783" s="65">
        <v>0.04</v>
      </c>
      <c r="IS783" s="65">
        <v>3.1E-2</v>
      </c>
      <c r="IV783" s="65" t="s">
        <v>544</v>
      </c>
      <c r="JG783" s="65">
        <f>237*0.614</f>
        <v>145.518</v>
      </c>
      <c r="JH783" s="65">
        <f>272*0.614</f>
        <v>167.00800000000001</v>
      </c>
      <c r="JL783" s="65">
        <f>28.1*0.614</f>
        <v>17.253399999999999</v>
      </c>
      <c r="JM783" s="65">
        <f>32.2*0.614</f>
        <v>19.770800000000001</v>
      </c>
      <c r="JU783" s="55" t="s">
        <v>698</v>
      </c>
    </row>
    <row r="784" spans="1:281" x14ac:dyDescent="0.25">
      <c r="A784" s="55">
        <v>783</v>
      </c>
      <c r="B784" s="12" t="s">
        <v>7067</v>
      </c>
      <c r="C784" s="155">
        <v>38</v>
      </c>
      <c r="D784" s="55" t="s">
        <v>3835</v>
      </c>
      <c r="E784" s="90" t="s">
        <v>500</v>
      </c>
      <c r="G784" s="55" t="s">
        <v>501</v>
      </c>
      <c r="H784" s="55">
        <v>2005</v>
      </c>
      <c r="I784" s="55">
        <v>1999</v>
      </c>
      <c r="J784" s="55" t="s">
        <v>276</v>
      </c>
      <c r="K784" s="55" t="s">
        <v>531</v>
      </c>
      <c r="L784" s="55" t="s">
        <v>2737</v>
      </c>
      <c r="M784" s="90">
        <v>41.23</v>
      </c>
      <c r="N784" s="90">
        <v>-96.51</v>
      </c>
      <c r="O784" s="90">
        <v>365.7</v>
      </c>
      <c r="U784" s="55" t="s">
        <v>1681</v>
      </c>
      <c r="V784" s="55" t="s">
        <v>1876</v>
      </c>
      <c r="Y784" s="55" t="s">
        <v>1882</v>
      </c>
      <c r="Z784" s="55" t="s">
        <v>1357</v>
      </c>
      <c r="AA784" s="90" t="s">
        <v>1677</v>
      </c>
      <c r="AH784" s="55" t="s">
        <v>1022</v>
      </c>
      <c r="AN784" s="185" t="s">
        <v>1481</v>
      </c>
      <c r="AO784" s="185" t="s">
        <v>5150</v>
      </c>
      <c r="AQ784" s="55" t="s">
        <v>1546</v>
      </c>
      <c r="AR784" s="55" t="s">
        <v>132</v>
      </c>
      <c r="AS784" s="55" t="s">
        <v>1587</v>
      </c>
      <c r="AT784" s="181" t="s">
        <v>519</v>
      </c>
      <c r="AU784" s="181" t="s">
        <v>5150</v>
      </c>
      <c r="AV784" s="185" t="s">
        <v>176</v>
      </c>
      <c r="AW784" s="55" t="s">
        <v>532</v>
      </c>
      <c r="AX784" s="185" t="s">
        <v>479</v>
      </c>
      <c r="AY784" s="55" t="s">
        <v>479</v>
      </c>
      <c r="AZ784" s="55" t="s">
        <v>536</v>
      </c>
      <c r="BA784" s="55" t="s">
        <v>536</v>
      </c>
      <c r="BB784" s="55" t="s">
        <v>2081</v>
      </c>
      <c r="BC784" s="55" t="s">
        <v>2081</v>
      </c>
      <c r="BD784" s="55" t="s">
        <v>176</v>
      </c>
      <c r="BE784" s="226" t="s">
        <v>533</v>
      </c>
      <c r="BF784" s="191" t="s">
        <v>479</v>
      </c>
      <c r="BG784" s="55" t="s">
        <v>479</v>
      </c>
      <c r="BH784" s="226" t="s">
        <v>533</v>
      </c>
      <c r="BI784" s="55" t="s">
        <v>479</v>
      </c>
      <c r="BJ784" s="55" t="s">
        <v>176</v>
      </c>
      <c r="BK784" s="55" t="s">
        <v>5976</v>
      </c>
      <c r="BM784" s="192" t="s">
        <v>119</v>
      </c>
      <c r="GP784" s="292" t="s">
        <v>7494</v>
      </c>
      <c r="IC784" s="65">
        <v>7.4</v>
      </c>
      <c r="ID784" s="65">
        <v>7.9</v>
      </c>
      <c r="IG784" s="65" t="s">
        <v>545</v>
      </c>
      <c r="IR784" s="65">
        <v>2.7E-2</v>
      </c>
      <c r="IS784" s="65">
        <v>3.4000000000000002E-2</v>
      </c>
      <c r="IV784" s="65" t="s">
        <v>544</v>
      </c>
      <c r="JG784" s="65">
        <f>317*0.614</f>
        <v>194.63800000000001</v>
      </c>
      <c r="JH784" s="65">
        <f>284*0.614</f>
        <v>174.376</v>
      </c>
      <c r="JL784" s="65">
        <f>37.2*0.614</f>
        <v>22.840800000000002</v>
      </c>
      <c r="JM784" s="65">
        <f>31.5*0.614</f>
        <v>19.341000000000001</v>
      </c>
      <c r="JU784" s="55" t="s">
        <v>698</v>
      </c>
    </row>
    <row r="785" spans="1:282" x14ac:dyDescent="0.25">
      <c r="A785" s="55">
        <v>784</v>
      </c>
      <c r="B785" s="12" t="s">
        <v>7067</v>
      </c>
      <c r="C785" s="155">
        <v>38</v>
      </c>
      <c r="D785" s="55" t="s">
        <v>3836</v>
      </c>
      <c r="E785" s="90" t="s">
        <v>500</v>
      </c>
      <c r="G785" s="55" t="s">
        <v>501</v>
      </c>
      <c r="H785" s="55">
        <v>2005</v>
      </c>
      <c r="I785" s="55">
        <v>1999</v>
      </c>
      <c r="J785" s="55" t="s">
        <v>276</v>
      </c>
      <c r="K785" s="55" t="s">
        <v>534</v>
      </c>
      <c r="L785" s="55" t="s">
        <v>2737</v>
      </c>
      <c r="M785" s="90">
        <v>47.72</v>
      </c>
      <c r="N785" s="90">
        <v>-104.16</v>
      </c>
      <c r="O785" s="90">
        <v>589</v>
      </c>
      <c r="U785" s="55" t="s">
        <v>1885</v>
      </c>
      <c r="V785" s="55" t="s">
        <v>1681</v>
      </c>
      <c r="Y785" s="55" t="s">
        <v>1879</v>
      </c>
      <c r="Z785" s="55" t="s">
        <v>1347</v>
      </c>
      <c r="AA785" s="90" t="s">
        <v>1676</v>
      </c>
      <c r="AH785" s="55" t="s">
        <v>139</v>
      </c>
      <c r="AN785" s="185" t="s">
        <v>1500</v>
      </c>
      <c r="AO785" s="185" t="s">
        <v>5150</v>
      </c>
      <c r="AQ785" s="55" t="s">
        <v>1545</v>
      </c>
      <c r="AR785" s="55" t="s">
        <v>1563</v>
      </c>
      <c r="AS785" s="55" t="s">
        <v>1587</v>
      </c>
      <c r="AT785" s="181" t="s">
        <v>528</v>
      </c>
      <c r="AU785" s="181" t="s">
        <v>5150</v>
      </c>
      <c r="AV785" s="185" t="s">
        <v>176</v>
      </c>
      <c r="AW785" s="55" t="s">
        <v>535</v>
      </c>
      <c r="AX785" s="185" t="s">
        <v>176</v>
      </c>
      <c r="AY785" s="55" t="s">
        <v>479</v>
      </c>
      <c r="AZ785" s="55" t="s">
        <v>536</v>
      </c>
      <c r="BA785" s="55" t="s">
        <v>156</v>
      </c>
      <c r="BB785" s="55" t="s">
        <v>2081</v>
      </c>
      <c r="BC785" s="55" t="s">
        <v>2082</v>
      </c>
      <c r="BD785" s="55" t="s">
        <v>479</v>
      </c>
      <c r="BE785" s="226" t="s">
        <v>477</v>
      </c>
      <c r="BF785" s="191" t="s">
        <v>479</v>
      </c>
      <c r="BG785" s="55" t="s">
        <v>479</v>
      </c>
      <c r="BH785" s="226" t="s">
        <v>477</v>
      </c>
      <c r="BI785" s="55" t="s">
        <v>479</v>
      </c>
      <c r="BJ785" s="55" t="s">
        <v>176</v>
      </c>
      <c r="BK785" s="55" t="s">
        <v>6269</v>
      </c>
      <c r="BM785" s="192" t="s">
        <v>119</v>
      </c>
      <c r="EK785" s="90">
        <v>486</v>
      </c>
      <c r="EL785" s="90">
        <v>360</v>
      </c>
      <c r="GP785" s="292" t="s">
        <v>7494</v>
      </c>
      <c r="IC785" s="65">
        <v>20.3</v>
      </c>
      <c r="ID785" s="65">
        <v>20.399999999999999</v>
      </c>
      <c r="IG785" s="65" t="s">
        <v>545</v>
      </c>
      <c r="JL785" s="65">
        <f>24.3*0.614</f>
        <v>14.920199999999999</v>
      </c>
      <c r="JM785" s="65">
        <f>27.6*0.614</f>
        <v>16.946400000000001</v>
      </c>
      <c r="JU785" s="55" t="s">
        <v>698</v>
      </c>
    </row>
    <row r="786" spans="1:282" x14ac:dyDescent="0.25">
      <c r="A786" s="55">
        <v>785</v>
      </c>
      <c r="B786" s="12" t="s">
        <v>7067</v>
      </c>
      <c r="C786" s="155">
        <v>38</v>
      </c>
      <c r="D786" s="55" t="s">
        <v>3837</v>
      </c>
      <c r="E786" s="90" t="s">
        <v>500</v>
      </c>
      <c r="G786" s="55" t="s">
        <v>501</v>
      </c>
      <c r="H786" s="55">
        <v>2005</v>
      </c>
      <c r="I786" s="55">
        <v>1999</v>
      </c>
      <c r="J786" s="55" t="s">
        <v>276</v>
      </c>
      <c r="K786" s="55" t="s">
        <v>534</v>
      </c>
      <c r="L786" s="55" t="s">
        <v>2737</v>
      </c>
      <c r="M786" s="90">
        <v>47.72</v>
      </c>
      <c r="N786" s="90">
        <v>-104.16</v>
      </c>
      <c r="O786" s="90">
        <v>589</v>
      </c>
      <c r="U786" s="55" t="s">
        <v>1885</v>
      </c>
      <c r="V786" s="55" t="s">
        <v>1681</v>
      </c>
      <c r="Y786" s="55" t="s">
        <v>1879</v>
      </c>
      <c r="Z786" s="55" t="s">
        <v>1348</v>
      </c>
      <c r="AA786" s="90" t="s">
        <v>1676</v>
      </c>
      <c r="AH786" s="55" t="s">
        <v>139</v>
      </c>
      <c r="AN786" s="185" t="s">
        <v>1500</v>
      </c>
      <c r="AO786" s="185" t="s">
        <v>5150</v>
      </c>
      <c r="AQ786" s="55" t="s">
        <v>1545</v>
      </c>
      <c r="AR786" s="55" t="s">
        <v>1563</v>
      </c>
      <c r="AS786" s="55" t="s">
        <v>1587</v>
      </c>
      <c r="AT786" s="181" t="s">
        <v>528</v>
      </c>
      <c r="AU786" s="181" t="s">
        <v>5150</v>
      </c>
      <c r="AV786" s="185" t="s">
        <v>176</v>
      </c>
      <c r="AW786" s="55" t="s">
        <v>535</v>
      </c>
      <c r="AX786" s="185" t="s">
        <v>176</v>
      </c>
      <c r="AY786" s="55" t="s">
        <v>479</v>
      </c>
      <c r="AZ786" s="55" t="s">
        <v>536</v>
      </c>
      <c r="BA786" s="55" t="s">
        <v>156</v>
      </c>
      <c r="BB786" s="55" t="s">
        <v>2081</v>
      </c>
      <c r="BC786" s="55" t="s">
        <v>2082</v>
      </c>
      <c r="BD786" s="55" t="s">
        <v>479</v>
      </c>
      <c r="BE786" s="226" t="s">
        <v>477</v>
      </c>
      <c r="BF786" s="191" t="s">
        <v>479</v>
      </c>
      <c r="BG786" s="55" t="s">
        <v>479</v>
      </c>
      <c r="BH786" s="226" t="s">
        <v>477</v>
      </c>
      <c r="BI786" s="55" t="s">
        <v>479</v>
      </c>
      <c r="BJ786" s="55" t="s">
        <v>176</v>
      </c>
      <c r="BK786" s="55" t="s">
        <v>6269</v>
      </c>
      <c r="BM786" s="192" t="s">
        <v>119</v>
      </c>
      <c r="GP786" s="292" t="s">
        <v>7494</v>
      </c>
      <c r="IC786" s="65">
        <v>8.5</v>
      </c>
      <c r="ID786" s="65">
        <v>13</v>
      </c>
      <c r="IG786" s="65" t="s">
        <v>545</v>
      </c>
      <c r="IR786" s="65">
        <v>4.7E-2</v>
      </c>
      <c r="IS786" s="65">
        <v>5.2999999999999999E-2</v>
      </c>
      <c r="IV786" s="65" t="s">
        <v>544</v>
      </c>
      <c r="JG786" s="65">
        <f>208*0.614</f>
        <v>127.712</v>
      </c>
      <c r="JH786" s="65">
        <f>193*0.614</f>
        <v>118.502</v>
      </c>
      <c r="JL786" s="65">
        <f>21.8*0.614</f>
        <v>13.385200000000001</v>
      </c>
      <c r="JM786" s="65">
        <f>17.4*0.614</f>
        <v>10.683599999999998</v>
      </c>
      <c r="JU786" s="55" t="s">
        <v>698</v>
      </c>
    </row>
    <row r="787" spans="1:282" x14ac:dyDescent="0.25">
      <c r="A787" s="55">
        <v>786</v>
      </c>
      <c r="B787" s="12" t="s">
        <v>7067</v>
      </c>
      <c r="C787" s="155">
        <v>38</v>
      </c>
      <c r="D787" s="55" t="s">
        <v>3838</v>
      </c>
      <c r="E787" s="90" t="s">
        <v>500</v>
      </c>
      <c r="G787" s="55" t="s">
        <v>501</v>
      </c>
      <c r="H787" s="55">
        <v>2005</v>
      </c>
      <c r="I787" s="55">
        <v>1999</v>
      </c>
      <c r="J787" s="55" t="s">
        <v>276</v>
      </c>
      <c r="K787" s="55" t="s">
        <v>534</v>
      </c>
      <c r="L787" s="55" t="s">
        <v>2737</v>
      </c>
      <c r="M787" s="90">
        <v>47.72</v>
      </c>
      <c r="N787" s="90">
        <v>-104.16</v>
      </c>
      <c r="O787" s="90">
        <v>589</v>
      </c>
      <c r="U787" s="55" t="s">
        <v>1885</v>
      </c>
      <c r="V787" s="55" t="s">
        <v>1681</v>
      </c>
      <c r="Y787" s="55" t="s">
        <v>1879</v>
      </c>
      <c r="Z787" s="55" t="s">
        <v>1357</v>
      </c>
      <c r="AA787" s="90" t="s">
        <v>1677</v>
      </c>
      <c r="AH787" s="55" t="s">
        <v>139</v>
      </c>
      <c r="AN787" s="185" t="s">
        <v>1500</v>
      </c>
      <c r="AO787" s="185" t="s">
        <v>5150</v>
      </c>
      <c r="AQ787" s="55" t="s">
        <v>1545</v>
      </c>
      <c r="AR787" s="55" t="s">
        <v>1563</v>
      </c>
      <c r="AS787" s="55" t="s">
        <v>1587</v>
      </c>
      <c r="AT787" s="181" t="s">
        <v>528</v>
      </c>
      <c r="AU787" s="181" t="s">
        <v>5150</v>
      </c>
      <c r="AV787" s="185" t="s">
        <v>176</v>
      </c>
      <c r="AW787" s="55" t="s">
        <v>535</v>
      </c>
      <c r="AX787" s="185" t="s">
        <v>176</v>
      </c>
      <c r="AY787" s="55" t="s">
        <v>479</v>
      </c>
      <c r="AZ787" s="55" t="s">
        <v>536</v>
      </c>
      <c r="BA787" s="55" t="s">
        <v>156</v>
      </c>
      <c r="BB787" s="55" t="s">
        <v>2081</v>
      </c>
      <c r="BC787" s="55" t="s">
        <v>2082</v>
      </c>
      <c r="BD787" s="55" t="s">
        <v>479</v>
      </c>
      <c r="BE787" s="226" t="s">
        <v>477</v>
      </c>
      <c r="BF787" s="191" t="s">
        <v>479</v>
      </c>
      <c r="BG787" s="55" t="s">
        <v>479</v>
      </c>
      <c r="BH787" s="226" t="s">
        <v>477</v>
      </c>
      <c r="BI787" s="55" t="s">
        <v>479</v>
      </c>
      <c r="BJ787" s="55" t="s">
        <v>176</v>
      </c>
      <c r="BK787" s="55" t="s">
        <v>6269</v>
      </c>
      <c r="BM787" s="192" t="s">
        <v>119</v>
      </c>
      <c r="GP787" s="292" t="s">
        <v>7494</v>
      </c>
      <c r="IC787" s="65">
        <v>6.3</v>
      </c>
      <c r="ID787" s="65">
        <v>10.8</v>
      </c>
      <c r="IG787" s="65" t="s">
        <v>545</v>
      </c>
      <c r="IR787" s="65">
        <v>5.1999999999999998E-2</v>
      </c>
      <c r="IS787" s="65">
        <v>5.8000000000000003E-2</v>
      </c>
      <c r="IV787" s="65" t="s">
        <v>544</v>
      </c>
      <c r="JG787" s="65">
        <f>263*0.614</f>
        <v>161.482</v>
      </c>
      <c r="JH787" s="65">
        <f>211*0.614</f>
        <v>129.554</v>
      </c>
      <c r="JL787" s="65">
        <f>26.1*0.614</f>
        <v>16.025400000000001</v>
      </c>
      <c r="JM787" s="65">
        <f>20*0.614</f>
        <v>12.28</v>
      </c>
      <c r="JU787" s="55" t="s">
        <v>698</v>
      </c>
    </row>
    <row r="788" spans="1:282" x14ac:dyDescent="0.25">
      <c r="A788" s="55">
        <v>787</v>
      </c>
      <c r="B788" s="12" t="s">
        <v>7067</v>
      </c>
      <c r="C788" s="155">
        <v>38</v>
      </c>
      <c r="D788" s="55" t="s">
        <v>3839</v>
      </c>
      <c r="E788" s="90" t="s">
        <v>500</v>
      </c>
      <c r="G788" s="55" t="s">
        <v>501</v>
      </c>
      <c r="H788" s="55">
        <v>2005</v>
      </c>
      <c r="I788" s="55">
        <v>1999</v>
      </c>
      <c r="J788" s="55" t="s">
        <v>276</v>
      </c>
      <c r="K788" s="55" t="s">
        <v>537</v>
      </c>
      <c r="L788" s="55" t="s">
        <v>2737</v>
      </c>
      <c r="M788" s="90">
        <v>50.29</v>
      </c>
      <c r="N788" s="90">
        <v>-107.73</v>
      </c>
      <c r="O788" s="90">
        <v>781</v>
      </c>
      <c r="U788" s="55" t="s">
        <v>1888</v>
      </c>
      <c r="V788" s="55" t="s">
        <v>1877</v>
      </c>
      <c r="Y788" s="55" t="s">
        <v>1883</v>
      </c>
      <c r="Z788" s="55" t="s">
        <v>1347</v>
      </c>
      <c r="AA788" s="90" t="s">
        <v>1676</v>
      </c>
      <c r="AH788" s="55" t="s">
        <v>6378</v>
      </c>
      <c r="AN788" s="185" t="s">
        <v>538</v>
      </c>
      <c r="AO788" s="185" t="s">
        <v>5150</v>
      </c>
      <c r="AQ788" s="55" t="s">
        <v>553</v>
      </c>
      <c r="AR788" s="55" t="s">
        <v>1563</v>
      </c>
      <c r="AS788" s="55" t="s">
        <v>1587</v>
      </c>
      <c r="AT788" s="181" t="s">
        <v>528</v>
      </c>
      <c r="AU788" s="181" t="s">
        <v>5150</v>
      </c>
      <c r="AV788" s="185" t="s">
        <v>176</v>
      </c>
      <c r="AW788" s="55" t="s">
        <v>539</v>
      </c>
      <c r="AX788" s="185" t="s">
        <v>176</v>
      </c>
      <c r="AY788" s="55" t="s">
        <v>479</v>
      </c>
      <c r="AZ788" s="55" t="s">
        <v>540</v>
      </c>
      <c r="BA788" s="55" t="s">
        <v>540</v>
      </c>
      <c r="BB788" s="55" t="s">
        <v>2081</v>
      </c>
      <c r="BC788" s="55" t="s">
        <v>2081</v>
      </c>
      <c r="BD788" s="55" t="s">
        <v>176</v>
      </c>
      <c r="BE788" s="226" t="s">
        <v>504</v>
      </c>
      <c r="BF788" s="191" t="s">
        <v>479</v>
      </c>
      <c r="BG788" s="55" t="s">
        <v>479</v>
      </c>
      <c r="BH788" s="226" t="s">
        <v>504</v>
      </c>
      <c r="BI788" s="55" t="s">
        <v>479</v>
      </c>
      <c r="BK788" s="55" t="s">
        <v>5976</v>
      </c>
      <c r="BM788" s="192" t="s">
        <v>119</v>
      </c>
      <c r="EK788" s="90">
        <v>485</v>
      </c>
      <c r="EL788" s="90">
        <v>609</v>
      </c>
      <c r="GP788" s="292" t="s">
        <v>7494</v>
      </c>
      <c r="IC788" s="65">
        <v>23.7</v>
      </c>
      <c r="ID788" s="65">
        <v>45.8</v>
      </c>
      <c r="IG788" s="65" t="s">
        <v>545</v>
      </c>
      <c r="IR788" s="65">
        <v>5.7000000000000002E-2</v>
      </c>
      <c r="IS788" s="65">
        <v>8.6999999999999994E-2</v>
      </c>
      <c r="IV788" s="65" t="s">
        <v>544</v>
      </c>
      <c r="JG788" s="65">
        <f>288*0.614</f>
        <v>176.83199999999999</v>
      </c>
      <c r="JH788" s="65">
        <f>491*0.614</f>
        <v>301.47399999999999</v>
      </c>
      <c r="JL788" s="65">
        <f>32.8*0.614</f>
        <v>20.139199999999999</v>
      </c>
      <c r="JM788" s="65">
        <f>45.2*0.614</f>
        <v>27.752800000000001</v>
      </c>
      <c r="JU788" s="55" t="s">
        <v>698</v>
      </c>
    </row>
    <row r="789" spans="1:282" x14ac:dyDescent="0.25">
      <c r="A789" s="55">
        <v>788</v>
      </c>
      <c r="B789" s="12" t="s">
        <v>7067</v>
      </c>
      <c r="C789" s="155">
        <v>38</v>
      </c>
      <c r="D789" s="55" t="s">
        <v>3840</v>
      </c>
      <c r="E789" s="90" t="s">
        <v>500</v>
      </c>
      <c r="G789" s="55" t="s">
        <v>501</v>
      </c>
      <c r="H789" s="55">
        <v>2005</v>
      </c>
      <c r="I789" s="55">
        <v>1999</v>
      </c>
      <c r="J789" s="55" t="s">
        <v>276</v>
      </c>
      <c r="K789" s="55" t="s">
        <v>537</v>
      </c>
      <c r="L789" s="55" t="s">
        <v>2737</v>
      </c>
      <c r="M789" s="90">
        <v>50.29</v>
      </c>
      <c r="N789" s="90">
        <v>-107.73</v>
      </c>
      <c r="O789" s="90">
        <v>781</v>
      </c>
      <c r="U789" s="55" t="s">
        <v>1888</v>
      </c>
      <c r="V789" s="55" t="s">
        <v>1877</v>
      </c>
      <c r="Y789" s="55" t="s">
        <v>1883</v>
      </c>
      <c r="Z789" s="55" t="s">
        <v>1348</v>
      </c>
      <c r="AA789" s="90" t="s">
        <v>1676</v>
      </c>
      <c r="AH789" s="55" t="s">
        <v>6378</v>
      </c>
      <c r="AN789" s="185" t="s">
        <v>538</v>
      </c>
      <c r="AO789" s="185" t="s">
        <v>5150</v>
      </c>
      <c r="AQ789" s="55" t="s">
        <v>553</v>
      </c>
      <c r="AR789" s="55" t="s">
        <v>1563</v>
      </c>
      <c r="AS789" s="55" t="s">
        <v>1587</v>
      </c>
      <c r="AT789" s="181" t="s">
        <v>528</v>
      </c>
      <c r="AU789" s="181" t="s">
        <v>5150</v>
      </c>
      <c r="AV789" s="185" t="s">
        <v>176</v>
      </c>
      <c r="AW789" s="55" t="s">
        <v>539</v>
      </c>
      <c r="AX789" s="185" t="s">
        <v>176</v>
      </c>
      <c r="AY789" s="55" t="s">
        <v>479</v>
      </c>
      <c r="AZ789" s="55" t="s">
        <v>540</v>
      </c>
      <c r="BA789" s="55" t="s">
        <v>540</v>
      </c>
      <c r="BB789" s="55" t="s">
        <v>2081</v>
      </c>
      <c r="BC789" s="55" t="s">
        <v>2081</v>
      </c>
      <c r="BD789" s="55" t="s">
        <v>176</v>
      </c>
      <c r="BE789" s="226" t="s">
        <v>504</v>
      </c>
      <c r="BF789" s="191" t="s">
        <v>479</v>
      </c>
      <c r="BG789" s="55" t="s">
        <v>479</v>
      </c>
      <c r="BH789" s="226" t="s">
        <v>504</v>
      </c>
      <c r="BI789" s="55" t="s">
        <v>479</v>
      </c>
      <c r="BK789" s="55" t="s">
        <v>5976</v>
      </c>
      <c r="BM789" s="192" t="s">
        <v>119</v>
      </c>
      <c r="GP789" s="292" t="s">
        <v>7494</v>
      </c>
      <c r="IC789" s="65">
        <v>14.2</v>
      </c>
      <c r="ID789" s="65">
        <v>22.6</v>
      </c>
      <c r="IG789" s="65" t="s">
        <v>545</v>
      </c>
      <c r="IR789" s="65">
        <v>2.9000000000000001E-2</v>
      </c>
      <c r="IS789" s="65">
        <v>2.3E-2</v>
      </c>
      <c r="IV789" s="65" t="s">
        <v>544</v>
      </c>
      <c r="JG789" s="65">
        <f>227*0.614</f>
        <v>139.37799999999999</v>
      </c>
      <c r="JH789" s="65">
        <f>352*0.614</f>
        <v>216.12799999999999</v>
      </c>
      <c r="JL789" s="65">
        <f>23.3*0.614</f>
        <v>14.3062</v>
      </c>
      <c r="JM789" s="65">
        <f>35.6*0.614</f>
        <v>21.8584</v>
      </c>
      <c r="JU789" s="55" t="s">
        <v>698</v>
      </c>
    </row>
    <row r="790" spans="1:282" x14ac:dyDescent="0.25">
      <c r="A790" s="55">
        <v>789</v>
      </c>
      <c r="B790" s="12" t="s">
        <v>7067</v>
      </c>
      <c r="C790" s="155">
        <v>38</v>
      </c>
      <c r="D790" s="55" t="s">
        <v>3841</v>
      </c>
      <c r="E790" s="90" t="s">
        <v>500</v>
      </c>
      <c r="G790" s="55" t="s">
        <v>501</v>
      </c>
      <c r="H790" s="55">
        <v>2005</v>
      </c>
      <c r="I790" s="55">
        <v>1999</v>
      </c>
      <c r="J790" s="55" t="s">
        <v>276</v>
      </c>
      <c r="K790" s="55" t="s">
        <v>537</v>
      </c>
      <c r="L790" s="55" t="s">
        <v>2737</v>
      </c>
      <c r="M790" s="90">
        <v>50.29</v>
      </c>
      <c r="N790" s="90">
        <v>-107.73</v>
      </c>
      <c r="O790" s="90">
        <v>781</v>
      </c>
      <c r="U790" s="55" t="s">
        <v>1888</v>
      </c>
      <c r="V790" s="55" t="s">
        <v>1877</v>
      </c>
      <c r="Y790" s="55" t="s">
        <v>1883</v>
      </c>
      <c r="Z790" s="55" t="s">
        <v>1357</v>
      </c>
      <c r="AA790" s="90" t="s">
        <v>1677</v>
      </c>
      <c r="AH790" s="55" t="s">
        <v>6378</v>
      </c>
      <c r="AN790" s="185" t="s">
        <v>538</v>
      </c>
      <c r="AO790" s="185" t="s">
        <v>5150</v>
      </c>
      <c r="AQ790" s="55" t="s">
        <v>553</v>
      </c>
      <c r="AR790" s="55" t="s">
        <v>1563</v>
      </c>
      <c r="AS790" s="55" t="s">
        <v>1587</v>
      </c>
      <c r="AT790" s="181" t="s">
        <v>528</v>
      </c>
      <c r="AU790" s="181" t="s">
        <v>5150</v>
      </c>
      <c r="AV790" s="185" t="s">
        <v>176</v>
      </c>
      <c r="AW790" s="55" t="s">
        <v>539</v>
      </c>
      <c r="AX790" s="185" t="s">
        <v>176</v>
      </c>
      <c r="AY790" s="55" t="s">
        <v>479</v>
      </c>
      <c r="AZ790" s="55" t="s">
        <v>540</v>
      </c>
      <c r="BA790" s="55" t="s">
        <v>540</v>
      </c>
      <c r="BB790" s="55" t="s">
        <v>2081</v>
      </c>
      <c r="BC790" s="55" t="s">
        <v>2081</v>
      </c>
      <c r="BD790" s="55" t="s">
        <v>176</v>
      </c>
      <c r="BE790" s="226" t="s">
        <v>504</v>
      </c>
      <c r="BF790" s="191" t="s">
        <v>479</v>
      </c>
      <c r="BG790" s="55" t="s">
        <v>479</v>
      </c>
      <c r="BH790" s="226" t="s">
        <v>504</v>
      </c>
      <c r="BI790" s="55" t="s">
        <v>479</v>
      </c>
      <c r="BK790" s="55" t="s">
        <v>5976</v>
      </c>
      <c r="BM790" s="192" t="s">
        <v>119</v>
      </c>
      <c r="GP790" s="292" t="s">
        <v>7494</v>
      </c>
      <c r="IC790" s="65">
        <v>12.5</v>
      </c>
      <c r="ID790" s="65">
        <v>15.1</v>
      </c>
      <c r="IG790" s="65" t="s">
        <v>545</v>
      </c>
      <c r="IR790" s="65">
        <v>3.5000000000000003E-2</v>
      </c>
      <c r="IS790" s="65">
        <v>2.5999999999999999E-2</v>
      </c>
      <c r="IV790" s="65" t="s">
        <v>544</v>
      </c>
      <c r="JG790" s="65">
        <f>239*0.614</f>
        <v>146.74600000000001</v>
      </c>
      <c r="JH790" s="65">
        <f>320*0.614</f>
        <v>196.48</v>
      </c>
      <c r="JL790" s="65">
        <f>26.1*0.614</f>
        <v>16.025400000000001</v>
      </c>
      <c r="JM790" s="65">
        <f>45.1*0.614</f>
        <v>27.691400000000002</v>
      </c>
      <c r="JU790" s="55" t="s">
        <v>698</v>
      </c>
    </row>
    <row r="791" spans="1:282" x14ac:dyDescent="0.25">
      <c r="A791" s="55">
        <v>790</v>
      </c>
      <c r="B791" s="12" t="s">
        <v>7067</v>
      </c>
      <c r="C791" s="155">
        <v>39</v>
      </c>
      <c r="D791" s="55" t="s">
        <v>3842</v>
      </c>
      <c r="E791" s="90" t="s">
        <v>546</v>
      </c>
      <c r="G791" s="55" t="s">
        <v>547</v>
      </c>
      <c r="H791" s="55">
        <v>2006</v>
      </c>
      <c r="I791" s="55">
        <v>2002</v>
      </c>
      <c r="J791" s="55" t="s">
        <v>127</v>
      </c>
      <c r="K791" s="55" t="s">
        <v>1568</v>
      </c>
      <c r="L791" s="55" t="s">
        <v>2737</v>
      </c>
      <c r="M791" s="90">
        <f>41+26/60</f>
        <v>41.43333333333333</v>
      </c>
      <c r="N791" s="90">
        <f>-85-23/60</f>
        <v>-85.38333333333334</v>
      </c>
      <c r="O791" s="90">
        <v>292.60000000000002</v>
      </c>
      <c r="U791" s="55" t="s">
        <v>1679</v>
      </c>
      <c r="V791" s="55" t="s">
        <v>1679</v>
      </c>
      <c r="Y791" s="55" t="s">
        <v>1890</v>
      </c>
      <c r="Z791" s="55" t="s">
        <v>1367</v>
      </c>
      <c r="AA791" s="90" t="s">
        <v>1687</v>
      </c>
      <c r="AH791" s="55" t="s">
        <v>139</v>
      </c>
      <c r="AI791" s="168">
        <v>6.1</v>
      </c>
      <c r="AM791" s="55" t="s">
        <v>1294</v>
      </c>
      <c r="AN791" s="185" t="s">
        <v>1473</v>
      </c>
      <c r="AO791" s="185" t="s">
        <v>5150</v>
      </c>
      <c r="AQ791" s="55" t="s">
        <v>131</v>
      </c>
      <c r="AR791" s="55" t="s">
        <v>1551</v>
      </c>
      <c r="AS791" s="55" t="s">
        <v>1585</v>
      </c>
      <c r="AT791" s="181" t="s">
        <v>552</v>
      </c>
      <c r="AU791" s="181" t="s">
        <v>5150</v>
      </c>
      <c r="AV791" s="185" t="s">
        <v>479</v>
      </c>
      <c r="AW791" s="55" t="s">
        <v>551</v>
      </c>
      <c r="AX791" s="185" t="s">
        <v>479</v>
      </c>
      <c r="AY791" s="55" t="s">
        <v>479</v>
      </c>
      <c r="AZ791" s="55" t="s">
        <v>550</v>
      </c>
      <c r="BA791" s="55" t="s">
        <v>550</v>
      </c>
      <c r="BB791" s="55" t="s">
        <v>2081</v>
      </c>
      <c r="BC791" s="55" t="s">
        <v>2081</v>
      </c>
      <c r="BD791" s="55" t="s">
        <v>176</v>
      </c>
      <c r="BE791" s="226" t="s">
        <v>549</v>
      </c>
      <c r="BF791" s="191" t="s">
        <v>479</v>
      </c>
      <c r="BG791" s="55" t="s">
        <v>479</v>
      </c>
      <c r="BH791" s="226" t="s">
        <v>548</v>
      </c>
      <c r="BI791" s="55" t="s">
        <v>479</v>
      </c>
      <c r="BJ791" s="55" t="s">
        <v>479</v>
      </c>
      <c r="BK791" s="55" t="s">
        <v>5976</v>
      </c>
      <c r="BM791" s="192" t="s">
        <v>160</v>
      </c>
      <c r="BN791" s="55">
        <v>4</v>
      </c>
      <c r="BO791" s="55">
        <v>4</v>
      </c>
      <c r="BQ791" s="55" t="s">
        <v>141</v>
      </c>
      <c r="BV791" s="55" t="s">
        <v>554</v>
      </c>
      <c r="CM791" s="65">
        <v>1.2370000000000001</v>
      </c>
      <c r="CN791" s="65">
        <v>1.35</v>
      </c>
      <c r="CQ791" s="65" t="s">
        <v>163</v>
      </c>
      <c r="CV791" s="65" t="s">
        <v>3039</v>
      </c>
      <c r="DA791" s="65" t="s">
        <v>4458</v>
      </c>
      <c r="DB791" s="65">
        <v>1141</v>
      </c>
      <c r="DC791" s="65">
        <v>1277</v>
      </c>
      <c r="DF791" s="65" t="s">
        <v>232</v>
      </c>
      <c r="GP791" s="292" t="s">
        <v>7494</v>
      </c>
      <c r="JU791" s="55" t="s">
        <v>699</v>
      </c>
    </row>
    <row r="792" spans="1:282" x14ac:dyDescent="0.25">
      <c r="A792" s="55">
        <v>791</v>
      </c>
      <c r="B792" s="12" t="s">
        <v>7067</v>
      </c>
      <c r="C792" s="155">
        <v>39</v>
      </c>
      <c r="D792" s="55" t="s">
        <v>3843</v>
      </c>
      <c r="E792" s="90" t="s">
        <v>546</v>
      </c>
      <c r="G792" s="55" t="s">
        <v>547</v>
      </c>
      <c r="H792" s="55">
        <v>2006</v>
      </c>
      <c r="I792" s="55">
        <v>2002</v>
      </c>
      <c r="J792" s="55" t="s">
        <v>127</v>
      </c>
      <c r="K792" s="55" t="s">
        <v>1568</v>
      </c>
      <c r="L792" s="55" t="s">
        <v>2737</v>
      </c>
      <c r="M792" s="90">
        <f>41+26/60</f>
        <v>41.43333333333333</v>
      </c>
      <c r="N792" s="90">
        <f>-85-23/60</f>
        <v>-85.38333333333334</v>
      </c>
      <c r="O792" s="90">
        <v>292.60000000000002</v>
      </c>
      <c r="U792" s="55" t="s">
        <v>1679</v>
      </c>
      <c r="V792" s="55" t="s">
        <v>1679</v>
      </c>
      <c r="Y792" s="55" t="s">
        <v>1890</v>
      </c>
      <c r="Z792" s="55" t="s">
        <v>1367</v>
      </c>
      <c r="AA792" s="90" t="s">
        <v>1687</v>
      </c>
      <c r="AH792" s="55" t="s">
        <v>139</v>
      </c>
      <c r="AI792" s="168">
        <v>6.1</v>
      </c>
      <c r="AM792" s="55" t="s">
        <v>1294</v>
      </c>
      <c r="AN792" s="185" t="s">
        <v>1473</v>
      </c>
      <c r="AO792" s="185" t="s">
        <v>5150</v>
      </c>
      <c r="AQ792" s="55" t="s">
        <v>131</v>
      </c>
      <c r="AR792" s="55" t="s">
        <v>1551</v>
      </c>
      <c r="AS792" s="55" t="s">
        <v>1585</v>
      </c>
      <c r="AT792" s="181" t="s">
        <v>552</v>
      </c>
      <c r="AU792" s="181" t="s">
        <v>5150</v>
      </c>
      <c r="AV792" s="185" t="s">
        <v>479</v>
      </c>
      <c r="AW792" s="55" t="s">
        <v>551</v>
      </c>
      <c r="AX792" s="185" t="s">
        <v>479</v>
      </c>
      <c r="AY792" s="55" t="s">
        <v>479</v>
      </c>
      <c r="AZ792" s="55" t="s">
        <v>550</v>
      </c>
      <c r="BA792" s="55" t="s">
        <v>550</v>
      </c>
      <c r="BB792" s="55" t="s">
        <v>2081</v>
      </c>
      <c r="BC792" s="55" t="s">
        <v>2081</v>
      </c>
      <c r="BD792" s="55" t="s">
        <v>176</v>
      </c>
      <c r="BE792" s="226" t="s">
        <v>549</v>
      </c>
      <c r="BF792" s="191" t="s">
        <v>479</v>
      </c>
      <c r="BG792" s="55" t="s">
        <v>479</v>
      </c>
      <c r="BH792" s="226" t="s">
        <v>553</v>
      </c>
      <c r="BI792" s="55" t="s">
        <v>479</v>
      </c>
      <c r="BJ792" s="55" t="s">
        <v>479</v>
      </c>
      <c r="BK792" s="55" t="s">
        <v>5976</v>
      </c>
      <c r="BM792" s="192" t="s">
        <v>160</v>
      </c>
      <c r="BN792" s="55">
        <v>4</v>
      </c>
      <c r="BO792" s="55">
        <v>4</v>
      </c>
      <c r="BQ792" s="55" t="s">
        <v>141</v>
      </c>
      <c r="BV792" s="55" t="s">
        <v>555</v>
      </c>
      <c r="CM792" s="65">
        <v>1.2370000000000001</v>
      </c>
      <c r="CN792" s="65">
        <v>1.4</v>
      </c>
      <c r="CQ792" s="65" t="s">
        <v>163</v>
      </c>
      <c r="CV792" s="65" t="s">
        <v>3039</v>
      </c>
      <c r="DA792" s="65" t="s">
        <v>4458</v>
      </c>
      <c r="DB792" s="65">
        <v>1141</v>
      </c>
      <c r="DC792" s="65">
        <v>1335</v>
      </c>
      <c r="DF792" s="65" t="s">
        <v>232</v>
      </c>
      <c r="GP792" s="292" t="s">
        <v>7494</v>
      </c>
      <c r="JU792" s="55" t="s">
        <v>699</v>
      </c>
    </row>
    <row r="793" spans="1:282" x14ac:dyDescent="0.25">
      <c r="A793" s="55">
        <v>792</v>
      </c>
      <c r="B793" s="12" t="s">
        <v>7067</v>
      </c>
      <c r="C793" s="155">
        <v>40</v>
      </c>
      <c r="D793" s="55" t="s">
        <v>3844</v>
      </c>
      <c r="E793" s="90" t="s">
        <v>557</v>
      </c>
      <c r="G793" s="55" t="s">
        <v>558</v>
      </c>
      <c r="H793" s="55">
        <v>2015</v>
      </c>
      <c r="I793" s="55">
        <v>1997</v>
      </c>
      <c r="J793" s="55" t="s">
        <v>127</v>
      </c>
      <c r="K793" s="55" t="s">
        <v>569</v>
      </c>
      <c r="L793" s="55" t="s">
        <v>2737</v>
      </c>
      <c r="M793" s="90">
        <v>35.619999999999997</v>
      </c>
      <c r="N793" s="90">
        <v>-88.85</v>
      </c>
      <c r="O793" s="90">
        <v>107.7</v>
      </c>
      <c r="S793" s="90">
        <v>1375</v>
      </c>
      <c r="U793" s="55">
        <v>15</v>
      </c>
      <c r="V793" s="55" t="s">
        <v>1888</v>
      </c>
      <c r="Y793" s="55" t="s">
        <v>1891</v>
      </c>
      <c r="Z793" s="55" t="s">
        <v>1347</v>
      </c>
      <c r="AA793" s="90" t="s">
        <v>1676</v>
      </c>
      <c r="AD793" s="90">
        <f>(1.4+1.39+1.43)/3</f>
        <v>1.4066666666666665</v>
      </c>
      <c r="AH793" s="55" t="s">
        <v>6378</v>
      </c>
      <c r="AM793" s="55" t="s">
        <v>1302</v>
      </c>
      <c r="AN793" s="185" t="s">
        <v>241</v>
      </c>
      <c r="AO793" s="185" t="s">
        <v>5150</v>
      </c>
      <c r="AQ793" s="55" t="s">
        <v>553</v>
      </c>
      <c r="AR793" s="55" t="s">
        <v>560</v>
      </c>
      <c r="AS793" s="55" t="s">
        <v>5133</v>
      </c>
      <c r="AU793" s="181" t="s">
        <v>7494</v>
      </c>
      <c r="AV793" s="185" t="s">
        <v>176</v>
      </c>
      <c r="AX793" s="185" t="s">
        <v>176</v>
      </c>
      <c r="BK793" s="55" t="s">
        <v>5976</v>
      </c>
      <c r="BM793" s="192" t="s">
        <v>160</v>
      </c>
      <c r="BN793" s="55">
        <v>4</v>
      </c>
      <c r="BO793" s="55">
        <v>4</v>
      </c>
      <c r="BQ793" s="55" t="s">
        <v>315</v>
      </c>
      <c r="BV793" s="55" t="s">
        <v>559</v>
      </c>
      <c r="CB793" s="66">
        <v>1375</v>
      </c>
      <c r="CC793" s="66">
        <v>1608</v>
      </c>
      <c r="CH793" s="90">
        <v>1.43</v>
      </c>
      <c r="CI793" s="90">
        <v>1.4</v>
      </c>
      <c r="DG793" s="65">
        <v>101.62</v>
      </c>
      <c r="DH793" s="65">
        <v>78.61</v>
      </c>
      <c r="DL793" s="65">
        <v>233.55</v>
      </c>
      <c r="DM793" s="65">
        <v>199.67</v>
      </c>
      <c r="DQ793" s="165">
        <v>5.44</v>
      </c>
      <c r="DR793" s="165">
        <v>5.4</v>
      </c>
      <c r="DV793" s="65">
        <f>DL793+896.37+74.81</f>
        <v>1204.73</v>
      </c>
      <c r="DW793" s="65">
        <f>DM793+858.65+75.77</f>
        <v>1134.0899999999999</v>
      </c>
      <c r="DZ793" s="65" t="s">
        <v>4468</v>
      </c>
      <c r="GD793" s="65">
        <v>21.08</v>
      </c>
      <c r="GE793" s="65">
        <v>23.69</v>
      </c>
      <c r="GP793" s="292" t="s">
        <v>7494</v>
      </c>
      <c r="HI793" s="65">
        <v>27.94</v>
      </c>
      <c r="HJ793" s="65">
        <v>28.6</v>
      </c>
      <c r="HM793" s="65" t="s">
        <v>561</v>
      </c>
      <c r="IR793" s="65">
        <f>4.45*0.0441</f>
        <v>0.196245</v>
      </c>
      <c r="IS793" s="65">
        <f>6.24*0.0441</f>
        <v>0.27518399999999998</v>
      </c>
      <c r="JG793" s="65">
        <v>336.42</v>
      </c>
      <c r="JH793" s="65">
        <v>400.79</v>
      </c>
      <c r="JL793" s="65">
        <v>78.03</v>
      </c>
      <c r="JM793" s="65">
        <v>99.31</v>
      </c>
      <c r="JQ793" s="65">
        <v>99999</v>
      </c>
      <c r="JR793" s="65">
        <v>99999</v>
      </c>
      <c r="JU793" s="55" t="s">
        <v>585</v>
      </c>
      <c r="JV793" s="55" t="s">
        <v>874</v>
      </c>
    </row>
    <row r="794" spans="1:282" x14ac:dyDescent="0.25">
      <c r="A794" s="55">
        <v>793</v>
      </c>
      <c r="B794" s="12" t="s">
        <v>7067</v>
      </c>
      <c r="C794" s="155">
        <v>40</v>
      </c>
      <c r="D794" s="55" t="s">
        <v>3844</v>
      </c>
      <c r="E794" s="90" t="s">
        <v>557</v>
      </c>
      <c r="G794" s="55" t="s">
        <v>558</v>
      </c>
      <c r="H794" s="55">
        <v>2015</v>
      </c>
      <c r="I794" s="55">
        <v>1997</v>
      </c>
      <c r="J794" s="55" t="s">
        <v>127</v>
      </c>
      <c r="K794" s="55" t="s">
        <v>569</v>
      </c>
      <c r="L794" s="55" t="s">
        <v>2737</v>
      </c>
      <c r="M794" s="90">
        <v>35.619999999999997</v>
      </c>
      <c r="N794" s="90">
        <v>-88.85</v>
      </c>
      <c r="O794" s="90">
        <v>107.7</v>
      </c>
      <c r="S794" s="90">
        <v>1375</v>
      </c>
      <c r="U794" s="55">
        <v>15</v>
      </c>
      <c r="V794" s="55" t="s">
        <v>1888</v>
      </c>
      <c r="Y794" s="55" t="s">
        <v>1891</v>
      </c>
      <c r="Z794" s="55" t="s">
        <v>1347</v>
      </c>
      <c r="AA794" s="90" t="s">
        <v>1676</v>
      </c>
      <c r="AD794" s="90">
        <f>(1.4+1.39+1.43)/3</f>
        <v>1.4066666666666665</v>
      </c>
      <c r="AH794" s="55" t="s">
        <v>6378</v>
      </c>
      <c r="AM794" s="55" t="s">
        <v>1302</v>
      </c>
      <c r="AN794" s="185" t="s">
        <v>116</v>
      </c>
      <c r="AO794" s="185" t="s">
        <v>5150</v>
      </c>
      <c r="AQ794" s="55" t="s">
        <v>1545</v>
      </c>
      <c r="AR794" s="55" t="s">
        <v>560</v>
      </c>
      <c r="AS794" s="55" t="s">
        <v>5133</v>
      </c>
      <c r="AU794" s="181" t="s">
        <v>7494</v>
      </c>
      <c r="AV794" s="185" t="s">
        <v>176</v>
      </c>
      <c r="AX794" s="185" t="s">
        <v>176</v>
      </c>
      <c r="BK794" s="55" t="s">
        <v>5976</v>
      </c>
      <c r="BM794" s="192" t="s">
        <v>160</v>
      </c>
      <c r="BN794" s="55">
        <v>4</v>
      </c>
      <c r="BO794" s="55">
        <v>4</v>
      </c>
      <c r="BQ794" s="55" t="s">
        <v>315</v>
      </c>
      <c r="BV794" s="55" t="s">
        <v>559</v>
      </c>
      <c r="CB794" s="66">
        <v>1375</v>
      </c>
      <c r="CC794" s="66">
        <v>1344</v>
      </c>
      <c r="CH794" s="90">
        <v>1.43</v>
      </c>
      <c r="CI794" s="90">
        <v>1.39</v>
      </c>
      <c r="DG794" s="65">
        <v>101.62</v>
      </c>
      <c r="DH794" s="65">
        <v>99.5</v>
      </c>
      <c r="DL794" s="65">
        <v>233.55</v>
      </c>
      <c r="DM794" s="65">
        <v>224.88</v>
      </c>
      <c r="DQ794" s="165">
        <v>5.44</v>
      </c>
      <c r="DR794" s="165">
        <v>5.51</v>
      </c>
      <c r="DV794" s="65">
        <f>DL794+896.37+74.81</f>
        <v>1204.73</v>
      </c>
      <c r="DW794" s="65">
        <f>DM794+881.48+73.17</f>
        <v>1179.5300000000002</v>
      </c>
      <c r="DZ794" s="65" t="s">
        <v>4468</v>
      </c>
      <c r="GD794" s="65">
        <v>21.08</v>
      </c>
      <c r="GE794" s="65">
        <v>21.44</v>
      </c>
      <c r="GP794" s="292" t="s">
        <v>7494</v>
      </c>
      <c r="HI794" s="65">
        <v>27.94</v>
      </c>
      <c r="HJ794" s="65">
        <v>28.41</v>
      </c>
      <c r="HM794" s="65" t="s">
        <v>561</v>
      </c>
      <c r="IR794" s="65">
        <f>4.45*0.0441</f>
        <v>0.196245</v>
      </c>
      <c r="IS794" s="65">
        <f>4.42*0.0441</f>
        <v>0.19492200000000001</v>
      </c>
      <c r="JG794" s="65">
        <v>336.42</v>
      </c>
      <c r="JH794" s="65">
        <v>351.74</v>
      </c>
      <c r="JL794" s="65">
        <v>78.03</v>
      </c>
      <c r="JM794" s="65">
        <v>78.819999999999993</v>
      </c>
      <c r="JQ794" s="65">
        <v>99999</v>
      </c>
      <c r="JR794" s="65">
        <v>99999</v>
      </c>
      <c r="JU794" s="55" t="s">
        <v>585</v>
      </c>
      <c r="JV794" s="55" t="s">
        <v>874</v>
      </c>
    </row>
    <row r="795" spans="1:282" x14ac:dyDescent="0.25">
      <c r="A795" s="55">
        <v>794</v>
      </c>
      <c r="B795" s="12" t="s">
        <v>7067</v>
      </c>
      <c r="C795" s="155">
        <v>40</v>
      </c>
      <c r="D795" s="55" t="s">
        <v>3845</v>
      </c>
      <c r="E795" s="90" t="s">
        <v>557</v>
      </c>
      <c r="G795" s="55" t="s">
        <v>558</v>
      </c>
      <c r="H795" s="55">
        <v>2015</v>
      </c>
      <c r="I795" s="55">
        <v>1997</v>
      </c>
      <c r="J795" s="55" t="s">
        <v>127</v>
      </c>
      <c r="K795" s="55" t="s">
        <v>569</v>
      </c>
      <c r="L795" s="55" t="s">
        <v>2737</v>
      </c>
      <c r="M795" s="90">
        <v>35.619999999999997</v>
      </c>
      <c r="N795" s="90">
        <v>-88.85</v>
      </c>
      <c r="O795" s="90">
        <v>107.7</v>
      </c>
      <c r="S795" s="90">
        <v>1375</v>
      </c>
      <c r="U795" s="55">
        <v>15</v>
      </c>
      <c r="V795" s="55" t="s">
        <v>1888</v>
      </c>
      <c r="Y795" s="55" t="s">
        <v>1891</v>
      </c>
      <c r="Z795" s="55" t="s">
        <v>1347</v>
      </c>
      <c r="AA795" s="90" t="s">
        <v>1676</v>
      </c>
      <c r="AD795" s="90">
        <f>(1.4+1.39+1.43)/3</f>
        <v>1.4066666666666665</v>
      </c>
      <c r="AH795" s="55" t="s">
        <v>6378</v>
      </c>
      <c r="AM795" s="55" t="s">
        <v>1302</v>
      </c>
      <c r="AN795" s="185" t="s">
        <v>241</v>
      </c>
      <c r="AO795" s="185" t="s">
        <v>5150</v>
      </c>
      <c r="AQ795" s="55" t="s">
        <v>553</v>
      </c>
      <c r="AR795" s="55" t="s">
        <v>560</v>
      </c>
      <c r="AS795" s="55" t="s">
        <v>5133</v>
      </c>
      <c r="AU795" s="181" t="s">
        <v>7494</v>
      </c>
      <c r="AV795" s="185" t="s">
        <v>176</v>
      </c>
      <c r="AX795" s="185" t="s">
        <v>176</v>
      </c>
      <c r="AZ795" s="55" t="s">
        <v>156</v>
      </c>
      <c r="BA795" s="55" t="s">
        <v>156</v>
      </c>
      <c r="BB795" s="55" t="s">
        <v>2082</v>
      </c>
      <c r="BC795" s="55" t="s">
        <v>2082</v>
      </c>
      <c r="BD795" s="55" t="s">
        <v>176</v>
      </c>
      <c r="BE795" s="226">
        <v>0</v>
      </c>
      <c r="BG795" s="55" t="s">
        <v>176</v>
      </c>
      <c r="BH795" s="226">
        <v>0</v>
      </c>
      <c r="BI795" s="55" t="s">
        <v>176</v>
      </c>
      <c r="BJ795" s="55" t="s">
        <v>176</v>
      </c>
      <c r="BK795" s="55" t="s">
        <v>6269</v>
      </c>
      <c r="BM795" s="192" t="s">
        <v>160</v>
      </c>
      <c r="BN795" s="55">
        <v>4</v>
      </c>
      <c r="BO795" s="55">
        <v>4</v>
      </c>
      <c r="BQ795" s="55" t="s">
        <v>315</v>
      </c>
      <c r="BV795" s="55" t="s">
        <v>559</v>
      </c>
      <c r="CM795" s="65">
        <f>(CR795*1000000)/(100*100*AD795*AA795/100*1000000)*100</f>
        <v>0.94597156398104287</v>
      </c>
      <c r="CN795" s="65">
        <f>(CS795*1000000)/(100*100*AD795*AA795/100*1000000)*100</f>
        <v>1.2672985781990525</v>
      </c>
      <c r="CR795" s="65">
        <f>9.98</f>
        <v>9.98</v>
      </c>
      <c r="CS795" s="65">
        <v>13.37</v>
      </c>
      <c r="CV795" s="65" t="s">
        <v>4334</v>
      </c>
      <c r="DA795" s="65" t="s">
        <v>4459</v>
      </c>
      <c r="DB795" s="65">
        <v>1.07</v>
      </c>
      <c r="DC795" s="65">
        <v>1.41</v>
      </c>
      <c r="DF795" s="65" t="s">
        <v>1638</v>
      </c>
      <c r="GP795" s="292" t="s">
        <v>7494</v>
      </c>
      <c r="HI795" s="65">
        <v>8.6199999999999992</v>
      </c>
      <c r="HJ795" s="65">
        <v>8.66</v>
      </c>
      <c r="HM795" s="65" t="s">
        <v>1664</v>
      </c>
      <c r="HS795" s="65">
        <v>98.5</v>
      </c>
      <c r="HT795" s="65">
        <v>70.16</v>
      </c>
      <c r="HW795" s="65" t="s">
        <v>1661</v>
      </c>
      <c r="JQ795" s="65">
        <v>99999</v>
      </c>
      <c r="JR795" s="65">
        <v>99999</v>
      </c>
      <c r="JU795" s="55" t="s">
        <v>585</v>
      </c>
      <c r="JV795" s="55" t="s">
        <v>874</v>
      </c>
    </row>
    <row r="796" spans="1:282" x14ac:dyDescent="0.25">
      <c r="A796" s="55">
        <v>795</v>
      </c>
      <c r="B796" s="12" t="s">
        <v>7067</v>
      </c>
      <c r="C796" s="155">
        <v>40</v>
      </c>
      <c r="D796" s="55" t="s">
        <v>3846</v>
      </c>
      <c r="E796" s="90" t="s">
        <v>557</v>
      </c>
      <c r="G796" s="55" t="s">
        <v>558</v>
      </c>
      <c r="H796" s="55">
        <v>2015</v>
      </c>
      <c r="I796" s="55">
        <v>1997</v>
      </c>
      <c r="J796" s="55" t="s">
        <v>127</v>
      </c>
      <c r="K796" s="55" t="s">
        <v>569</v>
      </c>
      <c r="L796" s="55" t="s">
        <v>2737</v>
      </c>
      <c r="M796" s="90">
        <v>35.619999999999997</v>
      </c>
      <c r="N796" s="90">
        <v>-88.85</v>
      </c>
      <c r="O796" s="90">
        <v>107.7</v>
      </c>
      <c r="S796" s="90">
        <v>1375</v>
      </c>
      <c r="U796" s="55">
        <v>15</v>
      </c>
      <c r="V796" s="55" t="s">
        <v>1888</v>
      </c>
      <c r="Y796" s="55" t="s">
        <v>1891</v>
      </c>
      <c r="Z796" s="55" t="s">
        <v>1347</v>
      </c>
      <c r="AA796" s="90" t="s">
        <v>1676</v>
      </c>
      <c r="AD796" s="90">
        <f>(1.4+1.39+1.43)/3</f>
        <v>1.4066666666666665</v>
      </c>
      <c r="AH796" s="55" t="s">
        <v>6378</v>
      </c>
      <c r="AM796" s="55" t="s">
        <v>1302</v>
      </c>
      <c r="AN796" s="185" t="s">
        <v>116</v>
      </c>
      <c r="AO796" s="185" t="s">
        <v>5150</v>
      </c>
      <c r="AQ796" s="55" t="s">
        <v>1545</v>
      </c>
      <c r="AR796" s="55" t="s">
        <v>560</v>
      </c>
      <c r="AS796" s="55" t="s">
        <v>5133</v>
      </c>
      <c r="AU796" s="181" t="s">
        <v>7494</v>
      </c>
      <c r="AV796" s="185" t="s">
        <v>176</v>
      </c>
      <c r="AX796" s="185" t="s">
        <v>176</v>
      </c>
      <c r="AZ796" s="55" t="s">
        <v>156</v>
      </c>
      <c r="BA796" s="55" t="s">
        <v>156</v>
      </c>
      <c r="BB796" s="55" t="s">
        <v>2082</v>
      </c>
      <c r="BC796" s="55" t="s">
        <v>2082</v>
      </c>
      <c r="BD796" s="55" t="s">
        <v>176</v>
      </c>
      <c r="BE796" s="226">
        <v>0</v>
      </c>
      <c r="BG796" s="55" t="s">
        <v>176</v>
      </c>
      <c r="BH796" s="226">
        <v>0</v>
      </c>
      <c r="BI796" s="55" t="s">
        <v>176</v>
      </c>
      <c r="BJ796" s="55" t="s">
        <v>176</v>
      </c>
      <c r="BK796" s="55" t="s">
        <v>6269</v>
      </c>
      <c r="BM796" s="192" t="s">
        <v>160</v>
      </c>
      <c r="BN796" s="55">
        <v>4</v>
      </c>
      <c r="BO796" s="55">
        <v>4</v>
      </c>
      <c r="BQ796" s="55" t="s">
        <v>315</v>
      </c>
      <c r="BV796" s="55" t="s">
        <v>559</v>
      </c>
      <c r="CM796" s="65">
        <f>(CR796*1000000)/(100*100*AD796*AA796/100*1000000)*100</f>
        <v>0.94597156398104287</v>
      </c>
      <c r="CN796" s="65">
        <f>(CS796*1000000)/(100*100*AD796*AA796/100*1000000)*100</f>
        <v>1.0388625592417065</v>
      </c>
      <c r="CR796" s="65">
        <f>9.98</f>
        <v>9.98</v>
      </c>
      <c r="CS796" s="65">
        <v>10.96</v>
      </c>
      <c r="CV796" s="65" t="s">
        <v>4334</v>
      </c>
      <c r="DA796" s="65" t="s">
        <v>4459</v>
      </c>
      <c r="DB796" s="65">
        <v>1.07</v>
      </c>
      <c r="DC796" s="65">
        <v>1.1000000000000001</v>
      </c>
      <c r="DF796" s="65" t="s">
        <v>1638</v>
      </c>
      <c r="GP796" s="292" t="s">
        <v>7494</v>
      </c>
      <c r="HI796" s="65">
        <v>8.6199999999999992</v>
      </c>
      <c r="HJ796" s="65">
        <v>8.6</v>
      </c>
      <c r="HM796" s="65" t="s">
        <v>1664</v>
      </c>
      <c r="HS796" s="65">
        <v>98.5</v>
      </c>
      <c r="HT796" s="65">
        <v>82.91</v>
      </c>
      <c r="HW796" s="65" t="s">
        <v>1661</v>
      </c>
      <c r="JQ796" s="65">
        <v>99999</v>
      </c>
      <c r="JR796" s="65">
        <v>99999</v>
      </c>
      <c r="JU796" s="55" t="s">
        <v>585</v>
      </c>
      <c r="JV796" s="55" t="s">
        <v>874</v>
      </c>
    </row>
    <row r="797" spans="1:282" x14ac:dyDescent="0.25">
      <c r="A797" s="55">
        <v>796</v>
      </c>
      <c r="B797" s="12" t="s">
        <v>7067</v>
      </c>
      <c r="C797" s="155">
        <v>40</v>
      </c>
      <c r="D797" s="55" t="s">
        <v>3847</v>
      </c>
      <c r="E797" s="90" t="s">
        <v>557</v>
      </c>
      <c r="G797" s="55" t="s">
        <v>558</v>
      </c>
      <c r="H797" s="55">
        <v>2015</v>
      </c>
      <c r="I797" s="55">
        <v>1997</v>
      </c>
      <c r="J797" s="55" t="s">
        <v>127</v>
      </c>
      <c r="K797" s="55" t="s">
        <v>569</v>
      </c>
      <c r="L797" s="55" t="s">
        <v>2737</v>
      </c>
      <c r="M797" s="90">
        <v>35.619999999999997</v>
      </c>
      <c r="N797" s="90">
        <v>-88.85</v>
      </c>
      <c r="O797" s="90">
        <v>107.7</v>
      </c>
      <c r="S797" s="90">
        <v>1375</v>
      </c>
      <c r="U797" s="55">
        <v>15</v>
      </c>
      <c r="V797" s="55" t="s">
        <v>1888</v>
      </c>
      <c r="Y797" s="55" t="s">
        <v>1891</v>
      </c>
      <c r="Z797" s="55" t="s">
        <v>1347</v>
      </c>
      <c r="AA797" s="90" t="s">
        <v>1676</v>
      </c>
      <c r="AD797" s="90">
        <f>(1.4+1.39+1.43)/3</f>
        <v>1.4066666666666665</v>
      </c>
      <c r="AH797" s="55" t="s">
        <v>6378</v>
      </c>
      <c r="AM797" s="55" t="s">
        <v>1302</v>
      </c>
      <c r="AN797" s="185" t="s">
        <v>241</v>
      </c>
      <c r="AO797" s="185" t="s">
        <v>5150</v>
      </c>
      <c r="AQ797" s="55" t="s">
        <v>553</v>
      </c>
      <c r="AR797" s="55" t="s">
        <v>560</v>
      </c>
      <c r="AS797" s="55" t="s">
        <v>5133</v>
      </c>
      <c r="AU797" s="181" t="s">
        <v>7494</v>
      </c>
      <c r="AV797" s="185" t="s">
        <v>176</v>
      </c>
      <c r="AX797" s="185" t="s">
        <v>176</v>
      </c>
      <c r="AZ797" s="55" t="s">
        <v>562</v>
      </c>
      <c r="BA797" s="55" t="s">
        <v>562</v>
      </c>
      <c r="BB797" s="55" t="s">
        <v>2081</v>
      </c>
      <c r="BC797" s="55" t="s">
        <v>2081</v>
      </c>
      <c r="BD797" s="55" t="s">
        <v>176</v>
      </c>
      <c r="BE797" s="226">
        <v>0</v>
      </c>
      <c r="BG797" s="55" t="s">
        <v>176</v>
      </c>
      <c r="BH797" s="226">
        <v>0</v>
      </c>
      <c r="BI797" s="55" t="s">
        <v>176</v>
      </c>
      <c r="BJ797" s="55" t="s">
        <v>176</v>
      </c>
      <c r="BK797" s="55" t="s">
        <v>5976</v>
      </c>
      <c r="BM797" s="192" t="s">
        <v>160</v>
      </c>
      <c r="BN797" s="55">
        <v>4</v>
      </c>
      <c r="BO797" s="55">
        <v>4</v>
      </c>
      <c r="BQ797" s="55" t="s">
        <v>315</v>
      </c>
      <c r="BV797" s="55" t="s">
        <v>559</v>
      </c>
      <c r="CM797" s="65">
        <f>(CR797*1000000)/(100*100*AD797*AA797/100*1000000)*100</f>
        <v>0.83601895734597176</v>
      </c>
      <c r="CN797" s="65">
        <f>(CS797*1000000)/(100*100*AD797*AA797/100*1000000)*100</f>
        <v>0.9251184834123225</v>
      </c>
      <c r="CR797" s="65">
        <f>8.82</f>
        <v>8.82</v>
      </c>
      <c r="CS797" s="65">
        <v>9.76</v>
      </c>
      <c r="CV797" s="65" t="s">
        <v>4334</v>
      </c>
      <c r="DA797" s="65" t="s">
        <v>4459</v>
      </c>
      <c r="DB797" s="65">
        <v>0.95</v>
      </c>
      <c r="DC797" s="65">
        <v>1.1000000000000001</v>
      </c>
      <c r="DF797" s="65" t="s">
        <v>1638</v>
      </c>
      <c r="GP797" s="292" t="s">
        <v>7494</v>
      </c>
      <c r="HI797" s="65">
        <v>3.93</v>
      </c>
      <c r="HJ797" s="65">
        <v>3.01</v>
      </c>
      <c r="HM797" s="65" t="s">
        <v>1665</v>
      </c>
      <c r="HS797" s="65">
        <v>81.599999999999994</v>
      </c>
      <c r="HT797" s="65">
        <v>53.26</v>
      </c>
      <c r="HW797" s="65" t="s">
        <v>1661</v>
      </c>
      <c r="JQ797" s="65">
        <v>99999</v>
      </c>
      <c r="JR797" s="65">
        <v>99999</v>
      </c>
      <c r="JU797" s="55" t="s">
        <v>585</v>
      </c>
      <c r="JV797" s="55" t="s">
        <v>874</v>
      </c>
    </row>
    <row r="798" spans="1:282" x14ac:dyDescent="0.25">
      <c r="A798" s="55">
        <v>797</v>
      </c>
      <c r="B798" s="12" t="s">
        <v>7067</v>
      </c>
      <c r="C798" s="155">
        <v>40</v>
      </c>
      <c r="D798" s="55" t="s">
        <v>3848</v>
      </c>
      <c r="E798" s="90" t="s">
        <v>557</v>
      </c>
      <c r="G798" s="55" t="s">
        <v>558</v>
      </c>
      <c r="H798" s="55">
        <v>2015</v>
      </c>
      <c r="I798" s="55">
        <v>1997</v>
      </c>
      <c r="J798" s="55" t="s">
        <v>127</v>
      </c>
      <c r="K798" s="55" t="s">
        <v>569</v>
      </c>
      <c r="L798" s="55" t="s">
        <v>2737</v>
      </c>
      <c r="M798" s="90">
        <v>35.619999999999997</v>
      </c>
      <c r="N798" s="90">
        <v>-88.85</v>
      </c>
      <c r="O798" s="90">
        <v>107.7</v>
      </c>
      <c r="S798" s="90">
        <v>1375</v>
      </c>
      <c r="U798" s="55">
        <v>15</v>
      </c>
      <c r="V798" s="55" t="s">
        <v>1888</v>
      </c>
      <c r="Y798" s="55" t="s">
        <v>1891</v>
      </c>
      <c r="Z798" s="55" t="s">
        <v>1347</v>
      </c>
      <c r="AA798" s="90" t="s">
        <v>1676</v>
      </c>
      <c r="AD798" s="90">
        <f>(1.4+1.39+1.43)/3</f>
        <v>1.4066666666666665</v>
      </c>
      <c r="AH798" s="55" t="s">
        <v>6378</v>
      </c>
      <c r="AM798" s="55" t="s">
        <v>1302</v>
      </c>
      <c r="AN798" s="185" t="s">
        <v>116</v>
      </c>
      <c r="AO798" s="185" t="s">
        <v>5150</v>
      </c>
      <c r="AQ798" s="55" t="s">
        <v>1545</v>
      </c>
      <c r="AR798" s="55" t="s">
        <v>560</v>
      </c>
      <c r="AS798" s="55" t="s">
        <v>5133</v>
      </c>
      <c r="AU798" s="181" t="s">
        <v>7494</v>
      </c>
      <c r="AV798" s="185" t="s">
        <v>176</v>
      </c>
      <c r="AX798" s="185" t="s">
        <v>176</v>
      </c>
      <c r="AZ798" s="55" t="s">
        <v>562</v>
      </c>
      <c r="BA798" s="55" t="s">
        <v>562</v>
      </c>
      <c r="BB798" s="55" t="s">
        <v>2081</v>
      </c>
      <c r="BC798" s="55" t="s">
        <v>2081</v>
      </c>
      <c r="BD798" s="55" t="s">
        <v>176</v>
      </c>
      <c r="BE798" s="226">
        <v>0</v>
      </c>
      <c r="BG798" s="55" t="s">
        <v>176</v>
      </c>
      <c r="BH798" s="226">
        <v>0</v>
      </c>
      <c r="BI798" s="55" t="s">
        <v>176</v>
      </c>
      <c r="BJ798" s="55" t="s">
        <v>176</v>
      </c>
      <c r="BK798" s="55" t="s">
        <v>5976</v>
      </c>
      <c r="BM798" s="192" t="s">
        <v>160</v>
      </c>
      <c r="BN798" s="55">
        <v>4</v>
      </c>
      <c r="BO798" s="55">
        <v>4</v>
      </c>
      <c r="BQ798" s="55" t="s">
        <v>315</v>
      </c>
      <c r="BV798" s="55" t="s">
        <v>559</v>
      </c>
      <c r="CM798" s="65">
        <f>(CR798*1000000)/(100*100*AD798*AA798/100*1000000)*100</f>
        <v>0.83601895734597176</v>
      </c>
      <c r="CN798" s="65">
        <f>(CS798*1000000)/(100*100*AD798*AA798/100*1000000)*100</f>
        <v>0.7203791469194315</v>
      </c>
      <c r="CR798" s="65">
        <f>8.82</f>
        <v>8.82</v>
      </c>
      <c r="CS798" s="65">
        <v>7.6</v>
      </c>
      <c r="CV798" s="65" t="s">
        <v>4334</v>
      </c>
      <c r="DA798" s="65" t="s">
        <v>4459</v>
      </c>
      <c r="DB798" s="65">
        <v>0.95</v>
      </c>
      <c r="DC798" s="65">
        <v>0.78</v>
      </c>
      <c r="DF798" s="65" t="s">
        <v>1638</v>
      </c>
      <c r="GP798" s="292" t="s">
        <v>7494</v>
      </c>
      <c r="HI798" s="65">
        <v>3.93</v>
      </c>
      <c r="HJ798" s="65">
        <v>3.9</v>
      </c>
      <c r="HM798" s="65" t="s">
        <v>1665</v>
      </c>
      <c r="HS798" s="65">
        <v>81.599999999999994</v>
      </c>
      <c r="HT798" s="65">
        <v>59.16</v>
      </c>
      <c r="HW798" s="65" t="s">
        <v>1661</v>
      </c>
      <c r="JQ798" s="65">
        <v>99999</v>
      </c>
      <c r="JR798" s="65">
        <v>99999</v>
      </c>
      <c r="JU798" s="55" t="s">
        <v>585</v>
      </c>
      <c r="JV798" s="55" t="s">
        <v>874</v>
      </c>
    </row>
    <row r="799" spans="1:282" x14ac:dyDescent="0.25">
      <c r="A799" s="55">
        <v>798</v>
      </c>
      <c r="B799" s="12" t="s">
        <v>7067</v>
      </c>
      <c r="C799" s="155">
        <v>40</v>
      </c>
      <c r="D799" s="55" t="s">
        <v>3849</v>
      </c>
      <c r="E799" s="90" t="s">
        <v>557</v>
      </c>
      <c r="G799" s="55" t="s">
        <v>558</v>
      </c>
      <c r="H799" s="55">
        <v>2015</v>
      </c>
      <c r="I799" s="55">
        <v>1997</v>
      </c>
      <c r="J799" s="55" t="s">
        <v>127</v>
      </c>
      <c r="K799" s="55" t="s">
        <v>569</v>
      </c>
      <c r="L799" s="55" t="s">
        <v>2737</v>
      </c>
      <c r="M799" s="90">
        <v>35.619999999999997</v>
      </c>
      <c r="N799" s="90">
        <v>-88.85</v>
      </c>
      <c r="O799" s="90">
        <v>107.7</v>
      </c>
      <c r="S799" s="90">
        <v>1375</v>
      </c>
      <c r="U799" s="55">
        <v>15</v>
      </c>
      <c r="V799" s="55" t="s">
        <v>1888</v>
      </c>
      <c r="Y799" s="55" t="s">
        <v>1891</v>
      </c>
      <c r="Z799" s="55" t="s">
        <v>1347</v>
      </c>
      <c r="AA799" s="90" t="s">
        <v>1676</v>
      </c>
      <c r="AD799" s="90">
        <f>(1.4+1.39+1.43)/3</f>
        <v>1.4066666666666665</v>
      </c>
      <c r="AH799" s="55" t="s">
        <v>6378</v>
      </c>
      <c r="AM799" s="55" t="s">
        <v>1302</v>
      </c>
      <c r="AN799" s="185" t="s">
        <v>241</v>
      </c>
      <c r="AO799" s="185" t="s">
        <v>5150</v>
      </c>
      <c r="AQ799" s="55" t="s">
        <v>553</v>
      </c>
      <c r="AR799" s="55" t="s">
        <v>560</v>
      </c>
      <c r="AS799" s="55" t="s">
        <v>5133</v>
      </c>
      <c r="AU799" s="181" t="s">
        <v>7494</v>
      </c>
      <c r="AV799" s="185" t="s">
        <v>176</v>
      </c>
      <c r="AX799" s="185" t="s">
        <v>176</v>
      </c>
      <c r="AZ799" s="55" t="s">
        <v>156</v>
      </c>
      <c r="BA799" s="55" t="s">
        <v>156</v>
      </c>
      <c r="BB799" s="55" t="s">
        <v>2082</v>
      </c>
      <c r="BC799" s="55" t="s">
        <v>2082</v>
      </c>
      <c r="BD799" s="55" t="s">
        <v>176</v>
      </c>
      <c r="BE799" s="226">
        <v>34</v>
      </c>
      <c r="BF799" s="191" t="s">
        <v>479</v>
      </c>
      <c r="BG799" s="55" t="s">
        <v>479</v>
      </c>
      <c r="BH799" s="226">
        <v>34</v>
      </c>
      <c r="BI799" s="55" t="s">
        <v>479</v>
      </c>
      <c r="BJ799" s="55" t="s">
        <v>176</v>
      </c>
      <c r="BK799" s="55" t="s">
        <v>6269</v>
      </c>
      <c r="BM799" s="192" t="s">
        <v>160</v>
      </c>
      <c r="BN799" s="55">
        <v>4</v>
      </c>
      <c r="BO799" s="55">
        <v>4</v>
      </c>
      <c r="BQ799" s="55" t="s">
        <v>315</v>
      </c>
      <c r="BV799" s="55" t="s">
        <v>559</v>
      </c>
      <c r="CM799" s="65">
        <f>(CR799*1000000)/(100*100*AD799*AA799/100*1000000)*100</f>
        <v>1.0255924170616115</v>
      </c>
      <c r="CN799" s="65">
        <f>(CS799*1000000)/(100*100*AD799*AA799/100*1000000)*100</f>
        <v>1.2388625592417064</v>
      </c>
      <c r="CR799" s="65">
        <f>10.82</f>
        <v>10.82</v>
      </c>
      <c r="CS799" s="65">
        <v>13.07</v>
      </c>
      <c r="CV799" s="65" t="s">
        <v>4334</v>
      </c>
      <c r="DA799" s="65" t="s">
        <v>4459</v>
      </c>
      <c r="DB799" s="65">
        <v>1.04</v>
      </c>
      <c r="DC799" s="65">
        <v>1.29</v>
      </c>
      <c r="DF799" s="65" t="s">
        <v>1638</v>
      </c>
      <c r="GP799" s="292" t="s">
        <v>7494</v>
      </c>
      <c r="HI799" s="65">
        <v>0.31</v>
      </c>
      <c r="HJ799" s="65">
        <v>0.3</v>
      </c>
      <c r="HM799" s="65" t="s">
        <v>1666</v>
      </c>
      <c r="HS799" s="65">
        <v>90.9</v>
      </c>
      <c r="HT799" s="65">
        <v>84.19</v>
      </c>
      <c r="HW799" s="65" t="s">
        <v>1661</v>
      </c>
      <c r="JQ799" s="65">
        <v>99999</v>
      </c>
      <c r="JR799" s="65">
        <v>99999</v>
      </c>
      <c r="JU799" s="55" t="s">
        <v>585</v>
      </c>
      <c r="JV799" s="55" t="s">
        <v>874</v>
      </c>
    </row>
    <row r="800" spans="1:282" x14ac:dyDescent="0.25">
      <c r="A800" s="55">
        <v>799</v>
      </c>
      <c r="B800" s="12" t="s">
        <v>7067</v>
      </c>
      <c r="C800" s="155">
        <v>40</v>
      </c>
      <c r="D800" s="55" t="s">
        <v>3850</v>
      </c>
      <c r="E800" s="90" t="s">
        <v>557</v>
      </c>
      <c r="G800" s="55" t="s">
        <v>558</v>
      </c>
      <c r="H800" s="55">
        <v>2015</v>
      </c>
      <c r="I800" s="55">
        <v>1997</v>
      </c>
      <c r="J800" s="55" t="s">
        <v>127</v>
      </c>
      <c r="K800" s="55" t="s">
        <v>569</v>
      </c>
      <c r="L800" s="55" t="s">
        <v>2737</v>
      </c>
      <c r="M800" s="90">
        <v>35.619999999999997</v>
      </c>
      <c r="N800" s="90">
        <v>-88.85</v>
      </c>
      <c r="O800" s="90">
        <v>107.7</v>
      </c>
      <c r="S800" s="90">
        <v>1375</v>
      </c>
      <c r="U800" s="55">
        <v>15</v>
      </c>
      <c r="V800" s="55" t="s">
        <v>1888</v>
      </c>
      <c r="Y800" s="55" t="s">
        <v>1891</v>
      </c>
      <c r="Z800" s="55" t="s">
        <v>1347</v>
      </c>
      <c r="AA800" s="90" t="s">
        <v>1676</v>
      </c>
      <c r="AD800" s="90">
        <f>(1.4+1.39+1.43)/3</f>
        <v>1.4066666666666665</v>
      </c>
      <c r="AH800" s="55" t="s">
        <v>6378</v>
      </c>
      <c r="AM800" s="55" t="s">
        <v>1302</v>
      </c>
      <c r="AN800" s="185" t="s">
        <v>116</v>
      </c>
      <c r="AO800" s="185" t="s">
        <v>5150</v>
      </c>
      <c r="AQ800" s="55" t="s">
        <v>1545</v>
      </c>
      <c r="AR800" s="55" t="s">
        <v>560</v>
      </c>
      <c r="AS800" s="55" t="s">
        <v>5133</v>
      </c>
      <c r="AU800" s="181" t="s">
        <v>7494</v>
      </c>
      <c r="AV800" s="185" t="s">
        <v>176</v>
      </c>
      <c r="AX800" s="185" t="s">
        <v>176</v>
      </c>
      <c r="AZ800" s="55" t="s">
        <v>156</v>
      </c>
      <c r="BA800" s="55" t="s">
        <v>156</v>
      </c>
      <c r="BB800" s="55" t="s">
        <v>2082</v>
      </c>
      <c r="BC800" s="55" t="s">
        <v>2082</v>
      </c>
      <c r="BD800" s="55" t="s">
        <v>176</v>
      </c>
      <c r="BE800" s="226">
        <v>34</v>
      </c>
      <c r="BF800" s="191" t="s">
        <v>479</v>
      </c>
      <c r="BG800" s="55" t="s">
        <v>479</v>
      </c>
      <c r="BH800" s="226">
        <v>34</v>
      </c>
      <c r="BI800" s="55" t="s">
        <v>479</v>
      </c>
      <c r="BJ800" s="55" t="s">
        <v>176</v>
      </c>
      <c r="BK800" s="55" t="s">
        <v>6269</v>
      </c>
      <c r="BM800" s="192" t="s">
        <v>160</v>
      </c>
      <c r="BN800" s="55">
        <v>4</v>
      </c>
      <c r="BO800" s="55">
        <v>4</v>
      </c>
      <c r="BQ800" s="55" t="s">
        <v>315</v>
      </c>
      <c r="BV800" s="55" t="s">
        <v>559</v>
      </c>
      <c r="CM800" s="65">
        <f>(CR800*1000000)/(100*100*AD800*AA800/100*1000000)*100</f>
        <v>1.0255924170616115</v>
      </c>
      <c r="CN800" s="65">
        <f>(CS800*1000000)/(100*100*AD800*AA800/100*1000000)*100</f>
        <v>1.3857819905213273</v>
      </c>
      <c r="CR800" s="65">
        <v>10.82</v>
      </c>
      <c r="CS800" s="65">
        <v>14.62</v>
      </c>
      <c r="CV800" s="65" t="s">
        <v>4334</v>
      </c>
      <c r="DA800" s="65" t="s">
        <v>4459</v>
      </c>
      <c r="DB800" s="65">
        <v>1.04</v>
      </c>
      <c r="DC800" s="65">
        <v>1.3</v>
      </c>
      <c r="DF800" s="65" t="s">
        <v>1638</v>
      </c>
      <c r="GP800" s="292" t="s">
        <v>7494</v>
      </c>
      <c r="HI800" s="65">
        <v>0.31</v>
      </c>
      <c r="HJ800" s="65">
        <v>0.3</v>
      </c>
      <c r="HM800" s="65" t="s">
        <v>1666</v>
      </c>
      <c r="HS800" s="65">
        <v>90.9</v>
      </c>
      <c r="HT800" s="65">
        <v>112.79</v>
      </c>
      <c r="HW800" s="65" t="s">
        <v>1661</v>
      </c>
      <c r="JQ800" s="65">
        <v>99999</v>
      </c>
      <c r="JR800" s="65">
        <v>99999</v>
      </c>
      <c r="JU800" s="55" t="s">
        <v>585</v>
      </c>
      <c r="JV800" s="55" t="s">
        <v>874</v>
      </c>
    </row>
    <row r="801" spans="1:282" x14ac:dyDescent="0.25">
      <c r="A801" s="55">
        <v>800</v>
      </c>
      <c r="B801" s="12" t="s">
        <v>7067</v>
      </c>
      <c r="C801" s="155">
        <v>40</v>
      </c>
      <c r="D801" s="55" t="s">
        <v>3851</v>
      </c>
      <c r="E801" s="90" t="s">
        <v>557</v>
      </c>
      <c r="G801" s="55" t="s">
        <v>558</v>
      </c>
      <c r="H801" s="55">
        <v>2015</v>
      </c>
      <c r="I801" s="55">
        <v>1997</v>
      </c>
      <c r="J801" s="55" t="s">
        <v>127</v>
      </c>
      <c r="K801" s="55" t="s">
        <v>569</v>
      </c>
      <c r="L801" s="55" t="s">
        <v>2737</v>
      </c>
      <c r="M801" s="90">
        <v>35.619999999999997</v>
      </c>
      <c r="N801" s="90">
        <v>-88.85</v>
      </c>
      <c r="O801" s="90">
        <v>107.7</v>
      </c>
      <c r="S801" s="90">
        <v>1375</v>
      </c>
      <c r="U801" s="55">
        <v>15</v>
      </c>
      <c r="V801" s="55" t="s">
        <v>1888</v>
      </c>
      <c r="Y801" s="55" t="s">
        <v>1891</v>
      </c>
      <c r="Z801" s="55" t="s">
        <v>1347</v>
      </c>
      <c r="AA801" s="90" t="s">
        <v>1676</v>
      </c>
      <c r="AD801" s="90">
        <f>(1.4+1.39+1.43)/3</f>
        <v>1.4066666666666665</v>
      </c>
      <c r="AH801" s="55" t="s">
        <v>6378</v>
      </c>
      <c r="AM801" s="55" t="s">
        <v>1302</v>
      </c>
      <c r="AN801" s="185" t="s">
        <v>241</v>
      </c>
      <c r="AO801" s="185" t="s">
        <v>5150</v>
      </c>
      <c r="AQ801" s="55" t="s">
        <v>553</v>
      </c>
      <c r="AR801" s="55" t="s">
        <v>560</v>
      </c>
      <c r="AS801" s="55" t="s">
        <v>5133</v>
      </c>
      <c r="AU801" s="181" t="s">
        <v>7494</v>
      </c>
      <c r="AV801" s="185" t="s">
        <v>176</v>
      </c>
      <c r="AX801" s="185" t="s">
        <v>176</v>
      </c>
      <c r="AZ801" s="55" t="s">
        <v>562</v>
      </c>
      <c r="BA801" s="55" t="s">
        <v>562</v>
      </c>
      <c r="BB801" s="55" t="s">
        <v>2081</v>
      </c>
      <c r="BC801" s="55" t="s">
        <v>2081</v>
      </c>
      <c r="BD801" s="55" t="s">
        <v>176</v>
      </c>
      <c r="BE801" s="226">
        <v>34</v>
      </c>
      <c r="BF801" s="191" t="s">
        <v>479</v>
      </c>
      <c r="BG801" s="55" t="s">
        <v>479</v>
      </c>
      <c r="BH801" s="226">
        <v>34</v>
      </c>
      <c r="BI801" s="55" t="s">
        <v>479</v>
      </c>
      <c r="BJ801" s="55" t="s">
        <v>176</v>
      </c>
      <c r="BK801" s="55" t="s">
        <v>5976</v>
      </c>
      <c r="BM801" s="192" t="s">
        <v>160</v>
      </c>
      <c r="BN801" s="55">
        <v>4</v>
      </c>
      <c r="BO801" s="55">
        <v>4</v>
      </c>
      <c r="BQ801" s="55" t="s">
        <v>315</v>
      </c>
      <c r="BV801" s="55" t="s">
        <v>559</v>
      </c>
      <c r="CM801" s="65">
        <f>(CR801*1000000)/(100*100*AD801*AA801/100*1000000)*100</f>
        <v>0.90710900473933676</v>
      </c>
      <c r="CN801" s="65">
        <f>(CS801*1000000)/(100*100*AD801*AA801/100*1000000)*100</f>
        <v>0.95639810426540306</v>
      </c>
      <c r="CR801" s="65">
        <v>9.57</v>
      </c>
      <c r="CS801" s="65">
        <v>10.09</v>
      </c>
      <c r="CV801" s="65" t="s">
        <v>4334</v>
      </c>
      <c r="DA801" s="65" t="s">
        <v>4459</v>
      </c>
      <c r="DB801" s="65">
        <v>0.97</v>
      </c>
      <c r="DC801" s="65">
        <v>1</v>
      </c>
      <c r="DF801" s="65" t="s">
        <v>1638</v>
      </c>
      <c r="GP801" s="292" t="s">
        <v>7494</v>
      </c>
      <c r="HS801" s="65">
        <v>73.28</v>
      </c>
      <c r="HT801" s="65">
        <v>66.22</v>
      </c>
      <c r="HW801" s="65" t="s">
        <v>1661</v>
      </c>
      <c r="JQ801" s="65">
        <v>99999</v>
      </c>
      <c r="JR801" s="65">
        <v>99999</v>
      </c>
      <c r="JU801" s="55" t="s">
        <v>585</v>
      </c>
      <c r="JV801" s="55" t="s">
        <v>874</v>
      </c>
    </row>
    <row r="802" spans="1:282" x14ac:dyDescent="0.25">
      <c r="A802" s="55">
        <v>801</v>
      </c>
      <c r="B802" s="12" t="s">
        <v>7067</v>
      </c>
      <c r="C802" s="155">
        <v>40</v>
      </c>
      <c r="D802" s="55" t="s">
        <v>3852</v>
      </c>
      <c r="E802" s="90" t="s">
        <v>557</v>
      </c>
      <c r="G802" s="55" t="s">
        <v>558</v>
      </c>
      <c r="H802" s="55">
        <v>2015</v>
      </c>
      <c r="I802" s="55">
        <v>1997</v>
      </c>
      <c r="J802" s="55" t="s">
        <v>127</v>
      </c>
      <c r="K802" s="55" t="s">
        <v>569</v>
      </c>
      <c r="L802" s="55" t="s">
        <v>2737</v>
      </c>
      <c r="M802" s="90">
        <v>35.619999999999997</v>
      </c>
      <c r="N802" s="90">
        <v>-88.85</v>
      </c>
      <c r="O802" s="90">
        <v>107.7</v>
      </c>
      <c r="S802" s="90">
        <v>1375</v>
      </c>
      <c r="U802" s="55">
        <v>15</v>
      </c>
      <c r="V802" s="55" t="s">
        <v>1888</v>
      </c>
      <c r="Y802" s="55" t="s">
        <v>1891</v>
      </c>
      <c r="Z802" s="55" t="s">
        <v>1347</v>
      </c>
      <c r="AA802" s="90" t="s">
        <v>1676</v>
      </c>
      <c r="AD802" s="90">
        <f>(1.4+1.39+1.43)/3</f>
        <v>1.4066666666666665</v>
      </c>
      <c r="AH802" s="55" t="s">
        <v>6378</v>
      </c>
      <c r="AM802" s="55" t="s">
        <v>1302</v>
      </c>
      <c r="AN802" s="185" t="s">
        <v>116</v>
      </c>
      <c r="AO802" s="185" t="s">
        <v>5150</v>
      </c>
      <c r="AQ802" s="55" t="s">
        <v>1545</v>
      </c>
      <c r="AR802" s="55" t="s">
        <v>560</v>
      </c>
      <c r="AS802" s="55" t="s">
        <v>5133</v>
      </c>
      <c r="AU802" s="181" t="s">
        <v>7494</v>
      </c>
      <c r="AV802" s="185" t="s">
        <v>176</v>
      </c>
      <c r="AX802" s="185" t="s">
        <v>176</v>
      </c>
      <c r="AZ802" s="55" t="s">
        <v>562</v>
      </c>
      <c r="BA802" s="55" t="s">
        <v>562</v>
      </c>
      <c r="BB802" s="55" t="s">
        <v>2081</v>
      </c>
      <c r="BC802" s="55" t="s">
        <v>2081</v>
      </c>
      <c r="BD802" s="55" t="s">
        <v>176</v>
      </c>
      <c r="BE802" s="226">
        <v>34</v>
      </c>
      <c r="BF802" s="191" t="s">
        <v>479</v>
      </c>
      <c r="BG802" s="55" t="s">
        <v>479</v>
      </c>
      <c r="BH802" s="226">
        <v>34</v>
      </c>
      <c r="BI802" s="55" t="s">
        <v>479</v>
      </c>
      <c r="BJ802" s="55" t="s">
        <v>176</v>
      </c>
      <c r="BK802" s="55" t="s">
        <v>5976</v>
      </c>
      <c r="BM802" s="192" t="s">
        <v>160</v>
      </c>
      <c r="BN802" s="55">
        <v>4</v>
      </c>
      <c r="BO802" s="55">
        <v>4</v>
      </c>
      <c r="BQ802" s="55" t="s">
        <v>315</v>
      </c>
      <c r="BV802" s="55" t="s">
        <v>559</v>
      </c>
      <c r="CM802" s="65">
        <f>(CR802*1000000)/(100*100*AD802*AA802/100*1000000)*100</f>
        <v>0.90710900473933676</v>
      </c>
      <c r="CN802" s="65">
        <f>(CS802*1000000)/(100*100*AD802*AA802/100*1000000)*100</f>
        <v>0.85781990521327023</v>
      </c>
      <c r="CR802" s="65">
        <v>9.57</v>
      </c>
      <c r="CS802" s="65">
        <v>9.0500000000000007</v>
      </c>
      <c r="CV802" s="65" t="s">
        <v>4334</v>
      </c>
      <c r="DA802" s="65" t="s">
        <v>4459</v>
      </c>
      <c r="DB802" s="65">
        <v>0.97</v>
      </c>
      <c r="DC802" s="65">
        <v>1.01</v>
      </c>
      <c r="DF802" s="65" t="s">
        <v>1638</v>
      </c>
      <c r="GP802" s="292" t="s">
        <v>7494</v>
      </c>
      <c r="HS802" s="65">
        <v>73.28</v>
      </c>
      <c r="HT802" s="65">
        <v>51.57</v>
      </c>
      <c r="HW802" s="65" t="s">
        <v>1661</v>
      </c>
      <c r="JQ802" s="65">
        <v>99999</v>
      </c>
      <c r="JR802" s="65">
        <v>99999</v>
      </c>
      <c r="JU802" s="55" t="s">
        <v>585</v>
      </c>
      <c r="JV802" s="55" t="s">
        <v>874</v>
      </c>
    </row>
    <row r="803" spans="1:282" x14ac:dyDescent="0.25">
      <c r="A803" s="55">
        <v>802</v>
      </c>
      <c r="B803" s="12" t="s">
        <v>7067</v>
      </c>
      <c r="C803" s="155">
        <v>40</v>
      </c>
      <c r="D803" s="55" t="s">
        <v>3853</v>
      </c>
      <c r="E803" s="90" t="s">
        <v>557</v>
      </c>
      <c r="G803" s="55" t="s">
        <v>558</v>
      </c>
      <c r="H803" s="55">
        <v>2015</v>
      </c>
      <c r="I803" s="55">
        <v>1997</v>
      </c>
      <c r="J803" s="55" t="s">
        <v>127</v>
      </c>
      <c r="K803" s="55" t="s">
        <v>569</v>
      </c>
      <c r="L803" s="55" t="s">
        <v>2737</v>
      </c>
      <c r="M803" s="90">
        <v>35.619999999999997</v>
      </c>
      <c r="N803" s="90">
        <v>-88.85</v>
      </c>
      <c r="O803" s="90">
        <v>107.7</v>
      </c>
      <c r="S803" s="90">
        <v>1375</v>
      </c>
      <c r="U803" s="55">
        <v>15</v>
      </c>
      <c r="V803" s="55" t="s">
        <v>1888</v>
      </c>
      <c r="Y803" s="55" t="s">
        <v>1891</v>
      </c>
      <c r="Z803" s="55" t="s">
        <v>1347</v>
      </c>
      <c r="AA803" s="90" t="s">
        <v>1676</v>
      </c>
      <c r="AD803" s="90">
        <f>(1.4+1.39+1.43)/3</f>
        <v>1.4066666666666665</v>
      </c>
      <c r="AH803" s="55" t="s">
        <v>6378</v>
      </c>
      <c r="AM803" s="55" t="s">
        <v>1302</v>
      </c>
      <c r="AN803" s="185" t="s">
        <v>241</v>
      </c>
      <c r="AO803" s="185" t="s">
        <v>5150</v>
      </c>
      <c r="AQ803" s="55" t="s">
        <v>553</v>
      </c>
      <c r="AR803" s="55" t="s">
        <v>560</v>
      </c>
      <c r="AS803" s="55" t="s">
        <v>5133</v>
      </c>
      <c r="AU803" s="181" t="s">
        <v>7494</v>
      </c>
      <c r="AV803" s="185" t="s">
        <v>176</v>
      </c>
      <c r="AX803" s="185" t="s">
        <v>176</v>
      </c>
      <c r="AZ803" s="55" t="s">
        <v>156</v>
      </c>
      <c r="BA803" s="55" t="s">
        <v>156</v>
      </c>
      <c r="BB803" s="55" t="s">
        <v>2082</v>
      </c>
      <c r="BC803" s="55" t="s">
        <v>2082</v>
      </c>
      <c r="BD803" s="55" t="s">
        <v>176</v>
      </c>
      <c r="BE803" s="226">
        <v>67</v>
      </c>
      <c r="BF803" s="191" t="s">
        <v>479</v>
      </c>
      <c r="BG803" s="55" t="s">
        <v>479</v>
      </c>
      <c r="BH803" s="226">
        <v>67</v>
      </c>
      <c r="BI803" s="55" t="s">
        <v>479</v>
      </c>
      <c r="BJ803" s="55" t="s">
        <v>176</v>
      </c>
      <c r="BK803" s="55" t="s">
        <v>6269</v>
      </c>
      <c r="BM803" s="192" t="s">
        <v>160</v>
      </c>
      <c r="BN803" s="55">
        <v>4</v>
      </c>
      <c r="BO803" s="55">
        <v>4</v>
      </c>
      <c r="BQ803" s="55" t="s">
        <v>315</v>
      </c>
      <c r="BV803" s="55" t="s">
        <v>559</v>
      </c>
      <c r="CM803" s="65">
        <f>(CR803*1000000)/(100*100*AD803*AA803/100*1000000)*100</f>
        <v>0.95545023696682485</v>
      </c>
      <c r="CN803" s="65">
        <f>(CS803*1000000)/(100*100*AD803*AA803/100*1000000)*100</f>
        <v>1.2255924170616117</v>
      </c>
      <c r="CR803" s="65">
        <v>10.08</v>
      </c>
      <c r="CS803" s="65">
        <v>12.93</v>
      </c>
      <c r="CV803" s="65" t="s">
        <v>4334</v>
      </c>
      <c r="DA803" s="65" t="s">
        <v>4459</v>
      </c>
      <c r="DB803" s="65">
        <v>1.06</v>
      </c>
      <c r="DC803" s="65">
        <v>1.34</v>
      </c>
      <c r="DF803" s="65" t="s">
        <v>1638</v>
      </c>
      <c r="GP803" s="292" t="s">
        <v>7494</v>
      </c>
      <c r="HS803" s="65">
        <v>82.24</v>
      </c>
      <c r="HT803" s="65">
        <v>87.42</v>
      </c>
      <c r="HW803" s="65" t="s">
        <v>1661</v>
      </c>
      <c r="JQ803" s="65">
        <v>99999</v>
      </c>
      <c r="JR803" s="65">
        <v>99999</v>
      </c>
      <c r="JU803" s="55" t="s">
        <v>585</v>
      </c>
      <c r="JV803" s="55" t="s">
        <v>874</v>
      </c>
    </row>
    <row r="804" spans="1:282" x14ac:dyDescent="0.25">
      <c r="A804" s="55">
        <v>803</v>
      </c>
      <c r="B804" s="12" t="s">
        <v>7067</v>
      </c>
      <c r="C804" s="155">
        <v>40</v>
      </c>
      <c r="D804" s="55" t="s">
        <v>3854</v>
      </c>
      <c r="E804" s="90" t="s">
        <v>557</v>
      </c>
      <c r="G804" s="55" t="s">
        <v>558</v>
      </c>
      <c r="H804" s="55">
        <v>2015</v>
      </c>
      <c r="I804" s="55">
        <v>1997</v>
      </c>
      <c r="J804" s="55" t="s">
        <v>127</v>
      </c>
      <c r="K804" s="55" t="s">
        <v>569</v>
      </c>
      <c r="L804" s="55" t="s">
        <v>2737</v>
      </c>
      <c r="M804" s="90">
        <v>35.619999999999997</v>
      </c>
      <c r="N804" s="90">
        <v>-88.85</v>
      </c>
      <c r="O804" s="90">
        <v>107.7</v>
      </c>
      <c r="S804" s="90">
        <v>1375</v>
      </c>
      <c r="U804" s="55">
        <v>15</v>
      </c>
      <c r="V804" s="55" t="s">
        <v>1888</v>
      </c>
      <c r="Y804" s="55" t="s">
        <v>1891</v>
      </c>
      <c r="Z804" s="55" t="s">
        <v>1347</v>
      </c>
      <c r="AA804" s="90" t="s">
        <v>1676</v>
      </c>
      <c r="AD804" s="90">
        <f>(1.4+1.39+1.43)/3</f>
        <v>1.4066666666666665</v>
      </c>
      <c r="AH804" s="55" t="s">
        <v>6378</v>
      </c>
      <c r="AM804" s="55" t="s">
        <v>1302</v>
      </c>
      <c r="AN804" s="185" t="s">
        <v>116</v>
      </c>
      <c r="AO804" s="185" t="s">
        <v>5150</v>
      </c>
      <c r="AQ804" s="55" t="s">
        <v>1545</v>
      </c>
      <c r="AR804" s="55" t="s">
        <v>560</v>
      </c>
      <c r="AS804" s="55" t="s">
        <v>5133</v>
      </c>
      <c r="AU804" s="181" t="s">
        <v>7494</v>
      </c>
      <c r="AV804" s="185" t="s">
        <v>176</v>
      </c>
      <c r="AX804" s="185" t="s">
        <v>176</v>
      </c>
      <c r="AZ804" s="55" t="s">
        <v>156</v>
      </c>
      <c r="BA804" s="55" t="s">
        <v>156</v>
      </c>
      <c r="BB804" s="55" t="s">
        <v>2082</v>
      </c>
      <c r="BC804" s="55" t="s">
        <v>2082</v>
      </c>
      <c r="BD804" s="55" t="s">
        <v>176</v>
      </c>
      <c r="BE804" s="226">
        <v>67</v>
      </c>
      <c r="BF804" s="191" t="s">
        <v>479</v>
      </c>
      <c r="BG804" s="55" t="s">
        <v>479</v>
      </c>
      <c r="BH804" s="226">
        <v>67</v>
      </c>
      <c r="BI804" s="55" t="s">
        <v>479</v>
      </c>
      <c r="BJ804" s="55" t="s">
        <v>176</v>
      </c>
      <c r="BK804" s="55" t="s">
        <v>6269</v>
      </c>
      <c r="BM804" s="192" t="s">
        <v>160</v>
      </c>
      <c r="BN804" s="55">
        <v>4</v>
      </c>
      <c r="BO804" s="55">
        <v>4</v>
      </c>
      <c r="BQ804" s="55" t="s">
        <v>315</v>
      </c>
      <c r="BV804" s="55" t="s">
        <v>559</v>
      </c>
      <c r="CM804" s="65">
        <f>(CR804*1000000)/(100*100*AD804*AA804/100*1000000)*100</f>
        <v>0.95545023696682485</v>
      </c>
      <c r="CN804" s="65">
        <f>(CS804*1000000)/(100*100*AD804*AA804/100*1000000)*100</f>
        <v>1.0293838862559244</v>
      </c>
      <c r="CR804" s="65">
        <v>10.08</v>
      </c>
      <c r="CS804" s="65">
        <v>10.86</v>
      </c>
      <c r="CV804" s="65" t="s">
        <v>4334</v>
      </c>
      <c r="DA804" s="65" t="s">
        <v>4459</v>
      </c>
      <c r="DB804" s="65">
        <v>1.06</v>
      </c>
      <c r="DC804" s="65">
        <v>1.1000000000000001</v>
      </c>
      <c r="DF804" s="65" t="s">
        <v>1638</v>
      </c>
      <c r="GP804" s="292" t="s">
        <v>7494</v>
      </c>
      <c r="HS804" s="65">
        <v>82.24</v>
      </c>
      <c r="HT804" s="65">
        <v>77.459999999999994</v>
      </c>
      <c r="HW804" s="65" t="s">
        <v>1661</v>
      </c>
      <c r="JQ804" s="65">
        <v>99999</v>
      </c>
      <c r="JR804" s="65">
        <v>99999</v>
      </c>
      <c r="JU804" s="55" t="s">
        <v>585</v>
      </c>
      <c r="JV804" s="55" t="s">
        <v>874</v>
      </c>
    </row>
    <row r="805" spans="1:282" x14ac:dyDescent="0.25">
      <c r="A805" s="55">
        <v>804</v>
      </c>
      <c r="B805" s="12" t="s">
        <v>7067</v>
      </c>
      <c r="C805" s="155">
        <v>40</v>
      </c>
      <c r="D805" s="55" t="s">
        <v>3855</v>
      </c>
      <c r="E805" s="90" t="s">
        <v>557</v>
      </c>
      <c r="G805" s="55" t="s">
        <v>558</v>
      </c>
      <c r="H805" s="55">
        <v>2015</v>
      </c>
      <c r="I805" s="55">
        <v>1997</v>
      </c>
      <c r="J805" s="55" t="s">
        <v>127</v>
      </c>
      <c r="K805" s="55" t="s">
        <v>569</v>
      </c>
      <c r="L805" s="55" t="s">
        <v>2737</v>
      </c>
      <c r="M805" s="90">
        <v>35.619999999999997</v>
      </c>
      <c r="N805" s="90">
        <v>-88.85</v>
      </c>
      <c r="O805" s="90">
        <v>107.7</v>
      </c>
      <c r="S805" s="90">
        <v>1375</v>
      </c>
      <c r="U805" s="55">
        <v>15</v>
      </c>
      <c r="V805" s="55" t="s">
        <v>1888</v>
      </c>
      <c r="Y805" s="55" t="s">
        <v>1891</v>
      </c>
      <c r="Z805" s="55" t="s">
        <v>1347</v>
      </c>
      <c r="AA805" s="90" t="s">
        <v>1676</v>
      </c>
      <c r="AD805" s="90">
        <f>(1.4+1.39+1.43)/3</f>
        <v>1.4066666666666665</v>
      </c>
      <c r="AH805" s="55" t="s">
        <v>6378</v>
      </c>
      <c r="AM805" s="55" t="s">
        <v>1302</v>
      </c>
      <c r="AN805" s="185" t="s">
        <v>241</v>
      </c>
      <c r="AO805" s="185" t="s">
        <v>5150</v>
      </c>
      <c r="AQ805" s="55" t="s">
        <v>553</v>
      </c>
      <c r="AR805" s="55" t="s">
        <v>560</v>
      </c>
      <c r="AS805" s="55" t="s">
        <v>5133</v>
      </c>
      <c r="AU805" s="181" t="s">
        <v>7494</v>
      </c>
      <c r="AV805" s="185" t="s">
        <v>176</v>
      </c>
      <c r="AX805" s="185" t="s">
        <v>176</v>
      </c>
      <c r="AZ805" s="55" t="s">
        <v>562</v>
      </c>
      <c r="BA805" s="55" t="s">
        <v>562</v>
      </c>
      <c r="BB805" s="55" t="s">
        <v>2081</v>
      </c>
      <c r="BC805" s="55" t="s">
        <v>2081</v>
      </c>
      <c r="BD805" s="55" t="s">
        <v>176</v>
      </c>
      <c r="BE805" s="226">
        <v>67</v>
      </c>
      <c r="BF805" s="191" t="s">
        <v>479</v>
      </c>
      <c r="BG805" s="55" t="s">
        <v>479</v>
      </c>
      <c r="BH805" s="226">
        <v>67</v>
      </c>
      <c r="BI805" s="55" t="s">
        <v>479</v>
      </c>
      <c r="BJ805" s="55" t="s">
        <v>176</v>
      </c>
      <c r="BK805" s="55" t="s">
        <v>5976</v>
      </c>
      <c r="BM805" s="192" t="s">
        <v>160</v>
      </c>
      <c r="BN805" s="55">
        <v>4</v>
      </c>
      <c r="BO805" s="55">
        <v>4</v>
      </c>
      <c r="BQ805" s="55" t="s">
        <v>315</v>
      </c>
      <c r="BV805" s="55" t="s">
        <v>559</v>
      </c>
      <c r="CM805" s="65">
        <f>(CR805*1000000)/(100*100*AD805*AA805/100*1000000)*100</f>
        <v>0.95545023696682485</v>
      </c>
      <c r="CN805" s="65">
        <f>(CS805*1000000)/(100*100*AD805*AA805/100*1000000)*100</f>
        <v>0.97251184834123239</v>
      </c>
      <c r="CR805" s="65">
        <v>10.08</v>
      </c>
      <c r="CS805" s="65">
        <v>10.26</v>
      </c>
      <c r="CV805" s="65" t="s">
        <v>4334</v>
      </c>
      <c r="DA805" s="65" t="s">
        <v>4459</v>
      </c>
      <c r="DB805" s="65">
        <v>1.02</v>
      </c>
      <c r="DC805" s="65">
        <v>1.06</v>
      </c>
      <c r="DF805" s="65" t="s">
        <v>1638</v>
      </c>
      <c r="GP805" s="292" t="s">
        <v>7494</v>
      </c>
      <c r="HS805" s="65">
        <v>70.03</v>
      </c>
      <c r="HT805" s="65">
        <v>68</v>
      </c>
      <c r="HW805" s="65" t="s">
        <v>1661</v>
      </c>
      <c r="JQ805" s="65">
        <v>99999</v>
      </c>
      <c r="JR805" s="65">
        <v>99999</v>
      </c>
      <c r="JU805" s="55" t="s">
        <v>585</v>
      </c>
      <c r="JV805" s="55" t="s">
        <v>874</v>
      </c>
    </row>
    <row r="806" spans="1:282" x14ac:dyDescent="0.25">
      <c r="A806" s="55">
        <v>805</v>
      </c>
      <c r="B806" s="12" t="s">
        <v>7067</v>
      </c>
      <c r="C806" s="155">
        <v>40</v>
      </c>
      <c r="D806" s="55" t="s">
        <v>3856</v>
      </c>
      <c r="E806" s="90" t="s">
        <v>557</v>
      </c>
      <c r="G806" s="55" t="s">
        <v>558</v>
      </c>
      <c r="H806" s="55">
        <v>2015</v>
      </c>
      <c r="I806" s="55">
        <v>1997</v>
      </c>
      <c r="J806" s="55" t="s">
        <v>127</v>
      </c>
      <c r="K806" s="55" t="s">
        <v>569</v>
      </c>
      <c r="L806" s="55" t="s">
        <v>2737</v>
      </c>
      <c r="M806" s="90">
        <v>35.619999999999997</v>
      </c>
      <c r="N806" s="90">
        <v>-88.85</v>
      </c>
      <c r="O806" s="90">
        <v>107.7</v>
      </c>
      <c r="S806" s="90">
        <v>1375</v>
      </c>
      <c r="U806" s="55">
        <v>15</v>
      </c>
      <c r="V806" s="55" t="s">
        <v>1888</v>
      </c>
      <c r="Y806" s="55" t="s">
        <v>1891</v>
      </c>
      <c r="Z806" s="55" t="s">
        <v>1347</v>
      </c>
      <c r="AA806" s="90" t="s">
        <v>1676</v>
      </c>
      <c r="AD806" s="90">
        <f>(1.4+1.39+1.43)/3</f>
        <v>1.4066666666666665</v>
      </c>
      <c r="AH806" s="55" t="s">
        <v>6378</v>
      </c>
      <c r="AM806" s="55" t="s">
        <v>1302</v>
      </c>
      <c r="AN806" s="185" t="s">
        <v>116</v>
      </c>
      <c r="AO806" s="185" t="s">
        <v>5150</v>
      </c>
      <c r="AQ806" s="55" t="s">
        <v>1545</v>
      </c>
      <c r="AR806" s="55" t="s">
        <v>560</v>
      </c>
      <c r="AS806" s="55" t="s">
        <v>5133</v>
      </c>
      <c r="AU806" s="181" t="s">
        <v>7494</v>
      </c>
      <c r="AV806" s="185" t="s">
        <v>176</v>
      </c>
      <c r="AX806" s="185" t="s">
        <v>176</v>
      </c>
      <c r="AZ806" s="55" t="s">
        <v>562</v>
      </c>
      <c r="BA806" s="55" t="s">
        <v>562</v>
      </c>
      <c r="BB806" s="55" t="s">
        <v>2081</v>
      </c>
      <c r="BC806" s="55" t="s">
        <v>2081</v>
      </c>
      <c r="BD806" s="55" t="s">
        <v>176</v>
      </c>
      <c r="BE806" s="226">
        <v>67</v>
      </c>
      <c r="BF806" s="191" t="s">
        <v>479</v>
      </c>
      <c r="BG806" s="55" t="s">
        <v>479</v>
      </c>
      <c r="BH806" s="226">
        <v>67</v>
      </c>
      <c r="BI806" s="55" t="s">
        <v>479</v>
      </c>
      <c r="BJ806" s="55" t="s">
        <v>176</v>
      </c>
      <c r="BK806" s="55" t="s">
        <v>5976</v>
      </c>
      <c r="BM806" s="192" t="s">
        <v>160</v>
      </c>
      <c r="BN806" s="55">
        <v>4</v>
      </c>
      <c r="BO806" s="55">
        <v>4</v>
      </c>
      <c r="BQ806" s="55" t="s">
        <v>315</v>
      </c>
      <c r="BV806" s="55" t="s">
        <v>559</v>
      </c>
      <c r="CM806" s="65">
        <f>(CR806*1000000)/(100*100*AD806*AA806/100*1000000)*100</f>
        <v>0.95545023696682485</v>
      </c>
      <c r="CN806" s="65">
        <f>(CS806*1000000)/(100*100*AD806*AA806/100*1000000)*100</f>
        <v>0.98672985781990552</v>
      </c>
      <c r="CR806" s="65">
        <v>10.08</v>
      </c>
      <c r="CS806" s="65">
        <v>10.41</v>
      </c>
      <c r="CV806" s="65" t="s">
        <v>4334</v>
      </c>
      <c r="DA806" s="65" t="s">
        <v>4459</v>
      </c>
      <c r="DB806" s="65">
        <v>1.02</v>
      </c>
      <c r="DC806" s="65">
        <v>1.07</v>
      </c>
      <c r="DF806" s="65" t="s">
        <v>1638</v>
      </c>
      <c r="GP806" s="292" t="s">
        <v>7494</v>
      </c>
      <c r="HS806" s="65">
        <v>70.03</v>
      </c>
      <c r="HT806" s="65">
        <v>66</v>
      </c>
      <c r="HW806" s="65" t="s">
        <v>1661</v>
      </c>
      <c r="JQ806" s="65">
        <v>99999</v>
      </c>
      <c r="JR806" s="65">
        <v>99999</v>
      </c>
      <c r="JU806" s="55" t="s">
        <v>585</v>
      </c>
      <c r="JV806" s="55" t="s">
        <v>874</v>
      </c>
    </row>
    <row r="807" spans="1:282" x14ac:dyDescent="0.25">
      <c r="A807" s="55">
        <v>806</v>
      </c>
      <c r="B807" s="12" t="s">
        <v>7067</v>
      </c>
      <c r="C807" s="155">
        <v>40</v>
      </c>
      <c r="D807" s="55" t="s">
        <v>3857</v>
      </c>
      <c r="E807" s="90" t="s">
        <v>557</v>
      </c>
      <c r="G807" s="55" t="s">
        <v>558</v>
      </c>
      <c r="H807" s="55">
        <v>2015</v>
      </c>
      <c r="I807" s="55">
        <v>1997</v>
      </c>
      <c r="J807" s="55" t="s">
        <v>127</v>
      </c>
      <c r="K807" s="55" t="s">
        <v>569</v>
      </c>
      <c r="L807" s="55" t="s">
        <v>2737</v>
      </c>
      <c r="M807" s="90">
        <v>35.619999999999997</v>
      </c>
      <c r="N807" s="90">
        <v>-88.85</v>
      </c>
      <c r="O807" s="90">
        <v>107.7</v>
      </c>
      <c r="S807" s="90">
        <v>1375</v>
      </c>
      <c r="U807" s="55">
        <v>15</v>
      </c>
      <c r="V807" s="55" t="s">
        <v>1888</v>
      </c>
      <c r="Y807" s="55" t="s">
        <v>1891</v>
      </c>
      <c r="Z807" s="55" t="s">
        <v>1347</v>
      </c>
      <c r="AA807" s="90" t="s">
        <v>1676</v>
      </c>
      <c r="AD807" s="90">
        <f>(1.4+1.39+1.43)/3</f>
        <v>1.4066666666666665</v>
      </c>
      <c r="AH807" s="55" t="s">
        <v>6378</v>
      </c>
      <c r="AM807" s="55" t="s">
        <v>1302</v>
      </c>
      <c r="AN807" s="185" t="s">
        <v>241</v>
      </c>
      <c r="AO807" s="185" t="s">
        <v>5150</v>
      </c>
      <c r="AQ807" s="55" t="s">
        <v>553</v>
      </c>
      <c r="AR807" s="55" t="s">
        <v>560</v>
      </c>
      <c r="AS807" s="55" t="s">
        <v>5133</v>
      </c>
      <c r="AU807" s="181" t="s">
        <v>7494</v>
      </c>
      <c r="AV807" s="185" t="s">
        <v>176</v>
      </c>
      <c r="AX807" s="185" t="s">
        <v>176</v>
      </c>
      <c r="AZ807" s="55" t="s">
        <v>156</v>
      </c>
      <c r="BA807" s="55" t="s">
        <v>156</v>
      </c>
      <c r="BB807" s="55" t="s">
        <v>2082</v>
      </c>
      <c r="BC807" s="55" t="s">
        <v>2082</v>
      </c>
      <c r="BD807" s="55" t="s">
        <v>176</v>
      </c>
      <c r="BE807" s="226">
        <v>101</v>
      </c>
      <c r="BF807" s="191" t="s">
        <v>479</v>
      </c>
      <c r="BG807" s="55" t="s">
        <v>479</v>
      </c>
      <c r="BH807" s="226">
        <v>101</v>
      </c>
      <c r="BI807" s="55" t="s">
        <v>479</v>
      </c>
      <c r="BJ807" s="55" t="s">
        <v>176</v>
      </c>
      <c r="BK807" s="55" t="s">
        <v>6269</v>
      </c>
      <c r="BM807" s="192" t="s">
        <v>160</v>
      </c>
      <c r="BN807" s="55">
        <v>4</v>
      </c>
      <c r="BO807" s="55">
        <v>4</v>
      </c>
      <c r="BQ807" s="55" t="s">
        <v>315</v>
      </c>
      <c r="BV807" s="55" t="s">
        <v>559</v>
      </c>
      <c r="CM807" s="65">
        <f>(CR807*1000000)/(100*100*AD807*AA807/100*1000000)*100</f>
        <v>1.3289099526066355</v>
      </c>
      <c r="CN807" s="65">
        <f>(CS807*1000000)/(100*100*AD807*AA807/100*1000000)*100</f>
        <v>1.1924170616113747</v>
      </c>
      <c r="CR807" s="65">
        <v>14.02</v>
      </c>
      <c r="CS807" s="65">
        <v>12.58</v>
      </c>
      <c r="CV807" s="65" t="s">
        <v>4334</v>
      </c>
      <c r="DA807" s="65" t="s">
        <v>4459</v>
      </c>
      <c r="DB807" s="65">
        <v>1.47</v>
      </c>
      <c r="DC807" s="65">
        <v>1.25</v>
      </c>
      <c r="DF807" s="65" t="s">
        <v>1638</v>
      </c>
      <c r="GP807" s="292" t="s">
        <v>7494</v>
      </c>
      <c r="HS807" s="65">
        <v>86.18</v>
      </c>
      <c r="HT807" s="65">
        <v>71.55</v>
      </c>
      <c r="HW807" s="65" t="s">
        <v>1661</v>
      </c>
      <c r="JQ807" s="65">
        <v>99999</v>
      </c>
      <c r="JR807" s="65">
        <v>99999</v>
      </c>
      <c r="JU807" s="55" t="s">
        <v>585</v>
      </c>
      <c r="JV807" s="55" t="s">
        <v>874</v>
      </c>
    </row>
    <row r="808" spans="1:282" x14ac:dyDescent="0.25">
      <c r="A808" s="55">
        <v>807</v>
      </c>
      <c r="B808" s="12" t="s">
        <v>7067</v>
      </c>
      <c r="C808" s="155">
        <v>40</v>
      </c>
      <c r="D808" s="55" t="s">
        <v>3858</v>
      </c>
      <c r="E808" s="90" t="s">
        <v>557</v>
      </c>
      <c r="G808" s="55" t="s">
        <v>558</v>
      </c>
      <c r="H808" s="55">
        <v>2015</v>
      </c>
      <c r="I808" s="55">
        <v>1997</v>
      </c>
      <c r="J808" s="55" t="s">
        <v>127</v>
      </c>
      <c r="K808" s="55" t="s">
        <v>569</v>
      </c>
      <c r="L808" s="55" t="s">
        <v>2737</v>
      </c>
      <c r="M808" s="90">
        <v>35.619999999999997</v>
      </c>
      <c r="N808" s="90">
        <v>-88.85</v>
      </c>
      <c r="O808" s="90">
        <v>107.7</v>
      </c>
      <c r="S808" s="90">
        <v>1375</v>
      </c>
      <c r="U808" s="55">
        <v>15</v>
      </c>
      <c r="V808" s="55" t="s">
        <v>1888</v>
      </c>
      <c r="Y808" s="55" t="s">
        <v>1891</v>
      </c>
      <c r="Z808" s="55" t="s">
        <v>1347</v>
      </c>
      <c r="AA808" s="90" t="s">
        <v>1676</v>
      </c>
      <c r="AD808" s="90">
        <f>(1.4+1.39+1.43)/3</f>
        <v>1.4066666666666665</v>
      </c>
      <c r="AH808" s="55" t="s">
        <v>6378</v>
      </c>
      <c r="AM808" s="55" t="s">
        <v>1302</v>
      </c>
      <c r="AN808" s="185" t="s">
        <v>116</v>
      </c>
      <c r="AO808" s="185" t="s">
        <v>5150</v>
      </c>
      <c r="AQ808" s="55" t="s">
        <v>1545</v>
      </c>
      <c r="AR808" s="55" t="s">
        <v>560</v>
      </c>
      <c r="AS808" s="55" t="s">
        <v>5133</v>
      </c>
      <c r="AU808" s="181" t="s">
        <v>7494</v>
      </c>
      <c r="AV808" s="185" t="s">
        <v>176</v>
      </c>
      <c r="AX808" s="185" t="s">
        <v>176</v>
      </c>
      <c r="AZ808" s="55" t="s">
        <v>156</v>
      </c>
      <c r="BA808" s="55" t="s">
        <v>156</v>
      </c>
      <c r="BB808" s="55" t="s">
        <v>2082</v>
      </c>
      <c r="BC808" s="55" t="s">
        <v>2082</v>
      </c>
      <c r="BD808" s="55" t="s">
        <v>176</v>
      </c>
      <c r="BE808" s="226">
        <v>101</v>
      </c>
      <c r="BF808" s="191" t="s">
        <v>479</v>
      </c>
      <c r="BG808" s="55" t="s">
        <v>479</v>
      </c>
      <c r="BH808" s="226">
        <v>101</v>
      </c>
      <c r="BI808" s="55" t="s">
        <v>479</v>
      </c>
      <c r="BJ808" s="55" t="s">
        <v>176</v>
      </c>
      <c r="BK808" s="55" t="s">
        <v>6269</v>
      </c>
      <c r="BM808" s="192" t="s">
        <v>160</v>
      </c>
      <c r="BN808" s="55">
        <v>4</v>
      </c>
      <c r="BO808" s="55">
        <v>4</v>
      </c>
      <c r="BQ808" s="55" t="s">
        <v>315</v>
      </c>
      <c r="BV808" s="55" t="s">
        <v>559</v>
      </c>
      <c r="CM808" s="65">
        <f>(CR808*1000000)/(100*100*AD808*AA808/100*1000000)*100</f>
        <v>1.3289099526066355</v>
      </c>
      <c r="CN808" s="65">
        <f>(CS808*1000000)/(100*100*AD808*AA808/100*1000000)*100</f>
        <v>1.265402843601896</v>
      </c>
      <c r="CR808" s="65">
        <v>14.02</v>
      </c>
      <c r="CS808" s="65">
        <v>13.35</v>
      </c>
      <c r="CV808" s="65" t="s">
        <v>4334</v>
      </c>
      <c r="DA808" s="65" t="s">
        <v>4459</v>
      </c>
      <c r="DB808" s="65">
        <v>1.47</v>
      </c>
      <c r="DC808" s="65">
        <v>1.39</v>
      </c>
      <c r="DF808" s="65" t="s">
        <v>1638</v>
      </c>
      <c r="GP808" s="292" t="s">
        <v>7494</v>
      </c>
      <c r="HS808" s="65">
        <v>86.18</v>
      </c>
      <c r="HT808" s="65">
        <v>81.77</v>
      </c>
      <c r="HW808" s="65" t="s">
        <v>1661</v>
      </c>
      <c r="JQ808" s="65">
        <v>99999</v>
      </c>
      <c r="JR808" s="65">
        <v>99999</v>
      </c>
      <c r="JU808" s="55" t="s">
        <v>585</v>
      </c>
      <c r="JV808" s="55" t="s">
        <v>874</v>
      </c>
    </row>
    <row r="809" spans="1:282" x14ac:dyDescent="0.25">
      <c r="A809" s="55">
        <v>808</v>
      </c>
      <c r="B809" s="12" t="s">
        <v>7067</v>
      </c>
      <c r="C809" s="155">
        <v>40</v>
      </c>
      <c r="D809" s="55" t="s">
        <v>3859</v>
      </c>
      <c r="E809" s="90" t="s">
        <v>557</v>
      </c>
      <c r="G809" s="55" t="s">
        <v>558</v>
      </c>
      <c r="H809" s="55">
        <v>2015</v>
      </c>
      <c r="I809" s="55">
        <v>1997</v>
      </c>
      <c r="J809" s="55" t="s">
        <v>127</v>
      </c>
      <c r="K809" s="55" t="s">
        <v>569</v>
      </c>
      <c r="L809" s="55" t="s">
        <v>2737</v>
      </c>
      <c r="M809" s="90">
        <v>35.619999999999997</v>
      </c>
      <c r="N809" s="90">
        <v>-88.85</v>
      </c>
      <c r="O809" s="90">
        <v>107.7</v>
      </c>
      <c r="S809" s="90">
        <v>1375</v>
      </c>
      <c r="U809" s="55">
        <v>15</v>
      </c>
      <c r="V809" s="55" t="s">
        <v>1888</v>
      </c>
      <c r="Y809" s="55" t="s">
        <v>1891</v>
      </c>
      <c r="Z809" s="55" t="s">
        <v>1347</v>
      </c>
      <c r="AA809" s="90" t="s">
        <v>1676</v>
      </c>
      <c r="AD809" s="90">
        <f>(1.4+1.39+1.43)/3</f>
        <v>1.4066666666666665</v>
      </c>
      <c r="AH809" s="55" t="s">
        <v>6378</v>
      </c>
      <c r="AM809" s="55" t="s">
        <v>1302</v>
      </c>
      <c r="AN809" s="185" t="s">
        <v>241</v>
      </c>
      <c r="AO809" s="185" t="s">
        <v>5150</v>
      </c>
      <c r="AQ809" s="55" t="s">
        <v>553</v>
      </c>
      <c r="AR809" s="55" t="s">
        <v>560</v>
      </c>
      <c r="AS809" s="55" t="s">
        <v>5133</v>
      </c>
      <c r="AU809" s="181" t="s">
        <v>7494</v>
      </c>
      <c r="AV809" s="185" t="s">
        <v>176</v>
      </c>
      <c r="AX809" s="185" t="s">
        <v>176</v>
      </c>
      <c r="AZ809" s="55" t="s">
        <v>562</v>
      </c>
      <c r="BA809" s="55" t="s">
        <v>562</v>
      </c>
      <c r="BB809" s="55" t="s">
        <v>2081</v>
      </c>
      <c r="BC809" s="55" t="s">
        <v>2081</v>
      </c>
      <c r="BD809" s="55" t="s">
        <v>176</v>
      </c>
      <c r="BE809" s="226">
        <v>101</v>
      </c>
      <c r="BF809" s="191" t="s">
        <v>479</v>
      </c>
      <c r="BG809" s="55" t="s">
        <v>479</v>
      </c>
      <c r="BH809" s="226">
        <v>101</v>
      </c>
      <c r="BI809" s="55" t="s">
        <v>479</v>
      </c>
      <c r="BJ809" s="55" t="s">
        <v>176</v>
      </c>
      <c r="BK809" s="55" t="s">
        <v>5976</v>
      </c>
      <c r="BM809" s="192" t="s">
        <v>160</v>
      </c>
      <c r="BN809" s="55">
        <v>4</v>
      </c>
      <c r="BO809" s="55">
        <v>4</v>
      </c>
      <c r="BQ809" s="55" t="s">
        <v>315</v>
      </c>
      <c r="BV809" s="55" t="s">
        <v>559</v>
      </c>
      <c r="CM809" s="65">
        <f>(CR809*1000000)/(100*100*AD809*AA809/100*1000000)*100</f>
        <v>1.1109004739336494</v>
      </c>
      <c r="CN809" s="65">
        <f>(CS809*1000000)/(100*100*AD809*AA809/100*1000000)*100</f>
        <v>1.0767772511848344</v>
      </c>
      <c r="CR809" s="65">
        <v>11.72</v>
      </c>
      <c r="CS809" s="65">
        <v>11.36</v>
      </c>
      <c r="CV809" s="65" t="s">
        <v>4334</v>
      </c>
      <c r="DA809" s="65" t="s">
        <v>4459</v>
      </c>
      <c r="DB809" s="65">
        <v>1.31</v>
      </c>
      <c r="DC809" s="65">
        <v>1.19</v>
      </c>
      <c r="DF809" s="65" t="s">
        <v>1638</v>
      </c>
      <c r="GP809" s="292" t="s">
        <v>7494</v>
      </c>
      <c r="HS809" s="65">
        <v>61.36</v>
      </c>
      <c r="HT809" s="65">
        <v>70.5</v>
      </c>
      <c r="HW809" s="65" t="s">
        <v>1661</v>
      </c>
      <c r="JQ809" s="65">
        <v>99999</v>
      </c>
      <c r="JR809" s="65">
        <v>99999</v>
      </c>
      <c r="JU809" s="55" t="s">
        <v>585</v>
      </c>
      <c r="JV809" s="55" t="s">
        <v>874</v>
      </c>
    </row>
    <row r="810" spans="1:282" x14ac:dyDescent="0.25">
      <c r="A810" s="55">
        <v>809</v>
      </c>
      <c r="B810" s="12" t="s">
        <v>7067</v>
      </c>
      <c r="C810" s="155">
        <v>40</v>
      </c>
      <c r="D810" s="55" t="s">
        <v>3860</v>
      </c>
      <c r="E810" s="90" t="s">
        <v>557</v>
      </c>
      <c r="G810" s="55" t="s">
        <v>558</v>
      </c>
      <c r="H810" s="55">
        <v>2015</v>
      </c>
      <c r="I810" s="55">
        <v>1997</v>
      </c>
      <c r="J810" s="55" t="s">
        <v>127</v>
      </c>
      <c r="K810" s="55" t="s">
        <v>569</v>
      </c>
      <c r="L810" s="55" t="s">
        <v>2737</v>
      </c>
      <c r="M810" s="90">
        <v>35.619999999999997</v>
      </c>
      <c r="N810" s="90">
        <v>-88.85</v>
      </c>
      <c r="O810" s="90">
        <v>107.7</v>
      </c>
      <c r="S810" s="90">
        <v>1375</v>
      </c>
      <c r="U810" s="55">
        <v>15</v>
      </c>
      <c r="V810" s="55" t="s">
        <v>1888</v>
      </c>
      <c r="Y810" s="55" t="s">
        <v>1891</v>
      </c>
      <c r="Z810" s="55" t="s">
        <v>1347</v>
      </c>
      <c r="AA810" s="90" t="s">
        <v>1676</v>
      </c>
      <c r="AD810" s="90">
        <f>(1.4+1.39+1.43)/3</f>
        <v>1.4066666666666665</v>
      </c>
      <c r="AH810" s="55" t="s">
        <v>6378</v>
      </c>
      <c r="AM810" s="55" t="s">
        <v>1302</v>
      </c>
      <c r="AN810" s="185" t="s">
        <v>116</v>
      </c>
      <c r="AO810" s="185" t="s">
        <v>5150</v>
      </c>
      <c r="AQ810" s="55" t="s">
        <v>1545</v>
      </c>
      <c r="AR810" s="55" t="s">
        <v>560</v>
      </c>
      <c r="AS810" s="55" t="s">
        <v>5133</v>
      </c>
      <c r="AU810" s="181" t="s">
        <v>7494</v>
      </c>
      <c r="AV810" s="185" t="s">
        <v>176</v>
      </c>
      <c r="AX810" s="185" t="s">
        <v>176</v>
      </c>
      <c r="AZ810" s="55" t="s">
        <v>562</v>
      </c>
      <c r="BA810" s="55" t="s">
        <v>562</v>
      </c>
      <c r="BB810" s="55" t="s">
        <v>2081</v>
      </c>
      <c r="BC810" s="55" t="s">
        <v>2081</v>
      </c>
      <c r="BD810" s="55" t="s">
        <v>176</v>
      </c>
      <c r="BE810" s="226">
        <v>101</v>
      </c>
      <c r="BF810" s="191" t="s">
        <v>479</v>
      </c>
      <c r="BG810" s="55" t="s">
        <v>479</v>
      </c>
      <c r="BH810" s="226">
        <v>101</v>
      </c>
      <c r="BI810" s="55" t="s">
        <v>479</v>
      </c>
      <c r="BJ810" s="55" t="s">
        <v>176</v>
      </c>
      <c r="BK810" s="55" t="s">
        <v>5976</v>
      </c>
      <c r="BM810" s="192" t="s">
        <v>160</v>
      </c>
      <c r="BN810" s="55">
        <v>4</v>
      </c>
      <c r="BO810" s="55">
        <v>4</v>
      </c>
      <c r="BQ810" s="55" t="s">
        <v>315</v>
      </c>
      <c r="BV810" s="55" t="s">
        <v>559</v>
      </c>
      <c r="CM810" s="65">
        <f>(CR810*1000000)/(100*100*AD810*AA810/100*1000000)*100</f>
        <v>1.1109004739336494</v>
      </c>
      <c r="CN810" s="65">
        <f>(CS810*1000000)/(100*100*AD810*AA810/100*1000000)*100</f>
        <v>1.1497630331753557</v>
      </c>
      <c r="CR810" s="65">
        <v>11.72</v>
      </c>
      <c r="CS810" s="65">
        <v>12.13</v>
      </c>
      <c r="CV810" s="65" t="s">
        <v>4334</v>
      </c>
      <c r="DA810" s="65" t="s">
        <v>4459</v>
      </c>
      <c r="DB810" s="65">
        <v>1.31</v>
      </c>
      <c r="DC810" s="65">
        <v>1.2</v>
      </c>
      <c r="DF810" s="65" t="s">
        <v>1638</v>
      </c>
      <c r="GP810" s="292" t="s">
        <v>7494</v>
      </c>
      <c r="HS810" s="65">
        <v>61.36</v>
      </c>
      <c r="HT810" s="65">
        <v>54.78</v>
      </c>
      <c r="HW810" s="65" t="s">
        <v>1661</v>
      </c>
      <c r="JQ810" s="65">
        <v>99999</v>
      </c>
      <c r="JR810" s="65">
        <v>99999</v>
      </c>
      <c r="JU810" s="55" t="s">
        <v>585</v>
      </c>
      <c r="JV810" s="55" t="s">
        <v>874</v>
      </c>
    </row>
    <row r="811" spans="1:282" x14ac:dyDescent="0.25">
      <c r="A811" s="55">
        <v>810</v>
      </c>
      <c r="B811" s="12" t="s">
        <v>7067</v>
      </c>
      <c r="C811" s="155">
        <v>41</v>
      </c>
      <c r="D811" s="55" t="s">
        <v>3861</v>
      </c>
      <c r="E811" s="90" t="s">
        <v>567</v>
      </c>
      <c r="G811" s="55" t="s">
        <v>568</v>
      </c>
      <c r="H811" s="55">
        <v>1994</v>
      </c>
      <c r="I811" s="55">
        <v>1986</v>
      </c>
      <c r="J811" s="55" t="s">
        <v>397</v>
      </c>
      <c r="K811" s="55" t="s">
        <v>570</v>
      </c>
      <c r="L811" s="55" t="s">
        <v>2737</v>
      </c>
      <c r="M811" s="90">
        <v>38.03</v>
      </c>
      <c r="N811" s="90">
        <v>-84.51</v>
      </c>
      <c r="O811" s="90">
        <v>299.60000000000002</v>
      </c>
      <c r="U811" s="55">
        <v>2</v>
      </c>
      <c r="V811" s="55" t="s">
        <v>1682</v>
      </c>
      <c r="Y811" s="55" t="s">
        <v>1892</v>
      </c>
      <c r="Z811" s="55" t="s">
        <v>1346</v>
      </c>
      <c r="AA811" s="90" t="s">
        <v>1675</v>
      </c>
      <c r="AD811" s="90">
        <v>1.05</v>
      </c>
      <c r="AE811" s="90">
        <v>7.3</v>
      </c>
      <c r="AF811" s="90">
        <v>70.2</v>
      </c>
      <c r="AH811" s="55" t="s">
        <v>6378</v>
      </c>
      <c r="AI811" s="168">
        <v>5.48</v>
      </c>
      <c r="AJ811" s="90">
        <v>1.1599999999999999</v>
      </c>
      <c r="AM811" s="55" t="s">
        <v>1303</v>
      </c>
      <c r="AN811" s="185" t="s">
        <v>131</v>
      </c>
      <c r="AO811" s="185" t="s">
        <v>5150</v>
      </c>
      <c r="AQ811" s="55" t="s">
        <v>131</v>
      </c>
      <c r="AR811" s="55" t="s">
        <v>132</v>
      </c>
      <c r="AS811" s="55" t="s">
        <v>132</v>
      </c>
      <c r="AU811" s="181" t="s">
        <v>7494</v>
      </c>
      <c r="AV811" s="185" t="s">
        <v>176</v>
      </c>
      <c r="AX811" s="185" t="s">
        <v>176</v>
      </c>
      <c r="BK811" s="55" t="s">
        <v>5976</v>
      </c>
      <c r="BM811" s="192" t="s">
        <v>119</v>
      </c>
      <c r="BN811" s="55">
        <v>2</v>
      </c>
      <c r="BO811" s="55">
        <v>2</v>
      </c>
      <c r="BQ811" s="55" t="s">
        <v>141</v>
      </c>
      <c r="FT811" s="65">
        <v>46.84</v>
      </c>
      <c r="FU811" s="65">
        <v>51.58</v>
      </c>
      <c r="FX811" s="65" t="s">
        <v>571</v>
      </c>
      <c r="GP811" s="292" t="s">
        <v>7494</v>
      </c>
      <c r="JU811" s="55" t="s">
        <v>700</v>
      </c>
    </row>
    <row r="812" spans="1:282" x14ac:dyDescent="0.25">
      <c r="A812" s="55">
        <v>811</v>
      </c>
      <c r="B812" s="12" t="s">
        <v>7067</v>
      </c>
      <c r="C812" s="155">
        <v>41</v>
      </c>
      <c r="D812" s="55" t="s">
        <v>3861</v>
      </c>
      <c r="E812" s="90" t="s">
        <v>567</v>
      </c>
      <c r="G812" s="55" t="s">
        <v>568</v>
      </c>
      <c r="H812" s="55">
        <v>1994</v>
      </c>
      <c r="I812" s="55">
        <v>1986</v>
      </c>
      <c r="J812" s="55" t="s">
        <v>397</v>
      </c>
      <c r="K812" s="55" t="s">
        <v>570</v>
      </c>
      <c r="L812" s="55" t="s">
        <v>2737</v>
      </c>
      <c r="M812" s="90">
        <v>38.03</v>
      </c>
      <c r="N812" s="90">
        <v>-84.51</v>
      </c>
      <c r="O812" s="90">
        <v>299.60000000000002</v>
      </c>
      <c r="U812" s="55">
        <v>2</v>
      </c>
      <c r="V812" s="55" t="s">
        <v>1682</v>
      </c>
      <c r="Y812" s="55" t="s">
        <v>1893</v>
      </c>
      <c r="Z812" s="55" t="s">
        <v>1346</v>
      </c>
      <c r="AA812" s="90" t="s">
        <v>1675</v>
      </c>
      <c r="AD812" s="90">
        <v>1.05</v>
      </c>
      <c r="AE812" s="90">
        <v>7.3</v>
      </c>
      <c r="AF812" s="90">
        <v>70.2</v>
      </c>
      <c r="AH812" s="55" t="s">
        <v>6378</v>
      </c>
      <c r="AI812" s="168">
        <v>5.48</v>
      </c>
      <c r="AJ812" s="90">
        <v>1.1599999999999999</v>
      </c>
      <c r="AM812" s="55" t="s">
        <v>1303</v>
      </c>
      <c r="AN812" s="185" t="s">
        <v>131</v>
      </c>
      <c r="AO812" s="185" t="s">
        <v>5150</v>
      </c>
      <c r="AQ812" s="55" t="s">
        <v>131</v>
      </c>
      <c r="AR812" s="55" t="s">
        <v>132</v>
      </c>
      <c r="AS812" s="55" t="s">
        <v>132</v>
      </c>
      <c r="AU812" s="181" t="s">
        <v>7494</v>
      </c>
      <c r="AV812" s="185" t="s">
        <v>176</v>
      </c>
      <c r="AX812" s="185" t="s">
        <v>176</v>
      </c>
      <c r="BK812" s="55" t="s">
        <v>5976</v>
      </c>
      <c r="BM812" s="192" t="s">
        <v>119</v>
      </c>
      <c r="BN812" s="55">
        <v>2</v>
      </c>
      <c r="BO812" s="55">
        <v>2</v>
      </c>
      <c r="BQ812" s="55" t="s">
        <v>141</v>
      </c>
      <c r="FT812" s="65">
        <v>0.25</v>
      </c>
      <c r="FU812" s="65">
        <v>0.25</v>
      </c>
      <c r="FX812" s="65" t="s">
        <v>571</v>
      </c>
      <c r="GP812" s="292" t="s">
        <v>7494</v>
      </c>
      <c r="JU812" s="55" t="s">
        <v>700</v>
      </c>
    </row>
    <row r="813" spans="1:282" x14ac:dyDescent="0.25">
      <c r="A813" s="55">
        <v>812</v>
      </c>
      <c r="B813" s="12" t="s">
        <v>7067</v>
      </c>
      <c r="C813" s="155">
        <v>41</v>
      </c>
      <c r="D813" s="55" t="s">
        <v>3861</v>
      </c>
      <c r="E813" s="90" t="s">
        <v>567</v>
      </c>
      <c r="G813" s="55" t="s">
        <v>568</v>
      </c>
      <c r="H813" s="55">
        <v>1994</v>
      </c>
      <c r="I813" s="55">
        <v>1986</v>
      </c>
      <c r="J813" s="55" t="s">
        <v>397</v>
      </c>
      <c r="K813" s="55" t="s">
        <v>570</v>
      </c>
      <c r="L813" s="55" t="s">
        <v>2737</v>
      </c>
      <c r="M813" s="90">
        <v>38.03</v>
      </c>
      <c r="N813" s="90">
        <v>-84.51</v>
      </c>
      <c r="O813" s="90">
        <v>299.60000000000002</v>
      </c>
      <c r="U813" s="55">
        <v>2</v>
      </c>
      <c r="V813" s="55" t="s">
        <v>1682</v>
      </c>
      <c r="Y813" s="55" t="s">
        <v>1894</v>
      </c>
      <c r="Z813" s="55" t="s">
        <v>1346</v>
      </c>
      <c r="AA813" s="90" t="s">
        <v>1675</v>
      </c>
      <c r="AD813" s="90">
        <v>1.05</v>
      </c>
      <c r="AE813" s="90">
        <v>7.3</v>
      </c>
      <c r="AF813" s="90">
        <v>70.2</v>
      </c>
      <c r="AH813" s="55" t="s">
        <v>6378</v>
      </c>
      <c r="AI813" s="168">
        <v>5.48</v>
      </c>
      <c r="AJ813" s="90">
        <v>1.1599999999999999</v>
      </c>
      <c r="AM813" s="55" t="s">
        <v>1303</v>
      </c>
      <c r="AN813" s="185" t="s">
        <v>131</v>
      </c>
      <c r="AO813" s="185" t="s">
        <v>5150</v>
      </c>
      <c r="AQ813" s="55" t="s">
        <v>131</v>
      </c>
      <c r="AR813" s="55" t="s">
        <v>132</v>
      </c>
      <c r="AS813" s="55" t="s">
        <v>132</v>
      </c>
      <c r="AU813" s="181" t="s">
        <v>7494</v>
      </c>
      <c r="AV813" s="185" t="s">
        <v>176</v>
      </c>
      <c r="AX813" s="185" t="s">
        <v>176</v>
      </c>
      <c r="BK813" s="55" t="s">
        <v>5976</v>
      </c>
      <c r="BM813" s="192" t="s">
        <v>119</v>
      </c>
      <c r="BN813" s="55">
        <v>2</v>
      </c>
      <c r="BO813" s="55">
        <v>2</v>
      </c>
      <c r="BQ813" s="55" t="s">
        <v>141</v>
      </c>
      <c r="FT813" s="65">
        <v>0.05</v>
      </c>
      <c r="FU813" s="65">
        <v>0.05</v>
      </c>
      <c r="FX813" s="65" t="s">
        <v>571</v>
      </c>
      <c r="GP813" s="292" t="s">
        <v>7494</v>
      </c>
      <c r="JU813" s="55" t="s">
        <v>700</v>
      </c>
    </row>
    <row r="814" spans="1:282" x14ac:dyDescent="0.25">
      <c r="A814" s="55">
        <v>813</v>
      </c>
      <c r="B814" s="12" t="s">
        <v>7067</v>
      </c>
      <c r="C814" s="155">
        <v>41</v>
      </c>
      <c r="D814" s="55" t="s">
        <v>3861</v>
      </c>
      <c r="E814" s="90" t="s">
        <v>567</v>
      </c>
      <c r="G814" s="55" t="s">
        <v>568</v>
      </c>
      <c r="H814" s="55">
        <v>1994</v>
      </c>
      <c r="I814" s="55">
        <v>1986</v>
      </c>
      <c r="J814" s="55" t="s">
        <v>397</v>
      </c>
      <c r="K814" s="55" t="s">
        <v>570</v>
      </c>
      <c r="L814" s="55" t="s">
        <v>2737</v>
      </c>
      <c r="M814" s="90">
        <v>38.03</v>
      </c>
      <c r="N814" s="90">
        <v>-84.51</v>
      </c>
      <c r="O814" s="90">
        <v>299.60000000000002</v>
      </c>
      <c r="U814" s="55">
        <v>2</v>
      </c>
      <c r="V814" s="55" t="s">
        <v>1682</v>
      </c>
      <c r="Y814" s="55" t="s">
        <v>1895</v>
      </c>
      <c r="Z814" s="55" t="s">
        <v>1346</v>
      </c>
      <c r="AA814" s="90" t="s">
        <v>1675</v>
      </c>
      <c r="AD814" s="90">
        <v>1.05</v>
      </c>
      <c r="AE814" s="90">
        <v>7.3</v>
      </c>
      <c r="AF814" s="90">
        <v>70.2</v>
      </c>
      <c r="AH814" s="55" t="s">
        <v>6378</v>
      </c>
      <c r="AI814" s="168">
        <v>5.48</v>
      </c>
      <c r="AJ814" s="90">
        <v>1.1599999999999999</v>
      </c>
      <c r="AM814" s="55" t="s">
        <v>1303</v>
      </c>
      <c r="AN814" s="185" t="s">
        <v>131</v>
      </c>
      <c r="AO814" s="185" t="s">
        <v>5150</v>
      </c>
      <c r="AQ814" s="55" t="s">
        <v>131</v>
      </c>
      <c r="AR814" s="55" t="s">
        <v>132</v>
      </c>
      <c r="AS814" s="55" t="s">
        <v>132</v>
      </c>
      <c r="AU814" s="181" t="s">
        <v>7494</v>
      </c>
      <c r="AV814" s="185" t="s">
        <v>176</v>
      </c>
      <c r="AX814" s="185" t="s">
        <v>176</v>
      </c>
      <c r="BK814" s="55" t="s">
        <v>5976</v>
      </c>
      <c r="BM814" s="192" t="s">
        <v>119</v>
      </c>
      <c r="BN814" s="55">
        <v>2</v>
      </c>
      <c r="BO814" s="55">
        <v>2</v>
      </c>
      <c r="BQ814" s="55" t="s">
        <v>141</v>
      </c>
      <c r="FT814" s="65">
        <v>0.3</v>
      </c>
      <c r="FU814" s="65">
        <v>0.3</v>
      </c>
      <c r="FX814" s="65" t="s">
        <v>571</v>
      </c>
      <c r="GP814" s="292" t="s">
        <v>7494</v>
      </c>
      <c r="JU814" s="55" t="s">
        <v>700</v>
      </c>
    </row>
    <row r="815" spans="1:282" x14ac:dyDescent="0.25">
      <c r="A815" s="55">
        <v>814</v>
      </c>
      <c r="B815" s="12" t="s">
        <v>7067</v>
      </c>
      <c r="C815" s="155">
        <v>41</v>
      </c>
      <c r="D815" s="55" t="s">
        <v>3861</v>
      </c>
      <c r="E815" s="90" t="s">
        <v>567</v>
      </c>
      <c r="G815" s="55" t="s">
        <v>568</v>
      </c>
      <c r="H815" s="55">
        <v>1994</v>
      </c>
      <c r="I815" s="55">
        <v>1986</v>
      </c>
      <c r="J815" s="55" t="s">
        <v>397</v>
      </c>
      <c r="K815" s="55" t="s">
        <v>570</v>
      </c>
      <c r="L815" s="55" t="s">
        <v>2737</v>
      </c>
      <c r="M815" s="90">
        <v>38.03</v>
      </c>
      <c r="N815" s="90">
        <v>-84.51</v>
      </c>
      <c r="O815" s="90">
        <v>299.60000000000002</v>
      </c>
      <c r="U815" s="55">
        <v>2</v>
      </c>
      <c r="V815" s="55" t="s">
        <v>1682</v>
      </c>
      <c r="Y815" s="55" t="s">
        <v>1896</v>
      </c>
      <c r="Z815" s="55" t="s">
        <v>1346</v>
      </c>
      <c r="AA815" s="90" t="s">
        <v>1675</v>
      </c>
      <c r="AD815" s="90">
        <v>1.05</v>
      </c>
      <c r="AE815" s="90">
        <v>7.3</v>
      </c>
      <c r="AF815" s="90">
        <v>70.2</v>
      </c>
      <c r="AH815" s="55" t="s">
        <v>6378</v>
      </c>
      <c r="AI815" s="168">
        <v>5.48</v>
      </c>
      <c r="AJ815" s="90">
        <v>1.1599999999999999</v>
      </c>
      <c r="AM815" s="55" t="s">
        <v>1303</v>
      </c>
      <c r="AN815" s="185" t="s">
        <v>131</v>
      </c>
      <c r="AO815" s="185" t="s">
        <v>5150</v>
      </c>
      <c r="AQ815" s="55" t="s">
        <v>131</v>
      </c>
      <c r="AR815" s="55" t="s">
        <v>132</v>
      </c>
      <c r="AS815" s="55" t="s">
        <v>132</v>
      </c>
      <c r="AU815" s="181" t="s">
        <v>7494</v>
      </c>
      <c r="AV815" s="185" t="s">
        <v>176</v>
      </c>
      <c r="AX815" s="185" t="s">
        <v>176</v>
      </c>
      <c r="BK815" s="55" t="s">
        <v>5976</v>
      </c>
      <c r="BM815" s="192" t="s">
        <v>119</v>
      </c>
      <c r="BN815" s="55">
        <v>2</v>
      </c>
      <c r="BO815" s="55">
        <v>2</v>
      </c>
      <c r="BQ815" s="55" t="s">
        <v>141</v>
      </c>
      <c r="FT815" s="65">
        <v>0.03</v>
      </c>
      <c r="FU815" s="65">
        <v>0.03</v>
      </c>
      <c r="FX815" s="65" t="s">
        <v>571</v>
      </c>
      <c r="GP815" s="292" t="s">
        <v>7494</v>
      </c>
      <c r="JU815" s="55" t="s">
        <v>700</v>
      </c>
    </row>
    <row r="816" spans="1:282" x14ac:dyDescent="0.25">
      <c r="A816" s="55">
        <v>815</v>
      </c>
      <c r="B816" s="12" t="s">
        <v>7067</v>
      </c>
      <c r="C816" s="155">
        <v>41</v>
      </c>
      <c r="D816" s="55" t="s">
        <v>3861</v>
      </c>
      <c r="E816" s="90" t="s">
        <v>567</v>
      </c>
      <c r="G816" s="55" t="s">
        <v>568</v>
      </c>
      <c r="H816" s="55">
        <v>1994</v>
      </c>
      <c r="I816" s="55">
        <v>1986</v>
      </c>
      <c r="J816" s="55" t="s">
        <v>397</v>
      </c>
      <c r="K816" s="55" t="s">
        <v>570</v>
      </c>
      <c r="L816" s="55" t="s">
        <v>2737</v>
      </c>
      <c r="M816" s="90">
        <v>38.03</v>
      </c>
      <c r="N816" s="90">
        <v>-84.51</v>
      </c>
      <c r="O816" s="90">
        <v>299.60000000000002</v>
      </c>
      <c r="U816" s="55">
        <v>2</v>
      </c>
      <c r="V816" s="55" t="s">
        <v>1682</v>
      </c>
      <c r="Y816" s="55" t="s">
        <v>1897</v>
      </c>
      <c r="Z816" s="55" t="s">
        <v>1346</v>
      </c>
      <c r="AA816" s="90" t="s">
        <v>1675</v>
      </c>
      <c r="AD816" s="90">
        <v>1.05</v>
      </c>
      <c r="AE816" s="90">
        <v>7.3</v>
      </c>
      <c r="AF816" s="90">
        <v>70.2</v>
      </c>
      <c r="AH816" s="55" t="s">
        <v>6378</v>
      </c>
      <c r="AI816" s="168">
        <v>5.48</v>
      </c>
      <c r="AJ816" s="90">
        <v>1.1599999999999999</v>
      </c>
      <c r="AM816" s="55" t="s">
        <v>1303</v>
      </c>
      <c r="AN816" s="185" t="s">
        <v>131</v>
      </c>
      <c r="AO816" s="185" t="s">
        <v>5150</v>
      </c>
      <c r="AQ816" s="55" t="s">
        <v>131</v>
      </c>
      <c r="AR816" s="55" t="s">
        <v>132</v>
      </c>
      <c r="AS816" s="55" t="s">
        <v>132</v>
      </c>
      <c r="AU816" s="181" t="s">
        <v>7494</v>
      </c>
      <c r="AV816" s="185" t="s">
        <v>176</v>
      </c>
      <c r="AX816" s="185" t="s">
        <v>176</v>
      </c>
      <c r="BK816" s="55" t="s">
        <v>5976</v>
      </c>
      <c r="BM816" s="192" t="s">
        <v>119</v>
      </c>
      <c r="BN816" s="55">
        <v>2</v>
      </c>
      <c r="BO816" s="55">
        <v>2</v>
      </c>
      <c r="BQ816" s="55" t="s">
        <v>141</v>
      </c>
      <c r="FT816" s="65">
        <v>34.22</v>
      </c>
      <c r="FU816" s="65">
        <v>26.66</v>
      </c>
      <c r="FX816" s="65" t="s">
        <v>571</v>
      </c>
      <c r="GP816" s="292" t="s">
        <v>7494</v>
      </c>
      <c r="JU816" s="55" t="s">
        <v>700</v>
      </c>
    </row>
    <row r="817" spans="1:281" x14ac:dyDescent="0.25">
      <c r="A817" s="55">
        <v>816</v>
      </c>
      <c r="B817" s="12" t="s">
        <v>7067</v>
      </c>
      <c r="C817" s="155">
        <v>41</v>
      </c>
      <c r="D817" s="55" t="s">
        <v>3861</v>
      </c>
      <c r="E817" s="90" t="s">
        <v>567</v>
      </c>
      <c r="G817" s="55" t="s">
        <v>568</v>
      </c>
      <c r="H817" s="55">
        <v>1994</v>
      </c>
      <c r="I817" s="55">
        <v>1987</v>
      </c>
      <c r="J817" s="55" t="s">
        <v>397</v>
      </c>
      <c r="K817" s="55" t="s">
        <v>570</v>
      </c>
      <c r="L817" s="55" t="s">
        <v>2737</v>
      </c>
      <c r="M817" s="90">
        <v>38.03</v>
      </c>
      <c r="N817" s="90">
        <v>-84.51</v>
      </c>
      <c r="O817" s="90">
        <v>299.60000000000002</v>
      </c>
      <c r="U817" s="55">
        <v>3</v>
      </c>
      <c r="V817" s="55" t="s">
        <v>1682</v>
      </c>
      <c r="Y817" s="55" t="s">
        <v>1898</v>
      </c>
      <c r="Z817" s="55" t="s">
        <v>1346</v>
      </c>
      <c r="AA817" s="90" t="s">
        <v>1675</v>
      </c>
      <c r="AD817" s="90">
        <v>1.05</v>
      </c>
      <c r="AE817" s="90">
        <v>7.3</v>
      </c>
      <c r="AF817" s="90">
        <v>70.2</v>
      </c>
      <c r="AH817" s="55" t="s">
        <v>6378</v>
      </c>
      <c r="AI817" s="168">
        <v>5.48</v>
      </c>
      <c r="AJ817" s="90">
        <v>1.1599999999999999</v>
      </c>
      <c r="AM817" s="55" t="s">
        <v>1303</v>
      </c>
      <c r="AN817" s="185" t="s">
        <v>131</v>
      </c>
      <c r="AO817" s="185" t="s">
        <v>5150</v>
      </c>
      <c r="AQ817" s="55" t="s">
        <v>131</v>
      </c>
      <c r="AR817" s="55" t="s">
        <v>132</v>
      </c>
      <c r="AS817" s="55" t="s">
        <v>132</v>
      </c>
      <c r="AU817" s="181" t="s">
        <v>7494</v>
      </c>
      <c r="AV817" s="185" t="s">
        <v>176</v>
      </c>
      <c r="AX817" s="185" t="s">
        <v>176</v>
      </c>
      <c r="BK817" s="55" t="s">
        <v>5976</v>
      </c>
      <c r="BM817" s="192" t="s">
        <v>119</v>
      </c>
      <c r="BN817" s="55">
        <v>2</v>
      </c>
      <c r="BO817" s="55">
        <v>2</v>
      </c>
      <c r="BQ817" s="55" t="s">
        <v>141</v>
      </c>
      <c r="FT817" s="65">
        <v>84.75</v>
      </c>
      <c r="FU817" s="65">
        <v>81.73</v>
      </c>
      <c r="FX817" s="65" t="s">
        <v>571</v>
      </c>
      <c r="GP817" s="292" t="s">
        <v>7494</v>
      </c>
      <c r="JU817" s="55" t="s">
        <v>700</v>
      </c>
    </row>
    <row r="818" spans="1:281" x14ac:dyDescent="0.25">
      <c r="A818" s="55">
        <v>817</v>
      </c>
      <c r="B818" s="12" t="s">
        <v>7067</v>
      </c>
      <c r="C818" s="155">
        <v>41</v>
      </c>
      <c r="D818" s="55" t="s">
        <v>3861</v>
      </c>
      <c r="E818" s="90" t="s">
        <v>567</v>
      </c>
      <c r="G818" s="55" t="s">
        <v>568</v>
      </c>
      <c r="H818" s="55">
        <v>1994</v>
      </c>
      <c r="I818" s="55">
        <v>1987</v>
      </c>
      <c r="J818" s="55" t="s">
        <v>397</v>
      </c>
      <c r="K818" s="55" t="s">
        <v>570</v>
      </c>
      <c r="L818" s="55" t="s">
        <v>2737</v>
      </c>
      <c r="M818" s="90">
        <v>38.03</v>
      </c>
      <c r="N818" s="90">
        <v>-84.51</v>
      </c>
      <c r="O818" s="90">
        <v>299.60000000000002</v>
      </c>
      <c r="U818" s="55">
        <v>3</v>
      </c>
      <c r="V818" s="55" t="s">
        <v>1682</v>
      </c>
      <c r="Y818" s="55" t="s">
        <v>1899</v>
      </c>
      <c r="Z818" s="55" t="s">
        <v>1346</v>
      </c>
      <c r="AA818" s="90" t="s">
        <v>1675</v>
      </c>
      <c r="AD818" s="90">
        <v>1.05</v>
      </c>
      <c r="AE818" s="90">
        <v>7.3</v>
      </c>
      <c r="AF818" s="90">
        <v>70.2</v>
      </c>
      <c r="AH818" s="55" t="s">
        <v>6378</v>
      </c>
      <c r="AI818" s="168">
        <v>5.48</v>
      </c>
      <c r="AJ818" s="90">
        <v>1.1599999999999999</v>
      </c>
      <c r="AM818" s="55" t="s">
        <v>1303</v>
      </c>
      <c r="AN818" s="185" t="s">
        <v>131</v>
      </c>
      <c r="AO818" s="185" t="s">
        <v>5150</v>
      </c>
      <c r="AQ818" s="55" t="s">
        <v>131</v>
      </c>
      <c r="AR818" s="55" t="s">
        <v>132</v>
      </c>
      <c r="AS818" s="55" t="s">
        <v>132</v>
      </c>
      <c r="AU818" s="181" t="s">
        <v>7494</v>
      </c>
      <c r="AV818" s="185" t="s">
        <v>176</v>
      </c>
      <c r="AX818" s="185" t="s">
        <v>176</v>
      </c>
      <c r="BK818" s="55" t="s">
        <v>5976</v>
      </c>
      <c r="BM818" s="192" t="s">
        <v>119</v>
      </c>
      <c r="BN818" s="55">
        <v>2</v>
      </c>
      <c r="BO818" s="55">
        <v>2</v>
      </c>
      <c r="BQ818" s="55" t="s">
        <v>141</v>
      </c>
      <c r="FT818" s="65">
        <v>87.58</v>
      </c>
      <c r="FU818" s="65">
        <v>85.64</v>
      </c>
      <c r="FX818" s="65" t="s">
        <v>571</v>
      </c>
      <c r="GP818" s="292" t="s">
        <v>7494</v>
      </c>
      <c r="JU818" s="55" t="s">
        <v>700</v>
      </c>
    </row>
    <row r="819" spans="1:281" x14ac:dyDescent="0.25">
      <c r="A819" s="55">
        <v>818</v>
      </c>
      <c r="B819" s="12" t="s">
        <v>7067</v>
      </c>
      <c r="C819" s="155">
        <v>41</v>
      </c>
      <c r="D819" s="55" t="s">
        <v>3861</v>
      </c>
      <c r="E819" s="90" t="s">
        <v>567</v>
      </c>
      <c r="G819" s="55" t="s">
        <v>568</v>
      </c>
      <c r="H819" s="55">
        <v>1994</v>
      </c>
      <c r="I819" s="55">
        <v>1987</v>
      </c>
      <c r="J819" s="55" t="s">
        <v>397</v>
      </c>
      <c r="K819" s="55" t="s">
        <v>570</v>
      </c>
      <c r="L819" s="55" t="s">
        <v>2737</v>
      </c>
      <c r="M819" s="90">
        <v>38.03</v>
      </c>
      <c r="N819" s="90">
        <v>-84.51</v>
      </c>
      <c r="O819" s="90">
        <v>299.60000000000002</v>
      </c>
      <c r="U819" s="55">
        <v>3</v>
      </c>
      <c r="V819" s="55" t="s">
        <v>1682</v>
      </c>
      <c r="Y819" s="55" t="s">
        <v>1900</v>
      </c>
      <c r="Z819" s="55" t="s">
        <v>1346</v>
      </c>
      <c r="AA819" s="90" t="s">
        <v>1675</v>
      </c>
      <c r="AD819" s="90">
        <v>1.05</v>
      </c>
      <c r="AE819" s="90">
        <v>7.3</v>
      </c>
      <c r="AF819" s="90">
        <v>70.2</v>
      </c>
      <c r="AH819" s="55" t="s">
        <v>6378</v>
      </c>
      <c r="AI819" s="168">
        <v>5.48</v>
      </c>
      <c r="AJ819" s="90">
        <v>1.1599999999999999</v>
      </c>
      <c r="AM819" s="55" t="s">
        <v>1303</v>
      </c>
      <c r="AN819" s="185" t="s">
        <v>131</v>
      </c>
      <c r="AO819" s="185" t="s">
        <v>5150</v>
      </c>
      <c r="AQ819" s="55" t="s">
        <v>131</v>
      </c>
      <c r="AR819" s="55" t="s">
        <v>132</v>
      </c>
      <c r="AS819" s="55" t="s">
        <v>132</v>
      </c>
      <c r="AU819" s="181" t="s">
        <v>7494</v>
      </c>
      <c r="AV819" s="185" t="s">
        <v>176</v>
      </c>
      <c r="AX819" s="185" t="s">
        <v>176</v>
      </c>
      <c r="BK819" s="55" t="s">
        <v>5976</v>
      </c>
      <c r="BM819" s="192" t="s">
        <v>119</v>
      </c>
      <c r="BN819" s="55">
        <v>2</v>
      </c>
      <c r="BO819" s="55">
        <v>2</v>
      </c>
      <c r="BQ819" s="55" t="s">
        <v>141</v>
      </c>
      <c r="FT819" s="65">
        <v>95.59</v>
      </c>
      <c r="FU819" s="65">
        <v>74.66</v>
      </c>
      <c r="FX819" s="65" t="s">
        <v>571</v>
      </c>
      <c r="GP819" s="292" t="s">
        <v>7494</v>
      </c>
      <c r="JU819" s="55" t="s">
        <v>700</v>
      </c>
    </row>
    <row r="820" spans="1:281" x14ac:dyDescent="0.25">
      <c r="A820" s="55">
        <v>819</v>
      </c>
      <c r="B820" s="12" t="s">
        <v>7067</v>
      </c>
      <c r="C820" s="155">
        <v>41</v>
      </c>
      <c r="D820" s="55" t="s">
        <v>3861</v>
      </c>
      <c r="E820" s="90" t="s">
        <v>567</v>
      </c>
      <c r="G820" s="55" t="s">
        <v>568</v>
      </c>
      <c r="H820" s="55">
        <v>1994</v>
      </c>
      <c r="I820" s="55">
        <v>1987</v>
      </c>
      <c r="J820" s="55" t="s">
        <v>397</v>
      </c>
      <c r="K820" s="55" t="s">
        <v>570</v>
      </c>
      <c r="L820" s="55" t="s">
        <v>2737</v>
      </c>
      <c r="M820" s="90">
        <v>38.03</v>
      </c>
      <c r="N820" s="90">
        <v>-84.51</v>
      </c>
      <c r="O820" s="90">
        <v>299.60000000000002</v>
      </c>
      <c r="U820" s="55">
        <v>3</v>
      </c>
      <c r="V820" s="55" t="s">
        <v>1682</v>
      </c>
      <c r="Y820" s="55" t="s">
        <v>1901</v>
      </c>
      <c r="Z820" s="55" t="s">
        <v>1346</v>
      </c>
      <c r="AA820" s="90" t="s">
        <v>1675</v>
      </c>
      <c r="AD820" s="90">
        <v>1.05</v>
      </c>
      <c r="AE820" s="90">
        <v>7.3</v>
      </c>
      <c r="AF820" s="90">
        <v>70.2</v>
      </c>
      <c r="AH820" s="55" t="s">
        <v>6378</v>
      </c>
      <c r="AI820" s="168">
        <v>5.48</v>
      </c>
      <c r="AJ820" s="90">
        <v>1.1599999999999999</v>
      </c>
      <c r="AM820" s="55" t="s">
        <v>1303</v>
      </c>
      <c r="AN820" s="185" t="s">
        <v>131</v>
      </c>
      <c r="AO820" s="185" t="s">
        <v>5150</v>
      </c>
      <c r="AQ820" s="55" t="s">
        <v>131</v>
      </c>
      <c r="AR820" s="55" t="s">
        <v>132</v>
      </c>
      <c r="AS820" s="55" t="s">
        <v>132</v>
      </c>
      <c r="AU820" s="181" t="s">
        <v>7494</v>
      </c>
      <c r="AV820" s="185" t="s">
        <v>176</v>
      </c>
      <c r="AX820" s="185" t="s">
        <v>176</v>
      </c>
      <c r="BK820" s="55" t="s">
        <v>5976</v>
      </c>
      <c r="BM820" s="192" t="s">
        <v>119</v>
      </c>
      <c r="BN820" s="55">
        <v>2</v>
      </c>
      <c r="BO820" s="55">
        <v>2</v>
      </c>
      <c r="BQ820" s="55" t="s">
        <v>141</v>
      </c>
      <c r="FT820" s="65">
        <v>79.63</v>
      </c>
      <c r="FU820" s="65">
        <v>51.37</v>
      </c>
      <c r="FX820" s="65" t="s">
        <v>571</v>
      </c>
      <c r="GP820" s="292" t="s">
        <v>7494</v>
      </c>
      <c r="JU820" s="55" t="s">
        <v>700</v>
      </c>
    </row>
    <row r="821" spans="1:281" x14ac:dyDescent="0.25">
      <c r="A821" s="55">
        <v>820</v>
      </c>
      <c r="B821" s="12" t="s">
        <v>7067</v>
      </c>
      <c r="C821" s="155">
        <v>41</v>
      </c>
      <c r="D821" s="55" t="s">
        <v>3861</v>
      </c>
      <c r="E821" s="90" t="s">
        <v>567</v>
      </c>
      <c r="G821" s="55" t="s">
        <v>568</v>
      </c>
      <c r="H821" s="55">
        <v>1994</v>
      </c>
      <c r="I821" s="55">
        <v>1987</v>
      </c>
      <c r="J821" s="55" t="s">
        <v>397</v>
      </c>
      <c r="K821" s="55" t="s">
        <v>570</v>
      </c>
      <c r="L821" s="55" t="s">
        <v>2737</v>
      </c>
      <c r="M821" s="90">
        <v>38.03</v>
      </c>
      <c r="N821" s="90">
        <v>-84.51</v>
      </c>
      <c r="O821" s="90">
        <v>299.60000000000002</v>
      </c>
      <c r="U821" s="55">
        <v>3</v>
      </c>
      <c r="V821" s="55" t="s">
        <v>1682</v>
      </c>
      <c r="Y821" s="55" t="s">
        <v>1892</v>
      </c>
      <c r="Z821" s="55" t="s">
        <v>1346</v>
      </c>
      <c r="AA821" s="90" t="s">
        <v>1675</v>
      </c>
      <c r="AD821" s="90">
        <v>1.05</v>
      </c>
      <c r="AE821" s="90">
        <v>7.3</v>
      </c>
      <c r="AF821" s="90">
        <v>70.2</v>
      </c>
      <c r="AH821" s="55" t="s">
        <v>6378</v>
      </c>
      <c r="AI821" s="168">
        <v>5.48</v>
      </c>
      <c r="AJ821" s="90">
        <v>1.1599999999999999</v>
      </c>
      <c r="AM821" s="55" t="s">
        <v>1303</v>
      </c>
      <c r="AN821" s="185" t="s">
        <v>131</v>
      </c>
      <c r="AO821" s="185" t="s">
        <v>5150</v>
      </c>
      <c r="AQ821" s="55" t="s">
        <v>131</v>
      </c>
      <c r="AR821" s="55" t="s">
        <v>132</v>
      </c>
      <c r="AS821" s="55" t="s">
        <v>132</v>
      </c>
      <c r="AU821" s="181" t="s">
        <v>7494</v>
      </c>
      <c r="AV821" s="185" t="s">
        <v>176</v>
      </c>
      <c r="AX821" s="185" t="s">
        <v>176</v>
      </c>
      <c r="BK821" s="55" t="s">
        <v>5976</v>
      </c>
      <c r="BM821" s="192" t="s">
        <v>119</v>
      </c>
      <c r="BN821" s="55">
        <v>2</v>
      </c>
      <c r="BO821" s="55">
        <v>2</v>
      </c>
      <c r="BQ821" s="55" t="s">
        <v>141</v>
      </c>
      <c r="FT821" s="65">
        <v>17.940000000000001</v>
      </c>
      <c r="FU821" s="65">
        <v>0.24</v>
      </c>
      <c r="FX821" s="65" t="s">
        <v>571</v>
      </c>
      <c r="GP821" s="292" t="s">
        <v>7494</v>
      </c>
      <c r="JU821" s="55" t="s">
        <v>700</v>
      </c>
    </row>
    <row r="822" spans="1:281" x14ac:dyDescent="0.25">
      <c r="A822" s="55">
        <v>821</v>
      </c>
      <c r="B822" s="12" t="s">
        <v>7067</v>
      </c>
      <c r="C822" s="155">
        <v>41</v>
      </c>
      <c r="D822" s="55" t="s">
        <v>3861</v>
      </c>
      <c r="E822" s="90" t="s">
        <v>567</v>
      </c>
      <c r="G822" s="55" t="s">
        <v>568</v>
      </c>
      <c r="H822" s="55">
        <v>1994</v>
      </c>
      <c r="I822" s="55">
        <v>1987</v>
      </c>
      <c r="J822" s="55" t="s">
        <v>397</v>
      </c>
      <c r="K822" s="55" t="s">
        <v>570</v>
      </c>
      <c r="L822" s="55" t="s">
        <v>2737</v>
      </c>
      <c r="M822" s="90">
        <v>38.03</v>
      </c>
      <c r="N822" s="90">
        <v>-84.51</v>
      </c>
      <c r="O822" s="90">
        <v>299.60000000000002</v>
      </c>
      <c r="U822" s="55">
        <v>3</v>
      </c>
      <c r="V822" s="55" t="s">
        <v>1682</v>
      </c>
      <c r="Y822" s="55" t="s">
        <v>1893</v>
      </c>
      <c r="Z822" s="55" t="s">
        <v>1346</v>
      </c>
      <c r="AA822" s="90" t="s">
        <v>1675</v>
      </c>
      <c r="AD822" s="90">
        <v>1.05</v>
      </c>
      <c r="AE822" s="90">
        <v>7.3</v>
      </c>
      <c r="AF822" s="90">
        <v>70.2</v>
      </c>
      <c r="AH822" s="55" t="s">
        <v>6378</v>
      </c>
      <c r="AI822" s="168">
        <v>5.48</v>
      </c>
      <c r="AJ822" s="90">
        <v>1.1599999999999999</v>
      </c>
      <c r="AM822" s="55" t="s">
        <v>1303</v>
      </c>
      <c r="AN822" s="185" t="s">
        <v>131</v>
      </c>
      <c r="AO822" s="185" t="s">
        <v>5150</v>
      </c>
      <c r="AQ822" s="55" t="s">
        <v>131</v>
      </c>
      <c r="AR822" s="55" t="s">
        <v>132</v>
      </c>
      <c r="AS822" s="55" t="s">
        <v>132</v>
      </c>
      <c r="AU822" s="181" t="s">
        <v>7494</v>
      </c>
      <c r="AV822" s="185" t="s">
        <v>176</v>
      </c>
      <c r="AX822" s="185" t="s">
        <v>176</v>
      </c>
      <c r="BK822" s="55" t="s">
        <v>5976</v>
      </c>
      <c r="BM822" s="192" t="s">
        <v>119</v>
      </c>
      <c r="BN822" s="55">
        <v>2</v>
      </c>
      <c r="BO822" s="55">
        <v>2</v>
      </c>
      <c r="BQ822" s="55" t="s">
        <v>141</v>
      </c>
      <c r="FT822" s="65">
        <v>30.46</v>
      </c>
      <c r="FU822" s="65">
        <v>0.26</v>
      </c>
      <c r="FX822" s="65" t="s">
        <v>571</v>
      </c>
      <c r="GP822" s="292" t="s">
        <v>7494</v>
      </c>
      <c r="JU822" s="55" t="s">
        <v>700</v>
      </c>
    </row>
    <row r="823" spans="1:281" x14ac:dyDescent="0.25">
      <c r="A823" s="55">
        <v>822</v>
      </c>
      <c r="B823" s="12" t="s">
        <v>7067</v>
      </c>
      <c r="C823" s="155">
        <v>41</v>
      </c>
      <c r="D823" s="55" t="s">
        <v>3861</v>
      </c>
      <c r="E823" s="90" t="s">
        <v>567</v>
      </c>
      <c r="G823" s="55" t="s">
        <v>568</v>
      </c>
      <c r="H823" s="55">
        <v>1994</v>
      </c>
      <c r="I823" s="55">
        <v>1987</v>
      </c>
      <c r="J823" s="55" t="s">
        <v>397</v>
      </c>
      <c r="K823" s="55" t="s">
        <v>570</v>
      </c>
      <c r="L823" s="55" t="s">
        <v>2737</v>
      </c>
      <c r="M823" s="90">
        <v>38.03</v>
      </c>
      <c r="N823" s="90">
        <v>-84.51</v>
      </c>
      <c r="O823" s="90">
        <v>299.60000000000002</v>
      </c>
      <c r="U823" s="55">
        <v>3</v>
      </c>
      <c r="V823" s="55" t="s">
        <v>1682</v>
      </c>
      <c r="Y823" s="55" t="s">
        <v>1894</v>
      </c>
      <c r="Z823" s="55" t="s">
        <v>1346</v>
      </c>
      <c r="AA823" s="90" t="s">
        <v>1675</v>
      </c>
      <c r="AD823" s="90">
        <v>1.05</v>
      </c>
      <c r="AE823" s="90">
        <v>7.3</v>
      </c>
      <c r="AF823" s="90">
        <v>70.2</v>
      </c>
      <c r="AH823" s="55" t="s">
        <v>6378</v>
      </c>
      <c r="AI823" s="168">
        <v>5.48</v>
      </c>
      <c r="AJ823" s="90">
        <v>1.1599999999999999</v>
      </c>
      <c r="AM823" s="55" t="s">
        <v>1303</v>
      </c>
      <c r="AN823" s="185" t="s">
        <v>131</v>
      </c>
      <c r="AO823" s="185" t="s">
        <v>5150</v>
      </c>
      <c r="AQ823" s="55" t="s">
        <v>131</v>
      </c>
      <c r="AR823" s="55" t="s">
        <v>132</v>
      </c>
      <c r="AS823" s="55" t="s">
        <v>132</v>
      </c>
      <c r="AU823" s="181" t="s">
        <v>7494</v>
      </c>
      <c r="AV823" s="185" t="s">
        <v>176</v>
      </c>
      <c r="AX823" s="185" t="s">
        <v>176</v>
      </c>
      <c r="BK823" s="55" t="s">
        <v>5976</v>
      </c>
      <c r="BM823" s="192" t="s">
        <v>119</v>
      </c>
      <c r="BN823" s="55">
        <v>2</v>
      </c>
      <c r="BO823" s="55">
        <v>2</v>
      </c>
      <c r="BQ823" s="55" t="s">
        <v>141</v>
      </c>
      <c r="FT823" s="65">
        <v>48.81</v>
      </c>
      <c r="FU823" s="65">
        <v>15.59</v>
      </c>
      <c r="FX823" s="65" t="s">
        <v>571</v>
      </c>
      <c r="GP823" s="292" t="s">
        <v>7494</v>
      </c>
      <c r="JU823" s="55" t="s">
        <v>700</v>
      </c>
    </row>
    <row r="824" spans="1:281" x14ac:dyDescent="0.25">
      <c r="A824" s="55">
        <v>823</v>
      </c>
      <c r="B824" s="12" t="s">
        <v>7067</v>
      </c>
      <c r="C824" s="155">
        <v>41</v>
      </c>
      <c r="D824" s="55" t="s">
        <v>3861</v>
      </c>
      <c r="E824" s="90" t="s">
        <v>567</v>
      </c>
      <c r="G824" s="55" t="s">
        <v>568</v>
      </c>
      <c r="H824" s="55">
        <v>1994</v>
      </c>
      <c r="I824" s="55">
        <v>1987</v>
      </c>
      <c r="J824" s="55" t="s">
        <v>397</v>
      </c>
      <c r="K824" s="55" t="s">
        <v>570</v>
      </c>
      <c r="L824" s="55" t="s">
        <v>2737</v>
      </c>
      <c r="M824" s="90">
        <v>38.03</v>
      </c>
      <c r="N824" s="90">
        <v>-84.51</v>
      </c>
      <c r="O824" s="90">
        <v>299.60000000000002</v>
      </c>
      <c r="U824" s="55">
        <v>3</v>
      </c>
      <c r="V824" s="55" t="s">
        <v>1682</v>
      </c>
      <c r="Y824" s="55" t="s">
        <v>1895</v>
      </c>
      <c r="Z824" s="55" t="s">
        <v>1346</v>
      </c>
      <c r="AA824" s="90" t="s">
        <v>1675</v>
      </c>
      <c r="AD824" s="90">
        <v>1.05</v>
      </c>
      <c r="AE824" s="90">
        <v>7.3</v>
      </c>
      <c r="AF824" s="90">
        <v>70.2</v>
      </c>
      <c r="AH824" s="55" t="s">
        <v>6378</v>
      </c>
      <c r="AI824" s="168">
        <v>5.48</v>
      </c>
      <c r="AJ824" s="90">
        <v>1.1599999999999999</v>
      </c>
      <c r="AM824" s="55" t="s">
        <v>1303</v>
      </c>
      <c r="AN824" s="185" t="s">
        <v>131</v>
      </c>
      <c r="AO824" s="185" t="s">
        <v>5150</v>
      </c>
      <c r="AQ824" s="55" t="s">
        <v>131</v>
      </c>
      <c r="AR824" s="55" t="s">
        <v>132</v>
      </c>
      <c r="AS824" s="55" t="s">
        <v>132</v>
      </c>
      <c r="AU824" s="181" t="s">
        <v>7494</v>
      </c>
      <c r="AV824" s="185" t="s">
        <v>176</v>
      </c>
      <c r="AX824" s="185" t="s">
        <v>176</v>
      </c>
      <c r="BK824" s="55" t="s">
        <v>5976</v>
      </c>
      <c r="BM824" s="192" t="s">
        <v>119</v>
      </c>
      <c r="BN824" s="55">
        <v>2</v>
      </c>
      <c r="BO824" s="55">
        <v>2</v>
      </c>
      <c r="BQ824" s="55" t="s">
        <v>141</v>
      </c>
      <c r="FT824" s="65">
        <v>35.020000000000003</v>
      </c>
      <c r="FU824" s="65">
        <v>35.020000000000003</v>
      </c>
      <c r="FX824" s="65" t="s">
        <v>571</v>
      </c>
      <c r="GP824" s="292" t="s">
        <v>7494</v>
      </c>
      <c r="JU824" s="55" t="s">
        <v>700</v>
      </c>
    </row>
    <row r="825" spans="1:281" x14ac:dyDescent="0.25">
      <c r="A825" s="55">
        <v>824</v>
      </c>
      <c r="B825" s="12" t="s">
        <v>7067</v>
      </c>
      <c r="C825" s="155">
        <v>41</v>
      </c>
      <c r="D825" s="55" t="s">
        <v>3861</v>
      </c>
      <c r="E825" s="90" t="s">
        <v>567</v>
      </c>
      <c r="G825" s="55" t="s">
        <v>568</v>
      </c>
      <c r="H825" s="55">
        <v>1994</v>
      </c>
      <c r="I825" s="55">
        <v>1987</v>
      </c>
      <c r="J825" s="55" t="s">
        <v>397</v>
      </c>
      <c r="K825" s="55" t="s">
        <v>570</v>
      </c>
      <c r="L825" s="55" t="s">
        <v>2737</v>
      </c>
      <c r="M825" s="90">
        <v>38.03</v>
      </c>
      <c r="N825" s="90">
        <v>-84.51</v>
      </c>
      <c r="O825" s="90">
        <v>299.60000000000002</v>
      </c>
      <c r="U825" s="55">
        <v>3</v>
      </c>
      <c r="V825" s="55" t="s">
        <v>1682</v>
      </c>
      <c r="Y825" s="55" t="s">
        <v>1902</v>
      </c>
      <c r="Z825" s="55" t="s">
        <v>1346</v>
      </c>
      <c r="AA825" s="90" t="s">
        <v>1675</v>
      </c>
      <c r="AD825" s="90">
        <v>1.05</v>
      </c>
      <c r="AE825" s="90">
        <v>7.3</v>
      </c>
      <c r="AF825" s="90">
        <v>70.2</v>
      </c>
      <c r="AH825" s="55" t="s">
        <v>6378</v>
      </c>
      <c r="AI825" s="168">
        <v>5.48</v>
      </c>
      <c r="AJ825" s="90">
        <v>1.1599999999999999</v>
      </c>
      <c r="AM825" s="55" t="s">
        <v>1303</v>
      </c>
      <c r="AN825" s="185" t="s">
        <v>131</v>
      </c>
      <c r="AO825" s="185" t="s">
        <v>5150</v>
      </c>
      <c r="AQ825" s="55" t="s">
        <v>131</v>
      </c>
      <c r="AR825" s="55" t="s">
        <v>132</v>
      </c>
      <c r="AS825" s="55" t="s">
        <v>132</v>
      </c>
      <c r="AU825" s="181" t="s">
        <v>7494</v>
      </c>
      <c r="AV825" s="185" t="s">
        <v>176</v>
      </c>
      <c r="AX825" s="185" t="s">
        <v>176</v>
      </c>
      <c r="BK825" s="55" t="s">
        <v>5976</v>
      </c>
      <c r="BM825" s="192" t="s">
        <v>119</v>
      </c>
      <c r="BN825" s="55">
        <v>2</v>
      </c>
      <c r="BO825" s="55">
        <v>2</v>
      </c>
      <c r="BQ825" s="55" t="s">
        <v>141</v>
      </c>
      <c r="FT825" s="65">
        <v>0.5</v>
      </c>
      <c r="FU825" s="65">
        <v>0.5</v>
      </c>
      <c r="FX825" s="65" t="s">
        <v>571</v>
      </c>
      <c r="GP825" s="292" t="s">
        <v>7494</v>
      </c>
      <c r="JU825" s="55" t="s">
        <v>700</v>
      </c>
    </row>
    <row r="826" spans="1:281" x14ac:dyDescent="0.25">
      <c r="A826" s="55">
        <v>825</v>
      </c>
      <c r="B826" s="12" t="s">
        <v>7067</v>
      </c>
      <c r="C826" s="155">
        <v>41</v>
      </c>
      <c r="D826" s="55" t="s">
        <v>3861</v>
      </c>
      <c r="E826" s="90" t="s">
        <v>567</v>
      </c>
      <c r="G826" s="55" t="s">
        <v>568</v>
      </c>
      <c r="H826" s="55">
        <v>1994</v>
      </c>
      <c r="I826" s="55">
        <v>1987</v>
      </c>
      <c r="J826" s="55" t="s">
        <v>397</v>
      </c>
      <c r="K826" s="55" t="s">
        <v>570</v>
      </c>
      <c r="L826" s="55" t="s">
        <v>2737</v>
      </c>
      <c r="M826" s="90">
        <v>38.03</v>
      </c>
      <c r="N826" s="90">
        <v>-84.51</v>
      </c>
      <c r="O826" s="90">
        <v>299.60000000000002</v>
      </c>
      <c r="U826" s="55">
        <v>3</v>
      </c>
      <c r="V826" s="55" t="s">
        <v>1682</v>
      </c>
      <c r="Y826" s="55" t="s">
        <v>1897</v>
      </c>
      <c r="Z826" s="55" t="s">
        <v>1346</v>
      </c>
      <c r="AA826" s="90" t="s">
        <v>1675</v>
      </c>
      <c r="AD826" s="90">
        <v>1.05</v>
      </c>
      <c r="AE826" s="90">
        <v>7.3</v>
      </c>
      <c r="AF826" s="90">
        <v>70.2</v>
      </c>
      <c r="AH826" s="55" t="s">
        <v>6378</v>
      </c>
      <c r="AI826" s="168">
        <v>5.48</v>
      </c>
      <c r="AJ826" s="90">
        <v>1.1599999999999999</v>
      </c>
      <c r="AM826" s="55" t="s">
        <v>1303</v>
      </c>
      <c r="AN826" s="185" t="s">
        <v>131</v>
      </c>
      <c r="AO826" s="185" t="s">
        <v>5150</v>
      </c>
      <c r="AQ826" s="55" t="s">
        <v>131</v>
      </c>
      <c r="AR826" s="55" t="s">
        <v>132</v>
      </c>
      <c r="AS826" s="55" t="s">
        <v>132</v>
      </c>
      <c r="AU826" s="181" t="s">
        <v>7494</v>
      </c>
      <c r="AV826" s="185" t="s">
        <v>176</v>
      </c>
      <c r="AX826" s="185" t="s">
        <v>176</v>
      </c>
      <c r="BK826" s="55" t="s">
        <v>5976</v>
      </c>
      <c r="BM826" s="192" t="s">
        <v>119</v>
      </c>
      <c r="BN826" s="55">
        <v>2</v>
      </c>
      <c r="BO826" s="55">
        <v>2</v>
      </c>
      <c r="BQ826" s="55" t="s">
        <v>141</v>
      </c>
      <c r="FT826" s="65">
        <v>0.17</v>
      </c>
      <c r="FU826" s="65">
        <v>0.17</v>
      </c>
      <c r="FX826" s="65" t="s">
        <v>571</v>
      </c>
      <c r="GP826" s="292" t="s">
        <v>7494</v>
      </c>
      <c r="JU826" s="55" t="s">
        <v>700</v>
      </c>
    </row>
    <row r="827" spans="1:281" x14ac:dyDescent="0.25">
      <c r="A827" s="55">
        <v>826</v>
      </c>
      <c r="B827" s="12" t="s">
        <v>7067</v>
      </c>
      <c r="C827" s="155">
        <v>41</v>
      </c>
      <c r="D827" s="55" t="s">
        <v>3861</v>
      </c>
      <c r="E827" s="90" t="s">
        <v>567</v>
      </c>
      <c r="G827" s="55" t="s">
        <v>568</v>
      </c>
      <c r="H827" s="55">
        <v>1994</v>
      </c>
      <c r="I827" s="55">
        <v>1987</v>
      </c>
      <c r="J827" s="55" t="s">
        <v>397</v>
      </c>
      <c r="K827" s="55" t="s">
        <v>570</v>
      </c>
      <c r="L827" s="55" t="s">
        <v>2737</v>
      </c>
      <c r="M827" s="90">
        <v>38.03</v>
      </c>
      <c r="N827" s="90">
        <v>-84.51</v>
      </c>
      <c r="O827" s="90">
        <v>299.60000000000002</v>
      </c>
      <c r="U827" s="55">
        <v>3</v>
      </c>
      <c r="V827" s="55" t="s">
        <v>1682</v>
      </c>
      <c r="Y827" s="55" t="s">
        <v>1903</v>
      </c>
      <c r="Z827" s="55" t="s">
        <v>1346</v>
      </c>
      <c r="AA827" s="90" t="s">
        <v>1675</v>
      </c>
      <c r="AD827" s="90">
        <v>1.05</v>
      </c>
      <c r="AE827" s="90">
        <v>7.3</v>
      </c>
      <c r="AF827" s="90">
        <v>70.2</v>
      </c>
      <c r="AH827" s="55" t="s">
        <v>6378</v>
      </c>
      <c r="AI827" s="168">
        <v>5.48</v>
      </c>
      <c r="AJ827" s="90">
        <v>1.1599999999999999</v>
      </c>
      <c r="AM827" s="55" t="s">
        <v>1303</v>
      </c>
      <c r="AN827" s="185" t="s">
        <v>131</v>
      </c>
      <c r="AO827" s="185" t="s">
        <v>5150</v>
      </c>
      <c r="AQ827" s="55" t="s">
        <v>131</v>
      </c>
      <c r="AR827" s="55" t="s">
        <v>132</v>
      </c>
      <c r="AS827" s="55" t="s">
        <v>132</v>
      </c>
      <c r="AU827" s="181" t="s">
        <v>7494</v>
      </c>
      <c r="AV827" s="185" t="s">
        <v>176</v>
      </c>
      <c r="AX827" s="185" t="s">
        <v>176</v>
      </c>
      <c r="BK827" s="55" t="s">
        <v>5976</v>
      </c>
      <c r="BM827" s="192" t="s">
        <v>119</v>
      </c>
      <c r="BN827" s="55">
        <v>2</v>
      </c>
      <c r="BO827" s="55">
        <v>2</v>
      </c>
      <c r="BQ827" s="55" t="s">
        <v>141</v>
      </c>
      <c r="FT827" s="65">
        <v>25.21</v>
      </c>
      <c r="FU827" s="65">
        <v>12.69</v>
      </c>
      <c r="FX827" s="65" t="s">
        <v>571</v>
      </c>
      <c r="GP827" s="292" t="s">
        <v>7494</v>
      </c>
      <c r="JU827" s="55" t="s">
        <v>700</v>
      </c>
    </row>
    <row r="828" spans="1:281" x14ac:dyDescent="0.25">
      <c r="A828" s="55">
        <v>827</v>
      </c>
      <c r="B828" s="12" t="s">
        <v>7067</v>
      </c>
      <c r="C828" s="155">
        <v>41</v>
      </c>
      <c r="D828" s="55" t="s">
        <v>3861</v>
      </c>
      <c r="E828" s="90" t="s">
        <v>567</v>
      </c>
      <c r="G828" s="55" t="s">
        <v>568</v>
      </c>
      <c r="H828" s="55">
        <v>1994</v>
      </c>
      <c r="I828" s="55">
        <v>1988</v>
      </c>
      <c r="J828" s="55" t="s">
        <v>397</v>
      </c>
      <c r="K828" s="55" t="s">
        <v>570</v>
      </c>
      <c r="L828" s="55" t="s">
        <v>2737</v>
      </c>
      <c r="M828" s="90">
        <v>38.03</v>
      </c>
      <c r="N828" s="90">
        <v>-84.51</v>
      </c>
      <c r="O828" s="90">
        <v>299.60000000000002</v>
      </c>
      <c r="U828" s="55">
        <v>4</v>
      </c>
      <c r="V828" s="55" t="s">
        <v>1682</v>
      </c>
      <c r="Y828" s="55" t="s">
        <v>1898</v>
      </c>
      <c r="Z828" s="55" t="s">
        <v>1346</v>
      </c>
      <c r="AA828" s="90" t="s">
        <v>1675</v>
      </c>
      <c r="AD828" s="90">
        <v>1.05</v>
      </c>
      <c r="AE828" s="90">
        <v>7.3</v>
      </c>
      <c r="AF828" s="90">
        <v>70.2</v>
      </c>
      <c r="AH828" s="55" t="s">
        <v>6378</v>
      </c>
      <c r="AI828" s="168">
        <v>5.48</v>
      </c>
      <c r="AJ828" s="90">
        <v>1.1599999999999999</v>
      </c>
      <c r="AM828" s="55" t="s">
        <v>1303</v>
      </c>
      <c r="AN828" s="185" t="s">
        <v>131</v>
      </c>
      <c r="AO828" s="185" t="s">
        <v>5150</v>
      </c>
      <c r="AQ828" s="55" t="s">
        <v>131</v>
      </c>
      <c r="AR828" s="55" t="s">
        <v>132</v>
      </c>
      <c r="AS828" s="55" t="s">
        <v>132</v>
      </c>
      <c r="AU828" s="181" t="s">
        <v>7494</v>
      </c>
      <c r="AV828" s="185" t="s">
        <v>176</v>
      </c>
      <c r="AX828" s="185" t="s">
        <v>176</v>
      </c>
      <c r="BK828" s="55" t="s">
        <v>5976</v>
      </c>
      <c r="BM828" s="192" t="s">
        <v>119</v>
      </c>
      <c r="BN828" s="55">
        <v>2</v>
      </c>
      <c r="BO828" s="55">
        <v>2</v>
      </c>
      <c r="BQ828" s="55" t="s">
        <v>141</v>
      </c>
      <c r="FT828" s="65">
        <v>95.55</v>
      </c>
      <c r="FU828" s="65">
        <v>92.09</v>
      </c>
      <c r="FX828" s="65" t="s">
        <v>571</v>
      </c>
      <c r="GP828" s="292" t="s">
        <v>7494</v>
      </c>
      <c r="JU828" s="55" t="s">
        <v>700</v>
      </c>
    </row>
    <row r="829" spans="1:281" x14ac:dyDescent="0.25">
      <c r="A829" s="55">
        <v>828</v>
      </c>
      <c r="B829" s="12" t="s">
        <v>7067</v>
      </c>
      <c r="C829" s="155">
        <v>41</v>
      </c>
      <c r="D829" s="55" t="s">
        <v>3861</v>
      </c>
      <c r="E829" s="90" t="s">
        <v>567</v>
      </c>
      <c r="G829" s="55" t="s">
        <v>568</v>
      </c>
      <c r="H829" s="55">
        <v>1994</v>
      </c>
      <c r="I829" s="55">
        <v>1988</v>
      </c>
      <c r="J829" s="55" t="s">
        <v>397</v>
      </c>
      <c r="K829" s="55" t="s">
        <v>570</v>
      </c>
      <c r="L829" s="55" t="s">
        <v>2737</v>
      </c>
      <c r="M829" s="90">
        <v>38.03</v>
      </c>
      <c r="N829" s="90">
        <v>-84.51</v>
      </c>
      <c r="O829" s="90">
        <v>299.60000000000002</v>
      </c>
      <c r="U829" s="55">
        <v>4</v>
      </c>
      <c r="V829" s="55" t="s">
        <v>1682</v>
      </c>
      <c r="Y829" s="55" t="s">
        <v>1899</v>
      </c>
      <c r="Z829" s="55" t="s">
        <v>1346</v>
      </c>
      <c r="AA829" s="90" t="s">
        <v>1675</v>
      </c>
      <c r="AD829" s="90">
        <v>1.05</v>
      </c>
      <c r="AE829" s="90">
        <v>7.3</v>
      </c>
      <c r="AF829" s="90">
        <v>70.2</v>
      </c>
      <c r="AH829" s="55" t="s">
        <v>6378</v>
      </c>
      <c r="AI829" s="168">
        <v>5.48</v>
      </c>
      <c r="AJ829" s="90">
        <v>1.1599999999999999</v>
      </c>
      <c r="AM829" s="55" t="s">
        <v>1303</v>
      </c>
      <c r="AN829" s="185" t="s">
        <v>131</v>
      </c>
      <c r="AO829" s="185" t="s">
        <v>5150</v>
      </c>
      <c r="AQ829" s="55" t="s">
        <v>131</v>
      </c>
      <c r="AR829" s="55" t="s">
        <v>132</v>
      </c>
      <c r="AS829" s="55" t="s">
        <v>132</v>
      </c>
      <c r="AU829" s="181" t="s">
        <v>7494</v>
      </c>
      <c r="AV829" s="185" t="s">
        <v>176</v>
      </c>
      <c r="AX829" s="185" t="s">
        <v>176</v>
      </c>
      <c r="BK829" s="55" t="s">
        <v>5976</v>
      </c>
      <c r="BM829" s="192" t="s">
        <v>119</v>
      </c>
      <c r="BN829" s="55">
        <v>2</v>
      </c>
      <c r="BO829" s="55">
        <v>2</v>
      </c>
      <c r="BQ829" s="55" t="s">
        <v>141</v>
      </c>
      <c r="FT829" s="65">
        <v>81.97</v>
      </c>
      <c r="FU829" s="65">
        <v>79.599999999999994</v>
      </c>
      <c r="FX829" s="65" t="s">
        <v>571</v>
      </c>
      <c r="GP829" s="292" t="s">
        <v>7494</v>
      </c>
      <c r="JU829" s="55" t="s">
        <v>700</v>
      </c>
    </row>
    <row r="830" spans="1:281" x14ac:dyDescent="0.25">
      <c r="A830" s="55">
        <v>829</v>
      </c>
      <c r="B830" s="12" t="s">
        <v>7067</v>
      </c>
      <c r="C830" s="155">
        <v>41</v>
      </c>
      <c r="D830" s="55" t="s">
        <v>3861</v>
      </c>
      <c r="E830" s="90" t="s">
        <v>567</v>
      </c>
      <c r="G830" s="55" t="s">
        <v>568</v>
      </c>
      <c r="H830" s="55">
        <v>1994</v>
      </c>
      <c r="I830" s="55">
        <v>1988</v>
      </c>
      <c r="J830" s="55" t="s">
        <v>397</v>
      </c>
      <c r="K830" s="55" t="s">
        <v>570</v>
      </c>
      <c r="L830" s="55" t="s">
        <v>2737</v>
      </c>
      <c r="M830" s="90">
        <v>38.03</v>
      </c>
      <c r="N830" s="90">
        <v>-84.51</v>
      </c>
      <c r="O830" s="90">
        <v>299.60000000000002</v>
      </c>
      <c r="U830" s="55">
        <v>4</v>
      </c>
      <c r="V830" s="55" t="s">
        <v>1682</v>
      </c>
      <c r="Y830" s="55" t="s">
        <v>1900</v>
      </c>
      <c r="Z830" s="55" t="s">
        <v>1346</v>
      </c>
      <c r="AA830" s="90" t="s">
        <v>1675</v>
      </c>
      <c r="AD830" s="90">
        <v>1.05</v>
      </c>
      <c r="AE830" s="90">
        <v>7.3</v>
      </c>
      <c r="AF830" s="90">
        <v>70.2</v>
      </c>
      <c r="AH830" s="55" t="s">
        <v>6378</v>
      </c>
      <c r="AI830" s="168">
        <v>5.48</v>
      </c>
      <c r="AJ830" s="90">
        <v>1.1599999999999999</v>
      </c>
      <c r="AM830" s="55" t="s">
        <v>1303</v>
      </c>
      <c r="AN830" s="185" t="s">
        <v>131</v>
      </c>
      <c r="AO830" s="185" t="s">
        <v>5150</v>
      </c>
      <c r="AQ830" s="55" t="s">
        <v>131</v>
      </c>
      <c r="AR830" s="55" t="s">
        <v>132</v>
      </c>
      <c r="AS830" s="55" t="s">
        <v>132</v>
      </c>
      <c r="AU830" s="181" t="s">
        <v>7494</v>
      </c>
      <c r="AV830" s="185" t="s">
        <v>176</v>
      </c>
      <c r="AX830" s="185" t="s">
        <v>176</v>
      </c>
      <c r="BK830" s="55" t="s">
        <v>5976</v>
      </c>
      <c r="BM830" s="192" t="s">
        <v>119</v>
      </c>
      <c r="BN830" s="55">
        <v>2</v>
      </c>
      <c r="BO830" s="55">
        <v>2</v>
      </c>
      <c r="BQ830" s="55" t="s">
        <v>141</v>
      </c>
      <c r="FT830" s="65">
        <v>100</v>
      </c>
      <c r="FU830" s="65">
        <v>95.79</v>
      </c>
      <c r="FX830" s="65" t="s">
        <v>571</v>
      </c>
      <c r="GP830" s="292" t="s">
        <v>7494</v>
      </c>
      <c r="JU830" s="55" t="s">
        <v>700</v>
      </c>
    </row>
    <row r="831" spans="1:281" x14ac:dyDescent="0.25">
      <c r="A831" s="55">
        <v>830</v>
      </c>
      <c r="B831" s="12" t="s">
        <v>7067</v>
      </c>
      <c r="C831" s="155">
        <v>41</v>
      </c>
      <c r="D831" s="55" t="s">
        <v>3861</v>
      </c>
      <c r="E831" s="90" t="s">
        <v>567</v>
      </c>
      <c r="G831" s="55" t="s">
        <v>568</v>
      </c>
      <c r="H831" s="55">
        <v>1994</v>
      </c>
      <c r="I831" s="55">
        <v>1988</v>
      </c>
      <c r="J831" s="55" t="s">
        <v>397</v>
      </c>
      <c r="K831" s="55" t="s">
        <v>570</v>
      </c>
      <c r="L831" s="55" t="s">
        <v>2737</v>
      </c>
      <c r="M831" s="90">
        <v>38.03</v>
      </c>
      <c r="N831" s="90">
        <v>-84.51</v>
      </c>
      <c r="O831" s="90">
        <v>299.60000000000002</v>
      </c>
      <c r="U831" s="55">
        <v>4</v>
      </c>
      <c r="V831" s="55" t="s">
        <v>1682</v>
      </c>
      <c r="Y831" s="55" t="s">
        <v>1901</v>
      </c>
      <c r="Z831" s="55" t="s">
        <v>1346</v>
      </c>
      <c r="AA831" s="90" t="s">
        <v>1675</v>
      </c>
      <c r="AD831" s="90">
        <v>1.05</v>
      </c>
      <c r="AE831" s="90">
        <v>7.3</v>
      </c>
      <c r="AF831" s="90">
        <v>70.2</v>
      </c>
      <c r="AH831" s="55" t="s">
        <v>6378</v>
      </c>
      <c r="AI831" s="168">
        <v>5.48</v>
      </c>
      <c r="AJ831" s="90">
        <v>1.1599999999999999</v>
      </c>
      <c r="AM831" s="55" t="s">
        <v>1303</v>
      </c>
      <c r="AN831" s="185" t="s">
        <v>131</v>
      </c>
      <c r="AO831" s="185" t="s">
        <v>5150</v>
      </c>
      <c r="AQ831" s="55" t="s">
        <v>131</v>
      </c>
      <c r="AR831" s="55" t="s">
        <v>132</v>
      </c>
      <c r="AS831" s="55" t="s">
        <v>132</v>
      </c>
      <c r="AU831" s="181" t="s">
        <v>7494</v>
      </c>
      <c r="AV831" s="185" t="s">
        <v>176</v>
      </c>
      <c r="AX831" s="185" t="s">
        <v>176</v>
      </c>
      <c r="BK831" s="55" t="s">
        <v>5976</v>
      </c>
      <c r="BM831" s="192" t="s">
        <v>119</v>
      </c>
      <c r="BN831" s="55">
        <v>2</v>
      </c>
      <c r="BO831" s="55">
        <v>2</v>
      </c>
      <c r="BQ831" s="55" t="s">
        <v>141</v>
      </c>
      <c r="FT831" s="65">
        <v>85.89</v>
      </c>
      <c r="FU831" s="65">
        <v>83.51</v>
      </c>
      <c r="FX831" s="65" t="s">
        <v>571</v>
      </c>
      <c r="GP831" s="292" t="s">
        <v>7494</v>
      </c>
      <c r="JU831" s="55" t="s">
        <v>700</v>
      </c>
    </row>
    <row r="832" spans="1:281" x14ac:dyDescent="0.25">
      <c r="A832" s="55">
        <v>831</v>
      </c>
      <c r="B832" s="12" t="s">
        <v>7067</v>
      </c>
      <c r="C832" s="155">
        <v>41</v>
      </c>
      <c r="D832" s="55" t="s">
        <v>3861</v>
      </c>
      <c r="E832" s="90" t="s">
        <v>567</v>
      </c>
      <c r="G832" s="55" t="s">
        <v>568</v>
      </c>
      <c r="H832" s="55">
        <v>1994</v>
      </c>
      <c r="I832" s="55">
        <v>1988</v>
      </c>
      <c r="J832" s="55" t="s">
        <v>397</v>
      </c>
      <c r="K832" s="55" t="s">
        <v>570</v>
      </c>
      <c r="L832" s="55" t="s">
        <v>2737</v>
      </c>
      <c r="M832" s="90">
        <v>38.03</v>
      </c>
      <c r="N832" s="90">
        <v>-84.51</v>
      </c>
      <c r="O832" s="90">
        <v>299.60000000000002</v>
      </c>
      <c r="U832" s="55">
        <v>4</v>
      </c>
      <c r="V832" s="55" t="s">
        <v>1682</v>
      </c>
      <c r="Y832" s="55" t="s">
        <v>1901</v>
      </c>
      <c r="Z832" s="55" t="s">
        <v>1346</v>
      </c>
      <c r="AA832" s="90" t="s">
        <v>1675</v>
      </c>
      <c r="AD832" s="90">
        <v>1.05</v>
      </c>
      <c r="AE832" s="90">
        <v>7.3</v>
      </c>
      <c r="AF832" s="90">
        <v>70.2</v>
      </c>
      <c r="AH832" s="55" t="s">
        <v>6378</v>
      </c>
      <c r="AI832" s="168">
        <v>5.48</v>
      </c>
      <c r="AJ832" s="90">
        <v>1.1599999999999999</v>
      </c>
      <c r="AM832" s="55" t="s">
        <v>1303</v>
      </c>
      <c r="AN832" s="185" t="s">
        <v>131</v>
      </c>
      <c r="AO832" s="185" t="s">
        <v>5150</v>
      </c>
      <c r="AQ832" s="55" t="s">
        <v>131</v>
      </c>
      <c r="AR832" s="55" t="s">
        <v>132</v>
      </c>
      <c r="AS832" s="55" t="s">
        <v>132</v>
      </c>
      <c r="AU832" s="181" t="s">
        <v>7494</v>
      </c>
      <c r="AV832" s="185" t="s">
        <v>176</v>
      </c>
      <c r="AX832" s="185" t="s">
        <v>176</v>
      </c>
      <c r="BK832" s="55" t="s">
        <v>5976</v>
      </c>
      <c r="BM832" s="192" t="s">
        <v>119</v>
      </c>
      <c r="BN832" s="55">
        <v>2</v>
      </c>
      <c r="BO832" s="55">
        <v>2</v>
      </c>
      <c r="BQ832" s="55" t="s">
        <v>141</v>
      </c>
      <c r="FT832" s="65">
        <v>52.89</v>
      </c>
      <c r="FU832" s="65">
        <v>31.31</v>
      </c>
      <c r="FX832" s="65" t="s">
        <v>571</v>
      </c>
      <c r="GP832" s="292" t="s">
        <v>7494</v>
      </c>
      <c r="JU832" s="55" t="s">
        <v>700</v>
      </c>
    </row>
    <row r="833" spans="1:281" x14ac:dyDescent="0.25">
      <c r="A833" s="55">
        <v>832</v>
      </c>
      <c r="B833" s="12" t="s">
        <v>7067</v>
      </c>
      <c r="C833" s="155">
        <v>41</v>
      </c>
      <c r="D833" s="55" t="s">
        <v>3861</v>
      </c>
      <c r="E833" s="90" t="s">
        <v>567</v>
      </c>
      <c r="G833" s="55" t="s">
        <v>568</v>
      </c>
      <c r="H833" s="55">
        <v>1994</v>
      </c>
      <c r="I833" s="55">
        <v>1988</v>
      </c>
      <c r="J833" s="55" t="s">
        <v>397</v>
      </c>
      <c r="K833" s="55" t="s">
        <v>570</v>
      </c>
      <c r="L833" s="55" t="s">
        <v>2737</v>
      </c>
      <c r="M833" s="90">
        <v>38.03</v>
      </c>
      <c r="N833" s="90">
        <v>-84.51</v>
      </c>
      <c r="O833" s="90">
        <v>299.60000000000002</v>
      </c>
      <c r="U833" s="55">
        <v>4</v>
      </c>
      <c r="V833" s="55" t="s">
        <v>1682</v>
      </c>
      <c r="Y833" s="55" t="s">
        <v>1892</v>
      </c>
      <c r="Z833" s="55" t="s">
        <v>1346</v>
      </c>
      <c r="AA833" s="90" t="s">
        <v>1675</v>
      </c>
      <c r="AD833" s="90">
        <v>1.05</v>
      </c>
      <c r="AE833" s="90">
        <v>7.3</v>
      </c>
      <c r="AF833" s="90">
        <v>70.2</v>
      </c>
      <c r="AH833" s="55" t="s">
        <v>6378</v>
      </c>
      <c r="AI833" s="168">
        <v>5.48</v>
      </c>
      <c r="AJ833" s="90">
        <v>1.1599999999999999</v>
      </c>
      <c r="AM833" s="55" t="s">
        <v>1303</v>
      </c>
      <c r="AN833" s="185" t="s">
        <v>131</v>
      </c>
      <c r="AO833" s="185" t="s">
        <v>5150</v>
      </c>
      <c r="AQ833" s="55" t="s">
        <v>131</v>
      </c>
      <c r="AR833" s="55" t="s">
        <v>132</v>
      </c>
      <c r="AS833" s="55" t="s">
        <v>132</v>
      </c>
      <c r="AU833" s="181" t="s">
        <v>7494</v>
      </c>
      <c r="AV833" s="185" t="s">
        <v>176</v>
      </c>
      <c r="AX833" s="185" t="s">
        <v>176</v>
      </c>
      <c r="BK833" s="55" t="s">
        <v>5976</v>
      </c>
      <c r="BM833" s="192" t="s">
        <v>119</v>
      </c>
      <c r="BN833" s="55">
        <v>2</v>
      </c>
      <c r="BO833" s="55">
        <v>2</v>
      </c>
      <c r="BQ833" s="55" t="s">
        <v>141</v>
      </c>
      <c r="FT833" s="65">
        <v>82.67</v>
      </c>
      <c r="FU833" s="65">
        <v>75.98</v>
      </c>
      <c r="FX833" s="65" t="s">
        <v>571</v>
      </c>
      <c r="GP833" s="292" t="s">
        <v>7494</v>
      </c>
      <c r="JU833" s="55" t="s">
        <v>700</v>
      </c>
    </row>
    <row r="834" spans="1:281" x14ac:dyDescent="0.25">
      <c r="A834" s="55">
        <v>833</v>
      </c>
      <c r="B834" s="12" t="s">
        <v>7067</v>
      </c>
      <c r="C834" s="155">
        <v>41</v>
      </c>
      <c r="D834" s="55" t="s">
        <v>3861</v>
      </c>
      <c r="E834" s="90" t="s">
        <v>567</v>
      </c>
      <c r="G834" s="55" t="s">
        <v>568</v>
      </c>
      <c r="H834" s="55">
        <v>1994</v>
      </c>
      <c r="I834" s="55">
        <v>1988</v>
      </c>
      <c r="J834" s="55" t="s">
        <v>397</v>
      </c>
      <c r="K834" s="55" t="s">
        <v>570</v>
      </c>
      <c r="L834" s="55" t="s">
        <v>2737</v>
      </c>
      <c r="M834" s="90">
        <v>38.03</v>
      </c>
      <c r="N834" s="90">
        <v>-84.51</v>
      </c>
      <c r="O834" s="90">
        <v>299.60000000000002</v>
      </c>
      <c r="U834" s="55">
        <v>4</v>
      </c>
      <c r="V834" s="55" t="s">
        <v>1682</v>
      </c>
      <c r="Y834" s="55" t="s">
        <v>1892</v>
      </c>
      <c r="Z834" s="55" t="s">
        <v>1346</v>
      </c>
      <c r="AA834" s="90" t="s">
        <v>1675</v>
      </c>
      <c r="AD834" s="90">
        <v>1.05</v>
      </c>
      <c r="AE834" s="90">
        <v>7.3</v>
      </c>
      <c r="AF834" s="90">
        <v>70.2</v>
      </c>
      <c r="AH834" s="55" t="s">
        <v>6378</v>
      </c>
      <c r="AI834" s="168">
        <v>5.48</v>
      </c>
      <c r="AJ834" s="90">
        <v>1.1599999999999999</v>
      </c>
      <c r="AM834" s="55" t="s">
        <v>1303</v>
      </c>
      <c r="AN834" s="185" t="s">
        <v>131</v>
      </c>
      <c r="AO834" s="185" t="s">
        <v>5150</v>
      </c>
      <c r="AQ834" s="55" t="s">
        <v>131</v>
      </c>
      <c r="AR834" s="55" t="s">
        <v>132</v>
      </c>
      <c r="AS834" s="55" t="s">
        <v>132</v>
      </c>
      <c r="AU834" s="181" t="s">
        <v>7494</v>
      </c>
      <c r="AV834" s="185" t="s">
        <v>176</v>
      </c>
      <c r="AX834" s="185" t="s">
        <v>176</v>
      </c>
      <c r="BK834" s="55" t="s">
        <v>5976</v>
      </c>
      <c r="BM834" s="192" t="s">
        <v>119</v>
      </c>
      <c r="BN834" s="55">
        <v>2</v>
      </c>
      <c r="BO834" s="55">
        <v>2</v>
      </c>
      <c r="BQ834" s="55" t="s">
        <v>141</v>
      </c>
      <c r="FT834" s="65">
        <v>66.94</v>
      </c>
      <c r="FU834" s="65">
        <v>24.65</v>
      </c>
      <c r="FX834" s="65" t="s">
        <v>571</v>
      </c>
      <c r="GP834" s="292" t="s">
        <v>7494</v>
      </c>
      <c r="JU834" s="55" t="s">
        <v>700</v>
      </c>
    </row>
    <row r="835" spans="1:281" x14ac:dyDescent="0.25">
      <c r="A835" s="55">
        <v>834</v>
      </c>
      <c r="B835" s="12" t="s">
        <v>7067</v>
      </c>
      <c r="C835" s="155">
        <v>41</v>
      </c>
      <c r="D835" s="55" t="s">
        <v>3861</v>
      </c>
      <c r="E835" s="90" t="s">
        <v>567</v>
      </c>
      <c r="G835" s="55" t="s">
        <v>568</v>
      </c>
      <c r="H835" s="55">
        <v>1994</v>
      </c>
      <c r="I835" s="55">
        <v>1988</v>
      </c>
      <c r="J835" s="55" t="s">
        <v>397</v>
      </c>
      <c r="K835" s="55" t="s">
        <v>570</v>
      </c>
      <c r="L835" s="55" t="s">
        <v>2737</v>
      </c>
      <c r="M835" s="90">
        <v>38.03</v>
      </c>
      <c r="N835" s="90">
        <v>-84.51</v>
      </c>
      <c r="O835" s="90">
        <v>299.60000000000002</v>
      </c>
      <c r="U835" s="55">
        <v>4</v>
      </c>
      <c r="V835" s="55" t="s">
        <v>1682</v>
      </c>
      <c r="Y835" s="55" t="s">
        <v>1893</v>
      </c>
      <c r="Z835" s="55" t="s">
        <v>1346</v>
      </c>
      <c r="AA835" s="90" t="s">
        <v>1675</v>
      </c>
      <c r="AD835" s="90">
        <v>1.05</v>
      </c>
      <c r="AE835" s="90">
        <v>7.3</v>
      </c>
      <c r="AF835" s="90">
        <v>70.2</v>
      </c>
      <c r="AH835" s="55" t="s">
        <v>6378</v>
      </c>
      <c r="AI835" s="168">
        <v>5.48</v>
      </c>
      <c r="AJ835" s="90">
        <v>1.1599999999999999</v>
      </c>
      <c r="AM835" s="55" t="s">
        <v>1303</v>
      </c>
      <c r="AN835" s="185" t="s">
        <v>131</v>
      </c>
      <c r="AO835" s="185" t="s">
        <v>5150</v>
      </c>
      <c r="AQ835" s="55" t="s">
        <v>131</v>
      </c>
      <c r="AR835" s="55" t="s">
        <v>132</v>
      </c>
      <c r="AS835" s="55" t="s">
        <v>132</v>
      </c>
      <c r="AU835" s="181" t="s">
        <v>7494</v>
      </c>
      <c r="AV835" s="185" t="s">
        <v>176</v>
      </c>
      <c r="AX835" s="185" t="s">
        <v>176</v>
      </c>
      <c r="BK835" s="55" t="s">
        <v>5976</v>
      </c>
      <c r="BM835" s="192" t="s">
        <v>119</v>
      </c>
      <c r="BN835" s="55">
        <v>2</v>
      </c>
      <c r="BO835" s="55">
        <v>2</v>
      </c>
      <c r="BQ835" s="55" t="s">
        <v>141</v>
      </c>
      <c r="FT835" s="65">
        <v>28.97</v>
      </c>
      <c r="FU835" s="65">
        <v>16.03</v>
      </c>
      <c r="FX835" s="65" t="s">
        <v>571</v>
      </c>
      <c r="GP835" s="292" t="s">
        <v>7494</v>
      </c>
      <c r="JU835" s="55" t="s">
        <v>700</v>
      </c>
    </row>
    <row r="836" spans="1:281" x14ac:dyDescent="0.25">
      <c r="A836" s="55">
        <v>835</v>
      </c>
      <c r="B836" s="12" t="s">
        <v>7067</v>
      </c>
      <c r="C836" s="155">
        <v>41</v>
      </c>
      <c r="D836" s="55" t="s">
        <v>3861</v>
      </c>
      <c r="E836" s="90" t="s">
        <v>567</v>
      </c>
      <c r="G836" s="55" t="s">
        <v>568</v>
      </c>
      <c r="H836" s="55">
        <v>1994</v>
      </c>
      <c r="I836" s="55">
        <v>1988</v>
      </c>
      <c r="J836" s="55" t="s">
        <v>397</v>
      </c>
      <c r="K836" s="55" t="s">
        <v>570</v>
      </c>
      <c r="L836" s="55" t="s">
        <v>2737</v>
      </c>
      <c r="M836" s="90">
        <v>38.03</v>
      </c>
      <c r="N836" s="90">
        <v>-84.51</v>
      </c>
      <c r="O836" s="90">
        <v>299.60000000000002</v>
      </c>
      <c r="U836" s="55">
        <v>4</v>
      </c>
      <c r="V836" s="55" t="s">
        <v>1682</v>
      </c>
      <c r="Y836" s="55" t="s">
        <v>1894</v>
      </c>
      <c r="Z836" s="55" t="s">
        <v>1346</v>
      </c>
      <c r="AA836" s="90" t="s">
        <v>1675</v>
      </c>
      <c r="AD836" s="90">
        <v>1.05</v>
      </c>
      <c r="AE836" s="90">
        <v>7.3</v>
      </c>
      <c r="AF836" s="90">
        <v>70.2</v>
      </c>
      <c r="AH836" s="55" t="s">
        <v>6378</v>
      </c>
      <c r="AI836" s="168">
        <v>5.48</v>
      </c>
      <c r="AJ836" s="90">
        <v>1.1599999999999999</v>
      </c>
      <c r="AM836" s="55" t="s">
        <v>1303</v>
      </c>
      <c r="AN836" s="185" t="s">
        <v>131</v>
      </c>
      <c r="AO836" s="185" t="s">
        <v>5150</v>
      </c>
      <c r="AQ836" s="55" t="s">
        <v>131</v>
      </c>
      <c r="AR836" s="55" t="s">
        <v>132</v>
      </c>
      <c r="AS836" s="55" t="s">
        <v>132</v>
      </c>
      <c r="AU836" s="181" t="s">
        <v>7494</v>
      </c>
      <c r="AV836" s="185" t="s">
        <v>176</v>
      </c>
      <c r="AX836" s="185" t="s">
        <v>176</v>
      </c>
      <c r="BK836" s="55" t="s">
        <v>5976</v>
      </c>
      <c r="BM836" s="192" t="s">
        <v>119</v>
      </c>
      <c r="BN836" s="55">
        <v>2</v>
      </c>
      <c r="BO836" s="55">
        <v>2</v>
      </c>
      <c r="BQ836" s="55" t="s">
        <v>141</v>
      </c>
      <c r="FT836" s="65">
        <v>43.01</v>
      </c>
      <c r="FU836" s="65">
        <v>58.39</v>
      </c>
      <c r="FX836" s="65" t="s">
        <v>571</v>
      </c>
      <c r="GP836" s="292" t="s">
        <v>7494</v>
      </c>
      <c r="JU836" s="55" t="s">
        <v>700</v>
      </c>
    </row>
    <row r="837" spans="1:281" x14ac:dyDescent="0.25">
      <c r="A837" s="55">
        <v>836</v>
      </c>
      <c r="B837" s="12" t="s">
        <v>7067</v>
      </c>
      <c r="C837" s="155">
        <v>41</v>
      </c>
      <c r="D837" s="55" t="s">
        <v>3861</v>
      </c>
      <c r="E837" s="90" t="s">
        <v>567</v>
      </c>
      <c r="G837" s="55" t="s">
        <v>568</v>
      </c>
      <c r="H837" s="55">
        <v>1994</v>
      </c>
      <c r="I837" s="55">
        <v>1988</v>
      </c>
      <c r="J837" s="55" t="s">
        <v>397</v>
      </c>
      <c r="K837" s="55" t="s">
        <v>570</v>
      </c>
      <c r="L837" s="55" t="s">
        <v>2737</v>
      </c>
      <c r="M837" s="90">
        <v>38.03</v>
      </c>
      <c r="N837" s="90">
        <v>-84.51</v>
      </c>
      <c r="O837" s="90">
        <v>299.60000000000002</v>
      </c>
      <c r="U837" s="55">
        <v>4</v>
      </c>
      <c r="V837" s="55" t="s">
        <v>1682</v>
      </c>
      <c r="Y837" s="55" t="s">
        <v>1895</v>
      </c>
      <c r="Z837" s="55" t="s">
        <v>1346</v>
      </c>
      <c r="AA837" s="90" t="s">
        <v>1675</v>
      </c>
      <c r="AD837" s="90">
        <v>1.05</v>
      </c>
      <c r="AE837" s="90">
        <v>7.3</v>
      </c>
      <c r="AF837" s="90">
        <v>70.2</v>
      </c>
      <c r="AH837" s="55" t="s">
        <v>6378</v>
      </c>
      <c r="AI837" s="168">
        <v>5.48</v>
      </c>
      <c r="AJ837" s="90">
        <v>1.1599999999999999</v>
      </c>
      <c r="AM837" s="55" t="s">
        <v>1303</v>
      </c>
      <c r="AN837" s="185" t="s">
        <v>131</v>
      </c>
      <c r="AO837" s="185" t="s">
        <v>5150</v>
      </c>
      <c r="AQ837" s="55" t="s">
        <v>131</v>
      </c>
      <c r="AR837" s="55" t="s">
        <v>132</v>
      </c>
      <c r="AS837" s="55" t="s">
        <v>132</v>
      </c>
      <c r="AU837" s="181" t="s">
        <v>7494</v>
      </c>
      <c r="AV837" s="185" t="s">
        <v>176</v>
      </c>
      <c r="AX837" s="185" t="s">
        <v>176</v>
      </c>
      <c r="BK837" s="55" t="s">
        <v>5976</v>
      </c>
      <c r="BM837" s="192" t="s">
        <v>119</v>
      </c>
      <c r="BN837" s="55">
        <v>2</v>
      </c>
      <c r="BO837" s="55">
        <v>2</v>
      </c>
      <c r="BQ837" s="55" t="s">
        <v>141</v>
      </c>
      <c r="FT837" s="65">
        <v>1.59</v>
      </c>
      <c r="FU837" s="65">
        <v>15.62</v>
      </c>
      <c r="FX837" s="65" t="s">
        <v>571</v>
      </c>
      <c r="GP837" s="292" t="s">
        <v>7494</v>
      </c>
      <c r="JU837" s="55" t="s">
        <v>700</v>
      </c>
    </row>
    <row r="838" spans="1:281" x14ac:dyDescent="0.25">
      <c r="A838" s="55">
        <v>837</v>
      </c>
      <c r="B838" s="12" t="s">
        <v>7067</v>
      </c>
      <c r="C838" s="155">
        <v>41</v>
      </c>
      <c r="D838" s="55" t="s">
        <v>3861</v>
      </c>
      <c r="E838" s="90" t="s">
        <v>567</v>
      </c>
      <c r="G838" s="55" t="s">
        <v>568</v>
      </c>
      <c r="H838" s="55">
        <v>1994</v>
      </c>
      <c r="I838" s="55">
        <v>1988</v>
      </c>
      <c r="J838" s="55" t="s">
        <v>397</v>
      </c>
      <c r="K838" s="55" t="s">
        <v>570</v>
      </c>
      <c r="L838" s="55" t="s">
        <v>2737</v>
      </c>
      <c r="M838" s="90">
        <v>38.03</v>
      </c>
      <c r="N838" s="90">
        <v>-84.51</v>
      </c>
      <c r="O838" s="90">
        <v>299.60000000000002</v>
      </c>
      <c r="U838" s="55">
        <v>4</v>
      </c>
      <c r="V838" s="55" t="s">
        <v>1682</v>
      </c>
      <c r="Y838" s="55" t="s">
        <v>1896</v>
      </c>
      <c r="Z838" s="55" t="s">
        <v>1346</v>
      </c>
      <c r="AA838" s="90" t="s">
        <v>1675</v>
      </c>
      <c r="AD838" s="90">
        <v>1.05</v>
      </c>
      <c r="AE838" s="90">
        <v>7.3</v>
      </c>
      <c r="AF838" s="90">
        <v>70.2</v>
      </c>
      <c r="AH838" s="55" t="s">
        <v>6378</v>
      </c>
      <c r="AI838" s="168">
        <v>5.48</v>
      </c>
      <c r="AJ838" s="90">
        <v>1.1599999999999999</v>
      </c>
      <c r="AM838" s="55" t="s">
        <v>1303</v>
      </c>
      <c r="AN838" s="185" t="s">
        <v>131</v>
      </c>
      <c r="AO838" s="185" t="s">
        <v>5150</v>
      </c>
      <c r="AQ838" s="55" t="s">
        <v>131</v>
      </c>
      <c r="AR838" s="55" t="s">
        <v>132</v>
      </c>
      <c r="AS838" s="55" t="s">
        <v>132</v>
      </c>
      <c r="AU838" s="181" t="s">
        <v>7494</v>
      </c>
      <c r="AV838" s="185" t="s">
        <v>176</v>
      </c>
      <c r="AX838" s="185" t="s">
        <v>176</v>
      </c>
      <c r="BK838" s="55" t="s">
        <v>5976</v>
      </c>
      <c r="BM838" s="192" t="s">
        <v>119</v>
      </c>
      <c r="BN838" s="55">
        <v>2</v>
      </c>
      <c r="BO838" s="55">
        <v>2</v>
      </c>
      <c r="BQ838" s="55" t="s">
        <v>141</v>
      </c>
      <c r="FT838" s="65">
        <v>4.8499999999999996</v>
      </c>
      <c r="FU838" s="65">
        <v>10.67</v>
      </c>
      <c r="FX838" s="65" t="s">
        <v>571</v>
      </c>
      <c r="GP838" s="292" t="s">
        <v>7494</v>
      </c>
      <c r="JU838" s="55" t="s">
        <v>700</v>
      </c>
    </row>
    <row r="839" spans="1:281" x14ac:dyDescent="0.25">
      <c r="A839" s="55">
        <v>838</v>
      </c>
      <c r="B839" s="12" t="s">
        <v>7067</v>
      </c>
      <c r="C839" s="155">
        <v>41</v>
      </c>
      <c r="D839" s="55" t="s">
        <v>3861</v>
      </c>
      <c r="E839" s="90" t="s">
        <v>567</v>
      </c>
      <c r="G839" s="55" t="s">
        <v>568</v>
      </c>
      <c r="H839" s="55">
        <v>1994</v>
      </c>
      <c r="I839" s="55">
        <v>1988</v>
      </c>
      <c r="J839" s="55" t="s">
        <v>397</v>
      </c>
      <c r="K839" s="55" t="s">
        <v>570</v>
      </c>
      <c r="L839" s="55" t="s">
        <v>2737</v>
      </c>
      <c r="M839" s="90">
        <v>38.03</v>
      </c>
      <c r="N839" s="90">
        <v>-84.51</v>
      </c>
      <c r="O839" s="90">
        <v>299.60000000000002</v>
      </c>
      <c r="U839" s="55">
        <v>4</v>
      </c>
      <c r="V839" s="55" t="s">
        <v>1682</v>
      </c>
      <c r="Y839" s="55" t="s">
        <v>1897</v>
      </c>
      <c r="Z839" s="55" t="s">
        <v>1346</v>
      </c>
      <c r="AA839" s="90" t="s">
        <v>1675</v>
      </c>
      <c r="AD839" s="90">
        <v>1.05</v>
      </c>
      <c r="AE839" s="90">
        <v>7.3</v>
      </c>
      <c r="AF839" s="90">
        <v>70.2</v>
      </c>
      <c r="AH839" s="55" t="s">
        <v>6378</v>
      </c>
      <c r="AI839" s="168">
        <v>5.48</v>
      </c>
      <c r="AJ839" s="90">
        <v>1.1599999999999999</v>
      </c>
      <c r="AM839" s="55" t="s">
        <v>1303</v>
      </c>
      <c r="AN839" s="185" t="s">
        <v>131</v>
      </c>
      <c r="AO839" s="185" t="s">
        <v>5150</v>
      </c>
      <c r="AQ839" s="55" t="s">
        <v>131</v>
      </c>
      <c r="AR839" s="55" t="s">
        <v>132</v>
      </c>
      <c r="AS839" s="55" t="s">
        <v>132</v>
      </c>
      <c r="AU839" s="181" t="s">
        <v>7494</v>
      </c>
      <c r="AV839" s="185" t="s">
        <v>176</v>
      </c>
      <c r="AX839" s="185" t="s">
        <v>176</v>
      </c>
      <c r="BK839" s="55" t="s">
        <v>5976</v>
      </c>
      <c r="BM839" s="192" t="s">
        <v>119</v>
      </c>
      <c r="BN839" s="55">
        <v>2</v>
      </c>
      <c r="BO839" s="55">
        <v>2</v>
      </c>
      <c r="BQ839" s="55" t="s">
        <v>141</v>
      </c>
      <c r="FT839" s="65">
        <v>0.13</v>
      </c>
      <c r="FU839" s="65">
        <v>4.4400000000000004</v>
      </c>
      <c r="FX839" s="65" t="s">
        <v>571</v>
      </c>
      <c r="GP839" s="292" t="s">
        <v>7494</v>
      </c>
      <c r="JU839" s="55" t="s">
        <v>700</v>
      </c>
    </row>
    <row r="840" spans="1:281" x14ac:dyDescent="0.25">
      <c r="A840" s="55">
        <v>839</v>
      </c>
      <c r="B840" s="12" t="s">
        <v>7067</v>
      </c>
      <c r="C840" s="155">
        <v>41</v>
      </c>
      <c r="D840" s="55" t="s">
        <v>3861</v>
      </c>
      <c r="E840" s="90" t="s">
        <v>567</v>
      </c>
      <c r="G840" s="55" t="s">
        <v>568</v>
      </c>
      <c r="H840" s="55">
        <v>1994</v>
      </c>
      <c r="I840" s="55">
        <v>1988</v>
      </c>
      <c r="J840" s="55" t="s">
        <v>397</v>
      </c>
      <c r="K840" s="55" t="s">
        <v>570</v>
      </c>
      <c r="L840" s="55" t="s">
        <v>2737</v>
      </c>
      <c r="M840" s="90">
        <v>38.03</v>
      </c>
      <c r="N840" s="90">
        <v>-84.51</v>
      </c>
      <c r="O840" s="90">
        <v>299.60000000000002</v>
      </c>
      <c r="U840" s="55">
        <v>4</v>
      </c>
      <c r="V840" s="55" t="s">
        <v>1682</v>
      </c>
      <c r="Y840" s="55" t="s">
        <v>1897</v>
      </c>
      <c r="Z840" s="55" t="s">
        <v>1346</v>
      </c>
      <c r="AA840" s="90" t="s">
        <v>1675</v>
      </c>
      <c r="AD840" s="90">
        <v>1.05</v>
      </c>
      <c r="AE840" s="90">
        <v>7.3</v>
      </c>
      <c r="AF840" s="90">
        <v>70.2</v>
      </c>
      <c r="AH840" s="55" t="s">
        <v>6378</v>
      </c>
      <c r="AI840" s="168">
        <v>5.48</v>
      </c>
      <c r="AJ840" s="90">
        <v>1.1599999999999999</v>
      </c>
      <c r="AM840" s="55" t="s">
        <v>1303</v>
      </c>
      <c r="AN840" s="185" t="s">
        <v>131</v>
      </c>
      <c r="AO840" s="185" t="s">
        <v>5150</v>
      </c>
      <c r="AQ840" s="55" t="s">
        <v>131</v>
      </c>
      <c r="AR840" s="55" t="s">
        <v>132</v>
      </c>
      <c r="AS840" s="55" t="s">
        <v>132</v>
      </c>
      <c r="AU840" s="181" t="s">
        <v>7494</v>
      </c>
      <c r="AV840" s="185" t="s">
        <v>176</v>
      </c>
      <c r="AX840" s="185" t="s">
        <v>176</v>
      </c>
      <c r="BK840" s="55" t="s">
        <v>5976</v>
      </c>
      <c r="BM840" s="192" t="s">
        <v>119</v>
      </c>
      <c r="BN840" s="55">
        <v>2</v>
      </c>
      <c r="BO840" s="55">
        <v>2</v>
      </c>
      <c r="BQ840" s="55" t="s">
        <v>141</v>
      </c>
      <c r="FT840" s="65">
        <v>72.64</v>
      </c>
      <c r="FU840" s="65">
        <v>95.51</v>
      </c>
      <c r="FX840" s="65" t="s">
        <v>571</v>
      </c>
      <c r="GP840" s="292" t="s">
        <v>7494</v>
      </c>
      <c r="JU840" s="55" t="s">
        <v>700</v>
      </c>
    </row>
    <row r="841" spans="1:281" x14ac:dyDescent="0.25">
      <c r="A841" s="55">
        <v>840</v>
      </c>
      <c r="B841" s="12" t="s">
        <v>7067</v>
      </c>
      <c r="C841" s="155">
        <v>41</v>
      </c>
      <c r="D841" s="55" t="s">
        <v>3861</v>
      </c>
      <c r="E841" s="90" t="s">
        <v>567</v>
      </c>
      <c r="G841" s="55" t="s">
        <v>568</v>
      </c>
      <c r="H841" s="55">
        <v>1994</v>
      </c>
      <c r="I841" s="55">
        <v>1988</v>
      </c>
      <c r="J841" s="55" t="s">
        <v>397</v>
      </c>
      <c r="K841" s="55" t="s">
        <v>570</v>
      </c>
      <c r="L841" s="55" t="s">
        <v>2737</v>
      </c>
      <c r="M841" s="90">
        <v>38.03</v>
      </c>
      <c r="N841" s="90">
        <v>-84.51</v>
      </c>
      <c r="O841" s="90">
        <v>299.60000000000002</v>
      </c>
      <c r="U841" s="55">
        <v>4</v>
      </c>
      <c r="V841" s="55" t="s">
        <v>1682</v>
      </c>
      <c r="Y841" s="55" t="s">
        <v>1903</v>
      </c>
      <c r="Z841" s="55" t="s">
        <v>1346</v>
      </c>
      <c r="AA841" s="90" t="s">
        <v>1675</v>
      </c>
      <c r="AD841" s="90">
        <v>1.05</v>
      </c>
      <c r="AE841" s="90">
        <v>7.3</v>
      </c>
      <c r="AF841" s="90">
        <v>70.2</v>
      </c>
      <c r="AH841" s="55" t="s">
        <v>6378</v>
      </c>
      <c r="AI841" s="168">
        <v>5.48</v>
      </c>
      <c r="AJ841" s="90">
        <v>1.1599999999999999</v>
      </c>
      <c r="AM841" s="55" t="s">
        <v>1303</v>
      </c>
      <c r="AN841" s="185" t="s">
        <v>131</v>
      </c>
      <c r="AO841" s="185" t="s">
        <v>5150</v>
      </c>
      <c r="AQ841" s="55" t="s">
        <v>131</v>
      </c>
      <c r="AR841" s="55" t="s">
        <v>132</v>
      </c>
      <c r="AS841" s="55" t="s">
        <v>132</v>
      </c>
      <c r="AU841" s="181" t="s">
        <v>7494</v>
      </c>
      <c r="AV841" s="185" t="s">
        <v>176</v>
      </c>
      <c r="AX841" s="185" t="s">
        <v>176</v>
      </c>
      <c r="BK841" s="55" t="s">
        <v>5976</v>
      </c>
      <c r="BM841" s="192" t="s">
        <v>119</v>
      </c>
      <c r="BN841" s="55">
        <v>2</v>
      </c>
      <c r="BO841" s="55">
        <v>2</v>
      </c>
      <c r="BQ841" s="55" t="s">
        <v>141</v>
      </c>
      <c r="FT841" s="65">
        <v>28.22</v>
      </c>
      <c r="FU841" s="65">
        <v>32.53</v>
      </c>
      <c r="FX841" s="65" t="s">
        <v>571</v>
      </c>
      <c r="GP841" s="292" t="s">
        <v>7494</v>
      </c>
      <c r="JU841" s="55" t="s">
        <v>700</v>
      </c>
    </row>
    <row r="842" spans="1:281" x14ac:dyDescent="0.25">
      <c r="A842" s="55">
        <v>841</v>
      </c>
      <c r="B842" s="12" t="s">
        <v>7067</v>
      </c>
      <c r="C842" s="155">
        <v>41</v>
      </c>
      <c r="D842" s="55" t="s">
        <v>3861</v>
      </c>
      <c r="E842" s="90" t="s">
        <v>567</v>
      </c>
      <c r="G842" s="55" t="s">
        <v>568</v>
      </c>
      <c r="H842" s="55">
        <v>1994</v>
      </c>
      <c r="I842" s="55">
        <v>1988</v>
      </c>
      <c r="J842" s="55" t="s">
        <v>397</v>
      </c>
      <c r="K842" s="55" t="s">
        <v>570</v>
      </c>
      <c r="L842" s="55" t="s">
        <v>2737</v>
      </c>
      <c r="M842" s="90">
        <v>38.03</v>
      </c>
      <c r="N842" s="90">
        <v>-84.51</v>
      </c>
      <c r="O842" s="90">
        <v>299.60000000000002</v>
      </c>
      <c r="U842" s="55">
        <v>4</v>
      </c>
      <c r="V842" s="55" t="s">
        <v>1682</v>
      </c>
      <c r="Y842" s="55" t="s">
        <v>1903</v>
      </c>
      <c r="Z842" s="55" t="s">
        <v>1346</v>
      </c>
      <c r="AA842" s="90" t="s">
        <v>1675</v>
      </c>
      <c r="AD842" s="90">
        <v>1.05</v>
      </c>
      <c r="AE842" s="90">
        <v>7.3</v>
      </c>
      <c r="AF842" s="90">
        <v>70.2</v>
      </c>
      <c r="AH842" s="55" t="s">
        <v>6378</v>
      </c>
      <c r="AI842" s="168">
        <v>5.48</v>
      </c>
      <c r="AJ842" s="90">
        <v>1.1599999999999999</v>
      </c>
      <c r="AM842" s="55" t="s">
        <v>1303</v>
      </c>
      <c r="AN842" s="185" t="s">
        <v>131</v>
      </c>
      <c r="AO842" s="185" t="s">
        <v>5150</v>
      </c>
      <c r="AQ842" s="55" t="s">
        <v>131</v>
      </c>
      <c r="AR842" s="55" t="s">
        <v>132</v>
      </c>
      <c r="AS842" s="55" t="s">
        <v>132</v>
      </c>
      <c r="AU842" s="181" t="s">
        <v>7494</v>
      </c>
      <c r="AV842" s="185" t="s">
        <v>176</v>
      </c>
      <c r="AX842" s="185" t="s">
        <v>176</v>
      </c>
      <c r="BK842" s="55" t="s">
        <v>5976</v>
      </c>
      <c r="BM842" s="192" t="s">
        <v>119</v>
      </c>
      <c r="BN842" s="55">
        <v>2</v>
      </c>
      <c r="BO842" s="55">
        <v>2</v>
      </c>
      <c r="BQ842" s="55" t="s">
        <v>141</v>
      </c>
      <c r="FT842" s="65">
        <v>73.099999999999994</v>
      </c>
      <c r="FU842" s="65">
        <v>69.22</v>
      </c>
      <c r="FX842" s="65" t="s">
        <v>571</v>
      </c>
      <c r="GP842" s="292" t="s">
        <v>7494</v>
      </c>
      <c r="JU842" s="55" t="s">
        <v>700</v>
      </c>
    </row>
    <row r="843" spans="1:281" x14ac:dyDescent="0.25">
      <c r="A843" s="55">
        <v>842</v>
      </c>
      <c r="B843" s="12" t="s">
        <v>7067</v>
      </c>
      <c r="C843" s="155">
        <v>41</v>
      </c>
      <c r="D843" s="55" t="s">
        <v>3861</v>
      </c>
      <c r="E843" s="90" t="s">
        <v>567</v>
      </c>
      <c r="G843" s="55" t="s">
        <v>568</v>
      </c>
      <c r="H843" s="55">
        <v>1994</v>
      </c>
      <c r="I843" s="55">
        <v>1988</v>
      </c>
      <c r="J843" s="55" t="s">
        <v>397</v>
      </c>
      <c r="K843" s="55" t="s">
        <v>570</v>
      </c>
      <c r="L843" s="55" t="s">
        <v>2737</v>
      </c>
      <c r="M843" s="90">
        <v>38.03</v>
      </c>
      <c r="N843" s="90">
        <v>-84.51</v>
      </c>
      <c r="O843" s="90">
        <v>299.60000000000002</v>
      </c>
      <c r="U843" s="55">
        <v>4</v>
      </c>
      <c r="V843" s="55" t="s">
        <v>1682</v>
      </c>
      <c r="Y843" s="55" t="s">
        <v>1903</v>
      </c>
      <c r="Z843" s="55" t="s">
        <v>1346</v>
      </c>
      <c r="AA843" s="90" t="s">
        <v>1675</v>
      </c>
      <c r="AD843" s="90">
        <v>1.05</v>
      </c>
      <c r="AE843" s="90">
        <v>7.3</v>
      </c>
      <c r="AF843" s="90">
        <v>70.2</v>
      </c>
      <c r="AH843" s="55" t="s">
        <v>6378</v>
      </c>
      <c r="AI843" s="168">
        <v>5.48</v>
      </c>
      <c r="AJ843" s="90">
        <v>1.1599999999999999</v>
      </c>
      <c r="AM843" s="55" t="s">
        <v>1303</v>
      </c>
      <c r="AN843" s="185" t="s">
        <v>131</v>
      </c>
      <c r="AO843" s="185" t="s">
        <v>5150</v>
      </c>
      <c r="AQ843" s="55" t="s">
        <v>131</v>
      </c>
      <c r="AR843" s="55" t="s">
        <v>132</v>
      </c>
      <c r="AS843" s="55" t="s">
        <v>132</v>
      </c>
      <c r="AU843" s="181" t="s">
        <v>7494</v>
      </c>
      <c r="AV843" s="185" t="s">
        <v>176</v>
      </c>
      <c r="AX843" s="185" t="s">
        <v>176</v>
      </c>
      <c r="BK843" s="55" t="s">
        <v>5976</v>
      </c>
      <c r="BM843" s="192" t="s">
        <v>119</v>
      </c>
      <c r="BN843" s="55">
        <v>2</v>
      </c>
      <c r="BO843" s="55">
        <v>2</v>
      </c>
      <c r="BQ843" s="55" t="s">
        <v>141</v>
      </c>
      <c r="FT843" s="65">
        <v>92.54</v>
      </c>
      <c r="FU843" s="65">
        <v>83.7</v>
      </c>
      <c r="FX843" s="65" t="s">
        <v>571</v>
      </c>
      <c r="GP843" s="292" t="s">
        <v>7494</v>
      </c>
      <c r="JU843" s="55" t="s">
        <v>700</v>
      </c>
    </row>
    <row r="844" spans="1:281" x14ac:dyDescent="0.25">
      <c r="A844" s="55">
        <v>843</v>
      </c>
      <c r="B844" s="12" t="s">
        <v>7067</v>
      </c>
      <c r="C844" s="155">
        <v>41</v>
      </c>
      <c r="D844" s="55" t="s">
        <v>3861</v>
      </c>
      <c r="E844" s="90" t="s">
        <v>567</v>
      </c>
      <c r="G844" s="55" t="s">
        <v>568</v>
      </c>
      <c r="H844" s="55">
        <v>1994</v>
      </c>
      <c r="I844" s="55">
        <v>1989</v>
      </c>
      <c r="J844" s="55" t="s">
        <v>397</v>
      </c>
      <c r="K844" s="55" t="s">
        <v>570</v>
      </c>
      <c r="L844" s="55" t="s">
        <v>2737</v>
      </c>
      <c r="M844" s="90">
        <v>38.03</v>
      </c>
      <c r="N844" s="90">
        <v>-84.51</v>
      </c>
      <c r="O844" s="90">
        <v>299.60000000000002</v>
      </c>
      <c r="U844" s="55">
        <v>5</v>
      </c>
      <c r="V844" s="55" t="s">
        <v>1682</v>
      </c>
      <c r="Y844" s="55" t="s">
        <v>578</v>
      </c>
      <c r="Z844" s="55" t="s">
        <v>1346</v>
      </c>
      <c r="AA844" s="90" t="s">
        <v>1675</v>
      </c>
      <c r="AD844" s="90">
        <v>1.05</v>
      </c>
      <c r="AE844" s="90">
        <v>7.3</v>
      </c>
      <c r="AF844" s="90">
        <v>70.2</v>
      </c>
      <c r="AH844" s="55" t="s">
        <v>6378</v>
      </c>
      <c r="AI844" s="168">
        <v>5.48</v>
      </c>
      <c r="AJ844" s="90">
        <v>1.1599999999999999</v>
      </c>
      <c r="AM844" s="55" t="s">
        <v>1303</v>
      </c>
      <c r="AN844" s="185" t="s">
        <v>131</v>
      </c>
      <c r="AO844" s="185" t="s">
        <v>5150</v>
      </c>
      <c r="AQ844" s="55" t="s">
        <v>131</v>
      </c>
      <c r="AR844" s="55" t="s">
        <v>132</v>
      </c>
      <c r="AS844" s="55" t="s">
        <v>132</v>
      </c>
      <c r="AU844" s="181" t="s">
        <v>7494</v>
      </c>
      <c r="AV844" s="185" t="s">
        <v>176</v>
      </c>
      <c r="AX844" s="185" t="s">
        <v>176</v>
      </c>
      <c r="BK844" s="55" t="s">
        <v>5976</v>
      </c>
      <c r="BM844" s="192" t="s">
        <v>119</v>
      </c>
      <c r="BN844" s="55">
        <v>2</v>
      </c>
      <c r="BO844" s="55">
        <v>2</v>
      </c>
      <c r="BQ844" s="55" t="s">
        <v>141</v>
      </c>
      <c r="FT844" s="65">
        <v>91.05</v>
      </c>
      <c r="FU844" s="65">
        <v>89.54</v>
      </c>
      <c r="FX844" s="65" t="s">
        <v>571</v>
      </c>
      <c r="GP844" s="292" t="s">
        <v>7494</v>
      </c>
      <c r="JU844" s="55" t="s">
        <v>700</v>
      </c>
    </row>
    <row r="845" spans="1:281" x14ac:dyDescent="0.25">
      <c r="A845" s="55">
        <v>844</v>
      </c>
      <c r="B845" s="12" t="s">
        <v>7067</v>
      </c>
      <c r="C845" s="155">
        <v>41</v>
      </c>
      <c r="D845" s="55" t="s">
        <v>3861</v>
      </c>
      <c r="E845" s="90" t="s">
        <v>567</v>
      </c>
      <c r="G845" s="55" t="s">
        <v>568</v>
      </c>
      <c r="H845" s="55">
        <v>1994</v>
      </c>
      <c r="I845" s="55">
        <v>1989</v>
      </c>
      <c r="J845" s="55" t="s">
        <v>397</v>
      </c>
      <c r="K845" s="55" t="s">
        <v>570</v>
      </c>
      <c r="L845" s="55" t="s">
        <v>2737</v>
      </c>
      <c r="M845" s="90">
        <v>38.03</v>
      </c>
      <c r="N845" s="90">
        <v>-84.51</v>
      </c>
      <c r="O845" s="90">
        <v>299.60000000000002</v>
      </c>
      <c r="U845" s="55">
        <v>5</v>
      </c>
      <c r="V845" s="55" t="s">
        <v>1682</v>
      </c>
      <c r="Y845" s="55" t="s">
        <v>579</v>
      </c>
      <c r="Z845" s="55" t="s">
        <v>1346</v>
      </c>
      <c r="AA845" s="90" t="s">
        <v>1675</v>
      </c>
      <c r="AD845" s="90">
        <v>1.05</v>
      </c>
      <c r="AE845" s="90">
        <v>7.3</v>
      </c>
      <c r="AF845" s="90">
        <v>70.2</v>
      </c>
      <c r="AH845" s="55" t="s">
        <v>6378</v>
      </c>
      <c r="AI845" s="168">
        <v>5.48</v>
      </c>
      <c r="AJ845" s="90">
        <v>1.1599999999999999</v>
      </c>
      <c r="AM845" s="55" t="s">
        <v>1303</v>
      </c>
      <c r="AN845" s="185" t="s">
        <v>131</v>
      </c>
      <c r="AO845" s="185" t="s">
        <v>5150</v>
      </c>
      <c r="AQ845" s="55" t="s">
        <v>131</v>
      </c>
      <c r="AR845" s="55" t="s">
        <v>132</v>
      </c>
      <c r="AS845" s="55" t="s">
        <v>132</v>
      </c>
      <c r="AU845" s="181" t="s">
        <v>7494</v>
      </c>
      <c r="AV845" s="185" t="s">
        <v>176</v>
      </c>
      <c r="AX845" s="185" t="s">
        <v>176</v>
      </c>
      <c r="BK845" s="55" t="s">
        <v>5976</v>
      </c>
      <c r="BM845" s="192" t="s">
        <v>119</v>
      </c>
      <c r="BN845" s="55">
        <v>2</v>
      </c>
      <c r="BO845" s="55">
        <v>2</v>
      </c>
      <c r="BQ845" s="55" t="s">
        <v>141</v>
      </c>
      <c r="FT845" s="65">
        <v>79.84</v>
      </c>
      <c r="FU845" s="65">
        <v>81.349999999999994</v>
      </c>
      <c r="FX845" s="65" t="s">
        <v>571</v>
      </c>
      <c r="GP845" s="292" t="s">
        <v>7494</v>
      </c>
      <c r="JU845" s="55" t="s">
        <v>700</v>
      </c>
    </row>
    <row r="846" spans="1:281" x14ac:dyDescent="0.25">
      <c r="A846" s="55">
        <v>845</v>
      </c>
      <c r="B846" s="12" t="s">
        <v>7067</v>
      </c>
      <c r="C846" s="155">
        <v>41</v>
      </c>
      <c r="D846" s="55" t="s">
        <v>3861</v>
      </c>
      <c r="E846" s="90" t="s">
        <v>567</v>
      </c>
      <c r="G846" s="55" t="s">
        <v>568</v>
      </c>
      <c r="H846" s="55">
        <v>1994</v>
      </c>
      <c r="I846" s="55">
        <v>1989</v>
      </c>
      <c r="J846" s="55" t="s">
        <v>397</v>
      </c>
      <c r="K846" s="55" t="s">
        <v>570</v>
      </c>
      <c r="L846" s="55" t="s">
        <v>2737</v>
      </c>
      <c r="M846" s="90">
        <v>38.03</v>
      </c>
      <c r="N846" s="90">
        <v>-84.51</v>
      </c>
      <c r="O846" s="90">
        <v>299.60000000000002</v>
      </c>
      <c r="U846" s="55">
        <v>5</v>
      </c>
      <c r="V846" s="55" t="s">
        <v>1682</v>
      </c>
      <c r="Y846" s="55" t="s">
        <v>210</v>
      </c>
      <c r="Z846" s="55" t="s">
        <v>1346</v>
      </c>
      <c r="AA846" s="90" t="s">
        <v>1675</v>
      </c>
      <c r="AD846" s="90">
        <v>1.05</v>
      </c>
      <c r="AE846" s="90">
        <v>7.3</v>
      </c>
      <c r="AF846" s="90">
        <v>70.2</v>
      </c>
      <c r="AH846" s="55" t="s">
        <v>6378</v>
      </c>
      <c r="AI846" s="168">
        <v>5.48</v>
      </c>
      <c r="AJ846" s="90">
        <v>1.1599999999999999</v>
      </c>
      <c r="AM846" s="55" t="s">
        <v>1303</v>
      </c>
      <c r="AN846" s="185" t="s">
        <v>131</v>
      </c>
      <c r="AO846" s="185" t="s">
        <v>5150</v>
      </c>
      <c r="AQ846" s="55" t="s">
        <v>131</v>
      </c>
      <c r="AR846" s="55" t="s">
        <v>132</v>
      </c>
      <c r="AS846" s="55" t="s">
        <v>132</v>
      </c>
      <c r="AU846" s="181" t="s">
        <v>7494</v>
      </c>
      <c r="AV846" s="185" t="s">
        <v>176</v>
      </c>
      <c r="AX846" s="185" t="s">
        <v>176</v>
      </c>
      <c r="BK846" s="55" t="s">
        <v>5976</v>
      </c>
      <c r="BM846" s="192" t="s">
        <v>119</v>
      </c>
      <c r="BN846" s="55">
        <v>2</v>
      </c>
      <c r="BO846" s="55">
        <v>2</v>
      </c>
      <c r="BQ846" s="55" t="s">
        <v>141</v>
      </c>
      <c r="FT846" s="65">
        <v>100</v>
      </c>
      <c r="FU846" s="65">
        <v>97</v>
      </c>
      <c r="FX846" s="65" t="s">
        <v>571</v>
      </c>
      <c r="GP846" s="292" t="s">
        <v>7494</v>
      </c>
      <c r="JU846" s="55" t="s">
        <v>700</v>
      </c>
    </row>
    <row r="847" spans="1:281" x14ac:dyDescent="0.25">
      <c r="A847" s="55">
        <v>846</v>
      </c>
      <c r="B847" s="12" t="s">
        <v>7067</v>
      </c>
      <c r="C847" s="155">
        <v>41</v>
      </c>
      <c r="D847" s="55" t="s">
        <v>3861</v>
      </c>
      <c r="E847" s="90" t="s">
        <v>567</v>
      </c>
      <c r="G847" s="55" t="s">
        <v>568</v>
      </c>
      <c r="H847" s="55">
        <v>1994</v>
      </c>
      <c r="I847" s="55">
        <v>1989</v>
      </c>
      <c r="J847" s="55" t="s">
        <v>397</v>
      </c>
      <c r="K847" s="55" t="s">
        <v>570</v>
      </c>
      <c r="L847" s="55" t="s">
        <v>2737</v>
      </c>
      <c r="M847" s="90">
        <v>38.03</v>
      </c>
      <c r="N847" s="90">
        <v>-84.51</v>
      </c>
      <c r="O847" s="90">
        <v>299.60000000000002</v>
      </c>
      <c r="U847" s="55">
        <v>5</v>
      </c>
      <c r="V847" s="55" t="s">
        <v>1682</v>
      </c>
      <c r="Y847" s="55" t="s">
        <v>576</v>
      </c>
      <c r="Z847" s="55" t="s">
        <v>1346</v>
      </c>
      <c r="AA847" s="90" t="s">
        <v>1675</v>
      </c>
      <c r="AD847" s="90">
        <v>1.05</v>
      </c>
      <c r="AE847" s="90">
        <v>7.3</v>
      </c>
      <c r="AF847" s="90">
        <v>70.2</v>
      </c>
      <c r="AH847" s="55" t="s">
        <v>6378</v>
      </c>
      <c r="AI847" s="168">
        <v>5.48</v>
      </c>
      <c r="AJ847" s="90">
        <v>1.1599999999999999</v>
      </c>
      <c r="AM847" s="55" t="s">
        <v>1303</v>
      </c>
      <c r="AN847" s="185" t="s">
        <v>131</v>
      </c>
      <c r="AO847" s="185" t="s">
        <v>5150</v>
      </c>
      <c r="AQ847" s="55" t="s">
        <v>131</v>
      </c>
      <c r="AR847" s="55" t="s">
        <v>132</v>
      </c>
      <c r="AS847" s="55" t="s">
        <v>132</v>
      </c>
      <c r="AU847" s="181" t="s">
        <v>7494</v>
      </c>
      <c r="AV847" s="185" t="s">
        <v>176</v>
      </c>
      <c r="AX847" s="185" t="s">
        <v>176</v>
      </c>
      <c r="BK847" s="55" t="s">
        <v>5976</v>
      </c>
      <c r="BM847" s="192" t="s">
        <v>119</v>
      </c>
      <c r="BN847" s="55">
        <v>2</v>
      </c>
      <c r="BO847" s="55">
        <v>2</v>
      </c>
      <c r="BQ847" s="55" t="s">
        <v>141</v>
      </c>
      <c r="FT847" s="65">
        <v>91.73</v>
      </c>
      <c r="FU847" s="65">
        <v>89</v>
      </c>
      <c r="FX847" s="65" t="s">
        <v>571</v>
      </c>
      <c r="GP847" s="292" t="s">
        <v>7494</v>
      </c>
      <c r="JU847" s="55" t="s">
        <v>700</v>
      </c>
    </row>
    <row r="848" spans="1:281" x14ac:dyDescent="0.25">
      <c r="A848" s="55">
        <v>847</v>
      </c>
      <c r="B848" s="12" t="s">
        <v>7067</v>
      </c>
      <c r="C848" s="155">
        <v>41</v>
      </c>
      <c r="D848" s="55" t="s">
        <v>3861</v>
      </c>
      <c r="E848" s="90" t="s">
        <v>567</v>
      </c>
      <c r="G848" s="55" t="s">
        <v>568</v>
      </c>
      <c r="H848" s="55">
        <v>1994</v>
      </c>
      <c r="I848" s="55">
        <v>1989</v>
      </c>
      <c r="J848" s="55" t="s">
        <v>397</v>
      </c>
      <c r="K848" s="55" t="s">
        <v>570</v>
      </c>
      <c r="L848" s="55" t="s">
        <v>2737</v>
      </c>
      <c r="M848" s="90">
        <v>38.03</v>
      </c>
      <c r="N848" s="90">
        <v>-84.51</v>
      </c>
      <c r="O848" s="90">
        <v>299.60000000000002</v>
      </c>
      <c r="U848" s="55">
        <v>5</v>
      </c>
      <c r="V848" s="55" t="s">
        <v>1682</v>
      </c>
      <c r="Y848" s="55" t="s">
        <v>200</v>
      </c>
      <c r="Z848" s="55" t="s">
        <v>1346</v>
      </c>
      <c r="AA848" s="90" t="s">
        <v>1675</v>
      </c>
      <c r="AD848" s="90">
        <v>1.05</v>
      </c>
      <c r="AE848" s="90">
        <v>7.3</v>
      </c>
      <c r="AF848" s="90">
        <v>70.2</v>
      </c>
      <c r="AH848" s="55" t="s">
        <v>6378</v>
      </c>
      <c r="AI848" s="168">
        <v>5.48</v>
      </c>
      <c r="AJ848" s="90">
        <v>1.1599999999999999</v>
      </c>
      <c r="AM848" s="55" t="s">
        <v>1303</v>
      </c>
      <c r="AN848" s="185" t="s">
        <v>131</v>
      </c>
      <c r="AO848" s="185" t="s">
        <v>5150</v>
      </c>
      <c r="AQ848" s="55" t="s">
        <v>131</v>
      </c>
      <c r="AR848" s="55" t="s">
        <v>132</v>
      </c>
      <c r="AS848" s="55" t="s">
        <v>132</v>
      </c>
      <c r="AU848" s="181" t="s">
        <v>7494</v>
      </c>
      <c r="AV848" s="185" t="s">
        <v>176</v>
      </c>
      <c r="AX848" s="185" t="s">
        <v>176</v>
      </c>
      <c r="BK848" s="55" t="s">
        <v>5976</v>
      </c>
      <c r="BM848" s="192" t="s">
        <v>119</v>
      </c>
      <c r="BN848" s="55">
        <v>2</v>
      </c>
      <c r="BO848" s="55">
        <v>2</v>
      </c>
      <c r="BQ848" s="55" t="s">
        <v>141</v>
      </c>
      <c r="FT848" s="65">
        <v>73.400000000000006</v>
      </c>
      <c r="FU848" s="65">
        <v>76.209999999999994</v>
      </c>
      <c r="FX848" s="65" t="s">
        <v>571</v>
      </c>
      <c r="GP848" s="292" t="s">
        <v>7494</v>
      </c>
      <c r="JU848" s="55" t="s">
        <v>700</v>
      </c>
    </row>
    <row r="849" spans="1:281" x14ac:dyDescent="0.25">
      <c r="A849" s="55">
        <v>848</v>
      </c>
      <c r="B849" s="12" t="s">
        <v>7067</v>
      </c>
      <c r="C849" s="155">
        <v>41</v>
      </c>
      <c r="D849" s="55" t="s">
        <v>3861</v>
      </c>
      <c r="E849" s="90" t="s">
        <v>567</v>
      </c>
      <c r="G849" s="55" t="s">
        <v>568</v>
      </c>
      <c r="H849" s="55">
        <v>1994</v>
      </c>
      <c r="I849" s="55">
        <v>1989</v>
      </c>
      <c r="J849" s="55" t="s">
        <v>397</v>
      </c>
      <c r="K849" s="55" t="s">
        <v>570</v>
      </c>
      <c r="L849" s="55" t="s">
        <v>2737</v>
      </c>
      <c r="M849" s="90">
        <v>38.03</v>
      </c>
      <c r="N849" s="90">
        <v>-84.51</v>
      </c>
      <c r="O849" s="90">
        <v>299.60000000000002</v>
      </c>
      <c r="U849" s="55">
        <v>5</v>
      </c>
      <c r="V849" s="55" t="s">
        <v>1682</v>
      </c>
      <c r="Y849" s="55" t="s">
        <v>572</v>
      </c>
      <c r="Z849" s="55" t="s">
        <v>1346</v>
      </c>
      <c r="AA849" s="90" t="s">
        <v>1675</v>
      </c>
      <c r="AD849" s="90">
        <v>1.05</v>
      </c>
      <c r="AE849" s="90">
        <v>7.3</v>
      </c>
      <c r="AF849" s="90">
        <v>70.2</v>
      </c>
      <c r="AH849" s="55" t="s">
        <v>6378</v>
      </c>
      <c r="AI849" s="168">
        <v>5.48</v>
      </c>
      <c r="AJ849" s="90">
        <v>1.1599999999999999</v>
      </c>
      <c r="AM849" s="55" t="s">
        <v>1303</v>
      </c>
      <c r="AN849" s="185" t="s">
        <v>131</v>
      </c>
      <c r="AO849" s="185" t="s">
        <v>5150</v>
      </c>
      <c r="AQ849" s="55" t="s">
        <v>131</v>
      </c>
      <c r="AR849" s="55" t="s">
        <v>132</v>
      </c>
      <c r="AS849" s="55" t="s">
        <v>132</v>
      </c>
      <c r="AU849" s="181" t="s">
        <v>7494</v>
      </c>
      <c r="AV849" s="185" t="s">
        <v>176</v>
      </c>
      <c r="AX849" s="185" t="s">
        <v>176</v>
      </c>
      <c r="BK849" s="55" t="s">
        <v>5976</v>
      </c>
      <c r="BM849" s="192" t="s">
        <v>119</v>
      </c>
      <c r="BN849" s="55">
        <v>2</v>
      </c>
      <c r="BO849" s="55">
        <v>2</v>
      </c>
      <c r="BQ849" s="55" t="s">
        <v>141</v>
      </c>
      <c r="FT849" s="65">
        <v>59.4</v>
      </c>
      <c r="FU849" s="65">
        <v>50.55</v>
      </c>
      <c r="FX849" s="65" t="s">
        <v>571</v>
      </c>
      <c r="GP849" s="292" t="s">
        <v>7494</v>
      </c>
      <c r="JU849" s="55" t="s">
        <v>700</v>
      </c>
    </row>
    <row r="850" spans="1:281" x14ac:dyDescent="0.25">
      <c r="A850" s="55">
        <v>849</v>
      </c>
      <c r="B850" s="12" t="s">
        <v>7067</v>
      </c>
      <c r="C850" s="155">
        <v>41</v>
      </c>
      <c r="D850" s="55" t="s">
        <v>3861</v>
      </c>
      <c r="E850" s="90" t="s">
        <v>567</v>
      </c>
      <c r="G850" s="55" t="s">
        <v>568</v>
      </c>
      <c r="H850" s="55">
        <v>1994</v>
      </c>
      <c r="I850" s="55">
        <v>1989</v>
      </c>
      <c r="J850" s="55" t="s">
        <v>397</v>
      </c>
      <c r="K850" s="55" t="s">
        <v>570</v>
      </c>
      <c r="L850" s="55" t="s">
        <v>2737</v>
      </c>
      <c r="M850" s="90">
        <v>38.03</v>
      </c>
      <c r="N850" s="90">
        <v>-84.51</v>
      </c>
      <c r="O850" s="90">
        <v>299.60000000000002</v>
      </c>
      <c r="U850" s="55">
        <v>5</v>
      </c>
      <c r="V850" s="55" t="s">
        <v>1682</v>
      </c>
      <c r="Y850" s="55" t="s">
        <v>224</v>
      </c>
      <c r="Z850" s="55" t="s">
        <v>1346</v>
      </c>
      <c r="AA850" s="90" t="s">
        <v>1675</v>
      </c>
      <c r="AD850" s="90">
        <v>1.05</v>
      </c>
      <c r="AE850" s="90">
        <v>7.3</v>
      </c>
      <c r="AF850" s="90">
        <v>70.2</v>
      </c>
      <c r="AH850" s="55" t="s">
        <v>6378</v>
      </c>
      <c r="AI850" s="168">
        <v>5.48</v>
      </c>
      <c r="AJ850" s="90">
        <v>1.1599999999999999</v>
      </c>
      <c r="AM850" s="55" t="s">
        <v>1303</v>
      </c>
      <c r="AN850" s="185" t="s">
        <v>131</v>
      </c>
      <c r="AO850" s="185" t="s">
        <v>5150</v>
      </c>
      <c r="AQ850" s="55" t="s">
        <v>131</v>
      </c>
      <c r="AR850" s="55" t="s">
        <v>132</v>
      </c>
      <c r="AS850" s="55" t="s">
        <v>132</v>
      </c>
      <c r="AU850" s="181" t="s">
        <v>7494</v>
      </c>
      <c r="AV850" s="185" t="s">
        <v>176</v>
      </c>
      <c r="AX850" s="185" t="s">
        <v>176</v>
      </c>
      <c r="BK850" s="55" t="s">
        <v>5976</v>
      </c>
      <c r="BM850" s="192" t="s">
        <v>119</v>
      </c>
      <c r="BN850" s="55">
        <v>2</v>
      </c>
      <c r="BO850" s="55">
        <v>2</v>
      </c>
      <c r="BQ850" s="55" t="s">
        <v>141</v>
      </c>
      <c r="FT850" s="65">
        <v>63.73</v>
      </c>
      <c r="FU850" s="65">
        <v>46</v>
      </c>
      <c r="FX850" s="65" t="s">
        <v>571</v>
      </c>
      <c r="GP850" s="292" t="s">
        <v>7494</v>
      </c>
      <c r="JU850" s="55" t="s">
        <v>700</v>
      </c>
    </row>
    <row r="851" spans="1:281" x14ac:dyDescent="0.25">
      <c r="A851" s="55">
        <v>850</v>
      </c>
      <c r="B851" s="12" t="s">
        <v>7067</v>
      </c>
      <c r="C851" s="155">
        <v>41</v>
      </c>
      <c r="D851" s="55" t="s">
        <v>3862</v>
      </c>
      <c r="E851" s="90" t="s">
        <v>567</v>
      </c>
      <c r="G851" s="55" t="s">
        <v>568</v>
      </c>
      <c r="H851" s="55">
        <v>1994</v>
      </c>
      <c r="I851" s="55">
        <v>1986</v>
      </c>
      <c r="J851" s="55" t="s">
        <v>397</v>
      </c>
      <c r="K851" s="55" t="s">
        <v>570</v>
      </c>
      <c r="L851" s="55" t="s">
        <v>2737</v>
      </c>
      <c r="M851" s="90">
        <v>38.03</v>
      </c>
      <c r="N851" s="90">
        <v>-84.51</v>
      </c>
      <c r="O851" s="90">
        <v>299.60000000000002</v>
      </c>
      <c r="U851" s="55">
        <v>2</v>
      </c>
      <c r="V851" s="55" t="s">
        <v>1682</v>
      </c>
      <c r="Y851" s="55" t="s">
        <v>224</v>
      </c>
      <c r="Z851" s="55" t="s">
        <v>1346</v>
      </c>
      <c r="AA851" s="90" t="s">
        <v>1675</v>
      </c>
      <c r="AD851" s="90">
        <v>1.05</v>
      </c>
      <c r="AE851" s="90">
        <v>7.3</v>
      </c>
      <c r="AF851" s="90">
        <v>70.2</v>
      </c>
      <c r="AH851" s="55" t="s">
        <v>6378</v>
      </c>
      <c r="AI851" s="168">
        <v>5.48</v>
      </c>
      <c r="AJ851" s="90">
        <v>1.1599999999999999</v>
      </c>
      <c r="AM851" s="55" t="s">
        <v>1303</v>
      </c>
      <c r="AN851" s="185" t="s">
        <v>241</v>
      </c>
      <c r="AO851" s="185" t="s">
        <v>5150</v>
      </c>
      <c r="AQ851" s="55" t="s">
        <v>553</v>
      </c>
      <c r="AR851" s="55" t="s">
        <v>132</v>
      </c>
      <c r="AS851" s="55" t="s">
        <v>132</v>
      </c>
      <c r="AU851" s="181" t="s">
        <v>7494</v>
      </c>
      <c r="AV851" s="185" t="s">
        <v>176</v>
      </c>
      <c r="AX851" s="185" t="s">
        <v>176</v>
      </c>
      <c r="BK851" s="55" t="s">
        <v>5976</v>
      </c>
      <c r="BM851" s="192" t="s">
        <v>119</v>
      </c>
      <c r="BN851" s="55">
        <v>2</v>
      </c>
      <c r="BO851" s="55">
        <v>2</v>
      </c>
      <c r="BQ851" s="55" t="s">
        <v>141</v>
      </c>
      <c r="FT851" s="65">
        <v>0.4</v>
      </c>
      <c r="FU851" s="65">
        <v>0.51</v>
      </c>
      <c r="FX851" s="65" t="s">
        <v>1643</v>
      </c>
      <c r="GP851" s="292" t="s">
        <v>7494</v>
      </c>
      <c r="JU851" s="55" t="s">
        <v>700</v>
      </c>
    </row>
    <row r="852" spans="1:281" x14ac:dyDescent="0.25">
      <c r="A852" s="55">
        <v>851</v>
      </c>
      <c r="B852" s="12" t="s">
        <v>7067</v>
      </c>
      <c r="C852" s="155">
        <v>41</v>
      </c>
      <c r="D852" s="55" t="s">
        <v>3862</v>
      </c>
      <c r="E852" s="90" t="s">
        <v>567</v>
      </c>
      <c r="G852" s="55" t="s">
        <v>568</v>
      </c>
      <c r="H852" s="55">
        <v>1994</v>
      </c>
      <c r="I852" s="55">
        <v>1986</v>
      </c>
      <c r="J852" s="55" t="s">
        <v>397</v>
      </c>
      <c r="K852" s="55" t="s">
        <v>570</v>
      </c>
      <c r="L852" s="55" t="s">
        <v>2737</v>
      </c>
      <c r="M852" s="90">
        <v>38.03</v>
      </c>
      <c r="N852" s="90">
        <v>-84.51</v>
      </c>
      <c r="O852" s="90">
        <v>299.60000000000002</v>
      </c>
      <c r="U852" s="55">
        <v>2</v>
      </c>
      <c r="V852" s="55" t="s">
        <v>1682</v>
      </c>
      <c r="Y852" s="55" t="s">
        <v>573</v>
      </c>
      <c r="Z852" s="55" t="s">
        <v>1346</v>
      </c>
      <c r="AA852" s="90" t="s">
        <v>1675</v>
      </c>
      <c r="AD852" s="90">
        <v>1.05</v>
      </c>
      <c r="AE852" s="90">
        <v>7.3</v>
      </c>
      <c r="AF852" s="90">
        <v>70.2</v>
      </c>
      <c r="AH852" s="55" t="s">
        <v>6378</v>
      </c>
      <c r="AI852" s="168">
        <v>5.48</v>
      </c>
      <c r="AJ852" s="90">
        <v>1.1599999999999999</v>
      </c>
      <c r="AM852" s="55" t="s">
        <v>1303</v>
      </c>
      <c r="AN852" s="185" t="s">
        <v>241</v>
      </c>
      <c r="AO852" s="185" t="s">
        <v>5150</v>
      </c>
      <c r="AQ852" s="55" t="s">
        <v>553</v>
      </c>
      <c r="AR852" s="55" t="s">
        <v>132</v>
      </c>
      <c r="AS852" s="55" t="s">
        <v>132</v>
      </c>
      <c r="AU852" s="181" t="s">
        <v>7494</v>
      </c>
      <c r="AV852" s="185" t="s">
        <v>176</v>
      </c>
      <c r="AX852" s="185" t="s">
        <v>176</v>
      </c>
      <c r="BK852" s="55" t="s">
        <v>5976</v>
      </c>
      <c r="BM852" s="192" t="s">
        <v>119</v>
      </c>
      <c r="BN852" s="55">
        <v>2</v>
      </c>
      <c r="BO852" s="55">
        <v>2</v>
      </c>
      <c r="BQ852" s="55" t="s">
        <v>141</v>
      </c>
      <c r="FT852" s="65">
        <v>0.187</v>
      </c>
      <c r="FU852" s="65">
        <v>0.3</v>
      </c>
      <c r="FX852" s="65" t="s">
        <v>1643</v>
      </c>
      <c r="GP852" s="292" t="s">
        <v>7494</v>
      </c>
      <c r="JU852" s="55" t="s">
        <v>700</v>
      </c>
    </row>
    <row r="853" spans="1:281" x14ac:dyDescent="0.25">
      <c r="A853" s="55">
        <v>852</v>
      </c>
      <c r="B853" s="12" t="s">
        <v>7067</v>
      </c>
      <c r="C853" s="155">
        <v>41</v>
      </c>
      <c r="D853" s="55" t="s">
        <v>3862</v>
      </c>
      <c r="E853" s="90" t="s">
        <v>567</v>
      </c>
      <c r="G853" s="55" t="s">
        <v>568</v>
      </c>
      <c r="H853" s="55">
        <v>1994</v>
      </c>
      <c r="I853" s="55">
        <v>1986</v>
      </c>
      <c r="J853" s="55" t="s">
        <v>397</v>
      </c>
      <c r="K853" s="55" t="s">
        <v>570</v>
      </c>
      <c r="L853" s="55" t="s">
        <v>2737</v>
      </c>
      <c r="M853" s="90">
        <v>38.03</v>
      </c>
      <c r="N853" s="90">
        <v>-84.51</v>
      </c>
      <c r="O853" s="90">
        <v>299.60000000000002</v>
      </c>
      <c r="U853" s="55">
        <v>2</v>
      </c>
      <c r="V853" s="55" t="s">
        <v>1682</v>
      </c>
      <c r="Y853" s="55" t="s">
        <v>574</v>
      </c>
      <c r="Z853" s="55" t="s">
        <v>1346</v>
      </c>
      <c r="AA853" s="90" t="s">
        <v>1675</v>
      </c>
      <c r="AD853" s="90">
        <v>1.05</v>
      </c>
      <c r="AE853" s="90">
        <v>7.3</v>
      </c>
      <c r="AF853" s="90">
        <v>70.2</v>
      </c>
      <c r="AH853" s="55" t="s">
        <v>6378</v>
      </c>
      <c r="AI853" s="168">
        <v>5.48</v>
      </c>
      <c r="AJ853" s="90">
        <v>1.1599999999999999</v>
      </c>
      <c r="AM853" s="55" t="s">
        <v>1303</v>
      </c>
      <c r="AN853" s="185" t="s">
        <v>241</v>
      </c>
      <c r="AO853" s="185" t="s">
        <v>5150</v>
      </c>
      <c r="AQ853" s="55" t="s">
        <v>553</v>
      </c>
      <c r="AR853" s="55" t="s">
        <v>132</v>
      </c>
      <c r="AS853" s="55" t="s">
        <v>132</v>
      </c>
      <c r="AU853" s="181" t="s">
        <v>7494</v>
      </c>
      <c r="AV853" s="185" t="s">
        <v>176</v>
      </c>
      <c r="AX853" s="185" t="s">
        <v>176</v>
      </c>
      <c r="BK853" s="55" t="s">
        <v>5976</v>
      </c>
      <c r="BM853" s="192" t="s">
        <v>119</v>
      </c>
      <c r="BN853" s="55">
        <v>2</v>
      </c>
      <c r="BO853" s="55">
        <v>2</v>
      </c>
      <c r="BQ853" s="55" t="s">
        <v>141</v>
      </c>
      <c r="FT853" s="65">
        <v>3.5000000000000003E-2</v>
      </c>
      <c r="FU853" s="65">
        <v>0.05</v>
      </c>
      <c r="FX853" s="65" t="s">
        <v>1643</v>
      </c>
      <c r="GP853" s="292" t="s">
        <v>7494</v>
      </c>
      <c r="JU853" s="55" t="s">
        <v>700</v>
      </c>
    </row>
    <row r="854" spans="1:281" x14ac:dyDescent="0.25">
      <c r="A854" s="55">
        <v>853</v>
      </c>
      <c r="B854" s="12" t="s">
        <v>7067</v>
      </c>
      <c r="C854" s="155">
        <v>41</v>
      </c>
      <c r="D854" s="55" t="s">
        <v>3862</v>
      </c>
      <c r="E854" s="90" t="s">
        <v>567</v>
      </c>
      <c r="G854" s="55" t="s">
        <v>568</v>
      </c>
      <c r="H854" s="55">
        <v>1994</v>
      </c>
      <c r="I854" s="55">
        <v>1986</v>
      </c>
      <c r="J854" s="55" t="s">
        <v>397</v>
      </c>
      <c r="K854" s="55" t="s">
        <v>570</v>
      </c>
      <c r="L854" s="55" t="s">
        <v>2737</v>
      </c>
      <c r="M854" s="90">
        <v>38.03</v>
      </c>
      <c r="N854" s="90">
        <v>-84.51</v>
      </c>
      <c r="O854" s="90">
        <v>299.60000000000002</v>
      </c>
      <c r="U854" s="55">
        <v>2</v>
      </c>
      <c r="V854" s="55" t="s">
        <v>1682</v>
      </c>
      <c r="Y854" s="55" t="s">
        <v>495</v>
      </c>
      <c r="Z854" s="55" t="s">
        <v>1346</v>
      </c>
      <c r="AA854" s="90" t="s">
        <v>1675</v>
      </c>
      <c r="AD854" s="90">
        <v>1.05</v>
      </c>
      <c r="AE854" s="90">
        <v>7.3</v>
      </c>
      <c r="AF854" s="90">
        <v>70.2</v>
      </c>
      <c r="AH854" s="55" t="s">
        <v>6378</v>
      </c>
      <c r="AI854" s="168">
        <v>5.48</v>
      </c>
      <c r="AJ854" s="90">
        <v>1.1599999999999999</v>
      </c>
      <c r="AM854" s="55" t="s">
        <v>1303</v>
      </c>
      <c r="AN854" s="185" t="s">
        <v>241</v>
      </c>
      <c r="AO854" s="185" t="s">
        <v>5150</v>
      </c>
      <c r="AQ854" s="55" t="s">
        <v>553</v>
      </c>
      <c r="AR854" s="55" t="s">
        <v>132</v>
      </c>
      <c r="AS854" s="55" t="s">
        <v>132</v>
      </c>
      <c r="AU854" s="181" t="s">
        <v>7494</v>
      </c>
      <c r="AV854" s="185" t="s">
        <v>176</v>
      </c>
      <c r="AX854" s="185" t="s">
        <v>176</v>
      </c>
      <c r="BK854" s="55" t="s">
        <v>5976</v>
      </c>
      <c r="BM854" s="192" t="s">
        <v>119</v>
      </c>
      <c r="BN854" s="55">
        <v>2</v>
      </c>
      <c r="BO854" s="55">
        <v>2</v>
      </c>
      <c r="BQ854" s="55" t="s">
        <v>141</v>
      </c>
      <c r="FT854" s="65">
        <v>0.08</v>
      </c>
      <c r="FU854" s="65">
        <v>0.04</v>
      </c>
      <c r="FX854" s="65" t="s">
        <v>1643</v>
      </c>
      <c r="GP854" s="292" t="s">
        <v>7494</v>
      </c>
      <c r="JU854" s="55" t="s">
        <v>700</v>
      </c>
    </row>
    <row r="855" spans="1:281" x14ac:dyDescent="0.25">
      <c r="A855" s="55">
        <v>854</v>
      </c>
      <c r="B855" s="12" t="s">
        <v>7067</v>
      </c>
      <c r="C855" s="155">
        <v>41</v>
      </c>
      <c r="D855" s="55" t="s">
        <v>3862</v>
      </c>
      <c r="E855" s="90" t="s">
        <v>567</v>
      </c>
      <c r="G855" s="55" t="s">
        <v>568</v>
      </c>
      <c r="H855" s="55">
        <v>1994</v>
      </c>
      <c r="I855" s="55">
        <v>1987</v>
      </c>
      <c r="J855" s="55" t="s">
        <v>397</v>
      </c>
      <c r="K855" s="55" t="s">
        <v>570</v>
      </c>
      <c r="L855" s="55" t="s">
        <v>2737</v>
      </c>
      <c r="M855" s="90">
        <v>38.03</v>
      </c>
      <c r="N855" s="90">
        <v>-84.51</v>
      </c>
      <c r="O855" s="90">
        <v>299.60000000000002</v>
      </c>
      <c r="U855" s="55">
        <v>3</v>
      </c>
      <c r="V855" s="55" t="s">
        <v>1682</v>
      </c>
      <c r="Y855" s="55" t="s">
        <v>578</v>
      </c>
      <c r="Z855" s="55" t="s">
        <v>1346</v>
      </c>
      <c r="AA855" s="90" t="s">
        <v>1675</v>
      </c>
      <c r="AD855" s="90">
        <v>1.05</v>
      </c>
      <c r="AE855" s="90">
        <v>7.3</v>
      </c>
      <c r="AF855" s="90">
        <v>70.2</v>
      </c>
      <c r="AH855" s="55" t="s">
        <v>6378</v>
      </c>
      <c r="AI855" s="168">
        <v>5.48</v>
      </c>
      <c r="AJ855" s="90">
        <v>1.1599999999999999</v>
      </c>
      <c r="AM855" s="55" t="s">
        <v>1303</v>
      </c>
      <c r="AN855" s="185" t="s">
        <v>241</v>
      </c>
      <c r="AO855" s="185" t="s">
        <v>5150</v>
      </c>
      <c r="AQ855" s="55" t="s">
        <v>553</v>
      </c>
      <c r="AR855" s="55" t="s">
        <v>132</v>
      </c>
      <c r="AS855" s="55" t="s">
        <v>132</v>
      </c>
      <c r="AU855" s="181" t="s">
        <v>7494</v>
      </c>
      <c r="AV855" s="185" t="s">
        <v>176</v>
      </c>
      <c r="AX855" s="185" t="s">
        <v>176</v>
      </c>
      <c r="BK855" s="55" t="s">
        <v>5976</v>
      </c>
      <c r="BM855" s="192" t="s">
        <v>119</v>
      </c>
      <c r="BN855" s="55">
        <v>2</v>
      </c>
      <c r="BO855" s="55">
        <v>2</v>
      </c>
      <c r="BQ855" s="55" t="s">
        <v>141</v>
      </c>
      <c r="FT855" s="65">
        <v>0.36</v>
      </c>
      <c r="FU855" s="65">
        <v>0.47699999999999998</v>
      </c>
      <c r="FX855" s="65" t="s">
        <v>1643</v>
      </c>
      <c r="GP855" s="292" t="s">
        <v>7494</v>
      </c>
      <c r="JU855" s="55" t="s">
        <v>700</v>
      </c>
    </row>
    <row r="856" spans="1:281" x14ac:dyDescent="0.25">
      <c r="A856" s="55">
        <v>855</v>
      </c>
      <c r="B856" s="12" t="s">
        <v>7067</v>
      </c>
      <c r="C856" s="155">
        <v>41</v>
      </c>
      <c r="D856" s="55" t="s">
        <v>3862</v>
      </c>
      <c r="E856" s="90" t="s">
        <v>567</v>
      </c>
      <c r="G856" s="55" t="s">
        <v>568</v>
      </c>
      <c r="H856" s="55">
        <v>1994</v>
      </c>
      <c r="I856" s="55">
        <v>1987</v>
      </c>
      <c r="J856" s="55" t="s">
        <v>397</v>
      </c>
      <c r="K856" s="55" t="s">
        <v>570</v>
      </c>
      <c r="L856" s="55" t="s">
        <v>2737</v>
      </c>
      <c r="M856" s="90">
        <v>38.03</v>
      </c>
      <c r="N856" s="90">
        <v>-84.51</v>
      </c>
      <c r="O856" s="90">
        <v>299.60000000000002</v>
      </c>
      <c r="U856" s="55">
        <v>3</v>
      </c>
      <c r="V856" s="55" t="s">
        <v>1682</v>
      </c>
      <c r="Y856" s="55" t="s">
        <v>579</v>
      </c>
      <c r="Z856" s="55" t="s">
        <v>1346</v>
      </c>
      <c r="AA856" s="90" t="s">
        <v>1675</v>
      </c>
      <c r="AD856" s="90">
        <v>1.05</v>
      </c>
      <c r="AE856" s="90">
        <v>7.3</v>
      </c>
      <c r="AF856" s="90">
        <v>70.2</v>
      </c>
      <c r="AH856" s="55" t="s">
        <v>6378</v>
      </c>
      <c r="AI856" s="168">
        <v>5.48</v>
      </c>
      <c r="AJ856" s="90">
        <v>1.1599999999999999</v>
      </c>
      <c r="AM856" s="55" t="s">
        <v>1303</v>
      </c>
      <c r="AN856" s="185" t="s">
        <v>241</v>
      </c>
      <c r="AO856" s="185" t="s">
        <v>5150</v>
      </c>
      <c r="AQ856" s="55" t="s">
        <v>553</v>
      </c>
      <c r="AR856" s="55" t="s">
        <v>132</v>
      </c>
      <c r="AS856" s="55" t="s">
        <v>132</v>
      </c>
      <c r="AU856" s="181" t="s">
        <v>7494</v>
      </c>
      <c r="AV856" s="185" t="s">
        <v>176</v>
      </c>
      <c r="AX856" s="185" t="s">
        <v>176</v>
      </c>
      <c r="BK856" s="55" t="s">
        <v>5976</v>
      </c>
      <c r="BM856" s="192" t="s">
        <v>119</v>
      </c>
      <c r="BN856" s="55">
        <v>2</v>
      </c>
      <c r="BO856" s="55">
        <v>2</v>
      </c>
      <c r="BQ856" s="55" t="s">
        <v>141</v>
      </c>
      <c r="FT856" s="65">
        <v>0.32</v>
      </c>
      <c r="FU856" s="65">
        <v>0.42</v>
      </c>
      <c r="FX856" s="65" t="s">
        <v>1643</v>
      </c>
      <c r="GP856" s="292" t="s">
        <v>7494</v>
      </c>
      <c r="JU856" s="55" t="s">
        <v>700</v>
      </c>
    </row>
    <row r="857" spans="1:281" x14ac:dyDescent="0.25">
      <c r="A857" s="55">
        <v>856</v>
      </c>
      <c r="B857" s="12" t="s">
        <v>7067</v>
      </c>
      <c r="C857" s="155">
        <v>41</v>
      </c>
      <c r="D857" s="55" t="s">
        <v>3862</v>
      </c>
      <c r="E857" s="90" t="s">
        <v>567</v>
      </c>
      <c r="G857" s="55" t="s">
        <v>568</v>
      </c>
      <c r="H857" s="55">
        <v>1994</v>
      </c>
      <c r="I857" s="55">
        <v>1987</v>
      </c>
      <c r="J857" s="55" t="s">
        <v>397</v>
      </c>
      <c r="K857" s="55" t="s">
        <v>570</v>
      </c>
      <c r="L857" s="55" t="s">
        <v>2737</v>
      </c>
      <c r="M857" s="90">
        <v>38.03</v>
      </c>
      <c r="N857" s="90">
        <v>-84.51</v>
      </c>
      <c r="O857" s="90">
        <v>299.60000000000002</v>
      </c>
      <c r="U857" s="55">
        <v>3</v>
      </c>
      <c r="V857" s="55" t="s">
        <v>1682</v>
      </c>
      <c r="Y857" s="55" t="s">
        <v>210</v>
      </c>
      <c r="Z857" s="55" t="s">
        <v>1346</v>
      </c>
      <c r="AA857" s="90" t="s">
        <v>1675</v>
      </c>
      <c r="AD857" s="90">
        <v>1.05</v>
      </c>
      <c r="AE857" s="90">
        <v>7.3</v>
      </c>
      <c r="AF857" s="90">
        <v>70.2</v>
      </c>
      <c r="AH857" s="55" t="s">
        <v>6378</v>
      </c>
      <c r="AI857" s="168">
        <v>5.48</v>
      </c>
      <c r="AJ857" s="90">
        <v>1.1599999999999999</v>
      </c>
      <c r="AM857" s="55" t="s">
        <v>1303</v>
      </c>
      <c r="AN857" s="185" t="s">
        <v>241</v>
      </c>
      <c r="AO857" s="185" t="s">
        <v>5150</v>
      </c>
      <c r="AQ857" s="55" t="s">
        <v>553</v>
      </c>
      <c r="AR857" s="55" t="s">
        <v>132</v>
      </c>
      <c r="AS857" s="55" t="s">
        <v>132</v>
      </c>
      <c r="AU857" s="181" t="s">
        <v>7494</v>
      </c>
      <c r="AV857" s="185" t="s">
        <v>176</v>
      </c>
      <c r="AX857" s="185" t="s">
        <v>176</v>
      </c>
      <c r="BK857" s="55" t="s">
        <v>5976</v>
      </c>
      <c r="BM857" s="192" t="s">
        <v>119</v>
      </c>
      <c r="BN857" s="55">
        <v>2</v>
      </c>
      <c r="BO857" s="55">
        <v>2</v>
      </c>
      <c r="BQ857" s="55" t="s">
        <v>141</v>
      </c>
      <c r="FT857" s="65">
        <v>0.28999999999999998</v>
      </c>
      <c r="FU857" s="65">
        <v>0.36499999999999999</v>
      </c>
      <c r="FX857" s="65" t="s">
        <v>1643</v>
      </c>
      <c r="GP857" s="292" t="s">
        <v>7494</v>
      </c>
      <c r="JU857" s="55" t="s">
        <v>700</v>
      </c>
    </row>
    <row r="858" spans="1:281" x14ac:dyDescent="0.25">
      <c r="A858" s="55">
        <v>857</v>
      </c>
      <c r="B858" s="12" t="s">
        <v>7067</v>
      </c>
      <c r="C858" s="155">
        <v>41</v>
      </c>
      <c r="D858" s="55" t="s">
        <v>3862</v>
      </c>
      <c r="E858" s="90" t="s">
        <v>567</v>
      </c>
      <c r="G858" s="55" t="s">
        <v>568</v>
      </c>
      <c r="H858" s="55">
        <v>1994</v>
      </c>
      <c r="I858" s="55">
        <v>1987</v>
      </c>
      <c r="J858" s="55" t="s">
        <v>397</v>
      </c>
      <c r="K858" s="55" t="s">
        <v>570</v>
      </c>
      <c r="L858" s="55" t="s">
        <v>2737</v>
      </c>
      <c r="M858" s="90">
        <v>38.03</v>
      </c>
      <c r="N858" s="90">
        <v>-84.51</v>
      </c>
      <c r="O858" s="90">
        <v>299.60000000000002</v>
      </c>
      <c r="U858" s="55">
        <v>3</v>
      </c>
      <c r="V858" s="55" t="s">
        <v>1682</v>
      </c>
      <c r="Y858" s="55" t="s">
        <v>576</v>
      </c>
      <c r="Z858" s="55" t="s">
        <v>1346</v>
      </c>
      <c r="AA858" s="90" t="s">
        <v>1675</v>
      </c>
      <c r="AD858" s="90">
        <v>1.05</v>
      </c>
      <c r="AE858" s="90">
        <v>7.3</v>
      </c>
      <c r="AF858" s="90">
        <v>70.2</v>
      </c>
      <c r="AH858" s="55" t="s">
        <v>6378</v>
      </c>
      <c r="AI858" s="168">
        <v>5.48</v>
      </c>
      <c r="AJ858" s="90">
        <v>1.1599999999999999</v>
      </c>
      <c r="AM858" s="55" t="s">
        <v>1303</v>
      </c>
      <c r="AN858" s="185" t="s">
        <v>241</v>
      </c>
      <c r="AO858" s="185" t="s">
        <v>5150</v>
      </c>
      <c r="AQ858" s="55" t="s">
        <v>553</v>
      </c>
      <c r="AR858" s="55" t="s">
        <v>132</v>
      </c>
      <c r="AS858" s="55" t="s">
        <v>132</v>
      </c>
      <c r="AU858" s="181" t="s">
        <v>7494</v>
      </c>
      <c r="AV858" s="185" t="s">
        <v>176</v>
      </c>
      <c r="AX858" s="185" t="s">
        <v>176</v>
      </c>
      <c r="BK858" s="55" t="s">
        <v>5976</v>
      </c>
      <c r="BM858" s="192" t="s">
        <v>119</v>
      </c>
      <c r="BN858" s="55">
        <v>2</v>
      </c>
      <c r="BO858" s="55">
        <v>2</v>
      </c>
      <c r="BQ858" s="55" t="s">
        <v>141</v>
      </c>
      <c r="FT858" s="65">
        <v>0.24399999999999999</v>
      </c>
      <c r="FU858" s="65">
        <v>0.24</v>
      </c>
      <c r="FX858" s="65" t="s">
        <v>1643</v>
      </c>
      <c r="GP858" s="292" t="s">
        <v>7494</v>
      </c>
      <c r="JU858" s="55" t="s">
        <v>700</v>
      </c>
    </row>
    <row r="859" spans="1:281" x14ac:dyDescent="0.25">
      <c r="A859" s="55">
        <v>858</v>
      </c>
      <c r="B859" s="12" t="s">
        <v>7067</v>
      </c>
      <c r="C859" s="155">
        <v>41</v>
      </c>
      <c r="D859" s="55" t="s">
        <v>3862</v>
      </c>
      <c r="E859" s="90" t="s">
        <v>567</v>
      </c>
      <c r="G859" s="55" t="s">
        <v>568</v>
      </c>
      <c r="H859" s="55">
        <v>1994</v>
      </c>
      <c r="I859" s="55">
        <v>1987</v>
      </c>
      <c r="J859" s="55" t="s">
        <v>397</v>
      </c>
      <c r="K859" s="55" t="s">
        <v>570</v>
      </c>
      <c r="L859" s="55" t="s">
        <v>2737</v>
      </c>
      <c r="M859" s="90">
        <v>38.03</v>
      </c>
      <c r="N859" s="90">
        <v>-84.51</v>
      </c>
      <c r="O859" s="90">
        <v>299.60000000000002</v>
      </c>
      <c r="U859" s="55">
        <v>3</v>
      </c>
      <c r="V859" s="55" t="s">
        <v>1682</v>
      </c>
      <c r="Y859" s="55" t="s">
        <v>200</v>
      </c>
      <c r="Z859" s="55" t="s">
        <v>1346</v>
      </c>
      <c r="AA859" s="90" t="s">
        <v>1675</v>
      </c>
      <c r="AD859" s="90">
        <v>1.05</v>
      </c>
      <c r="AE859" s="90">
        <v>7.3</v>
      </c>
      <c r="AF859" s="90">
        <v>70.2</v>
      </c>
      <c r="AH859" s="55" t="s">
        <v>6378</v>
      </c>
      <c r="AI859" s="168">
        <v>5.48</v>
      </c>
      <c r="AJ859" s="90">
        <v>1.1599999999999999</v>
      </c>
      <c r="AM859" s="55" t="s">
        <v>1303</v>
      </c>
      <c r="AN859" s="185" t="s">
        <v>241</v>
      </c>
      <c r="AO859" s="185" t="s">
        <v>5150</v>
      </c>
      <c r="AQ859" s="55" t="s">
        <v>553</v>
      </c>
      <c r="AR859" s="55" t="s">
        <v>132</v>
      </c>
      <c r="AS859" s="55" t="s">
        <v>132</v>
      </c>
      <c r="AU859" s="181" t="s">
        <v>7494</v>
      </c>
      <c r="AV859" s="185" t="s">
        <v>176</v>
      </c>
      <c r="AX859" s="185" t="s">
        <v>176</v>
      </c>
      <c r="BK859" s="55" t="s">
        <v>5976</v>
      </c>
      <c r="BM859" s="192" t="s">
        <v>119</v>
      </c>
      <c r="BN859" s="55">
        <v>2</v>
      </c>
      <c r="BO859" s="55">
        <v>2</v>
      </c>
      <c r="BQ859" s="55" t="s">
        <v>141</v>
      </c>
      <c r="FT859" s="65">
        <v>0.20599999999999999</v>
      </c>
      <c r="FU859" s="65">
        <v>0.21</v>
      </c>
      <c r="FX859" s="65" t="s">
        <v>1643</v>
      </c>
      <c r="GP859" s="292" t="s">
        <v>7494</v>
      </c>
      <c r="JU859" s="55" t="s">
        <v>700</v>
      </c>
    </row>
    <row r="860" spans="1:281" x14ac:dyDescent="0.25">
      <c r="A860" s="55">
        <v>859</v>
      </c>
      <c r="B860" s="12" t="s">
        <v>7067</v>
      </c>
      <c r="C860" s="155">
        <v>41</v>
      </c>
      <c r="D860" s="55" t="s">
        <v>3862</v>
      </c>
      <c r="E860" s="90" t="s">
        <v>567</v>
      </c>
      <c r="G860" s="55" t="s">
        <v>568</v>
      </c>
      <c r="H860" s="55">
        <v>1994</v>
      </c>
      <c r="I860" s="55">
        <v>1987</v>
      </c>
      <c r="J860" s="55" t="s">
        <v>397</v>
      </c>
      <c r="K860" s="55" t="s">
        <v>570</v>
      </c>
      <c r="L860" s="55" t="s">
        <v>2737</v>
      </c>
      <c r="M860" s="90">
        <v>38.03</v>
      </c>
      <c r="N860" s="90">
        <v>-84.51</v>
      </c>
      <c r="O860" s="90">
        <v>299.60000000000002</v>
      </c>
      <c r="U860" s="55">
        <v>3</v>
      </c>
      <c r="V860" s="55" t="s">
        <v>1682</v>
      </c>
      <c r="Y860" s="55" t="s">
        <v>572</v>
      </c>
      <c r="Z860" s="55" t="s">
        <v>1346</v>
      </c>
      <c r="AA860" s="90" t="s">
        <v>1675</v>
      </c>
      <c r="AD860" s="90">
        <v>1.05</v>
      </c>
      <c r="AE860" s="90">
        <v>7.3</v>
      </c>
      <c r="AF860" s="90">
        <v>70.2</v>
      </c>
      <c r="AH860" s="55" t="s">
        <v>6378</v>
      </c>
      <c r="AI860" s="168">
        <v>5.48</v>
      </c>
      <c r="AJ860" s="90">
        <v>1.1599999999999999</v>
      </c>
      <c r="AM860" s="55" t="s">
        <v>1303</v>
      </c>
      <c r="AN860" s="185" t="s">
        <v>241</v>
      </c>
      <c r="AO860" s="185" t="s">
        <v>5150</v>
      </c>
      <c r="AQ860" s="55" t="s">
        <v>553</v>
      </c>
      <c r="AR860" s="55" t="s">
        <v>132</v>
      </c>
      <c r="AS860" s="55" t="s">
        <v>132</v>
      </c>
      <c r="AU860" s="181" t="s">
        <v>7494</v>
      </c>
      <c r="AV860" s="185" t="s">
        <v>176</v>
      </c>
      <c r="AX860" s="185" t="s">
        <v>176</v>
      </c>
      <c r="BK860" s="55" t="s">
        <v>5976</v>
      </c>
      <c r="BM860" s="192" t="s">
        <v>119</v>
      </c>
      <c r="BN860" s="55">
        <v>2</v>
      </c>
      <c r="BO860" s="55">
        <v>2</v>
      </c>
      <c r="BQ860" s="55" t="s">
        <v>141</v>
      </c>
      <c r="FT860" s="65">
        <v>0.3</v>
      </c>
      <c r="FU860" s="65">
        <v>0.23</v>
      </c>
      <c r="FX860" s="65" t="s">
        <v>1643</v>
      </c>
      <c r="GP860" s="292" t="s">
        <v>7494</v>
      </c>
      <c r="JU860" s="55" t="s">
        <v>700</v>
      </c>
    </row>
    <row r="861" spans="1:281" x14ac:dyDescent="0.25">
      <c r="A861" s="55">
        <v>860</v>
      </c>
      <c r="B861" s="12" t="s">
        <v>7067</v>
      </c>
      <c r="C861" s="155">
        <v>41</v>
      </c>
      <c r="D861" s="55" t="s">
        <v>3862</v>
      </c>
      <c r="E861" s="90" t="s">
        <v>567</v>
      </c>
      <c r="G861" s="55" t="s">
        <v>568</v>
      </c>
      <c r="H861" s="55">
        <v>1994</v>
      </c>
      <c r="I861" s="55">
        <v>1987</v>
      </c>
      <c r="J861" s="55" t="s">
        <v>397</v>
      </c>
      <c r="K861" s="55" t="s">
        <v>570</v>
      </c>
      <c r="L861" s="55" t="s">
        <v>2737</v>
      </c>
      <c r="M861" s="90">
        <v>38.03</v>
      </c>
      <c r="N861" s="90">
        <v>-84.51</v>
      </c>
      <c r="O861" s="90">
        <v>299.60000000000002</v>
      </c>
      <c r="U861" s="55">
        <v>3</v>
      </c>
      <c r="V861" s="55" t="s">
        <v>1682</v>
      </c>
      <c r="Y861" s="55" t="s">
        <v>224</v>
      </c>
      <c r="Z861" s="55" t="s">
        <v>1346</v>
      </c>
      <c r="AA861" s="90" t="s">
        <v>1675</v>
      </c>
      <c r="AD861" s="90">
        <v>1.05</v>
      </c>
      <c r="AE861" s="90">
        <v>7.3</v>
      </c>
      <c r="AF861" s="90">
        <v>70.2</v>
      </c>
      <c r="AH861" s="55" t="s">
        <v>6378</v>
      </c>
      <c r="AI861" s="168">
        <v>5.48</v>
      </c>
      <c r="AJ861" s="90">
        <v>1.1599999999999999</v>
      </c>
      <c r="AM861" s="55" t="s">
        <v>1303</v>
      </c>
      <c r="AN861" s="185" t="s">
        <v>241</v>
      </c>
      <c r="AO861" s="185" t="s">
        <v>5150</v>
      </c>
      <c r="AQ861" s="55" t="s">
        <v>553</v>
      </c>
      <c r="AR861" s="55" t="s">
        <v>132</v>
      </c>
      <c r="AS861" s="55" t="s">
        <v>132</v>
      </c>
      <c r="AU861" s="181" t="s">
        <v>7494</v>
      </c>
      <c r="AV861" s="185" t="s">
        <v>176</v>
      </c>
      <c r="AX861" s="185" t="s">
        <v>176</v>
      </c>
      <c r="BK861" s="55" t="s">
        <v>5976</v>
      </c>
      <c r="BM861" s="192" t="s">
        <v>119</v>
      </c>
      <c r="BN861" s="55">
        <v>2</v>
      </c>
      <c r="BO861" s="55">
        <v>2</v>
      </c>
      <c r="BQ861" s="55" t="s">
        <v>141</v>
      </c>
      <c r="FT861" s="65">
        <v>0.36499999999999999</v>
      </c>
      <c r="FU861" s="65">
        <v>0.17799999999999999</v>
      </c>
      <c r="FX861" s="65" t="s">
        <v>1643</v>
      </c>
      <c r="GP861" s="292" t="s">
        <v>7494</v>
      </c>
      <c r="JU861" s="55" t="s">
        <v>700</v>
      </c>
    </row>
    <row r="862" spans="1:281" x14ac:dyDescent="0.25">
      <c r="A862" s="55">
        <v>861</v>
      </c>
      <c r="B862" s="12" t="s">
        <v>7067</v>
      </c>
      <c r="C862" s="155">
        <v>41</v>
      </c>
      <c r="D862" s="55" t="s">
        <v>3862</v>
      </c>
      <c r="E862" s="90" t="s">
        <v>567</v>
      </c>
      <c r="G862" s="55" t="s">
        <v>568</v>
      </c>
      <c r="H862" s="55">
        <v>1994</v>
      </c>
      <c r="I862" s="55">
        <v>1987</v>
      </c>
      <c r="J862" s="55" t="s">
        <v>397</v>
      </c>
      <c r="K862" s="55" t="s">
        <v>570</v>
      </c>
      <c r="L862" s="55" t="s">
        <v>2737</v>
      </c>
      <c r="M862" s="90">
        <v>38.03</v>
      </c>
      <c r="N862" s="90">
        <v>-84.51</v>
      </c>
      <c r="O862" s="90">
        <v>299.60000000000002</v>
      </c>
      <c r="U862" s="55">
        <v>3</v>
      </c>
      <c r="V862" s="55" t="s">
        <v>1682</v>
      </c>
      <c r="Y862" s="55" t="s">
        <v>573</v>
      </c>
      <c r="Z862" s="55" t="s">
        <v>1346</v>
      </c>
      <c r="AA862" s="90" t="s">
        <v>1675</v>
      </c>
      <c r="AD862" s="90">
        <v>1.05</v>
      </c>
      <c r="AE862" s="90">
        <v>7.3</v>
      </c>
      <c r="AF862" s="90">
        <v>70.2</v>
      </c>
      <c r="AH862" s="55" t="s">
        <v>6378</v>
      </c>
      <c r="AI862" s="168">
        <v>5.48</v>
      </c>
      <c r="AJ862" s="90">
        <v>1.1599999999999999</v>
      </c>
      <c r="AM862" s="55" t="s">
        <v>1303</v>
      </c>
      <c r="AN862" s="185" t="s">
        <v>241</v>
      </c>
      <c r="AO862" s="185" t="s">
        <v>5150</v>
      </c>
      <c r="AQ862" s="55" t="s">
        <v>553</v>
      </c>
      <c r="AR862" s="55" t="s">
        <v>132</v>
      </c>
      <c r="AS862" s="55" t="s">
        <v>132</v>
      </c>
      <c r="AU862" s="181" t="s">
        <v>7494</v>
      </c>
      <c r="AV862" s="185" t="s">
        <v>176</v>
      </c>
      <c r="AX862" s="185" t="s">
        <v>176</v>
      </c>
      <c r="BK862" s="55" t="s">
        <v>5976</v>
      </c>
      <c r="BM862" s="192" t="s">
        <v>119</v>
      </c>
      <c r="BN862" s="55">
        <v>2</v>
      </c>
      <c r="BO862" s="55">
        <v>2</v>
      </c>
      <c r="BQ862" s="55" t="s">
        <v>141</v>
      </c>
      <c r="FT862" s="65">
        <v>0.4</v>
      </c>
      <c r="FU862" s="65">
        <v>0.16</v>
      </c>
      <c r="FX862" s="65" t="s">
        <v>1643</v>
      </c>
      <c r="GP862" s="292" t="s">
        <v>7494</v>
      </c>
      <c r="JU862" s="55" t="s">
        <v>700</v>
      </c>
    </row>
    <row r="863" spans="1:281" x14ac:dyDescent="0.25">
      <c r="A863" s="55">
        <v>862</v>
      </c>
      <c r="B863" s="12" t="s">
        <v>7067</v>
      </c>
      <c r="C863" s="155">
        <v>41</v>
      </c>
      <c r="D863" s="55" t="s">
        <v>3862</v>
      </c>
      <c r="E863" s="90" t="s">
        <v>567</v>
      </c>
      <c r="G863" s="55" t="s">
        <v>568</v>
      </c>
      <c r="H863" s="55">
        <v>1994</v>
      </c>
      <c r="I863" s="55">
        <v>1987</v>
      </c>
      <c r="J863" s="55" t="s">
        <v>397</v>
      </c>
      <c r="K863" s="55" t="s">
        <v>570</v>
      </c>
      <c r="L863" s="55" t="s">
        <v>2737</v>
      </c>
      <c r="M863" s="90">
        <v>38.03</v>
      </c>
      <c r="N863" s="90">
        <v>-84.51</v>
      </c>
      <c r="O863" s="90">
        <v>299.60000000000002</v>
      </c>
      <c r="U863" s="55">
        <v>3</v>
      </c>
      <c r="V863" s="55" t="s">
        <v>1682</v>
      </c>
      <c r="Y863" s="55" t="s">
        <v>577</v>
      </c>
      <c r="Z863" s="55" t="s">
        <v>1346</v>
      </c>
      <c r="AA863" s="90" t="s">
        <v>1675</v>
      </c>
      <c r="AD863" s="90">
        <v>1.05</v>
      </c>
      <c r="AE863" s="90">
        <v>7.3</v>
      </c>
      <c r="AF863" s="90">
        <v>70.2</v>
      </c>
      <c r="AH863" s="55" t="s">
        <v>6378</v>
      </c>
      <c r="AI863" s="168">
        <v>5.48</v>
      </c>
      <c r="AJ863" s="90">
        <v>1.1599999999999999</v>
      </c>
      <c r="AM863" s="55" t="s">
        <v>1303</v>
      </c>
      <c r="AN863" s="185" t="s">
        <v>241</v>
      </c>
      <c r="AO863" s="185" t="s">
        <v>5150</v>
      </c>
      <c r="AQ863" s="55" t="s">
        <v>553</v>
      </c>
      <c r="AR863" s="55" t="s">
        <v>132</v>
      </c>
      <c r="AS863" s="55" t="s">
        <v>132</v>
      </c>
      <c r="AU863" s="181" t="s">
        <v>7494</v>
      </c>
      <c r="AV863" s="185" t="s">
        <v>176</v>
      </c>
      <c r="AX863" s="185" t="s">
        <v>176</v>
      </c>
      <c r="BK863" s="55" t="s">
        <v>5976</v>
      </c>
      <c r="BM863" s="192" t="s">
        <v>119</v>
      </c>
      <c r="BN863" s="55">
        <v>2</v>
      </c>
      <c r="BO863" s="55">
        <v>2</v>
      </c>
      <c r="BQ863" s="55" t="s">
        <v>141</v>
      </c>
      <c r="FT863" s="65">
        <v>0.45</v>
      </c>
      <c r="FU863" s="65">
        <v>0.156</v>
      </c>
      <c r="FX863" s="65" t="s">
        <v>1643</v>
      </c>
      <c r="GP863" s="292" t="s">
        <v>7494</v>
      </c>
      <c r="JU863" s="55" t="s">
        <v>700</v>
      </c>
    </row>
    <row r="864" spans="1:281" x14ac:dyDescent="0.25">
      <c r="A864" s="55">
        <v>863</v>
      </c>
      <c r="B864" s="12" t="s">
        <v>7067</v>
      </c>
      <c r="C864" s="155">
        <v>41</v>
      </c>
      <c r="D864" s="55" t="s">
        <v>3862</v>
      </c>
      <c r="E864" s="90" t="s">
        <v>567</v>
      </c>
      <c r="G864" s="55" t="s">
        <v>568</v>
      </c>
      <c r="H864" s="55">
        <v>1994</v>
      </c>
      <c r="I864" s="55">
        <v>1987</v>
      </c>
      <c r="J864" s="55" t="s">
        <v>397</v>
      </c>
      <c r="K864" s="55" t="s">
        <v>570</v>
      </c>
      <c r="L864" s="55" t="s">
        <v>2737</v>
      </c>
      <c r="M864" s="90">
        <v>38.03</v>
      </c>
      <c r="N864" s="90">
        <v>-84.51</v>
      </c>
      <c r="O864" s="90">
        <v>299.60000000000002</v>
      </c>
      <c r="U864" s="55">
        <v>3</v>
      </c>
      <c r="V864" s="55" t="s">
        <v>1682</v>
      </c>
      <c r="Y864" s="55" t="s">
        <v>495</v>
      </c>
      <c r="Z864" s="55" t="s">
        <v>1346</v>
      </c>
      <c r="AA864" s="90" t="s">
        <v>1675</v>
      </c>
      <c r="AD864" s="90">
        <v>1.05</v>
      </c>
      <c r="AE864" s="90">
        <v>7.3</v>
      </c>
      <c r="AF864" s="90">
        <v>70.2</v>
      </c>
      <c r="AH864" s="55" t="s">
        <v>6378</v>
      </c>
      <c r="AI864" s="168">
        <v>5.48</v>
      </c>
      <c r="AJ864" s="90">
        <v>1.1599999999999999</v>
      </c>
      <c r="AM864" s="55" t="s">
        <v>1303</v>
      </c>
      <c r="AN864" s="185" t="s">
        <v>241</v>
      </c>
      <c r="AO864" s="185" t="s">
        <v>5150</v>
      </c>
      <c r="AQ864" s="55" t="s">
        <v>553</v>
      </c>
      <c r="AR864" s="55" t="s">
        <v>132</v>
      </c>
      <c r="AS864" s="55" t="s">
        <v>132</v>
      </c>
      <c r="AU864" s="181" t="s">
        <v>7494</v>
      </c>
      <c r="AV864" s="185" t="s">
        <v>176</v>
      </c>
      <c r="AX864" s="185" t="s">
        <v>176</v>
      </c>
      <c r="BK864" s="55" t="s">
        <v>5976</v>
      </c>
      <c r="BM864" s="192" t="s">
        <v>119</v>
      </c>
      <c r="BN864" s="55">
        <v>2</v>
      </c>
      <c r="BO864" s="55">
        <v>2</v>
      </c>
      <c r="BQ864" s="55" t="s">
        <v>141</v>
      </c>
      <c r="FT864" s="65">
        <v>0.49</v>
      </c>
      <c r="FU864" s="65">
        <v>0.21</v>
      </c>
      <c r="FX864" s="65" t="s">
        <v>1643</v>
      </c>
      <c r="GP864" s="292" t="s">
        <v>7494</v>
      </c>
      <c r="JU864" s="55" t="s">
        <v>700</v>
      </c>
    </row>
    <row r="865" spans="1:281" x14ac:dyDescent="0.25">
      <c r="A865" s="55">
        <v>864</v>
      </c>
      <c r="B865" s="12" t="s">
        <v>7067</v>
      </c>
      <c r="C865" s="155">
        <v>41</v>
      </c>
      <c r="D865" s="55" t="s">
        <v>3862</v>
      </c>
      <c r="E865" s="90" t="s">
        <v>567</v>
      </c>
      <c r="G865" s="55" t="s">
        <v>568</v>
      </c>
      <c r="H865" s="55">
        <v>1994</v>
      </c>
      <c r="I865" s="55">
        <v>1987</v>
      </c>
      <c r="J865" s="55" t="s">
        <v>397</v>
      </c>
      <c r="K865" s="55" t="s">
        <v>570</v>
      </c>
      <c r="L865" s="55" t="s">
        <v>2737</v>
      </c>
      <c r="M865" s="90">
        <v>38.03</v>
      </c>
      <c r="N865" s="90">
        <v>-84.51</v>
      </c>
      <c r="O865" s="90">
        <v>299.60000000000002</v>
      </c>
      <c r="U865" s="55">
        <v>3</v>
      </c>
      <c r="V865" s="55" t="s">
        <v>1682</v>
      </c>
      <c r="Y865" s="55" t="s">
        <v>575</v>
      </c>
      <c r="Z865" s="55" t="s">
        <v>1346</v>
      </c>
      <c r="AA865" s="90" t="s">
        <v>1675</v>
      </c>
      <c r="AD865" s="90">
        <v>1.05</v>
      </c>
      <c r="AE865" s="90">
        <v>7.3</v>
      </c>
      <c r="AF865" s="90">
        <v>70.2</v>
      </c>
      <c r="AH865" s="55" t="s">
        <v>6378</v>
      </c>
      <c r="AI865" s="168">
        <v>5.48</v>
      </c>
      <c r="AJ865" s="90">
        <v>1.1599999999999999</v>
      </c>
      <c r="AM865" s="55" t="s">
        <v>1303</v>
      </c>
      <c r="AN865" s="185" t="s">
        <v>241</v>
      </c>
      <c r="AO865" s="185" t="s">
        <v>5150</v>
      </c>
      <c r="AQ865" s="55" t="s">
        <v>553</v>
      </c>
      <c r="AR865" s="55" t="s">
        <v>132</v>
      </c>
      <c r="AS865" s="55" t="s">
        <v>132</v>
      </c>
      <c r="AU865" s="181" t="s">
        <v>7494</v>
      </c>
      <c r="AV865" s="185" t="s">
        <v>176</v>
      </c>
      <c r="AX865" s="185" t="s">
        <v>176</v>
      </c>
      <c r="BK865" s="55" t="s">
        <v>5976</v>
      </c>
      <c r="BM865" s="192" t="s">
        <v>119</v>
      </c>
      <c r="BN865" s="55">
        <v>2</v>
      </c>
      <c r="BO865" s="55">
        <v>2</v>
      </c>
      <c r="BQ865" s="55" t="s">
        <v>141</v>
      </c>
      <c r="FT865" s="65">
        <v>0.438</v>
      </c>
      <c r="FU865" s="65">
        <v>0.218</v>
      </c>
      <c r="FX865" s="65" t="s">
        <v>1643</v>
      </c>
      <c r="GP865" s="292" t="s">
        <v>7494</v>
      </c>
      <c r="JU865" s="55" t="s">
        <v>700</v>
      </c>
    </row>
    <row r="866" spans="1:281" x14ac:dyDescent="0.25">
      <c r="A866" s="55">
        <v>865</v>
      </c>
      <c r="B866" s="12" t="s">
        <v>7067</v>
      </c>
      <c r="C866" s="155">
        <v>41</v>
      </c>
      <c r="D866" s="55" t="s">
        <v>3862</v>
      </c>
      <c r="E866" s="90" t="s">
        <v>567</v>
      </c>
      <c r="G866" s="55" t="s">
        <v>568</v>
      </c>
      <c r="H866" s="55">
        <v>1994</v>
      </c>
      <c r="I866" s="55">
        <v>1988</v>
      </c>
      <c r="J866" s="55" t="s">
        <v>397</v>
      </c>
      <c r="K866" s="55" t="s">
        <v>570</v>
      </c>
      <c r="L866" s="55" t="s">
        <v>2737</v>
      </c>
      <c r="M866" s="90">
        <v>38.03</v>
      </c>
      <c r="N866" s="90">
        <v>-84.51</v>
      </c>
      <c r="O866" s="90">
        <v>299.60000000000002</v>
      </c>
      <c r="U866" s="55">
        <v>4</v>
      </c>
      <c r="V866" s="55" t="s">
        <v>1682</v>
      </c>
      <c r="Y866" s="55" t="s">
        <v>578</v>
      </c>
      <c r="Z866" s="55" t="s">
        <v>1346</v>
      </c>
      <c r="AA866" s="90" t="s">
        <v>1675</v>
      </c>
      <c r="AD866" s="90">
        <v>1.05</v>
      </c>
      <c r="AE866" s="90">
        <v>7.3</v>
      </c>
      <c r="AF866" s="90">
        <v>70.2</v>
      </c>
      <c r="AH866" s="55" t="s">
        <v>6378</v>
      </c>
      <c r="AI866" s="168">
        <v>5.48</v>
      </c>
      <c r="AJ866" s="90">
        <v>1.1599999999999999</v>
      </c>
      <c r="AM866" s="55" t="s">
        <v>1303</v>
      </c>
      <c r="AN866" s="185" t="s">
        <v>241</v>
      </c>
      <c r="AO866" s="185" t="s">
        <v>5150</v>
      </c>
      <c r="AQ866" s="55" t="s">
        <v>553</v>
      </c>
      <c r="AR866" s="55" t="s">
        <v>132</v>
      </c>
      <c r="AS866" s="55" t="s">
        <v>132</v>
      </c>
      <c r="AU866" s="181" t="s">
        <v>7494</v>
      </c>
      <c r="AV866" s="185" t="s">
        <v>176</v>
      </c>
      <c r="AX866" s="185" t="s">
        <v>176</v>
      </c>
      <c r="BK866" s="55" t="s">
        <v>5976</v>
      </c>
      <c r="BM866" s="192" t="s">
        <v>119</v>
      </c>
      <c r="BN866" s="55">
        <v>2</v>
      </c>
      <c r="BO866" s="55">
        <v>2</v>
      </c>
      <c r="BQ866" s="55" t="s">
        <v>141</v>
      </c>
      <c r="FT866" s="65">
        <v>0.16300000000000001</v>
      </c>
      <c r="FU866" s="65">
        <v>3.5000000000000003E-2</v>
      </c>
      <c r="FX866" s="65" t="s">
        <v>1643</v>
      </c>
      <c r="GP866" s="292" t="s">
        <v>7494</v>
      </c>
      <c r="JU866" s="55" t="s">
        <v>700</v>
      </c>
    </row>
    <row r="867" spans="1:281" x14ac:dyDescent="0.25">
      <c r="A867" s="55">
        <v>866</v>
      </c>
      <c r="B867" s="12" t="s">
        <v>7067</v>
      </c>
      <c r="C867" s="155">
        <v>41</v>
      </c>
      <c r="D867" s="55" t="s">
        <v>3862</v>
      </c>
      <c r="E867" s="90" t="s">
        <v>567</v>
      </c>
      <c r="G867" s="55" t="s">
        <v>568</v>
      </c>
      <c r="H867" s="55">
        <v>1994</v>
      </c>
      <c r="I867" s="55">
        <v>1988</v>
      </c>
      <c r="J867" s="55" t="s">
        <v>397</v>
      </c>
      <c r="K867" s="55" t="s">
        <v>570</v>
      </c>
      <c r="L867" s="55" t="s">
        <v>2737</v>
      </c>
      <c r="M867" s="90">
        <v>38.03</v>
      </c>
      <c r="N867" s="90">
        <v>-84.51</v>
      </c>
      <c r="O867" s="90">
        <v>299.60000000000002</v>
      </c>
      <c r="U867" s="55">
        <v>4</v>
      </c>
      <c r="V867" s="55" t="s">
        <v>1682</v>
      </c>
      <c r="Y867" s="55" t="s">
        <v>579</v>
      </c>
      <c r="Z867" s="55" t="s">
        <v>1346</v>
      </c>
      <c r="AA867" s="90" t="s">
        <v>1675</v>
      </c>
      <c r="AD867" s="90">
        <v>1.05</v>
      </c>
      <c r="AE867" s="90">
        <v>7.3</v>
      </c>
      <c r="AF867" s="90">
        <v>70.2</v>
      </c>
      <c r="AH867" s="55" t="s">
        <v>6378</v>
      </c>
      <c r="AI867" s="168">
        <v>5.48</v>
      </c>
      <c r="AJ867" s="90">
        <v>1.1599999999999999</v>
      </c>
      <c r="AM867" s="55" t="s">
        <v>1303</v>
      </c>
      <c r="AN867" s="185" t="s">
        <v>241</v>
      </c>
      <c r="AO867" s="185" t="s">
        <v>5150</v>
      </c>
      <c r="AQ867" s="55" t="s">
        <v>553</v>
      </c>
      <c r="AR867" s="55" t="s">
        <v>132</v>
      </c>
      <c r="AS867" s="55" t="s">
        <v>132</v>
      </c>
      <c r="AU867" s="181" t="s">
        <v>7494</v>
      </c>
      <c r="AV867" s="185" t="s">
        <v>176</v>
      </c>
      <c r="AX867" s="185" t="s">
        <v>176</v>
      </c>
      <c r="BK867" s="55" t="s">
        <v>5976</v>
      </c>
      <c r="BM867" s="192" t="s">
        <v>119</v>
      </c>
      <c r="BN867" s="55">
        <v>2</v>
      </c>
      <c r="BO867" s="55">
        <v>2</v>
      </c>
      <c r="BQ867" s="55" t="s">
        <v>141</v>
      </c>
      <c r="FT867" s="65">
        <v>0.2</v>
      </c>
      <c r="FU867" s="65">
        <v>0.113</v>
      </c>
      <c r="FX867" s="65" t="s">
        <v>1643</v>
      </c>
      <c r="GP867" s="292" t="s">
        <v>7494</v>
      </c>
      <c r="JU867" s="55" t="s">
        <v>700</v>
      </c>
    </row>
    <row r="868" spans="1:281" x14ac:dyDescent="0.25">
      <c r="A868" s="55">
        <v>867</v>
      </c>
      <c r="B868" s="12" t="s">
        <v>7067</v>
      </c>
      <c r="C868" s="155">
        <v>41</v>
      </c>
      <c r="D868" s="55" t="s">
        <v>3862</v>
      </c>
      <c r="E868" s="90" t="s">
        <v>567</v>
      </c>
      <c r="G868" s="55" t="s">
        <v>568</v>
      </c>
      <c r="H868" s="55">
        <v>1994</v>
      </c>
      <c r="I868" s="55">
        <v>1988</v>
      </c>
      <c r="J868" s="55" t="s">
        <v>397</v>
      </c>
      <c r="K868" s="55" t="s">
        <v>570</v>
      </c>
      <c r="L868" s="55" t="s">
        <v>2737</v>
      </c>
      <c r="M868" s="90">
        <v>38.03</v>
      </c>
      <c r="N868" s="90">
        <v>-84.51</v>
      </c>
      <c r="O868" s="90">
        <v>299.60000000000002</v>
      </c>
      <c r="U868" s="55">
        <v>4</v>
      </c>
      <c r="V868" s="55" t="s">
        <v>1682</v>
      </c>
      <c r="Y868" s="55" t="s">
        <v>210</v>
      </c>
      <c r="Z868" s="55" t="s">
        <v>1346</v>
      </c>
      <c r="AA868" s="90" t="s">
        <v>1675</v>
      </c>
      <c r="AD868" s="90">
        <v>1.05</v>
      </c>
      <c r="AE868" s="90">
        <v>7.3</v>
      </c>
      <c r="AF868" s="90">
        <v>70.2</v>
      </c>
      <c r="AH868" s="55" t="s">
        <v>6378</v>
      </c>
      <c r="AI868" s="168">
        <v>5.48</v>
      </c>
      <c r="AJ868" s="90">
        <v>1.1599999999999999</v>
      </c>
      <c r="AM868" s="55" t="s">
        <v>1303</v>
      </c>
      <c r="AN868" s="185" t="s">
        <v>241</v>
      </c>
      <c r="AO868" s="185" t="s">
        <v>5150</v>
      </c>
      <c r="AQ868" s="55" t="s">
        <v>553</v>
      </c>
      <c r="AR868" s="55" t="s">
        <v>132</v>
      </c>
      <c r="AS868" s="55" t="s">
        <v>132</v>
      </c>
      <c r="AU868" s="181" t="s">
        <v>7494</v>
      </c>
      <c r="AV868" s="185" t="s">
        <v>176</v>
      </c>
      <c r="AX868" s="185" t="s">
        <v>176</v>
      </c>
      <c r="BK868" s="55" t="s">
        <v>5976</v>
      </c>
      <c r="BM868" s="192" t="s">
        <v>119</v>
      </c>
      <c r="BN868" s="55">
        <v>2</v>
      </c>
      <c r="BO868" s="55">
        <v>2</v>
      </c>
      <c r="BQ868" s="55" t="s">
        <v>141</v>
      </c>
      <c r="FT868" s="65">
        <v>0.21</v>
      </c>
      <c r="FU868" s="65">
        <v>0.15</v>
      </c>
      <c r="FX868" s="65" t="s">
        <v>1643</v>
      </c>
      <c r="GP868" s="292" t="s">
        <v>7494</v>
      </c>
      <c r="JU868" s="55" t="s">
        <v>700</v>
      </c>
    </row>
    <row r="869" spans="1:281" x14ac:dyDescent="0.25">
      <c r="A869" s="55">
        <v>868</v>
      </c>
      <c r="B869" s="12" t="s">
        <v>7067</v>
      </c>
      <c r="C869" s="155">
        <v>41</v>
      </c>
      <c r="D869" s="55" t="s">
        <v>3862</v>
      </c>
      <c r="E869" s="90" t="s">
        <v>567</v>
      </c>
      <c r="G869" s="55" t="s">
        <v>568</v>
      </c>
      <c r="H869" s="55">
        <v>1994</v>
      </c>
      <c r="I869" s="55">
        <v>1988</v>
      </c>
      <c r="J869" s="55" t="s">
        <v>397</v>
      </c>
      <c r="K869" s="55" t="s">
        <v>570</v>
      </c>
      <c r="L869" s="55" t="s">
        <v>2737</v>
      </c>
      <c r="M869" s="90">
        <v>38.03</v>
      </c>
      <c r="N869" s="90">
        <v>-84.51</v>
      </c>
      <c r="O869" s="90">
        <v>299.60000000000002</v>
      </c>
      <c r="U869" s="55">
        <v>4</v>
      </c>
      <c r="V869" s="55" t="s">
        <v>1682</v>
      </c>
      <c r="Y869" s="55" t="s">
        <v>576</v>
      </c>
      <c r="Z869" s="55" t="s">
        <v>1346</v>
      </c>
      <c r="AA869" s="90" t="s">
        <v>1675</v>
      </c>
      <c r="AD869" s="90">
        <v>1.05</v>
      </c>
      <c r="AE869" s="90">
        <v>7.3</v>
      </c>
      <c r="AF869" s="90">
        <v>70.2</v>
      </c>
      <c r="AH869" s="55" t="s">
        <v>6378</v>
      </c>
      <c r="AI869" s="168">
        <v>5.48</v>
      </c>
      <c r="AJ869" s="90">
        <v>1.1599999999999999</v>
      </c>
      <c r="AM869" s="55" t="s">
        <v>1303</v>
      </c>
      <c r="AN869" s="185" t="s">
        <v>241</v>
      </c>
      <c r="AO869" s="185" t="s">
        <v>5150</v>
      </c>
      <c r="AQ869" s="55" t="s">
        <v>553</v>
      </c>
      <c r="AR869" s="55" t="s">
        <v>132</v>
      </c>
      <c r="AS869" s="55" t="s">
        <v>132</v>
      </c>
      <c r="AU869" s="181" t="s">
        <v>7494</v>
      </c>
      <c r="AV869" s="185" t="s">
        <v>176</v>
      </c>
      <c r="AX869" s="185" t="s">
        <v>176</v>
      </c>
      <c r="BK869" s="55" t="s">
        <v>5976</v>
      </c>
      <c r="BM869" s="192" t="s">
        <v>119</v>
      </c>
      <c r="BN869" s="55">
        <v>2</v>
      </c>
      <c r="BO869" s="55">
        <v>2</v>
      </c>
      <c r="BQ869" s="55" t="s">
        <v>141</v>
      </c>
      <c r="FT869" s="65">
        <v>0.3</v>
      </c>
      <c r="FU869" s="65">
        <v>0.19</v>
      </c>
      <c r="FX869" s="65" t="s">
        <v>1643</v>
      </c>
      <c r="GP869" s="292" t="s">
        <v>7494</v>
      </c>
      <c r="JU869" s="55" t="s">
        <v>700</v>
      </c>
    </row>
    <row r="870" spans="1:281" x14ac:dyDescent="0.25">
      <c r="A870" s="55">
        <v>869</v>
      </c>
      <c r="B870" s="12" t="s">
        <v>7067</v>
      </c>
      <c r="C870" s="155">
        <v>41</v>
      </c>
      <c r="D870" s="55" t="s">
        <v>3862</v>
      </c>
      <c r="E870" s="90" t="s">
        <v>567</v>
      </c>
      <c r="G870" s="55" t="s">
        <v>568</v>
      </c>
      <c r="H870" s="55">
        <v>1994</v>
      </c>
      <c r="I870" s="55">
        <v>1988</v>
      </c>
      <c r="J870" s="55" t="s">
        <v>397</v>
      </c>
      <c r="K870" s="55" t="s">
        <v>570</v>
      </c>
      <c r="L870" s="55" t="s">
        <v>2737</v>
      </c>
      <c r="M870" s="90">
        <v>38.03</v>
      </c>
      <c r="N870" s="90">
        <v>-84.51</v>
      </c>
      <c r="O870" s="90">
        <v>299.60000000000002</v>
      </c>
      <c r="U870" s="55">
        <v>4</v>
      </c>
      <c r="V870" s="55" t="s">
        <v>1682</v>
      </c>
      <c r="Y870" s="55" t="s">
        <v>200</v>
      </c>
      <c r="Z870" s="55" t="s">
        <v>1346</v>
      </c>
      <c r="AA870" s="90" t="s">
        <v>1675</v>
      </c>
      <c r="AD870" s="90">
        <v>1.05</v>
      </c>
      <c r="AE870" s="90">
        <v>7.3</v>
      </c>
      <c r="AF870" s="90">
        <v>70.2</v>
      </c>
      <c r="AH870" s="55" t="s">
        <v>6378</v>
      </c>
      <c r="AI870" s="168">
        <v>5.48</v>
      </c>
      <c r="AJ870" s="90">
        <v>1.1599999999999999</v>
      </c>
      <c r="AM870" s="55" t="s">
        <v>1303</v>
      </c>
      <c r="AN870" s="185" t="s">
        <v>241</v>
      </c>
      <c r="AO870" s="185" t="s">
        <v>5150</v>
      </c>
      <c r="AQ870" s="55" t="s">
        <v>553</v>
      </c>
      <c r="AR870" s="55" t="s">
        <v>132</v>
      </c>
      <c r="AS870" s="55" t="s">
        <v>132</v>
      </c>
      <c r="AU870" s="181" t="s">
        <v>7494</v>
      </c>
      <c r="AV870" s="185" t="s">
        <v>176</v>
      </c>
      <c r="AX870" s="185" t="s">
        <v>176</v>
      </c>
      <c r="BK870" s="55" t="s">
        <v>5976</v>
      </c>
      <c r="BM870" s="192" t="s">
        <v>119</v>
      </c>
      <c r="BN870" s="55">
        <v>2</v>
      </c>
      <c r="BO870" s="55">
        <v>2</v>
      </c>
      <c r="BQ870" s="55" t="s">
        <v>141</v>
      </c>
      <c r="FT870" s="65">
        <v>0.33150000000000002</v>
      </c>
      <c r="FU870" s="65">
        <v>0.22</v>
      </c>
      <c r="FX870" s="65" t="s">
        <v>1643</v>
      </c>
      <c r="GP870" s="292" t="s">
        <v>7494</v>
      </c>
      <c r="JU870" s="55" t="s">
        <v>700</v>
      </c>
    </row>
    <row r="871" spans="1:281" x14ac:dyDescent="0.25">
      <c r="A871" s="55">
        <v>870</v>
      </c>
      <c r="B871" s="12" t="s">
        <v>7067</v>
      </c>
      <c r="C871" s="155">
        <v>41</v>
      </c>
      <c r="D871" s="55" t="s">
        <v>3862</v>
      </c>
      <c r="E871" s="90" t="s">
        <v>567</v>
      </c>
      <c r="G871" s="55" t="s">
        <v>568</v>
      </c>
      <c r="H871" s="55">
        <v>1994</v>
      </c>
      <c r="I871" s="55">
        <v>1988</v>
      </c>
      <c r="J871" s="55" t="s">
        <v>397</v>
      </c>
      <c r="K871" s="55" t="s">
        <v>570</v>
      </c>
      <c r="L871" s="55" t="s">
        <v>2737</v>
      </c>
      <c r="M871" s="90">
        <v>38.03</v>
      </c>
      <c r="N871" s="90">
        <v>-84.51</v>
      </c>
      <c r="O871" s="90">
        <v>299.60000000000002</v>
      </c>
      <c r="U871" s="55">
        <v>4</v>
      </c>
      <c r="V871" s="55" t="s">
        <v>1682</v>
      </c>
      <c r="Y871" s="55" t="s">
        <v>572</v>
      </c>
      <c r="Z871" s="55" t="s">
        <v>1346</v>
      </c>
      <c r="AA871" s="90" t="s">
        <v>1675</v>
      </c>
      <c r="AD871" s="90">
        <v>1.05</v>
      </c>
      <c r="AE871" s="90">
        <v>7.3</v>
      </c>
      <c r="AF871" s="90">
        <v>70.2</v>
      </c>
      <c r="AH871" s="55" t="s">
        <v>6378</v>
      </c>
      <c r="AI871" s="168">
        <v>5.48</v>
      </c>
      <c r="AJ871" s="90">
        <v>1.1599999999999999</v>
      </c>
      <c r="AM871" s="55" t="s">
        <v>1303</v>
      </c>
      <c r="AN871" s="185" t="s">
        <v>241</v>
      </c>
      <c r="AO871" s="185" t="s">
        <v>5150</v>
      </c>
      <c r="AQ871" s="55" t="s">
        <v>553</v>
      </c>
      <c r="AR871" s="55" t="s">
        <v>132</v>
      </c>
      <c r="AS871" s="55" t="s">
        <v>132</v>
      </c>
      <c r="AU871" s="181" t="s">
        <v>7494</v>
      </c>
      <c r="AV871" s="185" t="s">
        <v>176</v>
      </c>
      <c r="AX871" s="185" t="s">
        <v>176</v>
      </c>
      <c r="BK871" s="55" t="s">
        <v>5976</v>
      </c>
      <c r="BM871" s="192" t="s">
        <v>119</v>
      </c>
      <c r="BN871" s="55">
        <v>2</v>
      </c>
      <c r="BO871" s="55">
        <v>2</v>
      </c>
      <c r="BQ871" s="55" t="s">
        <v>141</v>
      </c>
      <c r="FT871" s="65">
        <v>0.34799999999999998</v>
      </c>
      <c r="FU871" s="65">
        <v>0.25</v>
      </c>
      <c r="FX871" s="65" t="s">
        <v>1643</v>
      </c>
      <c r="GP871" s="292" t="s">
        <v>7494</v>
      </c>
      <c r="JU871" s="55" t="s">
        <v>700</v>
      </c>
    </row>
    <row r="872" spans="1:281" x14ac:dyDescent="0.25">
      <c r="A872" s="55">
        <v>871</v>
      </c>
      <c r="B872" s="12" t="s">
        <v>7067</v>
      </c>
      <c r="C872" s="155">
        <v>41</v>
      </c>
      <c r="D872" s="55" t="s">
        <v>3862</v>
      </c>
      <c r="E872" s="90" t="s">
        <v>567</v>
      </c>
      <c r="G872" s="55" t="s">
        <v>568</v>
      </c>
      <c r="H872" s="55">
        <v>1994</v>
      </c>
      <c r="I872" s="55">
        <v>1988</v>
      </c>
      <c r="J872" s="55" t="s">
        <v>397</v>
      </c>
      <c r="K872" s="55" t="s">
        <v>570</v>
      </c>
      <c r="L872" s="55" t="s">
        <v>2737</v>
      </c>
      <c r="M872" s="90">
        <v>38.03</v>
      </c>
      <c r="N872" s="90">
        <v>-84.51</v>
      </c>
      <c r="O872" s="90">
        <v>299.60000000000002</v>
      </c>
      <c r="U872" s="55">
        <v>4</v>
      </c>
      <c r="V872" s="55" t="s">
        <v>1682</v>
      </c>
      <c r="Y872" s="55" t="s">
        <v>224</v>
      </c>
      <c r="Z872" s="55" t="s">
        <v>1346</v>
      </c>
      <c r="AA872" s="90" t="s">
        <v>1675</v>
      </c>
      <c r="AD872" s="90">
        <v>1.05</v>
      </c>
      <c r="AE872" s="90">
        <v>7.3</v>
      </c>
      <c r="AF872" s="90">
        <v>70.2</v>
      </c>
      <c r="AH872" s="55" t="s">
        <v>6378</v>
      </c>
      <c r="AI872" s="168">
        <v>5.48</v>
      </c>
      <c r="AJ872" s="90">
        <v>1.1599999999999999</v>
      </c>
      <c r="AM872" s="55" t="s">
        <v>1303</v>
      </c>
      <c r="AN872" s="185" t="s">
        <v>241</v>
      </c>
      <c r="AO872" s="185" t="s">
        <v>5150</v>
      </c>
      <c r="AQ872" s="55" t="s">
        <v>553</v>
      </c>
      <c r="AR872" s="55" t="s">
        <v>132</v>
      </c>
      <c r="AS872" s="55" t="s">
        <v>132</v>
      </c>
      <c r="AU872" s="181" t="s">
        <v>7494</v>
      </c>
      <c r="AV872" s="185" t="s">
        <v>176</v>
      </c>
      <c r="AX872" s="185" t="s">
        <v>176</v>
      </c>
      <c r="BK872" s="55" t="s">
        <v>5976</v>
      </c>
      <c r="BM872" s="192" t="s">
        <v>119</v>
      </c>
      <c r="BN872" s="55">
        <v>2</v>
      </c>
      <c r="BO872" s="55">
        <v>2</v>
      </c>
      <c r="BQ872" s="55" t="s">
        <v>141</v>
      </c>
      <c r="FT872" s="65">
        <v>0.36</v>
      </c>
      <c r="FU872" s="65">
        <v>0.24</v>
      </c>
      <c r="FX872" s="65" t="s">
        <v>1643</v>
      </c>
      <c r="GP872" s="292" t="s">
        <v>7494</v>
      </c>
      <c r="JU872" s="55" t="s">
        <v>700</v>
      </c>
    </row>
    <row r="873" spans="1:281" x14ac:dyDescent="0.25">
      <c r="A873" s="55">
        <v>872</v>
      </c>
      <c r="B873" s="12" t="s">
        <v>7067</v>
      </c>
      <c r="C873" s="155">
        <v>41</v>
      </c>
      <c r="D873" s="55" t="s">
        <v>3862</v>
      </c>
      <c r="E873" s="90" t="s">
        <v>567</v>
      </c>
      <c r="G873" s="55" t="s">
        <v>568</v>
      </c>
      <c r="H873" s="55">
        <v>1994</v>
      </c>
      <c r="I873" s="55">
        <v>1988</v>
      </c>
      <c r="J873" s="55" t="s">
        <v>397</v>
      </c>
      <c r="K873" s="55" t="s">
        <v>570</v>
      </c>
      <c r="L873" s="55" t="s">
        <v>2737</v>
      </c>
      <c r="M873" s="90">
        <v>38.03</v>
      </c>
      <c r="N873" s="90">
        <v>-84.51</v>
      </c>
      <c r="O873" s="90">
        <v>299.60000000000002</v>
      </c>
      <c r="U873" s="55">
        <v>4</v>
      </c>
      <c r="V873" s="55" t="s">
        <v>1682</v>
      </c>
      <c r="Y873" s="55" t="s">
        <v>225</v>
      </c>
      <c r="Z873" s="55" t="s">
        <v>1346</v>
      </c>
      <c r="AA873" s="90" t="s">
        <v>1675</v>
      </c>
      <c r="AD873" s="90">
        <v>1.05</v>
      </c>
      <c r="AE873" s="90">
        <v>7.3</v>
      </c>
      <c r="AF873" s="90">
        <v>70.2</v>
      </c>
      <c r="AH873" s="55" t="s">
        <v>6378</v>
      </c>
      <c r="AI873" s="168">
        <v>5.48</v>
      </c>
      <c r="AJ873" s="90">
        <v>1.1599999999999999</v>
      </c>
      <c r="AM873" s="55" t="s">
        <v>1303</v>
      </c>
      <c r="AN873" s="185" t="s">
        <v>241</v>
      </c>
      <c r="AO873" s="185" t="s">
        <v>5150</v>
      </c>
      <c r="AQ873" s="55" t="s">
        <v>553</v>
      </c>
      <c r="AR873" s="55" t="s">
        <v>132</v>
      </c>
      <c r="AS873" s="55" t="s">
        <v>132</v>
      </c>
      <c r="AU873" s="181" t="s">
        <v>7494</v>
      </c>
      <c r="AV873" s="185" t="s">
        <v>176</v>
      </c>
      <c r="AX873" s="185" t="s">
        <v>176</v>
      </c>
      <c r="BK873" s="55" t="s">
        <v>5976</v>
      </c>
      <c r="BM873" s="192" t="s">
        <v>119</v>
      </c>
      <c r="BN873" s="55">
        <v>2</v>
      </c>
      <c r="BO873" s="55">
        <v>2</v>
      </c>
      <c r="BQ873" s="55" t="s">
        <v>141</v>
      </c>
      <c r="FT873" s="65">
        <v>0.37</v>
      </c>
      <c r="FU873" s="65">
        <v>0.22</v>
      </c>
      <c r="FX873" s="65" t="s">
        <v>1643</v>
      </c>
      <c r="GP873" s="292" t="s">
        <v>7494</v>
      </c>
      <c r="JU873" s="55" t="s">
        <v>700</v>
      </c>
    </row>
    <row r="874" spans="1:281" x14ac:dyDescent="0.25">
      <c r="A874" s="55">
        <v>873</v>
      </c>
      <c r="B874" s="12" t="s">
        <v>7067</v>
      </c>
      <c r="C874" s="155">
        <v>41</v>
      </c>
      <c r="D874" s="55" t="s">
        <v>3862</v>
      </c>
      <c r="E874" s="90" t="s">
        <v>567</v>
      </c>
      <c r="G874" s="55" t="s">
        <v>568</v>
      </c>
      <c r="H874" s="55">
        <v>1994</v>
      </c>
      <c r="I874" s="55">
        <v>1988</v>
      </c>
      <c r="J874" s="55" t="s">
        <v>397</v>
      </c>
      <c r="K874" s="55" t="s">
        <v>570</v>
      </c>
      <c r="L874" s="55" t="s">
        <v>2737</v>
      </c>
      <c r="M874" s="90">
        <v>38.03</v>
      </c>
      <c r="N874" s="90">
        <v>-84.51</v>
      </c>
      <c r="O874" s="90">
        <v>299.60000000000002</v>
      </c>
      <c r="U874" s="55">
        <v>4</v>
      </c>
      <c r="V874" s="55" t="s">
        <v>1682</v>
      </c>
      <c r="Y874" s="55" t="s">
        <v>226</v>
      </c>
      <c r="Z874" s="55" t="s">
        <v>1346</v>
      </c>
      <c r="AA874" s="90" t="s">
        <v>1675</v>
      </c>
      <c r="AD874" s="90">
        <v>1.05</v>
      </c>
      <c r="AE874" s="90">
        <v>7.3</v>
      </c>
      <c r="AF874" s="90">
        <v>70.2</v>
      </c>
      <c r="AH874" s="55" t="s">
        <v>6378</v>
      </c>
      <c r="AI874" s="168">
        <v>5.48</v>
      </c>
      <c r="AJ874" s="90">
        <v>1.1599999999999999</v>
      </c>
      <c r="AM874" s="55" t="s">
        <v>1303</v>
      </c>
      <c r="AN874" s="185" t="s">
        <v>241</v>
      </c>
      <c r="AO874" s="185" t="s">
        <v>5150</v>
      </c>
      <c r="AQ874" s="55" t="s">
        <v>553</v>
      </c>
      <c r="AR874" s="55" t="s">
        <v>132</v>
      </c>
      <c r="AS874" s="55" t="s">
        <v>132</v>
      </c>
      <c r="AU874" s="181" t="s">
        <v>7494</v>
      </c>
      <c r="AV874" s="185" t="s">
        <v>176</v>
      </c>
      <c r="AX874" s="185" t="s">
        <v>176</v>
      </c>
      <c r="BK874" s="55" t="s">
        <v>5976</v>
      </c>
      <c r="BM874" s="192" t="s">
        <v>119</v>
      </c>
      <c r="BN874" s="55">
        <v>2</v>
      </c>
      <c r="BO874" s="55">
        <v>2</v>
      </c>
      <c r="BQ874" s="55" t="s">
        <v>141</v>
      </c>
      <c r="FT874" s="65">
        <v>0.41199999999999998</v>
      </c>
      <c r="FU874" s="65">
        <v>0.187</v>
      </c>
      <c r="FX874" s="65" t="s">
        <v>1643</v>
      </c>
      <c r="GP874" s="292" t="s">
        <v>7494</v>
      </c>
      <c r="JU874" s="55" t="s">
        <v>700</v>
      </c>
    </row>
    <row r="875" spans="1:281" x14ac:dyDescent="0.25">
      <c r="A875" s="55">
        <v>874</v>
      </c>
      <c r="B875" s="12" t="s">
        <v>7067</v>
      </c>
      <c r="C875" s="155">
        <v>41</v>
      </c>
      <c r="D875" s="55" t="s">
        <v>3862</v>
      </c>
      <c r="E875" s="90" t="s">
        <v>567</v>
      </c>
      <c r="G875" s="55" t="s">
        <v>568</v>
      </c>
      <c r="H875" s="55">
        <v>1994</v>
      </c>
      <c r="I875" s="55">
        <v>1988</v>
      </c>
      <c r="J875" s="55" t="s">
        <v>397</v>
      </c>
      <c r="K875" s="55" t="s">
        <v>570</v>
      </c>
      <c r="L875" s="55" t="s">
        <v>2737</v>
      </c>
      <c r="M875" s="90">
        <v>38.03</v>
      </c>
      <c r="N875" s="90">
        <v>-84.51</v>
      </c>
      <c r="O875" s="90">
        <v>299.60000000000002</v>
      </c>
      <c r="U875" s="55">
        <v>4</v>
      </c>
      <c r="V875" s="55" t="s">
        <v>1682</v>
      </c>
      <c r="Y875" s="55" t="s">
        <v>574</v>
      </c>
      <c r="Z875" s="55" t="s">
        <v>1346</v>
      </c>
      <c r="AA875" s="90" t="s">
        <v>1675</v>
      </c>
      <c r="AD875" s="90">
        <v>1.05</v>
      </c>
      <c r="AE875" s="90">
        <v>7.3</v>
      </c>
      <c r="AF875" s="90">
        <v>70.2</v>
      </c>
      <c r="AH875" s="55" t="s">
        <v>6378</v>
      </c>
      <c r="AI875" s="168">
        <v>5.48</v>
      </c>
      <c r="AJ875" s="90">
        <v>1.1599999999999999</v>
      </c>
      <c r="AM875" s="55" t="s">
        <v>1303</v>
      </c>
      <c r="AN875" s="185" t="s">
        <v>241</v>
      </c>
      <c r="AO875" s="185" t="s">
        <v>5150</v>
      </c>
      <c r="AQ875" s="55" t="s">
        <v>553</v>
      </c>
      <c r="AR875" s="55" t="s">
        <v>132</v>
      </c>
      <c r="AS875" s="55" t="s">
        <v>132</v>
      </c>
      <c r="AU875" s="181" t="s">
        <v>7494</v>
      </c>
      <c r="AV875" s="185" t="s">
        <v>176</v>
      </c>
      <c r="AX875" s="185" t="s">
        <v>176</v>
      </c>
      <c r="BK875" s="55" t="s">
        <v>5976</v>
      </c>
      <c r="BM875" s="192" t="s">
        <v>119</v>
      </c>
      <c r="BN875" s="55">
        <v>2</v>
      </c>
      <c r="BO875" s="55">
        <v>2</v>
      </c>
      <c r="BQ875" s="55" t="s">
        <v>141</v>
      </c>
      <c r="FT875" s="65">
        <v>0.40960000000000002</v>
      </c>
      <c r="FU875" s="65">
        <v>0.215</v>
      </c>
      <c r="FX875" s="65" t="s">
        <v>1643</v>
      </c>
      <c r="GP875" s="292" t="s">
        <v>7494</v>
      </c>
      <c r="JU875" s="55" t="s">
        <v>700</v>
      </c>
    </row>
    <row r="876" spans="1:281" x14ac:dyDescent="0.25">
      <c r="A876" s="55">
        <v>875</v>
      </c>
      <c r="B876" s="12" t="s">
        <v>7067</v>
      </c>
      <c r="C876" s="155">
        <v>41</v>
      </c>
      <c r="D876" s="55" t="s">
        <v>3862</v>
      </c>
      <c r="E876" s="90" t="s">
        <v>567</v>
      </c>
      <c r="G876" s="55" t="s">
        <v>568</v>
      </c>
      <c r="H876" s="55">
        <v>1994</v>
      </c>
      <c r="I876" s="55">
        <v>1988</v>
      </c>
      <c r="J876" s="55" t="s">
        <v>397</v>
      </c>
      <c r="K876" s="55" t="s">
        <v>570</v>
      </c>
      <c r="L876" s="55" t="s">
        <v>2737</v>
      </c>
      <c r="M876" s="90">
        <v>38.03</v>
      </c>
      <c r="N876" s="90">
        <v>-84.51</v>
      </c>
      <c r="O876" s="90">
        <v>299.60000000000002</v>
      </c>
      <c r="U876" s="55">
        <v>4</v>
      </c>
      <c r="V876" s="55" t="s">
        <v>1682</v>
      </c>
      <c r="Y876" s="55" t="s">
        <v>495</v>
      </c>
      <c r="Z876" s="55" t="s">
        <v>1346</v>
      </c>
      <c r="AA876" s="90" t="s">
        <v>1675</v>
      </c>
      <c r="AD876" s="90">
        <v>1.05</v>
      </c>
      <c r="AE876" s="90">
        <v>7.3</v>
      </c>
      <c r="AF876" s="90">
        <v>70.2</v>
      </c>
      <c r="AH876" s="55" t="s">
        <v>6378</v>
      </c>
      <c r="AI876" s="168">
        <v>5.48</v>
      </c>
      <c r="AJ876" s="90">
        <v>1.1599999999999999</v>
      </c>
      <c r="AM876" s="55" t="s">
        <v>1303</v>
      </c>
      <c r="AN876" s="185" t="s">
        <v>241</v>
      </c>
      <c r="AO876" s="185" t="s">
        <v>5150</v>
      </c>
      <c r="AQ876" s="55" t="s">
        <v>553</v>
      </c>
      <c r="AR876" s="55" t="s">
        <v>132</v>
      </c>
      <c r="AS876" s="55" t="s">
        <v>132</v>
      </c>
      <c r="AU876" s="181" t="s">
        <v>7494</v>
      </c>
      <c r="AV876" s="185" t="s">
        <v>176</v>
      </c>
      <c r="AX876" s="185" t="s">
        <v>176</v>
      </c>
      <c r="BK876" s="55" t="s">
        <v>5976</v>
      </c>
      <c r="BM876" s="192" t="s">
        <v>119</v>
      </c>
      <c r="BN876" s="55">
        <v>2</v>
      </c>
      <c r="BO876" s="55">
        <v>2</v>
      </c>
      <c r="BQ876" s="55" t="s">
        <v>141</v>
      </c>
      <c r="FT876" s="65">
        <v>0.41899999999999998</v>
      </c>
      <c r="FU876" s="65">
        <v>0.253</v>
      </c>
      <c r="FX876" s="65" t="s">
        <v>1643</v>
      </c>
      <c r="GP876" s="292" t="s">
        <v>7494</v>
      </c>
      <c r="JU876" s="55" t="s">
        <v>700</v>
      </c>
    </row>
    <row r="877" spans="1:281" x14ac:dyDescent="0.25">
      <c r="A877" s="55">
        <v>876</v>
      </c>
      <c r="B877" s="12" t="s">
        <v>7067</v>
      </c>
      <c r="C877" s="155">
        <v>41</v>
      </c>
      <c r="D877" s="55" t="s">
        <v>3862</v>
      </c>
      <c r="E877" s="90" t="s">
        <v>567</v>
      </c>
      <c r="G877" s="55" t="s">
        <v>568</v>
      </c>
      <c r="H877" s="55">
        <v>1994</v>
      </c>
      <c r="I877" s="55">
        <v>1988</v>
      </c>
      <c r="J877" s="55" t="s">
        <v>397</v>
      </c>
      <c r="K877" s="55" t="s">
        <v>570</v>
      </c>
      <c r="L877" s="55" t="s">
        <v>2737</v>
      </c>
      <c r="M877" s="90">
        <v>38.03</v>
      </c>
      <c r="N877" s="90">
        <v>-84.51</v>
      </c>
      <c r="O877" s="90">
        <v>299.60000000000002</v>
      </c>
      <c r="U877" s="55">
        <v>4</v>
      </c>
      <c r="V877" s="55" t="s">
        <v>1682</v>
      </c>
      <c r="Y877" s="55" t="s">
        <v>575</v>
      </c>
      <c r="Z877" s="55" t="s">
        <v>1346</v>
      </c>
      <c r="AA877" s="90" t="s">
        <v>1675</v>
      </c>
      <c r="AD877" s="90">
        <v>1.05</v>
      </c>
      <c r="AE877" s="90">
        <v>7.3</v>
      </c>
      <c r="AF877" s="90">
        <v>70.2</v>
      </c>
      <c r="AH877" s="55" t="s">
        <v>6378</v>
      </c>
      <c r="AI877" s="168">
        <v>5.48</v>
      </c>
      <c r="AJ877" s="90">
        <v>1.1599999999999999</v>
      </c>
      <c r="AM877" s="55" t="s">
        <v>1303</v>
      </c>
      <c r="AN877" s="185" t="s">
        <v>241</v>
      </c>
      <c r="AO877" s="185" t="s">
        <v>5150</v>
      </c>
      <c r="AQ877" s="55" t="s">
        <v>553</v>
      </c>
      <c r="AR877" s="55" t="s">
        <v>132</v>
      </c>
      <c r="AS877" s="55" t="s">
        <v>132</v>
      </c>
      <c r="AU877" s="181" t="s">
        <v>7494</v>
      </c>
      <c r="AV877" s="185" t="s">
        <v>176</v>
      </c>
      <c r="AX877" s="185" t="s">
        <v>176</v>
      </c>
      <c r="BK877" s="55" t="s">
        <v>5976</v>
      </c>
      <c r="BM877" s="192" t="s">
        <v>119</v>
      </c>
      <c r="BN877" s="55">
        <v>2</v>
      </c>
      <c r="BO877" s="55">
        <v>2</v>
      </c>
      <c r="BQ877" s="55" t="s">
        <v>141</v>
      </c>
      <c r="FT877" s="65">
        <v>0.48299999999999998</v>
      </c>
      <c r="FU877" s="65">
        <v>0.40699999999999997</v>
      </c>
      <c r="FX877" s="65" t="s">
        <v>1643</v>
      </c>
      <c r="GP877" s="292" t="s">
        <v>7494</v>
      </c>
      <c r="JU877" s="55" t="s">
        <v>700</v>
      </c>
    </row>
    <row r="878" spans="1:281" x14ac:dyDescent="0.25">
      <c r="A878" s="55">
        <v>877</v>
      </c>
      <c r="B878" s="12" t="s">
        <v>7067</v>
      </c>
      <c r="C878" s="155">
        <v>41</v>
      </c>
      <c r="D878" s="55" t="s">
        <v>3862</v>
      </c>
      <c r="E878" s="90" t="s">
        <v>567</v>
      </c>
      <c r="G878" s="55" t="s">
        <v>568</v>
      </c>
      <c r="H878" s="55">
        <v>1994</v>
      </c>
      <c r="I878" s="55">
        <v>1989</v>
      </c>
      <c r="J878" s="55" t="s">
        <v>397</v>
      </c>
      <c r="K878" s="55" t="s">
        <v>570</v>
      </c>
      <c r="L878" s="55" t="s">
        <v>2737</v>
      </c>
      <c r="M878" s="90">
        <v>38.03</v>
      </c>
      <c r="N878" s="90">
        <v>-84.51</v>
      </c>
      <c r="O878" s="90">
        <v>299.60000000000002</v>
      </c>
      <c r="U878" s="55">
        <v>5</v>
      </c>
      <c r="V878" s="55" t="s">
        <v>1682</v>
      </c>
      <c r="Y878" s="55" t="s">
        <v>578</v>
      </c>
      <c r="Z878" s="55" t="s">
        <v>1346</v>
      </c>
      <c r="AA878" s="90" t="s">
        <v>1675</v>
      </c>
      <c r="AD878" s="90">
        <v>1.05</v>
      </c>
      <c r="AE878" s="90">
        <v>7.3</v>
      </c>
      <c r="AF878" s="90">
        <v>70.2</v>
      </c>
      <c r="AH878" s="55" t="s">
        <v>6378</v>
      </c>
      <c r="AI878" s="168">
        <v>5.48</v>
      </c>
      <c r="AJ878" s="90">
        <v>1.1599999999999999</v>
      </c>
      <c r="AM878" s="55" t="s">
        <v>1303</v>
      </c>
      <c r="AN878" s="185" t="s">
        <v>241</v>
      </c>
      <c r="AO878" s="185" t="s">
        <v>5150</v>
      </c>
      <c r="AQ878" s="55" t="s">
        <v>553</v>
      </c>
      <c r="AR878" s="55" t="s">
        <v>132</v>
      </c>
      <c r="AS878" s="55" t="s">
        <v>132</v>
      </c>
      <c r="AU878" s="181" t="s">
        <v>7494</v>
      </c>
      <c r="AV878" s="185" t="s">
        <v>176</v>
      </c>
      <c r="AX878" s="185" t="s">
        <v>176</v>
      </c>
      <c r="BK878" s="55" t="s">
        <v>5976</v>
      </c>
      <c r="BM878" s="192" t="s">
        <v>119</v>
      </c>
      <c r="BN878" s="55">
        <v>2</v>
      </c>
      <c r="BO878" s="55">
        <v>2</v>
      </c>
      <c r="BQ878" s="55" t="s">
        <v>141</v>
      </c>
      <c r="FT878" s="65">
        <v>0.01</v>
      </c>
      <c r="FU878" s="65">
        <v>0.01</v>
      </c>
      <c r="FX878" s="65" t="s">
        <v>1643</v>
      </c>
      <c r="GP878" s="292" t="s">
        <v>7494</v>
      </c>
      <c r="JU878" s="55" t="s">
        <v>700</v>
      </c>
    </row>
    <row r="879" spans="1:281" x14ac:dyDescent="0.25">
      <c r="A879" s="55">
        <v>878</v>
      </c>
      <c r="B879" s="12" t="s">
        <v>7067</v>
      </c>
      <c r="C879" s="155">
        <v>41</v>
      </c>
      <c r="D879" s="55" t="s">
        <v>3862</v>
      </c>
      <c r="E879" s="90" t="s">
        <v>567</v>
      </c>
      <c r="G879" s="55" t="s">
        <v>568</v>
      </c>
      <c r="H879" s="55">
        <v>1994</v>
      </c>
      <c r="I879" s="55">
        <v>1989</v>
      </c>
      <c r="J879" s="55" t="s">
        <v>397</v>
      </c>
      <c r="K879" s="55" t="s">
        <v>570</v>
      </c>
      <c r="L879" s="55" t="s">
        <v>2737</v>
      </c>
      <c r="M879" s="90">
        <v>38.03</v>
      </c>
      <c r="N879" s="90">
        <v>-84.51</v>
      </c>
      <c r="O879" s="90">
        <v>299.60000000000002</v>
      </c>
      <c r="U879" s="55">
        <v>5</v>
      </c>
      <c r="V879" s="55" t="s">
        <v>1682</v>
      </c>
      <c r="Y879" s="55" t="s">
        <v>579</v>
      </c>
      <c r="Z879" s="55" t="s">
        <v>1346</v>
      </c>
      <c r="AA879" s="90" t="s">
        <v>1675</v>
      </c>
      <c r="AD879" s="90">
        <v>1.05</v>
      </c>
      <c r="AE879" s="90">
        <v>7.3</v>
      </c>
      <c r="AF879" s="90">
        <v>70.2</v>
      </c>
      <c r="AH879" s="55" t="s">
        <v>6378</v>
      </c>
      <c r="AI879" s="168">
        <v>5.48</v>
      </c>
      <c r="AJ879" s="90">
        <v>1.1599999999999999</v>
      </c>
      <c r="AM879" s="55" t="s">
        <v>1303</v>
      </c>
      <c r="AN879" s="185" t="s">
        <v>241</v>
      </c>
      <c r="AO879" s="185" t="s">
        <v>5150</v>
      </c>
      <c r="AQ879" s="55" t="s">
        <v>553</v>
      </c>
      <c r="AR879" s="55" t="s">
        <v>132</v>
      </c>
      <c r="AS879" s="55" t="s">
        <v>132</v>
      </c>
      <c r="AU879" s="181" t="s">
        <v>7494</v>
      </c>
      <c r="AV879" s="185" t="s">
        <v>176</v>
      </c>
      <c r="AX879" s="185" t="s">
        <v>176</v>
      </c>
      <c r="BK879" s="55" t="s">
        <v>5976</v>
      </c>
      <c r="BM879" s="192" t="s">
        <v>119</v>
      </c>
      <c r="BN879" s="55">
        <v>2</v>
      </c>
      <c r="BO879" s="55">
        <v>2</v>
      </c>
      <c r="BQ879" s="55" t="s">
        <v>141</v>
      </c>
      <c r="FT879" s="65">
        <v>0.01</v>
      </c>
      <c r="FU879" s="65">
        <v>0.03</v>
      </c>
      <c r="FX879" s="65" t="s">
        <v>1643</v>
      </c>
      <c r="GP879" s="292" t="s">
        <v>7494</v>
      </c>
      <c r="JU879" s="55" t="s">
        <v>700</v>
      </c>
    </row>
    <row r="880" spans="1:281" x14ac:dyDescent="0.25">
      <c r="A880" s="55">
        <v>879</v>
      </c>
      <c r="B880" s="12" t="s">
        <v>7067</v>
      </c>
      <c r="C880" s="155">
        <v>41</v>
      </c>
      <c r="D880" s="55" t="s">
        <v>3862</v>
      </c>
      <c r="E880" s="90" t="s">
        <v>567</v>
      </c>
      <c r="G880" s="55" t="s">
        <v>568</v>
      </c>
      <c r="H880" s="55">
        <v>1994</v>
      </c>
      <c r="I880" s="55">
        <v>1989</v>
      </c>
      <c r="J880" s="55" t="s">
        <v>397</v>
      </c>
      <c r="K880" s="55" t="s">
        <v>570</v>
      </c>
      <c r="L880" s="55" t="s">
        <v>2737</v>
      </c>
      <c r="M880" s="90">
        <v>38.03</v>
      </c>
      <c r="N880" s="90">
        <v>-84.51</v>
      </c>
      <c r="O880" s="90">
        <v>299.60000000000002</v>
      </c>
      <c r="U880" s="55">
        <v>5</v>
      </c>
      <c r="V880" s="55" t="s">
        <v>1682</v>
      </c>
      <c r="Y880" s="55" t="s">
        <v>210</v>
      </c>
      <c r="Z880" s="55" t="s">
        <v>1346</v>
      </c>
      <c r="AA880" s="90" t="s">
        <v>1675</v>
      </c>
      <c r="AD880" s="90">
        <v>1.05</v>
      </c>
      <c r="AE880" s="90">
        <v>7.3</v>
      </c>
      <c r="AF880" s="90">
        <v>70.2</v>
      </c>
      <c r="AH880" s="55" t="s">
        <v>6378</v>
      </c>
      <c r="AI880" s="168">
        <v>5.48</v>
      </c>
      <c r="AJ880" s="90">
        <v>1.1599999999999999</v>
      </c>
      <c r="AM880" s="55" t="s">
        <v>1303</v>
      </c>
      <c r="AN880" s="185" t="s">
        <v>241</v>
      </c>
      <c r="AO880" s="185" t="s">
        <v>5150</v>
      </c>
      <c r="AQ880" s="55" t="s">
        <v>553</v>
      </c>
      <c r="AR880" s="55" t="s">
        <v>132</v>
      </c>
      <c r="AS880" s="55" t="s">
        <v>132</v>
      </c>
      <c r="AU880" s="181" t="s">
        <v>7494</v>
      </c>
      <c r="AV880" s="185" t="s">
        <v>176</v>
      </c>
      <c r="AX880" s="185" t="s">
        <v>176</v>
      </c>
      <c r="BK880" s="55" t="s">
        <v>5976</v>
      </c>
      <c r="BM880" s="192" t="s">
        <v>119</v>
      </c>
      <c r="BN880" s="55">
        <v>2</v>
      </c>
      <c r="BO880" s="55">
        <v>2</v>
      </c>
      <c r="BQ880" s="55" t="s">
        <v>141</v>
      </c>
      <c r="FT880" s="65">
        <v>0.01</v>
      </c>
      <c r="FU880" s="65">
        <v>0.04</v>
      </c>
      <c r="FX880" s="65" t="s">
        <v>1643</v>
      </c>
      <c r="GP880" s="292" t="s">
        <v>7494</v>
      </c>
      <c r="JU880" s="55" t="s">
        <v>700</v>
      </c>
    </row>
    <row r="881" spans="1:281" x14ac:dyDescent="0.25">
      <c r="A881" s="55">
        <v>880</v>
      </c>
      <c r="B881" s="12" t="s">
        <v>7067</v>
      </c>
      <c r="C881" s="155">
        <v>41</v>
      </c>
      <c r="D881" s="55" t="s">
        <v>3862</v>
      </c>
      <c r="E881" s="90" t="s">
        <v>567</v>
      </c>
      <c r="G881" s="55" t="s">
        <v>568</v>
      </c>
      <c r="H881" s="55">
        <v>1994</v>
      </c>
      <c r="I881" s="55">
        <v>1989</v>
      </c>
      <c r="J881" s="55" t="s">
        <v>397</v>
      </c>
      <c r="K881" s="55" t="s">
        <v>570</v>
      </c>
      <c r="L881" s="55" t="s">
        <v>2737</v>
      </c>
      <c r="M881" s="90">
        <v>38.03</v>
      </c>
      <c r="N881" s="90">
        <v>-84.51</v>
      </c>
      <c r="O881" s="90">
        <v>299.60000000000002</v>
      </c>
      <c r="U881" s="55">
        <v>5</v>
      </c>
      <c r="V881" s="55" t="s">
        <v>1682</v>
      </c>
      <c r="Y881" s="55" t="s">
        <v>576</v>
      </c>
      <c r="Z881" s="55" t="s">
        <v>1346</v>
      </c>
      <c r="AA881" s="90" t="s">
        <v>1675</v>
      </c>
      <c r="AD881" s="90">
        <v>1.05</v>
      </c>
      <c r="AE881" s="90">
        <v>7.3</v>
      </c>
      <c r="AF881" s="90">
        <v>70.2</v>
      </c>
      <c r="AH881" s="55" t="s">
        <v>6378</v>
      </c>
      <c r="AI881" s="168">
        <v>5.48</v>
      </c>
      <c r="AJ881" s="90">
        <v>1.1599999999999999</v>
      </c>
      <c r="AM881" s="55" t="s">
        <v>1303</v>
      </c>
      <c r="AN881" s="185" t="s">
        <v>241</v>
      </c>
      <c r="AO881" s="185" t="s">
        <v>5150</v>
      </c>
      <c r="AQ881" s="55" t="s">
        <v>553</v>
      </c>
      <c r="AR881" s="55" t="s">
        <v>132</v>
      </c>
      <c r="AS881" s="55" t="s">
        <v>132</v>
      </c>
      <c r="AU881" s="181" t="s">
        <v>7494</v>
      </c>
      <c r="AV881" s="185" t="s">
        <v>176</v>
      </c>
      <c r="AX881" s="185" t="s">
        <v>176</v>
      </c>
      <c r="BK881" s="55" t="s">
        <v>5976</v>
      </c>
      <c r="BM881" s="192" t="s">
        <v>119</v>
      </c>
      <c r="BN881" s="55">
        <v>2</v>
      </c>
      <c r="BO881" s="55">
        <v>2</v>
      </c>
      <c r="BQ881" s="55" t="s">
        <v>141</v>
      </c>
      <c r="FT881" s="65">
        <v>2.7E-2</v>
      </c>
      <c r="FU881" s="65">
        <v>0.01</v>
      </c>
      <c r="FX881" s="65" t="s">
        <v>1643</v>
      </c>
      <c r="GP881" s="292" t="s">
        <v>7494</v>
      </c>
      <c r="JU881" s="55" t="s">
        <v>700</v>
      </c>
    </row>
    <row r="882" spans="1:281" x14ac:dyDescent="0.25">
      <c r="A882" s="55">
        <v>881</v>
      </c>
      <c r="B882" s="12" t="s">
        <v>7067</v>
      </c>
      <c r="C882" s="155">
        <v>41</v>
      </c>
      <c r="D882" s="55" t="s">
        <v>3862</v>
      </c>
      <c r="E882" s="90" t="s">
        <v>567</v>
      </c>
      <c r="G882" s="55" t="s">
        <v>568</v>
      </c>
      <c r="H882" s="55">
        <v>1994</v>
      </c>
      <c r="I882" s="55">
        <v>1989</v>
      </c>
      <c r="J882" s="55" t="s">
        <v>397</v>
      </c>
      <c r="K882" s="55" t="s">
        <v>570</v>
      </c>
      <c r="L882" s="55" t="s">
        <v>2737</v>
      </c>
      <c r="M882" s="90">
        <v>38.03</v>
      </c>
      <c r="N882" s="90">
        <v>-84.51</v>
      </c>
      <c r="O882" s="90">
        <v>299.60000000000002</v>
      </c>
      <c r="U882" s="55">
        <v>5</v>
      </c>
      <c r="V882" s="55" t="s">
        <v>1682</v>
      </c>
      <c r="Y882" s="55" t="s">
        <v>200</v>
      </c>
      <c r="Z882" s="55" t="s">
        <v>1346</v>
      </c>
      <c r="AA882" s="90" t="s">
        <v>1675</v>
      </c>
      <c r="AD882" s="90">
        <v>1.05</v>
      </c>
      <c r="AE882" s="90">
        <v>7.3</v>
      </c>
      <c r="AF882" s="90">
        <v>70.2</v>
      </c>
      <c r="AH882" s="55" t="s">
        <v>6378</v>
      </c>
      <c r="AI882" s="168">
        <v>5.48</v>
      </c>
      <c r="AJ882" s="90">
        <v>1.1599999999999999</v>
      </c>
      <c r="AM882" s="55" t="s">
        <v>1303</v>
      </c>
      <c r="AN882" s="185" t="s">
        <v>241</v>
      </c>
      <c r="AO882" s="185" t="s">
        <v>5150</v>
      </c>
      <c r="AQ882" s="55" t="s">
        <v>553</v>
      </c>
      <c r="AR882" s="55" t="s">
        <v>132</v>
      </c>
      <c r="AS882" s="55" t="s">
        <v>132</v>
      </c>
      <c r="AU882" s="181" t="s">
        <v>7494</v>
      </c>
      <c r="AV882" s="185" t="s">
        <v>176</v>
      </c>
      <c r="AX882" s="185" t="s">
        <v>176</v>
      </c>
      <c r="BK882" s="55" t="s">
        <v>5976</v>
      </c>
      <c r="BM882" s="192" t="s">
        <v>119</v>
      </c>
      <c r="BN882" s="55">
        <v>2</v>
      </c>
      <c r="BO882" s="55">
        <v>2</v>
      </c>
      <c r="BQ882" s="55" t="s">
        <v>141</v>
      </c>
      <c r="FT882" s="65">
        <v>5.0999999999999997E-2</v>
      </c>
      <c r="FU882" s="65">
        <v>0.01</v>
      </c>
      <c r="FX882" s="65" t="s">
        <v>1643</v>
      </c>
      <c r="GP882" s="292" t="s">
        <v>7494</v>
      </c>
      <c r="JU882" s="55" t="s">
        <v>700</v>
      </c>
    </row>
    <row r="883" spans="1:281" x14ac:dyDescent="0.25">
      <c r="A883" s="55">
        <v>882</v>
      </c>
      <c r="B883" s="12" t="s">
        <v>7067</v>
      </c>
      <c r="C883" s="155">
        <v>41</v>
      </c>
      <c r="D883" s="55" t="s">
        <v>3862</v>
      </c>
      <c r="E883" s="90" t="s">
        <v>567</v>
      </c>
      <c r="G883" s="55" t="s">
        <v>568</v>
      </c>
      <c r="H883" s="55">
        <v>1994</v>
      </c>
      <c r="I883" s="55">
        <v>1989</v>
      </c>
      <c r="J883" s="55" t="s">
        <v>397</v>
      </c>
      <c r="K883" s="55" t="s">
        <v>570</v>
      </c>
      <c r="L883" s="55" t="s">
        <v>2737</v>
      </c>
      <c r="M883" s="90">
        <v>38.03</v>
      </c>
      <c r="N883" s="90">
        <v>-84.51</v>
      </c>
      <c r="O883" s="90">
        <v>299.60000000000002</v>
      </c>
      <c r="U883" s="55">
        <v>5</v>
      </c>
      <c r="V883" s="55" t="s">
        <v>1682</v>
      </c>
      <c r="Y883" s="55" t="s">
        <v>572</v>
      </c>
      <c r="Z883" s="55" t="s">
        <v>1346</v>
      </c>
      <c r="AA883" s="90" t="s">
        <v>1675</v>
      </c>
      <c r="AD883" s="90">
        <v>1.05</v>
      </c>
      <c r="AE883" s="90">
        <v>7.3</v>
      </c>
      <c r="AF883" s="90">
        <v>70.2</v>
      </c>
      <c r="AH883" s="55" t="s">
        <v>6378</v>
      </c>
      <c r="AI883" s="168">
        <v>5.48</v>
      </c>
      <c r="AJ883" s="90">
        <v>1.1599999999999999</v>
      </c>
      <c r="AM883" s="55" t="s">
        <v>1303</v>
      </c>
      <c r="AN883" s="185" t="s">
        <v>241</v>
      </c>
      <c r="AO883" s="185" t="s">
        <v>5150</v>
      </c>
      <c r="AQ883" s="55" t="s">
        <v>553</v>
      </c>
      <c r="AR883" s="55" t="s">
        <v>132</v>
      </c>
      <c r="AS883" s="55" t="s">
        <v>132</v>
      </c>
      <c r="AU883" s="181" t="s">
        <v>7494</v>
      </c>
      <c r="AV883" s="185" t="s">
        <v>176</v>
      </c>
      <c r="AX883" s="185" t="s">
        <v>176</v>
      </c>
      <c r="BK883" s="55" t="s">
        <v>5976</v>
      </c>
      <c r="BM883" s="192" t="s">
        <v>119</v>
      </c>
      <c r="BN883" s="55">
        <v>2</v>
      </c>
      <c r="BO883" s="55">
        <v>2</v>
      </c>
      <c r="BQ883" s="55" t="s">
        <v>141</v>
      </c>
      <c r="FT883" s="65">
        <v>8.4000000000000005E-2</v>
      </c>
      <c r="FU883" s="65">
        <v>0.02</v>
      </c>
      <c r="FX883" s="65" t="s">
        <v>1643</v>
      </c>
      <c r="GP883" s="292" t="s">
        <v>7494</v>
      </c>
      <c r="JU883" s="55" t="s">
        <v>700</v>
      </c>
    </row>
    <row r="884" spans="1:281" x14ac:dyDescent="0.25">
      <c r="A884" s="55">
        <v>883</v>
      </c>
      <c r="B884" s="12" t="s">
        <v>7067</v>
      </c>
      <c r="C884" s="155">
        <v>41</v>
      </c>
      <c r="D884" s="55" t="s">
        <v>3862</v>
      </c>
      <c r="E884" s="90" t="s">
        <v>567</v>
      </c>
      <c r="G884" s="55" t="s">
        <v>568</v>
      </c>
      <c r="H884" s="55">
        <v>1994</v>
      </c>
      <c r="I884" s="55">
        <v>1989</v>
      </c>
      <c r="J884" s="55" t="s">
        <v>397</v>
      </c>
      <c r="K884" s="55" t="s">
        <v>570</v>
      </c>
      <c r="L884" s="55" t="s">
        <v>2737</v>
      </c>
      <c r="M884" s="90">
        <v>38.03</v>
      </c>
      <c r="N884" s="90">
        <v>-84.51</v>
      </c>
      <c r="O884" s="90">
        <v>299.60000000000002</v>
      </c>
      <c r="U884" s="55">
        <v>5</v>
      </c>
      <c r="V884" s="55" t="s">
        <v>1682</v>
      </c>
      <c r="Y884" s="55" t="s">
        <v>224</v>
      </c>
      <c r="Z884" s="55" t="s">
        <v>1346</v>
      </c>
      <c r="AA884" s="90" t="s">
        <v>1675</v>
      </c>
      <c r="AD884" s="90">
        <v>1.05</v>
      </c>
      <c r="AE884" s="90">
        <v>7.3</v>
      </c>
      <c r="AF884" s="90">
        <v>70.2</v>
      </c>
      <c r="AH884" s="55" t="s">
        <v>6378</v>
      </c>
      <c r="AI884" s="168">
        <v>5.48</v>
      </c>
      <c r="AJ884" s="90">
        <v>1.1599999999999999</v>
      </c>
      <c r="AM884" s="55" t="s">
        <v>1303</v>
      </c>
      <c r="AN884" s="185" t="s">
        <v>241</v>
      </c>
      <c r="AO884" s="185" t="s">
        <v>5150</v>
      </c>
      <c r="AQ884" s="55" t="s">
        <v>553</v>
      </c>
      <c r="AR884" s="55" t="s">
        <v>132</v>
      </c>
      <c r="AS884" s="55" t="s">
        <v>132</v>
      </c>
      <c r="AU884" s="181" t="s">
        <v>7494</v>
      </c>
      <c r="AV884" s="185" t="s">
        <v>176</v>
      </c>
      <c r="AX884" s="185" t="s">
        <v>176</v>
      </c>
      <c r="BK884" s="55" t="s">
        <v>5976</v>
      </c>
      <c r="BM884" s="192" t="s">
        <v>119</v>
      </c>
      <c r="BN884" s="55">
        <v>2</v>
      </c>
      <c r="BO884" s="55">
        <v>2</v>
      </c>
      <c r="BQ884" s="55" t="s">
        <v>141</v>
      </c>
      <c r="FT884" s="65">
        <v>9.8000000000000004E-2</v>
      </c>
      <c r="FU884" s="65">
        <v>0.02</v>
      </c>
      <c r="FX884" s="65" t="s">
        <v>1643</v>
      </c>
      <c r="GP884" s="292" t="s">
        <v>7494</v>
      </c>
      <c r="JU884" s="55" t="s">
        <v>700</v>
      </c>
    </row>
    <row r="885" spans="1:281" x14ac:dyDescent="0.25">
      <c r="A885" s="55">
        <v>884</v>
      </c>
      <c r="B885" s="12" t="s">
        <v>7067</v>
      </c>
      <c r="C885" s="155">
        <v>42</v>
      </c>
      <c r="D885" s="55" t="s">
        <v>3863</v>
      </c>
      <c r="E885" s="90" t="s">
        <v>580</v>
      </c>
      <c r="G885" s="55" t="s">
        <v>581</v>
      </c>
      <c r="H885" s="55">
        <v>1989</v>
      </c>
      <c r="I885" s="55">
        <v>1987</v>
      </c>
      <c r="J885" s="55" t="s">
        <v>397</v>
      </c>
      <c r="K885" s="55" t="s">
        <v>582</v>
      </c>
      <c r="L885" s="55" t="s">
        <v>2737</v>
      </c>
      <c r="M885" s="235">
        <v>34.137</v>
      </c>
      <c r="N885" s="90">
        <v>-85.09</v>
      </c>
      <c r="O885" s="90">
        <v>223.8</v>
      </c>
      <c r="U885" s="55">
        <v>3</v>
      </c>
      <c r="V885" s="55">
        <v>3</v>
      </c>
      <c r="Y885" s="55" t="s">
        <v>1904</v>
      </c>
      <c r="Z885" s="55" t="s">
        <v>1361</v>
      </c>
      <c r="AA885" s="90" t="s">
        <v>1682</v>
      </c>
      <c r="AH885" s="55" t="s">
        <v>645</v>
      </c>
      <c r="AJ885" s="90">
        <f>(1.01+0.87+0.79)/3</f>
        <v>0.89</v>
      </c>
      <c r="AM885" s="55" t="s">
        <v>1291</v>
      </c>
      <c r="AN885" s="185" t="s">
        <v>116</v>
      </c>
      <c r="AO885" s="185" t="s">
        <v>5150</v>
      </c>
      <c r="AQ885" s="55" t="s">
        <v>1545</v>
      </c>
      <c r="AR885" s="55" t="s">
        <v>132</v>
      </c>
      <c r="AS885" s="55" t="s">
        <v>132</v>
      </c>
      <c r="AU885" s="181" t="s">
        <v>7494</v>
      </c>
      <c r="AV885" s="185" t="s">
        <v>176</v>
      </c>
      <c r="AX885" s="185" t="s">
        <v>176</v>
      </c>
      <c r="BK885" s="55" t="s">
        <v>5976</v>
      </c>
      <c r="BM885" s="192" t="s">
        <v>119</v>
      </c>
      <c r="BN885" s="55">
        <v>4</v>
      </c>
      <c r="BO885" s="55">
        <v>4</v>
      </c>
      <c r="BQ885" s="55" t="s">
        <v>315</v>
      </c>
      <c r="BS885" s="55">
        <v>1775</v>
      </c>
      <c r="BT885" s="55">
        <f>BS885/32</f>
        <v>55.46875</v>
      </c>
      <c r="CM885" s="65">
        <v>1.01</v>
      </c>
      <c r="CN885" s="65">
        <v>1.18</v>
      </c>
      <c r="CQ885" s="65" t="s">
        <v>163</v>
      </c>
      <c r="CV885" s="65" t="s">
        <v>3039</v>
      </c>
      <c r="DA885" s="65" t="s">
        <v>4454</v>
      </c>
      <c r="DB885" s="65">
        <v>1300</v>
      </c>
      <c r="DC885" s="65">
        <v>1400</v>
      </c>
      <c r="DF885" s="65" t="s">
        <v>1637</v>
      </c>
      <c r="EK885" s="90">
        <v>56.3</v>
      </c>
      <c r="EL885" s="90">
        <v>65.099999999999994</v>
      </c>
      <c r="EO885" s="65" t="s">
        <v>584</v>
      </c>
      <c r="GP885" s="292" t="s">
        <v>7494</v>
      </c>
      <c r="JQ885" s="65">
        <v>99999</v>
      </c>
      <c r="JU885" s="55" t="s">
        <v>586</v>
      </c>
    </row>
    <row r="886" spans="1:281" x14ac:dyDescent="0.25">
      <c r="A886" s="55">
        <v>885</v>
      </c>
      <c r="B886" s="12" t="s">
        <v>7067</v>
      </c>
      <c r="C886" s="155">
        <v>42</v>
      </c>
      <c r="D886" s="55" t="s">
        <v>3864</v>
      </c>
      <c r="E886" s="90" t="s">
        <v>580</v>
      </c>
      <c r="G886" s="55" t="s">
        <v>581</v>
      </c>
      <c r="H886" s="55">
        <v>1989</v>
      </c>
      <c r="I886" s="55">
        <v>1987</v>
      </c>
      <c r="J886" s="55" t="s">
        <v>397</v>
      </c>
      <c r="K886" s="55" t="s">
        <v>582</v>
      </c>
      <c r="L886" s="55" t="s">
        <v>2737</v>
      </c>
      <c r="M886" s="235">
        <v>34.137</v>
      </c>
      <c r="N886" s="90">
        <v>-85.09</v>
      </c>
      <c r="O886" s="90">
        <v>223.8</v>
      </c>
      <c r="U886" s="55">
        <v>3</v>
      </c>
      <c r="V886" s="55">
        <v>3</v>
      </c>
      <c r="Y886" s="55" t="s">
        <v>1904</v>
      </c>
      <c r="Z886" s="55" t="s">
        <v>1361</v>
      </c>
      <c r="AA886" s="90" t="s">
        <v>1682</v>
      </c>
      <c r="AH886" s="55" t="s">
        <v>645</v>
      </c>
      <c r="AJ886" s="90">
        <f>(1.01+0.87+0.79)/3</f>
        <v>0.89</v>
      </c>
      <c r="AM886" s="55" t="s">
        <v>1291</v>
      </c>
      <c r="AN886" s="185" t="s">
        <v>1485</v>
      </c>
      <c r="AO886" s="185" t="s">
        <v>5150</v>
      </c>
      <c r="AQ886" s="55" t="s">
        <v>553</v>
      </c>
      <c r="AR886" s="55" t="s">
        <v>132</v>
      </c>
      <c r="AS886" s="55" t="s">
        <v>132</v>
      </c>
      <c r="AU886" s="181" t="s">
        <v>7494</v>
      </c>
      <c r="AV886" s="185" t="s">
        <v>176</v>
      </c>
      <c r="AX886" s="185" t="s">
        <v>176</v>
      </c>
      <c r="BK886" s="55" t="s">
        <v>5976</v>
      </c>
      <c r="BM886" s="192" t="s">
        <v>119</v>
      </c>
      <c r="BN886" s="55">
        <v>4</v>
      </c>
      <c r="BO886" s="55">
        <v>4</v>
      </c>
      <c r="BQ886" s="55" t="s">
        <v>315</v>
      </c>
      <c r="BS886" s="55">
        <v>3544</v>
      </c>
      <c r="BT886" s="55">
        <f>BS886/108</f>
        <v>32.814814814814817</v>
      </c>
      <c r="CM886" s="65">
        <v>1.01</v>
      </c>
      <c r="CN886" s="65">
        <v>1.28</v>
      </c>
      <c r="CQ886" s="65" t="s">
        <v>163</v>
      </c>
      <c r="CV886" s="65" t="s">
        <v>3039</v>
      </c>
      <c r="DA886" s="65" t="s">
        <v>4454</v>
      </c>
      <c r="DB886" s="65">
        <v>1300</v>
      </c>
      <c r="DC886" s="65">
        <v>1500</v>
      </c>
      <c r="DF886" s="65" t="s">
        <v>1637</v>
      </c>
      <c r="EK886" s="90">
        <v>56.3</v>
      </c>
      <c r="EL886" s="90">
        <v>55</v>
      </c>
      <c r="EO886" s="65" t="s">
        <v>584</v>
      </c>
      <c r="GP886" s="292" t="s">
        <v>7494</v>
      </c>
      <c r="JQ886" s="65">
        <v>99999</v>
      </c>
      <c r="JU886" s="55" t="s">
        <v>586</v>
      </c>
    </row>
    <row r="887" spans="1:281" x14ac:dyDescent="0.25">
      <c r="A887" s="55">
        <v>886</v>
      </c>
      <c r="B887" s="12" t="s">
        <v>7067</v>
      </c>
      <c r="C887" s="155">
        <v>42</v>
      </c>
      <c r="D887" s="55" t="s">
        <v>3864</v>
      </c>
      <c r="E887" s="90" t="s">
        <v>580</v>
      </c>
      <c r="G887" s="55" t="s">
        <v>581</v>
      </c>
      <c r="H887" s="55">
        <v>1989</v>
      </c>
      <c r="I887" s="55">
        <v>1987</v>
      </c>
      <c r="J887" s="55" t="s">
        <v>397</v>
      </c>
      <c r="K887" s="55" t="s">
        <v>582</v>
      </c>
      <c r="L887" s="55" t="s">
        <v>2737</v>
      </c>
      <c r="M887" s="235">
        <v>34.137</v>
      </c>
      <c r="N887" s="90">
        <v>-85.09</v>
      </c>
      <c r="O887" s="90">
        <v>223.8</v>
      </c>
      <c r="U887" s="55">
        <v>3</v>
      </c>
      <c r="V887" s="55">
        <v>3</v>
      </c>
      <c r="Y887" s="55" t="s">
        <v>1904</v>
      </c>
      <c r="Z887" s="55" t="s">
        <v>1361</v>
      </c>
      <c r="AA887" s="90" t="s">
        <v>1682</v>
      </c>
      <c r="AH887" s="55" t="s">
        <v>645</v>
      </c>
      <c r="AJ887" s="90">
        <f>(1.01+0.87+0.79)/3</f>
        <v>0.89</v>
      </c>
      <c r="AM887" s="55" t="s">
        <v>1291</v>
      </c>
      <c r="AN887" s="185" t="s">
        <v>241</v>
      </c>
      <c r="AO887" s="185" t="s">
        <v>5150</v>
      </c>
      <c r="AQ887" s="55" t="s">
        <v>553</v>
      </c>
      <c r="AR887" s="55" t="s">
        <v>132</v>
      </c>
      <c r="AS887" s="55" t="s">
        <v>132</v>
      </c>
      <c r="AU887" s="181" t="s">
        <v>7494</v>
      </c>
      <c r="AV887" s="185" t="s">
        <v>176</v>
      </c>
      <c r="AX887" s="185" t="s">
        <v>176</v>
      </c>
      <c r="BK887" s="55" t="s">
        <v>5976</v>
      </c>
      <c r="BM887" s="192" t="s">
        <v>119</v>
      </c>
      <c r="BN887" s="55">
        <v>4</v>
      </c>
      <c r="BO887" s="55">
        <v>4</v>
      </c>
      <c r="BQ887" s="55" t="s">
        <v>315</v>
      </c>
      <c r="BS887" s="55">
        <v>3433</v>
      </c>
      <c r="BT887" s="55">
        <f>BS887/128</f>
        <v>26.8203125</v>
      </c>
      <c r="CM887" s="65">
        <v>1.01</v>
      </c>
      <c r="CN887" s="65">
        <v>1.18</v>
      </c>
      <c r="CQ887" s="65" t="s">
        <v>163</v>
      </c>
      <c r="CV887" s="65" t="s">
        <v>3039</v>
      </c>
      <c r="DA887" s="65" t="s">
        <v>4454</v>
      </c>
      <c r="DB887" s="65">
        <v>1300</v>
      </c>
      <c r="DC887" s="65">
        <v>1500</v>
      </c>
      <c r="DF887" s="65" t="s">
        <v>1637</v>
      </c>
      <c r="EK887" s="90">
        <v>56.3</v>
      </c>
      <c r="EL887" s="90">
        <v>58.2</v>
      </c>
      <c r="EO887" s="65" t="s">
        <v>584</v>
      </c>
      <c r="EZ887" s="65">
        <v>23.4</v>
      </c>
      <c r="FA887" s="65">
        <v>38.799999999999997</v>
      </c>
      <c r="GP887" s="292" t="s">
        <v>7494</v>
      </c>
      <c r="JQ887" s="65">
        <v>99999</v>
      </c>
      <c r="JU887" s="55" t="s">
        <v>586</v>
      </c>
    </row>
    <row r="888" spans="1:281" x14ac:dyDescent="0.25">
      <c r="A888" s="55">
        <v>887</v>
      </c>
      <c r="B888" s="12" t="s">
        <v>7067</v>
      </c>
      <c r="C888" s="155">
        <v>42</v>
      </c>
      <c r="D888" s="55" t="s">
        <v>3865</v>
      </c>
      <c r="E888" s="90" t="s">
        <v>580</v>
      </c>
      <c r="G888" s="55" t="s">
        <v>581</v>
      </c>
      <c r="H888" s="55">
        <v>1989</v>
      </c>
      <c r="I888" s="55">
        <v>1987</v>
      </c>
      <c r="J888" s="55" t="s">
        <v>397</v>
      </c>
      <c r="K888" s="55" t="s">
        <v>582</v>
      </c>
      <c r="L888" s="55" t="s">
        <v>2737</v>
      </c>
      <c r="M888" s="235">
        <v>34.137</v>
      </c>
      <c r="N888" s="90">
        <v>-85.09</v>
      </c>
      <c r="O888" s="90">
        <v>223.8</v>
      </c>
      <c r="U888" s="55">
        <v>3</v>
      </c>
      <c r="V888" s="55">
        <v>3</v>
      </c>
      <c r="Y888" s="55" t="s">
        <v>1904</v>
      </c>
      <c r="Z888" s="55" t="s">
        <v>1368</v>
      </c>
      <c r="AA888" s="90" t="s">
        <v>1682</v>
      </c>
      <c r="AH888" s="55" t="s">
        <v>645</v>
      </c>
      <c r="AJ888" s="90">
        <f>(1.01+0.87+0.79)/3</f>
        <v>0.89</v>
      </c>
      <c r="AM888" s="55" t="s">
        <v>1291</v>
      </c>
      <c r="AN888" s="185" t="s">
        <v>116</v>
      </c>
      <c r="AO888" s="185" t="s">
        <v>5150</v>
      </c>
      <c r="AQ888" s="55" t="s">
        <v>1545</v>
      </c>
      <c r="AR888" s="55" t="s">
        <v>132</v>
      </c>
      <c r="AS888" s="55" t="s">
        <v>132</v>
      </c>
      <c r="AU888" s="181" t="s">
        <v>7494</v>
      </c>
      <c r="AV888" s="185" t="s">
        <v>176</v>
      </c>
      <c r="AX888" s="185" t="s">
        <v>176</v>
      </c>
      <c r="BK888" s="55" t="s">
        <v>5976</v>
      </c>
      <c r="BM888" s="192" t="s">
        <v>119</v>
      </c>
      <c r="BN888" s="55">
        <v>4</v>
      </c>
      <c r="BO888" s="55">
        <v>4</v>
      </c>
      <c r="BQ888" s="55" t="s">
        <v>315</v>
      </c>
      <c r="BS888" s="55">
        <v>1775</v>
      </c>
      <c r="BT888" s="55">
        <f>BS888/32</f>
        <v>55.46875</v>
      </c>
      <c r="CM888" s="65">
        <v>0.87</v>
      </c>
      <c r="CN888" s="65">
        <v>0.95</v>
      </c>
      <c r="CQ888" s="65" t="s">
        <v>163</v>
      </c>
      <c r="CV888" s="65" t="s">
        <v>3039</v>
      </c>
      <c r="DA888" s="65" t="s">
        <v>4454</v>
      </c>
      <c r="DB888" s="65">
        <v>1000</v>
      </c>
      <c r="DC888" s="65">
        <v>1200</v>
      </c>
      <c r="DF888" s="65" t="s">
        <v>1637</v>
      </c>
      <c r="GP888" s="292" t="s">
        <v>7494</v>
      </c>
      <c r="JQ888" s="65">
        <v>99999</v>
      </c>
      <c r="JU888" s="55" t="s">
        <v>586</v>
      </c>
    </row>
    <row r="889" spans="1:281" x14ac:dyDescent="0.25">
      <c r="A889" s="55">
        <v>888</v>
      </c>
      <c r="B889" s="12" t="s">
        <v>7067</v>
      </c>
      <c r="C889" s="155">
        <v>42</v>
      </c>
      <c r="D889" s="55" t="s">
        <v>3866</v>
      </c>
      <c r="E889" s="90" t="s">
        <v>580</v>
      </c>
      <c r="G889" s="55" t="s">
        <v>581</v>
      </c>
      <c r="H889" s="55">
        <v>1989</v>
      </c>
      <c r="I889" s="55">
        <v>1987</v>
      </c>
      <c r="J889" s="55" t="s">
        <v>397</v>
      </c>
      <c r="K889" s="55" t="s">
        <v>582</v>
      </c>
      <c r="L889" s="55" t="s">
        <v>2737</v>
      </c>
      <c r="M889" s="235">
        <v>34.137</v>
      </c>
      <c r="N889" s="90">
        <v>-85.09</v>
      </c>
      <c r="O889" s="90">
        <v>223.8</v>
      </c>
      <c r="U889" s="55">
        <v>3</v>
      </c>
      <c r="V889" s="55">
        <v>3</v>
      </c>
      <c r="Y889" s="55" t="s">
        <v>1904</v>
      </c>
      <c r="Z889" s="55" t="s">
        <v>1368</v>
      </c>
      <c r="AA889" s="90" t="s">
        <v>1682</v>
      </c>
      <c r="AH889" s="55" t="s">
        <v>645</v>
      </c>
      <c r="AJ889" s="90">
        <f>(1.01+0.87+0.79)/3</f>
        <v>0.89</v>
      </c>
      <c r="AM889" s="55" t="s">
        <v>1291</v>
      </c>
      <c r="AN889" s="185" t="s">
        <v>1485</v>
      </c>
      <c r="AO889" s="185" t="s">
        <v>5150</v>
      </c>
      <c r="AQ889" s="55" t="s">
        <v>553</v>
      </c>
      <c r="AR889" s="55" t="s">
        <v>132</v>
      </c>
      <c r="AS889" s="55" t="s">
        <v>132</v>
      </c>
      <c r="AU889" s="181" t="s">
        <v>7494</v>
      </c>
      <c r="AV889" s="185" t="s">
        <v>176</v>
      </c>
      <c r="AX889" s="185" t="s">
        <v>176</v>
      </c>
      <c r="BK889" s="55" t="s">
        <v>5976</v>
      </c>
      <c r="BM889" s="192" t="s">
        <v>119</v>
      </c>
      <c r="BN889" s="55">
        <v>4</v>
      </c>
      <c r="BO889" s="55">
        <v>4</v>
      </c>
      <c r="BQ889" s="55" t="s">
        <v>315</v>
      </c>
      <c r="BS889" s="55">
        <v>3544</v>
      </c>
      <c r="BT889" s="55">
        <f>BS889/108</f>
        <v>32.814814814814817</v>
      </c>
      <c r="CM889" s="65">
        <v>0.87</v>
      </c>
      <c r="CN889" s="65">
        <v>1.03</v>
      </c>
      <c r="CQ889" s="65" t="s">
        <v>163</v>
      </c>
      <c r="CV889" s="65" t="s">
        <v>3039</v>
      </c>
      <c r="DA889" s="65" t="s">
        <v>4454</v>
      </c>
      <c r="DB889" s="65">
        <v>1000</v>
      </c>
      <c r="DC889" s="65">
        <v>1200</v>
      </c>
      <c r="DF889" s="65" t="s">
        <v>1637</v>
      </c>
      <c r="GP889" s="292" t="s">
        <v>7494</v>
      </c>
      <c r="JQ889" s="65">
        <v>99999</v>
      </c>
      <c r="JU889" s="55" t="s">
        <v>586</v>
      </c>
    </row>
    <row r="890" spans="1:281" x14ac:dyDescent="0.25">
      <c r="A890" s="55">
        <v>889</v>
      </c>
      <c r="B890" s="12" t="s">
        <v>7067</v>
      </c>
      <c r="C890" s="155">
        <v>42</v>
      </c>
      <c r="D890" s="55" t="s">
        <v>3866</v>
      </c>
      <c r="E890" s="90" t="s">
        <v>580</v>
      </c>
      <c r="G890" s="55" t="s">
        <v>581</v>
      </c>
      <c r="H890" s="55">
        <v>1989</v>
      </c>
      <c r="I890" s="55">
        <v>1987</v>
      </c>
      <c r="J890" s="55" t="s">
        <v>397</v>
      </c>
      <c r="K890" s="55" t="s">
        <v>582</v>
      </c>
      <c r="L890" s="55" t="s">
        <v>2737</v>
      </c>
      <c r="M890" s="235">
        <v>34.137</v>
      </c>
      <c r="N890" s="90">
        <v>-85.09</v>
      </c>
      <c r="O890" s="90">
        <v>223.8</v>
      </c>
      <c r="U890" s="55">
        <v>3</v>
      </c>
      <c r="V890" s="55">
        <v>3</v>
      </c>
      <c r="Y890" s="55" t="s">
        <v>1904</v>
      </c>
      <c r="Z890" s="55" t="s">
        <v>1368</v>
      </c>
      <c r="AA890" s="90" t="s">
        <v>1682</v>
      </c>
      <c r="AH890" s="55" t="s">
        <v>645</v>
      </c>
      <c r="AJ890" s="90">
        <f>(1.01+0.87+0.79)/3</f>
        <v>0.89</v>
      </c>
      <c r="AM890" s="55" t="s">
        <v>1291</v>
      </c>
      <c r="AN890" s="185" t="s">
        <v>241</v>
      </c>
      <c r="AO890" s="185" t="s">
        <v>5150</v>
      </c>
      <c r="AQ890" s="55" t="s">
        <v>553</v>
      </c>
      <c r="AR890" s="55" t="s">
        <v>132</v>
      </c>
      <c r="AS890" s="55" t="s">
        <v>132</v>
      </c>
      <c r="AU890" s="181" t="s">
        <v>7494</v>
      </c>
      <c r="AV890" s="185" t="s">
        <v>176</v>
      </c>
      <c r="AX890" s="185" t="s">
        <v>176</v>
      </c>
      <c r="BK890" s="55" t="s">
        <v>5976</v>
      </c>
      <c r="BM890" s="192" t="s">
        <v>119</v>
      </c>
      <c r="BN890" s="55">
        <v>4</v>
      </c>
      <c r="BO890" s="55">
        <v>4</v>
      </c>
      <c r="BQ890" s="55" t="s">
        <v>315</v>
      </c>
      <c r="BS890" s="55">
        <v>3433</v>
      </c>
      <c r="BT890" s="55">
        <f>BS890/128</f>
        <v>26.8203125</v>
      </c>
      <c r="CM890" s="65">
        <v>0.87</v>
      </c>
      <c r="CN890" s="65">
        <v>0.93</v>
      </c>
      <c r="CQ890" s="65" t="s">
        <v>163</v>
      </c>
      <c r="CV890" s="65" t="s">
        <v>3039</v>
      </c>
      <c r="DA890" s="65" t="s">
        <v>4454</v>
      </c>
      <c r="DB890" s="65">
        <v>1000</v>
      </c>
      <c r="DC890" s="65">
        <v>1200</v>
      </c>
      <c r="DF890" s="65" t="s">
        <v>1637</v>
      </c>
      <c r="GP890" s="292" t="s">
        <v>7494</v>
      </c>
      <c r="JQ890" s="65">
        <v>99999</v>
      </c>
      <c r="JU890" s="55" t="s">
        <v>586</v>
      </c>
    </row>
    <row r="891" spans="1:281" x14ac:dyDescent="0.25">
      <c r="A891" s="55">
        <v>890</v>
      </c>
      <c r="B891" s="12" t="s">
        <v>7067</v>
      </c>
      <c r="C891" s="155">
        <v>42</v>
      </c>
      <c r="D891" s="55" t="s">
        <v>3867</v>
      </c>
      <c r="E891" s="90" t="s">
        <v>580</v>
      </c>
      <c r="G891" s="55" t="s">
        <v>581</v>
      </c>
      <c r="H891" s="55">
        <v>1989</v>
      </c>
      <c r="I891" s="55">
        <v>1987</v>
      </c>
      <c r="J891" s="55" t="s">
        <v>397</v>
      </c>
      <c r="K891" s="55" t="s">
        <v>582</v>
      </c>
      <c r="L891" s="55" t="s">
        <v>2737</v>
      </c>
      <c r="M891" s="235">
        <v>34.137</v>
      </c>
      <c r="N891" s="90">
        <v>-85.09</v>
      </c>
      <c r="O891" s="90">
        <v>223.8</v>
      </c>
      <c r="U891" s="55">
        <v>3</v>
      </c>
      <c r="V891" s="55">
        <v>3</v>
      </c>
      <c r="Y891" s="55" t="s">
        <v>1904</v>
      </c>
      <c r="Z891" s="55" t="s">
        <v>1359</v>
      </c>
      <c r="AA891" s="90" t="s">
        <v>1679</v>
      </c>
      <c r="AH891" s="55" t="s">
        <v>645</v>
      </c>
      <c r="AJ891" s="90">
        <f>(1.01+0.87+0.79)/3</f>
        <v>0.89</v>
      </c>
      <c r="AM891" s="55" t="s">
        <v>1291</v>
      </c>
      <c r="AN891" s="185" t="s">
        <v>116</v>
      </c>
      <c r="AO891" s="185" t="s">
        <v>5150</v>
      </c>
      <c r="AQ891" s="55" t="s">
        <v>1545</v>
      </c>
      <c r="AR891" s="55" t="s">
        <v>132</v>
      </c>
      <c r="AS891" s="55" t="s">
        <v>132</v>
      </c>
      <c r="AU891" s="181" t="s">
        <v>7494</v>
      </c>
      <c r="AV891" s="185" t="s">
        <v>176</v>
      </c>
      <c r="AX891" s="185" t="s">
        <v>176</v>
      </c>
      <c r="BK891" s="55" t="s">
        <v>5976</v>
      </c>
      <c r="BM891" s="192" t="s">
        <v>119</v>
      </c>
      <c r="BN891" s="55">
        <v>4</v>
      </c>
      <c r="BO891" s="55">
        <v>4</v>
      </c>
      <c r="BQ891" s="55" t="s">
        <v>315</v>
      </c>
      <c r="BS891" s="55">
        <v>1775</v>
      </c>
      <c r="BT891" s="55">
        <f>BS891/32</f>
        <v>55.46875</v>
      </c>
      <c r="CM891" s="65">
        <v>0.79</v>
      </c>
      <c r="CN891" s="65">
        <v>0.93</v>
      </c>
      <c r="CQ891" s="65" t="s">
        <v>163</v>
      </c>
      <c r="CV891" s="65" t="s">
        <v>3039</v>
      </c>
      <c r="DA891" s="65" t="s">
        <v>4454</v>
      </c>
      <c r="DB891" s="65">
        <v>1100</v>
      </c>
      <c r="DC891" s="65">
        <v>1100</v>
      </c>
      <c r="DF891" s="65" t="s">
        <v>1637</v>
      </c>
      <c r="GP891" s="292" t="s">
        <v>7494</v>
      </c>
      <c r="JQ891" s="65">
        <v>99999</v>
      </c>
      <c r="JU891" s="55" t="s">
        <v>586</v>
      </c>
    </row>
    <row r="892" spans="1:281" x14ac:dyDescent="0.25">
      <c r="A892" s="55">
        <v>891</v>
      </c>
      <c r="B892" s="12" t="s">
        <v>7067</v>
      </c>
      <c r="C892" s="155">
        <v>42</v>
      </c>
      <c r="D892" s="55" t="s">
        <v>3868</v>
      </c>
      <c r="E892" s="90" t="s">
        <v>580</v>
      </c>
      <c r="G892" s="55" t="s">
        <v>581</v>
      </c>
      <c r="H892" s="55">
        <v>1989</v>
      </c>
      <c r="I892" s="55">
        <v>1987</v>
      </c>
      <c r="J892" s="55" t="s">
        <v>397</v>
      </c>
      <c r="K892" s="55" t="s">
        <v>582</v>
      </c>
      <c r="L892" s="55" t="s">
        <v>2737</v>
      </c>
      <c r="M892" s="235">
        <v>34.137</v>
      </c>
      <c r="N892" s="90">
        <v>-85.09</v>
      </c>
      <c r="O892" s="90">
        <v>223.8</v>
      </c>
      <c r="U892" s="55">
        <v>3</v>
      </c>
      <c r="V892" s="55">
        <v>3</v>
      </c>
      <c r="Y892" s="55" t="s">
        <v>1904</v>
      </c>
      <c r="Z892" s="55" t="s">
        <v>1359</v>
      </c>
      <c r="AA892" s="90" t="s">
        <v>1679</v>
      </c>
      <c r="AH892" s="55" t="s">
        <v>645</v>
      </c>
      <c r="AJ892" s="90">
        <f>(1.01+0.87+0.79)/3</f>
        <v>0.89</v>
      </c>
      <c r="AM892" s="55" t="s">
        <v>1291</v>
      </c>
      <c r="AN892" s="185" t="s">
        <v>1485</v>
      </c>
      <c r="AO892" s="185" t="s">
        <v>5150</v>
      </c>
      <c r="AQ892" s="55" t="s">
        <v>553</v>
      </c>
      <c r="AR892" s="55" t="s">
        <v>132</v>
      </c>
      <c r="AS892" s="55" t="s">
        <v>132</v>
      </c>
      <c r="AU892" s="181" t="s">
        <v>7494</v>
      </c>
      <c r="AV892" s="185" t="s">
        <v>176</v>
      </c>
      <c r="AX892" s="185" t="s">
        <v>176</v>
      </c>
      <c r="BK892" s="55" t="s">
        <v>5976</v>
      </c>
      <c r="BM892" s="192" t="s">
        <v>119</v>
      </c>
      <c r="BN892" s="55">
        <v>4</v>
      </c>
      <c r="BO892" s="55">
        <v>4</v>
      </c>
      <c r="BQ892" s="55" t="s">
        <v>315</v>
      </c>
      <c r="BS892" s="55">
        <v>3544</v>
      </c>
      <c r="BT892" s="55">
        <f>BS892/108</f>
        <v>32.814814814814817</v>
      </c>
      <c r="CM892" s="65">
        <v>0.79</v>
      </c>
      <c r="CN892" s="65">
        <v>1.01</v>
      </c>
      <c r="CQ892" s="65" t="s">
        <v>163</v>
      </c>
      <c r="CV892" s="65" t="s">
        <v>3039</v>
      </c>
      <c r="DA892" s="65" t="s">
        <v>4454</v>
      </c>
      <c r="DB892" s="65">
        <v>1100</v>
      </c>
      <c r="DC892" s="65">
        <v>1200</v>
      </c>
      <c r="DF892" s="65" t="s">
        <v>1637</v>
      </c>
      <c r="GP892" s="292" t="s">
        <v>7494</v>
      </c>
      <c r="JQ892" s="65">
        <v>99999</v>
      </c>
      <c r="JU892" s="55" t="s">
        <v>586</v>
      </c>
    </row>
    <row r="893" spans="1:281" x14ac:dyDescent="0.25">
      <c r="A893" s="55">
        <v>892</v>
      </c>
      <c r="B893" s="12" t="s">
        <v>7067</v>
      </c>
      <c r="C893" s="155">
        <v>42</v>
      </c>
      <c r="D893" s="55" t="s">
        <v>3868</v>
      </c>
      <c r="E893" s="90" t="s">
        <v>580</v>
      </c>
      <c r="G893" s="55" t="s">
        <v>581</v>
      </c>
      <c r="H893" s="55">
        <v>1989</v>
      </c>
      <c r="I893" s="55">
        <v>1987</v>
      </c>
      <c r="J893" s="55" t="s">
        <v>397</v>
      </c>
      <c r="K893" s="55" t="s">
        <v>582</v>
      </c>
      <c r="L893" s="55" t="s">
        <v>2737</v>
      </c>
      <c r="M893" s="235">
        <v>34.137</v>
      </c>
      <c r="N893" s="90">
        <v>-85.09</v>
      </c>
      <c r="O893" s="90">
        <v>223.8</v>
      </c>
      <c r="U893" s="55">
        <v>3</v>
      </c>
      <c r="V893" s="55">
        <v>3</v>
      </c>
      <c r="Y893" s="55" t="s">
        <v>1904</v>
      </c>
      <c r="Z893" s="55" t="s">
        <v>1359</v>
      </c>
      <c r="AA893" s="90" t="s">
        <v>1679</v>
      </c>
      <c r="AH893" s="55" t="s">
        <v>645</v>
      </c>
      <c r="AJ893" s="90">
        <f>(1.01+0.87+0.79)/3</f>
        <v>0.89</v>
      </c>
      <c r="AM893" s="55" t="s">
        <v>1291</v>
      </c>
      <c r="AN893" s="185" t="s">
        <v>241</v>
      </c>
      <c r="AO893" s="185" t="s">
        <v>5150</v>
      </c>
      <c r="AQ893" s="55" t="s">
        <v>553</v>
      </c>
      <c r="AR893" s="55" t="s">
        <v>132</v>
      </c>
      <c r="AS893" s="55" t="s">
        <v>132</v>
      </c>
      <c r="AU893" s="181" t="s">
        <v>7494</v>
      </c>
      <c r="AV893" s="185" t="s">
        <v>176</v>
      </c>
      <c r="AX893" s="185" t="s">
        <v>176</v>
      </c>
      <c r="BK893" s="55" t="s">
        <v>5976</v>
      </c>
      <c r="BM893" s="192" t="s">
        <v>119</v>
      </c>
      <c r="BN893" s="55">
        <v>4</v>
      </c>
      <c r="BO893" s="55">
        <v>4</v>
      </c>
      <c r="BQ893" s="55" t="s">
        <v>315</v>
      </c>
      <c r="BS893" s="55">
        <v>3433</v>
      </c>
      <c r="BT893" s="55">
        <f>BS893/128</f>
        <v>26.8203125</v>
      </c>
      <c r="CM893" s="65">
        <v>0.79</v>
      </c>
      <c r="CN893" s="65">
        <v>0.79</v>
      </c>
      <c r="CQ893" s="65" t="s">
        <v>163</v>
      </c>
      <c r="CV893" s="65" t="s">
        <v>3039</v>
      </c>
      <c r="DA893" s="65" t="s">
        <v>4454</v>
      </c>
      <c r="DB893" s="65">
        <v>1100</v>
      </c>
      <c r="DC893" s="65">
        <v>1100</v>
      </c>
      <c r="DF893" s="65" t="s">
        <v>1637</v>
      </c>
      <c r="GP893" s="292" t="s">
        <v>7494</v>
      </c>
      <c r="JQ893" s="65">
        <v>99999</v>
      </c>
      <c r="JU893" s="55" t="s">
        <v>586</v>
      </c>
    </row>
    <row r="894" spans="1:281" x14ac:dyDescent="0.25">
      <c r="A894" s="55">
        <v>893</v>
      </c>
      <c r="B894" s="12" t="s">
        <v>7067</v>
      </c>
      <c r="C894" s="155">
        <v>42</v>
      </c>
      <c r="D894" s="55" t="s">
        <v>3869</v>
      </c>
      <c r="E894" s="90" t="s">
        <v>580</v>
      </c>
      <c r="G894" s="55" t="s">
        <v>581</v>
      </c>
      <c r="H894" s="55">
        <v>1989</v>
      </c>
      <c r="I894" s="55">
        <v>1987</v>
      </c>
      <c r="J894" s="55" t="s">
        <v>397</v>
      </c>
      <c r="K894" s="55" t="s">
        <v>583</v>
      </c>
      <c r="L894" s="55" t="s">
        <v>2737</v>
      </c>
      <c r="M894" s="235">
        <v>31.62</v>
      </c>
      <c r="N894" s="90">
        <v>-81.91</v>
      </c>
      <c r="O894" s="90">
        <v>33.700000000000003</v>
      </c>
      <c r="U894" s="55">
        <v>3</v>
      </c>
      <c r="V894" s="55">
        <v>3</v>
      </c>
      <c r="Y894" s="55" t="s">
        <v>1904</v>
      </c>
      <c r="Z894" s="55" t="s">
        <v>1361</v>
      </c>
      <c r="AA894" s="90" t="s">
        <v>1682</v>
      </c>
      <c r="AH894" s="55" t="s">
        <v>494</v>
      </c>
      <c r="AI894" s="168">
        <v>5.5</v>
      </c>
      <c r="AJ894" s="90">
        <v>0.72</v>
      </c>
      <c r="AM894" s="55" t="s">
        <v>1291</v>
      </c>
      <c r="AN894" s="185" t="s">
        <v>116</v>
      </c>
      <c r="AO894" s="185" t="s">
        <v>5150</v>
      </c>
      <c r="AQ894" s="55" t="s">
        <v>1545</v>
      </c>
      <c r="AR894" s="55" t="s">
        <v>218</v>
      </c>
      <c r="AS894" s="55" t="s">
        <v>218</v>
      </c>
      <c r="AU894" s="181" t="s">
        <v>7494</v>
      </c>
      <c r="AV894" s="185" t="s">
        <v>176</v>
      </c>
      <c r="AX894" s="185" t="s">
        <v>176</v>
      </c>
      <c r="BK894" s="55" t="s">
        <v>5976</v>
      </c>
      <c r="BM894" s="192" t="s">
        <v>119</v>
      </c>
      <c r="BN894" s="55">
        <v>4</v>
      </c>
      <c r="BO894" s="55">
        <v>4</v>
      </c>
      <c r="BQ894" s="55" t="s">
        <v>315</v>
      </c>
      <c r="BS894" s="55">
        <v>1775</v>
      </c>
      <c r="BT894" s="55">
        <v>55.46875</v>
      </c>
      <c r="CM894" s="65">
        <f>8.5/10</f>
        <v>0.85</v>
      </c>
      <c r="CN894" s="65">
        <v>0.89</v>
      </c>
      <c r="CQ894" s="65" t="s">
        <v>163</v>
      </c>
      <c r="CV894" s="65" t="s">
        <v>3039</v>
      </c>
      <c r="DA894" s="65" t="s">
        <v>4454</v>
      </c>
      <c r="DB894" s="65">
        <f>1000</f>
        <v>1000</v>
      </c>
      <c r="DC894" s="65">
        <f>1100</f>
        <v>1100</v>
      </c>
      <c r="DF894" s="65" t="s">
        <v>1637</v>
      </c>
      <c r="DG894" s="65">
        <v>21</v>
      </c>
      <c r="DH894" s="65">
        <v>20.3</v>
      </c>
      <c r="DK894" s="65" t="s">
        <v>964</v>
      </c>
      <c r="DQ894" s="165">
        <v>5</v>
      </c>
      <c r="DR894" s="165">
        <v>5</v>
      </c>
      <c r="DV894" s="65">
        <f>286+89.9+1.07</f>
        <v>376.96999999999997</v>
      </c>
      <c r="DW894" s="65">
        <f>270+87.7+0.88</f>
        <v>358.58</v>
      </c>
      <c r="DZ894" s="65" t="s">
        <v>4469</v>
      </c>
      <c r="EK894" s="90">
        <v>28.9</v>
      </c>
      <c r="EL894" s="90">
        <v>32.6</v>
      </c>
      <c r="EO894" s="65" t="s">
        <v>584</v>
      </c>
      <c r="EZ894" s="65">
        <v>37.799999999999997</v>
      </c>
      <c r="FA894" s="65">
        <v>42.3</v>
      </c>
      <c r="GP894" s="292" t="s">
        <v>7494</v>
      </c>
      <c r="JQ894" s="65">
        <v>99999</v>
      </c>
      <c r="JU894" s="55" t="s">
        <v>586</v>
      </c>
    </row>
    <row r="895" spans="1:281" x14ac:dyDescent="0.25">
      <c r="A895" s="55">
        <v>894</v>
      </c>
      <c r="B895" s="12" t="s">
        <v>7067</v>
      </c>
      <c r="C895" s="155">
        <v>42</v>
      </c>
      <c r="D895" s="55" t="s">
        <v>3870</v>
      </c>
      <c r="E895" s="90" t="s">
        <v>580</v>
      </c>
      <c r="G895" s="55" t="s">
        <v>581</v>
      </c>
      <c r="H895" s="55">
        <v>1989</v>
      </c>
      <c r="I895" s="55">
        <v>1987</v>
      </c>
      <c r="J895" s="55" t="s">
        <v>397</v>
      </c>
      <c r="K895" s="55" t="s">
        <v>583</v>
      </c>
      <c r="L895" s="55" t="s">
        <v>2737</v>
      </c>
      <c r="M895" s="235">
        <v>31.62</v>
      </c>
      <c r="N895" s="90">
        <v>-81.91</v>
      </c>
      <c r="O895" s="90">
        <v>33.700000000000003</v>
      </c>
      <c r="U895" s="55">
        <v>3</v>
      </c>
      <c r="V895" s="55">
        <v>3</v>
      </c>
      <c r="Y895" s="55" t="s">
        <v>1904</v>
      </c>
      <c r="Z895" s="55" t="s">
        <v>1361</v>
      </c>
      <c r="AA895" s="90" t="s">
        <v>1682</v>
      </c>
      <c r="AH895" s="55" t="s">
        <v>494</v>
      </c>
      <c r="AI895" s="168">
        <v>5.5</v>
      </c>
      <c r="AJ895" s="90">
        <v>0.72</v>
      </c>
      <c r="AM895" s="55" t="s">
        <v>1291</v>
      </c>
      <c r="AN895" s="185" t="s">
        <v>1485</v>
      </c>
      <c r="AO895" s="185" t="s">
        <v>5150</v>
      </c>
      <c r="AQ895" s="55" t="s">
        <v>553</v>
      </c>
      <c r="AR895" s="55" t="s">
        <v>218</v>
      </c>
      <c r="AS895" s="55" t="s">
        <v>218</v>
      </c>
      <c r="AU895" s="181" t="s">
        <v>7494</v>
      </c>
      <c r="AV895" s="185" t="s">
        <v>176</v>
      </c>
      <c r="AX895" s="185" t="s">
        <v>176</v>
      </c>
      <c r="BK895" s="55" t="s">
        <v>5976</v>
      </c>
      <c r="BM895" s="192" t="s">
        <v>119</v>
      </c>
      <c r="BN895" s="55">
        <v>4</v>
      </c>
      <c r="BO895" s="55">
        <v>4</v>
      </c>
      <c r="BQ895" s="55" t="s">
        <v>315</v>
      </c>
      <c r="BS895" s="55">
        <v>3544</v>
      </c>
      <c r="BT895" s="55">
        <v>32.814814814814817</v>
      </c>
      <c r="CM895" s="65">
        <f>8.5/10</f>
        <v>0.85</v>
      </c>
      <c r="CN895" s="65">
        <v>1.06</v>
      </c>
      <c r="CQ895" s="65" t="s">
        <v>163</v>
      </c>
      <c r="CV895" s="65" t="s">
        <v>3039</v>
      </c>
      <c r="DA895" s="65" t="s">
        <v>4454</v>
      </c>
      <c r="DB895" s="65">
        <f>1000</f>
        <v>1000</v>
      </c>
      <c r="DC895" s="65">
        <v>1300</v>
      </c>
      <c r="DF895" s="65" t="s">
        <v>1637</v>
      </c>
      <c r="DG895" s="65">
        <v>21</v>
      </c>
      <c r="DH895" s="65">
        <v>14.5</v>
      </c>
      <c r="DK895" s="65" t="s">
        <v>964</v>
      </c>
      <c r="DQ895" s="165">
        <v>5</v>
      </c>
      <c r="DR895" s="165">
        <v>4.9000000000000004</v>
      </c>
      <c r="DV895" s="65">
        <f>286+89.9+1.07</f>
        <v>376.96999999999997</v>
      </c>
      <c r="DW895" s="65">
        <f>285+82.2+0.78</f>
        <v>367.97999999999996</v>
      </c>
      <c r="DZ895" s="65" t="s">
        <v>4469</v>
      </c>
      <c r="EK895" s="90">
        <v>28.9</v>
      </c>
      <c r="EL895" s="90">
        <v>37.9</v>
      </c>
      <c r="EO895" s="65" t="s">
        <v>584</v>
      </c>
      <c r="GP895" s="292" t="s">
        <v>7494</v>
      </c>
      <c r="JQ895" s="65">
        <v>99999</v>
      </c>
      <c r="JU895" s="55" t="s">
        <v>586</v>
      </c>
    </row>
    <row r="896" spans="1:281" x14ac:dyDescent="0.25">
      <c r="A896" s="55">
        <v>895</v>
      </c>
      <c r="B896" s="12" t="s">
        <v>7067</v>
      </c>
      <c r="C896" s="155">
        <v>42</v>
      </c>
      <c r="D896" s="55" t="s">
        <v>3870</v>
      </c>
      <c r="E896" s="90" t="s">
        <v>580</v>
      </c>
      <c r="G896" s="55" t="s">
        <v>581</v>
      </c>
      <c r="H896" s="55">
        <v>1989</v>
      </c>
      <c r="I896" s="55">
        <v>1987</v>
      </c>
      <c r="J896" s="55" t="s">
        <v>397</v>
      </c>
      <c r="K896" s="55" t="s">
        <v>583</v>
      </c>
      <c r="L896" s="55" t="s">
        <v>2737</v>
      </c>
      <c r="M896" s="235">
        <v>31.62</v>
      </c>
      <c r="N896" s="90">
        <v>-81.91</v>
      </c>
      <c r="O896" s="90">
        <v>33.700000000000003</v>
      </c>
      <c r="U896" s="55">
        <v>3</v>
      </c>
      <c r="V896" s="55">
        <v>3</v>
      </c>
      <c r="Y896" s="55" t="s">
        <v>1904</v>
      </c>
      <c r="Z896" s="55" t="s">
        <v>1361</v>
      </c>
      <c r="AA896" s="90" t="s">
        <v>1682</v>
      </c>
      <c r="AH896" s="55" t="s">
        <v>494</v>
      </c>
      <c r="AI896" s="168">
        <v>5.5</v>
      </c>
      <c r="AJ896" s="90">
        <v>0.72</v>
      </c>
      <c r="AM896" s="55" t="s">
        <v>1291</v>
      </c>
      <c r="AN896" s="185" t="s">
        <v>241</v>
      </c>
      <c r="AO896" s="185" t="s">
        <v>5150</v>
      </c>
      <c r="AQ896" s="55" t="s">
        <v>553</v>
      </c>
      <c r="AR896" s="55" t="s">
        <v>218</v>
      </c>
      <c r="AS896" s="55" t="s">
        <v>218</v>
      </c>
      <c r="AU896" s="181" t="s">
        <v>7494</v>
      </c>
      <c r="AV896" s="185" t="s">
        <v>176</v>
      </c>
      <c r="AX896" s="185" t="s">
        <v>176</v>
      </c>
      <c r="BK896" s="55" t="s">
        <v>5976</v>
      </c>
      <c r="BM896" s="192" t="s">
        <v>119</v>
      </c>
      <c r="BN896" s="55">
        <v>4</v>
      </c>
      <c r="BO896" s="55">
        <v>4</v>
      </c>
      <c r="BQ896" s="55" t="s">
        <v>315</v>
      </c>
      <c r="BS896" s="55">
        <v>3433</v>
      </c>
      <c r="BT896" s="55">
        <v>26.8203125</v>
      </c>
      <c r="CM896" s="65">
        <f>8.5/10</f>
        <v>0.85</v>
      </c>
      <c r="CN896" s="65">
        <v>1.02</v>
      </c>
      <c r="CQ896" s="65" t="s">
        <v>163</v>
      </c>
      <c r="CV896" s="65" t="s">
        <v>3039</v>
      </c>
      <c r="DA896" s="65" t="s">
        <v>4454</v>
      </c>
      <c r="DB896" s="65">
        <f>1000</f>
        <v>1000</v>
      </c>
      <c r="DC896" s="65">
        <v>1300</v>
      </c>
      <c r="DF896" s="65" t="s">
        <v>1637</v>
      </c>
      <c r="DG896" s="65">
        <v>21</v>
      </c>
      <c r="DH896" s="65">
        <v>18.8</v>
      </c>
      <c r="DK896" s="65" t="s">
        <v>964</v>
      </c>
      <c r="DQ896" s="165">
        <v>5</v>
      </c>
      <c r="DR896" s="165">
        <v>4.8</v>
      </c>
      <c r="DV896" s="65">
        <f>286+89.9+1.07</f>
        <v>376.96999999999997</v>
      </c>
      <c r="DW896" s="65">
        <f>283+85.4+1.07</f>
        <v>369.46999999999997</v>
      </c>
      <c r="DZ896" s="65" t="s">
        <v>4469</v>
      </c>
      <c r="EK896" s="90">
        <v>28.9</v>
      </c>
      <c r="EL896" s="90">
        <v>36.700000000000003</v>
      </c>
      <c r="EO896" s="65" t="s">
        <v>584</v>
      </c>
      <c r="EZ896" s="65">
        <v>37.799999999999997</v>
      </c>
      <c r="FA896" s="65">
        <v>58.4</v>
      </c>
      <c r="GP896" s="292" t="s">
        <v>7494</v>
      </c>
      <c r="JQ896" s="65">
        <v>99999</v>
      </c>
      <c r="JU896" s="55" t="s">
        <v>586</v>
      </c>
    </row>
    <row r="897" spans="1:282" x14ac:dyDescent="0.25">
      <c r="A897" s="55">
        <v>896</v>
      </c>
      <c r="B897" s="12" t="s">
        <v>7067</v>
      </c>
      <c r="C897" s="155">
        <v>42</v>
      </c>
      <c r="D897" s="55" t="s">
        <v>3871</v>
      </c>
      <c r="E897" s="90" t="s">
        <v>580</v>
      </c>
      <c r="G897" s="55" t="s">
        <v>581</v>
      </c>
      <c r="H897" s="55">
        <v>1989</v>
      </c>
      <c r="I897" s="55">
        <v>1987</v>
      </c>
      <c r="J897" s="55" t="s">
        <v>397</v>
      </c>
      <c r="K897" s="55" t="s">
        <v>583</v>
      </c>
      <c r="L897" s="55" t="s">
        <v>2737</v>
      </c>
      <c r="M897" s="235">
        <v>31.62</v>
      </c>
      <c r="N897" s="90">
        <v>-81.91</v>
      </c>
      <c r="O897" s="90">
        <v>33.700000000000003</v>
      </c>
      <c r="U897" s="55">
        <v>3</v>
      </c>
      <c r="V897" s="55">
        <v>3</v>
      </c>
      <c r="Y897" s="55" t="s">
        <v>1904</v>
      </c>
      <c r="Z897" s="55" t="s">
        <v>1368</v>
      </c>
      <c r="AA897" s="90" t="s">
        <v>1682</v>
      </c>
      <c r="AH897" s="55" t="s">
        <v>494</v>
      </c>
      <c r="AI897" s="168">
        <v>5.5</v>
      </c>
      <c r="AJ897" s="90">
        <v>0.72</v>
      </c>
      <c r="AM897" s="55" t="s">
        <v>1291</v>
      </c>
      <c r="AN897" s="185" t="s">
        <v>116</v>
      </c>
      <c r="AO897" s="185" t="s">
        <v>5150</v>
      </c>
      <c r="AQ897" s="55" t="s">
        <v>1545</v>
      </c>
      <c r="AR897" s="55" t="s">
        <v>218</v>
      </c>
      <c r="AS897" s="55" t="s">
        <v>218</v>
      </c>
      <c r="AU897" s="181" t="s">
        <v>7494</v>
      </c>
      <c r="AV897" s="185" t="s">
        <v>176</v>
      </c>
      <c r="AX897" s="185" t="s">
        <v>176</v>
      </c>
      <c r="BK897" s="55" t="s">
        <v>5976</v>
      </c>
      <c r="BM897" s="192" t="s">
        <v>119</v>
      </c>
      <c r="BN897" s="55">
        <v>4</v>
      </c>
      <c r="BO897" s="55">
        <v>4</v>
      </c>
      <c r="BQ897" s="55" t="s">
        <v>315</v>
      </c>
      <c r="BS897" s="55">
        <v>1775</v>
      </c>
      <c r="BT897" s="55">
        <v>55.46875</v>
      </c>
      <c r="CM897" s="65">
        <f>0.72</f>
        <v>0.72</v>
      </c>
      <c r="CN897" s="65">
        <v>0.73</v>
      </c>
      <c r="CQ897" s="65" t="s">
        <v>163</v>
      </c>
      <c r="CV897" s="65" t="s">
        <v>3039</v>
      </c>
      <c r="DA897" s="65" t="s">
        <v>4454</v>
      </c>
      <c r="DB897" s="65">
        <v>900</v>
      </c>
      <c r="DC897" s="65">
        <v>1000</v>
      </c>
      <c r="DF897" s="65" t="s">
        <v>1637</v>
      </c>
      <c r="DG897" s="65">
        <v>18</v>
      </c>
      <c r="DH897" s="65">
        <v>14.7</v>
      </c>
      <c r="DK897" s="65" t="s">
        <v>964</v>
      </c>
      <c r="DQ897" s="165">
        <v>5.6</v>
      </c>
      <c r="DR897" s="165">
        <v>5.5</v>
      </c>
      <c r="DV897" s="65">
        <f>379+110+0.03</f>
        <v>489.03</v>
      </c>
      <c r="DW897" s="65">
        <f>350+102+0.14</f>
        <v>452.14</v>
      </c>
      <c r="DZ897" s="65" t="s">
        <v>4469</v>
      </c>
      <c r="GP897" s="292" t="s">
        <v>7494</v>
      </c>
      <c r="JQ897" s="65">
        <v>99999</v>
      </c>
      <c r="JU897" s="55" t="s">
        <v>586</v>
      </c>
    </row>
    <row r="898" spans="1:282" x14ac:dyDescent="0.25">
      <c r="A898" s="55">
        <v>897</v>
      </c>
      <c r="B898" s="12" t="s">
        <v>7067</v>
      </c>
      <c r="C898" s="155">
        <v>42</v>
      </c>
      <c r="D898" s="55" t="s">
        <v>3872</v>
      </c>
      <c r="E898" s="90" t="s">
        <v>580</v>
      </c>
      <c r="G898" s="55" t="s">
        <v>581</v>
      </c>
      <c r="H898" s="55">
        <v>1989</v>
      </c>
      <c r="I898" s="55">
        <v>1987</v>
      </c>
      <c r="J898" s="55" t="s">
        <v>397</v>
      </c>
      <c r="K898" s="55" t="s">
        <v>583</v>
      </c>
      <c r="L898" s="55" t="s">
        <v>2737</v>
      </c>
      <c r="M898" s="235">
        <v>31.62</v>
      </c>
      <c r="N898" s="90">
        <v>-81.91</v>
      </c>
      <c r="O898" s="90">
        <v>33.700000000000003</v>
      </c>
      <c r="U898" s="55">
        <v>3</v>
      </c>
      <c r="V898" s="55">
        <v>3</v>
      </c>
      <c r="Y898" s="55" t="s">
        <v>1904</v>
      </c>
      <c r="Z898" s="55" t="s">
        <v>1368</v>
      </c>
      <c r="AA898" s="90" t="s">
        <v>1682</v>
      </c>
      <c r="AH898" s="55" t="s">
        <v>494</v>
      </c>
      <c r="AI898" s="168">
        <v>5.5</v>
      </c>
      <c r="AJ898" s="90">
        <v>0.72</v>
      </c>
      <c r="AM898" s="55" t="s">
        <v>1291</v>
      </c>
      <c r="AN898" s="185" t="s">
        <v>1485</v>
      </c>
      <c r="AO898" s="185" t="s">
        <v>5150</v>
      </c>
      <c r="AQ898" s="55" t="s">
        <v>553</v>
      </c>
      <c r="AR898" s="55" t="s">
        <v>218</v>
      </c>
      <c r="AS898" s="55" t="s">
        <v>218</v>
      </c>
      <c r="AU898" s="181" t="s">
        <v>7494</v>
      </c>
      <c r="AV898" s="185" t="s">
        <v>176</v>
      </c>
      <c r="AX898" s="185" t="s">
        <v>176</v>
      </c>
      <c r="BK898" s="55" t="s">
        <v>5976</v>
      </c>
      <c r="BM898" s="192" t="s">
        <v>119</v>
      </c>
      <c r="BN898" s="55">
        <v>4</v>
      </c>
      <c r="BO898" s="55">
        <v>4</v>
      </c>
      <c r="BQ898" s="55" t="s">
        <v>315</v>
      </c>
      <c r="BS898" s="55">
        <v>3544</v>
      </c>
      <c r="BT898" s="55">
        <v>32.814814814814817</v>
      </c>
      <c r="CM898" s="65">
        <f>0.72</f>
        <v>0.72</v>
      </c>
      <c r="CN898" s="65">
        <v>0.77</v>
      </c>
      <c r="CQ898" s="65" t="s">
        <v>163</v>
      </c>
      <c r="CV898" s="65" t="s">
        <v>3039</v>
      </c>
      <c r="DA898" s="65" t="s">
        <v>4454</v>
      </c>
      <c r="DB898" s="65">
        <v>900</v>
      </c>
      <c r="DC898" s="65">
        <v>1000</v>
      </c>
      <c r="DF898" s="65" t="s">
        <v>1637</v>
      </c>
      <c r="DG898" s="65">
        <v>18</v>
      </c>
      <c r="DH898" s="65">
        <v>11.5</v>
      </c>
      <c r="DK898" s="65" t="s">
        <v>964</v>
      </c>
      <c r="DQ898" s="165">
        <v>5.6</v>
      </c>
      <c r="DR898" s="165">
        <v>5</v>
      </c>
      <c r="DV898" s="65">
        <f>379+110+0.03</f>
        <v>489.03</v>
      </c>
      <c r="DW898" s="65">
        <f>281+71.1+0.54</f>
        <v>352.64000000000004</v>
      </c>
      <c r="DZ898" s="65" t="s">
        <v>4469</v>
      </c>
      <c r="GP898" s="292" t="s">
        <v>7494</v>
      </c>
      <c r="JQ898" s="65">
        <v>99999</v>
      </c>
      <c r="JU898" s="55" t="s">
        <v>586</v>
      </c>
    </row>
    <row r="899" spans="1:282" x14ac:dyDescent="0.25">
      <c r="A899" s="55">
        <v>898</v>
      </c>
      <c r="B899" s="12" t="s">
        <v>7067</v>
      </c>
      <c r="C899" s="155">
        <v>42</v>
      </c>
      <c r="D899" s="55" t="s">
        <v>3872</v>
      </c>
      <c r="E899" s="90" t="s">
        <v>580</v>
      </c>
      <c r="G899" s="55" t="s">
        <v>581</v>
      </c>
      <c r="H899" s="55">
        <v>1989</v>
      </c>
      <c r="I899" s="55">
        <v>1987</v>
      </c>
      <c r="J899" s="55" t="s">
        <v>397</v>
      </c>
      <c r="K899" s="55" t="s">
        <v>583</v>
      </c>
      <c r="L899" s="55" t="s">
        <v>2737</v>
      </c>
      <c r="M899" s="235">
        <v>31.62</v>
      </c>
      <c r="N899" s="90">
        <v>-81.91</v>
      </c>
      <c r="O899" s="90">
        <v>33.700000000000003</v>
      </c>
      <c r="U899" s="55">
        <v>3</v>
      </c>
      <c r="V899" s="55">
        <v>3</v>
      </c>
      <c r="Y899" s="55" t="s">
        <v>1904</v>
      </c>
      <c r="Z899" s="55" t="s">
        <v>1368</v>
      </c>
      <c r="AA899" s="90" t="s">
        <v>1682</v>
      </c>
      <c r="AH899" s="55" t="s">
        <v>494</v>
      </c>
      <c r="AI899" s="168">
        <v>5.5</v>
      </c>
      <c r="AJ899" s="90">
        <v>0.72</v>
      </c>
      <c r="AM899" s="55" t="s">
        <v>1291</v>
      </c>
      <c r="AN899" s="185" t="s">
        <v>241</v>
      </c>
      <c r="AO899" s="185" t="s">
        <v>5150</v>
      </c>
      <c r="AQ899" s="55" t="s">
        <v>553</v>
      </c>
      <c r="AR899" s="55" t="s">
        <v>218</v>
      </c>
      <c r="AS899" s="55" t="s">
        <v>218</v>
      </c>
      <c r="AU899" s="181" t="s">
        <v>7494</v>
      </c>
      <c r="AV899" s="185" t="s">
        <v>176</v>
      </c>
      <c r="AX899" s="185" t="s">
        <v>176</v>
      </c>
      <c r="BK899" s="55" t="s">
        <v>5976</v>
      </c>
      <c r="BM899" s="192" t="s">
        <v>119</v>
      </c>
      <c r="BN899" s="55">
        <v>4</v>
      </c>
      <c r="BO899" s="55">
        <v>4</v>
      </c>
      <c r="BQ899" s="55" t="s">
        <v>315</v>
      </c>
      <c r="BS899" s="55">
        <v>3433</v>
      </c>
      <c r="BT899" s="55">
        <v>26.8203125</v>
      </c>
      <c r="CM899" s="65">
        <f>0.72</f>
        <v>0.72</v>
      </c>
      <c r="CN899" s="65">
        <v>0.74</v>
      </c>
      <c r="CQ899" s="65" t="s">
        <v>163</v>
      </c>
      <c r="CV899" s="65" t="s">
        <v>3039</v>
      </c>
      <c r="DA899" s="65" t="s">
        <v>4454</v>
      </c>
      <c r="DB899" s="65">
        <v>900</v>
      </c>
      <c r="DC899" s="65">
        <v>1000</v>
      </c>
      <c r="DF899" s="65" t="s">
        <v>1637</v>
      </c>
      <c r="DG899" s="65">
        <v>18</v>
      </c>
      <c r="DH899" s="65">
        <v>12.4</v>
      </c>
      <c r="DK899" s="65" t="s">
        <v>964</v>
      </c>
      <c r="DQ899" s="165">
        <v>5.6</v>
      </c>
      <c r="DR899" s="165">
        <v>5.3</v>
      </c>
      <c r="DV899" s="65">
        <f>379+110+0.03</f>
        <v>489.03</v>
      </c>
      <c r="DW899" s="65">
        <f>341+95.6+0.09</f>
        <v>436.69</v>
      </c>
      <c r="DZ899" s="65" t="s">
        <v>4469</v>
      </c>
      <c r="GP899" s="292" t="s">
        <v>7494</v>
      </c>
      <c r="JQ899" s="65">
        <v>99999</v>
      </c>
      <c r="JU899" s="55" t="s">
        <v>586</v>
      </c>
    </row>
    <row r="900" spans="1:282" x14ac:dyDescent="0.25">
      <c r="A900" s="55">
        <v>899</v>
      </c>
      <c r="B900" s="12" t="s">
        <v>7067</v>
      </c>
      <c r="C900" s="155">
        <v>42</v>
      </c>
      <c r="D900" s="55" t="s">
        <v>3873</v>
      </c>
      <c r="E900" s="90" t="s">
        <v>580</v>
      </c>
      <c r="G900" s="55" t="s">
        <v>581</v>
      </c>
      <c r="H900" s="55">
        <v>1989</v>
      </c>
      <c r="I900" s="55">
        <v>1987</v>
      </c>
      <c r="J900" s="55" t="s">
        <v>397</v>
      </c>
      <c r="K900" s="55" t="s">
        <v>583</v>
      </c>
      <c r="L900" s="55" t="s">
        <v>2737</v>
      </c>
      <c r="M900" s="235">
        <v>31.62</v>
      </c>
      <c r="N900" s="90">
        <v>-81.91</v>
      </c>
      <c r="O900" s="90">
        <v>33.700000000000003</v>
      </c>
      <c r="U900" s="55">
        <v>3</v>
      </c>
      <c r="V900" s="55">
        <v>3</v>
      </c>
      <c r="Y900" s="55" t="s">
        <v>1904</v>
      </c>
      <c r="Z900" s="55" t="s">
        <v>1359</v>
      </c>
      <c r="AA900" s="90" t="s">
        <v>1679</v>
      </c>
      <c r="AH900" s="55" t="s">
        <v>494</v>
      </c>
      <c r="AI900" s="168">
        <v>5.5</v>
      </c>
      <c r="AJ900" s="90">
        <v>0.72</v>
      </c>
      <c r="AM900" s="55" t="s">
        <v>1291</v>
      </c>
      <c r="AN900" s="185" t="s">
        <v>116</v>
      </c>
      <c r="AO900" s="185" t="s">
        <v>5150</v>
      </c>
      <c r="AQ900" s="55" t="s">
        <v>1545</v>
      </c>
      <c r="AR900" s="55" t="s">
        <v>218</v>
      </c>
      <c r="AS900" s="55" t="s">
        <v>218</v>
      </c>
      <c r="AU900" s="181" t="s">
        <v>7494</v>
      </c>
      <c r="AV900" s="185" t="s">
        <v>176</v>
      </c>
      <c r="AX900" s="185" t="s">
        <v>176</v>
      </c>
      <c r="BK900" s="55" t="s">
        <v>5976</v>
      </c>
      <c r="BM900" s="192" t="s">
        <v>119</v>
      </c>
      <c r="BN900" s="55">
        <v>4</v>
      </c>
      <c r="BO900" s="55">
        <v>4</v>
      </c>
      <c r="BQ900" s="55" t="s">
        <v>315</v>
      </c>
      <c r="BS900" s="55">
        <v>1775</v>
      </c>
      <c r="BT900" s="55">
        <v>55.46875</v>
      </c>
      <c r="CM900" s="65">
        <v>0.68</v>
      </c>
      <c r="CN900" s="65">
        <v>0.66</v>
      </c>
      <c r="CQ900" s="65" t="s">
        <v>163</v>
      </c>
      <c r="CV900" s="65" t="s">
        <v>3039</v>
      </c>
      <c r="DA900" s="65" t="s">
        <v>4454</v>
      </c>
      <c r="DB900" s="65">
        <v>900</v>
      </c>
      <c r="DC900" s="65">
        <v>900</v>
      </c>
      <c r="DF900" s="65" t="s">
        <v>1637</v>
      </c>
      <c r="DG900" s="65">
        <v>16</v>
      </c>
      <c r="DH900" s="65">
        <v>14.4</v>
      </c>
      <c r="DK900" s="65" t="s">
        <v>964</v>
      </c>
      <c r="DQ900" s="165">
        <v>6</v>
      </c>
      <c r="DR900" s="165">
        <v>5.9</v>
      </c>
      <c r="DV900" s="65">
        <f>415+132+0</f>
        <v>547</v>
      </c>
      <c r="DW900" s="65">
        <f>405+127+0</f>
        <v>532</v>
      </c>
      <c r="DZ900" s="65" t="s">
        <v>4469</v>
      </c>
      <c r="GP900" s="292" t="s">
        <v>7494</v>
      </c>
      <c r="JQ900" s="65">
        <v>99999</v>
      </c>
      <c r="JU900" s="55" t="s">
        <v>586</v>
      </c>
    </row>
    <row r="901" spans="1:282" x14ac:dyDescent="0.25">
      <c r="A901" s="55">
        <v>900</v>
      </c>
      <c r="B901" s="12" t="s">
        <v>7067</v>
      </c>
      <c r="C901" s="155">
        <v>42</v>
      </c>
      <c r="D901" s="55" t="s">
        <v>3874</v>
      </c>
      <c r="E901" s="90" t="s">
        <v>580</v>
      </c>
      <c r="G901" s="55" t="s">
        <v>581</v>
      </c>
      <c r="H901" s="55">
        <v>1989</v>
      </c>
      <c r="I901" s="55">
        <v>1987</v>
      </c>
      <c r="J901" s="55" t="s">
        <v>397</v>
      </c>
      <c r="K901" s="55" t="s">
        <v>583</v>
      </c>
      <c r="L901" s="55" t="s">
        <v>2737</v>
      </c>
      <c r="M901" s="235">
        <v>31.62</v>
      </c>
      <c r="N901" s="90">
        <v>-81.91</v>
      </c>
      <c r="O901" s="90">
        <v>33.700000000000003</v>
      </c>
      <c r="U901" s="55">
        <v>3</v>
      </c>
      <c r="V901" s="55">
        <v>3</v>
      </c>
      <c r="Y901" s="55" t="s">
        <v>1904</v>
      </c>
      <c r="Z901" s="55" t="s">
        <v>1359</v>
      </c>
      <c r="AA901" s="90" t="s">
        <v>1679</v>
      </c>
      <c r="AH901" s="55" t="s">
        <v>494</v>
      </c>
      <c r="AI901" s="168">
        <v>5.5</v>
      </c>
      <c r="AJ901" s="90">
        <v>0.72</v>
      </c>
      <c r="AM901" s="55" t="s">
        <v>1291</v>
      </c>
      <c r="AN901" s="185" t="s">
        <v>1485</v>
      </c>
      <c r="AO901" s="185" t="s">
        <v>5150</v>
      </c>
      <c r="AQ901" s="55" t="s">
        <v>553</v>
      </c>
      <c r="AR901" s="55" t="s">
        <v>218</v>
      </c>
      <c r="AS901" s="55" t="s">
        <v>218</v>
      </c>
      <c r="AU901" s="181" t="s">
        <v>7494</v>
      </c>
      <c r="AV901" s="185" t="s">
        <v>176</v>
      </c>
      <c r="AX901" s="185" t="s">
        <v>176</v>
      </c>
      <c r="BK901" s="55" t="s">
        <v>5976</v>
      </c>
      <c r="BM901" s="192" t="s">
        <v>119</v>
      </c>
      <c r="BN901" s="55">
        <v>4</v>
      </c>
      <c r="BO901" s="55">
        <v>4</v>
      </c>
      <c r="BQ901" s="55" t="s">
        <v>315</v>
      </c>
      <c r="BS901" s="55">
        <v>3544</v>
      </c>
      <c r="BT901" s="55">
        <v>32.814814814814817</v>
      </c>
      <c r="CM901" s="65">
        <v>0.68</v>
      </c>
      <c r="CN901" s="65">
        <v>0.71</v>
      </c>
      <c r="CQ901" s="65" t="s">
        <v>163</v>
      </c>
      <c r="CV901" s="65" t="s">
        <v>3039</v>
      </c>
      <c r="DA901" s="65" t="s">
        <v>4454</v>
      </c>
      <c r="DB901" s="65">
        <v>900</v>
      </c>
      <c r="DC901" s="65">
        <v>900</v>
      </c>
      <c r="DF901" s="65" t="s">
        <v>1637</v>
      </c>
      <c r="DG901" s="65">
        <v>16</v>
      </c>
      <c r="DH901" s="65">
        <v>10.5</v>
      </c>
      <c r="DK901" s="65" t="s">
        <v>964</v>
      </c>
      <c r="DQ901" s="165">
        <v>6</v>
      </c>
      <c r="DR901" s="165">
        <v>5.5</v>
      </c>
      <c r="DV901" s="65">
        <f>415+132+0</f>
        <v>547</v>
      </c>
      <c r="DW901" s="65">
        <f>359+107+0.05</f>
        <v>466.05</v>
      </c>
      <c r="DZ901" s="65" t="s">
        <v>4469</v>
      </c>
      <c r="GP901" s="292" t="s">
        <v>7494</v>
      </c>
      <c r="JQ901" s="65">
        <v>99999</v>
      </c>
      <c r="JU901" s="55" t="s">
        <v>586</v>
      </c>
    </row>
    <row r="902" spans="1:282" x14ac:dyDescent="0.25">
      <c r="A902" s="55">
        <v>901</v>
      </c>
      <c r="B902" s="12" t="s">
        <v>7067</v>
      </c>
      <c r="C902" s="155">
        <v>42</v>
      </c>
      <c r="D902" s="55" t="s">
        <v>3874</v>
      </c>
      <c r="E902" s="90" t="s">
        <v>580</v>
      </c>
      <c r="G902" s="55" t="s">
        <v>581</v>
      </c>
      <c r="H902" s="55">
        <v>1989</v>
      </c>
      <c r="I902" s="55">
        <v>1987</v>
      </c>
      <c r="J902" s="55" t="s">
        <v>397</v>
      </c>
      <c r="K902" s="55" t="s">
        <v>583</v>
      </c>
      <c r="L902" s="55" t="s">
        <v>2737</v>
      </c>
      <c r="M902" s="235">
        <v>31.62</v>
      </c>
      <c r="N902" s="90">
        <v>-81.91</v>
      </c>
      <c r="O902" s="90">
        <v>33.700000000000003</v>
      </c>
      <c r="U902" s="55">
        <v>3</v>
      </c>
      <c r="V902" s="55">
        <v>3</v>
      </c>
      <c r="Y902" s="55" t="s">
        <v>1904</v>
      </c>
      <c r="Z902" s="55" t="s">
        <v>1359</v>
      </c>
      <c r="AA902" s="90" t="s">
        <v>1679</v>
      </c>
      <c r="AH902" s="55" t="s">
        <v>494</v>
      </c>
      <c r="AI902" s="168">
        <v>5.5</v>
      </c>
      <c r="AJ902" s="90">
        <v>0.72</v>
      </c>
      <c r="AM902" s="55" t="s">
        <v>1291</v>
      </c>
      <c r="AN902" s="185" t="s">
        <v>241</v>
      </c>
      <c r="AO902" s="185" t="s">
        <v>5150</v>
      </c>
      <c r="AQ902" s="55" t="s">
        <v>553</v>
      </c>
      <c r="AR902" s="55" t="s">
        <v>218</v>
      </c>
      <c r="AS902" s="55" t="s">
        <v>218</v>
      </c>
      <c r="AU902" s="181" t="s">
        <v>7494</v>
      </c>
      <c r="AV902" s="185" t="s">
        <v>176</v>
      </c>
      <c r="AX902" s="185" t="s">
        <v>176</v>
      </c>
      <c r="BK902" s="55" t="s">
        <v>5976</v>
      </c>
      <c r="BM902" s="192" t="s">
        <v>119</v>
      </c>
      <c r="BN902" s="55">
        <v>4</v>
      </c>
      <c r="BO902" s="55">
        <v>4</v>
      </c>
      <c r="BQ902" s="55" t="s">
        <v>315</v>
      </c>
      <c r="BS902" s="55">
        <v>3433</v>
      </c>
      <c r="BT902" s="55">
        <v>26.8203125</v>
      </c>
      <c r="CM902" s="65">
        <v>0.68</v>
      </c>
      <c r="CN902" s="65">
        <v>0.67</v>
      </c>
      <c r="CQ902" s="65" t="s">
        <v>163</v>
      </c>
      <c r="CV902" s="65" t="s">
        <v>3039</v>
      </c>
      <c r="DA902" s="65" t="s">
        <v>4454</v>
      </c>
      <c r="DB902" s="65">
        <v>900</v>
      </c>
      <c r="DC902" s="65">
        <v>900</v>
      </c>
      <c r="DF902" s="65" t="s">
        <v>1637</v>
      </c>
      <c r="DG902" s="65">
        <v>16</v>
      </c>
      <c r="DH902" s="65">
        <v>10.8</v>
      </c>
      <c r="DK902" s="65" t="s">
        <v>964</v>
      </c>
      <c r="DQ902" s="165">
        <v>6</v>
      </c>
      <c r="DR902" s="165">
        <v>5.9</v>
      </c>
      <c r="DV902" s="65">
        <f>415+132+0</f>
        <v>547</v>
      </c>
      <c r="DW902" s="65">
        <f>397+121+0</f>
        <v>518</v>
      </c>
      <c r="DZ902" s="65" t="s">
        <v>4469</v>
      </c>
      <c r="GP902" s="292" t="s">
        <v>7494</v>
      </c>
      <c r="JQ902" s="65">
        <v>99999</v>
      </c>
      <c r="JU902" s="55" t="s">
        <v>586</v>
      </c>
    </row>
    <row r="903" spans="1:282" x14ac:dyDescent="0.25">
      <c r="A903" s="55">
        <v>902</v>
      </c>
      <c r="B903" s="12" t="s">
        <v>7067</v>
      </c>
      <c r="C903" s="155">
        <v>43</v>
      </c>
      <c r="D903" s="55" t="s">
        <v>3875</v>
      </c>
      <c r="E903" s="90" t="s">
        <v>589</v>
      </c>
      <c r="G903" s="55" t="s">
        <v>590</v>
      </c>
      <c r="H903" s="55">
        <v>1999</v>
      </c>
      <c r="I903" s="55">
        <v>1995</v>
      </c>
      <c r="J903" s="55" t="s">
        <v>397</v>
      </c>
      <c r="K903" s="55" t="s">
        <v>128</v>
      </c>
      <c r="L903" s="55" t="s">
        <v>2737</v>
      </c>
      <c r="M903" s="90">
        <v>45.231000000000002</v>
      </c>
      <c r="N903" s="90">
        <v>-122.756</v>
      </c>
      <c r="O903" s="90">
        <v>48.4</v>
      </c>
      <c r="S903" s="90">
        <v>1040</v>
      </c>
      <c r="T903" s="55" t="s">
        <v>133</v>
      </c>
      <c r="U903" s="55">
        <v>1</v>
      </c>
      <c r="V903" s="55">
        <v>1</v>
      </c>
      <c r="Y903" s="55" t="s">
        <v>226</v>
      </c>
      <c r="Z903" s="55" t="s">
        <v>1346</v>
      </c>
      <c r="AA903" s="90" t="s">
        <v>1675</v>
      </c>
      <c r="AE903" s="90">
        <v>31.3</v>
      </c>
      <c r="AF903" s="90">
        <v>54</v>
      </c>
      <c r="AH903" s="55" t="s">
        <v>6378</v>
      </c>
      <c r="AM903" s="55" t="s">
        <v>1304</v>
      </c>
      <c r="AN903" s="185" t="s">
        <v>592</v>
      </c>
      <c r="AO903" s="185" t="s">
        <v>5150</v>
      </c>
      <c r="AQ903" s="55" t="s">
        <v>131</v>
      </c>
      <c r="AR903" s="55" t="s">
        <v>1567</v>
      </c>
      <c r="AS903" s="55" t="s">
        <v>1580</v>
      </c>
      <c r="AT903" s="181" t="s">
        <v>591</v>
      </c>
      <c r="AU903" s="181" t="s">
        <v>5150</v>
      </c>
      <c r="AV903" s="185" t="s">
        <v>176</v>
      </c>
      <c r="AW903" s="55" t="s">
        <v>591</v>
      </c>
      <c r="AX903" s="185" t="s">
        <v>176</v>
      </c>
      <c r="AY903" s="55" t="s">
        <v>176</v>
      </c>
      <c r="BK903" s="55" t="s">
        <v>5976</v>
      </c>
      <c r="BM903" s="192" t="s">
        <v>119</v>
      </c>
      <c r="BN903" s="55">
        <v>4</v>
      </c>
      <c r="BO903" s="55">
        <v>4</v>
      </c>
      <c r="BQ903" s="55" t="s">
        <v>141</v>
      </c>
      <c r="CM903" s="65">
        <f>18.3/10</f>
        <v>1.83</v>
      </c>
      <c r="CN903" s="65">
        <v>1.66</v>
      </c>
      <c r="CQ903" s="65" t="s">
        <v>4338</v>
      </c>
      <c r="CV903" s="65" t="s">
        <v>3040</v>
      </c>
      <c r="DA903" s="65" t="s">
        <v>4456</v>
      </c>
      <c r="GP903" s="292" t="s">
        <v>7494</v>
      </c>
      <c r="HS903" s="65">
        <v>52.5</v>
      </c>
      <c r="HT903" s="65">
        <v>56.5</v>
      </c>
      <c r="HW903" s="65" t="s">
        <v>597</v>
      </c>
      <c r="HX903" s="65">
        <v>62.1</v>
      </c>
      <c r="HY903" s="65">
        <v>59.3</v>
      </c>
      <c r="JG903" s="65">
        <v>135</v>
      </c>
      <c r="JH903" s="65">
        <v>196</v>
      </c>
      <c r="JK903" s="65" t="s">
        <v>595</v>
      </c>
      <c r="JU903" s="55" t="s">
        <v>598</v>
      </c>
    </row>
    <row r="904" spans="1:282" x14ac:dyDescent="0.25">
      <c r="A904" s="55">
        <v>903</v>
      </c>
      <c r="B904" s="12" t="s">
        <v>7067</v>
      </c>
      <c r="C904" s="155">
        <v>43</v>
      </c>
      <c r="D904" s="55" t="s">
        <v>3876</v>
      </c>
      <c r="E904" s="90" t="s">
        <v>589</v>
      </c>
      <c r="G904" s="55" t="s">
        <v>590</v>
      </c>
      <c r="H904" s="55">
        <v>1999</v>
      </c>
      <c r="I904" s="55">
        <v>1995</v>
      </c>
      <c r="J904" s="55" t="s">
        <v>397</v>
      </c>
      <c r="K904" s="55" t="s">
        <v>128</v>
      </c>
      <c r="L904" s="55" t="s">
        <v>2737</v>
      </c>
      <c r="M904" s="90">
        <v>45.231000000000002</v>
      </c>
      <c r="N904" s="90">
        <v>-122.756</v>
      </c>
      <c r="O904" s="90">
        <v>48.4</v>
      </c>
      <c r="S904" s="90">
        <v>1040</v>
      </c>
      <c r="T904" s="55" t="s">
        <v>133</v>
      </c>
      <c r="U904" s="55">
        <v>1</v>
      </c>
      <c r="V904" s="55">
        <v>1</v>
      </c>
      <c r="Y904" s="55" t="s">
        <v>226</v>
      </c>
      <c r="Z904" s="55" t="s">
        <v>1346</v>
      </c>
      <c r="AA904" s="90" t="s">
        <v>1675</v>
      </c>
      <c r="AE904" s="90">
        <v>31.3</v>
      </c>
      <c r="AF904" s="90">
        <v>54</v>
      </c>
      <c r="AH904" s="55" t="s">
        <v>6378</v>
      </c>
      <c r="AM904" s="55" t="s">
        <v>1304</v>
      </c>
      <c r="AN904" s="185" t="s">
        <v>553</v>
      </c>
      <c r="AO904" s="185" t="s">
        <v>5150</v>
      </c>
      <c r="AQ904" s="55" t="s">
        <v>553</v>
      </c>
      <c r="AR904" s="55" t="s">
        <v>1567</v>
      </c>
      <c r="AS904" s="55" t="s">
        <v>1580</v>
      </c>
      <c r="AT904" s="181" t="s">
        <v>591</v>
      </c>
      <c r="AU904" s="181" t="s">
        <v>5150</v>
      </c>
      <c r="AV904" s="185" t="s">
        <v>176</v>
      </c>
      <c r="AW904" s="55" t="s">
        <v>591</v>
      </c>
      <c r="AX904" s="185" t="s">
        <v>176</v>
      </c>
      <c r="AY904" s="55" t="s">
        <v>176</v>
      </c>
      <c r="BK904" s="55" t="s">
        <v>5976</v>
      </c>
      <c r="BM904" s="192" t="s">
        <v>119</v>
      </c>
      <c r="BN904" s="55">
        <v>4</v>
      </c>
      <c r="BO904" s="55">
        <v>4</v>
      </c>
      <c r="BQ904" s="55" t="s">
        <v>141</v>
      </c>
      <c r="CM904" s="65">
        <f>18.3/10</f>
        <v>1.83</v>
      </c>
      <c r="CN904" s="65">
        <v>1.76</v>
      </c>
      <c r="CQ904" s="65" t="s">
        <v>4338</v>
      </c>
      <c r="CV904" s="65" t="s">
        <v>3040</v>
      </c>
      <c r="DA904" s="65" t="s">
        <v>4456</v>
      </c>
      <c r="GP904" s="292" t="s">
        <v>7494</v>
      </c>
      <c r="HS904" s="65">
        <v>52.5</v>
      </c>
      <c r="HT904" s="65">
        <v>64.900000000000006</v>
      </c>
      <c r="HW904" s="65" t="s">
        <v>597</v>
      </c>
      <c r="HX904" s="65">
        <v>62.1</v>
      </c>
      <c r="HY904" s="65">
        <v>62.1</v>
      </c>
      <c r="JG904" s="65">
        <v>135</v>
      </c>
      <c r="JH904" s="65">
        <v>206</v>
      </c>
      <c r="JK904" s="65" t="s">
        <v>595</v>
      </c>
      <c r="JU904" s="55" t="s">
        <v>598</v>
      </c>
    </row>
    <row r="905" spans="1:282" x14ac:dyDescent="0.25">
      <c r="A905" s="55">
        <v>904</v>
      </c>
      <c r="B905" s="12" t="s">
        <v>7067</v>
      </c>
      <c r="C905" s="155">
        <v>43</v>
      </c>
      <c r="D905" s="55" t="s">
        <v>3875</v>
      </c>
      <c r="E905" s="90" t="s">
        <v>589</v>
      </c>
      <c r="G905" s="55" t="s">
        <v>590</v>
      </c>
      <c r="H905" s="55">
        <v>1999</v>
      </c>
      <c r="I905" s="55">
        <v>1996</v>
      </c>
      <c r="J905" s="55" t="s">
        <v>397</v>
      </c>
      <c r="K905" s="55" t="s">
        <v>128</v>
      </c>
      <c r="L905" s="55" t="s">
        <v>2737</v>
      </c>
      <c r="M905" s="90">
        <v>45.231000000000002</v>
      </c>
      <c r="N905" s="90">
        <v>-122.756</v>
      </c>
      <c r="O905" s="90">
        <v>48.4</v>
      </c>
      <c r="S905" s="90">
        <v>1040</v>
      </c>
      <c r="T905" s="55" t="s">
        <v>133</v>
      </c>
      <c r="U905" s="55">
        <v>2</v>
      </c>
      <c r="V905" s="55">
        <v>2</v>
      </c>
      <c r="Y905" s="55" t="s">
        <v>572</v>
      </c>
      <c r="Z905" s="55" t="s">
        <v>1346</v>
      </c>
      <c r="AA905" s="90" t="s">
        <v>1675</v>
      </c>
      <c r="AE905" s="90">
        <v>31.3</v>
      </c>
      <c r="AF905" s="90">
        <v>54</v>
      </c>
      <c r="AH905" s="55" t="s">
        <v>6378</v>
      </c>
      <c r="AM905" s="55" t="s">
        <v>1304</v>
      </c>
      <c r="AN905" s="185" t="s">
        <v>592</v>
      </c>
      <c r="AO905" s="185" t="s">
        <v>5150</v>
      </c>
      <c r="AQ905" s="55" t="s">
        <v>131</v>
      </c>
      <c r="AR905" s="55" t="s">
        <v>1567</v>
      </c>
      <c r="AS905" s="55" t="s">
        <v>1580</v>
      </c>
      <c r="AT905" s="181" t="s">
        <v>591</v>
      </c>
      <c r="AU905" s="181" t="s">
        <v>5150</v>
      </c>
      <c r="AV905" s="185" t="s">
        <v>176</v>
      </c>
      <c r="AW905" s="55" t="s">
        <v>591</v>
      </c>
      <c r="AX905" s="185" t="s">
        <v>176</v>
      </c>
      <c r="AY905" s="55" t="s">
        <v>176</v>
      </c>
      <c r="BK905" s="55" t="s">
        <v>5976</v>
      </c>
      <c r="BM905" s="192" t="s">
        <v>119</v>
      </c>
      <c r="BN905" s="55">
        <v>4</v>
      </c>
      <c r="BO905" s="55">
        <v>4</v>
      </c>
      <c r="BQ905" s="55" t="s">
        <v>141</v>
      </c>
      <c r="CM905" s="65">
        <v>1.64</v>
      </c>
      <c r="CN905" s="65">
        <v>1.46</v>
      </c>
      <c r="CQ905" s="65" t="s">
        <v>4338</v>
      </c>
      <c r="CV905" s="65" t="s">
        <v>3040</v>
      </c>
      <c r="DA905" s="65" t="s">
        <v>4456</v>
      </c>
      <c r="DB905" s="65">
        <v>839</v>
      </c>
      <c r="DC905" s="65">
        <v>718</v>
      </c>
      <c r="DF905" s="65" t="s">
        <v>594</v>
      </c>
      <c r="GP905" s="292" t="s">
        <v>7494</v>
      </c>
      <c r="HS905" s="65">
        <v>51.9</v>
      </c>
      <c r="HT905" s="65">
        <v>64.8</v>
      </c>
      <c r="HW905" s="65" t="s">
        <v>597</v>
      </c>
      <c r="HX905" s="65">
        <v>30.3</v>
      </c>
      <c r="HY905" s="65">
        <v>47.6</v>
      </c>
      <c r="IC905" s="65">
        <v>10.4</v>
      </c>
      <c r="ID905" s="65">
        <v>16.600000000000001</v>
      </c>
      <c r="JG905" s="65">
        <v>109</v>
      </c>
      <c r="JH905" s="65">
        <v>91</v>
      </c>
      <c r="JK905" s="65" t="s">
        <v>595</v>
      </c>
      <c r="JU905" s="55" t="s">
        <v>598</v>
      </c>
    </row>
    <row r="906" spans="1:282" x14ac:dyDescent="0.25">
      <c r="A906" s="55">
        <v>905</v>
      </c>
      <c r="B906" s="12" t="s">
        <v>7067</v>
      </c>
      <c r="C906" s="155">
        <v>43</v>
      </c>
      <c r="D906" s="55" t="s">
        <v>3876</v>
      </c>
      <c r="E906" s="90" t="s">
        <v>589</v>
      </c>
      <c r="G906" s="55" t="s">
        <v>590</v>
      </c>
      <c r="H906" s="55">
        <v>1999</v>
      </c>
      <c r="I906" s="55">
        <v>1996</v>
      </c>
      <c r="J906" s="55" t="s">
        <v>397</v>
      </c>
      <c r="K906" s="55" t="s">
        <v>128</v>
      </c>
      <c r="L906" s="55" t="s">
        <v>2737</v>
      </c>
      <c r="M906" s="90">
        <v>45.231000000000002</v>
      </c>
      <c r="N906" s="90">
        <v>-122.756</v>
      </c>
      <c r="O906" s="90">
        <v>48.4</v>
      </c>
      <c r="S906" s="90">
        <v>1040</v>
      </c>
      <c r="T906" s="55" t="s">
        <v>133</v>
      </c>
      <c r="U906" s="55">
        <v>2</v>
      </c>
      <c r="V906" s="55">
        <v>2</v>
      </c>
      <c r="Y906" s="55" t="s">
        <v>572</v>
      </c>
      <c r="Z906" s="55" t="s">
        <v>1346</v>
      </c>
      <c r="AA906" s="90" t="s">
        <v>1675</v>
      </c>
      <c r="AE906" s="90">
        <v>31.3</v>
      </c>
      <c r="AF906" s="90">
        <v>54</v>
      </c>
      <c r="AH906" s="55" t="s">
        <v>6378</v>
      </c>
      <c r="AM906" s="55" t="s">
        <v>1304</v>
      </c>
      <c r="AN906" s="185" t="s">
        <v>553</v>
      </c>
      <c r="AO906" s="185" t="s">
        <v>5150</v>
      </c>
      <c r="AQ906" s="55" t="s">
        <v>553</v>
      </c>
      <c r="AR906" s="55" t="s">
        <v>1567</v>
      </c>
      <c r="AS906" s="55" t="s">
        <v>1580</v>
      </c>
      <c r="AT906" s="181" t="s">
        <v>591</v>
      </c>
      <c r="AU906" s="181" t="s">
        <v>5150</v>
      </c>
      <c r="AV906" s="185" t="s">
        <v>176</v>
      </c>
      <c r="AW906" s="55" t="s">
        <v>591</v>
      </c>
      <c r="AX906" s="185" t="s">
        <v>176</v>
      </c>
      <c r="AY906" s="55" t="s">
        <v>176</v>
      </c>
      <c r="BK906" s="55" t="s">
        <v>5976</v>
      </c>
      <c r="BM906" s="192" t="s">
        <v>119</v>
      </c>
      <c r="BN906" s="55">
        <v>4</v>
      </c>
      <c r="BO906" s="55">
        <v>4</v>
      </c>
      <c r="BQ906" s="55" t="s">
        <v>141</v>
      </c>
      <c r="CM906" s="65">
        <v>1.64</v>
      </c>
      <c r="CN906" s="65">
        <v>1.63</v>
      </c>
      <c r="CQ906" s="65" t="s">
        <v>4338</v>
      </c>
      <c r="CV906" s="65" t="s">
        <v>3040</v>
      </c>
      <c r="DA906" s="65" t="s">
        <v>4456</v>
      </c>
      <c r="DB906" s="65">
        <v>839</v>
      </c>
      <c r="DC906" s="65">
        <v>753</v>
      </c>
      <c r="DF906" s="65" t="s">
        <v>594</v>
      </c>
      <c r="GP906" s="292" t="s">
        <v>7494</v>
      </c>
      <c r="HS906" s="65">
        <v>51.9</v>
      </c>
      <c r="HT906" s="65">
        <v>73.099999999999994</v>
      </c>
      <c r="HW906" s="65" t="s">
        <v>597</v>
      </c>
      <c r="HX906" s="65">
        <v>30.3</v>
      </c>
      <c r="HY906" s="65">
        <v>45.4</v>
      </c>
      <c r="IC906" s="65">
        <v>10.4</v>
      </c>
      <c r="ID906" s="65">
        <v>13.4</v>
      </c>
      <c r="JG906" s="65">
        <v>109</v>
      </c>
      <c r="JH906" s="65">
        <v>104</v>
      </c>
      <c r="JK906" s="65" t="s">
        <v>595</v>
      </c>
      <c r="JU906" s="55" t="s">
        <v>598</v>
      </c>
    </row>
    <row r="907" spans="1:282" x14ac:dyDescent="0.25">
      <c r="A907" s="55">
        <v>906</v>
      </c>
      <c r="B907" s="12" t="s">
        <v>7067</v>
      </c>
      <c r="C907" s="155">
        <v>43</v>
      </c>
      <c r="D907" s="55" t="s">
        <v>3875</v>
      </c>
      <c r="E907" s="90" t="s">
        <v>589</v>
      </c>
      <c r="G907" s="55" t="s">
        <v>590</v>
      </c>
      <c r="H907" s="55">
        <v>1999</v>
      </c>
      <c r="I907" s="55">
        <v>1996</v>
      </c>
      <c r="J907" s="55" t="s">
        <v>397</v>
      </c>
      <c r="K907" s="55" t="s">
        <v>128</v>
      </c>
      <c r="L907" s="55" t="s">
        <v>2737</v>
      </c>
      <c r="M907" s="90">
        <v>45.231000000000002</v>
      </c>
      <c r="N907" s="90">
        <v>-122.756</v>
      </c>
      <c r="O907" s="90">
        <v>48.4</v>
      </c>
      <c r="S907" s="90">
        <v>1040</v>
      </c>
      <c r="T907" s="55" t="s">
        <v>133</v>
      </c>
      <c r="U907" s="55">
        <v>2</v>
      </c>
      <c r="V907" s="55">
        <v>2</v>
      </c>
      <c r="Y907" s="55" t="s">
        <v>226</v>
      </c>
      <c r="Z907" s="55" t="s">
        <v>1346</v>
      </c>
      <c r="AA907" s="90" t="s">
        <v>1675</v>
      </c>
      <c r="AE907" s="90">
        <v>31.3</v>
      </c>
      <c r="AF907" s="90">
        <v>54</v>
      </c>
      <c r="AH907" s="55" t="s">
        <v>6378</v>
      </c>
      <c r="AM907" s="55" t="s">
        <v>1304</v>
      </c>
      <c r="AN907" s="185" t="s">
        <v>592</v>
      </c>
      <c r="AO907" s="185" t="s">
        <v>5150</v>
      </c>
      <c r="AQ907" s="55" t="s">
        <v>131</v>
      </c>
      <c r="AR907" s="55" t="s">
        <v>1567</v>
      </c>
      <c r="AS907" s="55" t="s">
        <v>1580</v>
      </c>
      <c r="AT907" s="181" t="s">
        <v>591</v>
      </c>
      <c r="AU907" s="181" t="s">
        <v>5150</v>
      </c>
      <c r="AV907" s="185" t="s">
        <v>176</v>
      </c>
      <c r="AW907" s="55" t="s">
        <v>591</v>
      </c>
      <c r="AX907" s="185" t="s">
        <v>176</v>
      </c>
      <c r="AY907" s="55" t="s">
        <v>176</v>
      </c>
      <c r="BK907" s="55" t="s">
        <v>5976</v>
      </c>
      <c r="BM907" s="192" t="s">
        <v>119</v>
      </c>
      <c r="BN907" s="55">
        <v>4</v>
      </c>
      <c r="BO907" s="55">
        <v>4</v>
      </c>
      <c r="BQ907" s="55" t="s">
        <v>141</v>
      </c>
      <c r="CM907" s="65">
        <v>1.75</v>
      </c>
      <c r="CN907" s="65">
        <v>1.43</v>
      </c>
      <c r="CQ907" s="65" t="s">
        <v>4338</v>
      </c>
      <c r="CV907" s="65" t="s">
        <v>3040</v>
      </c>
      <c r="DA907" s="65" t="s">
        <v>4456</v>
      </c>
      <c r="DB907" s="65">
        <v>843</v>
      </c>
      <c r="DC907" s="65">
        <v>792</v>
      </c>
      <c r="DF907" s="65" t="s">
        <v>594</v>
      </c>
      <c r="GP907" s="292" t="s">
        <v>7494</v>
      </c>
      <c r="HS907" s="65">
        <v>77.400000000000006</v>
      </c>
      <c r="HT907" s="65">
        <v>109.2</v>
      </c>
      <c r="HW907" s="65" t="s">
        <v>597</v>
      </c>
      <c r="HX907" s="65">
        <v>43.3</v>
      </c>
      <c r="HY907" s="65">
        <v>48.4</v>
      </c>
      <c r="IC907" s="65">
        <v>7.1</v>
      </c>
      <c r="ID907" s="65">
        <v>8.3000000000000007</v>
      </c>
      <c r="JG907" s="65">
        <v>112</v>
      </c>
      <c r="JH907" s="65">
        <v>115</v>
      </c>
      <c r="JK907" s="65" t="s">
        <v>595</v>
      </c>
      <c r="JU907" s="55" t="s">
        <v>598</v>
      </c>
    </row>
    <row r="908" spans="1:282" x14ac:dyDescent="0.25">
      <c r="A908" s="55">
        <v>907</v>
      </c>
      <c r="B908" s="12" t="s">
        <v>7067</v>
      </c>
      <c r="C908" s="155">
        <v>43</v>
      </c>
      <c r="D908" s="55" t="s">
        <v>3876</v>
      </c>
      <c r="E908" s="90" t="s">
        <v>589</v>
      </c>
      <c r="G908" s="55" t="s">
        <v>590</v>
      </c>
      <c r="H908" s="55">
        <v>1999</v>
      </c>
      <c r="I908" s="55">
        <v>1996</v>
      </c>
      <c r="J908" s="55" t="s">
        <v>397</v>
      </c>
      <c r="K908" s="55" t="s">
        <v>128</v>
      </c>
      <c r="L908" s="55" t="s">
        <v>2737</v>
      </c>
      <c r="M908" s="90">
        <v>45.231000000000002</v>
      </c>
      <c r="N908" s="90">
        <v>-122.756</v>
      </c>
      <c r="O908" s="90">
        <v>48.4</v>
      </c>
      <c r="S908" s="90">
        <v>1040</v>
      </c>
      <c r="T908" s="55" t="s">
        <v>133</v>
      </c>
      <c r="U908" s="55">
        <v>2</v>
      </c>
      <c r="V908" s="55">
        <v>2</v>
      </c>
      <c r="Y908" s="55" t="s">
        <v>226</v>
      </c>
      <c r="Z908" s="55" t="s">
        <v>1346</v>
      </c>
      <c r="AA908" s="90" t="s">
        <v>1675</v>
      </c>
      <c r="AE908" s="90">
        <v>31.3</v>
      </c>
      <c r="AF908" s="90">
        <v>54</v>
      </c>
      <c r="AH908" s="55" t="s">
        <v>6378</v>
      </c>
      <c r="AM908" s="55" t="s">
        <v>1304</v>
      </c>
      <c r="AN908" s="185" t="s">
        <v>553</v>
      </c>
      <c r="AO908" s="185" t="s">
        <v>5150</v>
      </c>
      <c r="AQ908" s="55" t="s">
        <v>553</v>
      </c>
      <c r="AR908" s="55" t="s">
        <v>1567</v>
      </c>
      <c r="AS908" s="55" t="s">
        <v>1580</v>
      </c>
      <c r="AT908" s="181" t="s">
        <v>591</v>
      </c>
      <c r="AU908" s="181" t="s">
        <v>5150</v>
      </c>
      <c r="AV908" s="185" t="s">
        <v>176</v>
      </c>
      <c r="AW908" s="55" t="s">
        <v>591</v>
      </c>
      <c r="AX908" s="185" t="s">
        <v>176</v>
      </c>
      <c r="AY908" s="55" t="s">
        <v>176</v>
      </c>
      <c r="BK908" s="55" t="s">
        <v>5976</v>
      </c>
      <c r="BM908" s="192" t="s">
        <v>119</v>
      </c>
      <c r="BN908" s="55">
        <v>4</v>
      </c>
      <c r="BO908" s="55">
        <v>4</v>
      </c>
      <c r="BQ908" s="55" t="s">
        <v>141</v>
      </c>
      <c r="CM908" s="65">
        <v>1.75</v>
      </c>
      <c r="CN908" s="65">
        <v>1.73</v>
      </c>
      <c r="CQ908" s="65" t="s">
        <v>4338</v>
      </c>
      <c r="CV908" s="65" t="s">
        <v>3040</v>
      </c>
      <c r="DA908" s="65" t="s">
        <v>4456</v>
      </c>
      <c r="DB908" s="65">
        <v>843</v>
      </c>
      <c r="DC908" s="65">
        <v>809</v>
      </c>
      <c r="DF908" s="65" t="s">
        <v>594</v>
      </c>
      <c r="GP908" s="292" t="s">
        <v>7494</v>
      </c>
      <c r="HS908" s="65">
        <v>77.400000000000006</v>
      </c>
      <c r="HT908" s="65">
        <v>115.2</v>
      </c>
      <c r="HW908" s="65" t="s">
        <v>597</v>
      </c>
      <c r="HX908" s="65">
        <v>43.3</v>
      </c>
      <c r="HY908" s="65">
        <v>59</v>
      </c>
      <c r="IC908" s="65">
        <v>7.1</v>
      </c>
      <c r="ID908" s="65">
        <v>9.6999999999999993</v>
      </c>
      <c r="JG908" s="65">
        <v>112</v>
      </c>
      <c r="JH908" s="65">
        <v>124</v>
      </c>
      <c r="JK908" s="65" t="s">
        <v>595</v>
      </c>
      <c r="JU908" s="55" t="s">
        <v>598</v>
      </c>
    </row>
    <row r="909" spans="1:282" x14ac:dyDescent="0.25">
      <c r="A909" s="55">
        <v>908</v>
      </c>
      <c r="B909" s="12" t="s">
        <v>7067</v>
      </c>
      <c r="C909" s="155">
        <v>44</v>
      </c>
      <c r="D909" s="55" t="s">
        <v>3877</v>
      </c>
      <c r="E909" s="90" t="s">
        <v>599</v>
      </c>
      <c r="G909" s="55" t="s">
        <v>600</v>
      </c>
      <c r="H909" s="55">
        <v>2000</v>
      </c>
      <c r="I909" s="55">
        <v>1996</v>
      </c>
      <c r="J909" s="55" t="s">
        <v>601</v>
      </c>
      <c r="K909" s="55" t="s">
        <v>602</v>
      </c>
      <c r="L909" s="55" t="s">
        <v>2737</v>
      </c>
      <c r="M909" s="90">
        <v>45.01</v>
      </c>
      <c r="N909" s="90">
        <v>-122.78</v>
      </c>
      <c r="O909" s="90">
        <v>78.5</v>
      </c>
      <c r="S909" s="90">
        <v>1040</v>
      </c>
      <c r="T909" s="55" t="s">
        <v>133</v>
      </c>
      <c r="U909" s="55" t="s">
        <v>1805</v>
      </c>
      <c r="V909" s="55" t="s">
        <v>1805</v>
      </c>
      <c r="Y909" s="55" t="s">
        <v>1911</v>
      </c>
      <c r="Z909" s="55" t="s">
        <v>1347</v>
      </c>
      <c r="AA909" s="90" t="s">
        <v>1676</v>
      </c>
      <c r="AB909" s="65">
        <v>26.32</v>
      </c>
      <c r="AC909" s="65" t="s">
        <v>7001</v>
      </c>
      <c r="AE909" s="90">
        <v>7</v>
      </c>
      <c r="AF909" s="90">
        <v>67</v>
      </c>
      <c r="AH909" s="55" t="s">
        <v>523</v>
      </c>
      <c r="AM909" s="55" t="s">
        <v>1253</v>
      </c>
      <c r="AN909" s="185" t="s">
        <v>131</v>
      </c>
      <c r="AO909" s="185" t="s">
        <v>5150</v>
      </c>
      <c r="AQ909" s="55" t="s">
        <v>131</v>
      </c>
      <c r="AR909" s="55" t="s">
        <v>608</v>
      </c>
      <c r="AS909" s="55" t="s">
        <v>1577</v>
      </c>
      <c r="AT909" s="181" t="s">
        <v>611</v>
      </c>
      <c r="AU909" s="181" t="s">
        <v>5150</v>
      </c>
      <c r="AV909" s="185" t="s">
        <v>176</v>
      </c>
      <c r="AW909" s="55" t="s">
        <v>611</v>
      </c>
      <c r="AX909" s="185" t="s">
        <v>176</v>
      </c>
      <c r="AY909" s="55" t="s">
        <v>176</v>
      </c>
      <c r="BK909" s="55" t="s">
        <v>5976</v>
      </c>
      <c r="BM909" s="192" t="s">
        <v>119</v>
      </c>
      <c r="BN909" s="55">
        <v>4</v>
      </c>
      <c r="BO909" s="55">
        <v>4</v>
      </c>
      <c r="BQ909" s="55" t="s">
        <v>315</v>
      </c>
      <c r="CM909" s="65">
        <v>1.95</v>
      </c>
      <c r="CN909" s="65">
        <v>1.9300000000000002</v>
      </c>
      <c r="CQ909" s="65" t="s">
        <v>1632</v>
      </c>
      <c r="CV909" s="65" t="s">
        <v>3040</v>
      </c>
      <c r="DA909" s="65" t="s">
        <v>4456</v>
      </c>
      <c r="DB909" s="65">
        <f>1.6*1000</f>
        <v>1600</v>
      </c>
      <c r="DC909" s="65">
        <v>1700</v>
      </c>
      <c r="DF909" s="65" t="s">
        <v>232</v>
      </c>
      <c r="DL909" s="65">
        <f>0.69*390</f>
        <v>269.09999999999997</v>
      </c>
      <c r="DM909" s="65">
        <f>0.65*390</f>
        <v>253.5</v>
      </c>
      <c r="DQ909" s="165">
        <v>5.74</v>
      </c>
      <c r="DR909" s="165">
        <v>5.74</v>
      </c>
      <c r="DV909" s="65">
        <v>26.32</v>
      </c>
      <c r="DW909" s="65">
        <v>27.04</v>
      </c>
      <c r="EF909" s="65">
        <v>11.82</v>
      </c>
      <c r="EG909" s="65">
        <v>11.63</v>
      </c>
      <c r="EJ909" s="65" t="s">
        <v>616</v>
      </c>
      <c r="GP909" s="292" t="s">
        <v>7494</v>
      </c>
      <c r="JU909" s="55" t="s">
        <v>632</v>
      </c>
      <c r="JV909" s="55" t="s">
        <v>1569</v>
      </c>
    </row>
    <row r="910" spans="1:282" x14ac:dyDescent="0.25">
      <c r="A910" s="55">
        <v>909</v>
      </c>
      <c r="B910" s="12" t="s">
        <v>7067</v>
      </c>
      <c r="C910" s="155">
        <v>44</v>
      </c>
      <c r="D910" s="55" t="s">
        <v>3878</v>
      </c>
      <c r="E910" s="90" t="s">
        <v>599</v>
      </c>
      <c r="G910" s="55" t="s">
        <v>600</v>
      </c>
      <c r="H910" s="55">
        <v>2000</v>
      </c>
      <c r="I910" s="55">
        <v>1996</v>
      </c>
      <c r="J910" s="55" t="s">
        <v>601</v>
      </c>
      <c r="K910" s="55" t="s">
        <v>603</v>
      </c>
      <c r="L910" s="55" t="s">
        <v>2737</v>
      </c>
      <c r="M910" s="90">
        <v>44.94</v>
      </c>
      <c r="N910" s="90">
        <v>-123.04</v>
      </c>
      <c r="O910" s="90">
        <v>49.3</v>
      </c>
      <c r="S910" s="90">
        <v>1040</v>
      </c>
      <c r="T910" s="55" t="s">
        <v>133</v>
      </c>
      <c r="U910" s="55" t="s">
        <v>1805</v>
      </c>
      <c r="V910" s="55" t="s">
        <v>1805</v>
      </c>
      <c r="Y910" s="55" t="s">
        <v>1911</v>
      </c>
      <c r="Z910" s="55" t="s">
        <v>1347</v>
      </c>
      <c r="AA910" s="90" t="s">
        <v>1676</v>
      </c>
      <c r="AB910" s="65">
        <v>26.32</v>
      </c>
      <c r="AC910" s="65" t="s">
        <v>7001</v>
      </c>
      <c r="AE910" s="90">
        <v>43</v>
      </c>
      <c r="AF910" s="90">
        <v>41</v>
      </c>
      <c r="AH910" s="55" t="s">
        <v>139</v>
      </c>
      <c r="AM910" s="55" t="s">
        <v>1253</v>
      </c>
      <c r="AN910" s="185" t="s">
        <v>1540</v>
      </c>
      <c r="AO910" s="185" t="s">
        <v>5150</v>
      </c>
      <c r="AQ910" s="55" t="s">
        <v>1546</v>
      </c>
      <c r="AR910" s="55" t="s">
        <v>132</v>
      </c>
      <c r="AS910" s="55" t="s">
        <v>1577</v>
      </c>
      <c r="AT910" s="181" t="s">
        <v>612</v>
      </c>
      <c r="AU910" s="181" t="s">
        <v>5150</v>
      </c>
      <c r="AV910" s="185" t="s">
        <v>176</v>
      </c>
      <c r="AW910" s="55" t="s">
        <v>612</v>
      </c>
      <c r="AX910" s="185" t="s">
        <v>176</v>
      </c>
      <c r="AY910" s="55" t="s">
        <v>176</v>
      </c>
      <c r="BK910" s="55" t="s">
        <v>5976</v>
      </c>
      <c r="BM910" s="192" t="s">
        <v>119</v>
      </c>
      <c r="BN910" s="55">
        <v>4</v>
      </c>
      <c r="BO910" s="55">
        <v>4</v>
      </c>
      <c r="BQ910" s="55" t="s">
        <v>315</v>
      </c>
      <c r="CM910" s="65">
        <v>1.95</v>
      </c>
      <c r="CN910" s="65">
        <v>1.9300000000000002</v>
      </c>
      <c r="CQ910" s="65" t="s">
        <v>1632</v>
      </c>
      <c r="CV910" s="65" t="s">
        <v>3040</v>
      </c>
      <c r="DA910" s="65" t="s">
        <v>4456</v>
      </c>
      <c r="DB910" s="65">
        <f>1.6*1000</f>
        <v>1600</v>
      </c>
      <c r="DC910" s="65">
        <v>1700</v>
      </c>
      <c r="DF910" s="65" t="s">
        <v>232</v>
      </c>
      <c r="DL910" s="65">
        <f>0.69*390</f>
        <v>269.09999999999997</v>
      </c>
      <c r="DM910" s="65">
        <f>0.65*390</f>
        <v>253.5</v>
      </c>
      <c r="DQ910" s="165">
        <v>5.74</v>
      </c>
      <c r="DR910" s="165">
        <v>5.74</v>
      </c>
      <c r="DV910" s="65">
        <v>26.32</v>
      </c>
      <c r="DW910" s="65">
        <v>27.04</v>
      </c>
      <c r="EF910" s="65">
        <v>11.82</v>
      </c>
      <c r="EG910" s="65">
        <v>11.63</v>
      </c>
      <c r="EJ910" s="65" t="s">
        <v>616</v>
      </c>
      <c r="GP910" s="292" t="s">
        <v>7494</v>
      </c>
      <c r="JU910" s="55" t="s">
        <v>632</v>
      </c>
      <c r="JV910" s="55" t="s">
        <v>1569</v>
      </c>
    </row>
    <row r="911" spans="1:282" x14ac:dyDescent="0.25">
      <c r="A911" s="55">
        <v>910</v>
      </c>
      <c r="B911" s="12" t="s">
        <v>7067</v>
      </c>
      <c r="C911" s="155">
        <v>44</v>
      </c>
      <c r="D911" s="55" t="s">
        <v>3879</v>
      </c>
      <c r="E911" s="90" t="s">
        <v>599</v>
      </c>
      <c r="G911" s="55" t="s">
        <v>600</v>
      </c>
      <c r="H911" s="55">
        <v>2000</v>
      </c>
      <c r="I911" s="55">
        <v>1996</v>
      </c>
      <c r="J911" s="55" t="s">
        <v>601</v>
      </c>
      <c r="K911" s="55" t="s">
        <v>605</v>
      </c>
      <c r="L911" s="55" t="s">
        <v>2737</v>
      </c>
      <c r="M911" s="90">
        <v>45.15</v>
      </c>
      <c r="N911" s="90">
        <v>-122.58</v>
      </c>
      <c r="O911" s="90">
        <v>112.8</v>
      </c>
      <c r="S911" s="90">
        <v>1040</v>
      </c>
      <c r="T911" s="55" t="s">
        <v>133</v>
      </c>
      <c r="U911" s="55" t="s">
        <v>1805</v>
      </c>
      <c r="V911" s="55" t="s">
        <v>1805</v>
      </c>
      <c r="Y911" s="55" t="s">
        <v>1911</v>
      </c>
      <c r="Z911" s="55" t="s">
        <v>1347</v>
      </c>
      <c r="AA911" s="90" t="s">
        <v>1676</v>
      </c>
      <c r="AE911" s="90">
        <v>10</v>
      </c>
      <c r="AF911" s="90">
        <v>70</v>
      </c>
      <c r="AH911" s="55" t="s">
        <v>6378</v>
      </c>
      <c r="AM911" s="55" t="s">
        <v>1253</v>
      </c>
      <c r="AN911" s="185" t="s">
        <v>496</v>
      </c>
      <c r="AO911" s="185" t="s">
        <v>5150</v>
      </c>
      <c r="AQ911" s="55" t="s">
        <v>1545</v>
      </c>
      <c r="AR911" s="55" t="s">
        <v>132</v>
      </c>
      <c r="AS911" s="55" t="s">
        <v>1577</v>
      </c>
      <c r="AT911" s="181" t="s">
        <v>611</v>
      </c>
      <c r="AU911" s="181" t="s">
        <v>5150</v>
      </c>
      <c r="AV911" s="185" t="s">
        <v>176</v>
      </c>
      <c r="AW911" s="55" t="s">
        <v>611</v>
      </c>
      <c r="AX911" s="185" t="s">
        <v>176</v>
      </c>
      <c r="AY911" s="55" t="s">
        <v>176</v>
      </c>
      <c r="BK911" s="55" t="s">
        <v>5976</v>
      </c>
      <c r="BM911" s="192" t="s">
        <v>119</v>
      </c>
      <c r="BN911" s="55">
        <v>4</v>
      </c>
      <c r="BO911" s="55">
        <v>4</v>
      </c>
      <c r="BQ911" s="55" t="s">
        <v>315</v>
      </c>
      <c r="GP911" s="292" t="s">
        <v>7494</v>
      </c>
      <c r="JU911" s="55" t="s">
        <v>632</v>
      </c>
      <c r="JV911" s="55" t="s">
        <v>1569</v>
      </c>
    </row>
    <row r="912" spans="1:282" x14ac:dyDescent="0.25">
      <c r="A912" s="55">
        <v>911</v>
      </c>
      <c r="B912" s="12" t="s">
        <v>7067</v>
      </c>
      <c r="C912" s="155">
        <v>44</v>
      </c>
      <c r="D912" s="55" t="s">
        <v>3880</v>
      </c>
      <c r="E912" s="90" t="s">
        <v>599</v>
      </c>
      <c r="G912" s="55" t="s">
        <v>600</v>
      </c>
      <c r="H912" s="55">
        <v>2000</v>
      </c>
      <c r="I912" s="55">
        <v>1996</v>
      </c>
      <c r="J912" s="55" t="s">
        <v>601</v>
      </c>
      <c r="K912" s="55" t="s">
        <v>604</v>
      </c>
      <c r="L912" s="55" t="s">
        <v>2737</v>
      </c>
      <c r="M912" s="90">
        <v>45.11</v>
      </c>
      <c r="N912" s="90">
        <v>-122.9</v>
      </c>
      <c r="O912" s="90">
        <v>57.3</v>
      </c>
      <c r="S912" s="90">
        <v>1040</v>
      </c>
      <c r="T912" s="55" t="s">
        <v>133</v>
      </c>
      <c r="U912" s="55" t="s">
        <v>1805</v>
      </c>
      <c r="V912" s="55" t="s">
        <v>1805</v>
      </c>
      <c r="Y912" s="55" t="s">
        <v>1911</v>
      </c>
      <c r="Z912" s="55" t="s">
        <v>1347</v>
      </c>
      <c r="AA912" s="90" t="s">
        <v>1676</v>
      </c>
      <c r="AE912" s="90">
        <v>9</v>
      </c>
      <c r="AF912" s="90">
        <v>70</v>
      </c>
      <c r="AH912" s="55" t="s">
        <v>6378</v>
      </c>
      <c r="AM912" s="55" t="s">
        <v>1253</v>
      </c>
      <c r="AN912" s="185" t="s">
        <v>241</v>
      </c>
      <c r="AO912" s="185" t="s">
        <v>5150</v>
      </c>
      <c r="AQ912" s="55" t="s">
        <v>553</v>
      </c>
      <c r="AR912" s="55" t="s">
        <v>132</v>
      </c>
      <c r="AS912" s="55" t="s">
        <v>1577</v>
      </c>
      <c r="AT912" s="181" t="s">
        <v>613</v>
      </c>
      <c r="AU912" s="181" t="s">
        <v>5150</v>
      </c>
      <c r="AV912" s="185" t="s">
        <v>176</v>
      </c>
      <c r="AW912" s="55" t="s">
        <v>613</v>
      </c>
      <c r="AX912" s="185" t="s">
        <v>176</v>
      </c>
      <c r="AY912" s="55" t="s">
        <v>176</v>
      </c>
      <c r="BK912" s="55" t="s">
        <v>5976</v>
      </c>
      <c r="BM912" s="192" t="s">
        <v>119</v>
      </c>
      <c r="BN912" s="55">
        <v>4</v>
      </c>
      <c r="BO912" s="55">
        <v>4</v>
      </c>
      <c r="BQ912" s="55" t="s">
        <v>315</v>
      </c>
      <c r="GP912" s="292" t="s">
        <v>7494</v>
      </c>
      <c r="JU912" s="55" t="s">
        <v>632</v>
      </c>
      <c r="JV912" s="55" t="s">
        <v>1569</v>
      </c>
    </row>
    <row r="913" spans="1:282" x14ac:dyDescent="0.25">
      <c r="A913" s="55">
        <v>912</v>
      </c>
      <c r="B913" s="12" t="s">
        <v>7067</v>
      </c>
      <c r="C913" s="155">
        <v>44</v>
      </c>
      <c r="D913" s="55" t="s">
        <v>3881</v>
      </c>
      <c r="E913" s="90" t="s">
        <v>599</v>
      </c>
      <c r="G913" s="55" t="s">
        <v>600</v>
      </c>
      <c r="H913" s="55">
        <v>2000</v>
      </c>
      <c r="I913" s="55">
        <v>1996</v>
      </c>
      <c r="J913" s="55" t="s">
        <v>601</v>
      </c>
      <c r="K913" s="55" t="s">
        <v>606</v>
      </c>
      <c r="L913" s="55" t="s">
        <v>2737</v>
      </c>
      <c r="M913" s="90">
        <v>45.231000000000002</v>
      </c>
      <c r="N913" s="90">
        <v>-122.756</v>
      </c>
      <c r="O913" s="90">
        <v>48.4</v>
      </c>
      <c r="S913" s="90">
        <v>1040</v>
      </c>
      <c r="T913" s="55" t="s">
        <v>133</v>
      </c>
      <c r="U913" s="55">
        <v>8</v>
      </c>
      <c r="V913" s="55">
        <v>10</v>
      </c>
      <c r="Y913" s="55" t="s">
        <v>1910</v>
      </c>
      <c r="Z913" s="55" t="s">
        <v>1347</v>
      </c>
      <c r="AA913" s="90" t="s">
        <v>1676</v>
      </c>
      <c r="AB913" s="65">
        <v>23.4</v>
      </c>
      <c r="AC913" s="65" t="s">
        <v>7001</v>
      </c>
      <c r="AE913" s="90">
        <v>28</v>
      </c>
      <c r="AF913" s="90">
        <v>54</v>
      </c>
      <c r="AH913" s="55" t="s">
        <v>6378</v>
      </c>
      <c r="AM913" s="55" t="s">
        <v>1253</v>
      </c>
      <c r="AN913" s="185" t="s">
        <v>1539</v>
      </c>
      <c r="AO913" s="185" t="s">
        <v>5150</v>
      </c>
      <c r="AQ913" s="55" t="s">
        <v>1546</v>
      </c>
      <c r="AR913" s="55" t="s">
        <v>609</v>
      </c>
      <c r="AS913" s="55" t="s">
        <v>1577</v>
      </c>
      <c r="AT913" s="181" t="s">
        <v>614</v>
      </c>
      <c r="AU913" s="181" t="s">
        <v>5150</v>
      </c>
      <c r="AV913" s="185" t="s">
        <v>176</v>
      </c>
      <c r="AW913" s="55" t="s">
        <v>614</v>
      </c>
      <c r="AX913" s="185" t="s">
        <v>176</v>
      </c>
      <c r="AY913" s="55" t="s">
        <v>176</v>
      </c>
      <c r="BK913" s="55" t="s">
        <v>5976</v>
      </c>
      <c r="BM913" s="192" t="s">
        <v>119</v>
      </c>
      <c r="BN913" s="55">
        <v>4</v>
      </c>
      <c r="BO913" s="55">
        <v>4</v>
      </c>
      <c r="BQ913" s="55" t="s">
        <v>315</v>
      </c>
      <c r="CM913" s="65">
        <v>1.8199999999999998</v>
      </c>
      <c r="CN913" s="65">
        <v>1.6</v>
      </c>
      <c r="CQ913" s="65" t="s">
        <v>1632</v>
      </c>
      <c r="CV913" s="65" t="s">
        <v>3040</v>
      </c>
      <c r="DA913" s="65" t="s">
        <v>4456</v>
      </c>
      <c r="DB913" s="65">
        <v>1300</v>
      </c>
      <c r="DC913" s="65">
        <v>1200</v>
      </c>
      <c r="DF913" s="65" t="s">
        <v>232</v>
      </c>
      <c r="DL913" s="65">
        <f>0.45*390</f>
        <v>175.5</v>
      </c>
      <c r="DM913" s="65">
        <f>0.49*390</f>
        <v>191.1</v>
      </c>
      <c r="DQ913" s="165">
        <v>5.3</v>
      </c>
      <c r="DR913" s="165">
        <v>4.9000000000000004</v>
      </c>
      <c r="DV913" s="65">
        <v>23.4</v>
      </c>
      <c r="DW913" s="65">
        <v>22.96</v>
      </c>
      <c r="EF913" s="65">
        <v>6.3</v>
      </c>
      <c r="EG913" s="65">
        <v>7.55</v>
      </c>
      <c r="EJ913" s="65" t="s">
        <v>616</v>
      </c>
      <c r="GP913" s="292" t="s">
        <v>7494</v>
      </c>
      <c r="JU913" s="55" t="s">
        <v>632</v>
      </c>
      <c r="JV913" s="55" t="s">
        <v>1569</v>
      </c>
    </row>
    <row r="914" spans="1:282" x14ac:dyDescent="0.25">
      <c r="A914" s="55">
        <v>913</v>
      </c>
      <c r="B914" s="12" t="s">
        <v>7067</v>
      </c>
      <c r="C914" s="155">
        <v>44</v>
      </c>
      <c r="D914" s="55" t="s">
        <v>3882</v>
      </c>
      <c r="E914" s="90" t="s">
        <v>599</v>
      </c>
      <c r="G914" s="55" t="s">
        <v>600</v>
      </c>
      <c r="H914" s="55">
        <v>2000</v>
      </c>
      <c r="I914" s="55">
        <v>1996</v>
      </c>
      <c r="J914" s="55" t="s">
        <v>601</v>
      </c>
      <c r="K914" s="55" t="s">
        <v>607</v>
      </c>
      <c r="L914" s="55" t="s">
        <v>2737</v>
      </c>
      <c r="M914" s="90">
        <v>44.94</v>
      </c>
      <c r="N914" s="90">
        <v>-122.93</v>
      </c>
      <c r="O914" s="90">
        <v>66.5</v>
      </c>
      <c r="S914" s="90">
        <v>1040</v>
      </c>
      <c r="T914" s="55" t="s">
        <v>133</v>
      </c>
      <c r="U914" s="55" t="s">
        <v>1912</v>
      </c>
      <c r="V914" s="55" t="s">
        <v>1887</v>
      </c>
      <c r="Y914" s="55" t="s">
        <v>1905</v>
      </c>
      <c r="Z914" s="55" t="s">
        <v>1347</v>
      </c>
      <c r="AA914" s="90" t="s">
        <v>1676</v>
      </c>
      <c r="AB914" s="65">
        <v>33.97</v>
      </c>
      <c r="AC914" s="65" t="s">
        <v>7001</v>
      </c>
      <c r="AE914" s="90">
        <v>22</v>
      </c>
      <c r="AF914" s="90">
        <v>52</v>
      </c>
      <c r="AH914" s="55" t="s">
        <v>6378</v>
      </c>
      <c r="AM914" s="55" t="s">
        <v>1253</v>
      </c>
      <c r="AN914" s="185" t="s">
        <v>610</v>
      </c>
      <c r="AO914" s="185" t="s">
        <v>5150</v>
      </c>
      <c r="AQ914" s="55" t="s">
        <v>610</v>
      </c>
      <c r="AR914" s="55" t="s">
        <v>132</v>
      </c>
      <c r="AS914" s="55" t="s">
        <v>1577</v>
      </c>
      <c r="AT914" s="181" t="s">
        <v>615</v>
      </c>
      <c r="AU914" s="181" t="s">
        <v>5150</v>
      </c>
      <c r="AV914" s="185" t="s">
        <v>176</v>
      </c>
      <c r="AW914" s="55" t="s">
        <v>615</v>
      </c>
      <c r="AX914" s="185" t="s">
        <v>176</v>
      </c>
      <c r="AY914" s="55" t="s">
        <v>176</v>
      </c>
      <c r="BK914" s="55" t="s">
        <v>5976</v>
      </c>
      <c r="BM914" s="192" t="s">
        <v>119</v>
      </c>
      <c r="BN914" s="55">
        <v>4</v>
      </c>
      <c r="BO914" s="55">
        <v>4</v>
      </c>
      <c r="BQ914" s="55" t="s">
        <v>315</v>
      </c>
      <c r="CM914" s="65">
        <v>1.53</v>
      </c>
      <c r="CN914" s="65">
        <v>1.7399999999999998</v>
      </c>
      <c r="CQ914" s="65" t="s">
        <v>1632</v>
      </c>
      <c r="CV914" s="65" t="s">
        <v>3040</v>
      </c>
      <c r="DA914" s="65" t="s">
        <v>4456</v>
      </c>
      <c r="DB914" s="65">
        <v>1500</v>
      </c>
      <c r="DC914" s="65">
        <v>1400</v>
      </c>
      <c r="DF914" s="65" t="s">
        <v>232</v>
      </c>
      <c r="DL914" s="65">
        <f>0.6*390</f>
        <v>234</v>
      </c>
      <c r="DM914" s="65">
        <f>0.73*390</f>
        <v>284.7</v>
      </c>
      <c r="DQ914" s="165">
        <v>5.53</v>
      </c>
      <c r="DR914" s="165">
        <v>5.5</v>
      </c>
      <c r="DV914" s="65">
        <v>33.97</v>
      </c>
      <c r="DW914" s="65">
        <v>31.45</v>
      </c>
      <c r="EF914" s="65">
        <v>16.079999999999998</v>
      </c>
      <c r="EG914" s="65">
        <v>16.55</v>
      </c>
      <c r="EJ914" s="65" t="s">
        <v>616</v>
      </c>
      <c r="GP914" s="292" t="s">
        <v>7494</v>
      </c>
      <c r="JU914" s="55" t="s">
        <v>632</v>
      </c>
      <c r="JV914" s="55" t="s">
        <v>1569</v>
      </c>
    </row>
    <row r="915" spans="1:282" x14ac:dyDescent="0.25">
      <c r="A915" s="55">
        <v>914</v>
      </c>
      <c r="B915" s="12" t="s">
        <v>7067</v>
      </c>
      <c r="C915" s="155">
        <v>44</v>
      </c>
      <c r="D915" s="55" t="s">
        <v>3883</v>
      </c>
      <c r="E915" s="90" t="s">
        <v>599</v>
      </c>
      <c r="G915" s="55" t="s">
        <v>600</v>
      </c>
      <c r="H915" s="55">
        <v>2000</v>
      </c>
      <c r="I915" s="55">
        <v>1996</v>
      </c>
      <c r="J915" s="55" t="s">
        <v>601</v>
      </c>
      <c r="K915" s="55" t="s">
        <v>1570</v>
      </c>
      <c r="L915" s="55" t="s">
        <v>2737</v>
      </c>
      <c r="M915" s="90">
        <v>45.01</v>
      </c>
      <c r="N915" s="90">
        <v>-122.78</v>
      </c>
      <c r="O915" s="90">
        <v>78.5</v>
      </c>
      <c r="S915" s="90">
        <v>1040</v>
      </c>
      <c r="T915" s="55" t="s">
        <v>133</v>
      </c>
      <c r="U915" s="55" t="s">
        <v>1682</v>
      </c>
      <c r="V915" s="55" t="s">
        <v>1682</v>
      </c>
      <c r="Y915" s="55" t="s">
        <v>628</v>
      </c>
      <c r="Z915" s="55" t="s">
        <v>1347</v>
      </c>
      <c r="AA915" s="90" t="s">
        <v>1676</v>
      </c>
      <c r="AE915" s="90">
        <v>7</v>
      </c>
      <c r="AF915" s="90">
        <v>67</v>
      </c>
      <c r="AH915" s="55" t="s">
        <v>523</v>
      </c>
      <c r="AM915" s="55" t="s">
        <v>1253</v>
      </c>
      <c r="AN915" s="185" t="s">
        <v>131</v>
      </c>
      <c r="AO915" s="185" t="s">
        <v>5150</v>
      </c>
      <c r="AQ915" s="55" t="s">
        <v>131</v>
      </c>
      <c r="AR915" s="55" t="s">
        <v>608</v>
      </c>
      <c r="AS915" s="55" t="s">
        <v>1577</v>
      </c>
      <c r="AT915" s="181" t="s">
        <v>611</v>
      </c>
      <c r="AU915" s="181" t="s">
        <v>5150</v>
      </c>
      <c r="AV915" s="185" t="s">
        <v>176</v>
      </c>
      <c r="AW915" s="55" t="s">
        <v>611</v>
      </c>
      <c r="AX915" s="185" t="s">
        <v>176</v>
      </c>
      <c r="AY915" s="55" t="s">
        <v>176</v>
      </c>
      <c r="BK915" s="55" t="s">
        <v>5976</v>
      </c>
      <c r="BM915" s="192" t="s">
        <v>119</v>
      </c>
      <c r="BN915" s="55">
        <v>4</v>
      </c>
      <c r="BO915" s="55">
        <v>4</v>
      </c>
      <c r="BQ915" s="55" t="s">
        <v>315</v>
      </c>
      <c r="GP915" s="292" t="s">
        <v>7494</v>
      </c>
      <c r="HS915" s="65">
        <v>102.23</v>
      </c>
      <c r="HT915" s="65">
        <v>102.23</v>
      </c>
      <c r="HW915" s="65" t="s">
        <v>597</v>
      </c>
      <c r="JG915" s="65">
        <v>119.18</v>
      </c>
      <c r="JH915" s="65">
        <v>119.18</v>
      </c>
      <c r="JU915" s="55" t="s">
        <v>632</v>
      </c>
      <c r="JV915" s="55" t="s">
        <v>1569</v>
      </c>
    </row>
    <row r="916" spans="1:282" x14ac:dyDescent="0.25">
      <c r="A916" s="55">
        <v>915</v>
      </c>
      <c r="B916" s="12" t="s">
        <v>7067</v>
      </c>
      <c r="C916" s="155">
        <v>44</v>
      </c>
      <c r="D916" s="55" t="s">
        <v>3883</v>
      </c>
      <c r="E916" s="90" t="s">
        <v>599</v>
      </c>
      <c r="G916" s="55" t="s">
        <v>600</v>
      </c>
      <c r="H916" s="55">
        <v>2000</v>
      </c>
      <c r="I916" s="55">
        <v>1997</v>
      </c>
      <c r="J916" s="55" t="s">
        <v>601</v>
      </c>
      <c r="K916" s="55" t="s">
        <v>1570</v>
      </c>
      <c r="L916" s="55" t="s">
        <v>2737</v>
      </c>
      <c r="M916" s="90">
        <v>45.01</v>
      </c>
      <c r="N916" s="90">
        <v>-122.78</v>
      </c>
      <c r="O916" s="90">
        <v>78.5</v>
      </c>
      <c r="S916" s="90">
        <v>1040</v>
      </c>
      <c r="T916" s="55" t="s">
        <v>133</v>
      </c>
      <c r="U916" s="55" t="s">
        <v>1801</v>
      </c>
      <c r="V916" s="55" t="s">
        <v>1682</v>
      </c>
      <c r="Y916" s="55" t="s">
        <v>629</v>
      </c>
      <c r="Z916" s="55" t="s">
        <v>1347</v>
      </c>
      <c r="AA916" s="90" t="s">
        <v>1676</v>
      </c>
      <c r="AE916" s="90">
        <v>7</v>
      </c>
      <c r="AF916" s="90">
        <v>67</v>
      </c>
      <c r="AH916" s="55" t="s">
        <v>523</v>
      </c>
      <c r="AM916" s="55" t="s">
        <v>1253</v>
      </c>
      <c r="AN916" s="185" t="s">
        <v>131</v>
      </c>
      <c r="AO916" s="185" t="s">
        <v>5150</v>
      </c>
      <c r="AQ916" s="55" t="s">
        <v>131</v>
      </c>
      <c r="AR916" s="55" t="s">
        <v>608</v>
      </c>
      <c r="AS916" s="55" t="s">
        <v>1577</v>
      </c>
      <c r="AT916" s="181" t="s">
        <v>611</v>
      </c>
      <c r="AU916" s="181" t="s">
        <v>5150</v>
      </c>
      <c r="AV916" s="185" t="s">
        <v>176</v>
      </c>
      <c r="AW916" s="55" t="s">
        <v>611</v>
      </c>
      <c r="AX916" s="185" t="s">
        <v>176</v>
      </c>
      <c r="AY916" s="55" t="s">
        <v>176</v>
      </c>
      <c r="BK916" s="55" t="s">
        <v>5976</v>
      </c>
      <c r="BM916" s="192" t="s">
        <v>119</v>
      </c>
      <c r="BN916" s="55">
        <v>4</v>
      </c>
      <c r="BO916" s="55">
        <v>4</v>
      </c>
      <c r="BQ916" s="55" t="s">
        <v>315</v>
      </c>
      <c r="GP916" s="292" t="s">
        <v>7494</v>
      </c>
      <c r="HS916" s="65">
        <v>125.4</v>
      </c>
      <c r="HT916" s="65">
        <v>148.54</v>
      </c>
      <c r="HW916" s="65" t="s">
        <v>597</v>
      </c>
      <c r="JG916" s="65">
        <v>177</v>
      </c>
      <c r="JH916" s="65">
        <v>213.62</v>
      </c>
      <c r="JU916" s="55" t="s">
        <v>632</v>
      </c>
      <c r="JV916" s="55" t="s">
        <v>1569</v>
      </c>
    </row>
    <row r="917" spans="1:282" x14ac:dyDescent="0.25">
      <c r="A917" s="55">
        <v>916</v>
      </c>
      <c r="B917" s="12" t="s">
        <v>7067</v>
      </c>
      <c r="C917" s="155">
        <v>44</v>
      </c>
      <c r="D917" s="55" t="s">
        <v>3883</v>
      </c>
      <c r="E917" s="90" t="s">
        <v>599</v>
      </c>
      <c r="G917" s="55" t="s">
        <v>600</v>
      </c>
      <c r="H917" s="55">
        <v>2000</v>
      </c>
      <c r="I917" s="55">
        <v>1997</v>
      </c>
      <c r="J917" s="55" t="s">
        <v>601</v>
      </c>
      <c r="K917" s="55" t="s">
        <v>1570</v>
      </c>
      <c r="L917" s="55" t="s">
        <v>2737</v>
      </c>
      <c r="M917" s="90">
        <v>45.01</v>
      </c>
      <c r="N917" s="90">
        <v>-122.78</v>
      </c>
      <c r="O917" s="90">
        <v>78.5</v>
      </c>
      <c r="S917" s="90">
        <v>1040</v>
      </c>
      <c r="T917" s="55" t="s">
        <v>133</v>
      </c>
      <c r="U917" s="55" t="s">
        <v>1801</v>
      </c>
      <c r="V917" s="55" t="s">
        <v>1682</v>
      </c>
      <c r="Y917" s="55" t="s">
        <v>628</v>
      </c>
      <c r="Z917" s="55" t="s">
        <v>1347</v>
      </c>
      <c r="AA917" s="90" t="s">
        <v>1676</v>
      </c>
      <c r="AE917" s="90">
        <v>7</v>
      </c>
      <c r="AF917" s="90">
        <v>67</v>
      </c>
      <c r="AH917" s="55" t="s">
        <v>523</v>
      </c>
      <c r="AM917" s="55" t="s">
        <v>1253</v>
      </c>
      <c r="AN917" s="185" t="s">
        <v>131</v>
      </c>
      <c r="AO917" s="185" t="s">
        <v>5150</v>
      </c>
      <c r="AQ917" s="55" t="s">
        <v>131</v>
      </c>
      <c r="AR917" s="55" t="s">
        <v>608</v>
      </c>
      <c r="AS917" s="55" t="s">
        <v>1577</v>
      </c>
      <c r="AT917" s="181" t="s">
        <v>611</v>
      </c>
      <c r="AU917" s="181" t="s">
        <v>5150</v>
      </c>
      <c r="AV917" s="185" t="s">
        <v>176</v>
      </c>
      <c r="AW917" s="55" t="s">
        <v>611</v>
      </c>
      <c r="AX917" s="185" t="s">
        <v>176</v>
      </c>
      <c r="AY917" s="55" t="s">
        <v>176</v>
      </c>
      <c r="BK917" s="55" t="s">
        <v>5976</v>
      </c>
      <c r="BM917" s="192" t="s">
        <v>119</v>
      </c>
      <c r="BN917" s="55">
        <v>4</v>
      </c>
      <c r="BO917" s="55">
        <v>4</v>
      </c>
      <c r="BQ917" s="55" t="s">
        <v>315</v>
      </c>
      <c r="GP917" s="292" t="s">
        <v>7494</v>
      </c>
      <c r="HS917" s="65">
        <v>125.85</v>
      </c>
      <c r="HT917" s="65">
        <v>129.63</v>
      </c>
      <c r="HW917" s="65" t="s">
        <v>597</v>
      </c>
      <c r="JG917" s="65">
        <v>137.91</v>
      </c>
      <c r="JH917" s="65">
        <v>193.93</v>
      </c>
      <c r="JU917" s="55" t="s">
        <v>632</v>
      </c>
      <c r="JV917" s="55" t="s">
        <v>1569</v>
      </c>
    </row>
    <row r="918" spans="1:282" x14ac:dyDescent="0.25">
      <c r="A918" s="55">
        <v>917</v>
      </c>
      <c r="B918" s="12" t="s">
        <v>7067</v>
      </c>
      <c r="C918" s="155">
        <v>44</v>
      </c>
      <c r="D918" s="55" t="s">
        <v>3883</v>
      </c>
      <c r="E918" s="90" t="s">
        <v>599</v>
      </c>
      <c r="G918" s="55" t="s">
        <v>600</v>
      </c>
      <c r="H918" s="55">
        <v>2000</v>
      </c>
      <c r="I918" s="55">
        <v>1997</v>
      </c>
      <c r="J918" s="55" t="s">
        <v>601</v>
      </c>
      <c r="K918" s="55" t="s">
        <v>1570</v>
      </c>
      <c r="L918" s="55" t="s">
        <v>2737</v>
      </c>
      <c r="M918" s="90">
        <v>45.01</v>
      </c>
      <c r="N918" s="90">
        <v>-122.78</v>
      </c>
      <c r="O918" s="90">
        <v>78.5</v>
      </c>
      <c r="S918" s="90">
        <v>1040</v>
      </c>
      <c r="T918" s="55" t="s">
        <v>133</v>
      </c>
      <c r="U918" s="55" t="s">
        <v>1801</v>
      </c>
      <c r="V918" s="55" t="s">
        <v>1682</v>
      </c>
      <c r="Y918" s="55" t="s">
        <v>630</v>
      </c>
      <c r="Z918" s="55" t="s">
        <v>1347</v>
      </c>
      <c r="AA918" s="90" t="s">
        <v>1676</v>
      </c>
      <c r="AE918" s="90">
        <v>7</v>
      </c>
      <c r="AF918" s="90">
        <v>67</v>
      </c>
      <c r="AH918" s="55" t="s">
        <v>523</v>
      </c>
      <c r="AM918" s="55" t="s">
        <v>1253</v>
      </c>
      <c r="AN918" s="185" t="s">
        <v>131</v>
      </c>
      <c r="AO918" s="185" t="s">
        <v>5150</v>
      </c>
      <c r="AQ918" s="55" t="s">
        <v>131</v>
      </c>
      <c r="AR918" s="55" t="s">
        <v>608</v>
      </c>
      <c r="AS918" s="55" t="s">
        <v>1577</v>
      </c>
      <c r="AT918" s="181" t="s">
        <v>611</v>
      </c>
      <c r="AU918" s="181" t="s">
        <v>5150</v>
      </c>
      <c r="AV918" s="185" t="s">
        <v>176</v>
      </c>
      <c r="AW918" s="55" t="s">
        <v>611</v>
      </c>
      <c r="AX918" s="185" t="s">
        <v>176</v>
      </c>
      <c r="AY918" s="55" t="s">
        <v>176</v>
      </c>
      <c r="BK918" s="55" t="s">
        <v>5976</v>
      </c>
      <c r="BM918" s="192" t="s">
        <v>119</v>
      </c>
      <c r="BN918" s="55">
        <v>4</v>
      </c>
      <c r="BO918" s="55">
        <v>4</v>
      </c>
      <c r="BQ918" s="55" t="s">
        <v>315</v>
      </c>
      <c r="GP918" s="292" t="s">
        <v>7494</v>
      </c>
      <c r="HS918" s="65">
        <v>127.98</v>
      </c>
      <c r="HT918" s="65">
        <v>133.03</v>
      </c>
      <c r="HW918" s="65" t="s">
        <v>597</v>
      </c>
      <c r="JG918" s="65">
        <v>182.81</v>
      </c>
      <c r="JH918" s="65">
        <v>225.86</v>
      </c>
      <c r="JU918" s="55" t="s">
        <v>632</v>
      </c>
      <c r="JV918" s="55" t="s">
        <v>1569</v>
      </c>
    </row>
    <row r="919" spans="1:282" x14ac:dyDescent="0.25">
      <c r="A919" s="55">
        <v>918</v>
      </c>
      <c r="B919" s="12" t="s">
        <v>7067</v>
      </c>
      <c r="C919" s="155">
        <v>44</v>
      </c>
      <c r="D919" s="55" t="s">
        <v>3883</v>
      </c>
      <c r="E919" s="90" t="s">
        <v>599</v>
      </c>
      <c r="G919" s="55" t="s">
        <v>600</v>
      </c>
      <c r="H919" s="55">
        <v>2000</v>
      </c>
      <c r="I919" s="55">
        <v>1998</v>
      </c>
      <c r="J919" s="55" t="s">
        <v>601</v>
      </c>
      <c r="K919" s="55" t="s">
        <v>1570</v>
      </c>
      <c r="L919" s="55" t="s">
        <v>2737</v>
      </c>
      <c r="M919" s="90">
        <v>45.01</v>
      </c>
      <c r="N919" s="90">
        <v>-122.78</v>
      </c>
      <c r="O919" s="90">
        <v>78.5</v>
      </c>
      <c r="S919" s="90">
        <v>1040</v>
      </c>
      <c r="T919" s="55" t="s">
        <v>133</v>
      </c>
      <c r="U919" s="55" t="s">
        <v>1694</v>
      </c>
      <c r="V919" s="55" t="s">
        <v>1682</v>
      </c>
      <c r="Y919" s="55" t="s">
        <v>629</v>
      </c>
      <c r="Z919" s="55" t="s">
        <v>1347</v>
      </c>
      <c r="AA919" s="90" t="s">
        <v>1676</v>
      </c>
      <c r="AE919" s="90">
        <v>7</v>
      </c>
      <c r="AF919" s="90">
        <v>67</v>
      </c>
      <c r="AH919" s="55" t="s">
        <v>523</v>
      </c>
      <c r="AM919" s="55" t="s">
        <v>1253</v>
      </c>
      <c r="AN919" s="185" t="s">
        <v>131</v>
      </c>
      <c r="AO919" s="185" t="s">
        <v>5150</v>
      </c>
      <c r="AQ919" s="55" t="s">
        <v>131</v>
      </c>
      <c r="AR919" s="55" t="s">
        <v>608</v>
      </c>
      <c r="AS919" s="55" t="s">
        <v>1577</v>
      </c>
      <c r="AT919" s="181" t="s">
        <v>611</v>
      </c>
      <c r="AU919" s="181" t="s">
        <v>5150</v>
      </c>
      <c r="AV919" s="185" t="s">
        <v>176</v>
      </c>
      <c r="AW919" s="55" t="s">
        <v>611</v>
      </c>
      <c r="AX919" s="185" t="s">
        <v>176</v>
      </c>
      <c r="AY919" s="55" t="s">
        <v>176</v>
      </c>
      <c r="BK919" s="55" t="s">
        <v>5976</v>
      </c>
      <c r="BM919" s="192" t="s">
        <v>119</v>
      </c>
      <c r="BN919" s="55">
        <v>4</v>
      </c>
      <c r="BO919" s="55">
        <v>4</v>
      </c>
      <c r="BQ919" s="55" t="s">
        <v>315</v>
      </c>
      <c r="GP919" s="292" t="s">
        <v>7494</v>
      </c>
      <c r="HS919" s="65">
        <v>136.43</v>
      </c>
      <c r="HT919" s="65">
        <v>146.94</v>
      </c>
      <c r="HW919" s="65" t="s">
        <v>597</v>
      </c>
      <c r="JG919" s="65">
        <v>257.87</v>
      </c>
      <c r="JH919" s="65">
        <v>296.64</v>
      </c>
      <c r="JU919" s="55" t="s">
        <v>632</v>
      </c>
      <c r="JV919" s="55" t="s">
        <v>1569</v>
      </c>
    </row>
    <row r="920" spans="1:282" x14ac:dyDescent="0.25">
      <c r="A920" s="55">
        <v>919</v>
      </c>
      <c r="B920" s="12" t="s">
        <v>7067</v>
      </c>
      <c r="C920" s="155">
        <v>44</v>
      </c>
      <c r="D920" s="55" t="s">
        <v>3883</v>
      </c>
      <c r="E920" s="90" t="s">
        <v>599</v>
      </c>
      <c r="G920" s="55" t="s">
        <v>600</v>
      </c>
      <c r="H920" s="55">
        <v>2000</v>
      </c>
      <c r="I920" s="55">
        <v>1998</v>
      </c>
      <c r="J920" s="55" t="s">
        <v>601</v>
      </c>
      <c r="K920" s="55" t="s">
        <v>1570</v>
      </c>
      <c r="L920" s="55" t="s">
        <v>2737</v>
      </c>
      <c r="M920" s="90">
        <v>45.01</v>
      </c>
      <c r="N920" s="90">
        <v>-122.78</v>
      </c>
      <c r="O920" s="90">
        <v>78.5</v>
      </c>
      <c r="S920" s="90">
        <v>1040</v>
      </c>
      <c r="T920" s="55" t="s">
        <v>133</v>
      </c>
      <c r="U920" s="55" t="s">
        <v>1694</v>
      </c>
      <c r="V920" s="55" t="s">
        <v>1682</v>
      </c>
      <c r="Y920" s="55" t="s">
        <v>628</v>
      </c>
      <c r="Z920" s="55" t="s">
        <v>1347</v>
      </c>
      <c r="AA920" s="90" t="s">
        <v>1676</v>
      </c>
      <c r="AE920" s="90">
        <v>7</v>
      </c>
      <c r="AF920" s="90">
        <v>67</v>
      </c>
      <c r="AH920" s="55" t="s">
        <v>523</v>
      </c>
      <c r="AM920" s="55" t="s">
        <v>1253</v>
      </c>
      <c r="AN920" s="185" t="s">
        <v>131</v>
      </c>
      <c r="AO920" s="185" t="s">
        <v>5150</v>
      </c>
      <c r="AQ920" s="55" t="s">
        <v>131</v>
      </c>
      <c r="AR920" s="55" t="s">
        <v>608</v>
      </c>
      <c r="AS920" s="55" t="s">
        <v>1577</v>
      </c>
      <c r="AT920" s="181" t="s">
        <v>611</v>
      </c>
      <c r="AU920" s="181" t="s">
        <v>5150</v>
      </c>
      <c r="AV920" s="185" t="s">
        <v>176</v>
      </c>
      <c r="AW920" s="55" t="s">
        <v>611</v>
      </c>
      <c r="AX920" s="185" t="s">
        <v>176</v>
      </c>
      <c r="AY920" s="55" t="s">
        <v>176</v>
      </c>
      <c r="BK920" s="55" t="s">
        <v>5976</v>
      </c>
      <c r="BM920" s="192" t="s">
        <v>119</v>
      </c>
      <c r="BN920" s="55">
        <v>4</v>
      </c>
      <c r="BO920" s="55">
        <v>4</v>
      </c>
      <c r="BQ920" s="55" t="s">
        <v>315</v>
      </c>
      <c r="GP920" s="292" t="s">
        <v>7494</v>
      </c>
      <c r="HS920" s="65">
        <v>81.77</v>
      </c>
      <c r="HT920" s="65">
        <v>105.75</v>
      </c>
      <c r="HW920" s="65" t="s">
        <v>597</v>
      </c>
      <c r="JG920" s="65">
        <v>119.67</v>
      </c>
      <c r="JH920" s="65">
        <v>158.43</v>
      </c>
      <c r="JU920" s="55" t="s">
        <v>632</v>
      </c>
      <c r="JV920" s="55" t="s">
        <v>1569</v>
      </c>
    </row>
    <row r="921" spans="1:282" x14ac:dyDescent="0.25">
      <c r="A921" s="55">
        <v>920</v>
      </c>
      <c r="B921" s="12" t="s">
        <v>7067</v>
      </c>
      <c r="C921" s="155">
        <v>44</v>
      </c>
      <c r="D921" s="55" t="s">
        <v>3883</v>
      </c>
      <c r="E921" s="90" t="s">
        <v>599</v>
      </c>
      <c r="G921" s="55" t="s">
        <v>600</v>
      </c>
      <c r="H921" s="55">
        <v>2000</v>
      </c>
      <c r="I921" s="55">
        <v>1998</v>
      </c>
      <c r="J921" s="55" t="s">
        <v>601</v>
      </c>
      <c r="K921" s="55" t="s">
        <v>1570</v>
      </c>
      <c r="L921" s="55" t="s">
        <v>2737</v>
      </c>
      <c r="M921" s="90">
        <v>45.01</v>
      </c>
      <c r="N921" s="90">
        <v>-122.78</v>
      </c>
      <c r="O921" s="90">
        <v>78.5</v>
      </c>
      <c r="S921" s="90">
        <v>1040</v>
      </c>
      <c r="T921" s="55" t="s">
        <v>133</v>
      </c>
      <c r="U921" s="55" t="s">
        <v>1694</v>
      </c>
      <c r="V921" s="55" t="s">
        <v>1682</v>
      </c>
      <c r="Y921" s="55" t="s">
        <v>630</v>
      </c>
      <c r="Z921" s="55" t="s">
        <v>1347</v>
      </c>
      <c r="AA921" s="90" t="s">
        <v>1676</v>
      </c>
      <c r="AE921" s="90">
        <v>7</v>
      </c>
      <c r="AF921" s="90">
        <v>67</v>
      </c>
      <c r="AH921" s="55" t="s">
        <v>523</v>
      </c>
      <c r="AM921" s="55" t="s">
        <v>1253</v>
      </c>
      <c r="AN921" s="185" t="s">
        <v>131</v>
      </c>
      <c r="AO921" s="185" t="s">
        <v>5150</v>
      </c>
      <c r="AQ921" s="55" t="s">
        <v>131</v>
      </c>
      <c r="AR921" s="55" t="s">
        <v>608</v>
      </c>
      <c r="AS921" s="55" t="s">
        <v>1577</v>
      </c>
      <c r="AT921" s="181" t="s">
        <v>611</v>
      </c>
      <c r="AU921" s="181" t="s">
        <v>5150</v>
      </c>
      <c r="AV921" s="185" t="s">
        <v>176</v>
      </c>
      <c r="AW921" s="55" t="s">
        <v>611</v>
      </c>
      <c r="AX921" s="185" t="s">
        <v>176</v>
      </c>
      <c r="AY921" s="55" t="s">
        <v>176</v>
      </c>
      <c r="BK921" s="55" t="s">
        <v>5976</v>
      </c>
      <c r="BM921" s="192" t="s">
        <v>119</v>
      </c>
      <c r="BN921" s="55">
        <v>4</v>
      </c>
      <c r="BO921" s="55">
        <v>4</v>
      </c>
      <c r="BQ921" s="55" t="s">
        <v>315</v>
      </c>
      <c r="GP921" s="292" t="s">
        <v>7494</v>
      </c>
      <c r="HS921" s="65">
        <v>82.63</v>
      </c>
      <c r="HT921" s="65">
        <v>101.57</v>
      </c>
      <c r="HW921" s="65" t="s">
        <v>597</v>
      </c>
      <c r="JG921" s="65">
        <v>125.77</v>
      </c>
      <c r="JH921" s="65">
        <v>173.19</v>
      </c>
      <c r="JU921" s="55" t="s">
        <v>632</v>
      </c>
      <c r="JV921" s="55" t="s">
        <v>1569</v>
      </c>
    </row>
    <row r="922" spans="1:282" x14ac:dyDescent="0.25">
      <c r="A922" s="55">
        <v>921</v>
      </c>
      <c r="B922" s="12" t="s">
        <v>7067</v>
      </c>
      <c r="C922" s="155">
        <v>44</v>
      </c>
      <c r="D922" s="55" t="s">
        <v>3884</v>
      </c>
      <c r="E922" s="90" t="s">
        <v>599</v>
      </c>
      <c r="G922" s="55" t="s">
        <v>600</v>
      </c>
      <c r="H922" s="55">
        <v>2000</v>
      </c>
      <c r="I922" s="55">
        <v>1996</v>
      </c>
      <c r="J922" s="55" t="s">
        <v>601</v>
      </c>
      <c r="K922" s="55" t="s">
        <v>606</v>
      </c>
      <c r="L922" s="55" t="s">
        <v>2737</v>
      </c>
      <c r="M922" s="90">
        <v>45.231000000000002</v>
      </c>
      <c r="N922" s="90">
        <v>-122.756</v>
      </c>
      <c r="O922" s="90">
        <v>48.4</v>
      </c>
      <c r="S922" s="90">
        <v>1040</v>
      </c>
      <c r="T922" s="55" t="s">
        <v>133</v>
      </c>
      <c r="U922" s="55">
        <v>8</v>
      </c>
      <c r="V922" s="55">
        <v>10</v>
      </c>
      <c r="Y922" s="55" t="s">
        <v>1906</v>
      </c>
      <c r="Z922" s="55" t="s">
        <v>1347</v>
      </c>
      <c r="AA922" s="90" t="s">
        <v>1676</v>
      </c>
      <c r="AE922" s="90">
        <v>28</v>
      </c>
      <c r="AF922" s="90">
        <v>54</v>
      </c>
      <c r="AH922" s="55" t="s">
        <v>6378</v>
      </c>
      <c r="AM922" s="55" t="s">
        <v>1253</v>
      </c>
      <c r="AN922" s="185" t="s">
        <v>764</v>
      </c>
      <c r="AO922" s="185" t="s">
        <v>5150</v>
      </c>
      <c r="AQ922" s="55" t="s">
        <v>1545</v>
      </c>
      <c r="AR922" s="55" t="s">
        <v>609</v>
      </c>
      <c r="AS922" s="55" t="s">
        <v>1577</v>
      </c>
      <c r="AT922" s="181" t="s">
        <v>614</v>
      </c>
      <c r="AU922" s="181" t="s">
        <v>5150</v>
      </c>
      <c r="AV922" s="185" t="s">
        <v>176</v>
      </c>
      <c r="AW922" s="55" t="s">
        <v>614</v>
      </c>
      <c r="AX922" s="185" t="s">
        <v>176</v>
      </c>
      <c r="AY922" s="55" t="s">
        <v>176</v>
      </c>
      <c r="BK922" s="55" t="s">
        <v>5976</v>
      </c>
      <c r="BM922" s="192" t="s">
        <v>119</v>
      </c>
      <c r="BN922" s="55">
        <v>4</v>
      </c>
      <c r="BO922" s="55">
        <v>4</v>
      </c>
      <c r="BQ922" s="55" t="s">
        <v>315</v>
      </c>
      <c r="GP922" s="292" t="s">
        <v>7494</v>
      </c>
      <c r="HS922" s="65">
        <v>54.72</v>
      </c>
      <c r="HT922" s="65">
        <v>63.83</v>
      </c>
      <c r="HW922" s="65" t="s">
        <v>597</v>
      </c>
      <c r="JG922" s="65">
        <v>58.24</v>
      </c>
      <c r="JH922" s="65">
        <v>65.680000000000007</v>
      </c>
      <c r="JU922" s="55" t="s">
        <v>632</v>
      </c>
      <c r="JV922" s="55" t="s">
        <v>1569</v>
      </c>
    </row>
    <row r="923" spans="1:282" x14ac:dyDescent="0.25">
      <c r="A923" s="55">
        <v>922</v>
      </c>
      <c r="B923" s="12" t="s">
        <v>7067</v>
      </c>
      <c r="C923" s="155">
        <v>44</v>
      </c>
      <c r="D923" s="55" t="s">
        <v>3884</v>
      </c>
      <c r="E923" s="90" t="s">
        <v>599</v>
      </c>
      <c r="G923" s="55" t="s">
        <v>600</v>
      </c>
      <c r="H923" s="55">
        <v>2000</v>
      </c>
      <c r="I923" s="55">
        <v>1997</v>
      </c>
      <c r="J923" s="55" t="s">
        <v>601</v>
      </c>
      <c r="K923" s="55" t="s">
        <v>606</v>
      </c>
      <c r="L923" s="55" t="s">
        <v>2737</v>
      </c>
      <c r="M923" s="90">
        <v>45.231000000000002</v>
      </c>
      <c r="N923" s="90">
        <v>-122.756</v>
      </c>
      <c r="O923" s="90">
        <v>48.4</v>
      </c>
      <c r="S923" s="90">
        <v>1040</v>
      </c>
      <c r="T923" s="55" t="s">
        <v>133</v>
      </c>
      <c r="U923" s="55">
        <v>9</v>
      </c>
      <c r="V923" s="55">
        <v>10</v>
      </c>
      <c r="Y923" s="55" t="s">
        <v>1907</v>
      </c>
      <c r="Z923" s="55" t="s">
        <v>1347</v>
      </c>
      <c r="AA923" s="90" t="s">
        <v>1676</v>
      </c>
      <c r="AE923" s="90">
        <v>28</v>
      </c>
      <c r="AF923" s="90">
        <v>54</v>
      </c>
      <c r="AH923" s="55" t="s">
        <v>6378</v>
      </c>
      <c r="AM923" s="55" t="s">
        <v>1253</v>
      </c>
      <c r="AN923" s="185" t="s">
        <v>764</v>
      </c>
      <c r="AO923" s="185" t="s">
        <v>5150</v>
      </c>
      <c r="AQ923" s="55" t="s">
        <v>1545</v>
      </c>
      <c r="AR923" s="55" t="s">
        <v>609</v>
      </c>
      <c r="AS923" s="55" t="s">
        <v>1577</v>
      </c>
      <c r="AT923" s="181" t="s">
        <v>614</v>
      </c>
      <c r="AU923" s="181" t="s">
        <v>5150</v>
      </c>
      <c r="AV923" s="185" t="s">
        <v>176</v>
      </c>
      <c r="AW923" s="55" t="s">
        <v>614</v>
      </c>
      <c r="AX923" s="185" t="s">
        <v>176</v>
      </c>
      <c r="AY923" s="55" t="s">
        <v>176</v>
      </c>
      <c r="BK923" s="55" t="s">
        <v>5976</v>
      </c>
      <c r="BM923" s="192" t="s">
        <v>119</v>
      </c>
      <c r="BN923" s="55">
        <v>4</v>
      </c>
      <c r="BO923" s="55">
        <v>4</v>
      </c>
      <c r="BQ923" s="55" t="s">
        <v>315</v>
      </c>
      <c r="GP923" s="292" t="s">
        <v>7494</v>
      </c>
      <c r="HS923" s="65">
        <v>103.23</v>
      </c>
      <c r="HT923" s="65">
        <v>85.85</v>
      </c>
      <c r="HW923" s="65" t="s">
        <v>597</v>
      </c>
      <c r="JG923" s="65">
        <v>129.22999999999999</v>
      </c>
      <c r="JH923" s="65">
        <v>84.61</v>
      </c>
      <c r="JU923" s="55" t="s">
        <v>632</v>
      </c>
      <c r="JV923" s="55" t="s">
        <v>1569</v>
      </c>
    </row>
    <row r="924" spans="1:282" x14ac:dyDescent="0.25">
      <c r="A924" s="55">
        <v>923</v>
      </c>
      <c r="B924" s="12" t="s">
        <v>7067</v>
      </c>
      <c r="C924" s="155">
        <v>44</v>
      </c>
      <c r="D924" s="55" t="s">
        <v>3884</v>
      </c>
      <c r="E924" s="90" t="s">
        <v>599</v>
      </c>
      <c r="G924" s="55" t="s">
        <v>600</v>
      </c>
      <c r="H924" s="55">
        <v>2000</v>
      </c>
      <c r="I924" s="55">
        <v>1997</v>
      </c>
      <c r="J924" s="55" t="s">
        <v>601</v>
      </c>
      <c r="K924" s="55" t="s">
        <v>606</v>
      </c>
      <c r="L924" s="55" t="s">
        <v>2737</v>
      </c>
      <c r="M924" s="90">
        <v>45.231000000000002</v>
      </c>
      <c r="N924" s="90">
        <v>-122.756</v>
      </c>
      <c r="O924" s="90">
        <v>48.4</v>
      </c>
      <c r="S924" s="90">
        <v>1040</v>
      </c>
      <c r="T924" s="55" t="s">
        <v>133</v>
      </c>
      <c r="U924" s="55">
        <v>9</v>
      </c>
      <c r="V924" s="55">
        <v>10</v>
      </c>
      <c r="Y924" s="55" t="s">
        <v>1908</v>
      </c>
      <c r="Z924" s="55" t="s">
        <v>1347</v>
      </c>
      <c r="AA924" s="90" t="s">
        <v>1676</v>
      </c>
      <c r="AE924" s="90">
        <v>28</v>
      </c>
      <c r="AF924" s="90">
        <v>54</v>
      </c>
      <c r="AH924" s="55" t="s">
        <v>6378</v>
      </c>
      <c r="AM924" s="55" t="s">
        <v>1253</v>
      </c>
      <c r="AN924" s="185" t="s">
        <v>764</v>
      </c>
      <c r="AO924" s="185" t="s">
        <v>5150</v>
      </c>
      <c r="AQ924" s="55" t="s">
        <v>1545</v>
      </c>
      <c r="AR924" s="55" t="s">
        <v>609</v>
      </c>
      <c r="AS924" s="55" t="s">
        <v>1577</v>
      </c>
      <c r="AT924" s="181" t="s">
        <v>614</v>
      </c>
      <c r="AU924" s="181" t="s">
        <v>5150</v>
      </c>
      <c r="AV924" s="185" t="s">
        <v>176</v>
      </c>
      <c r="AW924" s="55" t="s">
        <v>614</v>
      </c>
      <c r="AX924" s="185" t="s">
        <v>176</v>
      </c>
      <c r="AY924" s="55" t="s">
        <v>176</v>
      </c>
      <c r="BK924" s="55" t="s">
        <v>5976</v>
      </c>
      <c r="BM924" s="192" t="s">
        <v>119</v>
      </c>
      <c r="BN924" s="55">
        <v>4</v>
      </c>
      <c r="BO924" s="55">
        <v>4</v>
      </c>
      <c r="BQ924" s="55" t="s">
        <v>315</v>
      </c>
      <c r="GP924" s="292" t="s">
        <v>7494</v>
      </c>
      <c r="HS924" s="65">
        <v>57.78</v>
      </c>
      <c r="HT924" s="65">
        <v>58.6</v>
      </c>
      <c r="HW924" s="65" t="s">
        <v>597</v>
      </c>
      <c r="JG924" s="65">
        <v>70.59</v>
      </c>
      <c r="JH924" s="65">
        <v>48.29</v>
      </c>
      <c r="JU924" s="55" t="s">
        <v>632</v>
      </c>
      <c r="JV924" s="55" t="s">
        <v>1569</v>
      </c>
    </row>
    <row r="925" spans="1:282" x14ac:dyDescent="0.25">
      <c r="A925" s="55">
        <v>924</v>
      </c>
      <c r="B925" s="12" t="s">
        <v>7067</v>
      </c>
      <c r="C925" s="155">
        <v>44</v>
      </c>
      <c r="D925" s="55" t="s">
        <v>3884</v>
      </c>
      <c r="E925" s="90" t="s">
        <v>599</v>
      </c>
      <c r="G925" s="55" t="s">
        <v>600</v>
      </c>
      <c r="H925" s="55">
        <v>2000</v>
      </c>
      <c r="I925" s="55">
        <v>1997</v>
      </c>
      <c r="J925" s="55" t="s">
        <v>601</v>
      </c>
      <c r="K925" s="55" t="s">
        <v>606</v>
      </c>
      <c r="L925" s="55" t="s">
        <v>2737</v>
      </c>
      <c r="M925" s="90">
        <v>45.231000000000002</v>
      </c>
      <c r="N925" s="90">
        <v>-122.756</v>
      </c>
      <c r="O925" s="90">
        <v>48.4</v>
      </c>
      <c r="S925" s="90">
        <v>1040</v>
      </c>
      <c r="T925" s="55" t="s">
        <v>133</v>
      </c>
      <c r="U925" s="55">
        <v>9</v>
      </c>
      <c r="V925" s="55">
        <v>10</v>
      </c>
      <c r="Y925" s="55" t="s">
        <v>1909</v>
      </c>
      <c r="Z925" s="55" t="s">
        <v>1347</v>
      </c>
      <c r="AA925" s="90" t="s">
        <v>1676</v>
      </c>
      <c r="AE925" s="90">
        <v>28</v>
      </c>
      <c r="AF925" s="90">
        <v>54</v>
      </c>
      <c r="AH925" s="55" t="s">
        <v>6378</v>
      </c>
      <c r="AM925" s="55" t="s">
        <v>1253</v>
      </c>
      <c r="AN925" s="185" t="s">
        <v>764</v>
      </c>
      <c r="AO925" s="185" t="s">
        <v>5150</v>
      </c>
      <c r="AQ925" s="55" t="s">
        <v>1545</v>
      </c>
      <c r="AR925" s="55" t="s">
        <v>609</v>
      </c>
      <c r="AS925" s="55" t="s">
        <v>1577</v>
      </c>
      <c r="AT925" s="181" t="s">
        <v>614</v>
      </c>
      <c r="AU925" s="181" t="s">
        <v>5150</v>
      </c>
      <c r="AV925" s="185" t="s">
        <v>176</v>
      </c>
      <c r="AW925" s="55" t="s">
        <v>614</v>
      </c>
      <c r="AX925" s="185" t="s">
        <v>176</v>
      </c>
      <c r="AY925" s="55" t="s">
        <v>176</v>
      </c>
      <c r="BK925" s="55" t="s">
        <v>5976</v>
      </c>
      <c r="BM925" s="192" t="s">
        <v>119</v>
      </c>
      <c r="BN925" s="55">
        <v>4</v>
      </c>
      <c r="BO925" s="55">
        <v>4</v>
      </c>
      <c r="BQ925" s="55" t="s">
        <v>315</v>
      </c>
      <c r="GP925" s="292" t="s">
        <v>7494</v>
      </c>
      <c r="HS925" s="65">
        <v>61.58</v>
      </c>
      <c r="HT925" s="65">
        <v>65.72</v>
      </c>
      <c r="HW925" s="65" t="s">
        <v>597</v>
      </c>
      <c r="JG925" s="65">
        <v>85.28</v>
      </c>
      <c r="JH925" s="65">
        <v>66.150000000000006</v>
      </c>
      <c r="JU925" s="55" t="s">
        <v>632</v>
      </c>
      <c r="JV925" s="55" t="s">
        <v>1569</v>
      </c>
    </row>
    <row r="926" spans="1:282" x14ac:dyDescent="0.25">
      <c r="A926" s="55">
        <v>925</v>
      </c>
      <c r="B926" s="12" t="s">
        <v>7067</v>
      </c>
      <c r="C926" s="155">
        <v>44</v>
      </c>
      <c r="D926" s="55" t="s">
        <v>3884</v>
      </c>
      <c r="E926" s="90" t="s">
        <v>599</v>
      </c>
      <c r="G926" s="55" t="s">
        <v>600</v>
      </c>
      <c r="H926" s="55">
        <v>2000</v>
      </c>
      <c r="I926" s="55">
        <v>1998</v>
      </c>
      <c r="J926" s="55" t="s">
        <v>601</v>
      </c>
      <c r="K926" s="55" t="s">
        <v>606</v>
      </c>
      <c r="L926" s="55" t="s">
        <v>2737</v>
      </c>
      <c r="M926" s="90">
        <v>45.231000000000002</v>
      </c>
      <c r="N926" s="90">
        <v>-122.756</v>
      </c>
      <c r="O926" s="90">
        <v>48.4</v>
      </c>
      <c r="S926" s="90">
        <v>1040</v>
      </c>
      <c r="T926" s="55" t="s">
        <v>133</v>
      </c>
      <c r="U926" s="55">
        <v>10</v>
      </c>
      <c r="V926" s="55">
        <v>10</v>
      </c>
      <c r="Y926" s="55" t="s">
        <v>1907</v>
      </c>
      <c r="Z926" s="55" t="s">
        <v>1347</v>
      </c>
      <c r="AA926" s="90" t="s">
        <v>1676</v>
      </c>
      <c r="AE926" s="90">
        <v>28</v>
      </c>
      <c r="AF926" s="90">
        <v>54</v>
      </c>
      <c r="AH926" s="55" t="s">
        <v>6378</v>
      </c>
      <c r="AM926" s="55" t="s">
        <v>1253</v>
      </c>
      <c r="AN926" s="185" t="s">
        <v>764</v>
      </c>
      <c r="AO926" s="185" t="s">
        <v>5150</v>
      </c>
      <c r="AQ926" s="55" t="s">
        <v>1545</v>
      </c>
      <c r="AR926" s="55" t="s">
        <v>609</v>
      </c>
      <c r="AS926" s="55" t="s">
        <v>1577</v>
      </c>
      <c r="AT926" s="181" t="s">
        <v>614</v>
      </c>
      <c r="AU926" s="181" t="s">
        <v>5150</v>
      </c>
      <c r="AV926" s="185" t="s">
        <v>176</v>
      </c>
      <c r="AW926" s="55" t="s">
        <v>614</v>
      </c>
      <c r="AX926" s="185" t="s">
        <v>176</v>
      </c>
      <c r="AY926" s="55" t="s">
        <v>176</v>
      </c>
      <c r="BK926" s="55" t="s">
        <v>5976</v>
      </c>
      <c r="BM926" s="192" t="s">
        <v>119</v>
      </c>
      <c r="BN926" s="55">
        <v>4</v>
      </c>
      <c r="BO926" s="55">
        <v>4</v>
      </c>
      <c r="BQ926" s="55" t="s">
        <v>315</v>
      </c>
      <c r="GP926" s="292" t="s">
        <v>7494</v>
      </c>
      <c r="HS926" s="65">
        <v>69.11</v>
      </c>
      <c r="HT926" s="65">
        <v>69.11</v>
      </c>
      <c r="HW926" s="65" t="s">
        <v>597</v>
      </c>
      <c r="JG926" s="65">
        <v>102.08</v>
      </c>
      <c r="JH926" s="65">
        <v>64.88</v>
      </c>
      <c r="JU926" s="55" t="s">
        <v>632</v>
      </c>
      <c r="JV926" s="55" t="s">
        <v>1569</v>
      </c>
    </row>
    <row r="927" spans="1:282" x14ac:dyDescent="0.25">
      <c r="A927" s="55">
        <v>926</v>
      </c>
      <c r="B927" s="12" t="s">
        <v>7067</v>
      </c>
      <c r="C927" s="155">
        <v>44</v>
      </c>
      <c r="D927" s="55" t="s">
        <v>3884</v>
      </c>
      <c r="E927" s="90" t="s">
        <v>599</v>
      </c>
      <c r="G927" s="55" t="s">
        <v>600</v>
      </c>
      <c r="H927" s="55">
        <v>2000</v>
      </c>
      <c r="I927" s="55">
        <v>1998</v>
      </c>
      <c r="J927" s="55" t="s">
        <v>601</v>
      </c>
      <c r="K927" s="55" t="s">
        <v>606</v>
      </c>
      <c r="L927" s="55" t="s">
        <v>2737</v>
      </c>
      <c r="M927" s="90">
        <v>45.231000000000002</v>
      </c>
      <c r="N927" s="90">
        <v>-122.756</v>
      </c>
      <c r="O927" s="90">
        <v>48.4</v>
      </c>
      <c r="S927" s="90">
        <v>1040</v>
      </c>
      <c r="T927" s="55" t="s">
        <v>133</v>
      </c>
      <c r="U927" s="55">
        <v>10</v>
      </c>
      <c r="V927" s="55">
        <v>10</v>
      </c>
      <c r="Y927" s="55" t="s">
        <v>1908</v>
      </c>
      <c r="Z927" s="55" t="s">
        <v>1347</v>
      </c>
      <c r="AA927" s="90" t="s">
        <v>1676</v>
      </c>
      <c r="AE927" s="90">
        <v>28</v>
      </c>
      <c r="AF927" s="90">
        <v>54</v>
      </c>
      <c r="AH927" s="55" t="s">
        <v>6378</v>
      </c>
      <c r="AM927" s="55" t="s">
        <v>1253</v>
      </c>
      <c r="AN927" s="185" t="s">
        <v>764</v>
      </c>
      <c r="AO927" s="185" t="s">
        <v>5150</v>
      </c>
      <c r="AQ927" s="55" t="s">
        <v>1545</v>
      </c>
      <c r="AR927" s="55" t="s">
        <v>609</v>
      </c>
      <c r="AS927" s="55" t="s">
        <v>1577</v>
      </c>
      <c r="AT927" s="181" t="s">
        <v>614</v>
      </c>
      <c r="AU927" s="181" t="s">
        <v>5150</v>
      </c>
      <c r="AV927" s="185" t="s">
        <v>176</v>
      </c>
      <c r="AW927" s="55" t="s">
        <v>614</v>
      </c>
      <c r="AX927" s="185" t="s">
        <v>176</v>
      </c>
      <c r="AY927" s="55" t="s">
        <v>176</v>
      </c>
      <c r="BK927" s="55" t="s">
        <v>5976</v>
      </c>
      <c r="BM927" s="192" t="s">
        <v>119</v>
      </c>
      <c r="BN927" s="55">
        <v>4</v>
      </c>
      <c r="BO927" s="55">
        <v>4</v>
      </c>
      <c r="BQ927" s="55" t="s">
        <v>315</v>
      </c>
      <c r="GP927" s="292" t="s">
        <v>7494</v>
      </c>
      <c r="HS927" s="65">
        <v>64.63</v>
      </c>
      <c r="HT927" s="65">
        <v>64.63</v>
      </c>
      <c r="HW927" s="65" t="s">
        <v>597</v>
      </c>
      <c r="JG927" s="65">
        <v>76.38</v>
      </c>
      <c r="JH927" s="65">
        <v>76.38</v>
      </c>
      <c r="JU927" s="55" t="s">
        <v>632</v>
      </c>
      <c r="JV927" s="55" t="s">
        <v>1569</v>
      </c>
    </row>
    <row r="928" spans="1:282" x14ac:dyDescent="0.25">
      <c r="A928" s="55">
        <v>927</v>
      </c>
      <c r="B928" s="12" t="s">
        <v>7067</v>
      </c>
      <c r="C928" s="155">
        <v>44</v>
      </c>
      <c r="D928" s="55" t="s">
        <v>3884</v>
      </c>
      <c r="E928" s="90" t="s">
        <v>599</v>
      </c>
      <c r="G928" s="55" t="s">
        <v>600</v>
      </c>
      <c r="H928" s="55">
        <v>2000</v>
      </c>
      <c r="I928" s="55">
        <v>1998</v>
      </c>
      <c r="J928" s="55" t="s">
        <v>601</v>
      </c>
      <c r="K928" s="55" t="s">
        <v>606</v>
      </c>
      <c r="L928" s="55" t="s">
        <v>2737</v>
      </c>
      <c r="M928" s="90">
        <v>45.231000000000002</v>
      </c>
      <c r="N928" s="90">
        <v>-122.756</v>
      </c>
      <c r="O928" s="90">
        <v>48.4</v>
      </c>
      <c r="S928" s="90">
        <v>1040</v>
      </c>
      <c r="T928" s="55" t="s">
        <v>133</v>
      </c>
      <c r="U928" s="55">
        <v>10</v>
      </c>
      <c r="V928" s="55">
        <v>10</v>
      </c>
      <c r="Y928" s="55" t="s">
        <v>1909</v>
      </c>
      <c r="Z928" s="55" t="s">
        <v>1347</v>
      </c>
      <c r="AA928" s="90" t="s">
        <v>1676</v>
      </c>
      <c r="AE928" s="90">
        <v>28</v>
      </c>
      <c r="AF928" s="90">
        <v>54</v>
      </c>
      <c r="AH928" s="55" t="s">
        <v>6378</v>
      </c>
      <c r="AM928" s="55" t="s">
        <v>1253</v>
      </c>
      <c r="AN928" s="185" t="s">
        <v>764</v>
      </c>
      <c r="AO928" s="185" t="s">
        <v>5150</v>
      </c>
      <c r="AQ928" s="55" t="s">
        <v>1545</v>
      </c>
      <c r="AR928" s="55" t="s">
        <v>609</v>
      </c>
      <c r="AS928" s="55" t="s">
        <v>1577</v>
      </c>
      <c r="AT928" s="181" t="s">
        <v>614</v>
      </c>
      <c r="AU928" s="181" t="s">
        <v>5150</v>
      </c>
      <c r="AV928" s="185" t="s">
        <v>176</v>
      </c>
      <c r="AW928" s="55" t="s">
        <v>614</v>
      </c>
      <c r="AX928" s="185" t="s">
        <v>176</v>
      </c>
      <c r="AY928" s="55" t="s">
        <v>176</v>
      </c>
      <c r="BK928" s="55" t="s">
        <v>5976</v>
      </c>
      <c r="BM928" s="192" t="s">
        <v>119</v>
      </c>
      <c r="BN928" s="55">
        <v>4</v>
      </c>
      <c r="BO928" s="55">
        <v>4</v>
      </c>
      <c r="BQ928" s="55" t="s">
        <v>315</v>
      </c>
      <c r="GP928" s="292" t="s">
        <v>7494</v>
      </c>
      <c r="HS928" s="65">
        <v>63.47</v>
      </c>
      <c r="HT928" s="65">
        <v>65.540000000000006</v>
      </c>
      <c r="HW928" s="65" t="s">
        <v>597</v>
      </c>
      <c r="JG928" s="65">
        <v>71.930000000000007</v>
      </c>
      <c r="JH928" s="65">
        <v>48.55</v>
      </c>
      <c r="JU928" s="55" t="s">
        <v>632</v>
      </c>
      <c r="JV928" s="55" t="s">
        <v>1569</v>
      </c>
    </row>
    <row r="929" spans="1:283" s="229" customFormat="1" x14ac:dyDescent="0.25">
      <c r="A929" s="181">
        <v>928</v>
      </c>
      <c r="B929" s="229" t="s">
        <v>7067</v>
      </c>
      <c r="C929" s="230">
        <v>44</v>
      </c>
      <c r="D929" s="181" t="s">
        <v>3885</v>
      </c>
      <c r="E929" s="231" t="s">
        <v>599</v>
      </c>
      <c r="F929" s="231"/>
      <c r="G929" s="181" t="s">
        <v>600</v>
      </c>
      <c r="H929" s="181">
        <v>2000</v>
      </c>
      <c r="I929" s="181">
        <v>1996</v>
      </c>
      <c r="J929" s="181" t="s">
        <v>601</v>
      </c>
      <c r="K929" s="181" t="s">
        <v>606</v>
      </c>
      <c r="L929" s="181" t="s">
        <v>2737</v>
      </c>
      <c r="M929" s="231">
        <v>45.231000000000002</v>
      </c>
      <c r="N929" s="231">
        <v>-122.756</v>
      </c>
      <c r="O929" s="231">
        <v>48.4</v>
      </c>
      <c r="P929" s="181"/>
      <c r="Q929" s="181"/>
      <c r="R929" s="181"/>
      <c r="S929" s="231">
        <v>1040</v>
      </c>
      <c r="T929" s="181" t="s">
        <v>133</v>
      </c>
      <c r="U929" s="181">
        <v>8</v>
      </c>
      <c r="V929" s="181">
        <v>10</v>
      </c>
      <c r="W929" s="181"/>
      <c r="X929" s="181"/>
      <c r="Y929" s="181" t="s">
        <v>1908</v>
      </c>
      <c r="Z929" s="181" t="s">
        <v>1347</v>
      </c>
      <c r="AA929" s="231" t="s">
        <v>1676</v>
      </c>
      <c r="AB929" s="232"/>
      <c r="AC929" s="232"/>
      <c r="AD929" s="231"/>
      <c r="AE929" s="231">
        <v>28</v>
      </c>
      <c r="AF929" s="231">
        <v>54</v>
      </c>
      <c r="AG929" s="231"/>
      <c r="AH929" s="181" t="s">
        <v>6378</v>
      </c>
      <c r="AI929" s="181"/>
      <c r="AJ929" s="231"/>
      <c r="AK929" s="231"/>
      <c r="AL929" s="181"/>
      <c r="AM929" s="181" t="s">
        <v>1253</v>
      </c>
      <c r="AN929" s="185" t="s">
        <v>1539</v>
      </c>
      <c r="AO929" s="185" t="s">
        <v>5150</v>
      </c>
      <c r="AP929" s="181"/>
      <c r="AQ929" s="181" t="s">
        <v>1546</v>
      </c>
      <c r="AR929" s="181" t="s">
        <v>609</v>
      </c>
      <c r="AS929" s="181" t="s">
        <v>1577</v>
      </c>
      <c r="AT929" s="181" t="s">
        <v>614</v>
      </c>
      <c r="AU929" s="181" t="s">
        <v>5150</v>
      </c>
      <c r="AV929" s="185" t="s">
        <v>479</v>
      </c>
      <c r="AW929" s="181" t="s">
        <v>614</v>
      </c>
      <c r="AX929" s="185" t="s">
        <v>479</v>
      </c>
      <c r="AY929" s="181" t="s">
        <v>176</v>
      </c>
      <c r="AZ929" s="181"/>
      <c r="BA929" s="181"/>
      <c r="BB929" s="181"/>
      <c r="BC929" s="181"/>
      <c r="BD929" s="181"/>
      <c r="BE929" s="226"/>
      <c r="BF929" s="181"/>
      <c r="BG929" s="181"/>
      <c r="BH929" s="226"/>
      <c r="BI929" s="181"/>
      <c r="BJ929" s="181"/>
      <c r="BK929" s="181" t="s">
        <v>5976</v>
      </c>
      <c r="BL929" s="181"/>
      <c r="BM929" s="192" t="s">
        <v>119</v>
      </c>
      <c r="BN929" s="181">
        <v>4</v>
      </c>
      <c r="BO929" s="181">
        <v>4</v>
      </c>
      <c r="BP929" s="181"/>
      <c r="BQ929" s="181" t="s">
        <v>315</v>
      </c>
      <c r="BR929" s="181"/>
      <c r="BS929" s="181"/>
      <c r="BT929" s="181"/>
      <c r="BU929" s="181"/>
      <c r="BV929" s="181"/>
      <c r="BW929" s="232"/>
      <c r="BX929" s="232"/>
      <c r="BY929" s="232"/>
      <c r="BZ929" s="232"/>
      <c r="CA929" s="232"/>
      <c r="CB929" s="183"/>
      <c r="CC929" s="183"/>
      <c r="CD929" s="183"/>
      <c r="CE929" s="232"/>
      <c r="CF929" s="232"/>
      <c r="CG929" s="232"/>
      <c r="CH929" s="231"/>
      <c r="CI929" s="231"/>
      <c r="CJ929" s="232"/>
      <c r="CK929" s="232"/>
      <c r="CL929" s="232"/>
      <c r="CM929" s="232"/>
      <c r="CN929" s="232"/>
      <c r="CO929" s="232"/>
      <c r="CP929" s="232"/>
      <c r="CQ929" s="232"/>
      <c r="CR929" s="232"/>
      <c r="CS929" s="232"/>
      <c r="CT929" s="232"/>
      <c r="CU929" s="232"/>
      <c r="CV929" s="232"/>
      <c r="CW929" s="232"/>
      <c r="CX929" s="232"/>
      <c r="CY929" s="232"/>
      <c r="CZ929" s="232"/>
      <c r="DA929" s="232"/>
      <c r="DB929" s="232"/>
      <c r="DC929" s="232"/>
      <c r="DD929" s="232"/>
      <c r="DE929" s="232"/>
      <c r="DF929" s="232"/>
      <c r="DG929" s="232"/>
      <c r="DH929" s="232"/>
      <c r="DI929" s="232"/>
      <c r="DJ929" s="232"/>
      <c r="DK929" s="232"/>
      <c r="DL929" s="232"/>
      <c r="DM929" s="232"/>
      <c r="DN929" s="232"/>
      <c r="DO929" s="232"/>
      <c r="DP929" s="232"/>
      <c r="DQ929" s="233"/>
      <c r="DR929" s="233"/>
      <c r="DS929" s="232"/>
      <c r="DT929" s="232"/>
      <c r="DU929" s="232"/>
      <c r="DV929" s="232"/>
      <c r="DW929" s="232"/>
      <c r="DX929" s="232"/>
      <c r="DY929" s="232"/>
      <c r="DZ929" s="232"/>
      <c r="EA929" s="232"/>
      <c r="EB929" s="232"/>
      <c r="EC929" s="232"/>
      <c r="ED929" s="232"/>
      <c r="EE929" s="232"/>
      <c r="EF929" s="232"/>
      <c r="EG929" s="232"/>
      <c r="EH929" s="232"/>
      <c r="EI929" s="232"/>
      <c r="EJ929" s="232"/>
      <c r="EK929" s="231"/>
      <c r="EL929" s="231"/>
      <c r="EM929" s="232"/>
      <c r="EN929" s="232"/>
      <c r="EO929" s="232"/>
      <c r="EP929" s="232"/>
      <c r="EQ929" s="232"/>
      <c r="ER929" s="232"/>
      <c r="ES929" s="232"/>
      <c r="ET929" s="232"/>
      <c r="EU929" s="232"/>
      <c r="EV929" s="232"/>
      <c r="EW929" s="232"/>
      <c r="EX929" s="232"/>
      <c r="EY929" s="232"/>
      <c r="EZ929" s="232"/>
      <c r="FA929" s="232"/>
      <c r="FB929" s="232"/>
      <c r="FC929" s="232"/>
      <c r="FD929" s="232"/>
      <c r="FE929" s="232"/>
      <c r="FF929" s="232"/>
      <c r="FG929" s="232"/>
      <c r="FH929" s="232"/>
      <c r="FI929" s="232"/>
      <c r="FJ929" s="232"/>
      <c r="FK929" s="232"/>
      <c r="FL929" s="232"/>
      <c r="FM929" s="232"/>
      <c r="FN929" s="232"/>
      <c r="FO929" s="232"/>
      <c r="FP929" s="232"/>
      <c r="FQ929" s="232"/>
      <c r="FR929" s="232"/>
      <c r="FS929" s="232"/>
      <c r="FT929" s="232"/>
      <c r="FU929" s="232"/>
      <c r="FV929" s="232"/>
      <c r="FW929" s="232"/>
      <c r="FX929" s="232"/>
      <c r="FY929" s="232"/>
      <c r="FZ929" s="232"/>
      <c r="GA929" s="232"/>
      <c r="GB929" s="232"/>
      <c r="GC929" s="232"/>
      <c r="GD929" s="232"/>
      <c r="GE929" s="232"/>
      <c r="GF929" s="232"/>
      <c r="GG929" s="232"/>
      <c r="GH929" s="232"/>
      <c r="GI929" s="232"/>
      <c r="GJ929" s="232"/>
      <c r="GK929" s="232"/>
      <c r="GL929" s="232"/>
      <c r="GM929" s="232"/>
      <c r="GN929" s="294"/>
      <c r="GO929" s="294"/>
      <c r="GP929" s="292" t="s">
        <v>7494</v>
      </c>
      <c r="GQ929" s="232"/>
      <c r="GR929" s="232"/>
      <c r="GS929" s="232"/>
      <c r="GT929" s="232"/>
      <c r="GU929" s="232"/>
      <c r="GV929" s="232"/>
      <c r="GW929" s="232"/>
      <c r="GX929" s="232"/>
      <c r="GY929" s="232"/>
      <c r="GZ929" s="232"/>
      <c r="HA929" s="232"/>
      <c r="HB929" s="232"/>
      <c r="HC929" s="232"/>
      <c r="HD929" s="232"/>
      <c r="HE929" s="232"/>
      <c r="HF929" s="232"/>
      <c r="HG929" s="232"/>
      <c r="HH929" s="232"/>
      <c r="HI929" s="232"/>
      <c r="HJ929" s="232"/>
      <c r="HK929" s="232"/>
      <c r="HL929" s="232"/>
      <c r="HM929" s="232"/>
      <c r="HN929" s="232"/>
      <c r="HO929" s="232"/>
      <c r="HP929" s="232"/>
      <c r="HQ929" s="232"/>
      <c r="HR929" s="232"/>
      <c r="HS929" s="232">
        <v>54.72</v>
      </c>
      <c r="HT929" s="232">
        <v>61.34</v>
      </c>
      <c r="HU929" s="232"/>
      <c r="HV929" s="232"/>
      <c r="HW929" s="232" t="s">
        <v>597</v>
      </c>
      <c r="HX929" s="232"/>
      <c r="HY929" s="232"/>
      <c r="HZ929" s="232"/>
      <c r="IA929" s="232"/>
      <c r="IB929" s="232"/>
      <c r="IC929" s="232"/>
      <c r="ID929" s="232"/>
      <c r="IE929" s="232"/>
      <c r="IF929" s="232"/>
      <c r="IG929" s="232"/>
      <c r="IH929" s="232"/>
      <c r="II929" s="232"/>
      <c r="IJ929" s="232"/>
      <c r="IK929" s="232"/>
      <c r="IL929" s="232"/>
      <c r="IM929" s="232"/>
      <c r="IN929" s="232"/>
      <c r="IO929" s="232"/>
      <c r="IP929" s="232"/>
      <c r="IQ929" s="232"/>
      <c r="IR929" s="232"/>
      <c r="IS929" s="232"/>
      <c r="IT929" s="232"/>
      <c r="IU929" s="232"/>
      <c r="IV929" s="232"/>
      <c r="IW929" s="232"/>
      <c r="IX929" s="232"/>
      <c r="IY929" s="232"/>
      <c r="IZ929" s="232"/>
      <c r="JA929" s="232"/>
      <c r="JB929" s="232"/>
      <c r="JC929" s="232"/>
      <c r="JD929" s="232"/>
      <c r="JE929" s="232"/>
      <c r="JF929" s="232"/>
      <c r="JG929" s="232">
        <v>58.24</v>
      </c>
      <c r="JH929" s="232">
        <v>65.680000000000007</v>
      </c>
      <c r="JI929" s="232"/>
      <c r="JJ929" s="232"/>
      <c r="JK929" s="232"/>
      <c r="JL929" s="232"/>
      <c r="JM929" s="232"/>
      <c r="JN929" s="232"/>
      <c r="JO929" s="232"/>
      <c r="JP929" s="232"/>
      <c r="JQ929" s="232"/>
      <c r="JR929" s="232"/>
      <c r="JS929" s="232"/>
      <c r="JT929" s="232"/>
      <c r="JU929" s="181" t="s">
        <v>632</v>
      </c>
      <c r="JV929" s="181" t="s">
        <v>1569</v>
      </c>
      <c r="JW929" s="181"/>
    </row>
    <row r="930" spans="1:283" s="229" customFormat="1" x14ac:dyDescent="0.25">
      <c r="A930" s="181">
        <v>929</v>
      </c>
      <c r="B930" s="229" t="s">
        <v>7067</v>
      </c>
      <c r="C930" s="230">
        <v>44</v>
      </c>
      <c r="D930" s="181" t="s">
        <v>3885</v>
      </c>
      <c r="E930" s="231" t="s">
        <v>599</v>
      </c>
      <c r="F930" s="231"/>
      <c r="G930" s="181" t="s">
        <v>600</v>
      </c>
      <c r="H930" s="181">
        <v>2000</v>
      </c>
      <c r="I930" s="181">
        <v>1997</v>
      </c>
      <c r="J930" s="181" t="s">
        <v>601</v>
      </c>
      <c r="K930" s="181" t="s">
        <v>606</v>
      </c>
      <c r="L930" s="181" t="s">
        <v>2737</v>
      </c>
      <c r="M930" s="231">
        <v>45.231000000000002</v>
      </c>
      <c r="N930" s="231">
        <v>-122.756</v>
      </c>
      <c r="O930" s="231">
        <v>48.4</v>
      </c>
      <c r="P930" s="181"/>
      <c r="Q930" s="181"/>
      <c r="R930" s="181"/>
      <c r="S930" s="231">
        <v>1040</v>
      </c>
      <c r="T930" s="181" t="s">
        <v>133</v>
      </c>
      <c r="U930" s="181">
        <v>9</v>
      </c>
      <c r="V930" s="181">
        <v>10</v>
      </c>
      <c r="W930" s="181"/>
      <c r="X930" s="181"/>
      <c r="Y930" s="181" t="s">
        <v>1907</v>
      </c>
      <c r="Z930" s="181" t="s">
        <v>1347</v>
      </c>
      <c r="AA930" s="231" t="s">
        <v>1676</v>
      </c>
      <c r="AB930" s="232"/>
      <c r="AC930" s="232"/>
      <c r="AD930" s="231"/>
      <c r="AE930" s="231">
        <v>28</v>
      </c>
      <c r="AF930" s="231">
        <v>54</v>
      </c>
      <c r="AG930" s="231"/>
      <c r="AH930" s="181" t="s">
        <v>6378</v>
      </c>
      <c r="AI930" s="181"/>
      <c r="AJ930" s="231"/>
      <c r="AK930" s="231"/>
      <c r="AL930" s="181"/>
      <c r="AM930" s="181" t="s">
        <v>1253</v>
      </c>
      <c r="AN930" s="185" t="s">
        <v>1539</v>
      </c>
      <c r="AO930" s="185" t="s">
        <v>5150</v>
      </c>
      <c r="AP930" s="181"/>
      <c r="AQ930" s="181" t="s">
        <v>1546</v>
      </c>
      <c r="AR930" s="181" t="s">
        <v>609</v>
      </c>
      <c r="AS930" s="181" t="s">
        <v>1577</v>
      </c>
      <c r="AT930" s="181" t="s">
        <v>614</v>
      </c>
      <c r="AU930" s="181" t="s">
        <v>5150</v>
      </c>
      <c r="AV930" s="185" t="s">
        <v>479</v>
      </c>
      <c r="AW930" s="181" t="s">
        <v>614</v>
      </c>
      <c r="AX930" s="185" t="s">
        <v>479</v>
      </c>
      <c r="AY930" s="181" t="s">
        <v>176</v>
      </c>
      <c r="AZ930" s="181"/>
      <c r="BA930" s="181"/>
      <c r="BB930" s="181"/>
      <c r="BC930" s="181"/>
      <c r="BD930" s="181"/>
      <c r="BE930" s="226"/>
      <c r="BF930" s="181"/>
      <c r="BG930" s="181"/>
      <c r="BH930" s="226"/>
      <c r="BI930" s="181"/>
      <c r="BJ930" s="181"/>
      <c r="BK930" s="181" t="s">
        <v>5976</v>
      </c>
      <c r="BL930" s="181"/>
      <c r="BM930" s="192" t="s">
        <v>119</v>
      </c>
      <c r="BN930" s="181">
        <v>4</v>
      </c>
      <c r="BO930" s="181">
        <v>4</v>
      </c>
      <c r="BP930" s="181"/>
      <c r="BQ930" s="181" t="s">
        <v>315</v>
      </c>
      <c r="BR930" s="181"/>
      <c r="BS930" s="181"/>
      <c r="BT930" s="181"/>
      <c r="BU930" s="181"/>
      <c r="BV930" s="181"/>
      <c r="BW930" s="232"/>
      <c r="BX930" s="232"/>
      <c r="BY930" s="232"/>
      <c r="BZ930" s="232"/>
      <c r="CA930" s="232"/>
      <c r="CB930" s="183"/>
      <c r="CC930" s="183"/>
      <c r="CD930" s="183"/>
      <c r="CE930" s="232"/>
      <c r="CF930" s="232"/>
      <c r="CG930" s="232"/>
      <c r="CH930" s="231"/>
      <c r="CI930" s="231"/>
      <c r="CJ930" s="232"/>
      <c r="CK930" s="232"/>
      <c r="CL930" s="232"/>
      <c r="CM930" s="232"/>
      <c r="CN930" s="232"/>
      <c r="CO930" s="232"/>
      <c r="CP930" s="232"/>
      <c r="CQ930" s="232"/>
      <c r="CR930" s="232"/>
      <c r="CS930" s="232"/>
      <c r="CT930" s="232"/>
      <c r="CU930" s="232"/>
      <c r="CV930" s="232"/>
      <c r="CW930" s="232"/>
      <c r="CX930" s="232"/>
      <c r="CY930" s="232"/>
      <c r="CZ930" s="232"/>
      <c r="DA930" s="232"/>
      <c r="DB930" s="232"/>
      <c r="DC930" s="232"/>
      <c r="DD930" s="232"/>
      <c r="DE930" s="232"/>
      <c r="DF930" s="232"/>
      <c r="DG930" s="232"/>
      <c r="DH930" s="232"/>
      <c r="DI930" s="232"/>
      <c r="DJ930" s="232"/>
      <c r="DK930" s="232"/>
      <c r="DL930" s="232"/>
      <c r="DM930" s="232"/>
      <c r="DN930" s="232"/>
      <c r="DO930" s="232"/>
      <c r="DP930" s="232"/>
      <c r="DQ930" s="233"/>
      <c r="DR930" s="233"/>
      <c r="DS930" s="232"/>
      <c r="DT930" s="232"/>
      <c r="DU930" s="232"/>
      <c r="DV930" s="232"/>
      <c r="DW930" s="232"/>
      <c r="DX930" s="232"/>
      <c r="DY930" s="232"/>
      <c r="DZ930" s="232"/>
      <c r="EA930" s="232"/>
      <c r="EB930" s="232"/>
      <c r="EC930" s="232"/>
      <c r="ED930" s="232"/>
      <c r="EE930" s="232"/>
      <c r="EF930" s="232"/>
      <c r="EG930" s="232"/>
      <c r="EH930" s="232"/>
      <c r="EI930" s="232"/>
      <c r="EJ930" s="232"/>
      <c r="EK930" s="231"/>
      <c r="EL930" s="231"/>
      <c r="EM930" s="232"/>
      <c r="EN930" s="232"/>
      <c r="EO930" s="232"/>
      <c r="EP930" s="232"/>
      <c r="EQ930" s="232"/>
      <c r="ER930" s="232"/>
      <c r="ES930" s="232"/>
      <c r="ET930" s="232"/>
      <c r="EU930" s="232"/>
      <c r="EV930" s="232"/>
      <c r="EW930" s="232"/>
      <c r="EX930" s="232"/>
      <c r="EY930" s="232"/>
      <c r="EZ930" s="232"/>
      <c r="FA930" s="232"/>
      <c r="FB930" s="232"/>
      <c r="FC930" s="232"/>
      <c r="FD930" s="232"/>
      <c r="FE930" s="232"/>
      <c r="FF930" s="232"/>
      <c r="FG930" s="232"/>
      <c r="FH930" s="232"/>
      <c r="FI930" s="232"/>
      <c r="FJ930" s="232"/>
      <c r="FK930" s="232"/>
      <c r="FL930" s="232"/>
      <c r="FM930" s="232"/>
      <c r="FN930" s="232"/>
      <c r="FO930" s="232"/>
      <c r="FP930" s="232"/>
      <c r="FQ930" s="232"/>
      <c r="FR930" s="232"/>
      <c r="FS930" s="232"/>
      <c r="FT930" s="232"/>
      <c r="FU930" s="232"/>
      <c r="FV930" s="232"/>
      <c r="FW930" s="232"/>
      <c r="FX930" s="232"/>
      <c r="FY930" s="232"/>
      <c r="FZ930" s="232"/>
      <c r="GA930" s="232"/>
      <c r="GB930" s="232"/>
      <c r="GC930" s="232"/>
      <c r="GD930" s="232"/>
      <c r="GE930" s="232"/>
      <c r="GF930" s="232"/>
      <c r="GG930" s="232"/>
      <c r="GH930" s="232"/>
      <c r="GI930" s="232"/>
      <c r="GJ930" s="232"/>
      <c r="GK930" s="232"/>
      <c r="GL930" s="232"/>
      <c r="GM930" s="232"/>
      <c r="GN930" s="294"/>
      <c r="GO930" s="294"/>
      <c r="GP930" s="292" t="s">
        <v>7494</v>
      </c>
      <c r="GQ930" s="232"/>
      <c r="GR930" s="232"/>
      <c r="GS930" s="232"/>
      <c r="GT930" s="232"/>
      <c r="GU930" s="232"/>
      <c r="GV930" s="232"/>
      <c r="GW930" s="232"/>
      <c r="GX930" s="232"/>
      <c r="GY930" s="232"/>
      <c r="GZ930" s="232"/>
      <c r="HA930" s="232"/>
      <c r="HB930" s="232"/>
      <c r="HC930" s="232"/>
      <c r="HD930" s="232"/>
      <c r="HE930" s="232"/>
      <c r="HF930" s="232"/>
      <c r="HG930" s="232"/>
      <c r="HH930" s="232"/>
      <c r="HI930" s="232"/>
      <c r="HJ930" s="232"/>
      <c r="HK930" s="232"/>
      <c r="HL930" s="232"/>
      <c r="HM930" s="232"/>
      <c r="HN930" s="232"/>
      <c r="HO930" s="232"/>
      <c r="HP930" s="232"/>
      <c r="HQ930" s="232"/>
      <c r="HR930" s="232"/>
      <c r="HS930" s="232">
        <v>103.23</v>
      </c>
      <c r="HT930" s="232">
        <v>80.47</v>
      </c>
      <c r="HU930" s="232"/>
      <c r="HV930" s="232"/>
      <c r="HW930" s="232" t="s">
        <v>597</v>
      </c>
      <c r="HX930" s="232"/>
      <c r="HY930" s="232"/>
      <c r="HZ930" s="232"/>
      <c r="IA930" s="232"/>
      <c r="IB930" s="232"/>
      <c r="IC930" s="232"/>
      <c r="ID930" s="232"/>
      <c r="IE930" s="232"/>
      <c r="IF930" s="232"/>
      <c r="IG930" s="232"/>
      <c r="IH930" s="232"/>
      <c r="II930" s="232"/>
      <c r="IJ930" s="232"/>
      <c r="IK930" s="232"/>
      <c r="IL930" s="232"/>
      <c r="IM930" s="232"/>
      <c r="IN930" s="232"/>
      <c r="IO930" s="232"/>
      <c r="IP930" s="232"/>
      <c r="IQ930" s="232"/>
      <c r="IR930" s="232"/>
      <c r="IS930" s="232"/>
      <c r="IT930" s="232"/>
      <c r="IU930" s="232"/>
      <c r="IV930" s="232"/>
      <c r="IW930" s="232"/>
      <c r="IX930" s="232"/>
      <c r="IY930" s="232"/>
      <c r="IZ930" s="232"/>
      <c r="JA930" s="232"/>
      <c r="JB930" s="232"/>
      <c r="JC930" s="232"/>
      <c r="JD930" s="232"/>
      <c r="JE930" s="232"/>
      <c r="JF930" s="232"/>
      <c r="JG930" s="232">
        <v>129.22999999999999</v>
      </c>
      <c r="JH930" s="232">
        <v>134.54</v>
      </c>
      <c r="JI930" s="232"/>
      <c r="JJ930" s="232"/>
      <c r="JK930" s="232"/>
      <c r="JL930" s="232"/>
      <c r="JM930" s="232"/>
      <c r="JN930" s="232"/>
      <c r="JO930" s="232"/>
      <c r="JP930" s="232"/>
      <c r="JQ930" s="232"/>
      <c r="JR930" s="232"/>
      <c r="JS930" s="232"/>
      <c r="JT930" s="232"/>
      <c r="JU930" s="181" t="s">
        <v>632</v>
      </c>
      <c r="JV930" s="181" t="s">
        <v>1569</v>
      </c>
      <c r="JW930" s="181"/>
    </row>
    <row r="931" spans="1:283" s="229" customFormat="1" x14ac:dyDescent="0.25">
      <c r="A931" s="181">
        <v>930</v>
      </c>
      <c r="B931" s="229" t="s">
        <v>7067</v>
      </c>
      <c r="C931" s="230">
        <v>44</v>
      </c>
      <c r="D931" s="181" t="s">
        <v>3885</v>
      </c>
      <c r="E931" s="231" t="s">
        <v>599</v>
      </c>
      <c r="F931" s="231"/>
      <c r="G931" s="181" t="s">
        <v>600</v>
      </c>
      <c r="H931" s="181">
        <v>2000</v>
      </c>
      <c r="I931" s="181">
        <v>1997</v>
      </c>
      <c r="J931" s="181" t="s">
        <v>601</v>
      </c>
      <c r="K931" s="181" t="s">
        <v>606</v>
      </c>
      <c r="L931" s="181" t="s">
        <v>2737</v>
      </c>
      <c r="M931" s="231">
        <v>45.231000000000002</v>
      </c>
      <c r="N931" s="231">
        <v>-122.756</v>
      </c>
      <c r="O931" s="231">
        <v>48.4</v>
      </c>
      <c r="P931" s="181"/>
      <c r="Q931" s="181"/>
      <c r="R931" s="181"/>
      <c r="S931" s="231">
        <v>1040</v>
      </c>
      <c r="T931" s="181" t="s">
        <v>133</v>
      </c>
      <c r="U931" s="181">
        <v>9</v>
      </c>
      <c r="V931" s="181">
        <v>10</v>
      </c>
      <c r="W931" s="181"/>
      <c r="X931" s="181"/>
      <c r="Y931" s="181" t="s">
        <v>1908</v>
      </c>
      <c r="Z931" s="181" t="s">
        <v>1347</v>
      </c>
      <c r="AA931" s="231" t="s">
        <v>1676</v>
      </c>
      <c r="AB931" s="232"/>
      <c r="AC931" s="232"/>
      <c r="AD931" s="231"/>
      <c r="AE931" s="231">
        <v>28</v>
      </c>
      <c r="AF931" s="231">
        <v>54</v>
      </c>
      <c r="AG931" s="231"/>
      <c r="AH931" s="181" t="s">
        <v>6378</v>
      </c>
      <c r="AI931" s="181"/>
      <c r="AJ931" s="231"/>
      <c r="AK931" s="231"/>
      <c r="AL931" s="181"/>
      <c r="AM931" s="181" t="s">
        <v>1253</v>
      </c>
      <c r="AN931" s="185" t="s">
        <v>1539</v>
      </c>
      <c r="AO931" s="185" t="s">
        <v>5150</v>
      </c>
      <c r="AP931" s="181"/>
      <c r="AQ931" s="181" t="s">
        <v>1546</v>
      </c>
      <c r="AR931" s="181" t="s">
        <v>609</v>
      </c>
      <c r="AS931" s="181" t="s">
        <v>1577</v>
      </c>
      <c r="AT931" s="181" t="s">
        <v>614</v>
      </c>
      <c r="AU931" s="181" t="s">
        <v>5150</v>
      </c>
      <c r="AV931" s="185" t="s">
        <v>479</v>
      </c>
      <c r="AW931" s="181" t="s">
        <v>614</v>
      </c>
      <c r="AX931" s="185" t="s">
        <v>479</v>
      </c>
      <c r="AY931" s="181" t="s">
        <v>176</v>
      </c>
      <c r="AZ931" s="181"/>
      <c r="BA931" s="181"/>
      <c r="BB931" s="181"/>
      <c r="BC931" s="181"/>
      <c r="BD931" s="181"/>
      <c r="BE931" s="226"/>
      <c r="BF931" s="181"/>
      <c r="BG931" s="181"/>
      <c r="BH931" s="226"/>
      <c r="BI931" s="181"/>
      <c r="BJ931" s="181"/>
      <c r="BK931" s="181" t="s">
        <v>5976</v>
      </c>
      <c r="BL931" s="181"/>
      <c r="BM931" s="192" t="s">
        <v>119</v>
      </c>
      <c r="BN931" s="181">
        <v>4</v>
      </c>
      <c r="BO931" s="181">
        <v>4</v>
      </c>
      <c r="BP931" s="181"/>
      <c r="BQ931" s="181" t="s">
        <v>315</v>
      </c>
      <c r="BR931" s="181"/>
      <c r="BS931" s="181"/>
      <c r="BT931" s="181"/>
      <c r="BU931" s="181"/>
      <c r="BV931" s="181"/>
      <c r="BW931" s="232"/>
      <c r="BX931" s="232"/>
      <c r="BY931" s="232"/>
      <c r="BZ931" s="232"/>
      <c r="CA931" s="232"/>
      <c r="CB931" s="183"/>
      <c r="CC931" s="183"/>
      <c r="CD931" s="183"/>
      <c r="CE931" s="232"/>
      <c r="CF931" s="232"/>
      <c r="CG931" s="232"/>
      <c r="CH931" s="231"/>
      <c r="CI931" s="231"/>
      <c r="CJ931" s="232"/>
      <c r="CK931" s="232"/>
      <c r="CL931" s="232"/>
      <c r="CM931" s="232"/>
      <c r="CN931" s="232"/>
      <c r="CO931" s="232"/>
      <c r="CP931" s="232"/>
      <c r="CQ931" s="232"/>
      <c r="CR931" s="232"/>
      <c r="CS931" s="232"/>
      <c r="CT931" s="232"/>
      <c r="CU931" s="232"/>
      <c r="CV931" s="232"/>
      <c r="CW931" s="232"/>
      <c r="CX931" s="232"/>
      <c r="CY931" s="232"/>
      <c r="CZ931" s="232"/>
      <c r="DA931" s="232"/>
      <c r="DB931" s="232"/>
      <c r="DC931" s="232"/>
      <c r="DD931" s="232"/>
      <c r="DE931" s="232"/>
      <c r="DF931" s="232"/>
      <c r="DG931" s="232"/>
      <c r="DH931" s="232"/>
      <c r="DI931" s="232"/>
      <c r="DJ931" s="232"/>
      <c r="DK931" s="232"/>
      <c r="DL931" s="232"/>
      <c r="DM931" s="232"/>
      <c r="DN931" s="232"/>
      <c r="DO931" s="232"/>
      <c r="DP931" s="232"/>
      <c r="DQ931" s="233"/>
      <c r="DR931" s="233"/>
      <c r="DS931" s="232"/>
      <c r="DT931" s="232"/>
      <c r="DU931" s="232"/>
      <c r="DV931" s="232"/>
      <c r="DW931" s="232"/>
      <c r="DX931" s="232"/>
      <c r="DY931" s="232"/>
      <c r="DZ931" s="232"/>
      <c r="EA931" s="232"/>
      <c r="EB931" s="232"/>
      <c r="EC931" s="232"/>
      <c r="ED931" s="232"/>
      <c r="EE931" s="232"/>
      <c r="EF931" s="232"/>
      <c r="EG931" s="232"/>
      <c r="EH931" s="232"/>
      <c r="EI931" s="232"/>
      <c r="EJ931" s="232"/>
      <c r="EK931" s="231"/>
      <c r="EL931" s="231"/>
      <c r="EM931" s="232"/>
      <c r="EN931" s="232"/>
      <c r="EO931" s="232"/>
      <c r="EP931" s="232"/>
      <c r="EQ931" s="232"/>
      <c r="ER931" s="232"/>
      <c r="ES931" s="232"/>
      <c r="ET931" s="232"/>
      <c r="EU931" s="232"/>
      <c r="EV931" s="232"/>
      <c r="EW931" s="232"/>
      <c r="EX931" s="232"/>
      <c r="EY931" s="232"/>
      <c r="EZ931" s="232"/>
      <c r="FA931" s="232"/>
      <c r="FB931" s="232"/>
      <c r="FC931" s="232"/>
      <c r="FD931" s="232"/>
      <c r="FE931" s="232"/>
      <c r="FF931" s="232"/>
      <c r="FG931" s="232"/>
      <c r="FH931" s="232"/>
      <c r="FI931" s="232"/>
      <c r="FJ931" s="232"/>
      <c r="FK931" s="232"/>
      <c r="FL931" s="232"/>
      <c r="FM931" s="232"/>
      <c r="FN931" s="232"/>
      <c r="FO931" s="232"/>
      <c r="FP931" s="232"/>
      <c r="FQ931" s="232"/>
      <c r="FR931" s="232"/>
      <c r="FS931" s="232"/>
      <c r="FT931" s="232"/>
      <c r="FU931" s="232"/>
      <c r="FV931" s="232"/>
      <c r="FW931" s="232"/>
      <c r="FX931" s="232"/>
      <c r="FY931" s="232"/>
      <c r="FZ931" s="232"/>
      <c r="GA931" s="232"/>
      <c r="GB931" s="232"/>
      <c r="GC931" s="232"/>
      <c r="GD931" s="232"/>
      <c r="GE931" s="232"/>
      <c r="GF931" s="232"/>
      <c r="GG931" s="232"/>
      <c r="GH931" s="232"/>
      <c r="GI931" s="232"/>
      <c r="GJ931" s="232"/>
      <c r="GK931" s="232"/>
      <c r="GL931" s="232"/>
      <c r="GM931" s="232"/>
      <c r="GN931" s="294"/>
      <c r="GO931" s="294"/>
      <c r="GP931" s="292" t="s">
        <v>7494</v>
      </c>
      <c r="GQ931" s="232"/>
      <c r="GR931" s="232"/>
      <c r="GS931" s="232"/>
      <c r="GT931" s="232"/>
      <c r="GU931" s="232"/>
      <c r="GV931" s="232"/>
      <c r="GW931" s="232"/>
      <c r="GX931" s="232"/>
      <c r="GY931" s="232"/>
      <c r="GZ931" s="232"/>
      <c r="HA931" s="232"/>
      <c r="HB931" s="232"/>
      <c r="HC931" s="232"/>
      <c r="HD931" s="232"/>
      <c r="HE931" s="232"/>
      <c r="HF931" s="232"/>
      <c r="HG931" s="232"/>
      <c r="HH931" s="232"/>
      <c r="HI931" s="232"/>
      <c r="HJ931" s="232"/>
      <c r="HK931" s="232"/>
      <c r="HL931" s="232"/>
      <c r="HM931" s="232"/>
      <c r="HN931" s="232"/>
      <c r="HO931" s="232"/>
      <c r="HP931" s="232"/>
      <c r="HQ931" s="232"/>
      <c r="HR931" s="232"/>
      <c r="HS931" s="232">
        <v>57.78</v>
      </c>
      <c r="HT931" s="232">
        <v>66.88</v>
      </c>
      <c r="HU931" s="232"/>
      <c r="HV931" s="232"/>
      <c r="HW931" s="232" t="s">
        <v>597</v>
      </c>
      <c r="HX931" s="232"/>
      <c r="HY931" s="232"/>
      <c r="HZ931" s="232"/>
      <c r="IA931" s="232"/>
      <c r="IB931" s="232"/>
      <c r="IC931" s="232"/>
      <c r="ID931" s="232"/>
      <c r="IE931" s="232"/>
      <c r="IF931" s="232"/>
      <c r="IG931" s="232"/>
      <c r="IH931" s="232"/>
      <c r="II931" s="232"/>
      <c r="IJ931" s="232"/>
      <c r="IK931" s="232"/>
      <c r="IL931" s="232"/>
      <c r="IM931" s="232"/>
      <c r="IN931" s="232"/>
      <c r="IO931" s="232"/>
      <c r="IP931" s="232"/>
      <c r="IQ931" s="232"/>
      <c r="IR931" s="232"/>
      <c r="IS931" s="232"/>
      <c r="IT931" s="232"/>
      <c r="IU931" s="232"/>
      <c r="IV931" s="232"/>
      <c r="IW931" s="232"/>
      <c r="IX931" s="232"/>
      <c r="IY931" s="232"/>
      <c r="IZ931" s="232"/>
      <c r="JA931" s="232"/>
      <c r="JB931" s="232"/>
      <c r="JC931" s="232"/>
      <c r="JD931" s="232"/>
      <c r="JE931" s="232"/>
      <c r="JF931" s="232"/>
      <c r="JG931" s="232">
        <v>70.59</v>
      </c>
      <c r="JH931" s="232">
        <v>81.22</v>
      </c>
      <c r="JI931" s="232"/>
      <c r="JJ931" s="232"/>
      <c r="JK931" s="232"/>
      <c r="JL931" s="232"/>
      <c r="JM931" s="232"/>
      <c r="JN931" s="232"/>
      <c r="JO931" s="232"/>
      <c r="JP931" s="232"/>
      <c r="JQ931" s="232"/>
      <c r="JR931" s="232"/>
      <c r="JS931" s="232"/>
      <c r="JT931" s="232"/>
      <c r="JU931" s="181" t="s">
        <v>632</v>
      </c>
      <c r="JV931" s="181" t="s">
        <v>1569</v>
      </c>
      <c r="JW931" s="181"/>
    </row>
    <row r="932" spans="1:283" s="229" customFormat="1" x14ac:dyDescent="0.25">
      <c r="A932" s="181">
        <v>931</v>
      </c>
      <c r="B932" s="229" t="s">
        <v>7067</v>
      </c>
      <c r="C932" s="230">
        <v>44</v>
      </c>
      <c r="D932" s="181" t="s">
        <v>3885</v>
      </c>
      <c r="E932" s="231" t="s">
        <v>599</v>
      </c>
      <c r="F932" s="231"/>
      <c r="G932" s="181" t="s">
        <v>600</v>
      </c>
      <c r="H932" s="181">
        <v>2000</v>
      </c>
      <c r="I932" s="181">
        <v>1997</v>
      </c>
      <c r="J932" s="181" t="s">
        <v>601</v>
      </c>
      <c r="K932" s="181" t="s">
        <v>606</v>
      </c>
      <c r="L932" s="181" t="s">
        <v>2737</v>
      </c>
      <c r="M932" s="231">
        <v>45.231000000000002</v>
      </c>
      <c r="N932" s="231">
        <v>-122.756</v>
      </c>
      <c r="O932" s="231">
        <v>48.4</v>
      </c>
      <c r="P932" s="181"/>
      <c r="Q932" s="181"/>
      <c r="R932" s="181"/>
      <c r="S932" s="231">
        <v>1040</v>
      </c>
      <c r="T932" s="181" t="s">
        <v>133</v>
      </c>
      <c r="U932" s="181">
        <v>9</v>
      </c>
      <c r="V932" s="181">
        <v>10</v>
      </c>
      <c r="W932" s="181"/>
      <c r="X932" s="181"/>
      <c r="Y932" s="181" t="s">
        <v>1909</v>
      </c>
      <c r="Z932" s="181" t="s">
        <v>1347</v>
      </c>
      <c r="AA932" s="231" t="s">
        <v>1676</v>
      </c>
      <c r="AB932" s="232"/>
      <c r="AC932" s="232"/>
      <c r="AD932" s="231"/>
      <c r="AE932" s="231">
        <v>28</v>
      </c>
      <c r="AF932" s="231">
        <v>54</v>
      </c>
      <c r="AG932" s="231"/>
      <c r="AH932" s="181" t="s">
        <v>6378</v>
      </c>
      <c r="AI932" s="181"/>
      <c r="AJ932" s="231"/>
      <c r="AK932" s="231"/>
      <c r="AL932" s="181"/>
      <c r="AM932" s="181" t="s">
        <v>1253</v>
      </c>
      <c r="AN932" s="185" t="s">
        <v>1539</v>
      </c>
      <c r="AO932" s="185" t="s">
        <v>5150</v>
      </c>
      <c r="AP932" s="181"/>
      <c r="AQ932" s="181" t="s">
        <v>1546</v>
      </c>
      <c r="AR932" s="181" t="s">
        <v>609</v>
      </c>
      <c r="AS932" s="181" t="s">
        <v>1577</v>
      </c>
      <c r="AT932" s="181" t="s">
        <v>614</v>
      </c>
      <c r="AU932" s="181" t="s">
        <v>5150</v>
      </c>
      <c r="AV932" s="185" t="s">
        <v>479</v>
      </c>
      <c r="AW932" s="181" t="s">
        <v>614</v>
      </c>
      <c r="AX932" s="185" t="s">
        <v>479</v>
      </c>
      <c r="AY932" s="181" t="s">
        <v>176</v>
      </c>
      <c r="AZ932" s="181"/>
      <c r="BA932" s="181"/>
      <c r="BB932" s="181"/>
      <c r="BC932" s="181"/>
      <c r="BD932" s="181"/>
      <c r="BE932" s="226"/>
      <c r="BF932" s="181"/>
      <c r="BG932" s="181"/>
      <c r="BH932" s="226"/>
      <c r="BI932" s="181"/>
      <c r="BJ932" s="181"/>
      <c r="BK932" s="181" t="s">
        <v>5976</v>
      </c>
      <c r="BL932" s="181"/>
      <c r="BM932" s="192" t="s">
        <v>119</v>
      </c>
      <c r="BN932" s="181">
        <v>4</v>
      </c>
      <c r="BO932" s="181">
        <v>4</v>
      </c>
      <c r="BP932" s="181"/>
      <c r="BQ932" s="181" t="s">
        <v>315</v>
      </c>
      <c r="BR932" s="181"/>
      <c r="BS932" s="181"/>
      <c r="BT932" s="181"/>
      <c r="BU932" s="181"/>
      <c r="BV932" s="181"/>
      <c r="BW932" s="232"/>
      <c r="BX932" s="232"/>
      <c r="BY932" s="232"/>
      <c r="BZ932" s="232"/>
      <c r="CA932" s="232"/>
      <c r="CB932" s="183"/>
      <c r="CC932" s="183"/>
      <c r="CD932" s="183"/>
      <c r="CE932" s="232"/>
      <c r="CF932" s="232"/>
      <c r="CG932" s="232"/>
      <c r="CH932" s="231"/>
      <c r="CI932" s="231"/>
      <c r="CJ932" s="232"/>
      <c r="CK932" s="232"/>
      <c r="CL932" s="232"/>
      <c r="CM932" s="232"/>
      <c r="CN932" s="232"/>
      <c r="CO932" s="232"/>
      <c r="CP932" s="232"/>
      <c r="CQ932" s="232"/>
      <c r="CR932" s="232"/>
      <c r="CS932" s="232"/>
      <c r="CT932" s="232"/>
      <c r="CU932" s="232"/>
      <c r="CV932" s="232"/>
      <c r="CW932" s="232"/>
      <c r="CX932" s="232"/>
      <c r="CY932" s="232"/>
      <c r="CZ932" s="232"/>
      <c r="DA932" s="232"/>
      <c r="DB932" s="232"/>
      <c r="DC932" s="232"/>
      <c r="DD932" s="232"/>
      <c r="DE932" s="232"/>
      <c r="DF932" s="232"/>
      <c r="DG932" s="232"/>
      <c r="DH932" s="232"/>
      <c r="DI932" s="232"/>
      <c r="DJ932" s="232"/>
      <c r="DK932" s="232"/>
      <c r="DL932" s="232"/>
      <c r="DM932" s="232"/>
      <c r="DN932" s="232"/>
      <c r="DO932" s="232"/>
      <c r="DP932" s="232"/>
      <c r="DQ932" s="233"/>
      <c r="DR932" s="233"/>
      <c r="DS932" s="232"/>
      <c r="DT932" s="232"/>
      <c r="DU932" s="232"/>
      <c r="DV932" s="232"/>
      <c r="DW932" s="232"/>
      <c r="DX932" s="232"/>
      <c r="DY932" s="232"/>
      <c r="DZ932" s="232"/>
      <c r="EA932" s="232"/>
      <c r="EB932" s="232"/>
      <c r="EC932" s="232"/>
      <c r="ED932" s="232"/>
      <c r="EE932" s="232"/>
      <c r="EF932" s="232"/>
      <c r="EG932" s="232"/>
      <c r="EH932" s="232"/>
      <c r="EI932" s="232"/>
      <c r="EJ932" s="232"/>
      <c r="EK932" s="231"/>
      <c r="EL932" s="231"/>
      <c r="EM932" s="232"/>
      <c r="EN932" s="232"/>
      <c r="EO932" s="232"/>
      <c r="EP932" s="232"/>
      <c r="EQ932" s="232"/>
      <c r="ER932" s="232"/>
      <c r="ES932" s="232"/>
      <c r="ET932" s="232"/>
      <c r="EU932" s="232"/>
      <c r="EV932" s="232"/>
      <c r="EW932" s="232"/>
      <c r="EX932" s="232"/>
      <c r="EY932" s="232"/>
      <c r="EZ932" s="232"/>
      <c r="FA932" s="232"/>
      <c r="FB932" s="232"/>
      <c r="FC932" s="232"/>
      <c r="FD932" s="232"/>
      <c r="FE932" s="232"/>
      <c r="FF932" s="232"/>
      <c r="FG932" s="232"/>
      <c r="FH932" s="232"/>
      <c r="FI932" s="232"/>
      <c r="FJ932" s="232"/>
      <c r="FK932" s="232"/>
      <c r="FL932" s="232"/>
      <c r="FM932" s="232"/>
      <c r="FN932" s="232"/>
      <c r="FO932" s="232"/>
      <c r="FP932" s="232"/>
      <c r="FQ932" s="232"/>
      <c r="FR932" s="232"/>
      <c r="FS932" s="232"/>
      <c r="FT932" s="232"/>
      <c r="FU932" s="232"/>
      <c r="FV932" s="232"/>
      <c r="FW932" s="232"/>
      <c r="FX932" s="232"/>
      <c r="FY932" s="232"/>
      <c r="FZ932" s="232"/>
      <c r="GA932" s="232"/>
      <c r="GB932" s="232"/>
      <c r="GC932" s="232"/>
      <c r="GD932" s="232"/>
      <c r="GE932" s="232"/>
      <c r="GF932" s="232"/>
      <c r="GG932" s="232"/>
      <c r="GH932" s="232"/>
      <c r="GI932" s="232"/>
      <c r="GJ932" s="232"/>
      <c r="GK932" s="232"/>
      <c r="GL932" s="232"/>
      <c r="GM932" s="232"/>
      <c r="GN932" s="294"/>
      <c r="GO932" s="294"/>
      <c r="GP932" s="292" t="s">
        <v>7494</v>
      </c>
      <c r="GQ932" s="232"/>
      <c r="GR932" s="232"/>
      <c r="GS932" s="232"/>
      <c r="GT932" s="232"/>
      <c r="GU932" s="232"/>
      <c r="GV932" s="232"/>
      <c r="GW932" s="232"/>
      <c r="GX932" s="232"/>
      <c r="GY932" s="232"/>
      <c r="GZ932" s="232"/>
      <c r="HA932" s="232"/>
      <c r="HB932" s="232"/>
      <c r="HC932" s="232"/>
      <c r="HD932" s="232"/>
      <c r="HE932" s="232"/>
      <c r="HF932" s="232"/>
      <c r="HG932" s="232"/>
      <c r="HH932" s="232"/>
      <c r="HI932" s="232"/>
      <c r="HJ932" s="232"/>
      <c r="HK932" s="232"/>
      <c r="HL932" s="232"/>
      <c r="HM932" s="232"/>
      <c r="HN932" s="232"/>
      <c r="HO932" s="232"/>
      <c r="HP932" s="232"/>
      <c r="HQ932" s="232"/>
      <c r="HR932" s="232"/>
      <c r="HS932" s="232">
        <v>61.58</v>
      </c>
      <c r="HT932" s="232">
        <v>83.11</v>
      </c>
      <c r="HU932" s="232"/>
      <c r="HV932" s="232"/>
      <c r="HW932" s="232" t="s">
        <v>597</v>
      </c>
      <c r="HX932" s="232"/>
      <c r="HY932" s="232"/>
      <c r="HZ932" s="232"/>
      <c r="IA932" s="232"/>
      <c r="IB932" s="232"/>
      <c r="IC932" s="232"/>
      <c r="ID932" s="232"/>
      <c r="IE932" s="232"/>
      <c r="IF932" s="232"/>
      <c r="IG932" s="232"/>
      <c r="IH932" s="232"/>
      <c r="II932" s="232"/>
      <c r="IJ932" s="232"/>
      <c r="IK932" s="232"/>
      <c r="IL932" s="232"/>
      <c r="IM932" s="232"/>
      <c r="IN932" s="232"/>
      <c r="IO932" s="232"/>
      <c r="IP932" s="232"/>
      <c r="IQ932" s="232"/>
      <c r="IR932" s="232"/>
      <c r="IS932" s="232"/>
      <c r="IT932" s="232"/>
      <c r="IU932" s="232"/>
      <c r="IV932" s="232"/>
      <c r="IW932" s="232"/>
      <c r="IX932" s="232"/>
      <c r="IY932" s="232"/>
      <c r="IZ932" s="232"/>
      <c r="JA932" s="232"/>
      <c r="JB932" s="232"/>
      <c r="JC932" s="232"/>
      <c r="JD932" s="232"/>
      <c r="JE932" s="232"/>
      <c r="JF932" s="232"/>
      <c r="JG932" s="232">
        <v>85.28</v>
      </c>
      <c r="JH932" s="232">
        <v>111.84</v>
      </c>
      <c r="JI932" s="232"/>
      <c r="JJ932" s="232"/>
      <c r="JK932" s="232"/>
      <c r="JL932" s="232"/>
      <c r="JM932" s="232"/>
      <c r="JN932" s="232"/>
      <c r="JO932" s="232"/>
      <c r="JP932" s="232"/>
      <c r="JQ932" s="232"/>
      <c r="JR932" s="232"/>
      <c r="JS932" s="232"/>
      <c r="JT932" s="232"/>
      <c r="JU932" s="181" t="s">
        <v>632</v>
      </c>
      <c r="JV932" s="181" t="s">
        <v>1569</v>
      </c>
      <c r="JW932" s="181"/>
    </row>
    <row r="933" spans="1:283" s="229" customFormat="1" x14ac:dyDescent="0.25">
      <c r="A933" s="181">
        <v>932</v>
      </c>
      <c r="B933" s="229" t="s">
        <v>7067</v>
      </c>
      <c r="C933" s="230">
        <v>44</v>
      </c>
      <c r="D933" s="181" t="s">
        <v>3885</v>
      </c>
      <c r="E933" s="231" t="s">
        <v>599</v>
      </c>
      <c r="F933" s="231"/>
      <c r="G933" s="181" t="s">
        <v>600</v>
      </c>
      <c r="H933" s="181">
        <v>2000</v>
      </c>
      <c r="I933" s="181">
        <v>1998</v>
      </c>
      <c r="J933" s="181" t="s">
        <v>601</v>
      </c>
      <c r="K933" s="181" t="s">
        <v>606</v>
      </c>
      <c r="L933" s="181" t="s">
        <v>2737</v>
      </c>
      <c r="M933" s="231">
        <v>45.231000000000002</v>
      </c>
      <c r="N933" s="231">
        <v>-122.756</v>
      </c>
      <c r="O933" s="231">
        <v>48.4</v>
      </c>
      <c r="P933" s="181"/>
      <c r="Q933" s="181"/>
      <c r="R933" s="181"/>
      <c r="S933" s="231">
        <v>1040</v>
      </c>
      <c r="T933" s="181" t="s">
        <v>133</v>
      </c>
      <c r="U933" s="181">
        <v>10</v>
      </c>
      <c r="V933" s="181">
        <v>10</v>
      </c>
      <c r="W933" s="181"/>
      <c r="X933" s="181"/>
      <c r="Y933" s="181" t="s">
        <v>1907</v>
      </c>
      <c r="Z933" s="181" t="s">
        <v>1347</v>
      </c>
      <c r="AA933" s="231" t="s">
        <v>1676</v>
      </c>
      <c r="AB933" s="232"/>
      <c r="AC933" s="232"/>
      <c r="AD933" s="231"/>
      <c r="AE933" s="231">
        <v>28</v>
      </c>
      <c r="AF933" s="231">
        <v>54</v>
      </c>
      <c r="AG933" s="231"/>
      <c r="AH933" s="181" t="s">
        <v>6378</v>
      </c>
      <c r="AI933" s="181"/>
      <c r="AJ933" s="231"/>
      <c r="AK933" s="231"/>
      <c r="AL933" s="181"/>
      <c r="AM933" s="181" t="s">
        <v>1253</v>
      </c>
      <c r="AN933" s="185" t="s">
        <v>1539</v>
      </c>
      <c r="AO933" s="185" t="s">
        <v>5150</v>
      </c>
      <c r="AP933" s="181"/>
      <c r="AQ933" s="181" t="s">
        <v>1546</v>
      </c>
      <c r="AR933" s="181" t="s">
        <v>609</v>
      </c>
      <c r="AS933" s="181" t="s">
        <v>1577</v>
      </c>
      <c r="AT933" s="181" t="s">
        <v>614</v>
      </c>
      <c r="AU933" s="181" t="s">
        <v>5150</v>
      </c>
      <c r="AV933" s="185" t="s">
        <v>479</v>
      </c>
      <c r="AW933" s="181" t="s">
        <v>614</v>
      </c>
      <c r="AX933" s="185" t="s">
        <v>479</v>
      </c>
      <c r="AY933" s="181" t="s">
        <v>176</v>
      </c>
      <c r="AZ933" s="181"/>
      <c r="BA933" s="181"/>
      <c r="BB933" s="181"/>
      <c r="BC933" s="181"/>
      <c r="BD933" s="181"/>
      <c r="BE933" s="226"/>
      <c r="BF933" s="181"/>
      <c r="BG933" s="181"/>
      <c r="BH933" s="226"/>
      <c r="BI933" s="181"/>
      <c r="BJ933" s="181"/>
      <c r="BK933" s="181" t="s">
        <v>5976</v>
      </c>
      <c r="BL933" s="181"/>
      <c r="BM933" s="192" t="s">
        <v>119</v>
      </c>
      <c r="BN933" s="181">
        <v>4</v>
      </c>
      <c r="BO933" s="181">
        <v>4</v>
      </c>
      <c r="BP933" s="181"/>
      <c r="BQ933" s="181" t="s">
        <v>315</v>
      </c>
      <c r="BR933" s="181"/>
      <c r="BS933" s="181"/>
      <c r="BT933" s="181"/>
      <c r="BU933" s="181"/>
      <c r="BV933" s="181"/>
      <c r="BW933" s="232"/>
      <c r="BX933" s="232"/>
      <c r="BY933" s="232"/>
      <c r="BZ933" s="232"/>
      <c r="CA933" s="232"/>
      <c r="CB933" s="183"/>
      <c r="CC933" s="183"/>
      <c r="CD933" s="183"/>
      <c r="CE933" s="232"/>
      <c r="CF933" s="232"/>
      <c r="CG933" s="232"/>
      <c r="CH933" s="231"/>
      <c r="CI933" s="231"/>
      <c r="CJ933" s="232"/>
      <c r="CK933" s="232"/>
      <c r="CL933" s="232"/>
      <c r="CM933" s="232"/>
      <c r="CN933" s="232"/>
      <c r="CO933" s="232"/>
      <c r="CP933" s="232"/>
      <c r="CQ933" s="232"/>
      <c r="CR933" s="232"/>
      <c r="CS933" s="232"/>
      <c r="CT933" s="232"/>
      <c r="CU933" s="232"/>
      <c r="CV933" s="232"/>
      <c r="CW933" s="232"/>
      <c r="CX933" s="232"/>
      <c r="CY933" s="232"/>
      <c r="CZ933" s="232"/>
      <c r="DA933" s="232"/>
      <c r="DB933" s="232"/>
      <c r="DC933" s="232"/>
      <c r="DD933" s="232"/>
      <c r="DE933" s="232"/>
      <c r="DF933" s="232"/>
      <c r="DG933" s="232"/>
      <c r="DH933" s="232"/>
      <c r="DI933" s="232"/>
      <c r="DJ933" s="232"/>
      <c r="DK933" s="232"/>
      <c r="DL933" s="232"/>
      <c r="DM933" s="232"/>
      <c r="DN933" s="232"/>
      <c r="DO933" s="232"/>
      <c r="DP933" s="232"/>
      <c r="DQ933" s="233"/>
      <c r="DR933" s="233"/>
      <c r="DS933" s="232"/>
      <c r="DT933" s="232"/>
      <c r="DU933" s="232"/>
      <c r="DV933" s="232"/>
      <c r="DW933" s="232"/>
      <c r="DX933" s="232"/>
      <c r="DY933" s="232"/>
      <c r="DZ933" s="232"/>
      <c r="EA933" s="232"/>
      <c r="EB933" s="232"/>
      <c r="EC933" s="232"/>
      <c r="ED933" s="232"/>
      <c r="EE933" s="232"/>
      <c r="EF933" s="232"/>
      <c r="EG933" s="232"/>
      <c r="EH933" s="232"/>
      <c r="EI933" s="232"/>
      <c r="EJ933" s="232"/>
      <c r="EK933" s="231"/>
      <c r="EL933" s="231"/>
      <c r="EM933" s="232"/>
      <c r="EN933" s="232"/>
      <c r="EO933" s="232"/>
      <c r="EP933" s="232"/>
      <c r="EQ933" s="232"/>
      <c r="ER933" s="232"/>
      <c r="ES933" s="232"/>
      <c r="ET933" s="232"/>
      <c r="EU933" s="232"/>
      <c r="EV933" s="232"/>
      <c r="EW933" s="232"/>
      <c r="EX933" s="232"/>
      <c r="EY933" s="232"/>
      <c r="EZ933" s="232"/>
      <c r="FA933" s="232"/>
      <c r="FB933" s="232"/>
      <c r="FC933" s="232"/>
      <c r="FD933" s="232"/>
      <c r="FE933" s="232"/>
      <c r="FF933" s="232"/>
      <c r="FG933" s="232"/>
      <c r="FH933" s="232"/>
      <c r="FI933" s="232"/>
      <c r="FJ933" s="232"/>
      <c r="FK933" s="232"/>
      <c r="FL933" s="232"/>
      <c r="FM933" s="232"/>
      <c r="FN933" s="232"/>
      <c r="FO933" s="232"/>
      <c r="FP933" s="232"/>
      <c r="FQ933" s="232"/>
      <c r="FR933" s="232"/>
      <c r="FS933" s="232"/>
      <c r="FT933" s="232"/>
      <c r="FU933" s="232"/>
      <c r="FV933" s="232"/>
      <c r="FW933" s="232"/>
      <c r="FX933" s="232"/>
      <c r="FY933" s="232"/>
      <c r="FZ933" s="232"/>
      <c r="GA933" s="232"/>
      <c r="GB933" s="232"/>
      <c r="GC933" s="232"/>
      <c r="GD933" s="232"/>
      <c r="GE933" s="232"/>
      <c r="GF933" s="232"/>
      <c r="GG933" s="232"/>
      <c r="GH933" s="232"/>
      <c r="GI933" s="232"/>
      <c r="GJ933" s="232"/>
      <c r="GK933" s="232"/>
      <c r="GL933" s="232"/>
      <c r="GM933" s="232"/>
      <c r="GN933" s="294"/>
      <c r="GO933" s="294"/>
      <c r="GP933" s="292" t="s">
        <v>7494</v>
      </c>
      <c r="GQ933" s="232"/>
      <c r="GR933" s="232"/>
      <c r="GS933" s="232"/>
      <c r="GT933" s="232"/>
      <c r="GU933" s="232"/>
      <c r="GV933" s="232"/>
      <c r="GW933" s="232"/>
      <c r="GX933" s="232"/>
      <c r="GY933" s="232"/>
      <c r="GZ933" s="232"/>
      <c r="HA933" s="232"/>
      <c r="HB933" s="232"/>
      <c r="HC933" s="232"/>
      <c r="HD933" s="232"/>
      <c r="HE933" s="232"/>
      <c r="HF933" s="232"/>
      <c r="HG933" s="232"/>
      <c r="HH933" s="232"/>
      <c r="HI933" s="232"/>
      <c r="HJ933" s="232"/>
      <c r="HK933" s="232"/>
      <c r="HL933" s="232"/>
      <c r="HM933" s="232"/>
      <c r="HN933" s="232"/>
      <c r="HO933" s="232"/>
      <c r="HP933" s="232"/>
      <c r="HQ933" s="232"/>
      <c r="HR933" s="232"/>
      <c r="HS933" s="232">
        <v>69.11</v>
      </c>
      <c r="HT933" s="232">
        <v>98.9</v>
      </c>
      <c r="HU933" s="232"/>
      <c r="HV933" s="232"/>
      <c r="HW933" s="232" t="s">
        <v>597</v>
      </c>
      <c r="HX933" s="232"/>
      <c r="HY933" s="232"/>
      <c r="HZ933" s="232"/>
      <c r="IA933" s="232"/>
      <c r="IB933" s="232"/>
      <c r="IC933" s="232"/>
      <c r="ID933" s="232"/>
      <c r="IE933" s="232"/>
      <c r="IF933" s="232"/>
      <c r="IG933" s="232"/>
      <c r="IH933" s="232"/>
      <c r="II933" s="232"/>
      <c r="IJ933" s="232"/>
      <c r="IK933" s="232"/>
      <c r="IL933" s="232"/>
      <c r="IM933" s="232"/>
      <c r="IN933" s="232"/>
      <c r="IO933" s="232"/>
      <c r="IP933" s="232"/>
      <c r="IQ933" s="232"/>
      <c r="IR933" s="232"/>
      <c r="IS933" s="232"/>
      <c r="IT933" s="232"/>
      <c r="IU933" s="232"/>
      <c r="IV933" s="232"/>
      <c r="IW933" s="232"/>
      <c r="IX933" s="232"/>
      <c r="IY933" s="232"/>
      <c r="IZ933" s="232"/>
      <c r="JA933" s="232"/>
      <c r="JB933" s="232"/>
      <c r="JC933" s="232"/>
      <c r="JD933" s="232"/>
      <c r="JE933" s="232"/>
      <c r="JF933" s="232"/>
      <c r="JG933" s="232">
        <v>102.08</v>
      </c>
      <c r="JH933" s="232">
        <v>145.63999999999999</v>
      </c>
      <c r="JI933" s="232"/>
      <c r="JJ933" s="232"/>
      <c r="JK933" s="232"/>
      <c r="JL933" s="232"/>
      <c r="JM933" s="232"/>
      <c r="JN933" s="232"/>
      <c r="JO933" s="232"/>
      <c r="JP933" s="232"/>
      <c r="JQ933" s="232"/>
      <c r="JR933" s="232"/>
      <c r="JS933" s="232"/>
      <c r="JT933" s="232"/>
      <c r="JU933" s="181" t="s">
        <v>632</v>
      </c>
      <c r="JV933" s="181" t="s">
        <v>1569</v>
      </c>
      <c r="JW933" s="181"/>
    </row>
    <row r="934" spans="1:283" s="229" customFormat="1" x14ac:dyDescent="0.25">
      <c r="A934" s="181">
        <v>933</v>
      </c>
      <c r="B934" s="229" t="s">
        <v>7067</v>
      </c>
      <c r="C934" s="230">
        <v>44</v>
      </c>
      <c r="D934" s="181" t="s">
        <v>3885</v>
      </c>
      <c r="E934" s="231" t="s">
        <v>599</v>
      </c>
      <c r="F934" s="231"/>
      <c r="G934" s="181" t="s">
        <v>600</v>
      </c>
      <c r="H934" s="181">
        <v>2000</v>
      </c>
      <c r="I934" s="181">
        <v>1998</v>
      </c>
      <c r="J934" s="181" t="s">
        <v>601</v>
      </c>
      <c r="K934" s="181" t="s">
        <v>606</v>
      </c>
      <c r="L934" s="181" t="s">
        <v>2737</v>
      </c>
      <c r="M934" s="231">
        <v>45.231000000000002</v>
      </c>
      <c r="N934" s="231">
        <v>-122.756</v>
      </c>
      <c r="O934" s="231">
        <v>48.4</v>
      </c>
      <c r="P934" s="181"/>
      <c r="Q934" s="181"/>
      <c r="R934" s="181"/>
      <c r="S934" s="231">
        <v>1040</v>
      </c>
      <c r="T934" s="181" t="s">
        <v>133</v>
      </c>
      <c r="U934" s="181">
        <v>10</v>
      </c>
      <c r="V934" s="181">
        <v>10</v>
      </c>
      <c r="W934" s="181"/>
      <c r="X934" s="181"/>
      <c r="Y934" s="181" t="s">
        <v>1908</v>
      </c>
      <c r="Z934" s="181" t="s">
        <v>1347</v>
      </c>
      <c r="AA934" s="231" t="s">
        <v>1676</v>
      </c>
      <c r="AB934" s="232"/>
      <c r="AC934" s="232"/>
      <c r="AD934" s="231"/>
      <c r="AE934" s="231">
        <v>28</v>
      </c>
      <c r="AF934" s="231">
        <v>54</v>
      </c>
      <c r="AG934" s="231"/>
      <c r="AH934" s="181" t="s">
        <v>6378</v>
      </c>
      <c r="AI934" s="181"/>
      <c r="AJ934" s="231"/>
      <c r="AK934" s="231"/>
      <c r="AL934" s="181"/>
      <c r="AM934" s="181" t="s">
        <v>1253</v>
      </c>
      <c r="AN934" s="185" t="s">
        <v>1539</v>
      </c>
      <c r="AO934" s="185" t="s">
        <v>5150</v>
      </c>
      <c r="AP934" s="181"/>
      <c r="AQ934" s="181" t="s">
        <v>1546</v>
      </c>
      <c r="AR934" s="181" t="s">
        <v>609</v>
      </c>
      <c r="AS934" s="181" t="s">
        <v>1577</v>
      </c>
      <c r="AT934" s="181" t="s">
        <v>614</v>
      </c>
      <c r="AU934" s="181" t="s">
        <v>5150</v>
      </c>
      <c r="AV934" s="185" t="s">
        <v>479</v>
      </c>
      <c r="AW934" s="181" t="s">
        <v>614</v>
      </c>
      <c r="AX934" s="185" t="s">
        <v>479</v>
      </c>
      <c r="AY934" s="181" t="s">
        <v>176</v>
      </c>
      <c r="AZ934" s="181"/>
      <c r="BA934" s="181"/>
      <c r="BB934" s="181"/>
      <c r="BC934" s="181"/>
      <c r="BD934" s="181"/>
      <c r="BE934" s="226"/>
      <c r="BF934" s="181"/>
      <c r="BG934" s="181"/>
      <c r="BH934" s="226"/>
      <c r="BI934" s="181"/>
      <c r="BJ934" s="181"/>
      <c r="BK934" s="181" t="s">
        <v>5976</v>
      </c>
      <c r="BL934" s="181"/>
      <c r="BM934" s="192" t="s">
        <v>119</v>
      </c>
      <c r="BN934" s="181">
        <v>4</v>
      </c>
      <c r="BO934" s="181">
        <v>4</v>
      </c>
      <c r="BP934" s="181"/>
      <c r="BQ934" s="181" t="s">
        <v>315</v>
      </c>
      <c r="BR934" s="181"/>
      <c r="BS934" s="181"/>
      <c r="BT934" s="181"/>
      <c r="BU934" s="181"/>
      <c r="BV934" s="181"/>
      <c r="BW934" s="232"/>
      <c r="BX934" s="232"/>
      <c r="BY934" s="232"/>
      <c r="BZ934" s="232"/>
      <c r="CA934" s="232"/>
      <c r="CB934" s="183"/>
      <c r="CC934" s="183"/>
      <c r="CD934" s="183"/>
      <c r="CE934" s="232"/>
      <c r="CF934" s="232"/>
      <c r="CG934" s="232"/>
      <c r="CH934" s="231"/>
      <c r="CI934" s="231"/>
      <c r="CJ934" s="232"/>
      <c r="CK934" s="232"/>
      <c r="CL934" s="232"/>
      <c r="CM934" s="232"/>
      <c r="CN934" s="232"/>
      <c r="CO934" s="232"/>
      <c r="CP934" s="232"/>
      <c r="CQ934" s="232"/>
      <c r="CR934" s="232"/>
      <c r="CS934" s="232"/>
      <c r="CT934" s="232"/>
      <c r="CU934" s="232"/>
      <c r="CV934" s="232"/>
      <c r="CW934" s="232"/>
      <c r="CX934" s="232"/>
      <c r="CY934" s="232"/>
      <c r="CZ934" s="232"/>
      <c r="DA934" s="232"/>
      <c r="DB934" s="232"/>
      <c r="DC934" s="232"/>
      <c r="DD934" s="232"/>
      <c r="DE934" s="232"/>
      <c r="DF934" s="232"/>
      <c r="DG934" s="232"/>
      <c r="DH934" s="232"/>
      <c r="DI934" s="232"/>
      <c r="DJ934" s="232"/>
      <c r="DK934" s="232"/>
      <c r="DL934" s="232"/>
      <c r="DM934" s="232"/>
      <c r="DN934" s="232"/>
      <c r="DO934" s="232"/>
      <c r="DP934" s="232"/>
      <c r="DQ934" s="233"/>
      <c r="DR934" s="233"/>
      <c r="DS934" s="232"/>
      <c r="DT934" s="232"/>
      <c r="DU934" s="232"/>
      <c r="DV934" s="232"/>
      <c r="DW934" s="232"/>
      <c r="DX934" s="232"/>
      <c r="DY934" s="232"/>
      <c r="DZ934" s="232"/>
      <c r="EA934" s="232"/>
      <c r="EB934" s="232"/>
      <c r="EC934" s="232"/>
      <c r="ED934" s="232"/>
      <c r="EE934" s="232"/>
      <c r="EF934" s="232"/>
      <c r="EG934" s="232"/>
      <c r="EH934" s="232"/>
      <c r="EI934" s="232"/>
      <c r="EJ934" s="232"/>
      <c r="EK934" s="231"/>
      <c r="EL934" s="231"/>
      <c r="EM934" s="232"/>
      <c r="EN934" s="232"/>
      <c r="EO934" s="232"/>
      <c r="EP934" s="232"/>
      <c r="EQ934" s="232"/>
      <c r="ER934" s="232"/>
      <c r="ES934" s="232"/>
      <c r="ET934" s="232"/>
      <c r="EU934" s="232"/>
      <c r="EV934" s="232"/>
      <c r="EW934" s="232"/>
      <c r="EX934" s="232"/>
      <c r="EY934" s="232"/>
      <c r="EZ934" s="232"/>
      <c r="FA934" s="232"/>
      <c r="FB934" s="232"/>
      <c r="FC934" s="232"/>
      <c r="FD934" s="232"/>
      <c r="FE934" s="232"/>
      <c r="FF934" s="232"/>
      <c r="FG934" s="232"/>
      <c r="FH934" s="232"/>
      <c r="FI934" s="232"/>
      <c r="FJ934" s="232"/>
      <c r="FK934" s="232"/>
      <c r="FL934" s="232"/>
      <c r="FM934" s="232"/>
      <c r="FN934" s="232"/>
      <c r="FO934" s="232"/>
      <c r="FP934" s="232"/>
      <c r="FQ934" s="232"/>
      <c r="FR934" s="232"/>
      <c r="FS934" s="232"/>
      <c r="FT934" s="232"/>
      <c r="FU934" s="232"/>
      <c r="FV934" s="232"/>
      <c r="FW934" s="232"/>
      <c r="FX934" s="232"/>
      <c r="FY934" s="232"/>
      <c r="FZ934" s="232"/>
      <c r="GA934" s="232"/>
      <c r="GB934" s="232"/>
      <c r="GC934" s="232"/>
      <c r="GD934" s="232"/>
      <c r="GE934" s="232"/>
      <c r="GF934" s="232"/>
      <c r="GG934" s="232"/>
      <c r="GH934" s="232"/>
      <c r="GI934" s="232"/>
      <c r="GJ934" s="232"/>
      <c r="GK934" s="232"/>
      <c r="GL934" s="232"/>
      <c r="GM934" s="232"/>
      <c r="GN934" s="294"/>
      <c r="GO934" s="294"/>
      <c r="GP934" s="292" t="s">
        <v>7494</v>
      </c>
      <c r="GQ934" s="232"/>
      <c r="GR934" s="232"/>
      <c r="GS934" s="232"/>
      <c r="GT934" s="232"/>
      <c r="GU934" s="232"/>
      <c r="GV934" s="232"/>
      <c r="GW934" s="232"/>
      <c r="GX934" s="232"/>
      <c r="GY934" s="232"/>
      <c r="GZ934" s="232"/>
      <c r="HA934" s="232"/>
      <c r="HB934" s="232"/>
      <c r="HC934" s="232"/>
      <c r="HD934" s="232"/>
      <c r="HE934" s="232"/>
      <c r="HF934" s="232"/>
      <c r="HG934" s="232"/>
      <c r="HH934" s="232"/>
      <c r="HI934" s="232"/>
      <c r="HJ934" s="232"/>
      <c r="HK934" s="232"/>
      <c r="HL934" s="232"/>
      <c r="HM934" s="232"/>
      <c r="HN934" s="232"/>
      <c r="HO934" s="232"/>
      <c r="HP934" s="232"/>
      <c r="HQ934" s="232"/>
      <c r="HR934" s="232"/>
      <c r="HS934" s="232">
        <v>64.63</v>
      </c>
      <c r="HT934" s="232">
        <v>77.459999999999994</v>
      </c>
      <c r="HU934" s="232"/>
      <c r="HV934" s="232"/>
      <c r="HW934" s="232" t="s">
        <v>597</v>
      </c>
      <c r="HX934" s="232"/>
      <c r="HY934" s="232"/>
      <c r="HZ934" s="232"/>
      <c r="IA934" s="232"/>
      <c r="IB934" s="232"/>
      <c r="IC934" s="232"/>
      <c r="ID934" s="232"/>
      <c r="IE934" s="232"/>
      <c r="IF934" s="232"/>
      <c r="IG934" s="232"/>
      <c r="IH934" s="232"/>
      <c r="II934" s="232"/>
      <c r="IJ934" s="232"/>
      <c r="IK934" s="232"/>
      <c r="IL934" s="232"/>
      <c r="IM934" s="232"/>
      <c r="IN934" s="232"/>
      <c r="IO934" s="232"/>
      <c r="IP934" s="232"/>
      <c r="IQ934" s="232"/>
      <c r="IR934" s="232"/>
      <c r="IS934" s="232"/>
      <c r="IT934" s="232"/>
      <c r="IU934" s="232"/>
      <c r="IV934" s="232"/>
      <c r="IW934" s="232"/>
      <c r="IX934" s="232"/>
      <c r="IY934" s="232"/>
      <c r="IZ934" s="232"/>
      <c r="JA934" s="232"/>
      <c r="JB934" s="232"/>
      <c r="JC934" s="232"/>
      <c r="JD934" s="232"/>
      <c r="JE934" s="232"/>
      <c r="JF934" s="232"/>
      <c r="JG934" s="232">
        <v>76.38</v>
      </c>
      <c r="JH934" s="232">
        <v>95.5</v>
      </c>
      <c r="JI934" s="232"/>
      <c r="JJ934" s="232"/>
      <c r="JK934" s="232"/>
      <c r="JL934" s="232"/>
      <c r="JM934" s="232"/>
      <c r="JN934" s="232"/>
      <c r="JO934" s="232"/>
      <c r="JP934" s="232"/>
      <c r="JQ934" s="232"/>
      <c r="JR934" s="232"/>
      <c r="JS934" s="232"/>
      <c r="JT934" s="232"/>
      <c r="JU934" s="181" t="s">
        <v>632</v>
      </c>
      <c r="JV934" s="181" t="s">
        <v>1569</v>
      </c>
      <c r="JW934" s="181"/>
    </row>
    <row r="935" spans="1:283" s="229" customFormat="1" x14ac:dyDescent="0.25">
      <c r="A935" s="181">
        <v>934</v>
      </c>
      <c r="B935" s="229" t="s">
        <v>7067</v>
      </c>
      <c r="C935" s="230">
        <v>44</v>
      </c>
      <c r="D935" s="181" t="s">
        <v>3885</v>
      </c>
      <c r="E935" s="231" t="s">
        <v>599</v>
      </c>
      <c r="F935" s="231"/>
      <c r="G935" s="181" t="s">
        <v>600</v>
      </c>
      <c r="H935" s="181">
        <v>2000</v>
      </c>
      <c r="I935" s="181">
        <v>1998</v>
      </c>
      <c r="J935" s="181" t="s">
        <v>601</v>
      </c>
      <c r="K935" s="181" t="s">
        <v>606</v>
      </c>
      <c r="L935" s="181" t="s">
        <v>2737</v>
      </c>
      <c r="M935" s="231">
        <v>45.231000000000002</v>
      </c>
      <c r="N935" s="231">
        <v>-122.756</v>
      </c>
      <c r="O935" s="231">
        <v>48.4</v>
      </c>
      <c r="P935" s="181"/>
      <c r="Q935" s="181"/>
      <c r="R935" s="181"/>
      <c r="S935" s="231">
        <v>1040</v>
      </c>
      <c r="T935" s="181" t="s">
        <v>133</v>
      </c>
      <c r="U935" s="181">
        <v>10</v>
      </c>
      <c r="V935" s="181">
        <v>10</v>
      </c>
      <c r="W935" s="181"/>
      <c r="X935" s="181"/>
      <c r="Y935" s="181" t="s">
        <v>1909</v>
      </c>
      <c r="Z935" s="181" t="s">
        <v>1347</v>
      </c>
      <c r="AA935" s="231" t="s">
        <v>1676</v>
      </c>
      <c r="AB935" s="232"/>
      <c r="AC935" s="232"/>
      <c r="AD935" s="231"/>
      <c r="AE935" s="231">
        <v>28</v>
      </c>
      <c r="AF935" s="231">
        <v>54</v>
      </c>
      <c r="AG935" s="231"/>
      <c r="AH935" s="181" t="s">
        <v>6378</v>
      </c>
      <c r="AI935" s="181"/>
      <c r="AJ935" s="231"/>
      <c r="AK935" s="231"/>
      <c r="AL935" s="181"/>
      <c r="AM935" s="181" t="s">
        <v>1253</v>
      </c>
      <c r="AN935" s="185" t="s">
        <v>1539</v>
      </c>
      <c r="AO935" s="185" t="s">
        <v>5150</v>
      </c>
      <c r="AP935" s="181"/>
      <c r="AQ935" s="181" t="s">
        <v>1546</v>
      </c>
      <c r="AR935" s="181" t="s">
        <v>609</v>
      </c>
      <c r="AS935" s="181" t="s">
        <v>1577</v>
      </c>
      <c r="AT935" s="181" t="s">
        <v>614</v>
      </c>
      <c r="AU935" s="181" t="s">
        <v>5150</v>
      </c>
      <c r="AV935" s="185" t="s">
        <v>479</v>
      </c>
      <c r="AW935" s="181" t="s">
        <v>614</v>
      </c>
      <c r="AX935" s="185" t="s">
        <v>479</v>
      </c>
      <c r="AY935" s="181" t="s">
        <v>176</v>
      </c>
      <c r="AZ935" s="181"/>
      <c r="BA935" s="181"/>
      <c r="BB935" s="181"/>
      <c r="BC935" s="181"/>
      <c r="BD935" s="181"/>
      <c r="BE935" s="226"/>
      <c r="BF935" s="181"/>
      <c r="BG935" s="181"/>
      <c r="BH935" s="226"/>
      <c r="BI935" s="181"/>
      <c r="BJ935" s="181"/>
      <c r="BK935" s="181" t="s">
        <v>5976</v>
      </c>
      <c r="BL935" s="181"/>
      <c r="BM935" s="192" t="s">
        <v>119</v>
      </c>
      <c r="BN935" s="181">
        <v>4</v>
      </c>
      <c r="BO935" s="181">
        <v>4</v>
      </c>
      <c r="BP935" s="181"/>
      <c r="BQ935" s="181" t="s">
        <v>315</v>
      </c>
      <c r="BR935" s="181"/>
      <c r="BS935" s="181"/>
      <c r="BT935" s="181"/>
      <c r="BU935" s="181"/>
      <c r="BV935" s="181"/>
      <c r="BW935" s="232"/>
      <c r="BX935" s="232"/>
      <c r="BY935" s="232"/>
      <c r="BZ935" s="232"/>
      <c r="CA935" s="232"/>
      <c r="CB935" s="183"/>
      <c r="CC935" s="183"/>
      <c r="CD935" s="183"/>
      <c r="CE935" s="232"/>
      <c r="CF935" s="232"/>
      <c r="CG935" s="232"/>
      <c r="CH935" s="231"/>
      <c r="CI935" s="231"/>
      <c r="CJ935" s="232"/>
      <c r="CK935" s="232"/>
      <c r="CL935" s="232"/>
      <c r="CM935" s="232"/>
      <c r="CN935" s="232"/>
      <c r="CO935" s="232"/>
      <c r="CP935" s="232"/>
      <c r="CQ935" s="232"/>
      <c r="CR935" s="232"/>
      <c r="CS935" s="232"/>
      <c r="CT935" s="232"/>
      <c r="CU935" s="232"/>
      <c r="CV935" s="232"/>
      <c r="CW935" s="232"/>
      <c r="CX935" s="232"/>
      <c r="CY935" s="232"/>
      <c r="CZ935" s="232"/>
      <c r="DA935" s="232"/>
      <c r="DB935" s="232"/>
      <c r="DC935" s="232"/>
      <c r="DD935" s="232"/>
      <c r="DE935" s="232"/>
      <c r="DF935" s="232"/>
      <c r="DG935" s="232"/>
      <c r="DH935" s="232"/>
      <c r="DI935" s="232"/>
      <c r="DJ935" s="232"/>
      <c r="DK935" s="232"/>
      <c r="DL935" s="232"/>
      <c r="DM935" s="232"/>
      <c r="DN935" s="232"/>
      <c r="DO935" s="232"/>
      <c r="DP935" s="232"/>
      <c r="DQ935" s="233"/>
      <c r="DR935" s="233"/>
      <c r="DS935" s="232"/>
      <c r="DT935" s="232"/>
      <c r="DU935" s="232"/>
      <c r="DV935" s="232"/>
      <c r="DW935" s="232"/>
      <c r="DX935" s="232"/>
      <c r="DY935" s="232"/>
      <c r="DZ935" s="232"/>
      <c r="EA935" s="232"/>
      <c r="EB935" s="232"/>
      <c r="EC935" s="232"/>
      <c r="ED935" s="232"/>
      <c r="EE935" s="232"/>
      <c r="EF935" s="232"/>
      <c r="EG935" s="232"/>
      <c r="EH935" s="232"/>
      <c r="EI935" s="232"/>
      <c r="EJ935" s="232"/>
      <c r="EK935" s="231"/>
      <c r="EL935" s="231"/>
      <c r="EM935" s="232"/>
      <c r="EN935" s="232"/>
      <c r="EO935" s="232"/>
      <c r="EP935" s="232"/>
      <c r="EQ935" s="232"/>
      <c r="ER935" s="232"/>
      <c r="ES935" s="232"/>
      <c r="ET935" s="232"/>
      <c r="EU935" s="232"/>
      <c r="EV935" s="232"/>
      <c r="EW935" s="232"/>
      <c r="EX935" s="232"/>
      <c r="EY935" s="232"/>
      <c r="EZ935" s="232"/>
      <c r="FA935" s="232"/>
      <c r="FB935" s="232"/>
      <c r="FC935" s="232"/>
      <c r="FD935" s="232"/>
      <c r="FE935" s="232"/>
      <c r="FF935" s="232"/>
      <c r="FG935" s="232"/>
      <c r="FH935" s="232"/>
      <c r="FI935" s="232"/>
      <c r="FJ935" s="232"/>
      <c r="FK935" s="232"/>
      <c r="FL935" s="232"/>
      <c r="FM935" s="232"/>
      <c r="FN935" s="232"/>
      <c r="FO935" s="232"/>
      <c r="FP935" s="232"/>
      <c r="FQ935" s="232"/>
      <c r="FR935" s="232"/>
      <c r="FS935" s="232"/>
      <c r="FT935" s="232"/>
      <c r="FU935" s="232"/>
      <c r="FV935" s="232"/>
      <c r="FW935" s="232"/>
      <c r="FX935" s="232"/>
      <c r="FY935" s="232"/>
      <c r="FZ935" s="232"/>
      <c r="GA935" s="232"/>
      <c r="GB935" s="232"/>
      <c r="GC935" s="232"/>
      <c r="GD935" s="232"/>
      <c r="GE935" s="232"/>
      <c r="GF935" s="232"/>
      <c r="GG935" s="232"/>
      <c r="GH935" s="232"/>
      <c r="GI935" s="232"/>
      <c r="GJ935" s="232"/>
      <c r="GK935" s="232"/>
      <c r="GL935" s="232"/>
      <c r="GM935" s="232"/>
      <c r="GN935" s="294"/>
      <c r="GO935" s="294"/>
      <c r="GP935" s="292" t="s">
        <v>7494</v>
      </c>
      <c r="GQ935" s="232"/>
      <c r="GR935" s="232"/>
      <c r="GS935" s="232"/>
      <c r="GT935" s="232"/>
      <c r="GU935" s="232"/>
      <c r="GV935" s="232"/>
      <c r="GW935" s="232"/>
      <c r="GX935" s="232"/>
      <c r="GY935" s="232"/>
      <c r="GZ935" s="232"/>
      <c r="HA935" s="232"/>
      <c r="HB935" s="232"/>
      <c r="HC935" s="232"/>
      <c r="HD935" s="232"/>
      <c r="HE935" s="232"/>
      <c r="HF935" s="232"/>
      <c r="HG935" s="232"/>
      <c r="HH935" s="232"/>
      <c r="HI935" s="232"/>
      <c r="HJ935" s="232"/>
      <c r="HK935" s="232"/>
      <c r="HL935" s="232"/>
      <c r="HM935" s="232"/>
      <c r="HN935" s="232"/>
      <c r="HO935" s="232"/>
      <c r="HP935" s="232"/>
      <c r="HQ935" s="232"/>
      <c r="HR935" s="232"/>
      <c r="HS935" s="232">
        <v>63.47</v>
      </c>
      <c r="HT935" s="232">
        <v>80</v>
      </c>
      <c r="HU935" s="232"/>
      <c r="HV935" s="232"/>
      <c r="HW935" s="232" t="s">
        <v>597</v>
      </c>
      <c r="HX935" s="232"/>
      <c r="HY935" s="232"/>
      <c r="HZ935" s="232"/>
      <c r="IA935" s="232"/>
      <c r="IB935" s="232"/>
      <c r="IC935" s="232"/>
      <c r="ID935" s="232"/>
      <c r="IE935" s="232"/>
      <c r="IF935" s="232"/>
      <c r="IG935" s="232"/>
      <c r="IH935" s="232"/>
      <c r="II935" s="232"/>
      <c r="IJ935" s="232"/>
      <c r="IK935" s="232"/>
      <c r="IL935" s="232"/>
      <c r="IM935" s="232"/>
      <c r="IN935" s="232"/>
      <c r="IO935" s="232"/>
      <c r="IP935" s="232"/>
      <c r="IQ935" s="232"/>
      <c r="IR935" s="232"/>
      <c r="IS935" s="232"/>
      <c r="IT935" s="232"/>
      <c r="IU935" s="232"/>
      <c r="IV935" s="232"/>
      <c r="IW935" s="232"/>
      <c r="IX935" s="232"/>
      <c r="IY935" s="232"/>
      <c r="IZ935" s="232"/>
      <c r="JA935" s="232"/>
      <c r="JB935" s="232"/>
      <c r="JC935" s="232"/>
      <c r="JD935" s="232"/>
      <c r="JE935" s="232"/>
      <c r="JF935" s="232"/>
      <c r="JG935" s="232">
        <v>71.930000000000007</v>
      </c>
      <c r="JH935" s="232">
        <v>91.05</v>
      </c>
      <c r="JI935" s="232"/>
      <c r="JJ935" s="232"/>
      <c r="JK935" s="232"/>
      <c r="JL935" s="232"/>
      <c r="JM935" s="232"/>
      <c r="JN935" s="232"/>
      <c r="JO935" s="232"/>
      <c r="JP935" s="232"/>
      <c r="JQ935" s="232"/>
      <c r="JR935" s="232"/>
      <c r="JS935" s="232"/>
      <c r="JT935" s="232"/>
      <c r="JU935" s="181" t="s">
        <v>632</v>
      </c>
      <c r="JV935" s="181" t="s">
        <v>1569</v>
      </c>
      <c r="JW935" s="181"/>
    </row>
    <row r="936" spans="1:283" x14ac:dyDescent="0.25">
      <c r="A936" s="55">
        <v>935</v>
      </c>
      <c r="B936" s="12" t="s">
        <v>7067</v>
      </c>
      <c r="C936" s="155">
        <v>44</v>
      </c>
      <c r="D936" s="55" t="s">
        <v>3886</v>
      </c>
      <c r="E936" s="90" t="s">
        <v>599</v>
      </c>
      <c r="G936" s="55" t="s">
        <v>600</v>
      </c>
      <c r="H936" s="55">
        <v>2000</v>
      </c>
      <c r="I936" s="55">
        <v>1996</v>
      </c>
      <c r="J936" s="55" t="s">
        <v>601</v>
      </c>
      <c r="K936" s="55" t="s">
        <v>607</v>
      </c>
      <c r="L936" s="55" t="s">
        <v>2737</v>
      </c>
      <c r="M936" s="90">
        <v>44.94</v>
      </c>
      <c r="N936" s="90">
        <v>-122.93</v>
      </c>
      <c r="O936" s="90">
        <v>66.5</v>
      </c>
      <c r="S936" s="90">
        <v>1040</v>
      </c>
      <c r="T936" s="55" t="s">
        <v>133</v>
      </c>
      <c r="U936" s="55">
        <v>4</v>
      </c>
      <c r="V936" s="55">
        <v>6</v>
      </c>
      <c r="Y936" s="55" t="s">
        <v>1913</v>
      </c>
      <c r="Z936" s="55" t="s">
        <v>1347</v>
      </c>
      <c r="AA936" s="90" t="s">
        <v>1676</v>
      </c>
      <c r="AE936" s="90">
        <v>22</v>
      </c>
      <c r="AF936" s="90">
        <v>52</v>
      </c>
      <c r="AH936" s="55" t="s">
        <v>6378</v>
      </c>
      <c r="AM936" s="55" t="s">
        <v>1253</v>
      </c>
      <c r="AN936" s="185" t="s">
        <v>610</v>
      </c>
      <c r="AO936" s="185" t="s">
        <v>5150</v>
      </c>
      <c r="AQ936" s="55" t="s">
        <v>610</v>
      </c>
      <c r="AR936" s="55" t="s">
        <v>132</v>
      </c>
      <c r="AS936" s="55" t="s">
        <v>1577</v>
      </c>
      <c r="AT936" s="181" t="s">
        <v>615</v>
      </c>
      <c r="AU936" s="181" t="s">
        <v>5150</v>
      </c>
      <c r="AV936" s="185" t="s">
        <v>176</v>
      </c>
      <c r="AW936" s="55" t="s">
        <v>615</v>
      </c>
      <c r="AX936" s="185" t="s">
        <v>176</v>
      </c>
      <c r="AY936" s="55" t="s">
        <v>176</v>
      </c>
      <c r="BK936" s="55" t="s">
        <v>5976</v>
      </c>
      <c r="BM936" s="192" t="s">
        <v>119</v>
      </c>
      <c r="BN936" s="55">
        <v>4</v>
      </c>
      <c r="BO936" s="55">
        <v>4</v>
      </c>
      <c r="BQ936" s="55" t="s">
        <v>315</v>
      </c>
      <c r="GP936" s="292" t="s">
        <v>7494</v>
      </c>
      <c r="HS936" s="65">
        <v>62.61</v>
      </c>
      <c r="HT936" s="65">
        <v>109.32</v>
      </c>
      <c r="HW936" s="65" t="s">
        <v>597</v>
      </c>
      <c r="JG936" s="65">
        <v>71.44</v>
      </c>
      <c r="JH936" s="65">
        <v>113.75</v>
      </c>
      <c r="JU936" s="55" t="s">
        <v>632</v>
      </c>
      <c r="JV936" s="55" t="s">
        <v>1569</v>
      </c>
    </row>
    <row r="937" spans="1:283" x14ac:dyDescent="0.25">
      <c r="A937" s="55">
        <v>936</v>
      </c>
      <c r="B937" s="12" t="s">
        <v>7067</v>
      </c>
      <c r="C937" s="155">
        <v>44</v>
      </c>
      <c r="D937" s="55" t="s">
        <v>3886</v>
      </c>
      <c r="E937" s="90" t="s">
        <v>599</v>
      </c>
      <c r="G937" s="55" t="s">
        <v>600</v>
      </c>
      <c r="H937" s="55">
        <v>2000</v>
      </c>
      <c r="I937" s="55">
        <v>1997</v>
      </c>
      <c r="J937" s="55" t="s">
        <v>601</v>
      </c>
      <c r="K937" s="55" t="s">
        <v>607</v>
      </c>
      <c r="L937" s="55" t="s">
        <v>2737</v>
      </c>
      <c r="M937" s="90">
        <v>44.94</v>
      </c>
      <c r="N937" s="90">
        <v>-122.93</v>
      </c>
      <c r="O937" s="90">
        <v>66.5</v>
      </c>
      <c r="S937" s="90">
        <v>1040</v>
      </c>
      <c r="T937" s="55" t="s">
        <v>133</v>
      </c>
      <c r="U937" s="55">
        <v>5</v>
      </c>
      <c r="V937" s="55">
        <v>6</v>
      </c>
      <c r="Y937" s="55" t="s">
        <v>1914</v>
      </c>
      <c r="Z937" s="55" t="s">
        <v>1347</v>
      </c>
      <c r="AA937" s="90" t="s">
        <v>1676</v>
      </c>
      <c r="AE937" s="90">
        <v>22</v>
      </c>
      <c r="AF937" s="90">
        <v>52</v>
      </c>
      <c r="AH937" s="55" t="s">
        <v>6378</v>
      </c>
      <c r="AM937" s="55" t="s">
        <v>1253</v>
      </c>
      <c r="AN937" s="185" t="s">
        <v>610</v>
      </c>
      <c r="AO937" s="185" t="s">
        <v>5150</v>
      </c>
      <c r="AQ937" s="55" t="s">
        <v>610</v>
      </c>
      <c r="AR937" s="55" t="s">
        <v>132</v>
      </c>
      <c r="AS937" s="55" t="s">
        <v>1577</v>
      </c>
      <c r="AT937" s="181" t="s">
        <v>615</v>
      </c>
      <c r="AU937" s="181" t="s">
        <v>5150</v>
      </c>
      <c r="AV937" s="185" t="s">
        <v>176</v>
      </c>
      <c r="AW937" s="55" t="s">
        <v>615</v>
      </c>
      <c r="AX937" s="185" t="s">
        <v>176</v>
      </c>
      <c r="AY937" s="55" t="s">
        <v>176</v>
      </c>
      <c r="BK937" s="55" t="s">
        <v>5976</v>
      </c>
      <c r="BM937" s="192" t="s">
        <v>119</v>
      </c>
      <c r="BN937" s="55">
        <v>4</v>
      </c>
      <c r="BO937" s="55">
        <v>4</v>
      </c>
      <c r="BQ937" s="55" t="s">
        <v>315</v>
      </c>
      <c r="GP937" s="292" t="s">
        <v>7494</v>
      </c>
      <c r="HS937" s="65">
        <v>104.33</v>
      </c>
      <c r="HT937" s="65">
        <v>151.44999999999999</v>
      </c>
      <c r="HW937" s="65" t="s">
        <v>597</v>
      </c>
      <c r="JG937" s="65">
        <v>118.58</v>
      </c>
      <c r="JH937" s="65">
        <v>199.99</v>
      </c>
      <c r="JU937" s="55" t="s">
        <v>632</v>
      </c>
      <c r="JV937" s="55" t="s">
        <v>1569</v>
      </c>
    </row>
    <row r="938" spans="1:283" x14ac:dyDescent="0.25">
      <c r="A938" s="55">
        <v>937</v>
      </c>
      <c r="B938" s="12" t="s">
        <v>7067</v>
      </c>
      <c r="C938" s="155">
        <v>44</v>
      </c>
      <c r="D938" s="55" t="s">
        <v>3886</v>
      </c>
      <c r="E938" s="90" t="s">
        <v>599</v>
      </c>
      <c r="G938" s="55" t="s">
        <v>600</v>
      </c>
      <c r="H938" s="55">
        <v>2000</v>
      </c>
      <c r="I938" s="55">
        <v>1997</v>
      </c>
      <c r="J938" s="55" t="s">
        <v>601</v>
      </c>
      <c r="K938" s="55" t="s">
        <v>607</v>
      </c>
      <c r="L938" s="55" t="s">
        <v>2737</v>
      </c>
      <c r="M938" s="90">
        <v>44.94</v>
      </c>
      <c r="N938" s="90">
        <v>-122.93</v>
      </c>
      <c r="O938" s="90">
        <v>66.5</v>
      </c>
      <c r="S938" s="90">
        <v>1040</v>
      </c>
      <c r="T938" s="55" t="s">
        <v>133</v>
      </c>
      <c r="U938" s="55">
        <v>5</v>
      </c>
      <c r="V938" s="55">
        <v>6</v>
      </c>
      <c r="Y938" s="55" t="s">
        <v>1913</v>
      </c>
      <c r="Z938" s="55" t="s">
        <v>1347</v>
      </c>
      <c r="AA938" s="90" t="s">
        <v>1676</v>
      </c>
      <c r="AE938" s="90">
        <v>22</v>
      </c>
      <c r="AF938" s="90">
        <v>52</v>
      </c>
      <c r="AH938" s="55" t="s">
        <v>6378</v>
      </c>
      <c r="AM938" s="55" t="s">
        <v>1253</v>
      </c>
      <c r="AN938" s="185" t="s">
        <v>610</v>
      </c>
      <c r="AO938" s="185" t="s">
        <v>5150</v>
      </c>
      <c r="AQ938" s="55" t="s">
        <v>610</v>
      </c>
      <c r="AR938" s="55" t="s">
        <v>132</v>
      </c>
      <c r="AS938" s="55" t="s">
        <v>1577</v>
      </c>
      <c r="AT938" s="181" t="s">
        <v>615</v>
      </c>
      <c r="AU938" s="181" t="s">
        <v>5150</v>
      </c>
      <c r="AV938" s="185" t="s">
        <v>176</v>
      </c>
      <c r="AW938" s="55" t="s">
        <v>615</v>
      </c>
      <c r="AX938" s="185" t="s">
        <v>176</v>
      </c>
      <c r="AY938" s="55" t="s">
        <v>176</v>
      </c>
      <c r="BK938" s="55" t="s">
        <v>5976</v>
      </c>
      <c r="BM938" s="192" t="s">
        <v>119</v>
      </c>
      <c r="BN938" s="55">
        <v>4</v>
      </c>
      <c r="BO938" s="55">
        <v>4</v>
      </c>
      <c r="BQ938" s="55" t="s">
        <v>315</v>
      </c>
      <c r="GP938" s="292" t="s">
        <v>7494</v>
      </c>
      <c r="HS938" s="65">
        <v>78.44</v>
      </c>
      <c r="HT938" s="65">
        <v>114.91</v>
      </c>
      <c r="HW938" s="65" t="s">
        <v>597</v>
      </c>
      <c r="JG938" s="65">
        <v>125.52</v>
      </c>
      <c r="JH938" s="65">
        <v>163.59</v>
      </c>
      <c r="JU938" s="55" t="s">
        <v>632</v>
      </c>
      <c r="JV938" s="55" t="s">
        <v>1569</v>
      </c>
    </row>
    <row r="939" spans="1:283" x14ac:dyDescent="0.25">
      <c r="A939" s="55">
        <v>938</v>
      </c>
      <c r="B939" s="12" t="s">
        <v>7067</v>
      </c>
      <c r="C939" s="155">
        <v>44</v>
      </c>
      <c r="D939" s="55" t="s">
        <v>3886</v>
      </c>
      <c r="E939" s="90" t="s">
        <v>599</v>
      </c>
      <c r="G939" s="55" t="s">
        <v>600</v>
      </c>
      <c r="H939" s="55">
        <v>2000</v>
      </c>
      <c r="I939" s="55">
        <v>1997</v>
      </c>
      <c r="J939" s="55" t="s">
        <v>601</v>
      </c>
      <c r="K939" s="55" t="s">
        <v>607</v>
      </c>
      <c r="L939" s="55" t="s">
        <v>2737</v>
      </c>
      <c r="M939" s="90">
        <v>44.94</v>
      </c>
      <c r="N939" s="90">
        <v>-122.93</v>
      </c>
      <c r="O939" s="90">
        <v>66.5</v>
      </c>
      <c r="S939" s="90">
        <v>1040</v>
      </c>
      <c r="T939" s="55" t="s">
        <v>133</v>
      </c>
      <c r="U939" s="55">
        <v>5</v>
      </c>
      <c r="V939" s="55">
        <v>6</v>
      </c>
      <c r="Y939" s="55" t="s">
        <v>1915</v>
      </c>
      <c r="Z939" s="55" t="s">
        <v>1347</v>
      </c>
      <c r="AA939" s="90" t="s">
        <v>1676</v>
      </c>
      <c r="AE939" s="90">
        <v>22</v>
      </c>
      <c r="AF939" s="90">
        <v>52</v>
      </c>
      <c r="AH939" s="55" t="s">
        <v>6378</v>
      </c>
      <c r="AM939" s="55" t="s">
        <v>1253</v>
      </c>
      <c r="AN939" s="185" t="s">
        <v>610</v>
      </c>
      <c r="AO939" s="185" t="s">
        <v>5150</v>
      </c>
      <c r="AQ939" s="55" t="s">
        <v>610</v>
      </c>
      <c r="AR939" s="55" t="s">
        <v>132</v>
      </c>
      <c r="AS939" s="55" t="s">
        <v>1577</v>
      </c>
      <c r="AT939" s="181" t="s">
        <v>615</v>
      </c>
      <c r="AU939" s="181" t="s">
        <v>5150</v>
      </c>
      <c r="AV939" s="185" t="s">
        <v>176</v>
      </c>
      <c r="AW939" s="55" t="s">
        <v>615</v>
      </c>
      <c r="AX939" s="185" t="s">
        <v>176</v>
      </c>
      <c r="AY939" s="55" t="s">
        <v>176</v>
      </c>
      <c r="BK939" s="55" t="s">
        <v>5976</v>
      </c>
      <c r="BM939" s="192" t="s">
        <v>119</v>
      </c>
      <c r="BN939" s="55">
        <v>4</v>
      </c>
      <c r="BO939" s="55">
        <v>4</v>
      </c>
      <c r="BQ939" s="55" t="s">
        <v>315</v>
      </c>
      <c r="GP939" s="292" t="s">
        <v>7494</v>
      </c>
      <c r="HS939" s="65">
        <v>106.22</v>
      </c>
      <c r="HT939" s="65">
        <v>152.93</v>
      </c>
      <c r="HW939" s="65" t="s">
        <v>597</v>
      </c>
      <c r="JG939" s="65">
        <v>119.78</v>
      </c>
      <c r="JH939" s="65">
        <v>167.37</v>
      </c>
      <c r="JU939" s="55" t="s">
        <v>632</v>
      </c>
      <c r="JV939" s="55" t="s">
        <v>1569</v>
      </c>
    </row>
    <row r="940" spans="1:283" x14ac:dyDescent="0.25">
      <c r="A940" s="55">
        <v>939</v>
      </c>
      <c r="B940" s="12" t="s">
        <v>7067</v>
      </c>
      <c r="C940" s="155">
        <v>44</v>
      </c>
      <c r="D940" s="55" t="s">
        <v>3886</v>
      </c>
      <c r="E940" s="90" t="s">
        <v>599</v>
      </c>
      <c r="G940" s="55" t="s">
        <v>600</v>
      </c>
      <c r="H940" s="55">
        <v>2000</v>
      </c>
      <c r="I940" s="55">
        <v>1998</v>
      </c>
      <c r="J940" s="55" t="s">
        <v>601</v>
      </c>
      <c r="K940" s="55" t="s">
        <v>607</v>
      </c>
      <c r="L940" s="55" t="s">
        <v>2737</v>
      </c>
      <c r="M940" s="90">
        <v>44.94</v>
      </c>
      <c r="N940" s="90">
        <v>-122.93</v>
      </c>
      <c r="O940" s="90">
        <v>66.5</v>
      </c>
      <c r="S940" s="90">
        <v>1040</v>
      </c>
      <c r="T940" s="55" t="s">
        <v>133</v>
      </c>
      <c r="U940" s="55">
        <v>6</v>
      </c>
      <c r="V940" s="55">
        <v>6</v>
      </c>
      <c r="Y940" s="55" t="s">
        <v>1914</v>
      </c>
      <c r="Z940" s="55" t="s">
        <v>1347</v>
      </c>
      <c r="AA940" s="90" t="s">
        <v>1676</v>
      </c>
      <c r="AE940" s="90">
        <v>22</v>
      </c>
      <c r="AF940" s="90">
        <v>52</v>
      </c>
      <c r="AH940" s="55" t="s">
        <v>6378</v>
      </c>
      <c r="AM940" s="55" t="s">
        <v>1253</v>
      </c>
      <c r="AN940" s="185" t="s">
        <v>610</v>
      </c>
      <c r="AO940" s="185" t="s">
        <v>5150</v>
      </c>
      <c r="AQ940" s="55" t="s">
        <v>610</v>
      </c>
      <c r="AR940" s="55" t="s">
        <v>132</v>
      </c>
      <c r="AS940" s="55" t="s">
        <v>1577</v>
      </c>
      <c r="AT940" s="181" t="s">
        <v>615</v>
      </c>
      <c r="AU940" s="181" t="s">
        <v>5150</v>
      </c>
      <c r="AV940" s="185" t="s">
        <v>176</v>
      </c>
      <c r="AW940" s="55" t="s">
        <v>615</v>
      </c>
      <c r="AX940" s="185" t="s">
        <v>176</v>
      </c>
      <c r="AY940" s="55" t="s">
        <v>176</v>
      </c>
      <c r="BK940" s="55" t="s">
        <v>5976</v>
      </c>
      <c r="BM940" s="192" t="s">
        <v>119</v>
      </c>
      <c r="BN940" s="55">
        <v>4</v>
      </c>
      <c r="BO940" s="55">
        <v>4</v>
      </c>
      <c r="BQ940" s="55" t="s">
        <v>315</v>
      </c>
      <c r="GP940" s="292" t="s">
        <v>7494</v>
      </c>
      <c r="HS940" s="65">
        <v>117.21</v>
      </c>
      <c r="HT940" s="65">
        <v>170.88</v>
      </c>
      <c r="HW940" s="65" t="s">
        <v>597</v>
      </c>
      <c r="JG940" s="65">
        <v>139.41</v>
      </c>
      <c r="JH940" s="65">
        <v>232.47</v>
      </c>
      <c r="JU940" s="55" t="s">
        <v>632</v>
      </c>
      <c r="JV940" s="55" t="s">
        <v>1569</v>
      </c>
    </row>
    <row r="941" spans="1:283" x14ac:dyDescent="0.25">
      <c r="A941" s="55">
        <v>940</v>
      </c>
      <c r="B941" s="12" t="s">
        <v>7067</v>
      </c>
      <c r="C941" s="155">
        <v>44</v>
      </c>
      <c r="D941" s="55" t="s">
        <v>3886</v>
      </c>
      <c r="E941" s="90" t="s">
        <v>599</v>
      </c>
      <c r="G941" s="55" t="s">
        <v>600</v>
      </c>
      <c r="H941" s="55">
        <v>2000</v>
      </c>
      <c r="I941" s="55">
        <v>1998</v>
      </c>
      <c r="J941" s="55" t="s">
        <v>601</v>
      </c>
      <c r="K941" s="55" t="s">
        <v>607</v>
      </c>
      <c r="L941" s="55" t="s">
        <v>2737</v>
      </c>
      <c r="M941" s="90">
        <v>44.94</v>
      </c>
      <c r="N941" s="90">
        <v>-122.93</v>
      </c>
      <c r="O941" s="90">
        <v>66.5</v>
      </c>
      <c r="S941" s="90">
        <v>1040</v>
      </c>
      <c r="T941" s="55" t="s">
        <v>133</v>
      </c>
      <c r="U941" s="55">
        <v>6</v>
      </c>
      <c r="V941" s="55">
        <v>6</v>
      </c>
      <c r="Y941" s="55" t="s">
        <v>1913</v>
      </c>
      <c r="Z941" s="55" t="s">
        <v>1347</v>
      </c>
      <c r="AA941" s="90" t="s">
        <v>1676</v>
      </c>
      <c r="AE941" s="90">
        <v>22</v>
      </c>
      <c r="AF941" s="90">
        <v>52</v>
      </c>
      <c r="AH941" s="55" t="s">
        <v>6378</v>
      </c>
      <c r="AM941" s="55" t="s">
        <v>1253</v>
      </c>
      <c r="AN941" s="185" t="s">
        <v>610</v>
      </c>
      <c r="AO941" s="185" t="s">
        <v>5150</v>
      </c>
      <c r="AQ941" s="55" t="s">
        <v>610</v>
      </c>
      <c r="AR941" s="55" t="s">
        <v>132</v>
      </c>
      <c r="AS941" s="55" t="s">
        <v>1577</v>
      </c>
      <c r="AT941" s="181" t="s">
        <v>615</v>
      </c>
      <c r="AU941" s="181" t="s">
        <v>5150</v>
      </c>
      <c r="AV941" s="185" t="s">
        <v>176</v>
      </c>
      <c r="AW941" s="55" t="s">
        <v>615</v>
      </c>
      <c r="AX941" s="185" t="s">
        <v>176</v>
      </c>
      <c r="AY941" s="55" t="s">
        <v>176</v>
      </c>
      <c r="BK941" s="55" t="s">
        <v>5976</v>
      </c>
      <c r="BM941" s="192" t="s">
        <v>119</v>
      </c>
      <c r="BN941" s="55">
        <v>4</v>
      </c>
      <c r="BO941" s="55">
        <v>4</v>
      </c>
      <c r="BQ941" s="55" t="s">
        <v>315</v>
      </c>
      <c r="GP941" s="292" t="s">
        <v>7494</v>
      </c>
      <c r="HS941" s="65">
        <v>103.61</v>
      </c>
      <c r="HT941" s="65">
        <v>178.6</v>
      </c>
      <c r="HW941" s="65" t="s">
        <v>597</v>
      </c>
      <c r="JG941" s="65">
        <v>278.55</v>
      </c>
      <c r="JH941" s="65">
        <v>383.25</v>
      </c>
      <c r="JU941" s="55" t="s">
        <v>632</v>
      </c>
      <c r="JV941" s="55" t="s">
        <v>1569</v>
      </c>
    </row>
    <row r="942" spans="1:283" x14ac:dyDescent="0.25">
      <c r="A942" s="55">
        <v>941</v>
      </c>
      <c r="B942" s="12" t="s">
        <v>7067</v>
      </c>
      <c r="C942" s="155">
        <v>44</v>
      </c>
      <c r="D942" s="55" t="s">
        <v>3886</v>
      </c>
      <c r="E942" s="90" t="s">
        <v>599</v>
      </c>
      <c r="G942" s="55" t="s">
        <v>600</v>
      </c>
      <c r="H942" s="55">
        <v>2000</v>
      </c>
      <c r="I942" s="55">
        <v>1998</v>
      </c>
      <c r="J942" s="55" t="s">
        <v>601</v>
      </c>
      <c r="K942" s="55" t="s">
        <v>607</v>
      </c>
      <c r="L942" s="55" t="s">
        <v>2737</v>
      </c>
      <c r="M942" s="90">
        <v>44.94</v>
      </c>
      <c r="N942" s="90">
        <v>-122.93</v>
      </c>
      <c r="O942" s="90">
        <v>66.5</v>
      </c>
      <c r="S942" s="90">
        <v>1040</v>
      </c>
      <c r="T942" s="55" t="s">
        <v>133</v>
      </c>
      <c r="U942" s="55">
        <v>6</v>
      </c>
      <c r="V942" s="55">
        <v>6</v>
      </c>
      <c r="Y942" s="55" t="s">
        <v>1915</v>
      </c>
      <c r="Z942" s="55" t="s">
        <v>1347</v>
      </c>
      <c r="AA942" s="90" t="s">
        <v>1676</v>
      </c>
      <c r="AE942" s="90">
        <v>22</v>
      </c>
      <c r="AF942" s="90">
        <v>52</v>
      </c>
      <c r="AH942" s="55" t="s">
        <v>6378</v>
      </c>
      <c r="AM942" s="55" t="s">
        <v>1253</v>
      </c>
      <c r="AN942" s="185" t="s">
        <v>610</v>
      </c>
      <c r="AO942" s="185" t="s">
        <v>5150</v>
      </c>
      <c r="AQ942" s="55" t="s">
        <v>610</v>
      </c>
      <c r="AR942" s="55" t="s">
        <v>132</v>
      </c>
      <c r="AS942" s="55" t="s">
        <v>1577</v>
      </c>
      <c r="AT942" s="181" t="s">
        <v>615</v>
      </c>
      <c r="AU942" s="181" t="s">
        <v>5150</v>
      </c>
      <c r="AV942" s="185" t="s">
        <v>176</v>
      </c>
      <c r="AW942" s="55" t="s">
        <v>615</v>
      </c>
      <c r="AX942" s="185" t="s">
        <v>176</v>
      </c>
      <c r="AY942" s="55" t="s">
        <v>176</v>
      </c>
      <c r="BK942" s="55" t="s">
        <v>5976</v>
      </c>
      <c r="BM942" s="192" t="s">
        <v>119</v>
      </c>
      <c r="BN942" s="55">
        <v>4</v>
      </c>
      <c r="BO942" s="55">
        <v>4</v>
      </c>
      <c r="BQ942" s="55" t="s">
        <v>315</v>
      </c>
      <c r="GP942" s="292" t="s">
        <v>7494</v>
      </c>
      <c r="HS942" s="65">
        <v>104.35</v>
      </c>
      <c r="HT942" s="65">
        <v>181.39</v>
      </c>
      <c r="HW942" s="65" t="s">
        <v>597</v>
      </c>
      <c r="JG942" s="65">
        <v>136.37</v>
      </c>
      <c r="JH942" s="65">
        <v>194.53</v>
      </c>
      <c r="JU942" s="55" t="s">
        <v>632</v>
      </c>
      <c r="JV942" s="55" t="s">
        <v>1569</v>
      </c>
    </row>
    <row r="943" spans="1:283" x14ac:dyDescent="0.25">
      <c r="A943" s="55">
        <v>942</v>
      </c>
      <c r="B943" s="12" t="s">
        <v>7067</v>
      </c>
      <c r="C943" s="155">
        <v>45</v>
      </c>
      <c r="D943" s="55" t="s">
        <v>3887</v>
      </c>
      <c r="E943" s="90" t="s">
        <v>633</v>
      </c>
      <c r="G943" s="55" t="s">
        <v>634</v>
      </c>
      <c r="H943" s="55">
        <v>2005</v>
      </c>
      <c r="I943" s="55">
        <v>1994</v>
      </c>
      <c r="J943" s="55" t="s">
        <v>282</v>
      </c>
      <c r="K943" s="55" t="s">
        <v>502</v>
      </c>
      <c r="L943" s="55" t="s">
        <v>2737</v>
      </c>
      <c r="M943" s="90">
        <v>40.19</v>
      </c>
      <c r="N943" s="90">
        <v>-103.17</v>
      </c>
      <c r="O943" s="90">
        <v>1384</v>
      </c>
      <c r="U943" s="55">
        <v>1</v>
      </c>
      <c r="V943" s="55" t="s">
        <v>1801</v>
      </c>
      <c r="Y943" s="55" t="s">
        <v>1916</v>
      </c>
      <c r="Z943" s="55" t="s">
        <v>1349</v>
      </c>
      <c r="AA943" s="90" t="s">
        <v>1677</v>
      </c>
      <c r="AH943" s="55" t="s">
        <v>6378</v>
      </c>
      <c r="AM943" s="55" t="s">
        <v>1305</v>
      </c>
      <c r="AN943" s="185" t="s">
        <v>1501</v>
      </c>
      <c r="AO943" s="185" t="s">
        <v>5150</v>
      </c>
      <c r="AP943" s="58" t="s">
        <v>5150</v>
      </c>
      <c r="AQ943" s="55" t="s">
        <v>553</v>
      </c>
      <c r="AR943" s="55" t="s">
        <v>116</v>
      </c>
      <c r="AS943" s="55" t="s">
        <v>116</v>
      </c>
      <c r="AU943" s="181" t="s">
        <v>7494</v>
      </c>
      <c r="AV943" s="185" t="s">
        <v>176</v>
      </c>
      <c r="AX943" s="185" t="s">
        <v>176</v>
      </c>
      <c r="AZ943" s="55" t="s">
        <v>635</v>
      </c>
      <c r="BA943" s="55" t="s">
        <v>635</v>
      </c>
      <c r="BB943" s="55" t="s">
        <v>2081</v>
      </c>
      <c r="BC943" s="55" t="s">
        <v>2081</v>
      </c>
      <c r="BD943" s="55" t="s">
        <v>176</v>
      </c>
      <c r="BE943" s="226" t="s">
        <v>636</v>
      </c>
      <c r="BF943" s="191" t="s">
        <v>479</v>
      </c>
      <c r="BG943" s="55" t="s">
        <v>479</v>
      </c>
      <c r="BH943" s="226" t="s">
        <v>636</v>
      </c>
      <c r="BI943" s="55" t="s">
        <v>479</v>
      </c>
      <c r="BJ943" s="55" t="s">
        <v>176</v>
      </c>
      <c r="BK943" s="55" t="s">
        <v>5976</v>
      </c>
      <c r="BM943" s="192" t="s">
        <v>119</v>
      </c>
      <c r="BN943" s="55">
        <v>4</v>
      </c>
      <c r="BO943" s="55">
        <v>4</v>
      </c>
      <c r="BQ943" s="55" t="s">
        <v>315</v>
      </c>
      <c r="CB943" s="66">
        <v>3979</v>
      </c>
      <c r="CC943" s="66">
        <v>2670</v>
      </c>
      <c r="DB943" s="65">
        <f>(56+19)/2</f>
        <v>37.5</v>
      </c>
      <c r="DC943" s="65">
        <f>(35+7)/2</f>
        <v>21</v>
      </c>
      <c r="DF943" s="65" t="s">
        <v>651</v>
      </c>
      <c r="GI943" s="65">
        <v>245</v>
      </c>
      <c r="GJ943" s="65">
        <v>173</v>
      </c>
      <c r="GM943" s="65" t="s">
        <v>637</v>
      </c>
      <c r="GP943" s="292" t="s">
        <v>7494</v>
      </c>
      <c r="JU943" s="55" t="s">
        <v>701</v>
      </c>
    </row>
    <row r="944" spans="1:283" x14ac:dyDescent="0.25">
      <c r="A944" s="55">
        <v>943</v>
      </c>
      <c r="B944" s="12" t="s">
        <v>7067</v>
      </c>
      <c r="C944" s="155">
        <v>45</v>
      </c>
      <c r="D944" s="55" t="s">
        <v>3887</v>
      </c>
      <c r="E944" s="90" t="s">
        <v>633</v>
      </c>
      <c r="G944" s="55" t="s">
        <v>634</v>
      </c>
      <c r="H944" s="55">
        <v>2005</v>
      </c>
      <c r="I944" s="55">
        <v>1994</v>
      </c>
      <c r="J944" s="55" t="s">
        <v>282</v>
      </c>
      <c r="K944" s="55" t="s">
        <v>502</v>
      </c>
      <c r="L944" s="55" t="s">
        <v>2737</v>
      </c>
      <c r="M944" s="90">
        <v>40.19</v>
      </c>
      <c r="N944" s="90">
        <v>-103.17</v>
      </c>
      <c r="O944" s="90">
        <v>1384</v>
      </c>
      <c r="U944" s="55">
        <v>1</v>
      </c>
      <c r="V944" s="55" t="s">
        <v>1801</v>
      </c>
      <c r="Y944" s="55" t="s">
        <v>1916</v>
      </c>
      <c r="Z944" s="55" t="s">
        <v>1349</v>
      </c>
      <c r="AA944" s="90" t="s">
        <v>1677</v>
      </c>
      <c r="AH944" s="55" t="s">
        <v>6378</v>
      </c>
      <c r="AM944" s="55" t="s">
        <v>1305</v>
      </c>
      <c r="AN944" s="185" t="s">
        <v>1502</v>
      </c>
      <c r="AO944" s="185" t="s">
        <v>5150</v>
      </c>
      <c r="AQ944" s="55" t="s">
        <v>553</v>
      </c>
      <c r="AR944" s="55" t="s">
        <v>116</v>
      </c>
      <c r="AS944" s="55" t="s">
        <v>116</v>
      </c>
      <c r="AU944" s="181" t="s">
        <v>7494</v>
      </c>
      <c r="AV944" s="185" t="s">
        <v>176</v>
      </c>
      <c r="AX944" s="185" t="s">
        <v>176</v>
      </c>
      <c r="AZ944" s="55" t="s">
        <v>635</v>
      </c>
      <c r="BA944" s="55" t="s">
        <v>635</v>
      </c>
      <c r="BB944" s="55" t="s">
        <v>2081</v>
      </c>
      <c r="BC944" s="55" t="s">
        <v>2081</v>
      </c>
      <c r="BD944" s="55" t="s">
        <v>176</v>
      </c>
      <c r="BE944" s="226" t="s">
        <v>636</v>
      </c>
      <c r="BF944" s="191" t="s">
        <v>479</v>
      </c>
      <c r="BG944" s="55" t="s">
        <v>479</v>
      </c>
      <c r="BH944" s="226" t="s">
        <v>636</v>
      </c>
      <c r="BI944" s="55" t="s">
        <v>479</v>
      </c>
      <c r="BJ944" s="55" t="s">
        <v>176</v>
      </c>
      <c r="BK944" s="55" t="s">
        <v>5976</v>
      </c>
      <c r="BM944" s="192" t="s">
        <v>119</v>
      </c>
      <c r="BN944" s="55">
        <v>4</v>
      </c>
      <c r="BO944" s="55">
        <v>4</v>
      </c>
      <c r="BQ944" s="55" t="s">
        <v>315</v>
      </c>
      <c r="CB944" s="66">
        <v>3979</v>
      </c>
      <c r="CC944" s="66">
        <v>2663</v>
      </c>
      <c r="DB944" s="65">
        <f>(56+19)/2</f>
        <v>37.5</v>
      </c>
      <c r="DC944" s="65">
        <f>(31+7)/2</f>
        <v>19</v>
      </c>
      <c r="DF944" s="65" t="s">
        <v>651</v>
      </c>
      <c r="GI944" s="65">
        <v>245</v>
      </c>
      <c r="GJ944" s="65">
        <v>188</v>
      </c>
      <c r="GM944" s="65" t="s">
        <v>637</v>
      </c>
      <c r="GP944" s="292" t="s">
        <v>7494</v>
      </c>
      <c r="JU944" s="55" t="s">
        <v>701</v>
      </c>
    </row>
    <row r="945" spans="1:281" x14ac:dyDescent="0.25">
      <c r="A945" s="55">
        <v>944</v>
      </c>
      <c r="B945" s="12" t="s">
        <v>7067</v>
      </c>
      <c r="C945" s="155">
        <v>45</v>
      </c>
      <c r="D945" s="55" t="s">
        <v>3887</v>
      </c>
      <c r="E945" s="90" t="s">
        <v>633</v>
      </c>
      <c r="G945" s="55" t="s">
        <v>634</v>
      </c>
      <c r="H945" s="55">
        <v>2005</v>
      </c>
      <c r="I945" s="55">
        <v>1994</v>
      </c>
      <c r="J945" s="55" t="s">
        <v>282</v>
      </c>
      <c r="K945" s="55" t="s">
        <v>502</v>
      </c>
      <c r="L945" s="55" t="s">
        <v>2737</v>
      </c>
      <c r="M945" s="90">
        <v>40.19</v>
      </c>
      <c r="N945" s="90">
        <v>-103.17</v>
      </c>
      <c r="O945" s="90">
        <v>1384</v>
      </c>
      <c r="U945" s="55">
        <v>1</v>
      </c>
      <c r="V945" s="55" t="s">
        <v>1801</v>
      </c>
      <c r="Y945" s="55" t="s">
        <v>1916</v>
      </c>
      <c r="Z945" s="55" t="s">
        <v>1349</v>
      </c>
      <c r="AA945" s="90" t="s">
        <v>1677</v>
      </c>
      <c r="AH945" s="55" t="s">
        <v>6378</v>
      </c>
      <c r="AM945" s="55" t="s">
        <v>1305</v>
      </c>
      <c r="AN945" s="185" t="s">
        <v>538</v>
      </c>
      <c r="AO945" s="185" t="s">
        <v>5150</v>
      </c>
      <c r="AQ945" s="55" t="s">
        <v>553</v>
      </c>
      <c r="AR945" s="55" t="s">
        <v>116</v>
      </c>
      <c r="AS945" s="55" t="s">
        <v>116</v>
      </c>
      <c r="AU945" s="181" t="s">
        <v>7494</v>
      </c>
      <c r="AV945" s="185" t="s">
        <v>176</v>
      </c>
      <c r="AX945" s="185" t="s">
        <v>176</v>
      </c>
      <c r="AZ945" s="55" t="s">
        <v>635</v>
      </c>
      <c r="BA945" s="55" t="s">
        <v>635</v>
      </c>
      <c r="BB945" s="55" t="s">
        <v>2081</v>
      </c>
      <c r="BC945" s="55" t="s">
        <v>2081</v>
      </c>
      <c r="BD945" s="55" t="s">
        <v>176</v>
      </c>
      <c r="BE945" s="226" t="s">
        <v>636</v>
      </c>
      <c r="BF945" s="191" t="s">
        <v>479</v>
      </c>
      <c r="BG945" s="55" t="s">
        <v>479</v>
      </c>
      <c r="BH945" s="226" t="s">
        <v>636</v>
      </c>
      <c r="BI945" s="55" t="s">
        <v>479</v>
      </c>
      <c r="BJ945" s="55" t="s">
        <v>176</v>
      </c>
      <c r="BK945" s="55" t="s">
        <v>5976</v>
      </c>
      <c r="BM945" s="192" t="s">
        <v>119</v>
      </c>
      <c r="BN945" s="55">
        <v>4</v>
      </c>
      <c r="BO945" s="55">
        <v>4</v>
      </c>
      <c r="BQ945" s="55" t="s">
        <v>315</v>
      </c>
      <c r="CB945" s="66">
        <v>3979</v>
      </c>
      <c r="CC945" s="66">
        <v>2632</v>
      </c>
      <c r="DB945" s="65">
        <f>(56+19)/2</f>
        <v>37.5</v>
      </c>
      <c r="DC945" s="65">
        <f>(35+6)/2</f>
        <v>20.5</v>
      </c>
      <c r="DF945" s="65" t="s">
        <v>651</v>
      </c>
      <c r="GI945" s="65">
        <v>245</v>
      </c>
      <c r="GJ945" s="65">
        <v>172</v>
      </c>
      <c r="GM945" s="65" t="s">
        <v>637</v>
      </c>
      <c r="GP945" s="292" t="s">
        <v>7494</v>
      </c>
      <c r="JU945" s="55" t="s">
        <v>701</v>
      </c>
    </row>
    <row r="946" spans="1:281" x14ac:dyDescent="0.25">
      <c r="A946" s="55">
        <v>945</v>
      </c>
      <c r="B946" s="12" t="s">
        <v>7067</v>
      </c>
      <c r="C946" s="155">
        <v>45</v>
      </c>
      <c r="D946" s="55" t="s">
        <v>3887</v>
      </c>
      <c r="E946" s="90" t="s">
        <v>633</v>
      </c>
      <c r="G946" s="55" t="s">
        <v>634</v>
      </c>
      <c r="H946" s="55">
        <v>2005</v>
      </c>
      <c r="I946" s="55">
        <v>1994</v>
      </c>
      <c r="J946" s="55" t="s">
        <v>282</v>
      </c>
      <c r="K946" s="55" t="s">
        <v>502</v>
      </c>
      <c r="L946" s="55" t="s">
        <v>2737</v>
      </c>
      <c r="M946" s="90">
        <v>40.19</v>
      </c>
      <c r="N946" s="90">
        <v>-103.17</v>
      </c>
      <c r="O946" s="90">
        <v>1384</v>
      </c>
      <c r="U946" s="55">
        <v>1</v>
      </c>
      <c r="V946" s="55" t="s">
        <v>1801</v>
      </c>
      <c r="Y946" s="55" t="s">
        <v>1916</v>
      </c>
      <c r="Z946" s="55" t="s">
        <v>1349</v>
      </c>
      <c r="AA946" s="90" t="s">
        <v>1677</v>
      </c>
      <c r="AH946" s="55" t="s">
        <v>6378</v>
      </c>
      <c r="AM946" s="55" t="s">
        <v>1305</v>
      </c>
      <c r="AN946" s="185" t="s">
        <v>241</v>
      </c>
      <c r="AO946" s="185" t="s">
        <v>5150</v>
      </c>
      <c r="AQ946" s="55" t="s">
        <v>553</v>
      </c>
      <c r="AR946" s="55" t="s">
        <v>116</v>
      </c>
      <c r="AS946" s="55" t="s">
        <v>116</v>
      </c>
      <c r="AU946" s="181" t="s">
        <v>7494</v>
      </c>
      <c r="AV946" s="185" t="s">
        <v>176</v>
      </c>
      <c r="AX946" s="185" t="s">
        <v>176</v>
      </c>
      <c r="AZ946" s="55" t="s">
        <v>635</v>
      </c>
      <c r="BA946" s="55" t="s">
        <v>635</v>
      </c>
      <c r="BB946" s="55" t="s">
        <v>2081</v>
      </c>
      <c r="BC946" s="55" t="s">
        <v>2081</v>
      </c>
      <c r="BD946" s="55" t="s">
        <v>176</v>
      </c>
      <c r="BE946" s="226" t="s">
        <v>636</v>
      </c>
      <c r="BF946" s="191" t="s">
        <v>479</v>
      </c>
      <c r="BG946" s="55" t="s">
        <v>479</v>
      </c>
      <c r="BH946" s="226" t="s">
        <v>636</v>
      </c>
      <c r="BI946" s="55" t="s">
        <v>479</v>
      </c>
      <c r="BJ946" s="55" t="s">
        <v>176</v>
      </c>
      <c r="BK946" s="55" t="s">
        <v>5976</v>
      </c>
      <c r="BM946" s="192" t="s">
        <v>119</v>
      </c>
      <c r="BN946" s="55">
        <v>4</v>
      </c>
      <c r="BO946" s="55">
        <v>4</v>
      </c>
      <c r="BQ946" s="55" t="s">
        <v>315</v>
      </c>
      <c r="GP946" s="292" t="s">
        <v>7494</v>
      </c>
      <c r="JU946" s="55" t="s">
        <v>701</v>
      </c>
    </row>
    <row r="947" spans="1:281" x14ac:dyDescent="0.25">
      <c r="A947" s="55">
        <v>946</v>
      </c>
      <c r="B947" s="12" t="s">
        <v>7067</v>
      </c>
      <c r="C947" s="155">
        <v>45</v>
      </c>
      <c r="D947" s="55" t="s">
        <v>3887</v>
      </c>
      <c r="E947" s="90" t="s">
        <v>633</v>
      </c>
      <c r="G947" s="55" t="s">
        <v>634</v>
      </c>
      <c r="H947" s="55">
        <v>2005</v>
      </c>
      <c r="I947" s="55">
        <v>1995</v>
      </c>
      <c r="J947" s="55" t="s">
        <v>282</v>
      </c>
      <c r="K947" s="55" t="s">
        <v>502</v>
      </c>
      <c r="L947" s="55" t="s">
        <v>2737</v>
      </c>
      <c r="M947" s="90">
        <v>40.19</v>
      </c>
      <c r="N947" s="90">
        <v>-103.17</v>
      </c>
      <c r="O947" s="90">
        <v>1384</v>
      </c>
      <c r="U947" s="55">
        <v>2</v>
      </c>
      <c r="V947" s="55" t="s">
        <v>1801</v>
      </c>
      <c r="Y947" s="55" t="s">
        <v>1916</v>
      </c>
      <c r="Z947" s="55" t="s">
        <v>1349</v>
      </c>
      <c r="AA947" s="90" t="s">
        <v>1677</v>
      </c>
      <c r="AH947" s="55" t="s">
        <v>6378</v>
      </c>
      <c r="AM947" s="55" t="s">
        <v>1305</v>
      </c>
      <c r="AN947" s="185" t="s">
        <v>1501</v>
      </c>
      <c r="AO947" s="185" t="s">
        <v>5150</v>
      </c>
      <c r="AP947" s="58" t="s">
        <v>5150</v>
      </c>
      <c r="AQ947" s="55" t="s">
        <v>553</v>
      </c>
      <c r="AR947" s="55" t="s">
        <v>116</v>
      </c>
      <c r="AS947" s="55" t="s">
        <v>116</v>
      </c>
      <c r="AU947" s="181" t="s">
        <v>7494</v>
      </c>
      <c r="AV947" s="185" t="s">
        <v>176</v>
      </c>
      <c r="AX947" s="185" t="s">
        <v>176</v>
      </c>
      <c r="AZ947" s="55" t="s">
        <v>635</v>
      </c>
      <c r="BA947" s="55" t="s">
        <v>635</v>
      </c>
      <c r="BB947" s="55" t="s">
        <v>2081</v>
      </c>
      <c r="BC947" s="55" t="s">
        <v>2081</v>
      </c>
      <c r="BD947" s="55" t="s">
        <v>176</v>
      </c>
      <c r="BE947" s="226" t="s">
        <v>636</v>
      </c>
      <c r="BF947" s="191" t="s">
        <v>479</v>
      </c>
      <c r="BG947" s="55" t="s">
        <v>479</v>
      </c>
      <c r="BH947" s="226" t="s">
        <v>636</v>
      </c>
      <c r="BI947" s="55" t="s">
        <v>479</v>
      </c>
      <c r="BJ947" s="55" t="s">
        <v>176</v>
      </c>
      <c r="BK947" s="55" t="s">
        <v>5976</v>
      </c>
      <c r="BM947" s="192" t="s">
        <v>119</v>
      </c>
      <c r="BN947" s="55">
        <v>4</v>
      </c>
      <c r="BO947" s="55">
        <v>4</v>
      </c>
      <c r="BQ947" s="55" t="s">
        <v>315</v>
      </c>
      <c r="CB947" s="66">
        <v>6032</v>
      </c>
      <c r="CC947" s="66">
        <v>3721</v>
      </c>
      <c r="DB947" s="65">
        <f>(23+5)/2</f>
        <v>14</v>
      </c>
      <c r="DC947" s="65">
        <f>(3+5)/2</f>
        <v>4</v>
      </c>
      <c r="DF947" s="65" t="s">
        <v>651</v>
      </c>
      <c r="GI947" s="65">
        <v>293</v>
      </c>
      <c r="GJ947" s="65">
        <v>202</v>
      </c>
      <c r="GM947" s="65" t="s">
        <v>637</v>
      </c>
      <c r="GP947" s="292" t="s">
        <v>7494</v>
      </c>
      <c r="JU947" s="55" t="s">
        <v>701</v>
      </c>
    </row>
    <row r="948" spans="1:281" x14ac:dyDescent="0.25">
      <c r="A948" s="55">
        <v>947</v>
      </c>
      <c r="B948" s="12" t="s">
        <v>7067</v>
      </c>
      <c r="C948" s="155">
        <v>45</v>
      </c>
      <c r="D948" s="55" t="s">
        <v>3887</v>
      </c>
      <c r="E948" s="90" t="s">
        <v>633</v>
      </c>
      <c r="G948" s="55" t="s">
        <v>634</v>
      </c>
      <c r="H948" s="55">
        <v>2005</v>
      </c>
      <c r="I948" s="55">
        <v>1995</v>
      </c>
      <c r="J948" s="55" t="s">
        <v>282</v>
      </c>
      <c r="K948" s="55" t="s">
        <v>502</v>
      </c>
      <c r="L948" s="55" t="s">
        <v>2737</v>
      </c>
      <c r="M948" s="90">
        <v>40.19</v>
      </c>
      <c r="N948" s="90">
        <v>-103.17</v>
      </c>
      <c r="O948" s="90">
        <v>1384</v>
      </c>
      <c r="U948" s="55">
        <v>2</v>
      </c>
      <c r="V948" s="55" t="s">
        <v>1801</v>
      </c>
      <c r="Y948" s="55" t="s">
        <v>1916</v>
      </c>
      <c r="Z948" s="55" t="s">
        <v>1349</v>
      </c>
      <c r="AA948" s="90" t="s">
        <v>1677</v>
      </c>
      <c r="AH948" s="55" t="s">
        <v>6378</v>
      </c>
      <c r="AM948" s="55" t="s">
        <v>1305</v>
      </c>
      <c r="AN948" s="185" t="s">
        <v>1502</v>
      </c>
      <c r="AO948" s="185" t="s">
        <v>5150</v>
      </c>
      <c r="AQ948" s="55" t="s">
        <v>553</v>
      </c>
      <c r="AR948" s="55" t="s">
        <v>116</v>
      </c>
      <c r="AS948" s="55" t="s">
        <v>116</v>
      </c>
      <c r="AU948" s="181" t="s">
        <v>7494</v>
      </c>
      <c r="AV948" s="185" t="s">
        <v>176</v>
      </c>
      <c r="AX948" s="185" t="s">
        <v>176</v>
      </c>
      <c r="AZ948" s="55" t="s">
        <v>635</v>
      </c>
      <c r="BA948" s="55" t="s">
        <v>635</v>
      </c>
      <c r="BB948" s="55" t="s">
        <v>2081</v>
      </c>
      <c r="BC948" s="55" t="s">
        <v>2081</v>
      </c>
      <c r="BD948" s="55" t="s">
        <v>176</v>
      </c>
      <c r="BE948" s="226" t="s">
        <v>636</v>
      </c>
      <c r="BF948" s="191" t="s">
        <v>479</v>
      </c>
      <c r="BG948" s="55" t="s">
        <v>479</v>
      </c>
      <c r="BH948" s="226" t="s">
        <v>636</v>
      </c>
      <c r="BI948" s="55" t="s">
        <v>479</v>
      </c>
      <c r="BJ948" s="55" t="s">
        <v>176</v>
      </c>
      <c r="BK948" s="55" t="s">
        <v>5976</v>
      </c>
      <c r="BM948" s="192" t="s">
        <v>119</v>
      </c>
      <c r="BN948" s="55">
        <v>4</v>
      </c>
      <c r="BO948" s="55">
        <v>4</v>
      </c>
      <c r="BQ948" s="55" t="s">
        <v>315</v>
      </c>
      <c r="CB948" s="66">
        <v>6032</v>
      </c>
      <c r="CC948" s="66">
        <v>4082</v>
      </c>
      <c r="DB948" s="65">
        <f>(23+5)/2</f>
        <v>14</v>
      </c>
      <c r="DC948" s="65">
        <f>(4+5)/2</f>
        <v>4.5</v>
      </c>
      <c r="DF948" s="65" t="s">
        <v>651</v>
      </c>
      <c r="GI948" s="65">
        <v>293</v>
      </c>
      <c r="GJ948" s="65">
        <v>202</v>
      </c>
      <c r="GM948" s="65" t="s">
        <v>637</v>
      </c>
      <c r="GP948" s="292" t="s">
        <v>7494</v>
      </c>
      <c r="JU948" s="55" t="s">
        <v>701</v>
      </c>
    </row>
    <row r="949" spans="1:281" x14ac:dyDescent="0.25">
      <c r="A949" s="55">
        <v>948</v>
      </c>
      <c r="B949" s="12" t="s">
        <v>7067</v>
      </c>
      <c r="C949" s="155">
        <v>45</v>
      </c>
      <c r="D949" s="55" t="s">
        <v>3887</v>
      </c>
      <c r="E949" s="90" t="s">
        <v>633</v>
      </c>
      <c r="G949" s="55" t="s">
        <v>634</v>
      </c>
      <c r="H949" s="55">
        <v>2005</v>
      </c>
      <c r="I949" s="55">
        <v>1995</v>
      </c>
      <c r="J949" s="55" t="s">
        <v>282</v>
      </c>
      <c r="K949" s="55" t="s">
        <v>502</v>
      </c>
      <c r="L949" s="55" t="s">
        <v>2737</v>
      </c>
      <c r="M949" s="90">
        <v>40.19</v>
      </c>
      <c r="N949" s="90">
        <v>-103.17</v>
      </c>
      <c r="O949" s="90">
        <v>1384</v>
      </c>
      <c r="U949" s="55">
        <v>2</v>
      </c>
      <c r="V949" s="55" t="s">
        <v>1801</v>
      </c>
      <c r="Y949" s="55" t="s">
        <v>1916</v>
      </c>
      <c r="Z949" s="55" t="s">
        <v>1349</v>
      </c>
      <c r="AA949" s="90" t="s">
        <v>1677</v>
      </c>
      <c r="AH949" s="55" t="s">
        <v>6378</v>
      </c>
      <c r="AM949" s="55" t="s">
        <v>1305</v>
      </c>
      <c r="AN949" s="185" t="s">
        <v>538</v>
      </c>
      <c r="AO949" s="185" t="s">
        <v>5150</v>
      </c>
      <c r="AQ949" s="55" t="s">
        <v>553</v>
      </c>
      <c r="AR949" s="55" t="s">
        <v>116</v>
      </c>
      <c r="AS949" s="55" t="s">
        <v>116</v>
      </c>
      <c r="AU949" s="181" t="s">
        <v>7494</v>
      </c>
      <c r="AV949" s="185" t="s">
        <v>176</v>
      </c>
      <c r="AX949" s="185" t="s">
        <v>176</v>
      </c>
      <c r="AZ949" s="55" t="s">
        <v>635</v>
      </c>
      <c r="BA949" s="55" t="s">
        <v>635</v>
      </c>
      <c r="BB949" s="55" t="s">
        <v>2081</v>
      </c>
      <c r="BC949" s="55" t="s">
        <v>2081</v>
      </c>
      <c r="BD949" s="55" t="s">
        <v>176</v>
      </c>
      <c r="BE949" s="226" t="s">
        <v>636</v>
      </c>
      <c r="BF949" s="191" t="s">
        <v>479</v>
      </c>
      <c r="BG949" s="55" t="s">
        <v>479</v>
      </c>
      <c r="BH949" s="226" t="s">
        <v>636</v>
      </c>
      <c r="BI949" s="55" t="s">
        <v>479</v>
      </c>
      <c r="BJ949" s="55" t="s">
        <v>176</v>
      </c>
      <c r="BK949" s="55" t="s">
        <v>5976</v>
      </c>
      <c r="BM949" s="192" t="s">
        <v>119</v>
      </c>
      <c r="BN949" s="55">
        <v>4</v>
      </c>
      <c r="BO949" s="55">
        <v>4</v>
      </c>
      <c r="BQ949" s="55" t="s">
        <v>315</v>
      </c>
      <c r="CB949" s="66">
        <v>6032</v>
      </c>
      <c r="CC949" s="66">
        <v>2632</v>
      </c>
      <c r="DB949" s="65">
        <f>(23+5)/2</f>
        <v>14</v>
      </c>
      <c r="DC949" s="65">
        <f>(2+5)/2</f>
        <v>3.5</v>
      </c>
      <c r="DF949" s="65" t="s">
        <v>651</v>
      </c>
      <c r="GI949" s="65">
        <v>293</v>
      </c>
      <c r="GJ949" s="65">
        <v>205</v>
      </c>
      <c r="GM949" s="65" t="s">
        <v>637</v>
      </c>
      <c r="GP949" s="292" t="s">
        <v>7494</v>
      </c>
      <c r="JU949" s="55" t="s">
        <v>701</v>
      </c>
    </row>
    <row r="950" spans="1:281" x14ac:dyDescent="0.25">
      <c r="A950" s="55">
        <v>949</v>
      </c>
      <c r="B950" s="12" t="s">
        <v>7067</v>
      </c>
      <c r="C950" s="155">
        <v>45</v>
      </c>
      <c r="D950" s="55" t="s">
        <v>3887</v>
      </c>
      <c r="E950" s="90" t="s">
        <v>633</v>
      </c>
      <c r="G950" s="55" t="s">
        <v>634</v>
      </c>
      <c r="H950" s="55">
        <v>2005</v>
      </c>
      <c r="I950" s="55">
        <v>1995</v>
      </c>
      <c r="J950" s="55" t="s">
        <v>282</v>
      </c>
      <c r="K950" s="55" t="s">
        <v>502</v>
      </c>
      <c r="L950" s="55" t="s">
        <v>2737</v>
      </c>
      <c r="M950" s="90">
        <v>40.19</v>
      </c>
      <c r="N950" s="90">
        <v>-103.17</v>
      </c>
      <c r="O950" s="90">
        <v>1384</v>
      </c>
      <c r="U950" s="55">
        <v>2</v>
      </c>
      <c r="V950" s="55" t="s">
        <v>1801</v>
      </c>
      <c r="Y950" s="55" t="s">
        <v>1916</v>
      </c>
      <c r="Z950" s="55" t="s">
        <v>1349</v>
      </c>
      <c r="AA950" s="90" t="s">
        <v>1677</v>
      </c>
      <c r="AH950" s="55" t="s">
        <v>6378</v>
      </c>
      <c r="AM950" s="55" t="s">
        <v>1305</v>
      </c>
      <c r="AN950" s="185" t="s">
        <v>241</v>
      </c>
      <c r="AO950" s="185" t="s">
        <v>5150</v>
      </c>
      <c r="AQ950" s="55" t="s">
        <v>553</v>
      </c>
      <c r="AR950" s="55" t="s">
        <v>116</v>
      </c>
      <c r="AS950" s="55" t="s">
        <v>116</v>
      </c>
      <c r="AU950" s="181" t="s">
        <v>7494</v>
      </c>
      <c r="AV950" s="185" t="s">
        <v>176</v>
      </c>
      <c r="AX950" s="185" t="s">
        <v>176</v>
      </c>
      <c r="AZ950" s="55" t="s">
        <v>635</v>
      </c>
      <c r="BA950" s="55" t="s">
        <v>635</v>
      </c>
      <c r="BB950" s="55" t="s">
        <v>2081</v>
      </c>
      <c r="BC950" s="55" t="s">
        <v>2081</v>
      </c>
      <c r="BD950" s="55" t="s">
        <v>176</v>
      </c>
      <c r="BE950" s="226" t="s">
        <v>636</v>
      </c>
      <c r="BF950" s="191" t="s">
        <v>479</v>
      </c>
      <c r="BG950" s="55" t="s">
        <v>479</v>
      </c>
      <c r="BH950" s="226" t="s">
        <v>636</v>
      </c>
      <c r="BI950" s="55" t="s">
        <v>479</v>
      </c>
      <c r="BJ950" s="55" t="s">
        <v>176</v>
      </c>
      <c r="BK950" s="55" t="s">
        <v>5976</v>
      </c>
      <c r="BM950" s="192" t="s">
        <v>119</v>
      </c>
      <c r="BN950" s="55">
        <v>4</v>
      </c>
      <c r="BO950" s="55">
        <v>4</v>
      </c>
      <c r="BQ950" s="55" t="s">
        <v>315</v>
      </c>
      <c r="GP950" s="292" t="s">
        <v>7494</v>
      </c>
      <c r="JU950" s="55" t="s">
        <v>701</v>
      </c>
    </row>
    <row r="951" spans="1:281" x14ac:dyDescent="0.25">
      <c r="A951" s="55">
        <v>950</v>
      </c>
      <c r="B951" s="12" t="s">
        <v>7067</v>
      </c>
      <c r="C951" s="155">
        <v>45</v>
      </c>
      <c r="D951" s="55" t="s">
        <v>3887</v>
      </c>
      <c r="E951" s="90" t="s">
        <v>633</v>
      </c>
      <c r="G951" s="55" t="s">
        <v>634</v>
      </c>
      <c r="H951" s="55">
        <v>2005</v>
      </c>
      <c r="I951" s="55">
        <v>1996</v>
      </c>
      <c r="J951" s="55" t="s">
        <v>282</v>
      </c>
      <c r="K951" s="55" t="s">
        <v>502</v>
      </c>
      <c r="L951" s="55" t="s">
        <v>2737</v>
      </c>
      <c r="M951" s="90">
        <v>40.19</v>
      </c>
      <c r="N951" s="90">
        <v>-103.17</v>
      </c>
      <c r="O951" s="90">
        <v>1384</v>
      </c>
      <c r="U951" s="55">
        <v>3</v>
      </c>
      <c r="V951" s="55" t="s">
        <v>1801</v>
      </c>
      <c r="Y951" s="55" t="s">
        <v>1916</v>
      </c>
      <c r="Z951" s="55" t="s">
        <v>1349</v>
      </c>
      <c r="AA951" s="90" t="s">
        <v>1677</v>
      </c>
      <c r="AH951" s="55" t="s">
        <v>6378</v>
      </c>
      <c r="AM951" s="55" t="s">
        <v>1305</v>
      </c>
      <c r="AN951" s="185" t="s">
        <v>1501</v>
      </c>
      <c r="AO951" s="185" t="s">
        <v>5150</v>
      </c>
      <c r="AP951" s="58" t="s">
        <v>5150</v>
      </c>
      <c r="AQ951" s="55" t="s">
        <v>553</v>
      </c>
      <c r="AR951" s="55" t="s">
        <v>116</v>
      </c>
      <c r="AS951" s="55" t="s">
        <v>116</v>
      </c>
      <c r="AU951" s="181" t="s">
        <v>7494</v>
      </c>
      <c r="AV951" s="185" t="s">
        <v>176</v>
      </c>
      <c r="AX951" s="185" t="s">
        <v>176</v>
      </c>
      <c r="AZ951" s="55" t="s">
        <v>635</v>
      </c>
      <c r="BA951" s="55" t="s">
        <v>635</v>
      </c>
      <c r="BB951" s="55" t="s">
        <v>2081</v>
      </c>
      <c r="BC951" s="55" t="s">
        <v>2081</v>
      </c>
      <c r="BD951" s="55" t="s">
        <v>176</v>
      </c>
      <c r="BE951" s="226" t="s">
        <v>636</v>
      </c>
      <c r="BF951" s="191" t="s">
        <v>479</v>
      </c>
      <c r="BG951" s="55" t="s">
        <v>479</v>
      </c>
      <c r="BH951" s="226" t="s">
        <v>636</v>
      </c>
      <c r="BI951" s="55" t="s">
        <v>479</v>
      </c>
      <c r="BJ951" s="55" t="s">
        <v>176</v>
      </c>
      <c r="BK951" s="55" t="s">
        <v>5976</v>
      </c>
      <c r="BM951" s="192" t="s">
        <v>119</v>
      </c>
      <c r="BN951" s="55">
        <v>4</v>
      </c>
      <c r="BO951" s="55">
        <v>4</v>
      </c>
      <c r="BQ951" s="55" t="s">
        <v>315</v>
      </c>
      <c r="CB951" s="66">
        <v>4149</v>
      </c>
      <c r="CC951" s="66">
        <v>2948</v>
      </c>
      <c r="DB951" s="65">
        <f>(60+14)/2</f>
        <v>37</v>
      </c>
      <c r="DC951" s="65">
        <f>(51+11)/2</f>
        <v>31</v>
      </c>
      <c r="DF951" s="65" t="s">
        <v>651</v>
      </c>
      <c r="GI951" s="65">
        <v>349</v>
      </c>
      <c r="GJ951" s="65">
        <v>239</v>
      </c>
      <c r="GM951" s="65" t="s">
        <v>637</v>
      </c>
      <c r="GP951" s="292" t="s">
        <v>7494</v>
      </c>
      <c r="JU951" s="55" t="s">
        <v>701</v>
      </c>
    </row>
    <row r="952" spans="1:281" x14ac:dyDescent="0.25">
      <c r="A952" s="55">
        <v>951</v>
      </c>
      <c r="B952" s="12" t="s">
        <v>7067</v>
      </c>
      <c r="C952" s="155">
        <v>45</v>
      </c>
      <c r="D952" s="55" t="s">
        <v>3887</v>
      </c>
      <c r="E952" s="90" t="s">
        <v>633</v>
      </c>
      <c r="G952" s="55" t="s">
        <v>634</v>
      </c>
      <c r="H952" s="55">
        <v>2005</v>
      </c>
      <c r="I952" s="55">
        <v>1996</v>
      </c>
      <c r="J952" s="55" t="s">
        <v>282</v>
      </c>
      <c r="K952" s="55" t="s">
        <v>502</v>
      </c>
      <c r="L952" s="55" t="s">
        <v>2737</v>
      </c>
      <c r="M952" s="90">
        <v>40.19</v>
      </c>
      <c r="N952" s="90">
        <v>-103.17</v>
      </c>
      <c r="O952" s="90">
        <v>1384</v>
      </c>
      <c r="U952" s="55">
        <v>3</v>
      </c>
      <c r="V952" s="55" t="s">
        <v>1801</v>
      </c>
      <c r="Y952" s="55" t="s">
        <v>1916</v>
      </c>
      <c r="Z952" s="55" t="s">
        <v>1349</v>
      </c>
      <c r="AA952" s="90" t="s">
        <v>1677</v>
      </c>
      <c r="AH952" s="55" t="s">
        <v>6378</v>
      </c>
      <c r="AM952" s="55" t="s">
        <v>1305</v>
      </c>
      <c r="AN952" s="185" t="s">
        <v>1502</v>
      </c>
      <c r="AO952" s="185" t="s">
        <v>5150</v>
      </c>
      <c r="AQ952" s="55" t="s">
        <v>553</v>
      </c>
      <c r="AR952" s="55" t="s">
        <v>116</v>
      </c>
      <c r="AS952" s="55" t="s">
        <v>116</v>
      </c>
      <c r="AU952" s="181" t="s">
        <v>7494</v>
      </c>
      <c r="AV952" s="185" t="s">
        <v>176</v>
      </c>
      <c r="AX952" s="185" t="s">
        <v>176</v>
      </c>
      <c r="AZ952" s="55" t="s">
        <v>635</v>
      </c>
      <c r="BA952" s="55" t="s">
        <v>635</v>
      </c>
      <c r="BB952" s="55" t="s">
        <v>2081</v>
      </c>
      <c r="BC952" s="55" t="s">
        <v>2081</v>
      </c>
      <c r="BD952" s="55" t="s">
        <v>176</v>
      </c>
      <c r="BE952" s="226" t="s">
        <v>636</v>
      </c>
      <c r="BF952" s="191" t="s">
        <v>479</v>
      </c>
      <c r="BG952" s="55" t="s">
        <v>479</v>
      </c>
      <c r="BH952" s="226" t="s">
        <v>636</v>
      </c>
      <c r="BI952" s="55" t="s">
        <v>479</v>
      </c>
      <c r="BJ952" s="55" t="s">
        <v>176</v>
      </c>
      <c r="BK952" s="55" t="s">
        <v>5976</v>
      </c>
      <c r="BM952" s="192" t="s">
        <v>119</v>
      </c>
      <c r="BN952" s="55">
        <v>4</v>
      </c>
      <c r="BO952" s="55">
        <v>4</v>
      </c>
      <c r="BQ952" s="55" t="s">
        <v>315</v>
      </c>
      <c r="CB952" s="66">
        <v>4149</v>
      </c>
      <c r="CC952" s="66">
        <v>3164</v>
      </c>
      <c r="DB952" s="65">
        <f>(60+14)/2</f>
        <v>37</v>
      </c>
      <c r="DC952" s="65">
        <f>(43+11)/2</f>
        <v>27</v>
      </c>
      <c r="DF952" s="65" t="s">
        <v>651</v>
      </c>
      <c r="GI952" s="65">
        <v>349</v>
      </c>
      <c r="GJ952" s="65">
        <v>261</v>
      </c>
      <c r="GM952" s="65" t="s">
        <v>637</v>
      </c>
      <c r="GP952" s="292" t="s">
        <v>7494</v>
      </c>
      <c r="JU952" s="55" t="s">
        <v>701</v>
      </c>
    </row>
    <row r="953" spans="1:281" x14ac:dyDescent="0.25">
      <c r="A953" s="55">
        <v>952</v>
      </c>
      <c r="B953" s="12" t="s">
        <v>7067</v>
      </c>
      <c r="C953" s="155">
        <v>45</v>
      </c>
      <c r="D953" s="55" t="s">
        <v>3887</v>
      </c>
      <c r="E953" s="90" t="s">
        <v>633</v>
      </c>
      <c r="G953" s="55" t="s">
        <v>634</v>
      </c>
      <c r="H953" s="55">
        <v>2005</v>
      </c>
      <c r="I953" s="55">
        <v>1996</v>
      </c>
      <c r="J953" s="55" t="s">
        <v>282</v>
      </c>
      <c r="K953" s="55" t="s">
        <v>502</v>
      </c>
      <c r="L953" s="55" t="s">
        <v>2737</v>
      </c>
      <c r="M953" s="90">
        <v>40.19</v>
      </c>
      <c r="N953" s="90">
        <v>-103.17</v>
      </c>
      <c r="O953" s="90">
        <v>1384</v>
      </c>
      <c r="U953" s="55">
        <v>3</v>
      </c>
      <c r="V953" s="55" t="s">
        <v>1801</v>
      </c>
      <c r="Y953" s="55" t="s">
        <v>1916</v>
      </c>
      <c r="Z953" s="55" t="s">
        <v>1349</v>
      </c>
      <c r="AA953" s="90" t="s">
        <v>1677</v>
      </c>
      <c r="AH953" s="55" t="s">
        <v>6378</v>
      </c>
      <c r="AM953" s="55" t="s">
        <v>1305</v>
      </c>
      <c r="AN953" s="185" t="s">
        <v>538</v>
      </c>
      <c r="AO953" s="185" t="s">
        <v>5150</v>
      </c>
      <c r="AQ953" s="55" t="s">
        <v>553</v>
      </c>
      <c r="AR953" s="55" t="s">
        <v>116</v>
      </c>
      <c r="AS953" s="55" t="s">
        <v>116</v>
      </c>
      <c r="AU953" s="181" t="s">
        <v>7494</v>
      </c>
      <c r="AV953" s="185" t="s">
        <v>176</v>
      </c>
      <c r="AX953" s="185" t="s">
        <v>176</v>
      </c>
      <c r="AZ953" s="55" t="s">
        <v>635</v>
      </c>
      <c r="BA953" s="55" t="s">
        <v>635</v>
      </c>
      <c r="BB953" s="55" t="s">
        <v>2081</v>
      </c>
      <c r="BC953" s="55" t="s">
        <v>2081</v>
      </c>
      <c r="BD953" s="55" t="s">
        <v>176</v>
      </c>
      <c r="BE953" s="226" t="s">
        <v>636</v>
      </c>
      <c r="BF953" s="191" t="s">
        <v>479</v>
      </c>
      <c r="BG953" s="55" t="s">
        <v>479</v>
      </c>
      <c r="BH953" s="226" t="s">
        <v>636</v>
      </c>
      <c r="BI953" s="55" t="s">
        <v>479</v>
      </c>
      <c r="BJ953" s="55" t="s">
        <v>176</v>
      </c>
      <c r="BK953" s="55" t="s">
        <v>5976</v>
      </c>
      <c r="BM953" s="192" t="s">
        <v>119</v>
      </c>
      <c r="BN953" s="55">
        <v>4</v>
      </c>
      <c r="BO953" s="55">
        <v>4</v>
      </c>
      <c r="BQ953" s="55" t="s">
        <v>315</v>
      </c>
      <c r="CB953" s="66">
        <v>4149</v>
      </c>
      <c r="CC953" s="66">
        <v>2749</v>
      </c>
      <c r="DB953" s="65">
        <f>(60+14)/2</f>
        <v>37</v>
      </c>
      <c r="DC953" s="65">
        <f>(42+10)/2</f>
        <v>26</v>
      </c>
      <c r="DF953" s="65" t="s">
        <v>651</v>
      </c>
      <c r="GI953" s="65">
        <v>349</v>
      </c>
      <c r="GJ953" s="65">
        <v>251</v>
      </c>
      <c r="GM953" s="65" t="s">
        <v>637</v>
      </c>
      <c r="GP953" s="292" t="s">
        <v>7494</v>
      </c>
      <c r="JU953" s="55" t="s">
        <v>701</v>
      </c>
    </row>
    <row r="954" spans="1:281" x14ac:dyDescent="0.25">
      <c r="A954" s="55">
        <v>953</v>
      </c>
      <c r="B954" s="12" t="s">
        <v>7067</v>
      </c>
      <c r="C954" s="155">
        <v>45</v>
      </c>
      <c r="D954" s="55" t="s">
        <v>3887</v>
      </c>
      <c r="E954" s="90" t="s">
        <v>633</v>
      </c>
      <c r="G954" s="55" t="s">
        <v>634</v>
      </c>
      <c r="H954" s="55">
        <v>2005</v>
      </c>
      <c r="I954" s="55">
        <v>1996</v>
      </c>
      <c r="J954" s="55" t="s">
        <v>282</v>
      </c>
      <c r="K954" s="55" t="s">
        <v>502</v>
      </c>
      <c r="L954" s="55" t="s">
        <v>2737</v>
      </c>
      <c r="M954" s="90">
        <v>40.19</v>
      </c>
      <c r="N954" s="90">
        <v>-103.17</v>
      </c>
      <c r="O954" s="90">
        <v>1384</v>
      </c>
      <c r="U954" s="55">
        <v>3</v>
      </c>
      <c r="V954" s="55" t="s">
        <v>1801</v>
      </c>
      <c r="Y954" s="55" t="s">
        <v>1916</v>
      </c>
      <c r="Z954" s="55" t="s">
        <v>1349</v>
      </c>
      <c r="AA954" s="90" t="s">
        <v>1677</v>
      </c>
      <c r="AH954" s="55" t="s">
        <v>6378</v>
      </c>
      <c r="AM954" s="55" t="s">
        <v>1305</v>
      </c>
      <c r="AN954" s="185" t="s">
        <v>241</v>
      </c>
      <c r="AO954" s="185" t="s">
        <v>5150</v>
      </c>
      <c r="AQ954" s="55" t="s">
        <v>553</v>
      </c>
      <c r="AR954" s="55" t="s">
        <v>116</v>
      </c>
      <c r="AS954" s="55" t="s">
        <v>116</v>
      </c>
      <c r="AU954" s="181" t="s">
        <v>7494</v>
      </c>
      <c r="AV954" s="185" t="s">
        <v>176</v>
      </c>
      <c r="AX954" s="185" t="s">
        <v>176</v>
      </c>
      <c r="AZ954" s="55" t="s">
        <v>635</v>
      </c>
      <c r="BA954" s="55" t="s">
        <v>635</v>
      </c>
      <c r="BB954" s="55" t="s">
        <v>2081</v>
      </c>
      <c r="BC954" s="55" t="s">
        <v>2081</v>
      </c>
      <c r="BD954" s="55" t="s">
        <v>176</v>
      </c>
      <c r="BE954" s="226" t="s">
        <v>636</v>
      </c>
      <c r="BF954" s="191" t="s">
        <v>479</v>
      </c>
      <c r="BG954" s="55" t="s">
        <v>479</v>
      </c>
      <c r="BH954" s="226" t="s">
        <v>636</v>
      </c>
      <c r="BI954" s="55" t="s">
        <v>479</v>
      </c>
      <c r="BJ954" s="55" t="s">
        <v>176</v>
      </c>
      <c r="BK954" s="55" t="s">
        <v>5976</v>
      </c>
      <c r="BM954" s="192" t="s">
        <v>119</v>
      </c>
      <c r="BN954" s="55">
        <v>4</v>
      </c>
      <c r="BO954" s="55">
        <v>4</v>
      </c>
      <c r="BQ954" s="55" t="s">
        <v>315</v>
      </c>
      <c r="GP954" s="292" t="s">
        <v>7494</v>
      </c>
      <c r="JU954" s="55" t="s">
        <v>701</v>
      </c>
    </row>
    <row r="955" spans="1:281" x14ac:dyDescent="0.25">
      <c r="A955" s="55">
        <v>954</v>
      </c>
      <c r="B955" s="12" t="s">
        <v>7067</v>
      </c>
      <c r="C955" s="155">
        <v>45</v>
      </c>
      <c r="D955" s="55" t="s">
        <v>3887</v>
      </c>
      <c r="E955" s="90" t="s">
        <v>633</v>
      </c>
      <c r="G955" s="55" t="s">
        <v>634</v>
      </c>
      <c r="H955" s="55">
        <v>2005</v>
      </c>
      <c r="I955" s="55">
        <v>1997</v>
      </c>
      <c r="J955" s="55" t="s">
        <v>282</v>
      </c>
      <c r="K955" s="55" t="s">
        <v>502</v>
      </c>
      <c r="L955" s="55" t="s">
        <v>2737</v>
      </c>
      <c r="M955" s="90">
        <v>40.19</v>
      </c>
      <c r="N955" s="90">
        <v>-103.17</v>
      </c>
      <c r="O955" s="90">
        <v>1384</v>
      </c>
      <c r="U955" s="55">
        <v>4</v>
      </c>
      <c r="V955" s="55" t="s">
        <v>1801</v>
      </c>
      <c r="Y955" s="55" t="s">
        <v>1916</v>
      </c>
      <c r="Z955" s="55" t="s">
        <v>1349</v>
      </c>
      <c r="AA955" s="90" t="s">
        <v>1677</v>
      </c>
      <c r="AH955" s="55" t="s">
        <v>6378</v>
      </c>
      <c r="AM955" s="55" t="s">
        <v>1305</v>
      </c>
      <c r="AN955" s="185" t="s">
        <v>1501</v>
      </c>
      <c r="AO955" s="185" t="s">
        <v>5150</v>
      </c>
      <c r="AP955" s="58" t="s">
        <v>5150</v>
      </c>
      <c r="AQ955" s="55" t="s">
        <v>553</v>
      </c>
      <c r="AR955" s="55" t="s">
        <v>116</v>
      </c>
      <c r="AS955" s="55" t="s">
        <v>116</v>
      </c>
      <c r="AU955" s="181" t="s">
        <v>7494</v>
      </c>
      <c r="AV955" s="185" t="s">
        <v>176</v>
      </c>
      <c r="AX955" s="185" t="s">
        <v>176</v>
      </c>
      <c r="AZ955" s="55" t="s">
        <v>635</v>
      </c>
      <c r="BA955" s="55" t="s">
        <v>635</v>
      </c>
      <c r="BB955" s="55" t="s">
        <v>2081</v>
      </c>
      <c r="BC955" s="55" t="s">
        <v>2081</v>
      </c>
      <c r="BD955" s="55" t="s">
        <v>176</v>
      </c>
      <c r="BE955" s="226" t="s">
        <v>636</v>
      </c>
      <c r="BF955" s="191" t="s">
        <v>479</v>
      </c>
      <c r="BG955" s="55" t="s">
        <v>479</v>
      </c>
      <c r="BH955" s="226" t="s">
        <v>636</v>
      </c>
      <c r="BI955" s="55" t="s">
        <v>479</v>
      </c>
      <c r="BJ955" s="55" t="s">
        <v>176</v>
      </c>
      <c r="BK955" s="55" t="s">
        <v>5976</v>
      </c>
      <c r="BM955" s="192" t="s">
        <v>119</v>
      </c>
      <c r="BN955" s="55">
        <v>4</v>
      </c>
      <c r="BO955" s="55">
        <v>4</v>
      </c>
      <c r="BQ955" s="55" t="s">
        <v>315</v>
      </c>
      <c r="CB955" s="66">
        <v>2453</v>
      </c>
      <c r="CC955" s="66">
        <v>1917</v>
      </c>
      <c r="DB955" s="65">
        <f>(64+19)/2</f>
        <v>41.5</v>
      </c>
      <c r="DC955" s="65">
        <f>(64+9)/2</f>
        <v>36.5</v>
      </c>
      <c r="DF955" s="65" t="s">
        <v>651</v>
      </c>
      <c r="GI955" s="65">
        <v>288</v>
      </c>
      <c r="GJ955" s="65">
        <v>219</v>
      </c>
      <c r="GM955" s="65" t="s">
        <v>637</v>
      </c>
      <c r="GP955" s="292" t="s">
        <v>7494</v>
      </c>
      <c r="JU955" s="55" t="s">
        <v>701</v>
      </c>
    </row>
    <row r="956" spans="1:281" x14ac:dyDescent="0.25">
      <c r="A956" s="55">
        <v>955</v>
      </c>
      <c r="B956" s="12" t="s">
        <v>7067</v>
      </c>
      <c r="C956" s="155">
        <v>45</v>
      </c>
      <c r="D956" s="55" t="s">
        <v>3887</v>
      </c>
      <c r="E956" s="90" t="s">
        <v>633</v>
      </c>
      <c r="G956" s="55" t="s">
        <v>634</v>
      </c>
      <c r="H956" s="55">
        <v>2005</v>
      </c>
      <c r="I956" s="55">
        <v>1997</v>
      </c>
      <c r="J956" s="55" t="s">
        <v>282</v>
      </c>
      <c r="K956" s="55" t="s">
        <v>502</v>
      </c>
      <c r="L956" s="55" t="s">
        <v>2737</v>
      </c>
      <c r="M956" s="90">
        <v>40.19</v>
      </c>
      <c r="N956" s="90">
        <v>-103.17</v>
      </c>
      <c r="O956" s="90">
        <v>1384</v>
      </c>
      <c r="U956" s="55">
        <v>4</v>
      </c>
      <c r="V956" s="55" t="s">
        <v>1801</v>
      </c>
      <c r="Y956" s="55" t="s">
        <v>1916</v>
      </c>
      <c r="Z956" s="55" t="s">
        <v>1349</v>
      </c>
      <c r="AA956" s="90" t="s">
        <v>1677</v>
      </c>
      <c r="AH956" s="55" t="s">
        <v>6378</v>
      </c>
      <c r="AM956" s="55" t="s">
        <v>1305</v>
      </c>
      <c r="AN956" s="185" t="s">
        <v>1502</v>
      </c>
      <c r="AO956" s="185" t="s">
        <v>5150</v>
      </c>
      <c r="AQ956" s="55" t="s">
        <v>553</v>
      </c>
      <c r="AR956" s="55" t="s">
        <v>116</v>
      </c>
      <c r="AS956" s="55" t="s">
        <v>116</v>
      </c>
      <c r="AU956" s="181" t="s">
        <v>7494</v>
      </c>
      <c r="AV956" s="185" t="s">
        <v>176</v>
      </c>
      <c r="AX956" s="185" t="s">
        <v>176</v>
      </c>
      <c r="AZ956" s="55" t="s">
        <v>635</v>
      </c>
      <c r="BA956" s="55" t="s">
        <v>635</v>
      </c>
      <c r="BB956" s="55" t="s">
        <v>2081</v>
      </c>
      <c r="BC956" s="55" t="s">
        <v>2081</v>
      </c>
      <c r="BD956" s="55" t="s">
        <v>176</v>
      </c>
      <c r="BE956" s="226" t="s">
        <v>636</v>
      </c>
      <c r="BF956" s="191" t="s">
        <v>479</v>
      </c>
      <c r="BG956" s="55" t="s">
        <v>479</v>
      </c>
      <c r="BH956" s="226" t="s">
        <v>636</v>
      </c>
      <c r="BI956" s="55" t="s">
        <v>479</v>
      </c>
      <c r="BJ956" s="55" t="s">
        <v>176</v>
      </c>
      <c r="BK956" s="55" t="s">
        <v>5976</v>
      </c>
      <c r="BM956" s="192" t="s">
        <v>119</v>
      </c>
      <c r="BN956" s="55">
        <v>4</v>
      </c>
      <c r="BO956" s="55">
        <v>4</v>
      </c>
      <c r="BQ956" s="55" t="s">
        <v>315</v>
      </c>
      <c r="CB956" s="66">
        <v>2453</v>
      </c>
      <c r="CC956" s="66">
        <v>2024</v>
      </c>
      <c r="DB956" s="65">
        <f>(64+19)/2</f>
        <v>41.5</v>
      </c>
      <c r="DC956" s="65">
        <f>(45+9)/2</f>
        <v>27</v>
      </c>
      <c r="DF956" s="65" t="s">
        <v>651</v>
      </c>
      <c r="GI956" s="65">
        <v>288</v>
      </c>
      <c r="GJ956" s="65">
        <v>207</v>
      </c>
      <c r="GM956" s="65" t="s">
        <v>637</v>
      </c>
      <c r="GP956" s="292" t="s">
        <v>7494</v>
      </c>
      <c r="JU956" s="55" t="s">
        <v>701</v>
      </c>
    </row>
    <row r="957" spans="1:281" x14ac:dyDescent="0.25">
      <c r="A957" s="55">
        <v>956</v>
      </c>
      <c r="B957" s="12" t="s">
        <v>7067</v>
      </c>
      <c r="C957" s="155">
        <v>45</v>
      </c>
      <c r="D957" s="55" t="s">
        <v>3887</v>
      </c>
      <c r="E957" s="90" t="s">
        <v>633</v>
      </c>
      <c r="G957" s="55" t="s">
        <v>634</v>
      </c>
      <c r="H957" s="55">
        <v>2005</v>
      </c>
      <c r="I957" s="55">
        <v>1997</v>
      </c>
      <c r="J957" s="55" t="s">
        <v>282</v>
      </c>
      <c r="K957" s="55" t="s">
        <v>502</v>
      </c>
      <c r="L957" s="55" t="s">
        <v>2737</v>
      </c>
      <c r="M957" s="90">
        <v>40.19</v>
      </c>
      <c r="N957" s="90">
        <v>-103.17</v>
      </c>
      <c r="O957" s="90">
        <v>1384</v>
      </c>
      <c r="U957" s="55">
        <v>4</v>
      </c>
      <c r="V957" s="55" t="s">
        <v>1801</v>
      </c>
      <c r="Y957" s="55" t="s">
        <v>1916</v>
      </c>
      <c r="Z957" s="55" t="s">
        <v>1349</v>
      </c>
      <c r="AA957" s="90" t="s">
        <v>1677</v>
      </c>
      <c r="AH957" s="55" t="s">
        <v>6378</v>
      </c>
      <c r="AM957" s="55" t="s">
        <v>1305</v>
      </c>
      <c r="AN957" s="185" t="s">
        <v>538</v>
      </c>
      <c r="AO957" s="185" t="s">
        <v>5150</v>
      </c>
      <c r="AQ957" s="55" t="s">
        <v>553</v>
      </c>
      <c r="AR957" s="55" t="s">
        <v>116</v>
      </c>
      <c r="AS957" s="55" t="s">
        <v>116</v>
      </c>
      <c r="AU957" s="181" t="s">
        <v>7494</v>
      </c>
      <c r="AV957" s="185" t="s">
        <v>176</v>
      </c>
      <c r="AX957" s="185" t="s">
        <v>176</v>
      </c>
      <c r="AZ957" s="55" t="s">
        <v>635</v>
      </c>
      <c r="BA957" s="55" t="s">
        <v>635</v>
      </c>
      <c r="BB957" s="55" t="s">
        <v>2081</v>
      </c>
      <c r="BC957" s="55" t="s">
        <v>2081</v>
      </c>
      <c r="BD957" s="55" t="s">
        <v>176</v>
      </c>
      <c r="BE957" s="226" t="s">
        <v>636</v>
      </c>
      <c r="BF957" s="191" t="s">
        <v>479</v>
      </c>
      <c r="BG957" s="55" t="s">
        <v>479</v>
      </c>
      <c r="BH957" s="226" t="s">
        <v>636</v>
      </c>
      <c r="BI957" s="55" t="s">
        <v>479</v>
      </c>
      <c r="BJ957" s="55" t="s">
        <v>176</v>
      </c>
      <c r="BK957" s="55" t="s">
        <v>5976</v>
      </c>
      <c r="BM957" s="192" t="s">
        <v>119</v>
      </c>
      <c r="BN957" s="55">
        <v>4</v>
      </c>
      <c r="BO957" s="55">
        <v>4</v>
      </c>
      <c r="BQ957" s="55" t="s">
        <v>315</v>
      </c>
      <c r="GP957" s="292" t="s">
        <v>7494</v>
      </c>
      <c r="JU957" s="55" t="s">
        <v>701</v>
      </c>
    </row>
    <row r="958" spans="1:281" x14ac:dyDescent="0.25">
      <c r="A958" s="55">
        <v>957</v>
      </c>
      <c r="B958" s="12" t="s">
        <v>7067</v>
      </c>
      <c r="C958" s="155">
        <v>45</v>
      </c>
      <c r="D958" s="55" t="s">
        <v>3887</v>
      </c>
      <c r="E958" s="90" t="s">
        <v>633</v>
      </c>
      <c r="G958" s="55" t="s">
        <v>634</v>
      </c>
      <c r="H958" s="55">
        <v>2005</v>
      </c>
      <c r="I958" s="55">
        <v>1997</v>
      </c>
      <c r="J958" s="55" t="s">
        <v>282</v>
      </c>
      <c r="K958" s="55" t="s">
        <v>502</v>
      </c>
      <c r="L958" s="55" t="s">
        <v>2737</v>
      </c>
      <c r="M958" s="90">
        <v>40.19</v>
      </c>
      <c r="N958" s="90">
        <v>-103.17</v>
      </c>
      <c r="O958" s="90">
        <v>1384</v>
      </c>
      <c r="U958" s="55">
        <v>4</v>
      </c>
      <c r="V958" s="55" t="s">
        <v>1801</v>
      </c>
      <c r="Y958" s="55" t="s">
        <v>1916</v>
      </c>
      <c r="Z958" s="55" t="s">
        <v>1349</v>
      </c>
      <c r="AA958" s="90" t="s">
        <v>1677</v>
      </c>
      <c r="AH958" s="55" t="s">
        <v>6378</v>
      </c>
      <c r="AM958" s="55" t="s">
        <v>1305</v>
      </c>
      <c r="AN958" s="185" t="s">
        <v>241</v>
      </c>
      <c r="AO958" s="185" t="s">
        <v>5150</v>
      </c>
      <c r="AQ958" s="55" t="s">
        <v>553</v>
      </c>
      <c r="AR958" s="55" t="s">
        <v>116</v>
      </c>
      <c r="AS958" s="55" t="s">
        <v>116</v>
      </c>
      <c r="AU958" s="181" t="s">
        <v>7494</v>
      </c>
      <c r="AV958" s="185" t="s">
        <v>176</v>
      </c>
      <c r="AX958" s="185" t="s">
        <v>176</v>
      </c>
      <c r="AZ958" s="55" t="s">
        <v>635</v>
      </c>
      <c r="BA958" s="55" t="s">
        <v>635</v>
      </c>
      <c r="BB958" s="55" t="s">
        <v>2081</v>
      </c>
      <c r="BC958" s="55" t="s">
        <v>2081</v>
      </c>
      <c r="BD958" s="55" t="s">
        <v>176</v>
      </c>
      <c r="BE958" s="226" t="s">
        <v>636</v>
      </c>
      <c r="BF958" s="191" t="s">
        <v>479</v>
      </c>
      <c r="BG958" s="55" t="s">
        <v>479</v>
      </c>
      <c r="BH958" s="226" t="s">
        <v>636</v>
      </c>
      <c r="BI958" s="55" t="s">
        <v>479</v>
      </c>
      <c r="BJ958" s="55" t="s">
        <v>176</v>
      </c>
      <c r="BK958" s="55" t="s">
        <v>5976</v>
      </c>
      <c r="BM958" s="192" t="s">
        <v>119</v>
      </c>
      <c r="BN958" s="55">
        <v>4</v>
      </c>
      <c r="BO958" s="55">
        <v>4</v>
      </c>
      <c r="BQ958" s="55" t="s">
        <v>315</v>
      </c>
      <c r="CB958" s="66">
        <v>2453</v>
      </c>
      <c r="CC958" s="66">
        <v>1857</v>
      </c>
      <c r="DB958" s="65">
        <f>(64+19)/2</f>
        <v>41.5</v>
      </c>
      <c r="DC958" s="65">
        <f>(58+10)/2</f>
        <v>34</v>
      </c>
      <c r="DF958" s="65" t="s">
        <v>651</v>
      </c>
      <c r="GI958" s="65">
        <v>288</v>
      </c>
      <c r="GJ958" s="65">
        <v>205</v>
      </c>
      <c r="GM958" s="65" t="s">
        <v>637</v>
      </c>
      <c r="GP958" s="292" t="s">
        <v>7494</v>
      </c>
      <c r="JU958" s="55" t="s">
        <v>701</v>
      </c>
    </row>
    <row r="959" spans="1:281" x14ac:dyDescent="0.25">
      <c r="A959" s="55">
        <v>958</v>
      </c>
      <c r="B959" s="12" t="s">
        <v>7067</v>
      </c>
      <c r="C959" s="155">
        <v>45</v>
      </c>
      <c r="D959" s="55" t="s">
        <v>3887</v>
      </c>
      <c r="E959" s="90" t="s">
        <v>633</v>
      </c>
      <c r="G959" s="55" t="s">
        <v>634</v>
      </c>
      <c r="H959" s="55">
        <v>2005</v>
      </c>
      <c r="I959" s="55">
        <v>1998</v>
      </c>
      <c r="J959" s="55" t="s">
        <v>282</v>
      </c>
      <c r="K959" s="55" t="s">
        <v>502</v>
      </c>
      <c r="L959" s="55" t="s">
        <v>2737</v>
      </c>
      <c r="M959" s="90">
        <v>40.19</v>
      </c>
      <c r="N959" s="90">
        <v>-103.17</v>
      </c>
      <c r="O959" s="90">
        <v>1384</v>
      </c>
      <c r="U959" s="55">
        <v>5</v>
      </c>
      <c r="V959" s="55" t="s">
        <v>1801</v>
      </c>
      <c r="Y959" s="55" t="s">
        <v>1916</v>
      </c>
      <c r="Z959" s="55" t="s">
        <v>1349</v>
      </c>
      <c r="AA959" s="90" t="s">
        <v>1677</v>
      </c>
      <c r="AH959" s="55" t="s">
        <v>6378</v>
      </c>
      <c r="AM959" s="55" t="s">
        <v>1305</v>
      </c>
      <c r="AN959" s="185" t="s">
        <v>1501</v>
      </c>
      <c r="AO959" s="185" t="s">
        <v>5150</v>
      </c>
      <c r="AP959" s="58" t="s">
        <v>5150</v>
      </c>
      <c r="AQ959" s="55" t="s">
        <v>553</v>
      </c>
      <c r="AR959" s="55" t="s">
        <v>116</v>
      </c>
      <c r="AS959" s="55" t="s">
        <v>116</v>
      </c>
      <c r="AU959" s="181" t="s">
        <v>7494</v>
      </c>
      <c r="AV959" s="185" t="s">
        <v>176</v>
      </c>
      <c r="AX959" s="185" t="s">
        <v>176</v>
      </c>
      <c r="AZ959" s="55" t="s">
        <v>635</v>
      </c>
      <c r="BA959" s="55" t="s">
        <v>635</v>
      </c>
      <c r="BB959" s="55" t="s">
        <v>2081</v>
      </c>
      <c r="BC959" s="55" t="s">
        <v>2081</v>
      </c>
      <c r="BD959" s="55" t="s">
        <v>176</v>
      </c>
      <c r="BE959" s="226" t="s">
        <v>636</v>
      </c>
      <c r="BF959" s="191" t="s">
        <v>479</v>
      </c>
      <c r="BG959" s="55" t="s">
        <v>479</v>
      </c>
      <c r="BH959" s="226" t="s">
        <v>636</v>
      </c>
      <c r="BI959" s="55" t="s">
        <v>479</v>
      </c>
      <c r="BJ959" s="55" t="s">
        <v>176</v>
      </c>
      <c r="BK959" s="55" t="s">
        <v>5976</v>
      </c>
      <c r="BM959" s="192" t="s">
        <v>119</v>
      </c>
      <c r="BN959" s="55">
        <v>4</v>
      </c>
      <c r="BO959" s="55">
        <v>4</v>
      </c>
      <c r="BQ959" s="55" t="s">
        <v>315</v>
      </c>
      <c r="CB959" s="66">
        <v>4470</v>
      </c>
      <c r="CC959" s="66">
        <v>2327</v>
      </c>
      <c r="DB959" s="65">
        <f>(25+10)/2</f>
        <v>17.5</v>
      </c>
      <c r="DC959" s="65">
        <f>(34+10)/2</f>
        <v>22</v>
      </c>
      <c r="DF959" s="65" t="s">
        <v>651</v>
      </c>
      <c r="GI959" s="65">
        <v>283</v>
      </c>
      <c r="GJ959" s="65">
        <v>158</v>
      </c>
      <c r="GM959" s="65" t="s">
        <v>637</v>
      </c>
      <c r="GP959" s="292" t="s">
        <v>7494</v>
      </c>
      <c r="JU959" s="55" t="s">
        <v>701</v>
      </c>
    </row>
    <row r="960" spans="1:281" x14ac:dyDescent="0.25">
      <c r="A960" s="55">
        <v>959</v>
      </c>
      <c r="B960" s="12" t="s">
        <v>7067</v>
      </c>
      <c r="C960" s="155">
        <v>45</v>
      </c>
      <c r="D960" s="55" t="s">
        <v>3887</v>
      </c>
      <c r="E960" s="90" t="s">
        <v>633</v>
      </c>
      <c r="G960" s="55" t="s">
        <v>634</v>
      </c>
      <c r="H960" s="55">
        <v>2005</v>
      </c>
      <c r="I960" s="55">
        <v>1998</v>
      </c>
      <c r="J960" s="55" t="s">
        <v>282</v>
      </c>
      <c r="K960" s="55" t="s">
        <v>502</v>
      </c>
      <c r="L960" s="55" t="s">
        <v>2737</v>
      </c>
      <c r="M960" s="90">
        <v>40.19</v>
      </c>
      <c r="N960" s="90">
        <v>-103.17</v>
      </c>
      <c r="O960" s="90">
        <v>1384</v>
      </c>
      <c r="U960" s="55">
        <v>5</v>
      </c>
      <c r="V960" s="55" t="s">
        <v>1801</v>
      </c>
      <c r="Y960" s="55" t="s">
        <v>1916</v>
      </c>
      <c r="Z960" s="55" t="s">
        <v>1349</v>
      </c>
      <c r="AA960" s="90" t="s">
        <v>1677</v>
      </c>
      <c r="AH960" s="55" t="s">
        <v>6378</v>
      </c>
      <c r="AM960" s="55" t="s">
        <v>1305</v>
      </c>
      <c r="AN960" s="185" t="s">
        <v>1502</v>
      </c>
      <c r="AO960" s="185" t="s">
        <v>5150</v>
      </c>
      <c r="AQ960" s="55" t="s">
        <v>553</v>
      </c>
      <c r="AR960" s="55" t="s">
        <v>116</v>
      </c>
      <c r="AS960" s="55" t="s">
        <v>116</v>
      </c>
      <c r="AU960" s="181" t="s">
        <v>7494</v>
      </c>
      <c r="AV960" s="185" t="s">
        <v>176</v>
      </c>
      <c r="AX960" s="185" t="s">
        <v>176</v>
      </c>
      <c r="AZ960" s="55" t="s">
        <v>635</v>
      </c>
      <c r="BA960" s="55" t="s">
        <v>635</v>
      </c>
      <c r="BB960" s="55" t="s">
        <v>2081</v>
      </c>
      <c r="BC960" s="55" t="s">
        <v>2081</v>
      </c>
      <c r="BD960" s="55" t="s">
        <v>176</v>
      </c>
      <c r="BE960" s="226" t="s">
        <v>636</v>
      </c>
      <c r="BF960" s="191" t="s">
        <v>479</v>
      </c>
      <c r="BG960" s="55" t="s">
        <v>479</v>
      </c>
      <c r="BH960" s="226" t="s">
        <v>636</v>
      </c>
      <c r="BI960" s="55" t="s">
        <v>479</v>
      </c>
      <c r="BJ960" s="55" t="s">
        <v>176</v>
      </c>
      <c r="BK960" s="55" t="s">
        <v>5976</v>
      </c>
      <c r="BM960" s="192" t="s">
        <v>119</v>
      </c>
      <c r="BN960" s="55">
        <v>4</v>
      </c>
      <c r="BO960" s="55">
        <v>4</v>
      </c>
      <c r="BQ960" s="55" t="s">
        <v>315</v>
      </c>
      <c r="CB960" s="66">
        <v>4470</v>
      </c>
      <c r="CC960" s="66">
        <v>2269</v>
      </c>
      <c r="DB960" s="65">
        <f>(25+10)/2</f>
        <v>17.5</v>
      </c>
      <c r="DC960" s="65">
        <f>(24+11)/2</f>
        <v>17.5</v>
      </c>
      <c r="DF960" s="65" t="s">
        <v>651</v>
      </c>
      <c r="GI960" s="65">
        <v>283</v>
      </c>
      <c r="GJ960" s="65">
        <v>216</v>
      </c>
      <c r="GM960" s="65" t="s">
        <v>637</v>
      </c>
      <c r="GP960" s="292" t="s">
        <v>7494</v>
      </c>
      <c r="JU960" s="55" t="s">
        <v>701</v>
      </c>
    </row>
    <row r="961" spans="1:282" x14ac:dyDescent="0.25">
      <c r="A961" s="55">
        <v>960</v>
      </c>
      <c r="B961" s="12" t="s">
        <v>7067</v>
      </c>
      <c r="C961" s="155">
        <v>45</v>
      </c>
      <c r="D961" s="55" t="s">
        <v>3887</v>
      </c>
      <c r="E961" s="90" t="s">
        <v>633</v>
      </c>
      <c r="G961" s="55" t="s">
        <v>634</v>
      </c>
      <c r="H961" s="55">
        <v>2005</v>
      </c>
      <c r="I961" s="55">
        <v>1998</v>
      </c>
      <c r="J961" s="55" t="s">
        <v>282</v>
      </c>
      <c r="K961" s="55" t="s">
        <v>502</v>
      </c>
      <c r="L961" s="55" t="s">
        <v>2737</v>
      </c>
      <c r="M961" s="90">
        <v>40.19</v>
      </c>
      <c r="N961" s="90">
        <v>-103.17</v>
      </c>
      <c r="O961" s="90">
        <v>1384</v>
      </c>
      <c r="U961" s="55">
        <v>5</v>
      </c>
      <c r="V961" s="55" t="s">
        <v>1801</v>
      </c>
      <c r="Y961" s="55" t="s">
        <v>1916</v>
      </c>
      <c r="Z961" s="55" t="s">
        <v>1349</v>
      </c>
      <c r="AA961" s="90" t="s">
        <v>1677</v>
      </c>
      <c r="AH961" s="55" t="s">
        <v>6378</v>
      </c>
      <c r="AM961" s="55" t="s">
        <v>1305</v>
      </c>
      <c r="AN961" s="185" t="s">
        <v>538</v>
      </c>
      <c r="AO961" s="185" t="s">
        <v>5150</v>
      </c>
      <c r="AQ961" s="55" t="s">
        <v>553</v>
      </c>
      <c r="AR961" s="55" t="s">
        <v>116</v>
      </c>
      <c r="AS961" s="55" t="s">
        <v>116</v>
      </c>
      <c r="AU961" s="181" t="s">
        <v>7494</v>
      </c>
      <c r="AV961" s="185" t="s">
        <v>176</v>
      </c>
      <c r="AX961" s="185" t="s">
        <v>176</v>
      </c>
      <c r="AZ961" s="55" t="s">
        <v>635</v>
      </c>
      <c r="BA961" s="55" t="s">
        <v>635</v>
      </c>
      <c r="BB961" s="55" t="s">
        <v>2081</v>
      </c>
      <c r="BC961" s="55" t="s">
        <v>2081</v>
      </c>
      <c r="BD961" s="55" t="s">
        <v>176</v>
      </c>
      <c r="BE961" s="226" t="s">
        <v>636</v>
      </c>
      <c r="BF961" s="191" t="s">
        <v>479</v>
      </c>
      <c r="BG961" s="55" t="s">
        <v>479</v>
      </c>
      <c r="BH961" s="226" t="s">
        <v>636</v>
      </c>
      <c r="BI961" s="55" t="s">
        <v>479</v>
      </c>
      <c r="BJ961" s="55" t="s">
        <v>176</v>
      </c>
      <c r="BK961" s="55" t="s">
        <v>5976</v>
      </c>
      <c r="BM961" s="192" t="s">
        <v>119</v>
      </c>
      <c r="BN961" s="55">
        <v>4</v>
      </c>
      <c r="BO961" s="55">
        <v>4</v>
      </c>
      <c r="BQ961" s="55" t="s">
        <v>315</v>
      </c>
      <c r="GP961" s="292" t="s">
        <v>7494</v>
      </c>
      <c r="JU961" s="55" t="s">
        <v>701</v>
      </c>
    </row>
    <row r="962" spans="1:282" x14ac:dyDescent="0.25">
      <c r="A962" s="55">
        <v>961</v>
      </c>
      <c r="B962" s="12" t="s">
        <v>7067</v>
      </c>
      <c r="C962" s="155">
        <v>45</v>
      </c>
      <c r="D962" s="55" t="s">
        <v>3887</v>
      </c>
      <c r="E962" s="90" t="s">
        <v>633</v>
      </c>
      <c r="G962" s="55" t="s">
        <v>634</v>
      </c>
      <c r="H962" s="55">
        <v>2005</v>
      </c>
      <c r="I962" s="55">
        <v>1998</v>
      </c>
      <c r="J962" s="55" t="s">
        <v>282</v>
      </c>
      <c r="K962" s="55" t="s">
        <v>502</v>
      </c>
      <c r="L962" s="55" t="s">
        <v>2737</v>
      </c>
      <c r="M962" s="90">
        <v>40.19</v>
      </c>
      <c r="N962" s="90">
        <v>-103.17</v>
      </c>
      <c r="O962" s="90">
        <v>1384</v>
      </c>
      <c r="U962" s="55">
        <v>5</v>
      </c>
      <c r="V962" s="55" t="s">
        <v>1801</v>
      </c>
      <c r="Y962" s="55" t="s">
        <v>1916</v>
      </c>
      <c r="Z962" s="55" t="s">
        <v>1349</v>
      </c>
      <c r="AA962" s="90" t="s">
        <v>1677</v>
      </c>
      <c r="AH962" s="55" t="s">
        <v>6378</v>
      </c>
      <c r="AM962" s="55" t="s">
        <v>1305</v>
      </c>
      <c r="AN962" s="185" t="s">
        <v>241</v>
      </c>
      <c r="AO962" s="185" t="s">
        <v>5150</v>
      </c>
      <c r="AQ962" s="55" t="s">
        <v>553</v>
      </c>
      <c r="AR962" s="55" t="s">
        <v>116</v>
      </c>
      <c r="AS962" s="55" t="s">
        <v>116</v>
      </c>
      <c r="AU962" s="181" t="s">
        <v>7494</v>
      </c>
      <c r="AV962" s="185" t="s">
        <v>176</v>
      </c>
      <c r="AX962" s="185" t="s">
        <v>176</v>
      </c>
      <c r="AZ962" s="55" t="s">
        <v>635</v>
      </c>
      <c r="BA962" s="55" t="s">
        <v>635</v>
      </c>
      <c r="BB962" s="55" t="s">
        <v>2081</v>
      </c>
      <c r="BC962" s="55" t="s">
        <v>2081</v>
      </c>
      <c r="BD962" s="55" t="s">
        <v>176</v>
      </c>
      <c r="BE962" s="226" t="s">
        <v>636</v>
      </c>
      <c r="BF962" s="191" t="s">
        <v>479</v>
      </c>
      <c r="BG962" s="55" t="s">
        <v>479</v>
      </c>
      <c r="BH962" s="226" t="s">
        <v>636</v>
      </c>
      <c r="BI962" s="55" t="s">
        <v>479</v>
      </c>
      <c r="BJ962" s="55" t="s">
        <v>176</v>
      </c>
      <c r="BK962" s="55" t="s">
        <v>5976</v>
      </c>
      <c r="BM962" s="192" t="s">
        <v>119</v>
      </c>
      <c r="BN962" s="55">
        <v>4</v>
      </c>
      <c r="BO962" s="55">
        <v>4</v>
      </c>
      <c r="BQ962" s="55" t="s">
        <v>315</v>
      </c>
      <c r="CB962" s="66">
        <v>4470</v>
      </c>
      <c r="CC962" s="66">
        <v>2293</v>
      </c>
      <c r="DB962" s="65">
        <f>(25+10)/2</f>
        <v>17.5</v>
      </c>
      <c r="DC962" s="65">
        <f>(32+11)/2</f>
        <v>21.5</v>
      </c>
      <c r="DF962" s="65" t="s">
        <v>651</v>
      </c>
      <c r="GI962" s="65">
        <v>283</v>
      </c>
      <c r="GJ962" s="65">
        <v>165</v>
      </c>
      <c r="GM962" s="65" t="s">
        <v>637</v>
      </c>
      <c r="GP962" s="292" t="s">
        <v>7494</v>
      </c>
      <c r="JU962" s="55" t="s">
        <v>701</v>
      </c>
    </row>
    <row r="963" spans="1:282" x14ac:dyDescent="0.25">
      <c r="A963" s="55">
        <v>962</v>
      </c>
      <c r="B963" s="12" t="s">
        <v>7067</v>
      </c>
      <c r="C963" s="155">
        <v>45</v>
      </c>
      <c r="D963" s="55" t="s">
        <v>3887</v>
      </c>
      <c r="E963" s="90" t="s">
        <v>633</v>
      </c>
      <c r="G963" s="55" t="s">
        <v>634</v>
      </c>
      <c r="H963" s="55">
        <v>2005</v>
      </c>
      <c r="I963" s="55">
        <v>1999</v>
      </c>
      <c r="J963" s="55" t="s">
        <v>282</v>
      </c>
      <c r="K963" s="55" t="s">
        <v>502</v>
      </c>
      <c r="L963" s="55" t="s">
        <v>2737</v>
      </c>
      <c r="M963" s="90">
        <v>40.19</v>
      </c>
      <c r="N963" s="90">
        <v>-103.17</v>
      </c>
      <c r="O963" s="90">
        <v>1384</v>
      </c>
      <c r="U963" s="55">
        <v>6</v>
      </c>
      <c r="V963" s="55" t="s">
        <v>1801</v>
      </c>
      <c r="Y963" s="55" t="s">
        <v>1916</v>
      </c>
      <c r="Z963" s="55" t="s">
        <v>1349</v>
      </c>
      <c r="AA963" s="90" t="s">
        <v>1677</v>
      </c>
      <c r="AH963" s="55" t="s">
        <v>6378</v>
      </c>
      <c r="AM963" s="55" t="s">
        <v>1305</v>
      </c>
      <c r="AN963" s="185" t="s">
        <v>1501</v>
      </c>
      <c r="AO963" s="185" t="s">
        <v>5150</v>
      </c>
      <c r="AP963" s="58" t="s">
        <v>5150</v>
      </c>
      <c r="AQ963" s="55" t="s">
        <v>553</v>
      </c>
      <c r="AR963" s="55" t="s">
        <v>116</v>
      </c>
      <c r="AS963" s="55" t="s">
        <v>116</v>
      </c>
      <c r="AU963" s="181" t="s">
        <v>7494</v>
      </c>
      <c r="AV963" s="185" t="s">
        <v>176</v>
      </c>
      <c r="AX963" s="185" t="s">
        <v>176</v>
      </c>
      <c r="AZ963" s="55" t="s">
        <v>635</v>
      </c>
      <c r="BA963" s="55" t="s">
        <v>635</v>
      </c>
      <c r="BB963" s="55" t="s">
        <v>2081</v>
      </c>
      <c r="BC963" s="55" t="s">
        <v>2081</v>
      </c>
      <c r="BD963" s="55" t="s">
        <v>176</v>
      </c>
      <c r="BE963" s="226" t="s">
        <v>636</v>
      </c>
      <c r="BF963" s="191" t="s">
        <v>479</v>
      </c>
      <c r="BG963" s="55" t="s">
        <v>479</v>
      </c>
      <c r="BH963" s="226" t="s">
        <v>636</v>
      </c>
      <c r="BI963" s="55" t="s">
        <v>479</v>
      </c>
      <c r="BJ963" s="55" t="s">
        <v>176</v>
      </c>
      <c r="BK963" s="55" t="s">
        <v>5976</v>
      </c>
      <c r="BM963" s="192" t="s">
        <v>119</v>
      </c>
      <c r="BN963" s="55">
        <v>4</v>
      </c>
      <c r="BO963" s="55">
        <v>4</v>
      </c>
      <c r="BQ963" s="55" t="s">
        <v>315</v>
      </c>
      <c r="CB963" s="66">
        <v>2455</v>
      </c>
      <c r="CC963" s="66">
        <v>2007</v>
      </c>
      <c r="DB963" s="65">
        <f>(59+14)/2</f>
        <v>36.5</v>
      </c>
      <c r="DC963" s="65">
        <f>(76+13)/2</f>
        <v>44.5</v>
      </c>
      <c r="DF963" s="65" t="s">
        <v>651</v>
      </c>
      <c r="GI963" s="65">
        <v>455</v>
      </c>
      <c r="GJ963" s="65">
        <v>379</v>
      </c>
      <c r="GM963" s="65" t="s">
        <v>637</v>
      </c>
      <c r="GP963" s="292" t="s">
        <v>7494</v>
      </c>
      <c r="JU963" s="55" t="s">
        <v>701</v>
      </c>
    </row>
    <row r="964" spans="1:282" x14ac:dyDescent="0.25">
      <c r="A964" s="55">
        <v>963</v>
      </c>
      <c r="B964" s="12" t="s">
        <v>7067</v>
      </c>
      <c r="C964" s="155">
        <v>45</v>
      </c>
      <c r="D964" s="55" t="s">
        <v>3887</v>
      </c>
      <c r="E964" s="90" t="s">
        <v>633</v>
      </c>
      <c r="G964" s="55" t="s">
        <v>634</v>
      </c>
      <c r="H964" s="55">
        <v>2005</v>
      </c>
      <c r="I964" s="55">
        <v>1999</v>
      </c>
      <c r="J964" s="55" t="s">
        <v>282</v>
      </c>
      <c r="K964" s="55" t="s">
        <v>502</v>
      </c>
      <c r="L964" s="55" t="s">
        <v>2737</v>
      </c>
      <c r="M964" s="90">
        <v>40.19</v>
      </c>
      <c r="N964" s="90">
        <v>-103.17</v>
      </c>
      <c r="O964" s="90">
        <v>1384</v>
      </c>
      <c r="U964" s="55">
        <v>6</v>
      </c>
      <c r="V964" s="55" t="s">
        <v>1801</v>
      </c>
      <c r="Y964" s="55" t="s">
        <v>1916</v>
      </c>
      <c r="Z964" s="55" t="s">
        <v>1349</v>
      </c>
      <c r="AA964" s="90" t="s">
        <v>1677</v>
      </c>
      <c r="AH964" s="55" t="s">
        <v>6378</v>
      </c>
      <c r="AM964" s="55" t="s">
        <v>1305</v>
      </c>
      <c r="AN964" s="185" t="s">
        <v>1502</v>
      </c>
      <c r="AO964" s="185" t="s">
        <v>5150</v>
      </c>
      <c r="AQ964" s="55" t="s">
        <v>553</v>
      </c>
      <c r="AR964" s="55" t="s">
        <v>116</v>
      </c>
      <c r="AS964" s="55" t="s">
        <v>116</v>
      </c>
      <c r="AU964" s="181" t="s">
        <v>7494</v>
      </c>
      <c r="AV964" s="185" t="s">
        <v>176</v>
      </c>
      <c r="AX964" s="185" t="s">
        <v>176</v>
      </c>
      <c r="AZ964" s="55" t="s">
        <v>635</v>
      </c>
      <c r="BA964" s="55" t="s">
        <v>635</v>
      </c>
      <c r="BB964" s="55" t="s">
        <v>2081</v>
      </c>
      <c r="BC964" s="55" t="s">
        <v>2081</v>
      </c>
      <c r="BD964" s="55" t="s">
        <v>176</v>
      </c>
      <c r="BE964" s="226" t="s">
        <v>636</v>
      </c>
      <c r="BF964" s="191" t="s">
        <v>479</v>
      </c>
      <c r="BG964" s="55" t="s">
        <v>479</v>
      </c>
      <c r="BH964" s="226" t="s">
        <v>636</v>
      </c>
      <c r="BI964" s="55" t="s">
        <v>479</v>
      </c>
      <c r="BJ964" s="55" t="s">
        <v>176</v>
      </c>
      <c r="BK964" s="55" t="s">
        <v>5976</v>
      </c>
      <c r="BM964" s="192" t="s">
        <v>119</v>
      </c>
      <c r="BN964" s="55">
        <v>4</v>
      </c>
      <c r="BO964" s="55">
        <v>4</v>
      </c>
      <c r="BQ964" s="55" t="s">
        <v>315</v>
      </c>
      <c r="CB964" s="66">
        <v>2455</v>
      </c>
      <c r="CC964" s="66">
        <v>1875</v>
      </c>
      <c r="DB964" s="65">
        <f>(59+14)/2</f>
        <v>36.5</v>
      </c>
      <c r="DC964" s="65">
        <f>(59+14)/2</f>
        <v>36.5</v>
      </c>
      <c r="DF964" s="65" t="s">
        <v>651</v>
      </c>
      <c r="GI964" s="65">
        <v>455</v>
      </c>
      <c r="GJ964" s="65">
        <v>380</v>
      </c>
      <c r="GM964" s="65" t="s">
        <v>637</v>
      </c>
      <c r="GP964" s="292" t="s">
        <v>7494</v>
      </c>
      <c r="JU964" s="55" t="s">
        <v>701</v>
      </c>
    </row>
    <row r="965" spans="1:282" x14ac:dyDescent="0.25">
      <c r="A965" s="55">
        <v>964</v>
      </c>
      <c r="B965" s="12" t="s">
        <v>7067</v>
      </c>
      <c r="C965" s="155">
        <v>45</v>
      </c>
      <c r="D965" s="55" t="s">
        <v>3887</v>
      </c>
      <c r="E965" s="90" t="s">
        <v>633</v>
      </c>
      <c r="G965" s="55" t="s">
        <v>634</v>
      </c>
      <c r="H965" s="55">
        <v>2005</v>
      </c>
      <c r="I965" s="55">
        <v>1999</v>
      </c>
      <c r="J965" s="55" t="s">
        <v>282</v>
      </c>
      <c r="K965" s="55" t="s">
        <v>502</v>
      </c>
      <c r="L965" s="55" t="s">
        <v>2737</v>
      </c>
      <c r="M965" s="90">
        <v>40.19</v>
      </c>
      <c r="N965" s="90">
        <v>-103.17</v>
      </c>
      <c r="O965" s="90">
        <v>1384</v>
      </c>
      <c r="U965" s="55">
        <v>6</v>
      </c>
      <c r="V965" s="55" t="s">
        <v>1801</v>
      </c>
      <c r="Y965" s="55" t="s">
        <v>1916</v>
      </c>
      <c r="Z965" s="55" t="s">
        <v>1349</v>
      </c>
      <c r="AA965" s="90" t="s">
        <v>1677</v>
      </c>
      <c r="AH965" s="55" t="s">
        <v>6378</v>
      </c>
      <c r="AM965" s="55" t="s">
        <v>1305</v>
      </c>
      <c r="AN965" s="185" t="s">
        <v>538</v>
      </c>
      <c r="AO965" s="185" t="s">
        <v>5150</v>
      </c>
      <c r="AQ965" s="55" t="s">
        <v>553</v>
      </c>
      <c r="AR965" s="55" t="s">
        <v>116</v>
      </c>
      <c r="AS965" s="55" t="s">
        <v>116</v>
      </c>
      <c r="AU965" s="181" t="s">
        <v>7494</v>
      </c>
      <c r="AV965" s="185" t="s">
        <v>176</v>
      </c>
      <c r="AX965" s="185" t="s">
        <v>176</v>
      </c>
      <c r="AZ965" s="55" t="s">
        <v>635</v>
      </c>
      <c r="BA965" s="55" t="s">
        <v>635</v>
      </c>
      <c r="BB965" s="55" t="s">
        <v>2081</v>
      </c>
      <c r="BC965" s="55" t="s">
        <v>2081</v>
      </c>
      <c r="BD965" s="55" t="s">
        <v>176</v>
      </c>
      <c r="BE965" s="226" t="s">
        <v>636</v>
      </c>
      <c r="BF965" s="191" t="s">
        <v>479</v>
      </c>
      <c r="BG965" s="55" t="s">
        <v>479</v>
      </c>
      <c r="BH965" s="226" t="s">
        <v>636</v>
      </c>
      <c r="BI965" s="55" t="s">
        <v>479</v>
      </c>
      <c r="BJ965" s="55" t="s">
        <v>176</v>
      </c>
      <c r="BK965" s="55" t="s">
        <v>5976</v>
      </c>
      <c r="BM965" s="192" t="s">
        <v>119</v>
      </c>
      <c r="BN965" s="55">
        <v>4</v>
      </c>
      <c r="BO965" s="55">
        <v>4</v>
      </c>
      <c r="BQ965" s="55" t="s">
        <v>315</v>
      </c>
      <c r="GP965" s="292" t="s">
        <v>7494</v>
      </c>
      <c r="JU965" s="55" t="s">
        <v>701</v>
      </c>
    </row>
    <row r="966" spans="1:282" x14ac:dyDescent="0.25">
      <c r="A966" s="55">
        <v>965</v>
      </c>
      <c r="B966" s="12" t="s">
        <v>7067</v>
      </c>
      <c r="C966" s="155">
        <v>45</v>
      </c>
      <c r="D966" s="55" t="s">
        <v>3887</v>
      </c>
      <c r="E966" s="90" t="s">
        <v>633</v>
      </c>
      <c r="G966" s="55" t="s">
        <v>634</v>
      </c>
      <c r="H966" s="55">
        <v>2005</v>
      </c>
      <c r="I966" s="55">
        <v>1999</v>
      </c>
      <c r="J966" s="55" t="s">
        <v>282</v>
      </c>
      <c r="K966" s="55" t="s">
        <v>502</v>
      </c>
      <c r="L966" s="55" t="s">
        <v>2737</v>
      </c>
      <c r="M966" s="90">
        <v>40.19</v>
      </c>
      <c r="N966" s="90">
        <v>-103.17</v>
      </c>
      <c r="O966" s="90">
        <v>1384</v>
      </c>
      <c r="U966" s="55">
        <v>6</v>
      </c>
      <c r="V966" s="55" t="s">
        <v>1801</v>
      </c>
      <c r="Y966" s="55" t="s">
        <v>1916</v>
      </c>
      <c r="Z966" s="55" t="s">
        <v>1349</v>
      </c>
      <c r="AA966" s="90" t="s">
        <v>1677</v>
      </c>
      <c r="AH966" s="55" t="s">
        <v>6378</v>
      </c>
      <c r="AM966" s="55" t="s">
        <v>1305</v>
      </c>
      <c r="AN966" s="185" t="s">
        <v>241</v>
      </c>
      <c r="AO966" s="185" t="s">
        <v>5150</v>
      </c>
      <c r="AQ966" s="55" t="s">
        <v>553</v>
      </c>
      <c r="AR966" s="55" t="s">
        <v>116</v>
      </c>
      <c r="AS966" s="55" t="s">
        <v>116</v>
      </c>
      <c r="AU966" s="181" t="s">
        <v>7494</v>
      </c>
      <c r="AV966" s="185" t="s">
        <v>176</v>
      </c>
      <c r="AX966" s="185" t="s">
        <v>176</v>
      </c>
      <c r="AZ966" s="55" t="s">
        <v>635</v>
      </c>
      <c r="BA966" s="55" t="s">
        <v>635</v>
      </c>
      <c r="BB966" s="55" t="s">
        <v>2081</v>
      </c>
      <c r="BC966" s="55" t="s">
        <v>2081</v>
      </c>
      <c r="BD966" s="55" t="s">
        <v>176</v>
      </c>
      <c r="BE966" s="226" t="s">
        <v>636</v>
      </c>
      <c r="BF966" s="191" t="s">
        <v>479</v>
      </c>
      <c r="BG966" s="55" t="s">
        <v>479</v>
      </c>
      <c r="BH966" s="226" t="s">
        <v>636</v>
      </c>
      <c r="BI966" s="55" t="s">
        <v>479</v>
      </c>
      <c r="BJ966" s="55" t="s">
        <v>176</v>
      </c>
      <c r="BK966" s="55" t="s">
        <v>5976</v>
      </c>
      <c r="BM966" s="192" t="s">
        <v>119</v>
      </c>
      <c r="BN966" s="55">
        <v>4</v>
      </c>
      <c r="BO966" s="55">
        <v>4</v>
      </c>
      <c r="BQ966" s="55" t="s">
        <v>315</v>
      </c>
      <c r="CB966" s="66">
        <v>2455</v>
      </c>
      <c r="CC966" s="66">
        <v>1786</v>
      </c>
      <c r="DB966" s="65">
        <f>(59+14)/2</f>
        <v>36.5</v>
      </c>
      <c r="DC966" s="65">
        <f>(71+14)/2</f>
        <v>42.5</v>
      </c>
      <c r="DF966" s="65" t="s">
        <v>651</v>
      </c>
      <c r="GI966" s="65">
        <v>455</v>
      </c>
      <c r="GJ966" s="65">
        <v>375</v>
      </c>
      <c r="GM966" s="65" t="s">
        <v>637</v>
      </c>
      <c r="GP966" s="292" t="s">
        <v>7494</v>
      </c>
      <c r="JU966" s="55" t="s">
        <v>701</v>
      </c>
    </row>
    <row r="967" spans="1:282" x14ac:dyDescent="0.25">
      <c r="A967" s="55">
        <v>966</v>
      </c>
      <c r="B967" s="12" t="s">
        <v>7067</v>
      </c>
      <c r="C967" s="155">
        <v>46</v>
      </c>
      <c r="D967" s="55" t="s">
        <v>3888</v>
      </c>
      <c r="E967" s="90" t="s">
        <v>639</v>
      </c>
      <c r="G967" s="55" t="s">
        <v>638</v>
      </c>
      <c r="H967" s="55">
        <v>2013</v>
      </c>
      <c r="I967" s="55">
        <v>2009</v>
      </c>
      <c r="J967" s="55" t="s">
        <v>309</v>
      </c>
      <c r="K967" s="55" t="s">
        <v>640</v>
      </c>
      <c r="L967" s="55" t="s">
        <v>2737</v>
      </c>
      <c r="M967" s="90">
        <f>47+55/60</f>
        <v>47.916666666666664</v>
      </c>
      <c r="N967" s="90">
        <f>-109-55/60</f>
        <v>-109.91666666666667</v>
      </c>
      <c r="O967" s="90">
        <v>888</v>
      </c>
      <c r="U967" s="55">
        <v>1</v>
      </c>
      <c r="V967" s="55" t="s">
        <v>1805</v>
      </c>
      <c r="Y967" s="55" t="s">
        <v>1917</v>
      </c>
      <c r="Z967" s="55" t="s">
        <v>1356</v>
      </c>
      <c r="AA967" s="90" t="s">
        <v>1680</v>
      </c>
      <c r="AH967" s="55" t="s">
        <v>494</v>
      </c>
      <c r="AI967" s="168">
        <v>6.1</v>
      </c>
      <c r="AJ967" s="90">
        <v>1.1000000000000001</v>
      </c>
      <c r="AM967" s="55" t="s">
        <v>1306</v>
      </c>
      <c r="AN967" s="185" t="s">
        <v>1503</v>
      </c>
      <c r="AO967" s="185" t="s">
        <v>5150</v>
      </c>
      <c r="AQ967" s="55" t="s">
        <v>553</v>
      </c>
      <c r="AR967" s="55" t="s">
        <v>1491</v>
      </c>
      <c r="AS967" s="55" t="s">
        <v>1583</v>
      </c>
      <c r="AT967" s="181" t="s">
        <v>1590</v>
      </c>
      <c r="AU967" s="181" t="s">
        <v>5150</v>
      </c>
      <c r="AV967" s="185" t="s">
        <v>176</v>
      </c>
      <c r="AW967" s="55" t="s">
        <v>1590</v>
      </c>
      <c r="AX967" s="185" t="s">
        <v>176</v>
      </c>
      <c r="AY967" s="55" t="s">
        <v>176</v>
      </c>
      <c r="BA967" s="55" t="s">
        <v>156</v>
      </c>
      <c r="BB967" s="55" t="s">
        <v>2082</v>
      </c>
      <c r="BC967" s="55" t="s">
        <v>2082</v>
      </c>
      <c r="BE967" s="226">
        <v>0</v>
      </c>
      <c r="BF967" s="191" t="s">
        <v>176</v>
      </c>
      <c r="BG967" s="55" t="s">
        <v>176</v>
      </c>
      <c r="BH967" s="226">
        <v>0</v>
      </c>
      <c r="BI967" s="55" t="s">
        <v>176</v>
      </c>
      <c r="BJ967" s="55" t="s">
        <v>176</v>
      </c>
      <c r="BK967" s="55" t="s">
        <v>6269</v>
      </c>
      <c r="BM967" s="192" t="s">
        <v>119</v>
      </c>
      <c r="BN967" s="55">
        <v>6</v>
      </c>
      <c r="BO967" s="55">
        <v>6</v>
      </c>
      <c r="BQ967" s="55" t="s">
        <v>141</v>
      </c>
      <c r="BS967" s="55">
        <f>1.07*1000</f>
        <v>1070</v>
      </c>
      <c r="BT967" s="55">
        <f>BS967/44.2</f>
        <v>24.20814479638009</v>
      </c>
      <c r="BU967" s="55" t="s">
        <v>646</v>
      </c>
      <c r="CB967" s="66">
        <v>4760</v>
      </c>
      <c r="CC967" s="66">
        <v>4250</v>
      </c>
      <c r="DB967" s="65">
        <f>16</f>
        <v>16</v>
      </c>
      <c r="DC967" s="65">
        <f>10.6</f>
        <v>10.6</v>
      </c>
      <c r="DF967" s="65" t="s">
        <v>652</v>
      </c>
      <c r="DG967" s="65">
        <v>23</v>
      </c>
      <c r="DH967" s="65">
        <v>21</v>
      </c>
      <c r="DL967" s="65">
        <v>340</v>
      </c>
      <c r="DM967" s="65">
        <v>433</v>
      </c>
      <c r="GD967" s="65">
        <f>77/3</f>
        <v>25.666666666666668</v>
      </c>
      <c r="GE967" s="65">
        <f>51/3</f>
        <v>17</v>
      </c>
      <c r="GH967" s="65" t="s">
        <v>680</v>
      </c>
      <c r="GP967" s="292" t="s">
        <v>7494</v>
      </c>
      <c r="IC967" s="65">
        <v>15</v>
      </c>
      <c r="ID967" s="65">
        <v>5</v>
      </c>
      <c r="JU967" s="55" t="s">
        <v>654</v>
      </c>
      <c r="JV967" s="55" t="s">
        <v>653</v>
      </c>
    </row>
    <row r="968" spans="1:282" x14ac:dyDescent="0.25">
      <c r="A968" s="55">
        <v>967</v>
      </c>
      <c r="B968" s="12" t="s">
        <v>7067</v>
      </c>
      <c r="C968" s="155">
        <v>46</v>
      </c>
      <c r="D968" s="55" t="s">
        <v>3889</v>
      </c>
      <c r="E968" s="90" t="s">
        <v>639</v>
      </c>
      <c r="G968" s="55" t="s">
        <v>638</v>
      </c>
      <c r="H968" s="55">
        <v>2013</v>
      </c>
      <c r="I968" s="55">
        <v>2009</v>
      </c>
      <c r="J968" s="55" t="s">
        <v>309</v>
      </c>
      <c r="K968" s="55" t="s">
        <v>641</v>
      </c>
      <c r="L968" s="55" t="s">
        <v>2737</v>
      </c>
      <c r="M968" s="90">
        <f>48+18/60</f>
        <v>48.3</v>
      </c>
      <c r="N968" s="90">
        <f>-110-6/60</f>
        <v>-110.1</v>
      </c>
      <c r="O968" s="90">
        <v>833</v>
      </c>
      <c r="U968" s="55">
        <v>1</v>
      </c>
      <c r="V968" s="55" t="s">
        <v>1805</v>
      </c>
      <c r="Y968" s="55" t="s">
        <v>1917</v>
      </c>
      <c r="Z968" s="55" t="s">
        <v>1356</v>
      </c>
      <c r="AA968" s="90" t="s">
        <v>1680</v>
      </c>
      <c r="AH968" s="55" t="s">
        <v>139</v>
      </c>
      <c r="AI968" s="168">
        <v>6.9</v>
      </c>
      <c r="AJ968" s="90">
        <v>0.87</v>
      </c>
      <c r="AM968" s="55" t="s">
        <v>1306</v>
      </c>
      <c r="AN968" s="185" t="s">
        <v>1504</v>
      </c>
      <c r="AO968" s="185" t="s">
        <v>5150</v>
      </c>
      <c r="AQ968" s="55" t="s">
        <v>553</v>
      </c>
      <c r="AR968" s="55" t="s">
        <v>1491</v>
      </c>
      <c r="AS968" s="55" t="s">
        <v>1583</v>
      </c>
      <c r="AT968" s="181" t="s">
        <v>1590</v>
      </c>
      <c r="AU968" s="181" t="s">
        <v>5150</v>
      </c>
      <c r="AV968" s="185" t="s">
        <v>176</v>
      </c>
      <c r="AW968" s="55" t="s">
        <v>1590</v>
      </c>
      <c r="AX968" s="185" t="s">
        <v>176</v>
      </c>
      <c r="AY968" s="55" t="s">
        <v>176</v>
      </c>
      <c r="BA968" s="55" t="s">
        <v>156</v>
      </c>
      <c r="BB968" s="55" t="s">
        <v>2082</v>
      </c>
      <c r="BC968" s="55" t="s">
        <v>2082</v>
      </c>
      <c r="BE968" s="226">
        <v>0</v>
      </c>
      <c r="BF968" s="191" t="s">
        <v>176</v>
      </c>
      <c r="BG968" s="55" t="s">
        <v>176</v>
      </c>
      <c r="BH968" s="226">
        <v>0</v>
      </c>
      <c r="BI968" s="55" t="s">
        <v>176</v>
      </c>
      <c r="BJ968" s="55" t="s">
        <v>176</v>
      </c>
      <c r="BK968" s="55" t="s">
        <v>6269</v>
      </c>
      <c r="BM968" s="192" t="s">
        <v>119</v>
      </c>
      <c r="BN968" s="55">
        <v>8</v>
      </c>
      <c r="BO968" s="55">
        <v>8</v>
      </c>
      <c r="BQ968" s="55" t="s">
        <v>141</v>
      </c>
      <c r="BS968" s="55">
        <v>730</v>
      </c>
      <c r="BT968" s="55">
        <f>BS968/19.3</f>
        <v>37.823834196891191</v>
      </c>
      <c r="BU968" s="55" t="s">
        <v>647</v>
      </c>
      <c r="CB968" s="66">
        <v>4480</v>
      </c>
      <c r="CC968" s="66">
        <v>4430</v>
      </c>
      <c r="DB968" s="65">
        <f>10.1</f>
        <v>10.1</v>
      </c>
      <c r="DC968" s="65">
        <f>7.8</f>
        <v>7.8</v>
      </c>
      <c r="DF968" s="65" t="s">
        <v>652</v>
      </c>
      <c r="DG968" s="65">
        <v>19</v>
      </c>
      <c r="DH968" s="65">
        <v>25</v>
      </c>
      <c r="DL968" s="65">
        <v>422</v>
      </c>
      <c r="DM968" s="65">
        <v>403</v>
      </c>
      <c r="GD968" s="65">
        <f>63/3</f>
        <v>21</v>
      </c>
      <c r="GE968" s="65">
        <f>41/3</f>
        <v>13.666666666666666</v>
      </c>
      <c r="GH968" s="65" t="s">
        <v>680</v>
      </c>
      <c r="GP968" s="292" t="s">
        <v>7494</v>
      </c>
      <c r="IC968" s="65">
        <v>12</v>
      </c>
      <c r="ID968" s="65">
        <v>13</v>
      </c>
      <c r="JU968" s="55" t="s">
        <v>654</v>
      </c>
      <c r="JV968" s="55" t="s">
        <v>653</v>
      </c>
    </row>
    <row r="969" spans="1:282" x14ac:dyDescent="0.25">
      <c r="A969" s="55">
        <v>968</v>
      </c>
      <c r="B969" s="12" t="s">
        <v>7067</v>
      </c>
      <c r="C969" s="155">
        <v>46</v>
      </c>
      <c r="D969" s="55" t="s">
        <v>3890</v>
      </c>
      <c r="E969" s="90" t="s">
        <v>639</v>
      </c>
      <c r="G969" s="55" t="s">
        <v>638</v>
      </c>
      <c r="H969" s="55">
        <v>2013</v>
      </c>
      <c r="I969" s="55">
        <v>2009</v>
      </c>
      <c r="J969" s="55" t="s">
        <v>309</v>
      </c>
      <c r="K969" s="55" t="s">
        <v>642</v>
      </c>
      <c r="L969" s="55" t="s">
        <v>2737</v>
      </c>
      <c r="M969" s="90">
        <f>48+45/60</f>
        <v>48.75</v>
      </c>
      <c r="N969" s="90">
        <f>-110-52/60</f>
        <v>-110.86666666666666</v>
      </c>
      <c r="O969" s="90">
        <v>1059</v>
      </c>
      <c r="U969" s="55">
        <v>1</v>
      </c>
      <c r="V969" s="55" t="s">
        <v>1805</v>
      </c>
      <c r="Y969" s="55" t="s">
        <v>1917</v>
      </c>
      <c r="Z969" s="55" t="s">
        <v>1356</v>
      </c>
      <c r="AA969" s="90" t="s">
        <v>1680</v>
      </c>
      <c r="AH969" s="55" t="s">
        <v>645</v>
      </c>
      <c r="AI969" s="168">
        <v>7.6</v>
      </c>
      <c r="AJ969" s="90">
        <v>1.28</v>
      </c>
      <c r="AM969" s="55" t="s">
        <v>1306</v>
      </c>
      <c r="AN969" s="185" t="s">
        <v>1503</v>
      </c>
      <c r="AO969" s="185" t="s">
        <v>5150</v>
      </c>
      <c r="AQ969" s="55" t="s">
        <v>553</v>
      </c>
      <c r="AR969" s="55" t="s">
        <v>1491</v>
      </c>
      <c r="AS969" s="55" t="s">
        <v>1583</v>
      </c>
      <c r="AT969" s="181" t="s">
        <v>1590</v>
      </c>
      <c r="AU969" s="181" t="s">
        <v>5150</v>
      </c>
      <c r="AV969" s="185" t="s">
        <v>176</v>
      </c>
      <c r="AW969" s="55" t="s">
        <v>1590</v>
      </c>
      <c r="AX969" s="185" t="s">
        <v>176</v>
      </c>
      <c r="AY969" s="55" t="s">
        <v>176</v>
      </c>
      <c r="BA969" s="55" t="s">
        <v>156</v>
      </c>
      <c r="BB969" s="55" t="s">
        <v>2082</v>
      </c>
      <c r="BC969" s="55" t="s">
        <v>2082</v>
      </c>
      <c r="BE969" s="226">
        <v>0</v>
      </c>
      <c r="BF969" s="191" t="s">
        <v>176</v>
      </c>
      <c r="BG969" s="55" t="s">
        <v>176</v>
      </c>
      <c r="BH969" s="226">
        <v>0</v>
      </c>
      <c r="BI969" s="55" t="s">
        <v>176</v>
      </c>
      <c r="BJ969" s="55" t="s">
        <v>176</v>
      </c>
      <c r="BK969" s="55" t="s">
        <v>6269</v>
      </c>
      <c r="BM969" s="192" t="s">
        <v>119</v>
      </c>
      <c r="BN969" s="55">
        <v>12</v>
      </c>
      <c r="BO969" s="55">
        <v>12</v>
      </c>
      <c r="BQ969" s="55" t="s">
        <v>141</v>
      </c>
      <c r="BS969" s="55">
        <f>1.02*1000</f>
        <v>1020</v>
      </c>
      <c r="BT969" s="55">
        <f>BS969/37.8</f>
        <v>26.984126984126988</v>
      </c>
      <c r="BU969" s="55" t="s">
        <v>648</v>
      </c>
      <c r="CB969" s="66">
        <v>4050</v>
      </c>
      <c r="CC969" s="66">
        <v>3920</v>
      </c>
      <c r="DB969" s="65">
        <f>11.2</f>
        <v>11.2</v>
      </c>
      <c r="DC969" s="65">
        <f>15.7</f>
        <v>15.7</v>
      </c>
      <c r="DF969" s="65" t="s">
        <v>652</v>
      </c>
      <c r="DG969" s="65">
        <v>16</v>
      </c>
      <c r="DH969" s="65">
        <v>19</v>
      </c>
      <c r="DL969" s="65">
        <v>319</v>
      </c>
      <c r="DM969" s="65">
        <v>451</v>
      </c>
      <c r="GD969" s="65">
        <f>79/3</f>
        <v>26.333333333333332</v>
      </c>
      <c r="GE969" s="65">
        <f>55/3</f>
        <v>18.333333333333332</v>
      </c>
      <c r="GH969" s="65" t="s">
        <v>680</v>
      </c>
      <c r="GP969" s="292" t="s">
        <v>7494</v>
      </c>
      <c r="IC969" s="65">
        <v>5</v>
      </c>
      <c r="ID969" s="65">
        <v>17</v>
      </c>
      <c r="JU969" s="55" t="s">
        <v>654</v>
      </c>
      <c r="JV969" s="55" t="s">
        <v>653</v>
      </c>
    </row>
    <row r="970" spans="1:282" x14ac:dyDescent="0.25">
      <c r="A970" s="55">
        <v>969</v>
      </c>
      <c r="B970" s="12" t="s">
        <v>7067</v>
      </c>
      <c r="C970" s="155">
        <v>46</v>
      </c>
      <c r="D970" s="55" t="s">
        <v>3891</v>
      </c>
      <c r="E970" s="90" t="s">
        <v>639</v>
      </c>
      <c r="G970" s="55" t="s">
        <v>638</v>
      </c>
      <c r="H970" s="55">
        <v>2013</v>
      </c>
      <c r="I970" s="55">
        <v>2009</v>
      </c>
      <c r="J970" s="55" t="s">
        <v>309</v>
      </c>
      <c r="K970" s="55" t="s">
        <v>643</v>
      </c>
      <c r="L970" s="55" t="s">
        <v>2737</v>
      </c>
      <c r="M970" s="90">
        <f>48+48/60</f>
        <v>48.8</v>
      </c>
      <c r="N970" s="90">
        <f>-111-38.5/60</f>
        <v>-111.64166666666667</v>
      </c>
      <c r="O970" s="90">
        <v>1102</v>
      </c>
      <c r="U970" s="55">
        <v>1</v>
      </c>
      <c r="V970" s="55" t="s">
        <v>1805</v>
      </c>
      <c r="Y970" s="55" t="s">
        <v>1917</v>
      </c>
      <c r="Z970" s="55" t="s">
        <v>1356</v>
      </c>
      <c r="AA970" s="90" t="s">
        <v>1680</v>
      </c>
      <c r="AH970" s="55" t="s">
        <v>139</v>
      </c>
      <c r="AI970" s="168">
        <v>6.9</v>
      </c>
      <c r="AJ970" s="90">
        <v>1.22</v>
      </c>
      <c r="AM970" s="55" t="s">
        <v>1306</v>
      </c>
      <c r="AN970" s="185" t="s">
        <v>1503</v>
      </c>
      <c r="AO970" s="185" t="s">
        <v>5150</v>
      </c>
      <c r="AQ970" s="55" t="s">
        <v>553</v>
      </c>
      <c r="AR970" s="55" t="s">
        <v>1491</v>
      </c>
      <c r="AS970" s="55" t="s">
        <v>1583</v>
      </c>
      <c r="AT970" s="181" t="s">
        <v>1590</v>
      </c>
      <c r="AU970" s="181" t="s">
        <v>5150</v>
      </c>
      <c r="AV970" s="185" t="s">
        <v>176</v>
      </c>
      <c r="AW970" s="55" t="s">
        <v>1590</v>
      </c>
      <c r="AX970" s="185" t="s">
        <v>176</v>
      </c>
      <c r="AY970" s="55" t="s">
        <v>176</v>
      </c>
      <c r="BA970" s="55" t="s">
        <v>156</v>
      </c>
      <c r="BB970" s="55" t="s">
        <v>2082</v>
      </c>
      <c r="BC970" s="55" t="s">
        <v>2082</v>
      </c>
      <c r="BE970" s="226">
        <v>0</v>
      </c>
      <c r="BF970" s="191" t="s">
        <v>176</v>
      </c>
      <c r="BG970" s="55" t="s">
        <v>176</v>
      </c>
      <c r="BH970" s="226">
        <v>0</v>
      </c>
      <c r="BI970" s="55" t="s">
        <v>176</v>
      </c>
      <c r="BJ970" s="55" t="s">
        <v>176</v>
      </c>
      <c r="BK970" s="55" t="s">
        <v>6269</v>
      </c>
      <c r="BM970" s="192" t="s">
        <v>119</v>
      </c>
      <c r="BN970" s="55">
        <v>8</v>
      </c>
      <c r="BO970" s="55">
        <v>8</v>
      </c>
      <c r="BQ970" s="55" t="s">
        <v>141</v>
      </c>
      <c r="BS970" s="55">
        <v>1090</v>
      </c>
      <c r="BT970" s="55">
        <f>BS970/28.4</f>
        <v>38.380281690140848</v>
      </c>
      <c r="BU970" s="55" t="s">
        <v>649</v>
      </c>
      <c r="CB970" s="66">
        <v>4830</v>
      </c>
      <c r="CC970" s="66">
        <v>4360</v>
      </c>
      <c r="DB970" s="65">
        <f>37</f>
        <v>37</v>
      </c>
      <c r="DC970" s="65">
        <f>16.8</f>
        <v>16.8</v>
      </c>
      <c r="DF970" s="65" t="s">
        <v>652</v>
      </c>
      <c r="DG970" s="65">
        <v>12</v>
      </c>
      <c r="DH970" s="65">
        <v>11</v>
      </c>
      <c r="DL970" s="65">
        <v>599</v>
      </c>
      <c r="DM970" s="65">
        <v>519</v>
      </c>
      <c r="GD970" s="65">
        <f>76/3</f>
        <v>25.333333333333332</v>
      </c>
      <c r="GE970" s="65">
        <f>47/3</f>
        <v>15.666666666666666</v>
      </c>
      <c r="GH970" s="65" t="s">
        <v>680</v>
      </c>
      <c r="GP970" s="292" t="s">
        <v>7494</v>
      </c>
      <c r="IC970" s="65">
        <v>12</v>
      </c>
      <c r="ID970" s="65">
        <v>46</v>
      </c>
      <c r="JU970" s="55" t="s">
        <v>654</v>
      </c>
      <c r="JV970" s="55" t="s">
        <v>653</v>
      </c>
    </row>
    <row r="971" spans="1:282" x14ac:dyDescent="0.25">
      <c r="A971" s="55">
        <v>970</v>
      </c>
      <c r="B971" s="12" t="s">
        <v>7067</v>
      </c>
      <c r="C971" s="155">
        <v>46</v>
      </c>
      <c r="D971" s="55" t="s">
        <v>3892</v>
      </c>
      <c r="E971" s="90" t="s">
        <v>639</v>
      </c>
      <c r="G971" s="55" t="s">
        <v>638</v>
      </c>
      <c r="H971" s="55">
        <v>2013</v>
      </c>
      <c r="I971" s="55">
        <v>2009</v>
      </c>
      <c r="J971" s="55" t="s">
        <v>309</v>
      </c>
      <c r="K971" s="55" t="s">
        <v>644</v>
      </c>
      <c r="L971" s="55" t="s">
        <v>2737</v>
      </c>
      <c r="M971" s="90">
        <f>48+48/60</f>
        <v>48.8</v>
      </c>
      <c r="N971" s="90">
        <f>-111-31/60</f>
        <v>-111.51666666666667</v>
      </c>
      <c r="O971" s="90">
        <v>1090</v>
      </c>
      <c r="U971" s="55">
        <v>1</v>
      </c>
      <c r="V971" s="55" t="s">
        <v>1805</v>
      </c>
      <c r="Y971" s="55" t="s">
        <v>1917</v>
      </c>
      <c r="Z971" s="55" t="s">
        <v>1356</v>
      </c>
      <c r="AA971" s="90" t="s">
        <v>1680</v>
      </c>
      <c r="AH971" s="55" t="s">
        <v>494</v>
      </c>
      <c r="AI971" s="168">
        <v>7.8</v>
      </c>
      <c r="AJ971" s="90">
        <v>1.1000000000000001</v>
      </c>
      <c r="AM971" s="55" t="s">
        <v>1306</v>
      </c>
      <c r="AN971" s="185" t="s">
        <v>538</v>
      </c>
      <c r="AO971" s="185" t="s">
        <v>5150</v>
      </c>
      <c r="AQ971" s="55" t="s">
        <v>553</v>
      </c>
      <c r="AR971" s="55" t="s">
        <v>1491</v>
      </c>
      <c r="AS971" s="55" t="s">
        <v>1583</v>
      </c>
      <c r="AT971" s="181" t="s">
        <v>1590</v>
      </c>
      <c r="AU971" s="181" t="s">
        <v>5150</v>
      </c>
      <c r="AV971" s="185" t="s">
        <v>176</v>
      </c>
      <c r="AW971" s="55" t="s">
        <v>1590</v>
      </c>
      <c r="AX971" s="185" t="s">
        <v>176</v>
      </c>
      <c r="AY971" s="55" t="s">
        <v>176</v>
      </c>
      <c r="BA971" s="55" t="s">
        <v>156</v>
      </c>
      <c r="BB971" s="55" t="s">
        <v>2082</v>
      </c>
      <c r="BC971" s="55" t="s">
        <v>2082</v>
      </c>
      <c r="BE971" s="226">
        <v>0</v>
      </c>
      <c r="BF971" s="191" t="s">
        <v>176</v>
      </c>
      <c r="BG971" s="55" t="s">
        <v>176</v>
      </c>
      <c r="BH971" s="226">
        <v>0</v>
      </c>
      <c r="BI971" s="55" t="s">
        <v>176</v>
      </c>
      <c r="BJ971" s="55" t="s">
        <v>176</v>
      </c>
      <c r="BK971" s="55" t="s">
        <v>6269</v>
      </c>
      <c r="BM971" s="192" t="s">
        <v>119</v>
      </c>
      <c r="BN971" s="55">
        <v>8</v>
      </c>
      <c r="BO971" s="55">
        <v>8</v>
      </c>
      <c r="BQ971" s="55" t="s">
        <v>141</v>
      </c>
      <c r="BS971" s="55">
        <v>550</v>
      </c>
      <c r="BT971" s="55">
        <f>BS971/14.5</f>
        <v>37.931034482758619</v>
      </c>
      <c r="BU971" s="55" t="s">
        <v>650</v>
      </c>
      <c r="CB971" s="66">
        <v>1690</v>
      </c>
      <c r="CC971" s="66">
        <v>1510</v>
      </c>
      <c r="DB971" s="65">
        <f>12.3</f>
        <v>12.3</v>
      </c>
      <c r="DC971" s="65">
        <f>11.2</f>
        <v>11.2</v>
      </c>
      <c r="DF971" s="65" t="s">
        <v>652</v>
      </c>
      <c r="DG971" s="65">
        <v>9</v>
      </c>
      <c r="DH971" s="65">
        <v>8</v>
      </c>
      <c r="DL971" s="65">
        <v>355</v>
      </c>
      <c r="DM971" s="65">
        <v>507</v>
      </c>
      <c r="GD971" s="65">
        <f>75/3</f>
        <v>25</v>
      </c>
      <c r="GE971" s="65">
        <f>52/3</f>
        <v>17.333333333333332</v>
      </c>
      <c r="GH971" s="65" t="s">
        <v>680</v>
      </c>
      <c r="GP971" s="292" t="s">
        <v>7494</v>
      </c>
      <c r="IC971" s="65">
        <v>7</v>
      </c>
      <c r="ID971" s="65">
        <v>23</v>
      </c>
      <c r="JU971" s="55" t="s">
        <v>654</v>
      </c>
      <c r="JV971" s="55" t="s">
        <v>653</v>
      </c>
    </row>
    <row r="972" spans="1:282" x14ac:dyDescent="0.25">
      <c r="A972" s="55">
        <v>971</v>
      </c>
      <c r="B972" s="12" t="s">
        <v>7067</v>
      </c>
      <c r="C972" s="155">
        <v>46</v>
      </c>
      <c r="D972" s="55" t="s">
        <v>3888</v>
      </c>
      <c r="E972" s="90" t="s">
        <v>639</v>
      </c>
      <c r="G972" s="55" t="s">
        <v>638</v>
      </c>
      <c r="H972" s="55">
        <v>2013</v>
      </c>
      <c r="I972" s="55">
        <v>2009</v>
      </c>
      <c r="J972" s="55" t="s">
        <v>309</v>
      </c>
      <c r="K972" s="55" t="s">
        <v>640</v>
      </c>
      <c r="L972" s="55" t="s">
        <v>2737</v>
      </c>
      <c r="M972" s="90">
        <f>47+55/60</f>
        <v>47.916666666666664</v>
      </c>
      <c r="N972" s="90">
        <f>-109-55/60</f>
        <v>-109.91666666666667</v>
      </c>
      <c r="O972" s="90">
        <v>888</v>
      </c>
      <c r="U972" s="55">
        <v>1</v>
      </c>
      <c r="V972" s="55" t="s">
        <v>1805</v>
      </c>
      <c r="Y972" s="55" t="s">
        <v>1917</v>
      </c>
      <c r="Z972" s="55" t="s">
        <v>1369</v>
      </c>
      <c r="AA972" s="90" t="s">
        <v>1680</v>
      </c>
      <c r="AH972" s="55" t="s">
        <v>494</v>
      </c>
      <c r="AI972" s="168">
        <v>6.1</v>
      </c>
      <c r="AJ972" s="90">
        <v>1.1000000000000001</v>
      </c>
      <c r="AM972" s="55" t="s">
        <v>1306</v>
      </c>
      <c r="AN972" s="185" t="s">
        <v>1503</v>
      </c>
      <c r="AO972" s="185" t="s">
        <v>5150</v>
      </c>
      <c r="AQ972" s="55" t="s">
        <v>553</v>
      </c>
      <c r="AR972" s="55" t="s">
        <v>1491</v>
      </c>
      <c r="AS972" s="55" t="s">
        <v>1583</v>
      </c>
      <c r="AT972" s="181" t="s">
        <v>1590</v>
      </c>
      <c r="AU972" s="181" t="s">
        <v>5150</v>
      </c>
      <c r="AV972" s="185" t="s">
        <v>176</v>
      </c>
      <c r="AW972" s="55" t="s">
        <v>1590</v>
      </c>
      <c r="AX972" s="185" t="s">
        <v>176</v>
      </c>
      <c r="AY972" s="55" t="s">
        <v>176</v>
      </c>
      <c r="BA972" s="55" t="s">
        <v>156</v>
      </c>
      <c r="BB972" s="55" t="s">
        <v>2082</v>
      </c>
      <c r="BC972" s="55" t="s">
        <v>2082</v>
      </c>
      <c r="BE972" s="226">
        <v>0</v>
      </c>
      <c r="BF972" s="191" t="s">
        <v>176</v>
      </c>
      <c r="BG972" s="55" t="s">
        <v>176</v>
      </c>
      <c r="BH972" s="226">
        <v>0</v>
      </c>
      <c r="BI972" s="55" t="s">
        <v>176</v>
      </c>
      <c r="BJ972" s="55" t="s">
        <v>176</v>
      </c>
      <c r="BK972" s="55" t="s">
        <v>6269</v>
      </c>
      <c r="BM972" s="192" t="s">
        <v>119</v>
      </c>
      <c r="BN972" s="55">
        <v>6</v>
      </c>
      <c r="BO972" s="55">
        <v>6</v>
      </c>
      <c r="BQ972" s="55" t="s">
        <v>141</v>
      </c>
      <c r="BS972" s="55">
        <f>1.07*1000</f>
        <v>1070</v>
      </c>
      <c r="BT972" s="55">
        <f>BS972/44.2</f>
        <v>24.20814479638009</v>
      </c>
      <c r="BU972" s="55" t="s">
        <v>646</v>
      </c>
      <c r="DB972" s="65">
        <f>10</f>
        <v>10</v>
      </c>
      <c r="DC972" s="65">
        <f>3</f>
        <v>3</v>
      </c>
      <c r="DF972" s="65" t="s">
        <v>652</v>
      </c>
      <c r="GD972" s="65">
        <f>65/3</f>
        <v>21.666666666666668</v>
      </c>
      <c r="GE972" s="65">
        <f>54/3</f>
        <v>18</v>
      </c>
      <c r="GH972" s="65" t="s">
        <v>680</v>
      </c>
      <c r="GP972" s="292" t="s">
        <v>7494</v>
      </c>
      <c r="JU972" s="55" t="s">
        <v>654</v>
      </c>
      <c r="JV972" s="55" t="s">
        <v>653</v>
      </c>
    </row>
    <row r="973" spans="1:282" x14ac:dyDescent="0.25">
      <c r="A973" s="55">
        <v>972</v>
      </c>
      <c r="B973" s="12" t="s">
        <v>7067</v>
      </c>
      <c r="C973" s="155">
        <v>46</v>
      </c>
      <c r="D973" s="55" t="s">
        <v>3889</v>
      </c>
      <c r="E973" s="90" t="s">
        <v>639</v>
      </c>
      <c r="G973" s="55" t="s">
        <v>638</v>
      </c>
      <c r="H973" s="55">
        <v>2013</v>
      </c>
      <c r="I973" s="55">
        <v>2009</v>
      </c>
      <c r="J973" s="55" t="s">
        <v>309</v>
      </c>
      <c r="K973" s="55" t="s">
        <v>641</v>
      </c>
      <c r="L973" s="55" t="s">
        <v>2737</v>
      </c>
      <c r="M973" s="90">
        <f>48+18/60</f>
        <v>48.3</v>
      </c>
      <c r="N973" s="90">
        <f>-110-6/60</f>
        <v>-110.1</v>
      </c>
      <c r="O973" s="90">
        <v>833</v>
      </c>
      <c r="U973" s="55">
        <v>1</v>
      </c>
      <c r="V973" s="55" t="s">
        <v>1805</v>
      </c>
      <c r="Y973" s="55" t="s">
        <v>1917</v>
      </c>
      <c r="Z973" s="55" t="s">
        <v>1369</v>
      </c>
      <c r="AA973" s="90" t="s">
        <v>1680</v>
      </c>
      <c r="AH973" s="55" t="s">
        <v>139</v>
      </c>
      <c r="AI973" s="168">
        <v>6.9</v>
      </c>
      <c r="AJ973" s="90">
        <v>0.87</v>
      </c>
      <c r="AM973" s="55" t="s">
        <v>1306</v>
      </c>
      <c r="AN973" s="185" t="s">
        <v>1504</v>
      </c>
      <c r="AO973" s="185" t="s">
        <v>5150</v>
      </c>
      <c r="AQ973" s="55" t="s">
        <v>553</v>
      </c>
      <c r="AR973" s="55" t="s">
        <v>1491</v>
      </c>
      <c r="AS973" s="55" t="s">
        <v>1583</v>
      </c>
      <c r="AT973" s="181" t="s">
        <v>1590</v>
      </c>
      <c r="AU973" s="181" t="s">
        <v>5150</v>
      </c>
      <c r="AV973" s="185" t="s">
        <v>176</v>
      </c>
      <c r="AW973" s="55" t="s">
        <v>1590</v>
      </c>
      <c r="AX973" s="185" t="s">
        <v>176</v>
      </c>
      <c r="AY973" s="55" t="s">
        <v>176</v>
      </c>
      <c r="BA973" s="55" t="s">
        <v>156</v>
      </c>
      <c r="BB973" s="55" t="s">
        <v>2082</v>
      </c>
      <c r="BC973" s="55" t="s">
        <v>2082</v>
      </c>
      <c r="BE973" s="226">
        <v>0</v>
      </c>
      <c r="BF973" s="191" t="s">
        <v>176</v>
      </c>
      <c r="BG973" s="55" t="s">
        <v>176</v>
      </c>
      <c r="BH973" s="226">
        <v>0</v>
      </c>
      <c r="BI973" s="55" t="s">
        <v>176</v>
      </c>
      <c r="BJ973" s="55" t="s">
        <v>176</v>
      </c>
      <c r="BK973" s="55" t="s">
        <v>6269</v>
      </c>
      <c r="BM973" s="192" t="s">
        <v>119</v>
      </c>
      <c r="BN973" s="55">
        <v>8</v>
      </c>
      <c r="BO973" s="55">
        <v>8</v>
      </c>
      <c r="BQ973" s="55" t="s">
        <v>141</v>
      </c>
      <c r="BS973" s="55">
        <v>730</v>
      </c>
      <c r="BT973" s="55">
        <f>BS973/19.3</f>
        <v>37.823834196891191</v>
      </c>
      <c r="BU973" s="55" t="s">
        <v>647</v>
      </c>
      <c r="DB973" s="65">
        <f>4</f>
        <v>4</v>
      </c>
      <c r="DC973" s="65">
        <f>3</f>
        <v>3</v>
      </c>
      <c r="DF973" s="65" t="s">
        <v>652</v>
      </c>
      <c r="GD973" s="65">
        <f>48/3</f>
        <v>16</v>
      </c>
      <c r="GE973" s="65">
        <f>41/3</f>
        <v>13.666666666666666</v>
      </c>
      <c r="GH973" s="65" t="s">
        <v>680</v>
      </c>
      <c r="GP973" s="292" t="s">
        <v>7494</v>
      </c>
      <c r="JU973" s="55" t="s">
        <v>654</v>
      </c>
      <c r="JV973" s="55" t="s">
        <v>653</v>
      </c>
    </row>
    <row r="974" spans="1:282" x14ac:dyDescent="0.25">
      <c r="A974" s="55">
        <v>973</v>
      </c>
      <c r="B974" s="12" t="s">
        <v>7067</v>
      </c>
      <c r="C974" s="155">
        <v>46</v>
      </c>
      <c r="D974" s="55" t="s">
        <v>3890</v>
      </c>
      <c r="E974" s="90" t="s">
        <v>639</v>
      </c>
      <c r="G974" s="55" t="s">
        <v>638</v>
      </c>
      <c r="H974" s="55">
        <v>2013</v>
      </c>
      <c r="I974" s="55">
        <v>2009</v>
      </c>
      <c r="J974" s="55" t="s">
        <v>309</v>
      </c>
      <c r="K974" s="55" t="s">
        <v>642</v>
      </c>
      <c r="L974" s="55" t="s">
        <v>2737</v>
      </c>
      <c r="M974" s="90">
        <f>48+45/60</f>
        <v>48.75</v>
      </c>
      <c r="N974" s="90">
        <f>-110-52/60</f>
        <v>-110.86666666666666</v>
      </c>
      <c r="O974" s="90">
        <v>1059</v>
      </c>
      <c r="U974" s="55">
        <v>1</v>
      </c>
      <c r="V974" s="55" t="s">
        <v>1805</v>
      </c>
      <c r="Y974" s="55" t="s">
        <v>1917</v>
      </c>
      <c r="Z974" s="55" t="s">
        <v>1369</v>
      </c>
      <c r="AA974" s="90" t="s">
        <v>1680</v>
      </c>
      <c r="AH974" s="55" t="s">
        <v>645</v>
      </c>
      <c r="AI974" s="168">
        <v>7.6</v>
      </c>
      <c r="AJ974" s="90">
        <v>1.28</v>
      </c>
      <c r="AM974" s="55" t="s">
        <v>1306</v>
      </c>
      <c r="AN974" s="185" t="s">
        <v>1503</v>
      </c>
      <c r="AO974" s="185" t="s">
        <v>5150</v>
      </c>
      <c r="AQ974" s="55" t="s">
        <v>553</v>
      </c>
      <c r="AR974" s="55" t="s">
        <v>1491</v>
      </c>
      <c r="AS974" s="55" t="s">
        <v>1583</v>
      </c>
      <c r="AT974" s="181" t="s">
        <v>1590</v>
      </c>
      <c r="AU974" s="181" t="s">
        <v>5150</v>
      </c>
      <c r="AV974" s="185" t="s">
        <v>176</v>
      </c>
      <c r="AW974" s="55" t="s">
        <v>1590</v>
      </c>
      <c r="AX974" s="185" t="s">
        <v>176</v>
      </c>
      <c r="AY974" s="55" t="s">
        <v>176</v>
      </c>
      <c r="BA974" s="55" t="s">
        <v>156</v>
      </c>
      <c r="BB974" s="55" t="s">
        <v>2082</v>
      </c>
      <c r="BC974" s="55" t="s">
        <v>2082</v>
      </c>
      <c r="BE974" s="226">
        <v>0</v>
      </c>
      <c r="BF974" s="191" t="s">
        <v>176</v>
      </c>
      <c r="BG974" s="55" t="s">
        <v>176</v>
      </c>
      <c r="BH974" s="226">
        <v>0</v>
      </c>
      <c r="BI974" s="55" t="s">
        <v>176</v>
      </c>
      <c r="BJ974" s="55" t="s">
        <v>176</v>
      </c>
      <c r="BK974" s="55" t="s">
        <v>6269</v>
      </c>
      <c r="BM974" s="192" t="s">
        <v>119</v>
      </c>
      <c r="BN974" s="55">
        <v>12</v>
      </c>
      <c r="BO974" s="55">
        <v>12</v>
      </c>
      <c r="BQ974" s="55" t="s">
        <v>141</v>
      </c>
      <c r="BS974" s="55">
        <f>1.02*1000</f>
        <v>1020</v>
      </c>
      <c r="BT974" s="55">
        <f>BS974/37.8</f>
        <v>26.984126984126988</v>
      </c>
      <c r="BU974" s="55" t="s">
        <v>648</v>
      </c>
      <c r="DB974" s="65">
        <f>20</f>
        <v>20</v>
      </c>
      <c r="DC974" s="65">
        <f>5</f>
        <v>5</v>
      </c>
      <c r="DF974" s="65" t="s">
        <v>652</v>
      </c>
      <c r="GD974" s="65">
        <f>77/3</f>
        <v>25.666666666666668</v>
      </c>
      <c r="GE974" s="65">
        <f>68/3</f>
        <v>22.666666666666668</v>
      </c>
      <c r="GH974" s="65" t="s">
        <v>680</v>
      </c>
      <c r="GP974" s="292" t="s">
        <v>7494</v>
      </c>
      <c r="JU974" s="55" t="s">
        <v>654</v>
      </c>
      <c r="JV974" s="55" t="s">
        <v>653</v>
      </c>
    </row>
    <row r="975" spans="1:282" x14ac:dyDescent="0.25">
      <c r="A975" s="55">
        <v>974</v>
      </c>
      <c r="B975" s="12" t="s">
        <v>7067</v>
      </c>
      <c r="C975" s="155">
        <v>46</v>
      </c>
      <c r="D975" s="55" t="s">
        <v>3891</v>
      </c>
      <c r="E975" s="90" t="s">
        <v>639</v>
      </c>
      <c r="G975" s="55" t="s">
        <v>638</v>
      </c>
      <c r="H975" s="55">
        <v>2013</v>
      </c>
      <c r="I975" s="55">
        <v>2009</v>
      </c>
      <c r="J975" s="55" t="s">
        <v>309</v>
      </c>
      <c r="K975" s="55" t="s">
        <v>643</v>
      </c>
      <c r="L975" s="55" t="s">
        <v>2737</v>
      </c>
      <c r="M975" s="90">
        <f>48+48/60</f>
        <v>48.8</v>
      </c>
      <c r="N975" s="90">
        <f>-111-38.5/60</f>
        <v>-111.64166666666667</v>
      </c>
      <c r="O975" s="90">
        <v>1102</v>
      </c>
      <c r="U975" s="55">
        <v>1</v>
      </c>
      <c r="V975" s="55" t="s">
        <v>1805</v>
      </c>
      <c r="Y975" s="55" t="s">
        <v>1917</v>
      </c>
      <c r="Z975" s="55" t="s">
        <v>1369</v>
      </c>
      <c r="AA975" s="90" t="s">
        <v>1680</v>
      </c>
      <c r="AH975" s="55" t="s">
        <v>139</v>
      </c>
      <c r="AI975" s="168">
        <v>6.9</v>
      </c>
      <c r="AJ975" s="90">
        <v>1.22</v>
      </c>
      <c r="AM975" s="55" t="s">
        <v>1306</v>
      </c>
      <c r="AN975" s="185" t="s">
        <v>1503</v>
      </c>
      <c r="AO975" s="185" t="s">
        <v>5150</v>
      </c>
      <c r="AQ975" s="55" t="s">
        <v>553</v>
      </c>
      <c r="AR975" s="55" t="s">
        <v>1491</v>
      </c>
      <c r="AS975" s="55" t="s">
        <v>1583</v>
      </c>
      <c r="AT975" s="181" t="s">
        <v>1590</v>
      </c>
      <c r="AU975" s="181" t="s">
        <v>5150</v>
      </c>
      <c r="AV975" s="185" t="s">
        <v>176</v>
      </c>
      <c r="AW975" s="55" t="s">
        <v>1590</v>
      </c>
      <c r="AX975" s="185" t="s">
        <v>176</v>
      </c>
      <c r="AY975" s="55" t="s">
        <v>176</v>
      </c>
      <c r="BA975" s="55" t="s">
        <v>156</v>
      </c>
      <c r="BB975" s="55" t="s">
        <v>2082</v>
      </c>
      <c r="BC975" s="55" t="s">
        <v>2082</v>
      </c>
      <c r="BE975" s="226">
        <v>0</v>
      </c>
      <c r="BF975" s="191" t="s">
        <v>176</v>
      </c>
      <c r="BG975" s="55" t="s">
        <v>176</v>
      </c>
      <c r="BH975" s="226">
        <v>0</v>
      </c>
      <c r="BI975" s="55" t="s">
        <v>176</v>
      </c>
      <c r="BJ975" s="55" t="s">
        <v>176</v>
      </c>
      <c r="BK975" s="55" t="s">
        <v>6269</v>
      </c>
      <c r="BM975" s="192" t="s">
        <v>119</v>
      </c>
      <c r="BN975" s="55">
        <v>8</v>
      </c>
      <c r="BO975" s="55">
        <v>8</v>
      </c>
      <c r="BQ975" s="55" t="s">
        <v>141</v>
      </c>
      <c r="BS975" s="55">
        <v>1090</v>
      </c>
      <c r="BT975" s="55">
        <f>BS975/28.4</f>
        <v>38.380281690140848</v>
      </c>
      <c r="BU975" s="55" t="s">
        <v>649</v>
      </c>
      <c r="DB975" s="65">
        <f>17</f>
        <v>17</v>
      </c>
      <c r="DC975" s="65">
        <f>8</f>
        <v>8</v>
      </c>
      <c r="DF975" s="65" t="s">
        <v>652</v>
      </c>
      <c r="GD975" s="65">
        <f>52/3</f>
        <v>17.333333333333332</v>
      </c>
      <c r="GE975" s="65">
        <f>37/3</f>
        <v>12.333333333333334</v>
      </c>
      <c r="GH975" s="65" t="s">
        <v>680</v>
      </c>
      <c r="GP975" s="292" t="s">
        <v>7494</v>
      </c>
      <c r="JU975" s="55" t="s">
        <v>654</v>
      </c>
      <c r="JV975" s="55" t="s">
        <v>653</v>
      </c>
    </row>
    <row r="976" spans="1:282" x14ac:dyDescent="0.25">
      <c r="A976" s="55">
        <v>975</v>
      </c>
      <c r="B976" s="12" t="s">
        <v>7067</v>
      </c>
      <c r="C976" s="155">
        <v>46</v>
      </c>
      <c r="D976" s="55" t="s">
        <v>3892</v>
      </c>
      <c r="E976" s="90" t="s">
        <v>639</v>
      </c>
      <c r="G976" s="55" t="s">
        <v>638</v>
      </c>
      <c r="H976" s="55">
        <v>2013</v>
      </c>
      <c r="I976" s="55">
        <v>2009</v>
      </c>
      <c r="J976" s="55" t="s">
        <v>309</v>
      </c>
      <c r="K976" s="55" t="s">
        <v>644</v>
      </c>
      <c r="L976" s="55" t="s">
        <v>2737</v>
      </c>
      <c r="M976" s="90">
        <f>48+48/60</f>
        <v>48.8</v>
      </c>
      <c r="N976" s="90">
        <f>-111-31/60</f>
        <v>-111.51666666666667</v>
      </c>
      <c r="O976" s="90">
        <v>1090</v>
      </c>
      <c r="U976" s="55">
        <v>1</v>
      </c>
      <c r="V976" s="55" t="s">
        <v>1805</v>
      </c>
      <c r="Y976" s="55" t="s">
        <v>1917</v>
      </c>
      <c r="Z976" s="55" t="s">
        <v>1369</v>
      </c>
      <c r="AA976" s="90" t="s">
        <v>1680</v>
      </c>
      <c r="AH976" s="55" t="s">
        <v>494</v>
      </c>
      <c r="AI976" s="168">
        <v>7.8</v>
      </c>
      <c r="AJ976" s="90">
        <v>1.1000000000000001</v>
      </c>
      <c r="AM976" s="55" t="s">
        <v>1306</v>
      </c>
      <c r="AN976" s="185" t="s">
        <v>538</v>
      </c>
      <c r="AO976" s="185" t="s">
        <v>5150</v>
      </c>
      <c r="AQ976" s="55" t="s">
        <v>553</v>
      </c>
      <c r="AR976" s="55" t="s">
        <v>1491</v>
      </c>
      <c r="AS976" s="55" t="s">
        <v>1583</v>
      </c>
      <c r="AT976" s="181" t="s">
        <v>1590</v>
      </c>
      <c r="AU976" s="181" t="s">
        <v>5150</v>
      </c>
      <c r="AV976" s="185" t="s">
        <v>176</v>
      </c>
      <c r="AW976" s="55" t="s">
        <v>1590</v>
      </c>
      <c r="AX976" s="185" t="s">
        <v>176</v>
      </c>
      <c r="AY976" s="55" t="s">
        <v>176</v>
      </c>
      <c r="BA976" s="55" t="s">
        <v>156</v>
      </c>
      <c r="BB976" s="55" t="s">
        <v>2082</v>
      </c>
      <c r="BC976" s="55" t="s">
        <v>2082</v>
      </c>
      <c r="BE976" s="226">
        <v>0</v>
      </c>
      <c r="BF976" s="191" t="s">
        <v>176</v>
      </c>
      <c r="BG976" s="55" t="s">
        <v>176</v>
      </c>
      <c r="BH976" s="226">
        <v>0</v>
      </c>
      <c r="BI976" s="55" t="s">
        <v>176</v>
      </c>
      <c r="BJ976" s="55" t="s">
        <v>176</v>
      </c>
      <c r="BK976" s="55" t="s">
        <v>6269</v>
      </c>
      <c r="BM976" s="192" t="s">
        <v>119</v>
      </c>
      <c r="BN976" s="55">
        <v>8</v>
      </c>
      <c r="BO976" s="55">
        <v>8</v>
      </c>
      <c r="BQ976" s="55" t="s">
        <v>141</v>
      </c>
      <c r="BS976" s="55">
        <v>550</v>
      </c>
      <c r="BT976" s="55">
        <f>BS976/14.5</f>
        <v>37.931034482758619</v>
      </c>
      <c r="BU976" s="55" t="s">
        <v>650</v>
      </c>
      <c r="DB976" s="65">
        <f>2</f>
        <v>2</v>
      </c>
      <c r="DC976" s="65">
        <v>1</v>
      </c>
      <c r="DF976" s="65" t="s">
        <v>652</v>
      </c>
      <c r="GD976" s="65">
        <f>64/3</f>
        <v>21.333333333333332</v>
      </c>
      <c r="GE976" s="65">
        <f>41/3</f>
        <v>13.666666666666666</v>
      </c>
      <c r="GH976" s="65" t="s">
        <v>680</v>
      </c>
      <c r="GP976" s="292" t="s">
        <v>7494</v>
      </c>
      <c r="JU976" s="55" t="s">
        <v>654</v>
      </c>
      <c r="JV976" s="55" t="s">
        <v>653</v>
      </c>
    </row>
    <row r="977" spans="1:282" x14ac:dyDescent="0.25">
      <c r="A977" s="55">
        <v>976</v>
      </c>
      <c r="B977" s="12" t="s">
        <v>7067</v>
      </c>
      <c r="C977" s="155">
        <v>46</v>
      </c>
      <c r="D977" s="55" t="s">
        <v>3888</v>
      </c>
      <c r="E977" s="90" t="s">
        <v>639</v>
      </c>
      <c r="G977" s="55" t="s">
        <v>638</v>
      </c>
      <c r="H977" s="55">
        <v>2013</v>
      </c>
      <c r="I977" s="55">
        <v>2009</v>
      </c>
      <c r="J977" s="55" t="s">
        <v>309</v>
      </c>
      <c r="K977" s="55" t="s">
        <v>640</v>
      </c>
      <c r="L977" s="55" t="s">
        <v>2737</v>
      </c>
      <c r="M977" s="90">
        <f>47+55/60</f>
        <v>47.916666666666664</v>
      </c>
      <c r="N977" s="90">
        <f>-109-55/60</f>
        <v>-109.91666666666667</v>
      </c>
      <c r="O977" s="90">
        <v>888</v>
      </c>
      <c r="U977" s="55">
        <v>1</v>
      </c>
      <c r="V977" s="55" t="s">
        <v>1805</v>
      </c>
      <c r="Y977" s="55" t="s">
        <v>1917</v>
      </c>
      <c r="Z977" s="55" t="s">
        <v>1370</v>
      </c>
      <c r="AA977" s="90" t="s">
        <v>1680</v>
      </c>
      <c r="AH977" s="55" t="s">
        <v>494</v>
      </c>
      <c r="AI977" s="168">
        <v>6.1</v>
      </c>
      <c r="AJ977" s="90">
        <v>1.1000000000000001</v>
      </c>
      <c r="AM977" s="55" t="s">
        <v>1306</v>
      </c>
      <c r="AN977" s="185" t="s">
        <v>1503</v>
      </c>
      <c r="AO977" s="185" t="s">
        <v>5150</v>
      </c>
      <c r="AQ977" s="55" t="s">
        <v>553</v>
      </c>
      <c r="AR977" s="55" t="s">
        <v>1491</v>
      </c>
      <c r="AS977" s="55" t="s">
        <v>1583</v>
      </c>
      <c r="AT977" s="181" t="s">
        <v>1590</v>
      </c>
      <c r="AU977" s="181" t="s">
        <v>5150</v>
      </c>
      <c r="AV977" s="185" t="s">
        <v>176</v>
      </c>
      <c r="AW977" s="55" t="s">
        <v>1590</v>
      </c>
      <c r="AX977" s="185" t="s">
        <v>176</v>
      </c>
      <c r="AY977" s="55" t="s">
        <v>176</v>
      </c>
      <c r="BA977" s="55" t="s">
        <v>156</v>
      </c>
      <c r="BB977" s="55" t="s">
        <v>2082</v>
      </c>
      <c r="BC977" s="55" t="s">
        <v>2082</v>
      </c>
      <c r="BE977" s="226">
        <v>0</v>
      </c>
      <c r="BF977" s="191" t="s">
        <v>176</v>
      </c>
      <c r="BG977" s="55" t="s">
        <v>176</v>
      </c>
      <c r="BH977" s="226">
        <v>0</v>
      </c>
      <c r="BI977" s="55" t="s">
        <v>176</v>
      </c>
      <c r="BJ977" s="55" t="s">
        <v>176</v>
      </c>
      <c r="BK977" s="55" t="s">
        <v>6269</v>
      </c>
      <c r="BM977" s="192" t="s">
        <v>119</v>
      </c>
      <c r="BN977" s="55">
        <v>6</v>
      </c>
      <c r="BO977" s="55">
        <v>6</v>
      </c>
      <c r="BQ977" s="55" t="s">
        <v>141</v>
      </c>
      <c r="BS977" s="55">
        <f>1.07*1000</f>
        <v>1070</v>
      </c>
      <c r="BT977" s="55">
        <f>BS977/44.2</f>
        <v>24.20814479638009</v>
      </c>
      <c r="BU977" s="55" t="s">
        <v>646</v>
      </c>
      <c r="DB977" s="65">
        <v>9</v>
      </c>
      <c r="DC977" s="65">
        <v>4</v>
      </c>
      <c r="DF977" s="65" t="s">
        <v>652</v>
      </c>
      <c r="GD977" s="65">
        <f>54/3</f>
        <v>18</v>
      </c>
      <c r="GE977" s="65">
        <f>53/3</f>
        <v>17.666666666666668</v>
      </c>
      <c r="GH977" s="65" t="s">
        <v>680</v>
      </c>
      <c r="GP977" s="292" t="s">
        <v>7494</v>
      </c>
      <c r="JU977" s="55" t="s">
        <v>654</v>
      </c>
      <c r="JV977" s="55" t="s">
        <v>653</v>
      </c>
    </row>
    <row r="978" spans="1:282" x14ac:dyDescent="0.25">
      <c r="A978" s="55">
        <v>977</v>
      </c>
      <c r="B978" s="12" t="s">
        <v>7067</v>
      </c>
      <c r="C978" s="155">
        <v>46</v>
      </c>
      <c r="D978" s="55" t="s">
        <v>3889</v>
      </c>
      <c r="E978" s="90" t="s">
        <v>639</v>
      </c>
      <c r="G978" s="55" t="s">
        <v>638</v>
      </c>
      <c r="H978" s="55">
        <v>2013</v>
      </c>
      <c r="I978" s="55">
        <v>2009</v>
      </c>
      <c r="J978" s="55" t="s">
        <v>309</v>
      </c>
      <c r="K978" s="55" t="s">
        <v>641</v>
      </c>
      <c r="L978" s="55" t="s">
        <v>2737</v>
      </c>
      <c r="M978" s="90">
        <f>48+18/60</f>
        <v>48.3</v>
      </c>
      <c r="N978" s="90">
        <f>-110-6/60</f>
        <v>-110.1</v>
      </c>
      <c r="O978" s="90">
        <v>833</v>
      </c>
      <c r="U978" s="55">
        <v>1</v>
      </c>
      <c r="V978" s="55" t="s">
        <v>1805</v>
      </c>
      <c r="Y978" s="55" t="s">
        <v>1917</v>
      </c>
      <c r="Z978" s="55" t="s">
        <v>1370</v>
      </c>
      <c r="AA978" s="90" t="s">
        <v>1680</v>
      </c>
      <c r="AH978" s="55" t="s">
        <v>139</v>
      </c>
      <c r="AI978" s="168">
        <v>6.9</v>
      </c>
      <c r="AJ978" s="90">
        <v>0.87</v>
      </c>
      <c r="AM978" s="55" t="s">
        <v>1306</v>
      </c>
      <c r="AN978" s="185" t="s">
        <v>1504</v>
      </c>
      <c r="AO978" s="185" t="s">
        <v>5150</v>
      </c>
      <c r="AQ978" s="55" t="s">
        <v>553</v>
      </c>
      <c r="AR978" s="55" t="s">
        <v>1491</v>
      </c>
      <c r="AS978" s="55" t="s">
        <v>1583</v>
      </c>
      <c r="AT978" s="181" t="s">
        <v>1590</v>
      </c>
      <c r="AU978" s="181" t="s">
        <v>5150</v>
      </c>
      <c r="AV978" s="185" t="s">
        <v>176</v>
      </c>
      <c r="AW978" s="55" t="s">
        <v>1590</v>
      </c>
      <c r="AX978" s="185" t="s">
        <v>176</v>
      </c>
      <c r="AY978" s="55" t="s">
        <v>176</v>
      </c>
      <c r="BA978" s="55" t="s">
        <v>156</v>
      </c>
      <c r="BB978" s="55" t="s">
        <v>2082</v>
      </c>
      <c r="BC978" s="55" t="s">
        <v>2082</v>
      </c>
      <c r="BE978" s="226">
        <v>0</v>
      </c>
      <c r="BF978" s="191" t="s">
        <v>176</v>
      </c>
      <c r="BG978" s="55" t="s">
        <v>176</v>
      </c>
      <c r="BH978" s="226">
        <v>0</v>
      </c>
      <c r="BI978" s="55" t="s">
        <v>176</v>
      </c>
      <c r="BJ978" s="55" t="s">
        <v>176</v>
      </c>
      <c r="BK978" s="55" t="s">
        <v>6269</v>
      </c>
      <c r="BM978" s="192" t="s">
        <v>119</v>
      </c>
      <c r="BN978" s="55">
        <v>8</v>
      </c>
      <c r="BO978" s="55">
        <v>8</v>
      </c>
      <c r="BQ978" s="55" t="s">
        <v>141</v>
      </c>
      <c r="BS978" s="55">
        <v>730</v>
      </c>
      <c r="BT978" s="55">
        <f>BS978/19.3</f>
        <v>37.823834196891191</v>
      </c>
      <c r="BU978" s="55" t="s">
        <v>647</v>
      </c>
      <c r="DB978" s="65">
        <v>14</v>
      </c>
      <c r="DC978" s="65">
        <v>13</v>
      </c>
      <c r="DF978" s="65" t="s">
        <v>652</v>
      </c>
      <c r="GD978" s="65">
        <f>44/3</f>
        <v>14.666666666666666</v>
      </c>
      <c r="GE978" s="65">
        <f>40/3</f>
        <v>13.333333333333334</v>
      </c>
      <c r="GH978" s="65" t="s">
        <v>680</v>
      </c>
      <c r="GP978" s="292" t="s">
        <v>7494</v>
      </c>
      <c r="JU978" s="55" t="s">
        <v>654</v>
      </c>
      <c r="JV978" s="55" t="s">
        <v>653</v>
      </c>
    </row>
    <row r="979" spans="1:282" x14ac:dyDescent="0.25">
      <c r="A979" s="55">
        <v>978</v>
      </c>
      <c r="B979" s="12" t="s">
        <v>7067</v>
      </c>
      <c r="C979" s="155">
        <v>46</v>
      </c>
      <c r="D979" s="55" t="s">
        <v>3890</v>
      </c>
      <c r="E979" s="90" t="s">
        <v>639</v>
      </c>
      <c r="G979" s="55" t="s">
        <v>638</v>
      </c>
      <c r="H979" s="55">
        <v>2013</v>
      </c>
      <c r="I979" s="55">
        <v>2009</v>
      </c>
      <c r="J979" s="55" t="s">
        <v>309</v>
      </c>
      <c r="K979" s="55" t="s">
        <v>642</v>
      </c>
      <c r="L979" s="55" t="s">
        <v>2737</v>
      </c>
      <c r="M979" s="90">
        <f>48+45/60</f>
        <v>48.75</v>
      </c>
      <c r="N979" s="90">
        <f>-110-52/60</f>
        <v>-110.86666666666666</v>
      </c>
      <c r="O979" s="90">
        <v>1059</v>
      </c>
      <c r="U979" s="55">
        <v>1</v>
      </c>
      <c r="V979" s="55" t="s">
        <v>1805</v>
      </c>
      <c r="Y979" s="55" t="s">
        <v>1917</v>
      </c>
      <c r="Z979" s="55" t="s">
        <v>1370</v>
      </c>
      <c r="AA979" s="90" t="s">
        <v>1680</v>
      </c>
      <c r="AH979" s="55" t="s">
        <v>645</v>
      </c>
      <c r="AI979" s="168">
        <v>7.6</v>
      </c>
      <c r="AJ979" s="90">
        <v>1.28</v>
      </c>
      <c r="AM979" s="55" t="s">
        <v>1306</v>
      </c>
      <c r="AN979" s="185" t="s">
        <v>1503</v>
      </c>
      <c r="AO979" s="185" t="s">
        <v>5150</v>
      </c>
      <c r="AQ979" s="55" t="s">
        <v>553</v>
      </c>
      <c r="AR979" s="55" t="s">
        <v>1491</v>
      </c>
      <c r="AS979" s="55" t="s">
        <v>1583</v>
      </c>
      <c r="AT979" s="181" t="s">
        <v>1590</v>
      </c>
      <c r="AU979" s="181" t="s">
        <v>5150</v>
      </c>
      <c r="AV979" s="185" t="s">
        <v>176</v>
      </c>
      <c r="AW979" s="55" t="s">
        <v>1590</v>
      </c>
      <c r="AX979" s="185" t="s">
        <v>176</v>
      </c>
      <c r="AY979" s="55" t="s">
        <v>176</v>
      </c>
      <c r="BA979" s="55" t="s">
        <v>156</v>
      </c>
      <c r="BB979" s="55" t="s">
        <v>2082</v>
      </c>
      <c r="BC979" s="55" t="s">
        <v>2082</v>
      </c>
      <c r="BE979" s="226">
        <v>0</v>
      </c>
      <c r="BF979" s="191" t="s">
        <v>176</v>
      </c>
      <c r="BG979" s="55" t="s">
        <v>176</v>
      </c>
      <c r="BH979" s="226">
        <v>0</v>
      </c>
      <c r="BI979" s="55" t="s">
        <v>176</v>
      </c>
      <c r="BJ979" s="55" t="s">
        <v>176</v>
      </c>
      <c r="BK979" s="55" t="s">
        <v>6269</v>
      </c>
      <c r="BM979" s="192" t="s">
        <v>119</v>
      </c>
      <c r="BN979" s="55">
        <v>12</v>
      </c>
      <c r="BO979" s="55">
        <v>12</v>
      </c>
      <c r="BQ979" s="55" t="s">
        <v>141</v>
      </c>
      <c r="BS979" s="55">
        <f>1.02*1000</f>
        <v>1020</v>
      </c>
      <c r="BT979" s="55">
        <f>BS979/37.8</f>
        <v>26.984126984126988</v>
      </c>
      <c r="BU979" s="55" t="s">
        <v>648</v>
      </c>
      <c r="DB979" s="65">
        <v>39</v>
      </c>
      <c r="DC979" s="65">
        <v>24</v>
      </c>
      <c r="DF979" s="65" t="s">
        <v>652</v>
      </c>
      <c r="GD979" s="65">
        <f>74/3</f>
        <v>24.666666666666668</v>
      </c>
      <c r="GE979" s="65">
        <f>72/3</f>
        <v>24</v>
      </c>
      <c r="GH979" s="65" t="s">
        <v>680</v>
      </c>
      <c r="GP979" s="292" t="s">
        <v>7494</v>
      </c>
      <c r="JU979" s="55" t="s">
        <v>654</v>
      </c>
      <c r="JV979" s="55" t="s">
        <v>653</v>
      </c>
    </row>
    <row r="980" spans="1:282" x14ac:dyDescent="0.25">
      <c r="A980" s="55">
        <v>979</v>
      </c>
      <c r="B980" s="12" t="s">
        <v>7067</v>
      </c>
      <c r="C980" s="155">
        <v>46</v>
      </c>
      <c r="D980" s="55" t="s">
        <v>3891</v>
      </c>
      <c r="E980" s="90" t="s">
        <v>639</v>
      </c>
      <c r="G980" s="55" t="s">
        <v>638</v>
      </c>
      <c r="H980" s="55">
        <v>2013</v>
      </c>
      <c r="I980" s="55">
        <v>2009</v>
      </c>
      <c r="J980" s="55" t="s">
        <v>309</v>
      </c>
      <c r="K980" s="55" t="s">
        <v>643</v>
      </c>
      <c r="L980" s="55" t="s">
        <v>2737</v>
      </c>
      <c r="M980" s="90">
        <f>48+48/60</f>
        <v>48.8</v>
      </c>
      <c r="N980" s="90">
        <f>-111-38.5/60</f>
        <v>-111.64166666666667</v>
      </c>
      <c r="O980" s="90">
        <v>1102</v>
      </c>
      <c r="U980" s="55">
        <v>1</v>
      </c>
      <c r="V980" s="55" t="s">
        <v>1805</v>
      </c>
      <c r="Y980" s="55" t="s">
        <v>1917</v>
      </c>
      <c r="Z980" s="55" t="s">
        <v>1370</v>
      </c>
      <c r="AA980" s="90" t="s">
        <v>1680</v>
      </c>
      <c r="AH980" s="55" t="s">
        <v>139</v>
      </c>
      <c r="AI980" s="168">
        <v>6.9</v>
      </c>
      <c r="AJ980" s="90">
        <v>1.22</v>
      </c>
      <c r="AM980" s="55" t="s">
        <v>1306</v>
      </c>
      <c r="AN980" s="185" t="s">
        <v>1503</v>
      </c>
      <c r="AO980" s="185" t="s">
        <v>5150</v>
      </c>
      <c r="AQ980" s="55" t="s">
        <v>553</v>
      </c>
      <c r="AR980" s="55" t="s">
        <v>1491</v>
      </c>
      <c r="AS980" s="55" t="s">
        <v>1583</v>
      </c>
      <c r="AT980" s="181" t="s">
        <v>1590</v>
      </c>
      <c r="AU980" s="181" t="s">
        <v>5150</v>
      </c>
      <c r="AV980" s="185" t="s">
        <v>176</v>
      </c>
      <c r="AW980" s="55" t="s">
        <v>1590</v>
      </c>
      <c r="AX980" s="185" t="s">
        <v>176</v>
      </c>
      <c r="AY980" s="55" t="s">
        <v>176</v>
      </c>
      <c r="BA980" s="55" t="s">
        <v>156</v>
      </c>
      <c r="BB980" s="55" t="s">
        <v>2082</v>
      </c>
      <c r="BC980" s="55" t="s">
        <v>2082</v>
      </c>
      <c r="BE980" s="226">
        <v>0</v>
      </c>
      <c r="BF980" s="191" t="s">
        <v>176</v>
      </c>
      <c r="BG980" s="55" t="s">
        <v>176</v>
      </c>
      <c r="BH980" s="226">
        <v>0</v>
      </c>
      <c r="BI980" s="55" t="s">
        <v>176</v>
      </c>
      <c r="BJ980" s="55" t="s">
        <v>176</v>
      </c>
      <c r="BK980" s="55" t="s">
        <v>6269</v>
      </c>
      <c r="BM980" s="192" t="s">
        <v>119</v>
      </c>
      <c r="BN980" s="55">
        <v>8</v>
      </c>
      <c r="BO980" s="55">
        <v>8</v>
      </c>
      <c r="BQ980" s="55" t="s">
        <v>141</v>
      </c>
      <c r="BS980" s="55">
        <v>1090</v>
      </c>
      <c r="BT980" s="55">
        <f>BS980/28.4</f>
        <v>38.380281690140848</v>
      </c>
      <c r="BU980" s="55" t="s">
        <v>649</v>
      </c>
      <c r="DB980" s="65">
        <v>15</v>
      </c>
      <c r="DC980" s="65">
        <v>13</v>
      </c>
      <c r="DF980" s="65" t="s">
        <v>652</v>
      </c>
      <c r="GD980" s="65">
        <f>44/3</f>
        <v>14.666666666666666</v>
      </c>
      <c r="GE980" s="65">
        <f>36/3</f>
        <v>12</v>
      </c>
      <c r="GH980" s="65" t="s">
        <v>680</v>
      </c>
      <c r="GP980" s="292" t="s">
        <v>7494</v>
      </c>
      <c r="JU980" s="55" t="s">
        <v>654</v>
      </c>
      <c r="JV980" s="55" t="s">
        <v>653</v>
      </c>
    </row>
    <row r="981" spans="1:282" x14ac:dyDescent="0.25">
      <c r="A981" s="55">
        <v>980</v>
      </c>
      <c r="B981" s="12" t="s">
        <v>7067</v>
      </c>
      <c r="C981" s="155">
        <v>46</v>
      </c>
      <c r="D981" s="55" t="s">
        <v>3892</v>
      </c>
      <c r="E981" s="90" t="s">
        <v>639</v>
      </c>
      <c r="G981" s="55" t="s">
        <v>638</v>
      </c>
      <c r="H981" s="55">
        <v>2013</v>
      </c>
      <c r="I981" s="55">
        <v>2009</v>
      </c>
      <c r="J981" s="55" t="s">
        <v>309</v>
      </c>
      <c r="K981" s="55" t="s">
        <v>644</v>
      </c>
      <c r="L981" s="55" t="s">
        <v>2737</v>
      </c>
      <c r="M981" s="90">
        <f>48+48/60</f>
        <v>48.8</v>
      </c>
      <c r="N981" s="90">
        <f>-111-31/60</f>
        <v>-111.51666666666667</v>
      </c>
      <c r="O981" s="90">
        <v>1090</v>
      </c>
      <c r="U981" s="55">
        <v>1</v>
      </c>
      <c r="V981" s="55" t="s">
        <v>1805</v>
      </c>
      <c r="Y981" s="55" t="s">
        <v>1917</v>
      </c>
      <c r="Z981" s="55" t="s">
        <v>1370</v>
      </c>
      <c r="AA981" s="90" t="s">
        <v>1680</v>
      </c>
      <c r="AH981" s="55" t="s">
        <v>494</v>
      </c>
      <c r="AI981" s="168">
        <v>7.8</v>
      </c>
      <c r="AJ981" s="90">
        <v>1.1000000000000001</v>
      </c>
      <c r="AM981" s="55" t="s">
        <v>1306</v>
      </c>
      <c r="AN981" s="185" t="s">
        <v>538</v>
      </c>
      <c r="AO981" s="185" t="s">
        <v>5150</v>
      </c>
      <c r="AQ981" s="55" t="s">
        <v>553</v>
      </c>
      <c r="AR981" s="55" t="s">
        <v>1491</v>
      </c>
      <c r="AS981" s="55" t="s">
        <v>1583</v>
      </c>
      <c r="AT981" s="181" t="s">
        <v>1590</v>
      </c>
      <c r="AU981" s="181" t="s">
        <v>5150</v>
      </c>
      <c r="AV981" s="185" t="s">
        <v>176</v>
      </c>
      <c r="AW981" s="55" t="s">
        <v>1590</v>
      </c>
      <c r="AX981" s="185" t="s">
        <v>176</v>
      </c>
      <c r="AY981" s="55" t="s">
        <v>176</v>
      </c>
      <c r="BA981" s="55" t="s">
        <v>156</v>
      </c>
      <c r="BB981" s="55" t="s">
        <v>2082</v>
      </c>
      <c r="BC981" s="55" t="s">
        <v>2082</v>
      </c>
      <c r="BE981" s="226">
        <v>0</v>
      </c>
      <c r="BF981" s="191" t="s">
        <v>176</v>
      </c>
      <c r="BG981" s="55" t="s">
        <v>176</v>
      </c>
      <c r="BH981" s="226">
        <v>0</v>
      </c>
      <c r="BI981" s="55" t="s">
        <v>176</v>
      </c>
      <c r="BJ981" s="55" t="s">
        <v>176</v>
      </c>
      <c r="BK981" s="55" t="s">
        <v>6269</v>
      </c>
      <c r="BM981" s="192" t="s">
        <v>119</v>
      </c>
      <c r="BN981" s="55">
        <v>8</v>
      </c>
      <c r="BO981" s="55">
        <v>8</v>
      </c>
      <c r="BQ981" s="55" t="s">
        <v>141</v>
      </c>
      <c r="BS981" s="55">
        <v>550</v>
      </c>
      <c r="BT981" s="55">
        <f>BS981/14.5</f>
        <v>37.931034482758619</v>
      </c>
      <c r="BU981" s="55" t="s">
        <v>650</v>
      </c>
      <c r="DB981" s="65">
        <v>2</v>
      </c>
      <c r="DC981" s="65">
        <v>2</v>
      </c>
      <c r="DF981" s="65" t="s">
        <v>652</v>
      </c>
      <c r="GD981" s="65">
        <f>61/3</f>
        <v>20.333333333333332</v>
      </c>
      <c r="GE981" s="65">
        <f>49/3</f>
        <v>16.333333333333332</v>
      </c>
      <c r="GH981" s="65" t="s">
        <v>680</v>
      </c>
      <c r="GP981" s="292" t="s">
        <v>7494</v>
      </c>
      <c r="JU981" s="55" t="s">
        <v>654</v>
      </c>
      <c r="JV981" s="55" t="s">
        <v>653</v>
      </c>
    </row>
    <row r="982" spans="1:282" x14ac:dyDescent="0.25">
      <c r="A982" s="55">
        <v>981</v>
      </c>
      <c r="B982" s="12" t="s">
        <v>7067</v>
      </c>
      <c r="C982" s="155">
        <v>46</v>
      </c>
      <c r="D982" s="55" t="s">
        <v>3888</v>
      </c>
      <c r="E982" s="90" t="s">
        <v>639</v>
      </c>
      <c r="G982" s="55" t="s">
        <v>638</v>
      </c>
      <c r="H982" s="55">
        <v>2013</v>
      </c>
      <c r="I982" s="55">
        <v>2009</v>
      </c>
      <c r="J982" s="55" t="s">
        <v>309</v>
      </c>
      <c r="K982" s="55" t="s">
        <v>640</v>
      </c>
      <c r="L982" s="55" t="s">
        <v>2737</v>
      </c>
      <c r="M982" s="90">
        <f>47+55/60</f>
        <v>47.916666666666664</v>
      </c>
      <c r="N982" s="90">
        <f>-109-55/60</f>
        <v>-109.91666666666667</v>
      </c>
      <c r="O982" s="90">
        <v>888</v>
      </c>
      <c r="U982" s="55">
        <v>1</v>
      </c>
      <c r="V982" s="55" t="s">
        <v>1805</v>
      </c>
      <c r="Y982" s="55" t="s">
        <v>1917</v>
      </c>
      <c r="Z982" s="55" t="s">
        <v>1356</v>
      </c>
      <c r="AA982" s="90" t="s">
        <v>1680</v>
      </c>
      <c r="AH982" s="55" t="s">
        <v>494</v>
      </c>
      <c r="AI982" s="168">
        <v>6.1</v>
      </c>
      <c r="AJ982" s="90">
        <v>1.1000000000000001</v>
      </c>
      <c r="AM982" s="55" t="s">
        <v>1306</v>
      </c>
      <c r="AN982" s="185" t="s">
        <v>1503</v>
      </c>
      <c r="AO982" s="185" t="s">
        <v>5150</v>
      </c>
      <c r="AQ982" s="55" t="s">
        <v>553</v>
      </c>
      <c r="AR982" s="55" t="s">
        <v>1491</v>
      </c>
      <c r="AS982" s="55" t="s">
        <v>1583</v>
      </c>
      <c r="AT982" s="181" t="s">
        <v>1590</v>
      </c>
      <c r="AU982" s="181" t="s">
        <v>5150</v>
      </c>
      <c r="AV982" s="185" t="s">
        <v>176</v>
      </c>
      <c r="AW982" s="55" t="s">
        <v>1590</v>
      </c>
      <c r="AX982" s="185" t="s">
        <v>176</v>
      </c>
      <c r="AY982" s="55" t="s">
        <v>176</v>
      </c>
      <c r="BA982" s="55" t="s">
        <v>156</v>
      </c>
      <c r="BB982" s="55" t="s">
        <v>2082</v>
      </c>
      <c r="BC982" s="55" t="s">
        <v>2082</v>
      </c>
      <c r="BE982" s="226">
        <v>0</v>
      </c>
      <c r="BF982" s="191" t="s">
        <v>176</v>
      </c>
      <c r="BG982" s="55" t="s">
        <v>176</v>
      </c>
      <c r="BH982" s="226">
        <v>0</v>
      </c>
      <c r="BI982" s="55" t="s">
        <v>176</v>
      </c>
      <c r="BJ982" s="55" t="s">
        <v>176</v>
      </c>
      <c r="BK982" s="55" t="s">
        <v>6269</v>
      </c>
      <c r="BM982" s="192" t="s">
        <v>119</v>
      </c>
      <c r="BN982" s="55">
        <v>6</v>
      </c>
      <c r="BO982" s="55">
        <v>6</v>
      </c>
      <c r="BQ982" s="55" t="s">
        <v>141</v>
      </c>
      <c r="BS982" s="55">
        <f>1.07*1000</f>
        <v>1070</v>
      </c>
      <c r="BT982" s="55">
        <f>BS982/44.2</f>
        <v>24.20814479638009</v>
      </c>
      <c r="BU982" s="55" t="s">
        <v>646</v>
      </c>
      <c r="DB982" s="65">
        <v>47</v>
      </c>
      <c r="DC982" s="65">
        <v>26</v>
      </c>
      <c r="DF982" s="65" t="s">
        <v>652</v>
      </c>
      <c r="GD982" s="65">
        <f>64/3</f>
        <v>21.333333333333332</v>
      </c>
      <c r="GE982" s="65">
        <f>68/3</f>
        <v>22.666666666666668</v>
      </c>
      <c r="GH982" s="65" t="s">
        <v>680</v>
      </c>
      <c r="GP982" s="292" t="s">
        <v>7494</v>
      </c>
      <c r="JU982" s="55" t="s">
        <v>654</v>
      </c>
      <c r="JV982" s="55" t="s">
        <v>653</v>
      </c>
    </row>
    <row r="983" spans="1:282" x14ac:dyDescent="0.25">
      <c r="A983" s="55">
        <v>982</v>
      </c>
      <c r="B983" s="12" t="s">
        <v>7067</v>
      </c>
      <c r="C983" s="155">
        <v>46</v>
      </c>
      <c r="D983" s="55" t="s">
        <v>3889</v>
      </c>
      <c r="E983" s="90" t="s">
        <v>639</v>
      </c>
      <c r="G983" s="55" t="s">
        <v>638</v>
      </c>
      <c r="H983" s="55">
        <v>2013</v>
      </c>
      <c r="I983" s="55">
        <v>2009</v>
      </c>
      <c r="J983" s="55" t="s">
        <v>309</v>
      </c>
      <c r="K983" s="55" t="s">
        <v>641</v>
      </c>
      <c r="L983" s="55" t="s">
        <v>2737</v>
      </c>
      <c r="M983" s="90">
        <f>48+18/60</f>
        <v>48.3</v>
      </c>
      <c r="N983" s="90">
        <f>-110-6/60</f>
        <v>-110.1</v>
      </c>
      <c r="O983" s="90">
        <v>833</v>
      </c>
      <c r="U983" s="55">
        <v>1</v>
      </c>
      <c r="V983" s="55" t="s">
        <v>1805</v>
      </c>
      <c r="Y983" s="55" t="s">
        <v>1917</v>
      </c>
      <c r="Z983" s="55" t="s">
        <v>1356</v>
      </c>
      <c r="AA983" s="90" t="s">
        <v>1680</v>
      </c>
      <c r="AH983" s="55" t="s">
        <v>139</v>
      </c>
      <c r="AI983" s="168">
        <v>6.9</v>
      </c>
      <c r="AJ983" s="90">
        <v>0.87</v>
      </c>
      <c r="AM983" s="55" t="s">
        <v>1306</v>
      </c>
      <c r="AN983" s="185" t="s">
        <v>1504</v>
      </c>
      <c r="AO983" s="185" t="s">
        <v>5150</v>
      </c>
      <c r="AQ983" s="55" t="s">
        <v>553</v>
      </c>
      <c r="AR983" s="55" t="s">
        <v>1491</v>
      </c>
      <c r="AS983" s="55" t="s">
        <v>1583</v>
      </c>
      <c r="AT983" s="181" t="s">
        <v>1590</v>
      </c>
      <c r="AU983" s="181" t="s">
        <v>5150</v>
      </c>
      <c r="AV983" s="185" t="s">
        <v>176</v>
      </c>
      <c r="AW983" s="55" t="s">
        <v>1590</v>
      </c>
      <c r="AX983" s="185" t="s">
        <v>176</v>
      </c>
      <c r="AY983" s="55" t="s">
        <v>176</v>
      </c>
      <c r="BA983" s="55" t="s">
        <v>156</v>
      </c>
      <c r="BB983" s="55" t="s">
        <v>2082</v>
      </c>
      <c r="BC983" s="55" t="s">
        <v>2082</v>
      </c>
      <c r="BE983" s="226">
        <v>0</v>
      </c>
      <c r="BF983" s="191" t="s">
        <v>176</v>
      </c>
      <c r="BG983" s="55" t="s">
        <v>176</v>
      </c>
      <c r="BH983" s="226">
        <v>0</v>
      </c>
      <c r="BI983" s="55" t="s">
        <v>176</v>
      </c>
      <c r="BJ983" s="55" t="s">
        <v>176</v>
      </c>
      <c r="BK983" s="55" t="s">
        <v>6269</v>
      </c>
      <c r="BM983" s="192" t="s">
        <v>119</v>
      </c>
      <c r="BN983" s="55">
        <v>8</v>
      </c>
      <c r="BO983" s="55">
        <v>8</v>
      </c>
      <c r="BQ983" s="55" t="s">
        <v>141</v>
      </c>
      <c r="BS983" s="55">
        <v>730</v>
      </c>
      <c r="BT983" s="55">
        <f>BS983/19.3</f>
        <v>37.823834196891191</v>
      </c>
      <c r="BU983" s="55" t="s">
        <v>647</v>
      </c>
      <c r="DB983" s="65">
        <v>29</v>
      </c>
      <c r="DC983" s="65">
        <v>15</v>
      </c>
      <c r="DF983" s="65" t="s">
        <v>652</v>
      </c>
      <c r="GD983" s="65">
        <f>56/3</f>
        <v>18.666666666666668</v>
      </c>
      <c r="GE983" s="65">
        <f>36/3</f>
        <v>12</v>
      </c>
      <c r="GH983" s="65" t="s">
        <v>680</v>
      </c>
      <c r="GP983" s="292" t="s">
        <v>7494</v>
      </c>
      <c r="JU983" s="55" t="s">
        <v>654</v>
      </c>
      <c r="JV983" s="55" t="s">
        <v>653</v>
      </c>
    </row>
    <row r="984" spans="1:282" x14ac:dyDescent="0.25">
      <c r="A984" s="55">
        <v>983</v>
      </c>
      <c r="B984" s="12" t="s">
        <v>7067</v>
      </c>
      <c r="C984" s="155">
        <v>46</v>
      </c>
      <c r="D984" s="55" t="s">
        <v>3890</v>
      </c>
      <c r="E984" s="90" t="s">
        <v>639</v>
      </c>
      <c r="G984" s="55" t="s">
        <v>638</v>
      </c>
      <c r="H984" s="55">
        <v>2013</v>
      </c>
      <c r="I984" s="55">
        <v>2009</v>
      </c>
      <c r="J984" s="55" t="s">
        <v>309</v>
      </c>
      <c r="K984" s="55" t="s">
        <v>642</v>
      </c>
      <c r="L984" s="55" t="s">
        <v>2737</v>
      </c>
      <c r="M984" s="90">
        <f>48+45/60</f>
        <v>48.75</v>
      </c>
      <c r="N984" s="90">
        <f>-110-52/60</f>
        <v>-110.86666666666666</v>
      </c>
      <c r="O984" s="90">
        <v>1059</v>
      </c>
      <c r="U984" s="55">
        <v>1</v>
      </c>
      <c r="V984" s="55" t="s">
        <v>1805</v>
      </c>
      <c r="Y984" s="55" t="s">
        <v>1917</v>
      </c>
      <c r="Z984" s="55" t="s">
        <v>1356</v>
      </c>
      <c r="AA984" s="90" t="s">
        <v>1680</v>
      </c>
      <c r="AH984" s="55" t="s">
        <v>645</v>
      </c>
      <c r="AI984" s="168">
        <v>7.6</v>
      </c>
      <c r="AJ984" s="90">
        <v>1.28</v>
      </c>
      <c r="AM984" s="55" t="s">
        <v>1306</v>
      </c>
      <c r="AN984" s="185" t="s">
        <v>1503</v>
      </c>
      <c r="AO984" s="185" t="s">
        <v>5150</v>
      </c>
      <c r="AQ984" s="55" t="s">
        <v>553</v>
      </c>
      <c r="AR984" s="55" t="s">
        <v>1491</v>
      </c>
      <c r="AS984" s="55" t="s">
        <v>1583</v>
      </c>
      <c r="AT984" s="181" t="s">
        <v>1590</v>
      </c>
      <c r="AU984" s="181" t="s">
        <v>5150</v>
      </c>
      <c r="AV984" s="185" t="s">
        <v>176</v>
      </c>
      <c r="AW984" s="55" t="s">
        <v>1590</v>
      </c>
      <c r="AX984" s="185" t="s">
        <v>176</v>
      </c>
      <c r="AY984" s="55" t="s">
        <v>176</v>
      </c>
      <c r="BA984" s="55" t="s">
        <v>156</v>
      </c>
      <c r="BB984" s="55" t="s">
        <v>2082</v>
      </c>
      <c r="BC984" s="55" t="s">
        <v>2082</v>
      </c>
      <c r="BE984" s="226">
        <v>0</v>
      </c>
      <c r="BF984" s="191" t="s">
        <v>176</v>
      </c>
      <c r="BG984" s="55" t="s">
        <v>176</v>
      </c>
      <c r="BH984" s="226">
        <v>0</v>
      </c>
      <c r="BI984" s="55" t="s">
        <v>176</v>
      </c>
      <c r="BJ984" s="55" t="s">
        <v>176</v>
      </c>
      <c r="BK984" s="55" t="s">
        <v>6269</v>
      </c>
      <c r="BM984" s="192" t="s">
        <v>119</v>
      </c>
      <c r="BN984" s="55">
        <v>12</v>
      </c>
      <c r="BO984" s="55">
        <v>12</v>
      </c>
      <c r="BQ984" s="55" t="s">
        <v>141</v>
      </c>
      <c r="BS984" s="55">
        <f>1.02*1000</f>
        <v>1020</v>
      </c>
      <c r="BT984" s="55">
        <f>BS984/37.8</f>
        <v>26.984126984126988</v>
      </c>
      <c r="BU984" s="55" t="s">
        <v>648</v>
      </c>
      <c r="DB984" s="65">
        <v>24</v>
      </c>
      <c r="DC984" s="65">
        <v>19</v>
      </c>
      <c r="DF984" s="65" t="s">
        <v>652</v>
      </c>
      <c r="GD984" s="65">
        <f>64/3</f>
        <v>21.333333333333332</v>
      </c>
      <c r="GE984" s="65">
        <f>45/3</f>
        <v>15</v>
      </c>
      <c r="GH984" s="65" t="s">
        <v>680</v>
      </c>
      <c r="GP984" s="292" t="s">
        <v>7494</v>
      </c>
      <c r="JU984" s="55" t="s">
        <v>654</v>
      </c>
      <c r="JV984" s="55" t="s">
        <v>653</v>
      </c>
    </row>
    <row r="985" spans="1:282" x14ac:dyDescent="0.25">
      <c r="A985" s="55">
        <v>984</v>
      </c>
      <c r="B985" s="12" t="s">
        <v>7067</v>
      </c>
      <c r="C985" s="155">
        <v>46</v>
      </c>
      <c r="D985" s="55" t="s">
        <v>3891</v>
      </c>
      <c r="E985" s="90" t="s">
        <v>639</v>
      </c>
      <c r="G985" s="55" t="s">
        <v>638</v>
      </c>
      <c r="H985" s="55">
        <v>2013</v>
      </c>
      <c r="I985" s="55">
        <v>2009</v>
      </c>
      <c r="J985" s="55" t="s">
        <v>309</v>
      </c>
      <c r="K985" s="55" t="s">
        <v>643</v>
      </c>
      <c r="L985" s="55" t="s">
        <v>2737</v>
      </c>
      <c r="M985" s="90">
        <f>48+48/60</f>
        <v>48.8</v>
      </c>
      <c r="N985" s="90">
        <f>-111-38.5/60</f>
        <v>-111.64166666666667</v>
      </c>
      <c r="O985" s="90">
        <v>1102</v>
      </c>
      <c r="U985" s="55">
        <v>1</v>
      </c>
      <c r="V985" s="55" t="s">
        <v>1805</v>
      </c>
      <c r="Y985" s="55" t="s">
        <v>1917</v>
      </c>
      <c r="Z985" s="55" t="s">
        <v>1356</v>
      </c>
      <c r="AA985" s="90" t="s">
        <v>1680</v>
      </c>
      <c r="AH985" s="55" t="s">
        <v>139</v>
      </c>
      <c r="AI985" s="168">
        <v>6.9</v>
      </c>
      <c r="AJ985" s="90">
        <v>1.22</v>
      </c>
      <c r="AM985" s="55" t="s">
        <v>1306</v>
      </c>
      <c r="AN985" s="185" t="s">
        <v>1503</v>
      </c>
      <c r="AO985" s="185" t="s">
        <v>5150</v>
      </c>
      <c r="AQ985" s="55" t="s">
        <v>553</v>
      </c>
      <c r="AR985" s="55" t="s">
        <v>1491</v>
      </c>
      <c r="AS985" s="55" t="s">
        <v>1583</v>
      </c>
      <c r="AT985" s="181" t="s">
        <v>1590</v>
      </c>
      <c r="AU985" s="181" t="s">
        <v>5150</v>
      </c>
      <c r="AV985" s="185" t="s">
        <v>176</v>
      </c>
      <c r="AW985" s="55" t="s">
        <v>1590</v>
      </c>
      <c r="AX985" s="185" t="s">
        <v>176</v>
      </c>
      <c r="AY985" s="55" t="s">
        <v>176</v>
      </c>
      <c r="BA985" s="55" t="s">
        <v>156</v>
      </c>
      <c r="BB985" s="55" t="s">
        <v>2082</v>
      </c>
      <c r="BC985" s="55" t="s">
        <v>2082</v>
      </c>
      <c r="BE985" s="226">
        <v>0</v>
      </c>
      <c r="BF985" s="191" t="s">
        <v>176</v>
      </c>
      <c r="BG985" s="55" t="s">
        <v>176</v>
      </c>
      <c r="BH985" s="226">
        <v>0</v>
      </c>
      <c r="BI985" s="55" t="s">
        <v>176</v>
      </c>
      <c r="BJ985" s="55" t="s">
        <v>176</v>
      </c>
      <c r="BK985" s="55" t="s">
        <v>6269</v>
      </c>
      <c r="BM985" s="192" t="s">
        <v>119</v>
      </c>
      <c r="BN985" s="55">
        <v>8</v>
      </c>
      <c r="BO985" s="55">
        <v>8</v>
      </c>
      <c r="BQ985" s="55" t="s">
        <v>141</v>
      </c>
      <c r="BS985" s="55">
        <v>1090</v>
      </c>
      <c r="BT985" s="55">
        <f>BS985/28.4</f>
        <v>38.380281690140848</v>
      </c>
      <c r="BU985" s="55" t="s">
        <v>649</v>
      </c>
      <c r="DB985" s="65">
        <v>54</v>
      </c>
      <c r="DC985" s="65">
        <v>23</v>
      </c>
      <c r="DF985" s="65" t="s">
        <v>652</v>
      </c>
      <c r="GD985" s="65">
        <f>80/3</f>
        <v>26.666666666666668</v>
      </c>
      <c r="GE985" s="65">
        <f>72/3</f>
        <v>24</v>
      </c>
      <c r="GH985" s="65" t="s">
        <v>680</v>
      </c>
      <c r="GP985" s="292" t="s">
        <v>7494</v>
      </c>
      <c r="JU985" s="55" t="s">
        <v>654</v>
      </c>
      <c r="JV985" s="55" t="s">
        <v>653</v>
      </c>
    </row>
    <row r="986" spans="1:282" x14ac:dyDescent="0.25">
      <c r="A986" s="55">
        <v>985</v>
      </c>
      <c r="B986" s="12" t="s">
        <v>7067</v>
      </c>
      <c r="C986" s="155">
        <v>46</v>
      </c>
      <c r="D986" s="55" t="s">
        <v>3892</v>
      </c>
      <c r="E986" s="90" t="s">
        <v>639</v>
      </c>
      <c r="G986" s="55" t="s">
        <v>638</v>
      </c>
      <c r="H986" s="55">
        <v>2013</v>
      </c>
      <c r="I986" s="55">
        <v>2009</v>
      </c>
      <c r="J986" s="55" t="s">
        <v>309</v>
      </c>
      <c r="K986" s="55" t="s">
        <v>644</v>
      </c>
      <c r="L986" s="55" t="s">
        <v>2737</v>
      </c>
      <c r="M986" s="90">
        <f>48+48/60</f>
        <v>48.8</v>
      </c>
      <c r="N986" s="90">
        <f>-111-31/60</f>
        <v>-111.51666666666667</v>
      </c>
      <c r="O986" s="90">
        <v>1090</v>
      </c>
      <c r="U986" s="55">
        <v>1</v>
      </c>
      <c r="V986" s="55" t="s">
        <v>1805</v>
      </c>
      <c r="Y986" s="55" t="s">
        <v>1917</v>
      </c>
      <c r="Z986" s="55" t="s">
        <v>1356</v>
      </c>
      <c r="AA986" s="90" t="s">
        <v>1680</v>
      </c>
      <c r="AH986" s="55" t="s">
        <v>494</v>
      </c>
      <c r="AI986" s="168">
        <v>7.8</v>
      </c>
      <c r="AJ986" s="90">
        <v>1.1000000000000001</v>
      </c>
      <c r="AM986" s="55" t="s">
        <v>1306</v>
      </c>
      <c r="AN986" s="185" t="s">
        <v>538</v>
      </c>
      <c r="AO986" s="185" t="s">
        <v>5150</v>
      </c>
      <c r="AQ986" s="55" t="s">
        <v>553</v>
      </c>
      <c r="AR986" s="55" t="s">
        <v>1491</v>
      </c>
      <c r="AS986" s="55" t="s">
        <v>1583</v>
      </c>
      <c r="AT986" s="181" t="s">
        <v>1590</v>
      </c>
      <c r="AU986" s="181" t="s">
        <v>5150</v>
      </c>
      <c r="AV986" s="185" t="s">
        <v>176</v>
      </c>
      <c r="AW986" s="55" t="s">
        <v>1590</v>
      </c>
      <c r="AX986" s="185" t="s">
        <v>176</v>
      </c>
      <c r="AY986" s="55" t="s">
        <v>176</v>
      </c>
      <c r="BA986" s="55" t="s">
        <v>156</v>
      </c>
      <c r="BB986" s="55" t="s">
        <v>2082</v>
      </c>
      <c r="BC986" s="55" t="s">
        <v>2082</v>
      </c>
      <c r="BE986" s="226">
        <v>0</v>
      </c>
      <c r="BF986" s="191" t="s">
        <v>176</v>
      </c>
      <c r="BG986" s="55" t="s">
        <v>176</v>
      </c>
      <c r="BH986" s="226">
        <v>0</v>
      </c>
      <c r="BI986" s="55" t="s">
        <v>176</v>
      </c>
      <c r="BJ986" s="55" t="s">
        <v>176</v>
      </c>
      <c r="BK986" s="55" t="s">
        <v>6269</v>
      </c>
      <c r="BM986" s="192" t="s">
        <v>119</v>
      </c>
      <c r="BN986" s="55">
        <v>8</v>
      </c>
      <c r="BO986" s="55">
        <v>8</v>
      </c>
      <c r="BQ986" s="55" t="s">
        <v>141</v>
      </c>
      <c r="BS986" s="55">
        <v>550</v>
      </c>
      <c r="BT986" s="55">
        <f>BS986/14.5</f>
        <v>37.931034482758619</v>
      </c>
      <c r="BU986" s="55" t="s">
        <v>650</v>
      </c>
      <c r="DB986" s="65">
        <v>16</v>
      </c>
      <c r="DC986" s="65">
        <v>10</v>
      </c>
      <c r="DF986" s="65" t="s">
        <v>652</v>
      </c>
      <c r="GD986" s="65">
        <f>83/3</f>
        <v>27.666666666666668</v>
      </c>
      <c r="GE986" s="65">
        <f>73/3</f>
        <v>24.333333333333332</v>
      </c>
      <c r="GH986" s="65" t="s">
        <v>680</v>
      </c>
      <c r="GP986" s="292" t="s">
        <v>7494</v>
      </c>
      <c r="JU986" s="55" t="s">
        <v>654</v>
      </c>
      <c r="JV986" s="55" t="s">
        <v>653</v>
      </c>
    </row>
    <row r="987" spans="1:282" x14ac:dyDescent="0.25">
      <c r="A987" s="55">
        <v>986</v>
      </c>
      <c r="B987" s="12" t="s">
        <v>7067</v>
      </c>
      <c r="C987" s="155">
        <v>46</v>
      </c>
      <c r="D987" s="55" t="s">
        <v>3888</v>
      </c>
      <c r="E987" s="90" t="s">
        <v>639</v>
      </c>
      <c r="G987" s="55" t="s">
        <v>638</v>
      </c>
      <c r="H987" s="55">
        <v>2013</v>
      </c>
      <c r="I987" s="55">
        <v>2009</v>
      </c>
      <c r="J987" s="55" t="s">
        <v>309</v>
      </c>
      <c r="K987" s="55" t="s">
        <v>640</v>
      </c>
      <c r="L987" s="55" t="s">
        <v>2737</v>
      </c>
      <c r="M987" s="90">
        <f>47+55/60</f>
        <v>47.916666666666664</v>
      </c>
      <c r="N987" s="90">
        <f>-109-55/60</f>
        <v>-109.91666666666667</v>
      </c>
      <c r="O987" s="90">
        <v>888</v>
      </c>
      <c r="U987" s="55">
        <v>1</v>
      </c>
      <c r="V987" s="55" t="s">
        <v>1805</v>
      </c>
      <c r="Y987" s="55" t="s">
        <v>1917</v>
      </c>
      <c r="Z987" s="55" t="s">
        <v>1369</v>
      </c>
      <c r="AA987" s="90" t="s">
        <v>1680</v>
      </c>
      <c r="AH987" s="55" t="s">
        <v>494</v>
      </c>
      <c r="AI987" s="168">
        <v>6.1</v>
      </c>
      <c r="AJ987" s="90">
        <v>1.1000000000000001</v>
      </c>
      <c r="AM987" s="55" t="s">
        <v>1306</v>
      </c>
      <c r="AN987" s="185" t="s">
        <v>1503</v>
      </c>
      <c r="AO987" s="185" t="s">
        <v>5150</v>
      </c>
      <c r="AQ987" s="55" t="s">
        <v>553</v>
      </c>
      <c r="AR987" s="55" t="s">
        <v>1491</v>
      </c>
      <c r="AS987" s="55" t="s">
        <v>1583</v>
      </c>
      <c r="AT987" s="181" t="s">
        <v>1590</v>
      </c>
      <c r="AU987" s="181" t="s">
        <v>5150</v>
      </c>
      <c r="AV987" s="185" t="s">
        <v>176</v>
      </c>
      <c r="AW987" s="55" t="s">
        <v>1590</v>
      </c>
      <c r="AX987" s="185" t="s">
        <v>176</v>
      </c>
      <c r="AY987" s="55" t="s">
        <v>176</v>
      </c>
      <c r="BA987" s="55" t="s">
        <v>156</v>
      </c>
      <c r="BB987" s="55" t="s">
        <v>2082</v>
      </c>
      <c r="BC987" s="55" t="s">
        <v>2082</v>
      </c>
      <c r="BE987" s="226">
        <v>0</v>
      </c>
      <c r="BF987" s="191" t="s">
        <v>176</v>
      </c>
      <c r="BG987" s="55" t="s">
        <v>176</v>
      </c>
      <c r="BH987" s="226">
        <v>0</v>
      </c>
      <c r="BI987" s="55" t="s">
        <v>176</v>
      </c>
      <c r="BJ987" s="55" t="s">
        <v>176</v>
      </c>
      <c r="BK987" s="55" t="s">
        <v>6269</v>
      </c>
      <c r="BM987" s="192" t="s">
        <v>119</v>
      </c>
      <c r="BN987" s="55">
        <v>6</v>
      </c>
      <c r="BO987" s="55">
        <v>6</v>
      </c>
      <c r="BQ987" s="55" t="s">
        <v>141</v>
      </c>
      <c r="BS987" s="55">
        <f>1.07*1000</f>
        <v>1070</v>
      </c>
      <c r="BT987" s="55">
        <f>BS987/44.2</f>
        <v>24.20814479638009</v>
      </c>
      <c r="BU987" s="55" t="s">
        <v>646</v>
      </c>
      <c r="DB987" s="65">
        <v>20</v>
      </c>
      <c r="DC987" s="65">
        <v>14</v>
      </c>
      <c r="DF987" s="65" t="s">
        <v>652</v>
      </c>
      <c r="GD987" s="65">
        <f>67/3</f>
        <v>22.333333333333332</v>
      </c>
      <c r="GE987" s="65">
        <f>68/3</f>
        <v>22.666666666666668</v>
      </c>
      <c r="GH987" s="65" t="s">
        <v>680</v>
      </c>
      <c r="GP987" s="292" t="s">
        <v>7494</v>
      </c>
      <c r="JU987" s="55" t="s">
        <v>654</v>
      </c>
      <c r="JV987" s="55" t="s">
        <v>653</v>
      </c>
    </row>
    <row r="988" spans="1:282" x14ac:dyDescent="0.25">
      <c r="A988" s="55">
        <v>987</v>
      </c>
      <c r="B988" s="12" t="s">
        <v>7067</v>
      </c>
      <c r="C988" s="155">
        <v>46</v>
      </c>
      <c r="D988" s="55" t="s">
        <v>3889</v>
      </c>
      <c r="E988" s="90" t="s">
        <v>639</v>
      </c>
      <c r="G988" s="55" t="s">
        <v>638</v>
      </c>
      <c r="H988" s="55">
        <v>2013</v>
      </c>
      <c r="I988" s="55">
        <v>2009</v>
      </c>
      <c r="J988" s="55" t="s">
        <v>309</v>
      </c>
      <c r="K988" s="55" t="s">
        <v>641</v>
      </c>
      <c r="L988" s="55" t="s">
        <v>2737</v>
      </c>
      <c r="M988" s="90">
        <f>48+18/60</f>
        <v>48.3</v>
      </c>
      <c r="N988" s="90">
        <f>-110-6/60</f>
        <v>-110.1</v>
      </c>
      <c r="O988" s="90">
        <v>833</v>
      </c>
      <c r="U988" s="55">
        <v>1</v>
      </c>
      <c r="V988" s="55" t="s">
        <v>1805</v>
      </c>
      <c r="Y988" s="55" t="s">
        <v>1917</v>
      </c>
      <c r="Z988" s="55" t="s">
        <v>1369</v>
      </c>
      <c r="AA988" s="90" t="s">
        <v>1680</v>
      </c>
      <c r="AH988" s="55" t="s">
        <v>139</v>
      </c>
      <c r="AI988" s="168">
        <v>6.9</v>
      </c>
      <c r="AJ988" s="90">
        <v>0.87</v>
      </c>
      <c r="AM988" s="55" t="s">
        <v>1306</v>
      </c>
      <c r="AN988" s="185" t="s">
        <v>1504</v>
      </c>
      <c r="AO988" s="185" t="s">
        <v>5150</v>
      </c>
      <c r="AQ988" s="55" t="s">
        <v>553</v>
      </c>
      <c r="AR988" s="55" t="s">
        <v>1491</v>
      </c>
      <c r="AS988" s="55" t="s">
        <v>1583</v>
      </c>
      <c r="AT988" s="181" t="s">
        <v>1590</v>
      </c>
      <c r="AU988" s="181" t="s">
        <v>5150</v>
      </c>
      <c r="AV988" s="185" t="s">
        <v>176</v>
      </c>
      <c r="AW988" s="55" t="s">
        <v>1590</v>
      </c>
      <c r="AX988" s="185" t="s">
        <v>176</v>
      </c>
      <c r="AY988" s="55" t="s">
        <v>176</v>
      </c>
      <c r="BA988" s="55" t="s">
        <v>156</v>
      </c>
      <c r="BB988" s="55" t="s">
        <v>2082</v>
      </c>
      <c r="BC988" s="55" t="s">
        <v>2082</v>
      </c>
      <c r="BE988" s="226">
        <v>0</v>
      </c>
      <c r="BF988" s="191" t="s">
        <v>176</v>
      </c>
      <c r="BG988" s="55" t="s">
        <v>176</v>
      </c>
      <c r="BH988" s="226">
        <v>0</v>
      </c>
      <c r="BI988" s="55" t="s">
        <v>176</v>
      </c>
      <c r="BJ988" s="55" t="s">
        <v>176</v>
      </c>
      <c r="BK988" s="55" t="s">
        <v>6269</v>
      </c>
      <c r="BM988" s="192" t="s">
        <v>119</v>
      </c>
      <c r="BN988" s="55">
        <v>8</v>
      </c>
      <c r="BO988" s="55">
        <v>8</v>
      </c>
      <c r="BQ988" s="55" t="s">
        <v>141</v>
      </c>
      <c r="BS988" s="55">
        <v>730</v>
      </c>
      <c r="BT988" s="55">
        <f>BS988/19.3</f>
        <v>37.823834196891191</v>
      </c>
      <c r="BU988" s="55" t="s">
        <v>647</v>
      </c>
      <c r="DB988" s="65">
        <v>7</v>
      </c>
      <c r="DC988" s="65">
        <v>5</v>
      </c>
      <c r="DF988" s="65" t="s">
        <v>652</v>
      </c>
      <c r="GD988" s="65">
        <f>54/3</f>
        <v>18</v>
      </c>
      <c r="GE988" s="65">
        <f>39/3</f>
        <v>13</v>
      </c>
      <c r="GH988" s="65" t="s">
        <v>680</v>
      </c>
      <c r="GP988" s="292" t="s">
        <v>7494</v>
      </c>
      <c r="JU988" s="55" t="s">
        <v>654</v>
      </c>
      <c r="JV988" s="55" t="s">
        <v>653</v>
      </c>
    </row>
    <row r="989" spans="1:282" x14ac:dyDescent="0.25">
      <c r="A989" s="55">
        <v>988</v>
      </c>
      <c r="B989" s="12" t="s">
        <v>7067</v>
      </c>
      <c r="C989" s="155">
        <v>46</v>
      </c>
      <c r="D989" s="55" t="s">
        <v>3890</v>
      </c>
      <c r="E989" s="90" t="s">
        <v>639</v>
      </c>
      <c r="G989" s="55" t="s">
        <v>638</v>
      </c>
      <c r="H989" s="55">
        <v>2013</v>
      </c>
      <c r="I989" s="55">
        <v>2009</v>
      </c>
      <c r="J989" s="55" t="s">
        <v>309</v>
      </c>
      <c r="K989" s="55" t="s">
        <v>642</v>
      </c>
      <c r="L989" s="55" t="s">
        <v>2737</v>
      </c>
      <c r="M989" s="90">
        <f>48+45/60</f>
        <v>48.75</v>
      </c>
      <c r="N989" s="90">
        <f>-110-52/60</f>
        <v>-110.86666666666666</v>
      </c>
      <c r="O989" s="90">
        <v>1059</v>
      </c>
      <c r="U989" s="55">
        <v>1</v>
      </c>
      <c r="V989" s="55" t="s">
        <v>1805</v>
      </c>
      <c r="Y989" s="55" t="s">
        <v>1917</v>
      </c>
      <c r="Z989" s="55" t="s">
        <v>1369</v>
      </c>
      <c r="AA989" s="90" t="s">
        <v>1680</v>
      </c>
      <c r="AH989" s="55" t="s">
        <v>645</v>
      </c>
      <c r="AI989" s="168">
        <v>7.6</v>
      </c>
      <c r="AJ989" s="90">
        <v>1.28</v>
      </c>
      <c r="AM989" s="55" t="s">
        <v>1306</v>
      </c>
      <c r="AN989" s="185" t="s">
        <v>1503</v>
      </c>
      <c r="AO989" s="185" t="s">
        <v>5150</v>
      </c>
      <c r="AQ989" s="55" t="s">
        <v>553</v>
      </c>
      <c r="AR989" s="55" t="s">
        <v>1491</v>
      </c>
      <c r="AS989" s="55" t="s">
        <v>1583</v>
      </c>
      <c r="AT989" s="181" t="s">
        <v>1590</v>
      </c>
      <c r="AU989" s="181" t="s">
        <v>5150</v>
      </c>
      <c r="AV989" s="185" t="s">
        <v>176</v>
      </c>
      <c r="AW989" s="55" t="s">
        <v>1590</v>
      </c>
      <c r="AX989" s="185" t="s">
        <v>176</v>
      </c>
      <c r="AY989" s="55" t="s">
        <v>176</v>
      </c>
      <c r="BA989" s="55" t="s">
        <v>156</v>
      </c>
      <c r="BB989" s="55" t="s">
        <v>2082</v>
      </c>
      <c r="BC989" s="55" t="s">
        <v>2082</v>
      </c>
      <c r="BE989" s="226">
        <v>0</v>
      </c>
      <c r="BF989" s="191" t="s">
        <v>176</v>
      </c>
      <c r="BG989" s="55" t="s">
        <v>176</v>
      </c>
      <c r="BH989" s="226">
        <v>0</v>
      </c>
      <c r="BI989" s="55" t="s">
        <v>176</v>
      </c>
      <c r="BJ989" s="55" t="s">
        <v>176</v>
      </c>
      <c r="BK989" s="55" t="s">
        <v>6269</v>
      </c>
      <c r="BM989" s="192" t="s">
        <v>119</v>
      </c>
      <c r="BN989" s="55">
        <v>12</v>
      </c>
      <c r="BO989" s="55">
        <v>12</v>
      </c>
      <c r="BQ989" s="55" t="s">
        <v>141</v>
      </c>
      <c r="BS989" s="55">
        <f>1.02*1000</f>
        <v>1020</v>
      </c>
      <c r="BT989" s="55">
        <f>BS989/37.8</f>
        <v>26.984126984126988</v>
      </c>
      <c r="BU989" s="55" t="s">
        <v>648</v>
      </c>
      <c r="DB989" s="65">
        <v>11</v>
      </c>
      <c r="DC989" s="65">
        <v>7</v>
      </c>
      <c r="DF989" s="65" t="s">
        <v>652</v>
      </c>
      <c r="GD989" s="65">
        <f>74/3</f>
        <v>24.666666666666668</v>
      </c>
      <c r="GE989" s="65">
        <f>61/3</f>
        <v>20.333333333333332</v>
      </c>
      <c r="GH989" s="65" t="s">
        <v>680</v>
      </c>
      <c r="GP989" s="292" t="s">
        <v>7494</v>
      </c>
      <c r="JU989" s="55" t="s">
        <v>654</v>
      </c>
      <c r="JV989" s="55" t="s">
        <v>653</v>
      </c>
    </row>
    <row r="990" spans="1:282" x14ac:dyDescent="0.25">
      <c r="A990" s="55">
        <v>989</v>
      </c>
      <c r="B990" s="12" t="s">
        <v>7067</v>
      </c>
      <c r="C990" s="155">
        <v>46</v>
      </c>
      <c r="D990" s="55" t="s">
        <v>3891</v>
      </c>
      <c r="E990" s="90" t="s">
        <v>639</v>
      </c>
      <c r="G990" s="55" t="s">
        <v>638</v>
      </c>
      <c r="H990" s="55">
        <v>2013</v>
      </c>
      <c r="I990" s="55">
        <v>2009</v>
      </c>
      <c r="J990" s="55" t="s">
        <v>309</v>
      </c>
      <c r="K990" s="55" t="s">
        <v>643</v>
      </c>
      <c r="L990" s="55" t="s">
        <v>2737</v>
      </c>
      <c r="M990" s="90">
        <f>48+48/60</f>
        <v>48.8</v>
      </c>
      <c r="N990" s="90">
        <f>-111-38.5/60</f>
        <v>-111.64166666666667</v>
      </c>
      <c r="O990" s="90">
        <v>1102</v>
      </c>
      <c r="U990" s="55">
        <v>1</v>
      </c>
      <c r="V990" s="55" t="s">
        <v>1805</v>
      </c>
      <c r="Y990" s="55" t="s">
        <v>1917</v>
      </c>
      <c r="Z990" s="55" t="s">
        <v>1369</v>
      </c>
      <c r="AA990" s="90" t="s">
        <v>1680</v>
      </c>
      <c r="AH990" s="55" t="s">
        <v>139</v>
      </c>
      <c r="AI990" s="168">
        <v>6.9</v>
      </c>
      <c r="AJ990" s="90">
        <v>1.22</v>
      </c>
      <c r="AM990" s="55" t="s">
        <v>1306</v>
      </c>
      <c r="AN990" s="185" t="s">
        <v>1503</v>
      </c>
      <c r="AO990" s="185" t="s">
        <v>5150</v>
      </c>
      <c r="AQ990" s="55" t="s">
        <v>553</v>
      </c>
      <c r="AR990" s="55" t="s">
        <v>1491</v>
      </c>
      <c r="AS990" s="55" t="s">
        <v>1583</v>
      </c>
      <c r="AT990" s="181" t="s">
        <v>1590</v>
      </c>
      <c r="AU990" s="181" t="s">
        <v>5150</v>
      </c>
      <c r="AV990" s="185" t="s">
        <v>176</v>
      </c>
      <c r="AW990" s="55" t="s">
        <v>1590</v>
      </c>
      <c r="AX990" s="185" t="s">
        <v>176</v>
      </c>
      <c r="AY990" s="55" t="s">
        <v>176</v>
      </c>
      <c r="BA990" s="55" t="s">
        <v>156</v>
      </c>
      <c r="BB990" s="55" t="s">
        <v>2082</v>
      </c>
      <c r="BC990" s="55" t="s">
        <v>2082</v>
      </c>
      <c r="BE990" s="226">
        <v>0</v>
      </c>
      <c r="BF990" s="191" t="s">
        <v>176</v>
      </c>
      <c r="BG990" s="55" t="s">
        <v>176</v>
      </c>
      <c r="BH990" s="226">
        <v>0</v>
      </c>
      <c r="BI990" s="55" t="s">
        <v>176</v>
      </c>
      <c r="BJ990" s="55" t="s">
        <v>176</v>
      </c>
      <c r="BK990" s="55" t="s">
        <v>6269</v>
      </c>
      <c r="BM990" s="192" t="s">
        <v>119</v>
      </c>
      <c r="BN990" s="55">
        <v>8</v>
      </c>
      <c r="BO990" s="55">
        <v>8</v>
      </c>
      <c r="BQ990" s="55" t="s">
        <v>141</v>
      </c>
      <c r="BS990" s="55">
        <v>1090</v>
      </c>
      <c r="BT990" s="55">
        <f>BS990/28.4</f>
        <v>38.380281690140848</v>
      </c>
      <c r="BU990" s="55" t="s">
        <v>649</v>
      </c>
      <c r="DB990" s="65">
        <v>24</v>
      </c>
      <c r="DC990" s="65">
        <v>7</v>
      </c>
      <c r="DF990" s="65" t="s">
        <v>652</v>
      </c>
      <c r="GD990" s="65">
        <f>58/3</f>
        <v>19.333333333333332</v>
      </c>
      <c r="GE990" s="65">
        <f>41/3</f>
        <v>13.666666666666666</v>
      </c>
      <c r="GH990" s="65" t="s">
        <v>680</v>
      </c>
      <c r="GP990" s="292" t="s">
        <v>7494</v>
      </c>
      <c r="JU990" s="55" t="s">
        <v>654</v>
      </c>
      <c r="JV990" s="55" t="s">
        <v>653</v>
      </c>
    </row>
    <row r="991" spans="1:282" x14ac:dyDescent="0.25">
      <c r="A991" s="55">
        <v>990</v>
      </c>
      <c r="B991" s="12" t="s">
        <v>7067</v>
      </c>
      <c r="C991" s="155">
        <v>46</v>
      </c>
      <c r="D991" s="55" t="s">
        <v>3892</v>
      </c>
      <c r="E991" s="90" t="s">
        <v>639</v>
      </c>
      <c r="G991" s="55" t="s">
        <v>638</v>
      </c>
      <c r="H991" s="55">
        <v>2013</v>
      </c>
      <c r="I991" s="55">
        <v>2009</v>
      </c>
      <c r="J991" s="55" t="s">
        <v>309</v>
      </c>
      <c r="K991" s="55" t="s">
        <v>644</v>
      </c>
      <c r="L991" s="55" t="s">
        <v>2737</v>
      </c>
      <c r="M991" s="90">
        <f>48+48/60</f>
        <v>48.8</v>
      </c>
      <c r="N991" s="90">
        <f>-111-31/60</f>
        <v>-111.51666666666667</v>
      </c>
      <c r="O991" s="90">
        <v>1090</v>
      </c>
      <c r="U991" s="55">
        <v>1</v>
      </c>
      <c r="V991" s="55" t="s">
        <v>1805</v>
      </c>
      <c r="Y991" s="55" t="s">
        <v>1917</v>
      </c>
      <c r="Z991" s="55" t="s">
        <v>1369</v>
      </c>
      <c r="AA991" s="90" t="s">
        <v>1680</v>
      </c>
      <c r="AH991" s="55" t="s">
        <v>494</v>
      </c>
      <c r="AI991" s="168">
        <v>7.8</v>
      </c>
      <c r="AJ991" s="90">
        <v>1.1000000000000001</v>
      </c>
      <c r="AM991" s="55" t="s">
        <v>1306</v>
      </c>
      <c r="AN991" s="185" t="s">
        <v>538</v>
      </c>
      <c r="AO991" s="185" t="s">
        <v>5150</v>
      </c>
      <c r="AQ991" s="55" t="s">
        <v>553</v>
      </c>
      <c r="AR991" s="55" t="s">
        <v>1491</v>
      </c>
      <c r="AS991" s="55" t="s">
        <v>1583</v>
      </c>
      <c r="AT991" s="181" t="s">
        <v>1590</v>
      </c>
      <c r="AU991" s="181" t="s">
        <v>5150</v>
      </c>
      <c r="AV991" s="185" t="s">
        <v>176</v>
      </c>
      <c r="AW991" s="55" t="s">
        <v>1590</v>
      </c>
      <c r="AX991" s="185" t="s">
        <v>176</v>
      </c>
      <c r="AY991" s="55" t="s">
        <v>176</v>
      </c>
      <c r="BA991" s="55" t="s">
        <v>156</v>
      </c>
      <c r="BB991" s="55" t="s">
        <v>2082</v>
      </c>
      <c r="BC991" s="55" t="s">
        <v>2082</v>
      </c>
      <c r="BE991" s="226">
        <v>0</v>
      </c>
      <c r="BF991" s="191" t="s">
        <v>176</v>
      </c>
      <c r="BG991" s="55" t="s">
        <v>176</v>
      </c>
      <c r="BH991" s="226">
        <v>0</v>
      </c>
      <c r="BI991" s="55" t="s">
        <v>176</v>
      </c>
      <c r="BJ991" s="55" t="s">
        <v>176</v>
      </c>
      <c r="BK991" s="55" t="s">
        <v>6269</v>
      </c>
      <c r="BM991" s="192" t="s">
        <v>119</v>
      </c>
      <c r="BN991" s="55">
        <v>8</v>
      </c>
      <c r="BO991" s="55">
        <v>8</v>
      </c>
      <c r="BQ991" s="55" t="s">
        <v>141</v>
      </c>
      <c r="BS991" s="55">
        <v>550</v>
      </c>
      <c r="BT991" s="55">
        <f>BS991/14.5</f>
        <v>37.931034482758619</v>
      </c>
      <c r="BU991" s="55" t="s">
        <v>650</v>
      </c>
      <c r="DB991" s="65">
        <v>6</v>
      </c>
      <c r="DC991" s="65">
        <v>4</v>
      </c>
      <c r="DF991" s="65" t="s">
        <v>652</v>
      </c>
      <c r="GD991" s="65">
        <f>72/3</f>
        <v>24</v>
      </c>
      <c r="GE991" s="65">
        <f>54/3</f>
        <v>18</v>
      </c>
      <c r="GH991" s="65" t="s">
        <v>680</v>
      </c>
      <c r="GP991" s="292" t="s">
        <v>7494</v>
      </c>
      <c r="JU991" s="55" t="s">
        <v>654</v>
      </c>
      <c r="JV991" s="55" t="s">
        <v>653</v>
      </c>
    </row>
    <row r="992" spans="1:282" x14ac:dyDescent="0.25">
      <c r="A992" s="55">
        <v>991</v>
      </c>
      <c r="B992" s="12" t="s">
        <v>7067</v>
      </c>
      <c r="C992" s="155">
        <v>46</v>
      </c>
      <c r="D992" s="55" t="s">
        <v>3888</v>
      </c>
      <c r="E992" s="90" t="s">
        <v>639</v>
      </c>
      <c r="G992" s="55" t="s">
        <v>638</v>
      </c>
      <c r="H992" s="55">
        <v>2013</v>
      </c>
      <c r="I992" s="55">
        <v>2009</v>
      </c>
      <c r="J992" s="55" t="s">
        <v>309</v>
      </c>
      <c r="K992" s="55" t="s">
        <v>640</v>
      </c>
      <c r="L992" s="55" t="s">
        <v>2737</v>
      </c>
      <c r="M992" s="90">
        <f>47+55/60</f>
        <v>47.916666666666664</v>
      </c>
      <c r="N992" s="90">
        <f>-109-55/60</f>
        <v>-109.91666666666667</v>
      </c>
      <c r="O992" s="90">
        <v>888</v>
      </c>
      <c r="U992" s="55">
        <v>1</v>
      </c>
      <c r="V992" s="55" t="s">
        <v>1805</v>
      </c>
      <c r="Y992" s="55" t="s">
        <v>1917</v>
      </c>
      <c r="Z992" s="55" t="s">
        <v>1370</v>
      </c>
      <c r="AA992" s="90" t="s">
        <v>1680</v>
      </c>
      <c r="AH992" s="55" t="s">
        <v>494</v>
      </c>
      <c r="AI992" s="168">
        <v>6.1</v>
      </c>
      <c r="AJ992" s="90">
        <v>1.1000000000000001</v>
      </c>
      <c r="AM992" s="55" t="s">
        <v>1306</v>
      </c>
      <c r="AN992" s="185" t="s">
        <v>1503</v>
      </c>
      <c r="AO992" s="185" t="s">
        <v>5150</v>
      </c>
      <c r="AQ992" s="55" t="s">
        <v>553</v>
      </c>
      <c r="AR992" s="55" t="s">
        <v>1491</v>
      </c>
      <c r="AS992" s="55" t="s">
        <v>1583</v>
      </c>
      <c r="AT992" s="181" t="s">
        <v>1590</v>
      </c>
      <c r="AU992" s="181" t="s">
        <v>5150</v>
      </c>
      <c r="AV992" s="185" t="s">
        <v>176</v>
      </c>
      <c r="AW992" s="55" t="s">
        <v>1590</v>
      </c>
      <c r="AX992" s="185" t="s">
        <v>176</v>
      </c>
      <c r="AY992" s="55" t="s">
        <v>176</v>
      </c>
      <c r="BA992" s="55" t="s">
        <v>156</v>
      </c>
      <c r="BB992" s="55" t="s">
        <v>2082</v>
      </c>
      <c r="BC992" s="55" t="s">
        <v>2082</v>
      </c>
      <c r="BE992" s="226">
        <v>0</v>
      </c>
      <c r="BF992" s="191" t="s">
        <v>176</v>
      </c>
      <c r="BG992" s="55" t="s">
        <v>176</v>
      </c>
      <c r="BH992" s="226">
        <v>0</v>
      </c>
      <c r="BI992" s="55" t="s">
        <v>176</v>
      </c>
      <c r="BJ992" s="55" t="s">
        <v>176</v>
      </c>
      <c r="BK992" s="55" t="s">
        <v>6269</v>
      </c>
      <c r="BM992" s="192" t="s">
        <v>119</v>
      </c>
      <c r="BN992" s="55">
        <v>6</v>
      </c>
      <c r="BO992" s="55">
        <v>6</v>
      </c>
      <c r="BQ992" s="55" t="s">
        <v>141</v>
      </c>
      <c r="BS992" s="55">
        <f>1.07*1000</f>
        <v>1070</v>
      </c>
      <c r="BT992" s="55">
        <f>BS992/44.2</f>
        <v>24.20814479638009</v>
      </c>
      <c r="BU992" s="55" t="s">
        <v>646</v>
      </c>
      <c r="DB992" s="65">
        <v>10</v>
      </c>
      <c r="DC992" s="65">
        <v>7</v>
      </c>
      <c r="DF992" s="65" t="s">
        <v>652</v>
      </c>
      <c r="GD992" s="65">
        <f>62/3</f>
        <v>20.666666666666668</v>
      </c>
      <c r="GE992" s="65">
        <f>63/3</f>
        <v>21</v>
      </c>
      <c r="GH992" s="65" t="s">
        <v>680</v>
      </c>
      <c r="GP992" s="292" t="s">
        <v>7494</v>
      </c>
      <c r="JU992" s="55" t="s">
        <v>654</v>
      </c>
      <c r="JV992" s="55" t="s">
        <v>653</v>
      </c>
    </row>
    <row r="993" spans="1:282" x14ac:dyDescent="0.25">
      <c r="A993" s="55">
        <v>992</v>
      </c>
      <c r="B993" s="12" t="s">
        <v>7067</v>
      </c>
      <c r="C993" s="155">
        <v>46</v>
      </c>
      <c r="D993" s="55" t="s">
        <v>3889</v>
      </c>
      <c r="E993" s="90" t="s">
        <v>639</v>
      </c>
      <c r="G993" s="55" t="s">
        <v>638</v>
      </c>
      <c r="H993" s="55">
        <v>2013</v>
      </c>
      <c r="I993" s="55">
        <v>2009</v>
      </c>
      <c r="J993" s="55" t="s">
        <v>309</v>
      </c>
      <c r="K993" s="55" t="s">
        <v>641</v>
      </c>
      <c r="L993" s="55" t="s">
        <v>2737</v>
      </c>
      <c r="M993" s="90">
        <f>48+18/60</f>
        <v>48.3</v>
      </c>
      <c r="N993" s="90">
        <f>-110-6/60</f>
        <v>-110.1</v>
      </c>
      <c r="O993" s="90">
        <v>833</v>
      </c>
      <c r="U993" s="55">
        <v>1</v>
      </c>
      <c r="V993" s="55" t="s">
        <v>1805</v>
      </c>
      <c r="Y993" s="55" t="s">
        <v>1917</v>
      </c>
      <c r="Z993" s="55" t="s">
        <v>1370</v>
      </c>
      <c r="AA993" s="90" t="s">
        <v>1680</v>
      </c>
      <c r="AH993" s="55" t="s">
        <v>139</v>
      </c>
      <c r="AI993" s="168">
        <v>6.9</v>
      </c>
      <c r="AJ993" s="90">
        <v>0.87</v>
      </c>
      <c r="AM993" s="55" t="s">
        <v>1306</v>
      </c>
      <c r="AN993" s="185" t="s">
        <v>1504</v>
      </c>
      <c r="AO993" s="185" t="s">
        <v>5150</v>
      </c>
      <c r="AQ993" s="55" t="s">
        <v>553</v>
      </c>
      <c r="AR993" s="55" t="s">
        <v>1491</v>
      </c>
      <c r="AS993" s="55" t="s">
        <v>1583</v>
      </c>
      <c r="AT993" s="181" t="s">
        <v>1590</v>
      </c>
      <c r="AU993" s="181" t="s">
        <v>5150</v>
      </c>
      <c r="AV993" s="185" t="s">
        <v>176</v>
      </c>
      <c r="AW993" s="55" t="s">
        <v>1590</v>
      </c>
      <c r="AX993" s="185" t="s">
        <v>176</v>
      </c>
      <c r="AY993" s="55" t="s">
        <v>176</v>
      </c>
      <c r="BA993" s="55" t="s">
        <v>156</v>
      </c>
      <c r="BB993" s="55" t="s">
        <v>2082</v>
      </c>
      <c r="BC993" s="55" t="s">
        <v>2082</v>
      </c>
      <c r="BE993" s="226">
        <v>0</v>
      </c>
      <c r="BF993" s="191" t="s">
        <v>176</v>
      </c>
      <c r="BG993" s="55" t="s">
        <v>176</v>
      </c>
      <c r="BH993" s="226">
        <v>0</v>
      </c>
      <c r="BI993" s="55" t="s">
        <v>176</v>
      </c>
      <c r="BJ993" s="55" t="s">
        <v>176</v>
      </c>
      <c r="BK993" s="55" t="s">
        <v>6269</v>
      </c>
      <c r="BM993" s="192" t="s">
        <v>119</v>
      </c>
      <c r="BN993" s="55">
        <v>8</v>
      </c>
      <c r="BO993" s="55">
        <v>8</v>
      </c>
      <c r="BQ993" s="55" t="s">
        <v>141</v>
      </c>
      <c r="BS993" s="55">
        <v>730</v>
      </c>
      <c r="BT993" s="55">
        <f>BS993/19.3</f>
        <v>37.823834196891191</v>
      </c>
      <c r="BU993" s="55" t="s">
        <v>647</v>
      </c>
      <c r="DB993" s="65">
        <v>24</v>
      </c>
      <c r="DC993" s="65">
        <v>18</v>
      </c>
      <c r="DF993" s="65" t="s">
        <v>652</v>
      </c>
      <c r="GD993" s="65">
        <f>49/3</f>
        <v>16.333333333333332</v>
      </c>
      <c r="GE993" s="65">
        <f>46/3</f>
        <v>15.333333333333334</v>
      </c>
      <c r="GH993" s="65" t="s">
        <v>680</v>
      </c>
      <c r="GP993" s="292" t="s">
        <v>7494</v>
      </c>
      <c r="JU993" s="55" t="s">
        <v>654</v>
      </c>
      <c r="JV993" s="55" t="s">
        <v>653</v>
      </c>
    </row>
    <row r="994" spans="1:282" x14ac:dyDescent="0.25">
      <c r="A994" s="55">
        <v>993</v>
      </c>
      <c r="B994" s="12" t="s">
        <v>7067</v>
      </c>
      <c r="C994" s="155">
        <v>46</v>
      </c>
      <c r="D994" s="55" t="s">
        <v>3890</v>
      </c>
      <c r="E994" s="90" t="s">
        <v>639</v>
      </c>
      <c r="G994" s="55" t="s">
        <v>638</v>
      </c>
      <c r="H994" s="55">
        <v>2013</v>
      </c>
      <c r="I994" s="55">
        <v>2009</v>
      </c>
      <c r="J994" s="55" t="s">
        <v>309</v>
      </c>
      <c r="K994" s="55" t="s">
        <v>642</v>
      </c>
      <c r="L994" s="55" t="s">
        <v>2737</v>
      </c>
      <c r="M994" s="90">
        <f>48+45/60</f>
        <v>48.75</v>
      </c>
      <c r="N994" s="90">
        <f>-110-52/60</f>
        <v>-110.86666666666666</v>
      </c>
      <c r="O994" s="90">
        <v>1059</v>
      </c>
      <c r="U994" s="55">
        <v>1</v>
      </c>
      <c r="V994" s="55" t="s">
        <v>1805</v>
      </c>
      <c r="Y994" s="55" t="s">
        <v>1917</v>
      </c>
      <c r="Z994" s="55" t="s">
        <v>1370</v>
      </c>
      <c r="AA994" s="90" t="s">
        <v>1680</v>
      </c>
      <c r="AH994" s="55" t="s">
        <v>645</v>
      </c>
      <c r="AI994" s="168">
        <v>7.6</v>
      </c>
      <c r="AJ994" s="90">
        <v>1.28</v>
      </c>
      <c r="AM994" s="55" t="s">
        <v>1306</v>
      </c>
      <c r="AN994" s="185" t="s">
        <v>1503</v>
      </c>
      <c r="AO994" s="185" t="s">
        <v>5150</v>
      </c>
      <c r="AQ994" s="55" t="s">
        <v>553</v>
      </c>
      <c r="AR994" s="55" t="s">
        <v>1491</v>
      </c>
      <c r="AS994" s="55" t="s">
        <v>1583</v>
      </c>
      <c r="AT994" s="181" t="s">
        <v>1590</v>
      </c>
      <c r="AU994" s="181" t="s">
        <v>5150</v>
      </c>
      <c r="AV994" s="185" t="s">
        <v>176</v>
      </c>
      <c r="AW994" s="55" t="s">
        <v>1590</v>
      </c>
      <c r="AX994" s="185" t="s">
        <v>176</v>
      </c>
      <c r="AY994" s="55" t="s">
        <v>176</v>
      </c>
      <c r="BA994" s="55" t="s">
        <v>156</v>
      </c>
      <c r="BB994" s="55" t="s">
        <v>2082</v>
      </c>
      <c r="BC994" s="55" t="s">
        <v>2082</v>
      </c>
      <c r="BE994" s="226">
        <v>0</v>
      </c>
      <c r="BF994" s="191" t="s">
        <v>176</v>
      </c>
      <c r="BG994" s="55" t="s">
        <v>176</v>
      </c>
      <c r="BH994" s="226">
        <v>0</v>
      </c>
      <c r="BI994" s="55" t="s">
        <v>176</v>
      </c>
      <c r="BJ994" s="55" t="s">
        <v>176</v>
      </c>
      <c r="BK994" s="55" t="s">
        <v>6269</v>
      </c>
      <c r="BM994" s="192" t="s">
        <v>119</v>
      </c>
      <c r="BN994" s="55">
        <v>12</v>
      </c>
      <c r="BO994" s="55">
        <v>12</v>
      </c>
      <c r="BQ994" s="55" t="s">
        <v>141</v>
      </c>
      <c r="BS994" s="55">
        <f>1.02*1000</f>
        <v>1020</v>
      </c>
      <c r="BT994" s="55">
        <f>BS994/37.8</f>
        <v>26.984126984126988</v>
      </c>
      <c r="BU994" s="55" t="s">
        <v>648</v>
      </c>
      <c r="DB994" s="65">
        <v>29</v>
      </c>
      <c r="DC994" s="65">
        <v>13</v>
      </c>
      <c r="DF994" s="65" t="s">
        <v>652</v>
      </c>
      <c r="GD994" s="65">
        <f>72/3</f>
        <v>24</v>
      </c>
      <c r="GE994" s="65">
        <f>64/3</f>
        <v>21.333333333333332</v>
      </c>
      <c r="GH994" s="65" t="s">
        <v>680</v>
      </c>
      <c r="GP994" s="292" t="s">
        <v>7494</v>
      </c>
      <c r="JU994" s="55" t="s">
        <v>654</v>
      </c>
      <c r="JV994" s="55" t="s">
        <v>653</v>
      </c>
    </row>
    <row r="995" spans="1:282" x14ac:dyDescent="0.25">
      <c r="A995" s="55">
        <v>994</v>
      </c>
      <c r="B995" s="12" t="s">
        <v>7067</v>
      </c>
      <c r="C995" s="155">
        <v>46</v>
      </c>
      <c r="D995" s="55" t="s">
        <v>3891</v>
      </c>
      <c r="E995" s="90" t="s">
        <v>639</v>
      </c>
      <c r="G995" s="55" t="s">
        <v>638</v>
      </c>
      <c r="H995" s="55">
        <v>2013</v>
      </c>
      <c r="I995" s="55">
        <v>2009</v>
      </c>
      <c r="J995" s="55" t="s">
        <v>309</v>
      </c>
      <c r="K995" s="55" t="s">
        <v>643</v>
      </c>
      <c r="L995" s="55" t="s">
        <v>2737</v>
      </c>
      <c r="M995" s="90">
        <f>48+48/60</f>
        <v>48.8</v>
      </c>
      <c r="N995" s="90">
        <f>-111-38.5/60</f>
        <v>-111.64166666666667</v>
      </c>
      <c r="O995" s="90">
        <v>1102</v>
      </c>
      <c r="U995" s="55">
        <v>1</v>
      </c>
      <c r="V995" s="55" t="s">
        <v>1805</v>
      </c>
      <c r="Y995" s="55" t="s">
        <v>1917</v>
      </c>
      <c r="Z995" s="55" t="s">
        <v>1370</v>
      </c>
      <c r="AA995" s="90" t="s">
        <v>1680</v>
      </c>
      <c r="AH995" s="55" t="s">
        <v>139</v>
      </c>
      <c r="AI995" s="168">
        <v>6.9</v>
      </c>
      <c r="AJ995" s="90">
        <v>1.22</v>
      </c>
      <c r="AM995" s="55" t="s">
        <v>1306</v>
      </c>
      <c r="AN995" s="185" t="s">
        <v>1503</v>
      </c>
      <c r="AO995" s="185" t="s">
        <v>5150</v>
      </c>
      <c r="AQ995" s="55" t="s">
        <v>553</v>
      </c>
      <c r="AR995" s="55" t="s">
        <v>1491</v>
      </c>
      <c r="AS995" s="55" t="s">
        <v>1583</v>
      </c>
      <c r="AT995" s="181" t="s">
        <v>1590</v>
      </c>
      <c r="AU995" s="181" t="s">
        <v>5150</v>
      </c>
      <c r="AV995" s="185" t="s">
        <v>176</v>
      </c>
      <c r="AW995" s="55" t="s">
        <v>1590</v>
      </c>
      <c r="AX995" s="185" t="s">
        <v>176</v>
      </c>
      <c r="AY995" s="55" t="s">
        <v>176</v>
      </c>
      <c r="BA995" s="55" t="s">
        <v>156</v>
      </c>
      <c r="BB995" s="55" t="s">
        <v>2082</v>
      </c>
      <c r="BC995" s="55" t="s">
        <v>2082</v>
      </c>
      <c r="BE995" s="226">
        <v>0</v>
      </c>
      <c r="BF995" s="191" t="s">
        <v>176</v>
      </c>
      <c r="BG995" s="55" t="s">
        <v>176</v>
      </c>
      <c r="BH995" s="226">
        <v>0</v>
      </c>
      <c r="BI995" s="55" t="s">
        <v>176</v>
      </c>
      <c r="BJ995" s="55" t="s">
        <v>176</v>
      </c>
      <c r="BK995" s="55" t="s">
        <v>6269</v>
      </c>
      <c r="BM995" s="192" t="s">
        <v>119</v>
      </c>
      <c r="BN995" s="55">
        <v>8</v>
      </c>
      <c r="BO995" s="55">
        <v>8</v>
      </c>
      <c r="BQ995" s="55" t="s">
        <v>141</v>
      </c>
      <c r="BS995" s="55">
        <v>1090</v>
      </c>
      <c r="BT995" s="55">
        <f>BS995/28.4</f>
        <v>38.380281690140848</v>
      </c>
      <c r="BU995" s="55" t="s">
        <v>649</v>
      </c>
      <c r="DB995" s="65">
        <v>15</v>
      </c>
      <c r="DC995" s="65">
        <v>11</v>
      </c>
      <c r="DF995" s="65" t="s">
        <v>652</v>
      </c>
      <c r="GD995" s="65">
        <f>50/3</f>
        <v>16.666666666666668</v>
      </c>
      <c r="GE995" s="65">
        <f>38/3</f>
        <v>12.666666666666666</v>
      </c>
      <c r="GH995" s="65" t="s">
        <v>680</v>
      </c>
      <c r="GP995" s="292" t="s">
        <v>7494</v>
      </c>
      <c r="JU995" s="55" t="s">
        <v>654</v>
      </c>
      <c r="JV995" s="55" t="s">
        <v>653</v>
      </c>
    </row>
    <row r="996" spans="1:282" x14ac:dyDescent="0.25">
      <c r="A996" s="55">
        <v>995</v>
      </c>
      <c r="B996" s="12" t="s">
        <v>7067</v>
      </c>
      <c r="C996" s="155">
        <v>46</v>
      </c>
      <c r="D996" s="55" t="s">
        <v>3892</v>
      </c>
      <c r="E996" s="90" t="s">
        <v>639</v>
      </c>
      <c r="G996" s="55" t="s">
        <v>638</v>
      </c>
      <c r="H996" s="55">
        <v>2013</v>
      </c>
      <c r="I996" s="55">
        <v>2009</v>
      </c>
      <c r="J996" s="55" t="s">
        <v>309</v>
      </c>
      <c r="K996" s="55" t="s">
        <v>644</v>
      </c>
      <c r="L996" s="55" t="s">
        <v>2737</v>
      </c>
      <c r="M996" s="90">
        <f>48+48/60</f>
        <v>48.8</v>
      </c>
      <c r="N996" s="90">
        <f>-111-31/60</f>
        <v>-111.51666666666667</v>
      </c>
      <c r="O996" s="90">
        <v>1090</v>
      </c>
      <c r="U996" s="55">
        <v>1</v>
      </c>
      <c r="V996" s="55" t="s">
        <v>1805</v>
      </c>
      <c r="Y996" s="55" t="s">
        <v>1917</v>
      </c>
      <c r="Z996" s="55" t="s">
        <v>1370</v>
      </c>
      <c r="AA996" s="90" t="s">
        <v>1680</v>
      </c>
      <c r="AH996" s="55" t="s">
        <v>494</v>
      </c>
      <c r="AI996" s="168">
        <v>7.8</v>
      </c>
      <c r="AJ996" s="90">
        <v>1.1000000000000001</v>
      </c>
      <c r="AM996" s="55" t="s">
        <v>1306</v>
      </c>
      <c r="AN996" s="185" t="s">
        <v>538</v>
      </c>
      <c r="AO996" s="185" t="s">
        <v>5150</v>
      </c>
      <c r="AQ996" s="55" t="s">
        <v>553</v>
      </c>
      <c r="AR996" s="55" t="s">
        <v>1491</v>
      </c>
      <c r="AS996" s="55" t="s">
        <v>1583</v>
      </c>
      <c r="AT996" s="181" t="s">
        <v>1590</v>
      </c>
      <c r="AU996" s="181" t="s">
        <v>5150</v>
      </c>
      <c r="AV996" s="185" t="s">
        <v>176</v>
      </c>
      <c r="AW996" s="55" t="s">
        <v>1590</v>
      </c>
      <c r="AX996" s="185" t="s">
        <v>176</v>
      </c>
      <c r="AY996" s="55" t="s">
        <v>176</v>
      </c>
      <c r="BA996" s="55" t="s">
        <v>156</v>
      </c>
      <c r="BB996" s="55" t="s">
        <v>2082</v>
      </c>
      <c r="BC996" s="55" t="s">
        <v>2082</v>
      </c>
      <c r="BE996" s="226">
        <v>0</v>
      </c>
      <c r="BF996" s="191" t="s">
        <v>176</v>
      </c>
      <c r="BG996" s="55" t="s">
        <v>176</v>
      </c>
      <c r="BH996" s="226">
        <v>0</v>
      </c>
      <c r="BI996" s="55" t="s">
        <v>176</v>
      </c>
      <c r="BJ996" s="55" t="s">
        <v>176</v>
      </c>
      <c r="BK996" s="55" t="s">
        <v>6269</v>
      </c>
      <c r="BM996" s="192" t="s">
        <v>119</v>
      </c>
      <c r="BN996" s="55">
        <v>8</v>
      </c>
      <c r="BO996" s="55">
        <v>8</v>
      </c>
      <c r="BQ996" s="55" t="s">
        <v>141</v>
      </c>
      <c r="BS996" s="55">
        <v>550</v>
      </c>
      <c r="BT996" s="55">
        <f>BS996/14.5</f>
        <v>37.931034482758619</v>
      </c>
      <c r="BU996" s="55" t="s">
        <v>650</v>
      </c>
      <c r="DB996" s="65">
        <v>2</v>
      </c>
      <c r="DC996" s="65">
        <v>3</v>
      </c>
      <c r="DF996" s="65" t="s">
        <v>652</v>
      </c>
      <c r="GD996" s="65">
        <f>62/3</f>
        <v>20.666666666666668</v>
      </c>
      <c r="GE996" s="65">
        <f>55/3</f>
        <v>18.333333333333332</v>
      </c>
      <c r="GH996" s="65" t="s">
        <v>680</v>
      </c>
      <c r="GP996" s="292" t="s">
        <v>7494</v>
      </c>
      <c r="JU996" s="55" t="s">
        <v>654</v>
      </c>
      <c r="JV996" s="55" t="s">
        <v>653</v>
      </c>
    </row>
    <row r="997" spans="1:282" x14ac:dyDescent="0.25">
      <c r="A997" s="55">
        <v>996</v>
      </c>
      <c r="B997" s="12" t="s">
        <v>7067</v>
      </c>
      <c r="C997" s="155">
        <v>47</v>
      </c>
      <c r="D997" s="55" t="s">
        <v>3893</v>
      </c>
      <c r="E997" s="90" t="s">
        <v>655</v>
      </c>
      <c r="G997" s="55" t="s">
        <v>656</v>
      </c>
      <c r="H997" s="55">
        <v>2014</v>
      </c>
      <c r="I997" s="55">
        <v>2012</v>
      </c>
      <c r="J997" s="55" t="s">
        <v>657</v>
      </c>
      <c r="K997" s="55" t="s">
        <v>505</v>
      </c>
      <c r="L997" s="55" t="s">
        <v>2737</v>
      </c>
      <c r="M997" s="90">
        <v>44.31</v>
      </c>
      <c r="N997" s="235">
        <v>-96.798000000000002</v>
      </c>
      <c r="O997" s="90">
        <v>495.3</v>
      </c>
      <c r="U997" s="55" t="s">
        <v>1875</v>
      </c>
      <c r="V997" s="55" t="s">
        <v>1875</v>
      </c>
      <c r="Y997" s="55" t="s">
        <v>1918</v>
      </c>
      <c r="Z997" s="55" t="s">
        <v>1361</v>
      </c>
      <c r="AA997" s="90" t="s">
        <v>1682</v>
      </c>
      <c r="AD997" s="90">
        <v>1.4</v>
      </c>
      <c r="AH997" s="55" t="s">
        <v>1022</v>
      </c>
      <c r="AI997" s="168">
        <v>6.3</v>
      </c>
      <c r="AJ997" s="90">
        <v>2.71</v>
      </c>
      <c r="AN997" s="185" t="s">
        <v>538</v>
      </c>
      <c r="AO997" s="185" t="s">
        <v>5150</v>
      </c>
      <c r="AQ997" s="55" t="s">
        <v>553</v>
      </c>
      <c r="AR997" s="55" t="s">
        <v>132</v>
      </c>
      <c r="AS997" s="55" t="s">
        <v>1575</v>
      </c>
      <c r="AT997" s="181" t="s">
        <v>658</v>
      </c>
      <c r="AU997" s="181" t="s">
        <v>5150</v>
      </c>
      <c r="AV997" s="185" t="s">
        <v>176</v>
      </c>
      <c r="AW997" s="55" t="s">
        <v>658</v>
      </c>
      <c r="AX997" s="185" t="s">
        <v>176</v>
      </c>
      <c r="AY997" s="55" t="s">
        <v>176</v>
      </c>
      <c r="BK997" s="55" t="s">
        <v>5976</v>
      </c>
      <c r="BM997" s="192" t="s">
        <v>160</v>
      </c>
      <c r="BN997" s="55">
        <v>3</v>
      </c>
      <c r="BO997" s="55">
        <v>3</v>
      </c>
      <c r="BQ997" s="55" t="s">
        <v>141</v>
      </c>
      <c r="BV997" s="55" t="s">
        <v>659</v>
      </c>
      <c r="CM997" s="65">
        <f>(11.2+15.6+18+13.2+10.5+10.2)/6/10</f>
        <v>1.3116666666666668</v>
      </c>
      <c r="CN997" s="65">
        <f>(17.8+18.6+21.1+16.3+13.1+10.1)/6/10</f>
        <v>1.6166666666666667</v>
      </c>
      <c r="CQ997" s="65" t="s">
        <v>4339</v>
      </c>
      <c r="CV997" s="65" t="s">
        <v>3039</v>
      </c>
      <c r="DA997" s="65" t="s">
        <v>4454</v>
      </c>
      <c r="EK997" s="90">
        <f>442/10</f>
        <v>44.2</v>
      </c>
      <c r="EL997" s="90">
        <f>(493)/10</f>
        <v>49.3</v>
      </c>
      <c r="EO997" s="65" t="s">
        <v>1117</v>
      </c>
      <c r="FJ997" s="65">
        <f>(32+53)/10</f>
        <v>8.5</v>
      </c>
      <c r="FK997" s="65">
        <f>(45+30)/10</f>
        <v>7.5</v>
      </c>
      <c r="FN997" s="65" t="s">
        <v>1642</v>
      </c>
      <c r="GP997" s="292" t="s">
        <v>7494</v>
      </c>
    </row>
    <row r="998" spans="1:282" x14ac:dyDescent="0.25">
      <c r="A998" s="55">
        <v>997</v>
      </c>
      <c r="B998" s="12" t="s">
        <v>7067</v>
      </c>
      <c r="C998" s="155">
        <v>47</v>
      </c>
      <c r="D998" s="55" t="s">
        <v>3894</v>
      </c>
      <c r="E998" s="90" t="s">
        <v>655</v>
      </c>
      <c r="G998" s="55" t="s">
        <v>656</v>
      </c>
      <c r="H998" s="55">
        <v>2014</v>
      </c>
      <c r="I998" s="55">
        <v>2012</v>
      </c>
      <c r="J998" s="55" t="s">
        <v>657</v>
      </c>
      <c r="K998" s="55" t="s">
        <v>505</v>
      </c>
      <c r="L998" s="55" t="s">
        <v>2737</v>
      </c>
      <c r="M998" s="90">
        <v>44.31</v>
      </c>
      <c r="N998" s="235">
        <v>-96.798000000000002</v>
      </c>
      <c r="O998" s="90">
        <v>495.3</v>
      </c>
      <c r="U998" s="55" t="s">
        <v>1875</v>
      </c>
      <c r="V998" s="55" t="s">
        <v>1875</v>
      </c>
      <c r="Y998" s="55" t="s">
        <v>1918</v>
      </c>
      <c r="Z998" s="55" t="s">
        <v>1361</v>
      </c>
      <c r="AA998" s="90" t="s">
        <v>1682</v>
      </c>
      <c r="AD998" s="90">
        <v>1.4</v>
      </c>
      <c r="AH998" s="55" t="s">
        <v>1022</v>
      </c>
      <c r="AI998" s="168">
        <v>6.3</v>
      </c>
      <c r="AJ998" s="90">
        <v>2.71</v>
      </c>
      <c r="AN998" s="185" t="s">
        <v>538</v>
      </c>
      <c r="AO998" s="185" t="s">
        <v>5150</v>
      </c>
      <c r="AQ998" s="55" t="s">
        <v>553</v>
      </c>
      <c r="AR998" s="55" t="s">
        <v>132</v>
      </c>
      <c r="AS998" s="55" t="s">
        <v>1575</v>
      </c>
      <c r="AT998" s="181" t="s">
        <v>658</v>
      </c>
      <c r="AU998" s="181" t="s">
        <v>5150</v>
      </c>
      <c r="AV998" s="185" t="s">
        <v>176</v>
      </c>
      <c r="AW998" s="55" t="s">
        <v>658</v>
      </c>
      <c r="AX998" s="185" t="s">
        <v>176</v>
      </c>
      <c r="AY998" s="55" t="s">
        <v>176</v>
      </c>
      <c r="BK998" s="55" t="s">
        <v>5976</v>
      </c>
      <c r="BM998" s="192" t="s">
        <v>160</v>
      </c>
      <c r="BN998" s="55">
        <v>3</v>
      </c>
      <c r="BO998" s="55">
        <v>3</v>
      </c>
      <c r="BQ998" s="55" t="s">
        <v>141</v>
      </c>
      <c r="BV998" s="55" t="s">
        <v>660</v>
      </c>
      <c r="CM998" s="65">
        <f>(10.8+11.9+13.6+9.7+8.5+8.2)/6/10</f>
        <v>1.0450000000000002</v>
      </c>
      <c r="CN998" s="65">
        <f>(8.7+10.2+13.2+9+7.7+7.8)/6/10</f>
        <v>0.94333333333333313</v>
      </c>
      <c r="CQ998" s="65" t="s">
        <v>4339</v>
      </c>
      <c r="CV998" s="65" t="s">
        <v>3039</v>
      </c>
      <c r="DA998" s="65" t="s">
        <v>4454</v>
      </c>
      <c r="EK998" s="90">
        <f>(385)/10</f>
        <v>38.5</v>
      </c>
      <c r="EL998" s="90">
        <f>(300)/10</f>
        <v>30</v>
      </c>
      <c r="EO998" s="65" t="s">
        <v>1117</v>
      </c>
      <c r="FJ998" s="65">
        <f>(84+47)/10</f>
        <v>13.1</v>
      </c>
      <c r="FK998" s="65">
        <f>(100+65)/10</f>
        <v>16.5</v>
      </c>
      <c r="FN998" s="65" t="s">
        <v>1642</v>
      </c>
      <c r="GP998" s="292" t="s">
        <v>7494</v>
      </c>
    </row>
    <row r="999" spans="1:282" x14ac:dyDescent="0.25">
      <c r="A999" s="55">
        <v>998</v>
      </c>
      <c r="B999" s="12" t="s">
        <v>7067</v>
      </c>
      <c r="C999" s="155">
        <v>47</v>
      </c>
      <c r="D999" s="55" t="s">
        <v>3895</v>
      </c>
      <c r="E999" s="90" t="s">
        <v>655</v>
      </c>
      <c r="G999" s="55" t="s">
        <v>656</v>
      </c>
      <c r="H999" s="55">
        <v>2014</v>
      </c>
      <c r="I999" s="55">
        <v>2012</v>
      </c>
      <c r="J999" s="55" t="s">
        <v>657</v>
      </c>
      <c r="K999" s="55" t="s">
        <v>505</v>
      </c>
      <c r="L999" s="55" t="s">
        <v>2737</v>
      </c>
      <c r="M999" s="90">
        <v>44.31</v>
      </c>
      <c r="N999" s="235">
        <v>-96.798000000000002</v>
      </c>
      <c r="O999" s="90">
        <v>495.3</v>
      </c>
      <c r="U999" s="55" t="s">
        <v>1875</v>
      </c>
      <c r="V999" s="55" t="s">
        <v>1875</v>
      </c>
      <c r="Y999" s="55" t="s">
        <v>1918</v>
      </c>
      <c r="Z999" s="55" t="s">
        <v>1361</v>
      </c>
      <c r="AA999" s="90" t="s">
        <v>1682</v>
      </c>
      <c r="AD999" s="90">
        <v>1.4</v>
      </c>
      <c r="AH999" s="55" t="s">
        <v>1022</v>
      </c>
      <c r="AI999" s="168">
        <v>6.3</v>
      </c>
      <c r="AJ999" s="90">
        <v>2.71</v>
      </c>
      <c r="AN999" s="185" t="s">
        <v>538</v>
      </c>
      <c r="AO999" s="185" t="s">
        <v>5150</v>
      </c>
      <c r="AQ999" s="55" t="s">
        <v>553</v>
      </c>
      <c r="AR999" s="55" t="s">
        <v>132</v>
      </c>
      <c r="AS999" s="55" t="s">
        <v>1575</v>
      </c>
      <c r="AT999" s="181" t="s">
        <v>658</v>
      </c>
      <c r="AU999" s="181" t="s">
        <v>5150</v>
      </c>
      <c r="AV999" s="185" t="s">
        <v>176</v>
      </c>
      <c r="AW999" s="55" t="s">
        <v>658</v>
      </c>
      <c r="AX999" s="185" t="s">
        <v>176</v>
      </c>
      <c r="AY999" s="55" t="s">
        <v>176</v>
      </c>
      <c r="BK999" s="55" t="s">
        <v>5976</v>
      </c>
      <c r="BM999" s="192" t="s">
        <v>160</v>
      </c>
      <c r="BN999" s="55">
        <v>3</v>
      </c>
      <c r="BO999" s="55">
        <v>3</v>
      </c>
      <c r="BQ999" s="55" t="s">
        <v>141</v>
      </c>
      <c r="BV999" s="55" t="s">
        <v>661</v>
      </c>
      <c r="CM999" s="65">
        <f>(8.5+10.1+12.7+9.3+7.1+5.8)/6/10</f>
        <v>0.89166666666666661</v>
      </c>
      <c r="CN999" s="65">
        <f>(8.5+11.3+13.5+10.3+8.6+7.9)/6/10</f>
        <v>1.0016666666666665</v>
      </c>
      <c r="CQ999" s="65" t="s">
        <v>4339</v>
      </c>
      <c r="CV999" s="65" t="s">
        <v>3039</v>
      </c>
      <c r="DA999" s="65" t="s">
        <v>4454</v>
      </c>
      <c r="EK999" s="90">
        <f>(291)/10</f>
        <v>29.1</v>
      </c>
      <c r="EL999" s="90">
        <f>(388)/10</f>
        <v>38.799999999999997</v>
      </c>
      <c r="EO999" s="65" t="s">
        <v>1117</v>
      </c>
      <c r="FJ999" s="65">
        <f>(193+115)/10</f>
        <v>30.8</v>
      </c>
      <c r="FK999" s="65">
        <f>(99+61)/10</f>
        <v>16</v>
      </c>
      <c r="FN999" s="65" t="s">
        <v>1642</v>
      </c>
      <c r="GP999" s="292" t="s">
        <v>7494</v>
      </c>
    </row>
    <row r="1000" spans="1:282" x14ac:dyDescent="0.25">
      <c r="A1000" s="55">
        <v>999</v>
      </c>
      <c r="B1000" s="12" t="s">
        <v>7067</v>
      </c>
      <c r="C1000" s="155">
        <v>48</v>
      </c>
      <c r="D1000" s="55" t="s">
        <v>3896</v>
      </c>
      <c r="E1000" s="90" t="s">
        <v>662</v>
      </c>
      <c r="G1000" s="55" t="s">
        <v>663</v>
      </c>
      <c r="H1000" s="55">
        <v>2016</v>
      </c>
      <c r="I1000" s="55">
        <v>2014</v>
      </c>
      <c r="J1000" s="55" t="s">
        <v>664</v>
      </c>
      <c r="K1000" s="55" t="s">
        <v>665</v>
      </c>
      <c r="L1000" s="55" t="s">
        <v>2737</v>
      </c>
      <c r="M1000" s="90">
        <f>42+5/60</f>
        <v>42.083333333333336</v>
      </c>
      <c r="N1000" s="90">
        <f>-86-21/60</f>
        <v>-86.35</v>
      </c>
      <c r="O1000" s="90">
        <v>213.2</v>
      </c>
      <c r="U1000" s="55">
        <v>1</v>
      </c>
      <c r="V1000" s="55" t="s">
        <v>1805</v>
      </c>
      <c r="Y1000" s="55" t="s">
        <v>1919</v>
      </c>
      <c r="Z1000" s="55" t="s">
        <v>1371</v>
      </c>
      <c r="AA1000" s="90" t="s">
        <v>1688</v>
      </c>
      <c r="AH1000" s="55" t="s">
        <v>201</v>
      </c>
      <c r="AM1000" s="55" t="s">
        <v>1307</v>
      </c>
      <c r="AN1000" s="185" t="s">
        <v>131</v>
      </c>
      <c r="AO1000" s="185" t="s">
        <v>5150</v>
      </c>
      <c r="AQ1000" s="55" t="s">
        <v>131</v>
      </c>
      <c r="AR1000" s="55" t="s">
        <v>1564</v>
      </c>
      <c r="AS1000" s="55" t="s">
        <v>227</v>
      </c>
      <c r="AU1000" s="181" t="s">
        <v>7494</v>
      </c>
      <c r="AV1000" s="185" t="s">
        <v>176</v>
      </c>
      <c r="AX1000" s="185" t="s">
        <v>176</v>
      </c>
      <c r="AZ1000" s="55" t="s">
        <v>668</v>
      </c>
      <c r="BA1000" s="55" t="s">
        <v>668</v>
      </c>
      <c r="BB1000" s="55" t="s">
        <v>2081</v>
      </c>
      <c r="BC1000" s="55" t="s">
        <v>2081</v>
      </c>
      <c r="BD1000" s="55" t="s">
        <v>176</v>
      </c>
      <c r="BE1000" s="226" t="s">
        <v>666</v>
      </c>
      <c r="BF1000" s="191" t="s">
        <v>479</v>
      </c>
      <c r="BG1000" s="55" t="s">
        <v>479</v>
      </c>
      <c r="BH1000" s="226" t="s">
        <v>666</v>
      </c>
      <c r="BI1000" s="55" t="s">
        <v>479</v>
      </c>
      <c r="BJ1000" s="55" t="s">
        <v>176</v>
      </c>
      <c r="BK1000" s="55" t="s">
        <v>5976</v>
      </c>
      <c r="BM1000" s="192" t="s">
        <v>160</v>
      </c>
      <c r="BN1000" s="55">
        <v>6</v>
      </c>
      <c r="BO1000" s="55">
        <v>6</v>
      </c>
      <c r="BQ1000" s="55" t="s">
        <v>315</v>
      </c>
      <c r="BU1000" s="55" t="s">
        <v>667</v>
      </c>
      <c r="BV1000" s="55" t="s">
        <v>670</v>
      </c>
      <c r="GP1000" s="292" t="s">
        <v>7494</v>
      </c>
      <c r="HD1000" s="65">
        <f>(1.3+1.9+4.7)/3</f>
        <v>2.6333333333333333</v>
      </c>
      <c r="HE1000" s="65">
        <f>(1.03+1.026+2.54)/3</f>
        <v>1.532</v>
      </c>
      <c r="HH1000" s="65" t="s">
        <v>678</v>
      </c>
      <c r="JU1000" s="55" t="s">
        <v>702</v>
      </c>
    </row>
    <row r="1001" spans="1:282" x14ac:dyDescent="0.25">
      <c r="A1001" s="55">
        <v>1000</v>
      </c>
      <c r="B1001" s="12" t="s">
        <v>7067</v>
      </c>
      <c r="C1001" s="155">
        <v>48</v>
      </c>
      <c r="D1001" s="55" t="s">
        <v>3897</v>
      </c>
      <c r="E1001" s="90" t="s">
        <v>662</v>
      </c>
      <c r="G1001" s="55" t="s">
        <v>663</v>
      </c>
      <c r="H1001" s="55">
        <v>2016</v>
      </c>
      <c r="I1001" s="55">
        <v>2014</v>
      </c>
      <c r="J1001" s="55" t="s">
        <v>664</v>
      </c>
      <c r="K1001" s="55" t="s">
        <v>665</v>
      </c>
      <c r="L1001" s="55" t="s">
        <v>2737</v>
      </c>
      <c r="M1001" s="90">
        <f>42+5/60</f>
        <v>42.083333333333336</v>
      </c>
      <c r="N1001" s="90">
        <f>-86-21/60</f>
        <v>-86.35</v>
      </c>
      <c r="O1001" s="90">
        <v>213.2</v>
      </c>
      <c r="U1001" s="55">
        <v>1</v>
      </c>
      <c r="V1001" s="55" t="s">
        <v>1805</v>
      </c>
      <c r="Y1001" s="55" t="s">
        <v>1919</v>
      </c>
      <c r="Z1001" s="55" t="s">
        <v>1371</v>
      </c>
      <c r="AA1001" s="90" t="s">
        <v>1688</v>
      </c>
      <c r="AH1001" s="55" t="s">
        <v>201</v>
      </c>
      <c r="AM1001" s="55" t="s">
        <v>1307</v>
      </c>
      <c r="AN1001" s="185" t="s">
        <v>131</v>
      </c>
      <c r="AO1001" s="185" t="s">
        <v>5150</v>
      </c>
      <c r="AQ1001" s="55" t="s">
        <v>131</v>
      </c>
      <c r="AR1001" s="55" t="s">
        <v>1564</v>
      </c>
      <c r="AS1001" s="55" t="s">
        <v>227</v>
      </c>
      <c r="AU1001" s="181" t="s">
        <v>7494</v>
      </c>
      <c r="AV1001" s="185" t="s">
        <v>176</v>
      </c>
      <c r="AX1001" s="185" t="s">
        <v>176</v>
      </c>
      <c r="AZ1001" s="55" t="s">
        <v>669</v>
      </c>
      <c r="BA1001" s="55" t="s">
        <v>669</v>
      </c>
      <c r="BB1001" s="55" t="s">
        <v>2081</v>
      </c>
      <c r="BC1001" s="55" t="s">
        <v>2081</v>
      </c>
      <c r="BD1001" s="55" t="s">
        <v>176</v>
      </c>
      <c r="BE1001" s="226" t="s">
        <v>666</v>
      </c>
      <c r="BF1001" s="191" t="s">
        <v>479</v>
      </c>
      <c r="BG1001" s="55" t="s">
        <v>479</v>
      </c>
      <c r="BH1001" s="226" t="s">
        <v>666</v>
      </c>
      <c r="BI1001" s="55" t="s">
        <v>479</v>
      </c>
      <c r="BJ1001" s="55" t="s">
        <v>176</v>
      </c>
      <c r="BK1001" s="55" t="s">
        <v>5976</v>
      </c>
      <c r="BM1001" s="192" t="s">
        <v>160</v>
      </c>
      <c r="BN1001" s="55">
        <v>6</v>
      </c>
      <c r="BO1001" s="55">
        <v>6</v>
      </c>
      <c r="BQ1001" s="55" t="s">
        <v>315</v>
      </c>
      <c r="BU1001" s="55" t="s">
        <v>667</v>
      </c>
      <c r="BV1001" s="55" t="s">
        <v>670</v>
      </c>
      <c r="GP1001" s="292" t="s">
        <v>7494</v>
      </c>
      <c r="HD1001" s="65">
        <f>(1.92+2.38+5.5)/3</f>
        <v>3.2666666666666671</v>
      </c>
      <c r="HE1001" s="65">
        <f>(2.58+1.69+3.03)/3</f>
        <v>2.4333333333333331</v>
      </c>
      <c r="HH1001" s="65" t="s">
        <v>678</v>
      </c>
      <c r="JU1001" s="55" t="s">
        <v>702</v>
      </c>
    </row>
    <row r="1002" spans="1:282" x14ac:dyDescent="0.25">
      <c r="A1002" s="55">
        <v>1001</v>
      </c>
      <c r="B1002" s="12" t="s">
        <v>7067</v>
      </c>
      <c r="C1002" s="155">
        <v>48</v>
      </c>
      <c r="D1002" s="55" t="s">
        <v>3896</v>
      </c>
      <c r="E1002" s="90" t="s">
        <v>662</v>
      </c>
      <c r="G1002" s="55" t="s">
        <v>663</v>
      </c>
      <c r="H1002" s="55">
        <v>2016</v>
      </c>
      <c r="I1002" s="55">
        <v>2014</v>
      </c>
      <c r="J1002" s="55" t="s">
        <v>664</v>
      </c>
      <c r="K1002" s="55" t="s">
        <v>665</v>
      </c>
      <c r="L1002" s="55" t="s">
        <v>2737</v>
      </c>
      <c r="M1002" s="90">
        <f>42+5/60</f>
        <v>42.083333333333336</v>
      </c>
      <c r="N1002" s="90">
        <f>-86-21/60</f>
        <v>-86.35</v>
      </c>
      <c r="O1002" s="90">
        <v>213.2</v>
      </c>
      <c r="U1002" s="55">
        <v>1</v>
      </c>
      <c r="V1002" s="55" t="s">
        <v>1805</v>
      </c>
      <c r="Y1002" s="55" t="s">
        <v>1919</v>
      </c>
      <c r="Z1002" s="55" t="s">
        <v>1371</v>
      </c>
      <c r="AA1002" s="90" t="s">
        <v>1688</v>
      </c>
      <c r="AH1002" s="55" t="s">
        <v>201</v>
      </c>
      <c r="AM1002" s="55" t="s">
        <v>1307</v>
      </c>
      <c r="AN1002" s="185" t="s">
        <v>131</v>
      </c>
      <c r="AO1002" s="185" t="s">
        <v>5150</v>
      </c>
      <c r="AQ1002" s="55" t="s">
        <v>131</v>
      </c>
      <c r="AR1002" s="55" t="s">
        <v>1564</v>
      </c>
      <c r="AS1002" s="55" t="s">
        <v>227</v>
      </c>
      <c r="AU1002" s="181" t="s">
        <v>7494</v>
      </c>
      <c r="AV1002" s="185" t="s">
        <v>176</v>
      </c>
      <c r="AX1002" s="185" t="s">
        <v>176</v>
      </c>
      <c r="AZ1002" s="55" t="s">
        <v>668</v>
      </c>
      <c r="BA1002" s="55" t="s">
        <v>668</v>
      </c>
      <c r="BB1002" s="55" t="s">
        <v>2081</v>
      </c>
      <c r="BC1002" s="55" t="s">
        <v>2081</v>
      </c>
      <c r="BD1002" s="55" t="s">
        <v>176</v>
      </c>
      <c r="BE1002" s="226" t="s">
        <v>666</v>
      </c>
      <c r="BF1002" s="191" t="s">
        <v>479</v>
      </c>
      <c r="BG1002" s="55" t="s">
        <v>479</v>
      </c>
      <c r="BH1002" s="226" t="s">
        <v>666</v>
      </c>
      <c r="BI1002" s="55" t="s">
        <v>479</v>
      </c>
      <c r="BJ1002" s="55" t="s">
        <v>176</v>
      </c>
      <c r="BK1002" s="55" t="s">
        <v>5976</v>
      </c>
      <c r="BM1002" s="192" t="s">
        <v>160</v>
      </c>
      <c r="BN1002" s="55">
        <v>6</v>
      </c>
      <c r="BO1002" s="55">
        <v>6</v>
      </c>
      <c r="BQ1002" s="55" t="s">
        <v>315</v>
      </c>
      <c r="BU1002" s="55" t="s">
        <v>667</v>
      </c>
      <c r="BV1002" s="55" t="s">
        <v>671</v>
      </c>
      <c r="GP1002" s="292" t="s">
        <v>7494</v>
      </c>
      <c r="HD1002" s="65">
        <f>(0.6+1.19+3.93)/3</f>
        <v>1.906666666666667</v>
      </c>
      <c r="HE1002" s="65">
        <f>(0.3+0.46+1.27)/3</f>
        <v>0.67666666666666675</v>
      </c>
      <c r="HH1002" s="65" t="s">
        <v>678</v>
      </c>
      <c r="JU1002" s="55" t="s">
        <v>702</v>
      </c>
    </row>
    <row r="1003" spans="1:282" x14ac:dyDescent="0.25">
      <c r="A1003" s="55">
        <v>1002</v>
      </c>
      <c r="B1003" s="12" t="s">
        <v>7067</v>
      </c>
      <c r="C1003" s="155">
        <v>48</v>
      </c>
      <c r="D1003" s="55" t="s">
        <v>3897</v>
      </c>
      <c r="E1003" s="90" t="s">
        <v>662</v>
      </c>
      <c r="G1003" s="55" t="s">
        <v>663</v>
      </c>
      <c r="H1003" s="55">
        <v>2016</v>
      </c>
      <c r="I1003" s="55">
        <v>2014</v>
      </c>
      <c r="J1003" s="55" t="s">
        <v>664</v>
      </c>
      <c r="K1003" s="55" t="s">
        <v>665</v>
      </c>
      <c r="L1003" s="55" t="s">
        <v>2737</v>
      </c>
      <c r="M1003" s="90">
        <f>42+5/60</f>
        <v>42.083333333333336</v>
      </c>
      <c r="N1003" s="90">
        <f>-86-21/60</f>
        <v>-86.35</v>
      </c>
      <c r="O1003" s="90">
        <v>213.2</v>
      </c>
      <c r="U1003" s="55">
        <v>1</v>
      </c>
      <c r="V1003" s="55" t="s">
        <v>1805</v>
      </c>
      <c r="Y1003" s="55" t="s">
        <v>1919</v>
      </c>
      <c r="Z1003" s="55" t="s">
        <v>1371</v>
      </c>
      <c r="AA1003" s="90" t="s">
        <v>1688</v>
      </c>
      <c r="AH1003" s="55" t="s">
        <v>201</v>
      </c>
      <c r="AM1003" s="55" t="s">
        <v>1307</v>
      </c>
      <c r="AN1003" s="185" t="s">
        <v>131</v>
      </c>
      <c r="AO1003" s="185" t="s">
        <v>5150</v>
      </c>
      <c r="AQ1003" s="55" t="s">
        <v>131</v>
      </c>
      <c r="AR1003" s="55" t="s">
        <v>1564</v>
      </c>
      <c r="AS1003" s="55" t="s">
        <v>227</v>
      </c>
      <c r="AU1003" s="181" t="s">
        <v>7494</v>
      </c>
      <c r="AV1003" s="185" t="s">
        <v>176</v>
      </c>
      <c r="AX1003" s="185" t="s">
        <v>176</v>
      </c>
      <c r="AZ1003" s="55" t="s">
        <v>669</v>
      </c>
      <c r="BA1003" s="55" t="s">
        <v>669</v>
      </c>
      <c r="BB1003" s="55" t="s">
        <v>2081</v>
      </c>
      <c r="BC1003" s="55" t="s">
        <v>2081</v>
      </c>
      <c r="BD1003" s="55" t="s">
        <v>176</v>
      </c>
      <c r="BE1003" s="226" t="s">
        <v>666</v>
      </c>
      <c r="BF1003" s="191" t="s">
        <v>479</v>
      </c>
      <c r="BG1003" s="55" t="s">
        <v>479</v>
      </c>
      <c r="BH1003" s="226" t="s">
        <v>666</v>
      </c>
      <c r="BI1003" s="55" t="s">
        <v>479</v>
      </c>
      <c r="BJ1003" s="55" t="s">
        <v>176</v>
      </c>
      <c r="BK1003" s="55" t="s">
        <v>5976</v>
      </c>
      <c r="BM1003" s="192" t="s">
        <v>160</v>
      </c>
      <c r="BN1003" s="55">
        <v>6</v>
      </c>
      <c r="BO1003" s="55">
        <v>6</v>
      </c>
      <c r="BQ1003" s="55" t="s">
        <v>315</v>
      </c>
      <c r="BU1003" s="55" t="s">
        <v>667</v>
      </c>
      <c r="BV1003" s="55" t="s">
        <v>671</v>
      </c>
      <c r="GP1003" s="292" t="s">
        <v>7494</v>
      </c>
      <c r="HD1003" s="65">
        <f>(0.55+1.16+3.96)/3</f>
        <v>1.89</v>
      </c>
      <c r="HE1003" s="65">
        <f>(0.48+0.48+2.75)/3</f>
        <v>1.2366666666666666</v>
      </c>
      <c r="HH1003" s="65" t="s">
        <v>678</v>
      </c>
      <c r="JU1003" s="55" t="s">
        <v>702</v>
      </c>
    </row>
    <row r="1004" spans="1:282" x14ac:dyDescent="0.25">
      <c r="A1004" s="55">
        <v>1003</v>
      </c>
      <c r="B1004" s="12" t="s">
        <v>7067</v>
      </c>
      <c r="C1004" s="155">
        <v>48</v>
      </c>
      <c r="D1004" s="55" t="s">
        <v>3896</v>
      </c>
      <c r="E1004" s="90" t="s">
        <v>662</v>
      </c>
      <c r="G1004" s="55" t="s">
        <v>663</v>
      </c>
      <c r="H1004" s="55">
        <v>2016</v>
      </c>
      <c r="I1004" s="55">
        <v>2014</v>
      </c>
      <c r="J1004" s="55" t="s">
        <v>664</v>
      </c>
      <c r="K1004" s="55" t="s">
        <v>665</v>
      </c>
      <c r="L1004" s="55" t="s">
        <v>2737</v>
      </c>
      <c r="M1004" s="90">
        <f>42+5/60</f>
        <v>42.083333333333336</v>
      </c>
      <c r="N1004" s="90">
        <f>-86-21/60</f>
        <v>-86.35</v>
      </c>
      <c r="O1004" s="90">
        <v>213.2</v>
      </c>
      <c r="U1004" s="55">
        <v>1</v>
      </c>
      <c r="V1004" s="55" t="s">
        <v>1805</v>
      </c>
      <c r="Y1004" s="55" t="s">
        <v>1919</v>
      </c>
      <c r="Z1004" s="55" t="s">
        <v>1371</v>
      </c>
      <c r="AA1004" s="90" t="s">
        <v>1688</v>
      </c>
      <c r="AH1004" s="55" t="s">
        <v>201</v>
      </c>
      <c r="AM1004" s="55" t="s">
        <v>1307</v>
      </c>
      <c r="AN1004" s="185" t="s">
        <v>131</v>
      </c>
      <c r="AO1004" s="185" t="s">
        <v>5150</v>
      </c>
      <c r="AQ1004" s="55" t="s">
        <v>131</v>
      </c>
      <c r="AR1004" s="55" t="s">
        <v>1564</v>
      </c>
      <c r="AS1004" s="55" t="s">
        <v>227</v>
      </c>
      <c r="AU1004" s="181" t="s">
        <v>7494</v>
      </c>
      <c r="AV1004" s="185" t="s">
        <v>176</v>
      </c>
      <c r="AX1004" s="185" t="s">
        <v>176</v>
      </c>
      <c r="AZ1004" s="55" t="s">
        <v>668</v>
      </c>
      <c r="BA1004" s="55" t="s">
        <v>668</v>
      </c>
      <c r="BB1004" s="55" t="s">
        <v>2081</v>
      </c>
      <c r="BC1004" s="55" t="s">
        <v>2081</v>
      </c>
      <c r="BD1004" s="55" t="s">
        <v>176</v>
      </c>
      <c r="BE1004" s="226" t="s">
        <v>666</v>
      </c>
      <c r="BF1004" s="191" t="s">
        <v>479</v>
      </c>
      <c r="BG1004" s="55" t="s">
        <v>479</v>
      </c>
      <c r="BH1004" s="226" t="s">
        <v>666</v>
      </c>
      <c r="BI1004" s="55" t="s">
        <v>479</v>
      </c>
      <c r="BJ1004" s="55" t="s">
        <v>176</v>
      </c>
      <c r="BK1004" s="55" t="s">
        <v>5976</v>
      </c>
      <c r="BM1004" s="192" t="s">
        <v>160</v>
      </c>
      <c r="BN1004" s="55">
        <v>6</v>
      </c>
      <c r="BO1004" s="55">
        <v>6</v>
      </c>
      <c r="BQ1004" s="55" t="s">
        <v>315</v>
      </c>
      <c r="BU1004" s="55" t="s">
        <v>667</v>
      </c>
      <c r="BV1004" s="55" t="s">
        <v>672</v>
      </c>
      <c r="GP1004" s="292" t="s">
        <v>7494</v>
      </c>
      <c r="HD1004" s="65">
        <f>(4.54+9.44+4.55)/3</f>
        <v>6.1766666666666667</v>
      </c>
      <c r="HE1004" s="65">
        <f>(5.5+7.12+8.54)/3</f>
        <v>7.0533333333333337</v>
      </c>
      <c r="HH1004" s="65" t="s">
        <v>678</v>
      </c>
      <c r="JU1004" s="55" t="s">
        <v>702</v>
      </c>
    </row>
    <row r="1005" spans="1:282" x14ac:dyDescent="0.25">
      <c r="A1005" s="55">
        <v>1004</v>
      </c>
      <c r="B1005" s="12" t="s">
        <v>7067</v>
      </c>
      <c r="C1005" s="155">
        <v>48</v>
      </c>
      <c r="D1005" s="55" t="s">
        <v>3897</v>
      </c>
      <c r="E1005" s="90" t="s">
        <v>662</v>
      </c>
      <c r="G1005" s="55" t="s">
        <v>663</v>
      </c>
      <c r="H1005" s="55">
        <v>2016</v>
      </c>
      <c r="I1005" s="55">
        <v>2014</v>
      </c>
      <c r="J1005" s="55" t="s">
        <v>664</v>
      </c>
      <c r="K1005" s="55" t="s">
        <v>665</v>
      </c>
      <c r="L1005" s="55" t="s">
        <v>2737</v>
      </c>
      <c r="M1005" s="90">
        <f>42+5/60</f>
        <v>42.083333333333336</v>
      </c>
      <c r="N1005" s="90">
        <f>-86-21/60</f>
        <v>-86.35</v>
      </c>
      <c r="O1005" s="90">
        <v>213.2</v>
      </c>
      <c r="U1005" s="55">
        <v>1</v>
      </c>
      <c r="V1005" s="55" t="s">
        <v>1805</v>
      </c>
      <c r="Y1005" s="55" t="s">
        <v>1919</v>
      </c>
      <c r="Z1005" s="55" t="s">
        <v>1371</v>
      </c>
      <c r="AA1005" s="90" t="s">
        <v>1688</v>
      </c>
      <c r="AH1005" s="55" t="s">
        <v>201</v>
      </c>
      <c r="AM1005" s="55" t="s">
        <v>1307</v>
      </c>
      <c r="AN1005" s="185" t="s">
        <v>131</v>
      </c>
      <c r="AO1005" s="185" t="s">
        <v>5150</v>
      </c>
      <c r="AQ1005" s="55" t="s">
        <v>131</v>
      </c>
      <c r="AR1005" s="55" t="s">
        <v>1564</v>
      </c>
      <c r="AS1005" s="55" t="s">
        <v>227</v>
      </c>
      <c r="AU1005" s="181" t="s">
        <v>7494</v>
      </c>
      <c r="AV1005" s="185" t="s">
        <v>176</v>
      </c>
      <c r="AX1005" s="185" t="s">
        <v>176</v>
      </c>
      <c r="AZ1005" s="55" t="s">
        <v>669</v>
      </c>
      <c r="BA1005" s="55" t="s">
        <v>669</v>
      </c>
      <c r="BB1005" s="55" t="s">
        <v>2081</v>
      </c>
      <c r="BC1005" s="55" t="s">
        <v>2081</v>
      </c>
      <c r="BD1005" s="55" t="s">
        <v>176</v>
      </c>
      <c r="BE1005" s="226" t="s">
        <v>666</v>
      </c>
      <c r="BF1005" s="191" t="s">
        <v>479</v>
      </c>
      <c r="BG1005" s="55" t="s">
        <v>479</v>
      </c>
      <c r="BH1005" s="226" t="s">
        <v>666</v>
      </c>
      <c r="BI1005" s="55" t="s">
        <v>479</v>
      </c>
      <c r="BJ1005" s="55" t="s">
        <v>176</v>
      </c>
      <c r="BK1005" s="55" t="s">
        <v>5976</v>
      </c>
      <c r="BM1005" s="192" t="s">
        <v>160</v>
      </c>
      <c r="BN1005" s="55">
        <v>6</v>
      </c>
      <c r="BO1005" s="55">
        <v>6</v>
      </c>
      <c r="BQ1005" s="55" t="s">
        <v>315</v>
      </c>
      <c r="BU1005" s="55" t="s">
        <v>667</v>
      </c>
      <c r="BV1005" s="55" t="s">
        <v>672</v>
      </c>
      <c r="GP1005" s="292" t="s">
        <v>7494</v>
      </c>
      <c r="HD1005" s="65">
        <f>(7.52+10.35+5.91)/3</f>
        <v>7.9266666666666659</v>
      </c>
      <c r="HE1005" s="65">
        <f>(4.49+10.45+3.49)/3</f>
        <v>6.1433333333333335</v>
      </c>
      <c r="HH1005" s="65" t="s">
        <v>678</v>
      </c>
      <c r="JU1005" s="55" t="s">
        <v>702</v>
      </c>
    </row>
    <row r="1006" spans="1:282" x14ac:dyDescent="0.25">
      <c r="A1006" s="55">
        <v>1005</v>
      </c>
      <c r="B1006" s="12" t="s">
        <v>7067</v>
      </c>
      <c r="C1006" s="155">
        <v>48</v>
      </c>
      <c r="D1006" s="55" t="s">
        <v>3896</v>
      </c>
      <c r="E1006" s="90" t="s">
        <v>662</v>
      </c>
      <c r="G1006" s="55" t="s">
        <v>663</v>
      </c>
      <c r="H1006" s="55">
        <v>2016</v>
      </c>
      <c r="I1006" s="55">
        <v>2014</v>
      </c>
      <c r="J1006" s="55" t="s">
        <v>664</v>
      </c>
      <c r="K1006" s="55" t="s">
        <v>665</v>
      </c>
      <c r="L1006" s="55" t="s">
        <v>2737</v>
      </c>
      <c r="M1006" s="90">
        <f>42+5/60</f>
        <v>42.083333333333336</v>
      </c>
      <c r="N1006" s="90">
        <f>-86-21/60</f>
        <v>-86.35</v>
      </c>
      <c r="O1006" s="90">
        <v>213.2</v>
      </c>
      <c r="U1006" s="55">
        <v>1</v>
      </c>
      <c r="V1006" s="55" t="s">
        <v>1805</v>
      </c>
      <c r="Y1006" s="55" t="s">
        <v>1919</v>
      </c>
      <c r="Z1006" s="55" t="s">
        <v>1371</v>
      </c>
      <c r="AA1006" s="90" t="s">
        <v>1688</v>
      </c>
      <c r="AH1006" s="55" t="s">
        <v>201</v>
      </c>
      <c r="AM1006" s="55" t="s">
        <v>1307</v>
      </c>
      <c r="AN1006" s="185" t="s">
        <v>131</v>
      </c>
      <c r="AO1006" s="185" t="s">
        <v>5150</v>
      </c>
      <c r="AQ1006" s="55" t="s">
        <v>131</v>
      </c>
      <c r="AR1006" s="55" t="s">
        <v>1564</v>
      </c>
      <c r="AS1006" s="55" t="s">
        <v>227</v>
      </c>
      <c r="AU1006" s="181" t="s">
        <v>7494</v>
      </c>
      <c r="AV1006" s="185" t="s">
        <v>176</v>
      </c>
      <c r="AX1006" s="185" t="s">
        <v>176</v>
      </c>
      <c r="AZ1006" s="55" t="s">
        <v>668</v>
      </c>
      <c r="BA1006" s="55" t="s">
        <v>668</v>
      </c>
      <c r="BB1006" s="55" t="s">
        <v>2081</v>
      </c>
      <c r="BC1006" s="55" t="s">
        <v>2081</v>
      </c>
      <c r="BD1006" s="55" t="s">
        <v>176</v>
      </c>
      <c r="BE1006" s="226" t="s">
        <v>666</v>
      </c>
      <c r="BF1006" s="191" t="s">
        <v>479</v>
      </c>
      <c r="BG1006" s="55" t="s">
        <v>479</v>
      </c>
      <c r="BH1006" s="226" t="s">
        <v>666</v>
      </c>
      <c r="BI1006" s="55" t="s">
        <v>479</v>
      </c>
      <c r="BJ1006" s="55" t="s">
        <v>176</v>
      </c>
      <c r="BK1006" s="55" t="s">
        <v>5976</v>
      </c>
      <c r="BM1006" s="192" t="s">
        <v>160</v>
      </c>
      <c r="BN1006" s="55">
        <v>6</v>
      </c>
      <c r="BO1006" s="55">
        <v>6</v>
      </c>
      <c r="BQ1006" s="55" t="s">
        <v>315</v>
      </c>
      <c r="BU1006" s="55" t="s">
        <v>667</v>
      </c>
      <c r="BV1006" s="55" t="s">
        <v>673</v>
      </c>
      <c r="GP1006" s="292" t="s">
        <v>7494</v>
      </c>
      <c r="HD1006" s="65">
        <f>(1.1+1.93+0.55)/3</f>
        <v>1.1933333333333334</v>
      </c>
      <c r="HE1006" s="65">
        <f>(2.2+1.55+1.03)/3</f>
        <v>1.5933333333333335</v>
      </c>
      <c r="HH1006" s="65" t="s">
        <v>678</v>
      </c>
      <c r="JU1006" s="55" t="s">
        <v>702</v>
      </c>
    </row>
    <row r="1007" spans="1:282" x14ac:dyDescent="0.25">
      <c r="A1007" s="55">
        <v>1006</v>
      </c>
      <c r="B1007" s="12" t="s">
        <v>7067</v>
      </c>
      <c r="C1007" s="155">
        <v>48</v>
      </c>
      <c r="D1007" s="55" t="s">
        <v>3897</v>
      </c>
      <c r="E1007" s="90" t="s">
        <v>662</v>
      </c>
      <c r="G1007" s="55" t="s">
        <v>663</v>
      </c>
      <c r="H1007" s="55">
        <v>2016</v>
      </c>
      <c r="I1007" s="55">
        <v>2014</v>
      </c>
      <c r="J1007" s="55" t="s">
        <v>664</v>
      </c>
      <c r="K1007" s="55" t="s">
        <v>665</v>
      </c>
      <c r="L1007" s="55" t="s">
        <v>2737</v>
      </c>
      <c r="M1007" s="90">
        <f>42+5/60</f>
        <v>42.083333333333336</v>
      </c>
      <c r="N1007" s="90">
        <f>-86-21/60</f>
        <v>-86.35</v>
      </c>
      <c r="O1007" s="90">
        <v>213.2</v>
      </c>
      <c r="U1007" s="55">
        <v>1</v>
      </c>
      <c r="V1007" s="55" t="s">
        <v>1805</v>
      </c>
      <c r="Y1007" s="55" t="s">
        <v>1919</v>
      </c>
      <c r="Z1007" s="55" t="s">
        <v>1371</v>
      </c>
      <c r="AA1007" s="90" t="s">
        <v>1688</v>
      </c>
      <c r="AH1007" s="55" t="s">
        <v>201</v>
      </c>
      <c r="AM1007" s="55" t="s">
        <v>1307</v>
      </c>
      <c r="AN1007" s="185" t="s">
        <v>131</v>
      </c>
      <c r="AO1007" s="185" t="s">
        <v>5150</v>
      </c>
      <c r="AQ1007" s="55" t="s">
        <v>131</v>
      </c>
      <c r="AR1007" s="55" t="s">
        <v>1564</v>
      </c>
      <c r="AS1007" s="55" t="s">
        <v>227</v>
      </c>
      <c r="AU1007" s="181" t="s">
        <v>7494</v>
      </c>
      <c r="AV1007" s="185" t="s">
        <v>176</v>
      </c>
      <c r="AX1007" s="185" t="s">
        <v>176</v>
      </c>
      <c r="AZ1007" s="55" t="s">
        <v>669</v>
      </c>
      <c r="BA1007" s="55" t="s">
        <v>669</v>
      </c>
      <c r="BB1007" s="55" t="s">
        <v>2081</v>
      </c>
      <c r="BC1007" s="55" t="s">
        <v>2081</v>
      </c>
      <c r="BD1007" s="55" t="s">
        <v>176</v>
      </c>
      <c r="BE1007" s="226" t="s">
        <v>666</v>
      </c>
      <c r="BF1007" s="191" t="s">
        <v>479</v>
      </c>
      <c r="BG1007" s="55" t="s">
        <v>479</v>
      </c>
      <c r="BH1007" s="226" t="s">
        <v>666</v>
      </c>
      <c r="BI1007" s="55" t="s">
        <v>479</v>
      </c>
      <c r="BJ1007" s="55" t="s">
        <v>176</v>
      </c>
      <c r="BK1007" s="55" t="s">
        <v>5976</v>
      </c>
      <c r="BM1007" s="192" t="s">
        <v>160</v>
      </c>
      <c r="BN1007" s="55">
        <v>6</v>
      </c>
      <c r="BO1007" s="55">
        <v>6</v>
      </c>
      <c r="BQ1007" s="55" t="s">
        <v>315</v>
      </c>
      <c r="BU1007" s="55" t="s">
        <v>667</v>
      </c>
      <c r="BV1007" s="55" t="s">
        <v>673</v>
      </c>
      <c r="GP1007" s="292" t="s">
        <v>7494</v>
      </c>
      <c r="HD1007" s="65">
        <f>(1.1+1.19+0.67)/3</f>
        <v>0.98666666666666669</v>
      </c>
      <c r="HE1007" s="65">
        <f>(1.21+0.93+0.9)/3</f>
        <v>1.0133333333333334</v>
      </c>
      <c r="HH1007" s="65" t="s">
        <v>678</v>
      </c>
      <c r="JU1007" s="55" t="s">
        <v>702</v>
      </c>
    </row>
    <row r="1008" spans="1:282" x14ac:dyDescent="0.25">
      <c r="A1008" s="55">
        <v>1007</v>
      </c>
      <c r="B1008" s="12" t="s">
        <v>7067</v>
      </c>
      <c r="C1008" s="155">
        <v>48</v>
      </c>
      <c r="D1008" s="55" t="s">
        <v>3896</v>
      </c>
      <c r="E1008" s="90" t="s">
        <v>662</v>
      </c>
      <c r="G1008" s="55" t="s">
        <v>663</v>
      </c>
      <c r="H1008" s="55">
        <v>2016</v>
      </c>
      <c r="I1008" s="55">
        <v>2015</v>
      </c>
      <c r="J1008" s="55" t="s">
        <v>664</v>
      </c>
      <c r="K1008" s="55" t="s">
        <v>665</v>
      </c>
      <c r="L1008" s="55" t="s">
        <v>2737</v>
      </c>
      <c r="M1008" s="90">
        <f>42+5/60</f>
        <v>42.083333333333336</v>
      </c>
      <c r="N1008" s="90">
        <f>-86-21/60</f>
        <v>-86.35</v>
      </c>
      <c r="O1008" s="90">
        <v>213.2</v>
      </c>
      <c r="U1008" s="55">
        <v>2</v>
      </c>
      <c r="V1008" s="55" t="s">
        <v>1805</v>
      </c>
      <c r="Y1008" s="55" t="s">
        <v>1919</v>
      </c>
      <c r="Z1008" s="55" t="s">
        <v>1371</v>
      </c>
      <c r="AA1008" s="90" t="s">
        <v>1688</v>
      </c>
      <c r="AH1008" s="55" t="s">
        <v>201</v>
      </c>
      <c r="AM1008" s="55" t="s">
        <v>1307</v>
      </c>
      <c r="AN1008" s="185" t="s">
        <v>131</v>
      </c>
      <c r="AO1008" s="185" t="s">
        <v>5150</v>
      </c>
      <c r="AQ1008" s="55" t="s">
        <v>131</v>
      </c>
      <c r="AR1008" s="55" t="s">
        <v>1564</v>
      </c>
      <c r="AS1008" s="55" t="s">
        <v>227</v>
      </c>
      <c r="AU1008" s="181" t="s">
        <v>7494</v>
      </c>
      <c r="AV1008" s="185" t="s">
        <v>176</v>
      </c>
      <c r="AX1008" s="185" t="s">
        <v>176</v>
      </c>
      <c r="AZ1008" s="55" t="s">
        <v>668</v>
      </c>
      <c r="BA1008" s="55" t="s">
        <v>668</v>
      </c>
      <c r="BB1008" s="55" t="s">
        <v>2081</v>
      </c>
      <c r="BC1008" s="55" t="s">
        <v>2081</v>
      </c>
      <c r="BD1008" s="55" t="s">
        <v>176</v>
      </c>
      <c r="BE1008" s="226" t="s">
        <v>666</v>
      </c>
      <c r="BF1008" s="191" t="s">
        <v>479</v>
      </c>
      <c r="BG1008" s="55" t="s">
        <v>479</v>
      </c>
      <c r="BH1008" s="226" t="s">
        <v>666</v>
      </c>
      <c r="BI1008" s="55" t="s">
        <v>479</v>
      </c>
      <c r="BJ1008" s="55" t="s">
        <v>176</v>
      </c>
      <c r="BK1008" s="55" t="s">
        <v>5976</v>
      </c>
      <c r="BM1008" s="192" t="s">
        <v>160</v>
      </c>
      <c r="BN1008" s="55">
        <v>6</v>
      </c>
      <c r="BO1008" s="55">
        <v>6</v>
      </c>
      <c r="BQ1008" s="55" t="s">
        <v>315</v>
      </c>
      <c r="BU1008" s="55" t="s">
        <v>667</v>
      </c>
      <c r="BV1008" s="55" t="s">
        <v>674</v>
      </c>
      <c r="GP1008" s="292" t="s">
        <v>7494</v>
      </c>
      <c r="HD1008" s="65">
        <f>(1.19+2.25+4.6)/3</f>
        <v>2.6799999999999997</v>
      </c>
      <c r="HE1008" s="65">
        <f>(0.81+3.51+6.17)/3</f>
        <v>3.4966666666666666</v>
      </c>
      <c r="HH1008" s="65" t="s">
        <v>678</v>
      </c>
      <c r="JU1008" s="55" t="s">
        <v>702</v>
      </c>
    </row>
    <row r="1009" spans="1:281" x14ac:dyDescent="0.25">
      <c r="A1009" s="55">
        <v>1008</v>
      </c>
      <c r="B1009" s="12" t="s">
        <v>7067</v>
      </c>
      <c r="C1009" s="155">
        <v>48</v>
      </c>
      <c r="D1009" s="55" t="s">
        <v>3897</v>
      </c>
      <c r="E1009" s="90" t="s">
        <v>662</v>
      </c>
      <c r="G1009" s="55" t="s">
        <v>663</v>
      </c>
      <c r="H1009" s="55">
        <v>2016</v>
      </c>
      <c r="I1009" s="55">
        <v>2015</v>
      </c>
      <c r="J1009" s="55" t="s">
        <v>664</v>
      </c>
      <c r="K1009" s="55" t="s">
        <v>665</v>
      </c>
      <c r="L1009" s="55" t="s">
        <v>2737</v>
      </c>
      <c r="M1009" s="90">
        <f>42+5/60</f>
        <v>42.083333333333336</v>
      </c>
      <c r="N1009" s="90">
        <f>-86-21/60</f>
        <v>-86.35</v>
      </c>
      <c r="O1009" s="90">
        <v>213.2</v>
      </c>
      <c r="U1009" s="55">
        <v>2</v>
      </c>
      <c r="V1009" s="55" t="s">
        <v>1805</v>
      </c>
      <c r="Y1009" s="55" t="s">
        <v>1919</v>
      </c>
      <c r="Z1009" s="55" t="s">
        <v>1371</v>
      </c>
      <c r="AA1009" s="90" t="s">
        <v>1688</v>
      </c>
      <c r="AH1009" s="55" t="s">
        <v>201</v>
      </c>
      <c r="AM1009" s="55" t="s">
        <v>1307</v>
      </c>
      <c r="AN1009" s="185" t="s">
        <v>131</v>
      </c>
      <c r="AO1009" s="185" t="s">
        <v>5150</v>
      </c>
      <c r="AQ1009" s="55" t="s">
        <v>131</v>
      </c>
      <c r="AR1009" s="55" t="s">
        <v>1564</v>
      </c>
      <c r="AS1009" s="55" t="s">
        <v>227</v>
      </c>
      <c r="AU1009" s="181" t="s">
        <v>7494</v>
      </c>
      <c r="AV1009" s="185" t="s">
        <v>176</v>
      </c>
      <c r="AX1009" s="185" t="s">
        <v>176</v>
      </c>
      <c r="AZ1009" s="55" t="s">
        <v>669</v>
      </c>
      <c r="BA1009" s="55" t="s">
        <v>669</v>
      </c>
      <c r="BB1009" s="55" t="s">
        <v>2081</v>
      </c>
      <c r="BC1009" s="55" t="s">
        <v>2081</v>
      </c>
      <c r="BD1009" s="55" t="s">
        <v>176</v>
      </c>
      <c r="BE1009" s="226" t="s">
        <v>666</v>
      </c>
      <c r="BF1009" s="191" t="s">
        <v>479</v>
      </c>
      <c r="BG1009" s="55" t="s">
        <v>479</v>
      </c>
      <c r="BH1009" s="226" t="s">
        <v>666</v>
      </c>
      <c r="BI1009" s="55" t="s">
        <v>479</v>
      </c>
      <c r="BJ1009" s="55" t="s">
        <v>176</v>
      </c>
      <c r="BK1009" s="55" t="s">
        <v>5976</v>
      </c>
      <c r="BM1009" s="192" t="s">
        <v>160</v>
      </c>
      <c r="BN1009" s="55">
        <v>6</v>
      </c>
      <c r="BO1009" s="55">
        <v>6</v>
      </c>
      <c r="BQ1009" s="55" t="s">
        <v>315</v>
      </c>
      <c r="BU1009" s="55" t="s">
        <v>667</v>
      </c>
      <c r="BV1009" s="55" t="s">
        <v>674</v>
      </c>
      <c r="GP1009" s="292" t="s">
        <v>7494</v>
      </c>
      <c r="HD1009" s="65">
        <f>(3.81+2.16+5.86)/3</f>
        <v>3.9433333333333338</v>
      </c>
      <c r="HE1009" s="65">
        <f>(3.86+3.28+5.63)/3</f>
        <v>4.2566666666666668</v>
      </c>
      <c r="HH1009" s="65" t="s">
        <v>678</v>
      </c>
      <c r="JU1009" s="55" t="s">
        <v>702</v>
      </c>
    </row>
    <row r="1010" spans="1:281" x14ac:dyDescent="0.25">
      <c r="A1010" s="55">
        <v>1009</v>
      </c>
      <c r="B1010" s="12" t="s">
        <v>7067</v>
      </c>
      <c r="C1010" s="155">
        <v>48</v>
      </c>
      <c r="D1010" s="55" t="s">
        <v>3896</v>
      </c>
      <c r="E1010" s="90" t="s">
        <v>662</v>
      </c>
      <c r="G1010" s="55" t="s">
        <v>663</v>
      </c>
      <c r="H1010" s="55">
        <v>2016</v>
      </c>
      <c r="I1010" s="55">
        <v>2015</v>
      </c>
      <c r="J1010" s="55" t="s">
        <v>664</v>
      </c>
      <c r="K1010" s="55" t="s">
        <v>665</v>
      </c>
      <c r="L1010" s="55" t="s">
        <v>2737</v>
      </c>
      <c r="M1010" s="90">
        <f>42+5/60</f>
        <v>42.083333333333336</v>
      </c>
      <c r="N1010" s="90">
        <f>-86-21/60</f>
        <v>-86.35</v>
      </c>
      <c r="O1010" s="90">
        <v>213.2</v>
      </c>
      <c r="U1010" s="55">
        <v>2</v>
      </c>
      <c r="V1010" s="55" t="s">
        <v>1805</v>
      </c>
      <c r="Y1010" s="55" t="s">
        <v>1919</v>
      </c>
      <c r="Z1010" s="55" t="s">
        <v>1371</v>
      </c>
      <c r="AA1010" s="90" t="s">
        <v>1688</v>
      </c>
      <c r="AH1010" s="55" t="s">
        <v>201</v>
      </c>
      <c r="AM1010" s="55" t="s">
        <v>1307</v>
      </c>
      <c r="AN1010" s="185" t="s">
        <v>131</v>
      </c>
      <c r="AO1010" s="185" t="s">
        <v>5150</v>
      </c>
      <c r="AQ1010" s="55" t="s">
        <v>131</v>
      </c>
      <c r="AR1010" s="55" t="s">
        <v>1564</v>
      </c>
      <c r="AS1010" s="55" t="s">
        <v>227</v>
      </c>
      <c r="AU1010" s="181" t="s">
        <v>7494</v>
      </c>
      <c r="AV1010" s="185" t="s">
        <v>176</v>
      </c>
      <c r="AX1010" s="185" t="s">
        <v>176</v>
      </c>
      <c r="AZ1010" s="55" t="s">
        <v>668</v>
      </c>
      <c r="BA1010" s="55" t="s">
        <v>668</v>
      </c>
      <c r="BB1010" s="55" t="s">
        <v>2081</v>
      </c>
      <c r="BC1010" s="55" t="s">
        <v>2081</v>
      </c>
      <c r="BD1010" s="55" t="s">
        <v>176</v>
      </c>
      <c r="BE1010" s="226" t="s">
        <v>666</v>
      </c>
      <c r="BF1010" s="191" t="s">
        <v>479</v>
      </c>
      <c r="BG1010" s="55" t="s">
        <v>479</v>
      </c>
      <c r="BH1010" s="226" t="s">
        <v>666</v>
      </c>
      <c r="BI1010" s="55" t="s">
        <v>479</v>
      </c>
      <c r="BJ1010" s="55" t="s">
        <v>176</v>
      </c>
      <c r="BK1010" s="55" t="s">
        <v>5976</v>
      </c>
      <c r="BM1010" s="192" t="s">
        <v>160</v>
      </c>
      <c r="BN1010" s="55">
        <v>6</v>
      </c>
      <c r="BO1010" s="55">
        <v>6</v>
      </c>
      <c r="BQ1010" s="55" t="s">
        <v>315</v>
      </c>
      <c r="BU1010" s="55" t="s">
        <v>667</v>
      </c>
      <c r="BV1010" s="55" t="s">
        <v>675</v>
      </c>
      <c r="GP1010" s="292" t="s">
        <v>7494</v>
      </c>
      <c r="HD1010" s="65">
        <f>(0.08+1.55+3.77)/3</f>
        <v>1.8</v>
      </c>
      <c r="HE1010" s="65">
        <f>(0.27+3.04+5.56)/3</f>
        <v>2.9566666666666666</v>
      </c>
      <c r="HH1010" s="65" t="s">
        <v>678</v>
      </c>
      <c r="JU1010" s="55" t="s">
        <v>702</v>
      </c>
    </row>
    <row r="1011" spans="1:281" x14ac:dyDescent="0.25">
      <c r="A1011" s="55">
        <v>1010</v>
      </c>
      <c r="B1011" s="12" t="s">
        <v>7067</v>
      </c>
      <c r="C1011" s="155">
        <v>48</v>
      </c>
      <c r="D1011" s="55" t="s">
        <v>3897</v>
      </c>
      <c r="E1011" s="90" t="s">
        <v>662</v>
      </c>
      <c r="G1011" s="55" t="s">
        <v>663</v>
      </c>
      <c r="H1011" s="55">
        <v>2016</v>
      </c>
      <c r="I1011" s="55">
        <v>2015</v>
      </c>
      <c r="J1011" s="55" t="s">
        <v>664</v>
      </c>
      <c r="K1011" s="55" t="s">
        <v>665</v>
      </c>
      <c r="L1011" s="55" t="s">
        <v>2737</v>
      </c>
      <c r="M1011" s="90">
        <f>42+5/60</f>
        <v>42.083333333333336</v>
      </c>
      <c r="N1011" s="90">
        <f>-86-21/60</f>
        <v>-86.35</v>
      </c>
      <c r="O1011" s="90">
        <v>213.2</v>
      </c>
      <c r="U1011" s="55">
        <v>2</v>
      </c>
      <c r="V1011" s="55" t="s">
        <v>1805</v>
      </c>
      <c r="Y1011" s="55" t="s">
        <v>1919</v>
      </c>
      <c r="Z1011" s="55" t="s">
        <v>1371</v>
      </c>
      <c r="AA1011" s="90" t="s">
        <v>1688</v>
      </c>
      <c r="AH1011" s="55" t="s">
        <v>201</v>
      </c>
      <c r="AM1011" s="55" t="s">
        <v>1307</v>
      </c>
      <c r="AN1011" s="185" t="s">
        <v>131</v>
      </c>
      <c r="AO1011" s="185" t="s">
        <v>5150</v>
      </c>
      <c r="AQ1011" s="55" t="s">
        <v>131</v>
      </c>
      <c r="AR1011" s="55" t="s">
        <v>1564</v>
      </c>
      <c r="AS1011" s="55" t="s">
        <v>227</v>
      </c>
      <c r="AU1011" s="181" t="s">
        <v>7494</v>
      </c>
      <c r="AV1011" s="185" t="s">
        <v>176</v>
      </c>
      <c r="AX1011" s="185" t="s">
        <v>176</v>
      </c>
      <c r="AZ1011" s="55" t="s">
        <v>669</v>
      </c>
      <c r="BA1011" s="55" t="s">
        <v>669</v>
      </c>
      <c r="BB1011" s="55" t="s">
        <v>2081</v>
      </c>
      <c r="BC1011" s="55" t="s">
        <v>2081</v>
      </c>
      <c r="BD1011" s="55" t="s">
        <v>176</v>
      </c>
      <c r="BE1011" s="226" t="s">
        <v>666</v>
      </c>
      <c r="BF1011" s="191" t="s">
        <v>479</v>
      </c>
      <c r="BG1011" s="55" t="s">
        <v>479</v>
      </c>
      <c r="BH1011" s="226" t="s">
        <v>666</v>
      </c>
      <c r="BI1011" s="55" t="s">
        <v>479</v>
      </c>
      <c r="BJ1011" s="55" t="s">
        <v>176</v>
      </c>
      <c r="BK1011" s="55" t="s">
        <v>5976</v>
      </c>
      <c r="BM1011" s="192" t="s">
        <v>160</v>
      </c>
      <c r="BN1011" s="55">
        <v>6</v>
      </c>
      <c r="BO1011" s="55">
        <v>6</v>
      </c>
      <c r="BQ1011" s="55" t="s">
        <v>315</v>
      </c>
      <c r="BU1011" s="55" t="s">
        <v>667</v>
      </c>
      <c r="BV1011" s="55" t="s">
        <v>675</v>
      </c>
      <c r="GP1011" s="292" t="s">
        <v>7494</v>
      </c>
      <c r="HD1011" s="65">
        <f>(0.06+1.6+3.82)/3</f>
        <v>1.8266666666666669</v>
      </c>
      <c r="HE1011" s="65">
        <f>(0.37+1.78+4.98)/3</f>
        <v>2.3766666666666669</v>
      </c>
      <c r="HH1011" s="65" t="s">
        <v>678</v>
      </c>
      <c r="JU1011" s="55" t="s">
        <v>702</v>
      </c>
    </row>
    <row r="1012" spans="1:281" x14ac:dyDescent="0.25">
      <c r="A1012" s="55">
        <v>1011</v>
      </c>
      <c r="B1012" s="12" t="s">
        <v>7067</v>
      </c>
      <c r="C1012" s="155">
        <v>48</v>
      </c>
      <c r="D1012" s="55" t="s">
        <v>3896</v>
      </c>
      <c r="E1012" s="90" t="s">
        <v>662</v>
      </c>
      <c r="G1012" s="55" t="s">
        <v>663</v>
      </c>
      <c r="H1012" s="55">
        <v>2016</v>
      </c>
      <c r="I1012" s="55">
        <v>2015</v>
      </c>
      <c r="J1012" s="55" t="s">
        <v>664</v>
      </c>
      <c r="K1012" s="55" t="s">
        <v>665</v>
      </c>
      <c r="L1012" s="55" t="s">
        <v>2737</v>
      </c>
      <c r="M1012" s="90">
        <f>42+5/60</f>
        <v>42.083333333333336</v>
      </c>
      <c r="N1012" s="90">
        <f>-86-21/60</f>
        <v>-86.35</v>
      </c>
      <c r="O1012" s="90">
        <v>213.2</v>
      </c>
      <c r="U1012" s="55">
        <v>2</v>
      </c>
      <c r="V1012" s="55" t="s">
        <v>1805</v>
      </c>
      <c r="Y1012" s="55" t="s">
        <v>1919</v>
      </c>
      <c r="Z1012" s="55" t="s">
        <v>1371</v>
      </c>
      <c r="AA1012" s="90" t="s">
        <v>1688</v>
      </c>
      <c r="AH1012" s="55" t="s">
        <v>201</v>
      </c>
      <c r="AM1012" s="55" t="s">
        <v>1307</v>
      </c>
      <c r="AN1012" s="185" t="s">
        <v>131</v>
      </c>
      <c r="AO1012" s="185" t="s">
        <v>5150</v>
      </c>
      <c r="AQ1012" s="55" t="s">
        <v>131</v>
      </c>
      <c r="AR1012" s="55" t="s">
        <v>1564</v>
      </c>
      <c r="AS1012" s="55" t="s">
        <v>227</v>
      </c>
      <c r="AU1012" s="181" t="s">
        <v>7494</v>
      </c>
      <c r="AV1012" s="185" t="s">
        <v>176</v>
      </c>
      <c r="AX1012" s="185" t="s">
        <v>176</v>
      </c>
      <c r="AZ1012" s="55" t="s">
        <v>668</v>
      </c>
      <c r="BA1012" s="55" t="s">
        <v>668</v>
      </c>
      <c r="BB1012" s="55" t="s">
        <v>2081</v>
      </c>
      <c r="BC1012" s="55" t="s">
        <v>2081</v>
      </c>
      <c r="BD1012" s="55" t="s">
        <v>176</v>
      </c>
      <c r="BE1012" s="226" t="s">
        <v>666</v>
      </c>
      <c r="BF1012" s="191" t="s">
        <v>479</v>
      </c>
      <c r="BG1012" s="55" t="s">
        <v>479</v>
      </c>
      <c r="BH1012" s="226" t="s">
        <v>666</v>
      </c>
      <c r="BI1012" s="55" t="s">
        <v>479</v>
      </c>
      <c r="BJ1012" s="55" t="s">
        <v>176</v>
      </c>
      <c r="BK1012" s="55" t="s">
        <v>5976</v>
      </c>
      <c r="BM1012" s="192" t="s">
        <v>160</v>
      </c>
      <c r="BN1012" s="55">
        <v>6</v>
      </c>
      <c r="BO1012" s="55">
        <v>6</v>
      </c>
      <c r="BQ1012" s="55" t="s">
        <v>315</v>
      </c>
      <c r="BU1012" s="55" t="s">
        <v>667</v>
      </c>
      <c r="BV1012" s="55" t="s">
        <v>676</v>
      </c>
      <c r="GP1012" s="292" t="s">
        <v>7494</v>
      </c>
      <c r="HD1012" s="65">
        <f>(1.98+2.59+1.28)/3</f>
        <v>1.9500000000000002</v>
      </c>
      <c r="HE1012" s="65">
        <f>(6.37+4.61+1.99)/3</f>
        <v>4.3233333333333333</v>
      </c>
      <c r="HH1012" s="65" t="s">
        <v>678</v>
      </c>
      <c r="JU1012" s="55" t="s">
        <v>702</v>
      </c>
    </row>
    <row r="1013" spans="1:281" x14ac:dyDescent="0.25">
      <c r="A1013" s="55">
        <v>1012</v>
      </c>
      <c r="B1013" s="12" t="s">
        <v>7067</v>
      </c>
      <c r="C1013" s="155">
        <v>48</v>
      </c>
      <c r="D1013" s="55" t="s">
        <v>3897</v>
      </c>
      <c r="E1013" s="90" t="s">
        <v>662</v>
      </c>
      <c r="G1013" s="55" t="s">
        <v>663</v>
      </c>
      <c r="H1013" s="55">
        <v>2016</v>
      </c>
      <c r="I1013" s="55">
        <v>2015</v>
      </c>
      <c r="J1013" s="55" t="s">
        <v>664</v>
      </c>
      <c r="K1013" s="55" t="s">
        <v>665</v>
      </c>
      <c r="L1013" s="55" t="s">
        <v>2737</v>
      </c>
      <c r="M1013" s="90">
        <f>42+5/60</f>
        <v>42.083333333333336</v>
      </c>
      <c r="N1013" s="90">
        <f>-86-21/60</f>
        <v>-86.35</v>
      </c>
      <c r="O1013" s="90">
        <v>213.2</v>
      </c>
      <c r="U1013" s="55">
        <v>2</v>
      </c>
      <c r="V1013" s="55" t="s">
        <v>1805</v>
      </c>
      <c r="Y1013" s="55" t="s">
        <v>1919</v>
      </c>
      <c r="Z1013" s="55" t="s">
        <v>1371</v>
      </c>
      <c r="AA1013" s="90" t="s">
        <v>1688</v>
      </c>
      <c r="AH1013" s="55" t="s">
        <v>201</v>
      </c>
      <c r="AM1013" s="55" t="s">
        <v>1307</v>
      </c>
      <c r="AN1013" s="185" t="s">
        <v>131</v>
      </c>
      <c r="AO1013" s="185" t="s">
        <v>5150</v>
      </c>
      <c r="AQ1013" s="55" t="s">
        <v>131</v>
      </c>
      <c r="AR1013" s="55" t="s">
        <v>1564</v>
      </c>
      <c r="AS1013" s="55" t="s">
        <v>227</v>
      </c>
      <c r="AU1013" s="181" t="s">
        <v>7494</v>
      </c>
      <c r="AV1013" s="185" t="s">
        <v>176</v>
      </c>
      <c r="AX1013" s="185" t="s">
        <v>176</v>
      </c>
      <c r="AZ1013" s="55" t="s">
        <v>669</v>
      </c>
      <c r="BA1013" s="55" t="s">
        <v>669</v>
      </c>
      <c r="BB1013" s="55" t="s">
        <v>2081</v>
      </c>
      <c r="BC1013" s="55" t="s">
        <v>2081</v>
      </c>
      <c r="BD1013" s="55" t="s">
        <v>176</v>
      </c>
      <c r="BE1013" s="226" t="s">
        <v>666</v>
      </c>
      <c r="BF1013" s="191" t="s">
        <v>479</v>
      </c>
      <c r="BG1013" s="55" t="s">
        <v>479</v>
      </c>
      <c r="BH1013" s="226" t="s">
        <v>666</v>
      </c>
      <c r="BI1013" s="55" t="s">
        <v>479</v>
      </c>
      <c r="BJ1013" s="55" t="s">
        <v>176</v>
      </c>
      <c r="BK1013" s="55" t="s">
        <v>5976</v>
      </c>
      <c r="BM1013" s="192" t="s">
        <v>160</v>
      </c>
      <c r="BN1013" s="55">
        <v>6</v>
      </c>
      <c r="BO1013" s="55">
        <v>6</v>
      </c>
      <c r="BQ1013" s="55" t="s">
        <v>315</v>
      </c>
      <c r="BU1013" s="55" t="s">
        <v>667</v>
      </c>
      <c r="BV1013" s="55" t="s">
        <v>676</v>
      </c>
      <c r="GP1013" s="292" t="s">
        <v>7494</v>
      </c>
      <c r="HD1013" s="65">
        <f>(1.58+3.45+2.39)/3</f>
        <v>2.4733333333333332</v>
      </c>
      <c r="HE1013" s="65">
        <f>(2.69+3.1+2.09)/3</f>
        <v>2.6266666666666665</v>
      </c>
      <c r="HH1013" s="65" t="s">
        <v>678</v>
      </c>
      <c r="JU1013" s="55" t="s">
        <v>702</v>
      </c>
    </row>
    <row r="1014" spans="1:281" x14ac:dyDescent="0.25">
      <c r="A1014" s="55">
        <v>1013</v>
      </c>
      <c r="B1014" s="12" t="s">
        <v>7067</v>
      </c>
      <c r="C1014" s="155">
        <v>48</v>
      </c>
      <c r="D1014" s="55" t="s">
        <v>3896</v>
      </c>
      <c r="E1014" s="90" t="s">
        <v>662</v>
      </c>
      <c r="G1014" s="55" t="s">
        <v>663</v>
      </c>
      <c r="H1014" s="55">
        <v>2016</v>
      </c>
      <c r="I1014" s="55">
        <v>2015</v>
      </c>
      <c r="J1014" s="55" t="s">
        <v>664</v>
      </c>
      <c r="K1014" s="55" t="s">
        <v>665</v>
      </c>
      <c r="L1014" s="55" t="s">
        <v>2737</v>
      </c>
      <c r="M1014" s="90">
        <f>42+5/60</f>
        <v>42.083333333333336</v>
      </c>
      <c r="N1014" s="90">
        <f>-86-21/60</f>
        <v>-86.35</v>
      </c>
      <c r="O1014" s="90">
        <v>213.2</v>
      </c>
      <c r="U1014" s="55">
        <v>2</v>
      </c>
      <c r="V1014" s="55" t="s">
        <v>1805</v>
      </c>
      <c r="Y1014" s="55" t="s">
        <v>1919</v>
      </c>
      <c r="Z1014" s="55" t="s">
        <v>1371</v>
      </c>
      <c r="AA1014" s="90" t="s">
        <v>1688</v>
      </c>
      <c r="AH1014" s="55" t="s">
        <v>201</v>
      </c>
      <c r="AM1014" s="55" t="s">
        <v>1307</v>
      </c>
      <c r="AN1014" s="185" t="s">
        <v>131</v>
      </c>
      <c r="AO1014" s="185" t="s">
        <v>5150</v>
      </c>
      <c r="AQ1014" s="55" t="s">
        <v>131</v>
      </c>
      <c r="AR1014" s="55" t="s">
        <v>1564</v>
      </c>
      <c r="AS1014" s="55" t="s">
        <v>227</v>
      </c>
      <c r="AU1014" s="181" t="s">
        <v>7494</v>
      </c>
      <c r="AV1014" s="185" t="s">
        <v>176</v>
      </c>
      <c r="AX1014" s="185" t="s">
        <v>176</v>
      </c>
      <c r="AZ1014" s="55" t="s">
        <v>668</v>
      </c>
      <c r="BA1014" s="55" t="s">
        <v>668</v>
      </c>
      <c r="BB1014" s="55" t="s">
        <v>2081</v>
      </c>
      <c r="BC1014" s="55" t="s">
        <v>2081</v>
      </c>
      <c r="BD1014" s="55" t="s">
        <v>176</v>
      </c>
      <c r="BE1014" s="226" t="s">
        <v>666</v>
      </c>
      <c r="BF1014" s="191" t="s">
        <v>479</v>
      </c>
      <c r="BG1014" s="55" t="s">
        <v>479</v>
      </c>
      <c r="BH1014" s="226" t="s">
        <v>666</v>
      </c>
      <c r="BI1014" s="55" t="s">
        <v>479</v>
      </c>
      <c r="BJ1014" s="55" t="s">
        <v>176</v>
      </c>
      <c r="BK1014" s="55" t="s">
        <v>5976</v>
      </c>
      <c r="BM1014" s="192" t="s">
        <v>160</v>
      </c>
      <c r="BN1014" s="55">
        <v>6</v>
      </c>
      <c r="BO1014" s="55">
        <v>6</v>
      </c>
      <c r="BQ1014" s="55" t="s">
        <v>315</v>
      </c>
      <c r="BU1014" s="55" t="s">
        <v>667</v>
      </c>
      <c r="BV1014" s="55" t="s">
        <v>677</v>
      </c>
      <c r="GP1014" s="292" t="s">
        <v>7494</v>
      </c>
      <c r="HD1014" s="65">
        <f>(0.88+17.1+4.5)/3</f>
        <v>7.4933333333333332</v>
      </c>
      <c r="HE1014" s="65">
        <f>(4.56+26.3+3.02)/3</f>
        <v>11.293333333333335</v>
      </c>
      <c r="HH1014" s="65" t="s">
        <v>678</v>
      </c>
      <c r="JU1014" s="55" t="s">
        <v>702</v>
      </c>
    </row>
    <row r="1015" spans="1:281" x14ac:dyDescent="0.25">
      <c r="A1015" s="55">
        <v>1014</v>
      </c>
      <c r="B1015" s="12" t="s">
        <v>7067</v>
      </c>
      <c r="C1015" s="155">
        <v>48</v>
      </c>
      <c r="D1015" s="55" t="s">
        <v>3897</v>
      </c>
      <c r="E1015" s="90" t="s">
        <v>662</v>
      </c>
      <c r="G1015" s="55" t="s">
        <v>663</v>
      </c>
      <c r="H1015" s="55">
        <v>2016</v>
      </c>
      <c r="I1015" s="55">
        <v>2015</v>
      </c>
      <c r="J1015" s="55" t="s">
        <v>664</v>
      </c>
      <c r="K1015" s="55" t="s">
        <v>665</v>
      </c>
      <c r="L1015" s="55" t="s">
        <v>2737</v>
      </c>
      <c r="M1015" s="90">
        <f>42+5/60</f>
        <v>42.083333333333336</v>
      </c>
      <c r="N1015" s="90">
        <f>-86-21/60</f>
        <v>-86.35</v>
      </c>
      <c r="O1015" s="90">
        <v>213.2</v>
      </c>
      <c r="U1015" s="55">
        <v>2</v>
      </c>
      <c r="V1015" s="55" t="s">
        <v>1805</v>
      </c>
      <c r="Y1015" s="55" t="s">
        <v>1919</v>
      </c>
      <c r="Z1015" s="55" t="s">
        <v>1371</v>
      </c>
      <c r="AA1015" s="90" t="s">
        <v>1688</v>
      </c>
      <c r="AH1015" s="55" t="s">
        <v>201</v>
      </c>
      <c r="AM1015" s="55" t="s">
        <v>1307</v>
      </c>
      <c r="AN1015" s="185" t="s">
        <v>131</v>
      </c>
      <c r="AO1015" s="185" t="s">
        <v>5150</v>
      </c>
      <c r="AQ1015" s="55" t="s">
        <v>131</v>
      </c>
      <c r="AR1015" s="55" t="s">
        <v>1564</v>
      </c>
      <c r="AS1015" s="55" t="s">
        <v>227</v>
      </c>
      <c r="AU1015" s="181" t="s">
        <v>7494</v>
      </c>
      <c r="AV1015" s="185" t="s">
        <v>176</v>
      </c>
      <c r="AX1015" s="185" t="s">
        <v>176</v>
      </c>
      <c r="AZ1015" s="55" t="s">
        <v>669</v>
      </c>
      <c r="BA1015" s="55" t="s">
        <v>669</v>
      </c>
      <c r="BB1015" s="55" t="s">
        <v>2081</v>
      </c>
      <c r="BC1015" s="55" t="s">
        <v>2081</v>
      </c>
      <c r="BD1015" s="55" t="s">
        <v>176</v>
      </c>
      <c r="BE1015" s="226" t="s">
        <v>666</v>
      </c>
      <c r="BF1015" s="191" t="s">
        <v>479</v>
      </c>
      <c r="BG1015" s="55" t="s">
        <v>479</v>
      </c>
      <c r="BH1015" s="226" t="s">
        <v>666</v>
      </c>
      <c r="BI1015" s="55" t="s">
        <v>479</v>
      </c>
      <c r="BJ1015" s="55" t="s">
        <v>176</v>
      </c>
      <c r="BK1015" s="55" t="s">
        <v>5976</v>
      </c>
      <c r="BM1015" s="192" t="s">
        <v>160</v>
      </c>
      <c r="BN1015" s="55">
        <v>6</v>
      </c>
      <c r="BO1015" s="55">
        <v>6</v>
      </c>
      <c r="BQ1015" s="55" t="s">
        <v>315</v>
      </c>
      <c r="BU1015" s="55" t="s">
        <v>667</v>
      </c>
      <c r="BV1015" s="55" t="s">
        <v>677</v>
      </c>
      <c r="GP1015" s="292" t="s">
        <v>7494</v>
      </c>
      <c r="HD1015" s="65">
        <f>(0.76+14.87+2.66)/3</f>
        <v>6.0966666666666667</v>
      </c>
      <c r="HE1015" s="65">
        <f>(0.62+17.69+4)/3</f>
        <v>7.4366666666666674</v>
      </c>
      <c r="HH1015" s="65" t="s">
        <v>678</v>
      </c>
      <c r="JU1015" s="55" t="s">
        <v>702</v>
      </c>
    </row>
    <row r="1016" spans="1:281" x14ac:dyDescent="0.25">
      <c r="A1016" s="55">
        <v>1015</v>
      </c>
      <c r="B1016" s="12" t="s">
        <v>7067</v>
      </c>
      <c r="C1016" s="155">
        <v>49</v>
      </c>
      <c r="D1016" s="55" t="s">
        <v>3898</v>
      </c>
      <c r="E1016" s="90" t="s">
        <v>703</v>
      </c>
      <c r="G1016" s="55" t="s">
        <v>704</v>
      </c>
      <c r="H1016" s="55">
        <v>2000</v>
      </c>
      <c r="I1016" s="55">
        <v>1995</v>
      </c>
      <c r="J1016" s="55" t="s">
        <v>705</v>
      </c>
      <c r="K1016" s="55" t="s">
        <v>714</v>
      </c>
      <c r="L1016" s="55" t="s">
        <v>2737</v>
      </c>
      <c r="M1016" s="90">
        <v>34.69</v>
      </c>
      <c r="N1016" s="90">
        <v>-86.88</v>
      </c>
      <c r="O1016" s="90">
        <v>181</v>
      </c>
      <c r="U1016" s="55">
        <v>1</v>
      </c>
      <c r="V1016" s="55" t="s">
        <v>1816</v>
      </c>
      <c r="Y1016" s="55" t="s">
        <v>1920</v>
      </c>
      <c r="Z1016" s="55" t="s">
        <v>1356</v>
      </c>
      <c r="AA1016" s="90" t="s">
        <v>1680</v>
      </c>
      <c r="AH1016" s="55" t="s">
        <v>6378</v>
      </c>
      <c r="AM1016" s="55" t="s">
        <v>1308</v>
      </c>
      <c r="AN1016" s="185" t="s">
        <v>131</v>
      </c>
      <c r="AO1016" s="185" t="s">
        <v>5150</v>
      </c>
      <c r="AQ1016" s="55" t="s">
        <v>131</v>
      </c>
      <c r="AR1016" s="55" t="s">
        <v>560</v>
      </c>
      <c r="AS1016" s="55" t="s">
        <v>5133</v>
      </c>
      <c r="AU1016" s="181" t="s">
        <v>7494</v>
      </c>
      <c r="AV1016" s="185" t="s">
        <v>176</v>
      </c>
      <c r="AX1016" s="185" t="s">
        <v>176</v>
      </c>
      <c r="AZ1016" s="55" t="s">
        <v>706</v>
      </c>
      <c r="BA1016" s="55" t="s">
        <v>706</v>
      </c>
      <c r="BB1016" s="55" t="s">
        <v>2081</v>
      </c>
      <c r="BC1016" s="55" t="s">
        <v>2081</v>
      </c>
      <c r="BD1016" s="55" t="s">
        <v>176</v>
      </c>
      <c r="BF1016" s="191" t="s">
        <v>479</v>
      </c>
      <c r="BK1016" s="55" t="s">
        <v>5976</v>
      </c>
      <c r="BM1016" s="192" t="s">
        <v>160</v>
      </c>
      <c r="BQ1016" s="55" t="s">
        <v>141</v>
      </c>
      <c r="CB1016" s="66">
        <v>1590</v>
      </c>
      <c r="CC1016" s="66">
        <v>1510</v>
      </c>
      <c r="EU1016" s="65">
        <v>0.56999999999999995</v>
      </c>
      <c r="EV1016" s="65">
        <v>0.92</v>
      </c>
      <c r="EY1016" s="65" t="s">
        <v>831</v>
      </c>
      <c r="GP1016" s="292" t="s">
        <v>7494</v>
      </c>
      <c r="JU1016" s="55" t="s">
        <v>710</v>
      </c>
    </row>
    <row r="1017" spans="1:281" x14ac:dyDescent="0.25">
      <c r="A1017" s="55">
        <v>1016</v>
      </c>
      <c r="B1017" s="12" t="s">
        <v>7067</v>
      </c>
      <c r="C1017" s="155">
        <v>49</v>
      </c>
      <c r="D1017" s="55" t="s">
        <v>3899</v>
      </c>
      <c r="E1017" s="90" t="s">
        <v>703</v>
      </c>
      <c r="G1017" s="55" t="s">
        <v>704</v>
      </c>
      <c r="H1017" s="55">
        <v>2000</v>
      </c>
      <c r="I1017" s="55">
        <v>1995</v>
      </c>
      <c r="J1017" s="55" t="s">
        <v>705</v>
      </c>
      <c r="K1017" s="55" t="s">
        <v>714</v>
      </c>
      <c r="L1017" s="55" t="s">
        <v>2737</v>
      </c>
      <c r="M1017" s="90">
        <v>34.69</v>
      </c>
      <c r="N1017" s="90">
        <v>-86.88</v>
      </c>
      <c r="O1017" s="90">
        <v>181</v>
      </c>
      <c r="U1017" s="55">
        <v>1</v>
      </c>
      <c r="V1017" s="55" t="s">
        <v>1816</v>
      </c>
      <c r="Y1017" s="55" t="s">
        <v>1920</v>
      </c>
      <c r="Z1017" s="55" t="s">
        <v>1356</v>
      </c>
      <c r="AA1017" s="90" t="s">
        <v>1680</v>
      </c>
      <c r="AH1017" s="55" t="s">
        <v>6378</v>
      </c>
      <c r="AM1017" s="55" t="s">
        <v>1308</v>
      </c>
      <c r="AN1017" s="185" t="s">
        <v>131</v>
      </c>
      <c r="AO1017" s="185" t="s">
        <v>5150</v>
      </c>
      <c r="AQ1017" s="55" t="s">
        <v>131</v>
      </c>
      <c r="AR1017" s="55" t="s">
        <v>560</v>
      </c>
      <c r="AS1017" s="55" t="s">
        <v>5133</v>
      </c>
      <c r="AU1017" s="181" t="s">
        <v>7494</v>
      </c>
      <c r="AV1017" s="185" t="s">
        <v>176</v>
      </c>
      <c r="AX1017" s="185" t="s">
        <v>176</v>
      </c>
      <c r="AZ1017" s="55" t="s">
        <v>707</v>
      </c>
      <c r="BA1017" s="55" t="s">
        <v>707</v>
      </c>
      <c r="BB1017" s="55" t="s">
        <v>2081</v>
      </c>
      <c r="BC1017" s="55" t="s">
        <v>2081</v>
      </c>
      <c r="BD1017" s="55" t="s">
        <v>176</v>
      </c>
      <c r="BK1017" s="55" t="s">
        <v>5976</v>
      </c>
      <c r="BM1017" s="192" t="s">
        <v>160</v>
      </c>
      <c r="BQ1017" s="55" t="s">
        <v>141</v>
      </c>
      <c r="CB1017" s="66">
        <v>1530</v>
      </c>
      <c r="CC1017" s="66">
        <v>1440</v>
      </c>
      <c r="EU1017" s="65">
        <v>0.69</v>
      </c>
      <c r="EV1017" s="65">
        <v>0.77</v>
      </c>
      <c r="EY1017" s="65" t="s">
        <v>831</v>
      </c>
      <c r="GP1017" s="292" t="s">
        <v>7494</v>
      </c>
      <c r="JU1017" s="55" t="s">
        <v>710</v>
      </c>
    </row>
    <row r="1018" spans="1:281" x14ac:dyDescent="0.25">
      <c r="A1018" s="55">
        <v>1017</v>
      </c>
      <c r="B1018" s="12" t="s">
        <v>7067</v>
      </c>
      <c r="C1018" s="155">
        <v>49</v>
      </c>
      <c r="D1018" s="55" t="s">
        <v>3900</v>
      </c>
      <c r="E1018" s="90" t="s">
        <v>703</v>
      </c>
      <c r="G1018" s="55" t="s">
        <v>704</v>
      </c>
      <c r="H1018" s="55">
        <v>2000</v>
      </c>
      <c r="I1018" s="55">
        <v>1995</v>
      </c>
      <c r="J1018" s="55" t="s">
        <v>705</v>
      </c>
      <c r="K1018" s="55" t="s">
        <v>714</v>
      </c>
      <c r="L1018" s="55" t="s">
        <v>2737</v>
      </c>
      <c r="M1018" s="90">
        <v>34.69</v>
      </c>
      <c r="N1018" s="90">
        <v>-86.88</v>
      </c>
      <c r="O1018" s="90">
        <v>181</v>
      </c>
      <c r="U1018" s="55">
        <v>1</v>
      </c>
      <c r="V1018" s="55" t="s">
        <v>1816</v>
      </c>
      <c r="Y1018" s="55" t="s">
        <v>1920</v>
      </c>
      <c r="Z1018" s="55" t="s">
        <v>1356</v>
      </c>
      <c r="AA1018" s="90" t="s">
        <v>1680</v>
      </c>
      <c r="AH1018" s="55" t="s">
        <v>6378</v>
      </c>
      <c r="AM1018" s="55" t="s">
        <v>1308</v>
      </c>
      <c r="AN1018" s="185" t="s">
        <v>131</v>
      </c>
      <c r="AO1018" s="185" t="s">
        <v>5150</v>
      </c>
      <c r="AQ1018" s="55" t="s">
        <v>131</v>
      </c>
      <c r="AR1018" s="55" t="s">
        <v>560</v>
      </c>
      <c r="AS1018" s="55" t="s">
        <v>5133</v>
      </c>
      <c r="AU1018" s="181" t="s">
        <v>7494</v>
      </c>
      <c r="AV1018" s="185" t="s">
        <v>176</v>
      </c>
      <c r="AX1018" s="185" t="s">
        <v>176</v>
      </c>
      <c r="AZ1018" s="55" t="s">
        <v>708</v>
      </c>
      <c r="BA1018" s="55" t="s">
        <v>708</v>
      </c>
      <c r="BB1018" s="55" t="s">
        <v>2081</v>
      </c>
      <c r="BC1018" s="55" t="s">
        <v>2081</v>
      </c>
      <c r="BD1018" s="55" t="s">
        <v>176</v>
      </c>
      <c r="BK1018" s="55" t="s">
        <v>5976</v>
      </c>
      <c r="BM1018" s="192" t="s">
        <v>160</v>
      </c>
      <c r="BQ1018" s="55" t="s">
        <v>141</v>
      </c>
      <c r="CB1018" s="66">
        <v>1510</v>
      </c>
      <c r="CC1018" s="66">
        <v>1230</v>
      </c>
      <c r="GP1018" s="292" t="s">
        <v>7494</v>
      </c>
      <c r="JU1018" s="55" t="s">
        <v>710</v>
      </c>
    </row>
    <row r="1019" spans="1:281" x14ac:dyDescent="0.25">
      <c r="A1019" s="55">
        <v>1018</v>
      </c>
      <c r="B1019" s="12" t="s">
        <v>7067</v>
      </c>
      <c r="C1019" s="155">
        <v>49</v>
      </c>
      <c r="D1019" s="55" t="s">
        <v>3901</v>
      </c>
      <c r="E1019" s="90" t="s">
        <v>703</v>
      </c>
      <c r="G1019" s="55" t="s">
        <v>704</v>
      </c>
      <c r="H1019" s="55">
        <v>2000</v>
      </c>
      <c r="I1019" s="55">
        <v>1995</v>
      </c>
      <c r="J1019" s="55" t="s">
        <v>705</v>
      </c>
      <c r="K1019" s="55" t="s">
        <v>714</v>
      </c>
      <c r="L1019" s="55" t="s">
        <v>2737</v>
      </c>
      <c r="M1019" s="90">
        <v>34.69</v>
      </c>
      <c r="N1019" s="90">
        <v>-86.88</v>
      </c>
      <c r="O1019" s="90">
        <v>181</v>
      </c>
      <c r="U1019" s="55">
        <v>1</v>
      </c>
      <c r="V1019" s="55" t="s">
        <v>1816</v>
      </c>
      <c r="Y1019" s="55" t="s">
        <v>1920</v>
      </c>
      <c r="Z1019" s="55" t="s">
        <v>1356</v>
      </c>
      <c r="AA1019" s="90" t="s">
        <v>1680</v>
      </c>
      <c r="AH1019" s="55" t="s">
        <v>6378</v>
      </c>
      <c r="AM1019" s="55" t="s">
        <v>1308</v>
      </c>
      <c r="AN1019" s="185" t="s">
        <v>131</v>
      </c>
      <c r="AO1019" s="185" t="s">
        <v>5150</v>
      </c>
      <c r="AQ1019" s="55" t="s">
        <v>131</v>
      </c>
      <c r="AR1019" s="55" t="s">
        <v>560</v>
      </c>
      <c r="AS1019" s="55" t="s">
        <v>5133</v>
      </c>
      <c r="AU1019" s="181" t="s">
        <v>7494</v>
      </c>
      <c r="AV1019" s="185" t="s">
        <v>176</v>
      </c>
      <c r="AX1019" s="185" t="s">
        <v>176</v>
      </c>
      <c r="AZ1019" s="55" t="s">
        <v>709</v>
      </c>
      <c r="BA1019" s="55" t="s">
        <v>709</v>
      </c>
      <c r="BB1019" s="55" t="s">
        <v>2081</v>
      </c>
      <c r="BC1019" s="55" t="s">
        <v>2081</v>
      </c>
      <c r="BD1019" s="55" t="s">
        <v>176</v>
      </c>
      <c r="BK1019" s="55" t="s">
        <v>5976</v>
      </c>
      <c r="BM1019" s="192" t="s">
        <v>160</v>
      </c>
      <c r="BQ1019" s="55" t="s">
        <v>141</v>
      </c>
      <c r="CB1019" s="66">
        <v>1420</v>
      </c>
      <c r="CC1019" s="66">
        <v>1280</v>
      </c>
      <c r="GP1019" s="292" t="s">
        <v>7494</v>
      </c>
      <c r="JU1019" s="55" t="s">
        <v>710</v>
      </c>
    </row>
    <row r="1020" spans="1:281" x14ac:dyDescent="0.25">
      <c r="A1020" s="55">
        <v>1019</v>
      </c>
      <c r="B1020" s="12" t="s">
        <v>7067</v>
      </c>
      <c r="C1020" s="155">
        <v>49</v>
      </c>
      <c r="D1020" s="55" t="s">
        <v>3902</v>
      </c>
      <c r="E1020" s="90" t="s">
        <v>703</v>
      </c>
      <c r="G1020" s="55" t="s">
        <v>704</v>
      </c>
      <c r="H1020" s="55">
        <v>2000</v>
      </c>
      <c r="I1020" s="55">
        <v>1995</v>
      </c>
      <c r="J1020" s="55" t="s">
        <v>705</v>
      </c>
      <c r="K1020" s="55" t="s">
        <v>714</v>
      </c>
      <c r="L1020" s="55" t="s">
        <v>2737</v>
      </c>
      <c r="M1020" s="90">
        <v>34.69</v>
      </c>
      <c r="N1020" s="90">
        <v>-86.88</v>
      </c>
      <c r="O1020" s="90">
        <v>181</v>
      </c>
      <c r="U1020" s="55">
        <v>1</v>
      </c>
      <c r="V1020" s="55" t="s">
        <v>1816</v>
      </c>
      <c r="Y1020" s="55" t="s">
        <v>1920</v>
      </c>
      <c r="Z1020" s="55" t="s">
        <v>1356</v>
      </c>
      <c r="AA1020" s="90" t="s">
        <v>1680</v>
      </c>
      <c r="AH1020" s="55" t="s">
        <v>6378</v>
      </c>
      <c r="AM1020" s="55" t="s">
        <v>1308</v>
      </c>
      <c r="AN1020" s="185" t="s">
        <v>131</v>
      </c>
      <c r="AO1020" s="185" t="s">
        <v>5150</v>
      </c>
      <c r="AQ1020" s="55" t="s">
        <v>131</v>
      </c>
      <c r="AR1020" s="55" t="s">
        <v>560</v>
      </c>
      <c r="AS1020" s="55" t="s">
        <v>5133</v>
      </c>
      <c r="AU1020" s="181" t="s">
        <v>7494</v>
      </c>
      <c r="AV1020" s="185" t="s">
        <v>176</v>
      </c>
      <c r="AX1020" s="185" t="s">
        <v>176</v>
      </c>
      <c r="AZ1020" s="55" t="s">
        <v>156</v>
      </c>
      <c r="BA1020" s="55" t="s">
        <v>156</v>
      </c>
      <c r="BB1020" s="55" t="s">
        <v>2081</v>
      </c>
      <c r="BC1020" s="55" t="s">
        <v>2081</v>
      </c>
      <c r="BD1020" s="55" t="s">
        <v>176</v>
      </c>
      <c r="BK1020" s="55" t="s">
        <v>5976</v>
      </c>
      <c r="BM1020" s="192" t="s">
        <v>160</v>
      </c>
      <c r="BQ1020" s="55" t="s">
        <v>141</v>
      </c>
      <c r="CB1020" s="66">
        <v>1500</v>
      </c>
      <c r="CC1020" s="66">
        <v>1320</v>
      </c>
      <c r="EU1020" s="65">
        <v>1.57</v>
      </c>
      <c r="EV1020" s="65">
        <v>1.47</v>
      </c>
      <c r="EY1020" s="65" t="s">
        <v>831</v>
      </c>
      <c r="GP1020" s="292" t="s">
        <v>7494</v>
      </c>
      <c r="JU1020" s="55" t="s">
        <v>710</v>
      </c>
    </row>
    <row r="1021" spans="1:281" x14ac:dyDescent="0.25">
      <c r="A1021" s="55">
        <v>1020</v>
      </c>
      <c r="B1021" s="12" t="s">
        <v>7067</v>
      </c>
      <c r="C1021" s="155">
        <v>49</v>
      </c>
      <c r="D1021" s="55" t="s">
        <v>3903</v>
      </c>
      <c r="E1021" s="90" t="s">
        <v>703</v>
      </c>
      <c r="G1021" s="55" t="s">
        <v>704</v>
      </c>
      <c r="H1021" s="55">
        <v>2000</v>
      </c>
      <c r="I1021" s="55">
        <v>1995</v>
      </c>
      <c r="J1021" s="55" t="s">
        <v>705</v>
      </c>
      <c r="K1021" s="55" t="s">
        <v>714</v>
      </c>
      <c r="L1021" s="55" t="s">
        <v>2737</v>
      </c>
      <c r="M1021" s="90">
        <v>34.69</v>
      </c>
      <c r="N1021" s="90">
        <v>-86.88</v>
      </c>
      <c r="O1021" s="90">
        <v>181</v>
      </c>
      <c r="U1021" s="55">
        <v>1</v>
      </c>
      <c r="V1021" s="55" t="s">
        <v>1816</v>
      </c>
      <c r="Y1021" s="55" t="s">
        <v>1920</v>
      </c>
      <c r="Z1021" s="55" t="s">
        <v>1356</v>
      </c>
      <c r="AA1021" s="90" t="s">
        <v>1680</v>
      </c>
      <c r="AH1021" s="55" t="s">
        <v>6378</v>
      </c>
      <c r="AM1021" s="55" t="s">
        <v>1308</v>
      </c>
      <c r="AN1021" s="185" t="s">
        <v>131</v>
      </c>
      <c r="AO1021" s="185" t="s">
        <v>5150</v>
      </c>
      <c r="AQ1021" s="55" t="s">
        <v>131</v>
      </c>
      <c r="AR1021" s="55" t="s">
        <v>560</v>
      </c>
      <c r="AS1021" s="55" t="s">
        <v>5133</v>
      </c>
      <c r="AU1021" s="181" t="s">
        <v>7494</v>
      </c>
      <c r="AV1021" s="185" t="s">
        <v>176</v>
      </c>
      <c r="AX1021" s="185" t="s">
        <v>176</v>
      </c>
      <c r="AZ1021" s="55" t="s">
        <v>229</v>
      </c>
      <c r="BA1021" s="55" t="s">
        <v>156</v>
      </c>
      <c r="BB1021" s="55" t="s">
        <v>2081</v>
      </c>
      <c r="BC1021" s="55" t="s">
        <v>2082</v>
      </c>
      <c r="BD1021" s="55" t="s">
        <v>479</v>
      </c>
      <c r="BK1021" s="55" t="s">
        <v>6269</v>
      </c>
      <c r="BM1021" s="192" t="s">
        <v>160</v>
      </c>
      <c r="BQ1021" s="55" t="s">
        <v>141</v>
      </c>
      <c r="CB1021" s="66">
        <v>1750</v>
      </c>
      <c r="CC1021" s="66">
        <v>1320</v>
      </c>
      <c r="EU1021" s="65">
        <v>1.01</v>
      </c>
      <c r="EV1021" s="65">
        <v>1.47</v>
      </c>
      <c r="EY1021" s="65" t="s">
        <v>831</v>
      </c>
      <c r="GP1021" s="292" t="s">
        <v>7494</v>
      </c>
      <c r="JU1021" s="55" t="s">
        <v>710</v>
      </c>
    </row>
    <row r="1022" spans="1:281" x14ac:dyDescent="0.25">
      <c r="A1022" s="55">
        <v>1021</v>
      </c>
      <c r="B1022" s="12" t="s">
        <v>7067</v>
      </c>
      <c r="C1022" s="155">
        <v>49</v>
      </c>
      <c r="D1022" s="55" t="s">
        <v>3898</v>
      </c>
      <c r="E1022" s="90" t="s">
        <v>703</v>
      </c>
      <c r="G1022" s="55" t="s">
        <v>704</v>
      </c>
      <c r="H1022" s="55">
        <v>2000</v>
      </c>
      <c r="I1022" s="55">
        <v>1996</v>
      </c>
      <c r="J1022" s="55" t="s">
        <v>705</v>
      </c>
      <c r="K1022" s="55" t="s">
        <v>714</v>
      </c>
      <c r="L1022" s="55" t="s">
        <v>2737</v>
      </c>
      <c r="M1022" s="90">
        <v>34.69</v>
      </c>
      <c r="N1022" s="90">
        <v>-86.88</v>
      </c>
      <c r="O1022" s="90">
        <v>181</v>
      </c>
      <c r="U1022" s="55">
        <v>2</v>
      </c>
      <c r="V1022" s="55" t="s">
        <v>1816</v>
      </c>
      <c r="Y1022" s="55" t="s">
        <v>1920</v>
      </c>
      <c r="Z1022" s="55" t="s">
        <v>1356</v>
      </c>
      <c r="AA1022" s="90" t="s">
        <v>1680</v>
      </c>
      <c r="AH1022" s="55" t="s">
        <v>6378</v>
      </c>
      <c r="AM1022" s="55" t="s">
        <v>1308</v>
      </c>
      <c r="AN1022" s="185" t="s">
        <v>131</v>
      </c>
      <c r="AO1022" s="185" t="s">
        <v>5150</v>
      </c>
      <c r="AQ1022" s="55" t="s">
        <v>131</v>
      </c>
      <c r="AR1022" s="55" t="s">
        <v>560</v>
      </c>
      <c r="AS1022" s="55" t="s">
        <v>5133</v>
      </c>
      <c r="AU1022" s="181" t="s">
        <v>7494</v>
      </c>
      <c r="AV1022" s="185" t="s">
        <v>176</v>
      </c>
      <c r="AX1022" s="185" t="s">
        <v>176</v>
      </c>
      <c r="AZ1022" s="55" t="s">
        <v>706</v>
      </c>
      <c r="BA1022" s="55" t="s">
        <v>706</v>
      </c>
      <c r="BB1022" s="55" t="s">
        <v>2081</v>
      </c>
      <c r="BC1022" s="55" t="s">
        <v>2081</v>
      </c>
      <c r="BD1022" s="55" t="s">
        <v>176</v>
      </c>
      <c r="BK1022" s="55" t="s">
        <v>5976</v>
      </c>
      <c r="BM1022" s="192" t="s">
        <v>160</v>
      </c>
      <c r="BQ1022" s="55" t="s">
        <v>141</v>
      </c>
      <c r="CB1022" s="66">
        <v>3930</v>
      </c>
      <c r="CC1022" s="66">
        <v>4150</v>
      </c>
      <c r="EU1022" s="65">
        <v>0.11</v>
      </c>
      <c r="EV1022" s="65">
        <v>0.64</v>
      </c>
      <c r="EY1022" s="65" t="s">
        <v>831</v>
      </c>
      <c r="GP1022" s="292" t="s">
        <v>7494</v>
      </c>
      <c r="JU1022" s="55" t="s">
        <v>710</v>
      </c>
    </row>
    <row r="1023" spans="1:281" x14ac:dyDescent="0.25">
      <c r="A1023" s="55">
        <v>1022</v>
      </c>
      <c r="B1023" s="12" t="s">
        <v>7067</v>
      </c>
      <c r="C1023" s="155">
        <v>49</v>
      </c>
      <c r="D1023" s="55" t="s">
        <v>3899</v>
      </c>
      <c r="E1023" s="90" t="s">
        <v>703</v>
      </c>
      <c r="G1023" s="55" t="s">
        <v>704</v>
      </c>
      <c r="H1023" s="55">
        <v>2000</v>
      </c>
      <c r="I1023" s="55">
        <v>1996</v>
      </c>
      <c r="J1023" s="55" t="s">
        <v>705</v>
      </c>
      <c r="K1023" s="55" t="s">
        <v>714</v>
      </c>
      <c r="L1023" s="55" t="s">
        <v>2737</v>
      </c>
      <c r="M1023" s="90">
        <v>34.69</v>
      </c>
      <c r="N1023" s="90">
        <v>-86.88</v>
      </c>
      <c r="O1023" s="90">
        <v>181</v>
      </c>
      <c r="U1023" s="55">
        <v>2</v>
      </c>
      <c r="V1023" s="55" t="s">
        <v>1816</v>
      </c>
      <c r="Y1023" s="55" t="s">
        <v>1920</v>
      </c>
      <c r="Z1023" s="55" t="s">
        <v>1356</v>
      </c>
      <c r="AA1023" s="90" t="s">
        <v>1680</v>
      </c>
      <c r="AH1023" s="55" t="s">
        <v>6378</v>
      </c>
      <c r="AM1023" s="55" t="s">
        <v>1308</v>
      </c>
      <c r="AN1023" s="185" t="s">
        <v>131</v>
      </c>
      <c r="AO1023" s="185" t="s">
        <v>5150</v>
      </c>
      <c r="AQ1023" s="55" t="s">
        <v>131</v>
      </c>
      <c r="AR1023" s="55" t="s">
        <v>560</v>
      </c>
      <c r="AS1023" s="55" t="s">
        <v>5133</v>
      </c>
      <c r="AU1023" s="181" t="s">
        <v>7494</v>
      </c>
      <c r="AV1023" s="185" t="s">
        <v>176</v>
      </c>
      <c r="AX1023" s="185" t="s">
        <v>176</v>
      </c>
      <c r="AZ1023" s="55" t="s">
        <v>707</v>
      </c>
      <c r="BA1023" s="55" t="s">
        <v>707</v>
      </c>
      <c r="BB1023" s="55" t="s">
        <v>2081</v>
      </c>
      <c r="BC1023" s="55" t="s">
        <v>2081</v>
      </c>
      <c r="BD1023" s="55" t="s">
        <v>176</v>
      </c>
      <c r="BK1023" s="55" t="s">
        <v>5976</v>
      </c>
      <c r="BM1023" s="192" t="s">
        <v>160</v>
      </c>
      <c r="BQ1023" s="55" t="s">
        <v>141</v>
      </c>
      <c r="CB1023" s="66">
        <v>3900</v>
      </c>
      <c r="CC1023" s="66">
        <v>4000</v>
      </c>
      <c r="EU1023" s="65">
        <v>0.13</v>
      </c>
      <c r="EV1023" s="65">
        <v>0.19</v>
      </c>
      <c r="EY1023" s="65" t="s">
        <v>831</v>
      </c>
      <c r="GP1023" s="292" t="s">
        <v>7494</v>
      </c>
      <c r="JU1023" s="55" t="s">
        <v>710</v>
      </c>
    </row>
    <row r="1024" spans="1:281" x14ac:dyDescent="0.25">
      <c r="A1024" s="55">
        <v>1023</v>
      </c>
      <c r="B1024" s="12" t="s">
        <v>7067</v>
      </c>
      <c r="C1024" s="155">
        <v>49</v>
      </c>
      <c r="D1024" s="55" t="s">
        <v>3900</v>
      </c>
      <c r="E1024" s="90" t="s">
        <v>703</v>
      </c>
      <c r="G1024" s="55" t="s">
        <v>704</v>
      </c>
      <c r="H1024" s="55">
        <v>2000</v>
      </c>
      <c r="I1024" s="55">
        <v>1996</v>
      </c>
      <c r="J1024" s="55" t="s">
        <v>705</v>
      </c>
      <c r="K1024" s="55" t="s">
        <v>714</v>
      </c>
      <c r="L1024" s="55" t="s">
        <v>2737</v>
      </c>
      <c r="M1024" s="90">
        <v>34.69</v>
      </c>
      <c r="N1024" s="90">
        <v>-86.88</v>
      </c>
      <c r="O1024" s="90">
        <v>181</v>
      </c>
      <c r="U1024" s="55">
        <v>2</v>
      </c>
      <c r="V1024" s="55" t="s">
        <v>1816</v>
      </c>
      <c r="Y1024" s="55" t="s">
        <v>1920</v>
      </c>
      <c r="Z1024" s="55" t="s">
        <v>1356</v>
      </c>
      <c r="AA1024" s="90" t="s">
        <v>1680</v>
      </c>
      <c r="AH1024" s="55" t="s">
        <v>6378</v>
      </c>
      <c r="AM1024" s="55" t="s">
        <v>1308</v>
      </c>
      <c r="AN1024" s="185" t="s">
        <v>131</v>
      </c>
      <c r="AO1024" s="185" t="s">
        <v>5150</v>
      </c>
      <c r="AQ1024" s="55" t="s">
        <v>131</v>
      </c>
      <c r="AR1024" s="55" t="s">
        <v>560</v>
      </c>
      <c r="AS1024" s="55" t="s">
        <v>5133</v>
      </c>
      <c r="AU1024" s="181" t="s">
        <v>7494</v>
      </c>
      <c r="AV1024" s="185" t="s">
        <v>176</v>
      </c>
      <c r="AX1024" s="185" t="s">
        <v>176</v>
      </c>
      <c r="AZ1024" s="55" t="s">
        <v>708</v>
      </c>
      <c r="BA1024" s="55" t="s">
        <v>708</v>
      </c>
      <c r="BB1024" s="55" t="s">
        <v>2081</v>
      </c>
      <c r="BC1024" s="55" t="s">
        <v>2081</v>
      </c>
      <c r="BD1024" s="55" t="s">
        <v>176</v>
      </c>
      <c r="BK1024" s="55" t="s">
        <v>5976</v>
      </c>
      <c r="BM1024" s="192" t="s">
        <v>160</v>
      </c>
      <c r="BQ1024" s="55" t="s">
        <v>141</v>
      </c>
      <c r="CB1024" s="66">
        <v>3630</v>
      </c>
      <c r="CC1024" s="66">
        <v>4130</v>
      </c>
      <c r="GP1024" s="292" t="s">
        <v>7494</v>
      </c>
      <c r="JU1024" s="55" t="s">
        <v>710</v>
      </c>
    </row>
    <row r="1025" spans="1:281" x14ac:dyDescent="0.25">
      <c r="A1025" s="55">
        <v>1024</v>
      </c>
      <c r="B1025" s="12" t="s">
        <v>7067</v>
      </c>
      <c r="C1025" s="155">
        <v>49</v>
      </c>
      <c r="D1025" s="55" t="s">
        <v>3901</v>
      </c>
      <c r="E1025" s="90" t="s">
        <v>703</v>
      </c>
      <c r="G1025" s="55" t="s">
        <v>704</v>
      </c>
      <c r="H1025" s="55">
        <v>2000</v>
      </c>
      <c r="I1025" s="55">
        <v>1996</v>
      </c>
      <c r="J1025" s="55" t="s">
        <v>705</v>
      </c>
      <c r="K1025" s="55" t="s">
        <v>714</v>
      </c>
      <c r="L1025" s="55" t="s">
        <v>2737</v>
      </c>
      <c r="M1025" s="90">
        <v>34.69</v>
      </c>
      <c r="N1025" s="90">
        <v>-86.88</v>
      </c>
      <c r="O1025" s="90">
        <v>181</v>
      </c>
      <c r="U1025" s="55">
        <v>2</v>
      </c>
      <c r="V1025" s="55" t="s">
        <v>1816</v>
      </c>
      <c r="Y1025" s="55" t="s">
        <v>1920</v>
      </c>
      <c r="Z1025" s="55" t="s">
        <v>1356</v>
      </c>
      <c r="AA1025" s="90" t="s">
        <v>1680</v>
      </c>
      <c r="AH1025" s="55" t="s">
        <v>6378</v>
      </c>
      <c r="AM1025" s="55" t="s">
        <v>1308</v>
      </c>
      <c r="AN1025" s="185" t="s">
        <v>131</v>
      </c>
      <c r="AO1025" s="185" t="s">
        <v>5150</v>
      </c>
      <c r="AQ1025" s="55" t="s">
        <v>131</v>
      </c>
      <c r="AR1025" s="55" t="s">
        <v>560</v>
      </c>
      <c r="AS1025" s="55" t="s">
        <v>5133</v>
      </c>
      <c r="AU1025" s="181" t="s">
        <v>7494</v>
      </c>
      <c r="AV1025" s="185" t="s">
        <v>176</v>
      </c>
      <c r="AX1025" s="185" t="s">
        <v>176</v>
      </c>
      <c r="AZ1025" s="55" t="s">
        <v>709</v>
      </c>
      <c r="BA1025" s="55" t="s">
        <v>709</v>
      </c>
      <c r="BB1025" s="55" t="s">
        <v>2081</v>
      </c>
      <c r="BC1025" s="55" t="s">
        <v>2081</v>
      </c>
      <c r="BD1025" s="55" t="s">
        <v>176</v>
      </c>
      <c r="BK1025" s="55" t="s">
        <v>5976</v>
      </c>
      <c r="BM1025" s="192" t="s">
        <v>160</v>
      </c>
      <c r="BQ1025" s="55" t="s">
        <v>141</v>
      </c>
      <c r="CB1025" s="66">
        <v>3820</v>
      </c>
      <c r="CC1025" s="66">
        <v>4090</v>
      </c>
      <c r="GP1025" s="292" t="s">
        <v>7494</v>
      </c>
      <c r="JU1025" s="55" t="s">
        <v>710</v>
      </c>
    </row>
    <row r="1026" spans="1:281" x14ac:dyDescent="0.25">
      <c r="A1026" s="55">
        <v>1025</v>
      </c>
      <c r="B1026" s="12" t="s">
        <v>7067</v>
      </c>
      <c r="C1026" s="155">
        <v>49</v>
      </c>
      <c r="D1026" s="55" t="s">
        <v>3902</v>
      </c>
      <c r="E1026" s="90" t="s">
        <v>703</v>
      </c>
      <c r="G1026" s="55" t="s">
        <v>704</v>
      </c>
      <c r="H1026" s="55">
        <v>2000</v>
      </c>
      <c r="I1026" s="55">
        <v>1996</v>
      </c>
      <c r="J1026" s="55" t="s">
        <v>705</v>
      </c>
      <c r="K1026" s="55" t="s">
        <v>714</v>
      </c>
      <c r="L1026" s="55" t="s">
        <v>2737</v>
      </c>
      <c r="M1026" s="90">
        <v>34.69</v>
      </c>
      <c r="N1026" s="90">
        <v>-86.88</v>
      </c>
      <c r="O1026" s="90">
        <v>181</v>
      </c>
      <c r="U1026" s="55">
        <v>2</v>
      </c>
      <c r="V1026" s="55" t="s">
        <v>1816</v>
      </c>
      <c r="Y1026" s="55" t="s">
        <v>1920</v>
      </c>
      <c r="Z1026" s="55" t="s">
        <v>1356</v>
      </c>
      <c r="AA1026" s="90" t="s">
        <v>1680</v>
      </c>
      <c r="AH1026" s="55" t="s">
        <v>6378</v>
      </c>
      <c r="AM1026" s="55" t="s">
        <v>1308</v>
      </c>
      <c r="AN1026" s="185" t="s">
        <v>131</v>
      </c>
      <c r="AO1026" s="185" t="s">
        <v>5150</v>
      </c>
      <c r="AQ1026" s="55" t="s">
        <v>131</v>
      </c>
      <c r="AR1026" s="55" t="s">
        <v>560</v>
      </c>
      <c r="AS1026" s="55" t="s">
        <v>5133</v>
      </c>
      <c r="AU1026" s="181" t="s">
        <v>7494</v>
      </c>
      <c r="AV1026" s="185" t="s">
        <v>176</v>
      </c>
      <c r="AX1026" s="185" t="s">
        <v>176</v>
      </c>
      <c r="AZ1026" s="55" t="s">
        <v>156</v>
      </c>
      <c r="BA1026" s="55" t="s">
        <v>156</v>
      </c>
      <c r="BB1026" s="55" t="s">
        <v>2081</v>
      </c>
      <c r="BC1026" s="55" t="s">
        <v>2081</v>
      </c>
      <c r="BD1026" s="55" t="s">
        <v>176</v>
      </c>
      <c r="BK1026" s="55" t="s">
        <v>5976</v>
      </c>
      <c r="BM1026" s="192" t="s">
        <v>160</v>
      </c>
      <c r="BQ1026" s="55" t="s">
        <v>141</v>
      </c>
      <c r="CB1026" s="66">
        <v>3730</v>
      </c>
      <c r="CC1026" s="66">
        <v>3960</v>
      </c>
      <c r="EU1026" s="65">
        <v>1.59</v>
      </c>
      <c r="EV1026" s="65">
        <v>1.46</v>
      </c>
      <c r="EY1026" s="65" t="s">
        <v>831</v>
      </c>
      <c r="GP1026" s="292" t="s">
        <v>7494</v>
      </c>
      <c r="JU1026" s="55" t="s">
        <v>710</v>
      </c>
    </row>
    <row r="1027" spans="1:281" x14ac:dyDescent="0.25">
      <c r="A1027" s="55">
        <v>1026</v>
      </c>
      <c r="B1027" s="12" t="s">
        <v>7067</v>
      </c>
      <c r="C1027" s="155">
        <v>49</v>
      </c>
      <c r="D1027" s="55" t="s">
        <v>3903</v>
      </c>
      <c r="E1027" s="90" t="s">
        <v>703</v>
      </c>
      <c r="G1027" s="55" t="s">
        <v>704</v>
      </c>
      <c r="H1027" s="55">
        <v>2000</v>
      </c>
      <c r="I1027" s="55">
        <v>1996</v>
      </c>
      <c r="J1027" s="55" t="s">
        <v>705</v>
      </c>
      <c r="K1027" s="55" t="s">
        <v>714</v>
      </c>
      <c r="L1027" s="55" t="s">
        <v>2737</v>
      </c>
      <c r="M1027" s="90">
        <v>34.69</v>
      </c>
      <c r="N1027" s="90">
        <v>-86.88</v>
      </c>
      <c r="O1027" s="90">
        <v>181</v>
      </c>
      <c r="U1027" s="55">
        <v>2</v>
      </c>
      <c r="V1027" s="55" t="s">
        <v>1816</v>
      </c>
      <c r="Y1027" s="55" t="s">
        <v>1920</v>
      </c>
      <c r="Z1027" s="55" t="s">
        <v>1356</v>
      </c>
      <c r="AA1027" s="90" t="s">
        <v>1680</v>
      </c>
      <c r="AH1027" s="55" t="s">
        <v>6378</v>
      </c>
      <c r="AM1027" s="55" t="s">
        <v>1308</v>
      </c>
      <c r="AN1027" s="185" t="s">
        <v>131</v>
      </c>
      <c r="AO1027" s="185" t="s">
        <v>5150</v>
      </c>
      <c r="AQ1027" s="55" t="s">
        <v>131</v>
      </c>
      <c r="AR1027" s="55" t="s">
        <v>560</v>
      </c>
      <c r="AS1027" s="55" t="s">
        <v>5133</v>
      </c>
      <c r="AU1027" s="181" t="s">
        <v>7494</v>
      </c>
      <c r="AV1027" s="185" t="s">
        <v>176</v>
      </c>
      <c r="AX1027" s="185" t="s">
        <v>176</v>
      </c>
      <c r="AZ1027" s="55" t="s">
        <v>229</v>
      </c>
      <c r="BA1027" s="55" t="s">
        <v>156</v>
      </c>
      <c r="BB1027" s="55" t="s">
        <v>2081</v>
      </c>
      <c r="BC1027" s="55" t="s">
        <v>2082</v>
      </c>
      <c r="BD1027" s="55" t="s">
        <v>479</v>
      </c>
      <c r="BK1027" s="55" t="s">
        <v>6269</v>
      </c>
      <c r="BM1027" s="192" t="s">
        <v>160</v>
      </c>
      <c r="BQ1027" s="55" t="s">
        <v>141</v>
      </c>
      <c r="CB1027" s="66">
        <v>3740</v>
      </c>
      <c r="CC1027" s="66">
        <v>3960</v>
      </c>
      <c r="EU1027" s="65">
        <v>1.01</v>
      </c>
      <c r="EV1027" s="65">
        <v>1.46</v>
      </c>
      <c r="EY1027" s="65" t="s">
        <v>831</v>
      </c>
      <c r="GP1027" s="292" t="s">
        <v>7494</v>
      </c>
      <c r="JU1027" s="55" t="s">
        <v>710</v>
      </c>
    </row>
    <row r="1028" spans="1:281" x14ac:dyDescent="0.25">
      <c r="A1028" s="55">
        <v>1027</v>
      </c>
      <c r="B1028" s="12" t="s">
        <v>7067</v>
      </c>
      <c r="C1028" s="155">
        <v>49</v>
      </c>
      <c r="D1028" s="55" t="s">
        <v>3898</v>
      </c>
      <c r="E1028" s="90" t="s">
        <v>703</v>
      </c>
      <c r="G1028" s="55" t="s">
        <v>704</v>
      </c>
      <c r="H1028" s="55">
        <v>2000</v>
      </c>
      <c r="I1028" s="55">
        <v>1997</v>
      </c>
      <c r="J1028" s="55" t="s">
        <v>705</v>
      </c>
      <c r="K1028" s="55" t="s">
        <v>714</v>
      </c>
      <c r="L1028" s="55" t="s">
        <v>2737</v>
      </c>
      <c r="M1028" s="90">
        <v>34.69</v>
      </c>
      <c r="N1028" s="90">
        <v>-86.88</v>
      </c>
      <c r="O1028" s="90">
        <v>181</v>
      </c>
      <c r="U1028" s="55">
        <v>3</v>
      </c>
      <c r="V1028" s="55" t="s">
        <v>1816</v>
      </c>
      <c r="Y1028" s="55" t="s">
        <v>1920</v>
      </c>
      <c r="Z1028" s="55" t="s">
        <v>1356</v>
      </c>
      <c r="AA1028" s="90" t="s">
        <v>1680</v>
      </c>
      <c r="AH1028" s="55" t="s">
        <v>6378</v>
      </c>
      <c r="AM1028" s="55" t="s">
        <v>1308</v>
      </c>
      <c r="AN1028" s="185" t="s">
        <v>131</v>
      </c>
      <c r="AO1028" s="185" t="s">
        <v>5150</v>
      </c>
      <c r="AQ1028" s="55" t="s">
        <v>131</v>
      </c>
      <c r="AR1028" s="55" t="s">
        <v>560</v>
      </c>
      <c r="AS1028" s="55" t="s">
        <v>5133</v>
      </c>
      <c r="AU1028" s="181" t="s">
        <v>7494</v>
      </c>
      <c r="AV1028" s="185" t="s">
        <v>176</v>
      </c>
      <c r="AX1028" s="185" t="s">
        <v>176</v>
      </c>
      <c r="AZ1028" s="55" t="s">
        <v>706</v>
      </c>
      <c r="BA1028" s="55" t="s">
        <v>706</v>
      </c>
      <c r="BB1028" s="55" t="s">
        <v>2081</v>
      </c>
      <c r="BC1028" s="55" t="s">
        <v>2081</v>
      </c>
      <c r="BD1028" s="55" t="s">
        <v>176</v>
      </c>
      <c r="BK1028" s="55" t="s">
        <v>5976</v>
      </c>
      <c r="BM1028" s="192" t="s">
        <v>160</v>
      </c>
      <c r="BQ1028" s="55" t="s">
        <v>141</v>
      </c>
      <c r="CB1028" s="66">
        <v>2660</v>
      </c>
      <c r="CC1028" s="66">
        <v>2790</v>
      </c>
      <c r="EU1028" s="65">
        <v>0.62</v>
      </c>
      <c r="EV1028" s="65">
        <v>0.95</v>
      </c>
      <c r="EY1028" s="65" t="s">
        <v>831</v>
      </c>
      <c r="GP1028" s="292" t="s">
        <v>7494</v>
      </c>
      <c r="JU1028" s="55" t="s">
        <v>710</v>
      </c>
    </row>
    <row r="1029" spans="1:281" x14ac:dyDescent="0.25">
      <c r="A1029" s="55">
        <v>1028</v>
      </c>
      <c r="B1029" s="12" t="s">
        <v>7067</v>
      </c>
      <c r="C1029" s="155">
        <v>49</v>
      </c>
      <c r="D1029" s="55" t="s">
        <v>3899</v>
      </c>
      <c r="E1029" s="90" t="s">
        <v>703</v>
      </c>
      <c r="G1029" s="55" t="s">
        <v>704</v>
      </c>
      <c r="H1029" s="55">
        <v>2000</v>
      </c>
      <c r="I1029" s="55">
        <v>1997</v>
      </c>
      <c r="J1029" s="55" t="s">
        <v>705</v>
      </c>
      <c r="K1029" s="55" t="s">
        <v>714</v>
      </c>
      <c r="L1029" s="55" t="s">
        <v>2737</v>
      </c>
      <c r="M1029" s="90">
        <v>34.69</v>
      </c>
      <c r="N1029" s="90">
        <v>-86.88</v>
      </c>
      <c r="O1029" s="90">
        <v>181</v>
      </c>
      <c r="U1029" s="55">
        <v>3</v>
      </c>
      <c r="V1029" s="55" t="s">
        <v>1816</v>
      </c>
      <c r="Y1029" s="55" t="s">
        <v>1920</v>
      </c>
      <c r="Z1029" s="55" t="s">
        <v>1356</v>
      </c>
      <c r="AA1029" s="90" t="s">
        <v>1680</v>
      </c>
      <c r="AH1029" s="55" t="s">
        <v>6378</v>
      </c>
      <c r="AM1029" s="55" t="s">
        <v>1308</v>
      </c>
      <c r="AN1029" s="185" t="s">
        <v>131</v>
      </c>
      <c r="AO1029" s="185" t="s">
        <v>5150</v>
      </c>
      <c r="AQ1029" s="55" t="s">
        <v>131</v>
      </c>
      <c r="AR1029" s="55" t="s">
        <v>560</v>
      </c>
      <c r="AS1029" s="55" t="s">
        <v>5133</v>
      </c>
      <c r="AU1029" s="181" t="s">
        <v>7494</v>
      </c>
      <c r="AV1029" s="185" t="s">
        <v>176</v>
      </c>
      <c r="AX1029" s="185" t="s">
        <v>176</v>
      </c>
      <c r="AZ1029" s="55" t="s">
        <v>707</v>
      </c>
      <c r="BA1029" s="55" t="s">
        <v>707</v>
      </c>
      <c r="BB1029" s="55" t="s">
        <v>2081</v>
      </c>
      <c r="BC1029" s="55" t="s">
        <v>2081</v>
      </c>
      <c r="BD1029" s="55" t="s">
        <v>176</v>
      </c>
      <c r="BK1029" s="55" t="s">
        <v>5976</v>
      </c>
      <c r="BM1029" s="192" t="s">
        <v>160</v>
      </c>
      <c r="BQ1029" s="55" t="s">
        <v>141</v>
      </c>
      <c r="CB1029" s="66">
        <v>2420</v>
      </c>
      <c r="CC1029" s="66">
        <v>2750</v>
      </c>
      <c r="EU1029" s="65">
        <v>0.52</v>
      </c>
      <c r="EV1029" s="65">
        <v>0.7</v>
      </c>
      <c r="EY1029" s="65" t="s">
        <v>831</v>
      </c>
      <c r="GP1029" s="292" t="s">
        <v>7494</v>
      </c>
      <c r="JU1029" s="55" t="s">
        <v>710</v>
      </c>
    </row>
    <row r="1030" spans="1:281" x14ac:dyDescent="0.25">
      <c r="A1030" s="55">
        <v>1029</v>
      </c>
      <c r="B1030" s="12" t="s">
        <v>7067</v>
      </c>
      <c r="C1030" s="155">
        <v>49</v>
      </c>
      <c r="D1030" s="55" t="s">
        <v>3900</v>
      </c>
      <c r="E1030" s="90" t="s">
        <v>703</v>
      </c>
      <c r="G1030" s="55" t="s">
        <v>704</v>
      </c>
      <c r="H1030" s="55">
        <v>2000</v>
      </c>
      <c r="I1030" s="55">
        <v>1997</v>
      </c>
      <c r="J1030" s="55" t="s">
        <v>705</v>
      </c>
      <c r="K1030" s="55" t="s">
        <v>714</v>
      </c>
      <c r="L1030" s="55" t="s">
        <v>2737</v>
      </c>
      <c r="M1030" s="90">
        <v>34.69</v>
      </c>
      <c r="N1030" s="90">
        <v>-86.88</v>
      </c>
      <c r="O1030" s="90">
        <v>181</v>
      </c>
      <c r="U1030" s="55">
        <v>3</v>
      </c>
      <c r="V1030" s="55" t="s">
        <v>1816</v>
      </c>
      <c r="Y1030" s="55" t="s">
        <v>1920</v>
      </c>
      <c r="Z1030" s="55" t="s">
        <v>1356</v>
      </c>
      <c r="AA1030" s="90" t="s">
        <v>1680</v>
      </c>
      <c r="AH1030" s="55" t="s">
        <v>6378</v>
      </c>
      <c r="AM1030" s="55" t="s">
        <v>1308</v>
      </c>
      <c r="AN1030" s="185" t="s">
        <v>131</v>
      </c>
      <c r="AO1030" s="185" t="s">
        <v>5150</v>
      </c>
      <c r="AQ1030" s="55" t="s">
        <v>131</v>
      </c>
      <c r="AR1030" s="55" t="s">
        <v>560</v>
      </c>
      <c r="AS1030" s="55" t="s">
        <v>5133</v>
      </c>
      <c r="AU1030" s="181" t="s">
        <v>7494</v>
      </c>
      <c r="AV1030" s="185" t="s">
        <v>176</v>
      </c>
      <c r="AX1030" s="185" t="s">
        <v>176</v>
      </c>
      <c r="AZ1030" s="55" t="s">
        <v>708</v>
      </c>
      <c r="BA1030" s="55" t="s">
        <v>708</v>
      </c>
      <c r="BB1030" s="55" t="s">
        <v>2081</v>
      </c>
      <c r="BC1030" s="55" t="s">
        <v>2081</v>
      </c>
      <c r="BD1030" s="55" t="s">
        <v>176</v>
      </c>
      <c r="BK1030" s="55" t="s">
        <v>5976</v>
      </c>
      <c r="BM1030" s="192" t="s">
        <v>160</v>
      </c>
      <c r="BQ1030" s="55" t="s">
        <v>141</v>
      </c>
      <c r="CB1030" s="66">
        <v>2710</v>
      </c>
      <c r="CC1030" s="66">
        <v>3360</v>
      </c>
      <c r="GP1030" s="292" t="s">
        <v>7494</v>
      </c>
      <c r="JU1030" s="55" t="s">
        <v>710</v>
      </c>
    </row>
    <row r="1031" spans="1:281" x14ac:dyDescent="0.25">
      <c r="A1031" s="55">
        <v>1030</v>
      </c>
      <c r="B1031" s="12" t="s">
        <v>7067</v>
      </c>
      <c r="C1031" s="155">
        <v>49</v>
      </c>
      <c r="D1031" s="55" t="s">
        <v>3901</v>
      </c>
      <c r="E1031" s="90" t="s">
        <v>703</v>
      </c>
      <c r="G1031" s="55" t="s">
        <v>704</v>
      </c>
      <c r="H1031" s="55">
        <v>2000</v>
      </c>
      <c r="I1031" s="55">
        <v>1997</v>
      </c>
      <c r="J1031" s="55" t="s">
        <v>705</v>
      </c>
      <c r="K1031" s="55" t="s">
        <v>714</v>
      </c>
      <c r="L1031" s="55" t="s">
        <v>2737</v>
      </c>
      <c r="M1031" s="90">
        <v>34.69</v>
      </c>
      <c r="N1031" s="90">
        <v>-86.88</v>
      </c>
      <c r="O1031" s="90">
        <v>181</v>
      </c>
      <c r="U1031" s="55">
        <v>3</v>
      </c>
      <c r="V1031" s="55" t="s">
        <v>1816</v>
      </c>
      <c r="Y1031" s="55" t="s">
        <v>1920</v>
      </c>
      <c r="Z1031" s="55" t="s">
        <v>1356</v>
      </c>
      <c r="AA1031" s="90" t="s">
        <v>1680</v>
      </c>
      <c r="AH1031" s="55" t="s">
        <v>6378</v>
      </c>
      <c r="AM1031" s="55" t="s">
        <v>1308</v>
      </c>
      <c r="AN1031" s="185" t="s">
        <v>131</v>
      </c>
      <c r="AO1031" s="185" t="s">
        <v>5150</v>
      </c>
      <c r="AQ1031" s="55" t="s">
        <v>131</v>
      </c>
      <c r="AR1031" s="55" t="s">
        <v>560</v>
      </c>
      <c r="AS1031" s="55" t="s">
        <v>5133</v>
      </c>
      <c r="AU1031" s="181" t="s">
        <v>7494</v>
      </c>
      <c r="AV1031" s="185" t="s">
        <v>176</v>
      </c>
      <c r="AX1031" s="185" t="s">
        <v>176</v>
      </c>
      <c r="AZ1031" s="55" t="s">
        <v>709</v>
      </c>
      <c r="BA1031" s="55" t="s">
        <v>709</v>
      </c>
      <c r="BB1031" s="55" t="s">
        <v>2081</v>
      </c>
      <c r="BC1031" s="55" t="s">
        <v>2081</v>
      </c>
      <c r="BD1031" s="55" t="s">
        <v>176</v>
      </c>
      <c r="BK1031" s="55" t="s">
        <v>5976</v>
      </c>
      <c r="BM1031" s="192" t="s">
        <v>160</v>
      </c>
      <c r="BQ1031" s="55" t="s">
        <v>141</v>
      </c>
      <c r="CB1031" s="66">
        <v>2680</v>
      </c>
      <c r="CC1031" s="66">
        <v>3010</v>
      </c>
      <c r="GP1031" s="292" t="s">
        <v>7494</v>
      </c>
      <c r="JU1031" s="55" t="s">
        <v>710</v>
      </c>
    </row>
    <row r="1032" spans="1:281" x14ac:dyDescent="0.25">
      <c r="A1032" s="55">
        <v>1031</v>
      </c>
      <c r="B1032" s="12" t="s">
        <v>7067</v>
      </c>
      <c r="C1032" s="155">
        <v>49</v>
      </c>
      <c r="D1032" s="55" t="s">
        <v>3902</v>
      </c>
      <c r="E1032" s="90" t="s">
        <v>703</v>
      </c>
      <c r="G1032" s="55" t="s">
        <v>704</v>
      </c>
      <c r="H1032" s="55">
        <v>2000</v>
      </c>
      <c r="I1032" s="55">
        <v>1997</v>
      </c>
      <c r="J1032" s="55" t="s">
        <v>705</v>
      </c>
      <c r="K1032" s="55" t="s">
        <v>714</v>
      </c>
      <c r="L1032" s="55" t="s">
        <v>2737</v>
      </c>
      <c r="M1032" s="90">
        <v>34.69</v>
      </c>
      <c r="N1032" s="90">
        <v>-86.88</v>
      </c>
      <c r="O1032" s="90">
        <v>181</v>
      </c>
      <c r="U1032" s="55">
        <v>3</v>
      </c>
      <c r="V1032" s="55" t="s">
        <v>1816</v>
      </c>
      <c r="Y1032" s="55" t="s">
        <v>1920</v>
      </c>
      <c r="Z1032" s="55" t="s">
        <v>1356</v>
      </c>
      <c r="AA1032" s="90" t="s">
        <v>1680</v>
      </c>
      <c r="AH1032" s="55" t="s">
        <v>6378</v>
      </c>
      <c r="AM1032" s="55" t="s">
        <v>1308</v>
      </c>
      <c r="AN1032" s="185" t="s">
        <v>131</v>
      </c>
      <c r="AO1032" s="185" t="s">
        <v>5150</v>
      </c>
      <c r="AQ1032" s="55" t="s">
        <v>131</v>
      </c>
      <c r="AR1032" s="55" t="s">
        <v>560</v>
      </c>
      <c r="AS1032" s="55" t="s">
        <v>5133</v>
      </c>
      <c r="AU1032" s="181" t="s">
        <v>7494</v>
      </c>
      <c r="AV1032" s="185" t="s">
        <v>176</v>
      </c>
      <c r="AX1032" s="185" t="s">
        <v>176</v>
      </c>
      <c r="AZ1032" s="55" t="s">
        <v>156</v>
      </c>
      <c r="BA1032" s="55" t="s">
        <v>156</v>
      </c>
      <c r="BB1032" s="55" t="s">
        <v>2081</v>
      </c>
      <c r="BC1032" s="55" t="s">
        <v>2081</v>
      </c>
      <c r="BD1032" s="55" t="s">
        <v>176</v>
      </c>
      <c r="BK1032" s="55" t="s">
        <v>5976</v>
      </c>
      <c r="BM1032" s="192" t="s">
        <v>160</v>
      </c>
      <c r="BQ1032" s="55" t="s">
        <v>141</v>
      </c>
      <c r="CB1032" s="66">
        <v>2880</v>
      </c>
      <c r="CC1032" s="66">
        <v>3180</v>
      </c>
      <c r="EU1032" s="65">
        <v>1.47</v>
      </c>
      <c r="EV1032" s="65">
        <v>1.53</v>
      </c>
      <c r="EY1032" s="65" t="s">
        <v>831</v>
      </c>
      <c r="GP1032" s="292" t="s">
        <v>7494</v>
      </c>
      <c r="JU1032" s="55" t="s">
        <v>710</v>
      </c>
    </row>
    <row r="1033" spans="1:281" x14ac:dyDescent="0.25">
      <c r="A1033" s="55">
        <v>1032</v>
      </c>
      <c r="B1033" s="12" t="s">
        <v>7067</v>
      </c>
      <c r="C1033" s="155">
        <v>49</v>
      </c>
      <c r="D1033" s="55" t="s">
        <v>3903</v>
      </c>
      <c r="E1033" s="90" t="s">
        <v>703</v>
      </c>
      <c r="G1033" s="55" t="s">
        <v>704</v>
      </c>
      <c r="H1033" s="55">
        <v>2000</v>
      </c>
      <c r="I1033" s="55">
        <v>1997</v>
      </c>
      <c r="J1033" s="55" t="s">
        <v>705</v>
      </c>
      <c r="K1033" s="55" t="s">
        <v>714</v>
      </c>
      <c r="L1033" s="55" t="s">
        <v>2737</v>
      </c>
      <c r="M1033" s="90">
        <v>34.69</v>
      </c>
      <c r="N1033" s="90">
        <v>-86.88</v>
      </c>
      <c r="O1033" s="90">
        <v>181</v>
      </c>
      <c r="U1033" s="55">
        <v>3</v>
      </c>
      <c r="V1033" s="55" t="s">
        <v>1816</v>
      </c>
      <c r="Y1033" s="55" t="s">
        <v>1920</v>
      </c>
      <c r="Z1033" s="55" t="s">
        <v>1356</v>
      </c>
      <c r="AA1033" s="90" t="s">
        <v>1680</v>
      </c>
      <c r="AH1033" s="55" t="s">
        <v>6378</v>
      </c>
      <c r="AM1033" s="55" t="s">
        <v>1308</v>
      </c>
      <c r="AN1033" s="185" t="s">
        <v>131</v>
      </c>
      <c r="AO1033" s="185" t="s">
        <v>5150</v>
      </c>
      <c r="AQ1033" s="55" t="s">
        <v>131</v>
      </c>
      <c r="AR1033" s="55" t="s">
        <v>560</v>
      </c>
      <c r="AS1033" s="55" t="s">
        <v>5133</v>
      </c>
      <c r="AU1033" s="181" t="s">
        <v>7494</v>
      </c>
      <c r="AV1033" s="185" t="s">
        <v>176</v>
      </c>
      <c r="AX1033" s="185" t="s">
        <v>176</v>
      </c>
      <c r="AZ1033" s="55" t="s">
        <v>229</v>
      </c>
      <c r="BA1033" s="55" t="s">
        <v>156</v>
      </c>
      <c r="BB1033" s="55" t="s">
        <v>2081</v>
      </c>
      <c r="BC1033" s="55" t="s">
        <v>2082</v>
      </c>
      <c r="BD1033" s="55" t="s">
        <v>479</v>
      </c>
      <c r="BK1033" s="55" t="s">
        <v>6269</v>
      </c>
      <c r="BM1033" s="192" t="s">
        <v>160</v>
      </c>
      <c r="BQ1033" s="55" t="s">
        <v>141</v>
      </c>
      <c r="CB1033" s="66">
        <v>3160</v>
      </c>
      <c r="CC1033" s="66">
        <v>3180</v>
      </c>
      <c r="EU1033" s="65">
        <v>0.96</v>
      </c>
      <c r="EV1033" s="65">
        <v>1.53</v>
      </c>
      <c r="EY1033" s="65" t="s">
        <v>831</v>
      </c>
      <c r="GP1033" s="292" t="s">
        <v>7494</v>
      </c>
      <c r="JU1033" s="55" t="s">
        <v>710</v>
      </c>
    </row>
    <row r="1034" spans="1:281" x14ac:dyDescent="0.25">
      <c r="A1034" s="55">
        <v>1033</v>
      </c>
      <c r="B1034" s="12" t="s">
        <v>7067</v>
      </c>
      <c r="C1034" s="155">
        <v>49</v>
      </c>
      <c r="D1034" s="55" t="s">
        <v>3898</v>
      </c>
      <c r="E1034" s="90" t="s">
        <v>703</v>
      </c>
      <c r="G1034" s="55" t="s">
        <v>704</v>
      </c>
      <c r="H1034" s="55">
        <v>2000</v>
      </c>
      <c r="I1034" s="55">
        <v>1998</v>
      </c>
      <c r="J1034" s="55" t="s">
        <v>705</v>
      </c>
      <c r="K1034" s="55" t="s">
        <v>714</v>
      </c>
      <c r="L1034" s="55" t="s">
        <v>2737</v>
      </c>
      <c r="M1034" s="90">
        <v>34.69</v>
      </c>
      <c r="N1034" s="90">
        <v>-86.88</v>
      </c>
      <c r="O1034" s="90">
        <v>181</v>
      </c>
      <c r="U1034" s="55">
        <v>4</v>
      </c>
      <c r="V1034" s="55" t="s">
        <v>1816</v>
      </c>
      <c r="Y1034" s="55" t="s">
        <v>1920</v>
      </c>
      <c r="Z1034" s="55" t="s">
        <v>1356</v>
      </c>
      <c r="AA1034" s="90" t="s">
        <v>1680</v>
      </c>
      <c r="AH1034" s="55" t="s">
        <v>6378</v>
      </c>
      <c r="AM1034" s="55" t="s">
        <v>1308</v>
      </c>
      <c r="AN1034" s="185" t="s">
        <v>131</v>
      </c>
      <c r="AO1034" s="185" t="s">
        <v>5150</v>
      </c>
      <c r="AQ1034" s="55" t="s">
        <v>131</v>
      </c>
      <c r="AR1034" s="55" t="s">
        <v>560</v>
      </c>
      <c r="AS1034" s="55" t="s">
        <v>5133</v>
      </c>
      <c r="AU1034" s="181" t="s">
        <v>7494</v>
      </c>
      <c r="AV1034" s="185" t="s">
        <v>176</v>
      </c>
      <c r="AX1034" s="185" t="s">
        <v>176</v>
      </c>
      <c r="AZ1034" s="55" t="s">
        <v>706</v>
      </c>
      <c r="BA1034" s="55" t="s">
        <v>706</v>
      </c>
      <c r="BB1034" s="55" t="s">
        <v>2081</v>
      </c>
      <c r="BC1034" s="55" t="s">
        <v>2081</v>
      </c>
      <c r="BD1034" s="55" t="s">
        <v>176</v>
      </c>
      <c r="BK1034" s="55" t="s">
        <v>5976</v>
      </c>
      <c r="BM1034" s="192" t="s">
        <v>160</v>
      </c>
      <c r="BQ1034" s="55" t="s">
        <v>141</v>
      </c>
      <c r="CB1034" s="66">
        <v>2510</v>
      </c>
      <c r="CC1034" s="66">
        <v>2870</v>
      </c>
      <c r="EU1034" s="65">
        <v>0.73</v>
      </c>
      <c r="EV1034" s="65">
        <v>0.48</v>
      </c>
      <c r="EY1034" s="65" t="s">
        <v>831</v>
      </c>
      <c r="GP1034" s="292" t="s">
        <v>7494</v>
      </c>
      <c r="JU1034" s="55" t="s">
        <v>710</v>
      </c>
    </row>
    <row r="1035" spans="1:281" x14ac:dyDescent="0.25">
      <c r="A1035" s="55">
        <v>1034</v>
      </c>
      <c r="B1035" s="12" t="s">
        <v>7067</v>
      </c>
      <c r="C1035" s="155">
        <v>49</v>
      </c>
      <c r="D1035" s="55" t="s">
        <v>3899</v>
      </c>
      <c r="E1035" s="90" t="s">
        <v>703</v>
      </c>
      <c r="G1035" s="55" t="s">
        <v>704</v>
      </c>
      <c r="H1035" s="55">
        <v>2000</v>
      </c>
      <c r="I1035" s="55">
        <v>1998</v>
      </c>
      <c r="J1035" s="55" t="s">
        <v>705</v>
      </c>
      <c r="K1035" s="55" t="s">
        <v>714</v>
      </c>
      <c r="L1035" s="55" t="s">
        <v>2737</v>
      </c>
      <c r="M1035" s="90">
        <v>34.69</v>
      </c>
      <c r="N1035" s="90">
        <v>-86.88</v>
      </c>
      <c r="O1035" s="90">
        <v>181</v>
      </c>
      <c r="U1035" s="55">
        <v>4</v>
      </c>
      <c r="V1035" s="55" t="s">
        <v>1816</v>
      </c>
      <c r="Y1035" s="55" t="s">
        <v>1920</v>
      </c>
      <c r="Z1035" s="55" t="s">
        <v>1356</v>
      </c>
      <c r="AA1035" s="90" t="s">
        <v>1680</v>
      </c>
      <c r="AH1035" s="55" t="s">
        <v>6378</v>
      </c>
      <c r="AM1035" s="55" t="s">
        <v>1308</v>
      </c>
      <c r="AN1035" s="185" t="s">
        <v>131</v>
      </c>
      <c r="AO1035" s="185" t="s">
        <v>5150</v>
      </c>
      <c r="AQ1035" s="55" t="s">
        <v>131</v>
      </c>
      <c r="AR1035" s="55" t="s">
        <v>560</v>
      </c>
      <c r="AS1035" s="55" t="s">
        <v>5133</v>
      </c>
      <c r="AU1035" s="181" t="s">
        <v>7494</v>
      </c>
      <c r="AV1035" s="185" t="s">
        <v>176</v>
      </c>
      <c r="AX1035" s="185" t="s">
        <v>176</v>
      </c>
      <c r="AZ1035" s="55" t="s">
        <v>707</v>
      </c>
      <c r="BA1035" s="55" t="s">
        <v>707</v>
      </c>
      <c r="BB1035" s="55" t="s">
        <v>2081</v>
      </c>
      <c r="BC1035" s="55" t="s">
        <v>2081</v>
      </c>
      <c r="BD1035" s="55" t="s">
        <v>176</v>
      </c>
      <c r="BK1035" s="55" t="s">
        <v>5976</v>
      </c>
      <c r="BM1035" s="192" t="s">
        <v>160</v>
      </c>
      <c r="BQ1035" s="55" t="s">
        <v>141</v>
      </c>
      <c r="CB1035" s="66">
        <v>2240</v>
      </c>
      <c r="CC1035" s="66">
        <v>2640</v>
      </c>
      <c r="EU1035" s="65">
        <v>0.56999999999999995</v>
      </c>
      <c r="EV1035" s="65">
        <v>0.56999999999999995</v>
      </c>
      <c r="EY1035" s="65" t="s">
        <v>831</v>
      </c>
      <c r="GP1035" s="292" t="s">
        <v>7494</v>
      </c>
      <c r="JU1035" s="55" t="s">
        <v>710</v>
      </c>
    </row>
    <row r="1036" spans="1:281" x14ac:dyDescent="0.25">
      <c r="A1036" s="55">
        <v>1035</v>
      </c>
      <c r="B1036" s="12" t="s">
        <v>7067</v>
      </c>
      <c r="C1036" s="155">
        <v>49</v>
      </c>
      <c r="D1036" s="55" t="s">
        <v>3900</v>
      </c>
      <c r="E1036" s="90" t="s">
        <v>703</v>
      </c>
      <c r="G1036" s="55" t="s">
        <v>704</v>
      </c>
      <c r="H1036" s="55">
        <v>2000</v>
      </c>
      <c r="I1036" s="55">
        <v>1998</v>
      </c>
      <c r="J1036" s="55" t="s">
        <v>705</v>
      </c>
      <c r="K1036" s="55" t="s">
        <v>714</v>
      </c>
      <c r="L1036" s="55" t="s">
        <v>2737</v>
      </c>
      <c r="M1036" s="90">
        <v>34.69</v>
      </c>
      <c r="N1036" s="90">
        <v>-86.88</v>
      </c>
      <c r="O1036" s="90">
        <v>181</v>
      </c>
      <c r="U1036" s="55">
        <v>4</v>
      </c>
      <c r="V1036" s="55" t="s">
        <v>1816</v>
      </c>
      <c r="Y1036" s="55" t="s">
        <v>1920</v>
      </c>
      <c r="Z1036" s="55" t="s">
        <v>1356</v>
      </c>
      <c r="AA1036" s="90" t="s">
        <v>1680</v>
      </c>
      <c r="AH1036" s="55" t="s">
        <v>6378</v>
      </c>
      <c r="AM1036" s="55" t="s">
        <v>1308</v>
      </c>
      <c r="AN1036" s="185" t="s">
        <v>131</v>
      </c>
      <c r="AO1036" s="185" t="s">
        <v>5150</v>
      </c>
      <c r="AQ1036" s="55" t="s">
        <v>131</v>
      </c>
      <c r="AR1036" s="55" t="s">
        <v>560</v>
      </c>
      <c r="AS1036" s="55" t="s">
        <v>5133</v>
      </c>
      <c r="AU1036" s="181" t="s">
        <v>7494</v>
      </c>
      <c r="AV1036" s="185" t="s">
        <v>176</v>
      </c>
      <c r="AX1036" s="185" t="s">
        <v>176</v>
      </c>
      <c r="AZ1036" s="55" t="s">
        <v>708</v>
      </c>
      <c r="BA1036" s="55" t="s">
        <v>708</v>
      </c>
      <c r="BB1036" s="55" t="s">
        <v>2081</v>
      </c>
      <c r="BC1036" s="55" t="s">
        <v>2081</v>
      </c>
      <c r="BD1036" s="55" t="s">
        <v>176</v>
      </c>
      <c r="BK1036" s="55" t="s">
        <v>5976</v>
      </c>
      <c r="BM1036" s="192" t="s">
        <v>160</v>
      </c>
      <c r="BQ1036" s="55" t="s">
        <v>141</v>
      </c>
      <c r="CB1036" s="66">
        <v>2410</v>
      </c>
      <c r="CC1036" s="66">
        <v>2830</v>
      </c>
      <c r="GP1036" s="292" t="s">
        <v>7494</v>
      </c>
      <c r="JU1036" s="55" t="s">
        <v>710</v>
      </c>
    </row>
    <row r="1037" spans="1:281" x14ac:dyDescent="0.25">
      <c r="A1037" s="55">
        <v>1036</v>
      </c>
      <c r="B1037" s="12" t="s">
        <v>7067</v>
      </c>
      <c r="C1037" s="155">
        <v>49</v>
      </c>
      <c r="D1037" s="55" t="s">
        <v>3901</v>
      </c>
      <c r="E1037" s="90" t="s">
        <v>703</v>
      </c>
      <c r="G1037" s="55" t="s">
        <v>704</v>
      </c>
      <c r="H1037" s="55">
        <v>2000</v>
      </c>
      <c r="I1037" s="55">
        <v>1998</v>
      </c>
      <c r="J1037" s="55" t="s">
        <v>705</v>
      </c>
      <c r="K1037" s="55" t="s">
        <v>714</v>
      </c>
      <c r="L1037" s="55" t="s">
        <v>2737</v>
      </c>
      <c r="M1037" s="90">
        <v>34.69</v>
      </c>
      <c r="N1037" s="90">
        <v>-86.88</v>
      </c>
      <c r="O1037" s="90">
        <v>181</v>
      </c>
      <c r="U1037" s="55">
        <v>4</v>
      </c>
      <c r="V1037" s="55" t="s">
        <v>1816</v>
      </c>
      <c r="Y1037" s="55" t="s">
        <v>1920</v>
      </c>
      <c r="Z1037" s="55" t="s">
        <v>1356</v>
      </c>
      <c r="AA1037" s="90" t="s">
        <v>1680</v>
      </c>
      <c r="AH1037" s="55" t="s">
        <v>6378</v>
      </c>
      <c r="AM1037" s="55" t="s">
        <v>1308</v>
      </c>
      <c r="AN1037" s="185" t="s">
        <v>131</v>
      </c>
      <c r="AO1037" s="185" t="s">
        <v>5150</v>
      </c>
      <c r="AQ1037" s="55" t="s">
        <v>131</v>
      </c>
      <c r="AR1037" s="55" t="s">
        <v>560</v>
      </c>
      <c r="AS1037" s="55" t="s">
        <v>5133</v>
      </c>
      <c r="AU1037" s="181" t="s">
        <v>7494</v>
      </c>
      <c r="AV1037" s="185" t="s">
        <v>176</v>
      </c>
      <c r="AX1037" s="185" t="s">
        <v>176</v>
      </c>
      <c r="AZ1037" s="55" t="s">
        <v>709</v>
      </c>
      <c r="BA1037" s="55" t="s">
        <v>709</v>
      </c>
      <c r="BB1037" s="55" t="s">
        <v>2081</v>
      </c>
      <c r="BC1037" s="55" t="s">
        <v>2081</v>
      </c>
      <c r="BD1037" s="55" t="s">
        <v>176</v>
      </c>
      <c r="BK1037" s="55" t="s">
        <v>5976</v>
      </c>
      <c r="BM1037" s="192" t="s">
        <v>160</v>
      </c>
      <c r="BQ1037" s="55" t="s">
        <v>141</v>
      </c>
      <c r="CB1037" s="66">
        <v>2370</v>
      </c>
      <c r="CC1037" s="66">
        <v>2780</v>
      </c>
      <c r="GP1037" s="292" t="s">
        <v>7494</v>
      </c>
      <c r="JU1037" s="55" t="s">
        <v>710</v>
      </c>
    </row>
    <row r="1038" spans="1:281" x14ac:dyDescent="0.25">
      <c r="A1038" s="55">
        <v>1037</v>
      </c>
      <c r="B1038" s="12" t="s">
        <v>7067</v>
      </c>
      <c r="C1038" s="155">
        <v>49</v>
      </c>
      <c r="D1038" s="55" t="s">
        <v>3902</v>
      </c>
      <c r="E1038" s="90" t="s">
        <v>703</v>
      </c>
      <c r="G1038" s="55" t="s">
        <v>704</v>
      </c>
      <c r="H1038" s="55">
        <v>2000</v>
      </c>
      <c r="I1038" s="55">
        <v>1998</v>
      </c>
      <c r="J1038" s="55" t="s">
        <v>705</v>
      </c>
      <c r="K1038" s="55" t="s">
        <v>714</v>
      </c>
      <c r="L1038" s="55" t="s">
        <v>2737</v>
      </c>
      <c r="M1038" s="90">
        <v>34.69</v>
      </c>
      <c r="N1038" s="90">
        <v>-86.88</v>
      </c>
      <c r="O1038" s="90">
        <v>181</v>
      </c>
      <c r="U1038" s="55">
        <v>4</v>
      </c>
      <c r="V1038" s="55" t="s">
        <v>1816</v>
      </c>
      <c r="Y1038" s="55" t="s">
        <v>1920</v>
      </c>
      <c r="Z1038" s="55" t="s">
        <v>1356</v>
      </c>
      <c r="AA1038" s="90" t="s">
        <v>1680</v>
      </c>
      <c r="AH1038" s="55" t="s">
        <v>6378</v>
      </c>
      <c r="AM1038" s="55" t="s">
        <v>1308</v>
      </c>
      <c r="AN1038" s="185" t="s">
        <v>131</v>
      </c>
      <c r="AO1038" s="185" t="s">
        <v>5150</v>
      </c>
      <c r="AQ1038" s="55" t="s">
        <v>131</v>
      </c>
      <c r="AR1038" s="55" t="s">
        <v>560</v>
      </c>
      <c r="AS1038" s="55" t="s">
        <v>5133</v>
      </c>
      <c r="AU1038" s="181" t="s">
        <v>7494</v>
      </c>
      <c r="AV1038" s="185" t="s">
        <v>176</v>
      </c>
      <c r="AX1038" s="185" t="s">
        <v>176</v>
      </c>
      <c r="AZ1038" s="55" t="s">
        <v>156</v>
      </c>
      <c r="BA1038" s="55" t="s">
        <v>156</v>
      </c>
      <c r="BB1038" s="55" t="s">
        <v>2081</v>
      </c>
      <c r="BC1038" s="55" t="s">
        <v>2081</v>
      </c>
      <c r="BD1038" s="55" t="s">
        <v>176</v>
      </c>
      <c r="BK1038" s="55" t="s">
        <v>5976</v>
      </c>
      <c r="BM1038" s="192" t="s">
        <v>160</v>
      </c>
      <c r="BQ1038" s="55" t="s">
        <v>141</v>
      </c>
      <c r="CB1038" s="66">
        <v>2620</v>
      </c>
      <c r="CC1038" s="66">
        <v>2830</v>
      </c>
      <c r="EU1038" s="65">
        <v>1.49</v>
      </c>
      <c r="EV1038" s="65">
        <v>1.55</v>
      </c>
      <c r="EY1038" s="65" t="s">
        <v>831</v>
      </c>
      <c r="GP1038" s="292" t="s">
        <v>7494</v>
      </c>
      <c r="JU1038" s="55" t="s">
        <v>710</v>
      </c>
    </row>
    <row r="1039" spans="1:281" x14ac:dyDescent="0.25">
      <c r="A1039" s="55">
        <v>1038</v>
      </c>
      <c r="B1039" s="12" t="s">
        <v>7067</v>
      </c>
      <c r="C1039" s="155">
        <v>49</v>
      </c>
      <c r="D1039" s="55" t="s">
        <v>3903</v>
      </c>
      <c r="E1039" s="90" t="s">
        <v>703</v>
      </c>
      <c r="G1039" s="55" t="s">
        <v>704</v>
      </c>
      <c r="H1039" s="55">
        <v>2000</v>
      </c>
      <c r="I1039" s="55">
        <v>1998</v>
      </c>
      <c r="J1039" s="55" t="s">
        <v>705</v>
      </c>
      <c r="K1039" s="55" t="s">
        <v>714</v>
      </c>
      <c r="L1039" s="55" t="s">
        <v>2737</v>
      </c>
      <c r="M1039" s="90">
        <v>34.69</v>
      </c>
      <c r="N1039" s="90">
        <v>-86.88</v>
      </c>
      <c r="O1039" s="90">
        <v>181</v>
      </c>
      <c r="U1039" s="55">
        <v>4</v>
      </c>
      <c r="V1039" s="55" t="s">
        <v>1816</v>
      </c>
      <c r="Y1039" s="55" t="s">
        <v>1920</v>
      </c>
      <c r="Z1039" s="55" t="s">
        <v>1356</v>
      </c>
      <c r="AA1039" s="90" t="s">
        <v>1680</v>
      </c>
      <c r="AH1039" s="55" t="s">
        <v>6378</v>
      </c>
      <c r="AM1039" s="55" t="s">
        <v>1308</v>
      </c>
      <c r="AN1039" s="185" t="s">
        <v>131</v>
      </c>
      <c r="AO1039" s="185" t="s">
        <v>5150</v>
      </c>
      <c r="AQ1039" s="55" t="s">
        <v>131</v>
      </c>
      <c r="AR1039" s="55" t="s">
        <v>560</v>
      </c>
      <c r="AS1039" s="55" t="s">
        <v>5133</v>
      </c>
      <c r="AU1039" s="181" t="s">
        <v>7494</v>
      </c>
      <c r="AV1039" s="185" t="s">
        <v>176</v>
      </c>
      <c r="AX1039" s="185" t="s">
        <v>176</v>
      </c>
      <c r="AZ1039" s="55" t="s">
        <v>229</v>
      </c>
      <c r="BA1039" s="55" t="s">
        <v>156</v>
      </c>
      <c r="BB1039" s="55" t="s">
        <v>2081</v>
      </c>
      <c r="BC1039" s="55" t="s">
        <v>2082</v>
      </c>
      <c r="BD1039" s="55" t="s">
        <v>479</v>
      </c>
      <c r="BK1039" s="55" t="s">
        <v>6269</v>
      </c>
      <c r="BM1039" s="192" t="s">
        <v>160</v>
      </c>
      <c r="BQ1039" s="55" t="s">
        <v>141</v>
      </c>
      <c r="CB1039" s="66">
        <v>2480</v>
      </c>
      <c r="CC1039" s="66">
        <v>2830</v>
      </c>
      <c r="EU1039" s="65">
        <v>1.01</v>
      </c>
      <c r="EV1039" s="65">
        <v>1.55</v>
      </c>
      <c r="EY1039" s="65" t="s">
        <v>831</v>
      </c>
      <c r="GP1039" s="292" t="s">
        <v>7494</v>
      </c>
      <c r="JU1039" s="55" t="s">
        <v>710</v>
      </c>
    </row>
    <row r="1040" spans="1:281" x14ac:dyDescent="0.25">
      <c r="A1040" s="55">
        <v>1039</v>
      </c>
      <c r="B1040" s="12" t="s">
        <v>7067</v>
      </c>
      <c r="C1040" s="155">
        <v>50</v>
      </c>
      <c r="D1040" s="55" t="s">
        <v>3904</v>
      </c>
      <c r="E1040" s="90" t="s">
        <v>711</v>
      </c>
      <c r="G1040" s="55" t="s">
        <v>712</v>
      </c>
      <c r="H1040" s="55">
        <v>2000</v>
      </c>
      <c r="I1040" s="55">
        <v>1995</v>
      </c>
      <c r="J1040" s="55" t="s">
        <v>713</v>
      </c>
      <c r="L1040" s="55" t="s">
        <v>2737</v>
      </c>
      <c r="M1040" s="90">
        <v>41.84</v>
      </c>
      <c r="N1040" s="90">
        <v>-85.68</v>
      </c>
      <c r="O1040" s="90">
        <v>244</v>
      </c>
      <c r="U1040" s="55">
        <v>1</v>
      </c>
      <c r="V1040" s="55" t="s">
        <v>1688</v>
      </c>
      <c r="Y1040" s="55" t="s">
        <v>1920</v>
      </c>
      <c r="Z1040" s="55" t="s">
        <v>1367</v>
      </c>
      <c r="AA1040" s="90" t="s">
        <v>1687</v>
      </c>
      <c r="AH1040" s="55" t="s">
        <v>238</v>
      </c>
      <c r="AM1040" s="55" t="s">
        <v>1309</v>
      </c>
      <c r="AN1040" s="185" t="s">
        <v>131</v>
      </c>
      <c r="AO1040" s="185" t="s">
        <v>5150</v>
      </c>
      <c r="AQ1040" s="55" t="s">
        <v>131</v>
      </c>
      <c r="AR1040" s="55" t="s">
        <v>132</v>
      </c>
      <c r="AS1040" s="55" t="s">
        <v>132</v>
      </c>
      <c r="AU1040" s="181" t="s">
        <v>7494</v>
      </c>
      <c r="AV1040" s="185" t="s">
        <v>176</v>
      </c>
      <c r="AX1040" s="185" t="s">
        <v>176</v>
      </c>
      <c r="BE1040" s="226" t="s">
        <v>715</v>
      </c>
      <c r="BF1040" s="191" t="s">
        <v>479</v>
      </c>
      <c r="BG1040" s="55" t="s">
        <v>479</v>
      </c>
      <c r="BH1040" s="226" t="s">
        <v>715</v>
      </c>
      <c r="BI1040" s="55" t="s">
        <v>479</v>
      </c>
      <c r="BJ1040" s="55" t="s">
        <v>176</v>
      </c>
      <c r="BK1040" s="55" t="s">
        <v>5976</v>
      </c>
      <c r="BM1040" s="192" t="s">
        <v>160</v>
      </c>
      <c r="BV1040" s="55" t="s">
        <v>717</v>
      </c>
      <c r="CB1040" s="66">
        <v>1308</v>
      </c>
      <c r="CC1040" s="66">
        <v>1188</v>
      </c>
      <c r="DB1040" s="65">
        <v>3.66</v>
      </c>
      <c r="DC1040" s="65">
        <v>1.62</v>
      </c>
      <c r="DF1040" s="65" t="s">
        <v>719</v>
      </c>
      <c r="FT1040" s="65">
        <v>92.38</v>
      </c>
      <c r="FU1040" s="65">
        <v>66.83</v>
      </c>
      <c r="FX1040" s="65" t="s">
        <v>723</v>
      </c>
      <c r="GP1040" s="292" t="s">
        <v>7494</v>
      </c>
      <c r="JU1040" s="55" t="s">
        <v>718</v>
      </c>
    </row>
    <row r="1041" spans="1:281" x14ac:dyDescent="0.25">
      <c r="A1041" s="55">
        <v>1040</v>
      </c>
      <c r="B1041" s="12" t="s">
        <v>7067</v>
      </c>
      <c r="C1041" s="155">
        <v>50</v>
      </c>
      <c r="D1041" s="55" t="s">
        <v>3904</v>
      </c>
      <c r="E1041" s="90" t="s">
        <v>711</v>
      </c>
      <c r="G1041" s="55" t="s">
        <v>712</v>
      </c>
      <c r="H1041" s="55">
        <v>2000</v>
      </c>
      <c r="I1041" s="55">
        <v>1995</v>
      </c>
      <c r="J1041" s="55" t="s">
        <v>713</v>
      </c>
      <c r="L1041" s="55" t="s">
        <v>2737</v>
      </c>
      <c r="M1041" s="90">
        <v>41.84</v>
      </c>
      <c r="N1041" s="90">
        <v>-85.68</v>
      </c>
      <c r="O1041" s="90">
        <v>244</v>
      </c>
      <c r="U1041" s="55">
        <v>1</v>
      </c>
      <c r="V1041" s="55" t="s">
        <v>1688</v>
      </c>
      <c r="Y1041" s="55" t="s">
        <v>1920</v>
      </c>
      <c r="Z1041" s="55" t="s">
        <v>1367</v>
      </c>
      <c r="AA1041" s="90" t="s">
        <v>1687</v>
      </c>
      <c r="AH1041" s="55" t="s">
        <v>238</v>
      </c>
      <c r="AM1041" s="55" t="s">
        <v>1309</v>
      </c>
      <c r="AN1041" s="185" t="s">
        <v>131</v>
      </c>
      <c r="AO1041" s="185" t="s">
        <v>5150</v>
      </c>
      <c r="AQ1041" s="55" t="s">
        <v>131</v>
      </c>
      <c r="AR1041" s="55" t="s">
        <v>132</v>
      </c>
      <c r="AS1041" s="55" t="s">
        <v>132</v>
      </c>
      <c r="AU1041" s="181" t="s">
        <v>7494</v>
      </c>
      <c r="AV1041" s="185" t="s">
        <v>176</v>
      </c>
      <c r="AX1041" s="185" t="s">
        <v>176</v>
      </c>
      <c r="BE1041" s="226" t="s">
        <v>716</v>
      </c>
      <c r="BF1041" s="191" t="s">
        <v>479</v>
      </c>
      <c r="BG1041" s="55" t="s">
        <v>479</v>
      </c>
      <c r="BH1041" s="226" t="s">
        <v>716</v>
      </c>
      <c r="BI1041" s="55" t="s">
        <v>479</v>
      </c>
      <c r="BJ1041" s="55" t="s">
        <v>176</v>
      </c>
      <c r="BK1041" s="55" t="s">
        <v>5976</v>
      </c>
      <c r="BM1041" s="192" t="s">
        <v>160</v>
      </c>
      <c r="BV1041" s="55" t="s">
        <v>717</v>
      </c>
      <c r="CB1041" s="66">
        <v>1167</v>
      </c>
      <c r="CC1041" s="66">
        <v>1156</v>
      </c>
      <c r="DB1041" s="65">
        <v>2.5299999999999998</v>
      </c>
      <c r="DC1041" s="65">
        <v>2.78</v>
      </c>
      <c r="DF1041" s="65" t="s">
        <v>719</v>
      </c>
      <c r="GP1041" s="292" t="s">
        <v>7494</v>
      </c>
      <c r="JU1041" s="55" t="s">
        <v>718</v>
      </c>
    </row>
    <row r="1042" spans="1:281" x14ac:dyDescent="0.25">
      <c r="A1042" s="55">
        <v>1041</v>
      </c>
      <c r="B1042" s="12" t="s">
        <v>7067</v>
      </c>
      <c r="C1042" s="155">
        <v>50</v>
      </c>
      <c r="D1042" s="55" t="s">
        <v>3904</v>
      </c>
      <c r="E1042" s="90" t="s">
        <v>711</v>
      </c>
      <c r="G1042" s="55" t="s">
        <v>712</v>
      </c>
      <c r="H1042" s="55">
        <v>2000</v>
      </c>
      <c r="I1042" s="55">
        <v>1996</v>
      </c>
      <c r="J1042" s="55" t="s">
        <v>713</v>
      </c>
      <c r="L1042" s="55" t="s">
        <v>2737</v>
      </c>
      <c r="M1042" s="90">
        <v>41.84</v>
      </c>
      <c r="N1042" s="90">
        <v>-85.68</v>
      </c>
      <c r="O1042" s="90">
        <v>244</v>
      </c>
      <c r="U1042" s="55">
        <v>2</v>
      </c>
      <c r="V1042" s="55" t="s">
        <v>1688</v>
      </c>
      <c r="Y1042" s="55" t="s">
        <v>1920</v>
      </c>
      <c r="Z1042" s="55" t="s">
        <v>1367</v>
      </c>
      <c r="AA1042" s="90" t="s">
        <v>1687</v>
      </c>
      <c r="AH1042" s="55" t="s">
        <v>238</v>
      </c>
      <c r="AM1042" s="55" t="s">
        <v>1309</v>
      </c>
      <c r="AN1042" s="185" t="s">
        <v>131</v>
      </c>
      <c r="AO1042" s="185" t="s">
        <v>5150</v>
      </c>
      <c r="AQ1042" s="55" t="s">
        <v>131</v>
      </c>
      <c r="AR1042" s="55" t="s">
        <v>132</v>
      </c>
      <c r="AS1042" s="55" t="s">
        <v>132</v>
      </c>
      <c r="AU1042" s="181" t="s">
        <v>7494</v>
      </c>
      <c r="AV1042" s="185" t="s">
        <v>176</v>
      </c>
      <c r="AX1042" s="185" t="s">
        <v>176</v>
      </c>
      <c r="BE1042" s="226" t="s">
        <v>715</v>
      </c>
      <c r="BF1042" s="191" t="s">
        <v>479</v>
      </c>
      <c r="BG1042" s="55" t="s">
        <v>479</v>
      </c>
      <c r="BH1042" s="226" t="s">
        <v>715</v>
      </c>
      <c r="BI1042" s="55" t="s">
        <v>479</v>
      </c>
      <c r="BJ1042" s="55" t="s">
        <v>176</v>
      </c>
      <c r="BK1042" s="55" t="s">
        <v>5976</v>
      </c>
      <c r="BM1042" s="192" t="s">
        <v>160</v>
      </c>
      <c r="BS1042" s="55">
        <v>754</v>
      </c>
      <c r="BT1042" s="55">
        <f>BS1042/20</f>
        <v>37.700000000000003</v>
      </c>
      <c r="BV1042" s="55" t="s">
        <v>717</v>
      </c>
      <c r="CB1042" s="66">
        <v>5047</v>
      </c>
      <c r="CC1042" s="66">
        <v>5328</v>
      </c>
      <c r="DB1042" s="65">
        <v>2.71</v>
      </c>
      <c r="DC1042" s="65">
        <v>3.21</v>
      </c>
      <c r="DF1042" s="65" t="s">
        <v>719</v>
      </c>
      <c r="FT1042" s="65">
        <v>55.75</v>
      </c>
      <c r="FU1042" s="65">
        <v>15.9</v>
      </c>
      <c r="FX1042" s="65" t="s">
        <v>723</v>
      </c>
      <c r="GP1042" s="292" t="s">
        <v>7494</v>
      </c>
      <c r="JU1042" s="55" t="s">
        <v>718</v>
      </c>
    </row>
    <row r="1043" spans="1:281" x14ac:dyDescent="0.25">
      <c r="A1043" s="55">
        <v>1042</v>
      </c>
      <c r="B1043" s="12" t="s">
        <v>7067</v>
      </c>
      <c r="C1043" s="155">
        <v>50</v>
      </c>
      <c r="D1043" s="55" t="s">
        <v>3904</v>
      </c>
      <c r="E1043" s="90" t="s">
        <v>711</v>
      </c>
      <c r="G1043" s="55" t="s">
        <v>712</v>
      </c>
      <c r="H1043" s="55">
        <v>2000</v>
      </c>
      <c r="I1043" s="55">
        <v>1996</v>
      </c>
      <c r="J1043" s="55" t="s">
        <v>713</v>
      </c>
      <c r="L1043" s="55" t="s">
        <v>2737</v>
      </c>
      <c r="M1043" s="90">
        <v>41.84</v>
      </c>
      <c r="N1043" s="90">
        <v>-85.68</v>
      </c>
      <c r="O1043" s="90">
        <v>244</v>
      </c>
      <c r="U1043" s="55">
        <v>2</v>
      </c>
      <c r="V1043" s="55" t="s">
        <v>1688</v>
      </c>
      <c r="Y1043" s="55" t="s">
        <v>1920</v>
      </c>
      <c r="Z1043" s="55" t="s">
        <v>1367</v>
      </c>
      <c r="AA1043" s="90" t="s">
        <v>1687</v>
      </c>
      <c r="AH1043" s="55" t="s">
        <v>238</v>
      </c>
      <c r="AM1043" s="55" t="s">
        <v>1309</v>
      </c>
      <c r="AN1043" s="185" t="s">
        <v>131</v>
      </c>
      <c r="AO1043" s="185" t="s">
        <v>5150</v>
      </c>
      <c r="AQ1043" s="55" t="s">
        <v>131</v>
      </c>
      <c r="AR1043" s="55" t="s">
        <v>132</v>
      </c>
      <c r="AS1043" s="55" t="s">
        <v>132</v>
      </c>
      <c r="AU1043" s="181" t="s">
        <v>7494</v>
      </c>
      <c r="AV1043" s="185" t="s">
        <v>176</v>
      </c>
      <c r="AX1043" s="185" t="s">
        <v>176</v>
      </c>
      <c r="BE1043" s="226" t="s">
        <v>716</v>
      </c>
      <c r="BF1043" s="191" t="s">
        <v>479</v>
      </c>
      <c r="BG1043" s="55" t="s">
        <v>479</v>
      </c>
      <c r="BH1043" s="226" t="s">
        <v>716</v>
      </c>
      <c r="BI1043" s="55" t="s">
        <v>479</v>
      </c>
      <c r="BJ1043" s="55" t="s">
        <v>176</v>
      </c>
      <c r="BK1043" s="55" t="s">
        <v>5976</v>
      </c>
      <c r="BM1043" s="192" t="s">
        <v>160</v>
      </c>
      <c r="BS1043" s="55">
        <v>1763</v>
      </c>
      <c r="BT1043" s="55">
        <f>BS1043/45.4</f>
        <v>38.832599118942731</v>
      </c>
      <c r="BV1043" s="55" t="s">
        <v>717</v>
      </c>
      <c r="CB1043" s="66">
        <v>6211</v>
      </c>
      <c r="CC1043" s="66">
        <v>5632</v>
      </c>
      <c r="DB1043" s="65">
        <v>4.6100000000000003</v>
      </c>
      <c r="DC1043" s="65">
        <v>3.06</v>
      </c>
      <c r="DF1043" s="65" t="s">
        <v>719</v>
      </c>
      <c r="GP1043" s="292" t="s">
        <v>7494</v>
      </c>
      <c r="JU1043" s="55" t="s">
        <v>718</v>
      </c>
    </row>
    <row r="1044" spans="1:281" x14ac:dyDescent="0.25">
      <c r="A1044" s="55">
        <v>1043</v>
      </c>
      <c r="B1044" s="12" t="s">
        <v>7067</v>
      </c>
      <c r="C1044" s="155">
        <v>50</v>
      </c>
      <c r="D1044" s="55" t="s">
        <v>3904</v>
      </c>
      <c r="E1044" s="90" t="s">
        <v>711</v>
      </c>
      <c r="G1044" s="55" t="s">
        <v>712</v>
      </c>
      <c r="H1044" s="55">
        <v>2000</v>
      </c>
      <c r="I1044" s="55">
        <v>1997</v>
      </c>
      <c r="J1044" s="55" t="s">
        <v>713</v>
      </c>
      <c r="L1044" s="55" t="s">
        <v>2737</v>
      </c>
      <c r="M1044" s="90">
        <v>41.84</v>
      </c>
      <c r="N1044" s="90">
        <v>-85.68</v>
      </c>
      <c r="O1044" s="90">
        <v>244</v>
      </c>
      <c r="U1044" s="55">
        <v>3</v>
      </c>
      <c r="V1044" s="55" t="s">
        <v>1688</v>
      </c>
      <c r="Y1044" s="55" t="s">
        <v>1920</v>
      </c>
      <c r="Z1044" s="55" t="s">
        <v>1367</v>
      </c>
      <c r="AA1044" s="90" t="s">
        <v>1687</v>
      </c>
      <c r="AH1044" s="55" t="s">
        <v>238</v>
      </c>
      <c r="AM1044" s="55" t="s">
        <v>1309</v>
      </c>
      <c r="AN1044" s="185" t="s">
        <v>131</v>
      </c>
      <c r="AO1044" s="185" t="s">
        <v>5150</v>
      </c>
      <c r="AQ1044" s="55" t="s">
        <v>131</v>
      </c>
      <c r="AR1044" s="55" t="s">
        <v>132</v>
      </c>
      <c r="AS1044" s="55" t="s">
        <v>132</v>
      </c>
      <c r="AU1044" s="181" t="s">
        <v>7494</v>
      </c>
      <c r="AV1044" s="185" t="s">
        <v>176</v>
      </c>
      <c r="AX1044" s="185" t="s">
        <v>176</v>
      </c>
      <c r="BE1044" s="226" t="s">
        <v>715</v>
      </c>
      <c r="BF1044" s="191" t="s">
        <v>479</v>
      </c>
      <c r="BG1044" s="55" t="s">
        <v>479</v>
      </c>
      <c r="BH1044" s="226" t="s">
        <v>715</v>
      </c>
      <c r="BI1044" s="55" t="s">
        <v>479</v>
      </c>
      <c r="BJ1044" s="55" t="s">
        <v>176</v>
      </c>
      <c r="BK1044" s="55" t="s">
        <v>5976</v>
      </c>
      <c r="BM1044" s="192" t="s">
        <v>160</v>
      </c>
      <c r="BS1044" s="55">
        <v>1173</v>
      </c>
      <c r="BT1044" s="55">
        <f>BS1044/40</f>
        <v>29.324999999999999</v>
      </c>
      <c r="BV1044" s="55" t="s">
        <v>717</v>
      </c>
      <c r="CB1044" s="66">
        <v>2928</v>
      </c>
      <c r="CC1044" s="66">
        <v>3002</v>
      </c>
      <c r="DB1044" s="65">
        <v>2.93</v>
      </c>
      <c r="DC1044" s="65">
        <v>3.59</v>
      </c>
      <c r="DF1044" s="65" t="s">
        <v>719</v>
      </c>
      <c r="FT1044" s="65">
        <v>80.08</v>
      </c>
      <c r="FU1044" s="65">
        <v>25.81</v>
      </c>
      <c r="FX1044" s="65" t="s">
        <v>723</v>
      </c>
      <c r="GP1044" s="292" t="s">
        <v>7494</v>
      </c>
      <c r="JU1044" s="55" t="s">
        <v>718</v>
      </c>
    </row>
    <row r="1045" spans="1:281" x14ac:dyDescent="0.25">
      <c r="A1045" s="55">
        <v>1044</v>
      </c>
      <c r="B1045" s="12" t="s">
        <v>7067</v>
      </c>
      <c r="C1045" s="155">
        <v>50</v>
      </c>
      <c r="D1045" s="55" t="s">
        <v>3904</v>
      </c>
      <c r="E1045" s="90" t="s">
        <v>711</v>
      </c>
      <c r="G1045" s="55" t="s">
        <v>712</v>
      </c>
      <c r="H1045" s="55">
        <v>2000</v>
      </c>
      <c r="I1045" s="55">
        <v>1997</v>
      </c>
      <c r="J1045" s="55" t="s">
        <v>713</v>
      </c>
      <c r="L1045" s="55" t="s">
        <v>2737</v>
      </c>
      <c r="M1045" s="90">
        <v>41.84</v>
      </c>
      <c r="N1045" s="90">
        <v>-85.68</v>
      </c>
      <c r="O1045" s="90">
        <v>244</v>
      </c>
      <c r="U1045" s="55">
        <v>3</v>
      </c>
      <c r="V1045" s="55" t="s">
        <v>1688</v>
      </c>
      <c r="Y1045" s="55" t="s">
        <v>1920</v>
      </c>
      <c r="Z1045" s="55" t="s">
        <v>1367</v>
      </c>
      <c r="AA1045" s="90" t="s">
        <v>1687</v>
      </c>
      <c r="AH1045" s="55" t="s">
        <v>238</v>
      </c>
      <c r="AM1045" s="55" t="s">
        <v>1309</v>
      </c>
      <c r="AN1045" s="185" t="s">
        <v>131</v>
      </c>
      <c r="AO1045" s="185" t="s">
        <v>5150</v>
      </c>
      <c r="AQ1045" s="55" t="s">
        <v>131</v>
      </c>
      <c r="AR1045" s="55" t="s">
        <v>132</v>
      </c>
      <c r="AS1045" s="55" t="s">
        <v>132</v>
      </c>
      <c r="AU1045" s="181" t="s">
        <v>7494</v>
      </c>
      <c r="AV1045" s="185" t="s">
        <v>176</v>
      </c>
      <c r="AX1045" s="185" t="s">
        <v>176</v>
      </c>
      <c r="BE1045" s="226" t="s">
        <v>716</v>
      </c>
      <c r="BF1045" s="191" t="s">
        <v>479</v>
      </c>
      <c r="BG1045" s="55" t="s">
        <v>479</v>
      </c>
      <c r="BH1045" s="226" t="s">
        <v>716</v>
      </c>
      <c r="BI1045" s="55" t="s">
        <v>479</v>
      </c>
      <c r="BJ1045" s="55" t="s">
        <v>176</v>
      </c>
      <c r="BK1045" s="55" t="s">
        <v>5976</v>
      </c>
      <c r="BM1045" s="192" t="s">
        <v>160</v>
      </c>
      <c r="BS1045" s="55">
        <v>2010</v>
      </c>
      <c r="BT1045" s="55">
        <f>BS1045/56</f>
        <v>35.892857142857146</v>
      </c>
      <c r="BV1045" s="55" t="s">
        <v>717</v>
      </c>
      <c r="CB1045" s="66">
        <v>3407</v>
      </c>
      <c r="CC1045" s="66">
        <v>3622</v>
      </c>
      <c r="DB1045" s="65">
        <v>3.27</v>
      </c>
      <c r="DC1045" s="65">
        <v>2.96</v>
      </c>
      <c r="DF1045" s="65" t="s">
        <v>719</v>
      </c>
      <c r="GP1045" s="292" t="s">
        <v>7494</v>
      </c>
      <c r="JU1045" s="55" t="s">
        <v>718</v>
      </c>
    </row>
    <row r="1046" spans="1:281" x14ac:dyDescent="0.25">
      <c r="A1046" s="55">
        <v>1045</v>
      </c>
      <c r="B1046" s="12" t="s">
        <v>7067</v>
      </c>
      <c r="C1046" s="155">
        <v>50</v>
      </c>
      <c r="D1046" s="55" t="s">
        <v>3905</v>
      </c>
      <c r="E1046" s="90" t="s">
        <v>711</v>
      </c>
      <c r="G1046" s="55" t="s">
        <v>712</v>
      </c>
      <c r="H1046" s="55">
        <v>2000</v>
      </c>
      <c r="I1046" s="55">
        <v>1995</v>
      </c>
      <c r="J1046" s="55" t="s">
        <v>713</v>
      </c>
      <c r="L1046" s="55" t="s">
        <v>2737</v>
      </c>
      <c r="M1046" s="90">
        <v>41.84</v>
      </c>
      <c r="N1046" s="90">
        <v>-85.68</v>
      </c>
      <c r="O1046" s="90">
        <v>244</v>
      </c>
      <c r="U1046" s="55">
        <v>1</v>
      </c>
      <c r="V1046" s="55" t="s">
        <v>1688</v>
      </c>
      <c r="Y1046" s="55" t="s">
        <v>1920</v>
      </c>
      <c r="Z1046" s="55" t="s">
        <v>1372</v>
      </c>
      <c r="AA1046" s="90" t="s">
        <v>1687</v>
      </c>
      <c r="AH1046" s="55" t="s">
        <v>238</v>
      </c>
      <c r="AM1046" s="55" t="s">
        <v>1309</v>
      </c>
      <c r="AN1046" s="185" t="s">
        <v>131</v>
      </c>
      <c r="AO1046" s="185" t="s">
        <v>5150</v>
      </c>
      <c r="AQ1046" s="55" t="s">
        <v>131</v>
      </c>
      <c r="AR1046" s="55" t="s">
        <v>132</v>
      </c>
      <c r="AS1046" s="55" t="s">
        <v>132</v>
      </c>
      <c r="AU1046" s="181" t="s">
        <v>7494</v>
      </c>
      <c r="AV1046" s="185" t="s">
        <v>176</v>
      </c>
      <c r="AX1046" s="185" t="s">
        <v>176</v>
      </c>
      <c r="BE1046" s="226" t="s">
        <v>715</v>
      </c>
      <c r="BF1046" s="191" t="s">
        <v>479</v>
      </c>
      <c r="BG1046" s="55" t="s">
        <v>479</v>
      </c>
      <c r="BH1046" s="226" t="s">
        <v>715</v>
      </c>
      <c r="BI1046" s="55" t="s">
        <v>479</v>
      </c>
      <c r="BJ1046" s="55" t="s">
        <v>176</v>
      </c>
      <c r="BK1046" s="55" t="s">
        <v>5976</v>
      </c>
      <c r="BM1046" s="192" t="s">
        <v>160</v>
      </c>
      <c r="BV1046" s="55" t="s">
        <v>720</v>
      </c>
      <c r="DB1046" s="65">
        <v>4.5</v>
      </c>
      <c r="DC1046" s="65">
        <v>2.27</v>
      </c>
      <c r="DF1046" s="65" t="s">
        <v>719</v>
      </c>
      <c r="GP1046" s="292" t="s">
        <v>7494</v>
      </c>
      <c r="JU1046" s="55" t="s">
        <v>718</v>
      </c>
    </row>
    <row r="1047" spans="1:281" x14ac:dyDescent="0.25">
      <c r="A1047" s="55">
        <v>1046</v>
      </c>
      <c r="B1047" s="12" t="s">
        <v>7067</v>
      </c>
      <c r="C1047" s="155">
        <v>50</v>
      </c>
      <c r="D1047" s="55" t="s">
        <v>3905</v>
      </c>
      <c r="E1047" s="90" t="s">
        <v>711</v>
      </c>
      <c r="G1047" s="55" t="s">
        <v>712</v>
      </c>
      <c r="H1047" s="55">
        <v>2000</v>
      </c>
      <c r="I1047" s="55">
        <v>1995</v>
      </c>
      <c r="J1047" s="55" t="s">
        <v>713</v>
      </c>
      <c r="L1047" s="55" t="s">
        <v>2737</v>
      </c>
      <c r="M1047" s="90">
        <v>41.84</v>
      </c>
      <c r="N1047" s="90">
        <v>-85.68</v>
      </c>
      <c r="O1047" s="90">
        <v>244</v>
      </c>
      <c r="U1047" s="55">
        <v>1</v>
      </c>
      <c r="V1047" s="55" t="s">
        <v>1688</v>
      </c>
      <c r="Y1047" s="55" t="s">
        <v>1920</v>
      </c>
      <c r="Z1047" s="55" t="s">
        <v>1372</v>
      </c>
      <c r="AA1047" s="90" t="s">
        <v>1687</v>
      </c>
      <c r="AH1047" s="55" t="s">
        <v>238</v>
      </c>
      <c r="AM1047" s="55" t="s">
        <v>1309</v>
      </c>
      <c r="AN1047" s="185" t="s">
        <v>131</v>
      </c>
      <c r="AO1047" s="185" t="s">
        <v>5150</v>
      </c>
      <c r="AQ1047" s="55" t="s">
        <v>131</v>
      </c>
      <c r="AR1047" s="55" t="s">
        <v>132</v>
      </c>
      <c r="AS1047" s="55" t="s">
        <v>132</v>
      </c>
      <c r="AU1047" s="181" t="s">
        <v>7494</v>
      </c>
      <c r="AV1047" s="185" t="s">
        <v>176</v>
      </c>
      <c r="AX1047" s="185" t="s">
        <v>176</v>
      </c>
      <c r="BE1047" s="226" t="s">
        <v>716</v>
      </c>
      <c r="BF1047" s="191" t="s">
        <v>479</v>
      </c>
      <c r="BG1047" s="55" t="s">
        <v>479</v>
      </c>
      <c r="BH1047" s="226" t="s">
        <v>716</v>
      </c>
      <c r="BI1047" s="55" t="s">
        <v>479</v>
      </c>
      <c r="BJ1047" s="55" t="s">
        <v>176</v>
      </c>
      <c r="BK1047" s="55" t="s">
        <v>5976</v>
      </c>
      <c r="BM1047" s="192" t="s">
        <v>160</v>
      </c>
      <c r="BV1047" s="55" t="s">
        <v>720</v>
      </c>
      <c r="DB1047" s="65">
        <v>8.07</v>
      </c>
      <c r="DC1047" s="65">
        <v>7</v>
      </c>
      <c r="DF1047" s="65" t="s">
        <v>719</v>
      </c>
      <c r="GP1047" s="292" t="s">
        <v>7494</v>
      </c>
      <c r="JU1047" s="55" t="s">
        <v>718</v>
      </c>
    </row>
    <row r="1048" spans="1:281" x14ac:dyDescent="0.25">
      <c r="A1048" s="55">
        <v>1047</v>
      </c>
      <c r="B1048" s="12" t="s">
        <v>7067</v>
      </c>
      <c r="C1048" s="155">
        <v>50</v>
      </c>
      <c r="D1048" s="55" t="s">
        <v>3905</v>
      </c>
      <c r="E1048" s="90" t="s">
        <v>711</v>
      </c>
      <c r="G1048" s="55" t="s">
        <v>712</v>
      </c>
      <c r="H1048" s="55">
        <v>2000</v>
      </c>
      <c r="I1048" s="55">
        <v>1996</v>
      </c>
      <c r="J1048" s="55" t="s">
        <v>713</v>
      </c>
      <c r="L1048" s="55" t="s">
        <v>2737</v>
      </c>
      <c r="M1048" s="90">
        <v>41.84</v>
      </c>
      <c r="N1048" s="90">
        <v>-85.68</v>
      </c>
      <c r="O1048" s="90">
        <v>244</v>
      </c>
      <c r="U1048" s="55">
        <v>2</v>
      </c>
      <c r="V1048" s="55" t="s">
        <v>1688</v>
      </c>
      <c r="Y1048" s="55" t="s">
        <v>1920</v>
      </c>
      <c r="Z1048" s="55" t="s">
        <v>1372</v>
      </c>
      <c r="AA1048" s="90" t="s">
        <v>1687</v>
      </c>
      <c r="AH1048" s="55" t="s">
        <v>238</v>
      </c>
      <c r="AM1048" s="55" t="s">
        <v>1309</v>
      </c>
      <c r="AN1048" s="185" t="s">
        <v>131</v>
      </c>
      <c r="AO1048" s="185" t="s">
        <v>5150</v>
      </c>
      <c r="AQ1048" s="55" t="s">
        <v>131</v>
      </c>
      <c r="AR1048" s="55" t="s">
        <v>132</v>
      </c>
      <c r="AS1048" s="55" t="s">
        <v>132</v>
      </c>
      <c r="AU1048" s="181" t="s">
        <v>7494</v>
      </c>
      <c r="AV1048" s="185" t="s">
        <v>176</v>
      </c>
      <c r="AX1048" s="185" t="s">
        <v>176</v>
      </c>
      <c r="BE1048" s="226" t="s">
        <v>715</v>
      </c>
      <c r="BF1048" s="191" t="s">
        <v>479</v>
      </c>
      <c r="BG1048" s="55" t="s">
        <v>479</v>
      </c>
      <c r="BH1048" s="226" t="s">
        <v>715</v>
      </c>
      <c r="BI1048" s="55" t="s">
        <v>479</v>
      </c>
      <c r="BJ1048" s="55" t="s">
        <v>176</v>
      </c>
      <c r="BK1048" s="55" t="s">
        <v>5976</v>
      </c>
      <c r="BM1048" s="192" t="s">
        <v>160</v>
      </c>
      <c r="BS1048" s="55">
        <v>754</v>
      </c>
      <c r="BT1048" s="55">
        <f>BS1048/20</f>
        <v>37.700000000000003</v>
      </c>
      <c r="BV1048" s="55" t="s">
        <v>720</v>
      </c>
      <c r="DB1048" s="65">
        <v>1.27</v>
      </c>
      <c r="DC1048" s="65">
        <v>2.19</v>
      </c>
      <c r="DF1048" s="65" t="s">
        <v>719</v>
      </c>
      <c r="GP1048" s="292" t="s">
        <v>7494</v>
      </c>
      <c r="JU1048" s="55" t="s">
        <v>718</v>
      </c>
    </row>
    <row r="1049" spans="1:281" x14ac:dyDescent="0.25">
      <c r="A1049" s="55">
        <v>1048</v>
      </c>
      <c r="B1049" s="12" t="s">
        <v>7067</v>
      </c>
      <c r="C1049" s="155">
        <v>50</v>
      </c>
      <c r="D1049" s="55" t="s">
        <v>3905</v>
      </c>
      <c r="E1049" s="90" t="s">
        <v>711</v>
      </c>
      <c r="G1049" s="55" t="s">
        <v>712</v>
      </c>
      <c r="H1049" s="55">
        <v>2000</v>
      </c>
      <c r="I1049" s="55">
        <v>1996</v>
      </c>
      <c r="J1049" s="55" t="s">
        <v>713</v>
      </c>
      <c r="L1049" s="55" t="s">
        <v>2737</v>
      </c>
      <c r="M1049" s="90">
        <v>41.84</v>
      </c>
      <c r="N1049" s="90">
        <v>-85.68</v>
      </c>
      <c r="O1049" s="90">
        <v>244</v>
      </c>
      <c r="U1049" s="55">
        <v>2</v>
      </c>
      <c r="V1049" s="55" t="s">
        <v>1688</v>
      </c>
      <c r="Y1049" s="55" t="s">
        <v>1920</v>
      </c>
      <c r="Z1049" s="55" t="s">
        <v>1372</v>
      </c>
      <c r="AA1049" s="90" t="s">
        <v>1687</v>
      </c>
      <c r="AH1049" s="55" t="s">
        <v>238</v>
      </c>
      <c r="AM1049" s="55" t="s">
        <v>1309</v>
      </c>
      <c r="AN1049" s="185" t="s">
        <v>131</v>
      </c>
      <c r="AO1049" s="185" t="s">
        <v>5150</v>
      </c>
      <c r="AQ1049" s="55" t="s">
        <v>131</v>
      </c>
      <c r="AR1049" s="55" t="s">
        <v>132</v>
      </c>
      <c r="AS1049" s="55" t="s">
        <v>132</v>
      </c>
      <c r="AU1049" s="181" t="s">
        <v>7494</v>
      </c>
      <c r="AV1049" s="185" t="s">
        <v>176</v>
      </c>
      <c r="AX1049" s="185" t="s">
        <v>176</v>
      </c>
      <c r="BE1049" s="226" t="s">
        <v>716</v>
      </c>
      <c r="BF1049" s="191" t="s">
        <v>479</v>
      </c>
      <c r="BG1049" s="55" t="s">
        <v>479</v>
      </c>
      <c r="BH1049" s="226" t="s">
        <v>716</v>
      </c>
      <c r="BI1049" s="55" t="s">
        <v>479</v>
      </c>
      <c r="BJ1049" s="55" t="s">
        <v>176</v>
      </c>
      <c r="BK1049" s="55" t="s">
        <v>5976</v>
      </c>
      <c r="BM1049" s="192" t="s">
        <v>160</v>
      </c>
      <c r="BS1049" s="55">
        <v>1763</v>
      </c>
      <c r="BT1049" s="55">
        <f>BS1049/45.4</f>
        <v>38.832599118942731</v>
      </c>
      <c r="BV1049" s="55" t="s">
        <v>720</v>
      </c>
      <c r="DB1049" s="65">
        <v>2.0299999999999998</v>
      </c>
      <c r="DC1049" s="65">
        <v>1.62</v>
      </c>
      <c r="DF1049" s="65" t="s">
        <v>719</v>
      </c>
      <c r="GP1049" s="292" t="s">
        <v>7494</v>
      </c>
      <c r="JU1049" s="55" t="s">
        <v>718</v>
      </c>
    </row>
    <row r="1050" spans="1:281" x14ac:dyDescent="0.25">
      <c r="A1050" s="55">
        <v>1049</v>
      </c>
      <c r="B1050" s="12" t="s">
        <v>7067</v>
      </c>
      <c r="C1050" s="155">
        <v>50</v>
      </c>
      <c r="D1050" s="55" t="s">
        <v>3905</v>
      </c>
      <c r="E1050" s="90" t="s">
        <v>711</v>
      </c>
      <c r="G1050" s="55" t="s">
        <v>712</v>
      </c>
      <c r="H1050" s="55">
        <v>2000</v>
      </c>
      <c r="I1050" s="55">
        <v>1997</v>
      </c>
      <c r="J1050" s="55" t="s">
        <v>713</v>
      </c>
      <c r="L1050" s="55" t="s">
        <v>2737</v>
      </c>
      <c r="M1050" s="90">
        <v>41.84</v>
      </c>
      <c r="N1050" s="90">
        <v>-85.68</v>
      </c>
      <c r="O1050" s="90">
        <v>244</v>
      </c>
      <c r="U1050" s="55">
        <v>3</v>
      </c>
      <c r="V1050" s="55" t="s">
        <v>1688</v>
      </c>
      <c r="Y1050" s="55" t="s">
        <v>1920</v>
      </c>
      <c r="Z1050" s="55" t="s">
        <v>1372</v>
      </c>
      <c r="AA1050" s="90" t="s">
        <v>1687</v>
      </c>
      <c r="AH1050" s="55" t="s">
        <v>238</v>
      </c>
      <c r="AM1050" s="55" t="s">
        <v>1309</v>
      </c>
      <c r="AN1050" s="185" t="s">
        <v>131</v>
      </c>
      <c r="AO1050" s="185" t="s">
        <v>5150</v>
      </c>
      <c r="AQ1050" s="55" t="s">
        <v>131</v>
      </c>
      <c r="AR1050" s="55" t="s">
        <v>132</v>
      </c>
      <c r="AS1050" s="55" t="s">
        <v>132</v>
      </c>
      <c r="AU1050" s="181" t="s">
        <v>7494</v>
      </c>
      <c r="AV1050" s="185" t="s">
        <v>176</v>
      </c>
      <c r="AX1050" s="185" t="s">
        <v>176</v>
      </c>
      <c r="BE1050" s="226" t="s">
        <v>715</v>
      </c>
      <c r="BF1050" s="191" t="s">
        <v>479</v>
      </c>
      <c r="BG1050" s="55" t="s">
        <v>479</v>
      </c>
      <c r="BH1050" s="226" t="s">
        <v>715</v>
      </c>
      <c r="BI1050" s="55" t="s">
        <v>479</v>
      </c>
      <c r="BJ1050" s="55" t="s">
        <v>176</v>
      </c>
      <c r="BK1050" s="55" t="s">
        <v>5976</v>
      </c>
      <c r="BM1050" s="192" t="s">
        <v>160</v>
      </c>
      <c r="BS1050" s="55">
        <v>1173</v>
      </c>
      <c r="BT1050" s="55">
        <f>BS1050/40</f>
        <v>29.324999999999999</v>
      </c>
      <c r="BV1050" s="55" t="s">
        <v>720</v>
      </c>
      <c r="DB1050" s="65">
        <v>2.06</v>
      </c>
      <c r="DC1050" s="65">
        <v>2.31</v>
      </c>
      <c r="DF1050" s="65" t="s">
        <v>719</v>
      </c>
      <c r="GP1050" s="292" t="s">
        <v>7494</v>
      </c>
      <c r="JU1050" s="55" t="s">
        <v>718</v>
      </c>
    </row>
    <row r="1051" spans="1:281" x14ac:dyDescent="0.25">
      <c r="A1051" s="55">
        <v>1050</v>
      </c>
      <c r="B1051" s="12" t="s">
        <v>7067</v>
      </c>
      <c r="C1051" s="155">
        <v>50</v>
      </c>
      <c r="D1051" s="55" t="s">
        <v>3905</v>
      </c>
      <c r="E1051" s="90" t="s">
        <v>711</v>
      </c>
      <c r="G1051" s="55" t="s">
        <v>712</v>
      </c>
      <c r="H1051" s="55">
        <v>2000</v>
      </c>
      <c r="I1051" s="55">
        <v>1997</v>
      </c>
      <c r="J1051" s="55" t="s">
        <v>713</v>
      </c>
      <c r="L1051" s="55" t="s">
        <v>2737</v>
      </c>
      <c r="M1051" s="90">
        <v>41.84</v>
      </c>
      <c r="N1051" s="90">
        <v>-85.68</v>
      </c>
      <c r="O1051" s="90">
        <v>244</v>
      </c>
      <c r="U1051" s="55">
        <v>3</v>
      </c>
      <c r="V1051" s="55" t="s">
        <v>1688</v>
      </c>
      <c r="Y1051" s="55" t="s">
        <v>1920</v>
      </c>
      <c r="Z1051" s="55" t="s">
        <v>1372</v>
      </c>
      <c r="AA1051" s="90" t="s">
        <v>1687</v>
      </c>
      <c r="AH1051" s="55" t="s">
        <v>238</v>
      </c>
      <c r="AM1051" s="55" t="s">
        <v>1309</v>
      </c>
      <c r="AN1051" s="185" t="s">
        <v>131</v>
      </c>
      <c r="AO1051" s="185" t="s">
        <v>5150</v>
      </c>
      <c r="AQ1051" s="55" t="s">
        <v>131</v>
      </c>
      <c r="AR1051" s="55" t="s">
        <v>132</v>
      </c>
      <c r="AS1051" s="55" t="s">
        <v>132</v>
      </c>
      <c r="AU1051" s="181" t="s">
        <v>7494</v>
      </c>
      <c r="AV1051" s="185" t="s">
        <v>176</v>
      </c>
      <c r="AX1051" s="185" t="s">
        <v>176</v>
      </c>
      <c r="BE1051" s="226" t="s">
        <v>716</v>
      </c>
      <c r="BF1051" s="191" t="s">
        <v>479</v>
      </c>
      <c r="BG1051" s="55" t="s">
        <v>479</v>
      </c>
      <c r="BH1051" s="226" t="s">
        <v>716</v>
      </c>
      <c r="BI1051" s="55" t="s">
        <v>479</v>
      </c>
      <c r="BJ1051" s="55" t="s">
        <v>176</v>
      </c>
      <c r="BK1051" s="55" t="s">
        <v>5976</v>
      </c>
      <c r="BM1051" s="192" t="s">
        <v>160</v>
      </c>
      <c r="BS1051" s="55">
        <v>2010</v>
      </c>
      <c r="BT1051" s="55">
        <f>BS1051/56</f>
        <v>35.892857142857146</v>
      </c>
      <c r="BV1051" s="55" t="s">
        <v>720</v>
      </c>
      <c r="DB1051" s="65">
        <v>2.3199999999999998</v>
      </c>
      <c r="DC1051" s="65">
        <v>2.82</v>
      </c>
      <c r="DF1051" s="65" t="s">
        <v>719</v>
      </c>
      <c r="GP1051" s="292" t="s">
        <v>7494</v>
      </c>
      <c r="JU1051" s="55" t="s">
        <v>718</v>
      </c>
    </row>
    <row r="1052" spans="1:281" x14ac:dyDescent="0.25">
      <c r="A1052" s="55">
        <v>1051</v>
      </c>
      <c r="B1052" s="12" t="s">
        <v>7067</v>
      </c>
      <c r="C1052" s="155">
        <v>50</v>
      </c>
      <c r="D1052" s="55" t="s">
        <v>3906</v>
      </c>
      <c r="E1052" s="90" t="s">
        <v>711</v>
      </c>
      <c r="G1052" s="55" t="s">
        <v>712</v>
      </c>
      <c r="H1052" s="55">
        <v>2000</v>
      </c>
      <c r="I1052" s="55">
        <v>1995</v>
      </c>
      <c r="J1052" s="55" t="s">
        <v>713</v>
      </c>
      <c r="L1052" s="55" t="s">
        <v>2737</v>
      </c>
      <c r="M1052" s="90">
        <v>41.84</v>
      </c>
      <c r="N1052" s="90">
        <v>-85.68</v>
      </c>
      <c r="O1052" s="90">
        <v>244</v>
      </c>
      <c r="U1052" s="55">
        <v>1</v>
      </c>
      <c r="V1052" s="55" t="s">
        <v>1688</v>
      </c>
      <c r="Y1052" s="55" t="s">
        <v>1920</v>
      </c>
      <c r="Z1052" s="55" t="s">
        <v>1373</v>
      </c>
      <c r="AA1052" s="90" t="s">
        <v>1687</v>
      </c>
      <c r="AH1052" s="55" t="s">
        <v>238</v>
      </c>
      <c r="AM1052" s="55" t="s">
        <v>1309</v>
      </c>
      <c r="AN1052" s="185" t="s">
        <v>131</v>
      </c>
      <c r="AO1052" s="185" t="s">
        <v>5150</v>
      </c>
      <c r="AQ1052" s="55" t="s">
        <v>131</v>
      </c>
      <c r="AR1052" s="55" t="s">
        <v>132</v>
      </c>
      <c r="AS1052" s="55" t="s">
        <v>132</v>
      </c>
      <c r="AU1052" s="181" t="s">
        <v>7494</v>
      </c>
      <c r="AV1052" s="185" t="s">
        <v>176</v>
      </c>
      <c r="AX1052" s="185" t="s">
        <v>176</v>
      </c>
      <c r="BE1052" s="226" t="s">
        <v>715</v>
      </c>
      <c r="BF1052" s="191" t="s">
        <v>479</v>
      </c>
      <c r="BG1052" s="55" t="s">
        <v>479</v>
      </c>
      <c r="BH1052" s="226" t="s">
        <v>715</v>
      </c>
      <c r="BI1052" s="55" t="s">
        <v>479</v>
      </c>
      <c r="BJ1052" s="55" t="s">
        <v>176</v>
      </c>
      <c r="BK1052" s="55" t="s">
        <v>5976</v>
      </c>
      <c r="BM1052" s="192" t="s">
        <v>160</v>
      </c>
      <c r="BV1052" s="55" t="s">
        <v>721</v>
      </c>
      <c r="DB1052" s="65">
        <v>4.45</v>
      </c>
      <c r="DC1052" s="65">
        <v>2.08</v>
      </c>
      <c r="DF1052" s="65" t="s">
        <v>719</v>
      </c>
      <c r="GP1052" s="292" t="s">
        <v>7494</v>
      </c>
      <c r="JU1052" s="55" t="s">
        <v>718</v>
      </c>
    </row>
    <row r="1053" spans="1:281" x14ac:dyDescent="0.25">
      <c r="A1053" s="55">
        <v>1052</v>
      </c>
      <c r="B1053" s="12" t="s">
        <v>7067</v>
      </c>
      <c r="C1053" s="155">
        <v>50</v>
      </c>
      <c r="D1053" s="55" t="s">
        <v>3906</v>
      </c>
      <c r="E1053" s="90" t="s">
        <v>711</v>
      </c>
      <c r="G1053" s="55" t="s">
        <v>712</v>
      </c>
      <c r="H1053" s="55">
        <v>2000</v>
      </c>
      <c r="I1053" s="55">
        <v>1995</v>
      </c>
      <c r="J1053" s="55" t="s">
        <v>713</v>
      </c>
      <c r="L1053" s="55" t="s">
        <v>2737</v>
      </c>
      <c r="M1053" s="90">
        <v>41.84</v>
      </c>
      <c r="N1053" s="90">
        <v>-85.68</v>
      </c>
      <c r="O1053" s="90">
        <v>244</v>
      </c>
      <c r="U1053" s="55">
        <v>1</v>
      </c>
      <c r="V1053" s="55" t="s">
        <v>1688</v>
      </c>
      <c r="Y1053" s="55" t="s">
        <v>1920</v>
      </c>
      <c r="Z1053" s="55" t="s">
        <v>1373</v>
      </c>
      <c r="AA1053" s="90" t="s">
        <v>1687</v>
      </c>
      <c r="AH1053" s="55" t="s">
        <v>238</v>
      </c>
      <c r="AM1053" s="55" t="s">
        <v>1309</v>
      </c>
      <c r="AN1053" s="185" t="s">
        <v>131</v>
      </c>
      <c r="AO1053" s="185" t="s">
        <v>5150</v>
      </c>
      <c r="AQ1053" s="55" t="s">
        <v>131</v>
      </c>
      <c r="AR1053" s="55" t="s">
        <v>132</v>
      </c>
      <c r="AS1053" s="55" t="s">
        <v>132</v>
      </c>
      <c r="AU1053" s="181" t="s">
        <v>7494</v>
      </c>
      <c r="AV1053" s="185" t="s">
        <v>176</v>
      </c>
      <c r="AX1053" s="185" t="s">
        <v>176</v>
      </c>
      <c r="BE1053" s="226" t="s">
        <v>716</v>
      </c>
      <c r="BF1053" s="191" t="s">
        <v>479</v>
      </c>
      <c r="BG1053" s="55" t="s">
        <v>479</v>
      </c>
      <c r="BH1053" s="226" t="s">
        <v>716</v>
      </c>
      <c r="BI1053" s="55" t="s">
        <v>479</v>
      </c>
      <c r="BJ1053" s="55" t="s">
        <v>176</v>
      </c>
      <c r="BK1053" s="55" t="s">
        <v>5976</v>
      </c>
      <c r="BM1053" s="192" t="s">
        <v>160</v>
      </c>
      <c r="BV1053" s="55" t="s">
        <v>721</v>
      </c>
      <c r="DB1053" s="65">
        <v>19.559999999999999</v>
      </c>
      <c r="DC1053" s="65">
        <v>13.24</v>
      </c>
      <c r="DF1053" s="65" t="s">
        <v>719</v>
      </c>
      <c r="GP1053" s="292" t="s">
        <v>7494</v>
      </c>
      <c r="JU1053" s="55" t="s">
        <v>718</v>
      </c>
    </row>
    <row r="1054" spans="1:281" x14ac:dyDescent="0.25">
      <c r="A1054" s="55">
        <v>1053</v>
      </c>
      <c r="B1054" s="12" t="s">
        <v>7067</v>
      </c>
      <c r="C1054" s="155">
        <v>50</v>
      </c>
      <c r="D1054" s="55" t="s">
        <v>3906</v>
      </c>
      <c r="E1054" s="90" t="s">
        <v>711</v>
      </c>
      <c r="G1054" s="55" t="s">
        <v>712</v>
      </c>
      <c r="H1054" s="55">
        <v>2000</v>
      </c>
      <c r="I1054" s="55">
        <v>1996</v>
      </c>
      <c r="J1054" s="55" t="s">
        <v>713</v>
      </c>
      <c r="L1054" s="55" t="s">
        <v>2737</v>
      </c>
      <c r="M1054" s="90">
        <v>41.84</v>
      </c>
      <c r="N1054" s="90">
        <v>-85.68</v>
      </c>
      <c r="O1054" s="90">
        <v>244</v>
      </c>
      <c r="U1054" s="55">
        <v>2</v>
      </c>
      <c r="V1054" s="55" t="s">
        <v>1688</v>
      </c>
      <c r="Y1054" s="55" t="s">
        <v>1920</v>
      </c>
      <c r="Z1054" s="55" t="s">
        <v>1373</v>
      </c>
      <c r="AA1054" s="90" t="s">
        <v>1687</v>
      </c>
      <c r="AH1054" s="55" t="s">
        <v>238</v>
      </c>
      <c r="AM1054" s="55" t="s">
        <v>1309</v>
      </c>
      <c r="AN1054" s="185" t="s">
        <v>131</v>
      </c>
      <c r="AO1054" s="185" t="s">
        <v>5150</v>
      </c>
      <c r="AQ1054" s="55" t="s">
        <v>131</v>
      </c>
      <c r="AR1054" s="55" t="s">
        <v>132</v>
      </c>
      <c r="AS1054" s="55" t="s">
        <v>132</v>
      </c>
      <c r="AU1054" s="181" t="s">
        <v>7494</v>
      </c>
      <c r="AV1054" s="185" t="s">
        <v>176</v>
      </c>
      <c r="AX1054" s="185" t="s">
        <v>176</v>
      </c>
      <c r="BE1054" s="226" t="s">
        <v>715</v>
      </c>
      <c r="BF1054" s="191" t="s">
        <v>479</v>
      </c>
      <c r="BG1054" s="55" t="s">
        <v>479</v>
      </c>
      <c r="BH1054" s="226" t="s">
        <v>715</v>
      </c>
      <c r="BI1054" s="55" t="s">
        <v>479</v>
      </c>
      <c r="BJ1054" s="55" t="s">
        <v>176</v>
      </c>
      <c r="BK1054" s="55" t="s">
        <v>5976</v>
      </c>
      <c r="BM1054" s="192" t="s">
        <v>160</v>
      </c>
      <c r="BS1054" s="55">
        <v>754</v>
      </c>
      <c r="BT1054" s="55">
        <f>BS1054/20</f>
        <v>37.700000000000003</v>
      </c>
      <c r="BV1054" s="55" t="s">
        <v>721</v>
      </c>
      <c r="DB1054" s="65">
        <v>1.44</v>
      </c>
      <c r="DC1054" s="65">
        <v>1.3</v>
      </c>
      <c r="DF1054" s="65" t="s">
        <v>719</v>
      </c>
      <c r="GP1054" s="292" t="s">
        <v>7494</v>
      </c>
      <c r="JU1054" s="55" t="s">
        <v>718</v>
      </c>
    </row>
    <row r="1055" spans="1:281" x14ac:dyDescent="0.25">
      <c r="A1055" s="55">
        <v>1054</v>
      </c>
      <c r="B1055" s="12" t="s">
        <v>7067</v>
      </c>
      <c r="C1055" s="155">
        <v>50</v>
      </c>
      <c r="D1055" s="55" t="s">
        <v>3906</v>
      </c>
      <c r="E1055" s="90" t="s">
        <v>711</v>
      </c>
      <c r="G1055" s="55" t="s">
        <v>712</v>
      </c>
      <c r="H1055" s="55">
        <v>2000</v>
      </c>
      <c r="I1055" s="55">
        <v>1996</v>
      </c>
      <c r="J1055" s="55" t="s">
        <v>713</v>
      </c>
      <c r="L1055" s="55" t="s">
        <v>2737</v>
      </c>
      <c r="M1055" s="90">
        <v>41.84</v>
      </c>
      <c r="N1055" s="90">
        <v>-85.68</v>
      </c>
      <c r="O1055" s="90">
        <v>244</v>
      </c>
      <c r="U1055" s="55">
        <v>2</v>
      </c>
      <c r="V1055" s="55" t="s">
        <v>1688</v>
      </c>
      <c r="Y1055" s="55" t="s">
        <v>1920</v>
      </c>
      <c r="Z1055" s="55" t="s">
        <v>1373</v>
      </c>
      <c r="AA1055" s="90" t="s">
        <v>1687</v>
      </c>
      <c r="AH1055" s="55" t="s">
        <v>238</v>
      </c>
      <c r="AM1055" s="55" t="s">
        <v>1309</v>
      </c>
      <c r="AN1055" s="185" t="s">
        <v>131</v>
      </c>
      <c r="AO1055" s="185" t="s">
        <v>5150</v>
      </c>
      <c r="AQ1055" s="55" t="s">
        <v>131</v>
      </c>
      <c r="AR1055" s="55" t="s">
        <v>132</v>
      </c>
      <c r="AS1055" s="55" t="s">
        <v>132</v>
      </c>
      <c r="AU1055" s="181" t="s">
        <v>7494</v>
      </c>
      <c r="AV1055" s="185" t="s">
        <v>176</v>
      </c>
      <c r="AX1055" s="185" t="s">
        <v>176</v>
      </c>
      <c r="BE1055" s="226" t="s">
        <v>716</v>
      </c>
      <c r="BF1055" s="191" t="s">
        <v>479</v>
      </c>
      <c r="BG1055" s="55" t="s">
        <v>479</v>
      </c>
      <c r="BH1055" s="226" t="s">
        <v>716</v>
      </c>
      <c r="BI1055" s="55" t="s">
        <v>479</v>
      </c>
      <c r="BJ1055" s="55" t="s">
        <v>176</v>
      </c>
      <c r="BK1055" s="55" t="s">
        <v>5976</v>
      </c>
      <c r="BM1055" s="192" t="s">
        <v>160</v>
      </c>
      <c r="BS1055" s="55">
        <v>1763</v>
      </c>
      <c r="BT1055" s="55">
        <f>BS1055/45.4</f>
        <v>38.832599118942731</v>
      </c>
      <c r="BV1055" s="55" t="s">
        <v>721</v>
      </c>
      <c r="DB1055" s="65">
        <v>1.36</v>
      </c>
      <c r="DC1055" s="65">
        <v>1.1200000000000001</v>
      </c>
      <c r="DF1055" s="65" t="s">
        <v>719</v>
      </c>
      <c r="GP1055" s="292" t="s">
        <v>7494</v>
      </c>
      <c r="JU1055" s="55" t="s">
        <v>718</v>
      </c>
    </row>
    <row r="1056" spans="1:281" x14ac:dyDescent="0.25">
      <c r="A1056" s="55">
        <v>1055</v>
      </c>
      <c r="B1056" s="12" t="s">
        <v>7067</v>
      </c>
      <c r="C1056" s="155">
        <v>50</v>
      </c>
      <c r="D1056" s="55" t="s">
        <v>3906</v>
      </c>
      <c r="E1056" s="90" t="s">
        <v>711</v>
      </c>
      <c r="G1056" s="55" t="s">
        <v>712</v>
      </c>
      <c r="H1056" s="55">
        <v>2000</v>
      </c>
      <c r="I1056" s="55">
        <v>1997</v>
      </c>
      <c r="J1056" s="55" t="s">
        <v>713</v>
      </c>
      <c r="L1056" s="55" t="s">
        <v>2737</v>
      </c>
      <c r="M1056" s="90">
        <v>41.84</v>
      </c>
      <c r="N1056" s="90">
        <v>-85.68</v>
      </c>
      <c r="O1056" s="90">
        <v>244</v>
      </c>
      <c r="U1056" s="55">
        <v>3</v>
      </c>
      <c r="V1056" s="55" t="s">
        <v>1688</v>
      </c>
      <c r="Y1056" s="55" t="s">
        <v>1920</v>
      </c>
      <c r="Z1056" s="55" t="s">
        <v>1373</v>
      </c>
      <c r="AA1056" s="90" t="s">
        <v>1687</v>
      </c>
      <c r="AH1056" s="55" t="s">
        <v>238</v>
      </c>
      <c r="AM1056" s="55" t="s">
        <v>1309</v>
      </c>
      <c r="AN1056" s="185" t="s">
        <v>131</v>
      </c>
      <c r="AO1056" s="185" t="s">
        <v>5150</v>
      </c>
      <c r="AQ1056" s="55" t="s">
        <v>131</v>
      </c>
      <c r="AR1056" s="55" t="s">
        <v>132</v>
      </c>
      <c r="AS1056" s="55" t="s">
        <v>132</v>
      </c>
      <c r="AU1056" s="181" t="s">
        <v>7494</v>
      </c>
      <c r="AV1056" s="185" t="s">
        <v>176</v>
      </c>
      <c r="AX1056" s="185" t="s">
        <v>176</v>
      </c>
      <c r="BE1056" s="226" t="s">
        <v>715</v>
      </c>
      <c r="BF1056" s="191" t="s">
        <v>479</v>
      </c>
      <c r="BG1056" s="55" t="s">
        <v>479</v>
      </c>
      <c r="BH1056" s="226" t="s">
        <v>715</v>
      </c>
      <c r="BI1056" s="55" t="s">
        <v>479</v>
      </c>
      <c r="BJ1056" s="55" t="s">
        <v>176</v>
      </c>
      <c r="BK1056" s="55" t="s">
        <v>5976</v>
      </c>
      <c r="BM1056" s="192" t="s">
        <v>160</v>
      </c>
      <c r="BS1056" s="55">
        <v>1173</v>
      </c>
      <c r="BT1056" s="55">
        <f>BS1056/40</f>
        <v>29.324999999999999</v>
      </c>
      <c r="BV1056" s="55" t="s">
        <v>721</v>
      </c>
      <c r="DB1056" s="65">
        <v>1.81</v>
      </c>
      <c r="DC1056" s="65">
        <v>1.58</v>
      </c>
      <c r="DF1056" s="65" t="s">
        <v>719</v>
      </c>
      <c r="GP1056" s="292" t="s">
        <v>7494</v>
      </c>
      <c r="JU1056" s="55" t="s">
        <v>718</v>
      </c>
    </row>
    <row r="1057" spans="1:281" x14ac:dyDescent="0.25">
      <c r="A1057" s="55">
        <v>1056</v>
      </c>
      <c r="B1057" s="12" t="s">
        <v>7067</v>
      </c>
      <c r="C1057" s="155">
        <v>50</v>
      </c>
      <c r="D1057" s="55" t="s">
        <v>3906</v>
      </c>
      <c r="E1057" s="90" t="s">
        <v>711</v>
      </c>
      <c r="G1057" s="55" t="s">
        <v>712</v>
      </c>
      <c r="H1057" s="55">
        <v>2000</v>
      </c>
      <c r="I1057" s="55">
        <v>1997</v>
      </c>
      <c r="J1057" s="55" t="s">
        <v>713</v>
      </c>
      <c r="L1057" s="55" t="s">
        <v>2737</v>
      </c>
      <c r="M1057" s="90">
        <v>41.84</v>
      </c>
      <c r="N1057" s="90">
        <v>-85.68</v>
      </c>
      <c r="O1057" s="90">
        <v>244</v>
      </c>
      <c r="U1057" s="55">
        <v>3</v>
      </c>
      <c r="V1057" s="55" t="s">
        <v>1688</v>
      </c>
      <c r="Y1057" s="55" t="s">
        <v>1920</v>
      </c>
      <c r="Z1057" s="55" t="s">
        <v>1373</v>
      </c>
      <c r="AA1057" s="90" t="s">
        <v>1687</v>
      </c>
      <c r="AH1057" s="55" t="s">
        <v>238</v>
      </c>
      <c r="AM1057" s="55" t="s">
        <v>1309</v>
      </c>
      <c r="AN1057" s="185" t="s">
        <v>131</v>
      </c>
      <c r="AO1057" s="185" t="s">
        <v>5150</v>
      </c>
      <c r="AQ1057" s="55" t="s">
        <v>131</v>
      </c>
      <c r="AR1057" s="55" t="s">
        <v>132</v>
      </c>
      <c r="AS1057" s="55" t="s">
        <v>132</v>
      </c>
      <c r="AU1057" s="181" t="s">
        <v>7494</v>
      </c>
      <c r="AV1057" s="185" t="s">
        <v>176</v>
      </c>
      <c r="AX1057" s="185" t="s">
        <v>176</v>
      </c>
      <c r="BE1057" s="226" t="s">
        <v>716</v>
      </c>
      <c r="BF1057" s="191" t="s">
        <v>479</v>
      </c>
      <c r="BG1057" s="55" t="s">
        <v>479</v>
      </c>
      <c r="BH1057" s="226" t="s">
        <v>716</v>
      </c>
      <c r="BI1057" s="55" t="s">
        <v>479</v>
      </c>
      <c r="BJ1057" s="55" t="s">
        <v>176</v>
      </c>
      <c r="BK1057" s="55" t="s">
        <v>5976</v>
      </c>
      <c r="BM1057" s="192" t="s">
        <v>160</v>
      </c>
      <c r="BS1057" s="55">
        <v>2010</v>
      </c>
      <c r="BT1057" s="55">
        <f>BS1057/56</f>
        <v>35.892857142857146</v>
      </c>
      <c r="BV1057" s="55" t="s">
        <v>721</v>
      </c>
      <c r="DB1057" s="65">
        <v>2.23</v>
      </c>
      <c r="DC1057" s="65">
        <v>1.91</v>
      </c>
      <c r="DF1057" s="65" t="s">
        <v>719</v>
      </c>
      <c r="GP1057" s="292" t="s">
        <v>7494</v>
      </c>
      <c r="JU1057" s="55" t="s">
        <v>718</v>
      </c>
    </row>
    <row r="1058" spans="1:281" x14ac:dyDescent="0.25">
      <c r="A1058" s="55">
        <v>1057</v>
      </c>
      <c r="B1058" s="12" t="s">
        <v>7067</v>
      </c>
      <c r="C1058" s="155">
        <v>50</v>
      </c>
      <c r="D1058" s="55" t="s">
        <v>3847</v>
      </c>
      <c r="E1058" s="90" t="s">
        <v>711</v>
      </c>
      <c r="G1058" s="55" t="s">
        <v>712</v>
      </c>
      <c r="H1058" s="55">
        <v>2000</v>
      </c>
      <c r="I1058" s="55">
        <v>1995</v>
      </c>
      <c r="J1058" s="55" t="s">
        <v>713</v>
      </c>
      <c r="L1058" s="55" t="s">
        <v>2737</v>
      </c>
      <c r="M1058" s="90">
        <v>41.84</v>
      </c>
      <c r="N1058" s="90">
        <v>-85.68</v>
      </c>
      <c r="O1058" s="90">
        <v>244</v>
      </c>
      <c r="U1058" s="55">
        <v>1</v>
      </c>
      <c r="V1058" s="55" t="s">
        <v>1688</v>
      </c>
      <c r="Y1058" s="55" t="s">
        <v>1920</v>
      </c>
      <c r="Z1058" s="55" t="s">
        <v>1374</v>
      </c>
      <c r="AA1058" s="90" t="s">
        <v>1687</v>
      </c>
      <c r="AH1058" s="55" t="s">
        <v>238</v>
      </c>
      <c r="AM1058" s="55" t="s">
        <v>1309</v>
      </c>
      <c r="AN1058" s="185" t="s">
        <v>131</v>
      </c>
      <c r="AO1058" s="185" t="s">
        <v>5150</v>
      </c>
      <c r="AQ1058" s="55" t="s">
        <v>131</v>
      </c>
      <c r="AR1058" s="55" t="s">
        <v>132</v>
      </c>
      <c r="AS1058" s="55" t="s">
        <v>132</v>
      </c>
      <c r="AU1058" s="181" t="s">
        <v>7494</v>
      </c>
      <c r="AV1058" s="185" t="s">
        <v>176</v>
      </c>
      <c r="AX1058" s="185" t="s">
        <v>176</v>
      </c>
      <c r="BE1058" s="226" t="s">
        <v>715</v>
      </c>
      <c r="BF1058" s="191" t="s">
        <v>479</v>
      </c>
      <c r="BG1058" s="55" t="s">
        <v>479</v>
      </c>
      <c r="BH1058" s="226" t="s">
        <v>715</v>
      </c>
      <c r="BI1058" s="55" t="s">
        <v>479</v>
      </c>
      <c r="BJ1058" s="55" t="s">
        <v>176</v>
      </c>
      <c r="BK1058" s="55" t="s">
        <v>5976</v>
      </c>
      <c r="BM1058" s="192" t="s">
        <v>160</v>
      </c>
      <c r="BV1058" s="55" t="s">
        <v>722</v>
      </c>
      <c r="DB1058" s="65">
        <v>5.38</v>
      </c>
      <c r="DC1058" s="65">
        <v>1.92</v>
      </c>
      <c r="DF1058" s="65" t="s">
        <v>719</v>
      </c>
      <c r="GP1058" s="292" t="s">
        <v>7494</v>
      </c>
      <c r="JU1058" s="55" t="s">
        <v>718</v>
      </c>
    </row>
    <row r="1059" spans="1:281" x14ac:dyDescent="0.25">
      <c r="A1059" s="55">
        <v>1058</v>
      </c>
      <c r="B1059" s="12" t="s">
        <v>7067</v>
      </c>
      <c r="C1059" s="155">
        <v>50</v>
      </c>
      <c r="D1059" s="55" t="s">
        <v>3907</v>
      </c>
      <c r="E1059" s="90" t="s">
        <v>711</v>
      </c>
      <c r="G1059" s="55" t="s">
        <v>712</v>
      </c>
      <c r="H1059" s="55">
        <v>2000</v>
      </c>
      <c r="I1059" s="55">
        <v>1995</v>
      </c>
      <c r="J1059" s="55" t="s">
        <v>713</v>
      </c>
      <c r="L1059" s="55" t="s">
        <v>2737</v>
      </c>
      <c r="M1059" s="90">
        <v>41.84</v>
      </c>
      <c r="N1059" s="90">
        <v>-85.68</v>
      </c>
      <c r="O1059" s="90">
        <v>244</v>
      </c>
      <c r="U1059" s="55">
        <v>1</v>
      </c>
      <c r="V1059" s="55" t="s">
        <v>1688</v>
      </c>
      <c r="Y1059" s="55" t="s">
        <v>1920</v>
      </c>
      <c r="Z1059" s="55" t="s">
        <v>1374</v>
      </c>
      <c r="AA1059" s="90" t="s">
        <v>1687</v>
      </c>
      <c r="AH1059" s="55" t="s">
        <v>238</v>
      </c>
      <c r="AM1059" s="55" t="s">
        <v>1309</v>
      </c>
      <c r="AN1059" s="185" t="s">
        <v>131</v>
      </c>
      <c r="AO1059" s="185" t="s">
        <v>5150</v>
      </c>
      <c r="AQ1059" s="55" t="s">
        <v>131</v>
      </c>
      <c r="AR1059" s="55" t="s">
        <v>132</v>
      </c>
      <c r="AS1059" s="55" t="s">
        <v>132</v>
      </c>
      <c r="AU1059" s="181" t="s">
        <v>7494</v>
      </c>
      <c r="AV1059" s="185" t="s">
        <v>176</v>
      </c>
      <c r="AX1059" s="185" t="s">
        <v>176</v>
      </c>
      <c r="BE1059" s="226" t="s">
        <v>716</v>
      </c>
      <c r="BF1059" s="191" t="s">
        <v>479</v>
      </c>
      <c r="BG1059" s="55" t="s">
        <v>479</v>
      </c>
      <c r="BH1059" s="226" t="s">
        <v>716</v>
      </c>
      <c r="BI1059" s="55" t="s">
        <v>479</v>
      </c>
      <c r="BJ1059" s="55" t="s">
        <v>176</v>
      </c>
      <c r="BK1059" s="55" t="s">
        <v>5976</v>
      </c>
      <c r="BM1059" s="192" t="s">
        <v>160</v>
      </c>
      <c r="BV1059" s="55" t="s">
        <v>722</v>
      </c>
      <c r="DB1059" s="65">
        <v>17.93</v>
      </c>
      <c r="DC1059" s="65">
        <v>8.61</v>
      </c>
      <c r="DF1059" s="65" t="s">
        <v>719</v>
      </c>
      <c r="GP1059" s="292" t="s">
        <v>7494</v>
      </c>
      <c r="JU1059" s="55" t="s">
        <v>718</v>
      </c>
    </row>
    <row r="1060" spans="1:281" x14ac:dyDescent="0.25">
      <c r="A1060" s="55">
        <v>1059</v>
      </c>
      <c r="B1060" s="12" t="s">
        <v>7067</v>
      </c>
      <c r="C1060" s="155">
        <v>50</v>
      </c>
      <c r="D1060" s="55" t="s">
        <v>3907</v>
      </c>
      <c r="E1060" s="90" t="s">
        <v>711</v>
      </c>
      <c r="G1060" s="55" t="s">
        <v>712</v>
      </c>
      <c r="H1060" s="55">
        <v>2000</v>
      </c>
      <c r="I1060" s="55">
        <v>1996</v>
      </c>
      <c r="J1060" s="55" t="s">
        <v>713</v>
      </c>
      <c r="L1060" s="55" t="s">
        <v>2737</v>
      </c>
      <c r="M1060" s="90">
        <v>41.84</v>
      </c>
      <c r="N1060" s="90">
        <v>-85.68</v>
      </c>
      <c r="O1060" s="90">
        <v>244</v>
      </c>
      <c r="U1060" s="55">
        <v>2</v>
      </c>
      <c r="V1060" s="55" t="s">
        <v>1688</v>
      </c>
      <c r="Y1060" s="55" t="s">
        <v>1920</v>
      </c>
      <c r="Z1060" s="55" t="s">
        <v>1374</v>
      </c>
      <c r="AA1060" s="90" t="s">
        <v>1687</v>
      </c>
      <c r="AH1060" s="55" t="s">
        <v>238</v>
      </c>
      <c r="AM1060" s="55" t="s">
        <v>1309</v>
      </c>
      <c r="AN1060" s="185" t="s">
        <v>131</v>
      </c>
      <c r="AO1060" s="185" t="s">
        <v>5150</v>
      </c>
      <c r="AQ1060" s="55" t="s">
        <v>131</v>
      </c>
      <c r="AR1060" s="55" t="s">
        <v>132</v>
      </c>
      <c r="AS1060" s="55" t="s">
        <v>132</v>
      </c>
      <c r="AU1060" s="181" t="s">
        <v>7494</v>
      </c>
      <c r="AV1060" s="185" t="s">
        <v>176</v>
      </c>
      <c r="AX1060" s="185" t="s">
        <v>176</v>
      </c>
      <c r="BE1060" s="226" t="s">
        <v>715</v>
      </c>
      <c r="BF1060" s="191" t="s">
        <v>479</v>
      </c>
      <c r="BG1060" s="55" t="s">
        <v>479</v>
      </c>
      <c r="BH1060" s="226" t="s">
        <v>715</v>
      </c>
      <c r="BI1060" s="55" t="s">
        <v>479</v>
      </c>
      <c r="BJ1060" s="55" t="s">
        <v>176</v>
      </c>
      <c r="BK1060" s="55" t="s">
        <v>5976</v>
      </c>
      <c r="BM1060" s="192" t="s">
        <v>160</v>
      </c>
      <c r="BS1060" s="55">
        <v>754</v>
      </c>
      <c r="BT1060" s="55">
        <f>BS1060/20</f>
        <v>37.700000000000003</v>
      </c>
      <c r="BV1060" s="55" t="s">
        <v>722</v>
      </c>
      <c r="DB1060" s="65">
        <v>1.5</v>
      </c>
      <c r="DC1060" s="65">
        <v>1.29</v>
      </c>
      <c r="DF1060" s="65" t="s">
        <v>719</v>
      </c>
      <c r="GP1060" s="292" t="s">
        <v>7494</v>
      </c>
      <c r="JU1060" s="55" t="s">
        <v>718</v>
      </c>
    </row>
    <row r="1061" spans="1:281" x14ac:dyDescent="0.25">
      <c r="A1061" s="55">
        <v>1060</v>
      </c>
      <c r="B1061" s="12" t="s">
        <v>7067</v>
      </c>
      <c r="C1061" s="155">
        <v>50</v>
      </c>
      <c r="D1061" s="55" t="s">
        <v>3907</v>
      </c>
      <c r="E1061" s="90" t="s">
        <v>711</v>
      </c>
      <c r="G1061" s="55" t="s">
        <v>712</v>
      </c>
      <c r="H1061" s="55">
        <v>2000</v>
      </c>
      <c r="I1061" s="55">
        <v>1996</v>
      </c>
      <c r="J1061" s="55" t="s">
        <v>713</v>
      </c>
      <c r="L1061" s="55" t="s">
        <v>2737</v>
      </c>
      <c r="M1061" s="90">
        <v>41.84</v>
      </c>
      <c r="N1061" s="90">
        <v>-85.68</v>
      </c>
      <c r="O1061" s="90">
        <v>244</v>
      </c>
      <c r="U1061" s="55">
        <v>2</v>
      </c>
      <c r="V1061" s="55" t="s">
        <v>1688</v>
      </c>
      <c r="Y1061" s="55" t="s">
        <v>1920</v>
      </c>
      <c r="Z1061" s="55" t="s">
        <v>1374</v>
      </c>
      <c r="AA1061" s="90" t="s">
        <v>1687</v>
      </c>
      <c r="AH1061" s="55" t="s">
        <v>238</v>
      </c>
      <c r="AM1061" s="55" t="s">
        <v>1309</v>
      </c>
      <c r="AN1061" s="185" t="s">
        <v>131</v>
      </c>
      <c r="AO1061" s="185" t="s">
        <v>5150</v>
      </c>
      <c r="AQ1061" s="55" t="s">
        <v>131</v>
      </c>
      <c r="AR1061" s="55" t="s">
        <v>132</v>
      </c>
      <c r="AS1061" s="55" t="s">
        <v>132</v>
      </c>
      <c r="AU1061" s="181" t="s">
        <v>7494</v>
      </c>
      <c r="AV1061" s="185" t="s">
        <v>176</v>
      </c>
      <c r="AX1061" s="185" t="s">
        <v>176</v>
      </c>
      <c r="BE1061" s="226" t="s">
        <v>716</v>
      </c>
      <c r="BF1061" s="191" t="s">
        <v>479</v>
      </c>
      <c r="BG1061" s="55" t="s">
        <v>479</v>
      </c>
      <c r="BH1061" s="226" t="s">
        <v>716</v>
      </c>
      <c r="BI1061" s="55" t="s">
        <v>479</v>
      </c>
      <c r="BJ1061" s="55" t="s">
        <v>176</v>
      </c>
      <c r="BK1061" s="55" t="s">
        <v>5976</v>
      </c>
      <c r="BM1061" s="192" t="s">
        <v>160</v>
      </c>
      <c r="BS1061" s="55">
        <v>1763</v>
      </c>
      <c r="BT1061" s="55">
        <f>BS1061/45.4</f>
        <v>38.832599118942731</v>
      </c>
      <c r="BV1061" s="55" t="s">
        <v>722</v>
      </c>
      <c r="DB1061" s="65">
        <v>1.21</v>
      </c>
      <c r="DC1061" s="65">
        <v>1.1299999999999999</v>
      </c>
      <c r="DF1061" s="65" t="s">
        <v>719</v>
      </c>
      <c r="GP1061" s="292" t="s">
        <v>7494</v>
      </c>
      <c r="JU1061" s="55" t="s">
        <v>718</v>
      </c>
    </row>
    <row r="1062" spans="1:281" x14ac:dyDescent="0.25">
      <c r="A1062" s="55">
        <v>1061</v>
      </c>
      <c r="B1062" s="12" t="s">
        <v>7067</v>
      </c>
      <c r="C1062" s="155">
        <v>50</v>
      </c>
      <c r="D1062" s="55" t="s">
        <v>3907</v>
      </c>
      <c r="E1062" s="90" t="s">
        <v>711</v>
      </c>
      <c r="G1062" s="55" t="s">
        <v>712</v>
      </c>
      <c r="H1062" s="55">
        <v>2000</v>
      </c>
      <c r="I1062" s="55">
        <v>1997</v>
      </c>
      <c r="J1062" s="55" t="s">
        <v>713</v>
      </c>
      <c r="L1062" s="55" t="s">
        <v>2737</v>
      </c>
      <c r="M1062" s="90">
        <v>41.84</v>
      </c>
      <c r="N1062" s="90">
        <v>-85.68</v>
      </c>
      <c r="O1062" s="90">
        <v>244</v>
      </c>
      <c r="U1062" s="55">
        <v>3</v>
      </c>
      <c r="V1062" s="55" t="s">
        <v>1688</v>
      </c>
      <c r="Y1062" s="55" t="s">
        <v>1920</v>
      </c>
      <c r="Z1062" s="55" t="s">
        <v>1374</v>
      </c>
      <c r="AA1062" s="90" t="s">
        <v>1687</v>
      </c>
      <c r="AH1062" s="55" t="s">
        <v>238</v>
      </c>
      <c r="AM1062" s="55" t="s">
        <v>1309</v>
      </c>
      <c r="AN1062" s="185" t="s">
        <v>131</v>
      </c>
      <c r="AO1062" s="185" t="s">
        <v>5150</v>
      </c>
      <c r="AQ1062" s="55" t="s">
        <v>131</v>
      </c>
      <c r="AR1062" s="55" t="s">
        <v>132</v>
      </c>
      <c r="AS1062" s="55" t="s">
        <v>132</v>
      </c>
      <c r="AU1062" s="181" t="s">
        <v>7494</v>
      </c>
      <c r="AV1062" s="185" t="s">
        <v>176</v>
      </c>
      <c r="AX1062" s="185" t="s">
        <v>176</v>
      </c>
      <c r="BE1062" s="226" t="s">
        <v>715</v>
      </c>
      <c r="BF1062" s="191" t="s">
        <v>479</v>
      </c>
      <c r="BG1062" s="55" t="s">
        <v>479</v>
      </c>
      <c r="BH1062" s="226" t="s">
        <v>715</v>
      </c>
      <c r="BI1062" s="55" t="s">
        <v>479</v>
      </c>
      <c r="BJ1062" s="55" t="s">
        <v>176</v>
      </c>
      <c r="BK1062" s="55" t="s">
        <v>5976</v>
      </c>
      <c r="BM1062" s="192" t="s">
        <v>160</v>
      </c>
      <c r="BS1062" s="55">
        <v>1173</v>
      </c>
      <c r="BT1062" s="55">
        <f>BS1062/40</f>
        <v>29.324999999999999</v>
      </c>
      <c r="BV1062" s="55" t="s">
        <v>722</v>
      </c>
      <c r="DB1062" s="65">
        <v>1.82</v>
      </c>
      <c r="DC1062" s="65">
        <v>1.83</v>
      </c>
      <c r="DF1062" s="65" t="s">
        <v>719</v>
      </c>
      <c r="GP1062" s="292" t="s">
        <v>7494</v>
      </c>
      <c r="JU1062" s="55" t="s">
        <v>718</v>
      </c>
    </row>
    <row r="1063" spans="1:281" x14ac:dyDescent="0.25">
      <c r="A1063" s="55">
        <v>1062</v>
      </c>
      <c r="B1063" s="12" t="s">
        <v>7067</v>
      </c>
      <c r="C1063" s="155">
        <v>50</v>
      </c>
      <c r="D1063" s="55" t="s">
        <v>3907</v>
      </c>
      <c r="E1063" s="90" t="s">
        <v>711</v>
      </c>
      <c r="G1063" s="55" t="s">
        <v>712</v>
      </c>
      <c r="H1063" s="55">
        <v>2000</v>
      </c>
      <c r="I1063" s="55">
        <v>1997</v>
      </c>
      <c r="J1063" s="55" t="s">
        <v>713</v>
      </c>
      <c r="L1063" s="55" t="s">
        <v>2737</v>
      </c>
      <c r="M1063" s="90">
        <v>41.84</v>
      </c>
      <c r="N1063" s="90">
        <v>-85.68</v>
      </c>
      <c r="O1063" s="90">
        <v>244</v>
      </c>
      <c r="U1063" s="55">
        <v>3</v>
      </c>
      <c r="V1063" s="55" t="s">
        <v>1688</v>
      </c>
      <c r="Y1063" s="55" t="s">
        <v>1920</v>
      </c>
      <c r="Z1063" s="55" t="s">
        <v>1374</v>
      </c>
      <c r="AA1063" s="90" t="s">
        <v>1687</v>
      </c>
      <c r="AH1063" s="55" t="s">
        <v>238</v>
      </c>
      <c r="AM1063" s="55" t="s">
        <v>1309</v>
      </c>
      <c r="AN1063" s="185" t="s">
        <v>131</v>
      </c>
      <c r="AO1063" s="185" t="s">
        <v>5150</v>
      </c>
      <c r="AQ1063" s="55" t="s">
        <v>131</v>
      </c>
      <c r="AR1063" s="55" t="s">
        <v>132</v>
      </c>
      <c r="AS1063" s="55" t="s">
        <v>132</v>
      </c>
      <c r="AU1063" s="181" t="s">
        <v>7494</v>
      </c>
      <c r="AV1063" s="185" t="s">
        <v>176</v>
      </c>
      <c r="AX1063" s="185" t="s">
        <v>176</v>
      </c>
      <c r="BE1063" s="226" t="s">
        <v>716</v>
      </c>
      <c r="BF1063" s="191" t="s">
        <v>479</v>
      </c>
      <c r="BG1063" s="55" t="s">
        <v>479</v>
      </c>
      <c r="BH1063" s="226" t="s">
        <v>716</v>
      </c>
      <c r="BI1063" s="55" t="s">
        <v>479</v>
      </c>
      <c r="BJ1063" s="55" t="s">
        <v>176</v>
      </c>
      <c r="BK1063" s="55" t="s">
        <v>5976</v>
      </c>
      <c r="BM1063" s="192" t="s">
        <v>160</v>
      </c>
      <c r="BS1063" s="55">
        <v>2010</v>
      </c>
      <c r="BT1063" s="55">
        <f>BS1063/56</f>
        <v>35.892857142857146</v>
      </c>
      <c r="BV1063" s="55" t="s">
        <v>722</v>
      </c>
      <c r="DB1063" s="65">
        <v>2.33</v>
      </c>
      <c r="DC1063" s="65">
        <v>1.92</v>
      </c>
      <c r="DF1063" s="65" t="s">
        <v>719</v>
      </c>
      <c r="GP1063" s="292" t="s">
        <v>7494</v>
      </c>
      <c r="JU1063" s="55" t="s">
        <v>718</v>
      </c>
    </row>
    <row r="1064" spans="1:281" x14ac:dyDescent="0.25">
      <c r="A1064" s="55">
        <v>1063</v>
      </c>
      <c r="B1064" s="12" t="s">
        <v>7067</v>
      </c>
      <c r="C1064" s="155">
        <v>51</v>
      </c>
      <c r="D1064" s="55" t="s">
        <v>3908</v>
      </c>
      <c r="E1064" s="90" t="s">
        <v>724</v>
      </c>
      <c r="G1064" s="55" t="s">
        <v>725</v>
      </c>
      <c r="H1064" s="55">
        <v>2017</v>
      </c>
      <c r="I1064" s="55">
        <v>2011</v>
      </c>
      <c r="J1064" s="55" t="s">
        <v>276</v>
      </c>
      <c r="K1064" s="55" t="s">
        <v>298</v>
      </c>
      <c r="L1064" s="55" t="s">
        <v>2737</v>
      </c>
      <c r="M1064" s="90">
        <v>40.716666666666669</v>
      </c>
      <c r="N1064" s="90">
        <v>-77.916666666666671</v>
      </c>
      <c r="O1064" s="90">
        <v>376</v>
      </c>
      <c r="S1064" s="90">
        <v>975</v>
      </c>
      <c r="U1064" s="55" t="s">
        <v>1805</v>
      </c>
      <c r="V1064" s="55" t="s">
        <v>1688</v>
      </c>
      <c r="Y1064" s="55" t="s">
        <v>1921</v>
      </c>
      <c r="Z1064" s="55" t="s">
        <v>1344</v>
      </c>
      <c r="AA1064" s="90" t="s">
        <v>1344</v>
      </c>
      <c r="AH1064" s="55" t="s">
        <v>6378</v>
      </c>
      <c r="AN1064" s="185" t="s">
        <v>241</v>
      </c>
      <c r="AO1064" s="185" t="s">
        <v>5150</v>
      </c>
      <c r="AQ1064" s="55" t="s">
        <v>553</v>
      </c>
      <c r="AR1064" s="55" t="s">
        <v>1491</v>
      </c>
      <c r="AS1064" s="55" t="s">
        <v>116</v>
      </c>
      <c r="AU1064" s="181" t="s">
        <v>7494</v>
      </c>
      <c r="AV1064" s="185" t="s">
        <v>176</v>
      </c>
      <c r="AX1064" s="185" t="s">
        <v>176</v>
      </c>
      <c r="BK1064" s="55" t="s">
        <v>5976</v>
      </c>
      <c r="BM1064" s="192" t="s">
        <v>160</v>
      </c>
      <c r="GP1064" s="292" t="s">
        <v>7494</v>
      </c>
      <c r="HD1064" s="65">
        <v>1.71</v>
      </c>
      <c r="HE1064" s="65">
        <v>3.08</v>
      </c>
      <c r="HH1064" s="65" t="s">
        <v>726</v>
      </c>
      <c r="JU1064" s="55" t="s">
        <v>726</v>
      </c>
    </row>
    <row r="1065" spans="1:281" x14ac:dyDescent="0.25">
      <c r="A1065" s="55">
        <v>1064</v>
      </c>
      <c r="B1065" s="12" t="s">
        <v>7067</v>
      </c>
      <c r="C1065" s="155">
        <v>51</v>
      </c>
      <c r="D1065" s="55" t="s">
        <v>3909</v>
      </c>
      <c r="E1065" s="90" t="s">
        <v>724</v>
      </c>
      <c r="G1065" s="55" t="s">
        <v>725</v>
      </c>
      <c r="H1065" s="55">
        <v>2017</v>
      </c>
      <c r="I1065" s="55">
        <v>2011</v>
      </c>
      <c r="J1065" s="55" t="s">
        <v>276</v>
      </c>
      <c r="K1065" s="55" t="s">
        <v>298</v>
      </c>
      <c r="L1065" s="55" t="s">
        <v>2737</v>
      </c>
      <c r="M1065" s="90">
        <v>40.716666666666669</v>
      </c>
      <c r="N1065" s="90">
        <v>-77.916666666666671</v>
      </c>
      <c r="O1065" s="90">
        <v>376</v>
      </c>
      <c r="S1065" s="90">
        <v>975</v>
      </c>
      <c r="U1065" s="55" t="s">
        <v>1805</v>
      </c>
      <c r="V1065" s="55" t="s">
        <v>1688</v>
      </c>
      <c r="Y1065" s="55" t="s">
        <v>1921</v>
      </c>
      <c r="Z1065" s="55" t="s">
        <v>1344</v>
      </c>
      <c r="AA1065" s="90" t="s">
        <v>1344</v>
      </c>
      <c r="AH1065" s="55" t="s">
        <v>6378</v>
      </c>
      <c r="AN1065" s="185" t="s">
        <v>131</v>
      </c>
      <c r="AO1065" s="185" t="s">
        <v>5150</v>
      </c>
      <c r="AQ1065" s="55" t="s">
        <v>131</v>
      </c>
      <c r="AR1065" s="55" t="s">
        <v>1491</v>
      </c>
      <c r="AS1065" s="55" t="s">
        <v>116</v>
      </c>
      <c r="AU1065" s="181" t="s">
        <v>7494</v>
      </c>
      <c r="AV1065" s="185" t="s">
        <v>176</v>
      </c>
      <c r="AX1065" s="185" t="s">
        <v>176</v>
      </c>
      <c r="BK1065" s="55" t="s">
        <v>5976</v>
      </c>
      <c r="BM1065" s="192" t="s">
        <v>160</v>
      </c>
      <c r="GP1065" s="292" t="s">
        <v>7494</v>
      </c>
      <c r="HD1065" s="65">
        <v>1.71</v>
      </c>
      <c r="HE1065" s="65">
        <v>1.47</v>
      </c>
      <c r="HH1065" s="65" t="s">
        <v>726</v>
      </c>
      <c r="JU1065" s="55" t="s">
        <v>726</v>
      </c>
    </row>
    <row r="1066" spans="1:281" x14ac:dyDescent="0.25">
      <c r="A1066" s="55">
        <v>1065</v>
      </c>
      <c r="B1066" s="12" t="s">
        <v>7067</v>
      </c>
      <c r="C1066" s="155">
        <v>52</v>
      </c>
      <c r="D1066" s="55" t="s">
        <v>3910</v>
      </c>
      <c r="E1066" s="90" t="s">
        <v>727</v>
      </c>
      <c r="G1066" s="55" t="s">
        <v>728</v>
      </c>
      <c r="H1066" s="55">
        <v>1998</v>
      </c>
      <c r="I1066" s="55">
        <v>1989</v>
      </c>
      <c r="J1066" s="55" t="s">
        <v>729</v>
      </c>
      <c r="L1066" s="55" t="s">
        <v>2737</v>
      </c>
      <c r="M1066" s="90">
        <v>38.630000000000003</v>
      </c>
      <c r="N1066" s="90">
        <v>-75.459999999999994</v>
      </c>
      <c r="O1066" s="90">
        <v>10.8</v>
      </c>
      <c r="U1066" s="55">
        <v>1</v>
      </c>
      <c r="V1066" s="55" t="s">
        <v>1688</v>
      </c>
      <c r="Y1066" s="55" t="s">
        <v>1922</v>
      </c>
      <c r="Z1066" s="55" t="s">
        <v>1349</v>
      </c>
      <c r="AA1066" s="90" t="s">
        <v>1677</v>
      </c>
      <c r="AH1066" s="55" t="s">
        <v>174</v>
      </c>
      <c r="AM1066" s="55" t="s">
        <v>1310</v>
      </c>
      <c r="AN1066" s="185" t="s">
        <v>131</v>
      </c>
      <c r="AO1066" s="185" t="s">
        <v>5150</v>
      </c>
      <c r="AQ1066" s="55" t="s">
        <v>131</v>
      </c>
      <c r="AR1066" s="55" t="s">
        <v>132</v>
      </c>
      <c r="AS1066" s="55" t="s">
        <v>132</v>
      </c>
      <c r="AU1066" s="181" t="s">
        <v>7494</v>
      </c>
      <c r="AV1066" s="185" t="s">
        <v>176</v>
      </c>
      <c r="AX1066" s="185" t="s">
        <v>176</v>
      </c>
      <c r="AZ1066" s="55" t="s">
        <v>156</v>
      </c>
      <c r="BA1066" s="55" t="s">
        <v>156</v>
      </c>
      <c r="BB1066" s="55" t="s">
        <v>2082</v>
      </c>
      <c r="BC1066" s="55" t="s">
        <v>2082</v>
      </c>
      <c r="BD1066" s="55" t="s">
        <v>176</v>
      </c>
      <c r="BE1066" s="226" t="s">
        <v>730</v>
      </c>
      <c r="BF1066" s="191" t="s">
        <v>479</v>
      </c>
      <c r="BG1066" s="55" t="s">
        <v>479</v>
      </c>
      <c r="BH1066" s="226" t="s">
        <v>730</v>
      </c>
      <c r="BI1066" s="55" t="s">
        <v>479</v>
      </c>
      <c r="BJ1066" s="55" t="s">
        <v>176</v>
      </c>
      <c r="BK1066" s="55" t="s">
        <v>6269</v>
      </c>
      <c r="BM1066" s="192" t="s">
        <v>160</v>
      </c>
      <c r="BN1066" s="55">
        <v>3</v>
      </c>
      <c r="BO1066" s="55">
        <v>3</v>
      </c>
      <c r="BQ1066" s="55" t="s">
        <v>141</v>
      </c>
      <c r="CB1066" s="66">
        <v>8568</v>
      </c>
      <c r="CC1066" s="66">
        <v>8517</v>
      </c>
      <c r="DB1066" s="65">
        <f>(10.1+8.1)/2</f>
        <v>9.1</v>
      </c>
      <c r="DC1066" s="65">
        <f>(9.8+4)/2</f>
        <v>6.9</v>
      </c>
      <c r="DF1066" s="65" t="s">
        <v>1634</v>
      </c>
      <c r="FT1066" s="65">
        <v>64.2</v>
      </c>
      <c r="FU1066" s="65">
        <v>41.6</v>
      </c>
      <c r="FX1066" s="65" t="s">
        <v>739</v>
      </c>
      <c r="GP1066" s="292" t="s">
        <v>7494</v>
      </c>
      <c r="JU1066" s="55" t="s">
        <v>740</v>
      </c>
    </row>
    <row r="1067" spans="1:281" x14ac:dyDescent="0.25">
      <c r="A1067" s="55">
        <v>1066</v>
      </c>
      <c r="B1067" s="12" t="s">
        <v>7067</v>
      </c>
      <c r="C1067" s="155">
        <v>52</v>
      </c>
      <c r="D1067" s="55" t="s">
        <v>3910</v>
      </c>
      <c r="E1067" s="90" t="s">
        <v>727</v>
      </c>
      <c r="G1067" s="55" t="s">
        <v>728</v>
      </c>
      <c r="H1067" s="55">
        <v>1998</v>
      </c>
      <c r="I1067" s="55">
        <v>1989</v>
      </c>
      <c r="J1067" s="55" t="s">
        <v>729</v>
      </c>
      <c r="L1067" s="55" t="s">
        <v>2737</v>
      </c>
      <c r="M1067" s="90">
        <v>38.630000000000003</v>
      </c>
      <c r="N1067" s="90">
        <v>-75.459999999999994</v>
      </c>
      <c r="O1067" s="90">
        <v>10.8</v>
      </c>
      <c r="U1067" s="55">
        <v>1</v>
      </c>
      <c r="V1067" s="55" t="s">
        <v>1688</v>
      </c>
      <c r="Y1067" s="55" t="s">
        <v>1922</v>
      </c>
      <c r="Z1067" s="55" t="s">
        <v>1349</v>
      </c>
      <c r="AA1067" s="90" t="s">
        <v>1677</v>
      </c>
      <c r="AH1067" s="55" t="s">
        <v>174</v>
      </c>
      <c r="AM1067" s="55" t="s">
        <v>1310</v>
      </c>
      <c r="AN1067" s="185" t="s">
        <v>131</v>
      </c>
      <c r="AO1067" s="185" t="s">
        <v>5150</v>
      </c>
      <c r="AQ1067" s="55" t="s">
        <v>131</v>
      </c>
      <c r="AR1067" s="55" t="s">
        <v>132</v>
      </c>
      <c r="AS1067" s="55" t="s">
        <v>132</v>
      </c>
      <c r="AU1067" s="181" t="s">
        <v>7494</v>
      </c>
      <c r="AV1067" s="185" t="s">
        <v>176</v>
      </c>
      <c r="AX1067" s="185" t="s">
        <v>176</v>
      </c>
      <c r="AZ1067" s="55" t="s">
        <v>156</v>
      </c>
      <c r="BA1067" s="55" t="s">
        <v>156</v>
      </c>
      <c r="BB1067" s="55" t="s">
        <v>2082</v>
      </c>
      <c r="BC1067" s="55" t="s">
        <v>2082</v>
      </c>
      <c r="BD1067" s="55" t="s">
        <v>176</v>
      </c>
      <c r="BE1067" s="226" t="s">
        <v>731</v>
      </c>
      <c r="BF1067" s="191" t="s">
        <v>479</v>
      </c>
      <c r="BG1067" s="55" t="s">
        <v>479</v>
      </c>
      <c r="BH1067" s="226" t="s">
        <v>731</v>
      </c>
      <c r="BI1067" s="55" t="s">
        <v>479</v>
      </c>
      <c r="BJ1067" s="55" t="s">
        <v>176</v>
      </c>
      <c r="BK1067" s="55" t="s">
        <v>6269</v>
      </c>
      <c r="BM1067" s="192" t="s">
        <v>160</v>
      </c>
      <c r="BN1067" s="55">
        <v>3</v>
      </c>
      <c r="BO1067" s="55">
        <v>3</v>
      </c>
      <c r="BQ1067" s="55" t="s">
        <v>141</v>
      </c>
      <c r="CB1067" s="66">
        <v>8517</v>
      </c>
      <c r="CC1067" s="66">
        <v>8210</v>
      </c>
      <c r="DB1067" s="65">
        <f>(7.5+7)/2</f>
        <v>7.25</v>
      </c>
      <c r="DC1067" s="65">
        <f>(8.5+8.4)/2</f>
        <v>8.4499999999999993</v>
      </c>
      <c r="DF1067" s="65" t="s">
        <v>1634</v>
      </c>
      <c r="FT1067" s="65">
        <v>43.8</v>
      </c>
      <c r="FU1067" s="65">
        <v>37.799999999999997</v>
      </c>
      <c r="FX1067" s="65" t="s">
        <v>739</v>
      </c>
      <c r="GP1067" s="292" t="s">
        <v>7494</v>
      </c>
      <c r="JU1067" s="55" t="s">
        <v>740</v>
      </c>
    </row>
    <row r="1068" spans="1:281" x14ac:dyDescent="0.25">
      <c r="A1068" s="55">
        <v>1067</v>
      </c>
      <c r="B1068" s="12" t="s">
        <v>7067</v>
      </c>
      <c r="C1068" s="155">
        <v>52</v>
      </c>
      <c r="D1068" s="55" t="s">
        <v>3910</v>
      </c>
      <c r="E1068" s="90" t="s">
        <v>727</v>
      </c>
      <c r="G1068" s="55" t="s">
        <v>728</v>
      </c>
      <c r="H1068" s="55">
        <v>1998</v>
      </c>
      <c r="I1068" s="55">
        <v>1989</v>
      </c>
      <c r="J1068" s="55" t="s">
        <v>729</v>
      </c>
      <c r="L1068" s="55" t="s">
        <v>2737</v>
      </c>
      <c r="M1068" s="90">
        <v>38.630000000000003</v>
      </c>
      <c r="N1068" s="90">
        <v>-75.459999999999994</v>
      </c>
      <c r="O1068" s="90">
        <v>10.8</v>
      </c>
      <c r="U1068" s="55">
        <v>1</v>
      </c>
      <c r="V1068" s="55" t="s">
        <v>1688</v>
      </c>
      <c r="Y1068" s="55" t="s">
        <v>1922</v>
      </c>
      <c r="Z1068" s="55" t="s">
        <v>1349</v>
      </c>
      <c r="AA1068" s="90" t="s">
        <v>1677</v>
      </c>
      <c r="AH1068" s="55" t="s">
        <v>174</v>
      </c>
      <c r="AM1068" s="55" t="s">
        <v>1310</v>
      </c>
      <c r="AN1068" s="185" t="s">
        <v>131</v>
      </c>
      <c r="AO1068" s="185" t="s">
        <v>5150</v>
      </c>
      <c r="AQ1068" s="55" t="s">
        <v>131</v>
      </c>
      <c r="AR1068" s="55" t="s">
        <v>132</v>
      </c>
      <c r="AS1068" s="55" t="s">
        <v>132</v>
      </c>
      <c r="AU1068" s="181" t="s">
        <v>7494</v>
      </c>
      <c r="AV1068" s="185" t="s">
        <v>176</v>
      </c>
      <c r="AX1068" s="185" t="s">
        <v>176</v>
      </c>
      <c r="AZ1068" s="55" t="s">
        <v>156</v>
      </c>
      <c r="BA1068" s="55" t="s">
        <v>156</v>
      </c>
      <c r="BB1068" s="55" t="s">
        <v>2082</v>
      </c>
      <c r="BC1068" s="55" t="s">
        <v>2082</v>
      </c>
      <c r="BD1068" s="55" t="s">
        <v>176</v>
      </c>
      <c r="BE1068" s="226" t="s">
        <v>732</v>
      </c>
      <c r="BF1068" s="191" t="s">
        <v>479</v>
      </c>
      <c r="BG1068" s="55" t="s">
        <v>479</v>
      </c>
      <c r="BH1068" s="226" t="s">
        <v>732</v>
      </c>
      <c r="BI1068" s="55" t="s">
        <v>479</v>
      </c>
      <c r="BJ1068" s="55" t="s">
        <v>176</v>
      </c>
      <c r="BK1068" s="55" t="s">
        <v>6269</v>
      </c>
      <c r="BM1068" s="192" t="s">
        <v>160</v>
      </c>
      <c r="BN1068" s="55">
        <v>3</v>
      </c>
      <c r="BO1068" s="55">
        <v>3</v>
      </c>
      <c r="BQ1068" s="55" t="s">
        <v>141</v>
      </c>
      <c r="CB1068" s="66">
        <v>7764</v>
      </c>
      <c r="CC1068" s="66">
        <v>8391</v>
      </c>
      <c r="FT1068" s="65">
        <v>58.1</v>
      </c>
      <c r="FU1068" s="65">
        <v>40.799999999999997</v>
      </c>
      <c r="FX1068" s="65" t="s">
        <v>739</v>
      </c>
      <c r="GP1068" s="292" t="s">
        <v>7494</v>
      </c>
      <c r="JU1068" s="55" t="s">
        <v>740</v>
      </c>
    </row>
    <row r="1069" spans="1:281" x14ac:dyDescent="0.25">
      <c r="A1069" s="55">
        <v>1068</v>
      </c>
      <c r="B1069" s="12" t="s">
        <v>7067</v>
      </c>
      <c r="C1069" s="155">
        <v>52</v>
      </c>
      <c r="D1069" s="55" t="s">
        <v>3910</v>
      </c>
      <c r="E1069" s="90" t="s">
        <v>727</v>
      </c>
      <c r="G1069" s="55" t="s">
        <v>728</v>
      </c>
      <c r="H1069" s="55">
        <v>1998</v>
      </c>
      <c r="I1069" s="55">
        <v>1989</v>
      </c>
      <c r="J1069" s="55" t="s">
        <v>729</v>
      </c>
      <c r="L1069" s="55" t="s">
        <v>2737</v>
      </c>
      <c r="M1069" s="90">
        <v>38.630000000000003</v>
      </c>
      <c r="N1069" s="90">
        <v>-75.459999999999994</v>
      </c>
      <c r="O1069" s="90">
        <v>10.8</v>
      </c>
      <c r="U1069" s="55">
        <v>1</v>
      </c>
      <c r="V1069" s="55" t="s">
        <v>1688</v>
      </c>
      <c r="Y1069" s="55" t="s">
        <v>1922</v>
      </c>
      <c r="Z1069" s="55" t="s">
        <v>1349</v>
      </c>
      <c r="AA1069" s="90" t="s">
        <v>1677</v>
      </c>
      <c r="AH1069" s="55" t="s">
        <v>174</v>
      </c>
      <c r="AM1069" s="55" t="s">
        <v>1310</v>
      </c>
      <c r="AN1069" s="185" t="s">
        <v>131</v>
      </c>
      <c r="AO1069" s="185" t="s">
        <v>5150</v>
      </c>
      <c r="AQ1069" s="55" t="s">
        <v>131</v>
      </c>
      <c r="AR1069" s="55" t="s">
        <v>132</v>
      </c>
      <c r="AS1069" s="55" t="s">
        <v>132</v>
      </c>
      <c r="AU1069" s="181" t="s">
        <v>7494</v>
      </c>
      <c r="AV1069" s="185" t="s">
        <v>176</v>
      </c>
      <c r="AX1069" s="185" t="s">
        <v>176</v>
      </c>
      <c r="AZ1069" s="55" t="s">
        <v>156</v>
      </c>
      <c r="BA1069" s="55" t="s">
        <v>156</v>
      </c>
      <c r="BB1069" s="55" t="s">
        <v>2082</v>
      </c>
      <c r="BC1069" s="55" t="s">
        <v>2082</v>
      </c>
      <c r="BD1069" s="55" t="s">
        <v>176</v>
      </c>
      <c r="BE1069" s="226" t="s">
        <v>732</v>
      </c>
      <c r="BF1069" s="191" t="s">
        <v>479</v>
      </c>
      <c r="BG1069" s="55" t="s">
        <v>479</v>
      </c>
      <c r="BH1069" s="226" t="s">
        <v>732</v>
      </c>
      <c r="BI1069" s="55" t="s">
        <v>479</v>
      </c>
      <c r="BJ1069" s="55" t="s">
        <v>176</v>
      </c>
      <c r="BK1069" s="55" t="s">
        <v>6269</v>
      </c>
      <c r="BM1069" s="192" t="s">
        <v>160</v>
      </c>
      <c r="BN1069" s="55">
        <v>3</v>
      </c>
      <c r="BO1069" s="55">
        <v>3</v>
      </c>
      <c r="BQ1069" s="55" t="s">
        <v>141</v>
      </c>
      <c r="FT1069" s="65">
        <v>24</v>
      </c>
      <c r="FU1069" s="65">
        <v>15.8</v>
      </c>
      <c r="FX1069" s="65" t="s">
        <v>739</v>
      </c>
      <c r="GP1069" s="292" t="s">
        <v>7494</v>
      </c>
      <c r="JU1069" s="55" t="s">
        <v>740</v>
      </c>
    </row>
    <row r="1070" spans="1:281" x14ac:dyDescent="0.25">
      <c r="A1070" s="55">
        <v>1069</v>
      </c>
      <c r="B1070" s="12" t="s">
        <v>7067</v>
      </c>
      <c r="C1070" s="155">
        <v>52</v>
      </c>
      <c r="D1070" s="55" t="s">
        <v>3911</v>
      </c>
      <c r="E1070" s="90" t="s">
        <v>727</v>
      </c>
      <c r="G1070" s="55" t="s">
        <v>728</v>
      </c>
      <c r="H1070" s="55">
        <v>1998</v>
      </c>
      <c r="I1070" s="55">
        <v>1989</v>
      </c>
      <c r="J1070" s="55" t="s">
        <v>729</v>
      </c>
      <c r="L1070" s="55" t="s">
        <v>2737</v>
      </c>
      <c r="M1070" s="90">
        <v>38.630000000000003</v>
      </c>
      <c r="N1070" s="90">
        <v>-75.459999999999994</v>
      </c>
      <c r="O1070" s="90">
        <v>10.8</v>
      </c>
      <c r="U1070" s="55">
        <v>1</v>
      </c>
      <c r="V1070" s="55" t="s">
        <v>1688</v>
      </c>
      <c r="Y1070" s="55" t="s">
        <v>1922</v>
      </c>
      <c r="Z1070" s="55" t="s">
        <v>1349</v>
      </c>
      <c r="AA1070" s="90" t="s">
        <v>1677</v>
      </c>
      <c r="AH1070" s="55" t="s">
        <v>174</v>
      </c>
      <c r="AM1070" s="55" t="s">
        <v>1310</v>
      </c>
      <c r="AN1070" s="185" t="s">
        <v>131</v>
      </c>
      <c r="AO1070" s="185" t="s">
        <v>5150</v>
      </c>
      <c r="AQ1070" s="55" t="s">
        <v>131</v>
      </c>
      <c r="AR1070" s="55" t="s">
        <v>132</v>
      </c>
      <c r="AS1070" s="55" t="s">
        <v>132</v>
      </c>
      <c r="AU1070" s="181" t="s">
        <v>7494</v>
      </c>
      <c r="AV1070" s="185" t="s">
        <v>176</v>
      </c>
      <c r="AX1070" s="185" t="s">
        <v>176</v>
      </c>
      <c r="AZ1070" s="55" t="s">
        <v>229</v>
      </c>
      <c r="BA1070" s="55" t="s">
        <v>229</v>
      </c>
      <c r="BB1070" s="55" t="s">
        <v>2081</v>
      </c>
      <c r="BC1070" s="55" t="s">
        <v>2081</v>
      </c>
      <c r="BD1070" s="55" t="s">
        <v>176</v>
      </c>
      <c r="BE1070" s="226" t="s">
        <v>730</v>
      </c>
      <c r="BF1070" s="191" t="s">
        <v>479</v>
      </c>
      <c r="BG1070" s="55" t="s">
        <v>479</v>
      </c>
      <c r="BH1070" s="226" t="s">
        <v>730</v>
      </c>
      <c r="BI1070" s="55" t="s">
        <v>479</v>
      </c>
      <c r="BJ1070" s="55" t="s">
        <v>176</v>
      </c>
      <c r="BK1070" s="55" t="s">
        <v>5976</v>
      </c>
      <c r="BM1070" s="192" t="s">
        <v>160</v>
      </c>
      <c r="BN1070" s="55">
        <v>3</v>
      </c>
      <c r="BO1070" s="55">
        <v>3</v>
      </c>
      <c r="BQ1070" s="55" t="s">
        <v>141</v>
      </c>
      <c r="CB1070" s="66">
        <v>8210</v>
      </c>
      <c r="CC1070" s="66">
        <v>7539</v>
      </c>
      <c r="DB1070" s="65">
        <f>(9.8+4.8)/2</f>
        <v>7.3000000000000007</v>
      </c>
      <c r="DC1070" s="65">
        <f>(7.7+6.4)/2</f>
        <v>7.0500000000000007</v>
      </c>
      <c r="DF1070" s="65" t="s">
        <v>1634</v>
      </c>
      <c r="FT1070" s="65">
        <v>61.6</v>
      </c>
      <c r="FU1070" s="65">
        <v>31</v>
      </c>
      <c r="FX1070" s="65" t="s">
        <v>739</v>
      </c>
      <c r="GP1070" s="292" t="s">
        <v>7494</v>
      </c>
      <c r="JU1070" s="55" t="s">
        <v>740</v>
      </c>
    </row>
    <row r="1071" spans="1:281" x14ac:dyDescent="0.25">
      <c r="A1071" s="55">
        <v>1070</v>
      </c>
      <c r="B1071" s="12" t="s">
        <v>7067</v>
      </c>
      <c r="C1071" s="155">
        <v>52</v>
      </c>
      <c r="D1071" s="55" t="s">
        <v>3911</v>
      </c>
      <c r="E1071" s="90" t="s">
        <v>727</v>
      </c>
      <c r="G1071" s="55" t="s">
        <v>728</v>
      </c>
      <c r="H1071" s="55">
        <v>1998</v>
      </c>
      <c r="I1071" s="55">
        <v>1989</v>
      </c>
      <c r="J1071" s="55" t="s">
        <v>729</v>
      </c>
      <c r="L1071" s="55" t="s">
        <v>2737</v>
      </c>
      <c r="M1071" s="90">
        <v>38.630000000000003</v>
      </c>
      <c r="N1071" s="90">
        <v>-75.459999999999994</v>
      </c>
      <c r="O1071" s="90">
        <v>10.8</v>
      </c>
      <c r="U1071" s="55">
        <v>1</v>
      </c>
      <c r="V1071" s="55" t="s">
        <v>1688</v>
      </c>
      <c r="Y1071" s="55" t="s">
        <v>1922</v>
      </c>
      <c r="Z1071" s="55" t="s">
        <v>1349</v>
      </c>
      <c r="AA1071" s="90" t="s">
        <v>1677</v>
      </c>
      <c r="AH1071" s="55" t="s">
        <v>174</v>
      </c>
      <c r="AM1071" s="55" t="s">
        <v>1310</v>
      </c>
      <c r="AN1071" s="185" t="s">
        <v>131</v>
      </c>
      <c r="AO1071" s="185" t="s">
        <v>5150</v>
      </c>
      <c r="AQ1071" s="55" t="s">
        <v>131</v>
      </c>
      <c r="AR1071" s="55" t="s">
        <v>132</v>
      </c>
      <c r="AS1071" s="55" t="s">
        <v>132</v>
      </c>
      <c r="AU1071" s="181" t="s">
        <v>7494</v>
      </c>
      <c r="AV1071" s="185" t="s">
        <v>176</v>
      </c>
      <c r="AX1071" s="185" t="s">
        <v>176</v>
      </c>
      <c r="AZ1071" s="55" t="s">
        <v>229</v>
      </c>
      <c r="BA1071" s="55" t="s">
        <v>229</v>
      </c>
      <c r="BB1071" s="55" t="s">
        <v>2081</v>
      </c>
      <c r="BC1071" s="55" t="s">
        <v>2081</v>
      </c>
      <c r="BD1071" s="55" t="s">
        <v>176</v>
      </c>
      <c r="BE1071" s="226" t="s">
        <v>731</v>
      </c>
      <c r="BF1071" s="191" t="s">
        <v>479</v>
      </c>
      <c r="BG1071" s="55" t="s">
        <v>479</v>
      </c>
      <c r="BH1071" s="226" t="s">
        <v>731</v>
      </c>
      <c r="BI1071" s="55" t="s">
        <v>479</v>
      </c>
      <c r="BJ1071" s="55" t="s">
        <v>176</v>
      </c>
      <c r="BK1071" s="55" t="s">
        <v>5976</v>
      </c>
      <c r="BM1071" s="192" t="s">
        <v>160</v>
      </c>
      <c r="BN1071" s="55">
        <v>3</v>
      </c>
      <c r="BO1071" s="55">
        <v>3</v>
      </c>
      <c r="BQ1071" s="55" t="s">
        <v>141</v>
      </c>
      <c r="CB1071" s="66">
        <v>8963</v>
      </c>
      <c r="CC1071" s="66">
        <v>8109</v>
      </c>
      <c r="DB1071" s="65">
        <f>(9.9+7)/2</f>
        <v>8.4499999999999993</v>
      </c>
      <c r="DC1071" s="65">
        <f>(7.7+6.8)/2</f>
        <v>7.25</v>
      </c>
      <c r="DF1071" s="65" t="s">
        <v>1634</v>
      </c>
      <c r="FT1071" s="65">
        <v>33</v>
      </c>
      <c r="FU1071" s="65">
        <v>37.299999999999997</v>
      </c>
      <c r="FX1071" s="65" t="s">
        <v>739</v>
      </c>
      <c r="GP1071" s="292" t="s">
        <v>7494</v>
      </c>
      <c r="JU1071" s="55" t="s">
        <v>740</v>
      </c>
    </row>
    <row r="1072" spans="1:281" x14ac:dyDescent="0.25">
      <c r="A1072" s="55">
        <v>1071</v>
      </c>
      <c r="B1072" s="12" t="s">
        <v>7067</v>
      </c>
      <c r="C1072" s="155">
        <v>52</v>
      </c>
      <c r="D1072" s="55" t="s">
        <v>3911</v>
      </c>
      <c r="E1072" s="90" t="s">
        <v>727</v>
      </c>
      <c r="G1072" s="55" t="s">
        <v>728</v>
      </c>
      <c r="H1072" s="55">
        <v>1998</v>
      </c>
      <c r="I1072" s="55">
        <v>1989</v>
      </c>
      <c r="J1072" s="55" t="s">
        <v>729</v>
      </c>
      <c r="L1072" s="55" t="s">
        <v>2737</v>
      </c>
      <c r="M1072" s="90">
        <v>38.630000000000003</v>
      </c>
      <c r="N1072" s="90">
        <v>-75.459999999999994</v>
      </c>
      <c r="O1072" s="90">
        <v>10.8</v>
      </c>
      <c r="U1072" s="55">
        <v>1</v>
      </c>
      <c r="V1072" s="55" t="s">
        <v>1688</v>
      </c>
      <c r="Y1072" s="55" t="s">
        <v>1922</v>
      </c>
      <c r="Z1072" s="55" t="s">
        <v>1349</v>
      </c>
      <c r="AA1072" s="90" t="s">
        <v>1677</v>
      </c>
      <c r="AH1072" s="55" t="s">
        <v>174</v>
      </c>
      <c r="AM1072" s="55" t="s">
        <v>1310</v>
      </c>
      <c r="AN1072" s="185" t="s">
        <v>131</v>
      </c>
      <c r="AO1072" s="185" t="s">
        <v>5150</v>
      </c>
      <c r="AQ1072" s="55" t="s">
        <v>131</v>
      </c>
      <c r="AR1072" s="55" t="s">
        <v>132</v>
      </c>
      <c r="AS1072" s="55" t="s">
        <v>132</v>
      </c>
      <c r="AU1072" s="181" t="s">
        <v>7494</v>
      </c>
      <c r="AV1072" s="185" t="s">
        <v>176</v>
      </c>
      <c r="AX1072" s="185" t="s">
        <v>176</v>
      </c>
      <c r="AZ1072" s="55" t="s">
        <v>229</v>
      </c>
      <c r="BA1072" s="55" t="s">
        <v>229</v>
      </c>
      <c r="BB1072" s="55" t="s">
        <v>2081</v>
      </c>
      <c r="BC1072" s="55" t="s">
        <v>2081</v>
      </c>
      <c r="BD1072" s="55" t="s">
        <v>176</v>
      </c>
      <c r="BE1072" s="226" t="s">
        <v>732</v>
      </c>
      <c r="BF1072" s="191" t="s">
        <v>479</v>
      </c>
      <c r="BG1072" s="55" t="s">
        <v>479</v>
      </c>
      <c r="BH1072" s="226" t="s">
        <v>732</v>
      </c>
      <c r="BI1072" s="55" t="s">
        <v>479</v>
      </c>
      <c r="BJ1072" s="55" t="s">
        <v>176</v>
      </c>
      <c r="BK1072" s="55" t="s">
        <v>5976</v>
      </c>
      <c r="BM1072" s="192" t="s">
        <v>160</v>
      </c>
      <c r="BN1072" s="55">
        <v>3</v>
      </c>
      <c r="BO1072" s="55">
        <v>3</v>
      </c>
      <c r="BQ1072" s="55" t="s">
        <v>141</v>
      </c>
      <c r="CB1072" s="66">
        <v>8957</v>
      </c>
      <c r="CC1072" s="66">
        <v>8379</v>
      </c>
      <c r="FT1072" s="65">
        <v>64.400000000000006</v>
      </c>
      <c r="FU1072" s="65">
        <v>46.2</v>
      </c>
      <c r="FX1072" s="65" t="s">
        <v>739</v>
      </c>
      <c r="GP1072" s="292" t="s">
        <v>7494</v>
      </c>
      <c r="JU1072" s="55" t="s">
        <v>740</v>
      </c>
    </row>
    <row r="1073" spans="1:281" x14ac:dyDescent="0.25">
      <c r="A1073" s="55">
        <v>1072</v>
      </c>
      <c r="B1073" s="12" t="s">
        <v>7067</v>
      </c>
      <c r="C1073" s="155">
        <v>52</v>
      </c>
      <c r="D1073" s="55" t="s">
        <v>3911</v>
      </c>
      <c r="E1073" s="90" t="s">
        <v>727</v>
      </c>
      <c r="G1073" s="55" t="s">
        <v>728</v>
      </c>
      <c r="H1073" s="55">
        <v>1998</v>
      </c>
      <c r="I1073" s="55">
        <v>1989</v>
      </c>
      <c r="J1073" s="55" t="s">
        <v>729</v>
      </c>
      <c r="L1073" s="55" t="s">
        <v>2737</v>
      </c>
      <c r="M1073" s="90">
        <v>38.630000000000003</v>
      </c>
      <c r="N1073" s="90">
        <v>-75.459999999999994</v>
      </c>
      <c r="O1073" s="90">
        <v>10.8</v>
      </c>
      <c r="U1073" s="55">
        <v>1</v>
      </c>
      <c r="V1073" s="55" t="s">
        <v>1688</v>
      </c>
      <c r="Y1073" s="55" t="s">
        <v>1922</v>
      </c>
      <c r="Z1073" s="55" t="s">
        <v>1349</v>
      </c>
      <c r="AA1073" s="90" t="s">
        <v>1677</v>
      </c>
      <c r="AH1073" s="55" t="s">
        <v>174</v>
      </c>
      <c r="AM1073" s="55" t="s">
        <v>1310</v>
      </c>
      <c r="AN1073" s="185" t="s">
        <v>131</v>
      </c>
      <c r="AO1073" s="185" t="s">
        <v>5150</v>
      </c>
      <c r="AQ1073" s="55" t="s">
        <v>131</v>
      </c>
      <c r="AR1073" s="55" t="s">
        <v>132</v>
      </c>
      <c r="AS1073" s="55" t="s">
        <v>132</v>
      </c>
      <c r="AU1073" s="181" t="s">
        <v>7494</v>
      </c>
      <c r="AV1073" s="185" t="s">
        <v>176</v>
      </c>
      <c r="AX1073" s="185" t="s">
        <v>176</v>
      </c>
      <c r="AZ1073" s="55" t="s">
        <v>229</v>
      </c>
      <c r="BA1073" s="55" t="s">
        <v>229</v>
      </c>
      <c r="BB1073" s="55" t="s">
        <v>2081</v>
      </c>
      <c r="BC1073" s="55" t="s">
        <v>2081</v>
      </c>
      <c r="BD1073" s="55" t="s">
        <v>176</v>
      </c>
      <c r="BE1073" s="226" t="s">
        <v>732</v>
      </c>
      <c r="BF1073" s="191" t="s">
        <v>479</v>
      </c>
      <c r="BG1073" s="55" t="s">
        <v>479</v>
      </c>
      <c r="BH1073" s="226" t="s">
        <v>732</v>
      </c>
      <c r="BI1073" s="55" t="s">
        <v>479</v>
      </c>
      <c r="BJ1073" s="55" t="s">
        <v>176</v>
      </c>
      <c r="BK1073" s="55" t="s">
        <v>5976</v>
      </c>
      <c r="BM1073" s="192" t="s">
        <v>160</v>
      </c>
      <c r="BN1073" s="55">
        <v>3</v>
      </c>
      <c r="BO1073" s="55">
        <v>3</v>
      </c>
      <c r="BQ1073" s="55" t="s">
        <v>141</v>
      </c>
      <c r="FT1073" s="65">
        <v>23.5</v>
      </c>
      <c r="FU1073" s="65">
        <v>24.1</v>
      </c>
      <c r="FX1073" s="65" t="s">
        <v>739</v>
      </c>
      <c r="GP1073" s="292" t="s">
        <v>7494</v>
      </c>
      <c r="JU1073" s="55" t="s">
        <v>740</v>
      </c>
    </row>
    <row r="1074" spans="1:281" x14ac:dyDescent="0.25">
      <c r="A1074" s="55">
        <v>1073</v>
      </c>
      <c r="B1074" s="12" t="s">
        <v>7067</v>
      </c>
      <c r="C1074" s="155">
        <v>52</v>
      </c>
      <c r="D1074" s="55" t="s">
        <v>3910</v>
      </c>
      <c r="E1074" s="90" t="s">
        <v>727</v>
      </c>
      <c r="G1074" s="55" t="s">
        <v>728</v>
      </c>
      <c r="H1074" s="55">
        <v>1998</v>
      </c>
      <c r="I1074" s="55">
        <v>1990</v>
      </c>
      <c r="J1074" s="55" t="s">
        <v>729</v>
      </c>
      <c r="L1074" s="55" t="s">
        <v>2737</v>
      </c>
      <c r="M1074" s="90">
        <v>38.630000000000003</v>
      </c>
      <c r="N1074" s="90">
        <v>-75.459999999999994</v>
      </c>
      <c r="O1074" s="90">
        <v>10.8</v>
      </c>
      <c r="U1074" s="55">
        <v>2</v>
      </c>
      <c r="V1074" s="55" t="s">
        <v>1688</v>
      </c>
      <c r="Y1074" s="55" t="s">
        <v>1922</v>
      </c>
      <c r="Z1074" s="55" t="s">
        <v>1349</v>
      </c>
      <c r="AA1074" s="90" t="s">
        <v>1677</v>
      </c>
      <c r="AH1074" s="55" t="s">
        <v>174</v>
      </c>
      <c r="AM1074" s="55" t="s">
        <v>1310</v>
      </c>
      <c r="AN1074" s="185" t="s">
        <v>131</v>
      </c>
      <c r="AO1074" s="185" t="s">
        <v>5150</v>
      </c>
      <c r="AQ1074" s="55" t="s">
        <v>131</v>
      </c>
      <c r="AR1074" s="55" t="s">
        <v>132</v>
      </c>
      <c r="AS1074" s="55" t="s">
        <v>132</v>
      </c>
      <c r="AU1074" s="181" t="s">
        <v>7494</v>
      </c>
      <c r="AV1074" s="185" t="s">
        <v>176</v>
      </c>
      <c r="AX1074" s="185" t="s">
        <v>176</v>
      </c>
      <c r="AZ1074" s="55" t="s">
        <v>156</v>
      </c>
      <c r="BA1074" s="55" t="s">
        <v>156</v>
      </c>
      <c r="BB1074" s="55" t="s">
        <v>2082</v>
      </c>
      <c r="BC1074" s="55" t="s">
        <v>2082</v>
      </c>
      <c r="BD1074" s="55" t="s">
        <v>176</v>
      </c>
      <c r="BE1074" s="226" t="s">
        <v>730</v>
      </c>
      <c r="BF1074" s="191" t="s">
        <v>479</v>
      </c>
      <c r="BG1074" s="55" t="s">
        <v>479</v>
      </c>
      <c r="BH1074" s="226" t="s">
        <v>730</v>
      </c>
      <c r="BI1074" s="55" t="s">
        <v>479</v>
      </c>
      <c r="BJ1074" s="55" t="s">
        <v>176</v>
      </c>
      <c r="BK1074" s="55" t="s">
        <v>6269</v>
      </c>
      <c r="BM1074" s="192" t="s">
        <v>160</v>
      </c>
      <c r="BN1074" s="55">
        <v>3</v>
      </c>
      <c r="BO1074" s="55">
        <v>3</v>
      </c>
      <c r="BQ1074" s="55" t="s">
        <v>141</v>
      </c>
      <c r="CB1074" s="66">
        <v>7009</v>
      </c>
      <c r="CC1074" s="66">
        <v>7323</v>
      </c>
      <c r="DB1074" s="65">
        <f>(3.6+6.5+8.8)/3</f>
        <v>6.3</v>
      </c>
      <c r="DC1074" s="65">
        <f>(2.9+9+6.7)/3</f>
        <v>6.2</v>
      </c>
      <c r="DF1074" s="65" t="s">
        <v>1634</v>
      </c>
      <c r="FT1074" s="65">
        <v>41.6</v>
      </c>
      <c r="FU1074" s="65">
        <v>27.2</v>
      </c>
      <c r="FX1074" s="65" t="s">
        <v>739</v>
      </c>
      <c r="GP1074" s="292" t="s">
        <v>7494</v>
      </c>
      <c r="JU1074" s="55" t="s">
        <v>740</v>
      </c>
    </row>
    <row r="1075" spans="1:281" x14ac:dyDescent="0.25">
      <c r="A1075" s="55">
        <v>1074</v>
      </c>
      <c r="B1075" s="12" t="s">
        <v>7067</v>
      </c>
      <c r="C1075" s="155">
        <v>52</v>
      </c>
      <c r="D1075" s="55" t="s">
        <v>3910</v>
      </c>
      <c r="E1075" s="90" t="s">
        <v>727</v>
      </c>
      <c r="G1075" s="55" t="s">
        <v>728</v>
      </c>
      <c r="H1075" s="55">
        <v>1998</v>
      </c>
      <c r="I1075" s="55">
        <v>1990</v>
      </c>
      <c r="J1075" s="55" t="s">
        <v>729</v>
      </c>
      <c r="L1075" s="55" t="s">
        <v>2737</v>
      </c>
      <c r="M1075" s="90">
        <v>38.630000000000003</v>
      </c>
      <c r="N1075" s="90">
        <v>-75.459999999999994</v>
      </c>
      <c r="O1075" s="90">
        <v>10.8</v>
      </c>
      <c r="U1075" s="55">
        <v>2</v>
      </c>
      <c r="V1075" s="55" t="s">
        <v>1688</v>
      </c>
      <c r="Y1075" s="55" t="s">
        <v>1922</v>
      </c>
      <c r="Z1075" s="55" t="s">
        <v>1349</v>
      </c>
      <c r="AA1075" s="90" t="s">
        <v>1677</v>
      </c>
      <c r="AH1075" s="55" t="s">
        <v>174</v>
      </c>
      <c r="AM1075" s="55" t="s">
        <v>1310</v>
      </c>
      <c r="AN1075" s="185" t="s">
        <v>131</v>
      </c>
      <c r="AO1075" s="185" t="s">
        <v>5150</v>
      </c>
      <c r="AQ1075" s="55" t="s">
        <v>131</v>
      </c>
      <c r="AR1075" s="55" t="s">
        <v>132</v>
      </c>
      <c r="AS1075" s="55" t="s">
        <v>132</v>
      </c>
      <c r="AU1075" s="181" t="s">
        <v>7494</v>
      </c>
      <c r="AV1075" s="185" t="s">
        <v>176</v>
      </c>
      <c r="AX1075" s="185" t="s">
        <v>176</v>
      </c>
      <c r="AZ1075" s="55" t="s">
        <v>156</v>
      </c>
      <c r="BA1075" s="55" t="s">
        <v>156</v>
      </c>
      <c r="BB1075" s="55" t="s">
        <v>2082</v>
      </c>
      <c r="BC1075" s="55" t="s">
        <v>2082</v>
      </c>
      <c r="BD1075" s="55" t="s">
        <v>176</v>
      </c>
      <c r="BE1075" s="226" t="s">
        <v>731</v>
      </c>
      <c r="BF1075" s="191" t="s">
        <v>479</v>
      </c>
      <c r="BG1075" s="55" t="s">
        <v>479</v>
      </c>
      <c r="BH1075" s="226" t="s">
        <v>731</v>
      </c>
      <c r="BI1075" s="55" t="s">
        <v>479</v>
      </c>
      <c r="BJ1075" s="55" t="s">
        <v>176</v>
      </c>
      <c r="BK1075" s="55" t="s">
        <v>6269</v>
      </c>
      <c r="BM1075" s="192" t="s">
        <v>160</v>
      </c>
      <c r="BN1075" s="55">
        <v>3</v>
      </c>
      <c r="BO1075" s="55">
        <v>3</v>
      </c>
      <c r="BQ1075" s="55" t="s">
        <v>141</v>
      </c>
      <c r="CB1075" s="66">
        <v>6475</v>
      </c>
      <c r="CC1075" s="66">
        <v>7025</v>
      </c>
      <c r="FT1075" s="65">
        <v>45.7</v>
      </c>
      <c r="FU1075" s="65">
        <v>31.4</v>
      </c>
      <c r="FX1075" s="65" t="s">
        <v>739</v>
      </c>
      <c r="GP1075" s="292" t="s">
        <v>7494</v>
      </c>
      <c r="JU1075" s="55" t="s">
        <v>740</v>
      </c>
    </row>
    <row r="1076" spans="1:281" x14ac:dyDescent="0.25">
      <c r="A1076" s="55">
        <v>1075</v>
      </c>
      <c r="B1076" s="12" t="s">
        <v>7067</v>
      </c>
      <c r="C1076" s="155">
        <v>52</v>
      </c>
      <c r="D1076" s="55" t="s">
        <v>3910</v>
      </c>
      <c r="E1076" s="90" t="s">
        <v>727</v>
      </c>
      <c r="G1076" s="55" t="s">
        <v>728</v>
      </c>
      <c r="H1076" s="55">
        <v>1998</v>
      </c>
      <c r="I1076" s="55">
        <v>1990</v>
      </c>
      <c r="J1076" s="55" t="s">
        <v>729</v>
      </c>
      <c r="L1076" s="55" t="s">
        <v>2737</v>
      </c>
      <c r="M1076" s="90">
        <v>38.630000000000003</v>
      </c>
      <c r="N1076" s="90">
        <v>-75.459999999999994</v>
      </c>
      <c r="O1076" s="90">
        <v>10.8</v>
      </c>
      <c r="U1076" s="55">
        <v>2</v>
      </c>
      <c r="V1076" s="55" t="s">
        <v>1688</v>
      </c>
      <c r="Y1076" s="55" t="s">
        <v>1922</v>
      </c>
      <c r="Z1076" s="55" t="s">
        <v>1349</v>
      </c>
      <c r="AA1076" s="90" t="s">
        <v>1677</v>
      </c>
      <c r="AH1076" s="55" t="s">
        <v>174</v>
      </c>
      <c r="AM1076" s="55" t="s">
        <v>1310</v>
      </c>
      <c r="AN1076" s="185" t="s">
        <v>131</v>
      </c>
      <c r="AO1076" s="185" t="s">
        <v>5150</v>
      </c>
      <c r="AQ1076" s="55" t="s">
        <v>131</v>
      </c>
      <c r="AR1076" s="55" t="s">
        <v>132</v>
      </c>
      <c r="AS1076" s="55" t="s">
        <v>132</v>
      </c>
      <c r="AU1076" s="181" t="s">
        <v>7494</v>
      </c>
      <c r="AV1076" s="185" t="s">
        <v>176</v>
      </c>
      <c r="AX1076" s="185" t="s">
        <v>176</v>
      </c>
      <c r="AZ1076" s="55" t="s">
        <v>156</v>
      </c>
      <c r="BA1076" s="55" t="s">
        <v>156</v>
      </c>
      <c r="BB1076" s="55" t="s">
        <v>2082</v>
      </c>
      <c r="BC1076" s="55" t="s">
        <v>2082</v>
      </c>
      <c r="BD1076" s="55" t="s">
        <v>176</v>
      </c>
      <c r="BE1076" s="226" t="s">
        <v>732</v>
      </c>
      <c r="BF1076" s="191" t="s">
        <v>479</v>
      </c>
      <c r="BG1076" s="55" t="s">
        <v>479</v>
      </c>
      <c r="BH1076" s="226" t="s">
        <v>732</v>
      </c>
      <c r="BI1076" s="55" t="s">
        <v>479</v>
      </c>
      <c r="BJ1076" s="55" t="s">
        <v>176</v>
      </c>
      <c r="BK1076" s="55" t="s">
        <v>6269</v>
      </c>
      <c r="BM1076" s="192" t="s">
        <v>160</v>
      </c>
      <c r="BN1076" s="55">
        <v>3</v>
      </c>
      <c r="BO1076" s="55">
        <v>3</v>
      </c>
      <c r="BQ1076" s="55" t="s">
        <v>141</v>
      </c>
      <c r="CB1076" s="66">
        <v>6617</v>
      </c>
      <c r="CC1076" s="66">
        <v>7291</v>
      </c>
      <c r="FT1076" s="65">
        <v>25.3</v>
      </c>
      <c r="FU1076" s="65">
        <v>19.399999999999999</v>
      </c>
      <c r="FX1076" s="65" t="s">
        <v>739</v>
      </c>
      <c r="GP1076" s="292" t="s">
        <v>7494</v>
      </c>
      <c r="JU1076" s="55" t="s">
        <v>740</v>
      </c>
    </row>
    <row r="1077" spans="1:281" x14ac:dyDescent="0.25">
      <c r="A1077" s="55">
        <v>1076</v>
      </c>
      <c r="B1077" s="12" t="s">
        <v>7067</v>
      </c>
      <c r="C1077" s="155">
        <v>52</v>
      </c>
      <c r="D1077" s="55" t="s">
        <v>3910</v>
      </c>
      <c r="E1077" s="90" t="s">
        <v>727</v>
      </c>
      <c r="G1077" s="55" t="s">
        <v>728</v>
      </c>
      <c r="H1077" s="55">
        <v>1998</v>
      </c>
      <c r="I1077" s="55">
        <v>1990</v>
      </c>
      <c r="J1077" s="55" t="s">
        <v>729</v>
      </c>
      <c r="L1077" s="55" t="s">
        <v>2737</v>
      </c>
      <c r="M1077" s="90">
        <v>38.630000000000003</v>
      </c>
      <c r="N1077" s="90">
        <v>-75.459999999999994</v>
      </c>
      <c r="O1077" s="90">
        <v>10.8</v>
      </c>
      <c r="U1077" s="55">
        <v>2</v>
      </c>
      <c r="V1077" s="55" t="s">
        <v>1688</v>
      </c>
      <c r="Y1077" s="55" t="s">
        <v>1922</v>
      </c>
      <c r="Z1077" s="55" t="s">
        <v>1349</v>
      </c>
      <c r="AA1077" s="90" t="s">
        <v>1677</v>
      </c>
      <c r="AH1077" s="55" t="s">
        <v>174</v>
      </c>
      <c r="AM1077" s="55" t="s">
        <v>1310</v>
      </c>
      <c r="AN1077" s="185" t="s">
        <v>131</v>
      </c>
      <c r="AO1077" s="185" t="s">
        <v>5150</v>
      </c>
      <c r="AQ1077" s="55" t="s">
        <v>131</v>
      </c>
      <c r="AR1077" s="55" t="s">
        <v>132</v>
      </c>
      <c r="AS1077" s="55" t="s">
        <v>132</v>
      </c>
      <c r="AU1077" s="181" t="s">
        <v>7494</v>
      </c>
      <c r="AV1077" s="185" t="s">
        <v>176</v>
      </c>
      <c r="AX1077" s="185" t="s">
        <v>176</v>
      </c>
      <c r="AZ1077" s="55" t="s">
        <v>156</v>
      </c>
      <c r="BA1077" s="55" t="s">
        <v>156</v>
      </c>
      <c r="BB1077" s="55" t="s">
        <v>2082</v>
      </c>
      <c r="BC1077" s="55" t="s">
        <v>2082</v>
      </c>
      <c r="BD1077" s="55" t="s">
        <v>176</v>
      </c>
      <c r="BE1077" s="226" t="s">
        <v>732</v>
      </c>
      <c r="BF1077" s="191" t="s">
        <v>479</v>
      </c>
      <c r="BG1077" s="55" t="s">
        <v>479</v>
      </c>
      <c r="BH1077" s="226" t="s">
        <v>732</v>
      </c>
      <c r="BI1077" s="55" t="s">
        <v>479</v>
      </c>
      <c r="BJ1077" s="55" t="s">
        <v>176</v>
      </c>
      <c r="BK1077" s="55" t="s">
        <v>6269</v>
      </c>
      <c r="BM1077" s="192" t="s">
        <v>160</v>
      </c>
      <c r="BN1077" s="55">
        <v>3</v>
      </c>
      <c r="BO1077" s="55">
        <v>3</v>
      </c>
      <c r="BQ1077" s="55" t="s">
        <v>141</v>
      </c>
      <c r="FT1077" s="65">
        <v>3.6</v>
      </c>
      <c r="FU1077" s="65">
        <v>4.4000000000000004</v>
      </c>
      <c r="FX1077" s="65" t="s">
        <v>739</v>
      </c>
      <c r="GP1077" s="292" t="s">
        <v>7494</v>
      </c>
      <c r="JU1077" s="55" t="s">
        <v>740</v>
      </c>
    </row>
    <row r="1078" spans="1:281" x14ac:dyDescent="0.25">
      <c r="A1078" s="55">
        <v>1077</v>
      </c>
      <c r="B1078" s="12" t="s">
        <v>7067</v>
      </c>
      <c r="C1078" s="155">
        <v>52</v>
      </c>
      <c r="D1078" s="55" t="s">
        <v>3911</v>
      </c>
      <c r="E1078" s="90" t="s">
        <v>727</v>
      </c>
      <c r="G1078" s="55" t="s">
        <v>728</v>
      </c>
      <c r="H1078" s="55">
        <v>1998</v>
      </c>
      <c r="I1078" s="55">
        <v>1990</v>
      </c>
      <c r="J1078" s="55" t="s">
        <v>729</v>
      </c>
      <c r="L1078" s="55" t="s">
        <v>2737</v>
      </c>
      <c r="M1078" s="90">
        <v>38.630000000000003</v>
      </c>
      <c r="N1078" s="90">
        <v>-75.459999999999994</v>
      </c>
      <c r="O1078" s="90">
        <v>10.8</v>
      </c>
      <c r="U1078" s="55">
        <v>2</v>
      </c>
      <c r="V1078" s="55" t="s">
        <v>1688</v>
      </c>
      <c r="Y1078" s="55" t="s">
        <v>1922</v>
      </c>
      <c r="Z1078" s="55" t="s">
        <v>1349</v>
      </c>
      <c r="AA1078" s="90" t="s">
        <v>1677</v>
      </c>
      <c r="AH1078" s="55" t="s">
        <v>174</v>
      </c>
      <c r="AM1078" s="55" t="s">
        <v>1310</v>
      </c>
      <c r="AN1078" s="185" t="s">
        <v>131</v>
      </c>
      <c r="AO1078" s="185" t="s">
        <v>5150</v>
      </c>
      <c r="AQ1078" s="55" t="s">
        <v>131</v>
      </c>
      <c r="AR1078" s="55" t="s">
        <v>132</v>
      </c>
      <c r="AS1078" s="55" t="s">
        <v>132</v>
      </c>
      <c r="AU1078" s="181" t="s">
        <v>7494</v>
      </c>
      <c r="AV1078" s="185" t="s">
        <v>176</v>
      </c>
      <c r="AX1078" s="185" t="s">
        <v>176</v>
      </c>
      <c r="AZ1078" s="55" t="s">
        <v>229</v>
      </c>
      <c r="BA1078" s="55" t="s">
        <v>229</v>
      </c>
      <c r="BB1078" s="55" t="s">
        <v>2081</v>
      </c>
      <c r="BC1078" s="55" t="s">
        <v>2081</v>
      </c>
      <c r="BD1078" s="55" t="s">
        <v>176</v>
      </c>
      <c r="BE1078" s="226" t="s">
        <v>730</v>
      </c>
      <c r="BF1078" s="191" t="s">
        <v>479</v>
      </c>
      <c r="BG1078" s="55" t="s">
        <v>479</v>
      </c>
      <c r="BH1078" s="226" t="s">
        <v>730</v>
      </c>
      <c r="BI1078" s="55" t="s">
        <v>479</v>
      </c>
      <c r="BJ1078" s="55" t="s">
        <v>176</v>
      </c>
      <c r="BK1078" s="55" t="s">
        <v>5976</v>
      </c>
      <c r="BM1078" s="192" t="s">
        <v>160</v>
      </c>
      <c r="BN1078" s="55">
        <v>3</v>
      </c>
      <c r="BO1078" s="55">
        <v>3</v>
      </c>
      <c r="BQ1078" s="55" t="s">
        <v>141</v>
      </c>
      <c r="CB1078" s="66">
        <v>8593</v>
      </c>
      <c r="CC1078" s="66">
        <v>8059</v>
      </c>
      <c r="DB1078" s="65">
        <f>(3.3+6.6+7.9)/3</f>
        <v>5.9333333333333327</v>
      </c>
      <c r="DC1078" s="65">
        <f>(2.3+7.3+6.3)/3</f>
        <v>5.3</v>
      </c>
      <c r="DF1078" s="65" t="s">
        <v>1634</v>
      </c>
      <c r="FT1078" s="65">
        <v>31.1</v>
      </c>
      <c r="FU1078" s="65">
        <v>48.6</v>
      </c>
      <c r="FX1078" s="65" t="s">
        <v>739</v>
      </c>
      <c r="GP1078" s="292" t="s">
        <v>7494</v>
      </c>
      <c r="JU1078" s="55" t="s">
        <v>740</v>
      </c>
    </row>
    <row r="1079" spans="1:281" x14ac:dyDescent="0.25">
      <c r="A1079" s="55">
        <v>1078</v>
      </c>
      <c r="B1079" s="12" t="s">
        <v>7067</v>
      </c>
      <c r="C1079" s="155">
        <v>52</v>
      </c>
      <c r="D1079" s="55" t="s">
        <v>3911</v>
      </c>
      <c r="E1079" s="90" t="s">
        <v>727</v>
      </c>
      <c r="G1079" s="55" t="s">
        <v>728</v>
      </c>
      <c r="H1079" s="55">
        <v>1998</v>
      </c>
      <c r="I1079" s="55">
        <v>1990</v>
      </c>
      <c r="J1079" s="55" t="s">
        <v>729</v>
      </c>
      <c r="L1079" s="55" t="s">
        <v>2737</v>
      </c>
      <c r="M1079" s="90">
        <v>38.630000000000003</v>
      </c>
      <c r="N1079" s="90">
        <v>-75.459999999999994</v>
      </c>
      <c r="O1079" s="90">
        <v>10.8</v>
      </c>
      <c r="U1079" s="55">
        <v>2</v>
      </c>
      <c r="V1079" s="55" t="s">
        <v>1688</v>
      </c>
      <c r="Y1079" s="55" t="s">
        <v>1922</v>
      </c>
      <c r="Z1079" s="55" t="s">
        <v>1349</v>
      </c>
      <c r="AA1079" s="90" t="s">
        <v>1677</v>
      </c>
      <c r="AH1079" s="55" t="s">
        <v>174</v>
      </c>
      <c r="AM1079" s="55" t="s">
        <v>1310</v>
      </c>
      <c r="AN1079" s="185" t="s">
        <v>131</v>
      </c>
      <c r="AO1079" s="185" t="s">
        <v>5150</v>
      </c>
      <c r="AQ1079" s="55" t="s">
        <v>131</v>
      </c>
      <c r="AR1079" s="55" t="s">
        <v>132</v>
      </c>
      <c r="AS1079" s="55" t="s">
        <v>132</v>
      </c>
      <c r="AU1079" s="181" t="s">
        <v>7494</v>
      </c>
      <c r="AV1079" s="185" t="s">
        <v>176</v>
      </c>
      <c r="AX1079" s="185" t="s">
        <v>176</v>
      </c>
      <c r="AZ1079" s="55" t="s">
        <v>229</v>
      </c>
      <c r="BA1079" s="55" t="s">
        <v>229</v>
      </c>
      <c r="BB1079" s="55" t="s">
        <v>2081</v>
      </c>
      <c r="BC1079" s="55" t="s">
        <v>2081</v>
      </c>
      <c r="BD1079" s="55" t="s">
        <v>176</v>
      </c>
      <c r="BE1079" s="226" t="s">
        <v>731</v>
      </c>
      <c r="BF1079" s="191" t="s">
        <v>479</v>
      </c>
      <c r="BG1079" s="55" t="s">
        <v>479</v>
      </c>
      <c r="BH1079" s="226" t="s">
        <v>731</v>
      </c>
      <c r="BI1079" s="55" t="s">
        <v>479</v>
      </c>
      <c r="BJ1079" s="55" t="s">
        <v>176</v>
      </c>
      <c r="BK1079" s="55" t="s">
        <v>5976</v>
      </c>
      <c r="BM1079" s="192" t="s">
        <v>160</v>
      </c>
      <c r="BN1079" s="55">
        <v>3</v>
      </c>
      <c r="BO1079" s="55">
        <v>3</v>
      </c>
      <c r="BQ1079" s="55" t="s">
        <v>141</v>
      </c>
      <c r="CB1079" s="66">
        <v>7558</v>
      </c>
      <c r="CC1079" s="66">
        <v>7401</v>
      </c>
      <c r="FT1079" s="65">
        <v>37.4</v>
      </c>
      <c r="FU1079" s="65">
        <v>35.1</v>
      </c>
      <c r="FX1079" s="65" t="s">
        <v>739</v>
      </c>
      <c r="GP1079" s="292" t="s">
        <v>7494</v>
      </c>
      <c r="JU1079" s="55" t="s">
        <v>740</v>
      </c>
    </row>
    <row r="1080" spans="1:281" x14ac:dyDescent="0.25">
      <c r="A1080" s="55">
        <v>1079</v>
      </c>
      <c r="B1080" s="12" t="s">
        <v>7067</v>
      </c>
      <c r="C1080" s="155">
        <v>52</v>
      </c>
      <c r="D1080" s="55" t="s">
        <v>3911</v>
      </c>
      <c r="E1080" s="90" t="s">
        <v>727</v>
      </c>
      <c r="G1080" s="55" t="s">
        <v>728</v>
      </c>
      <c r="H1080" s="55">
        <v>1998</v>
      </c>
      <c r="I1080" s="55">
        <v>1990</v>
      </c>
      <c r="J1080" s="55" t="s">
        <v>729</v>
      </c>
      <c r="L1080" s="55" t="s">
        <v>2737</v>
      </c>
      <c r="M1080" s="90">
        <v>38.630000000000003</v>
      </c>
      <c r="N1080" s="90">
        <v>-75.459999999999994</v>
      </c>
      <c r="O1080" s="90">
        <v>10.8</v>
      </c>
      <c r="U1080" s="55">
        <v>2</v>
      </c>
      <c r="V1080" s="55" t="s">
        <v>1688</v>
      </c>
      <c r="Y1080" s="55" t="s">
        <v>1922</v>
      </c>
      <c r="Z1080" s="55" t="s">
        <v>1349</v>
      </c>
      <c r="AA1080" s="90" t="s">
        <v>1677</v>
      </c>
      <c r="AH1080" s="55" t="s">
        <v>174</v>
      </c>
      <c r="AM1080" s="55" t="s">
        <v>1310</v>
      </c>
      <c r="AN1080" s="185" t="s">
        <v>131</v>
      </c>
      <c r="AO1080" s="185" t="s">
        <v>5150</v>
      </c>
      <c r="AQ1080" s="55" t="s">
        <v>131</v>
      </c>
      <c r="AR1080" s="55" t="s">
        <v>132</v>
      </c>
      <c r="AS1080" s="55" t="s">
        <v>132</v>
      </c>
      <c r="AU1080" s="181" t="s">
        <v>7494</v>
      </c>
      <c r="AV1080" s="185" t="s">
        <v>176</v>
      </c>
      <c r="AX1080" s="185" t="s">
        <v>176</v>
      </c>
      <c r="AZ1080" s="55" t="s">
        <v>229</v>
      </c>
      <c r="BA1080" s="55" t="s">
        <v>229</v>
      </c>
      <c r="BB1080" s="55" t="s">
        <v>2081</v>
      </c>
      <c r="BC1080" s="55" t="s">
        <v>2081</v>
      </c>
      <c r="BD1080" s="55" t="s">
        <v>176</v>
      </c>
      <c r="BE1080" s="226" t="s">
        <v>732</v>
      </c>
      <c r="BF1080" s="191" t="s">
        <v>479</v>
      </c>
      <c r="BG1080" s="55" t="s">
        <v>479</v>
      </c>
      <c r="BH1080" s="226" t="s">
        <v>732</v>
      </c>
      <c r="BI1080" s="55" t="s">
        <v>479</v>
      </c>
      <c r="BJ1080" s="55" t="s">
        <v>176</v>
      </c>
      <c r="BK1080" s="55" t="s">
        <v>5976</v>
      </c>
      <c r="BM1080" s="192" t="s">
        <v>160</v>
      </c>
      <c r="BN1080" s="55">
        <v>3</v>
      </c>
      <c r="BO1080" s="55">
        <v>3</v>
      </c>
      <c r="BQ1080" s="55" t="s">
        <v>141</v>
      </c>
      <c r="CB1080" s="66">
        <v>7777</v>
      </c>
      <c r="CC1080" s="66">
        <v>7605</v>
      </c>
      <c r="FT1080" s="65">
        <v>28.7</v>
      </c>
      <c r="FU1080" s="65">
        <v>19.399999999999999</v>
      </c>
      <c r="FX1080" s="65" t="s">
        <v>739</v>
      </c>
      <c r="GP1080" s="292" t="s">
        <v>7494</v>
      </c>
      <c r="JU1080" s="55" t="s">
        <v>740</v>
      </c>
    </row>
    <row r="1081" spans="1:281" x14ac:dyDescent="0.25">
      <c r="A1081" s="55">
        <v>1080</v>
      </c>
      <c r="B1081" s="12" t="s">
        <v>7067</v>
      </c>
      <c r="C1081" s="155">
        <v>52</v>
      </c>
      <c r="D1081" s="55" t="s">
        <v>3911</v>
      </c>
      <c r="E1081" s="90" t="s">
        <v>727</v>
      </c>
      <c r="G1081" s="55" t="s">
        <v>728</v>
      </c>
      <c r="H1081" s="55">
        <v>1998</v>
      </c>
      <c r="I1081" s="55">
        <v>1990</v>
      </c>
      <c r="J1081" s="55" t="s">
        <v>729</v>
      </c>
      <c r="L1081" s="55" t="s">
        <v>2737</v>
      </c>
      <c r="M1081" s="90">
        <v>38.630000000000003</v>
      </c>
      <c r="N1081" s="90">
        <v>-75.459999999999994</v>
      </c>
      <c r="O1081" s="90">
        <v>10.8</v>
      </c>
      <c r="U1081" s="55">
        <v>2</v>
      </c>
      <c r="V1081" s="55" t="s">
        <v>1688</v>
      </c>
      <c r="Y1081" s="55" t="s">
        <v>1922</v>
      </c>
      <c r="Z1081" s="55" t="s">
        <v>1349</v>
      </c>
      <c r="AA1081" s="90" t="s">
        <v>1677</v>
      </c>
      <c r="AH1081" s="55" t="s">
        <v>174</v>
      </c>
      <c r="AM1081" s="55" t="s">
        <v>1310</v>
      </c>
      <c r="AN1081" s="185" t="s">
        <v>131</v>
      </c>
      <c r="AO1081" s="185" t="s">
        <v>5150</v>
      </c>
      <c r="AQ1081" s="55" t="s">
        <v>131</v>
      </c>
      <c r="AR1081" s="55" t="s">
        <v>132</v>
      </c>
      <c r="AS1081" s="55" t="s">
        <v>132</v>
      </c>
      <c r="AU1081" s="181" t="s">
        <v>7494</v>
      </c>
      <c r="AV1081" s="185" t="s">
        <v>176</v>
      </c>
      <c r="AX1081" s="185" t="s">
        <v>176</v>
      </c>
      <c r="AZ1081" s="55" t="s">
        <v>229</v>
      </c>
      <c r="BA1081" s="55" t="s">
        <v>229</v>
      </c>
      <c r="BB1081" s="55" t="s">
        <v>2081</v>
      </c>
      <c r="BC1081" s="55" t="s">
        <v>2081</v>
      </c>
      <c r="BD1081" s="55" t="s">
        <v>176</v>
      </c>
      <c r="BE1081" s="226" t="s">
        <v>732</v>
      </c>
      <c r="BF1081" s="191" t="s">
        <v>479</v>
      </c>
      <c r="BG1081" s="55" t="s">
        <v>479</v>
      </c>
      <c r="BH1081" s="226" t="s">
        <v>732</v>
      </c>
      <c r="BI1081" s="55" t="s">
        <v>479</v>
      </c>
      <c r="BJ1081" s="55" t="s">
        <v>176</v>
      </c>
      <c r="BK1081" s="55" t="s">
        <v>5976</v>
      </c>
      <c r="BM1081" s="192" t="s">
        <v>160</v>
      </c>
      <c r="BN1081" s="55">
        <v>3</v>
      </c>
      <c r="BO1081" s="55">
        <v>3</v>
      </c>
      <c r="BQ1081" s="55" t="s">
        <v>141</v>
      </c>
      <c r="FT1081" s="65">
        <v>6.2</v>
      </c>
      <c r="FU1081" s="65">
        <v>6.5</v>
      </c>
      <c r="FX1081" s="65" t="s">
        <v>739</v>
      </c>
      <c r="GP1081" s="292" t="s">
        <v>7494</v>
      </c>
      <c r="JU1081" s="55" t="s">
        <v>740</v>
      </c>
    </row>
    <row r="1082" spans="1:281" x14ac:dyDescent="0.25">
      <c r="A1082" s="55">
        <v>1081</v>
      </c>
      <c r="B1082" s="12" t="s">
        <v>7067</v>
      </c>
      <c r="C1082" s="155">
        <v>52</v>
      </c>
      <c r="D1082" s="55" t="s">
        <v>3910</v>
      </c>
      <c r="E1082" s="90" t="s">
        <v>727</v>
      </c>
      <c r="G1082" s="55" t="s">
        <v>728</v>
      </c>
      <c r="H1082" s="55">
        <v>1998</v>
      </c>
      <c r="I1082" s="55">
        <v>1991</v>
      </c>
      <c r="J1082" s="55" t="s">
        <v>729</v>
      </c>
      <c r="L1082" s="55" t="s">
        <v>2737</v>
      </c>
      <c r="M1082" s="90">
        <v>38.630000000000003</v>
      </c>
      <c r="N1082" s="90">
        <v>-75.459999999999994</v>
      </c>
      <c r="O1082" s="90">
        <v>10.8</v>
      </c>
      <c r="U1082" s="55">
        <v>3</v>
      </c>
      <c r="V1082" s="55" t="s">
        <v>1688</v>
      </c>
      <c r="Y1082" s="55" t="s">
        <v>1922</v>
      </c>
      <c r="Z1082" s="55" t="s">
        <v>1349</v>
      </c>
      <c r="AA1082" s="90" t="s">
        <v>1677</v>
      </c>
      <c r="AH1082" s="55" t="s">
        <v>174</v>
      </c>
      <c r="AM1082" s="55" t="s">
        <v>1310</v>
      </c>
      <c r="AN1082" s="185" t="s">
        <v>131</v>
      </c>
      <c r="AO1082" s="185" t="s">
        <v>5150</v>
      </c>
      <c r="AQ1082" s="55" t="s">
        <v>131</v>
      </c>
      <c r="AR1082" s="55" t="s">
        <v>132</v>
      </c>
      <c r="AS1082" s="55" t="s">
        <v>132</v>
      </c>
      <c r="AU1082" s="181" t="s">
        <v>7494</v>
      </c>
      <c r="AV1082" s="185" t="s">
        <v>176</v>
      </c>
      <c r="AX1082" s="185" t="s">
        <v>176</v>
      </c>
      <c r="AZ1082" s="55" t="s">
        <v>156</v>
      </c>
      <c r="BA1082" s="55" t="s">
        <v>156</v>
      </c>
      <c r="BB1082" s="55" t="s">
        <v>2082</v>
      </c>
      <c r="BC1082" s="55" t="s">
        <v>2082</v>
      </c>
      <c r="BD1082" s="55" t="s">
        <v>176</v>
      </c>
      <c r="BE1082" s="226" t="s">
        <v>730</v>
      </c>
      <c r="BF1082" s="191" t="s">
        <v>479</v>
      </c>
      <c r="BG1082" s="55" t="s">
        <v>479</v>
      </c>
      <c r="BH1082" s="226" t="s">
        <v>730</v>
      </c>
      <c r="BI1082" s="55" t="s">
        <v>479</v>
      </c>
      <c r="BJ1082" s="55" t="s">
        <v>176</v>
      </c>
      <c r="BK1082" s="55" t="s">
        <v>6269</v>
      </c>
      <c r="BM1082" s="192" t="s">
        <v>160</v>
      </c>
      <c r="BN1082" s="55">
        <v>3</v>
      </c>
      <c r="BO1082" s="55">
        <v>3</v>
      </c>
      <c r="BQ1082" s="55" t="s">
        <v>141</v>
      </c>
      <c r="CB1082" s="66">
        <v>8216</v>
      </c>
      <c r="CC1082" s="66">
        <v>8106</v>
      </c>
      <c r="DB1082" s="65">
        <f>(3+5)/2</f>
        <v>4</v>
      </c>
      <c r="DC1082" s="65">
        <f>(1.4+7.4)/2</f>
        <v>4.4000000000000004</v>
      </c>
      <c r="DF1082" s="65" t="s">
        <v>1634</v>
      </c>
      <c r="FT1082" s="65">
        <v>3.8</v>
      </c>
      <c r="FU1082" s="65">
        <v>3.7</v>
      </c>
      <c r="FX1082" s="65" t="s">
        <v>739</v>
      </c>
      <c r="GP1082" s="292" t="s">
        <v>7494</v>
      </c>
      <c r="JU1082" s="55" t="s">
        <v>740</v>
      </c>
    </row>
    <row r="1083" spans="1:281" x14ac:dyDescent="0.25">
      <c r="A1083" s="55">
        <v>1082</v>
      </c>
      <c r="B1083" s="12" t="s">
        <v>7067</v>
      </c>
      <c r="C1083" s="155">
        <v>52</v>
      </c>
      <c r="D1083" s="55" t="s">
        <v>3910</v>
      </c>
      <c r="E1083" s="90" t="s">
        <v>727</v>
      </c>
      <c r="G1083" s="55" t="s">
        <v>728</v>
      </c>
      <c r="H1083" s="55">
        <v>1998</v>
      </c>
      <c r="I1083" s="55">
        <v>1991</v>
      </c>
      <c r="J1083" s="55" t="s">
        <v>729</v>
      </c>
      <c r="L1083" s="55" t="s">
        <v>2737</v>
      </c>
      <c r="M1083" s="90">
        <v>38.630000000000003</v>
      </c>
      <c r="N1083" s="90">
        <v>-75.459999999999994</v>
      </c>
      <c r="O1083" s="90">
        <v>10.8</v>
      </c>
      <c r="U1083" s="55">
        <v>3</v>
      </c>
      <c r="V1083" s="55" t="s">
        <v>1688</v>
      </c>
      <c r="Y1083" s="55" t="s">
        <v>1922</v>
      </c>
      <c r="Z1083" s="55" t="s">
        <v>1349</v>
      </c>
      <c r="AA1083" s="90" t="s">
        <v>1677</v>
      </c>
      <c r="AH1083" s="55" t="s">
        <v>174</v>
      </c>
      <c r="AM1083" s="55" t="s">
        <v>1310</v>
      </c>
      <c r="AN1083" s="185" t="s">
        <v>131</v>
      </c>
      <c r="AO1083" s="185" t="s">
        <v>5150</v>
      </c>
      <c r="AQ1083" s="55" t="s">
        <v>131</v>
      </c>
      <c r="AR1083" s="55" t="s">
        <v>132</v>
      </c>
      <c r="AS1083" s="55" t="s">
        <v>132</v>
      </c>
      <c r="AU1083" s="181" t="s">
        <v>7494</v>
      </c>
      <c r="AV1083" s="185" t="s">
        <v>176</v>
      </c>
      <c r="AX1083" s="185" t="s">
        <v>176</v>
      </c>
      <c r="AZ1083" s="55" t="s">
        <v>156</v>
      </c>
      <c r="BA1083" s="55" t="s">
        <v>156</v>
      </c>
      <c r="BB1083" s="55" t="s">
        <v>2082</v>
      </c>
      <c r="BC1083" s="55" t="s">
        <v>2082</v>
      </c>
      <c r="BD1083" s="55" t="s">
        <v>176</v>
      </c>
      <c r="BE1083" s="226" t="s">
        <v>731</v>
      </c>
      <c r="BF1083" s="191" t="s">
        <v>479</v>
      </c>
      <c r="BG1083" s="55" t="s">
        <v>479</v>
      </c>
      <c r="BH1083" s="226" t="s">
        <v>731</v>
      </c>
      <c r="BI1083" s="55" t="s">
        <v>479</v>
      </c>
      <c r="BJ1083" s="55" t="s">
        <v>176</v>
      </c>
      <c r="BK1083" s="55" t="s">
        <v>6269</v>
      </c>
      <c r="BM1083" s="192" t="s">
        <v>160</v>
      </c>
      <c r="BN1083" s="55">
        <v>3</v>
      </c>
      <c r="BO1083" s="55">
        <v>3</v>
      </c>
      <c r="BQ1083" s="55" t="s">
        <v>141</v>
      </c>
      <c r="CB1083" s="66">
        <v>7243</v>
      </c>
      <c r="CC1083" s="66">
        <v>8467</v>
      </c>
      <c r="FT1083" s="65">
        <v>28.3</v>
      </c>
      <c r="FU1083" s="65">
        <v>25.4</v>
      </c>
      <c r="FX1083" s="65" t="s">
        <v>739</v>
      </c>
      <c r="GP1083" s="292" t="s">
        <v>7494</v>
      </c>
      <c r="JU1083" s="55" t="s">
        <v>740</v>
      </c>
    </row>
    <row r="1084" spans="1:281" x14ac:dyDescent="0.25">
      <c r="A1084" s="55">
        <v>1083</v>
      </c>
      <c r="B1084" s="12" t="s">
        <v>7067</v>
      </c>
      <c r="C1084" s="155">
        <v>52</v>
      </c>
      <c r="D1084" s="55" t="s">
        <v>3910</v>
      </c>
      <c r="E1084" s="90" t="s">
        <v>727</v>
      </c>
      <c r="G1084" s="55" t="s">
        <v>728</v>
      </c>
      <c r="H1084" s="55">
        <v>1998</v>
      </c>
      <c r="I1084" s="55">
        <v>1991</v>
      </c>
      <c r="J1084" s="55" t="s">
        <v>729</v>
      </c>
      <c r="L1084" s="55" t="s">
        <v>2737</v>
      </c>
      <c r="M1084" s="90">
        <v>38.630000000000003</v>
      </c>
      <c r="N1084" s="90">
        <v>-75.459999999999994</v>
      </c>
      <c r="O1084" s="90">
        <v>10.8</v>
      </c>
      <c r="U1084" s="55">
        <v>3</v>
      </c>
      <c r="V1084" s="55" t="s">
        <v>1688</v>
      </c>
      <c r="Y1084" s="55" t="s">
        <v>1922</v>
      </c>
      <c r="Z1084" s="55" t="s">
        <v>1349</v>
      </c>
      <c r="AA1084" s="90" t="s">
        <v>1677</v>
      </c>
      <c r="AH1084" s="55" t="s">
        <v>174</v>
      </c>
      <c r="AM1084" s="55" t="s">
        <v>1310</v>
      </c>
      <c r="AN1084" s="185" t="s">
        <v>131</v>
      </c>
      <c r="AO1084" s="185" t="s">
        <v>5150</v>
      </c>
      <c r="AQ1084" s="55" t="s">
        <v>131</v>
      </c>
      <c r="AR1084" s="55" t="s">
        <v>132</v>
      </c>
      <c r="AS1084" s="55" t="s">
        <v>132</v>
      </c>
      <c r="AU1084" s="181" t="s">
        <v>7494</v>
      </c>
      <c r="AV1084" s="185" t="s">
        <v>176</v>
      </c>
      <c r="AX1084" s="185" t="s">
        <v>176</v>
      </c>
      <c r="AZ1084" s="55" t="s">
        <v>156</v>
      </c>
      <c r="BA1084" s="55" t="s">
        <v>156</v>
      </c>
      <c r="BB1084" s="55" t="s">
        <v>2082</v>
      </c>
      <c r="BC1084" s="55" t="s">
        <v>2082</v>
      </c>
      <c r="BD1084" s="55" t="s">
        <v>176</v>
      </c>
      <c r="BE1084" s="226" t="s">
        <v>732</v>
      </c>
      <c r="BF1084" s="191" t="s">
        <v>479</v>
      </c>
      <c r="BG1084" s="55" t="s">
        <v>479</v>
      </c>
      <c r="BH1084" s="226" t="s">
        <v>732</v>
      </c>
      <c r="BI1084" s="55" t="s">
        <v>479</v>
      </c>
      <c r="BJ1084" s="55" t="s">
        <v>176</v>
      </c>
      <c r="BK1084" s="55" t="s">
        <v>6269</v>
      </c>
      <c r="BM1084" s="192" t="s">
        <v>160</v>
      </c>
      <c r="BN1084" s="55">
        <v>3</v>
      </c>
      <c r="BO1084" s="55">
        <v>3</v>
      </c>
      <c r="BQ1084" s="55" t="s">
        <v>141</v>
      </c>
      <c r="CB1084" s="66">
        <v>8060</v>
      </c>
      <c r="CC1084" s="66">
        <v>8294</v>
      </c>
      <c r="FX1084" s="65" t="s">
        <v>739</v>
      </c>
      <c r="GP1084" s="292" t="s">
        <v>7494</v>
      </c>
      <c r="JU1084" s="55" t="s">
        <v>740</v>
      </c>
    </row>
    <row r="1085" spans="1:281" x14ac:dyDescent="0.25">
      <c r="A1085" s="55">
        <v>1084</v>
      </c>
      <c r="B1085" s="12" t="s">
        <v>7067</v>
      </c>
      <c r="C1085" s="155">
        <v>52</v>
      </c>
      <c r="D1085" s="55" t="s">
        <v>3911</v>
      </c>
      <c r="E1085" s="90" t="s">
        <v>727</v>
      </c>
      <c r="G1085" s="55" t="s">
        <v>728</v>
      </c>
      <c r="H1085" s="55">
        <v>1998</v>
      </c>
      <c r="I1085" s="55">
        <v>1991</v>
      </c>
      <c r="J1085" s="55" t="s">
        <v>729</v>
      </c>
      <c r="L1085" s="55" t="s">
        <v>2737</v>
      </c>
      <c r="M1085" s="90">
        <v>38.630000000000003</v>
      </c>
      <c r="N1085" s="90">
        <v>-75.459999999999994</v>
      </c>
      <c r="O1085" s="90">
        <v>10.8</v>
      </c>
      <c r="U1085" s="55">
        <v>3</v>
      </c>
      <c r="V1085" s="55" t="s">
        <v>1688</v>
      </c>
      <c r="Y1085" s="55" t="s">
        <v>1922</v>
      </c>
      <c r="Z1085" s="55" t="s">
        <v>1349</v>
      </c>
      <c r="AA1085" s="90" t="s">
        <v>1677</v>
      </c>
      <c r="AH1085" s="55" t="s">
        <v>174</v>
      </c>
      <c r="AM1085" s="55" t="s">
        <v>1310</v>
      </c>
      <c r="AN1085" s="185" t="s">
        <v>131</v>
      </c>
      <c r="AO1085" s="185" t="s">
        <v>5150</v>
      </c>
      <c r="AQ1085" s="55" t="s">
        <v>131</v>
      </c>
      <c r="AR1085" s="55" t="s">
        <v>132</v>
      </c>
      <c r="AS1085" s="55" t="s">
        <v>132</v>
      </c>
      <c r="AU1085" s="181" t="s">
        <v>7494</v>
      </c>
      <c r="AV1085" s="185" t="s">
        <v>176</v>
      </c>
      <c r="AX1085" s="185" t="s">
        <v>176</v>
      </c>
      <c r="AZ1085" s="55" t="s">
        <v>229</v>
      </c>
      <c r="BA1085" s="55" t="s">
        <v>229</v>
      </c>
      <c r="BB1085" s="55" t="s">
        <v>2081</v>
      </c>
      <c r="BC1085" s="55" t="s">
        <v>2081</v>
      </c>
      <c r="BD1085" s="55" t="s">
        <v>176</v>
      </c>
      <c r="BE1085" s="226" t="s">
        <v>730</v>
      </c>
      <c r="BF1085" s="191" t="s">
        <v>479</v>
      </c>
      <c r="BG1085" s="55" t="s">
        <v>479</v>
      </c>
      <c r="BH1085" s="226" t="s">
        <v>730</v>
      </c>
      <c r="BI1085" s="55" t="s">
        <v>479</v>
      </c>
      <c r="BJ1085" s="55" t="s">
        <v>176</v>
      </c>
      <c r="BK1085" s="55" t="s">
        <v>5976</v>
      </c>
      <c r="BM1085" s="192" t="s">
        <v>160</v>
      </c>
      <c r="BN1085" s="55">
        <v>3</v>
      </c>
      <c r="BO1085" s="55">
        <v>3</v>
      </c>
      <c r="BQ1085" s="55" t="s">
        <v>141</v>
      </c>
      <c r="CB1085" s="66">
        <v>8060</v>
      </c>
      <c r="CC1085" s="66">
        <v>8122</v>
      </c>
      <c r="DB1085" s="65">
        <f>(2.1+8.8)/2</f>
        <v>5.45</v>
      </c>
      <c r="DC1085" s="65">
        <f>(1.1+6.8)/2</f>
        <v>3.95</v>
      </c>
      <c r="DF1085" s="65" t="s">
        <v>1634</v>
      </c>
      <c r="FT1085" s="65">
        <v>4.5999999999999996</v>
      </c>
      <c r="FU1085" s="65">
        <v>4.7</v>
      </c>
      <c r="FX1085" s="65" t="s">
        <v>739</v>
      </c>
      <c r="GP1085" s="292" t="s">
        <v>7494</v>
      </c>
      <c r="JU1085" s="55" t="s">
        <v>740</v>
      </c>
    </row>
    <row r="1086" spans="1:281" x14ac:dyDescent="0.25">
      <c r="A1086" s="55">
        <v>1085</v>
      </c>
      <c r="B1086" s="12" t="s">
        <v>7067</v>
      </c>
      <c r="C1086" s="155">
        <v>52</v>
      </c>
      <c r="D1086" s="55" t="s">
        <v>3911</v>
      </c>
      <c r="E1086" s="90" t="s">
        <v>727</v>
      </c>
      <c r="G1086" s="55" t="s">
        <v>728</v>
      </c>
      <c r="H1086" s="55">
        <v>1998</v>
      </c>
      <c r="I1086" s="55">
        <v>1991</v>
      </c>
      <c r="J1086" s="55" t="s">
        <v>729</v>
      </c>
      <c r="L1086" s="55" t="s">
        <v>2737</v>
      </c>
      <c r="M1086" s="90">
        <v>38.630000000000003</v>
      </c>
      <c r="N1086" s="90">
        <v>-75.459999999999994</v>
      </c>
      <c r="O1086" s="90">
        <v>10.8</v>
      </c>
      <c r="U1086" s="55">
        <v>3</v>
      </c>
      <c r="V1086" s="55" t="s">
        <v>1688</v>
      </c>
      <c r="Y1086" s="55" t="s">
        <v>1922</v>
      </c>
      <c r="Z1086" s="55" t="s">
        <v>1349</v>
      </c>
      <c r="AA1086" s="90" t="s">
        <v>1677</v>
      </c>
      <c r="AH1086" s="55" t="s">
        <v>174</v>
      </c>
      <c r="AM1086" s="55" t="s">
        <v>1310</v>
      </c>
      <c r="AN1086" s="185" t="s">
        <v>131</v>
      </c>
      <c r="AO1086" s="185" t="s">
        <v>5150</v>
      </c>
      <c r="AQ1086" s="55" t="s">
        <v>131</v>
      </c>
      <c r="AR1086" s="55" t="s">
        <v>132</v>
      </c>
      <c r="AS1086" s="55" t="s">
        <v>132</v>
      </c>
      <c r="AU1086" s="181" t="s">
        <v>7494</v>
      </c>
      <c r="AV1086" s="185" t="s">
        <v>176</v>
      </c>
      <c r="AX1086" s="185" t="s">
        <v>176</v>
      </c>
      <c r="AZ1086" s="55" t="s">
        <v>229</v>
      </c>
      <c r="BA1086" s="55" t="s">
        <v>229</v>
      </c>
      <c r="BB1086" s="55" t="s">
        <v>2081</v>
      </c>
      <c r="BC1086" s="55" t="s">
        <v>2081</v>
      </c>
      <c r="BD1086" s="55" t="s">
        <v>176</v>
      </c>
      <c r="BE1086" s="226" t="s">
        <v>731</v>
      </c>
      <c r="BF1086" s="191" t="s">
        <v>479</v>
      </c>
      <c r="BG1086" s="55" t="s">
        <v>479</v>
      </c>
      <c r="BH1086" s="226" t="s">
        <v>731</v>
      </c>
      <c r="BI1086" s="55" t="s">
        <v>479</v>
      </c>
      <c r="BJ1086" s="55" t="s">
        <v>176</v>
      </c>
      <c r="BK1086" s="55" t="s">
        <v>5976</v>
      </c>
      <c r="BM1086" s="192" t="s">
        <v>160</v>
      </c>
      <c r="BN1086" s="55">
        <v>3</v>
      </c>
      <c r="BO1086" s="55">
        <v>3</v>
      </c>
      <c r="BQ1086" s="55" t="s">
        <v>141</v>
      </c>
      <c r="CB1086" s="66">
        <v>7871</v>
      </c>
      <c r="CC1086" s="66">
        <v>8091</v>
      </c>
      <c r="FT1086" s="65">
        <v>33.1</v>
      </c>
      <c r="FU1086" s="65">
        <v>28.1</v>
      </c>
      <c r="FX1086" s="65" t="s">
        <v>739</v>
      </c>
      <c r="GP1086" s="292" t="s">
        <v>7494</v>
      </c>
      <c r="JU1086" s="55" t="s">
        <v>740</v>
      </c>
    </row>
    <row r="1087" spans="1:281" x14ac:dyDescent="0.25">
      <c r="A1087" s="55">
        <v>1086</v>
      </c>
      <c r="B1087" s="12" t="s">
        <v>7067</v>
      </c>
      <c r="C1087" s="155">
        <v>52</v>
      </c>
      <c r="D1087" s="55" t="s">
        <v>3911</v>
      </c>
      <c r="E1087" s="90" t="s">
        <v>727</v>
      </c>
      <c r="G1087" s="55" t="s">
        <v>728</v>
      </c>
      <c r="H1087" s="55">
        <v>1998</v>
      </c>
      <c r="I1087" s="55">
        <v>1991</v>
      </c>
      <c r="J1087" s="55" t="s">
        <v>729</v>
      </c>
      <c r="L1087" s="55" t="s">
        <v>2737</v>
      </c>
      <c r="M1087" s="90">
        <v>38.630000000000003</v>
      </c>
      <c r="N1087" s="90">
        <v>-75.459999999999994</v>
      </c>
      <c r="O1087" s="90">
        <v>10.8</v>
      </c>
      <c r="U1087" s="55">
        <v>3</v>
      </c>
      <c r="V1087" s="55" t="s">
        <v>1688</v>
      </c>
      <c r="Y1087" s="55" t="s">
        <v>1922</v>
      </c>
      <c r="Z1087" s="55" t="s">
        <v>1349</v>
      </c>
      <c r="AA1087" s="90" t="s">
        <v>1677</v>
      </c>
      <c r="AH1087" s="55" t="s">
        <v>174</v>
      </c>
      <c r="AM1087" s="55" t="s">
        <v>1310</v>
      </c>
      <c r="AN1087" s="185" t="s">
        <v>131</v>
      </c>
      <c r="AO1087" s="185" t="s">
        <v>5150</v>
      </c>
      <c r="AQ1087" s="55" t="s">
        <v>131</v>
      </c>
      <c r="AR1087" s="55" t="s">
        <v>132</v>
      </c>
      <c r="AS1087" s="55" t="s">
        <v>132</v>
      </c>
      <c r="AU1087" s="181" t="s">
        <v>7494</v>
      </c>
      <c r="AV1087" s="185" t="s">
        <v>176</v>
      </c>
      <c r="AX1087" s="185" t="s">
        <v>176</v>
      </c>
      <c r="AZ1087" s="55" t="s">
        <v>229</v>
      </c>
      <c r="BA1087" s="55" t="s">
        <v>229</v>
      </c>
      <c r="BB1087" s="55" t="s">
        <v>2081</v>
      </c>
      <c r="BC1087" s="55" t="s">
        <v>2081</v>
      </c>
      <c r="BD1087" s="55" t="s">
        <v>176</v>
      </c>
      <c r="BE1087" s="226" t="s">
        <v>732</v>
      </c>
      <c r="BF1087" s="191" t="s">
        <v>479</v>
      </c>
      <c r="BG1087" s="55" t="s">
        <v>479</v>
      </c>
      <c r="BH1087" s="226" t="s">
        <v>732</v>
      </c>
      <c r="BI1087" s="55" t="s">
        <v>479</v>
      </c>
      <c r="BJ1087" s="55" t="s">
        <v>176</v>
      </c>
      <c r="BK1087" s="55" t="s">
        <v>5976</v>
      </c>
      <c r="BM1087" s="192" t="s">
        <v>160</v>
      </c>
      <c r="BN1087" s="55">
        <v>3</v>
      </c>
      <c r="BO1087" s="55">
        <v>3</v>
      </c>
      <c r="BQ1087" s="55" t="s">
        <v>141</v>
      </c>
      <c r="CB1087" s="66">
        <v>8201</v>
      </c>
      <c r="CC1087" s="66">
        <v>8372</v>
      </c>
      <c r="GP1087" s="292" t="s">
        <v>7494</v>
      </c>
      <c r="JU1087" s="55" t="s">
        <v>740</v>
      </c>
    </row>
    <row r="1088" spans="1:281" x14ac:dyDescent="0.25">
      <c r="A1088" s="55">
        <v>1087</v>
      </c>
      <c r="B1088" s="12" t="s">
        <v>7067</v>
      </c>
      <c r="C1088" s="155">
        <v>53</v>
      </c>
      <c r="D1088" s="55" t="s">
        <v>3912</v>
      </c>
      <c r="E1088" s="90" t="s">
        <v>741</v>
      </c>
      <c r="G1088" s="55" t="s">
        <v>742</v>
      </c>
      <c r="H1088" s="55">
        <v>2006</v>
      </c>
      <c r="I1088" s="55">
        <v>2000</v>
      </c>
      <c r="J1088" s="55" t="s">
        <v>743</v>
      </c>
      <c r="K1088" s="55" t="s">
        <v>744</v>
      </c>
      <c r="L1088" s="55" t="s">
        <v>2737</v>
      </c>
      <c r="M1088" s="90">
        <v>33.950000000000003</v>
      </c>
      <c r="N1088" s="90">
        <v>-83.38</v>
      </c>
      <c r="O1088" s="90">
        <v>208.4</v>
      </c>
      <c r="R1088" s="55">
        <f>278+505</f>
        <v>783</v>
      </c>
      <c r="S1088" s="90">
        <f>588+645</f>
        <v>1233</v>
      </c>
      <c r="U1088" s="55">
        <v>1</v>
      </c>
      <c r="V1088" s="55" t="s">
        <v>1688</v>
      </c>
      <c r="Y1088" s="55" t="s">
        <v>1923</v>
      </c>
      <c r="Z1088" s="55" t="s">
        <v>1356</v>
      </c>
      <c r="AA1088" s="90" t="s">
        <v>1680</v>
      </c>
      <c r="AE1088" s="90">
        <f>650/1000*100</f>
        <v>65</v>
      </c>
      <c r="AF1088" s="90">
        <f>25</f>
        <v>25</v>
      </c>
      <c r="AH1088" s="55" t="s">
        <v>238</v>
      </c>
      <c r="AI1088" s="168">
        <v>6.6</v>
      </c>
      <c r="AJ1088" s="90">
        <v>0.88</v>
      </c>
      <c r="AM1088" s="55" t="s">
        <v>1311</v>
      </c>
      <c r="AN1088" s="185" t="s">
        <v>131</v>
      </c>
      <c r="AO1088" s="185" t="s">
        <v>5150</v>
      </c>
      <c r="AQ1088" s="55" t="s">
        <v>131</v>
      </c>
      <c r="AR1088" s="55" t="s">
        <v>560</v>
      </c>
      <c r="AS1088" s="55" t="s">
        <v>5133</v>
      </c>
      <c r="AT1088" s="181" t="s">
        <v>751</v>
      </c>
      <c r="AU1088" s="181" t="s">
        <v>5150</v>
      </c>
      <c r="AV1088" s="185" t="s">
        <v>176</v>
      </c>
      <c r="AW1088" s="55" t="s">
        <v>751</v>
      </c>
      <c r="AX1088" s="185" t="s">
        <v>176</v>
      </c>
      <c r="AY1088" s="55" t="s">
        <v>176</v>
      </c>
      <c r="AZ1088" s="55" t="s">
        <v>156</v>
      </c>
      <c r="BA1088" s="55" t="s">
        <v>156</v>
      </c>
      <c r="BB1088" s="55" t="s">
        <v>2082</v>
      </c>
      <c r="BC1088" s="55" t="s">
        <v>2082</v>
      </c>
      <c r="BD1088" s="55" t="s">
        <v>176</v>
      </c>
      <c r="BE1088" s="226" t="s">
        <v>318</v>
      </c>
      <c r="BF1088" s="191" t="s">
        <v>176</v>
      </c>
      <c r="BG1088" s="55" t="s">
        <v>176</v>
      </c>
      <c r="BH1088" s="226" t="s">
        <v>318</v>
      </c>
      <c r="BI1088" s="55" t="s">
        <v>176</v>
      </c>
      <c r="BJ1088" s="55" t="s">
        <v>176</v>
      </c>
      <c r="BK1088" s="55" t="s">
        <v>6269</v>
      </c>
      <c r="BM1088" s="192" t="s">
        <v>119</v>
      </c>
      <c r="BN1088" s="55">
        <v>3</v>
      </c>
      <c r="BO1088" s="55">
        <v>3</v>
      </c>
      <c r="BQ1088" s="55" t="s">
        <v>315</v>
      </c>
      <c r="BS1088" s="55">
        <f>6.07*1000</f>
        <v>6070</v>
      </c>
      <c r="BT1088" s="55">
        <v>29</v>
      </c>
      <c r="BW1088" s="65">
        <v>5200</v>
      </c>
      <c r="BX1088" s="65">
        <v>6300</v>
      </c>
      <c r="CA1088" s="65" t="s">
        <v>1626</v>
      </c>
      <c r="CB1088" s="66">
        <v>814</v>
      </c>
      <c r="CC1088" s="66">
        <v>1107</v>
      </c>
      <c r="DB1088" s="65">
        <f>55.8*0.28</f>
        <v>15.624000000000001</v>
      </c>
      <c r="DC1088" s="65">
        <f>47.8*0.28</f>
        <v>13.384</v>
      </c>
      <c r="DF1088" s="65" t="s">
        <v>442</v>
      </c>
      <c r="GP1088" s="292" t="s">
        <v>7494</v>
      </c>
      <c r="IC1088" s="65">
        <v>11</v>
      </c>
      <c r="ID1088" s="65">
        <v>20</v>
      </c>
      <c r="IG1088" s="65" t="s">
        <v>1658</v>
      </c>
      <c r="JU1088" s="55" t="s">
        <v>752</v>
      </c>
    </row>
    <row r="1089" spans="1:283" x14ac:dyDescent="0.25">
      <c r="A1089" s="55">
        <v>1088</v>
      </c>
      <c r="B1089" s="12" t="s">
        <v>7067</v>
      </c>
      <c r="C1089" s="155">
        <v>53</v>
      </c>
      <c r="D1089" s="55" t="s">
        <v>3912</v>
      </c>
      <c r="E1089" s="90" t="s">
        <v>741</v>
      </c>
      <c r="G1089" s="55" t="s">
        <v>742</v>
      </c>
      <c r="H1089" s="55">
        <v>2006</v>
      </c>
      <c r="I1089" s="55">
        <v>2000</v>
      </c>
      <c r="J1089" s="55" t="s">
        <v>743</v>
      </c>
      <c r="K1089" s="55" t="s">
        <v>744</v>
      </c>
      <c r="L1089" s="55" t="s">
        <v>2737</v>
      </c>
      <c r="M1089" s="90">
        <v>33.950000000000003</v>
      </c>
      <c r="N1089" s="90">
        <v>-83.38</v>
      </c>
      <c r="O1089" s="90">
        <v>208.4</v>
      </c>
      <c r="R1089" s="55">
        <f>278+505</f>
        <v>783</v>
      </c>
      <c r="S1089" s="90">
        <f>588+645</f>
        <v>1233</v>
      </c>
      <c r="U1089" s="55">
        <v>1</v>
      </c>
      <c r="V1089" s="55" t="s">
        <v>1688</v>
      </c>
      <c r="Y1089" s="55" t="s">
        <v>1923</v>
      </c>
      <c r="Z1089" s="55" t="s">
        <v>1356</v>
      </c>
      <c r="AA1089" s="90" t="s">
        <v>1680</v>
      </c>
      <c r="AE1089" s="90">
        <f>650/1000*100</f>
        <v>65</v>
      </c>
      <c r="AF1089" s="90">
        <f>25</f>
        <v>25</v>
      </c>
      <c r="AH1089" s="55" t="s">
        <v>238</v>
      </c>
      <c r="AI1089" s="168">
        <v>6.6</v>
      </c>
      <c r="AJ1089" s="90">
        <v>0.88</v>
      </c>
      <c r="AM1089" s="55" t="s">
        <v>1311</v>
      </c>
      <c r="AN1089" s="185" t="s">
        <v>131</v>
      </c>
      <c r="AO1089" s="185" t="s">
        <v>5150</v>
      </c>
      <c r="AQ1089" s="55" t="s">
        <v>131</v>
      </c>
      <c r="AR1089" s="55" t="s">
        <v>560</v>
      </c>
      <c r="AS1089" s="55" t="s">
        <v>5133</v>
      </c>
      <c r="AT1089" s="181" t="s">
        <v>751</v>
      </c>
      <c r="AU1089" s="181" t="s">
        <v>5150</v>
      </c>
      <c r="AV1089" s="185" t="s">
        <v>176</v>
      </c>
      <c r="AW1089" s="55" t="s">
        <v>751</v>
      </c>
      <c r="AX1089" s="185" t="s">
        <v>176</v>
      </c>
      <c r="AY1089" s="55" t="s">
        <v>176</v>
      </c>
      <c r="AZ1089" s="55" t="s">
        <v>745</v>
      </c>
      <c r="BA1089" s="55" t="s">
        <v>745</v>
      </c>
      <c r="BB1089" s="55" t="s">
        <v>2081</v>
      </c>
      <c r="BC1089" s="55" t="s">
        <v>2081</v>
      </c>
      <c r="BD1089" s="55" t="s">
        <v>176</v>
      </c>
      <c r="BE1089" s="226" t="s">
        <v>318</v>
      </c>
      <c r="BF1089" s="191" t="s">
        <v>176</v>
      </c>
      <c r="BG1089" s="55" t="s">
        <v>176</v>
      </c>
      <c r="BH1089" s="226" t="s">
        <v>318</v>
      </c>
      <c r="BI1089" s="55" t="s">
        <v>176</v>
      </c>
      <c r="BJ1089" s="55" t="s">
        <v>176</v>
      </c>
      <c r="BK1089" s="55" t="s">
        <v>5976</v>
      </c>
      <c r="BM1089" s="192" t="s">
        <v>119</v>
      </c>
      <c r="BN1089" s="55">
        <v>3</v>
      </c>
      <c r="BO1089" s="55">
        <v>3</v>
      </c>
      <c r="BQ1089" s="55" t="s">
        <v>315</v>
      </c>
      <c r="BS1089" s="55">
        <f>6.07*1000</f>
        <v>6070</v>
      </c>
      <c r="BT1089" s="55">
        <v>29</v>
      </c>
      <c r="CB1089" s="66">
        <v>480</v>
      </c>
      <c r="CC1089" s="66">
        <v>674</v>
      </c>
      <c r="DB1089" s="65">
        <f>50.5*0.28</f>
        <v>14.14</v>
      </c>
      <c r="DC1089" s="65">
        <f>57*0.28</f>
        <v>15.96</v>
      </c>
      <c r="DF1089" s="65" t="s">
        <v>442</v>
      </c>
      <c r="GP1089" s="292" t="s">
        <v>7494</v>
      </c>
      <c r="IC1089" s="65">
        <v>8</v>
      </c>
      <c r="ID1089" s="65">
        <v>11</v>
      </c>
      <c r="IG1089" s="65" t="s">
        <v>1658</v>
      </c>
      <c r="JU1089" s="55" t="s">
        <v>752</v>
      </c>
    </row>
    <row r="1090" spans="1:283" x14ac:dyDescent="0.25">
      <c r="A1090" s="55">
        <v>1089</v>
      </c>
      <c r="B1090" s="12" t="s">
        <v>7067</v>
      </c>
      <c r="C1090" s="155">
        <v>53</v>
      </c>
      <c r="D1090" s="55" t="s">
        <v>3912</v>
      </c>
      <c r="E1090" s="90" t="s">
        <v>741</v>
      </c>
      <c r="G1090" s="55" t="s">
        <v>742</v>
      </c>
      <c r="H1090" s="55">
        <v>2006</v>
      </c>
      <c r="I1090" s="55">
        <v>2000</v>
      </c>
      <c r="J1090" s="55" t="s">
        <v>743</v>
      </c>
      <c r="K1090" s="55" t="s">
        <v>744</v>
      </c>
      <c r="L1090" s="55" t="s">
        <v>2737</v>
      </c>
      <c r="M1090" s="90">
        <v>33.950000000000003</v>
      </c>
      <c r="N1090" s="90">
        <v>-83.38</v>
      </c>
      <c r="O1090" s="90">
        <v>208.4</v>
      </c>
      <c r="R1090" s="55">
        <f>278+505</f>
        <v>783</v>
      </c>
      <c r="S1090" s="90">
        <f>588+645</f>
        <v>1233</v>
      </c>
      <c r="U1090" s="55">
        <v>1</v>
      </c>
      <c r="V1090" s="55" t="s">
        <v>1688</v>
      </c>
      <c r="Y1090" s="55" t="s">
        <v>1923</v>
      </c>
      <c r="Z1090" s="55" t="s">
        <v>1356</v>
      </c>
      <c r="AA1090" s="90" t="s">
        <v>1680</v>
      </c>
      <c r="AE1090" s="90">
        <f>650/1000*100</f>
        <v>65</v>
      </c>
      <c r="AF1090" s="90">
        <f>25</f>
        <v>25</v>
      </c>
      <c r="AH1090" s="55" t="s">
        <v>238</v>
      </c>
      <c r="AI1090" s="168">
        <v>6.6</v>
      </c>
      <c r="AJ1090" s="90">
        <v>0.88</v>
      </c>
      <c r="AM1090" s="55" t="s">
        <v>1311</v>
      </c>
      <c r="AN1090" s="185" t="s">
        <v>131</v>
      </c>
      <c r="AO1090" s="185" t="s">
        <v>5150</v>
      </c>
      <c r="AQ1090" s="55" t="s">
        <v>131</v>
      </c>
      <c r="AR1090" s="55" t="s">
        <v>560</v>
      </c>
      <c r="AS1090" s="55" t="s">
        <v>5133</v>
      </c>
      <c r="AT1090" s="181" t="s">
        <v>751</v>
      </c>
      <c r="AU1090" s="181" t="s">
        <v>5150</v>
      </c>
      <c r="AV1090" s="185" t="s">
        <v>176</v>
      </c>
      <c r="AW1090" s="55" t="s">
        <v>751</v>
      </c>
      <c r="AX1090" s="185" t="s">
        <v>176</v>
      </c>
      <c r="AY1090" s="55" t="s">
        <v>176</v>
      </c>
      <c r="AZ1090" s="55" t="s">
        <v>746</v>
      </c>
      <c r="BA1090" s="55" t="s">
        <v>746</v>
      </c>
      <c r="BB1090" s="55" t="s">
        <v>2081</v>
      </c>
      <c r="BC1090" s="55" t="s">
        <v>2081</v>
      </c>
      <c r="BD1090" s="55" t="s">
        <v>176</v>
      </c>
      <c r="BE1090" s="226" t="s">
        <v>318</v>
      </c>
      <c r="BF1090" s="191" t="s">
        <v>176</v>
      </c>
      <c r="BG1090" s="55" t="s">
        <v>176</v>
      </c>
      <c r="BH1090" s="226" t="s">
        <v>318</v>
      </c>
      <c r="BI1090" s="55" t="s">
        <v>176</v>
      </c>
      <c r="BJ1090" s="55" t="s">
        <v>176</v>
      </c>
      <c r="BK1090" s="55" t="s">
        <v>5976</v>
      </c>
      <c r="BM1090" s="192" t="s">
        <v>119</v>
      </c>
      <c r="BN1090" s="55">
        <v>3</v>
      </c>
      <c r="BO1090" s="55">
        <v>3</v>
      </c>
      <c r="BQ1090" s="55" t="s">
        <v>315</v>
      </c>
      <c r="BS1090" s="55">
        <f>6.07*1000</f>
        <v>6070</v>
      </c>
      <c r="BT1090" s="55">
        <v>29</v>
      </c>
      <c r="CB1090" s="66">
        <v>802</v>
      </c>
      <c r="CC1090" s="66">
        <v>857</v>
      </c>
      <c r="DB1090" s="65">
        <f>51.2*0.28</f>
        <v>14.336000000000002</v>
      </c>
      <c r="DC1090" s="65">
        <f>54.8*0.28</f>
        <v>15.344000000000001</v>
      </c>
      <c r="DF1090" s="65" t="s">
        <v>442</v>
      </c>
      <c r="GP1090" s="292" t="s">
        <v>7494</v>
      </c>
      <c r="IC1090" s="65">
        <v>14</v>
      </c>
      <c r="ID1090" s="65">
        <v>14</v>
      </c>
      <c r="IG1090" s="65" t="s">
        <v>1658</v>
      </c>
      <c r="JU1090" s="55" t="s">
        <v>752</v>
      </c>
    </row>
    <row r="1091" spans="1:283" x14ac:dyDescent="0.25">
      <c r="A1091" s="55">
        <v>1090</v>
      </c>
      <c r="B1091" s="12" t="s">
        <v>7067</v>
      </c>
      <c r="C1091" s="155">
        <v>53</v>
      </c>
      <c r="D1091" s="55" t="s">
        <v>3913</v>
      </c>
      <c r="E1091" s="90" t="s">
        <v>741</v>
      </c>
      <c r="G1091" s="55" t="s">
        <v>742</v>
      </c>
      <c r="H1091" s="55">
        <v>2006</v>
      </c>
      <c r="I1091" s="55">
        <v>2000</v>
      </c>
      <c r="J1091" s="55" t="s">
        <v>743</v>
      </c>
      <c r="K1091" s="55" t="s">
        <v>744</v>
      </c>
      <c r="L1091" s="55" t="s">
        <v>2737</v>
      </c>
      <c r="M1091" s="90">
        <v>33.950000000000003</v>
      </c>
      <c r="N1091" s="90">
        <v>-83.38</v>
      </c>
      <c r="O1091" s="90">
        <v>208.4</v>
      </c>
      <c r="R1091" s="55">
        <f>278+505</f>
        <v>783</v>
      </c>
      <c r="S1091" s="90">
        <f>588+645</f>
        <v>1233</v>
      </c>
      <c r="U1091" s="55">
        <v>1</v>
      </c>
      <c r="V1091" s="55" t="s">
        <v>1688</v>
      </c>
      <c r="Y1091" s="55" t="s">
        <v>1923</v>
      </c>
      <c r="Z1091" s="55" t="s">
        <v>1356</v>
      </c>
      <c r="AA1091" s="90" t="s">
        <v>1680</v>
      </c>
      <c r="AE1091" s="90">
        <f>650/1000*100</f>
        <v>65</v>
      </c>
      <c r="AF1091" s="90">
        <f>25</f>
        <v>25</v>
      </c>
      <c r="AH1091" s="55" t="s">
        <v>238</v>
      </c>
      <c r="AI1091" s="168">
        <v>6.6</v>
      </c>
      <c r="AJ1091" s="90">
        <v>0.88</v>
      </c>
      <c r="AM1091" s="55" t="s">
        <v>1311</v>
      </c>
      <c r="AN1091" s="185" t="s">
        <v>241</v>
      </c>
      <c r="AO1091" s="185" t="s">
        <v>5150</v>
      </c>
      <c r="AQ1091" s="55" t="s">
        <v>553</v>
      </c>
      <c r="AR1091" s="55" t="s">
        <v>560</v>
      </c>
      <c r="AS1091" s="55" t="s">
        <v>5133</v>
      </c>
      <c r="AT1091" s="181" t="s">
        <v>751</v>
      </c>
      <c r="AU1091" s="181" t="s">
        <v>5150</v>
      </c>
      <c r="AV1091" s="185" t="s">
        <v>176</v>
      </c>
      <c r="AW1091" s="55" t="s">
        <v>751</v>
      </c>
      <c r="AX1091" s="185" t="s">
        <v>176</v>
      </c>
      <c r="AY1091" s="55" t="s">
        <v>176</v>
      </c>
      <c r="AZ1091" s="55" t="s">
        <v>156</v>
      </c>
      <c r="BA1091" s="55" t="s">
        <v>156</v>
      </c>
      <c r="BB1091" s="55" t="s">
        <v>2082</v>
      </c>
      <c r="BC1091" s="55" t="s">
        <v>2082</v>
      </c>
      <c r="BD1091" s="55" t="s">
        <v>176</v>
      </c>
      <c r="BE1091" s="226" t="s">
        <v>318</v>
      </c>
      <c r="BF1091" s="191" t="s">
        <v>176</v>
      </c>
      <c r="BG1091" s="55" t="s">
        <v>176</v>
      </c>
      <c r="BH1091" s="226" t="s">
        <v>318</v>
      </c>
      <c r="BI1091" s="55" t="s">
        <v>176</v>
      </c>
      <c r="BJ1091" s="55" t="s">
        <v>176</v>
      </c>
      <c r="BK1091" s="55" t="s">
        <v>6269</v>
      </c>
      <c r="BM1091" s="192" t="s">
        <v>119</v>
      </c>
      <c r="BN1091" s="55">
        <v>3</v>
      </c>
      <c r="BO1091" s="55">
        <v>3</v>
      </c>
      <c r="BQ1091" s="55" t="s">
        <v>315</v>
      </c>
      <c r="BS1091" s="55">
        <f>5.1*1000</f>
        <v>5100</v>
      </c>
      <c r="BT1091" s="55">
        <v>12</v>
      </c>
      <c r="BW1091" s="65">
        <v>5200</v>
      </c>
      <c r="BX1091" s="65">
        <v>8200</v>
      </c>
      <c r="CA1091" s="65" t="s">
        <v>1626</v>
      </c>
      <c r="CB1091" s="66">
        <v>814</v>
      </c>
      <c r="CC1091" s="66">
        <v>661</v>
      </c>
      <c r="DB1091" s="65">
        <v>15.624000000000001</v>
      </c>
      <c r="DC1091" s="65">
        <f>61*0.28</f>
        <v>17.080000000000002</v>
      </c>
      <c r="DF1091" s="65" t="s">
        <v>442</v>
      </c>
      <c r="GP1091" s="292" t="s">
        <v>7494</v>
      </c>
      <c r="IC1091" s="65">
        <v>11</v>
      </c>
      <c r="ID1091" s="65">
        <v>11</v>
      </c>
      <c r="IG1091" s="65" t="s">
        <v>1658</v>
      </c>
      <c r="JU1091" s="55" t="s">
        <v>752</v>
      </c>
    </row>
    <row r="1092" spans="1:283" x14ac:dyDescent="0.25">
      <c r="A1092" s="55">
        <v>1091</v>
      </c>
      <c r="B1092" s="12" t="s">
        <v>7067</v>
      </c>
      <c r="C1092" s="155">
        <v>53</v>
      </c>
      <c r="D1092" s="55" t="s">
        <v>3913</v>
      </c>
      <c r="E1092" s="90" t="s">
        <v>741</v>
      </c>
      <c r="G1092" s="55" t="s">
        <v>742</v>
      </c>
      <c r="H1092" s="55">
        <v>2006</v>
      </c>
      <c r="I1092" s="55">
        <v>2000</v>
      </c>
      <c r="J1092" s="55" t="s">
        <v>743</v>
      </c>
      <c r="K1092" s="55" t="s">
        <v>744</v>
      </c>
      <c r="L1092" s="55" t="s">
        <v>2737</v>
      </c>
      <c r="M1092" s="90">
        <v>33.950000000000003</v>
      </c>
      <c r="N1092" s="90">
        <v>-83.38</v>
      </c>
      <c r="O1092" s="90">
        <v>208.4</v>
      </c>
      <c r="R1092" s="55">
        <f>278+505</f>
        <v>783</v>
      </c>
      <c r="S1092" s="90">
        <f>588+645</f>
        <v>1233</v>
      </c>
      <c r="U1092" s="55">
        <v>1</v>
      </c>
      <c r="V1092" s="55" t="s">
        <v>1688</v>
      </c>
      <c r="Y1092" s="55" t="s">
        <v>1923</v>
      </c>
      <c r="Z1092" s="55" t="s">
        <v>1356</v>
      </c>
      <c r="AA1092" s="90" t="s">
        <v>1680</v>
      </c>
      <c r="AE1092" s="90">
        <f>650/1000*100</f>
        <v>65</v>
      </c>
      <c r="AF1092" s="90">
        <f>25</f>
        <v>25</v>
      </c>
      <c r="AH1092" s="55" t="s">
        <v>238</v>
      </c>
      <c r="AI1092" s="168">
        <v>6.6</v>
      </c>
      <c r="AJ1092" s="90">
        <v>0.88</v>
      </c>
      <c r="AM1092" s="55" t="s">
        <v>1311</v>
      </c>
      <c r="AN1092" s="185" t="s">
        <v>241</v>
      </c>
      <c r="AO1092" s="185" t="s">
        <v>5150</v>
      </c>
      <c r="AQ1092" s="55" t="s">
        <v>553</v>
      </c>
      <c r="AR1092" s="55" t="s">
        <v>560</v>
      </c>
      <c r="AS1092" s="55" t="s">
        <v>5133</v>
      </c>
      <c r="AT1092" s="181" t="s">
        <v>751</v>
      </c>
      <c r="AU1092" s="181" t="s">
        <v>5150</v>
      </c>
      <c r="AV1092" s="185" t="s">
        <v>176</v>
      </c>
      <c r="AW1092" s="55" t="s">
        <v>751</v>
      </c>
      <c r="AX1092" s="185" t="s">
        <v>176</v>
      </c>
      <c r="AY1092" s="55" t="s">
        <v>176</v>
      </c>
      <c r="AZ1092" s="55" t="s">
        <v>745</v>
      </c>
      <c r="BA1092" s="55" t="s">
        <v>745</v>
      </c>
      <c r="BB1092" s="55" t="s">
        <v>2081</v>
      </c>
      <c r="BC1092" s="55" t="s">
        <v>2081</v>
      </c>
      <c r="BD1092" s="55" t="s">
        <v>176</v>
      </c>
      <c r="BE1092" s="226" t="s">
        <v>318</v>
      </c>
      <c r="BF1092" s="191" t="s">
        <v>176</v>
      </c>
      <c r="BG1092" s="55" t="s">
        <v>176</v>
      </c>
      <c r="BH1092" s="226" t="s">
        <v>318</v>
      </c>
      <c r="BI1092" s="55" t="s">
        <v>176</v>
      </c>
      <c r="BJ1092" s="55" t="s">
        <v>176</v>
      </c>
      <c r="BK1092" s="55" t="s">
        <v>5976</v>
      </c>
      <c r="BM1092" s="192" t="s">
        <v>119</v>
      </c>
      <c r="BN1092" s="55">
        <v>3</v>
      </c>
      <c r="BO1092" s="55">
        <v>3</v>
      </c>
      <c r="BQ1092" s="55" t="s">
        <v>315</v>
      </c>
      <c r="BS1092" s="55">
        <f>5.1*1000</f>
        <v>5100</v>
      </c>
      <c r="BT1092" s="55">
        <v>12</v>
      </c>
      <c r="CB1092" s="66">
        <v>480</v>
      </c>
      <c r="CC1092" s="66">
        <v>664</v>
      </c>
      <c r="DB1092" s="65">
        <v>14.14</v>
      </c>
      <c r="DC1092" s="65">
        <f>61.8*0.28</f>
        <v>17.304000000000002</v>
      </c>
      <c r="DF1092" s="65" t="s">
        <v>442</v>
      </c>
      <c r="GP1092" s="292" t="s">
        <v>7494</v>
      </c>
      <c r="IC1092" s="65">
        <v>8</v>
      </c>
      <c r="ID1092" s="65">
        <v>11</v>
      </c>
      <c r="IG1092" s="65" t="s">
        <v>1658</v>
      </c>
      <c r="JU1092" s="55" t="s">
        <v>752</v>
      </c>
    </row>
    <row r="1093" spans="1:283" x14ac:dyDescent="0.25">
      <c r="A1093" s="55">
        <v>1092</v>
      </c>
      <c r="B1093" s="12" t="s">
        <v>7067</v>
      </c>
      <c r="C1093" s="155">
        <v>53</v>
      </c>
      <c r="D1093" s="55" t="s">
        <v>3913</v>
      </c>
      <c r="E1093" s="90" t="s">
        <v>741</v>
      </c>
      <c r="G1093" s="55" t="s">
        <v>742</v>
      </c>
      <c r="H1093" s="55">
        <v>2006</v>
      </c>
      <c r="I1093" s="55">
        <v>2000</v>
      </c>
      <c r="J1093" s="55" t="s">
        <v>743</v>
      </c>
      <c r="K1093" s="55" t="s">
        <v>744</v>
      </c>
      <c r="L1093" s="55" t="s">
        <v>2737</v>
      </c>
      <c r="M1093" s="90">
        <v>33.950000000000003</v>
      </c>
      <c r="N1093" s="90">
        <v>-83.38</v>
      </c>
      <c r="O1093" s="90">
        <v>208.4</v>
      </c>
      <c r="R1093" s="55">
        <f>278+505</f>
        <v>783</v>
      </c>
      <c r="S1093" s="90">
        <f>588+645</f>
        <v>1233</v>
      </c>
      <c r="U1093" s="55">
        <v>1</v>
      </c>
      <c r="V1093" s="55" t="s">
        <v>1688</v>
      </c>
      <c r="Y1093" s="55" t="s">
        <v>1923</v>
      </c>
      <c r="Z1093" s="55" t="s">
        <v>1356</v>
      </c>
      <c r="AA1093" s="90" t="s">
        <v>1680</v>
      </c>
      <c r="AE1093" s="90">
        <f>650/1000*100</f>
        <v>65</v>
      </c>
      <c r="AF1093" s="90">
        <f>25</f>
        <v>25</v>
      </c>
      <c r="AH1093" s="55" t="s">
        <v>238</v>
      </c>
      <c r="AI1093" s="168">
        <v>6.6</v>
      </c>
      <c r="AJ1093" s="90">
        <v>0.88</v>
      </c>
      <c r="AM1093" s="55" t="s">
        <v>1311</v>
      </c>
      <c r="AN1093" s="185" t="s">
        <v>241</v>
      </c>
      <c r="AO1093" s="185" t="s">
        <v>5150</v>
      </c>
      <c r="AQ1093" s="55" t="s">
        <v>553</v>
      </c>
      <c r="AR1093" s="55" t="s">
        <v>560</v>
      </c>
      <c r="AS1093" s="55" t="s">
        <v>5133</v>
      </c>
      <c r="AT1093" s="181" t="s">
        <v>751</v>
      </c>
      <c r="AU1093" s="181" t="s">
        <v>5150</v>
      </c>
      <c r="AV1093" s="185" t="s">
        <v>176</v>
      </c>
      <c r="AW1093" s="55" t="s">
        <v>751</v>
      </c>
      <c r="AX1093" s="185" t="s">
        <v>176</v>
      </c>
      <c r="AY1093" s="55" t="s">
        <v>176</v>
      </c>
      <c r="AZ1093" s="55" t="s">
        <v>746</v>
      </c>
      <c r="BA1093" s="55" t="s">
        <v>746</v>
      </c>
      <c r="BB1093" s="55" t="s">
        <v>2081</v>
      </c>
      <c r="BC1093" s="55" t="s">
        <v>2081</v>
      </c>
      <c r="BD1093" s="55" t="s">
        <v>176</v>
      </c>
      <c r="BE1093" s="226" t="s">
        <v>318</v>
      </c>
      <c r="BF1093" s="191" t="s">
        <v>176</v>
      </c>
      <c r="BG1093" s="55" t="s">
        <v>176</v>
      </c>
      <c r="BH1093" s="226" t="s">
        <v>318</v>
      </c>
      <c r="BI1093" s="55" t="s">
        <v>176</v>
      </c>
      <c r="BJ1093" s="55" t="s">
        <v>176</v>
      </c>
      <c r="BK1093" s="55" t="s">
        <v>5976</v>
      </c>
      <c r="BM1093" s="192" t="s">
        <v>119</v>
      </c>
      <c r="BN1093" s="55">
        <v>3</v>
      </c>
      <c r="BO1093" s="55">
        <v>3</v>
      </c>
      <c r="BQ1093" s="55" t="s">
        <v>315</v>
      </c>
      <c r="BS1093" s="55">
        <f>5.1*1000</f>
        <v>5100</v>
      </c>
      <c r="BT1093" s="55">
        <v>12</v>
      </c>
      <c r="CB1093" s="66">
        <v>802</v>
      </c>
      <c r="CC1093" s="66">
        <v>657</v>
      </c>
      <c r="DB1093" s="65">
        <v>14.336000000000002</v>
      </c>
      <c r="DC1093" s="65">
        <f>62.9*0.28</f>
        <v>17.612000000000002</v>
      </c>
      <c r="DF1093" s="65" t="s">
        <v>442</v>
      </c>
      <c r="GP1093" s="292" t="s">
        <v>7494</v>
      </c>
      <c r="IC1093" s="65">
        <v>14</v>
      </c>
      <c r="ID1093" s="65">
        <v>11</v>
      </c>
      <c r="IG1093" s="65" t="s">
        <v>1658</v>
      </c>
      <c r="JU1093" s="55" t="s">
        <v>752</v>
      </c>
    </row>
    <row r="1094" spans="1:283" s="229" customFormat="1" x14ac:dyDescent="0.25">
      <c r="A1094" s="181">
        <v>1093</v>
      </c>
      <c r="B1094" s="229" t="s">
        <v>7067</v>
      </c>
      <c r="C1094" s="230">
        <v>53</v>
      </c>
      <c r="D1094" s="181" t="s">
        <v>3914</v>
      </c>
      <c r="E1094" s="231" t="s">
        <v>741</v>
      </c>
      <c r="F1094" s="231"/>
      <c r="G1094" s="181" t="s">
        <v>742</v>
      </c>
      <c r="H1094" s="181">
        <v>2006</v>
      </c>
      <c r="I1094" s="181">
        <v>2000</v>
      </c>
      <c r="J1094" s="181" t="s">
        <v>743</v>
      </c>
      <c r="K1094" s="181" t="s">
        <v>744</v>
      </c>
      <c r="L1094" s="181" t="s">
        <v>2737</v>
      </c>
      <c r="M1094" s="231">
        <v>33.950000000000003</v>
      </c>
      <c r="N1094" s="231">
        <v>-83.38</v>
      </c>
      <c r="O1094" s="231">
        <v>208.4</v>
      </c>
      <c r="P1094" s="181"/>
      <c r="Q1094" s="181"/>
      <c r="R1094" s="181">
        <f>278+505</f>
        <v>783</v>
      </c>
      <c r="S1094" s="231">
        <f>588+645</f>
        <v>1233</v>
      </c>
      <c r="T1094" s="181"/>
      <c r="U1094" s="181">
        <v>1</v>
      </c>
      <c r="V1094" s="181" t="s">
        <v>1688</v>
      </c>
      <c r="W1094" s="181"/>
      <c r="X1094" s="181"/>
      <c r="Y1094" s="181" t="s">
        <v>1923</v>
      </c>
      <c r="Z1094" s="181" t="s">
        <v>1356</v>
      </c>
      <c r="AA1094" s="231" t="s">
        <v>1680</v>
      </c>
      <c r="AB1094" s="232"/>
      <c r="AC1094" s="232"/>
      <c r="AD1094" s="231"/>
      <c r="AE1094" s="231">
        <f>650/1000*100</f>
        <v>65</v>
      </c>
      <c r="AF1094" s="231">
        <f>25</f>
        <v>25</v>
      </c>
      <c r="AG1094" s="231"/>
      <c r="AH1094" s="181" t="s">
        <v>238</v>
      </c>
      <c r="AI1094" s="181">
        <v>6.6</v>
      </c>
      <c r="AJ1094" s="231">
        <v>0.88</v>
      </c>
      <c r="AK1094" s="231"/>
      <c r="AL1094" s="181"/>
      <c r="AM1094" s="181" t="s">
        <v>1311</v>
      </c>
      <c r="AN1094" s="185" t="s">
        <v>1482</v>
      </c>
      <c r="AO1094" s="185" t="s">
        <v>5150</v>
      </c>
      <c r="AP1094" s="181"/>
      <c r="AQ1094" s="181" t="s">
        <v>1546</v>
      </c>
      <c r="AR1094" s="181" t="s">
        <v>560</v>
      </c>
      <c r="AS1094" s="181" t="s">
        <v>5133</v>
      </c>
      <c r="AT1094" s="181" t="s">
        <v>751</v>
      </c>
      <c r="AU1094" s="181" t="s">
        <v>5150</v>
      </c>
      <c r="AV1094" s="185" t="s">
        <v>479</v>
      </c>
      <c r="AW1094" s="181" t="s">
        <v>751</v>
      </c>
      <c r="AX1094" s="185" t="s">
        <v>479</v>
      </c>
      <c r="AY1094" s="181" t="s">
        <v>176</v>
      </c>
      <c r="AZ1094" s="181" t="s">
        <v>156</v>
      </c>
      <c r="BA1094" s="181" t="s">
        <v>156</v>
      </c>
      <c r="BB1094" s="181" t="s">
        <v>2082</v>
      </c>
      <c r="BC1094" s="181" t="s">
        <v>2082</v>
      </c>
      <c r="BD1094" s="181" t="s">
        <v>176</v>
      </c>
      <c r="BE1094" s="226" t="s">
        <v>318</v>
      </c>
      <c r="BF1094" s="191" t="s">
        <v>176</v>
      </c>
      <c r="BG1094" s="55" t="s">
        <v>176</v>
      </c>
      <c r="BH1094" s="226" t="s">
        <v>318</v>
      </c>
      <c r="BI1094" s="55" t="s">
        <v>176</v>
      </c>
      <c r="BJ1094" s="181" t="s">
        <v>176</v>
      </c>
      <c r="BK1094" s="181" t="s">
        <v>6269</v>
      </c>
      <c r="BL1094" s="181"/>
      <c r="BM1094" s="192" t="s">
        <v>119</v>
      </c>
      <c r="BN1094" s="181">
        <v>3</v>
      </c>
      <c r="BO1094" s="181">
        <v>3</v>
      </c>
      <c r="BP1094" s="181"/>
      <c r="BQ1094" s="181" t="s">
        <v>315</v>
      </c>
      <c r="BR1094" s="181"/>
      <c r="BS1094" s="181">
        <f>8.18*1000</f>
        <v>8180</v>
      </c>
      <c r="BT1094" s="181">
        <v>10</v>
      </c>
      <c r="BU1094" s="181"/>
      <c r="BV1094" s="181"/>
      <c r="BW1094" s="232">
        <v>5200</v>
      </c>
      <c r="BX1094" s="232">
        <v>7300</v>
      </c>
      <c r="BY1094" s="232"/>
      <c r="BZ1094" s="232"/>
      <c r="CA1094" s="232" t="s">
        <v>1626</v>
      </c>
      <c r="CB1094" s="183">
        <v>814</v>
      </c>
      <c r="CC1094" s="183">
        <v>837</v>
      </c>
      <c r="CD1094" s="183"/>
      <c r="CE1094" s="232"/>
      <c r="CF1094" s="232"/>
      <c r="CG1094" s="232"/>
      <c r="CH1094" s="231"/>
      <c r="CI1094" s="231"/>
      <c r="CJ1094" s="232"/>
      <c r="CK1094" s="232"/>
      <c r="CL1094" s="232"/>
      <c r="CM1094" s="232"/>
      <c r="CN1094" s="232"/>
      <c r="CO1094" s="232"/>
      <c r="CP1094" s="232"/>
      <c r="CQ1094" s="232"/>
      <c r="CR1094" s="232"/>
      <c r="CS1094" s="232"/>
      <c r="CT1094" s="232"/>
      <c r="CU1094" s="232"/>
      <c r="CV1094" s="232"/>
      <c r="CW1094" s="232"/>
      <c r="CX1094" s="232"/>
      <c r="CY1094" s="232"/>
      <c r="CZ1094" s="232"/>
      <c r="DA1094" s="232"/>
      <c r="DB1094" s="232">
        <f>55.8*0.28</f>
        <v>15.624000000000001</v>
      </c>
      <c r="DC1094" s="232">
        <f>53.7*0.28</f>
        <v>15.036000000000001</v>
      </c>
      <c r="DD1094" s="232"/>
      <c r="DE1094" s="232"/>
      <c r="DF1094" s="232" t="s">
        <v>442</v>
      </c>
      <c r="DG1094" s="232"/>
      <c r="DH1094" s="232"/>
      <c r="DI1094" s="232"/>
      <c r="DJ1094" s="232"/>
      <c r="DK1094" s="232"/>
      <c r="DL1094" s="232"/>
      <c r="DM1094" s="232"/>
      <c r="DN1094" s="232"/>
      <c r="DO1094" s="232"/>
      <c r="DP1094" s="232"/>
      <c r="DQ1094" s="233"/>
      <c r="DR1094" s="233"/>
      <c r="DS1094" s="232"/>
      <c r="DT1094" s="232"/>
      <c r="DU1094" s="232"/>
      <c r="DV1094" s="232"/>
      <c r="DW1094" s="232"/>
      <c r="DX1094" s="232"/>
      <c r="DY1094" s="232"/>
      <c r="DZ1094" s="232"/>
      <c r="EA1094" s="232"/>
      <c r="EB1094" s="232"/>
      <c r="EC1094" s="232"/>
      <c r="ED1094" s="232"/>
      <c r="EE1094" s="232"/>
      <c r="EF1094" s="232"/>
      <c r="EG1094" s="232"/>
      <c r="EH1094" s="232"/>
      <c r="EI1094" s="232"/>
      <c r="EJ1094" s="232"/>
      <c r="EK1094" s="231"/>
      <c r="EL1094" s="231"/>
      <c r="EM1094" s="232"/>
      <c r="EN1094" s="232"/>
      <c r="EO1094" s="232"/>
      <c r="EP1094" s="232"/>
      <c r="EQ1094" s="232"/>
      <c r="ER1094" s="232"/>
      <c r="ES1094" s="232"/>
      <c r="ET1094" s="232"/>
      <c r="EU1094" s="232"/>
      <c r="EV1094" s="232"/>
      <c r="EW1094" s="232"/>
      <c r="EX1094" s="232"/>
      <c r="EY1094" s="232"/>
      <c r="EZ1094" s="232"/>
      <c r="FA1094" s="232"/>
      <c r="FB1094" s="232"/>
      <c r="FC1094" s="232"/>
      <c r="FD1094" s="232"/>
      <c r="FE1094" s="232"/>
      <c r="FF1094" s="232"/>
      <c r="FG1094" s="232"/>
      <c r="FH1094" s="232"/>
      <c r="FI1094" s="232"/>
      <c r="FJ1094" s="232"/>
      <c r="FK1094" s="232"/>
      <c r="FL1094" s="232"/>
      <c r="FM1094" s="232"/>
      <c r="FN1094" s="232"/>
      <c r="FO1094" s="232"/>
      <c r="FP1094" s="232"/>
      <c r="FQ1094" s="232"/>
      <c r="FR1094" s="232"/>
      <c r="FS1094" s="232"/>
      <c r="FT1094" s="232"/>
      <c r="FU1094" s="232"/>
      <c r="FV1094" s="232"/>
      <c r="FW1094" s="232"/>
      <c r="FX1094" s="232"/>
      <c r="FY1094" s="232"/>
      <c r="FZ1094" s="232"/>
      <c r="GA1094" s="232"/>
      <c r="GB1094" s="232"/>
      <c r="GC1094" s="232"/>
      <c r="GD1094" s="232"/>
      <c r="GE1094" s="232"/>
      <c r="GF1094" s="232"/>
      <c r="GG1094" s="232"/>
      <c r="GH1094" s="232"/>
      <c r="GI1094" s="232"/>
      <c r="GJ1094" s="232"/>
      <c r="GK1094" s="232"/>
      <c r="GL1094" s="232"/>
      <c r="GM1094" s="232"/>
      <c r="GN1094" s="294"/>
      <c r="GO1094" s="294"/>
      <c r="GP1094" s="292" t="s">
        <v>7494</v>
      </c>
      <c r="GQ1094" s="232"/>
      <c r="GR1094" s="232"/>
      <c r="GS1094" s="232"/>
      <c r="GT1094" s="232"/>
      <c r="GU1094" s="232"/>
      <c r="GV1094" s="232"/>
      <c r="GW1094" s="232"/>
      <c r="GX1094" s="232"/>
      <c r="GY1094" s="232"/>
      <c r="GZ1094" s="232"/>
      <c r="HA1094" s="232"/>
      <c r="HB1094" s="232"/>
      <c r="HC1094" s="232"/>
      <c r="HD1094" s="232"/>
      <c r="HE1094" s="232"/>
      <c r="HF1094" s="232"/>
      <c r="HG1094" s="232"/>
      <c r="HH1094" s="232"/>
      <c r="HI1094" s="232"/>
      <c r="HJ1094" s="232"/>
      <c r="HK1094" s="232"/>
      <c r="HL1094" s="232"/>
      <c r="HM1094" s="232"/>
      <c r="HN1094" s="232"/>
      <c r="HO1094" s="232"/>
      <c r="HP1094" s="232"/>
      <c r="HQ1094" s="232"/>
      <c r="HR1094" s="232"/>
      <c r="HS1094" s="232"/>
      <c r="HT1094" s="232"/>
      <c r="HU1094" s="232"/>
      <c r="HV1094" s="232"/>
      <c r="HW1094" s="232"/>
      <c r="HX1094" s="232"/>
      <c r="HY1094" s="232"/>
      <c r="HZ1094" s="232"/>
      <c r="IA1094" s="232"/>
      <c r="IB1094" s="232"/>
      <c r="IC1094" s="232">
        <v>11</v>
      </c>
      <c r="ID1094" s="232">
        <v>17</v>
      </c>
      <c r="IE1094" s="232"/>
      <c r="IF1094" s="232"/>
      <c r="IG1094" s="232" t="s">
        <v>1658</v>
      </c>
      <c r="IH1094" s="232"/>
      <c r="II1094" s="232"/>
      <c r="IJ1094" s="232"/>
      <c r="IK1094" s="232"/>
      <c r="IL1094" s="232"/>
      <c r="IM1094" s="232"/>
      <c r="IN1094" s="232"/>
      <c r="IO1094" s="232"/>
      <c r="IP1094" s="232"/>
      <c r="IQ1094" s="232"/>
      <c r="IR1094" s="232"/>
      <c r="IS1094" s="232"/>
      <c r="IT1094" s="232"/>
      <c r="IU1094" s="232"/>
      <c r="IV1094" s="232"/>
      <c r="IW1094" s="232"/>
      <c r="IX1094" s="232"/>
      <c r="IY1094" s="232"/>
      <c r="IZ1094" s="232"/>
      <c r="JA1094" s="232"/>
      <c r="JB1094" s="232"/>
      <c r="JC1094" s="232"/>
      <c r="JD1094" s="232"/>
      <c r="JE1094" s="232"/>
      <c r="JF1094" s="232"/>
      <c r="JG1094" s="232"/>
      <c r="JH1094" s="232"/>
      <c r="JI1094" s="232"/>
      <c r="JJ1094" s="232"/>
      <c r="JK1094" s="232"/>
      <c r="JL1094" s="232"/>
      <c r="JM1094" s="232"/>
      <c r="JN1094" s="232"/>
      <c r="JO1094" s="232"/>
      <c r="JP1094" s="232"/>
      <c r="JQ1094" s="232"/>
      <c r="JR1094" s="232"/>
      <c r="JS1094" s="232"/>
      <c r="JT1094" s="232"/>
      <c r="JU1094" s="181" t="s">
        <v>752</v>
      </c>
      <c r="JV1094" s="181"/>
      <c r="JW1094" s="181"/>
    </row>
    <row r="1095" spans="1:283" s="229" customFormat="1" x14ac:dyDescent="0.25">
      <c r="A1095" s="181">
        <v>1094</v>
      </c>
      <c r="B1095" s="229" t="s">
        <v>7067</v>
      </c>
      <c r="C1095" s="230">
        <v>53</v>
      </c>
      <c r="D1095" s="181" t="s">
        <v>3914</v>
      </c>
      <c r="E1095" s="231" t="s">
        <v>741</v>
      </c>
      <c r="F1095" s="231"/>
      <c r="G1095" s="181" t="s">
        <v>742</v>
      </c>
      <c r="H1095" s="181">
        <v>2006</v>
      </c>
      <c r="I1095" s="181">
        <v>2000</v>
      </c>
      <c r="J1095" s="181" t="s">
        <v>743</v>
      </c>
      <c r="K1095" s="181" t="s">
        <v>744</v>
      </c>
      <c r="L1095" s="181" t="s">
        <v>2737</v>
      </c>
      <c r="M1095" s="231">
        <v>33.950000000000003</v>
      </c>
      <c r="N1095" s="231">
        <v>-83.38</v>
      </c>
      <c r="O1095" s="231">
        <v>208.4</v>
      </c>
      <c r="P1095" s="181"/>
      <c r="Q1095" s="181"/>
      <c r="R1095" s="181">
        <f>278+505</f>
        <v>783</v>
      </c>
      <c r="S1095" s="231">
        <f>588+645</f>
        <v>1233</v>
      </c>
      <c r="T1095" s="181"/>
      <c r="U1095" s="181">
        <v>1</v>
      </c>
      <c r="V1095" s="181" t="s">
        <v>1688</v>
      </c>
      <c r="W1095" s="181"/>
      <c r="X1095" s="181"/>
      <c r="Y1095" s="181" t="s">
        <v>1923</v>
      </c>
      <c r="Z1095" s="181" t="s">
        <v>1356</v>
      </c>
      <c r="AA1095" s="231" t="s">
        <v>1680</v>
      </c>
      <c r="AB1095" s="232"/>
      <c r="AC1095" s="232"/>
      <c r="AD1095" s="231"/>
      <c r="AE1095" s="231">
        <f>650/1000*100</f>
        <v>65</v>
      </c>
      <c r="AF1095" s="231">
        <f>25</f>
        <v>25</v>
      </c>
      <c r="AG1095" s="231"/>
      <c r="AH1095" s="181" t="s">
        <v>238</v>
      </c>
      <c r="AI1095" s="181">
        <v>6.6</v>
      </c>
      <c r="AJ1095" s="231">
        <v>0.88</v>
      </c>
      <c r="AK1095" s="231"/>
      <c r="AL1095" s="181"/>
      <c r="AM1095" s="181" t="s">
        <v>1311</v>
      </c>
      <c r="AN1095" s="185" t="s">
        <v>1482</v>
      </c>
      <c r="AO1095" s="185" t="s">
        <v>5150</v>
      </c>
      <c r="AP1095" s="181"/>
      <c r="AQ1095" s="181" t="s">
        <v>1546</v>
      </c>
      <c r="AR1095" s="181" t="s">
        <v>560</v>
      </c>
      <c r="AS1095" s="181" t="s">
        <v>5133</v>
      </c>
      <c r="AT1095" s="181" t="s">
        <v>751</v>
      </c>
      <c r="AU1095" s="181" t="s">
        <v>5150</v>
      </c>
      <c r="AV1095" s="185" t="s">
        <v>479</v>
      </c>
      <c r="AW1095" s="181" t="s">
        <v>751</v>
      </c>
      <c r="AX1095" s="185" t="s">
        <v>479</v>
      </c>
      <c r="AY1095" s="181" t="s">
        <v>176</v>
      </c>
      <c r="AZ1095" s="181" t="s">
        <v>745</v>
      </c>
      <c r="BA1095" s="181" t="s">
        <v>745</v>
      </c>
      <c r="BB1095" s="181" t="s">
        <v>2081</v>
      </c>
      <c r="BC1095" s="181" t="s">
        <v>2081</v>
      </c>
      <c r="BD1095" s="181" t="s">
        <v>176</v>
      </c>
      <c r="BE1095" s="226" t="s">
        <v>318</v>
      </c>
      <c r="BF1095" s="191" t="s">
        <v>176</v>
      </c>
      <c r="BG1095" s="55" t="s">
        <v>176</v>
      </c>
      <c r="BH1095" s="226" t="s">
        <v>318</v>
      </c>
      <c r="BI1095" s="55" t="s">
        <v>176</v>
      </c>
      <c r="BJ1095" s="181" t="s">
        <v>176</v>
      </c>
      <c r="BK1095" s="181" t="s">
        <v>5976</v>
      </c>
      <c r="BL1095" s="181"/>
      <c r="BM1095" s="192" t="s">
        <v>119</v>
      </c>
      <c r="BN1095" s="181">
        <v>3</v>
      </c>
      <c r="BO1095" s="181">
        <v>3</v>
      </c>
      <c r="BP1095" s="181"/>
      <c r="BQ1095" s="181" t="s">
        <v>315</v>
      </c>
      <c r="BR1095" s="181"/>
      <c r="BS1095" s="181">
        <f>8.18*1000</f>
        <v>8180</v>
      </c>
      <c r="BT1095" s="181">
        <v>10</v>
      </c>
      <c r="BU1095" s="181"/>
      <c r="BV1095" s="181"/>
      <c r="BW1095" s="232"/>
      <c r="BX1095" s="232"/>
      <c r="BY1095" s="232"/>
      <c r="BZ1095" s="232"/>
      <c r="CA1095" s="232"/>
      <c r="CB1095" s="183">
        <v>480</v>
      </c>
      <c r="CC1095" s="183">
        <v>516</v>
      </c>
      <c r="CD1095" s="183"/>
      <c r="CE1095" s="232"/>
      <c r="CF1095" s="232"/>
      <c r="CG1095" s="232"/>
      <c r="CH1095" s="231"/>
      <c r="CI1095" s="231"/>
      <c r="CJ1095" s="232"/>
      <c r="CK1095" s="232"/>
      <c r="CL1095" s="232"/>
      <c r="CM1095" s="232"/>
      <c r="CN1095" s="232"/>
      <c r="CO1095" s="232"/>
      <c r="CP1095" s="232"/>
      <c r="CQ1095" s="232"/>
      <c r="CR1095" s="232"/>
      <c r="CS1095" s="232"/>
      <c r="CT1095" s="232"/>
      <c r="CU1095" s="232"/>
      <c r="CV1095" s="232"/>
      <c r="CW1095" s="232"/>
      <c r="CX1095" s="232"/>
      <c r="CY1095" s="232"/>
      <c r="CZ1095" s="232"/>
      <c r="DA1095" s="232"/>
      <c r="DB1095" s="232">
        <f>50.5*0.28</f>
        <v>14.14</v>
      </c>
      <c r="DC1095" s="232">
        <f>60.8*0.28</f>
        <v>17.024000000000001</v>
      </c>
      <c r="DD1095" s="232"/>
      <c r="DE1095" s="232"/>
      <c r="DF1095" s="232" t="s">
        <v>442</v>
      </c>
      <c r="DG1095" s="232"/>
      <c r="DH1095" s="232"/>
      <c r="DI1095" s="232"/>
      <c r="DJ1095" s="232"/>
      <c r="DK1095" s="232"/>
      <c r="DL1095" s="232"/>
      <c r="DM1095" s="232"/>
      <c r="DN1095" s="232"/>
      <c r="DO1095" s="232"/>
      <c r="DP1095" s="232"/>
      <c r="DQ1095" s="233"/>
      <c r="DR1095" s="233"/>
      <c r="DS1095" s="232"/>
      <c r="DT1095" s="232"/>
      <c r="DU1095" s="232"/>
      <c r="DV1095" s="232"/>
      <c r="DW1095" s="232"/>
      <c r="DX1095" s="232"/>
      <c r="DY1095" s="232"/>
      <c r="DZ1095" s="232"/>
      <c r="EA1095" s="232"/>
      <c r="EB1095" s="232"/>
      <c r="EC1095" s="232"/>
      <c r="ED1095" s="232"/>
      <c r="EE1095" s="232"/>
      <c r="EF1095" s="232"/>
      <c r="EG1095" s="232"/>
      <c r="EH1095" s="232"/>
      <c r="EI1095" s="232"/>
      <c r="EJ1095" s="232"/>
      <c r="EK1095" s="231"/>
      <c r="EL1095" s="231"/>
      <c r="EM1095" s="232"/>
      <c r="EN1095" s="232"/>
      <c r="EO1095" s="232"/>
      <c r="EP1095" s="232"/>
      <c r="EQ1095" s="232"/>
      <c r="ER1095" s="232"/>
      <c r="ES1095" s="232"/>
      <c r="ET1095" s="232"/>
      <c r="EU1095" s="232"/>
      <c r="EV1095" s="232"/>
      <c r="EW1095" s="232"/>
      <c r="EX1095" s="232"/>
      <c r="EY1095" s="232"/>
      <c r="EZ1095" s="232"/>
      <c r="FA1095" s="232"/>
      <c r="FB1095" s="232"/>
      <c r="FC1095" s="232"/>
      <c r="FD1095" s="232"/>
      <c r="FE1095" s="232"/>
      <c r="FF1095" s="232"/>
      <c r="FG1095" s="232"/>
      <c r="FH1095" s="232"/>
      <c r="FI1095" s="232"/>
      <c r="FJ1095" s="232"/>
      <c r="FK1095" s="232"/>
      <c r="FL1095" s="232"/>
      <c r="FM1095" s="232"/>
      <c r="FN1095" s="232"/>
      <c r="FO1095" s="232"/>
      <c r="FP1095" s="232"/>
      <c r="FQ1095" s="232"/>
      <c r="FR1095" s="232"/>
      <c r="FS1095" s="232"/>
      <c r="FT1095" s="232"/>
      <c r="FU1095" s="232"/>
      <c r="FV1095" s="232"/>
      <c r="FW1095" s="232"/>
      <c r="FX1095" s="232"/>
      <c r="FY1095" s="232"/>
      <c r="FZ1095" s="232"/>
      <c r="GA1095" s="232"/>
      <c r="GB1095" s="232"/>
      <c r="GC1095" s="232"/>
      <c r="GD1095" s="232"/>
      <c r="GE1095" s="232"/>
      <c r="GF1095" s="232"/>
      <c r="GG1095" s="232"/>
      <c r="GH1095" s="232"/>
      <c r="GI1095" s="232"/>
      <c r="GJ1095" s="232"/>
      <c r="GK1095" s="232"/>
      <c r="GL1095" s="232"/>
      <c r="GM1095" s="232"/>
      <c r="GN1095" s="294"/>
      <c r="GO1095" s="294"/>
      <c r="GP1095" s="292" t="s">
        <v>7494</v>
      </c>
      <c r="GQ1095" s="232"/>
      <c r="GR1095" s="232"/>
      <c r="GS1095" s="232"/>
      <c r="GT1095" s="232"/>
      <c r="GU1095" s="232"/>
      <c r="GV1095" s="232"/>
      <c r="GW1095" s="232"/>
      <c r="GX1095" s="232"/>
      <c r="GY1095" s="232"/>
      <c r="GZ1095" s="232"/>
      <c r="HA1095" s="232"/>
      <c r="HB1095" s="232"/>
      <c r="HC1095" s="232"/>
      <c r="HD1095" s="232"/>
      <c r="HE1095" s="232"/>
      <c r="HF1095" s="232"/>
      <c r="HG1095" s="232"/>
      <c r="HH1095" s="232"/>
      <c r="HI1095" s="232"/>
      <c r="HJ1095" s="232"/>
      <c r="HK1095" s="232"/>
      <c r="HL1095" s="232"/>
      <c r="HM1095" s="232"/>
      <c r="HN1095" s="232"/>
      <c r="HO1095" s="232"/>
      <c r="HP1095" s="232"/>
      <c r="HQ1095" s="232"/>
      <c r="HR1095" s="232"/>
      <c r="HS1095" s="232"/>
      <c r="HT1095" s="232"/>
      <c r="HU1095" s="232"/>
      <c r="HV1095" s="232"/>
      <c r="HW1095" s="232"/>
      <c r="HX1095" s="232"/>
      <c r="HY1095" s="232"/>
      <c r="HZ1095" s="232"/>
      <c r="IA1095" s="232"/>
      <c r="IB1095" s="232"/>
      <c r="IC1095" s="232">
        <v>8</v>
      </c>
      <c r="ID1095" s="232">
        <v>9</v>
      </c>
      <c r="IE1095" s="232"/>
      <c r="IF1095" s="232"/>
      <c r="IG1095" s="232" t="s">
        <v>1658</v>
      </c>
      <c r="IH1095" s="232"/>
      <c r="II1095" s="232"/>
      <c r="IJ1095" s="232"/>
      <c r="IK1095" s="232"/>
      <c r="IL1095" s="232"/>
      <c r="IM1095" s="232"/>
      <c r="IN1095" s="232"/>
      <c r="IO1095" s="232"/>
      <c r="IP1095" s="232"/>
      <c r="IQ1095" s="232"/>
      <c r="IR1095" s="232"/>
      <c r="IS1095" s="232"/>
      <c r="IT1095" s="232"/>
      <c r="IU1095" s="232"/>
      <c r="IV1095" s="232"/>
      <c r="IW1095" s="232"/>
      <c r="IX1095" s="232"/>
      <c r="IY1095" s="232"/>
      <c r="IZ1095" s="232"/>
      <c r="JA1095" s="232"/>
      <c r="JB1095" s="232"/>
      <c r="JC1095" s="232"/>
      <c r="JD1095" s="232"/>
      <c r="JE1095" s="232"/>
      <c r="JF1095" s="232"/>
      <c r="JG1095" s="232"/>
      <c r="JH1095" s="232"/>
      <c r="JI1095" s="232"/>
      <c r="JJ1095" s="232"/>
      <c r="JK1095" s="232"/>
      <c r="JL1095" s="232"/>
      <c r="JM1095" s="232"/>
      <c r="JN1095" s="232"/>
      <c r="JO1095" s="232"/>
      <c r="JP1095" s="232"/>
      <c r="JQ1095" s="232"/>
      <c r="JR1095" s="232"/>
      <c r="JS1095" s="232"/>
      <c r="JT1095" s="232"/>
      <c r="JU1095" s="181" t="s">
        <v>752</v>
      </c>
      <c r="JV1095" s="181"/>
      <c r="JW1095" s="181"/>
    </row>
    <row r="1096" spans="1:283" s="229" customFormat="1" x14ac:dyDescent="0.25">
      <c r="A1096" s="181">
        <v>1095</v>
      </c>
      <c r="B1096" s="229" t="s">
        <v>7067</v>
      </c>
      <c r="C1096" s="230">
        <v>53</v>
      </c>
      <c r="D1096" s="181" t="s">
        <v>3914</v>
      </c>
      <c r="E1096" s="231" t="s">
        <v>741</v>
      </c>
      <c r="F1096" s="231"/>
      <c r="G1096" s="181" t="s">
        <v>742</v>
      </c>
      <c r="H1096" s="181">
        <v>2006</v>
      </c>
      <c r="I1096" s="181">
        <v>2000</v>
      </c>
      <c r="J1096" s="181" t="s">
        <v>743</v>
      </c>
      <c r="K1096" s="181" t="s">
        <v>744</v>
      </c>
      <c r="L1096" s="181" t="s">
        <v>2737</v>
      </c>
      <c r="M1096" s="231">
        <v>33.950000000000003</v>
      </c>
      <c r="N1096" s="231">
        <v>-83.38</v>
      </c>
      <c r="O1096" s="231">
        <v>208.4</v>
      </c>
      <c r="P1096" s="181"/>
      <c r="Q1096" s="181"/>
      <c r="R1096" s="181">
        <f>278+505</f>
        <v>783</v>
      </c>
      <c r="S1096" s="231">
        <f>588+645</f>
        <v>1233</v>
      </c>
      <c r="T1096" s="181"/>
      <c r="U1096" s="181">
        <v>1</v>
      </c>
      <c r="V1096" s="181" t="s">
        <v>1688</v>
      </c>
      <c r="W1096" s="181"/>
      <c r="X1096" s="181"/>
      <c r="Y1096" s="181" t="s">
        <v>1923</v>
      </c>
      <c r="Z1096" s="181" t="s">
        <v>1356</v>
      </c>
      <c r="AA1096" s="231" t="s">
        <v>1680</v>
      </c>
      <c r="AB1096" s="232"/>
      <c r="AC1096" s="232"/>
      <c r="AD1096" s="231"/>
      <c r="AE1096" s="231">
        <f>650/1000*100</f>
        <v>65</v>
      </c>
      <c r="AF1096" s="231">
        <f>25</f>
        <v>25</v>
      </c>
      <c r="AG1096" s="231"/>
      <c r="AH1096" s="181" t="s">
        <v>238</v>
      </c>
      <c r="AI1096" s="181">
        <v>6.6</v>
      </c>
      <c r="AJ1096" s="231">
        <v>0.88</v>
      </c>
      <c r="AK1096" s="231"/>
      <c r="AL1096" s="181"/>
      <c r="AM1096" s="181" t="s">
        <v>1311</v>
      </c>
      <c r="AN1096" s="185" t="s">
        <v>1482</v>
      </c>
      <c r="AO1096" s="185" t="s">
        <v>5150</v>
      </c>
      <c r="AP1096" s="181"/>
      <c r="AQ1096" s="181" t="s">
        <v>1546</v>
      </c>
      <c r="AR1096" s="181" t="s">
        <v>560</v>
      </c>
      <c r="AS1096" s="181" t="s">
        <v>5133</v>
      </c>
      <c r="AT1096" s="181" t="s">
        <v>751</v>
      </c>
      <c r="AU1096" s="181" t="s">
        <v>5150</v>
      </c>
      <c r="AV1096" s="185" t="s">
        <v>479</v>
      </c>
      <c r="AW1096" s="181" t="s">
        <v>751</v>
      </c>
      <c r="AX1096" s="185" t="s">
        <v>479</v>
      </c>
      <c r="AY1096" s="181" t="s">
        <v>176</v>
      </c>
      <c r="AZ1096" s="181" t="s">
        <v>746</v>
      </c>
      <c r="BA1096" s="181" t="s">
        <v>746</v>
      </c>
      <c r="BB1096" s="181" t="s">
        <v>2081</v>
      </c>
      <c r="BC1096" s="181" t="s">
        <v>2081</v>
      </c>
      <c r="BD1096" s="181" t="s">
        <v>176</v>
      </c>
      <c r="BE1096" s="226" t="s">
        <v>318</v>
      </c>
      <c r="BF1096" s="191" t="s">
        <v>176</v>
      </c>
      <c r="BG1096" s="55" t="s">
        <v>176</v>
      </c>
      <c r="BH1096" s="226" t="s">
        <v>318</v>
      </c>
      <c r="BI1096" s="55" t="s">
        <v>176</v>
      </c>
      <c r="BJ1096" s="181" t="s">
        <v>176</v>
      </c>
      <c r="BK1096" s="181" t="s">
        <v>5976</v>
      </c>
      <c r="BL1096" s="181"/>
      <c r="BM1096" s="192" t="s">
        <v>119</v>
      </c>
      <c r="BN1096" s="181">
        <v>3</v>
      </c>
      <c r="BO1096" s="181">
        <v>3</v>
      </c>
      <c r="BP1096" s="181"/>
      <c r="BQ1096" s="181" t="s">
        <v>315</v>
      </c>
      <c r="BR1096" s="181"/>
      <c r="BS1096" s="181">
        <f>8.18*1000</f>
        <v>8180</v>
      </c>
      <c r="BT1096" s="181">
        <v>10</v>
      </c>
      <c r="BU1096" s="181"/>
      <c r="BV1096" s="181"/>
      <c r="BW1096" s="232"/>
      <c r="BX1096" s="232"/>
      <c r="BY1096" s="232"/>
      <c r="BZ1096" s="232"/>
      <c r="CA1096" s="232"/>
      <c r="CB1096" s="183">
        <v>802</v>
      </c>
      <c r="CC1096" s="183">
        <v>856</v>
      </c>
      <c r="CD1096" s="183"/>
      <c r="CE1096" s="232"/>
      <c r="CF1096" s="232"/>
      <c r="CG1096" s="232"/>
      <c r="CH1096" s="231"/>
      <c r="CI1096" s="231"/>
      <c r="CJ1096" s="232"/>
      <c r="CK1096" s="232"/>
      <c r="CL1096" s="232"/>
      <c r="CM1096" s="232"/>
      <c r="CN1096" s="232"/>
      <c r="CO1096" s="232"/>
      <c r="CP1096" s="232"/>
      <c r="CQ1096" s="232"/>
      <c r="CR1096" s="232"/>
      <c r="CS1096" s="232"/>
      <c r="CT1096" s="232"/>
      <c r="CU1096" s="232"/>
      <c r="CV1096" s="232"/>
      <c r="CW1096" s="232"/>
      <c r="CX1096" s="232"/>
      <c r="CY1096" s="232"/>
      <c r="CZ1096" s="232"/>
      <c r="DA1096" s="232"/>
      <c r="DB1096" s="232">
        <f>51.2*0.28</f>
        <v>14.336000000000002</v>
      </c>
      <c r="DC1096" s="232">
        <f>54.7*0.28</f>
        <v>15.316000000000003</v>
      </c>
      <c r="DD1096" s="232"/>
      <c r="DE1096" s="232"/>
      <c r="DF1096" s="232" t="s">
        <v>442</v>
      </c>
      <c r="DG1096" s="232"/>
      <c r="DH1096" s="232"/>
      <c r="DI1096" s="232"/>
      <c r="DJ1096" s="232"/>
      <c r="DK1096" s="232"/>
      <c r="DL1096" s="232"/>
      <c r="DM1096" s="232"/>
      <c r="DN1096" s="232"/>
      <c r="DO1096" s="232"/>
      <c r="DP1096" s="232"/>
      <c r="DQ1096" s="233"/>
      <c r="DR1096" s="233"/>
      <c r="DS1096" s="232"/>
      <c r="DT1096" s="232"/>
      <c r="DU1096" s="232"/>
      <c r="DV1096" s="232"/>
      <c r="DW1096" s="232"/>
      <c r="DX1096" s="232"/>
      <c r="DY1096" s="232"/>
      <c r="DZ1096" s="232"/>
      <c r="EA1096" s="232"/>
      <c r="EB1096" s="232"/>
      <c r="EC1096" s="232"/>
      <c r="ED1096" s="232"/>
      <c r="EE1096" s="232"/>
      <c r="EF1096" s="232"/>
      <c r="EG1096" s="232"/>
      <c r="EH1096" s="232"/>
      <c r="EI1096" s="232"/>
      <c r="EJ1096" s="232"/>
      <c r="EK1096" s="231"/>
      <c r="EL1096" s="231"/>
      <c r="EM1096" s="232"/>
      <c r="EN1096" s="232"/>
      <c r="EO1096" s="232"/>
      <c r="EP1096" s="232"/>
      <c r="EQ1096" s="232"/>
      <c r="ER1096" s="232"/>
      <c r="ES1096" s="232"/>
      <c r="ET1096" s="232"/>
      <c r="EU1096" s="232"/>
      <c r="EV1096" s="232"/>
      <c r="EW1096" s="232"/>
      <c r="EX1096" s="232"/>
      <c r="EY1096" s="232"/>
      <c r="EZ1096" s="232"/>
      <c r="FA1096" s="232"/>
      <c r="FB1096" s="232"/>
      <c r="FC1096" s="232"/>
      <c r="FD1096" s="232"/>
      <c r="FE1096" s="232"/>
      <c r="FF1096" s="232"/>
      <c r="FG1096" s="232"/>
      <c r="FH1096" s="232"/>
      <c r="FI1096" s="232"/>
      <c r="FJ1096" s="232"/>
      <c r="FK1096" s="232"/>
      <c r="FL1096" s="232"/>
      <c r="FM1096" s="232"/>
      <c r="FN1096" s="232"/>
      <c r="FO1096" s="232"/>
      <c r="FP1096" s="232"/>
      <c r="FQ1096" s="232"/>
      <c r="FR1096" s="232"/>
      <c r="FS1096" s="232"/>
      <c r="FT1096" s="232"/>
      <c r="FU1096" s="232"/>
      <c r="FV1096" s="232"/>
      <c r="FW1096" s="232"/>
      <c r="FX1096" s="232"/>
      <c r="FY1096" s="232"/>
      <c r="FZ1096" s="232"/>
      <c r="GA1096" s="232"/>
      <c r="GB1096" s="232"/>
      <c r="GC1096" s="232"/>
      <c r="GD1096" s="232"/>
      <c r="GE1096" s="232"/>
      <c r="GF1096" s="232"/>
      <c r="GG1096" s="232"/>
      <c r="GH1096" s="232"/>
      <c r="GI1096" s="232"/>
      <c r="GJ1096" s="232"/>
      <c r="GK1096" s="232"/>
      <c r="GL1096" s="232"/>
      <c r="GM1096" s="232"/>
      <c r="GN1096" s="294"/>
      <c r="GO1096" s="294"/>
      <c r="GP1096" s="292" t="s">
        <v>7494</v>
      </c>
      <c r="GQ1096" s="232"/>
      <c r="GR1096" s="232"/>
      <c r="GS1096" s="232"/>
      <c r="GT1096" s="232"/>
      <c r="GU1096" s="232"/>
      <c r="GV1096" s="232"/>
      <c r="GW1096" s="232"/>
      <c r="GX1096" s="232"/>
      <c r="GY1096" s="232"/>
      <c r="GZ1096" s="232"/>
      <c r="HA1096" s="232"/>
      <c r="HB1096" s="232"/>
      <c r="HC1096" s="232"/>
      <c r="HD1096" s="232"/>
      <c r="HE1096" s="232"/>
      <c r="HF1096" s="232"/>
      <c r="HG1096" s="232"/>
      <c r="HH1096" s="232"/>
      <c r="HI1096" s="232"/>
      <c r="HJ1096" s="232"/>
      <c r="HK1096" s="232"/>
      <c r="HL1096" s="232"/>
      <c r="HM1096" s="232"/>
      <c r="HN1096" s="232"/>
      <c r="HO1096" s="232"/>
      <c r="HP1096" s="232"/>
      <c r="HQ1096" s="232"/>
      <c r="HR1096" s="232"/>
      <c r="HS1096" s="232"/>
      <c r="HT1096" s="232"/>
      <c r="HU1096" s="232"/>
      <c r="HV1096" s="232"/>
      <c r="HW1096" s="232"/>
      <c r="HX1096" s="232"/>
      <c r="HY1096" s="232"/>
      <c r="HZ1096" s="232"/>
      <c r="IA1096" s="232"/>
      <c r="IB1096" s="232"/>
      <c r="IC1096" s="232">
        <v>14</v>
      </c>
      <c r="ID1096" s="232">
        <v>8</v>
      </c>
      <c r="IE1096" s="232"/>
      <c r="IF1096" s="232"/>
      <c r="IG1096" s="232" t="s">
        <v>1658</v>
      </c>
      <c r="IH1096" s="232"/>
      <c r="II1096" s="232"/>
      <c r="IJ1096" s="232"/>
      <c r="IK1096" s="232"/>
      <c r="IL1096" s="232"/>
      <c r="IM1096" s="232"/>
      <c r="IN1096" s="232"/>
      <c r="IO1096" s="232"/>
      <c r="IP1096" s="232"/>
      <c r="IQ1096" s="232"/>
      <c r="IR1096" s="232"/>
      <c r="IS1096" s="232"/>
      <c r="IT1096" s="232"/>
      <c r="IU1096" s="232"/>
      <c r="IV1096" s="232"/>
      <c r="IW1096" s="232"/>
      <c r="IX1096" s="232"/>
      <c r="IY1096" s="232"/>
      <c r="IZ1096" s="232"/>
      <c r="JA1096" s="232"/>
      <c r="JB1096" s="232"/>
      <c r="JC1096" s="232"/>
      <c r="JD1096" s="232"/>
      <c r="JE1096" s="232"/>
      <c r="JF1096" s="232"/>
      <c r="JG1096" s="232"/>
      <c r="JH1096" s="232"/>
      <c r="JI1096" s="232"/>
      <c r="JJ1096" s="232"/>
      <c r="JK1096" s="232"/>
      <c r="JL1096" s="232"/>
      <c r="JM1096" s="232"/>
      <c r="JN1096" s="232"/>
      <c r="JO1096" s="232"/>
      <c r="JP1096" s="232"/>
      <c r="JQ1096" s="232"/>
      <c r="JR1096" s="232"/>
      <c r="JS1096" s="232"/>
      <c r="JT1096" s="232"/>
      <c r="JU1096" s="181" t="s">
        <v>752</v>
      </c>
      <c r="JV1096" s="181"/>
      <c r="JW1096" s="181"/>
    </row>
    <row r="1097" spans="1:283" s="229" customFormat="1" x14ac:dyDescent="0.25">
      <c r="A1097" s="181">
        <v>1096</v>
      </c>
      <c r="B1097" s="229" t="s">
        <v>7067</v>
      </c>
      <c r="C1097" s="230">
        <v>53</v>
      </c>
      <c r="D1097" s="181" t="s">
        <v>3914</v>
      </c>
      <c r="E1097" s="231" t="s">
        <v>741</v>
      </c>
      <c r="F1097" s="231"/>
      <c r="G1097" s="181" t="s">
        <v>742</v>
      </c>
      <c r="H1097" s="181">
        <v>2006</v>
      </c>
      <c r="I1097" s="181">
        <v>2000</v>
      </c>
      <c r="J1097" s="181" t="s">
        <v>743</v>
      </c>
      <c r="K1097" s="181" t="s">
        <v>744</v>
      </c>
      <c r="L1097" s="181" t="s">
        <v>2737</v>
      </c>
      <c r="M1097" s="231">
        <v>33.950000000000003</v>
      </c>
      <c r="N1097" s="231">
        <v>-83.38</v>
      </c>
      <c r="O1097" s="231">
        <v>208.4</v>
      </c>
      <c r="P1097" s="181"/>
      <c r="Q1097" s="181"/>
      <c r="R1097" s="181">
        <f>278+505</f>
        <v>783</v>
      </c>
      <c r="S1097" s="231">
        <f>588+645</f>
        <v>1233</v>
      </c>
      <c r="T1097" s="181"/>
      <c r="U1097" s="181">
        <v>1</v>
      </c>
      <c r="V1097" s="181" t="s">
        <v>1688</v>
      </c>
      <c r="W1097" s="181"/>
      <c r="X1097" s="181"/>
      <c r="Y1097" s="181" t="s">
        <v>1923</v>
      </c>
      <c r="Z1097" s="181" t="s">
        <v>1356</v>
      </c>
      <c r="AA1097" s="231" t="s">
        <v>1680</v>
      </c>
      <c r="AB1097" s="232"/>
      <c r="AC1097" s="232"/>
      <c r="AD1097" s="231"/>
      <c r="AE1097" s="231">
        <f>650/1000*100</f>
        <v>65</v>
      </c>
      <c r="AF1097" s="231">
        <f>25</f>
        <v>25</v>
      </c>
      <c r="AG1097" s="231"/>
      <c r="AH1097" s="181" t="s">
        <v>238</v>
      </c>
      <c r="AI1097" s="181">
        <v>6.6</v>
      </c>
      <c r="AJ1097" s="231">
        <v>0.88</v>
      </c>
      <c r="AK1097" s="231"/>
      <c r="AL1097" s="181"/>
      <c r="AM1097" s="181" t="s">
        <v>1311</v>
      </c>
      <c r="AN1097" s="185" t="s">
        <v>1482</v>
      </c>
      <c r="AO1097" s="185" t="s">
        <v>5150</v>
      </c>
      <c r="AP1097" s="181"/>
      <c r="AQ1097" s="181" t="s">
        <v>1546</v>
      </c>
      <c r="AR1097" s="181" t="s">
        <v>560</v>
      </c>
      <c r="AS1097" s="181" t="s">
        <v>5133</v>
      </c>
      <c r="AT1097" s="181" t="s">
        <v>751</v>
      </c>
      <c r="AU1097" s="181" t="s">
        <v>5150</v>
      </c>
      <c r="AV1097" s="185" t="s">
        <v>479</v>
      </c>
      <c r="AW1097" s="181" t="s">
        <v>751</v>
      </c>
      <c r="AX1097" s="185" t="s">
        <v>479</v>
      </c>
      <c r="AY1097" s="181" t="s">
        <v>176</v>
      </c>
      <c r="AZ1097" s="181" t="s">
        <v>156</v>
      </c>
      <c r="BA1097" s="181" t="s">
        <v>156</v>
      </c>
      <c r="BB1097" s="181" t="s">
        <v>2082</v>
      </c>
      <c r="BC1097" s="181" t="s">
        <v>2082</v>
      </c>
      <c r="BD1097" s="181" t="s">
        <v>176</v>
      </c>
      <c r="BE1097" s="226" t="s">
        <v>747</v>
      </c>
      <c r="BF1097" s="191" t="s">
        <v>479</v>
      </c>
      <c r="BG1097" s="181" t="s">
        <v>479</v>
      </c>
      <c r="BH1097" s="226" t="s">
        <v>747</v>
      </c>
      <c r="BI1097" s="181" t="s">
        <v>479</v>
      </c>
      <c r="BJ1097" s="181" t="s">
        <v>176</v>
      </c>
      <c r="BK1097" s="181" t="s">
        <v>6269</v>
      </c>
      <c r="BL1097" s="181"/>
      <c r="BM1097" s="192" t="s">
        <v>119</v>
      </c>
      <c r="BN1097" s="181">
        <v>3</v>
      </c>
      <c r="BO1097" s="181">
        <v>3</v>
      </c>
      <c r="BP1097" s="181"/>
      <c r="BQ1097" s="181" t="s">
        <v>315</v>
      </c>
      <c r="BR1097" s="181"/>
      <c r="BS1097" s="181">
        <f>8.18*1000</f>
        <v>8180</v>
      </c>
      <c r="BT1097" s="181">
        <v>10</v>
      </c>
      <c r="BU1097" s="181"/>
      <c r="BV1097" s="181"/>
      <c r="BW1097" s="232"/>
      <c r="BX1097" s="232"/>
      <c r="BY1097" s="232"/>
      <c r="BZ1097" s="232"/>
      <c r="CA1097" s="232"/>
      <c r="CB1097" s="183">
        <v>814</v>
      </c>
      <c r="CC1097" s="183">
        <v>1009</v>
      </c>
      <c r="CD1097" s="183"/>
      <c r="CE1097" s="232"/>
      <c r="CF1097" s="232"/>
      <c r="CG1097" s="232"/>
      <c r="CH1097" s="231"/>
      <c r="CI1097" s="231"/>
      <c r="CJ1097" s="232"/>
      <c r="CK1097" s="232"/>
      <c r="CL1097" s="232"/>
      <c r="CM1097" s="232"/>
      <c r="CN1097" s="232"/>
      <c r="CO1097" s="232"/>
      <c r="CP1097" s="232"/>
      <c r="CQ1097" s="232"/>
      <c r="CR1097" s="232"/>
      <c r="CS1097" s="232"/>
      <c r="CT1097" s="232"/>
      <c r="CU1097" s="232"/>
      <c r="CV1097" s="232"/>
      <c r="CW1097" s="232"/>
      <c r="CX1097" s="232"/>
      <c r="CY1097" s="232"/>
      <c r="CZ1097" s="232"/>
      <c r="DA1097" s="232"/>
      <c r="DB1097" s="232">
        <f>52.5*0.28</f>
        <v>14.700000000000001</v>
      </c>
      <c r="DC1097" s="232">
        <f>56.1*0.28</f>
        <v>15.708000000000002</v>
      </c>
      <c r="DD1097" s="232"/>
      <c r="DE1097" s="232"/>
      <c r="DF1097" s="232" t="s">
        <v>442</v>
      </c>
      <c r="DG1097" s="232"/>
      <c r="DH1097" s="232"/>
      <c r="DI1097" s="232"/>
      <c r="DJ1097" s="232"/>
      <c r="DK1097" s="232"/>
      <c r="DL1097" s="232"/>
      <c r="DM1097" s="232"/>
      <c r="DN1097" s="232"/>
      <c r="DO1097" s="232"/>
      <c r="DP1097" s="232"/>
      <c r="DQ1097" s="233"/>
      <c r="DR1097" s="233"/>
      <c r="DS1097" s="232"/>
      <c r="DT1097" s="232"/>
      <c r="DU1097" s="232"/>
      <c r="DV1097" s="232"/>
      <c r="DW1097" s="232"/>
      <c r="DX1097" s="232"/>
      <c r="DY1097" s="232"/>
      <c r="DZ1097" s="232"/>
      <c r="EA1097" s="232"/>
      <c r="EB1097" s="232"/>
      <c r="EC1097" s="232"/>
      <c r="ED1097" s="232"/>
      <c r="EE1097" s="232"/>
      <c r="EF1097" s="232"/>
      <c r="EG1097" s="232"/>
      <c r="EH1097" s="232"/>
      <c r="EI1097" s="232"/>
      <c r="EJ1097" s="232"/>
      <c r="EK1097" s="231"/>
      <c r="EL1097" s="231"/>
      <c r="EM1097" s="232"/>
      <c r="EN1097" s="232"/>
      <c r="EO1097" s="232"/>
      <c r="EP1097" s="232"/>
      <c r="EQ1097" s="232"/>
      <c r="ER1097" s="232"/>
      <c r="ES1097" s="232"/>
      <c r="ET1097" s="232"/>
      <c r="EU1097" s="232"/>
      <c r="EV1097" s="232"/>
      <c r="EW1097" s="232"/>
      <c r="EX1097" s="232"/>
      <c r="EY1097" s="232"/>
      <c r="EZ1097" s="232"/>
      <c r="FA1097" s="232"/>
      <c r="FB1097" s="232"/>
      <c r="FC1097" s="232"/>
      <c r="FD1097" s="232"/>
      <c r="FE1097" s="232"/>
      <c r="FF1097" s="232"/>
      <c r="FG1097" s="232"/>
      <c r="FH1097" s="232"/>
      <c r="FI1097" s="232"/>
      <c r="FJ1097" s="232"/>
      <c r="FK1097" s="232"/>
      <c r="FL1097" s="232"/>
      <c r="FM1097" s="232"/>
      <c r="FN1097" s="232"/>
      <c r="FO1097" s="232"/>
      <c r="FP1097" s="232"/>
      <c r="FQ1097" s="232"/>
      <c r="FR1097" s="232"/>
      <c r="FS1097" s="232"/>
      <c r="FT1097" s="232"/>
      <c r="FU1097" s="232"/>
      <c r="FV1097" s="232"/>
      <c r="FW1097" s="232"/>
      <c r="FX1097" s="232"/>
      <c r="FY1097" s="232"/>
      <c r="FZ1097" s="232"/>
      <c r="GA1097" s="232"/>
      <c r="GB1097" s="232"/>
      <c r="GC1097" s="232"/>
      <c r="GD1097" s="232"/>
      <c r="GE1097" s="232"/>
      <c r="GF1097" s="232"/>
      <c r="GG1097" s="232"/>
      <c r="GH1097" s="232"/>
      <c r="GI1097" s="232"/>
      <c r="GJ1097" s="232"/>
      <c r="GK1097" s="232"/>
      <c r="GL1097" s="232"/>
      <c r="GM1097" s="232"/>
      <c r="GN1097" s="294"/>
      <c r="GO1097" s="294"/>
      <c r="GP1097" s="292" t="s">
        <v>7494</v>
      </c>
      <c r="GQ1097" s="232"/>
      <c r="GR1097" s="232"/>
      <c r="GS1097" s="232"/>
      <c r="GT1097" s="232"/>
      <c r="GU1097" s="232"/>
      <c r="GV1097" s="232"/>
      <c r="GW1097" s="232"/>
      <c r="GX1097" s="232"/>
      <c r="GY1097" s="232"/>
      <c r="GZ1097" s="232"/>
      <c r="HA1097" s="232"/>
      <c r="HB1097" s="232"/>
      <c r="HC1097" s="232"/>
      <c r="HD1097" s="232"/>
      <c r="HE1097" s="232"/>
      <c r="HF1097" s="232"/>
      <c r="HG1097" s="232"/>
      <c r="HH1097" s="232"/>
      <c r="HI1097" s="232"/>
      <c r="HJ1097" s="232"/>
      <c r="HK1097" s="232"/>
      <c r="HL1097" s="232"/>
      <c r="HM1097" s="232"/>
      <c r="HN1097" s="232"/>
      <c r="HO1097" s="232"/>
      <c r="HP1097" s="232"/>
      <c r="HQ1097" s="232"/>
      <c r="HR1097" s="232"/>
      <c r="HS1097" s="232"/>
      <c r="HT1097" s="232"/>
      <c r="HU1097" s="232"/>
      <c r="HV1097" s="232"/>
      <c r="HW1097" s="232"/>
      <c r="HX1097" s="232"/>
      <c r="HY1097" s="232"/>
      <c r="HZ1097" s="232"/>
      <c r="IA1097" s="232"/>
      <c r="IB1097" s="232"/>
      <c r="IC1097" s="232"/>
      <c r="ID1097" s="232"/>
      <c r="IE1097" s="232"/>
      <c r="IF1097" s="232"/>
      <c r="IG1097" s="232"/>
      <c r="IH1097" s="232"/>
      <c r="II1097" s="232"/>
      <c r="IJ1097" s="232"/>
      <c r="IK1097" s="232"/>
      <c r="IL1097" s="232"/>
      <c r="IM1097" s="232"/>
      <c r="IN1097" s="232"/>
      <c r="IO1097" s="232"/>
      <c r="IP1097" s="232"/>
      <c r="IQ1097" s="232"/>
      <c r="IR1097" s="232"/>
      <c r="IS1097" s="232"/>
      <c r="IT1097" s="232"/>
      <c r="IU1097" s="232"/>
      <c r="IV1097" s="232"/>
      <c r="IW1097" s="232"/>
      <c r="IX1097" s="232"/>
      <c r="IY1097" s="232"/>
      <c r="IZ1097" s="232"/>
      <c r="JA1097" s="232"/>
      <c r="JB1097" s="232"/>
      <c r="JC1097" s="232"/>
      <c r="JD1097" s="232"/>
      <c r="JE1097" s="232"/>
      <c r="JF1097" s="232"/>
      <c r="JG1097" s="232"/>
      <c r="JH1097" s="232"/>
      <c r="JI1097" s="232"/>
      <c r="JJ1097" s="232"/>
      <c r="JK1097" s="232"/>
      <c r="JL1097" s="232"/>
      <c r="JM1097" s="232"/>
      <c r="JN1097" s="232"/>
      <c r="JO1097" s="232"/>
      <c r="JP1097" s="232"/>
      <c r="JQ1097" s="232"/>
      <c r="JR1097" s="232"/>
      <c r="JS1097" s="232"/>
      <c r="JT1097" s="232"/>
      <c r="JU1097" s="181" t="s">
        <v>752</v>
      </c>
      <c r="JV1097" s="181"/>
      <c r="JW1097" s="181"/>
    </row>
    <row r="1098" spans="1:283" s="229" customFormat="1" x14ac:dyDescent="0.25">
      <c r="A1098" s="181">
        <v>1097</v>
      </c>
      <c r="B1098" s="229" t="s">
        <v>7067</v>
      </c>
      <c r="C1098" s="230">
        <v>53</v>
      </c>
      <c r="D1098" s="181" t="s">
        <v>3914</v>
      </c>
      <c r="E1098" s="231" t="s">
        <v>741</v>
      </c>
      <c r="F1098" s="231"/>
      <c r="G1098" s="181" t="s">
        <v>742</v>
      </c>
      <c r="H1098" s="181">
        <v>2006</v>
      </c>
      <c r="I1098" s="181">
        <v>2000</v>
      </c>
      <c r="J1098" s="181" t="s">
        <v>743</v>
      </c>
      <c r="K1098" s="181" t="s">
        <v>744</v>
      </c>
      <c r="L1098" s="181" t="s">
        <v>2737</v>
      </c>
      <c r="M1098" s="231">
        <v>33.950000000000003</v>
      </c>
      <c r="N1098" s="231">
        <v>-83.38</v>
      </c>
      <c r="O1098" s="231">
        <v>208.4</v>
      </c>
      <c r="P1098" s="181"/>
      <c r="Q1098" s="181"/>
      <c r="R1098" s="181">
        <f>278+505</f>
        <v>783</v>
      </c>
      <c r="S1098" s="231">
        <f>588+645</f>
        <v>1233</v>
      </c>
      <c r="T1098" s="181"/>
      <c r="U1098" s="181">
        <v>1</v>
      </c>
      <c r="V1098" s="181" t="s">
        <v>1688</v>
      </c>
      <c r="W1098" s="181"/>
      <c r="X1098" s="181"/>
      <c r="Y1098" s="181" t="s">
        <v>1923</v>
      </c>
      <c r="Z1098" s="181" t="s">
        <v>1356</v>
      </c>
      <c r="AA1098" s="231" t="s">
        <v>1680</v>
      </c>
      <c r="AB1098" s="232"/>
      <c r="AC1098" s="232"/>
      <c r="AD1098" s="231"/>
      <c r="AE1098" s="231">
        <f>650/1000*100</f>
        <v>65</v>
      </c>
      <c r="AF1098" s="231">
        <f>25</f>
        <v>25</v>
      </c>
      <c r="AG1098" s="231"/>
      <c r="AH1098" s="181" t="s">
        <v>238</v>
      </c>
      <c r="AI1098" s="181">
        <v>6.6</v>
      </c>
      <c r="AJ1098" s="231">
        <v>0.88</v>
      </c>
      <c r="AK1098" s="231"/>
      <c r="AL1098" s="181"/>
      <c r="AM1098" s="181" t="s">
        <v>1311</v>
      </c>
      <c r="AN1098" s="185" t="s">
        <v>1482</v>
      </c>
      <c r="AO1098" s="185" t="s">
        <v>5150</v>
      </c>
      <c r="AP1098" s="181"/>
      <c r="AQ1098" s="181" t="s">
        <v>1546</v>
      </c>
      <c r="AR1098" s="181" t="s">
        <v>560</v>
      </c>
      <c r="AS1098" s="181" t="s">
        <v>5133</v>
      </c>
      <c r="AT1098" s="181" t="s">
        <v>751</v>
      </c>
      <c r="AU1098" s="181" t="s">
        <v>5150</v>
      </c>
      <c r="AV1098" s="185" t="s">
        <v>479</v>
      </c>
      <c r="AW1098" s="181" t="s">
        <v>751</v>
      </c>
      <c r="AX1098" s="185" t="s">
        <v>479</v>
      </c>
      <c r="AY1098" s="181" t="s">
        <v>176</v>
      </c>
      <c r="AZ1098" s="181" t="s">
        <v>745</v>
      </c>
      <c r="BA1098" s="181" t="s">
        <v>745</v>
      </c>
      <c r="BB1098" s="181" t="s">
        <v>2081</v>
      </c>
      <c r="BC1098" s="181" t="s">
        <v>2081</v>
      </c>
      <c r="BD1098" s="181" t="s">
        <v>176</v>
      </c>
      <c r="BE1098" s="226" t="s">
        <v>747</v>
      </c>
      <c r="BF1098" s="191" t="s">
        <v>479</v>
      </c>
      <c r="BG1098" s="181" t="s">
        <v>479</v>
      </c>
      <c r="BH1098" s="226" t="s">
        <v>747</v>
      </c>
      <c r="BI1098" s="181" t="s">
        <v>479</v>
      </c>
      <c r="BJ1098" s="181" t="s">
        <v>176</v>
      </c>
      <c r="BK1098" s="181" t="s">
        <v>5976</v>
      </c>
      <c r="BL1098" s="181"/>
      <c r="BM1098" s="192" t="s">
        <v>119</v>
      </c>
      <c r="BN1098" s="181">
        <v>3</v>
      </c>
      <c r="BO1098" s="181">
        <v>3</v>
      </c>
      <c r="BP1098" s="181"/>
      <c r="BQ1098" s="181" t="s">
        <v>315</v>
      </c>
      <c r="BR1098" s="181"/>
      <c r="BS1098" s="181">
        <f>8.18*1000</f>
        <v>8180</v>
      </c>
      <c r="BT1098" s="181">
        <v>10</v>
      </c>
      <c r="BU1098" s="181"/>
      <c r="BV1098" s="181"/>
      <c r="BW1098" s="232"/>
      <c r="BX1098" s="232"/>
      <c r="BY1098" s="232"/>
      <c r="BZ1098" s="232"/>
      <c r="CA1098" s="232"/>
      <c r="CB1098" s="183">
        <v>480</v>
      </c>
      <c r="CC1098" s="183">
        <v>645</v>
      </c>
      <c r="CD1098" s="183"/>
      <c r="CE1098" s="232"/>
      <c r="CF1098" s="232"/>
      <c r="CG1098" s="232"/>
      <c r="CH1098" s="231"/>
      <c r="CI1098" s="231"/>
      <c r="CJ1098" s="232"/>
      <c r="CK1098" s="232"/>
      <c r="CL1098" s="232"/>
      <c r="CM1098" s="232"/>
      <c r="CN1098" s="232"/>
      <c r="CO1098" s="232"/>
      <c r="CP1098" s="232"/>
      <c r="CQ1098" s="232"/>
      <c r="CR1098" s="232"/>
      <c r="CS1098" s="232"/>
      <c r="CT1098" s="232"/>
      <c r="CU1098" s="232"/>
      <c r="CV1098" s="232"/>
      <c r="CW1098" s="232"/>
      <c r="CX1098" s="232"/>
      <c r="CY1098" s="232"/>
      <c r="CZ1098" s="232"/>
      <c r="DA1098" s="232"/>
      <c r="DB1098" s="232"/>
      <c r="DC1098" s="232"/>
      <c r="DD1098" s="232"/>
      <c r="DE1098" s="232"/>
      <c r="DF1098" s="232"/>
      <c r="DG1098" s="232"/>
      <c r="DH1098" s="232"/>
      <c r="DI1098" s="232"/>
      <c r="DJ1098" s="232"/>
      <c r="DK1098" s="232"/>
      <c r="DL1098" s="232"/>
      <c r="DM1098" s="232"/>
      <c r="DN1098" s="232"/>
      <c r="DO1098" s="232"/>
      <c r="DP1098" s="232"/>
      <c r="DQ1098" s="233"/>
      <c r="DR1098" s="233"/>
      <c r="DS1098" s="232"/>
      <c r="DT1098" s="232"/>
      <c r="DU1098" s="232"/>
      <c r="DV1098" s="232"/>
      <c r="DW1098" s="232"/>
      <c r="DX1098" s="232"/>
      <c r="DY1098" s="232"/>
      <c r="DZ1098" s="232"/>
      <c r="EA1098" s="232"/>
      <c r="EB1098" s="232"/>
      <c r="EC1098" s="232"/>
      <c r="ED1098" s="232"/>
      <c r="EE1098" s="232"/>
      <c r="EF1098" s="232"/>
      <c r="EG1098" s="232"/>
      <c r="EH1098" s="232"/>
      <c r="EI1098" s="232"/>
      <c r="EJ1098" s="232"/>
      <c r="EK1098" s="231"/>
      <c r="EL1098" s="231"/>
      <c r="EM1098" s="232"/>
      <c r="EN1098" s="232"/>
      <c r="EO1098" s="232"/>
      <c r="EP1098" s="232"/>
      <c r="EQ1098" s="232"/>
      <c r="ER1098" s="232"/>
      <c r="ES1098" s="232"/>
      <c r="ET1098" s="232"/>
      <c r="EU1098" s="232"/>
      <c r="EV1098" s="232"/>
      <c r="EW1098" s="232"/>
      <c r="EX1098" s="232"/>
      <c r="EY1098" s="232"/>
      <c r="EZ1098" s="232"/>
      <c r="FA1098" s="232"/>
      <c r="FB1098" s="232"/>
      <c r="FC1098" s="232"/>
      <c r="FD1098" s="232"/>
      <c r="FE1098" s="232"/>
      <c r="FF1098" s="232"/>
      <c r="FG1098" s="232"/>
      <c r="FH1098" s="232"/>
      <c r="FI1098" s="232"/>
      <c r="FJ1098" s="232"/>
      <c r="FK1098" s="232"/>
      <c r="FL1098" s="232"/>
      <c r="FM1098" s="232"/>
      <c r="FN1098" s="232"/>
      <c r="FO1098" s="232"/>
      <c r="FP1098" s="232"/>
      <c r="FQ1098" s="232"/>
      <c r="FR1098" s="232"/>
      <c r="FS1098" s="232"/>
      <c r="FT1098" s="232"/>
      <c r="FU1098" s="232"/>
      <c r="FV1098" s="232"/>
      <c r="FW1098" s="232"/>
      <c r="FX1098" s="232"/>
      <c r="FY1098" s="232"/>
      <c r="FZ1098" s="232"/>
      <c r="GA1098" s="232"/>
      <c r="GB1098" s="232"/>
      <c r="GC1098" s="232"/>
      <c r="GD1098" s="232"/>
      <c r="GE1098" s="232"/>
      <c r="GF1098" s="232"/>
      <c r="GG1098" s="232"/>
      <c r="GH1098" s="232"/>
      <c r="GI1098" s="232"/>
      <c r="GJ1098" s="232"/>
      <c r="GK1098" s="232"/>
      <c r="GL1098" s="232"/>
      <c r="GM1098" s="232"/>
      <c r="GN1098" s="294"/>
      <c r="GO1098" s="294"/>
      <c r="GP1098" s="292" t="s">
        <v>7494</v>
      </c>
      <c r="GQ1098" s="232"/>
      <c r="GR1098" s="232"/>
      <c r="GS1098" s="232"/>
      <c r="GT1098" s="232"/>
      <c r="GU1098" s="232"/>
      <c r="GV1098" s="232"/>
      <c r="GW1098" s="232"/>
      <c r="GX1098" s="232"/>
      <c r="GY1098" s="232"/>
      <c r="GZ1098" s="232"/>
      <c r="HA1098" s="232"/>
      <c r="HB1098" s="232"/>
      <c r="HC1098" s="232"/>
      <c r="HD1098" s="232"/>
      <c r="HE1098" s="232"/>
      <c r="HF1098" s="232"/>
      <c r="HG1098" s="232"/>
      <c r="HH1098" s="232"/>
      <c r="HI1098" s="232"/>
      <c r="HJ1098" s="232"/>
      <c r="HK1098" s="232"/>
      <c r="HL1098" s="232"/>
      <c r="HM1098" s="232"/>
      <c r="HN1098" s="232"/>
      <c r="HO1098" s="232"/>
      <c r="HP1098" s="232"/>
      <c r="HQ1098" s="232"/>
      <c r="HR1098" s="232"/>
      <c r="HS1098" s="232"/>
      <c r="HT1098" s="232"/>
      <c r="HU1098" s="232"/>
      <c r="HV1098" s="232"/>
      <c r="HW1098" s="232"/>
      <c r="HX1098" s="232"/>
      <c r="HY1098" s="232"/>
      <c r="HZ1098" s="232"/>
      <c r="IA1098" s="232"/>
      <c r="IB1098" s="232"/>
      <c r="IC1098" s="232"/>
      <c r="ID1098" s="232"/>
      <c r="IE1098" s="232"/>
      <c r="IF1098" s="232"/>
      <c r="IG1098" s="232"/>
      <c r="IH1098" s="232"/>
      <c r="II1098" s="232"/>
      <c r="IJ1098" s="232"/>
      <c r="IK1098" s="232"/>
      <c r="IL1098" s="232"/>
      <c r="IM1098" s="232"/>
      <c r="IN1098" s="232"/>
      <c r="IO1098" s="232"/>
      <c r="IP1098" s="232"/>
      <c r="IQ1098" s="232"/>
      <c r="IR1098" s="232"/>
      <c r="IS1098" s="232"/>
      <c r="IT1098" s="232"/>
      <c r="IU1098" s="232"/>
      <c r="IV1098" s="232"/>
      <c r="IW1098" s="232"/>
      <c r="IX1098" s="232"/>
      <c r="IY1098" s="232"/>
      <c r="IZ1098" s="232"/>
      <c r="JA1098" s="232"/>
      <c r="JB1098" s="232"/>
      <c r="JC1098" s="232"/>
      <c r="JD1098" s="232"/>
      <c r="JE1098" s="232"/>
      <c r="JF1098" s="232"/>
      <c r="JG1098" s="232"/>
      <c r="JH1098" s="232"/>
      <c r="JI1098" s="232"/>
      <c r="JJ1098" s="232"/>
      <c r="JK1098" s="232"/>
      <c r="JL1098" s="232"/>
      <c r="JM1098" s="232"/>
      <c r="JN1098" s="232"/>
      <c r="JO1098" s="232"/>
      <c r="JP1098" s="232"/>
      <c r="JQ1098" s="232"/>
      <c r="JR1098" s="232"/>
      <c r="JS1098" s="232"/>
      <c r="JT1098" s="232"/>
      <c r="JU1098" s="181" t="s">
        <v>752</v>
      </c>
      <c r="JV1098" s="181"/>
      <c r="JW1098" s="181"/>
    </row>
    <row r="1099" spans="1:283" s="229" customFormat="1" x14ac:dyDescent="0.25">
      <c r="A1099" s="181">
        <v>1098</v>
      </c>
      <c r="B1099" s="229" t="s">
        <v>7067</v>
      </c>
      <c r="C1099" s="230">
        <v>53</v>
      </c>
      <c r="D1099" s="181" t="s">
        <v>3914</v>
      </c>
      <c r="E1099" s="231" t="s">
        <v>741</v>
      </c>
      <c r="F1099" s="231"/>
      <c r="G1099" s="181" t="s">
        <v>742</v>
      </c>
      <c r="H1099" s="181">
        <v>2006</v>
      </c>
      <c r="I1099" s="181">
        <v>2000</v>
      </c>
      <c r="J1099" s="181" t="s">
        <v>743</v>
      </c>
      <c r="K1099" s="181" t="s">
        <v>744</v>
      </c>
      <c r="L1099" s="181" t="s">
        <v>2737</v>
      </c>
      <c r="M1099" s="231">
        <v>33.950000000000003</v>
      </c>
      <c r="N1099" s="231">
        <v>-83.38</v>
      </c>
      <c r="O1099" s="231">
        <v>208.4</v>
      </c>
      <c r="P1099" s="181"/>
      <c r="Q1099" s="181"/>
      <c r="R1099" s="181">
        <f>278+505</f>
        <v>783</v>
      </c>
      <c r="S1099" s="231">
        <f>588+645</f>
        <v>1233</v>
      </c>
      <c r="T1099" s="181"/>
      <c r="U1099" s="181">
        <v>1</v>
      </c>
      <c r="V1099" s="181" t="s">
        <v>1688</v>
      </c>
      <c r="W1099" s="181"/>
      <c r="X1099" s="181"/>
      <c r="Y1099" s="181" t="s">
        <v>1923</v>
      </c>
      <c r="Z1099" s="181" t="s">
        <v>1356</v>
      </c>
      <c r="AA1099" s="231" t="s">
        <v>1680</v>
      </c>
      <c r="AB1099" s="232"/>
      <c r="AC1099" s="232"/>
      <c r="AD1099" s="231"/>
      <c r="AE1099" s="231">
        <f>650/1000*100</f>
        <v>65</v>
      </c>
      <c r="AF1099" s="231">
        <f>25</f>
        <v>25</v>
      </c>
      <c r="AG1099" s="231"/>
      <c r="AH1099" s="181" t="s">
        <v>238</v>
      </c>
      <c r="AI1099" s="181">
        <v>6.6</v>
      </c>
      <c r="AJ1099" s="231">
        <v>0.88</v>
      </c>
      <c r="AK1099" s="231"/>
      <c r="AL1099" s="181"/>
      <c r="AM1099" s="181" t="s">
        <v>1311</v>
      </c>
      <c r="AN1099" s="185" t="s">
        <v>1482</v>
      </c>
      <c r="AO1099" s="185" t="s">
        <v>5150</v>
      </c>
      <c r="AP1099" s="181"/>
      <c r="AQ1099" s="181" t="s">
        <v>1546</v>
      </c>
      <c r="AR1099" s="181" t="s">
        <v>560</v>
      </c>
      <c r="AS1099" s="181" t="s">
        <v>5133</v>
      </c>
      <c r="AT1099" s="181" t="s">
        <v>751</v>
      </c>
      <c r="AU1099" s="181" t="s">
        <v>5150</v>
      </c>
      <c r="AV1099" s="185" t="s">
        <v>479</v>
      </c>
      <c r="AW1099" s="181" t="s">
        <v>751</v>
      </c>
      <c r="AX1099" s="185" t="s">
        <v>479</v>
      </c>
      <c r="AY1099" s="181" t="s">
        <v>176</v>
      </c>
      <c r="AZ1099" s="181" t="s">
        <v>746</v>
      </c>
      <c r="BA1099" s="181" t="s">
        <v>746</v>
      </c>
      <c r="BB1099" s="181" t="s">
        <v>2081</v>
      </c>
      <c r="BC1099" s="181" t="s">
        <v>2081</v>
      </c>
      <c r="BD1099" s="181" t="s">
        <v>176</v>
      </c>
      <c r="BE1099" s="226" t="s">
        <v>747</v>
      </c>
      <c r="BF1099" s="191" t="s">
        <v>479</v>
      </c>
      <c r="BG1099" s="181" t="s">
        <v>479</v>
      </c>
      <c r="BH1099" s="226" t="s">
        <v>747</v>
      </c>
      <c r="BI1099" s="181" t="s">
        <v>479</v>
      </c>
      <c r="BJ1099" s="181" t="s">
        <v>176</v>
      </c>
      <c r="BK1099" s="181" t="s">
        <v>5976</v>
      </c>
      <c r="BL1099" s="181"/>
      <c r="BM1099" s="192" t="s">
        <v>119</v>
      </c>
      <c r="BN1099" s="181">
        <v>3</v>
      </c>
      <c r="BO1099" s="181">
        <v>3</v>
      </c>
      <c r="BP1099" s="181"/>
      <c r="BQ1099" s="181" t="s">
        <v>315</v>
      </c>
      <c r="BR1099" s="181"/>
      <c r="BS1099" s="181">
        <f>8.18*1000</f>
        <v>8180</v>
      </c>
      <c r="BT1099" s="181">
        <v>10</v>
      </c>
      <c r="BU1099" s="181"/>
      <c r="BV1099" s="181"/>
      <c r="BW1099" s="232"/>
      <c r="BX1099" s="232"/>
      <c r="BY1099" s="232"/>
      <c r="BZ1099" s="232"/>
      <c r="CA1099" s="232"/>
      <c r="CB1099" s="183">
        <v>802</v>
      </c>
      <c r="CC1099" s="183">
        <v>666</v>
      </c>
      <c r="CD1099" s="183"/>
      <c r="CE1099" s="232"/>
      <c r="CF1099" s="232"/>
      <c r="CG1099" s="232"/>
      <c r="CH1099" s="231"/>
      <c r="CI1099" s="231"/>
      <c r="CJ1099" s="232"/>
      <c r="CK1099" s="232"/>
      <c r="CL1099" s="232"/>
      <c r="CM1099" s="232"/>
      <c r="CN1099" s="232"/>
      <c r="CO1099" s="232"/>
      <c r="CP1099" s="232"/>
      <c r="CQ1099" s="232"/>
      <c r="CR1099" s="232"/>
      <c r="CS1099" s="232"/>
      <c r="CT1099" s="232"/>
      <c r="CU1099" s="232"/>
      <c r="CV1099" s="232"/>
      <c r="CW1099" s="232"/>
      <c r="CX1099" s="232"/>
      <c r="CY1099" s="232"/>
      <c r="CZ1099" s="232"/>
      <c r="DA1099" s="232"/>
      <c r="DB1099" s="232"/>
      <c r="DC1099" s="232"/>
      <c r="DD1099" s="232"/>
      <c r="DE1099" s="232"/>
      <c r="DF1099" s="232"/>
      <c r="DG1099" s="232"/>
      <c r="DH1099" s="232"/>
      <c r="DI1099" s="232"/>
      <c r="DJ1099" s="232"/>
      <c r="DK1099" s="232"/>
      <c r="DL1099" s="232"/>
      <c r="DM1099" s="232"/>
      <c r="DN1099" s="232"/>
      <c r="DO1099" s="232"/>
      <c r="DP1099" s="232"/>
      <c r="DQ1099" s="233"/>
      <c r="DR1099" s="233"/>
      <c r="DS1099" s="232"/>
      <c r="DT1099" s="232"/>
      <c r="DU1099" s="232"/>
      <c r="DV1099" s="232"/>
      <c r="DW1099" s="232"/>
      <c r="DX1099" s="232"/>
      <c r="DY1099" s="232"/>
      <c r="DZ1099" s="232"/>
      <c r="EA1099" s="232"/>
      <c r="EB1099" s="232"/>
      <c r="EC1099" s="232"/>
      <c r="ED1099" s="232"/>
      <c r="EE1099" s="232"/>
      <c r="EF1099" s="232"/>
      <c r="EG1099" s="232"/>
      <c r="EH1099" s="232"/>
      <c r="EI1099" s="232"/>
      <c r="EJ1099" s="232"/>
      <c r="EK1099" s="231"/>
      <c r="EL1099" s="231"/>
      <c r="EM1099" s="232"/>
      <c r="EN1099" s="232"/>
      <c r="EO1099" s="232"/>
      <c r="EP1099" s="232"/>
      <c r="EQ1099" s="232"/>
      <c r="ER1099" s="232"/>
      <c r="ES1099" s="232"/>
      <c r="ET1099" s="232"/>
      <c r="EU1099" s="232"/>
      <c r="EV1099" s="232"/>
      <c r="EW1099" s="232"/>
      <c r="EX1099" s="232"/>
      <c r="EY1099" s="232"/>
      <c r="EZ1099" s="232"/>
      <c r="FA1099" s="232"/>
      <c r="FB1099" s="232"/>
      <c r="FC1099" s="232"/>
      <c r="FD1099" s="232"/>
      <c r="FE1099" s="232"/>
      <c r="FF1099" s="232"/>
      <c r="FG1099" s="232"/>
      <c r="FH1099" s="232"/>
      <c r="FI1099" s="232"/>
      <c r="FJ1099" s="232"/>
      <c r="FK1099" s="232"/>
      <c r="FL1099" s="232"/>
      <c r="FM1099" s="232"/>
      <c r="FN1099" s="232"/>
      <c r="FO1099" s="232"/>
      <c r="FP1099" s="232"/>
      <c r="FQ1099" s="232"/>
      <c r="FR1099" s="232"/>
      <c r="FS1099" s="232"/>
      <c r="FT1099" s="232"/>
      <c r="FU1099" s="232"/>
      <c r="FV1099" s="232"/>
      <c r="FW1099" s="232"/>
      <c r="FX1099" s="232"/>
      <c r="FY1099" s="232"/>
      <c r="FZ1099" s="232"/>
      <c r="GA1099" s="232"/>
      <c r="GB1099" s="232"/>
      <c r="GC1099" s="232"/>
      <c r="GD1099" s="232"/>
      <c r="GE1099" s="232"/>
      <c r="GF1099" s="232"/>
      <c r="GG1099" s="232"/>
      <c r="GH1099" s="232"/>
      <c r="GI1099" s="232"/>
      <c r="GJ1099" s="232"/>
      <c r="GK1099" s="232"/>
      <c r="GL1099" s="232"/>
      <c r="GM1099" s="232"/>
      <c r="GN1099" s="294"/>
      <c r="GO1099" s="294"/>
      <c r="GP1099" s="292" t="s">
        <v>7494</v>
      </c>
      <c r="GQ1099" s="232"/>
      <c r="GR1099" s="232"/>
      <c r="GS1099" s="232"/>
      <c r="GT1099" s="232"/>
      <c r="GU1099" s="232"/>
      <c r="GV1099" s="232"/>
      <c r="GW1099" s="232"/>
      <c r="GX1099" s="232"/>
      <c r="GY1099" s="232"/>
      <c r="GZ1099" s="232"/>
      <c r="HA1099" s="232"/>
      <c r="HB1099" s="232"/>
      <c r="HC1099" s="232"/>
      <c r="HD1099" s="232"/>
      <c r="HE1099" s="232"/>
      <c r="HF1099" s="232"/>
      <c r="HG1099" s="232"/>
      <c r="HH1099" s="232"/>
      <c r="HI1099" s="232"/>
      <c r="HJ1099" s="232"/>
      <c r="HK1099" s="232"/>
      <c r="HL1099" s="232"/>
      <c r="HM1099" s="232"/>
      <c r="HN1099" s="232"/>
      <c r="HO1099" s="232"/>
      <c r="HP1099" s="232"/>
      <c r="HQ1099" s="232"/>
      <c r="HR1099" s="232"/>
      <c r="HS1099" s="232"/>
      <c r="HT1099" s="232"/>
      <c r="HU1099" s="232"/>
      <c r="HV1099" s="232"/>
      <c r="HW1099" s="232"/>
      <c r="HX1099" s="232"/>
      <c r="HY1099" s="232"/>
      <c r="HZ1099" s="232"/>
      <c r="IA1099" s="232"/>
      <c r="IB1099" s="232"/>
      <c r="IC1099" s="232"/>
      <c r="ID1099" s="232"/>
      <c r="IE1099" s="232"/>
      <c r="IF1099" s="232"/>
      <c r="IG1099" s="232"/>
      <c r="IH1099" s="232"/>
      <c r="II1099" s="232"/>
      <c r="IJ1099" s="232"/>
      <c r="IK1099" s="232"/>
      <c r="IL1099" s="232"/>
      <c r="IM1099" s="232"/>
      <c r="IN1099" s="232"/>
      <c r="IO1099" s="232"/>
      <c r="IP1099" s="232"/>
      <c r="IQ1099" s="232"/>
      <c r="IR1099" s="232"/>
      <c r="IS1099" s="232"/>
      <c r="IT1099" s="232"/>
      <c r="IU1099" s="232"/>
      <c r="IV1099" s="232"/>
      <c r="IW1099" s="232"/>
      <c r="IX1099" s="232"/>
      <c r="IY1099" s="232"/>
      <c r="IZ1099" s="232"/>
      <c r="JA1099" s="232"/>
      <c r="JB1099" s="232"/>
      <c r="JC1099" s="232"/>
      <c r="JD1099" s="232"/>
      <c r="JE1099" s="232"/>
      <c r="JF1099" s="232"/>
      <c r="JG1099" s="232"/>
      <c r="JH1099" s="232"/>
      <c r="JI1099" s="232"/>
      <c r="JJ1099" s="232"/>
      <c r="JK1099" s="232"/>
      <c r="JL1099" s="232"/>
      <c r="JM1099" s="232"/>
      <c r="JN1099" s="232"/>
      <c r="JO1099" s="232"/>
      <c r="JP1099" s="232"/>
      <c r="JQ1099" s="232"/>
      <c r="JR1099" s="232"/>
      <c r="JS1099" s="232"/>
      <c r="JT1099" s="232"/>
      <c r="JU1099" s="181" t="s">
        <v>752</v>
      </c>
      <c r="JV1099" s="181"/>
      <c r="JW1099" s="181"/>
    </row>
    <row r="1100" spans="1:283" s="229" customFormat="1" x14ac:dyDescent="0.25">
      <c r="A1100" s="181">
        <v>1099</v>
      </c>
      <c r="B1100" s="229" t="s">
        <v>7067</v>
      </c>
      <c r="C1100" s="230">
        <v>53</v>
      </c>
      <c r="D1100" s="181" t="s">
        <v>3914</v>
      </c>
      <c r="E1100" s="231" t="s">
        <v>741</v>
      </c>
      <c r="F1100" s="231"/>
      <c r="G1100" s="181" t="s">
        <v>742</v>
      </c>
      <c r="H1100" s="181">
        <v>2006</v>
      </c>
      <c r="I1100" s="181">
        <v>2000</v>
      </c>
      <c r="J1100" s="181" t="s">
        <v>743</v>
      </c>
      <c r="K1100" s="181" t="s">
        <v>744</v>
      </c>
      <c r="L1100" s="181" t="s">
        <v>2737</v>
      </c>
      <c r="M1100" s="231">
        <v>33.950000000000003</v>
      </c>
      <c r="N1100" s="231">
        <v>-83.38</v>
      </c>
      <c r="O1100" s="231">
        <v>208.4</v>
      </c>
      <c r="P1100" s="181"/>
      <c r="Q1100" s="181"/>
      <c r="R1100" s="181">
        <f>278+505</f>
        <v>783</v>
      </c>
      <c r="S1100" s="231">
        <f>588+645</f>
        <v>1233</v>
      </c>
      <c r="T1100" s="181"/>
      <c r="U1100" s="181">
        <v>1</v>
      </c>
      <c r="V1100" s="181" t="s">
        <v>1688</v>
      </c>
      <c r="W1100" s="181"/>
      <c r="X1100" s="181"/>
      <c r="Y1100" s="181" t="s">
        <v>1923</v>
      </c>
      <c r="Z1100" s="181" t="s">
        <v>1356</v>
      </c>
      <c r="AA1100" s="231" t="s">
        <v>1680</v>
      </c>
      <c r="AB1100" s="232"/>
      <c r="AC1100" s="232"/>
      <c r="AD1100" s="231"/>
      <c r="AE1100" s="231">
        <f>650/1000*100</f>
        <v>65</v>
      </c>
      <c r="AF1100" s="231">
        <f>25</f>
        <v>25</v>
      </c>
      <c r="AG1100" s="231"/>
      <c r="AH1100" s="181" t="s">
        <v>238</v>
      </c>
      <c r="AI1100" s="181">
        <v>6.6</v>
      </c>
      <c r="AJ1100" s="231">
        <v>0.88</v>
      </c>
      <c r="AK1100" s="231"/>
      <c r="AL1100" s="181"/>
      <c r="AM1100" s="181" t="s">
        <v>1311</v>
      </c>
      <c r="AN1100" s="185" t="s">
        <v>1482</v>
      </c>
      <c r="AO1100" s="185" t="s">
        <v>5150</v>
      </c>
      <c r="AP1100" s="181"/>
      <c r="AQ1100" s="181" t="s">
        <v>1546</v>
      </c>
      <c r="AR1100" s="181" t="s">
        <v>560</v>
      </c>
      <c r="AS1100" s="181" t="s">
        <v>5133</v>
      </c>
      <c r="AT1100" s="181" t="s">
        <v>751</v>
      </c>
      <c r="AU1100" s="181" t="s">
        <v>5150</v>
      </c>
      <c r="AV1100" s="185" t="s">
        <v>479</v>
      </c>
      <c r="AW1100" s="181" t="s">
        <v>751</v>
      </c>
      <c r="AX1100" s="185" t="s">
        <v>479</v>
      </c>
      <c r="AY1100" s="181" t="s">
        <v>176</v>
      </c>
      <c r="AZ1100" s="181" t="s">
        <v>156</v>
      </c>
      <c r="BA1100" s="181" t="s">
        <v>156</v>
      </c>
      <c r="BB1100" s="181" t="s">
        <v>2082</v>
      </c>
      <c r="BC1100" s="181" t="s">
        <v>2082</v>
      </c>
      <c r="BD1100" s="181" t="s">
        <v>176</v>
      </c>
      <c r="BE1100" s="226" t="s">
        <v>748</v>
      </c>
      <c r="BF1100" s="191" t="s">
        <v>479</v>
      </c>
      <c r="BG1100" s="181" t="s">
        <v>479</v>
      </c>
      <c r="BH1100" s="226" t="s">
        <v>748</v>
      </c>
      <c r="BI1100" s="181" t="s">
        <v>479</v>
      </c>
      <c r="BJ1100" s="181" t="s">
        <v>176</v>
      </c>
      <c r="BK1100" s="181" t="s">
        <v>6269</v>
      </c>
      <c r="BL1100" s="181"/>
      <c r="BM1100" s="192" t="s">
        <v>119</v>
      </c>
      <c r="BN1100" s="181">
        <v>3</v>
      </c>
      <c r="BO1100" s="181">
        <v>3</v>
      </c>
      <c r="BP1100" s="181"/>
      <c r="BQ1100" s="181" t="s">
        <v>315</v>
      </c>
      <c r="BR1100" s="181"/>
      <c r="BS1100" s="181">
        <f>8.18*1000</f>
        <v>8180</v>
      </c>
      <c r="BT1100" s="181">
        <v>10</v>
      </c>
      <c r="BU1100" s="181"/>
      <c r="BV1100" s="181"/>
      <c r="BW1100" s="232"/>
      <c r="BX1100" s="232"/>
      <c r="BY1100" s="232"/>
      <c r="BZ1100" s="232"/>
      <c r="CA1100" s="232"/>
      <c r="CB1100" s="183">
        <v>814</v>
      </c>
      <c r="CC1100" s="183">
        <v>824</v>
      </c>
      <c r="CD1100" s="183"/>
      <c r="CE1100" s="232"/>
      <c r="CF1100" s="232"/>
      <c r="CG1100" s="232"/>
      <c r="CH1100" s="231"/>
      <c r="CI1100" s="231"/>
      <c r="CJ1100" s="232"/>
      <c r="CK1100" s="232"/>
      <c r="CL1100" s="232"/>
      <c r="CM1100" s="232"/>
      <c r="CN1100" s="232"/>
      <c r="CO1100" s="232"/>
      <c r="CP1100" s="232"/>
      <c r="CQ1100" s="232"/>
      <c r="CR1100" s="232"/>
      <c r="CS1100" s="232"/>
      <c r="CT1100" s="232"/>
      <c r="CU1100" s="232"/>
      <c r="CV1100" s="232"/>
      <c r="CW1100" s="232"/>
      <c r="CX1100" s="232"/>
      <c r="CY1100" s="232"/>
      <c r="CZ1100" s="232"/>
      <c r="DA1100" s="232"/>
      <c r="DB1100" s="232">
        <f>52.5*0.28</f>
        <v>14.700000000000001</v>
      </c>
      <c r="DC1100" s="232">
        <f>59.9*0.28</f>
        <v>16.772000000000002</v>
      </c>
      <c r="DD1100" s="232"/>
      <c r="DE1100" s="232"/>
      <c r="DF1100" s="232" t="s">
        <v>442</v>
      </c>
      <c r="DG1100" s="232"/>
      <c r="DH1100" s="232"/>
      <c r="DI1100" s="232"/>
      <c r="DJ1100" s="232"/>
      <c r="DK1100" s="232"/>
      <c r="DL1100" s="232"/>
      <c r="DM1100" s="232"/>
      <c r="DN1100" s="232"/>
      <c r="DO1100" s="232"/>
      <c r="DP1100" s="232"/>
      <c r="DQ1100" s="233"/>
      <c r="DR1100" s="233"/>
      <c r="DS1100" s="232"/>
      <c r="DT1100" s="232"/>
      <c r="DU1100" s="232"/>
      <c r="DV1100" s="232"/>
      <c r="DW1100" s="232"/>
      <c r="DX1100" s="232"/>
      <c r="DY1100" s="232"/>
      <c r="DZ1100" s="232"/>
      <c r="EA1100" s="232"/>
      <c r="EB1100" s="232"/>
      <c r="EC1100" s="232"/>
      <c r="ED1100" s="232"/>
      <c r="EE1100" s="232"/>
      <c r="EF1100" s="232"/>
      <c r="EG1100" s="232"/>
      <c r="EH1100" s="232"/>
      <c r="EI1100" s="232"/>
      <c r="EJ1100" s="232"/>
      <c r="EK1100" s="231"/>
      <c r="EL1100" s="231"/>
      <c r="EM1100" s="232"/>
      <c r="EN1100" s="232"/>
      <c r="EO1100" s="232"/>
      <c r="EP1100" s="232"/>
      <c r="EQ1100" s="232"/>
      <c r="ER1100" s="232"/>
      <c r="ES1100" s="232"/>
      <c r="ET1100" s="232"/>
      <c r="EU1100" s="232"/>
      <c r="EV1100" s="232"/>
      <c r="EW1100" s="232"/>
      <c r="EX1100" s="232"/>
      <c r="EY1100" s="232"/>
      <c r="EZ1100" s="232"/>
      <c r="FA1100" s="232"/>
      <c r="FB1100" s="232"/>
      <c r="FC1100" s="232"/>
      <c r="FD1100" s="232"/>
      <c r="FE1100" s="232"/>
      <c r="FF1100" s="232"/>
      <c r="FG1100" s="232"/>
      <c r="FH1100" s="232"/>
      <c r="FI1100" s="232"/>
      <c r="FJ1100" s="232"/>
      <c r="FK1100" s="232"/>
      <c r="FL1100" s="232"/>
      <c r="FM1100" s="232"/>
      <c r="FN1100" s="232"/>
      <c r="FO1100" s="232"/>
      <c r="FP1100" s="232"/>
      <c r="FQ1100" s="232"/>
      <c r="FR1100" s="232"/>
      <c r="FS1100" s="232"/>
      <c r="FT1100" s="232"/>
      <c r="FU1100" s="232"/>
      <c r="FV1100" s="232"/>
      <c r="FW1100" s="232"/>
      <c r="FX1100" s="232"/>
      <c r="FY1100" s="232"/>
      <c r="FZ1100" s="232"/>
      <c r="GA1100" s="232"/>
      <c r="GB1100" s="232"/>
      <c r="GC1100" s="232"/>
      <c r="GD1100" s="232"/>
      <c r="GE1100" s="232"/>
      <c r="GF1100" s="232"/>
      <c r="GG1100" s="232"/>
      <c r="GH1100" s="232"/>
      <c r="GI1100" s="232"/>
      <c r="GJ1100" s="232"/>
      <c r="GK1100" s="232"/>
      <c r="GL1100" s="232"/>
      <c r="GM1100" s="232"/>
      <c r="GN1100" s="294"/>
      <c r="GO1100" s="294"/>
      <c r="GP1100" s="292" t="s">
        <v>7494</v>
      </c>
      <c r="GQ1100" s="232"/>
      <c r="GR1100" s="232"/>
      <c r="GS1100" s="232"/>
      <c r="GT1100" s="232"/>
      <c r="GU1100" s="232"/>
      <c r="GV1100" s="232"/>
      <c r="GW1100" s="232"/>
      <c r="GX1100" s="232"/>
      <c r="GY1100" s="232"/>
      <c r="GZ1100" s="232"/>
      <c r="HA1100" s="232"/>
      <c r="HB1100" s="232"/>
      <c r="HC1100" s="232"/>
      <c r="HD1100" s="232"/>
      <c r="HE1100" s="232"/>
      <c r="HF1100" s="232"/>
      <c r="HG1100" s="232"/>
      <c r="HH1100" s="232"/>
      <c r="HI1100" s="232"/>
      <c r="HJ1100" s="232"/>
      <c r="HK1100" s="232"/>
      <c r="HL1100" s="232"/>
      <c r="HM1100" s="232"/>
      <c r="HN1100" s="232"/>
      <c r="HO1100" s="232"/>
      <c r="HP1100" s="232"/>
      <c r="HQ1100" s="232"/>
      <c r="HR1100" s="232"/>
      <c r="HS1100" s="232"/>
      <c r="HT1100" s="232"/>
      <c r="HU1100" s="232"/>
      <c r="HV1100" s="232"/>
      <c r="HW1100" s="232"/>
      <c r="HX1100" s="232"/>
      <c r="HY1100" s="232"/>
      <c r="HZ1100" s="232"/>
      <c r="IA1100" s="232"/>
      <c r="IB1100" s="232"/>
      <c r="IC1100" s="232"/>
      <c r="ID1100" s="232"/>
      <c r="IE1100" s="232"/>
      <c r="IF1100" s="232"/>
      <c r="IG1100" s="232"/>
      <c r="IH1100" s="232"/>
      <c r="II1100" s="232"/>
      <c r="IJ1100" s="232"/>
      <c r="IK1100" s="232"/>
      <c r="IL1100" s="232"/>
      <c r="IM1100" s="232"/>
      <c r="IN1100" s="232"/>
      <c r="IO1100" s="232"/>
      <c r="IP1100" s="232"/>
      <c r="IQ1100" s="232"/>
      <c r="IR1100" s="232"/>
      <c r="IS1100" s="232"/>
      <c r="IT1100" s="232"/>
      <c r="IU1100" s="232"/>
      <c r="IV1100" s="232"/>
      <c r="IW1100" s="232"/>
      <c r="IX1100" s="232"/>
      <c r="IY1100" s="232"/>
      <c r="IZ1100" s="232"/>
      <c r="JA1100" s="232"/>
      <c r="JB1100" s="232"/>
      <c r="JC1100" s="232"/>
      <c r="JD1100" s="232"/>
      <c r="JE1100" s="232"/>
      <c r="JF1100" s="232"/>
      <c r="JG1100" s="232"/>
      <c r="JH1100" s="232"/>
      <c r="JI1100" s="232"/>
      <c r="JJ1100" s="232"/>
      <c r="JK1100" s="232"/>
      <c r="JL1100" s="232"/>
      <c r="JM1100" s="232"/>
      <c r="JN1100" s="232"/>
      <c r="JO1100" s="232"/>
      <c r="JP1100" s="232"/>
      <c r="JQ1100" s="232"/>
      <c r="JR1100" s="232"/>
      <c r="JS1100" s="232"/>
      <c r="JT1100" s="232"/>
      <c r="JU1100" s="181" t="s">
        <v>752</v>
      </c>
      <c r="JV1100" s="181"/>
      <c r="JW1100" s="181"/>
    </row>
    <row r="1101" spans="1:283" s="229" customFormat="1" x14ac:dyDescent="0.25">
      <c r="A1101" s="181">
        <v>1100</v>
      </c>
      <c r="B1101" s="229" t="s">
        <v>7067</v>
      </c>
      <c r="C1101" s="230">
        <v>53</v>
      </c>
      <c r="D1101" s="181" t="s">
        <v>3914</v>
      </c>
      <c r="E1101" s="231" t="s">
        <v>741</v>
      </c>
      <c r="F1101" s="231"/>
      <c r="G1101" s="181" t="s">
        <v>742</v>
      </c>
      <c r="H1101" s="181">
        <v>2006</v>
      </c>
      <c r="I1101" s="181">
        <v>2000</v>
      </c>
      <c r="J1101" s="181" t="s">
        <v>743</v>
      </c>
      <c r="K1101" s="181" t="s">
        <v>744</v>
      </c>
      <c r="L1101" s="181" t="s">
        <v>2737</v>
      </c>
      <c r="M1101" s="231">
        <v>33.950000000000003</v>
      </c>
      <c r="N1101" s="231">
        <v>-83.38</v>
      </c>
      <c r="O1101" s="231">
        <v>208.4</v>
      </c>
      <c r="P1101" s="181"/>
      <c r="Q1101" s="181"/>
      <c r="R1101" s="181">
        <f>278+505</f>
        <v>783</v>
      </c>
      <c r="S1101" s="231">
        <f>588+645</f>
        <v>1233</v>
      </c>
      <c r="T1101" s="181"/>
      <c r="U1101" s="181">
        <v>1</v>
      </c>
      <c r="V1101" s="181" t="s">
        <v>1688</v>
      </c>
      <c r="W1101" s="181"/>
      <c r="X1101" s="181"/>
      <c r="Y1101" s="181" t="s">
        <v>1923</v>
      </c>
      <c r="Z1101" s="181" t="s">
        <v>1356</v>
      </c>
      <c r="AA1101" s="231" t="s">
        <v>1680</v>
      </c>
      <c r="AB1101" s="232"/>
      <c r="AC1101" s="232"/>
      <c r="AD1101" s="231"/>
      <c r="AE1101" s="231">
        <f>650/1000*100</f>
        <v>65</v>
      </c>
      <c r="AF1101" s="231">
        <f>25</f>
        <v>25</v>
      </c>
      <c r="AG1101" s="231"/>
      <c r="AH1101" s="181" t="s">
        <v>238</v>
      </c>
      <c r="AI1101" s="181">
        <v>6.6</v>
      </c>
      <c r="AJ1101" s="231">
        <v>0.88</v>
      </c>
      <c r="AK1101" s="231"/>
      <c r="AL1101" s="181"/>
      <c r="AM1101" s="181" t="s">
        <v>1311</v>
      </c>
      <c r="AN1101" s="185" t="s">
        <v>1482</v>
      </c>
      <c r="AO1101" s="185" t="s">
        <v>5150</v>
      </c>
      <c r="AP1101" s="181"/>
      <c r="AQ1101" s="181" t="s">
        <v>1546</v>
      </c>
      <c r="AR1101" s="181" t="s">
        <v>560</v>
      </c>
      <c r="AS1101" s="181" t="s">
        <v>5133</v>
      </c>
      <c r="AT1101" s="181" t="s">
        <v>751</v>
      </c>
      <c r="AU1101" s="181" t="s">
        <v>5150</v>
      </c>
      <c r="AV1101" s="185" t="s">
        <v>479</v>
      </c>
      <c r="AW1101" s="181" t="s">
        <v>751</v>
      </c>
      <c r="AX1101" s="185" t="s">
        <v>479</v>
      </c>
      <c r="AY1101" s="181" t="s">
        <v>176</v>
      </c>
      <c r="AZ1101" s="181" t="s">
        <v>745</v>
      </c>
      <c r="BA1101" s="181" t="s">
        <v>745</v>
      </c>
      <c r="BB1101" s="181" t="s">
        <v>2081</v>
      </c>
      <c r="BC1101" s="181" t="s">
        <v>2081</v>
      </c>
      <c r="BD1101" s="181" t="s">
        <v>176</v>
      </c>
      <c r="BE1101" s="226" t="s">
        <v>748</v>
      </c>
      <c r="BF1101" s="191" t="s">
        <v>479</v>
      </c>
      <c r="BG1101" s="181" t="s">
        <v>479</v>
      </c>
      <c r="BH1101" s="226" t="s">
        <v>748</v>
      </c>
      <c r="BI1101" s="181" t="s">
        <v>479</v>
      </c>
      <c r="BJ1101" s="181" t="s">
        <v>176</v>
      </c>
      <c r="BK1101" s="181" t="s">
        <v>5976</v>
      </c>
      <c r="BL1101" s="181"/>
      <c r="BM1101" s="192" t="s">
        <v>119</v>
      </c>
      <c r="BN1101" s="181">
        <v>3</v>
      </c>
      <c r="BO1101" s="181">
        <v>3</v>
      </c>
      <c r="BP1101" s="181"/>
      <c r="BQ1101" s="181" t="s">
        <v>315</v>
      </c>
      <c r="BR1101" s="181"/>
      <c r="BS1101" s="181">
        <f>8.18*1000</f>
        <v>8180</v>
      </c>
      <c r="BT1101" s="181">
        <v>10</v>
      </c>
      <c r="BU1101" s="181"/>
      <c r="BV1101" s="181"/>
      <c r="BW1101" s="232"/>
      <c r="BX1101" s="232"/>
      <c r="BY1101" s="232"/>
      <c r="BZ1101" s="232"/>
      <c r="CA1101" s="232"/>
      <c r="CB1101" s="183">
        <v>480</v>
      </c>
      <c r="CC1101" s="183">
        <v>594</v>
      </c>
      <c r="CD1101" s="183"/>
      <c r="CE1101" s="232"/>
      <c r="CF1101" s="232"/>
      <c r="CG1101" s="232"/>
      <c r="CH1101" s="231"/>
      <c r="CI1101" s="231"/>
      <c r="CJ1101" s="232"/>
      <c r="CK1101" s="232"/>
      <c r="CL1101" s="232"/>
      <c r="CM1101" s="232"/>
      <c r="CN1101" s="232"/>
      <c r="CO1101" s="232"/>
      <c r="CP1101" s="232"/>
      <c r="CQ1101" s="232"/>
      <c r="CR1101" s="232"/>
      <c r="CS1101" s="232"/>
      <c r="CT1101" s="232"/>
      <c r="CU1101" s="232"/>
      <c r="CV1101" s="232"/>
      <c r="CW1101" s="232"/>
      <c r="CX1101" s="232"/>
      <c r="CY1101" s="232"/>
      <c r="CZ1101" s="232"/>
      <c r="DA1101" s="232"/>
      <c r="DB1101" s="232"/>
      <c r="DC1101" s="232"/>
      <c r="DD1101" s="232"/>
      <c r="DE1101" s="232"/>
      <c r="DF1101" s="232"/>
      <c r="DG1101" s="232"/>
      <c r="DH1101" s="232"/>
      <c r="DI1101" s="232"/>
      <c r="DJ1101" s="232"/>
      <c r="DK1101" s="232"/>
      <c r="DL1101" s="232"/>
      <c r="DM1101" s="232"/>
      <c r="DN1101" s="232"/>
      <c r="DO1101" s="232"/>
      <c r="DP1101" s="232"/>
      <c r="DQ1101" s="233"/>
      <c r="DR1101" s="233"/>
      <c r="DS1101" s="232"/>
      <c r="DT1101" s="232"/>
      <c r="DU1101" s="232"/>
      <c r="DV1101" s="232"/>
      <c r="DW1101" s="232"/>
      <c r="DX1101" s="232"/>
      <c r="DY1101" s="232"/>
      <c r="DZ1101" s="232"/>
      <c r="EA1101" s="232"/>
      <c r="EB1101" s="232"/>
      <c r="EC1101" s="232"/>
      <c r="ED1101" s="232"/>
      <c r="EE1101" s="232"/>
      <c r="EF1101" s="232"/>
      <c r="EG1101" s="232"/>
      <c r="EH1101" s="232"/>
      <c r="EI1101" s="232"/>
      <c r="EJ1101" s="232"/>
      <c r="EK1101" s="231"/>
      <c r="EL1101" s="231"/>
      <c r="EM1101" s="232"/>
      <c r="EN1101" s="232"/>
      <c r="EO1101" s="232"/>
      <c r="EP1101" s="232"/>
      <c r="EQ1101" s="232"/>
      <c r="ER1101" s="232"/>
      <c r="ES1101" s="232"/>
      <c r="ET1101" s="232"/>
      <c r="EU1101" s="232"/>
      <c r="EV1101" s="232"/>
      <c r="EW1101" s="232"/>
      <c r="EX1101" s="232"/>
      <c r="EY1101" s="232"/>
      <c r="EZ1101" s="232"/>
      <c r="FA1101" s="232"/>
      <c r="FB1101" s="232"/>
      <c r="FC1101" s="232"/>
      <c r="FD1101" s="232"/>
      <c r="FE1101" s="232"/>
      <c r="FF1101" s="232"/>
      <c r="FG1101" s="232"/>
      <c r="FH1101" s="232"/>
      <c r="FI1101" s="232"/>
      <c r="FJ1101" s="232"/>
      <c r="FK1101" s="232"/>
      <c r="FL1101" s="232"/>
      <c r="FM1101" s="232"/>
      <c r="FN1101" s="232"/>
      <c r="FO1101" s="232"/>
      <c r="FP1101" s="232"/>
      <c r="FQ1101" s="232"/>
      <c r="FR1101" s="232"/>
      <c r="FS1101" s="232"/>
      <c r="FT1101" s="232"/>
      <c r="FU1101" s="232"/>
      <c r="FV1101" s="232"/>
      <c r="FW1101" s="232"/>
      <c r="FX1101" s="232"/>
      <c r="FY1101" s="232"/>
      <c r="FZ1101" s="232"/>
      <c r="GA1101" s="232"/>
      <c r="GB1101" s="232"/>
      <c r="GC1101" s="232"/>
      <c r="GD1101" s="232"/>
      <c r="GE1101" s="232"/>
      <c r="GF1101" s="232"/>
      <c r="GG1101" s="232"/>
      <c r="GH1101" s="232"/>
      <c r="GI1101" s="232"/>
      <c r="GJ1101" s="232"/>
      <c r="GK1101" s="232"/>
      <c r="GL1101" s="232"/>
      <c r="GM1101" s="232"/>
      <c r="GN1101" s="294"/>
      <c r="GO1101" s="294"/>
      <c r="GP1101" s="292" t="s">
        <v>7494</v>
      </c>
      <c r="GQ1101" s="232"/>
      <c r="GR1101" s="232"/>
      <c r="GS1101" s="232"/>
      <c r="GT1101" s="232"/>
      <c r="GU1101" s="232"/>
      <c r="GV1101" s="232"/>
      <c r="GW1101" s="232"/>
      <c r="GX1101" s="232"/>
      <c r="GY1101" s="232"/>
      <c r="GZ1101" s="232"/>
      <c r="HA1101" s="232"/>
      <c r="HB1101" s="232"/>
      <c r="HC1101" s="232"/>
      <c r="HD1101" s="232"/>
      <c r="HE1101" s="232"/>
      <c r="HF1101" s="232"/>
      <c r="HG1101" s="232"/>
      <c r="HH1101" s="232"/>
      <c r="HI1101" s="232"/>
      <c r="HJ1101" s="232"/>
      <c r="HK1101" s="232"/>
      <c r="HL1101" s="232"/>
      <c r="HM1101" s="232"/>
      <c r="HN1101" s="232"/>
      <c r="HO1101" s="232"/>
      <c r="HP1101" s="232"/>
      <c r="HQ1101" s="232"/>
      <c r="HR1101" s="232"/>
      <c r="HS1101" s="232"/>
      <c r="HT1101" s="232"/>
      <c r="HU1101" s="232"/>
      <c r="HV1101" s="232"/>
      <c r="HW1101" s="232"/>
      <c r="HX1101" s="232"/>
      <c r="HY1101" s="232"/>
      <c r="HZ1101" s="232"/>
      <c r="IA1101" s="232"/>
      <c r="IB1101" s="232"/>
      <c r="IC1101" s="232"/>
      <c r="ID1101" s="232"/>
      <c r="IE1101" s="232"/>
      <c r="IF1101" s="232"/>
      <c r="IG1101" s="232"/>
      <c r="IH1101" s="232"/>
      <c r="II1101" s="232"/>
      <c r="IJ1101" s="232"/>
      <c r="IK1101" s="232"/>
      <c r="IL1101" s="232"/>
      <c r="IM1101" s="232"/>
      <c r="IN1101" s="232"/>
      <c r="IO1101" s="232"/>
      <c r="IP1101" s="232"/>
      <c r="IQ1101" s="232"/>
      <c r="IR1101" s="232"/>
      <c r="IS1101" s="232"/>
      <c r="IT1101" s="232"/>
      <c r="IU1101" s="232"/>
      <c r="IV1101" s="232"/>
      <c r="IW1101" s="232"/>
      <c r="IX1101" s="232"/>
      <c r="IY1101" s="232"/>
      <c r="IZ1101" s="232"/>
      <c r="JA1101" s="232"/>
      <c r="JB1101" s="232"/>
      <c r="JC1101" s="232"/>
      <c r="JD1101" s="232"/>
      <c r="JE1101" s="232"/>
      <c r="JF1101" s="232"/>
      <c r="JG1101" s="232"/>
      <c r="JH1101" s="232"/>
      <c r="JI1101" s="232"/>
      <c r="JJ1101" s="232"/>
      <c r="JK1101" s="232"/>
      <c r="JL1101" s="232"/>
      <c r="JM1101" s="232"/>
      <c r="JN1101" s="232"/>
      <c r="JO1101" s="232"/>
      <c r="JP1101" s="232"/>
      <c r="JQ1101" s="232"/>
      <c r="JR1101" s="232"/>
      <c r="JS1101" s="232"/>
      <c r="JT1101" s="232"/>
      <c r="JU1101" s="181" t="s">
        <v>752</v>
      </c>
      <c r="JV1101" s="181"/>
      <c r="JW1101" s="181"/>
    </row>
    <row r="1102" spans="1:283" s="229" customFormat="1" x14ac:dyDescent="0.25">
      <c r="A1102" s="181">
        <v>1101</v>
      </c>
      <c r="B1102" s="229" t="s">
        <v>7067</v>
      </c>
      <c r="C1102" s="230">
        <v>53</v>
      </c>
      <c r="D1102" s="181" t="s">
        <v>3914</v>
      </c>
      <c r="E1102" s="231" t="s">
        <v>741</v>
      </c>
      <c r="F1102" s="231"/>
      <c r="G1102" s="181" t="s">
        <v>742</v>
      </c>
      <c r="H1102" s="181">
        <v>2006</v>
      </c>
      <c r="I1102" s="181">
        <v>2000</v>
      </c>
      <c r="J1102" s="181" t="s">
        <v>743</v>
      </c>
      <c r="K1102" s="181" t="s">
        <v>744</v>
      </c>
      <c r="L1102" s="181" t="s">
        <v>2737</v>
      </c>
      <c r="M1102" s="231">
        <v>33.950000000000003</v>
      </c>
      <c r="N1102" s="231">
        <v>-83.38</v>
      </c>
      <c r="O1102" s="231">
        <v>208.4</v>
      </c>
      <c r="P1102" s="181"/>
      <c r="Q1102" s="181"/>
      <c r="R1102" s="181">
        <f>278+505</f>
        <v>783</v>
      </c>
      <c r="S1102" s="231">
        <f>588+645</f>
        <v>1233</v>
      </c>
      <c r="T1102" s="181"/>
      <c r="U1102" s="181">
        <v>1</v>
      </c>
      <c r="V1102" s="181" t="s">
        <v>1688</v>
      </c>
      <c r="W1102" s="181"/>
      <c r="X1102" s="181"/>
      <c r="Y1102" s="181" t="s">
        <v>1923</v>
      </c>
      <c r="Z1102" s="181" t="s">
        <v>1356</v>
      </c>
      <c r="AA1102" s="231" t="s">
        <v>1680</v>
      </c>
      <c r="AB1102" s="232"/>
      <c r="AC1102" s="232"/>
      <c r="AD1102" s="231"/>
      <c r="AE1102" s="231">
        <f>650/1000*100</f>
        <v>65</v>
      </c>
      <c r="AF1102" s="231">
        <f>25</f>
        <v>25</v>
      </c>
      <c r="AG1102" s="231"/>
      <c r="AH1102" s="181" t="s">
        <v>238</v>
      </c>
      <c r="AI1102" s="181">
        <v>6.6</v>
      </c>
      <c r="AJ1102" s="231">
        <v>0.88</v>
      </c>
      <c r="AK1102" s="231"/>
      <c r="AL1102" s="181"/>
      <c r="AM1102" s="181" t="s">
        <v>1311</v>
      </c>
      <c r="AN1102" s="185" t="s">
        <v>1482</v>
      </c>
      <c r="AO1102" s="185" t="s">
        <v>5150</v>
      </c>
      <c r="AP1102" s="181"/>
      <c r="AQ1102" s="181" t="s">
        <v>1546</v>
      </c>
      <c r="AR1102" s="181" t="s">
        <v>560</v>
      </c>
      <c r="AS1102" s="181" t="s">
        <v>5133</v>
      </c>
      <c r="AT1102" s="181" t="s">
        <v>751</v>
      </c>
      <c r="AU1102" s="181" t="s">
        <v>5150</v>
      </c>
      <c r="AV1102" s="185" t="s">
        <v>479</v>
      </c>
      <c r="AW1102" s="181" t="s">
        <v>751</v>
      </c>
      <c r="AX1102" s="185" t="s">
        <v>479</v>
      </c>
      <c r="AY1102" s="181" t="s">
        <v>176</v>
      </c>
      <c r="AZ1102" s="181" t="s">
        <v>746</v>
      </c>
      <c r="BA1102" s="181" t="s">
        <v>746</v>
      </c>
      <c r="BB1102" s="181" t="s">
        <v>2081</v>
      </c>
      <c r="BC1102" s="181" t="s">
        <v>2081</v>
      </c>
      <c r="BD1102" s="181" t="s">
        <v>176</v>
      </c>
      <c r="BE1102" s="226" t="s">
        <v>748</v>
      </c>
      <c r="BF1102" s="191" t="s">
        <v>479</v>
      </c>
      <c r="BG1102" s="181" t="s">
        <v>479</v>
      </c>
      <c r="BH1102" s="226" t="s">
        <v>748</v>
      </c>
      <c r="BI1102" s="181" t="s">
        <v>479</v>
      </c>
      <c r="BJ1102" s="181" t="s">
        <v>176</v>
      </c>
      <c r="BK1102" s="181" t="s">
        <v>5976</v>
      </c>
      <c r="BL1102" s="181"/>
      <c r="BM1102" s="192" t="s">
        <v>119</v>
      </c>
      <c r="BN1102" s="181">
        <v>3</v>
      </c>
      <c r="BO1102" s="181">
        <v>3</v>
      </c>
      <c r="BP1102" s="181"/>
      <c r="BQ1102" s="181" t="s">
        <v>315</v>
      </c>
      <c r="BR1102" s="181"/>
      <c r="BS1102" s="181">
        <f>8.18*1000</f>
        <v>8180</v>
      </c>
      <c r="BT1102" s="181">
        <v>10</v>
      </c>
      <c r="BU1102" s="181"/>
      <c r="BV1102" s="181"/>
      <c r="BW1102" s="232"/>
      <c r="BX1102" s="232"/>
      <c r="BY1102" s="232"/>
      <c r="BZ1102" s="232"/>
      <c r="CA1102" s="232"/>
      <c r="CB1102" s="183">
        <v>802</v>
      </c>
      <c r="CC1102" s="183">
        <v>647</v>
      </c>
      <c r="CD1102" s="183"/>
      <c r="CE1102" s="232"/>
      <c r="CF1102" s="232"/>
      <c r="CG1102" s="232"/>
      <c r="CH1102" s="231"/>
      <c r="CI1102" s="231"/>
      <c r="CJ1102" s="232"/>
      <c r="CK1102" s="232"/>
      <c r="CL1102" s="232"/>
      <c r="CM1102" s="232"/>
      <c r="CN1102" s="232"/>
      <c r="CO1102" s="232"/>
      <c r="CP1102" s="232"/>
      <c r="CQ1102" s="232"/>
      <c r="CR1102" s="232"/>
      <c r="CS1102" s="232"/>
      <c r="CT1102" s="232"/>
      <c r="CU1102" s="232"/>
      <c r="CV1102" s="232"/>
      <c r="CW1102" s="232"/>
      <c r="CX1102" s="232"/>
      <c r="CY1102" s="232"/>
      <c r="CZ1102" s="232"/>
      <c r="DA1102" s="232"/>
      <c r="DB1102" s="232"/>
      <c r="DC1102" s="232"/>
      <c r="DD1102" s="232"/>
      <c r="DE1102" s="232"/>
      <c r="DF1102" s="232"/>
      <c r="DG1102" s="232"/>
      <c r="DH1102" s="232"/>
      <c r="DI1102" s="232"/>
      <c r="DJ1102" s="232"/>
      <c r="DK1102" s="232"/>
      <c r="DL1102" s="232"/>
      <c r="DM1102" s="232"/>
      <c r="DN1102" s="232"/>
      <c r="DO1102" s="232"/>
      <c r="DP1102" s="232"/>
      <c r="DQ1102" s="233"/>
      <c r="DR1102" s="233"/>
      <c r="DS1102" s="232"/>
      <c r="DT1102" s="232"/>
      <c r="DU1102" s="232"/>
      <c r="DV1102" s="232"/>
      <c r="DW1102" s="232"/>
      <c r="DX1102" s="232"/>
      <c r="DY1102" s="232"/>
      <c r="DZ1102" s="232"/>
      <c r="EA1102" s="232"/>
      <c r="EB1102" s="232"/>
      <c r="EC1102" s="232"/>
      <c r="ED1102" s="232"/>
      <c r="EE1102" s="232"/>
      <c r="EF1102" s="232"/>
      <c r="EG1102" s="232"/>
      <c r="EH1102" s="232"/>
      <c r="EI1102" s="232"/>
      <c r="EJ1102" s="232"/>
      <c r="EK1102" s="231"/>
      <c r="EL1102" s="231"/>
      <c r="EM1102" s="232"/>
      <c r="EN1102" s="232"/>
      <c r="EO1102" s="232"/>
      <c r="EP1102" s="232"/>
      <c r="EQ1102" s="232"/>
      <c r="ER1102" s="232"/>
      <c r="ES1102" s="232"/>
      <c r="ET1102" s="232"/>
      <c r="EU1102" s="232"/>
      <c r="EV1102" s="232"/>
      <c r="EW1102" s="232"/>
      <c r="EX1102" s="232"/>
      <c r="EY1102" s="232"/>
      <c r="EZ1102" s="232"/>
      <c r="FA1102" s="232"/>
      <c r="FB1102" s="232"/>
      <c r="FC1102" s="232"/>
      <c r="FD1102" s="232"/>
      <c r="FE1102" s="232"/>
      <c r="FF1102" s="232"/>
      <c r="FG1102" s="232"/>
      <c r="FH1102" s="232"/>
      <c r="FI1102" s="232"/>
      <c r="FJ1102" s="232"/>
      <c r="FK1102" s="232"/>
      <c r="FL1102" s="232"/>
      <c r="FM1102" s="232"/>
      <c r="FN1102" s="232"/>
      <c r="FO1102" s="232"/>
      <c r="FP1102" s="232"/>
      <c r="FQ1102" s="232"/>
      <c r="FR1102" s="232"/>
      <c r="FS1102" s="232"/>
      <c r="FT1102" s="232"/>
      <c r="FU1102" s="232"/>
      <c r="FV1102" s="232"/>
      <c r="FW1102" s="232"/>
      <c r="FX1102" s="232"/>
      <c r="FY1102" s="232"/>
      <c r="FZ1102" s="232"/>
      <c r="GA1102" s="232"/>
      <c r="GB1102" s="232"/>
      <c r="GC1102" s="232"/>
      <c r="GD1102" s="232"/>
      <c r="GE1102" s="232"/>
      <c r="GF1102" s="232"/>
      <c r="GG1102" s="232"/>
      <c r="GH1102" s="232"/>
      <c r="GI1102" s="232"/>
      <c r="GJ1102" s="232"/>
      <c r="GK1102" s="232"/>
      <c r="GL1102" s="232"/>
      <c r="GM1102" s="232"/>
      <c r="GN1102" s="294"/>
      <c r="GO1102" s="294"/>
      <c r="GP1102" s="292" t="s">
        <v>7494</v>
      </c>
      <c r="GQ1102" s="232"/>
      <c r="GR1102" s="232"/>
      <c r="GS1102" s="232"/>
      <c r="GT1102" s="232"/>
      <c r="GU1102" s="232"/>
      <c r="GV1102" s="232"/>
      <c r="GW1102" s="232"/>
      <c r="GX1102" s="232"/>
      <c r="GY1102" s="232"/>
      <c r="GZ1102" s="232"/>
      <c r="HA1102" s="232"/>
      <c r="HB1102" s="232"/>
      <c r="HC1102" s="232"/>
      <c r="HD1102" s="232"/>
      <c r="HE1102" s="232"/>
      <c r="HF1102" s="232"/>
      <c r="HG1102" s="232"/>
      <c r="HH1102" s="232"/>
      <c r="HI1102" s="232"/>
      <c r="HJ1102" s="232"/>
      <c r="HK1102" s="232"/>
      <c r="HL1102" s="232"/>
      <c r="HM1102" s="232"/>
      <c r="HN1102" s="232"/>
      <c r="HO1102" s="232"/>
      <c r="HP1102" s="232"/>
      <c r="HQ1102" s="232"/>
      <c r="HR1102" s="232"/>
      <c r="HS1102" s="232"/>
      <c r="HT1102" s="232"/>
      <c r="HU1102" s="232"/>
      <c r="HV1102" s="232"/>
      <c r="HW1102" s="232"/>
      <c r="HX1102" s="232"/>
      <c r="HY1102" s="232"/>
      <c r="HZ1102" s="232"/>
      <c r="IA1102" s="232"/>
      <c r="IB1102" s="232"/>
      <c r="IC1102" s="232"/>
      <c r="ID1102" s="232"/>
      <c r="IE1102" s="232"/>
      <c r="IF1102" s="232"/>
      <c r="IG1102" s="232"/>
      <c r="IH1102" s="232"/>
      <c r="II1102" s="232"/>
      <c r="IJ1102" s="232"/>
      <c r="IK1102" s="232"/>
      <c r="IL1102" s="232"/>
      <c r="IM1102" s="232"/>
      <c r="IN1102" s="232"/>
      <c r="IO1102" s="232"/>
      <c r="IP1102" s="232"/>
      <c r="IQ1102" s="232"/>
      <c r="IR1102" s="232"/>
      <c r="IS1102" s="232"/>
      <c r="IT1102" s="232"/>
      <c r="IU1102" s="232"/>
      <c r="IV1102" s="232"/>
      <c r="IW1102" s="232"/>
      <c r="IX1102" s="232"/>
      <c r="IY1102" s="232"/>
      <c r="IZ1102" s="232"/>
      <c r="JA1102" s="232"/>
      <c r="JB1102" s="232"/>
      <c r="JC1102" s="232"/>
      <c r="JD1102" s="232"/>
      <c r="JE1102" s="232"/>
      <c r="JF1102" s="232"/>
      <c r="JG1102" s="232"/>
      <c r="JH1102" s="232"/>
      <c r="JI1102" s="232"/>
      <c r="JJ1102" s="232"/>
      <c r="JK1102" s="232"/>
      <c r="JL1102" s="232"/>
      <c r="JM1102" s="232"/>
      <c r="JN1102" s="232"/>
      <c r="JO1102" s="232"/>
      <c r="JP1102" s="232"/>
      <c r="JQ1102" s="232"/>
      <c r="JR1102" s="232"/>
      <c r="JS1102" s="232"/>
      <c r="JT1102" s="232"/>
      <c r="JU1102" s="181" t="s">
        <v>752</v>
      </c>
      <c r="JV1102" s="181"/>
      <c r="JW1102" s="181"/>
    </row>
    <row r="1103" spans="1:283" x14ac:dyDescent="0.25">
      <c r="A1103" s="55">
        <v>1102</v>
      </c>
      <c r="B1103" s="12" t="s">
        <v>7067</v>
      </c>
      <c r="C1103" s="155">
        <v>53</v>
      </c>
      <c r="D1103" s="55" t="s">
        <v>3915</v>
      </c>
      <c r="E1103" s="90" t="s">
        <v>741</v>
      </c>
      <c r="G1103" s="55" t="s">
        <v>742</v>
      </c>
      <c r="H1103" s="55">
        <v>2006</v>
      </c>
      <c r="I1103" s="55">
        <v>2001</v>
      </c>
      <c r="J1103" s="55" t="s">
        <v>743</v>
      </c>
      <c r="K1103" s="55" t="s">
        <v>744</v>
      </c>
      <c r="L1103" s="55" t="s">
        <v>2737</v>
      </c>
      <c r="M1103" s="90">
        <v>33.950000000000003</v>
      </c>
      <c r="N1103" s="90">
        <v>-83.38</v>
      </c>
      <c r="O1103" s="90">
        <v>208.4</v>
      </c>
      <c r="R1103" s="55">
        <f>341+407</f>
        <v>748</v>
      </c>
      <c r="S1103" s="90">
        <f>588+645</f>
        <v>1233</v>
      </c>
      <c r="U1103" s="55">
        <v>2</v>
      </c>
      <c r="V1103" s="55" t="s">
        <v>1688</v>
      </c>
      <c r="Y1103" s="55" t="s">
        <v>1923</v>
      </c>
      <c r="Z1103" s="55" t="s">
        <v>1356</v>
      </c>
      <c r="AA1103" s="90" t="s">
        <v>1680</v>
      </c>
      <c r="AE1103" s="90">
        <f>650/1000*100</f>
        <v>65</v>
      </c>
      <c r="AF1103" s="90">
        <f>25</f>
        <v>25</v>
      </c>
      <c r="AH1103" s="55" t="s">
        <v>238</v>
      </c>
      <c r="AI1103" s="168">
        <v>6.6</v>
      </c>
      <c r="AJ1103" s="90">
        <v>0.88</v>
      </c>
      <c r="AM1103" s="55" t="s">
        <v>1311</v>
      </c>
      <c r="AN1103" s="185" t="s">
        <v>131</v>
      </c>
      <c r="AO1103" s="185" t="s">
        <v>5150</v>
      </c>
      <c r="AQ1103" s="55" t="s">
        <v>131</v>
      </c>
      <c r="AR1103" s="55" t="s">
        <v>218</v>
      </c>
      <c r="AS1103" s="55" t="s">
        <v>5133</v>
      </c>
      <c r="AT1103" s="181" t="s">
        <v>751</v>
      </c>
      <c r="AU1103" s="181" t="s">
        <v>5150</v>
      </c>
      <c r="AV1103" s="185" t="s">
        <v>176</v>
      </c>
      <c r="AW1103" s="55" t="s">
        <v>751</v>
      </c>
      <c r="AX1103" s="185" t="s">
        <v>176</v>
      </c>
      <c r="AY1103" s="55" t="s">
        <v>176</v>
      </c>
      <c r="AZ1103" s="55" t="s">
        <v>156</v>
      </c>
      <c r="BA1103" s="55" t="s">
        <v>156</v>
      </c>
      <c r="BB1103" s="55" t="s">
        <v>2082</v>
      </c>
      <c r="BC1103" s="55" t="s">
        <v>2082</v>
      </c>
      <c r="BD1103" s="55" t="s">
        <v>176</v>
      </c>
      <c r="BE1103" s="226" t="s">
        <v>318</v>
      </c>
      <c r="BF1103" s="191" t="s">
        <v>176</v>
      </c>
      <c r="BG1103" s="55" t="s">
        <v>176</v>
      </c>
      <c r="BH1103" s="226" t="s">
        <v>318</v>
      </c>
      <c r="BI1103" s="55" t="s">
        <v>176</v>
      </c>
      <c r="BJ1103" s="55" t="s">
        <v>176</v>
      </c>
      <c r="BK1103" s="55" t="s">
        <v>6269</v>
      </c>
      <c r="BM1103" s="192" t="s">
        <v>119</v>
      </c>
      <c r="BN1103" s="55">
        <v>3</v>
      </c>
      <c r="BO1103" s="55">
        <v>3</v>
      </c>
      <c r="BQ1103" s="55" t="s">
        <v>315</v>
      </c>
      <c r="BS1103" s="55">
        <v>3810</v>
      </c>
      <c r="BT1103" s="55">
        <v>57</v>
      </c>
      <c r="BW1103" s="65">
        <v>10600</v>
      </c>
      <c r="BX1103" s="65">
        <v>7100</v>
      </c>
      <c r="CA1103" s="65" t="s">
        <v>1626</v>
      </c>
      <c r="CB1103" s="66">
        <v>2700</v>
      </c>
      <c r="CC1103" s="66">
        <v>1500</v>
      </c>
      <c r="GP1103" s="292" t="s">
        <v>7494</v>
      </c>
      <c r="IC1103" s="65">
        <v>11</v>
      </c>
      <c r="ID1103" s="65">
        <v>17</v>
      </c>
      <c r="IG1103" s="65" t="s">
        <v>1658</v>
      </c>
      <c r="JU1103" s="55" t="s">
        <v>752</v>
      </c>
    </row>
    <row r="1104" spans="1:283" x14ac:dyDescent="0.25">
      <c r="A1104" s="55">
        <v>1103</v>
      </c>
      <c r="B1104" s="12" t="s">
        <v>7067</v>
      </c>
      <c r="C1104" s="155">
        <v>53</v>
      </c>
      <c r="D1104" s="55" t="s">
        <v>3916</v>
      </c>
      <c r="E1104" s="90" t="s">
        <v>741</v>
      </c>
      <c r="G1104" s="55" t="s">
        <v>742</v>
      </c>
      <c r="H1104" s="55">
        <v>2006</v>
      </c>
      <c r="I1104" s="55">
        <v>2001</v>
      </c>
      <c r="J1104" s="55" t="s">
        <v>743</v>
      </c>
      <c r="K1104" s="55" t="s">
        <v>744</v>
      </c>
      <c r="L1104" s="55" t="s">
        <v>2737</v>
      </c>
      <c r="M1104" s="90">
        <v>33.950000000000003</v>
      </c>
      <c r="N1104" s="90">
        <v>-83.38</v>
      </c>
      <c r="O1104" s="90">
        <v>208.4</v>
      </c>
      <c r="R1104" s="55">
        <f>341+407</f>
        <v>748</v>
      </c>
      <c r="S1104" s="90">
        <f>588+645</f>
        <v>1233</v>
      </c>
      <c r="U1104" s="55">
        <v>2</v>
      </c>
      <c r="V1104" s="55" t="s">
        <v>1688</v>
      </c>
      <c r="Y1104" s="55" t="s">
        <v>1923</v>
      </c>
      <c r="Z1104" s="55" t="s">
        <v>1356</v>
      </c>
      <c r="AA1104" s="90" t="s">
        <v>1680</v>
      </c>
      <c r="AE1104" s="90">
        <f>650/1000*100</f>
        <v>65</v>
      </c>
      <c r="AF1104" s="90">
        <f>25</f>
        <v>25</v>
      </c>
      <c r="AH1104" s="55" t="s">
        <v>238</v>
      </c>
      <c r="AI1104" s="168">
        <v>6.6</v>
      </c>
      <c r="AJ1104" s="90">
        <v>0.88</v>
      </c>
      <c r="AM1104" s="55" t="s">
        <v>1311</v>
      </c>
      <c r="AN1104" s="185" t="s">
        <v>241</v>
      </c>
      <c r="AO1104" s="185" t="s">
        <v>5150</v>
      </c>
      <c r="AQ1104" s="55" t="s">
        <v>553</v>
      </c>
      <c r="AR1104" s="55" t="s">
        <v>218</v>
      </c>
      <c r="AS1104" s="55" t="s">
        <v>5133</v>
      </c>
      <c r="AT1104" s="181" t="s">
        <v>751</v>
      </c>
      <c r="AU1104" s="181" t="s">
        <v>5150</v>
      </c>
      <c r="AV1104" s="185" t="s">
        <v>176</v>
      </c>
      <c r="AW1104" s="55" t="s">
        <v>751</v>
      </c>
      <c r="AX1104" s="185" t="s">
        <v>176</v>
      </c>
      <c r="AY1104" s="55" t="s">
        <v>176</v>
      </c>
      <c r="AZ1104" s="55" t="s">
        <v>156</v>
      </c>
      <c r="BA1104" s="55" t="s">
        <v>156</v>
      </c>
      <c r="BB1104" s="55" t="s">
        <v>2082</v>
      </c>
      <c r="BC1104" s="55" t="s">
        <v>2082</v>
      </c>
      <c r="BD1104" s="55" t="s">
        <v>176</v>
      </c>
      <c r="BE1104" s="226" t="s">
        <v>318</v>
      </c>
      <c r="BF1104" s="191" t="s">
        <v>176</v>
      </c>
      <c r="BG1104" s="55" t="s">
        <v>176</v>
      </c>
      <c r="BH1104" s="226" t="s">
        <v>318</v>
      </c>
      <c r="BI1104" s="55" t="s">
        <v>176</v>
      </c>
      <c r="BJ1104" s="55" t="s">
        <v>176</v>
      </c>
      <c r="BK1104" s="55" t="s">
        <v>6269</v>
      </c>
      <c r="BM1104" s="192" t="s">
        <v>119</v>
      </c>
      <c r="BN1104" s="55">
        <v>3</v>
      </c>
      <c r="BO1104" s="55">
        <v>3</v>
      </c>
      <c r="BQ1104" s="55" t="s">
        <v>315</v>
      </c>
      <c r="BS1104" s="55">
        <v>3810</v>
      </c>
      <c r="BT1104" s="55">
        <v>57</v>
      </c>
      <c r="BW1104" s="65">
        <v>10600</v>
      </c>
      <c r="BX1104" s="65">
        <v>14800</v>
      </c>
      <c r="CA1104" s="65" t="s">
        <v>1626</v>
      </c>
      <c r="CB1104" s="66">
        <v>2700</v>
      </c>
      <c r="CC1104" s="66">
        <v>3300</v>
      </c>
      <c r="GP1104" s="292" t="s">
        <v>7494</v>
      </c>
      <c r="IC1104" s="65">
        <v>8</v>
      </c>
      <c r="ID1104" s="65">
        <v>9</v>
      </c>
      <c r="IG1104" s="65" t="s">
        <v>1658</v>
      </c>
      <c r="JU1104" s="55" t="s">
        <v>752</v>
      </c>
    </row>
    <row r="1105" spans="1:283" x14ac:dyDescent="0.25">
      <c r="A1105" s="55">
        <v>1104</v>
      </c>
      <c r="B1105" s="12" t="s">
        <v>7067</v>
      </c>
      <c r="C1105" s="155">
        <v>53</v>
      </c>
      <c r="D1105" s="55" t="s">
        <v>3917</v>
      </c>
      <c r="E1105" s="90" t="s">
        <v>741</v>
      </c>
      <c r="G1105" s="55" t="s">
        <v>742</v>
      </c>
      <c r="H1105" s="55">
        <v>2006</v>
      </c>
      <c r="I1105" s="55">
        <v>2001</v>
      </c>
      <c r="J1105" s="55" t="s">
        <v>743</v>
      </c>
      <c r="K1105" s="55" t="s">
        <v>744</v>
      </c>
      <c r="L1105" s="55" t="s">
        <v>2737</v>
      </c>
      <c r="M1105" s="90">
        <v>33.950000000000003</v>
      </c>
      <c r="N1105" s="90">
        <v>-83.38</v>
      </c>
      <c r="O1105" s="90">
        <v>208.4</v>
      </c>
      <c r="R1105" s="55">
        <f>341+407</f>
        <v>748</v>
      </c>
      <c r="S1105" s="90">
        <f>588+645</f>
        <v>1233</v>
      </c>
      <c r="U1105" s="55">
        <v>2</v>
      </c>
      <c r="V1105" s="55" t="s">
        <v>1688</v>
      </c>
      <c r="Y1105" s="55" t="s">
        <v>1923</v>
      </c>
      <c r="Z1105" s="55" t="s">
        <v>1356</v>
      </c>
      <c r="AA1105" s="90" t="s">
        <v>1680</v>
      </c>
      <c r="AE1105" s="90">
        <f>650/1000*100</f>
        <v>65</v>
      </c>
      <c r="AF1105" s="90">
        <f>25</f>
        <v>25</v>
      </c>
      <c r="AH1105" s="55" t="s">
        <v>238</v>
      </c>
      <c r="AI1105" s="168">
        <v>6.6</v>
      </c>
      <c r="AJ1105" s="90">
        <v>0.88</v>
      </c>
      <c r="AM1105" s="55" t="s">
        <v>1311</v>
      </c>
      <c r="AN1105" s="185" t="s">
        <v>1482</v>
      </c>
      <c r="AO1105" s="185" t="s">
        <v>5150</v>
      </c>
      <c r="AQ1105" s="55" t="s">
        <v>1546</v>
      </c>
      <c r="AR1105" s="55" t="s">
        <v>218</v>
      </c>
      <c r="AS1105" s="55" t="s">
        <v>5133</v>
      </c>
      <c r="AT1105" s="181" t="s">
        <v>751</v>
      </c>
      <c r="AU1105" s="181" t="s">
        <v>5150</v>
      </c>
      <c r="AV1105" s="185" t="s">
        <v>176</v>
      </c>
      <c r="AW1105" s="55" t="s">
        <v>751</v>
      </c>
      <c r="AX1105" s="185" t="s">
        <v>176</v>
      </c>
      <c r="AY1105" s="55" t="s">
        <v>176</v>
      </c>
      <c r="AZ1105" s="55" t="s">
        <v>156</v>
      </c>
      <c r="BA1105" s="55" t="s">
        <v>156</v>
      </c>
      <c r="BB1105" s="55" t="s">
        <v>2082</v>
      </c>
      <c r="BC1105" s="55" t="s">
        <v>2082</v>
      </c>
      <c r="BD1105" s="55" t="s">
        <v>176</v>
      </c>
      <c r="BE1105" s="226" t="s">
        <v>318</v>
      </c>
      <c r="BF1105" s="191" t="s">
        <v>176</v>
      </c>
      <c r="BG1105" s="55" t="s">
        <v>176</v>
      </c>
      <c r="BH1105" s="226" t="s">
        <v>318</v>
      </c>
      <c r="BI1105" s="55" t="s">
        <v>176</v>
      </c>
      <c r="BJ1105" s="55" t="s">
        <v>176</v>
      </c>
      <c r="BK1105" s="55" t="s">
        <v>6269</v>
      </c>
      <c r="BM1105" s="192" t="s">
        <v>119</v>
      </c>
      <c r="BN1105" s="55">
        <v>3</v>
      </c>
      <c r="BO1105" s="55">
        <v>3</v>
      </c>
      <c r="BQ1105" s="55" t="s">
        <v>315</v>
      </c>
      <c r="BS1105" s="55">
        <v>3810</v>
      </c>
      <c r="BT1105" s="55">
        <v>57</v>
      </c>
      <c r="BW1105" s="65">
        <v>10600</v>
      </c>
      <c r="BX1105" s="65">
        <v>13800</v>
      </c>
      <c r="CA1105" s="65" t="s">
        <v>1626</v>
      </c>
      <c r="CB1105" s="66">
        <v>2700</v>
      </c>
      <c r="CC1105" s="66">
        <v>3500</v>
      </c>
      <c r="GP1105" s="292" t="s">
        <v>7494</v>
      </c>
      <c r="IC1105" s="65">
        <v>14</v>
      </c>
      <c r="ID1105" s="65">
        <v>8</v>
      </c>
      <c r="IG1105" s="65" t="s">
        <v>1658</v>
      </c>
      <c r="JU1105" s="55" t="s">
        <v>752</v>
      </c>
    </row>
    <row r="1106" spans="1:283" x14ac:dyDescent="0.25">
      <c r="A1106" s="55">
        <v>1105</v>
      </c>
      <c r="B1106" s="12" t="s">
        <v>7067</v>
      </c>
      <c r="C1106" s="155">
        <v>53</v>
      </c>
      <c r="D1106" s="55" t="s">
        <v>3915</v>
      </c>
      <c r="E1106" s="90" t="s">
        <v>741</v>
      </c>
      <c r="G1106" s="55" t="s">
        <v>742</v>
      </c>
      <c r="H1106" s="55">
        <v>2006</v>
      </c>
      <c r="I1106" s="55">
        <v>2001</v>
      </c>
      <c r="J1106" s="55" t="s">
        <v>743</v>
      </c>
      <c r="K1106" s="55" t="s">
        <v>744</v>
      </c>
      <c r="L1106" s="55" t="s">
        <v>2737</v>
      </c>
      <c r="M1106" s="90">
        <v>33.950000000000003</v>
      </c>
      <c r="N1106" s="90">
        <v>-83.38</v>
      </c>
      <c r="O1106" s="90">
        <v>208.4</v>
      </c>
      <c r="R1106" s="55">
        <f>341+407</f>
        <v>748</v>
      </c>
      <c r="S1106" s="90">
        <f>588+645</f>
        <v>1233</v>
      </c>
      <c r="U1106" s="55">
        <v>2</v>
      </c>
      <c r="V1106" s="55" t="s">
        <v>1688</v>
      </c>
      <c r="Y1106" s="55" t="s">
        <v>1923</v>
      </c>
      <c r="Z1106" s="55" t="s">
        <v>1356</v>
      </c>
      <c r="AA1106" s="90" t="s">
        <v>1680</v>
      </c>
      <c r="AE1106" s="90">
        <f>650/1000*100</f>
        <v>65</v>
      </c>
      <c r="AF1106" s="90">
        <f>25</f>
        <v>25</v>
      </c>
      <c r="AH1106" s="55" t="s">
        <v>238</v>
      </c>
      <c r="AI1106" s="168">
        <v>6.6</v>
      </c>
      <c r="AJ1106" s="90">
        <v>0.88</v>
      </c>
      <c r="AM1106" s="55" t="s">
        <v>1311</v>
      </c>
      <c r="AN1106" s="185" t="s">
        <v>131</v>
      </c>
      <c r="AO1106" s="185" t="s">
        <v>5150</v>
      </c>
      <c r="AQ1106" s="55" t="s">
        <v>131</v>
      </c>
      <c r="AR1106" s="55" t="s">
        <v>218</v>
      </c>
      <c r="AS1106" s="55" t="s">
        <v>5133</v>
      </c>
      <c r="AT1106" s="181" t="s">
        <v>751</v>
      </c>
      <c r="AU1106" s="181" t="s">
        <v>5150</v>
      </c>
      <c r="AV1106" s="185" t="s">
        <v>176</v>
      </c>
      <c r="AW1106" s="55" t="s">
        <v>751</v>
      </c>
      <c r="AX1106" s="185" t="s">
        <v>176</v>
      </c>
      <c r="AY1106" s="55" t="s">
        <v>176</v>
      </c>
      <c r="AZ1106" s="55" t="s">
        <v>156</v>
      </c>
      <c r="BA1106" s="55" t="s">
        <v>156</v>
      </c>
      <c r="BB1106" s="55" t="s">
        <v>2082</v>
      </c>
      <c r="BC1106" s="55" t="s">
        <v>2082</v>
      </c>
      <c r="BD1106" s="55" t="s">
        <v>176</v>
      </c>
      <c r="BE1106" s="226" t="s">
        <v>749</v>
      </c>
      <c r="BF1106" s="191" t="s">
        <v>479</v>
      </c>
      <c r="BG1106" s="55" t="s">
        <v>479</v>
      </c>
      <c r="BH1106" s="226" t="s">
        <v>749</v>
      </c>
      <c r="BI1106" s="55" t="s">
        <v>479</v>
      </c>
      <c r="BJ1106" s="55" t="s">
        <v>176</v>
      </c>
      <c r="BK1106" s="55" t="s">
        <v>6269</v>
      </c>
      <c r="BM1106" s="192" t="s">
        <v>119</v>
      </c>
      <c r="BN1106" s="55">
        <v>3</v>
      </c>
      <c r="BO1106" s="55">
        <v>3</v>
      </c>
      <c r="BQ1106" s="55" t="s">
        <v>315</v>
      </c>
      <c r="BS1106" s="55">
        <v>2440</v>
      </c>
      <c r="BT1106" s="55">
        <v>12</v>
      </c>
      <c r="BW1106" s="65">
        <v>11200</v>
      </c>
      <c r="BX1106" s="65">
        <v>9400</v>
      </c>
      <c r="CA1106" s="65" t="s">
        <v>1626</v>
      </c>
      <c r="CB1106" s="66">
        <v>2200</v>
      </c>
      <c r="CC1106" s="66">
        <v>2200</v>
      </c>
      <c r="GP1106" s="292" t="s">
        <v>7494</v>
      </c>
      <c r="JU1106" s="55" t="s">
        <v>752</v>
      </c>
    </row>
    <row r="1107" spans="1:283" x14ac:dyDescent="0.25">
      <c r="A1107" s="55">
        <v>1106</v>
      </c>
      <c r="B1107" s="12" t="s">
        <v>7067</v>
      </c>
      <c r="C1107" s="155">
        <v>53</v>
      </c>
      <c r="D1107" s="55" t="s">
        <v>3916</v>
      </c>
      <c r="E1107" s="90" t="s">
        <v>741</v>
      </c>
      <c r="G1107" s="55" t="s">
        <v>742</v>
      </c>
      <c r="H1107" s="55">
        <v>2006</v>
      </c>
      <c r="I1107" s="55">
        <v>2001</v>
      </c>
      <c r="J1107" s="55" t="s">
        <v>743</v>
      </c>
      <c r="K1107" s="55" t="s">
        <v>744</v>
      </c>
      <c r="L1107" s="55" t="s">
        <v>2737</v>
      </c>
      <c r="M1107" s="90">
        <v>33.950000000000003</v>
      </c>
      <c r="N1107" s="90">
        <v>-83.38</v>
      </c>
      <c r="O1107" s="90">
        <v>208.4</v>
      </c>
      <c r="R1107" s="55">
        <f>341+407</f>
        <v>748</v>
      </c>
      <c r="S1107" s="90">
        <f>588+645</f>
        <v>1233</v>
      </c>
      <c r="U1107" s="55">
        <v>2</v>
      </c>
      <c r="V1107" s="55" t="s">
        <v>1688</v>
      </c>
      <c r="Y1107" s="55" t="s">
        <v>1923</v>
      </c>
      <c r="Z1107" s="55" t="s">
        <v>1356</v>
      </c>
      <c r="AA1107" s="90" t="s">
        <v>1680</v>
      </c>
      <c r="AE1107" s="90">
        <f>650/1000*100</f>
        <v>65</v>
      </c>
      <c r="AF1107" s="90">
        <f>25</f>
        <v>25</v>
      </c>
      <c r="AH1107" s="55" t="s">
        <v>238</v>
      </c>
      <c r="AI1107" s="168">
        <v>6.6</v>
      </c>
      <c r="AJ1107" s="90">
        <v>0.88</v>
      </c>
      <c r="AM1107" s="55" t="s">
        <v>1311</v>
      </c>
      <c r="AN1107" s="185" t="s">
        <v>241</v>
      </c>
      <c r="AO1107" s="185" t="s">
        <v>5150</v>
      </c>
      <c r="AQ1107" s="55" t="s">
        <v>553</v>
      </c>
      <c r="AR1107" s="55" t="s">
        <v>218</v>
      </c>
      <c r="AS1107" s="55" t="s">
        <v>5133</v>
      </c>
      <c r="AT1107" s="181" t="s">
        <v>751</v>
      </c>
      <c r="AU1107" s="181" t="s">
        <v>5150</v>
      </c>
      <c r="AV1107" s="185" t="s">
        <v>176</v>
      </c>
      <c r="AW1107" s="55" t="s">
        <v>751</v>
      </c>
      <c r="AX1107" s="185" t="s">
        <v>176</v>
      </c>
      <c r="AY1107" s="55" t="s">
        <v>176</v>
      </c>
      <c r="AZ1107" s="55" t="s">
        <v>156</v>
      </c>
      <c r="BA1107" s="55" t="s">
        <v>156</v>
      </c>
      <c r="BB1107" s="55" t="s">
        <v>2082</v>
      </c>
      <c r="BC1107" s="55" t="s">
        <v>2082</v>
      </c>
      <c r="BD1107" s="55" t="s">
        <v>176</v>
      </c>
      <c r="BE1107" s="226" t="s">
        <v>749</v>
      </c>
      <c r="BF1107" s="191" t="s">
        <v>479</v>
      </c>
      <c r="BG1107" s="55" t="s">
        <v>479</v>
      </c>
      <c r="BH1107" s="226" t="s">
        <v>749</v>
      </c>
      <c r="BI1107" s="55" t="s">
        <v>479</v>
      </c>
      <c r="BJ1107" s="55" t="s">
        <v>176</v>
      </c>
      <c r="BK1107" s="55" t="s">
        <v>6269</v>
      </c>
      <c r="BM1107" s="192" t="s">
        <v>119</v>
      </c>
      <c r="BN1107" s="55">
        <v>3</v>
      </c>
      <c r="BO1107" s="55">
        <v>3</v>
      </c>
      <c r="BQ1107" s="55" t="s">
        <v>315</v>
      </c>
      <c r="BS1107" s="55">
        <v>2440</v>
      </c>
      <c r="BT1107" s="55">
        <v>12</v>
      </c>
      <c r="BW1107" s="65">
        <v>11200</v>
      </c>
      <c r="BX1107" s="65">
        <v>14300</v>
      </c>
      <c r="CA1107" s="65" t="s">
        <v>1626</v>
      </c>
      <c r="CB1107" s="66">
        <v>2200</v>
      </c>
      <c r="CC1107" s="66">
        <v>3700</v>
      </c>
      <c r="GP1107" s="292" t="s">
        <v>7494</v>
      </c>
      <c r="JU1107" s="55" t="s">
        <v>752</v>
      </c>
    </row>
    <row r="1108" spans="1:283" x14ac:dyDescent="0.25">
      <c r="A1108" s="55">
        <v>1107</v>
      </c>
      <c r="B1108" s="12" t="s">
        <v>7067</v>
      </c>
      <c r="C1108" s="155">
        <v>53</v>
      </c>
      <c r="D1108" s="55" t="s">
        <v>3917</v>
      </c>
      <c r="E1108" s="90" t="s">
        <v>741</v>
      </c>
      <c r="G1108" s="55" t="s">
        <v>742</v>
      </c>
      <c r="H1108" s="55">
        <v>2006</v>
      </c>
      <c r="I1108" s="55">
        <v>2001</v>
      </c>
      <c r="J1108" s="55" t="s">
        <v>743</v>
      </c>
      <c r="K1108" s="55" t="s">
        <v>744</v>
      </c>
      <c r="L1108" s="55" t="s">
        <v>2737</v>
      </c>
      <c r="M1108" s="90">
        <v>33.950000000000003</v>
      </c>
      <c r="N1108" s="90">
        <v>-83.38</v>
      </c>
      <c r="O1108" s="90">
        <v>208.4</v>
      </c>
      <c r="R1108" s="55">
        <f>341+407</f>
        <v>748</v>
      </c>
      <c r="S1108" s="90">
        <f>588+645</f>
        <v>1233</v>
      </c>
      <c r="U1108" s="55">
        <v>2</v>
      </c>
      <c r="V1108" s="55" t="s">
        <v>1688</v>
      </c>
      <c r="Y1108" s="55" t="s">
        <v>1923</v>
      </c>
      <c r="Z1108" s="55" t="s">
        <v>1356</v>
      </c>
      <c r="AA1108" s="90" t="s">
        <v>1680</v>
      </c>
      <c r="AE1108" s="90">
        <f>650/1000*100</f>
        <v>65</v>
      </c>
      <c r="AF1108" s="90">
        <f>25</f>
        <v>25</v>
      </c>
      <c r="AH1108" s="55" t="s">
        <v>238</v>
      </c>
      <c r="AI1108" s="168">
        <v>6.6</v>
      </c>
      <c r="AJ1108" s="90">
        <v>0.88</v>
      </c>
      <c r="AM1108" s="55" t="s">
        <v>1311</v>
      </c>
      <c r="AN1108" s="185" t="s">
        <v>1482</v>
      </c>
      <c r="AO1108" s="185" t="s">
        <v>5150</v>
      </c>
      <c r="AQ1108" s="55" t="s">
        <v>1546</v>
      </c>
      <c r="AR1108" s="55" t="s">
        <v>218</v>
      </c>
      <c r="AS1108" s="55" t="s">
        <v>5133</v>
      </c>
      <c r="AT1108" s="181" t="s">
        <v>751</v>
      </c>
      <c r="AU1108" s="181" t="s">
        <v>5150</v>
      </c>
      <c r="AV1108" s="185" t="s">
        <v>176</v>
      </c>
      <c r="AW1108" s="55" t="s">
        <v>751</v>
      </c>
      <c r="AX1108" s="185" t="s">
        <v>176</v>
      </c>
      <c r="AY1108" s="55" t="s">
        <v>176</v>
      </c>
      <c r="AZ1108" s="55" t="s">
        <v>156</v>
      </c>
      <c r="BA1108" s="55" t="s">
        <v>156</v>
      </c>
      <c r="BB1108" s="55" t="s">
        <v>2082</v>
      </c>
      <c r="BC1108" s="55" t="s">
        <v>2082</v>
      </c>
      <c r="BD1108" s="55" t="s">
        <v>176</v>
      </c>
      <c r="BE1108" s="226" t="s">
        <v>749</v>
      </c>
      <c r="BF1108" s="191" t="s">
        <v>479</v>
      </c>
      <c r="BG1108" s="55" t="s">
        <v>479</v>
      </c>
      <c r="BH1108" s="226" t="s">
        <v>749</v>
      </c>
      <c r="BI1108" s="55" t="s">
        <v>479</v>
      </c>
      <c r="BJ1108" s="55" t="s">
        <v>176</v>
      </c>
      <c r="BK1108" s="55" t="s">
        <v>6269</v>
      </c>
      <c r="BM1108" s="192" t="s">
        <v>119</v>
      </c>
      <c r="BN1108" s="55">
        <v>3</v>
      </c>
      <c r="BO1108" s="55">
        <v>3</v>
      </c>
      <c r="BQ1108" s="55" t="s">
        <v>315</v>
      </c>
      <c r="BS1108" s="55">
        <v>2440</v>
      </c>
      <c r="BT1108" s="55">
        <v>12</v>
      </c>
      <c r="BW1108" s="65">
        <v>11200</v>
      </c>
      <c r="BX1108" s="65">
        <v>14600</v>
      </c>
      <c r="CA1108" s="65" t="s">
        <v>1626</v>
      </c>
      <c r="CB1108" s="66">
        <v>2200</v>
      </c>
      <c r="CC1108" s="66">
        <v>4100</v>
      </c>
      <c r="GP1108" s="292" t="s">
        <v>7494</v>
      </c>
      <c r="JU1108" s="55" t="s">
        <v>752</v>
      </c>
    </row>
    <row r="1109" spans="1:283" x14ac:dyDescent="0.25">
      <c r="A1109" s="55">
        <v>1108</v>
      </c>
      <c r="B1109" s="12" t="s">
        <v>7067</v>
      </c>
      <c r="C1109" s="155">
        <v>53</v>
      </c>
      <c r="D1109" s="55" t="s">
        <v>3915</v>
      </c>
      <c r="E1109" s="90" t="s">
        <v>741</v>
      </c>
      <c r="G1109" s="55" t="s">
        <v>742</v>
      </c>
      <c r="H1109" s="55">
        <v>2006</v>
      </c>
      <c r="I1109" s="55">
        <v>2001</v>
      </c>
      <c r="J1109" s="55" t="s">
        <v>743</v>
      </c>
      <c r="K1109" s="55" t="s">
        <v>744</v>
      </c>
      <c r="L1109" s="55" t="s">
        <v>2737</v>
      </c>
      <c r="M1109" s="90">
        <v>33.950000000000003</v>
      </c>
      <c r="N1109" s="90">
        <v>-83.38</v>
      </c>
      <c r="O1109" s="90">
        <v>208.4</v>
      </c>
      <c r="R1109" s="55">
        <f>341+407</f>
        <v>748</v>
      </c>
      <c r="S1109" s="90">
        <f>588+645</f>
        <v>1233</v>
      </c>
      <c r="U1109" s="55">
        <v>2</v>
      </c>
      <c r="V1109" s="55" t="s">
        <v>1688</v>
      </c>
      <c r="Y1109" s="55" t="s">
        <v>1923</v>
      </c>
      <c r="Z1109" s="55" t="s">
        <v>1356</v>
      </c>
      <c r="AA1109" s="90" t="s">
        <v>1680</v>
      </c>
      <c r="AE1109" s="90">
        <f>650/1000*100</f>
        <v>65</v>
      </c>
      <c r="AF1109" s="90">
        <f>25</f>
        <v>25</v>
      </c>
      <c r="AH1109" s="55" t="s">
        <v>238</v>
      </c>
      <c r="AI1109" s="168">
        <v>6.6</v>
      </c>
      <c r="AJ1109" s="90">
        <v>0.88</v>
      </c>
      <c r="AM1109" s="55" t="s">
        <v>1311</v>
      </c>
      <c r="AN1109" s="185" t="s">
        <v>131</v>
      </c>
      <c r="AO1109" s="185" t="s">
        <v>5150</v>
      </c>
      <c r="AQ1109" s="55" t="s">
        <v>131</v>
      </c>
      <c r="AR1109" s="55" t="s">
        <v>218</v>
      </c>
      <c r="AS1109" s="55" t="s">
        <v>5133</v>
      </c>
      <c r="AT1109" s="181" t="s">
        <v>751</v>
      </c>
      <c r="AU1109" s="181" t="s">
        <v>5150</v>
      </c>
      <c r="AV1109" s="185" t="s">
        <v>176</v>
      </c>
      <c r="AW1109" s="55" t="s">
        <v>751</v>
      </c>
      <c r="AX1109" s="185" t="s">
        <v>176</v>
      </c>
      <c r="AY1109" s="55" t="s">
        <v>176</v>
      </c>
      <c r="AZ1109" s="55" t="s">
        <v>156</v>
      </c>
      <c r="BA1109" s="55" t="s">
        <v>156</v>
      </c>
      <c r="BB1109" s="55" t="s">
        <v>2082</v>
      </c>
      <c r="BC1109" s="55" t="s">
        <v>2082</v>
      </c>
      <c r="BD1109" s="55" t="s">
        <v>176</v>
      </c>
      <c r="BE1109" s="226" t="s">
        <v>750</v>
      </c>
      <c r="BF1109" s="191" t="s">
        <v>479</v>
      </c>
      <c r="BG1109" s="55" t="s">
        <v>479</v>
      </c>
      <c r="BH1109" s="226" t="s">
        <v>750</v>
      </c>
      <c r="BI1109" s="55" t="s">
        <v>479</v>
      </c>
      <c r="BJ1109" s="55" t="s">
        <v>176</v>
      </c>
      <c r="BK1109" s="55" t="s">
        <v>6269</v>
      </c>
      <c r="BM1109" s="192" t="s">
        <v>119</v>
      </c>
      <c r="BN1109" s="55">
        <v>3</v>
      </c>
      <c r="BO1109" s="55">
        <v>3</v>
      </c>
      <c r="BQ1109" s="55" t="s">
        <v>315</v>
      </c>
      <c r="BS1109" s="55">
        <v>5980</v>
      </c>
      <c r="BT1109" s="55">
        <v>32</v>
      </c>
      <c r="BW1109" s="65">
        <v>14300</v>
      </c>
      <c r="BX1109" s="65">
        <v>11700</v>
      </c>
      <c r="CA1109" s="65" t="s">
        <v>1626</v>
      </c>
      <c r="CB1109" s="66">
        <v>3400</v>
      </c>
      <c r="CC1109" s="66">
        <v>3300</v>
      </c>
      <c r="GP1109" s="292" t="s">
        <v>7494</v>
      </c>
      <c r="JU1109" s="55" t="s">
        <v>752</v>
      </c>
    </row>
    <row r="1110" spans="1:283" x14ac:dyDescent="0.25">
      <c r="A1110" s="55">
        <v>1109</v>
      </c>
      <c r="B1110" s="12" t="s">
        <v>7067</v>
      </c>
      <c r="C1110" s="155">
        <v>53</v>
      </c>
      <c r="D1110" s="55" t="s">
        <v>3916</v>
      </c>
      <c r="E1110" s="90" t="s">
        <v>741</v>
      </c>
      <c r="G1110" s="55" t="s">
        <v>742</v>
      </c>
      <c r="H1110" s="55">
        <v>2006</v>
      </c>
      <c r="I1110" s="55">
        <v>2001</v>
      </c>
      <c r="J1110" s="55" t="s">
        <v>743</v>
      </c>
      <c r="K1110" s="55" t="s">
        <v>744</v>
      </c>
      <c r="L1110" s="55" t="s">
        <v>2737</v>
      </c>
      <c r="M1110" s="90">
        <v>33.950000000000003</v>
      </c>
      <c r="N1110" s="90">
        <v>-83.38</v>
      </c>
      <c r="O1110" s="90">
        <v>208.4</v>
      </c>
      <c r="R1110" s="55">
        <f>341+407</f>
        <v>748</v>
      </c>
      <c r="S1110" s="90">
        <f>588+645</f>
        <v>1233</v>
      </c>
      <c r="U1110" s="55">
        <v>2</v>
      </c>
      <c r="V1110" s="55" t="s">
        <v>1688</v>
      </c>
      <c r="Y1110" s="55" t="s">
        <v>1923</v>
      </c>
      <c r="Z1110" s="55" t="s">
        <v>1356</v>
      </c>
      <c r="AA1110" s="90" t="s">
        <v>1680</v>
      </c>
      <c r="AE1110" s="90">
        <f>650/1000*100</f>
        <v>65</v>
      </c>
      <c r="AF1110" s="90">
        <f>25</f>
        <v>25</v>
      </c>
      <c r="AH1110" s="55" t="s">
        <v>238</v>
      </c>
      <c r="AI1110" s="168">
        <v>6.6</v>
      </c>
      <c r="AJ1110" s="90">
        <v>0.88</v>
      </c>
      <c r="AM1110" s="55" t="s">
        <v>1311</v>
      </c>
      <c r="AN1110" s="185" t="s">
        <v>241</v>
      </c>
      <c r="AO1110" s="185" t="s">
        <v>5150</v>
      </c>
      <c r="AQ1110" s="55" t="s">
        <v>553</v>
      </c>
      <c r="AR1110" s="55" t="s">
        <v>218</v>
      </c>
      <c r="AS1110" s="55" t="s">
        <v>5133</v>
      </c>
      <c r="AT1110" s="181" t="s">
        <v>751</v>
      </c>
      <c r="AU1110" s="181" t="s">
        <v>5150</v>
      </c>
      <c r="AV1110" s="185" t="s">
        <v>176</v>
      </c>
      <c r="AW1110" s="55" t="s">
        <v>751</v>
      </c>
      <c r="AX1110" s="185" t="s">
        <v>176</v>
      </c>
      <c r="AY1110" s="55" t="s">
        <v>176</v>
      </c>
      <c r="AZ1110" s="55" t="s">
        <v>156</v>
      </c>
      <c r="BA1110" s="55" t="s">
        <v>156</v>
      </c>
      <c r="BB1110" s="55" t="s">
        <v>2082</v>
      </c>
      <c r="BC1110" s="55" t="s">
        <v>2082</v>
      </c>
      <c r="BD1110" s="55" t="s">
        <v>176</v>
      </c>
      <c r="BE1110" s="226" t="s">
        <v>750</v>
      </c>
      <c r="BF1110" s="191" t="s">
        <v>479</v>
      </c>
      <c r="BG1110" s="55" t="s">
        <v>479</v>
      </c>
      <c r="BH1110" s="226" t="s">
        <v>750</v>
      </c>
      <c r="BI1110" s="55" t="s">
        <v>479</v>
      </c>
      <c r="BJ1110" s="55" t="s">
        <v>176</v>
      </c>
      <c r="BK1110" s="55" t="s">
        <v>6269</v>
      </c>
      <c r="BM1110" s="192" t="s">
        <v>119</v>
      </c>
      <c r="BN1110" s="55">
        <v>3</v>
      </c>
      <c r="BO1110" s="55">
        <v>3</v>
      </c>
      <c r="BQ1110" s="55" t="s">
        <v>315</v>
      </c>
      <c r="BS1110" s="55">
        <v>5980</v>
      </c>
      <c r="BT1110" s="55">
        <v>32</v>
      </c>
      <c r="BW1110" s="65">
        <v>14300</v>
      </c>
      <c r="BX1110" s="65">
        <v>13200</v>
      </c>
      <c r="CA1110" s="65" t="s">
        <v>1626</v>
      </c>
      <c r="CB1110" s="66">
        <v>3400</v>
      </c>
      <c r="CC1110" s="66">
        <v>3600</v>
      </c>
      <c r="GP1110" s="292" t="s">
        <v>7494</v>
      </c>
      <c r="JU1110" s="55" t="s">
        <v>752</v>
      </c>
    </row>
    <row r="1111" spans="1:283" x14ac:dyDescent="0.25">
      <c r="A1111" s="55">
        <v>1110</v>
      </c>
      <c r="B1111" s="12" t="s">
        <v>7067</v>
      </c>
      <c r="C1111" s="155">
        <v>53</v>
      </c>
      <c r="D1111" s="55" t="s">
        <v>3917</v>
      </c>
      <c r="E1111" s="90" t="s">
        <v>741</v>
      </c>
      <c r="G1111" s="55" t="s">
        <v>742</v>
      </c>
      <c r="H1111" s="55">
        <v>2006</v>
      </c>
      <c r="I1111" s="55">
        <v>2001</v>
      </c>
      <c r="J1111" s="55" t="s">
        <v>743</v>
      </c>
      <c r="K1111" s="55" t="s">
        <v>744</v>
      </c>
      <c r="L1111" s="55" t="s">
        <v>2737</v>
      </c>
      <c r="M1111" s="90">
        <v>33.950000000000003</v>
      </c>
      <c r="N1111" s="90">
        <v>-83.38</v>
      </c>
      <c r="O1111" s="90">
        <v>208.4</v>
      </c>
      <c r="R1111" s="55">
        <f>341+407</f>
        <v>748</v>
      </c>
      <c r="S1111" s="90">
        <f>588+645</f>
        <v>1233</v>
      </c>
      <c r="U1111" s="55">
        <v>2</v>
      </c>
      <c r="V1111" s="55" t="s">
        <v>1688</v>
      </c>
      <c r="Y1111" s="55" t="s">
        <v>1923</v>
      </c>
      <c r="Z1111" s="55" t="s">
        <v>1356</v>
      </c>
      <c r="AA1111" s="90" t="s">
        <v>1680</v>
      </c>
      <c r="AE1111" s="90">
        <f>650/1000*100</f>
        <v>65</v>
      </c>
      <c r="AF1111" s="90">
        <f>25</f>
        <v>25</v>
      </c>
      <c r="AH1111" s="55" t="s">
        <v>238</v>
      </c>
      <c r="AI1111" s="168">
        <v>6.6</v>
      </c>
      <c r="AJ1111" s="90">
        <v>0.88</v>
      </c>
      <c r="AM1111" s="55" t="s">
        <v>1311</v>
      </c>
      <c r="AN1111" s="185" t="s">
        <v>1482</v>
      </c>
      <c r="AO1111" s="185" t="s">
        <v>5150</v>
      </c>
      <c r="AQ1111" s="55" t="s">
        <v>1546</v>
      </c>
      <c r="AR1111" s="55" t="s">
        <v>218</v>
      </c>
      <c r="AS1111" s="55" t="s">
        <v>5133</v>
      </c>
      <c r="AT1111" s="181" t="s">
        <v>751</v>
      </c>
      <c r="AU1111" s="181" t="s">
        <v>5150</v>
      </c>
      <c r="AV1111" s="185" t="s">
        <v>176</v>
      </c>
      <c r="AW1111" s="55" t="s">
        <v>751</v>
      </c>
      <c r="AX1111" s="185" t="s">
        <v>176</v>
      </c>
      <c r="AY1111" s="55" t="s">
        <v>176</v>
      </c>
      <c r="AZ1111" s="55" t="s">
        <v>156</v>
      </c>
      <c r="BA1111" s="55" t="s">
        <v>156</v>
      </c>
      <c r="BB1111" s="55" t="s">
        <v>2082</v>
      </c>
      <c r="BC1111" s="55" t="s">
        <v>2082</v>
      </c>
      <c r="BD1111" s="55" t="s">
        <v>176</v>
      </c>
      <c r="BE1111" s="226" t="s">
        <v>750</v>
      </c>
      <c r="BF1111" s="191" t="s">
        <v>479</v>
      </c>
      <c r="BG1111" s="55" t="s">
        <v>479</v>
      </c>
      <c r="BH1111" s="226" t="s">
        <v>750</v>
      </c>
      <c r="BI1111" s="55" t="s">
        <v>479</v>
      </c>
      <c r="BJ1111" s="55" t="s">
        <v>176</v>
      </c>
      <c r="BK1111" s="55" t="s">
        <v>6269</v>
      </c>
      <c r="BM1111" s="192" t="s">
        <v>119</v>
      </c>
      <c r="BN1111" s="55">
        <v>3</v>
      </c>
      <c r="BO1111" s="55">
        <v>3</v>
      </c>
      <c r="BQ1111" s="55" t="s">
        <v>315</v>
      </c>
      <c r="BS1111" s="55">
        <v>5980</v>
      </c>
      <c r="BT1111" s="55">
        <v>32</v>
      </c>
      <c r="BW1111" s="65">
        <v>14300</v>
      </c>
      <c r="BX1111" s="65">
        <v>14100</v>
      </c>
      <c r="CA1111" s="65" t="s">
        <v>1626</v>
      </c>
      <c r="CB1111" s="66">
        <v>3400</v>
      </c>
      <c r="CC1111" s="66">
        <v>4400</v>
      </c>
      <c r="GP1111" s="292" t="s">
        <v>7494</v>
      </c>
      <c r="JU1111" s="55" t="s">
        <v>752</v>
      </c>
    </row>
    <row r="1112" spans="1:283" s="229" customFormat="1" x14ac:dyDescent="0.25">
      <c r="A1112" s="181">
        <v>1111</v>
      </c>
      <c r="B1112" s="229" t="s">
        <v>7067</v>
      </c>
      <c r="C1112" s="230">
        <v>53</v>
      </c>
      <c r="D1112" s="181" t="s">
        <v>3914</v>
      </c>
      <c r="E1112" s="231" t="s">
        <v>741</v>
      </c>
      <c r="F1112" s="231"/>
      <c r="G1112" s="181" t="s">
        <v>742</v>
      </c>
      <c r="H1112" s="181">
        <v>2006</v>
      </c>
      <c r="I1112" s="181">
        <v>2002</v>
      </c>
      <c r="J1112" s="181" t="s">
        <v>743</v>
      </c>
      <c r="K1112" s="181" t="s">
        <v>744</v>
      </c>
      <c r="L1112" s="181" t="s">
        <v>2737</v>
      </c>
      <c r="M1112" s="231">
        <v>33.950000000000003</v>
      </c>
      <c r="N1112" s="231">
        <v>-83.38</v>
      </c>
      <c r="O1112" s="231">
        <v>208.4</v>
      </c>
      <c r="P1112" s="181"/>
      <c r="Q1112" s="181"/>
      <c r="R1112" s="181">
        <v>971</v>
      </c>
      <c r="S1112" s="231">
        <f>588+645</f>
        <v>1233</v>
      </c>
      <c r="T1112" s="181"/>
      <c r="U1112" s="181">
        <v>3</v>
      </c>
      <c r="V1112" s="181" t="s">
        <v>1688</v>
      </c>
      <c r="W1112" s="181"/>
      <c r="X1112" s="181"/>
      <c r="Y1112" s="181" t="s">
        <v>1923</v>
      </c>
      <c r="Z1112" s="181" t="s">
        <v>1356</v>
      </c>
      <c r="AA1112" s="231" t="s">
        <v>1680</v>
      </c>
      <c r="AB1112" s="232"/>
      <c r="AC1112" s="232"/>
      <c r="AD1112" s="231"/>
      <c r="AE1112" s="231">
        <f>650/1000*100</f>
        <v>65</v>
      </c>
      <c r="AF1112" s="231">
        <f>25</f>
        <v>25</v>
      </c>
      <c r="AG1112" s="231"/>
      <c r="AH1112" s="181" t="s">
        <v>238</v>
      </c>
      <c r="AI1112" s="181">
        <v>6.6</v>
      </c>
      <c r="AJ1112" s="231">
        <v>0.88</v>
      </c>
      <c r="AK1112" s="231"/>
      <c r="AL1112" s="181"/>
      <c r="AM1112" s="181" t="s">
        <v>1311</v>
      </c>
      <c r="AN1112" s="185" t="s">
        <v>1482</v>
      </c>
      <c r="AO1112" s="185" t="s">
        <v>5150</v>
      </c>
      <c r="AP1112" s="181"/>
      <c r="AQ1112" s="181" t="s">
        <v>1546</v>
      </c>
      <c r="AR1112" s="181" t="s">
        <v>560</v>
      </c>
      <c r="AS1112" s="181" t="s">
        <v>5133</v>
      </c>
      <c r="AT1112" s="181" t="s">
        <v>751</v>
      </c>
      <c r="AU1112" s="181" t="s">
        <v>5150</v>
      </c>
      <c r="AV1112" s="185" t="s">
        <v>479</v>
      </c>
      <c r="AW1112" s="181" t="s">
        <v>751</v>
      </c>
      <c r="AX1112" s="185" t="s">
        <v>479</v>
      </c>
      <c r="AY1112" s="181" t="s">
        <v>176</v>
      </c>
      <c r="AZ1112" s="181" t="s">
        <v>156</v>
      </c>
      <c r="BA1112" s="181" t="s">
        <v>156</v>
      </c>
      <c r="BB1112" s="181" t="s">
        <v>2082</v>
      </c>
      <c r="BC1112" s="181" t="s">
        <v>2082</v>
      </c>
      <c r="BD1112" s="181" t="s">
        <v>176</v>
      </c>
      <c r="BE1112" s="226" t="s">
        <v>318</v>
      </c>
      <c r="BF1112" s="191" t="s">
        <v>176</v>
      </c>
      <c r="BG1112" s="181" t="s">
        <v>176</v>
      </c>
      <c r="BH1112" s="226" t="s">
        <v>318</v>
      </c>
      <c r="BI1112" s="181" t="s">
        <v>176</v>
      </c>
      <c r="BJ1112" s="181" t="s">
        <v>176</v>
      </c>
      <c r="BK1112" s="181" t="s">
        <v>6269</v>
      </c>
      <c r="BL1112" s="181"/>
      <c r="BM1112" s="192" t="s">
        <v>119</v>
      </c>
      <c r="BN1112" s="181">
        <v>3</v>
      </c>
      <c r="BO1112" s="181">
        <v>3</v>
      </c>
      <c r="BP1112" s="181"/>
      <c r="BQ1112" s="181" t="s">
        <v>315</v>
      </c>
      <c r="BR1112" s="181"/>
      <c r="BS1112" s="181">
        <v>2280</v>
      </c>
      <c r="BT1112" s="181">
        <v>40</v>
      </c>
      <c r="BU1112" s="181"/>
      <c r="BV1112" s="181"/>
      <c r="BW1112" s="232"/>
      <c r="BX1112" s="232"/>
      <c r="BY1112" s="232"/>
      <c r="BZ1112" s="232"/>
      <c r="CA1112" s="232"/>
      <c r="CB1112" s="183">
        <v>814</v>
      </c>
      <c r="CC1112" s="183">
        <v>692</v>
      </c>
      <c r="CD1112" s="183"/>
      <c r="CE1112" s="232"/>
      <c r="CF1112" s="232"/>
      <c r="CG1112" s="232"/>
      <c r="CH1112" s="231"/>
      <c r="CI1112" s="231"/>
      <c r="CJ1112" s="232"/>
      <c r="CK1112" s="232"/>
      <c r="CL1112" s="232"/>
      <c r="CM1112" s="232"/>
      <c r="CN1112" s="232"/>
      <c r="CO1112" s="232"/>
      <c r="CP1112" s="232"/>
      <c r="CQ1112" s="232"/>
      <c r="CR1112" s="232"/>
      <c r="CS1112" s="232"/>
      <c r="CT1112" s="232"/>
      <c r="CU1112" s="232"/>
      <c r="CV1112" s="232"/>
      <c r="CW1112" s="232"/>
      <c r="CX1112" s="232"/>
      <c r="CY1112" s="232"/>
      <c r="CZ1112" s="232"/>
      <c r="DA1112" s="232"/>
      <c r="DB1112" s="232"/>
      <c r="DC1112" s="232"/>
      <c r="DD1112" s="232"/>
      <c r="DE1112" s="232"/>
      <c r="DF1112" s="232"/>
      <c r="DG1112" s="232"/>
      <c r="DH1112" s="232"/>
      <c r="DI1112" s="232"/>
      <c r="DJ1112" s="232"/>
      <c r="DK1112" s="232"/>
      <c r="DL1112" s="232"/>
      <c r="DM1112" s="232"/>
      <c r="DN1112" s="232"/>
      <c r="DO1112" s="232"/>
      <c r="DP1112" s="232"/>
      <c r="DQ1112" s="233"/>
      <c r="DR1112" s="233"/>
      <c r="DS1112" s="232"/>
      <c r="DT1112" s="232"/>
      <c r="DU1112" s="232"/>
      <c r="DV1112" s="232"/>
      <c r="DW1112" s="232"/>
      <c r="DX1112" s="232"/>
      <c r="DY1112" s="232"/>
      <c r="DZ1112" s="232"/>
      <c r="EA1112" s="232"/>
      <c r="EB1112" s="232"/>
      <c r="EC1112" s="232"/>
      <c r="ED1112" s="232"/>
      <c r="EE1112" s="232"/>
      <c r="EF1112" s="232"/>
      <c r="EG1112" s="232"/>
      <c r="EH1112" s="232"/>
      <c r="EI1112" s="232"/>
      <c r="EJ1112" s="232"/>
      <c r="EK1112" s="231"/>
      <c r="EL1112" s="231"/>
      <c r="EM1112" s="232"/>
      <c r="EN1112" s="232"/>
      <c r="EO1112" s="232"/>
      <c r="EP1112" s="232"/>
      <c r="EQ1112" s="232"/>
      <c r="ER1112" s="232"/>
      <c r="ES1112" s="232"/>
      <c r="ET1112" s="232"/>
      <c r="EU1112" s="232"/>
      <c r="EV1112" s="232"/>
      <c r="EW1112" s="232"/>
      <c r="EX1112" s="232"/>
      <c r="EY1112" s="232"/>
      <c r="EZ1112" s="232"/>
      <c r="FA1112" s="232"/>
      <c r="FB1112" s="232"/>
      <c r="FC1112" s="232"/>
      <c r="FD1112" s="232"/>
      <c r="FE1112" s="232"/>
      <c r="FF1112" s="232"/>
      <c r="FG1112" s="232"/>
      <c r="FH1112" s="232"/>
      <c r="FI1112" s="232"/>
      <c r="FJ1112" s="232"/>
      <c r="FK1112" s="232"/>
      <c r="FL1112" s="232"/>
      <c r="FM1112" s="232"/>
      <c r="FN1112" s="232"/>
      <c r="FO1112" s="232"/>
      <c r="FP1112" s="232"/>
      <c r="FQ1112" s="232"/>
      <c r="FR1112" s="232"/>
      <c r="FS1112" s="232"/>
      <c r="FT1112" s="232"/>
      <c r="FU1112" s="232"/>
      <c r="FV1112" s="232"/>
      <c r="FW1112" s="232"/>
      <c r="FX1112" s="232"/>
      <c r="FY1112" s="232"/>
      <c r="FZ1112" s="232"/>
      <c r="GA1112" s="232"/>
      <c r="GB1112" s="232"/>
      <c r="GC1112" s="232"/>
      <c r="GD1112" s="232"/>
      <c r="GE1112" s="232"/>
      <c r="GF1112" s="232"/>
      <c r="GG1112" s="232"/>
      <c r="GH1112" s="232"/>
      <c r="GI1112" s="232"/>
      <c r="GJ1112" s="232"/>
      <c r="GK1112" s="232"/>
      <c r="GL1112" s="232"/>
      <c r="GM1112" s="232"/>
      <c r="GN1112" s="294"/>
      <c r="GO1112" s="294"/>
      <c r="GP1112" s="292" t="s">
        <v>7494</v>
      </c>
      <c r="GQ1112" s="232"/>
      <c r="GR1112" s="232"/>
      <c r="GS1112" s="232"/>
      <c r="GT1112" s="232"/>
      <c r="GU1112" s="232"/>
      <c r="GV1112" s="232"/>
      <c r="GW1112" s="232"/>
      <c r="GX1112" s="232"/>
      <c r="GY1112" s="232"/>
      <c r="GZ1112" s="232"/>
      <c r="HA1112" s="232"/>
      <c r="HB1112" s="232"/>
      <c r="HC1112" s="232"/>
      <c r="HD1112" s="232"/>
      <c r="HE1112" s="232"/>
      <c r="HF1112" s="232"/>
      <c r="HG1112" s="232"/>
      <c r="HH1112" s="232"/>
      <c r="HI1112" s="232"/>
      <c r="HJ1112" s="232"/>
      <c r="HK1112" s="232"/>
      <c r="HL1112" s="232"/>
      <c r="HM1112" s="232"/>
      <c r="HN1112" s="232"/>
      <c r="HO1112" s="232"/>
      <c r="HP1112" s="232"/>
      <c r="HQ1112" s="232"/>
      <c r="HR1112" s="232"/>
      <c r="HS1112" s="232"/>
      <c r="HT1112" s="232"/>
      <c r="HU1112" s="232"/>
      <c r="HV1112" s="232"/>
      <c r="HW1112" s="232"/>
      <c r="HX1112" s="232"/>
      <c r="HY1112" s="232"/>
      <c r="HZ1112" s="232"/>
      <c r="IA1112" s="232"/>
      <c r="IB1112" s="232"/>
      <c r="IC1112" s="232">
        <v>11</v>
      </c>
      <c r="ID1112" s="232">
        <v>14</v>
      </c>
      <c r="IE1112" s="232"/>
      <c r="IF1112" s="232"/>
      <c r="IG1112" s="232" t="s">
        <v>1658</v>
      </c>
      <c r="IH1112" s="232"/>
      <c r="II1112" s="232"/>
      <c r="IJ1112" s="232"/>
      <c r="IK1112" s="232"/>
      <c r="IL1112" s="232"/>
      <c r="IM1112" s="232"/>
      <c r="IN1112" s="232"/>
      <c r="IO1112" s="232"/>
      <c r="IP1112" s="232"/>
      <c r="IQ1112" s="232"/>
      <c r="IR1112" s="232"/>
      <c r="IS1112" s="232"/>
      <c r="IT1112" s="232"/>
      <c r="IU1112" s="232"/>
      <c r="IV1112" s="232"/>
      <c r="IW1112" s="232"/>
      <c r="IX1112" s="232"/>
      <c r="IY1112" s="232"/>
      <c r="IZ1112" s="232"/>
      <c r="JA1112" s="232"/>
      <c r="JB1112" s="232"/>
      <c r="JC1112" s="232"/>
      <c r="JD1112" s="232"/>
      <c r="JE1112" s="232"/>
      <c r="JF1112" s="232"/>
      <c r="JG1112" s="232"/>
      <c r="JH1112" s="232"/>
      <c r="JI1112" s="232"/>
      <c r="JJ1112" s="232"/>
      <c r="JK1112" s="232"/>
      <c r="JL1112" s="232"/>
      <c r="JM1112" s="232"/>
      <c r="JN1112" s="232"/>
      <c r="JO1112" s="232"/>
      <c r="JP1112" s="232"/>
      <c r="JQ1112" s="232"/>
      <c r="JR1112" s="232"/>
      <c r="JS1112" s="232"/>
      <c r="JT1112" s="232"/>
      <c r="JU1112" s="181" t="s">
        <v>752</v>
      </c>
      <c r="JV1112" s="181"/>
      <c r="JW1112" s="181"/>
    </row>
    <row r="1113" spans="1:283" s="229" customFormat="1" x14ac:dyDescent="0.25">
      <c r="A1113" s="181">
        <v>1112</v>
      </c>
      <c r="B1113" s="229" t="s">
        <v>7067</v>
      </c>
      <c r="C1113" s="230">
        <v>53</v>
      </c>
      <c r="D1113" s="181" t="s">
        <v>3914</v>
      </c>
      <c r="E1113" s="231" t="s">
        <v>741</v>
      </c>
      <c r="F1113" s="231"/>
      <c r="G1113" s="181" t="s">
        <v>742</v>
      </c>
      <c r="H1113" s="181">
        <v>2006</v>
      </c>
      <c r="I1113" s="181">
        <v>2002</v>
      </c>
      <c r="J1113" s="181" t="s">
        <v>743</v>
      </c>
      <c r="K1113" s="181" t="s">
        <v>744</v>
      </c>
      <c r="L1113" s="181" t="s">
        <v>2737</v>
      </c>
      <c r="M1113" s="231">
        <v>33.950000000000003</v>
      </c>
      <c r="N1113" s="231">
        <v>-83.38</v>
      </c>
      <c r="O1113" s="231">
        <v>208.4</v>
      </c>
      <c r="P1113" s="181"/>
      <c r="Q1113" s="181"/>
      <c r="R1113" s="181">
        <v>971</v>
      </c>
      <c r="S1113" s="231">
        <f>588+645</f>
        <v>1233</v>
      </c>
      <c r="T1113" s="181"/>
      <c r="U1113" s="181">
        <v>3</v>
      </c>
      <c r="V1113" s="181" t="s">
        <v>1688</v>
      </c>
      <c r="W1113" s="181"/>
      <c r="X1113" s="181"/>
      <c r="Y1113" s="181" t="s">
        <v>1923</v>
      </c>
      <c r="Z1113" s="181" t="s">
        <v>1356</v>
      </c>
      <c r="AA1113" s="231" t="s">
        <v>1680</v>
      </c>
      <c r="AB1113" s="232"/>
      <c r="AC1113" s="232"/>
      <c r="AD1113" s="231"/>
      <c r="AE1113" s="231">
        <f>650/1000*100</f>
        <v>65</v>
      </c>
      <c r="AF1113" s="231">
        <f>25</f>
        <v>25</v>
      </c>
      <c r="AG1113" s="231"/>
      <c r="AH1113" s="181" t="s">
        <v>238</v>
      </c>
      <c r="AI1113" s="181">
        <v>6.6</v>
      </c>
      <c r="AJ1113" s="231">
        <v>0.88</v>
      </c>
      <c r="AK1113" s="231"/>
      <c r="AL1113" s="181"/>
      <c r="AM1113" s="181" t="s">
        <v>1311</v>
      </c>
      <c r="AN1113" s="185" t="s">
        <v>1482</v>
      </c>
      <c r="AO1113" s="185" t="s">
        <v>5150</v>
      </c>
      <c r="AP1113" s="181"/>
      <c r="AQ1113" s="181" t="s">
        <v>1546</v>
      </c>
      <c r="AR1113" s="181" t="s">
        <v>560</v>
      </c>
      <c r="AS1113" s="181" t="s">
        <v>5133</v>
      </c>
      <c r="AT1113" s="181" t="s">
        <v>751</v>
      </c>
      <c r="AU1113" s="181" t="s">
        <v>5150</v>
      </c>
      <c r="AV1113" s="185" t="s">
        <v>479</v>
      </c>
      <c r="AW1113" s="181" t="s">
        <v>751</v>
      </c>
      <c r="AX1113" s="185" t="s">
        <v>479</v>
      </c>
      <c r="AY1113" s="181" t="s">
        <v>176</v>
      </c>
      <c r="AZ1113" s="181" t="s">
        <v>745</v>
      </c>
      <c r="BA1113" s="181" t="s">
        <v>745</v>
      </c>
      <c r="BB1113" s="181" t="s">
        <v>2081</v>
      </c>
      <c r="BC1113" s="181" t="s">
        <v>2081</v>
      </c>
      <c r="BD1113" s="181" t="s">
        <v>176</v>
      </c>
      <c r="BE1113" s="226" t="s">
        <v>318</v>
      </c>
      <c r="BF1113" s="191" t="s">
        <v>176</v>
      </c>
      <c r="BG1113" s="181" t="s">
        <v>176</v>
      </c>
      <c r="BH1113" s="226" t="s">
        <v>318</v>
      </c>
      <c r="BI1113" s="181" t="s">
        <v>176</v>
      </c>
      <c r="BJ1113" s="181" t="s">
        <v>176</v>
      </c>
      <c r="BK1113" s="181" t="s">
        <v>5976</v>
      </c>
      <c r="BL1113" s="181"/>
      <c r="BM1113" s="192" t="s">
        <v>119</v>
      </c>
      <c r="BN1113" s="181">
        <v>3</v>
      </c>
      <c r="BO1113" s="181">
        <v>3</v>
      </c>
      <c r="BP1113" s="181"/>
      <c r="BQ1113" s="181" t="s">
        <v>315</v>
      </c>
      <c r="BR1113" s="181"/>
      <c r="BS1113" s="181">
        <v>2280</v>
      </c>
      <c r="BT1113" s="181">
        <v>40</v>
      </c>
      <c r="BU1113" s="181"/>
      <c r="BV1113" s="181"/>
      <c r="BW1113" s="232"/>
      <c r="BX1113" s="232"/>
      <c r="BY1113" s="232"/>
      <c r="BZ1113" s="232"/>
      <c r="CA1113" s="232"/>
      <c r="CB1113" s="183">
        <v>480</v>
      </c>
      <c r="CC1113" s="183">
        <v>826</v>
      </c>
      <c r="CD1113" s="183"/>
      <c r="CE1113" s="232"/>
      <c r="CF1113" s="232"/>
      <c r="CG1113" s="232"/>
      <c r="CH1113" s="231"/>
      <c r="CI1113" s="231"/>
      <c r="CJ1113" s="232"/>
      <c r="CK1113" s="232"/>
      <c r="CL1113" s="232"/>
      <c r="CM1113" s="232"/>
      <c r="CN1113" s="232"/>
      <c r="CO1113" s="232"/>
      <c r="CP1113" s="232"/>
      <c r="CQ1113" s="232"/>
      <c r="CR1113" s="232"/>
      <c r="CS1113" s="232"/>
      <c r="CT1113" s="232"/>
      <c r="CU1113" s="232"/>
      <c r="CV1113" s="232"/>
      <c r="CW1113" s="232"/>
      <c r="CX1113" s="232"/>
      <c r="CY1113" s="232"/>
      <c r="CZ1113" s="232"/>
      <c r="DA1113" s="232"/>
      <c r="DB1113" s="232"/>
      <c r="DC1113" s="232"/>
      <c r="DD1113" s="232"/>
      <c r="DE1113" s="232"/>
      <c r="DF1113" s="232"/>
      <c r="DG1113" s="232"/>
      <c r="DH1113" s="232"/>
      <c r="DI1113" s="232"/>
      <c r="DJ1113" s="232"/>
      <c r="DK1113" s="232"/>
      <c r="DL1113" s="232"/>
      <c r="DM1113" s="232"/>
      <c r="DN1113" s="232"/>
      <c r="DO1113" s="232"/>
      <c r="DP1113" s="232"/>
      <c r="DQ1113" s="233"/>
      <c r="DR1113" s="233"/>
      <c r="DS1113" s="232"/>
      <c r="DT1113" s="232"/>
      <c r="DU1113" s="232"/>
      <c r="DV1113" s="232"/>
      <c r="DW1113" s="232"/>
      <c r="DX1113" s="232"/>
      <c r="DY1113" s="232"/>
      <c r="DZ1113" s="232"/>
      <c r="EA1113" s="232"/>
      <c r="EB1113" s="232"/>
      <c r="EC1113" s="232"/>
      <c r="ED1113" s="232"/>
      <c r="EE1113" s="232"/>
      <c r="EF1113" s="232"/>
      <c r="EG1113" s="232"/>
      <c r="EH1113" s="232"/>
      <c r="EI1113" s="232"/>
      <c r="EJ1113" s="232"/>
      <c r="EK1113" s="231"/>
      <c r="EL1113" s="231"/>
      <c r="EM1113" s="232"/>
      <c r="EN1113" s="232"/>
      <c r="EO1113" s="232"/>
      <c r="EP1113" s="232"/>
      <c r="EQ1113" s="232"/>
      <c r="ER1113" s="232"/>
      <c r="ES1113" s="232"/>
      <c r="ET1113" s="232"/>
      <c r="EU1113" s="232"/>
      <c r="EV1113" s="232"/>
      <c r="EW1113" s="232"/>
      <c r="EX1113" s="232"/>
      <c r="EY1113" s="232"/>
      <c r="EZ1113" s="232"/>
      <c r="FA1113" s="232"/>
      <c r="FB1113" s="232"/>
      <c r="FC1113" s="232"/>
      <c r="FD1113" s="232"/>
      <c r="FE1113" s="232"/>
      <c r="FF1113" s="232"/>
      <c r="FG1113" s="232"/>
      <c r="FH1113" s="232"/>
      <c r="FI1113" s="232"/>
      <c r="FJ1113" s="232"/>
      <c r="FK1113" s="232"/>
      <c r="FL1113" s="232"/>
      <c r="FM1113" s="232"/>
      <c r="FN1113" s="232"/>
      <c r="FO1113" s="232"/>
      <c r="FP1113" s="232"/>
      <c r="FQ1113" s="232"/>
      <c r="FR1113" s="232"/>
      <c r="FS1113" s="232"/>
      <c r="FT1113" s="232"/>
      <c r="FU1113" s="232"/>
      <c r="FV1113" s="232"/>
      <c r="FW1113" s="232"/>
      <c r="FX1113" s="232"/>
      <c r="FY1113" s="232"/>
      <c r="FZ1113" s="232"/>
      <c r="GA1113" s="232"/>
      <c r="GB1113" s="232"/>
      <c r="GC1113" s="232"/>
      <c r="GD1113" s="232"/>
      <c r="GE1113" s="232"/>
      <c r="GF1113" s="232"/>
      <c r="GG1113" s="232"/>
      <c r="GH1113" s="232"/>
      <c r="GI1113" s="232"/>
      <c r="GJ1113" s="232"/>
      <c r="GK1113" s="232"/>
      <c r="GL1113" s="232"/>
      <c r="GM1113" s="232"/>
      <c r="GN1113" s="294"/>
      <c r="GO1113" s="294"/>
      <c r="GP1113" s="292" t="s">
        <v>7494</v>
      </c>
      <c r="GQ1113" s="232"/>
      <c r="GR1113" s="232"/>
      <c r="GS1113" s="232"/>
      <c r="GT1113" s="232"/>
      <c r="GU1113" s="232"/>
      <c r="GV1113" s="232"/>
      <c r="GW1113" s="232"/>
      <c r="GX1113" s="232"/>
      <c r="GY1113" s="232"/>
      <c r="GZ1113" s="232"/>
      <c r="HA1113" s="232"/>
      <c r="HB1113" s="232"/>
      <c r="HC1113" s="232"/>
      <c r="HD1113" s="232"/>
      <c r="HE1113" s="232"/>
      <c r="HF1113" s="232"/>
      <c r="HG1113" s="232"/>
      <c r="HH1113" s="232"/>
      <c r="HI1113" s="232"/>
      <c r="HJ1113" s="232"/>
      <c r="HK1113" s="232"/>
      <c r="HL1113" s="232"/>
      <c r="HM1113" s="232"/>
      <c r="HN1113" s="232"/>
      <c r="HO1113" s="232"/>
      <c r="HP1113" s="232"/>
      <c r="HQ1113" s="232"/>
      <c r="HR1113" s="232"/>
      <c r="HS1113" s="232"/>
      <c r="HT1113" s="232"/>
      <c r="HU1113" s="232"/>
      <c r="HV1113" s="232"/>
      <c r="HW1113" s="232"/>
      <c r="HX1113" s="232"/>
      <c r="HY1113" s="232"/>
      <c r="HZ1113" s="232"/>
      <c r="IA1113" s="232"/>
      <c r="IB1113" s="232"/>
      <c r="IC1113" s="232">
        <v>8</v>
      </c>
      <c r="ID1113" s="232">
        <v>14</v>
      </c>
      <c r="IE1113" s="232"/>
      <c r="IF1113" s="232"/>
      <c r="IG1113" s="232" t="s">
        <v>1658</v>
      </c>
      <c r="IH1113" s="232"/>
      <c r="II1113" s="232"/>
      <c r="IJ1113" s="232"/>
      <c r="IK1113" s="232"/>
      <c r="IL1113" s="232"/>
      <c r="IM1113" s="232"/>
      <c r="IN1113" s="232"/>
      <c r="IO1113" s="232"/>
      <c r="IP1113" s="232"/>
      <c r="IQ1113" s="232"/>
      <c r="IR1113" s="232"/>
      <c r="IS1113" s="232"/>
      <c r="IT1113" s="232"/>
      <c r="IU1113" s="232"/>
      <c r="IV1113" s="232"/>
      <c r="IW1113" s="232"/>
      <c r="IX1113" s="232"/>
      <c r="IY1113" s="232"/>
      <c r="IZ1113" s="232"/>
      <c r="JA1113" s="232"/>
      <c r="JB1113" s="232"/>
      <c r="JC1113" s="232"/>
      <c r="JD1113" s="232"/>
      <c r="JE1113" s="232"/>
      <c r="JF1113" s="232"/>
      <c r="JG1113" s="232"/>
      <c r="JH1113" s="232"/>
      <c r="JI1113" s="232"/>
      <c r="JJ1113" s="232"/>
      <c r="JK1113" s="232"/>
      <c r="JL1113" s="232"/>
      <c r="JM1113" s="232"/>
      <c r="JN1113" s="232"/>
      <c r="JO1113" s="232"/>
      <c r="JP1113" s="232"/>
      <c r="JQ1113" s="232"/>
      <c r="JR1113" s="232"/>
      <c r="JS1113" s="232"/>
      <c r="JT1113" s="232"/>
      <c r="JU1113" s="181" t="s">
        <v>752</v>
      </c>
      <c r="JV1113" s="181"/>
      <c r="JW1113" s="181"/>
    </row>
    <row r="1114" spans="1:283" s="229" customFormat="1" x14ac:dyDescent="0.25">
      <c r="A1114" s="181">
        <v>1113</v>
      </c>
      <c r="B1114" s="229" t="s">
        <v>7067</v>
      </c>
      <c r="C1114" s="230">
        <v>53</v>
      </c>
      <c r="D1114" s="181" t="s">
        <v>3914</v>
      </c>
      <c r="E1114" s="231" t="s">
        <v>741</v>
      </c>
      <c r="F1114" s="231"/>
      <c r="G1114" s="181" t="s">
        <v>742</v>
      </c>
      <c r="H1114" s="181">
        <v>2006</v>
      </c>
      <c r="I1114" s="181">
        <v>2002</v>
      </c>
      <c r="J1114" s="181" t="s">
        <v>743</v>
      </c>
      <c r="K1114" s="181" t="s">
        <v>744</v>
      </c>
      <c r="L1114" s="181" t="s">
        <v>2737</v>
      </c>
      <c r="M1114" s="231">
        <v>33.950000000000003</v>
      </c>
      <c r="N1114" s="231">
        <v>-83.38</v>
      </c>
      <c r="O1114" s="231">
        <v>208.4</v>
      </c>
      <c r="P1114" s="181"/>
      <c r="Q1114" s="181"/>
      <c r="R1114" s="181">
        <v>971</v>
      </c>
      <c r="S1114" s="231">
        <f>588+645</f>
        <v>1233</v>
      </c>
      <c r="T1114" s="181"/>
      <c r="U1114" s="181">
        <v>3</v>
      </c>
      <c r="V1114" s="181" t="s">
        <v>1688</v>
      </c>
      <c r="W1114" s="181"/>
      <c r="X1114" s="181"/>
      <c r="Y1114" s="181" t="s">
        <v>1923</v>
      </c>
      <c r="Z1114" s="181" t="s">
        <v>1356</v>
      </c>
      <c r="AA1114" s="231" t="s">
        <v>1680</v>
      </c>
      <c r="AB1114" s="232"/>
      <c r="AC1114" s="232"/>
      <c r="AD1114" s="231"/>
      <c r="AE1114" s="231">
        <f>650/1000*100</f>
        <v>65</v>
      </c>
      <c r="AF1114" s="231">
        <f>25</f>
        <v>25</v>
      </c>
      <c r="AG1114" s="231"/>
      <c r="AH1114" s="181" t="s">
        <v>238</v>
      </c>
      <c r="AI1114" s="181">
        <v>6.6</v>
      </c>
      <c r="AJ1114" s="231">
        <v>0.88</v>
      </c>
      <c r="AK1114" s="231"/>
      <c r="AL1114" s="181"/>
      <c r="AM1114" s="181" t="s">
        <v>1311</v>
      </c>
      <c r="AN1114" s="185" t="s">
        <v>1482</v>
      </c>
      <c r="AO1114" s="185" t="s">
        <v>5150</v>
      </c>
      <c r="AP1114" s="181"/>
      <c r="AQ1114" s="181" t="s">
        <v>1546</v>
      </c>
      <c r="AR1114" s="181" t="s">
        <v>560</v>
      </c>
      <c r="AS1114" s="181" t="s">
        <v>5133</v>
      </c>
      <c r="AT1114" s="181" t="s">
        <v>751</v>
      </c>
      <c r="AU1114" s="181" t="s">
        <v>5150</v>
      </c>
      <c r="AV1114" s="185" t="s">
        <v>479</v>
      </c>
      <c r="AW1114" s="181" t="s">
        <v>751</v>
      </c>
      <c r="AX1114" s="185" t="s">
        <v>479</v>
      </c>
      <c r="AY1114" s="181" t="s">
        <v>176</v>
      </c>
      <c r="AZ1114" s="181" t="s">
        <v>746</v>
      </c>
      <c r="BA1114" s="181" t="s">
        <v>746</v>
      </c>
      <c r="BB1114" s="181" t="s">
        <v>2081</v>
      </c>
      <c r="BC1114" s="181" t="s">
        <v>2081</v>
      </c>
      <c r="BD1114" s="181" t="s">
        <v>176</v>
      </c>
      <c r="BE1114" s="226" t="s">
        <v>318</v>
      </c>
      <c r="BF1114" s="191" t="s">
        <v>176</v>
      </c>
      <c r="BG1114" s="181" t="s">
        <v>176</v>
      </c>
      <c r="BH1114" s="226" t="s">
        <v>318</v>
      </c>
      <c r="BI1114" s="181" t="s">
        <v>176</v>
      </c>
      <c r="BJ1114" s="181" t="s">
        <v>176</v>
      </c>
      <c r="BK1114" s="181" t="s">
        <v>5976</v>
      </c>
      <c r="BL1114" s="181"/>
      <c r="BM1114" s="192" t="s">
        <v>119</v>
      </c>
      <c r="BN1114" s="181">
        <v>3</v>
      </c>
      <c r="BO1114" s="181">
        <v>3</v>
      </c>
      <c r="BP1114" s="181"/>
      <c r="BQ1114" s="181" t="s">
        <v>315</v>
      </c>
      <c r="BR1114" s="181"/>
      <c r="BS1114" s="181">
        <v>2280</v>
      </c>
      <c r="BT1114" s="181">
        <v>40</v>
      </c>
      <c r="BU1114" s="181"/>
      <c r="BV1114" s="181"/>
      <c r="BW1114" s="232"/>
      <c r="BX1114" s="232"/>
      <c r="BY1114" s="232"/>
      <c r="BZ1114" s="232"/>
      <c r="CA1114" s="232"/>
      <c r="CB1114" s="183">
        <v>802</v>
      </c>
      <c r="CC1114" s="183">
        <v>1546</v>
      </c>
      <c r="CD1114" s="183"/>
      <c r="CE1114" s="232"/>
      <c r="CF1114" s="232"/>
      <c r="CG1114" s="232"/>
      <c r="CH1114" s="231"/>
      <c r="CI1114" s="231"/>
      <c r="CJ1114" s="232"/>
      <c r="CK1114" s="232"/>
      <c r="CL1114" s="232"/>
      <c r="CM1114" s="232"/>
      <c r="CN1114" s="232"/>
      <c r="CO1114" s="232"/>
      <c r="CP1114" s="232"/>
      <c r="CQ1114" s="232"/>
      <c r="CR1114" s="232"/>
      <c r="CS1114" s="232"/>
      <c r="CT1114" s="232"/>
      <c r="CU1114" s="232"/>
      <c r="CV1114" s="232"/>
      <c r="CW1114" s="232"/>
      <c r="CX1114" s="232"/>
      <c r="CY1114" s="232"/>
      <c r="CZ1114" s="232"/>
      <c r="DA1114" s="232"/>
      <c r="DB1114" s="232"/>
      <c r="DC1114" s="232"/>
      <c r="DD1114" s="232"/>
      <c r="DE1114" s="232"/>
      <c r="DF1114" s="232"/>
      <c r="DG1114" s="232"/>
      <c r="DH1114" s="232"/>
      <c r="DI1114" s="232"/>
      <c r="DJ1114" s="232"/>
      <c r="DK1114" s="232"/>
      <c r="DL1114" s="232"/>
      <c r="DM1114" s="232"/>
      <c r="DN1114" s="232"/>
      <c r="DO1114" s="232"/>
      <c r="DP1114" s="232"/>
      <c r="DQ1114" s="233"/>
      <c r="DR1114" s="233"/>
      <c r="DS1114" s="232"/>
      <c r="DT1114" s="232"/>
      <c r="DU1114" s="232"/>
      <c r="DV1114" s="232"/>
      <c r="DW1114" s="232"/>
      <c r="DX1114" s="232"/>
      <c r="DY1114" s="232"/>
      <c r="DZ1114" s="232"/>
      <c r="EA1114" s="232"/>
      <c r="EB1114" s="232"/>
      <c r="EC1114" s="232"/>
      <c r="ED1114" s="232"/>
      <c r="EE1114" s="232"/>
      <c r="EF1114" s="232"/>
      <c r="EG1114" s="232"/>
      <c r="EH1114" s="232"/>
      <c r="EI1114" s="232"/>
      <c r="EJ1114" s="232"/>
      <c r="EK1114" s="231"/>
      <c r="EL1114" s="231"/>
      <c r="EM1114" s="232"/>
      <c r="EN1114" s="232"/>
      <c r="EO1114" s="232"/>
      <c r="EP1114" s="232"/>
      <c r="EQ1114" s="232"/>
      <c r="ER1114" s="232"/>
      <c r="ES1114" s="232"/>
      <c r="ET1114" s="232"/>
      <c r="EU1114" s="232"/>
      <c r="EV1114" s="232"/>
      <c r="EW1114" s="232"/>
      <c r="EX1114" s="232"/>
      <c r="EY1114" s="232"/>
      <c r="EZ1114" s="232"/>
      <c r="FA1114" s="232"/>
      <c r="FB1114" s="232"/>
      <c r="FC1114" s="232"/>
      <c r="FD1114" s="232"/>
      <c r="FE1114" s="232"/>
      <c r="FF1114" s="232"/>
      <c r="FG1114" s="232"/>
      <c r="FH1114" s="232"/>
      <c r="FI1114" s="232"/>
      <c r="FJ1114" s="232"/>
      <c r="FK1114" s="232"/>
      <c r="FL1114" s="232"/>
      <c r="FM1114" s="232"/>
      <c r="FN1114" s="232"/>
      <c r="FO1114" s="232"/>
      <c r="FP1114" s="232"/>
      <c r="FQ1114" s="232"/>
      <c r="FR1114" s="232"/>
      <c r="FS1114" s="232"/>
      <c r="FT1114" s="232"/>
      <c r="FU1114" s="232"/>
      <c r="FV1114" s="232"/>
      <c r="FW1114" s="232"/>
      <c r="FX1114" s="232"/>
      <c r="FY1114" s="232"/>
      <c r="FZ1114" s="232"/>
      <c r="GA1114" s="232"/>
      <c r="GB1114" s="232"/>
      <c r="GC1114" s="232"/>
      <c r="GD1114" s="232"/>
      <c r="GE1114" s="232"/>
      <c r="GF1114" s="232"/>
      <c r="GG1114" s="232"/>
      <c r="GH1114" s="232"/>
      <c r="GI1114" s="232"/>
      <c r="GJ1114" s="232"/>
      <c r="GK1114" s="232"/>
      <c r="GL1114" s="232"/>
      <c r="GM1114" s="232"/>
      <c r="GN1114" s="294"/>
      <c r="GO1114" s="294"/>
      <c r="GP1114" s="292" t="s">
        <v>7494</v>
      </c>
      <c r="GQ1114" s="232"/>
      <c r="GR1114" s="232"/>
      <c r="GS1114" s="232"/>
      <c r="GT1114" s="232"/>
      <c r="GU1114" s="232"/>
      <c r="GV1114" s="232"/>
      <c r="GW1114" s="232"/>
      <c r="GX1114" s="232"/>
      <c r="GY1114" s="232"/>
      <c r="GZ1114" s="232"/>
      <c r="HA1114" s="232"/>
      <c r="HB1114" s="232"/>
      <c r="HC1114" s="232"/>
      <c r="HD1114" s="232"/>
      <c r="HE1114" s="232"/>
      <c r="HF1114" s="232"/>
      <c r="HG1114" s="232"/>
      <c r="HH1114" s="232"/>
      <c r="HI1114" s="232"/>
      <c r="HJ1114" s="232"/>
      <c r="HK1114" s="232"/>
      <c r="HL1114" s="232"/>
      <c r="HM1114" s="232"/>
      <c r="HN1114" s="232"/>
      <c r="HO1114" s="232"/>
      <c r="HP1114" s="232"/>
      <c r="HQ1114" s="232"/>
      <c r="HR1114" s="232"/>
      <c r="HS1114" s="232"/>
      <c r="HT1114" s="232"/>
      <c r="HU1114" s="232"/>
      <c r="HV1114" s="232"/>
      <c r="HW1114" s="232"/>
      <c r="HX1114" s="232"/>
      <c r="HY1114" s="232"/>
      <c r="HZ1114" s="232"/>
      <c r="IA1114" s="232"/>
      <c r="IB1114" s="232"/>
      <c r="IC1114" s="232">
        <v>14</v>
      </c>
      <c r="ID1114" s="232">
        <v>22</v>
      </c>
      <c r="IE1114" s="232"/>
      <c r="IF1114" s="232"/>
      <c r="IG1114" s="232" t="s">
        <v>1658</v>
      </c>
      <c r="IH1114" s="232"/>
      <c r="II1114" s="232"/>
      <c r="IJ1114" s="232"/>
      <c r="IK1114" s="232"/>
      <c r="IL1114" s="232"/>
      <c r="IM1114" s="232"/>
      <c r="IN1114" s="232"/>
      <c r="IO1114" s="232"/>
      <c r="IP1114" s="232"/>
      <c r="IQ1114" s="232"/>
      <c r="IR1114" s="232"/>
      <c r="IS1114" s="232"/>
      <c r="IT1114" s="232"/>
      <c r="IU1114" s="232"/>
      <c r="IV1114" s="232"/>
      <c r="IW1114" s="232"/>
      <c r="IX1114" s="232"/>
      <c r="IY1114" s="232"/>
      <c r="IZ1114" s="232"/>
      <c r="JA1114" s="232"/>
      <c r="JB1114" s="232"/>
      <c r="JC1114" s="232"/>
      <c r="JD1114" s="232"/>
      <c r="JE1114" s="232"/>
      <c r="JF1114" s="232"/>
      <c r="JG1114" s="232"/>
      <c r="JH1114" s="232"/>
      <c r="JI1114" s="232"/>
      <c r="JJ1114" s="232"/>
      <c r="JK1114" s="232"/>
      <c r="JL1114" s="232"/>
      <c r="JM1114" s="232"/>
      <c r="JN1114" s="232"/>
      <c r="JO1114" s="232"/>
      <c r="JP1114" s="232"/>
      <c r="JQ1114" s="232"/>
      <c r="JR1114" s="232"/>
      <c r="JS1114" s="232"/>
      <c r="JT1114" s="232"/>
      <c r="JU1114" s="181" t="s">
        <v>752</v>
      </c>
      <c r="JV1114" s="181"/>
      <c r="JW1114" s="181"/>
    </row>
    <row r="1115" spans="1:283" s="229" customFormat="1" x14ac:dyDescent="0.25">
      <c r="A1115" s="181">
        <v>1114</v>
      </c>
      <c r="B1115" s="229" t="s">
        <v>7067</v>
      </c>
      <c r="C1115" s="230">
        <v>53</v>
      </c>
      <c r="D1115" s="181" t="s">
        <v>3914</v>
      </c>
      <c r="E1115" s="231" t="s">
        <v>741</v>
      </c>
      <c r="F1115" s="231"/>
      <c r="G1115" s="181" t="s">
        <v>742</v>
      </c>
      <c r="H1115" s="181">
        <v>2006</v>
      </c>
      <c r="I1115" s="181">
        <v>2002</v>
      </c>
      <c r="J1115" s="181" t="s">
        <v>743</v>
      </c>
      <c r="K1115" s="181" t="s">
        <v>744</v>
      </c>
      <c r="L1115" s="181" t="s">
        <v>2737</v>
      </c>
      <c r="M1115" s="231">
        <v>33.950000000000003</v>
      </c>
      <c r="N1115" s="231">
        <v>-83.38</v>
      </c>
      <c r="O1115" s="231">
        <v>208.4</v>
      </c>
      <c r="P1115" s="181"/>
      <c r="Q1115" s="181"/>
      <c r="R1115" s="181">
        <v>971</v>
      </c>
      <c r="S1115" s="231">
        <f>588+645</f>
        <v>1233</v>
      </c>
      <c r="T1115" s="181"/>
      <c r="U1115" s="181">
        <v>3</v>
      </c>
      <c r="V1115" s="181" t="s">
        <v>1688</v>
      </c>
      <c r="W1115" s="181"/>
      <c r="X1115" s="181"/>
      <c r="Y1115" s="181" t="s">
        <v>1923</v>
      </c>
      <c r="Z1115" s="181" t="s">
        <v>1356</v>
      </c>
      <c r="AA1115" s="231" t="s">
        <v>1680</v>
      </c>
      <c r="AB1115" s="232"/>
      <c r="AC1115" s="232"/>
      <c r="AD1115" s="231"/>
      <c r="AE1115" s="231">
        <f>650/1000*100</f>
        <v>65</v>
      </c>
      <c r="AF1115" s="231">
        <f>25</f>
        <v>25</v>
      </c>
      <c r="AG1115" s="231"/>
      <c r="AH1115" s="181" t="s">
        <v>238</v>
      </c>
      <c r="AI1115" s="181">
        <v>6.6</v>
      </c>
      <c r="AJ1115" s="231">
        <v>0.88</v>
      </c>
      <c r="AK1115" s="231"/>
      <c r="AL1115" s="181"/>
      <c r="AM1115" s="181" t="s">
        <v>1311</v>
      </c>
      <c r="AN1115" s="185" t="s">
        <v>1482</v>
      </c>
      <c r="AO1115" s="185" t="s">
        <v>5150</v>
      </c>
      <c r="AP1115" s="181"/>
      <c r="AQ1115" s="181" t="s">
        <v>1546</v>
      </c>
      <c r="AR1115" s="181" t="s">
        <v>560</v>
      </c>
      <c r="AS1115" s="181" t="s">
        <v>5133</v>
      </c>
      <c r="AT1115" s="181" t="s">
        <v>751</v>
      </c>
      <c r="AU1115" s="181" t="s">
        <v>5150</v>
      </c>
      <c r="AV1115" s="185" t="s">
        <v>479</v>
      </c>
      <c r="AW1115" s="181" t="s">
        <v>751</v>
      </c>
      <c r="AX1115" s="185" t="s">
        <v>479</v>
      </c>
      <c r="AY1115" s="181" t="s">
        <v>176</v>
      </c>
      <c r="AZ1115" s="181" t="s">
        <v>156</v>
      </c>
      <c r="BA1115" s="181" t="s">
        <v>156</v>
      </c>
      <c r="BB1115" s="181" t="s">
        <v>2082</v>
      </c>
      <c r="BC1115" s="181" t="s">
        <v>2082</v>
      </c>
      <c r="BD1115" s="181" t="s">
        <v>176</v>
      </c>
      <c r="BE1115" s="226" t="s">
        <v>747</v>
      </c>
      <c r="BF1115" s="191" t="s">
        <v>479</v>
      </c>
      <c r="BG1115" s="181" t="s">
        <v>479</v>
      </c>
      <c r="BH1115" s="226" t="s">
        <v>747</v>
      </c>
      <c r="BI1115" s="181" t="s">
        <v>479</v>
      </c>
      <c r="BJ1115" s="181" t="s">
        <v>176</v>
      </c>
      <c r="BK1115" s="181" t="s">
        <v>6269</v>
      </c>
      <c r="BL1115" s="181"/>
      <c r="BM1115" s="192" t="s">
        <v>119</v>
      </c>
      <c r="BN1115" s="181">
        <v>3</v>
      </c>
      <c r="BO1115" s="181">
        <v>3</v>
      </c>
      <c r="BP1115" s="181"/>
      <c r="BQ1115" s="181" t="s">
        <v>315</v>
      </c>
      <c r="BR1115" s="181"/>
      <c r="BS1115" s="181">
        <v>5160</v>
      </c>
      <c r="BT1115" s="181">
        <v>10</v>
      </c>
      <c r="BU1115" s="181"/>
      <c r="BV1115" s="181"/>
      <c r="BW1115" s="232"/>
      <c r="BX1115" s="232"/>
      <c r="BY1115" s="232"/>
      <c r="BZ1115" s="232"/>
      <c r="CA1115" s="232"/>
      <c r="CB1115" s="183">
        <v>814</v>
      </c>
      <c r="CC1115" s="183">
        <v>640</v>
      </c>
      <c r="CD1115" s="183"/>
      <c r="CE1115" s="232"/>
      <c r="CF1115" s="232"/>
      <c r="CG1115" s="232"/>
      <c r="CH1115" s="231"/>
      <c r="CI1115" s="231"/>
      <c r="CJ1115" s="232"/>
      <c r="CK1115" s="232"/>
      <c r="CL1115" s="232"/>
      <c r="CM1115" s="232"/>
      <c r="CN1115" s="232"/>
      <c r="CO1115" s="232"/>
      <c r="CP1115" s="232"/>
      <c r="CQ1115" s="232"/>
      <c r="CR1115" s="232"/>
      <c r="CS1115" s="232"/>
      <c r="CT1115" s="232"/>
      <c r="CU1115" s="232"/>
      <c r="CV1115" s="232"/>
      <c r="CW1115" s="232"/>
      <c r="CX1115" s="232"/>
      <c r="CY1115" s="232"/>
      <c r="CZ1115" s="232"/>
      <c r="DA1115" s="232"/>
      <c r="DB1115" s="232"/>
      <c r="DC1115" s="232"/>
      <c r="DD1115" s="232"/>
      <c r="DE1115" s="232"/>
      <c r="DF1115" s="232"/>
      <c r="DG1115" s="232"/>
      <c r="DH1115" s="232"/>
      <c r="DI1115" s="232"/>
      <c r="DJ1115" s="232"/>
      <c r="DK1115" s="232"/>
      <c r="DL1115" s="232"/>
      <c r="DM1115" s="232"/>
      <c r="DN1115" s="232"/>
      <c r="DO1115" s="232"/>
      <c r="DP1115" s="232"/>
      <c r="DQ1115" s="233"/>
      <c r="DR1115" s="233"/>
      <c r="DS1115" s="232"/>
      <c r="DT1115" s="232"/>
      <c r="DU1115" s="232"/>
      <c r="DV1115" s="232"/>
      <c r="DW1115" s="232"/>
      <c r="DX1115" s="232"/>
      <c r="DY1115" s="232"/>
      <c r="DZ1115" s="232"/>
      <c r="EA1115" s="232"/>
      <c r="EB1115" s="232"/>
      <c r="EC1115" s="232"/>
      <c r="ED1115" s="232"/>
      <c r="EE1115" s="232"/>
      <c r="EF1115" s="232"/>
      <c r="EG1115" s="232"/>
      <c r="EH1115" s="232"/>
      <c r="EI1115" s="232"/>
      <c r="EJ1115" s="232"/>
      <c r="EK1115" s="231"/>
      <c r="EL1115" s="231"/>
      <c r="EM1115" s="232"/>
      <c r="EN1115" s="232"/>
      <c r="EO1115" s="232"/>
      <c r="EP1115" s="232"/>
      <c r="EQ1115" s="232"/>
      <c r="ER1115" s="232"/>
      <c r="ES1115" s="232"/>
      <c r="ET1115" s="232"/>
      <c r="EU1115" s="232"/>
      <c r="EV1115" s="232"/>
      <c r="EW1115" s="232"/>
      <c r="EX1115" s="232"/>
      <c r="EY1115" s="232"/>
      <c r="EZ1115" s="232"/>
      <c r="FA1115" s="232"/>
      <c r="FB1115" s="232"/>
      <c r="FC1115" s="232"/>
      <c r="FD1115" s="232"/>
      <c r="FE1115" s="232"/>
      <c r="FF1115" s="232"/>
      <c r="FG1115" s="232"/>
      <c r="FH1115" s="232"/>
      <c r="FI1115" s="232"/>
      <c r="FJ1115" s="232"/>
      <c r="FK1115" s="232"/>
      <c r="FL1115" s="232"/>
      <c r="FM1115" s="232"/>
      <c r="FN1115" s="232"/>
      <c r="FO1115" s="232"/>
      <c r="FP1115" s="232"/>
      <c r="FQ1115" s="232"/>
      <c r="FR1115" s="232"/>
      <c r="FS1115" s="232"/>
      <c r="FT1115" s="232"/>
      <c r="FU1115" s="232"/>
      <c r="FV1115" s="232"/>
      <c r="FW1115" s="232"/>
      <c r="FX1115" s="232"/>
      <c r="FY1115" s="232"/>
      <c r="FZ1115" s="232"/>
      <c r="GA1115" s="232"/>
      <c r="GB1115" s="232"/>
      <c r="GC1115" s="232"/>
      <c r="GD1115" s="232"/>
      <c r="GE1115" s="232"/>
      <c r="GF1115" s="232"/>
      <c r="GG1115" s="232"/>
      <c r="GH1115" s="232"/>
      <c r="GI1115" s="232"/>
      <c r="GJ1115" s="232"/>
      <c r="GK1115" s="232"/>
      <c r="GL1115" s="232"/>
      <c r="GM1115" s="232"/>
      <c r="GN1115" s="294"/>
      <c r="GO1115" s="294"/>
      <c r="GP1115" s="292" t="s">
        <v>7494</v>
      </c>
      <c r="GQ1115" s="232"/>
      <c r="GR1115" s="232"/>
      <c r="GS1115" s="232"/>
      <c r="GT1115" s="232"/>
      <c r="GU1115" s="232"/>
      <c r="GV1115" s="232"/>
      <c r="GW1115" s="232"/>
      <c r="GX1115" s="232"/>
      <c r="GY1115" s="232"/>
      <c r="GZ1115" s="232"/>
      <c r="HA1115" s="232"/>
      <c r="HB1115" s="232"/>
      <c r="HC1115" s="232"/>
      <c r="HD1115" s="232"/>
      <c r="HE1115" s="232"/>
      <c r="HF1115" s="232"/>
      <c r="HG1115" s="232"/>
      <c r="HH1115" s="232"/>
      <c r="HI1115" s="232"/>
      <c r="HJ1115" s="232"/>
      <c r="HK1115" s="232"/>
      <c r="HL1115" s="232"/>
      <c r="HM1115" s="232"/>
      <c r="HN1115" s="232"/>
      <c r="HO1115" s="232"/>
      <c r="HP1115" s="232"/>
      <c r="HQ1115" s="232"/>
      <c r="HR1115" s="232"/>
      <c r="HS1115" s="232"/>
      <c r="HT1115" s="232"/>
      <c r="HU1115" s="232"/>
      <c r="HV1115" s="232"/>
      <c r="HW1115" s="232"/>
      <c r="HX1115" s="232"/>
      <c r="HY1115" s="232"/>
      <c r="HZ1115" s="232"/>
      <c r="IA1115" s="232"/>
      <c r="IB1115" s="232"/>
      <c r="IC1115" s="232">
        <v>11</v>
      </c>
      <c r="ID1115" s="232">
        <v>12</v>
      </c>
      <c r="IE1115" s="232"/>
      <c r="IF1115" s="232"/>
      <c r="IG1115" s="232" t="s">
        <v>1658</v>
      </c>
      <c r="IH1115" s="232"/>
      <c r="II1115" s="232"/>
      <c r="IJ1115" s="232"/>
      <c r="IK1115" s="232"/>
      <c r="IL1115" s="232"/>
      <c r="IM1115" s="232"/>
      <c r="IN1115" s="232"/>
      <c r="IO1115" s="232"/>
      <c r="IP1115" s="232"/>
      <c r="IQ1115" s="232"/>
      <c r="IR1115" s="232"/>
      <c r="IS1115" s="232"/>
      <c r="IT1115" s="232"/>
      <c r="IU1115" s="232"/>
      <c r="IV1115" s="232"/>
      <c r="IW1115" s="232"/>
      <c r="IX1115" s="232"/>
      <c r="IY1115" s="232"/>
      <c r="IZ1115" s="232"/>
      <c r="JA1115" s="232"/>
      <c r="JB1115" s="232"/>
      <c r="JC1115" s="232"/>
      <c r="JD1115" s="232"/>
      <c r="JE1115" s="232"/>
      <c r="JF1115" s="232"/>
      <c r="JG1115" s="232"/>
      <c r="JH1115" s="232"/>
      <c r="JI1115" s="232"/>
      <c r="JJ1115" s="232"/>
      <c r="JK1115" s="232"/>
      <c r="JL1115" s="232"/>
      <c r="JM1115" s="232"/>
      <c r="JN1115" s="232"/>
      <c r="JO1115" s="232"/>
      <c r="JP1115" s="232"/>
      <c r="JQ1115" s="232"/>
      <c r="JR1115" s="232"/>
      <c r="JS1115" s="232"/>
      <c r="JT1115" s="232"/>
      <c r="JU1115" s="181" t="s">
        <v>752</v>
      </c>
      <c r="JV1115" s="181"/>
      <c r="JW1115" s="181"/>
    </row>
    <row r="1116" spans="1:283" s="229" customFormat="1" x14ac:dyDescent="0.25">
      <c r="A1116" s="181">
        <v>1115</v>
      </c>
      <c r="B1116" s="229" t="s">
        <v>7067</v>
      </c>
      <c r="C1116" s="230">
        <v>53</v>
      </c>
      <c r="D1116" s="181" t="s">
        <v>3914</v>
      </c>
      <c r="E1116" s="231" t="s">
        <v>741</v>
      </c>
      <c r="F1116" s="231"/>
      <c r="G1116" s="181" t="s">
        <v>742</v>
      </c>
      <c r="H1116" s="181">
        <v>2006</v>
      </c>
      <c r="I1116" s="181">
        <v>2002</v>
      </c>
      <c r="J1116" s="181" t="s">
        <v>743</v>
      </c>
      <c r="K1116" s="181" t="s">
        <v>744</v>
      </c>
      <c r="L1116" s="181" t="s">
        <v>2737</v>
      </c>
      <c r="M1116" s="231">
        <v>33.950000000000003</v>
      </c>
      <c r="N1116" s="231">
        <v>-83.38</v>
      </c>
      <c r="O1116" s="231">
        <v>208.4</v>
      </c>
      <c r="P1116" s="181"/>
      <c r="Q1116" s="181"/>
      <c r="R1116" s="181">
        <v>971</v>
      </c>
      <c r="S1116" s="231">
        <f>588+645</f>
        <v>1233</v>
      </c>
      <c r="T1116" s="181"/>
      <c r="U1116" s="181">
        <v>3</v>
      </c>
      <c r="V1116" s="181" t="s">
        <v>1688</v>
      </c>
      <c r="W1116" s="181"/>
      <c r="X1116" s="181"/>
      <c r="Y1116" s="181" t="s">
        <v>1923</v>
      </c>
      <c r="Z1116" s="181" t="s">
        <v>1356</v>
      </c>
      <c r="AA1116" s="231" t="s">
        <v>1680</v>
      </c>
      <c r="AB1116" s="232"/>
      <c r="AC1116" s="232"/>
      <c r="AD1116" s="231"/>
      <c r="AE1116" s="231">
        <f>650/1000*100</f>
        <v>65</v>
      </c>
      <c r="AF1116" s="231">
        <f>25</f>
        <v>25</v>
      </c>
      <c r="AG1116" s="231"/>
      <c r="AH1116" s="181" t="s">
        <v>238</v>
      </c>
      <c r="AI1116" s="181">
        <v>6.6</v>
      </c>
      <c r="AJ1116" s="231">
        <v>0.88</v>
      </c>
      <c r="AK1116" s="231"/>
      <c r="AL1116" s="181"/>
      <c r="AM1116" s="181" t="s">
        <v>1311</v>
      </c>
      <c r="AN1116" s="185" t="s">
        <v>1482</v>
      </c>
      <c r="AO1116" s="185" t="s">
        <v>5150</v>
      </c>
      <c r="AP1116" s="181"/>
      <c r="AQ1116" s="181" t="s">
        <v>1546</v>
      </c>
      <c r="AR1116" s="181" t="s">
        <v>560</v>
      </c>
      <c r="AS1116" s="181" t="s">
        <v>5133</v>
      </c>
      <c r="AT1116" s="181" t="s">
        <v>751</v>
      </c>
      <c r="AU1116" s="181" t="s">
        <v>5150</v>
      </c>
      <c r="AV1116" s="185" t="s">
        <v>479</v>
      </c>
      <c r="AW1116" s="181" t="s">
        <v>751</v>
      </c>
      <c r="AX1116" s="185" t="s">
        <v>479</v>
      </c>
      <c r="AY1116" s="181" t="s">
        <v>176</v>
      </c>
      <c r="AZ1116" s="181" t="s">
        <v>745</v>
      </c>
      <c r="BA1116" s="181" t="s">
        <v>745</v>
      </c>
      <c r="BB1116" s="181" t="s">
        <v>2081</v>
      </c>
      <c r="BC1116" s="181" t="s">
        <v>2081</v>
      </c>
      <c r="BD1116" s="181" t="s">
        <v>176</v>
      </c>
      <c r="BE1116" s="226" t="s">
        <v>747</v>
      </c>
      <c r="BF1116" s="191" t="s">
        <v>479</v>
      </c>
      <c r="BG1116" s="181" t="s">
        <v>479</v>
      </c>
      <c r="BH1116" s="226" t="s">
        <v>747</v>
      </c>
      <c r="BI1116" s="181" t="s">
        <v>479</v>
      </c>
      <c r="BJ1116" s="181" t="s">
        <v>176</v>
      </c>
      <c r="BK1116" s="181" t="s">
        <v>5976</v>
      </c>
      <c r="BL1116" s="181"/>
      <c r="BM1116" s="192" t="s">
        <v>119</v>
      </c>
      <c r="BN1116" s="181">
        <v>3</v>
      </c>
      <c r="BO1116" s="181">
        <v>3</v>
      </c>
      <c r="BP1116" s="181"/>
      <c r="BQ1116" s="181" t="s">
        <v>315</v>
      </c>
      <c r="BR1116" s="181"/>
      <c r="BS1116" s="181">
        <v>5160</v>
      </c>
      <c r="BT1116" s="181">
        <v>10</v>
      </c>
      <c r="BU1116" s="181"/>
      <c r="BV1116" s="181"/>
      <c r="BW1116" s="232"/>
      <c r="BX1116" s="232"/>
      <c r="BY1116" s="232"/>
      <c r="BZ1116" s="232"/>
      <c r="CA1116" s="232"/>
      <c r="CB1116" s="183">
        <v>480</v>
      </c>
      <c r="CC1116" s="183">
        <v>774</v>
      </c>
      <c r="CD1116" s="183"/>
      <c r="CE1116" s="232"/>
      <c r="CF1116" s="232"/>
      <c r="CG1116" s="232"/>
      <c r="CH1116" s="231"/>
      <c r="CI1116" s="231"/>
      <c r="CJ1116" s="232"/>
      <c r="CK1116" s="232"/>
      <c r="CL1116" s="232"/>
      <c r="CM1116" s="232"/>
      <c r="CN1116" s="232"/>
      <c r="CO1116" s="232"/>
      <c r="CP1116" s="232"/>
      <c r="CQ1116" s="232"/>
      <c r="CR1116" s="232"/>
      <c r="CS1116" s="232"/>
      <c r="CT1116" s="232"/>
      <c r="CU1116" s="232"/>
      <c r="CV1116" s="232"/>
      <c r="CW1116" s="232"/>
      <c r="CX1116" s="232"/>
      <c r="CY1116" s="232"/>
      <c r="CZ1116" s="232"/>
      <c r="DA1116" s="232"/>
      <c r="DB1116" s="232"/>
      <c r="DC1116" s="232"/>
      <c r="DD1116" s="232"/>
      <c r="DE1116" s="232"/>
      <c r="DF1116" s="232"/>
      <c r="DG1116" s="232"/>
      <c r="DH1116" s="232"/>
      <c r="DI1116" s="232"/>
      <c r="DJ1116" s="232"/>
      <c r="DK1116" s="232"/>
      <c r="DL1116" s="232"/>
      <c r="DM1116" s="232"/>
      <c r="DN1116" s="232"/>
      <c r="DO1116" s="232"/>
      <c r="DP1116" s="232"/>
      <c r="DQ1116" s="233"/>
      <c r="DR1116" s="233"/>
      <c r="DS1116" s="232"/>
      <c r="DT1116" s="232"/>
      <c r="DU1116" s="232"/>
      <c r="DV1116" s="232"/>
      <c r="DW1116" s="232"/>
      <c r="DX1116" s="232"/>
      <c r="DY1116" s="232"/>
      <c r="DZ1116" s="232"/>
      <c r="EA1116" s="232"/>
      <c r="EB1116" s="232"/>
      <c r="EC1116" s="232"/>
      <c r="ED1116" s="232"/>
      <c r="EE1116" s="232"/>
      <c r="EF1116" s="232"/>
      <c r="EG1116" s="232"/>
      <c r="EH1116" s="232"/>
      <c r="EI1116" s="232"/>
      <c r="EJ1116" s="232"/>
      <c r="EK1116" s="231"/>
      <c r="EL1116" s="231"/>
      <c r="EM1116" s="232"/>
      <c r="EN1116" s="232"/>
      <c r="EO1116" s="232"/>
      <c r="EP1116" s="232"/>
      <c r="EQ1116" s="232"/>
      <c r="ER1116" s="232"/>
      <c r="ES1116" s="232"/>
      <c r="ET1116" s="232"/>
      <c r="EU1116" s="232"/>
      <c r="EV1116" s="232"/>
      <c r="EW1116" s="232"/>
      <c r="EX1116" s="232"/>
      <c r="EY1116" s="232"/>
      <c r="EZ1116" s="232"/>
      <c r="FA1116" s="232"/>
      <c r="FB1116" s="232"/>
      <c r="FC1116" s="232"/>
      <c r="FD1116" s="232"/>
      <c r="FE1116" s="232"/>
      <c r="FF1116" s="232"/>
      <c r="FG1116" s="232"/>
      <c r="FH1116" s="232"/>
      <c r="FI1116" s="232"/>
      <c r="FJ1116" s="232"/>
      <c r="FK1116" s="232"/>
      <c r="FL1116" s="232"/>
      <c r="FM1116" s="232"/>
      <c r="FN1116" s="232"/>
      <c r="FO1116" s="232"/>
      <c r="FP1116" s="232"/>
      <c r="FQ1116" s="232"/>
      <c r="FR1116" s="232"/>
      <c r="FS1116" s="232"/>
      <c r="FT1116" s="232"/>
      <c r="FU1116" s="232"/>
      <c r="FV1116" s="232"/>
      <c r="FW1116" s="232"/>
      <c r="FX1116" s="232"/>
      <c r="FY1116" s="232"/>
      <c r="FZ1116" s="232"/>
      <c r="GA1116" s="232"/>
      <c r="GB1116" s="232"/>
      <c r="GC1116" s="232"/>
      <c r="GD1116" s="232"/>
      <c r="GE1116" s="232"/>
      <c r="GF1116" s="232"/>
      <c r="GG1116" s="232"/>
      <c r="GH1116" s="232"/>
      <c r="GI1116" s="232"/>
      <c r="GJ1116" s="232"/>
      <c r="GK1116" s="232"/>
      <c r="GL1116" s="232"/>
      <c r="GM1116" s="232"/>
      <c r="GN1116" s="294"/>
      <c r="GO1116" s="294"/>
      <c r="GP1116" s="292" t="s">
        <v>7494</v>
      </c>
      <c r="GQ1116" s="232"/>
      <c r="GR1116" s="232"/>
      <c r="GS1116" s="232"/>
      <c r="GT1116" s="232"/>
      <c r="GU1116" s="232"/>
      <c r="GV1116" s="232"/>
      <c r="GW1116" s="232"/>
      <c r="GX1116" s="232"/>
      <c r="GY1116" s="232"/>
      <c r="GZ1116" s="232"/>
      <c r="HA1116" s="232"/>
      <c r="HB1116" s="232"/>
      <c r="HC1116" s="232"/>
      <c r="HD1116" s="232"/>
      <c r="HE1116" s="232"/>
      <c r="HF1116" s="232"/>
      <c r="HG1116" s="232"/>
      <c r="HH1116" s="232"/>
      <c r="HI1116" s="232"/>
      <c r="HJ1116" s="232"/>
      <c r="HK1116" s="232"/>
      <c r="HL1116" s="232"/>
      <c r="HM1116" s="232"/>
      <c r="HN1116" s="232"/>
      <c r="HO1116" s="232"/>
      <c r="HP1116" s="232"/>
      <c r="HQ1116" s="232"/>
      <c r="HR1116" s="232"/>
      <c r="HS1116" s="232"/>
      <c r="HT1116" s="232"/>
      <c r="HU1116" s="232"/>
      <c r="HV1116" s="232"/>
      <c r="HW1116" s="232"/>
      <c r="HX1116" s="232"/>
      <c r="HY1116" s="232"/>
      <c r="HZ1116" s="232"/>
      <c r="IA1116" s="232"/>
      <c r="IB1116" s="232"/>
      <c r="IC1116" s="232">
        <v>8</v>
      </c>
      <c r="ID1116" s="232">
        <v>13</v>
      </c>
      <c r="IE1116" s="232"/>
      <c r="IF1116" s="232"/>
      <c r="IG1116" s="232" t="s">
        <v>1658</v>
      </c>
      <c r="IH1116" s="232"/>
      <c r="II1116" s="232"/>
      <c r="IJ1116" s="232"/>
      <c r="IK1116" s="232"/>
      <c r="IL1116" s="232"/>
      <c r="IM1116" s="232"/>
      <c r="IN1116" s="232"/>
      <c r="IO1116" s="232"/>
      <c r="IP1116" s="232"/>
      <c r="IQ1116" s="232"/>
      <c r="IR1116" s="232"/>
      <c r="IS1116" s="232"/>
      <c r="IT1116" s="232"/>
      <c r="IU1116" s="232"/>
      <c r="IV1116" s="232"/>
      <c r="IW1116" s="232"/>
      <c r="IX1116" s="232"/>
      <c r="IY1116" s="232"/>
      <c r="IZ1116" s="232"/>
      <c r="JA1116" s="232"/>
      <c r="JB1116" s="232"/>
      <c r="JC1116" s="232"/>
      <c r="JD1116" s="232"/>
      <c r="JE1116" s="232"/>
      <c r="JF1116" s="232"/>
      <c r="JG1116" s="232"/>
      <c r="JH1116" s="232"/>
      <c r="JI1116" s="232"/>
      <c r="JJ1116" s="232"/>
      <c r="JK1116" s="232"/>
      <c r="JL1116" s="232"/>
      <c r="JM1116" s="232"/>
      <c r="JN1116" s="232"/>
      <c r="JO1116" s="232"/>
      <c r="JP1116" s="232"/>
      <c r="JQ1116" s="232"/>
      <c r="JR1116" s="232"/>
      <c r="JS1116" s="232"/>
      <c r="JT1116" s="232"/>
      <c r="JU1116" s="181" t="s">
        <v>752</v>
      </c>
      <c r="JV1116" s="181"/>
      <c r="JW1116" s="181"/>
    </row>
    <row r="1117" spans="1:283" s="229" customFormat="1" x14ac:dyDescent="0.25">
      <c r="A1117" s="181">
        <v>1116</v>
      </c>
      <c r="B1117" s="229" t="s">
        <v>7067</v>
      </c>
      <c r="C1117" s="230">
        <v>53</v>
      </c>
      <c r="D1117" s="181" t="s">
        <v>3914</v>
      </c>
      <c r="E1117" s="231" t="s">
        <v>741</v>
      </c>
      <c r="F1117" s="231"/>
      <c r="G1117" s="181" t="s">
        <v>742</v>
      </c>
      <c r="H1117" s="181">
        <v>2006</v>
      </c>
      <c r="I1117" s="181">
        <v>2002</v>
      </c>
      <c r="J1117" s="181" t="s">
        <v>743</v>
      </c>
      <c r="K1117" s="181" t="s">
        <v>744</v>
      </c>
      <c r="L1117" s="181" t="s">
        <v>2737</v>
      </c>
      <c r="M1117" s="231">
        <v>33.950000000000003</v>
      </c>
      <c r="N1117" s="231">
        <v>-83.38</v>
      </c>
      <c r="O1117" s="231">
        <v>208.4</v>
      </c>
      <c r="P1117" s="181"/>
      <c r="Q1117" s="181"/>
      <c r="R1117" s="181">
        <v>971</v>
      </c>
      <c r="S1117" s="231">
        <f>588+645</f>
        <v>1233</v>
      </c>
      <c r="T1117" s="181"/>
      <c r="U1117" s="181">
        <v>3</v>
      </c>
      <c r="V1117" s="181" t="s">
        <v>1688</v>
      </c>
      <c r="W1117" s="181"/>
      <c r="X1117" s="181"/>
      <c r="Y1117" s="181" t="s">
        <v>1923</v>
      </c>
      <c r="Z1117" s="181" t="s">
        <v>1356</v>
      </c>
      <c r="AA1117" s="231" t="s">
        <v>1680</v>
      </c>
      <c r="AB1117" s="232"/>
      <c r="AC1117" s="232"/>
      <c r="AD1117" s="231"/>
      <c r="AE1117" s="231">
        <f>650/1000*100</f>
        <v>65</v>
      </c>
      <c r="AF1117" s="231">
        <f>25</f>
        <v>25</v>
      </c>
      <c r="AG1117" s="231"/>
      <c r="AH1117" s="181" t="s">
        <v>238</v>
      </c>
      <c r="AI1117" s="181">
        <v>6.6</v>
      </c>
      <c r="AJ1117" s="231">
        <v>0.88</v>
      </c>
      <c r="AK1117" s="231"/>
      <c r="AL1117" s="181"/>
      <c r="AM1117" s="181" t="s">
        <v>1311</v>
      </c>
      <c r="AN1117" s="185" t="s">
        <v>1482</v>
      </c>
      <c r="AO1117" s="185" t="s">
        <v>5150</v>
      </c>
      <c r="AP1117" s="181"/>
      <c r="AQ1117" s="181" t="s">
        <v>1546</v>
      </c>
      <c r="AR1117" s="181" t="s">
        <v>560</v>
      </c>
      <c r="AS1117" s="181" t="s">
        <v>5133</v>
      </c>
      <c r="AT1117" s="181" t="s">
        <v>751</v>
      </c>
      <c r="AU1117" s="181" t="s">
        <v>5150</v>
      </c>
      <c r="AV1117" s="185" t="s">
        <v>479</v>
      </c>
      <c r="AW1117" s="181" t="s">
        <v>751</v>
      </c>
      <c r="AX1117" s="185" t="s">
        <v>479</v>
      </c>
      <c r="AY1117" s="181" t="s">
        <v>176</v>
      </c>
      <c r="AZ1117" s="181" t="s">
        <v>746</v>
      </c>
      <c r="BA1117" s="181" t="s">
        <v>746</v>
      </c>
      <c r="BB1117" s="181" t="s">
        <v>2081</v>
      </c>
      <c r="BC1117" s="181" t="s">
        <v>2081</v>
      </c>
      <c r="BD1117" s="181" t="s">
        <v>176</v>
      </c>
      <c r="BE1117" s="226" t="s">
        <v>747</v>
      </c>
      <c r="BF1117" s="191" t="s">
        <v>479</v>
      </c>
      <c r="BG1117" s="181" t="s">
        <v>479</v>
      </c>
      <c r="BH1117" s="226" t="s">
        <v>747</v>
      </c>
      <c r="BI1117" s="181" t="s">
        <v>479</v>
      </c>
      <c r="BJ1117" s="181" t="s">
        <v>176</v>
      </c>
      <c r="BK1117" s="181" t="s">
        <v>5976</v>
      </c>
      <c r="BL1117" s="181"/>
      <c r="BM1117" s="192" t="s">
        <v>119</v>
      </c>
      <c r="BN1117" s="181">
        <v>3</v>
      </c>
      <c r="BO1117" s="181">
        <v>3</v>
      </c>
      <c r="BP1117" s="181"/>
      <c r="BQ1117" s="181" t="s">
        <v>315</v>
      </c>
      <c r="BR1117" s="181"/>
      <c r="BS1117" s="181">
        <v>5160</v>
      </c>
      <c r="BT1117" s="181">
        <v>10</v>
      </c>
      <c r="BU1117" s="181"/>
      <c r="BV1117" s="181"/>
      <c r="BW1117" s="232"/>
      <c r="BX1117" s="232"/>
      <c r="BY1117" s="232"/>
      <c r="BZ1117" s="232"/>
      <c r="CA1117" s="232"/>
      <c r="CB1117" s="183">
        <v>802</v>
      </c>
      <c r="CC1117" s="183">
        <v>1525</v>
      </c>
      <c r="CD1117" s="183"/>
      <c r="CE1117" s="232"/>
      <c r="CF1117" s="232"/>
      <c r="CG1117" s="232"/>
      <c r="CH1117" s="231"/>
      <c r="CI1117" s="231"/>
      <c r="CJ1117" s="232"/>
      <c r="CK1117" s="232"/>
      <c r="CL1117" s="232"/>
      <c r="CM1117" s="232"/>
      <c r="CN1117" s="232"/>
      <c r="CO1117" s="232"/>
      <c r="CP1117" s="232"/>
      <c r="CQ1117" s="232"/>
      <c r="CR1117" s="232"/>
      <c r="CS1117" s="232"/>
      <c r="CT1117" s="232"/>
      <c r="CU1117" s="232"/>
      <c r="CV1117" s="232"/>
      <c r="CW1117" s="232"/>
      <c r="CX1117" s="232"/>
      <c r="CY1117" s="232"/>
      <c r="CZ1117" s="232"/>
      <c r="DA1117" s="232"/>
      <c r="DB1117" s="232"/>
      <c r="DC1117" s="232"/>
      <c r="DD1117" s="232"/>
      <c r="DE1117" s="232"/>
      <c r="DF1117" s="232"/>
      <c r="DG1117" s="232"/>
      <c r="DH1117" s="232"/>
      <c r="DI1117" s="232"/>
      <c r="DJ1117" s="232"/>
      <c r="DK1117" s="232"/>
      <c r="DL1117" s="232"/>
      <c r="DM1117" s="232"/>
      <c r="DN1117" s="232"/>
      <c r="DO1117" s="232"/>
      <c r="DP1117" s="232"/>
      <c r="DQ1117" s="233"/>
      <c r="DR1117" s="233"/>
      <c r="DS1117" s="232"/>
      <c r="DT1117" s="232"/>
      <c r="DU1117" s="232"/>
      <c r="DV1117" s="232"/>
      <c r="DW1117" s="232"/>
      <c r="DX1117" s="232"/>
      <c r="DY1117" s="232"/>
      <c r="DZ1117" s="232"/>
      <c r="EA1117" s="232"/>
      <c r="EB1117" s="232"/>
      <c r="EC1117" s="232"/>
      <c r="ED1117" s="232"/>
      <c r="EE1117" s="232"/>
      <c r="EF1117" s="232"/>
      <c r="EG1117" s="232"/>
      <c r="EH1117" s="232"/>
      <c r="EI1117" s="232"/>
      <c r="EJ1117" s="232"/>
      <c r="EK1117" s="231"/>
      <c r="EL1117" s="231"/>
      <c r="EM1117" s="232"/>
      <c r="EN1117" s="232"/>
      <c r="EO1117" s="232"/>
      <c r="EP1117" s="232"/>
      <c r="EQ1117" s="232"/>
      <c r="ER1117" s="232"/>
      <c r="ES1117" s="232"/>
      <c r="ET1117" s="232"/>
      <c r="EU1117" s="232"/>
      <c r="EV1117" s="232"/>
      <c r="EW1117" s="232"/>
      <c r="EX1117" s="232"/>
      <c r="EY1117" s="232"/>
      <c r="EZ1117" s="232"/>
      <c r="FA1117" s="232"/>
      <c r="FB1117" s="232"/>
      <c r="FC1117" s="232"/>
      <c r="FD1117" s="232"/>
      <c r="FE1117" s="232"/>
      <c r="FF1117" s="232"/>
      <c r="FG1117" s="232"/>
      <c r="FH1117" s="232"/>
      <c r="FI1117" s="232"/>
      <c r="FJ1117" s="232"/>
      <c r="FK1117" s="232"/>
      <c r="FL1117" s="232"/>
      <c r="FM1117" s="232"/>
      <c r="FN1117" s="232"/>
      <c r="FO1117" s="232"/>
      <c r="FP1117" s="232"/>
      <c r="FQ1117" s="232"/>
      <c r="FR1117" s="232"/>
      <c r="FS1117" s="232"/>
      <c r="FT1117" s="232"/>
      <c r="FU1117" s="232"/>
      <c r="FV1117" s="232"/>
      <c r="FW1117" s="232"/>
      <c r="FX1117" s="232"/>
      <c r="FY1117" s="232"/>
      <c r="FZ1117" s="232"/>
      <c r="GA1117" s="232"/>
      <c r="GB1117" s="232"/>
      <c r="GC1117" s="232"/>
      <c r="GD1117" s="232"/>
      <c r="GE1117" s="232"/>
      <c r="GF1117" s="232"/>
      <c r="GG1117" s="232"/>
      <c r="GH1117" s="232"/>
      <c r="GI1117" s="232"/>
      <c r="GJ1117" s="232"/>
      <c r="GK1117" s="232"/>
      <c r="GL1117" s="232"/>
      <c r="GM1117" s="232"/>
      <c r="GN1117" s="294"/>
      <c r="GO1117" s="294"/>
      <c r="GP1117" s="292" t="s">
        <v>7494</v>
      </c>
      <c r="GQ1117" s="232"/>
      <c r="GR1117" s="232"/>
      <c r="GS1117" s="232"/>
      <c r="GT1117" s="232"/>
      <c r="GU1117" s="232"/>
      <c r="GV1117" s="232"/>
      <c r="GW1117" s="232"/>
      <c r="GX1117" s="232"/>
      <c r="GY1117" s="232"/>
      <c r="GZ1117" s="232"/>
      <c r="HA1117" s="232"/>
      <c r="HB1117" s="232"/>
      <c r="HC1117" s="232"/>
      <c r="HD1117" s="232"/>
      <c r="HE1117" s="232"/>
      <c r="HF1117" s="232"/>
      <c r="HG1117" s="232"/>
      <c r="HH1117" s="232"/>
      <c r="HI1117" s="232"/>
      <c r="HJ1117" s="232"/>
      <c r="HK1117" s="232"/>
      <c r="HL1117" s="232"/>
      <c r="HM1117" s="232"/>
      <c r="HN1117" s="232"/>
      <c r="HO1117" s="232"/>
      <c r="HP1117" s="232"/>
      <c r="HQ1117" s="232"/>
      <c r="HR1117" s="232"/>
      <c r="HS1117" s="232"/>
      <c r="HT1117" s="232"/>
      <c r="HU1117" s="232"/>
      <c r="HV1117" s="232"/>
      <c r="HW1117" s="232"/>
      <c r="HX1117" s="232"/>
      <c r="HY1117" s="232"/>
      <c r="HZ1117" s="232"/>
      <c r="IA1117" s="232"/>
      <c r="IB1117" s="232"/>
      <c r="IC1117" s="232">
        <v>14</v>
      </c>
      <c r="ID1117" s="232">
        <v>22</v>
      </c>
      <c r="IE1117" s="232"/>
      <c r="IF1117" s="232"/>
      <c r="IG1117" s="232" t="s">
        <v>1658</v>
      </c>
      <c r="IH1117" s="232"/>
      <c r="II1117" s="232"/>
      <c r="IJ1117" s="232"/>
      <c r="IK1117" s="232"/>
      <c r="IL1117" s="232"/>
      <c r="IM1117" s="232"/>
      <c r="IN1117" s="232"/>
      <c r="IO1117" s="232"/>
      <c r="IP1117" s="232"/>
      <c r="IQ1117" s="232"/>
      <c r="IR1117" s="232"/>
      <c r="IS1117" s="232"/>
      <c r="IT1117" s="232"/>
      <c r="IU1117" s="232"/>
      <c r="IV1117" s="232"/>
      <c r="IW1117" s="232"/>
      <c r="IX1117" s="232"/>
      <c r="IY1117" s="232"/>
      <c r="IZ1117" s="232"/>
      <c r="JA1117" s="232"/>
      <c r="JB1117" s="232"/>
      <c r="JC1117" s="232"/>
      <c r="JD1117" s="232"/>
      <c r="JE1117" s="232"/>
      <c r="JF1117" s="232"/>
      <c r="JG1117" s="232"/>
      <c r="JH1117" s="232"/>
      <c r="JI1117" s="232"/>
      <c r="JJ1117" s="232"/>
      <c r="JK1117" s="232"/>
      <c r="JL1117" s="232"/>
      <c r="JM1117" s="232"/>
      <c r="JN1117" s="232"/>
      <c r="JO1117" s="232"/>
      <c r="JP1117" s="232"/>
      <c r="JQ1117" s="232"/>
      <c r="JR1117" s="232"/>
      <c r="JS1117" s="232"/>
      <c r="JT1117" s="232"/>
      <c r="JU1117" s="181" t="s">
        <v>752</v>
      </c>
      <c r="JV1117" s="181"/>
      <c r="JW1117" s="181"/>
    </row>
    <row r="1118" spans="1:283" s="229" customFormat="1" x14ac:dyDescent="0.25">
      <c r="A1118" s="181">
        <v>1117</v>
      </c>
      <c r="B1118" s="229" t="s">
        <v>7067</v>
      </c>
      <c r="C1118" s="230">
        <v>53</v>
      </c>
      <c r="D1118" s="181" t="s">
        <v>3914</v>
      </c>
      <c r="E1118" s="231" t="s">
        <v>741</v>
      </c>
      <c r="F1118" s="231"/>
      <c r="G1118" s="181" t="s">
        <v>742</v>
      </c>
      <c r="H1118" s="181">
        <v>2006</v>
      </c>
      <c r="I1118" s="181">
        <v>2002</v>
      </c>
      <c r="J1118" s="181" t="s">
        <v>743</v>
      </c>
      <c r="K1118" s="181" t="s">
        <v>744</v>
      </c>
      <c r="L1118" s="181" t="s">
        <v>2737</v>
      </c>
      <c r="M1118" s="231">
        <v>33.950000000000003</v>
      </c>
      <c r="N1118" s="231">
        <v>-83.38</v>
      </c>
      <c r="O1118" s="231">
        <v>208.4</v>
      </c>
      <c r="P1118" s="181"/>
      <c r="Q1118" s="181"/>
      <c r="R1118" s="181">
        <v>971</v>
      </c>
      <c r="S1118" s="231">
        <f>588+645</f>
        <v>1233</v>
      </c>
      <c r="T1118" s="181"/>
      <c r="U1118" s="181">
        <v>3</v>
      </c>
      <c r="V1118" s="181" t="s">
        <v>1688</v>
      </c>
      <c r="W1118" s="181"/>
      <c r="X1118" s="181"/>
      <c r="Y1118" s="181" t="s">
        <v>1923</v>
      </c>
      <c r="Z1118" s="181" t="s">
        <v>1356</v>
      </c>
      <c r="AA1118" s="231" t="s">
        <v>1680</v>
      </c>
      <c r="AB1118" s="232"/>
      <c r="AC1118" s="232"/>
      <c r="AD1118" s="231"/>
      <c r="AE1118" s="231">
        <f>650/1000*100</f>
        <v>65</v>
      </c>
      <c r="AF1118" s="231">
        <f>25</f>
        <v>25</v>
      </c>
      <c r="AG1118" s="231"/>
      <c r="AH1118" s="181" t="s">
        <v>238</v>
      </c>
      <c r="AI1118" s="181">
        <v>6.6</v>
      </c>
      <c r="AJ1118" s="231">
        <v>0.88</v>
      </c>
      <c r="AK1118" s="231"/>
      <c r="AL1118" s="181"/>
      <c r="AM1118" s="181" t="s">
        <v>1311</v>
      </c>
      <c r="AN1118" s="185" t="s">
        <v>1482</v>
      </c>
      <c r="AO1118" s="185" t="s">
        <v>5150</v>
      </c>
      <c r="AP1118" s="181"/>
      <c r="AQ1118" s="181" t="s">
        <v>1546</v>
      </c>
      <c r="AR1118" s="181" t="s">
        <v>560</v>
      </c>
      <c r="AS1118" s="181" t="s">
        <v>5133</v>
      </c>
      <c r="AT1118" s="181" t="s">
        <v>751</v>
      </c>
      <c r="AU1118" s="181" t="s">
        <v>5150</v>
      </c>
      <c r="AV1118" s="185" t="s">
        <v>479</v>
      </c>
      <c r="AW1118" s="181" t="s">
        <v>751</v>
      </c>
      <c r="AX1118" s="185" t="s">
        <v>479</v>
      </c>
      <c r="AY1118" s="181" t="s">
        <v>176</v>
      </c>
      <c r="AZ1118" s="181" t="s">
        <v>156</v>
      </c>
      <c r="BA1118" s="181" t="s">
        <v>156</v>
      </c>
      <c r="BB1118" s="181" t="s">
        <v>2082</v>
      </c>
      <c r="BC1118" s="181" t="s">
        <v>2082</v>
      </c>
      <c r="BD1118" s="181" t="s">
        <v>176</v>
      </c>
      <c r="BE1118" s="226" t="s">
        <v>748</v>
      </c>
      <c r="BF1118" s="191" t="s">
        <v>479</v>
      </c>
      <c r="BG1118" s="181" t="s">
        <v>479</v>
      </c>
      <c r="BH1118" s="226" t="s">
        <v>748</v>
      </c>
      <c r="BI1118" s="181" t="s">
        <v>479</v>
      </c>
      <c r="BJ1118" s="181" t="s">
        <v>176</v>
      </c>
      <c r="BK1118" s="181" t="s">
        <v>6269</v>
      </c>
      <c r="BL1118" s="181"/>
      <c r="BM1118" s="192" t="s">
        <v>119</v>
      </c>
      <c r="BN1118" s="181">
        <v>3</v>
      </c>
      <c r="BO1118" s="181">
        <v>3</v>
      </c>
      <c r="BP1118" s="181"/>
      <c r="BQ1118" s="181" t="s">
        <v>315</v>
      </c>
      <c r="BR1118" s="181"/>
      <c r="BS1118" s="181">
        <v>5720</v>
      </c>
      <c r="BT1118" s="181">
        <v>11</v>
      </c>
      <c r="BU1118" s="181"/>
      <c r="BV1118" s="181"/>
      <c r="BW1118" s="232"/>
      <c r="BX1118" s="232"/>
      <c r="BY1118" s="232"/>
      <c r="BZ1118" s="232"/>
      <c r="CA1118" s="232"/>
      <c r="CB1118" s="183">
        <v>814</v>
      </c>
      <c r="CC1118" s="183">
        <v>509</v>
      </c>
      <c r="CD1118" s="183"/>
      <c r="CE1118" s="232"/>
      <c r="CF1118" s="232"/>
      <c r="CG1118" s="232"/>
      <c r="CH1118" s="231"/>
      <c r="CI1118" s="231"/>
      <c r="CJ1118" s="232"/>
      <c r="CK1118" s="232"/>
      <c r="CL1118" s="232"/>
      <c r="CM1118" s="232"/>
      <c r="CN1118" s="232"/>
      <c r="CO1118" s="232"/>
      <c r="CP1118" s="232"/>
      <c r="CQ1118" s="232"/>
      <c r="CR1118" s="232"/>
      <c r="CS1118" s="232"/>
      <c r="CT1118" s="232"/>
      <c r="CU1118" s="232"/>
      <c r="CV1118" s="232"/>
      <c r="CW1118" s="232"/>
      <c r="CX1118" s="232"/>
      <c r="CY1118" s="232"/>
      <c r="CZ1118" s="232"/>
      <c r="DA1118" s="232"/>
      <c r="DB1118" s="232"/>
      <c r="DC1118" s="232"/>
      <c r="DD1118" s="232"/>
      <c r="DE1118" s="232"/>
      <c r="DF1118" s="232"/>
      <c r="DG1118" s="232"/>
      <c r="DH1118" s="232"/>
      <c r="DI1118" s="232"/>
      <c r="DJ1118" s="232"/>
      <c r="DK1118" s="232"/>
      <c r="DL1118" s="232"/>
      <c r="DM1118" s="232"/>
      <c r="DN1118" s="232"/>
      <c r="DO1118" s="232"/>
      <c r="DP1118" s="232"/>
      <c r="DQ1118" s="233"/>
      <c r="DR1118" s="233"/>
      <c r="DS1118" s="232"/>
      <c r="DT1118" s="232"/>
      <c r="DU1118" s="232"/>
      <c r="DV1118" s="232"/>
      <c r="DW1118" s="232"/>
      <c r="DX1118" s="232"/>
      <c r="DY1118" s="232"/>
      <c r="DZ1118" s="232"/>
      <c r="EA1118" s="232"/>
      <c r="EB1118" s="232"/>
      <c r="EC1118" s="232"/>
      <c r="ED1118" s="232"/>
      <c r="EE1118" s="232"/>
      <c r="EF1118" s="232"/>
      <c r="EG1118" s="232"/>
      <c r="EH1118" s="232"/>
      <c r="EI1118" s="232"/>
      <c r="EJ1118" s="232"/>
      <c r="EK1118" s="231"/>
      <c r="EL1118" s="231"/>
      <c r="EM1118" s="232"/>
      <c r="EN1118" s="232"/>
      <c r="EO1118" s="232"/>
      <c r="EP1118" s="232"/>
      <c r="EQ1118" s="232"/>
      <c r="ER1118" s="232"/>
      <c r="ES1118" s="232"/>
      <c r="ET1118" s="232"/>
      <c r="EU1118" s="232"/>
      <c r="EV1118" s="232"/>
      <c r="EW1118" s="232"/>
      <c r="EX1118" s="232"/>
      <c r="EY1118" s="232"/>
      <c r="EZ1118" s="232"/>
      <c r="FA1118" s="232"/>
      <c r="FB1118" s="232"/>
      <c r="FC1118" s="232"/>
      <c r="FD1118" s="232"/>
      <c r="FE1118" s="232"/>
      <c r="FF1118" s="232"/>
      <c r="FG1118" s="232"/>
      <c r="FH1118" s="232"/>
      <c r="FI1118" s="232"/>
      <c r="FJ1118" s="232"/>
      <c r="FK1118" s="232"/>
      <c r="FL1118" s="232"/>
      <c r="FM1118" s="232"/>
      <c r="FN1118" s="232"/>
      <c r="FO1118" s="232"/>
      <c r="FP1118" s="232"/>
      <c r="FQ1118" s="232"/>
      <c r="FR1118" s="232"/>
      <c r="FS1118" s="232"/>
      <c r="FT1118" s="232"/>
      <c r="FU1118" s="232"/>
      <c r="FV1118" s="232"/>
      <c r="FW1118" s="232"/>
      <c r="FX1118" s="232"/>
      <c r="FY1118" s="232"/>
      <c r="FZ1118" s="232"/>
      <c r="GA1118" s="232"/>
      <c r="GB1118" s="232"/>
      <c r="GC1118" s="232"/>
      <c r="GD1118" s="232"/>
      <c r="GE1118" s="232"/>
      <c r="GF1118" s="232"/>
      <c r="GG1118" s="232"/>
      <c r="GH1118" s="232"/>
      <c r="GI1118" s="232"/>
      <c r="GJ1118" s="232"/>
      <c r="GK1118" s="232"/>
      <c r="GL1118" s="232"/>
      <c r="GM1118" s="232"/>
      <c r="GN1118" s="294"/>
      <c r="GO1118" s="294"/>
      <c r="GP1118" s="292" t="s">
        <v>7494</v>
      </c>
      <c r="GQ1118" s="232"/>
      <c r="GR1118" s="232"/>
      <c r="GS1118" s="232"/>
      <c r="GT1118" s="232"/>
      <c r="GU1118" s="232"/>
      <c r="GV1118" s="232"/>
      <c r="GW1118" s="232"/>
      <c r="GX1118" s="232"/>
      <c r="GY1118" s="232"/>
      <c r="GZ1118" s="232"/>
      <c r="HA1118" s="232"/>
      <c r="HB1118" s="232"/>
      <c r="HC1118" s="232"/>
      <c r="HD1118" s="232"/>
      <c r="HE1118" s="232"/>
      <c r="HF1118" s="232"/>
      <c r="HG1118" s="232"/>
      <c r="HH1118" s="232"/>
      <c r="HI1118" s="232"/>
      <c r="HJ1118" s="232"/>
      <c r="HK1118" s="232"/>
      <c r="HL1118" s="232"/>
      <c r="HM1118" s="232"/>
      <c r="HN1118" s="232"/>
      <c r="HO1118" s="232"/>
      <c r="HP1118" s="232"/>
      <c r="HQ1118" s="232"/>
      <c r="HR1118" s="232"/>
      <c r="HS1118" s="232"/>
      <c r="HT1118" s="232"/>
      <c r="HU1118" s="232"/>
      <c r="HV1118" s="232"/>
      <c r="HW1118" s="232"/>
      <c r="HX1118" s="232"/>
      <c r="HY1118" s="232"/>
      <c r="HZ1118" s="232"/>
      <c r="IA1118" s="232"/>
      <c r="IB1118" s="232"/>
      <c r="IC1118" s="232">
        <v>11</v>
      </c>
      <c r="ID1118" s="232">
        <v>12</v>
      </c>
      <c r="IE1118" s="232"/>
      <c r="IF1118" s="232"/>
      <c r="IG1118" s="232" t="s">
        <v>1658</v>
      </c>
      <c r="IH1118" s="232"/>
      <c r="II1118" s="232"/>
      <c r="IJ1118" s="232"/>
      <c r="IK1118" s="232"/>
      <c r="IL1118" s="232"/>
      <c r="IM1118" s="232"/>
      <c r="IN1118" s="232"/>
      <c r="IO1118" s="232"/>
      <c r="IP1118" s="232"/>
      <c r="IQ1118" s="232"/>
      <c r="IR1118" s="232"/>
      <c r="IS1118" s="232"/>
      <c r="IT1118" s="232"/>
      <c r="IU1118" s="232"/>
      <c r="IV1118" s="232"/>
      <c r="IW1118" s="232"/>
      <c r="IX1118" s="232"/>
      <c r="IY1118" s="232"/>
      <c r="IZ1118" s="232"/>
      <c r="JA1118" s="232"/>
      <c r="JB1118" s="232"/>
      <c r="JC1118" s="232"/>
      <c r="JD1118" s="232"/>
      <c r="JE1118" s="232"/>
      <c r="JF1118" s="232"/>
      <c r="JG1118" s="232"/>
      <c r="JH1118" s="232"/>
      <c r="JI1118" s="232"/>
      <c r="JJ1118" s="232"/>
      <c r="JK1118" s="232"/>
      <c r="JL1118" s="232"/>
      <c r="JM1118" s="232"/>
      <c r="JN1118" s="232"/>
      <c r="JO1118" s="232"/>
      <c r="JP1118" s="232"/>
      <c r="JQ1118" s="232"/>
      <c r="JR1118" s="232"/>
      <c r="JS1118" s="232"/>
      <c r="JT1118" s="232"/>
      <c r="JU1118" s="181" t="s">
        <v>752</v>
      </c>
      <c r="JV1118" s="181"/>
      <c r="JW1118" s="181"/>
    </row>
    <row r="1119" spans="1:283" s="229" customFormat="1" x14ac:dyDescent="0.25">
      <c r="A1119" s="181">
        <v>1118</v>
      </c>
      <c r="B1119" s="229" t="s">
        <v>7067</v>
      </c>
      <c r="C1119" s="230">
        <v>53</v>
      </c>
      <c r="D1119" s="181" t="s">
        <v>3914</v>
      </c>
      <c r="E1119" s="231" t="s">
        <v>741</v>
      </c>
      <c r="F1119" s="231"/>
      <c r="G1119" s="181" t="s">
        <v>742</v>
      </c>
      <c r="H1119" s="181">
        <v>2006</v>
      </c>
      <c r="I1119" s="181">
        <v>2002</v>
      </c>
      <c r="J1119" s="181" t="s">
        <v>743</v>
      </c>
      <c r="K1119" s="181" t="s">
        <v>744</v>
      </c>
      <c r="L1119" s="181" t="s">
        <v>2737</v>
      </c>
      <c r="M1119" s="231">
        <v>33.950000000000003</v>
      </c>
      <c r="N1119" s="231">
        <v>-83.38</v>
      </c>
      <c r="O1119" s="231">
        <v>208.4</v>
      </c>
      <c r="P1119" s="181"/>
      <c r="Q1119" s="181"/>
      <c r="R1119" s="181">
        <v>971</v>
      </c>
      <c r="S1119" s="231">
        <f>588+645</f>
        <v>1233</v>
      </c>
      <c r="T1119" s="181"/>
      <c r="U1119" s="181">
        <v>3</v>
      </c>
      <c r="V1119" s="181" t="s">
        <v>1688</v>
      </c>
      <c r="W1119" s="181"/>
      <c r="X1119" s="181"/>
      <c r="Y1119" s="181" t="s">
        <v>1923</v>
      </c>
      <c r="Z1119" s="181" t="s">
        <v>1356</v>
      </c>
      <c r="AA1119" s="231" t="s">
        <v>1680</v>
      </c>
      <c r="AB1119" s="232"/>
      <c r="AC1119" s="232"/>
      <c r="AD1119" s="231"/>
      <c r="AE1119" s="231">
        <f>650/1000*100</f>
        <v>65</v>
      </c>
      <c r="AF1119" s="231">
        <f>25</f>
        <v>25</v>
      </c>
      <c r="AG1119" s="231"/>
      <c r="AH1119" s="181" t="s">
        <v>238</v>
      </c>
      <c r="AI1119" s="181">
        <v>6.6</v>
      </c>
      <c r="AJ1119" s="231">
        <v>0.88</v>
      </c>
      <c r="AK1119" s="231"/>
      <c r="AL1119" s="181"/>
      <c r="AM1119" s="181" t="s">
        <v>1311</v>
      </c>
      <c r="AN1119" s="185" t="s">
        <v>1482</v>
      </c>
      <c r="AO1119" s="185" t="s">
        <v>5150</v>
      </c>
      <c r="AP1119" s="181"/>
      <c r="AQ1119" s="181" t="s">
        <v>1546</v>
      </c>
      <c r="AR1119" s="181" t="s">
        <v>560</v>
      </c>
      <c r="AS1119" s="181" t="s">
        <v>5133</v>
      </c>
      <c r="AT1119" s="181" t="s">
        <v>751</v>
      </c>
      <c r="AU1119" s="181" t="s">
        <v>5150</v>
      </c>
      <c r="AV1119" s="185" t="s">
        <v>479</v>
      </c>
      <c r="AW1119" s="181" t="s">
        <v>751</v>
      </c>
      <c r="AX1119" s="185" t="s">
        <v>479</v>
      </c>
      <c r="AY1119" s="181" t="s">
        <v>176</v>
      </c>
      <c r="AZ1119" s="181" t="s">
        <v>745</v>
      </c>
      <c r="BA1119" s="181" t="s">
        <v>745</v>
      </c>
      <c r="BB1119" s="181" t="s">
        <v>2081</v>
      </c>
      <c r="BC1119" s="181" t="s">
        <v>2081</v>
      </c>
      <c r="BD1119" s="181" t="s">
        <v>176</v>
      </c>
      <c r="BE1119" s="226" t="s">
        <v>748</v>
      </c>
      <c r="BF1119" s="191" t="s">
        <v>479</v>
      </c>
      <c r="BG1119" s="181" t="s">
        <v>479</v>
      </c>
      <c r="BH1119" s="226" t="s">
        <v>748</v>
      </c>
      <c r="BI1119" s="181" t="s">
        <v>479</v>
      </c>
      <c r="BJ1119" s="181" t="s">
        <v>176</v>
      </c>
      <c r="BK1119" s="181" t="s">
        <v>5976</v>
      </c>
      <c r="BL1119" s="181"/>
      <c r="BM1119" s="192" t="s">
        <v>119</v>
      </c>
      <c r="BN1119" s="181">
        <v>3</v>
      </c>
      <c r="BO1119" s="181">
        <v>3</v>
      </c>
      <c r="BP1119" s="181"/>
      <c r="BQ1119" s="181" t="s">
        <v>315</v>
      </c>
      <c r="BR1119" s="181"/>
      <c r="BS1119" s="181">
        <v>5720</v>
      </c>
      <c r="BT1119" s="181">
        <v>11</v>
      </c>
      <c r="BU1119" s="181"/>
      <c r="BV1119" s="181"/>
      <c r="BW1119" s="232"/>
      <c r="BX1119" s="232"/>
      <c r="BY1119" s="232"/>
      <c r="BZ1119" s="232"/>
      <c r="CA1119" s="232"/>
      <c r="CB1119" s="183">
        <v>480</v>
      </c>
      <c r="CC1119" s="183">
        <v>464</v>
      </c>
      <c r="CD1119" s="183"/>
      <c r="CE1119" s="232"/>
      <c r="CF1119" s="232"/>
      <c r="CG1119" s="232"/>
      <c r="CH1119" s="231"/>
      <c r="CI1119" s="231"/>
      <c r="CJ1119" s="232"/>
      <c r="CK1119" s="232"/>
      <c r="CL1119" s="232"/>
      <c r="CM1119" s="232"/>
      <c r="CN1119" s="232"/>
      <c r="CO1119" s="232"/>
      <c r="CP1119" s="232"/>
      <c r="CQ1119" s="232"/>
      <c r="CR1119" s="232"/>
      <c r="CS1119" s="232"/>
      <c r="CT1119" s="232"/>
      <c r="CU1119" s="232"/>
      <c r="CV1119" s="232"/>
      <c r="CW1119" s="232"/>
      <c r="CX1119" s="232"/>
      <c r="CY1119" s="232"/>
      <c r="CZ1119" s="232"/>
      <c r="DA1119" s="232"/>
      <c r="DB1119" s="232"/>
      <c r="DC1119" s="232"/>
      <c r="DD1119" s="232"/>
      <c r="DE1119" s="232"/>
      <c r="DF1119" s="232"/>
      <c r="DG1119" s="232"/>
      <c r="DH1119" s="232"/>
      <c r="DI1119" s="232"/>
      <c r="DJ1119" s="232"/>
      <c r="DK1119" s="232"/>
      <c r="DL1119" s="232"/>
      <c r="DM1119" s="232"/>
      <c r="DN1119" s="232"/>
      <c r="DO1119" s="232"/>
      <c r="DP1119" s="232"/>
      <c r="DQ1119" s="233"/>
      <c r="DR1119" s="233"/>
      <c r="DS1119" s="232"/>
      <c r="DT1119" s="232"/>
      <c r="DU1119" s="232"/>
      <c r="DV1119" s="232"/>
      <c r="DW1119" s="232"/>
      <c r="DX1119" s="232"/>
      <c r="DY1119" s="232"/>
      <c r="DZ1119" s="232"/>
      <c r="EA1119" s="232"/>
      <c r="EB1119" s="232"/>
      <c r="EC1119" s="232"/>
      <c r="ED1119" s="232"/>
      <c r="EE1119" s="232"/>
      <c r="EF1119" s="232"/>
      <c r="EG1119" s="232"/>
      <c r="EH1119" s="232"/>
      <c r="EI1119" s="232"/>
      <c r="EJ1119" s="232"/>
      <c r="EK1119" s="231"/>
      <c r="EL1119" s="231"/>
      <c r="EM1119" s="232"/>
      <c r="EN1119" s="232"/>
      <c r="EO1119" s="232"/>
      <c r="EP1119" s="232"/>
      <c r="EQ1119" s="232"/>
      <c r="ER1119" s="232"/>
      <c r="ES1119" s="232"/>
      <c r="ET1119" s="232"/>
      <c r="EU1119" s="232"/>
      <c r="EV1119" s="232"/>
      <c r="EW1119" s="232"/>
      <c r="EX1119" s="232"/>
      <c r="EY1119" s="232"/>
      <c r="EZ1119" s="232"/>
      <c r="FA1119" s="232"/>
      <c r="FB1119" s="232"/>
      <c r="FC1119" s="232"/>
      <c r="FD1119" s="232"/>
      <c r="FE1119" s="232"/>
      <c r="FF1119" s="232"/>
      <c r="FG1119" s="232"/>
      <c r="FH1119" s="232"/>
      <c r="FI1119" s="232"/>
      <c r="FJ1119" s="232"/>
      <c r="FK1119" s="232"/>
      <c r="FL1119" s="232"/>
      <c r="FM1119" s="232"/>
      <c r="FN1119" s="232"/>
      <c r="FO1119" s="232"/>
      <c r="FP1119" s="232"/>
      <c r="FQ1119" s="232"/>
      <c r="FR1119" s="232"/>
      <c r="FS1119" s="232"/>
      <c r="FT1119" s="232"/>
      <c r="FU1119" s="232"/>
      <c r="FV1119" s="232"/>
      <c r="FW1119" s="232"/>
      <c r="FX1119" s="232"/>
      <c r="FY1119" s="232"/>
      <c r="FZ1119" s="232"/>
      <c r="GA1119" s="232"/>
      <c r="GB1119" s="232"/>
      <c r="GC1119" s="232"/>
      <c r="GD1119" s="232"/>
      <c r="GE1119" s="232"/>
      <c r="GF1119" s="232"/>
      <c r="GG1119" s="232"/>
      <c r="GH1119" s="232"/>
      <c r="GI1119" s="232"/>
      <c r="GJ1119" s="232"/>
      <c r="GK1119" s="232"/>
      <c r="GL1119" s="232"/>
      <c r="GM1119" s="232"/>
      <c r="GN1119" s="294"/>
      <c r="GO1119" s="294"/>
      <c r="GP1119" s="292" t="s">
        <v>7494</v>
      </c>
      <c r="GQ1119" s="232"/>
      <c r="GR1119" s="232"/>
      <c r="GS1119" s="232"/>
      <c r="GT1119" s="232"/>
      <c r="GU1119" s="232"/>
      <c r="GV1119" s="232"/>
      <c r="GW1119" s="232"/>
      <c r="GX1119" s="232"/>
      <c r="GY1119" s="232"/>
      <c r="GZ1119" s="232"/>
      <c r="HA1119" s="232"/>
      <c r="HB1119" s="232"/>
      <c r="HC1119" s="232"/>
      <c r="HD1119" s="232"/>
      <c r="HE1119" s="232"/>
      <c r="HF1119" s="232"/>
      <c r="HG1119" s="232"/>
      <c r="HH1119" s="232"/>
      <c r="HI1119" s="232"/>
      <c r="HJ1119" s="232"/>
      <c r="HK1119" s="232"/>
      <c r="HL1119" s="232"/>
      <c r="HM1119" s="232"/>
      <c r="HN1119" s="232"/>
      <c r="HO1119" s="232"/>
      <c r="HP1119" s="232"/>
      <c r="HQ1119" s="232"/>
      <c r="HR1119" s="232"/>
      <c r="HS1119" s="232"/>
      <c r="HT1119" s="232"/>
      <c r="HU1119" s="232"/>
      <c r="HV1119" s="232"/>
      <c r="HW1119" s="232"/>
      <c r="HX1119" s="232"/>
      <c r="HY1119" s="232"/>
      <c r="HZ1119" s="232"/>
      <c r="IA1119" s="232"/>
      <c r="IB1119" s="232"/>
      <c r="IC1119" s="232">
        <v>8</v>
      </c>
      <c r="ID1119" s="232">
        <v>10</v>
      </c>
      <c r="IE1119" s="232"/>
      <c r="IF1119" s="232"/>
      <c r="IG1119" s="232" t="s">
        <v>1658</v>
      </c>
      <c r="IH1119" s="232"/>
      <c r="II1119" s="232"/>
      <c r="IJ1119" s="232"/>
      <c r="IK1119" s="232"/>
      <c r="IL1119" s="232"/>
      <c r="IM1119" s="232"/>
      <c r="IN1119" s="232"/>
      <c r="IO1119" s="232"/>
      <c r="IP1119" s="232"/>
      <c r="IQ1119" s="232"/>
      <c r="IR1119" s="232"/>
      <c r="IS1119" s="232"/>
      <c r="IT1119" s="232"/>
      <c r="IU1119" s="232"/>
      <c r="IV1119" s="232"/>
      <c r="IW1119" s="232"/>
      <c r="IX1119" s="232"/>
      <c r="IY1119" s="232"/>
      <c r="IZ1119" s="232"/>
      <c r="JA1119" s="232"/>
      <c r="JB1119" s="232"/>
      <c r="JC1119" s="232"/>
      <c r="JD1119" s="232"/>
      <c r="JE1119" s="232"/>
      <c r="JF1119" s="232"/>
      <c r="JG1119" s="232"/>
      <c r="JH1119" s="232"/>
      <c r="JI1119" s="232"/>
      <c r="JJ1119" s="232"/>
      <c r="JK1119" s="232"/>
      <c r="JL1119" s="232"/>
      <c r="JM1119" s="232"/>
      <c r="JN1119" s="232"/>
      <c r="JO1119" s="232"/>
      <c r="JP1119" s="232"/>
      <c r="JQ1119" s="232"/>
      <c r="JR1119" s="232"/>
      <c r="JS1119" s="232"/>
      <c r="JT1119" s="232"/>
      <c r="JU1119" s="181" t="s">
        <v>752</v>
      </c>
      <c r="JV1119" s="181"/>
      <c r="JW1119" s="181"/>
    </row>
    <row r="1120" spans="1:283" s="229" customFormat="1" x14ac:dyDescent="0.25">
      <c r="A1120" s="181">
        <v>1119</v>
      </c>
      <c r="B1120" s="229" t="s">
        <v>7067</v>
      </c>
      <c r="C1120" s="230">
        <v>53</v>
      </c>
      <c r="D1120" s="181" t="s">
        <v>3914</v>
      </c>
      <c r="E1120" s="231" t="s">
        <v>741</v>
      </c>
      <c r="F1120" s="231"/>
      <c r="G1120" s="181" t="s">
        <v>742</v>
      </c>
      <c r="H1120" s="181">
        <v>2006</v>
      </c>
      <c r="I1120" s="181">
        <v>2002</v>
      </c>
      <c r="J1120" s="181" t="s">
        <v>743</v>
      </c>
      <c r="K1120" s="181" t="s">
        <v>744</v>
      </c>
      <c r="L1120" s="181" t="s">
        <v>2737</v>
      </c>
      <c r="M1120" s="231">
        <v>33.950000000000003</v>
      </c>
      <c r="N1120" s="231">
        <v>-83.38</v>
      </c>
      <c r="O1120" s="231">
        <v>208.4</v>
      </c>
      <c r="P1120" s="181"/>
      <c r="Q1120" s="181"/>
      <c r="R1120" s="181">
        <v>971</v>
      </c>
      <c r="S1120" s="231">
        <f>588+645</f>
        <v>1233</v>
      </c>
      <c r="T1120" s="181"/>
      <c r="U1120" s="181">
        <v>3</v>
      </c>
      <c r="V1120" s="181" t="s">
        <v>1688</v>
      </c>
      <c r="W1120" s="181"/>
      <c r="X1120" s="181"/>
      <c r="Y1120" s="181" t="s">
        <v>1923</v>
      </c>
      <c r="Z1120" s="181" t="s">
        <v>1356</v>
      </c>
      <c r="AA1120" s="231" t="s">
        <v>1680</v>
      </c>
      <c r="AB1120" s="232"/>
      <c r="AC1120" s="232"/>
      <c r="AD1120" s="231"/>
      <c r="AE1120" s="231">
        <f>650/1000*100</f>
        <v>65</v>
      </c>
      <c r="AF1120" s="231">
        <f>25</f>
        <v>25</v>
      </c>
      <c r="AG1120" s="231"/>
      <c r="AH1120" s="181" t="s">
        <v>238</v>
      </c>
      <c r="AI1120" s="181">
        <v>6.6</v>
      </c>
      <c r="AJ1120" s="231">
        <v>0.88</v>
      </c>
      <c r="AK1120" s="231"/>
      <c r="AL1120" s="181"/>
      <c r="AM1120" s="181" t="s">
        <v>1311</v>
      </c>
      <c r="AN1120" s="185" t="s">
        <v>1482</v>
      </c>
      <c r="AO1120" s="185" t="s">
        <v>5150</v>
      </c>
      <c r="AP1120" s="181"/>
      <c r="AQ1120" s="181" t="s">
        <v>1546</v>
      </c>
      <c r="AR1120" s="181" t="s">
        <v>560</v>
      </c>
      <c r="AS1120" s="181" t="s">
        <v>5133</v>
      </c>
      <c r="AT1120" s="181" t="s">
        <v>751</v>
      </c>
      <c r="AU1120" s="181" t="s">
        <v>5150</v>
      </c>
      <c r="AV1120" s="185" t="s">
        <v>479</v>
      </c>
      <c r="AW1120" s="181" t="s">
        <v>751</v>
      </c>
      <c r="AX1120" s="185" t="s">
        <v>479</v>
      </c>
      <c r="AY1120" s="181" t="s">
        <v>176</v>
      </c>
      <c r="AZ1120" s="181" t="s">
        <v>746</v>
      </c>
      <c r="BA1120" s="181" t="s">
        <v>746</v>
      </c>
      <c r="BB1120" s="181" t="s">
        <v>2081</v>
      </c>
      <c r="BC1120" s="181" t="s">
        <v>2081</v>
      </c>
      <c r="BD1120" s="181" t="s">
        <v>176</v>
      </c>
      <c r="BE1120" s="226" t="s">
        <v>748</v>
      </c>
      <c r="BF1120" s="191" t="s">
        <v>479</v>
      </c>
      <c r="BG1120" s="181" t="s">
        <v>479</v>
      </c>
      <c r="BH1120" s="226" t="s">
        <v>748</v>
      </c>
      <c r="BI1120" s="181" t="s">
        <v>479</v>
      </c>
      <c r="BJ1120" s="181" t="s">
        <v>176</v>
      </c>
      <c r="BK1120" s="181" t="s">
        <v>5976</v>
      </c>
      <c r="BL1120" s="181"/>
      <c r="BM1120" s="192" t="s">
        <v>119</v>
      </c>
      <c r="BN1120" s="181">
        <v>3</v>
      </c>
      <c r="BO1120" s="181">
        <v>3</v>
      </c>
      <c r="BP1120" s="181"/>
      <c r="BQ1120" s="181" t="s">
        <v>315</v>
      </c>
      <c r="BR1120" s="181"/>
      <c r="BS1120" s="181">
        <v>5720</v>
      </c>
      <c r="BT1120" s="181">
        <v>11</v>
      </c>
      <c r="BU1120" s="181"/>
      <c r="BV1120" s="181"/>
      <c r="BW1120" s="232"/>
      <c r="BX1120" s="232"/>
      <c r="BY1120" s="232"/>
      <c r="BZ1120" s="232"/>
      <c r="CA1120" s="232"/>
      <c r="CB1120" s="183">
        <v>802</v>
      </c>
      <c r="CC1120" s="183">
        <v>787</v>
      </c>
      <c r="CD1120" s="183"/>
      <c r="CE1120" s="232"/>
      <c r="CF1120" s="232"/>
      <c r="CG1120" s="232"/>
      <c r="CH1120" s="231"/>
      <c r="CI1120" s="231"/>
      <c r="CJ1120" s="232"/>
      <c r="CK1120" s="232"/>
      <c r="CL1120" s="232"/>
      <c r="CM1120" s="232"/>
      <c r="CN1120" s="232"/>
      <c r="CO1120" s="232"/>
      <c r="CP1120" s="232"/>
      <c r="CQ1120" s="232"/>
      <c r="CR1120" s="232"/>
      <c r="CS1120" s="232"/>
      <c r="CT1120" s="232"/>
      <c r="CU1120" s="232"/>
      <c r="CV1120" s="232"/>
      <c r="CW1120" s="232"/>
      <c r="CX1120" s="232"/>
      <c r="CY1120" s="232"/>
      <c r="CZ1120" s="232"/>
      <c r="DA1120" s="232"/>
      <c r="DB1120" s="232"/>
      <c r="DC1120" s="232"/>
      <c r="DD1120" s="232"/>
      <c r="DE1120" s="232"/>
      <c r="DF1120" s="232"/>
      <c r="DG1120" s="232"/>
      <c r="DH1120" s="232"/>
      <c r="DI1120" s="232"/>
      <c r="DJ1120" s="232"/>
      <c r="DK1120" s="232"/>
      <c r="DL1120" s="232"/>
      <c r="DM1120" s="232"/>
      <c r="DN1120" s="232"/>
      <c r="DO1120" s="232"/>
      <c r="DP1120" s="232"/>
      <c r="DQ1120" s="233"/>
      <c r="DR1120" s="233"/>
      <c r="DS1120" s="232"/>
      <c r="DT1120" s="232"/>
      <c r="DU1120" s="232"/>
      <c r="DV1120" s="232"/>
      <c r="DW1120" s="232"/>
      <c r="DX1120" s="232"/>
      <c r="DY1120" s="232"/>
      <c r="DZ1120" s="232"/>
      <c r="EA1120" s="232"/>
      <c r="EB1120" s="232"/>
      <c r="EC1120" s="232"/>
      <c r="ED1120" s="232"/>
      <c r="EE1120" s="232"/>
      <c r="EF1120" s="232"/>
      <c r="EG1120" s="232"/>
      <c r="EH1120" s="232"/>
      <c r="EI1120" s="232"/>
      <c r="EJ1120" s="232"/>
      <c r="EK1120" s="231"/>
      <c r="EL1120" s="231"/>
      <c r="EM1120" s="232"/>
      <c r="EN1120" s="232"/>
      <c r="EO1120" s="232"/>
      <c r="EP1120" s="232"/>
      <c r="EQ1120" s="232"/>
      <c r="ER1120" s="232"/>
      <c r="ES1120" s="232"/>
      <c r="ET1120" s="232"/>
      <c r="EU1120" s="232"/>
      <c r="EV1120" s="232"/>
      <c r="EW1120" s="232"/>
      <c r="EX1120" s="232"/>
      <c r="EY1120" s="232"/>
      <c r="EZ1120" s="232"/>
      <c r="FA1120" s="232"/>
      <c r="FB1120" s="232"/>
      <c r="FC1120" s="232"/>
      <c r="FD1120" s="232"/>
      <c r="FE1120" s="232"/>
      <c r="FF1120" s="232"/>
      <c r="FG1120" s="232"/>
      <c r="FH1120" s="232"/>
      <c r="FI1120" s="232"/>
      <c r="FJ1120" s="232"/>
      <c r="FK1120" s="232"/>
      <c r="FL1120" s="232"/>
      <c r="FM1120" s="232"/>
      <c r="FN1120" s="232"/>
      <c r="FO1120" s="232"/>
      <c r="FP1120" s="232"/>
      <c r="FQ1120" s="232"/>
      <c r="FR1120" s="232"/>
      <c r="FS1120" s="232"/>
      <c r="FT1120" s="232"/>
      <c r="FU1120" s="232"/>
      <c r="FV1120" s="232"/>
      <c r="FW1120" s="232"/>
      <c r="FX1120" s="232"/>
      <c r="FY1120" s="232"/>
      <c r="FZ1120" s="232"/>
      <c r="GA1120" s="232"/>
      <c r="GB1120" s="232"/>
      <c r="GC1120" s="232"/>
      <c r="GD1120" s="232"/>
      <c r="GE1120" s="232"/>
      <c r="GF1120" s="232"/>
      <c r="GG1120" s="232"/>
      <c r="GH1120" s="232"/>
      <c r="GI1120" s="232"/>
      <c r="GJ1120" s="232"/>
      <c r="GK1120" s="232"/>
      <c r="GL1120" s="232"/>
      <c r="GM1120" s="232"/>
      <c r="GN1120" s="294"/>
      <c r="GO1120" s="294"/>
      <c r="GP1120" s="292" t="s">
        <v>7494</v>
      </c>
      <c r="GQ1120" s="232"/>
      <c r="GR1120" s="232"/>
      <c r="GS1120" s="232"/>
      <c r="GT1120" s="232"/>
      <c r="GU1120" s="232"/>
      <c r="GV1120" s="232"/>
      <c r="GW1120" s="232"/>
      <c r="GX1120" s="232"/>
      <c r="GY1120" s="232"/>
      <c r="GZ1120" s="232"/>
      <c r="HA1120" s="232"/>
      <c r="HB1120" s="232"/>
      <c r="HC1120" s="232"/>
      <c r="HD1120" s="232"/>
      <c r="HE1120" s="232"/>
      <c r="HF1120" s="232"/>
      <c r="HG1120" s="232"/>
      <c r="HH1120" s="232"/>
      <c r="HI1120" s="232"/>
      <c r="HJ1120" s="232"/>
      <c r="HK1120" s="232"/>
      <c r="HL1120" s="232"/>
      <c r="HM1120" s="232"/>
      <c r="HN1120" s="232"/>
      <c r="HO1120" s="232"/>
      <c r="HP1120" s="232"/>
      <c r="HQ1120" s="232"/>
      <c r="HR1120" s="232"/>
      <c r="HS1120" s="232"/>
      <c r="HT1120" s="232"/>
      <c r="HU1120" s="232"/>
      <c r="HV1120" s="232"/>
      <c r="HW1120" s="232"/>
      <c r="HX1120" s="232"/>
      <c r="HY1120" s="232"/>
      <c r="HZ1120" s="232"/>
      <c r="IA1120" s="232"/>
      <c r="IB1120" s="232"/>
      <c r="IC1120" s="232">
        <v>14</v>
      </c>
      <c r="ID1120" s="232">
        <v>12</v>
      </c>
      <c r="IE1120" s="232"/>
      <c r="IF1120" s="232"/>
      <c r="IG1120" s="232" t="s">
        <v>1658</v>
      </c>
      <c r="IH1120" s="232"/>
      <c r="II1120" s="232"/>
      <c r="IJ1120" s="232"/>
      <c r="IK1120" s="232"/>
      <c r="IL1120" s="232"/>
      <c r="IM1120" s="232"/>
      <c r="IN1120" s="232"/>
      <c r="IO1120" s="232"/>
      <c r="IP1120" s="232"/>
      <c r="IQ1120" s="232"/>
      <c r="IR1120" s="232"/>
      <c r="IS1120" s="232"/>
      <c r="IT1120" s="232"/>
      <c r="IU1120" s="232"/>
      <c r="IV1120" s="232"/>
      <c r="IW1120" s="232"/>
      <c r="IX1120" s="232"/>
      <c r="IY1120" s="232"/>
      <c r="IZ1120" s="232"/>
      <c r="JA1120" s="232"/>
      <c r="JB1120" s="232"/>
      <c r="JC1120" s="232"/>
      <c r="JD1120" s="232"/>
      <c r="JE1120" s="232"/>
      <c r="JF1120" s="232"/>
      <c r="JG1120" s="232"/>
      <c r="JH1120" s="232"/>
      <c r="JI1120" s="232"/>
      <c r="JJ1120" s="232"/>
      <c r="JK1120" s="232"/>
      <c r="JL1120" s="232"/>
      <c r="JM1120" s="232"/>
      <c r="JN1120" s="232"/>
      <c r="JO1120" s="232"/>
      <c r="JP1120" s="232"/>
      <c r="JQ1120" s="232"/>
      <c r="JR1120" s="232"/>
      <c r="JS1120" s="232"/>
      <c r="JT1120" s="232"/>
      <c r="JU1120" s="181" t="s">
        <v>752</v>
      </c>
      <c r="JV1120" s="181"/>
      <c r="JW1120" s="181"/>
    </row>
    <row r="1121" spans="1:283" x14ac:dyDescent="0.25">
      <c r="A1121" s="55">
        <v>1120</v>
      </c>
      <c r="B1121" s="12" t="s">
        <v>7067</v>
      </c>
      <c r="C1121" s="155">
        <v>53</v>
      </c>
      <c r="D1121" s="55" t="s">
        <v>3918</v>
      </c>
      <c r="E1121" s="90" t="s">
        <v>741</v>
      </c>
      <c r="G1121" s="55" t="s">
        <v>742</v>
      </c>
      <c r="H1121" s="55">
        <v>2006</v>
      </c>
      <c r="I1121" s="55">
        <v>2000</v>
      </c>
      <c r="J1121" s="55" t="s">
        <v>743</v>
      </c>
      <c r="K1121" s="55" t="s">
        <v>744</v>
      </c>
      <c r="L1121" s="55" t="s">
        <v>2737</v>
      </c>
      <c r="M1121" s="90">
        <v>33.950000000000003</v>
      </c>
      <c r="N1121" s="90">
        <v>-83.38</v>
      </c>
      <c r="O1121" s="90">
        <v>208.4</v>
      </c>
      <c r="R1121" s="55">
        <f>278+505</f>
        <v>783</v>
      </c>
      <c r="S1121" s="90">
        <f>588+645</f>
        <v>1233</v>
      </c>
      <c r="U1121" s="55">
        <v>1</v>
      </c>
      <c r="V1121" s="55" t="s">
        <v>1688</v>
      </c>
      <c r="Y1121" s="55" t="s">
        <v>753</v>
      </c>
      <c r="Z1121" s="55" t="s">
        <v>1355</v>
      </c>
      <c r="AA1121" s="90" t="s">
        <v>1680</v>
      </c>
      <c r="AE1121" s="90">
        <f>650/1000*100</f>
        <v>65</v>
      </c>
      <c r="AF1121" s="90">
        <f>25</f>
        <v>25</v>
      </c>
      <c r="AH1121" s="55" t="s">
        <v>238</v>
      </c>
      <c r="AI1121" s="168">
        <v>6.6</v>
      </c>
      <c r="AJ1121" s="90">
        <v>0.88</v>
      </c>
      <c r="AM1121" s="55" t="s">
        <v>1311</v>
      </c>
      <c r="AN1121" s="185" t="s">
        <v>131</v>
      </c>
      <c r="AO1121" s="185" t="s">
        <v>5150</v>
      </c>
      <c r="AQ1121" s="55" t="s">
        <v>131</v>
      </c>
      <c r="AR1121" s="55" t="s">
        <v>560</v>
      </c>
      <c r="AS1121" s="55" t="s">
        <v>5133</v>
      </c>
      <c r="AT1121" s="181" t="s">
        <v>751</v>
      </c>
      <c r="AU1121" s="181" t="s">
        <v>5150</v>
      </c>
      <c r="AV1121" s="185" t="s">
        <v>176</v>
      </c>
      <c r="AW1121" s="55" t="s">
        <v>751</v>
      </c>
      <c r="AX1121" s="185" t="s">
        <v>176</v>
      </c>
      <c r="AY1121" s="55" t="s">
        <v>176</v>
      </c>
      <c r="BK1121" s="55" t="s">
        <v>5976</v>
      </c>
      <c r="BM1121" s="192" t="s">
        <v>119</v>
      </c>
      <c r="BN1121" s="55">
        <v>3</v>
      </c>
      <c r="BO1121" s="55">
        <v>3</v>
      </c>
      <c r="BQ1121" s="55" t="s">
        <v>315</v>
      </c>
      <c r="BS1121" s="55">
        <f>6.07*1000</f>
        <v>6070</v>
      </c>
      <c r="BT1121" s="55">
        <v>29</v>
      </c>
      <c r="DB1121" s="65">
        <v>5.4824000000000002</v>
      </c>
      <c r="DC1121" s="65">
        <v>4.6144000000000007</v>
      </c>
      <c r="DF1121" s="65" t="s">
        <v>442</v>
      </c>
      <c r="GP1121" s="292" t="s">
        <v>7494</v>
      </c>
      <c r="JU1121" s="55" t="s">
        <v>752</v>
      </c>
    </row>
    <row r="1122" spans="1:283" x14ac:dyDescent="0.25">
      <c r="A1122" s="55">
        <v>1121</v>
      </c>
      <c r="B1122" s="12" t="s">
        <v>7067</v>
      </c>
      <c r="C1122" s="155">
        <v>53</v>
      </c>
      <c r="D1122" s="55" t="s">
        <v>3919</v>
      </c>
      <c r="E1122" s="90" t="s">
        <v>741</v>
      </c>
      <c r="G1122" s="55" t="s">
        <v>742</v>
      </c>
      <c r="H1122" s="55">
        <v>2006</v>
      </c>
      <c r="I1122" s="55">
        <v>2000</v>
      </c>
      <c r="J1122" s="55" t="s">
        <v>743</v>
      </c>
      <c r="K1122" s="55" t="s">
        <v>744</v>
      </c>
      <c r="L1122" s="55" t="s">
        <v>2737</v>
      </c>
      <c r="M1122" s="90">
        <v>33.950000000000003</v>
      </c>
      <c r="N1122" s="90">
        <v>-83.38</v>
      </c>
      <c r="O1122" s="90">
        <v>208.4</v>
      </c>
      <c r="R1122" s="55">
        <f>278+505</f>
        <v>783</v>
      </c>
      <c r="S1122" s="90">
        <f>588+645</f>
        <v>1233</v>
      </c>
      <c r="U1122" s="55">
        <v>1</v>
      </c>
      <c r="V1122" s="55" t="s">
        <v>1688</v>
      </c>
      <c r="Y1122" s="55" t="s">
        <v>753</v>
      </c>
      <c r="Z1122" s="55" t="s">
        <v>1355</v>
      </c>
      <c r="AA1122" s="90" t="s">
        <v>1680</v>
      </c>
      <c r="AE1122" s="90">
        <f>650/1000*100</f>
        <v>65</v>
      </c>
      <c r="AF1122" s="90">
        <f>25</f>
        <v>25</v>
      </c>
      <c r="AH1122" s="55" t="s">
        <v>238</v>
      </c>
      <c r="AI1122" s="168">
        <v>6.6</v>
      </c>
      <c r="AJ1122" s="90">
        <v>0.88</v>
      </c>
      <c r="AM1122" s="55" t="s">
        <v>1311</v>
      </c>
      <c r="AN1122" s="185" t="s">
        <v>241</v>
      </c>
      <c r="AO1122" s="185" t="s">
        <v>5150</v>
      </c>
      <c r="AQ1122" s="55" t="s">
        <v>553</v>
      </c>
      <c r="AR1122" s="55" t="s">
        <v>560</v>
      </c>
      <c r="AS1122" s="55" t="s">
        <v>5133</v>
      </c>
      <c r="AT1122" s="181" t="s">
        <v>751</v>
      </c>
      <c r="AU1122" s="181" t="s">
        <v>5150</v>
      </c>
      <c r="AV1122" s="185" t="s">
        <v>176</v>
      </c>
      <c r="AW1122" s="55" t="s">
        <v>751</v>
      </c>
      <c r="AX1122" s="185" t="s">
        <v>176</v>
      </c>
      <c r="AY1122" s="55" t="s">
        <v>176</v>
      </c>
      <c r="BK1122" s="55" t="s">
        <v>5976</v>
      </c>
      <c r="BM1122" s="192" t="s">
        <v>119</v>
      </c>
      <c r="BN1122" s="55">
        <v>3</v>
      </c>
      <c r="BO1122" s="55">
        <v>3</v>
      </c>
      <c r="BQ1122" s="55" t="s">
        <v>315</v>
      </c>
      <c r="BS1122" s="55">
        <v>5100</v>
      </c>
      <c r="BT1122" s="55">
        <v>12</v>
      </c>
      <c r="DB1122" s="65">
        <v>5.4824000000000002</v>
      </c>
      <c r="DC1122" s="65">
        <v>7.0364000000000004</v>
      </c>
      <c r="DF1122" s="65" t="s">
        <v>442</v>
      </c>
      <c r="GP1122" s="292" t="s">
        <v>7494</v>
      </c>
      <c r="JU1122" s="55" t="s">
        <v>752</v>
      </c>
    </row>
    <row r="1123" spans="1:283" s="229" customFormat="1" x14ac:dyDescent="0.25">
      <c r="A1123" s="181">
        <v>1122</v>
      </c>
      <c r="B1123" s="229" t="s">
        <v>7067</v>
      </c>
      <c r="C1123" s="230">
        <v>53</v>
      </c>
      <c r="D1123" s="181" t="s">
        <v>3918</v>
      </c>
      <c r="E1123" s="231" t="s">
        <v>741</v>
      </c>
      <c r="F1123" s="231"/>
      <c r="G1123" s="181" t="s">
        <v>742</v>
      </c>
      <c r="H1123" s="181">
        <v>2006</v>
      </c>
      <c r="I1123" s="181">
        <v>2000</v>
      </c>
      <c r="J1123" s="181" t="s">
        <v>743</v>
      </c>
      <c r="K1123" s="181" t="s">
        <v>744</v>
      </c>
      <c r="L1123" s="181" t="s">
        <v>2737</v>
      </c>
      <c r="M1123" s="231">
        <v>33.950000000000003</v>
      </c>
      <c r="N1123" s="231">
        <v>-83.38</v>
      </c>
      <c r="O1123" s="231">
        <v>208.4</v>
      </c>
      <c r="P1123" s="181"/>
      <c r="Q1123" s="181"/>
      <c r="R1123" s="181">
        <f>278+505</f>
        <v>783</v>
      </c>
      <c r="S1123" s="231">
        <f>588+645</f>
        <v>1233</v>
      </c>
      <c r="T1123" s="181"/>
      <c r="U1123" s="181">
        <v>1</v>
      </c>
      <c r="V1123" s="181" t="s">
        <v>1688</v>
      </c>
      <c r="W1123" s="181"/>
      <c r="X1123" s="181"/>
      <c r="Y1123" s="181" t="s">
        <v>753</v>
      </c>
      <c r="Z1123" s="181" t="s">
        <v>1355</v>
      </c>
      <c r="AA1123" s="231" t="s">
        <v>1680</v>
      </c>
      <c r="AB1123" s="232"/>
      <c r="AC1123" s="232"/>
      <c r="AD1123" s="231"/>
      <c r="AE1123" s="231">
        <f>650/1000*100</f>
        <v>65</v>
      </c>
      <c r="AF1123" s="231">
        <f>25</f>
        <v>25</v>
      </c>
      <c r="AG1123" s="231"/>
      <c r="AH1123" s="181" t="s">
        <v>238</v>
      </c>
      <c r="AI1123" s="181">
        <v>6.6</v>
      </c>
      <c r="AJ1123" s="231">
        <v>0.88</v>
      </c>
      <c r="AK1123" s="231"/>
      <c r="AL1123" s="181"/>
      <c r="AM1123" s="181" t="s">
        <v>1311</v>
      </c>
      <c r="AN1123" s="185" t="s">
        <v>1482</v>
      </c>
      <c r="AO1123" s="185" t="s">
        <v>5150</v>
      </c>
      <c r="AP1123" s="181"/>
      <c r="AQ1123" s="181" t="s">
        <v>1546</v>
      </c>
      <c r="AR1123" s="181" t="s">
        <v>560</v>
      </c>
      <c r="AS1123" s="181" t="s">
        <v>5133</v>
      </c>
      <c r="AT1123" s="181" t="s">
        <v>751</v>
      </c>
      <c r="AU1123" s="181" t="s">
        <v>5150</v>
      </c>
      <c r="AV1123" s="185" t="s">
        <v>479</v>
      </c>
      <c r="AW1123" s="181" t="s">
        <v>751</v>
      </c>
      <c r="AX1123" s="185" t="s">
        <v>479</v>
      </c>
      <c r="AY1123" s="181" t="s">
        <v>176</v>
      </c>
      <c r="AZ1123" s="181"/>
      <c r="BA1123" s="181"/>
      <c r="BB1123" s="181"/>
      <c r="BC1123" s="181"/>
      <c r="BD1123" s="181"/>
      <c r="BE1123" s="226"/>
      <c r="BF1123" s="181"/>
      <c r="BG1123" s="181"/>
      <c r="BH1123" s="226"/>
      <c r="BI1123" s="181"/>
      <c r="BJ1123" s="181"/>
      <c r="BK1123" s="181" t="s">
        <v>5976</v>
      </c>
      <c r="BL1123" s="181"/>
      <c r="BM1123" s="192" t="s">
        <v>119</v>
      </c>
      <c r="BN1123" s="181">
        <v>3</v>
      </c>
      <c r="BO1123" s="181">
        <v>3</v>
      </c>
      <c r="BP1123" s="181"/>
      <c r="BQ1123" s="181" t="s">
        <v>315</v>
      </c>
      <c r="BR1123" s="181"/>
      <c r="BS1123" s="181">
        <v>8180</v>
      </c>
      <c r="BT1123" s="181">
        <v>10</v>
      </c>
      <c r="BU1123" s="181"/>
      <c r="BV1123" s="181"/>
      <c r="BW1123" s="232"/>
      <c r="BX1123" s="232"/>
      <c r="BY1123" s="232"/>
      <c r="BZ1123" s="232"/>
      <c r="CA1123" s="232"/>
      <c r="CB1123" s="183"/>
      <c r="CC1123" s="183"/>
      <c r="CD1123" s="183"/>
      <c r="CE1123" s="232"/>
      <c r="CF1123" s="232"/>
      <c r="CG1123" s="232"/>
      <c r="CH1123" s="231"/>
      <c r="CI1123" s="231"/>
      <c r="CJ1123" s="232"/>
      <c r="CK1123" s="232"/>
      <c r="CL1123" s="232"/>
      <c r="CM1123" s="232"/>
      <c r="CN1123" s="232"/>
      <c r="CO1123" s="232"/>
      <c r="CP1123" s="232"/>
      <c r="CQ1123" s="232"/>
      <c r="CR1123" s="232"/>
      <c r="CS1123" s="232"/>
      <c r="CT1123" s="232"/>
      <c r="CU1123" s="232"/>
      <c r="CV1123" s="232"/>
      <c r="CW1123" s="232"/>
      <c r="CX1123" s="232"/>
      <c r="CY1123" s="232"/>
      <c r="CZ1123" s="232"/>
      <c r="DA1123" s="232"/>
      <c r="DB1123" s="232">
        <v>5.4824000000000002</v>
      </c>
      <c r="DC1123" s="232">
        <v>5.4824000000000002</v>
      </c>
      <c r="DD1123" s="232"/>
      <c r="DE1123" s="232"/>
      <c r="DF1123" s="232" t="s">
        <v>442</v>
      </c>
      <c r="DG1123" s="232"/>
      <c r="DH1123" s="232"/>
      <c r="DI1123" s="232"/>
      <c r="DJ1123" s="232"/>
      <c r="DK1123" s="232"/>
      <c r="DL1123" s="232"/>
      <c r="DM1123" s="232"/>
      <c r="DN1123" s="232"/>
      <c r="DO1123" s="232"/>
      <c r="DP1123" s="232"/>
      <c r="DQ1123" s="233"/>
      <c r="DR1123" s="233"/>
      <c r="DS1123" s="232"/>
      <c r="DT1123" s="232"/>
      <c r="DU1123" s="232"/>
      <c r="DV1123" s="232"/>
      <c r="DW1123" s="232"/>
      <c r="DX1123" s="232"/>
      <c r="DY1123" s="232"/>
      <c r="DZ1123" s="232"/>
      <c r="EA1123" s="232"/>
      <c r="EB1123" s="232"/>
      <c r="EC1123" s="232"/>
      <c r="ED1123" s="232"/>
      <c r="EE1123" s="232"/>
      <c r="EF1123" s="232"/>
      <c r="EG1123" s="232"/>
      <c r="EH1123" s="232"/>
      <c r="EI1123" s="232"/>
      <c r="EJ1123" s="232"/>
      <c r="EK1123" s="231"/>
      <c r="EL1123" s="231"/>
      <c r="EM1123" s="232"/>
      <c r="EN1123" s="232"/>
      <c r="EO1123" s="232"/>
      <c r="EP1123" s="232"/>
      <c r="EQ1123" s="232"/>
      <c r="ER1123" s="232"/>
      <c r="ES1123" s="232"/>
      <c r="ET1123" s="232"/>
      <c r="EU1123" s="232"/>
      <c r="EV1123" s="232"/>
      <c r="EW1123" s="232"/>
      <c r="EX1123" s="232"/>
      <c r="EY1123" s="232"/>
      <c r="EZ1123" s="232"/>
      <c r="FA1123" s="232"/>
      <c r="FB1123" s="232"/>
      <c r="FC1123" s="232"/>
      <c r="FD1123" s="232"/>
      <c r="FE1123" s="232"/>
      <c r="FF1123" s="232"/>
      <c r="FG1123" s="232"/>
      <c r="FH1123" s="232"/>
      <c r="FI1123" s="232"/>
      <c r="FJ1123" s="232"/>
      <c r="FK1123" s="232"/>
      <c r="FL1123" s="232"/>
      <c r="FM1123" s="232"/>
      <c r="FN1123" s="232"/>
      <c r="FO1123" s="232"/>
      <c r="FP1123" s="232"/>
      <c r="FQ1123" s="232"/>
      <c r="FR1123" s="232"/>
      <c r="FS1123" s="232"/>
      <c r="FT1123" s="232"/>
      <c r="FU1123" s="232"/>
      <c r="FV1123" s="232"/>
      <c r="FW1123" s="232"/>
      <c r="FX1123" s="232"/>
      <c r="FY1123" s="232"/>
      <c r="FZ1123" s="232"/>
      <c r="GA1123" s="232"/>
      <c r="GB1123" s="232"/>
      <c r="GC1123" s="232"/>
      <c r="GD1123" s="232"/>
      <c r="GE1123" s="232"/>
      <c r="GF1123" s="232"/>
      <c r="GG1123" s="232"/>
      <c r="GH1123" s="232"/>
      <c r="GI1123" s="232"/>
      <c r="GJ1123" s="232"/>
      <c r="GK1123" s="232"/>
      <c r="GL1123" s="232"/>
      <c r="GM1123" s="232"/>
      <c r="GN1123" s="294"/>
      <c r="GO1123" s="294"/>
      <c r="GP1123" s="292" t="s">
        <v>7494</v>
      </c>
      <c r="GQ1123" s="232"/>
      <c r="GR1123" s="232"/>
      <c r="GS1123" s="232"/>
      <c r="GT1123" s="232"/>
      <c r="GU1123" s="232"/>
      <c r="GV1123" s="232"/>
      <c r="GW1123" s="232"/>
      <c r="GX1123" s="232"/>
      <c r="GY1123" s="232"/>
      <c r="GZ1123" s="232"/>
      <c r="HA1123" s="232"/>
      <c r="HB1123" s="232"/>
      <c r="HC1123" s="232"/>
      <c r="HD1123" s="232"/>
      <c r="HE1123" s="232"/>
      <c r="HF1123" s="232"/>
      <c r="HG1123" s="232"/>
      <c r="HH1123" s="232"/>
      <c r="HI1123" s="232"/>
      <c r="HJ1123" s="232"/>
      <c r="HK1123" s="232"/>
      <c r="HL1123" s="232"/>
      <c r="HM1123" s="232"/>
      <c r="HN1123" s="232"/>
      <c r="HO1123" s="232"/>
      <c r="HP1123" s="232"/>
      <c r="HQ1123" s="232"/>
      <c r="HR1123" s="232"/>
      <c r="HS1123" s="232"/>
      <c r="HT1123" s="232"/>
      <c r="HU1123" s="232"/>
      <c r="HV1123" s="232"/>
      <c r="HW1123" s="232"/>
      <c r="HX1123" s="232"/>
      <c r="HY1123" s="232"/>
      <c r="HZ1123" s="232"/>
      <c r="IA1123" s="232"/>
      <c r="IB1123" s="232"/>
      <c r="IC1123" s="232"/>
      <c r="ID1123" s="232"/>
      <c r="IE1123" s="232"/>
      <c r="IF1123" s="232"/>
      <c r="IG1123" s="232"/>
      <c r="IH1123" s="232"/>
      <c r="II1123" s="232"/>
      <c r="IJ1123" s="232"/>
      <c r="IK1123" s="232"/>
      <c r="IL1123" s="232"/>
      <c r="IM1123" s="232"/>
      <c r="IN1123" s="232"/>
      <c r="IO1123" s="232"/>
      <c r="IP1123" s="232"/>
      <c r="IQ1123" s="232"/>
      <c r="IR1123" s="232"/>
      <c r="IS1123" s="232"/>
      <c r="IT1123" s="232"/>
      <c r="IU1123" s="232"/>
      <c r="IV1123" s="232"/>
      <c r="IW1123" s="232"/>
      <c r="IX1123" s="232"/>
      <c r="IY1123" s="232"/>
      <c r="IZ1123" s="232"/>
      <c r="JA1123" s="232"/>
      <c r="JB1123" s="232"/>
      <c r="JC1123" s="232"/>
      <c r="JD1123" s="232"/>
      <c r="JE1123" s="232"/>
      <c r="JF1123" s="232"/>
      <c r="JG1123" s="232"/>
      <c r="JH1123" s="232"/>
      <c r="JI1123" s="232"/>
      <c r="JJ1123" s="232"/>
      <c r="JK1123" s="232"/>
      <c r="JL1123" s="232"/>
      <c r="JM1123" s="232"/>
      <c r="JN1123" s="232"/>
      <c r="JO1123" s="232"/>
      <c r="JP1123" s="232"/>
      <c r="JQ1123" s="232"/>
      <c r="JR1123" s="232"/>
      <c r="JS1123" s="232"/>
      <c r="JT1123" s="232"/>
      <c r="JU1123" s="181" t="s">
        <v>752</v>
      </c>
      <c r="JV1123" s="181"/>
      <c r="JW1123" s="181"/>
    </row>
    <row r="1124" spans="1:283" x14ac:dyDescent="0.25">
      <c r="A1124" s="55">
        <v>1123</v>
      </c>
      <c r="B1124" s="12" t="s">
        <v>7067</v>
      </c>
      <c r="C1124" s="155">
        <v>53</v>
      </c>
      <c r="D1124" s="55" t="s">
        <v>3919</v>
      </c>
      <c r="E1124" s="90" t="s">
        <v>741</v>
      </c>
      <c r="G1124" s="55" t="s">
        <v>742</v>
      </c>
      <c r="H1124" s="55">
        <v>2006</v>
      </c>
      <c r="I1124" s="55">
        <v>2000</v>
      </c>
      <c r="J1124" s="55" t="s">
        <v>743</v>
      </c>
      <c r="K1124" s="55" t="s">
        <v>744</v>
      </c>
      <c r="L1124" s="55" t="s">
        <v>2737</v>
      </c>
      <c r="M1124" s="90">
        <v>33.950000000000003</v>
      </c>
      <c r="N1124" s="90">
        <v>-83.38</v>
      </c>
      <c r="O1124" s="90">
        <v>208.4</v>
      </c>
      <c r="R1124" s="55">
        <f>278+505</f>
        <v>783</v>
      </c>
      <c r="S1124" s="90">
        <f>588+645</f>
        <v>1233</v>
      </c>
      <c r="U1124" s="55">
        <v>1</v>
      </c>
      <c r="V1124" s="55" t="s">
        <v>1688</v>
      </c>
      <c r="Y1124" s="55" t="s">
        <v>754</v>
      </c>
      <c r="Z1124" s="55" t="s">
        <v>1355</v>
      </c>
      <c r="AA1124" s="90" t="s">
        <v>1680</v>
      </c>
      <c r="AE1124" s="90">
        <f>650/1000*100</f>
        <v>65</v>
      </c>
      <c r="AF1124" s="90">
        <f>25</f>
        <v>25</v>
      </c>
      <c r="AH1124" s="55" t="s">
        <v>238</v>
      </c>
      <c r="AI1124" s="168">
        <v>6.6</v>
      </c>
      <c r="AJ1124" s="90">
        <v>0.88</v>
      </c>
      <c r="AM1124" s="55" t="s">
        <v>1311</v>
      </c>
      <c r="AN1124" s="185" t="s">
        <v>131</v>
      </c>
      <c r="AO1124" s="185" t="s">
        <v>5150</v>
      </c>
      <c r="AQ1124" s="55" t="s">
        <v>131</v>
      </c>
      <c r="AR1124" s="55" t="s">
        <v>560</v>
      </c>
      <c r="AS1124" s="55" t="s">
        <v>5133</v>
      </c>
      <c r="AT1124" s="181" t="s">
        <v>751</v>
      </c>
      <c r="AU1124" s="181" t="s">
        <v>5150</v>
      </c>
      <c r="AV1124" s="185" t="s">
        <v>176</v>
      </c>
      <c r="AW1124" s="55" t="s">
        <v>751</v>
      </c>
      <c r="AX1124" s="185" t="s">
        <v>176</v>
      </c>
      <c r="AY1124" s="55" t="s">
        <v>176</v>
      </c>
      <c r="BK1124" s="55" t="s">
        <v>5976</v>
      </c>
      <c r="BM1124" s="192" t="s">
        <v>119</v>
      </c>
      <c r="BN1124" s="55">
        <v>3</v>
      </c>
      <c r="BO1124" s="55">
        <v>3</v>
      </c>
      <c r="BQ1124" s="55" t="s">
        <v>315</v>
      </c>
      <c r="BS1124" s="55">
        <v>6070</v>
      </c>
      <c r="BT1124" s="55">
        <v>29</v>
      </c>
      <c r="DB1124" s="65">
        <v>5.9444000000000008</v>
      </c>
      <c r="DC1124" s="65">
        <v>5.4880000000000013</v>
      </c>
      <c r="DF1124" s="65" t="s">
        <v>442</v>
      </c>
      <c r="GP1124" s="292" t="s">
        <v>7494</v>
      </c>
      <c r="JU1124" s="55" t="s">
        <v>752</v>
      </c>
    </row>
    <row r="1125" spans="1:283" x14ac:dyDescent="0.25">
      <c r="A1125" s="55">
        <v>1124</v>
      </c>
      <c r="B1125" s="12" t="s">
        <v>7067</v>
      </c>
      <c r="C1125" s="155">
        <v>53</v>
      </c>
      <c r="D1125" s="55" t="s">
        <v>3918</v>
      </c>
      <c r="E1125" s="90" t="s">
        <v>741</v>
      </c>
      <c r="G1125" s="55" t="s">
        <v>742</v>
      </c>
      <c r="H1125" s="55">
        <v>2006</v>
      </c>
      <c r="I1125" s="55">
        <v>2000</v>
      </c>
      <c r="J1125" s="55" t="s">
        <v>743</v>
      </c>
      <c r="K1125" s="55" t="s">
        <v>744</v>
      </c>
      <c r="L1125" s="55" t="s">
        <v>2737</v>
      </c>
      <c r="M1125" s="90">
        <v>33.950000000000003</v>
      </c>
      <c r="N1125" s="90">
        <v>-83.38</v>
      </c>
      <c r="O1125" s="90">
        <v>208.4</v>
      </c>
      <c r="R1125" s="55">
        <f>278+505</f>
        <v>783</v>
      </c>
      <c r="S1125" s="90">
        <f>588+645</f>
        <v>1233</v>
      </c>
      <c r="U1125" s="55">
        <v>1</v>
      </c>
      <c r="V1125" s="55" t="s">
        <v>1688</v>
      </c>
      <c r="Y1125" s="55" t="s">
        <v>754</v>
      </c>
      <c r="Z1125" s="55" t="s">
        <v>1355</v>
      </c>
      <c r="AA1125" s="90" t="s">
        <v>1680</v>
      </c>
      <c r="AE1125" s="90">
        <f>650/1000*100</f>
        <v>65</v>
      </c>
      <c r="AF1125" s="90">
        <f>25</f>
        <v>25</v>
      </c>
      <c r="AH1125" s="55" t="s">
        <v>238</v>
      </c>
      <c r="AI1125" s="168">
        <v>6.6</v>
      </c>
      <c r="AJ1125" s="90">
        <v>0.88</v>
      </c>
      <c r="AM1125" s="55" t="s">
        <v>1311</v>
      </c>
      <c r="AN1125" s="185" t="s">
        <v>241</v>
      </c>
      <c r="AO1125" s="185" t="s">
        <v>5150</v>
      </c>
      <c r="AQ1125" s="55" t="s">
        <v>553</v>
      </c>
      <c r="AR1125" s="55" t="s">
        <v>560</v>
      </c>
      <c r="AS1125" s="55" t="s">
        <v>5133</v>
      </c>
      <c r="AT1125" s="181" t="s">
        <v>751</v>
      </c>
      <c r="AU1125" s="181" t="s">
        <v>5150</v>
      </c>
      <c r="AV1125" s="185" t="s">
        <v>176</v>
      </c>
      <c r="AW1125" s="55" t="s">
        <v>751</v>
      </c>
      <c r="AX1125" s="185" t="s">
        <v>176</v>
      </c>
      <c r="AY1125" s="55" t="s">
        <v>176</v>
      </c>
      <c r="BK1125" s="55" t="s">
        <v>5976</v>
      </c>
      <c r="BM1125" s="192" t="s">
        <v>119</v>
      </c>
      <c r="BN1125" s="55">
        <v>3</v>
      </c>
      <c r="BO1125" s="55">
        <v>3</v>
      </c>
      <c r="BQ1125" s="55" t="s">
        <v>315</v>
      </c>
      <c r="BS1125" s="55">
        <v>5100</v>
      </c>
      <c r="BT1125" s="55">
        <v>12</v>
      </c>
      <c r="DB1125" s="65">
        <v>5.9444000000000008</v>
      </c>
      <c r="DC1125" s="65">
        <v>6.3560000000000008</v>
      </c>
      <c r="DF1125" s="65" t="s">
        <v>442</v>
      </c>
      <c r="GP1125" s="292" t="s">
        <v>7494</v>
      </c>
      <c r="JU1125" s="55" t="s">
        <v>752</v>
      </c>
    </row>
    <row r="1126" spans="1:283" x14ac:dyDescent="0.25">
      <c r="A1126" s="55">
        <v>1125</v>
      </c>
      <c r="B1126" s="12" t="s">
        <v>7067</v>
      </c>
      <c r="C1126" s="155">
        <v>53</v>
      </c>
      <c r="D1126" s="55" t="s">
        <v>3919</v>
      </c>
      <c r="E1126" s="90" t="s">
        <v>741</v>
      </c>
      <c r="G1126" s="55" t="s">
        <v>742</v>
      </c>
      <c r="H1126" s="55">
        <v>2006</v>
      </c>
      <c r="I1126" s="55">
        <v>2000</v>
      </c>
      <c r="J1126" s="55" t="s">
        <v>743</v>
      </c>
      <c r="K1126" s="55" t="s">
        <v>744</v>
      </c>
      <c r="L1126" s="55" t="s">
        <v>2737</v>
      </c>
      <c r="M1126" s="90">
        <v>33.950000000000003</v>
      </c>
      <c r="N1126" s="90">
        <v>-83.38</v>
      </c>
      <c r="O1126" s="90">
        <v>208.4</v>
      </c>
      <c r="R1126" s="55">
        <f>278+505</f>
        <v>783</v>
      </c>
      <c r="S1126" s="90">
        <f>588+645</f>
        <v>1233</v>
      </c>
      <c r="U1126" s="55">
        <v>1</v>
      </c>
      <c r="V1126" s="55" t="s">
        <v>1688</v>
      </c>
      <c r="Y1126" s="55" t="s">
        <v>754</v>
      </c>
      <c r="Z1126" s="55" t="s">
        <v>1355</v>
      </c>
      <c r="AA1126" s="90" t="s">
        <v>1680</v>
      </c>
      <c r="AE1126" s="90">
        <f>650/1000*100</f>
        <v>65</v>
      </c>
      <c r="AF1126" s="90">
        <f>25</f>
        <v>25</v>
      </c>
      <c r="AH1126" s="55" t="s">
        <v>238</v>
      </c>
      <c r="AI1126" s="168">
        <v>6.6</v>
      </c>
      <c r="AJ1126" s="90">
        <v>0.88</v>
      </c>
      <c r="AM1126" s="55" t="s">
        <v>1311</v>
      </c>
      <c r="AN1126" s="185" t="s">
        <v>1482</v>
      </c>
      <c r="AO1126" s="185" t="s">
        <v>5150</v>
      </c>
      <c r="AQ1126" s="55" t="s">
        <v>1546</v>
      </c>
      <c r="AR1126" s="55" t="s">
        <v>560</v>
      </c>
      <c r="AS1126" s="55" t="s">
        <v>5133</v>
      </c>
      <c r="AT1126" s="181" t="s">
        <v>751</v>
      </c>
      <c r="AU1126" s="181" t="s">
        <v>5150</v>
      </c>
      <c r="AV1126" s="185" t="s">
        <v>479</v>
      </c>
      <c r="AW1126" s="55" t="s">
        <v>751</v>
      </c>
      <c r="AX1126" s="185" t="s">
        <v>479</v>
      </c>
      <c r="AY1126" s="55" t="s">
        <v>176</v>
      </c>
      <c r="BK1126" s="55" t="s">
        <v>5976</v>
      </c>
      <c r="BM1126" s="192" t="s">
        <v>119</v>
      </c>
      <c r="BN1126" s="55">
        <v>3</v>
      </c>
      <c r="BO1126" s="55">
        <v>3</v>
      </c>
      <c r="BQ1126" s="55" t="s">
        <v>315</v>
      </c>
      <c r="BS1126" s="55">
        <v>8180</v>
      </c>
      <c r="BT1126" s="55">
        <v>10</v>
      </c>
      <c r="DB1126" s="65">
        <v>5.9444000000000008</v>
      </c>
      <c r="DC1126" s="65">
        <v>5.9640000000000004</v>
      </c>
      <c r="DF1126" s="65" t="s">
        <v>442</v>
      </c>
      <c r="GP1126" s="292" t="s">
        <v>7494</v>
      </c>
      <c r="JU1126" s="55" t="s">
        <v>752</v>
      </c>
    </row>
    <row r="1127" spans="1:283" x14ac:dyDescent="0.25">
      <c r="A1127" s="55">
        <v>1126</v>
      </c>
      <c r="B1127" s="12" t="s">
        <v>7067</v>
      </c>
      <c r="C1127" s="155">
        <v>53</v>
      </c>
      <c r="D1127" s="55" t="s">
        <v>3918</v>
      </c>
      <c r="E1127" s="90" t="s">
        <v>741</v>
      </c>
      <c r="G1127" s="55" t="s">
        <v>742</v>
      </c>
      <c r="H1127" s="55">
        <v>2006</v>
      </c>
      <c r="I1127" s="55">
        <v>2001</v>
      </c>
      <c r="J1127" s="55" t="s">
        <v>743</v>
      </c>
      <c r="K1127" s="55" t="s">
        <v>744</v>
      </c>
      <c r="L1127" s="55" t="s">
        <v>2737</v>
      </c>
      <c r="M1127" s="90">
        <v>33.950000000000003</v>
      </c>
      <c r="N1127" s="90">
        <v>-83.38</v>
      </c>
      <c r="O1127" s="90">
        <v>208.4</v>
      </c>
      <c r="R1127" s="55">
        <v>748</v>
      </c>
      <c r="S1127" s="90">
        <f>588+645</f>
        <v>1233</v>
      </c>
      <c r="U1127" s="55">
        <v>2</v>
      </c>
      <c r="V1127" s="55" t="s">
        <v>1688</v>
      </c>
      <c r="Y1127" s="55" t="s">
        <v>753</v>
      </c>
      <c r="Z1127" s="55" t="s">
        <v>1355</v>
      </c>
      <c r="AA1127" s="90" t="s">
        <v>1680</v>
      </c>
      <c r="AE1127" s="90">
        <f>650/1000*100</f>
        <v>65</v>
      </c>
      <c r="AF1127" s="90">
        <f>25</f>
        <v>25</v>
      </c>
      <c r="AH1127" s="55" t="s">
        <v>238</v>
      </c>
      <c r="AI1127" s="168">
        <v>6.6</v>
      </c>
      <c r="AJ1127" s="90">
        <v>0.88</v>
      </c>
      <c r="AM1127" s="55" t="s">
        <v>1311</v>
      </c>
      <c r="AN1127" s="185" t="s">
        <v>131</v>
      </c>
      <c r="AO1127" s="185" t="s">
        <v>5150</v>
      </c>
      <c r="AQ1127" s="55" t="s">
        <v>131</v>
      </c>
      <c r="AR1127" s="55" t="s">
        <v>560</v>
      </c>
      <c r="AS1127" s="55" t="s">
        <v>5133</v>
      </c>
      <c r="AT1127" s="181" t="s">
        <v>751</v>
      </c>
      <c r="AU1127" s="181" t="s">
        <v>5150</v>
      </c>
      <c r="AV1127" s="185" t="s">
        <v>176</v>
      </c>
      <c r="AW1127" s="55" t="s">
        <v>751</v>
      </c>
      <c r="AX1127" s="185" t="s">
        <v>176</v>
      </c>
      <c r="AY1127" s="55" t="s">
        <v>176</v>
      </c>
      <c r="BK1127" s="55" t="s">
        <v>5976</v>
      </c>
      <c r="BM1127" s="192" t="s">
        <v>119</v>
      </c>
      <c r="BN1127" s="55">
        <v>3</v>
      </c>
      <c r="BO1127" s="55">
        <v>3</v>
      </c>
      <c r="BQ1127" s="55" t="s">
        <v>315</v>
      </c>
      <c r="BS1127" s="55">
        <v>3810</v>
      </c>
      <c r="BT1127" s="55">
        <v>57</v>
      </c>
      <c r="DB1127" s="65">
        <v>3.6624000000000003</v>
      </c>
      <c r="DC1127" s="65">
        <v>3.6120000000000005</v>
      </c>
      <c r="DF1127" s="65" t="s">
        <v>442</v>
      </c>
      <c r="GP1127" s="292" t="s">
        <v>7494</v>
      </c>
      <c r="JU1127" s="55" t="s">
        <v>752</v>
      </c>
    </row>
    <row r="1128" spans="1:283" x14ac:dyDescent="0.25">
      <c r="A1128" s="55">
        <v>1127</v>
      </c>
      <c r="B1128" s="12" t="s">
        <v>7067</v>
      </c>
      <c r="C1128" s="155">
        <v>53</v>
      </c>
      <c r="D1128" s="55" t="s">
        <v>3919</v>
      </c>
      <c r="E1128" s="90" t="s">
        <v>741</v>
      </c>
      <c r="G1128" s="55" t="s">
        <v>742</v>
      </c>
      <c r="H1128" s="55">
        <v>2006</v>
      </c>
      <c r="I1128" s="55">
        <v>2001</v>
      </c>
      <c r="J1128" s="55" t="s">
        <v>743</v>
      </c>
      <c r="K1128" s="55" t="s">
        <v>744</v>
      </c>
      <c r="L1128" s="55" t="s">
        <v>2737</v>
      </c>
      <c r="M1128" s="90">
        <v>33.950000000000003</v>
      </c>
      <c r="N1128" s="90">
        <v>-83.38</v>
      </c>
      <c r="O1128" s="90">
        <v>208.4</v>
      </c>
      <c r="R1128" s="55">
        <v>748</v>
      </c>
      <c r="S1128" s="90">
        <f>588+645</f>
        <v>1233</v>
      </c>
      <c r="U1128" s="55">
        <v>2</v>
      </c>
      <c r="V1128" s="55" t="s">
        <v>1688</v>
      </c>
      <c r="Y1128" s="55" t="s">
        <v>753</v>
      </c>
      <c r="Z1128" s="55" t="s">
        <v>1355</v>
      </c>
      <c r="AA1128" s="90" t="s">
        <v>1680</v>
      </c>
      <c r="AE1128" s="90">
        <f>650/1000*100</f>
        <v>65</v>
      </c>
      <c r="AF1128" s="90">
        <f>25</f>
        <v>25</v>
      </c>
      <c r="AH1128" s="55" t="s">
        <v>238</v>
      </c>
      <c r="AI1128" s="168">
        <v>6.6</v>
      </c>
      <c r="AJ1128" s="90">
        <v>0.88</v>
      </c>
      <c r="AM1128" s="55" t="s">
        <v>1311</v>
      </c>
      <c r="AN1128" s="185" t="s">
        <v>241</v>
      </c>
      <c r="AO1128" s="185" t="s">
        <v>5150</v>
      </c>
      <c r="AQ1128" s="55" t="s">
        <v>553</v>
      </c>
      <c r="AR1128" s="55" t="s">
        <v>560</v>
      </c>
      <c r="AS1128" s="55" t="s">
        <v>5133</v>
      </c>
      <c r="AT1128" s="181" t="s">
        <v>751</v>
      </c>
      <c r="AU1128" s="181" t="s">
        <v>5150</v>
      </c>
      <c r="AV1128" s="185" t="s">
        <v>176</v>
      </c>
      <c r="AW1128" s="55" t="s">
        <v>751</v>
      </c>
      <c r="AX1128" s="185" t="s">
        <v>176</v>
      </c>
      <c r="AY1128" s="55" t="s">
        <v>176</v>
      </c>
      <c r="BK1128" s="55" t="s">
        <v>5976</v>
      </c>
      <c r="BM1128" s="192" t="s">
        <v>119</v>
      </c>
      <c r="BN1128" s="55">
        <v>3</v>
      </c>
      <c r="BO1128" s="55">
        <v>3</v>
      </c>
      <c r="BQ1128" s="55" t="s">
        <v>315</v>
      </c>
      <c r="BS1128" s="55">
        <v>2440</v>
      </c>
      <c r="BT1128" s="55">
        <v>12</v>
      </c>
      <c r="DB1128" s="65">
        <v>3.6624000000000003</v>
      </c>
      <c r="DC1128" s="65">
        <v>4.2111999999999998</v>
      </c>
      <c r="DF1128" s="65" t="s">
        <v>442</v>
      </c>
      <c r="GP1128" s="292" t="s">
        <v>7494</v>
      </c>
      <c r="JU1128" s="55" t="s">
        <v>752</v>
      </c>
    </row>
    <row r="1129" spans="1:283" x14ac:dyDescent="0.25">
      <c r="A1129" s="55">
        <v>1128</v>
      </c>
      <c r="B1129" s="12" t="s">
        <v>7067</v>
      </c>
      <c r="C1129" s="155">
        <v>53</v>
      </c>
      <c r="D1129" s="55" t="s">
        <v>3918</v>
      </c>
      <c r="E1129" s="90" t="s">
        <v>741</v>
      </c>
      <c r="G1129" s="55" t="s">
        <v>742</v>
      </c>
      <c r="H1129" s="55">
        <v>2006</v>
      </c>
      <c r="I1129" s="55">
        <v>2001</v>
      </c>
      <c r="J1129" s="55" t="s">
        <v>743</v>
      </c>
      <c r="K1129" s="55" t="s">
        <v>744</v>
      </c>
      <c r="L1129" s="55" t="s">
        <v>2737</v>
      </c>
      <c r="M1129" s="90">
        <v>33.950000000000003</v>
      </c>
      <c r="N1129" s="90">
        <v>-83.38</v>
      </c>
      <c r="O1129" s="90">
        <v>208.4</v>
      </c>
      <c r="R1129" s="55">
        <v>748</v>
      </c>
      <c r="S1129" s="90">
        <f>588+645</f>
        <v>1233</v>
      </c>
      <c r="U1129" s="55">
        <v>2</v>
      </c>
      <c r="V1129" s="55" t="s">
        <v>1688</v>
      </c>
      <c r="Y1129" s="55" t="s">
        <v>753</v>
      </c>
      <c r="Z1129" s="55" t="s">
        <v>1355</v>
      </c>
      <c r="AA1129" s="90" t="s">
        <v>1680</v>
      </c>
      <c r="AE1129" s="90">
        <f>650/1000*100</f>
        <v>65</v>
      </c>
      <c r="AF1129" s="90">
        <f>25</f>
        <v>25</v>
      </c>
      <c r="AH1129" s="55" t="s">
        <v>238</v>
      </c>
      <c r="AI1129" s="168">
        <v>6.6</v>
      </c>
      <c r="AJ1129" s="90">
        <v>0.88</v>
      </c>
      <c r="AM1129" s="55" t="s">
        <v>1311</v>
      </c>
      <c r="AN1129" s="185" t="s">
        <v>1482</v>
      </c>
      <c r="AO1129" s="185" t="s">
        <v>5150</v>
      </c>
      <c r="AQ1129" s="55" t="s">
        <v>1546</v>
      </c>
      <c r="AR1129" s="55" t="s">
        <v>560</v>
      </c>
      <c r="AS1129" s="55" t="s">
        <v>5133</v>
      </c>
      <c r="AT1129" s="181" t="s">
        <v>751</v>
      </c>
      <c r="AU1129" s="181" t="s">
        <v>5150</v>
      </c>
      <c r="AV1129" s="185" t="s">
        <v>479</v>
      </c>
      <c r="AW1129" s="55" t="s">
        <v>751</v>
      </c>
      <c r="AX1129" s="185" t="s">
        <v>479</v>
      </c>
      <c r="AY1129" s="55" t="s">
        <v>176</v>
      </c>
      <c r="BK1129" s="55" t="s">
        <v>5976</v>
      </c>
      <c r="BM1129" s="192" t="s">
        <v>119</v>
      </c>
      <c r="BN1129" s="55">
        <v>3</v>
      </c>
      <c r="BO1129" s="55">
        <v>3</v>
      </c>
      <c r="BQ1129" s="55" t="s">
        <v>315</v>
      </c>
      <c r="BS1129" s="55">
        <v>5980</v>
      </c>
      <c r="BT1129" s="55">
        <v>32</v>
      </c>
      <c r="DB1129" s="65">
        <v>3.6624000000000003</v>
      </c>
      <c r="DC1129" s="65">
        <v>3.6624000000000003</v>
      </c>
      <c r="DF1129" s="65" t="s">
        <v>442</v>
      </c>
      <c r="GP1129" s="292" t="s">
        <v>7494</v>
      </c>
      <c r="JU1129" s="55" t="s">
        <v>752</v>
      </c>
    </row>
    <row r="1130" spans="1:283" x14ac:dyDescent="0.25">
      <c r="A1130" s="55">
        <v>1129</v>
      </c>
      <c r="B1130" s="12" t="s">
        <v>7067</v>
      </c>
      <c r="C1130" s="155">
        <v>53</v>
      </c>
      <c r="D1130" s="55" t="s">
        <v>3919</v>
      </c>
      <c r="E1130" s="90" t="s">
        <v>741</v>
      </c>
      <c r="G1130" s="55" t="s">
        <v>742</v>
      </c>
      <c r="H1130" s="55">
        <v>2006</v>
      </c>
      <c r="I1130" s="55">
        <v>2001</v>
      </c>
      <c r="J1130" s="55" t="s">
        <v>743</v>
      </c>
      <c r="K1130" s="55" t="s">
        <v>744</v>
      </c>
      <c r="L1130" s="55" t="s">
        <v>2737</v>
      </c>
      <c r="M1130" s="90">
        <v>33.950000000000003</v>
      </c>
      <c r="N1130" s="90">
        <v>-83.38</v>
      </c>
      <c r="O1130" s="90">
        <v>208.4</v>
      </c>
      <c r="R1130" s="55">
        <v>748</v>
      </c>
      <c r="S1130" s="90">
        <f>588+645</f>
        <v>1233</v>
      </c>
      <c r="U1130" s="55">
        <v>2</v>
      </c>
      <c r="V1130" s="55" t="s">
        <v>1688</v>
      </c>
      <c r="Y1130" s="55" t="s">
        <v>754</v>
      </c>
      <c r="Z1130" s="55" t="s">
        <v>1355</v>
      </c>
      <c r="AA1130" s="90" t="s">
        <v>1680</v>
      </c>
      <c r="AE1130" s="90">
        <f>650/1000*100</f>
        <v>65</v>
      </c>
      <c r="AF1130" s="90">
        <f>25</f>
        <v>25</v>
      </c>
      <c r="AH1130" s="55" t="s">
        <v>238</v>
      </c>
      <c r="AI1130" s="168">
        <v>6.6</v>
      </c>
      <c r="AJ1130" s="90">
        <v>0.88</v>
      </c>
      <c r="AM1130" s="55" t="s">
        <v>1311</v>
      </c>
      <c r="AN1130" s="185" t="s">
        <v>131</v>
      </c>
      <c r="AO1130" s="185" t="s">
        <v>5150</v>
      </c>
      <c r="AQ1130" s="55" t="s">
        <v>131</v>
      </c>
      <c r="AR1130" s="55" t="s">
        <v>560</v>
      </c>
      <c r="AS1130" s="55" t="s">
        <v>5133</v>
      </c>
      <c r="AT1130" s="181" t="s">
        <v>751</v>
      </c>
      <c r="AU1130" s="181" t="s">
        <v>5150</v>
      </c>
      <c r="AV1130" s="185" t="s">
        <v>176</v>
      </c>
      <c r="AW1130" s="55" t="s">
        <v>751</v>
      </c>
      <c r="AX1130" s="185" t="s">
        <v>176</v>
      </c>
      <c r="AY1130" s="55" t="s">
        <v>176</v>
      </c>
      <c r="BK1130" s="55" t="s">
        <v>5976</v>
      </c>
      <c r="BM1130" s="192" t="s">
        <v>119</v>
      </c>
      <c r="BN1130" s="55">
        <v>3</v>
      </c>
      <c r="BO1130" s="55">
        <v>3</v>
      </c>
      <c r="BQ1130" s="55" t="s">
        <v>315</v>
      </c>
      <c r="BS1130" s="55">
        <v>3810</v>
      </c>
      <c r="BT1130" s="55">
        <v>57</v>
      </c>
      <c r="DB1130" s="65">
        <v>5.7232000000000012</v>
      </c>
      <c r="DC1130" s="65">
        <v>4.6256000000000004</v>
      </c>
      <c r="DF1130" s="65" t="s">
        <v>442</v>
      </c>
      <c r="GP1130" s="292" t="s">
        <v>7494</v>
      </c>
      <c r="JU1130" s="55" t="s">
        <v>752</v>
      </c>
    </row>
    <row r="1131" spans="1:283" x14ac:dyDescent="0.25">
      <c r="A1131" s="55">
        <v>1130</v>
      </c>
      <c r="B1131" s="12" t="s">
        <v>7067</v>
      </c>
      <c r="C1131" s="155">
        <v>53</v>
      </c>
      <c r="D1131" s="55" t="s">
        <v>3918</v>
      </c>
      <c r="E1131" s="90" t="s">
        <v>741</v>
      </c>
      <c r="G1131" s="55" t="s">
        <v>742</v>
      </c>
      <c r="H1131" s="55">
        <v>2006</v>
      </c>
      <c r="I1131" s="55">
        <v>2001</v>
      </c>
      <c r="J1131" s="55" t="s">
        <v>743</v>
      </c>
      <c r="K1131" s="55" t="s">
        <v>744</v>
      </c>
      <c r="L1131" s="55" t="s">
        <v>2737</v>
      </c>
      <c r="M1131" s="90">
        <v>33.950000000000003</v>
      </c>
      <c r="N1131" s="90">
        <v>-83.38</v>
      </c>
      <c r="O1131" s="90">
        <v>208.4</v>
      </c>
      <c r="R1131" s="55">
        <v>748</v>
      </c>
      <c r="S1131" s="90">
        <f>588+645</f>
        <v>1233</v>
      </c>
      <c r="U1131" s="55">
        <v>2</v>
      </c>
      <c r="V1131" s="55" t="s">
        <v>1688</v>
      </c>
      <c r="Y1131" s="55" t="s">
        <v>754</v>
      </c>
      <c r="Z1131" s="55" t="s">
        <v>1355</v>
      </c>
      <c r="AA1131" s="90" t="s">
        <v>1680</v>
      </c>
      <c r="AE1131" s="90">
        <f>650/1000*100</f>
        <v>65</v>
      </c>
      <c r="AF1131" s="90">
        <f>25</f>
        <v>25</v>
      </c>
      <c r="AH1131" s="55" t="s">
        <v>238</v>
      </c>
      <c r="AI1131" s="168">
        <v>6.6</v>
      </c>
      <c r="AJ1131" s="90">
        <v>0.88</v>
      </c>
      <c r="AM1131" s="55" t="s">
        <v>1311</v>
      </c>
      <c r="AN1131" s="185" t="s">
        <v>241</v>
      </c>
      <c r="AO1131" s="185" t="s">
        <v>5150</v>
      </c>
      <c r="AQ1131" s="55" t="s">
        <v>553</v>
      </c>
      <c r="AR1131" s="55" t="s">
        <v>560</v>
      </c>
      <c r="AS1131" s="55" t="s">
        <v>5133</v>
      </c>
      <c r="AT1131" s="181" t="s">
        <v>751</v>
      </c>
      <c r="AU1131" s="181" t="s">
        <v>5150</v>
      </c>
      <c r="AV1131" s="185" t="s">
        <v>176</v>
      </c>
      <c r="AW1131" s="55" t="s">
        <v>751</v>
      </c>
      <c r="AX1131" s="185" t="s">
        <v>176</v>
      </c>
      <c r="AY1131" s="55" t="s">
        <v>176</v>
      </c>
      <c r="BK1131" s="55" t="s">
        <v>5976</v>
      </c>
      <c r="BM1131" s="192" t="s">
        <v>119</v>
      </c>
      <c r="BN1131" s="55">
        <v>3</v>
      </c>
      <c r="BO1131" s="55">
        <v>3</v>
      </c>
      <c r="BQ1131" s="55" t="s">
        <v>315</v>
      </c>
      <c r="BS1131" s="55">
        <v>2440</v>
      </c>
      <c r="BT1131" s="55">
        <v>12</v>
      </c>
      <c r="DB1131" s="65">
        <v>5.7232000000000012</v>
      </c>
      <c r="DC1131" s="65">
        <v>5.7204000000000006</v>
      </c>
      <c r="DF1131" s="65" t="s">
        <v>442</v>
      </c>
      <c r="GP1131" s="292" t="s">
        <v>7494</v>
      </c>
      <c r="JU1131" s="55" t="s">
        <v>752</v>
      </c>
    </row>
    <row r="1132" spans="1:283" x14ac:dyDescent="0.25">
      <c r="A1132" s="55">
        <v>1131</v>
      </c>
      <c r="B1132" s="12" t="s">
        <v>7067</v>
      </c>
      <c r="C1132" s="155">
        <v>53</v>
      </c>
      <c r="D1132" s="55" t="s">
        <v>3919</v>
      </c>
      <c r="E1132" s="90" t="s">
        <v>741</v>
      </c>
      <c r="G1132" s="55" t="s">
        <v>742</v>
      </c>
      <c r="H1132" s="55">
        <v>2006</v>
      </c>
      <c r="I1132" s="55">
        <v>2001</v>
      </c>
      <c r="J1132" s="55" t="s">
        <v>743</v>
      </c>
      <c r="K1132" s="55" t="s">
        <v>744</v>
      </c>
      <c r="L1132" s="55" t="s">
        <v>2737</v>
      </c>
      <c r="M1132" s="90">
        <v>33.950000000000003</v>
      </c>
      <c r="N1132" s="90">
        <v>-83.38</v>
      </c>
      <c r="O1132" s="90">
        <v>208.4</v>
      </c>
      <c r="R1132" s="55">
        <v>748</v>
      </c>
      <c r="S1132" s="90">
        <f>588+645</f>
        <v>1233</v>
      </c>
      <c r="U1132" s="55">
        <v>2</v>
      </c>
      <c r="V1132" s="55" t="s">
        <v>1688</v>
      </c>
      <c r="Y1132" s="55" t="s">
        <v>754</v>
      </c>
      <c r="Z1132" s="55" t="s">
        <v>1355</v>
      </c>
      <c r="AA1132" s="90" t="s">
        <v>1680</v>
      </c>
      <c r="AE1132" s="90">
        <f>650/1000*100</f>
        <v>65</v>
      </c>
      <c r="AF1132" s="90">
        <f>25</f>
        <v>25</v>
      </c>
      <c r="AH1132" s="55" t="s">
        <v>238</v>
      </c>
      <c r="AI1132" s="168">
        <v>6.6</v>
      </c>
      <c r="AJ1132" s="90">
        <v>0.88</v>
      </c>
      <c r="AM1132" s="55" t="s">
        <v>1311</v>
      </c>
      <c r="AN1132" s="185" t="s">
        <v>1482</v>
      </c>
      <c r="AO1132" s="185" t="s">
        <v>5150</v>
      </c>
      <c r="AQ1132" s="55" t="s">
        <v>1546</v>
      </c>
      <c r="AR1132" s="55" t="s">
        <v>560</v>
      </c>
      <c r="AS1132" s="55" t="s">
        <v>5133</v>
      </c>
      <c r="AT1132" s="181" t="s">
        <v>751</v>
      </c>
      <c r="AU1132" s="181" t="s">
        <v>5150</v>
      </c>
      <c r="AV1132" s="185" t="s">
        <v>479</v>
      </c>
      <c r="AW1132" s="55" t="s">
        <v>751</v>
      </c>
      <c r="AX1132" s="185" t="s">
        <v>479</v>
      </c>
      <c r="AY1132" s="55" t="s">
        <v>176</v>
      </c>
      <c r="BK1132" s="55" t="s">
        <v>5976</v>
      </c>
      <c r="BM1132" s="192" t="s">
        <v>119</v>
      </c>
      <c r="BN1132" s="55">
        <v>3</v>
      </c>
      <c r="BO1132" s="55">
        <v>3</v>
      </c>
      <c r="BQ1132" s="55" t="s">
        <v>315</v>
      </c>
      <c r="BS1132" s="55">
        <v>5980</v>
      </c>
      <c r="BT1132" s="55">
        <v>32</v>
      </c>
      <c r="DB1132" s="65">
        <v>5.7232000000000012</v>
      </c>
      <c r="DC1132" s="65">
        <v>5.3116000000000003</v>
      </c>
      <c r="DF1132" s="65" t="s">
        <v>442</v>
      </c>
      <c r="GP1132" s="292" t="s">
        <v>7494</v>
      </c>
      <c r="JU1132" s="55" t="s">
        <v>752</v>
      </c>
    </row>
    <row r="1133" spans="1:283" x14ac:dyDescent="0.25">
      <c r="A1133" s="55">
        <v>1132</v>
      </c>
      <c r="B1133" s="12" t="s">
        <v>7067</v>
      </c>
      <c r="C1133" s="155">
        <v>53</v>
      </c>
      <c r="D1133" s="55" t="s">
        <v>3918</v>
      </c>
      <c r="E1133" s="90" t="s">
        <v>741</v>
      </c>
      <c r="G1133" s="55" t="s">
        <v>742</v>
      </c>
      <c r="H1133" s="55">
        <v>2006</v>
      </c>
      <c r="I1133" s="55">
        <v>2002</v>
      </c>
      <c r="J1133" s="55" t="s">
        <v>743</v>
      </c>
      <c r="K1133" s="55" t="s">
        <v>744</v>
      </c>
      <c r="L1133" s="55" t="s">
        <v>2737</v>
      </c>
      <c r="M1133" s="90">
        <v>33.950000000000003</v>
      </c>
      <c r="N1133" s="90">
        <v>-83.38</v>
      </c>
      <c r="O1133" s="90">
        <v>208.4</v>
      </c>
      <c r="R1133" s="55">
        <v>971</v>
      </c>
      <c r="S1133" s="90">
        <f>588+645</f>
        <v>1233</v>
      </c>
      <c r="U1133" s="55">
        <v>3</v>
      </c>
      <c r="V1133" s="55" t="s">
        <v>1688</v>
      </c>
      <c r="Y1133" s="55" t="s">
        <v>753</v>
      </c>
      <c r="Z1133" s="55" t="s">
        <v>1355</v>
      </c>
      <c r="AA1133" s="90" t="s">
        <v>1680</v>
      </c>
      <c r="AE1133" s="90">
        <f>650/1000*100</f>
        <v>65</v>
      </c>
      <c r="AF1133" s="90">
        <f>25</f>
        <v>25</v>
      </c>
      <c r="AH1133" s="55" t="s">
        <v>238</v>
      </c>
      <c r="AI1133" s="168">
        <v>6.6</v>
      </c>
      <c r="AJ1133" s="90">
        <v>0.88</v>
      </c>
      <c r="AM1133" s="55" t="s">
        <v>1311</v>
      </c>
      <c r="AN1133" s="185" t="s">
        <v>131</v>
      </c>
      <c r="AO1133" s="185" t="s">
        <v>5150</v>
      </c>
      <c r="AQ1133" s="55" t="s">
        <v>131</v>
      </c>
      <c r="AR1133" s="55" t="s">
        <v>560</v>
      </c>
      <c r="AS1133" s="55" t="s">
        <v>5133</v>
      </c>
      <c r="AT1133" s="181" t="s">
        <v>751</v>
      </c>
      <c r="AU1133" s="181" t="s">
        <v>5150</v>
      </c>
      <c r="AV1133" s="185" t="s">
        <v>176</v>
      </c>
      <c r="AW1133" s="55" t="s">
        <v>751</v>
      </c>
      <c r="AX1133" s="185" t="s">
        <v>176</v>
      </c>
      <c r="AY1133" s="55" t="s">
        <v>176</v>
      </c>
      <c r="BK1133" s="55" t="s">
        <v>5976</v>
      </c>
      <c r="BM1133" s="192" t="s">
        <v>119</v>
      </c>
      <c r="BN1133" s="55">
        <v>3</v>
      </c>
      <c r="BO1133" s="55">
        <v>3</v>
      </c>
      <c r="BQ1133" s="55" t="s">
        <v>315</v>
      </c>
      <c r="BS1133" s="55">
        <v>2280</v>
      </c>
      <c r="BT1133" s="55">
        <v>40</v>
      </c>
      <c r="BW1133" s="65">
        <v>3667</v>
      </c>
      <c r="BX1133" s="65">
        <v>3567</v>
      </c>
      <c r="CA1133" s="65" t="s">
        <v>1626</v>
      </c>
      <c r="DB1133" s="65">
        <v>6.0452000000000004</v>
      </c>
      <c r="DC1133" s="65">
        <v>7.0504000000000007</v>
      </c>
      <c r="DF1133" s="65" t="s">
        <v>442</v>
      </c>
      <c r="GP1133" s="292" t="s">
        <v>7494</v>
      </c>
      <c r="JU1133" s="55" t="s">
        <v>752</v>
      </c>
    </row>
    <row r="1134" spans="1:283" x14ac:dyDescent="0.25">
      <c r="A1134" s="55">
        <v>1133</v>
      </c>
      <c r="B1134" s="12" t="s">
        <v>7067</v>
      </c>
      <c r="C1134" s="155">
        <v>53</v>
      </c>
      <c r="D1134" s="55" t="s">
        <v>3919</v>
      </c>
      <c r="E1134" s="90" t="s">
        <v>741</v>
      </c>
      <c r="G1134" s="55" t="s">
        <v>742</v>
      </c>
      <c r="H1134" s="55">
        <v>2006</v>
      </c>
      <c r="I1134" s="55">
        <v>2002</v>
      </c>
      <c r="J1134" s="55" t="s">
        <v>743</v>
      </c>
      <c r="K1134" s="55" t="s">
        <v>744</v>
      </c>
      <c r="L1134" s="55" t="s">
        <v>2737</v>
      </c>
      <c r="M1134" s="90">
        <v>33.950000000000003</v>
      </c>
      <c r="N1134" s="90">
        <v>-83.38</v>
      </c>
      <c r="O1134" s="90">
        <v>208.4</v>
      </c>
      <c r="R1134" s="55">
        <v>971</v>
      </c>
      <c r="S1134" s="90">
        <f>588+645</f>
        <v>1233</v>
      </c>
      <c r="U1134" s="55">
        <v>3</v>
      </c>
      <c r="V1134" s="55" t="s">
        <v>1688</v>
      </c>
      <c r="Y1134" s="55" t="s">
        <v>753</v>
      </c>
      <c r="Z1134" s="55" t="s">
        <v>1355</v>
      </c>
      <c r="AA1134" s="90" t="s">
        <v>1680</v>
      </c>
      <c r="AE1134" s="90">
        <f>650/1000*100</f>
        <v>65</v>
      </c>
      <c r="AF1134" s="90">
        <f>25</f>
        <v>25</v>
      </c>
      <c r="AH1134" s="55" t="s">
        <v>238</v>
      </c>
      <c r="AI1134" s="168">
        <v>6.6</v>
      </c>
      <c r="AJ1134" s="90">
        <v>0.88</v>
      </c>
      <c r="AM1134" s="55" t="s">
        <v>1311</v>
      </c>
      <c r="AN1134" s="185" t="s">
        <v>241</v>
      </c>
      <c r="AO1134" s="185" t="s">
        <v>5150</v>
      </c>
      <c r="AQ1134" s="55" t="s">
        <v>553</v>
      </c>
      <c r="AR1134" s="55" t="s">
        <v>560</v>
      </c>
      <c r="AS1134" s="55" t="s">
        <v>5133</v>
      </c>
      <c r="AT1134" s="181" t="s">
        <v>751</v>
      </c>
      <c r="AU1134" s="181" t="s">
        <v>5150</v>
      </c>
      <c r="AV1134" s="185" t="s">
        <v>176</v>
      </c>
      <c r="AW1134" s="55" t="s">
        <v>751</v>
      </c>
      <c r="AX1134" s="185" t="s">
        <v>176</v>
      </c>
      <c r="AY1134" s="55" t="s">
        <v>176</v>
      </c>
      <c r="BK1134" s="55" t="s">
        <v>5976</v>
      </c>
      <c r="BM1134" s="192" t="s">
        <v>119</v>
      </c>
      <c r="BN1134" s="55">
        <v>3</v>
      </c>
      <c r="BO1134" s="55">
        <v>3</v>
      </c>
      <c r="BQ1134" s="55" t="s">
        <v>315</v>
      </c>
      <c r="BS1134" s="55">
        <v>5160</v>
      </c>
      <c r="BT1134" s="55">
        <v>10</v>
      </c>
      <c r="BW1134" s="65">
        <v>3667</v>
      </c>
      <c r="BX1134" s="65">
        <v>4067</v>
      </c>
      <c r="CA1134" s="65" t="s">
        <v>1626</v>
      </c>
      <c r="DB1134" s="65">
        <v>6.0452000000000004</v>
      </c>
      <c r="DC1134" s="65">
        <v>9.2904</v>
      </c>
      <c r="DF1134" s="65" t="s">
        <v>442</v>
      </c>
      <c r="GP1134" s="292" t="s">
        <v>7494</v>
      </c>
      <c r="JU1134" s="55" t="s">
        <v>752</v>
      </c>
    </row>
    <row r="1135" spans="1:283" x14ac:dyDescent="0.25">
      <c r="A1135" s="55">
        <v>1134</v>
      </c>
      <c r="B1135" s="12" t="s">
        <v>7067</v>
      </c>
      <c r="C1135" s="155">
        <v>53</v>
      </c>
      <c r="D1135" s="55" t="s">
        <v>3918</v>
      </c>
      <c r="E1135" s="90" t="s">
        <v>741</v>
      </c>
      <c r="G1135" s="55" t="s">
        <v>742</v>
      </c>
      <c r="H1135" s="55">
        <v>2006</v>
      </c>
      <c r="I1135" s="55">
        <v>2002</v>
      </c>
      <c r="J1135" s="55" t="s">
        <v>743</v>
      </c>
      <c r="K1135" s="55" t="s">
        <v>744</v>
      </c>
      <c r="L1135" s="55" t="s">
        <v>2737</v>
      </c>
      <c r="M1135" s="90">
        <v>33.950000000000003</v>
      </c>
      <c r="N1135" s="90">
        <v>-83.38</v>
      </c>
      <c r="O1135" s="90">
        <v>208.4</v>
      </c>
      <c r="R1135" s="55">
        <v>971</v>
      </c>
      <c r="S1135" s="90">
        <f>588+645</f>
        <v>1233</v>
      </c>
      <c r="U1135" s="55">
        <v>3</v>
      </c>
      <c r="V1135" s="55" t="s">
        <v>1688</v>
      </c>
      <c r="Y1135" s="55" t="s">
        <v>753</v>
      </c>
      <c r="Z1135" s="55" t="s">
        <v>1355</v>
      </c>
      <c r="AA1135" s="90" t="s">
        <v>1680</v>
      </c>
      <c r="AE1135" s="90">
        <f>650/1000*100</f>
        <v>65</v>
      </c>
      <c r="AF1135" s="90">
        <f>25</f>
        <v>25</v>
      </c>
      <c r="AH1135" s="55" t="s">
        <v>238</v>
      </c>
      <c r="AI1135" s="168">
        <v>6.6</v>
      </c>
      <c r="AJ1135" s="90">
        <v>0.88</v>
      </c>
      <c r="AM1135" s="55" t="s">
        <v>1311</v>
      </c>
      <c r="AN1135" s="185" t="s">
        <v>1482</v>
      </c>
      <c r="AO1135" s="185" t="s">
        <v>5150</v>
      </c>
      <c r="AQ1135" s="55" t="s">
        <v>1546</v>
      </c>
      <c r="AR1135" s="55" t="s">
        <v>560</v>
      </c>
      <c r="AS1135" s="55" t="s">
        <v>5133</v>
      </c>
      <c r="AT1135" s="181" t="s">
        <v>751</v>
      </c>
      <c r="AU1135" s="181" t="s">
        <v>5150</v>
      </c>
      <c r="AV1135" s="185" t="s">
        <v>479</v>
      </c>
      <c r="AW1135" s="55" t="s">
        <v>751</v>
      </c>
      <c r="AX1135" s="185" t="s">
        <v>479</v>
      </c>
      <c r="AY1135" s="55" t="s">
        <v>176</v>
      </c>
      <c r="BK1135" s="55" t="s">
        <v>5976</v>
      </c>
      <c r="BM1135" s="192" t="s">
        <v>119</v>
      </c>
      <c r="BN1135" s="55">
        <v>3</v>
      </c>
      <c r="BO1135" s="55">
        <v>3</v>
      </c>
      <c r="BQ1135" s="55" t="s">
        <v>315</v>
      </c>
      <c r="BS1135" s="55">
        <v>5720</v>
      </c>
      <c r="BT1135" s="55">
        <v>11</v>
      </c>
      <c r="BW1135" s="65">
        <v>3667</v>
      </c>
      <c r="BX1135" s="65">
        <v>4233</v>
      </c>
      <c r="CA1135" s="65" t="s">
        <v>1626</v>
      </c>
      <c r="DB1135" s="65">
        <v>6.0452000000000004</v>
      </c>
      <c r="DC1135" s="65">
        <v>9.2904</v>
      </c>
      <c r="DF1135" s="65" t="s">
        <v>442</v>
      </c>
      <c r="GP1135" s="292" t="s">
        <v>7494</v>
      </c>
      <c r="JU1135" s="55" t="s">
        <v>752</v>
      </c>
    </row>
    <row r="1136" spans="1:283" x14ac:dyDescent="0.25">
      <c r="A1136" s="55">
        <v>1135</v>
      </c>
      <c r="B1136" s="12" t="s">
        <v>7067</v>
      </c>
      <c r="C1136" s="155">
        <v>53</v>
      </c>
      <c r="D1136" s="55" t="s">
        <v>3919</v>
      </c>
      <c r="E1136" s="90" t="s">
        <v>741</v>
      </c>
      <c r="G1136" s="55" t="s">
        <v>742</v>
      </c>
      <c r="H1136" s="55">
        <v>2006</v>
      </c>
      <c r="I1136" s="55">
        <v>2002</v>
      </c>
      <c r="J1136" s="55" t="s">
        <v>743</v>
      </c>
      <c r="K1136" s="55" t="s">
        <v>744</v>
      </c>
      <c r="L1136" s="55" t="s">
        <v>2737</v>
      </c>
      <c r="M1136" s="90">
        <v>33.950000000000003</v>
      </c>
      <c r="N1136" s="90">
        <v>-83.38</v>
      </c>
      <c r="O1136" s="90">
        <v>208.4</v>
      </c>
      <c r="R1136" s="55">
        <v>971</v>
      </c>
      <c r="S1136" s="90">
        <f>588+645</f>
        <v>1233</v>
      </c>
      <c r="U1136" s="55">
        <v>3</v>
      </c>
      <c r="V1136" s="55" t="s">
        <v>1688</v>
      </c>
      <c r="Y1136" s="55" t="s">
        <v>754</v>
      </c>
      <c r="Z1136" s="55" t="s">
        <v>1355</v>
      </c>
      <c r="AA1136" s="90" t="s">
        <v>1680</v>
      </c>
      <c r="AE1136" s="90">
        <f>650/1000*100</f>
        <v>65</v>
      </c>
      <c r="AF1136" s="90">
        <f>25</f>
        <v>25</v>
      </c>
      <c r="AH1136" s="55" t="s">
        <v>238</v>
      </c>
      <c r="AI1136" s="168">
        <v>6.6</v>
      </c>
      <c r="AJ1136" s="90">
        <v>0.88</v>
      </c>
      <c r="AM1136" s="55" t="s">
        <v>1311</v>
      </c>
      <c r="AN1136" s="185" t="s">
        <v>131</v>
      </c>
      <c r="AO1136" s="185" t="s">
        <v>5150</v>
      </c>
      <c r="AQ1136" s="55" t="s">
        <v>131</v>
      </c>
      <c r="AR1136" s="55" t="s">
        <v>560</v>
      </c>
      <c r="AS1136" s="55" t="s">
        <v>5133</v>
      </c>
      <c r="AT1136" s="181" t="s">
        <v>751</v>
      </c>
      <c r="AU1136" s="181" t="s">
        <v>5150</v>
      </c>
      <c r="AV1136" s="185" t="s">
        <v>176</v>
      </c>
      <c r="AW1136" s="55" t="s">
        <v>751</v>
      </c>
      <c r="AX1136" s="185" t="s">
        <v>176</v>
      </c>
      <c r="AY1136" s="55" t="s">
        <v>176</v>
      </c>
      <c r="BK1136" s="55" t="s">
        <v>5976</v>
      </c>
      <c r="BM1136" s="192" t="s">
        <v>119</v>
      </c>
      <c r="BN1136" s="55">
        <v>3</v>
      </c>
      <c r="BO1136" s="55">
        <v>3</v>
      </c>
      <c r="BQ1136" s="55" t="s">
        <v>315</v>
      </c>
      <c r="BS1136" s="55">
        <v>2280</v>
      </c>
      <c r="BT1136" s="55">
        <v>40</v>
      </c>
      <c r="DB1136" s="65">
        <v>5.9136000000000006</v>
      </c>
      <c r="DC1136" s="65">
        <v>6.6892000000000005</v>
      </c>
      <c r="DF1136" s="65" t="s">
        <v>442</v>
      </c>
      <c r="GP1136" s="292" t="s">
        <v>7494</v>
      </c>
      <c r="JU1136" s="55" t="s">
        <v>752</v>
      </c>
    </row>
    <row r="1137" spans="1:281" x14ac:dyDescent="0.25">
      <c r="A1137" s="55">
        <v>1136</v>
      </c>
      <c r="B1137" s="12" t="s">
        <v>7067</v>
      </c>
      <c r="C1137" s="155">
        <v>53</v>
      </c>
      <c r="D1137" s="55" t="s">
        <v>3918</v>
      </c>
      <c r="E1137" s="90" t="s">
        <v>741</v>
      </c>
      <c r="G1137" s="55" t="s">
        <v>742</v>
      </c>
      <c r="H1137" s="55">
        <v>2006</v>
      </c>
      <c r="I1137" s="55">
        <v>2002</v>
      </c>
      <c r="J1137" s="55" t="s">
        <v>743</v>
      </c>
      <c r="K1137" s="55" t="s">
        <v>744</v>
      </c>
      <c r="L1137" s="55" t="s">
        <v>2737</v>
      </c>
      <c r="M1137" s="90">
        <v>33.950000000000003</v>
      </c>
      <c r="N1137" s="90">
        <v>-83.38</v>
      </c>
      <c r="O1137" s="90">
        <v>208.4</v>
      </c>
      <c r="R1137" s="55">
        <v>971</v>
      </c>
      <c r="S1137" s="90">
        <f>588+645</f>
        <v>1233</v>
      </c>
      <c r="U1137" s="55">
        <v>3</v>
      </c>
      <c r="V1137" s="55" t="s">
        <v>1688</v>
      </c>
      <c r="Y1137" s="55" t="s">
        <v>754</v>
      </c>
      <c r="Z1137" s="55" t="s">
        <v>1355</v>
      </c>
      <c r="AA1137" s="90" t="s">
        <v>1680</v>
      </c>
      <c r="AE1137" s="90">
        <f>650/1000*100</f>
        <v>65</v>
      </c>
      <c r="AF1137" s="90">
        <f>25</f>
        <v>25</v>
      </c>
      <c r="AH1137" s="55" t="s">
        <v>238</v>
      </c>
      <c r="AI1137" s="168">
        <v>6.6</v>
      </c>
      <c r="AJ1137" s="90">
        <v>0.88</v>
      </c>
      <c r="AM1137" s="55" t="s">
        <v>1311</v>
      </c>
      <c r="AN1137" s="185" t="s">
        <v>241</v>
      </c>
      <c r="AO1137" s="185" t="s">
        <v>5150</v>
      </c>
      <c r="AQ1137" s="55" t="s">
        <v>553</v>
      </c>
      <c r="AR1137" s="55" t="s">
        <v>560</v>
      </c>
      <c r="AS1137" s="55" t="s">
        <v>5133</v>
      </c>
      <c r="AT1137" s="181" t="s">
        <v>751</v>
      </c>
      <c r="AU1137" s="181" t="s">
        <v>5150</v>
      </c>
      <c r="AV1137" s="185" t="s">
        <v>176</v>
      </c>
      <c r="AW1137" s="55" t="s">
        <v>751</v>
      </c>
      <c r="AX1137" s="185" t="s">
        <v>176</v>
      </c>
      <c r="AY1137" s="55" t="s">
        <v>176</v>
      </c>
      <c r="BK1137" s="55" t="s">
        <v>5976</v>
      </c>
      <c r="BM1137" s="192" t="s">
        <v>119</v>
      </c>
      <c r="BN1137" s="55">
        <v>3</v>
      </c>
      <c r="BO1137" s="55">
        <v>3</v>
      </c>
      <c r="BQ1137" s="55" t="s">
        <v>315</v>
      </c>
      <c r="BS1137" s="55">
        <v>5160</v>
      </c>
      <c r="BT1137" s="55">
        <v>10</v>
      </c>
      <c r="DB1137" s="65">
        <v>5.9136000000000006</v>
      </c>
      <c r="DC1137" s="65">
        <v>7.1456000000000008</v>
      </c>
      <c r="DF1137" s="65" t="s">
        <v>442</v>
      </c>
      <c r="GP1137" s="292" t="s">
        <v>7494</v>
      </c>
      <c r="JU1137" s="55" t="s">
        <v>752</v>
      </c>
    </row>
    <row r="1138" spans="1:281" x14ac:dyDescent="0.25">
      <c r="A1138" s="55">
        <v>1137</v>
      </c>
      <c r="B1138" s="12" t="s">
        <v>7067</v>
      </c>
      <c r="C1138" s="155">
        <v>53</v>
      </c>
      <c r="D1138" s="55" t="s">
        <v>3919</v>
      </c>
      <c r="E1138" s="90" t="s">
        <v>741</v>
      </c>
      <c r="G1138" s="55" t="s">
        <v>742</v>
      </c>
      <c r="H1138" s="55">
        <v>2006</v>
      </c>
      <c r="I1138" s="55">
        <v>2002</v>
      </c>
      <c r="J1138" s="55" t="s">
        <v>743</v>
      </c>
      <c r="K1138" s="55" t="s">
        <v>744</v>
      </c>
      <c r="L1138" s="55" t="s">
        <v>2737</v>
      </c>
      <c r="M1138" s="90">
        <v>33.950000000000003</v>
      </c>
      <c r="N1138" s="90">
        <v>-83.38</v>
      </c>
      <c r="O1138" s="90">
        <v>208.4</v>
      </c>
      <c r="R1138" s="55">
        <v>971</v>
      </c>
      <c r="S1138" s="90">
        <f>588+645</f>
        <v>1233</v>
      </c>
      <c r="U1138" s="55">
        <v>3</v>
      </c>
      <c r="V1138" s="55" t="s">
        <v>1688</v>
      </c>
      <c r="Y1138" s="55" t="s">
        <v>754</v>
      </c>
      <c r="Z1138" s="55" t="s">
        <v>1355</v>
      </c>
      <c r="AA1138" s="90" t="s">
        <v>1680</v>
      </c>
      <c r="AE1138" s="90">
        <f>650/1000*100</f>
        <v>65</v>
      </c>
      <c r="AF1138" s="90">
        <f>25</f>
        <v>25</v>
      </c>
      <c r="AH1138" s="55" t="s">
        <v>238</v>
      </c>
      <c r="AI1138" s="168">
        <v>6.6</v>
      </c>
      <c r="AJ1138" s="90">
        <v>0.88</v>
      </c>
      <c r="AM1138" s="55" t="s">
        <v>1311</v>
      </c>
      <c r="AN1138" s="185" t="s">
        <v>1482</v>
      </c>
      <c r="AO1138" s="185" t="s">
        <v>5150</v>
      </c>
      <c r="AQ1138" s="55" t="s">
        <v>1546</v>
      </c>
      <c r="AR1138" s="55" t="s">
        <v>560</v>
      </c>
      <c r="AS1138" s="55" t="s">
        <v>5133</v>
      </c>
      <c r="AT1138" s="181" t="s">
        <v>751</v>
      </c>
      <c r="AU1138" s="181" t="s">
        <v>5150</v>
      </c>
      <c r="AV1138" s="185" t="s">
        <v>176</v>
      </c>
      <c r="AW1138" s="55" t="s">
        <v>751</v>
      </c>
      <c r="AX1138" s="185" t="s">
        <v>176</v>
      </c>
      <c r="AY1138" s="55" t="s">
        <v>176</v>
      </c>
      <c r="BK1138" s="55" t="s">
        <v>5976</v>
      </c>
      <c r="BM1138" s="192" t="s">
        <v>119</v>
      </c>
      <c r="BN1138" s="55">
        <v>3</v>
      </c>
      <c r="BO1138" s="55">
        <v>3</v>
      </c>
      <c r="BQ1138" s="55" t="s">
        <v>315</v>
      </c>
      <c r="BS1138" s="55">
        <v>5720</v>
      </c>
      <c r="BT1138" s="55">
        <v>11</v>
      </c>
      <c r="DB1138" s="65">
        <v>5.9136000000000006</v>
      </c>
      <c r="DC1138" s="65">
        <v>6.370000000000001</v>
      </c>
      <c r="DF1138" s="65" t="s">
        <v>442</v>
      </c>
      <c r="GP1138" s="292" t="s">
        <v>7494</v>
      </c>
      <c r="JU1138" s="55" t="s">
        <v>752</v>
      </c>
    </row>
    <row r="1139" spans="1:281" x14ac:dyDescent="0.25">
      <c r="A1139" s="55">
        <v>1138</v>
      </c>
      <c r="B1139" s="12" t="s">
        <v>7067</v>
      </c>
      <c r="C1139" s="155">
        <v>53</v>
      </c>
      <c r="D1139" s="55" t="s">
        <v>3918</v>
      </c>
      <c r="E1139" s="90" t="s">
        <v>741</v>
      </c>
      <c r="G1139" s="55" t="s">
        <v>742</v>
      </c>
      <c r="H1139" s="55">
        <v>2006</v>
      </c>
      <c r="I1139" s="55">
        <v>2000</v>
      </c>
      <c r="J1139" s="55" t="s">
        <v>743</v>
      </c>
      <c r="K1139" s="55" t="s">
        <v>744</v>
      </c>
      <c r="L1139" s="55" t="s">
        <v>2737</v>
      </c>
      <c r="M1139" s="90">
        <v>33.950000000000003</v>
      </c>
      <c r="N1139" s="90">
        <v>-83.38</v>
      </c>
      <c r="O1139" s="90">
        <v>208.4</v>
      </c>
      <c r="R1139" s="55">
        <f>278+505</f>
        <v>783</v>
      </c>
      <c r="S1139" s="90">
        <f>588+645</f>
        <v>1233</v>
      </c>
      <c r="U1139" s="55">
        <v>1</v>
      </c>
      <c r="V1139" s="55" t="s">
        <v>1688</v>
      </c>
      <c r="Y1139" s="55" t="s">
        <v>753</v>
      </c>
      <c r="Z1139" s="55" t="s">
        <v>1375</v>
      </c>
      <c r="AA1139" s="90" t="s">
        <v>1680</v>
      </c>
      <c r="AE1139" s="90">
        <f>650/1000*100</f>
        <v>65</v>
      </c>
      <c r="AF1139" s="90">
        <f>25</f>
        <v>25</v>
      </c>
      <c r="AH1139" s="55" t="s">
        <v>238</v>
      </c>
      <c r="AI1139" s="168">
        <v>6.6</v>
      </c>
      <c r="AJ1139" s="90">
        <v>0.88</v>
      </c>
      <c r="AM1139" s="55" t="s">
        <v>1311</v>
      </c>
      <c r="AN1139" s="185" t="s">
        <v>131</v>
      </c>
      <c r="AO1139" s="185" t="s">
        <v>5150</v>
      </c>
      <c r="AQ1139" s="55" t="s">
        <v>131</v>
      </c>
      <c r="AR1139" s="55" t="s">
        <v>560</v>
      </c>
      <c r="AS1139" s="55" t="s">
        <v>5133</v>
      </c>
      <c r="AT1139" s="181" t="s">
        <v>751</v>
      </c>
      <c r="AU1139" s="181" t="s">
        <v>5150</v>
      </c>
      <c r="AV1139" s="185" t="s">
        <v>176</v>
      </c>
      <c r="AW1139" s="55" t="s">
        <v>751</v>
      </c>
      <c r="AX1139" s="185" t="s">
        <v>176</v>
      </c>
      <c r="AY1139" s="55" t="s">
        <v>176</v>
      </c>
      <c r="BK1139" s="55" t="s">
        <v>5976</v>
      </c>
      <c r="BM1139" s="192" t="s">
        <v>119</v>
      </c>
      <c r="BN1139" s="55">
        <v>3</v>
      </c>
      <c r="BO1139" s="55">
        <v>3</v>
      </c>
      <c r="BQ1139" s="55" t="s">
        <v>315</v>
      </c>
      <c r="BS1139" s="55">
        <f>6.07*1000</f>
        <v>6070</v>
      </c>
      <c r="BT1139" s="55">
        <v>29</v>
      </c>
      <c r="DB1139" s="65">
        <v>8.0332000000000008</v>
      </c>
      <c r="DC1139" s="65">
        <v>6.983200000000001</v>
      </c>
      <c r="DF1139" s="65" t="s">
        <v>442</v>
      </c>
      <c r="GP1139" s="292" t="s">
        <v>7494</v>
      </c>
      <c r="JU1139" s="55" t="s">
        <v>752</v>
      </c>
    </row>
    <row r="1140" spans="1:281" x14ac:dyDescent="0.25">
      <c r="A1140" s="55">
        <v>1139</v>
      </c>
      <c r="B1140" s="12" t="s">
        <v>7067</v>
      </c>
      <c r="C1140" s="155">
        <v>53</v>
      </c>
      <c r="D1140" s="55" t="s">
        <v>3919</v>
      </c>
      <c r="E1140" s="90" t="s">
        <v>741</v>
      </c>
      <c r="G1140" s="55" t="s">
        <v>742</v>
      </c>
      <c r="H1140" s="55">
        <v>2006</v>
      </c>
      <c r="I1140" s="55">
        <v>2000</v>
      </c>
      <c r="J1140" s="55" t="s">
        <v>743</v>
      </c>
      <c r="K1140" s="55" t="s">
        <v>744</v>
      </c>
      <c r="L1140" s="55" t="s">
        <v>2737</v>
      </c>
      <c r="M1140" s="90">
        <v>33.950000000000003</v>
      </c>
      <c r="N1140" s="90">
        <v>-83.38</v>
      </c>
      <c r="O1140" s="90">
        <v>208.4</v>
      </c>
      <c r="R1140" s="55">
        <f>278+505</f>
        <v>783</v>
      </c>
      <c r="S1140" s="90">
        <f>588+645</f>
        <v>1233</v>
      </c>
      <c r="U1140" s="55">
        <v>1</v>
      </c>
      <c r="V1140" s="55" t="s">
        <v>1688</v>
      </c>
      <c r="Y1140" s="55" t="s">
        <v>753</v>
      </c>
      <c r="Z1140" s="55" t="s">
        <v>1375</v>
      </c>
      <c r="AA1140" s="90" t="s">
        <v>1680</v>
      </c>
      <c r="AE1140" s="90">
        <f>650/1000*100</f>
        <v>65</v>
      </c>
      <c r="AF1140" s="90">
        <f>25</f>
        <v>25</v>
      </c>
      <c r="AH1140" s="55" t="s">
        <v>238</v>
      </c>
      <c r="AI1140" s="168">
        <v>6.6</v>
      </c>
      <c r="AJ1140" s="90">
        <v>0.88</v>
      </c>
      <c r="AM1140" s="55" t="s">
        <v>1311</v>
      </c>
      <c r="AN1140" s="185" t="s">
        <v>241</v>
      </c>
      <c r="AO1140" s="185" t="s">
        <v>5150</v>
      </c>
      <c r="AQ1140" s="55" t="s">
        <v>553</v>
      </c>
      <c r="AR1140" s="55" t="s">
        <v>560</v>
      </c>
      <c r="AS1140" s="55" t="s">
        <v>5133</v>
      </c>
      <c r="AT1140" s="181" t="s">
        <v>751</v>
      </c>
      <c r="AU1140" s="181" t="s">
        <v>5150</v>
      </c>
      <c r="AV1140" s="185" t="s">
        <v>176</v>
      </c>
      <c r="AW1140" s="55" t="s">
        <v>751</v>
      </c>
      <c r="AX1140" s="185" t="s">
        <v>176</v>
      </c>
      <c r="AY1140" s="55" t="s">
        <v>176</v>
      </c>
      <c r="BK1140" s="55" t="s">
        <v>5976</v>
      </c>
      <c r="BM1140" s="192" t="s">
        <v>119</v>
      </c>
      <c r="BN1140" s="55">
        <v>3</v>
      </c>
      <c r="BO1140" s="55">
        <v>3</v>
      </c>
      <c r="BQ1140" s="55" t="s">
        <v>315</v>
      </c>
      <c r="BS1140" s="55">
        <v>5100</v>
      </c>
      <c r="BT1140" s="55">
        <v>12</v>
      </c>
      <c r="DB1140" s="65">
        <v>8.0332000000000008</v>
      </c>
      <c r="DC1140" s="65">
        <v>10.5448</v>
      </c>
      <c r="DF1140" s="65" t="s">
        <v>442</v>
      </c>
      <c r="GP1140" s="292" t="s">
        <v>7494</v>
      </c>
      <c r="JU1140" s="55" t="s">
        <v>752</v>
      </c>
    </row>
    <row r="1141" spans="1:281" x14ac:dyDescent="0.25">
      <c r="A1141" s="55">
        <v>1140</v>
      </c>
      <c r="B1141" s="12" t="s">
        <v>7067</v>
      </c>
      <c r="C1141" s="155">
        <v>53</v>
      </c>
      <c r="D1141" s="55" t="s">
        <v>3918</v>
      </c>
      <c r="E1141" s="90" t="s">
        <v>741</v>
      </c>
      <c r="G1141" s="55" t="s">
        <v>742</v>
      </c>
      <c r="H1141" s="55">
        <v>2006</v>
      </c>
      <c r="I1141" s="55">
        <v>2000</v>
      </c>
      <c r="J1141" s="55" t="s">
        <v>743</v>
      </c>
      <c r="K1141" s="55" t="s">
        <v>744</v>
      </c>
      <c r="L1141" s="55" t="s">
        <v>2737</v>
      </c>
      <c r="M1141" s="90">
        <v>33.950000000000003</v>
      </c>
      <c r="N1141" s="90">
        <v>-83.38</v>
      </c>
      <c r="O1141" s="90">
        <v>208.4</v>
      </c>
      <c r="R1141" s="55">
        <f>278+505</f>
        <v>783</v>
      </c>
      <c r="S1141" s="90">
        <f>588+645</f>
        <v>1233</v>
      </c>
      <c r="U1141" s="55">
        <v>1</v>
      </c>
      <c r="V1141" s="55" t="s">
        <v>1688</v>
      </c>
      <c r="Y1141" s="55" t="s">
        <v>753</v>
      </c>
      <c r="Z1141" s="55" t="s">
        <v>1375</v>
      </c>
      <c r="AA1141" s="90" t="s">
        <v>1680</v>
      </c>
      <c r="AE1141" s="90">
        <f>650/1000*100</f>
        <v>65</v>
      </c>
      <c r="AF1141" s="90">
        <f>25</f>
        <v>25</v>
      </c>
      <c r="AH1141" s="55" t="s">
        <v>238</v>
      </c>
      <c r="AI1141" s="168">
        <v>6.6</v>
      </c>
      <c r="AJ1141" s="90">
        <v>0.88</v>
      </c>
      <c r="AM1141" s="55" t="s">
        <v>1311</v>
      </c>
      <c r="AN1141" s="185" t="s">
        <v>1482</v>
      </c>
      <c r="AO1141" s="185" t="s">
        <v>5150</v>
      </c>
      <c r="AQ1141" s="55" t="s">
        <v>1546</v>
      </c>
      <c r="AR1141" s="55" t="s">
        <v>560</v>
      </c>
      <c r="AS1141" s="55" t="s">
        <v>5133</v>
      </c>
      <c r="AT1141" s="181" t="s">
        <v>751</v>
      </c>
      <c r="AU1141" s="181" t="s">
        <v>5150</v>
      </c>
      <c r="AV1141" s="185" t="s">
        <v>176</v>
      </c>
      <c r="AW1141" s="55" t="s">
        <v>751</v>
      </c>
      <c r="AX1141" s="185" t="s">
        <v>176</v>
      </c>
      <c r="AY1141" s="55" t="s">
        <v>176</v>
      </c>
      <c r="BK1141" s="55" t="s">
        <v>5976</v>
      </c>
      <c r="BM1141" s="192" t="s">
        <v>119</v>
      </c>
      <c r="BN1141" s="55">
        <v>3</v>
      </c>
      <c r="BO1141" s="55">
        <v>3</v>
      </c>
      <c r="BQ1141" s="55" t="s">
        <v>315</v>
      </c>
      <c r="BS1141" s="55">
        <v>8180</v>
      </c>
      <c r="BT1141" s="55">
        <v>10</v>
      </c>
      <c r="DB1141" s="65">
        <v>8.0332000000000008</v>
      </c>
      <c r="DC1141" s="65">
        <v>8.9012000000000011</v>
      </c>
      <c r="DF1141" s="65" t="s">
        <v>442</v>
      </c>
      <c r="GP1141" s="292" t="s">
        <v>7494</v>
      </c>
      <c r="JU1141" s="55" t="s">
        <v>752</v>
      </c>
    </row>
    <row r="1142" spans="1:281" x14ac:dyDescent="0.25">
      <c r="A1142" s="55">
        <v>1141</v>
      </c>
      <c r="B1142" s="12" t="s">
        <v>7067</v>
      </c>
      <c r="C1142" s="155">
        <v>53</v>
      </c>
      <c r="D1142" s="55" t="s">
        <v>3919</v>
      </c>
      <c r="E1142" s="90" t="s">
        <v>741</v>
      </c>
      <c r="G1142" s="55" t="s">
        <v>742</v>
      </c>
      <c r="H1142" s="55">
        <v>2006</v>
      </c>
      <c r="I1142" s="55">
        <v>2000</v>
      </c>
      <c r="J1142" s="55" t="s">
        <v>743</v>
      </c>
      <c r="K1142" s="55" t="s">
        <v>744</v>
      </c>
      <c r="L1142" s="55" t="s">
        <v>2737</v>
      </c>
      <c r="M1142" s="90">
        <v>33.950000000000003</v>
      </c>
      <c r="N1142" s="90">
        <v>-83.38</v>
      </c>
      <c r="O1142" s="90">
        <v>208.4</v>
      </c>
      <c r="R1142" s="55">
        <f>278+505</f>
        <v>783</v>
      </c>
      <c r="S1142" s="90">
        <f>588+645</f>
        <v>1233</v>
      </c>
      <c r="U1142" s="55">
        <v>1</v>
      </c>
      <c r="V1142" s="55" t="s">
        <v>1688</v>
      </c>
      <c r="Y1142" s="55" t="s">
        <v>754</v>
      </c>
      <c r="Z1142" s="55" t="s">
        <v>1375</v>
      </c>
      <c r="AA1142" s="90" t="s">
        <v>1680</v>
      </c>
      <c r="AE1142" s="90">
        <f>650/1000*100</f>
        <v>65</v>
      </c>
      <c r="AF1142" s="90">
        <f>25</f>
        <v>25</v>
      </c>
      <c r="AH1142" s="55" t="s">
        <v>238</v>
      </c>
      <c r="AI1142" s="168">
        <v>6.6</v>
      </c>
      <c r="AJ1142" s="90">
        <v>0.88</v>
      </c>
      <c r="AM1142" s="55" t="s">
        <v>1311</v>
      </c>
      <c r="AN1142" s="185" t="s">
        <v>131</v>
      </c>
      <c r="AO1142" s="185" t="s">
        <v>5150</v>
      </c>
      <c r="AQ1142" s="55" t="s">
        <v>131</v>
      </c>
      <c r="AR1142" s="55" t="s">
        <v>560</v>
      </c>
      <c r="AS1142" s="55" t="s">
        <v>5133</v>
      </c>
      <c r="AT1142" s="181" t="s">
        <v>751</v>
      </c>
      <c r="AU1142" s="181" t="s">
        <v>5150</v>
      </c>
      <c r="AV1142" s="185" t="s">
        <v>176</v>
      </c>
      <c r="AW1142" s="55" t="s">
        <v>751</v>
      </c>
      <c r="AX1142" s="185" t="s">
        <v>176</v>
      </c>
      <c r="AY1142" s="55" t="s">
        <v>176</v>
      </c>
      <c r="BK1142" s="55" t="s">
        <v>5976</v>
      </c>
      <c r="BM1142" s="192" t="s">
        <v>119</v>
      </c>
      <c r="BN1142" s="55">
        <v>3</v>
      </c>
      <c r="BO1142" s="55">
        <v>3</v>
      </c>
      <c r="BQ1142" s="55" t="s">
        <v>315</v>
      </c>
      <c r="BS1142" s="55">
        <v>6070</v>
      </c>
      <c r="BT1142" s="55">
        <v>29</v>
      </c>
      <c r="DB1142" s="65">
        <v>11.583600000000001</v>
      </c>
      <c r="DC1142" s="65">
        <v>11.356800000000002</v>
      </c>
      <c r="DF1142" s="65" t="s">
        <v>442</v>
      </c>
      <c r="GP1142" s="292" t="s">
        <v>7494</v>
      </c>
      <c r="JU1142" s="55" t="s">
        <v>752</v>
      </c>
    </row>
    <row r="1143" spans="1:281" x14ac:dyDescent="0.25">
      <c r="A1143" s="55">
        <v>1142</v>
      </c>
      <c r="B1143" s="12" t="s">
        <v>7067</v>
      </c>
      <c r="C1143" s="155">
        <v>53</v>
      </c>
      <c r="D1143" s="55" t="s">
        <v>3918</v>
      </c>
      <c r="E1143" s="90" t="s">
        <v>741</v>
      </c>
      <c r="G1143" s="55" t="s">
        <v>742</v>
      </c>
      <c r="H1143" s="55">
        <v>2006</v>
      </c>
      <c r="I1143" s="55">
        <v>2000</v>
      </c>
      <c r="J1143" s="55" t="s">
        <v>743</v>
      </c>
      <c r="K1143" s="55" t="s">
        <v>744</v>
      </c>
      <c r="L1143" s="55" t="s">
        <v>2737</v>
      </c>
      <c r="M1143" s="90">
        <v>33.950000000000003</v>
      </c>
      <c r="N1143" s="90">
        <v>-83.38</v>
      </c>
      <c r="O1143" s="90">
        <v>208.4</v>
      </c>
      <c r="R1143" s="55">
        <f>278+505</f>
        <v>783</v>
      </c>
      <c r="S1143" s="90">
        <f>588+645</f>
        <v>1233</v>
      </c>
      <c r="U1143" s="55">
        <v>1</v>
      </c>
      <c r="V1143" s="55" t="s">
        <v>1688</v>
      </c>
      <c r="Y1143" s="55" t="s">
        <v>754</v>
      </c>
      <c r="Z1143" s="55" t="s">
        <v>1375</v>
      </c>
      <c r="AA1143" s="90" t="s">
        <v>1680</v>
      </c>
      <c r="AE1143" s="90">
        <f>650/1000*100</f>
        <v>65</v>
      </c>
      <c r="AF1143" s="90">
        <f>25</f>
        <v>25</v>
      </c>
      <c r="AH1143" s="55" t="s">
        <v>238</v>
      </c>
      <c r="AI1143" s="168">
        <v>6.6</v>
      </c>
      <c r="AJ1143" s="90">
        <v>0.88</v>
      </c>
      <c r="AM1143" s="55" t="s">
        <v>1311</v>
      </c>
      <c r="AN1143" s="185" t="s">
        <v>241</v>
      </c>
      <c r="AO1143" s="185" t="s">
        <v>5150</v>
      </c>
      <c r="AQ1143" s="55" t="s">
        <v>553</v>
      </c>
      <c r="AR1143" s="55" t="s">
        <v>560</v>
      </c>
      <c r="AS1143" s="55" t="s">
        <v>5133</v>
      </c>
      <c r="AT1143" s="181" t="s">
        <v>751</v>
      </c>
      <c r="AU1143" s="181" t="s">
        <v>5150</v>
      </c>
      <c r="AV1143" s="185" t="s">
        <v>176</v>
      </c>
      <c r="AW1143" s="55" t="s">
        <v>751</v>
      </c>
      <c r="AX1143" s="185" t="s">
        <v>176</v>
      </c>
      <c r="AY1143" s="55" t="s">
        <v>176</v>
      </c>
      <c r="BK1143" s="55" t="s">
        <v>5976</v>
      </c>
      <c r="BM1143" s="192" t="s">
        <v>119</v>
      </c>
      <c r="BN1143" s="55">
        <v>3</v>
      </c>
      <c r="BO1143" s="55">
        <v>3</v>
      </c>
      <c r="BQ1143" s="55" t="s">
        <v>315</v>
      </c>
      <c r="BS1143" s="55">
        <v>5100</v>
      </c>
      <c r="BT1143" s="55">
        <v>12</v>
      </c>
      <c r="DB1143" s="65">
        <v>11.583600000000001</v>
      </c>
      <c r="DC1143" s="65">
        <v>12.544</v>
      </c>
      <c r="DF1143" s="65" t="s">
        <v>442</v>
      </c>
      <c r="GP1143" s="292" t="s">
        <v>7494</v>
      </c>
      <c r="JU1143" s="55" t="s">
        <v>752</v>
      </c>
    </row>
    <row r="1144" spans="1:281" x14ac:dyDescent="0.25">
      <c r="A1144" s="55">
        <v>1143</v>
      </c>
      <c r="B1144" s="12" t="s">
        <v>7067</v>
      </c>
      <c r="C1144" s="155">
        <v>53</v>
      </c>
      <c r="D1144" s="55" t="s">
        <v>3919</v>
      </c>
      <c r="E1144" s="90" t="s">
        <v>741</v>
      </c>
      <c r="G1144" s="55" t="s">
        <v>742</v>
      </c>
      <c r="H1144" s="55">
        <v>2006</v>
      </c>
      <c r="I1144" s="55">
        <v>2000</v>
      </c>
      <c r="J1144" s="55" t="s">
        <v>743</v>
      </c>
      <c r="K1144" s="55" t="s">
        <v>744</v>
      </c>
      <c r="L1144" s="55" t="s">
        <v>2737</v>
      </c>
      <c r="M1144" s="90">
        <v>33.950000000000003</v>
      </c>
      <c r="N1144" s="90">
        <v>-83.38</v>
      </c>
      <c r="O1144" s="90">
        <v>208.4</v>
      </c>
      <c r="R1144" s="55">
        <f>278+505</f>
        <v>783</v>
      </c>
      <c r="S1144" s="90">
        <f>588+645</f>
        <v>1233</v>
      </c>
      <c r="U1144" s="55">
        <v>1</v>
      </c>
      <c r="V1144" s="55" t="s">
        <v>1688</v>
      </c>
      <c r="Y1144" s="55" t="s">
        <v>754</v>
      </c>
      <c r="Z1144" s="55" t="s">
        <v>1375</v>
      </c>
      <c r="AA1144" s="90" t="s">
        <v>1680</v>
      </c>
      <c r="AE1144" s="90">
        <f>650/1000*100</f>
        <v>65</v>
      </c>
      <c r="AF1144" s="90">
        <f>25</f>
        <v>25</v>
      </c>
      <c r="AH1144" s="55" t="s">
        <v>238</v>
      </c>
      <c r="AI1144" s="168">
        <v>6.6</v>
      </c>
      <c r="AJ1144" s="90">
        <v>0.88</v>
      </c>
      <c r="AM1144" s="55" t="s">
        <v>1311</v>
      </c>
      <c r="AN1144" s="185" t="s">
        <v>1482</v>
      </c>
      <c r="AO1144" s="185" t="s">
        <v>5150</v>
      </c>
      <c r="AQ1144" s="55" t="s">
        <v>1546</v>
      </c>
      <c r="AR1144" s="55" t="s">
        <v>560</v>
      </c>
      <c r="AS1144" s="55" t="s">
        <v>5133</v>
      </c>
      <c r="AT1144" s="181" t="s">
        <v>751</v>
      </c>
      <c r="AU1144" s="181" t="s">
        <v>5150</v>
      </c>
      <c r="AV1144" s="185" t="s">
        <v>176</v>
      </c>
      <c r="AW1144" s="55" t="s">
        <v>751</v>
      </c>
      <c r="AX1144" s="185" t="s">
        <v>176</v>
      </c>
      <c r="AY1144" s="55" t="s">
        <v>176</v>
      </c>
      <c r="BK1144" s="55" t="s">
        <v>5976</v>
      </c>
      <c r="BM1144" s="192" t="s">
        <v>119</v>
      </c>
      <c r="BN1144" s="55">
        <v>3</v>
      </c>
      <c r="BO1144" s="55">
        <v>3</v>
      </c>
      <c r="BQ1144" s="55" t="s">
        <v>315</v>
      </c>
      <c r="BS1144" s="55">
        <v>8180</v>
      </c>
      <c r="BT1144" s="55">
        <v>10</v>
      </c>
      <c r="DB1144" s="65">
        <v>11.583600000000001</v>
      </c>
      <c r="DC1144" s="65">
        <v>11.8132</v>
      </c>
      <c r="DF1144" s="65" t="s">
        <v>442</v>
      </c>
      <c r="GP1144" s="292" t="s">
        <v>7494</v>
      </c>
      <c r="JU1144" s="55" t="s">
        <v>752</v>
      </c>
    </row>
    <row r="1145" spans="1:281" x14ac:dyDescent="0.25">
      <c r="A1145" s="55">
        <v>1144</v>
      </c>
      <c r="B1145" s="12" t="s">
        <v>7067</v>
      </c>
      <c r="C1145" s="155">
        <v>53</v>
      </c>
      <c r="D1145" s="55" t="s">
        <v>3918</v>
      </c>
      <c r="E1145" s="90" t="s">
        <v>741</v>
      </c>
      <c r="G1145" s="55" t="s">
        <v>742</v>
      </c>
      <c r="H1145" s="55">
        <v>2006</v>
      </c>
      <c r="I1145" s="55">
        <v>2001</v>
      </c>
      <c r="J1145" s="55" t="s">
        <v>743</v>
      </c>
      <c r="K1145" s="55" t="s">
        <v>744</v>
      </c>
      <c r="L1145" s="55" t="s">
        <v>2737</v>
      </c>
      <c r="M1145" s="90">
        <v>33.950000000000003</v>
      </c>
      <c r="N1145" s="90">
        <v>-83.38</v>
      </c>
      <c r="O1145" s="90">
        <v>208.4</v>
      </c>
      <c r="R1145" s="55">
        <v>748</v>
      </c>
      <c r="S1145" s="90">
        <f>588+645</f>
        <v>1233</v>
      </c>
      <c r="U1145" s="55">
        <v>2</v>
      </c>
      <c r="V1145" s="55" t="s">
        <v>1688</v>
      </c>
      <c r="Y1145" s="55" t="s">
        <v>753</v>
      </c>
      <c r="Z1145" s="55" t="s">
        <v>1375</v>
      </c>
      <c r="AA1145" s="90" t="s">
        <v>1680</v>
      </c>
      <c r="AE1145" s="90">
        <f>650/1000*100</f>
        <v>65</v>
      </c>
      <c r="AF1145" s="90">
        <f>25</f>
        <v>25</v>
      </c>
      <c r="AH1145" s="55" t="s">
        <v>238</v>
      </c>
      <c r="AI1145" s="168">
        <v>6.6</v>
      </c>
      <c r="AJ1145" s="90">
        <v>0.88</v>
      </c>
      <c r="AM1145" s="55" t="s">
        <v>1311</v>
      </c>
      <c r="AN1145" s="185" t="s">
        <v>131</v>
      </c>
      <c r="AO1145" s="185" t="s">
        <v>5150</v>
      </c>
      <c r="AQ1145" s="55" t="s">
        <v>131</v>
      </c>
      <c r="AR1145" s="55" t="s">
        <v>560</v>
      </c>
      <c r="AS1145" s="55" t="s">
        <v>5133</v>
      </c>
      <c r="AT1145" s="181" t="s">
        <v>751</v>
      </c>
      <c r="AU1145" s="181" t="s">
        <v>5150</v>
      </c>
      <c r="AV1145" s="185" t="s">
        <v>176</v>
      </c>
      <c r="AW1145" s="55" t="s">
        <v>751</v>
      </c>
      <c r="AX1145" s="185" t="s">
        <v>176</v>
      </c>
      <c r="AY1145" s="55" t="s">
        <v>176</v>
      </c>
      <c r="BK1145" s="55" t="s">
        <v>5976</v>
      </c>
      <c r="BM1145" s="192" t="s">
        <v>119</v>
      </c>
      <c r="BN1145" s="55">
        <v>3</v>
      </c>
      <c r="BO1145" s="55">
        <v>3</v>
      </c>
      <c r="BQ1145" s="55" t="s">
        <v>315</v>
      </c>
      <c r="BS1145" s="55">
        <v>3810</v>
      </c>
      <c r="BT1145" s="55">
        <v>57</v>
      </c>
      <c r="DB1145" s="65">
        <v>8.0108000000000015</v>
      </c>
      <c r="DC1145" s="65">
        <v>8.0108000000000015</v>
      </c>
      <c r="DF1145" s="65" t="s">
        <v>442</v>
      </c>
      <c r="GP1145" s="292" t="s">
        <v>7494</v>
      </c>
      <c r="JU1145" s="55" t="s">
        <v>752</v>
      </c>
    </row>
    <row r="1146" spans="1:281" x14ac:dyDescent="0.25">
      <c r="A1146" s="55">
        <v>1145</v>
      </c>
      <c r="B1146" s="12" t="s">
        <v>7067</v>
      </c>
      <c r="C1146" s="155">
        <v>53</v>
      </c>
      <c r="D1146" s="55" t="s">
        <v>3919</v>
      </c>
      <c r="E1146" s="90" t="s">
        <v>741</v>
      </c>
      <c r="G1146" s="55" t="s">
        <v>742</v>
      </c>
      <c r="H1146" s="55">
        <v>2006</v>
      </c>
      <c r="I1146" s="55">
        <v>2001</v>
      </c>
      <c r="J1146" s="55" t="s">
        <v>743</v>
      </c>
      <c r="K1146" s="55" t="s">
        <v>744</v>
      </c>
      <c r="L1146" s="55" t="s">
        <v>2737</v>
      </c>
      <c r="M1146" s="90">
        <v>33.950000000000003</v>
      </c>
      <c r="N1146" s="90">
        <v>-83.38</v>
      </c>
      <c r="O1146" s="90">
        <v>208.4</v>
      </c>
      <c r="R1146" s="55">
        <v>748</v>
      </c>
      <c r="S1146" s="90">
        <f>588+645</f>
        <v>1233</v>
      </c>
      <c r="U1146" s="55">
        <v>2</v>
      </c>
      <c r="V1146" s="55" t="s">
        <v>1688</v>
      </c>
      <c r="Y1146" s="55" t="s">
        <v>753</v>
      </c>
      <c r="Z1146" s="55" t="s">
        <v>1375</v>
      </c>
      <c r="AA1146" s="90" t="s">
        <v>1680</v>
      </c>
      <c r="AE1146" s="90">
        <f>650/1000*100</f>
        <v>65</v>
      </c>
      <c r="AF1146" s="90">
        <f>25</f>
        <v>25</v>
      </c>
      <c r="AH1146" s="55" t="s">
        <v>238</v>
      </c>
      <c r="AI1146" s="168">
        <v>6.6</v>
      </c>
      <c r="AJ1146" s="90">
        <v>0.88</v>
      </c>
      <c r="AM1146" s="55" t="s">
        <v>1311</v>
      </c>
      <c r="AN1146" s="185" t="s">
        <v>241</v>
      </c>
      <c r="AO1146" s="185" t="s">
        <v>5150</v>
      </c>
      <c r="AQ1146" s="55" t="s">
        <v>553</v>
      </c>
      <c r="AR1146" s="55" t="s">
        <v>560</v>
      </c>
      <c r="AS1146" s="55" t="s">
        <v>5133</v>
      </c>
      <c r="AT1146" s="181" t="s">
        <v>751</v>
      </c>
      <c r="AU1146" s="181" t="s">
        <v>5150</v>
      </c>
      <c r="AV1146" s="185" t="s">
        <v>176</v>
      </c>
      <c r="AW1146" s="55" t="s">
        <v>751</v>
      </c>
      <c r="AX1146" s="185" t="s">
        <v>176</v>
      </c>
      <c r="AY1146" s="55" t="s">
        <v>176</v>
      </c>
      <c r="BK1146" s="55" t="s">
        <v>5976</v>
      </c>
      <c r="BM1146" s="192" t="s">
        <v>119</v>
      </c>
      <c r="BN1146" s="55">
        <v>3</v>
      </c>
      <c r="BO1146" s="55">
        <v>3</v>
      </c>
      <c r="BQ1146" s="55" t="s">
        <v>315</v>
      </c>
      <c r="BS1146" s="55">
        <v>2440</v>
      </c>
      <c r="BT1146" s="55">
        <v>12</v>
      </c>
      <c r="DB1146" s="65">
        <v>8.0108000000000015</v>
      </c>
      <c r="DC1146" s="65">
        <v>8.6492000000000004</v>
      </c>
      <c r="DF1146" s="65" t="s">
        <v>442</v>
      </c>
      <c r="GP1146" s="292" t="s">
        <v>7494</v>
      </c>
      <c r="JU1146" s="55" t="s">
        <v>752</v>
      </c>
    </row>
    <row r="1147" spans="1:281" x14ac:dyDescent="0.25">
      <c r="A1147" s="55">
        <v>1146</v>
      </c>
      <c r="B1147" s="12" t="s">
        <v>7067</v>
      </c>
      <c r="C1147" s="155">
        <v>53</v>
      </c>
      <c r="D1147" s="55" t="s">
        <v>3918</v>
      </c>
      <c r="E1147" s="90" t="s">
        <v>741</v>
      </c>
      <c r="G1147" s="55" t="s">
        <v>742</v>
      </c>
      <c r="H1147" s="55">
        <v>2006</v>
      </c>
      <c r="I1147" s="55">
        <v>2001</v>
      </c>
      <c r="J1147" s="55" t="s">
        <v>743</v>
      </c>
      <c r="K1147" s="55" t="s">
        <v>744</v>
      </c>
      <c r="L1147" s="55" t="s">
        <v>2737</v>
      </c>
      <c r="M1147" s="90">
        <v>33.950000000000003</v>
      </c>
      <c r="N1147" s="90">
        <v>-83.38</v>
      </c>
      <c r="O1147" s="90">
        <v>208.4</v>
      </c>
      <c r="R1147" s="55">
        <v>748</v>
      </c>
      <c r="S1147" s="90">
        <f>588+645</f>
        <v>1233</v>
      </c>
      <c r="U1147" s="55">
        <v>2</v>
      </c>
      <c r="V1147" s="55" t="s">
        <v>1688</v>
      </c>
      <c r="Y1147" s="55" t="s">
        <v>753</v>
      </c>
      <c r="Z1147" s="55" t="s">
        <v>1375</v>
      </c>
      <c r="AA1147" s="90" t="s">
        <v>1680</v>
      </c>
      <c r="AE1147" s="90">
        <f>650/1000*100</f>
        <v>65</v>
      </c>
      <c r="AF1147" s="90">
        <f>25</f>
        <v>25</v>
      </c>
      <c r="AH1147" s="55" t="s">
        <v>238</v>
      </c>
      <c r="AI1147" s="168">
        <v>6.6</v>
      </c>
      <c r="AJ1147" s="90">
        <v>0.88</v>
      </c>
      <c r="AM1147" s="55" t="s">
        <v>1311</v>
      </c>
      <c r="AN1147" s="185" t="s">
        <v>1482</v>
      </c>
      <c r="AO1147" s="185" t="s">
        <v>5150</v>
      </c>
      <c r="AQ1147" s="55" t="s">
        <v>1546</v>
      </c>
      <c r="AR1147" s="55" t="s">
        <v>560</v>
      </c>
      <c r="AS1147" s="55" t="s">
        <v>5133</v>
      </c>
      <c r="AT1147" s="181" t="s">
        <v>751</v>
      </c>
      <c r="AU1147" s="181" t="s">
        <v>5150</v>
      </c>
      <c r="AV1147" s="185" t="s">
        <v>176</v>
      </c>
      <c r="AW1147" s="55" t="s">
        <v>751</v>
      </c>
      <c r="AX1147" s="185" t="s">
        <v>176</v>
      </c>
      <c r="AY1147" s="55" t="s">
        <v>176</v>
      </c>
      <c r="BK1147" s="55" t="s">
        <v>5976</v>
      </c>
      <c r="BM1147" s="192" t="s">
        <v>119</v>
      </c>
      <c r="BN1147" s="55">
        <v>3</v>
      </c>
      <c r="BO1147" s="55">
        <v>3</v>
      </c>
      <c r="BQ1147" s="55" t="s">
        <v>315</v>
      </c>
      <c r="BS1147" s="55">
        <v>5980</v>
      </c>
      <c r="BT1147" s="55">
        <v>32</v>
      </c>
      <c r="DB1147" s="65">
        <v>8.0108000000000015</v>
      </c>
      <c r="DC1147" s="65">
        <v>8.0108000000000015</v>
      </c>
      <c r="DF1147" s="65" t="s">
        <v>442</v>
      </c>
      <c r="GP1147" s="292" t="s">
        <v>7494</v>
      </c>
      <c r="JU1147" s="55" t="s">
        <v>752</v>
      </c>
    </row>
    <row r="1148" spans="1:281" x14ac:dyDescent="0.25">
      <c r="A1148" s="55">
        <v>1147</v>
      </c>
      <c r="B1148" s="12" t="s">
        <v>7067</v>
      </c>
      <c r="C1148" s="155">
        <v>53</v>
      </c>
      <c r="D1148" s="55" t="s">
        <v>3919</v>
      </c>
      <c r="E1148" s="90" t="s">
        <v>741</v>
      </c>
      <c r="G1148" s="55" t="s">
        <v>742</v>
      </c>
      <c r="H1148" s="55">
        <v>2006</v>
      </c>
      <c r="I1148" s="55">
        <v>2001</v>
      </c>
      <c r="J1148" s="55" t="s">
        <v>743</v>
      </c>
      <c r="K1148" s="55" t="s">
        <v>744</v>
      </c>
      <c r="L1148" s="55" t="s">
        <v>2737</v>
      </c>
      <c r="M1148" s="90">
        <v>33.950000000000003</v>
      </c>
      <c r="N1148" s="90">
        <v>-83.38</v>
      </c>
      <c r="O1148" s="90">
        <v>208.4</v>
      </c>
      <c r="R1148" s="55">
        <v>748</v>
      </c>
      <c r="S1148" s="90">
        <f>588+645</f>
        <v>1233</v>
      </c>
      <c r="U1148" s="55">
        <v>2</v>
      </c>
      <c r="V1148" s="55" t="s">
        <v>1688</v>
      </c>
      <c r="Y1148" s="55" t="s">
        <v>754</v>
      </c>
      <c r="Z1148" s="55" t="s">
        <v>1375</v>
      </c>
      <c r="AA1148" s="90" t="s">
        <v>1680</v>
      </c>
      <c r="AE1148" s="90">
        <f>650/1000*100</f>
        <v>65</v>
      </c>
      <c r="AF1148" s="90">
        <f>25</f>
        <v>25</v>
      </c>
      <c r="AH1148" s="55" t="s">
        <v>238</v>
      </c>
      <c r="AI1148" s="168">
        <v>6.6</v>
      </c>
      <c r="AJ1148" s="90">
        <v>0.88</v>
      </c>
      <c r="AM1148" s="55" t="s">
        <v>1311</v>
      </c>
      <c r="AN1148" s="185" t="s">
        <v>131</v>
      </c>
      <c r="AO1148" s="185" t="s">
        <v>5150</v>
      </c>
      <c r="AQ1148" s="55" t="s">
        <v>131</v>
      </c>
      <c r="AR1148" s="55" t="s">
        <v>560</v>
      </c>
      <c r="AS1148" s="55" t="s">
        <v>5133</v>
      </c>
      <c r="AT1148" s="181" t="s">
        <v>751</v>
      </c>
      <c r="AU1148" s="181" t="s">
        <v>5150</v>
      </c>
      <c r="AV1148" s="185" t="s">
        <v>176</v>
      </c>
      <c r="AW1148" s="55" t="s">
        <v>751</v>
      </c>
      <c r="AX1148" s="185" t="s">
        <v>176</v>
      </c>
      <c r="AY1148" s="55" t="s">
        <v>176</v>
      </c>
      <c r="BK1148" s="55" t="s">
        <v>5976</v>
      </c>
      <c r="BM1148" s="192" t="s">
        <v>119</v>
      </c>
      <c r="BN1148" s="55">
        <v>3</v>
      </c>
      <c r="BO1148" s="55">
        <v>3</v>
      </c>
      <c r="BQ1148" s="55" t="s">
        <v>315</v>
      </c>
      <c r="BS1148" s="55">
        <v>3810</v>
      </c>
      <c r="BT1148" s="55">
        <v>57</v>
      </c>
      <c r="DB1148" s="65">
        <v>8.4560000000000013</v>
      </c>
      <c r="DC1148" s="65">
        <v>8.4560000000000013</v>
      </c>
      <c r="DF1148" s="65" t="s">
        <v>442</v>
      </c>
      <c r="GP1148" s="292" t="s">
        <v>7494</v>
      </c>
      <c r="JU1148" s="55" t="s">
        <v>752</v>
      </c>
    </row>
    <row r="1149" spans="1:281" x14ac:dyDescent="0.25">
      <c r="A1149" s="55">
        <v>1148</v>
      </c>
      <c r="B1149" s="12" t="s">
        <v>7067</v>
      </c>
      <c r="C1149" s="155">
        <v>53</v>
      </c>
      <c r="D1149" s="55" t="s">
        <v>3918</v>
      </c>
      <c r="E1149" s="90" t="s">
        <v>741</v>
      </c>
      <c r="G1149" s="55" t="s">
        <v>742</v>
      </c>
      <c r="H1149" s="55">
        <v>2006</v>
      </c>
      <c r="I1149" s="55">
        <v>2001</v>
      </c>
      <c r="J1149" s="55" t="s">
        <v>743</v>
      </c>
      <c r="K1149" s="55" t="s">
        <v>744</v>
      </c>
      <c r="L1149" s="55" t="s">
        <v>2737</v>
      </c>
      <c r="M1149" s="90">
        <v>33.950000000000003</v>
      </c>
      <c r="N1149" s="90">
        <v>-83.38</v>
      </c>
      <c r="O1149" s="90">
        <v>208.4</v>
      </c>
      <c r="R1149" s="55">
        <v>748</v>
      </c>
      <c r="S1149" s="90">
        <f>588+645</f>
        <v>1233</v>
      </c>
      <c r="U1149" s="55">
        <v>2</v>
      </c>
      <c r="V1149" s="55" t="s">
        <v>1688</v>
      </c>
      <c r="Y1149" s="55" t="s">
        <v>754</v>
      </c>
      <c r="Z1149" s="55" t="s">
        <v>1375</v>
      </c>
      <c r="AA1149" s="90" t="s">
        <v>1680</v>
      </c>
      <c r="AE1149" s="90">
        <f>650/1000*100</f>
        <v>65</v>
      </c>
      <c r="AF1149" s="90">
        <f>25</f>
        <v>25</v>
      </c>
      <c r="AH1149" s="55" t="s">
        <v>238</v>
      </c>
      <c r="AI1149" s="168">
        <v>6.6</v>
      </c>
      <c r="AJ1149" s="90">
        <v>0.88</v>
      </c>
      <c r="AM1149" s="55" t="s">
        <v>1311</v>
      </c>
      <c r="AN1149" s="185" t="s">
        <v>241</v>
      </c>
      <c r="AO1149" s="185" t="s">
        <v>5150</v>
      </c>
      <c r="AQ1149" s="55" t="s">
        <v>553</v>
      </c>
      <c r="AR1149" s="55" t="s">
        <v>560</v>
      </c>
      <c r="AS1149" s="55" t="s">
        <v>5133</v>
      </c>
      <c r="AT1149" s="181" t="s">
        <v>751</v>
      </c>
      <c r="AU1149" s="181" t="s">
        <v>5150</v>
      </c>
      <c r="AV1149" s="185" t="s">
        <v>176</v>
      </c>
      <c r="AW1149" s="55" t="s">
        <v>751</v>
      </c>
      <c r="AX1149" s="185" t="s">
        <v>176</v>
      </c>
      <c r="AY1149" s="55" t="s">
        <v>176</v>
      </c>
      <c r="BK1149" s="55" t="s">
        <v>5976</v>
      </c>
      <c r="BM1149" s="192" t="s">
        <v>119</v>
      </c>
      <c r="BN1149" s="55">
        <v>3</v>
      </c>
      <c r="BO1149" s="55">
        <v>3</v>
      </c>
      <c r="BQ1149" s="55" t="s">
        <v>315</v>
      </c>
      <c r="BS1149" s="55">
        <v>2440</v>
      </c>
      <c r="BT1149" s="55">
        <v>12</v>
      </c>
      <c r="DB1149" s="65">
        <v>8.4560000000000013</v>
      </c>
      <c r="DC1149" s="65">
        <v>9.7356000000000016</v>
      </c>
      <c r="DF1149" s="65" t="s">
        <v>442</v>
      </c>
      <c r="GP1149" s="292" t="s">
        <v>7494</v>
      </c>
      <c r="JU1149" s="55" t="s">
        <v>752</v>
      </c>
    </row>
    <row r="1150" spans="1:281" x14ac:dyDescent="0.25">
      <c r="A1150" s="55">
        <v>1149</v>
      </c>
      <c r="B1150" s="12" t="s">
        <v>7067</v>
      </c>
      <c r="C1150" s="155">
        <v>53</v>
      </c>
      <c r="D1150" s="55" t="s">
        <v>3919</v>
      </c>
      <c r="E1150" s="90" t="s">
        <v>741</v>
      </c>
      <c r="G1150" s="55" t="s">
        <v>742</v>
      </c>
      <c r="H1150" s="55">
        <v>2006</v>
      </c>
      <c r="I1150" s="55">
        <v>2001</v>
      </c>
      <c r="J1150" s="55" t="s">
        <v>743</v>
      </c>
      <c r="K1150" s="55" t="s">
        <v>744</v>
      </c>
      <c r="L1150" s="55" t="s">
        <v>2737</v>
      </c>
      <c r="M1150" s="90">
        <v>33.950000000000003</v>
      </c>
      <c r="N1150" s="90">
        <v>-83.38</v>
      </c>
      <c r="O1150" s="90">
        <v>208.4</v>
      </c>
      <c r="R1150" s="55">
        <v>748</v>
      </c>
      <c r="S1150" s="90">
        <f>588+645</f>
        <v>1233</v>
      </c>
      <c r="U1150" s="55">
        <v>2</v>
      </c>
      <c r="V1150" s="55" t="s">
        <v>1688</v>
      </c>
      <c r="Y1150" s="55" t="s">
        <v>754</v>
      </c>
      <c r="Z1150" s="55" t="s">
        <v>1375</v>
      </c>
      <c r="AA1150" s="90" t="s">
        <v>1680</v>
      </c>
      <c r="AE1150" s="90">
        <f>650/1000*100</f>
        <v>65</v>
      </c>
      <c r="AF1150" s="90">
        <f>25</f>
        <v>25</v>
      </c>
      <c r="AH1150" s="55" t="s">
        <v>238</v>
      </c>
      <c r="AI1150" s="168">
        <v>6.6</v>
      </c>
      <c r="AJ1150" s="90">
        <v>0.88</v>
      </c>
      <c r="AM1150" s="55" t="s">
        <v>1311</v>
      </c>
      <c r="AN1150" s="185" t="s">
        <v>1482</v>
      </c>
      <c r="AO1150" s="185" t="s">
        <v>5150</v>
      </c>
      <c r="AQ1150" s="55" t="s">
        <v>1546</v>
      </c>
      <c r="AR1150" s="55" t="s">
        <v>560</v>
      </c>
      <c r="AS1150" s="55" t="s">
        <v>5133</v>
      </c>
      <c r="AT1150" s="181" t="s">
        <v>751</v>
      </c>
      <c r="AU1150" s="181" t="s">
        <v>5150</v>
      </c>
      <c r="AV1150" s="185" t="s">
        <v>176</v>
      </c>
      <c r="AW1150" s="55" t="s">
        <v>751</v>
      </c>
      <c r="AX1150" s="185" t="s">
        <v>176</v>
      </c>
      <c r="AY1150" s="55" t="s">
        <v>176</v>
      </c>
      <c r="BK1150" s="55" t="s">
        <v>5976</v>
      </c>
      <c r="BM1150" s="192" t="s">
        <v>119</v>
      </c>
      <c r="BN1150" s="55">
        <v>3</v>
      </c>
      <c r="BO1150" s="55">
        <v>3</v>
      </c>
      <c r="BQ1150" s="55" t="s">
        <v>315</v>
      </c>
      <c r="BS1150" s="55">
        <v>5980</v>
      </c>
      <c r="BT1150" s="55">
        <v>32</v>
      </c>
      <c r="DB1150" s="65">
        <v>8.4560000000000013</v>
      </c>
      <c r="DC1150" s="65">
        <v>9.0944000000000003</v>
      </c>
      <c r="DF1150" s="65" t="s">
        <v>442</v>
      </c>
      <c r="GP1150" s="292" t="s">
        <v>7494</v>
      </c>
      <c r="JU1150" s="55" t="s">
        <v>752</v>
      </c>
    </row>
    <row r="1151" spans="1:281" x14ac:dyDescent="0.25">
      <c r="A1151" s="55">
        <v>1150</v>
      </c>
      <c r="B1151" s="12" t="s">
        <v>7067</v>
      </c>
      <c r="C1151" s="155">
        <v>53</v>
      </c>
      <c r="D1151" s="55" t="s">
        <v>3918</v>
      </c>
      <c r="E1151" s="90" t="s">
        <v>741</v>
      </c>
      <c r="G1151" s="55" t="s">
        <v>742</v>
      </c>
      <c r="H1151" s="55">
        <v>2006</v>
      </c>
      <c r="I1151" s="55">
        <v>2002</v>
      </c>
      <c r="J1151" s="55" t="s">
        <v>743</v>
      </c>
      <c r="K1151" s="55" t="s">
        <v>744</v>
      </c>
      <c r="L1151" s="55" t="s">
        <v>2737</v>
      </c>
      <c r="M1151" s="90">
        <v>33.950000000000003</v>
      </c>
      <c r="N1151" s="90">
        <v>-83.38</v>
      </c>
      <c r="O1151" s="90">
        <v>208.4</v>
      </c>
      <c r="R1151" s="55">
        <v>971</v>
      </c>
      <c r="S1151" s="90">
        <f>588+645</f>
        <v>1233</v>
      </c>
      <c r="U1151" s="55">
        <v>3</v>
      </c>
      <c r="V1151" s="55" t="s">
        <v>1688</v>
      </c>
      <c r="Y1151" s="55" t="s">
        <v>753</v>
      </c>
      <c r="Z1151" s="55" t="s">
        <v>1375</v>
      </c>
      <c r="AA1151" s="90" t="s">
        <v>1680</v>
      </c>
      <c r="AE1151" s="90">
        <f>650/1000*100</f>
        <v>65</v>
      </c>
      <c r="AF1151" s="90">
        <f>25</f>
        <v>25</v>
      </c>
      <c r="AH1151" s="55" t="s">
        <v>238</v>
      </c>
      <c r="AI1151" s="168">
        <v>6.6</v>
      </c>
      <c r="AJ1151" s="90">
        <v>0.88</v>
      </c>
      <c r="AM1151" s="55" t="s">
        <v>1311</v>
      </c>
      <c r="AN1151" s="185" t="s">
        <v>131</v>
      </c>
      <c r="AO1151" s="185" t="s">
        <v>5150</v>
      </c>
      <c r="AQ1151" s="55" t="s">
        <v>131</v>
      </c>
      <c r="AR1151" s="55" t="s">
        <v>560</v>
      </c>
      <c r="AS1151" s="55" t="s">
        <v>5133</v>
      </c>
      <c r="AT1151" s="181" t="s">
        <v>751</v>
      </c>
      <c r="AU1151" s="181" t="s">
        <v>5150</v>
      </c>
      <c r="AV1151" s="185" t="s">
        <v>176</v>
      </c>
      <c r="AW1151" s="55" t="s">
        <v>751</v>
      </c>
      <c r="AX1151" s="185" t="s">
        <v>176</v>
      </c>
      <c r="AY1151" s="55" t="s">
        <v>176</v>
      </c>
      <c r="BK1151" s="55" t="s">
        <v>5976</v>
      </c>
      <c r="BM1151" s="192" t="s">
        <v>119</v>
      </c>
      <c r="BN1151" s="55">
        <v>3</v>
      </c>
      <c r="BO1151" s="55">
        <v>3</v>
      </c>
      <c r="BQ1151" s="55" t="s">
        <v>315</v>
      </c>
      <c r="BS1151" s="55">
        <v>2280</v>
      </c>
      <c r="BT1151" s="55">
        <v>40</v>
      </c>
      <c r="DB1151" s="65">
        <v>7.7588000000000008</v>
      </c>
      <c r="DC1151" s="65">
        <v>7.7560000000000002</v>
      </c>
      <c r="DF1151" s="65" t="s">
        <v>442</v>
      </c>
      <c r="GP1151" s="292" t="s">
        <v>7494</v>
      </c>
      <c r="JU1151" s="55" t="s">
        <v>752</v>
      </c>
    </row>
    <row r="1152" spans="1:281" x14ac:dyDescent="0.25">
      <c r="A1152" s="55">
        <v>1151</v>
      </c>
      <c r="B1152" s="12" t="s">
        <v>7067</v>
      </c>
      <c r="C1152" s="155">
        <v>53</v>
      </c>
      <c r="D1152" s="55" t="s">
        <v>3919</v>
      </c>
      <c r="E1152" s="90" t="s">
        <v>741</v>
      </c>
      <c r="G1152" s="55" t="s">
        <v>742</v>
      </c>
      <c r="H1152" s="55">
        <v>2006</v>
      </c>
      <c r="I1152" s="55">
        <v>2002</v>
      </c>
      <c r="J1152" s="55" t="s">
        <v>743</v>
      </c>
      <c r="K1152" s="55" t="s">
        <v>744</v>
      </c>
      <c r="L1152" s="55" t="s">
        <v>2737</v>
      </c>
      <c r="M1152" s="90">
        <v>33.950000000000003</v>
      </c>
      <c r="N1152" s="90">
        <v>-83.38</v>
      </c>
      <c r="O1152" s="90">
        <v>208.4</v>
      </c>
      <c r="R1152" s="55">
        <v>971</v>
      </c>
      <c r="S1152" s="90">
        <f>588+645</f>
        <v>1233</v>
      </c>
      <c r="U1152" s="55">
        <v>3</v>
      </c>
      <c r="V1152" s="55" t="s">
        <v>1688</v>
      </c>
      <c r="Y1152" s="55" t="s">
        <v>753</v>
      </c>
      <c r="Z1152" s="55" t="s">
        <v>1375</v>
      </c>
      <c r="AA1152" s="90" t="s">
        <v>1680</v>
      </c>
      <c r="AE1152" s="90">
        <f>650/1000*100</f>
        <v>65</v>
      </c>
      <c r="AF1152" s="90">
        <f>25</f>
        <v>25</v>
      </c>
      <c r="AH1152" s="55" t="s">
        <v>238</v>
      </c>
      <c r="AI1152" s="168">
        <v>6.6</v>
      </c>
      <c r="AJ1152" s="90">
        <v>0.88</v>
      </c>
      <c r="AM1152" s="55" t="s">
        <v>1311</v>
      </c>
      <c r="AN1152" s="185" t="s">
        <v>241</v>
      </c>
      <c r="AO1152" s="185" t="s">
        <v>5150</v>
      </c>
      <c r="AQ1152" s="55" t="s">
        <v>553</v>
      </c>
      <c r="AR1152" s="55" t="s">
        <v>560</v>
      </c>
      <c r="AS1152" s="55" t="s">
        <v>5133</v>
      </c>
      <c r="AT1152" s="181" t="s">
        <v>751</v>
      </c>
      <c r="AU1152" s="181" t="s">
        <v>5150</v>
      </c>
      <c r="AV1152" s="185" t="s">
        <v>176</v>
      </c>
      <c r="AW1152" s="55" t="s">
        <v>751</v>
      </c>
      <c r="AX1152" s="185" t="s">
        <v>176</v>
      </c>
      <c r="AY1152" s="55" t="s">
        <v>176</v>
      </c>
      <c r="BK1152" s="55" t="s">
        <v>5976</v>
      </c>
      <c r="BM1152" s="192" t="s">
        <v>119</v>
      </c>
      <c r="BN1152" s="55">
        <v>3</v>
      </c>
      <c r="BO1152" s="55">
        <v>3</v>
      </c>
      <c r="BQ1152" s="55" t="s">
        <v>315</v>
      </c>
      <c r="BS1152" s="55">
        <v>5160</v>
      </c>
      <c r="BT1152" s="55">
        <v>10</v>
      </c>
      <c r="DB1152" s="65">
        <v>7.7588000000000008</v>
      </c>
      <c r="DC1152" s="65">
        <v>9.5872000000000011</v>
      </c>
      <c r="DF1152" s="65" t="s">
        <v>442</v>
      </c>
      <c r="GP1152" s="292" t="s">
        <v>7494</v>
      </c>
      <c r="JU1152" s="55" t="s">
        <v>752</v>
      </c>
    </row>
    <row r="1153" spans="1:281" x14ac:dyDescent="0.25">
      <c r="A1153" s="55">
        <v>1152</v>
      </c>
      <c r="B1153" s="12" t="s">
        <v>7067</v>
      </c>
      <c r="C1153" s="155">
        <v>53</v>
      </c>
      <c r="D1153" s="55" t="s">
        <v>3918</v>
      </c>
      <c r="E1153" s="90" t="s">
        <v>741</v>
      </c>
      <c r="G1153" s="55" t="s">
        <v>742</v>
      </c>
      <c r="H1153" s="55">
        <v>2006</v>
      </c>
      <c r="I1153" s="55">
        <v>2002</v>
      </c>
      <c r="J1153" s="55" t="s">
        <v>743</v>
      </c>
      <c r="K1153" s="55" t="s">
        <v>744</v>
      </c>
      <c r="L1153" s="55" t="s">
        <v>2737</v>
      </c>
      <c r="M1153" s="90">
        <v>33.950000000000003</v>
      </c>
      <c r="N1153" s="90">
        <v>-83.38</v>
      </c>
      <c r="O1153" s="90">
        <v>208.4</v>
      </c>
      <c r="R1153" s="55">
        <v>971</v>
      </c>
      <c r="S1153" s="90">
        <f>588+645</f>
        <v>1233</v>
      </c>
      <c r="U1153" s="55">
        <v>3</v>
      </c>
      <c r="V1153" s="55" t="s">
        <v>1688</v>
      </c>
      <c r="Y1153" s="55" t="s">
        <v>753</v>
      </c>
      <c r="Z1153" s="55" t="s">
        <v>1375</v>
      </c>
      <c r="AA1153" s="90" t="s">
        <v>1680</v>
      </c>
      <c r="AE1153" s="90">
        <f>650/1000*100</f>
        <v>65</v>
      </c>
      <c r="AF1153" s="90">
        <f>25</f>
        <v>25</v>
      </c>
      <c r="AH1153" s="55" t="s">
        <v>238</v>
      </c>
      <c r="AI1153" s="168">
        <v>6.6</v>
      </c>
      <c r="AJ1153" s="90">
        <v>0.88</v>
      </c>
      <c r="AM1153" s="55" t="s">
        <v>1311</v>
      </c>
      <c r="AN1153" s="185" t="s">
        <v>1482</v>
      </c>
      <c r="AO1153" s="185" t="s">
        <v>5150</v>
      </c>
      <c r="AQ1153" s="55" t="s">
        <v>1546</v>
      </c>
      <c r="AR1153" s="55" t="s">
        <v>560</v>
      </c>
      <c r="AS1153" s="55" t="s">
        <v>5133</v>
      </c>
      <c r="AT1153" s="181" t="s">
        <v>751</v>
      </c>
      <c r="AU1153" s="181" t="s">
        <v>5150</v>
      </c>
      <c r="AV1153" s="185" t="s">
        <v>176</v>
      </c>
      <c r="AW1153" s="55" t="s">
        <v>751</v>
      </c>
      <c r="AX1153" s="185" t="s">
        <v>176</v>
      </c>
      <c r="AY1153" s="55" t="s">
        <v>176</v>
      </c>
      <c r="BK1153" s="55" t="s">
        <v>5976</v>
      </c>
      <c r="BM1153" s="192" t="s">
        <v>119</v>
      </c>
      <c r="BN1153" s="55">
        <v>3</v>
      </c>
      <c r="BO1153" s="55">
        <v>3</v>
      </c>
      <c r="BQ1153" s="55" t="s">
        <v>315</v>
      </c>
      <c r="BS1153" s="55">
        <v>5720</v>
      </c>
      <c r="BT1153" s="55">
        <v>11</v>
      </c>
      <c r="DB1153" s="65">
        <v>7.7588000000000008</v>
      </c>
      <c r="DC1153" s="65">
        <v>8.6268000000000011</v>
      </c>
      <c r="DF1153" s="65" t="s">
        <v>442</v>
      </c>
      <c r="GP1153" s="292" t="s">
        <v>7494</v>
      </c>
      <c r="JU1153" s="55" t="s">
        <v>752</v>
      </c>
    </row>
    <row r="1154" spans="1:281" x14ac:dyDescent="0.25">
      <c r="A1154" s="55">
        <v>1153</v>
      </c>
      <c r="B1154" s="12" t="s">
        <v>7067</v>
      </c>
      <c r="C1154" s="155">
        <v>53</v>
      </c>
      <c r="D1154" s="55" t="s">
        <v>3919</v>
      </c>
      <c r="E1154" s="90" t="s">
        <v>741</v>
      </c>
      <c r="G1154" s="55" t="s">
        <v>742</v>
      </c>
      <c r="H1154" s="55">
        <v>2006</v>
      </c>
      <c r="I1154" s="55">
        <v>2002</v>
      </c>
      <c r="J1154" s="55" t="s">
        <v>743</v>
      </c>
      <c r="K1154" s="55" t="s">
        <v>744</v>
      </c>
      <c r="L1154" s="55" t="s">
        <v>2737</v>
      </c>
      <c r="M1154" s="90">
        <v>33.950000000000003</v>
      </c>
      <c r="N1154" s="90">
        <v>-83.38</v>
      </c>
      <c r="O1154" s="90">
        <v>208.4</v>
      </c>
      <c r="R1154" s="55">
        <v>971</v>
      </c>
      <c r="S1154" s="90">
        <f>588+645</f>
        <v>1233</v>
      </c>
      <c r="U1154" s="55">
        <v>3</v>
      </c>
      <c r="V1154" s="55" t="s">
        <v>1688</v>
      </c>
      <c r="Y1154" s="55" t="s">
        <v>754</v>
      </c>
      <c r="Z1154" s="55" t="s">
        <v>1375</v>
      </c>
      <c r="AA1154" s="90" t="s">
        <v>1680</v>
      </c>
      <c r="AE1154" s="90">
        <f>650/1000*100</f>
        <v>65</v>
      </c>
      <c r="AF1154" s="90">
        <f>25</f>
        <v>25</v>
      </c>
      <c r="AH1154" s="55" t="s">
        <v>238</v>
      </c>
      <c r="AI1154" s="168">
        <v>6.6</v>
      </c>
      <c r="AJ1154" s="90">
        <v>0.88</v>
      </c>
      <c r="AM1154" s="55" t="s">
        <v>1311</v>
      </c>
      <c r="AN1154" s="185" t="s">
        <v>131</v>
      </c>
      <c r="AO1154" s="185" t="s">
        <v>5150</v>
      </c>
      <c r="AQ1154" s="55" t="s">
        <v>131</v>
      </c>
      <c r="AR1154" s="55" t="s">
        <v>560</v>
      </c>
      <c r="AS1154" s="55" t="s">
        <v>5133</v>
      </c>
      <c r="AT1154" s="181" t="s">
        <v>751</v>
      </c>
      <c r="AU1154" s="181" t="s">
        <v>5150</v>
      </c>
      <c r="AV1154" s="185" t="s">
        <v>176</v>
      </c>
      <c r="AW1154" s="55" t="s">
        <v>751</v>
      </c>
      <c r="AX1154" s="185" t="s">
        <v>176</v>
      </c>
      <c r="AY1154" s="55" t="s">
        <v>176</v>
      </c>
      <c r="BK1154" s="55" t="s">
        <v>5976</v>
      </c>
      <c r="BM1154" s="192" t="s">
        <v>119</v>
      </c>
      <c r="BN1154" s="55">
        <v>3</v>
      </c>
      <c r="BO1154" s="55">
        <v>3</v>
      </c>
      <c r="BQ1154" s="55" t="s">
        <v>315</v>
      </c>
      <c r="BS1154" s="55">
        <v>2280</v>
      </c>
      <c r="BT1154" s="55">
        <v>40</v>
      </c>
      <c r="DB1154" s="65">
        <v>11.538800000000002</v>
      </c>
      <c r="DC1154" s="65">
        <v>13.367200000000002</v>
      </c>
      <c r="DF1154" s="65" t="s">
        <v>442</v>
      </c>
      <c r="GP1154" s="292" t="s">
        <v>7494</v>
      </c>
      <c r="JU1154" s="55" t="s">
        <v>752</v>
      </c>
    </row>
    <row r="1155" spans="1:281" x14ac:dyDescent="0.25">
      <c r="A1155" s="55">
        <v>1154</v>
      </c>
      <c r="B1155" s="12" t="s">
        <v>7067</v>
      </c>
      <c r="C1155" s="155">
        <v>53</v>
      </c>
      <c r="D1155" s="55" t="s">
        <v>3918</v>
      </c>
      <c r="E1155" s="90" t="s">
        <v>741</v>
      </c>
      <c r="G1155" s="55" t="s">
        <v>742</v>
      </c>
      <c r="H1155" s="55">
        <v>2006</v>
      </c>
      <c r="I1155" s="55">
        <v>2002</v>
      </c>
      <c r="J1155" s="55" t="s">
        <v>743</v>
      </c>
      <c r="K1155" s="55" t="s">
        <v>744</v>
      </c>
      <c r="L1155" s="55" t="s">
        <v>2737</v>
      </c>
      <c r="M1155" s="90">
        <v>33.950000000000003</v>
      </c>
      <c r="N1155" s="90">
        <v>-83.38</v>
      </c>
      <c r="O1155" s="90">
        <v>208.4</v>
      </c>
      <c r="R1155" s="55">
        <v>971</v>
      </c>
      <c r="S1155" s="90">
        <f>588+645</f>
        <v>1233</v>
      </c>
      <c r="U1155" s="55">
        <v>3</v>
      </c>
      <c r="V1155" s="55" t="s">
        <v>1688</v>
      </c>
      <c r="Y1155" s="55" t="s">
        <v>754</v>
      </c>
      <c r="Z1155" s="55" t="s">
        <v>1375</v>
      </c>
      <c r="AA1155" s="90" t="s">
        <v>1680</v>
      </c>
      <c r="AE1155" s="90">
        <f>650/1000*100</f>
        <v>65</v>
      </c>
      <c r="AF1155" s="90">
        <f>25</f>
        <v>25</v>
      </c>
      <c r="AH1155" s="55" t="s">
        <v>238</v>
      </c>
      <c r="AI1155" s="168">
        <v>6.6</v>
      </c>
      <c r="AJ1155" s="90">
        <v>0.88</v>
      </c>
      <c r="AM1155" s="55" t="s">
        <v>1311</v>
      </c>
      <c r="AN1155" s="185" t="s">
        <v>241</v>
      </c>
      <c r="AO1155" s="185" t="s">
        <v>5150</v>
      </c>
      <c r="AQ1155" s="55" t="s">
        <v>553</v>
      </c>
      <c r="AR1155" s="55" t="s">
        <v>560</v>
      </c>
      <c r="AS1155" s="55" t="s">
        <v>5133</v>
      </c>
      <c r="AT1155" s="181" t="s">
        <v>751</v>
      </c>
      <c r="AU1155" s="181" t="s">
        <v>5150</v>
      </c>
      <c r="AV1155" s="185" t="s">
        <v>176</v>
      </c>
      <c r="AW1155" s="55" t="s">
        <v>751</v>
      </c>
      <c r="AX1155" s="185" t="s">
        <v>176</v>
      </c>
      <c r="AY1155" s="55" t="s">
        <v>176</v>
      </c>
      <c r="BK1155" s="55" t="s">
        <v>5976</v>
      </c>
      <c r="BM1155" s="192" t="s">
        <v>119</v>
      </c>
      <c r="BN1155" s="55">
        <v>3</v>
      </c>
      <c r="BO1155" s="55">
        <v>3</v>
      </c>
      <c r="BQ1155" s="55" t="s">
        <v>315</v>
      </c>
      <c r="BS1155" s="55">
        <v>5160</v>
      </c>
      <c r="BT1155" s="55">
        <v>10</v>
      </c>
      <c r="DB1155" s="65">
        <v>11.538800000000002</v>
      </c>
      <c r="DC1155" s="65">
        <v>12.908000000000001</v>
      </c>
      <c r="DF1155" s="65" t="s">
        <v>442</v>
      </c>
      <c r="GP1155" s="292" t="s">
        <v>7494</v>
      </c>
      <c r="JU1155" s="55" t="s">
        <v>752</v>
      </c>
    </row>
    <row r="1156" spans="1:281" x14ac:dyDescent="0.25">
      <c r="A1156" s="55">
        <v>1155</v>
      </c>
      <c r="B1156" s="12" t="s">
        <v>7067</v>
      </c>
      <c r="C1156" s="155">
        <v>53</v>
      </c>
      <c r="D1156" s="55" t="s">
        <v>3919</v>
      </c>
      <c r="E1156" s="90" t="s">
        <v>741</v>
      </c>
      <c r="G1156" s="55" t="s">
        <v>742</v>
      </c>
      <c r="H1156" s="55">
        <v>2006</v>
      </c>
      <c r="I1156" s="55">
        <v>2002</v>
      </c>
      <c r="J1156" s="55" t="s">
        <v>743</v>
      </c>
      <c r="K1156" s="55" t="s">
        <v>744</v>
      </c>
      <c r="L1156" s="55" t="s">
        <v>2737</v>
      </c>
      <c r="M1156" s="90">
        <v>33.950000000000003</v>
      </c>
      <c r="N1156" s="90">
        <v>-83.38</v>
      </c>
      <c r="O1156" s="90">
        <v>208.4</v>
      </c>
      <c r="R1156" s="55">
        <v>971</v>
      </c>
      <c r="S1156" s="90">
        <f>588+645</f>
        <v>1233</v>
      </c>
      <c r="U1156" s="55">
        <v>3</v>
      </c>
      <c r="V1156" s="55" t="s">
        <v>1688</v>
      </c>
      <c r="Y1156" s="55" t="s">
        <v>754</v>
      </c>
      <c r="Z1156" s="55" t="s">
        <v>1375</v>
      </c>
      <c r="AA1156" s="90" t="s">
        <v>1680</v>
      </c>
      <c r="AE1156" s="90">
        <f>650/1000*100</f>
        <v>65</v>
      </c>
      <c r="AF1156" s="90">
        <f>25</f>
        <v>25</v>
      </c>
      <c r="AH1156" s="55" t="s">
        <v>238</v>
      </c>
      <c r="AI1156" s="168">
        <v>6.6</v>
      </c>
      <c r="AJ1156" s="90">
        <v>0.88</v>
      </c>
      <c r="AM1156" s="55" t="s">
        <v>1311</v>
      </c>
      <c r="AN1156" s="185" t="s">
        <v>1482</v>
      </c>
      <c r="AO1156" s="185" t="s">
        <v>5150</v>
      </c>
      <c r="AQ1156" s="55" t="s">
        <v>1546</v>
      </c>
      <c r="AR1156" s="55" t="s">
        <v>560</v>
      </c>
      <c r="AS1156" s="55" t="s">
        <v>5133</v>
      </c>
      <c r="AT1156" s="181" t="s">
        <v>751</v>
      </c>
      <c r="AU1156" s="181" t="s">
        <v>5150</v>
      </c>
      <c r="AV1156" s="185" t="s">
        <v>176</v>
      </c>
      <c r="AW1156" s="55" t="s">
        <v>751</v>
      </c>
      <c r="AX1156" s="185" t="s">
        <v>176</v>
      </c>
      <c r="AY1156" s="55" t="s">
        <v>176</v>
      </c>
      <c r="BK1156" s="55" t="s">
        <v>5976</v>
      </c>
      <c r="BM1156" s="192" t="s">
        <v>119</v>
      </c>
      <c r="BN1156" s="55">
        <v>3</v>
      </c>
      <c r="BO1156" s="55">
        <v>3</v>
      </c>
      <c r="BQ1156" s="55" t="s">
        <v>315</v>
      </c>
      <c r="BS1156" s="55">
        <v>5720</v>
      </c>
      <c r="BT1156" s="55">
        <v>11</v>
      </c>
      <c r="DB1156" s="65">
        <v>11.538800000000002</v>
      </c>
      <c r="DC1156" s="65">
        <v>12.177200000000001</v>
      </c>
      <c r="DF1156" s="65" t="s">
        <v>442</v>
      </c>
      <c r="GP1156" s="292" t="s">
        <v>7494</v>
      </c>
      <c r="JU1156" s="55" t="s">
        <v>752</v>
      </c>
    </row>
    <row r="1157" spans="1:281" x14ac:dyDescent="0.25">
      <c r="A1157" s="55">
        <v>1156</v>
      </c>
      <c r="B1157" s="12" t="s">
        <v>7067</v>
      </c>
      <c r="C1157" s="155">
        <v>54</v>
      </c>
      <c r="D1157" s="55" t="s">
        <v>3920</v>
      </c>
      <c r="E1157" s="90" t="s">
        <v>755</v>
      </c>
      <c r="G1157" s="55" t="s">
        <v>756</v>
      </c>
      <c r="H1157" s="55">
        <v>2014</v>
      </c>
      <c r="I1157" s="55">
        <v>2011</v>
      </c>
      <c r="J1157" s="55" t="s">
        <v>757</v>
      </c>
      <c r="K1157" s="55" t="s">
        <v>283</v>
      </c>
      <c r="L1157" s="55" t="s">
        <v>2737</v>
      </c>
      <c r="M1157" s="90">
        <v>40.733333333333334</v>
      </c>
      <c r="N1157" s="90">
        <v>-77.95</v>
      </c>
      <c r="O1157" s="90">
        <v>375.2</v>
      </c>
      <c r="U1157" s="55" t="s">
        <v>1805</v>
      </c>
      <c r="V1157" s="55" t="s">
        <v>1688</v>
      </c>
      <c r="Y1157" s="55" t="s">
        <v>1924</v>
      </c>
      <c r="Z1157" s="55" t="s">
        <v>1344</v>
      </c>
      <c r="AA1157" s="90" t="s">
        <v>1344</v>
      </c>
      <c r="AH1157" s="55" t="s">
        <v>6378</v>
      </c>
      <c r="AN1157" s="185" t="s">
        <v>131</v>
      </c>
      <c r="AO1157" s="185" t="s">
        <v>5150</v>
      </c>
      <c r="AQ1157" s="55" t="s">
        <v>131</v>
      </c>
      <c r="AR1157" s="55" t="s">
        <v>158</v>
      </c>
      <c r="AS1157" s="55" t="s">
        <v>1585</v>
      </c>
      <c r="AT1157" s="181" t="s">
        <v>758</v>
      </c>
      <c r="AU1157" s="181" t="s">
        <v>5150</v>
      </c>
      <c r="AV1157" s="185" t="s">
        <v>479</v>
      </c>
      <c r="AW1157" s="55" t="s">
        <v>758</v>
      </c>
      <c r="AX1157" s="185" t="s">
        <v>479</v>
      </c>
      <c r="AY1157" s="55" t="s">
        <v>176</v>
      </c>
      <c r="BK1157" s="55" t="s">
        <v>5976</v>
      </c>
      <c r="BM1157" s="192" t="s">
        <v>160</v>
      </c>
      <c r="BV1157" s="55" t="s">
        <v>759</v>
      </c>
      <c r="CB1157" s="66">
        <v>3100</v>
      </c>
      <c r="CC1157" s="66">
        <v>3100</v>
      </c>
      <c r="GP1157" s="292" t="s">
        <v>7494</v>
      </c>
      <c r="JS1157" s="65">
        <v>99999</v>
      </c>
      <c r="JU1157" s="55" t="s">
        <v>760</v>
      </c>
    </row>
    <row r="1158" spans="1:281" x14ac:dyDescent="0.25">
      <c r="A1158" s="55">
        <v>1157</v>
      </c>
      <c r="B1158" s="12" t="s">
        <v>7067</v>
      </c>
      <c r="C1158" s="155">
        <v>54</v>
      </c>
      <c r="D1158" s="55" t="s">
        <v>3921</v>
      </c>
      <c r="E1158" s="90" t="s">
        <v>755</v>
      </c>
      <c r="G1158" s="55" t="s">
        <v>756</v>
      </c>
      <c r="H1158" s="55">
        <v>2014</v>
      </c>
      <c r="I1158" s="55">
        <v>2011</v>
      </c>
      <c r="J1158" s="55" t="s">
        <v>757</v>
      </c>
      <c r="K1158" s="55" t="s">
        <v>283</v>
      </c>
      <c r="L1158" s="55" t="s">
        <v>2737</v>
      </c>
      <c r="M1158" s="90">
        <v>40.733333333333334</v>
      </c>
      <c r="N1158" s="90">
        <v>-77.95</v>
      </c>
      <c r="O1158" s="90">
        <v>375.2</v>
      </c>
      <c r="U1158" s="55" t="s">
        <v>1805</v>
      </c>
      <c r="V1158" s="55" t="s">
        <v>1688</v>
      </c>
      <c r="Y1158" s="55" t="s">
        <v>1924</v>
      </c>
      <c r="Z1158" s="55" t="s">
        <v>1344</v>
      </c>
      <c r="AA1158" s="90" t="s">
        <v>1344</v>
      </c>
      <c r="AH1158" s="55" t="s">
        <v>6378</v>
      </c>
      <c r="AN1158" s="185" t="s">
        <v>131</v>
      </c>
      <c r="AO1158" s="185" t="s">
        <v>5150</v>
      </c>
      <c r="AQ1158" s="55" t="s">
        <v>131</v>
      </c>
      <c r="AR1158" s="55" t="s">
        <v>116</v>
      </c>
      <c r="AS1158" s="55" t="s">
        <v>1585</v>
      </c>
      <c r="AT1158" s="181" t="s">
        <v>758</v>
      </c>
      <c r="AU1158" s="181" t="s">
        <v>5150</v>
      </c>
      <c r="AV1158" s="185" t="s">
        <v>479</v>
      </c>
      <c r="AW1158" s="55" t="s">
        <v>758</v>
      </c>
      <c r="AX1158" s="185" t="s">
        <v>479</v>
      </c>
      <c r="AY1158" s="55" t="s">
        <v>176</v>
      </c>
      <c r="BK1158" s="55" t="s">
        <v>5976</v>
      </c>
      <c r="BM1158" s="192" t="s">
        <v>160</v>
      </c>
      <c r="BV1158" s="55" t="s">
        <v>759</v>
      </c>
      <c r="CB1158" s="66">
        <v>5900</v>
      </c>
      <c r="CC1158" s="66">
        <v>5800</v>
      </c>
      <c r="GP1158" s="292" t="s">
        <v>7494</v>
      </c>
      <c r="JS1158" s="65">
        <v>99999</v>
      </c>
      <c r="JU1158" s="55" t="s">
        <v>760</v>
      </c>
    </row>
    <row r="1159" spans="1:281" x14ac:dyDescent="0.25">
      <c r="A1159" s="55">
        <v>1158</v>
      </c>
      <c r="B1159" s="12" t="s">
        <v>7067</v>
      </c>
      <c r="C1159" s="155">
        <v>54</v>
      </c>
      <c r="D1159" s="55" t="s">
        <v>3922</v>
      </c>
      <c r="E1159" s="90" t="s">
        <v>755</v>
      </c>
      <c r="G1159" s="55" t="s">
        <v>756</v>
      </c>
      <c r="H1159" s="55">
        <v>2014</v>
      </c>
      <c r="I1159" s="55">
        <v>2011</v>
      </c>
      <c r="J1159" s="55" t="s">
        <v>757</v>
      </c>
      <c r="K1159" s="55" t="s">
        <v>283</v>
      </c>
      <c r="L1159" s="55" t="s">
        <v>2737</v>
      </c>
      <c r="M1159" s="90">
        <v>40.733333333333334</v>
      </c>
      <c r="N1159" s="90">
        <v>-77.95</v>
      </c>
      <c r="O1159" s="90">
        <v>375.2</v>
      </c>
      <c r="U1159" s="55" t="s">
        <v>1805</v>
      </c>
      <c r="V1159" s="55" t="s">
        <v>1688</v>
      </c>
      <c r="Y1159" s="55" t="s">
        <v>1924</v>
      </c>
      <c r="Z1159" s="55" t="s">
        <v>1344</v>
      </c>
      <c r="AA1159" s="90" t="s">
        <v>1344</v>
      </c>
      <c r="AH1159" s="55" t="s">
        <v>6378</v>
      </c>
      <c r="AN1159" s="185" t="s">
        <v>131</v>
      </c>
      <c r="AO1159" s="185" t="s">
        <v>5150</v>
      </c>
      <c r="AQ1159" s="55" t="s">
        <v>131</v>
      </c>
      <c r="AR1159" s="55" t="s">
        <v>132</v>
      </c>
      <c r="AS1159" s="55" t="s">
        <v>1585</v>
      </c>
      <c r="AT1159" s="181" t="s">
        <v>758</v>
      </c>
      <c r="AU1159" s="181" t="s">
        <v>5150</v>
      </c>
      <c r="AV1159" s="185" t="s">
        <v>479</v>
      </c>
      <c r="AW1159" s="55" t="s">
        <v>758</v>
      </c>
      <c r="AX1159" s="185" t="s">
        <v>479</v>
      </c>
      <c r="AY1159" s="55" t="s">
        <v>176</v>
      </c>
      <c r="BK1159" s="55" t="s">
        <v>5976</v>
      </c>
      <c r="BM1159" s="192" t="s">
        <v>160</v>
      </c>
      <c r="BV1159" s="55" t="s">
        <v>759</v>
      </c>
      <c r="CB1159" s="66">
        <v>8200</v>
      </c>
      <c r="CC1159" s="66">
        <v>8100</v>
      </c>
      <c r="GP1159" s="292" t="s">
        <v>7494</v>
      </c>
      <c r="JS1159" s="65">
        <v>99999</v>
      </c>
      <c r="JU1159" s="55" t="s">
        <v>760</v>
      </c>
    </row>
    <row r="1160" spans="1:281" x14ac:dyDescent="0.25">
      <c r="A1160" s="55">
        <v>1159</v>
      </c>
      <c r="B1160" s="12" t="s">
        <v>7067</v>
      </c>
      <c r="C1160" s="155">
        <v>55</v>
      </c>
      <c r="D1160" s="55" t="s">
        <v>3923</v>
      </c>
      <c r="E1160" s="90" t="s">
        <v>761</v>
      </c>
      <c r="G1160" s="55" t="s">
        <v>762</v>
      </c>
      <c r="H1160" s="55">
        <v>2001</v>
      </c>
      <c r="I1160" s="55">
        <v>1997</v>
      </c>
      <c r="J1160" s="55" t="s">
        <v>767</v>
      </c>
      <c r="K1160" s="55" t="s">
        <v>763</v>
      </c>
      <c r="L1160" s="55" t="s">
        <v>2737</v>
      </c>
      <c r="M1160" s="90">
        <v>45.23</v>
      </c>
      <c r="N1160" s="90">
        <v>-122.756</v>
      </c>
      <c r="O1160" s="90">
        <v>48.4</v>
      </c>
      <c r="U1160" s="55" t="s">
        <v>1933</v>
      </c>
      <c r="V1160" s="55" t="s">
        <v>1818</v>
      </c>
      <c r="Y1160" s="55" t="s">
        <v>1929</v>
      </c>
      <c r="Z1160" s="55" t="s">
        <v>1347</v>
      </c>
      <c r="AA1160" s="90" t="s">
        <v>1676</v>
      </c>
      <c r="AE1160" s="90">
        <v>28</v>
      </c>
      <c r="AF1160" s="90">
        <v>54</v>
      </c>
      <c r="AH1160" s="55" t="s">
        <v>6378</v>
      </c>
      <c r="AI1160" s="168">
        <v>5.4</v>
      </c>
      <c r="AJ1160" s="90">
        <v>1.71</v>
      </c>
      <c r="AM1160" s="55" t="s">
        <v>1312</v>
      </c>
      <c r="AN1160" s="185" t="s">
        <v>764</v>
      </c>
      <c r="AO1160" s="185" t="s">
        <v>5150</v>
      </c>
      <c r="AQ1160" s="55" t="s">
        <v>1545</v>
      </c>
      <c r="AR1160" s="55" t="s">
        <v>609</v>
      </c>
      <c r="AS1160" s="55" t="s">
        <v>1589</v>
      </c>
      <c r="AT1160" s="181" t="s">
        <v>771</v>
      </c>
      <c r="AU1160" s="181" t="s">
        <v>5150</v>
      </c>
      <c r="AV1160" s="185" t="s">
        <v>479</v>
      </c>
      <c r="AW1160" s="55" t="s">
        <v>771</v>
      </c>
      <c r="AX1160" s="185" t="s">
        <v>479</v>
      </c>
      <c r="AY1160" s="55" t="s">
        <v>176</v>
      </c>
      <c r="BK1160" s="55" t="s">
        <v>5976</v>
      </c>
      <c r="BM1160" s="192" t="s">
        <v>119</v>
      </c>
      <c r="BN1160" s="55">
        <v>4</v>
      </c>
      <c r="BO1160" s="55">
        <v>4</v>
      </c>
      <c r="BQ1160" s="55" t="s">
        <v>141</v>
      </c>
      <c r="GP1160" s="292" t="s">
        <v>7494</v>
      </c>
      <c r="HD1160" s="65">
        <v>0.96</v>
      </c>
      <c r="HE1160" s="65">
        <v>1.1200000000000001</v>
      </c>
      <c r="HH1160" s="65" t="s">
        <v>775</v>
      </c>
      <c r="JU1160" s="55" t="s">
        <v>776</v>
      </c>
    </row>
    <row r="1161" spans="1:281" x14ac:dyDescent="0.25">
      <c r="A1161" s="55">
        <v>1160</v>
      </c>
      <c r="B1161" s="12" t="s">
        <v>7067</v>
      </c>
      <c r="C1161" s="155">
        <v>55</v>
      </c>
      <c r="D1161" s="55" t="s">
        <v>3924</v>
      </c>
      <c r="E1161" s="90" t="s">
        <v>761</v>
      </c>
      <c r="G1161" s="55" t="s">
        <v>762</v>
      </c>
      <c r="H1161" s="55">
        <v>2001</v>
      </c>
      <c r="I1161" s="55">
        <v>1997</v>
      </c>
      <c r="J1161" s="55" t="s">
        <v>767</v>
      </c>
      <c r="K1161" s="55" t="s">
        <v>763</v>
      </c>
      <c r="L1161" s="55" t="s">
        <v>2737</v>
      </c>
      <c r="M1161" s="90">
        <v>45.23</v>
      </c>
      <c r="N1161" s="90">
        <v>-122.756</v>
      </c>
      <c r="O1161" s="90">
        <v>48.4</v>
      </c>
      <c r="U1161" s="55" t="s">
        <v>1933</v>
      </c>
      <c r="V1161" s="55" t="s">
        <v>1818</v>
      </c>
      <c r="Y1161" s="55" t="s">
        <v>1929</v>
      </c>
      <c r="Z1161" s="55" t="s">
        <v>1347</v>
      </c>
      <c r="AA1161" s="90" t="s">
        <v>1676</v>
      </c>
      <c r="AE1161" s="90">
        <v>28</v>
      </c>
      <c r="AF1161" s="90">
        <v>54</v>
      </c>
      <c r="AH1161" s="55" t="s">
        <v>6378</v>
      </c>
      <c r="AI1161" s="168">
        <v>5.4</v>
      </c>
      <c r="AJ1161" s="90">
        <v>1.71</v>
      </c>
      <c r="AM1161" s="55" t="s">
        <v>1312</v>
      </c>
      <c r="AN1161" s="185" t="s">
        <v>1542</v>
      </c>
      <c r="AO1161" s="185" t="s">
        <v>5150</v>
      </c>
      <c r="AQ1161" s="55" t="s">
        <v>1546</v>
      </c>
      <c r="AR1161" s="55" t="s">
        <v>609</v>
      </c>
      <c r="AS1161" s="55" t="s">
        <v>1589</v>
      </c>
      <c r="AT1161" s="181" t="s">
        <v>771</v>
      </c>
      <c r="AU1161" s="181" t="s">
        <v>5150</v>
      </c>
      <c r="AV1161" s="185" t="s">
        <v>479</v>
      </c>
      <c r="AW1161" s="55" t="s">
        <v>771</v>
      </c>
      <c r="AX1161" s="185" t="s">
        <v>479</v>
      </c>
      <c r="AY1161" s="55" t="s">
        <v>176</v>
      </c>
      <c r="BK1161" s="55" t="s">
        <v>5976</v>
      </c>
      <c r="BM1161" s="192" t="s">
        <v>119</v>
      </c>
      <c r="BN1161" s="55">
        <v>4</v>
      </c>
      <c r="BO1161" s="55">
        <v>4</v>
      </c>
      <c r="BQ1161" s="55" t="s">
        <v>141</v>
      </c>
      <c r="GP1161" s="292" t="s">
        <v>7494</v>
      </c>
      <c r="HD1161" s="65">
        <v>0.96</v>
      </c>
      <c r="HE1161" s="65">
        <v>0.84</v>
      </c>
      <c r="HH1161" s="65" t="s">
        <v>775</v>
      </c>
      <c r="JU1161" s="55" t="s">
        <v>776</v>
      </c>
    </row>
    <row r="1162" spans="1:281" x14ac:dyDescent="0.25">
      <c r="A1162" s="55">
        <v>1161</v>
      </c>
      <c r="B1162" s="12" t="s">
        <v>7067</v>
      </c>
      <c r="C1162" s="155">
        <v>55</v>
      </c>
      <c r="D1162" s="55" t="s">
        <v>3925</v>
      </c>
      <c r="E1162" s="90" t="s">
        <v>761</v>
      </c>
      <c r="G1162" s="55" t="s">
        <v>762</v>
      </c>
      <c r="H1162" s="55">
        <v>2001</v>
      </c>
      <c r="I1162" s="55">
        <v>1997</v>
      </c>
      <c r="J1162" s="55" t="s">
        <v>767</v>
      </c>
      <c r="K1162" s="55" t="s">
        <v>768</v>
      </c>
      <c r="L1162" s="55" t="s">
        <v>2737</v>
      </c>
      <c r="M1162" s="90">
        <v>44.56</v>
      </c>
      <c r="N1162" s="90">
        <v>-123.26</v>
      </c>
      <c r="O1162" s="90">
        <v>59.6</v>
      </c>
      <c r="U1162" s="55" t="s">
        <v>1682</v>
      </c>
      <c r="V1162" s="55" t="s">
        <v>1694</v>
      </c>
      <c r="Y1162" s="55" t="s">
        <v>1925</v>
      </c>
      <c r="Z1162" s="55" t="s">
        <v>1347</v>
      </c>
      <c r="AA1162" s="90" t="s">
        <v>1676</v>
      </c>
      <c r="AE1162" s="90">
        <v>22</v>
      </c>
      <c r="AF1162" s="90">
        <v>52</v>
      </c>
      <c r="AH1162" s="55" t="s">
        <v>6378</v>
      </c>
      <c r="AI1162" s="168">
        <v>5.9</v>
      </c>
      <c r="AJ1162" s="90">
        <v>1.65</v>
      </c>
      <c r="AM1162" s="55" t="s">
        <v>1312</v>
      </c>
      <c r="AN1162" s="185" t="s">
        <v>1542</v>
      </c>
      <c r="AO1162" s="185" t="s">
        <v>5150</v>
      </c>
      <c r="AQ1162" s="55" t="s">
        <v>1546</v>
      </c>
      <c r="AR1162" s="55" t="s">
        <v>770</v>
      </c>
      <c r="AS1162" s="55" t="s">
        <v>1589</v>
      </c>
      <c r="AT1162" s="181" t="s">
        <v>772</v>
      </c>
      <c r="AU1162" s="181" t="s">
        <v>5150</v>
      </c>
      <c r="AV1162" s="185" t="s">
        <v>479</v>
      </c>
      <c r="AW1162" s="55" t="s">
        <v>772</v>
      </c>
      <c r="AX1162" s="185" t="s">
        <v>479</v>
      </c>
      <c r="AY1162" s="55" t="s">
        <v>176</v>
      </c>
      <c r="BK1162" s="55" t="s">
        <v>5976</v>
      </c>
      <c r="BM1162" s="192" t="s">
        <v>119</v>
      </c>
      <c r="BN1162" s="55">
        <v>4</v>
      </c>
      <c r="BO1162" s="55">
        <v>4</v>
      </c>
      <c r="BQ1162" s="55" t="s">
        <v>141</v>
      </c>
      <c r="GP1162" s="292" t="s">
        <v>7494</v>
      </c>
      <c r="HD1162" s="65">
        <v>1.74</v>
      </c>
      <c r="HE1162" s="65">
        <v>4.7699999999999996</v>
      </c>
      <c r="HH1162" s="65" t="s">
        <v>775</v>
      </c>
      <c r="JU1162" s="55" t="s">
        <v>776</v>
      </c>
    </row>
    <row r="1163" spans="1:281" x14ac:dyDescent="0.25">
      <c r="A1163" s="55">
        <v>1162</v>
      </c>
      <c r="B1163" s="12" t="s">
        <v>7067</v>
      </c>
      <c r="C1163" s="155">
        <v>55</v>
      </c>
      <c r="D1163" s="55" t="s">
        <v>3926</v>
      </c>
      <c r="E1163" s="90" t="s">
        <v>761</v>
      </c>
      <c r="G1163" s="55" t="s">
        <v>762</v>
      </c>
      <c r="H1163" s="55">
        <v>2001</v>
      </c>
      <c r="I1163" s="55">
        <v>1997</v>
      </c>
      <c r="J1163" s="55" t="s">
        <v>767</v>
      </c>
      <c r="K1163" s="55" t="s">
        <v>765</v>
      </c>
      <c r="L1163" s="55" t="s">
        <v>2737</v>
      </c>
      <c r="M1163" s="90">
        <v>44.94</v>
      </c>
      <c r="N1163" s="90">
        <v>-123.04</v>
      </c>
      <c r="O1163" s="90">
        <v>49.3</v>
      </c>
      <c r="U1163" s="55">
        <v>1</v>
      </c>
      <c r="V1163" s="55" t="s">
        <v>1935</v>
      </c>
      <c r="Y1163" s="55" t="s">
        <v>1934</v>
      </c>
      <c r="Z1163" s="55" t="s">
        <v>1347</v>
      </c>
      <c r="AA1163" s="90" t="s">
        <v>1676</v>
      </c>
      <c r="AE1163" s="90">
        <v>46</v>
      </c>
      <c r="AF1163" s="90">
        <v>38</v>
      </c>
      <c r="AH1163" s="55" t="s">
        <v>645</v>
      </c>
      <c r="AI1163" s="168">
        <v>6.2</v>
      </c>
      <c r="AJ1163" s="90">
        <v>2.02</v>
      </c>
      <c r="AM1163" s="55" t="s">
        <v>1312</v>
      </c>
      <c r="AN1163" s="185" t="s">
        <v>1542</v>
      </c>
      <c r="AO1163" s="185" t="s">
        <v>5150</v>
      </c>
      <c r="AQ1163" s="55" t="s">
        <v>1546</v>
      </c>
      <c r="AR1163" s="55" t="s">
        <v>770</v>
      </c>
      <c r="AS1163" s="55" t="s">
        <v>1589</v>
      </c>
      <c r="AT1163" s="181" t="s">
        <v>773</v>
      </c>
      <c r="AU1163" s="181" t="s">
        <v>5150</v>
      </c>
      <c r="AV1163" s="185" t="s">
        <v>176</v>
      </c>
      <c r="AW1163" s="55" t="s">
        <v>773</v>
      </c>
      <c r="AX1163" s="185" t="s">
        <v>176</v>
      </c>
      <c r="AY1163" s="55" t="s">
        <v>176</v>
      </c>
      <c r="BK1163" s="55" t="s">
        <v>5976</v>
      </c>
      <c r="BM1163" s="192" t="s">
        <v>119</v>
      </c>
      <c r="BN1163" s="55">
        <v>4</v>
      </c>
      <c r="BO1163" s="55">
        <v>4</v>
      </c>
      <c r="BQ1163" s="55" t="s">
        <v>141</v>
      </c>
      <c r="GP1163" s="292" t="s">
        <v>7494</v>
      </c>
      <c r="HD1163" s="65">
        <v>0.35</v>
      </c>
      <c r="HE1163" s="65">
        <v>1.34</v>
      </c>
      <c r="HH1163" s="65" t="s">
        <v>775</v>
      </c>
      <c r="JU1163" s="55" t="s">
        <v>776</v>
      </c>
    </row>
    <row r="1164" spans="1:281" x14ac:dyDescent="0.25">
      <c r="A1164" s="55">
        <v>1163</v>
      </c>
      <c r="B1164" s="12" t="s">
        <v>7067</v>
      </c>
      <c r="C1164" s="155">
        <v>55</v>
      </c>
      <c r="D1164" s="55" t="s">
        <v>3927</v>
      </c>
      <c r="E1164" s="90" t="s">
        <v>761</v>
      </c>
      <c r="G1164" s="55" t="s">
        <v>762</v>
      </c>
      <c r="H1164" s="55">
        <v>2001</v>
      </c>
      <c r="I1164" s="55">
        <v>1997</v>
      </c>
      <c r="J1164" s="55" t="s">
        <v>767</v>
      </c>
      <c r="K1164" s="55" t="s">
        <v>766</v>
      </c>
      <c r="L1164" s="55" t="s">
        <v>2737</v>
      </c>
      <c r="M1164" s="90">
        <v>45.01</v>
      </c>
      <c r="N1164" s="90">
        <v>-122.78</v>
      </c>
      <c r="O1164" s="90">
        <v>78.5</v>
      </c>
      <c r="U1164" s="55">
        <v>1</v>
      </c>
      <c r="V1164" s="55" t="s">
        <v>1935</v>
      </c>
      <c r="Y1164" s="55" t="s">
        <v>1934</v>
      </c>
      <c r="Z1164" s="55" t="s">
        <v>1347</v>
      </c>
      <c r="AA1164" s="90" t="s">
        <v>1676</v>
      </c>
      <c r="AE1164" s="90">
        <v>7</v>
      </c>
      <c r="AF1164" s="90">
        <v>67</v>
      </c>
      <c r="AH1164" s="55" t="s">
        <v>769</v>
      </c>
      <c r="AI1164" s="168">
        <v>5.9</v>
      </c>
      <c r="AJ1164" s="90">
        <v>1.77</v>
      </c>
      <c r="AM1164" s="55" t="s">
        <v>1312</v>
      </c>
      <c r="AN1164" s="185" t="s">
        <v>1542</v>
      </c>
      <c r="AO1164" s="185" t="s">
        <v>5150</v>
      </c>
      <c r="AQ1164" s="55" t="s">
        <v>1546</v>
      </c>
      <c r="AR1164" s="55" t="s">
        <v>608</v>
      </c>
      <c r="AS1164" s="55" t="s">
        <v>1589</v>
      </c>
      <c r="AT1164" s="181" t="s">
        <v>774</v>
      </c>
      <c r="AU1164" s="181" t="s">
        <v>5150</v>
      </c>
      <c r="AV1164" s="185" t="s">
        <v>176</v>
      </c>
      <c r="AW1164" s="55" t="s">
        <v>774</v>
      </c>
      <c r="AX1164" s="185" t="s">
        <v>176</v>
      </c>
      <c r="AY1164" s="55" t="s">
        <v>176</v>
      </c>
      <c r="BK1164" s="55" t="s">
        <v>5976</v>
      </c>
      <c r="BM1164" s="192" t="s">
        <v>119</v>
      </c>
      <c r="BN1164" s="55">
        <v>4</v>
      </c>
      <c r="BO1164" s="55">
        <v>4</v>
      </c>
      <c r="BQ1164" s="55" t="s">
        <v>141</v>
      </c>
      <c r="GP1164" s="292" t="s">
        <v>7494</v>
      </c>
      <c r="HD1164" s="65">
        <v>3.23</v>
      </c>
      <c r="HE1164" s="65">
        <v>3.89</v>
      </c>
      <c r="HH1164" s="65" t="s">
        <v>775</v>
      </c>
      <c r="JU1164" s="55" t="s">
        <v>776</v>
      </c>
    </row>
    <row r="1165" spans="1:281" x14ac:dyDescent="0.25">
      <c r="A1165" s="55">
        <v>1164</v>
      </c>
      <c r="B1165" s="12" t="s">
        <v>7067</v>
      </c>
      <c r="C1165" s="155">
        <v>55</v>
      </c>
      <c r="D1165" s="55" t="s">
        <v>3928</v>
      </c>
      <c r="E1165" s="90" t="s">
        <v>761</v>
      </c>
      <c r="G1165" s="55" t="s">
        <v>762</v>
      </c>
      <c r="H1165" s="55">
        <v>2001</v>
      </c>
      <c r="I1165" s="55">
        <v>1998</v>
      </c>
      <c r="J1165" s="55" t="s">
        <v>767</v>
      </c>
      <c r="K1165" s="55" t="s">
        <v>768</v>
      </c>
      <c r="L1165" s="55" t="s">
        <v>2737</v>
      </c>
      <c r="M1165" s="90">
        <v>44.56</v>
      </c>
      <c r="N1165" s="90">
        <v>-123.26</v>
      </c>
      <c r="O1165" s="90">
        <v>59.6</v>
      </c>
      <c r="U1165" s="55" t="s">
        <v>1801</v>
      </c>
      <c r="V1165" s="55" t="s">
        <v>1694</v>
      </c>
      <c r="Y1165" s="55" t="s">
        <v>1926</v>
      </c>
      <c r="Z1165" s="55" t="s">
        <v>1347</v>
      </c>
      <c r="AA1165" s="90" t="s">
        <v>1676</v>
      </c>
      <c r="AE1165" s="90">
        <v>22</v>
      </c>
      <c r="AF1165" s="90">
        <v>52</v>
      </c>
      <c r="AH1165" s="55" t="s">
        <v>6378</v>
      </c>
      <c r="AI1165" s="168">
        <v>5.9</v>
      </c>
      <c r="AJ1165" s="90">
        <v>1.65</v>
      </c>
      <c r="AM1165" s="55" t="s">
        <v>1312</v>
      </c>
      <c r="AN1165" s="185" t="s">
        <v>1542</v>
      </c>
      <c r="AO1165" s="185" t="s">
        <v>5150</v>
      </c>
      <c r="AQ1165" s="55" t="s">
        <v>1546</v>
      </c>
      <c r="AR1165" s="55" t="s">
        <v>777</v>
      </c>
      <c r="AS1165" s="55" t="s">
        <v>1589</v>
      </c>
      <c r="AT1165" s="181" t="s">
        <v>772</v>
      </c>
      <c r="AU1165" s="181" t="s">
        <v>5150</v>
      </c>
      <c r="AV1165" s="185" t="s">
        <v>479</v>
      </c>
      <c r="AW1165" s="55" t="s">
        <v>772</v>
      </c>
      <c r="AX1165" s="185" t="s">
        <v>479</v>
      </c>
      <c r="AY1165" s="55" t="s">
        <v>176</v>
      </c>
      <c r="BK1165" s="55" t="s">
        <v>5976</v>
      </c>
      <c r="BM1165" s="192" t="s">
        <v>119</v>
      </c>
      <c r="BN1165" s="55">
        <v>4</v>
      </c>
      <c r="BO1165" s="55">
        <v>4</v>
      </c>
      <c r="BQ1165" s="55" t="s">
        <v>141</v>
      </c>
      <c r="GP1165" s="292" t="s">
        <v>7494</v>
      </c>
      <c r="HD1165" s="65">
        <v>9.15</v>
      </c>
      <c r="HE1165" s="65">
        <v>15.2</v>
      </c>
      <c r="HH1165" s="65" t="s">
        <v>775</v>
      </c>
      <c r="JU1165" s="55" t="s">
        <v>776</v>
      </c>
    </row>
    <row r="1166" spans="1:281" x14ac:dyDescent="0.25">
      <c r="A1166" s="55">
        <v>1165</v>
      </c>
      <c r="B1166" s="12" t="s">
        <v>7067</v>
      </c>
      <c r="C1166" s="155">
        <v>55</v>
      </c>
      <c r="D1166" s="55" t="s">
        <v>3928</v>
      </c>
      <c r="E1166" s="90" t="s">
        <v>761</v>
      </c>
      <c r="G1166" s="55" t="s">
        <v>762</v>
      </c>
      <c r="H1166" s="55">
        <v>2001</v>
      </c>
      <c r="I1166" s="55">
        <v>1998</v>
      </c>
      <c r="J1166" s="55" t="s">
        <v>767</v>
      </c>
      <c r="K1166" s="55" t="s">
        <v>768</v>
      </c>
      <c r="L1166" s="55" t="s">
        <v>2737</v>
      </c>
      <c r="M1166" s="90">
        <v>44.56</v>
      </c>
      <c r="N1166" s="90">
        <v>-123.26</v>
      </c>
      <c r="O1166" s="90">
        <v>59.6</v>
      </c>
      <c r="U1166" s="55" t="s">
        <v>1801</v>
      </c>
      <c r="V1166" s="55" t="s">
        <v>1694</v>
      </c>
      <c r="Y1166" s="55" t="s">
        <v>1927</v>
      </c>
      <c r="Z1166" s="55" t="s">
        <v>1347</v>
      </c>
      <c r="AA1166" s="90" t="s">
        <v>1676</v>
      </c>
      <c r="AE1166" s="90">
        <v>22</v>
      </c>
      <c r="AF1166" s="90">
        <v>52</v>
      </c>
      <c r="AH1166" s="55" t="s">
        <v>6378</v>
      </c>
      <c r="AI1166" s="168">
        <v>5.9</v>
      </c>
      <c r="AJ1166" s="90">
        <v>1.65</v>
      </c>
      <c r="AM1166" s="55" t="s">
        <v>1312</v>
      </c>
      <c r="AN1166" s="185" t="s">
        <v>1542</v>
      </c>
      <c r="AO1166" s="185" t="s">
        <v>5150</v>
      </c>
      <c r="AQ1166" s="55" t="s">
        <v>1546</v>
      </c>
      <c r="AR1166" s="55" t="s">
        <v>777</v>
      </c>
      <c r="AS1166" s="55" t="s">
        <v>1589</v>
      </c>
      <c r="AT1166" s="181" t="s">
        <v>772</v>
      </c>
      <c r="AU1166" s="181" t="s">
        <v>5150</v>
      </c>
      <c r="AV1166" s="185" t="s">
        <v>479</v>
      </c>
      <c r="AW1166" s="55" t="s">
        <v>772</v>
      </c>
      <c r="AX1166" s="185" t="s">
        <v>479</v>
      </c>
      <c r="AY1166" s="55" t="s">
        <v>176</v>
      </c>
      <c r="BK1166" s="55" t="s">
        <v>5976</v>
      </c>
      <c r="BM1166" s="192" t="s">
        <v>119</v>
      </c>
      <c r="BN1166" s="55">
        <v>4</v>
      </c>
      <c r="BO1166" s="55">
        <v>4</v>
      </c>
      <c r="BQ1166" s="55" t="s">
        <v>141</v>
      </c>
      <c r="GP1166" s="292" t="s">
        <v>7494</v>
      </c>
      <c r="HD1166" s="65">
        <v>3.58</v>
      </c>
      <c r="HE1166" s="65">
        <v>6.58</v>
      </c>
      <c r="HH1166" s="65" t="s">
        <v>775</v>
      </c>
      <c r="JU1166" s="55" t="s">
        <v>776</v>
      </c>
    </row>
    <row r="1167" spans="1:281" x14ac:dyDescent="0.25">
      <c r="A1167" s="55">
        <v>1166</v>
      </c>
      <c r="B1167" s="12" t="s">
        <v>7067</v>
      </c>
      <c r="C1167" s="155">
        <v>55</v>
      </c>
      <c r="D1167" s="55" t="s">
        <v>3928</v>
      </c>
      <c r="E1167" s="90" t="s">
        <v>761</v>
      </c>
      <c r="G1167" s="55" t="s">
        <v>762</v>
      </c>
      <c r="H1167" s="55">
        <v>2001</v>
      </c>
      <c r="I1167" s="55">
        <v>1998</v>
      </c>
      <c r="J1167" s="55" t="s">
        <v>767</v>
      </c>
      <c r="K1167" s="55" t="s">
        <v>768</v>
      </c>
      <c r="L1167" s="55" t="s">
        <v>2737</v>
      </c>
      <c r="M1167" s="90">
        <v>44.56</v>
      </c>
      <c r="N1167" s="90">
        <v>-123.26</v>
      </c>
      <c r="O1167" s="90">
        <v>59.6</v>
      </c>
      <c r="U1167" s="55" t="s">
        <v>1801</v>
      </c>
      <c r="V1167" s="55" t="s">
        <v>1694</v>
      </c>
      <c r="Y1167" s="55" t="s">
        <v>1928</v>
      </c>
      <c r="Z1167" s="55" t="s">
        <v>1347</v>
      </c>
      <c r="AA1167" s="90" t="s">
        <v>1676</v>
      </c>
      <c r="AE1167" s="90">
        <v>22</v>
      </c>
      <c r="AF1167" s="90">
        <v>52</v>
      </c>
      <c r="AH1167" s="55" t="s">
        <v>6378</v>
      </c>
      <c r="AI1167" s="168">
        <v>5.9</v>
      </c>
      <c r="AJ1167" s="90">
        <v>1.65</v>
      </c>
      <c r="AM1167" s="55" t="s">
        <v>1312</v>
      </c>
      <c r="AN1167" s="185" t="s">
        <v>1542</v>
      </c>
      <c r="AO1167" s="185" t="s">
        <v>5150</v>
      </c>
      <c r="AQ1167" s="55" t="s">
        <v>1546</v>
      </c>
      <c r="AR1167" s="55" t="s">
        <v>777</v>
      </c>
      <c r="AS1167" s="55" t="s">
        <v>1589</v>
      </c>
      <c r="AT1167" s="181" t="s">
        <v>772</v>
      </c>
      <c r="AU1167" s="181" t="s">
        <v>5150</v>
      </c>
      <c r="AV1167" s="185" t="s">
        <v>479</v>
      </c>
      <c r="AW1167" s="55" t="s">
        <v>772</v>
      </c>
      <c r="AX1167" s="185" t="s">
        <v>479</v>
      </c>
      <c r="AY1167" s="55" t="s">
        <v>176</v>
      </c>
      <c r="BK1167" s="55" t="s">
        <v>5976</v>
      </c>
      <c r="BM1167" s="192" t="s">
        <v>119</v>
      </c>
      <c r="BN1167" s="55">
        <v>4</v>
      </c>
      <c r="BO1167" s="55">
        <v>4</v>
      </c>
      <c r="BQ1167" s="55" t="s">
        <v>141</v>
      </c>
      <c r="GP1167" s="292" t="s">
        <v>7494</v>
      </c>
      <c r="HD1167" s="65">
        <v>1.95</v>
      </c>
      <c r="HE1167" s="65">
        <v>3.05</v>
      </c>
      <c r="HH1167" s="65" t="s">
        <v>775</v>
      </c>
      <c r="JU1167" s="55" t="s">
        <v>776</v>
      </c>
    </row>
    <row r="1168" spans="1:281" x14ac:dyDescent="0.25">
      <c r="A1168" s="55">
        <v>1167</v>
      </c>
      <c r="B1168" s="12" t="s">
        <v>7067</v>
      </c>
      <c r="C1168" s="155">
        <v>55</v>
      </c>
      <c r="D1168" s="55" t="s">
        <v>3923</v>
      </c>
      <c r="E1168" s="90" t="s">
        <v>761</v>
      </c>
      <c r="G1168" s="55" t="s">
        <v>762</v>
      </c>
      <c r="H1168" s="55">
        <v>2001</v>
      </c>
      <c r="I1168" s="55">
        <v>1998</v>
      </c>
      <c r="J1168" s="55" t="s">
        <v>767</v>
      </c>
      <c r="K1168" s="55" t="s">
        <v>763</v>
      </c>
      <c r="L1168" s="55" t="s">
        <v>2737</v>
      </c>
      <c r="M1168" s="90">
        <v>45.23</v>
      </c>
      <c r="N1168" s="90">
        <v>-122.756</v>
      </c>
      <c r="O1168" s="90">
        <v>48.4</v>
      </c>
      <c r="U1168" s="55" t="s">
        <v>1679</v>
      </c>
      <c r="V1168" s="55" t="s">
        <v>1818</v>
      </c>
      <c r="Y1168" s="55" t="s">
        <v>1930</v>
      </c>
      <c r="Z1168" s="55" t="s">
        <v>1347</v>
      </c>
      <c r="AA1168" s="90" t="s">
        <v>1676</v>
      </c>
      <c r="AE1168" s="90">
        <v>28</v>
      </c>
      <c r="AF1168" s="90">
        <v>54</v>
      </c>
      <c r="AH1168" s="55" t="s">
        <v>6378</v>
      </c>
      <c r="AI1168" s="168">
        <v>5.4</v>
      </c>
      <c r="AJ1168" s="90">
        <v>1.71</v>
      </c>
      <c r="AM1168" s="55" t="s">
        <v>1312</v>
      </c>
      <c r="AN1168" s="185" t="s">
        <v>764</v>
      </c>
      <c r="AO1168" s="185" t="s">
        <v>5150</v>
      </c>
      <c r="AQ1168" s="55" t="s">
        <v>1545</v>
      </c>
      <c r="AR1168" s="55" t="s">
        <v>770</v>
      </c>
      <c r="AS1168" s="55" t="s">
        <v>1589</v>
      </c>
      <c r="AT1168" s="181" t="s">
        <v>771</v>
      </c>
      <c r="AU1168" s="181" t="s">
        <v>5150</v>
      </c>
      <c r="AV1168" s="185" t="s">
        <v>479</v>
      </c>
      <c r="AW1168" s="55" t="s">
        <v>771</v>
      </c>
      <c r="AX1168" s="185" t="s">
        <v>479</v>
      </c>
      <c r="AY1168" s="55" t="s">
        <v>176</v>
      </c>
      <c r="BK1168" s="55" t="s">
        <v>5976</v>
      </c>
      <c r="BM1168" s="192" t="s">
        <v>119</v>
      </c>
      <c r="BN1168" s="55">
        <v>4</v>
      </c>
      <c r="BO1168" s="55">
        <v>4</v>
      </c>
      <c r="BQ1168" s="55" t="s">
        <v>141</v>
      </c>
      <c r="GP1168" s="292" t="s">
        <v>7494</v>
      </c>
      <c r="HN1168" s="65">
        <v>2.87</v>
      </c>
      <c r="HO1168" s="65">
        <v>2.79</v>
      </c>
      <c r="HR1168" s="65" t="s">
        <v>778</v>
      </c>
      <c r="JU1168" s="55" t="s">
        <v>776</v>
      </c>
    </row>
    <row r="1169" spans="1:281" x14ac:dyDescent="0.25">
      <c r="A1169" s="55">
        <v>1168</v>
      </c>
      <c r="B1169" s="12" t="s">
        <v>7067</v>
      </c>
      <c r="C1169" s="155">
        <v>55</v>
      </c>
      <c r="D1169" s="55" t="s">
        <v>3929</v>
      </c>
      <c r="E1169" s="90" t="s">
        <v>761</v>
      </c>
      <c r="G1169" s="55" t="s">
        <v>762</v>
      </c>
      <c r="H1169" s="55">
        <v>2001</v>
      </c>
      <c r="I1169" s="55">
        <v>1998</v>
      </c>
      <c r="J1169" s="55" t="s">
        <v>767</v>
      </c>
      <c r="K1169" s="55" t="s">
        <v>763</v>
      </c>
      <c r="L1169" s="55" t="s">
        <v>2737</v>
      </c>
      <c r="M1169" s="90">
        <v>45.23</v>
      </c>
      <c r="N1169" s="90">
        <v>-122.756</v>
      </c>
      <c r="O1169" s="90">
        <v>48.4</v>
      </c>
      <c r="U1169" s="55" t="s">
        <v>1679</v>
      </c>
      <c r="V1169" s="55" t="s">
        <v>1818</v>
      </c>
      <c r="Y1169" s="55" t="s">
        <v>1930</v>
      </c>
      <c r="Z1169" s="55" t="s">
        <v>1347</v>
      </c>
      <c r="AA1169" s="90" t="s">
        <v>1676</v>
      </c>
      <c r="AE1169" s="90">
        <v>28</v>
      </c>
      <c r="AF1169" s="90">
        <v>54</v>
      </c>
      <c r="AH1169" s="55" t="s">
        <v>6378</v>
      </c>
      <c r="AI1169" s="168">
        <v>5.4</v>
      </c>
      <c r="AJ1169" s="90">
        <v>1.71</v>
      </c>
      <c r="AM1169" s="55" t="s">
        <v>1312</v>
      </c>
      <c r="AN1169" s="185" t="s">
        <v>1542</v>
      </c>
      <c r="AO1169" s="185" t="s">
        <v>5150</v>
      </c>
      <c r="AQ1169" s="55" t="s">
        <v>1546</v>
      </c>
      <c r="AR1169" s="55" t="s">
        <v>770</v>
      </c>
      <c r="AS1169" s="55" t="s">
        <v>1589</v>
      </c>
      <c r="AT1169" s="181" t="s">
        <v>771</v>
      </c>
      <c r="AU1169" s="181" t="s">
        <v>5150</v>
      </c>
      <c r="AV1169" s="185" t="s">
        <v>479</v>
      </c>
      <c r="AW1169" s="55" t="s">
        <v>771</v>
      </c>
      <c r="AX1169" s="185" t="s">
        <v>479</v>
      </c>
      <c r="AY1169" s="55" t="s">
        <v>176</v>
      </c>
      <c r="BK1169" s="55" t="s">
        <v>5976</v>
      </c>
      <c r="BM1169" s="192" t="s">
        <v>119</v>
      </c>
      <c r="BN1169" s="55">
        <v>4</v>
      </c>
      <c r="BO1169" s="55">
        <v>4</v>
      </c>
      <c r="BQ1169" s="55" t="s">
        <v>141</v>
      </c>
      <c r="GP1169" s="292" t="s">
        <v>7494</v>
      </c>
      <c r="HN1169" s="65">
        <v>2.87</v>
      </c>
      <c r="HO1169" s="65">
        <v>2.83</v>
      </c>
      <c r="HR1169" s="65" t="s">
        <v>778</v>
      </c>
      <c r="JU1169" s="55" t="s">
        <v>776</v>
      </c>
    </row>
    <row r="1170" spans="1:281" x14ac:dyDescent="0.25">
      <c r="A1170" s="55">
        <v>1169</v>
      </c>
      <c r="B1170" s="12" t="s">
        <v>7067</v>
      </c>
      <c r="C1170" s="155">
        <v>55</v>
      </c>
      <c r="D1170" s="55" t="s">
        <v>3925</v>
      </c>
      <c r="E1170" s="90" t="s">
        <v>761</v>
      </c>
      <c r="G1170" s="55" t="s">
        <v>762</v>
      </c>
      <c r="H1170" s="55">
        <v>2001</v>
      </c>
      <c r="I1170" s="55">
        <v>1998</v>
      </c>
      <c r="J1170" s="55" t="s">
        <v>767</v>
      </c>
      <c r="K1170" s="55" t="s">
        <v>768</v>
      </c>
      <c r="L1170" s="55" t="s">
        <v>2737</v>
      </c>
      <c r="M1170" s="90">
        <v>44.56</v>
      </c>
      <c r="N1170" s="90">
        <v>-123.26</v>
      </c>
      <c r="O1170" s="90">
        <v>59.6</v>
      </c>
      <c r="U1170" s="55" t="s">
        <v>1694</v>
      </c>
      <c r="V1170" s="55" t="s">
        <v>1694</v>
      </c>
      <c r="Y1170" s="55" t="s">
        <v>1926</v>
      </c>
      <c r="Z1170" s="55" t="s">
        <v>1347</v>
      </c>
      <c r="AA1170" s="90" t="s">
        <v>1676</v>
      </c>
      <c r="AE1170" s="90">
        <v>22</v>
      </c>
      <c r="AF1170" s="90">
        <v>52</v>
      </c>
      <c r="AH1170" s="55" t="s">
        <v>6378</v>
      </c>
      <c r="AI1170" s="168">
        <v>5.9</v>
      </c>
      <c r="AJ1170" s="90">
        <v>1.65</v>
      </c>
      <c r="AM1170" s="55" t="s">
        <v>1312</v>
      </c>
      <c r="AN1170" s="185" t="s">
        <v>1542</v>
      </c>
      <c r="AO1170" s="185" t="s">
        <v>5150</v>
      </c>
      <c r="AQ1170" s="55" t="s">
        <v>1546</v>
      </c>
      <c r="AR1170" s="55" t="s">
        <v>777</v>
      </c>
      <c r="AS1170" s="55" t="s">
        <v>1589</v>
      </c>
      <c r="AT1170" s="181" t="s">
        <v>772</v>
      </c>
      <c r="AU1170" s="181" t="s">
        <v>5150</v>
      </c>
      <c r="AV1170" s="185" t="s">
        <v>479</v>
      </c>
      <c r="AW1170" s="55" t="s">
        <v>772</v>
      </c>
      <c r="AX1170" s="185" t="s">
        <v>479</v>
      </c>
      <c r="AY1170" s="55" t="s">
        <v>176</v>
      </c>
      <c r="BK1170" s="55" t="s">
        <v>5976</v>
      </c>
      <c r="BM1170" s="192" t="s">
        <v>119</v>
      </c>
      <c r="BN1170" s="55">
        <v>4</v>
      </c>
      <c r="BO1170" s="55">
        <v>4</v>
      </c>
      <c r="BQ1170" s="55" t="s">
        <v>141</v>
      </c>
      <c r="GP1170" s="292" t="s">
        <v>7494</v>
      </c>
      <c r="HN1170" s="65">
        <v>2.98</v>
      </c>
      <c r="HO1170" s="65">
        <v>3.05</v>
      </c>
      <c r="HR1170" s="65" t="s">
        <v>778</v>
      </c>
      <c r="JU1170" s="55" t="s">
        <v>776</v>
      </c>
    </row>
    <row r="1171" spans="1:281" x14ac:dyDescent="0.25">
      <c r="A1171" s="55">
        <v>1170</v>
      </c>
      <c r="B1171" s="12" t="s">
        <v>7067</v>
      </c>
      <c r="C1171" s="155">
        <v>55</v>
      </c>
      <c r="D1171" s="55" t="s">
        <v>3923</v>
      </c>
      <c r="E1171" s="90" t="s">
        <v>761</v>
      </c>
      <c r="G1171" s="55" t="s">
        <v>762</v>
      </c>
      <c r="H1171" s="55">
        <v>2001</v>
      </c>
      <c r="I1171" s="55">
        <v>1999</v>
      </c>
      <c r="J1171" s="55" t="s">
        <v>767</v>
      </c>
      <c r="K1171" s="55" t="s">
        <v>763</v>
      </c>
      <c r="L1171" s="55" t="s">
        <v>2737</v>
      </c>
      <c r="M1171" s="90">
        <v>45.23</v>
      </c>
      <c r="N1171" s="90">
        <v>-122.756</v>
      </c>
      <c r="O1171" s="90">
        <v>48.4</v>
      </c>
      <c r="U1171" s="55" t="s">
        <v>1818</v>
      </c>
      <c r="V1171" s="55" t="s">
        <v>1818</v>
      </c>
      <c r="Y1171" s="55" t="s">
        <v>1930</v>
      </c>
      <c r="Z1171" s="55" t="s">
        <v>1347</v>
      </c>
      <c r="AA1171" s="90" t="s">
        <v>1676</v>
      </c>
      <c r="AE1171" s="90">
        <v>28</v>
      </c>
      <c r="AF1171" s="90">
        <v>54</v>
      </c>
      <c r="AH1171" s="55" t="s">
        <v>6378</v>
      </c>
      <c r="AI1171" s="168">
        <v>5.4</v>
      </c>
      <c r="AJ1171" s="90">
        <v>1.71</v>
      </c>
      <c r="AM1171" s="55" t="s">
        <v>1312</v>
      </c>
      <c r="AN1171" s="185" t="s">
        <v>764</v>
      </c>
      <c r="AO1171" s="185" t="s">
        <v>5150</v>
      </c>
      <c r="AQ1171" s="55" t="s">
        <v>1545</v>
      </c>
      <c r="AR1171" s="55" t="s">
        <v>777</v>
      </c>
      <c r="AS1171" s="55" t="s">
        <v>1589</v>
      </c>
      <c r="AT1171" s="181" t="s">
        <v>771</v>
      </c>
      <c r="AU1171" s="181" t="s">
        <v>5150</v>
      </c>
      <c r="AV1171" s="185" t="s">
        <v>479</v>
      </c>
      <c r="AW1171" s="55" t="s">
        <v>771</v>
      </c>
      <c r="AX1171" s="185" t="s">
        <v>479</v>
      </c>
      <c r="AY1171" s="55" t="s">
        <v>176</v>
      </c>
      <c r="BK1171" s="55" t="s">
        <v>5976</v>
      </c>
      <c r="BM1171" s="192" t="s">
        <v>119</v>
      </c>
      <c r="BN1171" s="55">
        <v>4</v>
      </c>
      <c r="BO1171" s="55">
        <v>4</v>
      </c>
      <c r="BQ1171" s="55" t="s">
        <v>141</v>
      </c>
      <c r="GP1171" s="292" t="s">
        <v>7494</v>
      </c>
      <c r="HN1171" s="65">
        <v>2.44</v>
      </c>
      <c r="HO1171" s="65">
        <v>2.63</v>
      </c>
      <c r="HR1171" s="65" t="s">
        <v>778</v>
      </c>
      <c r="JU1171" s="55" t="s">
        <v>776</v>
      </c>
    </row>
    <row r="1172" spans="1:281" x14ac:dyDescent="0.25">
      <c r="A1172" s="55">
        <v>1171</v>
      </c>
      <c r="B1172" s="12" t="s">
        <v>7067</v>
      </c>
      <c r="C1172" s="155">
        <v>55</v>
      </c>
      <c r="D1172" s="55" t="s">
        <v>3929</v>
      </c>
      <c r="E1172" s="90" t="s">
        <v>761</v>
      </c>
      <c r="G1172" s="55" t="s">
        <v>762</v>
      </c>
      <c r="H1172" s="55">
        <v>2001</v>
      </c>
      <c r="I1172" s="55">
        <v>1999</v>
      </c>
      <c r="J1172" s="55" t="s">
        <v>767</v>
      </c>
      <c r="K1172" s="55" t="s">
        <v>763</v>
      </c>
      <c r="L1172" s="55" t="s">
        <v>2737</v>
      </c>
      <c r="M1172" s="90">
        <v>45.23</v>
      </c>
      <c r="N1172" s="90">
        <v>-122.756</v>
      </c>
      <c r="O1172" s="90">
        <v>48.4</v>
      </c>
      <c r="U1172" s="55" t="s">
        <v>1818</v>
      </c>
      <c r="V1172" s="55" t="s">
        <v>1818</v>
      </c>
      <c r="Y1172" s="55" t="s">
        <v>1930</v>
      </c>
      <c r="Z1172" s="55" t="s">
        <v>1347</v>
      </c>
      <c r="AA1172" s="90" t="s">
        <v>1676</v>
      </c>
      <c r="AE1172" s="90">
        <v>28</v>
      </c>
      <c r="AF1172" s="90">
        <v>54</v>
      </c>
      <c r="AH1172" s="55" t="s">
        <v>6378</v>
      </c>
      <c r="AI1172" s="168">
        <v>5.4</v>
      </c>
      <c r="AJ1172" s="90">
        <v>1.71</v>
      </c>
      <c r="AM1172" s="55" t="s">
        <v>1312</v>
      </c>
      <c r="AN1172" s="185" t="s">
        <v>1542</v>
      </c>
      <c r="AO1172" s="185" t="s">
        <v>5150</v>
      </c>
      <c r="AQ1172" s="55" t="s">
        <v>1546</v>
      </c>
      <c r="AR1172" s="55" t="s">
        <v>777</v>
      </c>
      <c r="AS1172" s="55" t="s">
        <v>1589</v>
      </c>
      <c r="AT1172" s="181" t="s">
        <v>771</v>
      </c>
      <c r="AU1172" s="181" t="s">
        <v>5150</v>
      </c>
      <c r="AV1172" s="185" t="s">
        <v>479</v>
      </c>
      <c r="AW1172" s="55" t="s">
        <v>771</v>
      </c>
      <c r="AX1172" s="185" t="s">
        <v>479</v>
      </c>
      <c r="AY1172" s="55" t="s">
        <v>176</v>
      </c>
      <c r="BK1172" s="55" t="s">
        <v>5976</v>
      </c>
      <c r="BM1172" s="192" t="s">
        <v>119</v>
      </c>
      <c r="BN1172" s="55">
        <v>4</v>
      </c>
      <c r="BO1172" s="55">
        <v>4</v>
      </c>
      <c r="BQ1172" s="55" t="s">
        <v>141</v>
      </c>
      <c r="GP1172" s="292" t="s">
        <v>7494</v>
      </c>
      <c r="HN1172" s="65">
        <v>2.44</v>
      </c>
      <c r="HO1172" s="65">
        <v>2.64</v>
      </c>
      <c r="HR1172" s="65" t="s">
        <v>778</v>
      </c>
      <c r="JU1172" s="55" t="s">
        <v>776</v>
      </c>
    </row>
    <row r="1173" spans="1:281" x14ac:dyDescent="0.25">
      <c r="A1173" s="55">
        <v>1172</v>
      </c>
      <c r="B1173" s="12" t="s">
        <v>7067</v>
      </c>
      <c r="C1173" s="155">
        <v>55</v>
      </c>
      <c r="D1173" s="55" t="s">
        <v>3925</v>
      </c>
      <c r="E1173" s="90" t="s">
        <v>761</v>
      </c>
      <c r="G1173" s="55" t="s">
        <v>762</v>
      </c>
      <c r="H1173" s="55">
        <v>2001</v>
      </c>
      <c r="I1173" s="55">
        <v>1999</v>
      </c>
      <c r="J1173" s="55" t="s">
        <v>767</v>
      </c>
      <c r="K1173" s="55" t="s">
        <v>768</v>
      </c>
      <c r="L1173" s="55" t="s">
        <v>2737</v>
      </c>
      <c r="M1173" s="90">
        <v>44.56</v>
      </c>
      <c r="N1173" s="90">
        <v>-123.26</v>
      </c>
      <c r="O1173" s="90">
        <v>59.6</v>
      </c>
      <c r="U1173" s="55" t="s">
        <v>1694</v>
      </c>
      <c r="V1173" s="55" t="s">
        <v>1694</v>
      </c>
      <c r="Y1173" s="55" t="s">
        <v>1926</v>
      </c>
      <c r="Z1173" s="55" t="s">
        <v>1347</v>
      </c>
      <c r="AA1173" s="90" t="s">
        <v>1676</v>
      </c>
      <c r="AE1173" s="90">
        <v>22</v>
      </c>
      <c r="AF1173" s="90">
        <v>52</v>
      </c>
      <c r="AH1173" s="55" t="s">
        <v>6378</v>
      </c>
      <c r="AI1173" s="168">
        <v>5.9</v>
      </c>
      <c r="AJ1173" s="90">
        <v>1.65</v>
      </c>
      <c r="AM1173" s="55" t="s">
        <v>1312</v>
      </c>
      <c r="AN1173" s="185" t="s">
        <v>1542</v>
      </c>
      <c r="AO1173" s="185" t="s">
        <v>5150</v>
      </c>
      <c r="AQ1173" s="55" t="s">
        <v>1546</v>
      </c>
      <c r="AR1173" s="55" t="s">
        <v>777</v>
      </c>
      <c r="AS1173" s="55" t="s">
        <v>1589</v>
      </c>
      <c r="AT1173" s="181" t="s">
        <v>772</v>
      </c>
      <c r="AU1173" s="181" t="s">
        <v>5150</v>
      </c>
      <c r="AV1173" s="185" t="s">
        <v>479</v>
      </c>
      <c r="AW1173" s="55" t="s">
        <v>772</v>
      </c>
      <c r="AX1173" s="185" t="s">
        <v>479</v>
      </c>
      <c r="AY1173" s="55" t="s">
        <v>176</v>
      </c>
      <c r="BK1173" s="55" t="s">
        <v>5976</v>
      </c>
      <c r="BM1173" s="192" t="s">
        <v>119</v>
      </c>
      <c r="BN1173" s="55">
        <v>4</v>
      </c>
      <c r="BO1173" s="55">
        <v>4</v>
      </c>
      <c r="BQ1173" s="55" t="s">
        <v>141</v>
      </c>
      <c r="GP1173" s="292" t="s">
        <v>7494</v>
      </c>
      <c r="HN1173" s="65">
        <v>2.84</v>
      </c>
      <c r="HO1173" s="65">
        <v>2.95</v>
      </c>
      <c r="HR1173" s="65" t="s">
        <v>778</v>
      </c>
      <c r="JU1173" s="55" t="s">
        <v>776</v>
      </c>
    </row>
    <row r="1174" spans="1:281" x14ac:dyDescent="0.25">
      <c r="A1174" s="55">
        <v>1173</v>
      </c>
      <c r="B1174" s="12" t="s">
        <v>7067</v>
      </c>
      <c r="C1174" s="155">
        <v>55</v>
      </c>
      <c r="D1174" s="55" t="s">
        <v>3923</v>
      </c>
      <c r="E1174" s="90" t="s">
        <v>761</v>
      </c>
      <c r="G1174" s="55" t="s">
        <v>762</v>
      </c>
      <c r="H1174" s="55">
        <v>2001</v>
      </c>
      <c r="I1174" s="55">
        <v>1998</v>
      </c>
      <c r="J1174" s="55" t="s">
        <v>767</v>
      </c>
      <c r="K1174" s="55" t="s">
        <v>763</v>
      </c>
      <c r="L1174" s="55" t="s">
        <v>2737</v>
      </c>
      <c r="M1174" s="90">
        <v>45.23</v>
      </c>
      <c r="N1174" s="90">
        <v>-122.756</v>
      </c>
      <c r="O1174" s="90">
        <v>48.4</v>
      </c>
      <c r="U1174" s="55" t="s">
        <v>1679</v>
      </c>
      <c r="V1174" s="55" t="s">
        <v>1818</v>
      </c>
      <c r="Y1174" s="55" t="s">
        <v>1931</v>
      </c>
      <c r="Z1174" s="55" t="s">
        <v>1347</v>
      </c>
      <c r="AA1174" s="90" t="s">
        <v>1676</v>
      </c>
      <c r="AE1174" s="90">
        <v>28</v>
      </c>
      <c r="AF1174" s="90">
        <v>54</v>
      </c>
      <c r="AH1174" s="55" t="s">
        <v>6378</v>
      </c>
      <c r="AI1174" s="168">
        <v>5.4</v>
      </c>
      <c r="AJ1174" s="90">
        <v>1.71</v>
      </c>
      <c r="AM1174" s="55" t="s">
        <v>1312</v>
      </c>
      <c r="AN1174" s="185" t="s">
        <v>764</v>
      </c>
      <c r="AO1174" s="185" t="s">
        <v>5150</v>
      </c>
      <c r="AQ1174" s="55" t="s">
        <v>1545</v>
      </c>
      <c r="AR1174" s="55" t="s">
        <v>770</v>
      </c>
      <c r="AS1174" s="55" t="s">
        <v>1589</v>
      </c>
      <c r="AT1174" s="181" t="s">
        <v>771</v>
      </c>
      <c r="AU1174" s="181" t="s">
        <v>5150</v>
      </c>
      <c r="AV1174" s="185" t="s">
        <v>479</v>
      </c>
      <c r="AW1174" s="55" t="s">
        <v>771</v>
      </c>
      <c r="AX1174" s="185" t="s">
        <v>479</v>
      </c>
      <c r="AY1174" s="55" t="s">
        <v>176</v>
      </c>
      <c r="BK1174" s="55" t="s">
        <v>5976</v>
      </c>
      <c r="BM1174" s="192" t="s">
        <v>119</v>
      </c>
      <c r="BN1174" s="55">
        <v>4</v>
      </c>
      <c r="BO1174" s="55">
        <v>4</v>
      </c>
      <c r="BQ1174" s="55" t="s">
        <v>141</v>
      </c>
      <c r="GP1174" s="292" t="s">
        <v>7494</v>
      </c>
      <c r="HN1174" s="65">
        <v>2.77</v>
      </c>
      <c r="HO1174" s="65">
        <v>2.61</v>
      </c>
      <c r="HR1174" s="65" t="s">
        <v>778</v>
      </c>
      <c r="JU1174" s="55" t="s">
        <v>776</v>
      </c>
    </row>
    <row r="1175" spans="1:281" x14ac:dyDescent="0.25">
      <c r="A1175" s="55">
        <v>1174</v>
      </c>
      <c r="B1175" s="12" t="s">
        <v>7067</v>
      </c>
      <c r="C1175" s="155">
        <v>55</v>
      </c>
      <c r="D1175" s="55" t="s">
        <v>3929</v>
      </c>
      <c r="E1175" s="90" t="s">
        <v>761</v>
      </c>
      <c r="G1175" s="55" t="s">
        <v>762</v>
      </c>
      <c r="H1175" s="55">
        <v>2001</v>
      </c>
      <c r="I1175" s="55">
        <v>1998</v>
      </c>
      <c r="J1175" s="55" t="s">
        <v>767</v>
      </c>
      <c r="K1175" s="55" t="s">
        <v>763</v>
      </c>
      <c r="L1175" s="55" t="s">
        <v>2737</v>
      </c>
      <c r="M1175" s="90">
        <v>45.23</v>
      </c>
      <c r="N1175" s="90">
        <v>-122.756</v>
      </c>
      <c r="O1175" s="90">
        <v>48.4</v>
      </c>
      <c r="U1175" s="55" t="s">
        <v>1679</v>
      </c>
      <c r="V1175" s="55" t="s">
        <v>1818</v>
      </c>
      <c r="Y1175" s="55" t="s">
        <v>1931</v>
      </c>
      <c r="Z1175" s="55" t="s">
        <v>1347</v>
      </c>
      <c r="AA1175" s="90" t="s">
        <v>1676</v>
      </c>
      <c r="AE1175" s="90">
        <v>28</v>
      </c>
      <c r="AF1175" s="90">
        <v>54</v>
      </c>
      <c r="AH1175" s="55" t="s">
        <v>6378</v>
      </c>
      <c r="AI1175" s="168">
        <v>5.4</v>
      </c>
      <c r="AJ1175" s="90">
        <v>1.71</v>
      </c>
      <c r="AM1175" s="55" t="s">
        <v>1312</v>
      </c>
      <c r="AN1175" s="185" t="s">
        <v>1542</v>
      </c>
      <c r="AO1175" s="185" t="s">
        <v>5150</v>
      </c>
      <c r="AQ1175" s="55" t="s">
        <v>1546</v>
      </c>
      <c r="AR1175" s="55" t="s">
        <v>770</v>
      </c>
      <c r="AS1175" s="55" t="s">
        <v>1589</v>
      </c>
      <c r="AT1175" s="181" t="s">
        <v>771</v>
      </c>
      <c r="AU1175" s="181" t="s">
        <v>5150</v>
      </c>
      <c r="AV1175" s="185" t="s">
        <v>479</v>
      </c>
      <c r="AW1175" s="55" t="s">
        <v>771</v>
      </c>
      <c r="AX1175" s="185" t="s">
        <v>479</v>
      </c>
      <c r="AY1175" s="55" t="s">
        <v>176</v>
      </c>
      <c r="BK1175" s="55" t="s">
        <v>5976</v>
      </c>
      <c r="BM1175" s="192" t="s">
        <v>119</v>
      </c>
      <c r="BN1175" s="55">
        <v>4</v>
      </c>
      <c r="BO1175" s="55">
        <v>4</v>
      </c>
      <c r="BQ1175" s="55" t="s">
        <v>141</v>
      </c>
      <c r="GP1175" s="292" t="s">
        <v>7494</v>
      </c>
      <c r="HN1175" s="65">
        <v>2.77</v>
      </c>
      <c r="HO1175" s="65">
        <v>2.7</v>
      </c>
      <c r="HR1175" s="65" t="s">
        <v>778</v>
      </c>
      <c r="JU1175" s="55" t="s">
        <v>776</v>
      </c>
    </row>
    <row r="1176" spans="1:281" x14ac:dyDescent="0.25">
      <c r="A1176" s="55">
        <v>1175</v>
      </c>
      <c r="B1176" s="12" t="s">
        <v>7067</v>
      </c>
      <c r="C1176" s="155">
        <v>55</v>
      </c>
      <c r="D1176" s="55" t="s">
        <v>3925</v>
      </c>
      <c r="E1176" s="90" t="s">
        <v>761</v>
      </c>
      <c r="G1176" s="55" t="s">
        <v>762</v>
      </c>
      <c r="H1176" s="55">
        <v>2001</v>
      </c>
      <c r="I1176" s="55">
        <v>1998</v>
      </c>
      <c r="J1176" s="55" t="s">
        <v>767</v>
      </c>
      <c r="K1176" s="55" t="s">
        <v>768</v>
      </c>
      <c r="L1176" s="55" t="s">
        <v>2737</v>
      </c>
      <c r="M1176" s="90">
        <v>44.56</v>
      </c>
      <c r="N1176" s="90">
        <v>-123.26</v>
      </c>
      <c r="O1176" s="90">
        <v>59.6</v>
      </c>
      <c r="U1176" s="55" t="s">
        <v>1694</v>
      </c>
      <c r="V1176" s="55" t="s">
        <v>1694</v>
      </c>
      <c r="Y1176" s="55" t="s">
        <v>1927</v>
      </c>
      <c r="Z1176" s="55" t="s">
        <v>1347</v>
      </c>
      <c r="AA1176" s="90" t="s">
        <v>1676</v>
      </c>
      <c r="AE1176" s="90">
        <v>22</v>
      </c>
      <c r="AF1176" s="90">
        <v>52</v>
      </c>
      <c r="AH1176" s="55" t="s">
        <v>6378</v>
      </c>
      <c r="AI1176" s="168">
        <v>5.9</v>
      </c>
      <c r="AJ1176" s="90">
        <v>1.65</v>
      </c>
      <c r="AM1176" s="55" t="s">
        <v>1312</v>
      </c>
      <c r="AN1176" s="185" t="s">
        <v>1542</v>
      </c>
      <c r="AO1176" s="185" t="s">
        <v>5150</v>
      </c>
      <c r="AQ1176" s="55" t="s">
        <v>1546</v>
      </c>
      <c r="AR1176" s="55" t="s">
        <v>777</v>
      </c>
      <c r="AS1176" s="55" t="s">
        <v>1589</v>
      </c>
      <c r="AT1176" s="181" t="s">
        <v>772</v>
      </c>
      <c r="AU1176" s="181" t="s">
        <v>5150</v>
      </c>
      <c r="AV1176" s="185" t="s">
        <v>479</v>
      </c>
      <c r="AW1176" s="55" t="s">
        <v>772</v>
      </c>
      <c r="AX1176" s="185" t="s">
        <v>479</v>
      </c>
      <c r="AY1176" s="55" t="s">
        <v>176</v>
      </c>
      <c r="BK1176" s="55" t="s">
        <v>5976</v>
      </c>
      <c r="BM1176" s="192" t="s">
        <v>119</v>
      </c>
      <c r="BN1176" s="55">
        <v>4</v>
      </c>
      <c r="BO1176" s="55">
        <v>4</v>
      </c>
      <c r="BQ1176" s="55" t="s">
        <v>141</v>
      </c>
      <c r="GP1176" s="292" t="s">
        <v>7494</v>
      </c>
      <c r="HN1176" s="65">
        <v>2.58</v>
      </c>
      <c r="HO1176" s="65">
        <v>2.82</v>
      </c>
      <c r="HR1176" s="65" t="s">
        <v>778</v>
      </c>
      <c r="JU1176" s="55" t="s">
        <v>776</v>
      </c>
    </row>
    <row r="1177" spans="1:281" x14ac:dyDescent="0.25">
      <c r="A1177" s="55">
        <v>1176</v>
      </c>
      <c r="B1177" s="12" t="s">
        <v>7067</v>
      </c>
      <c r="C1177" s="155">
        <v>55</v>
      </c>
      <c r="D1177" s="55" t="s">
        <v>3923</v>
      </c>
      <c r="E1177" s="90" t="s">
        <v>761</v>
      </c>
      <c r="G1177" s="55" t="s">
        <v>762</v>
      </c>
      <c r="H1177" s="55">
        <v>2001</v>
      </c>
      <c r="I1177" s="55">
        <v>1999</v>
      </c>
      <c r="J1177" s="55" t="s">
        <v>767</v>
      </c>
      <c r="K1177" s="55" t="s">
        <v>763</v>
      </c>
      <c r="L1177" s="55" t="s">
        <v>2737</v>
      </c>
      <c r="M1177" s="90">
        <v>45.23</v>
      </c>
      <c r="N1177" s="90">
        <v>-122.756</v>
      </c>
      <c r="O1177" s="90">
        <v>48.4</v>
      </c>
      <c r="U1177" s="55" t="s">
        <v>1818</v>
      </c>
      <c r="V1177" s="55" t="s">
        <v>1818</v>
      </c>
      <c r="Y1177" s="55" t="s">
        <v>1931</v>
      </c>
      <c r="Z1177" s="55" t="s">
        <v>1347</v>
      </c>
      <c r="AA1177" s="90" t="s">
        <v>1676</v>
      </c>
      <c r="AE1177" s="90">
        <v>28</v>
      </c>
      <c r="AF1177" s="90">
        <v>54</v>
      </c>
      <c r="AH1177" s="55" t="s">
        <v>6378</v>
      </c>
      <c r="AI1177" s="168">
        <v>5.4</v>
      </c>
      <c r="AJ1177" s="90">
        <v>1.71</v>
      </c>
      <c r="AM1177" s="55" t="s">
        <v>1312</v>
      </c>
      <c r="AN1177" s="185" t="s">
        <v>764</v>
      </c>
      <c r="AO1177" s="185" t="s">
        <v>5150</v>
      </c>
      <c r="AQ1177" s="55" t="s">
        <v>1545</v>
      </c>
      <c r="AR1177" s="55" t="s">
        <v>777</v>
      </c>
      <c r="AS1177" s="55" t="s">
        <v>1589</v>
      </c>
      <c r="AT1177" s="181" t="s">
        <v>771</v>
      </c>
      <c r="AU1177" s="181" t="s">
        <v>5150</v>
      </c>
      <c r="AV1177" s="185" t="s">
        <v>479</v>
      </c>
      <c r="AW1177" s="55" t="s">
        <v>771</v>
      </c>
      <c r="AX1177" s="185" t="s">
        <v>479</v>
      </c>
      <c r="AY1177" s="55" t="s">
        <v>176</v>
      </c>
      <c r="BK1177" s="55" t="s">
        <v>5976</v>
      </c>
      <c r="BM1177" s="192" t="s">
        <v>119</v>
      </c>
      <c r="BN1177" s="55">
        <v>4</v>
      </c>
      <c r="BO1177" s="55">
        <v>4</v>
      </c>
      <c r="BQ1177" s="55" t="s">
        <v>141</v>
      </c>
      <c r="GP1177" s="292" t="s">
        <v>7494</v>
      </c>
      <c r="HN1177" s="65">
        <v>2.9</v>
      </c>
      <c r="HO1177" s="65">
        <v>2.9</v>
      </c>
      <c r="HR1177" s="65" t="s">
        <v>778</v>
      </c>
      <c r="JU1177" s="55" t="s">
        <v>776</v>
      </c>
    </row>
    <row r="1178" spans="1:281" x14ac:dyDescent="0.25">
      <c r="A1178" s="55">
        <v>1177</v>
      </c>
      <c r="B1178" s="12" t="s">
        <v>7067</v>
      </c>
      <c r="C1178" s="155">
        <v>55</v>
      </c>
      <c r="D1178" s="55" t="s">
        <v>3929</v>
      </c>
      <c r="E1178" s="90" t="s">
        <v>761</v>
      </c>
      <c r="G1178" s="55" t="s">
        <v>762</v>
      </c>
      <c r="H1178" s="55">
        <v>2001</v>
      </c>
      <c r="I1178" s="55">
        <v>1999</v>
      </c>
      <c r="J1178" s="55" t="s">
        <v>767</v>
      </c>
      <c r="K1178" s="55" t="s">
        <v>763</v>
      </c>
      <c r="L1178" s="55" t="s">
        <v>2737</v>
      </c>
      <c r="M1178" s="90">
        <v>45.23</v>
      </c>
      <c r="N1178" s="90">
        <v>-122.756</v>
      </c>
      <c r="O1178" s="90">
        <v>48.4</v>
      </c>
      <c r="U1178" s="55" t="s">
        <v>1818</v>
      </c>
      <c r="V1178" s="55" t="s">
        <v>1818</v>
      </c>
      <c r="Y1178" s="55" t="s">
        <v>1931</v>
      </c>
      <c r="Z1178" s="55" t="s">
        <v>1347</v>
      </c>
      <c r="AA1178" s="90" t="s">
        <v>1676</v>
      </c>
      <c r="AE1178" s="90">
        <v>28</v>
      </c>
      <c r="AF1178" s="90">
        <v>54</v>
      </c>
      <c r="AH1178" s="55" t="s">
        <v>6378</v>
      </c>
      <c r="AI1178" s="168">
        <v>5.4</v>
      </c>
      <c r="AJ1178" s="90">
        <v>1.71</v>
      </c>
      <c r="AM1178" s="55" t="s">
        <v>1312</v>
      </c>
      <c r="AN1178" s="185" t="s">
        <v>1542</v>
      </c>
      <c r="AO1178" s="185" t="s">
        <v>5150</v>
      </c>
      <c r="AQ1178" s="55" t="s">
        <v>1546</v>
      </c>
      <c r="AR1178" s="55" t="s">
        <v>777</v>
      </c>
      <c r="AS1178" s="55" t="s">
        <v>1589</v>
      </c>
      <c r="AT1178" s="181" t="s">
        <v>771</v>
      </c>
      <c r="AU1178" s="181" t="s">
        <v>5150</v>
      </c>
      <c r="AV1178" s="185" t="s">
        <v>479</v>
      </c>
      <c r="AW1178" s="55" t="s">
        <v>771</v>
      </c>
      <c r="AX1178" s="185" t="s">
        <v>479</v>
      </c>
      <c r="AY1178" s="55" t="s">
        <v>176</v>
      </c>
      <c r="BK1178" s="55" t="s">
        <v>5976</v>
      </c>
      <c r="BM1178" s="192" t="s">
        <v>119</v>
      </c>
      <c r="BN1178" s="55">
        <v>4</v>
      </c>
      <c r="BO1178" s="55">
        <v>4</v>
      </c>
      <c r="BQ1178" s="55" t="s">
        <v>141</v>
      </c>
      <c r="GP1178" s="292" t="s">
        <v>7494</v>
      </c>
      <c r="HN1178" s="65">
        <v>2.9</v>
      </c>
      <c r="HO1178" s="65">
        <v>2.92</v>
      </c>
      <c r="HR1178" s="65" t="s">
        <v>778</v>
      </c>
      <c r="JU1178" s="55" t="s">
        <v>776</v>
      </c>
    </row>
    <row r="1179" spans="1:281" x14ac:dyDescent="0.25">
      <c r="A1179" s="55">
        <v>1178</v>
      </c>
      <c r="B1179" s="12" t="s">
        <v>7067</v>
      </c>
      <c r="C1179" s="155">
        <v>55</v>
      </c>
      <c r="D1179" s="55" t="s">
        <v>3925</v>
      </c>
      <c r="E1179" s="90" t="s">
        <v>761</v>
      </c>
      <c r="G1179" s="55" t="s">
        <v>762</v>
      </c>
      <c r="H1179" s="55">
        <v>2001</v>
      </c>
      <c r="I1179" s="55">
        <v>1999</v>
      </c>
      <c r="J1179" s="55" t="s">
        <v>767</v>
      </c>
      <c r="K1179" s="55" t="s">
        <v>768</v>
      </c>
      <c r="L1179" s="55" t="s">
        <v>2737</v>
      </c>
      <c r="M1179" s="90">
        <v>44.56</v>
      </c>
      <c r="N1179" s="90">
        <v>-123.26</v>
      </c>
      <c r="O1179" s="90">
        <v>59.6</v>
      </c>
      <c r="U1179" s="55" t="s">
        <v>1694</v>
      </c>
      <c r="V1179" s="55" t="s">
        <v>1694</v>
      </c>
      <c r="Y1179" s="55" t="s">
        <v>1927</v>
      </c>
      <c r="Z1179" s="55" t="s">
        <v>1347</v>
      </c>
      <c r="AA1179" s="90" t="s">
        <v>1676</v>
      </c>
      <c r="AE1179" s="90">
        <v>22</v>
      </c>
      <c r="AF1179" s="90">
        <v>52</v>
      </c>
      <c r="AH1179" s="55" t="s">
        <v>6378</v>
      </c>
      <c r="AI1179" s="168">
        <v>5.9</v>
      </c>
      <c r="AJ1179" s="90">
        <v>1.65</v>
      </c>
      <c r="AM1179" s="55" t="s">
        <v>1312</v>
      </c>
      <c r="AN1179" s="185" t="s">
        <v>1542</v>
      </c>
      <c r="AO1179" s="185" t="s">
        <v>5150</v>
      </c>
      <c r="AQ1179" s="55" t="s">
        <v>1546</v>
      </c>
      <c r="AR1179" s="55" t="s">
        <v>777</v>
      </c>
      <c r="AS1179" s="55" t="s">
        <v>1589</v>
      </c>
      <c r="AT1179" s="181" t="s">
        <v>772</v>
      </c>
      <c r="AU1179" s="181" t="s">
        <v>5150</v>
      </c>
      <c r="AV1179" s="185" t="s">
        <v>479</v>
      </c>
      <c r="AW1179" s="55" t="s">
        <v>772</v>
      </c>
      <c r="AX1179" s="185" t="s">
        <v>479</v>
      </c>
      <c r="AY1179" s="55" t="s">
        <v>176</v>
      </c>
      <c r="BK1179" s="55" t="s">
        <v>5976</v>
      </c>
      <c r="BM1179" s="192" t="s">
        <v>119</v>
      </c>
      <c r="BN1179" s="55">
        <v>4</v>
      </c>
      <c r="BO1179" s="55">
        <v>4</v>
      </c>
      <c r="BQ1179" s="55" t="s">
        <v>141</v>
      </c>
      <c r="GP1179" s="292" t="s">
        <v>7494</v>
      </c>
      <c r="HN1179" s="65">
        <v>2.97</v>
      </c>
      <c r="HO1179" s="65">
        <v>3</v>
      </c>
      <c r="HR1179" s="65" t="s">
        <v>778</v>
      </c>
      <c r="JU1179" s="55" t="s">
        <v>776</v>
      </c>
    </row>
    <row r="1180" spans="1:281" x14ac:dyDescent="0.25">
      <c r="A1180" s="55">
        <v>1179</v>
      </c>
      <c r="B1180" s="12" t="s">
        <v>7067</v>
      </c>
      <c r="C1180" s="155">
        <v>55</v>
      </c>
      <c r="D1180" s="55" t="s">
        <v>3923</v>
      </c>
      <c r="E1180" s="90" t="s">
        <v>761</v>
      </c>
      <c r="G1180" s="55" t="s">
        <v>762</v>
      </c>
      <c r="H1180" s="55">
        <v>2001</v>
      </c>
      <c r="I1180" s="55">
        <v>1998</v>
      </c>
      <c r="J1180" s="55" t="s">
        <v>767</v>
      </c>
      <c r="K1180" s="55" t="s">
        <v>763</v>
      </c>
      <c r="L1180" s="55" t="s">
        <v>2737</v>
      </c>
      <c r="M1180" s="90">
        <v>45.23</v>
      </c>
      <c r="N1180" s="90">
        <v>-122.756</v>
      </c>
      <c r="O1180" s="90">
        <v>48.4</v>
      </c>
      <c r="U1180" s="55" t="s">
        <v>1679</v>
      </c>
      <c r="V1180" s="55" t="s">
        <v>1818</v>
      </c>
      <c r="Y1180" s="55" t="s">
        <v>1932</v>
      </c>
      <c r="Z1180" s="55" t="s">
        <v>1347</v>
      </c>
      <c r="AA1180" s="90" t="s">
        <v>1676</v>
      </c>
      <c r="AE1180" s="90">
        <v>28</v>
      </c>
      <c r="AF1180" s="90">
        <v>54</v>
      </c>
      <c r="AH1180" s="55" t="s">
        <v>6378</v>
      </c>
      <c r="AI1180" s="168">
        <v>5.4</v>
      </c>
      <c r="AJ1180" s="90">
        <v>1.71</v>
      </c>
      <c r="AM1180" s="55" t="s">
        <v>1312</v>
      </c>
      <c r="AN1180" s="185" t="s">
        <v>764</v>
      </c>
      <c r="AO1180" s="185" t="s">
        <v>5150</v>
      </c>
      <c r="AQ1180" s="55" t="s">
        <v>1545</v>
      </c>
      <c r="AR1180" s="55" t="s">
        <v>770</v>
      </c>
      <c r="AS1180" s="55" t="s">
        <v>1589</v>
      </c>
      <c r="AT1180" s="181" t="s">
        <v>771</v>
      </c>
      <c r="AU1180" s="181" t="s">
        <v>5150</v>
      </c>
      <c r="AV1180" s="185" t="s">
        <v>479</v>
      </c>
      <c r="AW1180" s="55" t="s">
        <v>771</v>
      </c>
      <c r="AX1180" s="185" t="s">
        <v>479</v>
      </c>
      <c r="AY1180" s="55" t="s">
        <v>176</v>
      </c>
      <c r="BK1180" s="55" t="s">
        <v>5976</v>
      </c>
      <c r="BM1180" s="192" t="s">
        <v>119</v>
      </c>
      <c r="BN1180" s="55">
        <v>4</v>
      </c>
      <c r="BO1180" s="55">
        <v>4</v>
      </c>
      <c r="BQ1180" s="55" t="s">
        <v>141</v>
      </c>
      <c r="GP1180" s="292" t="s">
        <v>7494</v>
      </c>
      <c r="HN1180" s="65">
        <v>2.95</v>
      </c>
      <c r="HO1180" s="65">
        <v>2.83</v>
      </c>
      <c r="HR1180" s="65" t="s">
        <v>778</v>
      </c>
      <c r="JU1180" s="55" t="s">
        <v>776</v>
      </c>
    </row>
    <row r="1181" spans="1:281" x14ac:dyDescent="0.25">
      <c r="A1181" s="55">
        <v>1180</v>
      </c>
      <c r="B1181" s="12" t="s">
        <v>7067</v>
      </c>
      <c r="C1181" s="155">
        <v>55</v>
      </c>
      <c r="D1181" s="55" t="s">
        <v>3929</v>
      </c>
      <c r="E1181" s="90" t="s">
        <v>761</v>
      </c>
      <c r="G1181" s="55" t="s">
        <v>762</v>
      </c>
      <c r="H1181" s="55">
        <v>2001</v>
      </c>
      <c r="I1181" s="55">
        <v>1998</v>
      </c>
      <c r="J1181" s="55" t="s">
        <v>767</v>
      </c>
      <c r="K1181" s="55" t="s">
        <v>763</v>
      </c>
      <c r="L1181" s="55" t="s">
        <v>2737</v>
      </c>
      <c r="M1181" s="90">
        <v>45.23</v>
      </c>
      <c r="N1181" s="90">
        <v>-122.756</v>
      </c>
      <c r="O1181" s="90">
        <v>48.4</v>
      </c>
      <c r="U1181" s="55" t="s">
        <v>1679</v>
      </c>
      <c r="V1181" s="55" t="s">
        <v>1818</v>
      </c>
      <c r="Y1181" s="55" t="s">
        <v>1932</v>
      </c>
      <c r="Z1181" s="55" t="s">
        <v>1347</v>
      </c>
      <c r="AA1181" s="90" t="s">
        <v>1676</v>
      </c>
      <c r="AE1181" s="90">
        <v>28</v>
      </c>
      <c r="AF1181" s="90">
        <v>54</v>
      </c>
      <c r="AH1181" s="55" t="s">
        <v>6378</v>
      </c>
      <c r="AI1181" s="168">
        <v>5.4</v>
      </c>
      <c r="AJ1181" s="90">
        <v>1.71</v>
      </c>
      <c r="AM1181" s="55" t="s">
        <v>1312</v>
      </c>
      <c r="AN1181" s="185" t="s">
        <v>1542</v>
      </c>
      <c r="AO1181" s="185" t="s">
        <v>5150</v>
      </c>
      <c r="AQ1181" s="55" t="s">
        <v>1546</v>
      </c>
      <c r="AR1181" s="55" t="s">
        <v>770</v>
      </c>
      <c r="AS1181" s="55" t="s">
        <v>1589</v>
      </c>
      <c r="AT1181" s="181" t="s">
        <v>771</v>
      </c>
      <c r="AU1181" s="181" t="s">
        <v>5150</v>
      </c>
      <c r="AV1181" s="185" t="s">
        <v>479</v>
      </c>
      <c r="AW1181" s="55" t="s">
        <v>771</v>
      </c>
      <c r="AX1181" s="185" t="s">
        <v>479</v>
      </c>
      <c r="AY1181" s="55" t="s">
        <v>176</v>
      </c>
      <c r="BK1181" s="55" t="s">
        <v>5976</v>
      </c>
      <c r="BM1181" s="192" t="s">
        <v>119</v>
      </c>
      <c r="BN1181" s="55">
        <v>4</v>
      </c>
      <c r="BO1181" s="55">
        <v>4</v>
      </c>
      <c r="BQ1181" s="55" t="s">
        <v>141</v>
      </c>
      <c r="GP1181" s="292" t="s">
        <v>7494</v>
      </c>
      <c r="HN1181" s="65">
        <v>2.95</v>
      </c>
      <c r="HO1181" s="65">
        <v>2.89</v>
      </c>
      <c r="HR1181" s="65" t="s">
        <v>778</v>
      </c>
      <c r="JU1181" s="55" t="s">
        <v>776</v>
      </c>
    </row>
    <row r="1182" spans="1:281" x14ac:dyDescent="0.25">
      <c r="A1182" s="55">
        <v>1181</v>
      </c>
      <c r="B1182" s="12" t="s">
        <v>7067</v>
      </c>
      <c r="C1182" s="155">
        <v>55</v>
      </c>
      <c r="D1182" s="55" t="s">
        <v>3925</v>
      </c>
      <c r="E1182" s="90" t="s">
        <v>761</v>
      </c>
      <c r="G1182" s="55" t="s">
        <v>762</v>
      </c>
      <c r="H1182" s="55">
        <v>2001</v>
      </c>
      <c r="I1182" s="55">
        <v>1998</v>
      </c>
      <c r="J1182" s="55" t="s">
        <v>767</v>
      </c>
      <c r="K1182" s="55" t="s">
        <v>768</v>
      </c>
      <c r="L1182" s="55" t="s">
        <v>2737</v>
      </c>
      <c r="M1182" s="90">
        <v>44.56</v>
      </c>
      <c r="N1182" s="90">
        <v>-123.26</v>
      </c>
      <c r="O1182" s="90">
        <v>59.6</v>
      </c>
      <c r="U1182" s="55" t="s">
        <v>1694</v>
      </c>
      <c r="V1182" s="55" t="s">
        <v>1694</v>
      </c>
      <c r="Y1182" s="55" t="s">
        <v>1928</v>
      </c>
      <c r="Z1182" s="55" t="s">
        <v>1347</v>
      </c>
      <c r="AA1182" s="90" t="s">
        <v>1676</v>
      </c>
      <c r="AE1182" s="90">
        <v>22</v>
      </c>
      <c r="AF1182" s="90">
        <v>52</v>
      </c>
      <c r="AH1182" s="55" t="s">
        <v>6378</v>
      </c>
      <c r="AI1182" s="168">
        <v>5.9</v>
      </c>
      <c r="AJ1182" s="90">
        <v>1.65</v>
      </c>
      <c r="AM1182" s="55" t="s">
        <v>1312</v>
      </c>
      <c r="AN1182" s="185" t="s">
        <v>1542</v>
      </c>
      <c r="AO1182" s="185" t="s">
        <v>5150</v>
      </c>
      <c r="AQ1182" s="55" t="s">
        <v>1546</v>
      </c>
      <c r="AR1182" s="55" t="s">
        <v>777</v>
      </c>
      <c r="AS1182" s="55" t="s">
        <v>1589</v>
      </c>
      <c r="AT1182" s="181" t="s">
        <v>772</v>
      </c>
      <c r="AU1182" s="181" t="s">
        <v>5150</v>
      </c>
      <c r="AV1182" s="185" t="s">
        <v>479</v>
      </c>
      <c r="AW1182" s="55" t="s">
        <v>772</v>
      </c>
      <c r="AX1182" s="185" t="s">
        <v>479</v>
      </c>
      <c r="AY1182" s="55" t="s">
        <v>176</v>
      </c>
      <c r="BK1182" s="55" t="s">
        <v>5976</v>
      </c>
      <c r="BM1182" s="192" t="s">
        <v>119</v>
      </c>
      <c r="BN1182" s="55">
        <v>4</v>
      </c>
      <c r="BO1182" s="55">
        <v>4</v>
      </c>
      <c r="BQ1182" s="55" t="s">
        <v>141</v>
      </c>
      <c r="GP1182" s="292" t="s">
        <v>7494</v>
      </c>
      <c r="HN1182" s="65">
        <v>2.7</v>
      </c>
      <c r="HO1182" s="65">
        <v>2.84</v>
      </c>
      <c r="HR1182" s="65" t="s">
        <v>778</v>
      </c>
      <c r="JU1182" s="55" t="s">
        <v>776</v>
      </c>
    </row>
    <row r="1183" spans="1:281" x14ac:dyDescent="0.25">
      <c r="A1183" s="55">
        <v>1182</v>
      </c>
      <c r="B1183" s="12" t="s">
        <v>7067</v>
      </c>
      <c r="C1183" s="155">
        <v>55</v>
      </c>
      <c r="D1183" s="55" t="s">
        <v>3923</v>
      </c>
      <c r="E1183" s="90" t="s">
        <v>761</v>
      </c>
      <c r="G1183" s="55" t="s">
        <v>762</v>
      </c>
      <c r="H1183" s="55">
        <v>2001</v>
      </c>
      <c r="I1183" s="55">
        <v>1999</v>
      </c>
      <c r="J1183" s="55" t="s">
        <v>767</v>
      </c>
      <c r="K1183" s="55" t="s">
        <v>763</v>
      </c>
      <c r="L1183" s="55" t="s">
        <v>2737</v>
      </c>
      <c r="M1183" s="90">
        <v>45.23</v>
      </c>
      <c r="N1183" s="90">
        <v>-122.756</v>
      </c>
      <c r="O1183" s="90">
        <v>48.4</v>
      </c>
      <c r="U1183" s="55" t="s">
        <v>1818</v>
      </c>
      <c r="V1183" s="55" t="s">
        <v>1818</v>
      </c>
      <c r="Y1183" s="55" t="s">
        <v>1932</v>
      </c>
      <c r="Z1183" s="55" t="s">
        <v>1347</v>
      </c>
      <c r="AA1183" s="90" t="s">
        <v>1676</v>
      </c>
      <c r="AE1183" s="90">
        <v>28</v>
      </c>
      <c r="AF1183" s="90">
        <v>54</v>
      </c>
      <c r="AH1183" s="55" t="s">
        <v>6378</v>
      </c>
      <c r="AI1183" s="168">
        <v>5.4</v>
      </c>
      <c r="AJ1183" s="90">
        <v>1.71</v>
      </c>
      <c r="AM1183" s="55" t="s">
        <v>1312</v>
      </c>
      <c r="AN1183" s="185" t="s">
        <v>764</v>
      </c>
      <c r="AO1183" s="185" t="s">
        <v>5150</v>
      </c>
      <c r="AQ1183" s="55" t="s">
        <v>1545</v>
      </c>
      <c r="AR1183" s="55" t="s">
        <v>777</v>
      </c>
      <c r="AS1183" s="55" t="s">
        <v>1589</v>
      </c>
      <c r="AT1183" s="181" t="s">
        <v>771</v>
      </c>
      <c r="AU1183" s="181" t="s">
        <v>5150</v>
      </c>
      <c r="AV1183" s="185" t="s">
        <v>479</v>
      </c>
      <c r="AW1183" s="55" t="s">
        <v>771</v>
      </c>
      <c r="AX1183" s="185" t="s">
        <v>479</v>
      </c>
      <c r="AY1183" s="55" t="s">
        <v>176</v>
      </c>
      <c r="BK1183" s="55" t="s">
        <v>5976</v>
      </c>
      <c r="BM1183" s="192" t="s">
        <v>119</v>
      </c>
      <c r="BN1183" s="55">
        <v>4</v>
      </c>
      <c r="BO1183" s="55">
        <v>4</v>
      </c>
      <c r="BQ1183" s="55" t="s">
        <v>141</v>
      </c>
      <c r="GP1183" s="292" t="s">
        <v>7494</v>
      </c>
      <c r="HN1183" s="65">
        <v>2.78</v>
      </c>
      <c r="HO1183" s="65">
        <v>2.75</v>
      </c>
      <c r="HR1183" s="65" t="s">
        <v>778</v>
      </c>
      <c r="JU1183" s="55" t="s">
        <v>776</v>
      </c>
    </row>
    <row r="1184" spans="1:281" x14ac:dyDescent="0.25">
      <c r="A1184" s="55">
        <v>1183</v>
      </c>
      <c r="B1184" s="12" t="s">
        <v>7067</v>
      </c>
      <c r="C1184" s="155">
        <v>55</v>
      </c>
      <c r="D1184" s="55" t="s">
        <v>3929</v>
      </c>
      <c r="E1184" s="90" t="s">
        <v>761</v>
      </c>
      <c r="G1184" s="55" t="s">
        <v>762</v>
      </c>
      <c r="H1184" s="55">
        <v>2001</v>
      </c>
      <c r="I1184" s="55">
        <v>1999</v>
      </c>
      <c r="J1184" s="55" t="s">
        <v>767</v>
      </c>
      <c r="K1184" s="55" t="s">
        <v>763</v>
      </c>
      <c r="L1184" s="55" t="s">
        <v>2737</v>
      </c>
      <c r="M1184" s="90">
        <v>45.23</v>
      </c>
      <c r="N1184" s="90">
        <v>-122.756</v>
      </c>
      <c r="O1184" s="90">
        <v>48.4</v>
      </c>
      <c r="U1184" s="55" t="s">
        <v>1818</v>
      </c>
      <c r="V1184" s="55" t="s">
        <v>1818</v>
      </c>
      <c r="Y1184" s="55" t="s">
        <v>1932</v>
      </c>
      <c r="Z1184" s="55" t="s">
        <v>1347</v>
      </c>
      <c r="AA1184" s="90" t="s">
        <v>1676</v>
      </c>
      <c r="AE1184" s="90">
        <v>28</v>
      </c>
      <c r="AF1184" s="90">
        <v>54</v>
      </c>
      <c r="AH1184" s="55" t="s">
        <v>6378</v>
      </c>
      <c r="AI1184" s="168">
        <v>5.4</v>
      </c>
      <c r="AJ1184" s="90">
        <v>1.71</v>
      </c>
      <c r="AM1184" s="55" t="s">
        <v>1312</v>
      </c>
      <c r="AN1184" s="185" t="s">
        <v>1542</v>
      </c>
      <c r="AO1184" s="185" t="s">
        <v>5150</v>
      </c>
      <c r="AQ1184" s="55" t="s">
        <v>1546</v>
      </c>
      <c r="AR1184" s="55" t="s">
        <v>777</v>
      </c>
      <c r="AS1184" s="55" t="s">
        <v>1589</v>
      </c>
      <c r="AT1184" s="181" t="s">
        <v>771</v>
      </c>
      <c r="AU1184" s="181" t="s">
        <v>5150</v>
      </c>
      <c r="AV1184" s="185" t="s">
        <v>479</v>
      </c>
      <c r="AW1184" s="55" t="s">
        <v>771</v>
      </c>
      <c r="AX1184" s="185" t="s">
        <v>479</v>
      </c>
      <c r="AY1184" s="55" t="s">
        <v>176</v>
      </c>
      <c r="BK1184" s="55" t="s">
        <v>5976</v>
      </c>
      <c r="BM1184" s="192" t="s">
        <v>119</v>
      </c>
      <c r="BN1184" s="55">
        <v>4</v>
      </c>
      <c r="BO1184" s="55">
        <v>4</v>
      </c>
      <c r="BQ1184" s="55" t="s">
        <v>141</v>
      </c>
      <c r="GP1184" s="292" t="s">
        <v>7494</v>
      </c>
      <c r="HN1184" s="65">
        <v>2.78</v>
      </c>
      <c r="HO1184" s="65">
        <v>2.76</v>
      </c>
      <c r="HR1184" s="65" t="s">
        <v>778</v>
      </c>
      <c r="JU1184" s="55" t="s">
        <v>776</v>
      </c>
    </row>
    <row r="1185" spans="1:283" x14ac:dyDescent="0.25">
      <c r="A1185" s="55">
        <v>1184</v>
      </c>
      <c r="B1185" s="12" t="s">
        <v>7067</v>
      </c>
      <c r="C1185" s="155">
        <v>55</v>
      </c>
      <c r="D1185" s="55" t="s">
        <v>3925</v>
      </c>
      <c r="E1185" s="90" t="s">
        <v>761</v>
      </c>
      <c r="G1185" s="55" t="s">
        <v>762</v>
      </c>
      <c r="H1185" s="55">
        <v>2001</v>
      </c>
      <c r="I1185" s="55">
        <v>1999</v>
      </c>
      <c r="J1185" s="55" t="s">
        <v>767</v>
      </c>
      <c r="K1185" s="55" t="s">
        <v>768</v>
      </c>
      <c r="L1185" s="55" t="s">
        <v>2737</v>
      </c>
      <c r="M1185" s="90">
        <v>44.56</v>
      </c>
      <c r="N1185" s="90">
        <v>-123.26</v>
      </c>
      <c r="O1185" s="90">
        <v>59.6</v>
      </c>
      <c r="U1185" s="55" t="s">
        <v>1694</v>
      </c>
      <c r="V1185" s="55" t="s">
        <v>1694</v>
      </c>
      <c r="Y1185" s="55" t="s">
        <v>1928</v>
      </c>
      <c r="Z1185" s="55" t="s">
        <v>1347</v>
      </c>
      <c r="AA1185" s="90" t="s">
        <v>1676</v>
      </c>
      <c r="AE1185" s="90">
        <v>22</v>
      </c>
      <c r="AF1185" s="90">
        <v>52</v>
      </c>
      <c r="AH1185" s="55" t="s">
        <v>6378</v>
      </c>
      <c r="AI1185" s="168">
        <v>5.9</v>
      </c>
      <c r="AJ1185" s="90">
        <v>1.65</v>
      </c>
      <c r="AM1185" s="55" t="s">
        <v>1312</v>
      </c>
      <c r="AN1185" s="185" t="s">
        <v>1542</v>
      </c>
      <c r="AO1185" s="185" t="s">
        <v>5150</v>
      </c>
      <c r="AQ1185" s="55" t="s">
        <v>1546</v>
      </c>
      <c r="AR1185" s="55" t="s">
        <v>777</v>
      </c>
      <c r="AS1185" s="55" t="s">
        <v>1589</v>
      </c>
      <c r="AT1185" s="181" t="s">
        <v>772</v>
      </c>
      <c r="AU1185" s="181" t="s">
        <v>5150</v>
      </c>
      <c r="AV1185" s="185" t="s">
        <v>479</v>
      </c>
      <c r="AW1185" s="55" t="s">
        <v>772</v>
      </c>
      <c r="AX1185" s="185" t="s">
        <v>479</v>
      </c>
      <c r="AY1185" s="55" t="s">
        <v>176</v>
      </c>
      <c r="BK1185" s="55" t="s">
        <v>5976</v>
      </c>
      <c r="BM1185" s="192" t="s">
        <v>119</v>
      </c>
      <c r="BN1185" s="55">
        <v>4</v>
      </c>
      <c r="BO1185" s="55">
        <v>4</v>
      </c>
      <c r="BQ1185" s="55" t="s">
        <v>141</v>
      </c>
      <c r="GP1185" s="292" t="s">
        <v>7494</v>
      </c>
      <c r="HN1185" s="65">
        <v>2.72</v>
      </c>
      <c r="HO1185" s="65">
        <v>2.84</v>
      </c>
      <c r="HR1185" s="65" t="s">
        <v>778</v>
      </c>
      <c r="JU1185" s="55" t="s">
        <v>776</v>
      </c>
    </row>
    <row r="1186" spans="1:283" x14ac:dyDescent="0.25">
      <c r="A1186" s="55">
        <v>1185</v>
      </c>
      <c r="B1186" s="12" t="s">
        <v>7067</v>
      </c>
      <c r="C1186" s="155">
        <v>56</v>
      </c>
      <c r="D1186" s="55" t="s">
        <v>3930</v>
      </c>
      <c r="E1186" s="90" t="s">
        <v>761</v>
      </c>
      <c r="G1186" s="55" t="s">
        <v>762</v>
      </c>
      <c r="H1186" s="55">
        <v>2002</v>
      </c>
      <c r="I1186" s="55">
        <v>1998</v>
      </c>
      <c r="J1186" s="55" t="s">
        <v>397</v>
      </c>
      <c r="K1186" s="55" t="s">
        <v>768</v>
      </c>
      <c r="L1186" s="55" t="s">
        <v>2737</v>
      </c>
      <c r="M1186" s="90">
        <v>44.56</v>
      </c>
      <c r="N1186" s="90">
        <v>-123.26</v>
      </c>
      <c r="O1186" s="90">
        <v>59.6</v>
      </c>
      <c r="U1186" s="55" t="s">
        <v>1801</v>
      </c>
      <c r="V1186" s="55" t="s">
        <v>1694</v>
      </c>
      <c r="Y1186" s="55" t="s">
        <v>1936</v>
      </c>
      <c r="Z1186" s="55" t="s">
        <v>1347</v>
      </c>
      <c r="AA1186" s="90" t="s">
        <v>1676</v>
      </c>
      <c r="AE1186" s="90">
        <v>22</v>
      </c>
      <c r="AF1186" s="90">
        <v>52</v>
      </c>
      <c r="AH1186" s="55" t="s">
        <v>6378</v>
      </c>
      <c r="AI1186" s="168">
        <v>5.9</v>
      </c>
      <c r="AJ1186" s="90">
        <v>1.65</v>
      </c>
      <c r="AM1186" s="55" t="s">
        <v>1312</v>
      </c>
      <c r="AN1186" s="185" t="s">
        <v>1542</v>
      </c>
      <c r="AO1186" s="185" t="s">
        <v>5150</v>
      </c>
      <c r="AQ1186" s="55" t="s">
        <v>1546</v>
      </c>
      <c r="AR1186" s="55" t="s">
        <v>777</v>
      </c>
      <c r="AS1186" s="55" t="s">
        <v>1577</v>
      </c>
      <c r="AT1186" s="181" t="s">
        <v>772</v>
      </c>
      <c r="AU1186" s="181" t="s">
        <v>5150</v>
      </c>
      <c r="AV1186" s="185" t="s">
        <v>479</v>
      </c>
      <c r="AW1186" s="55" t="s">
        <v>772</v>
      </c>
      <c r="AX1186" s="185" t="s">
        <v>479</v>
      </c>
      <c r="AY1186" s="55" t="s">
        <v>176</v>
      </c>
      <c r="BK1186" s="55" t="s">
        <v>5976</v>
      </c>
      <c r="BM1186" s="192" t="s">
        <v>119</v>
      </c>
      <c r="BN1186" s="55">
        <v>4</v>
      </c>
      <c r="BO1186" s="55">
        <v>4</v>
      </c>
      <c r="BQ1186" s="55" t="s">
        <v>141</v>
      </c>
      <c r="GP1186" s="292" t="s">
        <v>7494</v>
      </c>
      <c r="IC1186" s="65">
        <f>29.8/7</f>
        <v>4.2571428571428571</v>
      </c>
      <c r="ID1186" s="65">
        <f>31.6/7</f>
        <v>4.5142857142857142</v>
      </c>
      <c r="IR1186" s="65">
        <f>5.72</f>
        <v>5.72</v>
      </c>
      <c r="IS1186" s="65">
        <v>7.31</v>
      </c>
      <c r="IV1186" s="65" t="s">
        <v>780</v>
      </c>
      <c r="JG1186" s="65">
        <v>231</v>
      </c>
      <c r="JH1186" s="65">
        <v>253</v>
      </c>
      <c r="JK1186" s="65" t="s">
        <v>779</v>
      </c>
    </row>
    <row r="1187" spans="1:283" x14ac:dyDescent="0.25">
      <c r="A1187" s="55">
        <v>1186</v>
      </c>
      <c r="B1187" s="12" t="s">
        <v>7067</v>
      </c>
      <c r="C1187" s="155">
        <v>56</v>
      </c>
      <c r="D1187" s="55" t="s">
        <v>3930</v>
      </c>
      <c r="E1187" s="90" t="s">
        <v>761</v>
      </c>
      <c r="G1187" s="55" t="s">
        <v>762</v>
      </c>
      <c r="H1187" s="55">
        <v>2002</v>
      </c>
      <c r="I1187" s="55">
        <v>1998</v>
      </c>
      <c r="J1187" s="55" t="s">
        <v>397</v>
      </c>
      <c r="K1187" s="55" t="s">
        <v>768</v>
      </c>
      <c r="L1187" s="55" t="s">
        <v>2737</v>
      </c>
      <c r="M1187" s="90">
        <v>44.56</v>
      </c>
      <c r="N1187" s="90">
        <v>-123.26</v>
      </c>
      <c r="O1187" s="90">
        <v>59.6</v>
      </c>
      <c r="U1187" s="55" t="s">
        <v>1801</v>
      </c>
      <c r="V1187" s="55" t="s">
        <v>1694</v>
      </c>
      <c r="Y1187" s="55" t="s">
        <v>1937</v>
      </c>
      <c r="Z1187" s="55" t="s">
        <v>1347</v>
      </c>
      <c r="AA1187" s="90" t="s">
        <v>1676</v>
      </c>
      <c r="AE1187" s="90">
        <v>22</v>
      </c>
      <c r="AF1187" s="90">
        <v>52</v>
      </c>
      <c r="AH1187" s="55" t="s">
        <v>6378</v>
      </c>
      <c r="AI1187" s="168">
        <v>5.9</v>
      </c>
      <c r="AJ1187" s="90">
        <v>1.65</v>
      </c>
      <c r="AM1187" s="55" t="s">
        <v>1312</v>
      </c>
      <c r="AN1187" s="185" t="s">
        <v>1542</v>
      </c>
      <c r="AO1187" s="185" t="s">
        <v>5150</v>
      </c>
      <c r="AQ1187" s="55" t="s">
        <v>1546</v>
      </c>
      <c r="AR1187" s="55" t="s">
        <v>777</v>
      </c>
      <c r="AS1187" s="55" t="s">
        <v>1577</v>
      </c>
      <c r="AT1187" s="181" t="s">
        <v>772</v>
      </c>
      <c r="AU1187" s="181" t="s">
        <v>5150</v>
      </c>
      <c r="AV1187" s="185" t="s">
        <v>479</v>
      </c>
      <c r="AW1187" s="55" t="s">
        <v>772</v>
      </c>
      <c r="AX1187" s="185" t="s">
        <v>479</v>
      </c>
      <c r="AY1187" s="55" t="s">
        <v>176</v>
      </c>
      <c r="BK1187" s="55" t="s">
        <v>5976</v>
      </c>
      <c r="BM1187" s="192" t="s">
        <v>119</v>
      </c>
      <c r="BN1187" s="55">
        <v>4</v>
      </c>
      <c r="BO1187" s="55">
        <v>4</v>
      </c>
      <c r="BQ1187" s="55" t="s">
        <v>141</v>
      </c>
      <c r="GP1187" s="292" t="s">
        <v>7494</v>
      </c>
      <c r="IC1187" s="65">
        <f>15.2/7</f>
        <v>2.1714285714285713</v>
      </c>
      <c r="ID1187" s="65">
        <f>31.4/7</f>
        <v>4.4857142857142858</v>
      </c>
      <c r="IR1187" s="65">
        <v>3.37</v>
      </c>
      <c r="IS1187" s="65">
        <v>5.31</v>
      </c>
      <c r="IV1187" s="65" t="s">
        <v>780</v>
      </c>
      <c r="JG1187" s="65">
        <v>133</v>
      </c>
      <c r="JH1187" s="65">
        <v>222</v>
      </c>
      <c r="JK1187" s="65" t="s">
        <v>779</v>
      </c>
    </row>
    <row r="1188" spans="1:283" x14ac:dyDescent="0.25">
      <c r="A1188" s="55">
        <v>1187</v>
      </c>
      <c r="B1188" s="12" t="s">
        <v>7067</v>
      </c>
      <c r="C1188" s="155">
        <v>56</v>
      </c>
      <c r="D1188" s="55" t="s">
        <v>3930</v>
      </c>
      <c r="E1188" s="90" t="s">
        <v>761</v>
      </c>
      <c r="G1188" s="55" t="s">
        <v>762</v>
      </c>
      <c r="H1188" s="55">
        <v>2002</v>
      </c>
      <c r="I1188" s="55">
        <v>1998</v>
      </c>
      <c r="J1188" s="55" t="s">
        <v>397</v>
      </c>
      <c r="K1188" s="55" t="s">
        <v>768</v>
      </c>
      <c r="L1188" s="55" t="s">
        <v>2737</v>
      </c>
      <c r="M1188" s="90">
        <v>44.56</v>
      </c>
      <c r="N1188" s="90">
        <v>-123.26</v>
      </c>
      <c r="O1188" s="90">
        <v>59.6</v>
      </c>
      <c r="U1188" s="55" t="s">
        <v>1801</v>
      </c>
      <c r="V1188" s="55" t="s">
        <v>1694</v>
      </c>
      <c r="Y1188" s="55" t="s">
        <v>1938</v>
      </c>
      <c r="Z1188" s="55" t="s">
        <v>1347</v>
      </c>
      <c r="AA1188" s="90" t="s">
        <v>1676</v>
      </c>
      <c r="AE1188" s="90">
        <v>22</v>
      </c>
      <c r="AF1188" s="90">
        <v>52</v>
      </c>
      <c r="AH1188" s="55" t="s">
        <v>6378</v>
      </c>
      <c r="AI1188" s="168">
        <v>5.9</v>
      </c>
      <c r="AJ1188" s="90">
        <v>1.65</v>
      </c>
      <c r="AM1188" s="55" t="s">
        <v>1312</v>
      </c>
      <c r="AN1188" s="185" t="s">
        <v>1542</v>
      </c>
      <c r="AO1188" s="185" t="s">
        <v>5150</v>
      </c>
      <c r="AQ1188" s="55" t="s">
        <v>1546</v>
      </c>
      <c r="AR1188" s="55" t="s">
        <v>777</v>
      </c>
      <c r="AS1188" s="55" t="s">
        <v>1577</v>
      </c>
      <c r="AT1188" s="181" t="s">
        <v>772</v>
      </c>
      <c r="AU1188" s="181" t="s">
        <v>5150</v>
      </c>
      <c r="AV1188" s="185" t="s">
        <v>479</v>
      </c>
      <c r="AW1188" s="55" t="s">
        <v>772</v>
      </c>
      <c r="AX1188" s="185" t="s">
        <v>479</v>
      </c>
      <c r="AY1188" s="55" t="s">
        <v>176</v>
      </c>
      <c r="BK1188" s="55" t="s">
        <v>5976</v>
      </c>
      <c r="BM1188" s="192" t="s">
        <v>119</v>
      </c>
      <c r="BN1188" s="55">
        <v>4</v>
      </c>
      <c r="BO1188" s="55">
        <v>4</v>
      </c>
      <c r="BQ1188" s="55" t="s">
        <v>141</v>
      </c>
      <c r="GP1188" s="292" t="s">
        <v>7494</v>
      </c>
      <c r="IC1188" s="65">
        <f>12.6/7</f>
        <v>1.8</v>
      </c>
      <c r="ID1188" s="65">
        <f>20.9/7</f>
        <v>2.9857142857142853</v>
      </c>
      <c r="IR1188" s="65">
        <v>3.41</v>
      </c>
      <c r="IS1188" s="65">
        <v>5.16</v>
      </c>
      <c r="IV1188" s="65" t="s">
        <v>780</v>
      </c>
      <c r="JG1188" s="65">
        <v>188</v>
      </c>
      <c r="JH1188" s="65">
        <v>315</v>
      </c>
      <c r="JK1188" s="65" t="s">
        <v>779</v>
      </c>
    </row>
    <row r="1189" spans="1:283" x14ac:dyDescent="0.25">
      <c r="A1189" s="55">
        <v>1188</v>
      </c>
      <c r="B1189" s="12" t="s">
        <v>7067</v>
      </c>
      <c r="C1189" s="155">
        <v>56</v>
      </c>
      <c r="D1189" s="55" t="s">
        <v>3930</v>
      </c>
      <c r="E1189" s="90" t="s">
        <v>761</v>
      </c>
      <c r="G1189" s="55" t="s">
        <v>762</v>
      </c>
      <c r="H1189" s="55">
        <v>2002</v>
      </c>
      <c r="I1189" s="55">
        <v>1999</v>
      </c>
      <c r="J1189" s="55" t="s">
        <v>397</v>
      </c>
      <c r="K1189" s="55" t="s">
        <v>768</v>
      </c>
      <c r="L1189" s="55" t="s">
        <v>2737</v>
      </c>
      <c r="M1189" s="90">
        <v>44.56</v>
      </c>
      <c r="N1189" s="90">
        <v>-123.26</v>
      </c>
      <c r="O1189" s="90">
        <v>59.6</v>
      </c>
      <c r="U1189" s="55" t="s">
        <v>1694</v>
      </c>
      <c r="V1189" s="55" t="s">
        <v>1694</v>
      </c>
      <c r="Y1189" s="55" t="s">
        <v>1936</v>
      </c>
      <c r="Z1189" s="55" t="s">
        <v>1347</v>
      </c>
      <c r="AA1189" s="90" t="s">
        <v>1676</v>
      </c>
      <c r="AE1189" s="90">
        <v>22</v>
      </c>
      <c r="AF1189" s="90">
        <v>52</v>
      </c>
      <c r="AH1189" s="55" t="s">
        <v>6378</v>
      </c>
      <c r="AI1189" s="168">
        <v>5.9</v>
      </c>
      <c r="AJ1189" s="90">
        <v>1.65</v>
      </c>
      <c r="AM1189" s="55" t="s">
        <v>1312</v>
      </c>
      <c r="AN1189" s="185" t="s">
        <v>1542</v>
      </c>
      <c r="AO1189" s="185" t="s">
        <v>5150</v>
      </c>
      <c r="AQ1189" s="55" t="s">
        <v>1546</v>
      </c>
      <c r="AR1189" s="55" t="s">
        <v>777</v>
      </c>
      <c r="AS1189" s="55" t="s">
        <v>1577</v>
      </c>
      <c r="AT1189" s="181" t="s">
        <v>772</v>
      </c>
      <c r="AU1189" s="181" t="s">
        <v>5150</v>
      </c>
      <c r="AV1189" s="185" t="s">
        <v>479</v>
      </c>
      <c r="AW1189" s="55" t="s">
        <v>772</v>
      </c>
      <c r="AX1189" s="185" t="s">
        <v>479</v>
      </c>
      <c r="AY1189" s="55" t="s">
        <v>176</v>
      </c>
      <c r="BK1189" s="55" t="s">
        <v>5976</v>
      </c>
      <c r="BM1189" s="192" t="s">
        <v>119</v>
      </c>
      <c r="BN1189" s="55">
        <v>4</v>
      </c>
      <c r="BO1189" s="55">
        <v>4</v>
      </c>
      <c r="BQ1189" s="55" t="s">
        <v>141</v>
      </c>
      <c r="GP1189" s="292" t="s">
        <v>7494</v>
      </c>
      <c r="IC1189" s="65">
        <f>21.7/7</f>
        <v>3.1</v>
      </c>
      <c r="ID1189" s="65">
        <f>34.5/7</f>
        <v>4.9285714285714288</v>
      </c>
      <c r="IR1189" s="65">
        <v>1.55</v>
      </c>
      <c r="IS1189" s="65">
        <v>2.97</v>
      </c>
      <c r="IV1189" s="65" t="s">
        <v>780</v>
      </c>
      <c r="JG1189" s="65">
        <v>153</v>
      </c>
      <c r="JH1189" s="65">
        <v>184</v>
      </c>
      <c r="JK1189" s="65" t="s">
        <v>779</v>
      </c>
    </row>
    <row r="1190" spans="1:283" x14ac:dyDescent="0.25">
      <c r="A1190" s="55">
        <v>1189</v>
      </c>
      <c r="B1190" s="12" t="s">
        <v>7067</v>
      </c>
      <c r="C1190" s="155">
        <v>57</v>
      </c>
      <c r="D1190" s="55" t="s">
        <v>3931</v>
      </c>
      <c r="E1190" s="90" t="s">
        <v>808</v>
      </c>
      <c r="G1190" s="55" t="s">
        <v>809</v>
      </c>
      <c r="H1190" s="55">
        <v>1990</v>
      </c>
      <c r="I1190" s="55">
        <v>1973</v>
      </c>
      <c r="J1190" s="55" t="s">
        <v>813</v>
      </c>
      <c r="K1190" s="55" t="s">
        <v>810</v>
      </c>
      <c r="L1190" s="55" t="s">
        <v>2737</v>
      </c>
      <c r="M1190" s="90">
        <v>34.200000000000003</v>
      </c>
      <c r="N1190" s="90">
        <v>-90.58</v>
      </c>
      <c r="O1190" s="90">
        <v>55.3</v>
      </c>
      <c r="U1190" s="55" t="s">
        <v>1805</v>
      </c>
      <c r="V1190" s="55" t="s">
        <v>1885</v>
      </c>
      <c r="Y1190" s="55" t="s">
        <v>1939</v>
      </c>
      <c r="Z1190" s="55" t="s">
        <v>1349</v>
      </c>
      <c r="AA1190" s="90" t="s">
        <v>1677</v>
      </c>
      <c r="AD1190" s="90">
        <v>1.325</v>
      </c>
      <c r="AH1190" s="55" t="s">
        <v>6378</v>
      </c>
      <c r="AM1190" s="55" t="s">
        <v>1313</v>
      </c>
      <c r="AN1190" s="185" t="s">
        <v>131</v>
      </c>
      <c r="AO1190" s="185" t="s">
        <v>5150</v>
      </c>
      <c r="AQ1190" s="55" t="s">
        <v>131</v>
      </c>
      <c r="AR1190" s="55" t="s">
        <v>560</v>
      </c>
      <c r="AS1190" s="55" t="s">
        <v>5133</v>
      </c>
      <c r="AU1190" s="181" t="s">
        <v>7494</v>
      </c>
      <c r="AV1190" s="185" t="s">
        <v>176</v>
      </c>
      <c r="AX1190" s="185" t="s">
        <v>176</v>
      </c>
      <c r="BE1190" s="226" t="s">
        <v>814</v>
      </c>
      <c r="BF1190" s="191" t="s">
        <v>479</v>
      </c>
      <c r="BG1190" s="55" t="s">
        <v>479</v>
      </c>
      <c r="BH1190" s="226" t="s">
        <v>814</v>
      </c>
      <c r="BI1190" s="55" t="s">
        <v>479</v>
      </c>
      <c r="BJ1190" s="55" t="s">
        <v>176</v>
      </c>
      <c r="BK1190" s="55" t="s">
        <v>5976</v>
      </c>
      <c r="BM1190" s="192" t="s">
        <v>160</v>
      </c>
      <c r="BN1190" s="55">
        <v>4</v>
      </c>
      <c r="BO1190" s="55">
        <v>4</v>
      </c>
      <c r="BQ1190" s="55" t="s">
        <v>141</v>
      </c>
      <c r="BV1190" s="55" t="s">
        <v>811</v>
      </c>
      <c r="CB1190" s="66">
        <v>2350</v>
      </c>
      <c r="CC1190" s="66">
        <v>2434</v>
      </c>
      <c r="GP1190" s="292" t="s">
        <v>7494</v>
      </c>
      <c r="JU1190" s="55" t="s">
        <v>823</v>
      </c>
      <c r="JW1190" s="55" t="s">
        <v>838</v>
      </c>
    </row>
    <row r="1191" spans="1:283" x14ac:dyDescent="0.25">
      <c r="A1191" s="55">
        <v>1190</v>
      </c>
      <c r="B1191" s="12" t="s">
        <v>7067</v>
      </c>
      <c r="C1191" s="155">
        <v>57</v>
      </c>
      <c r="D1191" s="55" t="s">
        <v>3932</v>
      </c>
      <c r="E1191" s="90" t="s">
        <v>808</v>
      </c>
      <c r="G1191" s="55" t="s">
        <v>809</v>
      </c>
      <c r="H1191" s="55">
        <v>1990</v>
      </c>
      <c r="I1191" s="55">
        <v>1973</v>
      </c>
      <c r="J1191" s="55" t="s">
        <v>813</v>
      </c>
      <c r="K1191" s="55" t="s">
        <v>810</v>
      </c>
      <c r="L1191" s="55" t="s">
        <v>2737</v>
      </c>
      <c r="M1191" s="90">
        <v>34.200000000000003</v>
      </c>
      <c r="N1191" s="90">
        <v>-90.58</v>
      </c>
      <c r="O1191" s="90">
        <v>55.3</v>
      </c>
      <c r="U1191" s="55" t="s">
        <v>1805</v>
      </c>
      <c r="V1191" s="55" t="s">
        <v>1885</v>
      </c>
      <c r="Y1191" s="55" t="s">
        <v>1939</v>
      </c>
      <c r="Z1191" s="55" t="s">
        <v>1349</v>
      </c>
      <c r="AA1191" s="90" t="s">
        <v>1677</v>
      </c>
      <c r="AD1191" s="90">
        <v>1.325</v>
      </c>
      <c r="AH1191" s="55" t="s">
        <v>6378</v>
      </c>
      <c r="AM1191" s="55" t="s">
        <v>1313</v>
      </c>
      <c r="AN1191" s="185" t="s">
        <v>241</v>
      </c>
      <c r="AO1191" s="185" t="s">
        <v>5150</v>
      </c>
      <c r="AQ1191" s="55" t="s">
        <v>553</v>
      </c>
      <c r="AR1191" s="55" t="s">
        <v>560</v>
      </c>
      <c r="AS1191" s="55" t="s">
        <v>5133</v>
      </c>
      <c r="AU1191" s="181" t="s">
        <v>7494</v>
      </c>
      <c r="AV1191" s="185" t="s">
        <v>176</v>
      </c>
      <c r="AX1191" s="185" t="s">
        <v>176</v>
      </c>
      <c r="BE1191" s="226" t="s">
        <v>814</v>
      </c>
      <c r="BF1191" s="191" t="s">
        <v>479</v>
      </c>
      <c r="BG1191" s="55" t="s">
        <v>479</v>
      </c>
      <c r="BH1191" s="226" t="s">
        <v>814</v>
      </c>
      <c r="BI1191" s="55" t="s">
        <v>479</v>
      </c>
      <c r="BJ1191" s="55" t="s">
        <v>176</v>
      </c>
      <c r="BK1191" s="55" t="s">
        <v>5976</v>
      </c>
      <c r="BM1191" s="192" t="s">
        <v>160</v>
      </c>
      <c r="BN1191" s="55">
        <v>4</v>
      </c>
      <c r="BO1191" s="55">
        <v>4</v>
      </c>
      <c r="BQ1191" s="55" t="s">
        <v>141</v>
      </c>
      <c r="BV1191" s="55" t="s">
        <v>811</v>
      </c>
      <c r="CB1191" s="66">
        <v>2350</v>
      </c>
      <c r="CC1191" s="66">
        <v>2492</v>
      </c>
      <c r="GP1191" s="292" t="s">
        <v>7494</v>
      </c>
      <c r="JU1191" s="55" t="s">
        <v>823</v>
      </c>
      <c r="JW1191" s="55" t="s">
        <v>838</v>
      </c>
    </row>
    <row r="1192" spans="1:283" x14ac:dyDescent="0.25">
      <c r="A1192" s="55">
        <v>1191</v>
      </c>
      <c r="B1192" s="12" t="s">
        <v>7067</v>
      </c>
      <c r="C1192" s="155">
        <v>57</v>
      </c>
      <c r="D1192" s="55" t="s">
        <v>3932</v>
      </c>
      <c r="E1192" s="90" t="s">
        <v>808</v>
      </c>
      <c r="G1192" s="55" t="s">
        <v>809</v>
      </c>
      <c r="H1192" s="55">
        <v>1990</v>
      </c>
      <c r="I1192" s="55">
        <v>1973</v>
      </c>
      <c r="J1192" s="55" t="s">
        <v>813</v>
      </c>
      <c r="K1192" s="55" t="s">
        <v>810</v>
      </c>
      <c r="L1192" s="55" t="s">
        <v>2737</v>
      </c>
      <c r="M1192" s="90">
        <v>34.200000000000003</v>
      </c>
      <c r="N1192" s="90">
        <v>-90.58</v>
      </c>
      <c r="O1192" s="90">
        <v>55.3</v>
      </c>
      <c r="U1192" s="55" t="s">
        <v>1805</v>
      </c>
      <c r="V1192" s="55" t="s">
        <v>1885</v>
      </c>
      <c r="Y1192" s="55" t="s">
        <v>1939</v>
      </c>
      <c r="Z1192" s="55" t="s">
        <v>1349</v>
      </c>
      <c r="AA1192" s="90" t="s">
        <v>1677</v>
      </c>
      <c r="AD1192" s="90">
        <v>1.325</v>
      </c>
      <c r="AH1192" s="55" t="s">
        <v>6378</v>
      </c>
      <c r="AM1192" s="55" t="s">
        <v>1313</v>
      </c>
      <c r="AN1192" s="185" t="s">
        <v>812</v>
      </c>
      <c r="AO1192" s="185" t="s">
        <v>5150</v>
      </c>
      <c r="AQ1192" s="55" t="s">
        <v>553</v>
      </c>
      <c r="AR1192" s="55" t="s">
        <v>560</v>
      </c>
      <c r="AS1192" s="55" t="s">
        <v>5133</v>
      </c>
      <c r="AU1192" s="181" t="s">
        <v>7494</v>
      </c>
      <c r="AV1192" s="185" t="s">
        <v>176</v>
      </c>
      <c r="AX1192" s="185" t="s">
        <v>176</v>
      </c>
      <c r="BE1192" s="226" t="s">
        <v>814</v>
      </c>
      <c r="BF1192" s="191" t="s">
        <v>479</v>
      </c>
      <c r="BG1192" s="55" t="s">
        <v>479</v>
      </c>
      <c r="BH1192" s="226" t="s">
        <v>814</v>
      </c>
      <c r="BI1192" s="55" t="s">
        <v>479</v>
      </c>
      <c r="BJ1192" s="55" t="s">
        <v>176</v>
      </c>
      <c r="BK1192" s="55" t="s">
        <v>5976</v>
      </c>
      <c r="BM1192" s="192" t="s">
        <v>160</v>
      </c>
      <c r="BN1192" s="55">
        <v>4</v>
      </c>
      <c r="BO1192" s="55">
        <v>4</v>
      </c>
      <c r="BQ1192" s="55" t="s">
        <v>141</v>
      </c>
      <c r="BV1192" s="55" t="s">
        <v>811</v>
      </c>
      <c r="CB1192" s="66">
        <v>2350</v>
      </c>
      <c r="CC1192" s="66">
        <v>2156</v>
      </c>
      <c r="GP1192" s="292" t="s">
        <v>7494</v>
      </c>
      <c r="JU1192" s="55" t="s">
        <v>823</v>
      </c>
      <c r="JW1192" s="55" t="s">
        <v>838</v>
      </c>
    </row>
    <row r="1193" spans="1:283" x14ac:dyDescent="0.25">
      <c r="A1193" s="55">
        <v>1192</v>
      </c>
      <c r="B1193" s="12" t="s">
        <v>7067</v>
      </c>
      <c r="C1193" s="155">
        <v>57</v>
      </c>
      <c r="D1193" s="55" t="s">
        <v>3931</v>
      </c>
      <c r="E1193" s="90" t="s">
        <v>808</v>
      </c>
      <c r="G1193" s="55" t="s">
        <v>809</v>
      </c>
      <c r="H1193" s="55">
        <v>1990</v>
      </c>
      <c r="I1193" s="55">
        <v>1974</v>
      </c>
      <c r="J1193" s="55" t="s">
        <v>813</v>
      </c>
      <c r="K1193" s="55" t="s">
        <v>810</v>
      </c>
      <c r="L1193" s="55" t="s">
        <v>2737</v>
      </c>
      <c r="M1193" s="90">
        <v>34.200000000000003</v>
      </c>
      <c r="N1193" s="90">
        <v>-90.58</v>
      </c>
      <c r="O1193" s="90">
        <v>55.3</v>
      </c>
      <c r="U1193" s="55" t="s">
        <v>1688</v>
      </c>
      <c r="V1193" s="55" t="s">
        <v>1885</v>
      </c>
      <c r="Y1193" s="55" t="s">
        <v>1939</v>
      </c>
      <c r="Z1193" s="55" t="s">
        <v>1349</v>
      </c>
      <c r="AA1193" s="90" t="s">
        <v>1677</v>
      </c>
      <c r="AD1193" s="90">
        <v>1.325</v>
      </c>
      <c r="AH1193" s="55" t="s">
        <v>6378</v>
      </c>
      <c r="AM1193" s="55" t="s">
        <v>1313</v>
      </c>
      <c r="AN1193" s="185" t="s">
        <v>131</v>
      </c>
      <c r="AO1193" s="185" t="s">
        <v>5150</v>
      </c>
      <c r="AQ1193" s="55" t="s">
        <v>131</v>
      </c>
      <c r="AR1193" s="55" t="s">
        <v>560</v>
      </c>
      <c r="AS1193" s="55" t="s">
        <v>5133</v>
      </c>
      <c r="AU1193" s="181" t="s">
        <v>7494</v>
      </c>
      <c r="AV1193" s="185" t="s">
        <v>176</v>
      </c>
      <c r="AX1193" s="185" t="s">
        <v>176</v>
      </c>
      <c r="BE1193" s="226" t="s">
        <v>815</v>
      </c>
      <c r="BF1193" s="191" t="s">
        <v>479</v>
      </c>
      <c r="BG1193" s="55" t="s">
        <v>479</v>
      </c>
      <c r="BH1193" s="226" t="s">
        <v>815</v>
      </c>
      <c r="BI1193" s="55" t="s">
        <v>479</v>
      </c>
      <c r="BJ1193" s="55" t="s">
        <v>176</v>
      </c>
      <c r="BK1193" s="55" t="s">
        <v>5976</v>
      </c>
      <c r="BM1193" s="192" t="s">
        <v>160</v>
      </c>
      <c r="BN1193" s="55">
        <v>4</v>
      </c>
      <c r="BO1193" s="55">
        <v>4</v>
      </c>
      <c r="BQ1193" s="55" t="s">
        <v>141</v>
      </c>
      <c r="BV1193" s="55" t="s">
        <v>811</v>
      </c>
      <c r="CB1193" s="66">
        <v>1636</v>
      </c>
      <c r="CC1193" s="66">
        <v>1839</v>
      </c>
      <c r="GP1193" s="292" t="s">
        <v>7494</v>
      </c>
      <c r="JU1193" s="55" t="s">
        <v>823</v>
      </c>
      <c r="JW1193" s="55" t="s">
        <v>840</v>
      </c>
    </row>
    <row r="1194" spans="1:283" x14ac:dyDescent="0.25">
      <c r="A1194" s="55">
        <v>1193</v>
      </c>
      <c r="B1194" s="12" t="s">
        <v>7067</v>
      </c>
      <c r="C1194" s="155">
        <v>57</v>
      </c>
      <c r="D1194" s="55" t="s">
        <v>3932</v>
      </c>
      <c r="E1194" s="90" t="s">
        <v>808</v>
      </c>
      <c r="G1194" s="55" t="s">
        <v>809</v>
      </c>
      <c r="H1194" s="55">
        <v>1990</v>
      </c>
      <c r="I1194" s="55">
        <v>1974</v>
      </c>
      <c r="J1194" s="55" t="s">
        <v>813</v>
      </c>
      <c r="K1194" s="55" t="s">
        <v>810</v>
      </c>
      <c r="L1194" s="55" t="s">
        <v>2737</v>
      </c>
      <c r="M1194" s="90">
        <v>34.200000000000003</v>
      </c>
      <c r="N1194" s="90">
        <v>-90.58</v>
      </c>
      <c r="O1194" s="90">
        <v>55.3</v>
      </c>
      <c r="U1194" s="55" t="s">
        <v>1688</v>
      </c>
      <c r="V1194" s="55" t="s">
        <v>1885</v>
      </c>
      <c r="Y1194" s="55" t="s">
        <v>1939</v>
      </c>
      <c r="Z1194" s="55" t="s">
        <v>1349</v>
      </c>
      <c r="AA1194" s="90" t="s">
        <v>1677</v>
      </c>
      <c r="AD1194" s="90">
        <v>1.325</v>
      </c>
      <c r="AH1194" s="55" t="s">
        <v>6378</v>
      </c>
      <c r="AM1194" s="55" t="s">
        <v>1313</v>
      </c>
      <c r="AN1194" s="185" t="s">
        <v>241</v>
      </c>
      <c r="AO1194" s="185" t="s">
        <v>5150</v>
      </c>
      <c r="AQ1194" s="55" t="s">
        <v>553</v>
      </c>
      <c r="AR1194" s="55" t="s">
        <v>560</v>
      </c>
      <c r="AS1194" s="55" t="s">
        <v>5133</v>
      </c>
      <c r="AU1194" s="181" t="s">
        <v>7494</v>
      </c>
      <c r="AV1194" s="185" t="s">
        <v>176</v>
      </c>
      <c r="AX1194" s="185" t="s">
        <v>176</v>
      </c>
      <c r="BE1194" s="226" t="s">
        <v>815</v>
      </c>
      <c r="BF1194" s="191" t="s">
        <v>479</v>
      </c>
      <c r="BG1194" s="55" t="s">
        <v>479</v>
      </c>
      <c r="BH1194" s="226" t="s">
        <v>815</v>
      </c>
      <c r="BI1194" s="55" t="s">
        <v>479</v>
      </c>
      <c r="BJ1194" s="55" t="s">
        <v>176</v>
      </c>
      <c r="BK1194" s="55" t="s">
        <v>5976</v>
      </c>
      <c r="BM1194" s="192" t="s">
        <v>160</v>
      </c>
      <c r="BN1194" s="55">
        <v>4</v>
      </c>
      <c r="BO1194" s="55">
        <v>4</v>
      </c>
      <c r="BQ1194" s="55" t="s">
        <v>141</v>
      </c>
      <c r="BV1194" s="55" t="s">
        <v>811</v>
      </c>
      <c r="CB1194" s="66">
        <v>1636</v>
      </c>
      <c r="CC1194" s="66">
        <v>1897</v>
      </c>
      <c r="GP1194" s="292" t="s">
        <v>7494</v>
      </c>
      <c r="JU1194" s="55" t="s">
        <v>823</v>
      </c>
      <c r="JW1194" s="55" t="s">
        <v>840</v>
      </c>
    </row>
    <row r="1195" spans="1:283" x14ac:dyDescent="0.25">
      <c r="A1195" s="55">
        <v>1194</v>
      </c>
      <c r="B1195" s="12" t="s">
        <v>7067</v>
      </c>
      <c r="C1195" s="155">
        <v>57</v>
      </c>
      <c r="D1195" s="55" t="s">
        <v>3932</v>
      </c>
      <c r="E1195" s="90" t="s">
        <v>808</v>
      </c>
      <c r="G1195" s="55" t="s">
        <v>809</v>
      </c>
      <c r="H1195" s="55">
        <v>1990</v>
      </c>
      <c r="I1195" s="55">
        <v>1974</v>
      </c>
      <c r="J1195" s="55" t="s">
        <v>813</v>
      </c>
      <c r="K1195" s="55" t="s">
        <v>810</v>
      </c>
      <c r="L1195" s="55" t="s">
        <v>2737</v>
      </c>
      <c r="M1195" s="90">
        <v>34.200000000000003</v>
      </c>
      <c r="N1195" s="90">
        <v>-90.58</v>
      </c>
      <c r="O1195" s="90">
        <v>55.3</v>
      </c>
      <c r="U1195" s="55" t="s">
        <v>1688</v>
      </c>
      <c r="V1195" s="55" t="s">
        <v>1885</v>
      </c>
      <c r="Y1195" s="55" t="s">
        <v>1939</v>
      </c>
      <c r="Z1195" s="55" t="s">
        <v>1349</v>
      </c>
      <c r="AA1195" s="90" t="s">
        <v>1677</v>
      </c>
      <c r="AD1195" s="90">
        <v>1.325</v>
      </c>
      <c r="AH1195" s="55" t="s">
        <v>6378</v>
      </c>
      <c r="AM1195" s="55" t="s">
        <v>1313</v>
      </c>
      <c r="AN1195" s="185" t="s">
        <v>812</v>
      </c>
      <c r="AO1195" s="185" t="s">
        <v>5150</v>
      </c>
      <c r="AQ1195" s="55" t="s">
        <v>553</v>
      </c>
      <c r="AR1195" s="55" t="s">
        <v>560</v>
      </c>
      <c r="AS1195" s="55" t="s">
        <v>5133</v>
      </c>
      <c r="AU1195" s="181" t="s">
        <v>7494</v>
      </c>
      <c r="AV1195" s="185" t="s">
        <v>176</v>
      </c>
      <c r="AX1195" s="185" t="s">
        <v>176</v>
      </c>
      <c r="BE1195" s="226" t="s">
        <v>815</v>
      </c>
      <c r="BF1195" s="191" t="s">
        <v>479</v>
      </c>
      <c r="BG1195" s="55" t="s">
        <v>479</v>
      </c>
      <c r="BH1195" s="226" t="s">
        <v>815</v>
      </c>
      <c r="BI1195" s="55" t="s">
        <v>479</v>
      </c>
      <c r="BJ1195" s="55" t="s">
        <v>176</v>
      </c>
      <c r="BK1195" s="55" t="s">
        <v>5976</v>
      </c>
      <c r="BM1195" s="192" t="s">
        <v>160</v>
      </c>
      <c r="BN1195" s="55">
        <v>4</v>
      </c>
      <c r="BO1195" s="55">
        <v>4</v>
      </c>
      <c r="BQ1195" s="55" t="s">
        <v>141</v>
      </c>
      <c r="BV1195" s="55" t="s">
        <v>811</v>
      </c>
      <c r="CB1195" s="66">
        <v>1636</v>
      </c>
      <c r="CC1195" s="66">
        <v>1515</v>
      </c>
      <c r="GP1195" s="292" t="s">
        <v>7494</v>
      </c>
      <c r="JU1195" s="55" t="s">
        <v>823</v>
      </c>
      <c r="JW1195" s="55" t="s">
        <v>840</v>
      </c>
    </row>
    <row r="1196" spans="1:283" x14ac:dyDescent="0.25">
      <c r="A1196" s="55">
        <v>1195</v>
      </c>
      <c r="B1196" s="12" t="s">
        <v>7067</v>
      </c>
      <c r="C1196" s="155">
        <v>57</v>
      </c>
      <c r="D1196" s="55" t="s">
        <v>3931</v>
      </c>
      <c r="E1196" s="90" t="s">
        <v>808</v>
      </c>
      <c r="G1196" s="55" t="s">
        <v>809</v>
      </c>
      <c r="H1196" s="55">
        <v>1990</v>
      </c>
      <c r="I1196" s="55">
        <v>1975</v>
      </c>
      <c r="J1196" s="55" t="s">
        <v>813</v>
      </c>
      <c r="K1196" s="55" t="s">
        <v>810</v>
      </c>
      <c r="L1196" s="55" t="s">
        <v>2737</v>
      </c>
      <c r="M1196" s="90">
        <v>34.200000000000003</v>
      </c>
      <c r="N1196" s="90">
        <v>-90.58</v>
      </c>
      <c r="O1196" s="90">
        <v>55.3</v>
      </c>
      <c r="U1196" s="55" t="s">
        <v>1816</v>
      </c>
      <c r="V1196" s="55" t="s">
        <v>1885</v>
      </c>
      <c r="Y1196" s="55" t="s">
        <v>1939</v>
      </c>
      <c r="Z1196" s="55" t="s">
        <v>1349</v>
      </c>
      <c r="AA1196" s="90" t="s">
        <v>1677</v>
      </c>
      <c r="AD1196" s="90">
        <v>1.325</v>
      </c>
      <c r="AH1196" s="55" t="s">
        <v>6378</v>
      </c>
      <c r="AM1196" s="55" t="s">
        <v>1313</v>
      </c>
      <c r="AN1196" s="185" t="s">
        <v>131</v>
      </c>
      <c r="AO1196" s="185" t="s">
        <v>5150</v>
      </c>
      <c r="AQ1196" s="55" t="s">
        <v>131</v>
      </c>
      <c r="AR1196" s="55" t="s">
        <v>560</v>
      </c>
      <c r="AS1196" s="55" t="s">
        <v>5133</v>
      </c>
      <c r="AU1196" s="181" t="s">
        <v>7494</v>
      </c>
      <c r="AV1196" s="185" t="s">
        <v>176</v>
      </c>
      <c r="AX1196" s="185" t="s">
        <v>176</v>
      </c>
      <c r="BE1196" s="226" t="s">
        <v>816</v>
      </c>
      <c r="BF1196" s="191" t="s">
        <v>479</v>
      </c>
      <c r="BG1196" s="55" t="s">
        <v>479</v>
      </c>
      <c r="BH1196" s="226" t="s">
        <v>816</v>
      </c>
      <c r="BI1196" s="55" t="s">
        <v>479</v>
      </c>
      <c r="BJ1196" s="55" t="s">
        <v>176</v>
      </c>
      <c r="BK1196" s="55" t="s">
        <v>5976</v>
      </c>
      <c r="BM1196" s="192" t="s">
        <v>160</v>
      </c>
      <c r="BN1196" s="55">
        <v>4</v>
      </c>
      <c r="BO1196" s="55">
        <v>4</v>
      </c>
      <c r="BQ1196" s="55" t="s">
        <v>141</v>
      </c>
      <c r="BV1196" s="55" t="s">
        <v>811</v>
      </c>
      <c r="CB1196" s="66">
        <v>2328</v>
      </c>
      <c r="CC1196" s="66">
        <v>2415</v>
      </c>
      <c r="GP1196" s="292" t="s">
        <v>7494</v>
      </c>
      <c r="JU1196" s="55" t="s">
        <v>823</v>
      </c>
      <c r="JW1196" s="55" t="s">
        <v>841</v>
      </c>
    </row>
    <row r="1197" spans="1:283" x14ac:dyDescent="0.25">
      <c r="A1197" s="55">
        <v>1196</v>
      </c>
      <c r="B1197" s="12" t="s">
        <v>7067</v>
      </c>
      <c r="C1197" s="155">
        <v>57</v>
      </c>
      <c r="D1197" s="55" t="s">
        <v>3932</v>
      </c>
      <c r="E1197" s="90" t="s">
        <v>808</v>
      </c>
      <c r="G1197" s="55" t="s">
        <v>809</v>
      </c>
      <c r="H1197" s="55">
        <v>1990</v>
      </c>
      <c r="I1197" s="55">
        <v>1975</v>
      </c>
      <c r="J1197" s="55" t="s">
        <v>813</v>
      </c>
      <c r="K1197" s="55" t="s">
        <v>810</v>
      </c>
      <c r="L1197" s="55" t="s">
        <v>2737</v>
      </c>
      <c r="M1197" s="90">
        <v>34.200000000000003</v>
      </c>
      <c r="N1197" s="90">
        <v>-90.58</v>
      </c>
      <c r="O1197" s="90">
        <v>55.3</v>
      </c>
      <c r="U1197" s="55" t="s">
        <v>1816</v>
      </c>
      <c r="V1197" s="55" t="s">
        <v>1885</v>
      </c>
      <c r="Y1197" s="55" t="s">
        <v>1939</v>
      </c>
      <c r="Z1197" s="55" t="s">
        <v>1349</v>
      </c>
      <c r="AA1197" s="90" t="s">
        <v>1677</v>
      </c>
      <c r="AD1197" s="90">
        <v>1.325</v>
      </c>
      <c r="AH1197" s="55" t="s">
        <v>6378</v>
      </c>
      <c r="AM1197" s="55" t="s">
        <v>1313</v>
      </c>
      <c r="AN1197" s="185" t="s">
        <v>241</v>
      </c>
      <c r="AO1197" s="185" t="s">
        <v>5150</v>
      </c>
      <c r="AQ1197" s="55" t="s">
        <v>553</v>
      </c>
      <c r="AR1197" s="55" t="s">
        <v>560</v>
      </c>
      <c r="AS1197" s="55" t="s">
        <v>5133</v>
      </c>
      <c r="AU1197" s="181" t="s">
        <v>7494</v>
      </c>
      <c r="AV1197" s="185" t="s">
        <v>176</v>
      </c>
      <c r="AX1197" s="185" t="s">
        <v>176</v>
      </c>
      <c r="BE1197" s="226" t="s">
        <v>816</v>
      </c>
      <c r="BF1197" s="191" t="s">
        <v>479</v>
      </c>
      <c r="BG1197" s="55" t="s">
        <v>479</v>
      </c>
      <c r="BH1197" s="226" t="s">
        <v>816</v>
      </c>
      <c r="BI1197" s="55" t="s">
        <v>479</v>
      </c>
      <c r="BJ1197" s="55" t="s">
        <v>176</v>
      </c>
      <c r="BK1197" s="55" t="s">
        <v>5976</v>
      </c>
      <c r="BM1197" s="192" t="s">
        <v>160</v>
      </c>
      <c r="BN1197" s="55">
        <v>4</v>
      </c>
      <c r="BO1197" s="55">
        <v>4</v>
      </c>
      <c r="BQ1197" s="55" t="s">
        <v>141</v>
      </c>
      <c r="BV1197" s="55" t="s">
        <v>811</v>
      </c>
      <c r="CB1197" s="66">
        <v>2328</v>
      </c>
      <c r="CC1197" s="66">
        <v>2646</v>
      </c>
      <c r="GP1197" s="292" t="s">
        <v>7494</v>
      </c>
      <c r="JU1197" s="55" t="s">
        <v>823</v>
      </c>
      <c r="JW1197" s="55" t="s">
        <v>841</v>
      </c>
    </row>
    <row r="1198" spans="1:283" x14ac:dyDescent="0.25">
      <c r="A1198" s="55">
        <v>1197</v>
      </c>
      <c r="B1198" s="12" t="s">
        <v>7067</v>
      </c>
      <c r="C1198" s="155">
        <v>57</v>
      </c>
      <c r="D1198" s="55" t="s">
        <v>3932</v>
      </c>
      <c r="E1198" s="90" t="s">
        <v>808</v>
      </c>
      <c r="G1198" s="55" t="s">
        <v>809</v>
      </c>
      <c r="H1198" s="55">
        <v>1990</v>
      </c>
      <c r="I1198" s="55">
        <v>1975</v>
      </c>
      <c r="J1198" s="55" t="s">
        <v>813</v>
      </c>
      <c r="K1198" s="55" t="s">
        <v>810</v>
      </c>
      <c r="L1198" s="55" t="s">
        <v>2737</v>
      </c>
      <c r="M1198" s="90">
        <v>34.200000000000003</v>
      </c>
      <c r="N1198" s="90">
        <v>-90.58</v>
      </c>
      <c r="O1198" s="90">
        <v>55.3</v>
      </c>
      <c r="U1198" s="55" t="s">
        <v>1816</v>
      </c>
      <c r="V1198" s="55" t="s">
        <v>1885</v>
      </c>
      <c r="Y1198" s="55" t="s">
        <v>1939</v>
      </c>
      <c r="Z1198" s="55" t="s">
        <v>1349</v>
      </c>
      <c r="AA1198" s="90" t="s">
        <v>1677</v>
      </c>
      <c r="AD1198" s="90">
        <v>1.325</v>
      </c>
      <c r="AH1198" s="55" t="s">
        <v>6378</v>
      </c>
      <c r="AM1198" s="55" t="s">
        <v>1313</v>
      </c>
      <c r="AN1198" s="185" t="s">
        <v>812</v>
      </c>
      <c r="AO1198" s="185" t="s">
        <v>5150</v>
      </c>
      <c r="AQ1198" s="55" t="s">
        <v>553</v>
      </c>
      <c r="AR1198" s="55" t="s">
        <v>560</v>
      </c>
      <c r="AS1198" s="55" t="s">
        <v>5133</v>
      </c>
      <c r="AU1198" s="181" t="s">
        <v>7494</v>
      </c>
      <c r="AV1198" s="185" t="s">
        <v>176</v>
      </c>
      <c r="AX1198" s="185" t="s">
        <v>176</v>
      </c>
      <c r="BE1198" s="226" t="s">
        <v>816</v>
      </c>
      <c r="BF1198" s="191" t="s">
        <v>479</v>
      </c>
      <c r="BG1198" s="55" t="s">
        <v>479</v>
      </c>
      <c r="BH1198" s="226" t="s">
        <v>816</v>
      </c>
      <c r="BI1198" s="55" t="s">
        <v>479</v>
      </c>
      <c r="BJ1198" s="55" t="s">
        <v>176</v>
      </c>
      <c r="BK1198" s="55" t="s">
        <v>5976</v>
      </c>
      <c r="BM1198" s="192" t="s">
        <v>160</v>
      </c>
      <c r="BN1198" s="55">
        <v>4</v>
      </c>
      <c r="BO1198" s="55">
        <v>4</v>
      </c>
      <c r="BQ1198" s="55" t="s">
        <v>141</v>
      </c>
      <c r="BV1198" s="55" t="s">
        <v>811</v>
      </c>
      <c r="CB1198" s="66">
        <v>2328</v>
      </c>
      <c r="CC1198" s="66">
        <v>2599</v>
      </c>
      <c r="GP1198" s="292" t="s">
        <v>7494</v>
      </c>
      <c r="JU1198" s="55" t="s">
        <v>823</v>
      </c>
      <c r="JW1198" s="55" t="s">
        <v>841</v>
      </c>
    </row>
    <row r="1199" spans="1:283" x14ac:dyDescent="0.25">
      <c r="A1199" s="55">
        <v>1198</v>
      </c>
      <c r="B1199" s="12" t="s">
        <v>7067</v>
      </c>
      <c r="C1199" s="155">
        <v>57</v>
      </c>
      <c r="D1199" s="55" t="s">
        <v>3931</v>
      </c>
      <c r="E1199" s="90" t="s">
        <v>808</v>
      </c>
      <c r="G1199" s="55" t="s">
        <v>809</v>
      </c>
      <c r="H1199" s="55">
        <v>1990</v>
      </c>
      <c r="I1199" s="55">
        <v>1977</v>
      </c>
      <c r="J1199" s="55" t="s">
        <v>813</v>
      </c>
      <c r="K1199" s="55" t="s">
        <v>810</v>
      </c>
      <c r="L1199" s="55" t="s">
        <v>2737</v>
      </c>
      <c r="M1199" s="90">
        <v>34.200000000000003</v>
      </c>
      <c r="N1199" s="90">
        <v>-90.58</v>
      </c>
      <c r="O1199" s="90">
        <v>55.3</v>
      </c>
      <c r="U1199" s="55" t="s">
        <v>1801</v>
      </c>
      <c r="V1199" s="55" t="s">
        <v>1885</v>
      </c>
      <c r="Y1199" s="55" t="s">
        <v>1939</v>
      </c>
      <c r="Z1199" s="55" t="s">
        <v>1349</v>
      </c>
      <c r="AA1199" s="90" t="s">
        <v>1677</v>
      </c>
      <c r="AD1199" s="90">
        <v>1.325</v>
      </c>
      <c r="AH1199" s="55" t="s">
        <v>6378</v>
      </c>
      <c r="AM1199" s="55" t="s">
        <v>1313</v>
      </c>
      <c r="AN1199" s="185" t="s">
        <v>131</v>
      </c>
      <c r="AO1199" s="185" t="s">
        <v>5150</v>
      </c>
      <c r="AQ1199" s="55" t="s">
        <v>131</v>
      </c>
      <c r="AR1199" s="55" t="s">
        <v>560</v>
      </c>
      <c r="AS1199" s="55" t="s">
        <v>5133</v>
      </c>
      <c r="AU1199" s="181" t="s">
        <v>7494</v>
      </c>
      <c r="AV1199" s="185" t="s">
        <v>176</v>
      </c>
      <c r="AX1199" s="185" t="s">
        <v>176</v>
      </c>
      <c r="BE1199" s="226" t="s">
        <v>816</v>
      </c>
      <c r="BF1199" s="191" t="s">
        <v>479</v>
      </c>
      <c r="BG1199" s="55" t="s">
        <v>479</v>
      </c>
      <c r="BH1199" s="226" t="s">
        <v>816</v>
      </c>
      <c r="BI1199" s="55" t="s">
        <v>479</v>
      </c>
      <c r="BJ1199" s="55" t="s">
        <v>176</v>
      </c>
      <c r="BK1199" s="55" t="s">
        <v>5976</v>
      </c>
      <c r="BM1199" s="192" t="s">
        <v>160</v>
      </c>
      <c r="BN1199" s="55">
        <v>4</v>
      </c>
      <c r="BO1199" s="55">
        <v>4</v>
      </c>
      <c r="BQ1199" s="55" t="s">
        <v>141</v>
      </c>
      <c r="BS1199" s="55">
        <v>3863</v>
      </c>
      <c r="BV1199" s="55" t="s">
        <v>811</v>
      </c>
      <c r="CB1199" s="66">
        <v>2175</v>
      </c>
      <c r="CC1199" s="66">
        <v>2040</v>
      </c>
      <c r="GP1199" s="292" t="s">
        <v>7494</v>
      </c>
      <c r="JU1199" s="55" t="s">
        <v>823</v>
      </c>
      <c r="JW1199" s="55" t="s">
        <v>842</v>
      </c>
    </row>
    <row r="1200" spans="1:283" x14ac:dyDescent="0.25">
      <c r="A1200" s="55">
        <v>1199</v>
      </c>
      <c r="B1200" s="12" t="s">
        <v>7067</v>
      </c>
      <c r="C1200" s="155">
        <v>57</v>
      </c>
      <c r="D1200" s="55" t="s">
        <v>3932</v>
      </c>
      <c r="E1200" s="90" t="s">
        <v>808</v>
      </c>
      <c r="G1200" s="55" t="s">
        <v>809</v>
      </c>
      <c r="H1200" s="55">
        <v>1990</v>
      </c>
      <c r="I1200" s="55">
        <v>1977</v>
      </c>
      <c r="J1200" s="55" t="s">
        <v>813</v>
      </c>
      <c r="K1200" s="55" t="s">
        <v>810</v>
      </c>
      <c r="L1200" s="55" t="s">
        <v>2737</v>
      </c>
      <c r="M1200" s="90">
        <v>34.200000000000003</v>
      </c>
      <c r="N1200" s="90">
        <v>-90.58</v>
      </c>
      <c r="O1200" s="90">
        <v>55.3</v>
      </c>
      <c r="U1200" s="55" t="s">
        <v>1801</v>
      </c>
      <c r="V1200" s="55" t="s">
        <v>1885</v>
      </c>
      <c r="Y1200" s="55" t="s">
        <v>1939</v>
      </c>
      <c r="Z1200" s="55" t="s">
        <v>1349</v>
      </c>
      <c r="AA1200" s="90" t="s">
        <v>1677</v>
      </c>
      <c r="AD1200" s="90">
        <v>1.325</v>
      </c>
      <c r="AH1200" s="55" t="s">
        <v>6378</v>
      </c>
      <c r="AM1200" s="55" t="s">
        <v>1313</v>
      </c>
      <c r="AN1200" s="185" t="s">
        <v>241</v>
      </c>
      <c r="AO1200" s="185" t="s">
        <v>5150</v>
      </c>
      <c r="AQ1200" s="55" t="s">
        <v>553</v>
      </c>
      <c r="AR1200" s="55" t="s">
        <v>560</v>
      </c>
      <c r="AS1200" s="55" t="s">
        <v>5133</v>
      </c>
      <c r="AU1200" s="181" t="s">
        <v>7494</v>
      </c>
      <c r="AV1200" s="185" t="s">
        <v>176</v>
      </c>
      <c r="AX1200" s="185" t="s">
        <v>176</v>
      </c>
      <c r="BE1200" s="226" t="s">
        <v>816</v>
      </c>
      <c r="BF1200" s="191" t="s">
        <v>479</v>
      </c>
      <c r="BG1200" s="55" t="s">
        <v>479</v>
      </c>
      <c r="BH1200" s="226" t="s">
        <v>816</v>
      </c>
      <c r="BI1200" s="55" t="s">
        <v>479</v>
      </c>
      <c r="BJ1200" s="55" t="s">
        <v>176</v>
      </c>
      <c r="BK1200" s="55" t="s">
        <v>5976</v>
      </c>
      <c r="BM1200" s="192" t="s">
        <v>160</v>
      </c>
      <c r="BN1200" s="55">
        <v>4</v>
      </c>
      <c r="BO1200" s="55">
        <v>4</v>
      </c>
      <c r="BQ1200" s="55" t="s">
        <v>141</v>
      </c>
      <c r="BS1200" s="55">
        <v>2507</v>
      </c>
      <c r="BV1200" s="55" t="s">
        <v>811</v>
      </c>
      <c r="CB1200" s="66">
        <v>2175</v>
      </c>
      <c r="CC1200" s="66">
        <v>2185</v>
      </c>
      <c r="GP1200" s="292" t="s">
        <v>7494</v>
      </c>
      <c r="JU1200" s="55" t="s">
        <v>823</v>
      </c>
      <c r="JW1200" s="55" t="s">
        <v>842</v>
      </c>
    </row>
    <row r="1201" spans="1:283" x14ac:dyDescent="0.25">
      <c r="A1201" s="55">
        <v>1200</v>
      </c>
      <c r="B1201" s="12" t="s">
        <v>7067</v>
      </c>
      <c r="C1201" s="155">
        <v>57</v>
      </c>
      <c r="D1201" s="55" t="s">
        <v>3932</v>
      </c>
      <c r="E1201" s="90" t="s">
        <v>808</v>
      </c>
      <c r="G1201" s="55" t="s">
        <v>809</v>
      </c>
      <c r="H1201" s="55">
        <v>1990</v>
      </c>
      <c r="I1201" s="55">
        <v>1977</v>
      </c>
      <c r="J1201" s="55" t="s">
        <v>813</v>
      </c>
      <c r="K1201" s="55" t="s">
        <v>810</v>
      </c>
      <c r="L1201" s="55" t="s">
        <v>2737</v>
      </c>
      <c r="M1201" s="90">
        <v>34.200000000000003</v>
      </c>
      <c r="N1201" s="90">
        <v>-90.58</v>
      </c>
      <c r="O1201" s="90">
        <v>55.3</v>
      </c>
      <c r="U1201" s="55" t="s">
        <v>1801</v>
      </c>
      <c r="V1201" s="55" t="s">
        <v>1885</v>
      </c>
      <c r="Y1201" s="55" t="s">
        <v>1939</v>
      </c>
      <c r="Z1201" s="55" t="s">
        <v>1349</v>
      </c>
      <c r="AA1201" s="90" t="s">
        <v>1677</v>
      </c>
      <c r="AD1201" s="90">
        <v>1.325</v>
      </c>
      <c r="AH1201" s="55" t="s">
        <v>6378</v>
      </c>
      <c r="AM1201" s="55" t="s">
        <v>1313</v>
      </c>
      <c r="AN1201" s="185" t="s">
        <v>1482</v>
      </c>
      <c r="AO1201" s="185" t="s">
        <v>5150</v>
      </c>
      <c r="AQ1201" s="55" t="s">
        <v>1546</v>
      </c>
      <c r="AR1201" s="55" t="s">
        <v>560</v>
      </c>
      <c r="AS1201" s="55" t="s">
        <v>5133</v>
      </c>
      <c r="AU1201" s="181" t="s">
        <v>7494</v>
      </c>
      <c r="AV1201" s="185" t="s">
        <v>176</v>
      </c>
      <c r="AX1201" s="185" t="s">
        <v>176</v>
      </c>
      <c r="BE1201" s="226" t="s">
        <v>816</v>
      </c>
      <c r="BF1201" s="191" t="s">
        <v>479</v>
      </c>
      <c r="BG1201" s="55" t="s">
        <v>479</v>
      </c>
      <c r="BH1201" s="226" t="s">
        <v>816</v>
      </c>
      <c r="BI1201" s="55" t="s">
        <v>479</v>
      </c>
      <c r="BJ1201" s="55" t="s">
        <v>176</v>
      </c>
      <c r="BK1201" s="55" t="s">
        <v>5976</v>
      </c>
      <c r="BM1201" s="192" t="s">
        <v>160</v>
      </c>
      <c r="BN1201" s="55">
        <v>4</v>
      </c>
      <c r="BO1201" s="55">
        <v>4</v>
      </c>
      <c r="BQ1201" s="55" t="s">
        <v>141</v>
      </c>
      <c r="BS1201" s="55">
        <v>3863</v>
      </c>
      <c r="BV1201" s="55" t="s">
        <v>811</v>
      </c>
      <c r="CB1201" s="66">
        <v>2175</v>
      </c>
      <c r="CC1201" s="66">
        <v>2409</v>
      </c>
      <c r="GP1201" s="292" t="s">
        <v>7494</v>
      </c>
      <c r="JU1201" s="55" t="s">
        <v>823</v>
      </c>
      <c r="JW1201" s="55" t="s">
        <v>842</v>
      </c>
    </row>
    <row r="1202" spans="1:283" x14ac:dyDescent="0.25">
      <c r="A1202" s="55">
        <v>1201</v>
      </c>
      <c r="B1202" s="12" t="s">
        <v>7067</v>
      </c>
      <c r="C1202" s="155">
        <v>57</v>
      </c>
      <c r="D1202" s="55" t="s">
        <v>3931</v>
      </c>
      <c r="E1202" s="90" t="s">
        <v>808</v>
      </c>
      <c r="G1202" s="55" t="s">
        <v>809</v>
      </c>
      <c r="H1202" s="55">
        <v>1990</v>
      </c>
      <c r="I1202" s="55">
        <v>1978</v>
      </c>
      <c r="J1202" s="55" t="s">
        <v>813</v>
      </c>
      <c r="K1202" s="55" t="s">
        <v>810</v>
      </c>
      <c r="L1202" s="55" t="s">
        <v>2737</v>
      </c>
      <c r="M1202" s="90">
        <v>34.200000000000003</v>
      </c>
      <c r="N1202" s="90">
        <v>-90.58</v>
      </c>
      <c r="O1202" s="90">
        <v>55.3</v>
      </c>
      <c r="U1202" s="55" t="s">
        <v>1694</v>
      </c>
      <c r="V1202" s="55" t="s">
        <v>1885</v>
      </c>
      <c r="Y1202" s="55" t="s">
        <v>1939</v>
      </c>
      <c r="Z1202" s="55" t="s">
        <v>1349</v>
      </c>
      <c r="AA1202" s="90" t="s">
        <v>1677</v>
      </c>
      <c r="AD1202" s="90">
        <v>1.325</v>
      </c>
      <c r="AH1202" s="55" t="s">
        <v>6378</v>
      </c>
      <c r="AM1202" s="55" t="s">
        <v>1313</v>
      </c>
      <c r="AN1202" s="185" t="s">
        <v>131</v>
      </c>
      <c r="AO1202" s="185" t="s">
        <v>5150</v>
      </c>
      <c r="AQ1202" s="55" t="s">
        <v>131</v>
      </c>
      <c r="AR1202" s="55" t="s">
        <v>560</v>
      </c>
      <c r="AS1202" s="55" t="s">
        <v>5133</v>
      </c>
      <c r="AU1202" s="181" t="s">
        <v>7494</v>
      </c>
      <c r="AV1202" s="185" t="s">
        <v>176</v>
      </c>
      <c r="AX1202" s="185" t="s">
        <v>176</v>
      </c>
      <c r="BE1202" s="226" t="s">
        <v>817</v>
      </c>
      <c r="BF1202" s="191" t="s">
        <v>479</v>
      </c>
      <c r="BG1202" s="55" t="s">
        <v>479</v>
      </c>
      <c r="BH1202" s="226" t="s">
        <v>817</v>
      </c>
      <c r="BI1202" s="55" t="s">
        <v>479</v>
      </c>
      <c r="BJ1202" s="55" t="s">
        <v>176</v>
      </c>
      <c r="BK1202" s="55" t="s">
        <v>5976</v>
      </c>
      <c r="BM1202" s="192" t="s">
        <v>160</v>
      </c>
      <c r="BN1202" s="55">
        <v>4</v>
      </c>
      <c r="BO1202" s="55">
        <v>4</v>
      </c>
      <c r="BQ1202" s="55" t="s">
        <v>141</v>
      </c>
      <c r="BS1202" s="55">
        <v>4242</v>
      </c>
      <c r="BV1202" s="55" t="s">
        <v>811</v>
      </c>
      <c r="CB1202" s="66">
        <v>1719</v>
      </c>
      <c r="CC1202" s="66">
        <v>1771</v>
      </c>
      <c r="GP1202" s="292" t="s">
        <v>7494</v>
      </c>
      <c r="JU1202" s="55" t="s">
        <v>823</v>
      </c>
      <c r="JW1202" s="55" t="s">
        <v>843</v>
      </c>
    </row>
    <row r="1203" spans="1:283" x14ac:dyDescent="0.25">
      <c r="A1203" s="55">
        <v>1202</v>
      </c>
      <c r="B1203" s="12" t="s">
        <v>7067</v>
      </c>
      <c r="C1203" s="155">
        <v>57</v>
      </c>
      <c r="D1203" s="55" t="s">
        <v>3932</v>
      </c>
      <c r="E1203" s="90" t="s">
        <v>808</v>
      </c>
      <c r="G1203" s="55" t="s">
        <v>809</v>
      </c>
      <c r="H1203" s="55">
        <v>1990</v>
      </c>
      <c r="I1203" s="55">
        <v>1978</v>
      </c>
      <c r="J1203" s="55" t="s">
        <v>813</v>
      </c>
      <c r="K1203" s="55" t="s">
        <v>810</v>
      </c>
      <c r="L1203" s="55" t="s">
        <v>2737</v>
      </c>
      <c r="M1203" s="90">
        <v>34.200000000000003</v>
      </c>
      <c r="N1203" s="90">
        <v>-90.58</v>
      </c>
      <c r="O1203" s="90">
        <v>55.3</v>
      </c>
      <c r="U1203" s="55" t="s">
        <v>1694</v>
      </c>
      <c r="V1203" s="55" t="s">
        <v>1885</v>
      </c>
      <c r="Y1203" s="55" t="s">
        <v>1939</v>
      </c>
      <c r="Z1203" s="55" t="s">
        <v>1349</v>
      </c>
      <c r="AA1203" s="90" t="s">
        <v>1677</v>
      </c>
      <c r="AD1203" s="90">
        <v>1.325</v>
      </c>
      <c r="AH1203" s="55" t="s">
        <v>6378</v>
      </c>
      <c r="AM1203" s="55" t="s">
        <v>1313</v>
      </c>
      <c r="AN1203" s="185" t="s">
        <v>241</v>
      </c>
      <c r="AO1203" s="185" t="s">
        <v>5150</v>
      </c>
      <c r="AQ1203" s="55" t="s">
        <v>553</v>
      </c>
      <c r="AR1203" s="55" t="s">
        <v>560</v>
      </c>
      <c r="AS1203" s="55" t="s">
        <v>5133</v>
      </c>
      <c r="AU1203" s="181" t="s">
        <v>7494</v>
      </c>
      <c r="AV1203" s="185" t="s">
        <v>176</v>
      </c>
      <c r="AX1203" s="185" t="s">
        <v>176</v>
      </c>
      <c r="BE1203" s="226" t="s">
        <v>817</v>
      </c>
      <c r="BF1203" s="191" t="s">
        <v>479</v>
      </c>
      <c r="BG1203" s="55" t="s">
        <v>479</v>
      </c>
      <c r="BH1203" s="226" t="s">
        <v>817</v>
      </c>
      <c r="BI1203" s="55" t="s">
        <v>479</v>
      </c>
      <c r="BJ1203" s="55" t="s">
        <v>176</v>
      </c>
      <c r="BK1203" s="55" t="s">
        <v>5976</v>
      </c>
      <c r="BM1203" s="192" t="s">
        <v>160</v>
      </c>
      <c r="BN1203" s="55">
        <v>4</v>
      </c>
      <c r="BO1203" s="55">
        <v>4</v>
      </c>
      <c r="BQ1203" s="55" t="s">
        <v>141</v>
      </c>
      <c r="BS1203" s="55">
        <v>1992</v>
      </c>
      <c r="BV1203" s="55" t="s">
        <v>811</v>
      </c>
      <c r="CB1203" s="66">
        <v>1719</v>
      </c>
      <c r="CC1203" s="66">
        <v>2120</v>
      </c>
      <c r="GP1203" s="292" t="s">
        <v>7494</v>
      </c>
      <c r="JU1203" s="55" t="s">
        <v>823</v>
      </c>
      <c r="JW1203" s="55" t="s">
        <v>843</v>
      </c>
    </row>
    <row r="1204" spans="1:283" x14ac:dyDescent="0.25">
      <c r="A1204" s="55">
        <v>1203</v>
      </c>
      <c r="B1204" s="12" t="s">
        <v>7067</v>
      </c>
      <c r="C1204" s="155">
        <v>57</v>
      </c>
      <c r="D1204" s="55" t="s">
        <v>3932</v>
      </c>
      <c r="E1204" s="90" t="s">
        <v>808</v>
      </c>
      <c r="G1204" s="55" t="s">
        <v>809</v>
      </c>
      <c r="H1204" s="55">
        <v>1990</v>
      </c>
      <c r="I1204" s="55">
        <v>1978</v>
      </c>
      <c r="J1204" s="55" t="s">
        <v>813</v>
      </c>
      <c r="K1204" s="55" t="s">
        <v>810</v>
      </c>
      <c r="L1204" s="55" t="s">
        <v>2737</v>
      </c>
      <c r="M1204" s="90">
        <v>34.200000000000003</v>
      </c>
      <c r="N1204" s="90">
        <v>-90.58</v>
      </c>
      <c r="O1204" s="90">
        <v>55.3</v>
      </c>
      <c r="U1204" s="55" t="s">
        <v>1694</v>
      </c>
      <c r="V1204" s="55" t="s">
        <v>1885</v>
      </c>
      <c r="Y1204" s="55" t="s">
        <v>1939</v>
      </c>
      <c r="Z1204" s="55" t="s">
        <v>1349</v>
      </c>
      <c r="AA1204" s="90" t="s">
        <v>1677</v>
      </c>
      <c r="AD1204" s="90">
        <v>1.325</v>
      </c>
      <c r="AH1204" s="55" t="s">
        <v>6378</v>
      </c>
      <c r="AM1204" s="55" t="s">
        <v>1313</v>
      </c>
      <c r="AN1204" s="185" t="s">
        <v>1482</v>
      </c>
      <c r="AO1204" s="185" t="s">
        <v>5150</v>
      </c>
      <c r="AQ1204" s="55" t="s">
        <v>1546</v>
      </c>
      <c r="AR1204" s="55" t="s">
        <v>560</v>
      </c>
      <c r="AS1204" s="55" t="s">
        <v>5133</v>
      </c>
      <c r="AU1204" s="181" t="s">
        <v>7494</v>
      </c>
      <c r="AV1204" s="185" t="s">
        <v>176</v>
      </c>
      <c r="AX1204" s="185" t="s">
        <v>176</v>
      </c>
      <c r="BE1204" s="226" t="s">
        <v>817</v>
      </c>
      <c r="BF1204" s="191" t="s">
        <v>479</v>
      </c>
      <c r="BG1204" s="55" t="s">
        <v>479</v>
      </c>
      <c r="BH1204" s="226" t="s">
        <v>817</v>
      </c>
      <c r="BI1204" s="55" t="s">
        <v>479</v>
      </c>
      <c r="BJ1204" s="55" t="s">
        <v>176</v>
      </c>
      <c r="BK1204" s="55" t="s">
        <v>5976</v>
      </c>
      <c r="BM1204" s="192" t="s">
        <v>160</v>
      </c>
      <c r="BN1204" s="55">
        <v>4</v>
      </c>
      <c r="BO1204" s="55">
        <v>4</v>
      </c>
      <c r="BQ1204" s="55" t="s">
        <v>141</v>
      </c>
      <c r="BS1204" s="55">
        <v>4201</v>
      </c>
      <c r="BV1204" s="55" t="s">
        <v>811</v>
      </c>
      <c r="CB1204" s="66">
        <v>1719</v>
      </c>
      <c r="CC1204" s="66">
        <v>2147</v>
      </c>
      <c r="GP1204" s="292" t="s">
        <v>7494</v>
      </c>
      <c r="JU1204" s="55" t="s">
        <v>823</v>
      </c>
      <c r="JW1204" s="55" t="s">
        <v>843</v>
      </c>
    </row>
    <row r="1205" spans="1:283" x14ac:dyDescent="0.25">
      <c r="A1205" s="55">
        <v>1204</v>
      </c>
      <c r="B1205" s="12" t="s">
        <v>7067</v>
      </c>
      <c r="C1205" s="155">
        <v>57</v>
      </c>
      <c r="D1205" s="55" t="s">
        <v>3933</v>
      </c>
      <c r="E1205" s="90" t="s">
        <v>808</v>
      </c>
      <c r="G1205" s="55" t="s">
        <v>809</v>
      </c>
      <c r="H1205" s="55">
        <v>1990</v>
      </c>
      <c r="I1205" s="55">
        <v>1979</v>
      </c>
      <c r="J1205" s="55" t="s">
        <v>813</v>
      </c>
      <c r="K1205" s="55" t="s">
        <v>810</v>
      </c>
      <c r="L1205" s="55" t="s">
        <v>2737</v>
      </c>
      <c r="M1205" s="90">
        <v>34.200000000000003</v>
      </c>
      <c r="N1205" s="90">
        <v>-90.58</v>
      </c>
      <c r="O1205" s="90">
        <v>55.3</v>
      </c>
      <c r="U1205" s="55" t="s">
        <v>1940</v>
      </c>
      <c r="V1205" s="55" t="s">
        <v>1885</v>
      </c>
      <c r="Y1205" s="55" t="s">
        <v>1939</v>
      </c>
      <c r="Z1205" s="55" t="s">
        <v>1349</v>
      </c>
      <c r="AA1205" s="90" t="s">
        <v>1677</v>
      </c>
      <c r="AD1205" s="90">
        <v>1.325</v>
      </c>
      <c r="AH1205" s="55" t="s">
        <v>6378</v>
      </c>
      <c r="AM1205" s="55" t="s">
        <v>1313</v>
      </c>
      <c r="AN1205" s="185" t="s">
        <v>241</v>
      </c>
      <c r="AO1205" s="185" t="s">
        <v>5150</v>
      </c>
      <c r="AQ1205" s="55" t="s">
        <v>553</v>
      </c>
      <c r="AR1205" s="55" t="s">
        <v>560</v>
      </c>
      <c r="AS1205" s="55" t="s">
        <v>5133</v>
      </c>
      <c r="AU1205" s="181" t="s">
        <v>7494</v>
      </c>
      <c r="AV1205" s="185" t="s">
        <v>176</v>
      </c>
      <c r="AX1205" s="185" t="s">
        <v>176</v>
      </c>
      <c r="BE1205" s="226" t="s">
        <v>817</v>
      </c>
      <c r="BF1205" s="191" t="s">
        <v>479</v>
      </c>
      <c r="BG1205" s="55" t="s">
        <v>479</v>
      </c>
      <c r="BH1205" s="226" t="s">
        <v>817</v>
      </c>
      <c r="BI1205" s="55" t="s">
        <v>479</v>
      </c>
      <c r="BJ1205" s="55" t="s">
        <v>176</v>
      </c>
      <c r="BK1205" s="55" t="s">
        <v>5976</v>
      </c>
      <c r="BM1205" s="192" t="s">
        <v>160</v>
      </c>
      <c r="BN1205" s="55">
        <v>4</v>
      </c>
      <c r="BO1205" s="55">
        <v>4</v>
      </c>
      <c r="BQ1205" s="55" t="s">
        <v>141</v>
      </c>
      <c r="BV1205" s="55" t="s">
        <v>811</v>
      </c>
      <c r="CB1205" s="66">
        <v>2135</v>
      </c>
      <c r="CC1205" s="66">
        <v>2158</v>
      </c>
      <c r="GP1205" s="292" t="s">
        <v>7494</v>
      </c>
      <c r="JU1205" s="55" t="s">
        <v>823</v>
      </c>
      <c r="JW1205" s="55" t="s">
        <v>844</v>
      </c>
    </row>
    <row r="1206" spans="1:283" x14ac:dyDescent="0.25">
      <c r="A1206" s="55">
        <v>1205</v>
      </c>
      <c r="B1206" s="12" t="s">
        <v>7067</v>
      </c>
      <c r="C1206" s="155">
        <v>57</v>
      </c>
      <c r="D1206" s="55" t="s">
        <v>3934</v>
      </c>
      <c r="E1206" s="90" t="s">
        <v>808</v>
      </c>
      <c r="G1206" s="55" t="s">
        <v>809</v>
      </c>
      <c r="H1206" s="55">
        <v>1990</v>
      </c>
      <c r="I1206" s="55">
        <v>1979</v>
      </c>
      <c r="J1206" s="55" t="s">
        <v>813</v>
      </c>
      <c r="K1206" s="55" t="s">
        <v>810</v>
      </c>
      <c r="L1206" s="55" t="s">
        <v>2737</v>
      </c>
      <c r="M1206" s="90">
        <v>34.200000000000003</v>
      </c>
      <c r="N1206" s="90">
        <v>-90.58</v>
      </c>
      <c r="O1206" s="90">
        <v>55.3</v>
      </c>
      <c r="U1206" s="55" t="s">
        <v>1940</v>
      </c>
      <c r="V1206" s="55" t="s">
        <v>1885</v>
      </c>
      <c r="Y1206" s="55" t="s">
        <v>1939</v>
      </c>
      <c r="Z1206" s="55" t="s">
        <v>1361</v>
      </c>
      <c r="AA1206" s="90" t="s">
        <v>1682</v>
      </c>
      <c r="AD1206" s="90">
        <v>1.325</v>
      </c>
      <c r="AH1206" s="55" t="s">
        <v>6378</v>
      </c>
      <c r="AM1206" s="55" t="s">
        <v>1313</v>
      </c>
      <c r="AN1206" s="185" t="s">
        <v>1482</v>
      </c>
      <c r="AO1206" s="185" t="s">
        <v>5150</v>
      </c>
      <c r="AQ1206" s="55" t="s">
        <v>1546</v>
      </c>
      <c r="AR1206" s="55" t="s">
        <v>560</v>
      </c>
      <c r="AS1206" s="55" t="s">
        <v>5133</v>
      </c>
      <c r="AU1206" s="181" t="s">
        <v>7494</v>
      </c>
      <c r="AV1206" s="185" t="s">
        <v>176</v>
      </c>
      <c r="AX1206" s="185" t="s">
        <v>176</v>
      </c>
      <c r="BE1206" s="226" t="s">
        <v>817</v>
      </c>
      <c r="BF1206" s="191" t="s">
        <v>479</v>
      </c>
      <c r="BG1206" s="55" t="s">
        <v>479</v>
      </c>
      <c r="BH1206" s="226" t="s">
        <v>817</v>
      </c>
      <c r="BI1206" s="55" t="s">
        <v>479</v>
      </c>
      <c r="BJ1206" s="55" t="s">
        <v>176</v>
      </c>
      <c r="BK1206" s="55" t="s">
        <v>5976</v>
      </c>
      <c r="BM1206" s="192" t="s">
        <v>160</v>
      </c>
      <c r="BN1206" s="55">
        <v>4</v>
      </c>
      <c r="BO1206" s="55">
        <v>4</v>
      </c>
      <c r="BQ1206" s="55" t="s">
        <v>141</v>
      </c>
      <c r="BV1206" s="55" t="s">
        <v>811</v>
      </c>
      <c r="CB1206" s="66">
        <v>2135</v>
      </c>
      <c r="CC1206" s="66">
        <v>2430</v>
      </c>
      <c r="CH1206" s="90">
        <v>1.28</v>
      </c>
      <c r="CI1206" s="90">
        <v>1.26</v>
      </c>
      <c r="CM1206" s="65">
        <v>1.4</v>
      </c>
      <c r="CN1206" s="65">
        <v>1.9</v>
      </c>
      <c r="CQ1206" s="65" t="s">
        <v>1633</v>
      </c>
      <c r="CV1206" s="65" t="s">
        <v>1630</v>
      </c>
      <c r="DA1206" s="65" t="s">
        <v>4453</v>
      </c>
      <c r="FE1206" s="65">
        <v>2.08</v>
      </c>
      <c r="FF1206" s="65">
        <v>3.46</v>
      </c>
      <c r="GI1206" s="65">
        <f>0.295-0.07</f>
        <v>0.22499999999999998</v>
      </c>
      <c r="GJ1206" s="65">
        <f>0.332-0.061</f>
        <v>0.27100000000000002</v>
      </c>
      <c r="GM1206" s="65" t="s">
        <v>825</v>
      </c>
      <c r="GP1206" s="292" t="s">
        <v>7494</v>
      </c>
      <c r="JU1206" s="55" t="s">
        <v>823</v>
      </c>
      <c r="JW1206" s="55" t="s">
        <v>844</v>
      </c>
    </row>
    <row r="1207" spans="1:283" x14ac:dyDescent="0.25">
      <c r="A1207" s="55">
        <v>1206</v>
      </c>
      <c r="B1207" s="12" t="s">
        <v>7067</v>
      </c>
      <c r="C1207" s="155">
        <v>57</v>
      </c>
      <c r="D1207" s="55" t="s">
        <v>3934</v>
      </c>
      <c r="E1207" s="90" t="s">
        <v>808</v>
      </c>
      <c r="G1207" s="55" t="s">
        <v>809</v>
      </c>
      <c r="H1207" s="55">
        <v>1990</v>
      </c>
      <c r="I1207" s="55">
        <v>1979</v>
      </c>
      <c r="J1207" s="55" t="s">
        <v>813</v>
      </c>
      <c r="K1207" s="55" t="s">
        <v>810</v>
      </c>
      <c r="L1207" s="55" t="s">
        <v>2737</v>
      </c>
      <c r="M1207" s="90">
        <v>34.200000000000003</v>
      </c>
      <c r="N1207" s="90">
        <v>-90.58</v>
      </c>
      <c r="O1207" s="90">
        <v>55.3</v>
      </c>
      <c r="U1207" s="55" t="s">
        <v>1940</v>
      </c>
      <c r="V1207" s="55" t="s">
        <v>1885</v>
      </c>
      <c r="Y1207" s="55" t="s">
        <v>1939</v>
      </c>
      <c r="Z1207" s="55" t="s">
        <v>1349</v>
      </c>
      <c r="AA1207" s="90" t="s">
        <v>1677</v>
      </c>
      <c r="AD1207" s="90">
        <v>1.325</v>
      </c>
      <c r="AH1207" s="55" t="s">
        <v>6378</v>
      </c>
      <c r="AM1207" s="55" t="s">
        <v>1313</v>
      </c>
      <c r="AN1207" s="185" t="s">
        <v>1483</v>
      </c>
      <c r="AO1207" s="185" t="s">
        <v>5150</v>
      </c>
      <c r="AQ1207" s="55" t="s">
        <v>1546</v>
      </c>
      <c r="AR1207" s="55" t="s">
        <v>560</v>
      </c>
      <c r="AS1207" s="55" t="s">
        <v>5133</v>
      </c>
      <c r="AU1207" s="181" t="s">
        <v>7494</v>
      </c>
      <c r="AV1207" s="185" t="s">
        <v>176</v>
      </c>
      <c r="AX1207" s="185" t="s">
        <v>176</v>
      </c>
      <c r="BE1207" s="226" t="s">
        <v>817</v>
      </c>
      <c r="BF1207" s="191" t="s">
        <v>479</v>
      </c>
      <c r="BG1207" s="55" t="s">
        <v>479</v>
      </c>
      <c r="BH1207" s="226" t="s">
        <v>817</v>
      </c>
      <c r="BI1207" s="55" t="s">
        <v>479</v>
      </c>
      <c r="BJ1207" s="55" t="s">
        <v>176</v>
      </c>
      <c r="BK1207" s="55" t="s">
        <v>5976</v>
      </c>
      <c r="BM1207" s="192" t="s">
        <v>160</v>
      </c>
      <c r="BN1207" s="55">
        <v>4</v>
      </c>
      <c r="BO1207" s="55">
        <v>4</v>
      </c>
      <c r="BQ1207" s="55" t="s">
        <v>141</v>
      </c>
      <c r="BV1207" s="55" t="s">
        <v>811</v>
      </c>
      <c r="CB1207" s="66">
        <v>2135</v>
      </c>
      <c r="CC1207" s="66">
        <v>2043</v>
      </c>
      <c r="GP1207" s="292" t="s">
        <v>7494</v>
      </c>
      <c r="JU1207" s="55" t="s">
        <v>823</v>
      </c>
      <c r="JW1207" s="55" t="s">
        <v>844</v>
      </c>
    </row>
    <row r="1208" spans="1:283" x14ac:dyDescent="0.25">
      <c r="A1208" s="55">
        <v>1207</v>
      </c>
      <c r="B1208" s="12" t="s">
        <v>7067</v>
      </c>
      <c r="C1208" s="155">
        <v>57</v>
      </c>
      <c r="D1208" s="55" t="s">
        <v>3933</v>
      </c>
      <c r="E1208" s="90" t="s">
        <v>808</v>
      </c>
      <c r="G1208" s="55" t="s">
        <v>809</v>
      </c>
      <c r="H1208" s="55">
        <v>1990</v>
      </c>
      <c r="I1208" s="55">
        <v>1980</v>
      </c>
      <c r="J1208" s="55" t="s">
        <v>813</v>
      </c>
      <c r="K1208" s="55" t="s">
        <v>810</v>
      </c>
      <c r="L1208" s="55" t="s">
        <v>2737</v>
      </c>
      <c r="M1208" s="90">
        <v>34.200000000000003</v>
      </c>
      <c r="N1208" s="90">
        <v>-90.58</v>
      </c>
      <c r="O1208" s="90">
        <v>55.3</v>
      </c>
      <c r="U1208" s="55" t="s">
        <v>1933</v>
      </c>
      <c r="V1208" s="55" t="s">
        <v>1885</v>
      </c>
      <c r="Y1208" s="55" t="s">
        <v>1939</v>
      </c>
      <c r="Z1208" s="55" t="s">
        <v>1349</v>
      </c>
      <c r="AA1208" s="90" t="s">
        <v>1677</v>
      </c>
      <c r="AD1208" s="90">
        <v>1.325</v>
      </c>
      <c r="AH1208" s="55" t="s">
        <v>6378</v>
      </c>
      <c r="AM1208" s="55" t="s">
        <v>1313</v>
      </c>
      <c r="AN1208" s="185" t="s">
        <v>241</v>
      </c>
      <c r="AO1208" s="185" t="s">
        <v>5150</v>
      </c>
      <c r="AQ1208" s="55" t="s">
        <v>553</v>
      </c>
      <c r="AR1208" s="55" t="s">
        <v>560</v>
      </c>
      <c r="AS1208" s="55" t="s">
        <v>5133</v>
      </c>
      <c r="AU1208" s="181" t="s">
        <v>7494</v>
      </c>
      <c r="AV1208" s="185" t="s">
        <v>176</v>
      </c>
      <c r="AX1208" s="185" t="s">
        <v>176</v>
      </c>
      <c r="BE1208" s="226" t="s">
        <v>818</v>
      </c>
      <c r="BF1208" s="191" t="s">
        <v>479</v>
      </c>
      <c r="BG1208" s="55" t="s">
        <v>479</v>
      </c>
      <c r="BH1208" s="226" t="s">
        <v>818</v>
      </c>
      <c r="BI1208" s="55" t="s">
        <v>479</v>
      </c>
      <c r="BJ1208" s="55" t="s">
        <v>176</v>
      </c>
      <c r="BK1208" s="55" t="s">
        <v>5976</v>
      </c>
      <c r="BM1208" s="192" t="s">
        <v>160</v>
      </c>
      <c r="BN1208" s="55">
        <v>4</v>
      </c>
      <c r="BO1208" s="55">
        <v>4</v>
      </c>
      <c r="BQ1208" s="55" t="s">
        <v>141</v>
      </c>
      <c r="BV1208" s="55" t="s">
        <v>811</v>
      </c>
      <c r="CB1208" s="66">
        <v>1796</v>
      </c>
      <c r="CC1208" s="66">
        <v>1921</v>
      </c>
      <c r="GP1208" s="292" t="s">
        <v>7494</v>
      </c>
      <c r="JU1208" s="55" t="s">
        <v>823</v>
      </c>
      <c r="JW1208" s="55" t="s">
        <v>845</v>
      </c>
    </row>
    <row r="1209" spans="1:283" x14ac:dyDescent="0.25">
      <c r="A1209" s="55">
        <v>1208</v>
      </c>
      <c r="B1209" s="12" t="s">
        <v>7067</v>
      </c>
      <c r="C1209" s="155">
        <v>57</v>
      </c>
      <c r="D1209" s="55" t="s">
        <v>3934</v>
      </c>
      <c r="E1209" s="90" t="s">
        <v>808</v>
      </c>
      <c r="G1209" s="55" t="s">
        <v>809</v>
      </c>
      <c r="H1209" s="55">
        <v>1990</v>
      </c>
      <c r="I1209" s="55">
        <v>1980</v>
      </c>
      <c r="J1209" s="55" t="s">
        <v>813</v>
      </c>
      <c r="K1209" s="55" t="s">
        <v>810</v>
      </c>
      <c r="L1209" s="55" t="s">
        <v>2737</v>
      </c>
      <c r="M1209" s="90">
        <v>34.200000000000003</v>
      </c>
      <c r="N1209" s="90">
        <v>-90.58</v>
      </c>
      <c r="O1209" s="90">
        <v>55.3</v>
      </c>
      <c r="U1209" s="55" t="s">
        <v>1933</v>
      </c>
      <c r="V1209" s="55" t="s">
        <v>1885</v>
      </c>
      <c r="Y1209" s="55" t="s">
        <v>1939</v>
      </c>
      <c r="Z1209" s="55" t="s">
        <v>1368</v>
      </c>
      <c r="AA1209" s="90" t="s">
        <v>1682</v>
      </c>
      <c r="AD1209" s="90">
        <v>1.325</v>
      </c>
      <c r="AH1209" s="55" t="s">
        <v>6378</v>
      </c>
      <c r="AM1209" s="55" t="s">
        <v>1313</v>
      </c>
      <c r="AN1209" s="185" t="s">
        <v>1482</v>
      </c>
      <c r="AO1209" s="185" t="s">
        <v>5150</v>
      </c>
      <c r="AQ1209" s="55" t="s">
        <v>1546</v>
      </c>
      <c r="AR1209" s="55" t="s">
        <v>560</v>
      </c>
      <c r="AS1209" s="55" t="s">
        <v>5133</v>
      </c>
      <c r="AU1209" s="181" t="s">
        <v>7494</v>
      </c>
      <c r="AV1209" s="185" t="s">
        <v>176</v>
      </c>
      <c r="AX1209" s="185" t="s">
        <v>176</v>
      </c>
      <c r="BE1209" s="226" t="s">
        <v>818</v>
      </c>
      <c r="BF1209" s="191" t="s">
        <v>479</v>
      </c>
      <c r="BG1209" s="55" t="s">
        <v>479</v>
      </c>
      <c r="BH1209" s="226" t="s">
        <v>818</v>
      </c>
      <c r="BI1209" s="55" t="s">
        <v>479</v>
      </c>
      <c r="BJ1209" s="55" t="s">
        <v>176</v>
      </c>
      <c r="BK1209" s="55" t="s">
        <v>5976</v>
      </c>
      <c r="BM1209" s="192" t="s">
        <v>160</v>
      </c>
      <c r="BN1209" s="55">
        <v>4</v>
      </c>
      <c r="BO1209" s="55">
        <v>4</v>
      </c>
      <c r="BQ1209" s="55" t="s">
        <v>141</v>
      </c>
      <c r="BV1209" s="55" t="s">
        <v>811</v>
      </c>
      <c r="CB1209" s="66">
        <v>1796</v>
      </c>
      <c r="CC1209" s="66">
        <v>2110</v>
      </c>
      <c r="CH1209" s="90">
        <v>1.39</v>
      </c>
      <c r="CI1209" s="90">
        <v>1.29</v>
      </c>
      <c r="CM1209" s="65">
        <v>1.1000000000000001</v>
      </c>
      <c r="CN1209" s="65">
        <v>1.3</v>
      </c>
      <c r="CQ1209" s="65" t="s">
        <v>1633</v>
      </c>
      <c r="CV1209" s="65" t="s">
        <v>1630</v>
      </c>
      <c r="DA1209" s="65" t="s">
        <v>4453</v>
      </c>
      <c r="FE1209" s="65">
        <v>2.31</v>
      </c>
      <c r="FF1209" s="65">
        <v>4.49</v>
      </c>
      <c r="GI1209" s="65">
        <f>0.351-0.081</f>
        <v>0.26999999999999996</v>
      </c>
      <c r="GJ1209" s="65">
        <f>0.312-0.071</f>
        <v>0.24099999999999999</v>
      </c>
      <c r="GM1209" s="65" t="s">
        <v>825</v>
      </c>
      <c r="GP1209" s="292" t="s">
        <v>7494</v>
      </c>
      <c r="JU1209" s="55" t="s">
        <v>823</v>
      </c>
      <c r="JW1209" s="55" t="s">
        <v>845</v>
      </c>
    </row>
    <row r="1210" spans="1:283" x14ac:dyDescent="0.25">
      <c r="A1210" s="55">
        <v>1209</v>
      </c>
      <c r="B1210" s="12" t="s">
        <v>7067</v>
      </c>
      <c r="C1210" s="155">
        <v>57</v>
      </c>
      <c r="D1210" s="55" t="s">
        <v>3934</v>
      </c>
      <c r="E1210" s="90" t="s">
        <v>808</v>
      </c>
      <c r="G1210" s="55" t="s">
        <v>809</v>
      </c>
      <c r="H1210" s="55">
        <v>1990</v>
      </c>
      <c r="I1210" s="55">
        <v>1980</v>
      </c>
      <c r="J1210" s="55" t="s">
        <v>813</v>
      </c>
      <c r="K1210" s="55" t="s">
        <v>810</v>
      </c>
      <c r="L1210" s="55" t="s">
        <v>2737</v>
      </c>
      <c r="M1210" s="90">
        <v>34.200000000000003</v>
      </c>
      <c r="N1210" s="90">
        <v>-90.58</v>
      </c>
      <c r="O1210" s="90">
        <v>55.3</v>
      </c>
      <c r="U1210" s="55" t="s">
        <v>1933</v>
      </c>
      <c r="V1210" s="55" t="s">
        <v>1885</v>
      </c>
      <c r="Y1210" s="55" t="s">
        <v>1939</v>
      </c>
      <c r="Z1210" s="55" t="s">
        <v>1349</v>
      </c>
      <c r="AA1210" s="90" t="s">
        <v>1677</v>
      </c>
      <c r="AD1210" s="90">
        <v>1.325</v>
      </c>
      <c r="AH1210" s="55" t="s">
        <v>6378</v>
      </c>
      <c r="AM1210" s="55" t="s">
        <v>1313</v>
      </c>
      <c r="AN1210" s="185" t="s">
        <v>1483</v>
      </c>
      <c r="AO1210" s="185" t="s">
        <v>5150</v>
      </c>
      <c r="AQ1210" s="55" t="s">
        <v>1546</v>
      </c>
      <c r="AR1210" s="55" t="s">
        <v>560</v>
      </c>
      <c r="AS1210" s="55" t="s">
        <v>5133</v>
      </c>
      <c r="AU1210" s="181" t="s">
        <v>7494</v>
      </c>
      <c r="AV1210" s="185" t="s">
        <v>176</v>
      </c>
      <c r="AX1210" s="185" t="s">
        <v>176</v>
      </c>
      <c r="BE1210" s="226" t="s">
        <v>818</v>
      </c>
      <c r="BF1210" s="191" t="s">
        <v>479</v>
      </c>
      <c r="BG1210" s="55" t="s">
        <v>479</v>
      </c>
      <c r="BH1210" s="226" t="s">
        <v>818</v>
      </c>
      <c r="BI1210" s="55" t="s">
        <v>479</v>
      </c>
      <c r="BJ1210" s="55" t="s">
        <v>176</v>
      </c>
      <c r="BK1210" s="55" t="s">
        <v>5976</v>
      </c>
      <c r="BM1210" s="192" t="s">
        <v>160</v>
      </c>
      <c r="BN1210" s="55">
        <v>4</v>
      </c>
      <c r="BO1210" s="55">
        <v>4</v>
      </c>
      <c r="BQ1210" s="55" t="s">
        <v>141</v>
      </c>
      <c r="BV1210" s="55" t="s">
        <v>811</v>
      </c>
      <c r="CB1210" s="66">
        <v>1796</v>
      </c>
      <c r="CC1210" s="66">
        <v>1932</v>
      </c>
      <c r="GP1210" s="292" t="s">
        <v>7494</v>
      </c>
      <c r="JU1210" s="55" t="s">
        <v>823</v>
      </c>
      <c r="JW1210" s="55" t="s">
        <v>845</v>
      </c>
    </row>
    <row r="1211" spans="1:283" x14ac:dyDescent="0.25">
      <c r="A1211" s="55">
        <v>1210</v>
      </c>
      <c r="B1211" s="12" t="s">
        <v>7067</v>
      </c>
      <c r="C1211" s="155">
        <v>57</v>
      </c>
      <c r="D1211" s="55" t="s">
        <v>3933</v>
      </c>
      <c r="E1211" s="90" t="s">
        <v>808</v>
      </c>
      <c r="G1211" s="55" t="s">
        <v>809</v>
      </c>
      <c r="H1211" s="55">
        <v>1990</v>
      </c>
      <c r="I1211" s="55">
        <v>1981</v>
      </c>
      <c r="J1211" s="55" t="s">
        <v>813</v>
      </c>
      <c r="K1211" s="55" t="s">
        <v>810</v>
      </c>
      <c r="L1211" s="55" t="s">
        <v>2737</v>
      </c>
      <c r="M1211" s="90">
        <v>34.200000000000003</v>
      </c>
      <c r="N1211" s="90">
        <v>-90.58</v>
      </c>
      <c r="O1211" s="90">
        <v>55.3</v>
      </c>
      <c r="U1211" s="55" t="s">
        <v>1679</v>
      </c>
      <c r="V1211" s="55" t="s">
        <v>1885</v>
      </c>
      <c r="Y1211" s="55" t="s">
        <v>1939</v>
      </c>
      <c r="Z1211" s="55" t="s">
        <v>1349</v>
      </c>
      <c r="AA1211" s="90" t="s">
        <v>1677</v>
      </c>
      <c r="AD1211" s="90">
        <v>1.325</v>
      </c>
      <c r="AH1211" s="55" t="s">
        <v>6378</v>
      </c>
      <c r="AM1211" s="55" t="s">
        <v>1313</v>
      </c>
      <c r="AN1211" s="185" t="s">
        <v>241</v>
      </c>
      <c r="AO1211" s="185" t="s">
        <v>5150</v>
      </c>
      <c r="AQ1211" s="55" t="s">
        <v>553</v>
      </c>
      <c r="AR1211" s="55" t="s">
        <v>560</v>
      </c>
      <c r="AS1211" s="55" t="s">
        <v>5133</v>
      </c>
      <c r="AU1211" s="181" t="s">
        <v>7494</v>
      </c>
      <c r="AV1211" s="185" t="s">
        <v>176</v>
      </c>
      <c r="AX1211" s="185" t="s">
        <v>176</v>
      </c>
      <c r="BE1211" s="226" t="s">
        <v>819</v>
      </c>
      <c r="BF1211" s="191" t="s">
        <v>479</v>
      </c>
      <c r="BG1211" s="55" t="s">
        <v>479</v>
      </c>
      <c r="BH1211" s="226" t="s">
        <v>819</v>
      </c>
      <c r="BI1211" s="55" t="s">
        <v>479</v>
      </c>
      <c r="BJ1211" s="55" t="s">
        <v>176</v>
      </c>
      <c r="BK1211" s="55" t="s">
        <v>5976</v>
      </c>
      <c r="BM1211" s="192" t="s">
        <v>160</v>
      </c>
      <c r="BN1211" s="55">
        <v>4</v>
      </c>
      <c r="BO1211" s="55">
        <v>4</v>
      </c>
      <c r="BQ1211" s="55" t="s">
        <v>141</v>
      </c>
      <c r="BV1211" s="55" t="s">
        <v>811</v>
      </c>
      <c r="CB1211" s="66">
        <v>1944</v>
      </c>
      <c r="CC1211" s="66">
        <v>2782</v>
      </c>
      <c r="GP1211" s="292" t="s">
        <v>7494</v>
      </c>
      <c r="JU1211" s="55" t="s">
        <v>823</v>
      </c>
      <c r="JW1211" s="55" t="s">
        <v>846</v>
      </c>
    </row>
    <row r="1212" spans="1:283" x14ac:dyDescent="0.25">
      <c r="A1212" s="55">
        <v>1211</v>
      </c>
      <c r="B1212" s="12" t="s">
        <v>7067</v>
      </c>
      <c r="C1212" s="155">
        <v>57</v>
      </c>
      <c r="D1212" s="55" t="s">
        <v>3934</v>
      </c>
      <c r="E1212" s="90" t="s">
        <v>808</v>
      </c>
      <c r="G1212" s="55" t="s">
        <v>809</v>
      </c>
      <c r="H1212" s="55">
        <v>1990</v>
      </c>
      <c r="I1212" s="55">
        <v>1981</v>
      </c>
      <c r="J1212" s="55" t="s">
        <v>813</v>
      </c>
      <c r="K1212" s="55" t="s">
        <v>810</v>
      </c>
      <c r="L1212" s="55" t="s">
        <v>2737</v>
      </c>
      <c r="M1212" s="90">
        <v>34.200000000000003</v>
      </c>
      <c r="N1212" s="90">
        <v>-90.58</v>
      </c>
      <c r="O1212" s="90">
        <v>55.3</v>
      </c>
      <c r="U1212" s="55" t="s">
        <v>1679</v>
      </c>
      <c r="V1212" s="55" t="s">
        <v>1885</v>
      </c>
      <c r="Y1212" s="55" t="s">
        <v>1939</v>
      </c>
      <c r="Z1212" s="55" t="s">
        <v>1376</v>
      </c>
      <c r="AA1212" s="90" t="s">
        <v>1682</v>
      </c>
      <c r="AD1212" s="90">
        <v>1.325</v>
      </c>
      <c r="AH1212" s="55" t="s">
        <v>6378</v>
      </c>
      <c r="AM1212" s="55" t="s">
        <v>1313</v>
      </c>
      <c r="AN1212" s="185" t="s">
        <v>1482</v>
      </c>
      <c r="AO1212" s="185" t="s">
        <v>5150</v>
      </c>
      <c r="AQ1212" s="55" t="s">
        <v>1546</v>
      </c>
      <c r="AR1212" s="55" t="s">
        <v>560</v>
      </c>
      <c r="AS1212" s="55" t="s">
        <v>5133</v>
      </c>
      <c r="AU1212" s="181" t="s">
        <v>7494</v>
      </c>
      <c r="AV1212" s="185" t="s">
        <v>176</v>
      </c>
      <c r="AX1212" s="185" t="s">
        <v>176</v>
      </c>
      <c r="BE1212" s="226" t="s">
        <v>819</v>
      </c>
      <c r="BF1212" s="191" t="s">
        <v>479</v>
      </c>
      <c r="BG1212" s="55" t="s">
        <v>479</v>
      </c>
      <c r="BH1212" s="226" t="s">
        <v>819</v>
      </c>
      <c r="BI1212" s="55" t="s">
        <v>479</v>
      </c>
      <c r="BJ1212" s="55" t="s">
        <v>176</v>
      </c>
      <c r="BK1212" s="55" t="s">
        <v>5976</v>
      </c>
      <c r="BM1212" s="192" t="s">
        <v>160</v>
      </c>
      <c r="BN1212" s="55">
        <v>4</v>
      </c>
      <c r="BO1212" s="55">
        <v>4</v>
      </c>
      <c r="BQ1212" s="55" t="s">
        <v>141</v>
      </c>
      <c r="BV1212" s="55" t="s">
        <v>811</v>
      </c>
      <c r="CB1212" s="66">
        <v>1944</v>
      </c>
      <c r="CC1212" s="66">
        <v>2947</v>
      </c>
      <c r="CH1212" s="90">
        <v>1.39</v>
      </c>
      <c r="CI1212" s="90">
        <v>1.34</v>
      </c>
      <c r="CM1212" s="65">
        <v>1.1000000000000001</v>
      </c>
      <c r="CN1212" s="65">
        <v>0.9</v>
      </c>
      <c r="CQ1212" s="65" t="s">
        <v>1633</v>
      </c>
      <c r="CV1212" s="65" t="s">
        <v>1630</v>
      </c>
      <c r="DA1212" s="65" t="s">
        <v>4453</v>
      </c>
      <c r="FE1212" s="65">
        <v>1.43</v>
      </c>
      <c r="FF1212" s="65">
        <v>5.13</v>
      </c>
      <c r="GI1212" s="65">
        <f>0.299-0.087</f>
        <v>0.21199999999999999</v>
      </c>
      <c r="GJ1212" s="65">
        <f>0.308-0.087</f>
        <v>0.221</v>
      </c>
      <c r="GM1212" s="65" t="s">
        <v>825</v>
      </c>
      <c r="GP1212" s="292" t="s">
        <v>7494</v>
      </c>
      <c r="JU1212" s="55" t="s">
        <v>823</v>
      </c>
      <c r="JW1212" s="55" t="s">
        <v>846</v>
      </c>
    </row>
    <row r="1213" spans="1:283" x14ac:dyDescent="0.25">
      <c r="A1213" s="55">
        <v>1212</v>
      </c>
      <c r="B1213" s="12" t="s">
        <v>7067</v>
      </c>
      <c r="C1213" s="155">
        <v>57</v>
      </c>
      <c r="D1213" s="55" t="s">
        <v>3934</v>
      </c>
      <c r="E1213" s="90" t="s">
        <v>808</v>
      </c>
      <c r="G1213" s="55" t="s">
        <v>809</v>
      </c>
      <c r="H1213" s="55">
        <v>1990</v>
      </c>
      <c r="I1213" s="55">
        <v>1981</v>
      </c>
      <c r="J1213" s="55" t="s">
        <v>813</v>
      </c>
      <c r="K1213" s="55" t="s">
        <v>810</v>
      </c>
      <c r="L1213" s="55" t="s">
        <v>2737</v>
      </c>
      <c r="M1213" s="90">
        <v>34.200000000000003</v>
      </c>
      <c r="N1213" s="90">
        <v>-90.58</v>
      </c>
      <c r="O1213" s="90">
        <v>55.3</v>
      </c>
      <c r="U1213" s="55" t="s">
        <v>1679</v>
      </c>
      <c r="V1213" s="55" t="s">
        <v>1885</v>
      </c>
      <c r="Y1213" s="55" t="s">
        <v>1939</v>
      </c>
      <c r="Z1213" s="55" t="s">
        <v>1349</v>
      </c>
      <c r="AA1213" s="90" t="s">
        <v>1677</v>
      </c>
      <c r="AD1213" s="90">
        <v>1.325</v>
      </c>
      <c r="AH1213" s="55" t="s">
        <v>6378</v>
      </c>
      <c r="AM1213" s="55" t="s">
        <v>1313</v>
      </c>
      <c r="AN1213" s="185" t="s">
        <v>1483</v>
      </c>
      <c r="AO1213" s="185" t="s">
        <v>5150</v>
      </c>
      <c r="AQ1213" s="55" t="s">
        <v>1546</v>
      </c>
      <c r="AR1213" s="55" t="s">
        <v>560</v>
      </c>
      <c r="AS1213" s="55" t="s">
        <v>5133</v>
      </c>
      <c r="AU1213" s="181" t="s">
        <v>7494</v>
      </c>
      <c r="AV1213" s="185" t="s">
        <v>176</v>
      </c>
      <c r="AX1213" s="185" t="s">
        <v>176</v>
      </c>
      <c r="BE1213" s="226" t="s">
        <v>819</v>
      </c>
      <c r="BF1213" s="191" t="s">
        <v>479</v>
      </c>
      <c r="BG1213" s="55" t="s">
        <v>479</v>
      </c>
      <c r="BH1213" s="226" t="s">
        <v>819</v>
      </c>
      <c r="BI1213" s="55" t="s">
        <v>479</v>
      </c>
      <c r="BJ1213" s="55" t="s">
        <v>176</v>
      </c>
      <c r="BK1213" s="55" t="s">
        <v>5976</v>
      </c>
      <c r="BM1213" s="192" t="s">
        <v>160</v>
      </c>
      <c r="BN1213" s="55">
        <v>4</v>
      </c>
      <c r="BO1213" s="55">
        <v>4</v>
      </c>
      <c r="BQ1213" s="55" t="s">
        <v>141</v>
      </c>
      <c r="BV1213" s="55" t="s">
        <v>811</v>
      </c>
      <c r="CB1213" s="66">
        <v>1944</v>
      </c>
      <c r="CC1213" s="66">
        <v>2395</v>
      </c>
      <c r="GP1213" s="292" t="s">
        <v>7494</v>
      </c>
      <c r="JU1213" s="55" t="s">
        <v>823</v>
      </c>
      <c r="JW1213" s="55" t="s">
        <v>846</v>
      </c>
    </row>
    <row r="1214" spans="1:283" x14ac:dyDescent="0.25">
      <c r="A1214" s="55">
        <v>1213</v>
      </c>
      <c r="B1214" s="12" t="s">
        <v>7067</v>
      </c>
      <c r="C1214" s="155">
        <v>57</v>
      </c>
      <c r="D1214" s="55" t="s">
        <v>3935</v>
      </c>
      <c r="E1214" s="90" t="s">
        <v>808</v>
      </c>
      <c r="G1214" s="55" t="s">
        <v>809</v>
      </c>
      <c r="H1214" s="55">
        <v>1990</v>
      </c>
      <c r="I1214" s="55">
        <v>1983</v>
      </c>
      <c r="J1214" s="55" t="s">
        <v>813</v>
      </c>
      <c r="K1214" s="55" t="s">
        <v>810</v>
      </c>
      <c r="L1214" s="55" t="s">
        <v>2737</v>
      </c>
      <c r="M1214" s="90">
        <v>34.200000000000003</v>
      </c>
      <c r="N1214" s="90">
        <v>-90.58</v>
      </c>
      <c r="O1214" s="90">
        <v>55.3</v>
      </c>
      <c r="U1214" s="55" t="s">
        <v>1889</v>
      </c>
      <c r="V1214" s="55" t="s">
        <v>1885</v>
      </c>
      <c r="Y1214" s="55" t="s">
        <v>1939</v>
      </c>
      <c r="Z1214" s="55" t="s">
        <v>1349</v>
      </c>
      <c r="AA1214" s="90" t="s">
        <v>1677</v>
      </c>
      <c r="AD1214" s="90">
        <v>1.325</v>
      </c>
      <c r="AH1214" s="55" t="s">
        <v>6378</v>
      </c>
      <c r="AM1214" s="55" t="s">
        <v>1313</v>
      </c>
      <c r="AN1214" s="185" t="s">
        <v>241</v>
      </c>
      <c r="AO1214" s="185" t="s">
        <v>5150</v>
      </c>
      <c r="AQ1214" s="55" t="s">
        <v>553</v>
      </c>
      <c r="AR1214" s="55" t="s">
        <v>560</v>
      </c>
      <c r="AS1214" s="55" t="s">
        <v>5133</v>
      </c>
      <c r="AU1214" s="181" t="s">
        <v>7494</v>
      </c>
      <c r="AV1214" s="185" t="s">
        <v>176</v>
      </c>
      <c r="AX1214" s="185" t="s">
        <v>176</v>
      </c>
      <c r="BE1214" s="226" t="s">
        <v>820</v>
      </c>
      <c r="BF1214" s="191" t="s">
        <v>479</v>
      </c>
      <c r="BG1214" s="55" t="s">
        <v>479</v>
      </c>
      <c r="BH1214" s="226" t="s">
        <v>820</v>
      </c>
      <c r="BI1214" s="55" t="s">
        <v>479</v>
      </c>
      <c r="BJ1214" s="55" t="s">
        <v>176</v>
      </c>
      <c r="BK1214" s="55" t="s">
        <v>5976</v>
      </c>
      <c r="BM1214" s="192" t="s">
        <v>160</v>
      </c>
      <c r="BN1214" s="55">
        <v>4</v>
      </c>
      <c r="BO1214" s="55">
        <v>4</v>
      </c>
      <c r="BQ1214" s="55" t="s">
        <v>141</v>
      </c>
      <c r="BS1214" s="55">
        <v>3117</v>
      </c>
      <c r="BV1214" s="55" t="s">
        <v>811</v>
      </c>
      <c r="CB1214" s="66">
        <v>2930</v>
      </c>
      <c r="CC1214" s="66">
        <v>3145</v>
      </c>
      <c r="GP1214" s="292" t="s">
        <v>7494</v>
      </c>
      <c r="JU1214" s="55" t="s">
        <v>823</v>
      </c>
      <c r="JW1214" s="55" t="s">
        <v>847</v>
      </c>
    </row>
    <row r="1215" spans="1:283" x14ac:dyDescent="0.25">
      <c r="A1215" s="55">
        <v>1214</v>
      </c>
      <c r="B1215" s="12" t="s">
        <v>7067</v>
      </c>
      <c r="C1215" s="155">
        <v>57</v>
      </c>
      <c r="D1215" s="55" t="s">
        <v>3936</v>
      </c>
      <c r="E1215" s="90" t="s">
        <v>808</v>
      </c>
      <c r="G1215" s="55" t="s">
        <v>809</v>
      </c>
      <c r="H1215" s="55">
        <v>1990</v>
      </c>
      <c r="I1215" s="55">
        <v>1983</v>
      </c>
      <c r="J1215" s="55" t="s">
        <v>813</v>
      </c>
      <c r="K1215" s="55" t="s">
        <v>810</v>
      </c>
      <c r="L1215" s="55" t="s">
        <v>2737</v>
      </c>
      <c r="M1215" s="90">
        <v>34.200000000000003</v>
      </c>
      <c r="N1215" s="90">
        <v>-90.58</v>
      </c>
      <c r="O1215" s="90">
        <v>55.3</v>
      </c>
      <c r="U1215" s="55" t="s">
        <v>1889</v>
      </c>
      <c r="V1215" s="55" t="s">
        <v>1885</v>
      </c>
      <c r="Y1215" s="55" t="s">
        <v>1939</v>
      </c>
      <c r="Z1215" s="55" t="s">
        <v>1349</v>
      </c>
      <c r="AA1215" s="90" t="s">
        <v>1677</v>
      </c>
      <c r="AD1215" s="90">
        <v>1.325</v>
      </c>
      <c r="AH1215" s="55" t="s">
        <v>6378</v>
      </c>
      <c r="AM1215" s="55" t="s">
        <v>1313</v>
      </c>
      <c r="AN1215" s="185" t="s">
        <v>1482</v>
      </c>
      <c r="AO1215" s="185" t="s">
        <v>5150</v>
      </c>
      <c r="AQ1215" s="55" t="s">
        <v>1546</v>
      </c>
      <c r="AR1215" s="55" t="s">
        <v>560</v>
      </c>
      <c r="AS1215" s="55" t="s">
        <v>5133</v>
      </c>
      <c r="AU1215" s="181" t="s">
        <v>7494</v>
      </c>
      <c r="AV1215" s="185" t="s">
        <v>176</v>
      </c>
      <c r="AX1215" s="185" t="s">
        <v>176</v>
      </c>
      <c r="BE1215" s="226" t="s">
        <v>820</v>
      </c>
      <c r="BF1215" s="191" t="s">
        <v>479</v>
      </c>
      <c r="BG1215" s="55" t="s">
        <v>479</v>
      </c>
      <c r="BH1215" s="226" t="s">
        <v>820</v>
      </c>
      <c r="BI1215" s="55" t="s">
        <v>479</v>
      </c>
      <c r="BJ1215" s="55" t="s">
        <v>176</v>
      </c>
      <c r="BK1215" s="55" t="s">
        <v>5976</v>
      </c>
      <c r="BM1215" s="192" t="s">
        <v>160</v>
      </c>
      <c r="BN1215" s="55">
        <v>4</v>
      </c>
      <c r="BO1215" s="55">
        <v>4</v>
      </c>
      <c r="BQ1215" s="55" t="s">
        <v>141</v>
      </c>
      <c r="BS1215" s="55">
        <v>2615</v>
      </c>
      <c r="BV1215" s="55" t="s">
        <v>811</v>
      </c>
      <c r="CB1215" s="66">
        <v>2930</v>
      </c>
      <c r="CC1215" s="66">
        <v>3156</v>
      </c>
      <c r="GP1215" s="292" t="s">
        <v>7494</v>
      </c>
      <c r="JU1215" s="55" t="s">
        <v>823</v>
      </c>
      <c r="JW1215" s="55" t="s">
        <v>847</v>
      </c>
    </row>
    <row r="1216" spans="1:283" x14ac:dyDescent="0.25">
      <c r="A1216" s="55">
        <v>1215</v>
      </c>
      <c r="B1216" s="12" t="s">
        <v>7067</v>
      </c>
      <c r="C1216" s="155">
        <v>57</v>
      </c>
      <c r="D1216" s="55" t="s">
        <v>3935</v>
      </c>
      <c r="E1216" s="90" t="s">
        <v>808</v>
      </c>
      <c r="G1216" s="55" t="s">
        <v>809</v>
      </c>
      <c r="H1216" s="55">
        <v>1990</v>
      </c>
      <c r="I1216" s="55">
        <v>1983</v>
      </c>
      <c r="J1216" s="55" t="s">
        <v>813</v>
      </c>
      <c r="K1216" s="55" t="s">
        <v>810</v>
      </c>
      <c r="L1216" s="55" t="s">
        <v>2737</v>
      </c>
      <c r="M1216" s="90">
        <v>34.200000000000003</v>
      </c>
      <c r="N1216" s="90">
        <v>-90.58</v>
      </c>
      <c r="O1216" s="90">
        <v>55.3</v>
      </c>
      <c r="U1216" s="55" t="s">
        <v>1889</v>
      </c>
      <c r="V1216" s="55" t="s">
        <v>1885</v>
      </c>
      <c r="Y1216" s="55" t="s">
        <v>1939</v>
      </c>
      <c r="Z1216" s="55" t="s">
        <v>1349</v>
      </c>
      <c r="AA1216" s="90" t="s">
        <v>1677</v>
      </c>
      <c r="AD1216" s="90">
        <v>1.325</v>
      </c>
      <c r="AH1216" s="55" t="s">
        <v>6378</v>
      </c>
      <c r="AM1216" s="55" t="s">
        <v>1313</v>
      </c>
      <c r="AN1216" s="185" t="s">
        <v>1483</v>
      </c>
      <c r="AO1216" s="185" t="s">
        <v>5150</v>
      </c>
      <c r="AQ1216" s="55" t="s">
        <v>1546</v>
      </c>
      <c r="AR1216" s="55" t="s">
        <v>560</v>
      </c>
      <c r="AS1216" s="55" t="s">
        <v>5133</v>
      </c>
      <c r="AU1216" s="181" t="s">
        <v>7494</v>
      </c>
      <c r="AV1216" s="185" t="s">
        <v>176</v>
      </c>
      <c r="AX1216" s="185" t="s">
        <v>176</v>
      </c>
      <c r="BE1216" s="226" t="s">
        <v>820</v>
      </c>
      <c r="BF1216" s="191" t="s">
        <v>479</v>
      </c>
      <c r="BG1216" s="55" t="s">
        <v>479</v>
      </c>
      <c r="BH1216" s="226" t="s">
        <v>820</v>
      </c>
      <c r="BI1216" s="55" t="s">
        <v>479</v>
      </c>
      <c r="BJ1216" s="55" t="s">
        <v>176</v>
      </c>
      <c r="BK1216" s="55" t="s">
        <v>5976</v>
      </c>
      <c r="BM1216" s="192" t="s">
        <v>160</v>
      </c>
      <c r="BN1216" s="55">
        <v>4</v>
      </c>
      <c r="BO1216" s="55">
        <v>4</v>
      </c>
      <c r="BQ1216" s="55" t="s">
        <v>141</v>
      </c>
      <c r="BS1216" s="55">
        <v>4054</v>
      </c>
      <c r="BV1216" s="55" t="s">
        <v>811</v>
      </c>
      <c r="CB1216" s="66">
        <v>2930</v>
      </c>
      <c r="CC1216" s="66">
        <v>3053</v>
      </c>
      <c r="GP1216" s="292" t="s">
        <v>7494</v>
      </c>
      <c r="JU1216" s="55" t="s">
        <v>823</v>
      </c>
      <c r="JW1216" s="55" t="s">
        <v>847</v>
      </c>
    </row>
    <row r="1217" spans="1:283" x14ac:dyDescent="0.25">
      <c r="A1217" s="55">
        <v>1216</v>
      </c>
      <c r="B1217" s="12" t="s">
        <v>7067</v>
      </c>
      <c r="C1217" s="155">
        <v>57</v>
      </c>
      <c r="D1217" s="55" t="s">
        <v>3935</v>
      </c>
      <c r="E1217" s="90" t="s">
        <v>808</v>
      </c>
      <c r="G1217" s="55" t="s">
        <v>809</v>
      </c>
      <c r="H1217" s="55">
        <v>1990</v>
      </c>
      <c r="I1217" s="55">
        <v>1984</v>
      </c>
      <c r="J1217" s="55" t="s">
        <v>813</v>
      </c>
      <c r="K1217" s="55" t="s">
        <v>810</v>
      </c>
      <c r="L1217" s="55" t="s">
        <v>2737</v>
      </c>
      <c r="M1217" s="90">
        <v>34.200000000000003</v>
      </c>
      <c r="N1217" s="90">
        <v>-90.58</v>
      </c>
      <c r="O1217" s="90">
        <v>55.3</v>
      </c>
      <c r="U1217" s="55" t="s">
        <v>1875</v>
      </c>
      <c r="V1217" s="55" t="s">
        <v>1885</v>
      </c>
      <c r="Y1217" s="55" t="s">
        <v>1939</v>
      </c>
      <c r="Z1217" s="55" t="s">
        <v>1349</v>
      </c>
      <c r="AA1217" s="90" t="s">
        <v>1677</v>
      </c>
      <c r="AD1217" s="90">
        <v>1.325</v>
      </c>
      <c r="AH1217" s="55" t="s">
        <v>6378</v>
      </c>
      <c r="AM1217" s="55" t="s">
        <v>1313</v>
      </c>
      <c r="AN1217" s="185" t="s">
        <v>241</v>
      </c>
      <c r="AO1217" s="185" t="s">
        <v>5150</v>
      </c>
      <c r="AQ1217" s="55" t="s">
        <v>553</v>
      </c>
      <c r="AR1217" s="55" t="s">
        <v>560</v>
      </c>
      <c r="AS1217" s="55" t="s">
        <v>5133</v>
      </c>
      <c r="AU1217" s="181" t="s">
        <v>7494</v>
      </c>
      <c r="AV1217" s="185" t="s">
        <v>176</v>
      </c>
      <c r="AX1217" s="185" t="s">
        <v>176</v>
      </c>
      <c r="BE1217" s="226" t="s">
        <v>821</v>
      </c>
      <c r="BF1217" s="191" t="s">
        <v>479</v>
      </c>
      <c r="BG1217" s="55" t="s">
        <v>479</v>
      </c>
      <c r="BH1217" s="226" t="s">
        <v>821</v>
      </c>
      <c r="BI1217" s="55" t="s">
        <v>479</v>
      </c>
      <c r="BJ1217" s="55" t="s">
        <v>176</v>
      </c>
      <c r="BK1217" s="55" t="s">
        <v>5976</v>
      </c>
      <c r="BM1217" s="192" t="s">
        <v>160</v>
      </c>
      <c r="BN1217" s="55">
        <v>4</v>
      </c>
      <c r="BO1217" s="55">
        <v>4</v>
      </c>
      <c r="BQ1217" s="55" t="s">
        <v>141</v>
      </c>
      <c r="BV1217" s="55" t="s">
        <v>811</v>
      </c>
      <c r="CB1217" s="66">
        <v>2012</v>
      </c>
      <c r="CC1217" s="66">
        <v>2461</v>
      </c>
      <c r="GP1217" s="292" t="s">
        <v>7494</v>
      </c>
      <c r="JU1217" s="55" t="s">
        <v>823</v>
      </c>
      <c r="JW1217" s="55" t="s">
        <v>848</v>
      </c>
    </row>
    <row r="1218" spans="1:283" x14ac:dyDescent="0.25">
      <c r="A1218" s="55">
        <v>1217</v>
      </c>
      <c r="B1218" s="12" t="s">
        <v>7067</v>
      </c>
      <c r="C1218" s="155">
        <v>57</v>
      </c>
      <c r="D1218" s="55" t="s">
        <v>3936</v>
      </c>
      <c r="E1218" s="90" t="s">
        <v>808</v>
      </c>
      <c r="G1218" s="55" t="s">
        <v>809</v>
      </c>
      <c r="H1218" s="55">
        <v>1990</v>
      </c>
      <c r="I1218" s="55">
        <v>1984</v>
      </c>
      <c r="J1218" s="55" t="s">
        <v>813</v>
      </c>
      <c r="K1218" s="55" t="s">
        <v>810</v>
      </c>
      <c r="L1218" s="55" t="s">
        <v>2737</v>
      </c>
      <c r="M1218" s="90">
        <v>34.200000000000003</v>
      </c>
      <c r="N1218" s="90">
        <v>-90.58</v>
      </c>
      <c r="O1218" s="90">
        <v>55.3</v>
      </c>
      <c r="U1218" s="55" t="s">
        <v>1875</v>
      </c>
      <c r="V1218" s="55" t="s">
        <v>1885</v>
      </c>
      <c r="Y1218" s="55" t="s">
        <v>1939</v>
      </c>
      <c r="Z1218" s="55" t="s">
        <v>1349</v>
      </c>
      <c r="AA1218" s="90" t="s">
        <v>1677</v>
      </c>
      <c r="AD1218" s="90">
        <v>1.325</v>
      </c>
      <c r="AH1218" s="55" t="s">
        <v>6378</v>
      </c>
      <c r="AM1218" s="55" t="s">
        <v>1313</v>
      </c>
      <c r="AN1218" s="185" t="s">
        <v>1482</v>
      </c>
      <c r="AO1218" s="185" t="s">
        <v>5150</v>
      </c>
      <c r="AQ1218" s="55" t="s">
        <v>1546</v>
      </c>
      <c r="AR1218" s="55" t="s">
        <v>560</v>
      </c>
      <c r="AS1218" s="55" t="s">
        <v>5133</v>
      </c>
      <c r="AU1218" s="181" t="s">
        <v>7494</v>
      </c>
      <c r="AV1218" s="185" t="s">
        <v>176</v>
      </c>
      <c r="AX1218" s="185" t="s">
        <v>176</v>
      </c>
      <c r="BE1218" s="226" t="s">
        <v>821</v>
      </c>
      <c r="BF1218" s="191" t="s">
        <v>479</v>
      </c>
      <c r="BG1218" s="55" t="s">
        <v>479</v>
      </c>
      <c r="BH1218" s="226" t="s">
        <v>821</v>
      </c>
      <c r="BI1218" s="55" t="s">
        <v>479</v>
      </c>
      <c r="BJ1218" s="55" t="s">
        <v>176</v>
      </c>
      <c r="BK1218" s="55" t="s">
        <v>5976</v>
      </c>
      <c r="BM1218" s="192" t="s">
        <v>160</v>
      </c>
      <c r="BN1218" s="55">
        <v>4</v>
      </c>
      <c r="BO1218" s="55">
        <v>4</v>
      </c>
      <c r="BQ1218" s="55" t="s">
        <v>141</v>
      </c>
      <c r="BV1218" s="55" t="s">
        <v>811</v>
      </c>
      <c r="CB1218" s="66">
        <v>2012</v>
      </c>
      <c r="CC1218" s="66">
        <v>2581</v>
      </c>
      <c r="GP1218" s="292" t="s">
        <v>7494</v>
      </c>
      <c r="JU1218" s="55" t="s">
        <v>823</v>
      </c>
      <c r="JW1218" s="55" t="s">
        <v>848</v>
      </c>
    </row>
    <row r="1219" spans="1:283" x14ac:dyDescent="0.25">
      <c r="A1219" s="55">
        <v>1218</v>
      </c>
      <c r="B1219" s="12" t="s">
        <v>7067</v>
      </c>
      <c r="C1219" s="155">
        <v>57</v>
      </c>
      <c r="D1219" s="55" t="s">
        <v>3935</v>
      </c>
      <c r="E1219" s="90" t="s">
        <v>808</v>
      </c>
      <c r="G1219" s="55" t="s">
        <v>809</v>
      </c>
      <c r="H1219" s="55">
        <v>1990</v>
      </c>
      <c r="I1219" s="55">
        <v>1984</v>
      </c>
      <c r="J1219" s="55" t="s">
        <v>813</v>
      </c>
      <c r="K1219" s="55" t="s">
        <v>810</v>
      </c>
      <c r="L1219" s="55" t="s">
        <v>2737</v>
      </c>
      <c r="M1219" s="90">
        <v>34.200000000000003</v>
      </c>
      <c r="N1219" s="90">
        <v>-90.58</v>
      </c>
      <c r="O1219" s="90">
        <v>55.3</v>
      </c>
      <c r="U1219" s="55" t="s">
        <v>1875</v>
      </c>
      <c r="V1219" s="55" t="s">
        <v>1885</v>
      </c>
      <c r="Y1219" s="55" t="s">
        <v>1939</v>
      </c>
      <c r="Z1219" s="55" t="s">
        <v>1349</v>
      </c>
      <c r="AA1219" s="90" t="s">
        <v>1677</v>
      </c>
      <c r="AD1219" s="90">
        <v>1.325</v>
      </c>
      <c r="AH1219" s="55" t="s">
        <v>6378</v>
      </c>
      <c r="AM1219" s="55" t="s">
        <v>1313</v>
      </c>
      <c r="AN1219" s="185" t="s">
        <v>1483</v>
      </c>
      <c r="AO1219" s="185" t="s">
        <v>5150</v>
      </c>
      <c r="AQ1219" s="55" t="s">
        <v>1546</v>
      </c>
      <c r="AR1219" s="55" t="s">
        <v>560</v>
      </c>
      <c r="AS1219" s="55" t="s">
        <v>5133</v>
      </c>
      <c r="AU1219" s="181" t="s">
        <v>7494</v>
      </c>
      <c r="AV1219" s="185" t="s">
        <v>176</v>
      </c>
      <c r="AX1219" s="185" t="s">
        <v>176</v>
      </c>
      <c r="BE1219" s="226" t="s">
        <v>821</v>
      </c>
      <c r="BF1219" s="191" t="s">
        <v>479</v>
      </c>
      <c r="BG1219" s="55" t="s">
        <v>479</v>
      </c>
      <c r="BH1219" s="226" t="s">
        <v>821</v>
      </c>
      <c r="BI1219" s="55" t="s">
        <v>479</v>
      </c>
      <c r="BJ1219" s="55" t="s">
        <v>176</v>
      </c>
      <c r="BK1219" s="55" t="s">
        <v>5976</v>
      </c>
      <c r="BM1219" s="192" t="s">
        <v>160</v>
      </c>
      <c r="BN1219" s="55">
        <v>4</v>
      </c>
      <c r="BO1219" s="55">
        <v>4</v>
      </c>
      <c r="BQ1219" s="55" t="s">
        <v>141</v>
      </c>
      <c r="BV1219" s="55" t="s">
        <v>811</v>
      </c>
      <c r="CB1219" s="66">
        <v>2012</v>
      </c>
      <c r="CC1219" s="66">
        <v>2389</v>
      </c>
      <c r="GP1219" s="292" t="s">
        <v>7494</v>
      </c>
      <c r="JU1219" s="55" t="s">
        <v>823</v>
      </c>
      <c r="JW1219" s="55" t="s">
        <v>848</v>
      </c>
    </row>
    <row r="1220" spans="1:283" x14ac:dyDescent="0.25">
      <c r="A1220" s="55">
        <v>1219</v>
      </c>
      <c r="B1220" s="12" t="s">
        <v>7067</v>
      </c>
      <c r="C1220" s="155">
        <v>57</v>
      </c>
      <c r="D1220" s="55" t="s">
        <v>3935</v>
      </c>
      <c r="E1220" s="90" t="s">
        <v>808</v>
      </c>
      <c r="G1220" s="55" t="s">
        <v>809</v>
      </c>
      <c r="H1220" s="55">
        <v>1990</v>
      </c>
      <c r="I1220" s="55">
        <v>1985</v>
      </c>
      <c r="J1220" s="55" t="s">
        <v>813</v>
      </c>
      <c r="K1220" s="55" t="s">
        <v>810</v>
      </c>
      <c r="L1220" s="55" t="s">
        <v>2737</v>
      </c>
      <c r="M1220" s="90">
        <v>34.200000000000003</v>
      </c>
      <c r="N1220" s="90">
        <v>-90.58</v>
      </c>
      <c r="O1220" s="90">
        <v>55.3</v>
      </c>
      <c r="U1220" s="55" t="s">
        <v>1912</v>
      </c>
      <c r="V1220" s="55" t="s">
        <v>1885</v>
      </c>
      <c r="Y1220" s="55" t="s">
        <v>1939</v>
      </c>
      <c r="Z1220" s="55" t="s">
        <v>1349</v>
      </c>
      <c r="AA1220" s="90" t="s">
        <v>1677</v>
      </c>
      <c r="AD1220" s="90">
        <v>1.325</v>
      </c>
      <c r="AH1220" s="55" t="s">
        <v>6378</v>
      </c>
      <c r="AM1220" s="55" t="s">
        <v>1313</v>
      </c>
      <c r="AN1220" s="185" t="s">
        <v>241</v>
      </c>
      <c r="AO1220" s="185" t="s">
        <v>5150</v>
      </c>
      <c r="AQ1220" s="55" t="s">
        <v>553</v>
      </c>
      <c r="AR1220" s="55" t="s">
        <v>560</v>
      </c>
      <c r="AS1220" s="55" t="s">
        <v>5133</v>
      </c>
      <c r="AU1220" s="181" t="s">
        <v>7494</v>
      </c>
      <c r="AV1220" s="185" t="s">
        <v>176</v>
      </c>
      <c r="AX1220" s="185" t="s">
        <v>176</v>
      </c>
      <c r="BE1220" s="226" t="s">
        <v>821</v>
      </c>
      <c r="BF1220" s="191" t="s">
        <v>479</v>
      </c>
      <c r="BG1220" s="55" t="s">
        <v>479</v>
      </c>
      <c r="BH1220" s="226" t="s">
        <v>821</v>
      </c>
      <c r="BI1220" s="55" t="s">
        <v>479</v>
      </c>
      <c r="BJ1220" s="55" t="s">
        <v>176</v>
      </c>
      <c r="BK1220" s="55" t="s">
        <v>5976</v>
      </c>
      <c r="BM1220" s="192" t="s">
        <v>160</v>
      </c>
      <c r="BN1220" s="55">
        <v>4</v>
      </c>
      <c r="BO1220" s="55">
        <v>4</v>
      </c>
      <c r="BQ1220" s="55" t="s">
        <v>141</v>
      </c>
      <c r="BS1220" s="55">
        <v>2100</v>
      </c>
      <c r="BV1220" s="55" t="s">
        <v>811</v>
      </c>
      <c r="CB1220" s="66">
        <v>3471</v>
      </c>
      <c r="CC1220" s="66">
        <v>3693</v>
      </c>
      <c r="GP1220" s="292" t="s">
        <v>7494</v>
      </c>
      <c r="JU1220" s="55" t="s">
        <v>823</v>
      </c>
      <c r="JW1220" s="55" t="s">
        <v>849</v>
      </c>
    </row>
    <row r="1221" spans="1:283" x14ac:dyDescent="0.25">
      <c r="A1221" s="55">
        <v>1220</v>
      </c>
      <c r="B1221" s="12" t="s">
        <v>7067</v>
      </c>
      <c r="C1221" s="155">
        <v>57</v>
      </c>
      <c r="D1221" s="55" t="s">
        <v>3936</v>
      </c>
      <c r="E1221" s="90" t="s">
        <v>808</v>
      </c>
      <c r="G1221" s="55" t="s">
        <v>809</v>
      </c>
      <c r="H1221" s="55">
        <v>1990</v>
      </c>
      <c r="I1221" s="55">
        <v>1985</v>
      </c>
      <c r="J1221" s="55" t="s">
        <v>813</v>
      </c>
      <c r="K1221" s="55" t="s">
        <v>810</v>
      </c>
      <c r="L1221" s="55" t="s">
        <v>2737</v>
      </c>
      <c r="M1221" s="90">
        <v>34.200000000000003</v>
      </c>
      <c r="N1221" s="90">
        <v>-90.58</v>
      </c>
      <c r="O1221" s="90">
        <v>55.3</v>
      </c>
      <c r="U1221" s="55" t="s">
        <v>1912</v>
      </c>
      <c r="V1221" s="55" t="s">
        <v>1885</v>
      </c>
      <c r="Y1221" s="55" t="s">
        <v>1939</v>
      </c>
      <c r="Z1221" s="55" t="s">
        <v>1349</v>
      </c>
      <c r="AA1221" s="90" t="s">
        <v>1677</v>
      </c>
      <c r="AD1221" s="90">
        <v>1.325</v>
      </c>
      <c r="AH1221" s="55" t="s">
        <v>6378</v>
      </c>
      <c r="AM1221" s="55" t="s">
        <v>1313</v>
      </c>
      <c r="AN1221" s="185" t="s">
        <v>1482</v>
      </c>
      <c r="AO1221" s="185" t="s">
        <v>5150</v>
      </c>
      <c r="AQ1221" s="55" t="s">
        <v>1546</v>
      </c>
      <c r="AR1221" s="55" t="s">
        <v>560</v>
      </c>
      <c r="AS1221" s="55" t="s">
        <v>5133</v>
      </c>
      <c r="AU1221" s="181" t="s">
        <v>7494</v>
      </c>
      <c r="AV1221" s="185" t="s">
        <v>176</v>
      </c>
      <c r="AX1221" s="185" t="s">
        <v>176</v>
      </c>
      <c r="BE1221" s="226" t="s">
        <v>821</v>
      </c>
      <c r="BF1221" s="191" t="s">
        <v>479</v>
      </c>
      <c r="BG1221" s="55" t="s">
        <v>479</v>
      </c>
      <c r="BH1221" s="226" t="s">
        <v>821</v>
      </c>
      <c r="BI1221" s="55" t="s">
        <v>479</v>
      </c>
      <c r="BJ1221" s="55" t="s">
        <v>176</v>
      </c>
      <c r="BK1221" s="55" t="s">
        <v>5976</v>
      </c>
      <c r="BM1221" s="192" t="s">
        <v>160</v>
      </c>
      <c r="BN1221" s="55">
        <v>4</v>
      </c>
      <c r="BO1221" s="55">
        <v>4</v>
      </c>
      <c r="BQ1221" s="55" t="s">
        <v>141</v>
      </c>
      <c r="BS1221" s="55">
        <v>1999</v>
      </c>
      <c r="BV1221" s="55" t="s">
        <v>811</v>
      </c>
      <c r="CB1221" s="66">
        <v>3471</v>
      </c>
      <c r="CC1221" s="66">
        <v>3845</v>
      </c>
      <c r="GP1221" s="292" t="s">
        <v>7494</v>
      </c>
      <c r="JU1221" s="55" t="s">
        <v>823</v>
      </c>
      <c r="JW1221" s="55" t="s">
        <v>849</v>
      </c>
    </row>
    <row r="1222" spans="1:283" x14ac:dyDescent="0.25">
      <c r="A1222" s="55">
        <v>1221</v>
      </c>
      <c r="B1222" s="12" t="s">
        <v>7067</v>
      </c>
      <c r="C1222" s="155">
        <v>57</v>
      </c>
      <c r="D1222" s="55" t="s">
        <v>3935</v>
      </c>
      <c r="E1222" s="90" t="s">
        <v>808</v>
      </c>
      <c r="G1222" s="55" t="s">
        <v>809</v>
      </c>
      <c r="H1222" s="55">
        <v>1990</v>
      </c>
      <c r="I1222" s="55">
        <v>1985</v>
      </c>
      <c r="J1222" s="55" t="s">
        <v>813</v>
      </c>
      <c r="K1222" s="55" t="s">
        <v>810</v>
      </c>
      <c r="L1222" s="55" t="s">
        <v>2737</v>
      </c>
      <c r="M1222" s="90">
        <v>34.200000000000003</v>
      </c>
      <c r="N1222" s="90">
        <v>-90.58</v>
      </c>
      <c r="O1222" s="90">
        <v>55.3</v>
      </c>
      <c r="U1222" s="55" t="s">
        <v>1912</v>
      </c>
      <c r="V1222" s="55" t="s">
        <v>1885</v>
      </c>
      <c r="Y1222" s="55" t="s">
        <v>1939</v>
      </c>
      <c r="Z1222" s="55" t="s">
        <v>1349</v>
      </c>
      <c r="AA1222" s="90" t="s">
        <v>1677</v>
      </c>
      <c r="AD1222" s="90">
        <v>1.325</v>
      </c>
      <c r="AH1222" s="55" t="s">
        <v>6378</v>
      </c>
      <c r="AM1222" s="55" t="s">
        <v>1313</v>
      </c>
      <c r="AN1222" s="185" t="s">
        <v>1483</v>
      </c>
      <c r="AO1222" s="185" t="s">
        <v>5150</v>
      </c>
      <c r="AQ1222" s="55" t="s">
        <v>1546</v>
      </c>
      <c r="AR1222" s="55" t="s">
        <v>560</v>
      </c>
      <c r="AS1222" s="55" t="s">
        <v>5133</v>
      </c>
      <c r="AU1222" s="181" t="s">
        <v>7494</v>
      </c>
      <c r="AV1222" s="185" t="s">
        <v>176</v>
      </c>
      <c r="AX1222" s="185" t="s">
        <v>176</v>
      </c>
      <c r="BE1222" s="226" t="s">
        <v>821</v>
      </c>
      <c r="BF1222" s="191" t="s">
        <v>479</v>
      </c>
      <c r="BG1222" s="55" t="s">
        <v>479</v>
      </c>
      <c r="BH1222" s="226" t="s">
        <v>821</v>
      </c>
      <c r="BI1222" s="55" t="s">
        <v>479</v>
      </c>
      <c r="BJ1222" s="55" t="s">
        <v>176</v>
      </c>
      <c r="BK1222" s="55" t="s">
        <v>5976</v>
      </c>
      <c r="BM1222" s="192" t="s">
        <v>160</v>
      </c>
      <c r="BN1222" s="55">
        <v>4</v>
      </c>
      <c r="BO1222" s="55">
        <v>4</v>
      </c>
      <c r="BQ1222" s="55" t="s">
        <v>141</v>
      </c>
      <c r="BS1222" s="55">
        <v>3151</v>
      </c>
      <c r="BV1222" s="55" t="s">
        <v>811</v>
      </c>
      <c r="CB1222" s="66">
        <v>3471</v>
      </c>
      <c r="CC1222" s="66">
        <v>3666</v>
      </c>
      <c r="GP1222" s="292" t="s">
        <v>7494</v>
      </c>
      <c r="JU1222" s="55" t="s">
        <v>823</v>
      </c>
      <c r="JW1222" s="55" t="s">
        <v>849</v>
      </c>
    </row>
    <row r="1223" spans="1:283" x14ac:dyDescent="0.25">
      <c r="A1223" s="55">
        <v>1222</v>
      </c>
      <c r="B1223" s="12" t="s">
        <v>7067</v>
      </c>
      <c r="C1223" s="155">
        <v>57</v>
      </c>
      <c r="D1223" s="55" t="s">
        <v>3935</v>
      </c>
      <c r="E1223" s="90" t="s">
        <v>808</v>
      </c>
      <c r="G1223" s="55" t="s">
        <v>809</v>
      </c>
      <c r="H1223" s="55">
        <v>1990</v>
      </c>
      <c r="I1223" s="55">
        <v>1986</v>
      </c>
      <c r="J1223" s="55" t="s">
        <v>813</v>
      </c>
      <c r="K1223" s="55" t="s">
        <v>810</v>
      </c>
      <c r="L1223" s="55" t="s">
        <v>2737</v>
      </c>
      <c r="M1223" s="90">
        <v>34.200000000000003</v>
      </c>
      <c r="N1223" s="90">
        <v>-90.58</v>
      </c>
      <c r="O1223" s="90">
        <v>55.3</v>
      </c>
      <c r="U1223" s="55" t="s">
        <v>1677</v>
      </c>
      <c r="V1223" s="55" t="s">
        <v>1885</v>
      </c>
      <c r="Y1223" s="55" t="s">
        <v>1939</v>
      </c>
      <c r="Z1223" s="55" t="s">
        <v>1349</v>
      </c>
      <c r="AA1223" s="90" t="s">
        <v>1677</v>
      </c>
      <c r="AD1223" s="90">
        <v>1.325</v>
      </c>
      <c r="AH1223" s="55" t="s">
        <v>6378</v>
      </c>
      <c r="AM1223" s="55" t="s">
        <v>1313</v>
      </c>
      <c r="AN1223" s="185" t="s">
        <v>241</v>
      </c>
      <c r="AO1223" s="185" t="s">
        <v>5150</v>
      </c>
      <c r="AQ1223" s="55" t="s">
        <v>553</v>
      </c>
      <c r="AR1223" s="55" t="s">
        <v>560</v>
      </c>
      <c r="AS1223" s="55" t="s">
        <v>5133</v>
      </c>
      <c r="AU1223" s="181" t="s">
        <v>7494</v>
      </c>
      <c r="AV1223" s="185" t="s">
        <v>176</v>
      </c>
      <c r="AX1223" s="185" t="s">
        <v>176</v>
      </c>
      <c r="BE1223" s="226" t="s">
        <v>816</v>
      </c>
      <c r="BF1223" s="191" t="s">
        <v>479</v>
      </c>
      <c r="BG1223" s="55" t="s">
        <v>479</v>
      </c>
      <c r="BH1223" s="226" t="s">
        <v>816</v>
      </c>
      <c r="BI1223" s="55" t="s">
        <v>479</v>
      </c>
      <c r="BJ1223" s="55" t="s">
        <v>176</v>
      </c>
      <c r="BK1223" s="55" t="s">
        <v>5976</v>
      </c>
      <c r="BM1223" s="192" t="s">
        <v>160</v>
      </c>
      <c r="BN1223" s="55">
        <v>4</v>
      </c>
      <c r="BO1223" s="55">
        <v>4</v>
      </c>
      <c r="BQ1223" s="55" t="s">
        <v>141</v>
      </c>
      <c r="BV1223" s="55" t="s">
        <v>811</v>
      </c>
      <c r="CB1223" s="66">
        <v>2664</v>
      </c>
      <c r="CC1223" s="66">
        <v>2351</v>
      </c>
      <c r="GP1223" s="292" t="s">
        <v>7494</v>
      </c>
      <c r="JU1223" s="55" t="s">
        <v>823</v>
      </c>
      <c r="JW1223" s="55" t="s">
        <v>838</v>
      </c>
    </row>
    <row r="1224" spans="1:283" x14ac:dyDescent="0.25">
      <c r="A1224" s="55">
        <v>1223</v>
      </c>
      <c r="B1224" s="12" t="s">
        <v>7067</v>
      </c>
      <c r="C1224" s="155">
        <v>57</v>
      </c>
      <c r="D1224" s="55" t="s">
        <v>3936</v>
      </c>
      <c r="E1224" s="90" t="s">
        <v>808</v>
      </c>
      <c r="G1224" s="55" t="s">
        <v>809</v>
      </c>
      <c r="H1224" s="55">
        <v>1990</v>
      </c>
      <c r="I1224" s="55">
        <v>1986</v>
      </c>
      <c r="J1224" s="55" t="s">
        <v>813</v>
      </c>
      <c r="K1224" s="55" t="s">
        <v>810</v>
      </c>
      <c r="L1224" s="55" t="s">
        <v>2737</v>
      </c>
      <c r="M1224" s="90">
        <v>34.200000000000003</v>
      </c>
      <c r="N1224" s="90">
        <v>-90.58</v>
      </c>
      <c r="O1224" s="90">
        <v>55.3</v>
      </c>
      <c r="U1224" s="55" t="s">
        <v>1677</v>
      </c>
      <c r="V1224" s="55" t="s">
        <v>1885</v>
      </c>
      <c r="Y1224" s="55" t="s">
        <v>1939</v>
      </c>
      <c r="Z1224" s="55" t="s">
        <v>1349</v>
      </c>
      <c r="AA1224" s="90" t="s">
        <v>1677</v>
      </c>
      <c r="AD1224" s="90">
        <v>1.325</v>
      </c>
      <c r="AH1224" s="55" t="s">
        <v>6378</v>
      </c>
      <c r="AM1224" s="55" t="s">
        <v>1313</v>
      </c>
      <c r="AN1224" s="185" t="s">
        <v>1482</v>
      </c>
      <c r="AO1224" s="185" t="s">
        <v>5150</v>
      </c>
      <c r="AQ1224" s="55" t="s">
        <v>1546</v>
      </c>
      <c r="AR1224" s="55" t="s">
        <v>560</v>
      </c>
      <c r="AS1224" s="55" t="s">
        <v>5133</v>
      </c>
      <c r="AU1224" s="181" t="s">
        <v>7494</v>
      </c>
      <c r="AV1224" s="185" t="s">
        <v>176</v>
      </c>
      <c r="AX1224" s="185" t="s">
        <v>176</v>
      </c>
      <c r="BE1224" s="226" t="s">
        <v>816</v>
      </c>
      <c r="BF1224" s="191" t="s">
        <v>479</v>
      </c>
      <c r="BG1224" s="55" t="s">
        <v>479</v>
      </c>
      <c r="BH1224" s="226" t="s">
        <v>816</v>
      </c>
      <c r="BI1224" s="55" t="s">
        <v>479</v>
      </c>
      <c r="BJ1224" s="55" t="s">
        <v>176</v>
      </c>
      <c r="BK1224" s="55" t="s">
        <v>5976</v>
      </c>
      <c r="BM1224" s="192" t="s">
        <v>160</v>
      </c>
      <c r="BN1224" s="55">
        <v>4</v>
      </c>
      <c r="BO1224" s="55">
        <v>4</v>
      </c>
      <c r="BQ1224" s="55" t="s">
        <v>141</v>
      </c>
      <c r="BV1224" s="55" t="s">
        <v>811</v>
      </c>
      <c r="CB1224" s="66">
        <v>2664</v>
      </c>
      <c r="CC1224" s="66">
        <v>2610</v>
      </c>
      <c r="GP1224" s="292" t="s">
        <v>7494</v>
      </c>
      <c r="JU1224" s="55" t="s">
        <v>823</v>
      </c>
      <c r="JW1224" s="55" t="s">
        <v>838</v>
      </c>
    </row>
    <row r="1225" spans="1:283" x14ac:dyDescent="0.25">
      <c r="A1225" s="55">
        <v>1224</v>
      </c>
      <c r="B1225" s="12" t="s">
        <v>7067</v>
      </c>
      <c r="C1225" s="155">
        <v>57</v>
      </c>
      <c r="D1225" s="55" t="s">
        <v>3935</v>
      </c>
      <c r="E1225" s="90" t="s">
        <v>808</v>
      </c>
      <c r="G1225" s="55" t="s">
        <v>809</v>
      </c>
      <c r="H1225" s="55">
        <v>1990</v>
      </c>
      <c r="I1225" s="55">
        <v>1986</v>
      </c>
      <c r="J1225" s="55" t="s">
        <v>813</v>
      </c>
      <c r="K1225" s="55" t="s">
        <v>810</v>
      </c>
      <c r="L1225" s="55" t="s">
        <v>2737</v>
      </c>
      <c r="M1225" s="90">
        <v>34.200000000000003</v>
      </c>
      <c r="N1225" s="90">
        <v>-90.58</v>
      </c>
      <c r="O1225" s="90">
        <v>55.3</v>
      </c>
      <c r="U1225" s="55" t="s">
        <v>1677</v>
      </c>
      <c r="V1225" s="55" t="s">
        <v>1885</v>
      </c>
      <c r="Y1225" s="55" t="s">
        <v>1939</v>
      </c>
      <c r="Z1225" s="55" t="s">
        <v>1349</v>
      </c>
      <c r="AA1225" s="90" t="s">
        <v>1677</v>
      </c>
      <c r="AD1225" s="90">
        <v>1.325</v>
      </c>
      <c r="AH1225" s="55" t="s">
        <v>6378</v>
      </c>
      <c r="AM1225" s="55" t="s">
        <v>1313</v>
      </c>
      <c r="AN1225" s="185" t="s">
        <v>1483</v>
      </c>
      <c r="AO1225" s="185" t="s">
        <v>5150</v>
      </c>
      <c r="AQ1225" s="55" t="s">
        <v>1546</v>
      </c>
      <c r="AR1225" s="55" t="s">
        <v>560</v>
      </c>
      <c r="AS1225" s="55" t="s">
        <v>5133</v>
      </c>
      <c r="AU1225" s="181" t="s">
        <v>7494</v>
      </c>
      <c r="AV1225" s="185" t="s">
        <v>176</v>
      </c>
      <c r="AX1225" s="185" t="s">
        <v>176</v>
      </c>
      <c r="BE1225" s="226" t="s">
        <v>816</v>
      </c>
      <c r="BF1225" s="191" t="s">
        <v>479</v>
      </c>
      <c r="BG1225" s="55" t="s">
        <v>479</v>
      </c>
      <c r="BH1225" s="226" t="s">
        <v>816</v>
      </c>
      <c r="BI1225" s="55" t="s">
        <v>479</v>
      </c>
      <c r="BJ1225" s="55" t="s">
        <v>176</v>
      </c>
      <c r="BK1225" s="55" t="s">
        <v>5976</v>
      </c>
      <c r="BM1225" s="192" t="s">
        <v>160</v>
      </c>
      <c r="BN1225" s="55">
        <v>4</v>
      </c>
      <c r="BO1225" s="55">
        <v>4</v>
      </c>
      <c r="BQ1225" s="55" t="s">
        <v>141</v>
      </c>
      <c r="BV1225" s="55" t="s">
        <v>811</v>
      </c>
      <c r="CB1225" s="66">
        <v>2664</v>
      </c>
      <c r="CC1225" s="66">
        <v>2260</v>
      </c>
      <c r="GP1225" s="292" t="s">
        <v>7494</v>
      </c>
      <c r="JU1225" s="55" t="s">
        <v>823</v>
      </c>
      <c r="JW1225" s="55" t="s">
        <v>838</v>
      </c>
    </row>
    <row r="1226" spans="1:283" x14ac:dyDescent="0.25">
      <c r="A1226" s="55">
        <v>1225</v>
      </c>
      <c r="B1226" s="12" t="s">
        <v>7067</v>
      </c>
      <c r="C1226" s="155">
        <v>57</v>
      </c>
      <c r="D1226" s="55" t="s">
        <v>3935</v>
      </c>
      <c r="E1226" s="90" t="s">
        <v>808</v>
      </c>
      <c r="G1226" s="55" t="s">
        <v>809</v>
      </c>
      <c r="H1226" s="55">
        <v>1990</v>
      </c>
      <c r="I1226" s="55">
        <v>1987</v>
      </c>
      <c r="J1226" s="55" t="s">
        <v>813</v>
      </c>
      <c r="K1226" s="55" t="s">
        <v>810</v>
      </c>
      <c r="L1226" s="55" t="s">
        <v>2737</v>
      </c>
      <c r="M1226" s="90">
        <v>34.200000000000003</v>
      </c>
      <c r="N1226" s="90">
        <v>-90.58</v>
      </c>
      <c r="O1226" s="90">
        <v>55.3</v>
      </c>
      <c r="U1226" s="55" t="s">
        <v>1887</v>
      </c>
      <c r="V1226" s="55" t="s">
        <v>1885</v>
      </c>
      <c r="Y1226" s="55" t="s">
        <v>1939</v>
      </c>
      <c r="Z1226" s="55" t="s">
        <v>1349</v>
      </c>
      <c r="AA1226" s="90" t="s">
        <v>1677</v>
      </c>
      <c r="AD1226" s="90">
        <v>1.325</v>
      </c>
      <c r="AH1226" s="55" t="s">
        <v>6378</v>
      </c>
      <c r="AM1226" s="55" t="s">
        <v>1313</v>
      </c>
      <c r="AN1226" s="185" t="s">
        <v>241</v>
      </c>
      <c r="AO1226" s="185" t="s">
        <v>5150</v>
      </c>
      <c r="AQ1226" s="55" t="s">
        <v>553</v>
      </c>
      <c r="AR1226" s="55" t="s">
        <v>560</v>
      </c>
      <c r="AS1226" s="55" t="s">
        <v>5133</v>
      </c>
      <c r="AU1226" s="181" t="s">
        <v>7494</v>
      </c>
      <c r="AV1226" s="185" t="s">
        <v>176</v>
      </c>
      <c r="AX1226" s="185" t="s">
        <v>176</v>
      </c>
      <c r="BE1226" s="226" t="s">
        <v>816</v>
      </c>
      <c r="BF1226" s="191" t="s">
        <v>479</v>
      </c>
      <c r="BG1226" s="55" t="s">
        <v>479</v>
      </c>
      <c r="BH1226" s="226" t="s">
        <v>816</v>
      </c>
      <c r="BI1226" s="55" t="s">
        <v>479</v>
      </c>
      <c r="BJ1226" s="55" t="s">
        <v>176</v>
      </c>
      <c r="BK1226" s="55" t="s">
        <v>5976</v>
      </c>
      <c r="BM1226" s="192" t="s">
        <v>160</v>
      </c>
      <c r="BN1226" s="55">
        <v>4</v>
      </c>
      <c r="BO1226" s="55">
        <v>4</v>
      </c>
      <c r="BQ1226" s="55" t="s">
        <v>141</v>
      </c>
      <c r="BV1226" s="55" t="s">
        <v>811</v>
      </c>
      <c r="CB1226" s="66">
        <v>2490</v>
      </c>
      <c r="CC1226" s="66">
        <v>2781</v>
      </c>
      <c r="GP1226" s="292" t="s">
        <v>7494</v>
      </c>
      <c r="JU1226" s="55" t="s">
        <v>823</v>
      </c>
      <c r="JW1226" s="55" t="s">
        <v>845</v>
      </c>
    </row>
    <row r="1227" spans="1:283" x14ac:dyDescent="0.25">
      <c r="A1227" s="55">
        <v>1226</v>
      </c>
      <c r="B1227" s="12" t="s">
        <v>7067</v>
      </c>
      <c r="C1227" s="155">
        <v>57</v>
      </c>
      <c r="D1227" s="55" t="s">
        <v>3936</v>
      </c>
      <c r="E1227" s="90" t="s">
        <v>808</v>
      </c>
      <c r="G1227" s="55" t="s">
        <v>809</v>
      </c>
      <c r="H1227" s="55">
        <v>1990</v>
      </c>
      <c r="I1227" s="55">
        <v>1987</v>
      </c>
      <c r="J1227" s="55" t="s">
        <v>813</v>
      </c>
      <c r="K1227" s="55" t="s">
        <v>810</v>
      </c>
      <c r="L1227" s="55" t="s">
        <v>2737</v>
      </c>
      <c r="M1227" s="90">
        <v>34.200000000000003</v>
      </c>
      <c r="N1227" s="90">
        <v>-90.58</v>
      </c>
      <c r="O1227" s="90">
        <v>55.3</v>
      </c>
      <c r="U1227" s="55" t="s">
        <v>1887</v>
      </c>
      <c r="V1227" s="55" t="s">
        <v>1885</v>
      </c>
      <c r="Y1227" s="55" t="s">
        <v>1939</v>
      </c>
      <c r="Z1227" s="55" t="s">
        <v>1349</v>
      </c>
      <c r="AA1227" s="90" t="s">
        <v>1677</v>
      </c>
      <c r="AD1227" s="90">
        <v>1.325</v>
      </c>
      <c r="AH1227" s="55" t="s">
        <v>6378</v>
      </c>
      <c r="AM1227" s="55" t="s">
        <v>1313</v>
      </c>
      <c r="AN1227" s="185" t="s">
        <v>1482</v>
      </c>
      <c r="AO1227" s="185" t="s">
        <v>5150</v>
      </c>
      <c r="AQ1227" s="55" t="s">
        <v>1546</v>
      </c>
      <c r="AR1227" s="55" t="s">
        <v>560</v>
      </c>
      <c r="AS1227" s="55" t="s">
        <v>5133</v>
      </c>
      <c r="AU1227" s="181" t="s">
        <v>7494</v>
      </c>
      <c r="AV1227" s="185" t="s">
        <v>176</v>
      </c>
      <c r="AX1227" s="185" t="s">
        <v>176</v>
      </c>
      <c r="BE1227" s="226" t="s">
        <v>816</v>
      </c>
      <c r="BF1227" s="191" t="s">
        <v>479</v>
      </c>
      <c r="BG1227" s="55" t="s">
        <v>479</v>
      </c>
      <c r="BH1227" s="226" t="s">
        <v>816</v>
      </c>
      <c r="BI1227" s="55" t="s">
        <v>479</v>
      </c>
      <c r="BJ1227" s="55" t="s">
        <v>176</v>
      </c>
      <c r="BK1227" s="55" t="s">
        <v>5976</v>
      </c>
      <c r="BM1227" s="192" t="s">
        <v>160</v>
      </c>
      <c r="BN1227" s="55">
        <v>4</v>
      </c>
      <c r="BO1227" s="55">
        <v>4</v>
      </c>
      <c r="BQ1227" s="55" t="s">
        <v>141</v>
      </c>
      <c r="BV1227" s="55" t="s">
        <v>811</v>
      </c>
      <c r="CB1227" s="66">
        <v>2490</v>
      </c>
      <c r="CC1227" s="66">
        <v>2798</v>
      </c>
      <c r="GP1227" s="292" t="s">
        <v>7494</v>
      </c>
      <c r="JU1227" s="55" t="s">
        <v>823</v>
      </c>
      <c r="JW1227" s="55" t="s">
        <v>845</v>
      </c>
    </row>
    <row r="1228" spans="1:283" x14ac:dyDescent="0.25">
      <c r="A1228" s="55">
        <v>1227</v>
      </c>
      <c r="B1228" s="12" t="s">
        <v>7067</v>
      </c>
      <c r="C1228" s="155">
        <v>57</v>
      </c>
      <c r="D1228" s="55" t="s">
        <v>3935</v>
      </c>
      <c r="E1228" s="90" t="s">
        <v>808</v>
      </c>
      <c r="G1228" s="55" t="s">
        <v>809</v>
      </c>
      <c r="H1228" s="55">
        <v>1990</v>
      </c>
      <c r="I1228" s="55">
        <v>1987</v>
      </c>
      <c r="J1228" s="55" t="s">
        <v>813</v>
      </c>
      <c r="K1228" s="55" t="s">
        <v>810</v>
      </c>
      <c r="L1228" s="55" t="s">
        <v>2737</v>
      </c>
      <c r="M1228" s="90">
        <v>34.200000000000003</v>
      </c>
      <c r="N1228" s="90">
        <v>-90.58</v>
      </c>
      <c r="O1228" s="90">
        <v>55.3</v>
      </c>
      <c r="U1228" s="55" t="s">
        <v>1887</v>
      </c>
      <c r="V1228" s="55" t="s">
        <v>1885</v>
      </c>
      <c r="Y1228" s="55" t="s">
        <v>1939</v>
      </c>
      <c r="Z1228" s="55" t="s">
        <v>1349</v>
      </c>
      <c r="AA1228" s="90" t="s">
        <v>1677</v>
      </c>
      <c r="AD1228" s="90">
        <v>1.325</v>
      </c>
      <c r="AH1228" s="55" t="s">
        <v>6378</v>
      </c>
      <c r="AM1228" s="55" t="s">
        <v>1313</v>
      </c>
      <c r="AN1228" s="185" t="s">
        <v>1483</v>
      </c>
      <c r="AO1228" s="185" t="s">
        <v>5150</v>
      </c>
      <c r="AQ1228" s="55" t="s">
        <v>1546</v>
      </c>
      <c r="AR1228" s="55" t="s">
        <v>560</v>
      </c>
      <c r="AS1228" s="55" t="s">
        <v>5133</v>
      </c>
      <c r="AU1228" s="181" t="s">
        <v>7494</v>
      </c>
      <c r="AV1228" s="185" t="s">
        <v>176</v>
      </c>
      <c r="AX1228" s="185" t="s">
        <v>176</v>
      </c>
      <c r="BE1228" s="226" t="s">
        <v>816</v>
      </c>
      <c r="BF1228" s="191" t="s">
        <v>479</v>
      </c>
      <c r="BG1228" s="55" t="s">
        <v>479</v>
      </c>
      <c r="BH1228" s="226" t="s">
        <v>816</v>
      </c>
      <c r="BI1228" s="55" t="s">
        <v>479</v>
      </c>
      <c r="BJ1228" s="55" t="s">
        <v>176</v>
      </c>
      <c r="BK1228" s="55" t="s">
        <v>5976</v>
      </c>
      <c r="BM1228" s="192" t="s">
        <v>160</v>
      </c>
      <c r="BN1228" s="55">
        <v>4</v>
      </c>
      <c r="BO1228" s="55">
        <v>4</v>
      </c>
      <c r="BQ1228" s="55" t="s">
        <v>141</v>
      </c>
      <c r="BV1228" s="55" t="s">
        <v>811</v>
      </c>
      <c r="CB1228" s="66">
        <v>2490</v>
      </c>
      <c r="CC1228" s="66">
        <v>2925</v>
      </c>
      <c r="GP1228" s="292" t="s">
        <v>7494</v>
      </c>
      <c r="JU1228" s="55" t="s">
        <v>823</v>
      </c>
      <c r="JW1228" s="55" t="s">
        <v>845</v>
      </c>
    </row>
    <row r="1229" spans="1:283" x14ac:dyDescent="0.25">
      <c r="A1229" s="55">
        <v>1228</v>
      </c>
      <c r="B1229" s="12" t="s">
        <v>7067</v>
      </c>
      <c r="C1229" s="155">
        <v>57</v>
      </c>
      <c r="D1229" s="55" t="s">
        <v>3935</v>
      </c>
      <c r="E1229" s="90" t="s">
        <v>808</v>
      </c>
      <c r="G1229" s="55" t="s">
        <v>809</v>
      </c>
      <c r="H1229" s="55">
        <v>1990</v>
      </c>
      <c r="I1229" s="55">
        <v>1988</v>
      </c>
      <c r="J1229" s="55" t="s">
        <v>813</v>
      </c>
      <c r="K1229" s="55" t="s">
        <v>810</v>
      </c>
      <c r="L1229" s="55" t="s">
        <v>2737</v>
      </c>
      <c r="M1229" s="90">
        <v>34.200000000000003</v>
      </c>
      <c r="N1229" s="90">
        <v>-90.58</v>
      </c>
      <c r="O1229" s="90">
        <v>55.3</v>
      </c>
      <c r="U1229" s="55" t="s">
        <v>1885</v>
      </c>
      <c r="V1229" s="55" t="s">
        <v>1885</v>
      </c>
      <c r="Y1229" s="55" t="s">
        <v>1939</v>
      </c>
      <c r="Z1229" s="55" t="s">
        <v>1349</v>
      </c>
      <c r="AA1229" s="90" t="s">
        <v>1677</v>
      </c>
      <c r="AD1229" s="90">
        <v>1.325</v>
      </c>
      <c r="AH1229" s="55" t="s">
        <v>6378</v>
      </c>
      <c r="AM1229" s="55" t="s">
        <v>1313</v>
      </c>
      <c r="AN1229" s="185" t="s">
        <v>241</v>
      </c>
      <c r="AO1229" s="185" t="s">
        <v>5150</v>
      </c>
      <c r="AQ1229" s="55" t="s">
        <v>553</v>
      </c>
      <c r="AR1229" s="55" t="s">
        <v>560</v>
      </c>
      <c r="AS1229" s="55" t="s">
        <v>5133</v>
      </c>
      <c r="AU1229" s="181" t="s">
        <v>7494</v>
      </c>
      <c r="AV1229" s="185" t="s">
        <v>176</v>
      </c>
      <c r="AX1229" s="185" t="s">
        <v>176</v>
      </c>
      <c r="BE1229" s="226" t="s">
        <v>822</v>
      </c>
      <c r="BF1229" s="191" t="s">
        <v>479</v>
      </c>
      <c r="BG1229" s="55" t="s">
        <v>479</v>
      </c>
      <c r="BH1229" s="226" t="s">
        <v>822</v>
      </c>
      <c r="BI1229" s="55" t="s">
        <v>479</v>
      </c>
      <c r="BJ1229" s="55" t="s">
        <v>176</v>
      </c>
      <c r="BK1229" s="55" t="s">
        <v>5976</v>
      </c>
      <c r="BM1229" s="192" t="s">
        <v>160</v>
      </c>
      <c r="BN1229" s="55">
        <v>4</v>
      </c>
      <c r="BO1229" s="55">
        <v>4</v>
      </c>
      <c r="BQ1229" s="55" t="s">
        <v>141</v>
      </c>
      <c r="BS1229" s="55">
        <v>2439</v>
      </c>
      <c r="BV1229" s="55" t="s">
        <v>811</v>
      </c>
      <c r="CB1229" s="66">
        <v>3135</v>
      </c>
      <c r="CC1229" s="66">
        <v>2191</v>
      </c>
      <c r="GP1229" s="292" t="s">
        <v>7494</v>
      </c>
      <c r="JU1229" s="55" t="s">
        <v>823</v>
      </c>
      <c r="JW1229" s="55" t="s">
        <v>850</v>
      </c>
    </row>
    <row r="1230" spans="1:283" x14ac:dyDescent="0.25">
      <c r="A1230" s="55">
        <v>1229</v>
      </c>
      <c r="B1230" s="12" t="s">
        <v>7067</v>
      </c>
      <c r="C1230" s="155">
        <v>57</v>
      </c>
      <c r="D1230" s="55" t="s">
        <v>3936</v>
      </c>
      <c r="E1230" s="90" t="s">
        <v>808</v>
      </c>
      <c r="G1230" s="55" t="s">
        <v>809</v>
      </c>
      <c r="H1230" s="55">
        <v>1990</v>
      </c>
      <c r="I1230" s="55">
        <v>1988</v>
      </c>
      <c r="J1230" s="55" t="s">
        <v>813</v>
      </c>
      <c r="K1230" s="55" t="s">
        <v>810</v>
      </c>
      <c r="L1230" s="55" t="s">
        <v>2737</v>
      </c>
      <c r="M1230" s="90">
        <v>34.200000000000003</v>
      </c>
      <c r="N1230" s="90">
        <v>-90.58</v>
      </c>
      <c r="O1230" s="90">
        <v>55.3</v>
      </c>
      <c r="U1230" s="55" t="s">
        <v>1885</v>
      </c>
      <c r="V1230" s="55" t="s">
        <v>1885</v>
      </c>
      <c r="Y1230" s="55" t="s">
        <v>1939</v>
      </c>
      <c r="Z1230" s="55" t="s">
        <v>1349</v>
      </c>
      <c r="AA1230" s="90" t="s">
        <v>1677</v>
      </c>
      <c r="AD1230" s="90">
        <v>1.325</v>
      </c>
      <c r="AH1230" s="55" t="s">
        <v>6378</v>
      </c>
      <c r="AM1230" s="55" t="s">
        <v>1313</v>
      </c>
      <c r="AN1230" s="185" t="s">
        <v>1482</v>
      </c>
      <c r="AO1230" s="185" t="s">
        <v>5150</v>
      </c>
      <c r="AQ1230" s="55" t="s">
        <v>1546</v>
      </c>
      <c r="AR1230" s="55" t="s">
        <v>560</v>
      </c>
      <c r="AS1230" s="55" t="s">
        <v>5133</v>
      </c>
      <c r="AU1230" s="181" t="s">
        <v>7494</v>
      </c>
      <c r="AV1230" s="185" t="s">
        <v>176</v>
      </c>
      <c r="AX1230" s="185" t="s">
        <v>176</v>
      </c>
      <c r="BE1230" s="226" t="s">
        <v>822</v>
      </c>
      <c r="BF1230" s="191" t="s">
        <v>479</v>
      </c>
      <c r="BG1230" s="55" t="s">
        <v>479</v>
      </c>
      <c r="BH1230" s="226" t="s">
        <v>822</v>
      </c>
      <c r="BI1230" s="55" t="s">
        <v>479</v>
      </c>
      <c r="BJ1230" s="55" t="s">
        <v>176</v>
      </c>
      <c r="BK1230" s="55" t="s">
        <v>5976</v>
      </c>
      <c r="BM1230" s="192" t="s">
        <v>160</v>
      </c>
      <c r="BN1230" s="55">
        <v>4</v>
      </c>
      <c r="BO1230" s="55">
        <v>4</v>
      </c>
      <c r="BQ1230" s="55" t="s">
        <v>141</v>
      </c>
      <c r="BS1230" s="55">
        <v>2710</v>
      </c>
      <c r="BV1230" s="55" t="s">
        <v>811</v>
      </c>
      <c r="CB1230" s="66">
        <v>3135</v>
      </c>
      <c r="CC1230" s="66">
        <v>2596</v>
      </c>
      <c r="GP1230" s="292" t="s">
        <v>7494</v>
      </c>
      <c r="JU1230" s="55" t="s">
        <v>823</v>
      </c>
      <c r="JW1230" s="55" t="s">
        <v>850</v>
      </c>
    </row>
    <row r="1231" spans="1:283" x14ac:dyDescent="0.25">
      <c r="A1231" s="55">
        <v>1230</v>
      </c>
      <c r="B1231" s="12" t="s">
        <v>7067</v>
      </c>
      <c r="C1231" s="155">
        <v>57</v>
      </c>
      <c r="D1231" s="55" t="s">
        <v>3935</v>
      </c>
      <c r="E1231" s="90" t="s">
        <v>808</v>
      </c>
      <c r="G1231" s="55" t="s">
        <v>809</v>
      </c>
      <c r="H1231" s="55">
        <v>1990</v>
      </c>
      <c r="I1231" s="55">
        <v>1988</v>
      </c>
      <c r="J1231" s="55" t="s">
        <v>813</v>
      </c>
      <c r="K1231" s="55" t="s">
        <v>810</v>
      </c>
      <c r="L1231" s="55" t="s">
        <v>2737</v>
      </c>
      <c r="M1231" s="90">
        <v>34.200000000000003</v>
      </c>
      <c r="N1231" s="90">
        <v>-90.58</v>
      </c>
      <c r="O1231" s="90">
        <v>55.3</v>
      </c>
      <c r="U1231" s="55" t="s">
        <v>1885</v>
      </c>
      <c r="V1231" s="55" t="s">
        <v>1885</v>
      </c>
      <c r="Y1231" s="55" t="s">
        <v>1939</v>
      </c>
      <c r="Z1231" s="55" t="s">
        <v>1349</v>
      </c>
      <c r="AA1231" s="90" t="s">
        <v>1677</v>
      </c>
      <c r="AD1231" s="90">
        <v>1.325</v>
      </c>
      <c r="AH1231" s="55" t="s">
        <v>6378</v>
      </c>
      <c r="AM1231" s="55" t="s">
        <v>1313</v>
      </c>
      <c r="AN1231" s="185" t="s">
        <v>1483</v>
      </c>
      <c r="AO1231" s="185" t="s">
        <v>5150</v>
      </c>
      <c r="AQ1231" s="55" t="s">
        <v>1546</v>
      </c>
      <c r="AR1231" s="55" t="s">
        <v>560</v>
      </c>
      <c r="AS1231" s="55" t="s">
        <v>5133</v>
      </c>
      <c r="AU1231" s="181" t="s">
        <v>7494</v>
      </c>
      <c r="AV1231" s="185" t="s">
        <v>176</v>
      </c>
      <c r="AX1231" s="185" t="s">
        <v>176</v>
      </c>
      <c r="BE1231" s="226" t="s">
        <v>822</v>
      </c>
      <c r="BF1231" s="191" t="s">
        <v>479</v>
      </c>
      <c r="BG1231" s="55" t="s">
        <v>479</v>
      </c>
      <c r="BH1231" s="226" t="s">
        <v>822</v>
      </c>
      <c r="BI1231" s="55" t="s">
        <v>479</v>
      </c>
      <c r="BJ1231" s="55" t="s">
        <v>176</v>
      </c>
      <c r="BK1231" s="55" t="s">
        <v>5976</v>
      </c>
      <c r="BM1231" s="192" t="s">
        <v>160</v>
      </c>
      <c r="BN1231" s="55">
        <v>4</v>
      </c>
      <c r="BO1231" s="55">
        <v>4</v>
      </c>
      <c r="BQ1231" s="55" t="s">
        <v>141</v>
      </c>
      <c r="BS1231" s="55">
        <v>3524</v>
      </c>
      <c r="BV1231" s="55" t="s">
        <v>811</v>
      </c>
      <c r="CB1231" s="66">
        <v>3135</v>
      </c>
      <c r="CC1231" s="66">
        <v>2723</v>
      </c>
      <c r="GP1231" s="292" t="s">
        <v>7494</v>
      </c>
      <c r="JU1231" s="55" t="s">
        <v>823</v>
      </c>
      <c r="JW1231" s="55" t="s">
        <v>850</v>
      </c>
    </row>
    <row r="1232" spans="1:283" x14ac:dyDescent="0.25">
      <c r="A1232" s="55">
        <v>1231</v>
      </c>
      <c r="B1232" s="12" t="s">
        <v>7067</v>
      </c>
      <c r="C1232" s="155">
        <v>58</v>
      </c>
      <c r="D1232" s="55" t="s">
        <v>3937</v>
      </c>
      <c r="E1232" s="90" t="s">
        <v>834</v>
      </c>
      <c r="G1232" s="55" t="s">
        <v>835</v>
      </c>
      <c r="H1232" s="55">
        <v>1990</v>
      </c>
      <c r="I1232" s="55">
        <v>1987</v>
      </c>
      <c r="J1232" s="55" t="s">
        <v>836</v>
      </c>
      <c r="K1232" s="55" t="s">
        <v>859</v>
      </c>
      <c r="L1232" s="55" t="s">
        <v>2737</v>
      </c>
      <c r="M1232" s="90">
        <v>38.92</v>
      </c>
      <c r="N1232" s="90">
        <v>-76.150000000000006</v>
      </c>
      <c r="O1232" s="90">
        <v>5</v>
      </c>
      <c r="R1232" s="55">
        <v>836</v>
      </c>
      <c r="U1232" s="55">
        <v>1</v>
      </c>
      <c r="V1232" s="55" t="s">
        <v>1805</v>
      </c>
      <c r="Y1232" s="55" t="s">
        <v>851</v>
      </c>
      <c r="Z1232" s="55" t="s">
        <v>1356</v>
      </c>
      <c r="AA1232" s="90" t="s">
        <v>1680</v>
      </c>
      <c r="AD1232" s="90">
        <v>1.5</v>
      </c>
      <c r="AH1232" s="55" t="s">
        <v>6378</v>
      </c>
      <c r="AM1232" s="55" t="s">
        <v>1314</v>
      </c>
      <c r="AN1232" s="185" t="s">
        <v>131</v>
      </c>
      <c r="AO1232" s="185" t="s">
        <v>5150</v>
      </c>
      <c r="AQ1232" s="55" t="s">
        <v>131</v>
      </c>
      <c r="AR1232" s="55" t="s">
        <v>132</v>
      </c>
      <c r="AS1232" s="55" t="s">
        <v>132</v>
      </c>
      <c r="AU1232" s="181" t="s">
        <v>7494</v>
      </c>
      <c r="AV1232" s="185" t="s">
        <v>176</v>
      </c>
      <c r="AX1232" s="185" t="s">
        <v>176</v>
      </c>
      <c r="AZ1232" s="55" t="s">
        <v>229</v>
      </c>
      <c r="BA1232" s="55" t="s">
        <v>229</v>
      </c>
      <c r="BB1232" s="55" t="s">
        <v>2081</v>
      </c>
      <c r="BC1232" s="55" t="s">
        <v>2081</v>
      </c>
      <c r="BD1232" s="55" t="s">
        <v>176</v>
      </c>
      <c r="BK1232" s="55" t="s">
        <v>5976</v>
      </c>
      <c r="BM1232" s="192" t="s">
        <v>119</v>
      </c>
      <c r="BN1232" s="55">
        <v>4</v>
      </c>
      <c r="BO1232" s="55">
        <v>4</v>
      </c>
      <c r="BQ1232" s="55" t="s">
        <v>315</v>
      </c>
      <c r="DB1232" s="65">
        <v>9.94</v>
      </c>
      <c r="DC1232" s="65">
        <v>13.11</v>
      </c>
      <c r="DF1232" s="65" t="s">
        <v>858</v>
      </c>
      <c r="GP1232" s="292" t="s">
        <v>7494</v>
      </c>
      <c r="JW1232" s="55" t="s">
        <v>837</v>
      </c>
    </row>
    <row r="1233" spans="1:283" x14ac:dyDescent="0.25">
      <c r="A1233" s="55">
        <v>1232</v>
      </c>
      <c r="B1233" s="12" t="s">
        <v>7067</v>
      </c>
      <c r="C1233" s="155">
        <v>58</v>
      </c>
      <c r="D1233" s="55" t="s">
        <v>3937</v>
      </c>
      <c r="E1233" s="90" t="s">
        <v>834</v>
      </c>
      <c r="G1233" s="55" t="s">
        <v>835</v>
      </c>
      <c r="H1233" s="55">
        <v>1990</v>
      </c>
      <c r="I1233" s="55">
        <v>1987</v>
      </c>
      <c r="J1233" s="55" t="s">
        <v>836</v>
      </c>
      <c r="K1233" s="55" t="s">
        <v>859</v>
      </c>
      <c r="L1233" s="55" t="s">
        <v>2737</v>
      </c>
      <c r="M1233" s="90">
        <v>38.92</v>
      </c>
      <c r="N1233" s="90">
        <v>-76.150000000000006</v>
      </c>
      <c r="O1233" s="90">
        <v>5</v>
      </c>
      <c r="R1233" s="55">
        <v>836</v>
      </c>
      <c r="U1233" s="55">
        <v>1</v>
      </c>
      <c r="V1233" s="55" t="s">
        <v>1805</v>
      </c>
      <c r="Y1233" s="55" t="s">
        <v>852</v>
      </c>
      <c r="Z1233" s="55" t="s">
        <v>1356</v>
      </c>
      <c r="AA1233" s="90" t="s">
        <v>1680</v>
      </c>
      <c r="AD1233" s="90">
        <v>1.5</v>
      </c>
      <c r="AH1233" s="55" t="s">
        <v>6378</v>
      </c>
      <c r="AM1233" s="55" t="s">
        <v>1314</v>
      </c>
      <c r="AN1233" s="185" t="s">
        <v>131</v>
      </c>
      <c r="AO1233" s="185" t="s">
        <v>5150</v>
      </c>
      <c r="AQ1233" s="55" t="s">
        <v>131</v>
      </c>
      <c r="AR1233" s="55" t="s">
        <v>132</v>
      </c>
      <c r="AS1233" s="55" t="s">
        <v>132</v>
      </c>
      <c r="AU1233" s="181" t="s">
        <v>7494</v>
      </c>
      <c r="AV1233" s="185" t="s">
        <v>176</v>
      </c>
      <c r="AX1233" s="185" t="s">
        <v>176</v>
      </c>
      <c r="AZ1233" s="55" t="s">
        <v>229</v>
      </c>
      <c r="BA1233" s="55" t="s">
        <v>229</v>
      </c>
      <c r="BB1233" s="55" t="s">
        <v>2081</v>
      </c>
      <c r="BC1233" s="55" t="s">
        <v>2081</v>
      </c>
      <c r="BD1233" s="55" t="s">
        <v>176</v>
      </c>
      <c r="BK1233" s="55" t="s">
        <v>5976</v>
      </c>
      <c r="BM1233" s="192" t="s">
        <v>119</v>
      </c>
      <c r="BN1233" s="55">
        <v>4</v>
      </c>
      <c r="BO1233" s="55">
        <v>4</v>
      </c>
      <c r="BQ1233" s="55" t="s">
        <v>315</v>
      </c>
      <c r="DB1233" s="65">
        <v>1.44</v>
      </c>
      <c r="DC1233" s="65">
        <v>7.28</v>
      </c>
      <c r="DF1233" s="65" t="s">
        <v>858</v>
      </c>
      <c r="GP1233" s="292" t="s">
        <v>7494</v>
      </c>
      <c r="JW1233" s="55" t="s">
        <v>837</v>
      </c>
    </row>
    <row r="1234" spans="1:283" x14ac:dyDescent="0.25">
      <c r="A1234" s="55">
        <v>1233</v>
      </c>
      <c r="B1234" s="12" t="s">
        <v>7067</v>
      </c>
      <c r="C1234" s="155">
        <v>58</v>
      </c>
      <c r="D1234" s="55" t="s">
        <v>3937</v>
      </c>
      <c r="E1234" s="90" t="s">
        <v>834</v>
      </c>
      <c r="G1234" s="55" t="s">
        <v>835</v>
      </c>
      <c r="H1234" s="55">
        <v>1990</v>
      </c>
      <c r="I1234" s="55">
        <v>1988</v>
      </c>
      <c r="J1234" s="55" t="s">
        <v>836</v>
      </c>
      <c r="K1234" s="55" t="s">
        <v>859</v>
      </c>
      <c r="L1234" s="55" t="s">
        <v>2737</v>
      </c>
      <c r="M1234" s="90">
        <v>38.92</v>
      </c>
      <c r="N1234" s="90">
        <v>-76.150000000000006</v>
      </c>
      <c r="O1234" s="90">
        <v>5</v>
      </c>
      <c r="R1234" s="55">
        <v>836</v>
      </c>
      <c r="U1234" s="55">
        <v>2</v>
      </c>
      <c r="V1234" s="55" t="s">
        <v>1805</v>
      </c>
      <c r="Y1234" s="55" t="s">
        <v>853</v>
      </c>
      <c r="Z1234" s="55" t="s">
        <v>1356</v>
      </c>
      <c r="AA1234" s="90" t="s">
        <v>1680</v>
      </c>
      <c r="AD1234" s="90">
        <v>1.5</v>
      </c>
      <c r="AH1234" s="55" t="s">
        <v>6378</v>
      </c>
      <c r="AM1234" s="55" t="s">
        <v>1314</v>
      </c>
      <c r="AN1234" s="185" t="s">
        <v>131</v>
      </c>
      <c r="AO1234" s="185" t="s">
        <v>5150</v>
      </c>
      <c r="AQ1234" s="55" t="s">
        <v>131</v>
      </c>
      <c r="AR1234" s="55" t="s">
        <v>132</v>
      </c>
      <c r="AS1234" s="55" t="s">
        <v>132</v>
      </c>
      <c r="AU1234" s="181" t="s">
        <v>7494</v>
      </c>
      <c r="AV1234" s="185" t="s">
        <v>176</v>
      </c>
      <c r="AX1234" s="185" t="s">
        <v>176</v>
      </c>
      <c r="AZ1234" s="55" t="s">
        <v>229</v>
      </c>
      <c r="BA1234" s="55" t="s">
        <v>229</v>
      </c>
      <c r="BB1234" s="55" t="s">
        <v>2081</v>
      </c>
      <c r="BC1234" s="55" t="s">
        <v>2081</v>
      </c>
      <c r="BD1234" s="55" t="s">
        <v>176</v>
      </c>
      <c r="BK1234" s="55" t="s">
        <v>5976</v>
      </c>
      <c r="BM1234" s="192" t="s">
        <v>119</v>
      </c>
      <c r="BN1234" s="55">
        <v>4</v>
      </c>
      <c r="BO1234" s="55">
        <v>4</v>
      </c>
      <c r="BQ1234" s="55" t="s">
        <v>315</v>
      </c>
      <c r="DB1234" s="65">
        <v>1.75</v>
      </c>
      <c r="DC1234" s="65">
        <v>3.6</v>
      </c>
      <c r="DF1234" s="65" t="s">
        <v>858</v>
      </c>
      <c r="GP1234" s="292" t="s">
        <v>7494</v>
      </c>
      <c r="JW1234" s="55" t="s">
        <v>837</v>
      </c>
    </row>
    <row r="1235" spans="1:283" x14ac:dyDescent="0.25">
      <c r="A1235" s="55">
        <v>1234</v>
      </c>
      <c r="B1235" s="12" t="s">
        <v>7067</v>
      </c>
      <c r="C1235" s="155">
        <v>58</v>
      </c>
      <c r="D1235" s="55" t="s">
        <v>3937</v>
      </c>
      <c r="E1235" s="90" t="s">
        <v>834</v>
      </c>
      <c r="G1235" s="55" t="s">
        <v>835</v>
      </c>
      <c r="H1235" s="55">
        <v>1990</v>
      </c>
      <c r="I1235" s="55">
        <v>1988</v>
      </c>
      <c r="J1235" s="55" t="s">
        <v>836</v>
      </c>
      <c r="K1235" s="55" t="s">
        <v>859</v>
      </c>
      <c r="L1235" s="55" t="s">
        <v>2737</v>
      </c>
      <c r="M1235" s="90">
        <v>38.92</v>
      </c>
      <c r="N1235" s="90">
        <v>-76.150000000000006</v>
      </c>
      <c r="O1235" s="90">
        <v>5</v>
      </c>
      <c r="R1235" s="55">
        <v>836</v>
      </c>
      <c r="U1235" s="55">
        <v>2</v>
      </c>
      <c r="V1235" s="55" t="s">
        <v>1805</v>
      </c>
      <c r="Y1235" s="55" t="s">
        <v>753</v>
      </c>
      <c r="Z1235" s="55" t="s">
        <v>1356</v>
      </c>
      <c r="AA1235" s="90" t="s">
        <v>1680</v>
      </c>
      <c r="AD1235" s="90">
        <v>1.5</v>
      </c>
      <c r="AH1235" s="55" t="s">
        <v>6378</v>
      </c>
      <c r="AM1235" s="55" t="s">
        <v>1314</v>
      </c>
      <c r="AN1235" s="185" t="s">
        <v>131</v>
      </c>
      <c r="AO1235" s="185" t="s">
        <v>5150</v>
      </c>
      <c r="AQ1235" s="55" t="s">
        <v>131</v>
      </c>
      <c r="AR1235" s="55" t="s">
        <v>132</v>
      </c>
      <c r="AS1235" s="55" t="s">
        <v>132</v>
      </c>
      <c r="AU1235" s="181" t="s">
        <v>7494</v>
      </c>
      <c r="AV1235" s="185" t="s">
        <v>176</v>
      </c>
      <c r="AX1235" s="185" t="s">
        <v>176</v>
      </c>
      <c r="AZ1235" s="55" t="s">
        <v>229</v>
      </c>
      <c r="BA1235" s="55" t="s">
        <v>229</v>
      </c>
      <c r="BB1235" s="55" t="s">
        <v>2081</v>
      </c>
      <c r="BC1235" s="55" t="s">
        <v>2081</v>
      </c>
      <c r="BD1235" s="55" t="s">
        <v>176</v>
      </c>
      <c r="BK1235" s="55" t="s">
        <v>5976</v>
      </c>
      <c r="BM1235" s="192" t="s">
        <v>119</v>
      </c>
      <c r="BN1235" s="55">
        <v>4</v>
      </c>
      <c r="BO1235" s="55">
        <v>4</v>
      </c>
      <c r="BQ1235" s="55" t="s">
        <v>315</v>
      </c>
      <c r="DB1235" s="65">
        <v>0.43</v>
      </c>
      <c r="DC1235" s="65">
        <v>0.74</v>
      </c>
      <c r="DF1235" s="65" t="s">
        <v>858</v>
      </c>
      <c r="GP1235" s="292" t="s">
        <v>7494</v>
      </c>
      <c r="JW1235" s="55" t="s">
        <v>837</v>
      </c>
    </row>
    <row r="1236" spans="1:283" x14ac:dyDescent="0.25">
      <c r="A1236" s="55">
        <v>1235</v>
      </c>
      <c r="B1236" s="12" t="s">
        <v>7067</v>
      </c>
      <c r="C1236" s="155">
        <v>58</v>
      </c>
      <c r="D1236" s="55" t="s">
        <v>3937</v>
      </c>
      <c r="E1236" s="90" t="s">
        <v>834</v>
      </c>
      <c r="G1236" s="55" t="s">
        <v>835</v>
      </c>
      <c r="H1236" s="55">
        <v>1990</v>
      </c>
      <c r="I1236" s="55">
        <v>1988</v>
      </c>
      <c r="J1236" s="55" t="s">
        <v>836</v>
      </c>
      <c r="K1236" s="55" t="s">
        <v>859</v>
      </c>
      <c r="L1236" s="55" t="s">
        <v>2737</v>
      </c>
      <c r="M1236" s="90">
        <v>38.92</v>
      </c>
      <c r="N1236" s="90">
        <v>-76.150000000000006</v>
      </c>
      <c r="O1236" s="90">
        <v>5</v>
      </c>
      <c r="R1236" s="55">
        <v>836</v>
      </c>
      <c r="U1236" s="55">
        <v>2</v>
      </c>
      <c r="V1236" s="55" t="s">
        <v>1805</v>
      </c>
      <c r="Y1236" s="55" t="s">
        <v>854</v>
      </c>
      <c r="Z1236" s="55" t="s">
        <v>1356</v>
      </c>
      <c r="AA1236" s="90" t="s">
        <v>1680</v>
      </c>
      <c r="AD1236" s="90">
        <v>1.5</v>
      </c>
      <c r="AH1236" s="55" t="s">
        <v>6378</v>
      </c>
      <c r="AM1236" s="55" t="s">
        <v>1314</v>
      </c>
      <c r="AN1236" s="185" t="s">
        <v>131</v>
      </c>
      <c r="AO1236" s="185" t="s">
        <v>5150</v>
      </c>
      <c r="AQ1236" s="55" t="s">
        <v>131</v>
      </c>
      <c r="AR1236" s="55" t="s">
        <v>132</v>
      </c>
      <c r="AS1236" s="55" t="s">
        <v>132</v>
      </c>
      <c r="AU1236" s="181" t="s">
        <v>7494</v>
      </c>
      <c r="AV1236" s="185" t="s">
        <v>176</v>
      </c>
      <c r="AX1236" s="185" t="s">
        <v>176</v>
      </c>
      <c r="AZ1236" s="55" t="s">
        <v>229</v>
      </c>
      <c r="BA1236" s="55" t="s">
        <v>229</v>
      </c>
      <c r="BB1236" s="55" t="s">
        <v>2081</v>
      </c>
      <c r="BC1236" s="55" t="s">
        <v>2081</v>
      </c>
      <c r="BD1236" s="55" t="s">
        <v>176</v>
      </c>
      <c r="BK1236" s="55" t="s">
        <v>5976</v>
      </c>
      <c r="BM1236" s="192" t="s">
        <v>119</v>
      </c>
      <c r="BN1236" s="55">
        <v>4</v>
      </c>
      <c r="BO1236" s="55">
        <v>4</v>
      </c>
      <c r="BQ1236" s="55" t="s">
        <v>315</v>
      </c>
      <c r="DB1236" s="65">
        <v>1.98</v>
      </c>
      <c r="DC1236" s="65">
        <v>9.15</v>
      </c>
      <c r="DF1236" s="65" t="s">
        <v>858</v>
      </c>
      <c r="GP1236" s="292" t="s">
        <v>7494</v>
      </c>
      <c r="JW1236" s="55" t="s">
        <v>837</v>
      </c>
    </row>
    <row r="1237" spans="1:283" x14ac:dyDescent="0.25">
      <c r="A1237" s="55">
        <v>1236</v>
      </c>
      <c r="B1237" s="12" t="s">
        <v>7067</v>
      </c>
      <c r="C1237" s="155">
        <v>58</v>
      </c>
      <c r="D1237" s="55" t="s">
        <v>3937</v>
      </c>
      <c r="E1237" s="90" t="s">
        <v>834</v>
      </c>
      <c r="G1237" s="55" t="s">
        <v>835</v>
      </c>
      <c r="H1237" s="55">
        <v>1990</v>
      </c>
      <c r="I1237" s="55">
        <v>1988</v>
      </c>
      <c r="J1237" s="55" t="s">
        <v>836</v>
      </c>
      <c r="K1237" s="55" t="s">
        <v>859</v>
      </c>
      <c r="L1237" s="55" t="s">
        <v>2737</v>
      </c>
      <c r="M1237" s="90">
        <v>38.92</v>
      </c>
      <c r="N1237" s="90">
        <v>-76.150000000000006</v>
      </c>
      <c r="O1237" s="90">
        <v>5</v>
      </c>
      <c r="R1237" s="55">
        <v>836</v>
      </c>
      <c r="U1237" s="55">
        <v>2</v>
      </c>
      <c r="V1237" s="55" t="s">
        <v>1805</v>
      </c>
      <c r="Y1237" s="55" t="s">
        <v>857</v>
      </c>
      <c r="Z1237" s="55" t="s">
        <v>1356</v>
      </c>
      <c r="AA1237" s="90" t="s">
        <v>1680</v>
      </c>
      <c r="AD1237" s="90">
        <v>1.5</v>
      </c>
      <c r="AH1237" s="55" t="s">
        <v>6378</v>
      </c>
      <c r="AM1237" s="55" t="s">
        <v>1314</v>
      </c>
      <c r="AN1237" s="185" t="s">
        <v>131</v>
      </c>
      <c r="AO1237" s="185" t="s">
        <v>5150</v>
      </c>
      <c r="AQ1237" s="55" t="s">
        <v>131</v>
      </c>
      <c r="AR1237" s="55" t="s">
        <v>132</v>
      </c>
      <c r="AS1237" s="55" t="s">
        <v>132</v>
      </c>
      <c r="AU1237" s="181" t="s">
        <v>7494</v>
      </c>
      <c r="AV1237" s="185" t="s">
        <v>176</v>
      </c>
      <c r="AX1237" s="185" t="s">
        <v>176</v>
      </c>
      <c r="AZ1237" s="55" t="s">
        <v>229</v>
      </c>
      <c r="BA1237" s="55" t="s">
        <v>229</v>
      </c>
      <c r="BB1237" s="55" t="s">
        <v>2081</v>
      </c>
      <c r="BC1237" s="55" t="s">
        <v>2081</v>
      </c>
      <c r="BD1237" s="55" t="s">
        <v>176</v>
      </c>
      <c r="BK1237" s="55" t="s">
        <v>5976</v>
      </c>
      <c r="BM1237" s="192" t="s">
        <v>119</v>
      </c>
      <c r="BN1237" s="55">
        <v>4</v>
      </c>
      <c r="BO1237" s="55">
        <v>4</v>
      </c>
      <c r="BQ1237" s="55" t="s">
        <v>315</v>
      </c>
      <c r="DB1237" s="65">
        <v>18.989999999999998</v>
      </c>
      <c r="DC1237" s="65">
        <v>31.89</v>
      </c>
      <c r="DF1237" s="65" t="s">
        <v>858</v>
      </c>
      <c r="GP1237" s="292" t="s">
        <v>7494</v>
      </c>
      <c r="JW1237" s="55" t="s">
        <v>837</v>
      </c>
    </row>
    <row r="1238" spans="1:283" x14ac:dyDescent="0.25">
      <c r="A1238" s="55">
        <v>1237</v>
      </c>
      <c r="B1238" s="12" t="s">
        <v>7067</v>
      </c>
      <c r="C1238" s="155">
        <v>58</v>
      </c>
      <c r="D1238" s="55" t="s">
        <v>3937</v>
      </c>
      <c r="E1238" s="90" t="s">
        <v>834</v>
      </c>
      <c r="G1238" s="55" t="s">
        <v>835</v>
      </c>
      <c r="H1238" s="55">
        <v>1990</v>
      </c>
      <c r="I1238" s="55">
        <v>1988</v>
      </c>
      <c r="J1238" s="55" t="s">
        <v>836</v>
      </c>
      <c r="K1238" s="55" t="s">
        <v>859</v>
      </c>
      <c r="L1238" s="55" t="s">
        <v>2737</v>
      </c>
      <c r="M1238" s="90">
        <v>38.92</v>
      </c>
      <c r="N1238" s="90">
        <v>-76.150000000000006</v>
      </c>
      <c r="O1238" s="90">
        <v>5</v>
      </c>
      <c r="R1238" s="55">
        <v>836</v>
      </c>
      <c r="U1238" s="55">
        <v>2</v>
      </c>
      <c r="V1238" s="55" t="s">
        <v>1805</v>
      </c>
      <c r="Y1238" s="55" t="s">
        <v>855</v>
      </c>
      <c r="Z1238" s="55" t="s">
        <v>1356</v>
      </c>
      <c r="AA1238" s="90" t="s">
        <v>1680</v>
      </c>
      <c r="AD1238" s="90">
        <v>1.5</v>
      </c>
      <c r="AH1238" s="55" t="s">
        <v>6378</v>
      </c>
      <c r="AM1238" s="55" t="s">
        <v>1314</v>
      </c>
      <c r="AN1238" s="185" t="s">
        <v>131</v>
      </c>
      <c r="AO1238" s="185" t="s">
        <v>5150</v>
      </c>
      <c r="AQ1238" s="55" t="s">
        <v>131</v>
      </c>
      <c r="AR1238" s="55" t="s">
        <v>132</v>
      </c>
      <c r="AS1238" s="55" t="s">
        <v>132</v>
      </c>
      <c r="AU1238" s="181" t="s">
        <v>7494</v>
      </c>
      <c r="AV1238" s="185" t="s">
        <v>176</v>
      </c>
      <c r="AX1238" s="185" t="s">
        <v>176</v>
      </c>
      <c r="AZ1238" s="55" t="s">
        <v>229</v>
      </c>
      <c r="BA1238" s="55" t="s">
        <v>229</v>
      </c>
      <c r="BB1238" s="55" t="s">
        <v>2081</v>
      </c>
      <c r="BC1238" s="55" t="s">
        <v>2081</v>
      </c>
      <c r="BD1238" s="55" t="s">
        <v>176</v>
      </c>
      <c r="BK1238" s="55" t="s">
        <v>5976</v>
      </c>
      <c r="BM1238" s="192" t="s">
        <v>119</v>
      </c>
      <c r="BN1238" s="55">
        <v>4</v>
      </c>
      <c r="BO1238" s="55">
        <v>4</v>
      </c>
      <c r="BQ1238" s="55" t="s">
        <v>315</v>
      </c>
      <c r="DB1238" s="65">
        <v>16.329999999999998</v>
      </c>
      <c r="DC1238" s="65">
        <v>36.200000000000003</v>
      </c>
      <c r="DF1238" s="65" t="s">
        <v>858</v>
      </c>
      <c r="GP1238" s="292" t="s">
        <v>7494</v>
      </c>
      <c r="JW1238" s="55" t="s">
        <v>837</v>
      </c>
    </row>
    <row r="1239" spans="1:283" x14ac:dyDescent="0.25">
      <c r="A1239" s="55">
        <v>1238</v>
      </c>
      <c r="B1239" s="12" t="s">
        <v>7067</v>
      </c>
      <c r="C1239" s="155">
        <v>58</v>
      </c>
      <c r="D1239" s="55" t="s">
        <v>3937</v>
      </c>
      <c r="E1239" s="90" t="s">
        <v>834</v>
      </c>
      <c r="G1239" s="55" t="s">
        <v>835</v>
      </c>
      <c r="H1239" s="55">
        <v>1990</v>
      </c>
      <c r="I1239" s="55">
        <v>1988</v>
      </c>
      <c r="J1239" s="55" t="s">
        <v>836</v>
      </c>
      <c r="K1239" s="55" t="s">
        <v>859</v>
      </c>
      <c r="L1239" s="55" t="s">
        <v>2737</v>
      </c>
      <c r="M1239" s="90">
        <v>38.92</v>
      </c>
      <c r="N1239" s="90">
        <v>-76.150000000000006</v>
      </c>
      <c r="O1239" s="90">
        <v>5</v>
      </c>
      <c r="R1239" s="55">
        <v>836</v>
      </c>
      <c r="U1239" s="55">
        <v>2</v>
      </c>
      <c r="V1239" s="55" t="s">
        <v>1805</v>
      </c>
      <c r="Y1239" s="55" t="s">
        <v>856</v>
      </c>
      <c r="Z1239" s="55" t="s">
        <v>1356</v>
      </c>
      <c r="AA1239" s="90" t="s">
        <v>1680</v>
      </c>
      <c r="AD1239" s="90">
        <v>1.5</v>
      </c>
      <c r="AH1239" s="55" t="s">
        <v>6378</v>
      </c>
      <c r="AM1239" s="55" t="s">
        <v>1314</v>
      </c>
      <c r="AN1239" s="185" t="s">
        <v>131</v>
      </c>
      <c r="AO1239" s="185" t="s">
        <v>5150</v>
      </c>
      <c r="AQ1239" s="55" t="s">
        <v>131</v>
      </c>
      <c r="AR1239" s="55" t="s">
        <v>132</v>
      </c>
      <c r="AS1239" s="55" t="s">
        <v>132</v>
      </c>
      <c r="AU1239" s="181" t="s">
        <v>7494</v>
      </c>
      <c r="AV1239" s="185" t="s">
        <v>176</v>
      </c>
      <c r="AX1239" s="185" t="s">
        <v>176</v>
      </c>
      <c r="AZ1239" s="55" t="s">
        <v>229</v>
      </c>
      <c r="BA1239" s="55" t="s">
        <v>229</v>
      </c>
      <c r="BB1239" s="55" t="s">
        <v>2081</v>
      </c>
      <c r="BC1239" s="55" t="s">
        <v>2081</v>
      </c>
      <c r="BD1239" s="55" t="s">
        <v>176</v>
      </c>
      <c r="BK1239" s="55" t="s">
        <v>5976</v>
      </c>
      <c r="BM1239" s="192" t="s">
        <v>119</v>
      </c>
      <c r="BN1239" s="55">
        <v>4</v>
      </c>
      <c r="BO1239" s="55">
        <v>4</v>
      </c>
      <c r="BQ1239" s="55" t="s">
        <v>315</v>
      </c>
      <c r="DB1239" s="65">
        <v>25.04</v>
      </c>
      <c r="DC1239" s="65">
        <v>47.06</v>
      </c>
      <c r="DF1239" s="65" t="s">
        <v>858</v>
      </c>
      <c r="GP1239" s="292" t="s">
        <v>7494</v>
      </c>
      <c r="JW1239" s="55" t="s">
        <v>837</v>
      </c>
    </row>
    <row r="1240" spans="1:283" x14ac:dyDescent="0.25">
      <c r="A1240" s="55">
        <v>1239</v>
      </c>
      <c r="B1240" s="12" t="s">
        <v>7067</v>
      </c>
      <c r="C1240" s="155">
        <v>58</v>
      </c>
      <c r="D1240" s="55" t="s">
        <v>3938</v>
      </c>
      <c r="E1240" s="90" t="s">
        <v>834</v>
      </c>
      <c r="G1240" s="55" t="s">
        <v>835</v>
      </c>
      <c r="H1240" s="55">
        <v>1990</v>
      </c>
      <c r="I1240" s="55">
        <v>1987</v>
      </c>
      <c r="J1240" s="55" t="s">
        <v>836</v>
      </c>
      <c r="K1240" s="55" t="s">
        <v>859</v>
      </c>
      <c r="L1240" s="55" t="s">
        <v>2737</v>
      </c>
      <c r="M1240" s="90">
        <v>38.92</v>
      </c>
      <c r="N1240" s="90">
        <v>-76.150000000000006</v>
      </c>
      <c r="O1240" s="90">
        <v>5</v>
      </c>
      <c r="R1240" s="55">
        <v>836</v>
      </c>
      <c r="U1240" s="55">
        <v>1</v>
      </c>
      <c r="V1240" s="55" t="s">
        <v>1805</v>
      </c>
      <c r="Y1240" s="55" t="s">
        <v>852</v>
      </c>
      <c r="Z1240" s="55" t="s">
        <v>1356</v>
      </c>
      <c r="AA1240" s="90" t="s">
        <v>1680</v>
      </c>
      <c r="AD1240" s="90">
        <v>1.5</v>
      </c>
      <c r="AH1240" s="55" t="s">
        <v>6378</v>
      </c>
      <c r="AM1240" s="55" t="s">
        <v>1314</v>
      </c>
      <c r="AN1240" s="185" t="s">
        <v>131</v>
      </c>
      <c r="AO1240" s="185" t="s">
        <v>5150</v>
      </c>
      <c r="AQ1240" s="55" t="s">
        <v>131</v>
      </c>
      <c r="AR1240" s="55" t="s">
        <v>132</v>
      </c>
      <c r="AS1240" s="55" t="s">
        <v>132</v>
      </c>
      <c r="AU1240" s="181" t="s">
        <v>7494</v>
      </c>
      <c r="AV1240" s="185" t="s">
        <v>176</v>
      </c>
      <c r="AX1240" s="185" t="s">
        <v>176</v>
      </c>
      <c r="AZ1240" s="55" t="s">
        <v>156</v>
      </c>
      <c r="BA1240" s="55" t="s">
        <v>156</v>
      </c>
      <c r="BB1240" s="55" t="s">
        <v>2082</v>
      </c>
      <c r="BC1240" s="55" t="s">
        <v>2082</v>
      </c>
      <c r="BD1240" s="55" t="s">
        <v>176</v>
      </c>
      <c r="BK1240" s="55" t="s">
        <v>6269</v>
      </c>
      <c r="BM1240" s="192" t="s">
        <v>119</v>
      </c>
      <c r="BN1240" s="55">
        <v>4</v>
      </c>
      <c r="BO1240" s="55">
        <v>4</v>
      </c>
      <c r="BQ1240" s="55" t="s">
        <v>315</v>
      </c>
      <c r="DB1240" s="65">
        <v>38.520000000000003</v>
      </c>
      <c r="DC1240" s="65">
        <v>23.56</v>
      </c>
      <c r="DF1240" s="65" t="s">
        <v>858</v>
      </c>
      <c r="GP1240" s="292" t="s">
        <v>7494</v>
      </c>
      <c r="JW1240" s="55" t="s">
        <v>837</v>
      </c>
    </row>
    <row r="1241" spans="1:283" x14ac:dyDescent="0.25">
      <c r="A1241" s="55">
        <v>1240</v>
      </c>
      <c r="B1241" s="12" t="s">
        <v>7067</v>
      </c>
      <c r="C1241" s="155">
        <v>58</v>
      </c>
      <c r="D1241" s="55" t="s">
        <v>3938</v>
      </c>
      <c r="E1241" s="90" t="s">
        <v>834</v>
      </c>
      <c r="G1241" s="55" t="s">
        <v>835</v>
      </c>
      <c r="H1241" s="55">
        <v>1990</v>
      </c>
      <c r="I1241" s="55">
        <v>1988</v>
      </c>
      <c r="J1241" s="55" t="s">
        <v>836</v>
      </c>
      <c r="K1241" s="55" t="s">
        <v>859</v>
      </c>
      <c r="L1241" s="55" t="s">
        <v>2737</v>
      </c>
      <c r="M1241" s="90">
        <v>38.92</v>
      </c>
      <c r="N1241" s="90">
        <v>-76.150000000000006</v>
      </c>
      <c r="O1241" s="90">
        <v>5</v>
      </c>
      <c r="R1241" s="55">
        <v>836</v>
      </c>
      <c r="U1241" s="55">
        <v>2</v>
      </c>
      <c r="V1241" s="55" t="s">
        <v>1805</v>
      </c>
      <c r="Y1241" s="55" t="s">
        <v>853</v>
      </c>
      <c r="Z1241" s="55" t="s">
        <v>1356</v>
      </c>
      <c r="AA1241" s="90" t="s">
        <v>1680</v>
      </c>
      <c r="AD1241" s="90">
        <v>1.5</v>
      </c>
      <c r="AH1241" s="55" t="s">
        <v>6378</v>
      </c>
      <c r="AM1241" s="55" t="s">
        <v>1314</v>
      </c>
      <c r="AN1241" s="185" t="s">
        <v>131</v>
      </c>
      <c r="AO1241" s="185" t="s">
        <v>5150</v>
      </c>
      <c r="AQ1241" s="55" t="s">
        <v>131</v>
      </c>
      <c r="AR1241" s="55" t="s">
        <v>132</v>
      </c>
      <c r="AS1241" s="55" t="s">
        <v>132</v>
      </c>
      <c r="AU1241" s="181" t="s">
        <v>7494</v>
      </c>
      <c r="AV1241" s="185" t="s">
        <v>176</v>
      </c>
      <c r="AX1241" s="185" t="s">
        <v>176</v>
      </c>
      <c r="AZ1241" s="55" t="s">
        <v>156</v>
      </c>
      <c r="BA1241" s="55" t="s">
        <v>156</v>
      </c>
      <c r="BB1241" s="55" t="s">
        <v>2082</v>
      </c>
      <c r="BC1241" s="55" t="s">
        <v>2082</v>
      </c>
      <c r="BD1241" s="55" t="s">
        <v>176</v>
      </c>
      <c r="BK1241" s="55" t="s">
        <v>6269</v>
      </c>
      <c r="BM1241" s="192" t="s">
        <v>119</v>
      </c>
      <c r="BN1241" s="55">
        <v>4</v>
      </c>
      <c r="BO1241" s="55">
        <v>4</v>
      </c>
      <c r="BQ1241" s="55" t="s">
        <v>315</v>
      </c>
      <c r="DB1241" s="65">
        <v>11.89</v>
      </c>
      <c r="DC1241" s="65">
        <v>6.27</v>
      </c>
      <c r="DF1241" s="65" t="s">
        <v>858</v>
      </c>
      <c r="GP1241" s="292" t="s">
        <v>7494</v>
      </c>
      <c r="JW1241" s="55" t="s">
        <v>837</v>
      </c>
    </row>
    <row r="1242" spans="1:283" x14ac:dyDescent="0.25">
      <c r="A1242" s="55">
        <v>1241</v>
      </c>
      <c r="B1242" s="12" t="s">
        <v>7067</v>
      </c>
      <c r="C1242" s="155">
        <v>58</v>
      </c>
      <c r="D1242" s="55" t="s">
        <v>3938</v>
      </c>
      <c r="E1242" s="90" t="s">
        <v>834</v>
      </c>
      <c r="G1242" s="55" t="s">
        <v>835</v>
      </c>
      <c r="H1242" s="55">
        <v>1990</v>
      </c>
      <c r="I1242" s="55">
        <v>1988</v>
      </c>
      <c r="J1242" s="55" t="s">
        <v>836</v>
      </c>
      <c r="K1242" s="55" t="s">
        <v>859</v>
      </c>
      <c r="L1242" s="55" t="s">
        <v>2737</v>
      </c>
      <c r="M1242" s="90">
        <v>38.92</v>
      </c>
      <c r="N1242" s="90">
        <v>-76.150000000000006</v>
      </c>
      <c r="O1242" s="90">
        <v>5</v>
      </c>
      <c r="R1242" s="55">
        <v>836</v>
      </c>
      <c r="U1242" s="55">
        <v>2</v>
      </c>
      <c r="V1242" s="55" t="s">
        <v>1805</v>
      </c>
      <c r="Y1242" s="55" t="s">
        <v>753</v>
      </c>
      <c r="Z1242" s="55" t="s">
        <v>1356</v>
      </c>
      <c r="AA1242" s="90" t="s">
        <v>1680</v>
      </c>
      <c r="AD1242" s="90">
        <v>1.5</v>
      </c>
      <c r="AH1242" s="55" t="s">
        <v>6378</v>
      </c>
      <c r="AM1242" s="55" t="s">
        <v>1314</v>
      </c>
      <c r="AN1242" s="185" t="s">
        <v>131</v>
      </c>
      <c r="AO1242" s="185" t="s">
        <v>5150</v>
      </c>
      <c r="AQ1242" s="55" t="s">
        <v>131</v>
      </c>
      <c r="AR1242" s="55" t="s">
        <v>132</v>
      </c>
      <c r="AS1242" s="55" t="s">
        <v>132</v>
      </c>
      <c r="AU1242" s="181" t="s">
        <v>7494</v>
      </c>
      <c r="AV1242" s="185" t="s">
        <v>176</v>
      </c>
      <c r="AX1242" s="185" t="s">
        <v>176</v>
      </c>
      <c r="AZ1242" s="55" t="s">
        <v>156</v>
      </c>
      <c r="BA1242" s="55" t="s">
        <v>156</v>
      </c>
      <c r="BB1242" s="55" t="s">
        <v>2082</v>
      </c>
      <c r="BC1242" s="55" t="s">
        <v>2082</v>
      </c>
      <c r="BD1242" s="55" t="s">
        <v>176</v>
      </c>
      <c r="BK1242" s="55" t="s">
        <v>6269</v>
      </c>
      <c r="BM1242" s="192" t="s">
        <v>119</v>
      </c>
      <c r="BN1242" s="55">
        <v>4</v>
      </c>
      <c r="BO1242" s="55">
        <v>4</v>
      </c>
      <c r="BQ1242" s="55" t="s">
        <v>315</v>
      </c>
      <c r="DB1242" s="65">
        <v>0.74</v>
      </c>
      <c r="DC1242" s="65">
        <v>2.48</v>
      </c>
      <c r="DF1242" s="65" t="s">
        <v>858</v>
      </c>
      <c r="GP1242" s="292" t="s">
        <v>7494</v>
      </c>
      <c r="JW1242" s="55" t="s">
        <v>837</v>
      </c>
    </row>
    <row r="1243" spans="1:283" x14ac:dyDescent="0.25">
      <c r="A1243" s="55">
        <v>1242</v>
      </c>
      <c r="B1243" s="12" t="s">
        <v>7067</v>
      </c>
      <c r="C1243" s="155">
        <v>58</v>
      </c>
      <c r="D1243" s="55" t="s">
        <v>3938</v>
      </c>
      <c r="E1243" s="90" t="s">
        <v>834</v>
      </c>
      <c r="G1243" s="55" t="s">
        <v>835</v>
      </c>
      <c r="H1243" s="55">
        <v>1990</v>
      </c>
      <c r="I1243" s="55">
        <v>1988</v>
      </c>
      <c r="J1243" s="55" t="s">
        <v>836</v>
      </c>
      <c r="K1243" s="55" t="s">
        <v>859</v>
      </c>
      <c r="L1243" s="55" t="s">
        <v>2737</v>
      </c>
      <c r="M1243" s="90">
        <v>38.92</v>
      </c>
      <c r="N1243" s="90">
        <v>-76.150000000000006</v>
      </c>
      <c r="O1243" s="90">
        <v>5</v>
      </c>
      <c r="R1243" s="55">
        <v>836</v>
      </c>
      <c r="U1243" s="55">
        <v>2</v>
      </c>
      <c r="V1243" s="55" t="s">
        <v>1805</v>
      </c>
      <c r="Y1243" s="55" t="s">
        <v>854</v>
      </c>
      <c r="Z1243" s="55" t="s">
        <v>1356</v>
      </c>
      <c r="AA1243" s="90" t="s">
        <v>1680</v>
      </c>
      <c r="AD1243" s="90">
        <v>1.5</v>
      </c>
      <c r="AH1243" s="55" t="s">
        <v>6378</v>
      </c>
      <c r="AM1243" s="55" t="s">
        <v>1314</v>
      </c>
      <c r="AN1243" s="185" t="s">
        <v>131</v>
      </c>
      <c r="AO1243" s="185" t="s">
        <v>5150</v>
      </c>
      <c r="AQ1243" s="55" t="s">
        <v>131</v>
      </c>
      <c r="AR1243" s="55" t="s">
        <v>132</v>
      </c>
      <c r="AS1243" s="55" t="s">
        <v>132</v>
      </c>
      <c r="AU1243" s="181" t="s">
        <v>7494</v>
      </c>
      <c r="AV1243" s="185" t="s">
        <v>176</v>
      </c>
      <c r="AX1243" s="185" t="s">
        <v>176</v>
      </c>
      <c r="AZ1243" s="55" t="s">
        <v>156</v>
      </c>
      <c r="BA1243" s="55" t="s">
        <v>156</v>
      </c>
      <c r="BB1243" s="55" t="s">
        <v>2082</v>
      </c>
      <c r="BC1243" s="55" t="s">
        <v>2082</v>
      </c>
      <c r="BD1243" s="55" t="s">
        <v>176</v>
      </c>
      <c r="BK1243" s="55" t="s">
        <v>6269</v>
      </c>
      <c r="BM1243" s="192" t="s">
        <v>119</v>
      </c>
      <c r="BN1243" s="55">
        <v>4</v>
      </c>
      <c r="BO1243" s="55">
        <v>4</v>
      </c>
      <c r="BQ1243" s="55" t="s">
        <v>315</v>
      </c>
      <c r="DB1243" s="65">
        <v>0.31</v>
      </c>
      <c r="DC1243" s="65">
        <v>13.04</v>
      </c>
      <c r="DF1243" s="65" t="s">
        <v>858</v>
      </c>
      <c r="GP1243" s="292" t="s">
        <v>7494</v>
      </c>
      <c r="JW1243" s="55" t="s">
        <v>837</v>
      </c>
    </row>
    <row r="1244" spans="1:283" x14ac:dyDescent="0.25">
      <c r="A1244" s="55">
        <v>1243</v>
      </c>
      <c r="B1244" s="12" t="s">
        <v>7067</v>
      </c>
      <c r="C1244" s="155">
        <v>58</v>
      </c>
      <c r="D1244" s="55" t="s">
        <v>3938</v>
      </c>
      <c r="E1244" s="90" t="s">
        <v>834</v>
      </c>
      <c r="G1244" s="55" t="s">
        <v>835</v>
      </c>
      <c r="H1244" s="55">
        <v>1990</v>
      </c>
      <c r="I1244" s="55">
        <v>1988</v>
      </c>
      <c r="J1244" s="55" t="s">
        <v>836</v>
      </c>
      <c r="K1244" s="55" t="s">
        <v>859</v>
      </c>
      <c r="L1244" s="55" t="s">
        <v>2737</v>
      </c>
      <c r="M1244" s="90">
        <v>38.92</v>
      </c>
      <c r="N1244" s="90">
        <v>-76.150000000000006</v>
      </c>
      <c r="O1244" s="90">
        <v>5</v>
      </c>
      <c r="R1244" s="55">
        <v>836</v>
      </c>
      <c r="U1244" s="55">
        <v>2</v>
      </c>
      <c r="V1244" s="55" t="s">
        <v>1805</v>
      </c>
      <c r="Y1244" s="55" t="s">
        <v>857</v>
      </c>
      <c r="Z1244" s="55" t="s">
        <v>1356</v>
      </c>
      <c r="AA1244" s="90" t="s">
        <v>1680</v>
      </c>
      <c r="AD1244" s="90">
        <v>1.5</v>
      </c>
      <c r="AH1244" s="55" t="s">
        <v>6378</v>
      </c>
      <c r="AM1244" s="55" t="s">
        <v>1314</v>
      </c>
      <c r="AN1244" s="185" t="s">
        <v>131</v>
      </c>
      <c r="AO1244" s="185" t="s">
        <v>5150</v>
      </c>
      <c r="AQ1244" s="55" t="s">
        <v>131</v>
      </c>
      <c r="AR1244" s="55" t="s">
        <v>132</v>
      </c>
      <c r="AS1244" s="55" t="s">
        <v>132</v>
      </c>
      <c r="AU1244" s="181" t="s">
        <v>7494</v>
      </c>
      <c r="AV1244" s="185" t="s">
        <v>176</v>
      </c>
      <c r="AX1244" s="185" t="s">
        <v>176</v>
      </c>
      <c r="AZ1244" s="55" t="s">
        <v>156</v>
      </c>
      <c r="BA1244" s="55" t="s">
        <v>156</v>
      </c>
      <c r="BB1244" s="55" t="s">
        <v>2082</v>
      </c>
      <c r="BC1244" s="55" t="s">
        <v>2082</v>
      </c>
      <c r="BD1244" s="55" t="s">
        <v>176</v>
      </c>
      <c r="BK1244" s="55" t="s">
        <v>6269</v>
      </c>
      <c r="BM1244" s="192" t="s">
        <v>119</v>
      </c>
      <c r="BN1244" s="55">
        <v>4</v>
      </c>
      <c r="BO1244" s="55">
        <v>4</v>
      </c>
      <c r="BQ1244" s="55" t="s">
        <v>315</v>
      </c>
      <c r="DB1244" s="65">
        <v>18.89</v>
      </c>
      <c r="DC1244" s="65">
        <v>33.33</v>
      </c>
      <c r="DF1244" s="65" t="s">
        <v>858</v>
      </c>
      <c r="GP1244" s="292" t="s">
        <v>7494</v>
      </c>
      <c r="JW1244" s="55" t="s">
        <v>837</v>
      </c>
    </row>
    <row r="1245" spans="1:283" x14ac:dyDescent="0.25">
      <c r="A1245" s="55">
        <v>1244</v>
      </c>
      <c r="B1245" s="12" t="s">
        <v>7067</v>
      </c>
      <c r="C1245" s="155">
        <v>58</v>
      </c>
      <c r="D1245" s="55" t="s">
        <v>3938</v>
      </c>
      <c r="E1245" s="90" t="s">
        <v>834</v>
      </c>
      <c r="G1245" s="55" t="s">
        <v>835</v>
      </c>
      <c r="H1245" s="55">
        <v>1990</v>
      </c>
      <c r="I1245" s="55">
        <v>1988</v>
      </c>
      <c r="J1245" s="55" t="s">
        <v>836</v>
      </c>
      <c r="K1245" s="55" t="s">
        <v>859</v>
      </c>
      <c r="L1245" s="55" t="s">
        <v>2737</v>
      </c>
      <c r="M1245" s="90">
        <v>38.92</v>
      </c>
      <c r="N1245" s="90">
        <v>-76.150000000000006</v>
      </c>
      <c r="O1245" s="90">
        <v>5</v>
      </c>
      <c r="R1245" s="55">
        <v>836</v>
      </c>
      <c r="U1245" s="55">
        <v>2</v>
      </c>
      <c r="V1245" s="55" t="s">
        <v>1805</v>
      </c>
      <c r="Y1245" s="55" t="s">
        <v>855</v>
      </c>
      <c r="Z1245" s="55" t="s">
        <v>1356</v>
      </c>
      <c r="AA1245" s="90" t="s">
        <v>1680</v>
      </c>
      <c r="AD1245" s="90">
        <v>1.5</v>
      </c>
      <c r="AH1245" s="55" t="s">
        <v>6378</v>
      </c>
      <c r="AM1245" s="55" t="s">
        <v>1314</v>
      </c>
      <c r="AN1245" s="185" t="s">
        <v>131</v>
      </c>
      <c r="AO1245" s="185" t="s">
        <v>5150</v>
      </c>
      <c r="AQ1245" s="55" t="s">
        <v>131</v>
      </c>
      <c r="AR1245" s="55" t="s">
        <v>132</v>
      </c>
      <c r="AS1245" s="55" t="s">
        <v>132</v>
      </c>
      <c r="AU1245" s="181" t="s">
        <v>7494</v>
      </c>
      <c r="AV1245" s="185" t="s">
        <v>176</v>
      </c>
      <c r="AX1245" s="185" t="s">
        <v>176</v>
      </c>
      <c r="AZ1245" s="55" t="s">
        <v>156</v>
      </c>
      <c r="BA1245" s="55" t="s">
        <v>156</v>
      </c>
      <c r="BB1245" s="55" t="s">
        <v>2082</v>
      </c>
      <c r="BC1245" s="55" t="s">
        <v>2082</v>
      </c>
      <c r="BD1245" s="55" t="s">
        <v>176</v>
      </c>
      <c r="BK1245" s="55" t="s">
        <v>6269</v>
      </c>
      <c r="BM1245" s="192" t="s">
        <v>119</v>
      </c>
      <c r="BN1245" s="55">
        <v>4</v>
      </c>
      <c r="BO1245" s="55">
        <v>4</v>
      </c>
      <c r="BQ1245" s="55" t="s">
        <v>315</v>
      </c>
      <c r="DB1245" s="65">
        <v>28.93</v>
      </c>
      <c r="DC1245" s="65">
        <v>28.93</v>
      </c>
      <c r="DF1245" s="65" t="s">
        <v>858</v>
      </c>
      <c r="GP1245" s="292" t="s">
        <v>7494</v>
      </c>
      <c r="JW1245" s="55" t="s">
        <v>837</v>
      </c>
    </row>
    <row r="1246" spans="1:283" x14ac:dyDescent="0.25">
      <c r="A1246" s="55">
        <v>1245</v>
      </c>
      <c r="B1246" s="12" t="s">
        <v>7067</v>
      </c>
      <c r="C1246" s="155">
        <v>58</v>
      </c>
      <c r="D1246" s="55" t="s">
        <v>3938</v>
      </c>
      <c r="E1246" s="90" t="s">
        <v>834</v>
      </c>
      <c r="G1246" s="55" t="s">
        <v>835</v>
      </c>
      <c r="H1246" s="55">
        <v>1990</v>
      </c>
      <c r="I1246" s="55">
        <v>1988</v>
      </c>
      <c r="J1246" s="55" t="s">
        <v>836</v>
      </c>
      <c r="K1246" s="55" t="s">
        <v>859</v>
      </c>
      <c r="L1246" s="55" t="s">
        <v>2737</v>
      </c>
      <c r="M1246" s="90">
        <v>38.92</v>
      </c>
      <c r="N1246" s="90">
        <v>-76.150000000000006</v>
      </c>
      <c r="O1246" s="90">
        <v>5</v>
      </c>
      <c r="R1246" s="55">
        <v>836</v>
      </c>
      <c r="U1246" s="55">
        <v>2</v>
      </c>
      <c r="V1246" s="55" t="s">
        <v>1805</v>
      </c>
      <c r="Y1246" s="55" t="s">
        <v>856</v>
      </c>
      <c r="Z1246" s="55" t="s">
        <v>1356</v>
      </c>
      <c r="AA1246" s="90" t="s">
        <v>1680</v>
      </c>
      <c r="AD1246" s="90">
        <v>1.5</v>
      </c>
      <c r="AH1246" s="55" t="s">
        <v>6378</v>
      </c>
      <c r="AM1246" s="55" t="s">
        <v>1314</v>
      </c>
      <c r="AN1246" s="185" t="s">
        <v>131</v>
      </c>
      <c r="AO1246" s="185" t="s">
        <v>5150</v>
      </c>
      <c r="AQ1246" s="55" t="s">
        <v>131</v>
      </c>
      <c r="AR1246" s="55" t="s">
        <v>132</v>
      </c>
      <c r="AS1246" s="55" t="s">
        <v>132</v>
      </c>
      <c r="AU1246" s="181" t="s">
        <v>7494</v>
      </c>
      <c r="AV1246" s="185" t="s">
        <v>176</v>
      </c>
      <c r="AX1246" s="185" t="s">
        <v>176</v>
      </c>
      <c r="AZ1246" s="55" t="s">
        <v>156</v>
      </c>
      <c r="BA1246" s="55" t="s">
        <v>156</v>
      </c>
      <c r="BB1246" s="55" t="s">
        <v>2082</v>
      </c>
      <c r="BC1246" s="55" t="s">
        <v>2082</v>
      </c>
      <c r="BD1246" s="55" t="s">
        <v>176</v>
      </c>
      <c r="BK1246" s="55" t="s">
        <v>6269</v>
      </c>
      <c r="BM1246" s="192" t="s">
        <v>119</v>
      </c>
      <c r="BN1246" s="55">
        <v>4</v>
      </c>
      <c r="BO1246" s="55">
        <v>4</v>
      </c>
      <c r="BQ1246" s="55" t="s">
        <v>315</v>
      </c>
      <c r="DB1246" s="65">
        <v>9.57</v>
      </c>
      <c r="DC1246" s="65">
        <v>64.98</v>
      </c>
      <c r="DF1246" s="65" t="s">
        <v>858</v>
      </c>
      <c r="GP1246" s="292" t="s">
        <v>7494</v>
      </c>
      <c r="JW1246" s="55" t="s">
        <v>837</v>
      </c>
    </row>
    <row r="1247" spans="1:283" x14ac:dyDescent="0.25">
      <c r="A1247" s="55">
        <v>1246</v>
      </c>
      <c r="B1247" s="12" t="s">
        <v>7067</v>
      </c>
      <c r="C1247" s="155">
        <v>59</v>
      </c>
      <c r="D1247" s="55" t="s">
        <v>3939</v>
      </c>
      <c r="E1247" s="90" t="s">
        <v>834</v>
      </c>
      <c r="G1247" s="55" t="s">
        <v>835</v>
      </c>
      <c r="H1247" s="55">
        <v>1997</v>
      </c>
      <c r="I1247" s="55">
        <v>1990</v>
      </c>
      <c r="J1247" s="55" t="s">
        <v>836</v>
      </c>
      <c r="K1247" s="55" t="s">
        <v>859</v>
      </c>
      <c r="L1247" s="55" t="s">
        <v>2737</v>
      </c>
      <c r="M1247" s="90">
        <v>38.92</v>
      </c>
      <c r="N1247" s="90">
        <v>-76.150000000000006</v>
      </c>
      <c r="O1247" s="90">
        <v>5</v>
      </c>
      <c r="R1247" s="55">
        <v>1007</v>
      </c>
      <c r="U1247" s="55">
        <v>4</v>
      </c>
      <c r="V1247" s="55" t="s">
        <v>1818</v>
      </c>
      <c r="Y1247" s="55" t="s">
        <v>1941</v>
      </c>
      <c r="Z1247" s="55" t="s">
        <v>1356</v>
      </c>
      <c r="AA1247" s="90" t="s">
        <v>1680</v>
      </c>
      <c r="AD1247" s="90">
        <v>1.5</v>
      </c>
      <c r="AH1247" s="55" t="s">
        <v>6378</v>
      </c>
      <c r="AM1247" s="55" t="s">
        <v>1314</v>
      </c>
      <c r="AN1247" s="185" t="s">
        <v>131</v>
      </c>
      <c r="AO1247" s="185" t="s">
        <v>5150</v>
      </c>
      <c r="AQ1247" s="55" t="s">
        <v>131</v>
      </c>
      <c r="AR1247" s="55" t="s">
        <v>132</v>
      </c>
      <c r="AS1247" s="55" t="s">
        <v>132</v>
      </c>
      <c r="AU1247" s="181" t="s">
        <v>7494</v>
      </c>
      <c r="AV1247" s="185" t="s">
        <v>176</v>
      </c>
      <c r="AX1247" s="185" t="s">
        <v>176</v>
      </c>
      <c r="AZ1247" s="55" t="s">
        <v>156</v>
      </c>
      <c r="BA1247" s="55" t="s">
        <v>156</v>
      </c>
      <c r="BB1247" s="55" t="s">
        <v>2082</v>
      </c>
      <c r="BC1247" s="55" t="s">
        <v>2082</v>
      </c>
      <c r="BD1247" s="55" t="s">
        <v>176</v>
      </c>
      <c r="BE1247" s="226" t="s">
        <v>861</v>
      </c>
      <c r="BF1247" s="191" t="s">
        <v>479</v>
      </c>
      <c r="BG1247" s="55" t="s">
        <v>479</v>
      </c>
      <c r="BH1247" s="226" t="s">
        <v>861</v>
      </c>
      <c r="BI1247" s="55" t="s">
        <v>479</v>
      </c>
      <c r="BJ1247" s="55" t="s">
        <v>176</v>
      </c>
      <c r="BK1247" s="55" t="s">
        <v>6269</v>
      </c>
      <c r="BM1247" s="192" t="s">
        <v>119</v>
      </c>
      <c r="BN1247" s="55">
        <v>4</v>
      </c>
      <c r="BO1247" s="55">
        <v>4</v>
      </c>
      <c r="BQ1247" s="55" t="s">
        <v>315</v>
      </c>
      <c r="BS1247" s="55">
        <v>4048</v>
      </c>
      <c r="BT1247" s="55">
        <f>BS1247/85</f>
        <v>47.623529411764707</v>
      </c>
      <c r="BW1247" s="65">
        <v>8809</v>
      </c>
      <c r="BX1247" s="65">
        <v>9447</v>
      </c>
      <c r="CA1247" s="65" t="s">
        <v>860</v>
      </c>
      <c r="CB1247" s="66">
        <v>9483</v>
      </c>
      <c r="CC1247" s="66">
        <v>10049</v>
      </c>
      <c r="FT1247" s="65">
        <v>27</v>
      </c>
      <c r="FU1247" s="65">
        <v>1.5</v>
      </c>
      <c r="FX1247" s="65" t="s">
        <v>863</v>
      </c>
      <c r="GP1247" s="292" t="s">
        <v>7494</v>
      </c>
      <c r="JW1247" s="55" t="s">
        <v>837</v>
      </c>
    </row>
    <row r="1248" spans="1:283" x14ac:dyDescent="0.25">
      <c r="A1248" s="55">
        <v>1247</v>
      </c>
      <c r="B1248" s="12" t="s">
        <v>7067</v>
      </c>
      <c r="C1248" s="155">
        <v>59</v>
      </c>
      <c r="D1248" s="55" t="s">
        <v>3939</v>
      </c>
      <c r="E1248" s="90" t="s">
        <v>834</v>
      </c>
      <c r="G1248" s="55" t="s">
        <v>835</v>
      </c>
      <c r="H1248" s="55">
        <v>1997</v>
      </c>
      <c r="I1248" s="55">
        <v>1991</v>
      </c>
      <c r="J1248" s="55" t="s">
        <v>836</v>
      </c>
      <c r="K1248" s="55" t="s">
        <v>859</v>
      </c>
      <c r="L1248" s="55" t="s">
        <v>2737</v>
      </c>
      <c r="M1248" s="90">
        <v>38.92</v>
      </c>
      <c r="N1248" s="90">
        <v>-76.150000000000006</v>
      </c>
      <c r="O1248" s="90">
        <v>5</v>
      </c>
      <c r="R1248" s="55">
        <v>997</v>
      </c>
      <c r="U1248" s="55">
        <v>5</v>
      </c>
      <c r="V1248" s="55" t="s">
        <v>1818</v>
      </c>
      <c r="Y1248" s="55" t="s">
        <v>1941</v>
      </c>
      <c r="Z1248" s="55" t="s">
        <v>1356</v>
      </c>
      <c r="AA1248" s="90" t="s">
        <v>1680</v>
      </c>
      <c r="AD1248" s="90">
        <v>1.5</v>
      </c>
      <c r="AH1248" s="55" t="s">
        <v>6378</v>
      </c>
      <c r="AM1248" s="55" t="s">
        <v>1314</v>
      </c>
      <c r="AN1248" s="185" t="s">
        <v>131</v>
      </c>
      <c r="AO1248" s="185" t="s">
        <v>5150</v>
      </c>
      <c r="AQ1248" s="55" t="s">
        <v>131</v>
      </c>
      <c r="AR1248" s="55" t="s">
        <v>132</v>
      </c>
      <c r="AS1248" s="55" t="s">
        <v>132</v>
      </c>
      <c r="AU1248" s="181" t="s">
        <v>7494</v>
      </c>
      <c r="AV1248" s="185" t="s">
        <v>176</v>
      </c>
      <c r="AX1248" s="185" t="s">
        <v>176</v>
      </c>
      <c r="AZ1248" s="55" t="s">
        <v>156</v>
      </c>
      <c r="BA1248" s="55" t="s">
        <v>156</v>
      </c>
      <c r="BB1248" s="55" t="s">
        <v>2082</v>
      </c>
      <c r="BC1248" s="55" t="s">
        <v>2082</v>
      </c>
      <c r="BD1248" s="55" t="s">
        <v>176</v>
      </c>
      <c r="BE1248" s="226" t="s">
        <v>861</v>
      </c>
      <c r="BF1248" s="191" t="s">
        <v>479</v>
      </c>
      <c r="BG1248" s="55" t="s">
        <v>479</v>
      </c>
      <c r="BH1248" s="226" t="s">
        <v>861</v>
      </c>
      <c r="BI1248" s="55" t="s">
        <v>479</v>
      </c>
      <c r="BJ1248" s="55" t="s">
        <v>176</v>
      </c>
      <c r="BK1248" s="55" t="s">
        <v>6269</v>
      </c>
      <c r="BM1248" s="192" t="s">
        <v>119</v>
      </c>
      <c r="BN1248" s="55">
        <v>4</v>
      </c>
      <c r="BO1248" s="55">
        <v>4</v>
      </c>
      <c r="BQ1248" s="55" t="s">
        <v>315</v>
      </c>
      <c r="BS1248" s="55">
        <v>1793</v>
      </c>
      <c r="BT1248" s="55">
        <f>BS1248/25.9</f>
        <v>69.227799227799238</v>
      </c>
      <c r="BW1248" s="65">
        <v>7462</v>
      </c>
      <c r="BX1248" s="65">
        <v>8171</v>
      </c>
      <c r="CA1248" s="65" t="s">
        <v>860</v>
      </c>
      <c r="CB1248" s="66">
        <v>9096</v>
      </c>
      <c r="CC1248" s="66">
        <v>9104</v>
      </c>
      <c r="FT1248" s="65">
        <v>25</v>
      </c>
      <c r="FU1248" s="65">
        <v>0.5</v>
      </c>
      <c r="FX1248" s="65" t="s">
        <v>863</v>
      </c>
      <c r="GP1248" s="292" t="s">
        <v>7494</v>
      </c>
      <c r="JW1248" s="55" t="s">
        <v>837</v>
      </c>
    </row>
    <row r="1249" spans="1:283" x14ac:dyDescent="0.25">
      <c r="A1249" s="55">
        <v>1248</v>
      </c>
      <c r="B1249" s="12" t="s">
        <v>7067</v>
      </c>
      <c r="C1249" s="155">
        <v>59</v>
      </c>
      <c r="D1249" s="55" t="s">
        <v>3939</v>
      </c>
      <c r="E1249" s="90" t="s">
        <v>834</v>
      </c>
      <c r="G1249" s="55" t="s">
        <v>835</v>
      </c>
      <c r="H1249" s="55">
        <v>1997</v>
      </c>
      <c r="I1249" s="55">
        <v>1992</v>
      </c>
      <c r="J1249" s="55" t="s">
        <v>836</v>
      </c>
      <c r="K1249" s="55" t="s">
        <v>859</v>
      </c>
      <c r="L1249" s="55" t="s">
        <v>2737</v>
      </c>
      <c r="M1249" s="90">
        <v>38.92</v>
      </c>
      <c r="N1249" s="90">
        <v>-76.150000000000006</v>
      </c>
      <c r="O1249" s="90">
        <v>5</v>
      </c>
      <c r="R1249" s="55">
        <v>866</v>
      </c>
      <c r="U1249" s="55">
        <v>6</v>
      </c>
      <c r="V1249" s="55" t="s">
        <v>1818</v>
      </c>
      <c r="Y1249" s="55" t="s">
        <v>1941</v>
      </c>
      <c r="Z1249" s="55" t="s">
        <v>1356</v>
      </c>
      <c r="AA1249" s="90" t="s">
        <v>1680</v>
      </c>
      <c r="AD1249" s="90">
        <v>1.5</v>
      </c>
      <c r="AH1249" s="55" t="s">
        <v>6378</v>
      </c>
      <c r="AM1249" s="55" t="s">
        <v>1314</v>
      </c>
      <c r="AN1249" s="185" t="s">
        <v>131</v>
      </c>
      <c r="AO1249" s="185" t="s">
        <v>5150</v>
      </c>
      <c r="AQ1249" s="55" t="s">
        <v>131</v>
      </c>
      <c r="AR1249" s="55" t="s">
        <v>132</v>
      </c>
      <c r="AS1249" s="55" t="s">
        <v>132</v>
      </c>
      <c r="AU1249" s="181" t="s">
        <v>7494</v>
      </c>
      <c r="AV1249" s="185" t="s">
        <v>176</v>
      </c>
      <c r="AX1249" s="185" t="s">
        <v>176</v>
      </c>
      <c r="AZ1249" s="55" t="s">
        <v>156</v>
      </c>
      <c r="BA1249" s="55" t="s">
        <v>156</v>
      </c>
      <c r="BB1249" s="55" t="s">
        <v>2082</v>
      </c>
      <c r="BC1249" s="55" t="s">
        <v>2082</v>
      </c>
      <c r="BD1249" s="55" t="s">
        <v>176</v>
      </c>
      <c r="BE1249" s="226" t="s">
        <v>861</v>
      </c>
      <c r="BF1249" s="191" t="s">
        <v>479</v>
      </c>
      <c r="BG1249" s="55" t="s">
        <v>479</v>
      </c>
      <c r="BH1249" s="226" t="s">
        <v>861</v>
      </c>
      <c r="BI1249" s="55" t="s">
        <v>479</v>
      </c>
      <c r="BJ1249" s="55" t="s">
        <v>176</v>
      </c>
      <c r="BK1249" s="55" t="s">
        <v>6269</v>
      </c>
      <c r="BM1249" s="192" t="s">
        <v>119</v>
      </c>
      <c r="BN1249" s="55">
        <v>4</v>
      </c>
      <c r="BO1249" s="55">
        <v>4</v>
      </c>
      <c r="BQ1249" s="55" t="s">
        <v>315</v>
      </c>
      <c r="BS1249" s="55">
        <v>2053</v>
      </c>
      <c r="BT1249" s="55">
        <f>BS1249/40.5</f>
        <v>50.691358024691361</v>
      </c>
      <c r="BW1249" s="65">
        <v>8245</v>
      </c>
      <c r="BX1249" s="65">
        <v>7689</v>
      </c>
      <c r="CA1249" s="65" t="s">
        <v>860</v>
      </c>
      <c r="CB1249" s="66">
        <v>10898</v>
      </c>
      <c r="CC1249" s="66">
        <v>9920</v>
      </c>
      <c r="FT1249" s="65">
        <v>12</v>
      </c>
      <c r="FU1249" s="65">
        <v>0.8</v>
      </c>
      <c r="FX1249" s="65" t="s">
        <v>863</v>
      </c>
      <c r="GP1249" s="292" t="s">
        <v>7494</v>
      </c>
      <c r="JW1249" s="55" t="s">
        <v>837</v>
      </c>
    </row>
    <row r="1250" spans="1:283" x14ac:dyDescent="0.25">
      <c r="A1250" s="55">
        <v>1249</v>
      </c>
      <c r="B1250" s="12" t="s">
        <v>7067</v>
      </c>
      <c r="C1250" s="155">
        <v>59</v>
      </c>
      <c r="D1250" s="55" t="s">
        <v>3939</v>
      </c>
      <c r="E1250" s="90" t="s">
        <v>834</v>
      </c>
      <c r="G1250" s="55" t="s">
        <v>835</v>
      </c>
      <c r="H1250" s="55">
        <v>1997</v>
      </c>
      <c r="I1250" s="55">
        <v>1993</v>
      </c>
      <c r="J1250" s="55" t="s">
        <v>836</v>
      </c>
      <c r="K1250" s="55" t="s">
        <v>859</v>
      </c>
      <c r="L1250" s="55" t="s">
        <v>2737</v>
      </c>
      <c r="M1250" s="90">
        <v>38.92</v>
      </c>
      <c r="N1250" s="90">
        <v>-76.150000000000006</v>
      </c>
      <c r="O1250" s="90">
        <v>5</v>
      </c>
      <c r="R1250" s="55">
        <v>972</v>
      </c>
      <c r="U1250" s="55">
        <v>7</v>
      </c>
      <c r="V1250" s="55" t="s">
        <v>1818</v>
      </c>
      <c r="Y1250" s="55" t="s">
        <v>1941</v>
      </c>
      <c r="Z1250" s="55" t="s">
        <v>1356</v>
      </c>
      <c r="AA1250" s="90" t="s">
        <v>1680</v>
      </c>
      <c r="AD1250" s="90">
        <v>1.5</v>
      </c>
      <c r="AH1250" s="55" t="s">
        <v>6378</v>
      </c>
      <c r="AM1250" s="55" t="s">
        <v>1314</v>
      </c>
      <c r="AN1250" s="185" t="s">
        <v>131</v>
      </c>
      <c r="AO1250" s="185" t="s">
        <v>5150</v>
      </c>
      <c r="AQ1250" s="55" t="s">
        <v>131</v>
      </c>
      <c r="AR1250" s="55" t="s">
        <v>132</v>
      </c>
      <c r="AS1250" s="55" t="s">
        <v>132</v>
      </c>
      <c r="AU1250" s="181" t="s">
        <v>7494</v>
      </c>
      <c r="AV1250" s="185" t="s">
        <v>176</v>
      </c>
      <c r="AX1250" s="185" t="s">
        <v>176</v>
      </c>
      <c r="AZ1250" s="55" t="s">
        <v>156</v>
      </c>
      <c r="BA1250" s="55" t="s">
        <v>156</v>
      </c>
      <c r="BB1250" s="55" t="s">
        <v>2082</v>
      </c>
      <c r="BC1250" s="55" t="s">
        <v>2082</v>
      </c>
      <c r="BD1250" s="55" t="s">
        <v>176</v>
      </c>
      <c r="BE1250" s="226" t="s">
        <v>861</v>
      </c>
      <c r="BF1250" s="191" t="s">
        <v>479</v>
      </c>
      <c r="BG1250" s="55" t="s">
        <v>479</v>
      </c>
      <c r="BH1250" s="226" t="s">
        <v>861</v>
      </c>
      <c r="BI1250" s="55" t="s">
        <v>479</v>
      </c>
      <c r="BJ1250" s="55" t="s">
        <v>176</v>
      </c>
      <c r="BK1250" s="55" t="s">
        <v>6269</v>
      </c>
      <c r="BM1250" s="192" t="s">
        <v>119</v>
      </c>
      <c r="BN1250" s="55">
        <v>4</v>
      </c>
      <c r="BO1250" s="55">
        <v>4</v>
      </c>
      <c r="BQ1250" s="55" t="s">
        <v>315</v>
      </c>
      <c r="BS1250" s="55">
        <v>1873</v>
      </c>
      <c r="BT1250" s="55">
        <f>BS1250/37.3</f>
        <v>50.21447721179625</v>
      </c>
      <c r="BW1250" s="65">
        <v>7455</v>
      </c>
      <c r="BX1250" s="65">
        <v>8732</v>
      </c>
      <c r="CA1250" s="65" t="s">
        <v>860</v>
      </c>
      <c r="CB1250" s="66">
        <v>7421</v>
      </c>
      <c r="CC1250" s="66">
        <v>8586</v>
      </c>
      <c r="FT1250" s="65">
        <v>9</v>
      </c>
      <c r="FU1250" s="65">
        <v>2.2999999999999998</v>
      </c>
      <c r="FX1250" s="65" t="s">
        <v>863</v>
      </c>
      <c r="GP1250" s="292" t="s">
        <v>7494</v>
      </c>
      <c r="JW1250" s="55" t="s">
        <v>837</v>
      </c>
    </row>
    <row r="1251" spans="1:283" x14ac:dyDescent="0.25">
      <c r="A1251" s="55">
        <v>1250</v>
      </c>
      <c r="B1251" s="12" t="s">
        <v>7067</v>
      </c>
      <c r="C1251" s="155">
        <v>59</v>
      </c>
      <c r="D1251" s="55" t="s">
        <v>3939</v>
      </c>
      <c r="E1251" s="90" t="s">
        <v>834</v>
      </c>
      <c r="G1251" s="55" t="s">
        <v>835</v>
      </c>
      <c r="H1251" s="55">
        <v>1997</v>
      </c>
      <c r="I1251" s="55">
        <v>1994</v>
      </c>
      <c r="J1251" s="55" t="s">
        <v>836</v>
      </c>
      <c r="K1251" s="55" t="s">
        <v>859</v>
      </c>
      <c r="L1251" s="55" t="s">
        <v>2737</v>
      </c>
      <c r="M1251" s="90">
        <v>38.92</v>
      </c>
      <c r="N1251" s="90">
        <v>-76.150000000000006</v>
      </c>
      <c r="O1251" s="90">
        <v>5</v>
      </c>
      <c r="R1251" s="55">
        <v>1275</v>
      </c>
      <c r="U1251" s="55">
        <v>8</v>
      </c>
      <c r="V1251" s="55" t="s">
        <v>1818</v>
      </c>
      <c r="Y1251" s="55" t="s">
        <v>1941</v>
      </c>
      <c r="Z1251" s="55" t="s">
        <v>1356</v>
      </c>
      <c r="AA1251" s="90" t="s">
        <v>1680</v>
      </c>
      <c r="AD1251" s="90">
        <v>1.5</v>
      </c>
      <c r="AH1251" s="55" t="s">
        <v>6378</v>
      </c>
      <c r="AM1251" s="55" t="s">
        <v>1314</v>
      </c>
      <c r="AN1251" s="185" t="s">
        <v>131</v>
      </c>
      <c r="AO1251" s="185" t="s">
        <v>5150</v>
      </c>
      <c r="AQ1251" s="55" t="s">
        <v>131</v>
      </c>
      <c r="AR1251" s="55" t="s">
        <v>132</v>
      </c>
      <c r="AS1251" s="55" t="s">
        <v>132</v>
      </c>
      <c r="AU1251" s="181" t="s">
        <v>7494</v>
      </c>
      <c r="AV1251" s="185" t="s">
        <v>176</v>
      </c>
      <c r="AX1251" s="185" t="s">
        <v>176</v>
      </c>
      <c r="AZ1251" s="55" t="s">
        <v>156</v>
      </c>
      <c r="BA1251" s="55" t="s">
        <v>156</v>
      </c>
      <c r="BB1251" s="55" t="s">
        <v>2082</v>
      </c>
      <c r="BC1251" s="55" t="s">
        <v>2082</v>
      </c>
      <c r="BD1251" s="55" t="s">
        <v>176</v>
      </c>
      <c r="BE1251" s="226" t="s">
        <v>861</v>
      </c>
      <c r="BF1251" s="191" t="s">
        <v>479</v>
      </c>
      <c r="BG1251" s="55" t="s">
        <v>479</v>
      </c>
      <c r="BH1251" s="226" t="s">
        <v>861</v>
      </c>
      <c r="BI1251" s="55" t="s">
        <v>479</v>
      </c>
      <c r="BJ1251" s="55" t="s">
        <v>176</v>
      </c>
      <c r="BK1251" s="55" t="s">
        <v>6269</v>
      </c>
      <c r="BM1251" s="192" t="s">
        <v>119</v>
      </c>
      <c r="BN1251" s="55">
        <v>4</v>
      </c>
      <c r="BO1251" s="55">
        <v>4</v>
      </c>
      <c r="BQ1251" s="55" t="s">
        <v>315</v>
      </c>
      <c r="BS1251" s="55">
        <v>3645</v>
      </c>
      <c r="BT1251" s="55">
        <f>BS1251/59.2</f>
        <v>61.570945945945944</v>
      </c>
      <c r="BW1251" s="65">
        <v>9114</v>
      </c>
      <c r="BX1251" s="65">
        <v>9261</v>
      </c>
      <c r="CA1251" s="65" t="s">
        <v>860</v>
      </c>
      <c r="CB1251" s="66">
        <v>10036</v>
      </c>
      <c r="CC1251" s="66">
        <v>10042</v>
      </c>
      <c r="FT1251" s="65">
        <v>11</v>
      </c>
      <c r="FU1251" s="65">
        <v>1.4</v>
      </c>
      <c r="FX1251" s="65" t="s">
        <v>863</v>
      </c>
      <c r="GP1251" s="292" t="s">
        <v>7494</v>
      </c>
      <c r="JW1251" s="55" t="s">
        <v>837</v>
      </c>
    </row>
    <row r="1252" spans="1:283" x14ac:dyDescent="0.25">
      <c r="A1252" s="55">
        <v>1251</v>
      </c>
      <c r="B1252" s="12" t="s">
        <v>7067</v>
      </c>
      <c r="C1252" s="155">
        <v>59</v>
      </c>
      <c r="D1252" s="55" t="s">
        <v>3939</v>
      </c>
      <c r="E1252" s="90" t="s">
        <v>834</v>
      </c>
      <c r="G1252" s="55" t="s">
        <v>835</v>
      </c>
      <c r="H1252" s="55">
        <v>1997</v>
      </c>
      <c r="I1252" s="55">
        <v>1995</v>
      </c>
      <c r="J1252" s="55" t="s">
        <v>836</v>
      </c>
      <c r="K1252" s="55" t="s">
        <v>859</v>
      </c>
      <c r="L1252" s="55" t="s">
        <v>2737</v>
      </c>
      <c r="M1252" s="90">
        <v>38.92</v>
      </c>
      <c r="N1252" s="90">
        <v>-76.150000000000006</v>
      </c>
      <c r="O1252" s="90">
        <v>5</v>
      </c>
      <c r="R1252" s="55">
        <v>755</v>
      </c>
      <c r="U1252" s="55">
        <v>9</v>
      </c>
      <c r="V1252" s="55" t="s">
        <v>1818</v>
      </c>
      <c r="Y1252" s="55" t="s">
        <v>1941</v>
      </c>
      <c r="Z1252" s="55" t="s">
        <v>1356</v>
      </c>
      <c r="AA1252" s="90" t="s">
        <v>1680</v>
      </c>
      <c r="AD1252" s="90">
        <v>1.5</v>
      </c>
      <c r="AH1252" s="55" t="s">
        <v>6378</v>
      </c>
      <c r="AM1252" s="55" t="s">
        <v>1314</v>
      </c>
      <c r="AN1252" s="185" t="s">
        <v>131</v>
      </c>
      <c r="AO1252" s="185" t="s">
        <v>5150</v>
      </c>
      <c r="AQ1252" s="55" t="s">
        <v>131</v>
      </c>
      <c r="AR1252" s="55" t="s">
        <v>132</v>
      </c>
      <c r="AS1252" s="55" t="s">
        <v>132</v>
      </c>
      <c r="AU1252" s="181" t="s">
        <v>7494</v>
      </c>
      <c r="AV1252" s="185" t="s">
        <v>176</v>
      </c>
      <c r="AX1252" s="185" t="s">
        <v>176</v>
      </c>
      <c r="AZ1252" s="55" t="s">
        <v>156</v>
      </c>
      <c r="BA1252" s="55" t="s">
        <v>156</v>
      </c>
      <c r="BB1252" s="55" t="s">
        <v>2082</v>
      </c>
      <c r="BC1252" s="55" t="s">
        <v>2082</v>
      </c>
      <c r="BD1252" s="55" t="s">
        <v>176</v>
      </c>
      <c r="BE1252" s="226" t="s">
        <v>861</v>
      </c>
      <c r="BF1252" s="191" t="s">
        <v>479</v>
      </c>
      <c r="BG1252" s="55" t="s">
        <v>479</v>
      </c>
      <c r="BH1252" s="226" t="s">
        <v>861</v>
      </c>
      <c r="BI1252" s="55" t="s">
        <v>479</v>
      </c>
      <c r="BJ1252" s="55" t="s">
        <v>176</v>
      </c>
      <c r="BK1252" s="55" t="s">
        <v>6269</v>
      </c>
      <c r="BM1252" s="192" t="s">
        <v>119</v>
      </c>
      <c r="BN1252" s="55">
        <v>4</v>
      </c>
      <c r="BO1252" s="55">
        <v>4</v>
      </c>
      <c r="BQ1252" s="55" t="s">
        <v>315</v>
      </c>
      <c r="BW1252" s="65">
        <v>8474</v>
      </c>
      <c r="BX1252" s="65">
        <v>7822</v>
      </c>
      <c r="CA1252" s="65" t="s">
        <v>860</v>
      </c>
      <c r="CB1252" s="66">
        <v>8978</v>
      </c>
      <c r="CC1252" s="66">
        <v>8372</v>
      </c>
      <c r="FT1252" s="65">
        <v>13</v>
      </c>
      <c r="FU1252" s="65">
        <v>0.9</v>
      </c>
      <c r="FX1252" s="65" t="s">
        <v>863</v>
      </c>
      <c r="GP1252" s="292" t="s">
        <v>7494</v>
      </c>
      <c r="JW1252" s="55" t="s">
        <v>837</v>
      </c>
    </row>
    <row r="1253" spans="1:283" x14ac:dyDescent="0.25">
      <c r="A1253" s="55">
        <v>1252</v>
      </c>
      <c r="B1253" s="12" t="s">
        <v>7067</v>
      </c>
      <c r="C1253" s="155">
        <v>59</v>
      </c>
      <c r="D1253" s="55" t="s">
        <v>3939</v>
      </c>
      <c r="E1253" s="90" t="s">
        <v>834</v>
      </c>
      <c r="G1253" s="55" t="s">
        <v>835</v>
      </c>
      <c r="H1253" s="55">
        <v>1997</v>
      </c>
      <c r="I1253" s="55">
        <v>1991</v>
      </c>
      <c r="J1253" s="55" t="s">
        <v>836</v>
      </c>
      <c r="K1253" s="55" t="s">
        <v>859</v>
      </c>
      <c r="L1253" s="55" t="s">
        <v>2737</v>
      </c>
      <c r="M1253" s="90">
        <v>38.92</v>
      </c>
      <c r="N1253" s="90">
        <v>-76.150000000000006</v>
      </c>
      <c r="O1253" s="90">
        <v>5</v>
      </c>
      <c r="R1253" s="55">
        <v>997</v>
      </c>
      <c r="U1253" s="55">
        <v>5</v>
      </c>
      <c r="V1253" s="55" t="s">
        <v>1818</v>
      </c>
      <c r="Y1253" s="55" t="s">
        <v>1941</v>
      </c>
      <c r="Z1253" s="55" t="s">
        <v>1356</v>
      </c>
      <c r="AA1253" s="90" t="s">
        <v>1680</v>
      </c>
      <c r="AD1253" s="90">
        <v>1.5</v>
      </c>
      <c r="AH1253" s="55" t="s">
        <v>6378</v>
      </c>
      <c r="AM1253" s="55" t="s">
        <v>1314</v>
      </c>
      <c r="AN1253" s="185" t="s">
        <v>131</v>
      </c>
      <c r="AO1253" s="185" t="s">
        <v>5150</v>
      </c>
      <c r="AQ1253" s="55" t="s">
        <v>131</v>
      </c>
      <c r="AR1253" s="55" t="s">
        <v>132</v>
      </c>
      <c r="AS1253" s="55" t="s">
        <v>132</v>
      </c>
      <c r="AU1253" s="181" t="s">
        <v>7494</v>
      </c>
      <c r="AV1253" s="185" t="s">
        <v>176</v>
      </c>
      <c r="AX1253" s="185" t="s">
        <v>176</v>
      </c>
      <c r="AZ1253" s="55" t="s">
        <v>156</v>
      </c>
      <c r="BA1253" s="55" t="s">
        <v>156</v>
      </c>
      <c r="BB1253" s="55" t="s">
        <v>2082</v>
      </c>
      <c r="BC1253" s="55" t="s">
        <v>2082</v>
      </c>
      <c r="BD1253" s="55" t="s">
        <v>176</v>
      </c>
      <c r="BE1253" s="226" t="s">
        <v>861</v>
      </c>
      <c r="BF1253" s="191" t="s">
        <v>479</v>
      </c>
      <c r="BG1253" s="55" t="s">
        <v>479</v>
      </c>
      <c r="BH1253" s="226" t="s">
        <v>861</v>
      </c>
      <c r="BI1253" s="55" t="s">
        <v>479</v>
      </c>
      <c r="BJ1253" s="55" t="s">
        <v>176</v>
      </c>
      <c r="BK1253" s="55" t="s">
        <v>6269</v>
      </c>
      <c r="BM1253" s="192" t="s">
        <v>119</v>
      </c>
      <c r="BN1253" s="55">
        <v>4</v>
      </c>
      <c r="BO1253" s="55">
        <v>4</v>
      </c>
      <c r="BQ1253" s="55" t="s">
        <v>315</v>
      </c>
      <c r="BS1253" s="55">
        <v>1793</v>
      </c>
      <c r="BT1253" s="55">
        <v>69.227799227799238</v>
      </c>
      <c r="FT1253" s="65">
        <v>27.32</v>
      </c>
      <c r="FU1253" s="65">
        <v>1.46</v>
      </c>
      <c r="FX1253" s="65" t="s">
        <v>863</v>
      </c>
      <c r="GP1253" s="292" t="s">
        <v>7494</v>
      </c>
      <c r="JW1253" s="55" t="s">
        <v>837</v>
      </c>
    </row>
    <row r="1254" spans="1:283" x14ac:dyDescent="0.25">
      <c r="A1254" s="55">
        <v>1253</v>
      </c>
      <c r="B1254" s="12" t="s">
        <v>7067</v>
      </c>
      <c r="C1254" s="155">
        <v>59</v>
      </c>
      <c r="D1254" s="55" t="s">
        <v>3939</v>
      </c>
      <c r="E1254" s="90" t="s">
        <v>834</v>
      </c>
      <c r="G1254" s="55" t="s">
        <v>835</v>
      </c>
      <c r="H1254" s="55">
        <v>1997</v>
      </c>
      <c r="I1254" s="55">
        <v>1991</v>
      </c>
      <c r="J1254" s="55" t="s">
        <v>836</v>
      </c>
      <c r="K1254" s="55" t="s">
        <v>859</v>
      </c>
      <c r="L1254" s="55" t="s">
        <v>2737</v>
      </c>
      <c r="M1254" s="90">
        <v>38.92</v>
      </c>
      <c r="N1254" s="90">
        <v>-76.150000000000006</v>
      </c>
      <c r="O1254" s="90">
        <v>5</v>
      </c>
      <c r="R1254" s="55">
        <v>997</v>
      </c>
      <c r="U1254" s="55">
        <v>5</v>
      </c>
      <c r="V1254" s="55" t="s">
        <v>1818</v>
      </c>
      <c r="Y1254" s="55" t="s">
        <v>1941</v>
      </c>
      <c r="Z1254" s="55" t="s">
        <v>1356</v>
      </c>
      <c r="AA1254" s="90" t="s">
        <v>1680</v>
      </c>
      <c r="AD1254" s="90">
        <v>1.5</v>
      </c>
      <c r="AH1254" s="55" t="s">
        <v>6378</v>
      </c>
      <c r="AM1254" s="55" t="s">
        <v>1314</v>
      </c>
      <c r="AN1254" s="185" t="s">
        <v>131</v>
      </c>
      <c r="AO1254" s="185" t="s">
        <v>5150</v>
      </c>
      <c r="AQ1254" s="55" t="s">
        <v>131</v>
      </c>
      <c r="AR1254" s="55" t="s">
        <v>132</v>
      </c>
      <c r="AS1254" s="55" t="s">
        <v>132</v>
      </c>
      <c r="AU1254" s="181" t="s">
        <v>7494</v>
      </c>
      <c r="AV1254" s="185" t="s">
        <v>176</v>
      </c>
      <c r="AX1254" s="185" t="s">
        <v>176</v>
      </c>
      <c r="AZ1254" s="55" t="s">
        <v>156</v>
      </c>
      <c r="BA1254" s="55" t="s">
        <v>156</v>
      </c>
      <c r="BB1254" s="55" t="s">
        <v>2082</v>
      </c>
      <c r="BC1254" s="55" t="s">
        <v>2082</v>
      </c>
      <c r="BD1254" s="55" t="s">
        <v>176</v>
      </c>
      <c r="BE1254" s="226" t="s">
        <v>861</v>
      </c>
      <c r="BF1254" s="191" t="s">
        <v>479</v>
      </c>
      <c r="BG1254" s="55" t="s">
        <v>479</v>
      </c>
      <c r="BH1254" s="226" t="s">
        <v>861</v>
      </c>
      <c r="BI1254" s="55" t="s">
        <v>479</v>
      </c>
      <c r="BJ1254" s="55" t="s">
        <v>176</v>
      </c>
      <c r="BK1254" s="55" t="s">
        <v>6269</v>
      </c>
      <c r="BM1254" s="192" t="s">
        <v>119</v>
      </c>
      <c r="BN1254" s="55">
        <v>4</v>
      </c>
      <c r="BO1254" s="55">
        <v>4</v>
      </c>
      <c r="BQ1254" s="55" t="s">
        <v>315</v>
      </c>
      <c r="BS1254" s="55">
        <v>1793</v>
      </c>
      <c r="BT1254" s="55">
        <v>69.227799227799238</v>
      </c>
      <c r="FT1254" s="65">
        <v>20.79</v>
      </c>
      <c r="FU1254" s="65">
        <v>0.73</v>
      </c>
      <c r="FX1254" s="65" t="s">
        <v>863</v>
      </c>
      <c r="GP1254" s="292" t="s">
        <v>7494</v>
      </c>
      <c r="JW1254" s="55" t="s">
        <v>837</v>
      </c>
    </row>
    <row r="1255" spans="1:283" x14ac:dyDescent="0.25">
      <c r="A1255" s="55">
        <v>1254</v>
      </c>
      <c r="B1255" s="12" t="s">
        <v>7067</v>
      </c>
      <c r="C1255" s="155">
        <v>59</v>
      </c>
      <c r="D1255" s="55" t="s">
        <v>3939</v>
      </c>
      <c r="E1255" s="90" t="s">
        <v>834</v>
      </c>
      <c r="G1255" s="55" t="s">
        <v>835</v>
      </c>
      <c r="H1255" s="55">
        <v>1997</v>
      </c>
      <c r="I1255" s="55">
        <v>1991</v>
      </c>
      <c r="J1255" s="55" t="s">
        <v>836</v>
      </c>
      <c r="K1255" s="55" t="s">
        <v>859</v>
      </c>
      <c r="L1255" s="55" t="s">
        <v>2737</v>
      </c>
      <c r="M1255" s="90">
        <v>38.92</v>
      </c>
      <c r="N1255" s="90">
        <v>-76.150000000000006</v>
      </c>
      <c r="O1255" s="90">
        <v>5</v>
      </c>
      <c r="R1255" s="55">
        <v>997</v>
      </c>
      <c r="U1255" s="55">
        <v>5</v>
      </c>
      <c r="V1255" s="55" t="s">
        <v>1818</v>
      </c>
      <c r="Y1255" s="55" t="s">
        <v>1941</v>
      </c>
      <c r="Z1255" s="55" t="s">
        <v>1356</v>
      </c>
      <c r="AA1255" s="90" t="s">
        <v>1680</v>
      </c>
      <c r="AD1255" s="90">
        <v>1.5</v>
      </c>
      <c r="AH1255" s="55" t="s">
        <v>6378</v>
      </c>
      <c r="AM1255" s="55" t="s">
        <v>1314</v>
      </c>
      <c r="AN1255" s="185" t="s">
        <v>131</v>
      </c>
      <c r="AO1255" s="185" t="s">
        <v>5150</v>
      </c>
      <c r="AQ1255" s="55" t="s">
        <v>131</v>
      </c>
      <c r="AR1255" s="55" t="s">
        <v>132</v>
      </c>
      <c r="AS1255" s="55" t="s">
        <v>132</v>
      </c>
      <c r="AU1255" s="181" t="s">
        <v>7494</v>
      </c>
      <c r="AV1255" s="185" t="s">
        <v>176</v>
      </c>
      <c r="AX1255" s="185" t="s">
        <v>176</v>
      </c>
      <c r="AZ1255" s="55" t="s">
        <v>156</v>
      </c>
      <c r="BA1255" s="55" t="s">
        <v>156</v>
      </c>
      <c r="BB1255" s="55" t="s">
        <v>2082</v>
      </c>
      <c r="BC1255" s="55" t="s">
        <v>2082</v>
      </c>
      <c r="BD1255" s="55" t="s">
        <v>176</v>
      </c>
      <c r="BE1255" s="226" t="s">
        <v>861</v>
      </c>
      <c r="BF1255" s="191" t="s">
        <v>479</v>
      </c>
      <c r="BG1255" s="55" t="s">
        <v>479</v>
      </c>
      <c r="BH1255" s="226" t="s">
        <v>861</v>
      </c>
      <c r="BI1255" s="55" t="s">
        <v>479</v>
      </c>
      <c r="BJ1255" s="55" t="s">
        <v>176</v>
      </c>
      <c r="BK1255" s="55" t="s">
        <v>6269</v>
      </c>
      <c r="BM1255" s="192" t="s">
        <v>119</v>
      </c>
      <c r="BN1255" s="55">
        <v>4</v>
      </c>
      <c r="BO1255" s="55">
        <v>4</v>
      </c>
      <c r="BQ1255" s="55" t="s">
        <v>315</v>
      </c>
      <c r="BS1255" s="55">
        <v>1793</v>
      </c>
      <c r="BT1255" s="55">
        <v>69.227799227799238</v>
      </c>
      <c r="FT1255" s="65">
        <v>26.89</v>
      </c>
      <c r="FU1255" s="65">
        <v>0.2</v>
      </c>
      <c r="FX1255" s="65" t="s">
        <v>863</v>
      </c>
      <c r="GP1255" s="292" t="s">
        <v>7494</v>
      </c>
      <c r="JW1255" s="55" t="s">
        <v>837</v>
      </c>
    </row>
    <row r="1256" spans="1:283" x14ac:dyDescent="0.25">
      <c r="A1256" s="55">
        <v>1255</v>
      </c>
      <c r="B1256" s="12" t="s">
        <v>7067</v>
      </c>
      <c r="C1256" s="155">
        <v>59</v>
      </c>
      <c r="D1256" s="55" t="s">
        <v>3939</v>
      </c>
      <c r="E1256" s="90" t="s">
        <v>834</v>
      </c>
      <c r="G1256" s="55" t="s">
        <v>835</v>
      </c>
      <c r="H1256" s="55">
        <v>1997</v>
      </c>
      <c r="I1256" s="55">
        <v>1991</v>
      </c>
      <c r="J1256" s="55" t="s">
        <v>836</v>
      </c>
      <c r="K1256" s="55" t="s">
        <v>859</v>
      </c>
      <c r="L1256" s="55" t="s">
        <v>2737</v>
      </c>
      <c r="M1256" s="90">
        <v>38.92</v>
      </c>
      <c r="N1256" s="90">
        <v>-76.150000000000006</v>
      </c>
      <c r="O1256" s="90">
        <v>5</v>
      </c>
      <c r="R1256" s="55">
        <v>997</v>
      </c>
      <c r="U1256" s="55">
        <v>5</v>
      </c>
      <c r="V1256" s="55" t="s">
        <v>1818</v>
      </c>
      <c r="Y1256" s="55" t="s">
        <v>1941</v>
      </c>
      <c r="Z1256" s="55" t="s">
        <v>1356</v>
      </c>
      <c r="AA1256" s="90" t="s">
        <v>1680</v>
      </c>
      <c r="AD1256" s="90">
        <v>1.5</v>
      </c>
      <c r="AH1256" s="55" t="s">
        <v>6378</v>
      </c>
      <c r="AM1256" s="55" t="s">
        <v>1314</v>
      </c>
      <c r="AN1256" s="185" t="s">
        <v>131</v>
      </c>
      <c r="AO1256" s="185" t="s">
        <v>5150</v>
      </c>
      <c r="AQ1256" s="55" t="s">
        <v>131</v>
      </c>
      <c r="AR1256" s="55" t="s">
        <v>132</v>
      </c>
      <c r="AS1256" s="55" t="s">
        <v>132</v>
      </c>
      <c r="AU1256" s="181" t="s">
        <v>7494</v>
      </c>
      <c r="AV1256" s="185" t="s">
        <v>176</v>
      </c>
      <c r="AX1256" s="185" t="s">
        <v>176</v>
      </c>
      <c r="AZ1256" s="55" t="s">
        <v>156</v>
      </c>
      <c r="BA1256" s="55" t="s">
        <v>156</v>
      </c>
      <c r="BB1256" s="55" t="s">
        <v>2082</v>
      </c>
      <c r="BC1256" s="55" t="s">
        <v>2082</v>
      </c>
      <c r="BD1256" s="55" t="s">
        <v>176</v>
      </c>
      <c r="BE1256" s="226" t="s">
        <v>861</v>
      </c>
      <c r="BF1256" s="191" t="s">
        <v>479</v>
      </c>
      <c r="BG1256" s="55" t="s">
        <v>479</v>
      </c>
      <c r="BH1256" s="226" t="s">
        <v>861</v>
      </c>
      <c r="BI1256" s="55" t="s">
        <v>479</v>
      </c>
      <c r="BJ1256" s="55" t="s">
        <v>176</v>
      </c>
      <c r="BK1256" s="55" t="s">
        <v>6269</v>
      </c>
      <c r="BM1256" s="192" t="s">
        <v>119</v>
      </c>
      <c r="BN1256" s="55">
        <v>4</v>
      </c>
      <c r="BO1256" s="55">
        <v>4</v>
      </c>
      <c r="BQ1256" s="55" t="s">
        <v>315</v>
      </c>
      <c r="BS1256" s="55">
        <v>1793</v>
      </c>
      <c r="BT1256" s="55">
        <v>69.227799227799238</v>
      </c>
      <c r="FT1256" s="65">
        <v>27.33</v>
      </c>
      <c r="FU1256" s="65">
        <v>1.7000000000000001E-2</v>
      </c>
      <c r="FX1256" s="65" t="s">
        <v>863</v>
      </c>
      <c r="GP1256" s="292" t="s">
        <v>7494</v>
      </c>
      <c r="JW1256" s="55" t="s">
        <v>837</v>
      </c>
    </row>
    <row r="1257" spans="1:283" x14ac:dyDescent="0.25">
      <c r="A1257" s="55">
        <v>1256</v>
      </c>
      <c r="B1257" s="12" t="s">
        <v>7067</v>
      </c>
      <c r="C1257" s="155">
        <v>59</v>
      </c>
      <c r="D1257" s="55" t="s">
        <v>3939</v>
      </c>
      <c r="E1257" s="90" t="s">
        <v>834</v>
      </c>
      <c r="G1257" s="55" t="s">
        <v>835</v>
      </c>
      <c r="H1257" s="55">
        <v>1997</v>
      </c>
      <c r="I1257" s="55">
        <v>1991</v>
      </c>
      <c r="J1257" s="55" t="s">
        <v>836</v>
      </c>
      <c r="K1257" s="55" t="s">
        <v>859</v>
      </c>
      <c r="L1257" s="55" t="s">
        <v>2737</v>
      </c>
      <c r="M1257" s="90">
        <v>38.92</v>
      </c>
      <c r="N1257" s="90">
        <v>-76.150000000000006</v>
      </c>
      <c r="O1257" s="90">
        <v>5</v>
      </c>
      <c r="R1257" s="55">
        <v>997</v>
      </c>
      <c r="U1257" s="55">
        <v>5</v>
      </c>
      <c r="V1257" s="55" t="s">
        <v>1818</v>
      </c>
      <c r="Y1257" s="55" t="s">
        <v>1941</v>
      </c>
      <c r="Z1257" s="55" t="s">
        <v>1356</v>
      </c>
      <c r="AA1257" s="90" t="s">
        <v>1680</v>
      </c>
      <c r="AD1257" s="90">
        <v>1.5</v>
      </c>
      <c r="AH1257" s="55" t="s">
        <v>6378</v>
      </c>
      <c r="AM1257" s="55" t="s">
        <v>1314</v>
      </c>
      <c r="AN1257" s="185" t="s">
        <v>131</v>
      </c>
      <c r="AO1257" s="185" t="s">
        <v>5150</v>
      </c>
      <c r="AQ1257" s="55" t="s">
        <v>131</v>
      </c>
      <c r="AR1257" s="55" t="s">
        <v>132</v>
      </c>
      <c r="AS1257" s="55" t="s">
        <v>132</v>
      </c>
      <c r="AU1257" s="181" t="s">
        <v>7494</v>
      </c>
      <c r="AV1257" s="185" t="s">
        <v>176</v>
      </c>
      <c r="AX1257" s="185" t="s">
        <v>176</v>
      </c>
      <c r="AZ1257" s="55" t="s">
        <v>156</v>
      </c>
      <c r="BA1257" s="55" t="s">
        <v>156</v>
      </c>
      <c r="BB1257" s="55" t="s">
        <v>2082</v>
      </c>
      <c r="BC1257" s="55" t="s">
        <v>2082</v>
      </c>
      <c r="BD1257" s="55" t="s">
        <v>176</v>
      </c>
      <c r="BE1257" s="226" t="s">
        <v>861</v>
      </c>
      <c r="BF1257" s="191" t="s">
        <v>479</v>
      </c>
      <c r="BG1257" s="55" t="s">
        <v>479</v>
      </c>
      <c r="BH1257" s="226" t="s">
        <v>861</v>
      </c>
      <c r="BI1257" s="55" t="s">
        <v>479</v>
      </c>
      <c r="BJ1257" s="55" t="s">
        <v>176</v>
      </c>
      <c r="BK1257" s="55" t="s">
        <v>6269</v>
      </c>
      <c r="BM1257" s="192" t="s">
        <v>119</v>
      </c>
      <c r="BN1257" s="55">
        <v>4</v>
      </c>
      <c r="BO1257" s="55">
        <v>4</v>
      </c>
      <c r="BQ1257" s="55" t="s">
        <v>315</v>
      </c>
      <c r="BS1257" s="55">
        <v>1793</v>
      </c>
      <c r="BT1257" s="55">
        <v>69.227799227799238</v>
      </c>
      <c r="FT1257" s="65">
        <v>25.1</v>
      </c>
      <c r="FU1257" s="65">
        <v>1.7000000000000001E-2</v>
      </c>
      <c r="FX1257" s="65" t="s">
        <v>863</v>
      </c>
      <c r="GP1257" s="292" t="s">
        <v>7494</v>
      </c>
      <c r="JW1257" s="55" t="s">
        <v>837</v>
      </c>
    </row>
    <row r="1258" spans="1:283" x14ac:dyDescent="0.25">
      <c r="A1258" s="55">
        <v>1257</v>
      </c>
      <c r="B1258" s="12" t="s">
        <v>7067</v>
      </c>
      <c r="C1258" s="155">
        <v>59</v>
      </c>
      <c r="D1258" s="55" t="s">
        <v>3939</v>
      </c>
      <c r="E1258" s="90" t="s">
        <v>834</v>
      </c>
      <c r="G1258" s="55" t="s">
        <v>835</v>
      </c>
      <c r="H1258" s="55">
        <v>1997</v>
      </c>
      <c r="I1258" s="55">
        <v>1991</v>
      </c>
      <c r="J1258" s="55" t="s">
        <v>836</v>
      </c>
      <c r="K1258" s="55" t="s">
        <v>859</v>
      </c>
      <c r="L1258" s="55" t="s">
        <v>2737</v>
      </c>
      <c r="M1258" s="90">
        <v>38.92</v>
      </c>
      <c r="N1258" s="90">
        <v>-76.150000000000006</v>
      </c>
      <c r="O1258" s="90">
        <v>5</v>
      </c>
      <c r="R1258" s="55">
        <v>997</v>
      </c>
      <c r="U1258" s="55">
        <v>5</v>
      </c>
      <c r="V1258" s="55" t="s">
        <v>1818</v>
      </c>
      <c r="Y1258" s="55" t="s">
        <v>1941</v>
      </c>
      <c r="Z1258" s="55" t="s">
        <v>1356</v>
      </c>
      <c r="AA1258" s="90" t="s">
        <v>1680</v>
      </c>
      <c r="AD1258" s="90">
        <v>1.5</v>
      </c>
      <c r="AH1258" s="55" t="s">
        <v>6378</v>
      </c>
      <c r="AM1258" s="55" t="s">
        <v>1314</v>
      </c>
      <c r="AN1258" s="185" t="s">
        <v>131</v>
      </c>
      <c r="AO1258" s="185" t="s">
        <v>5150</v>
      </c>
      <c r="AQ1258" s="55" t="s">
        <v>131</v>
      </c>
      <c r="AR1258" s="55" t="s">
        <v>132</v>
      </c>
      <c r="AS1258" s="55" t="s">
        <v>132</v>
      </c>
      <c r="AU1258" s="181" t="s">
        <v>7494</v>
      </c>
      <c r="AV1258" s="185" t="s">
        <v>176</v>
      </c>
      <c r="AX1258" s="185" t="s">
        <v>176</v>
      </c>
      <c r="AZ1258" s="55" t="s">
        <v>156</v>
      </c>
      <c r="BA1258" s="55" t="s">
        <v>156</v>
      </c>
      <c r="BB1258" s="55" t="s">
        <v>2082</v>
      </c>
      <c r="BC1258" s="55" t="s">
        <v>2082</v>
      </c>
      <c r="BD1258" s="55" t="s">
        <v>176</v>
      </c>
      <c r="BE1258" s="226" t="s">
        <v>861</v>
      </c>
      <c r="BF1258" s="191" t="s">
        <v>479</v>
      </c>
      <c r="BG1258" s="55" t="s">
        <v>479</v>
      </c>
      <c r="BH1258" s="226" t="s">
        <v>861</v>
      </c>
      <c r="BI1258" s="55" t="s">
        <v>479</v>
      </c>
      <c r="BJ1258" s="55" t="s">
        <v>176</v>
      </c>
      <c r="BK1258" s="55" t="s">
        <v>6269</v>
      </c>
      <c r="BM1258" s="192" t="s">
        <v>119</v>
      </c>
      <c r="BN1258" s="55">
        <v>4</v>
      </c>
      <c r="BO1258" s="55">
        <v>4</v>
      </c>
      <c r="BQ1258" s="55" t="s">
        <v>315</v>
      </c>
      <c r="BS1258" s="55">
        <v>1793</v>
      </c>
      <c r="BT1258" s="55">
        <v>69.227799227799238</v>
      </c>
      <c r="FT1258" s="65">
        <v>25.78</v>
      </c>
      <c r="FU1258" s="65">
        <v>1.4999999999999999E-2</v>
      </c>
      <c r="FX1258" s="65" t="s">
        <v>863</v>
      </c>
      <c r="GP1258" s="292" t="s">
        <v>7494</v>
      </c>
      <c r="JW1258" s="55" t="s">
        <v>837</v>
      </c>
    </row>
    <row r="1259" spans="1:283" x14ac:dyDescent="0.25">
      <c r="A1259" s="55">
        <v>1258</v>
      </c>
      <c r="B1259" s="12" t="s">
        <v>7067</v>
      </c>
      <c r="C1259" s="155">
        <v>59</v>
      </c>
      <c r="D1259" s="55" t="s">
        <v>3939</v>
      </c>
      <c r="E1259" s="90" t="s">
        <v>834</v>
      </c>
      <c r="G1259" s="55" t="s">
        <v>835</v>
      </c>
      <c r="H1259" s="55">
        <v>1997</v>
      </c>
      <c r="I1259" s="55">
        <v>1991</v>
      </c>
      <c r="J1259" s="55" t="s">
        <v>836</v>
      </c>
      <c r="K1259" s="55" t="s">
        <v>859</v>
      </c>
      <c r="L1259" s="55" t="s">
        <v>2737</v>
      </c>
      <c r="M1259" s="90">
        <v>38.92</v>
      </c>
      <c r="N1259" s="90">
        <v>-76.150000000000006</v>
      </c>
      <c r="O1259" s="90">
        <v>5</v>
      </c>
      <c r="R1259" s="55">
        <v>997</v>
      </c>
      <c r="U1259" s="55">
        <v>5</v>
      </c>
      <c r="V1259" s="55" t="s">
        <v>1818</v>
      </c>
      <c r="Y1259" s="55" t="s">
        <v>1941</v>
      </c>
      <c r="Z1259" s="55" t="s">
        <v>1356</v>
      </c>
      <c r="AA1259" s="90" t="s">
        <v>1680</v>
      </c>
      <c r="AD1259" s="90">
        <v>1.5</v>
      </c>
      <c r="AH1259" s="55" t="s">
        <v>6378</v>
      </c>
      <c r="AM1259" s="55" t="s">
        <v>1314</v>
      </c>
      <c r="AN1259" s="185" t="s">
        <v>131</v>
      </c>
      <c r="AO1259" s="185" t="s">
        <v>5150</v>
      </c>
      <c r="AQ1259" s="55" t="s">
        <v>131</v>
      </c>
      <c r="AR1259" s="55" t="s">
        <v>132</v>
      </c>
      <c r="AS1259" s="55" t="s">
        <v>132</v>
      </c>
      <c r="AU1259" s="181" t="s">
        <v>7494</v>
      </c>
      <c r="AV1259" s="185" t="s">
        <v>176</v>
      </c>
      <c r="AX1259" s="185" t="s">
        <v>176</v>
      </c>
      <c r="AZ1259" s="55" t="s">
        <v>156</v>
      </c>
      <c r="BA1259" s="55" t="s">
        <v>156</v>
      </c>
      <c r="BB1259" s="55" t="s">
        <v>2082</v>
      </c>
      <c r="BC1259" s="55" t="s">
        <v>2082</v>
      </c>
      <c r="BD1259" s="55" t="s">
        <v>176</v>
      </c>
      <c r="BE1259" s="226" t="s">
        <v>861</v>
      </c>
      <c r="BF1259" s="191" t="s">
        <v>479</v>
      </c>
      <c r="BG1259" s="55" t="s">
        <v>479</v>
      </c>
      <c r="BH1259" s="226" t="s">
        <v>861</v>
      </c>
      <c r="BI1259" s="55" t="s">
        <v>479</v>
      </c>
      <c r="BJ1259" s="55" t="s">
        <v>176</v>
      </c>
      <c r="BK1259" s="55" t="s">
        <v>6269</v>
      </c>
      <c r="BM1259" s="192" t="s">
        <v>119</v>
      </c>
      <c r="BN1259" s="55">
        <v>4</v>
      </c>
      <c r="BO1259" s="55">
        <v>4</v>
      </c>
      <c r="BQ1259" s="55" t="s">
        <v>315</v>
      </c>
      <c r="BS1259" s="55">
        <v>1793</v>
      </c>
      <c r="BT1259" s="55">
        <v>69.227799227799238</v>
      </c>
      <c r="FT1259" s="65">
        <v>26.7</v>
      </c>
      <c r="FU1259" s="65">
        <v>0.02</v>
      </c>
      <c r="FX1259" s="65" t="s">
        <v>863</v>
      </c>
      <c r="GP1259" s="292" t="s">
        <v>7494</v>
      </c>
      <c r="JW1259" s="55" t="s">
        <v>837</v>
      </c>
    </row>
    <row r="1260" spans="1:283" x14ac:dyDescent="0.25">
      <c r="A1260" s="55">
        <v>1259</v>
      </c>
      <c r="B1260" s="12" t="s">
        <v>7067</v>
      </c>
      <c r="C1260" s="155">
        <v>59</v>
      </c>
      <c r="D1260" s="55" t="s">
        <v>3939</v>
      </c>
      <c r="E1260" s="90" t="s">
        <v>834</v>
      </c>
      <c r="G1260" s="55" t="s">
        <v>835</v>
      </c>
      <c r="H1260" s="55">
        <v>1997</v>
      </c>
      <c r="I1260" s="55">
        <v>1991</v>
      </c>
      <c r="J1260" s="55" t="s">
        <v>836</v>
      </c>
      <c r="K1260" s="55" t="s">
        <v>859</v>
      </c>
      <c r="L1260" s="55" t="s">
        <v>2737</v>
      </c>
      <c r="M1260" s="90">
        <v>38.92</v>
      </c>
      <c r="N1260" s="90">
        <v>-76.150000000000006</v>
      </c>
      <c r="O1260" s="90">
        <v>5</v>
      </c>
      <c r="R1260" s="55">
        <v>997</v>
      </c>
      <c r="U1260" s="55">
        <v>5</v>
      </c>
      <c r="V1260" s="55" t="s">
        <v>1818</v>
      </c>
      <c r="Y1260" s="55" t="s">
        <v>1941</v>
      </c>
      <c r="Z1260" s="55" t="s">
        <v>1356</v>
      </c>
      <c r="AA1260" s="90" t="s">
        <v>1680</v>
      </c>
      <c r="AD1260" s="90">
        <v>1.5</v>
      </c>
      <c r="AH1260" s="55" t="s">
        <v>6378</v>
      </c>
      <c r="AM1260" s="55" t="s">
        <v>1314</v>
      </c>
      <c r="AN1260" s="185" t="s">
        <v>131</v>
      </c>
      <c r="AO1260" s="185" t="s">
        <v>5150</v>
      </c>
      <c r="AQ1260" s="55" t="s">
        <v>131</v>
      </c>
      <c r="AR1260" s="55" t="s">
        <v>132</v>
      </c>
      <c r="AS1260" s="55" t="s">
        <v>132</v>
      </c>
      <c r="AU1260" s="181" t="s">
        <v>7494</v>
      </c>
      <c r="AV1260" s="185" t="s">
        <v>176</v>
      </c>
      <c r="AX1260" s="185" t="s">
        <v>176</v>
      </c>
      <c r="AZ1260" s="55" t="s">
        <v>156</v>
      </c>
      <c r="BA1260" s="55" t="s">
        <v>156</v>
      </c>
      <c r="BB1260" s="55" t="s">
        <v>2082</v>
      </c>
      <c r="BC1260" s="55" t="s">
        <v>2082</v>
      </c>
      <c r="BD1260" s="55" t="s">
        <v>176</v>
      </c>
      <c r="BE1260" s="226" t="s">
        <v>861</v>
      </c>
      <c r="BF1260" s="191" t="s">
        <v>479</v>
      </c>
      <c r="BG1260" s="55" t="s">
        <v>479</v>
      </c>
      <c r="BH1260" s="226" t="s">
        <v>861</v>
      </c>
      <c r="BI1260" s="55" t="s">
        <v>479</v>
      </c>
      <c r="BJ1260" s="55" t="s">
        <v>176</v>
      </c>
      <c r="BK1260" s="55" t="s">
        <v>6269</v>
      </c>
      <c r="BM1260" s="192" t="s">
        <v>119</v>
      </c>
      <c r="BN1260" s="55">
        <v>4</v>
      </c>
      <c r="BO1260" s="55">
        <v>4</v>
      </c>
      <c r="BQ1260" s="55" t="s">
        <v>315</v>
      </c>
      <c r="BS1260" s="55">
        <v>1793</v>
      </c>
      <c r="BT1260" s="55">
        <v>69.227799227799238</v>
      </c>
      <c r="FT1260" s="65">
        <v>20.8</v>
      </c>
      <c r="FU1260" s="65">
        <v>1.33</v>
      </c>
      <c r="FX1260" s="65" t="s">
        <v>863</v>
      </c>
      <c r="GP1260" s="292" t="s">
        <v>7494</v>
      </c>
      <c r="JW1260" s="55" t="s">
        <v>837</v>
      </c>
    </row>
    <row r="1261" spans="1:283" x14ac:dyDescent="0.25">
      <c r="A1261" s="55">
        <v>1260</v>
      </c>
      <c r="B1261" s="12" t="s">
        <v>7067</v>
      </c>
      <c r="C1261" s="155">
        <v>59</v>
      </c>
      <c r="D1261" s="55" t="s">
        <v>3939</v>
      </c>
      <c r="E1261" s="90" t="s">
        <v>834</v>
      </c>
      <c r="G1261" s="55" t="s">
        <v>835</v>
      </c>
      <c r="H1261" s="55">
        <v>1997</v>
      </c>
      <c r="I1261" s="55">
        <v>1992</v>
      </c>
      <c r="J1261" s="55" t="s">
        <v>836</v>
      </c>
      <c r="K1261" s="55" t="s">
        <v>859</v>
      </c>
      <c r="L1261" s="55" t="s">
        <v>2737</v>
      </c>
      <c r="M1261" s="90">
        <v>38.92</v>
      </c>
      <c r="N1261" s="90">
        <v>-76.150000000000006</v>
      </c>
      <c r="O1261" s="90">
        <v>5</v>
      </c>
      <c r="R1261" s="55">
        <v>866</v>
      </c>
      <c r="U1261" s="55">
        <v>6</v>
      </c>
      <c r="V1261" s="55" t="s">
        <v>1818</v>
      </c>
      <c r="Y1261" s="55" t="s">
        <v>1941</v>
      </c>
      <c r="Z1261" s="55" t="s">
        <v>1356</v>
      </c>
      <c r="AA1261" s="90" t="s">
        <v>1680</v>
      </c>
      <c r="AD1261" s="90">
        <v>1.5</v>
      </c>
      <c r="AH1261" s="55" t="s">
        <v>6378</v>
      </c>
      <c r="AM1261" s="55" t="s">
        <v>1314</v>
      </c>
      <c r="AN1261" s="185" t="s">
        <v>131</v>
      </c>
      <c r="AO1261" s="185" t="s">
        <v>5150</v>
      </c>
      <c r="AQ1261" s="55" t="s">
        <v>131</v>
      </c>
      <c r="AR1261" s="55" t="s">
        <v>132</v>
      </c>
      <c r="AS1261" s="55" t="s">
        <v>132</v>
      </c>
      <c r="AU1261" s="181" t="s">
        <v>7494</v>
      </c>
      <c r="AV1261" s="185" t="s">
        <v>176</v>
      </c>
      <c r="AX1261" s="185" t="s">
        <v>176</v>
      </c>
      <c r="AZ1261" s="55" t="s">
        <v>156</v>
      </c>
      <c r="BA1261" s="55" t="s">
        <v>156</v>
      </c>
      <c r="BB1261" s="55" t="s">
        <v>2082</v>
      </c>
      <c r="BC1261" s="55" t="s">
        <v>2082</v>
      </c>
      <c r="BD1261" s="55" t="s">
        <v>176</v>
      </c>
      <c r="BE1261" s="226" t="s">
        <v>861</v>
      </c>
      <c r="BF1261" s="191" t="s">
        <v>479</v>
      </c>
      <c r="BG1261" s="55" t="s">
        <v>479</v>
      </c>
      <c r="BH1261" s="226" t="s">
        <v>861</v>
      </c>
      <c r="BI1261" s="55" t="s">
        <v>479</v>
      </c>
      <c r="BJ1261" s="55" t="s">
        <v>176</v>
      </c>
      <c r="BK1261" s="55" t="s">
        <v>6269</v>
      </c>
      <c r="BM1261" s="192" t="s">
        <v>119</v>
      </c>
      <c r="BN1261" s="55">
        <v>4</v>
      </c>
      <c r="BO1261" s="55">
        <v>4</v>
      </c>
      <c r="BQ1261" s="55" t="s">
        <v>315</v>
      </c>
      <c r="BS1261" s="55">
        <v>2053</v>
      </c>
      <c r="BT1261" s="55">
        <v>50.691358024691361</v>
      </c>
      <c r="FT1261" s="65">
        <v>5.91</v>
      </c>
      <c r="FU1261" s="65">
        <v>3.68</v>
      </c>
      <c r="FX1261" s="65" t="s">
        <v>863</v>
      </c>
      <c r="GP1261" s="292" t="s">
        <v>7494</v>
      </c>
      <c r="JW1261" s="55" t="s">
        <v>837</v>
      </c>
    </row>
    <row r="1262" spans="1:283" x14ac:dyDescent="0.25">
      <c r="A1262" s="55">
        <v>1261</v>
      </c>
      <c r="B1262" s="12" t="s">
        <v>7067</v>
      </c>
      <c r="C1262" s="155">
        <v>59</v>
      </c>
      <c r="D1262" s="55" t="s">
        <v>3939</v>
      </c>
      <c r="E1262" s="90" t="s">
        <v>834</v>
      </c>
      <c r="G1262" s="55" t="s">
        <v>835</v>
      </c>
      <c r="H1262" s="55">
        <v>1997</v>
      </c>
      <c r="I1262" s="55">
        <v>1992</v>
      </c>
      <c r="J1262" s="55" t="s">
        <v>836</v>
      </c>
      <c r="K1262" s="55" t="s">
        <v>859</v>
      </c>
      <c r="L1262" s="55" t="s">
        <v>2737</v>
      </c>
      <c r="M1262" s="90">
        <v>38.92</v>
      </c>
      <c r="N1262" s="90">
        <v>-76.150000000000006</v>
      </c>
      <c r="O1262" s="90">
        <v>5</v>
      </c>
      <c r="R1262" s="55">
        <v>866</v>
      </c>
      <c r="U1262" s="55">
        <v>6</v>
      </c>
      <c r="V1262" s="55" t="s">
        <v>1818</v>
      </c>
      <c r="Y1262" s="55" t="s">
        <v>1941</v>
      </c>
      <c r="Z1262" s="55" t="s">
        <v>1356</v>
      </c>
      <c r="AA1262" s="90" t="s">
        <v>1680</v>
      </c>
      <c r="AD1262" s="90">
        <v>1.5</v>
      </c>
      <c r="AH1262" s="55" t="s">
        <v>6378</v>
      </c>
      <c r="AM1262" s="55" t="s">
        <v>1314</v>
      </c>
      <c r="AN1262" s="185" t="s">
        <v>131</v>
      </c>
      <c r="AO1262" s="185" t="s">
        <v>5150</v>
      </c>
      <c r="AQ1262" s="55" t="s">
        <v>131</v>
      </c>
      <c r="AR1262" s="55" t="s">
        <v>132</v>
      </c>
      <c r="AS1262" s="55" t="s">
        <v>132</v>
      </c>
      <c r="AU1262" s="181" t="s">
        <v>7494</v>
      </c>
      <c r="AV1262" s="185" t="s">
        <v>176</v>
      </c>
      <c r="AX1262" s="185" t="s">
        <v>176</v>
      </c>
      <c r="AZ1262" s="55" t="s">
        <v>156</v>
      </c>
      <c r="BA1262" s="55" t="s">
        <v>156</v>
      </c>
      <c r="BB1262" s="55" t="s">
        <v>2082</v>
      </c>
      <c r="BC1262" s="55" t="s">
        <v>2082</v>
      </c>
      <c r="BD1262" s="55" t="s">
        <v>176</v>
      </c>
      <c r="BE1262" s="226" t="s">
        <v>861</v>
      </c>
      <c r="BF1262" s="191" t="s">
        <v>479</v>
      </c>
      <c r="BG1262" s="55" t="s">
        <v>479</v>
      </c>
      <c r="BH1262" s="226" t="s">
        <v>861</v>
      </c>
      <c r="BI1262" s="55" t="s">
        <v>479</v>
      </c>
      <c r="BJ1262" s="55" t="s">
        <v>176</v>
      </c>
      <c r="BK1262" s="55" t="s">
        <v>6269</v>
      </c>
      <c r="BM1262" s="192" t="s">
        <v>119</v>
      </c>
      <c r="BN1262" s="55">
        <v>4</v>
      </c>
      <c r="BO1262" s="55">
        <v>4</v>
      </c>
      <c r="BQ1262" s="55" t="s">
        <v>315</v>
      </c>
      <c r="BS1262" s="55">
        <v>2053</v>
      </c>
      <c r="BT1262" s="55">
        <v>50.691358024691361</v>
      </c>
      <c r="FT1262" s="65">
        <v>16.62</v>
      </c>
      <c r="FU1262" s="65">
        <v>0.35</v>
      </c>
      <c r="FX1262" s="65" t="s">
        <v>863</v>
      </c>
      <c r="GP1262" s="292" t="s">
        <v>7494</v>
      </c>
      <c r="JW1262" s="55" t="s">
        <v>837</v>
      </c>
    </row>
    <row r="1263" spans="1:283" x14ac:dyDescent="0.25">
      <c r="A1263" s="55">
        <v>1262</v>
      </c>
      <c r="B1263" s="12" t="s">
        <v>7067</v>
      </c>
      <c r="C1263" s="155">
        <v>59</v>
      </c>
      <c r="D1263" s="55" t="s">
        <v>3939</v>
      </c>
      <c r="E1263" s="90" t="s">
        <v>834</v>
      </c>
      <c r="G1263" s="55" t="s">
        <v>835</v>
      </c>
      <c r="H1263" s="55">
        <v>1997</v>
      </c>
      <c r="I1263" s="55">
        <v>1992</v>
      </c>
      <c r="J1263" s="55" t="s">
        <v>836</v>
      </c>
      <c r="K1263" s="55" t="s">
        <v>859</v>
      </c>
      <c r="L1263" s="55" t="s">
        <v>2737</v>
      </c>
      <c r="M1263" s="90">
        <v>38.92</v>
      </c>
      <c r="N1263" s="90">
        <v>-76.150000000000006</v>
      </c>
      <c r="O1263" s="90">
        <v>5</v>
      </c>
      <c r="R1263" s="55">
        <v>866</v>
      </c>
      <c r="U1263" s="55">
        <v>6</v>
      </c>
      <c r="V1263" s="55" t="s">
        <v>1818</v>
      </c>
      <c r="Y1263" s="55" t="s">
        <v>1941</v>
      </c>
      <c r="Z1263" s="55" t="s">
        <v>1356</v>
      </c>
      <c r="AA1263" s="90" t="s">
        <v>1680</v>
      </c>
      <c r="AD1263" s="90">
        <v>1.5</v>
      </c>
      <c r="AH1263" s="55" t="s">
        <v>6378</v>
      </c>
      <c r="AM1263" s="55" t="s">
        <v>1314</v>
      </c>
      <c r="AN1263" s="185" t="s">
        <v>131</v>
      </c>
      <c r="AO1263" s="185" t="s">
        <v>5150</v>
      </c>
      <c r="AQ1263" s="55" t="s">
        <v>131</v>
      </c>
      <c r="AR1263" s="55" t="s">
        <v>132</v>
      </c>
      <c r="AS1263" s="55" t="s">
        <v>132</v>
      </c>
      <c r="AU1263" s="181" t="s">
        <v>7494</v>
      </c>
      <c r="AV1263" s="185" t="s">
        <v>176</v>
      </c>
      <c r="AX1263" s="185" t="s">
        <v>176</v>
      </c>
      <c r="AZ1263" s="55" t="s">
        <v>156</v>
      </c>
      <c r="BA1263" s="55" t="s">
        <v>156</v>
      </c>
      <c r="BB1263" s="55" t="s">
        <v>2082</v>
      </c>
      <c r="BC1263" s="55" t="s">
        <v>2082</v>
      </c>
      <c r="BD1263" s="55" t="s">
        <v>176</v>
      </c>
      <c r="BE1263" s="226" t="s">
        <v>861</v>
      </c>
      <c r="BF1263" s="191" t="s">
        <v>479</v>
      </c>
      <c r="BG1263" s="55" t="s">
        <v>479</v>
      </c>
      <c r="BH1263" s="226" t="s">
        <v>861</v>
      </c>
      <c r="BI1263" s="55" t="s">
        <v>479</v>
      </c>
      <c r="BJ1263" s="55" t="s">
        <v>176</v>
      </c>
      <c r="BK1263" s="55" t="s">
        <v>6269</v>
      </c>
      <c r="BM1263" s="192" t="s">
        <v>119</v>
      </c>
      <c r="BN1263" s="55">
        <v>4</v>
      </c>
      <c r="BO1263" s="55">
        <v>4</v>
      </c>
      <c r="BQ1263" s="55" t="s">
        <v>315</v>
      </c>
      <c r="BS1263" s="55">
        <v>2053</v>
      </c>
      <c r="BT1263" s="55">
        <v>50.691358024691361</v>
      </c>
      <c r="FT1263" s="65">
        <v>15.7</v>
      </c>
      <c r="FU1263" s="65">
        <v>0.1</v>
      </c>
      <c r="FX1263" s="65" t="s">
        <v>863</v>
      </c>
      <c r="GP1263" s="292" t="s">
        <v>7494</v>
      </c>
      <c r="JW1263" s="55" t="s">
        <v>837</v>
      </c>
    </row>
    <row r="1264" spans="1:283" x14ac:dyDescent="0.25">
      <c r="A1264" s="55">
        <v>1263</v>
      </c>
      <c r="B1264" s="12" t="s">
        <v>7067</v>
      </c>
      <c r="C1264" s="155">
        <v>59</v>
      </c>
      <c r="D1264" s="55" t="s">
        <v>3939</v>
      </c>
      <c r="E1264" s="90" t="s">
        <v>834</v>
      </c>
      <c r="G1264" s="55" t="s">
        <v>835</v>
      </c>
      <c r="H1264" s="55">
        <v>1997</v>
      </c>
      <c r="I1264" s="55">
        <v>1992</v>
      </c>
      <c r="J1264" s="55" t="s">
        <v>836</v>
      </c>
      <c r="K1264" s="55" t="s">
        <v>859</v>
      </c>
      <c r="L1264" s="55" t="s">
        <v>2737</v>
      </c>
      <c r="M1264" s="90">
        <v>38.92</v>
      </c>
      <c r="N1264" s="90">
        <v>-76.150000000000006</v>
      </c>
      <c r="O1264" s="90">
        <v>5</v>
      </c>
      <c r="R1264" s="55">
        <v>866</v>
      </c>
      <c r="U1264" s="55">
        <v>6</v>
      </c>
      <c r="V1264" s="55" t="s">
        <v>1818</v>
      </c>
      <c r="Y1264" s="55" t="s">
        <v>1941</v>
      </c>
      <c r="Z1264" s="55" t="s">
        <v>1356</v>
      </c>
      <c r="AA1264" s="90" t="s">
        <v>1680</v>
      </c>
      <c r="AD1264" s="90">
        <v>1.5</v>
      </c>
      <c r="AH1264" s="55" t="s">
        <v>6378</v>
      </c>
      <c r="AM1264" s="55" t="s">
        <v>1314</v>
      </c>
      <c r="AN1264" s="185" t="s">
        <v>131</v>
      </c>
      <c r="AO1264" s="185" t="s">
        <v>5150</v>
      </c>
      <c r="AQ1264" s="55" t="s">
        <v>131</v>
      </c>
      <c r="AR1264" s="55" t="s">
        <v>132</v>
      </c>
      <c r="AS1264" s="55" t="s">
        <v>132</v>
      </c>
      <c r="AU1264" s="181" t="s">
        <v>7494</v>
      </c>
      <c r="AV1264" s="185" t="s">
        <v>176</v>
      </c>
      <c r="AX1264" s="185" t="s">
        <v>176</v>
      </c>
      <c r="AZ1264" s="55" t="s">
        <v>156</v>
      </c>
      <c r="BA1264" s="55" t="s">
        <v>156</v>
      </c>
      <c r="BB1264" s="55" t="s">
        <v>2082</v>
      </c>
      <c r="BC1264" s="55" t="s">
        <v>2082</v>
      </c>
      <c r="BD1264" s="55" t="s">
        <v>176</v>
      </c>
      <c r="BE1264" s="226" t="s">
        <v>861</v>
      </c>
      <c r="BF1264" s="191" t="s">
        <v>479</v>
      </c>
      <c r="BG1264" s="55" t="s">
        <v>479</v>
      </c>
      <c r="BH1264" s="226" t="s">
        <v>861</v>
      </c>
      <c r="BI1264" s="55" t="s">
        <v>479</v>
      </c>
      <c r="BJ1264" s="55" t="s">
        <v>176</v>
      </c>
      <c r="BK1264" s="55" t="s">
        <v>6269</v>
      </c>
      <c r="BM1264" s="192" t="s">
        <v>119</v>
      </c>
      <c r="BN1264" s="55">
        <v>4</v>
      </c>
      <c r="BO1264" s="55">
        <v>4</v>
      </c>
      <c r="BQ1264" s="55" t="s">
        <v>315</v>
      </c>
      <c r="BS1264" s="55">
        <v>2053</v>
      </c>
      <c r="BT1264" s="55">
        <v>50.691358024691361</v>
      </c>
      <c r="FT1264" s="65">
        <v>20.350000000000001</v>
      </c>
      <c r="FU1264" s="65">
        <v>0.3</v>
      </c>
      <c r="FX1264" s="65" t="s">
        <v>863</v>
      </c>
      <c r="GP1264" s="292" t="s">
        <v>7494</v>
      </c>
      <c r="JW1264" s="55" t="s">
        <v>837</v>
      </c>
    </row>
    <row r="1265" spans="1:283" x14ac:dyDescent="0.25">
      <c r="A1265" s="55">
        <v>1264</v>
      </c>
      <c r="B1265" s="12" t="s">
        <v>7067</v>
      </c>
      <c r="C1265" s="155">
        <v>59</v>
      </c>
      <c r="D1265" s="55" t="s">
        <v>3939</v>
      </c>
      <c r="E1265" s="90" t="s">
        <v>834</v>
      </c>
      <c r="G1265" s="55" t="s">
        <v>835</v>
      </c>
      <c r="H1265" s="55">
        <v>1997</v>
      </c>
      <c r="I1265" s="55">
        <v>1992</v>
      </c>
      <c r="J1265" s="55" t="s">
        <v>836</v>
      </c>
      <c r="K1265" s="55" t="s">
        <v>859</v>
      </c>
      <c r="L1265" s="55" t="s">
        <v>2737</v>
      </c>
      <c r="M1265" s="90">
        <v>38.92</v>
      </c>
      <c r="N1265" s="90">
        <v>-76.150000000000006</v>
      </c>
      <c r="O1265" s="90">
        <v>5</v>
      </c>
      <c r="R1265" s="55">
        <v>866</v>
      </c>
      <c r="U1265" s="55">
        <v>6</v>
      </c>
      <c r="V1265" s="55" t="s">
        <v>1818</v>
      </c>
      <c r="Y1265" s="55" t="s">
        <v>1941</v>
      </c>
      <c r="Z1265" s="55" t="s">
        <v>1356</v>
      </c>
      <c r="AA1265" s="90" t="s">
        <v>1680</v>
      </c>
      <c r="AD1265" s="90">
        <v>1.5</v>
      </c>
      <c r="AH1265" s="55" t="s">
        <v>6378</v>
      </c>
      <c r="AM1265" s="55" t="s">
        <v>1314</v>
      </c>
      <c r="AN1265" s="185" t="s">
        <v>131</v>
      </c>
      <c r="AO1265" s="185" t="s">
        <v>5150</v>
      </c>
      <c r="AQ1265" s="55" t="s">
        <v>131</v>
      </c>
      <c r="AR1265" s="55" t="s">
        <v>132</v>
      </c>
      <c r="AS1265" s="55" t="s">
        <v>132</v>
      </c>
      <c r="AU1265" s="181" t="s">
        <v>7494</v>
      </c>
      <c r="AV1265" s="185" t="s">
        <v>176</v>
      </c>
      <c r="AX1265" s="185" t="s">
        <v>176</v>
      </c>
      <c r="AZ1265" s="55" t="s">
        <v>156</v>
      </c>
      <c r="BA1265" s="55" t="s">
        <v>156</v>
      </c>
      <c r="BB1265" s="55" t="s">
        <v>2082</v>
      </c>
      <c r="BC1265" s="55" t="s">
        <v>2082</v>
      </c>
      <c r="BD1265" s="55" t="s">
        <v>176</v>
      </c>
      <c r="BE1265" s="226" t="s">
        <v>861</v>
      </c>
      <c r="BF1265" s="191" t="s">
        <v>479</v>
      </c>
      <c r="BG1265" s="55" t="s">
        <v>479</v>
      </c>
      <c r="BH1265" s="226" t="s">
        <v>861</v>
      </c>
      <c r="BI1265" s="55" t="s">
        <v>479</v>
      </c>
      <c r="BJ1265" s="55" t="s">
        <v>176</v>
      </c>
      <c r="BK1265" s="55" t="s">
        <v>6269</v>
      </c>
      <c r="BM1265" s="192" t="s">
        <v>119</v>
      </c>
      <c r="BN1265" s="55">
        <v>4</v>
      </c>
      <c r="BO1265" s="55">
        <v>4</v>
      </c>
      <c r="BQ1265" s="55" t="s">
        <v>315</v>
      </c>
      <c r="BS1265" s="55">
        <v>2053</v>
      </c>
      <c r="BT1265" s="55">
        <v>50.691358024691361</v>
      </c>
      <c r="FT1265" s="65">
        <v>14.3</v>
      </c>
      <c r="FU1265" s="65">
        <v>0.16</v>
      </c>
      <c r="FX1265" s="65" t="s">
        <v>863</v>
      </c>
      <c r="GP1265" s="292" t="s">
        <v>7494</v>
      </c>
      <c r="JW1265" s="55" t="s">
        <v>837</v>
      </c>
    </row>
    <row r="1266" spans="1:283" x14ac:dyDescent="0.25">
      <c r="A1266" s="55">
        <v>1265</v>
      </c>
      <c r="B1266" s="12" t="s">
        <v>7067</v>
      </c>
      <c r="C1266" s="155">
        <v>59</v>
      </c>
      <c r="D1266" s="55" t="s">
        <v>3939</v>
      </c>
      <c r="E1266" s="90" t="s">
        <v>834</v>
      </c>
      <c r="G1266" s="55" t="s">
        <v>835</v>
      </c>
      <c r="H1266" s="55">
        <v>1997</v>
      </c>
      <c r="I1266" s="55">
        <v>1992</v>
      </c>
      <c r="J1266" s="55" t="s">
        <v>836</v>
      </c>
      <c r="K1266" s="55" t="s">
        <v>859</v>
      </c>
      <c r="L1266" s="55" t="s">
        <v>2737</v>
      </c>
      <c r="M1266" s="90">
        <v>38.92</v>
      </c>
      <c r="N1266" s="90">
        <v>-76.150000000000006</v>
      </c>
      <c r="O1266" s="90">
        <v>5</v>
      </c>
      <c r="R1266" s="55">
        <v>866</v>
      </c>
      <c r="U1266" s="55">
        <v>6</v>
      </c>
      <c r="V1266" s="55" t="s">
        <v>1818</v>
      </c>
      <c r="Y1266" s="55" t="s">
        <v>1941</v>
      </c>
      <c r="Z1266" s="55" t="s">
        <v>1356</v>
      </c>
      <c r="AA1266" s="90" t="s">
        <v>1680</v>
      </c>
      <c r="AD1266" s="90">
        <v>1.5</v>
      </c>
      <c r="AH1266" s="55" t="s">
        <v>6378</v>
      </c>
      <c r="AM1266" s="55" t="s">
        <v>1314</v>
      </c>
      <c r="AN1266" s="185" t="s">
        <v>131</v>
      </c>
      <c r="AO1266" s="185" t="s">
        <v>5150</v>
      </c>
      <c r="AQ1266" s="55" t="s">
        <v>131</v>
      </c>
      <c r="AR1266" s="55" t="s">
        <v>132</v>
      </c>
      <c r="AS1266" s="55" t="s">
        <v>132</v>
      </c>
      <c r="AU1266" s="181" t="s">
        <v>7494</v>
      </c>
      <c r="AV1266" s="185" t="s">
        <v>176</v>
      </c>
      <c r="AX1266" s="185" t="s">
        <v>176</v>
      </c>
      <c r="AZ1266" s="55" t="s">
        <v>156</v>
      </c>
      <c r="BA1266" s="55" t="s">
        <v>156</v>
      </c>
      <c r="BB1266" s="55" t="s">
        <v>2082</v>
      </c>
      <c r="BC1266" s="55" t="s">
        <v>2082</v>
      </c>
      <c r="BD1266" s="55" t="s">
        <v>176</v>
      </c>
      <c r="BE1266" s="226" t="s">
        <v>861</v>
      </c>
      <c r="BF1266" s="191" t="s">
        <v>479</v>
      </c>
      <c r="BG1266" s="55" t="s">
        <v>479</v>
      </c>
      <c r="BH1266" s="226" t="s">
        <v>861</v>
      </c>
      <c r="BI1266" s="55" t="s">
        <v>479</v>
      </c>
      <c r="BJ1266" s="55" t="s">
        <v>176</v>
      </c>
      <c r="BK1266" s="55" t="s">
        <v>6269</v>
      </c>
      <c r="BM1266" s="192" t="s">
        <v>119</v>
      </c>
      <c r="BN1266" s="55">
        <v>4</v>
      </c>
      <c r="BO1266" s="55">
        <v>4</v>
      </c>
      <c r="BQ1266" s="55" t="s">
        <v>315</v>
      </c>
      <c r="BS1266" s="55">
        <v>2053</v>
      </c>
      <c r="BT1266" s="55">
        <v>50.691358024691361</v>
      </c>
      <c r="FT1266" s="65">
        <v>9.17</v>
      </c>
      <c r="FU1266" s="65">
        <v>0.1</v>
      </c>
      <c r="FX1266" s="65" t="s">
        <v>863</v>
      </c>
      <c r="GP1266" s="292" t="s">
        <v>7494</v>
      </c>
      <c r="JW1266" s="55" t="s">
        <v>837</v>
      </c>
    </row>
    <row r="1267" spans="1:283" x14ac:dyDescent="0.25">
      <c r="A1267" s="55">
        <v>1266</v>
      </c>
      <c r="B1267" s="12" t="s">
        <v>7067</v>
      </c>
      <c r="C1267" s="155">
        <v>59</v>
      </c>
      <c r="D1267" s="55" t="s">
        <v>3939</v>
      </c>
      <c r="E1267" s="90" t="s">
        <v>834</v>
      </c>
      <c r="G1267" s="55" t="s">
        <v>835</v>
      </c>
      <c r="H1267" s="55">
        <v>1997</v>
      </c>
      <c r="I1267" s="55">
        <v>1992</v>
      </c>
      <c r="J1267" s="55" t="s">
        <v>836</v>
      </c>
      <c r="K1267" s="55" t="s">
        <v>859</v>
      </c>
      <c r="L1267" s="55" t="s">
        <v>2737</v>
      </c>
      <c r="M1267" s="90">
        <v>38.92</v>
      </c>
      <c r="N1267" s="90">
        <v>-76.150000000000006</v>
      </c>
      <c r="O1267" s="90">
        <v>5</v>
      </c>
      <c r="R1267" s="55">
        <v>866</v>
      </c>
      <c r="U1267" s="55">
        <v>6</v>
      </c>
      <c r="V1267" s="55" t="s">
        <v>1818</v>
      </c>
      <c r="Y1267" s="55" t="s">
        <v>1941</v>
      </c>
      <c r="Z1267" s="55" t="s">
        <v>1356</v>
      </c>
      <c r="AA1267" s="90" t="s">
        <v>1680</v>
      </c>
      <c r="AD1267" s="90">
        <v>1.5</v>
      </c>
      <c r="AH1267" s="55" t="s">
        <v>6378</v>
      </c>
      <c r="AM1267" s="55" t="s">
        <v>1314</v>
      </c>
      <c r="AN1267" s="185" t="s">
        <v>131</v>
      </c>
      <c r="AO1267" s="185" t="s">
        <v>5150</v>
      </c>
      <c r="AQ1267" s="55" t="s">
        <v>131</v>
      </c>
      <c r="AR1267" s="55" t="s">
        <v>132</v>
      </c>
      <c r="AS1267" s="55" t="s">
        <v>132</v>
      </c>
      <c r="AU1267" s="181" t="s">
        <v>7494</v>
      </c>
      <c r="AV1267" s="185" t="s">
        <v>176</v>
      </c>
      <c r="AX1267" s="185" t="s">
        <v>176</v>
      </c>
      <c r="AZ1267" s="55" t="s">
        <v>156</v>
      </c>
      <c r="BA1267" s="55" t="s">
        <v>156</v>
      </c>
      <c r="BB1267" s="55" t="s">
        <v>2082</v>
      </c>
      <c r="BC1267" s="55" t="s">
        <v>2082</v>
      </c>
      <c r="BD1267" s="55" t="s">
        <v>176</v>
      </c>
      <c r="BE1267" s="226" t="s">
        <v>861</v>
      </c>
      <c r="BF1267" s="191" t="s">
        <v>479</v>
      </c>
      <c r="BG1267" s="55" t="s">
        <v>479</v>
      </c>
      <c r="BH1267" s="226" t="s">
        <v>861</v>
      </c>
      <c r="BI1267" s="55" t="s">
        <v>479</v>
      </c>
      <c r="BJ1267" s="55" t="s">
        <v>176</v>
      </c>
      <c r="BK1267" s="55" t="s">
        <v>6269</v>
      </c>
      <c r="BM1267" s="192" t="s">
        <v>119</v>
      </c>
      <c r="BN1267" s="55">
        <v>4</v>
      </c>
      <c r="BO1267" s="55">
        <v>4</v>
      </c>
      <c r="BQ1267" s="55" t="s">
        <v>315</v>
      </c>
      <c r="BS1267" s="55">
        <v>2053</v>
      </c>
      <c r="BT1267" s="55">
        <v>50.691358024691361</v>
      </c>
      <c r="FT1267" s="65">
        <v>5.12</v>
      </c>
      <c r="FU1267" s="65">
        <v>0.55000000000000004</v>
      </c>
      <c r="FX1267" s="65" t="s">
        <v>863</v>
      </c>
      <c r="GP1267" s="292" t="s">
        <v>7494</v>
      </c>
      <c r="JW1267" s="55" t="s">
        <v>837</v>
      </c>
    </row>
    <row r="1268" spans="1:283" x14ac:dyDescent="0.25">
      <c r="A1268" s="55">
        <v>1267</v>
      </c>
      <c r="B1268" s="12" t="s">
        <v>7067</v>
      </c>
      <c r="C1268" s="155">
        <v>59</v>
      </c>
      <c r="D1268" s="55" t="s">
        <v>3939</v>
      </c>
      <c r="E1268" s="90" t="s">
        <v>834</v>
      </c>
      <c r="G1268" s="55" t="s">
        <v>835</v>
      </c>
      <c r="H1268" s="55">
        <v>1997</v>
      </c>
      <c r="I1268" s="55">
        <v>1992</v>
      </c>
      <c r="J1268" s="55" t="s">
        <v>836</v>
      </c>
      <c r="K1268" s="55" t="s">
        <v>859</v>
      </c>
      <c r="L1268" s="55" t="s">
        <v>2737</v>
      </c>
      <c r="M1268" s="90">
        <v>38.92</v>
      </c>
      <c r="N1268" s="90">
        <v>-76.150000000000006</v>
      </c>
      <c r="O1268" s="90">
        <v>5</v>
      </c>
      <c r="R1268" s="55">
        <v>866</v>
      </c>
      <c r="U1268" s="55">
        <v>6</v>
      </c>
      <c r="V1268" s="55" t="s">
        <v>1818</v>
      </c>
      <c r="Y1268" s="55" t="s">
        <v>1941</v>
      </c>
      <c r="Z1268" s="55" t="s">
        <v>1356</v>
      </c>
      <c r="AA1268" s="90" t="s">
        <v>1680</v>
      </c>
      <c r="AD1268" s="90">
        <v>1.5</v>
      </c>
      <c r="AH1268" s="55" t="s">
        <v>6378</v>
      </c>
      <c r="AM1268" s="55" t="s">
        <v>1314</v>
      </c>
      <c r="AN1268" s="185" t="s">
        <v>131</v>
      </c>
      <c r="AO1268" s="185" t="s">
        <v>5150</v>
      </c>
      <c r="AQ1268" s="55" t="s">
        <v>131</v>
      </c>
      <c r="AR1268" s="55" t="s">
        <v>132</v>
      </c>
      <c r="AS1268" s="55" t="s">
        <v>132</v>
      </c>
      <c r="AU1268" s="181" t="s">
        <v>7494</v>
      </c>
      <c r="AV1268" s="185" t="s">
        <v>176</v>
      </c>
      <c r="AX1268" s="185" t="s">
        <v>176</v>
      </c>
      <c r="AZ1268" s="55" t="s">
        <v>156</v>
      </c>
      <c r="BA1268" s="55" t="s">
        <v>156</v>
      </c>
      <c r="BB1268" s="55" t="s">
        <v>2082</v>
      </c>
      <c r="BC1268" s="55" t="s">
        <v>2082</v>
      </c>
      <c r="BD1268" s="55" t="s">
        <v>176</v>
      </c>
      <c r="BE1268" s="226" t="s">
        <v>861</v>
      </c>
      <c r="BF1268" s="191" t="s">
        <v>479</v>
      </c>
      <c r="BG1268" s="55" t="s">
        <v>479</v>
      </c>
      <c r="BH1268" s="226" t="s">
        <v>861</v>
      </c>
      <c r="BI1268" s="55" t="s">
        <v>479</v>
      </c>
      <c r="BJ1268" s="55" t="s">
        <v>176</v>
      </c>
      <c r="BK1268" s="55" t="s">
        <v>6269</v>
      </c>
      <c r="BM1268" s="192" t="s">
        <v>119</v>
      </c>
      <c r="BN1268" s="55">
        <v>4</v>
      </c>
      <c r="BO1268" s="55">
        <v>4</v>
      </c>
      <c r="BQ1268" s="55" t="s">
        <v>315</v>
      </c>
      <c r="BS1268" s="55">
        <v>2053</v>
      </c>
      <c r="BT1268" s="55">
        <v>50.691358024691361</v>
      </c>
      <c r="FT1268" s="65">
        <v>12.96</v>
      </c>
      <c r="FU1268" s="65">
        <v>1.23</v>
      </c>
      <c r="FX1268" s="65" t="s">
        <v>863</v>
      </c>
      <c r="GP1268" s="292" t="s">
        <v>7494</v>
      </c>
      <c r="JW1268" s="55" t="s">
        <v>837</v>
      </c>
    </row>
    <row r="1269" spans="1:283" x14ac:dyDescent="0.25">
      <c r="A1269" s="55">
        <v>1268</v>
      </c>
      <c r="B1269" s="12" t="s">
        <v>7067</v>
      </c>
      <c r="C1269" s="155">
        <v>59</v>
      </c>
      <c r="D1269" s="55" t="s">
        <v>3939</v>
      </c>
      <c r="E1269" s="90" t="s">
        <v>834</v>
      </c>
      <c r="G1269" s="55" t="s">
        <v>835</v>
      </c>
      <c r="H1269" s="55">
        <v>1997</v>
      </c>
      <c r="I1269" s="55">
        <v>1993</v>
      </c>
      <c r="J1269" s="55" t="s">
        <v>836</v>
      </c>
      <c r="K1269" s="55" t="s">
        <v>859</v>
      </c>
      <c r="L1269" s="55" t="s">
        <v>2737</v>
      </c>
      <c r="M1269" s="90">
        <v>38.92</v>
      </c>
      <c r="N1269" s="90">
        <v>-76.150000000000006</v>
      </c>
      <c r="O1269" s="90">
        <v>5</v>
      </c>
      <c r="R1269" s="55">
        <v>972</v>
      </c>
      <c r="U1269" s="55">
        <v>7</v>
      </c>
      <c r="V1269" s="55" t="s">
        <v>1818</v>
      </c>
      <c r="Y1269" s="55" t="s">
        <v>1941</v>
      </c>
      <c r="Z1269" s="55" t="s">
        <v>1356</v>
      </c>
      <c r="AA1269" s="90" t="s">
        <v>1680</v>
      </c>
      <c r="AD1269" s="90">
        <v>1.5</v>
      </c>
      <c r="AH1269" s="55" t="s">
        <v>6378</v>
      </c>
      <c r="AM1269" s="55" t="s">
        <v>1314</v>
      </c>
      <c r="AN1269" s="185" t="s">
        <v>131</v>
      </c>
      <c r="AO1269" s="185" t="s">
        <v>5150</v>
      </c>
      <c r="AQ1269" s="55" t="s">
        <v>131</v>
      </c>
      <c r="AR1269" s="55" t="s">
        <v>132</v>
      </c>
      <c r="AS1269" s="55" t="s">
        <v>132</v>
      </c>
      <c r="AU1269" s="181" t="s">
        <v>7494</v>
      </c>
      <c r="AV1269" s="185" t="s">
        <v>176</v>
      </c>
      <c r="AX1269" s="185" t="s">
        <v>176</v>
      </c>
      <c r="AZ1269" s="55" t="s">
        <v>156</v>
      </c>
      <c r="BA1269" s="55" t="s">
        <v>156</v>
      </c>
      <c r="BB1269" s="55" t="s">
        <v>2082</v>
      </c>
      <c r="BC1269" s="55" t="s">
        <v>2082</v>
      </c>
      <c r="BD1269" s="55" t="s">
        <v>176</v>
      </c>
      <c r="BE1269" s="226" t="s">
        <v>861</v>
      </c>
      <c r="BF1269" s="191" t="s">
        <v>479</v>
      </c>
      <c r="BG1269" s="55" t="s">
        <v>479</v>
      </c>
      <c r="BH1269" s="226" t="s">
        <v>861</v>
      </c>
      <c r="BI1269" s="55" t="s">
        <v>479</v>
      </c>
      <c r="BJ1269" s="55" t="s">
        <v>176</v>
      </c>
      <c r="BK1269" s="55" t="s">
        <v>6269</v>
      </c>
      <c r="BM1269" s="192" t="s">
        <v>119</v>
      </c>
      <c r="BN1269" s="55">
        <v>4</v>
      </c>
      <c r="BO1269" s="55">
        <v>4</v>
      </c>
      <c r="BQ1269" s="55" t="s">
        <v>315</v>
      </c>
      <c r="BS1269" s="55">
        <v>1873</v>
      </c>
      <c r="BT1269" s="55">
        <v>50.21447721179625</v>
      </c>
      <c r="FT1269" s="65">
        <v>8.82</v>
      </c>
      <c r="FU1269" s="65">
        <v>3.97</v>
      </c>
      <c r="FX1269" s="65" t="s">
        <v>863</v>
      </c>
      <c r="GP1269" s="292" t="s">
        <v>7494</v>
      </c>
      <c r="JW1269" s="55" t="s">
        <v>837</v>
      </c>
    </row>
    <row r="1270" spans="1:283" x14ac:dyDescent="0.25">
      <c r="A1270" s="55">
        <v>1269</v>
      </c>
      <c r="B1270" s="12" t="s">
        <v>7067</v>
      </c>
      <c r="C1270" s="155">
        <v>59</v>
      </c>
      <c r="D1270" s="55" t="s">
        <v>3939</v>
      </c>
      <c r="E1270" s="90" t="s">
        <v>834</v>
      </c>
      <c r="G1270" s="55" t="s">
        <v>835</v>
      </c>
      <c r="H1270" s="55">
        <v>1997</v>
      </c>
      <c r="I1270" s="55">
        <v>1993</v>
      </c>
      <c r="J1270" s="55" t="s">
        <v>836</v>
      </c>
      <c r="K1270" s="55" t="s">
        <v>859</v>
      </c>
      <c r="L1270" s="55" t="s">
        <v>2737</v>
      </c>
      <c r="M1270" s="90">
        <v>38.92</v>
      </c>
      <c r="N1270" s="90">
        <v>-76.150000000000006</v>
      </c>
      <c r="O1270" s="90">
        <v>5</v>
      </c>
      <c r="R1270" s="55">
        <v>972</v>
      </c>
      <c r="U1270" s="55">
        <v>7</v>
      </c>
      <c r="V1270" s="55" t="s">
        <v>1818</v>
      </c>
      <c r="Y1270" s="55" t="s">
        <v>1941</v>
      </c>
      <c r="Z1270" s="55" t="s">
        <v>1356</v>
      </c>
      <c r="AA1270" s="90" t="s">
        <v>1680</v>
      </c>
      <c r="AD1270" s="90">
        <v>1.5</v>
      </c>
      <c r="AH1270" s="55" t="s">
        <v>6378</v>
      </c>
      <c r="AM1270" s="55" t="s">
        <v>1314</v>
      </c>
      <c r="AN1270" s="185" t="s">
        <v>131</v>
      </c>
      <c r="AO1270" s="185" t="s">
        <v>5150</v>
      </c>
      <c r="AQ1270" s="55" t="s">
        <v>131</v>
      </c>
      <c r="AR1270" s="55" t="s">
        <v>132</v>
      </c>
      <c r="AS1270" s="55" t="s">
        <v>132</v>
      </c>
      <c r="AU1270" s="181" t="s">
        <v>7494</v>
      </c>
      <c r="AV1270" s="185" t="s">
        <v>176</v>
      </c>
      <c r="AX1270" s="185" t="s">
        <v>176</v>
      </c>
      <c r="AZ1270" s="55" t="s">
        <v>156</v>
      </c>
      <c r="BA1270" s="55" t="s">
        <v>156</v>
      </c>
      <c r="BB1270" s="55" t="s">
        <v>2082</v>
      </c>
      <c r="BC1270" s="55" t="s">
        <v>2082</v>
      </c>
      <c r="BD1270" s="55" t="s">
        <v>176</v>
      </c>
      <c r="BE1270" s="226" t="s">
        <v>861</v>
      </c>
      <c r="BF1270" s="191" t="s">
        <v>479</v>
      </c>
      <c r="BG1270" s="55" t="s">
        <v>479</v>
      </c>
      <c r="BH1270" s="226" t="s">
        <v>861</v>
      </c>
      <c r="BI1270" s="55" t="s">
        <v>479</v>
      </c>
      <c r="BJ1270" s="55" t="s">
        <v>176</v>
      </c>
      <c r="BK1270" s="55" t="s">
        <v>6269</v>
      </c>
      <c r="BM1270" s="192" t="s">
        <v>119</v>
      </c>
      <c r="BN1270" s="55">
        <v>4</v>
      </c>
      <c r="BO1270" s="55">
        <v>4</v>
      </c>
      <c r="BQ1270" s="55" t="s">
        <v>315</v>
      </c>
      <c r="BS1270" s="55">
        <v>1873</v>
      </c>
      <c r="BT1270" s="55">
        <v>50.21447721179625</v>
      </c>
      <c r="FT1270" s="65">
        <v>6.88</v>
      </c>
      <c r="FU1270" s="65">
        <v>5.72</v>
      </c>
      <c r="FX1270" s="65" t="s">
        <v>863</v>
      </c>
      <c r="GP1270" s="292" t="s">
        <v>7494</v>
      </c>
      <c r="JW1270" s="55" t="s">
        <v>837</v>
      </c>
    </row>
    <row r="1271" spans="1:283" x14ac:dyDescent="0.25">
      <c r="A1271" s="55">
        <v>1270</v>
      </c>
      <c r="B1271" s="12" t="s">
        <v>7067</v>
      </c>
      <c r="C1271" s="155">
        <v>59</v>
      </c>
      <c r="D1271" s="55" t="s">
        <v>3939</v>
      </c>
      <c r="E1271" s="90" t="s">
        <v>834</v>
      </c>
      <c r="G1271" s="55" t="s">
        <v>835</v>
      </c>
      <c r="H1271" s="55">
        <v>1997</v>
      </c>
      <c r="I1271" s="55">
        <v>1993</v>
      </c>
      <c r="J1271" s="55" t="s">
        <v>836</v>
      </c>
      <c r="K1271" s="55" t="s">
        <v>859</v>
      </c>
      <c r="L1271" s="55" t="s">
        <v>2737</v>
      </c>
      <c r="M1271" s="90">
        <v>38.92</v>
      </c>
      <c r="N1271" s="90">
        <v>-76.150000000000006</v>
      </c>
      <c r="O1271" s="90">
        <v>5</v>
      </c>
      <c r="R1271" s="55">
        <v>972</v>
      </c>
      <c r="U1271" s="55">
        <v>7</v>
      </c>
      <c r="V1271" s="55" t="s">
        <v>1818</v>
      </c>
      <c r="Y1271" s="55" t="s">
        <v>1941</v>
      </c>
      <c r="Z1271" s="55" t="s">
        <v>1356</v>
      </c>
      <c r="AA1271" s="90" t="s">
        <v>1680</v>
      </c>
      <c r="AD1271" s="90">
        <v>1.5</v>
      </c>
      <c r="AH1271" s="55" t="s">
        <v>6378</v>
      </c>
      <c r="AM1271" s="55" t="s">
        <v>1314</v>
      </c>
      <c r="AN1271" s="185" t="s">
        <v>131</v>
      </c>
      <c r="AO1271" s="185" t="s">
        <v>5150</v>
      </c>
      <c r="AQ1271" s="55" t="s">
        <v>131</v>
      </c>
      <c r="AR1271" s="55" t="s">
        <v>132</v>
      </c>
      <c r="AS1271" s="55" t="s">
        <v>132</v>
      </c>
      <c r="AU1271" s="181" t="s">
        <v>7494</v>
      </c>
      <c r="AV1271" s="185" t="s">
        <v>176</v>
      </c>
      <c r="AX1271" s="185" t="s">
        <v>176</v>
      </c>
      <c r="AZ1271" s="55" t="s">
        <v>156</v>
      </c>
      <c r="BA1271" s="55" t="s">
        <v>156</v>
      </c>
      <c r="BB1271" s="55" t="s">
        <v>2082</v>
      </c>
      <c r="BC1271" s="55" t="s">
        <v>2082</v>
      </c>
      <c r="BD1271" s="55" t="s">
        <v>176</v>
      </c>
      <c r="BE1271" s="226" t="s">
        <v>861</v>
      </c>
      <c r="BF1271" s="191" t="s">
        <v>479</v>
      </c>
      <c r="BG1271" s="55" t="s">
        <v>479</v>
      </c>
      <c r="BH1271" s="226" t="s">
        <v>861</v>
      </c>
      <c r="BI1271" s="55" t="s">
        <v>479</v>
      </c>
      <c r="BJ1271" s="55" t="s">
        <v>176</v>
      </c>
      <c r="BK1271" s="55" t="s">
        <v>6269</v>
      </c>
      <c r="BM1271" s="192" t="s">
        <v>119</v>
      </c>
      <c r="BN1271" s="55">
        <v>4</v>
      </c>
      <c r="BO1271" s="55">
        <v>4</v>
      </c>
      <c r="BQ1271" s="55" t="s">
        <v>315</v>
      </c>
      <c r="BS1271" s="55">
        <v>1873</v>
      </c>
      <c r="BT1271" s="55">
        <v>50.21447721179625</v>
      </c>
      <c r="FT1271" s="65">
        <v>10.47</v>
      </c>
      <c r="FU1271" s="65">
        <v>2.72</v>
      </c>
      <c r="FX1271" s="65" t="s">
        <v>863</v>
      </c>
      <c r="GP1271" s="292" t="s">
        <v>7494</v>
      </c>
      <c r="JW1271" s="55" t="s">
        <v>837</v>
      </c>
    </row>
    <row r="1272" spans="1:283" x14ac:dyDescent="0.25">
      <c r="A1272" s="55">
        <v>1271</v>
      </c>
      <c r="B1272" s="12" t="s">
        <v>7067</v>
      </c>
      <c r="C1272" s="155">
        <v>59</v>
      </c>
      <c r="D1272" s="55" t="s">
        <v>3939</v>
      </c>
      <c r="E1272" s="90" t="s">
        <v>834</v>
      </c>
      <c r="G1272" s="55" t="s">
        <v>835</v>
      </c>
      <c r="H1272" s="55">
        <v>1997</v>
      </c>
      <c r="I1272" s="55">
        <v>1993</v>
      </c>
      <c r="J1272" s="55" t="s">
        <v>836</v>
      </c>
      <c r="K1272" s="55" t="s">
        <v>859</v>
      </c>
      <c r="L1272" s="55" t="s">
        <v>2737</v>
      </c>
      <c r="M1272" s="90">
        <v>38.92</v>
      </c>
      <c r="N1272" s="90">
        <v>-76.150000000000006</v>
      </c>
      <c r="O1272" s="90">
        <v>5</v>
      </c>
      <c r="R1272" s="55">
        <v>972</v>
      </c>
      <c r="U1272" s="55">
        <v>7</v>
      </c>
      <c r="V1272" s="55" t="s">
        <v>1818</v>
      </c>
      <c r="Y1272" s="55" t="s">
        <v>1941</v>
      </c>
      <c r="Z1272" s="55" t="s">
        <v>1356</v>
      </c>
      <c r="AA1272" s="90" t="s">
        <v>1680</v>
      </c>
      <c r="AD1272" s="90">
        <v>1.5</v>
      </c>
      <c r="AH1272" s="55" t="s">
        <v>6378</v>
      </c>
      <c r="AM1272" s="55" t="s">
        <v>1314</v>
      </c>
      <c r="AN1272" s="185" t="s">
        <v>131</v>
      </c>
      <c r="AO1272" s="185" t="s">
        <v>5150</v>
      </c>
      <c r="AQ1272" s="55" t="s">
        <v>131</v>
      </c>
      <c r="AR1272" s="55" t="s">
        <v>132</v>
      </c>
      <c r="AS1272" s="55" t="s">
        <v>132</v>
      </c>
      <c r="AU1272" s="181" t="s">
        <v>7494</v>
      </c>
      <c r="AV1272" s="185" t="s">
        <v>176</v>
      </c>
      <c r="AX1272" s="185" t="s">
        <v>176</v>
      </c>
      <c r="AZ1272" s="55" t="s">
        <v>156</v>
      </c>
      <c r="BA1272" s="55" t="s">
        <v>156</v>
      </c>
      <c r="BB1272" s="55" t="s">
        <v>2082</v>
      </c>
      <c r="BC1272" s="55" t="s">
        <v>2082</v>
      </c>
      <c r="BD1272" s="55" t="s">
        <v>176</v>
      </c>
      <c r="BE1272" s="226" t="s">
        <v>861</v>
      </c>
      <c r="BF1272" s="191" t="s">
        <v>479</v>
      </c>
      <c r="BG1272" s="55" t="s">
        <v>479</v>
      </c>
      <c r="BH1272" s="226" t="s">
        <v>861</v>
      </c>
      <c r="BI1272" s="55" t="s">
        <v>479</v>
      </c>
      <c r="BJ1272" s="55" t="s">
        <v>176</v>
      </c>
      <c r="BK1272" s="55" t="s">
        <v>6269</v>
      </c>
      <c r="BM1272" s="192" t="s">
        <v>119</v>
      </c>
      <c r="BN1272" s="55">
        <v>4</v>
      </c>
      <c r="BO1272" s="55">
        <v>4</v>
      </c>
      <c r="BQ1272" s="55" t="s">
        <v>315</v>
      </c>
      <c r="BS1272" s="55">
        <v>1873</v>
      </c>
      <c r="BT1272" s="55">
        <v>50.21447721179625</v>
      </c>
      <c r="FT1272" s="65">
        <v>7.95</v>
      </c>
      <c r="FU1272" s="65">
        <v>1.72</v>
      </c>
      <c r="FX1272" s="65" t="s">
        <v>863</v>
      </c>
      <c r="GP1272" s="292" t="s">
        <v>7494</v>
      </c>
      <c r="JW1272" s="55" t="s">
        <v>837</v>
      </c>
    </row>
    <row r="1273" spans="1:283" x14ac:dyDescent="0.25">
      <c r="A1273" s="55">
        <v>1272</v>
      </c>
      <c r="B1273" s="12" t="s">
        <v>7067</v>
      </c>
      <c r="C1273" s="155">
        <v>59</v>
      </c>
      <c r="D1273" s="55" t="s">
        <v>3939</v>
      </c>
      <c r="E1273" s="90" t="s">
        <v>834</v>
      </c>
      <c r="G1273" s="55" t="s">
        <v>835</v>
      </c>
      <c r="H1273" s="55">
        <v>1997</v>
      </c>
      <c r="I1273" s="55">
        <v>1993</v>
      </c>
      <c r="J1273" s="55" t="s">
        <v>836</v>
      </c>
      <c r="K1273" s="55" t="s">
        <v>859</v>
      </c>
      <c r="L1273" s="55" t="s">
        <v>2737</v>
      </c>
      <c r="M1273" s="90">
        <v>38.92</v>
      </c>
      <c r="N1273" s="90">
        <v>-76.150000000000006</v>
      </c>
      <c r="O1273" s="90">
        <v>5</v>
      </c>
      <c r="R1273" s="55">
        <v>972</v>
      </c>
      <c r="U1273" s="55">
        <v>7</v>
      </c>
      <c r="V1273" s="55" t="s">
        <v>1818</v>
      </c>
      <c r="Y1273" s="55" t="s">
        <v>1941</v>
      </c>
      <c r="Z1273" s="55" t="s">
        <v>1356</v>
      </c>
      <c r="AA1273" s="90" t="s">
        <v>1680</v>
      </c>
      <c r="AD1273" s="90">
        <v>1.5</v>
      </c>
      <c r="AH1273" s="55" t="s">
        <v>6378</v>
      </c>
      <c r="AM1273" s="55" t="s">
        <v>1314</v>
      </c>
      <c r="AN1273" s="185" t="s">
        <v>131</v>
      </c>
      <c r="AO1273" s="185" t="s">
        <v>5150</v>
      </c>
      <c r="AQ1273" s="55" t="s">
        <v>131</v>
      </c>
      <c r="AR1273" s="55" t="s">
        <v>132</v>
      </c>
      <c r="AS1273" s="55" t="s">
        <v>132</v>
      </c>
      <c r="AU1273" s="181" t="s">
        <v>7494</v>
      </c>
      <c r="AV1273" s="185" t="s">
        <v>176</v>
      </c>
      <c r="AX1273" s="185" t="s">
        <v>176</v>
      </c>
      <c r="AZ1273" s="55" t="s">
        <v>156</v>
      </c>
      <c r="BA1273" s="55" t="s">
        <v>156</v>
      </c>
      <c r="BB1273" s="55" t="s">
        <v>2082</v>
      </c>
      <c r="BC1273" s="55" t="s">
        <v>2082</v>
      </c>
      <c r="BD1273" s="55" t="s">
        <v>176</v>
      </c>
      <c r="BE1273" s="226" t="s">
        <v>861</v>
      </c>
      <c r="BF1273" s="191" t="s">
        <v>479</v>
      </c>
      <c r="BG1273" s="55" t="s">
        <v>479</v>
      </c>
      <c r="BH1273" s="226" t="s">
        <v>861</v>
      </c>
      <c r="BI1273" s="55" t="s">
        <v>479</v>
      </c>
      <c r="BJ1273" s="55" t="s">
        <v>176</v>
      </c>
      <c r="BK1273" s="55" t="s">
        <v>6269</v>
      </c>
      <c r="BM1273" s="192" t="s">
        <v>119</v>
      </c>
      <c r="BN1273" s="55">
        <v>4</v>
      </c>
      <c r="BO1273" s="55">
        <v>4</v>
      </c>
      <c r="BQ1273" s="55" t="s">
        <v>315</v>
      </c>
      <c r="BS1273" s="55">
        <v>1873</v>
      </c>
      <c r="BT1273" s="55">
        <v>50.21447721179625</v>
      </c>
      <c r="FT1273" s="65">
        <v>10.62</v>
      </c>
      <c r="FU1273" s="65">
        <v>0.45</v>
      </c>
      <c r="FX1273" s="65" t="s">
        <v>863</v>
      </c>
      <c r="GP1273" s="292" t="s">
        <v>7494</v>
      </c>
      <c r="JW1273" s="55" t="s">
        <v>837</v>
      </c>
    </row>
    <row r="1274" spans="1:283" x14ac:dyDescent="0.25">
      <c r="A1274" s="55">
        <v>1273</v>
      </c>
      <c r="B1274" s="12" t="s">
        <v>7067</v>
      </c>
      <c r="C1274" s="155">
        <v>59</v>
      </c>
      <c r="D1274" s="55" t="s">
        <v>3939</v>
      </c>
      <c r="E1274" s="90" t="s">
        <v>834</v>
      </c>
      <c r="G1274" s="55" t="s">
        <v>835</v>
      </c>
      <c r="H1274" s="55">
        <v>1997</v>
      </c>
      <c r="I1274" s="55">
        <v>1993</v>
      </c>
      <c r="J1274" s="55" t="s">
        <v>836</v>
      </c>
      <c r="K1274" s="55" t="s">
        <v>859</v>
      </c>
      <c r="L1274" s="55" t="s">
        <v>2737</v>
      </c>
      <c r="M1274" s="90">
        <v>38.92</v>
      </c>
      <c r="N1274" s="90">
        <v>-76.150000000000006</v>
      </c>
      <c r="O1274" s="90">
        <v>5</v>
      </c>
      <c r="R1274" s="55">
        <v>972</v>
      </c>
      <c r="U1274" s="55">
        <v>7</v>
      </c>
      <c r="V1274" s="55" t="s">
        <v>1818</v>
      </c>
      <c r="Y1274" s="55" t="s">
        <v>1941</v>
      </c>
      <c r="Z1274" s="55" t="s">
        <v>1356</v>
      </c>
      <c r="AA1274" s="90" t="s">
        <v>1680</v>
      </c>
      <c r="AD1274" s="90">
        <v>1.5</v>
      </c>
      <c r="AH1274" s="55" t="s">
        <v>6378</v>
      </c>
      <c r="AM1274" s="55" t="s">
        <v>1314</v>
      </c>
      <c r="AN1274" s="185" t="s">
        <v>131</v>
      </c>
      <c r="AO1274" s="185" t="s">
        <v>5150</v>
      </c>
      <c r="AQ1274" s="55" t="s">
        <v>131</v>
      </c>
      <c r="AR1274" s="55" t="s">
        <v>132</v>
      </c>
      <c r="AS1274" s="55" t="s">
        <v>132</v>
      </c>
      <c r="AU1274" s="181" t="s">
        <v>7494</v>
      </c>
      <c r="AV1274" s="185" t="s">
        <v>176</v>
      </c>
      <c r="AX1274" s="185" t="s">
        <v>176</v>
      </c>
      <c r="AZ1274" s="55" t="s">
        <v>156</v>
      </c>
      <c r="BA1274" s="55" t="s">
        <v>156</v>
      </c>
      <c r="BB1274" s="55" t="s">
        <v>2082</v>
      </c>
      <c r="BC1274" s="55" t="s">
        <v>2082</v>
      </c>
      <c r="BD1274" s="55" t="s">
        <v>176</v>
      </c>
      <c r="BE1274" s="226" t="s">
        <v>861</v>
      </c>
      <c r="BF1274" s="191" t="s">
        <v>479</v>
      </c>
      <c r="BG1274" s="55" t="s">
        <v>479</v>
      </c>
      <c r="BH1274" s="226" t="s">
        <v>861</v>
      </c>
      <c r="BI1274" s="55" t="s">
        <v>479</v>
      </c>
      <c r="BJ1274" s="55" t="s">
        <v>176</v>
      </c>
      <c r="BK1274" s="55" t="s">
        <v>6269</v>
      </c>
      <c r="BM1274" s="192" t="s">
        <v>119</v>
      </c>
      <c r="BN1274" s="55">
        <v>4</v>
      </c>
      <c r="BO1274" s="55">
        <v>4</v>
      </c>
      <c r="BQ1274" s="55" t="s">
        <v>315</v>
      </c>
      <c r="BS1274" s="55">
        <v>1873</v>
      </c>
      <c r="BT1274" s="55">
        <v>50.21447721179625</v>
      </c>
      <c r="FT1274" s="65">
        <v>7.33</v>
      </c>
      <c r="FU1274" s="65">
        <v>0.26</v>
      </c>
      <c r="FX1274" s="65" t="s">
        <v>863</v>
      </c>
      <c r="GP1274" s="292" t="s">
        <v>7494</v>
      </c>
      <c r="JW1274" s="55" t="s">
        <v>837</v>
      </c>
    </row>
    <row r="1275" spans="1:283" x14ac:dyDescent="0.25">
      <c r="A1275" s="55">
        <v>1274</v>
      </c>
      <c r="B1275" s="12" t="s">
        <v>7067</v>
      </c>
      <c r="C1275" s="155">
        <v>59</v>
      </c>
      <c r="D1275" s="55" t="s">
        <v>3939</v>
      </c>
      <c r="E1275" s="90" t="s">
        <v>834</v>
      </c>
      <c r="G1275" s="55" t="s">
        <v>835</v>
      </c>
      <c r="H1275" s="55">
        <v>1997</v>
      </c>
      <c r="I1275" s="55">
        <v>1993</v>
      </c>
      <c r="J1275" s="55" t="s">
        <v>836</v>
      </c>
      <c r="K1275" s="55" t="s">
        <v>859</v>
      </c>
      <c r="L1275" s="55" t="s">
        <v>2737</v>
      </c>
      <c r="M1275" s="90">
        <v>38.92</v>
      </c>
      <c r="N1275" s="90">
        <v>-76.150000000000006</v>
      </c>
      <c r="O1275" s="90">
        <v>5</v>
      </c>
      <c r="R1275" s="55">
        <v>972</v>
      </c>
      <c r="U1275" s="55">
        <v>7</v>
      </c>
      <c r="V1275" s="55" t="s">
        <v>1818</v>
      </c>
      <c r="Y1275" s="55" t="s">
        <v>1941</v>
      </c>
      <c r="Z1275" s="55" t="s">
        <v>1356</v>
      </c>
      <c r="AA1275" s="90" t="s">
        <v>1680</v>
      </c>
      <c r="AD1275" s="90">
        <v>1.5</v>
      </c>
      <c r="AH1275" s="55" t="s">
        <v>6378</v>
      </c>
      <c r="AM1275" s="55" t="s">
        <v>1314</v>
      </c>
      <c r="AN1275" s="185" t="s">
        <v>131</v>
      </c>
      <c r="AO1275" s="185" t="s">
        <v>5150</v>
      </c>
      <c r="AQ1275" s="55" t="s">
        <v>131</v>
      </c>
      <c r="AR1275" s="55" t="s">
        <v>132</v>
      </c>
      <c r="AS1275" s="55" t="s">
        <v>132</v>
      </c>
      <c r="AU1275" s="181" t="s">
        <v>7494</v>
      </c>
      <c r="AV1275" s="185" t="s">
        <v>176</v>
      </c>
      <c r="AX1275" s="185" t="s">
        <v>176</v>
      </c>
      <c r="AZ1275" s="55" t="s">
        <v>156</v>
      </c>
      <c r="BA1275" s="55" t="s">
        <v>156</v>
      </c>
      <c r="BB1275" s="55" t="s">
        <v>2082</v>
      </c>
      <c r="BC1275" s="55" t="s">
        <v>2082</v>
      </c>
      <c r="BD1275" s="55" t="s">
        <v>176</v>
      </c>
      <c r="BE1275" s="226" t="s">
        <v>861</v>
      </c>
      <c r="BF1275" s="191" t="s">
        <v>479</v>
      </c>
      <c r="BG1275" s="55" t="s">
        <v>479</v>
      </c>
      <c r="BH1275" s="226" t="s">
        <v>861</v>
      </c>
      <c r="BI1275" s="55" t="s">
        <v>479</v>
      </c>
      <c r="BJ1275" s="55" t="s">
        <v>176</v>
      </c>
      <c r="BK1275" s="55" t="s">
        <v>6269</v>
      </c>
      <c r="BM1275" s="192" t="s">
        <v>119</v>
      </c>
      <c r="BN1275" s="55">
        <v>4</v>
      </c>
      <c r="BO1275" s="55">
        <v>4</v>
      </c>
      <c r="BQ1275" s="55" t="s">
        <v>315</v>
      </c>
      <c r="BS1275" s="55">
        <v>1873</v>
      </c>
      <c r="BT1275" s="55">
        <v>50.21447721179625</v>
      </c>
      <c r="FT1275" s="65">
        <v>8.69</v>
      </c>
      <c r="FU1275" s="65">
        <v>0.46</v>
      </c>
      <c r="FX1275" s="65" t="s">
        <v>863</v>
      </c>
      <c r="GP1275" s="292" t="s">
        <v>7494</v>
      </c>
      <c r="JW1275" s="55" t="s">
        <v>837</v>
      </c>
    </row>
    <row r="1276" spans="1:283" x14ac:dyDescent="0.25">
      <c r="A1276" s="55">
        <v>1275</v>
      </c>
      <c r="B1276" s="12" t="s">
        <v>7067</v>
      </c>
      <c r="C1276" s="155">
        <v>59</v>
      </c>
      <c r="D1276" s="55" t="s">
        <v>3939</v>
      </c>
      <c r="E1276" s="90" t="s">
        <v>834</v>
      </c>
      <c r="G1276" s="55" t="s">
        <v>835</v>
      </c>
      <c r="H1276" s="55">
        <v>1997</v>
      </c>
      <c r="I1276" s="55">
        <v>1993</v>
      </c>
      <c r="J1276" s="55" t="s">
        <v>836</v>
      </c>
      <c r="K1276" s="55" t="s">
        <v>859</v>
      </c>
      <c r="L1276" s="55" t="s">
        <v>2737</v>
      </c>
      <c r="M1276" s="90">
        <v>38.92</v>
      </c>
      <c r="N1276" s="90">
        <v>-76.150000000000006</v>
      </c>
      <c r="O1276" s="90">
        <v>5</v>
      </c>
      <c r="R1276" s="55">
        <v>972</v>
      </c>
      <c r="U1276" s="55">
        <v>7</v>
      </c>
      <c r="V1276" s="55" t="s">
        <v>1818</v>
      </c>
      <c r="Y1276" s="55" t="s">
        <v>1941</v>
      </c>
      <c r="Z1276" s="55" t="s">
        <v>1356</v>
      </c>
      <c r="AA1276" s="90" t="s">
        <v>1680</v>
      </c>
      <c r="AD1276" s="90">
        <v>1.5</v>
      </c>
      <c r="AH1276" s="55" t="s">
        <v>6378</v>
      </c>
      <c r="AM1276" s="55" t="s">
        <v>1314</v>
      </c>
      <c r="AN1276" s="185" t="s">
        <v>131</v>
      </c>
      <c r="AO1276" s="185" t="s">
        <v>5150</v>
      </c>
      <c r="AQ1276" s="55" t="s">
        <v>131</v>
      </c>
      <c r="AR1276" s="55" t="s">
        <v>132</v>
      </c>
      <c r="AS1276" s="55" t="s">
        <v>132</v>
      </c>
      <c r="AU1276" s="181" t="s">
        <v>7494</v>
      </c>
      <c r="AV1276" s="185" t="s">
        <v>176</v>
      </c>
      <c r="AX1276" s="185" t="s">
        <v>176</v>
      </c>
      <c r="AZ1276" s="55" t="s">
        <v>156</v>
      </c>
      <c r="BA1276" s="55" t="s">
        <v>156</v>
      </c>
      <c r="BB1276" s="55" t="s">
        <v>2082</v>
      </c>
      <c r="BC1276" s="55" t="s">
        <v>2082</v>
      </c>
      <c r="BD1276" s="55" t="s">
        <v>176</v>
      </c>
      <c r="BE1276" s="226" t="s">
        <v>861</v>
      </c>
      <c r="BF1276" s="191" t="s">
        <v>479</v>
      </c>
      <c r="BG1276" s="55" t="s">
        <v>479</v>
      </c>
      <c r="BH1276" s="226" t="s">
        <v>861</v>
      </c>
      <c r="BI1276" s="55" t="s">
        <v>479</v>
      </c>
      <c r="BJ1276" s="55" t="s">
        <v>176</v>
      </c>
      <c r="BK1276" s="55" t="s">
        <v>6269</v>
      </c>
      <c r="BM1276" s="192" t="s">
        <v>119</v>
      </c>
      <c r="BN1276" s="55">
        <v>4</v>
      </c>
      <c r="BO1276" s="55">
        <v>4</v>
      </c>
      <c r="BQ1276" s="55" t="s">
        <v>315</v>
      </c>
      <c r="BS1276" s="55">
        <v>1873</v>
      </c>
      <c r="BT1276" s="55">
        <v>50.21447721179625</v>
      </c>
      <c r="FT1276" s="65">
        <v>12.95</v>
      </c>
      <c r="FU1276" s="65">
        <v>2.98</v>
      </c>
      <c r="FX1276" s="65" t="s">
        <v>863</v>
      </c>
      <c r="GP1276" s="292" t="s">
        <v>7494</v>
      </c>
      <c r="JW1276" s="55" t="s">
        <v>837</v>
      </c>
    </row>
    <row r="1277" spans="1:283" x14ac:dyDescent="0.25">
      <c r="A1277" s="55">
        <v>1276</v>
      </c>
      <c r="B1277" s="12" t="s">
        <v>7067</v>
      </c>
      <c r="C1277" s="155">
        <v>59</v>
      </c>
      <c r="D1277" s="55" t="s">
        <v>3939</v>
      </c>
      <c r="E1277" s="90" t="s">
        <v>834</v>
      </c>
      <c r="G1277" s="55" t="s">
        <v>835</v>
      </c>
      <c r="H1277" s="55">
        <v>1997</v>
      </c>
      <c r="I1277" s="55">
        <v>1994</v>
      </c>
      <c r="J1277" s="55" t="s">
        <v>836</v>
      </c>
      <c r="K1277" s="55" t="s">
        <v>859</v>
      </c>
      <c r="L1277" s="55" t="s">
        <v>2737</v>
      </c>
      <c r="M1277" s="90">
        <v>38.92</v>
      </c>
      <c r="N1277" s="90">
        <v>-76.150000000000006</v>
      </c>
      <c r="O1277" s="90">
        <v>5</v>
      </c>
      <c r="R1277" s="55">
        <v>1275</v>
      </c>
      <c r="U1277" s="55">
        <v>8</v>
      </c>
      <c r="V1277" s="55" t="s">
        <v>1818</v>
      </c>
      <c r="Y1277" s="55" t="s">
        <v>1941</v>
      </c>
      <c r="Z1277" s="55" t="s">
        <v>1356</v>
      </c>
      <c r="AA1277" s="90" t="s">
        <v>1680</v>
      </c>
      <c r="AD1277" s="90">
        <v>1.5</v>
      </c>
      <c r="AH1277" s="55" t="s">
        <v>6378</v>
      </c>
      <c r="AM1277" s="55" t="s">
        <v>1314</v>
      </c>
      <c r="AN1277" s="185" t="s">
        <v>131</v>
      </c>
      <c r="AO1277" s="185" t="s">
        <v>5150</v>
      </c>
      <c r="AQ1277" s="55" t="s">
        <v>131</v>
      </c>
      <c r="AR1277" s="55" t="s">
        <v>132</v>
      </c>
      <c r="AS1277" s="55" t="s">
        <v>132</v>
      </c>
      <c r="AU1277" s="181" t="s">
        <v>7494</v>
      </c>
      <c r="AV1277" s="185" t="s">
        <v>176</v>
      </c>
      <c r="AX1277" s="185" t="s">
        <v>176</v>
      </c>
      <c r="AZ1277" s="55" t="s">
        <v>156</v>
      </c>
      <c r="BA1277" s="55" t="s">
        <v>156</v>
      </c>
      <c r="BB1277" s="55" t="s">
        <v>2082</v>
      </c>
      <c r="BC1277" s="55" t="s">
        <v>2082</v>
      </c>
      <c r="BD1277" s="55" t="s">
        <v>176</v>
      </c>
      <c r="BE1277" s="226" t="s">
        <v>861</v>
      </c>
      <c r="BF1277" s="191" t="s">
        <v>479</v>
      </c>
      <c r="BG1277" s="55" t="s">
        <v>479</v>
      </c>
      <c r="BH1277" s="226" t="s">
        <v>861</v>
      </c>
      <c r="BI1277" s="55" t="s">
        <v>479</v>
      </c>
      <c r="BJ1277" s="55" t="s">
        <v>176</v>
      </c>
      <c r="BK1277" s="55" t="s">
        <v>6269</v>
      </c>
      <c r="BM1277" s="192" t="s">
        <v>119</v>
      </c>
      <c r="BN1277" s="55">
        <v>4</v>
      </c>
      <c r="BO1277" s="55">
        <v>4</v>
      </c>
      <c r="BQ1277" s="55" t="s">
        <v>315</v>
      </c>
      <c r="BS1277" s="55">
        <v>3645</v>
      </c>
      <c r="BT1277" s="55">
        <v>61.570945945945944</v>
      </c>
      <c r="FT1277" s="65">
        <v>16.27</v>
      </c>
      <c r="FU1277" s="65">
        <v>6</v>
      </c>
      <c r="FX1277" s="65" t="s">
        <v>863</v>
      </c>
      <c r="GP1277" s="292" t="s">
        <v>7494</v>
      </c>
      <c r="JW1277" s="55" t="s">
        <v>837</v>
      </c>
    </row>
    <row r="1278" spans="1:283" x14ac:dyDescent="0.25">
      <c r="A1278" s="55">
        <v>1277</v>
      </c>
      <c r="B1278" s="12" t="s">
        <v>7067</v>
      </c>
      <c r="C1278" s="155">
        <v>59</v>
      </c>
      <c r="D1278" s="55" t="s">
        <v>3939</v>
      </c>
      <c r="E1278" s="90" t="s">
        <v>834</v>
      </c>
      <c r="G1278" s="55" t="s">
        <v>835</v>
      </c>
      <c r="H1278" s="55">
        <v>1997</v>
      </c>
      <c r="I1278" s="55">
        <v>1994</v>
      </c>
      <c r="J1278" s="55" t="s">
        <v>836</v>
      </c>
      <c r="K1278" s="55" t="s">
        <v>859</v>
      </c>
      <c r="L1278" s="55" t="s">
        <v>2737</v>
      </c>
      <c r="M1278" s="90">
        <v>38.92</v>
      </c>
      <c r="N1278" s="90">
        <v>-76.150000000000006</v>
      </c>
      <c r="O1278" s="90">
        <v>5</v>
      </c>
      <c r="R1278" s="55">
        <v>1275</v>
      </c>
      <c r="U1278" s="55">
        <v>8</v>
      </c>
      <c r="V1278" s="55" t="s">
        <v>1818</v>
      </c>
      <c r="Y1278" s="55" t="s">
        <v>1941</v>
      </c>
      <c r="Z1278" s="55" t="s">
        <v>1356</v>
      </c>
      <c r="AA1278" s="90" t="s">
        <v>1680</v>
      </c>
      <c r="AD1278" s="90">
        <v>1.5</v>
      </c>
      <c r="AH1278" s="55" t="s">
        <v>6378</v>
      </c>
      <c r="AM1278" s="55" t="s">
        <v>1314</v>
      </c>
      <c r="AN1278" s="185" t="s">
        <v>131</v>
      </c>
      <c r="AO1278" s="185" t="s">
        <v>5150</v>
      </c>
      <c r="AQ1278" s="55" t="s">
        <v>131</v>
      </c>
      <c r="AR1278" s="55" t="s">
        <v>132</v>
      </c>
      <c r="AS1278" s="55" t="s">
        <v>132</v>
      </c>
      <c r="AU1278" s="181" t="s">
        <v>7494</v>
      </c>
      <c r="AV1278" s="185" t="s">
        <v>176</v>
      </c>
      <c r="AX1278" s="185" t="s">
        <v>176</v>
      </c>
      <c r="AZ1278" s="55" t="s">
        <v>156</v>
      </c>
      <c r="BA1278" s="55" t="s">
        <v>156</v>
      </c>
      <c r="BB1278" s="55" t="s">
        <v>2082</v>
      </c>
      <c r="BC1278" s="55" t="s">
        <v>2082</v>
      </c>
      <c r="BD1278" s="55" t="s">
        <v>176</v>
      </c>
      <c r="BE1278" s="226" t="s">
        <v>861</v>
      </c>
      <c r="BF1278" s="191" t="s">
        <v>479</v>
      </c>
      <c r="BG1278" s="55" t="s">
        <v>479</v>
      </c>
      <c r="BH1278" s="226" t="s">
        <v>861</v>
      </c>
      <c r="BI1278" s="55" t="s">
        <v>479</v>
      </c>
      <c r="BJ1278" s="55" t="s">
        <v>176</v>
      </c>
      <c r="BK1278" s="55" t="s">
        <v>6269</v>
      </c>
      <c r="BM1278" s="192" t="s">
        <v>119</v>
      </c>
      <c r="BN1278" s="55">
        <v>4</v>
      </c>
      <c r="BO1278" s="55">
        <v>4</v>
      </c>
      <c r="BQ1278" s="55" t="s">
        <v>315</v>
      </c>
      <c r="BS1278" s="55">
        <v>3645</v>
      </c>
      <c r="BT1278" s="55">
        <v>61.570945945945944</v>
      </c>
      <c r="FT1278" s="65">
        <v>15.46</v>
      </c>
      <c r="FU1278" s="65">
        <v>2.19</v>
      </c>
      <c r="FX1278" s="65" t="s">
        <v>863</v>
      </c>
      <c r="GP1278" s="292" t="s">
        <v>7494</v>
      </c>
      <c r="JW1278" s="55" t="s">
        <v>837</v>
      </c>
    </row>
    <row r="1279" spans="1:283" x14ac:dyDescent="0.25">
      <c r="A1279" s="55">
        <v>1278</v>
      </c>
      <c r="B1279" s="12" t="s">
        <v>7067</v>
      </c>
      <c r="C1279" s="155">
        <v>59</v>
      </c>
      <c r="D1279" s="55" t="s">
        <v>3939</v>
      </c>
      <c r="E1279" s="90" t="s">
        <v>834</v>
      </c>
      <c r="G1279" s="55" t="s">
        <v>835</v>
      </c>
      <c r="H1279" s="55">
        <v>1997</v>
      </c>
      <c r="I1279" s="55">
        <v>1994</v>
      </c>
      <c r="J1279" s="55" t="s">
        <v>836</v>
      </c>
      <c r="K1279" s="55" t="s">
        <v>859</v>
      </c>
      <c r="L1279" s="55" t="s">
        <v>2737</v>
      </c>
      <c r="M1279" s="90">
        <v>38.92</v>
      </c>
      <c r="N1279" s="90">
        <v>-76.150000000000006</v>
      </c>
      <c r="O1279" s="90">
        <v>5</v>
      </c>
      <c r="R1279" s="55">
        <v>1275</v>
      </c>
      <c r="U1279" s="55">
        <v>8</v>
      </c>
      <c r="V1279" s="55" t="s">
        <v>1818</v>
      </c>
      <c r="Y1279" s="55" t="s">
        <v>1941</v>
      </c>
      <c r="Z1279" s="55" t="s">
        <v>1356</v>
      </c>
      <c r="AA1279" s="90" t="s">
        <v>1680</v>
      </c>
      <c r="AD1279" s="90">
        <v>1.5</v>
      </c>
      <c r="AH1279" s="55" t="s">
        <v>6378</v>
      </c>
      <c r="AM1279" s="55" t="s">
        <v>1314</v>
      </c>
      <c r="AN1279" s="185" t="s">
        <v>131</v>
      </c>
      <c r="AO1279" s="185" t="s">
        <v>5150</v>
      </c>
      <c r="AQ1279" s="55" t="s">
        <v>131</v>
      </c>
      <c r="AR1279" s="55" t="s">
        <v>132</v>
      </c>
      <c r="AS1279" s="55" t="s">
        <v>132</v>
      </c>
      <c r="AU1279" s="181" t="s">
        <v>7494</v>
      </c>
      <c r="AV1279" s="185" t="s">
        <v>176</v>
      </c>
      <c r="AX1279" s="185" t="s">
        <v>176</v>
      </c>
      <c r="AZ1279" s="55" t="s">
        <v>156</v>
      </c>
      <c r="BA1279" s="55" t="s">
        <v>156</v>
      </c>
      <c r="BB1279" s="55" t="s">
        <v>2082</v>
      </c>
      <c r="BC1279" s="55" t="s">
        <v>2082</v>
      </c>
      <c r="BD1279" s="55" t="s">
        <v>176</v>
      </c>
      <c r="BE1279" s="226" t="s">
        <v>861</v>
      </c>
      <c r="BF1279" s="191" t="s">
        <v>479</v>
      </c>
      <c r="BG1279" s="55" t="s">
        <v>479</v>
      </c>
      <c r="BH1279" s="226" t="s">
        <v>861</v>
      </c>
      <c r="BI1279" s="55" t="s">
        <v>479</v>
      </c>
      <c r="BJ1279" s="55" t="s">
        <v>176</v>
      </c>
      <c r="BK1279" s="55" t="s">
        <v>6269</v>
      </c>
      <c r="BM1279" s="192" t="s">
        <v>119</v>
      </c>
      <c r="BN1279" s="55">
        <v>4</v>
      </c>
      <c r="BO1279" s="55">
        <v>4</v>
      </c>
      <c r="BQ1279" s="55" t="s">
        <v>315</v>
      </c>
      <c r="BS1279" s="55">
        <v>3645</v>
      </c>
      <c r="BT1279" s="55">
        <v>61.570945945945944</v>
      </c>
      <c r="FT1279" s="65">
        <v>23.55</v>
      </c>
      <c r="FU1279" s="65">
        <v>1.56</v>
      </c>
      <c r="FX1279" s="65" t="s">
        <v>863</v>
      </c>
      <c r="GP1279" s="292" t="s">
        <v>7494</v>
      </c>
      <c r="JW1279" s="55" t="s">
        <v>837</v>
      </c>
    </row>
    <row r="1280" spans="1:283" x14ac:dyDescent="0.25">
      <c r="A1280" s="55">
        <v>1279</v>
      </c>
      <c r="B1280" s="12" t="s">
        <v>7067</v>
      </c>
      <c r="C1280" s="155">
        <v>59</v>
      </c>
      <c r="D1280" s="55" t="s">
        <v>3939</v>
      </c>
      <c r="E1280" s="90" t="s">
        <v>834</v>
      </c>
      <c r="G1280" s="55" t="s">
        <v>835</v>
      </c>
      <c r="H1280" s="55">
        <v>1997</v>
      </c>
      <c r="I1280" s="55">
        <v>1994</v>
      </c>
      <c r="J1280" s="55" t="s">
        <v>836</v>
      </c>
      <c r="K1280" s="55" t="s">
        <v>859</v>
      </c>
      <c r="L1280" s="55" t="s">
        <v>2737</v>
      </c>
      <c r="M1280" s="90">
        <v>38.92</v>
      </c>
      <c r="N1280" s="90">
        <v>-76.150000000000006</v>
      </c>
      <c r="O1280" s="90">
        <v>5</v>
      </c>
      <c r="R1280" s="55">
        <v>1275</v>
      </c>
      <c r="U1280" s="55">
        <v>8</v>
      </c>
      <c r="V1280" s="55" t="s">
        <v>1818</v>
      </c>
      <c r="Y1280" s="55" t="s">
        <v>1941</v>
      </c>
      <c r="Z1280" s="55" t="s">
        <v>1356</v>
      </c>
      <c r="AA1280" s="90" t="s">
        <v>1680</v>
      </c>
      <c r="AD1280" s="90">
        <v>1.5</v>
      </c>
      <c r="AH1280" s="55" t="s">
        <v>6378</v>
      </c>
      <c r="AM1280" s="55" t="s">
        <v>1314</v>
      </c>
      <c r="AN1280" s="185" t="s">
        <v>131</v>
      </c>
      <c r="AO1280" s="185" t="s">
        <v>5150</v>
      </c>
      <c r="AQ1280" s="55" t="s">
        <v>131</v>
      </c>
      <c r="AR1280" s="55" t="s">
        <v>132</v>
      </c>
      <c r="AS1280" s="55" t="s">
        <v>132</v>
      </c>
      <c r="AU1280" s="181" t="s">
        <v>7494</v>
      </c>
      <c r="AV1280" s="185" t="s">
        <v>176</v>
      </c>
      <c r="AX1280" s="185" t="s">
        <v>176</v>
      </c>
      <c r="AZ1280" s="55" t="s">
        <v>156</v>
      </c>
      <c r="BA1280" s="55" t="s">
        <v>156</v>
      </c>
      <c r="BB1280" s="55" t="s">
        <v>2082</v>
      </c>
      <c r="BC1280" s="55" t="s">
        <v>2082</v>
      </c>
      <c r="BD1280" s="55" t="s">
        <v>176</v>
      </c>
      <c r="BE1280" s="226" t="s">
        <v>861</v>
      </c>
      <c r="BF1280" s="191" t="s">
        <v>479</v>
      </c>
      <c r="BG1280" s="55" t="s">
        <v>479</v>
      </c>
      <c r="BH1280" s="226" t="s">
        <v>861</v>
      </c>
      <c r="BI1280" s="55" t="s">
        <v>479</v>
      </c>
      <c r="BJ1280" s="55" t="s">
        <v>176</v>
      </c>
      <c r="BK1280" s="55" t="s">
        <v>6269</v>
      </c>
      <c r="BM1280" s="192" t="s">
        <v>119</v>
      </c>
      <c r="BN1280" s="55">
        <v>4</v>
      </c>
      <c r="BO1280" s="55">
        <v>4</v>
      </c>
      <c r="BQ1280" s="55" t="s">
        <v>315</v>
      </c>
      <c r="BS1280" s="55">
        <v>3645</v>
      </c>
      <c r="BT1280" s="55">
        <v>61.570945945945944</v>
      </c>
      <c r="FT1280" s="65">
        <v>7.28</v>
      </c>
      <c r="FU1280" s="65">
        <v>0.3</v>
      </c>
      <c r="FX1280" s="65" t="s">
        <v>863</v>
      </c>
      <c r="GP1280" s="292" t="s">
        <v>7494</v>
      </c>
      <c r="JW1280" s="55" t="s">
        <v>837</v>
      </c>
    </row>
    <row r="1281" spans="1:283" x14ac:dyDescent="0.25">
      <c r="A1281" s="55">
        <v>1280</v>
      </c>
      <c r="B1281" s="12" t="s">
        <v>7067</v>
      </c>
      <c r="C1281" s="155">
        <v>59</v>
      </c>
      <c r="D1281" s="55" t="s">
        <v>3939</v>
      </c>
      <c r="E1281" s="90" t="s">
        <v>834</v>
      </c>
      <c r="G1281" s="55" t="s">
        <v>835</v>
      </c>
      <c r="H1281" s="55">
        <v>1997</v>
      </c>
      <c r="I1281" s="55">
        <v>1994</v>
      </c>
      <c r="J1281" s="55" t="s">
        <v>836</v>
      </c>
      <c r="K1281" s="55" t="s">
        <v>859</v>
      </c>
      <c r="L1281" s="55" t="s">
        <v>2737</v>
      </c>
      <c r="M1281" s="90">
        <v>38.92</v>
      </c>
      <c r="N1281" s="90">
        <v>-76.150000000000006</v>
      </c>
      <c r="O1281" s="90">
        <v>5</v>
      </c>
      <c r="R1281" s="55">
        <v>1275</v>
      </c>
      <c r="U1281" s="55">
        <v>8</v>
      </c>
      <c r="V1281" s="55" t="s">
        <v>1818</v>
      </c>
      <c r="Y1281" s="55" t="s">
        <v>1941</v>
      </c>
      <c r="Z1281" s="55" t="s">
        <v>1356</v>
      </c>
      <c r="AA1281" s="90" t="s">
        <v>1680</v>
      </c>
      <c r="AD1281" s="90">
        <v>1.5</v>
      </c>
      <c r="AH1281" s="55" t="s">
        <v>6378</v>
      </c>
      <c r="AM1281" s="55" t="s">
        <v>1314</v>
      </c>
      <c r="AN1281" s="185" t="s">
        <v>131</v>
      </c>
      <c r="AO1281" s="185" t="s">
        <v>5150</v>
      </c>
      <c r="AQ1281" s="55" t="s">
        <v>131</v>
      </c>
      <c r="AR1281" s="55" t="s">
        <v>132</v>
      </c>
      <c r="AS1281" s="55" t="s">
        <v>132</v>
      </c>
      <c r="AU1281" s="181" t="s">
        <v>7494</v>
      </c>
      <c r="AV1281" s="185" t="s">
        <v>176</v>
      </c>
      <c r="AX1281" s="185" t="s">
        <v>176</v>
      </c>
      <c r="AZ1281" s="55" t="s">
        <v>156</v>
      </c>
      <c r="BA1281" s="55" t="s">
        <v>156</v>
      </c>
      <c r="BB1281" s="55" t="s">
        <v>2082</v>
      </c>
      <c r="BC1281" s="55" t="s">
        <v>2082</v>
      </c>
      <c r="BD1281" s="55" t="s">
        <v>176</v>
      </c>
      <c r="BE1281" s="226" t="s">
        <v>861</v>
      </c>
      <c r="BF1281" s="191" t="s">
        <v>479</v>
      </c>
      <c r="BG1281" s="55" t="s">
        <v>479</v>
      </c>
      <c r="BH1281" s="226" t="s">
        <v>861</v>
      </c>
      <c r="BI1281" s="55" t="s">
        <v>479</v>
      </c>
      <c r="BJ1281" s="55" t="s">
        <v>176</v>
      </c>
      <c r="BK1281" s="55" t="s">
        <v>6269</v>
      </c>
      <c r="BM1281" s="192" t="s">
        <v>119</v>
      </c>
      <c r="BN1281" s="55">
        <v>4</v>
      </c>
      <c r="BO1281" s="55">
        <v>4</v>
      </c>
      <c r="BQ1281" s="55" t="s">
        <v>315</v>
      </c>
      <c r="BS1281" s="55">
        <v>3645</v>
      </c>
      <c r="BT1281" s="55">
        <v>61.570945945945944</v>
      </c>
      <c r="FT1281" s="65">
        <v>7.38</v>
      </c>
      <c r="FU1281" s="65">
        <v>0.21</v>
      </c>
      <c r="FX1281" s="65" t="s">
        <v>863</v>
      </c>
      <c r="GP1281" s="292" t="s">
        <v>7494</v>
      </c>
      <c r="JW1281" s="55" t="s">
        <v>837</v>
      </c>
    </row>
    <row r="1282" spans="1:283" x14ac:dyDescent="0.25">
      <c r="A1282" s="55">
        <v>1281</v>
      </c>
      <c r="B1282" s="12" t="s">
        <v>7067</v>
      </c>
      <c r="C1282" s="155">
        <v>59</v>
      </c>
      <c r="D1282" s="55" t="s">
        <v>3939</v>
      </c>
      <c r="E1282" s="90" t="s">
        <v>834</v>
      </c>
      <c r="G1282" s="55" t="s">
        <v>835</v>
      </c>
      <c r="H1282" s="55">
        <v>1997</v>
      </c>
      <c r="I1282" s="55">
        <v>1994</v>
      </c>
      <c r="J1282" s="55" t="s">
        <v>836</v>
      </c>
      <c r="K1282" s="55" t="s">
        <v>859</v>
      </c>
      <c r="L1282" s="55" t="s">
        <v>2737</v>
      </c>
      <c r="M1282" s="90">
        <v>38.92</v>
      </c>
      <c r="N1282" s="90">
        <v>-76.150000000000006</v>
      </c>
      <c r="O1282" s="90">
        <v>5</v>
      </c>
      <c r="R1282" s="55">
        <v>1275</v>
      </c>
      <c r="U1282" s="55">
        <v>8</v>
      </c>
      <c r="V1282" s="55" t="s">
        <v>1818</v>
      </c>
      <c r="Y1282" s="55" t="s">
        <v>1941</v>
      </c>
      <c r="Z1282" s="55" t="s">
        <v>1356</v>
      </c>
      <c r="AA1282" s="90" t="s">
        <v>1680</v>
      </c>
      <c r="AD1282" s="90">
        <v>1.5</v>
      </c>
      <c r="AH1282" s="55" t="s">
        <v>6378</v>
      </c>
      <c r="AM1282" s="55" t="s">
        <v>1314</v>
      </c>
      <c r="AN1282" s="185" t="s">
        <v>131</v>
      </c>
      <c r="AO1282" s="185" t="s">
        <v>5150</v>
      </c>
      <c r="AQ1282" s="55" t="s">
        <v>131</v>
      </c>
      <c r="AR1282" s="55" t="s">
        <v>132</v>
      </c>
      <c r="AS1282" s="55" t="s">
        <v>132</v>
      </c>
      <c r="AU1282" s="181" t="s">
        <v>7494</v>
      </c>
      <c r="AV1282" s="185" t="s">
        <v>176</v>
      </c>
      <c r="AX1282" s="185" t="s">
        <v>176</v>
      </c>
      <c r="AZ1282" s="55" t="s">
        <v>156</v>
      </c>
      <c r="BA1282" s="55" t="s">
        <v>156</v>
      </c>
      <c r="BB1282" s="55" t="s">
        <v>2082</v>
      </c>
      <c r="BC1282" s="55" t="s">
        <v>2082</v>
      </c>
      <c r="BD1282" s="55" t="s">
        <v>176</v>
      </c>
      <c r="BE1282" s="226" t="s">
        <v>861</v>
      </c>
      <c r="BF1282" s="191" t="s">
        <v>479</v>
      </c>
      <c r="BG1282" s="55" t="s">
        <v>479</v>
      </c>
      <c r="BH1282" s="226" t="s">
        <v>861</v>
      </c>
      <c r="BI1282" s="55" t="s">
        <v>479</v>
      </c>
      <c r="BJ1282" s="55" t="s">
        <v>176</v>
      </c>
      <c r="BK1282" s="55" t="s">
        <v>6269</v>
      </c>
      <c r="BM1282" s="192" t="s">
        <v>119</v>
      </c>
      <c r="BN1282" s="55">
        <v>4</v>
      </c>
      <c r="BO1282" s="55">
        <v>4</v>
      </c>
      <c r="BQ1282" s="55" t="s">
        <v>315</v>
      </c>
      <c r="BS1282" s="55">
        <v>3645</v>
      </c>
      <c r="BT1282" s="55">
        <v>61.570945945945944</v>
      </c>
      <c r="FT1282" s="65">
        <v>12.85</v>
      </c>
      <c r="FU1282" s="65">
        <v>0.16</v>
      </c>
      <c r="FX1282" s="65" t="s">
        <v>863</v>
      </c>
      <c r="GP1282" s="292" t="s">
        <v>7494</v>
      </c>
      <c r="JW1282" s="55" t="s">
        <v>837</v>
      </c>
    </row>
    <row r="1283" spans="1:283" x14ac:dyDescent="0.25">
      <c r="A1283" s="55">
        <v>1282</v>
      </c>
      <c r="B1283" s="12" t="s">
        <v>7067</v>
      </c>
      <c r="C1283" s="155">
        <v>59</v>
      </c>
      <c r="D1283" s="55" t="s">
        <v>3939</v>
      </c>
      <c r="E1283" s="90" t="s">
        <v>834</v>
      </c>
      <c r="G1283" s="55" t="s">
        <v>835</v>
      </c>
      <c r="H1283" s="55">
        <v>1997</v>
      </c>
      <c r="I1283" s="55">
        <v>1994</v>
      </c>
      <c r="J1283" s="55" t="s">
        <v>836</v>
      </c>
      <c r="K1283" s="55" t="s">
        <v>859</v>
      </c>
      <c r="L1283" s="55" t="s">
        <v>2737</v>
      </c>
      <c r="M1283" s="90">
        <v>38.92</v>
      </c>
      <c r="N1283" s="90">
        <v>-76.150000000000006</v>
      </c>
      <c r="O1283" s="90">
        <v>5</v>
      </c>
      <c r="R1283" s="55">
        <v>1275</v>
      </c>
      <c r="U1283" s="55">
        <v>8</v>
      </c>
      <c r="V1283" s="55" t="s">
        <v>1818</v>
      </c>
      <c r="Y1283" s="55" t="s">
        <v>1941</v>
      </c>
      <c r="Z1283" s="55" t="s">
        <v>1356</v>
      </c>
      <c r="AA1283" s="90" t="s">
        <v>1680</v>
      </c>
      <c r="AD1283" s="90">
        <v>1.5</v>
      </c>
      <c r="AH1283" s="55" t="s">
        <v>6378</v>
      </c>
      <c r="AM1283" s="55" t="s">
        <v>1314</v>
      </c>
      <c r="AN1283" s="185" t="s">
        <v>131</v>
      </c>
      <c r="AO1283" s="185" t="s">
        <v>5150</v>
      </c>
      <c r="AQ1283" s="55" t="s">
        <v>131</v>
      </c>
      <c r="AR1283" s="55" t="s">
        <v>132</v>
      </c>
      <c r="AS1283" s="55" t="s">
        <v>132</v>
      </c>
      <c r="AU1283" s="181" t="s">
        <v>7494</v>
      </c>
      <c r="AV1283" s="185" t="s">
        <v>176</v>
      </c>
      <c r="AX1283" s="185" t="s">
        <v>176</v>
      </c>
      <c r="AZ1283" s="55" t="s">
        <v>156</v>
      </c>
      <c r="BA1283" s="55" t="s">
        <v>156</v>
      </c>
      <c r="BB1283" s="55" t="s">
        <v>2082</v>
      </c>
      <c r="BC1283" s="55" t="s">
        <v>2082</v>
      </c>
      <c r="BD1283" s="55" t="s">
        <v>176</v>
      </c>
      <c r="BE1283" s="226" t="s">
        <v>861</v>
      </c>
      <c r="BF1283" s="191" t="s">
        <v>479</v>
      </c>
      <c r="BG1283" s="55" t="s">
        <v>479</v>
      </c>
      <c r="BH1283" s="226" t="s">
        <v>861</v>
      </c>
      <c r="BI1283" s="55" t="s">
        <v>479</v>
      </c>
      <c r="BJ1283" s="55" t="s">
        <v>176</v>
      </c>
      <c r="BK1283" s="55" t="s">
        <v>6269</v>
      </c>
      <c r="BM1283" s="192" t="s">
        <v>119</v>
      </c>
      <c r="BN1283" s="55">
        <v>4</v>
      </c>
      <c r="BO1283" s="55">
        <v>4</v>
      </c>
      <c r="BQ1283" s="55" t="s">
        <v>315</v>
      </c>
      <c r="BS1283" s="55">
        <v>3645</v>
      </c>
      <c r="BT1283" s="55">
        <v>61.570945945945944</v>
      </c>
      <c r="FT1283" s="65">
        <v>5</v>
      </c>
      <c r="FU1283" s="65">
        <v>0.16</v>
      </c>
      <c r="FX1283" s="65" t="s">
        <v>863</v>
      </c>
      <c r="GP1283" s="292" t="s">
        <v>7494</v>
      </c>
      <c r="JW1283" s="55" t="s">
        <v>837</v>
      </c>
    </row>
    <row r="1284" spans="1:283" x14ac:dyDescent="0.25">
      <c r="A1284" s="55">
        <v>1283</v>
      </c>
      <c r="B1284" s="12" t="s">
        <v>7067</v>
      </c>
      <c r="C1284" s="155">
        <v>59</v>
      </c>
      <c r="D1284" s="55" t="s">
        <v>3939</v>
      </c>
      <c r="E1284" s="90" t="s">
        <v>834</v>
      </c>
      <c r="G1284" s="55" t="s">
        <v>835</v>
      </c>
      <c r="H1284" s="55">
        <v>1997</v>
      </c>
      <c r="I1284" s="55">
        <v>1994</v>
      </c>
      <c r="J1284" s="55" t="s">
        <v>836</v>
      </c>
      <c r="K1284" s="55" t="s">
        <v>859</v>
      </c>
      <c r="L1284" s="55" t="s">
        <v>2737</v>
      </c>
      <c r="M1284" s="90">
        <v>38.92</v>
      </c>
      <c r="N1284" s="90">
        <v>-76.150000000000006</v>
      </c>
      <c r="O1284" s="90">
        <v>5</v>
      </c>
      <c r="R1284" s="55">
        <v>1275</v>
      </c>
      <c r="U1284" s="55">
        <v>8</v>
      </c>
      <c r="V1284" s="55" t="s">
        <v>1818</v>
      </c>
      <c r="Y1284" s="55" t="s">
        <v>1941</v>
      </c>
      <c r="Z1284" s="55" t="s">
        <v>1356</v>
      </c>
      <c r="AA1284" s="90" t="s">
        <v>1680</v>
      </c>
      <c r="AD1284" s="90">
        <v>1.5</v>
      </c>
      <c r="AH1284" s="55" t="s">
        <v>6378</v>
      </c>
      <c r="AM1284" s="55" t="s">
        <v>1314</v>
      </c>
      <c r="AN1284" s="185" t="s">
        <v>131</v>
      </c>
      <c r="AO1284" s="185" t="s">
        <v>5150</v>
      </c>
      <c r="AQ1284" s="55" t="s">
        <v>131</v>
      </c>
      <c r="AR1284" s="55" t="s">
        <v>132</v>
      </c>
      <c r="AS1284" s="55" t="s">
        <v>132</v>
      </c>
      <c r="AU1284" s="181" t="s">
        <v>7494</v>
      </c>
      <c r="AV1284" s="185" t="s">
        <v>176</v>
      </c>
      <c r="AX1284" s="185" t="s">
        <v>176</v>
      </c>
      <c r="AZ1284" s="55" t="s">
        <v>156</v>
      </c>
      <c r="BA1284" s="55" t="s">
        <v>156</v>
      </c>
      <c r="BB1284" s="55" t="s">
        <v>2082</v>
      </c>
      <c r="BC1284" s="55" t="s">
        <v>2082</v>
      </c>
      <c r="BD1284" s="55" t="s">
        <v>176</v>
      </c>
      <c r="BE1284" s="226" t="s">
        <v>861</v>
      </c>
      <c r="BF1284" s="191" t="s">
        <v>479</v>
      </c>
      <c r="BG1284" s="55" t="s">
        <v>479</v>
      </c>
      <c r="BH1284" s="226" t="s">
        <v>861</v>
      </c>
      <c r="BI1284" s="55" t="s">
        <v>479</v>
      </c>
      <c r="BJ1284" s="55" t="s">
        <v>176</v>
      </c>
      <c r="BK1284" s="55" t="s">
        <v>6269</v>
      </c>
      <c r="BM1284" s="192" t="s">
        <v>119</v>
      </c>
      <c r="BN1284" s="55">
        <v>4</v>
      </c>
      <c r="BO1284" s="55">
        <v>4</v>
      </c>
      <c r="BQ1284" s="55" t="s">
        <v>315</v>
      </c>
      <c r="BS1284" s="55">
        <v>3645</v>
      </c>
      <c r="BT1284" s="55">
        <v>61.570945945945944</v>
      </c>
      <c r="FT1284" s="65">
        <v>0.55000000000000004</v>
      </c>
      <c r="FU1284" s="65">
        <v>0.36</v>
      </c>
      <c r="FX1284" s="65" t="s">
        <v>863</v>
      </c>
      <c r="GP1284" s="292" t="s">
        <v>7494</v>
      </c>
      <c r="JW1284" s="55" t="s">
        <v>837</v>
      </c>
    </row>
    <row r="1285" spans="1:283" x14ac:dyDescent="0.25">
      <c r="A1285" s="55">
        <v>1284</v>
      </c>
      <c r="B1285" s="12" t="s">
        <v>7067</v>
      </c>
      <c r="C1285" s="155">
        <v>59</v>
      </c>
      <c r="D1285" s="55" t="s">
        <v>3939</v>
      </c>
      <c r="E1285" s="90" t="s">
        <v>834</v>
      </c>
      <c r="G1285" s="55" t="s">
        <v>835</v>
      </c>
      <c r="H1285" s="55">
        <v>1997</v>
      </c>
      <c r="I1285" s="55">
        <v>1995</v>
      </c>
      <c r="J1285" s="55" t="s">
        <v>836</v>
      </c>
      <c r="K1285" s="55" t="s">
        <v>859</v>
      </c>
      <c r="L1285" s="55" t="s">
        <v>2737</v>
      </c>
      <c r="M1285" s="90">
        <v>38.92</v>
      </c>
      <c r="N1285" s="90">
        <v>-76.150000000000006</v>
      </c>
      <c r="O1285" s="90">
        <v>5</v>
      </c>
      <c r="R1285" s="55">
        <v>755</v>
      </c>
      <c r="U1285" s="55">
        <v>9</v>
      </c>
      <c r="V1285" s="55" t="s">
        <v>1818</v>
      </c>
      <c r="Y1285" s="55" t="s">
        <v>1941</v>
      </c>
      <c r="Z1285" s="55" t="s">
        <v>1356</v>
      </c>
      <c r="AA1285" s="90" t="s">
        <v>1680</v>
      </c>
      <c r="AD1285" s="90">
        <v>1.5</v>
      </c>
      <c r="AH1285" s="55" t="s">
        <v>6378</v>
      </c>
      <c r="AM1285" s="55" t="s">
        <v>1314</v>
      </c>
      <c r="AN1285" s="185" t="s">
        <v>131</v>
      </c>
      <c r="AO1285" s="185" t="s">
        <v>5150</v>
      </c>
      <c r="AQ1285" s="55" t="s">
        <v>131</v>
      </c>
      <c r="AR1285" s="55" t="s">
        <v>132</v>
      </c>
      <c r="AS1285" s="55" t="s">
        <v>132</v>
      </c>
      <c r="AU1285" s="181" t="s">
        <v>7494</v>
      </c>
      <c r="AV1285" s="185" t="s">
        <v>176</v>
      </c>
      <c r="AX1285" s="185" t="s">
        <v>176</v>
      </c>
      <c r="AZ1285" s="55" t="s">
        <v>156</v>
      </c>
      <c r="BA1285" s="55" t="s">
        <v>156</v>
      </c>
      <c r="BB1285" s="55" t="s">
        <v>2082</v>
      </c>
      <c r="BC1285" s="55" t="s">
        <v>2082</v>
      </c>
      <c r="BD1285" s="55" t="s">
        <v>176</v>
      </c>
      <c r="BE1285" s="226" t="s">
        <v>861</v>
      </c>
      <c r="BF1285" s="191" t="s">
        <v>479</v>
      </c>
      <c r="BG1285" s="55" t="s">
        <v>479</v>
      </c>
      <c r="BH1285" s="226" t="s">
        <v>861</v>
      </c>
      <c r="BI1285" s="55" t="s">
        <v>479</v>
      </c>
      <c r="BJ1285" s="55" t="s">
        <v>176</v>
      </c>
      <c r="BK1285" s="55" t="s">
        <v>6269</v>
      </c>
      <c r="BM1285" s="192" t="s">
        <v>119</v>
      </c>
      <c r="BN1285" s="55">
        <v>4</v>
      </c>
      <c r="BO1285" s="55">
        <v>4</v>
      </c>
      <c r="BQ1285" s="55" t="s">
        <v>315</v>
      </c>
      <c r="BS1285" s="55">
        <v>3645</v>
      </c>
      <c r="BT1285" s="55">
        <v>61.570945945945944</v>
      </c>
      <c r="FT1285" s="65">
        <v>5.81</v>
      </c>
      <c r="FU1285" s="65">
        <v>3.78</v>
      </c>
      <c r="FX1285" s="65" t="s">
        <v>863</v>
      </c>
      <c r="GP1285" s="292" t="s">
        <v>7494</v>
      </c>
      <c r="JW1285" s="55" t="s">
        <v>837</v>
      </c>
    </row>
    <row r="1286" spans="1:283" x14ac:dyDescent="0.25">
      <c r="A1286" s="55">
        <v>1285</v>
      </c>
      <c r="B1286" s="12" t="s">
        <v>7067</v>
      </c>
      <c r="C1286" s="155">
        <v>59</v>
      </c>
      <c r="D1286" s="55" t="s">
        <v>3939</v>
      </c>
      <c r="E1286" s="90" t="s">
        <v>834</v>
      </c>
      <c r="G1286" s="55" t="s">
        <v>835</v>
      </c>
      <c r="H1286" s="55">
        <v>1997</v>
      </c>
      <c r="I1286" s="55">
        <v>1995</v>
      </c>
      <c r="J1286" s="55" t="s">
        <v>836</v>
      </c>
      <c r="K1286" s="55" t="s">
        <v>859</v>
      </c>
      <c r="L1286" s="55" t="s">
        <v>2737</v>
      </c>
      <c r="M1286" s="90">
        <v>38.92</v>
      </c>
      <c r="N1286" s="90">
        <v>-76.150000000000006</v>
      </c>
      <c r="O1286" s="90">
        <v>5</v>
      </c>
      <c r="R1286" s="55">
        <v>755</v>
      </c>
      <c r="U1286" s="55">
        <v>9</v>
      </c>
      <c r="V1286" s="55" t="s">
        <v>1818</v>
      </c>
      <c r="Y1286" s="55" t="s">
        <v>1941</v>
      </c>
      <c r="Z1286" s="55" t="s">
        <v>1356</v>
      </c>
      <c r="AA1286" s="90" t="s">
        <v>1680</v>
      </c>
      <c r="AD1286" s="90">
        <v>1.5</v>
      </c>
      <c r="AH1286" s="55" t="s">
        <v>6378</v>
      </c>
      <c r="AM1286" s="55" t="s">
        <v>1314</v>
      </c>
      <c r="AN1286" s="185" t="s">
        <v>131</v>
      </c>
      <c r="AO1286" s="185" t="s">
        <v>5150</v>
      </c>
      <c r="AQ1286" s="55" t="s">
        <v>131</v>
      </c>
      <c r="AR1286" s="55" t="s">
        <v>132</v>
      </c>
      <c r="AS1286" s="55" t="s">
        <v>132</v>
      </c>
      <c r="AU1286" s="181" t="s">
        <v>7494</v>
      </c>
      <c r="AV1286" s="185" t="s">
        <v>176</v>
      </c>
      <c r="AX1286" s="185" t="s">
        <v>176</v>
      </c>
      <c r="AZ1286" s="55" t="s">
        <v>156</v>
      </c>
      <c r="BA1286" s="55" t="s">
        <v>156</v>
      </c>
      <c r="BB1286" s="55" t="s">
        <v>2082</v>
      </c>
      <c r="BC1286" s="55" t="s">
        <v>2082</v>
      </c>
      <c r="BD1286" s="55" t="s">
        <v>176</v>
      </c>
      <c r="BE1286" s="226" t="s">
        <v>861</v>
      </c>
      <c r="BF1286" s="191" t="s">
        <v>479</v>
      </c>
      <c r="BG1286" s="55" t="s">
        <v>479</v>
      </c>
      <c r="BH1286" s="226" t="s">
        <v>861</v>
      </c>
      <c r="BI1286" s="55" t="s">
        <v>479</v>
      </c>
      <c r="BJ1286" s="55" t="s">
        <v>176</v>
      </c>
      <c r="BK1286" s="55" t="s">
        <v>6269</v>
      </c>
      <c r="BM1286" s="192" t="s">
        <v>119</v>
      </c>
      <c r="BN1286" s="55">
        <v>4</v>
      </c>
      <c r="BO1286" s="55">
        <v>4</v>
      </c>
      <c r="BQ1286" s="55" t="s">
        <v>315</v>
      </c>
      <c r="BS1286" s="55">
        <v>3645</v>
      </c>
      <c r="BT1286" s="55">
        <v>61.570945945945944</v>
      </c>
      <c r="FT1286" s="65">
        <v>16.760000000000002</v>
      </c>
      <c r="FU1286" s="65">
        <v>0.39</v>
      </c>
      <c r="FX1286" s="65" t="s">
        <v>863</v>
      </c>
      <c r="GP1286" s="292" t="s">
        <v>7494</v>
      </c>
      <c r="JW1286" s="55" t="s">
        <v>837</v>
      </c>
    </row>
    <row r="1287" spans="1:283" x14ac:dyDescent="0.25">
      <c r="A1287" s="55">
        <v>1286</v>
      </c>
      <c r="B1287" s="12" t="s">
        <v>7067</v>
      </c>
      <c r="C1287" s="155">
        <v>59</v>
      </c>
      <c r="D1287" s="55" t="s">
        <v>3939</v>
      </c>
      <c r="E1287" s="90" t="s">
        <v>834</v>
      </c>
      <c r="G1287" s="55" t="s">
        <v>835</v>
      </c>
      <c r="H1287" s="55">
        <v>1997</v>
      </c>
      <c r="I1287" s="55">
        <v>1995</v>
      </c>
      <c r="J1287" s="55" t="s">
        <v>836</v>
      </c>
      <c r="K1287" s="55" t="s">
        <v>859</v>
      </c>
      <c r="L1287" s="55" t="s">
        <v>2737</v>
      </c>
      <c r="M1287" s="90">
        <v>38.92</v>
      </c>
      <c r="N1287" s="90">
        <v>-76.150000000000006</v>
      </c>
      <c r="O1287" s="90">
        <v>5</v>
      </c>
      <c r="R1287" s="55">
        <v>755</v>
      </c>
      <c r="U1287" s="55">
        <v>9</v>
      </c>
      <c r="V1287" s="55" t="s">
        <v>1818</v>
      </c>
      <c r="Y1287" s="55" t="s">
        <v>1941</v>
      </c>
      <c r="Z1287" s="55" t="s">
        <v>1356</v>
      </c>
      <c r="AA1287" s="90" t="s">
        <v>1680</v>
      </c>
      <c r="AD1287" s="90">
        <v>1.5</v>
      </c>
      <c r="AH1287" s="55" t="s">
        <v>6378</v>
      </c>
      <c r="AM1287" s="55" t="s">
        <v>1314</v>
      </c>
      <c r="AN1287" s="185" t="s">
        <v>131</v>
      </c>
      <c r="AO1287" s="185" t="s">
        <v>5150</v>
      </c>
      <c r="AQ1287" s="55" t="s">
        <v>131</v>
      </c>
      <c r="AR1287" s="55" t="s">
        <v>132</v>
      </c>
      <c r="AS1287" s="55" t="s">
        <v>132</v>
      </c>
      <c r="AU1287" s="181" t="s">
        <v>7494</v>
      </c>
      <c r="AV1287" s="185" t="s">
        <v>176</v>
      </c>
      <c r="AX1287" s="185" t="s">
        <v>176</v>
      </c>
      <c r="AZ1287" s="55" t="s">
        <v>156</v>
      </c>
      <c r="BA1287" s="55" t="s">
        <v>156</v>
      </c>
      <c r="BB1287" s="55" t="s">
        <v>2082</v>
      </c>
      <c r="BC1287" s="55" t="s">
        <v>2082</v>
      </c>
      <c r="BD1287" s="55" t="s">
        <v>176</v>
      </c>
      <c r="BE1287" s="226" t="s">
        <v>861</v>
      </c>
      <c r="BF1287" s="191" t="s">
        <v>479</v>
      </c>
      <c r="BG1287" s="55" t="s">
        <v>479</v>
      </c>
      <c r="BH1287" s="226" t="s">
        <v>861</v>
      </c>
      <c r="BI1287" s="55" t="s">
        <v>479</v>
      </c>
      <c r="BJ1287" s="55" t="s">
        <v>176</v>
      </c>
      <c r="BK1287" s="55" t="s">
        <v>6269</v>
      </c>
      <c r="BM1287" s="192" t="s">
        <v>119</v>
      </c>
      <c r="BN1287" s="55">
        <v>4</v>
      </c>
      <c r="BO1287" s="55">
        <v>4</v>
      </c>
      <c r="BQ1287" s="55" t="s">
        <v>315</v>
      </c>
      <c r="BS1287" s="55">
        <v>3645</v>
      </c>
      <c r="BT1287" s="55">
        <v>61.570945945945944</v>
      </c>
      <c r="FT1287" s="65">
        <v>15.75</v>
      </c>
      <c r="FU1287" s="65">
        <v>0.44</v>
      </c>
      <c r="FX1287" s="65" t="s">
        <v>863</v>
      </c>
      <c r="GP1287" s="292" t="s">
        <v>7494</v>
      </c>
      <c r="JW1287" s="55" t="s">
        <v>837</v>
      </c>
    </row>
    <row r="1288" spans="1:283" x14ac:dyDescent="0.25">
      <c r="A1288" s="55">
        <v>1287</v>
      </c>
      <c r="B1288" s="12" t="s">
        <v>7067</v>
      </c>
      <c r="C1288" s="155">
        <v>59</v>
      </c>
      <c r="D1288" s="55" t="s">
        <v>3939</v>
      </c>
      <c r="E1288" s="90" t="s">
        <v>834</v>
      </c>
      <c r="G1288" s="55" t="s">
        <v>835</v>
      </c>
      <c r="H1288" s="55">
        <v>1997</v>
      </c>
      <c r="I1288" s="55">
        <v>1995</v>
      </c>
      <c r="J1288" s="55" t="s">
        <v>836</v>
      </c>
      <c r="K1288" s="55" t="s">
        <v>859</v>
      </c>
      <c r="L1288" s="55" t="s">
        <v>2737</v>
      </c>
      <c r="M1288" s="90">
        <v>38.92</v>
      </c>
      <c r="N1288" s="90">
        <v>-76.150000000000006</v>
      </c>
      <c r="O1288" s="90">
        <v>5</v>
      </c>
      <c r="R1288" s="55">
        <v>755</v>
      </c>
      <c r="U1288" s="55">
        <v>9</v>
      </c>
      <c r="V1288" s="55" t="s">
        <v>1818</v>
      </c>
      <c r="Y1288" s="55" t="s">
        <v>1941</v>
      </c>
      <c r="Z1288" s="55" t="s">
        <v>1356</v>
      </c>
      <c r="AA1288" s="90" t="s">
        <v>1680</v>
      </c>
      <c r="AD1288" s="90">
        <v>1.5</v>
      </c>
      <c r="AH1288" s="55" t="s">
        <v>6378</v>
      </c>
      <c r="AM1288" s="55" t="s">
        <v>1314</v>
      </c>
      <c r="AN1288" s="185" t="s">
        <v>131</v>
      </c>
      <c r="AO1288" s="185" t="s">
        <v>5150</v>
      </c>
      <c r="AQ1288" s="55" t="s">
        <v>131</v>
      </c>
      <c r="AR1288" s="55" t="s">
        <v>132</v>
      </c>
      <c r="AS1288" s="55" t="s">
        <v>132</v>
      </c>
      <c r="AU1288" s="181" t="s">
        <v>7494</v>
      </c>
      <c r="AV1288" s="185" t="s">
        <v>176</v>
      </c>
      <c r="AX1288" s="185" t="s">
        <v>176</v>
      </c>
      <c r="AZ1288" s="55" t="s">
        <v>156</v>
      </c>
      <c r="BA1288" s="55" t="s">
        <v>156</v>
      </c>
      <c r="BB1288" s="55" t="s">
        <v>2082</v>
      </c>
      <c r="BC1288" s="55" t="s">
        <v>2082</v>
      </c>
      <c r="BD1288" s="55" t="s">
        <v>176</v>
      </c>
      <c r="BE1288" s="226" t="s">
        <v>861</v>
      </c>
      <c r="BF1288" s="191" t="s">
        <v>479</v>
      </c>
      <c r="BG1288" s="55" t="s">
        <v>479</v>
      </c>
      <c r="BH1288" s="226" t="s">
        <v>861</v>
      </c>
      <c r="BI1288" s="55" t="s">
        <v>479</v>
      </c>
      <c r="BJ1288" s="55" t="s">
        <v>176</v>
      </c>
      <c r="BK1288" s="55" t="s">
        <v>6269</v>
      </c>
      <c r="BM1288" s="192" t="s">
        <v>119</v>
      </c>
      <c r="BN1288" s="55">
        <v>4</v>
      </c>
      <c r="BO1288" s="55">
        <v>4</v>
      </c>
      <c r="BQ1288" s="55" t="s">
        <v>315</v>
      </c>
      <c r="BS1288" s="55">
        <v>3645</v>
      </c>
      <c r="BT1288" s="55">
        <v>61.570945945945944</v>
      </c>
      <c r="FT1288" s="65">
        <v>20.45</v>
      </c>
      <c r="FU1288" s="65">
        <v>0.31</v>
      </c>
      <c r="FX1288" s="65" t="s">
        <v>863</v>
      </c>
      <c r="GP1288" s="292" t="s">
        <v>7494</v>
      </c>
      <c r="JW1288" s="55" t="s">
        <v>837</v>
      </c>
    </row>
    <row r="1289" spans="1:283" x14ac:dyDescent="0.25">
      <c r="A1289" s="55">
        <v>1288</v>
      </c>
      <c r="B1289" s="12" t="s">
        <v>7067</v>
      </c>
      <c r="C1289" s="155">
        <v>59</v>
      </c>
      <c r="D1289" s="55" t="s">
        <v>3939</v>
      </c>
      <c r="E1289" s="90" t="s">
        <v>834</v>
      </c>
      <c r="G1289" s="55" t="s">
        <v>835</v>
      </c>
      <c r="H1289" s="55">
        <v>1997</v>
      </c>
      <c r="I1289" s="55">
        <v>1995</v>
      </c>
      <c r="J1289" s="55" t="s">
        <v>836</v>
      </c>
      <c r="K1289" s="55" t="s">
        <v>859</v>
      </c>
      <c r="L1289" s="55" t="s">
        <v>2737</v>
      </c>
      <c r="M1289" s="90">
        <v>38.92</v>
      </c>
      <c r="N1289" s="90">
        <v>-76.150000000000006</v>
      </c>
      <c r="O1289" s="90">
        <v>5</v>
      </c>
      <c r="R1289" s="55">
        <v>755</v>
      </c>
      <c r="U1289" s="55">
        <v>9</v>
      </c>
      <c r="V1289" s="55" t="s">
        <v>1818</v>
      </c>
      <c r="Y1289" s="55" t="s">
        <v>1941</v>
      </c>
      <c r="Z1289" s="55" t="s">
        <v>1356</v>
      </c>
      <c r="AA1289" s="90" t="s">
        <v>1680</v>
      </c>
      <c r="AD1289" s="90">
        <v>1.5</v>
      </c>
      <c r="AH1289" s="55" t="s">
        <v>6378</v>
      </c>
      <c r="AM1289" s="55" t="s">
        <v>1314</v>
      </c>
      <c r="AN1289" s="185" t="s">
        <v>131</v>
      </c>
      <c r="AO1289" s="185" t="s">
        <v>5150</v>
      </c>
      <c r="AQ1289" s="55" t="s">
        <v>131</v>
      </c>
      <c r="AR1289" s="55" t="s">
        <v>132</v>
      </c>
      <c r="AS1289" s="55" t="s">
        <v>132</v>
      </c>
      <c r="AU1289" s="181" t="s">
        <v>7494</v>
      </c>
      <c r="AV1289" s="185" t="s">
        <v>176</v>
      </c>
      <c r="AX1289" s="185" t="s">
        <v>176</v>
      </c>
      <c r="AZ1289" s="55" t="s">
        <v>156</v>
      </c>
      <c r="BA1289" s="55" t="s">
        <v>156</v>
      </c>
      <c r="BB1289" s="55" t="s">
        <v>2082</v>
      </c>
      <c r="BC1289" s="55" t="s">
        <v>2082</v>
      </c>
      <c r="BD1289" s="55" t="s">
        <v>176</v>
      </c>
      <c r="BE1289" s="226" t="s">
        <v>861</v>
      </c>
      <c r="BF1289" s="191" t="s">
        <v>479</v>
      </c>
      <c r="BG1289" s="55" t="s">
        <v>479</v>
      </c>
      <c r="BH1289" s="226" t="s">
        <v>861</v>
      </c>
      <c r="BI1289" s="55" t="s">
        <v>479</v>
      </c>
      <c r="BJ1289" s="55" t="s">
        <v>176</v>
      </c>
      <c r="BK1289" s="55" t="s">
        <v>6269</v>
      </c>
      <c r="BM1289" s="192" t="s">
        <v>119</v>
      </c>
      <c r="BN1289" s="55">
        <v>4</v>
      </c>
      <c r="BO1289" s="55">
        <v>4</v>
      </c>
      <c r="BQ1289" s="55" t="s">
        <v>315</v>
      </c>
      <c r="BS1289" s="55">
        <v>3645</v>
      </c>
      <c r="BT1289" s="55">
        <v>61.570945945945944</v>
      </c>
      <c r="FT1289" s="65">
        <v>14.45</v>
      </c>
      <c r="FU1289" s="65">
        <v>0.21</v>
      </c>
      <c r="FX1289" s="65" t="s">
        <v>863</v>
      </c>
      <c r="GP1289" s="292" t="s">
        <v>7494</v>
      </c>
      <c r="JW1289" s="55" t="s">
        <v>837</v>
      </c>
    </row>
    <row r="1290" spans="1:283" x14ac:dyDescent="0.25">
      <c r="A1290" s="55">
        <v>1289</v>
      </c>
      <c r="B1290" s="12" t="s">
        <v>7067</v>
      </c>
      <c r="C1290" s="155">
        <v>59</v>
      </c>
      <c r="D1290" s="55" t="s">
        <v>3939</v>
      </c>
      <c r="E1290" s="90" t="s">
        <v>834</v>
      </c>
      <c r="G1290" s="55" t="s">
        <v>835</v>
      </c>
      <c r="H1290" s="55">
        <v>1997</v>
      </c>
      <c r="I1290" s="55">
        <v>1995</v>
      </c>
      <c r="J1290" s="55" t="s">
        <v>836</v>
      </c>
      <c r="K1290" s="55" t="s">
        <v>859</v>
      </c>
      <c r="L1290" s="55" t="s">
        <v>2737</v>
      </c>
      <c r="M1290" s="90">
        <v>38.92</v>
      </c>
      <c r="N1290" s="90">
        <v>-76.150000000000006</v>
      </c>
      <c r="O1290" s="90">
        <v>5</v>
      </c>
      <c r="R1290" s="55">
        <v>755</v>
      </c>
      <c r="U1290" s="55">
        <v>9</v>
      </c>
      <c r="V1290" s="55" t="s">
        <v>1818</v>
      </c>
      <c r="Y1290" s="55" t="s">
        <v>1941</v>
      </c>
      <c r="Z1290" s="55" t="s">
        <v>1356</v>
      </c>
      <c r="AA1290" s="90" t="s">
        <v>1680</v>
      </c>
      <c r="AD1290" s="90">
        <v>1.5</v>
      </c>
      <c r="AH1290" s="55" t="s">
        <v>6378</v>
      </c>
      <c r="AM1290" s="55" t="s">
        <v>1314</v>
      </c>
      <c r="AN1290" s="185" t="s">
        <v>131</v>
      </c>
      <c r="AO1290" s="185" t="s">
        <v>5150</v>
      </c>
      <c r="AQ1290" s="55" t="s">
        <v>131</v>
      </c>
      <c r="AR1290" s="55" t="s">
        <v>132</v>
      </c>
      <c r="AS1290" s="55" t="s">
        <v>132</v>
      </c>
      <c r="AU1290" s="181" t="s">
        <v>7494</v>
      </c>
      <c r="AV1290" s="185" t="s">
        <v>176</v>
      </c>
      <c r="AX1290" s="185" t="s">
        <v>176</v>
      </c>
      <c r="AZ1290" s="55" t="s">
        <v>156</v>
      </c>
      <c r="BA1290" s="55" t="s">
        <v>156</v>
      </c>
      <c r="BB1290" s="55" t="s">
        <v>2082</v>
      </c>
      <c r="BC1290" s="55" t="s">
        <v>2082</v>
      </c>
      <c r="BD1290" s="55" t="s">
        <v>176</v>
      </c>
      <c r="BE1290" s="226" t="s">
        <v>861</v>
      </c>
      <c r="BF1290" s="191" t="s">
        <v>479</v>
      </c>
      <c r="BG1290" s="55" t="s">
        <v>479</v>
      </c>
      <c r="BH1290" s="226" t="s">
        <v>861</v>
      </c>
      <c r="BI1290" s="55" t="s">
        <v>479</v>
      </c>
      <c r="BJ1290" s="55" t="s">
        <v>176</v>
      </c>
      <c r="BK1290" s="55" t="s">
        <v>6269</v>
      </c>
      <c r="BM1290" s="192" t="s">
        <v>119</v>
      </c>
      <c r="BN1290" s="55">
        <v>4</v>
      </c>
      <c r="BO1290" s="55">
        <v>4</v>
      </c>
      <c r="BQ1290" s="55" t="s">
        <v>315</v>
      </c>
      <c r="BS1290" s="55">
        <v>3645</v>
      </c>
      <c r="BT1290" s="55">
        <v>61.570945945945944</v>
      </c>
      <c r="FT1290" s="65">
        <v>9.17</v>
      </c>
      <c r="FU1290" s="65">
        <v>0.1</v>
      </c>
      <c r="FX1290" s="65" t="s">
        <v>863</v>
      </c>
      <c r="GP1290" s="292" t="s">
        <v>7494</v>
      </c>
      <c r="JW1290" s="55" t="s">
        <v>837</v>
      </c>
    </row>
    <row r="1291" spans="1:283" x14ac:dyDescent="0.25">
      <c r="A1291" s="55">
        <v>1290</v>
      </c>
      <c r="B1291" s="12" t="s">
        <v>7067</v>
      </c>
      <c r="C1291" s="155">
        <v>59</v>
      </c>
      <c r="D1291" s="55" t="s">
        <v>3939</v>
      </c>
      <c r="E1291" s="90" t="s">
        <v>834</v>
      </c>
      <c r="G1291" s="55" t="s">
        <v>835</v>
      </c>
      <c r="H1291" s="55">
        <v>1997</v>
      </c>
      <c r="I1291" s="55">
        <v>1995</v>
      </c>
      <c r="J1291" s="55" t="s">
        <v>836</v>
      </c>
      <c r="K1291" s="55" t="s">
        <v>859</v>
      </c>
      <c r="L1291" s="55" t="s">
        <v>2737</v>
      </c>
      <c r="M1291" s="90">
        <v>38.92</v>
      </c>
      <c r="N1291" s="90">
        <v>-76.150000000000006</v>
      </c>
      <c r="O1291" s="90">
        <v>5</v>
      </c>
      <c r="R1291" s="55">
        <v>755</v>
      </c>
      <c r="U1291" s="55">
        <v>9</v>
      </c>
      <c r="V1291" s="55" t="s">
        <v>1818</v>
      </c>
      <c r="Y1291" s="55" t="s">
        <v>1941</v>
      </c>
      <c r="Z1291" s="55" t="s">
        <v>1356</v>
      </c>
      <c r="AA1291" s="90" t="s">
        <v>1680</v>
      </c>
      <c r="AD1291" s="90">
        <v>1.5</v>
      </c>
      <c r="AH1291" s="55" t="s">
        <v>6378</v>
      </c>
      <c r="AM1291" s="55" t="s">
        <v>1314</v>
      </c>
      <c r="AN1291" s="185" t="s">
        <v>131</v>
      </c>
      <c r="AO1291" s="185" t="s">
        <v>5150</v>
      </c>
      <c r="AQ1291" s="55" t="s">
        <v>131</v>
      </c>
      <c r="AR1291" s="55" t="s">
        <v>132</v>
      </c>
      <c r="AS1291" s="55" t="s">
        <v>132</v>
      </c>
      <c r="AU1291" s="181" t="s">
        <v>7494</v>
      </c>
      <c r="AV1291" s="185" t="s">
        <v>176</v>
      </c>
      <c r="AX1291" s="185" t="s">
        <v>176</v>
      </c>
      <c r="AZ1291" s="55" t="s">
        <v>156</v>
      </c>
      <c r="BA1291" s="55" t="s">
        <v>156</v>
      </c>
      <c r="BB1291" s="55" t="s">
        <v>2082</v>
      </c>
      <c r="BC1291" s="55" t="s">
        <v>2082</v>
      </c>
      <c r="BD1291" s="55" t="s">
        <v>176</v>
      </c>
      <c r="BE1291" s="226" t="s">
        <v>861</v>
      </c>
      <c r="BF1291" s="191" t="s">
        <v>479</v>
      </c>
      <c r="BG1291" s="55" t="s">
        <v>479</v>
      </c>
      <c r="BH1291" s="226" t="s">
        <v>861</v>
      </c>
      <c r="BI1291" s="55" t="s">
        <v>479</v>
      </c>
      <c r="BJ1291" s="55" t="s">
        <v>176</v>
      </c>
      <c r="BK1291" s="55" t="s">
        <v>6269</v>
      </c>
      <c r="BM1291" s="192" t="s">
        <v>119</v>
      </c>
      <c r="BN1291" s="55">
        <v>4</v>
      </c>
      <c r="BO1291" s="55">
        <v>4</v>
      </c>
      <c r="BQ1291" s="55" t="s">
        <v>315</v>
      </c>
      <c r="BS1291" s="55">
        <v>3645</v>
      </c>
      <c r="BT1291" s="55">
        <v>61.570945945945944</v>
      </c>
      <c r="FT1291" s="65">
        <v>12.47</v>
      </c>
      <c r="FU1291" s="65">
        <v>0.56000000000000005</v>
      </c>
      <c r="FX1291" s="65" t="s">
        <v>863</v>
      </c>
      <c r="GP1291" s="292" t="s">
        <v>7494</v>
      </c>
      <c r="JW1291" s="55" t="s">
        <v>837</v>
      </c>
    </row>
    <row r="1292" spans="1:283" x14ac:dyDescent="0.25">
      <c r="A1292" s="55">
        <v>1291</v>
      </c>
      <c r="B1292" s="12" t="s">
        <v>7067</v>
      </c>
      <c r="C1292" s="155">
        <v>59</v>
      </c>
      <c r="D1292" s="55" t="s">
        <v>3939</v>
      </c>
      <c r="E1292" s="90" t="s">
        <v>834</v>
      </c>
      <c r="G1292" s="55" t="s">
        <v>835</v>
      </c>
      <c r="H1292" s="55">
        <v>1997</v>
      </c>
      <c r="I1292" s="55">
        <v>1995</v>
      </c>
      <c r="J1292" s="55" t="s">
        <v>836</v>
      </c>
      <c r="K1292" s="55" t="s">
        <v>859</v>
      </c>
      <c r="L1292" s="55" t="s">
        <v>2737</v>
      </c>
      <c r="M1292" s="90">
        <v>38.92</v>
      </c>
      <c r="N1292" s="90">
        <v>-76.150000000000006</v>
      </c>
      <c r="O1292" s="90">
        <v>5</v>
      </c>
      <c r="R1292" s="55">
        <v>755</v>
      </c>
      <c r="U1292" s="55">
        <v>9</v>
      </c>
      <c r="V1292" s="55" t="s">
        <v>1818</v>
      </c>
      <c r="Y1292" s="55" t="s">
        <v>1941</v>
      </c>
      <c r="Z1292" s="55" t="s">
        <v>1356</v>
      </c>
      <c r="AA1292" s="90" t="s">
        <v>1680</v>
      </c>
      <c r="AD1292" s="90">
        <v>1.5</v>
      </c>
      <c r="AH1292" s="55" t="s">
        <v>6378</v>
      </c>
      <c r="AM1292" s="55" t="s">
        <v>1314</v>
      </c>
      <c r="AN1292" s="185" t="s">
        <v>131</v>
      </c>
      <c r="AO1292" s="185" t="s">
        <v>5150</v>
      </c>
      <c r="AQ1292" s="55" t="s">
        <v>131</v>
      </c>
      <c r="AR1292" s="55" t="s">
        <v>132</v>
      </c>
      <c r="AS1292" s="55" t="s">
        <v>132</v>
      </c>
      <c r="AU1292" s="181" t="s">
        <v>7494</v>
      </c>
      <c r="AV1292" s="185" t="s">
        <v>176</v>
      </c>
      <c r="AX1292" s="185" t="s">
        <v>176</v>
      </c>
      <c r="AZ1292" s="55" t="s">
        <v>156</v>
      </c>
      <c r="BA1292" s="55" t="s">
        <v>156</v>
      </c>
      <c r="BB1292" s="55" t="s">
        <v>2082</v>
      </c>
      <c r="BC1292" s="55" t="s">
        <v>2082</v>
      </c>
      <c r="BD1292" s="55" t="s">
        <v>176</v>
      </c>
      <c r="BE1292" s="226" t="s">
        <v>861</v>
      </c>
      <c r="BF1292" s="191" t="s">
        <v>479</v>
      </c>
      <c r="BG1292" s="55" t="s">
        <v>479</v>
      </c>
      <c r="BH1292" s="226" t="s">
        <v>861</v>
      </c>
      <c r="BI1292" s="55" t="s">
        <v>479</v>
      </c>
      <c r="BJ1292" s="55" t="s">
        <v>176</v>
      </c>
      <c r="BK1292" s="55" t="s">
        <v>6269</v>
      </c>
      <c r="BM1292" s="192" t="s">
        <v>119</v>
      </c>
      <c r="BN1292" s="55">
        <v>4</v>
      </c>
      <c r="BO1292" s="55">
        <v>4</v>
      </c>
      <c r="BQ1292" s="55" t="s">
        <v>315</v>
      </c>
      <c r="BS1292" s="55">
        <v>3645</v>
      </c>
      <c r="BT1292" s="55">
        <v>61.570945945945944</v>
      </c>
      <c r="FT1292" s="65">
        <v>12.86</v>
      </c>
      <c r="FU1292" s="65">
        <v>1.23</v>
      </c>
      <c r="FX1292" s="65" t="s">
        <v>863</v>
      </c>
      <c r="GP1292" s="292" t="s">
        <v>7494</v>
      </c>
      <c r="JW1292" s="55" t="s">
        <v>837</v>
      </c>
    </row>
    <row r="1293" spans="1:283" x14ac:dyDescent="0.25">
      <c r="A1293" s="55">
        <v>1292</v>
      </c>
      <c r="B1293" s="12" t="s">
        <v>7067</v>
      </c>
      <c r="C1293" s="155">
        <v>59</v>
      </c>
      <c r="D1293" s="55" t="s">
        <v>3940</v>
      </c>
      <c r="E1293" s="90" t="s">
        <v>834</v>
      </c>
      <c r="G1293" s="55" t="s">
        <v>835</v>
      </c>
      <c r="H1293" s="55">
        <v>1997</v>
      </c>
      <c r="I1293" s="55">
        <v>1988</v>
      </c>
      <c r="J1293" s="55" t="s">
        <v>836</v>
      </c>
      <c r="K1293" s="55" t="s">
        <v>859</v>
      </c>
      <c r="L1293" s="55" t="s">
        <v>2737</v>
      </c>
      <c r="M1293" s="90">
        <v>38.92</v>
      </c>
      <c r="N1293" s="90">
        <v>-76.150000000000006</v>
      </c>
      <c r="O1293" s="90">
        <v>5</v>
      </c>
      <c r="R1293" s="55">
        <v>866</v>
      </c>
      <c r="U1293" s="55">
        <v>2</v>
      </c>
      <c r="V1293" s="55" t="s">
        <v>1818</v>
      </c>
      <c r="Y1293" s="55" t="s">
        <v>1942</v>
      </c>
      <c r="Z1293" s="55" t="s">
        <v>1377</v>
      </c>
      <c r="AA1293" s="90" t="s">
        <v>1684</v>
      </c>
      <c r="AD1293" s="90">
        <v>1.5</v>
      </c>
      <c r="AH1293" s="55" t="s">
        <v>6378</v>
      </c>
      <c r="AM1293" s="55" t="s">
        <v>1314</v>
      </c>
      <c r="AN1293" s="185" t="s">
        <v>131</v>
      </c>
      <c r="AO1293" s="185" t="s">
        <v>5150</v>
      </c>
      <c r="AQ1293" s="55" t="s">
        <v>131</v>
      </c>
      <c r="AR1293" s="55" t="s">
        <v>132</v>
      </c>
      <c r="AS1293" s="55" t="s">
        <v>132</v>
      </c>
      <c r="AU1293" s="181" t="s">
        <v>7494</v>
      </c>
      <c r="AV1293" s="185" t="s">
        <v>176</v>
      </c>
      <c r="AX1293" s="185" t="s">
        <v>176</v>
      </c>
      <c r="AZ1293" s="55" t="s">
        <v>229</v>
      </c>
      <c r="BA1293" s="55" t="s">
        <v>229</v>
      </c>
      <c r="BB1293" s="55" t="s">
        <v>2081</v>
      </c>
      <c r="BC1293" s="55" t="s">
        <v>2081</v>
      </c>
      <c r="BD1293" s="55" t="s">
        <v>176</v>
      </c>
      <c r="BE1293" s="226" t="s">
        <v>861</v>
      </c>
      <c r="BF1293" s="191" t="s">
        <v>479</v>
      </c>
      <c r="BG1293" s="55" t="s">
        <v>479</v>
      </c>
      <c r="BH1293" s="226" t="s">
        <v>861</v>
      </c>
      <c r="BI1293" s="55" t="s">
        <v>479</v>
      </c>
      <c r="BJ1293" s="55" t="s">
        <v>176</v>
      </c>
      <c r="BK1293" s="55" t="s">
        <v>5976</v>
      </c>
      <c r="BM1293" s="192" t="s">
        <v>119</v>
      </c>
      <c r="BN1293" s="55">
        <v>4</v>
      </c>
      <c r="BO1293" s="55">
        <v>4</v>
      </c>
      <c r="BQ1293" s="55" t="s">
        <v>315</v>
      </c>
      <c r="DB1293" s="65">
        <v>6.96</v>
      </c>
      <c r="DC1293" s="65">
        <v>6.96</v>
      </c>
      <c r="DF1293" s="65" t="s">
        <v>1636</v>
      </c>
      <c r="GP1293" s="292" t="s">
        <v>7494</v>
      </c>
      <c r="JW1293" s="55" t="s">
        <v>837</v>
      </c>
    </row>
    <row r="1294" spans="1:283" x14ac:dyDescent="0.25">
      <c r="A1294" s="55">
        <v>1293</v>
      </c>
      <c r="B1294" s="12" t="s">
        <v>7067</v>
      </c>
      <c r="C1294" s="155">
        <v>59</v>
      </c>
      <c r="D1294" s="55" t="s">
        <v>3940</v>
      </c>
      <c r="E1294" s="90" t="s">
        <v>834</v>
      </c>
      <c r="G1294" s="55" t="s">
        <v>835</v>
      </c>
      <c r="H1294" s="55">
        <v>1997</v>
      </c>
      <c r="I1294" s="55">
        <v>1989</v>
      </c>
      <c r="J1294" s="55" t="s">
        <v>836</v>
      </c>
      <c r="K1294" s="55" t="s">
        <v>859</v>
      </c>
      <c r="L1294" s="55" t="s">
        <v>2737</v>
      </c>
      <c r="M1294" s="90">
        <v>38.92</v>
      </c>
      <c r="N1294" s="90">
        <v>-76.150000000000006</v>
      </c>
      <c r="O1294" s="90">
        <v>5</v>
      </c>
      <c r="R1294" s="55">
        <v>1300</v>
      </c>
      <c r="U1294" s="55">
        <v>3</v>
      </c>
      <c r="V1294" s="55" t="s">
        <v>1818</v>
      </c>
      <c r="Y1294" s="55" t="s">
        <v>1943</v>
      </c>
      <c r="Z1294" s="55" t="s">
        <v>1377</v>
      </c>
      <c r="AA1294" s="90" t="s">
        <v>1684</v>
      </c>
      <c r="AD1294" s="90">
        <v>1.5</v>
      </c>
      <c r="AH1294" s="55" t="s">
        <v>6378</v>
      </c>
      <c r="AM1294" s="55" t="s">
        <v>1314</v>
      </c>
      <c r="AN1294" s="185" t="s">
        <v>131</v>
      </c>
      <c r="AO1294" s="185" t="s">
        <v>5150</v>
      </c>
      <c r="AQ1294" s="55" t="s">
        <v>131</v>
      </c>
      <c r="AR1294" s="55" t="s">
        <v>132</v>
      </c>
      <c r="AS1294" s="55" t="s">
        <v>132</v>
      </c>
      <c r="AU1294" s="181" t="s">
        <v>7494</v>
      </c>
      <c r="AV1294" s="185" t="s">
        <v>176</v>
      </c>
      <c r="AX1294" s="185" t="s">
        <v>176</v>
      </c>
      <c r="AZ1294" s="55" t="s">
        <v>229</v>
      </c>
      <c r="BA1294" s="55" t="s">
        <v>229</v>
      </c>
      <c r="BB1294" s="55" t="s">
        <v>2081</v>
      </c>
      <c r="BC1294" s="55" t="s">
        <v>2081</v>
      </c>
      <c r="BD1294" s="55" t="s">
        <v>176</v>
      </c>
      <c r="BE1294" s="226" t="s">
        <v>861</v>
      </c>
      <c r="BF1294" s="191" t="s">
        <v>479</v>
      </c>
      <c r="BG1294" s="55" t="s">
        <v>479</v>
      </c>
      <c r="BH1294" s="226" t="s">
        <v>861</v>
      </c>
      <c r="BI1294" s="55" t="s">
        <v>479</v>
      </c>
      <c r="BJ1294" s="55" t="s">
        <v>176</v>
      </c>
      <c r="BK1294" s="55" t="s">
        <v>5976</v>
      </c>
      <c r="BM1294" s="192" t="s">
        <v>119</v>
      </c>
      <c r="BN1294" s="55">
        <v>4</v>
      </c>
      <c r="BO1294" s="55">
        <v>4</v>
      </c>
      <c r="BQ1294" s="55" t="s">
        <v>315</v>
      </c>
      <c r="DB1294" s="65">
        <v>4.62</v>
      </c>
      <c r="DC1294" s="65">
        <v>0.77</v>
      </c>
      <c r="DF1294" s="65" t="s">
        <v>1636</v>
      </c>
      <c r="GP1294" s="292" t="s">
        <v>7494</v>
      </c>
      <c r="JW1294" s="55" t="s">
        <v>837</v>
      </c>
    </row>
    <row r="1295" spans="1:283" x14ac:dyDescent="0.25">
      <c r="A1295" s="55">
        <v>1294</v>
      </c>
      <c r="B1295" s="12" t="s">
        <v>7067</v>
      </c>
      <c r="C1295" s="155">
        <v>59</v>
      </c>
      <c r="D1295" s="55" t="s">
        <v>3940</v>
      </c>
      <c r="E1295" s="90" t="s">
        <v>834</v>
      </c>
      <c r="G1295" s="55" t="s">
        <v>835</v>
      </c>
      <c r="H1295" s="55">
        <v>1997</v>
      </c>
      <c r="I1295" s="55">
        <v>1989</v>
      </c>
      <c r="J1295" s="55" t="s">
        <v>836</v>
      </c>
      <c r="K1295" s="55" t="s">
        <v>859</v>
      </c>
      <c r="L1295" s="55" t="s">
        <v>2737</v>
      </c>
      <c r="M1295" s="90">
        <v>38.92</v>
      </c>
      <c r="N1295" s="90">
        <v>-76.150000000000006</v>
      </c>
      <c r="O1295" s="90">
        <v>5</v>
      </c>
      <c r="R1295" s="55">
        <v>1300</v>
      </c>
      <c r="U1295" s="55">
        <v>3</v>
      </c>
      <c r="V1295" s="55" t="s">
        <v>1818</v>
      </c>
      <c r="Y1295" s="55" t="s">
        <v>1942</v>
      </c>
      <c r="Z1295" s="55" t="s">
        <v>1377</v>
      </c>
      <c r="AA1295" s="90" t="s">
        <v>1684</v>
      </c>
      <c r="AD1295" s="90">
        <v>1.5</v>
      </c>
      <c r="AH1295" s="55" t="s">
        <v>6378</v>
      </c>
      <c r="AM1295" s="55" t="s">
        <v>1314</v>
      </c>
      <c r="AN1295" s="185" t="s">
        <v>131</v>
      </c>
      <c r="AO1295" s="185" t="s">
        <v>5150</v>
      </c>
      <c r="AQ1295" s="55" t="s">
        <v>131</v>
      </c>
      <c r="AR1295" s="55" t="s">
        <v>132</v>
      </c>
      <c r="AS1295" s="55" t="s">
        <v>132</v>
      </c>
      <c r="AU1295" s="181" t="s">
        <v>7494</v>
      </c>
      <c r="AV1295" s="185" t="s">
        <v>176</v>
      </c>
      <c r="AX1295" s="185" t="s">
        <v>176</v>
      </c>
      <c r="AZ1295" s="55" t="s">
        <v>229</v>
      </c>
      <c r="BA1295" s="55" t="s">
        <v>229</v>
      </c>
      <c r="BB1295" s="55" t="s">
        <v>2081</v>
      </c>
      <c r="BC1295" s="55" t="s">
        <v>2081</v>
      </c>
      <c r="BD1295" s="55" t="s">
        <v>176</v>
      </c>
      <c r="BE1295" s="226" t="s">
        <v>861</v>
      </c>
      <c r="BF1295" s="191" t="s">
        <v>479</v>
      </c>
      <c r="BG1295" s="55" t="s">
        <v>479</v>
      </c>
      <c r="BH1295" s="226" t="s">
        <v>861</v>
      </c>
      <c r="BI1295" s="55" t="s">
        <v>479</v>
      </c>
      <c r="BJ1295" s="55" t="s">
        <v>176</v>
      </c>
      <c r="BK1295" s="55" t="s">
        <v>5976</v>
      </c>
      <c r="BM1295" s="192" t="s">
        <v>119</v>
      </c>
      <c r="BN1295" s="55">
        <v>4</v>
      </c>
      <c r="BO1295" s="55">
        <v>4</v>
      </c>
      <c r="BQ1295" s="55" t="s">
        <v>315</v>
      </c>
      <c r="DB1295" s="65">
        <v>4.3</v>
      </c>
      <c r="DC1295" s="65">
        <v>1.06</v>
      </c>
      <c r="DF1295" s="65" t="s">
        <v>1636</v>
      </c>
      <c r="GP1295" s="292" t="s">
        <v>7494</v>
      </c>
      <c r="JW1295" s="55" t="s">
        <v>837</v>
      </c>
    </row>
    <row r="1296" spans="1:283" x14ac:dyDescent="0.25">
      <c r="A1296" s="55">
        <v>1295</v>
      </c>
      <c r="B1296" s="12" t="s">
        <v>7067</v>
      </c>
      <c r="C1296" s="155">
        <v>59</v>
      </c>
      <c r="D1296" s="55" t="s">
        <v>3940</v>
      </c>
      <c r="E1296" s="90" t="s">
        <v>834</v>
      </c>
      <c r="G1296" s="55" t="s">
        <v>835</v>
      </c>
      <c r="H1296" s="55">
        <v>1997</v>
      </c>
      <c r="I1296" s="55">
        <v>1990</v>
      </c>
      <c r="J1296" s="55" t="s">
        <v>836</v>
      </c>
      <c r="K1296" s="55" t="s">
        <v>859</v>
      </c>
      <c r="L1296" s="55" t="s">
        <v>2737</v>
      </c>
      <c r="M1296" s="90">
        <v>38.92</v>
      </c>
      <c r="N1296" s="90">
        <v>-76.150000000000006</v>
      </c>
      <c r="O1296" s="90">
        <v>5</v>
      </c>
      <c r="R1296" s="55">
        <v>1007</v>
      </c>
      <c r="U1296" s="55">
        <v>4</v>
      </c>
      <c r="V1296" s="55" t="s">
        <v>1818</v>
      </c>
      <c r="Y1296" s="55" t="s">
        <v>1943</v>
      </c>
      <c r="Z1296" s="55" t="s">
        <v>1377</v>
      </c>
      <c r="AA1296" s="90" t="s">
        <v>1684</v>
      </c>
      <c r="AD1296" s="90">
        <v>1.5</v>
      </c>
      <c r="AH1296" s="55" t="s">
        <v>6378</v>
      </c>
      <c r="AM1296" s="55" t="s">
        <v>1314</v>
      </c>
      <c r="AN1296" s="185" t="s">
        <v>131</v>
      </c>
      <c r="AO1296" s="185" t="s">
        <v>5150</v>
      </c>
      <c r="AQ1296" s="55" t="s">
        <v>131</v>
      </c>
      <c r="AR1296" s="55" t="s">
        <v>132</v>
      </c>
      <c r="AS1296" s="55" t="s">
        <v>132</v>
      </c>
      <c r="AU1296" s="181" t="s">
        <v>7494</v>
      </c>
      <c r="AV1296" s="185" t="s">
        <v>176</v>
      </c>
      <c r="AX1296" s="185" t="s">
        <v>176</v>
      </c>
      <c r="AZ1296" s="55" t="s">
        <v>229</v>
      </c>
      <c r="BA1296" s="55" t="s">
        <v>229</v>
      </c>
      <c r="BB1296" s="55" t="s">
        <v>2081</v>
      </c>
      <c r="BC1296" s="55" t="s">
        <v>2081</v>
      </c>
      <c r="BD1296" s="55" t="s">
        <v>176</v>
      </c>
      <c r="BE1296" s="226" t="s">
        <v>861</v>
      </c>
      <c r="BF1296" s="191" t="s">
        <v>479</v>
      </c>
      <c r="BG1296" s="55" t="s">
        <v>479</v>
      </c>
      <c r="BH1296" s="226" t="s">
        <v>861</v>
      </c>
      <c r="BI1296" s="55" t="s">
        <v>479</v>
      </c>
      <c r="BJ1296" s="55" t="s">
        <v>176</v>
      </c>
      <c r="BK1296" s="55" t="s">
        <v>5976</v>
      </c>
      <c r="BM1296" s="192" t="s">
        <v>119</v>
      </c>
      <c r="BN1296" s="55">
        <v>4</v>
      </c>
      <c r="BO1296" s="55">
        <v>4</v>
      </c>
      <c r="BQ1296" s="55" t="s">
        <v>315</v>
      </c>
      <c r="BS1296" s="55">
        <v>4048</v>
      </c>
      <c r="BT1296" s="55">
        <f>BS1296/85</f>
        <v>47.623529411764707</v>
      </c>
      <c r="DB1296" s="65">
        <v>3.68</v>
      </c>
      <c r="DC1296" s="65">
        <v>0.9</v>
      </c>
      <c r="DF1296" s="65" t="s">
        <v>1636</v>
      </c>
      <c r="GP1296" s="292" t="s">
        <v>7494</v>
      </c>
      <c r="JW1296" s="55" t="s">
        <v>837</v>
      </c>
    </row>
    <row r="1297" spans="1:283" x14ac:dyDescent="0.25">
      <c r="A1297" s="55">
        <v>1296</v>
      </c>
      <c r="B1297" s="12" t="s">
        <v>7067</v>
      </c>
      <c r="C1297" s="155">
        <v>59</v>
      </c>
      <c r="D1297" s="55" t="s">
        <v>3940</v>
      </c>
      <c r="E1297" s="90" t="s">
        <v>834</v>
      </c>
      <c r="G1297" s="55" t="s">
        <v>835</v>
      </c>
      <c r="H1297" s="55">
        <v>1997</v>
      </c>
      <c r="I1297" s="55">
        <v>1990</v>
      </c>
      <c r="J1297" s="55" t="s">
        <v>836</v>
      </c>
      <c r="K1297" s="55" t="s">
        <v>859</v>
      </c>
      <c r="L1297" s="55" t="s">
        <v>2737</v>
      </c>
      <c r="M1297" s="90">
        <v>38.92</v>
      </c>
      <c r="N1297" s="90">
        <v>-76.150000000000006</v>
      </c>
      <c r="O1297" s="90">
        <v>5</v>
      </c>
      <c r="R1297" s="55">
        <v>1007</v>
      </c>
      <c r="U1297" s="55">
        <v>4</v>
      </c>
      <c r="V1297" s="55" t="s">
        <v>1818</v>
      </c>
      <c r="Y1297" s="55" t="s">
        <v>1942</v>
      </c>
      <c r="Z1297" s="55" t="s">
        <v>1377</v>
      </c>
      <c r="AA1297" s="90" t="s">
        <v>1684</v>
      </c>
      <c r="AD1297" s="90">
        <v>1.5</v>
      </c>
      <c r="AH1297" s="55" t="s">
        <v>6378</v>
      </c>
      <c r="AM1297" s="55" t="s">
        <v>1314</v>
      </c>
      <c r="AN1297" s="185" t="s">
        <v>131</v>
      </c>
      <c r="AO1297" s="185" t="s">
        <v>5150</v>
      </c>
      <c r="AQ1297" s="55" t="s">
        <v>131</v>
      </c>
      <c r="AR1297" s="55" t="s">
        <v>132</v>
      </c>
      <c r="AS1297" s="55" t="s">
        <v>132</v>
      </c>
      <c r="AU1297" s="181" t="s">
        <v>7494</v>
      </c>
      <c r="AV1297" s="185" t="s">
        <v>176</v>
      </c>
      <c r="AX1297" s="185" t="s">
        <v>176</v>
      </c>
      <c r="AZ1297" s="55" t="s">
        <v>229</v>
      </c>
      <c r="BA1297" s="55" t="s">
        <v>229</v>
      </c>
      <c r="BB1297" s="55" t="s">
        <v>2081</v>
      </c>
      <c r="BC1297" s="55" t="s">
        <v>2081</v>
      </c>
      <c r="BD1297" s="55" t="s">
        <v>176</v>
      </c>
      <c r="BE1297" s="226" t="s">
        <v>861</v>
      </c>
      <c r="BF1297" s="191" t="s">
        <v>479</v>
      </c>
      <c r="BG1297" s="55" t="s">
        <v>479</v>
      </c>
      <c r="BH1297" s="226" t="s">
        <v>861</v>
      </c>
      <c r="BI1297" s="55" t="s">
        <v>479</v>
      </c>
      <c r="BJ1297" s="55" t="s">
        <v>176</v>
      </c>
      <c r="BK1297" s="55" t="s">
        <v>5976</v>
      </c>
      <c r="BM1297" s="192" t="s">
        <v>119</v>
      </c>
      <c r="BN1297" s="55">
        <v>4</v>
      </c>
      <c r="BO1297" s="55">
        <v>4</v>
      </c>
      <c r="BQ1297" s="55" t="s">
        <v>315</v>
      </c>
      <c r="BS1297" s="55">
        <v>4048</v>
      </c>
      <c r="BT1297" s="55">
        <f>BS1297/85</f>
        <v>47.623529411764707</v>
      </c>
      <c r="DB1297" s="65">
        <v>2.2799999999999998</v>
      </c>
      <c r="DC1297" s="65">
        <v>1.44</v>
      </c>
      <c r="DF1297" s="65" t="s">
        <v>1636</v>
      </c>
      <c r="GP1297" s="292" t="s">
        <v>7494</v>
      </c>
      <c r="JW1297" s="55" t="s">
        <v>837</v>
      </c>
    </row>
    <row r="1298" spans="1:283" x14ac:dyDescent="0.25">
      <c r="A1298" s="55">
        <v>1297</v>
      </c>
      <c r="B1298" s="12" t="s">
        <v>7067</v>
      </c>
      <c r="C1298" s="155">
        <v>59</v>
      </c>
      <c r="D1298" s="55" t="s">
        <v>3940</v>
      </c>
      <c r="E1298" s="90" t="s">
        <v>834</v>
      </c>
      <c r="G1298" s="55" t="s">
        <v>835</v>
      </c>
      <c r="H1298" s="55">
        <v>1997</v>
      </c>
      <c r="I1298" s="55">
        <v>1991</v>
      </c>
      <c r="J1298" s="55" t="s">
        <v>836</v>
      </c>
      <c r="K1298" s="55" t="s">
        <v>859</v>
      </c>
      <c r="L1298" s="55" t="s">
        <v>2737</v>
      </c>
      <c r="M1298" s="90">
        <v>38.92</v>
      </c>
      <c r="N1298" s="90">
        <v>-76.150000000000006</v>
      </c>
      <c r="O1298" s="90">
        <v>5</v>
      </c>
      <c r="R1298" s="55">
        <v>997</v>
      </c>
      <c r="U1298" s="55">
        <v>5</v>
      </c>
      <c r="V1298" s="55" t="s">
        <v>1818</v>
      </c>
      <c r="Y1298" s="55" t="s">
        <v>1943</v>
      </c>
      <c r="Z1298" s="55" t="s">
        <v>1377</v>
      </c>
      <c r="AA1298" s="90" t="s">
        <v>1684</v>
      </c>
      <c r="AD1298" s="90">
        <v>1.5</v>
      </c>
      <c r="AH1298" s="55" t="s">
        <v>6378</v>
      </c>
      <c r="AM1298" s="55" t="s">
        <v>1314</v>
      </c>
      <c r="AN1298" s="185" t="s">
        <v>131</v>
      </c>
      <c r="AO1298" s="185" t="s">
        <v>5150</v>
      </c>
      <c r="AQ1298" s="55" t="s">
        <v>131</v>
      </c>
      <c r="AR1298" s="55" t="s">
        <v>132</v>
      </c>
      <c r="AS1298" s="55" t="s">
        <v>132</v>
      </c>
      <c r="AU1298" s="181" t="s">
        <v>7494</v>
      </c>
      <c r="AV1298" s="185" t="s">
        <v>176</v>
      </c>
      <c r="AX1298" s="185" t="s">
        <v>176</v>
      </c>
      <c r="AZ1298" s="55" t="s">
        <v>229</v>
      </c>
      <c r="BA1298" s="55" t="s">
        <v>229</v>
      </c>
      <c r="BB1298" s="55" t="s">
        <v>2081</v>
      </c>
      <c r="BC1298" s="55" t="s">
        <v>2081</v>
      </c>
      <c r="BD1298" s="55" t="s">
        <v>176</v>
      </c>
      <c r="BE1298" s="226" t="s">
        <v>861</v>
      </c>
      <c r="BF1298" s="191" t="s">
        <v>479</v>
      </c>
      <c r="BG1298" s="55" t="s">
        <v>479</v>
      </c>
      <c r="BH1298" s="226" t="s">
        <v>861</v>
      </c>
      <c r="BI1298" s="55" t="s">
        <v>479</v>
      </c>
      <c r="BJ1298" s="55" t="s">
        <v>176</v>
      </c>
      <c r="BK1298" s="55" t="s">
        <v>5976</v>
      </c>
      <c r="BM1298" s="192" t="s">
        <v>119</v>
      </c>
      <c r="BN1298" s="55">
        <v>4</v>
      </c>
      <c r="BO1298" s="55">
        <v>4</v>
      </c>
      <c r="BQ1298" s="55" t="s">
        <v>315</v>
      </c>
      <c r="BS1298" s="55">
        <v>1793</v>
      </c>
      <c r="BT1298" s="55">
        <f>BS1298/25.9</f>
        <v>69.227799227799238</v>
      </c>
      <c r="DB1298" s="65">
        <v>4.57</v>
      </c>
      <c r="DC1298" s="65">
        <v>0.32</v>
      </c>
      <c r="DF1298" s="65" t="s">
        <v>1636</v>
      </c>
      <c r="GP1298" s="292" t="s">
        <v>7494</v>
      </c>
      <c r="JW1298" s="55" t="s">
        <v>837</v>
      </c>
    </row>
    <row r="1299" spans="1:283" x14ac:dyDescent="0.25">
      <c r="A1299" s="55">
        <v>1298</v>
      </c>
      <c r="B1299" s="12" t="s">
        <v>7067</v>
      </c>
      <c r="C1299" s="155">
        <v>59</v>
      </c>
      <c r="D1299" s="55" t="s">
        <v>3940</v>
      </c>
      <c r="E1299" s="90" t="s">
        <v>834</v>
      </c>
      <c r="G1299" s="55" t="s">
        <v>835</v>
      </c>
      <c r="H1299" s="55">
        <v>1997</v>
      </c>
      <c r="I1299" s="55">
        <v>1991</v>
      </c>
      <c r="J1299" s="55" t="s">
        <v>836</v>
      </c>
      <c r="K1299" s="55" t="s">
        <v>859</v>
      </c>
      <c r="L1299" s="55" t="s">
        <v>2737</v>
      </c>
      <c r="M1299" s="90">
        <v>38.92</v>
      </c>
      <c r="N1299" s="90">
        <v>-76.150000000000006</v>
      </c>
      <c r="O1299" s="90">
        <v>5</v>
      </c>
      <c r="R1299" s="55">
        <v>997</v>
      </c>
      <c r="U1299" s="55">
        <v>5</v>
      </c>
      <c r="V1299" s="55" t="s">
        <v>1818</v>
      </c>
      <c r="Y1299" s="55" t="s">
        <v>1942</v>
      </c>
      <c r="Z1299" s="55" t="s">
        <v>1377</v>
      </c>
      <c r="AA1299" s="90" t="s">
        <v>1684</v>
      </c>
      <c r="AD1299" s="90">
        <v>1.5</v>
      </c>
      <c r="AH1299" s="55" t="s">
        <v>6378</v>
      </c>
      <c r="AM1299" s="55" t="s">
        <v>1314</v>
      </c>
      <c r="AN1299" s="185" t="s">
        <v>131</v>
      </c>
      <c r="AO1299" s="185" t="s">
        <v>5150</v>
      </c>
      <c r="AQ1299" s="55" t="s">
        <v>131</v>
      </c>
      <c r="AR1299" s="55" t="s">
        <v>132</v>
      </c>
      <c r="AS1299" s="55" t="s">
        <v>132</v>
      </c>
      <c r="AU1299" s="181" t="s">
        <v>7494</v>
      </c>
      <c r="AV1299" s="185" t="s">
        <v>176</v>
      </c>
      <c r="AX1299" s="185" t="s">
        <v>176</v>
      </c>
      <c r="AZ1299" s="55" t="s">
        <v>229</v>
      </c>
      <c r="BA1299" s="55" t="s">
        <v>229</v>
      </c>
      <c r="BB1299" s="55" t="s">
        <v>2081</v>
      </c>
      <c r="BC1299" s="55" t="s">
        <v>2081</v>
      </c>
      <c r="BD1299" s="55" t="s">
        <v>176</v>
      </c>
      <c r="BE1299" s="226" t="s">
        <v>861</v>
      </c>
      <c r="BF1299" s="191" t="s">
        <v>479</v>
      </c>
      <c r="BG1299" s="55" t="s">
        <v>479</v>
      </c>
      <c r="BH1299" s="226" t="s">
        <v>861</v>
      </c>
      <c r="BI1299" s="55" t="s">
        <v>479</v>
      </c>
      <c r="BJ1299" s="55" t="s">
        <v>176</v>
      </c>
      <c r="BK1299" s="55" t="s">
        <v>5976</v>
      </c>
      <c r="BM1299" s="192" t="s">
        <v>119</v>
      </c>
      <c r="BN1299" s="55">
        <v>4</v>
      </c>
      <c r="BO1299" s="55">
        <v>4</v>
      </c>
      <c r="BQ1299" s="55" t="s">
        <v>315</v>
      </c>
      <c r="BS1299" s="55">
        <v>1793</v>
      </c>
      <c r="BT1299" s="55">
        <f>BS1299/25.9</f>
        <v>69.227799227799238</v>
      </c>
      <c r="DB1299" s="65">
        <v>2.2400000000000002</v>
      </c>
      <c r="DC1299" s="65">
        <v>1.68</v>
      </c>
      <c r="DF1299" s="65" t="s">
        <v>1636</v>
      </c>
      <c r="GP1299" s="292" t="s">
        <v>7494</v>
      </c>
      <c r="JW1299" s="55" t="s">
        <v>837</v>
      </c>
    </row>
    <row r="1300" spans="1:283" x14ac:dyDescent="0.25">
      <c r="A1300" s="55">
        <v>1299</v>
      </c>
      <c r="B1300" s="12" t="s">
        <v>7067</v>
      </c>
      <c r="C1300" s="155">
        <v>59</v>
      </c>
      <c r="D1300" s="55" t="s">
        <v>3940</v>
      </c>
      <c r="E1300" s="90" t="s">
        <v>834</v>
      </c>
      <c r="G1300" s="55" t="s">
        <v>835</v>
      </c>
      <c r="H1300" s="55">
        <v>1997</v>
      </c>
      <c r="I1300" s="55">
        <v>1992</v>
      </c>
      <c r="J1300" s="55" t="s">
        <v>836</v>
      </c>
      <c r="K1300" s="55" t="s">
        <v>859</v>
      </c>
      <c r="L1300" s="55" t="s">
        <v>2737</v>
      </c>
      <c r="M1300" s="90">
        <v>38.92</v>
      </c>
      <c r="N1300" s="90">
        <v>-76.150000000000006</v>
      </c>
      <c r="O1300" s="90">
        <v>5</v>
      </c>
      <c r="R1300" s="55">
        <v>866</v>
      </c>
      <c r="U1300" s="55">
        <v>6</v>
      </c>
      <c r="V1300" s="55" t="s">
        <v>1818</v>
      </c>
      <c r="Y1300" s="55" t="s">
        <v>1943</v>
      </c>
      <c r="Z1300" s="55" t="s">
        <v>1377</v>
      </c>
      <c r="AA1300" s="90" t="s">
        <v>1684</v>
      </c>
      <c r="AD1300" s="90">
        <v>1.5</v>
      </c>
      <c r="AH1300" s="55" t="s">
        <v>6378</v>
      </c>
      <c r="AM1300" s="55" t="s">
        <v>1314</v>
      </c>
      <c r="AN1300" s="185" t="s">
        <v>131</v>
      </c>
      <c r="AO1300" s="185" t="s">
        <v>5150</v>
      </c>
      <c r="AQ1300" s="55" t="s">
        <v>131</v>
      </c>
      <c r="AR1300" s="55" t="s">
        <v>132</v>
      </c>
      <c r="AS1300" s="55" t="s">
        <v>132</v>
      </c>
      <c r="AU1300" s="181" t="s">
        <v>7494</v>
      </c>
      <c r="AV1300" s="185" t="s">
        <v>176</v>
      </c>
      <c r="AX1300" s="185" t="s">
        <v>176</v>
      </c>
      <c r="AZ1300" s="55" t="s">
        <v>229</v>
      </c>
      <c r="BA1300" s="55" t="s">
        <v>229</v>
      </c>
      <c r="BB1300" s="55" t="s">
        <v>2081</v>
      </c>
      <c r="BC1300" s="55" t="s">
        <v>2081</v>
      </c>
      <c r="BD1300" s="55" t="s">
        <v>176</v>
      </c>
      <c r="BE1300" s="226" t="s">
        <v>861</v>
      </c>
      <c r="BF1300" s="191" t="s">
        <v>479</v>
      </c>
      <c r="BG1300" s="55" t="s">
        <v>479</v>
      </c>
      <c r="BH1300" s="226" t="s">
        <v>861</v>
      </c>
      <c r="BI1300" s="55" t="s">
        <v>479</v>
      </c>
      <c r="BJ1300" s="55" t="s">
        <v>176</v>
      </c>
      <c r="BK1300" s="55" t="s">
        <v>5976</v>
      </c>
      <c r="BM1300" s="192" t="s">
        <v>119</v>
      </c>
      <c r="BN1300" s="55">
        <v>4</v>
      </c>
      <c r="BO1300" s="55">
        <v>4</v>
      </c>
      <c r="BQ1300" s="55" t="s">
        <v>315</v>
      </c>
      <c r="BS1300" s="55">
        <v>2053</v>
      </c>
      <c r="BT1300" s="55">
        <f>BS1300/40.5</f>
        <v>50.691358024691361</v>
      </c>
      <c r="DB1300" s="65">
        <v>4.51</v>
      </c>
      <c r="DC1300" s="65">
        <v>0.33</v>
      </c>
      <c r="DF1300" s="65" t="s">
        <v>1636</v>
      </c>
      <c r="GP1300" s="292" t="s">
        <v>7494</v>
      </c>
      <c r="JW1300" s="55" t="s">
        <v>837</v>
      </c>
    </row>
    <row r="1301" spans="1:283" x14ac:dyDescent="0.25">
      <c r="A1301" s="55">
        <v>1300</v>
      </c>
      <c r="B1301" s="12" t="s">
        <v>7067</v>
      </c>
      <c r="C1301" s="155">
        <v>59</v>
      </c>
      <c r="D1301" s="55" t="s">
        <v>3940</v>
      </c>
      <c r="E1301" s="90" t="s">
        <v>834</v>
      </c>
      <c r="G1301" s="55" t="s">
        <v>835</v>
      </c>
      <c r="H1301" s="55">
        <v>1997</v>
      </c>
      <c r="I1301" s="55">
        <v>1992</v>
      </c>
      <c r="J1301" s="55" t="s">
        <v>836</v>
      </c>
      <c r="K1301" s="55" t="s">
        <v>859</v>
      </c>
      <c r="L1301" s="55" t="s">
        <v>2737</v>
      </c>
      <c r="M1301" s="90">
        <v>38.92</v>
      </c>
      <c r="N1301" s="90">
        <v>-76.150000000000006</v>
      </c>
      <c r="O1301" s="90">
        <v>5</v>
      </c>
      <c r="R1301" s="55">
        <v>866</v>
      </c>
      <c r="U1301" s="55">
        <v>6</v>
      </c>
      <c r="V1301" s="55" t="s">
        <v>1818</v>
      </c>
      <c r="Y1301" s="55" t="s">
        <v>1942</v>
      </c>
      <c r="Z1301" s="55" t="s">
        <v>1377</v>
      </c>
      <c r="AA1301" s="90" t="s">
        <v>1684</v>
      </c>
      <c r="AD1301" s="90">
        <v>1.5</v>
      </c>
      <c r="AH1301" s="55" t="s">
        <v>6378</v>
      </c>
      <c r="AM1301" s="55" t="s">
        <v>1314</v>
      </c>
      <c r="AN1301" s="185" t="s">
        <v>131</v>
      </c>
      <c r="AO1301" s="185" t="s">
        <v>5150</v>
      </c>
      <c r="AQ1301" s="55" t="s">
        <v>131</v>
      </c>
      <c r="AR1301" s="55" t="s">
        <v>132</v>
      </c>
      <c r="AS1301" s="55" t="s">
        <v>132</v>
      </c>
      <c r="AU1301" s="181" t="s">
        <v>7494</v>
      </c>
      <c r="AV1301" s="185" t="s">
        <v>176</v>
      </c>
      <c r="AX1301" s="185" t="s">
        <v>176</v>
      </c>
      <c r="AZ1301" s="55" t="s">
        <v>229</v>
      </c>
      <c r="BA1301" s="55" t="s">
        <v>229</v>
      </c>
      <c r="BB1301" s="55" t="s">
        <v>2081</v>
      </c>
      <c r="BC1301" s="55" t="s">
        <v>2081</v>
      </c>
      <c r="BD1301" s="55" t="s">
        <v>176</v>
      </c>
      <c r="BE1301" s="226" t="s">
        <v>861</v>
      </c>
      <c r="BF1301" s="191" t="s">
        <v>479</v>
      </c>
      <c r="BG1301" s="55" t="s">
        <v>479</v>
      </c>
      <c r="BH1301" s="226" t="s">
        <v>861</v>
      </c>
      <c r="BI1301" s="55" t="s">
        <v>479</v>
      </c>
      <c r="BJ1301" s="55" t="s">
        <v>176</v>
      </c>
      <c r="BK1301" s="55" t="s">
        <v>5976</v>
      </c>
      <c r="BM1301" s="192" t="s">
        <v>119</v>
      </c>
      <c r="BN1301" s="55">
        <v>4</v>
      </c>
      <c r="BO1301" s="55">
        <v>4</v>
      </c>
      <c r="BQ1301" s="55" t="s">
        <v>315</v>
      </c>
      <c r="BS1301" s="55">
        <v>2053</v>
      </c>
      <c r="BT1301" s="55">
        <f>BS1301/40.5</f>
        <v>50.691358024691361</v>
      </c>
      <c r="DB1301" s="65">
        <v>0.62</v>
      </c>
      <c r="DC1301" s="65">
        <v>0.48</v>
      </c>
      <c r="DF1301" s="65" t="s">
        <v>1636</v>
      </c>
      <c r="GP1301" s="292" t="s">
        <v>7494</v>
      </c>
      <c r="JW1301" s="55" t="s">
        <v>837</v>
      </c>
    </row>
    <row r="1302" spans="1:283" x14ac:dyDescent="0.25">
      <c r="A1302" s="55">
        <v>1301</v>
      </c>
      <c r="B1302" s="12" t="s">
        <v>7067</v>
      </c>
      <c r="C1302" s="155">
        <v>59</v>
      </c>
      <c r="D1302" s="55" t="s">
        <v>3940</v>
      </c>
      <c r="E1302" s="90" t="s">
        <v>834</v>
      </c>
      <c r="G1302" s="55" t="s">
        <v>835</v>
      </c>
      <c r="H1302" s="55">
        <v>1997</v>
      </c>
      <c r="I1302" s="55">
        <v>1993</v>
      </c>
      <c r="J1302" s="55" t="s">
        <v>836</v>
      </c>
      <c r="K1302" s="55" t="s">
        <v>859</v>
      </c>
      <c r="L1302" s="55" t="s">
        <v>2737</v>
      </c>
      <c r="M1302" s="90">
        <v>38.92</v>
      </c>
      <c r="N1302" s="90">
        <v>-76.150000000000006</v>
      </c>
      <c r="O1302" s="90">
        <v>5</v>
      </c>
      <c r="R1302" s="55">
        <v>972</v>
      </c>
      <c r="U1302" s="55">
        <v>7</v>
      </c>
      <c r="V1302" s="55" t="s">
        <v>1818</v>
      </c>
      <c r="Y1302" s="55" t="s">
        <v>1943</v>
      </c>
      <c r="Z1302" s="55" t="s">
        <v>1377</v>
      </c>
      <c r="AA1302" s="90" t="s">
        <v>1684</v>
      </c>
      <c r="AD1302" s="90">
        <v>1.5</v>
      </c>
      <c r="AH1302" s="55" t="s">
        <v>6378</v>
      </c>
      <c r="AM1302" s="55" t="s">
        <v>1314</v>
      </c>
      <c r="AN1302" s="185" t="s">
        <v>131</v>
      </c>
      <c r="AO1302" s="185" t="s">
        <v>5150</v>
      </c>
      <c r="AQ1302" s="55" t="s">
        <v>131</v>
      </c>
      <c r="AR1302" s="55" t="s">
        <v>132</v>
      </c>
      <c r="AS1302" s="55" t="s">
        <v>132</v>
      </c>
      <c r="AU1302" s="181" t="s">
        <v>7494</v>
      </c>
      <c r="AV1302" s="185" t="s">
        <v>176</v>
      </c>
      <c r="AX1302" s="185" t="s">
        <v>176</v>
      </c>
      <c r="AZ1302" s="55" t="s">
        <v>229</v>
      </c>
      <c r="BA1302" s="55" t="s">
        <v>229</v>
      </c>
      <c r="BB1302" s="55" t="s">
        <v>2081</v>
      </c>
      <c r="BC1302" s="55" t="s">
        <v>2081</v>
      </c>
      <c r="BD1302" s="55" t="s">
        <v>176</v>
      </c>
      <c r="BE1302" s="226" t="s">
        <v>861</v>
      </c>
      <c r="BF1302" s="191" t="s">
        <v>479</v>
      </c>
      <c r="BG1302" s="55" t="s">
        <v>479</v>
      </c>
      <c r="BH1302" s="226" t="s">
        <v>861</v>
      </c>
      <c r="BI1302" s="55" t="s">
        <v>479</v>
      </c>
      <c r="BJ1302" s="55" t="s">
        <v>176</v>
      </c>
      <c r="BK1302" s="55" t="s">
        <v>5976</v>
      </c>
      <c r="BM1302" s="192" t="s">
        <v>119</v>
      </c>
      <c r="BN1302" s="55">
        <v>4</v>
      </c>
      <c r="BO1302" s="55">
        <v>4</v>
      </c>
      <c r="BQ1302" s="55" t="s">
        <v>315</v>
      </c>
      <c r="BS1302" s="55">
        <v>1873</v>
      </c>
      <c r="BT1302" s="55">
        <f>BS1302/37.3</f>
        <v>50.21447721179625</v>
      </c>
      <c r="DB1302" s="65">
        <v>0.9</v>
      </c>
      <c r="DC1302" s="65">
        <v>0.26</v>
      </c>
      <c r="DF1302" s="65" t="s">
        <v>1636</v>
      </c>
      <c r="GP1302" s="292" t="s">
        <v>7494</v>
      </c>
      <c r="JW1302" s="55" t="s">
        <v>837</v>
      </c>
    </row>
    <row r="1303" spans="1:283" x14ac:dyDescent="0.25">
      <c r="A1303" s="55">
        <v>1302</v>
      </c>
      <c r="B1303" s="12" t="s">
        <v>7067</v>
      </c>
      <c r="C1303" s="155">
        <v>59</v>
      </c>
      <c r="D1303" s="55" t="s">
        <v>3940</v>
      </c>
      <c r="E1303" s="90" t="s">
        <v>834</v>
      </c>
      <c r="G1303" s="55" t="s">
        <v>835</v>
      </c>
      <c r="H1303" s="55">
        <v>1997</v>
      </c>
      <c r="I1303" s="55">
        <v>1993</v>
      </c>
      <c r="J1303" s="55" t="s">
        <v>836</v>
      </c>
      <c r="K1303" s="55" t="s">
        <v>859</v>
      </c>
      <c r="L1303" s="55" t="s">
        <v>2737</v>
      </c>
      <c r="M1303" s="90">
        <v>38.92</v>
      </c>
      <c r="N1303" s="90">
        <v>-76.150000000000006</v>
      </c>
      <c r="O1303" s="90">
        <v>5</v>
      </c>
      <c r="R1303" s="55">
        <v>972</v>
      </c>
      <c r="U1303" s="55">
        <v>7</v>
      </c>
      <c r="V1303" s="55" t="s">
        <v>1818</v>
      </c>
      <c r="Y1303" s="55" t="s">
        <v>1942</v>
      </c>
      <c r="Z1303" s="55" t="s">
        <v>1377</v>
      </c>
      <c r="AA1303" s="90" t="s">
        <v>1684</v>
      </c>
      <c r="AD1303" s="90">
        <v>1.5</v>
      </c>
      <c r="AH1303" s="55" t="s">
        <v>6378</v>
      </c>
      <c r="AM1303" s="55" t="s">
        <v>1314</v>
      </c>
      <c r="AN1303" s="185" t="s">
        <v>131</v>
      </c>
      <c r="AO1303" s="185" t="s">
        <v>5150</v>
      </c>
      <c r="AQ1303" s="55" t="s">
        <v>131</v>
      </c>
      <c r="AR1303" s="55" t="s">
        <v>132</v>
      </c>
      <c r="AS1303" s="55" t="s">
        <v>132</v>
      </c>
      <c r="AU1303" s="181" t="s">
        <v>7494</v>
      </c>
      <c r="AV1303" s="185" t="s">
        <v>176</v>
      </c>
      <c r="AX1303" s="185" t="s">
        <v>176</v>
      </c>
      <c r="AZ1303" s="55" t="s">
        <v>229</v>
      </c>
      <c r="BA1303" s="55" t="s">
        <v>229</v>
      </c>
      <c r="BB1303" s="55" t="s">
        <v>2081</v>
      </c>
      <c r="BC1303" s="55" t="s">
        <v>2081</v>
      </c>
      <c r="BD1303" s="55" t="s">
        <v>176</v>
      </c>
      <c r="BE1303" s="226" t="s">
        <v>861</v>
      </c>
      <c r="BF1303" s="191" t="s">
        <v>479</v>
      </c>
      <c r="BG1303" s="55" t="s">
        <v>479</v>
      </c>
      <c r="BH1303" s="226" t="s">
        <v>861</v>
      </c>
      <c r="BI1303" s="55" t="s">
        <v>479</v>
      </c>
      <c r="BJ1303" s="55" t="s">
        <v>176</v>
      </c>
      <c r="BK1303" s="55" t="s">
        <v>5976</v>
      </c>
      <c r="BM1303" s="192" t="s">
        <v>119</v>
      </c>
      <c r="BN1303" s="55">
        <v>4</v>
      </c>
      <c r="BO1303" s="55">
        <v>4</v>
      </c>
      <c r="BQ1303" s="55" t="s">
        <v>315</v>
      </c>
      <c r="BS1303" s="55">
        <v>1873</v>
      </c>
      <c r="BT1303" s="55">
        <f>BS1303/37.3</f>
        <v>50.21447721179625</v>
      </c>
      <c r="DB1303" s="65">
        <v>0.39</v>
      </c>
      <c r="DC1303" s="65">
        <v>0.28000000000000003</v>
      </c>
      <c r="DF1303" s="65" t="s">
        <v>1636</v>
      </c>
      <c r="GP1303" s="292" t="s">
        <v>7494</v>
      </c>
      <c r="JW1303" s="55" t="s">
        <v>837</v>
      </c>
    </row>
    <row r="1304" spans="1:283" x14ac:dyDescent="0.25">
      <c r="A1304" s="55">
        <v>1303</v>
      </c>
      <c r="B1304" s="12" t="s">
        <v>7067</v>
      </c>
      <c r="C1304" s="155">
        <v>59</v>
      </c>
      <c r="D1304" s="55" t="s">
        <v>3940</v>
      </c>
      <c r="E1304" s="90" t="s">
        <v>834</v>
      </c>
      <c r="G1304" s="55" t="s">
        <v>835</v>
      </c>
      <c r="H1304" s="55">
        <v>1997</v>
      </c>
      <c r="I1304" s="55">
        <v>1994</v>
      </c>
      <c r="J1304" s="55" t="s">
        <v>836</v>
      </c>
      <c r="K1304" s="55" t="s">
        <v>859</v>
      </c>
      <c r="L1304" s="55" t="s">
        <v>2737</v>
      </c>
      <c r="M1304" s="90">
        <v>38.92</v>
      </c>
      <c r="N1304" s="90">
        <v>-76.150000000000006</v>
      </c>
      <c r="O1304" s="90">
        <v>5</v>
      </c>
      <c r="R1304" s="55">
        <v>1275</v>
      </c>
      <c r="U1304" s="55">
        <v>8</v>
      </c>
      <c r="V1304" s="55" t="s">
        <v>1818</v>
      </c>
      <c r="Y1304" s="55" t="s">
        <v>1943</v>
      </c>
      <c r="Z1304" s="55" t="s">
        <v>1377</v>
      </c>
      <c r="AA1304" s="90" t="s">
        <v>1684</v>
      </c>
      <c r="AD1304" s="90">
        <v>1.5</v>
      </c>
      <c r="AH1304" s="55" t="s">
        <v>6378</v>
      </c>
      <c r="AM1304" s="55" t="s">
        <v>1314</v>
      </c>
      <c r="AN1304" s="185" t="s">
        <v>131</v>
      </c>
      <c r="AO1304" s="185" t="s">
        <v>5150</v>
      </c>
      <c r="AQ1304" s="55" t="s">
        <v>131</v>
      </c>
      <c r="AR1304" s="55" t="s">
        <v>132</v>
      </c>
      <c r="AS1304" s="55" t="s">
        <v>132</v>
      </c>
      <c r="AU1304" s="181" t="s">
        <v>7494</v>
      </c>
      <c r="AV1304" s="185" t="s">
        <v>176</v>
      </c>
      <c r="AX1304" s="185" t="s">
        <v>176</v>
      </c>
      <c r="AZ1304" s="55" t="s">
        <v>229</v>
      </c>
      <c r="BA1304" s="55" t="s">
        <v>229</v>
      </c>
      <c r="BB1304" s="55" t="s">
        <v>2081</v>
      </c>
      <c r="BC1304" s="55" t="s">
        <v>2081</v>
      </c>
      <c r="BD1304" s="55" t="s">
        <v>176</v>
      </c>
      <c r="BE1304" s="226" t="s">
        <v>861</v>
      </c>
      <c r="BF1304" s="191" t="s">
        <v>479</v>
      </c>
      <c r="BG1304" s="55" t="s">
        <v>479</v>
      </c>
      <c r="BH1304" s="226" t="s">
        <v>861</v>
      </c>
      <c r="BI1304" s="55" t="s">
        <v>479</v>
      </c>
      <c r="BJ1304" s="55" t="s">
        <v>176</v>
      </c>
      <c r="BK1304" s="55" t="s">
        <v>5976</v>
      </c>
      <c r="BM1304" s="192" t="s">
        <v>119</v>
      </c>
      <c r="BN1304" s="55">
        <v>4</v>
      </c>
      <c r="BO1304" s="55">
        <v>4</v>
      </c>
      <c r="BQ1304" s="55" t="s">
        <v>315</v>
      </c>
      <c r="BS1304" s="55">
        <v>3645</v>
      </c>
      <c r="BT1304" s="55">
        <f>BS1304/59.2</f>
        <v>61.570945945945944</v>
      </c>
      <c r="DB1304" s="65">
        <v>1.77</v>
      </c>
      <c r="DC1304" s="65">
        <v>0.44</v>
      </c>
      <c r="DF1304" s="65" t="s">
        <v>1636</v>
      </c>
      <c r="GP1304" s="292" t="s">
        <v>7494</v>
      </c>
      <c r="JW1304" s="55" t="s">
        <v>837</v>
      </c>
    </row>
    <row r="1305" spans="1:283" x14ac:dyDescent="0.25">
      <c r="A1305" s="55">
        <v>1304</v>
      </c>
      <c r="B1305" s="12" t="s">
        <v>7067</v>
      </c>
      <c r="C1305" s="155">
        <v>59</v>
      </c>
      <c r="D1305" s="55" t="s">
        <v>3940</v>
      </c>
      <c r="E1305" s="90" t="s">
        <v>834</v>
      </c>
      <c r="G1305" s="55" t="s">
        <v>835</v>
      </c>
      <c r="H1305" s="55">
        <v>1997</v>
      </c>
      <c r="I1305" s="55">
        <v>1994</v>
      </c>
      <c r="J1305" s="55" t="s">
        <v>836</v>
      </c>
      <c r="K1305" s="55" t="s">
        <v>859</v>
      </c>
      <c r="L1305" s="55" t="s">
        <v>2737</v>
      </c>
      <c r="M1305" s="90">
        <v>38.92</v>
      </c>
      <c r="N1305" s="90">
        <v>-76.150000000000006</v>
      </c>
      <c r="O1305" s="90">
        <v>5</v>
      </c>
      <c r="R1305" s="55">
        <v>1275</v>
      </c>
      <c r="U1305" s="55">
        <v>8</v>
      </c>
      <c r="V1305" s="55" t="s">
        <v>1818</v>
      </c>
      <c r="Y1305" s="55" t="s">
        <v>1942</v>
      </c>
      <c r="Z1305" s="55" t="s">
        <v>1377</v>
      </c>
      <c r="AA1305" s="90" t="s">
        <v>1684</v>
      </c>
      <c r="AD1305" s="90">
        <v>1.5</v>
      </c>
      <c r="AH1305" s="55" t="s">
        <v>6378</v>
      </c>
      <c r="AM1305" s="55" t="s">
        <v>1314</v>
      </c>
      <c r="AN1305" s="185" t="s">
        <v>131</v>
      </c>
      <c r="AO1305" s="185" t="s">
        <v>5150</v>
      </c>
      <c r="AQ1305" s="55" t="s">
        <v>131</v>
      </c>
      <c r="AR1305" s="55" t="s">
        <v>132</v>
      </c>
      <c r="AS1305" s="55" t="s">
        <v>132</v>
      </c>
      <c r="AU1305" s="181" t="s">
        <v>7494</v>
      </c>
      <c r="AV1305" s="185" t="s">
        <v>176</v>
      </c>
      <c r="AX1305" s="185" t="s">
        <v>176</v>
      </c>
      <c r="AZ1305" s="55" t="s">
        <v>229</v>
      </c>
      <c r="BA1305" s="55" t="s">
        <v>229</v>
      </c>
      <c r="BB1305" s="55" t="s">
        <v>2081</v>
      </c>
      <c r="BC1305" s="55" t="s">
        <v>2081</v>
      </c>
      <c r="BD1305" s="55" t="s">
        <v>176</v>
      </c>
      <c r="BE1305" s="226" t="s">
        <v>861</v>
      </c>
      <c r="BF1305" s="191" t="s">
        <v>479</v>
      </c>
      <c r="BG1305" s="55" t="s">
        <v>479</v>
      </c>
      <c r="BH1305" s="226" t="s">
        <v>861</v>
      </c>
      <c r="BI1305" s="55" t="s">
        <v>479</v>
      </c>
      <c r="BJ1305" s="55" t="s">
        <v>176</v>
      </c>
      <c r="BK1305" s="55" t="s">
        <v>5976</v>
      </c>
      <c r="BM1305" s="192" t="s">
        <v>119</v>
      </c>
      <c r="BN1305" s="55">
        <v>4</v>
      </c>
      <c r="BO1305" s="55">
        <v>4</v>
      </c>
      <c r="BQ1305" s="55" t="s">
        <v>315</v>
      </c>
      <c r="BS1305" s="55">
        <v>3645</v>
      </c>
      <c r="BT1305" s="55">
        <f>BS1305/59.2</f>
        <v>61.570945945945944</v>
      </c>
      <c r="DB1305" s="65">
        <v>0.84</v>
      </c>
      <c r="DC1305" s="65">
        <v>0.35</v>
      </c>
      <c r="DF1305" s="65" t="s">
        <v>1636</v>
      </c>
      <c r="GP1305" s="292" t="s">
        <v>7494</v>
      </c>
      <c r="JW1305" s="55" t="s">
        <v>837</v>
      </c>
    </row>
    <row r="1306" spans="1:283" x14ac:dyDescent="0.25">
      <c r="A1306" s="55">
        <v>1305</v>
      </c>
      <c r="B1306" s="12" t="s">
        <v>7067</v>
      </c>
      <c r="C1306" s="155">
        <v>59</v>
      </c>
      <c r="D1306" s="55" t="s">
        <v>3939</v>
      </c>
      <c r="E1306" s="90" t="s">
        <v>834</v>
      </c>
      <c r="G1306" s="55" t="s">
        <v>835</v>
      </c>
      <c r="H1306" s="55">
        <v>1997</v>
      </c>
      <c r="I1306" s="55">
        <v>1989</v>
      </c>
      <c r="J1306" s="55" t="s">
        <v>836</v>
      </c>
      <c r="K1306" s="55" t="s">
        <v>859</v>
      </c>
      <c r="L1306" s="55" t="s">
        <v>2737</v>
      </c>
      <c r="M1306" s="90">
        <v>38.92</v>
      </c>
      <c r="N1306" s="90">
        <v>-76.150000000000006</v>
      </c>
      <c r="O1306" s="90">
        <v>5</v>
      </c>
      <c r="R1306" s="55">
        <v>1300</v>
      </c>
      <c r="U1306" s="55">
        <v>3</v>
      </c>
      <c r="V1306" s="55" t="s">
        <v>1818</v>
      </c>
      <c r="Y1306" s="55" t="s">
        <v>1943</v>
      </c>
      <c r="Z1306" s="55" t="s">
        <v>1377</v>
      </c>
      <c r="AA1306" s="90" t="s">
        <v>1684</v>
      </c>
      <c r="AD1306" s="90">
        <v>1.5</v>
      </c>
      <c r="AH1306" s="55" t="s">
        <v>6378</v>
      </c>
      <c r="AM1306" s="55" t="s">
        <v>1314</v>
      </c>
      <c r="AN1306" s="185" t="s">
        <v>131</v>
      </c>
      <c r="AO1306" s="185" t="s">
        <v>5150</v>
      </c>
      <c r="AQ1306" s="55" t="s">
        <v>131</v>
      </c>
      <c r="AR1306" s="55" t="s">
        <v>132</v>
      </c>
      <c r="AS1306" s="55" t="s">
        <v>132</v>
      </c>
      <c r="AU1306" s="181" t="s">
        <v>7494</v>
      </c>
      <c r="AV1306" s="185" t="s">
        <v>176</v>
      </c>
      <c r="AX1306" s="185" t="s">
        <v>176</v>
      </c>
      <c r="AZ1306" s="55" t="s">
        <v>156</v>
      </c>
      <c r="BA1306" s="55" t="s">
        <v>156</v>
      </c>
      <c r="BB1306" s="55" t="s">
        <v>2082</v>
      </c>
      <c r="BC1306" s="55" t="s">
        <v>2082</v>
      </c>
      <c r="BD1306" s="55" t="s">
        <v>176</v>
      </c>
      <c r="BE1306" s="226" t="s">
        <v>861</v>
      </c>
      <c r="BF1306" s="191" t="s">
        <v>479</v>
      </c>
      <c r="BG1306" s="55" t="s">
        <v>479</v>
      </c>
      <c r="BH1306" s="226" t="s">
        <v>861</v>
      </c>
      <c r="BI1306" s="55" t="s">
        <v>479</v>
      </c>
      <c r="BJ1306" s="55" t="s">
        <v>176</v>
      </c>
      <c r="BK1306" s="55" t="s">
        <v>6269</v>
      </c>
      <c r="BM1306" s="192" t="s">
        <v>119</v>
      </c>
      <c r="BN1306" s="55">
        <v>4</v>
      </c>
      <c r="BO1306" s="55">
        <v>4</v>
      </c>
      <c r="BQ1306" s="55" t="s">
        <v>315</v>
      </c>
      <c r="DB1306" s="65">
        <v>1.82</v>
      </c>
      <c r="DC1306" s="65">
        <v>0.37</v>
      </c>
      <c r="DF1306" s="65" t="s">
        <v>1636</v>
      </c>
      <c r="GP1306" s="292" t="s">
        <v>7494</v>
      </c>
      <c r="JW1306" s="55" t="s">
        <v>837</v>
      </c>
    </row>
    <row r="1307" spans="1:283" x14ac:dyDescent="0.25">
      <c r="A1307" s="55">
        <v>1306</v>
      </c>
      <c r="B1307" s="12" t="s">
        <v>7067</v>
      </c>
      <c r="C1307" s="155">
        <v>59</v>
      </c>
      <c r="D1307" s="55" t="s">
        <v>3939</v>
      </c>
      <c r="E1307" s="90" t="s">
        <v>834</v>
      </c>
      <c r="G1307" s="55" t="s">
        <v>835</v>
      </c>
      <c r="H1307" s="55">
        <v>1997</v>
      </c>
      <c r="I1307" s="55">
        <v>1989</v>
      </c>
      <c r="J1307" s="55" t="s">
        <v>836</v>
      </c>
      <c r="K1307" s="55" t="s">
        <v>859</v>
      </c>
      <c r="L1307" s="55" t="s">
        <v>2737</v>
      </c>
      <c r="M1307" s="90">
        <v>38.92</v>
      </c>
      <c r="N1307" s="90">
        <v>-76.150000000000006</v>
      </c>
      <c r="O1307" s="90">
        <v>5</v>
      </c>
      <c r="R1307" s="55">
        <v>1300</v>
      </c>
      <c r="U1307" s="55">
        <v>3</v>
      </c>
      <c r="V1307" s="55" t="s">
        <v>1818</v>
      </c>
      <c r="Y1307" s="55" t="s">
        <v>1942</v>
      </c>
      <c r="Z1307" s="55" t="s">
        <v>1377</v>
      </c>
      <c r="AA1307" s="90" t="s">
        <v>1684</v>
      </c>
      <c r="AD1307" s="90">
        <v>1.5</v>
      </c>
      <c r="AH1307" s="55" t="s">
        <v>6378</v>
      </c>
      <c r="AM1307" s="55" t="s">
        <v>1314</v>
      </c>
      <c r="AN1307" s="185" t="s">
        <v>131</v>
      </c>
      <c r="AO1307" s="185" t="s">
        <v>5150</v>
      </c>
      <c r="AQ1307" s="55" t="s">
        <v>131</v>
      </c>
      <c r="AR1307" s="55" t="s">
        <v>132</v>
      </c>
      <c r="AS1307" s="55" t="s">
        <v>132</v>
      </c>
      <c r="AU1307" s="181" t="s">
        <v>7494</v>
      </c>
      <c r="AV1307" s="185" t="s">
        <v>176</v>
      </c>
      <c r="AX1307" s="185" t="s">
        <v>176</v>
      </c>
      <c r="AZ1307" s="55" t="s">
        <v>156</v>
      </c>
      <c r="BA1307" s="55" t="s">
        <v>156</v>
      </c>
      <c r="BB1307" s="55" t="s">
        <v>2082</v>
      </c>
      <c r="BC1307" s="55" t="s">
        <v>2082</v>
      </c>
      <c r="BD1307" s="55" t="s">
        <v>176</v>
      </c>
      <c r="BE1307" s="226" t="s">
        <v>861</v>
      </c>
      <c r="BF1307" s="191" t="s">
        <v>479</v>
      </c>
      <c r="BG1307" s="55" t="s">
        <v>479</v>
      </c>
      <c r="BH1307" s="226" t="s">
        <v>861</v>
      </c>
      <c r="BI1307" s="55" t="s">
        <v>479</v>
      </c>
      <c r="BJ1307" s="55" t="s">
        <v>176</v>
      </c>
      <c r="BK1307" s="55" t="s">
        <v>6269</v>
      </c>
      <c r="BM1307" s="192" t="s">
        <v>119</v>
      </c>
      <c r="BN1307" s="55">
        <v>4</v>
      </c>
      <c r="BO1307" s="55">
        <v>4</v>
      </c>
      <c r="BQ1307" s="55" t="s">
        <v>315</v>
      </c>
      <c r="DB1307" s="65">
        <v>2.92</v>
      </c>
      <c r="DC1307" s="65">
        <v>2.67</v>
      </c>
      <c r="DF1307" s="65" t="s">
        <v>1636</v>
      </c>
      <c r="GP1307" s="292" t="s">
        <v>7494</v>
      </c>
      <c r="JW1307" s="55" t="s">
        <v>837</v>
      </c>
    </row>
    <row r="1308" spans="1:283" x14ac:dyDescent="0.25">
      <c r="A1308" s="55">
        <v>1307</v>
      </c>
      <c r="B1308" s="12" t="s">
        <v>7067</v>
      </c>
      <c r="C1308" s="155">
        <v>59</v>
      </c>
      <c r="D1308" s="55" t="s">
        <v>3939</v>
      </c>
      <c r="E1308" s="90" t="s">
        <v>834</v>
      </c>
      <c r="G1308" s="55" t="s">
        <v>835</v>
      </c>
      <c r="H1308" s="55">
        <v>1997</v>
      </c>
      <c r="I1308" s="55">
        <v>1990</v>
      </c>
      <c r="J1308" s="55" t="s">
        <v>836</v>
      </c>
      <c r="K1308" s="55" t="s">
        <v>859</v>
      </c>
      <c r="L1308" s="55" t="s">
        <v>2737</v>
      </c>
      <c r="M1308" s="90">
        <v>38.92</v>
      </c>
      <c r="N1308" s="90">
        <v>-76.150000000000006</v>
      </c>
      <c r="O1308" s="90">
        <v>5</v>
      </c>
      <c r="R1308" s="55">
        <v>1007</v>
      </c>
      <c r="U1308" s="55">
        <v>4</v>
      </c>
      <c r="V1308" s="55" t="s">
        <v>1818</v>
      </c>
      <c r="Y1308" s="55" t="s">
        <v>1943</v>
      </c>
      <c r="Z1308" s="55" t="s">
        <v>1377</v>
      </c>
      <c r="AA1308" s="90" t="s">
        <v>1684</v>
      </c>
      <c r="AD1308" s="90">
        <v>1.5</v>
      </c>
      <c r="AH1308" s="55" t="s">
        <v>6378</v>
      </c>
      <c r="AM1308" s="55" t="s">
        <v>1314</v>
      </c>
      <c r="AN1308" s="185" t="s">
        <v>131</v>
      </c>
      <c r="AO1308" s="185" t="s">
        <v>5150</v>
      </c>
      <c r="AQ1308" s="55" t="s">
        <v>131</v>
      </c>
      <c r="AR1308" s="55" t="s">
        <v>132</v>
      </c>
      <c r="AS1308" s="55" t="s">
        <v>132</v>
      </c>
      <c r="AU1308" s="181" t="s">
        <v>7494</v>
      </c>
      <c r="AV1308" s="185" t="s">
        <v>176</v>
      </c>
      <c r="AX1308" s="185" t="s">
        <v>176</v>
      </c>
      <c r="AZ1308" s="55" t="s">
        <v>156</v>
      </c>
      <c r="BA1308" s="55" t="s">
        <v>156</v>
      </c>
      <c r="BB1308" s="55" t="s">
        <v>2082</v>
      </c>
      <c r="BC1308" s="55" t="s">
        <v>2082</v>
      </c>
      <c r="BD1308" s="55" t="s">
        <v>176</v>
      </c>
      <c r="BE1308" s="226" t="s">
        <v>861</v>
      </c>
      <c r="BF1308" s="191" t="s">
        <v>479</v>
      </c>
      <c r="BG1308" s="55" t="s">
        <v>479</v>
      </c>
      <c r="BH1308" s="226" t="s">
        <v>861</v>
      </c>
      <c r="BI1308" s="55" t="s">
        <v>479</v>
      </c>
      <c r="BJ1308" s="55" t="s">
        <v>176</v>
      </c>
      <c r="BK1308" s="55" t="s">
        <v>6269</v>
      </c>
      <c r="BM1308" s="192" t="s">
        <v>119</v>
      </c>
      <c r="BN1308" s="55">
        <v>4</v>
      </c>
      <c r="BO1308" s="55">
        <v>4</v>
      </c>
      <c r="BQ1308" s="55" t="s">
        <v>315</v>
      </c>
      <c r="BS1308" s="55">
        <v>4048</v>
      </c>
      <c r="BT1308" s="55">
        <f>BS1308/85</f>
        <v>47.623529411764707</v>
      </c>
      <c r="DB1308" s="65">
        <v>3.03</v>
      </c>
      <c r="DC1308" s="65">
        <v>0.49</v>
      </c>
      <c r="DF1308" s="65" t="s">
        <v>1636</v>
      </c>
      <c r="GP1308" s="292" t="s">
        <v>7494</v>
      </c>
      <c r="JW1308" s="55" t="s">
        <v>837</v>
      </c>
    </row>
    <row r="1309" spans="1:283" x14ac:dyDescent="0.25">
      <c r="A1309" s="55">
        <v>1308</v>
      </c>
      <c r="B1309" s="12" t="s">
        <v>7067</v>
      </c>
      <c r="C1309" s="155">
        <v>59</v>
      </c>
      <c r="D1309" s="55" t="s">
        <v>3939</v>
      </c>
      <c r="E1309" s="90" t="s">
        <v>834</v>
      </c>
      <c r="G1309" s="55" t="s">
        <v>835</v>
      </c>
      <c r="H1309" s="55">
        <v>1997</v>
      </c>
      <c r="I1309" s="55">
        <v>1990</v>
      </c>
      <c r="J1309" s="55" t="s">
        <v>836</v>
      </c>
      <c r="K1309" s="55" t="s">
        <v>859</v>
      </c>
      <c r="L1309" s="55" t="s">
        <v>2737</v>
      </c>
      <c r="M1309" s="90">
        <v>38.92</v>
      </c>
      <c r="N1309" s="90">
        <v>-76.150000000000006</v>
      </c>
      <c r="O1309" s="90">
        <v>5</v>
      </c>
      <c r="R1309" s="55">
        <v>1007</v>
      </c>
      <c r="U1309" s="55">
        <v>4</v>
      </c>
      <c r="V1309" s="55" t="s">
        <v>1818</v>
      </c>
      <c r="Y1309" s="55" t="s">
        <v>1942</v>
      </c>
      <c r="Z1309" s="55" t="s">
        <v>1377</v>
      </c>
      <c r="AA1309" s="90" t="s">
        <v>1684</v>
      </c>
      <c r="AD1309" s="90">
        <v>1.5</v>
      </c>
      <c r="AH1309" s="55" t="s">
        <v>6378</v>
      </c>
      <c r="AM1309" s="55" t="s">
        <v>1314</v>
      </c>
      <c r="AN1309" s="185" t="s">
        <v>131</v>
      </c>
      <c r="AO1309" s="185" t="s">
        <v>5150</v>
      </c>
      <c r="AQ1309" s="55" t="s">
        <v>131</v>
      </c>
      <c r="AR1309" s="55" t="s">
        <v>132</v>
      </c>
      <c r="AS1309" s="55" t="s">
        <v>132</v>
      </c>
      <c r="AU1309" s="181" t="s">
        <v>7494</v>
      </c>
      <c r="AV1309" s="185" t="s">
        <v>176</v>
      </c>
      <c r="AX1309" s="185" t="s">
        <v>176</v>
      </c>
      <c r="AZ1309" s="55" t="s">
        <v>156</v>
      </c>
      <c r="BA1309" s="55" t="s">
        <v>156</v>
      </c>
      <c r="BB1309" s="55" t="s">
        <v>2082</v>
      </c>
      <c r="BC1309" s="55" t="s">
        <v>2082</v>
      </c>
      <c r="BD1309" s="55" t="s">
        <v>176</v>
      </c>
      <c r="BE1309" s="226" t="s">
        <v>861</v>
      </c>
      <c r="BF1309" s="191" t="s">
        <v>479</v>
      </c>
      <c r="BG1309" s="55" t="s">
        <v>479</v>
      </c>
      <c r="BH1309" s="226" t="s">
        <v>861</v>
      </c>
      <c r="BI1309" s="55" t="s">
        <v>479</v>
      </c>
      <c r="BJ1309" s="55" t="s">
        <v>176</v>
      </c>
      <c r="BK1309" s="55" t="s">
        <v>6269</v>
      </c>
      <c r="BM1309" s="192" t="s">
        <v>119</v>
      </c>
      <c r="BN1309" s="55">
        <v>4</v>
      </c>
      <c r="BO1309" s="55">
        <v>4</v>
      </c>
      <c r="BQ1309" s="55" t="s">
        <v>315</v>
      </c>
      <c r="BS1309" s="55">
        <v>4048</v>
      </c>
      <c r="BT1309" s="55">
        <f>BS1309/85</f>
        <v>47.623529411764707</v>
      </c>
      <c r="DB1309" s="65">
        <v>1.54</v>
      </c>
      <c r="DC1309" s="65">
        <v>0.73</v>
      </c>
      <c r="DF1309" s="65" t="s">
        <v>1636</v>
      </c>
      <c r="GP1309" s="292" t="s">
        <v>7494</v>
      </c>
      <c r="JW1309" s="55" t="s">
        <v>837</v>
      </c>
    </row>
    <row r="1310" spans="1:283" x14ac:dyDescent="0.25">
      <c r="A1310" s="55">
        <v>1309</v>
      </c>
      <c r="B1310" s="12" t="s">
        <v>7067</v>
      </c>
      <c r="C1310" s="155">
        <v>59</v>
      </c>
      <c r="D1310" s="55" t="s">
        <v>3939</v>
      </c>
      <c r="E1310" s="90" t="s">
        <v>834</v>
      </c>
      <c r="G1310" s="55" t="s">
        <v>835</v>
      </c>
      <c r="H1310" s="55">
        <v>1997</v>
      </c>
      <c r="I1310" s="55">
        <v>1991</v>
      </c>
      <c r="J1310" s="55" t="s">
        <v>836</v>
      </c>
      <c r="K1310" s="55" t="s">
        <v>859</v>
      </c>
      <c r="L1310" s="55" t="s">
        <v>2737</v>
      </c>
      <c r="M1310" s="90">
        <v>38.92</v>
      </c>
      <c r="N1310" s="90">
        <v>-76.150000000000006</v>
      </c>
      <c r="O1310" s="90">
        <v>5</v>
      </c>
      <c r="R1310" s="55">
        <v>997</v>
      </c>
      <c r="U1310" s="55">
        <v>5</v>
      </c>
      <c r="V1310" s="55" t="s">
        <v>1818</v>
      </c>
      <c r="Y1310" s="55" t="s">
        <v>1943</v>
      </c>
      <c r="Z1310" s="55" t="s">
        <v>1377</v>
      </c>
      <c r="AA1310" s="90" t="s">
        <v>1684</v>
      </c>
      <c r="AD1310" s="90">
        <v>1.5</v>
      </c>
      <c r="AH1310" s="55" t="s">
        <v>6378</v>
      </c>
      <c r="AM1310" s="55" t="s">
        <v>1314</v>
      </c>
      <c r="AN1310" s="185" t="s">
        <v>131</v>
      </c>
      <c r="AO1310" s="185" t="s">
        <v>5150</v>
      </c>
      <c r="AQ1310" s="55" t="s">
        <v>131</v>
      </c>
      <c r="AR1310" s="55" t="s">
        <v>132</v>
      </c>
      <c r="AS1310" s="55" t="s">
        <v>132</v>
      </c>
      <c r="AU1310" s="181" t="s">
        <v>7494</v>
      </c>
      <c r="AV1310" s="185" t="s">
        <v>176</v>
      </c>
      <c r="AX1310" s="185" t="s">
        <v>176</v>
      </c>
      <c r="AZ1310" s="55" t="s">
        <v>156</v>
      </c>
      <c r="BA1310" s="55" t="s">
        <v>156</v>
      </c>
      <c r="BB1310" s="55" t="s">
        <v>2082</v>
      </c>
      <c r="BC1310" s="55" t="s">
        <v>2082</v>
      </c>
      <c r="BD1310" s="55" t="s">
        <v>176</v>
      </c>
      <c r="BE1310" s="226" t="s">
        <v>861</v>
      </c>
      <c r="BF1310" s="191" t="s">
        <v>479</v>
      </c>
      <c r="BG1310" s="55" t="s">
        <v>479</v>
      </c>
      <c r="BH1310" s="226" t="s">
        <v>861</v>
      </c>
      <c r="BI1310" s="55" t="s">
        <v>479</v>
      </c>
      <c r="BJ1310" s="55" t="s">
        <v>176</v>
      </c>
      <c r="BK1310" s="55" t="s">
        <v>6269</v>
      </c>
      <c r="BM1310" s="192" t="s">
        <v>119</v>
      </c>
      <c r="BN1310" s="55">
        <v>4</v>
      </c>
      <c r="BO1310" s="55">
        <v>4</v>
      </c>
      <c r="BQ1310" s="55" t="s">
        <v>315</v>
      </c>
      <c r="BS1310" s="55">
        <v>1793</v>
      </c>
      <c r="BT1310" s="55">
        <f>BS1310/25.9</f>
        <v>69.227799227799238</v>
      </c>
      <c r="DB1310" s="65">
        <v>3.64</v>
      </c>
      <c r="DC1310" s="65">
        <v>0.22</v>
      </c>
      <c r="DF1310" s="65" t="s">
        <v>1636</v>
      </c>
      <c r="GP1310" s="292" t="s">
        <v>7494</v>
      </c>
      <c r="JW1310" s="55" t="s">
        <v>837</v>
      </c>
    </row>
    <row r="1311" spans="1:283" x14ac:dyDescent="0.25">
      <c r="A1311" s="55">
        <v>1310</v>
      </c>
      <c r="B1311" s="12" t="s">
        <v>7067</v>
      </c>
      <c r="C1311" s="155">
        <v>59</v>
      </c>
      <c r="D1311" s="55" t="s">
        <v>3939</v>
      </c>
      <c r="E1311" s="90" t="s">
        <v>834</v>
      </c>
      <c r="G1311" s="55" t="s">
        <v>835</v>
      </c>
      <c r="H1311" s="55">
        <v>1997</v>
      </c>
      <c r="I1311" s="55">
        <v>1991</v>
      </c>
      <c r="J1311" s="55" t="s">
        <v>836</v>
      </c>
      <c r="K1311" s="55" t="s">
        <v>859</v>
      </c>
      <c r="L1311" s="55" t="s">
        <v>2737</v>
      </c>
      <c r="M1311" s="90">
        <v>38.92</v>
      </c>
      <c r="N1311" s="90">
        <v>-76.150000000000006</v>
      </c>
      <c r="O1311" s="90">
        <v>5</v>
      </c>
      <c r="R1311" s="55">
        <v>997</v>
      </c>
      <c r="U1311" s="55">
        <v>5</v>
      </c>
      <c r="V1311" s="55" t="s">
        <v>1818</v>
      </c>
      <c r="Y1311" s="55" t="s">
        <v>1942</v>
      </c>
      <c r="Z1311" s="55" t="s">
        <v>1377</v>
      </c>
      <c r="AA1311" s="90" t="s">
        <v>1684</v>
      </c>
      <c r="AD1311" s="90">
        <v>1.5</v>
      </c>
      <c r="AH1311" s="55" t="s">
        <v>6378</v>
      </c>
      <c r="AM1311" s="55" t="s">
        <v>1314</v>
      </c>
      <c r="AN1311" s="185" t="s">
        <v>131</v>
      </c>
      <c r="AO1311" s="185" t="s">
        <v>5150</v>
      </c>
      <c r="AQ1311" s="55" t="s">
        <v>131</v>
      </c>
      <c r="AR1311" s="55" t="s">
        <v>132</v>
      </c>
      <c r="AS1311" s="55" t="s">
        <v>132</v>
      </c>
      <c r="AU1311" s="181" t="s">
        <v>7494</v>
      </c>
      <c r="AV1311" s="185" t="s">
        <v>176</v>
      </c>
      <c r="AX1311" s="185" t="s">
        <v>176</v>
      </c>
      <c r="AZ1311" s="55" t="s">
        <v>156</v>
      </c>
      <c r="BA1311" s="55" t="s">
        <v>156</v>
      </c>
      <c r="BB1311" s="55" t="s">
        <v>2082</v>
      </c>
      <c r="BC1311" s="55" t="s">
        <v>2082</v>
      </c>
      <c r="BD1311" s="55" t="s">
        <v>176</v>
      </c>
      <c r="BE1311" s="226" t="s">
        <v>861</v>
      </c>
      <c r="BF1311" s="191" t="s">
        <v>479</v>
      </c>
      <c r="BG1311" s="55" t="s">
        <v>479</v>
      </c>
      <c r="BH1311" s="226" t="s">
        <v>861</v>
      </c>
      <c r="BI1311" s="55" t="s">
        <v>479</v>
      </c>
      <c r="BJ1311" s="55" t="s">
        <v>176</v>
      </c>
      <c r="BK1311" s="55" t="s">
        <v>6269</v>
      </c>
      <c r="BM1311" s="192" t="s">
        <v>119</v>
      </c>
      <c r="BN1311" s="55">
        <v>4</v>
      </c>
      <c r="BO1311" s="55">
        <v>4</v>
      </c>
      <c r="BQ1311" s="55" t="s">
        <v>315</v>
      </c>
      <c r="BS1311" s="55">
        <v>1793</v>
      </c>
      <c r="BT1311" s="55">
        <f>BS1311/25.9</f>
        <v>69.227799227799238</v>
      </c>
      <c r="DB1311" s="65">
        <v>2.57</v>
      </c>
      <c r="DC1311" s="65">
        <v>1.03</v>
      </c>
      <c r="DF1311" s="65" t="s">
        <v>1636</v>
      </c>
      <c r="GP1311" s="292" t="s">
        <v>7494</v>
      </c>
      <c r="JW1311" s="55" t="s">
        <v>837</v>
      </c>
    </row>
    <row r="1312" spans="1:283" x14ac:dyDescent="0.25">
      <c r="A1312" s="55">
        <v>1311</v>
      </c>
      <c r="B1312" s="12" t="s">
        <v>7067</v>
      </c>
      <c r="C1312" s="155">
        <v>59</v>
      </c>
      <c r="D1312" s="55" t="s">
        <v>3939</v>
      </c>
      <c r="E1312" s="90" t="s">
        <v>834</v>
      </c>
      <c r="G1312" s="55" t="s">
        <v>835</v>
      </c>
      <c r="H1312" s="55">
        <v>1997</v>
      </c>
      <c r="I1312" s="55">
        <v>1992</v>
      </c>
      <c r="J1312" s="55" t="s">
        <v>836</v>
      </c>
      <c r="K1312" s="55" t="s">
        <v>859</v>
      </c>
      <c r="L1312" s="55" t="s">
        <v>2737</v>
      </c>
      <c r="M1312" s="90">
        <v>38.92</v>
      </c>
      <c r="N1312" s="90">
        <v>-76.150000000000006</v>
      </c>
      <c r="O1312" s="90">
        <v>5</v>
      </c>
      <c r="R1312" s="55">
        <v>866</v>
      </c>
      <c r="U1312" s="55">
        <v>6</v>
      </c>
      <c r="V1312" s="55" t="s">
        <v>1818</v>
      </c>
      <c r="Y1312" s="55" t="s">
        <v>1943</v>
      </c>
      <c r="Z1312" s="55" t="s">
        <v>1377</v>
      </c>
      <c r="AA1312" s="90" t="s">
        <v>1684</v>
      </c>
      <c r="AD1312" s="90">
        <v>1.5</v>
      </c>
      <c r="AH1312" s="55" t="s">
        <v>6378</v>
      </c>
      <c r="AM1312" s="55" t="s">
        <v>1314</v>
      </c>
      <c r="AN1312" s="185" t="s">
        <v>131</v>
      </c>
      <c r="AO1312" s="185" t="s">
        <v>5150</v>
      </c>
      <c r="AQ1312" s="55" t="s">
        <v>131</v>
      </c>
      <c r="AR1312" s="55" t="s">
        <v>132</v>
      </c>
      <c r="AS1312" s="55" t="s">
        <v>132</v>
      </c>
      <c r="AU1312" s="181" t="s">
        <v>7494</v>
      </c>
      <c r="AV1312" s="185" t="s">
        <v>176</v>
      </c>
      <c r="AX1312" s="185" t="s">
        <v>176</v>
      </c>
      <c r="AZ1312" s="55" t="s">
        <v>156</v>
      </c>
      <c r="BA1312" s="55" t="s">
        <v>156</v>
      </c>
      <c r="BB1312" s="55" t="s">
        <v>2082</v>
      </c>
      <c r="BC1312" s="55" t="s">
        <v>2082</v>
      </c>
      <c r="BD1312" s="55" t="s">
        <v>176</v>
      </c>
      <c r="BE1312" s="226" t="s">
        <v>861</v>
      </c>
      <c r="BF1312" s="191" t="s">
        <v>479</v>
      </c>
      <c r="BG1312" s="55" t="s">
        <v>479</v>
      </c>
      <c r="BH1312" s="226" t="s">
        <v>861</v>
      </c>
      <c r="BI1312" s="55" t="s">
        <v>479</v>
      </c>
      <c r="BJ1312" s="55" t="s">
        <v>176</v>
      </c>
      <c r="BK1312" s="55" t="s">
        <v>6269</v>
      </c>
      <c r="BM1312" s="192" t="s">
        <v>119</v>
      </c>
      <c r="BN1312" s="55">
        <v>4</v>
      </c>
      <c r="BO1312" s="55">
        <v>4</v>
      </c>
      <c r="BQ1312" s="55" t="s">
        <v>315</v>
      </c>
      <c r="BS1312" s="55">
        <v>2053</v>
      </c>
      <c r="BT1312" s="55">
        <f>BS1312/40.5</f>
        <v>50.691358024691361</v>
      </c>
      <c r="DB1312" s="65">
        <v>3.67</v>
      </c>
      <c r="DC1312" s="65">
        <v>0.14000000000000001</v>
      </c>
      <c r="DF1312" s="65" t="s">
        <v>1636</v>
      </c>
      <c r="GP1312" s="292" t="s">
        <v>7494</v>
      </c>
      <c r="JW1312" s="55" t="s">
        <v>837</v>
      </c>
    </row>
    <row r="1313" spans="1:283" x14ac:dyDescent="0.25">
      <c r="A1313" s="55">
        <v>1312</v>
      </c>
      <c r="B1313" s="12" t="s">
        <v>7067</v>
      </c>
      <c r="C1313" s="155">
        <v>59</v>
      </c>
      <c r="D1313" s="55" t="s">
        <v>3939</v>
      </c>
      <c r="E1313" s="90" t="s">
        <v>834</v>
      </c>
      <c r="G1313" s="55" t="s">
        <v>835</v>
      </c>
      <c r="H1313" s="55">
        <v>1997</v>
      </c>
      <c r="I1313" s="55">
        <v>1992</v>
      </c>
      <c r="J1313" s="55" t="s">
        <v>836</v>
      </c>
      <c r="K1313" s="55" t="s">
        <v>859</v>
      </c>
      <c r="L1313" s="55" t="s">
        <v>2737</v>
      </c>
      <c r="M1313" s="90">
        <v>38.92</v>
      </c>
      <c r="N1313" s="90">
        <v>-76.150000000000006</v>
      </c>
      <c r="O1313" s="90">
        <v>5</v>
      </c>
      <c r="R1313" s="55">
        <v>866</v>
      </c>
      <c r="U1313" s="55">
        <v>6</v>
      </c>
      <c r="V1313" s="55" t="s">
        <v>1818</v>
      </c>
      <c r="Y1313" s="55" t="s">
        <v>1942</v>
      </c>
      <c r="Z1313" s="55" t="s">
        <v>1377</v>
      </c>
      <c r="AA1313" s="90" t="s">
        <v>1684</v>
      </c>
      <c r="AD1313" s="90">
        <v>1.5</v>
      </c>
      <c r="AH1313" s="55" t="s">
        <v>6378</v>
      </c>
      <c r="AM1313" s="55" t="s">
        <v>1314</v>
      </c>
      <c r="AN1313" s="185" t="s">
        <v>131</v>
      </c>
      <c r="AO1313" s="185" t="s">
        <v>5150</v>
      </c>
      <c r="AQ1313" s="55" t="s">
        <v>131</v>
      </c>
      <c r="AR1313" s="55" t="s">
        <v>132</v>
      </c>
      <c r="AS1313" s="55" t="s">
        <v>132</v>
      </c>
      <c r="AU1313" s="181" t="s">
        <v>7494</v>
      </c>
      <c r="AV1313" s="185" t="s">
        <v>176</v>
      </c>
      <c r="AX1313" s="185" t="s">
        <v>176</v>
      </c>
      <c r="AZ1313" s="55" t="s">
        <v>156</v>
      </c>
      <c r="BA1313" s="55" t="s">
        <v>156</v>
      </c>
      <c r="BB1313" s="55" t="s">
        <v>2082</v>
      </c>
      <c r="BC1313" s="55" t="s">
        <v>2082</v>
      </c>
      <c r="BD1313" s="55" t="s">
        <v>176</v>
      </c>
      <c r="BE1313" s="226" t="s">
        <v>861</v>
      </c>
      <c r="BF1313" s="191" t="s">
        <v>479</v>
      </c>
      <c r="BG1313" s="55" t="s">
        <v>479</v>
      </c>
      <c r="BH1313" s="226" t="s">
        <v>861</v>
      </c>
      <c r="BI1313" s="55" t="s">
        <v>479</v>
      </c>
      <c r="BJ1313" s="55" t="s">
        <v>176</v>
      </c>
      <c r="BK1313" s="55" t="s">
        <v>6269</v>
      </c>
      <c r="BM1313" s="192" t="s">
        <v>119</v>
      </c>
      <c r="BN1313" s="55">
        <v>4</v>
      </c>
      <c r="BO1313" s="55">
        <v>4</v>
      </c>
      <c r="BQ1313" s="55" t="s">
        <v>315</v>
      </c>
      <c r="BS1313" s="55">
        <v>2053</v>
      </c>
      <c r="BT1313" s="55">
        <f>BS1313/40.5</f>
        <v>50.691358024691361</v>
      </c>
      <c r="DB1313" s="65">
        <v>0.81</v>
      </c>
      <c r="DC1313" s="65">
        <v>0.34</v>
      </c>
      <c r="DF1313" s="65" t="s">
        <v>1636</v>
      </c>
      <c r="GP1313" s="292" t="s">
        <v>7494</v>
      </c>
      <c r="JW1313" s="55" t="s">
        <v>837</v>
      </c>
    </row>
    <row r="1314" spans="1:283" x14ac:dyDescent="0.25">
      <c r="A1314" s="55">
        <v>1313</v>
      </c>
      <c r="B1314" s="12" t="s">
        <v>7067</v>
      </c>
      <c r="C1314" s="155">
        <v>59</v>
      </c>
      <c r="D1314" s="55" t="s">
        <v>3939</v>
      </c>
      <c r="E1314" s="90" t="s">
        <v>834</v>
      </c>
      <c r="G1314" s="55" t="s">
        <v>835</v>
      </c>
      <c r="H1314" s="55">
        <v>1997</v>
      </c>
      <c r="I1314" s="55">
        <v>1993</v>
      </c>
      <c r="J1314" s="55" t="s">
        <v>836</v>
      </c>
      <c r="K1314" s="55" t="s">
        <v>859</v>
      </c>
      <c r="L1314" s="55" t="s">
        <v>2737</v>
      </c>
      <c r="M1314" s="90">
        <v>38.92</v>
      </c>
      <c r="N1314" s="90">
        <v>-76.150000000000006</v>
      </c>
      <c r="O1314" s="90">
        <v>5</v>
      </c>
      <c r="R1314" s="55">
        <v>972</v>
      </c>
      <c r="U1314" s="55">
        <v>7</v>
      </c>
      <c r="V1314" s="55" t="s">
        <v>1818</v>
      </c>
      <c r="Y1314" s="55" t="s">
        <v>1943</v>
      </c>
      <c r="Z1314" s="55" t="s">
        <v>1377</v>
      </c>
      <c r="AA1314" s="90" t="s">
        <v>1684</v>
      </c>
      <c r="AD1314" s="90">
        <v>1.5</v>
      </c>
      <c r="AH1314" s="55" t="s">
        <v>6378</v>
      </c>
      <c r="AM1314" s="55" t="s">
        <v>1314</v>
      </c>
      <c r="AN1314" s="185" t="s">
        <v>131</v>
      </c>
      <c r="AO1314" s="185" t="s">
        <v>5150</v>
      </c>
      <c r="AQ1314" s="55" t="s">
        <v>131</v>
      </c>
      <c r="AR1314" s="55" t="s">
        <v>132</v>
      </c>
      <c r="AS1314" s="55" t="s">
        <v>132</v>
      </c>
      <c r="AU1314" s="181" t="s">
        <v>7494</v>
      </c>
      <c r="AV1314" s="185" t="s">
        <v>176</v>
      </c>
      <c r="AX1314" s="185" t="s">
        <v>176</v>
      </c>
      <c r="AZ1314" s="55" t="s">
        <v>156</v>
      </c>
      <c r="BA1314" s="55" t="s">
        <v>156</v>
      </c>
      <c r="BB1314" s="55" t="s">
        <v>2082</v>
      </c>
      <c r="BC1314" s="55" t="s">
        <v>2082</v>
      </c>
      <c r="BD1314" s="55" t="s">
        <v>176</v>
      </c>
      <c r="BE1314" s="226" t="s">
        <v>861</v>
      </c>
      <c r="BF1314" s="191" t="s">
        <v>479</v>
      </c>
      <c r="BG1314" s="55" t="s">
        <v>479</v>
      </c>
      <c r="BH1314" s="226" t="s">
        <v>861</v>
      </c>
      <c r="BI1314" s="55" t="s">
        <v>479</v>
      </c>
      <c r="BJ1314" s="55" t="s">
        <v>176</v>
      </c>
      <c r="BK1314" s="55" t="s">
        <v>6269</v>
      </c>
      <c r="BM1314" s="192" t="s">
        <v>119</v>
      </c>
      <c r="BN1314" s="55">
        <v>4</v>
      </c>
      <c r="BO1314" s="55">
        <v>4</v>
      </c>
      <c r="BQ1314" s="55" t="s">
        <v>315</v>
      </c>
      <c r="BS1314" s="55">
        <v>1873</v>
      </c>
      <c r="BT1314" s="55">
        <f>BS1314/37.3</f>
        <v>50.21447721179625</v>
      </c>
      <c r="DB1314" s="65">
        <v>2.04</v>
      </c>
      <c r="DC1314" s="65">
        <v>0.3</v>
      </c>
      <c r="DF1314" s="65" t="s">
        <v>1636</v>
      </c>
      <c r="GP1314" s="292" t="s">
        <v>7494</v>
      </c>
      <c r="JW1314" s="55" t="s">
        <v>837</v>
      </c>
    </row>
    <row r="1315" spans="1:283" x14ac:dyDescent="0.25">
      <c r="A1315" s="55">
        <v>1314</v>
      </c>
      <c r="B1315" s="12" t="s">
        <v>7067</v>
      </c>
      <c r="C1315" s="155">
        <v>59</v>
      </c>
      <c r="D1315" s="55" t="s">
        <v>3939</v>
      </c>
      <c r="E1315" s="90" t="s">
        <v>834</v>
      </c>
      <c r="G1315" s="55" t="s">
        <v>835</v>
      </c>
      <c r="H1315" s="55">
        <v>1997</v>
      </c>
      <c r="I1315" s="55">
        <v>1993</v>
      </c>
      <c r="J1315" s="55" t="s">
        <v>836</v>
      </c>
      <c r="K1315" s="55" t="s">
        <v>859</v>
      </c>
      <c r="L1315" s="55" t="s">
        <v>2737</v>
      </c>
      <c r="M1315" s="90">
        <v>38.92</v>
      </c>
      <c r="N1315" s="90">
        <v>-76.150000000000006</v>
      </c>
      <c r="O1315" s="90">
        <v>5</v>
      </c>
      <c r="R1315" s="55">
        <v>972</v>
      </c>
      <c r="U1315" s="55">
        <v>7</v>
      </c>
      <c r="V1315" s="55" t="s">
        <v>1818</v>
      </c>
      <c r="Y1315" s="55" t="s">
        <v>1942</v>
      </c>
      <c r="Z1315" s="55" t="s">
        <v>1377</v>
      </c>
      <c r="AA1315" s="90" t="s">
        <v>1684</v>
      </c>
      <c r="AD1315" s="90">
        <v>1.5</v>
      </c>
      <c r="AH1315" s="55" t="s">
        <v>6378</v>
      </c>
      <c r="AM1315" s="55" t="s">
        <v>1314</v>
      </c>
      <c r="AN1315" s="185" t="s">
        <v>131</v>
      </c>
      <c r="AO1315" s="185" t="s">
        <v>5150</v>
      </c>
      <c r="AQ1315" s="55" t="s">
        <v>131</v>
      </c>
      <c r="AR1315" s="55" t="s">
        <v>132</v>
      </c>
      <c r="AS1315" s="55" t="s">
        <v>132</v>
      </c>
      <c r="AU1315" s="181" t="s">
        <v>7494</v>
      </c>
      <c r="AV1315" s="185" t="s">
        <v>176</v>
      </c>
      <c r="AX1315" s="185" t="s">
        <v>176</v>
      </c>
      <c r="AZ1315" s="55" t="s">
        <v>156</v>
      </c>
      <c r="BA1315" s="55" t="s">
        <v>156</v>
      </c>
      <c r="BB1315" s="55" t="s">
        <v>2082</v>
      </c>
      <c r="BC1315" s="55" t="s">
        <v>2082</v>
      </c>
      <c r="BD1315" s="55" t="s">
        <v>176</v>
      </c>
      <c r="BE1315" s="226" t="s">
        <v>861</v>
      </c>
      <c r="BF1315" s="191" t="s">
        <v>479</v>
      </c>
      <c r="BG1315" s="55" t="s">
        <v>479</v>
      </c>
      <c r="BH1315" s="226" t="s">
        <v>861</v>
      </c>
      <c r="BI1315" s="55" t="s">
        <v>479</v>
      </c>
      <c r="BJ1315" s="55" t="s">
        <v>176</v>
      </c>
      <c r="BK1315" s="55" t="s">
        <v>6269</v>
      </c>
      <c r="BM1315" s="192" t="s">
        <v>119</v>
      </c>
      <c r="BN1315" s="55">
        <v>4</v>
      </c>
      <c r="BO1315" s="55">
        <v>4</v>
      </c>
      <c r="BQ1315" s="55" t="s">
        <v>315</v>
      </c>
      <c r="BS1315" s="55">
        <v>1873</v>
      </c>
      <c r="BT1315" s="55">
        <f>BS1315/37.3</f>
        <v>50.21447721179625</v>
      </c>
      <c r="DB1315" s="65">
        <v>0.48</v>
      </c>
      <c r="DC1315" s="65">
        <v>0.19</v>
      </c>
      <c r="DF1315" s="65" t="s">
        <v>1636</v>
      </c>
      <c r="GP1315" s="292" t="s">
        <v>7494</v>
      </c>
      <c r="JW1315" s="55" t="s">
        <v>837</v>
      </c>
    </row>
    <row r="1316" spans="1:283" x14ac:dyDescent="0.25">
      <c r="A1316" s="55">
        <v>1315</v>
      </c>
      <c r="B1316" s="12" t="s">
        <v>7067</v>
      </c>
      <c r="C1316" s="155">
        <v>59</v>
      </c>
      <c r="D1316" s="55" t="s">
        <v>3939</v>
      </c>
      <c r="E1316" s="90" t="s">
        <v>834</v>
      </c>
      <c r="G1316" s="55" t="s">
        <v>835</v>
      </c>
      <c r="H1316" s="55">
        <v>1997</v>
      </c>
      <c r="I1316" s="55">
        <v>1994</v>
      </c>
      <c r="J1316" s="55" t="s">
        <v>836</v>
      </c>
      <c r="K1316" s="55" t="s">
        <v>859</v>
      </c>
      <c r="L1316" s="55" t="s">
        <v>2737</v>
      </c>
      <c r="M1316" s="90">
        <v>38.92</v>
      </c>
      <c r="N1316" s="90">
        <v>-76.150000000000006</v>
      </c>
      <c r="O1316" s="90">
        <v>5</v>
      </c>
      <c r="R1316" s="55">
        <v>1275</v>
      </c>
      <c r="U1316" s="55">
        <v>8</v>
      </c>
      <c r="V1316" s="55" t="s">
        <v>1818</v>
      </c>
      <c r="Y1316" s="55" t="s">
        <v>1943</v>
      </c>
      <c r="Z1316" s="55" t="s">
        <v>1377</v>
      </c>
      <c r="AA1316" s="90" t="s">
        <v>1684</v>
      </c>
      <c r="AD1316" s="90">
        <v>1.5</v>
      </c>
      <c r="AH1316" s="55" t="s">
        <v>6378</v>
      </c>
      <c r="AM1316" s="55" t="s">
        <v>1314</v>
      </c>
      <c r="AN1316" s="185" t="s">
        <v>131</v>
      </c>
      <c r="AO1316" s="185" t="s">
        <v>5150</v>
      </c>
      <c r="AQ1316" s="55" t="s">
        <v>131</v>
      </c>
      <c r="AR1316" s="55" t="s">
        <v>132</v>
      </c>
      <c r="AS1316" s="55" t="s">
        <v>132</v>
      </c>
      <c r="AU1316" s="181" t="s">
        <v>7494</v>
      </c>
      <c r="AV1316" s="185" t="s">
        <v>176</v>
      </c>
      <c r="AX1316" s="185" t="s">
        <v>176</v>
      </c>
      <c r="AZ1316" s="55" t="s">
        <v>156</v>
      </c>
      <c r="BA1316" s="55" t="s">
        <v>156</v>
      </c>
      <c r="BB1316" s="55" t="s">
        <v>2082</v>
      </c>
      <c r="BC1316" s="55" t="s">
        <v>2082</v>
      </c>
      <c r="BD1316" s="55" t="s">
        <v>176</v>
      </c>
      <c r="BE1316" s="226" t="s">
        <v>861</v>
      </c>
      <c r="BF1316" s="191" t="s">
        <v>479</v>
      </c>
      <c r="BG1316" s="55" t="s">
        <v>479</v>
      </c>
      <c r="BH1316" s="226" t="s">
        <v>861</v>
      </c>
      <c r="BI1316" s="55" t="s">
        <v>479</v>
      </c>
      <c r="BJ1316" s="55" t="s">
        <v>176</v>
      </c>
      <c r="BK1316" s="55" t="s">
        <v>6269</v>
      </c>
      <c r="BM1316" s="192" t="s">
        <v>119</v>
      </c>
      <c r="BN1316" s="55">
        <v>4</v>
      </c>
      <c r="BO1316" s="55">
        <v>4</v>
      </c>
      <c r="BQ1316" s="55" t="s">
        <v>315</v>
      </c>
      <c r="BS1316" s="55">
        <v>3645</v>
      </c>
      <c r="BT1316" s="55">
        <f>BS1316/59.2</f>
        <v>61.570945945945944</v>
      </c>
      <c r="DB1316" s="65">
        <v>1.53</v>
      </c>
      <c r="DC1316" s="65">
        <v>0.19</v>
      </c>
      <c r="DF1316" s="65" t="s">
        <v>1636</v>
      </c>
      <c r="GP1316" s="292" t="s">
        <v>7494</v>
      </c>
      <c r="JW1316" s="55" t="s">
        <v>837</v>
      </c>
    </row>
    <row r="1317" spans="1:283" x14ac:dyDescent="0.25">
      <c r="A1317" s="55">
        <v>1316</v>
      </c>
      <c r="B1317" s="12" t="s">
        <v>7067</v>
      </c>
      <c r="C1317" s="155">
        <v>59</v>
      </c>
      <c r="D1317" s="55" t="s">
        <v>3939</v>
      </c>
      <c r="E1317" s="90" t="s">
        <v>834</v>
      </c>
      <c r="G1317" s="55" t="s">
        <v>835</v>
      </c>
      <c r="H1317" s="55">
        <v>1997</v>
      </c>
      <c r="I1317" s="55">
        <v>1994</v>
      </c>
      <c r="J1317" s="55" t="s">
        <v>836</v>
      </c>
      <c r="K1317" s="55" t="s">
        <v>859</v>
      </c>
      <c r="L1317" s="55" t="s">
        <v>2737</v>
      </c>
      <c r="M1317" s="90">
        <v>38.92</v>
      </c>
      <c r="N1317" s="90">
        <v>-76.150000000000006</v>
      </c>
      <c r="O1317" s="90">
        <v>5</v>
      </c>
      <c r="R1317" s="55">
        <v>1275</v>
      </c>
      <c r="U1317" s="55">
        <v>8</v>
      </c>
      <c r="V1317" s="55" t="s">
        <v>1818</v>
      </c>
      <c r="Y1317" s="55" t="s">
        <v>1942</v>
      </c>
      <c r="Z1317" s="55" t="s">
        <v>1377</v>
      </c>
      <c r="AA1317" s="90" t="s">
        <v>1684</v>
      </c>
      <c r="AD1317" s="90">
        <v>1.5</v>
      </c>
      <c r="AH1317" s="55" t="s">
        <v>6378</v>
      </c>
      <c r="AM1317" s="55" t="s">
        <v>1314</v>
      </c>
      <c r="AN1317" s="185" t="s">
        <v>131</v>
      </c>
      <c r="AO1317" s="185" t="s">
        <v>5150</v>
      </c>
      <c r="AQ1317" s="55" t="s">
        <v>131</v>
      </c>
      <c r="AR1317" s="55" t="s">
        <v>132</v>
      </c>
      <c r="AS1317" s="55" t="s">
        <v>132</v>
      </c>
      <c r="AU1317" s="181" t="s">
        <v>7494</v>
      </c>
      <c r="AV1317" s="185" t="s">
        <v>176</v>
      </c>
      <c r="AX1317" s="185" t="s">
        <v>176</v>
      </c>
      <c r="AZ1317" s="55" t="s">
        <v>156</v>
      </c>
      <c r="BA1317" s="55" t="s">
        <v>156</v>
      </c>
      <c r="BB1317" s="55" t="s">
        <v>2082</v>
      </c>
      <c r="BC1317" s="55" t="s">
        <v>2082</v>
      </c>
      <c r="BD1317" s="55" t="s">
        <v>176</v>
      </c>
      <c r="BE1317" s="226" t="s">
        <v>861</v>
      </c>
      <c r="BF1317" s="191" t="s">
        <v>479</v>
      </c>
      <c r="BG1317" s="55" t="s">
        <v>479</v>
      </c>
      <c r="BH1317" s="226" t="s">
        <v>861</v>
      </c>
      <c r="BI1317" s="55" t="s">
        <v>479</v>
      </c>
      <c r="BJ1317" s="55" t="s">
        <v>176</v>
      </c>
      <c r="BK1317" s="55" t="s">
        <v>6269</v>
      </c>
      <c r="BM1317" s="192" t="s">
        <v>119</v>
      </c>
      <c r="BN1317" s="55">
        <v>4</v>
      </c>
      <c r="BO1317" s="55">
        <v>4</v>
      </c>
      <c r="BQ1317" s="55" t="s">
        <v>315</v>
      </c>
      <c r="BS1317" s="55">
        <v>3645</v>
      </c>
      <c r="BT1317" s="55">
        <f>BS1317/59.2</f>
        <v>61.570945945945944</v>
      </c>
      <c r="DB1317" s="65">
        <v>0.24</v>
      </c>
      <c r="DC1317" s="65">
        <v>0.24</v>
      </c>
      <c r="DF1317" s="65" t="s">
        <v>1636</v>
      </c>
      <c r="GP1317" s="292" t="s">
        <v>7494</v>
      </c>
      <c r="JW1317" s="55" t="s">
        <v>837</v>
      </c>
    </row>
    <row r="1318" spans="1:283" x14ac:dyDescent="0.25">
      <c r="A1318" s="55">
        <v>1317</v>
      </c>
      <c r="B1318" s="12" t="s">
        <v>7067</v>
      </c>
      <c r="C1318" s="155">
        <v>60</v>
      </c>
      <c r="D1318" s="55" t="s">
        <v>3941</v>
      </c>
      <c r="E1318" s="90" t="s">
        <v>864</v>
      </c>
      <c r="G1318" s="55" t="s">
        <v>865</v>
      </c>
      <c r="H1318" s="55">
        <v>2012</v>
      </c>
      <c r="I1318" s="55">
        <v>2005</v>
      </c>
      <c r="J1318" s="55" t="s">
        <v>151</v>
      </c>
      <c r="K1318" s="55" t="s">
        <v>866</v>
      </c>
      <c r="L1318" s="55" t="s">
        <v>2737</v>
      </c>
      <c r="M1318" s="90">
        <f>38+37/60</f>
        <v>38.616666666666667</v>
      </c>
      <c r="N1318" s="90">
        <f>-76-44/60</f>
        <v>-76.733333333333334</v>
      </c>
      <c r="O1318" s="90">
        <v>25.4</v>
      </c>
      <c r="U1318" s="55" t="s">
        <v>1889</v>
      </c>
      <c r="V1318" s="55" t="s">
        <v>1875</v>
      </c>
      <c r="Y1318" s="55" t="s">
        <v>1944</v>
      </c>
      <c r="Z1318" s="55" t="s">
        <v>1355</v>
      </c>
      <c r="AA1318" s="90" t="s">
        <v>1679</v>
      </c>
      <c r="AD1318" s="90">
        <v>1.37</v>
      </c>
      <c r="AH1318" s="55" t="s">
        <v>6378</v>
      </c>
      <c r="AM1318" s="55" t="s">
        <v>1315</v>
      </c>
      <c r="AN1318" s="185" t="s">
        <v>131</v>
      </c>
      <c r="AO1318" s="185" t="s">
        <v>5150</v>
      </c>
      <c r="AQ1318" s="55" t="s">
        <v>131</v>
      </c>
      <c r="AR1318" s="55" t="s">
        <v>132</v>
      </c>
      <c r="AS1318" s="55" t="s">
        <v>132</v>
      </c>
      <c r="AU1318" s="181" t="s">
        <v>7494</v>
      </c>
      <c r="AV1318" s="185" t="s">
        <v>176</v>
      </c>
      <c r="AX1318" s="185" t="s">
        <v>176</v>
      </c>
      <c r="AZ1318" s="55" t="s">
        <v>156</v>
      </c>
      <c r="BA1318" s="55" t="s">
        <v>156</v>
      </c>
      <c r="BB1318" s="55" t="s">
        <v>2082</v>
      </c>
      <c r="BC1318" s="55" t="s">
        <v>2082</v>
      </c>
      <c r="BD1318" s="55" t="s">
        <v>176</v>
      </c>
      <c r="BE1318" s="226" t="s">
        <v>868</v>
      </c>
      <c r="BG1318" s="55" t="s">
        <v>479</v>
      </c>
      <c r="BH1318" s="226">
        <v>0</v>
      </c>
      <c r="BI1318" s="55" t="s">
        <v>176</v>
      </c>
      <c r="BJ1318" s="55" t="s">
        <v>479</v>
      </c>
      <c r="BK1318" s="55" t="s">
        <v>6269</v>
      </c>
      <c r="BM1318" s="192" t="s">
        <v>160</v>
      </c>
      <c r="BN1318" s="55">
        <v>4</v>
      </c>
      <c r="BO1318" s="55">
        <v>4</v>
      </c>
      <c r="BQ1318" s="55" t="s">
        <v>141</v>
      </c>
      <c r="BV1318" s="55" t="s">
        <v>869</v>
      </c>
      <c r="CB1318" s="66">
        <v>7997</v>
      </c>
      <c r="CC1318" s="66">
        <v>7827</v>
      </c>
      <c r="CH1318" s="90">
        <v>1.41</v>
      </c>
      <c r="CI1318" s="90">
        <v>1.427</v>
      </c>
      <c r="CM1318" s="65">
        <v>2.5479452054794498</v>
      </c>
      <c r="CN1318" s="65">
        <v>2.8630136986301369</v>
      </c>
      <c r="CR1318" s="65">
        <f>CM1318/0.073</f>
        <v>34.903358979170548</v>
      </c>
      <c r="CS1318" s="65">
        <f>CN1318/0.073</f>
        <v>39.219365734659412</v>
      </c>
      <c r="CV1318" s="65" t="s">
        <v>875</v>
      </c>
      <c r="DA1318" s="65" t="s">
        <v>4460</v>
      </c>
      <c r="EK1318" s="90">
        <v>44.55</v>
      </c>
      <c r="EL1318" s="90">
        <v>59.59</v>
      </c>
      <c r="EO1318" s="65" t="s">
        <v>872</v>
      </c>
      <c r="EP1318" s="65">
        <v>5.94</v>
      </c>
      <c r="EQ1318" s="65">
        <v>4.67</v>
      </c>
      <c r="ET1318" s="65" t="s">
        <v>883</v>
      </c>
      <c r="EZ1318" s="65">
        <f>0.868*3600</f>
        <v>3124.8</v>
      </c>
      <c r="FA1318" s="65">
        <f>2.3*3600</f>
        <v>8280</v>
      </c>
      <c r="FD1318" s="65" t="s">
        <v>877</v>
      </c>
      <c r="FE1318" s="65">
        <f>0.013*360</f>
        <v>4.68</v>
      </c>
      <c r="FF1318" s="65">
        <f>0.013*360</f>
        <v>4.68</v>
      </c>
      <c r="FI1318" s="65" t="s">
        <v>882</v>
      </c>
      <c r="GP1318" s="292" t="s">
        <v>7494</v>
      </c>
      <c r="JW1318" s="55" t="s">
        <v>837</v>
      </c>
    </row>
    <row r="1319" spans="1:283" x14ac:dyDescent="0.25">
      <c r="A1319" s="55">
        <v>1318</v>
      </c>
      <c r="B1319" s="12" t="s">
        <v>7067</v>
      </c>
      <c r="C1319" s="155">
        <v>60</v>
      </c>
      <c r="D1319" s="55" t="s">
        <v>3941</v>
      </c>
      <c r="E1319" s="90" t="s">
        <v>864</v>
      </c>
      <c r="G1319" s="55" t="s">
        <v>865</v>
      </c>
      <c r="H1319" s="55">
        <v>2012</v>
      </c>
      <c r="I1319" s="55">
        <v>2005</v>
      </c>
      <c r="J1319" s="55" t="s">
        <v>151</v>
      </c>
      <c r="K1319" s="55" t="s">
        <v>866</v>
      </c>
      <c r="L1319" s="55" t="s">
        <v>2737</v>
      </c>
      <c r="M1319" s="90">
        <f>38+37/60</f>
        <v>38.616666666666667</v>
      </c>
      <c r="N1319" s="90">
        <f>-76-44/60</f>
        <v>-76.733333333333334</v>
      </c>
      <c r="O1319" s="90">
        <v>25.4</v>
      </c>
      <c r="U1319" s="55" t="s">
        <v>1889</v>
      </c>
      <c r="V1319" s="55" t="s">
        <v>1875</v>
      </c>
      <c r="Y1319" s="55" t="s">
        <v>1945</v>
      </c>
      <c r="Z1319" s="55" t="s">
        <v>1355</v>
      </c>
      <c r="AA1319" s="90" t="s">
        <v>1679</v>
      </c>
      <c r="AD1319" s="90">
        <v>1.37</v>
      </c>
      <c r="AH1319" s="55" t="s">
        <v>6378</v>
      </c>
      <c r="AM1319" s="55" t="s">
        <v>1315</v>
      </c>
      <c r="AN1319" s="185" t="s">
        <v>131</v>
      </c>
      <c r="AO1319" s="185" t="s">
        <v>5150</v>
      </c>
      <c r="AQ1319" s="55" t="s">
        <v>131</v>
      </c>
      <c r="AR1319" s="55" t="s">
        <v>132</v>
      </c>
      <c r="AS1319" s="55" t="s">
        <v>132</v>
      </c>
      <c r="AU1319" s="181" t="s">
        <v>7494</v>
      </c>
      <c r="AV1319" s="185" t="s">
        <v>176</v>
      </c>
      <c r="AX1319" s="185" t="s">
        <v>176</v>
      </c>
      <c r="AZ1319" s="55" t="s">
        <v>156</v>
      </c>
      <c r="BA1319" s="55" t="s">
        <v>156</v>
      </c>
      <c r="BB1319" s="55" t="s">
        <v>2082</v>
      </c>
      <c r="BC1319" s="55" t="s">
        <v>2082</v>
      </c>
      <c r="BD1319" s="55" t="s">
        <v>176</v>
      </c>
      <c r="BE1319" s="226" t="s">
        <v>868</v>
      </c>
      <c r="BG1319" s="55" t="s">
        <v>479</v>
      </c>
      <c r="BH1319" s="226">
        <v>0</v>
      </c>
      <c r="BI1319" s="55" t="s">
        <v>176</v>
      </c>
      <c r="BJ1319" s="55" t="s">
        <v>479</v>
      </c>
      <c r="BK1319" s="55" t="s">
        <v>6269</v>
      </c>
      <c r="BM1319" s="192" t="s">
        <v>160</v>
      </c>
      <c r="BN1319" s="55">
        <v>4</v>
      </c>
      <c r="BO1319" s="55">
        <v>4</v>
      </c>
      <c r="BQ1319" s="55" t="s">
        <v>141</v>
      </c>
      <c r="BV1319" s="55" t="s">
        <v>870</v>
      </c>
      <c r="CB1319" s="66">
        <v>7997</v>
      </c>
      <c r="CC1319" s="66">
        <v>7827</v>
      </c>
      <c r="CH1319" s="90">
        <v>1.41</v>
      </c>
      <c r="CI1319" s="90">
        <v>1.427</v>
      </c>
      <c r="CM1319" s="65">
        <v>2.547945205479452</v>
      </c>
      <c r="CN1319" s="65">
        <v>2.6438356164383565</v>
      </c>
      <c r="CR1319" s="65">
        <f>CM1319/0.073</f>
        <v>34.903358979170577</v>
      </c>
      <c r="CS1319" s="65">
        <f>CN1319/0.073</f>
        <v>36.21692625258023</v>
      </c>
      <c r="CV1319" s="65" t="s">
        <v>875</v>
      </c>
      <c r="DA1319" s="65" t="s">
        <v>4460</v>
      </c>
      <c r="EK1319" s="90">
        <v>24.64</v>
      </c>
      <c r="EL1319" s="90">
        <v>35.22</v>
      </c>
      <c r="EO1319" s="65" t="s">
        <v>872</v>
      </c>
      <c r="EP1319" s="65">
        <v>1.76</v>
      </c>
      <c r="EQ1319" s="65">
        <v>10.68</v>
      </c>
      <c r="ET1319" s="65" t="s">
        <v>883</v>
      </c>
      <c r="EZ1319" s="65">
        <f>0.3*3600</f>
        <v>1080</v>
      </c>
      <c r="FA1319" s="65">
        <f>0.307*3600</f>
        <v>1105.2</v>
      </c>
      <c r="FD1319" s="65" t="s">
        <v>877</v>
      </c>
      <c r="FE1319" s="65">
        <f>0.0084*360</f>
        <v>3.024</v>
      </c>
      <c r="FF1319" s="65">
        <f>0.0044*360</f>
        <v>1.5840000000000001</v>
      </c>
      <c r="FI1319" s="65" t="s">
        <v>882</v>
      </c>
      <c r="GP1319" s="292" t="s">
        <v>7494</v>
      </c>
      <c r="JW1319" s="55" t="s">
        <v>837</v>
      </c>
    </row>
    <row r="1320" spans="1:283" x14ac:dyDescent="0.25">
      <c r="A1320" s="55">
        <v>1319</v>
      </c>
      <c r="B1320" s="12" t="s">
        <v>7067</v>
      </c>
      <c r="C1320" s="155">
        <v>60</v>
      </c>
      <c r="D1320" s="55" t="s">
        <v>3941</v>
      </c>
      <c r="E1320" s="90" t="s">
        <v>864</v>
      </c>
      <c r="G1320" s="55" t="s">
        <v>865</v>
      </c>
      <c r="H1320" s="55">
        <v>2012</v>
      </c>
      <c r="I1320" s="55">
        <v>2006</v>
      </c>
      <c r="J1320" s="55" t="s">
        <v>151</v>
      </c>
      <c r="K1320" s="55" t="s">
        <v>866</v>
      </c>
      <c r="L1320" s="55" t="s">
        <v>2737</v>
      </c>
      <c r="M1320" s="90">
        <f>38+37/60</f>
        <v>38.616666666666667</v>
      </c>
      <c r="N1320" s="90">
        <f>-76-44/60</f>
        <v>-76.733333333333334</v>
      </c>
      <c r="O1320" s="90">
        <v>25.4</v>
      </c>
      <c r="U1320" s="55" t="s">
        <v>1875</v>
      </c>
      <c r="V1320" s="55" t="s">
        <v>1875</v>
      </c>
      <c r="Y1320" s="55" t="s">
        <v>1945</v>
      </c>
      <c r="Z1320" s="55" t="s">
        <v>1355</v>
      </c>
      <c r="AA1320" s="90" t="s">
        <v>1679</v>
      </c>
      <c r="AD1320" s="90">
        <v>1.37</v>
      </c>
      <c r="AH1320" s="55" t="s">
        <v>6378</v>
      </c>
      <c r="AM1320" s="55" t="s">
        <v>1315</v>
      </c>
      <c r="AN1320" s="185" t="s">
        <v>131</v>
      </c>
      <c r="AO1320" s="185" t="s">
        <v>5150</v>
      </c>
      <c r="AQ1320" s="55" t="s">
        <v>131</v>
      </c>
      <c r="AR1320" s="55" t="s">
        <v>132</v>
      </c>
      <c r="AS1320" s="55" t="s">
        <v>132</v>
      </c>
      <c r="AU1320" s="181" t="s">
        <v>7494</v>
      </c>
      <c r="AV1320" s="185" t="s">
        <v>176</v>
      </c>
      <c r="AX1320" s="185" t="s">
        <v>176</v>
      </c>
      <c r="AZ1320" s="55" t="s">
        <v>156</v>
      </c>
      <c r="BA1320" s="55" t="s">
        <v>156</v>
      </c>
      <c r="BB1320" s="55" t="s">
        <v>2082</v>
      </c>
      <c r="BC1320" s="55" t="s">
        <v>2082</v>
      </c>
      <c r="BD1320" s="55" t="s">
        <v>176</v>
      </c>
      <c r="BE1320" s="226" t="s">
        <v>868</v>
      </c>
      <c r="BG1320" s="55" t="s">
        <v>479</v>
      </c>
      <c r="BH1320" s="226">
        <v>0</v>
      </c>
      <c r="BI1320" s="55" t="s">
        <v>176</v>
      </c>
      <c r="BJ1320" s="55" t="s">
        <v>479</v>
      </c>
      <c r="BK1320" s="55" t="s">
        <v>6269</v>
      </c>
      <c r="BM1320" s="192" t="s">
        <v>160</v>
      </c>
      <c r="BN1320" s="55">
        <v>4</v>
      </c>
      <c r="BO1320" s="55">
        <v>4</v>
      </c>
      <c r="BQ1320" s="55" t="s">
        <v>141</v>
      </c>
      <c r="BV1320" s="55" t="s">
        <v>869</v>
      </c>
      <c r="CB1320" s="66">
        <v>7997</v>
      </c>
      <c r="CC1320" s="66">
        <v>7827</v>
      </c>
      <c r="CH1320" s="90">
        <v>1.4</v>
      </c>
      <c r="CI1320" s="90">
        <v>1.258</v>
      </c>
      <c r="CM1320" s="65">
        <v>2.4109589041095889</v>
      </c>
      <c r="CN1320" s="65">
        <v>2.5342465753424657</v>
      </c>
      <c r="CR1320" s="65">
        <f>CM1320/0.073</f>
        <v>33.02683430287108</v>
      </c>
      <c r="CS1320" s="65">
        <f>CN1320/0.073</f>
        <v>34.715706511540631</v>
      </c>
      <c r="CV1320" s="65" t="s">
        <v>875</v>
      </c>
      <c r="DA1320" s="65" t="s">
        <v>4460</v>
      </c>
      <c r="EK1320" s="90">
        <v>42.71</v>
      </c>
      <c r="EL1320" s="90">
        <v>60.16</v>
      </c>
      <c r="EO1320" s="65" t="s">
        <v>872</v>
      </c>
      <c r="EP1320" s="65">
        <v>2.87</v>
      </c>
      <c r="EQ1320" s="65">
        <v>3.99</v>
      </c>
      <c r="ET1320" s="65" t="s">
        <v>883</v>
      </c>
      <c r="EZ1320" s="65">
        <f>0.023*3600</f>
        <v>82.8</v>
      </c>
      <c r="FA1320" s="65">
        <f>0.0833*3600</f>
        <v>299.88</v>
      </c>
      <c r="FD1320" s="65" t="s">
        <v>877</v>
      </c>
      <c r="FE1320" s="65">
        <f>0.00037*360</f>
        <v>0.13319999999999999</v>
      </c>
      <c r="FF1320" s="65">
        <f>0.0023*360</f>
        <v>0.82799999999999996</v>
      </c>
      <c r="FI1320" s="65" t="s">
        <v>882</v>
      </c>
      <c r="GP1320" s="292" t="s">
        <v>7494</v>
      </c>
      <c r="JW1320" s="55" t="s">
        <v>837</v>
      </c>
    </row>
    <row r="1321" spans="1:283" x14ac:dyDescent="0.25">
      <c r="A1321" s="55">
        <v>1320</v>
      </c>
      <c r="B1321" s="12" t="s">
        <v>7067</v>
      </c>
      <c r="C1321" s="155">
        <v>60</v>
      </c>
      <c r="D1321" s="55" t="s">
        <v>3941</v>
      </c>
      <c r="E1321" s="90" t="s">
        <v>864</v>
      </c>
      <c r="G1321" s="55" t="s">
        <v>865</v>
      </c>
      <c r="H1321" s="55">
        <v>2012</v>
      </c>
      <c r="I1321" s="55">
        <v>2006</v>
      </c>
      <c r="J1321" s="55" t="s">
        <v>151</v>
      </c>
      <c r="K1321" s="55" t="s">
        <v>866</v>
      </c>
      <c r="L1321" s="55" t="s">
        <v>2737</v>
      </c>
      <c r="M1321" s="90">
        <f>38+37/60</f>
        <v>38.616666666666667</v>
      </c>
      <c r="N1321" s="90">
        <f>-76-44/60</f>
        <v>-76.733333333333334</v>
      </c>
      <c r="O1321" s="90">
        <v>25.4</v>
      </c>
      <c r="U1321" s="55" t="s">
        <v>1875</v>
      </c>
      <c r="V1321" s="55" t="s">
        <v>1875</v>
      </c>
      <c r="Y1321" s="55" t="s">
        <v>1945</v>
      </c>
      <c r="Z1321" s="55" t="s">
        <v>1355</v>
      </c>
      <c r="AA1321" s="90" t="s">
        <v>1679</v>
      </c>
      <c r="AD1321" s="90">
        <v>1.37</v>
      </c>
      <c r="AH1321" s="55" t="s">
        <v>6378</v>
      </c>
      <c r="AM1321" s="55" t="s">
        <v>1315</v>
      </c>
      <c r="AN1321" s="185" t="s">
        <v>131</v>
      </c>
      <c r="AO1321" s="185" t="s">
        <v>5150</v>
      </c>
      <c r="AQ1321" s="55" t="s">
        <v>131</v>
      </c>
      <c r="AR1321" s="55" t="s">
        <v>132</v>
      </c>
      <c r="AS1321" s="55" t="s">
        <v>132</v>
      </c>
      <c r="AU1321" s="181" t="s">
        <v>7494</v>
      </c>
      <c r="AV1321" s="185" t="s">
        <v>176</v>
      </c>
      <c r="AX1321" s="185" t="s">
        <v>176</v>
      </c>
      <c r="AZ1321" s="55" t="s">
        <v>156</v>
      </c>
      <c r="BA1321" s="55" t="s">
        <v>156</v>
      </c>
      <c r="BB1321" s="55" t="s">
        <v>2082</v>
      </c>
      <c r="BC1321" s="55" t="s">
        <v>2082</v>
      </c>
      <c r="BD1321" s="55" t="s">
        <v>176</v>
      </c>
      <c r="BE1321" s="226" t="s">
        <v>868</v>
      </c>
      <c r="BG1321" s="55" t="s">
        <v>479</v>
      </c>
      <c r="BH1321" s="226">
        <v>0</v>
      </c>
      <c r="BI1321" s="55" t="s">
        <v>176</v>
      </c>
      <c r="BJ1321" s="55" t="s">
        <v>479</v>
      </c>
      <c r="BK1321" s="55" t="s">
        <v>6269</v>
      </c>
      <c r="BM1321" s="192" t="s">
        <v>160</v>
      </c>
      <c r="BN1321" s="55">
        <v>4</v>
      </c>
      <c r="BO1321" s="55">
        <v>4</v>
      </c>
      <c r="BQ1321" s="55" t="s">
        <v>141</v>
      </c>
      <c r="BV1321" s="55" t="s">
        <v>870</v>
      </c>
      <c r="CB1321" s="66">
        <v>7997</v>
      </c>
      <c r="CC1321" s="66">
        <v>7827</v>
      </c>
      <c r="CH1321" s="90">
        <v>1.4</v>
      </c>
      <c r="CI1321" s="90">
        <v>1.258</v>
      </c>
      <c r="CM1321" s="65">
        <v>2.5753424657534247</v>
      </c>
      <c r="CN1321" s="65">
        <v>2.5205479452054798</v>
      </c>
      <c r="CR1321" s="65">
        <f>CM1321/0.073</f>
        <v>35.278663914430481</v>
      </c>
      <c r="CS1321" s="65">
        <f>CN1321/0.073</f>
        <v>34.528054043910686</v>
      </c>
      <c r="CV1321" s="65" t="s">
        <v>875</v>
      </c>
      <c r="DA1321" s="65" t="s">
        <v>4460</v>
      </c>
      <c r="EK1321" s="90">
        <v>33.700000000000003</v>
      </c>
      <c r="EL1321" s="90">
        <v>48.75</v>
      </c>
      <c r="EO1321" s="65" t="s">
        <v>872</v>
      </c>
      <c r="EP1321" s="65">
        <v>1.28</v>
      </c>
      <c r="EQ1321" s="65">
        <v>4.7</v>
      </c>
      <c r="ET1321" s="65" t="s">
        <v>883</v>
      </c>
      <c r="GP1321" s="292" t="s">
        <v>7494</v>
      </c>
      <c r="JW1321" s="55" t="s">
        <v>837</v>
      </c>
    </row>
    <row r="1322" spans="1:283" x14ac:dyDescent="0.25">
      <c r="A1322" s="55">
        <v>1321</v>
      </c>
      <c r="B1322" s="12" t="s">
        <v>7067</v>
      </c>
      <c r="C1322" s="155">
        <v>60</v>
      </c>
      <c r="D1322" s="55" t="s">
        <v>3942</v>
      </c>
      <c r="E1322" s="90" t="s">
        <v>864</v>
      </c>
      <c r="G1322" s="55" t="s">
        <v>865</v>
      </c>
      <c r="H1322" s="55">
        <v>2012</v>
      </c>
      <c r="I1322" s="55">
        <v>2005</v>
      </c>
      <c r="J1322" s="55" t="s">
        <v>151</v>
      </c>
      <c r="K1322" s="55" t="s">
        <v>866</v>
      </c>
      <c r="L1322" s="55" t="s">
        <v>2737</v>
      </c>
      <c r="M1322" s="90">
        <f>38+37/60</f>
        <v>38.616666666666667</v>
      </c>
      <c r="N1322" s="90">
        <f>-76-44/60</f>
        <v>-76.733333333333334</v>
      </c>
      <c r="O1322" s="90">
        <v>25.4</v>
      </c>
      <c r="U1322" s="55" t="s">
        <v>1889</v>
      </c>
      <c r="V1322" s="55" t="s">
        <v>1875</v>
      </c>
      <c r="Y1322" s="55" t="s">
        <v>1945</v>
      </c>
      <c r="Z1322" s="55" t="s">
        <v>1355</v>
      </c>
      <c r="AA1322" s="90" t="s">
        <v>1679</v>
      </c>
      <c r="AD1322" s="90">
        <v>1.37</v>
      </c>
      <c r="AH1322" s="55" t="s">
        <v>6378</v>
      </c>
      <c r="AM1322" s="55" t="s">
        <v>1315</v>
      </c>
      <c r="AN1322" s="185" t="s">
        <v>131</v>
      </c>
      <c r="AO1322" s="185" t="s">
        <v>5150</v>
      </c>
      <c r="AQ1322" s="55" t="s">
        <v>131</v>
      </c>
      <c r="AR1322" s="55" t="s">
        <v>132</v>
      </c>
      <c r="AS1322" s="55" t="s">
        <v>132</v>
      </c>
      <c r="AU1322" s="181" t="s">
        <v>7494</v>
      </c>
      <c r="AV1322" s="185" t="s">
        <v>176</v>
      </c>
      <c r="AX1322" s="185" t="s">
        <v>176</v>
      </c>
      <c r="AZ1322" s="55" t="s">
        <v>156</v>
      </c>
      <c r="BA1322" s="55" t="s">
        <v>156</v>
      </c>
      <c r="BB1322" s="55" t="s">
        <v>2082</v>
      </c>
      <c r="BC1322" s="55" t="s">
        <v>2082</v>
      </c>
      <c r="BD1322" s="55" t="s">
        <v>176</v>
      </c>
      <c r="BE1322" s="226" t="s">
        <v>868</v>
      </c>
      <c r="BG1322" s="55" t="s">
        <v>479</v>
      </c>
      <c r="BH1322" s="226">
        <v>0</v>
      </c>
      <c r="BI1322" s="55" t="s">
        <v>176</v>
      </c>
      <c r="BJ1322" s="55" t="s">
        <v>479</v>
      </c>
      <c r="BK1322" s="55" t="s">
        <v>6269</v>
      </c>
      <c r="BM1322" s="192" t="s">
        <v>160</v>
      </c>
      <c r="BN1322" s="55">
        <v>4</v>
      </c>
      <c r="BO1322" s="55">
        <v>4</v>
      </c>
      <c r="BQ1322" s="55" t="s">
        <v>141</v>
      </c>
      <c r="BV1322" s="55" t="s">
        <v>869</v>
      </c>
      <c r="CB1322" s="66">
        <v>7997</v>
      </c>
      <c r="CC1322" s="66">
        <v>7827</v>
      </c>
      <c r="CH1322" s="90">
        <v>1.41</v>
      </c>
      <c r="CI1322" s="90">
        <v>1.381</v>
      </c>
      <c r="CM1322" s="65">
        <v>6.043835616438356</v>
      </c>
      <c r="CN1322" s="65">
        <v>6.6136986301369864</v>
      </c>
      <c r="CV1322" s="65" t="s">
        <v>1118</v>
      </c>
      <c r="DA1322" s="65" t="s">
        <v>4461</v>
      </c>
      <c r="EK1322" s="90">
        <v>41.91</v>
      </c>
      <c r="EL1322" s="90">
        <v>60.18</v>
      </c>
      <c r="EO1322" s="65" t="s">
        <v>871</v>
      </c>
      <c r="EZ1322" s="65">
        <v>5040</v>
      </c>
      <c r="FA1322" s="65">
        <f>4.02*3600</f>
        <v>14471.999999999998</v>
      </c>
      <c r="FD1322" s="65" t="s">
        <v>878</v>
      </c>
      <c r="FE1322" s="65">
        <f>0.064*360</f>
        <v>23.04</v>
      </c>
      <c r="FF1322" s="65">
        <f>0.175*360</f>
        <v>62.999999999999993</v>
      </c>
      <c r="FI1322" s="65" t="s">
        <v>882</v>
      </c>
      <c r="GP1322" s="292" t="s">
        <v>7494</v>
      </c>
      <c r="JU1322" s="55" t="s">
        <v>876</v>
      </c>
      <c r="JW1322" s="55" t="s">
        <v>837</v>
      </c>
    </row>
    <row r="1323" spans="1:283" x14ac:dyDescent="0.25">
      <c r="A1323" s="55">
        <v>1322</v>
      </c>
      <c r="B1323" s="12" t="s">
        <v>7067</v>
      </c>
      <c r="C1323" s="155">
        <v>60</v>
      </c>
      <c r="D1323" s="55" t="s">
        <v>3942</v>
      </c>
      <c r="E1323" s="90" t="s">
        <v>864</v>
      </c>
      <c r="G1323" s="55" t="s">
        <v>865</v>
      </c>
      <c r="H1323" s="55">
        <v>2012</v>
      </c>
      <c r="I1323" s="55">
        <v>2005</v>
      </c>
      <c r="J1323" s="55" t="s">
        <v>151</v>
      </c>
      <c r="K1323" s="55" t="s">
        <v>866</v>
      </c>
      <c r="L1323" s="55" t="s">
        <v>2737</v>
      </c>
      <c r="M1323" s="90">
        <f>38+37/60</f>
        <v>38.616666666666667</v>
      </c>
      <c r="N1323" s="90">
        <f>-76-44/60</f>
        <v>-76.733333333333334</v>
      </c>
      <c r="O1323" s="90">
        <v>25.4</v>
      </c>
      <c r="U1323" s="55" t="s">
        <v>1889</v>
      </c>
      <c r="V1323" s="55" t="s">
        <v>1875</v>
      </c>
      <c r="Y1323" s="55" t="s">
        <v>1945</v>
      </c>
      <c r="Z1323" s="55" t="s">
        <v>1355</v>
      </c>
      <c r="AA1323" s="90" t="s">
        <v>1679</v>
      </c>
      <c r="AD1323" s="90">
        <v>1.37</v>
      </c>
      <c r="AH1323" s="55" t="s">
        <v>6378</v>
      </c>
      <c r="AM1323" s="55" t="s">
        <v>1315</v>
      </c>
      <c r="AN1323" s="185" t="s">
        <v>131</v>
      </c>
      <c r="AO1323" s="185" t="s">
        <v>5150</v>
      </c>
      <c r="AQ1323" s="55" t="s">
        <v>131</v>
      </c>
      <c r="AR1323" s="55" t="s">
        <v>132</v>
      </c>
      <c r="AS1323" s="55" t="s">
        <v>132</v>
      </c>
      <c r="AU1323" s="181" t="s">
        <v>7494</v>
      </c>
      <c r="AV1323" s="185" t="s">
        <v>176</v>
      </c>
      <c r="AX1323" s="185" t="s">
        <v>176</v>
      </c>
      <c r="AZ1323" s="55" t="s">
        <v>156</v>
      </c>
      <c r="BA1323" s="55" t="s">
        <v>156</v>
      </c>
      <c r="BB1323" s="55" t="s">
        <v>2082</v>
      </c>
      <c r="BC1323" s="55" t="s">
        <v>2082</v>
      </c>
      <c r="BD1323" s="55" t="s">
        <v>176</v>
      </c>
      <c r="BE1323" s="226" t="s">
        <v>868</v>
      </c>
      <c r="BG1323" s="55" t="s">
        <v>479</v>
      </c>
      <c r="BH1323" s="226">
        <v>0</v>
      </c>
      <c r="BI1323" s="55" t="s">
        <v>176</v>
      </c>
      <c r="BJ1323" s="55" t="s">
        <v>479</v>
      </c>
      <c r="BK1323" s="55" t="s">
        <v>6269</v>
      </c>
      <c r="BM1323" s="192" t="s">
        <v>160</v>
      </c>
      <c r="BN1323" s="55">
        <v>4</v>
      </c>
      <c r="BO1323" s="55">
        <v>4</v>
      </c>
      <c r="BQ1323" s="55" t="s">
        <v>141</v>
      </c>
      <c r="BV1323" s="55" t="s">
        <v>870</v>
      </c>
      <c r="CB1323" s="66">
        <v>7997</v>
      </c>
      <c r="CC1323" s="66">
        <v>7827</v>
      </c>
      <c r="CH1323" s="90">
        <v>1.41</v>
      </c>
      <c r="CI1323" s="90">
        <v>1.381</v>
      </c>
      <c r="CM1323" s="65">
        <v>5.8712328767123285</v>
      </c>
      <c r="CN1323" s="65">
        <v>7.6506849315068495</v>
      </c>
      <c r="CV1323" s="65" t="s">
        <v>1118</v>
      </c>
      <c r="DA1323" s="65" t="s">
        <v>4461</v>
      </c>
      <c r="EK1323" s="90">
        <v>34.14</v>
      </c>
      <c r="EL1323" s="90">
        <v>47.17</v>
      </c>
      <c r="EO1323" s="65" t="s">
        <v>871</v>
      </c>
      <c r="EZ1323" s="65">
        <f>0.185*3600</f>
        <v>666</v>
      </c>
      <c r="FA1323" s="65">
        <f>0.093*3600</f>
        <v>334.8</v>
      </c>
      <c r="FD1323" s="65" t="s">
        <v>878</v>
      </c>
      <c r="FE1323" s="65">
        <f>0.0067*360</f>
        <v>2.4119999999999999</v>
      </c>
      <c r="FF1323" s="65">
        <f>0.0031*360</f>
        <v>1.1159999999999999</v>
      </c>
      <c r="FI1323" s="65" t="s">
        <v>882</v>
      </c>
      <c r="GP1323" s="292" t="s">
        <v>7494</v>
      </c>
      <c r="JU1323" s="55" t="s">
        <v>876</v>
      </c>
      <c r="JW1323" s="55" t="s">
        <v>837</v>
      </c>
    </row>
    <row r="1324" spans="1:283" x14ac:dyDescent="0.25">
      <c r="A1324" s="55">
        <v>1323</v>
      </c>
      <c r="B1324" s="12" t="s">
        <v>7067</v>
      </c>
      <c r="C1324" s="155">
        <v>60</v>
      </c>
      <c r="D1324" s="55" t="s">
        <v>3942</v>
      </c>
      <c r="E1324" s="90" t="s">
        <v>864</v>
      </c>
      <c r="G1324" s="55" t="s">
        <v>865</v>
      </c>
      <c r="H1324" s="55">
        <v>2012</v>
      </c>
      <c r="I1324" s="55">
        <v>2006</v>
      </c>
      <c r="J1324" s="55" t="s">
        <v>151</v>
      </c>
      <c r="K1324" s="55" t="s">
        <v>866</v>
      </c>
      <c r="L1324" s="55" t="s">
        <v>2737</v>
      </c>
      <c r="M1324" s="90">
        <f>38+37/60</f>
        <v>38.616666666666667</v>
      </c>
      <c r="N1324" s="90">
        <f>-76-44/60</f>
        <v>-76.733333333333334</v>
      </c>
      <c r="O1324" s="90">
        <v>25.4</v>
      </c>
      <c r="U1324" s="55" t="s">
        <v>1875</v>
      </c>
      <c r="V1324" s="55" t="s">
        <v>1875</v>
      </c>
      <c r="Y1324" s="55" t="s">
        <v>1945</v>
      </c>
      <c r="Z1324" s="55" t="s">
        <v>1355</v>
      </c>
      <c r="AA1324" s="90" t="s">
        <v>1679</v>
      </c>
      <c r="AD1324" s="90">
        <v>1.37</v>
      </c>
      <c r="AH1324" s="55" t="s">
        <v>6378</v>
      </c>
      <c r="AM1324" s="55" t="s">
        <v>1315</v>
      </c>
      <c r="AN1324" s="185" t="s">
        <v>131</v>
      </c>
      <c r="AO1324" s="185" t="s">
        <v>5150</v>
      </c>
      <c r="AQ1324" s="55" t="s">
        <v>131</v>
      </c>
      <c r="AR1324" s="55" t="s">
        <v>132</v>
      </c>
      <c r="AS1324" s="55" t="s">
        <v>132</v>
      </c>
      <c r="AU1324" s="181" t="s">
        <v>7494</v>
      </c>
      <c r="AV1324" s="185" t="s">
        <v>176</v>
      </c>
      <c r="AX1324" s="185" t="s">
        <v>176</v>
      </c>
      <c r="AZ1324" s="55" t="s">
        <v>156</v>
      </c>
      <c r="BA1324" s="55" t="s">
        <v>156</v>
      </c>
      <c r="BB1324" s="55" t="s">
        <v>2082</v>
      </c>
      <c r="BC1324" s="55" t="s">
        <v>2082</v>
      </c>
      <c r="BD1324" s="55" t="s">
        <v>176</v>
      </c>
      <c r="BE1324" s="226" t="s">
        <v>868</v>
      </c>
      <c r="BG1324" s="55" t="s">
        <v>479</v>
      </c>
      <c r="BH1324" s="226">
        <v>0</v>
      </c>
      <c r="BI1324" s="55" t="s">
        <v>176</v>
      </c>
      <c r="BJ1324" s="55" t="s">
        <v>479</v>
      </c>
      <c r="BK1324" s="55" t="s">
        <v>6269</v>
      </c>
      <c r="BM1324" s="192" t="s">
        <v>160</v>
      </c>
      <c r="BN1324" s="55">
        <v>4</v>
      </c>
      <c r="BO1324" s="55">
        <v>4</v>
      </c>
      <c r="BQ1324" s="55" t="s">
        <v>141</v>
      </c>
      <c r="BV1324" s="55" t="s">
        <v>869</v>
      </c>
      <c r="CB1324" s="66">
        <v>7997</v>
      </c>
      <c r="CC1324" s="66">
        <v>7827</v>
      </c>
      <c r="CH1324" s="90">
        <v>1.405</v>
      </c>
      <c r="CI1324" s="90">
        <v>1.2649999999999999</v>
      </c>
      <c r="CM1324" s="65">
        <v>5.0958904109589049</v>
      </c>
      <c r="CN1324" s="65">
        <v>5.3630136986301364</v>
      </c>
      <c r="CV1324" s="65" t="s">
        <v>1118</v>
      </c>
      <c r="DA1324" s="65" t="s">
        <v>4461</v>
      </c>
      <c r="EK1324" s="90">
        <v>64.34</v>
      </c>
      <c r="EL1324" s="90">
        <v>78.959999999999994</v>
      </c>
      <c r="EO1324" s="65" t="s">
        <v>871</v>
      </c>
      <c r="EZ1324" s="65">
        <f>0.317*3600</f>
        <v>1141.2</v>
      </c>
      <c r="FA1324" s="65">
        <f>1.78*3600</f>
        <v>6408</v>
      </c>
      <c r="FD1324" s="65" t="s">
        <v>878</v>
      </c>
      <c r="FE1324" s="65">
        <f>0.017*360</f>
        <v>6.12</v>
      </c>
      <c r="FF1324" s="65">
        <f>0.763*360</f>
        <v>274.68</v>
      </c>
      <c r="FI1324" s="65" t="s">
        <v>882</v>
      </c>
      <c r="GP1324" s="292" t="s">
        <v>7494</v>
      </c>
      <c r="JU1324" s="55" t="s">
        <v>876</v>
      </c>
      <c r="JW1324" s="55" t="s">
        <v>837</v>
      </c>
    </row>
    <row r="1325" spans="1:283" x14ac:dyDescent="0.25">
      <c r="A1325" s="55">
        <v>1324</v>
      </c>
      <c r="B1325" s="12" t="s">
        <v>7067</v>
      </c>
      <c r="C1325" s="155">
        <v>60</v>
      </c>
      <c r="D1325" s="55" t="s">
        <v>3942</v>
      </c>
      <c r="E1325" s="90" t="s">
        <v>864</v>
      </c>
      <c r="G1325" s="55" t="s">
        <v>865</v>
      </c>
      <c r="H1325" s="55">
        <v>2012</v>
      </c>
      <c r="I1325" s="55">
        <v>2006</v>
      </c>
      <c r="J1325" s="55" t="s">
        <v>151</v>
      </c>
      <c r="K1325" s="55" t="s">
        <v>866</v>
      </c>
      <c r="L1325" s="55" t="s">
        <v>2737</v>
      </c>
      <c r="M1325" s="90">
        <f>38+37/60</f>
        <v>38.616666666666667</v>
      </c>
      <c r="N1325" s="90">
        <f>-76-44/60</f>
        <v>-76.733333333333334</v>
      </c>
      <c r="O1325" s="90">
        <v>25.4</v>
      </c>
      <c r="U1325" s="55" t="s">
        <v>1875</v>
      </c>
      <c r="V1325" s="55" t="s">
        <v>1875</v>
      </c>
      <c r="Y1325" s="55" t="s">
        <v>1945</v>
      </c>
      <c r="Z1325" s="55" t="s">
        <v>1355</v>
      </c>
      <c r="AA1325" s="90" t="s">
        <v>1679</v>
      </c>
      <c r="AD1325" s="90">
        <v>1.37</v>
      </c>
      <c r="AH1325" s="55" t="s">
        <v>6378</v>
      </c>
      <c r="AM1325" s="55" t="s">
        <v>1315</v>
      </c>
      <c r="AN1325" s="185" t="s">
        <v>131</v>
      </c>
      <c r="AO1325" s="185" t="s">
        <v>5150</v>
      </c>
      <c r="AQ1325" s="55" t="s">
        <v>131</v>
      </c>
      <c r="AR1325" s="55" t="s">
        <v>132</v>
      </c>
      <c r="AS1325" s="55" t="s">
        <v>132</v>
      </c>
      <c r="AU1325" s="181" t="s">
        <v>7494</v>
      </c>
      <c r="AV1325" s="185" t="s">
        <v>176</v>
      </c>
      <c r="AX1325" s="185" t="s">
        <v>176</v>
      </c>
      <c r="AZ1325" s="55" t="s">
        <v>156</v>
      </c>
      <c r="BA1325" s="55" t="s">
        <v>156</v>
      </c>
      <c r="BB1325" s="55" t="s">
        <v>2082</v>
      </c>
      <c r="BC1325" s="55" t="s">
        <v>2082</v>
      </c>
      <c r="BD1325" s="55" t="s">
        <v>176</v>
      </c>
      <c r="BE1325" s="226" t="s">
        <v>868</v>
      </c>
      <c r="BG1325" s="55" t="s">
        <v>479</v>
      </c>
      <c r="BH1325" s="226">
        <v>0</v>
      </c>
      <c r="BI1325" s="55" t="s">
        <v>176</v>
      </c>
      <c r="BJ1325" s="55" t="s">
        <v>479</v>
      </c>
      <c r="BK1325" s="55" t="s">
        <v>6269</v>
      </c>
      <c r="BM1325" s="192" t="s">
        <v>160</v>
      </c>
      <c r="BN1325" s="55">
        <v>4</v>
      </c>
      <c r="BO1325" s="55">
        <v>4</v>
      </c>
      <c r="BQ1325" s="55" t="s">
        <v>141</v>
      </c>
      <c r="BV1325" s="55" t="s">
        <v>870</v>
      </c>
      <c r="CB1325" s="66">
        <v>7997</v>
      </c>
      <c r="CC1325" s="66">
        <v>7827</v>
      </c>
      <c r="CH1325" s="90">
        <v>1.405</v>
      </c>
      <c r="CI1325" s="90">
        <v>1.2649999999999999</v>
      </c>
      <c r="CM1325" s="65">
        <v>5.7972602739726034</v>
      </c>
      <c r="CN1325" s="65">
        <v>6.2315068493150694</v>
      </c>
      <c r="CV1325" s="65" t="s">
        <v>1118</v>
      </c>
      <c r="DA1325" s="65" t="s">
        <v>4461</v>
      </c>
      <c r="EK1325" s="90">
        <v>51.72</v>
      </c>
      <c r="EL1325" s="90">
        <v>63.54</v>
      </c>
      <c r="EO1325" s="65" t="s">
        <v>871</v>
      </c>
      <c r="GP1325" s="292" t="s">
        <v>7494</v>
      </c>
      <c r="JU1325" s="55" t="s">
        <v>876</v>
      </c>
      <c r="JW1325" s="55" t="s">
        <v>837</v>
      </c>
    </row>
    <row r="1326" spans="1:283" x14ac:dyDescent="0.25">
      <c r="A1326" s="55">
        <v>1325</v>
      </c>
      <c r="B1326" s="12" t="s">
        <v>7067</v>
      </c>
      <c r="C1326" s="155">
        <v>60</v>
      </c>
      <c r="D1326" s="55" t="s">
        <v>4335</v>
      </c>
      <c r="E1326" s="90" t="s">
        <v>864</v>
      </c>
      <c r="G1326" s="55" t="s">
        <v>865</v>
      </c>
      <c r="H1326" s="55">
        <v>2012</v>
      </c>
      <c r="I1326" s="55">
        <v>2005</v>
      </c>
      <c r="J1326" s="55" t="s">
        <v>151</v>
      </c>
      <c r="K1326" s="55" t="s">
        <v>867</v>
      </c>
      <c r="L1326" s="55" t="s">
        <v>2737</v>
      </c>
      <c r="M1326" s="90">
        <f>39+14/60</f>
        <v>39.233333333333334</v>
      </c>
      <c r="N1326" s="90">
        <f>-76-55/60</f>
        <v>-76.916666666666671</v>
      </c>
      <c r="O1326" s="90">
        <v>109.2</v>
      </c>
      <c r="U1326" s="55" t="s">
        <v>1889</v>
      </c>
      <c r="V1326" s="55" t="s">
        <v>1875</v>
      </c>
      <c r="Y1326" s="55" t="s">
        <v>1946</v>
      </c>
      <c r="Z1326" s="55" t="s">
        <v>1355</v>
      </c>
      <c r="AA1326" s="90" t="s">
        <v>1679</v>
      </c>
      <c r="AD1326" s="90">
        <v>1.21</v>
      </c>
      <c r="AH1326" s="55" t="s">
        <v>6378</v>
      </c>
      <c r="AM1326" s="55" t="s">
        <v>1315</v>
      </c>
      <c r="AN1326" s="185" t="s">
        <v>131</v>
      </c>
      <c r="AO1326" s="185" t="s">
        <v>5150</v>
      </c>
      <c r="AQ1326" s="55" t="s">
        <v>131</v>
      </c>
      <c r="AR1326" s="55" t="s">
        <v>132</v>
      </c>
      <c r="AS1326" s="55" t="s">
        <v>132</v>
      </c>
      <c r="AU1326" s="181" t="s">
        <v>7494</v>
      </c>
      <c r="AV1326" s="185" t="s">
        <v>176</v>
      </c>
      <c r="AX1326" s="185" t="s">
        <v>176</v>
      </c>
      <c r="AZ1326" s="55" t="s">
        <v>156</v>
      </c>
      <c r="BA1326" s="55" t="s">
        <v>156</v>
      </c>
      <c r="BB1326" s="55" t="s">
        <v>2082</v>
      </c>
      <c r="BC1326" s="55" t="s">
        <v>2082</v>
      </c>
      <c r="BD1326" s="55" t="s">
        <v>176</v>
      </c>
      <c r="BE1326" s="226" t="s">
        <v>868</v>
      </c>
      <c r="BG1326" s="55" t="s">
        <v>479</v>
      </c>
      <c r="BH1326" s="226">
        <v>0</v>
      </c>
      <c r="BI1326" s="55" t="s">
        <v>176</v>
      </c>
      <c r="BJ1326" s="55" t="s">
        <v>479</v>
      </c>
      <c r="BK1326" s="55" t="s">
        <v>6269</v>
      </c>
      <c r="BM1326" s="192" t="s">
        <v>160</v>
      </c>
      <c r="BN1326" s="55">
        <v>4</v>
      </c>
      <c r="BO1326" s="55">
        <v>4</v>
      </c>
      <c r="BQ1326" s="55" t="s">
        <v>141</v>
      </c>
      <c r="BV1326" s="55" t="s">
        <v>869</v>
      </c>
      <c r="CB1326" s="66">
        <v>7997</v>
      </c>
      <c r="CC1326" s="66">
        <v>7827</v>
      </c>
      <c r="CH1326" s="90">
        <v>1.208</v>
      </c>
      <c r="CI1326" s="90">
        <v>1.22</v>
      </c>
      <c r="CM1326" s="65">
        <v>3.2054794520547949</v>
      </c>
      <c r="CN1326" s="65">
        <v>3.4246575342465757</v>
      </c>
      <c r="CR1326" s="65">
        <f>CM1326/0.073</f>
        <v>43.910677425408153</v>
      </c>
      <c r="CS1326" s="65">
        <f>CN1326/0.073</f>
        <v>46.913116907487343</v>
      </c>
      <c r="CV1326" s="65" t="s">
        <v>875</v>
      </c>
      <c r="DA1326" s="65" t="s">
        <v>4460</v>
      </c>
      <c r="EK1326" s="90">
        <v>55.21</v>
      </c>
      <c r="EL1326" s="90">
        <v>66.87</v>
      </c>
      <c r="EO1326" s="65" t="s">
        <v>872</v>
      </c>
      <c r="EP1326" s="65">
        <v>7.05</v>
      </c>
      <c r="EQ1326" s="65">
        <v>4.03</v>
      </c>
      <c r="ET1326" s="65" t="s">
        <v>883</v>
      </c>
      <c r="EZ1326" s="65">
        <f>0.87*3600</f>
        <v>3132</v>
      </c>
      <c r="FA1326" s="65">
        <f>2.3*3600</f>
        <v>8280</v>
      </c>
      <c r="FD1326" s="65" t="s">
        <v>879</v>
      </c>
      <c r="FE1326" s="65">
        <f>0.083*360</f>
        <v>29.880000000000003</v>
      </c>
      <c r="FF1326" s="65">
        <f>0.0097*360</f>
        <v>3.492</v>
      </c>
      <c r="FI1326" s="65" t="s">
        <v>882</v>
      </c>
      <c r="GP1326" s="292" t="s">
        <v>7494</v>
      </c>
      <c r="JW1326" s="55" t="s">
        <v>837</v>
      </c>
    </row>
    <row r="1327" spans="1:283" x14ac:dyDescent="0.25">
      <c r="A1327" s="55">
        <v>1326</v>
      </c>
      <c r="B1327" s="12" t="s">
        <v>7067</v>
      </c>
      <c r="C1327" s="155">
        <v>60</v>
      </c>
      <c r="D1327" s="55" t="s">
        <v>4335</v>
      </c>
      <c r="E1327" s="90" t="s">
        <v>864</v>
      </c>
      <c r="G1327" s="55" t="s">
        <v>865</v>
      </c>
      <c r="H1327" s="55">
        <v>2012</v>
      </c>
      <c r="I1327" s="55">
        <v>2005</v>
      </c>
      <c r="J1327" s="55" t="s">
        <v>151</v>
      </c>
      <c r="K1327" s="55" t="s">
        <v>867</v>
      </c>
      <c r="L1327" s="55" t="s">
        <v>2737</v>
      </c>
      <c r="M1327" s="90">
        <f>39+14/60</f>
        <v>39.233333333333334</v>
      </c>
      <c r="N1327" s="90">
        <f>-76-55/60</f>
        <v>-76.916666666666671</v>
      </c>
      <c r="O1327" s="90">
        <v>109.2</v>
      </c>
      <c r="U1327" s="55" t="s">
        <v>1889</v>
      </c>
      <c r="V1327" s="55" t="s">
        <v>1875</v>
      </c>
      <c r="Y1327" s="55" t="s">
        <v>1946</v>
      </c>
      <c r="Z1327" s="55" t="s">
        <v>1355</v>
      </c>
      <c r="AA1327" s="90" t="s">
        <v>1679</v>
      </c>
      <c r="AD1327" s="90">
        <v>1.21</v>
      </c>
      <c r="AH1327" s="55" t="s">
        <v>6378</v>
      </c>
      <c r="AM1327" s="55" t="s">
        <v>1315</v>
      </c>
      <c r="AN1327" s="185" t="s">
        <v>131</v>
      </c>
      <c r="AO1327" s="185" t="s">
        <v>5150</v>
      </c>
      <c r="AQ1327" s="55" t="s">
        <v>131</v>
      </c>
      <c r="AR1327" s="55" t="s">
        <v>132</v>
      </c>
      <c r="AS1327" s="55" t="s">
        <v>132</v>
      </c>
      <c r="AU1327" s="181" t="s">
        <v>7494</v>
      </c>
      <c r="AV1327" s="185" t="s">
        <v>176</v>
      </c>
      <c r="AX1327" s="185" t="s">
        <v>176</v>
      </c>
      <c r="AZ1327" s="55" t="s">
        <v>156</v>
      </c>
      <c r="BA1327" s="55" t="s">
        <v>156</v>
      </c>
      <c r="BB1327" s="55" t="s">
        <v>2082</v>
      </c>
      <c r="BC1327" s="55" t="s">
        <v>2082</v>
      </c>
      <c r="BD1327" s="55" t="s">
        <v>176</v>
      </c>
      <c r="BE1327" s="226" t="s">
        <v>868</v>
      </c>
      <c r="BG1327" s="55" t="s">
        <v>479</v>
      </c>
      <c r="BH1327" s="226">
        <v>0</v>
      </c>
      <c r="BI1327" s="55" t="s">
        <v>176</v>
      </c>
      <c r="BJ1327" s="55" t="s">
        <v>479</v>
      </c>
      <c r="BK1327" s="55" t="s">
        <v>6269</v>
      </c>
      <c r="BM1327" s="192" t="s">
        <v>160</v>
      </c>
      <c r="BN1327" s="55">
        <v>4</v>
      </c>
      <c r="BO1327" s="55">
        <v>4</v>
      </c>
      <c r="BQ1327" s="55" t="s">
        <v>141</v>
      </c>
      <c r="BV1327" s="55" t="s">
        <v>870</v>
      </c>
      <c r="CB1327" s="66">
        <v>7997</v>
      </c>
      <c r="CC1327" s="66">
        <v>7827</v>
      </c>
      <c r="CH1327" s="90">
        <v>1.208</v>
      </c>
      <c r="CI1327" s="90">
        <v>1.22</v>
      </c>
      <c r="CM1327" s="65">
        <v>3.2602739726027399</v>
      </c>
      <c r="CN1327" s="65">
        <v>3.4246575342465757</v>
      </c>
      <c r="CR1327" s="65">
        <f>CM1327/0.073</f>
        <v>44.661287295927949</v>
      </c>
      <c r="CS1327" s="65">
        <f>CN1327/0.073</f>
        <v>46.913116907487343</v>
      </c>
      <c r="CV1327" s="65" t="s">
        <v>875</v>
      </c>
      <c r="DA1327" s="65" t="s">
        <v>4460</v>
      </c>
      <c r="EK1327" s="90">
        <v>24.64</v>
      </c>
      <c r="EL1327" s="90">
        <v>33.200000000000003</v>
      </c>
      <c r="EO1327" s="65" t="s">
        <v>872</v>
      </c>
      <c r="EP1327" s="65">
        <v>2.64</v>
      </c>
      <c r="EQ1327" s="65">
        <v>9.4600000000000009</v>
      </c>
      <c r="ET1327" s="65" t="s">
        <v>883</v>
      </c>
      <c r="EZ1327" s="65">
        <f>2.32*3600</f>
        <v>8352</v>
      </c>
      <c r="FA1327" s="65">
        <f>4.5*3600</f>
        <v>16200</v>
      </c>
      <c r="FD1327" s="65" t="s">
        <v>879</v>
      </c>
      <c r="FE1327" s="65">
        <f>0.109*360</f>
        <v>39.24</v>
      </c>
      <c r="FF1327" s="65">
        <f>0.119*360</f>
        <v>42.839999999999996</v>
      </c>
      <c r="FI1327" s="65" t="s">
        <v>882</v>
      </c>
      <c r="GP1327" s="292" t="s">
        <v>7494</v>
      </c>
      <c r="JW1327" s="55" t="s">
        <v>837</v>
      </c>
    </row>
    <row r="1328" spans="1:283" x14ac:dyDescent="0.25">
      <c r="A1328" s="55">
        <v>1327</v>
      </c>
      <c r="B1328" s="12" t="s">
        <v>7067</v>
      </c>
      <c r="C1328" s="155">
        <v>60</v>
      </c>
      <c r="D1328" s="55" t="s">
        <v>4335</v>
      </c>
      <c r="E1328" s="90" t="s">
        <v>864</v>
      </c>
      <c r="G1328" s="55" t="s">
        <v>865</v>
      </c>
      <c r="H1328" s="55">
        <v>2012</v>
      </c>
      <c r="I1328" s="55">
        <v>2006</v>
      </c>
      <c r="J1328" s="55" t="s">
        <v>151</v>
      </c>
      <c r="K1328" s="55" t="s">
        <v>867</v>
      </c>
      <c r="L1328" s="55" t="s">
        <v>2737</v>
      </c>
      <c r="M1328" s="90">
        <f>39+14/60</f>
        <v>39.233333333333334</v>
      </c>
      <c r="N1328" s="90">
        <f>-76-55/60</f>
        <v>-76.916666666666671</v>
      </c>
      <c r="O1328" s="90">
        <v>109.2</v>
      </c>
      <c r="U1328" s="55" t="s">
        <v>1875</v>
      </c>
      <c r="V1328" s="55" t="s">
        <v>1875</v>
      </c>
      <c r="Y1328" s="55" t="s">
        <v>1946</v>
      </c>
      <c r="Z1328" s="55" t="s">
        <v>1355</v>
      </c>
      <c r="AA1328" s="90" t="s">
        <v>1679</v>
      </c>
      <c r="AD1328" s="90">
        <v>1.21</v>
      </c>
      <c r="AH1328" s="55" t="s">
        <v>6378</v>
      </c>
      <c r="AM1328" s="55" t="s">
        <v>1315</v>
      </c>
      <c r="AN1328" s="185" t="s">
        <v>131</v>
      </c>
      <c r="AO1328" s="185" t="s">
        <v>5150</v>
      </c>
      <c r="AQ1328" s="55" t="s">
        <v>131</v>
      </c>
      <c r="AR1328" s="55" t="s">
        <v>132</v>
      </c>
      <c r="AS1328" s="55" t="s">
        <v>132</v>
      </c>
      <c r="AU1328" s="181" t="s">
        <v>7494</v>
      </c>
      <c r="AV1328" s="185" t="s">
        <v>176</v>
      </c>
      <c r="AX1328" s="185" t="s">
        <v>176</v>
      </c>
      <c r="AZ1328" s="55" t="s">
        <v>156</v>
      </c>
      <c r="BA1328" s="55" t="s">
        <v>156</v>
      </c>
      <c r="BB1328" s="55" t="s">
        <v>2082</v>
      </c>
      <c r="BC1328" s="55" t="s">
        <v>2082</v>
      </c>
      <c r="BD1328" s="55" t="s">
        <v>176</v>
      </c>
      <c r="BE1328" s="226" t="s">
        <v>868</v>
      </c>
      <c r="BG1328" s="55" t="s">
        <v>479</v>
      </c>
      <c r="BH1328" s="226">
        <v>0</v>
      </c>
      <c r="BI1328" s="55" t="s">
        <v>176</v>
      </c>
      <c r="BJ1328" s="55" t="s">
        <v>479</v>
      </c>
      <c r="BK1328" s="55" t="s">
        <v>6269</v>
      </c>
      <c r="BM1328" s="192" t="s">
        <v>160</v>
      </c>
      <c r="BN1328" s="55">
        <v>4</v>
      </c>
      <c r="BO1328" s="55">
        <v>4</v>
      </c>
      <c r="BQ1328" s="55" t="s">
        <v>141</v>
      </c>
      <c r="BV1328" s="55" t="s">
        <v>869</v>
      </c>
      <c r="CB1328" s="66">
        <v>7997</v>
      </c>
      <c r="CC1328" s="66">
        <v>7827</v>
      </c>
      <c r="CH1328" s="90">
        <v>1.206</v>
      </c>
      <c r="CI1328" s="90">
        <v>1.1599999999999999</v>
      </c>
      <c r="CM1328" s="65">
        <v>3.2191780821917808</v>
      </c>
      <c r="CN1328" s="65">
        <v>3.2191780821917808</v>
      </c>
      <c r="CR1328" s="65">
        <f>CM1328/0.073</f>
        <v>44.098329893038098</v>
      </c>
      <c r="CS1328" s="65">
        <f>CN1328/0.073</f>
        <v>44.098329893038098</v>
      </c>
      <c r="CV1328" s="65" t="s">
        <v>875</v>
      </c>
      <c r="DA1328" s="65" t="s">
        <v>4460</v>
      </c>
      <c r="EK1328" s="90">
        <v>39.31</v>
      </c>
      <c r="EL1328" s="90">
        <v>44.1</v>
      </c>
      <c r="EO1328" s="65" t="s">
        <v>872</v>
      </c>
      <c r="EP1328" s="65">
        <v>7.02</v>
      </c>
      <c r="EQ1328" s="65">
        <v>3.42</v>
      </c>
      <c r="ET1328" s="65" t="s">
        <v>883</v>
      </c>
      <c r="GP1328" s="292" t="s">
        <v>7494</v>
      </c>
      <c r="JW1328" s="55" t="s">
        <v>837</v>
      </c>
    </row>
    <row r="1329" spans="1:283" x14ac:dyDescent="0.25">
      <c r="A1329" s="55">
        <v>1328</v>
      </c>
      <c r="B1329" s="12" t="s">
        <v>7067</v>
      </c>
      <c r="C1329" s="155">
        <v>60</v>
      </c>
      <c r="D1329" s="55" t="s">
        <v>4336</v>
      </c>
      <c r="E1329" s="90" t="s">
        <v>864</v>
      </c>
      <c r="G1329" s="55" t="s">
        <v>865</v>
      </c>
      <c r="H1329" s="55">
        <v>2012</v>
      </c>
      <c r="I1329" s="55">
        <v>2005</v>
      </c>
      <c r="J1329" s="55" t="s">
        <v>151</v>
      </c>
      <c r="K1329" s="55" t="s">
        <v>867</v>
      </c>
      <c r="L1329" s="55" t="s">
        <v>2737</v>
      </c>
      <c r="M1329" s="90">
        <f>39+14/60</f>
        <v>39.233333333333334</v>
      </c>
      <c r="N1329" s="90">
        <f>-76-55/60</f>
        <v>-76.916666666666671</v>
      </c>
      <c r="O1329" s="90">
        <v>109.2</v>
      </c>
      <c r="U1329" s="55" t="s">
        <v>1889</v>
      </c>
      <c r="V1329" s="55" t="s">
        <v>1875</v>
      </c>
      <c r="Y1329" s="55" t="s">
        <v>1946</v>
      </c>
      <c r="Z1329" s="55" t="s">
        <v>1355</v>
      </c>
      <c r="AA1329" s="90" t="s">
        <v>1679</v>
      </c>
      <c r="AD1329" s="90">
        <v>1.21</v>
      </c>
      <c r="AH1329" s="55" t="s">
        <v>6378</v>
      </c>
      <c r="AM1329" s="55" t="s">
        <v>1315</v>
      </c>
      <c r="AN1329" s="185" t="s">
        <v>131</v>
      </c>
      <c r="AO1329" s="185" t="s">
        <v>5150</v>
      </c>
      <c r="AQ1329" s="55" t="s">
        <v>131</v>
      </c>
      <c r="AR1329" s="55" t="s">
        <v>132</v>
      </c>
      <c r="AS1329" s="55" t="s">
        <v>132</v>
      </c>
      <c r="AU1329" s="181" t="s">
        <v>7494</v>
      </c>
      <c r="AV1329" s="185" t="s">
        <v>176</v>
      </c>
      <c r="AX1329" s="185" t="s">
        <v>176</v>
      </c>
      <c r="AZ1329" s="55" t="s">
        <v>156</v>
      </c>
      <c r="BA1329" s="55" t="s">
        <v>156</v>
      </c>
      <c r="BB1329" s="55" t="s">
        <v>2082</v>
      </c>
      <c r="BC1329" s="55" t="s">
        <v>2082</v>
      </c>
      <c r="BD1329" s="55" t="s">
        <v>176</v>
      </c>
      <c r="BE1329" s="226" t="s">
        <v>868</v>
      </c>
      <c r="BG1329" s="55" t="s">
        <v>479</v>
      </c>
      <c r="BH1329" s="226">
        <v>0</v>
      </c>
      <c r="BI1329" s="55" t="s">
        <v>176</v>
      </c>
      <c r="BJ1329" s="55" t="s">
        <v>479</v>
      </c>
      <c r="BK1329" s="55" t="s">
        <v>6269</v>
      </c>
      <c r="BM1329" s="192" t="s">
        <v>160</v>
      </c>
      <c r="BN1329" s="55">
        <v>4</v>
      </c>
      <c r="BO1329" s="55">
        <v>4</v>
      </c>
      <c r="BQ1329" s="55" t="s">
        <v>141</v>
      </c>
      <c r="BV1329" s="55" t="s">
        <v>869</v>
      </c>
      <c r="CB1329" s="66">
        <v>7997</v>
      </c>
      <c r="CC1329" s="66">
        <v>7827</v>
      </c>
      <c r="CH1329" s="90">
        <v>1.2050000000000001</v>
      </c>
      <c r="CI1329" s="90">
        <v>1.22</v>
      </c>
      <c r="CM1329" s="65">
        <v>5.9164383561643836</v>
      </c>
      <c r="CN1329" s="65">
        <v>6.0958904109589049</v>
      </c>
      <c r="CV1329" s="65" t="s">
        <v>1118</v>
      </c>
      <c r="DA1329" s="65" t="s">
        <v>4461</v>
      </c>
      <c r="EK1329" s="90">
        <v>73.38</v>
      </c>
      <c r="EL1329" s="90">
        <v>80.430000000000007</v>
      </c>
      <c r="EO1329" s="65" t="s">
        <v>871</v>
      </c>
      <c r="GP1329" s="292" t="s">
        <v>7494</v>
      </c>
      <c r="JU1329" s="55" t="s">
        <v>876</v>
      </c>
      <c r="JW1329" s="55" t="s">
        <v>837</v>
      </c>
    </row>
    <row r="1330" spans="1:283" x14ac:dyDescent="0.25">
      <c r="A1330" s="55">
        <v>1329</v>
      </c>
      <c r="B1330" s="12" t="s">
        <v>7067</v>
      </c>
      <c r="C1330" s="155">
        <v>60</v>
      </c>
      <c r="D1330" s="55" t="s">
        <v>4336</v>
      </c>
      <c r="E1330" s="90" t="s">
        <v>864</v>
      </c>
      <c r="G1330" s="55" t="s">
        <v>865</v>
      </c>
      <c r="H1330" s="55">
        <v>2012</v>
      </c>
      <c r="I1330" s="55">
        <v>2005</v>
      </c>
      <c r="J1330" s="55" t="s">
        <v>151</v>
      </c>
      <c r="K1330" s="55" t="s">
        <v>867</v>
      </c>
      <c r="L1330" s="55" t="s">
        <v>2737</v>
      </c>
      <c r="M1330" s="90">
        <f>39+14/60</f>
        <v>39.233333333333334</v>
      </c>
      <c r="N1330" s="90">
        <f>-76-55/60</f>
        <v>-76.916666666666671</v>
      </c>
      <c r="O1330" s="90">
        <v>109.2</v>
      </c>
      <c r="U1330" s="55" t="s">
        <v>1889</v>
      </c>
      <c r="V1330" s="55" t="s">
        <v>1875</v>
      </c>
      <c r="Y1330" s="55" t="s">
        <v>1946</v>
      </c>
      <c r="Z1330" s="55" t="s">
        <v>1355</v>
      </c>
      <c r="AA1330" s="90" t="s">
        <v>1679</v>
      </c>
      <c r="AD1330" s="90">
        <v>1.21</v>
      </c>
      <c r="AH1330" s="55" t="s">
        <v>6378</v>
      </c>
      <c r="AM1330" s="55" t="s">
        <v>1315</v>
      </c>
      <c r="AN1330" s="185" t="s">
        <v>131</v>
      </c>
      <c r="AO1330" s="185" t="s">
        <v>5150</v>
      </c>
      <c r="AQ1330" s="55" t="s">
        <v>131</v>
      </c>
      <c r="AR1330" s="55" t="s">
        <v>132</v>
      </c>
      <c r="AS1330" s="55" t="s">
        <v>132</v>
      </c>
      <c r="AU1330" s="181" t="s">
        <v>7494</v>
      </c>
      <c r="AV1330" s="185" t="s">
        <v>176</v>
      </c>
      <c r="AX1330" s="185" t="s">
        <v>176</v>
      </c>
      <c r="AZ1330" s="55" t="s">
        <v>156</v>
      </c>
      <c r="BA1330" s="55" t="s">
        <v>156</v>
      </c>
      <c r="BB1330" s="55" t="s">
        <v>2082</v>
      </c>
      <c r="BC1330" s="55" t="s">
        <v>2082</v>
      </c>
      <c r="BD1330" s="55" t="s">
        <v>176</v>
      </c>
      <c r="BE1330" s="226" t="s">
        <v>868</v>
      </c>
      <c r="BG1330" s="55" t="s">
        <v>479</v>
      </c>
      <c r="BH1330" s="226">
        <v>0</v>
      </c>
      <c r="BI1330" s="55" t="s">
        <v>176</v>
      </c>
      <c r="BJ1330" s="55" t="s">
        <v>479</v>
      </c>
      <c r="BK1330" s="55" t="s">
        <v>6269</v>
      </c>
      <c r="BM1330" s="192" t="s">
        <v>160</v>
      </c>
      <c r="BN1330" s="55">
        <v>4</v>
      </c>
      <c r="BO1330" s="55">
        <v>4</v>
      </c>
      <c r="BQ1330" s="55" t="s">
        <v>141</v>
      </c>
      <c r="BV1330" s="55" t="s">
        <v>870</v>
      </c>
      <c r="CB1330" s="66">
        <v>7997</v>
      </c>
      <c r="CC1330" s="66">
        <v>7827</v>
      </c>
      <c r="CH1330" s="90">
        <v>1.2050000000000001</v>
      </c>
      <c r="CI1330" s="90">
        <v>1.22</v>
      </c>
      <c r="CM1330" s="65">
        <v>6.6698630136986301</v>
      </c>
      <c r="CN1330" s="65">
        <v>7.0287671232876718</v>
      </c>
      <c r="CV1330" s="65" t="s">
        <v>1118</v>
      </c>
      <c r="DA1330" s="65" t="s">
        <v>4461</v>
      </c>
      <c r="EK1330" s="90">
        <v>51.65</v>
      </c>
      <c r="EL1330" s="90">
        <v>59.7</v>
      </c>
      <c r="EO1330" s="65" t="s">
        <v>871</v>
      </c>
      <c r="GP1330" s="292" t="s">
        <v>7494</v>
      </c>
      <c r="JU1330" s="55" t="s">
        <v>876</v>
      </c>
      <c r="JW1330" s="55" t="s">
        <v>837</v>
      </c>
    </row>
    <row r="1331" spans="1:283" x14ac:dyDescent="0.25">
      <c r="A1331" s="55">
        <v>1330</v>
      </c>
      <c r="B1331" s="12" t="s">
        <v>7067</v>
      </c>
      <c r="C1331" s="155">
        <v>60</v>
      </c>
      <c r="D1331" s="55" t="s">
        <v>4336</v>
      </c>
      <c r="E1331" s="90" t="s">
        <v>864</v>
      </c>
      <c r="G1331" s="55" t="s">
        <v>865</v>
      </c>
      <c r="H1331" s="55">
        <v>2012</v>
      </c>
      <c r="I1331" s="55">
        <v>2006</v>
      </c>
      <c r="J1331" s="55" t="s">
        <v>151</v>
      </c>
      <c r="K1331" s="55" t="s">
        <v>867</v>
      </c>
      <c r="L1331" s="55" t="s">
        <v>2737</v>
      </c>
      <c r="M1331" s="90">
        <f>39+14/60</f>
        <v>39.233333333333334</v>
      </c>
      <c r="N1331" s="90">
        <f>-76-55/60</f>
        <v>-76.916666666666671</v>
      </c>
      <c r="O1331" s="90">
        <v>109.2</v>
      </c>
      <c r="U1331" s="55" t="s">
        <v>1875</v>
      </c>
      <c r="V1331" s="55" t="s">
        <v>1875</v>
      </c>
      <c r="Y1331" s="55" t="s">
        <v>1946</v>
      </c>
      <c r="Z1331" s="55" t="s">
        <v>1355</v>
      </c>
      <c r="AA1331" s="90" t="s">
        <v>1679</v>
      </c>
      <c r="AD1331" s="90">
        <v>1.21</v>
      </c>
      <c r="AH1331" s="55" t="s">
        <v>6378</v>
      </c>
      <c r="AM1331" s="55" t="s">
        <v>1315</v>
      </c>
      <c r="AN1331" s="185" t="s">
        <v>131</v>
      </c>
      <c r="AO1331" s="185" t="s">
        <v>5150</v>
      </c>
      <c r="AQ1331" s="55" t="s">
        <v>131</v>
      </c>
      <c r="AR1331" s="55" t="s">
        <v>132</v>
      </c>
      <c r="AS1331" s="55" t="s">
        <v>132</v>
      </c>
      <c r="AU1331" s="181" t="s">
        <v>7494</v>
      </c>
      <c r="AV1331" s="185" t="s">
        <v>176</v>
      </c>
      <c r="AX1331" s="185" t="s">
        <v>176</v>
      </c>
      <c r="AZ1331" s="55" t="s">
        <v>156</v>
      </c>
      <c r="BA1331" s="55" t="s">
        <v>156</v>
      </c>
      <c r="BB1331" s="55" t="s">
        <v>2082</v>
      </c>
      <c r="BC1331" s="55" t="s">
        <v>2082</v>
      </c>
      <c r="BD1331" s="55" t="s">
        <v>176</v>
      </c>
      <c r="BE1331" s="226" t="s">
        <v>868</v>
      </c>
      <c r="BG1331" s="55" t="s">
        <v>479</v>
      </c>
      <c r="BH1331" s="226">
        <v>0</v>
      </c>
      <c r="BI1331" s="55" t="s">
        <v>176</v>
      </c>
      <c r="BJ1331" s="55" t="s">
        <v>479</v>
      </c>
      <c r="BK1331" s="55" t="s">
        <v>6269</v>
      </c>
      <c r="BM1331" s="192" t="s">
        <v>160</v>
      </c>
      <c r="BN1331" s="55">
        <v>4</v>
      </c>
      <c r="BO1331" s="55">
        <v>4</v>
      </c>
      <c r="BQ1331" s="55" t="s">
        <v>141</v>
      </c>
      <c r="BV1331" s="55" t="s">
        <v>869</v>
      </c>
      <c r="CB1331" s="66">
        <v>7997</v>
      </c>
      <c r="CC1331" s="66">
        <v>7827</v>
      </c>
      <c r="CH1331" s="90">
        <v>1.2050000000000001</v>
      </c>
      <c r="CI1331" s="90">
        <v>1.22</v>
      </c>
      <c r="CM1331" s="65">
        <v>5.5712328767123296</v>
      </c>
      <c r="CN1331" s="65">
        <v>6.3589041095890417</v>
      </c>
      <c r="CV1331" s="65" t="s">
        <v>1118</v>
      </c>
      <c r="DA1331" s="65" t="s">
        <v>4461</v>
      </c>
      <c r="EK1331" s="90">
        <v>64.8</v>
      </c>
      <c r="EL1331" s="90">
        <v>68.16</v>
      </c>
      <c r="EO1331" s="65" t="s">
        <v>871</v>
      </c>
      <c r="GP1331" s="292" t="s">
        <v>7494</v>
      </c>
      <c r="JU1331" s="55" t="s">
        <v>876</v>
      </c>
      <c r="JW1331" s="55" t="s">
        <v>837</v>
      </c>
    </row>
    <row r="1332" spans="1:283" x14ac:dyDescent="0.25">
      <c r="A1332" s="55">
        <v>1331</v>
      </c>
      <c r="B1332" s="12" t="s">
        <v>7067</v>
      </c>
      <c r="C1332" s="155">
        <v>61</v>
      </c>
      <c r="D1332" s="55" t="s">
        <v>3943</v>
      </c>
      <c r="E1332" s="90" t="s">
        <v>889</v>
      </c>
      <c r="G1332" s="55" t="s">
        <v>890</v>
      </c>
      <c r="H1332" s="55">
        <v>2003</v>
      </c>
      <c r="I1332" s="55">
        <v>2000</v>
      </c>
      <c r="J1332" s="55" t="s">
        <v>891</v>
      </c>
      <c r="K1332" s="55" t="s">
        <v>892</v>
      </c>
      <c r="L1332" s="55" t="s">
        <v>2737</v>
      </c>
      <c r="M1332" s="90">
        <v>38.74</v>
      </c>
      <c r="N1332" s="90">
        <v>-87.49</v>
      </c>
      <c r="O1332" s="90">
        <v>130</v>
      </c>
      <c r="R1332" s="55">
        <v>143.9</v>
      </c>
      <c r="U1332" s="55">
        <v>1</v>
      </c>
      <c r="V1332" s="55" t="s">
        <v>1688</v>
      </c>
      <c r="Y1332" s="55" t="s">
        <v>896</v>
      </c>
      <c r="Z1332" s="55" t="s">
        <v>1349</v>
      </c>
      <c r="AA1332" s="90" t="s">
        <v>1677</v>
      </c>
      <c r="AD1332" s="90">
        <v>1.44</v>
      </c>
      <c r="AH1332" s="55" t="s">
        <v>6378</v>
      </c>
      <c r="AM1332" s="55" t="s">
        <v>1291</v>
      </c>
      <c r="AN1332" s="185" t="s">
        <v>1491</v>
      </c>
      <c r="AO1332" s="185" t="s">
        <v>5150</v>
      </c>
      <c r="AQ1332" s="55" t="s">
        <v>1545</v>
      </c>
      <c r="AR1332" s="55" t="s">
        <v>158</v>
      </c>
      <c r="AS1332" s="55" t="s">
        <v>1575</v>
      </c>
      <c r="AT1332" s="181" t="s">
        <v>912</v>
      </c>
      <c r="AU1332" s="181" t="s">
        <v>5150</v>
      </c>
      <c r="AV1332" s="185" t="s">
        <v>176</v>
      </c>
      <c r="AW1332" s="55" t="s">
        <v>912</v>
      </c>
      <c r="AX1332" s="185" t="s">
        <v>176</v>
      </c>
      <c r="AY1332" s="55" t="s">
        <v>176</v>
      </c>
      <c r="AZ1332" s="55" t="s">
        <v>229</v>
      </c>
      <c r="BA1332" s="55" t="s">
        <v>229</v>
      </c>
      <c r="BB1332" s="55" t="s">
        <v>2081</v>
      </c>
      <c r="BC1332" s="55" t="s">
        <v>2081</v>
      </c>
      <c r="BD1332" s="55" t="s">
        <v>176</v>
      </c>
      <c r="BK1332" s="55" t="s">
        <v>5976</v>
      </c>
      <c r="BM1332" s="192" t="s">
        <v>160</v>
      </c>
      <c r="BN1332" s="55">
        <v>4</v>
      </c>
      <c r="BO1332" s="55">
        <v>4</v>
      </c>
      <c r="BQ1332" s="55" t="s">
        <v>141</v>
      </c>
      <c r="BS1332" s="55">
        <v>1027</v>
      </c>
      <c r="BU1332" s="55" t="s">
        <v>894</v>
      </c>
      <c r="CH1332" s="90">
        <v>1.4</v>
      </c>
      <c r="CI1332" s="90">
        <v>1.36</v>
      </c>
      <c r="EK1332" s="90">
        <v>1.65</v>
      </c>
      <c r="EL1332" s="90">
        <v>1.95</v>
      </c>
      <c r="EO1332" s="65" t="s">
        <v>900</v>
      </c>
      <c r="EP1332" s="65">
        <v>49.1</v>
      </c>
      <c r="EQ1332" s="65">
        <v>51.25</v>
      </c>
      <c r="ET1332" s="65" t="s">
        <v>898</v>
      </c>
      <c r="EU1332" s="65">
        <v>4.931E-2</v>
      </c>
      <c r="EV1332" s="65">
        <v>4.897E-2</v>
      </c>
      <c r="EY1332" s="65" t="s">
        <v>913</v>
      </c>
      <c r="EZ1332" s="65">
        <v>12.6</v>
      </c>
      <c r="FA1332" s="65">
        <v>17.399999999999999</v>
      </c>
      <c r="FD1332" s="65" t="s">
        <v>901</v>
      </c>
      <c r="FE1332" s="65">
        <v>75</v>
      </c>
      <c r="FF1332" s="65">
        <v>150.6</v>
      </c>
      <c r="GD1332" s="65">
        <f>30/1.44</f>
        <v>20.833333333333336</v>
      </c>
      <c r="GE1332" s="65">
        <f>33.4/1.44</f>
        <v>23.194444444444443</v>
      </c>
      <c r="GH1332" s="65" t="s">
        <v>903</v>
      </c>
      <c r="GP1332" s="292" t="s">
        <v>7494</v>
      </c>
      <c r="JU1332" s="55" t="s">
        <v>911</v>
      </c>
      <c r="JW1332" s="55" t="s">
        <v>837</v>
      </c>
    </row>
    <row r="1333" spans="1:283" x14ac:dyDescent="0.25">
      <c r="A1333" s="55">
        <v>1332</v>
      </c>
      <c r="B1333" s="12" t="s">
        <v>7067</v>
      </c>
      <c r="C1333" s="155">
        <v>61</v>
      </c>
      <c r="D1333" s="55" t="s">
        <v>3944</v>
      </c>
      <c r="E1333" s="90" t="s">
        <v>889</v>
      </c>
      <c r="G1333" s="55" t="s">
        <v>890</v>
      </c>
      <c r="H1333" s="55">
        <v>2003</v>
      </c>
      <c r="I1333" s="55">
        <v>2000</v>
      </c>
      <c r="J1333" s="55" t="s">
        <v>891</v>
      </c>
      <c r="K1333" s="55" t="s">
        <v>892</v>
      </c>
      <c r="L1333" s="55" t="s">
        <v>2737</v>
      </c>
      <c r="M1333" s="90">
        <v>38.74</v>
      </c>
      <c r="N1333" s="90">
        <v>-87.49</v>
      </c>
      <c r="O1333" s="90">
        <v>130</v>
      </c>
      <c r="R1333" s="55">
        <v>143.9</v>
      </c>
      <c r="U1333" s="55">
        <v>1</v>
      </c>
      <c r="V1333" s="55" t="s">
        <v>1688</v>
      </c>
      <c r="Y1333" s="55" t="s">
        <v>896</v>
      </c>
      <c r="Z1333" s="55" t="s">
        <v>1349</v>
      </c>
      <c r="AA1333" s="90" t="s">
        <v>1677</v>
      </c>
      <c r="AD1333" s="90">
        <v>1.44</v>
      </c>
      <c r="AH1333" s="55" t="s">
        <v>6378</v>
      </c>
      <c r="AM1333" s="55" t="s">
        <v>1291</v>
      </c>
      <c r="AN1333" s="185" t="s">
        <v>1491</v>
      </c>
      <c r="AO1333" s="185" t="s">
        <v>5150</v>
      </c>
      <c r="AQ1333" s="55" t="s">
        <v>1545</v>
      </c>
      <c r="AR1333" s="55" t="s">
        <v>132</v>
      </c>
      <c r="AS1333" s="55" t="s">
        <v>1575</v>
      </c>
      <c r="AT1333" s="181" t="s">
        <v>912</v>
      </c>
      <c r="AU1333" s="181" t="s">
        <v>5150</v>
      </c>
      <c r="AV1333" s="185" t="s">
        <v>176</v>
      </c>
      <c r="AW1333" s="55" t="s">
        <v>912</v>
      </c>
      <c r="AX1333" s="185" t="s">
        <v>176</v>
      </c>
      <c r="AY1333" s="55" t="s">
        <v>176</v>
      </c>
      <c r="AZ1333" s="55" t="s">
        <v>229</v>
      </c>
      <c r="BA1333" s="55" t="s">
        <v>229</v>
      </c>
      <c r="BB1333" s="55" t="s">
        <v>2081</v>
      </c>
      <c r="BC1333" s="55" t="s">
        <v>2081</v>
      </c>
      <c r="BD1333" s="55" t="s">
        <v>176</v>
      </c>
      <c r="BK1333" s="55" t="s">
        <v>5976</v>
      </c>
      <c r="BM1333" s="192" t="s">
        <v>160</v>
      </c>
      <c r="BN1333" s="55">
        <v>4</v>
      </c>
      <c r="BO1333" s="55">
        <v>4</v>
      </c>
      <c r="BQ1333" s="55" t="s">
        <v>141</v>
      </c>
      <c r="BS1333" s="55">
        <v>895</v>
      </c>
      <c r="BU1333" s="55" t="s">
        <v>895</v>
      </c>
      <c r="CH1333" s="90">
        <v>1.4</v>
      </c>
      <c r="CI1333" s="90">
        <v>1.34</v>
      </c>
      <c r="EK1333" s="90">
        <v>1.65</v>
      </c>
      <c r="EL1333" s="90">
        <v>2.59</v>
      </c>
      <c r="EO1333" s="65" t="s">
        <v>900</v>
      </c>
      <c r="EP1333" s="65">
        <v>49.1</v>
      </c>
      <c r="EQ1333" s="65">
        <v>50.33</v>
      </c>
      <c r="ET1333" s="65" t="s">
        <v>898</v>
      </c>
      <c r="EU1333" s="65">
        <v>4.623E-2</v>
      </c>
      <c r="EV1333" s="65">
        <v>4.3950000000000003E-2</v>
      </c>
      <c r="EY1333" s="65" t="s">
        <v>913</v>
      </c>
      <c r="FE1333" s="65">
        <v>75</v>
      </c>
      <c r="FF1333" s="65">
        <v>117</v>
      </c>
      <c r="GD1333" s="65">
        <f>30/1.44</f>
        <v>20.833333333333336</v>
      </c>
      <c r="GE1333" s="65">
        <f>34.1/1.44</f>
        <v>23.680555555555557</v>
      </c>
      <c r="GH1333" s="65" t="s">
        <v>903</v>
      </c>
      <c r="GP1333" s="292" t="s">
        <v>7494</v>
      </c>
      <c r="JU1333" s="55" t="s">
        <v>911</v>
      </c>
      <c r="JW1333" s="55" t="s">
        <v>837</v>
      </c>
    </row>
    <row r="1334" spans="1:283" x14ac:dyDescent="0.25">
      <c r="A1334" s="55">
        <v>1333</v>
      </c>
      <c r="B1334" s="12" t="s">
        <v>7067</v>
      </c>
      <c r="C1334" s="155">
        <v>61</v>
      </c>
      <c r="D1334" s="55" t="s">
        <v>3945</v>
      </c>
      <c r="E1334" s="90" t="s">
        <v>889</v>
      </c>
      <c r="G1334" s="55" t="s">
        <v>890</v>
      </c>
      <c r="H1334" s="55">
        <v>2003</v>
      </c>
      <c r="I1334" s="55">
        <v>2000</v>
      </c>
      <c r="J1334" s="55" t="s">
        <v>891</v>
      </c>
      <c r="K1334" s="55" t="s">
        <v>892</v>
      </c>
      <c r="L1334" s="55" t="s">
        <v>2737</v>
      </c>
      <c r="M1334" s="90">
        <v>38.74</v>
      </c>
      <c r="N1334" s="90">
        <v>-87.49</v>
      </c>
      <c r="O1334" s="90">
        <v>130</v>
      </c>
      <c r="R1334" s="55">
        <v>143.9</v>
      </c>
      <c r="U1334" s="55">
        <v>1</v>
      </c>
      <c r="V1334" s="55" t="s">
        <v>1688</v>
      </c>
      <c r="Y1334" s="55" t="s">
        <v>896</v>
      </c>
      <c r="Z1334" s="55" t="s">
        <v>1349</v>
      </c>
      <c r="AA1334" s="90" t="s">
        <v>1677</v>
      </c>
      <c r="AD1334" s="90">
        <v>1.44</v>
      </c>
      <c r="AH1334" s="55" t="s">
        <v>6378</v>
      </c>
      <c r="AM1334" s="55" t="s">
        <v>1291</v>
      </c>
      <c r="AN1334" s="185" t="s">
        <v>1491</v>
      </c>
      <c r="AO1334" s="185" t="s">
        <v>5150</v>
      </c>
      <c r="AQ1334" s="55" t="s">
        <v>1545</v>
      </c>
      <c r="AR1334" s="55" t="s">
        <v>158</v>
      </c>
      <c r="AS1334" s="55" t="s">
        <v>1575</v>
      </c>
      <c r="AT1334" s="181" t="s">
        <v>912</v>
      </c>
      <c r="AU1334" s="181" t="s">
        <v>5150</v>
      </c>
      <c r="AV1334" s="185" t="s">
        <v>176</v>
      </c>
      <c r="AW1334" s="55" t="s">
        <v>912</v>
      </c>
      <c r="AX1334" s="185" t="s">
        <v>176</v>
      </c>
      <c r="AY1334" s="55" t="s">
        <v>176</v>
      </c>
      <c r="AZ1334" s="55" t="s">
        <v>156</v>
      </c>
      <c r="BA1334" s="55" t="s">
        <v>156</v>
      </c>
      <c r="BB1334" s="55" t="s">
        <v>2082</v>
      </c>
      <c r="BC1334" s="55" t="s">
        <v>2082</v>
      </c>
      <c r="BD1334" s="55" t="s">
        <v>176</v>
      </c>
      <c r="BK1334" s="55" t="s">
        <v>6269</v>
      </c>
      <c r="BM1334" s="192" t="s">
        <v>160</v>
      </c>
      <c r="BN1334" s="55">
        <v>4</v>
      </c>
      <c r="BO1334" s="55">
        <v>4</v>
      </c>
      <c r="BQ1334" s="55" t="s">
        <v>141</v>
      </c>
      <c r="BS1334" s="55">
        <v>418</v>
      </c>
      <c r="BU1334" s="55" t="s">
        <v>894</v>
      </c>
      <c r="CH1334" s="90">
        <v>1.55</v>
      </c>
      <c r="CI1334" s="90">
        <v>1.5</v>
      </c>
      <c r="EK1334" s="90">
        <v>1.48</v>
      </c>
      <c r="EL1334" s="90">
        <v>2.08</v>
      </c>
      <c r="EO1334" s="65" t="s">
        <v>900</v>
      </c>
      <c r="EP1334" s="65">
        <v>41.26</v>
      </c>
      <c r="EQ1334" s="65">
        <v>42.24</v>
      </c>
      <c r="ET1334" s="65" t="s">
        <v>898</v>
      </c>
      <c r="EU1334" s="65">
        <v>4.931E-2</v>
      </c>
      <c r="EV1334" s="65">
        <v>6.1400000000000003E-2</v>
      </c>
      <c r="EY1334" s="65" t="s">
        <v>913</v>
      </c>
      <c r="EZ1334" s="65">
        <v>18</v>
      </c>
      <c r="FA1334" s="65">
        <v>21.6</v>
      </c>
      <c r="FD1334" s="65" t="s">
        <v>901</v>
      </c>
      <c r="GD1334" s="65">
        <f>33.9/1.44</f>
        <v>23.541666666666668</v>
      </c>
      <c r="GE1334" s="65">
        <f>36/1.44</f>
        <v>25</v>
      </c>
      <c r="GH1334" s="65" t="s">
        <v>903</v>
      </c>
      <c r="GP1334" s="292" t="s">
        <v>7494</v>
      </c>
      <c r="JU1334" s="55" t="s">
        <v>911</v>
      </c>
      <c r="JW1334" s="55" t="s">
        <v>837</v>
      </c>
    </row>
    <row r="1335" spans="1:283" x14ac:dyDescent="0.25">
      <c r="A1335" s="55">
        <v>1334</v>
      </c>
      <c r="B1335" s="12" t="s">
        <v>7067</v>
      </c>
      <c r="C1335" s="155">
        <v>61</v>
      </c>
      <c r="D1335" s="55" t="s">
        <v>3946</v>
      </c>
      <c r="E1335" s="90" t="s">
        <v>889</v>
      </c>
      <c r="G1335" s="55" t="s">
        <v>890</v>
      </c>
      <c r="H1335" s="55">
        <v>2003</v>
      </c>
      <c r="I1335" s="55">
        <v>2000</v>
      </c>
      <c r="J1335" s="55" t="s">
        <v>891</v>
      </c>
      <c r="K1335" s="55" t="s">
        <v>892</v>
      </c>
      <c r="L1335" s="55" t="s">
        <v>2737</v>
      </c>
      <c r="M1335" s="90">
        <v>38.74</v>
      </c>
      <c r="N1335" s="90">
        <v>-87.49</v>
      </c>
      <c r="O1335" s="90">
        <v>130</v>
      </c>
      <c r="R1335" s="55">
        <v>143.9</v>
      </c>
      <c r="U1335" s="55">
        <v>1</v>
      </c>
      <c r="V1335" s="55" t="s">
        <v>1688</v>
      </c>
      <c r="Y1335" s="55" t="s">
        <v>896</v>
      </c>
      <c r="Z1335" s="55" t="s">
        <v>1349</v>
      </c>
      <c r="AA1335" s="90" t="s">
        <v>1677</v>
      </c>
      <c r="AD1335" s="90">
        <v>1.44</v>
      </c>
      <c r="AH1335" s="55" t="s">
        <v>6378</v>
      </c>
      <c r="AM1335" s="55" t="s">
        <v>1291</v>
      </c>
      <c r="AN1335" s="185" t="s">
        <v>1491</v>
      </c>
      <c r="AO1335" s="185" t="s">
        <v>5150</v>
      </c>
      <c r="AQ1335" s="55" t="s">
        <v>1545</v>
      </c>
      <c r="AR1335" s="55" t="s">
        <v>132</v>
      </c>
      <c r="AS1335" s="55" t="s">
        <v>1575</v>
      </c>
      <c r="AT1335" s="181" t="s">
        <v>912</v>
      </c>
      <c r="AU1335" s="181" t="s">
        <v>5150</v>
      </c>
      <c r="AV1335" s="185" t="s">
        <v>176</v>
      </c>
      <c r="AW1335" s="55" t="s">
        <v>912</v>
      </c>
      <c r="AX1335" s="185" t="s">
        <v>176</v>
      </c>
      <c r="AY1335" s="55" t="s">
        <v>176</v>
      </c>
      <c r="AZ1335" s="55" t="s">
        <v>156</v>
      </c>
      <c r="BA1335" s="55" t="s">
        <v>156</v>
      </c>
      <c r="BB1335" s="55" t="s">
        <v>2082</v>
      </c>
      <c r="BC1335" s="55" t="s">
        <v>2082</v>
      </c>
      <c r="BD1335" s="55" t="s">
        <v>176</v>
      </c>
      <c r="BK1335" s="55" t="s">
        <v>6269</v>
      </c>
      <c r="BM1335" s="192" t="s">
        <v>160</v>
      </c>
      <c r="BN1335" s="55">
        <v>4</v>
      </c>
      <c r="BO1335" s="55">
        <v>4</v>
      </c>
      <c r="BQ1335" s="55" t="s">
        <v>141</v>
      </c>
      <c r="BS1335" s="55">
        <v>743</v>
      </c>
      <c r="BU1335" s="55" t="s">
        <v>895</v>
      </c>
      <c r="CH1335" s="90">
        <v>1.55</v>
      </c>
      <c r="CI1335" s="90">
        <v>1.48</v>
      </c>
      <c r="EK1335" s="90">
        <v>1.48</v>
      </c>
      <c r="EL1335" s="90">
        <v>2.7</v>
      </c>
      <c r="EO1335" s="65" t="s">
        <v>900</v>
      </c>
      <c r="EP1335" s="65">
        <v>41.26</v>
      </c>
      <c r="EQ1335" s="65">
        <v>41.55</v>
      </c>
      <c r="ET1335" s="65" t="s">
        <v>898</v>
      </c>
      <c r="EU1335" s="65">
        <v>4.623E-2</v>
      </c>
      <c r="EV1335" s="65">
        <v>4.1669999999999999E-2</v>
      </c>
      <c r="EY1335" s="65" t="s">
        <v>913</v>
      </c>
      <c r="GD1335" s="65">
        <f>33.9/1.44</f>
        <v>23.541666666666668</v>
      </c>
      <c r="GE1335" s="65">
        <f>37.7/1.44</f>
        <v>26.180555555555557</v>
      </c>
      <c r="GH1335" s="65" t="s">
        <v>903</v>
      </c>
      <c r="GP1335" s="292" t="s">
        <v>7494</v>
      </c>
      <c r="JU1335" s="55" t="s">
        <v>911</v>
      </c>
      <c r="JW1335" s="55" t="s">
        <v>837</v>
      </c>
    </row>
    <row r="1336" spans="1:283" x14ac:dyDescent="0.25">
      <c r="A1336" s="55">
        <v>1335</v>
      </c>
      <c r="B1336" s="12" t="s">
        <v>7067</v>
      </c>
      <c r="C1336" s="155">
        <v>61</v>
      </c>
      <c r="D1336" s="55" t="s">
        <v>3943</v>
      </c>
      <c r="E1336" s="90" t="s">
        <v>889</v>
      </c>
      <c r="G1336" s="55" t="s">
        <v>890</v>
      </c>
      <c r="H1336" s="55">
        <v>2003</v>
      </c>
      <c r="I1336" s="55">
        <v>2000</v>
      </c>
      <c r="J1336" s="55" t="s">
        <v>891</v>
      </c>
      <c r="K1336" s="55" t="s">
        <v>892</v>
      </c>
      <c r="L1336" s="55" t="s">
        <v>2737</v>
      </c>
      <c r="M1336" s="90">
        <v>38.74</v>
      </c>
      <c r="N1336" s="90">
        <v>-87.49</v>
      </c>
      <c r="O1336" s="90">
        <v>130</v>
      </c>
      <c r="R1336" s="55">
        <v>143.9</v>
      </c>
      <c r="U1336" s="55">
        <v>1</v>
      </c>
      <c r="V1336" s="55" t="s">
        <v>1688</v>
      </c>
      <c r="Y1336" s="55" t="s">
        <v>897</v>
      </c>
      <c r="Z1336" s="55" t="s">
        <v>1349</v>
      </c>
      <c r="AA1336" s="90" t="s">
        <v>1677</v>
      </c>
      <c r="AD1336" s="90">
        <v>1.44</v>
      </c>
      <c r="AH1336" s="55" t="s">
        <v>6378</v>
      </c>
      <c r="AM1336" s="55" t="s">
        <v>1291</v>
      </c>
      <c r="AN1336" s="185" t="s">
        <v>1491</v>
      </c>
      <c r="AO1336" s="185" t="s">
        <v>5150</v>
      </c>
      <c r="AQ1336" s="55" t="s">
        <v>1545</v>
      </c>
      <c r="AR1336" s="55" t="s">
        <v>158</v>
      </c>
      <c r="AS1336" s="55" t="s">
        <v>1575</v>
      </c>
      <c r="AT1336" s="181" t="s">
        <v>912</v>
      </c>
      <c r="AU1336" s="181" t="s">
        <v>5150</v>
      </c>
      <c r="AV1336" s="185" t="s">
        <v>176</v>
      </c>
      <c r="AW1336" s="55" t="s">
        <v>912</v>
      </c>
      <c r="AX1336" s="185" t="s">
        <v>176</v>
      </c>
      <c r="AY1336" s="55" t="s">
        <v>176</v>
      </c>
      <c r="AZ1336" s="55" t="s">
        <v>229</v>
      </c>
      <c r="BA1336" s="55" t="s">
        <v>229</v>
      </c>
      <c r="BB1336" s="55" t="s">
        <v>2081</v>
      </c>
      <c r="BC1336" s="55" t="s">
        <v>2081</v>
      </c>
      <c r="BD1336" s="55" t="s">
        <v>176</v>
      </c>
      <c r="BK1336" s="55" t="s">
        <v>5976</v>
      </c>
      <c r="BM1336" s="192" t="s">
        <v>160</v>
      </c>
      <c r="BN1336" s="55">
        <v>4</v>
      </c>
      <c r="BO1336" s="55">
        <v>4</v>
      </c>
      <c r="BQ1336" s="55" t="s">
        <v>141</v>
      </c>
      <c r="BS1336" s="55">
        <v>3096</v>
      </c>
      <c r="BU1336" s="55" t="s">
        <v>894</v>
      </c>
      <c r="CH1336" s="90">
        <v>1.35</v>
      </c>
      <c r="CI1336" s="90">
        <v>1.29</v>
      </c>
      <c r="EK1336" s="90">
        <v>2.38</v>
      </c>
      <c r="EL1336" s="90">
        <v>2.5</v>
      </c>
      <c r="EO1336" s="65" t="s">
        <v>900</v>
      </c>
      <c r="EP1336" s="65">
        <v>13.93</v>
      </c>
      <c r="EQ1336" s="65">
        <v>15.24</v>
      </c>
      <c r="ET1336" s="65" t="s">
        <v>899</v>
      </c>
      <c r="FE1336" s="65">
        <v>58.2</v>
      </c>
      <c r="FF1336" s="65">
        <v>22.2</v>
      </c>
      <c r="GD1336" s="65">
        <f>26.5/1.44</f>
        <v>18.402777777777779</v>
      </c>
      <c r="GE1336" s="65">
        <f>29.1/1.44</f>
        <v>20.208333333333336</v>
      </c>
      <c r="GH1336" s="65" t="s">
        <v>904</v>
      </c>
      <c r="GP1336" s="292" t="s">
        <v>7494</v>
      </c>
      <c r="JU1336" s="55" t="s">
        <v>911</v>
      </c>
      <c r="JW1336" s="55" t="s">
        <v>837</v>
      </c>
    </row>
    <row r="1337" spans="1:283" x14ac:dyDescent="0.25">
      <c r="A1337" s="55">
        <v>1336</v>
      </c>
      <c r="B1337" s="12" t="s">
        <v>7067</v>
      </c>
      <c r="C1337" s="155">
        <v>61</v>
      </c>
      <c r="D1337" s="55" t="s">
        <v>3944</v>
      </c>
      <c r="E1337" s="90" t="s">
        <v>889</v>
      </c>
      <c r="G1337" s="55" t="s">
        <v>890</v>
      </c>
      <c r="H1337" s="55">
        <v>2003</v>
      </c>
      <c r="I1337" s="55">
        <v>2000</v>
      </c>
      <c r="J1337" s="55" t="s">
        <v>891</v>
      </c>
      <c r="K1337" s="55" t="s">
        <v>892</v>
      </c>
      <c r="L1337" s="55" t="s">
        <v>2737</v>
      </c>
      <c r="M1337" s="90">
        <v>38.74</v>
      </c>
      <c r="N1337" s="90">
        <v>-87.49</v>
      </c>
      <c r="O1337" s="90">
        <v>130</v>
      </c>
      <c r="R1337" s="55">
        <v>143.9</v>
      </c>
      <c r="U1337" s="55">
        <v>1</v>
      </c>
      <c r="V1337" s="55" t="s">
        <v>1688</v>
      </c>
      <c r="Y1337" s="55" t="s">
        <v>897</v>
      </c>
      <c r="Z1337" s="55" t="s">
        <v>1349</v>
      </c>
      <c r="AA1337" s="90" t="s">
        <v>1677</v>
      </c>
      <c r="AD1337" s="90">
        <v>1.44</v>
      </c>
      <c r="AH1337" s="55" t="s">
        <v>6378</v>
      </c>
      <c r="AM1337" s="55" t="s">
        <v>1291</v>
      </c>
      <c r="AN1337" s="185" t="s">
        <v>1491</v>
      </c>
      <c r="AO1337" s="185" t="s">
        <v>5150</v>
      </c>
      <c r="AQ1337" s="55" t="s">
        <v>1545</v>
      </c>
      <c r="AR1337" s="55" t="s">
        <v>132</v>
      </c>
      <c r="AS1337" s="55" t="s">
        <v>1575</v>
      </c>
      <c r="AT1337" s="181" t="s">
        <v>912</v>
      </c>
      <c r="AU1337" s="181" t="s">
        <v>5150</v>
      </c>
      <c r="AV1337" s="185" t="s">
        <v>176</v>
      </c>
      <c r="AW1337" s="55" t="s">
        <v>912</v>
      </c>
      <c r="AX1337" s="185" t="s">
        <v>176</v>
      </c>
      <c r="AY1337" s="55" t="s">
        <v>176</v>
      </c>
      <c r="AZ1337" s="55" t="s">
        <v>229</v>
      </c>
      <c r="BA1337" s="55" t="s">
        <v>229</v>
      </c>
      <c r="BB1337" s="55" t="s">
        <v>2081</v>
      </c>
      <c r="BC1337" s="55" t="s">
        <v>2081</v>
      </c>
      <c r="BD1337" s="55" t="s">
        <v>176</v>
      </c>
      <c r="BK1337" s="55" t="s">
        <v>5976</v>
      </c>
      <c r="BM1337" s="192" t="s">
        <v>160</v>
      </c>
      <c r="BN1337" s="55">
        <v>4</v>
      </c>
      <c r="BO1337" s="55">
        <v>4</v>
      </c>
      <c r="BQ1337" s="55" t="s">
        <v>141</v>
      </c>
      <c r="BS1337" s="55">
        <v>3047</v>
      </c>
      <c r="BU1337" s="55" t="s">
        <v>895</v>
      </c>
      <c r="CH1337" s="90">
        <v>1.35</v>
      </c>
      <c r="CI1337" s="90">
        <v>1.32</v>
      </c>
      <c r="EK1337" s="90">
        <v>2.38</v>
      </c>
      <c r="EL1337" s="90">
        <v>3.24</v>
      </c>
      <c r="EO1337" s="65" t="s">
        <v>900</v>
      </c>
      <c r="EP1337" s="65">
        <v>13.93</v>
      </c>
      <c r="EQ1337" s="65">
        <v>13</v>
      </c>
      <c r="ET1337" s="65" t="s">
        <v>899</v>
      </c>
      <c r="FE1337" s="65">
        <v>58.2</v>
      </c>
      <c r="FF1337" s="65">
        <v>40.799999999999997</v>
      </c>
      <c r="GD1337" s="65">
        <f>26.5/1.44</f>
        <v>18.402777777777779</v>
      </c>
      <c r="GE1337" s="65">
        <f>29.5/1.44</f>
        <v>20.486111111111111</v>
      </c>
      <c r="GH1337" s="65" t="s">
        <v>904</v>
      </c>
      <c r="GP1337" s="292" t="s">
        <v>7494</v>
      </c>
      <c r="JU1337" s="55" t="s">
        <v>911</v>
      </c>
      <c r="JW1337" s="55" t="s">
        <v>837</v>
      </c>
    </row>
    <row r="1338" spans="1:283" x14ac:dyDescent="0.25">
      <c r="A1338" s="55">
        <v>1337</v>
      </c>
      <c r="B1338" s="12" t="s">
        <v>7067</v>
      </c>
      <c r="C1338" s="155">
        <v>61</v>
      </c>
      <c r="D1338" s="55" t="s">
        <v>3945</v>
      </c>
      <c r="E1338" s="90" t="s">
        <v>889</v>
      </c>
      <c r="G1338" s="55" t="s">
        <v>890</v>
      </c>
      <c r="H1338" s="55">
        <v>2003</v>
      </c>
      <c r="I1338" s="55">
        <v>2000</v>
      </c>
      <c r="J1338" s="55" t="s">
        <v>891</v>
      </c>
      <c r="K1338" s="55" t="s">
        <v>892</v>
      </c>
      <c r="L1338" s="55" t="s">
        <v>2737</v>
      </c>
      <c r="M1338" s="90">
        <v>38.74</v>
      </c>
      <c r="N1338" s="90">
        <v>-87.49</v>
      </c>
      <c r="O1338" s="90">
        <v>130</v>
      </c>
      <c r="R1338" s="55">
        <v>143.9</v>
      </c>
      <c r="U1338" s="55">
        <v>1</v>
      </c>
      <c r="V1338" s="55" t="s">
        <v>1688</v>
      </c>
      <c r="Y1338" s="55" t="s">
        <v>897</v>
      </c>
      <c r="Z1338" s="55" t="s">
        <v>1349</v>
      </c>
      <c r="AA1338" s="90" t="s">
        <v>1677</v>
      </c>
      <c r="AD1338" s="90">
        <v>1.44</v>
      </c>
      <c r="AH1338" s="55" t="s">
        <v>6378</v>
      </c>
      <c r="AM1338" s="55" t="s">
        <v>1291</v>
      </c>
      <c r="AN1338" s="185" t="s">
        <v>1491</v>
      </c>
      <c r="AO1338" s="185" t="s">
        <v>5150</v>
      </c>
      <c r="AQ1338" s="55" t="s">
        <v>1545</v>
      </c>
      <c r="AR1338" s="55" t="s">
        <v>158</v>
      </c>
      <c r="AS1338" s="55" t="s">
        <v>1575</v>
      </c>
      <c r="AT1338" s="181" t="s">
        <v>912</v>
      </c>
      <c r="AU1338" s="181" t="s">
        <v>5150</v>
      </c>
      <c r="AV1338" s="185" t="s">
        <v>176</v>
      </c>
      <c r="AW1338" s="55" t="s">
        <v>912</v>
      </c>
      <c r="AX1338" s="185" t="s">
        <v>176</v>
      </c>
      <c r="AY1338" s="55" t="s">
        <v>176</v>
      </c>
      <c r="AZ1338" s="55" t="s">
        <v>156</v>
      </c>
      <c r="BA1338" s="55" t="s">
        <v>156</v>
      </c>
      <c r="BB1338" s="55" t="s">
        <v>2082</v>
      </c>
      <c r="BC1338" s="55" t="s">
        <v>2082</v>
      </c>
      <c r="BD1338" s="55" t="s">
        <v>176</v>
      </c>
      <c r="BK1338" s="55" t="s">
        <v>6269</v>
      </c>
      <c r="BM1338" s="192" t="s">
        <v>160</v>
      </c>
      <c r="BN1338" s="55">
        <v>4</v>
      </c>
      <c r="BO1338" s="55">
        <v>4</v>
      </c>
      <c r="BQ1338" s="55" t="s">
        <v>141</v>
      </c>
      <c r="BS1338" s="55">
        <v>1823</v>
      </c>
      <c r="BU1338" s="55" t="s">
        <v>894</v>
      </c>
      <c r="CH1338" s="90">
        <v>1.56</v>
      </c>
      <c r="CI1338" s="90">
        <v>1.53</v>
      </c>
      <c r="EK1338" s="90">
        <v>2.4500000000000002</v>
      </c>
      <c r="EL1338" s="90">
        <v>2.63</v>
      </c>
      <c r="EO1338" s="65" t="s">
        <v>900</v>
      </c>
      <c r="EP1338" s="65">
        <v>5.62</v>
      </c>
      <c r="EQ1338" s="65">
        <v>5.0599999999999996</v>
      </c>
      <c r="ET1338" s="65" t="s">
        <v>899</v>
      </c>
      <c r="GD1338" s="65">
        <f>38.2/1.44</f>
        <v>26.527777777777782</v>
      </c>
      <c r="GE1338" s="65">
        <f>35.2/1.44</f>
        <v>24.444444444444446</v>
      </c>
      <c r="GH1338" s="65" t="s">
        <v>904</v>
      </c>
      <c r="GP1338" s="292" t="s">
        <v>7494</v>
      </c>
      <c r="JU1338" s="55" t="s">
        <v>911</v>
      </c>
      <c r="JW1338" s="55" t="s">
        <v>837</v>
      </c>
    </row>
    <row r="1339" spans="1:283" x14ac:dyDescent="0.25">
      <c r="A1339" s="55">
        <v>1338</v>
      </c>
      <c r="B1339" s="12" t="s">
        <v>7067</v>
      </c>
      <c r="C1339" s="155">
        <v>61</v>
      </c>
      <c r="D1339" s="55" t="s">
        <v>3946</v>
      </c>
      <c r="E1339" s="90" t="s">
        <v>889</v>
      </c>
      <c r="G1339" s="55" t="s">
        <v>890</v>
      </c>
      <c r="H1339" s="55">
        <v>2003</v>
      </c>
      <c r="I1339" s="55">
        <v>2000</v>
      </c>
      <c r="J1339" s="55" t="s">
        <v>891</v>
      </c>
      <c r="K1339" s="55" t="s">
        <v>892</v>
      </c>
      <c r="L1339" s="55" t="s">
        <v>2737</v>
      </c>
      <c r="M1339" s="90">
        <v>38.74</v>
      </c>
      <c r="N1339" s="90">
        <v>-87.49</v>
      </c>
      <c r="O1339" s="90">
        <v>130</v>
      </c>
      <c r="R1339" s="55">
        <v>143.9</v>
      </c>
      <c r="U1339" s="55">
        <v>1</v>
      </c>
      <c r="V1339" s="55" t="s">
        <v>1688</v>
      </c>
      <c r="Y1339" s="55" t="s">
        <v>897</v>
      </c>
      <c r="Z1339" s="55" t="s">
        <v>1349</v>
      </c>
      <c r="AA1339" s="90" t="s">
        <v>1677</v>
      </c>
      <c r="AD1339" s="90">
        <v>1.44</v>
      </c>
      <c r="AH1339" s="55" t="s">
        <v>6378</v>
      </c>
      <c r="AM1339" s="55" t="s">
        <v>1291</v>
      </c>
      <c r="AN1339" s="185" t="s">
        <v>1491</v>
      </c>
      <c r="AO1339" s="185" t="s">
        <v>5150</v>
      </c>
      <c r="AQ1339" s="55" t="s">
        <v>1545</v>
      </c>
      <c r="AR1339" s="55" t="s">
        <v>132</v>
      </c>
      <c r="AS1339" s="55" t="s">
        <v>1575</v>
      </c>
      <c r="AT1339" s="181" t="s">
        <v>912</v>
      </c>
      <c r="AU1339" s="181" t="s">
        <v>5150</v>
      </c>
      <c r="AV1339" s="185" t="s">
        <v>176</v>
      </c>
      <c r="AW1339" s="55" t="s">
        <v>912</v>
      </c>
      <c r="AX1339" s="185" t="s">
        <v>176</v>
      </c>
      <c r="AY1339" s="55" t="s">
        <v>176</v>
      </c>
      <c r="AZ1339" s="55" t="s">
        <v>156</v>
      </c>
      <c r="BA1339" s="55" t="s">
        <v>156</v>
      </c>
      <c r="BB1339" s="55" t="s">
        <v>2082</v>
      </c>
      <c r="BC1339" s="55" t="s">
        <v>2082</v>
      </c>
      <c r="BD1339" s="55" t="s">
        <v>176</v>
      </c>
      <c r="BK1339" s="55" t="s">
        <v>6269</v>
      </c>
      <c r="BM1339" s="192" t="s">
        <v>160</v>
      </c>
      <c r="BN1339" s="55">
        <v>4</v>
      </c>
      <c r="BO1339" s="55">
        <v>4</v>
      </c>
      <c r="BQ1339" s="55" t="s">
        <v>141</v>
      </c>
      <c r="BS1339" s="55">
        <v>2494</v>
      </c>
      <c r="BU1339" s="55" t="s">
        <v>895</v>
      </c>
      <c r="CH1339" s="90">
        <v>1.56</v>
      </c>
      <c r="CI1339" s="90">
        <v>1.55</v>
      </c>
      <c r="EK1339" s="90">
        <v>2.4500000000000002</v>
      </c>
      <c r="EL1339" s="90">
        <v>3.07</v>
      </c>
      <c r="EO1339" s="65" t="s">
        <v>900</v>
      </c>
      <c r="EP1339" s="65">
        <v>5.62</v>
      </c>
      <c r="EQ1339" s="65">
        <v>4.72</v>
      </c>
      <c r="ET1339" s="65" t="s">
        <v>899</v>
      </c>
      <c r="GD1339" s="65">
        <f>38.2/1.44</f>
        <v>26.527777777777782</v>
      </c>
      <c r="GE1339" s="65">
        <f>36.7/1.44</f>
        <v>25.486111111111114</v>
      </c>
      <c r="GH1339" s="65" t="s">
        <v>904</v>
      </c>
      <c r="GP1339" s="292" t="s">
        <v>7494</v>
      </c>
      <c r="JU1339" s="55" t="s">
        <v>911</v>
      </c>
      <c r="JW1339" s="55" t="s">
        <v>837</v>
      </c>
    </row>
    <row r="1340" spans="1:283" x14ac:dyDescent="0.25">
      <c r="A1340" s="55">
        <v>1339</v>
      </c>
      <c r="B1340" s="12" t="s">
        <v>7067</v>
      </c>
      <c r="C1340" s="155">
        <v>61</v>
      </c>
      <c r="D1340" s="55" t="s">
        <v>3943</v>
      </c>
      <c r="E1340" s="90" t="s">
        <v>889</v>
      </c>
      <c r="G1340" s="55" t="s">
        <v>890</v>
      </c>
      <c r="H1340" s="55">
        <v>2003</v>
      </c>
      <c r="I1340" s="55">
        <v>2000</v>
      </c>
      <c r="J1340" s="55" t="s">
        <v>891</v>
      </c>
      <c r="K1340" s="55" t="s">
        <v>893</v>
      </c>
      <c r="L1340" s="55" t="s">
        <v>2737</v>
      </c>
      <c r="M1340" s="90">
        <v>40.299999999999997</v>
      </c>
      <c r="N1340" s="90">
        <v>-86.9</v>
      </c>
      <c r="O1340" s="90">
        <v>221</v>
      </c>
      <c r="R1340" s="55">
        <v>934</v>
      </c>
      <c r="U1340" s="55">
        <v>1</v>
      </c>
      <c r="V1340" s="55" t="s">
        <v>1688</v>
      </c>
      <c r="Y1340" s="55" t="s">
        <v>896</v>
      </c>
      <c r="Z1340" s="55" t="s">
        <v>1349</v>
      </c>
      <c r="AA1340" s="90" t="s">
        <v>1677</v>
      </c>
      <c r="AD1340" s="90">
        <v>1.42</v>
      </c>
      <c r="AH1340" s="55" t="s">
        <v>6378</v>
      </c>
      <c r="AM1340" s="55" t="s">
        <v>1291</v>
      </c>
      <c r="AN1340" s="185" t="s">
        <v>1491</v>
      </c>
      <c r="AO1340" s="185" t="s">
        <v>5150</v>
      </c>
      <c r="AQ1340" s="55" t="s">
        <v>1545</v>
      </c>
      <c r="AR1340" s="55" t="s">
        <v>158</v>
      </c>
      <c r="AS1340" s="55" t="s">
        <v>1575</v>
      </c>
      <c r="AT1340" s="181" t="s">
        <v>912</v>
      </c>
      <c r="AU1340" s="181" t="s">
        <v>5150</v>
      </c>
      <c r="AV1340" s="185" t="s">
        <v>176</v>
      </c>
      <c r="AW1340" s="55" t="s">
        <v>912</v>
      </c>
      <c r="AX1340" s="185" t="s">
        <v>176</v>
      </c>
      <c r="AY1340" s="55" t="s">
        <v>176</v>
      </c>
      <c r="AZ1340" s="55" t="s">
        <v>229</v>
      </c>
      <c r="BA1340" s="55" t="s">
        <v>229</v>
      </c>
      <c r="BB1340" s="55" t="s">
        <v>2081</v>
      </c>
      <c r="BC1340" s="55" t="s">
        <v>2081</v>
      </c>
      <c r="BD1340" s="55" t="s">
        <v>176</v>
      </c>
      <c r="BK1340" s="55" t="s">
        <v>5976</v>
      </c>
      <c r="BM1340" s="192" t="s">
        <v>160</v>
      </c>
      <c r="BN1340" s="55">
        <v>4</v>
      </c>
      <c r="BO1340" s="55">
        <v>4</v>
      </c>
      <c r="BQ1340" s="55" t="s">
        <v>141</v>
      </c>
      <c r="BS1340" s="55">
        <v>337</v>
      </c>
      <c r="BU1340" s="55" t="s">
        <v>894</v>
      </c>
      <c r="CH1340" s="90">
        <v>1.21</v>
      </c>
      <c r="CI1340" s="90">
        <v>1.21</v>
      </c>
      <c r="EK1340" s="90">
        <v>0.88</v>
      </c>
      <c r="EL1340" s="90">
        <v>1.38</v>
      </c>
      <c r="EO1340" s="65" t="s">
        <v>900</v>
      </c>
      <c r="EP1340" s="65">
        <v>50.67</v>
      </c>
      <c r="EQ1340" s="65">
        <v>52.25</v>
      </c>
      <c r="ET1340" s="65" t="s">
        <v>898</v>
      </c>
      <c r="EZ1340" s="65">
        <v>39</v>
      </c>
      <c r="FA1340" s="65">
        <v>50.4</v>
      </c>
      <c r="FD1340" s="65" t="s">
        <v>901</v>
      </c>
      <c r="FE1340" s="65">
        <v>15.2</v>
      </c>
      <c r="FF1340" s="65">
        <v>106</v>
      </c>
      <c r="GD1340" s="65">
        <f>22.3/1.42</f>
        <v>15.704225352112678</v>
      </c>
      <c r="GE1340" s="65">
        <f>22.4/1.42</f>
        <v>15.774647887323944</v>
      </c>
      <c r="GH1340" s="65" t="s">
        <v>903</v>
      </c>
      <c r="GP1340" s="292" t="s">
        <v>7494</v>
      </c>
      <c r="JU1340" s="55" t="s">
        <v>911</v>
      </c>
      <c r="JW1340" s="55" t="s">
        <v>837</v>
      </c>
    </row>
    <row r="1341" spans="1:283" x14ac:dyDescent="0.25">
      <c r="A1341" s="55">
        <v>1340</v>
      </c>
      <c r="B1341" s="12" t="s">
        <v>7067</v>
      </c>
      <c r="C1341" s="155">
        <v>61</v>
      </c>
      <c r="D1341" s="55" t="s">
        <v>3944</v>
      </c>
      <c r="E1341" s="90" t="s">
        <v>889</v>
      </c>
      <c r="G1341" s="55" t="s">
        <v>890</v>
      </c>
      <c r="H1341" s="55">
        <v>2003</v>
      </c>
      <c r="I1341" s="55">
        <v>2000</v>
      </c>
      <c r="J1341" s="55" t="s">
        <v>891</v>
      </c>
      <c r="K1341" s="55" t="s">
        <v>893</v>
      </c>
      <c r="L1341" s="55" t="s">
        <v>2737</v>
      </c>
      <c r="M1341" s="90">
        <v>40.299999999999997</v>
      </c>
      <c r="N1341" s="90">
        <v>-86.9</v>
      </c>
      <c r="O1341" s="90">
        <v>221</v>
      </c>
      <c r="R1341" s="55">
        <v>934</v>
      </c>
      <c r="U1341" s="55">
        <v>1</v>
      </c>
      <c r="V1341" s="55" t="s">
        <v>1688</v>
      </c>
      <c r="Y1341" s="55" t="s">
        <v>896</v>
      </c>
      <c r="Z1341" s="55" t="s">
        <v>1349</v>
      </c>
      <c r="AA1341" s="90" t="s">
        <v>1677</v>
      </c>
      <c r="AD1341" s="90">
        <v>1.42</v>
      </c>
      <c r="AH1341" s="55" t="s">
        <v>6378</v>
      </c>
      <c r="AM1341" s="55" t="s">
        <v>1291</v>
      </c>
      <c r="AN1341" s="185" t="s">
        <v>1491</v>
      </c>
      <c r="AO1341" s="185" t="s">
        <v>5150</v>
      </c>
      <c r="AQ1341" s="55" t="s">
        <v>1545</v>
      </c>
      <c r="AR1341" s="55" t="s">
        <v>132</v>
      </c>
      <c r="AS1341" s="55" t="s">
        <v>1575</v>
      </c>
      <c r="AT1341" s="181" t="s">
        <v>912</v>
      </c>
      <c r="AU1341" s="181" t="s">
        <v>5150</v>
      </c>
      <c r="AV1341" s="185" t="s">
        <v>176</v>
      </c>
      <c r="AW1341" s="55" t="s">
        <v>912</v>
      </c>
      <c r="AX1341" s="185" t="s">
        <v>176</v>
      </c>
      <c r="AY1341" s="55" t="s">
        <v>176</v>
      </c>
      <c r="AZ1341" s="55" t="s">
        <v>229</v>
      </c>
      <c r="BA1341" s="55" t="s">
        <v>229</v>
      </c>
      <c r="BB1341" s="55" t="s">
        <v>2081</v>
      </c>
      <c r="BC1341" s="55" t="s">
        <v>2081</v>
      </c>
      <c r="BD1341" s="55" t="s">
        <v>176</v>
      </c>
      <c r="BK1341" s="55" t="s">
        <v>5976</v>
      </c>
      <c r="BM1341" s="192" t="s">
        <v>160</v>
      </c>
      <c r="BN1341" s="55">
        <v>4</v>
      </c>
      <c r="BO1341" s="55">
        <v>4</v>
      </c>
      <c r="BQ1341" s="55" t="s">
        <v>141</v>
      </c>
      <c r="BS1341" s="55">
        <v>718</v>
      </c>
      <c r="BU1341" s="55" t="s">
        <v>895</v>
      </c>
      <c r="CH1341" s="90">
        <v>1.21</v>
      </c>
      <c r="CI1341" s="90">
        <v>1.21</v>
      </c>
      <c r="EK1341" s="90">
        <v>0.88</v>
      </c>
      <c r="EL1341" s="90">
        <v>1.22</v>
      </c>
      <c r="EO1341" s="65" t="s">
        <v>900</v>
      </c>
      <c r="EP1341" s="65">
        <v>50.67</v>
      </c>
      <c r="EQ1341" s="65">
        <v>50.97</v>
      </c>
      <c r="ET1341" s="65" t="s">
        <v>898</v>
      </c>
      <c r="FE1341" s="65">
        <v>15.2</v>
      </c>
      <c r="FF1341" s="65">
        <v>6.5</v>
      </c>
      <c r="GD1341" s="65">
        <f>22.3/1.42</f>
        <v>15.704225352112678</v>
      </c>
      <c r="GE1341" s="65">
        <f>24.2/1.42</f>
        <v>17.04225352112676</v>
      </c>
      <c r="GH1341" s="65" t="s">
        <v>903</v>
      </c>
      <c r="GP1341" s="292" t="s">
        <v>7494</v>
      </c>
      <c r="JU1341" s="55" t="s">
        <v>911</v>
      </c>
      <c r="JW1341" s="55" t="s">
        <v>837</v>
      </c>
    </row>
    <row r="1342" spans="1:283" x14ac:dyDescent="0.25">
      <c r="A1342" s="55">
        <v>1341</v>
      </c>
      <c r="B1342" s="12" t="s">
        <v>7067</v>
      </c>
      <c r="C1342" s="155">
        <v>61</v>
      </c>
      <c r="D1342" s="55" t="s">
        <v>3945</v>
      </c>
      <c r="E1342" s="90" t="s">
        <v>889</v>
      </c>
      <c r="G1342" s="55" t="s">
        <v>890</v>
      </c>
      <c r="H1342" s="55">
        <v>2003</v>
      </c>
      <c r="I1342" s="55">
        <v>2000</v>
      </c>
      <c r="J1342" s="55" t="s">
        <v>891</v>
      </c>
      <c r="K1342" s="55" t="s">
        <v>893</v>
      </c>
      <c r="L1342" s="55" t="s">
        <v>2737</v>
      </c>
      <c r="M1342" s="90">
        <v>40.299999999999997</v>
      </c>
      <c r="N1342" s="90">
        <v>-86.9</v>
      </c>
      <c r="O1342" s="90">
        <v>221</v>
      </c>
      <c r="R1342" s="55">
        <v>934</v>
      </c>
      <c r="U1342" s="55">
        <v>1</v>
      </c>
      <c r="V1342" s="55" t="s">
        <v>1688</v>
      </c>
      <c r="Y1342" s="55" t="s">
        <v>896</v>
      </c>
      <c r="Z1342" s="55" t="s">
        <v>1349</v>
      </c>
      <c r="AA1342" s="90" t="s">
        <v>1677</v>
      </c>
      <c r="AD1342" s="90">
        <v>1.42</v>
      </c>
      <c r="AH1342" s="55" t="s">
        <v>6378</v>
      </c>
      <c r="AM1342" s="55" t="s">
        <v>1291</v>
      </c>
      <c r="AN1342" s="185" t="s">
        <v>1491</v>
      </c>
      <c r="AO1342" s="185" t="s">
        <v>5150</v>
      </c>
      <c r="AQ1342" s="55" t="s">
        <v>1545</v>
      </c>
      <c r="AR1342" s="55" t="s">
        <v>158</v>
      </c>
      <c r="AS1342" s="55" t="s">
        <v>1575</v>
      </c>
      <c r="AT1342" s="181" t="s">
        <v>912</v>
      </c>
      <c r="AU1342" s="181" t="s">
        <v>5150</v>
      </c>
      <c r="AV1342" s="185" t="s">
        <v>176</v>
      </c>
      <c r="AW1342" s="55" t="s">
        <v>912</v>
      </c>
      <c r="AX1342" s="185" t="s">
        <v>176</v>
      </c>
      <c r="AY1342" s="55" t="s">
        <v>176</v>
      </c>
      <c r="AZ1342" s="55" t="s">
        <v>156</v>
      </c>
      <c r="BA1342" s="55" t="s">
        <v>156</v>
      </c>
      <c r="BB1342" s="55" t="s">
        <v>2082</v>
      </c>
      <c r="BC1342" s="55" t="s">
        <v>2082</v>
      </c>
      <c r="BD1342" s="55" t="s">
        <v>176</v>
      </c>
      <c r="BK1342" s="55" t="s">
        <v>6269</v>
      </c>
      <c r="BM1342" s="192" t="s">
        <v>160</v>
      </c>
      <c r="BN1342" s="55">
        <v>4</v>
      </c>
      <c r="BO1342" s="55">
        <v>4</v>
      </c>
      <c r="BQ1342" s="55" t="s">
        <v>141</v>
      </c>
      <c r="BS1342" s="55">
        <v>175</v>
      </c>
      <c r="BU1342" s="55" t="s">
        <v>894</v>
      </c>
      <c r="CH1342" s="90">
        <v>1.31</v>
      </c>
      <c r="CI1342" s="90">
        <v>1.38</v>
      </c>
      <c r="EK1342" s="90">
        <v>1.0900000000000001</v>
      </c>
      <c r="EL1342" s="90">
        <v>1.25</v>
      </c>
      <c r="EO1342" s="65" t="s">
        <v>900</v>
      </c>
      <c r="EP1342" s="65">
        <v>43.68</v>
      </c>
      <c r="EQ1342" s="65">
        <v>41.8</v>
      </c>
      <c r="ET1342" s="65" t="s">
        <v>898</v>
      </c>
      <c r="EZ1342" s="65">
        <v>62.400000000000006</v>
      </c>
      <c r="FA1342" s="65">
        <v>57</v>
      </c>
      <c r="FD1342" s="65" t="s">
        <v>901</v>
      </c>
      <c r="GD1342" s="65">
        <f>24.5/1.42</f>
        <v>17.253521126760564</v>
      </c>
      <c r="GE1342" s="65">
        <f>27.4/1.42</f>
        <v>19.295774647887324</v>
      </c>
      <c r="GH1342" s="65" t="s">
        <v>903</v>
      </c>
      <c r="GP1342" s="292" t="s">
        <v>7494</v>
      </c>
      <c r="JU1342" s="55" t="s">
        <v>911</v>
      </c>
      <c r="JW1342" s="55" t="s">
        <v>837</v>
      </c>
    </row>
    <row r="1343" spans="1:283" x14ac:dyDescent="0.25">
      <c r="A1343" s="55">
        <v>1342</v>
      </c>
      <c r="B1343" s="12" t="s">
        <v>7067</v>
      </c>
      <c r="C1343" s="155">
        <v>61</v>
      </c>
      <c r="D1343" s="55" t="s">
        <v>3946</v>
      </c>
      <c r="E1343" s="90" t="s">
        <v>889</v>
      </c>
      <c r="G1343" s="55" t="s">
        <v>890</v>
      </c>
      <c r="H1343" s="55">
        <v>2003</v>
      </c>
      <c r="I1343" s="55">
        <v>2000</v>
      </c>
      <c r="J1343" s="55" t="s">
        <v>891</v>
      </c>
      <c r="K1343" s="55" t="s">
        <v>893</v>
      </c>
      <c r="L1343" s="55" t="s">
        <v>2737</v>
      </c>
      <c r="M1343" s="90">
        <v>40.299999999999997</v>
      </c>
      <c r="N1343" s="90">
        <v>-86.9</v>
      </c>
      <c r="O1343" s="90">
        <v>221</v>
      </c>
      <c r="R1343" s="55">
        <v>934</v>
      </c>
      <c r="U1343" s="55">
        <v>1</v>
      </c>
      <c r="V1343" s="55" t="s">
        <v>1688</v>
      </c>
      <c r="Y1343" s="55" t="s">
        <v>896</v>
      </c>
      <c r="Z1343" s="55" t="s">
        <v>1349</v>
      </c>
      <c r="AA1343" s="90" t="s">
        <v>1677</v>
      </c>
      <c r="AD1343" s="90">
        <v>1.42</v>
      </c>
      <c r="AH1343" s="55" t="s">
        <v>6378</v>
      </c>
      <c r="AM1343" s="55" t="s">
        <v>1291</v>
      </c>
      <c r="AN1343" s="185" t="s">
        <v>1491</v>
      </c>
      <c r="AO1343" s="185" t="s">
        <v>5150</v>
      </c>
      <c r="AQ1343" s="55" t="s">
        <v>1545</v>
      </c>
      <c r="AR1343" s="55" t="s">
        <v>132</v>
      </c>
      <c r="AS1343" s="55" t="s">
        <v>1575</v>
      </c>
      <c r="AT1343" s="181" t="s">
        <v>912</v>
      </c>
      <c r="AU1343" s="181" t="s">
        <v>5150</v>
      </c>
      <c r="AV1343" s="185" t="s">
        <v>176</v>
      </c>
      <c r="AW1343" s="55" t="s">
        <v>912</v>
      </c>
      <c r="AX1343" s="185" t="s">
        <v>176</v>
      </c>
      <c r="AY1343" s="55" t="s">
        <v>176</v>
      </c>
      <c r="AZ1343" s="55" t="s">
        <v>156</v>
      </c>
      <c r="BA1343" s="55" t="s">
        <v>156</v>
      </c>
      <c r="BB1343" s="55" t="s">
        <v>2082</v>
      </c>
      <c r="BC1343" s="55" t="s">
        <v>2082</v>
      </c>
      <c r="BD1343" s="55" t="s">
        <v>176</v>
      </c>
      <c r="BK1343" s="55" t="s">
        <v>6269</v>
      </c>
      <c r="BM1343" s="192" t="s">
        <v>160</v>
      </c>
      <c r="BN1343" s="55">
        <v>4</v>
      </c>
      <c r="BO1343" s="55">
        <v>4</v>
      </c>
      <c r="BQ1343" s="55" t="s">
        <v>141</v>
      </c>
      <c r="BS1343" s="55">
        <v>411</v>
      </c>
      <c r="BU1343" s="55" t="s">
        <v>895</v>
      </c>
      <c r="CH1343" s="90">
        <v>1.31</v>
      </c>
      <c r="CI1343" s="90">
        <v>1.34</v>
      </c>
      <c r="EK1343" s="90">
        <v>1.0900000000000001</v>
      </c>
      <c r="EL1343" s="90">
        <v>1.32</v>
      </c>
      <c r="EO1343" s="65" t="s">
        <v>900</v>
      </c>
      <c r="EP1343" s="65">
        <v>43.68</v>
      </c>
      <c r="EQ1343" s="65">
        <v>41.93</v>
      </c>
      <c r="ET1343" s="65" t="s">
        <v>898</v>
      </c>
      <c r="GD1343" s="65">
        <f>24.5/1.42</f>
        <v>17.253521126760564</v>
      </c>
      <c r="GE1343" s="65">
        <f>29/1.42</f>
        <v>20.422535211267608</v>
      </c>
      <c r="GH1343" s="65" t="s">
        <v>903</v>
      </c>
      <c r="GP1343" s="292" t="s">
        <v>7494</v>
      </c>
      <c r="JU1343" s="55" t="s">
        <v>911</v>
      </c>
      <c r="JW1343" s="55" t="s">
        <v>837</v>
      </c>
    </row>
    <row r="1344" spans="1:283" x14ac:dyDescent="0.25">
      <c r="A1344" s="55">
        <v>1343</v>
      </c>
      <c r="B1344" s="12" t="s">
        <v>7067</v>
      </c>
      <c r="C1344" s="155">
        <v>61</v>
      </c>
      <c r="D1344" s="55" t="s">
        <v>3943</v>
      </c>
      <c r="E1344" s="90" t="s">
        <v>889</v>
      </c>
      <c r="G1344" s="55" t="s">
        <v>890</v>
      </c>
      <c r="H1344" s="55">
        <v>2003</v>
      </c>
      <c r="I1344" s="55">
        <v>2000</v>
      </c>
      <c r="J1344" s="55" t="s">
        <v>891</v>
      </c>
      <c r="K1344" s="55" t="s">
        <v>893</v>
      </c>
      <c r="L1344" s="55" t="s">
        <v>2737</v>
      </c>
      <c r="M1344" s="90">
        <v>40.299999999999997</v>
      </c>
      <c r="N1344" s="90">
        <v>-86.9</v>
      </c>
      <c r="O1344" s="90">
        <v>221</v>
      </c>
      <c r="R1344" s="55">
        <v>934</v>
      </c>
      <c r="U1344" s="55">
        <v>1</v>
      </c>
      <c r="V1344" s="55" t="s">
        <v>1688</v>
      </c>
      <c r="Y1344" s="55" t="s">
        <v>897</v>
      </c>
      <c r="Z1344" s="55" t="s">
        <v>1349</v>
      </c>
      <c r="AA1344" s="90" t="s">
        <v>1677</v>
      </c>
      <c r="AD1344" s="90">
        <v>1.42</v>
      </c>
      <c r="AH1344" s="55" t="s">
        <v>6378</v>
      </c>
      <c r="AM1344" s="55" t="s">
        <v>1291</v>
      </c>
      <c r="AN1344" s="185" t="s">
        <v>1491</v>
      </c>
      <c r="AO1344" s="185" t="s">
        <v>5150</v>
      </c>
      <c r="AQ1344" s="55" t="s">
        <v>1545</v>
      </c>
      <c r="AR1344" s="55" t="s">
        <v>158</v>
      </c>
      <c r="AS1344" s="55" t="s">
        <v>1575</v>
      </c>
      <c r="AT1344" s="181" t="s">
        <v>912</v>
      </c>
      <c r="AU1344" s="181" t="s">
        <v>5150</v>
      </c>
      <c r="AV1344" s="185" t="s">
        <v>176</v>
      </c>
      <c r="AW1344" s="55" t="s">
        <v>912</v>
      </c>
      <c r="AX1344" s="185" t="s">
        <v>176</v>
      </c>
      <c r="AY1344" s="55" t="s">
        <v>176</v>
      </c>
      <c r="AZ1344" s="55" t="s">
        <v>229</v>
      </c>
      <c r="BA1344" s="55" t="s">
        <v>229</v>
      </c>
      <c r="BB1344" s="55" t="s">
        <v>2081</v>
      </c>
      <c r="BC1344" s="55" t="s">
        <v>2081</v>
      </c>
      <c r="BD1344" s="55" t="s">
        <v>176</v>
      </c>
      <c r="BK1344" s="55" t="s">
        <v>5976</v>
      </c>
      <c r="BM1344" s="192" t="s">
        <v>160</v>
      </c>
      <c r="BN1344" s="55">
        <v>4</v>
      </c>
      <c r="BO1344" s="55">
        <v>4</v>
      </c>
      <c r="BQ1344" s="55" t="s">
        <v>141</v>
      </c>
      <c r="BS1344" s="55">
        <v>965</v>
      </c>
      <c r="BU1344" s="55" t="s">
        <v>894</v>
      </c>
      <c r="CH1344" s="90">
        <v>1.31</v>
      </c>
      <c r="CI1344" s="90">
        <v>1.27</v>
      </c>
      <c r="EK1344" s="90">
        <v>1.88</v>
      </c>
      <c r="EL1344" s="90">
        <v>2.4</v>
      </c>
      <c r="EO1344" s="65" t="s">
        <v>900</v>
      </c>
      <c r="EP1344" s="65">
        <v>16.95</v>
      </c>
      <c r="EQ1344" s="65">
        <v>20.34</v>
      </c>
      <c r="ET1344" s="65" t="s">
        <v>898</v>
      </c>
      <c r="FE1344" s="65">
        <v>14.1</v>
      </c>
      <c r="FF1344" s="65">
        <v>5.6</v>
      </c>
      <c r="GD1344" s="65">
        <f>24.1/1.42</f>
        <v>16.971830985915496</v>
      </c>
      <c r="GE1344" s="65">
        <f>24.1/1.42</f>
        <v>16.971830985915496</v>
      </c>
      <c r="GH1344" s="65" t="s">
        <v>904</v>
      </c>
      <c r="GP1344" s="292" t="s">
        <v>7494</v>
      </c>
      <c r="JU1344" s="55" t="s">
        <v>911</v>
      </c>
      <c r="JW1344" s="55" t="s">
        <v>837</v>
      </c>
    </row>
    <row r="1345" spans="1:283" x14ac:dyDescent="0.25">
      <c r="A1345" s="55">
        <v>1344</v>
      </c>
      <c r="B1345" s="12" t="s">
        <v>7067</v>
      </c>
      <c r="C1345" s="155">
        <v>61</v>
      </c>
      <c r="D1345" s="55" t="s">
        <v>3944</v>
      </c>
      <c r="E1345" s="90" t="s">
        <v>889</v>
      </c>
      <c r="G1345" s="55" t="s">
        <v>890</v>
      </c>
      <c r="H1345" s="55">
        <v>2003</v>
      </c>
      <c r="I1345" s="55">
        <v>2000</v>
      </c>
      <c r="J1345" s="55" t="s">
        <v>891</v>
      </c>
      <c r="K1345" s="55" t="s">
        <v>893</v>
      </c>
      <c r="L1345" s="55" t="s">
        <v>2737</v>
      </c>
      <c r="M1345" s="90">
        <v>40.299999999999997</v>
      </c>
      <c r="N1345" s="90">
        <v>-86.9</v>
      </c>
      <c r="O1345" s="90">
        <v>221</v>
      </c>
      <c r="R1345" s="55">
        <v>934</v>
      </c>
      <c r="U1345" s="55">
        <v>1</v>
      </c>
      <c r="V1345" s="55" t="s">
        <v>1688</v>
      </c>
      <c r="Y1345" s="55" t="s">
        <v>897</v>
      </c>
      <c r="Z1345" s="55" t="s">
        <v>1349</v>
      </c>
      <c r="AA1345" s="90" t="s">
        <v>1677</v>
      </c>
      <c r="AD1345" s="90">
        <v>1.42</v>
      </c>
      <c r="AH1345" s="55" t="s">
        <v>6378</v>
      </c>
      <c r="AM1345" s="55" t="s">
        <v>1291</v>
      </c>
      <c r="AN1345" s="185" t="s">
        <v>1491</v>
      </c>
      <c r="AO1345" s="185" t="s">
        <v>5150</v>
      </c>
      <c r="AQ1345" s="55" t="s">
        <v>1545</v>
      </c>
      <c r="AR1345" s="55" t="s">
        <v>132</v>
      </c>
      <c r="AS1345" s="55" t="s">
        <v>1575</v>
      </c>
      <c r="AT1345" s="181" t="s">
        <v>912</v>
      </c>
      <c r="AU1345" s="181" t="s">
        <v>5150</v>
      </c>
      <c r="AV1345" s="185" t="s">
        <v>176</v>
      </c>
      <c r="AW1345" s="55" t="s">
        <v>912</v>
      </c>
      <c r="AX1345" s="185" t="s">
        <v>176</v>
      </c>
      <c r="AY1345" s="55" t="s">
        <v>176</v>
      </c>
      <c r="AZ1345" s="55" t="s">
        <v>229</v>
      </c>
      <c r="BA1345" s="55" t="s">
        <v>229</v>
      </c>
      <c r="BB1345" s="55" t="s">
        <v>2081</v>
      </c>
      <c r="BC1345" s="55" t="s">
        <v>2081</v>
      </c>
      <c r="BD1345" s="55" t="s">
        <v>176</v>
      </c>
      <c r="BK1345" s="55" t="s">
        <v>5976</v>
      </c>
      <c r="BM1345" s="192" t="s">
        <v>160</v>
      </c>
      <c r="BN1345" s="55">
        <v>4</v>
      </c>
      <c r="BO1345" s="55">
        <v>4</v>
      </c>
      <c r="BQ1345" s="55" t="s">
        <v>141</v>
      </c>
      <c r="BS1345" s="55">
        <v>1672</v>
      </c>
      <c r="BU1345" s="55" t="s">
        <v>895</v>
      </c>
      <c r="CH1345" s="90">
        <v>1.31</v>
      </c>
      <c r="CI1345" s="90">
        <v>1.3</v>
      </c>
      <c r="EK1345" s="90">
        <v>1.88</v>
      </c>
      <c r="EL1345" s="90">
        <v>2.2799999999999998</v>
      </c>
      <c r="EO1345" s="65" t="s">
        <v>900</v>
      </c>
      <c r="EP1345" s="65">
        <v>16.95</v>
      </c>
      <c r="EQ1345" s="65">
        <v>17.91</v>
      </c>
      <c r="ET1345" s="65" t="s">
        <v>898</v>
      </c>
      <c r="FE1345" s="65">
        <v>14.1</v>
      </c>
      <c r="FF1345" s="65">
        <v>5.8</v>
      </c>
      <c r="GD1345" s="65">
        <f>24.1/1.42</f>
        <v>16.971830985915496</v>
      </c>
      <c r="GE1345" s="65">
        <f>27/1.42</f>
        <v>19.014084507042256</v>
      </c>
      <c r="GH1345" s="65" t="s">
        <v>904</v>
      </c>
      <c r="GP1345" s="292" t="s">
        <v>7494</v>
      </c>
      <c r="JU1345" s="55" t="s">
        <v>911</v>
      </c>
      <c r="JW1345" s="55" t="s">
        <v>837</v>
      </c>
    </row>
    <row r="1346" spans="1:283" x14ac:dyDescent="0.25">
      <c r="A1346" s="55">
        <v>1345</v>
      </c>
      <c r="B1346" s="12" t="s">
        <v>7067</v>
      </c>
      <c r="C1346" s="155">
        <v>61</v>
      </c>
      <c r="D1346" s="55" t="s">
        <v>3945</v>
      </c>
      <c r="E1346" s="90" t="s">
        <v>889</v>
      </c>
      <c r="G1346" s="55" t="s">
        <v>890</v>
      </c>
      <c r="H1346" s="55">
        <v>2003</v>
      </c>
      <c r="I1346" s="55">
        <v>2000</v>
      </c>
      <c r="J1346" s="55" t="s">
        <v>891</v>
      </c>
      <c r="K1346" s="55" t="s">
        <v>893</v>
      </c>
      <c r="L1346" s="55" t="s">
        <v>2737</v>
      </c>
      <c r="M1346" s="90">
        <v>40.299999999999997</v>
      </c>
      <c r="N1346" s="90">
        <v>-86.9</v>
      </c>
      <c r="O1346" s="90">
        <v>221</v>
      </c>
      <c r="R1346" s="55">
        <v>934</v>
      </c>
      <c r="U1346" s="55">
        <v>1</v>
      </c>
      <c r="V1346" s="55" t="s">
        <v>1688</v>
      </c>
      <c r="Y1346" s="55" t="s">
        <v>897</v>
      </c>
      <c r="Z1346" s="55" t="s">
        <v>1349</v>
      </c>
      <c r="AA1346" s="90" t="s">
        <v>1677</v>
      </c>
      <c r="AD1346" s="90">
        <v>1.42</v>
      </c>
      <c r="AH1346" s="55" t="s">
        <v>6378</v>
      </c>
      <c r="AM1346" s="55" t="s">
        <v>1291</v>
      </c>
      <c r="AN1346" s="185" t="s">
        <v>1491</v>
      </c>
      <c r="AO1346" s="185" t="s">
        <v>5150</v>
      </c>
      <c r="AQ1346" s="55" t="s">
        <v>1545</v>
      </c>
      <c r="AR1346" s="55" t="s">
        <v>158</v>
      </c>
      <c r="AS1346" s="55" t="s">
        <v>1575</v>
      </c>
      <c r="AT1346" s="181" t="s">
        <v>912</v>
      </c>
      <c r="AU1346" s="181" t="s">
        <v>5150</v>
      </c>
      <c r="AV1346" s="185" t="s">
        <v>176</v>
      </c>
      <c r="AW1346" s="55" t="s">
        <v>912</v>
      </c>
      <c r="AX1346" s="185" t="s">
        <v>176</v>
      </c>
      <c r="AY1346" s="55" t="s">
        <v>176</v>
      </c>
      <c r="AZ1346" s="55" t="s">
        <v>156</v>
      </c>
      <c r="BA1346" s="55" t="s">
        <v>156</v>
      </c>
      <c r="BB1346" s="55" t="s">
        <v>2082</v>
      </c>
      <c r="BC1346" s="55" t="s">
        <v>2082</v>
      </c>
      <c r="BD1346" s="55" t="s">
        <v>176</v>
      </c>
      <c r="BK1346" s="55" t="s">
        <v>6269</v>
      </c>
      <c r="BM1346" s="192" t="s">
        <v>160</v>
      </c>
      <c r="BN1346" s="55">
        <v>4</v>
      </c>
      <c r="BO1346" s="55">
        <v>4</v>
      </c>
      <c r="BQ1346" s="55" t="s">
        <v>141</v>
      </c>
      <c r="BS1346" s="55">
        <v>568</v>
      </c>
      <c r="BU1346" s="55" t="s">
        <v>894</v>
      </c>
      <c r="CH1346" s="90">
        <v>1.49</v>
      </c>
      <c r="CI1346" s="90">
        <v>1.54</v>
      </c>
      <c r="EK1346" s="90">
        <v>1.73</v>
      </c>
      <c r="EL1346" s="90">
        <v>2.11</v>
      </c>
      <c r="EO1346" s="65" t="s">
        <v>900</v>
      </c>
      <c r="EP1346" s="65">
        <v>10.64</v>
      </c>
      <c r="EQ1346" s="65">
        <v>7.78</v>
      </c>
      <c r="ET1346" s="65" t="s">
        <v>898</v>
      </c>
      <c r="GD1346" s="65">
        <f>26.6/1.42</f>
        <v>18.732394366197184</v>
      </c>
      <c r="GE1346" s="65">
        <f>28.1/1.42</f>
        <v>19.7887323943662</v>
      </c>
      <c r="GH1346" s="65" t="s">
        <v>904</v>
      </c>
      <c r="GP1346" s="292" t="s">
        <v>7494</v>
      </c>
      <c r="JU1346" s="55" t="s">
        <v>911</v>
      </c>
      <c r="JW1346" s="55" t="s">
        <v>837</v>
      </c>
    </row>
    <row r="1347" spans="1:283" x14ac:dyDescent="0.25">
      <c r="A1347" s="55">
        <v>1346</v>
      </c>
      <c r="B1347" s="12" t="s">
        <v>7067</v>
      </c>
      <c r="C1347" s="155">
        <v>61</v>
      </c>
      <c r="D1347" s="55" t="s">
        <v>3946</v>
      </c>
      <c r="E1347" s="90" t="s">
        <v>889</v>
      </c>
      <c r="G1347" s="55" t="s">
        <v>890</v>
      </c>
      <c r="H1347" s="55">
        <v>2003</v>
      </c>
      <c r="I1347" s="55">
        <v>2000</v>
      </c>
      <c r="J1347" s="55" t="s">
        <v>891</v>
      </c>
      <c r="K1347" s="55" t="s">
        <v>893</v>
      </c>
      <c r="L1347" s="55" t="s">
        <v>2737</v>
      </c>
      <c r="M1347" s="90">
        <v>40.299999999999997</v>
      </c>
      <c r="N1347" s="90">
        <v>-86.9</v>
      </c>
      <c r="O1347" s="90">
        <v>221</v>
      </c>
      <c r="R1347" s="55">
        <v>934</v>
      </c>
      <c r="U1347" s="55">
        <v>1</v>
      </c>
      <c r="V1347" s="55" t="s">
        <v>1688</v>
      </c>
      <c r="Y1347" s="55" t="s">
        <v>897</v>
      </c>
      <c r="Z1347" s="55" t="s">
        <v>1349</v>
      </c>
      <c r="AA1347" s="90" t="s">
        <v>1677</v>
      </c>
      <c r="AD1347" s="90">
        <v>1.42</v>
      </c>
      <c r="AH1347" s="55" t="s">
        <v>6378</v>
      </c>
      <c r="AM1347" s="55" t="s">
        <v>1291</v>
      </c>
      <c r="AN1347" s="185" t="s">
        <v>1491</v>
      </c>
      <c r="AO1347" s="185" t="s">
        <v>5150</v>
      </c>
      <c r="AQ1347" s="55" t="s">
        <v>1545</v>
      </c>
      <c r="AR1347" s="55" t="s">
        <v>132</v>
      </c>
      <c r="AS1347" s="55" t="s">
        <v>1575</v>
      </c>
      <c r="AT1347" s="181" t="s">
        <v>912</v>
      </c>
      <c r="AU1347" s="181" t="s">
        <v>5150</v>
      </c>
      <c r="AV1347" s="185" t="s">
        <v>176</v>
      </c>
      <c r="AW1347" s="55" t="s">
        <v>912</v>
      </c>
      <c r="AX1347" s="185" t="s">
        <v>176</v>
      </c>
      <c r="AY1347" s="55" t="s">
        <v>176</v>
      </c>
      <c r="AZ1347" s="55" t="s">
        <v>156</v>
      </c>
      <c r="BA1347" s="55" t="s">
        <v>156</v>
      </c>
      <c r="BB1347" s="55" t="s">
        <v>2082</v>
      </c>
      <c r="BC1347" s="55" t="s">
        <v>2082</v>
      </c>
      <c r="BD1347" s="55" t="s">
        <v>176</v>
      </c>
      <c r="BK1347" s="55" t="s">
        <v>6269</v>
      </c>
      <c r="BM1347" s="192" t="s">
        <v>160</v>
      </c>
      <c r="BN1347" s="55">
        <v>4</v>
      </c>
      <c r="BO1347" s="55">
        <v>4</v>
      </c>
      <c r="BQ1347" s="55" t="s">
        <v>141</v>
      </c>
      <c r="BS1347" s="55">
        <v>1160</v>
      </c>
      <c r="BU1347" s="55" t="s">
        <v>895</v>
      </c>
      <c r="CH1347" s="90">
        <v>1.49</v>
      </c>
      <c r="CI1347" s="90">
        <v>1.54</v>
      </c>
      <c r="EK1347" s="90">
        <v>1.73</v>
      </c>
      <c r="EL1347" s="90">
        <v>1.93</v>
      </c>
      <c r="EO1347" s="65" t="s">
        <v>900</v>
      </c>
      <c r="EP1347" s="65">
        <v>10.64</v>
      </c>
      <c r="EQ1347" s="65">
        <v>7</v>
      </c>
      <c r="ET1347" s="65" t="s">
        <v>898</v>
      </c>
      <c r="GD1347" s="65">
        <f>26.6/1.42</f>
        <v>18.732394366197184</v>
      </c>
      <c r="GE1347" s="65">
        <f>29.3/1.42</f>
        <v>20.633802816901412</v>
      </c>
      <c r="GH1347" s="65" t="s">
        <v>904</v>
      </c>
      <c r="GP1347" s="292" t="s">
        <v>7494</v>
      </c>
      <c r="JU1347" s="55" t="s">
        <v>911</v>
      </c>
      <c r="JW1347" s="55" t="s">
        <v>837</v>
      </c>
    </row>
    <row r="1348" spans="1:283" x14ac:dyDescent="0.25">
      <c r="A1348" s="55">
        <v>1347</v>
      </c>
      <c r="B1348" s="12" t="s">
        <v>7067</v>
      </c>
      <c r="C1348" s="155">
        <v>61</v>
      </c>
      <c r="D1348" s="55" t="s">
        <v>3947</v>
      </c>
      <c r="E1348" s="90" t="s">
        <v>889</v>
      </c>
      <c r="G1348" s="55" t="s">
        <v>890</v>
      </c>
      <c r="H1348" s="55">
        <v>2003</v>
      </c>
      <c r="I1348" s="55">
        <v>2001</v>
      </c>
      <c r="J1348" s="55" t="s">
        <v>891</v>
      </c>
      <c r="K1348" s="55" t="s">
        <v>892</v>
      </c>
      <c r="L1348" s="55" t="s">
        <v>2737</v>
      </c>
      <c r="M1348" s="90">
        <v>38.74</v>
      </c>
      <c r="N1348" s="90">
        <v>-87.49</v>
      </c>
      <c r="O1348" s="90">
        <v>130</v>
      </c>
      <c r="R1348" s="55">
        <v>1272</v>
      </c>
      <c r="U1348" s="55">
        <v>2</v>
      </c>
      <c r="V1348" s="55" t="s">
        <v>1688</v>
      </c>
      <c r="Y1348" s="55" t="s">
        <v>896</v>
      </c>
      <c r="Z1348" s="55" t="s">
        <v>1349</v>
      </c>
      <c r="AA1348" s="90" t="s">
        <v>1677</v>
      </c>
      <c r="AD1348" s="90">
        <v>1.44</v>
      </c>
      <c r="AH1348" s="55" t="s">
        <v>6378</v>
      </c>
      <c r="AM1348" s="55" t="s">
        <v>1291</v>
      </c>
      <c r="AN1348" s="185" t="s">
        <v>1491</v>
      </c>
      <c r="AO1348" s="185" t="s">
        <v>5150</v>
      </c>
      <c r="AQ1348" s="55" t="s">
        <v>1545</v>
      </c>
      <c r="AR1348" s="55" t="s">
        <v>158</v>
      </c>
      <c r="AS1348" s="55" t="s">
        <v>1575</v>
      </c>
      <c r="AT1348" s="181" t="s">
        <v>912</v>
      </c>
      <c r="AU1348" s="181" t="s">
        <v>5150</v>
      </c>
      <c r="AV1348" s="185" t="s">
        <v>176</v>
      </c>
      <c r="AW1348" s="55" t="s">
        <v>912</v>
      </c>
      <c r="AX1348" s="185" t="s">
        <v>176</v>
      </c>
      <c r="AY1348" s="55" t="s">
        <v>176</v>
      </c>
      <c r="AZ1348" s="55" t="s">
        <v>229</v>
      </c>
      <c r="BA1348" s="55" t="s">
        <v>229</v>
      </c>
      <c r="BB1348" s="55" t="s">
        <v>2081</v>
      </c>
      <c r="BC1348" s="55" t="s">
        <v>2081</v>
      </c>
      <c r="BD1348" s="55" t="s">
        <v>176</v>
      </c>
      <c r="BK1348" s="55" t="s">
        <v>5976</v>
      </c>
      <c r="BM1348" s="192" t="s">
        <v>160</v>
      </c>
      <c r="BN1348" s="55">
        <v>4</v>
      </c>
      <c r="BO1348" s="55">
        <v>4</v>
      </c>
      <c r="BQ1348" s="55" t="s">
        <v>141</v>
      </c>
      <c r="BU1348" s="55" t="s">
        <v>894</v>
      </c>
      <c r="CH1348" s="90">
        <v>1.41</v>
      </c>
      <c r="CI1348" s="90">
        <v>1.39</v>
      </c>
      <c r="EK1348" s="90">
        <v>2.2400000000000002</v>
      </c>
      <c r="EL1348" s="90">
        <v>2.97</v>
      </c>
      <c r="EO1348" s="65" t="s">
        <v>900</v>
      </c>
      <c r="EP1348" s="65">
        <v>46.87</v>
      </c>
      <c r="EQ1348" s="65">
        <v>50.08</v>
      </c>
      <c r="ET1348" s="65" t="s">
        <v>898</v>
      </c>
      <c r="EU1348" s="65">
        <v>1.32</v>
      </c>
      <c r="EV1348" s="65">
        <v>1.2</v>
      </c>
      <c r="EY1348" s="65" t="s">
        <v>913</v>
      </c>
      <c r="FY1348" s="65">
        <v>19.5</v>
      </c>
      <c r="FZ1348" s="65">
        <v>18.7</v>
      </c>
      <c r="GP1348" s="292" t="s">
        <v>7494</v>
      </c>
      <c r="JU1348" s="55" t="s">
        <v>911</v>
      </c>
      <c r="JW1348" s="55" t="s">
        <v>837</v>
      </c>
    </row>
    <row r="1349" spans="1:283" x14ac:dyDescent="0.25">
      <c r="A1349" s="55">
        <v>1348</v>
      </c>
      <c r="B1349" s="12" t="s">
        <v>7067</v>
      </c>
      <c r="C1349" s="155">
        <v>61</v>
      </c>
      <c r="D1349" s="55" t="s">
        <v>3948</v>
      </c>
      <c r="E1349" s="90" t="s">
        <v>889</v>
      </c>
      <c r="G1349" s="55" t="s">
        <v>890</v>
      </c>
      <c r="H1349" s="55">
        <v>2003</v>
      </c>
      <c r="I1349" s="55">
        <v>2001</v>
      </c>
      <c r="J1349" s="55" t="s">
        <v>891</v>
      </c>
      <c r="K1349" s="55" t="s">
        <v>892</v>
      </c>
      <c r="L1349" s="55" t="s">
        <v>2737</v>
      </c>
      <c r="M1349" s="90">
        <v>38.74</v>
      </c>
      <c r="N1349" s="90">
        <v>-87.49</v>
      </c>
      <c r="O1349" s="90">
        <v>130</v>
      </c>
      <c r="R1349" s="55">
        <v>1272</v>
      </c>
      <c r="U1349" s="55">
        <v>2</v>
      </c>
      <c r="V1349" s="55" t="s">
        <v>1688</v>
      </c>
      <c r="Y1349" s="55" t="s">
        <v>896</v>
      </c>
      <c r="Z1349" s="55" t="s">
        <v>1349</v>
      </c>
      <c r="AA1349" s="90" t="s">
        <v>1677</v>
      </c>
      <c r="AD1349" s="90">
        <v>1.44</v>
      </c>
      <c r="AH1349" s="55" t="s">
        <v>6378</v>
      </c>
      <c r="AM1349" s="55" t="s">
        <v>1291</v>
      </c>
      <c r="AN1349" s="185" t="s">
        <v>1491</v>
      </c>
      <c r="AO1349" s="185" t="s">
        <v>5150</v>
      </c>
      <c r="AQ1349" s="55" t="s">
        <v>1545</v>
      </c>
      <c r="AR1349" s="55" t="s">
        <v>132</v>
      </c>
      <c r="AS1349" s="55" t="s">
        <v>1575</v>
      </c>
      <c r="AT1349" s="181" t="s">
        <v>912</v>
      </c>
      <c r="AU1349" s="181" t="s">
        <v>5150</v>
      </c>
      <c r="AV1349" s="185" t="s">
        <v>176</v>
      </c>
      <c r="AW1349" s="55" t="s">
        <v>912</v>
      </c>
      <c r="AX1349" s="185" t="s">
        <v>176</v>
      </c>
      <c r="AY1349" s="55" t="s">
        <v>176</v>
      </c>
      <c r="AZ1349" s="55" t="s">
        <v>229</v>
      </c>
      <c r="BA1349" s="55" t="s">
        <v>229</v>
      </c>
      <c r="BB1349" s="55" t="s">
        <v>2081</v>
      </c>
      <c r="BC1349" s="55" t="s">
        <v>2081</v>
      </c>
      <c r="BD1349" s="55" t="s">
        <v>176</v>
      </c>
      <c r="BK1349" s="55" t="s">
        <v>5976</v>
      </c>
      <c r="BM1349" s="192" t="s">
        <v>160</v>
      </c>
      <c r="BN1349" s="55">
        <v>4</v>
      </c>
      <c r="BO1349" s="55">
        <v>4</v>
      </c>
      <c r="BQ1349" s="55" t="s">
        <v>141</v>
      </c>
      <c r="BU1349" s="55" t="s">
        <v>895</v>
      </c>
      <c r="CH1349" s="90">
        <v>1.41</v>
      </c>
      <c r="CI1349" s="90">
        <v>1.37</v>
      </c>
      <c r="EK1349" s="90">
        <v>2.2400000000000002</v>
      </c>
      <c r="EL1349" s="90">
        <v>3.53</v>
      </c>
      <c r="EO1349" s="65" t="s">
        <v>900</v>
      </c>
      <c r="EP1349" s="65">
        <v>46.87</v>
      </c>
      <c r="EQ1349" s="65">
        <v>50.6</v>
      </c>
      <c r="ET1349" s="65" t="s">
        <v>898</v>
      </c>
      <c r="EU1349" s="65">
        <v>1.32</v>
      </c>
      <c r="EV1349" s="65">
        <v>1.41</v>
      </c>
      <c r="EY1349" s="65" t="s">
        <v>913</v>
      </c>
      <c r="FY1349" s="65">
        <v>19.5</v>
      </c>
      <c r="FZ1349" s="65">
        <v>17.600000000000001</v>
      </c>
      <c r="GP1349" s="292" t="s">
        <v>7494</v>
      </c>
      <c r="JU1349" s="55" t="s">
        <v>911</v>
      </c>
      <c r="JW1349" s="55" t="s">
        <v>837</v>
      </c>
    </row>
    <row r="1350" spans="1:283" x14ac:dyDescent="0.25">
      <c r="A1350" s="55">
        <v>1349</v>
      </c>
      <c r="B1350" s="12" t="s">
        <v>7067</v>
      </c>
      <c r="C1350" s="155">
        <v>61</v>
      </c>
      <c r="D1350" s="55" t="s">
        <v>3949</v>
      </c>
      <c r="E1350" s="90" t="s">
        <v>889</v>
      </c>
      <c r="G1350" s="55" t="s">
        <v>890</v>
      </c>
      <c r="H1350" s="55">
        <v>2003</v>
      </c>
      <c r="I1350" s="55">
        <v>2001</v>
      </c>
      <c r="J1350" s="55" t="s">
        <v>891</v>
      </c>
      <c r="K1350" s="55" t="s">
        <v>892</v>
      </c>
      <c r="L1350" s="55" t="s">
        <v>2737</v>
      </c>
      <c r="M1350" s="90">
        <v>38.74</v>
      </c>
      <c r="N1350" s="90">
        <v>-87.49</v>
      </c>
      <c r="O1350" s="90">
        <v>130</v>
      </c>
      <c r="R1350" s="55">
        <v>1272</v>
      </c>
      <c r="U1350" s="55">
        <v>2</v>
      </c>
      <c r="V1350" s="55" t="s">
        <v>1688</v>
      </c>
      <c r="Y1350" s="55" t="s">
        <v>896</v>
      </c>
      <c r="Z1350" s="55" t="s">
        <v>1349</v>
      </c>
      <c r="AA1350" s="90" t="s">
        <v>1677</v>
      </c>
      <c r="AD1350" s="90">
        <v>1.44</v>
      </c>
      <c r="AH1350" s="55" t="s">
        <v>6378</v>
      </c>
      <c r="AM1350" s="55" t="s">
        <v>1291</v>
      </c>
      <c r="AN1350" s="185" t="s">
        <v>1491</v>
      </c>
      <c r="AO1350" s="185" t="s">
        <v>5150</v>
      </c>
      <c r="AQ1350" s="55" t="s">
        <v>1545</v>
      </c>
      <c r="AR1350" s="55" t="s">
        <v>158</v>
      </c>
      <c r="AS1350" s="55" t="s">
        <v>1575</v>
      </c>
      <c r="AT1350" s="181" t="s">
        <v>912</v>
      </c>
      <c r="AU1350" s="181" t="s">
        <v>5150</v>
      </c>
      <c r="AV1350" s="185" t="s">
        <v>176</v>
      </c>
      <c r="AW1350" s="55" t="s">
        <v>912</v>
      </c>
      <c r="AX1350" s="185" t="s">
        <v>176</v>
      </c>
      <c r="AY1350" s="55" t="s">
        <v>176</v>
      </c>
      <c r="AZ1350" s="55" t="s">
        <v>156</v>
      </c>
      <c r="BA1350" s="55" t="s">
        <v>156</v>
      </c>
      <c r="BB1350" s="55" t="s">
        <v>2082</v>
      </c>
      <c r="BC1350" s="55" t="s">
        <v>2082</v>
      </c>
      <c r="BD1350" s="55" t="s">
        <v>176</v>
      </c>
      <c r="BK1350" s="55" t="s">
        <v>6269</v>
      </c>
      <c r="BM1350" s="192" t="s">
        <v>160</v>
      </c>
      <c r="BN1350" s="55">
        <v>4</v>
      </c>
      <c r="BO1350" s="55">
        <v>4</v>
      </c>
      <c r="BQ1350" s="55" t="s">
        <v>141</v>
      </c>
      <c r="BU1350" s="55" t="s">
        <v>894</v>
      </c>
      <c r="CH1350" s="90">
        <v>1.49</v>
      </c>
      <c r="CI1350" s="90">
        <v>1.49</v>
      </c>
      <c r="EK1350" s="90">
        <v>2.21</v>
      </c>
      <c r="EL1350" s="90">
        <v>2.87</v>
      </c>
      <c r="EO1350" s="65" t="s">
        <v>900</v>
      </c>
      <c r="EP1350" s="65">
        <v>42.81</v>
      </c>
      <c r="EQ1350" s="65">
        <v>41.5</v>
      </c>
      <c r="ET1350" s="65" t="s">
        <v>898</v>
      </c>
      <c r="EU1350" s="65">
        <v>1.23</v>
      </c>
      <c r="EV1350" s="65">
        <v>1.1000000000000001</v>
      </c>
      <c r="EY1350" s="65" t="s">
        <v>913</v>
      </c>
      <c r="FY1350" s="65">
        <v>17.899999999999999</v>
      </c>
      <c r="FZ1350" s="65">
        <v>16.3</v>
      </c>
      <c r="GP1350" s="292" t="s">
        <v>7494</v>
      </c>
      <c r="JU1350" s="55" t="s">
        <v>911</v>
      </c>
      <c r="JW1350" s="55" t="s">
        <v>837</v>
      </c>
    </row>
    <row r="1351" spans="1:283" x14ac:dyDescent="0.25">
      <c r="A1351" s="55">
        <v>1350</v>
      </c>
      <c r="B1351" s="12" t="s">
        <v>7067</v>
      </c>
      <c r="C1351" s="155">
        <v>61</v>
      </c>
      <c r="D1351" s="55" t="s">
        <v>3950</v>
      </c>
      <c r="E1351" s="90" t="s">
        <v>889</v>
      </c>
      <c r="G1351" s="55" t="s">
        <v>890</v>
      </c>
      <c r="H1351" s="55">
        <v>2003</v>
      </c>
      <c r="I1351" s="55">
        <v>2001</v>
      </c>
      <c r="J1351" s="55" t="s">
        <v>891</v>
      </c>
      <c r="K1351" s="55" t="s">
        <v>892</v>
      </c>
      <c r="L1351" s="55" t="s">
        <v>2737</v>
      </c>
      <c r="M1351" s="90">
        <v>38.74</v>
      </c>
      <c r="N1351" s="90">
        <v>-87.49</v>
      </c>
      <c r="O1351" s="90">
        <v>130</v>
      </c>
      <c r="R1351" s="55">
        <v>1272</v>
      </c>
      <c r="U1351" s="55">
        <v>2</v>
      </c>
      <c r="V1351" s="55" t="s">
        <v>1688</v>
      </c>
      <c r="Y1351" s="55" t="s">
        <v>896</v>
      </c>
      <c r="Z1351" s="55" t="s">
        <v>1349</v>
      </c>
      <c r="AA1351" s="90" t="s">
        <v>1677</v>
      </c>
      <c r="AD1351" s="90">
        <v>1.44</v>
      </c>
      <c r="AH1351" s="55" t="s">
        <v>6378</v>
      </c>
      <c r="AM1351" s="55" t="s">
        <v>1291</v>
      </c>
      <c r="AN1351" s="185" t="s">
        <v>1491</v>
      </c>
      <c r="AO1351" s="185" t="s">
        <v>5150</v>
      </c>
      <c r="AQ1351" s="55" t="s">
        <v>1545</v>
      </c>
      <c r="AR1351" s="55" t="s">
        <v>132</v>
      </c>
      <c r="AS1351" s="55" t="s">
        <v>1575</v>
      </c>
      <c r="AT1351" s="181" t="s">
        <v>912</v>
      </c>
      <c r="AU1351" s="181" t="s">
        <v>5150</v>
      </c>
      <c r="AV1351" s="185" t="s">
        <v>176</v>
      </c>
      <c r="AW1351" s="55" t="s">
        <v>912</v>
      </c>
      <c r="AX1351" s="185" t="s">
        <v>176</v>
      </c>
      <c r="AY1351" s="55" t="s">
        <v>176</v>
      </c>
      <c r="AZ1351" s="55" t="s">
        <v>156</v>
      </c>
      <c r="BA1351" s="55" t="s">
        <v>156</v>
      </c>
      <c r="BB1351" s="55" t="s">
        <v>2082</v>
      </c>
      <c r="BC1351" s="55" t="s">
        <v>2082</v>
      </c>
      <c r="BD1351" s="55" t="s">
        <v>176</v>
      </c>
      <c r="BK1351" s="55" t="s">
        <v>6269</v>
      </c>
      <c r="BM1351" s="192" t="s">
        <v>160</v>
      </c>
      <c r="BN1351" s="55">
        <v>4</v>
      </c>
      <c r="BO1351" s="55">
        <v>4</v>
      </c>
      <c r="BQ1351" s="55" t="s">
        <v>141</v>
      </c>
      <c r="BU1351" s="55" t="s">
        <v>895</v>
      </c>
      <c r="CH1351" s="90">
        <v>1.49</v>
      </c>
      <c r="CI1351" s="90">
        <v>1.46</v>
      </c>
      <c r="EK1351" s="90">
        <v>2.21</v>
      </c>
      <c r="EL1351" s="90">
        <v>3.17</v>
      </c>
      <c r="EO1351" s="65" t="s">
        <v>900</v>
      </c>
      <c r="EP1351" s="65">
        <v>42.81</v>
      </c>
      <c r="EQ1351" s="65">
        <v>40.31</v>
      </c>
      <c r="ET1351" s="65" t="s">
        <v>898</v>
      </c>
      <c r="EU1351" s="65">
        <v>1.23</v>
      </c>
      <c r="EV1351" s="65">
        <v>1.1299999999999999</v>
      </c>
      <c r="EY1351" s="65" t="s">
        <v>913</v>
      </c>
      <c r="FY1351" s="65">
        <v>17.899999999999999</v>
      </c>
      <c r="FZ1351" s="65">
        <v>15.5</v>
      </c>
      <c r="GP1351" s="292" t="s">
        <v>7494</v>
      </c>
      <c r="JU1351" s="55" t="s">
        <v>911</v>
      </c>
      <c r="JW1351" s="55" t="s">
        <v>837</v>
      </c>
    </row>
    <row r="1352" spans="1:283" x14ac:dyDescent="0.25">
      <c r="A1352" s="55">
        <v>1351</v>
      </c>
      <c r="B1352" s="12" t="s">
        <v>7067</v>
      </c>
      <c r="C1352" s="155">
        <v>61</v>
      </c>
      <c r="D1352" s="55" t="s">
        <v>3947</v>
      </c>
      <c r="E1352" s="90" t="s">
        <v>889</v>
      </c>
      <c r="G1352" s="55" t="s">
        <v>890</v>
      </c>
      <c r="H1352" s="55">
        <v>2003</v>
      </c>
      <c r="I1352" s="55">
        <v>2001</v>
      </c>
      <c r="J1352" s="55" t="s">
        <v>891</v>
      </c>
      <c r="K1352" s="55" t="s">
        <v>892</v>
      </c>
      <c r="L1352" s="55" t="s">
        <v>2737</v>
      </c>
      <c r="M1352" s="90">
        <v>38.74</v>
      </c>
      <c r="N1352" s="90">
        <v>-87.49</v>
      </c>
      <c r="O1352" s="90">
        <v>130</v>
      </c>
      <c r="R1352" s="55">
        <v>1272</v>
      </c>
      <c r="U1352" s="55">
        <v>2</v>
      </c>
      <c r="V1352" s="55" t="s">
        <v>1688</v>
      </c>
      <c r="Y1352" s="55" t="s">
        <v>897</v>
      </c>
      <c r="Z1352" s="55" t="s">
        <v>1349</v>
      </c>
      <c r="AA1352" s="90" t="s">
        <v>1677</v>
      </c>
      <c r="AD1352" s="90">
        <v>1.44</v>
      </c>
      <c r="AH1352" s="55" t="s">
        <v>6378</v>
      </c>
      <c r="AM1352" s="55" t="s">
        <v>1291</v>
      </c>
      <c r="AN1352" s="185" t="s">
        <v>1491</v>
      </c>
      <c r="AO1352" s="185" t="s">
        <v>5150</v>
      </c>
      <c r="AQ1352" s="55" t="s">
        <v>1545</v>
      </c>
      <c r="AR1352" s="55" t="s">
        <v>158</v>
      </c>
      <c r="AS1352" s="55" t="s">
        <v>1575</v>
      </c>
      <c r="AT1352" s="181" t="s">
        <v>912</v>
      </c>
      <c r="AU1352" s="181" t="s">
        <v>5150</v>
      </c>
      <c r="AV1352" s="185" t="s">
        <v>176</v>
      </c>
      <c r="AW1352" s="55" t="s">
        <v>912</v>
      </c>
      <c r="AX1352" s="185" t="s">
        <v>176</v>
      </c>
      <c r="AY1352" s="55" t="s">
        <v>176</v>
      </c>
      <c r="AZ1352" s="55" t="s">
        <v>229</v>
      </c>
      <c r="BA1352" s="55" t="s">
        <v>229</v>
      </c>
      <c r="BB1352" s="55" t="s">
        <v>2081</v>
      </c>
      <c r="BC1352" s="55" t="s">
        <v>2081</v>
      </c>
      <c r="BD1352" s="55" t="s">
        <v>176</v>
      </c>
      <c r="BK1352" s="55" t="s">
        <v>5976</v>
      </c>
      <c r="BM1352" s="192" t="s">
        <v>160</v>
      </c>
      <c r="BN1352" s="55">
        <v>4</v>
      </c>
      <c r="BO1352" s="55">
        <v>4</v>
      </c>
      <c r="BQ1352" s="55" t="s">
        <v>141</v>
      </c>
      <c r="BS1352" s="55">
        <v>679</v>
      </c>
      <c r="BU1352" s="55" t="s">
        <v>894</v>
      </c>
      <c r="CH1352" s="90">
        <v>1.41</v>
      </c>
      <c r="CI1352" s="90">
        <v>1.32</v>
      </c>
      <c r="EK1352" s="90">
        <v>3.03</v>
      </c>
      <c r="EL1352" s="90">
        <v>3.29</v>
      </c>
      <c r="EO1352" s="65" t="s">
        <v>900</v>
      </c>
      <c r="EP1352" s="65">
        <v>11.49</v>
      </c>
      <c r="EQ1352" s="65">
        <v>15.23</v>
      </c>
      <c r="ET1352" s="65" t="s">
        <v>898</v>
      </c>
      <c r="EU1352" s="65">
        <v>1.43</v>
      </c>
      <c r="EV1352" s="65">
        <v>1.31</v>
      </c>
      <c r="EY1352" s="65" t="s">
        <v>913</v>
      </c>
      <c r="FE1352" s="65">
        <v>42</v>
      </c>
      <c r="FF1352" s="65">
        <v>119.4</v>
      </c>
      <c r="GD1352" s="65">
        <f>21.2/1.42</f>
        <v>14.929577464788732</v>
      </c>
      <c r="GE1352" s="65">
        <f>23.9/1.42</f>
        <v>16.830985915492956</v>
      </c>
      <c r="GH1352" s="65" t="s">
        <v>905</v>
      </c>
      <c r="GP1352" s="292" t="s">
        <v>7494</v>
      </c>
      <c r="JU1352" s="55" t="s">
        <v>911</v>
      </c>
      <c r="JW1352" s="55" t="s">
        <v>837</v>
      </c>
    </row>
    <row r="1353" spans="1:283" x14ac:dyDescent="0.25">
      <c r="A1353" s="55">
        <v>1352</v>
      </c>
      <c r="B1353" s="12" t="s">
        <v>7067</v>
      </c>
      <c r="C1353" s="155">
        <v>61</v>
      </c>
      <c r="D1353" s="55" t="s">
        <v>3948</v>
      </c>
      <c r="E1353" s="90" t="s">
        <v>889</v>
      </c>
      <c r="G1353" s="55" t="s">
        <v>890</v>
      </c>
      <c r="H1353" s="55">
        <v>2003</v>
      </c>
      <c r="I1353" s="55">
        <v>2001</v>
      </c>
      <c r="J1353" s="55" t="s">
        <v>891</v>
      </c>
      <c r="K1353" s="55" t="s">
        <v>892</v>
      </c>
      <c r="L1353" s="55" t="s">
        <v>2737</v>
      </c>
      <c r="M1353" s="90">
        <v>38.74</v>
      </c>
      <c r="N1353" s="90">
        <v>-87.49</v>
      </c>
      <c r="O1353" s="90">
        <v>130</v>
      </c>
      <c r="R1353" s="55">
        <v>1272</v>
      </c>
      <c r="U1353" s="55">
        <v>2</v>
      </c>
      <c r="V1353" s="55" t="s">
        <v>1688</v>
      </c>
      <c r="Y1353" s="55" t="s">
        <v>897</v>
      </c>
      <c r="Z1353" s="55" t="s">
        <v>1349</v>
      </c>
      <c r="AA1353" s="90" t="s">
        <v>1677</v>
      </c>
      <c r="AD1353" s="90">
        <v>1.44</v>
      </c>
      <c r="AH1353" s="55" t="s">
        <v>6378</v>
      </c>
      <c r="AM1353" s="55" t="s">
        <v>1291</v>
      </c>
      <c r="AN1353" s="185" t="s">
        <v>1491</v>
      </c>
      <c r="AO1353" s="185" t="s">
        <v>5150</v>
      </c>
      <c r="AQ1353" s="55" t="s">
        <v>1545</v>
      </c>
      <c r="AR1353" s="55" t="s">
        <v>132</v>
      </c>
      <c r="AS1353" s="55" t="s">
        <v>1575</v>
      </c>
      <c r="AT1353" s="181" t="s">
        <v>912</v>
      </c>
      <c r="AU1353" s="181" t="s">
        <v>5150</v>
      </c>
      <c r="AV1353" s="185" t="s">
        <v>176</v>
      </c>
      <c r="AW1353" s="55" t="s">
        <v>912</v>
      </c>
      <c r="AX1353" s="185" t="s">
        <v>176</v>
      </c>
      <c r="AY1353" s="55" t="s">
        <v>176</v>
      </c>
      <c r="AZ1353" s="55" t="s">
        <v>229</v>
      </c>
      <c r="BA1353" s="55" t="s">
        <v>229</v>
      </c>
      <c r="BB1353" s="55" t="s">
        <v>2081</v>
      </c>
      <c r="BC1353" s="55" t="s">
        <v>2081</v>
      </c>
      <c r="BD1353" s="55" t="s">
        <v>176</v>
      </c>
      <c r="BK1353" s="55" t="s">
        <v>5976</v>
      </c>
      <c r="BM1353" s="192" t="s">
        <v>160</v>
      </c>
      <c r="BN1353" s="55">
        <v>4</v>
      </c>
      <c r="BO1353" s="55">
        <v>4</v>
      </c>
      <c r="BQ1353" s="55" t="s">
        <v>141</v>
      </c>
      <c r="BS1353" s="55">
        <v>1426</v>
      </c>
      <c r="BU1353" s="55" t="s">
        <v>895</v>
      </c>
      <c r="CH1353" s="90">
        <v>1.41</v>
      </c>
      <c r="CI1353" s="90">
        <v>1.31</v>
      </c>
      <c r="EK1353" s="90">
        <v>3.02</v>
      </c>
      <c r="EL1353" s="90">
        <v>3.41</v>
      </c>
      <c r="EO1353" s="65" t="s">
        <v>900</v>
      </c>
      <c r="EP1353" s="65">
        <v>11.49</v>
      </c>
      <c r="EQ1353" s="65">
        <v>14.61</v>
      </c>
      <c r="ET1353" s="65" t="s">
        <v>898</v>
      </c>
      <c r="EU1353" s="65">
        <v>1.43</v>
      </c>
      <c r="EV1353" s="65">
        <v>1.47</v>
      </c>
      <c r="EY1353" s="65" t="s">
        <v>913</v>
      </c>
      <c r="FE1353" s="65">
        <v>42</v>
      </c>
      <c r="FF1353" s="65">
        <v>37.200000000000003</v>
      </c>
      <c r="GD1353" s="65">
        <f>21.2/1.42</f>
        <v>14.929577464788732</v>
      </c>
      <c r="GE1353" s="65">
        <f>22.3/1.42</f>
        <v>15.704225352112678</v>
      </c>
      <c r="GH1353" s="65" t="s">
        <v>905</v>
      </c>
      <c r="GP1353" s="292" t="s">
        <v>7494</v>
      </c>
      <c r="JU1353" s="55" t="s">
        <v>911</v>
      </c>
      <c r="JW1353" s="55" t="s">
        <v>837</v>
      </c>
    </row>
    <row r="1354" spans="1:283" x14ac:dyDescent="0.25">
      <c r="A1354" s="55">
        <v>1353</v>
      </c>
      <c r="B1354" s="12" t="s">
        <v>7067</v>
      </c>
      <c r="C1354" s="155">
        <v>61</v>
      </c>
      <c r="D1354" s="55" t="s">
        <v>3949</v>
      </c>
      <c r="E1354" s="90" t="s">
        <v>889</v>
      </c>
      <c r="G1354" s="55" t="s">
        <v>890</v>
      </c>
      <c r="H1354" s="55">
        <v>2003</v>
      </c>
      <c r="I1354" s="55">
        <v>2001</v>
      </c>
      <c r="J1354" s="55" t="s">
        <v>891</v>
      </c>
      <c r="K1354" s="55" t="s">
        <v>892</v>
      </c>
      <c r="L1354" s="55" t="s">
        <v>2737</v>
      </c>
      <c r="M1354" s="90">
        <v>38.74</v>
      </c>
      <c r="N1354" s="90">
        <v>-87.49</v>
      </c>
      <c r="O1354" s="90">
        <v>130</v>
      </c>
      <c r="R1354" s="55">
        <v>1272</v>
      </c>
      <c r="U1354" s="55">
        <v>2</v>
      </c>
      <c r="V1354" s="55" t="s">
        <v>1688</v>
      </c>
      <c r="Y1354" s="55" t="s">
        <v>897</v>
      </c>
      <c r="Z1354" s="55" t="s">
        <v>1349</v>
      </c>
      <c r="AA1354" s="90" t="s">
        <v>1677</v>
      </c>
      <c r="AD1354" s="90">
        <v>1.44</v>
      </c>
      <c r="AH1354" s="55" t="s">
        <v>6378</v>
      </c>
      <c r="AM1354" s="55" t="s">
        <v>1291</v>
      </c>
      <c r="AN1354" s="185" t="s">
        <v>1491</v>
      </c>
      <c r="AO1354" s="185" t="s">
        <v>5150</v>
      </c>
      <c r="AQ1354" s="55" t="s">
        <v>1545</v>
      </c>
      <c r="AR1354" s="55" t="s">
        <v>158</v>
      </c>
      <c r="AS1354" s="55" t="s">
        <v>1575</v>
      </c>
      <c r="AT1354" s="181" t="s">
        <v>912</v>
      </c>
      <c r="AU1354" s="181" t="s">
        <v>5150</v>
      </c>
      <c r="AV1354" s="185" t="s">
        <v>176</v>
      </c>
      <c r="AW1354" s="55" t="s">
        <v>912</v>
      </c>
      <c r="AX1354" s="185" t="s">
        <v>176</v>
      </c>
      <c r="AY1354" s="55" t="s">
        <v>176</v>
      </c>
      <c r="AZ1354" s="55" t="s">
        <v>156</v>
      </c>
      <c r="BA1354" s="55" t="s">
        <v>156</v>
      </c>
      <c r="BB1354" s="55" t="s">
        <v>2082</v>
      </c>
      <c r="BC1354" s="55" t="s">
        <v>2082</v>
      </c>
      <c r="BD1354" s="55" t="s">
        <v>176</v>
      </c>
      <c r="BK1354" s="55" t="s">
        <v>6269</v>
      </c>
      <c r="BM1354" s="192" t="s">
        <v>160</v>
      </c>
      <c r="BN1354" s="55">
        <v>4</v>
      </c>
      <c r="BO1354" s="55">
        <v>4</v>
      </c>
      <c r="BQ1354" s="55" t="s">
        <v>141</v>
      </c>
      <c r="BS1354" s="55">
        <v>418</v>
      </c>
      <c r="BU1354" s="55" t="s">
        <v>894</v>
      </c>
      <c r="CH1354" s="90">
        <v>1.52</v>
      </c>
      <c r="CI1354" s="90">
        <v>1.55</v>
      </c>
      <c r="EK1354" s="90">
        <v>2.57</v>
      </c>
      <c r="EL1354" s="90">
        <v>3.14</v>
      </c>
      <c r="EO1354" s="65" t="s">
        <v>900</v>
      </c>
      <c r="EP1354" s="65">
        <v>7.79</v>
      </c>
      <c r="EQ1354" s="65">
        <v>5.93</v>
      </c>
      <c r="ET1354" s="65" t="s">
        <v>898</v>
      </c>
      <c r="EU1354" s="65">
        <v>1.4</v>
      </c>
      <c r="EV1354" s="65">
        <v>1.34</v>
      </c>
      <c r="EY1354" s="65" t="s">
        <v>913</v>
      </c>
      <c r="GD1354" s="65">
        <f>27.2/1.42</f>
        <v>19.154929577464788</v>
      </c>
      <c r="GE1354" s="65">
        <f>32.8/1.42</f>
        <v>23.098591549295772</v>
      </c>
      <c r="GH1354" s="65" t="s">
        <v>905</v>
      </c>
      <c r="GP1354" s="292" t="s">
        <v>7494</v>
      </c>
      <c r="JU1354" s="55" t="s">
        <v>911</v>
      </c>
      <c r="JW1354" s="55" t="s">
        <v>837</v>
      </c>
    </row>
    <row r="1355" spans="1:283" x14ac:dyDescent="0.25">
      <c r="A1355" s="55">
        <v>1354</v>
      </c>
      <c r="B1355" s="12" t="s">
        <v>7067</v>
      </c>
      <c r="C1355" s="155">
        <v>61</v>
      </c>
      <c r="D1355" s="55" t="s">
        <v>3950</v>
      </c>
      <c r="E1355" s="90" t="s">
        <v>889</v>
      </c>
      <c r="G1355" s="55" t="s">
        <v>890</v>
      </c>
      <c r="H1355" s="55">
        <v>2003</v>
      </c>
      <c r="I1355" s="55">
        <v>2001</v>
      </c>
      <c r="J1355" s="55" t="s">
        <v>891</v>
      </c>
      <c r="K1355" s="55" t="s">
        <v>892</v>
      </c>
      <c r="L1355" s="55" t="s">
        <v>2737</v>
      </c>
      <c r="M1355" s="90">
        <v>38.74</v>
      </c>
      <c r="N1355" s="90">
        <v>-87.49</v>
      </c>
      <c r="O1355" s="90">
        <v>130</v>
      </c>
      <c r="R1355" s="55">
        <v>1272</v>
      </c>
      <c r="U1355" s="55">
        <v>2</v>
      </c>
      <c r="V1355" s="55" t="s">
        <v>1688</v>
      </c>
      <c r="Y1355" s="55" t="s">
        <v>897</v>
      </c>
      <c r="Z1355" s="55" t="s">
        <v>1349</v>
      </c>
      <c r="AA1355" s="90" t="s">
        <v>1677</v>
      </c>
      <c r="AD1355" s="90">
        <v>1.44</v>
      </c>
      <c r="AH1355" s="55" t="s">
        <v>6378</v>
      </c>
      <c r="AM1355" s="55" t="s">
        <v>1291</v>
      </c>
      <c r="AN1355" s="185" t="s">
        <v>1491</v>
      </c>
      <c r="AO1355" s="185" t="s">
        <v>5150</v>
      </c>
      <c r="AQ1355" s="55" t="s">
        <v>1545</v>
      </c>
      <c r="AR1355" s="55" t="s">
        <v>132</v>
      </c>
      <c r="AS1355" s="55" t="s">
        <v>1575</v>
      </c>
      <c r="AT1355" s="181" t="s">
        <v>912</v>
      </c>
      <c r="AU1355" s="181" t="s">
        <v>5150</v>
      </c>
      <c r="AV1355" s="185" t="s">
        <v>176</v>
      </c>
      <c r="AW1355" s="55" t="s">
        <v>912</v>
      </c>
      <c r="AX1355" s="185" t="s">
        <v>176</v>
      </c>
      <c r="AY1355" s="55" t="s">
        <v>176</v>
      </c>
      <c r="AZ1355" s="55" t="s">
        <v>156</v>
      </c>
      <c r="BA1355" s="55" t="s">
        <v>156</v>
      </c>
      <c r="BB1355" s="55" t="s">
        <v>2082</v>
      </c>
      <c r="BC1355" s="55" t="s">
        <v>2082</v>
      </c>
      <c r="BD1355" s="55" t="s">
        <v>176</v>
      </c>
      <c r="BK1355" s="55" t="s">
        <v>6269</v>
      </c>
      <c r="BM1355" s="192" t="s">
        <v>160</v>
      </c>
      <c r="BN1355" s="55">
        <v>4</v>
      </c>
      <c r="BO1355" s="55">
        <v>4</v>
      </c>
      <c r="BQ1355" s="55" t="s">
        <v>141</v>
      </c>
      <c r="BS1355" s="55">
        <v>1048</v>
      </c>
      <c r="BU1355" s="55" t="s">
        <v>895</v>
      </c>
      <c r="CH1355" s="90">
        <v>1.52</v>
      </c>
      <c r="CI1355" s="90">
        <v>1.58</v>
      </c>
      <c r="EK1355" s="90">
        <v>2.57</v>
      </c>
      <c r="EL1355" s="90">
        <v>3.51</v>
      </c>
      <c r="EO1355" s="65" t="s">
        <v>900</v>
      </c>
      <c r="EP1355" s="65">
        <v>7.79</v>
      </c>
      <c r="EQ1355" s="65">
        <v>4.62</v>
      </c>
      <c r="ET1355" s="65" t="s">
        <v>898</v>
      </c>
      <c r="EU1355" s="65">
        <v>1.4</v>
      </c>
      <c r="EV1355" s="65">
        <v>1.4</v>
      </c>
      <c r="EY1355" s="65" t="s">
        <v>913</v>
      </c>
      <c r="GD1355" s="65">
        <f>27.2/1.42</f>
        <v>19.154929577464788</v>
      </c>
      <c r="GE1355" s="65">
        <f>28.5/1.42</f>
        <v>20.070422535211268</v>
      </c>
      <c r="GH1355" s="65" t="s">
        <v>905</v>
      </c>
      <c r="GP1355" s="292" t="s">
        <v>7494</v>
      </c>
      <c r="JU1355" s="55" t="s">
        <v>911</v>
      </c>
      <c r="JW1355" s="55" t="s">
        <v>837</v>
      </c>
    </row>
    <row r="1356" spans="1:283" x14ac:dyDescent="0.25">
      <c r="A1356" s="55">
        <v>1355</v>
      </c>
      <c r="B1356" s="12" t="s">
        <v>7067</v>
      </c>
      <c r="C1356" s="155">
        <v>61</v>
      </c>
      <c r="D1356" s="55" t="s">
        <v>3947</v>
      </c>
      <c r="E1356" s="90" t="s">
        <v>889</v>
      </c>
      <c r="G1356" s="55" t="s">
        <v>890</v>
      </c>
      <c r="H1356" s="55">
        <v>2003</v>
      </c>
      <c r="I1356" s="55">
        <v>2001</v>
      </c>
      <c r="J1356" s="55" t="s">
        <v>891</v>
      </c>
      <c r="K1356" s="55" t="s">
        <v>893</v>
      </c>
      <c r="L1356" s="55" t="s">
        <v>2737</v>
      </c>
      <c r="M1356" s="90">
        <v>40.299999999999997</v>
      </c>
      <c r="N1356" s="90">
        <v>-86.9</v>
      </c>
      <c r="O1356" s="90">
        <v>221</v>
      </c>
      <c r="R1356" s="55">
        <v>910</v>
      </c>
      <c r="U1356" s="55">
        <v>2</v>
      </c>
      <c r="V1356" s="55" t="s">
        <v>1688</v>
      </c>
      <c r="Y1356" s="55" t="s">
        <v>896</v>
      </c>
      <c r="Z1356" s="55" t="s">
        <v>1349</v>
      </c>
      <c r="AA1356" s="90" t="s">
        <v>1677</v>
      </c>
      <c r="AD1356" s="90">
        <v>1.42</v>
      </c>
      <c r="AH1356" s="55" t="s">
        <v>6378</v>
      </c>
      <c r="AM1356" s="55" t="s">
        <v>1291</v>
      </c>
      <c r="AN1356" s="185" t="s">
        <v>1491</v>
      </c>
      <c r="AO1356" s="185" t="s">
        <v>5150</v>
      </c>
      <c r="AQ1356" s="55" t="s">
        <v>1545</v>
      </c>
      <c r="AR1356" s="55" t="s">
        <v>158</v>
      </c>
      <c r="AS1356" s="55" t="s">
        <v>1575</v>
      </c>
      <c r="AT1356" s="181" t="s">
        <v>912</v>
      </c>
      <c r="AU1356" s="181" t="s">
        <v>5150</v>
      </c>
      <c r="AV1356" s="185" t="s">
        <v>176</v>
      </c>
      <c r="AW1356" s="55" t="s">
        <v>912</v>
      </c>
      <c r="AX1356" s="185" t="s">
        <v>176</v>
      </c>
      <c r="AY1356" s="55" t="s">
        <v>176</v>
      </c>
      <c r="AZ1356" s="55" t="s">
        <v>229</v>
      </c>
      <c r="BA1356" s="55" t="s">
        <v>229</v>
      </c>
      <c r="BB1356" s="55" t="s">
        <v>2081</v>
      </c>
      <c r="BC1356" s="55" t="s">
        <v>2081</v>
      </c>
      <c r="BD1356" s="55" t="s">
        <v>176</v>
      </c>
      <c r="BK1356" s="55" t="s">
        <v>5976</v>
      </c>
      <c r="BM1356" s="192" t="s">
        <v>160</v>
      </c>
      <c r="BN1356" s="55">
        <v>4</v>
      </c>
      <c r="BO1356" s="55">
        <v>4</v>
      </c>
      <c r="BQ1356" s="55" t="s">
        <v>141</v>
      </c>
      <c r="BU1356" s="55" t="s">
        <v>894</v>
      </c>
      <c r="EP1356" s="65">
        <v>49.51</v>
      </c>
      <c r="EQ1356" s="65">
        <v>49.51</v>
      </c>
      <c r="ET1356" s="65" t="s">
        <v>898</v>
      </c>
      <c r="EU1356" s="65">
        <v>1.43</v>
      </c>
      <c r="EV1356" s="65">
        <v>1.78</v>
      </c>
      <c r="EY1356" s="65" t="s">
        <v>913</v>
      </c>
      <c r="FE1356" s="65">
        <v>81.599999999999994</v>
      </c>
      <c r="FF1356" s="65">
        <v>84.6</v>
      </c>
      <c r="FY1356" s="65">
        <v>23</v>
      </c>
      <c r="FZ1356" s="65">
        <v>22.1</v>
      </c>
      <c r="GD1356" s="65">
        <f>13.9/1.42</f>
        <v>9.7887323943661979</v>
      </c>
      <c r="GE1356" s="65">
        <f>19.6/1.42</f>
        <v>13.802816901408452</v>
      </c>
      <c r="GH1356" s="65" t="s">
        <v>906</v>
      </c>
      <c r="GP1356" s="292" t="s">
        <v>7494</v>
      </c>
      <c r="JU1356" s="55" t="s">
        <v>911</v>
      </c>
      <c r="JW1356" s="55" t="s">
        <v>837</v>
      </c>
    </row>
    <row r="1357" spans="1:283" x14ac:dyDescent="0.25">
      <c r="A1357" s="55">
        <v>1356</v>
      </c>
      <c r="B1357" s="12" t="s">
        <v>7067</v>
      </c>
      <c r="C1357" s="155">
        <v>61</v>
      </c>
      <c r="D1357" s="55" t="s">
        <v>3948</v>
      </c>
      <c r="E1357" s="90" t="s">
        <v>889</v>
      </c>
      <c r="G1357" s="55" t="s">
        <v>890</v>
      </c>
      <c r="H1357" s="55">
        <v>2003</v>
      </c>
      <c r="I1357" s="55">
        <v>2001</v>
      </c>
      <c r="J1357" s="55" t="s">
        <v>891</v>
      </c>
      <c r="K1357" s="55" t="s">
        <v>893</v>
      </c>
      <c r="L1357" s="55" t="s">
        <v>2737</v>
      </c>
      <c r="M1357" s="90">
        <v>40.299999999999997</v>
      </c>
      <c r="N1357" s="90">
        <v>-86.9</v>
      </c>
      <c r="O1357" s="90">
        <v>221</v>
      </c>
      <c r="R1357" s="55">
        <v>910</v>
      </c>
      <c r="U1357" s="55">
        <v>2</v>
      </c>
      <c r="V1357" s="55" t="s">
        <v>1688</v>
      </c>
      <c r="Y1357" s="55" t="s">
        <v>896</v>
      </c>
      <c r="Z1357" s="55" t="s">
        <v>1349</v>
      </c>
      <c r="AA1357" s="90" t="s">
        <v>1677</v>
      </c>
      <c r="AD1357" s="90">
        <v>1.42</v>
      </c>
      <c r="AH1357" s="55" t="s">
        <v>6378</v>
      </c>
      <c r="AM1357" s="55" t="s">
        <v>1291</v>
      </c>
      <c r="AN1357" s="185" t="s">
        <v>1491</v>
      </c>
      <c r="AO1357" s="185" t="s">
        <v>5150</v>
      </c>
      <c r="AQ1357" s="55" t="s">
        <v>1545</v>
      </c>
      <c r="AR1357" s="55" t="s">
        <v>132</v>
      </c>
      <c r="AS1357" s="55" t="s">
        <v>1575</v>
      </c>
      <c r="AT1357" s="181" t="s">
        <v>912</v>
      </c>
      <c r="AU1357" s="181" t="s">
        <v>5150</v>
      </c>
      <c r="AV1357" s="185" t="s">
        <v>176</v>
      </c>
      <c r="AW1357" s="55" t="s">
        <v>912</v>
      </c>
      <c r="AX1357" s="185" t="s">
        <v>176</v>
      </c>
      <c r="AY1357" s="55" t="s">
        <v>176</v>
      </c>
      <c r="AZ1357" s="55" t="s">
        <v>229</v>
      </c>
      <c r="BA1357" s="55" t="s">
        <v>229</v>
      </c>
      <c r="BB1357" s="55" t="s">
        <v>2081</v>
      </c>
      <c r="BC1357" s="55" t="s">
        <v>2081</v>
      </c>
      <c r="BD1357" s="55" t="s">
        <v>176</v>
      </c>
      <c r="BK1357" s="55" t="s">
        <v>5976</v>
      </c>
      <c r="BM1357" s="192" t="s">
        <v>160</v>
      </c>
      <c r="BN1357" s="55">
        <v>4</v>
      </c>
      <c r="BO1357" s="55">
        <v>4</v>
      </c>
      <c r="BQ1357" s="55" t="s">
        <v>141</v>
      </c>
      <c r="BU1357" s="55" t="s">
        <v>895</v>
      </c>
      <c r="EP1357" s="65">
        <v>49.51</v>
      </c>
      <c r="EQ1357" s="65">
        <v>50.2</v>
      </c>
      <c r="ET1357" s="65" t="s">
        <v>898</v>
      </c>
      <c r="EU1357" s="65">
        <v>1.43</v>
      </c>
      <c r="EV1357" s="65">
        <v>1.93</v>
      </c>
      <c r="EY1357" s="65" t="s">
        <v>913</v>
      </c>
      <c r="FE1357" s="65">
        <v>81.599999999999994</v>
      </c>
      <c r="FF1357" s="65">
        <v>98.4</v>
      </c>
      <c r="FY1357" s="65">
        <v>23</v>
      </c>
      <c r="FZ1357" s="65">
        <v>21.7</v>
      </c>
      <c r="GD1357" s="65">
        <f>13.9/1.42</f>
        <v>9.7887323943661979</v>
      </c>
      <c r="GE1357" s="65">
        <f>12.8/1.42</f>
        <v>9.0140845070422539</v>
      </c>
      <c r="GH1357" s="65" t="s">
        <v>906</v>
      </c>
      <c r="GP1357" s="292" t="s">
        <v>7494</v>
      </c>
      <c r="JU1357" s="55" t="s">
        <v>911</v>
      </c>
      <c r="JW1357" s="55" t="s">
        <v>837</v>
      </c>
    </row>
    <row r="1358" spans="1:283" x14ac:dyDescent="0.25">
      <c r="A1358" s="55">
        <v>1357</v>
      </c>
      <c r="B1358" s="12" t="s">
        <v>7067</v>
      </c>
      <c r="C1358" s="155">
        <v>61</v>
      </c>
      <c r="D1358" s="55" t="s">
        <v>3949</v>
      </c>
      <c r="E1358" s="90" t="s">
        <v>889</v>
      </c>
      <c r="G1358" s="55" t="s">
        <v>890</v>
      </c>
      <c r="H1358" s="55">
        <v>2003</v>
      </c>
      <c r="I1358" s="55">
        <v>2001</v>
      </c>
      <c r="J1358" s="55" t="s">
        <v>891</v>
      </c>
      <c r="K1358" s="55" t="s">
        <v>893</v>
      </c>
      <c r="L1358" s="55" t="s">
        <v>2737</v>
      </c>
      <c r="M1358" s="90">
        <v>40.299999999999997</v>
      </c>
      <c r="N1358" s="90">
        <v>-86.9</v>
      </c>
      <c r="O1358" s="90">
        <v>221</v>
      </c>
      <c r="R1358" s="55">
        <v>910</v>
      </c>
      <c r="U1358" s="55">
        <v>2</v>
      </c>
      <c r="V1358" s="55" t="s">
        <v>1688</v>
      </c>
      <c r="Y1358" s="55" t="s">
        <v>896</v>
      </c>
      <c r="Z1358" s="55" t="s">
        <v>1349</v>
      </c>
      <c r="AA1358" s="90" t="s">
        <v>1677</v>
      </c>
      <c r="AD1358" s="90">
        <v>1.42</v>
      </c>
      <c r="AH1358" s="55" t="s">
        <v>6378</v>
      </c>
      <c r="AM1358" s="55" t="s">
        <v>1291</v>
      </c>
      <c r="AN1358" s="185" t="s">
        <v>1491</v>
      </c>
      <c r="AO1358" s="185" t="s">
        <v>5150</v>
      </c>
      <c r="AQ1358" s="55" t="s">
        <v>1545</v>
      </c>
      <c r="AR1358" s="55" t="s">
        <v>158</v>
      </c>
      <c r="AS1358" s="55" t="s">
        <v>1575</v>
      </c>
      <c r="AT1358" s="181" t="s">
        <v>912</v>
      </c>
      <c r="AU1358" s="181" t="s">
        <v>5150</v>
      </c>
      <c r="AV1358" s="185" t="s">
        <v>176</v>
      </c>
      <c r="AW1358" s="55" t="s">
        <v>912</v>
      </c>
      <c r="AX1358" s="185" t="s">
        <v>176</v>
      </c>
      <c r="AY1358" s="55" t="s">
        <v>176</v>
      </c>
      <c r="AZ1358" s="55" t="s">
        <v>156</v>
      </c>
      <c r="BA1358" s="55" t="s">
        <v>156</v>
      </c>
      <c r="BB1358" s="55" t="s">
        <v>2082</v>
      </c>
      <c r="BC1358" s="55" t="s">
        <v>2082</v>
      </c>
      <c r="BD1358" s="55" t="s">
        <v>176</v>
      </c>
      <c r="BK1358" s="55" t="s">
        <v>6269</v>
      </c>
      <c r="BM1358" s="192" t="s">
        <v>160</v>
      </c>
      <c r="BN1358" s="55">
        <v>4</v>
      </c>
      <c r="BO1358" s="55">
        <v>4</v>
      </c>
      <c r="BQ1358" s="55" t="s">
        <v>141</v>
      </c>
      <c r="BU1358" s="55" t="s">
        <v>894</v>
      </c>
      <c r="EP1358" s="65">
        <v>40.6</v>
      </c>
      <c r="EQ1358" s="65">
        <v>43.77</v>
      </c>
      <c r="ET1358" s="65" t="s">
        <v>898</v>
      </c>
      <c r="EU1358" s="65">
        <v>1.79</v>
      </c>
      <c r="EV1358" s="65">
        <v>2.14</v>
      </c>
      <c r="EY1358" s="65" t="s">
        <v>913</v>
      </c>
      <c r="FY1358" s="65">
        <v>22.1</v>
      </c>
      <c r="FZ1358" s="65">
        <v>21</v>
      </c>
      <c r="GD1358" s="65">
        <f>17.2/1.42</f>
        <v>12.112676056338028</v>
      </c>
      <c r="GE1358" s="65">
        <f>28.9/1.42</f>
        <v>20.35211267605634</v>
      </c>
      <c r="GH1358" s="65" t="s">
        <v>906</v>
      </c>
      <c r="GP1358" s="292" t="s">
        <v>7494</v>
      </c>
      <c r="JU1358" s="55" t="s">
        <v>911</v>
      </c>
      <c r="JW1358" s="55" t="s">
        <v>837</v>
      </c>
    </row>
    <row r="1359" spans="1:283" x14ac:dyDescent="0.25">
      <c r="A1359" s="55">
        <v>1358</v>
      </c>
      <c r="B1359" s="12" t="s">
        <v>7067</v>
      </c>
      <c r="C1359" s="155">
        <v>61</v>
      </c>
      <c r="D1359" s="55" t="s">
        <v>3950</v>
      </c>
      <c r="E1359" s="90" t="s">
        <v>889</v>
      </c>
      <c r="G1359" s="55" t="s">
        <v>890</v>
      </c>
      <c r="H1359" s="55">
        <v>2003</v>
      </c>
      <c r="I1359" s="55">
        <v>2001</v>
      </c>
      <c r="J1359" s="55" t="s">
        <v>891</v>
      </c>
      <c r="K1359" s="55" t="s">
        <v>893</v>
      </c>
      <c r="L1359" s="55" t="s">
        <v>2737</v>
      </c>
      <c r="M1359" s="90">
        <v>40.299999999999997</v>
      </c>
      <c r="N1359" s="90">
        <v>-86.9</v>
      </c>
      <c r="O1359" s="90">
        <v>221</v>
      </c>
      <c r="R1359" s="55">
        <v>910</v>
      </c>
      <c r="U1359" s="55">
        <v>2</v>
      </c>
      <c r="V1359" s="55" t="s">
        <v>1688</v>
      </c>
      <c r="Y1359" s="55" t="s">
        <v>896</v>
      </c>
      <c r="Z1359" s="55" t="s">
        <v>1349</v>
      </c>
      <c r="AA1359" s="90" t="s">
        <v>1677</v>
      </c>
      <c r="AD1359" s="90">
        <v>1.42</v>
      </c>
      <c r="AH1359" s="55" t="s">
        <v>6378</v>
      </c>
      <c r="AM1359" s="55" t="s">
        <v>1291</v>
      </c>
      <c r="AN1359" s="185" t="s">
        <v>1491</v>
      </c>
      <c r="AO1359" s="185" t="s">
        <v>5150</v>
      </c>
      <c r="AQ1359" s="55" t="s">
        <v>1545</v>
      </c>
      <c r="AR1359" s="55" t="s">
        <v>132</v>
      </c>
      <c r="AS1359" s="55" t="s">
        <v>1575</v>
      </c>
      <c r="AT1359" s="181" t="s">
        <v>912</v>
      </c>
      <c r="AU1359" s="181" t="s">
        <v>5150</v>
      </c>
      <c r="AV1359" s="185" t="s">
        <v>176</v>
      </c>
      <c r="AW1359" s="55" t="s">
        <v>912</v>
      </c>
      <c r="AX1359" s="185" t="s">
        <v>176</v>
      </c>
      <c r="AY1359" s="55" t="s">
        <v>176</v>
      </c>
      <c r="AZ1359" s="55" t="s">
        <v>156</v>
      </c>
      <c r="BA1359" s="55" t="s">
        <v>156</v>
      </c>
      <c r="BB1359" s="55" t="s">
        <v>2082</v>
      </c>
      <c r="BC1359" s="55" t="s">
        <v>2082</v>
      </c>
      <c r="BD1359" s="55" t="s">
        <v>176</v>
      </c>
      <c r="BK1359" s="55" t="s">
        <v>6269</v>
      </c>
      <c r="BM1359" s="192" t="s">
        <v>160</v>
      </c>
      <c r="BN1359" s="55">
        <v>4</v>
      </c>
      <c r="BO1359" s="55">
        <v>4</v>
      </c>
      <c r="BQ1359" s="55" t="s">
        <v>141</v>
      </c>
      <c r="BU1359" s="55" t="s">
        <v>895</v>
      </c>
      <c r="EP1359" s="65">
        <v>40.6</v>
      </c>
      <c r="EQ1359" s="65">
        <v>42.64</v>
      </c>
      <c r="ET1359" s="65" t="s">
        <v>898</v>
      </c>
      <c r="EU1359" s="65">
        <v>1.79</v>
      </c>
      <c r="EV1359" s="65">
        <v>1.57</v>
      </c>
      <c r="EY1359" s="65" t="s">
        <v>913</v>
      </c>
      <c r="FY1359" s="65">
        <v>22.1</v>
      </c>
      <c r="FZ1359" s="65">
        <v>21</v>
      </c>
      <c r="GD1359" s="65">
        <f>17.2/1.43</f>
        <v>12.027972027972028</v>
      </c>
      <c r="GE1359" s="65">
        <f>17.9/1.42</f>
        <v>12.6056338028169</v>
      </c>
      <c r="GH1359" s="65" t="s">
        <v>906</v>
      </c>
      <c r="GP1359" s="292" t="s">
        <v>7494</v>
      </c>
      <c r="JU1359" s="55" t="s">
        <v>911</v>
      </c>
      <c r="JW1359" s="55" t="s">
        <v>837</v>
      </c>
    </row>
    <row r="1360" spans="1:283" x14ac:dyDescent="0.25">
      <c r="A1360" s="55">
        <v>1359</v>
      </c>
      <c r="B1360" s="12" t="s">
        <v>7067</v>
      </c>
      <c r="C1360" s="155">
        <v>61</v>
      </c>
      <c r="D1360" s="55" t="s">
        <v>3947</v>
      </c>
      <c r="E1360" s="90" t="s">
        <v>889</v>
      </c>
      <c r="G1360" s="55" t="s">
        <v>890</v>
      </c>
      <c r="H1360" s="55">
        <v>2003</v>
      </c>
      <c r="I1360" s="55">
        <v>2001</v>
      </c>
      <c r="J1360" s="55" t="s">
        <v>891</v>
      </c>
      <c r="K1360" s="55" t="s">
        <v>893</v>
      </c>
      <c r="L1360" s="55" t="s">
        <v>2737</v>
      </c>
      <c r="M1360" s="90">
        <v>40.299999999999997</v>
      </c>
      <c r="N1360" s="90">
        <v>-86.9</v>
      </c>
      <c r="O1360" s="90">
        <v>221</v>
      </c>
      <c r="R1360" s="55">
        <v>910</v>
      </c>
      <c r="U1360" s="55">
        <v>2</v>
      </c>
      <c r="V1360" s="55" t="s">
        <v>1688</v>
      </c>
      <c r="Y1360" s="55" t="s">
        <v>897</v>
      </c>
      <c r="Z1360" s="55" t="s">
        <v>1349</v>
      </c>
      <c r="AA1360" s="90" t="s">
        <v>1677</v>
      </c>
      <c r="AD1360" s="90">
        <v>1.42</v>
      </c>
      <c r="AH1360" s="55" t="s">
        <v>6378</v>
      </c>
      <c r="AM1360" s="55" t="s">
        <v>1291</v>
      </c>
      <c r="AN1360" s="185" t="s">
        <v>1491</v>
      </c>
      <c r="AO1360" s="185" t="s">
        <v>5150</v>
      </c>
      <c r="AQ1360" s="55" t="s">
        <v>1545</v>
      </c>
      <c r="AR1360" s="55" t="s">
        <v>158</v>
      </c>
      <c r="AS1360" s="55" t="s">
        <v>1575</v>
      </c>
      <c r="AT1360" s="181" t="s">
        <v>912</v>
      </c>
      <c r="AU1360" s="181" t="s">
        <v>5150</v>
      </c>
      <c r="AV1360" s="185" t="s">
        <v>176</v>
      </c>
      <c r="AW1360" s="55" t="s">
        <v>912</v>
      </c>
      <c r="AX1360" s="185" t="s">
        <v>176</v>
      </c>
      <c r="AY1360" s="55" t="s">
        <v>176</v>
      </c>
      <c r="AZ1360" s="55" t="s">
        <v>229</v>
      </c>
      <c r="BA1360" s="55" t="s">
        <v>229</v>
      </c>
      <c r="BB1360" s="55" t="s">
        <v>2081</v>
      </c>
      <c r="BC1360" s="55" t="s">
        <v>2081</v>
      </c>
      <c r="BD1360" s="55" t="s">
        <v>176</v>
      </c>
      <c r="BK1360" s="55" t="s">
        <v>5976</v>
      </c>
      <c r="BM1360" s="192" t="s">
        <v>160</v>
      </c>
      <c r="BN1360" s="55">
        <v>4</v>
      </c>
      <c r="BO1360" s="55">
        <v>4</v>
      </c>
      <c r="BQ1360" s="55" t="s">
        <v>141</v>
      </c>
      <c r="BS1360" s="55">
        <v>740</v>
      </c>
      <c r="BU1360" s="55" t="s">
        <v>894</v>
      </c>
      <c r="CH1360" s="90">
        <v>1.34</v>
      </c>
      <c r="CI1360" s="90">
        <v>1.34</v>
      </c>
      <c r="EP1360" s="65">
        <v>17.28</v>
      </c>
      <c r="EQ1360" s="65">
        <v>14.66</v>
      </c>
      <c r="ET1360" s="65" t="s">
        <v>898</v>
      </c>
      <c r="EU1360" s="65">
        <v>1.83</v>
      </c>
      <c r="EV1360" s="65">
        <v>2.25</v>
      </c>
      <c r="EY1360" s="65" t="s">
        <v>913</v>
      </c>
      <c r="FE1360" s="65">
        <v>72.599999999999994</v>
      </c>
      <c r="FF1360" s="65">
        <v>61.8</v>
      </c>
      <c r="FY1360" s="65">
        <v>29.9</v>
      </c>
      <c r="FZ1360" s="65">
        <v>28.2</v>
      </c>
      <c r="GD1360" s="65">
        <f>24/1.42</f>
        <v>16.901408450704228</v>
      </c>
      <c r="GE1360" s="65">
        <f>24.4/1.42</f>
        <v>17.183098591549296</v>
      </c>
      <c r="GH1360" s="65" t="s">
        <v>907</v>
      </c>
      <c r="GP1360" s="292" t="s">
        <v>7494</v>
      </c>
      <c r="JU1360" s="55" t="s">
        <v>911</v>
      </c>
      <c r="JW1360" s="55" t="s">
        <v>837</v>
      </c>
    </row>
    <row r="1361" spans="1:283" x14ac:dyDescent="0.25">
      <c r="A1361" s="55">
        <v>1360</v>
      </c>
      <c r="B1361" s="12" t="s">
        <v>7067</v>
      </c>
      <c r="C1361" s="155">
        <v>61</v>
      </c>
      <c r="D1361" s="55" t="s">
        <v>3948</v>
      </c>
      <c r="E1361" s="90" t="s">
        <v>889</v>
      </c>
      <c r="G1361" s="55" t="s">
        <v>890</v>
      </c>
      <c r="H1361" s="55">
        <v>2003</v>
      </c>
      <c r="I1361" s="55">
        <v>2001</v>
      </c>
      <c r="J1361" s="55" t="s">
        <v>891</v>
      </c>
      <c r="K1361" s="55" t="s">
        <v>893</v>
      </c>
      <c r="L1361" s="55" t="s">
        <v>2737</v>
      </c>
      <c r="M1361" s="90">
        <v>40.299999999999997</v>
      </c>
      <c r="N1361" s="90">
        <v>-86.9</v>
      </c>
      <c r="O1361" s="90">
        <v>221</v>
      </c>
      <c r="R1361" s="55">
        <v>910</v>
      </c>
      <c r="U1361" s="55">
        <v>2</v>
      </c>
      <c r="V1361" s="55" t="s">
        <v>1688</v>
      </c>
      <c r="Y1361" s="55" t="s">
        <v>897</v>
      </c>
      <c r="Z1361" s="55" t="s">
        <v>1349</v>
      </c>
      <c r="AA1361" s="90" t="s">
        <v>1677</v>
      </c>
      <c r="AD1361" s="90">
        <v>1.42</v>
      </c>
      <c r="AH1361" s="55" t="s">
        <v>6378</v>
      </c>
      <c r="AM1361" s="55" t="s">
        <v>1291</v>
      </c>
      <c r="AN1361" s="185" t="s">
        <v>1491</v>
      </c>
      <c r="AO1361" s="185" t="s">
        <v>5150</v>
      </c>
      <c r="AQ1361" s="55" t="s">
        <v>1545</v>
      </c>
      <c r="AR1361" s="55" t="s">
        <v>132</v>
      </c>
      <c r="AS1361" s="55" t="s">
        <v>1575</v>
      </c>
      <c r="AT1361" s="181" t="s">
        <v>912</v>
      </c>
      <c r="AU1361" s="181" t="s">
        <v>5150</v>
      </c>
      <c r="AV1361" s="185" t="s">
        <v>176</v>
      </c>
      <c r="AW1361" s="55" t="s">
        <v>912</v>
      </c>
      <c r="AX1361" s="185" t="s">
        <v>176</v>
      </c>
      <c r="AY1361" s="55" t="s">
        <v>176</v>
      </c>
      <c r="AZ1361" s="55" t="s">
        <v>229</v>
      </c>
      <c r="BA1361" s="55" t="s">
        <v>229</v>
      </c>
      <c r="BB1361" s="55" t="s">
        <v>2081</v>
      </c>
      <c r="BC1361" s="55" t="s">
        <v>2081</v>
      </c>
      <c r="BD1361" s="55" t="s">
        <v>176</v>
      </c>
      <c r="BK1361" s="55" t="s">
        <v>5976</v>
      </c>
      <c r="BM1361" s="192" t="s">
        <v>160</v>
      </c>
      <c r="BN1361" s="55">
        <v>4</v>
      </c>
      <c r="BO1361" s="55">
        <v>4</v>
      </c>
      <c r="BQ1361" s="55" t="s">
        <v>141</v>
      </c>
      <c r="BS1361" s="55">
        <v>1624</v>
      </c>
      <c r="BU1361" s="55" t="s">
        <v>895</v>
      </c>
      <c r="CH1361" s="90">
        <v>1.34</v>
      </c>
      <c r="CI1361" s="90">
        <v>1.32</v>
      </c>
      <c r="EP1361" s="65">
        <v>17.28</v>
      </c>
      <c r="EQ1361" s="65">
        <v>12.91</v>
      </c>
      <c r="ET1361" s="65" t="s">
        <v>898</v>
      </c>
      <c r="EU1361" s="65">
        <v>1.83</v>
      </c>
      <c r="EV1361" s="65">
        <v>2.8</v>
      </c>
      <c r="EY1361" s="65" t="s">
        <v>913</v>
      </c>
      <c r="FE1361" s="65">
        <v>72.599999999999994</v>
      </c>
      <c r="FF1361" s="65">
        <v>71.400000000000006</v>
      </c>
      <c r="FY1361" s="65">
        <v>29.6</v>
      </c>
      <c r="FZ1361" s="65">
        <v>28.2</v>
      </c>
      <c r="GD1361" s="65">
        <f>24/1.42</f>
        <v>16.901408450704228</v>
      </c>
      <c r="GE1361" s="65">
        <f>24/1.42</f>
        <v>16.901408450704228</v>
      </c>
      <c r="GH1361" s="65" t="s">
        <v>907</v>
      </c>
      <c r="GP1361" s="292" t="s">
        <v>7494</v>
      </c>
      <c r="JU1361" s="55" t="s">
        <v>911</v>
      </c>
      <c r="JW1361" s="55" t="s">
        <v>837</v>
      </c>
    </row>
    <row r="1362" spans="1:283" x14ac:dyDescent="0.25">
      <c r="A1362" s="55">
        <v>1361</v>
      </c>
      <c r="B1362" s="12" t="s">
        <v>7067</v>
      </c>
      <c r="C1362" s="155">
        <v>61</v>
      </c>
      <c r="D1362" s="55" t="s">
        <v>3949</v>
      </c>
      <c r="E1362" s="90" t="s">
        <v>889</v>
      </c>
      <c r="G1362" s="55" t="s">
        <v>890</v>
      </c>
      <c r="H1362" s="55">
        <v>2003</v>
      </c>
      <c r="I1362" s="55">
        <v>2001</v>
      </c>
      <c r="J1362" s="55" t="s">
        <v>891</v>
      </c>
      <c r="K1362" s="55" t="s">
        <v>893</v>
      </c>
      <c r="L1362" s="55" t="s">
        <v>2737</v>
      </c>
      <c r="M1362" s="90">
        <v>40.299999999999997</v>
      </c>
      <c r="N1362" s="90">
        <v>-86.9</v>
      </c>
      <c r="O1362" s="90">
        <v>221</v>
      </c>
      <c r="R1362" s="55">
        <v>910</v>
      </c>
      <c r="U1362" s="55">
        <v>2</v>
      </c>
      <c r="V1362" s="55" t="s">
        <v>1688</v>
      </c>
      <c r="Y1362" s="55" t="s">
        <v>897</v>
      </c>
      <c r="Z1362" s="55" t="s">
        <v>1349</v>
      </c>
      <c r="AA1362" s="90" t="s">
        <v>1677</v>
      </c>
      <c r="AD1362" s="90">
        <v>1.42</v>
      </c>
      <c r="AH1362" s="55" t="s">
        <v>6378</v>
      </c>
      <c r="AM1362" s="55" t="s">
        <v>1291</v>
      </c>
      <c r="AN1362" s="185" t="s">
        <v>1491</v>
      </c>
      <c r="AO1362" s="185" t="s">
        <v>5150</v>
      </c>
      <c r="AQ1362" s="55" t="s">
        <v>1545</v>
      </c>
      <c r="AR1362" s="55" t="s">
        <v>158</v>
      </c>
      <c r="AS1362" s="55" t="s">
        <v>1575</v>
      </c>
      <c r="AT1362" s="181" t="s">
        <v>912</v>
      </c>
      <c r="AU1362" s="181" t="s">
        <v>5150</v>
      </c>
      <c r="AV1362" s="185" t="s">
        <v>176</v>
      </c>
      <c r="AW1362" s="55" t="s">
        <v>912</v>
      </c>
      <c r="AX1362" s="185" t="s">
        <v>176</v>
      </c>
      <c r="AY1362" s="55" t="s">
        <v>176</v>
      </c>
      <c r="AZ1362" s="55" t="s">
        <v>156</v>
      </c>
      <c r="BA1362" s="55" t="s">
        <v>156</v>
      </c>
      <c r="BB1362" s="55" t="s">
        <v>2082</v>
      </c>
      <c r="BC1362" s="55" t="s">
        <v>2082</v>
      </c>
      <c r="BD1362" s="55" t="s">
        <v>176</v>
      </c>
      <c r="BK1362" s="55" t="s">
        <v>6269</v>
      </c>
      <c r="BM1362" s="192" t="s">
        <v>160</v>
      </c>
      <c r="BN1362" s="55">
        <v>4</v>
      </c>
      <c r="BO1362" s="55">
        <v>4</v>
      </c>
      <c r="BQ1362" s="55" t="s">
        <v>141</v>
      </c>
      <c r="BS1362" s="55">
        <v>413</v>
      </c>
      <c r="BU1362" s="55" t="s">
        <v>894</v>
      </c>
      <c r="CH1362" s="90">
        <v>1.57</v>
      </c>
      <c r="CI1362" s="90">
        <v>1.49</v>
      </c>
      <c r="EP1362" s="65">
        <v>5.5</v>
      </c>
      <c r="EQ1362" s="65">
        <v>6.06</v>
      </c>
      <c r="ET1362" s="65" t="s">
        <v>898</v>
      </c>
      <c r="EU1362" s="65">
        <v>2</v>
      </c>
      <c r="EV1362" s="65">
        <v>2.2200000000000002</v>
      </c>
      <c r="EY1362" s="65" t="s">
        <v>913</v>
      </c>
      <c r="FY1362" s="65">
        <v>28.6</v>
      </c>
      <c r="FZ1362" s="65">
        <v>27.8</v>
      </c>
      <c r="GD1362" s="65">
        <f>29.9/1.42</f>
        <v>21.056338028169016</v>
      </c>
      <c r="GE1362" s="65">
        <f>30.7/1.42</f>
        <v>21.619718309859156</v>
      </c>
      <c r="GH1362" s="65" t="s">
        <v>907</v>
      </c>
      <c r="GP1362" s="292" t="s">
        <v>7494</v>
      </c>
      <c r="JU1362" s="55" t="s">
        <v>911</v>
      </c>
      <c r="JW1362" s="55" t="s">
        <v>837</v>
      </c>
    </row>
    <row r="1363" spans="1:283" x14ac:dyDescent="0.25">
      <c r="A1363" s="55">
        <v>1362</v>
      </c>
      <c r="B1363" s="12" t="s">
        <v>7067</v>
      </c>
      <c r="C1363" s="155">
        <v>61</v>
      </c>
      <c r="D1363" s="55" t="s">
        <v>3950</v>
      </c>
      <c r="E1363" s="90" t="s">
        <v>889</v>
      </c>
      <c r="G1363" s="55" t="s">
        <v>890</v>
      </c>
      <c r="H1363" s="55">
        <v>2003</v>
      </c>
      <c r="I1363" s="55">
        <v>2001</v>
      </c>
      <c r="J1363" s="55" t="s">
        <v>891</v>
      </c>
      <c r="K1363" s="55" t="s">
        <v>893</v>
      </c>
      <c r="L1363" s="55" t="s">
        <v>2737</v>
      </c>
      <c r="M1363" s="90">
        <v>40.299999999999997</v>
      </c>
      <c r="N1363" s="90">
        <v>-86.9</v>
      </c>
      <c r="O1363" s="90">
        <v>221</v>
      </c>
      <c r="R1363" s="55">
        <v>910</v>
      </c>
      <c r="U1363" s="55">
        <v>2</v>
      </c>
      <c r="V1363" s="55" t="s">
        <v>1688</v>
      </c>
      <c r="Y1363" s="55" t="s">
        <v>897</v>
      </c>
      <c r="Z1363" s="55" t="s">
        <v>1349</v>
      </c>
      <c r="AA1363" s="90" t="s">
        <v>1677</v>
      </c>
      <c r="AD1363" s="90">
        <v>1.42</v>
      </c>
      <c r="AH1363" s="55" t="s">
        <v>6378</v>
      </c>
      <c r="AM1363" s="55" t="s">
        <v>1291</v>
      </c>
      <c r="AN1363" s="185" t="s">
        <v>1491</v>
      </c>
      <c r="AO1363" s="185" t="s">
        <v>5150</v>
      </c>
      <c r="AQ1363" s="55" t="s">
        <v>1545</v>
      </c>
      <c r="AR1363" s="55" t="s">
        <v>132</v>
      </c>
      <c r="AS1363" s="55" t="s">
        <v>1575</v>
      </c>
      <c r="AT1363" s="181" t="s">
        <v>912</v>
      </c>
      <c r="AU1363" s="181" t="s">
        <v>5150</v>
      </c>
      <c r="AV1363" s="185" t="s">
        <v>176</v>
      </c>
      <c r="AW1363" s="55" t="s">
        <v>912</v>
      </c>
      <c r="AX1363" s="185" t="s">
        <v>176</v>
      </c>
      <c r="AY1363" s="55" t="s">
        <v>176</v>
      </c>
      <c r="AZ1363" s="55" t="s">
        <v>156</v>
      </c>
      <c r="BA1363" s="55" t="s">
        <v>156</v>
      </c>
      <c r="BB1363" s="55" t="s">
        <v>2082</v>
      </c>
      <c r="BC1363" s="55" t="s">
        <v>2082</v>
      </c>
      <c r="BD1363" s="55" t="s">
        <v>176</v>
      </c>
      <c r="BK1363" s="55" t="s">
        <v>6269</v>
      </c>
      <c r="BM1363" s="192" t="s">
        <v>160</v>
      </c>
      <c r="BN1363" s="55">
        <v>4</v>
      </c>
      <c r="BO1363" s="55">
        <v>4</v>
      </c>
      <c r="BQ1363" s="55" t="s">
        <v>141</v>
      </c>
      <c r="BS1363" s="55">
        <v>1509</v>
      </c>
      <c r="BU1363" s="55" t="s">
        <v>895</v>
      </c>
      <c r="CH1363" s="90">
        <v>1.57</v>
      </c>
      <c r="CI1363" s="90">
        <v>1.52</v>
      </c>
      <c r="EP1363" s="65">
        <v>5.5</v>
      </c>
      <c r="EQ1363" s="65">
        <v>5.55</v>
      </c>
      <c r="ET1363" s="65" t="s">
        <v>898</v>
      </c>
      <c r="EU1363" s="65">
        <v>2</v>
      </c>
      <c r="EV1363" s="65">
        <v>1.72</v>
      </c>
      <c r="EY1363" s="65" t="s">
        <v>913</v>
      </c>
      <c r="FY1363" s="65">
        <v>28.6</v>
      </c>
      <c r="FZ1363" s="65">
        <v>28</v>
      </c>
      <c r="GD1363" s="65">
        <f>29.9/1.42</f>
        <v>21.056338028169016</v>
      </c>
      <c r="GE1363" s="65">
        <f>34.4/1.42</f>
        <v>24.225352112676056</v>
      </c>
      <c r="GH1363" s="65" t="s">
        <v>907</v>
      </c>
      <c r="GP1363" s="292" t="s">
        <v>7494</v>
      </c>
      <c r="JU1363" s="55" t="s">
        <v>911</v>
      </c>
      <c r="JW1363" s="55" t="s">
        <v>837</v>
      </c>
    </row>
    <row r="1364" spans="1:283" x14ac:dyDescent="0.25">
      <c r="A1364" s="55">
        <v>1363</v>
      </c>
      <c r="B1364" s="12" t="s">
        <v>7067</v>
      </c>
      <c r="C1364" s="155">
        <v>61</v>
      </c>
      <c r="D1364" s="55" t="s">
        <v>3947</v>
      </c>
      <c r="E1364" s="90" t="s">
        <v>889</v>
      </c>
      <c r="G1364" s="55" t="s">
        <v>890</v>
      </c>
      <c r="H1364" s="55">
        <v>2003</v>
      </c>
      <c r="I1364" s="55">
        <v>2002</v>
      </c>
      <c r="J1364" s="55" t="s">
        <v>891</v>
      </c>
      <c r="K1364" s="55" t="s">
        <v>892</v>
      </c>
      <c r="L1364" s="55" t="s">
        <v>2737</v>
      </c>
      <c r="M1364" s="90">
        <v>38.74</v>
      </c>
      <c r="N1364" s="90">
        <v>-87.49</v>
      </c>
      <c r="O1364" s="90">
        <v>130</v>
      </c>
      <c r="R1364" s="55">
        <v>1420</v>
      </c>
      <c r="U1364" s="55">
        <v>3</v>
      </c>
      <c r="V1364" s="55" t="s">
        <v>1688</v>
      </c>
      <c r="Y1364" s="55" t="s">
        <v>896</v>
      </c>
      <c r="Z1364" s="55" t="s">
        <v>1349</v>
      </c>
      <c r="AA1364" s="90" t="s">
        <v>1677</v>
      </c>
      <c r="AD1364" s="90">
        <v>1.44</v>
      </c>
      <c r="AH1364" s="55" t="s">
        <v>6378</v>
      </c>
      <c r="AM1364" s="55" t="s">
        <v>1291</v>
      </c>
      <c r="AN1364" s="185" t="s">
        <v>1491</v>
      </c>
      <c r="AO1364" s="185" t="s">
        <v>5150</v>
      </c>
      <c r="AQ1364" s="55" t="s">
        <v>1545</v>
      </c>
      <c r="AR1364" s="55" t="s">
        <v>158</v>
      </c>
      <c r="AS1364" s="55" t="s">
        <v>1575</v>
      </c>
      <c r="AT1364" s="181" t="s">
        <v>912</v>
      </c>
      <c r="AU1364" s="181" t="s">
        <v>5150</v>
      </c>
      <c r="AV1364" s="185" t="s">
        <v>176</v>
      </c>
      <c r="AW1364" s="55" t="s">
        <v>912</v>
      </c>
      <c r="AX1364" s="185" t="s">
        <v>176</v>
      </c>
      <c r="AY1364" s="55" t="s">
        <v>176</v>
      </c>
      <c r="AZ1364" s="55" t="s">
        <v>229</v>
      </c>
      <c r="BA1364" s="55" t="s">
        <v>229</v>
      </c>
      <c r="BB1364" s="55" t="s">
        <v>2081</v>
      </c>
      <c r="BC1364" s="55" t="s">
        <v>2081</v>
      </c>
      <c r="BD1364" s="55" t="s">
        <v>176</v>
      </c>
      <c r="BK1364" s="55" t="s">
        <v>5976</v>
      </c>
      <c r="BM1364" s="192" t="s">
        <v>160</v>
      </c>
      <c r="BN1364" s="55">
        <v>4</v>
      </c>
      <c r="BO1364" s="55">
        <v>4</v>
      </c>
      <c r="BQ1364" s="55" t="s">
        <v>141</v>
      </c>
      <c r="BU1364" s="55" t="s">
        <v>894</v>
      </c>
      <c r="CH1364" s="90">
        <v>1.42</v>
      </c>
      <c r="CI1364" s="90">
        <v>1.37</v>
      </c>
      <c r="EK1364" s="90">
        <v>2.8</v>
      </c>
      <c r="EL1364" s="90">
        <v>2.98</v>
      </c>
      <c r="EO1364" s="65" t="s">
        <v>900</v>
      </c>
      <c r="EU1364" s="65">
        <v>1.36</v>
      </c>
      <c r="EV1364" s="65">
        <v>1.04</v>
      </c>
      <c r="EY1364" s="65" t="s">
        <v>913</v>
      </c>
      <c r="FY1364" s="65">
        <v>13.1</v>
      </c>
      <c r="FZ1364" s="65">
        <v>12.4</v>
      </c>
      <c r="GD1364" s="65">
        <f>32.9/1.42</f>
        <v>23.169014084507044</v>
      </c>
      <c r="GE1364" s="65">
        <f>33.6/1.42</f>
        <v>23.661971830985916</v>
      </c>
      <c r="GH1364" s="65" t="s">
        <v>905</v>
      </c>
      <c r="GP1364" s="292" t="s">
        <v>7494</v>
      </c>
      <c r="JU1364" s="55" t="s">
        <v>911</v>
      </c>
      <c r="JW1364" s="55" t="s">
        <v>837</v>
      </c>
    </row>
    <row r="1365" spans="1:283" x14ac:dyDescent="0.25">
      <c r="A1365" s="55">
        <v>1364</v>
      </c>
      <c r="B1365" s="12" t="s">
        <v>7067</v>
      </c>
      <c r="C1365" s="155">
        <v>61</v>
      </c>
      <c r="D1365" s="55" t="s">
        <v>3948</v>
      </c>
      <c r="E1365" s="90" t="s">
        <v>889</v>
      </c>
      <c r="G1365" s="55" t="s">
        <v>890</v>
      </c>
      <c r="H1365" s="55">
        <v>2003</v>
      </c>
      <c r="I1365" s="55">
        <v>2002</v>
      </c>
      <c r="J1365" s="55" t="s">
        <v>891</v>
      </c>
      <c r="K1365" s="55" t="s">
        <v>892</v>
      </c>
      <c r="L1365" s="55" t="s">
        <v>2737</v>
      </c>
      <c r="M1365" s="90">
        <v>38.74</v>
      </c>
      <c r="N1365" s="90">
        <v>-87.49</v>
      </c>
      <c r="O1365" s="90">
        <v>130</v>
      </c>
      <c r="R1365" s="55">
        <v>1420</v>
      </c>
      <c r="U1365" s="55">
        <v>3</v>
      </c>
      <c r="V1365" s="55" t="s">
        <v>1688</v>
      </c>
      <c r="Y1365" s="55" t="s">
        <v>896</v>
      </c>
      <c r="Z1365" s="55" t="s">
        <v>1349</v>
      </c>
      <c r="AA1365" s="90" t="s">
        <v>1677</v>
      </c>
      <c r="AD1365" s="90">
        <v>1.44</v>
      </c>
      <c r="AH1365" s="55" t="s">
        <v>6378</v>
      </c>
      <c r="AM1365" s="55" t="s">
        <v>1291</v>
      </c>
      <c r="AN1365" s="185" t="s">
        <v>1491</v>
      </c>
      <c r="AO1365" s="185" t="s">
        <v>5150</v>
      </c>
      <c r="AQ1365" s="55" t="s">
        <v>1545</v>
      </c>
      <c r="AR1365" s="55" t="s">
        <v>132</v>
      </c>
      <c r="AS1365" s="55" t="s">
        <v>1575</v>
      </c>
      <c r="AT1365" s="181" t="s">
        <v>912</v>
      </c>
      <c r="AU1365" s="181" t="s">
        <v>5150</v>
      </c>
      <c r="AV1365" s="185" t="s">
        <v>176</v>
      </c>
      <c r="AW1365" s="55" t="s">
        <v>912</v>
      </c>
      <c r="AX1365" s="185" t="s">
        <v>176</v>
      </c>
      <c r="AY1365" s="55" t="s">
        <v>176</v>
      </c>
      <c r="AZ1365" s="55" t="s">
        <v>229</v>
      </c>
      <c r="BA1365" s="55" t="s">
        <v>229</v>
      </c>
      <c r="BB1365" s="55" t="s">
        <v>2081</v>
      </c>
      <c r="BC1365" s="55" t="s">
        <v>2081</v>
      </c>
      <c r="BD1365" s="55" t="s">
        <v>176</v>
      </c>
      <c r="BK1365" s="55" t="s">
        <v>5976</v>
      </c>
      <c r="BM1365" s="192" t="s">
        <v>160</v>
      </c>
      <c r="BN1365" s="55">
        <v>4</v>
      </c>
      <c r="BO1365" s="55">
        <v>4</v>
      </c>
      <c r="BQ1365" s="55" t="s">
        <v>141</v>
      </c>
      <c r="BU1365" s="55" t="s">
        <v>895</v>
      </c>
      <c r="CH1365" s="90">
        <v>1.42</v>
      </c>
      <c r="CI1365" s="90">
        <v>1.35</v>
      </c>
      <c r="EK1365" s="90">
        <v>2.8</v>
      </c>
      <c r="EL1365" s="90">
        <v>3.41</v>
      </c>
      <c r="EO1365" s="65" t="s">
        <v>900</v>
      </c>
      <c r="EU1365" s="65">
        <v>1.36</v>
      </c>
      <c r="EV1365" s="65">
        <v>1.31</v>
      </c>
      <c r="EY1365" s="65" t="s">
        <v>913</v>
      </c>
      <c r="FY1365" s="65">
        <v>13.1</v>
      </c>
      <c r="FZ1365" s="65">
        <v>12.2</v>
      </c>
      <c r="GD1365" s="65">
        <f>32.9/1.42</f>
        <v>23.169014084507044</v>
      </c>
      <c r="GE1365" s="65">
        <f>36.3/1.42</f>
        <v>25.56338028169014</v>
      </c>
      <c r="GH1365" s="65" t="s">
        <v>905</v>
      </c>
      <c r="GP1365" s="292" t="s">
        <v>7494</v>
      </c>
      <c r="JU1365" s="55" t="s">
        <v>911</v>
      </c>
      <c r="JW1365" s="55" t="s">
        <v>837</v>
      </c>
    </row>
    <row r="1366" spans="1:283" x14ac:dyDescent="0.25">
      <c r="A1366" s="55">
        <v>1365</v>
      </c>
      <c r="B1366" s="12" t="s">
        <v>7067</v>
      </c>
      <c r="C1366" s="155">
        <v>61</v>
      </c>
      <c r="D1366" s="55" t="s">
        <v>3949</v>
      </c>
      <c r="E1366" s="90" t="s">
        <v>889</v>
      </c>
      <c r="G1366" s="55" t="s">
        <v>890</v>
      </c>
      <c r="H1366" s="55">
        <v>2003</v>
      </c>
      <c r="I1366" s="55">
        <v>2002</v>
      </c>
      <c r="J1366" s="55" t="s">
        <v>891</v>
      </c>
      <c r="K1366" s="55" t="s">
        <v>892</v>
      </c>
      <c r="L1366" s="55" t="s">
        <v>2737</v>
      </c>
      <c r="M1366" s="90">
        <v>38.74</v>
      </c>
      <c r="N1366" s="90">
        <v>-87.49</v>
      </c>
      <c r="O1366" s="90">
        <v>130</v>
      </c>
      <c r="R1366" s="55">
        <v>1420</v>
      </c>
      <c r="U1366" s="55">
        <v>3</v>
      </c>
      <c r="V1366" s="55" t="s">
        <v>1688</v>
      </c>
      <c r="Y1366" s="55" t="s">
        <v>896</v>
      </c>
      <c r="Z1366" s="55" t="s">
        <v>1349</v>
      </c>
      <c r="AA1366" s="90" t="s">
        <v>1677</v>
      </c>
      <c r="AD1366" s="90">
        <v>1.44</v>
      </c>
      <c r="AH1366" s="55" t="s">
        <v>6378</v>
      </c>
      <c r="AM1366" s="55" t="s">
        <v>1291</v>
      </c>
      <c r="AN1366" s="185" t="s">
        <v>1491</v>
      </c>
      <c r="AO1366" s="185" t="s">
        <v>5150</v>
      </c>
      <c r="AQ1366" s="55" t="s">
        <v>1545</v>
      </c>
      <c r="AR1366" s="55" t="s">
        <v>158</v>
      </c>
      <c r="AS1366" s="55" t="s">
        <v>1575</v>
      </c>
      <c r="AT1366" s="181" t="s">
        <v>912</v>
      </c>
      <c r="AU1366" s="181" t="s">
        <v>5150</v>
      </c>
      <c r="AV1366" s="185" t="s">
        <v>176</v>
      </c>
      <c r="AW1366" s="55" t="s">
        <v>912</v>
      </c>
      <c r="AX1366" s="185" t="s">
        <v>176</v>
      </c>
      <c r="AY1366" s="55" t="s">
        <v>176</v>
      </c>
      <c r="AZ1366" s="55" t="s">
        <v>156</v>
      </c>
      <c r="BA1366" s="55" t="s">
        <v>156</v>
      </c>
      <c r="BB1366" s="55" t="s">
        <v>2082</v>
      </c>
      <c r="BC1366" s="55" t="s">
        <v>2082</v>
      </c>
      <c r="BD1366" s="55" t="s">
        <v>176</v>
      </c>
      <c r="BK1366" s="55" t="s">
        <v>6269</v>
      </c>
      <c r="BM1366" s="192" t="s">
        <v>160</v>
      </c>
      <c r="BN1366" s="55">
        <v>4</v>
      </c>
      <c r="BO1366" s="55">
        <v>4</v>
      </c>
      <c r="BQ1366" s="55" t="s">
        <v>141</v>
      </c>
      <c r="BU1366" s="55" t="s">
        <v>894</v>
      </c>
      <c r="CH1366" s="90">
        <v>1.51</v>
      </c>
      <c r="CI1366" s="90">
        <v>1.49</v>
      </c>
      <c r="EK1366" s="90">
        <v>3</v>
      </c>
      <c r="EL1366" s="90">
        <v>2.86</v>
      </c>
      <c r="EO1366" s="65" t="s">
        <v>900</v>
      </c>
      <c r="EP1366" s="65">
        <v>39.57</v>
      </c>
      <c r="EQ1366" s="65">
        <v>41.08</v>
      </c>
      <c r="ET1366" s="65" t="s">
        <v>898</v>
      </c>
      <c r="EU1366" s="65">
        <v>2.5099999999999998</v>
      </c>
      <c r="EV1366" s="65">
        <v>2.69</v>
      </c>
      <c r="EY1366" s="65" t="s">
        <v>913</v>
      </c>
      <c r="FY1366" s="65">
        <v>12.9</v>
      </c>
      <c r="FZ1366" s="65">
        <v>12.3</v>
      </c>
      <c r="GD1366" s="65">
        <f>32.2/1.42</f>
        <v>22.676056338028172</v>
      </c>
      <c r="GE1366" s="65">
        <f>33.3/1.42</f>
        <v>23.450704225352112</v>
      </c>
      <c r="GH1366" s="65" t="s">
        <v>905</v>
      </c>
      <c r="GP1366" s="292" t="s">
        <v>7494</v>
      </c>
      <c r="JU1366" s="55" t="s">
        <v>911</v>
      </c>
      <c r="JW1366" s="55" t="s">
        <v>837</v>
      </c>
    </row>
    <row r="1367" spans="1:283" x14ac:dyDescent="0.25">
      <c r="A1367" s="55">
        <v>1366</v>
      </c>
      <c r="B1367" s="12" t="s">
        <v>7067</v>
      </c>
      <c r="C1367" s="155">
        <v>61</v>
      </c>
      <c r="D1367" s="55" t="s">
        <v>3950</v>
      </c>
      <c r="E1367" s="90" t="s">
        <v>889</v>
      </c>
      <c r="G1367" s="55" t="s">
        <v>890</v>
      </c>
      <c r="H1367" s="55">
        <v>2003</v>
      </c>
      <c r="I1367" s="55">
        <v>2002</v>
      </c>
      <c r="J1367" s="55" t="s">
        <v>891</v>
      </c>
      <c r="K1367" s="55" t="s">
        <v>892</v>
      </c>
      <c r="L1367" s="55" t="s">
        <v>2737</v>
      </c>
      <c r="M1367" s="90">
        <v>38.74</v>
      </c>
      <c r="N1367" s="90">
        <v>-87.49</v>
      </c>
      <c r="O1367" s="90">
        <v>130</v>
      </c>
      <c r="R1367" s="55">
        <v>1420</v>
      </c>
      <c r="U1367" s="55">
        <v>3</v>
      </c>
      <c r="V1367" s="55" t="s">
        <v>1688</v>
      </c>
      <c r="Y1367" s="55" t="s">
        <v>896</v>
      </c>
      <c r="Z1367" s="55" t="s">
        <v>1349</v>
      </c>
      <c r="AA1367" s="90" t="s">
        <v>1677</v>
      </c>
      <c r="AD1367" s="90">
        <v>1.44</v>
      </c>
      <c r="AH1367" s="55" t="s">
        <v>6378</v>
      </c>
      <c r="AM1367" s="55" t="s">
        <v>1291</v>
      </c>
      <c r="AN1367" s="185" t="s">
        <v>1491</v>
      </c>
      <c r="AO1367" s="185" t="s">
        <v>5150</v>
      </c>
      <c r="AQ1367" s="55" t="s">
        <v>1545</v>
      </c>
      <c r="AR1367" s="55" t="s">
        <v>132</v>
      </c>
      <c r="AS1367" s="55" t="s">
        <v>1575</v>
      </c>
      <c r="AT1367" s="181" t="s">
        <v>912</v>
      </c>
      <c r="AU1367" s="181" t="s">
        <v>5150</v>
      </c>
      <c r="AV1367" s="185" t="s">
        <v>176</v>
      </c>
      <c r="AW1367" s="55" t="s">
        <v>912</v>
      </c>
      <c r="AX1367" s="185" t="s">
        <v>176</v>
      </c>
      <c r="AY1367" s="55" t="s">
        <v>176</v>
      </c>
      <c r="AZ1367" s="55" t="s">
        <v>156</v>
      </c>
      <c r="BA1367" s="55" t="s">
        <v>156</v>
      </c>
      <c r="BB1367" s="55" t="s">
        <v>2082</v>
      </c>
      <c r="BC1367" s="55" t="s">
        <v>2082</v>
      </c>
      <c r="BD1367" s="55" t="s">
        <v>176</v>
      </c>
      <c r="BK1367" s="55" t="s">
        <v>6269</v>
      </c>
      <c r="BM1367" s="192" t="s">
        <v>160</v>
      </c>
      <c r="BN1367" s="55">
        <v>4</v>
      </c>
      <c r="BO1367" s="55">
        <v>4</v>
      </c>
      <c r="BQ1367" s="55" t="s">
        <v>141</v>
      </c>
      <c r="BU1367" s="55" t="s">
        <v>895</v>
      </c>
      <c r="CH1367" s="90">
        <v>1.51</v>
      </c>
      <c r="CI1367" s="90">
        <v>1.46</v>
      </c>
      <c r="EK1367" s="90">
        <v>3</v>
      </c>
      <c r="EL1367" s="90">
        <v>3.22</v>
      </c>
      <c r="EO1367" s="65" t="s">
        <v>900</v>
      </c>
      <c r="EP1367" s="65">
        <v>39.57</v>
      </c>
      <c r="EQ1367" s="65">
        <v>39.049999999999997</v>
      </c>
      <c r="ET1367" s="65" t="s">
        <v>898</v>
      </c>
      <c r="EU1367" s="65">
        <v>2.5099999999999998</v>
      </c>
      <c r="EV1367" s="65">
        <v>2.4</v>
      </c>
      <c r="EY1367" s="65" t="s">
        <v>913</v>
      </c>
      <c r="FY1367" s="65">
        <v>12.9</v>
      </c>
      <c r="FZ1367" s="65">
        <v>12.3</v>
      </c>
      <c r="GD1367" s="65">
        <f>32.2/1.42</f>
        <v>22.676056338028172</v>
      </c>
      <c r="GE1367" s="65">
        <f>34.8/1.42</f>
        <v>24.507042253521124</v>
      </c>
      <c r="GH1367" s="65" t="s">
        <v>905</v>
      </c>
      <c r="GP1367" s="292" t="s">
        <v>7494</v>
      </c>
      <c r="JU1367" s="55" t="s">
        <v>911</v>
      </c>
      <c r="JW1367" s="55" t="s">
        <v>837</v>
      </c>
    </row>
    <row r="1368" spans="1:283" x14ac:dyDescent="0.25">
      <c r="A1368" s="55">
        <v>1367</v>
      </c>
      <c r="B1368" s="12" t="s">
        <v>7067</v>
      </c>
      <c r="C1368" s="155">
        <v>61</v>
      </c>
      <c r="D1368" s="55" t="s">
        <v>3947</v>
      </c>
      <c r="E1368" s="90" t="s">
        <v>889</v>
      </c>
      <c r="G1368" s="55" t="s">
        <v>890</v>
      </c>
      <c r="H1368" s="55">
        <v>2003</v>
      </c>
      <c r="I1368" s="55">
        <v>2002</v>
      </c>
      <c r="J1368" s="55" t="s">
        <v>891</v>
      </c>
      <c r="K1368" s="55" t="s">
        <v>892</v>
      </c>
      <c r="L1368" s="55" t="s">
        <v>2737</v>
      </c>
      <c r="M1368" s="90">
        <v>38.74</v>
      </c>
      <c r="N1368" s="90">
        <v>-87.49</v>
      </c>
      <c r="O1368" s="90">
        <v>130</v>
      </c>
      <c r="R1368" s="55">
        <v>1420</v>
      </c>
      <c r="U1368" s="55">
        <v>3</v>
      </c>
      <c r="V1368" s="55" t="s">
        <v>1688</v>
      </c>
      <c r="Y1368" s="55" t="s">
        <v>897</v>
      </c>
      <c r="Z1368" s="55" t="s">
        <v>1349</v>
      </c>
      <c r="AA1368" s="90" t="s">
        <v>1677</v>
      </c>
      <c r="AD1368" s="90">
        <v>1.44</v>
      </c>
      <c r="AH1368" s="55" t="s">
        <v>6378</v>
      </c>
      <c r="AM1368" s="55" t="s">
        <v>1291</v>
      </c>
      <c r="AN1368" s="185" t="s">
        <v>1491</v>
      </c>
      <c r="AO1368" s="185" t="s">
        <v>5150</v>
      </c>
      <c r="AQ1368" s="55" t="s">
        <v>1545</v>
      </c>
      <c r="AR1368" s="55" t="s">
        <v>158</v>
      </c>
      <c r="AS1368" s="55" t="s">
        <v>1575</v>
      </c>
      <c r="AT1368" s="181" t="s">
        <v>912</v>
      </c>
      <c r="AU1368" s="181" t="s">
        <v>5150</v>
      </c>
      <c r="AV1368" s="185" t="s">
        <v>176</v>
      </c>
      <c r="AW1368" s="55" t="s">
        <v>912</v>
      </c>
      <c r="AX1368" s="185" t="s">
        <v>176</v>
      </c>
      <c r="AY1368" s="55" t="s">
        <v>176</v>
      </c>
      <c r="AZ1368" s="55" t="s">
        <v>229</v>
      </c>
      <c r="BA1368" s="55" t="s">
        <v>229</v>
      </c>
      <c r="BB1368" s="55" t="s">
        <v>2081</v>
      </c>
      <c r="BC1368" s="55" t="s">
        <v>2081</v>
      </c>
      <c r="BD1368" s="55" t="s">
        <v>176</v>
      </c>
      <c r="BK1368" s="55" t="s">
        <v>5976</v>
      </c>
      <c r="BM1368" s="192" t="s">
        <v>160</v>
      </c>
      <c r="BN1368" s="55">
        <v>4</v>
      </c>
      <c r="BO1368" s="55">
        <v>4</v>
      </c>
      <c r="BQ1368" s="55" t="s">
        <v>141</v>
      </c>
      <c r="BS1368" s="55">
        <v>927</v>
      </c>
      <c r="BU1368" s="55" t="s">
        <v>894</v>
      </c>
      <c r="EK1368" s="90">
        <v>3.37</v>
      </c>
      <c r="EL1368" s="90">
        <v>3.21</v>
      </c>
      <c r="EO1368" s="65" t="s">
        <v>900</v>
      </c>
      <c r="EU1368" s="65">
        <v>2.1</v>
      </c>
      <c r="EV1368" s="65">
        <v>1.95</v>
      </c>
      <c r="EY1368" s="65" t="s">
        <v>913</v>
      </c>
      <c r="FY1368" s="65">
        <v>18.100000000000001</v>
      </c>
      <c r="FZ1368" s="65">
        <v>17.2</v>
      </c>
      <c r="GD1368" s="65">
        <f>32.7/1.42</f>
        <v>23.028169014084511</v>
      </c>
      <c r="GE1368" s="65">
        <f>34.2/1.42</f>
        <v>24.084507042253524</v>
      </c>
      <c r="GH1368" s="65" t="s">
        <v>908</v>
      </c>
      <c r="GP1368" s="292" t="s">
        <v>7494</v>
      </c>
      <c r="JU1368" s="55" t="s">
        <v>911</v>
      </c>
      <c r="JW1368" s="55" t="s">
        <v>837</v>
      </c>
    </row>
    <row r="1369" spans="1:283" x14ac:dyDescent="0.25">
      <c r="A1369" s="55">
        <v>1368</v>
      </c>
      <c r="B1369" s="12" t="s">
        <v>7067</v>
      </c>
      <c r="C1369" s="155">
        <v>61</v>
      </c>
      <c r="D1369" s="55" t="s">
        <v>3948</v>
      </c>
      <c r="E1369" s="90" t="s">
        <v>889</v>
      </c>
      <c r="G1369" s="55" t="s">
        <v>890</v>
      </c>
      <c r="H1369" s="55">
        <v>2003</v>
      </c>
      <c r="I1369" s="55">
        <v>2002</v>
      </c>
      <c r="J1369" s="55" t="s">
        <v>891</v>
      </c>
      <c r="K1369" s="55" t="s">
        <v>892</v>
      </c>
      <c r="L1369" s="55" t="s">
        <v>2737</v>
      </c>
      <c r="M1369" s="90">
        <v>38.74</v>
      </c>
      <c r="N1369" s="90">
        <v>-87.49</v>
      </c>
      <c r="O1369" s="90">
        <v>130</v>
      </c>
      <c r="R1369" s="55">
        <v>1420</v>
      </c>
      <c r="U1369" s="55">
        <v>3</v>
      </c>
      <c r="V1369" s="55" t="s">
        <v>1688</v>
      </c>
      <c r="Y1369" s="55" t="s">
        <v>897</v>
      </c>
      <c r="Z1369" s="55" t="s">
        <v>1349</v>
      </c>
      <c r="AA1369" s="90" t="s">
        <v>1677</v>
      </c>
      <c r="AD1369" s="90">
        <v>1.44</v>
      </c>
      <c r="AH1369" s="55" t="s">
        <v>6378</v>
      </c>
      <c r="AM1369" s="55" t="s">
        <v>1291</v>
      </c>
      <c r="AN1369" s="185" t="s">
        <v>1491</v>
      </c>
      <c r="AO1369" s="185" t="s">
        <v>5150</v>
      </c>
      <c r="AQ1369" s="55" t="s">
        <v>1545</v>
      </c>
      <c r="AR1369" s="55" t="s">
        <v>132</v>
      </c>
      <c r="AS1369" s="55" t="s">
        <v>1575</v>
      </c>
      <c r="AT1369" s="181" t="s">
        <v>912</v>
      </c>
      <c r="AU1369" s="181" t="s">
        <v>5150</v>
      </c>
      <c r="AV1369" s="185" t="s">
        <v>176</v>
      </c>
      <c r="AW1369" s="55" t="s">
        <v>912</v>
      </c>
      <c r="AX1369" s="185" t="s">
        <v>176</v>
      </c>
      <c r="AY1369" s="55" t="s">
        <v>176</v>
      </c>
      <c r="AZ1369" s="55" t="s">
        <v>229</v>
      </c>
      <c r="BA1369" s="55" t="s">
        <v>229</v>
      </c>
      <c r="BB1369" s="55" t="s">
        <v>2081</v>
      </c>
      <c r="BC1369" s="55" t="s">
        <v>2081</v>
      </c>
      <c r="BD1369" s="55" t="s">
        <v>176</v>
      </c>
      <c r="BK1369" s="55" t="s">
        <v>5976</v>
      </c>
      <c r="BM1369" s="192" t="s">
        <v>160</v>
      </c>
      <c r="BN1369" s="55">
        <v>4</v>
      </c>
      <c r="BO1369" s="55">
        <v>4</v>
      </c>
      <c r="BQ1369" s="55" t="s">
        <v>141</v>
      </c>
      <c r="BS1369" s="55">
        <v>1515</v>
      </c>
      <c r="BU1369" s="55" t="s">
        <v>895</v>
      </c>
      <c r="EK1369" s="90">
        <v>3.37</v>
      </c>
      <c r="EL1369" s="90">
        <v>3.61</v>
      </c>
      <c r="EO1369" s="65" t="s">
        <v>900</v>
      </c>
      <c r="EU1369" s="65">
        <v>2.1</v>
      </c>
      <c r="EV1369" s="65">
        <v>2.27</v>
      </c>
      <c r="EY1369" s="65" t="s">
        <v>913</v>
      </c>
      <c r="FY1369" s="65">
        <v>18.100000000000001</v>
      </c>
      <c r="FZ1369" s="65">
        <v>16</v>
      </c>
      <c r="GD1369" s="65">
        <f>32.7/1.42</f>
        <v>23.028169014084511</v>
      </c>
      <c r="GE1369" s="65">
        <f>36.6/1.42</f>
        <v>25.774647887323948</v>
      </c>
      <c r="GH1369" s="65" t="s">
        <v>908</v>
      </c>
      <c r="GP1369" s="292" t="s">
        <v>7494</v>
      </c>
      <c r="JU1369" s="55" t="s">
        <v>911</v>
      </c>
      <c r="JW1369" s="55" t="s">
        <v>837</v>
      </c>
    </row>
    <row r="1370" spans="1:283" x14ac:dyDescent="0.25">
      <c r="A1370" s="55">
        <v>1369</v>
      </c>
      <c r="B1370" s="12" t="s">
        <v>7067</v>
      </c>
      <c r="C1370" s="155">
        <v>61</v>
      </c>
      <c r="D1370" s="55" t="s">
        <v>3949</v>
      </c>
      <c r="E1370" s="90" t="s">
        <v>889</v>
      </c>
      <c r="G1370" s="55" t="s">
        <v>890</v>
      </c>
      <c r="H1370" s="55">
        <v>2003</v>
      </c>
      <c r="I1370" s="55">
        <v>2002</v>
      </c>
      <c r="J1370" s="55" t="s">
        <v>891</v>
      </c>
      <c r="K1370" s="55" t="s">
        <v>892</v>
      </c>
      <c r="L1370" s="55" t="s">
        <v>2737</v>
      </c>
      <c r="M1370" s="90">
        <v>38.74</v>
      </c>
      <c r="N1370" s="90">
        <v>-87.49</v>
      </c>
      <c r="O1370" s="90">
        <v>130</v>
      </c>
      <c r="R1370" s="55">
        <v>1420</v>
      </c>
      <c r="U1370" s="55">
        <v>3</v>
      </c>
      <c r="V1370" s="55" t="s">
        <v>1688</v>
      </c>
      <c r="Y1370" s="55" t="s">
        <v>897</v>
      </c>
      <c r="Z1370" s="55" t="s">
        <v>1349</v>
      </c>
      <c r="AA1370" s="90" t="s">
        <v>1677</v>
      </c>
      <c r="AD1370" s="90">
        <v>1.44</v>
      </c>
      <c r="AH1370" s="55" t="s">
        <v>6378</v>
      </c>
      <c r="AM1370" s="55" t="s">
        <v>1291</v>
      </c>
      <c r="AN1370" s="185" t="s">
        <v>1491</v>
      </c>
      <c r="AO1370" s="185" t="s">
        <v>5150</v>
      </c>
      <c r="AQ1370" s="55" t="s">
        <v>1545</v>
      </c>
      <c r="AR1370" s="55" t="s">
        <v>158</v>
      </c>
      <c r="AS1370" s="55" t="s">
        <v>1575</v>
      </c>
      <c r="AT1370" s="181" t="s">
        <v>912</v>
      </c>
      <c r="AU1370" s="181" t="s">
        <v>5150</v>
      </c>
      <c r="AV1370" s="185" t="s">
        <v>176</v>
      </c>
      <c r="AW1370" s="55" t="s">
        <v>912</v>
      </c>
      <c r="AX1370" s="185" t="s">
        <v>176</v>
      </c>
      <c r="AY1370" s="55" t="s">
        <v>176</v>
      </c>
      <c r="AZ1370" s="55" t="s">
        <v>156</v>
      </c>
      <c r="BA1370" s="55" t="s">
        <v>156</v>
      </c>
      <c r="BB1370" s="55" t="s">
        <v>2082</v>
      </c>
      <c r="BC1370" s="55" t="s">
        <v>2082</v>
      </c>
      <c r="BD1370" s="55" t="s">
        <v>176</v>
      </c>
      <c r="BK1370" s="55" t="s">
        <v>6269</v>
      </c>
      <c r="BM1370" s="192" t="s">
        <v>160</v>
      </c>
      <c r="BN1370" s="55">
        <v>4</v>
      </c>
      <c r="BO1370" s="55">
        <v>4</v>
      </c>
      <c r="BQ1370" s="55" t="s">
        <v>141</v>
      </c>
      <c r="BS1370" s="55">
        <v>1233</v>
      </c>
      <c r="BU1370" s="55" t="s">
        <v>894</v>
      </c>
      <c r="CH1370" s="90">
        <v>1.6</v>
      </c>
      <c r="CI1370" s="90">
        <v>1.56</v>
      </c>
      <c r="EK1370" s="90">
        <v>3.17</v>
      </c>
      <c r="EL1370" s="90">
        <v>3.15</v>
      </c>
      <c r="EO1370" s="65" t="s">
        <v>900</v>
      </c>
      <c r="EP1370" s="65">
        <v>7.22</v>
      </c>
      <c r="EQ1370" s="65">
        <v>8.42</v>
      </c>
      <c r="ET1370" s="65" t="s">
        <v>898</v>
      </c>
      <c r="EU1370" s="65">
        <v>2.66</v>
      </c>
      <c r="EV1370" s="65">
        <v>2.76</v>
      </c>
      <c r="EY1370" s="65" t="s">
        <v>913</v>
      </c>
      <c r="FY1370" s="65">
        <v>18.100000000000001</v>
      </c>
      <c r="FZ1370" s="65">
        <v>17</v>
      </c>
      <c r="GD1370" s="65">
        <f>30.3/1.42</f>
        <v>21.338028169014088</v>
      </c>
      <c r="GE1370" s="65">
        <f>32.1/1.42</f>
        <v>22.605633802816904</v>
      </c>
      <c r="GH1370" s="65" t="s">
        <v>908</v>
      </c>
      <c r="GP1370" s="292" t="s">
        <v>7494</v>
      </c>
      <c r="JU1370" s="55" t="s">
        <v>911</v>
      </c>
      <c r="JW1370" s="55" t="s">
        <v>837</v>
      </c>
    </row>
    <row r="1371" spans="1:283" x14ac:dyDescent="0.25">
      <c r="A1371" s="55">
        <v>1370</v>
      </c>
      <c r="B1371" s="12" t="s">
        <v>7067</v>
      </c>
      <c r="C1371" s="155">
        <v>61</v>
      </c>
      <c r="D1371" s="55" t="s">
        <v>3950</v>
      </c>
      <c r="E1371" s="90" t="s">
        <v>889</v>
      </c>
      <c r="G1371" s="55" t="s">
        <v>890</v>
      </c>
      <c r="H1371" s="55">
        <v>2003</v>
      </c>
      <c r="I1371" s="55">
        <v>2002</v>
      </c>
      <c r="J1371" s="55" t="s">
        <v>891</v>
      </c>
      <c r="K1371" s="55" t="s">
        <v>892</v>
      </c>
      <c r="L1371" s="55" t="s">
        <v>2737</v>
      </c>
      <c r="M1371" s="90">
        <v>38.74</v>
      </c>
      <c r="N1371" s="90">
        <v>-87.49</v>
      </c>
      <c r="O1371" s="90">
        <v>130</v>
      </c>
      <c r="R1371" s="55">
        <v>1420</v>
      </c>
      <c r="U1371" s="55">
        <v>3</v>
      </c>
      <c r="V1371" s="55" t="s">
        <v>1688</v>
      </c>
      <c r="Y1371" s="55" t="s">
        <v>897</v>
      </c>
      <c r="Z1371" s="55" t="s">
        <v>1349</v>
      </c>
      <c r="AA1371" s="90" t="s">
        <v>1677</v>
      </c>
      <c r="AD1371" s="90">
        <v>1.44</v>
      </c>
      <c r="AH1371" s="55" t="s">
        <v>6378</v>
      </c>
      <c r="AM1371" s="55" t="s">
        <v>1291</v>
      </c>
      <c r="AN1371" s="185" t="s">
        <v>1491</v>
      </c>
      <c r="AO1371" s="185" t="s">
        <v>5150</v>
      </c>
      <c r="AQ1371" s="55" t="s">
        <v>1545</v>
      </c>
      <c r="AR1371" s="55" t="s">
        <v>132</v>
      </c>
      <c r="AS1371" s="55" t="s">
        <v>1575</v>
      </c>
      <c r="AT1371" s="181" t="s">
        <v>912</v>
      </c>
      <c r="AU1371" s="181" t="s">
        <v>5150</v>
      </c>
      <c r="AV1371" s="185" t="s">
        <v>176</v>
      </c>
      <c r="AW1371" s="55" t="s">
        <v>912</v>
      </c>
      <c r="AX1371" s="185" t="s">
        <v>176</v>
      </c>
      <c r="AY1371" s="55" t="s">
        <v>176</v>
      </c>
      <c r="AZ1371" s="55" t="s">
        <v>156</v>
      </c>
      <c r="BA1371" s="55" t="s">
        <v>156</v>
      </c>
      <c r="BB1371" s="55" t="s">
        <v>2082</v>
      </c>
      <c r="BC1371" s="55" t="s">
        <v>2082</v>
      </c>
      <c r="BD1371" s="55" t="s">
        <v>176</v>
      </c>
      <c r="BK1371" s="55" t="s">
        <v>6269</v>
      </c>
      <c r="BM1371" s="192" t="s">
        <v>160</v>
      </c>
      <c r="BN1371" s="55">
        <v>4</v>
      </c>
      <c r="BO1371" s="55">
        <v>4</v>
      </c>
      <c r="BQ1371" s="55" t="s">
        <v>141</v>
      </c>
      <c r="BS1371" s="55">
        <v>1381</v>
      </c>
      <c r="BU1371" s="55" t="s">
        <v>895</v>
      </c>
      <c r="CH1371" s="90">
        <v>1.6</v>
      </c>
      <c r="CI1371" s="90">
        <v>1.6</v>
      </c>
      <c r="EK1371" s="90">
        <v>3.17</v>
      </c>
      <c r="EL1371" s="90">
        <v>3.29</v>
      </c>
      <c r="EO1371" s="65" t="s">
        <v>900</v>
      </c>
      <c r="EP1371" s="65">
        <v>7.22</v>
      </c>
      <c r="EQ1371" s="65">
        <v>6.85</v>
      </c>
      <c r="ET1371" s="65" t="s">
        <v>898</v>
      </c>
      <c r="EU1371" s="65">
        <v>2.66</v>
      </c>
      <c r="EV1371" s="65">
        <v>2.5499999999999998</v>
      </c>
      <c r="EY1371" s="65" t="s">
        <v>913</v>
      </c>
      <c r="FY1371" s="65">
        <v>18.100000000000001</v>
      </c>
      <c r="FZ1371" s="65">
        <v>16.2</v>
      </c>
      <c r="GD1371" s="65">
        <f>30.3/1.42</f>
        <v>21.338028169014088</v>
      </c>
      <c r="GE1371" s="65">
        <f>34.5/1.42</f>
        <v>24.295774647887324</v>
      </c>
      <c r="GH1371" s="65" t="s">
        <v>908</v>
      </c>
      <c r="GP1371" s="292" t="s">
        <v>7494</v>
      </c>
      <c r="JU1371" s="55" t="s">
        <v>911</v>
      </c>
      <c r="JW1371" s="55" t="s">
        <v>837</v>
      </c>
    </row>
    <row r="1372" spans="1:283" x14ac:dyDescent="0.25">
      <c r="A1372" s="55">
        <v>1371</v>
      </c>
      <c r="B1372" s="12" t="s">
        <v>7067</v>
      </c>
      <c r="C1372" s="155">
        <v>61</v>
      </c>
      <c r="D1372" s="55" t="s">
        <v>3947</v>
      </c>
      <c r="E1372" s="90" t="s">
        <v>889</v>
      </c>
      <c r="G1372" s="55" t="s">
        <v>890</v>
      </c>
      <c r="H1372" s="55">
        <v>2003</v>
      </c>
      <c r="I1372" s="55">
        <v>2002</v>
      </c>
      <c r="J1372" s="55" t="s">
        <v>891</v>
      </c>
      <c r="K1372" s="55" t="s">
        <v>893</v>
      </c>
      <c r="L1372" s="55" t="s">
        <v>2737</v>
      </c>
      <c r="M1372" s="90">
        <v>40.299999999999997</v>
      </c>
      <c r="N1372" s="90">
        <v>-86.9</v>
      </c>
      <c r="O1372" s="90">
        <v>221</v>
      </c>
      <c r="R1372" s="55">
        <v>1118</v>
      </c>
      <c r="U1372" s="55">
        <v>3</v>
      </c>
      <c r="V1372" s="55" t="s">
        <v>1688</v>
      </c>
      <c r="Y1372" s="55" t="s">
        <v>896</v>
      </c>
      <c r="Z1372" s="55" t="s">
        <v>1349</v>
      </c>
      <c r="AA1372" s="90" t="s">
        <v>1677</v>
      </c>
      <c r="AD1372" s="90">
        <v>1.42</v>
      </c>
      <c r="AH1372" s="55" t="s">
        <v>6378</v>
      </c>
      <c r="AM1372" s="55" t="s">
        <v>1291</v>
      </c>
      <c r="AN1372" s="185" t="s">
        <v>1491</v>
      </c>
      <c r="AO1372" s="185" t="s">
        <v>5150</v>
      </c>
      <c r="AQ1372" s="55" t="s">
        <v>1545</v>
      </c>
      <c r="AR1372" s="55" t="s">
        <v>158</v>
      </c>
      <c r="AS1372" s="55" t="s">
        <v>1575</v>
      </c>
      <c r="AT1372" s="181" t="s">
        <v>912</v>
      </c>
      <c r="AU1372" s="181" t="s">
        <v>5150</v>
      </c>
      <c r="AV1372" s="185" t="s">
        <v>176</v>
      </c>
      <c r="AW1372" s="55" t="s">
        <v>912</v>
      </c>
      <c r="AX1372" s="185" t="s">
        <v>176</v>
      </c>
      <c r="AY1372" s="55" t="s">
        <v>176</v>
      </c>
      <c r="AZ1372" s="55" t="s">
        <v>229</v>
      </c>
      <c r="BA1372" s="55" t="s">
        <v>229</v>
      </c>
      <c r="BB1372" s="55" t="s">
        <v>2081</v>
      </c>
      <c r="BC1372" s="55" t="s">
        <v>2081</v>
      </c>
      <c r="BD1372" s="55" t="s">
        <v>176</v>
      </c>
      <c r="BK1372" s="55" t="s">
        <v>5976</v>
      </c>
      <c r="BM1372" s="192" t="s">
        <v>160</v>
      </c>
      <c r="BN1372" s="55">
        <v>4</v>
      </c>
      <c r="BO1372" s="55">
        <v>4</v>
      </c>
      <c r="BQ1372" s="55" t="s">
        <v>141</v>
      </c>
      <c r="BU1372" s="55" t="s">
        <v>894</v>
      </c>
      <c r="CH1372" s="90">
        <v>1.38</v>
      </c>
      <c r="CI1372" s="90">
        <v>1.35</v>
      </c>
      <c r="EK1372" s="90">
        <v>1.9</v>
      </c>
      <c r="EL1372" s="90">
        <v>2.12</v>
      </c>
      <c r="EO1372" s="65" t="s">
        <v>900</v>
      </c>
      <c r="EP1372" s="65">
        <v>43.26</v>
      </c>
      <c r="EQ1372" s="65">
        <v>43.03</v>
      </c>
      <c r="ET1372" s="65" t="s">
        <v>898</v>
      </c>
      <c r="EU1372" s="65">
        <v>1.52</v>
      </c>
      <c r="EV1372" s="65">
        <v>1.52</v>
      </c>
      <c r="EY1372" s="65" t="s">
        <v>913</v>
      </c>
      <c r="FY1372" s="65">
        <v>17.5</v>
      </c>
      <c r="FZ1372" s="65">
        <v>17.600000000000001</v>
      </c>
      <c r="GD1372" s="65">
        <f>35.4/1.42</f>
        <v>24.929577464788732</v>
      </c>
      <c r="GE1372" s="65">
        <f>33/1.42</f>
        <v>23.239436619718312</v>
      </c>
      <c r="GH1372" s="65" t="s">
        <v>909</v>
      </c>
      <c r="GP1372" s="292" t="s">
        <v>7494</v>
      </c>
      <c r="JU1372" s="55" t="s">
        <v>911</v>
      </c>
      <c r="JW1372" s="55" t="s">
        <v>837</v>
      </c>
    </row>
    <row r="1373" spans="1:283" x14ac:dyDescent="0.25">
      <c r="A1373" s="55">
        <v>1372</v>
      </c>
      <c r="B1373" s="12" t="s">
        <v>7067</v>
      </c>
      <c r="C1373" s="155">
        <v>61</v>
      </c>
      <c r="D1373" s="55" t="s">
        <v>3948</v>
      </c>
      <c r="E1373" s="90" t="s">
        <v>889</v>
      </c>
      <c r="G1373" s="55" t="s">
        <v>890</v>
      </c>
      <c r="H1373" s="55">
        <v>2003</v>
      </c>
      <c r="I1373" s="55">
        <v>2002</v>
      </c>
      <c r="J1373" s="55" t="s">
        <v>891</v>
      </c>
      <c r="K1373" s="55" t="s">
        <v>893</v>
      </c>
      <c r="L1373" s="55" t="s">
        <v>2737</v>
      </c>
      <c r="M1373" s="90">
        <v>40.299999999999997</v>
      </c>
      <c r="N1373" s="90">
        <v>-86.9</v>
      </c>
      <c r="O1373" s="90">
        <v>221</v>
      </c>
      <c r="R1373" s="55">
        <v>1118</v>
      </c>
      <c r="U1373" s="55">
        <v>3</v>
      </c>
      <c r="V1373" s="55" t="s">
        <v>1688</v>
      </c>
      <c r="Y1373" s="55" t="s">
        <v>896</v>
      </c>
      <c r="Z1373" s="55" t="s">
        <v>1349</v>
      </c>
      <c r="AA1373" s="90" t="s">
        <v>1677</v>
      </c>
      <c r="AD1373" s="90">
        <v>1.42</v>
      </c>
      <c r="AH1373" s="55" t="s">
        <v>6378</v>
      </c>
      <c r="AM1373" s="55" t="s">
        <v>1291</v>
      </c>
      <c r="AN1373" s="185" t="s">
        <v>1491</v>
      </c>
      <c r="AO1373" s="185" t="s">
        <v>5150</v>
      </c>
      <c r="AQ1373" s="55" t="s">
        <v>1545</v>
      </c>
      <c r="AR1373" s="55" t="s">
        <v>132</v>
      </c>
      <c r="AS1373" s="55" t="s">
        <v>1575</v>
      </c>
      <c r="AT1373" s="181" t="s">
        <v>912</v>
      </c>
      <c r="AU1373" s="181" t="s">
        <v>5150</v>
      </c>
      <c r="AV1373" s="185" t="s">
        <v>176</v>
      </c>
      <c r="AW1373" s="55" t="s">
        <v>912</v>
      </c>
      <c r="AX1373" s="185" t="s">
        <v>176</v>
      </c>
      <c r="AY1373" s="55" t="s">
        <v>176</v>
      </c>
      <c r="AZ1373" s="55" t="s">
        <v>229</v>
      </c>
      <c r="BA1373" s="55" t="s">
        <v>229</v>
      </c>
      <c r="BB1373" s="55" t="s">
        <v>2081</v>
      </c>
      <c r="BC1373" s="55" t="s">
        <v>2081</v>
      </c>
      <c r="BD1373" s="55" t="s">
        <v>176</v>
      </c>
      <c r="BK1373" s="55" t="s">
        <v>5976</v>
      </c>
      <c r="BM1373" s="192" t="s">
        <v>160</v>
      </c>
      <c r="BN1373" s="55">
        <v>4</v>
      </c>
      <c r="BO1373" s="55">
        <v>4</v>
      </c>
      <c r="BQ1373" s="55" t="s">
        <v>141</v>
      </c>
      <c r="BU1373" s="55" t="s">
        <v>895</v>
      </c>
      <c r="CH1373" s="90">
        <v>1.38</v>
      </c>
      <c r="CI1373" s="90">
        <v>1.39</v>
      </c>
      <c r="EK1373" s="90">
        <v>1.9</v>
      </c>
      <c r="EL1373" s="90">
        <v>2.39</v>
      </c>
      <c r="EO1373" s="65" t="s">
        <v>900</v>
      </c>
      <c r="EP1373" s="65">
        <v>43.26</v>
      </c>
      <c r="EQ1373" s="65">
        <v>46.55</v>
      </c>
      <c r="ET1373" s="65" t="s">
        <v>898</v>
      </c>
      <c r="EU1373" s="65">
        <v>1.52</v>
      </c>
      <c r="EV1373" s="65">
        <v>1.29</v>
      </c>
      <c r="EY1373" s="65" t="s">
        <v>913</v>
      </c>
      <c r="FY1373" s="65">
        <v>17.5</v>
      </c>
      <c r="FZ1373" s="65">
        <v>17.100000000000001</v>
      </c>
      <c r="GD1373" s="65">
        <f>35.4/1.42</f>
        <v>24.929577464788732</v>
      </c>
      <c r="GE1373" s="65">
        <f>36.9/1.42</f>
        <v>25.985915492957748</v>
      </c>
      <c r="GH1373" s="65" t="s">
        <v>909</v>
      </c>
      <c r="GP1373" s="292" t="s">
        <v>7494</v>
      </c>
      <c r="JU1373" s="55" t="s">
        <v>911</v>
      </c>
      <c r="JW1373" s="55" t="s">
        <v>837</v>
      </c>
    </row>
    <row r="1374" spans="1:283" x14ac:dyDescent="0.25">
      <c r="A1374" s="55">
        <v>1373</v>
      </c>
      <c r="B1374" s="12" t="s">
        <v>7067</v>
      </c>
      <c r="C1374" s="155">
        <v>61</v>
      </c>
      <c r="D1374" s="55" t="s">
        <v>3949</v>
      </c>
      <c r="E1374" s="90" t="s">
        <v>889</v>
      </c>
      <c r="G1374" s="55" t="s">
        <v>890</v>
      </c>
      <c r="H1374" s="55">
        <v>2003</v>
      </c>
      <c r="I1374" s="55">
        <v>2002</v>
      </c>
      <c r="J1374" s="55" t="s">
        <v>891</v>
      </c>
      <c r="K1374" s="55" t="s">
        <v>893</v>
      </c>
      <c r="L1374" s="55" t="s">
        <v>2737</v>
      </c>
      <c r="M1374" s="90">
        <v>40.299999999999997</v>
      </c>
      <c r="N1374" s="90">
        <v>-86.9</v>
      </c>
      <c r="O1374" s="90">
        <v>221</v>
      </c>
      <c r="R1374" s="55">
        <v>1118</v>
      </c>
      <c r="U1374" s="55">
        <v>3</v>
      </c>
      <c r="V1374" s="55" t="s">
        <v>1688</v>
      </c>
      <c r="Y1374" s="55" t="s">
        <v>896</v>
      </c>
      <c r="Z1374" s="55" t="s">
        <v>1349</v>
      </c>
      <c r="AA1374" s="90" t="s">
        <v>1677</v>
      </c>
      <c r="AD1374" s="90">
        <v>1.42</v>
      </c>
      <c r="AH1374" s="55" t="s">
        <v>6378</v>
      </c>
      <c r="AM1374" s="55" t="s">
        <v>1291</v>
      </c>
      <c r="AN1374" s="185" t="s">
        <v>1491</v>
      </c>
      <c r="AO1374" s="185" t="s">
        <v>5150</v>
      </c>
      <c r="AQ1374" s="55" t="s">
        <v>1545</v>
      </c>
      <c r="AR1374" s="55" t="s">
        <v>158</v>
      </c>
      <c r="AS1374" s="55" t="s">
        <v>1575</v>
      </c>
      <c r="AT1374" s="181" t="s">
        <v>912</v>
      </c>
      <c r="AU1374" s="181" t="s">
        <v>5150</v>
      </c>
      <c r="AV1374" s="185" t="s">
        <v>176</v>
      </c>
      <c r="AW1374" s="55" t="s">
        <v>912</v>
      </c>
      <c r="AX1374" s="185" t="s">
        <v>176</v>
      </c>
      <c r="AY1374" s="55" t="s">
        <v>176</v>
      </c>
      <c r="AZ1374" s="55" t="s">
        <v>156</v>
      </c>
      <c r="BA1374" s="55" t="s">
        <v>156</v>
      </c>
      <c r="BB1374" s="55" t="s">
        <v>2082</v>
      </c>
      <c r="BC1374" s="55" t="s">
        <v>2082</v>
      </c>
      <c r="BD1374" s="55" t="s">
        <v>176</v>
      </c>
      <c r="BK1374" s="55" t="s">
        <v>6269</v>
      </c>
      <c r="BM1374" s="192" t="s">
        <v>160</v>
      </c>
      <c r="BN1374" s="55">
        <v>4</v>
      </c>
      <c r="BO1374" s="55">
        <v>4</v>
      </c>
      <c r="BQ1374" s="55" t="s">
        <v>141</v>
      </c>
      <c r="BU1374" s="55" t="s">
        <v>894</v>
      </c>
      <c r="CH1374" s="90">
        <v>1.52</v>
      </c>
      <c r="CI1374" s="90">
        <v>1.49</v>
      </c>
      <c r="EK1374" s="90">
        <v>1.63</v>
      </c>
      <c r="EL1374" s="90">
        <v>1.72</v>
      </c>
      <c r="EO1374" s="65" t="s">
        <v>900</v>
      </c>
      <c r="EP1374" s="65">
        <v>38.43</v>
      </c>
      <c r="EQ1374" s="65">
        <v>39.76</v>
      </c>
      <c r="ET1374" s="65" t="s">
        <v>898</v>
      </c>
      <c r="EU1374" s="65">
        <v>3.12</v>
      </c>
      <c r="EV1374" s="65">
        <v>2.86</v>
      </c>
      <c r="EY1374" s="65" t="s">
        <v>913</v>
      </c>
      <c r="FY1374" s="65">
        <v>17.600000000000001</v>
      </c>
      <c r="FZ1374" s="65">
        <v>16.600000000000001</v>
      </c>
      <c r="GD1374" s="65">
        <f>34.3/1.42</f>
        <v>24.154929577464788</v>
      </c>
      <c r="GE1374" s="65">
        <f>34.4/1.42</f>
        <v>24.225352112676056</v>
      </c>
      <c r="GH1374" s="65" t="s">
        <v>909</v>
      </c>
      <c r="GP1374" s="292" t="s">
        <v>7494</v>
      </c>
      <c r="JU1374" s="55" t="s">
        <v>911</v>
      </c>
      <c r="JW1374" s="55" t="s">
        <v>837</v>
      </c>
    </row>
    <row r="1375" spans="1:283" x14ac:dyDescent="0.25">
      <c r="A1375" s="55">
        <v>1374</v>
      </c>
      <c r="B1375" s="12" t="s">
        <v>7067</v>
      </c>
      <c r="C1375" s="155">
        <v>61</v>
      </c>
      <c r="D1375" s="55" t="s">
        <v>3950</v>
      </c>
      <c r="E1375" s="90" t="s">
        <v>889</v>
      </c>
      <c r="G1375" s="55" t="s">
        <v>890</v>
      </c>
      <c r="H1375" s="55">
        <v>2003</v>
      </c>
      <c r="I1375" s="55">
        <v>2002</v>
      </c>
      <c r="J1375" s="55" t="s">
        <v>891</v>
      </c>
      <c r="K1375" s="55" t="s">
        <v>893</v>
      </c>
      <c r="L1375" s="55" t="s">
        <v>2737</v>
      </c>
      <c r="M1375" s="90">
        <v>40.299999999999997</v>
      </c>
      <c r="N1375" s="90">
        <v>-86.9</v>
      </c>
      <c r="O1375" s="90">
        <v>221</v>
      </c>
      <c r="R1375" s="55">
        <v>1118</v>
      </c>
      <c r="U1375" s="55">
        <v>3</v>
      </c>
      <c r="V1375" s="55" t="s">
        <v>1688</v>
      </c>
      <c r="Y1375" s="55" t="s">
        <v>896</v>
      </c>
      <c r="Z1375" s="55" t="s">
        <v>1349</v>
      </c>
      <c r="AA1375" s="90" t="s">
        <v>1677</v>
      </c>
      <c r="AD1375" s="90">
        <v>1.42</v>
      </c>
      <c r="AH1375" s="55" t="s">
        <v>6378</v>
      </c>
      <c r="AM1375" s="55" t="s">
        <v>1291</v>
      </c>
      <c r="AN1375" s="185" t="s">
        <v>1491</v>
      </c>
      <c r="AO1375" s="185" t="s">
        <v>5150</v>
      </c>
      <c r="AQ1375" s="55" t="s">
        <v>1545</v>
      </c>
      <c r="AR1375" s="55" t="s">
        <v>132</v>
      </c>
      <c r="AS1375" s="55" t="s">
        <v>1575</v>
      </c>
      <c r="AT1375" s="181" t="s">
        <v>912</v>
      </c>
      <c r="AU1375" s="181" t="s">
        <v>5150</v>
      </c>
      <c r="AV1375" s="185" t="s">
        <v>176</v>
      </c>
      <c r="AW1375" s="55" t="s">
        <v>912</v>
      </c>
      <c r="AX1375" s="185" t="s">
        <v>176</v>
      </c>
      <c r="AY1375" s="55" t="s">
        <v>176</v>
      </c>
      <c r="AZ1375" s="55" t="s">
        <v>156</v>
      </c>
      <c r="BA1375" s="55" t="s">
        <v>156</v>
      </c>
      <c r="BB1375" s="55" t="s">
        <v>2082</v>
      </c>
      <c r="BC1375" s="55" t="s">
        <v>2082</v>
      </c>
      <c r="BD1375" s="55" t="s">
        <v>176</v>
      </c>
      <c r="BK1375" s="55" t="s">
        <v>6269</v>
      </c>
      <c r="BM1375" s="192" t="s">
        <v>160</v>
      </c>
      <c r="BN1375" s="55">
        <v>4</v>
      </c>
      <c r="BO1375" s="55">
        <v>4</v>
      </c>
      <c r="BQ1375" s="55" t="s">
        <v>141</v>
      </c>
      <c r="BU1375" s="55" t="s">
        <v>895</v>
      </c>
      <c r="CH1375" s="90">
        <v>1.52</v>
      </c>
      <c r="CI1375" s="90">
        <v>1.56</v>
      </c>
      <c r="EK1375" s="90">
        <v>1.63</v>
      </c>
      <c r="EL1375" s="90">
        <v>2.61</v>
      </c>
      <c r="EO1375" s="65" t="s">
        <v>900</v>
      </c>
      <c r="EP1375" s="65">
        <v>38.43</v>
      </c>
      <c r="EQ1375" s="65">
        <v>39.090000000000003</v>
      </c>
      <c r="ET1375" s="65" t="s">
        <v>898</v>
      </c>
      <c r="EU1375" s="65">
        <v>3.12</v>
      </c>
      <c r="EV1375" s="65">
        <v>2.36</v>
      </c>
      <c r="EY1375" s="65" t="s">
        <v>913</v>
      </c>
      <c r="FY1375" s="65">
        <v>17.600000000000001</v>
      </c>
      <c r="FZ1375" s="65">
        <v>15.7</v>
      </c>
      <c r="GD1375" s="65">
        <f>34.3/1.42</f>
        <v>24.154929577464788</v>
      </c>
      <c r="GE1375" s="65">
        <f>35.9/1.42</f>
        <v>25.281690140845072</v>
      </c>
      <c r="GH1375" s="65" t="s">
        <v>909</v>
      </c>
      <c r="GP1375" s="292" t="s">
        <v>7494</v>
      </c>
      <c r="JU1375" s="55" t="s">
        <v>911</v>
      </c>
      <c r="JW1375" s="55" t="s">
        <v>837</v>
      </c>
    </row>
    <row r="1376" spans="1:283" x14ac:dyDescent="0.25">
      <c r="A1376" s="55">
        <v>1375</v>
      </c>
      <c r="B1376" s="12" t="s">
        <v>7067</v>
      </c>
      <c r="C1376" s="155">
        <v>61</v>
      </c>
      <c r="D1376" s="55" t="s">
        <v>3947</v>
      </c>
      <c r="E1376" s="90" t="s">
        <v>889</v>
      </c>
      <c r="G1376" s="55" t="s">
        <v>890</v>
      </c>
      <c r="H1376" s="55">
        <v>2003</v>
      </c>
      <c r="I1376" s="55">
        <v>2002</v>
      </c>
      <c r="J1376" s="55" t="s">
        <v>891</v>
      </c>
      <c r="K1376" s="55" t="s">
        <v>893</v>
      </c>
      <c r="L1376" s="55" t="s">
        <v>2737</v>
      </c>
      <c r="M1376" s="90">
        <v>40.299999999999997</v>
      </c>
      <c r="N1376" s="90">
        <v>-86.9</v>
      </c>
      <c r="O1376" s="90">
        <v>221</v>
      </c>
      <c r="R1376" s="55">
        <v>1118</v>
      </c>
      <c r="U1376" s="55">
        <v>3</v>
      </c>
      <c r="V1376" s="55" t="s">
        <v>1688</v>
      </c>
      <c r="Y1376" s="55" t="s">
        <v>897</v>
      </c>
      <c r="Z1376" s="55" t="s">
        <v>1349</v>
      </c>
      <c r="AA1376" s="90" t="s">
        <v>1677</v>
      </c>
      <c r="AD1376" s="90">
        <v>1.42</v>
      </c>
      <c r="AH1376" s="55" t="s">
        <v>6378</v>
      </c>
      <c r="AM1376" s="55" t="s">
        <v>1291</v>
      </c>
      <c r="AN1376" s="185" t="s">
        <v>1491</v>
      </c>
      <c r="AO1376" s="185" t="s">
        <v>5150</v>
      </c>
      <c r="AQ1376" s="55" t="s">
        <v>1545</v>
      </c>
      <c r="AR1376" s="55" t="s">
        <v>158</v>
      </c>
      <c r="AS1376" s="55" t="s">
        <v>1575</v>
      </c>
      <c r="AT1376" s="181" t="s">
        <v>912</v>
      </c>
      <c r="AU1376" s="181" t="s">
        <v>5150</v>
      </c>
      <c r="AV1376" s="185" t="s">
        <v>176</v>
      </c>
      <c r="AW1376" s="55" t="s">
        <v>912</v>
      </c>
      <c r="AX1376" s="185" t="s">
        <v>176</v>
      </c>
      <c r="AY1376" s="55" t="s">
        <v>176</v>
      </c>
      <c r="AZ1376" s="55" t="s">
        <v>229</v>
      </c>
      <c r="BA1376" s="55" t="s">
        <v>229</v>
      </c>
      <c r="BB1376" s="55" t="s">
        <v>2081</v>
      </c>
      <c r="BC1376" s="55" t="s">
        <v>2081</v>
      </c>
      <c r="BD1376" s="55" t="s">
        <v>176</v>
      </c>
      <c r="BK1376" s="55" t="s">
        <v>5976</v>
      </c>
      <c r="BM1376" s="192" t="s">
        <v>160</v>
      </c>
      <c r="BN1376" s="55">
        <v>4</v>
      </c>
      <c r="BO1376" s="55">
        <v>4</v>
      </c>
      <c r="BQ1376" s="55" t="s">
        <v>141</v>
      </c>
      <c r="BS1376" s="55">
        <v>1543</v>
      </c>
      <c r="BU1376" s="55" t="s">
        <v>894</v>
      </c>
      <c r="CH1376" s="90">
        <v>1.5</v>
      </c>
      <c r="CI1376" s="90">
        <v>1.51</v>
      </c>
      <c r="EK1376" s="90">
        <v>2.74</v>
      </c>
      <c r="EL1376" s="90">
        <v>2.83</v>
      </c>
      <c r="EO1376" s="65" t="s">
        <v>900</v>
      </c>
      <c r="EP1376" s="65">
        <v>13.76</v>
      </c>
      <c r="EQ1376" s="65">
        <v>14.1</v>
      </c>
      <c r="ET1376" s="65" t="s">
        <v>898</v>
      </c>
      <c r="EU1376" s="65">
        <v>2.08</v>
      </c>
      <c r="EV1376" s="65">
        <v>2.19</v>
      </c>
      <c r="EY1376" s="65" t="s">
        <v>913</v>
      </c>
      <c r="FY1376" s="65">
        <v>22.1</v>
      </c>
      <c r="FZ1376" s="65">
        <v>21.3</v>
      </c>
      <c r="GD1376" s="65">
        <f>24.8/1.42</f>
        <v>17.464788732394368</v>
      </c>
      <c r="GE1376" s="65">
        <f>26.3/1.42</f>
        <v>18.52112676056338</v>
      </c>
      <c r="GH1376" s="65" t="s">
        <v>910</v>
      </c>
      <c r="GP1376" s="292" t="s">
        <v>7494</v>
      </c>
      <c r="JU1376" s="55" t="s">
        <v>911</v>
      </c>
      <c r="JW1376" s="55" t="s">
        <v>837</v>
      </c>
    </row>
    <row r="1377" spans="1:283" x14ac:dyDescent="0.25">
      <c r="A1377" s="55">
        <v>1376</v>
      </c>
      <c r="B1377" s="12" t="s">
        <v>7067</v>
      </c>
      <c r="C1377" s="155">
        <v>61</v>
      </c>
      <c r="D1377" s="55" t="s">
        <v>3948</v>
      </c>
      <c r="E1377" s="90" t="s">
        <v>889</v>
      </c>
      <c r="G1377" s="55" t="s">
        <v>890</v>
      </c>
      <c r="H1377" s="55">
        <v>2003</v>
      </c>
      <c r="I1377" s="55">
        <v>2002</v>
      </c>
      <c r="J1377" s="55" t="s">
        <v>891</v>
      </c>
      <c r="K1377" s="55" t="s">
        <v>893</v>
      </c>
      <c r="L1377" s="55" t="s">
        <v>2737</v>
      </c>
      <c r="M1377" s="90">
        <v>40.299999999999997</v>
      </c>
      <c r="N1377" s="90">
        <v>-86.9</v>
      </c>
      <c r="O1377" s="90">
        <v>221</v>
      </c>
      <c r="R1377" s="55">
        <v>1118</v>
      </c>
      <c r="U1377" s="55">
        <v>3</v>
      </c>
      <c r="V1377" s="55" t="s">
        <v>1688</v>
      </c>
      <c r="Y1377" s="55" t="s">
        <v>897</v>
      </c>
      <c r="Z1377" s="55" t="s">
        <v>1349</v>
      </c>
      <c r="AA1377" s="90" t="s">
        <v>1677</v>
      </c>
      <c r="AD1377" s="90">
        <v>1.42</v>
      </c>
      <c r="AH1377" s="55" t="s">
        <v>6378</v>
      </c>
      <c r="AM1377" s="55" t="s">
        <v>1291</v>
      </c>
      <c r="AN1377" s="185" t="s">
        <v>1491</v>
      </c>
      <c r="AO1377" s="185" t="s">
        <v>5150</v>
      </c>
      <c r="AQ1377" s="55" t="s">
        <v>1545</v>
      </c>
      <c r="AR1377" s="55" t="s">
        <v>132</v>
      </c>
      <c r="AS1377" s="55" t="s">
        <v>1575</v>
      </c>
      <c r="AT1377" s="181" t="s">
        <v>912</v>
      </c>
      <c r="AU1377" s="181" t="s">
        <v>5150</v>
      </c>
      <c r="AV1377" s="185" t="s">
        <v>176</v>
      </c>
      <c r="AW1377" s="55" t="s">
        <v>912</v>
      </c>
      <c r="AX1377" s="185" t="s">
        <v>176</v>
      </c>
      <c r="AY1377" s="55" t="s">
        <v>176</v>
      </c>
      <c r="AZ1377" s="55" t="s">
        <v>229</v>
      </c>
      <c r="BA1377" s="55" t="s">
        <v>229</v>
      </c>
      <c r="BB1377" s="55" t="s">
        <v>2081</v>
      </c>
      <c r="BC1377" s="55" t="s">
        <v>2081</v>
      </c>
      <c r="BD1377" s="55" t="s">
        <v>176</v>
      </c>
      <c r="BK1377" s="55" t="s">
        <v>5976</v>
      </c>
      <c r="BM1377" s="192" t="s">
        <v>160</v>
      </c>
      <c r="BN1377" s="55">
        <v>4</v>
      </c>
      <c r="BO1377" s="55">
        <v>4</v>
      </c>
      <c r="BQ1377" s="55" t="s">
        <v>141</v>
      </c>
      <c r="BS1377" s="55">
        <v>2513</v>
      </c>
      <c r="BU1377" s="55" t="s">
        <v>895</v>
      </c>
      <c r="CH1377" s="90">
        <v>1.5</v>
      </c>
      <c r="CI1377" s="90">
        <v>1.42</v>
      </c>
      <c r="EK1377" s="90">
        <v>2.74</v>
      </c>
      <c r="EL1377" s="90">
        <v>3.14</v>
      </c>
      <c r="EO1377" s="65" t="s">
        <v>900</v>
      </c>
      <c r="EP1377" s="65">
        <v>13.76</v>
      </c>
      <c r="EQ1377" s="65">
        <v>17.18</v>
      </c>
      <c r="ET1377" s="65" t="s">
        <v>898</v>
      </c>
      <c r="EU1377" s="65">
        <v>2.08</v>
      </c>
      <c r="EV1377" s="65">
        <v>2</v>
      </c>
      <c r="EY1377" s="65" t="s">
        <v>913</v>
      </c>
      <c r="FY1377" s="65">
        <v>22.1</v>
      </c>
      <c r="FZ1377" s="65">
        <v>18.899999999999999</v>
      </c>
      <c r="GD1377" s="65">
        <f>24.8/1.42</f>
        <v>17.464788732394368</v>
      </c>
      <c r="GE1377" s="65">
        <f>29/1.42</f>
        <v>20.422535211267608</v>
      </c>
      <c r="GH1377" s="65" t="s">
        <v>910</v>
      </c>
      <c r="GP1377" s="292" t="s">
        <v>7494</v>
      </c>
      <c r="JU1377" s="55" t="s">
        <v>911</v>
      </c>
      <c r="JW1377" s="55" t="s">
        <v>837</v>
      </c>
    </row>
    <row r="1378" spans="1:283" x14ac:dyDescent="0.25">
      <c r="A1378" s="55">
        <v>1377</v>
      </c>
      <c r="B1378" s="12" t="s">
        <v>7067</v>
      </c>
      <c r="C1378" s="155">
        <v>61</v>
      </c>
      <c r="D1378" s="55" t="s">
        <v>3949</v>
      </c>
      <c r="E1378" s="90" t="s">
        <v>889</v>
      </c>
      <c r="G1378" s="55" t="s">
        <v>890</v>
      </c>
      <c r="H1378" s="55">
        <v>2003</v>
      </c>
      <c r="I1378" s="55">
        <v>2002</v>
      </c>
      <c r="J1378" s="55" t="s">
        <v>891</v>
      </c>
      <c r="K1378" s="55" t="s">
        <v>893</v>
      </c>
      <c r="L1378" s="55" t="s">
        <v>2737</v>
      </c>
      <c r="M1378" s="90">
        <v>40.299999999999997</v>
      </c>
      <c r="N1378" s="90">
        <v>-86.9</v>
      </c>
      <c r="O1378" s="90">
        <v>221</v>
      </c>
      <c r="R1378" s="55">
        <v>1118</v>
      </c>
      <c r="U1378" s="55">
        <v>3</v>
      </c>
      <c r="V1378" s="55" t="s">
        <v>1688</v>
      </c>
      <c r="Y1378" s="55" t="s">
        <v>897</v>
      </c>
      <c r="Z1378" s="55" t="s">
        <v>1349</v>
      </c>
      <c r="AA1378" s="90" t="s">
        <v>1677</v>
      </c>
      <c r="AD1378" s="90">
        <v>1.42</v>
      </c>
      <c r="AH1378" s="55" t="s">
        <v>6378</v>
      </c>
      <c r="AM1378" s="55" t="s">
        <v>1291</v>
      </c>
      <c r="AN1378" s="185" t="s">
        <v>1491</v>
      </c>
      <c r="AO1378" s="185" t="s">
        <v>5150</v>
      </c>
      <c r="AQ1378" s="55" t="s">
        <v>1545</v>
      </c>
      <c r="AR1378" s="55" t="s">
        <v>158</v>
      </c>
      <c r="AS1378" s="55" t="s">
        <v>1575</v>
      </c>
      <c r="AT1378" s="181" t="s">
        <v>912</v>
      </c>
      <c r="AU1378" s="181" t="s">
        <v>5150</v>
      </c>
      <c r="AV1378" s="185" t="s">
        <v>176</v>
      </c>
      <c r="AW1378" s="55" t="s">
        <v>912</v>
      </c>
      <c r="AX1378" s="185" t="s">
        <v>176</v>
      </c>
      <c r="AY1378" s="55" t="s">
        <v>176</v>
      </c>
      <c r="AZ1378" s="55" t="s">
        <v>156</v>
      </c>
      <c r="BA1378" s="55" t="s">
        <v>156</v>
      </c>
      <c r="BB1378" s="55" t="s">
        <v>2082</v>
      </c>
      <c r="BC1378" s="55" t="s">
        <v>2082</v>
      </c>
      <c r="BD1378" s="55" t="s">
        <v>176</v>
      </c>
      <c r="BK1378" s="55" t="s">
        <v>6269</v>
      </c>
      <c r="BM1378" s="192" t="s">
        <v>160</v>
      </c>
      <c r="BN1378" s="55">
        <v>4</v>
      </c>
      <c r="BO1378" s="55">
        <v>4</v>
      </c>
      <c r="BQ1378" s="55" t="s">
        <v>141</v>
      </c>
      <c r="BS1378" s="55">
        <v>2096</v>
      </c>
      <c r="BU1378" s="55" t="s">
        <v>894</v>
      </c>
      <c r="CH1378" s="90">
        <v>1.63</v>
      </c>
      <c r="CI1378" s="90">
        <v>1.6</v>
      </c>
      <c r="EK1378" s="90">
        <v>3.15</v>
      </c>
      <c r="EL1378" s="90">
        <v>2.79</v>
      </c>
      <c r="EO1378" s="65" t="s">
        <v>900</v>
      </c>
      <c r="EP1378" s="65">
        <v>9.2899999999999991</v>
      </c>
      <c r="EQ1378" s="65">
        <v>10.32</v>
      </c>
      <c r="ET1378" s="65" t="s">
        <v>898</v>
      </c>
      <c r="EU1378" s="65">
        <v>2.91</v>
      </c>
      <c r="EV1378" s="65">
        <v>2.64</v>
      </c>
      <c r="EY1378" s="65" t="s">
        <v>913</v>
      </c>
      <c r="FY1378" s="65">
        <v>22.1</v>
      </c>
      <c r="FZ1378" s="65">
        <v>20.6</v>
      </c>
      <c r="GD1378" s="65">
        <f>23.5/1.42</f>
        <v>16.549295774647888</v>
      </c>
      <c r="GE1378" s="65">
        <f>24.5/1.42</f>
        <v>17.253521126760564</v>
      </c>
      <c r="GH1378" s="65" t="s">
        <v>910</v>
      </c>
      <c r="GP1378" s="292" t="s">
        <v>7494</v>
      </c>
      <c r="JU1378" s="55" t="s">
        <v>911</v>
      </c>
      <c r="JW1378" s="55" t="s">
        <v>837</v>
      </c>
    </row>
    <row r="1379" spans="1:283" x14ac:dyDescent="0.25">
      <c r="A1379" s="55">
        <v>1378</v>
      </c>
      <c r="B1379" s="12" t="s">
        <v>7067</v>
      </c>
      <c r="C1379" s="155">
        <v>61</v>
      </c>
      <c r="D1379" s="55" t="s">
        <v>3950</v>
      </c>
      <c r="E1379" s="90" t="s">
        <v>889</v>
      </c>
      <c r="G1379" s="55" t="s">
        <v>890</v>
      </c>
      <c r="H1379" s="55">
        <v>2003</v>
      </c>
      <c r="I1379" s="55">
        <v>2002</v>
      </c>
      <c r="J1379" s="55" t="s">
        <v>891</v>
      </c>
      <c r="K1379" s="55" t="s">
        <v>893</v>
      </c>
      <c r="L1379" s="55" t="s">
        <v>2737</v>
      </c>
      <c r="M1379" s="90">
        <v>40.299999999999997</v>
      </c>
      <c r="N1379" s="90">
        <v>-86.9</v>
      </c>
      <c r="O1379" s="90">
        <v>221</v>
      </c>
      <c r="R1379" s="55">
        <v>1118</v>
      </c>
      <c r="U1379" s="55">
        <v>3</v>
      </c>
      <c r="V1379" s="55" t="s">
        <v>1688</v>
      </c>
      <c r="Y1379" s="55" t="s">
        <v>897</v>
      </c>
      <c r="Z1379" s="55" t="s">
        <v>1349</v>
      </c>
      <c r="AA1379" s="90" t="s">
        <v>1677</v>
      </c>
      <c r="AD1379" s="90">
        <v>1.42</v>
      </c>
      <c r="AH1379" s="55" t="s">
        <v>6378</v>
      </c>
      <c r="AM1379" s="55" t="s">
        <v>1291</v>
      </c>
      <c r="AN1379" s="185" t="s">
        <v>1491</v>
      </c>
      <c r="AO1379" s="185" t="s">
        <v>5150</v>
      </c>
      <c r="AQ1379" s="55" t="s">
        <v>1545</v>
      </c>
      <c r="AR1379" s="55" t="s">
        <v>132</v>
      </c>
      <c r="AS1379" s="55" t="s">
        <v>1575</v>
      </c>
      <c r="AT1379" s="181" t="s">
        <v>912</v>
      </c>
      <c r="AU1379" s="181" t="s">
        <v>5150</v>
      </c>
      <c r="AV1379" s="185" t="s">
        <v>176</v>
      </c>
      <c r="AW1379" s="55" t="s">
        <v>912</v>
      </c>
      <c r="AX1379" s="185" t="s">
        <v>176</v>
      </c>
      <c r="AY1379" s="55" t="s">
        <v>176</v>
      </c>
      <c r="AZ1379" s="55" t="s">
        <v>156</v>
      </c>
      <c r="BA1379" s="55" t="s">
        <v>156</v>
      </c>
      <c r="BB1379" s="55" t="s">
        <v>2082</v>
      </c>
      <c r="BC1379" s="55" t="s">
        <v>2082</v>
      </c>
      <c r="BD1379" s="55" t="s">
        <v>176</v>
      </c>
      <c r="BK1379" s="55" t="s">
        <v>6269</v>
      </c>
      <c r="BM1379" s="192" t="s">
        <v>160</v>
      </c>
      <c r="BN1379" s="55">
        <v>4</v>
      </c>
      <c r="BO1379" s="55">
        <v>4</v>
      </c>
      <c r="BQ1379" s="55" t="s">
        <v>141</v>
      </c>
      <c r="BS1379" s="55">
        <v>2833</v>
      </c>
      <c r="BU1379" s="55" t="s">
        <v>895</v>
      </c>
      <c r="CH1379" s="90">
        <v>1.63</v>
      </c>
      <c r="CI1379" s="90">
        <v>1.61</v>
      </c>
      <c r="EK1379" s="90">
        <v>3.15</v>
      </c>
      <c r="EL1379" s="90">
        <v>3.09</v>
      </c>
      <c r="EO1379" s="65" t="s">
        <v>900</v>
      </c>
      <c r="EP1379" s="65">
        <v>9.2899999999999991</v>
      </c>
      <c r="EQ1379" s="65">
        <v>8.94</v>
      </c>
      <c r="ET1379" s="65" t="s">
        <v>898</v>
      </c>
      <c r="EU1379" s="65">
        <v>2.91</v>
      </c>
      <c r="EV1379" s="65">
        <v>2.36</v>
      </c>
      <c r="EY1379" s="65" t="s">
        <v>913</v>
      </c>
      <c r="FY1379" s="65">
        <v>22.1</v>
      </c>
      <c r="FZ1379" s="65">
        <v>19.399999999999999</v>
      </c>
      <c r="GD1379" s="65">
        <f>23.5/1.42</f>
        <v>16.549295774647888</v>
      </c>
      <c r="GE1379" s="65">
        <f>26.7/1.42</f>
        <v>18.802816901408452</v>
      </c>
      <c r="GH1379" s="65" t="s">
        <v>910</v>
      </c>
      <c r="GP1379" s="292" t="s">
        <v>7494</v>
      </c>
      <c r="JU1379" s="55" t="s">
        <v>911</v>
      </c>
      <c r="JW1379" s="55" t="s">
        <v>837</v>
      </c>
    </row>
    <row r="1380" spans="1:283" x14ac:dyDescent="0.25">
      <c r="A1380" s="55">
        <v>1379</v>
      </c>
      <c r="B1380" s="12" t="s">
        <v>7067</v>
      </c>
      <c r="C1380" s="155">
        <v>62</v>
      </c>
      <c r="D1380" s="55" t="s">
        <v>3951</v>
      </c>
      <c r="E1380" s="90" t="s">
        <v>914</v>
      </c>
      <c r="G1380" s="55" t="s">
        <v>915</v>
      </c>
      <c r="H1380" s="55">
        <v>2004</v>
      </c>
      <c r="I1380" s="55">
        <v>1998</v>
      </c>
      <c r="J1380" s="55" t="s">
        <v>916</v>
      </c>
      <c r="K1380" s="55" t="s">
        <v>917</v>
      </c>
      <c r="L1380" s="55" t="s">
        <v>2737</v>
      </c>
      <c r="M1380" s="90">
        <v>44.24</v>
      </c>
      <c r="N1380" s="90">
        <v>-95.31</v>
      </c>
      <c r="O1380" s="90">
        <v>344.5</v>
      </c>
      <c r="S1380" s="90">
        <v>670</v>
      </c>
      <c r="U1380" s="55">
        <v>1</v>
      </c>
      <c r="V1380" s="55">
        <v>5</v>
      </c>
      <c r="Y1380" s="55" t="s">
        <v>1947</v>
      </c>
      <c r="Z1380" s="55" t="s">
        <v>1378</v>
      </c>
      <c r="AA1380" s="90" t="s">
        <v>1689</v>
      </c>
      <c r="AH1380" s="55" t="s">
        <v>645</v>
      </c>
      <c r="AM1380" s="55" t="s">
        <v>1314</v>
      </c>
      <c r="AN1380" s="185" t="s">
        <v>1527</v>
      </c>
      <c r="AO1380" s="185" t="s">
        <v>5150</v>
      </c>
      <c r="AQ1380" s="55" t="s">
        <v>131</v>
      </c>
      <c r="AR1380" s="55" t="s">
        <v>158</v>
      </c>
      <c r="AS1380" s="55" t="s">
        <v>1575</v>
      </c>
      <c r="AU1380" s="181" t="s">
        <v>7494</v>
      </c>
      <c r="AV1380" s="185" t="s">
        <v>176</v>
      </c>
      <c r="AX1380" s="185" t="s">
        <v>176</v>
      </c>
      <c r="AZ1380" s="55" t="s">
        <v>919</v>
      </c>
      <c r="BA1380" s="55" t="s">
        <v>919</v>
      </c>
      <c r="BB1380" s="55" t="s">
        <v>2081</v>
      </c>
      <c r="BC1380" s="55" t="s">
        <v>2081</v>
      </c>
      <c r="BD1380" s="55" t="s">
        <v>176</v>
      </c>
      <c r="BE1380" s="226" t="s">
        <v>918</v>
      </c>
      <c r="BF1380" s="191" t="s">
        <v>479</v>
      </c>
      <c r="BG1380" s="55" t="s">
        <v>479</v>
      </c>
      <c r="BH1380" s="226" t="s">
        <v>918</v>
      </c>
      <c r="BI1380" s="55" t="s">
        <v>479</v>
      </c>
      <c r="BJ1380" s="55" t="s">
        <v>176</v>
      </c>
      <c r="BK1380" s="55" t="s">
        <v>5976</v>
      </c>
      <c r="BM1380" s="192" t="s">
        <v>119</v>
      </c>
      <c r="BN1380" s="55">
        <v>4</v>
      </c>
      <c r="BO1380" s="55">
        <v>4</v>
      </c>
      <c r="BQ1380" s="55" t="s">
        <v>141</v>
      </c>
      <c r="BS1380" s="55">
        <v>1000</v>
      </c>
      <c r="BT1380" s="55">
        <f>100/2.7</f>
        <v>37.037037037037038</v>
      </c>
      <c r="FT1380" s="65">
        <v>29.86</v>
      </c>
      <c r="FU1380" s="65">
        <v>23</v>
      </c>
      <c r="FV1380" s="65">
        <f>(44.9-29.864)</f>
        <v>15.035999999999998</v>
      </c>
      <c r="FW1380" s="65">
        <f>(30-23)</f>
        <v>7</v>
      </c>
      <c r="FX1380" s="65" t="s">
        <v>1645</v>
      </c>
      <c r="GP1380" s="292" t="s">
        <v>7494</v>
      </c>
      <c r="JW1380" s="55" t="s">
        <v>1948</v>
      </c>
    </row>
    <row r="1381" spans="1:283" x14ac:dyDescent="0.25">
      <c r="A1381" s="55">
        <v>1380</v>
      </c>
      <c r="B1381" s="12" t="s">
        <v>7067</v>
      </c>
      <c r="C1381" s="155">
        <v>62</v>
      </c>
      <c r="D1381" s="55" t="s">
        <v>3952</v>
      </c>
      <c r="E1381" s="90" t="s">
        <v>914</v>
      </c>
      <c r="G1381" s="55" t="s">
        <v>915</v>
      </c>
      <c r="H1381" s="55">
        <v>2004</v>
      </c>
      <c r="I1381" s="55">
        <v>1998</v>
      </c>
      <c r="J1381" s="55" t="s">
        <v>916</v>
      </c>
      <c r="K1381" s="55" t="s">
        <v>917</v>
      </c>
      <c r="L1381" s="55" t="s">
        <v>2737</v>
      </c>
      <c r="M1381" s="90">
        <v>44.24</v>
      </c>
      <c r="N1381" s="90">
        <v>-95.31</v>
      </c>
      <c r="O1381" s="90">
        <v>344.5</v>
      </c>
      <c r="S1381" s="90">
        <v>670</v>
      </c>
      <c r="U1381" s="55">
        <v>1</v>
      </c>
      <c r="V1381" s="55">
        <v>5</v>
      </c>
      <c r="Y1381" s="55" t="s">
        <v>1947</v>
      </c>
      <c r="Z1381" s="55" t="s">
        <v>1378</v>
      </c>
      <c r="AA1381" s="90" t="s">
        <v>1689</v>
      </c>
      <c r="AH1381" s="55" t="s">
        <v>645</v>
      </c>
      <c r="AM1381" s="55" t="s">
        <v>1314</v>
      </c>
      <c r="AN1381" s="185" t="s">
        <v>1527</v>
      </c>
      <c r="AO1381" s="185" t="s">
        <v>5150</v>
      </c>
      <c r="AQ1381" s="55" t="s">
        <v>131</v>
      </c>
      <c r="AR1381" s="55" t="s">
        <v>132</v>
      </c>
      <c r="AS1381" s="55" t="s">
        <v>1575</v>
      </c>
      <c r="AU1381" s="181" t="s">
        <v>7494</v>
      </c>
      <c r="AV1381" s="185" t="s">
        <v>176</v>
      </c>
      <c r="AX1381" s="185" t="s">
        <v>176</v>
      </c>
      <c r="AZ1381" s="55" t="s">
        <v>919</v>
      </c>
      <c r="BA1381" s="55" t="s">
        <v>919</v>
      </c>
      <c r="BB1381" s="55" t="s">
        <v>2081</v>
      </c>
      <c r="BC1381" s="55" t="s">
        <v>2081</v>
      </c>
      <c r="BD1381" s="55" t="s">
        <v>176</v>
      </c>
      <c r="BE1381" s="226" t="s">
        <v>918</v>
      </c>
      <c r="BF1381" s="191" t="s">
        <v>479</v>
      </c>
      <c r="BG1381" s="55" t="s">
        <v>479</v>
      </c>
      <c r="BH1381" s="226" t="s">
        <v>918</v>
      </c>
      <c r="BI1381" s="55" t="s">
        <v>479</v>
      </c>
      <c r="BJ1381" s="55" t="s">
        <v>176</v>
      </c>
      <c r="BK1381" s="55" t="s">
        <v>5976</v>
      </c>
      <c r="BM1381" s="192" t="s">
        <v>119</v>
      </c>
      <c r="BN1381" s="55">
        <v>4</v>
      </c>
      <c r="BO1381" s="55">
        <v>4</v>
      </c>
      <c r="BQ1381" s="55" t="s">
        <v>141</v>
      </c>
      <c r="BS1381" s="55">
        <v>1000</v>
      </c>
      <c r="BT1381" s="55">
        <f>100/2.7</f>
        <v>37.037037037037038</v>
      </c>
      <c r="FT1381" s="65">
        <v>24</v>
      </c>
      <c r="FU1381" s="65">
        <v>24</v>
      </c>
      <c r="FV1381" s="65">
        <f>(33.9-24)</f>
        <v>9.8999999999999986</v>
      </c>
      <c r="FW1381" s="65">
        <f>(31-24)</f>
        <v>7</v>
      </c>
      <c r="FX1381" s="65" t="s">
        <v>1645</v>
      </c>
      <c r="GP1381" s="292" t="s">
        <v>7494</v>
      </c>
      <c r="JW1381" s="55" t="s">
        <v>1948</v>
      </c>
    </row>
    <row r="1382" spans="1:283" x14ac:dyDescent="0.25">
      <c r="A1382" s="55">
        <v>1381</v>
      </c>
      <c r="B1382" s="12" t="s">
        <v>7067</v>
      </c>
      <c r="C1382" s="155">
        <v>62</v>
      </c>
      <c r="D1382" s="55" t="s">
        <v>3951</v>
      </c>
      <c r="E1382" s="90" t="s">
        <v>914</v>
      </c>
      <c r="G1382" s="55" t="s">
        <v>915</v>
      </c>
      <c r="H1382" s="55">
        <v>2004</v>
      </c>
      <c r="I1382" s="55">
        <v>1999</v>
      </c>
      <c r="J1382" s="55" t="s">
        <v>916</v>
      </c>
      <c r="K1382" s="55" t="s">
        <v>917</v>
      </c>
      <c r="L1382" s="55" t="s">
        <v>2737</v>
      </c>
      <c r="M1382" s="90">
        <v>44.24</v>
      </c>
      <c r="N1382" s="90">
        <v>-95.31</v>
      </c>
      <c r="O1382" s="90">
        <v>344.5</v>
      </c>
      <c r="S1382" s="90">
        <v>670</v>
      </c>
      <c r="U1382" s="55">
        <v>2</v>
      </c>
      <c r="V1382" s="55" t="s">
        <v>1682</v>
      </c>
      <c r="Y1382" s="55" t="s">
        <v>1947</v>
      </c>
      <c r="Z1382" s="55" t="s">
        <v>1378</v>
      </c>
      <c r="AA1382" s="90" t="s">
        <v>1689</v>
      </c>
      <c r="AH1382" s="55" t="s">
        <v>645</v>
      </c>
      <c r="AM1382" s="55" t="s">
        <v>1314</v>
      </c>
      <c r="AN1382" s="185" t="s">
        <v>1527</v>
      </c>
      <c r="AO1382" s="185" t="s">
        <v>5150</v>
      </c>
      <c r="AQ1382" s="55" t="s">
        <v>131</v>
      </c>
      <c r="AR1382" s="55" t="s">
        <v>158</v>
      </c>
      <c r="AS1382" s="55" t="s">
        <v>1575</v>
      </c>
      <c r="AU1382" s="181" t="s">
        <v>7494</v>
      </c>
      <c r="AV1382" s="185" t="s">
        <v>176</v>
      </c>
      <c r="AX1382" s="185" t="s">
        <v>176</v>
      </c>
      <c r="AZ1382" s="55" t="s">
        <v>919</v>
      </c>
      <c r="BA1382" s="55" t="s">
        <v>919</v>
      </c>
      <c r="BB1382" s="55" t="s">
        <v>2081</v>
      </c>
      <c r="BC1382" s="55" t="s">
        <v>2081</v>
      </c>
      <c r="BD1382" s="55" t="s">
        <v>176</v>
      </c>
      <c r="BE1382" s="226" t="s">
        <v>918</v>
      </c>
      <c r="BF1382" s="191" t="s">
        <v>479</v>
      </c>
      <c r="BG1382" s="55" t="s">
        <v>479</v>
      </c>
      <c r="BH1382" s="226" t="s">
        <v>918</v>
      </c>
      <c r="BI1382" s="55" t="s">
        <v>479</v>
      </c>
      <c r="BJ1382" s="55" t="s">
        <v>176</v>
      </c>
      <c r="BK1382" s="55" t="s">
        <v>5976</v>
      </c>
      <c r="BM1382" s="192" t="s">
        <v>119</v>
      </c>
      <c r="BN1382" s="55">
        <v>4</v>
      </c>
      <c r="BO1382" s="55">
        <v>4</v>
      </c>
      <c r="BQ1382" s="55" t="s">
        <v>141</v>
      </c>
      <c r="BS1382" s="55">
        <v>2700</v>
      </c>
      <c r="BT1382" s="55">
        <f>100/2.5</f>
        <v>40</v>
      </c>
      <c r="CB1382" s="66">
        <v>2700</v>
      </c>
      <c r="CC1382" s="66">
        <v>2700</v>
      </c>
      <c r="GP1382" s="292" t="s">
        <v>7494</v>
      </c>
      <c r="JW1382" s="55" t="s">
        <v>1948</v>
      </c>
    </row>
    <row r="1383" spans="1:283" x14ac:dyDescent="0.25">
      <c r="A1383" s="55">
        <v>1382</v>
      </c>
      <c r="B1383" s="12" t="s">
        <v>7067</v>
      </c>
      <c r="C1383" s="155">
        <v>62</v>
      </c>
      <c r="D1383" s="55" t="s">
        <v>3952</v>
      </c>
      <c r="E1383" s="90" t="s">
        <v>914</v>
      </c>
      <c r="G1383" s="55" t="s">
        <v>915</v>
      </c>
      <c r="H1383" s="55">
        <v>2004</v>
      </c>
      <c r="I1383" s="55">
        <v>1999</v>
      </c>
      <c r="J1383" s="55" t="s">
        <v>916</v>
      </c>
      <c r="K1383" s="55" t="s">
        <v>917</v>
      </c>
      <c r="L1383" s="55" t="s">
        <v>2737</v>
      </c>
      <c r="M1383" s="90">
        <v>44.24</v>
      </c>
      <c r="N1383" s="90">
        <v>-95.31</v>
      </c>
      <c r="O1383" s="90">
        <v>344.5</v>
      </c>
      <c r="S1383" s="90">
        <v>670</v>
      </c>
      <c r="U1383" s="55">
        <v>2</v>
      </c>
      <c r="V1383" s="55" t="s">
        <v>1682</v>
      </c>
      <c r="Y1383" s="55" t="s">
        <v>1947</v>
      </c>
      <c r="Z1383" s="55" t="s">
        <v>1378</v>
      </c>
      <c r="AA1383" s="90" t="s">
        <v>1689</v>
      </c>
      <c r="AH1383" s="55" t="s">
        <v>645</v>
      </c>
      <c r="AM1383" s="55" t="s">
        <v>1314</v>
      </c>
      <c r="AN1383" s="185" t="s">
        <v>1527</v>
      </c>
      <c r="AO1383" s="185" t="s">
        <v>5150</v>
      </c>
      <c r="AQ1383" s="55" t="s">
        <v>131</v>
      </c>
      <c r="AR1383" s="55" t="s">
        <v>132</v>
      </c>
      <c r="AS1383" s="55" t="s">
        <v>1575</v>
      </c>
      <c r="AU1383" s="181" t="s">
        <v>7494</v>
      </c>
      <c r="AV1383" s="185" t="s">
        <v>176</v>
      </c>
      <c r="AX1383" s="185" t="s">
        <v>176</v>
      </c>
      <c r="AZ1383" s="55" t="s">
        <v>919</v>
      </c>
      <c r="BA1383" s="55" t="s">
        <v>919</v>
      </c>
      <c r="BB1383" s="55" t="s">
        <v>2081</v>
      </c>
      <c r="BC1383" s="55" t="s">
        <v>2081</v>
      </c>
      <c r="BD1383" s="55" t="s">
        <v>176</v>
      </c>
      <c r="BE1383" s="226" t="s">
        <v>918</v>
      </c>
      <c r="BF1383" s="191" t="s">
        <v>479</v>
      </c>
      <c r="BG1383" s="55" t="s">
        <v>479</v>
      </c>
      <c r="BH1383" s="226" t="s">
        <v>918</v>
      </c>
      <c r="BI1383" s="55" t="s">
        <v>479</v>
      </c>
      <c r="BJ1383" s="55" t="s">
        <v>176</v>
      </c>
      <c r="BK1383" s="55" t="s">
        <v>5976</v>
      </c>
      <c r="BM1383" s="192" t="s">
        <v>119</v>
      </c>
      <c r="BN1383" s="55">
        <v>4</v>
      </c>
      <c r="BO1383" s="55">
        <v>4</v>
      </c>
      <c r="BQ1383" s="55" t="s">
        <v>141</v>
      </c>
      <c r="BS1383" s="55">
        <v>2700</v>
      </c>
      <c r="BT1383" s="55">
        <f>100/2.5</f>
        <v>40</v>
      </c>
      <c r="CB1383" s="66">
        <v>10000</v>
      </c>
      <c r="CC1383" s="66">
        <v>9600</v>
      </c>
      <c r="GP1383" s="292" t="s">
        <v>7494</v>
      </c>
      <c r="JW1383" s="55" t="s">
        <v>1948</v>
      </c>
    </row>
    <row r="1384" spans="1:283" x14ac:dyDescent="0.25">
      <c r="A1384" s="55">
        <v>1383</v>
      </c>
      <c r="B1384" s="12" t="s">
        <v>7067</v>
      </c>
      <c r="C1384" s="155">
        <v>62</v>
      </c>
      <c r="D1384" s="55" t="s">
        <v>3951</v>
      </c>
      <c r="E1384" s="90" t="s">
        <v>914</v>
      </c>
      <c r="G1384" s="55" t="s">
        <v>915</v>
      </c>
      <c r="H1384" s="55">
        <v>2004</v>
      </c>
      <c r="I1384" s="55">
        <v>2000</v>
      </c>
      <c r="J1384" s="55" t="s">
        <v>916</v>
      </c>
      <c r="K1384" s="55" t="s">
        <v>917</v>
      </c>
      <c r="L1384" s="55" t="s">
        <v>2737</v>
      </c>
      <c r="M1384" s="90">
        <v>44.24</v>
      </c>
      <c r="N1384" s="90">
        <v>-95.31</v>
      </c>
      <c r="O1384" s="90">
        <v>344.5</v>
      </c>
      <c r="S1384" s="90">
        <v>670</v>
      </c>
      <c r="U1384" s="55">
        <v>3</v>
      </c>
      <c r="V1384" s="55">
        <v>5</v>
      </c>
      <c r="Y1384" s="55" t="s">
        <v>1947</v>
      </c>
      <c r="Z1384" s="55" t="s">
        <v>1378</v>
      </c>
      <c r="AA1384" s="90" t="s">
        <v>1689</v>
      </c>
      <c r="AH1384" s="55" t="s">
        <v>645</v>
      </c>
      <c r="AM1384" s="55" t="s">
        <v>1314</v>
      </c>
      <c r="AN1384" s="185" t="s">
        <v>1527</v>
      </c>
      <c r="AO1384" s="185" t="s">
        <v>5150</v>
      </c>
      <c r="AQ1384" s="55" t="s">
        <v>131</v>
      </c>
      <c r="AR1384" s="55" t="s">
        <v>158</v>
      </c>
      <c r="AS1384" s="55" t="s">
        <v>1575</v>
      </c>
      <c r="AU1384" s="181" t="s">
        <v>7494</v>
      </c>
      <c r="AV1384" s="185" t="s">
        <v>176</v>
      </c>
      <c r="AX1384" s="185" t="s">
        <v>176</v>
      </c>
      <c r="AZ1384" s="55" t="s">
        <v>919</v>
      </c>
      <c r="BA1384" s="55" t="s">
        <v>919</v>
      </c>
      <c r="BB1384" s="55" t="s">
        <v>2081</v>
      </c>
      <c r="BC1384" s="55" t="s">
        <v>2081</v>
      </c>
      <c r="BD1384" s="55" t="s">
        <v>176</v>
      </c>
      <c r="BE1384" s="226" t="s">
        <v>918</v>
      </c>
      <c r="BF1384" s="191" t="s">
        <v>479</v>
      </c>
      <c r="BG1384" s="55" t="s">
        <v>479</v>
      </c>
      <c r="BH1384" s="226" t="s">
        <v>918</v>
      </c>
      <c r="BI1384" s="55" t="s">
        <v>479</v>
      </c>
      <c r="BJ1384" s="55" t="s">
        <v>176</v>
      </c>
      <c r="BK1384" s="55" t="s">
        <v>5976</v>
      </c>
      <c r="BM1384" s="192" t="s">
        <v>119</v>
      </c>
      <c r="BN1384" s="55">
        <v>4</v>
      </c>
      <c r="BO1384" s="55">
        <v>4</v>
      </c>
      <c r="BQ1384" s="55" t="s">
        <v>141</v>
      </c>
      <c r="BS1384" s="55">
        <v>1000</v>
      </c>
      <c r="BT1384" s="55">
        <f>100/2.7</f>
        <v>37.037037037037038</v>
      </c>
      <c r="CB1384" s="66">
        <v>3500</v>
      </c>
      <c r="CC1384" s="66">
        <v>3400</v>
      </c>
      <c r="GP1384" s="292" t="s">
        <v>7494</v>
      </c>
      <c r="JW1384" s="55" t="s">
        <v>1948</v>
      </c>
    </row>
    <row r="1385" spans="1:283" x14ac:dyDescent="0.25">
      <c r="A1385" s="55">
        <v>1384</v>
      </c>
      <c r="B1385" s="12" t="s">
        <v>7067</v>
      </c>
      <c r="C1385" s="155">
        <v>62</v>
      </c>
      <c r="D1385" s="55" t="s">
        <v>3952</v>
      </c>
      <c r="E1385" s="90" t="s">
        <v>914</v>
      </c>
      <c r="G1385" s="55" t="s">
        <v>915</v>
      </c>
      <c r="H1385" s="55">
        <v>2004</v>
      </c>
      <c r="I1385" s="55">
        <v>2000</v>
      </c>
      <c r="J1385" s="55" t="s">
        <v>916</v>
      </c>
      <c r="K1385" s="55" t="s">
        <v>917</v>
      </c>
      <c r="L1385" s="55" t="s">
        <v>2737</v>
      </c>
      <c r="M1385" s="90">
        <v>44.24</v>
      </c>
      <c r="N1385" s="90">
        <v>-95.31</v>
      </c>
      <c r="O1385" s="90">
        <v>344.5</v>
      </c>
      <c r="S1385" s="90">
        <v>670</v>
      </c>
      <c r="U1385" s="55">
        <v>3</v>
      </c>
      <c r="V1385" s="55">
        <v>5</v>
      </c>
      <c r="Y1385" s="55" t="s">
        <v>1947</v>
      </c>
      <c r="Z1385" s="55" t="s">
        <v>1378</v>
      </c>
      <c r="AA1385" s="90" t="s">
        <v>1689</v>
      </c>
      <c r="AH1385" s="55" t="s">
        <v>645</v>
      </c>
      <c r="AM1385" s="55" t="s">
        <v>1314</v>
      </c>
      <c r="AN1385" s="185" t="s">
        <v>1527</v>
      </c>
      <c r="AO1385" s="185" t="s">
        <v>5150</v>
      </c>
      <c r="AQ1385" s="55" t="s">
        <v>131</v>
      </c>
      <c r="AR1385" s="55" t="s">
        <v>132</v>
      </c>
      <c r="AS1385" s="55" t="s">
        <v>1575</v>
      </c>
      <c r="AU1385" s="181" t="s">
        <v>7494</v>
      </c>
      <c r="AV1385" s="185" t="s">
        <v>176</v>
      </c>
      <c r="AX1385" s="185" t="s">
        <v>176</v>
      </c>
      <c r="AZ1385" s="55" t="s">
        <v>919</v>
      </c>
      <c r="BA1385" s="55" t="s">
        <v>919</v>
      </c>
      <c r="BB1385" s="55" t="s">
        <v>2081</v>
      </c>
      <c r="BC1385" s="55" t="s">
        <v>2081</v>
      </c>
      <c r="BD1385" s="55" t="s">
        <v>176</v>
      </c>
      <c r="BE1385" s="226" t="s">
        <v>918</v>
      </c>
      <c r="BF1385" s="191" t="s">
        <v>479</v>
      </c>
      <c r="BG1385" s="55" t="s">
        <v>479</v>
      </c>
      <c r="BH1385" s="226" t="s">
        <v>918</v>
      </c>
      <c r="BI1385" s="55" t="s">
        <v>479</v>
      </c>
      <c r="BJ1385" s="55" t="s">
        <v>176</v>
      </c>
      <c r="BK1385" s="55" t="s">
        <v>5976</v>
      </c>
      <c r="BM1385" s="192" t="s">
        <v>119</v>
      </c>
      <c r="BN1385" s="55">
        <v>4</v>
      </c>
      <c r="BO1385" s="55">
        <v>4</v>
      </c>
      <c r="BQ1385" s="55" t="s">
        <v>141</v>
      </c>
      <c r="BS1385" s="55">
        <v>1000</v>
      </c>
      <c r="BT1385" s="55">
        <f>100/2.7</f>
        <v>37.037037037037038</v>
      </c>
      <c r="CB1385" s="66">
        <v>9800</v>
      </c>
      <c r="CC1385" s="66">
        <v>9700</v>
      </c>
      <c r="GP1385" s="292" t="s">
        <v>7494</v>
      </c>
      <c r="JW1385" s="55" t="s">
        <v>1948</v>
      </c>
    </row>
    <row r="1386" spans="1:283" x14ac:dyDescent="0.25">
      <c r="A1386" s="55">
        <v>1385</v>
      </c>
      <c r="B1386" s="12" t="s">
        <v>7067</v>
      </c>
      <c r="C1386" s="155">
        <v>62</v>
      </c>
      <c r="D1386" s="55" t="s">
        <v>3951</v>
      </c>
      <c r="E1386" s="90" t="s">
        <v>914</v>
      </c>
      <c r="G1386" s="55" t="s">
        <v>915</v>
      </c>
      <c r="H1386" s="55">
        <v>2004</v>
      </c>
      <c r="I1386" s="55">
        <v>2001</v>
      </c>
      <c r="J1386" s="55" t="s">
        <v>916</v>
      </c>
      <c r="K1386" s="55" t="s">
        <v>917</v>
      </c>
      <c r="L1386" s="55" t="s">
        <v>2737</v>
      </c>
      <c r="M1386" s="90">
        <v>44.24</v>
      </c>
      <c r="N1386" s="90">
        <v>-95.31</v>
      </c>
      <c r="O1386" s="90">
        <v>344.5</v>
      </c>
      <c r="S1386" s="90">
        <v>670</v>
      </c>
      <c r="U1386" s="55">
        <v>4</v>
      </c>
      <c r="V1386" s="55" t="s">
        <v>1682</v>
      </c>
      <c r="Y1386" s="55" t="s">
        <v>1947</v>
      </c>
      <c r="Z1386" s="55" t="s">
        <v>1378</v>
      </c>
      <c r="AA1386" s="90" t="s">
        <v>1689</v>
      </c>
      <c r="AH1386" s="55" t="s">
        <v>645</v>
      </c>
      <c r="AM1386" s="55" t="s">
        <v>1314</v>
      </c>
      <c r="AN1386" s="185" t="s">
        <v>1527</v>
      </c>
      <c r="AO1386" s="185" t="s">
        <v>5150</v>
      </c>
      <c r="AQ1386" s="55" t="s">
        <v>131</v>
      </c>
      <c r="AR1386" s="55" t="s">
        <v>158</v>
      </c>
      <c r="AS1386" s="55" t="s">
        <v>1575</v>
      </c>
      <c r="AU1386" s="181" t="s">
        <v>7494</v>
      </c>
      <c r="AV1386" s="185" t="s">
        <v>176</v>
      </c>
      <c r="AX1386" s="185" t="s">
        <v>176</v>
      </c>
      <c r="AZ1386" s="55" t="s">
        <v>919</v>
      </c>
      <c r="BA1386" s="55" t="s">
        <v>919</v>
      </c>
      <c r="BB1386" s="55" t="s">
        <v>2081</v>
      </c>
      <c r="BC1386" s="55" t="s">
        <v>2081</v>
      </c>
      <c r="BD1386" s="55" t="s">
        <v>176</v>
      </c>
      <c r="BE1386" s="226" t="s">
        <v>918</v>
      </c>
      <c r="BF1386" s="191" t="s">
        <v>479</v>
      </c>
      <c r="BG1386" s="55" t="s">
        <v>479</v>
      </c>
      <c r="BH1386" s="226" t="s">
        <v>918</v>
      </c>
      <c r="BI1386" s="55" t="s">
        <v>479</v>
      </c>
      <c r="BJ1386" s="55" t="s">
        <v>176</v>
      </c>
      <c r="BK1386" s="55" t="s">
        <v>5976</v>
      </c>
      <c r="BM1386" s="192" t="s">
        <v>119</v>
      </c>
      <c r="BN1386" s="55">
        <v>4</v>
      </c>
      <c r="BO1386" s="55">
        <v>4</v>
      </c>
      <c r="BQ1386" s="55" t="s">
        <v>141</v>
      </c>
      <c r="BS1386" s="55">
        <v>500</v>
      </c>
      <c r="BT1386" s="55">
        <f>100/3.8</f>
        <v>26.315789473684212</v>
      </c>
      <c r="CB1386" s="66">
        <v>3100</v>
      </c>
      <c r="CC1386" s="66">
        <v>3100</v>
      </c>
      <c r="GP1386" s="292" t="s">
        <v>7494</v>
      </c>
      <c r="JW1386" s="55" t="s">
        <v>1948</v>
      </c>
    </row>
    <row r="1387" spans="1:283" x14ac:dyDescent="0.25">
      <c r="A1387" s="55">
        <v>1386</v>
      </c>
      <c r="B1387" s="12" t="s">
        <v>7067</v>
      </c>
      <c r="C1387" s="155">
        <v>62</v>
      </c>
      <c r="D1387" s="55" t="s">
        <v>3952</v>
      </c>
      <c r="E1387" s="90" t="s">
        <v>914</v>
      </c>
      <c r="G1387" s="55" t="s">
        <v>915</v>
      </c>
      <c r="H1387" s="55">
        <v>2004</v>
      </c>
      <c r="I1387" s="55">
        <v>2001</v>
      </c>
      <c r="J1387" s="55" t="s">
        <v>916</v>
      </c>
      <c r="K1387" s="55" t="s">
        <v>917</v>
      </c>
      <c r="L1387" s="55" t="s">
        <v>2737</v>
      </c>
      <c r="M1387" s="90">
        <v>44.24</v>
      </c>
      <c r="N1387" s="90">
        <v>-95.31</v>
      </c>
      <c r="O1387" s="90">
        <v>344.5</v>
      </c>
      <c r="S1387" s="90">
        <v>670</v>
      </c>
      <c r="U1387" s="55">
        <v>4</v>
      </c>
      <c r="V1387" s="55" t="s">
        <v>1682</v>
      </c>
      <c r="Y1387" s="55" t="s">
        <v>1947</v>
      </c>
      <c r="Z1387" s="55" t="s">
        <v>1378</v>
      </c>
      <c r="AA1387" s="90" t="s">
        <v>1689</v>
      </c>
      <c r="AH1387" s="55" t="s">
        <v>645</v>
      </c>
      <c r="AM1387" s="55" t="s">
        <v>1314</v>
      </c>
      <c r="AN1387" s="185" t="s">
        <v>1527</v>
      </c>
      <c r="AO1387" s="185" t="s">
        <v>5150</v>
      </c>
      <c r="AQ1387" s="55" t="s">
        <v>131</v>
      </c>
      <c r="AR1387" s="55" t="s">
        <v>132</v>
      </c>
      <c r="AS1387" s="55" t="s">
        <v>1575</v>
      </c>
      <c r="AU1387" s="181" t="s">
        <v>7494</v>
      </c>
      <c r="AV1387" s="185" t="s">
        <v>176</v>
      </c>
      <c r="AX1387" s="185" t="s">
        <v>176</v>
      </c>
      <c r="AZ1387" s="55" t="s">
        <v>919</v>
      </c>
      <c r="BA1387" s="55" t="s">
        <v>919</v>
      </c>
      <c r="BB1387" s="55" t="s">
        <v>2081</v>
      </c>
      <c r="BC1387" s="55" t="s">
        <v>2081</v>
      </c>
      <c r="BD1387" s="55" t="s">
        <v>176</v>
      </c>
      <c r="BE1387" s="226" t="s">
        <v>918</v>
      </c>
      <c r="BF1387" s="191" t="s">
        <v>479</v>
      </c>
      <c r="BG1387" s="55" t="s">
        <v>479</v>
      </c>
      <c r="BH1387" s="226" t="s">
        <v>918</v>
      </c>
      <c r="BI1387" s="55" t="s">
        <v>479</v>
      </c>
      <c r="BJ1387" s="55" t="s">
        <v>176</v>
      </c>
      <c r="BK1387" s="55" t="s">
        <v>5976</v>
      </c>
      <c r="BM1387" s="192" t="s">
        <v>119</v>
      </c>
      <c r="BN1387" s="55">
        <v>4</v>
      </c>
      <c r="BO1387" s="55">
        <v>4</v>
      </c>
      <c r="BQ1387" s="55" t="s">
        <v>141</v>
      </c>
      <c r="BS1387" s="55">
        <v>500</v>
      </c>
      <c r="BT1387" s="55">
        <f>100/3.8</f>
        <v>26.315789473684212</v>
      </c>
      <c r="CB1387" s="66">
        <v>7400</v>
      </c>
      <c r="CC1387" s="66">
        <v>7600</v>
      </c>
      <c r="GP1387" s="292" t="s">
        <v>7494</v>
      </c>
      <c r="JW1387" s="55" t="s">
        <v>1948</v>
      </c>
    </row>
    <row r="1388" spans="1:283" x14ac:dyDescent="0.25">
      <c r="A1388" s="55">
        <v>1387</v>
      </c>
      <c r="B1388" s="12" t="s">
        <v>7067</v>
      </c>
      <c r="C1388" s="155">
        <v>63</v>
      </c>
      <c r="D1388" s="55" t="s">
        <v>3953</v>
      </c>
      <c r="E1388" s="90" t="s">
        <v>920</v>
      </c>
      <c r="G1388" s="55" t="s">
        <v>921</v>
      </c>
      <c r="H1388" s="55">
        <v>1993</v>
      </c>
      <c r="I1388" s="55">
        <v>1989</v>
      </c>
      <c r="J1388" s="55" t="s">
        <v>282</v>
      </c>
      <c r="K1388" s="55" t="s">
        <v>922</v>
      </c>
      <c r="L1388" s="55" t="s">
        <v>2737</v>
      </c>
      <c r="M1388" s="90">
        <v>39.03</v>
      </c>
      <c r="N1388" s="90">
        <v>-76.91</v>
      </c>
      <c r="O1388" s="90">
        <v>34.6</v>
      </c>
      <c r="U1388" s="55" t="s">
        <v>1805</v>
      </c>
      <c r="V1388" s="55">
        <v>3</v>
      </c>
      <c r="Y1388" s="55" t="s">
        <v>1949</v>
      </c>
      <c r="Z1388" s="55" t="s">
        <v>1361</v>
      </c>
      <c r="AA1388" s="90" t="s">
        <v>1682</v>
      </c>
      <c r="AH1388" s="55" t="s">
        <v>6378</v>
      </c>
      <c r="AM1388" s="55" t="s">
        <v>1316</v>
      </c>
      <c r="AN1388" s="185" t="s">
        <v>241</v>
      </c>
      <c r="AO1388" s="185" t="s">
        <v>5150</v>
      </c>
      <c r="AQ1388" s="55" t="s">
        <v>553</v>
      </c>
      <c r="AR1388" s="55" t="s">
        <v>1565</v>
      </c>
      <c r="AS1388" s="55" t="s">
        <v>5133</v>
      </c>
      <c r="AU1388" s="181" t="s">
        <v>7494</v>
      </c>
      <c r="AV1388" s="185" t="s">
        <v>176</v>
      </c>
      <c r="AX1388" s="185" t="s">
        <v>176</v>
      </c>
      <c r="BK1388" s="55" t="s">
        <v>5976</v>
      </c>
      <c r="BM1388" s="192" t="s">
        <v>923</v>
      </c>
      <c r="BN1388" s="55">
        <v>4</v>
      </c>
      <c r="BO1388" s="55">
        <v>4</v>
      </c>
      <c r="BQ1388" s="55" t="s">
        <v>141</v>
      </c>
      <c r="BS1388" s="55">
        <v>4620</v>
      </c>
      <c r="BU1388" s="55" t="s">
        <v>1125</v>
      </c>
      <c r="FY1388" s="65">
        <f>(30.2+20.6)/2</f>
        <v>25.4</v>
      </c>
      <c r="FZ1388" s="65">
        <f>(27.6+21.4)/2</f>
        <v>24.5</v>
      </c>
      <c r="GP1388" s="292" t="s">
        <v>7494</v>
      </c>
      <c r="JU1388" s="55" t="s">
        <v>935</v>
      </c>
      <c r="JW1388" s="55" t="s">
        <v>1950</v>
      </c>
    </row>
    <row r="1389" spans="1:283" x14ac:dyDescent="0.25">
      <c r="A1389" s="55">
        <v>1388</v>
      </c>
      <c r="B1389" s="12" t="s">
        <v>7067</v>
      </c>
      <c r="C1389" s="155">
        <v>63</v>
      </c>
      <c r="D1389" s="55" t="s">
        <v>3953</v>
      </c>
      <c r="E1389" s="90" t="s">
        <v>920</v>
      </c>
      <c r="G1389" s="55" t="s">
        <v>921</v>
      </c>
      <c r="H1389" s="55">
        <v>1993</v>
      </c>
      <c r="I1389" s="55">
        <v>1989</v>
      </c>
      <c r="J1389" s="55" t="s">
        <v>282</v>
      </c>
      <c r="K1389" s="55" t="s">
        <v>922</v>
      </c>
      <c r="L1389" s="55" t="s">
        <v>2737</v>
      </c>
      <c r="M1389" s="90">
        <v>39.03</v>
      </c>
      <c r="N1389" s="90">
        <v>-76.91</v>
      </c>
      <c r="O1389" s="90">
        <v>34.6</v>
      </c>
      <c r="U1389" s="55" t="s">
        <v>1805</v>
      </c>
      <c r="V1389" s="55">
        <v>3</v>
      </c>
      <c r="Y1389" s="55" t="s">
        <v>1949</v>
      </c>
      <c r="Z1389" s="55" t="s">
        <v>1361</v>
      </c>
      <c r="AA1389" s="90" t="s">
        <v>1682</v>
      </c>
      <c r="AH1389" s="55" t="s">
        <v>6378</v>
      </c>
      <c r="AM1389" s="55" t="s">
        <v>1316</v>
      </c>
      <c r="AN1389" s="185" t="s">
        <v>241</v>
      </c>
      <c r="AO1389" s="185" t="s">
        <v>5150</v>
      </c>
      <c r="AQ1389" s="55" t="s">
        <v>553</v>
      </c>
      <c r="AR1389" s="55" t="s">
        <v>1565</v>
      </c>
      <c r="AS1389" s="55" t="s">
        <v>5133</v>
      </c>
      <c r="AU1389" s="181" t="s">
        <v>7494</v>
      </c>
      <c r="AV1389" s="185" t="s">
        <v>176</v>
      </c>
      <c r="AX1389" s="185" t="s">
        <v>176</v>
      </c>
      <c r="BK1389" s="55" t="s">
        <v>5976</v>
      </c>
      <c r="BM1389" s="192" t="s">
        <v>923</v>
      </c>
      <c r="BN1389" s="55">
        <v>4</v>
      </c>
      <c r="BO1389" s="55">
        <v>4</v>
      </c>
      <c r="BQ1389" s="55" t="s">
        <v>141</v>
      </c>
      <c r="BS1389" s="55">
        <v>9240</v>
      </c>
      <c r="BU1389" s="55" t="s">
        <v>1125</v>
      </c>
      <c r="FY1389" s="65">
        <f>(30.2+20.6)/2</f>
        <v>25.4</v>
      </c>
      <c r="FZ1389" s="65">
        <f>(26.9+21.1)/2</f>
        <v>24</v>
      </c>
      <c r="GP1389" s="292" t="s">
        <v>7494</v>
      </c>
      <c r="JU1389" s="55" t="s">
        <v>935</v>
      </c>
      <c r="JW1389" s="55" t="s">
        <v>1950</v>
      </c>
    </row>
    <row r="1390" spans="1:283" x14ac:dyDescent="0.25">
      <c r="A1390" s="55">
        <v>1389</v>
      </c>
      <c r="B1390" s="12" t="s">
        <v>7067</v>
      </c>
      <c r="C1390" s="155">
        <v>63</v>
      </c>
      <c r="D1390" s="55" t="s">
        <v>3953</v>
      </c>
      <c r="E1390" s="90" t="s">
        <v>920</v>
      </c>
      <c r="G1390" s="55" t="s">
        <v>921</v>
      </c>
      <c r="H1390" s="55">
        <v>1993</v>
      </c>
      <c r="I1390" s="55">
        <v>1990</v>
      </c>
      <c r="J1390" s="55" t="s">
        <v>282</v>
      </c>
      <c r="K1390" s="55" t="s">
        <v>922</v>
      </c>
      <c r="L1390" s="55" t="s">
        <v>2737</v>
      </c>
      <c r="M1390" s="90">
        <v>39.03</v>
      </c>
      <c r="N1390" s="90">
        <v>-76.91</v>
      </c>
      <c r="O1390" s="90">
        <v>34.6</v>
      </c>
      <c r="U1390" s="55" t="s">
        <v>1688</v>
      </c>
      <c r="V1390" s="55">
        <v>3</v>
      </c>
      <c r="Y1390" s="55" t="s">
        <v>1949</v>
      </c>
      <c r="Z1390" s="55" t="s">
        <v>1361</v>
      </c>
      <c r="AA1390" s="90" t="s">
        <v>1682</v>
      </c>
      <c r="AH1390" s="55" t="s">
        <v>6378</v>
      </c>
      <c r="AM1390" s="55" t="s">
        <v>1316</v>
      </c>
      <c r="AN1390" s="185" t="s">
        <v>241</v>
      </c>
      <c r="AO1390" s="185" t="s">
        <v>5150</v>
      </c>
      <c r="AQ1390" s="55" t="s">
        <v>553</v>
      </c>
      <c r="AR1390" s="55" t="s">
        <v>1565</v>
      </c>
      <c r="AS1390" s="55" t="s">
        <v>5133</v>
      </c>
      <c r="AU1390" s="181" t="s">
        <v>7494</v>
      </c>
      <c r="AV1390" s="185" t="s">
        <v>176</v>
      </c>
      <c r="AX1390" s="185" t="s">
        <v>176</v>
      </c>
      <c r="BK1390" s="55" t="s">
        <v>5976</v>
      </c>
      <c r="BM1390" s="192" t="s">
        <v>923</v>
      </c>
      <c r="BN1390" s="55">
        <v>4</v>
      </c>
      <c r="BO1390" s="55">
        <v>4</v>
      </c>
      <c r="BQ1390" s="55" t="s">
        <v>141</v>
      </c>
      <c r="BS1390" s="55">
        <v>3190</v>
      </c>
      <c r="BU1390" s="55" t="s">
        <v>1125</v>
      </c>
      <c r="FY1390" s="65">
        <f>(26.3+15.5)/2</f>
        <v>20.9</v>
      </c>
      <c r="FZ1390" s="65">
        <f>(23.7+17)/2</f>
        <v>20.350000000000001</v>
      </c>
      <c r="GP1390" s="292" t="s">
        <v>7494</v>
      </c>
      <c r="JU1390" s="55" t="s">
        <v>935</v>
      </c>
      <c r="JW1390" s="55" t="s">
        <v>1950</v>
      </c>
    </row>
    <row r="1391" spans="1:283" x14ac:dyDescent="0.25">
      <c r="A1391" s="55">
        <v>1390</v>
      </c>
      <c r="B1391" s="12" t="s">
        <v>7067</v>
      </c>
      <c r="C1391" s="155">
        <v>63</v>
      </c>
      <c r="D1391" s="55" t="s">
        <v>3953</v>
      </c>
      <c r="E1391" s="90" t="s">
        <v>920</v>
      </c>
      <c r="G1391" s="55" t="s">
        <v>921</v>
      </c>
      <c r="H1391" s="55">
        <v>1993</v>
      </c>
      <c r="I1391" s="55">
        <v>1990</v>
      </c>
      <c r="J1391" s="55" t="s">
        <v>282</v>
      </c>
      <c r="K1391" s="55" t="s">
        <v>922</v>
      </c>
      <c r="L1391" s="55" t="s">
        <v>2737</v>
      </c>
      <c r="M1391" s="90">
        <v>39.03</v>
      </c>
      <c r="N1391" s="90">
        <v>-76.91</v>
      </c>
      <c r="O1391" s="90">
        <v>34.6</v>
      </c>
      <c r="U1391" s="55" t="s">
        <v>1688</v>
      </c>
      <c r="V1391" s="55">
        <v>3</v>
      </c>
      <c r="Y1391" s="55" t="s">
        <v>1949</v>
      </c>
      <c r="Z1391" s="55" t="s">
        <v>1361</v>
      </c>
      <c r="AA1391" s="90" t="s">
        <v>1682</v>
      </c>
      <c r="AH1391" s="55" t="s">
        <v>6378</v>
      </c>
      <c r="AM1391" s="55" t="s">
        <v>1316</v>
      </c>
      <c r="AN1391" s="185" t="s">
        <v>241</v>
      </c>
      <c r="AO1391" s="185" t="s">
        <v>5150</v>
      </c>
      <c r="AQ1391" s="55" t="s">
        <v>553</v>
      </c>
      <c r="AR1391" s="55" t="s">
        <v>1565</v>
      </c>
      <c r="AS1391" s="55" t="s">
        <v>5133</v>
      </c>
      <c r="AU1391" s="181" t="s">
        <v>7494</v>
      </c>
      <c r="AV1391" s="185" t="s">
        <v>176</v>
      </c>
      <c r="AX1391" s="185" t="s">
        <v>176</v>
      </c>
      <c r="BK1391" s="55" t="s">
        <v>5976</v>
      </c>
      <c r="BM1391" s="192" t="s">
        <v>923</v>
      </c>
      <c r="BN1391" s="55">
        <v>4</v>
      </c>
      <c r="BO1391" s="55">
        <v>4</v>
      </c>
      <c r="BQ1391" s="55" t="s">
        <v>141</v>
      </c>
      <c r="BS1391" s="55">
        <v>6380</v>
      </c>
      <c r="BU1391" s="55" t="s">
        <v>1125</v>
      </c>
      <c r="FY1391" s="65">
        <f>(26.3+15.5)/2</f>
        <v>20.9</v>
      </c>
      <c r="FZ1391" s="65">
        <f>(23.6+16.3)/2</f>
        <v>19.950000000000003</v>
      </c>
      <c r="GP1391" s="292" t="s">
        <v>7494</v>
      </c>
      <c r="JU1391" s="55" t="s">
        <v>935</v>
      </c>
      <c r="JW1391" s="55" t="s">
        <v>1950</v>
      </c>
    </row>
    <row r="1392" spans="1:283" x14ac:dyDescent="0.25">
      <c r="A1392" s="55">
        <v>1391</v>
      </c>
      <c r="B1392" s="12" t="s">
        <v>7067</v>
      </c>
      <c r="C1392" s="155">
        <v>63</v>
      </c>
      <c r="D1392" s="55" t="s">
        <v>3954</v>
      </c>
      <c r="E1392" s="90" t="s">
        <v>920</v>
      </c>
      <c r="G1392" s="55" t="s">
        <v>921</v>
      </c>
      <c r="H1392" s="55">
        <v>1993</v>
      </c>
      <c r="I1392" s="55">
        <v>1989</v>
      </c>
      <c r="J1392" s="55" t="s">
        <v>282</v>
      </c>
      <c r="K1392" s="55" t="s">
        <v>938</v>
      </c>
      <c r="L1392" s="55" t="s">
        <v>2737</v>
      </c>
      <c r="M1392" s="90">
        <v>42.44</v>
      </c>
      <c r="N1392" s="90">
        <v>-76.52</v>
      </c>
      <c r="O1392" s="90">
        <v>188.1</v>
      </c>
      <c r="U1392" s="55" t="s">
        <v>1805</v>
      </c>
      <c r="V1392" s="55">
        <v>3</v>
      </c>
      <c r="Y1392" s="55" t="s">
        <v>1949</v>
      </c>
      <c r="Z1392" s="55" t="s">
        <v>1361</v>
      </c>
      <c r="AA1392" s="90" t="s">
        <v>1682</v>
      </c>
      <c r="AH1392" s="55" t="s">
        <v>6378</v>
      </c>
      <c r="AM1392" s="55" t="s">
        <v>1316</v>
      </c>
      <c r="AN1392" s="185" t="s">
        <v>241</v>
      </c>
      <c r="AO1392" s="185" t="s">
        <v>5150</v>
      </c>
      <c r="AQ1392" s="55" t="s">
        <v>553</v>
      </c>
      <c r="AR1392" s="55" t="s">
        <v>1565</v>
      </c>
      <c r="AS1392" s="55" t="s">
        <v>5133</v>
      </c>
      <c r="AU1392" s="181" t="s">
        <v>7494</v>
      </c>
      <c r="AV1392" s="185" t="s">
        <v>176</v>
      </c>
      <c r="AX1392" s="185" t="s">
        <v>176</v>
      </c>
      <c r="BK1392" s="55" t="s">
        <v>5976</v>
      </c>
      <c r="BM1392" s="192" t="s">
        <v>923</v>
      </c>
      <c r="BN1392" s="55">
        <v>6</v>
      </c>
      <c r="BO1392" s="55">
        <v>6</v>
      </c>
      <c r="BQ1392" s="55" t="s">
        <v>141</v>
      </c>
      <c r="BU1392" s="55" t="s">
        <v>1124</v>
      </c>
      <c r="BV1392" s="55" t="s">
        <v>924</v>
      </c>
      <c r="GD1392" s="65">
        <v>22.57</v>
      </c>
      <c r="GE1392" s="65">
        <v>25.324999999999999</v>
      </c>
      <c r="GP1392" s="292" t="s">
        <v>7494</v>
      </c>
      <c r="JU1392" s="55" t="s">
        <v>935</v>
      </c>
      <c r="JW1392" s="55" t="s">
        <v>1951</v>
      </c>
    </row>
    <row r="1393" spans="1:283" x14ac:dyDescent="0.25">
      <c r="A1393" s="55">
        <v>1392</v>
      </c>
      <c r="B1393" s="12" t="s">
        <v>7067</v>
      </c>
      <c r="C1393" s="155">
        <v>63</v>
      </c>
      <c r="D1393" s="55" t="s">
        <v>3954</v>
      </c>
      <c r="E1393" s="90" t="s">
        <v>920</v>
      </c>
      <c r="G1393" s="55" t="s">
        <v>921</v>
      </c>
      <c r="H1393" s="55">
        <v>1993</v>
      </c>
      <c r="I1393" s="55">
        <v>1989</v>
      </c>
      <c r="J1393" s="55" t="s">
        <v>282</v>
      </c>
      <c r="K1393" s="55" t="s">
        <v>938</v>
      </c>
      <c r="L1393" s="55" t="s">
        <v>2737</v>
      </c>
      <c r="M1393" s="90">
        <v>42.44</v>
      </c>
      <c r="N1393" s="90">
        <v>-76.52</v>
      </c>
      <c r="O1393" s="90">
        <v>188.1</v>
      </c>
      <c r="U1393" s="55" t="s">
        <v>1805</v>
      </c>
      <c r="V1393" s="55">
        <v>3</v>
      </c>
      <c r="Y1393" s="55" t="s">
        <v>1949</v>
      </c>
      <c r="Z1393" s="55" t="s">
        <v>1361</v>
      </c>
      <c r="AA1393" s="90" t="s">
        <v>1682</v>
      </c>
      <c r="AH1393" s="55" t="s">
        <v>6378</v>
      </c>
      <c r="AM1393" s="55" t="s">
        <v>1316</v>
      </c>
      <c r="AN1393" s="185" t="s">
        <v>241</v>
      </c>
      <c r="AO1393" s="185" t="s">
        <v>5150</v>
      </c>
      <c r="AQ1393" s="55" t="s">
        <v>553</v>
      </c>
      <c r="AR1393" s="55" t="s">
        <v>1565</v>
      </c>
      <c r="AS1393" s="55" t="s">
        <v>5133</v>
      </c>
      <c r="AU1393" s="181" t="s">
        <v>7494</v>
      </c>
      <c r="AV1393" s="185" t="s">
        <v>176</v>
      </c>
      <c r="AX1393" s="185" t="s">
        <v>176</v>
      </c>
      <c r="BK1393" s="55" t="s">
        <v>5976</v>
      </c>
      <c r="BM1393" s="192" t="s">
        <v>923</v>
      </c>
      <c r="BN1393" s="55">
        <v>6</v>
      </c>
      <c r="BO1393" s="55">
        <v>6</v>
      </c>
      <c r="BQ1393" s="55" t="s">
        <v>141</v>
      </c>
      <c r="BU1393" s="55" t="s">
        <v>1124</v>
      </c>
      <c r="BV1393" s="55" t="s">
        <v>925</v>
      </c>
      <c r="GD1393" s="65">
        <v>24.65</v>
      </c>
      <c r="GE1393" s="65">
        <v>25.1</v>
      </c>
      <c r="GP1393" s="292" t="s">
        <v>7494</v>
      </c>
      <c r="JU1393" s="55" t="s">
        <v>935</v>
      </c>
      <c r="JW1393" s="55" t="s">
        <v>1951</v>
      </c>
    </row>
    <row r="1394" spans="1:283" x14ac:dyDescent="0.25">
      <c r="A1394" s="55">
        <v>1393</v>
      </c>
      <c r="B1394" s="12" t="s">
        <v>7067</v>
      </c>
      <c r="C1394" s="155">
        <v>63</v>
      </c>
      <c r="D1394" s="55" t="s">
        <v>3954</v>
      </c>
      <c r="E1394" s="90" t="s">
        <v>920</v>
      </c>
      <c r="G1394" s="55" t="s">
        <v>921</v>
      </c>
      <c r="H1394" s="55">
        <v>1993</v>
      </c>
      <c r="I1394" s="55">
        <v>1989</v>
      </c>
      <c r="J1394" s="55" t="s">
        <v>282</v>
      </c>
      <c r="K1394" s="55" t="s">
        <v>938</v>
      </c>
      <c r="L1394" s="55" t="s">
        <v>2737</v>
      </c>
      <c r="M1394" s="90">
        <v>42.44</v>
      </c>
      <c r="N1394" s="90">
        <v>-76.52</v>
      </c>
      <c r="O1394" s="90">
        <v>188.1</v>
      </c>
      <c r="U1394" s="55" t="s">
        <v>1805</v>
      </c>
      <c r="V1394" s="55">
        <v>3</v>
      </c>
      <c r="Y1394" s="55" t="s">
        <v>1949</v>
      </c>
      <c r="Z1394" s="55" t="s">
        <v>1361</v>
      </c>
      <c r="AA1394" s="90" t="s">
        <v>1682</v>
      </c>
      <c r="AH1394" s="55" t="s">
        <v>6378</v>
      </c>
      <c r="AM1394" s="55" t="s">
        <v>1316</v>
      </c>
      <c r="AN1394" s="185" t="s">
        <v>241</v>
      </c>
      <c r="AO1394" s="185" t="s">
        <v>5150</v>
      </c>
      <c r="AQ1394" s="55" t="s">
        <v>553</v>
      </c>
      <c r="AR1394" s="55" t="s">
        <v>1565</v>
      </c>
      <c r="AS1394" s="55" t="s">
        <v>5133</v>
      </c>
      <c r="AU1394" s="181" t="s">
        <v>7494</v>
      </c>
      <c r="AV1394" s="185" t="s">
        <v>176</v>
      </c>
      <c r="AX1394" s="185" t="s">
        <v>176</v>
      </c>
      <c r="BK1394" s="55" t="s">
        <v>5976</v>
      </c>
      <c r="BM1394" s="192" t="s">
        <v>923</v>
      </c>
      <c r="BN1394" s="55">
        <v>6</v>
      </c>
      <c r="BO1394" s="55">
        <v>6</v>
      </c>
      <c r="BQ1394" s="55" t="s">
        <v>141</v>
      </c>
      <c r="BU1394" s="55" t="s">
        <v>1124</v>
      </c>
      <c r="BV1394" s="55" t="s">
        <v>926</v>
      </c>
      <c r="GD1394" s="65">
        <v>21.39</v>
      </c>
      <c r="GE1394" s="65">
        <v>25.1</v>
      </c>
      <c r="GP1394" s="292" t="s">
        <v>7494</v>
      </c>
      <c r="JU1394" s="55" t="s">
        <v>935</v>
      </c>
      <c r="JW1394" s="55" t="s">
        <v>1951</v>
      </c>
    </row>
    <row r="1395" spans="1:283" x14ac:dyDescent="0.25">
      <c r="A1395" s="55">
        <v>1394</v>
      </c>
      <c r="B1395" s="12" t="s">
        <v>7067</v>
      </c>
      <c r="C1395" s="155">
        <v>63</v>
      </c>
      <c r="D1395" s="55" t="s">
        <v>3954</v>
      </c>
      <c r="E1395" s="90" t="s">
        <v>920</v>
      </c>
      <c r="G1395" s="55" t="s">
        <v>921</v>
      </c>
      <c r="H1395" s="55">
        <v>1993</v>
      </c>
      <c r="I1395" s="55">
        <v>1989</v>
      </c>
      <c r="J1395" s="55" t="s">
        <v>282</v>
      </c>
      <c r="K1395" s="55" t="s">
        <v>938</v>
      </c>
      <c r="L1395" s="55" t="s">
        <v>2737</v>
      </c>
      <c r="M1395" s="90">
        <v>42.44</v>
      </c>
      <c r="N1395" s="90">
        <v>-76.52</v>
      </c>
      <c r="O1395" s="90">
        <v>188.1</v>
      </c>
      <c r="U1395" s="55" t="s">
        <v>1805</v>
      </c>
      <c r="V1395" s="55">
        <v>3</v>
      </c>
      <c r="Y1395" s="55" t="s">
        <v>1949</v>
      </c>
      <c r="Z1395" s="55" t="s">
        <v>1361</v>
      </c>
      <c r="AA1395" s="90" t="s">
        <v>1682</v>
      </c>
      <c r="AH1395" s="55" t="s">
        <v>6378</v>
      </c>
      <c r="AM1395" s="55" t="s">
        <v>1316</v>
      </c>
      <c r="AN1395" s="185" t="s">
        <v>241</v>
      </c>
      <c r="AO1395" s="185" t="s">
        <v>5150</v>
      </c>
      <c r="AQ1395" s="55" t="s">
        <v>553</v>
      </c>
      <c r="AR1395" s="55" t="s">
        <v>1565</v>
      </c>
      <c r="AS1395" s="55" t="s">
        <v>5133</v>
      </c>
      <c r="AU1395" s="181" t="s">
        <v>7494</v>
      </c>
      <c r="AV1395" s="185" t="s">
        <v>176</v>
      </c>
      <c r="AX1395" s="185" t="s">
        <v>176</v>
      </c>
      <c r="BK1395" s="55" t="s">
        <v>5976</v>
      </c>
      <c r="BM1395" s="192" t="s">
        <v>923</v>
      </c>
      <c r="BN1395" s="55">
        <v>6</v>
      </c>
      <c r="BO1395" s="55">
        <v>6</v>
      </c>
      <c r="BQ1395" s="55" t="s">
        <v>141</v>
      </c>
      <c r="BU1395" s="55" t="s">
        <v>1124</v>
      </c>
      <c r="BV1395" s="55" t="s">
        <v>927</v>
      </c>
      <c r="GD1395" s="65">
        <v>16.59</v>
      </c>
      <c r="GE1395" s="65">
        <v>25.2</v>
      </c>
      <c r="GP1395" s="292" t="s">
        <v>7494</v>
      </c>
      <c r="JU1395" s="55" t="s">
        <v>935</v>
      </c>
      <c r="JW1395" s="55" t="s">
        <v>1951</v>
      </c>
    </row>
    <row r="1396" spans="1:283" x14ac:dyDescent="0.25">
      <c r="A1396" s="55">
        <v>1395</v>
      </c>
      <c r="B1396" s="12" t="s">
        <v>7067</v>
      </c>
      <c r="C1396" s="155">
        <v>63</v>
      </c>
      <c r="D1396" s="55" t="s">
        <v>3954</v>
      </c>
      <c r="E1396" s="90" t="s">
        <v>920</v>
      </c>
      <c r="G1396" s="55" t="s">
        <v>921</v>
      </c>
      <c r="H1396" s="55">
        <v>1993</v>
      </c>
      <c r="I1396" s="55">
        <v>1989</v>
      </c>
      <c r="J1396" s="55" t="s">
        <v>282</v>
      </c>
      <c r="K1396" s="55" t="s">
        <v>938</v>
      </c>
      <c r="L1396" s="55" t="s">
        <v>2737</v>
      </c>
      <c r="M1396" s="90">
        <v>42.44</v>
      </c>
      <c r="N1396" s="90">
        <v>-76.52</v>
      </c>
      <c r="O1396" s="90">
        <v>188.1</v>
      </c>
      <c r="U1396" s="55" t="s">
        <v>1805</v>
      </c>
      <c r="V1396" s="55">
        <v>3</v>
      </c>
      <c r="Y1396" s="55" t="s">
        <v>1949</v>
      </c>
      <c r="Z1396" s="55" t="s">
        <v>1361</v>
      </c>
      <c r="AA1396" s="90" t="s">
        <v>1682</v>
      </c>
      <c r="AH1396" s="55" t="s">
        <v>6378</v>
      </c>
      <c r="AM1396" s="55" t="s">
        <v>1316</v>
      </c>
      <c r="AN1396" s="185" t="s">
        <v>241</v>
      </c>
      <c r="AO1396" s="185" t="s">
        <v>5150</v>
      </c>
      <c r="AQ1396" s="55" t="s">
        <v>553</v>
      </c>
      <c r="AR1396" s="55" t="s">
        <v>1565</v>
      </c>
      <c r="AS1396" s="55" t="s">
        <v>5133</v>
      </c>
      <c r="AU1396" s="181" t="s">
        <v>7494</v>
      </c>
      <c r="AV1396" s="185" t="s">
        <v>176</v>
      </c>
      <c r="AX1396" s="185" t="s">
        <v>176</v>
      </c>
      <c r="BK1396" s="55" t="s">
        <v>5976</v>
      </c>
      <c r="BM1396" s="192" t="s">
        <v>923</v>
      </c>
      <c r="BN1396" s="55">
        <v>6</v>
      </c>
      <c r="BO1396" s="55">
        <v>6</v>
      </c>
      <c r="BQ1396" s="55" t="s">
        <v>141</v>
      </c>
      <c r="BU1396" s="55" t="s">
        <v>1124</v>
      </c>
      <c r="BV1396" s="55" t="s">
        <v>928</v>
      </c>
      <c r="GD1396" s="65">
        <v>24.38</v>
      </c>
      <c r="GE1396" s="65">
        <v>25.3</v>
      </c>
      <c r="GP1396" s="292" t="s">
        <v>7494</v>
      </c>
      <c r="JU1396" s="55" t="s">
        <v>935</v>
      </c>
      <c r="JW1396" s="55" t="s">
        <v>1951</v>
      </c>
    </row>
    <row r="1397" spans="1:283" x14ac:dyDescent="0.25">
      <c r="A1397" s="55">
        <v>1396</v>
      </c>
      <c r="B1397" s="12" t="s">
        <v>7067</v>
      </c>
      <c r="C1397" s="155">
        <v>63</v>
      </c>
      <c r="D1397" s="55" t="s">
        <v>3954</v>
      </c>
      <c r="E1397" s="90" t="s">
        <v>920</v>
      </c>
      <c r="G1397" s="55" t="s">
        <v>921</v>
      </c>
      <c r="H1397" s="55">
        <v>1993</v>
      </c>
      <c r="I1397" s="55">
        <v>1989</v>
      </c>
      <c r="J1397" s="55" t="s">
        <v>282</v>
      </c>
      <c r="K1397" s="55" t="s">
        <v>938</v>
      </c>
      <c r="L1397" s="55" t="s">
        <v>2737</v>
      </c>
      <c r="M1397" s="90">
        <v>42.44</v>
      </c>
      <c r="N1397" s="90">
        <v>-76.52</v>
      </c>
      <c r="O1397" s="90">
        <v>188.1</v>
      </c>
      <c r="U1397" s="55" t="s">
        <v>1805</v>
      </c>
      <c r="V1397" s="55">
        <v>3</v>
      </c>
      <c r="Y1397" s="55" t="s">
        <v>1949</v>
      </c>
      <c r="Z1397" s="55" t="s">
        <v>1361</v>
      </c>
      <c r="AA1397" s="90" t="s">
        <v>1682</v>
      </c>
      <c r="AH1397" s="55" t="s">
        <v>6378</v>
      </c>
      <c r="AM1397" s="55" t="s">
        <v>1316</v>
      </c>
      <c r="AN1397" s="185" t="s">
        <v>241</v>
      </c>
      <c r="AO1397" s="185" t="s">
        <v>5150</v>
      </c>
      <c r="AQ1397" s="55" t="s">
        <v>553</v>
      </c>
      <c r="AR1397" s="55" t="s">
        <v>1565</v>
      </c>
      <c r="AS1397" s="55" t="s">
        <v>5133</v>
      </c>
      <c r="AU1397" s="181" t="s">
        <v>7494</v>
      </c>
      <c r="AV1397" s="185" t="s">
        <v>176</v>
      </c>
      <c r="AX1397" s="185" t="s">
        <v>176</v>
      </c>
      <c r="BK1397" s="55" t="s">
        <v>5976</v>
      </c>
      <c r="BM1397" s="192" t="s">
        <v>923</v>
      </c>
      <c r="BN1397" s="55">
        <v>6</v>
      </c>
      <c r="BO1397" s="55">
        <v>6</v>
      </c>
      <c r="BQ1397" s="55" t="s">
        <v>141</v>
      </c>
      <c r="BU1397" s="55" t="s">
        <v>1124</v>
      </c>
      <c r="BV1397" s="55" t="s">
        <v>929</v>
      </c>
      <c r="GD1397" s="65">
        <v>20.39</v>
      </c>
      <c r="GE1397" s="65">
        <v>25.29</v>
      </c>
      <c r="GP1397" s="292" t="s">
        <v>7494</v>
      </c>
      <c r="JU1397" s="55" t="s">
        <v>935</v>
      </c>
      <c r="JW1397" s="55" t="s">
        <v>1951</v>
      </c>
    </row>
    <row r="1398" spans="1:283" x14ac:dyDescent="0.25">
      <c r="A1398" s="55">
        <v>1397</v>
      </c>
      <c r="B1398" s="12" t="s">
        <v>7067</v>
      </c>
      <c r="C1398" s="155">
        <v>63</v>
      </c>
      <c r="D1398" s="55" t="s">
        <v>3954</v>
      </c>
      <c r="E1398" s="90" t="s">
        <v>920</v>
      </c>
      <c r="G1398" s="55" t="s">
        <v>921</v>
      </c>
      <c r="H1398" s="55">
        <v>1993</v>
      </c>
      <c r="I1398" s="55">
        <v>1989</v>
      </c>
      <c r="J1398" s="55" t="s">
        <v>282</v>
      </c>
      <c r="K1398" s="55" t="s">
        <v>938</v>
      </c>
      <c r="L1398" s="55" t="s">
        <v>2737</v>
      </c>
      <c r="M1398" s="90">
        <v>42.44</v>
      </c>
      <c r="N1398" s="90">
        <v>-76.52</v>
      </c>
      <c r="O1398" s="90">
        <v>188.1</v>
      </c>
      <c r="U1398" s="55" t="s">
        <v>1805</v>
      </c>
      <c r="V1398" s="55">
        <v>3</v>
      </c>
      <c r="Y1398" s="55" t="s">
        <v>1949</v>
      </c>
      <c r="Z1398" s="55" t="s">
        <v>1361</v>
      </c>
      <c r="AA1398" s="90" t="s">
        <v>1682</v>
      </c>
      <c r="AH1398" s="55" t="s">
        <v>6378</v>
      </c>
      <c r="AM1398" s="55" t="s">
        <v>1316</v>
      </c>
      <c r="AN1398" s="185" t="s">
        <v>241</v>
      </c>
      <c r="AO1398" s="185" t="s">
        <v>5150</v>
      </c>
      <c r="AQ1398" s="55" t="s">
        <v>553</v>
      </c>
      <c r="AR1398" s="55" t="s">
        <v>1565</v>
      </c>
      <c r="AS1398" s="55" t="s">
        <v>5133</v>
      </c>
      <c r="AU1398" s="181" t="s">
        <v>7494</v>
      </c>
      <c r="AV1398" s="185" t="s">
        <v>176</v>
      </c>
      <c r="AX1398" s="185" t="s">
        <v>176</v>
      </c>
      <c r="BK1398" s="55" t="s">
        <v>5976</v>
      </c>
      <c r="BM1398" s="192" t="s">
        <v>923</v>
      </c>
      <c r="BN1398" s="55">
        <v>6</v>
      </c>
      <c r="BO1398" s="55">
        <v>6</v>
      </c>
      <c r="BQ1398" s="55" t="s">
        <v>141</v>
      </c>
      <c r="BU1398" s="55" t="s">
        <v>1124</v>
      </c>
      <c r="BV1398" s="55" t="s">
        <v>930</v>
      </c>
      <c r="GD1398" s="65">
        <v>16.23</v>
      </c>
      <c r="GE1398" s="65">
        <v>25.29</v>
      </c>
      <c r="GP1398" s="292" t="s">
        <v>7494</v>
      </c>
      <c r="JU1398" s="55" t="s">
        <v>935</v>
      </c>
      <c r="JW1398" s="55" t="s">
        <v>1951</v>
      </c>
    </row>
    <row r="1399" spans="1:283" x14ac:dyDescent="0.25">
      <c r="A1399" s="55">
        <v>1398</v>
      </c>
      <c r="B1399" s="12" t="s">
        <v>7067</v>
      </c>
      <c r="C1399" s="155">
        <v>63</v>
      </c>
      <c r="D1399" s="55" t="s">
        <v>3954</v>
      </c>
      <c r="E1399" s="90" t="s">
        <v>920</v>
      </c>
      <c r="G1399" s="55" t="s">
        <v>921</v>
      </c>
      <c r="H1399" s="55">
        <v>1993</v>
      </c>
      <c r="I1399" s="55">
        <v>1989</v>
      </c>
      <c r="J1399" s="55" t="s">
        <v>282</v>
      </c>
      <c r="K1399" s="55" t="s">
        <v>938</v>
      </c>
      <c r="L1399" s="55" t="s">
        <v>2737</v>
      </c>
      <c r="M1399" s="90">
        <v>42.44</v>
      </c>
      <c r="N1399" s="90">
        <v>-76.52</v>
      </c>
      <c r="O1399" s="90">
        <v>188.1</v>
      </c>
      <c r="U1399" s="55" t="s">
        <v>1805</v>
      </c>
      <c r="V1399" s="55">
        <v>3</v>
      </c>
      <c r="Y1399" s="55" t="s">
        <v>1949</v>
      </c>
      <c r="Z1399" s="55" t="s">
        <v>1361</v>
      </c>
      <c r="AA1399" s="90" t="s">
        <v>1682</v>
      </c>
      <c r="AH1399" s="55" t="s">
        <v>6378</v>
      </c>
      <c r="AM1399" s="55" t="s">
        <v>1316</v>
      </c>
      <c r="AN1399" s="185" t="s">
        <v>241</v>
      </c>
      <c r="AO1399" s="185" t="s">
        <v>5150</v>
      </c>
      <c r="AQ1399" s="55" t="s">
        <v>553</v>
      </c>
      <c r="AR1399" s="55" t="s">
        <v>1565</v>
      </c>
      <c r="AS1399" s="55" t="s">
        <v>5133</v>
      </c>
      <c r="AU1399" s="181" t="s">
        <v>7494</v>
      </c>
      <c r="AV1399" s="185" t="s">
        <v>176</v>
      </c>
      <c r="AX1399" s="185" t="s">
        <v>176</v>
      </c>
      <c r="BK1399" s="55" t="s">
        <v>5976</v>
      </c>
      <c r="BM1399" s="192" t="s">
        <v>923</v>
      </c>
      <c r="BN1399" s="55">
        <v>6</v>
      </c>
      <c r="BO1399" s="55">
        <v>6</v>
      </c>
      <c r="BQ1399" s="55" t="s">
        <v>141</v>
      </c>
      <c r="BU1399" s="55" t="s">
        <v>1124</v>
      </c>
      <c r="BV1399" s="55" t="s">
        <v>931</v>
      </c>
      <c r="GD1399" s="65">
        <v>25.65</v>
      </c>
      <c r="GE1399" s="65">
        <v>25.65</v>
      </c>
      <c r="GP1399" s="292" t="s">
        <v>7494</v>
      </c>
      <c r="JU1399" s="55" t="s">
        <v>935</v>
      </c>
      <c r="JW1399" s="55" t="s">
        <v>1951</v>
      </c>
    </row>
    <row r="1400" spans="1:283" x14ac:dyDescent="0.25">
      <c r="A1400" s="55">
        <v>1399</v>
      </c>
      <c r="B1400" s="12" t="s">
        <v>7067</v>
      </c>
      <c r="C1400" s="155">
        <v>63</v>
      </c>
      <c r="D1400" s="55" t="s">
        <v>3954</v>
      </c>
      <c r="E1400" s="90" t="s">
        <v>920</v>
      </c>
      <c r="G1400" s="55" t="s">
        <v>921</v>
      </c>
      <c r="H1400" s="55">
        <v>1993</v>
      </c>
      <c r="I1400" s="55">
        <v>1989</v>
      </c>
      <c r="J1400" s="55" t="s">
        <v>282</v>
      </c>
      <c r="K1400" s="55" t="s">
        <v>938</v>
      </c>
      <c r="L1400" s="55" t="s">
        <v>2737</v>
      </c>
      <c r="M1400" s="90">
        <v>42.44</v>
      </c>
      <c r="N1400" s="90">
        <v>-76.52</v>
      </c>
      <c r="O1400" s="90">
        <v>188.1</v>
      </c>
      <c r="U1400" s="55" t="s">
        <v>1805</v>
      </c>
      <c r="V1400" s="55">
        <v>3</v>
      </c>
      <c r="Y1400" s="55" t="s">
        <v>1949</v>
      </c>
      <c r="Z1400" s="55" t="s">
        <v>1361</v>
      </c>
      <c r="AA1400" s="90" t="s">
        <v>1682</v>
      </c>
      <c r="AH1400" s="55" t="s">
        <v>6378</v>
      </c>
      <c r="AM1400" s="55" t="s">
        <v>1316</v>
      </c>
      <c r="AN1400" s="185" t="s">
        <v>241</v>
      </c>
      <c r="AO1400" s="185" t="s">
        <v>5150</v>
      </c>
      <c r="AQ1400" s="55" t="s">
        <v>553</v>
      </c>
      <c r="AR1400" s="55" t="s">
        <v>1565</v>
      </c>
      <c r="AS1400" s="55" t="s">
        <v>5133</v>
      </c>
      <c r="AU1400" s="181" t="s">
        <v>7494</v>
      </c>
      <c r="AV1400" s="185" t="s">
        <v>176</v>
      </c>
      <c r="AX1400" s="185" t="s">
        <v>176</v>
      </c>
      <c r="BK1400" s="55" t="s">
        <v>5976</v>
      </c>
      <c r="BM1400" s="192" t="s">
        <v>923</v>
      </c>
      <c r="BN1400" s="55">
        <v>6</v>
      </c>
      <c r="BO1400" s="55">
        <v>6</v>
      </c>
      <c r="BQ1400" s="55" t="s">
        <v>141</v>
      </c>
      <c r="BU1400" s="55" t="s">
        <v>1124</v>
      </c>
      <c r="BV1400" s="55" t="s">
        <v>932</v>
      </c>
      <c r="GD1400" s="65">
        <v>18.41</v>
      </c>
      <c r="GE1400" s="65">
        <v>25.11</v>
      </c>
      <c r="GP1400" s="292" t="s">
        <v>7494</v>
      </c>
      <c r="JU1400" s="55" t="s">
        <v>935</v>
      </c>
      <c r="JW1400" s="55" t="s">
        <v>1951</v>
      </c>
    </row>
    <row r="1401" spans="1:283" x14ac:dyDescent="0.25">
      <c r="A1401" s="55">
        <v>1400</v>
      </c>
      <c r="B1401" s="12" t="s">
        <v>7067</v>
      </c>
      <c r="C1401" s="155">
        <v>63</v>
      </c>
      <c r="D1401" s="55" t="s">
        <v>3954</v>
      </c>
      <c r="E1401" s="90" t="s">
        <v>920</v>
      </c>
      <c r="G1401" s="55" t="s">
        <v>921</v>
      </c>
      <c r="H1401" s="55">
        <v>1993</v>
      </c>
      <c r="I1401" s="55">
        <v>1989</v>
      </c>
      <c r="J1401" s="55" t="s">
        <v>282</v>
      </c>
      <c r="K1401" s="55" t="s">
        <v>938</v>
      </c>
      <c r="L1401" s="55" t="s">
        <v>2737</v>
      </c>
      <c r="M1401" s="90">
        <v>42.44</v>
      </c>
      <c r="N1401" s="90">
        <v>-76.52</v>
      </c>
      <c r="O1401" s="90">
        <v>188.1</v>
      </c>
      <c r="U1401" s="55" t="s">
        <v>1805</v>
      </c>
      <c r="V1401" s="55">
        <v>3</v>
      </c>
      <c r="Y1401" s="55" t="s">
        <v>1949</v>
      </c>
      <c r="Z1401" s="55" t="s">
        <v>1361</v>
      </c>
      <c r="AA1401" s="90" t="s">
        <v>1682</v>
      </c>
      <c r="AH1401" s="55" t="s">
        <v>6378</v>
      </c>
      <c r="AM1401" s="55" t="s">
        <v>1316</v>
      </c>
      <c r="AN1401" s="185" t="s">
        <v>241</v>
      </c>
      <c r="AO1401" s="185" t="s">
        <v>5150</v>
      </c>
      <c r="AQ1401" s="55" t="s">
        <v>553</v>
      </c>
      <c r="AR1401" s="55" t="s">
        <v>1565</v>
      </c>
      <c r="AS1401" s="55" t="s">
        <v>5133</v>
      </c>
      <c r="AU1401" s="181" t="s">
        <v>7494</v>
      </c>
      <c r="AV1401" s="185" t="s">
        <v>176</v>
      </c>
      <c r="AX1401" s="185" t="s">
        <v>176</v>
      </c>
      <c r="BK1401" s="55" t="s">
        <v>5976</v>
      </c>
      <c r="BM1401" s="192" t="s">
        <v>923</v>
      </c>
      <c r="BN1401" s="55">
        <v>6</v>
      </c>
      <c r="BO1401" s="55">
        <v>6</v>
      </c>
      <c r="BQ1401" s="55" t="s">
        <v>141</v>
      </c>
      <c r="BU1401" s="55" t="s">
        <v>1124</v>
      </c>
      <c r="BV1401" s="55" t="s">
        <v>933</v>
      </c>
      <c r="GD1401" s="65">
        <v>16.059999999999999</v>
      </c>
      <c r="GE1401" s="65">
        <v>25.1</v>
      </c>
      <c r="GP1401" s="292" t="s">
        <v>7494</v>
      </c>
      <c r="JU1401" s="55" t="s">
        <v>935</v>
      </c>
      <c r="JW1401" s="55" t="s">
        <v>1951</v>
      </c>
    </row>
    <row r="1402" spans="1:283" x14ac:dyDescent="0.25">
      <c r="A1402" s="55">
        <v>1401</v>
      </c>
      <c r="B1402" s="12" t="s">
        <v>7067</v>
      </c>
      <c r="C1402" s="155">
        <v>63</v>
      </c>
      <c r="D1402" s="55" t="s">
        <v>3954</v>
      </c>
      <c r="E1402" s="90" t="s">
        <v>920</v>
      </c>
      <c r="G1402" s="55" t="s">
        <v>921</v>
      </c>
      <c r="H1402" s="55">
        <v>1993</v>
      </c>
      <c r="I1402" s="55">
        <v>1989</v>
      </c>
      <c r="J1402" s="55" t="s">
        <v>282</v>
      </c>
      <c r="K1402" s="55" t="s">
        <v>938</v>
      </c>
      <c r="L1402" s="55" t="s">
        <v>2737</v>
      </c>
      <c r="M1402" s="90">
        <v>42.44</v>
      </c>
      <c r="N1402" s="90">
        <v>-76.52</v>
      </c>
      <c r="O1402" s="90">
        <v>188.1</v>
      </c>
      <c r="U1402" s="55" t="s">
        <v>1805</v>
      </c>
      <c r="V1402" s="55">
        <v>3</v>
      </c>
      <c r="Y1402" s="55" t="s">
        <v>1949</v>
      </c>
      <c r="Z1402" s="55" t="s">
        <v>1361</v>
      </c>
      <c r="AA1402" s="90" t="s">
        <v>1682</v>
      </c>
      <c r="AH1402" s="55" t="s">
        <v>6378</v>
      </c>
      <c r="AM1402" s="55" t="s">
        <v>1316</v>
      </c>
      <c r="AN1402" s="185" t="s">
        <v>241</v>
      </c>
      <c r="AO1402" s="185" t="s">
        <v>5150</v>
      </c>
      <c r="AQ1402" s="55" t="s">
        <v>553</v>
      </c>
      <c r="AR1402" s="55" t="s">
        <v>1565</v>
      </c>
      <c r="AS1402" s="55" t="s">
        <v>5133</v>
      </c>
      <c r="AU1402" s="181" t="s">
        <v>7494</v>
      </c>
      <c r="AV1402" s="185" t="s">
        <v>176</v>
      </c>
      <c r="AX1402" s="185" t="s">
        <v>176</v>
      </c>
      <c r="BK1402" s="55" t="s">
        <v>5976</v>
      </c>
      <c r="BM1402" s="192" t="s">
        <v>923</v>
      </c>
      <c r="BN1402" s="55">
        <v>6</v>
      </c>
      <c r="BO1402" s="55">
        <v>6</v>
      </c>
      <c r="BQ1402" s="55" t="s">
        <v>141</v>
      </c>
      <c r="BU1402" s="55" t="s">
        <v>1124</v>
      </c>
      <c r="BV1402" s="55" t="s">
        <v>934</v>
      </c>
      <c r="GD1402" s="65">
        <v>25.48</v>
      </c>
      <c r="GE1402" s="65">
        <v>25.48</v>
      </c>
      <c r="GP1402" s="292" t="s">
        <v>7494</v>
      </c>
      <c r="JU1402" s="55" t="s">
        <v>935</v>
      </c>
      <c r="JW1402" s="55" t="s">
        <v>1951</v>
      </c>
    </row>
    <row r="1403" spans="1:283" x14ac:dyDescent="0.25">
      <c r="A1403" s="55">
        <v>1402</v>
      </c>
      <c r="B1403" s="12" t="s">
        <v>7067</v>
      </c>
      <c r="C1403" s="155">
        <v>63</v>
      </c>
      <c r="D1403" s="55" t="s">
        <v>3955</v>
      </c>
      <c r="E1403" s="90" t="s">
        <v>920</v>
      </c>
      <c r="G1403" s="55" t="s">
        <v>921</v>
      </c>
      <c r="H1403" s="55">
        <v>1993</v>
      </c>
      <c r="I1403" s="55">
        <v>1989</v>
      </c>
      <c r="J1403" s="55" t="s">
        <v>282</v>
      </c>
      <c r="K1403" s="55" t="s">
        <v>938</v>
      </c>
      <c r="L1403" s="55" t="s">
        <v>2737</v>
      </c>
      <c r="M1403" s="90">
        <v>42.44</v>
      </c>
      <c r="N1403" s="90">
        <v>-76.52</v>
      </c>
      <c r="O1403" s="90">
        <v>188.1</v>
      </c>
      <c r="U1403" s="55" t="s">
        <v>1805</v>
      </c>
      <c r="V1403" s="55">
        <v>3</v>
      </c>
      <c r="Y1403" s="55" t="s">
        <v>1949</v>
      </c>
      <c r="Z1403" s="55" t="s">
        <v>1361</v>
      </c>
      <c r="AA1403" s="90" t="s">
        <v>1682</v>
      </c>
      <c r="AH1403" s="55" t="s">
        <v>6378</v>
      </c>
      <c r="AM1403" s="55" t="s">
        <v>1316</v>
      </c>
      <c r="AN1403" s="185" t="s">
        <v>131</v>
      </c>
      <c r="AO1403" s="185" t="s">
        <v>5150</v>
      </c>
      <c r="AQ1403" s="55" t="s">
        <v>131</v>
      </c>
      <c r="AR1403" s="55" t="s">
        <v>1565</v>
      </c>
      <c r="AS1403" s="55" t="s">
        <v>5133</v>
      </c>
      <c r="AU1403" s="181" t="s">
        <v>7494</v>
      </c>
      <c r="AV1403" s="185" t="s">
        <v>176</v>
      </c>
      <c r="AX1403" s="185" t="s">
        <v>176</v>
      </c>
      <c r="BK1403" s="55" t="s">
        <v>5976</v>
      </c>
      <c r="BM1403" s="192" t="s">
        <v>923</v>
      </c>
      <c r="BN1403" s="55">
        <v>6</v>
      </c>
      <c r="BO1403" s="55">
        <v>6</v>
      </c>
      <c r="BQ1403" s="55" t="s">
        <v>141</v>
      </c>
      <c r="BU1403" s="55" t="s">
        <v>1124</v>
      </c>
      <c r="BV1403" s="55" t="s">
        <v>924</v>
      </c>
      <c r="GD1403" s="65">
        <v>21.14</v>
      </c>
      <c r="GE1403" s="65">
        <v>25.65</v>
      </c>
      <c r="GP1403" s="292" t="s">
        <v>7494</v>
      </c>
      <c r="JU1403" s="55" t="s">
        <v>935</v>
      </c>
      <c r="JW1403" s="55" t="s">
        <v>1951</v>
      </c>
    </row>
    <row r="1404" spans="1:283" x14ac:dyDescent="0.25">
      <c r="A1404" s="55">
        <v>1403</v>
      </c>
      <c r="B1404" s="12" t="s">
        <v>7067</v>
      </c>
      <c r="C1404" s="155">
        <v>63</v>
      </c>
      <c r="D1404" s="55" t="s">
        <v>3955</v>
      </c>
      <c r="E1404" s="90" t="s">
        <v>920</v>
      </c>
      <c r="G1404" s="55" t="s">
        <v>921</v>
      </c>
      <c r="H1404" s="55">
        <v>1993</v>
      </c>
      <c r="I1404" s="55">
        <v>1989</v>
      </c>
      <c r="J1404" s="55" t="s">
        <v>282</v>
      </c>
      <c r="K1404" s="55" t="s">
        <v>938</v>
      </c>
      <c r="L1404" s="55" t="s">
        <v>2737</v>
      </c>
      <c r="M1404" s="90">
        <v>42.44</v>
      </c>
      <c r="N1404" s="90">
        <v>-76.52</v>
      </c>
      <c r="O1404" s="90">
        <v>188.1</v>
      </c>
      <c r="U1404" s="55" t="s">
        <v>1805</v>
      </c>
      <c r="V1404" s="55">
        <v>3</v>
      </c>
      <c r="Y1404" s="55" t="s">
        <v>1949</v>
      </c>
      <c r="Z1404" s="55" t="s">
        <v>1361</v>
      </c>
      <c r="AA1404" s="90" t="s">
        <v>1682</v>
      </c>
      <c r="AH1404" s="55" t="s">
        <v>6378</v>
      </c>
      <c r="AM1404" s="55" t="s">
        <v>1316</v>
      </c>
      <c r="AN1404" s="185" t="s">
        <v>131</v>
      </c>
      <c r="AO1404" s="185" t="s">
        <v>5150</v>
      </c>
      <c r="AQ1404" s="55" t="s">
        <v>131</v>
      </c>
      <c r="AR1404" s="55" t="s">
        <v>1565</v>
      </c>
      <c r="AS1404" s="55" t="s">
        <v>5133</v>
      </c>
      <c r="AU1404" s="181" t="s">
        <v>7494</v>
      </c>
      <c r="AV1404" s="185" t="s">
        <v>176</v>
      </c>
      <c r="AX1404" s="185" t="s">
        <v>176</v>
      </c>
      <c r="BK1404" s="55" t="s">
        <v>5976</v>
      </c>
      <c r="BM1404" s="192" t="s">
        <v>923</v>
      </c>
      <c r="BN1404" s="55">
        <v>6</v>
      </c>
      <c r="BO1404" s="55">
        <v>6</v>
      </c>
      <c r="BQ1404" s="55" t="s">
        <v>141</v>
      </c>
      <c r="BU1404" s="55" t="s">
        <v>1124</v>
      </c>
      <c r="BV1404" s="55" t="s">
        <v>925</v>
      </c>
      <c r="GD1404" s="65">
        <v>24.63</v>
      </c>
      <c r="GE1404" s="65">
        <v>25.6</v>
      </c>
      <c r="GP1404" s="292" t="s">
        <v>7494</v>
      </c>
      <c r="JU1404" s="55" t="s">
        <v>935</v>
      </c>
      <c r="JW1404" s="55" t="s">
        <v>1951</v>
      </c>
    </row>
    <row r="1405" spans="1:283" x14ac:dyDescent="0.25">
      <c r="A1405" s="55">
        <v>1404</v>
      </c>
      <c r="B1405" s="12" t="s">
        <v>7067</v>
      </c>
      <c r="C1405" s="155">
        <v>63</v>
      </c>
      <c r="D1405" s="55" t="s">
        <v>3955</v>
      </c>
      <c r="E1405" s="90" t="s">
        <v>920</v>
      </c>
      <c r="G1405" s="55" t="s">
        <v>921</v>
      </c>
      <c r="H1405" s="55">
        <v>1993</v>
      </c>
      <c r="I1405" s="55">
        <v>1989</v>
      </c>
      <c r="J1405" s="55" t="s">
        <v>282</v>
      </c>
      <c r="K1405" s="55" t="s">
        <v>938</v>
      </c>
      <c r="L1405" s="55" t="s">
        <v>2737</v>
      </c>
      <c r="M1405" s="90">
        <v>42.44</v>
      </c>
      <c r="N1405" s="90">
        <v>-76.52</v>
      </c>
      <c r="O1405" s="90">
        <v>188.1</v>
      </c>
      <c r="U1405" s="55" t="s">
        <v>1805</v>
      </c>
      <c r="V1405" s="55">
        <v>3</v>
      </c>
      <c r="Y1405" s="55" t="s">
        <v>1949</v>
      </c>
      <c r="Z1405" s="55" t="s">
        <v>1361</v>
      </c>
      <c r="AA1405" s="90" t="s">
        <v>1682</v>
      </c>
      <c r="AH1405" s="55" t="s">
        <v>6378</v>
      </c>
      <c r="AM1405" s="55" t="s">
        <v>1316</v>
      </c>
      <c r="AN1405" s="185" t="s">
        <v>131</v>
      </c>
      <c r="AO1405" s="185" t="s">
        <v>5150</v>
      </c>
      <c r="AQ1405" s="55" t="s">
        <v>131</v>
      </c>
      <c r="AR1405" s="55" t="s">
        <v>1565</v>
      </c>
      <c r="AS1405" s="55" t="s">
        <v>5133</v>
      </c>
      <c r="AU1405" s="181" t="s">
        <v>7494</v>
      </c>
      <c r="AV1405" s="185" t="s">
        <v>176</v>
      </c>
      <c r="AX1405" s="185" t="s">
        <v>176</v>
      </c>
      <c r="BK1405" s="55" t="s">
        <v>5976</v>
      </c>
      <c r="BM1405" s="192" t="s">
        <v>923</v>
      </c>
      <c r="BN1405" s="55">
        <v>6</v>
      </c>
      <c r="BO1405" s="55">
        <v>6</v>
      </c>
      <c r="BQ1405" s="55" t="s">
        <v>141</v>
      </c>
      <c r="BU1405" s="55" t="s">
        <v>1124</v>
      </c>
      <c r="BV1405" s="55" t="s">
        <v>926</v>
      </c>
      <c r="GD1405" s="65">
        <v>23.83</v>
      </c>
      <c r="GE1405" s="65">
        <v>25.68</v>
      </c>
      <c r="GP1405" s="292" t="s">
        <v>7494</v>
      </c>
      <c r="JU1405" s="55" t="s">
        <v>935</v>
      </c>
      <c r="JW1405" s="55" t="s">
        <v>1951</v>
      </c>
    </row>
    <row r="1406" spans="1:283" x14ac:dyDescent="0.25">
      <c r="A1406" s="55">
        <v>1405</v>
      </c>
      <c r="B1406" s="12" t="s">
        <v>7067</v>
      </c>
      <c r="C1406" s="155">
        <v>63</v>
      </c>
      <c r="D1406" s="55" t="s">
        <v>3955</v>
      </c>
      <c r="E1406" s="90" t="s">
        <v>920</v>
      </c>
      <c r="G1406" s="55" t="s">
        <v>921</v>
      </c>
      <c r="H1406" s="55">
        <v>1993</v>
      </c>
      <c r="I1406" s="55">
        <v>1989</v>
      </c>
      <c r="J1406" s="55" t="s">
        <v>282</v>
      </c>
      <c r="K1406" s="55" t="s">
        <v>938</v>
      </c>
      <c r="L1406" s="55" t="s">
        <v>2737</v>
      </c>
      <c r="M1406" s="90">
        <v>42.44</v>
      </c>
      <c r="N1406" s="90">
        <v>-76.52</v>
      </c>
      <c r="O1406" s="90">
        <v>188.1</v>
      </c>
      <c r="U1406" s="55" t="s">
        <v>1805</v>
      </c>
      <c r="V1406" s="55">
        <v>3</v>
      </c>
      <c r="Y1406" s="55" t="s">
        <v>1949</v>
      </c>
      <c r="Z1406" s="55" t="s">
        <v>1361</v>
      </c>
      <c r="AA1406" s="90" t="s">
        <v>1682</v>
      </c>
      <c r="AH1406" s="55" t="s">
        <v>6378</v>
      </c>
      <c r="AM1406" s="55" t="s">
        <v>1316</v>
      </c>
      <c r="AN1406" s="185" t="s">
        <v>131</v>
      </c>
      <c r="AO1406" s="185" t="s">
        <v>5150</v>
      </c>
      <c r="AQ1406" s="55" t="s">
        <v>131</v>
      </c>
      <c r="AR1406" s="55" t="s">
        <v>1565</v>
      </c>
      <c r="AS1406" s="55" t="s">
        <v>5133</v>
      </c>
      <c r="AU1406" s="181" t="s">
        <v>7494</v>
      </c>
      <c r="AV1406" s="185" t="s">
        <v>176</v>
      </c>
      <c r="AX1406" s="185" t="s">
        <v>176</v>
      </c>
      <c r="BK1406" s="55" t="s">
        <v>5976</v>
      </c>
      <c r="BM1406" s="192" t="s">
        <v>923</v>
      </c>
      <c r="BN1406" s="55">
        <v>6</v>
      </c>
      <c r="BO1406" s="55">
        <v>6</v>
      </c>
      <c r="BQ1406" s="55" t="s">
        <v>141</v>
      </c>
      <c r="BU1406" s="55" t="s">
        <v>1124</v>
      </c>
      <c r="BV1406" s="55" t="s">
        <v>927</v>
      </c>
      <c r="GD1406" s="65">
        <v>17.64</v>
      </c>
      <c r="GE1406" s="65">
        <v>25.77</v>
      </c>
      <c r="GP1406" s="292" t="s">
        <v>7494</v>
      </c>
      <c r="JU1406" s="55" t="s">
        <v>935</v>
      </c>
      <c r="JW1406" s="55" t="s">
        <v>1951</v>
      </c>
    </row>
    <row r="1407" spans="1:283" x14ac:dyDescent="0.25">
      <c r="A1407" s="55">
        <v>1406</v>
      </c>
      <c r="B1407" s="12" t="s">
        <v>7067</v>
      </c>
      <c r="C1407" s="155">
        <v>63</v>
      </c>
      <c r="D1407" s="55" t="s">
        <v>3955</v>
      </c>
      <c r="E1407" s="90" t="s">
        <v>920</v>
      </c>
      <c r="G1407" s="55" t="s">
        <v>921</v>
      </c>
      <c r="H1407" s="55">
        <v>1993</v>
      </c>
      <c r="I1407" s="55">
        <v>1989</v>
      </c>
      <c r="J1407" s="55" t="s">
        <v>282</v>
      </c>
      <c r="K1407" s="55" t="s">
        <v>938</v>
      </c>
      <c r="L1407" s="55" t="s">
        <v>2737</v>
      </c>
      <c r="M1407" s="90">
        <v>42.44</v>
      </c>
      <c r="N1407" s="90">
        <v>-76.52</v>
      </c>
      <c r="O1407" s="90">
        <v>188.1</v>
      </c>
      <c r="U1407" s="55" t="s">
        <v>1805</v>
      </c>
      <c r="V1407" s="55">
        <v>3</v>
      </c>
      <c r="Y1407" s="55" t="s">
        <v>1949</v>
      </c>
      <c r="Z1407" s="55" t="s">
        <v>1361</v>
      </c>
      <c r="AA1407" s="90" t="s">
        <v>1682</v>
      </c>
      <c r="AH1407" s="55" t="s">
        <v>6378</v>
      </c>
      <c r="AM1407" s="55" t="s">
        <v>1316</v>
      </c>
      <c r="AN1407" s="185" t="s">
        <v>131</v>
      </c>
      <c r="AO1407" s="185" t="s">
        <v>5150</v>
      </c>
      <c r="AQ1407" s="55" t="s">
        <v>131</v>
      </c>
      <c r="AR1407" s="55" t="s">
        <v>1565</v>
      </c>
      <c r="AS1407" s="55" t="s">
        <v>5133</v>
      </c>
      <c r="AU1407" s="181" t="s">
        <v>7494</v>
      </c>
      <c r="AV1407" s="185" t="s">
        <v>176</v>
      </c>
      <c r="AX1407" s="185" t="s">
        <v>176</v>
      </c>
      <c r="BK1407" s="55" t="s">
        <v>5976</v>
      </c>
      <c r="BM1407" s="192" t="s">
        <v>923</v>
      </c>
      <c r="BN1407" s="55">
        <v>6</v>
      </c>
      <c r="BO1407" s="55">
        <v>6</v>
      </c>
      <c r="BQ1407" s="55" t="s">
        <v>141</v>
      </c>
      <c r="BU1407" s="55" t="s">
        <v>1124</v>
      </c>
      <c r="BV1407" s="55" t="s">
        <v>928</v>
      </c>
      <c r="GD1407" s="65">
        <v>25.5</v>
      </c>
      <c r="GE1407" s="65">
        <v>25.5</v>
      </c>
      <c r="GP1407" s="292" t="s">
        <v>7494</v>
      </c>
      <c r="JU1407" s="55" t="s">
        <v>935</v>
      </c>
      <c r="JW1407" s="55" t="s">
        <v>1951</v>
      </c>
    </row>
    <row r="1408" spans="1:283" x14ac:dyDescent="0.25">
      <c r="A1408" s="55">
        <v>1407</v>
      </c>
      <c r="B1408" s="12" t="s">
        <v>7067</v>
      </c>
      <c r="C1408" s="155">
        <v>63</v>
      </c>
      <c r="D1408" s="55" t="s">
        <v>3955</v>
      </c>
      <c r="E1408" s="90" t="s">
        <v>920</v>
      </c>
      <c r="G1408" s="55" t="s">
        <v>921</v>
      </c>
      <c r="H1408" s="55">
        <v>1993</v>
      </c>
      <c r="I1408" s="55">
        <v>1989</v>
      </c>
      <c r="J1408" s="55" t="s">
        <v>282</v>
      </c>
      <c r="K1408" s="55" t="s">
        <v>938</v>
      </c>
      <c r="L1408" s="55" t="s">
        <v>2737</v>
      </c>
      <c r="M1408" s="90">
        <v>42.44</v>
      </c>
      <c r="N1408" s="90">
        <v>-76.52</v>
      </c>
      <c r="O1408" s="90">
        <v>188.1</v>
      </c>
      <c r="U1408" s="55" t="s">
        <v>1805</v>
      </c>
      <c r="V1408" s="55">
        <v>3</v>
      </c>
      <c r="Y1408" s="55" t="s">
        <v>1949</v>
      </c>
      <c r="Z1408" s="55" t="s">
        <v>1361</v>
      </c>
      <c r="AA1408" s="90" t="s">
        <v>1682</v>
      </c>
      <c r="AH1408" s="55" t="s">
        <v>6378</v>
      </c>
      <c r="AM1408" s="55" t="s">
        <v>1316</v>
      </c>
      <c r="AN1408" s="185" t="s">
        <v>131</v>
      </c>
      <c r="AO1408" s="185" t="s">
        <v>5150</v>
      </c>
      <c r="AQ1408" s="55" t="s">
        <v>131</v>
      </c>
      <c r="AR1408" s="55" t="s">
        <v>1565</v>
      </c>
      <c r="AS1408" s="55" t="s">
        <v>5133</v>
      </c>
      <c r="AU1408" s="181" t="s">
        <v>7494</v>
      </c>
      <c r="AV1408" s="185" t="s">
        <v>176</v>
      </c>
      <c r="AX1408" s="185" t="s">
        <v>176</v>
      </c>
      <c r="BK1408" s="55" t="s">
        <v>5976</v>
      </c>
      <c r="BM1408" s="192" t="s">
        <v>923</v>
      </c>
      <c r="BN1408" s="55">
        <v>6</v>
      </c>
      <c r="BO1408" s="55">
        <v>6</v>
      </c>
      <c r="BQ1408" s="55" t="s">
        <v>141</v>
      </c>
      <c r="BU1408" s="55" t="s">
        <v>1124</v>
      </c>
      <c r="BV1408" s="55" t="s">
        <v>929</v>
      </c>
      <c r="GD1408" s="65">
        <v>22.23</v>
      </c>
      <c r="GE1408" s="65">
        <v>25.5</v>
      </c>
      <c r="GP1408" s="292" t="s">
        <v>7494</v>
      </c>
      <c r="JU1408" s="55" t="s">
        <v>935</v>
      </c>
      <c r="JW1408" s="55" t="s">
        <v>1951</v>
      </c>
    </row>
    <row r="1409" spans="1:283" x14ac:dyDescent="0.25">
      <c r="A1409" s="55">
        <v>1408</v>
      </c>
      <c r="B1409" s="12" t="s">
        <v>7067</v>
      </c>
      <c r="C1409" s="155">
        <v>63</v>
      </c>
      <c r="D1409" s="55" t="s">
        <v>3955</v>
      </c>
      <c r="E1409" s="90" t="s">
        <v>920</v>
      </c>
      <c r="G1409" s="55" t="s">
        <v>921</v>
      </c>
      <c r="H1409" s="55">
        <v>1993</v>
      </c>
      <c r="I1409" s="55">
        <v>1989</v>
      </c>
      <c r="J1409" s="55" t="s">
        <v>282</v>
      </c>
      <c r="K1409" s="55" t="s">
        <v>938</v>
      </c>
      <c r="L1409" s="55" t="s">
        <v>2737</v>
      </c>
      <c r="M1409" s="90">
        <v>42.44</v>
      </c>
      <c r="N1409" s="90">
        <v>-76.52</v>
      </c>
      <c r="O1409" s="90">
        <v>188.1</v>
      </c>
      <c r="U1409" s="55" t="s">
        <v>1805</v>
      </c>
      <c r="V1409" s="55">
        <v>3</v>
      </c>
      <c r="Y1409" s="55" t="s">
        <v>1949</v>
      </c>
      <c r="Z1409" s="55" t="s">
        <v>1361</v>
      </c>
      <c r="AA1409" s="90" t="s">
        <v>1682</v>
      </c>
      <c r="AH1409" s="55" t="s">
        <v>6378</v>
      </c>
      <c r="AM1409" s="55" t="s">
        <v>1316</v>
      </c>
      <c r="AN1409" s="185" t="s">
        <v>131</v>
      </c>
      <c r="AO1409" s="185" t="s">
        <v>5150</v>
      </c>
      <c r="AQ1409" s="55" t="s">
        <v>131</v>
      </c>
      <c r="AR1409" s="55" t="s">
        <v>1565</v>
      </c>
      <c r="AS1409" s="55" t="s">
        <v>5133</v>
      </c>
      <c r="AU1409" s="181" t="s">
        <v>7494</v>
      </c>
      <c r="AV1409" s="185" t="s">
        <v>176</v>
      </c>
      <c r="AX1409" s="185" t="s">
        <v>176</v>
      </c>
      <c r="BK1409" s="55" t="s">
        <v>5976</v>
      </c>
      <c r="BM1409" s="192" t="s">
        <v>923</v>
      </c>
      <c r="BN1409" s="55">
        <v>6</v>
      </c>
      <c r="BO1409" s="55">
        <v>6</v>
      </c>
      <c r="BQ1409" s="55" t="s">
        <v>141</v>
      </c>
      <c r="BU1409" s="55" t="s">
        <v>1124</v>
      </c>
      <c r="BV1409" s="55" t="s">
        <v>930</v>
      </c>
      <c r="GD1409" s="65">
        <v>17.45</v>
      </c>
      <c r="GE1409" s="65">
        <v>25.49</v>
      </c>
      <c r="GP1409" s="292" t="s">
        <v>7494</v>
      </c>
      <c r="JU1409" s="55" t="s">
        <v>935</v>
      </c>
      <c r="JW1409" s="55" t="s">
        <v>1951</v>
      </c>
    </row>
    <row r="1410" spans="1:283" x14ac:dyDescent="0.25">
      <c r="A1410" s="55">
        <v>1409</v>
      </c>
      <c r="B1410" s="12" t="s">
        <v>7067</v>
      </c>
      <c r="C1410" s="155">
        <v>63</v>
      </c>
      <c r="D1410" s="55" t="s">
        <v>3955</v>
      </c>
      <c r="E1410" s="90" t="s">
        <v>920</v>
      </c>
      <c r="G1410" s="55" t="s">
        <v>921</v>
      </c>
      <c r="H1410" s="55">
        <v>1993</v>
      </c>
      <c r="I1410" s="55">
        <v>1989</v>
      </c>
      <c r="J1410" s="55" t="s">
        <v>282</v>
      </c>
      <c r="K1410" s="55" t="s">
        <v>938</v>
      </c>
      <c r="L1410" s="55" t="s">
        <v>2737</v>
      </c>
      <c r="M1410" s="90">
        <v>42.44</v>
      </c>
      <c r="N1410" s="90">
        <v>-76.52</v>
      </c>
      <c r="O1410" s="90">
        <v>188.1</v>
      </c>
      <c r="U1410" s="55" t="s">
        <v>1805</v>
      </c>
      <c r="V1410" s="55">
        <v>3</v>
      </c>
      <c r="Y1410" s="55" t="s">
        <v>1949</v>
      </c>
      <c r="Z1410" s="55" t="s">
        <v>1361</v>
      </c>
      <c r="AA1410" s="90" t="s">
        <v>1682</v>
      </c>
      <c r="AH1410" s="55" t="s">
        <v>6378</v>
      </c>
      <c r="AM1410" s="55" t="s">
        <v>1316</v>
      </c>
      <c r="AN1410" s="185" t="s">
        <v>131</v>
      </c>
      <c r="AO1410" s="185" t="s">
        <v>5150</v>
      </c>
      <c r="AQ1410" s="55" t="s">
        <v>131</v>
      </c>
      <c r="AR1410" s="55" t="s">
        <v>1565</v>
      </c>
      <c r="AS1410" s="55" t="s">
        <v>5133</v>
      </c>
      <c r="AU1410" s="181" t="s">
        <v>7494</v>
      </c>
      <c r="AV1410" s="185" t="s">
        <v>176</v>
      </c>
      <c r="AX1410" s="185" t="s">
        <v>176</v>
      </c>
      <c r="BK1410" s="55" t="s">
        <v>5976</v>
      </c>
      <c r="BM1410" s="192" t="s">
        <v>923</v>
      </c>
      <c r="BN1410" s="55">
        <v>6</v>
      </c>
      <c r="BO1410" s="55">
        <v>6</v>
      </c>
      <c r="BQ1410" s="55" t="s">
        <v>141</v>
      </c>
      <c r="BU1410" s="55" t="s">
        <v>1124</v>
      </c>
      <c r="BV1410" s="55" t="s">
        <v>931</v>
      </c>
      <c r="GD1410" s="65">
        <v>25.83</v>
      </c>
      <c r="GE1410" s="65">
        <v>25.83</v>
      </c>
      <c r="GP1410" s="292" t="s">
        <v>7494</v>
      </c>
      <c r="JU1410" s="55" t="s">
        <v>935</v>
      </c>
      <c r="JW1410" s="55" t="s">
        <v>1951</v>
      </c>
    </row>
    <row r="1411" spans="1:283" x14ac:dyDescent="0.25">
      <c r="A1411" s="55">
        <v>1410</v>
      </c>
      <c r="B1411" s="12" t="s">
        <v>7067</v>
      </c>
      <c r="C1411" s="155">
        <v>63</v>
      </c>
      <c r="D1411" s="55" t="s">
        <v>3955</v>
      </c>
      <c r="E1411" s="90" t="s">
        <v>920</v>
      </c>
      <c r="G1411" s="55" t="s">
        <v>921</v>
      </c>
      <c r="H1411" s="55">
        <v>1993</v>
      </c>
      <c r="I1411" s="55">
        <v>1989</v>
      </c>
      <c r="J1411" s="55" t="s">
        <v>282</v>
      </c>
      <c r="K1411" s="55" t="s">
        <v>938</v>
      </c>
      <c r="L1411" s="55" t="s">
        <v>2737</v>
      </c>
      <c r="M1411" s="90">
        <v>42.44</v>
      </c>
      <c r="N1411" s="90">
        <v>-76.52</v>
      </c>
      <c r="O1411" s="90">
        <v>188.1</v>
      </c>
      <c r="U1411" s="55" t="s">
        <v>1805</v>
      </c>
      <c r="V1411" s="55">
        <v>3</v>
      </c>
      <c r="Y1411" s="55" t="s">
        <v>1949</v>
      </c>
      <c r="Z1411" s="55" t="s">
        <v>1361</v>
      </c>
      <c r="AA1411" s="90" t="s">
        <v>1682</v>
      </c>
      <c r="AH1411" s="55" t="s">
        <v>6378</v>
      </c>
      <c r="AM1411" s="55" t="s">
        <v>1316</v>
      </c>
      <c r="AN1411" s="185" t="s">
        <v>131</v>
      </c>
      <c r="AO1411" s="185" t="s">
        <v>5150</v>
      </c>
      <c r="AQ1411" s="55" t="s">
        <v>131</v>
      </c>
      <c r="AR1411" s="55" t="s">
        <v>1565</v>
      </c>
      <c r="AS1411" s="55" t="s">
        <v>5133</v>
      </c>
      <c r="AU1411" s="181" t="s">
        <v>7494</v>
      </c>
      <c r="AV1411" s="185" t="s">
        <v>176</v>
      </c>
      <c r="AX1411" s="185" t="s">
        <v>176</v>
      </c>
      <c r="BK1411" s="55" t="s">
        <v>5976</v>
      </c>
      <c r="BM1411" s="192" t="s">
        <v>923</v>
      </c>
      <c r="BN1411" s="55">
        <v>6</v>
      </c>
      <c r="BO1411" s="55">
        <v>6</v>
      </c>
      <c r="BQ1411" s="55" t="s">
        <v>141</v>
      </c>
      <c r="BU1411" s="55" t="s">
        <v>1124</v>
      </c>
      <c r="BV1411" s="55" t="s">
        <v>932</v>
      </c>
      <c r="GD1411" s="65">
        <v>19.38</v>
      </c>
      <c r="GE1411" s="65">
        <v>25.56</v>
      </c>
      <c r="GP1411" s="292" t="s">
        <v>7494</v>
      </c>
      <c r="JU1411" s="55" t="s">
        <v>935</v>
      </c>
      <c r="JW1411" s="55" t="s">
        <v>1951</v>
      </c>
    </row>
    <row r="1412" spans="1:283" x14ac:dyDescent="0.25">
      <c r="A1412" s="55">
        <v>1411</v>
      </c>
      <c r="B1412" s="12" t="s">
        <v>7067</v>
      </c>
      <c r="C1412" s="155">
        <v>63</v>
      </c>
      <c r="D1412" s="55" t="s">
        <v>3955</v>
      </c>
      <c r="E1412" s="90" t="s">
        <v>920</v>
      </c>
      <c r="G1412" s="55" t="s">
        <v>921</v>
      </c>
      <c r="H1412" s="55">
        <v>1993</v>
      </c>
      <c r="I1412" s="55">
        <v>1989</v>
      </c>
      <c r="J1412" s="55" t="s">
        <v>282</v>
      </c>
      <c r="K1412" s="55" t="s">
        <v>938</v>
      </c>
      <c r="L1412" s="55" t="s">
        <v>2737</v>
      </c>
      <c r="M1412" s="90">
        <v>42.44</v>
      </c>
      <c r="N1412" s="90">
        <v>-76.52</v>
      </c>
      <c r="O1412" s="90">
        <v>188.1</v>
      </c>
      <c r="U1412" s="55" t="s">
        <v>1805</v>
      </c>
      <c r="V1412" s="55">
        <v>3</v>
      </c>
      <c r="Y1412" s="55" t="s">
        <v>1949</v>
      </c>
      <c r="Z1412" s="55" t="s">
        <v>1361</v>
      </c>
      <c r="AA1412" s="90" t="s">
        <v>1682</v>
      </c>
      <c r="AH1412" s="55" t="s">
        <v>6378</v>
      </c>
      <c r="AM1412" s="55" t="s">
        <v>1316</v>
      </c>
      <c r="AN1412" s="185" t="s">
        <v>131</v>
      </c>
      <c r="AO1412" s="185" t="s">
        <v>5150</v>
      </c>
      <c r="AQ1412" s="55" t="s">
        <v>131</v>
      </c>
      <c r="AR1412" s="55" t="s">
        <v>1565</v>
      </c>
      <c r="AS1412" s="55" t="s">
        <v>5133</v>
      </c>
      <c r="AU1412" s="181" t="s">
        <v>7494</v>
      </c>
      <c r="AV1412" s="185" t="s">
        <v>176</v>
      </c>
      <c r="AX1412" s="185" t="s">
        <v>176</v>
      </c>
      <c r="BK1412" s="55" t="s">
        <v>5976</v>
      </c>
      <c r="BM1412" s="192" t="s">
        <v>923</v>
      </c>
      <c r="BN1412" s="55">
        <v>6</v>
      </c>
      <c r="BO1412" s="55">
        <v>6</v>
      </c>
      <c r="BQ1412" s="55" t="s">
        <v>141</v>
      </c>
      <c r="BU1412" s="55" t="s">
        <v>1124</v>
      </c>
      <c r="BV1412" s="55" t="s">
        <v>933</v>
      </c>
      <c r="GD1412" s="65">
        <v>16.72</v>
      </c>
      <c r="GE1412" s="65">
        <v>24.76</v>
      </c>
      <c r="GP1412" s="292" t="s">
        <v>7494</v>
      </c>
      <c r="JU1412" s="55" t="s">
        <v>935</v>
      </c>
      <c r="JW1412" s="55" t="s">
        <v>1951</v>
      </c>
    </row>
    <row r="1413" spans="1:283" x14ac:dyDescent="0.25">
      <c r="A1413" s="55">
        <v>1412</v>
      </c>
      <c r="B1413" s="12" t="s">
        <v>7067</v>
      </c>
      <c r="C1413" s="155">
        <v>63</v>
      </c>
      <c r="D1413" s="55" t="s">
        <v>3955</v>
      </c>
      <c r="E1413" s="90" t="s">
        <v>920</v>
      </c>
      <c r="G1413" s="55" t="s">
        <v>921</v>
      </c>
      <c r="H1413" s="55">
        <v>1993</v>
      </c>
      <c r="I1413" s="55">
        <v>1989</v>
      </c>
      <c r="J1413" s="55" t="s">
        <v>282</v>
      </c>
      <c r="K1413" s="55" t="s">
        <v>938</v>
      </c>
      <c r="L1413" s="55" t="s">
        <v>2737</v>
      </c>
      <c r="M1413" s="90">
        <v>42.44</v>
      </c>
      <c r="N1413" s="90">
        <v>-76.52</v>
      </c>
      <c r="O1413" s="90">
        <v>188.1</v>
      </c>
      <c r="U1413" s="55" t="s">
        <v>1805</v>
      </c>
      <c r="V1413" s="55">
        <v>3</v>
      </c>
      <c r="Y1413" s="55" t="s">
        <v>1949</v>
      </c>
      <c r="Z1413" s="55" t="s">
        <v>1361</v>
      </c>
      <c r="AA1413" s="90" t="s">
        <v>1682</v>
      </c>
      <c r="AH1413" s="55" t="s">
        <v>6378</v>
      </c>
      <c r="AM1413" s="55" t="s">
        <v>1316</v>
      </c>
      <c r="AN1413" s="185" t="s">
        <v>131</v>
      </c>
      <c r="AO1413" s="185" t="s">
        <v>5150</v>
      </c>
      <c r="AQ1413" s="55" t="s">
        <v>131</v>
      </c>
      <c r="AR1413" s="55" t="s">
        <v>1565</v>
      </c>
      <c r="AS1413" s="55" t="s">
        <v>5133</v>
      </c>
      <c r="AU1413" s="181" t="s">
        <v>7494</v>
      </c>
      <c r="AV1413" s="185" t="s">
        <v>176</v>
      </c>
      <c r="AX1413" s="185" t="s">
        <v>176</v>
      </c>
      <c r="BK1413" s="55" t="s">
        <v>5976</v>
      </c>
      <c r="BM1413" s="192" t="s">
        <v>923</v>
      </c>
      <c r="BN1413" s="55">
        <v>6</v>
      </c>
      <c r="BO1413" s="55">
        <v>6</v>
      </c>
      <c r="BQ1413" s="55" t="s">
        <v>141</v>
      </c>
      <c r="BU1413" s="55" t="s">
        <v>1124</v>
      </c>
      <c r="BV1413" s="55" t="s">
        <v>934</v>
      </c>
      <c r="GD1413" s="65">
        <v>25.65</v>
      </c>
      <c r="GE1413" s="65">
        <v>25.65</v>
      </c>
      <c r="GP1413" s="292" t="s">
        <v>7494</v>
      </c>
      <c r="JU1413" s="55" t="s">
        <v>935</v>
      </c>
      <c r="JW1413" s="55" t="s">
        <v>1951</v>
      </c>
    </row>
    <row r="1414" spans="1:283" x14ac:dyDescent="0.25">
      <c r="A1414" s="55">
        <v>1413</v>
      </c>
      <c r="B1414" s="12" t="s">
        <v>7067</v>
      </c>
      <c r="C1414" s="155">
        <v>64</v>
      </c>
      <c r="D1414" s="55" t="s">
        <v>3956</v>
      </c>
      <c r="E1414" s="90" t="s">
        <v>936</v>
      </c>
      <c r="G1414" s="55" t="s">
        <v>937</v>
      </c>
      <c r="H1414" s="55">
        <v>2005</v>
      </c>
      <c r="I1414" s="55">
        <v>2001</v>
      </c>
      <c r="J1414" s="55" t="s">
        <v>309</v>
      </c>
      <c r="K1414" s="55" t="s">
        <v>939</v>
      </c>
      <c r="L1414" s="55" t="s">
        <v>2737</v>
      </c>
      <c r="M1414" s="90">
        <f>32+25/60</f>
        <v>32.416666666666664</v>
      </c>
      <c r="N1414" s="90">
        <f>-85-54/90</f>
        <v>-85.6</v>
      </c>
      <c r="O1414" s="90">
        <f>(69.8+70.1+68.5+69.4+69.6)/5</f>
        <v>69.47999999999999</v>
      </c>
      <c r="U1414" s="55" t="s">
        <v>1805</v>
      </c>
      <c r="V1414" s="55" t="s">
        <v>1816</v>
      </c>
      <c r="Y1414" s="55" t="s">
        <v>1952</v>
      </c>
      <c r="Z1414" s="55" t="s">
        <v>1356</v>
      </c>
      <c r="AA1414" s="90" t="s">
        <v>1680</v>
      </c>
      <c r="AD1414" s="90">
        <v>1.5</v>
      </c>
      <c r="AE1414" s="90">
        <f>(519+556+573+552+533)/5/1000*100</f>
        <v>54.66</v>
      </c>
      <c r="AF1414" s="90">
        <f>100-AE1414-(182+191+143+193+211)/5/1000*100</f>
        <v>26.940000000000005</v>
      </c>
      <c r="AH1414" s="55" t="s">
        <v>139</v>
      </c>
      <c r="AI1414" s="168">
        <v>6.5</v>
      </c>
      <c r="AJ1414" s="90">
        <f>(26.4+23.85+24.1+20.38+24.08)/5*1/(100*100*0.3*1.5)*100</f>
        <v>0.52804444444444432</v>
      </c>
      <c r="AM1414" s="55" t="s">
        <v>1317</v>
      </c>
      <c r="AN1414" s="185" t="s">
        <v>610</v>
      </c>
      <c r="AO1414" s="185" t="s">
        <v>5150</v>
      </c>
      <c r="AQ1414" s="55" t="s">
        <v>610</v>
      </c>
      <c r="AR1414" s="55" t="s">
        <v>132</v>
      </c>
      <c r="AS1414" s="55" t="s">
        <v>1584</v>
      </c>
      <c r="AT1414" s="181" t="s">
        <v>944</v>
      </c>
      <c r="AU1414" s="181" t="s">
        <v>5150</v>
      </c>
      <c r="AV1414" s="185" t="s">
        <v>176</v>
      </c>
      <c r="AW1414" s="55" t="s">
        <v>944</v>
      </c>
      <c r="AX1414" s="185" t="s">
        <v>176</v>
      </c>
      <c r="AY1414" s="55" t="s">
        <v>176</v>
      </c>
      <c r="AZ1414" s="55" t="s">
        <v>464</v>
      </c>
      <c r="BA1414" s="55" t="s">
        <v>941</v>
      </c>
      <c r="BB1414" s="55" t="s">
        <v>2081</v>
      </c>
      <c r="BC1414" s="55" t="s">
        <v>2081</v>
      </c>
      <c r="BD1414" s="55" t="s">
        <v>479</v>
      </c>
      <c r="BE1414" s="226" t="s">
        <v>940</v>
      </c>
      <c r="BG1414" s="55" t="s">
        <v>176</v>
      </c>
      <c r="BH1414" s="226" t="s">
        <v>940</v>
      </c>
      <c r="BI1414" s="55" t="s">
        <v>176</v>
      </c>
      <c r="BJ1414" s="55" t="s">
        <v>176</v>
      </c>
      <c r="BK1414" s="55" t="s">
        <v>5976</v>
      </c>
      <c r="BM1414" s="192" t="s">
        <v>160</v>
      </c>
      <c r="BN1414" s="55">
        <v>6</v>
      </c>
      <c r="BO1414" s="55">
        <v>6</v>
      </c>
      <c r="BQ1414" s="55" t="s">
        <v>141</v>
      </c>
      <c r="CB1414" s="66">
        <v>9520</v>
      </c>
      <c r="CC1414" s="66">
        <v>9880</v>
      </c>
      <c r="CG1414" s="65" t="s">
        <v>132</v>
      </c>
      <c r="GP1414" s="292" t="s">
        <v>7494</v>
      </c>
    </row>
    <row r="1415" spans="1:283" x14ac:dyDescent="0.25">
      <c r="A1415" s="55">
        <v>1414</v>
      </c>
      <c r="B1415" s="12" t="s">
        <v>7067</v>
      </c>
      <c r="C1415" s="155">
        <v>64</v>
      </c>
      <c r="D1415" s="55" t="s">
        <v>3957</v>
      </c>
      <c r="E1415" s="90" t="s">
        <v>936</v>
      </c>
      <c r="G1415" s="55" t="s">
        <v>937</v>
      </c>
      <c r="H1415" s="55">
        <v>2005</v>
      </c>
      <c r="I1415" s="55">
        <v>2001</v>
      </c>
      <c r="J1415" s="55" t="s">
        <v>309</v>
      </c>
      <c r="K1415" s="55" t="s">
        <v>939</v>
      </c>
      <c r="L1415" s="55" t="s">
        <v>2737</v>
      </c>
      <c r="M1415" s="90">
        <f>32+25/60</f>
        <v>32.416666666666664</v>
      </c>
      <c r="N1415" s="90">
        <f>-85-54/90</f>
        <v>-85.6</v>
      </c>
      <c r="O1415" s="90">
        <f>(69.8+70.1+68.5+69.4+69.6)/5</f>
        <v>69.47999999999999</v>
      </c>
      <c r="U1415" s="55" t="s">
        <v>1805</v>
      </c>
      <c r="V1415" s="55" t="s">
        <v>1816</v>
      </c>
      <c r="Y1415" s="55" t="s">
        <v>1952</v>
      </c>
      <c r="Z1415" s="55" t="s">
        <v>1356</v>
      </c>
      <c r="AA1415" s="90" t="s">
        <v>1680</v>
      </c>
      <c r="AD1415" s="90">
        <v>1.5</v>
      </c>
      <c r="AE1415" s="90">
        <f>(519+556+573+552+533)/5/1000*100</f>
        <v>54.66</v>
      </c>
      <c r="AF1415" s="90">
        <f>100-AE1415-(182+191+143+193+211)/5/1000*100</f>
        <v>26.940000000000005</v>
      </c>
      <c r="AH1415" s="55" t="s">
        <v>139</v>
      </c>
      <c r="AI1415" s="168">
        <v>6.5</v>
      </c>
      <c r="AJ1415" s="90">
        <f>(26.4+23.85+24.1+20.38+24.08)/5*1/(100*100*0.3*1.5)*100</f>
        <v>0.52804444444444432</v>
      </c>
      <c r="AM1415" s="55" t="s">
        <v>1317</v>
      </c>
      <c r="AN1415" s="185" t="s">
        <v>610</v>
      </c>
      <c r="AO1415" s="185" t="s">
        <v>5150</v>
      </c>
      <c r="AQ1415" s="55" t="s">
        <v>610</v>
      </c>
      <c r="AR1415" s="55" t="s">
        <v>560</v>
      </c>
      <c r="AS1415" s="55" t="s">
        <v>1584</v>
      </c>
      <c r="AT1415" s="181" t="s">
        <v>944</v>
      </c>
      <c r="AU1415" s="181" t="s">
        <v>5150</v>
      </c>
      <c r="AV1415" s="185" t="s">
        <v>176</v>
      </c>
      <c r="AW1415" s="55" t="s">
        <v>944</v>
      </c>
      <c r="AX1415" s="185" t="s">
        <v>176</v>
      </c>
      <c r="AY1415" s="55" t="s">
        <v>176</v>
      </c>
      <c r="AZ1415" s="55" t="s">
        <v>464</v>
      </c>
      <c r="BA1415" s="55" t="s">
        <v>941</v>
      </c>
      <c r="BB1415" s="55" t="s">
        <v>2081</v>
      </c>
      <c r="BC1415" s="55" t="s">
        <v>2081</v>
      </c>
      <c r="BD1415" s="55" t="s">
        <v>479</v>
      </c>
      <c r="BE1415" s="226" t="s">
        <v>940</v>
      </c>
      <c r="BG1415" s="55" t="s">
        <v>176</v>
      </c>
      <c r="BH1415" s="226" t="s">
        <v>940</v>
      </c>
      <c r="BI1415" s="55" t="s">
        <v>176</v>
      </c>
      <c r="BJ1415" s="55" t="s">
        <v>176</v>
      </c>
      <c r="BK1415" s="55" t="s">
        <v>5976</v>
      </c>
      <c r="BM1415" s="192" t="s">
        <v>160</v>
      </c>
      <c r="BN1415" s="55">
        <v>6</v>
      </c>
      <c r="BO1415" s="55">
        <v>6</v>
      </c>
      <c r="BQ1415" s="55" t="s">
        <v>141</v>
      </c>
      <c r="CB1415" s="66">
        <v>2760</v>
      </c>
      <c r="CC1415" s="66">
        <v>3100</v>
      </c>
      <c r="CG1415" s="65" t="s">
        <v>946</v>
      </c>
      <c r="GP1415" s="292" t="s">
        <v>7494</v>
      </c>
    </row>
    <row r="1416" spans="1:283" x14ac:dyDescent="0.25">
      <c r="A1416" s="55">
        <v>1415</v>
      </c>
      <c r="B1416" s="12" t="s">
        <v>7067</v>
      </c>
      <c r="C1416" s="155">
        <v>64</v>
      </c>
      <c r="D1416" s="55" t="s">
        <v>3958</v>
      </c>
      <c r="E1416" s="90" t="s">
        <v>936</v>
      </c>
      <c r="G1416" s="55" t="s">
        <v>937</v>
      </c>
      <c r="H1416" s="55">
        <v>2005</v>
      </c>
      <c r="I1416" s="55">
        <v>2002</v>
      </c>
      <c r="J1416" s="55" t="s">
        <v>309</v>
      </c>
      <c r="K1416" s="55" t="s">
        <v>939</v>
      </c>
      <c r="L1416" s="55" t="s">
        <v>2737</v>
      </c>
      <c r="M1416" s="90">
        <f>32+25/60</f>
        <v>32.416666666666664</v>
      </c>
      <c r="N1416" s="90">
        <f>-85-54/90</f>
        <v>-85.6</v>
      </c>
      <c r="O1416" s="90">
        <f>(69.8+70.1+68.5+69.4+69.6)/5</f>
        <v>69.47999999999999</v>
      </c>
      <c r="U1416" s="55" t="s">
        <v>1688</v>
      </c>
      <c r="V1416" s="55" t="s">
        <v>1816</v>
      </c>
      <c r="Y1416" s="55" t="s">
        <v>1952</v>
      </c>
      <c r="Z1416" s="55" t="s">
        <v>1361</v>
      </c>
      <c r="AA1416" s="90" t="s">
        <v>1682</v>
      </c>
      <c r="AD1416" s="90">
        <v>1.5</v>
      </c>
      <c r="AE1416" s="90">
        <f>(519+556+573+552+533)/5/1000*100</f>
        <v>54.66</v>
      </c>
      <c r="AF1416" s="90">
        <f>100-AE1416-(182+191+143+193+211)/5/1000*100</f>
        <v>26.940000000000005</v>
      </c>
      <c r="AH1416" s="55" t="s">
        <v>139</v>
      </c>
      <c r="AI1416" s="168">
        <v>6.5</v>
      </c>
      <c r="AJ1416" s="90">
        <f>(26.4+23.85+24.1+20.38+24.08)/5*1/(100*100*0.3*1.5)*100</f>
        <v>0.52804444444444432</v>
      </c>
      <c r="AM1416" s="55" t="s">
        <v>1317</v>
      </c>
      <c r="AN1416" s="185" t="s">
        <v>610</v>
      </c>
      <c r="AO1416" s="185" t="s">
        <v>5150</v>
      </c>
      <c r="AQ1416" s="55" t="s">
        <v>610</v>
      </c>
      <c r="AR1416" s="55" t="s">
        <v>560</v>
      </c>
      <c r="AS1416" s="55" t="s">
        <v>1584</v>
      </c>
      <c r="AT1416" s="181" t="s">
        <v>944</v>
      </c>
      <c r="AU1416" s="181" t="s">
        <v>5150</v>
      </c>
      <c r="AV1416" s="185" t="s">
        <v>176</v>
      </c>
      <c r="AW1416" s="55" t="s">
        <v>944</v>
      </c>
      <c r="AX1416" s="185" t="s">
        <v>176</v>
      </c>
      <c r="AY1416" s="55" t="s">
        <v>176</v>
      </c>
      <c r="AZ1416" s="55" t="s">
        <v>464</v>
      </c>
      <c r="BA1416" s="55" t="s">
        <v>941</v>
      </c>
      <c r="BB1416" s="55" t="s">
        <v>2081</v>
      </c>
      <c r="BC1416" s="55" t="s">
        <v>2081</v>
      </c>
      <c r="BD1416" s="55" t="s">
        <v>479</v>
      </c>
      <c r="BE1416" s="226" t="s">
        <v>940</v>
      </c>
      <c r="BG1416" s="55" t="s">
        <v>176</v>
      </c>
      <c r="BH1416" s="226" t="s">
        <v>940</v>
      </c>
      <c r="BI1416" s="55" t="s">
        <v>176</v>
      </c>
      <c r="BJ1416" s="55" t="s">
        <v>176</v>
      </c>
      <c r="BK1416" s="55" t="s">
        <v>5976</v>
      </c>
      <c r="BM1416" s="192" t="s">
        <v>160</v>
      </c>
      <c r="BN1416" s="55">
        <v>6</v>
      </c>
      <c r="BO1416" s="55">
        <v>6</v>
      </c>
      <c r="BQ1416" s="55" t="s">
        <v>141</v>
      </c>
      <c r="CB1416" s="66">
        <v>1260</v>
      </c>
      <c r="CC1416" s="66">
        <v>1610</v>
      </c>
      <c r="CG1416" s="65" t="s">
        <v>946</v>
      </c>
      <c r="CH1416" s="90">
        <v>1.35</v>
      </c>
      <c r="CI1416" s="90">
        <v>1.39</v>
      </c>
      <c r="CM1416" s="65">
        <f>(CR1416*1000000)/(100*100*CH1416*AA1416/100*1000000)*100</f>
        <v>0.74370370370370376</v>
      </c>
      <c r="CN1416" s="65">
        <f>(CS1416*1000000)/(100*100*CI1416*AA1416/100*1000000)*100</f>
        <v>1.0964028776978421</v>
      </c>
      <c r="CR1416" s="65">
        <f>5.02</f>
        <v>5.0199999999999996</v>
      </c>
      <c r="CS1416" s="65">
        <f>7.62</f>
        <v>7.62</v>
      </c>
      <c r="CV1416" s="65" t="s">
        <v>4337</v>
      </c>
      <c r="DA1416" s="65" t="s">
        <v>4462</v>
      </c>
      <c r="GP1416" s="292" t="s">
        <v>7494</v>
      </c>
    </row>
    <row r="1417" spans="1:283" x14ac:dyDescent="0.25">
      <c r="A1417" s="55">
        <v>1416</v>
      </c>
      <c r="B1417" s="12" t="s">
        <v>7067</v>
      </c>
      <c r="C1417" s="155">
        <v>64</v>
      </c>
      <c r="D1417" s="55" t="s">
        <v>3959</v>
      </c>
      <c r="E1417" s="90" t="s">
        <v>936</v>
      </c>
      <c r="G1417" s="55" t="s">
        <v>937</v>
      </c>
      <c r="H1417" s="55">
        <v>2005</v>
      </c>
      <c r="I1417" s="55">
        <v>2002</v>
      </c>
      <c r="J1417" s="55" t="s">
        <v>309</v>
      </c>
      <c r="K1417" s="55" t="s">
        <v>939</v>
      </c>
      <c r="L1417" s="55" t="s">
        <v>2737</v>
      </c>
      <c r="M1417" s="90">
        <f>32+25/60</f>
        <v>32.416666666666664</v>
      </c>
      <c r="N1417" s="90">
        <f>-85-54/90</f>
        <v>-85.6</v>
      </c>
      <c r="O1417" s="90">
        <f>(69.8+70.1+68.5+69.4+69.6)/5</f>
        <v>69.47999999999999</v>
      </c>
      <c r="U1417" s="55" t="s">
        <v>1688</v>
      </c>
      <c r="V1417" s="55" t="s">
        <v>1816</v>
      </c>
      <c r="Y1417" s="55" t="s">
        <v>1952</v>
      </c>
      <c r="Z1417" s="55" t="s">
        <v>1379</v>
      </c>
      <c r="AA1417" s="90" t="s">
        <v>1679</v>
      </c>
      <c r="AD1417" s="90">
        <v>1.5</v>
      </c>
      <c r="AE1417" s="90">
        <f>(519+556+573+552+533)/5/1000*100</f>
        <v>54.66</v>
      </c>
      <c r="AF1417" s="90">
        <f>100-AE1417-(182+191+143+193+211)/5/1000*100</f>
        <v>26.940000000000005</v>
      </c>
      <c r="AH1417" s="55" t="s">
        <v>139</v>
      </c>
      <c r="AI1417" s="168">
        <v>6.5</v>
      </c>
      <c r="AJ1417" s="90">
        <f>(26.4+23.85+24.1+20.38+24.08)/5*1/(100*100*0.3*1.5)*100</f>
        <v>0.52804444444444432</v>
      </c>
      <c r="AM1417" s="55" t="s">
        <v>1317</v>
      </c>
      <c r="AN1417" s="185" t="s">
        <v>610</v>
      </c>
      <c r="AO1417" s="185" t="s">
        <v>5150</v>
      </c>
      <c r="AQ1417" s="55" t="s">
        <v>610</v>
      </c>
      <c r="AR1417" s="55" t="s">
        <v>132</v>
      </c>
      <c r="AS1417" s="55" t="s">
        <v>1584</v>
      </c>
      <c r="AT1417" s="181" t="s">
        <v>944</v>
      </c>
      <c r="AU1417" s="181" t="s">
        <v>5150</v>
      </c>
      <c r="AV1417" s="185" t="s">
        <v>176</v>
      </c>
      <c r="AW1417" s="55" t="s">
        <v>944</v>
      </c>
      <c r="AX1417" s="185" t="s">
        <v>176</v>
      </c>
      <c r="AY1417" s="55" t="s">
        <v>176</v>
      </c>
      <c r="AZ1417" s="55" t="s">
        <v>464</v>
      </c>
      <c r="BA1417" s="55" t="s">
        <v>941</v>
      </c>
      <c r="BB1417" s="55" t="s">
        <v>2081</v>
      </c>
      <c r="BC1417" s="55" t="s">
        <v>2081</v>
      </c>
      <c r="BD1417" s="55" t="s">
        <v>479</v>
      </c>
      <c r="BE1417" s="226" t="s">
        <v>940</v>
      </c>
      <c r="BG1417" s="55" t="s">
        <v>479</v>
      </c>
      <c r="BH1417" s="226" t="s">
        <v>940</v>
      </c>
      <c r="BI1417" s="55" t="s">
        <v>479</v>
      </c>
      <c r="BJ1417" s="55" t="s">
        <v>176</v>
      </c>
      <c r="BK1417" s="55" t="s">
        <v>5976</v>
      </c>
      <c r="BM1417" s="192" t="s">
        <v>160</v>
      </c>
      <c r="BN1417" s="55">
        <v>6</v>
      </c>
      <c r="BO1417" s="55">
        <v>6</v>
      </c>
      <c r="BQ1417" s="55" t="s">
        <v>141</v>
      </c>
      <c r="CB1417" s="66">
        <v>6770</v>
      </c>
      <c r="CC1417" s="66">
        <v>8720</v>
      </c>
      <c r="CG1417" s="65" t="s">
        <v>132</v>
      </c>
      <c r="CH1417" s="90">
        <v>1.57</v>
      </c>
      <c r="CI1417" s="90">
        <v>1.62</v>
      </c>
      <c r="CM1417" s="65">
        <f>(CR1417*1000000)/(100*100*CH1417*AA1417/100*1000000)*100</f>
        <v>0.61210191082802545</v>
      </c>
      <c r="CN1417" s="65">
        <f>(CS1417*1000000)/(100*100*CI1417*AA1417/100*1000000)*100</f>
        <v>0.58148148148148149</v>
      </c>
      <c r="CR1417" s="65">
        <f>9.61</f>
        <v>9.61</v>
      </c>
      <c r="CS1417" s="65">
        <f>9.42</f>
        <v>9.42</v>
      </c>
      <c r="CV1417" s="65" t="s">
        <v>4337</v>
      </c>
      <c r="DA1417" s="65" t="s">
        <v>4462</v>
      </c>
      <c r="GP1417" s="292" t="s">
        <v>7494</v>
      </c>
    </row>
    <row r="1418" spans="1:283" x14ac:dyDescent="0.25">
      <c r="A1418" s="55">
        <v>1417</v>
      </c>
      <c r="B1418" s="12" t="s">
        <v>7067</v>
      </c>
      <c r="C1418" s="155">
        <v>64</v>
      </c>
      <c r="D1418" s="55" t="s">
        <v>3960</v>
      </c>
      <c r="E1418" s="90" t="s">
        <v>936</v>
      </c>
      <c r="G1418" s="55" t="s">
        <v>937</v>
      </c>
      <c r="H1418" s="55">
        <v>2005</v>
      </c>
      <c r="I1418" s="55">
        <v>2002</v>
      </c>
      <c r="J1418" s="55" t="s">
        <v>309</v>
      </c>
      <c r="K1418" s="55" t="s">
        <v>939</v>
      </c>
      <c r="L1418" s="55" t="s">
        <v>2737</v>
      </c>
      <c r="M1418" s="90">
        <f>32+25/60</f>
        <v>32.416666666666664</v>
      </c>
      <c r="N1418" s="90">
        <f>-85-54/90</f>
        <v>-85.6</v>
      </c>
      <c r="O1418" s="90">
        <f>(69.8+70.1+68.5+69.4+69.6)/5</f>
        <v>69.47999999999999</v>
      </c>
      <c r="U1418" s="55" t="s">
        <v>1688</v>
      </c>
      <c r="V1418" s="55" t="s">
        <v>1816</v>
      </c>
      <c r="Y1418" s="55" t="s">
        <v>1952</v>
      </c>
      <c r="Z1418" s="55" t="s">
        <v>1357</v>
      </c>
      <c r="AA1418" s="90" t="s">
        <v>1677</v>
      </c>
      <c r="AD1418" s="90">
        <v>1.5</v>
      </c>
      <c r="AE1418" s="90">
        <f>(519+556+573+552+533)/5/1000*100</f>
        <v>54.66</v>
      </c>
      <c r="AF1418" s="90">
        <f>100-AE1418-(182+191+143+193+211)/5/1000*100</f>
        <v>26.940000000000005</v>
      </c>
      <c r="AH1418" s="55" t="s">
        <v>139</v>
      </c>
      <c r="AI1418" s="168">
        <v>6.5</v>
      </c>
      <c r="AJ1418" s="90">
        <f>(26.4+23.85+24.1+20.38+24.08)/5*1/(100*100*0.3*1.5)*100</f>
        <v>0.52804444444444432</v>
      </c>
      <c r="AM1418" s="55" t="s">
        <v>1317</v>
      </c>
      <c r="AN1418" s="185" t="s">
        <v>610</v>
      </c>
      <c r="AO1418" s="185" t="s">
        <v>5150</v>
      </c>
      <c r="AQ1418" s="55" t="s">
        <v>610</v>
      </c>
      <c r="AR1418" s="55" t="s">
        <v>560</v>
      </c>
      <c r="AS1418" s="55" t="s">
        <v>1584</v>
      </c>
      <c r="AT1418" s="181" t="s">
        <v>944</v>
      </c>
      <c r="AU1418" s="181" t="s">
        <v>5150</v>
      </c>
      <c r="AV1418" s="185" t="s">
        <v>176</v>
      </c>
      <c r="AW1418" s="55" t="s">
        <v>944</v>
      </c>
      <c r="AX1418" s="185" t="s">
        <v>176</v>
      </c>
      <c r="AY1418" s="55" t="s">
        <v>176</v>
      </c>
      <c r="AZ1418" s="55" t="s">
        <v>464</v>
      </c>
      <c r="BA1418" s="55" t="s">
        <v>941</v>
      </c>
      <c r="BB1418" s="55" t="s">
        <v>2081</v>
      </c>
      <c r="BC1418" s="55" t="s">
        <v>2081</v>
      </c>
      <c r="BD1418" s="55" t="s">
        <v>479</v>
      </c>
      <c r="BE1418" s="226" t="s">
        <v>940</v>
      </c>
      <c r="BG1418" s="55" t="s">
        <v>479</v>
      </c>
      <c r="BH1418" s="226" t="s">
        <v>940</v>
      </c>
      <c r="BI1418" s="55" t="s">
        <v>479</v>
      </c>
      <c r="BJ1418" s="55" t="s">
        <v>176</v>
      </c>
      <c r="BK1418" s="55" t="s">
        <v>5976</v>
      </c>
      <c r="BM1418" s="192" t="s">
        <v>160</v>
      </c>
      <c r="BN1418" s="55">
        <v>6</v>
      </c>
      <c r="BO1418" s="55">
        <v>6</v>
      </c>
      <c r="BQ1418" s="55" t="s">
        <v>141</v>
      </c>
      <c r="CH1418" s="90">
        <v>1.59</v>
      </c>
      <c r="CI1418" s="90">
        <v>1.57</v>
      </c>
      <c r="CM1418" s="65">
        <f>(CR1418*1000000)/(100*100*CH1418*AA1418/100*1000000)*100</f>
        <v>0.36771488469601676</v>
      </c>
      <c r="CN1418" s="65">
        <f>(CS1418*1000000)/(100*100*CI1418*AA1418/100*1000000)*100</f>
        <v>0.38556263269639063</v>
      </c>
      <c r="CR1418" s="65">
        <f>8.77</f>
        <v>8.77</v>
      </c>
      <c r="CS1418" s="65">
        <f>9.08</f>
        <v>9.08</v>
      </c>
      <c r="CV1418" s="65" t="s">
        <v>4337</v>
      </c>
      <c r="DA1418" s="65" t="s">
        <v>4462</v>
      </c>
      <c r="GP1418" s="292" t="s">
        <v>7494</v>
      </c>
    </row>
    <row r="1419" spans="1:283" x14ac:dyDescent="0.25">
      <c r="A1419" s="55">
        <v>1418</v>
      </c>
      <c r="B1419" s="12" t="s">
        <v>7067</v>
      </c>
      <c r="C1419" s="155">
        <v>64</v>
      </c>
      <c r="D1419" s="55" t="s">
        <v>3956</v>
      </c>
      <c r="E1419" s="90" t="s">
        <v>936</v>
      </c>
      <c r="G1419" s="55" t="s">
        <v>937</v>
      </c>
      <c r="H1419" s="55">
        <v>2005</v>
      </c>
      <c r="I1419" s="55">
        <v>2001</v>
      </c>
      <c r="J1419" s="55" t="s">
        <v>309</v>
      </c>
      <c r="K1419" s="55" t="s">
        <v>939</v>
      </c>
      <c r="L1419" s="55" t="s">
        <v>2737</v>
      </c>
      <c r="M1419" s="90">
        <f>32+25/60</f>
        <v>32.416666666666664</v>
      </c>
      <c r="N1419" s="90">
        <f>-85-54/90</f>
        <v>-85.6</v>
      </c>
      <c r="O1419" s="90">
        <v>69.47999999999999</v>
      </c>
      <c r="U1419" s="55" t="s">
        <v>1805</v>
      </c>
      <c r="V1419" s="55" t="s">
        <v>1816</v>
      </c>
      <c r="Y1419" s="55" t="s">
        <v>1952</v>
      </c>
      <c r="Z1419" s="55" t="s">
        <v>1356</v>
      </c>
      <c r="AA1419" s="90" t="s">
        <v>1680</v>
      </c>
      <c r="AD1419" s="90">
        <v>1.5</v>
      </c>
      <c r="AE1419" s="90">
        <v>54.66</v>
      </c>
      <c r="AF1419" s="90">
        <v>26.940000000000005</v>
      </c>
      <c r="AH1419" s="55" t="s">
        <v>139</v>
      </c>
      <c r="AI1419" s="168">
        <v>6.5</v>
      </c>
      <c r="AJ1419" s="90">
        <v>0.52804444444444432</v>
      </c>
      <c r="AM1419" s="55" t="s">
        <v>1317</v>
      </c>
      <c r="AN1419" s="185" t="s">
        <v>610</v>
      </c>
      <c r="AO1419" s="185" t="s">
        <v>5150</v>
      </c>
      <c r="AQ1419" s="55" t="s">
        <v>610</v>
      </c>
      <c r="AR1419" s="55" t="s">
        <v>132</v>
      </c>
      <c r="AS1419" s="55" t="s">
        <v>1584</v>
      </c>
      <c r="AT1419" s="181" t="s">
        <v>944</v>
      </c>
      <c r="AU1419" s="181" t="s">
        <v>5150</v>
      </c>
      <c r="AV1419" s="185" t="s">
        <v>176</v>
      </c>
      <c r="AW1419" s="55" t="s">
        <v>944</v>
      </c>
      <c r="AX1419" s="185" t="s">
        <v>176</v>
      </c>
      <c r="AY1419" s="55" t="s">
        <v>176</v>
      </c>
      <c r="AZ1419" s="55" t="s">
        <v>464</v>
      </c>
      <c r="BA1419" s="55" t="s">
        <v>941</v>
      </c>
      <c r="BB1419" s="55" t="s">
        <v>2081</v>
      </c>
      <c r="BC1419" s="55" t="s">
        <v>2081</v>
      </c>
      <c r="BD1419" s="55" t="s">
        <v>479</v>
      </c>
      <c r="BE1419" s="226" t="s">
        <v>942</v>
      </c>
      <c r="BG1419" s="55" t="s">
        <v>479</v>
      </c>
      <c r="BH1419" s="226" t="s">
        <v>945</v>
      </c>
      <c r="BI1419" s="55" t="s">
        <v>479</v>
      </c>
      <c r="BJ1419" s="55" t="s">
        <v>176</v>
      </c>
      <c r="BK1419" s="55" t="s">
        <v>5976</v>
      </c>
      <c r="BM1419" s="192" t="s">
        <v>160</v>
      </c>
      <c r="BN1419" s="55">
        <v>6</v>
      </c>
      <c r="BO1419" s="55">
        <v>6</v>
      </c>
      <c r="BQ1419" s="55" t="s">
        <v>141</v>
      </c>
      <c r="CB1419" s="66">
        <v>9990</v>
      </c>
      <c r="CC1419" s="66">
        <v>10010</v>
      </c>
      <c r="CG1419" s="65" t="s">
        <v>132</v>
      </c>
      <c r="GP1419" s="292" t="s">
        <v>7494</v>
      </c>
    </row>
    <row r="1420" spans="1:283" x14ac:dyDescent="0.25">
      <c r="A1420" s="55">
        <v>1419</v>
      </c>
      <c r="B1420" s="12" t="s">
        <v>7067</v>
      </c>
      <c r="C1420" s="155">
        <v>64</v>
      </c>
      <c r="D1420" s="55" t="s">
        <v>3957</v>
      </c>
      <c r="E1420" s="90" t="s">
        <v>936</v>
      </c>
      <c r="G1420" s="55" t="s">
        <v>937</v>
      </c>
      <c r="H1420" s="55">
        <v>2005</v>
      </c>
      <c r="I1420" s="55">
        <v>2001</v>
      </c>
      <c r="J1420" s="55" t="s">
        <v>309</v>
      </c>
      <c r="K1420" s="55" t="s">
        <v>939</v>
      </c>
      <c r="L1420" s="55" t="s">
        <v>2737</v>
      </c>
      <c r="M1420" s="90">
        <f>32+25/60</f>
        <v>32.416666666666664</v>
      </c>
      <c r="N1420" s="90">
        <f>-85-54/90</f>
        <v>-85.6</v>
      </c>
      <c r="O1420" s="90">
        <v>69.47999999999999</v>
      </c>
      <c r="U1420" s="55" t="s">
        <v>1805</v>
      </c>
      <c r="V1420" s="55" t="s">
        <v>1816</v>
      </c>
      <c r="Y1420" s="55" t="s">
        <v>1952</v>
      </c>
      <c r="Z1420" s="55" t="s">
        <v>1356</v>
      </c>
      <c r="AA1420" s="90" t="s">
        <v>1680</v>
      </c>
      <c r="AD1420" s="90">
        <v>1.5</v>
      </c>
      <c r="AE1420" s="90">
        <v>54.66</v>
      </c>
      <c r="AF1420" s="90">
        <v>26.940000000000005</v>
      </c>
      <c r="AH1420" s="55" t="s">
        <v>139</v>
      </c>
      <c r="AI1420" s="168">
        <v>6.5</v>
      </c>
      <c r="AJ1420" s="90">
        <v>0.52804444444444432</v>
      </c>
      <c r="AM1420" s="55" t="s">
        <v>1317</v>
      </c>
      <c r="AN1420" s="185" t="s">
        <v>610</v>
      </c>
      <c r="AO1420" s="185" t="s">
        <v>5150</v>
      </c>
      <c r="AQ1420" s="55" t="s">
        <v>610</v>
      </c>
      <c r="AR1420" s="55" t="s">
        <v>560</v>
      </c>
      <c r="AS1420" s="55" t="s">
        <v>1584</v>
      </c>
      <c r="AT1420" s="181" t="s">
        <v>944</v>
      </c>
      <c r="AU1420" s="181" t="s">
        <v>5150</v>
      </c>
      <c r="AV1420" s="185" t="s">
        <v>176</v>
      </c>
      <c r="AW1420" s="55" t="s">
        <v>944</v>
      </c>
      <c r="AX1420" s="185" t="s">
        <v>176</v>
      </c>
      <c r="AY1420" s="55" t="s">
        <v>176</v>
      </c>
      <c r="AZ1420" s="55" t="s">
        <v>464</v>
      </c>
      <c r="BA1420" s="55" t="s">
        <v>941</v>
      </c>
      <c r="BB1420" s="55" t="s">
        <v>2081</v>
      </c>
      <c r="BC1420" s="55" t="s">
        <v>2081</v>
      </c>
      <c r="BD1420" s="55" t="s">
        <v>479</v>
      </c>
      <c r="BE1420" s="226" t="s">
        <v>942</v>
      </c>
      <c r="BG1420" s="55" t="s">
        <v>479</v>
      </c>
      <c r="BH1420" s="226" t="s">
        <v>945</v>
      </c>
      <c r="BI1420" s="55" t="s">
        <v>479</v>
      </c>
      <c r="BJ1420" s="55" t="s">
        <v>176</v>
      </c>
      <c r="BK1420" s="55" t="s">
        <v>5976</v>
      </c>
      <c r="BM1420" s="192" t="s">
        <v>160</v>
      </c>
      <c r="BN1420" s="55">
        <v>6</v>
      </c>
      <c r="BO1420" s="55">
        <v>6</v>
      </c>
      <c r="BQ1420" s="55" t="s">
        <v>141</v>
      </c>
      <c r="CB1420" s="66">
        <v>2900</v>
      </c>
      <c r="CC1420" s="66">
        <v>3140</v>
      </c>
      <c r="CG1420" s="65" t="s">
        <v>560</v>
      </c>
      <c r="GP1420" s="292" t="s">
        <v>7494</v>
      </c>
    </row>
    <row r="1421" spans="1:283" x14ac:dyDescent="0.25">
      <c r="A1421" s="55">
        <v>1420</v>
      </c>
      <c r="B1421" s="12" t="s">
        <v>7067</v>
      </c>
      <c r="C1421" s="155">
        <v>64</v>
      </c>
      <c r="D1421" s="55" t="s">
        <v>3958</v>
      </c>
      <c r="E1421" s="90" t="s">
        <v>936</v>
      </c>
      <c r="G1421" s="55" t="s">
        <v>937</v>
      </c>
      <c r="H1421" s="55">
        <v>2005</v>
      </c>
      <c r="I1421" s="55">
        <v>2002</v>
      </c>
      <c r="J1421" s="55" t="s">
        <v>309</v>
      </c>
      <c r="K1421" s="55" t="s">
        <v>939</v>
      </c>
      <c r="L1421" s="55" t="s">
        <v>2737</v>
      </c>
      <c r="M1421" s="90">
        <f>32+25/60</f>
        <v>32.416666666666664</v>
      </c>
      <c r="N1421" s="90">
        <f>-85-54/90</f>
        <v>-85.6</v>
      </c>
      <c r="O1421" s="90">
        <v>69.47999999999999</v>
      </c>
      <c r="U1421" s="55" t="s">
        <v>1688</v>
      </c>
      <c r="V1421" s="55" t="s">
        <v>1816</v>
      </c>
      <c r="Y1421" s="55" t="s">
        <v>1952</v>
      </c>
      <c r="Z1421" s="55" t="s">
        <v>1361</v>
      </c>
      <c r="AA1421" s="90" t="s">
        <v>1682</v>
      </c>
      <c r="AD1421" s="90">
        <v>1.5</v>
      </c>
      <c r="AE1421" s="90">
        <v>54.66</v>
      </c>
      <c r="AF1421" s="90">
        <v>26.940000000000005</v>
      </c>
      <c r="AH1421" s="55" t="s">
        <v>139</v>
      </c>
      <c r="AI1421" s="168">
        <v>6.5</v>
      </c>
      <c r="AJ1421" s="90">
        <v>0.52804444444444432</v>
      </c>
      <c r="AM1421" s="55" t="s">
        <v>1317</v>
      </c>
      <c r="AN1421" s="185" t="s">
        <v>610</v>
      </c>
      <c r="AO1421" s="185" t="s">
        <v>5150</v>
      </c>
      <c r="AQ1421" s="55" t="s">
        <v>610</v>
      </c>
      <c r="AR1421" s="55" t="s">
        <v>560</v>
      </c>
      <c r="AS1421" s="55" t="s">
        <v>1584</v>
      </c>
      <c r="AT1421" s="181" t="s">
        <v>944</v>
      </c>
      <c r="AU1421" s="181" t="s">
        <v>5150</v>
      </c>
      <c r="AV1421" s="185" t="s">
        <v>176</v>
      </c>
      <c r="AW1421" s="55" t="s">
        <v>944</v>
      </c>
      <c r="AX1421" s="185" t="s">
        <v>176</v>
      </c>
      <c r="AY1421" s="55" t="s">
        <v>176</v>
      </c>
      <c r="AZ1421" s="55" t="s">
        <v>464</v>
      </c>
      <c r="BA1421" s="55" t="s">
        <v>941</v>
      </c>
      <c r="BB1421" s="55" t="s">
        <v>2081</v>
      </c>
      <c r="BC1421" s="55" t="s">
        <v>2081</v>
      </c>
      <c r="BD1421" s="55" t="s">
        <v>479</v>
      </c>
      <c r="BE1421" s="226" t="s">
        <v>942</v>
      </c>
      <c r="BG1421" s="55" t="s">
        <v>479</v>
      </c>
      <c r="BH1421" s="226" t="s">
        <v>945</v>
      </c>
      <c r="BI1421" s="55" t="s">
        <v>479</v>
      </c>
      <c r="BJ1421" s="55" t="s">
        <v>176</v>
      </c>
      <c r="BK1421" s="55" t="s">
        <v>5976</v>
      </c>
      <c r="BM1421" s="192" t="s">
        <v>160</v>
      </c>
      <c r="BN1421" s="55">
        <v>6</v>
      </c>
      <c r="BO1421" s="55">
        <v>6</v>
      </c>
      <c r="BQ1421" s="55" t="s">
        <v>141</v>
      </c>
      <c r="CB1421" s="66">
        <v>1350</v>
      </c>
      <c r="CC1421" s="66">
        <v>1630</v>
      </c>
      <c r="CG1421" s="65" t="s">
        <v>560</v>
      </c>
      <c r="CH1421" s="90">
        <v>1.28</v>
      </c>
      <c r="CI1421" s="90">
        <v>1.3</v>
      </c>
      <c r="CM1421" s="65">
        <f>(CR1421*1000000)/(100*100*CH1421*AA1421/100*1000000)*100</f>
        <v>1.14375</v>
      </c>
      <c r="CN1421" s="65">
        <f>(CS1421*1000000)/(100*100*CI1421*AA1421/100*1000000)*100</f>
        <v>1.9861538461538462</v>
      </c>
      <c r="CR1421" s="65">
        <f>7.32</f>
        <v>7.32</v>
      </c>
      <c r="CS1421" s="65">
        <f>12.91</f>
        <v>12.91</v>
      </c>
      <c r="CV1421" s="65" t="s">
        <v>4337</v>
      </c>
      <c r="DA1421" s="65" t="s">
        <v>4462</v>
      </c>
      <c r="GP1421" s="292" t="s">
        <v>7494</v>
      </c>
    </row>
    <row r="1422" spans="1:283" x14ac:dyDescent="0.25">
      <c r="A1422" s="55">
        <v>1421</v>
      </c>
      <c r="B1422" s="12" t="s">
        <v>7067</v>
      </c>
      <c r="C1422" s="155">
        <v>64</v>
      </c>
      <c r="D1422" s="55" t="s">
        <v>3959</v>
      </c>
      <c r="E1422" s="90" t="s">
        <v>936</v>
      </c>
      <c r="G1422" s="55" t="s">
        <v>937</v>
      </c>
      <c r="H1422" s="55">
        <v>2005</v>
      </c>
      <c r="I1422" s="55">
        <v>2002</v>
      </c>
      <c r="J1422" s="55" t="s">
        <v>309</v>
      </c>
      <c r="K1422" s="55" t="s">
        <v>939</v>
      </c>
      <c r="L1422" s="55" t="s">
        <v>2737</v>
      </c>
      <c r="M1422" s="90">
        <f>32+25/60</f>
        <v>32.416666666666664</v>
      </c>
      <c r="N1422" s="90">
        <f>-85-54/90</f>
        <v>-85.6</v>
      </c>
      <c r="O1422" s="90">
        <v>69.47999999999999</v>
      </c>
      <c r="U1422" s="55" t="s">
        <v>1688</v>
      </c>
      <c r="V1422" s="55" t="s">
        <v>1816</v>
      </c>
      <c r="Y1422" s="55" t="s">
        <v>1952</v>
      </c>
      <c r="Z1422" s="55" t="s">
        <v>1379</v>
      </c>
      <c r="AA1422" s="90" t="s">
        <v>1679</v>
      </c>
      <c r="AD1422" s="90">
        <v>1.5</v>
      </c>
      <c r="AE1422" s="90">
        <v>54.66</v>
      </c>
      <c r="AF1422" s="90">
        <v>26.940000000000005</v>
      </c>
      <c r="AH1422" s="55" t="s">
        <v>139</v>
      </c>
      <c r="AI1422" s="168">
        <v>6.5</v>
      </c>
      <c r="AJ1422" s="90">
        <v>0.52804444444444432</v>
      </c>
      <c r="AM1422" s="55" t="s">
        <v>1317</v>
      </c>
      <c r="AN1422" s="185" t="s">
        <v>610</v>
      </c>
      <c r="AO1422" s="185" t="s">
        <v>5150</v>
      </c>
      <c r="AQ1422" s="55" t="s">
        <v>610</v>
      </c>
      <c r="AR1422" s="55" t="s">
        <v>132</v>
      </c>
      <c r="AS1422" s="55" t="s">
        <v>1584</v>
      </c>
      <c r="AT1422" s="181" t="s">
        <v>944</v>
      </c>
      <c r="AU1422" s="181" t="s">
        <v>5150</v>
      </c>
      <c r="AV1422" s="185" t="s">
        <v>176</v>
      </c>
      <c r="AW1422" s="55" t="s">
        <v>944</v>
      </c>
      <c r="AX1422" s="185" t="s">
        <v>176</v>
      </c>
      <c r="AY1422" s="55" t="s">
        <v>176</v>
      </c>
      <c r="AZ1422" s="55" t="s">
        <v>464</v>
      </c>
      <c r="BA1422" s="55" t="s">
        <v>941</v>
      </c>
      <c r="BB1422" s="55" t="s">
        <v>2081</v>
      </c>
      <c r="BC1422" s="55" t="s">
        <v>2081</v>
      </c>
      <c r="BD1422" s="55" t="s">
        <v>479</v>
      </c>
      <c r="BE1422" s="226" t="s">
        <v>942</v>
      </c>
      <c r="BG1422" s="55" t="s">
        <v>479</v>
      </c>
      <c r="BH1422" s="226" t="s">
        <v>945</v>
      </c>
      <c r="BI1422" s="55" t="s">
        <v>479</v>
      </c>
      <c r="BJ1422" s="55" t="s">
        <v>176</v>
      </c>
      <c r="BK1422" s="55" t="s">
        <v>5976</v>
      </c>
      <c r="BM1422" s="192" t="s">
        <v>160</v>
      </c>
      <c r="BN1422" s="55">
        <v>6</v>
      </c>
      <c r="BO1422" s="55">
        <v>6</v>
      </c>
      <c r="BQ1422" s="55" t="s">
        <v>141</v>
      </c>
      <c r="CB1422" s="66">
        <v>6640</v>
      </c>
      <c r="CC1422" s="66">
        <v>9040</v>
      </c>
      <c r="CG1422" s="65" t="s">
        <v>132</v>
      </c>
      <c r="CH1422" s="90">
        <v>1.52</v>
      </c>
      <c r="CI1422" s="90">
        <v>1.62</v>
      </c>
      <c r="CM1422" s="65">
        <f>(CR1422*1000000)/(100*100*CH1422*AA1422/100*1000000)*100</f>
        <v>0.77500000000000002</v>
      </c>
      <c r="CN1422" s="65">
        <f>(CS1422*1000000)/(100*100*CI1422*AA1422/100*1000000)*100</f>
        <v>0.60123456790123453</v>
      </c>
      <c r="CR1422" s="65">
        <f>11.78</f>
        <v>11.78</v>
      </c>
      <c r="CS1422" s="65">
        <f>9.74</f>
        <v>9.74</v>
      </c>
      <c r="CV1422" s="65" t="s">
        <v>4337</v>
      </c>
      <c r="DA1422" s="65" t="s">
        <v>4462</v>
      </c>
      <c r="GP1422" s="292" t="s">
        <v>7494</v>
      </c>
    </row>
    <row r="1423" spans="1:283" x14ac:dyDescent="0.25">
      <c r="A1423" s="55">
        <v>1422</v>
      </c>
      <c r="B1423" s="12" t="s">
        <v>7067</v>
      </c>
      <c r="C1423" s="155">
        <v>64</v>
      </c>
      <c r="D1423" s="55" t="s">
        <v>3960</v>
      </c>
      <c r="E1423" s="90" t="s">
        <v>936</v>
      </c>
      <c r="G1423" s="55" t="s">
        <v>937</v>
      </c>
      <c r="H1423" s="55">
        <v>2005</v>
      </c>
      <c r="I1423" s="55">
        <v>2002</v>
      </c>
      <c r="J1423" s="55" t="s">
        <v>309</v>
      </c>
      <c r="K1423" s="55" t="s">
        <v>939</v>
      </c>
      <c r="L1423" s="55" t="s">
        <v>2737</v>
      </c>
      <c r="M1423" s="90">
        <f>32+25/60</f>
        <v>32.416666666666664</v>
      </c>
      <c r="N1423" s="90">
        <f>-85-54/90</f>
        <v>-85.6</v>
      </c>
      <c r="O1423" s="90">
        <v>69.47999999999999</v>
      </c>
      <c r="U1423" s="55" t="s">
        <v>1688</v>
      </c>
      <c r="V1423" s="55" t="s">
        <v>1816</v>
      </c>
      <c r="Y1423" s="55" t="s">
        <v>1952</v>
      </c>
      <c r="Z1423" s="55" t="s">
        <v>1357</v>
      </c>
      <c r="AA1423" s="90" t="s">
        <v>1677</v>
      </c>
      <c r="AD1423" s="90">
        <v>1.5</v>
      </c>
      <c r="AE1423" s="90">
        <v>54.66</v>
      </c>
      <c r="AF1423" s="90">
        <v>26.940000000000005</v>
      </c>
      <c r="AH1423" s="55" t="s">
        <v>139</v>
      </c>
      <c r="AI1423" s="168">
        <v>6.5</v>
      </c>
      <c r="AJ1423" s="90">
        <v>0.52804444444444432</v>
      </c>
      <c r="AM1423" s="55" t="s">
        <v>1317</v>
      </c>
      <c r="AN1423" s="185" t="s">
        <v>610</v>
      </c>
      <c r="AO1423" s="185" t="s">
        <v>5150</v>
      </c>
      <c r="AQ1423" s="55" t="s">
        <v>610</v>
      </c>
      <c r="AR1423" s="55" t="s">
        <v>560</v>
      </c>
      <c r="AS1423" s="55" t="s">
        <v>1584</v>
      </c>
      <c r="AT1423" s="181" t="s">
        <v>944</v>
      </c>
      <c r="AU1423" s="181" t="s">
        <v>5150</v>
      </c>
      <c r="AV1423" s="185" t="s">
        <v>176</v>
      </c>
      <c r="AW1423" s="55" t="s">
        <v>944</v>
      </c>
      <c r="AX1423" s="185" t="s">
        <v>176</v>
      </c>
      <c r="AY1423" s="55" t="s">
        <v>176</v>
      </c>
      <c r="AZ1423" s="55" t="s">
        <v>464</v>
      </c>
      <c r="BA1423" s="55" t="s">
        <v>941</v>
      </c>
      <c r="BB1423" s="55" t="s">
        <v>2081</v>
      </c>
      <c r="BC1423" s="55" t="s">
        <v>2081</v>
      </c>
      <c r="BD1423" s="55" t="s">
        <v>479</v>
      </c>
      <c r="BE1423" s="226" t="s">
        <v>942</v>
      </c>
      <c r="BG1423" s="55" t="s">
        <v>479</v>
      </c>
      <c r="BH1423" s="226" t="s">
        <v>945</v>
      </c>
      <c r="BI1423" s="55" t="s">
        <v>479</v>
      </c>
      <c r="BJ1423" s="55" t="s">
        <v>176</v>
      </c>
      <c r="BK1423" s="55" t="s">
        <v>5976</v>
      </c>
      <c r="BM1423" s="192" t="s">
        <v>160</v>
      </c>
      <c r="BN1423" s="55">
        <v>6</v>
      </c>
      <c r="BO1423" s="55">
        <v>6</v>
      </c>
      <c r="BQ1423" s="55" t="s">
        <v>141</v>
      </c>
      <c r="CH1423" s="90">
        <v>1.6</v>
      </c>
      <c r="CI1423" s="90">
        <v>1.59</v>
      </c>
      <c r="CM1423" s="65">
        <f>(CR1423*1000000)/(100*100*CH1423*AA1423/100*1000000)*100</f>
        <v>0.41250000000000003</v>
      </c>
      <c r="CN1423" s="65">
        <f>(CS1423*1000000)/(100*100*CI1423*AA1423/100*1000000)*100</f>
        <v>0.41635220125786165</v>
      </c>
      <c r="CR1423" s="65">
        <f>9.9</f>
        <v>9.9</v>
      </c>
      <c r="CS1423" s="65">
        <f>9.93</f>
        <v>9.93</v>
      </c>
      <c r="CV1423" s="65" t="s">
        <v>4337</v>
      </c>
      <c r="DA1423" s="65" t="s">
        <v>4462</v>
      </c>
      <c r="GP1423" s="292" t="s">
        <v>7494</v>
      </c>
    </row>
    <row r="1424" spans="1:283" x14ac:dyDescent="0.25">
      <c r="A1424" s="55">
        <v>1423</v>
      </c>
      <c r="B1424" s="12" t="s">
        <v>7067</v>
      </c>
      <c r="C1424" s="155">
        <v>65</v>
      </c>
      <c r="D1424" s="55" t="s">
        <v>3961</v>
      </c>
      <c r="E1424" s="90" t="s">
        <v>950</v>
      </c>
      <c r="G1424" s="55" t="s">
        <v>949</v>
      </c>
      <c r="H1424" s="55">
        <v>1998</v>
      </c>
      <c r="I1424" s="55">
        <v>1992</v>
      </c>
      <c r="J1424" s="55" t="s">
        <v>948</v>
      </c>
      <c r="K1424" s="55" t="s">
        <v>951</v>
      </c>
      <c r="L1424" s="55" t="s">
        <v>2737</v>
      </c>
      <c r="M1424" s="90">
        <v>45.28</v>
      </c>
      <c r="N1424" s="90">
        <v>-122.75</v>
      </c>
      <c r="O1424" s="90">
        <v>48</v>
      </c>
      <c r="U1424" s="55">
        <v>1</v>
      </c>
      <c r="V1424" s="55" t="s">
        <v>1688</v>
      </c>
      <c r="Y1424" s="55" t="s">
        <v>851</v>
      </c>
      <c r="Z1424" s="55" t="s">
        <v>1380</v>
      </c>
      <c r="AA1424" s="90" t="s">
        <v>1690</v>
      </c>
      <c r="AH1424" s="55" t="s">
        <v>1572</v>
      </c>
      <c r="AN1424" s="185" t="s">
        <v>131</v>
      </c>
      <c r="AO1424" s="185" t="s">
        <v>5150</v>
      </c>
      <c r="AQ1424" s="55" t="s">
        <v>131</v>
      </c>
      <c r="AR1424" s="55" t="s">
        <v>1565</v>
      </c>
      <c r="AS1424" s="55" t="s">
        <v>5133</v>
      </c>
      <c r="AU1424" s="181" t="s">
        <v>7494</v>
      </c>
      <c r="AV1424" s="185" t="s">
        <v>176</v>
      </c>
      <c r="AX1424" s="185" t="s">
        <v>176</v>
      </c>
      <c r="BK1424" s="55" t="s">
        <v>5976</v>
      </c>
      <c r="BM1424" s="192" t="s">
        <v>119</v>
      </c>
      <c r="FT1424" s="65">
        <v>16.93</v>
      </c>
      <c r="FU1424" s="65">
        <v>20.77</v>
      </c>
      <c r="FX1424" s="65" t="s">
        <v>1644</v>
      </c>
      <c r="GP1424" s="292" t="s">
        <v>7494</v>
      </c>
      <c r="JW1424" s="55" t="s">
        <v>837</v>
      </c>
    </row>
    <row r="1425" spans="1:283" x14ac:dyDescent="0.25">
      <c r="A1425" s="55">
        <v>1424</v>
      </c>
      <c r="B1425" s="12" t="s">
        <v>7067</v>
      </c>
      <c r="C1425" s="155">
        <v>65</v>
      </c>
      <c r="D1425" s="55" t="s">
        <v>3961</v>
      </c>
      <c r="E1425" s="90" t="s">
        <v>950</v>
      </c>
      <c r="G1425" s="55" t="s">
        <v>949</v>
      </c>
      <c r="H1425" s="55">
        <v>1998</v>
      </c>
      <c r="I1425" s="55">
        <v>1992</v>
      </c>
      <c r="J1425" s="55" t="s">
        <v>948</v>
      </c>
      <c r="K1425" s="55" t="s">
        <v>951</v>
      </c>
      <c r="L1425" s="55" t="s">
        <v>2737</v>
      </c>
      <c r="M1425" s="90">
        <v>45.28</v>
      </c>
      <c r="N1425" s="90">
        <v>-122.75</v>
      </c>
      <c r="O1425" s="90">
        <v>48</v>
      </c>
      <c r="U1425" s="55">
        <v>1</v>
      </c>
      <c r="V1425" s="55" t="s">
        <v>1688</v>
      </c>
      <c r="Y1425" s="55" t="s">
        <v>952</v>
      </c>
      <c r="Z1425" s="55" t="s">
        <v>1380</v>
      </c>
      <c r="AA1425" s="90" t="s">
        <v>1690</v>
      </c>
      <c r="AH1425" s="55" t="s">
        <v>1572</v>
      </c>
      <c r="AN1425" s="185" t="s">
        <v>131</v>
      </c>
      <c r="AO1425" s="185" t="s">
        <v>5150</v>
      </c>
      <c r="AQ1425" s="55" t="s">
        <v>131</v>
      </c>
      <c r="AR1425" s="55" t="s">
        <v>1565</v>
      </c>
      <c r="AS1425" s="55" t="s">
        <v>5133</v>
      </c>
      <c r="AU1425" s="181" t="s">
        <v>7494</v>
      </c>
      <c r="AV1425" s="185" t="s">
        <v>176</v>
      </c>
      <c r="AX1425" s="185" t="s">
        <v>176</v>
      </c>
      <c r="BK1425" s="55" t="s">
        <v>5976</v>
      </c>
      <c r="BM1425" s="192" t="s">
        <v>119</v>
      </c>
      <c r="FT1425" s="65">
        <v>12.72</v>
      </c>
      <c r="FU1425" s="65">
        <v>8.36</v>
      </c>
      <c r="FX1425" s="65" t="s">
        <v>1644</v>
      </c>
      <c r="GP1425" s="292" t="s">
        <v>7494</v>
      </c>
      <c r="JW1425" s="55" t="s">
        <v>837</v>
      </c>
    </row>
    <row r="1426" spans="1:283" x14ac:dyDescent="0.25">
      <c r="A1426" s="55">
        <v>1425</v>
      </c>
      <c r="B1426" s="12" t="s">
        <v>7067</v>
      </c>
      <c r="C1426" s="155">
        <v>65</v>
      </c>
      <c r="D1426" s="55" t="s">
        <v>3961</v>
      </c>
      <c r="E1426" s="90" t="s">
        <v>950</v>
      </c>
      <c r="G1426" s="55" t="s">
        <v>949</v>
      </c>
      <c r="H1426" s="55">
        <v>1998</v>
      </c>
      <c r="I1426" s="55">
        <v>1992</v>
      </c>
      <c r="J1426" s="55" t="s">
        <v>948</v>
      </c>
      <c r="K1426" s="55" t="s">
        <v>951</v>
      </c>
      <c r="L1426" s="55" t="s">
        <v>2737</v>
      </c>
      <c r="M1426" s="90">
        <v>45.28</v>
      </c>
      <c r="N1426" s="90">
        <v>-122.75</v>
      </c>
      <c r="O1426" s="90">
        <v>48</v>
      </c>
      <c r="U1426" s="55">
        <v>1</v>
      </c>
      <c r="V1426" s="55" t="s">
        <v>1688</v>
      </c>
      <c r="Y1426" s="55" t="s">
        <v>852</v>
      </c>
      <c r="Z1426" s="55" t="s">
        <v>1380</v>
      </c>
      <c r="AA1426" s="90" t="s">
        <v>1690</v>
      </c>
      <c r="AH1426" s="55" t="s">
        <v>1572</v>
      </c>
      <c r="AN1426" s="185" t="s">
        <v>131</v>
      </c>
      <c r="AO1426" s="185" t="s">
        <v>5150</v>
      </c>
      <c r="AQ1426" s="55" t="s">
        <v>131</v>
      </c>
      <c r="AR1426" s="55" t="s">
        <v>1565</v>
      </c>
      <c r="AS1426" s="55" t="s">
        <v>5133</v>
      </c>
      <c r="AU1426" s="181" t="s">
        <v>7494</v>
      </c>
      <c r="AV1426" s="185" t="s">
        <v>176</v>
      </c>
      <c r="AX1426" s="185" t="s">
        <v>176</v>
      </c>
      <c r="BK1426" s="55" t="s">
        <v>5976</v>
      </c>
      <c r="BM1426" s="192" t="s">
        <v>119</v>
      </c>
      <c r="FT1426" s="65">
        <v>12.5</v>
      </c>
      <c r="FU1426" s="65">
        <v>10.35</v>
      </c>
      <c r="FX1426" s="65" t="s">
        <v>1644</v>
      </c>
      <c r="GP1426" s="292" t="s">
        <v>7494</v>
      </c>
      <c r="JW1426" s="55" t="s">
        <v>837</v>
      </c>
    </row>
    <row r="1427" spans="1:283" x14ac:dyDescent="0.25">
      <c r="A1427" s="55">
        <v>1426</v>
      </c>
      <c r="B1427" s="12" t="s">
        <v>7067</v>
      </c>
      <c r="C1427" s="155">
        <v>65</v>
      </c>
      <c r="D1427" s="55" t="s">
        <v>3961</v>
      </c>
      <c r="E1427" s="90" t="s">
        <v>950</v>
      </c>
      <c r="G1427" s="55" t="s">
        <v>949</v>
      </c>
      <c r="H1427" s="55">
        <v>1998</v>
      </c>
      <c r="I1427" s="55">
        <v>1993</v>
      </c>
      <c r="J1427" s="55" t="s">
        <v>948</v>
      </c>
      <c r="K1427" s="55" t="s">
        <v>951</v>
      </c>
      <c r="L1427" s="55" t="s">
        <v>2737</v>
      </c>
      <c r="M1427" s="90">
        <v>45.28</v>
      </c>
      <c r="N1427" s="90">
        <v>-122.75</v>
      </c>
      <c r="O1427" s="90">
        <v>48</v>
      </c>
      <c r="U1427" s="55">
        <v>2</v>
      </c>
      <c r="V1427" s="55" t="s">
        <v>1688</v>
      </c>
      <c r="Y1427" s="55" t="s">
        <v>853</v>
      </c>
      <c r="Z1427" s="55" t="s">
        <v>1380</v>
      </c>
      <c r="AA1427" s="90" t="s">
        <v>1690</v>
      </c>
      <c r="AH1427" s="55" t="s">
        <v>1572</v>
      </c>
      <c r="AN1427" s="185" t="s">
        <v>131</v>
      </c>
      <c r="AO1427" s="185" t="s">
        <v>5150</v>
      </c>
      <c r="AQ1427" s="55" t="s">
        <v>131</v>
      </c>
      <c r="AR1427" s="55" t="s">
        <v>1565</v>
      </c>
      <c r="AS1427" s="55" t="s">
        <v>5133</v>
      </c>
      <c r="AU1427" s="181" t="s">
        <v>7494</v>
      </c>
      <c r="AV1427" s="185" t="s">
        <v>176</v>
      </c>
      <c r="AX1427" s="185" t="s">
        <v>176</v>
      </c>
      <c r="BK1427" s="55" t="s">
        <v>5976</v>
      </c>
      <c r="BM1427" s="192" t="s">
        <v>119</v>
      </c>
      <c r="FT1427" s="65">
        <v>13.26</v>
      </c>
      <c r="FU1427" s="65">
        <v>8.43</v>
      </c>
      <c r="FX1427" s="65" t="s">
        <v>1644</v>
      </c>
      <c r="GP1427" s="292" t="s">
        <v>7494</v>
      </c>
      <c r="JW1427" s="55" t="s">
        <v>837</v>
      </c>
    </row>
    <row r="1428" spans="1:283" x14ac:dyDescent="0.25">
      <c r="A1428" s="55">
        <v>1427</v>
      </c>
      <c r="B1428" s="12" t="s">
        <v>7067</v>
      </c>
      <c r="C1428" s="155">
        <v>65</v>
      </c>
      <c r="D1428" s="55" t="s">
        <v>3961</v>
      </c>
      <c r="E1428" s="90" t="s">
        <v>950</v>
      </c>
      <c r="G1428" s="55" t="s">
        <v>949</v>
      </c>
      <c r="H1428" s="55">
        <v>1998</v>
      </c>
      <c r="I1428" s="55">
        <v>1993</v>
      </c>
      <c r="J1428" s="55" t="s">
        <v>948</v>
      </c>
      <c r="K1428" s="55" t="s">
        <v>951</v>
      </c>
      <c r="L1428" s="55" t="s">
        <v>2737</v>
      </c>
      <c r="M1428" s="90">
        <v>45.28</v>
      </c>
      <c r="N1428" s="90">
        <v>-122.75</v>
      </c>
      <c r="O1428" s="90">
        <v>48</v>
      </c>
      <c r="U1428" s="55">
        <v>2</v>
      </c>
      <c r="V1428" s="55" t="s">
        <v>1688</v>
      </c>
      <c r="Y1428" s="55" t="s">
        <v>953</v>
      </c>
      <c r="Z1428" s="55" t="s">
        <v>1380</v>
      </c>
      <c r="AA1428" s="90" t="s">
        <v>1690</v>
      </c>
      <c r="AH1428" s="55" t="s">
        <v>1572</v>
      </c>
      <c r="AN1428" s="185" t="s">
        <v>131</v>
      </c>
      <c r="AO1428" s="185" t="s">
        <v>5150</v>
      </c>
      <c r="AQ1428" s="55" t="s">
        <v>131</v>
      </c>
      <c r="AR1428" s="55" t="s">
        <v>1565</v>
      </c>
      <c r="AS1428" s="55" t="s">
        <v>5133</v>
      </c>
      <c r="AU1428" s="181" t="s">
        <v>7494</v>
      </c>
      <c r="AV1428" s="185" t="s">
        <v>176</v>
      </c>
      <c r="AX1428" s="185" t="s">
        <v>176</v>
      </c>
      <c r="BK1428" s="55" t="s">
        <v>5976</v>
      </c>
      <c r="BM1428" s="192" t="s">
        <v>119</v>
      </c>
      <c r="FT1428" s="65">
        <v>15.18</v>
      </c>
      <c r="FU1428" s="65">
        <v>8.36</v>
      </c>
      <c r="FX1428" s="65" t="s">
        <v>1644</v>
      </c>
      <c r="GP1428" s="292" t="s">
        <v>7494</v>
      </c>
      <c r="JW1428" s="55" t="s">
        <v>837</v>
      </c>
    </row>
    <row r="1429" spans="1:283" x14ac:dyDescent="0.25">
      <c r="A1429" s="55">
        <v>1428</v>
      </c>
      <c r="B1429" s="12" t="s">
        <v>7067</v>
      </c>
      <c r="C1429" s="155">
        <v>65</v>
      </c>
      <c r="D1429" s="55" t="s">
        <v>3961</v>
      </c>
      <c r="E1429" s="90" t="s">
        <v>950</v>
      </c>
      <c r="G1429" s="55" t="s">
        <v>949</v>
      </c>
      <c r="H1429" s="55">
        <v>1998</v>
      </c>
      <c r="I1429" s="55">
        <v>1993</v>
      </c>
      <c r="J1429" s="55" t="s">
        <v>948</v>
      </c>
      <c r="K1429" s="55" t="s">
        <v>951</v>
      </c>
      <c r="L1429" s="55" t="s">
        <v>2737</v>
      </c>
      <c r="M1429" s="90">
        <v>45.28</v>
      </c>
      <c r="N1429" s="90">
        <v>-122.75</v>
      </c>
      <c r="O1429" s="90">
        <v>48</v>
      </c>
      <c r="U1429" s="55">
        <v>2</v>
      </c>
      <c r="V1429" s="55" t="s">
        <v>1688</v>
      </c>
      <c r="Y1429" s="55" t="s">
        <v>954</v>
      </c>
      <c r="Z1429" s="55" t="s">
        <v>1380</v>
      </c>
      <c r="AA1429" s="90" t="s">
        <v>1690</v>
      </c>
      <c r="AH1429" s="55" t="s">
        <v>1572</v>
      </c>
      <c r="AN1429" s="185" t="s">
        <v>131</v>
      </c>
      <c r="AO1429" s="185" t="s">
        <v>5150</v>
      </c>
      <c r="AQ1429" s="55" t="s">
        <v>131</v>
      </c>
      <c r="AR1429" s="55" t="s">
        <v>1565</v>
      </c>
      <c r="AS1429" s="55" t="s">
        <v>5133</v>
      </c>
      <c r="AU1429" s="181" t="s">
        <v>7494</v>
      </c>
      <c r="AV1429" s="185" t="s">
        <v>176</v>
      </c>
      <c r="AX1429" s="185" t="s">
        <v>176</v>
      </c>
      <c r="BK1429" s="55" t="s">
        <v>5976</v>
      </c>
      <c r="BM1429" s="192" t="s">
        <v>119</v>
      </c>
      <c r="FT1429" s="65">
        <v>12.88</v>
      </c>
      <c r="FU1429" s="65">
        <v>7.21</v>
      </c>
      <c r="FX1429" s="65" t="s">
        <v>1644</v>
      </c>
      <c r="GP1429" s="292" t="s">
        <v>7494</v>
      </c>
      <c r="JW1429" s="55" t="s">
        <v>837</v>
      </c>
    </row>
    <row r="1430" spans="1:283" x14ac:dyDescent="0.25">
      <c r="A1430" s="55">
        <v>1429</v>
      </c>
      <c r="B1430" s="12" t="s">
        <v>7067</v>
      </c>
      <c r="C1430" s="155">
        <v>65</v>
      </c>
      <c r="D1430" s="55" t="s">
        <v>3961</v>
      </c>
      <c r="E1430" s="90" t="s">
        <v>950</v>
      </c>
      <c r="G1430" s="55" t="s">
        <v>949</v>
      </c>
      <c r="H1430" s="55">
        <v>1998</v>
      </c>
      <c r="I1430" s="55">
        <v>1993</v>
      </c>
      <c r="J1430" s="55" t="s">
        <v>948</v>
      </c>
      <c r="K1430" s="55" t="s">
        <v>951</v>
      </c>
      <c r="L1430" s="55" t="s">
        <v>2737</v>
      </c>
      <c r="M1430" s="90">
        <v>45.28</v>
      </c>
      <c r="N1430" s="90">
        <v>-122.75</v>
      </c>
      <c r="O1430" s="90">
        <v>48</v>
      </c>
      <c r="U1430" s="55">
        <v>2</v>
      </c>
      <c r="V1430" s="55" t="s">
        <v>1688</v>
      </c>
      <c r="Y1430" s="55" t="s">
        <v>753</v>
      </c>
      <c r="Z1430" s="55" t="s">
        <v>1380</v>
      </c>
      <c r="AA1430" s="90" t="s">
        <v>1690</v>
      </c>
      <c r="AH1430" s="55" t="s">
        <v>1572</v>
      </c>
      <c r="AN1430" s="185" t="s">
        <v>131</v>
      </c>
      <c r="AO1430" s="185" t="s">
        <v>5150</v>
      </c>
      <c r="AQ1430" s="55" t="s">
        <v>131</v>
      </c>
      <c r="AR1430" s="55" t="s">
        <v>1565</v>
      </c>
      <c r="AS1430" s="55" t="s">
        <v>5133</v>
      </c>
      <c r="AU1430" s="181" t="s">
        <v>7494</v>
      </c>
      <c r="AV1430" s="185" t="s">
        <v>176</v>
      </c>
      <c r="AX1430" s="185" t="s">
        <v>176</v>
      </c>
      <c r="BK1430" s="55" t="s">
        <v>5976</v>
      </c>
      <c r="BM1430" s="192" t="s">
        <v>119</v>
      </c>
      <c r="FT1430" s="65">
        <v>12.19</v>
      </c>
      <c r="FU1430" s="65">
        <v>3.92</v>
      </c>
      <c r="FX1430" s="65" t="s">
        <v>1644</v>
      </c>
      <c r="GP1430" s="292" t="s">
        <v>7494</v>
      </c>
      <c r="JW1430" s="55" t="s">
        <v>837</v>
      </c>
    </row>
    <row r="1431" spans="1:283" x14ac:dyDescent="0.25">
      <c r="A1431" s="55">
        <v>1430</v>
      </c>
      <c r="B1431" s="12" t="s">
        <v>7067</v>
      </c>
      <c r="C1431" s="155">
        <v>65</v>
      </c>
      <c r="D1431" s="55" t="s">
        <v>3961</v>
      </c>
      <c r="E1431" s="90" t="s">
        <v>950</v>
      </c>
      <c r="G1431" s="55" t="s">
        <v>949</v>
      </c>
      <c r="H1431" s="55">
        <v>1998</v>
      </c>
      <c r="I1431" s="55">
        <v>1993</v>
      </c>
      <c r="J1431" s="55" t="s">
        <v>948</v>
      </c>
      <c r="K1431" s="55" t="s">
        <v>951</v>
      </c>
      <c r="L1431" s="55" t="s">
        <v>2737</v>
      </c>
      <c r="M1431" s="90">
        <v>45.28</v>
      </c>
      <c r="N1431" s="90">
        <v>-122.75</v>
      </c>
      <c r="O1431" s="90">
        <v>48</v>
      </c>
      <c r="U1431" s="55">
        <v>2</v>
      </c>
      <c r="V1431" s="55" t="s">
        <v>1688</v>
      </c>
      <c r="Y1431" s="55" t="s">
        <v>200</v>
      </c>
      <c r="Z1431" s="55" t="s">
        <v>1380</v>
      </c>
      <c r="AA1431" s="90" t="s">
        <v>1690</v>
      </c>
      <c r="AH1431" s="55" t="s">
        <v>1572</v>
      </c>
      <c r="AN1431" s="185" t="s">
        <v>131</v>
      </c>
      <c r="AO1431" s="185" t="s">
        <v>5150</v>
      </c>
      <c r="AQ1431" s="55" t="s">
        <v>131</v>
      </c>
      <c r="AR1431" s="55" t="s">
        <v>1565</v>
      </c>
      <c r="AS1431" s="55" t="s">
        <v>5133</v>
      </c>
      <c r="AU1431" s="181" t="s">
        <v>7494</v>
      </c>
      <c r="AV1431" s="185" t="s">
        <v>176</v>
      </c>
      <c r="AX1431" s="185" t="s">
        <v>176</v>
      </c>
      <c r="BK1431" s="55" t="s">
        <v>5976</v>
      </c>
      <c r="BM1431" s="192" t="s">
        <v>119</v>
      </c>
      <c r="FT1431" s="65">
        <v>14.42</v>
      </c>
      <c r="FU1431" s="65">
        <v>5.91</v>
      </c>
      <c r="FX1431" s="65" t="s">
        <v>1644</v>
      </c>
      <c r="GP1431" s="292" t="s">
        <v>7494</v>
      </c>
      <c r="JW1431" s="55" t="s">
        <v>837</v>
      </c>
    </row>
    <row r="1432" spans="1:283" x14ac:dyDescent="0.25">
      <c r="A1432" s="55">
        <v>1431</v>
      </c>
      <c r="B1432" s="12" t="s">
        <v>7067</v>
      </c>
      <c r="C1432" s="155">
        <v>65</v>
      </c>
      <c r="D1432" s="55" t="s">
        <v>3961</v>
      </c>
      <c r="E1432" s="90" t="s">
        <v>950</v>
      </c>
      <c r="G1432" s="55" t="s">
        <v>949</v>
      </c>
      <c r="H1432" s="55">
        <v>1998</v>
      </c>
      <c r="I1432" s="55">
        <v>1993</v>
      </c>
      <c r="J1432" s="55" t="s">
        <v>948</v>
      </c>
      <c r="K1432" s="55" t="s">
        <v>951</v>
      </c>
      <c r="L1432" s="55" t="s">
        <v>2737</v>
      </c>
      <c r="M1432" s="90">
        <v>45.28</v>
      </c>
      <c r="N1432" s="90">
        <v>-122.75</v>
      </c>
      <c r="O1432" s="90">
        <v>48</v>
      </c>
      <c r="U1432" s="55">
        <v>2</v>
      </c>
      <c r="V1432" s="55" t="s">
        <v>1688</v>
      </c>
      <c r="Y1432" s="55" t="s">
        <v>572</v>
      </c>
      <c r="Z1432" s="55" t="s">
        <v>1380</v>
      </c>
      <c r="AA1432" s="90" t="s">
        <v>1690</v>
      </c>
      <c r="AH1432" s="55" t="s">
        <v>1572</v>
      </c>
      <c r="AN1432" s="185" t="s">
        <v>131</v>
      </c>
      <c r="AO1432" s="185" t="s">
        <v>5150</v>
      </c>
      <c r="AQ1432" s="55" t="s">
        <v>131</v>
      </c>
      <c r="AR1432" s="55" t="s">
        <v>1565</v>
      </c>
      <c r="AS1432" s="55" t="s">
        <v>5133</v>
      </c>
      <c r="AU1432" s="181" t="s">
        <v>7494</v>
      </c>
      <c r="AV1432" s="185" t="s">
        <v>176</v>
      </c>
      <c r="AX1432" s="185" t="s">
        <v>176</v>
      </c>
      <c r="BK1432" s="55" t="s">
        <v>5976</v>
      </c>
      <c r="BM1432" s="192" t="s">
        <v>119</v>
      </c>
      <c r="FT1432" s="65">
        <v>15.18</v>
      </c>
      <c r="FU1432" s="65">
        <v>5.37</v>
      </c>
      <c r="FX1432" s="65" t="s">
        <v>1644</v>
      </c>
      <c r="GP1432" s="292" t="s">
        <v>7494</v>
      </c>
      <c r="JW1432" s="55" t="s">
        <v>837</v>
      </c>
    </row>
    <row r="1433" spans="1:283" x14ac:dyDescent="0.25">
      <c r="A1433" s="55">
        <v>1432</v>
      </c>
      <c r="B1433" s="12" t="s">
        <v>7067</v>
      </c>
      <c r="C1433" s="155">
        <v>65</v>
      </c>
      <c r="D1433" s="55" t="s">
        <v>3961</v>
      </c>
      <c r="E1433" s="90" t="s">
        <v>950</v>
      </c>
      <c r="G1433" s="55" t="s">
        <v>949</v>
      </c>
      <c r="H1433" s="55">
        <v>1998</v>
      </c>
      <c r="I1433" s="55">
        <v>1993</v>
      </c>
      <c r="J1433" s="55" t="s">
        <v>948</v>
      </c>
      <c r="K1433" s="55" t="s">
        <v>951</v>
      </c>
      <c r="L1433" s="55" t="s">
        <v>2737</v>
      </c>
      <c r="M1433" s="90">
        <v>45.28</v>
      </c>
      <c r="N1433" s="90">
        <v>-122.75</v>
      </c>
      <c r="O1433" s="90">
        <v>48</v>
      </c>
      <c r="U1433" s="55">
        <v>2</v>
      </c>
      <c r="V1433" s="55" t="s">
        <v>1688</v>
      </c>
      <c r="Y1433" s="55" t="s">
        <v>224</v>
      </c>
      <c r="Z1433" s="55" t="s">
        <v>1380</v>
      </c>
      <c r="AA1433" s="90" t="s">
        <v>1690</v>
      </c>
      <c r="AH1433" s="55" t="s">
        <v>1572</v>
      </c>
      <c r="AN1433" s="185" t="s">
        <v>131</v>
      </c>
      <c r="AO1433" s="185" t="s">
        <v>5150</v>
      </c>
      <c r="AQ1433" s="55" t="s">
        <v>131</v>
      </c>
      <c r="AR1433" s="55" t="s">
        <v>1565</v>
      </c>
      <c r="AS1433" s="55" t="s">
        <v>5133</v>
      </c>
      <c r="AU1433" s="181" t="s">
        <v>7494</v>
      </c>
      <c r="AV1433" s="185" t="s">
        <v>176</v>
      </c>
      <c r="AX1433" s="185" t="s">
        <v>176</v>
      </c>
      <c r="BK1433" s="55" t="s">
        <v>5976</v>
      </c>
      <c r="BM1433" s="192" t="s">
        <v>119</v>
      </c>
      <c r="FT1433" s="65">
        <v>15.26</v>
      </c>
      <c r="FU1433" s="65">
        <v>6.75</v>
      </c>
      <c r="FX1433" s="65" t="s">
        <v>1644</v>
      </c>
      <c r="GP1433" s="292" t="s">
        <v>7494</v>
      </c>
      <c r="JW1433" s="55" t="s">
        <v>837</v>
      </c>
    </row>
    <row r="1434" spans="1:283" x14ac:dyDescent="0.25">
      <c r="A1434" s="55">
        <v>1433</v>
      </c>
      <c r="B1434" s="12" t="s">
        <v>7067</v>
      </c>
      <c r="C1434" s="155">
        <v>65</v>
      </c>
      <c r="D1434" s="55" t="s">
        <v>3961</v>
      </c>
      <c r="E1434" s="90" t="s">
        <v>950</v>
      </c>
      <c r="G1434" s="55" t="s">
        <v>949</v>
      </c>
      <c r="H1434" s="55">
        <v>1998</v>
      </c>
      <c r="I1434" s="55">
        <v>1993</v>
      </c>
      <c r="J1434" s="55" t="s">
        <v>948</v>
      </c>
      <c r="K1434" s="55" t="s">
        <v>951</v>
      </c>
      <c r="L1434" s="55" t="s">
        <v>2737</v>
      </c>
      <c r="M1434" s="90">
        <v>45.28</v>
      </c>
      <c r="N1434" s="90">
        <v>-122.75</v>
      </c>
      <c r="O1434" s="90">
        <v>48</v>
      </c>
      <c r="U1434" s="55">
        <v>2</v>
      </c>
      <c r="V1434" s="55" t="s">
        <v>1688</v>
      </c>
      <c r="Y1434" s="55" t="s">
        <v>857</v>
      </c>
      <c r="Z1434" s="55" t="s">
        <v>1380</v>
      </c>
      <c r="AA1434" s="90" t="s">
        <v>1690</v>
      </c>
      <c r="AH1434" s="55" t="s">
        <v>1572</v>
      </c>
      <c r="AN1434" s="185" t="s">
        <v>131</v>
      </c>
      <c r="AO1434" s="185" t="s">
        <v>5150</v>
      </c>
      <c r="AQ1434" s="55" t="s">
        <v>131</v>
      </c>
      <c r="AR1434" s="55" t="s">
        <v>1565</v>
      </c>
      <c r="AS1434" s="55" t="s">
        <v>5133</v>
      </c>
      <c r="AU1434" s="181" t="s">
        <v>7494</v>
      </c>
      <c r="AV1434" s="185" t="s">
        <v>176</v>
      </c>
      <c r="AX1434" s="185" t="s">
        <v>176</v>
      </c>
      <c r="BK1434" s="55" t="s">
        <v>5976</v>
      </c>
      <c r="BM1434" s="192" t="s">
        <v>119</v>
      </c>
      <c r="FT1434" s="65">
        <v>13.35</v>
      </c>
      <c r="FU1434" s="65">
        <v>5.84</v>
      </c>
      <c r="FX1434" s="65" t="s">
        <v>1644</v>
      </c>
      <c r="GP1434" s="292" t="s">
        <v>7494</v>
      </c>
      <c r="JW1434" s="55" t="s">
        <v>837</v>
      </c>
    </row>
    <row r="1435" spans="1:283" x14ac:dyDescent="0.25">
      <c r="A1435" s="55">
        <v>1434</v>
      </c>
      <c r="B1435" s="12" t="s">
        <v>7067</v>
      </c>
      <c r="C1435" s="155">
        <v>65</v>
      </c>
      <c r="D1435" s="55" t="s">
        <v>3961</v>
      </c>
      <c r="E1435" s="90" t="s">
        <v>950</v>
      </c>
      <c r="G1435" s="55" t="s">
        <v>949</v>
      </c>
      <c r="H1435" s="55">
        <v>1998</v>
      </c>
      <c r="I1435" s="55">
        <v>1993</v>
      </c>
      <c r="J1435" s="55" t="s">
        <v>948</v>
      </c>
      <c r="K1435" s="55" t="s">
        <v>951</v>
      </c>
      <c r="L1435" s="55" t="s">
        <v>2737</v>
      </c>
      <c r="M1435" s="90">
        <v>45.28</v>
      </c>
      <c r="N1435" s="90">
        <v>-122.75</v>
      </c>
      <c r="O1435" s="90">
        <v>48</v>
      </c>
      <c r="U1435" s="55">
        <v>2</v>
      </c>
      <c r="V1435" s="55" t="s">
        <v>1688</v>
      </c>
      <c r="Y1435" s="55" t="s">
        <v>855</v>
      </c>
      <c r="Z1435" s="55" t="s">
        <v>1380</v>
      </c>
      <c r="AA1435" s="90" t="s">
        <v>1690</v>
      </c>
      <c r="AH1435" s="55" t="s">
        <v>1572</v>
      </c>
      <c r="AN1435" s="185" t="s">
        <v>131</v>
      </c>
      <c r="AO1435" s="185" t="s">
        <v>5150</v>
      </c>
      <c r="AQ1435" s="55" t="s">
        <v>131</v>
      </c>
      <c r="AR1435" s="55" t="s">
        <v>1565</v>
      </c>
      <c r="AS1435" s="55" t="s">
        <v>5133</v>
      </c>
      <c r="AU1435" s="181" t="s">
        <v>7494</v>
      </c>
      <c r="AV1435" s="185" t="s">
        <v>176</v>
      </c>
      <c r="AX1435" s="185" t="s">
        <v>176</v>
      </c>
      <c r="BK1435" s="55" t="s">
        <v>5976</v>
      </c>
      <c r="BM1435" s="192" t="s">
        <v>119</v>
      </c>
      <c r="FT1435" s="65">
        <v>18.100000000000001</v>
      </c>
      <c r="FU1435" s="65">
        <v>8.14</v>
      </c>
      <c r="FX1435" s="65" t="s">
        <v>1644</v>
      </c>
      <c r="GP1435" s="292" t="s">
        <v>7494</v>
      </c>
      <c r="JW1435" s="55" t="s">
        <v>837</v>
      </c>
    </row>
    <row r="1436" spans="1:283" x14ac:dyDescent="0.25">
      <c r="A1436" s="55">
        <v>1435</v>
      </c>
      <c r="B1436" s="12" t="s">
        <v>7067</v>
      </c>
      <c r="C1436" s="155">
        <v>65</v>
      </c>
      <c r="D1436" s="55" t="s">
        <v>3961</v>
      </c>
      <c r="E1436" s="90" t="s">
        <v>950</v>
      </c>
      <c r="G1436" s="55" t="s">
        <v>949</v>
      </c>
      <c r="H1436" s="55">
        <v>1998</v>
      </c>
      <c r="I1436" s="55">
        <v>1993</v>
      </c>
      <c r="J1436" s="55" t="s">
        <v>948</v>
      </c>
      <c r="K1436" s="55" t="s">
        <v>951</v>
      </c>
      <c r="L1436" s="55" t="s">
        <v>2737</v>
      </c>
      <c r="M1436" s="90">
        <v>45.28</v>
      </c>
      <c r="N1436" s="90">
        <v>-122.75</v>
      </c>
      <c r="O1436" s="90">
        <v>48</v>
      </c>
      <c r="U1436" s="55">
        <v>2</v>
      </c>
      <c r="V1436" s="55" t="s">
        <v>1688</v>
      </c>
      <c r="Y1436" s="55" t="s">
        <v>856</v>
      </c>
      <c r="Z1436" s="55" t="s">
        <v>1380</v>
      </c>
      <c r="AA1436" s="90" t="s">
        <v>1690</v>
      </c>
      <c r="AH1436" s="55" t="s">
        <v>1572</v>
      </c>
      <c r="AN1436" s="185" t="s">
        <v>131</v>
      </c>
      <c r="AO1436" s="185" t="s">
        <v>5150</v>
      </c>
      <c r="AQ1436" s="55" t="s">
        <v>131</v>
      </c>
      <c r="AR1436" s="55" t="s">
        <v>1565</v>
      </c>
      <c r="AS1436" s="55" t="s">
        <v>5133</v>
      </c>
      <c r="AU1436" s="181" t="s">
        <v>7494</v>
      </c>
      <c r="AV1436" s="185" t="s">
        <v>176</v>
      </c>
      <c r="AX1436" s="185" t="s">
        <v>176</v>
      </c>
      <c r="BK1436" s="55" t="s">
        <v>5976</v>
      </c>
      <c r="BM1436" s="192" t="s">
        <v>119</v>
      </c>
      <c r="FT1436" s="65">
        <v>10.9</v>
      </c>
      <c r="FU1436" s="65">
        <v>4.2300000000000004</v>
      </c>
      <c r="FX1436" s="65" t="s">
        <v>1644</v>
      </c>
      <c r="GP1436" s="292" t="s">
        <v>7494</v>
      </c>
      <c r="JW1436" s="55" t="s">
        <v>837</v>
      </c>
    </row>
    <row r="1437" spans="1:283" x14ac:dyDescent="0.25">
      <c r="A1437" s="55">
        <v>1436</v>
      </c>
      <c r="B1437" s="12" t="s">
        <v>7067</v>
      </c>
      <c r="C1437" s="155">
        <v>65</v>
      </c>
      <c r="D1437" s="55" t="s">
        <v>3961</v>
      </c>
      <c r="E1437" s="90" t="s">
        <v>950</v>
      </c>
      <c r="G1437" s="55" t="s">
        <v>949</v>
      </c>
      <c r="H1437" s="55">
        <v>1998</v>
      </c>
      <c r="I1437" s="55">
        <v>1993</v>
      </c>
      <c r="J1437" s="55" t="s">
        <v>948</v>
      </c>
      <c r="K1437" s="55" t="s">
        <v>951</v>
      </c>
      <c r="L1437" s="55" t="s">
        <v>2737</v>
      </c>
      <c r="M1437" s="90">
        <v>45.28</v>
      </c>
      <c r="N1437" s="90">
        <v>-122.75</v>
      </c>
      <c r="O1437" s="90">
        <v>48</v>
      </c>
      <c r="U1437" s="55">
        <v>2</v>
      </c>
      <c r="V1437" s="55" t="s">
        <v>1688</v>
      </c>
      <c r="Y1437" s="55" t="s">
        <v>754</v>
      </c>
      <c r="Z1437" s="55" t="s">
        <v>1380</v>
      </c>
      <c r="AA1437" s="90" t="s">
        <v>1690</v>
      </c>
      <c r="AH1437" s="55" t="s">
        <v>1572</v>
      </c>
      <c r="AN1437" s="185" t="s">
        <v>131</v>
      </c>
      <c r="AO1437" s="185" t="s">
        <v>5150</v>
      </c>
      <c r="AQ1437" s="55" t="s">
        <v>131</v>
      </c>
      <c r="AR1437" s="55" t="s">
        <v>1565</v>
      </c>
      <c r="AS1437" s="55" t="s">
        <v>5133</v>
      </c>
      <c r="AU1437" s="181" t="s">
        <v>7494</v>
      </c>
      <c r="AV1437" s="185" t="s">
        <v>176</v>
      </c>
      <c r="AX1437" s="185" t="s">
        <v>176</v>
      </c>
      <c r="BK1437" s="55" t="s">
        <v>5976</v>
      </c>
      <c r="BM1437" s="192" t="s">
        <v>119</v>
      </c>
      <c r="FT1437" s="65">
        <v>9.2899999999999991</v>
      </c>
      <c r="FU1437" s="65">
        <v>5.3</v>
      </c>
      <c r="FX1437" s="65" t="s">
        <v>1644</v>
      </c>
      <c r="GP1437" s="292" t="s">
        <v>7494</v>
      </c>
      <c r="JW1437" s="55" t="s">
        <v>837</v>
      </c>
    </row>
    <row r="1438" spans="1:283" x14ac:dyDescent="0.25">
      <c r="A1438" s="55">
        <v>1437</v>
      </c>
      <c r="B1438" s="12" t="s">
        <v>7067</v>
      </c>
      <c r="C1438" s="155">
        <v>65</v>
      </c>
      <c r="D1438" s="55" t="s">
        <v>3961</v>
      </c>
      <c r="E1438" s="90" t="s">
        <v>950</v>
      </c>
      <c r="G1438" s="55" t="s">
        <v>949</v>
      </c>
      <c r="H1438" s="55">
        <v>1998</v>
      </c>
      <c r="I1438" s="55">
        <v>1993</v>
      </c>
      <c r="J1438" s="55" t="s">
        <v>948</v>
      </c>
      <c r="K1438" s="55" t="s">
        <v>951</v>
      </c>
      <c r="L1438" s="55" t="s">
        <v>2737</v>
      </c>
      <c r="M1438" s="90">
        <v>45.28</v>
      </c>
      <c r="N1438" s="90">
        <v>-122.75</v>
      </c>
      <c r="O1438" s="90">
        <v>48</v>
      </c>
      <c r="U1438" s="55">
        <v>2</v>
      </c>
      <c r="V1438" s="55" t="s">
        <v>1688</v>
      </c>
      <c r="Y1438" s="55" t="s">
        <v>955</v>
      </c>
      <c r="Z1438" s="55" t="s">
        <v>1380</v>
      </c>
      <c r="AA1438" s="90" t="s">
        <v>1690</v>
      </c>
      <c r="AH1438" s="55" t="s">
        <v>1572</v>
      </c>
      <c r="AN1438" s="185" t="s">
        <v>131</v>
      </c>
      <c r="AO1438" s="185" t="s">
        <v>5150</v>
      </c>
      <c r="AQ1438" s="55" t="s">
        <v>131</v>
      </c>
      <c r="AR1438" s="55" t="s">
        <v>1565</v>
      </c>
      <c r="AS1438" s="55" t="s">
        <v>5133</v>
      </c>
      <c r="AU1438" s="181" t="s">
        <v>7494</v>
      </c>
      <c r="AV1438" s="185" t="s">
        <v>176</v>
      </c>
      <c r="AX1438" s="185" t="s">
        <v>176</v>
      </c>
      <c r="BK1438" s="55" t="s">
        <v>5976</v>
      </c>
      <c r="BM1438" s="192" t="s">
        <v>119</v>
      </c>
      <c r="FT1438" s="65">
        <v>6.69</v>
      </c>
      <c r="FU1438" s="65">
        <v>9.5</v>
      </c>
      <c r="FX1438" s="65" t="s">
        <v>1644</v>
      </c>
      <c r="GP1438" s="292" t="s">
        <v>7494</v>
      </c>
      <c r="JW1438" s="55" t="s">
        <v>837</v>
      </c>
    </row>
    <row r="1439" spans="1:283" x14ac:dyDescent="0.25">
      <c r="A1439" s="55">
        <v>1438</v>
      </c>
      <c r="B1439" s="12" t="s">
        <v>7067</v>
      </c>
      <c r="C1439" s="155">
        <v>65</v>
      </c>
      <c r="D1439" s="55" t="s">
        <v>3961</v>
      </c>
      <c r="E1439" s="90" t="s">
        <v>950</v>
      </c>
      <c r="G1439" s="55" t="s">
        <v>949</v>
      </c>
      <c r="H1439" s="55">
        <v>1998</v>
      </c>
      <c r="I1439" s="55">
        <v>1994</v>
      </c>
      <c r="J1439" s="55" t="s">
        <v>948</v>
      </c>
      <c r="K1439" s="55" t="s">
        <v>951</v>
      </c>
      <c r="L1439" s="55" t="s">
        <v>2737</v>
      </c>
      <c r="M1439" s="90">
        <v>45.28</v>
      </c>
      <c r="N1439" s="90">
        <v>-122.75</v>
      </c>
      <c r="O1439" s="90">
        <v>48</v>
      </c>
      <c r="U1439" s="55">
        <v>3</v>
      </c>
      <c r="V1439" s="55" t="s">
        <v>1688</v>
      </c>
      <c r="Y1439" s="55" t="s">
        <v>853</v>
      </c>
      <c r="Z1439" s="55" t="s">
        <v>1380</v>
      </c>
      <c r="AA1439" s="90" t="s">
        <v>1690</v>
      </c>
      <c r="AH1439" s="55" t="s">
        <v>1572</v>
      </c>
      <c r="AN1439" s="185" t="s">
        <v>131</v>
      </c>
      <c r="AO1439" s="185" t="s">
        <v>5150</v>
      </c>
      <c r="AQ1439" s="55" t="s">
        <v>131</v>
      </c>
      <c r="AR1439" s="55" t="s">
        <v>1565</v>
      </c>
      <c r="AS1439" s="55" t="s">
        <v>5133</v>
      </c>
      <c r="AU1439" s="181" t="s">
        <v>7494</v>
      </c>
      <c r="AV1439" s="185" t="s">
        <v>176</v>
      </c>
      <c r="AX1439" s="185" t="s">
        <v>176</v>
      </c>
      <c r="BK1439" s="55" t="s">
        <v>5976</v>
      </c>
      <c r="BM1439" s="192" t="s">
        <v>119</v>
      </c>
      <c r="FT1439" s="65">
        <v>23.24</v>
      </c>
      <c r="FU1439" s="65">
        <v>10.98</v>
      </c>
      <c r="FX1439" s="65" t="s">
        <v>1644</v>
      </c>
      <c r="GP1439" s="292" t="s">
        <v>7494</v>
      </c>
      <c r="JW1439" s="55" t="s">
        <v>837</v>
      </c>
    </row>
    <row r="1440" spans="1:283" x14ac:dyDescent="0.25">
      <c r="A1440" s="55">
        <v>1439</v>
      </c>
      <c r="B1440" s="12" t="s">
        <v>7067</v>
      </c>
      <c r="C1440" s="155">
        <v>65</v>
      </c>
      <c r="D1440" s="55" t="s">
        <v>3961</v>
      </c>
      <c r="E1440" s="90" t="s">
        <v>950</v>
      </c>
      <c r="G1440" s="55" t="s">
        <v>949</v>
      </c>
      <c r="H1440" s="55">
        <v>1998</v>
      </c>
      <c r="I1440" s="55">
        <v>1994</v>
      </c>
      <c r="J1440" s="55" t="s">
        <v>948</v>
      </c>
      <c r="K1440" s="55" t="s">
        <v>951</v>
      </c>
      <c r="L1440" s="55" t="s">
        <v>2737</v>
      </c>
      <c r="M1440" s="90">
        <v>45.28</v>
      </c>
      <c r="N1440" s="90">
        <v>-122.75</v>
      </c>
      <c r="O1440" s="90">
        <v>48</v>
      </c>
      <c r="U1440" s="55">
        <v>3</v>
      </c>
      <c r="V1440" s="55">
        <v>3</v>
      </c>
      <c r="Y1440" s="55" t="s">
        <v>953</v>
      </c>
      <c r="Z1440" s="55" t="s">
        <v>1380</v>
      </c>
      <c r="AA1440" s="90" t="s">
        <v>1690</v>
      </c>
      <c r="AH1440" s="55" t="s">
        <v>1572</v>
      </c>
      <c r="AN1440" s="185" t="s">
        <v>131</v>
      </c>
      <c r="AO1440" s="185" t="s">
        <v>5150</v>
      </c>
      <c r="AQ1440" s="55" t="s">
        <v>131</v>
      </c>
      <c r="AR1440" s="55" t="s">
        <v>1565</v>
      </c>
      <c r="AS1440" s="55" t="s">
        <v>5133</v>
      </c>
      <c r="AU1440" s="181" t="s">
        <v>7494</v>
      </c>
      <c r="AV1440" s="185" t="s">
        <v>176</v>
      </c>
      <c r="AX1440" s="185" t="s">
        <v>176</v>
      </c>
      <c r="BK1440" s="55" t="s">
        <v>5976</v>
      </c>
      <c r="BM1440" s="192" t="s">
        <v>119</v>
      </c>
      <c r="FT1440" s="65">
        <v>23</v>
      </c>
      <c r="FU1440" s="65">
        <v>8.2200000000000006</v>
      </c>
      <c r="FX1440" s="65" t="s">
        <v>1644</v>
      </c>
      <c r="GP1440" s="292" t="s">
        <v>7494</v>
      </c>
      <c r="JW1440" s="55" t="s">
        <v>837</v>
      </c>
    </row>
    <row r="1441" spans="1:283" x14ac:dyDescent="0.25">
      <c r="A1441" s="55">
        <v>1440</v>
      </c>
      <c r="B1441" s="12" t="s">
        <v>7067</v>
      </c>
      <c r="C1441" s="155">
        <v>65</v>
      </c>
      <c r="D1441" s="55" t="s">
        <v>3961</v>
      </c>
      <c r="E1441" s="90" t="s">
        <v>950</v>
      </c>
      <c r="G1441" s="55" t="s">
        <v>949</v>
      </c>
      <c r="H1441" s="55">
        <v>1998</v>
      </c>
      <c r="I1441" s="55">
        <v>1994</v>
      </c>
      <c r="J1441" s="55" t="s">
        <v>948</v>
      </c>
      <c r="K1441" s="55" t="s">
        <v>951</v>
      </c>
      <c r="L1441" s="55" t="s">
        <v>2737</v>
      </c>
      <c r="M1441" s="90">
        <v>45.28</v>
      </c>
      <c r="N1441" s="90">
        <v>-122.75</v>
      </c>
      <c r="O1441" s="90">
        <v>48</v>
      </c>
      <c r="U1441" s="55">
        <v>3</v>
      </c>
      <c r="V1441" s="55">
        <v>3</v>
      </c>
      <c r="Y1441" s="55" t="s">
        <v>954</v>
      </c>
      <c r="Z1441" s="55" t="s">
        <v>1380</v>
      </c>
      <c r="AA1441" s="90" t="s">
        <v>1690</v>
      </c>
      <c r="AH1441" s="55" t="s">
        <v>1572</v>
      </c>
      <c r="AN1441" s="185" t="s">
        <v>131</v>
      </c>
      <c r="AO1441" s="185" t="s">
        <v>5150</v>
      </c>
      <c r="AQ1441" s="55" t="s">
        <v>131</v>
      </c>
      <c r="AR1441" s="55" t="s">
        <v>1565</v>
      </c>
      <c r="AS1441" s="55" t="s">
        <v>5133</v>
      </c>
      <c r="AU1441" s="181" t="s">
        <v>7494</v>
      </c>
      <c r="AV1441" s="185" t="s">
        <v>176</v>
      </c>
      <c r="AX1441" s="185" t="s">
        <v>176</v>
      </c>
      <c r="BK1441" s="55" t="s">
        <v>5976</v>
      </c>
      <c r="BM1441" s="192" t="s">
        <v>119</v>
      </c>
      <c r="FT1441" s="65">
        <v>23.7</v>
      </c>
      <c r="FU1441" s="65">
        <v>8.76</v>
      </c>
      <c r="FX1441" s="65" t="s">
        <v>1644</v>
      </c>
      <c r="GP1441" s="292" t="s">
        <v>7494</v>
      </c>
      <c r="JW1441" s="55" t="s">
        <v>837</v>
      </c>
    </row>
    <row r="1442" spans="1:283" x14ac:dyDescent="0.25">
      <c r="A1442" s="55">
        <v>1441</v>
      </c>
      <c r="B1442" s="12" t="s">
        <v>7067</v>
      </c>
      <c r="C1442" s="155">
        <v>65</v>
      </c>
      <c r="D1442" s="55" t="s">
        <v>3961</v>
      </c>
      <c r="E1442" s="90" t="s">
        <v>950</v>
      </c>
      <c r="G1442" s="55" t="s">
        <v>949</v>
      </c>
      <c r="H1442" s="55">
        <v>1998</v>
      </c>
      <c r="I1442" s="55">
        <v>1994</v>
      </c>
      <c r="J1442" s="55" t="s">
        <v>948</v>
      </c>
      <c r="K1442" s="55" t="s">
        <v>951</v>
      </c>
      <c r="L1442" s="55" t="s">
        <v>2737</v>
      </c>
      <c r="M1442" s="90">
        <v>45.28</v>
      </c>
      <c r="N1442" s="90">
        <v>-122.75</v>
      </c>
      <c r="O1442" s="90">
        <v>48</v>
      </c>
      <c r="U1442" s="55">
        <v>3</v>
      </c>
      <c r="V1442" s="55">
        <v>3</v>
      </c>
      <c r="Y1442" s="55" t="s">
        <v>753</v>
      </c>
      <c r="Z1442" s="55" t="s">
        <v>1380</v>
      </c>
      <c r="AA1442" s="90" t="s">
        <v>1690</v>
      </c>
      <c r="AH1442" s="55" t="s">
        <v>1572</v>
      </c>
      <c r="AN1442" s="185" t="s">
        <v>131</v>
      </c>
      <c r="AO1442" s="185" t="s">
        <v>5150</v>
      </c>
      <c r="AQ1442" s="55" t="s">
        <v>131</v>
      </c>
      <c r="AR1442" s="55" t="s">
        <v>1565</v>
      </c>
      <c r="AS1442" s="55" t="s">
        <v>5133</v>
      </c>
      <c r="AU1442" s="181" t="s">
        <v>7494</v>
      </c>
      <c r="AV1442" s="185" t="s">
        <v>176</v>
      </c>
      <c r="AX1442" s="185" t="s">
        <v>176</v>
      </c>
      <c r="BK1442" s="55" t="s">
        <v>5976</v>
      </c>
      <c r="BM1442" s="192" t="s">
        <v>119</v>
      </c>
      <c r="FT1442" s="65">
        <v>19.41</v>
      </c>
      <c r="FU1442" s="65">
        <v>9.07</v>
      </c>
      <c r="FX1442" s="65" t="s">
        <v>1644</v>
      </c>
      <c r="GP1442" s="292" t="s">
        <v>7494</v>
      </c>
      <c r="JW1442" s="55" t="s">
        <v>837</v>
      </c>
    </row>
    <row r="1443" spans="1:283" x14ac:dyDescent="0.25">
      <c r="A1443" s="55">
        <v>1442</v>
      </c>
      <c r="B1443" s="12" t="s">
        <v>7067</v>
      </c>
      <c r="C1443" s="155">
        <v>65</v>
      </c>
      <c r="D1443" s="55" t="s">
        <v>3961</v>
      </c>
      <c r="E1443" s="90" t="s">
        <v>950</v>
      </c>
      <c r="G1443" s="55" t="s">
        <v>949</v>
      </c>
      <c r="H1443" s="55">
        <v>1998</v>
      </c>
      <c r="I1443" s="55">
        <v>1994</v>
      </c>
      <c r="J1443" s="55" t="s">
        <v>948</v>
      </c>
      <c r="K1443" s="55" t="s">
        <v>951</v>
      </c>
      <c r="L1443" s="55" t="s">
        <v>2737</v>
      </c>
      <c r="M1443" s="90">
        <v>45.28</v>
      </c>
      <c r="N1443" s="90">
        <v>-122.75</v>
      </c>
      <c r="O1443" s="90">
        <v>48</v>
      </c>
      <c r="U1443" s="55">
        <v>3</v>
      </c>
      <c r="V1443" s="55">
        <v>3</v>
      </c>
      <c r="Y1443" s="55" t="s">
        <v>200</v>
      </c>
      <c r="Z1443" s="55" t="s">
        <v>1380</v>
      </c>
      <c r="AA1443" s="90" t="s">
        <v>1690</v>
      </c>
      <c r="AH1443" s="55" t="s">
        <v>1572</v>
      </c>
      <c r="AN1443" s="185" t="s">
        <v>131</v>
      </c>
      <c r="AO1443" s="185" t="s">
        <v>5150</v>
      </c>
      <c r="AQ1443" s="55" t="s">
        <v>131</v>
      </c>
      <c r="AR1443" s="55" t="s">
        <v>1565</v>
      </c>
      <c r="AS1443" s="55" t="s">
        <v>5133</v>
      </c>
      <c r="AU1443" s="181" t="s">
        <v>7494</v>
      </c>
      <c r="AV1443" s="185" t="s">
        <v>176</v>
      </c>
      <c r="AX1443" s="185" t="s">
        <v>176</v>
      </c>
      <c r="BK1443" s="55" t="s">
        <v>5976</v>
      </c>
      <c r="BM1443" s="192" t="s">
        <v>119</v>
      </c>
      <c r="FT1443" s="65">
        <v>16.649999999999999</v>
      </c>
      <c r="FU1443" s="65">
        <v>9.68</v>
      </c>
      <c r="FX1443" s="65" t="s">
        <v>1644</v>
      </c>
      <c r="GP1443" s="292" t="s">
        <v>7494</v>
      </c>
      <c r="JW1443" s="55" t="s">
        <v>837</v>
      </c>
    </row>
    <row r="1444" spans="1:283" x14ac:dyDescent="0.25">
      <c r="A1444" s="55">
        <v>1443</v>
      </c>
      <c r="B1444" s="12" t="s">
        <v>7067</v>
      </c>
      <c r="C1444" s="155">
        <v>65</v>
      </c>
      <c r="D1444" s="55" t="s">
        <v>3961</v>
      </c>
      <c r="E1444" s="90" t="s">
        <v>950</v>
      </c>
      <c r="G1444" s="55" t="s">
        <v>949</v>
      </c>
      <c r="H1444" s="55">
        <v>1998</v>
      </c>
      <c r="I1444" s="55">
        <v>1994</v>
      </c>
      <c r="J1444" s="55" t="s">
        <v>948</v>
      </c>
      <c r="K1444" s="55" t="s">
        <v>951</v>
      </c>
      <c r="L1444" s="55" t="s">
        <v>2737</v>
      </c>
      <c r="M1444" s="90">
        <v>45.28</v>
      </c>
      <c r="N1444" s="90">
        <v>-122.75</v>
      </c>
      <c r="O1444" s="90">
        <v>48</v>
      </c>
      <c r="U1444" s="55">
        <v>3</v>
      </c>
      <c r="V1444" s="55">
        <v>3</v>
      </c>
      <c r="Y1444" s="55" t="s">
        <v>572</v>
      </c>
      <c r="Z1444" s="55" t="s">
        <v>1380</v>
      </c>
      <c r="AA1444" s="90" t="s">
        <v>1690</v>
      </c>
      <c r="AH1444" s="55" t="s">
        <v>1572</v>
      </c>
      <c r="AN1444" s="185" t="s">
        <v>131</v>
      </c>
      <c r="AO1444" s="185" t="s">
        <v>5150</v>
      </c>
      <c r="AQ1444" s="55" t="s">
        <v>131</v>
      </c>
      <c r="AR1444" s="55" t="s">
        <v>1565</v>
      </c>
      <c r="AS1444" s="55" t="s">
        <v>5133</v>
      </c>
      <c r="AU1444" s="181" t="s">
        <v>7494</v>
      </c>
      <c r="AV1444" s="185" t="s">
        <v>176</v>
      </c>
      <c r="AX1444" s="185" t="s">
        <v>176</v>
      </c>
      <c r="BK1444" s="55" t="s">
        <v>5976</v>
      </c>
      <c r="BM1444" s="192" t="s">
        <v>119</v>
      </c>
      <c r="FT1444" s="65">
        <v>18.11</v>
      </c>
      <c r="FU1444" s="65">
        <v>11.14</v>
      </c>
      <c r="FX1444" s="65" t="s">
        <v>1644</v>
      </c>
      <c r="GP1444" s="292" t="s">
        <v>7494</v>
      </c>
      <c r="JW1444" s="55" t="s">
        <v>837</v>
      </c>
    </row>
    <row r="1445" spans="1:283" x14ac:dyDescent="0.25">
      <c r="A1445" s="55">
        <v>1444</v>
      </c>
      <c r="B1445" s="12" t="s">
        <v>7067</v>
      </c>
      <c r="C1445" s="155">
        <v>65</v>
      </c>
      <c r="D1445" s="55" t="s">
        <v>3961</v>
      </c>
      <c r="E1445" s="90" t="s">
        <v>950</v>
      </c>
      <c r="G1445" s="55" t="s">
        <v>949</v>
      </c>
      <c r="H1445" s="55">
        <v>1998</v>
      </c>
      <c r="I1445" s="55">
        <v>1994</v>
      </c>
      <c r="J1445" s="55" t="s">
        <v>948</v>
      </c>
      <c r="K1445" s="55" t="s">
        <v>951</v>
      </c>
      <c r="L1445" s="55" t="s">
        <v>2737</v>
      </c>
      <c r="M1445" s="90">
        <v>45.28</v>
      </c>
      <c r="N1445" s="90">
        <v>-122.75</v>
      </c>
      <c r="O1445" s="90">
        <v>48</v>
      </c>
      <c r="U1445" s="55">
        <v>3</v>
      </c>
      <c r="V1445" s="55">
        <v>3</v>
      </c>
      <c r="Y1445" s="55" t="s">
        <v>224</v>
      </c>
      <c r="Z1445" s="55" t="s">
        <v>1380</v>
      </c>
      <c r="AA1445" s="90" t="s">
        <v>1690</v>
      </c>
      <c r="AH1445" s="55" t="s">
        <v>1572</v>
      </c>
      <c r="AN1445" s="185" t="s">
        <v>131</v>
      </c>
      <c r="AO1445" s="185" t="s">
        <v>5150</v>
      </c>
      <c r="AQ1445" s="55" t="s">
        <v>131</v>
      </c>
      <c r="AR1445" s="55" t="s">
        <v>1565</v>
      </c>
      <c r="AS1445" s="55" t="s">
        <v>5133</v>
      </c>
      <c r="AU1445" s="181" t="s">
        <v>7494</v>
      </c>
      <c r="AV1445" s="185" t="s">
        <v>176</v>
      </c>
      <c r="AX1445" s="185" t="s">
        <v>176</v>
      </c>
      <c r="BK1445" s="55" t="s">
        <v>5976</v>
      </c>
      <c r="BM1445" s="192" t="s">
        <v>119</v>
      </c>
      <c r="FT1445" s="65">
        <v>20.41</v>
      </c>
      <c r="FU1445" s="65">
        <v>10.6</v>
      </c>
      <c r="FX1445" s="65" t="s">
        <v>1644</v>
      </c>
      <c r="GP1445" s="292" t="s">
        <v>7494</v>
      </c>
      <c r="JW1445" s="55" t="s">
        <v>837</v>
      </c>
    </row>
    <row r="1446" spans="1:283" x14ac:dyDescent="0.25">
      <c r="A1446" s="55">
        <v>1445</v>
      </c>
      <c r="B1446" s="12" t="s">
        <v>7067</v>
      </c>
      <c r="C1446" s="155">
        <v>65</v>
      </c>
      <c r="D1446" s="55" t="s">
        <v>3961</v>
      </c>
      <c r="E1446" s="90" t="s">
        <v>950</v>
      </c>
      <c r="G1446" s="55" t="s">
        <v>949</v>
      </c>
      <c r="H1446" s="55">
        <v>1998</v>
      </c>
      <c r="I1446" s="55">
        <v>1994</v>
      </c>
      <c r="J1446" s="55" t="s">
        <v>948</v>
      </c>
      <c r="K1446" s="55" t="s">
        <v>951</v>
      </c>
      <c r="L1446" s="55" t="s">
        <v>2737</v>
      </c>
      <c r="M1446" s="90">
        <v>45.28</v>
      </c>
      <c r="N1446" s="90">
        <v>-122.75</v>
      </c>
      <c r="O1446" s="90">
        <v>48</v>
      </c>
      <c r="U1446" s="55">
        <v>3</v>
      </c>
      <c r="V1446" s="55">
        <v>3</v>
      </c>
      <c r="Y1446" s="55" t="s">
        <v>857</v>
      </c>
      <c r="Z1446" s="55" t="s">
        <v>1380</v>
      </c>
      <c r="AA1446" s="90" t="s">
        <v>1690</v>
      </c>
      <c r="AH1446" s="55" t="s">
        <v>1572</v>
      </c>
      <c r="AN1446" s="185" t="s">
        <v>131</v>
      </c>
      <c r="AO1446" s="185" t="s">
        <v>5150</v>
      </c>
      <c r="AQ1446" s="55" t="s">
        <v>131</v>
      </c>
      <c r="AR1446" s="55" t="s">
        <v>1565</v>
      </c>
      <c r="AS1446" s="55" t="s">
        <v>5133</v>
      </c>
      <c r="AU1446" s="181" t="s">
        <v>7494</v>
      </c>
      <c r="AV1446" s="185" t="s">
        <v>176</v>
      </c>
      <c r="AX1446" s="185" t="s">
        <v>176</v>
      </c>
      <c r="BK1446" s="55" t="s">
        <v>5976</v>
      </c>
      <c r="BM1446" s="192" t="s">
        <v>119</v>
      </c>
      <c r="FT1446" s="65">
        <v>20.95</v>
      </c>
      <c r="FU1446" s="65">
        <v>9.3000000000000007</v>
      </c>
      <c r="FX1446" s="65" t="s">
        <v>1644</v>
      </c>
      <c r="GP1446" s="292" t="s">
        <v>7494</v>
      </c>
      <c r="JW1446" s="55" t="s">
        <v>837</v>
      </c>
    </row>
    <row r="1447" spans="1:283" x14ac:dyDescent="0.25">
      <c r="A1447" s="55">
        <v>1446</v>
      </c>
      <c r="B1447" s="12" t="s">
        <v>7067</v>
      </c>
      <c r="C1447" s="155">
        <v>65</v>
      </c>
      <c r="D1447" s="55" t="s">
        <v>3961</v>
      </c>
      <c r="E1447" s="90" t="s">
        <v>950</v>
      </c>
      <c r="G1447" s="55" t="s">
        <v>949</v>
      </c>
      <c r="H1447" s="55">
        <v>1998</v>
      </c>
      <c r="I1447" s="55">
        <v>1994</v>
      </c>
      <c r="J1447" s="55" t="s">
        <v>948</v>
      </c>
      <c r="K1447" s="55" t="s">
        <v>951</v>
      </c>
      <c r="L1447" s="55" t="s">
        <v>2737</v>
      </c>
      <c r="M1447" s="90">
        <v>45.28</v>
      </c>
      <c r="N1447" s="90">
        <v>-122.75</v>
      </c>
      <c r="O1447" s="90">
        <v>48</v>
      </c>
      <c r="U1447" s="55">
        <v>3</v>
      </c>
      <c r="V1447" s="55">
        <v>3</v>
      </c>
      <c r="Y1447" s="55" t="s">
        <v>855</v>
      </c>
      <c r="Z1447" s="55" t="s">
        <v>1380</v>
      </c>
      <c r="AA1447" s="90" t="s">
        <v>1690</v>
      </c>
      <c r="AH1447" s="55" t="s">
        <v>1572</v>
      </c>
      <c r="AN1447" s="185" t="s">
        <v>131</v>
      </c>
      <c r="AO1447" s="185" t="s">
        <v>5150</v>
      </c>
      <c r="AQ1447" s="55" t="s">
        <v>131</v>
      </c>
      <c r="AR1447" s="55" t="s">
        <v>1565</v>
      </c>
      <c r="AS1447" s="55" t="s">
        <v>5133</v>
      </c>
      <c r="AU1447" s="181" t="s">
        <v>7494</v>
      </c>
      <c r="AV1447" s="185" t="s">
        <v>176</v>
      </c>
      <c r="AX1447" s="185" t="s">
        <v>176</v>
      </c>
      <c r="BK1447" s="55" t="s">
        <v>5976</v>
      </c>
      <c r="BM1447" s="192" t="s">
        <v>119</v>
      </c>
      <c r="FT1447" s="65">
        <v>21.95</v>
      </c>
      <c r="FU1447" s="65">
        <v>8.4600000000000009</v>
      </c>
      <c r="FX1447" s="65" t="s">
        <v>1644</v>
      </c>
      <c r="GP1447" s="292" t="s">
        <v>7494</v>
      </c>
      <c r="JW1447" s="55" t="s">
        <v>837</v>
      </c>
    </row>
    <row r="1448" spans="1:283" x14ac:dyDescent="0.25">
      <c r="A1448" s="55">
        <v>1447</v>
      </c>
      <c r="B1448" s="12" t="s">
        <v>7067</v>
      </c>
      <c r="C1448" s="155">
        <v>65</v>
      </c>
      <c r="D1448" s="55" t="s">
        <v>3961</v>
      </c>
      <c r="E1448" s="90" t="s">
        <v>950</v>
      </c>
      <c r="G1448" s="55" t="s">
        <v>949</v>
      </c>
      <c r="H1448" s="55">
        <v>1998</v>
      </c>
      <c r="I1448" s="55">
        <v>1994</v>
      </c>
      <c r="J1448" s="55" t="s">
        <v>948</v>
      </c>
      <c r="K1448" s="55" t="s">
        <v>951</v>
      </c>
      <c r="L1448" s="55" t="s">
        <v>2737</v>
      </c>
      <c r="M1448" s="90">
        <v>45.28</v>
      </c>
      <c r="N1448" s="90">
        <v>-122.75</v>
      </c>
      <c r="O1448" s="90">
        <v>48</v>
      </c>
      <c r="U1448" s="55">
        <v>3</v>
      </c>
      <c r="V1448" s="55">
        <v>3</v>
      </c>
      <c r="Y1448" s="55" t="s">
        <v>856</v>
      </c>
      <c r="Z1448" s="55" t="s">
        <v>1380</v>
      </c>
      <c r="AA1448" s="90" t="s">
        <v>1690</v>
      </c>
      <c r="AH1448" s="55" t="s">
        <v>1572</v>
      </c>
      <c r="AN1448" s="185" t="s">
        <v>131</v>
      </c>
      <c r="AO1448" s="185" t="s">
        <v>5150</v>
      </c>
      <c r="AQ1448" s="55" t="s">
        <v>131</v>
      </c>
      <c r="AR1448" s="55" t="s">
        <v>1565</v>
      </c>
      <c r="AS1448" s="55" t="s">
        <v>5133</v>
      </c>
      <c r="AU1448" s="181" t="s">
        <v>7494</v>
      </c>
      <c r="AV1448" s="185" t="s">
        <v>176</v>
      </c>
      <c r="AX1448" s="185" t="s">
        <v>176</v>
      </c>
      <c r="BK1448" s="55" t="s">
        <v>5976</v>
      </c>
      <c r="BM1448" s="192" t="s">
        <v>119</v>
      </c>
      <c r="FT1448" s="65">
        <v>13.29</v>
      </c>
      <c r="FU1448" s="65">
        <v>4.9400000000000004</v>
      </c>
      <c r="FX1448" s="65" t="s">
        <v>1644</v>
      </c>
      <c r="GP1448" s="292" t="s">
        <v>7494</v>
      </c>
      <c r="JW1448" s="55" t="s">
        <v>837</v>
      </c>
    </row>
    <row r="1449" spans="1:283" x14ac:dyDescent="0.25">
      <c r="A1449" s="55">
        <v>1448</v>
      </c>
      <c r="B1449" s="12" t="s">
        <v>7067</v>
      </c>
      <c r="C1449" s="155">
        <v>65</v>
      </c>
      <c r="D1449" s="55" t="s">
        <v>3961</v>
      </c>
      <c r="E1449" s="90" t="s">
        <v>950</v>
      </c>
      <c r="G1449" s="55" t="s">
        <v>949</v>
      </c>
      <c r="H1449" s="55">
        <v>1998</v>
      </c>
      <c r="I1449" s="55">
        <v>1994</v>
      </c>
      <c r="J1449" s="55" t="s">
        <v>948</v>
      </c>
      <c r="K1449" s="55" t="s">
        <v>951</v>
      </c>
      <c r="L1449" s="55" t="s">
        <v>2737</v>
      </c>
      <c r="M1449" s="90">
        <v>45.28</v>
      </c>
      <c r="N1449" s="90">
        <v>-122.75</v>
      </c>
      <c r="O1449" s="90">
        <v>48</v>
      </c>
      <c r="U1449" s="55">
        <v>3</v>
      </c>
      <c r="V1449" s="55">
        <v>3</v>
      </c>
      <c r="Y1449" s="55" t="s">
        <v>754</v>
      </c>
      <c r="Z1449" s="55" t="s">
        <v>1380</v>
      </c>
      <c r="AA1449" s="90" t="s">
        <v>1690</v>
      </c>
      <c r="AH1449" s="55" t="s">
        <v>1572</v>
      </c>
      <c r="AN1449" s="185" t="s">
        <v>131</v>
      </c>
      <c r="AO1449" s="185" t="s">
        <v>5150</v>
      </c>
      <c r="AQ1449" s="55" t="s">
        <v>131</v>
      </c>
      <c r="AR1449" s="55" t="s">
        <v>1565</v>
      </c>
      <c r="AS1449" s="55" t="s">
        <v>5133</v>
      </c>
      <c r="AU1449" s="181" t="s">
        <v>7494</v>
      </c>
      <c r="AV1449" s="185" t="s">
        <v>176</v>
      </c>
      <c r="AX1449" s="185" t="s">
        <v>176</v>
      </c>
      <c r="BK1449" s="55" t="s">
        <v>5976</v>
      </c>
      <c r="BM1449" s="192" t="s">
        <v>119</v>
      </c>
      <c r="FT1449" s="65">
        <v>20.190000000000001</v>
      </c>
      <c r="FU1449" s="65">
        <v>8</v>
      </c>
      <c r="FX1449" s="65" t="s">
        <v>1644</v>
      </c>
      <c r="GP1449" s="292" t="s">
        <v>7494</v>
      </c>
      <c r="JW1449" s="55" t="s">
        <v>837</v>
      </c>
    </row>
    <row r="1450" spans="1:283" x14ac:dyDescent="0.25">
      <c r="A1450" s="55">
        <v>1449</v>
      </c>
      <c r="B1450" s="12" t="s">
        <v>7067</v>
      </c>
      <c r="C1450" s="155">
        <v>65</v>
      </c>
      <c r="D1450" s="55" t="s">
        <v>3961</v>
      </c>
      <c r="E1450" s="90" t="s">
        <v>950</v>
      </c>
      <c r="G1450" s="55" t="s">
        <v>949</v>
      </c>
      <c r="H1450" s="55">
        <v>1998</v>
      </c>
      <c r="I1450" s="55">
        <v>1994</v>
      </c>
      <c r="J1450" s="55" t="s">
        <v>948</v>
      </c>
      <c r="K1450" s="55" t="s">
        <v>951</v>
      </c>
      <c r="L1450" s="55" t="s">
        <v>2737</v>
      </c>
      <c r="M1450" s="90">
        <v>45.28</v>
      </c>
      <c r="N1450" s="90">
        <v>-122.75</v>
      </c>
      <c r="O1450" s="90">
        <v>48</v>
      </c>
      <c r="U1450" s="55">
        <v>3</v>
      </c>
      <c r="V1450" s="55">
        <v>3</v>
      </c>
      <c r="Y1450" s="55" t="s">
        <v>955</v>
      </c>
      <c r="Z1450" s="55" t="s">
        <v>1380</v>
      </c>
      <c r="AA1450" s="90" t="s">
        <v>1690</v>
      </c>
      <c r="AH1450" s="55" t="s">
        <v>1572</v>
      </c>
      <c r="AN1450" s="185" t="s">
        <v>131</v>
      </c>
      <c r="AO1450" s="185" t="s">
        <v>5150</v>
      </c>
      <c r="AQ1450" s="55" t="s">
        <v>131</v>
      </c>
      <c r="AR1450" s="55" t="s">
        <v>1565</v>
      </c>
      <c r="AS1450" s="55" t="s">
        <v>5133</v>
      </c>
      <c r="AU1450" s="181" t="s">
        <v>7494</v>
      </c>
      <c r="AV1450" s="185" t="s">
        <v>176</v>
      </c>
      <c r="AX1450" s="185" t="s">
        <v>176</v>
      </c>
      <c r="BK1450" s="55" t="s">
        <v>5976</v>
      </c>
      <c r="BM1450" s="192" t="s">
        <v>119</v>
      </c>
      <c r="FT1450" s="65">
        <v>11.38</v>
      </c>
      <c r="FU1450" s="65">
        <v>4.4800000000000004</v>
      </c>
      <c r="FX1450" s="65" t="s">
        <v>1644</v>
      </c>
      <c r="GP1450" s="292" t="s">
        <v>7494</v>
      </c>
      <c r="JW1450" s="55" t="s">
        <v>837</v>
      </c>
    </row>
    <row r="1451" spans="1:283" x14ac:dyDescent="0.25">
      <c r="A1451" s="55">
        <v>1450</v>
      </c>
      <c r="B1451" s="12" t="s">
        <v>7067</v>
      </c>
      <c r="C1451" s="155">
        <v>66</v>
      </c>
      <c r="D1451" s="55" t="s">
        <v>3962</v>
      </c>
      <c r="E1451" s="90" t="s">
        <v>956</v>
      </c>
      <c r="G1451" s="55" t="s">
        <v>957</v>
      </c>
      <c r="H1451" s="55">
        <v>2015</v>
      </c>
      <c r="I1451" s="55">
        <v>2008</v>
      </c>
      <c r="J1451" s="55" t="s">
        <v>309</v>
      </c>
      <c r="K1451" s="55" t="s">
        <v>958</v>
      </c>
      <c r="L1451" s="55" t="s">
        <v>2737</v>
      </c>
      <c r="M1451" s="90">
        <v>39.54</v>
      </c>
      <c r="N1451" s="90">
        <v>-91.33</v>
      </c>
      <c r="O1451" s="90">
        <v>179.9</v>
      </c>
      <c r="U1451" s="55">
        <v>15</v>
      </c>
      <c r="V1451" s="55">
        <v>15</v>
      </c>
      <c r="Y1451" s="55" t="s">
        <v>1953</v>
      </c>
      <c r="Z1451" s="55" t="s">
        <v>1361</v>
      </c>
      <c r="AA1451" s="90" t="s">
        <v>1682</v>
      </c>
      <c r="AD1451" s="90">
        <v>1.37</v>
      </c>
      <c r="AH1451" s="55" t="s">
        <v>6378</v>
      </c>
      <c r="AI1451" s="168">
        <v>6.98</v>
      </c>
      <c r="AM1451" s="55" t="s">
        <v>1318</v>
      </c>
      <c r="AN1451" s="185" t="s">
        <v>1495</v>
      </c>
      <c r="AO1451" s="185" t="s">
        <v>5150</v>
      </c>
      <c r="AQ1451" s="55" t="s">
        <v>553</v>
      </c>
      <c r="AR1451" s="55" t="s">
        <v>1553</v>
      </c>
      <c r="AS1451" s="55" t="s">
        <v>1575</v>
      </c>
      <c r="AT1451" s="181" t="s">
        <v>959</v>
      </c>
      <c r="AU1451" s="181" t="s">
        <v>5150</v>
      </c>
      <c r="AV1451" s="185" t="s">
        <v>176</v>
      </c>
      <c r="AW1451" s="55" t="s">
        <v>960</v>
      </c>
      <c r="AX1451" s="185" t="s">
        <v>479</v>
      </c>
      <c r="AY1451" s="55" t="s">
        <v>479</v>
      </c>
      <c r="AZ1451" s="55" t="s">
        <v>156</v>
      </c>
      <c r="BA1451" s="55" t="s">
        <v>156</v>
      </c>
      <c r="BB1451" s="55" t="s">
        <v>2082</v>
      </c>
      <c r="BC1451" s="55" t="s">
        <v>2082</v>
      </c>
      <c r="BD1451" s="55" t="s">
        <v>176</v>
      </c>
      <c r="BE1451" s="226" t="s">
        <v>402</v>
      </c>
      <c r="BF1451" s="191" t="s">
        <v>479</v>
      </c>
      <c r="BG1451" s="55" t="s">
        <v>479</v>
      </c>
      <c r="BH1451" s="226" t="s">
        <v>402</v>
      </c>
      <c r="BI1451" s="55" t="s">
        <v>479</v>
      </c>
      <c r="BJ1451" s="55" t="s">
        <v>176</v>
      </c>
      <c r="BK1451" s="55" t="s">
        <v>6269</v>
      </c>
      <c r="BM1451" s="192" t="s">
        <v>119</v>
      </c>
      <c r="BN1451" s="55">
        <v>3</v>
      </c>
      <c r="BO1451" s="55">
        <v>3</v>
      </c>
      <c r="BQ1451" s="55" t="s">
        <v>141</v>
      </c>
      <c r="BV1451" s="55" t="s">
        <v>969</v>
      </c>
      <c r="CH1451" s="90">
        <v>1.37</v>
      </c>
      <c r="CI1451" s="90">
        <v>1.36</v>
      </c>
      <c r="CM1451" s="65">
        <v>1.7</v>
      </c>
      <c r="CN1451" s="65">
        <v>2.2400000000000002</v>
      </c>
      <c r="CQ1451" s="65" t="s">
        <v>962</v>
      </c>
      <c r="CV1451" s="65" t="s">
        <v>3039</v>
      </c>
      <c r="DA1451" s="65" t="s">
        <v>4458</v>
      </c>
      <c r="DB1451" s="65">
        <f>1.72*1000</f>
        <v>1720</v>
      </c>
      <c r="DC1451" s="65">
        <f>2.14*1000</f>
        <v>2140</v>
      </c>
      <c r="DF1451" s="65" t="s">
        <v>232</v>
      </c>
      <c r="DG1451" s="65">
        <v>78</v>
      </c>
      <c r="DH1451" s="65">
        <v>39</v>
      </c>
      <c r="DK1451" s="65" t="s">
        <v>966</v>
      </c>
      <c r="DL1451" s="65">
        <v>150</v>
      </c>
      <c r="DM1451" s="65">
        <v>144</v>
      </c>
      <c r="DP1451" s="65" t="s">
        <v>967</v>
      </c>
      <c r="DQ1451" s="165">
        <v>7.2</v>
      </c>
      <c r="DR1451" s="165">
        <v>7.1</v>
      </c>
      <c r="DV1451" s="65">
        <f>3120+295</f>
        <v>3415</v>
      </c>
      <c r="DW1451" s="65">
        <f>3220+310</f>
        <v>3530</v>
      </c>
      <c r="DZ1451" s="65" t="s">
        <v>1126</v>
      </c>
      <c r="EA1451" s="65">
        <v>0.21</v>
      </c>
      <c r="EB1451" s="65">
        <v>0.27</v>
      </c>
      <c r="EE1451" s="65" t="s">
        <v>965</v>
      </c>
      <c r="EK1451" s="90">
        <v>85.8</v>
      </c>
      <c r="EL1451" s="90">
        <v>87.6</v>
      </c>
      <c r="EO1451" s="65" t="s">
        <v>961</v>
      </c>
      <c r="GP1451" s="292" t="s">
        <v>7494</v>
      </c>
      <c r="HS1451" s="65">
        <v>167</v>
      </c>
      <c r="HT1451" s="65">
        <v>236</v>
      </c>
      <c r="HW1451" s="65" t="s">
        <v>963</v>
      </c>
      <c r="HX1451" s="65">
        <f>0.53*1000</f>
        <v>530</v>
      </c>
      <c r="HY1451" s="65">
        <f>0.77*1000</f>
        <v>770</v>
      </c>
      <c r="IC1451" s="65">
        <v>46.4</v>
      </c>
      <c r="ID1451" s="65">
        <v>60.4</v>
      </c>
      <c r="IG1451" s="65" t="s">
        <v>964</v>
      </c>
      <c r="JG1451" s="65">
        <v>287</v>
      </c>
      <c r="JH1451" s="65">
        <v>297</v>
      </c>
      <c r="JK1451" s="65" t="s">
        <v>964</v>
      </c>
      <c r="JQ1451" s="65">
        <v>99999</v>
      </c>
      <c r="JR1451" s="65">
        <v>99999</v>
      </c>
      <c r="JU1451" s="55" t="s">
        <v>968</v>
      </c>
      <c r="JW1451" s="55" t="s">
        <v>837</v>
      </c>
    </row>
    <row r="1452" spans="1:283" x14ac:dyDescent="0.25">
      <c r="A1452" s="55">
        <v>1451</v>
      </c>
      <c r="B1452" s="12" t="s">
        <v>7067</v>
      </c>
      <c r="C1452" s="155">
        <v>66</v>
      </c>
      <c r="D1452" s="55" t="s">
        <v>3963</v>
      </c>
      <c r="E1452" s="90" t="s">
        <v>956</v>
      </c>
      <c r="G1452" s="55" t="s">
        <v>957</v>
      </c>
      <c r="H1452" s="55">
        <v>2015</v>
      </c>
      <c r="I1452" s="55">
        <v>2008</v>
      </c>
      <c r="J1452" s="55" t="s">
        <v>309</v>
      </c>
      <c r="K1452" s="55" t="s">
        <v>958</v>
      </c>
      <c r="L1452" s="55" t="s">
        <v>2737</v>
      </c>
      <c r="M1452" s="90">
        <v>39.54</v>
      </c>
      <c r="N1452" s="90">
        <v>-91.33</v>
      </c>
      <c r="O1452" s="90">
        <v>179.9</v>
      </c>
      <c r="U1452" s="55">
        <v>15</v>
      </c>
      <c r="V1452" s="55">
        <v>15</v>
      </c>
      <c r="Y1452" s="55" t="s">
        <v>1953</v>
      </c>
      <c r="Z1452" s="55" t="s">
        <v>1379</v>
      </c>
      <c r="AA1452" s="90" t="s">
        <v>1679</v>
      </c>
      <c r="AD1452" s="90">
        <v>1.37</v>
      </c>
      <c r="AH1452" s="55" t="s">
        <v>6378</v>
      </c>
      <c r="AI1452" s="168">
        <v>6.98</v>
      </c>
      <c r="AM1452" s="55" t="s">
        <v>1318</v>
      </c>
      <c r="AN1452" s="185" t="s">
        <v>1495</v>
      </c>
      <c r="AO1452" s="185" t="s">
        <v>5150</v>
      </c>
      <c r="AQ1452" s="55" t="s">
        <v>553</v>
      </c>
      <c r="AR1452" s="55" t="s">
        <v>1553</v>
      </c>
      <c r="AS1452" s="55" t="s">
        <v>1575</v>
      </c>
      <c r="AT1452" s="181" t="s">
        <v>959</v>
      </c>
      <c r="AU1452" s="181" t="s">
        <v>5150</v>
      </c>
      <c r="AV1452" s="185" t="s">
        <v>176</v>
      </c>
      <c r="AW1452" s="55" t="s">
        <v>960</v>
      </c>
      <c r="AX1452" s="185" t="s">
        <v>479</v>
      </c>
      <c r="AY1452" s="55" t="s">
        <v>479</v>
      </c>
      <c r="AZ1452" s="55" t="s">
        <v>156</v>
      </c>
      <c r="BA1452" s="55" t="s">
        <v>156</v>
      </c>
      <c r="BB1452" s="55" t="s">
        <v>2082</v>
      </c>
      <c r="BC1452" s="55" t="s">
        <v>2082</v>
      </c>
      <c r="BD1452" s="55" t="s">
        <v>176</v>
      </c>
      <c r="BE1452" s="226" t="s">
        <v>402</v>
      </c>
      <c r="BF1452" s="191" t="s">
        <v>479</v>
      </c>
      <c r="BG1452" s="55" t="s">
        <v>479</v>
      </c>
      <c r="BH1452" s="226" t="s">
        <v>402</v>
      </c>
      <c r="BI1452" s="55" t="s">
        <v>479</v>
      </c>
      <c r="BJ1452" s="55" t="s">
        <v>176</v>
      </c>
      <c r="BK1452" s="55" t="s">
        <v>6269</v>
      </c>
      <c r="BM1452" s="192" t="s">
        <v>119</v>
      </c>
      <c r="BN1452" s="55">
        <v>3</v>
      </c>
      <c r="BO1452" s="55">
        <v>3</v>
      </c>
      <c r="BQ1452" s="55" t="s">
        <v>141</v>
      </c>
      <c r="BV1452" s="55" t="s">
        <v>969</v>
      </c>
      <c r="CH1452" s="90">
        <v>1.38</v>
      </c>
      <c r="CI1452" s="90">
        <v>1.4</v>
      </c>
      <c r="CM1452" s="65">
        <v>1.02</v>
      </c>
      <c r="CN1452" s="65">
        <v>1.01</v>
      </c>
      <c r="CQ1452" s="65" t="s">
        <v>962</v>
      </c>
      <c r="CV1452" s="65" t="s">
        <v>3039</v>
      </c>
      <c r="DA1452" s="65" t="s">
        <v>4458</v>
      </c>
      <c r="DB1452" s="65">
        <v>1180</v>
      </c>
      <c r="DC1452" s="65">
        <v>1220</v>
      </c>
      <c r="DF1452" s="65" t="s">
        <v>232</v>
      </c>
      <c r="DG1452" s="65">
        <v>16.5</v>
      </c>
      <c r="DH1452" s="65">
        <v>12.2</v>
      </c>
      <c r="DK1452" s="65" t="s">
        <v>966</v>
      </c>
      <c r="DL1452" s="65">
        <v>107</v>
      </c>
      <c r="DM1452" s="65">
        <v>108</v>
      </c>
      <c r="DP1452" s="65" t="s">
        <v>967</v>
      </c>
      <c r="DQ1452" s="165">
        <v>6.8</v>
      </c>
      <c r="DR1452" s="165">
        <v>6.7</v>
      </c>
      <c r="DV1452" s="65">
        <f>2680+340</f>
        <v>3020</v>
      </c>
      <c r="DW1452" s="65">
        <f>2620+350</f>
        <v>2970</v>
      </c>
      <c r="DZ1452" s="65" t="s">
        <v>1126</v>
      </c>
      <c r="EA1452" s="65">
        <v>0.16</v>
      </c>
      <c r="EB1452" s="65">
        <v>0.17</v>
      </c>
      <c r="EE1452" s="65" t="s">
        <v>965</v>
      </c>
      <c r="EK1452" s="90">
        <v>87.1</v>
      </c>
      <c r="EL1452" s="90">
        <v>85</v>
      </c>
      <c r="EO1452" s="65" t="s">
        <v>961</v>
      </c>
      <c r="GP1452" s="292" t="s">
        <v>7494</v>
      </c>
      <c r="HS1452" s="65">
        <v>36.1</v>
      </c>
      <c r="HT1452" s="65">
        <v>39.799999999999997</v>
      </c>
      <c r="HW1452" s="65" t="s">
        <v>963</v>
      </c>
      <c r="HX1452" s="65">
        <v>189</v>
      </c>
      <c r="HY1452" s="65">
        <v>214</v>
      </c>
      <c r="IC1452" s="65">
        <v>14</v>
      </c>
      <c r="ID1452" s="65">
        <v>16.600000000000001</v>
      </c>
      <c r="IG1452" s="65" t="s">
        <v>964</v>
      </c>
      <c r="JG1452" s="65">
        <v>105</v>
      </c>
      <c r="JH1452" s="65">
        <v>131</v>
      </c>
      <c r="JK1452" s="65" t="s">
        <v>964</v>
      </c>
      <c r="JQ1452" s="65">
        <v>99999</v>
      </c>
      <c r="JR1452" s="65">
        <v>99999</v>
      </c>
      <c r="JU1452" s="55" t="s">
        <v>968</v>
      </c>
      <c r="JW1452" s="55" t="s">
        <v>837</v>
      </c>
    </row>
    <row r="1453" spans="1:283" x14ac:dyDescent="0.25">
      <c r="A1453" s="55">
        <v>1452</v>
      </c>
      <c r="B1453" s="12" t="s">
        <v>7067</v>
      </c>
      <c r="C1453" s="155">
        <v>66</v>
      </c>
      <c r="D1453" s="55" t="s">
        <v>3964</v>
      </c>
      <c r="E1453" s="90" t="s">
        <v>956</v>
      </c>
      <c r="G1453" s="55" t="s">
        <v>957</v>
      </c>
      <c r="H1453" s="55">
        <v>2015</v>
      </c>
      <c r="I1453" s="55">
        <v>2008</v>
      </c>
      <c r="J1453" s="55" t="s">
        <v>309</v>
      </c>
      <c r="K1453" s="55" t="s">
        <v>958</v>
      </c>
      <c r="L1453" s="55" t="s">
        <v>2737</v>
      </c>
      <c r="M1453" s="90">
        <v>39.54</v>
      </c>
      <c r="N1453" s="90">
        <v>-91.33</v>
      </c>
      <c r="O1453" s="90">
        <v>179.9</v>
      </c>
      <c r="U1453" s="55">
        <v>15</v>
      </c>
      <c r="V1453" s="55">
        <v>15</v>
      </c>
      <c r="Y1453" s="55" t="s">
        <v>1953</v>
      </c>
      <c r="Z1453" s="55" t="s">
        <v>1361</v>
      </c>
      <c r="AA1453" s="90" t="s">
        <v>1682</v>
      </c>
      <c r="AD1453" s="90">
        <f>(1.37+1.43)/2</f>
        <v>1.4</v>
      </c>
      <c r="AH1453" s="55" t="s">
        <v>6378</v>
      </c>
      <c r="AI1453" s="168">
        <v>6.98</v>
      </c>
      <c r="AM1453" s="55" t="s">
        <v>1318</v>
      </c>
      <c r="AN1453" s="185" t="s">
        <v>1495</v>
      </c>
      <c r="AO1453" s="185" t="s">
        <v>5150</v>
      </c>
      <c r="AQ1453" s="55" t="s">
        <v>553</v>
      </c>
      <c r="AR1453" s="55" t="s">
        <v>1553</v>
      </c>
      <c r="AS1453" s="55" t="s">
        <v>1575</v>
      </c>
      <c r="AT1453" s="181" t="s">
        <v>959</v>
      </c>
      <c r="AU1453" s="181" t="s">
        <v>5150</v>
      </c>
      <c r="AV1453" s="185" t="s">
        <v>176</v>
      </c>
      <c r="AW1453" s="55" t="s">
        <v>959</v>
      </c>
      <c r="AX1453" s="185" t="s">
        <v>176</v>
      </c>
      <c r="AY1453" s="55" t="s">
        <v>176</v>
      </c>
      <c r="AZ1453" s="55" t="s">
        <v>156</v>
      </c>
      <c r="BA1453" s="55" t="s">
        <v>971</v>
      </c>
      <c r="BB1453" s="55" t="s">
        <v>2082</v>
      </c>
      <c r="BC1453" s="55" t="s">
        <v>2081</v>
      </c>
      <c r="BD1453" s="55" t="s">
        <v>479</v>
      </c>
      <c r="BE1453" s="226" t="s">
        <v>402</v>
      </c>
      <c r="BF1453" s="191" t="s">
        <v>479</v>
      </c>
      <c r="BG1453" s="55" t="s">
        <v>479</v>
      </c>
      <c r="BH1453" s="226" t="s">
        <v>972</v>
      </c>
      <c r="BI1453" s="55" t="s">
        <v>479</v>
      </c>
      <c r="BJ1453" s="55" t="s">
        <v>479</v>
      </c>
      <c r="BK1453" s="55" t="s">
        <v>5976</v>
      </c>
      <c r="BM1453" s="192" t="s">
        <v>119</v>
      </c>
      <c r="BN1453" s="55">
        <v>3</v>
      </c>
      <c r="BO1453" s="55">
        <v>3</v>
      </c>
      <c r="BQ1453" s="55" t="s">
        <v>141</v>
      </c>
      <c r="BV1453" s="55" t="s">
        <v>970</v>
      </c>
      <c r="CH1453" s="90">
        <v>1.43</v>
      </c>
      <c r="CI1453" s="90">
        <v>1.37</v>
      </c>
      <c r="CM1453" s="65">
        <f>15.9/10</f>
        <v>1.59</v>
      </c>
      <c r="CN1453" s="65">
        <f>16.7/10</f>
        <v>1.67</v>
      </c>
      <c r="CQ1453" s="65" t="s">
        <v>962</v>
      </c>
      <c r="CV1453" s="65" t="s">
        <v>3039</v>
      </c>
      <c r="DA1453" s="65" t="s">
        <v>4458</v>
      </c>
      <c r="DB1453" s="65">
        <v>1710</v>
      </c>
      <c r="DC1453" s="65">
        <v>2270</v>
      </c>
      <c r="DF1453" s="65" t="s">
        <v>232</v>
      </c>
      <c r="DG1453" s="65">
        <v>37</v>
      </c>
      <c r="DH1453" s="65">
        <v>96</v>
      </c>
      <c r="DK1453" s="65" t="s">
        <v>966</v>
      </c>
      <c r="DL1453" s="65">
        <v>163</v>
      </c>
      <c r="DM1453" s="65">
        <v>136</v>
      </c>
      <c r="DP1453" s="65" t="s">
        <v>967</v>
      </c>
      <c r="DQ1453" s="165">
        <v>6.7</v>
      </c>
      <c r="DR1453" s="165">
        <v>7.2</v>
      </c>
      <c r="DV1453" s="65">
        <f>3040+219</f>
        <v>3259</v>
      </c>
      <c r="DW1453" s="65">
        <f>2300+186</f>
        <v>2486</v>
      </c>
      <c r="DZ1453" s="65" t="s">
        <v>1126</v>
      </c>
      <c r="EA1453" s="65">
        <v>0.41</v>
      </c>
      <c r="EB1453" s="65">
        <v>0.33</v>
      </c>
      <c r="EE1453" s="65" t="s">
        <v>965</v>
      </c>
      <c r="EK1453" s="90">
        <v>88.6</v>
      </c>
      <c r="EL1453" s="90">
        <v>90.2</v>
      </c>
      <c r="EO1453" s="65" t="s">
        <v>961</v>
      </c>
      <c r="GP1453" s="292" t="s">
        <v>7494</v>
      </c>
      <c r="HS1453" s="65">
        <v>222</v>
      </c>
      <c r="HT1453" s="65">
        <v>186</v>
      </c>
      <c r="HW1453" s="65" t="s">
        <v>963</v>
      </c>
      <c r="HX1453" s="65">
        <v>530</v>
      </c>
      <c r="HY1453" s="65">
        <v>810</v>
      </c>
      <c r="IC1453" s="65">
        <v>47.9</v>
      </c>
      <c r="ID1453" s="65">
        <v>22.8</v>
      </c>
      <c r="IG1453" s="65" t="s">
        <v>964</v>
      </c>
      <c r="JG1453" s="65">
        <v>389</v>
      </c>
      <c r="JH1453" s="65">
        <v>731</v>
      </c>
      <c r="JK1453" s="65" t="s">
        <v>964</v>
      </c>
      <c r="JQ1453" s="65">
        <v>99999</v>
      </c>
      <c r="JR1453" s="65">
        <v>99999</v>
      </c>
      <c r="JU1453" s="55" t="s">
        <v>968</v>
      </c>
      <c r="JW1453" s="55" t="s">
        <v>837</v>
      </c>
    </row>
    <row r="1454" spans="1:283" x14ac:dyDescent="0.25">
      <c r="A1454" s="55">
        <v>1453</v>
      </c>
      <c r="B1454" s="12" t="s">
        <v>7067</v>
      </c>
      <c r="C1454" s="155">
        <v>66</v>
      </c>
      <c r="D1454" s="55" t="s">
        <v>3965</v>
      </c>
      <c r="E1454" s="90" t="s">
        <v>956</v>
      </c>
      <c r="G1454" s="55" t="s">
        <v>957</v>
      </c>
      <c r="H1454" s="55">
        <v>2015</v>
      </c>
      <c r="I1454" s="55">
        <v>2008</v>
      </c>
      <c r="J1454" s="55" t="s">
        <v>309</v>
      </c>
      <c r="K1454" s="55" t="s">
        <v>958</v>
      </c>
      <c r="L1454" s="55" t="s">
        <v>2737</v>
      </c>
      <c r="M1454" s="90">
        <v>39.54</v>
      </c>
      <c r="N1454" s="90">
        <v>-91.33</v>
      </c>
      <c r="O1454" s="90">
        <v>179.9</v>
      </c>
      <c r="U1454" s="55">
        <v>15</v>
      </c>
      <c r="V1454" s="55">
        <v>15</v>
      </c>
      <c r="Y1454" s="55" t="s">
        <v>1953</v>
      </c>
      <c r="Z1454" s="55" t="s">
        <v>1379</v>
      </c>
      <c r="AA1454" s="90" t="s">
        <v>1679</v>
      </c>
      <c r="AD1454" s="90">
        <f>(1.37+1.43)/2</f>
        <v>1.4</v>
      </c>
      <c r="AH1454" s="55" t="s">
        <v>6378</v>
      </c>
      <c r="AI1454" s="168">
        <v>6.98</v>
      </c>
      <c r="AM1454" s="55" t="s">
        <v>1318</v>
      </c>
      <c r="AN1454" s="185" t="s">
        <v>1495</v>
      </c>
      <c r="AO1454" s="185" t="s">
        <v>5150</v>
      </c>
      <c r="AQ1454" s="55" t="s">
        <v>553</v>
      </c>
      <c r="AR1454" s="55" t="s">
        <v>1553</v>
      </c>
      <c r="AS1454" s="55" t="s">
        <v>1575</v>
      </c>
      <c r="AT1454" s="181" t="s">
        <v>959</v>
      </c>
      <c r="AU1454" s="181" t="s">
        <v>5150</v>
      </c>
      <c r="AV1454" s="185" t="s">
        <v>176</v>
      </c>
      <c r="AW1454" s="55" t="s">
        <v>959</v>
      </c>
      <c r="AX1454" s="185" t="s">
        <v>176</v>
      </c>
      <c r="AY1454" s="55" t="s">
        <v>176</v>
      </c>
      <c r="AZ1454" s="55" t="s">
        <v>156</v>
      </c>
      <c r="BA1454" s="55" t="s">
        <v>971</v>
      </c>
      <c r="BB1454" s="55" t="s">
        <v>2082</v>
      </c>
      <c r="BC1454" s="55" t="s">
        <v>2081</v>
      </c>
      <c r="BD1454" s="55" t="s">
        <v>479</v>
      </c>
      <c r="BE1454" s="226" t="s">
        <v>402</v>
      </c>
      <c r="BF1454" s="191" t="s">
        <v>479</v>
      </c>
      <c r="BG1454" s="55" t="s">
        <v>479</v>
      </c>
      <c r="BH1454" s="226" t="s">
        <v>972</v>
      </c>
      <c r="BI1454" s="55" t="s">
        <v>479</v>
      </c>
      <c r="BJ1454" s="55" t="s">
        <v>479</v>
      </c>
      <c r="BK1454" s="55" t="s">
        <v>5976</v>
      </c>
      <c r="BM1454" s="192" t="s">
        <v>119</v>
      </c>
      <c r="BN1454" s="55">
        <v>3</v>
      </c>
      <c r="BO1454" s="55">
        <v>3</v>
      </c>
      <c r="BQ1454" s="55" t="s">
        <v>141</v>
      </c>
      <c r="BV1454" s="55" t="s">
        <v>970</v>
      </c>
      <c r="CH1454" s="90">
        <v>1.41</v>
      </c>
      <c r="CI1454" s="90">
        <v>1.46</v>
      </c>
      <c r="CM1454" s="65">
        <v>1.04</v>
      </c>
      <c r="CN1454" s="65">
        <v>1.33</v>
      </c>
      <c r="CQ1454" s="65" t="s">
        <v>962</v>
      </c>
      <c r="CV1454" s="65" t="s">
        <v>3039</v>
      </c>
      <c r="DA1454" s="65" t="s">
        <v>4458</v>
      </c>
      <c r="DB1454" s="65">
        <v>1160</v>
      </c>
      <c r="DC1454" s="65">
        <v>1600</v>
      </c>
      <c r="DF1454" s="65" t="s">
        <v>232</v>
      </c>
      <c r="DG1454" s="65">
        <v>12.6</v>
      </c>
      <c r="DH1454" s="65">
        <v>32.5</v>
      </c>
      <c r="DK1454" s="65" t="s">
        <v>966</v>
      </c>
      <c r="DL1454" s="65">
        <v>65.099999999999994</v>
      </c>
      <c r="DM1454" s="65">
        <v>67.8</v>
      </c>
      <c r="DP1454" s="65" t="s">
        <v>967</v>
      </c>
      <c r="DQ1454" s="165">
        <v>6.9</v>
      </c>
      <c r="DR1454" s="165">
        <v>7.2</v>
      </c>
      <c r="DV1454" s="65">
        <f>1890+158</f>
        <v>2048</v>
      </c>
      <c r="DW1454" s="65">
        <f>2560+150</f>
        <v>2710</v>
      </c>
      <c r="DZ1454" s="65" t="s">
        <v>1126</v>
      </c>
      <c r="EA1454" s="65">
        <v>0.13</v>
      </c>
      <c r="EB1454" s="65">
        <v>0.2</v>
      </c>
      <c r="EE1454" s="65" t="s">
        <v>965</v>
      </c>
      <c r="EK1454" s="90">
        <v>85.8</v>
      </c>
      <c r="EL1454" s="90">
        <v>91.2</v>
      </c>
      <c r="EO1454" s="65" t="s">
        <v>961</v>
      </c>
      <c r="GP1454" s="292" t="s">
        <v>7494</v>
      </c>
      <c r="HS1454" s="65">
        <v>57.8</v>
      </c>
      <c r="HT1454" s="65">
        <v>77.599999999999994</v>
      </c>
      <c r="HW1454" s="65" t="s">
        <v>963</v>
      </c>
      <c r="HX1454" s="65">
        <v>202</v>
      </c>
      <c r="HY1454" s="65">
        <v>266</v>
      </c>
      <c r="IC1454" s="65">
        <v>22.6</v>
      </c>
      <c r="ID1454" s="65">
        <v>14.3</v>
      </c>
      <c r="IG1454" s="65" t="s">
        <v>964</v>
      </c>
      <c r="JG1454" s="65">
        <v>109</v>
      </c>
      <c r="JH1454" s="65">
        <v>251</v>
      </c>
      <c r="JK1454" s="65" t="s">
        <v>964</v>
      </c>
      <c r="JQ1454" s="65">
        <v>99999</v>
      </c>
      <c r="JR1454" s="65">
        <v>99999</v>
      </c>
      <c r="JU1454" s="55" t="s">
        <v>968</v>
      </c>
      <c r="JW1454" s="55" t="s">
        <v>837</v>
      </c>
    </row>
    <row r="1455" spans="1:283" x14ac:dyDescent="0.25">
      <c r="A1455" s="55">
        <v>1454</v>
      </c>
      <c r="B1455" s="12" t="s">
        <v>7067</v>
      </c>
      <c r="C1455" s="155">
        <v>67</v>
      </c>
      <c r="D1455" s="55" t="s">
        <v>3966</v>
      </c>
      <c r="E1455" s="90" t="s">
        <v>973</v>
      </c>
      <c r="G1455" s="55" t="s">
        <v>974</v>
      </c>
      <c r="H1455" s="55">
        <v>2006</v>
      </c>
      <c r="I1455" s="55">
        <v>2002</v>
      </c>
      <c r="J1455" s="55" t="s">
        <v>151</v>
      </c>
      <c r="K1455" s="55" t="s">
        <v>975</v>
      </c>
      <c r="L1455" s="55" t="s">
        <v>2737</v>
      </c>
      <c r="M1455" s="90">
        <v>40.1</v>
      </c>
      <c r="N1455" s="90">
        <v>-88.25</v>
      </c>
      <c r="O1455" s="90">
        <v>235.6</v>
      </c>
      <c r="U1455" s="55">
        <v>2</v>
      </c>
      <c r="V1455" s="55">
        <v>2</v>
      </c>
      <c r="Y1455" s="55" t="s">
        <v>1954</v>
      </c>
      <c r="Z1455" s="55" t="s">
        <v>1361</v>
      </c>
      <c r="AA1455" s="90" t="s">
        <v>1682</v>
      </c>
      <c r="AD1455" s="90">
        <v>1.32</v>
      </c>
      <c r="AH1455" s="55" t="s">
        <v>139</v>
      </c>
      <c r="AM1455" s="55" t="s">
        <v>1285</v>
      </c>
      <c r="AN1455" s="185" t="s">
        <v>131</v>
      </c>
      <c r="AO1455" s="185" t="s">
        <v>5150</v>
      </c>
      <c r="AQ1455" s="55" t="s">
        <v>131</v>
      </c>
      <c r="AR1455" s="55" t="s">
        <v>132</v>
      </c>
      <c r="AS1455" s="55" t="s">
        <v>1575</v>
      </c>
      <c r="AT1455" s="181" t="s">
        <v>959</v>
      </c>
      <c r="AU1455" s="181" t="s">
        <v>5150</v>
      </c>
      <c r="AV1455" s="185" t="s">
        <v>176</v>
      </c>
      <c r="AW1455" s="55" t="s">
        <v>959</v>
      </c>
      <c r="AX1455" s="185" t="s">
        <v>176</v>
      </c>
      <c r="AY1455" s="55" t="s">
        <v>176</v>
      </c>
      <c r="AZ1455" s="55" t="s">
        <v>156</v>
      </c>
      <c r="BA1455" s="55" t="s">
        <v>156</v>
      </c>
      <c r="BB1455" s="55" t="s">
        <v>2082</v>
      </c>
      <c r="BC1455" s="55" t="s">
        <v>2082</v>
      </c>
      <c r="BD1455" s="55" t="s">
        <v>176</v>
      </c>
      <c r="BE1455" s="226" t="s">
        <v>976</v>
      </c>
      <c r="BF1455" s="191" t="s">
        <v>479</v>
      </c>
      <c r="BG1455" s="55" t="s">
        <v>479</v>
      </c>
      <c r="BH1455" s="226" t="s">
        <v>976</v>
      </c>
      <c r="BI1455" s="55" t="s">
        <v>479</v>
      </c>
      <c r="BJ1455" s="55" t="s">
        <v>176</v>
      </c>
      <c r="BK1455" s="55" t="s">
        <v>6269</v>
      </c>
      <c r="BM1455" s="192" t="s">
        <v>119</v>
      </c>
      <c r="BN1455" s="55">
        <v>4</v>
      </c>
      <c r="BO1455" s="55">
        <v>4</v>
      </c>
      <c r="BQ1455" s="55" t="s">
        <v>315</v>
      </c>
      <c r="CH1455" s="90">
        <v>1.32</v>
      </c>
      <c r="CI1455" s="90">
        <v>1.24</v>
      </c>
      <c r="CM1455" s="65">
        <v>4.2</v>
      </c>
      <c r="CN1455" s="65">
        <v>4.4000000000000004</v>
      </c>
      <c r="CQ1455" s="65" t="s">
        <v>977</v>
      </c>
      <c r="CV1455" s="65" t="s">
        <v>1630</v>
      </c>
      <c r="DA1455" s="65" t="s">
        <v>4453</v>
      </c>
      <c r="DB1455" s="65">
        <v>27.7</v>
      </c>
      <c r="DC1455" s="65">
        <v>23.1</v>
      </c>
      <c r="DF1455" s="65" t="s">
        <v>979</v>
      </c>
      <c r="DG1455" s="65">
        <v>36.4</v>
      </c>
      <c r="DH1455" s="65">
        <v>29.6</v>
      </c>
      <c r="EK1455" s="90">
        <v>38</v>
      </c>
      <c r="EL1455" s="90">
        <v>41</v>
      </c>
      <c r="EO1455" s="65" t="s">
        <v>961</v>
      </c>
      <c r="EP1455" s="65">
        <v>39</v>
      </c>
      <c r="EQ1455" s="65">
        <v>41</v>
      </c>
      <c r="ET1455" s="65" t="s">
        <v>987</v>
      </c>
      <c r="EU1455" s="65">
        <v>1.4119999999999999</v>
      </c>
      <c r="EV1455" s="65">
        <v>1.032</v>
      </c>
      <c r="EY1455" s="65" t="s">
        <v>980</v>
      </c>
      <c r="GI1455" s="65">
        <v>24.3</v>
      </c>
      <c r="GJ1455" s="65">
        <v>25.3</v>
      </c>
      <c r="GM1455" s="65" t="s">
        <v>988</v>
      </c>
      <c r="GP1455" s="292" t="s">
        <v>7494</v>
      </c>
      <c r="JW1455" s="55" t="s">
        <v>1955</v>
      </c>
    </row>
    <row r="1456" spans="1:283" x14ac:dyDescent="0.25">
      <c r="A1456" s="55">
        <v>1455</v>
      </c>
      <c r="B1456" s="12" t="s">
        <v>7067</v>
      </c>
      <c r="C1456" s="155">
        <v>67</v>
      </c>
      <c r="D1456" s="55" t="s">
        <v>3967</v>
      </c>
      <c r="E1456" s="90" t="s">
        <v>973</v>
      </c>
      <c r="G1456" s="55" t="s">
        <v>974</v>
      </c>
      <c r="H1456" s="55">
        <v>2006</v>
      </c>
      <c r="I1456" s="55">
        <v>2002</v>
      </c>
      <c r="J1456" s="55" t="s">
        <v>151</v>
      </c>
      <c r="K1456" s="55" t="s">
        <v>975</v>
      </c>
      <c r="L1456" s="55" t="s">
        <v>2737</v>
      </c>
      <c r="M1456" s="90">
        <v>40.1</v>
      </c>
      <c r="N1456" s="90">
        <v>-88.25</v>
      </c>
      <c r="O1456" s="90">
        <v>235.6</v>
      </c>
      <c r="U1456" s="55">
        <v>2</v>
      </c>
      <c r="V1456" s="55">
        <v>2</v>
      </c>
      <c r="Y1456" s="55" t="s">
        <v>1954</v>
      </c>
      <c r="Z1456" s="55" t="s">
        <v>1368</v>
      </c>
      <c r="AA1456" s="90" t="s">
        <v>1682</v>
      </c>
      <c r="AD1456" s="90">
        <v>1.4</v>
      </c>
      <c r="AH1456" s="55" t="s">
        <v>139</v>
      </c>
      <c r="AM1456" s="55" t="s">
        <v>1285</v>
      </c>
      <c r="AN1456" s="185" t="s">
        <v>131</v>
      </c>
      <c r="AO1456" s="185" t="s">
        <v>5150</v>
      </c>
      <c r="AQ1456" s="55" t="s">
        <v>131</v>
      </c>
      <c r="AR1456" s="55" t="s">
        <v>132</v>
      </c>
      <c r="AS1456" s="55" t="s">
        <v>1575</v>
      </c>
      <c r="AT1456" s="181" t="s">
        <v>959</v>
      </c>
      <c r="AU1456" s="181" t="s">
        <v>5150</v>
      </c>
      <c r="AV1456" s="185" t="s">
        <v>176</v>
      </c>
      <c r="AW1456" s="55" t="s">
        <v>959</v>
      </c>
      <c r="AX1456" s="185" t="s">
        <v>176</v>
      </c>
      <c r="AY1456" s="55" t="s">
        <v>176</v>
      </c>
      <c r="AZ1456" s="55" t="s">
        <v>156</v>
      </c>
      <c r="BA1456" s="55" t="s">
        <v>156</v>
      </c>
      <c r="BB1456" s="55" t="s">
        <v>2082</v>
      </c>
      <c r="BC1456" s="55" t="s">
        <v>2082</v>
      </c>
      <c r="BD1456" s="55" t="s">
        <v>176</v>
      </c>
      <c r="BE1456" s="226" t="s">
        <v>976</v>
      </c>
      <c r="BF1456" s="191" t="s">
        <v>479</v>
      </c>
      <c r="BG1456" s="55" t="s">
        <v>479</v>
      </c>
      <c r="BH1456" s="226" t="s">
        <v>976</v>
      </c>
      <c r="BI1456" s="55" t="s">
        <v>479</v>
      </c>
      <c r="BJ1456" s="55" t="s">
        <v>176</v>
      </c>
      <c r="BK1456" s="55" t="s">
        <v>6269</v>
      </c>
      <c r="BM1456" s="192" t="s">
        <v>119</v>
      </c>
      <c r="BN1456" s="55">
        <v>4</v>
      </c>
      <c r="BO1456" s="55">
        <v>4</v>
      </c>
      <c r="BQ1456" s="55" t="s">
        <v>315</v>
      </c>
      <c r="CH1456" s="90">
        <v>1.4</v>
      </c>
      <c r="CI1456" s="90">
        <v>1.38</v>
      </c>
      <c r="CM1456" s="65">
        <v>3.3</v>
      </c>
      <c r="CN1456" s="65">
        <v>3.5</v>
      </c>
      <c r="CQ1456" s="65" t="s">
        <v>977</v>
      </c>
      <c r="CV1456" s="65" t="s">
        <v>1630</v>
      </c>
      <c r="DA1456" s="65" t="s">
        <v>4453</v>
      </c>
      <c r="DB1456" s="65">
        <v>24.8</v>
      </c>
      <c r="DC1456" s="65">
        <v>29.1</v>
      </c>
      <c r="DF1456" s="65" t="s">
        <v>979</v>
      </c>
      <c r="DG1456" s="65">
        <v>36.4</v>
      </c>
      <c r="DH1456" s="65">
        <v>34.4</v>
      </c>
      <c r="EK1456" s="90">
        <v>38</v>
      </c>
      <c r="EL1456" s="90">
        <v>43</v>
      </c>
      <c r="EO1456" s="65" t="s">
        <v>961</v>
      </c>
      <c r="EP1456" s="65">
        <v>39</v>
      </c>
      <c r="EQ1456" s="65">
        <v>40.299999999999997</v>
      </c>
      <c r="ET1456" s="65" t="s">
        <v>987</v>
      </c>
      <c r="EU1456" s="65">
        <v>1.84</v>
      </c>
      <c r="EV1456" s="65">
        <v>1.653</v>
      </c>
      <c r="EY1456" s="65" t="s">
        <v>980</v>
      </c>
      <c r="GI1456" s="65">
        <v>24.3</v>
      </c>
      <c r="GJ1456" s="65">
        <v>25.6</v>
      </c>
      <c r="GM1456" s="65" t="s">
        <v>988</v>
      </c>
      <c r="GP1456" s="292" t="s">
        <v>7494</v>
      </c>
      <c r="JW1456" s="55" t="s">
        <v>1955</v>
      </c>
    </row>
    <row r="1457" spans="1:283" x14ac:dyDescent="0.25">
      <c r="A1457" s="55">
        <v>1456</v>
      </c>
      <c r="B1457" s="12" t="s">
        <v>7067</v>
      </c>
      <c r="C1457" s="155">
        <v>67</v>
      </c>
      <c r="D1457" s="55" t="s">
        <v>3968</v>
      </c>
      <c r="E1457" s="90" t="s">
        <v>973</v>
      </c>
      <c r="G1457" s="55" t="s">
        <v>974</v>
      </c>
      <c r="H1457" s="55">
        <v>2006</v>
      </c>
      <c r="I1457" s="55">
        <v>2002</v>
      </c>
      <c r="J1457" s="55" t="s">
        <v>151</v>
      </c>
      <c r="K1457" s="55" t="s">
        <v>975</v>
      </c>
      <c r="L1457" s="55" t="s">
        <v>2737</v>
      </c>
      <c r="M1457" s="90">
        <v>40.1</v>
      </c>
      <c r="N1457" s="90">
        <v>-88.25</v>
      </c>
      <c r="O1457" s="90">
        <v>235.6</v>
      </c>
      <c r="U1457" s="55">
        <v>2</v>
      </c>
      <c r="V1457" s="55">
        <v>2</v>
      </c>
      <c r="Y1457" s="55" t="s">
        <v>1954</v>
      </c>
      <c r="Z1457" s="55" t="s">
        <v>1376</v>
      </c>
      <c r="AA1457" s="90" t="s">
        <v>1682</v>
      </c>
      <c r="AD1457" s="90">
        <v>1.45</v>
      </c>
      <c r="AH1457" s="55" t="s">
        <v>139</v>
      </c>
      <c r="AM1457" s="55" t="s">
        <v>1285</v>
      </c>
      <c r="AN1457" s="185" t="s">
        <v>131</v>
      </c>
      <c r="AO1457" s="185" t="s">
        <v>5150</v>
      </c>
      <c r="AQ1457" s="55" t="s">
        <v>131</v>
      </c>
      <c r="AR1457" s="55" t="s">
        <v>132</v>
      </c>
      <c r="AS1457" s="55" t="s">
        <v>1575</v>
      </c>
      <c r="AT1457" s="181" t="s">
        <v>959</v>
      </c>
      <c r="AU1457" s="181" t="s">
        <v>5150</v>
      </c>
      <c r="AV1457" s="185" t="s">
        <v>176</v>
      </c>
      <c r="AW1457" s="55" t="s">
        <v>959</v>
      </c>
      <c r="AX1457" s="185" t="s">
        <v>176</v>
      </c>
      <c r="AY1457" s="55" t="s">
        <v>176</v>
      </c>
      <c r="AZ1457" s="55" t="s">
        <v>156</v>
      </c>
      <c r="BA1457" s="55" t="s">
        <v>156</v>
      </c>
      <c r="BB1457" s="55" t="s">
        <v>2082</v>
      </c>
      <c r="BC1457" s="55" t="s">
        <v>2082</v>
      </c>
      <c r="BD1457" s="55" t="s">
        <v>176</v>
      </c>
      <c r="BE1457" s="226" t="s">
        <v>976</v>
      </c>
      <c r="BF1457" s="191" t="s">
        <v>479</v>
      </c>
      <c r="BG1457" s="55" t="s">
        <v>479</v>
      </c>
      <c r="BH1457" s="226" t="s">
        <v>976</v>
      </c>
      <c r="BI1457" s="55" t="s">
        <v>479</v>
      </c>
      <c r="BJ1457" s="55" t="s">
        <v>176</v>
      </c>
      <c r="BK1457" s="55" t="s">
        <v>6269</v>
      </c>
      <c r="BM1457" s="192" t="s">
        <v>119</v>
      </c>
      <c r="BN1457" s="55">
        <v>4</v>
      </c>
      <c r="BO1457" s="55">
        <v>4</v>
      </c>
      <c r="BQ1457" s="55" t="s">
        <v>315</v>
      </c>
      <c r="CH1457" s="90">
        <v>1.45</v>
      </c>
      <c r="CI1457" s="90">
        <v>1.46</v>
      </c>
      <c r="CM1457" s="65">
        <v>3.1</v>
      </c>
      <c r="CN1457" s="65">
        <v>3.3</v>
      </c>
      <c r="CQ1457" s="65" t="s">
        <v>977</v>
      </c>
      <c r="CV1457" s="65" t="s">
        <v>1630</v>
      </c>
      <c r="DA1457" s="65" t="s">
        <v>4453</v>
      </c>
      <c r="DB1457" s="65">
        <v>32.700000000000003</v>
      </c>
      <c r="DC1457" s="65">
        <v>26.7</v>
      </c>
      <c r="DF1457" s="65" t="s">
        <v>979</v>
      </c>
      <c r="DG1457" s="65">
        <v>36.4</v>
      </c>
      <c r="DH1457" s="65">
        <v>31.2</v>
      </c>
      <c r="EK1457" s="90">
        <v>38</v>
      </c>
      <c r="EL1457" s="90">
        <v>44</v>
      </c>
      <c r="EO1457" s="65" t="s">
        <v>961</v>
      </c>
      <c r="EP1457" s="65">
        <v>39</v>
      </c>
      <c r="EQ1457" s="65">
        <v>41.3</v>
      </c>
      <c r="ET1457" s="65" t="s">
        <v>987</v>
      </c>
      <c r="EU1457" s="65">
        <v>1.744</v>
      </c>
      <c r="EV1457" s="65">
        <v>1.746</v>
      </c>
      <c r="EY1457" s="65" t="s">
        <v>980</v>
      </c>
      <c r="GI1457" s="65">
        <v>24.3</v>
      </c>
      <c r="GJ1457" s="65">
        <v>26.4</v>
      </c>
      <c r="GM1457" s="65" t="s">
        <v>988</v>
      </c>
      <c r="GP1457" s="292" t="s">
        <v>7494</v>
      </c>
      <c r="JW1457" s="55" t="s">
        <v>1955</v>
      </c>
    </row>
    <row r="1458" spans="1:283" x14ac:dyDescent="0.25">
      <c r="A1458" s="55">
        <v>1457</v>
      </c>
      <c r="B1458" s="12" t="s">
        <v>7067</v>
      </c>
      <c r="C1458" s="155">
        <v>67</v>
      </c>
      <c r="D1458" s="55" t="s">
        <v>3969</v>
      </c>
      <c r="E1458" s="90" t="s">
        <v>973</v>
      </c>
      <c r="G1458" s="55" t="s">
        <v>974</v>
      </c>
      <c r="H1458" s="55">
        <v>2006</v>
      </c>
      <c r="I1458" s="55">
        <v>2002</v>
      </c>
      <c r="J1458" s="55" t="s">
        <v>151</v>
      </c>
      <c r="K1458" s="55" t="s">
        <v>975</v>
      </c>
      <c r="L1458" s="55" t="s">
        <v>2737</v>
      </c>
      <c r="M1458" s="90">
        <v>40.1</v>
      </c>
      <c r="N1458" s="90">
        <v>-88.25</v>
      </c>
      <c r="O1458" s="90">
        <v>235.6</v>
      </c>
      <c r="U1458" s="55">
        <v>2</v>
      </c>
      <c r="V1458" s="55">
        <v>2</v>
      </c>
      <c r="Y1458" s="55" t="s">
        <v>1954</v>
      </c>
      <c r="Z1458" s="55" t="s">
        <v>1357</v>
      </c>
      <c r="AA1458" s="90" t="s">
        <v>1682</v>
      </c>
      <c r="AD1458" s="90">
        <v>1.45</v>
      </c>
      <c r="AH1458" s="55" t="s">
        <v>139</v>
      </c>
      <c r="AM1458" s="55" t="s">
        <v>1285</v>
      </c>
      <c r="AN1458" s="185" t="s">
        <v>131</v>
      </c>
      <c r="AO1458" s="185" t="s">
        <v>5150</v>
      </c>
      <c r="AQ1458" s="55" t="s">
        <v>131</v>
      </c>
      <c r="AR1458" s="55" t="s">
        <v>132</v>
      </c>
      <c r="AS1458" s="55" t="s">
        <v>1575</v>
      </c>
      <c r="AT1458" s="181" t="s">
        <v>959</v>
      </c>
      <c r="AU1458" s="181" t="s">
        <v>5150</v>
      </c>
      <c r="AV1458" s="185" t="s">
        <v>176</v>
      </c>
      <c r="AW1458" s="55" t="s">
        <v>959</v>
      </c>
      <c r="AX1458" s="185" t="s">
        <v>176</v>
      </c>
      <c r="AY1458" s="55" t="s">
        <v>176</v>
      </c>
      <c r="AZ1458" s="55" t="s">
        <v>156</v>
      </c>
      <c r="BA1458" s="55" t="s">
        <v>156</v>
      </c>
      <c r="BB1458" s="55" t="s">
        <v>2082</v>
      </c>
      <c r="BC1458" s="55" t="s">
        <v>2082</v>
      </c>
      <c r="BD1458" s="55" t="s">
        <v>176</v>
      </c>
      <c r="BE1458" s="226" t="s">
        <v>976</v>
      </c>
      <c r="BF1458" s="191" t="s">
        <v>479</v>
      </c>
      <c r="BG1458" s="55" t="s">
        <v>479</v>
      </c>
      <c r="BH1458" s="226" t="s">
        <v>976</v>
      </c>
      <c r="BI1458" s="55" t="s">
        <v>479</v>
      </c>
      <c r="BJ1458" s="55" t="s">
        <v>176</v>
      </c>
      <c r="BK1458" s="55" t="s">
        <v>6269</v>
      </c>
      <c r="BM1458" s="192" t="s">
        <v>119</v>
      </c>
      <c r="BN1458" s="55">
        <v>4</v>
      </c>
      <c r="BO1458" s="55">
        <v>4</v>
      </c>
      <c r="BQ1458" s="55" t="s">
        <v>315</v>
      </c>
      <c r="CH1458" s="90">
        <v>1.45</v>
      </c>
      <c r="CI1458" s="90">
        <v>1.44</v>
      </c>
      <c r="CM1458" s="65">
        <v>3.5</v>
      </c>
      <c r="CN1458" s="65">
        <v>3.6</v>
      </c>
      <c r="CQ1458" s="65" t="s">
        <v>977</v>
      </c>
      <c r="CV1458" s="65" t="s">
        <v>1630</v>
      </c>
      <c r="DA1458" s="65" t="s">
        <v>4453</v>
      </c>
      <c r="DB1458" s="65">
        <v>17.600000000000001</v>
      </c>
      <c r="DC1458" s="65">
        <v>26.7</v>
      </c>
      <c r="DF1458" s="65" t="s">
        <v>979</v>
      </c>
      <c r="EU1458" s="65">
        <v>1.629</v>
      </c>
      <c r="EV1458" s="65">
        <v>1.744</v>
      </c>
      <c r="EY1458" s="65" t="s">
        <v>980</v>
      </c>
      <c r="GP1458" s="292" t="s">
        <v>7494</v>
      </c>
      <c r="JW1458" s="55" t="s">
        <v>1955</v>
      </c>
    </row>
    <row r="1459" spans="1:283" x14ac:dyDescent="0.25">
      <c r="A1459" s="55">
        <v>1458</v>
      </c>
      <c r="B1459" s="12" t="s">
        <v>7067</v>
      </c>
      <c r="C1459" s="155">
        <v>67</v>
      </c>
      <c r="D1459" s="55" t="s">
        <v>3970</v>
      </c>
      <c r="E1459" s="90" t="s">
        <v>973</v>
      </c>
      <c r="G1459" s="55" t="s">
        <v>974</v>
      </c>
      <c r="H1459" s="55">
        <v>2006</v>
      </c>
      <c r="I1459" s="55">
        <v>2002</v>
      </c>
      <c r="J1459" s="55" t="s">
        <v>151</v>
      </c>
      <c r="K1459" s="55" t="s">
        <v>975</v>
      </c>
      <c r="L1459" s="55" t="s">
        <v>2737</v>
      </c>
      <c r="M1459" s="90">
        <v>40.1</v>
      </c>
      <c r="N1459" s="90">
        <v>-88.25</v>
      </c>
      <c r="O1459" s="90">
        <v>235.6</v>
      </c>
      <c r="U1459" s="55">
        <v>2</v>
      </c>
      <c r="V1459" s="55">
        <v>2</v>
      </c>
      <c r="Y1459" s="55" t="s">
        <v>1954</v>
      </c>
      <c r="Z1459" s="55" t="s">
        <v>1361</v>
      </c>
      <c r="AA1459" s="90" t="s">
        <v>1682</v>
      </c>
      <c r="AD1459" s="90">
        <v>1.32</v>
      </c>
      <c r="AH1459" s="55" t="s">
        <v>139</v>
      </c>
      <c r="AM1459" s="55" t="s">
        <v>1285</v>
      </c>
      <c r="AN1459" s="185" t="s">
        <v>241</v>
      </c>
      <c r="AO1459" s="185" t="s">
        <v>5150</v>
      </c>
      <c r="AQ1459" s="55" t="s">
        <v>553</v>
      </c>
      <c r="AR1459" s="55" t="s">
        <v>132</v>
      </c>
      <c r="AS1459" s="55" t="s">
        <v>1575</v>
      </c>
      <c r="AT1459" s="181" t="s">
        <v>959</v>
      </c>
      <c r="AU1459" s="181" t="s">
        <v>5150</v>
      </c>
      <c r="AV1459" s="185" t="s">
        <v>176</v>
      </c>
      <c r="AW1459" s="55" t="s">
        <v>959</v>
      </c>
      <c r="AX1459" s="185" t="s">
        <v>176</v>
      </c>
      <c r="AY1459" s="55" t="s">
        <v>176</v>
      </c>
      <c r="AZ1459" s="55" t="s">
        <v>156</v>
      </c>
      <c r="BA1459" s="55" t="s">
        <v>156</v>
      </c>
      <c r="BB1459" s="55" t="s">
        <v>2082</v>
      </c>
      <c r="BC1459" s="55" t="s">
        <v>2082</v>
      </c>
      <c r="BD1459" s="55" t="s">
        <v>176</v>
      </c>
      <c r="BE1459" s="226" t="s">
        <v>976</v>
      </c>
      <c r="BF1459" s="191" t="s">
        <v>479</v>
      </c>
      <c r="BG1459" s="55" t="s">
        <v>479</v>
      </c>
      <c r="BH1459" s="226" t="s">
        <v>976</v>
      </c>
      <c r="BI1459" s="55" t="s">
        <v>479</v>
      </c>
      <c r="BJ1459" s="55" t="s">
        <v>176</v>
      </c>
      <c r="BK1459" s="55" t="s">
        <v>6269</v>
      </c>
      <c r="BM1459" s="192" t="s">
        <v>119</v>
      </c>
      <c r="BN1459" s="55">
        <v>4</v>
      </c>
      <c r="BO1459" s="55">
        <v>4</v>
      </c>
      <c r="BQ1459" s="55" t="s">
        <v>315</v>
      </c>
      <c r="CH1459" s="90">
        <v>1.32</v>
      </c>
      <c r="CI1459" s="90">
        <v>1.23</v>
      </c>
      <c r="CM1459" s="65">
        <v>4.2</v>
      </c>
      <c r="CN1459" s="65">
        <v>4.5</v>
      </c>
      <c r="CQ1459" s="65" t="s">
        <v>977</v>
      </c>
      <c r="CV1459" s="65" t="s">
        <v>1630</v>
      </c>
      <c r="DA1459" s="65" t="s">
        <v>4453</v>
      </c>
      <c r="DB1459" s="65">
        <v>27.7</v>
      </c>
      <c r="DC1459" s="65">
        <v>21.8</v>
      </c>
      <c r="DF1459" s="65" t="s">
        <v>979</v>
      </c>
      <c r="EU1459" s="65">
        <v>1.4119999999999999</v>
      </c>
      <c r="EV1459" s="65">
        <v>1.006</v>
      </c>
      <c r="EY1459" s="65" t="s">
        <v>980</v>
      </c>
      <c r="GP1459" s="292" t="s">
        <v>7494</v>
      </c>
      <c r="JW1459" s="55" t="s">
        <v>1955</v>
      </c>
    </row>
    <row r="1460" spans="1:283" x14ac:dyDescent="0.25">
      <c r="A1460" s="55">
        <v>1459</v>
      </c>
      <c r="B1460" s="12" t="s">
        <v>7067</v>
      </c>
      <c r="C1460" s="155">
        <v>67</v>
      </c>
      <c r="D1460" s="55" t="s">
        <v>3971</v>
      </c>
      <c r="E1460" s="90" t="s">
        <v>973</v>
      </c>
      <c r="G1460" s="55" t="s">
        <v>974</v>
      </c>
      <c r="H1460" s="55">
        <v>2006</v>
      </c>
      <c r="I1460" s="55">
        <v>2002</v>
      </c>
      <c r="J1460" s="55" t="s">
        <v>151</v>
      </c>
      <c r="K1460" s="55" t="s">
        <v>975</v>
      </c>
      <c r="L1460" s="55" t="s">
        <v>2737</v>
      </c>
      <c r="M1460" s="90">
        <v>40.1</v>
      </c>
      <c r="N1460" s="90">
        <v>-88.25</v>
      </c>
      <c r="O1460" s="90">
        <v>235.6</v>
      </c>
      <c r="U1460" s="55">
        <v>2</v>
      </c>
      <c r="V1460" s="55">
        <v>2</v>
      </c>
      <c r="Y1460" s="55" t="s">
        <v>1954</v>
      </c>
      <c r="Z1460" s="55" t="s">
        <v>1368</v>
      </c>
      <c r="AA1460" s="90" t="s">
        <v>1682</v>
      </c>
      <c r="AD1460" s="90">
        <v>1.4</v>
      </c>
      <c r="AH1460" s="55" t="s">
        <v>139</v>
      </c>
      <c r="AM1460" s="55" t="s">
        <v>1285</v>
      </c>
      <c r="AN1460" s="185" t="s">
        <v>241</v>
      </c>
      <c r="AO1460" s="185" t="s">
        <v>5150</v>
      </c>
      <c r="AQ1460" s="55" t="s">
        <v>553</v>
      </c>
      <c r="AR1460" s="55" t="s">
        <v>132</v>
      </c>
      <c r="AS1460" s="55" t="s">
        <v>1575</v>
      </c>
      <c r="AT1460" s="181" t="s">
        <v>959</v>
      </c>
      <c r="AU1460" s="181" t="s">
        <v>5150</v>
      </c>
      <c r="AV1460" s="185" t="s">
        <v>176</v>
      </c>
      <c r="AW1460" s="55" t="s">
        <v>959</v>
      </c>
      <c r="AX1460" s="185" t="s">
        <v>176</v>
      </c>
      <c r="AY1460" s="55" t="s">
        <v>176</v>
      </c>
      <c r="AZ1460" s="55" t="s">
        <v>156</v>
      </c>
      <c r="BA1460" s="55" t="s">
        <v>156</v>
      </c>
      <c r="BB1460" s="55" t="s">
        <v>2082</v>
      </c>
      <c r="BC1460" s="55" t="s">
        <v>2082</v>
      </c>
      <c r="BD1460" s="55" t="s">
        <v>176</v>
      </c>
      <c r="BE1460" s="226" t="s">
        <v>976</v>
      </c>
      <c r="BF1460" s="191" t="s">
        <v>479</v>
      </c>
      <c r="BG1460" s="55" t="s">
        <v>479</v>
      </c>
      <c r="BH1460" s="226" t="s">
        <v>976</v>
      </c>
      <c r="BI1460" s="55" t="s">
        <v>479</v>
      </c>
      <c r="BJ1460" s="55" t="s">
        <v>176</v>
      </c>
      <c r="BK1460" s="55" t="s">
        <v>6269</v>
      </c>
      <c r="BM1460" s="192" t="s">
        <v>119</v>
      </c>
      <c r="BN1460" s="55">
        <v>4</v>
      </c>
      <c r="BO1460" s="55">
        <v>4</v>
      </c>
      <c r="BQ1460" s="55" t="s">
        <v>315</v>
      </c>
      <c r="CH1460" s="90">
        <v>1.4</v>
      </c>
      <c r="CI1460" s="90">
        <v>1.35</v>
      </c>
      <c r="CM1460" s="65">
        <v>3.3</v>
      </c>
      <c r="CN1460" s="65">
        <v>3.6</v>
      </c>
      <c r="CQ1460" s="65" t="s">
        <v>977</v>
      </c>
      <c r="CV1460" s="65" t="s">
        <v>1630</v>
      </c>
      <c r="DA1460" s="65" t="s">
        <v>4453</v>
      </c>
      <c r="DB1460" s="65">
        <v>24.8</v>
      </c>
      <c r="DC1460" s="65">
        <v>17.5</v>
      </c>
      <c r="DF1460" s="65" t="s">
        <v>979</v>
      </c>
      <c r="EU1460" s="65">
        <v>1.84</v>
      </c>
      <c r="EV1460" s="65">
        <v>1.7410000000000001</v>
      </c>
      <c r="EY1460" s="65" t="s">
        <v>980</v>
      </c>
      <c r="GP1460" s="292" t="s">
        <v>7494</v>
      </c>
      <c r="JW1460" s="55" t="s">
        <v>1955</v>
      </c>
    </row>
    <row r="1461" spans="1:283" x14ac:dyDescent="0.25">
      <c r="A1461" s="55">
        <v>1460</v>
      </c>
      <c r="B1461" s="12" t="s">
        <v>7067</v>
      </c>
      <c r="C1461" s="155">
        <v>67</v>
      </c>
      <c r="D1461" s="55" t="s">
        <v>3972</v>
      </c>
      <c r="E1461" s="90" t="s">
        <v>973</v>
      </c>
      <c r="G1461" s="55" t="s">
        <v>974</v>
      </c>
      <c r="H1461" s="55">
        <v>2006</v>
      </c>
      <c r="I1461" s="55">
        <v>2002</v>
      </c>
      <c r="J1461" s="55" t="s">
        <v>151</v>
      </c>
      <c r="K1461" s="55" t="s">
        <v>975</v>
      </c>
      <c r="L1461" s="55" t="s">
        <v>2737</v>
      </c>
      <c r="M1461" s="90">
        <v>40.1</v>
      </c>
      <c r="N1461" s="90">
        <v>-88.25</v>
      </c>
      <c r="O1461" s="90">
        <v>235.6</v>
      </c>
      <c r="U1461" s="55">
        <v>2</v>
      </c>
      <c r="V1461" s="55">
        <v>2</v>
      </c>
      <c r="Y1461" s="55" t="s">
        <v>1954</v>
      </c>
      <c r="Z1461" s="55" t="s">
        <v>1376</v>
      </c>
      <c r="AA1461" s="90" t="s">
        <v>1682</v>
      </c>
      <c r="AD1461" s="90">
        <v>1.45</v>
      </c>
      <c r="AH1461" s="55" t="s">
        <v>139</v>
      </c>
      <c r="AM1461" s="55" t="s">
        <v>1285</v>
      </c>
      <c r="AN1461" s="185" t="s">
        <v>241</v>
      </c>
      <c r="AO1461" s="185" t="s">
        <v>5150</v>
      </c>
      <c r="AQ1461" s="55" t="s">
        <v>553</v>
      </c>
      <c r="AR1461" s="55" t="s">
        <v>132</v>
      </c>
      <c r="AS1461" s="55" t="s">
        <v>1575</v>
      </c>
      <c r="AT1461" s="181" t="s">
        <v>959</v>
      </c>
      <c r="AU1461" s="181" t="s">
        <v>5150</v>
      </c>
      <c r="AV1461" s="185" t="s">
        <v>176</v>
      </c>
      <c r="AW1461" s="55" t="s">
        <v>959</v>
      </c>
      <c r="AX1461" s="185" t="s">
        <v>176</v>
      </c>
      <c r="AY1461" s="55" t="s">
        <v>176</v>
      </c>
      <c r="AZ1461" s="55" t="s">
        <v>156</v>
      </c>
      <c r="BA1461" s="55" t="s">
        <v>156</v>
      </c>
      <c r="BB1461" s="55" t="s">
        <v>2082</v>
      </c>
      <c r="BC1461" s="55" t="s">
        <v>2082</v>
      </c>
      <c r="BD1461" s="55" t="s">
        <v>176</v>
      </c>
      <c r="BE1461" s="226" t="s">
        <v>976</v>
      </c>
      <c r="BF1461" s="191" t="s">
        <v>479</v>
      </c>
      <c r="BG1461" s="55" t="s">
        <v>479</v>
      </c>
      <c r="BH1461" s="226" t="s">
        <v>976</v>
      </c>
      <c r="BI1461" s="55" t="s">
        <v>479</v>
      </c>
      <c r="BJ1461" s="55" t="s">
        <v>176</v>
      </c>
      <c r="BK1461" s="55" t="s">
        <v>6269</v>
      </c>
      <c r="BM1461" s="192" t="s">
        <v>119</v>
      </c>
      <c r="BN1461" s="55">
        <v>4</v>
      </c>
      <c r="BO1461" s="55">
        <v>4</v>
      </c>
      <c r="BQ1461" s="55" t="s">
        <v>315</v>
      </c>
      <c r="CH1461" s="90">
        <v>1.45</v>
      </c>
      <c r="CI1461" s="90">
        <v>1.5</v>
      </c>
      <c r="CM1461" s="65">
        <v>3.1</v>
      </c>
      <c r="CN1461" s="65">
        <v>3.4</v>
      </c>
      <c r="CQ1461" s="65" t="s">
        <v>977</v>
      </c>
      <c r="CV1461" s="65" t="s">
        <v>1630</v>
      </c>
      <c r="DA1461" s="65" t="s">
        <v>4453</v>
      </c>
      <c r="DB1461" s="65">
        <v>32.700000000000003</v>
      </c>
      <c r="DC1461" s="65">
        <v>15.9</v>
      </c>
      <c r="DF1461" s="65" t="s">
        <v>979</v>
      </c>
      <c r="EU1461" s="65">
        <v>1.744</v>
      </c>
      <c r="EV1461" s="65">
        <v>1.859</v>
      </c>
      <c r="EY1461" s="65" t="s">
        <v>980</v>
      </c>
      <c r="GP1461" s="292" t="s">
        <v>7494</v>
      </c>
      <c r="JW1461" s="55" t="s">
        <v>1955</v>
      </c>
    </row>
    <row r="1462" spans="1:283" x14ac:dyDescent="0.25">
      <c r="A1462" s="55">
        <v>1461</v>
      </c>
      <c r="B1462" s="12" t="s">
        <v>7067</v>
      </c>
      <c r="C1462" s="155">
        <v>67</v>
      </c>
      <c r="D1462" s="55" t="s">
        <v>3973</v>
      </c>
      <c r="E1462" s="90" t="s">
        <v>973</v>
      </c>
      <c r="G1462" s="55" t="s">
        <v>974</v>
      </c>
      <c r="H1462" s="55">
        <v>2006</v>
      </c>
      <c r="I1462" s="55">
        <v>2002</v>
      </c>
      <c r="J1462" s="55" t="s">
        <v>151</v>
      </c>
      <c r="K1462" s="55" t="s">
        <v>975</v>
      </c>
      <c r="L1462" s="55" t="s">
        <v>2737</v>
      </c>
      <c r="M1462" s="90">
        <v>40.1</v>
      </c>
      <c r="N1462" s="90">
        <v>-88.25</v>
      </c>
      <c r="O1462" s="90">
        <v>235.6</v>
      </c>
      <c r="U1462" s="55">
        <v>2</v>
      </c>
      <c r="V1462" s="55">
        <v>2</v>
      </c>
      <c r="Y1462" s="55" t="s">
        <v>1954</v>
      </c>
      <c r="Z1462" s="55" t="s">
        <v>1357</v>
      </c>
      <c r="AA1462" s="90" t="s">
        <v>1677</v>
      </c>
      <c r="AD1462" s="90">
        <v>1.45</v>
      </c>
      <c r="AH1462" s="55" t="s">
        <v>139</v>
      </c>
      <c r="AM1462" s="55" t="s">
        <v>1285</v>
      </c>
      <c r="AN1462" s="185" t="s">
        <v>241</v>
      </c>
      <c r="AO1462" s="185" t="s">
        <v>5150</v>
      </c>
      <c r="AQ1462" s="55" t="s">
        <v>553</v>
      </c>
      <c r="AR1462" s="55" t="s">
        <v>132</v>
      </c>
      <c r="AS1462" s="55" t="s">
        <v>1575</v>
      </c>
      <c r="AT1462" s="181" t="s">
        <v>959</v>
      </c>
      <c r="AU1462" s="181" t="s">
        <v>5150</v>
      </c>
      <c r="AV1462" s="185" t="s">
        <v>176</v>
      </c>
      <c r="AW1462" s="55" t="s">
        <v>959</v>
      </c>
      <c r="AX1462" s="185" t="s">
        <v>176</v>
      </c>
      <c r="AY1462" s="55" t="s">
        <v>176</v>
      </c>
      <c r="AZ1462" s="55" t="s">
        <v>156</v>
      </c>
      <c r="BA1462" s="55" t="s">
        <v>156</v>
      </c>
      <c r="BB1462" s="55" t="s">
        <v>2082</v>
      </c>
      <c r="BC1462" s="55" t="s">
        <v>2082</v>
      </c>
      <c r="BD1462" s="55" t="s">
        <v>176</v>
      </c>
      <c r="BE1462" s="226" t="s">
        <v>976</v>
      </c>
      <c r="BF1462" s="191" t="s">
        <v>479</v>
      </c>
      <c r="BG1462" s="55" t="s">
        <v>479</v>
      </c>
      <c r="BH1462" s="226" t="s">
        <v>976</v>
      </c>
      <c r="BI1462" s="55" t="s">
        <v>479</v>
      </c>
      <c r="BJ1462" s="55" t="s">
        <v>176</v>
      </c>
      <c r="BK1462" s="55" t="s">
        <v>6269</v>
      </c>
      <c r="BM1462" s="192" t="s">
        <v>119</v>
      </c>
      <c r="BN1462" s="55">
        <v>4</v>
      </c>
      <c r="BO1462" s="55">
        <v>4</v>
      </c>
      <c r="BQ1462" s="55" t="s">
        <v>315</v>
      </c>
      <c r="CH1462" s="90">
        <v>1.45</v>
      </c>
      <c r="CI1462" s="90">
        <v>1.42</v>
      </c>
      <c r="CM1462" s="65">
        <v>3.5</v>
      </c>
      <c r="CN1462" s="65">
        <v>3.7</v>
      </c>
      <c r="CQ1462" s="65" t="s">
        <v>977</v>
      </c>
      <c r="CV1462" s="65" t="s">
        <v>1630</v>
      </c>
      <c r="DA1462" s="65" t="s">
        <v>4453</v>
      </c>
      <c r="DB1462" s="65">
        <v>17.600000000000001</v>
      </c>
      <c r="DC1462" s="65">
        <v>17.399999999999999</v>
      </c>
      <c r="DF1462" s="65" t="s">
        <v>979</v>
      </c>
      <c r="EU1462" s="65">
        <v>1.629</v>
      </c>
      <c r="EV1462" s="65">
        <v>1.756</v>
      </c>
      <c r="EY1462" s="65" t="s">
        <v>980</v>
      </c>
      <c r="GP1462" s="292" t="s">
        <v>7494</v>
      </c>
      <c r="JW1462" s="55" t="s">
        <v>1955</v>
      </c>
    </row>
    <row r="1463" spans="1:283" x14ac:dyDescent="0.25">
      <c r="A1463" s="55">
        <v>1462</v>
      </c>
      <c r="B1463" s="12" t="s">
        <v>7067</v>
      </c>
      <c r="C1463" s="155">
        <v>67</v>
      </c>
      <c r="D1463" s="55" t="s">
        <v>3974</v>
      </c>
      <c r="E1463" s="90" t="s">
        <v>973</v>
      </c>
      <c r="G1463" s="55" t="s">
        <v>974</v>
      </c>
      <c r="H1463" s="55">
        <v>2006</v>
      </c>
      <c r="I1463" s="55">
        <v>2002</v>
      </c>
      <c r="J1463" s="55" t="s">
        <v>151</v>
      </c>
      <c r="K1463" s="55" t="s">
        <v>975</v>
      </c>
      <c r="L1463" s="55" t="s">
        <v>2737</v>
      </c>
      <c r="M1463" s="90">
        <v>40.1</v>
      </c>
      <c r="N1463" s="90">
        <v>-88.25</v>
      </c>
      <c r="O1463" s="90">
        <v>235.6</v>
      </c>
      <c r="U1463" s="55">
        <v>2</v>
      </c>
      <c r="V1463" s="55">
        <v>2</v>
      </c>
      <c r="Y1463" s="55" t="s">
        <v>1954</v>
      </c>
      <c r="Z1463" s="55" t="s">
        <v>1361</v>
      </c>
      <c r="AA1463" s="90" t="s">
        <v>1682</v>
      </c>
      <c r="AD1463" s="90">
        <v>1.32</v>
      </c>
      <c r="AH1463" s="55" t="s">
        <v>139</v>
      </c>
      <c r="AM1463" s="55" t="s">
        <v>1285</v>
      </c>
      <c r="AN1463" s="185" t="s">
        <v>1482</v>
      </c>
      <c r="AO1463" s="185" t="s">
        <v>5150</v>
      </c>
      <c r="AQ1463" s="55" t="s">
        <v>1546</v>
      </c>
      <c r="AR1463" s="55" t="s">
        <v>132</v>
      </c>
      <c r="AS1463" s="55" t="s">
        <v>1575</v>
      </c>
      <c r="AT1463" s="181" t="s">
        <v>959</v>
      </c>
      <c r="AU1463" s="181" t="s">
        <v>5150</v>
      </c>
      <c r="AV1463" s="185" t="s">
        <v>176</v>
      </c>
      <c r="AW1463" s="55" t="s">
        <v>959</v>
      </c>
      <c r="AX1463" s="185" t="s">
        <v>176</v>
      </c>
      <c r="AY1463" s="55" t="s">
        <v>176</v>
      </c>
      <c r="AZ1463" s="55" t="s">
        <v>156</v>
      </c>
      <c r="BA1463" s="55" t="s">
        <v>156</v>
      </c>
      <c r="BB1463" s="55" t="s">
        <v>2082</v>
      </c>
      <c r="BC1463" s="55" t="s">
        <v>2082</v>
      </c>
      <c r="BD1463" s="55" t="s">
        <v>176</v>
      </c>
      <c r="BE1463" s="226" t="s">
        <v>976</v>
      </c>
      <c r="BF1463" s="191" t="s">
        <v>479</v>
      </c>
      <c r="BG1463" s="55" t="s">
        <v>479</v>
      </c>
      <c r="BH1463" s="226" t="s">
        <v>976</v>
      </c>
      <c r="BI1463" s="55" t="s">
        <v>479</v>
      </c>
      <c r="BJ1463" s="55" t="s">
        <v>176</v>
      </c>
      <c r="BK1463" s="55" t="s">
        <v>6269</v>
      </c>
      <c r="BM1463" s="192" t="s">
        <v>119</v>
      </c>
      <c r="BN1463" s="55">
        <v>4</v>
      </c>
      <c r="BO1463" s="55">
        <v>4</v>
      </c>
      <c r="BQ1463" s="55" t="s">
        <v>315</v>
      </c>
      <c r="CH1463" s="90">
        <v>1.32</v>
      </c>
      <c r="CI1463" s="90">
        <v>1.23</v>
      </c>
      <c r="CM1463" s="65">
        <v>4.2</v>
      </c>
      <c r="CN1463" s="65">
        <v>4.7</v>
      </c>
      <c r="CQ1463" s="65" t="s">
        <v>977</v>
      </c>
      <c r="CV1463" s="65" t="s">
        <v>1630</v>
      </c>
      <c r="DA1463" s="65" t="s">
        <v>4453</v>
      </c>
      <c r="DB1463" s="65">
        <v>27.7</v>
      </c>
      <c r="DC1463" s="65">
        <v>21.5</v>
      </c>
      <c r="DF1463" s="65" t="s">
        <v>979</v>
      </c>
      <c r="EU1463" s="65">
        <v>1.4119999999999999</v>
      </c>
      <c r="EV1463" s="65">
        <v>1.2030000000000001</v>
      </c>
      <c r="EY1463" s="65" t="s">
        <v>980</v>
      </c>
      <c r="GP1463" s="292" t="s">
        <v>7494</v>
      </c>
      <c r="JW1463" s="55" t="s">
        <v>1955</v>
      </c>
    </row>
    <row r="1464" spans="1:283" x14ac:dyDescent="0.25">
      <c r="A1464" s="55">
        <v>1463</v>
      </c>
      <c r="B1464" s="12" t="s">
        <v>7067</v>
      </c>
      <c r="C1464" s="155">
        <v>67</v>
      </c>
      <c r="D1464" s="55" t="s">
        <v>3975</v>
      </c>
      <c r="E1464" s="90" t="s">
        <v>973</v>
      </c>
      <c r="G1464" s="55" t="s">
        <v>974</v>
      </c>
      <c r="H1464" s="55">
        <v>2006</v>
      </c>
      <c r="I1464" s="55">
        <v>2002</v>
      </c>
      <c r="J1464" s="55" t="s">
        <v>151</v>
      </c>
      <c r="K1464" s="55" t="s">
        <v>975</v>
      </c>
      <c r="L1464" s="55" t="s">
        <v>2737</v>
      </c>
      <c r="M1464" s="90">
        <v>40.1</v>
      </c>
      <c r="N1464" s="90">
        <v>-88.25</v>
      </c>
      <c r="O1464" s="90">
        <v>235.6</v>
      </c>
      <c r="U1464" s="55">
        <v>2</v>
      </c>
      <c r="V1464" s="55">
        <v>2</v>
      </c>
      <c r="Y1464" s="55" t="s">
        <v>1954</v>
      </c>
      <c r="Z1464" s="55" t="s">
        <v>1368</v>
      </c>
      <c r="AA1464" s="90" t="s">
        <v>1682</v>
      </c>
      <c r="AD1464" s="90">
        <v>1.4</v>
      </c>
      <c r="AH1464" s="55" t="s">
        <v>139</v>
      </c>
      <c r="AM1464" s="55" t="s">
        <v>1285</v>
      </c>
      <c r="AN1464" s="185" t="s">
        <v>1482</v>
      </c>
      <c r="AO1464" s="185" t="s">
        <v>5150</v>
      </c>
      <c r="AQ1464" s="55" t="s">
        <v>1546</v>
      </c>
      <c r="AR1464" s="55" t="s">
        <v>132</v>
      </c>
      <c r="AS1464" s="55" t="s">
        <v>1575</v>
      </c>
      <c r="AT1464" s="181" t="s">
        <v>959</v>
      </c>
      <c r="AU1464" s="181" t="s">
        <v>5150</v>
      </c>
      <c r="AV1464" s="185" t="s">
        <v>176</v>
      </c>
      <c r="AW1464" s="55" t="s">
        <v>959</v>
      </c>
      <c r="AX1464" s="185" t="s">
        <v>176</v>
      </c>
      <c r="AY1464" s="55" t="s">
        <v>176</v>
      </c>
      <c r="AZ1464" s="55" t="s">
        <v>156</v>
      </c>
      <c r="BA1464" s="55" t="s">
        <v>156</v>
      </c>
      <c r="BB1464" s="55" t="s">
        <v>2082</v>
      </c>
      <c r="BC1464" s="55" t="s">
        <v>2082</v>
      </c>
      <c r="BD1464" s="55" t="s">
        <v>176</v>
      </c>
      <c r="BE1464" s="226" t="s">
        <v>976</v>
      </c>
      <c r="BF1464" s="191" t="s">
        <v>479</v>
      </c>
      <c r="BG1464" s="55" t="s">
        <v>479</v>
      </c>
      <c r="BH1464" s="226" t="s">
        <v>976</v>
      </c>
      <c r="BI1464" s="55" t="s">
        <v>479</v>
      </c>
      <c r="BJ1464" s="55" t="s">
        <v>176</v>
      </c>
      <c r="BK1464" s="55" t="s">
        <v>6269</v>
      </c>
      <c r="BM1464" s="192" t="s">
        <v>119</v>
      </c>
      <c r="BN1464" s="55">
        <v>4</v>
      </c>
      <c r="BO1464" s="55">
        <v>4</v>
      </c>
      <c r="BQ1464" s="55" t="s">
        <v>315</v>
      </c>
      <c r="CH1464" s="90">
        <v>1.4</v>
      </c>
      <c r="CI1464" s="90">
        <v>1.36</v>
      </c>
      <c r="CM1464" s="65">
        <v>3.3</v>
      </c>
      <c r="CN1464" s="65">
        <v>3.8</v>
      </c>
      <c r="CQ1464" s="65" t="s">
        <v>977</v>
      </c>
      <c r="CV1464" s="65" t="s">
        <v>1630</v>
      </c>
      <c r="DA1464" s="65" t="s">
        <v>4453</v>
      </c>
      <c r="DB1464" s="65">
        <v>24.8</v>
      </c>
      <c r="DC1464" s="65">
        <v>28.6</v>
      </c>
      <c r="DF1464" s="65" t="s">
        <v>979</v>
      </c>
      <c r="EU1464" s="65">
        <v>1.84</v>
      </c>
      <c r="EV1464" s="65">
        <v>1.7809999999999999</v>
      </c>
      <c r="EY1464" s="65" t="s">
        <v>980</v>
      </c>
      <c r="GP1464" s="292" t="s">
        <v>7494</v>
      </c>
      <c r="JW1464" s="55" t="s">
        <v>1955</v>
      </c>
    </row>
    <row r="1465" spans="1:283" x14ac:dyDescent="0.25">
      <c r="A1465" s="55">
        <v>1464</v>
      </c>
      <c r="B1465" s="12" t="s">
        <v>7067</v>
      </c>
      <c r="C1465" s="155">
        <v>67</v>
      </c>
      <c r="D1465" s="55" t="s">
        <v>3976</v>
      </c>
      <c r="E1465" s="90" t="s">
        <v>973</v>
      </c>
      <c r="G1465" s="55" t="s">
        <v>974</v>
      </c>
      <c r="H1465" s="55">
        <v>2006</v>
      </c>
      <c r="I1465" s="55">
        <v>2002</v>
      </c>
      <c r="J1465" s="55" t="s">
        <v>151</v>
      </c>
      <c r="K1465" s="55" t="s">
        <v>975</v>
      </c>
      <c r="L1465" s="55" t="s">
        <v>2737</v>
      </c>
      <c r="M1465" s="90">
        <v>40.1</v>
      </c>
      <c r="N1465" s="90">
        <v>-88.25</v>
      </c>
      <c r="O1465" s="90">
        <v>235.6</v>
      </c>
      <c r="U1465" s="55">
        <v>2</v>
      </c>
      <c r="V1465" s="55">
        <v>2</v>
      </c>
      <c r="Y1465" s="55" t="s">
        <v>1954</v>
      </c>
      <c r="Z1465" s="55" t="s">
        <v>1376</v>
      </c>
      <c r="AA1465" s="90" t="s">
        <v>1682</v>
      </c>
      <c r="AD1465" s="90">
        <v>1.45</v>
      </c>
      <c r="AH1465" s="55" t="s">
        <v>139</v>
      </c>
      <c r="AM1465" s="55" t="s">
        <v>1285</v>
      </c>
      <c r="AN1465" s="185" t="s">
        <v>1482</v>
      </c>
      <c r="AO1465" s="185" t="s">
        <v>5150</v>
      </c>
      <c r="AQ1465" s="55" t="s">
        <v>1546</v>
      </c>
      <c r="AR1465" s="55" t="s">
        <v>132</v>
      </c>
      <c r="AS1465" s="55" t="s">
        <v>1575</v>
      </c>
      <c r="AT1465" s="181" t="s">
        <v>959</v>
      </c>
      <c r="AU1465" s="181" t="s">
        <v>5150</v>
      </c>
      <c r="AV1465" s="185" t="s">
        <v>176</v>
      </c>
      <c r="AW1465" s="55" t="s">
        <v>959</v>
      </c>
      <c r="AX1465" s="185" t="s">
        <v>176</v>
      </c>
      <c r="AY1465" s="55" t="s">
        <v>176</v>
      </c>
      <c r="AZ1465" s="55" t="s">
        <v>156</v>
      </c>
      <c r="BA1465" s="55" t="s">
        <v>156</v>
      </c>
      <c r="BB1465" s="55" t="s">
        <v>2082</v>
      </c>
      <c r="BC1465" s="55" t="s">
        <v>2082</v>
      </c>
      <c r="BD1465" s="55" t="s">
        <v>176</v>
      </c>
      <c r="BE1465" s="226" t="s">
        <v>976</v>
      </c>
      <c r="BF1465" s="191" t="s">
        <v>479</v>
      </c>
      <c r="BG1465" s="55" t="s">
        <v>479</v>
      </c>
      <c r="BH1465" s="226" t="s">
        <v>976</v>
      </c>
      <c r="BI1465" s="55" t="s">
        <v>479</v>
      </c>
      <c r="BJ1465" s="55" t="s">
        <v>176</v>
      </c>
      <c r="BK1465" s="55" t="s">
        <v>6269</v>
      </c>
      <c r="BM1465" s="192" t="s">
        <v>119</v>
      </c>
      <c r="BN1465" s="55">
        <v>4</v>
      </c>
      <c r="BO1465" s="55">
        <v>4</v>
      </c>
      <c r="BQ1465" s="55" t="s">
        <v>315</v>
      </c>
      <c r="CH1465" s="90">
        <v>1.45</v>
      </c>
      <c r="CI1465" s="90">
        <v>1.43</v>
      </c>
      <c r="CM1465" s="65">
        <v>3.1</v>
      </c>
      <c r="CN1465" s="65">
        <v>3.6</v>
      </c>
      <c r="CQ1465" s="65" t="s">
        <v>977</v>
      </c>
      <c r="CV1465" s="65" t="s">
        <v>1630</v>
      </c>
      <c r="DA1465" s="65" t="s">
        <v>4453</v>
      </c>
      <c r="DB1465" s="65">
        <v>32.700000000000003</v>
      </c>
      <c r="DC1465" s="65">
        <v>29.9</v>
      </c>
      <c r="DF1465" s="65" t="s">
        <v>979</v>
      </c>
      <c r="EU1465" s="65">
        <v>1.744</v>
      </c>
      <c r="EV1465" s="65">
        <v>1.867</v>
      </c>
      <c r="EY1465" s="65" t="s">
        <v>980</v>
      </c>
      <c r="GP1465" s="292" t="s">
        <v>7494</v>
      </c>
      <c r="JW1465" s="55" t="s">
        <v>1955</v>
      </c>
    </row>
    <row r="1466" spans="1:283" x14ac:dyDescent="0.25">
      <c r="A1466" s="55">
        <v>1465</v>
      </c>
      <c r="B1466" s="12" t="s">
        <v>7067</v>
      </c>
      <c r="C1466" s="155">
        <v>67</v>
      </c>
      <c r="D1466" s="55" t="s">
        <v>3977</v>
      </c>
      <c r="E1466" s="90" t="s">
        <v>973</v>
      </c>
      <c r="G1466" s="55" t="s">
        <v>974</v>
      </c>
      <c r="H1466" s="55">
        <v>2006</v>
      </c>
      <c r="I1466" s="55">
        <v>2002</v>
      </c>
      <c r="J1466" s="55" t="s">
        <v>151</v>
      </c>
      <c r="K1466" s="55" t="s">
        <v>975</v>
      </c>
      <c r="L1466" s="55" t="s">
        <v>2737</v>
      </c>
      <c r="M1466" s="90">
        <v>40.1</v>
      </c>
      <c r="N1466" s="90">
        <v>-88.25</v>
      </c>
      <c r="O1466" s="90">
        <v>235.6</v>
      </c>
      <c r="U1466" s="55">
        <v>2</v>
      </c>
      <c r="V1466" s="55">
        <v>2</v>
      </c>
      <c r="Y1466" s="55" t="s">
        <v>1954</v>
      </c>
      <c r="Z1466" s="55" t="s">
        <v>1357</v>
      </c>
      <c r="AA1466" s="90" t="s">
        <v>1677</v>
      </c>
      <c r="AD1466" s="90">
        <v>1.45</v>
      </c>
      <c r="AH1466" s="55" t="s">
        <v>139</v>
      </c>
      <c r="AM1466" s="55" t="s">
        <v>1285</v>
      </c>
      <c r="AN1466" s="185" t="s">
        <v>1482</v>
      </c>
      <c r="AO1466" s="185" t="s">
        <v>5150</v>
      </c>
      <c r="AQ1466" s="55" t="s">
        <v>1546</v>
      </c>
      <c r="AR1466" s="55" t="s">
        <v>132</v>
      </c>
      <c r="AS1466" s="55" t="s">
        <v>1575</v>
      </c>
      <c r="AT1466" s="181" t="s">
        <v>959</v>
      </c>
      <c r="AU1466" s="181" t="s">
        <v>5150</v>
      </c>
      <c r="AV1466" s="185" t="s">
        <v>176</v>
      </c>
      <c r="AW1466" s="55" t="s">
        <v>959</v>
      </c>
      <c r="AX1466" s="185" t="s">
        <v>176</v>
      </c>
      <c r="AY1466" s="55" t="s">
        <v>176</v>
      </c>
      <c r="AZ1466" s="55" t="s">
        <v>156</v>
      </c>
      <c r="BA1466" s="55" t="s">
        <v>156</v>
      </c>
      <c r="BB1466" s="55" t="s">
        <v>2082</v>
      </c>
      <c r="BC1466" s="55" t="s">
        <v>2082</v>
      </c>
      <c r="BD1466" s="55" t="s">
        <v>176</v>
      </c>
      <c r="BE1466" s="226" t="s">
        <v>976</v>
      </c>
      <c r="BF1466" s="191" t="s">
        <v>479</v>
      </c>
      <c r="BG1466" s="55" t="s">
        <v>479</v>
      </c>
      <c r="BH1466" s="226" t="s">
        <v>976</v>
      </c>
      <c r="BI1466" s="55" t="s">
        <v>479</v>
      </c>
      <c r="BJ1466" s="55" t="s">
        <v>176</v>
      </c>
      <c r="BK1466" s="55" t="s">
        <v>6269</v>
      </c>
      <c r="BM1466" s="192" t="s">
        <v>119</v>
      </c>
      <c r="BN1466" s="55">
        <v>4</v>
      </c>
      <c r="BO1466" s="55">
        <v>4</v>
      </c>
      <c r="BQ1466" s="55" t="s">
        <v>315</v>
      </c>
      <c r="CH1466" s="90">
        <v>1.45</v>
      </c>
      <c r="CI1466" s="90">
        <v>1.39</v>
      </c>
      <c r="CM1466" s="65">
        <v>3.5</v>
      </c>
      <c r="CN1466" s="65">
        <v>3.7</v>
      </c>
      <c r="CQ1466" s="65" t="s">
        <v>977</v>
      </c>
      <c r="CV1466" s="65" t="s">
        <v>1630</v>
      </c>
      <c r="DA1466" s="65" t="s">
        <v>4453</v>
      </c>
      <c r="DB1466" s="65">
        <v>17.600000000000001</v>
      </c>
      <c r="DC1466" s="65">
        <v>20.100000000000001</v>
      </c>
      <c r="DF1466" s="65" t="s">
        <v>979</v>
      </c>
      <c r="EU1466" s="65">
        <v>1.629</v>
      </c>
      <c r="EV1466" s="65">
        <v>1.821</v>
      </c>
      <c r="EY1466" s="65" t="s">
        <v>980</v>
      </c>
      <c r="GP1466" s="292" t="s">
        <v>7494</v>
      </c>
      <c r="JW1466" s="55" t="s">
        <v>1955</v>
      </c>
    </row>
    <row r="1467" spans="1:283" x14ac:dyDescent="0.25">
      <c r="A1467" s="55">
        <v>1466</v>
      </c>
      <c r="B1467" s="12" t="s">
        <v>7067</v>
      </c>
      <c r="C1467" s="155">
        <v>67</v>
      </c>
      <c r="D1467" s="55" t="s">
        <v>3978</v>
      </c>
      <c r="E1467" s="90" t="s">
        <v>973</v>
      </c>
      <c r="G1467" s="55" t="s">
        <v>974</v>
      </c>
      <c r="H1467" s="55">
        <v>2006</v>
      </c>
      <c r="I1467" s="55">
        <v>2002</v>
      </c>
      <c r="J1467" s="55" t="s">
        <v>151</v>
      </c>
      <c r="K1467" s="55" t="s">
        <v>975</v>
      </c>
      <c r="L1467" s="55" t="s">
        <v>2737</v>
      </c>
      <c r="M1467" s="90">
        <v>40.1</v>
      </c>
      <c r="N1467" s="90">
        <v>-88.25</v>
      </c>
      <c r="O1467" s="90">
        <v>235.6</v>
      </c>
      <c r="U1467" s="55">
        <v>2</v>
      </c>
      <c r="V1467" s="55">
        <v>2</v>
      </c>
      <c r="Y1467" s="55" t="s">
        <v>1954</v>
      </c>
      <c r="Z1467" s="55" t="s">
        <v>1361</v>
      </c>
      <c r="AA1467" s="90" t="s">
        <v>1682</v>
      </c>
      <c r="AD1467" s="90">
        <v>1.32</v>
      </c>
      <c r="AH1467" s="55" t="s">
        <v>139</v>
      </c>
      <c r="AM1467" s="55" t="s">
        <v>1285</v>
      </c>
      <c r="AN1467" s="185" t="s">
        <v>131</v>
      </c>
      <c r="AO1467" s="185" t="s">
        <v>5150</v>
      </c>
      <c r="AQ1467" s="55" t="s">
        <v>131</v>
      </c>
      <c r="AR1467" s="55" t="s">
        <v>158</v>
      </c>
      <c r="AS1467" s="55" t="s">
        <v>1575</v>
      </c>
      <c r="AT1467" s="181" t="s">
        <v>959</v>
      </c>
      <c r="AU1467" s="181" t="s">
        <v>5150</v>
      </c>
      <c r="AV1467" s="185" t="s">
        <v>176</v>
      </c>
      <c r="AW1467" s="55" t="s">
        <v>959</v>
      </c>
      <c r="AX1467" s="185" t="s">
        <v>176</v>
      </c>
      <c r="AY1467" s="55" t="s">
        <v>176</v>
      </c>
      <c r="AZ1467" s="55" t="s">
        <v>156</v>
      </c>
      <c r="BA1467" s="55" t="s">
        <v>156</v>
      </c>
      <c r="BB1467" s="55" t="s">
        <v>2082</v>
      </c>
      <c r="BC1467" s="55" t="s">
        <v>2082</v>
      </c>
      <c r="BD1467" s="55" t="s">
        <v>176</v>
      </c>
      <c r="BE1467" s="226" t="s">
        <v>976</v>
      </c>
      <c r="BF1467" s="191" t="s">
        <v>479</v>
      </c>
      <c r="BG1467" s="55" t="s">
        <v>479</v>
      </c>
      <c r="BH1467" s="226" t="s">
        <v>976</v>
      </c>
      <c r="BI1467" s="55" t="s">
        <v>479</v>
      </c>
      <c r="BJ1467" s="55" t="s">
        <v>176</v>
      </c>
      <c r="BK1467" s="55" t="s">
        <v>6269</v>
      </c>
      <c r="BM1467" s="192" t="s">
        <v>119</v>
      </c>
      <c r="BN1467" s="55">
        <v>4</v>
      </c>
      <c r="BO1467" s="55">
        <v>4</v>
      </c>
      <c r="BQ1467" s="55" t="s">
        <v>315</v>
      </c>
      <c r="CH1467" s="90">
        <v>1.32</v>
      </c>
      <c r="CI1467" s="90">
        <v>1.24</v>
      </c>
      <c r="CM1467" s="65">
        <v>4</v>
      </c>
      <c r="CN1467" s="65">
        <v>4.4000000000000004</v>
      </c>
      <c r="CQ1467" s="65" t="s">
        <v>977</v>
      </c>
      <c r="CV1467" s="65" t="s">
        <v>1630</v>
      </c>
      <c r="DA1467" s="65" t="s">
        <v>4453</v>
      </c>
      <c r="DB1467" s="65">
        <v>13.3</v>
      </c>
      <c r="DC1467" s="65">
        <v>9.1999999999999993</v>
      </c>
      <c r="DF1467" s="65" t="s">
        <v>979</v>
      </c>
      <c r="EU1467" s="65">
        <v>1.337</v>
      </c>
      <c r="EV1467" s="65">
        <v>1.198</v>
      </c>
      <c r="EY1467" s="65" t="s">
        <v>980</v>
      </c>
      <c r="GP1467" s="292" t="s">
        <v>7494</v>
      </c>
      <c r="JW1467" s="55" t="s">
        <v>1956</v>
      </c>
    </row>
    <row r="1468" spans="1:283" x14ac:dyDescent="0.25">
      <c r="A1468" s="55">
        <v>1467</v>
      </c>
      <c r="B1468" s="12" t="s">
        <v>7067</v>
      </c>
      <c r="C1468" s="155">
        <v>67</v>
      </c>
      <c r="D1468" s="55" t="s">
        <v>3979</v>
      </c>
      <c r="E1468" s="90" t="s">
        <v>973</v>
      </c>
      <c r="G1468" s="55" t="s">
        <v>974</v>
      </c>
      <c r="H1468" s="55">
        <v>2006</v>
      </c>
      <c r="I1468" s="55">
        <v>2002</v>
      </c>
      <c r="J1468" s="55" t="s">
        <v>151</v>
      </c>
      <c r="K1468" s="55" t="s">
        <v>975</v>
      </c>
      <c r="L1468" s="55" t="s">
        <v>2737</v>
      </c>
      <c r="M1468" s="90">
        <v>40.1</v>
      </c>
      <c r="N1468" s="90">
        <v>-88.25</v>
      </c>
      <c r="O1468" s="90">
        <v>235.6</v>
      </c>
      <c r="U1468" s="55">
        <v>2</v>
      </c>
      <c r="V1468" s="55">
        <v>2</v>
      </c>
      <c r="Y1468" s="55" t="s">
        <v>1954</v>
      </c>
      <c r="Z1468" s="55" t="s">
        <v>1368</v>
      </c>
      <c r="AA1468" s="90" t="s">
        <v>1682</v>
      </c>
      <c r="AD1468" s="90">
        <v>1.4</v>
      </c>
      <c r="AH1468" s="55" t="s">
        <v>139</v>
      </c>
      <c r="AM1468" s="55" t="s">
        <v>1285</v>
      </c>
      <c r="AN1468" s="185" t="s">
        <v>131</v>
      </c>
      <c r="AO1468" s="185" t="s">
        <v>5150</v>
      </c>
      <c r="AQ1468" s="55" t="s">
        <v>131</v>
      </c>
      <c r="AR1468" s="55" t="s">
        <v>158</v>
      </c>
      <c r="AS1468" s="55" t="s">
        <v>1575</v>
      </c>
      <c r="AT1468" s="181" t="s">
        <v>959</v>
      </c>
      <c r="AU1468" s="181" t="s">
        <v>5150</v>
      </c>
      <c r="AV1468" s="185" t="s">
        <v>176</v>
      </c>
      <c r="AW1468" s="55" t="s">
        <v>959</v>
      </c>
      <c r="AX1468" s="185" t="s">
        <v>176</v>
      </c>
      <c r="AY1468" s="55" t="s">
        <v>176</v>
      </c>
      <c r="AZ1468" s="55" t="s">
        <v>156</v>
      </c>
      <c r="BA1468" s="55" t="s">
        <v>156</v>
      </c>
      <c r="BB1468" s="55" t="s">
        <v>2082</v>
      </c>
      <c r="BC1468" s="55" t="s">
        <v>2082</v>
      </c>
      <c r="BD1468" s="55" t="s">
        <v>176</v>
      </c>
      <c r="BE1468" s="226" t="s">
        <v>976</v>
      </c>
      <c r="BF1468" s="191" t="s">
        <v>479</v>
      </c>
      <c r="BG1468" s="55" t="s">
        <v>479</v>
      </c>
      <c r="BH1468" s="226" t="s">
        <v>976</v>
      </c>
      <c r="BI1468" s="55" t="s">
        <v>479</v>
      </c>
      <c r="BJ1468" s="55" t="s">
        <v>176</v>
      </c>
      <c r="BK1468" s="55" t="s">
        <v>6269</v>
      </c>
      <c r="BM1468" s="192" t="s">
        <v>119</v>
      </c>
      <c r="BN1468" s="55">
        <v>4</v>
      </c>
      <c r="BO1468" s="55">
        <v>4</v>
      </c>
      <c r="BQ1468" s="55" t="s">
        <v>315</v>
      </c>
      <c r="CH1468" s="90">
        <v>1.4</v>
      </c>
      <c r="CI1468" s="90">
        <v>1.38</v>
      </c>
      <c r="CM1468" s="65">
        <v>3.2</v>
      </c>
      <c r="CN1468" s="65">
        <v>3.4</v>
      </c>
      <c r="CQ1468" s="65" t="s">
        <v>977</v>
      </c>
      <c r="CV1468" s="65" t="s">
        <v>1630</v>
      </c>
      <c r="DA1468" s="65" t="s">
        <v>4453</v>
      </c>
      <c r="DB1468" s="65">
        <v>11.1</v>
      </c>
      <c r="DC1468" s="65">
        <v>14.6</v>
      </c>
      <c r="DF1468" s="65" t="s">
        <v>979</v>
      </c>
      <c r="EU1468" s="65">
        <v>1.835</v>
      </c>
      <c r="EV1468" s="65">
        <v>1.784</v>
      </c>
      <c r="EY1468" s="65" t="s">
        <v>980</v>
      </c>
      <c r="GP1468" s="292" t="s">
        <v>7494</v>
      </c>
      <c r="JW1468" s="55" t="s">
        <v>1956</v>
      </c>
    </row>
    <row r="1469" spans="1:283" x14ac:dyDescent="0.25">
      <c r="A1469" s="55">
        <v>1468</v>
      </c>
      <c r="B1469" s="12" t="s">
        <v>7067</v>
      </c>
      <c r="C1469" s="155">
        <v>67</v>
      </c>
      <c r="D1469" s="55" t="s">
        <v>3980</v>
      </c>
      <c r="E1469" s="90" t="s">
        <v>973</v>
      </c>
      <c r="G1469" s="55" t="s">
        <v>974</v>
      </c>
      <c r="H1469" s="55">
        <v>2006</v>
      </c>
      <c r="I1469" s="55">
        <v>2002</v>
      </c>
      <c r="J1469" s="55" t="s">
        <v>151</v>
      </c>
      <c r="K1469" s="55" t="s">
        <v>975</v>
      </c>
      <c r="L1469" s="55" t="s">
        <v>2737</v>
      </c>
      <c r="M1469" s="90">
        <v>40.1</v>
      </c>
      <c r="N1469" s="90">
        <v>-88.25</v>
      </c>
      <c r="O1469" s="90">
        <v>235.6</v>
      </c>
      <c r="U1469" s="55">
        <v>2</v>
      </c>
      <c r="V1469" s="55">
        <v>2</v>
      </c>
      <c r="Y1469" s="55" t="s">
        <v>1954</v>
      </c>
      <c r="Z1469" s="55" t="s">
        <v>1376</v>
      </c>
      <c r="AA1469" s="90" t="s">
        <v>1682</v>
      </c>
      <c r="AD1469" s="90">
        <v>1.45</v>
      </c>
      <c r="AH1469" s="55" t="s">
        <v>139</v>
      </c>
      <c r="AM1469" s="55" t="s">
        <v>1285</v>
      </c>
      <c r="AN1469" s="185" t="s">
        <v>131</v>
      </c>
      <c r="AO1469" s="185" t="s">
        <v>5150</v>
      </c>
      <c r="AQ1469" s="55" t="s">
        <v>131</v>
      </c>
      <c r="AR1469" s="55" t="s">
        <v>158</v>
      </c>
      <c r="AS1469" s="55" t="s">
        <v>1575</v>
      </c>
      <c r="AT1469" s="181" t="s">
        <v>959</v>
      </c>
      <c r="AU1469" s="181" t="s">
        <v>5150</v>
      </c>
      <c r="AV1469" s="185" t="s">
        <v>176</v>
      </c>
      <c r="AW1469" s="55" t="s">
        <v>959</v>
      </c>
      <c r="AX1469" s="185" t="s">
        <v>176</v>
      </c>
      <c r="AY1469" s="55" t="s">
        <v>176</v>
      </c>
      <c r="AZ1469" s="55" t="s">
        <v>156</v>
      </c>
      <c r="BA1469" s="55" t="s">
        <v>156</v>
      </c>
      <c r="BB1469" s="55" t="s">
        <v>2082</v>
      </c>
      <c r="BC1469" s="55" t="s">
        <v>2082</v>
      </c>
      <c r="BD1469" s="55" t="s">
        <v>176</v>
      </c>
      <c r="BE1469" s="226" t="s">
        <v>976</v>
      </c>
      <c r="BF1469" s="191" t="s">
        <v>479</v>
      </c>
      <c r="BG1469" s="55" t="s">
        <v>479</v>
      </c>
      <c r="BH1469" s="226" t="s">
        <v>976</v>
      </c>
      <c r="BI1469" s="55" t="s">
        <v>479</v>
      </c>
      <c r="BJ1469" s="55" t="s">
        <v>176</v>
      </c>
      <c r="BK1469" s="55" t="s">
        <v>6269</v>
      </c>
      <c r="BM1469" s="192" t="s">
        <v>119</v>
      </c>
      <c r="BN1469" s="55">
        <v>4</v>
      </c>
      <c r="BO1469" s="55">
        <v>4</v>
      </c>
      <c r="BQ1469" s="55" t="s">
        <v>315</v>
      </c>
      <c r="CH1469" s="90">
        <v>1.45</v>
      </c>
      <c r="CI1469" s="90">
        <v>1.46</v>
      </c>
      <c r="CM1469" s="65">
        <v>3.3</v>
      </c>
      <c r="CN1469" s="65">
        <v>3.3</v>
      </c>
      <c r="CQ1469" s="65" t="s">
        <v>977</v>
      </c>
      <c r="CV1469" s="65" t="s">
        <v>1630</v>
      </c>
      <c r="DA1469" s="65" t="s">
        <v>4453</v>
      </c>
      <c r="DB1469" s="65">
        <v>4.0999999999999996</v>
      </c>
      <c r="DC1469" s="65">
        <v>15.4</v>
      </c>
      <c r="DF1469" s="65" t="s">
        <v>979</v>
      </c>
      <c r="EU1469" s="65">
        <v>1.7390000000000001</v>
      </c>
      <c r="EV1469" s="65">
        <v>1.8380000000000001</v>
      </c>
      <c r="EY1469" s="65" t="s">
        <v>980</v>
      </c>
      <c r="GP1469" s="292" t="s">
        <v>7494</v>
      </c>
      <c r="JW1469" s="55" t="s">
        <v>1956</v>
      </c>
    </row>
    <row r="1470" spans="1:283" x14ac:dyDescent="0.25">
      <c r="A1470" s="55">
        <v>1469</v>
      </c>
      <c r="B1470" s="12" t="s">
        <v>7067</v>
      </c>
      <c r="C1470" s="155">
        <v>67</v>
      </c>
      <c r="D1470" s="55" t="s">
        <v>3981</v>
      </c>
      <c r="E1470" s="90" t="s">
        <v>973</v>
      </c>
      <c r="G1470" s="55" t="s">
        <v>974</v>
      </c>
      <c r="H1470" s="55">
        <v>2006</v>
      </c>
      <c r="I1470" s="55">
        <v>2002</v>
      </c>
      <c r="J1470" s="55" t="s">
        <v>151</v>
      </c>
      <c r="K1470" s="55" t="s">
        <v>975</v>
      </c>
      <c r="L1470" s="55" t="s">
        <v>2737</v>
      </c>
      <c r="M1470" s="90">
        <v>40.1</v>
      </c>
      <c r="N1470" s="90">
        <v>-88.25</v>
      </c>
      <c r="O1470" s="90">
        <v>235.6</v>
      </c>
      <c r="U1470" s="55">
        <v>2</v>
      </c>
      <c r="V1470" s="55">
        <v>2</v>
      </c>
      <c r="Y1470" s="55" t="s">
        <v>1954</v>
      </c>
      <c r="Z1470" s="55" t="s">
        <v>1357</v>
      </c>
      <c r="AA1470" s="90" t="s">
        <v>1677</v>
      </c>
      <c r="AD1470" s="90">
        <v>1.45</v>
      </c>
      <c r="AH1470" s="55" t="s">
        <v>139</v>
      </c>
      <c r="AM1470" s="55" t="s">
        <v>1285</v>
      </c>
      <c r="AN1470" s="185" t="s">
        <v>131</v>
      </c>
      <c r="AO1470" s="185" t="s">
        <v>5150</v>
      </c>
      <c r="AQ1470" s="55" t="s">
        <v>131</v>
      </c>
      <c r="AR1470" s="55" t="s">
        <v>158</v>
      </c>
      <c r="AS1470" s="55" t="s">
        <v>1575</v>
      </c>
      <c r="AT1470" s="181" t="s">
        <v>959</v>
      </c>
      <c r="AU1470" s="181" t="s">
        <v>5150</v>
      </c>
      <c r="AV1470" s="185" t="s">
        <v>176</v>
      </c>
      <c r="AW1470" s="55" t="s">
        <v>959</v>
      </c>
      <c r="AX1470" s="185" t="s">
        <v>176</v>
      </c>
      <c r="AY1470" s="55" t="s">
        <v>176</v>
      </c>
      <c r="AZ1470" s="55" t="s">
        <v>156</v>
      </c>
      <c r="BA1470" s="55" t="s">
        <v>156</v>
      </c>
      <c r="BB1470" s="55" t="s">
        <v>2082</v>
      </c>
      <c r="BC1470" s="55" t="s">
        <v>2082</v>
      </c>
      <c r="BD1470" s="55" t="s">
        <v>176</v>
      </c>
      <c r="BE1470" s="226" t="s">
        <v>976</v>
      </c>
      <c r="BF1470" s="191" t="s">
        <v>479</v>
      </c>
      <c r="BG1470" s="55" t="s">
        <v>479</v>
      </c>
      <c r="BH1470" s="226" t="s">
        <v>976</v>
      </c>
      <c r="BI1470" s="55" t="s">
        <v>479</v>
      </c>
      <c r="BJ1470" s="55" t="s">
        <v>176</v>
      </c>
      <c r="BK1470" s="55" t="s">
        <v>6269</v>
      </c>
      <c r="BM1470" s="192" t="s">
        <v>119</v>
      </c>
      <c r="BN1470" s="55">
        <v>4</v>
      </c>
      <c r="BO1470" s="55">
        <v>4</v>
      </c>
      <c r="BQ1470" s="55" t="s">
        <v>315</v>
      </c>
      <c r="CH1470" s="90">
        <v>1.45</v>
      </c>
      <c r="CI1470" s="90">
        <v>1.44</v>
      </c>
      <c r="CM1470" s="65">
        <v>3.7</v>
      </c>
      <c r="CN1470" s="65">
        <v>3.8</v>
      </c>
      <c r="CQ1470" s="65" t="s">
        <v>977</v>
      </c>
      <c r="CV1470" s="65" t="s">
        <v>1630</v>
      </c>
      <c r="DA1470" s="65" t="s">
        <v>4453</v>
      </c>
      <c r="DB1470" s="65">
        <v>12.2</v>
      </c>
      <c r="DC1470" s="65">
        <v>13</v>
      </c>
      <c r="DF1470" s="65" t="s">
        <v>979</v>
      </c>
      <c r="EU1470" s="65">
        <v>1.6240000000000001</v>
      </c>
      <c r="EV1470" s="65">
        <v>1.845</v>
      </c>
      <c r="EY1470" s="65" t="s">
        <v>980</v>
      </c>
      <c r="GP1470" s="292" t="s">
        <v>7494</v>
      </c>
      <c r="JW1470" s="55" t="s">
        <v>1956</v>
      </c>
    </row>
    <row r="1471" spans="1:283" x14ac:dyDescent="0.25">
      <c r="A1471" s="55">
        <v>1470</v>
      </c>
      <c r="B1471" s="12" t="s">
        <v>7067</v>
      </c>
      <c r="C1471" s="155">
        <v>67</v>
      </c>
      <c r="D1471" s="55" t="s">
        <v>3982</v>
      </c>
      <c r="E1471" s="90" t="s">
        <v>973</v>
      </c>
      <c r="G1471" s="55" t="s">
        <v>974</v>
      </c>
      <c r="H1471" s="55">
        <v>2006</v>
      </c>
      <c r="I1471" s="55">
        <v>2002</v>
      </c>
      <c r="J1471" s="55" t="s">
        <v>151</v>
      </c>
      <c r="K1471" s="55" t="s">
        <v>975</v>
      </c>
      <c r="L1471" s="55" t="s">
        <v>2737</v>
      </c>
      <c r="M1471" s="90">
        <v>40.1</v>
      </c>
      <c r="N1471" s="90">
        <v>-88.25</v>
      </c>
      <c r="O1471" s="90">
        <v>235.6</v>
      </c>
      <c r="U1471" s="55">
        <v>2</v>
      </c>
      <c r="V1471" s="55">
        <v>2</v>
      </c>
      <c r="Y1471" s="55" t="s">
        <v>1954</v>
      </c>
      <c r="Z1471" s="55" t="s">
        <v>1361</v>
      </c>
      <c r="AA1471" s="90" t="s">
        <v>1682</v>
      </c>
      <c r="AD1471" s="90">
        <v>1.32</v>
      </c>
      <c r="AH1471" s="55" t="s">
        <v>139</v>
      </c>
      <c r="AM1471" s="55" t="s">
        <v>1285</v>
      </c>
      <c r="AN1471" s="185" t="s">
        <v>241</v>
      </c>
      <c r="AO1471" s="185" t="s">
        <v>5150</v>
      </c>
      <c r="AQ1471" s="55" t="s">
        <v>553</v>
      </c>
      <c r="AR1471" s="55" t="s">
        <v>158</v>
      </c>
      <c r="AS1471" s="55" t="s">
        <v>1575</v>
      </c>
      <c r="AT1471" s="181" t="s">
        <v>959</v>
      </c>
      <c r="AU1471" s="181" t="s">
        <v>5150</v>
      </c>
      <c r="AV1471" s="185" t="s">
        <v>176</v>
      </c>
      <c r="AW1471" s="55" t="s">
        <v>959</v>
      </c>
      <c r="AX1471" s="185" t="s">
        <v>176</v>
      </c>
      <c r="AY1471" s="55" t="s">
        <v>176</v>
      </c>
      <c r="AZ1471" s="55" t="s">
        <v>156</v>
      </c>
      <c r="BA1471" s="55" t="s">
        <v>156</v>
      </c>
      <c r="BB1471" s="55" t="s">
        <v>2082</v>
      </c>
      <c r="BC1471" s="55" t="s">
        <v>2082</v>
      </c>
      <c r="BD1471" s="55" t="s">
        <v>176</v>
      </c>
      <c r="BE1471" s="226" t="s">
        <v>976</v>
      </c>
      <c r="BF1471" s="191" t="s">
        <v>479</v>
      </c>
      <c r="BG1471" s="55" t="s">
        <v>479</v>
      </c>
      <c r="BH1471" s="226" t="s">
        <v>976</v>
      </c>
      <c r="BI1471" s="55" t="s">
        <v>479</v>
      </c>
      <c r="BJ1471" s="55" t="s">
        <v>176</v>
      </c>
      <c r="BK1471" s="55" t="s">
        <v>6269</v>
      </c>
      <c r="BM1471" s="192" t="s">
        <v>119</v>
      </c>
      <c r="BN1471" s="55">
        <v>4</v>
      </c>
      <c r="BO1471" s="55">
        <v>4</v>
      </c>
      <c r="BQ1471" s="55" t="s">
        <v>315</v>
      </c>
      <c r="CH1471" s="90">
        <v>1.32</v>
      </c>
      <c r="CI1471" s="90">
        <v>1.23</v>
      </c>
      <c r="CM1471" s="65">
        <v>4</v>
      </c>
      <c r="CN1471" s="65">
        <v>4.5999999999999996</v>
      </c>
      <c r="CQ1471" s="65" t="s">
        <v>977</v>
      </c>
      <c r="CV1471" s="65" t="s">
        <v>1630</v>
      </c>
      <c r="DA1471" s="65" t="s">
        <v>4453</v>
      </c>
      <c r="DB1471" s="65">
        <v>13.3</v>
      </c>
      <c r="DC1471" s="65">
        <v>9.3000000000000007</v>
      </c>
      <c r="DF1471" s="65" t="s">
        <v>979</v>
      </c>
      <c r="EU1471" s="65">
        <v>1.337</v>
      </c>
      <c r="EV1471" s="65">
        <v>1.51</v>
      </c>
      <c r="EY1471" s="65" t="s">
        <v>980</v>
      </c>
      <c r="GP1471" s="292" t="s">
        <v>7494</v>
      </c>
      <c r="JW1471" s="55" t="s">
        <v>1956</v>
      </c>
    </row>
    <row r="1472" spans="1:283" x14ac:dyDescent="0.25">
      <c r="A1472" s="55">
        <v>1471</v>
      </c>
      <c r="B1472" s="12" t="s">
        <v>7067</v>
      </c>
      <c r="C1472" s="155">
        <v>67</v>
      </c>
      <c r="D1472" s="55" t="s">
        <v>3983</v>
      </c>
      <c r="E1472" s="90" t="s">
        <v>973</v>
      </c>
      <c r="G1472" s="55" t="s">
        <v>974</v>
      </c>
      <c r="H1472" s="55">
        <v>2006</v>
      </c>
      <c r="I1472" s="55">
        <v>2002</v>
      </c>
      <c r="J1472" s="55" t="s">
        <v>151</v>
      </c>
      <c r="K1472" s="55" t="s">
        <v>975</v>
      </c>
      <c r="L1472" s="55" t="s">
        <v>2737</v>
      </c>
      <c r="M1472" s="90">
        <v>40.1</v>
      </c>
      <c r="N1472" s="90">
        <v>-88.25</v>
      </c>
      <c r="O1472" s="90">
        <v>235.6</v>
      </c>
      <c r="U1472" s="55">
        <v>2</v>
      </c>
      <c r="V1472" s="55">
        <v>2</v>
      </c>
      <c r="Y1472" s="55" t="s">
        <v>1954</v>
      </c>
      <c r="Z1472" s="55" t="s">
        <v>1368</v>
      </c>
      <c r="AA1472" s="90" t="s">
        <v>1682</v>
      </c>
      <c r="AD1472" s="90">
        <v>1.4</v>
      </c>
      <c r="AH1472" s="55" t="s">
        <v>139</v>
      </c>
      <c r="AM1472" s="55" t="s">
        <v>1285</v>
      </c>
      <c r="AN1472" s="185" t="s">
        <v>241</v>
      </c>
      <c r="AO1472" s="185" t="s">
        <v>5150</v>
      </c>
      <c r="AQ1472" s="55" t="s">
        <v>553</v>
      </c>
      <c r="AR1472" s="55" t="s">
        <v>158</v>
      </c>
      <c r="AS1472" s="55" t="s">
        <v>1575</v>
      </c>
      <c r="AT1472" s="181" t="s">
        <v>959</v>
      </c>
      <c r="AU1472" s="181" t="s">
        <v>5150</v>
      </c>
      <c r="AV1472" s="185" t="s">
        <v>176</v>
      </c>
      <c r="AW1472" s="55" t="s">
        <v>959</v>
      </c>
      <c r="AX1472" s="185" t="s">
        <v>176</v>
      </c>
      <c r="AY1472" s="55" t="s">
        <v>176</v>
      </c>
      <c r="AZ1472" s="55" t="s">
        <v>156</v>
      </c>
      <c r="BA1472" s="55" t="s">
        <v>156</v>
      </c>
      <c r="BB1472" s="55" t="s">
        <v>2082</v>
      </c>
      <c r="BC1472" s="55" t="s">
        <v>2082</v>
      </c>
      <c r="BD1472" s="55" t="s">
        <v>176</v>
      </c>
      <c r="BE1472" s="226" t="s">
        <v>976</v>
      </c>
      <c r="BF1472" s="191" t="s">
        <v>479</v>
      </c>
      <c r="BG1472" s="55" t="s">
        <v>479</v>
      </c>
      <c r="BH1472" s="226" t="s">
        <v>976</v>
      </c>
      <c r="BI1472" s="55" t="s">
        <v>479</v>
      </c>
      <c r="BJ1472" s="55" t="s">
        <v>176</v>
      </c>
      <c r="BK1472" s="55" t="s">
        <v>6269</v>
      </c>
      <c r="BM1472" s="192" t="s">
        <v>119</v>
      </c>
      <c r="BN1472" s="55">
        <v>4</v>
      </c>
      <c r="BO1472" s="55">
        <v>4</v>
      </c>
      <c r="BQ1472" s="55" t="s">
        <v>315</v>
      </c>
      <c r="CH1472" s="90">
        <v>1.4</v>
      </c>
      <c r="CI1472" s="90">
        <v>1.35</v>
      </c>
      <c r="CM1472" s="65">
        <v>3.2</v>
      </c>
      <c r="CN1472" s="65">
        <v>3.5</v>
      </c>
      <c r="CQ1472" s="65" t="s">
        <v>977</v>
      </c>
      <c r="CV1472" s="65" t="s">
        <v>1630</v>
      </c>
      <c r="DA1472" s="65" t="s">
        <v>4453</v>
      </c>
      <c r="DB1472" s="65">
        <v>11.1</v>
      </c>
      <c r="DC1472" s="65">
        <v>12.9</v>
      </c>
      <c r="DF1472" s="65" t="s">
        <v>979</v>
      </c>
      <c r="EU1472" s="65">
        <v>1.835</v>
      </c>
      <c r="EV1472" s="65">
        <v>2.1019999999999999</v>
      </c>
      <c r="EY1472" s="65" t="s">
        <v>980</v>
      </c>
      <c r="GP1472" s="292" t="s">
        <v>7494</v>
      </c>
      <c r="JW1472" s="55" t="s">
        <v>1956</v>
      </c>
    </row>
    <row r="1473" spans="1:283" x14ac:dyDescent="0.25">
      <c r="A1473" s="55">
        <v>1472</v>
      </c>
      <c r="B1473" s="12" t="s">
        <v>7067</v>
      </c>
      <c r="C1473" s="155">
        <v>67</v>
      </c>
      <c r="D1473" s="55" t="s">
        <v>3984</v>
      </c>
      <c r="E1473" s="90" t="s">
        <v>973</v>
      </c>
      <c r="G1473" s="55" t="s">
        <v>974</v>
      </c>
      <c r="H1473" s="55">
        <v>2006</v>
      </c>
      <c r="I1473" s="55">
        <v>2002</v>
      </c>
      <c r="J1473" s="55" t="s">
        <v>151</v>
      </c>
      <c r="K1473" s="55" t="s">
        <v>975</v>
      </c>
      <c r="L1473" s="55" t="s">
        <v>2737</v>
      </c>
      <c r="M1473" s="90">
        <v>40.1</v>
      </c>
      <c r="N1473" s="90">
        <v>-88.25</v>
      </c>
      <c r="O1473" s="90">
        <v>235.6</v>
      </c>
      <c r="U1473" s="55">
        <v>2</v>
      </c>
      <c r="V1473" s="55">
        <v>2</v>
      </c>
      <c r="Y1473" s="55" t="s">
        <v>1954</v>
      </c>
      <c r="Z1473" s="55" t="s">
        <v>1376</v>
      </c>
      <c r="AA1473" s="90" t="s">
        <v>1682</v>
      </c>
      <c r="AD1473" s="90">
        <v>1.45</v>
      </c>
      <c r="AH1473" s="55" t="s">
        <v>139</v>
      </c>
      <c r="AM1473" s="55" t="s">
        <v>1285</v>
      </c>
      <c r="AN1473" s="185" t="s">
        <v>241</v>
      </c>
      <c r="AO1473" s="185" t="s">
        <v>5150</v>
      </c>
      <c r="AQ1473" s="55" t="s">
        <v>553</v>
      </c>
      <c r="AR1473" s="55" t="s">
        <v>158</v>
      </c>
      <c r="AS1473" s="55" t="s">
        <v>1575</v>
      </c>
      <c r="AT1473" s="181" t="s">
        <v>959</v>
      </c>
      <c r="AU1473" s="181" t="s">
        <v>5150</v>
      </c>
      <c r="AV1473" s="185" t="s">
        <v>176</v>
      </c>
      <c r="AW1473" s="55" t="s">
        <v>959</v>
      </c>
      <c r="AX1473" s="185" t="s">
        <v>176</v>
      </c>
      <c r="AY1473" s="55" t="s">
        <v>176</v>
      </c>
      <c r="AZ1473" s="55" t="s">
        <v>156</v>
      </c>
      <c r="BA1473" s="55" t="s">
        <v>156</v>
      </c>
      <c r="BB1473" s="55" t="s">
        <v>2082</v>
      </c>
      <c r="BC1473" s="55" t="s">
        <v>2082</v>
      </c>
      <c r="BD1473" s="55" t="s">
        <v>176</v>
      </c>
      <c r="BE1473" s="226" t="s">
        <v>976</v>
      </c>
      <c r="BF1473" s="191" t="s">
        <v>479</v>
      </c>
      <c r="BG1473" s="55" t="s">
        <v>479</v>
      </c>
      <c r="BH1473" s="226" t="s">
        <v>976</v>
      </c>
      <c r="BI1473" s="55" t="s">
        <v>479</v>
      </c>
      <c r="BJ1473" s="55" t="s">
        <v>176</v>
      </c>
      <c r="BK1473" s="55" t="s">
        <v>6269</v>
      </c>
      <c r="BM1473" s="192" t="s">
        <v>119</v>
      </c>
      <c r="BN1473" s="55">
        <v>4</v>
      </c>
      <c r="BO1473" s="55">
        <v>4</v>
      </c>
      <c r="BQ1473" s="55" t="s">
        <v>315</v>
      </c>
      <c r="CH1473" s="90">
        <v>1.45</v>
      </c>
      <c r="CI1473" s="90">
        <v>1.5</v>
      </c>
      <c r="CM1473" s="65">
        <v>3.3</v>
      </c>
      <c r="CN1473" s="65">
        <v>3.3</v>
      </c>
      <c r="CQ1473" s="65" t="s">
        <v>977</v>
      </c>
      <c r="CV1473" s="65" t="s">
        <v>1630</v>
      </c>
      <c r="DA1473" s="65" t="s">
        <v>4453</v>
      </c>
      <c r="DB1473" s="65">
        <v>4.0999999999999996</v>
      </c>
      <c r="DC1473" s="65">
        <v>11.2</v>
      </c>
      <c r="DF1473" s="65" t="s">
        <v>979</v>
      </c>
      <c r="EU1473" s="65">
        <v>1.7390000000000001</v>
      </c>
      <c r="EV1473" s="65">
        <v>2.016</v>
      </c>
      <c r="EY1473" s="65" t="s">
        <v>980</v>
      </c>
      <c r="GP1473" s="292" t="s">
        <v>7494</v>
      </c>
      <c r="JW1473" s="55" t="s">
        <v>1956</v>
      </c>
    </row>
    <row r="1474" spans="1:283" x14ac:dyDescent="0.25">
      <c r="A1474" s="55">
        <v>1473</v>
      </c>
      <c r="B1474" s="12" t="s">
        <v>7067</v>
      </c>
      <c r="C1474" s="155">
        <v>67</v>
      </c>
      <c r="D1474" s="55" t="s">
        <v>3985</v>
      </c>
      <c r="E1474" s="90" t="s">
        <v>973</v>
      </c>
      <c r="G1474" s="55" t="s">
        <v>974</v>
      </c>
      <c r="H1474" s="55">
        <v>2006</v>
      </c>
      <c r="I1474" s="55">
        <v>2002</v>
      </c>
      <c r="J1474" s="55" t="s">
        <v>151</v>
      </c>
      <c r="K1474" s="55" t="s">
        <v>975</v>
      </c>
      <c r="L1474" s="55" t="s">
        <v>2737</v>
      </c>
      <c r="M1474" s="90">
        <v>40.1</v>
      </c>
      <c r="N1474" s="90">
        <v>-88.25</v>
      </c>
      <c r="O1474" s="90">
        <v>235.6</v>
      </c>
      <c r="U1474" s="55">
        <v>2</v>
      </c>
      <c r="V1474" s="55">
        <v>2</v>
      </c>
      <c r="Y1474" s="55" t="s">
        <v>1954</v>
      </c>
      <c r="Z1474" s="55" t="s">
        <v>1357</v>
      </c>
      <c r="AA1474" s="90" t="s">
        <v>1677</v>
      </c>
      <c r="AD1474" s="90">
        <v>1.45</v>
      </c>
      <c r="AH1474" s="55" t="s">
        <v>139</v>
      </c>
      <c r="AM1474" s="55" t="s">
        <v>1285</v>
      </c>
      <c r="AN1474" s="185" t="s">
        <v>241</v>
      </c>
      <c r="AO1474" s="185" t="s">
        <v>5150</v>
      </c>
      <c r="AQ1474" s="55" t="s">
        <v>553</v>
      </c>
      <c r="AR1474" s="55" t="s">
        <v>158</v>
      </c>
      <c r="AS1474" s="55" t="s">
        <v>1575</v>
      </c>
      <c r="AT1474" s="181" t="s">
        <v>959</v>
      </c>
      <c r="AU1474" s="181" t="s">
        <v>5150</v>
      </c>
      <c r="AV1474" s="185" t="s">
        <v>176</v>
      </c>
      <c r="AW1474" s="55" t="s">
        <v>959</v>
      </c>
      <c r="AX1474" s="185" t="s">
        <v>176</v>
      </c>
      <c r="AY1474" s="55" t="s">
        <v>176</v>
      </c>
      <c r="AZ1474" s="55" t="s">
        <v>156</v>
      </c>
      <c r="BA1474" s="55" t="s">
        <v>156</v>
      </c>
      <c r="BB1474" s="55" t="s">
        <v>2082</v>
      </c>
      <c r="BC1474" s="55" t="s">
        <v>2082</v>
      </c>
      <c r="BD1474" s="55" t="s">
        <v>176</v>
      </c>
      <c r="BE1474" s="226" t="s">
        <v>976</v>
      </c>
      <c r="BF1474" s="191" t="s">
        <v>479</v>
      </c>
      <c r="BG1474" s="55" t="s">
        <v>479</v>
      </c>
      <c r="BH1474" s="226" t="s">
        <v>976</v>
      </c>
      <c r="BI1474" s="55" t="s">
        <v>479</v>
      </c>
      <c r="BJ1474" s="55" t="s">
        <v>176</v>
      </c>
      <c r="BK1474" s="55" t="s">
        <v>6269</v>
      </c>
      <c r="BM1474" s="192" t="s">
        <v>119</v>
      </c>
      <c r="BN1474" s="55">
        <v>4</v>
      </c>
      <c r="BO1474" s="55">
        <v>4</v>
      </c>
      <c r="BQ1474" s="55" t="s">
        <v>315</v>
      </c>
      <c r="CH1474" s="90">
        <v>1.45</v>
      </c>
      <c r="CI1474" s="90">
        <v>1.42</v>
      </c>
      <c r="CM1474" s="65">
        <v>3.7</v>
      </c>
      <c r="CN1474" s="65">
        <v>3.7</v>
      </c>
      <c r="CQ1474" s="65" t="s">
        <v>977</v>
      </c>
      <c r="CV1474" s="65" t="s">
        <v>1630</v>
      </c>
      <c r="DA1474" s="65" t="s">
        <v>4453</v>
      </c>
      <c r="DB1474" s="65">
        <v>12.2</v>
      </c>
      <c r="DC1474" s="65">
        <v>9.8000000000000007</v>
      </c>
      <c r="DF1474" s="65" t="s">
        <v>979</v>
      </c>
      <c r="EU1474" s="65">
        <v>1.6240000000000001</v>
      </c>
      <c r="EV1474" s="65">
        <v>2.06</v>
      </c>
      <c r="EY1474" s="65" t="s">
        <v>980</v>
      </c>
      <c r="GP1474" s="292" t="s">
        <v>7494</v>
      </c>
      <c r="JW1474" s="55" t="s">
        <v>1956</v>
      </c>
    </row>
    <row r="1475" spans="1:283" x14ac:dyDescent="0.25">
      <c r="A1475" s="55">
        <v>1474</v>
      </c>
      <c r="B1475" s="12" t="s">
        <v>7067</v>
      </c>
      <c r="C1475" s="155">
        <v>67</v>
      </c>
      <c r="D1475" s="55" t="s">
        <v>3986</v>
      </c>
      <c r="E1475" s="90" t="s">
        <v>973</v>
      </c>
      <c r="G1475" s="55" t="s">
        <v>974</v>
      </c>
      <c r="H1475" s="55">
        <v>2006</v>
      </c>
      <c r="I1475" s="55">
        <v>2002</v>
      </c>
      <c r="J1475" s="55" t="s">
        <v>151</v>
      </c>
      <c r="K1475" s="55" t="s">
        <v>975</v>
      </c>
      <c r="L1475" s="55" t="s">
        <v>2737</v>
      </c>
      <c r="M1475" s="90">
        <v>40.1</v>
      </c>
      <c r="N1475" s="90">
        <v>-88.25</v>
      </c>
      <c r="O1475" s="90">
        <v>235.6</v>
      </c>
      <c r="U1475" s="55">
        <v>2</v>
      </c>
      <c r="V1475" s="55">
        <v>2</v>
      </c>
      <c r="Y1475" s="55" t="s">
        <v>1954</v>
      </c>
      <c r="Z1475" s="55" t="s">
        <v>1361</v>
      </c>
      <c r="AA1475" s="90" t="s">
        <v>1682</v>
      </c>
      <c r="AD1475" s="90">
        <v>1.32</v>
      </c>
      <c r="AH1475" s="55" t="s">
        <v>139</v>
      </c>
      <c r="AM1475" s="55" t="s">
        <v>1285</v>
      </c>
      <c r="AN1475" s="185" t="s">
        <v>1482</v>
      </c>
      <c r="AO1475" s="185" t="s">
        <v>5150</v>
      </c>
      <c r="AQ1475" s="55" t="s">
        <v>1546</v>
      </c>
      <c r="AR1475" s="55" t="s">
        <v>158</v>
      </c>
      <c r="AS1475" s="55" t="s">
        <v>1575</v>
      </c>
      <c r="AT1475" s="181" t="s">
        <v>959</v>
      </c>
      <c r="AU1475" s="181" t="s">
        <v>5150</v>
      </c>
      <c r="AV1475" s="185" t="s">
        <v>176</v>
      </c>
      <c r="AW1475" s="55" t="s">
        <v>959</v>
      </c>
      <c r="AX1475" s="185" t="s">
        <v>176</v>
      </c>
      <c r="AY1475" s="55" t="s">
        <v>176</v>
      </c>
      <c r="AZ1475" s="55" t="s">
        <v>156</v>
      </c>
      <c r="BA1475" s="55" t="s">
        <v>156</v>
      </c>
      <c r="BB1475" s="55" t="s">
        <v>2082</v>
      </c>
      <c r="BC1475" s="55" t="s">
        <v>2082</v>
      </c>
      <c r="BD1475" s="55" t="s">
        <v>176</v>
      </c>
      <c r="BE1475" s="226" t="s">
        <v>976</v>
      </c>
      <c r="BF1475" s="191" t="s">
        <v>479</v>
      </c>
      <c r="BG1475" s="55" t="s">
        <v>479</v>
      </c>
      <c r="BH1475" s="226" t="s">
        <v>976</v>
      </c>
      <c r="BI1475" s="55" t="s">
        <v>479</v>
      </c>
      <c r="BJ1475" s="55" t="s">
        <v>176</v>
      </c>
      <c r="BK1475" s="55" t="s">
        <v>6269</v>
      </c>
      <c r="BM1475" s="192" t="s">
        <v>119</v>
      </c>
      <c r="BN1475" s="55">
        <v>4</v>
      </c>
      <c r="BO1475" s="55">
        <v>4</v>
      </c>
      <c r="BQ1475" s="55" t="s">
        <v>315</v>
      </c>
      <c r="CH1475" s="90">
        <v>1.32</v>
      </c>
      <c r="CI1475" s="90">
        <v>1.23</v>
      </c>
      <c r="CM1475" s="65">
        <v>4</v>
      </c>
      <c r="CN1475" s="65">
        <v>4.7</v>
      </c>
      <c r="CQ1475" s="65" t="s">
        <v>977</v>
      </c>
      <c r="CV1475" s="65" t="s">
        <v>1630</v>
      </c>
      <c r="DA1475" s="65" t="s">
        <v>4453</v>
      </c>
      <c r="DB1475" s="65">
        <v>13.3</v>
      </c>
      <c r="DC1475" s="65">
        <v>9.5</v>
      </c>
      <c r="DF1475" s="65" t="s">
        <v>979</v>
      </c>
      <c r="EU1475" s="65">
        <v>1.337</v>
      </c>
      <c r="EV1475" s="65">
        <v>1.0940000000000001</v>
      </c>
      <c r="EY1475" s="65" t="s">
        <v>980</v>
      </c>
      <c r="GP1475" s="292" t="s">
        <v>7494</v>
      </c>
      <c r="JW1475" s="55" t="s">
        <v>1956</v>
      </c>
    </row>
    <row r="1476" spans="1:283" x14ac:dyDescent="0.25">
      <c r="A1476" s="55">
        <v>1475</v>
      </c>
      <c r="B1476" s="12" t="s">
        <v>7067</v>
      </c>
      <c r="C1476" s="155">
        <v>67</v>
      </c>
      <c r="D1476" s="55" t="s">
        <v>3987</v>
      </c>
      <c r="E1476" s="90" t="s">
        <v>973</v>
      </c>
      <c r="G1476" s="55" t="s">
        <v>974</v>
      </c>
      <c r="H1476" s="55">
        <v>2006</v>
      </c>
      <c r="I1476" s="55">
        <v>2002</v>
      </c>
      <c r="J1476" s="55" t="s">
        <v>151</v>
      </c>
      <c r="K1476" s="55" t="s">
        <v>975</v>
      </c>
      <c r="L1476" s="55" t="s">
        <v>2737</v>
      </c>
      <c r="M1476" s="90">
        <v>40.1</v>
      </c>
      <c r="N1476" s="90">
        <v>-88.25</v>
      </c>
      <c r="O1476" s="90">
        <v>235.6</v>
      </c>
      <c r="U1476" s="55">
        <v>2</v>
      </c>
      <c r="V1476" s="55">
        <v>2</v>
      </c>
      <c r="Y1476" s="55" t="s">
        <v>1954</v>
      </c>
      <c r="Z1476" s="55" t="s">
        <v>1368</v>
      </c>
      <c r="AA1476" s="90" t="s">
        <v>1682</v>
      </c>
      <c r="AD1476" s="90">
        <v>1.4</v>
      </c>
      <c r="AH1476" s="55" t="s">
        <v>139</v>
      </c>
      <c r="AM1476" s="55" t="s">
        <v>1285</v>
      </c>
      <c r="AN1476" s="185" t="s">
        <v>1482</v>
      </c>
      <c r="AO1476" s="185" t="s">
        <v>5150</v>
      </c>
      <c r="AQ1476" s="55" t="s">
        <v>1546</v>
      </c>
      <c r="AR1476" s="55" t="s">
        <v>158</v>
      </c>
      <c r="AS1476" s="55" t="s">
        <v>1575</v>
      </c>
      <c r="AT1476" s="181" t="s">
        <v>959</v>
      </c>
      <c r="AU1476" s="181" t="s">
        <v>5150</v>
      </c>
      <c r="AV1476" s="185" t="s">
        <v>176</v>
      </c>
      <c r="AW1476" s="55" t="s">
        <v>959</v>
      </c>
      <c r="AX1476" s="185" t="s">
        <v>176</v>
      </c>
      <c r="AY1476" s="55" t="s">
        <v>176</v>
      </c>
      <c r="AZ1476" s="55" t="s">
        <v>156</v>
      </c>
      <c r="BA1476" s="55" t="s">
        <v>156</v>
      </c>
      <c r="BB1476" s="55" t="s">
        <v>2082</v>
      </c>
      <c r="BC1476" s="55" t="s">
        <v>2082</v>
      </c>
      <c r="BD1476" s="55" t="s">
        <v>176</v>
      </c>
      <c r="BE1476" s="226" t="s">
        <v>976</v>
      </c>
      <c r="BF1476" s="191" t="s">
        <v>479</v>
      </c>
      <c r="BG1476" s="55" t="s">
        <v>479</v>
      </c>
      <c r="BH1476" s="226" t="s">
        <v>976</v>
      </c>
      <c r="BI1476" s="55" t="s">
        <v>479</v>
      </c>
      <c r="BJ1476" s="55" t="s">
        <v>176</v>
      </c>
      <c r="BK1476" s="55" t="s">
        <v>6269</v>
      </c>
      <c r="BM1476" s="192" t="s">
        <v>119</v>
      </c>
      <c r="BN1476" s="55">
        <v>4</v>
      </c>
      <c r="BO1476" s="55">
        <v>4</v>
      </c>
      <c r="BQ1476" s="55" t="s">
        <v>315</v>
      </c>
      <c r="CH1476" s="90">
        <v>1.4</v>
      </c>
      <c r="CI1476" s="90">
        <v>1.36</v>
      </c>
      <c r="CM1476" s="65">
        <v>3.2</v>
      </c>
      <c r="CN1476" s="65">
        <v>3.5</v>
      </c>
      <c r="CQ1476" s="65" t="s">
        <v>977</v>
      </c>
      <c r="CV1476" s="65" t="s">
        <v>1630</v>
      </c>
      <c r="DA1476" s="65" t="s">
        <v>4453</v>
      </c>
      <c r="DB1476" s="65">
        <v>11.1</v>
      </c>
      <c r="DC1476" s="65">
        <v>8.5</v>
      </c>
      <c r="DF1476" s="65" t="s">
        <v>979</v>
      </c>
      <c r="EU1476" s="65">
        <v>1.835</v>
      </c>
      <c r="EV1476" s="65">
        <v>1.9970000000000001</v>
      </c>
      <c r="EY1476" s="65" t="s">
        <v>980</v>
      </c>
      <c r="GP1476" s="292" t="s">
        <v>7494</v>
      </c>
      <c r="JW1476" s="55" t="s">
        <v>1956</v>
      </c>
    </row>
    <row r="1477" spans="1:283" x14ac:dyDescent="0.25">
      <c r="A1477" s="55">
        <v>1476</v>
      </c>
      <c r="B1477" s="12" t="s">
        <v>7067</v>
      </c>
      <c r="C1477" s="155">
        <v>67</v>
      </c>
      <c r="D1477" s="55" t="s">
        <v>3988</v>
      </c>
      <c r="E1477" s="90" t="s">
        <v>973</v>
      </c>
      <c r="G1477" s="55" t="s">
        <v>974</v>
      </c>
      <c r="H1477" s="55">
        <v>2006</v>
      </c>
      <c r="I1477" s="55">
        <v>2002</v>
      </c>
      <c r="J1477" s="55" t="s">
        <v>151</v>
      </c>
      <c r="K1477" s="55" t="s">
        <v>975</v>
      </c>
      <c r="L1477" s="55" t="s">
        <v>2737</v>
      </c>
      <c r="M1477" s="90">
        <v>40.1</v>
      </c>
      <c r="N1477" s="90">
        <v>-88.25</v>
      </c>
      <c r="O1477" s="90">
        <v>235.6</v>
      </c>
      <c r="U1477" s="55">
        <v>2</v>
      </c>
      <c r="V1477" s="55">
        <v>2</v>
      </c>
      <c r="Y1477" s="55" t="s">
        <v>1954</v>
      </c>
      <c r="Z1477" s="55" t="s">
        <v>1376</v>
      </c>
      <c r="AA1477" s="90" t="s">
        <v>1682</v>
      </c>
      <c r="AD1477" s="90">
        <v>1.45</v>
      </c>
      <c r="AH1477" s="55" t="s">
        <v>139</v>
      </c>
      <c r="AM1477" s="55" t="s">
        <v>1285</v>
      </c>
      <c r="AN1477" s="185" t="s">
        <v>1482</v>
      </c>
      <c r="AO1477" s="185" t="s">
        <v>5150</v>
      </c>
      <c r="AQ1477" s="55" t="s">
        <v>1546</v>
      </c>
      <c r="AR1477" s="55" t="s">
        <v>158</v>
      </c>
      <c r="AS1477" s="55" t="s">
        <v>1575</v>
      </c>
      <c r="AT1477" s="181" t="s">
        <v>959</v>
      </c>
      <c r="AU1477" s="181" t="s">
        <v>5150</v>
      </c>
      <c r="AV1477" s="185" t="s">
        <v>176</v>
      </c>
      <c r="AW1477" s="55" t="s">
        <v>959</v>
      </c>
      <c r="AX1477" s="185" t="s">
        <v>176</v>
      </c>
      <c r="AY1477" s="55" t="s">
        <v>176</v>
      </c>
      <c r="AZ1477" s="55" t="s">
        <v>156</v>
      </c>
      <c r="BA1477" s="55" t="s">
        <v>156</v>
      </c>
      <c r="BB1477" s="55" t="s">
        <v>2082</v>
      </c>
      <c r="BC1477" s="55" t="s">
        <v>2082</v>
      </c>
      <c r="BD1477" s="55" t="s">
        <v>176</v>
      </c>
      <c r="BE1477" s="226" t="s">
        <v>976</v>
      </c>
      <c r="BF1477" s="191" t="s">
        <v>479</v>
      </c>
      <c r="BG1477" s="55" t="s">
        <v>479</v>
      </c>
      <c r="BH1477" s="226" t="s">
        <v>976</v>
      </c>
      <c r="BI1477" s="55" t="s">
        <v>479</v>
      </c>
      <c r="BJ1477" s="55" t="s">
        <v>176</v>
      </c>
      <c r="BK1477" s="55" t="s">
        <v>6269</v>
      </c>
      <c r="BM1477" s="192" t="s">
        <v>119</v>
      </c>
      <c r="BN1477" s="55">
        <v>4</v>
      </c>
      <c r="BO1477" s="55">
        <v>4</v>
      </c>
      <c r="BQ1477" s="55" t="s">
        <v>315</v>
      </c>
      <c r="CH1477" s="90">
        <v>1.45</v>
      </c>
      <c r="CI1477" s="90">
        <v>1.43</v>
      </c>
      <c r="CM1477" s="65">
        <v>3.3</v>
      </c>
      <c r="CN1477" s="65">
        <v>3.3</v>
      </c>
      <c r="CQ1477" s="65" t="s">
        <v>977</v>
      </c>
      <c r="CV1477" s="65" t="s">
        <v>1630</v>
      </c>
      <c r="DA1477" s="65" t="s">
        <v>4453</v>
      </c>
      <c r="DB1477" s="65">
        <v>4.0999999999999996</v>
      </c>
      <c r="DC1477" s="65">
        <v>15.6</v>
      </c>
      <c r="DF1477" s="65" t="s">
        <v>979</v>
      </c>
      <c r="EU1477" s="65">
        <v>1.7390000000000001</v>
      </c>
      <c r="EV1477" s="65">
        <v>2.1440000000000001</v>
      </c>
      <c r="EY1477" s="65" t="s">
        <v>980</v>
      </c>
      <c r="GP1477" s="292" t="s">
        <v>7494</v>
      </c>
      <c r="JW1477" s="55" t="s">
        <v>1956</v>
      </c>
    </row>
    <row r="1478" spans="1:283" x14ac:dyDescent="0.25">
      <c r="A1478" s="55">
        <v>1477</v>
      </c>
      <c r="B1478" s="12" t="s">
        <v>7067</v>
      </c>
      <c r="C1478" s="155">
        <v>67</v>
      </c>
      <c r="D1478" s="55" t="s">
        <v>3989</v>
      </c>
      <c r="E1478" s="90" t="s">
        <v>973</v>
      </c>
      <c r="G1478" s="55" t="s">
        <v>974</v>
      </c>
      <c r="H1478" s="55">
        <v>2006</v>
      </c>
      <c r="I1478" s="55">
        <v>2002</v>
      </c>
      <c r="J1478" s="55" t="s">
        <v>151</v>
      </c>
      <c r="K1478" s="55" t="s">
        <v>975</v>
      </c>
      <c r="L1478" s="55" t="s">
        <v>2737</v>
      </c>
      <c r="M1478" s="90">
        <v>40.1</v>
      </c>
      <c r="N1478" s="90">
        <v>-88.25</v>
      </c>
      <c r="O1478" s="90">
        <v>235.6</v>
      </c>
      <c r="U1478" s="55">
        <v>2</v>
      </c>
      <c r="V1478" s="55">
        <v>2</v>
      </c>
      <c r="Y1478" s="55" t="s">
        <v>1954</v>
      </c>
      <c r="Z1478" s="55" t="s">
        <v>1357</v>
      </c>
      <c r="AA1478" s="90" t="s">
        <v>1677</v>
      </c>
      <c r="AD1478" s="90">
        <v>1.45</v>
      </c>
      <c r="AH1478" s="55" t="s">
        <v>139</v>
      </c>
      <c r="AM1478" s="55" t="s">
        <v>1285</v>
      </c>
      <c r="AN1478" s="185" t="s">
        <v>1482</v>
      </c>
      <c r="AO1478" s="185" t="s">
        <v>5150</v>
      </c>
      <c r="AQ1478" s="55" t="s">
        <v>1546</v>
      </c>
      <c r="AR1478" s="55" t="s">
        <v>158</v>
      </c>
      <c r="AS1478" s="55" t="s">
        <v>1575</v>
      </c>
      <c r="AT1478" s="181" t="s">
        <v>959</v>
      </c>
      <c r="AU1478" s="181" t="s">
        <v>5150</v>
      </c>
      <c r="AV1478" s="185" t="s">
        <v>176</v>
      </c>
      <c r="AW1478" s="55" t="s">
        <v>959</v>
      </c>
      <c r="AX1478" s="185" t="s">
        <v>176</v>
      </c>
      <c r="AY1478" s="55" t="s">
        <v>176</v>
      </c>
      <c r="AZ1478" s="55" t="s">
        <v>156</v>
      </c>
      <c r="BA1478" s="55" t="s">
        <v>156</v>
      </c>
      <c r="BB1478" s="55" t="s">
        <v>2082</v>
      </c>
      <c r="BC1478" s="55" t="s">
        <v>2082</v>
      </c>
      <c r="BD1478" s="55" t="s">
        <v>176</v>
      </c>
      <c r="BE1478" s="226" t="s">
        <v>976</v>
      </c>
      <c r="BF1478" s="191" t="s">
        <v>479</v>
      </c>
      <c r="BG1478" s="55" t="s">
        <v>479</v>
      </c>
      <c r="BH1478" s="226" t="s">
        <v>976</v>
      </c>
      <c r="BI1478" s="55" t="s">
        <v>479</v>
      </c>
      <c r="BJ1478" s="55" t="s">
        <v>176</v>
      </c>
      <c r="BK1478" s="55" t="s">
        <v>6269</v>
      </c>
      <c r="BM1478" s="192" t="s">
        <v>119</v>
      </c>
      <c r="BN1478" s="55">
        <v>4</v>
      </c>
      <c r="BO1478" s="55">
        <v>4</v>
      </c>
      <c r="BQ1478" s="55" t="s">
        <v>315</v>
      </c>
      <c r="CH1478" s="90">
        <v>1.45</v>
      </c>
      <c r="CI1478" s="90">
        <v>1.39</v>
      </c>
      <c r="CM1478" s="65">
        <v>3.7</v>
      </c>
      <c r="CN1478" s="65">
        <v>4</v>
      </c>
      <c r="CQ1478" s="65" t="s">
        <v>977</v>
      </c>
      <c r="CV1478" s="65" t="s">
        <v>1630</v>
      </c>
      <c r="DA1478" s="65" t="s">
        <v>4453</v>
      </c>
      <c r="DB1478" s="65">
        <v>12.2</v>
      </c>
      <c r="DC1478" s="65">
        <v>10.4</v>
      </c>
      <c r="DF1478" s="65" t="s">
        <v>979</v>
      </c>
      <c r="EU1478" s="65">
        <v>1.6240000000000001</v>
      </c>
      <c r="EV1478" s="65">
        <v>2.0339999999999998</v>
      </c>
      <c r="EY1478" s="65" t="s">
        <v>980</v>
      </c>
      <c r="GP1478" s="292" t="s">
        <v>7494</v>
      </c>
      <c r="JW1478" s="55" t="s">
        <v>1956</v>
      </c>
    </row>
    <row r="1479" spans="1:283" x14ac:dyDescent="0.25">
      <c r="A1479" s="55">
        <v>1478</v>
      </c>
      <c r="B1479" s="12" t="s">
        <v>7067</v>
      </c>
      <c r="C1479" s="155">
        <v>68</v>
      </c>
      <c r="D1479" s="55" t="s">
        <v>3990</v>
      </c>
      <c r="E1479" s="90" t="s">
        <v>989</v>
      </c>
      <c r="G1479" s="55" t="s">
        <v>990</v>
      </c>
      <c r="H1479" s="55">
        <v>2011</v>
      </c>
      <c r="I1479" s="55">
        <v>1995</v>
      </c>
      <c r="J1479" s="55" t="s">
        <v>282</v>
      </c>
      <c r="K1479" s="55" t="s">
        <v>992</v>
      </c>
      <c r="L1479" s="55" t="s">
        <v>2737</v>
      </c>
      <c r="M1479" s="90">
        <f>43+18/60</f>
        <v>43.3</v>
      </c>
      <c r="N1479" s="90">
        <f>-89-21/60</f>
        <v>-89.35</v>
      </c>
      <c r="O1479" s="90">
        <v>317.10000000000002</v>
      </c>
      <c r="U1479" s="55" t="s">
        <v>1682</v>
      </c>
      <c r="V1479" s="55" t="s">
        <v>1933</v>
      </c>
      <c r="Y1479" s="55" t="s">
        <v>991</v>
      </c>
      <c r="Z1479" s="55" t="s">
        <v>1361</v>
      </c>
      <c r="AA1479" s="90" t="s">
        <v>1682</v>
      </c>
      <c r="AD1479" s="90">
        <v>1.1000000000000001</v>
      </c>
      <c r="AH1479" s="55" t="s">
        <v>6378</v>
      </c>
      <c r="AM1479" s="55" t="s">
        <v>1309</v>
      </c>
      <c r="AN1479" s="185" t="s">
        <v>1491</v>
      </c>
      <c r="AO1479" s="185" t="s">
        <v>5150</v>
      </c>
      <c r="AQ1479" s="55" t="s">
        <v>1545</v>
      </c>
      <c r="AR1479" s="55" t="s">
        <v>132</v>
      </c>
      <c r="AS1479" s="55" t="s">
        <v>1575</v>
      </c>
      <c r="AT1479" s="181" t="s">
        <v>132</v>
      </c>
      <c r="AU1479" s="181" t="s">
        <v>5150</v>
      </c>
      <c r="AV1479" s="185" t="s">
        <v>176</v>
      </c>
      <c r="AW1479" s="55" t="s">
        <v>912</v>
      </c>
      <c r="AX1479" s="185" t="s">
        <v>176</v>
      </c>
      <c r="AY1479" s="55" t="s">
        <v>479</v>
      </c>
      <c r="AZ1479" s="55" t="s">
        <v>454</v>
      </c>
      <c r="BA1479" s="55" t="s">
        <v>999</v>
      </c>
      <c r="BB1479" s="55" t="s">
        <v>2082</v>
      </c>
      <c r="BC1479" s="55" t="s">
        <v>2082</v>
      </c>
      <c r="BD1479" s="55" t="s">
        <v>479</v>
      </c>
      <c r="BE1479" s="226" t="s">
        <v>1000</v>
      </c>
      <c r="BF1479" s="191" t="s">
        <v>479</v>
      </c>
      <c r="BG1479" s="55" t="s">
        <v>479</v>
      </c>
      <c r="BH1479" s="226" t="s">
        <v>1001</v>
      </c>
      <c r="BI1479" s="55" t="s">
        <v>479</v>
      </c>
      <c r="BJ1479" s="55" t="s">
        <v>479</v>
      </c>
      <c r="BK1479" s="55" t="s">
        <v>6269</v>
      </c>
      <c r="BM1479" s="192" t="s">
        <v>160</v>
      </c>
      <c r="BN1479" s="55">
        <v>4</v>
      </c>
      <c r="BO1479" s="55">
        <v>4</v>
      </c>
      <c r="BQ1479" s="55" t="s">
        <v>141</v>
      </c>
      <c r="BV1479" s="55" t="s">
        <v>993</v>
      </c>
      <c r="CH1479" s="90">
        <v>1.1000000000000001</v>
      </c>
      <c r="CI1479" s="90">
        <v>1.07</v>
      </c>
      <c r="CM1479" s="65">
        <v>2.41</v>
      </c>
      <c r="CN1479" s="65">
        <v>2.19</v>
      </c>
      <c r="CQ1479" s="65" t="s">
        <v>593</v>
      </c>
      <c r="CV1479" s="65" t="s">
        <v>3040</v>
      </c>
      <c r="DA1479" s="65" t="s">
        <v>4456</v>
      </c>
      <c r="DB1479" s="65">
        <v>2230</v>
      </c>
      <c r="DC1479" s="65">
        <v>2030</v>
      </c>
      <c r="DF1479" s="65" t="s">
        <v>232</v>
      </c>
      <c r="DG1479" s="65">
        <v>52.5</v>
      </c>
      <c r="DH1479" s="65">
        <v>45.3</v>
      </c>
      <c r="DL1479" s="65">
        <v>237</v>
      </c>
      <c r="DM1479" s="65">
        <v>148</v>
      </c>
      <c r="DQ1479" s="165">
        <v>6.3</v>
      </c>
      <c r="DR1479" s="165">
        <v>6.7</v>
      </c>
      <c r="EK1479" s="90">
        <v>778</v>
      </c>
      <c r="EL1479" s="90">
        <v>665</v>
      </c>
      <c r="EO1479" s="65" t="s">
        <v>1018</v>
      </c>
      <c r="GD1479" s="65">
        <v>28</v>
      </c>
      <c r="GE1479" s="65">
        <v>28</v>
      </c>
      <c r="GH1479" s="65" t="s">
        <v>164</v>
      </c>
      <c r="GP1479" s="292" t="s">
        <v>7494</v>
      </c>
      <c r="HX1479" s="65">
        <v>1740</v>
      </c>
      <c r="HY1479" s="65">
        <v>1840</v>
      </c>
      <c r="IB1479" s="65" t="s">
        <v>411</v>
      </c>
      <c r="IC1479" s="65">
        <v>29.9</v>
      </c>
      <c r="ID1479" s="65">
        <v>31.5</v>
      </c>
      <c r="JG1479" s="65">
        <f>200*0.000012</f>
        <v>2.4000000000000002E-3</v>
      </c>
      <c r="JH1479" s="65">
        <f>161*0.000012</f>
        <v>1.9320000000000001E-3</v>
      </c>
      <c r="JK1479" s="65" t="s">
        <v>1008</v>
      </c>
      <c r="JR1479" s="65">
        <v>99999</v>
      </c>
      <c r="JS1479" s="65">
        <v>99999</v>
      </c>
      <c r="JU1479" s="55" t="s">
        <v>413</v>
      </c>
      <c r="JW1479" s="55" t="s">
        <v>837</v>
      </c>
    </row>
    <row r="1480" spans="1:283" x14ac:dyDescent="0.25">
      <c r="A1480" s="55">
        <v>1479</v>
      </c>
      <c r="B1480" s="12" t="s">
        <v>7067</v>
      </c>
      <c r="C1480" s="155">
        <v>68</v>
      </c>
      <c r="D1480" s="55" t="s">
        <v>3990</v>
      </c>
      <c r="E1480" s="90" t="s">
        <v>989</v>
      </c>
      <c r="G1480" s="55" t="s">
        <v>990</v>
      </c>
      <c r="H1480" s="55">
        <v>2011</v>
      </c>
      <c r="I1480" s="55">
        <v>1995</v>
      </c>
      <c r="J1480" s="55" t="s">
        <v>282</v>
      </c>
      <c r="K1480" s="55" t="s">
        <v>992</v>
      </c>
      <c r="L1480" s="55" t="s">
        <v>2737</v>
      </c>
      <c r="M1480" s="90">
        <f>43+18/60</f>
        <v>43.3</v>
      </c>
      <c r="N1480" s="90">
        <f>-89-21/60</f>
        <v>-89.35</v>
      </c>
      <c r="O1480" s="90">
        <v>317.10000000000002</v>
      </c>
      <c r="U1480" s="55" t="s">
        <v>1682</v>
      </c>
      <c r="V1480" s="55" t="s">
        <v>1933</v>
      </c>
      <c r="Y1480" s="55" t="s">
        <v>991</v>
      </c>
      <c r="Z1480" s="55" t="s">
        <v>1361</v>
      </c>
      <c r="AA1480" s="90" t="s">
        <v>1682</v>
      </c>
      <c r="AD1480" s="90">
        <v>1.1000000000000001</v>
      </c>
      <c r="AH1480" s="55" t="s">
        <v>6378</v>
      </c>
      <c r="AM1480" s="55" t="s">
        <v>1309</v>
      </c>
      <c r="AN1480" s="185" t="s">
        <v>114</v>
      </c>
      <c r="AO1480" s="185" t="s">
        <v>5150</v>
      </c>
      <c r="AQ1480" s="55" t="s">
        <v>553</v>
      </c>
      <c r="AR1480" s="55" t="s">
        <v>132</v>
      </c>
      <c r="AS1480" s="55" t="s">
        <v>1575</v>
      </c>
      <c r="AT1480" s="181" t="s">
        <v>132</v>
      </c>
      <c r="AU1480" s="181" t="s">
        <v>5150</v>
      </c>
      <c r="AV1480" s="185" t="s">
        <v>176</v>
      </c>
      <c r="AW1480" s="55" t="s">
        <v>132</v>
      </c>
      <c r="AX1480" s="185" t="s">
        <v>176</v>
      </c>
      <c r="AY1480" s="55" t="s">
        <v>176</v>
      </c>
      <c r="AZ1480" s="55" t="s">
        <v>454</v>
      </c>
      <c r="BA1480" s="55" t="s">
        <v>999</v>
      </c>
      <c r="BB1480" s="55" t="s">
        <v>2082</v>
      </c>
      <c r="BC1480" s="55" t="s">
        <v>2082</v>
      </c>
      <c r="BD1480" s="55" t="s">
        <v>479</v>
      </c>
      <c r="BE1480" s="226" t="s">
        <v>1000</v>
      </c>
      <c r="BF1480" s="191" t="s">
        <v>479</v>
      </c>
      <c r="BG1480" s="55" t="s">
        <v>479</v>
      </c>
      <c r="BH1480" s="226" t="s">
        <v>1002</v>
      </c>
      <c r="BI1480" s="55" t="s">
        <v>479</v>
      </c>
      <c r="BJ1480" s="55" t="s">
        <v>479</v>
      </c>
      <c r="BK1480" s="55" t="s">
        <v>6269</v>
      </c>
      <c r="BM1480" s="192" t="s">
        <v>160</v>
      </c>
      <c r="BN1480" s="55">
        <v>4</v>
      </c>
      <c r="BO1480" s="55">
        <v>4</v>
      </c>
      <c r="BQ1480" s="55" t="s">
        <v>141</v>
      </c>
      <c r="BV1480" s="55" t="s">
        <v>994</v>
      </c>
      <c r="CH1480" s="90">
        <v>1.1000000000000001</v>
      </c>
      <c r="CI1480" s="90">
        <v>1.32</v>
      </c>
      <c r="CM1480" s="65">
        <v>2.41</v>
      </c>
      <c r="CN1480" s="65">
        <v>2.5</v>
      </c>
      <c r="CQ1480" s="65" t="s">
        <v>593</v>
      </c>
      <c r="CV1480" s="65" t="s">
        <v>3040</v>
      </c>
      <c r="DA1480" s="65" t="s">
        <v>4456</v>
      </c>
      <c r="DB1480" s="65">
        <v>2230</v>
      </c>
      <c r="DC1480" s="65">
        <v>2430</v>
      </c>
      <c r="DF1480" s="65" t="s">
        <v>232</v>
      </c>
      <c r="DG1480" s="65">
        <v>52.5</v>
      </c>
      <c r="DH1480" s="65">
        <v>61.5</v>
      </c>
      <c r="DL1480" s="65">
        <v>237</v>
      </c>
      <c r="DM1480" s="65">
        <v>135</v>
      </c>
      <c r="DQ1480" s="165">
        <v>6.3</v>
      </c>
      <c r="DR1480" s="165">
        <v>6.9</v>
      </c>
      <c r="EK1480" s="90">
        <v>778</v>
      </c>
      <c r="EL1480" s="90">
        <v>817</v>
      </c>
      <c r="EO1480" s="65" t="s">
        <v>1018</v>
      </c>
      <c r="GD1480" s="65">
        <v>28</v>
      </c>
      <c r="GE1480" s="65">
        <v>28</v>
      </c>
      <c r="GH1480" s="65" t="s">
        <v>164</v>
      </c>
      <c r="GP1480" s="292" t="s">
        <v>7494</v>
      </c>
      <c r="HX1480" s="65">
        <v>1740</v>
      </c>
      <c r="HY1480" s="65">
        <v>1880</v>
      </c>
      <c r="IB1480" s="65" t="s">
        <v>411</v>
      </c>
      <c r="IC1480" s="65">
        <v>29.9</v>
      </c>
      <c r="ID1480" s="65">
        <v>37.4</v>
      </c>
      <c r="JG1480" s="65">
        <f>200*0.000012</f>
        <v>2.4000000000000002E-3</v>
      </c>
      <c r="JH1480" s="65">
        <f>250*0.000012</f>
        <v>3.0000000000000001E-3</v>
      </c>
      <c r="JK1480" s="65" t="s">
        <v>1008</v>
      </c>
      <c r="JR1480" s="65">
        <v>99999</v>
      </c>
      <c r="JS1480" s="65">
        <v>99999</v>
      </c>
      <c r="JU1480" s="55" t="s">
        <v>413</v>
      </c>
      <c r="JW1480" s="55" t="s">
        <v>837</v>
      </c>
    </row>
    <row r="1481" spans="1:283" x14ac:dyDescent="0.25">
      <c r="A1481" s="55">
        <v>1480</v>
      </c>
      <c r="B1481" s="12" t="s">
        <v>7067</v>
      </c>
      <c r="C1481" s="155">
        <v>68</v>
      </c>
      <c r="D1481" s="55" t="s">
        <v>3990</v>
      </c>
      <c r="E1481" s="90" t="s">
        <v>989</v>
      </c>
      <c r="G1481" s="55" t="s">
        <v>990</v>
      </c>
      <c r="H1481" s="55">
        <v>2011</v>
      </c>
      <c r="I1481" s="55">
        <v>1995</v>
      </c>
      <c r="J1481" s="55" t="s">
        <v>282</v>
      </c>
      <c r="K1481" s="55" t="s">
        <v>992</v>
      </c>
      <c r="L1481" s="55" t="s">
        <v>2737</v>
      </c>
      <c r="M1481" s="90">
        <f>43+18/60</f>
        <v>43.3</v>
      </c>
      <c r="N1481" s="90">
        <f>-89-21/60</f>
        <v>-89.35</v>
      </c>
      <c r="O1481" s="90">
        <v>317.10000000000002</v>
      </c>
      <c r="U1481" s="55" t="s">
        <v>1682</v>
      </c>
      <c r="V1481" s="55" t="s">
        <v>1933</v>
      </c>
      <c r="Y1481" s="55" t="s">
        <v>991</v>
      </c>
      <c r="Z1481" s="55" t="s">
        <v>1361</v>
      </c>
      <c r="AA1481" s="90" t="s">
        <v>1682</v>
      </c>
      <c r="AD1481" s="90">
        <v>1.1000000000000001</v>
      </c>
      <c r="AH1481" s="55" t="s">
        <v>6378</v>
      </c>
      <c r="AM1481" s="55" t="s">
        <v>1309</v>
      </c>
      <c r="AN1481" s="185" t="s">
        <v>114</v>
      </c>
      <c r="AO1481" s="185" t="s">
        <v>5150</v>
      </c>
      <c r="AQ1481" s="55" t="s">
        <v>553</v>
      </c>
      <c r="AR1481" s="55" t="s">
        <v>132</v>
      </c>
      <c r="AS1481" s="55" t="s">
        <v>1575</v>
      </c>
      <c r="AT1481" s="181" t="s">
        <v>132</v>
      </c>
      <c r="AU1481" s="181" t="s">
        <v>5150</v>
      </c>
      <c r="AV1481" s="185" t="s">
        <v>176</v>
      </c>
      <c r="AW1481" s="55" t="s">
        <v>132</v>
      </c>
      <c r="AX1481" s="185" t="s">
        <v>176</v>
      </c>
      <c r="AY1481" s="55" t="s">
        <v>176</v>
      </c>
      <c r="AZ1481" s="55" t="s">
        <v>454</v>
      </c>
      <c r="BA1481" s="55" t="s">
        <v>999</v>
      </c>
      <c r="BB1481" s="55" t="s">
        <v>2082</v>
      </c>
      <c r="BC1481" s="55" t="s">
        <v>2082</v>
      </c>
      <c r="BD1481" s="55" t="s">
        <v>479</v>
      </c>
      <c r="BE1481" s="226" t="s">
        <v>1000</v>
      </c>
      <c r="BF1481" s="191" t="s">
        <v>479</v>
      </c>
      <c r="BG1481" s="55" t="s">
        <v>479</v>
      </c>
      <c r="BH1481" s="226" t="s">
        <v>1003</v>
      </c>
      <c r="BI1481" s="55" t="s">
        <v>479</v>
      </c>
      <c r="BJ1481" s="55" t="s">
        <v>479</v>
      </c>
      <c r="BK1481" s="55" t="s">
        <v>6269</v>
      </c>
      <c r="BM1481" s="192" t="s">
        <v>160</v>
      </c>
      <c r="BN1481" s="55">
        <v>4</v>
      </c>
      <c r="BO1481" s="55">
        <v>4</v>
      </c>
      <c r="BQ1481" s="55" t="s">
        <v>141</v>
      </c>
      <c r="BV1481" s="55" t="s">
        <v>995</v>
      </c>
      <c r="CH1481" s="90">
        <v>1.1000000000000001</v>
      </c>
      <c r="CI1481" s="90">
        <v>1.37</v>
      </c>
      <c r="CM1481" s="65">
        <v>2.41</v>
      </c>
      <c r="CN1481" s="65">
        <v>2.59</v>
      </c>
      <c r="CQ1481" s="65" t="s">
        <v>593</v>
      </c>
      <c r="CV1481" s="65" t="s">
        <v>3040</v>
      </c>
      <c r="DA1481" s="65" t="s">
        <v>4456</v>
      </c>
      <c r="DB1481" s="65">
        <v>2230</v>
      </c>
      <c r="DC1481" s="65">
        <v>2680</v>
      </c>
      <c r="DF1481" s="65" t="s">
        <v>232</v>
      </c>
      <c r="DG1481" s="65">
        <v>52.5</v>
      </c>
      <c r="DH1481" s="65">
        <v>72.8</v>
      </c>
      <c r="DL1481" s="65">
        <v>237</v>
      </c>
      <c r="DM1481" s="65">
        <v>231</v>
      </c>
      <c r="DQ1481" s="165">
        <v>6.3</v>
      </c>
      <c r="DR1481" s="165">
        <v>6.6</v>
      </c>
      <c r="EK1481" s="90">
        <v>778</v>
      </c>
      <c r="EL1481" s="90">
        <v>801</v>
      </c>
      <c r="EO1481" s="65" t="s">
        <v>1018</v>
      </c>
      <c r="GD1481" s="65">
        <v>28</v>
      </c>
      <c r="GE1481" s="65">
        <v>23</v>
      </c>
      <c r="GH1481" s="65" t="s">
        <v>164</v>
      </c>
      <c r="GP1481" s="292" t="s">
        <v>7494</v>
      </c>
      <c r="HX1481" s="65">
        <v>1740</v>
      </c>
      <c r="HY1481" s="65">
        <v>1900</v>
      </c>
      <c r="IB1481" s="65" t="s">
        <v>411</v>
      </c>
      <c r="IC1481" s="65">
        <v>29.9</v>
      </c>
      <c r="ID1481" s="65">
        <v>36.799999999999997</v>
      </c>
      <c r="JG1481" s="65">
        <f>200*0.000012</f>
        <v>2.4000000000000002E-3</v>
      </c>
      <c r="JH1481" s="65">
        <f>181*0.000012</f>
        <v>2.1719999999999999E-3</v>
      </c>
      <c r="JK1481" s="65" t="s">
        <v>1017</v>
      </c>
      <c r="JR1481" s="65">
        <v>99999</v>
      </c>
      <c r="JS1481" s="65">
        <v>99999</v>
      </c>
      <c r="JU1481" s="55" t="s">
        <v>413</v>
      </c>
      <c r="JW1481" s="55" t="s">
        <v>837</v>
      </c>
    </row>
    <row r="1482" spans="1:283" x14ac:dyDescent="0.25">
      <c r="A1482" s="55">
        <v>1481</v>
      </c>
      <c r="B1482" s="12" t="s">
        <v>7067</v>
      </c>
      <c r="C1482" s="155">
        <v>68</v>
      </c>
      <c r="D1482" s="55" t="s">
        <v>3990</v>
      </c>
      <c r="E1482" s="90" t="s">
        <v>989</v>
      </c>
      <c r="G1482" s="55" t="s">
        <v>990</v>
      </c>
      <c r="H1482" s="55">
        <v>2011</v>
      </c>
      <c r="I1482" s="55">
        <v>1995</v>
      </c>
      <c r="J1482" s="55" t="s">
        <v>282</v>
      </c>
      <c r="K1482" s="55" t="s">
        <v>992</v>
      </c>
      <c r="L1482" s="55" t="s">
        <v>2737</v>
      </c>
      <c r="M1482" s="90">
        <f>43+18/60</f>
        <v>43.3</v>
      </c>
      <c r="N1482" s="90">
        <f>-89-21/60</f>
        <v>-89.35</v>
      </c>
      <c r="O1482" s="90">
        <v>317.10000000000002</v>
      </c>
      <c r="U1482" s="55" t="s">
        <v>1682</v>
      </c>
      <c r="V1482" s="55" t="s">
        <v>1933</v>
      </c>
      <c r="Y1482" s="55" t="s">
        <v>991</v>
      </c>
      <c r="Z1482" s="55" t="s">
        <v>1361</v>
      </c>
      <c r="AA1482" s="90" t="s">
        <v>1682</v>
      </c>
      <c r="AD1482" s="90">
        <v>1.1000000000000001</v>
      </c>
      <c r="AH1482" s="55" t="s">
        <v>6378</v>
      </c>
      <c r="AM1482" s="55" t="s">
        <v>1309</v>
      </c>
      <c r="AN1482" s="185" t="s">
        <v>114</v>
      </c>
      <c r="AO1482" s="185" t="s">
        <v>5150</v>
      </c>
      <c r="AQ1482" s="55" t="s">
        <v>553</v>
      </c>
      <c r="AR1482" s="55" t="s">
        <v>132</v>
      </c>
      <c r="AS1482" s="55" t="s">
        <v>1575</v>
      </c>
      <c r="AT1482" s="181" t="s">
        <v>132</v>
      </c>
      <c r="AU1482" s="181" t="s">
        <v>5150</v>
      </c>
      <c r="AV1482" s="185" t="s">
        <v>176</v>
      </c>
      <c r="AW1482" s="55" t="s">
        <v>132</v>
      </c>
      <c r="AX1482" s="185" t="s">
        <v>176</v>
      </c>
      <c r="AY1482" s="55" t="s">
        <v>176</v>
      </c>
      <c r="AZ1482" s="55" t="s">
        <v>454</v>
      </c>
      <c r="BA1482" s="55" t="s">
        <v>999</v>
      </c>
      <c r="BB1482" s="55" t="s">
        <v>2082</v>
      </c>
      <c r="BC1482" s="55" t="s">
        <v>2082</v>
      </c>
      <c r="BD1482" s="55" t="s">
        <v>479</v>
      </c>
      <c r="BE1482" s="226" t="s">
        <v>1000</v>
      </c>
      <c r="BF1482" s="191" t="s">
        <v>479</v>
      </c>
      <c r="BG1482" s="55" t="s">
        <v>479</v>
      </c>
      <c r="BH1482" s="226" t="s">
        <v>1004</v>
      </c>
      <c r="BI1482" s="55" t="s">
        <v>479</v>
      </c>
      <c r="BJ1482" s="55" t="s">
        <v>479</v>
      </c>
      <c r="BK1482" s="55" t="s">
        <v>6269</v>
      </c>
      <c r="BM1482" s="192" t="s">
        <v>160</v>
      </c>
      <c r="BN1482" s="55">
        <v>4</v>
      </c>
      <c r="BO1482" s="55">
        <v>4</v>
      </c>
      <c r="BQ1482" s="55" t="s">
        <v>141</v>
      </c>
      <c r="BV1482" s="55" t="s">
        <v>996</v>
      </c>
      <c r="CH1482" s="90">
        <v>1.1000000000000001</v>
      </c>
      <c r="CI1482" s="90">
        <v>1.1299999999999999</v>
      </c>
      <c r="CM1482" s="65">
        <v>2.41</v>
      </c>
      <c r="CN1482" s="65">
        <v>2.39</v>
      </c>
      <c r="CQ1482" s="65" t="s">
        <v>593</v>
      </c>
      <c r="CV1482" s="65" t="s">
        <v>3040</v>
      </c>
      <c r="DA1482" s="65" t="s">
        <v>4456</v>
      </c>
      <c r="DB1482" s="65">
        <v>2230</v>
      </c>
      <c r="DC1482" s="65">
        <v>2300</v>
      </c>
      <c r="DF1482" s="65" t="s">
        <v>232</v>
      </c>
      <c r="DG1482" s="65">
        <v>52.5</v>
      </c>
      <c r="DH1482" s="65">
        <v>58.3</v>
      </c>
      <c r="DL1482" s="65">
        <v>237</v>
      </c>
      <c r="DM1482" s="65">
        <v>145</v>
      </c>
      <c r="DQ1482" s="165">
        <v>6.3</v>
      </c>
      <c r="DR1482" s="165">
        <v>6.8</v>
      </c>
      <c r="EK1482" s="90">
        <v>778</v>
      </c>
      <c r="EL1482" s="90">
        <v>766</v>
      </c>
      <c r="EO1482" s="65" t="s">
        <v>1018</v>
      </c>
      <c r="GD1482" s="65">
        <v>28</v>
      </c>
      <c r="GE1482" s="65">
        <v>28</v>
      </c>
      <c r="GH1482" s="65" t="s">
        <v>164</v>
      </c>
      <c r="GP1482" s="292" t="s">
        <v>7494</v>
      </c>
      <c r="HX1482" s="65">
        <v>1740</v>
      </c>
      <c r="HY1482" s="65">
        <v>1810</v>
      </c>
      <c r="IB1482" s="65" t="s">
        <v>411</v>
      </c>
      <c r="IC1482" s="65">
        <v>29.9</v>
      </c>
      <c r="ID1482" s="65">
        <v>31.2</v>
      </c>
      <c r="JG1482" s="65">
        <f>200*0.000012</f>
        <v>2.4000000000000002E-3</v>
      </c>
      <c r="JH1482" s="65">
        <f>170*0.000012</f>
        <v>2.0400000000000001E-3</v>
      </c>
      <c r="JK1482" s="65" t="s">
        <v>1017</v>
      </c>
      <c r="JR1482" s="65">
        <v>99999</v>
      </c>
      <c r="JS1482" s="65">
        <v>99999</v>
      </c>
      <c r="JU1482" s="55" t="s">
        <v>413</v>
      </c>
      <c r="JW1482" s="55" t="s">
        <v>837</v>
      </c>
    </row>
    <row r="1483" spans="1:283" x14ac:dyDescent="0.25">
      <c r="A1483" s="55">
        <v>1482</v>
      </c>
      <c r="B1483" s="12" t="s">
        <v>7067</v>
      </c>
      <c r="C1483" s="155">
        <v>68</v>
      </c>
      <c r="D1483" s="55" t="s">
        <v>3990</v>
      </c>
      <c r="E1483" s="90" t="s">
        <v>989</v>
      </c>
      <c r="G1483" s="55" t="s">
        <v>990</v>
      </c>
      <c r="H1483" s="55">
        <v>2011</v>
      </c>
      <c r="I1483" s="55">
        <v>1995</v>
      </c>
      <c r="J1483" s="55" t="s">
        <v>282</v>
      </c>
      <c r="K1483" s="55" t="s">
        <v>992</v>
      </c>
      <c r="L1483" s="55" t="s">
        <v>2737</v>
      </c>
      <c r="M1483" s="90">
        <f>43+18/60</f>
        <v>43.3</v>
      </c>
      <c r="N1483" s="90">
        <f>-89-21/60</f>
        <v>-89.35</v>
      </c>
      <c r="O1483" s="90">
        <v>317.10000000000002</v>
      </c>
      <c r="U1483" s="55" t="s">
        <v>1682</v>
      </c>
      <c r="V1483" s="55" t="s">
        <v>1933</v>
      </c>
      <c r="Y1483" s="55" t="s">
        <v>991</v>
      </c>
      <c r="Z1483" s="55" t="s">
        <v>1361</v>
      </c>
      <c r="AA1483" s="90" t="s">
        <v>1682</v>
      </c>
      <c r="AD1483" s="90">
        <v>1.1000000000000001</v>
      </c>
      <c r="AH1483" s="55" t="s">
        <v>6378</v>
      </c>
      <c r="AM1483" s="55" t="s">
        <v>1309</v>
      </c>
      <c r="AN1483" s="185" t="s">
        <v>114</v>
      </c>
      <c r="AO1483" s="185" t="s">
        <v>5150</v>
      </c>
      <c r="AQ1483" s="55" t="s">
        <v>553</v>
      </c>
      <c r="AR1483" s="55" t="s">
        <v>132</v>
      </c>
      <c r="AS1483" s="55" t="s">
        <v>1575</v>
      </c>
      <c r="AT1483" s="181" t="s">
        <v>132</v>
      </c>
      <c r="AU1483" s="181" t="s">
        <v>5150</v>
      </c>
      <c r="AV1483" s="185" t="s">
        <v>176</v>
      </c>
      <c r="AW1483" s="55" t="s">
        <v>132</v>
      </c>
      <c r="AX1483" s="185" t="s">
        <v>176</v>
      </c>
      <c r="AY1483" s="55" t="s">
        <v>176</v>
      </c>
      <c r="AZ1483" s="55" t="s">
        <v>454</v>
      </c>
      <c r="BA1483" s="55" t="s">
        <v>999</v>
      </c>
      <c r="BB1483" s="55" t="s">
        <v>2082</v>
      </c>
      <c r="BC1483" s="55" t="s">
        <v>2082</v>
      </c>
      <c r="BD1483" s="55" t="s">
        <v>479</v>
      </c>
      <c r="BE1483" s="226" t="s">
        <v>1000</v>
      </c>
      <c r="BF1483" s="191" t="s">
        <v>479</v>
      </c>
      <c r="BG1483" s="55" t="s">
        <v>479</v>
      </c>
      <c r="BH1483" s="226" t="s">
        <v>1005</v>
      </c>
      <c r="BI1483" s="55" t="s">
        <v>479</v>
      </c>
      <c r="BJ1483" s="55" t="s">
        <v>479</v>
      </c>
      <c r="BK1483" s="55" t="s">
        <v>6269</v>
      </c>
      <c r="BM1483" s="192" t="s">
        <v>160</v>
      </c>
      <c r="BN1483" s="55">
        <v>4</v>
      </c>
      <c r="BO1483" s="55">
        <v>4</v>
      </c>
      <c r="BQ1483" s="55" t="s">
        <v>141</v>
      </c>
      <c r="BV1483" s="55" t="s">
        <v>997</v>
      </c>
      <c r="CH1483" s="90">
        <v>1.1000000000000001</v>
      </c>
      <c r="CI1483" s="90">
        <v>1.32</v>
      </c>
      <c r="CM1483" s="65">
        <v>2.41</v>
      </c>
      <c r="CN1483" s="65">
        <v>2.39</v>
      </c>
      <c r="CQ1483" s="65" t="s">
        <v>593</v>
      </c>
      <c r="CV1483" s="65" t="s">
        <v>3040</v>
      </c>
      <c r="DA1483" s="65" t="s">
        <v>4456</v>
      </c>
      <c r="DB1483" s="65">
        <v>2230</v>
      </c>
      <c r="DC1483" s="65">
        <v>2400</v>
      </c>
      <c r="DF1483" s="65" t="s">
        <v>232</v>
      </c>
      <c r="DG1483" s="65">
        <v>52.5</v>
      </c>
      <c r="DH1483" s="65">
        <v>56.3</v>
      </c>
      <c r="DL1483" s="65">
        <v>237</v>
      </c>
      <c r="DM1483" s="65">
        <v>173</v>
      </c>
      <c r="DQ1483" s="165">
        <v>6.3</v>
      </c>
      <c r="DR1483" s="165">
        <v>6.7</v>
      </c>
      <c r="EK1483" s="90">
        <v>778</v>
      </c>
      <c r="EL1483" s="90">
        <v>829</v>
      </c>
      <c r="EO1483" s="65" t="s">
        <v>1018</v>
      </c>
      <c r="GD1483" s="65">
        <v>28</v>
      </c>
      <c r="GE1483" s="65">
        <v>26</v>
      </c>
      <c r="GH1483" s="65" t="s">
        <v>164</v>
      </c>
      <c r="GP1483" s="292" t="s">
        <v>7494</v>
      </c>
      <c r="HX1483" s="65">
        <v>1740</v>
      </c>
      <c r="HY1483" s="65">
        <v>1890</v>
      </c>
      <c r="IB1483" s="65" t="s">
        <v>411</v>
      </c>
      <c r="IC1483" s="65">
        <v>29.9</v>
      </c>
      <c r="ID1483" s="65">
        <v>37.9</v>
      </c>
      <c r="JG1483" s="65">
        <f>200*0.000012</f>
        <v>2.4000000000000002E-3</v>
      </c>
      <c r="JH1483" s="65">
        <f>204*0.000012</f>
        <v>2.4480000000000001E-3</v>
      </c>
      <c r="JK1483" s="65" t="s">
        <v>1017</v>
      </c>
      <c r="JR1483" s="65">
        <v>99999</v>
      </c>
      <c r="JS1483" s="65">
        <v>99999</v>
      </c>
      <c r="JU1483" s="55" t="s">
        <v>413</v>
      </c>
      <c r="JW1483" s="55" t="s">
        <v>837</v>
      </c>
    </row>
    <row r="1484" spans="1:283" x14ac:dyDescent="0.25">
      <c r="A1484" s="55">
        <v>1483</v>
      </c>
      <c r="B1484" s="12" t="s">
        <v>7067</v>
      </c>
      <c r="C1484" s="155">
        <v>68</v>
      </c>
      <c r="D1484" s="55" t="s">
        <v>3990</v>
      </c>
      <c r="E1484" s="90" t="s">
        <v>989</v>
      </c>
      <c r="G1484" s="55" t="s">
        <v>990</v>
      </c>
      <c r="H1484" s="55">
        <v>2011</v>
      </c>
      <c r="I1484" s="55">
        <v>1995</v>
      </c>
      <c r="J1484" s="55" t="s">
        <v>282</v>
      </c>
      <c r="K1484" s="55" t="s">
        <v>992</v>
      </c>
      <c r="L1484" s="55" t="s">
        <v>2737</v>
      </c>
      <c r="M1484" s="90">
        <f>43+18/60</f>
        <v>43.3</v>
      </c>
      <c r="N1484" s="90">
        <f>-89-21/60</f>
        <v>-89.35</v>
      </c>
      <c r="O1484" s="90">
        <v>317.10000000000002</v>
      </c>
      <c r="U1484" s="55" t="s">
        <v>1682</v>
      </c>
      <c r="V1484" s="55" t="s">
        <v>1933</v>
      </c>
      <c r="Y1484" s="55" t="s">
        <v>991</v>
      </c>
      <c r="Z1484" s="55" t="s">
        <v>1361</v>
      </c>
      <c r="AA1484" s="90" t="s">
        <v>1682</v>
      </c>
      <c r="AD1484" s="90">
        <v>1.1000000000000001</v>
      </c>
      <c r="AH1484" s="55" t="s">
        <v>6378</v>
      </c>
      <c r="AM1484" s="55" t="s">
        <v>1309</v>
      </c>
      <c r="AN1484" s="185" t="s">
        <v>610</v>
      </c>
      <c r="AO1484" s="185" t="s">
        <v>5150</v>
      </c>
      <c r="AQ1484" s="55" t="s">
        <v>610</v>
      </c>
      <c r="AR1484" s="55" t="s">
        <v>132</v>
      </c>
      <c r="AS1484" s="55" t="s">
        <v>1575</v>
      </c>
      <c r="AT1484" s="181" t="s">
        <v>132</v>
      </c>
      <c r="AU1484" s="181" t="s">
        <v>5150</v>
      </c>
      <c r="AV1484" s="185" t="s">
        <v>176</v>
      </c>
      <c r="AW1484" s="55" t="s">
        <v>1571</v>
      </c>
      <c r="AX1484" s="185" t="s">
        <v>176</v>
      </c>
      <c r="AY1484" s="55" t="s">
        <v>479</v>
      </c>
      <c r="AZ1484" s="55" t="s">
        <v>454</v>
      </c>
      <c r="BA1484" s="55" t="s">
        <v>999</v>
      </c>
      <c r="BB1484" s="55" t="s">
        <v>2082</v>
      </c>
      <c r="BC1484" s="55" t="s">
        <v>2082</v>
      </c>
      <c r="BD1484" s="55" t="s">
        <v>479</v>
      </c>
      <c r="BE1484" s="226" t="s">
        <v>1000</v>
      </c>
      <c r="BF1484" s="191" t="s">
        <v>479</v>
      </c>
      <c r="BG1484" s="55" t="s">
        <v>479</v>
      </c>
      <c r="BH1484" s="226" t="s">
        <v>1006</v>
      </c>
      <c r="BI1484" s="55" t="s">
        <v>479</v>
      </c>
      <c r="BJ1484" s="55" t="s">
        <v>479</v>
      </c>
      <c r="BK1484" s="55" t="s">
        <v>6269</v>
      </c>
      <c r="BM1484" s="192" t="s">
        <v>160</v>
      </c>
      <c r="BN1484" s="55">
        <v>4</v>
      </c>
      <c r="BO1484" s="55">
        <v>4</v>
      </c>
      <c r="BQ1484" s="55" t="s">
        <v>141</v>
      </c>
      <c r="BV1484" s="55" t="s">
        <v>998</v>
      </c>
      <c r="CH1484" s="90">
        <v>1.1000000000000001</v>
      </c>
      <c r="CI1484" s="90">
        <v>1.24</v>
      </c>
      <c r="CM1484" s="65">
        <v>2.41</v>
      </c>
      <c r="CN1484" s="65">
        <v>3.36</v>
      </c>
      <c r="CQ1484" s="65" t="s">
        <v>593</v>
      </c>
      <c r="CV1484" s="65" t="s">
        <v>3040</v>
      </c>
      <c r="DA1484" s="65" t="s">
        <v>4456</v>
      </c>
      <c r="DB1484" s="65">
        <v>2230</v>
      </c>
      <c r="DC1484" s="65">
        <v>3360</v>
      </c>
      <c r="DF1484" s="65" t="s">
        <v>232</v>
      </c>
      <c r="DG1484" s="65">
        <v>52.5</v>
      </c>
      <c r="DH1484" s="65">
        <v>49.8</v>
      </c>
      <c r="DL1484" s="65">
        <v>237</v>
      </c>
      <c r="DM1484" s="65">
        <v>163</v>
      </c>
      <c r="DQ1484" s="165">
        <v>6.3</v>
      </c>
      <c r="DR1484" s="165">
        <v>6.2</v>
      </c>
      <c r="EK1484" s="90">
        <v>778</v>
      </c>
      <c r="EL1484" s="90">
        <v>889</v>
      </c>
      <c r="EO1484" s="65" t="s">
        <v>1018</v>
      </c>
      <c r="GD1484" s="65">
        <v>28</v>
      </c>
      <c r="GE1484" s="65">
        <v>29</v>
      </c>
      <c r="GH1484" s="65" t="s">
        <v>164</v>
      </c>
      <c r="GP1484" s="292" t="s">
        <v>7494</v>
      </c>
      <c r="HX1484" s="65">
        <v>1740</v>
      </c>
      <c r="HY1484" s="65">
        <v>2350</v>
      </c>
      <c r="IB1484" s="65" t="s">
        <v>411</v>
      </c>
      <c r="IC1484" s="65">
        <v>29.9</v>
      </c>
      <c r="ID1484" s="65">
        <v>61.2</v>
      </c>
      <c r="JG1484" s="65">
        <f>200*0.000012</f>
        <v>2.4000000000000002E-3</v>
      </c>
      <c r="JH1484" s="65">
        <f>523*0.000012</f>
        <v>6.2760000000000003E-3</v>
      </c>
      <c r="JK1484" s="65" t="s">
        <v>1017</v>
      </c>
      <c r="JR1484" s="65">
        <v>99999</v>
      </c>
      <c r="JS1484" s="65">
        <v>99999</v>
      </c>
      <c r="JU1484" s="55" t="s">
        <v>413</v>
      </c>
      <c r="JW1484" s="55" t="s">
        <v>837</v>
      </c>
    </row>
    <row r="1485" spans="1:283" x14ac:dyDescent="0.25">
      <c r="A1485" s="55">
        <v>1484</v>
      </c>
      <c r="B1485" s="12" t="s">
        <v>7067</v>
      </c>
      <c r="C1485" s="155">
        <v>68</v>
      </c>
      <c r="D1485" s="55" t="s">
        <v>3990</v>
      </c>
      <c r="E1485" s="90" t="s">
        <v>989</v>
      </c>
      <c r="G1485" s="55" t="s">
        <v>990</v>
      </c>
      <c r="H1485" s="55">
        <v>2011</v>
      </c>
      <c r="I1485" s="55">
        <v>1995</v>
      </c>
      <c r="J1485" s="55" t="s">
        <v>282</v>
      </c>
      <c r="K1485" s="55" t="s">
        <v>992</v>
      </c>
      <c r="L1485" s="55" t="s">
        <v>2737</v>
      </c>
      <c r="M1485" s="90">
        <f>43+18/60</f>
        <v>43.3</v>
      </c>
      <c r="N1485" s="90">
        <f>-89-21/60</f>
        <v>-89.35</v>
      </c>
      <c r="O1485" s="90">
        <v>317.10000000000002</v>
      </c>
      <c r="U1485" s="55" t="s">
        <v>1682</v>
      </c>
      <c r="V1485" s="55" t="s">
        <v>1933</v>
      </c>
      <c r="Y1485" s="55" t="s">
        <v>991</v>
      </c>
      <c r="Z1485" s="55" t="s">
        <v>1361</v>
      </c>
      <c r="AA1485" s="90" t="s">
        <v>1682</v>
      </c>
      <c r="AD1485" s="90">
        <v>1.18</v>
      </c>
      <c r="AH1485" s="55" t="s">
        <v>6378</v>
      </c>
      <c r="AM1485" s="55" t="s">
        <v>1309</v>
      </c>
      <c r="AN1485" s="185" t="s">
        <v>1491</v>
      </c>
      <c r="AO1485" s="185" t="s">
        <v>5150</v>
      </c>
      <c r="AQ1485" s="55" t="s">
        <v>1545</v>
      </c>
      <c r="AR1485" s="55" t="s">
        <v>1553</v>
      </c>
      <c r="AS1485" s="55" t="s">
        <v>1575</v>
      </c>
      <c r="AT1485" s="181" t="s">
        <v>658</v>
      </c>
      <c r="AU1485" s="181" t="s">
        <v>5150</v>
      </c>
      <c r="AV1485" s="185" t="s">
        <v>176</v>
      </c>
      <c r="AW1485" s="55" t="s">
        <v>912</v>
      </c>
      <c r="AX1485" s="185" t="s">
        <v>176</v>
      </c>
      <c r="AY1485" s="55" t="s">
        <v>176</v>
      </c>
      <c r="AZ1485" s="55" t="s">
        <v>1016</v>
      </c>
      <c r="BA1485" s="55" t="s">
        <v>999</v>
      </c>
      <c r="BB1485" s="55" t="s">
        <v>2082</v>
      </c>
      <c r="BC1485" s="55" t="s">
        <v>2082</v>
      </c>
      <c r="BD1485" s="55" t="s">
        <v>479</v>
      </c>
      <c r="BE1485" s="226" t="s">
        <v>1015</v>
      </c>
      <c r="BF1485" s="191" t="s">
        <v>479</v>
      </c>
      <c r="BG1485" s="55" t="s">
        <v>479</v>
      </c>
      <c r="BH1485" s="226" t="s">
        <v>1001</v>
      </c>
      <c r="BI1485" s="55" t="s">
        <v>479</v>
      </c>
      <c r="BJ1485" s="55" t="s">
        <v>479</v>
      </c>
      <c r="BK1485" s="55" t="s">
        <v>6269</v>
      </c>
      <c r="BM1485" s="192" t="s">
        <v>160</v>
      </c>
      <c r="BN1485" s="55">
        <v>4</v>
      </c>
      <c r="BO1485" s="55">
        <v>4</v>
      </c>
      <c r="BQ1485" s="55" t="s">
        <v>141</v>
      </c>
      <c r="BV1485" s="55" t="s">
        <v>1009</v>
      </c>
      <c r="CH1485" s="90">
        <v>1.18</v>
      </c>
      <c r="CI1485" s="90">
        <v>1.07</v>
      </c>
      <c r="CM1485" s="65">
        <v>2.65</v>
      </c>
      <c r="CN1485" s="65">
        <v>2.19</v>
      </c>
      <c r="CQ1485" s="65" t="s">
        <v>593</v>
      </c>
      <c r="CV1485" s="65" t="s">
        <v>3040</v>
      </c>
      <c r="DA1485" s="65" t="s">
        <v>4456</v>
      </c>
      <c r="DB1485" s="65">
        <v>2470</v>
      </c>
      <c r="DC1485" s="65">
        <v>2030</v>
      </c>
      <c r="DF1485" s="65" t="s">
        <v>232</v>
      </c>
      <c r="DG1485" s="65">
        <v>37</v>
      </c>
      <c r="DH1485" s="65">
        <v>45.3</v>
      </c>
      <c r="DL1485" s="65">
        <v>144</v>
      </c>
      <c r="DM1485" s="65">
        <v>148</v>
      </c>
      <c r="DQ1485" s="165">
        <v>6.6</v>
      </c>
      <c r="DR1485" s="165">
        <v>6.7</v>
      </c>
      <c r="EK1485" s="90">
        <v>742</v>
      </c>
      <c r="EL1485" s="90">
        <v>665</v>
      </c>
      <c r="EO1485" s="65" t="s">
        <v>1018</v>
      </c>
      <c r="GD1485" s="65">
        <v>29</v>
      </c>
      <c r="GE1485" s="65">
        <v>28</v>
      </c>
      <c r="GH1485" s="65" t="s">
        <v>164</v>
      </c>
      <c r="GP1485" s="292" t="s">
        <v>7494</v>
      </c>
      <c r="HX1485" s="65">
        <v>1900</v>
      </c>
      <c r="HY1485" s="65">
        <v>1840</v>
      </c>
      <c r="IB1485" s="65" t="s">
        <v>411</v>
      </c>
      <c r="IC1485" s="65">
        <v>36.700000000000003</v>
      </c>
      <c r="ID1485" s="65">
        <v>31.5</v>
      </c>
      <c r="JG1485" s="65">
        <f>198*0.000012</f>
        <v>2.3760000000000001E-3</v>
      </c>
      <c r="JH1485" s="65">
        <f>161*0.000012</f>
        <v>1.9320000000000001E-3</v>
      </c>
      <c r="JK1485" s="65" t="s">
        <v>1008</v>
      </c>
      <c r="JR1485" s="65">
        <v>99999</v>
      </c>
      <c r="JS1485" s="65">
        <v>99999</v>
      </c>
      <c r="JU1485" s="55" t="s">
        <v>413</v>
      </c>
      <c r="JW1485" s="55" t="s">
        <v>837</v>
      </c>
    </row>
    <row r="1486" spans="1:283" x14ac:dyDescent="0.25">
      <c r="A1486" s="55">
        <v>1485</v>
      </c>
      <c r="B1486" s="12" t="s">
        <v>7067</v>
      </c>
      <c r="C1486" s="155">
        <v>68</v>
      </c>
      <c r="D1486" s="55" t="s">
        <v>3990</v>
      </c>
      <c r="E1486" s="90" t="s">
        <v>989</v>
      </c>
      <c r="G1486" s="55" t="s">
        <v>990</v>
      </c>
      <c r="H1486" s="55">
        <v>2011</v>
      </c>
      <c r="I1486" s="55">
        <v>1995</v>
      </c>
      <c r="J1486" s="55" t="s">
        <v>282</v>
      </c>
      <c r="K1486" s="55" t="s">
        <v>992</v>
      </c>
      <c r="L1486" s="55" t="s">
        <v>2737</v>
      </c>
      <c r="M1486" s="90">
        <f>43+18/60</f>
        <v>43.3</v>
      </c>
      <c r="N1486" s="90">
        <f>-89-21/60</f>
        <v>-89.35</v>
      </c>
      <c r="O1486" s="90">
        <v>317.10000000000002</v>
      </c>
      <c r="U1486" s="55" t="s">
        <v>1682</v>
      </c>
      <c r="V1486" s="55" t="s">
        <v>1933</v>
      </c>
      <c r="Y1486" s="55" t="s">
        <v>991</v>
      </c>
      <c r="Z1486" s="55" t="s">
        <v>1361</v>
      </c>
      <c r="AA1486" s="90" t="s">
        <v>1682</v>
      </c>
      <c r="AD1486" s="90">
        <v>1.18</v>
      </c>
      <c r="AH1486" s="55" t="s">
        <v>6378</v>
      </c>
      <c r="AM1486" s="55" t="s">
        <v>1309</v>
      </c>
      <c r="AN1486" s="185" t="s">
        <v>114</v>
      </c>
      <c r="AO1486" s="185" t="s">
        <v>5150</v>
      </c>
      <c r="AQ1486" s="55" t="s">
        <v>553</v>
      </c>
      <c r="AR1486" s="55" t="s">
        <v>1553</v>
      </c>
      <c r="AS1486" s="55" t="s">
        <v>1575</v>
      </c>
      <c r="AT1486" s="181" t="s">
        <v>658</v>
      </c>
      <c r="AU1486" s="181" t="s">
        <v>5150</v>
      </c>
      <c r="AV1486" s="185" t="s">
        <v>176</v>
      </c>
      <c r="AW1486" s="55" t="s">
        <v>132</v>
      </c>
      <c r="AX1486" s="185" t="s">
        <v>176</v>
      </c>
      <c r="AY1486" s="55" t="s">
        <v>479</v>
      </c>
      <c r="AZ1486" s="55" t="s">
        <v>1016</v>
      </c>
      <c r="BA1486" s="55" t="s">
        <v>999</v>
      </c>
      <c r="BB1486" s="55" t="s">
        <v>2082</v>
      </c>
      <c r="BC1486" s="55" t="s">
        <v>2082</v>
      </c>
      <c r="BD1486" s="55" t="s">
        <v>479</v>
      </c>
      <c r="BE1486" s="226" t="s">
        <v>1015</v>
      </c>
      <c r="BF1486" s="191" t="s">
        <v>479</v>
      </c>
      <c r="BG1486" s="55" t="s">
        <v>479</v>
      </c>
      <c r="BH1486" s="226" t="s">
        <v>1002</v>
      </c>
      <c r="BI1486" s="55" t="s">
        <v>479</v>
      </c>
      <c r="BJ1486" s="55" t="s">
        <v>479</v>
      </c>
      <c r="BK1486" s="55" t="s">
        <v>6269</v>
      </c>
      <c r="BM1486" s="192" t="s">
        <v>160</v>
      </c>
      <c r="BN1486" s="55">
        <v>4</v>
      </c>
      <c r="BO1486" s="55">
        <v>4</v>
      </c>
      <c r="BQ1486" s="55" t="s">
        <v>141</v>
      </c>
      <c r="BV1486" s="55" t="s">
        <v>1010</v>
      </c>
      <c r="CH1486" s="90">
        <v>1.18</v>
      </c>
      <c r="CI1486" s="90">
        <v>1.32</v>
      </c>
      <c r="CM1486" s="65">
        <v>2.65</v>
      </c>
      <c r="CN1486" s="65">
        <v>2.5</v>
      </c>
      <c r="CQ1486" s="65" t="s">
        <v>593</v>
      </c>
      <c r="CV1486" s="65" t="s">
        <v>3040</v>
      </c>
      <c r="DA1486" s="65" t="s">
        <v>4456</v>
      </c>
      <c r="DB1486" s="65">
        <v>2470</v>
      </c>
      <c r="DC1486" s="65">
        <v>2430</v>
      </c>
      <c r="DF1486" s="65" t="s">
        <v>232</v>
      </c>
      <c r="DG1486" s="65">
        <v>37</v>
      </c>
      <c r="DH1486" s="65">
        <v>61.5</v>
      </c>
      <c r="DL1486" s="65">
        <v>144</v>
      </c>
      <c r="DM1486" s="65">
        <v>135</v>
      </c>
      <c r="DQ1486" s="165">
        <v>6.6</v>
      </c>
      <c r="DR1486" s="165">
        <v>6.9</v>
      </c>
      <c r="EK1486" s="90">
        <v>742</v>
      </c>
      <c r="EL1486" s="90">
        <v>817</v>
      </c>
      <c r="EO1486" s="65" t="s">
        <v>1018</v>
      </c>
      <c r="GD1486" s="65">
        <v>29</v>
      </c>
      <c r="GE1486" s="65">
        <v>28</v>
      </c>
      <c r="GH1486" s="65" t="s">
        <v>164</v>
      </c>
      <c r="GP1486" s="292" t="s">
        <v>7494</v>
      </c>
      <c r="HX1486" s="65">
        <v>1900</v>
      </c>
      <c r="HY1486" s="65">
        <v>1880</v>
      </c>
      <c r="IB1486" s="65" t="s">
        <v>411</v>
      </c>
      <c r="IC1486" s="65">
        <v>36.700000000000003</v>
      </c>
      <c r="ID1486" s="65">
        <v>37.4</v>
      </c>
      <c r="JG1486" s="65">
        <f>198*0.000012</f>
        <v>2.3760000000000001E-3</v>
      </c>
      <c r="JH1486" s="65">
        <f>250*0.000012</f>
        <v>3.0000000000000001E-3</v>
      </c>
      <c r="JK1486" s="65" t="s">
        <v>1008</v>
      </c>
      <c r="JR1486" s="65">
        <v>99999</v>
      </c>
      <c r="JS1486" s="65">
        <v>99999</v>
      </c>
      <c r="JU1486" s="55" t="s">
        <v>413</v>
      </c>
      <c r="JW1486" s="55" t="s">
        <v>837</v>
      </c>
    </row>
    <row r="1487" spans="1:283" x14ac:dyDescent="0.25">
      <c r="A1487" s="55">
        <v>1486</v>
      </c>
      <c r="B1487" s="12" t="s">
        <v>7067</v>
      </c>
      <c r="C1487" s="155">
        <v>68</v>
      </c>
      <c r="D1487" s="55" t="s">
        <v>3990</v>
      </c>
      <c r="E1487" s="90" t="s">
        <v>989</v>
      </c>
      <c r="G1487" s="55" t="s">
        <v>990</v>
      </c>
      <c r="H1487" s="55">
        <v>2011</v>
      </c>
      <c r="I1487" s="55">
        <v>1995</v>
      </c>
      <c r="J1487" s="55" t="s">
        <v>282</v>
      </c>
      <c r="K1487" s="55" t="s">
        <v>992</v>
      </c>
      <c r="L1487" s="55" t="s">
        <v>2737</v>
      </c>
      <c r="M1487" s="90">
        <f>43+18/60</f>
        <v>43.3</v>
      </c>
      <c r="N1487" s="90">
        <f>-89-21/60</f>
        <v>-89.35</v>
      </c>
      <c r="O1487" s="90">
        <v>317.10000000000002</v>
      </c>
      <c r="U1487" s="55" t="s">
        <v>1682</v>
      </c>
      <c r="V1487" s="55" t="s">
        <v>1933</v>
      </c>
      <c r="Y1487" s="55" t="s">
        <v>991</v>
      </c>
      <c r="Z1487" s="55" t="s">
        <v>1361</v>
      </c>
      <c r="AA1487" s="90" t="s">
        <v>1682</v>
      </c>
      <c r="AD1487" s="90">
        <v>1.18</v>
      </c>
      <c r="AH1487" s="55" t="s">
        <v>6378</v>
      </c>
      <c r="AM1487" s="55" t="s">
        <v>1309</v>
      </c>
      <c r="AN1487" s="185" t="s">
        <v>114</v>
      </c>
      <c r="AO1487" s="185" t="s">
        <v>5150</v>
      </c>
      <c r="AQ1487" s="55" t="s">
        <v>553</v>
      </c>
      <c r="AR1487" s="55" t="s">
        <v>1553</v>
      </c>
      <c r="AS1487" s="55" t="s">
        <v>1575</v>
      </c>
      <c r="AT1487" s="181" t="s">
        <v>658</v>
      </c>
      <c r="AU1487" s="181" t="s">
        <v>5150</v>
      </c>
      <c r="AV1487" s="185" t="s">
        <v>176</v>
      </c>
      <c r="AW1487" s="55" t="s">
        <v>132</v>
      </c>
      <c r="AX1487" s="185" t="s">
        <v>176</v>
      </c>
      <c r="AY1487" s="55" t="s">
        <v>479</v>
      </c>
      <c r="AZ1487" s="55" t="s">
        <v>1016</v>
      </c>
      <c r="BA1487" s="55" t="s">
        <v>999</v>
      </c>
      <c r="BB1487" s="55" t="s">
        <v>2082</v>
      </c>
      <c r="BC1487" s="55" t="s">
        <v>2082</v>
      </c>
      <c r="BD1487" s="55" t="s">
        <v>479</v>
      </c>
      <c r="BE1487" s="226" t="s">
        <v>1015</v>
      </c>
      <c r="BF1487" s="191" t="s">
        <v>479</v>
      </c>
      <c r="BG1487" s="55" t="s">
        <v>479</v>
      </c>
      <c r="BH1487" s="226" t="s">
        <v>1003</v>
      </c>
      <c r="BI1487" s="55" t="s">
        <v>479</v>
      </c>
      <c r="BJ1487" s="55" t="s">
        <v>479</v>
      </c>
      <c r="BK1487" s="55" t="s">
        <v>6269</v>
      </c>
      <c r="BM1487" s="192" t="s">
        <v>160</v>
      </c>
      <c r="BN1487" s="55">
        <v>4</v>
      </c>
      <c r="BO1487" s="55">
        <v>4</v>
      </c>
      <c r="BQ1487" s="55" t="s">
        <v>141</v>
      </c>
      <c r="BV1487" s="55" t="s">
        <v>1011</v>
      </c>
      <c r="CH1487" s="90">
        <v>1.18</v>
      </c>
      <c r="CI1487" s="90">
        <v>1.37</v>
      </c>
      <c r="CM1487" s="65">
        <v>2.65</v>
      </c>
      <c r="CN1487" s="65">
        <v>2.59</v>
      </c>
      <c r="CQ1487" s="65" t="s">
        <v>593</v>
      </c>
      <c r="CV1487" s="65" t="s">
        <v>3040</v>
      </c>
      <c r="DA1487" s="65" t="s">
        <v>4456</v>
      </c>
      <c r="DB1487" s="65">
        <v>2470</v>
      </c>
      <c r="DC1487" s="65">
        <v>2680</v>
      </c>
      <c r="DF1487" s="65" t="s">
        <v>232</v>
      </c>
      <c r="DG1487" s="65">
        <v>37</v>
      </c>
      <c r="DH1487" s="65">
        <v>72.8</v>
      </c>
      <c r="DL1487" s="65">
        <v>144</v>
      </c>
      <c r="DM1487" s="65">
        <v>231</v>
      </c>
      <c r="DQ1487" s="165">
        <v>6.6</v>
      </c>
      <c r="DR1487" s="165">
        <v>6.6</v>
      </c>
      <c r="EK1487" s="90">
        <v>742</v>
      </c>
      <c r="EL1487" s="90">
        <v>801</v>
      </c>
      <c r="EO1487" s="65" t="s">
        <v>1018</v>
      </c>
      <c r="GD1487" s="65">
        <v>29</v>
      </c>
      <c r="GE1487" s="65">
        <v>23</v>
      </c>
      <c r="GH1487" s="65" t="s">
        <v>164</v>
      </c>
      <c r="GP1487" s="292" t="s">
        <v>7494</v>
      </c>
      <c r="HX1487" s="65">
        <v>1900</v>
      </c>
      <c r="HY1487" s="65">
        <v>1900</v>
      </c>
      <c r="IB1487" s="65" t="s">
        <v>411</v>
      </c>
      <c r="IC1487" s="65">
        <v>36.700000000000003</v>
      </c>
      <c r="ID1487" s="65">
        <v>36.799999999999997</v>
      </c>
      <c r="JG1487" s="65">
        <f>198*0.000012</f>
        <v>2.3760000000000001E-3</v>
      </c>
      <c r="JH1487" s="65">
        <f>181*0.000012</f>
        <v>2.1719999999999999E-3</v>
      </c>
      <c r="JK1487" s="65" t="s">
        <v>1017</v>
      </c>
      <c r="JR1487" s="65">
        <v>99999</v>
      </c>
      <c r="JS1487" s="65">
        <v>99999</v>
      </c>
      <c r="JU1487" s="55" t="s">
        <v>413</v>
      </c>
      <c r="JW1487" s="55" t="s">
        <v>837</v>
      </c>
    </row>
    <row r="1488" spans="1:283" x14ac:dyDescent="0.25">
      <c r="A1488" s="55">
        <v>1487</v>
      </c>
      <c r="B1488" s="12" t="s">
        <v>7067</v>
      </c>
      <c r="C1488" s="155">
        <v>68</v>
      </c>
      <c r="D1488" s="55" t="s">
        <v>3990</v>
      </c>
      <c r="E1488" s="90" t="s">
        <v>989</v>
      </c>
      <c r="G1488" s="55" t="s">
        <v>990</v>
      </c>
      <c r="H1488" s="55">
        <v>2011</v>
      </c>
      <c r="I1488" s="55">
        <v>1995</v>
      </c>
      <c r="J1488" s="55" t="s">
        <v>282</v>
      </c>
      <c r="K1488" s="55" t="s">
        <v>992</v>
      </c>
      <c r="L1488" s="55" t="s">
        <v>2737</v>
      </c>
      <c r="M1488" s="90">
        <f>43+18/60</f>
        <v>43.3</v>
      </c>
      <c r="N1488" s="90">
        <f>-89-21/60</f>
        <v>-89.35</v>
      </c>
      <c r="O1488" s="90">
        <v>317.10000000000002</v>
      </c>
      <c r="U1488" s="55" t="s">
        <v>1682</v>
      </c>
      <c r="V1488" s="55" t="s">
        <v>1933</v>
      </c>
      <c r="Y1488" s="55" t="s">
        <v>991</v>
      </c>
      <c r="Z1488" s="55" t="s">
        <v>1361</v>
      </c>
      <c r="AA1488" s="90" t="s">
        <v>1682</v>
      </c>
      <c r="AD1488" s="90">
        <v>1.18</v>
      </c>
      <c r="AH1488" s="55" t="s">
        <v>6378</v>
      </c>
      <c r="AM1488" s="55" t="s">
        <v>1309</v>
      </c>
      <c r="AN1488" s="185" t="s">
        <v>114</v>
      </c>
      <c r="AO1488" s="185" t="s">
        <v>5150</v>
      </c>
      <c r="AQ1488" s="55" t="s">
        <v>553</v>
      </c>
      <c r="AR1488" s="55" t="s">
        <v>1553</v>
      </c>
      <c r="AS1488" s="55" t="s">
        <v>1575</v>
      </c>
      <c r="AT1488" s="181" t="s">
        <v>658</v>
      </c>
      <c r="AU1488" s="181" t="s">
        <v>5150</v>
      </c>
      <c r="AV1488" s="185" t="s">
        <v>176</v>
      </c>
      <c r="AW1488" s="55" t="s">
        <v>132</v>
      </c>
      <c r="AX1488" s="185" t="s">
        <v>176</v>
      </c>
      <c r="AY1488" s="55" t="s">
        <v>479</v>
      </c>
      <c r="AZ1488" s="55" t="s">
        <v>1016</v>
      </c>
      <c r="BA1488" s="55" t="s">
        <v>999</v>
      </c>
      <c r="BB1488" s="55" t="s">
        <v>2082</v>
      </c>
      <c r="BC1488" s="55" t="s">
        <v>2082</v>
      </c>
      <c r="BD1488" s="55" t="s">
        <v>479</v>
      </c>
      <c r="BE1488" s="226" t="s">
        <v>1015</v>
      </c>
      <c r="BF1488" s="191" t="s">
        <v>479</v>
      </c>
      <c r="BG1488" s="55" t="s">
        <v>479</v>
      </c>
      <c r="BH1488" s="226" t="s">
        <v>1004</v>
      </c>
      <c r="BI1488" s="55" t="s">
        <v>479</v>
      </c>
      <c r="BJ1488" s="55" t="s">
        <v>479</v>
      </c>
      <c r="BK1488" s="55" t="s">
        <v>6269</v>
      </c>
      <c r="BM1488" s="192" t="s">
        <v>160</v>
      </c>
      <c r="BN1488" s="55">
        <v>4</v>
      </c>
      <c r="BO1488" s="55">
        <v>4</v>
      </c>
      <c r="BQ1488" s="55" t="s">
        <v>141</v>
      </c>
      <c r="BV1488" s="55" t="s">
        <v>1012</v>
      </c>
      <c r="CH1488" s="90">
        <v>1.18</v>
      </c>
      <c r="CI1488" s="90">
        <v>1.1299999999999999</v>
      </c>
      <c r="CM1488" s="65">
        <v>2.65</v>
      </c>
      <c r="CN1488" s="65">
        <v>2.39</v>
      </c>
      <c r="CQ1488" s="65" t="s">
        <v>593</v>
      </c>
      <c r="CV1488" s="65" t="s">
        <v>3040</v>
      </c>
      <c r="DA1488" s="65" t="s">
        <v>4456</v>
      </c>
      <c r="DB1488" s="65">
        <v>2470</v>
      </c>
      <c r="DC1488" s="65">
        <v>2300</v>
      </c>
      <c r="DF1488" s="65" t="s">
        <v>232</v>
      </c>
      <c r="DG1488" s="65">
        <v>37</v>
      </c>
      <c r="DH1488" s="65">
        <v>58.3</v>
      </c>
      <c r="DL1488" s="65">
        <v>144</v>
      </c>
      <c r="DM1488" s="65">
        <v>145</v>
      </c>
      <c r="DQ1488" s="165">
        <v>6.6</v>
      </c>
      <c r="DR1488" s="165">
        <v>6.8</v>
      </c>
      <c r="EK1488" s="90">
        <v>742</v>
      </c>
      <c r="EL1488" s="90">
        <v>766</v>
      </c>
      <c r="EO1488" s="65" t="s">
        <v>1018</v>
      </c>
      <c r="GD1488" s="65">
        <v>29</v>
      </c>
      <c r="GE1488" s="65">
        <v>28</v>
      </c>
      <c r="GH1488" s="65" t="s">
        <v>164</v>
      </c>
      <c r="GP1488" s="292" t="s">
        <v>7494</v>
      </c>
      <c r="HX1488" s="65">
        <v>1900</v>
      </c>
      <c r="HY1488" s="65">
        <v>1810</v>
      </c>
      <c r="IB1488" s="65" t="s">
        <v>411</v>
      </c>
      <c r="IC1488" s="65">
        <v>36.700000000000003</v>
      </c>
      <c r="ID1488" s="65">
        <v>31.2</v>
      </c>
      <c r="JG1488" s="65">
        <f>198*0.000012</f>
        <v>2.3760000000000001E-3</v>
      </c>
      <c r="JH1488" s="65">
        <f>170*0.000012</f>
        <v>2.0400000000000001E-3</v>
      </c>
      <c r="JK1488" s="65" t="s">
        <v>1017</v>
      </c>
      <c r="JR1488" s="65">
        <v>99999</v>
      </c>
      <c r="JS1488" s="65">
        <v>99999</v>
      </c>
      <c r="JU1488" s="55" t="s">
        <v>413</v>
      </c>
      <c r="JW1488" s="55" t="s">
        <v>837</v>
      </c>
    </row>
    <row r="1489" spans="1:283" x14ac:dyDescent="0.25">
      <c r="A1489" s="55">
        <v>1488</v>
      </c>
      <c r="B1489" s="12" t="s">
        <v>7067</v>
      </c>
      <c r="C1489" s="155">
        <v>68</v>
      </c>
      <c r="D1489" s="55" t="s">
        <v>3990</v>
      </c>
      <c r="E1489" s="90" t="s">
        <v>989</v>
      </c>
      <c r="G1489" s="55" t="s">
        <v>990</v>
      </c>
      <c r="H1489" s="55">
        <v>2011</v>
      </c>
      <c r="I1489" s="55">
        <v>1995</v>
      </c>
      <c r="J1489" s="55" t="s">
        <v>282</v>
      </c>
      <c r="K1489" s="55" t="s">
        <v>992</v>
      </c>
      <c r="L1489" s="55" t="s">
        <v>2737</v>
      </c>
      <c r="M1489" s="90">
        <f>43+18/60</f>
        <v>43.3</v>
      </c>
      <c r="N1489" s="90">
        <f>-89-21/60</f>
        <v>-89.35</v>
      </c>
      <c r="O1489" s="90">
        <v>317.10000000000002</v>
      </c>
      <c r="U1489" s="55" t="s">
        <v>1682</v>
      </c>
      <c r="V1489" s="55" t="s">
        <v>1933</v>
      </c>
      <c r="Y1489" s="55" t="s">
        <v>991</v>
      </c>
      <c r="Z1489" s="55" t="s">
        <v>1361</v>
      </c>
      <c r="AA1489" s="90" t="s">
        <v>1682</v>
      </c>
      <c r="AD1489" s="90">
        <v>1.18</v>
      </c>
      <c r="AH1489" s="55" t="s">
        <v>6378</v>
      </c>
      <c r="AM1489" s="55" t="s">
        <v>1309</v>
      </c>
      <c r="AN1489" s="185" t="s">
        <v>114</v>
      </c>
      <c r="AO1489" s="185" t="s">
        <v>5150</v>
      </c>
      <c r="AQ1489" s="55" t="s">
        <v>553</v>
      </c>
      <c r="AR1489" s="55" t="s">
        <v>1553</v>
      </c>
      <c r="AS1489" s="55" t="s">
        <v>1575</v>
      </c>
      <c r="AT1489" s="181" t="s">
        <v>658</v>
      </c>
      <c r="AU1489" s="181" t="s">
        <v>5150</v>
      </c>
      <c r="AV1489" s="185" t="s">
        <v>176</v>
      </c>
      <c r="AW1489" s="55" t="s">
        <v>132</v>
      </c>
      <c r="AX1489" s="185" t="s">
        <v>176</v>
      </c>
      <c r="AY1489" s="55" t="s">
        <v>479</v>
      </c>
      <c r="AZ1489" s="55" t="s">
        <v>1016</v>
      </c>
      <c r="BA1489" s="55" t="s">
        <v>999</v>
      </c>
      <c r="BB1489" s="55" t="s">
        <v>2082</v>
      </c>
      <c r="BC1489" s="55" t="s">
        <v>2082</v>
      </c>
      <c r="BD1489" s="55" t="s">
        <v>479</v>
      </c>
      <c r="BE1489" s="226" t="s">
        <v>1015</v>
      </c>
      <c r="BF1489" s="191" t="s">
        <v>479</v>
      </c>
      <c r="BG1489" s="55" t="s">
        <v>479</v>
      </c>
      <c r="BH1489" s="226" t="s">
        <v>1005</v>
      </c>
      <c r="BI1489" s="55" t="s">
        <v>479</v>
      </c>
      <c r="BJ1489" s="55" t="s">
        <v>479</v>
      </c>
      <c r="BK1489" s="55" t="s">
        <v>6269</v>
      </c>
      <c r="BM1489" s="192" t="s">
        <v>160</v>
      </c>
      <c r="BN1489" s="55">
        <v>4</v>
      </c>
      <c r="BO1489" s="55">
        <v>4</v>
      </c>
      <c r="BQ1489" s="55" t="s">
        <v>141</v>
      </c>
      <c r="BV1489" s="55" t="s">
        <v>1013</v>
      </c>
      <c r="CH1489" s="90">
        <v>1.18</v>
      </c>
      <c r="CI1489" s="90">
        <v>1.32</v>
      </c>
      <c r="CM1489" s="65">
        <v>2.65</v>
      </c>
      <c r="CN1489" s="65">
        <v>2.39</v>
      </c>
      <c r="CQ1489" s="65" t="s">
        <v>593</v>
      </c>
      <c r="CV1489" s="65" t="s">
        <v>3040</v>
      </c>
      <c r="DA1489" s="65" t="s">
        <v>4456</v>
      </c>
      <c r="DB1489" s="65">
        <v>2470</v>
      </c>
      <c r="DC1489" s="65">
        <v>2400</v>
      </c>
      <c r="DF1489" s="65" t="s">
        <v>232</v>
      </c>
      <c r="DG1489" s="65">
        <v>37</v>
      </c>
      <c r="DH1489" s="65">
        <v>56.3</v>
      </c>
      <c r="DL1489" s="65">
        <v>144</v>
      </c>
      <c r="DM1489" s="65">
        <v>173</v>
      </c>
      <c r="DQ1489" s="165">
        <v>6.6</v>
      </c>
      <c r="DR1489" s="165">
        <v>6.7</v>
      </c>
      <c r="EK1489" s="90">
        <v>742</v>
      </c>
      <c r="EL1489" s="90">
        <v>829</v>
      </c>
      <c r="EO1489" s="65" t="s">
        <v>1018</v>
      </c>
      <c r="GD1489" s="65">
        <v>29</v>
      </c>
      <c r="GE1489" s="65">
        <v>26</v>
      </c>
      <c r="GH1489" s="65" t="s">
        <v>164</v>
      </c>
      <c r="GP1489" s="292" t="s">
        <v>7494</v>
      </c>
      <c r="HX1489" s="65">
        <v>1900</v>
      </c>
      <c r="HY1489" s="65">
        <v>1890</v>
      </c>
      <c r="IB1489" s="65" t="s">
        <v>411</v>
      </c>
      <c r="IC1489" s="65">
        <v>36.700000000000003</v>
      </c>
      <c r="ID1489" s="65">
        <v>37.9</v>
      </c>
      <c r="JG1489" s="65">
        <f>198*0.000012</f>
        <v>2.3760000000000001E-3</v>
      </c>
      <c r="JH1489" s="65">
        <f>204*0.000012</f>
        <v>2.4480000000000001E-3</v>
      </c>
      <c r="JK1489" s="65" t="s">
        <v>1017</v>
      </c>
      <c r="JR1489" s="65">
        <v>99999</v>
      </c>
      <c r="JS1489" s="65">
        <v>99999</v>
      </c>
      <c r="JU1489" s="55" t="s">
        <v>413</v>
      </c>
      <c r="JW1489" s="55" t="s">
        <v>837</v>
      </c>
    </row>
    <row r="1490" spans="1:283" x14ac:dyDescent="0.25">
      <c r="A1490" s="55">
        <v>1489</v>
      </c>
      <c r="B1490" s="12" t="s">
        <v>7067</v>
      </c>
      <c r="C1490" s="155">
        <v>68</v>
      </c>
      <c r="D1490" s="55" t="s">
        <v>3990</v>
      </c>
      <c r="E1490" s="90" t="s">
        <v>989</v>
      </c>
      <c r="G1490" s="55" t="s">
        <v>990</v>
      </c>
      <c r="H1490" s="55">
        <v>2011</v>
      </c>
      <c r="I1490" s="55">
        <v>1995</v>
      </c>
      <c r="J1490" s="55" t="s">
        <v>282</v>
      </c>
      <c r="K1490" s="55" t="s">
        <v>992</v>
      </c>
      <c r="L1490" s="55" t="s">
        <v>2737</v>
      </c>
      <c r="M1490" s="90">
        <f>43+18/60</f>
        <v>43.3</v>
      </c>
      <c r="N1490" s="90">
        <f>-89-21/60</f>
        <v>-89.35</v>
      </c>
      <c r="O1490" s="90">
        <v>317.10000000000002</v>
      </c>
      <c r="U1490" s="55" t="s">
        <v>1682</v>
      </c>
      <c r="V1490" s="55" t="s">
        <v>1933</v>
      </c>
      <c r="Y1490" s="55" t="s">
        <v>991</v>
      </c>
      <c r="Z1490" s="55" t="s">
        <v>1361</v>
      </c>
      <c r="AA1490" s="90" t="s">
        <v>1682</v>
      </c>
      <c r="AD1490" s="90">
        <v>1.18</v>
      </c>
      <c r="AH1490" s="55" t="s">
        <v>6378</v>
      </c>
      <c r="AM1490" s="55" t="s">
        <v>1309</v>
      </c>
      <c r="AN1490" s="185" t="s">
        <v>610</v>
      </c>
      <c r="AO1490" s="185" t="s">
        <v>5150</v>
      </c>
      <c r="AQ1490" s="55" t="s">
        <v>610</v>
      </c>
      <c r="AR1490" s="55" t="s">
        <v>1553</v>
      </c>
      <c r="AS1490" s="55" t="s">
        <v>1575</v>
      </c>
      <c r="AT1490" s="181" t="s">
        <v>658</v>
      </c>
      <c r="AU1490" s="181" t="s">
        <v>5150</v>
      </c>
      <c r="AV1490" s="185" t="s">
        <v>176</v>
      </c>
      <c r="AW1490" s="55" t="s">
        <v>1571</v>
      </c>
      <c r="AX1490" s="185" t="s">
        <v>176</v>
      </c>
      <c r="AY1490" s="55" t="s">
        <v>479</v>
      </c>
      <c r="AZ1490" s="55" t="s">
        <v>1016</v>
      </c>
      <c r="BA1490" s="55" t="s">
        <v>999</v>
      </c>
      <c r="BB1490" s="55" t="s">
        <v>2082</v>
      </c>
      <c r="BC1490" s="55" t="s">
        <v>2082</v>
      </c>
      <c r="BD1490" s="55" t="s">
        <v>479</v>
      </c>
      <c r="BE1490" s="226" t="s">
        <v>1015</v>
      </c>
      <c r="BF1490" s="191" t="s">
        <v>479</v>
      </c>
      <c r="BG1490" s="55" t="s">
        <v>479</v>
      </c>
      <c r="BH1490" s="226" t="s">
        <v>1006</v>
      </c>
      <c r="BI1490" s="55" t="s">
        <v>479</v>
      </c>
      <c r="BJ1490" s="55" t="s">
        <v>479</v>
      </c>
      <c r="BK1490" s="55" t="s">
        <v>6269</v>
      </c>
      <c r="BM1490" s="192" t="s">
        <v>160</v>
      </c>
      <c r="BN1490" s="55">
        <v>4</v>
      </c>
      <c r="BO1490" s="55">
        <v>4</v>
      </c>
      <c r="BQ1490" s="55" t="s">
        <v>141</v>
      </c>
      <c r="BV1490" s="55" t="s">
        <v>1014</v>
      </c>
      <c r="CH1490" s="90">
        <v>1.18</v>
      </c>
      <c r="CI1490" s="90">
        <v>1.24</v>
      </c>
      <c r="CM1490" s="65">
        <v>2.65</v>
      </c>
      <c r="CN1490" s="65">
        <v>3.36</v>
      </c>
      <c r="CQ1490" s="65" t="s">
        <v>593</v>
      </c>
      <c r="CV1490" s="65" t="s">
        <v>3040</v>
      </c>
      <c r="DA1490" s="65" t="s">
        <v>4456</v>
      </c>
      <c r="DB1490" s="65">
        <v>2470</v>
      </c>
      <c r="DC1490" s="65">
        <v>3360</v>
      </c>
      <c r="DF1490" s="65" t="s">
        <v>232</v>
      </c>
      <c r="DG1490" s="65">
        <v>37</v>
      </c>
      <c r="DH1490" s="65">
        <v>49.8</v>
      </c>
      <c r="DL1490" s="65">
        <v>144</v>
      </c>
      <c r="DM1490" s="65">
        <v>163</v>
      </c>
      <c r="DQ1490" s="165">
        <v>6.6</v>
      </c>
      <c r="DR1490" s="165">
        <v>6.2</v>
      </c>
      <c r="EK1490" s="90">
        <v>742</v>
      </c>
      <c r="EL1490" s="90">
        <v>889</v>
      </c>
      <c r="EO1490" s="65" t="s">
        <v>1018</v>
      </c>
      <c r="GD1490" s="65">
        <v>29</v>
      </c>
      <c r="GE1490" s="65">
        <v>29</v>
      </c>
      <c r="GH1490" s="65" t="s">
        <v>164</v>
      </c>
      <c r="GP1490" s="292" t="s">
        <v>7494</v>
      </c>
      <c r="HX1490" s="65">
        <v>1900</v>
      </c>
      <c r="HY1490" s="65">
        <v>2350</v>
      </c>
      <c r="IB1490" s="65" t="s">
        <v>411</v>
      </c>
      <c r="IC1490" s="65">
        <v>36.700000000000003</v>
      </c>
      <c r="ID1490" s="65">
        <v>61.2</v>
      </c>
      <c r="JG1490" s="65">
        <f>198*0.000012</f>
        <v>2.3760000000000001E-3</v>
      </c>
      <c r="JH1490" s="65">
        <f>523*0.000012</f>
        <v>6.2760000000000003E-3</v>
      </c>
      <c r="JK1490" s="65" t="s">
        <v>1017</v>
      </c>
      <c r="JR1490" s="65">
        <v>99999</v>
      </c>
      <c r="JS1490" s="65">
        <v>99999</v>
      </c>
      <c r="JU1490" s="55" t="s">
        <v>413</v>
      </c>
      <c r="JW1490" s="55" t="s">
        <v>837</v>
      </c>
    </row>
    <row r="1491" spans="1:283" x14ac:dyDescent="0.25">
      <c r="A1491" s="55">
        <v>1490</v>
      </c>
      <c r="B1491" s="12" t="s">
        <v>7067</v>
      </c>
      <c r="C1491" s="155">
        <v>68</v>
      </c>
      <c r="D1491" s="55" t="s">
        <v>3991</v>
      </c>
      <c r="E1491" s="90" t="s">
        <v>989</v>
      </c>
      <c r="G1491" s="55" t="s">
        <v>990</v>
      </c>
      <c r="H1491" s="55">
        <v>2011</v>
      </c>
      <c r="I1491" s="55">
        <v>1995</v>
      </c>
      <c r="J1491" s="55" t="s">
        <v>282</v>
      </c>
      <c r="K1491" s="55" t="s">
        <v>992</v>
      </c>
      <c r="L1491" s="55" t="s">
        <v>2737</v>
      </c>
      <c r="M1491" s="90">
        <f>43+18/60</f>
        <v>43.3</v>
      </c>
      <c r="N1491" s="90">
        <f>-89-21/60</f>
        <v>-89.35</v>
      </c>
      <c r="O1491" s="90">
        <v>317.10000000000002</v>
      </c>
      <c r="U1491" s="55" t="s">
        <v>1682</v>
      </c>
      <c r="V1491" s="55" t="s">
        <v>1933</v>
      </c>
      <c r="Y1491" s="55" t="s">
        <v>991</v>
      </c>
      <c r="Z1491" s="55" t="s">
        <v>1381</v>
      </c>
      <c r="AA1491" s="90" t="s">
        <v>1677</v>
      </c>
      <c r="AD1491" s="90">
        <v>1.41</v>
      </c>
      <c r="AH1491" s="55" t="s">
        <v>6378</v>
      </c>
      <c r="AM1491" s="55" t="s">
        <v>1309</v>
      </c>
      <c r="AN1491" s="185" t="s">
        <v>1491</v>
      </c>
      <c r="AO1491" s="185" t="s">
        <v>5150</v>
      </c>
      <c r="AQ1491" s="55" t="s">
        <v>1545</v>
      </c>
      <c r="AR1491" s="55" t="s">
        <v>132</v>
      </c>
      <c r="AS1491" s="55" t="s">
        <v>1575</v>
      </c>
      <c r="AT1491" s="181" t="s">
        <v>132</v>
      </c>
      <c r="AU1491" s="181" t="s">
        <v>5150</v>
      </c>
      <c r="AV1491" s="185" t="s">
        <v>176</v>
      </c>
      <c r="AW1491" s="55" t="s">
        <v>912</v>
      </c>
      <c r="AX1491" s="185" t="s">
        <v>176</v>
      </c>
      <c r="AY1491" s="55" t="s">
        <v>479</v>
      </c>
      <c r="AZ1491" s="55" t="s">
        <v>454</v>
      </c>
      <c r="BA1491" s="55" t="s">
        <v>999</v>
      </c>
      <c r="BB1491" s="55" t="s">
        <v>2082</v>
      </c>
      <c r="BC1491" s="55" t="s">
        <v>2082</v>
      </c>
      <c r="BD1491" s="55" t="s">
        <v>479</v>
      </c>
      <c r="BE1491" s="226" t="s">
        <v>1000</v>
      </c>
      <c r="BF1491" s="191" t="s">
        <v>479</v>
      </c>
      <c r="BG1491" s="55" t="s">
        <v>479</v>
      </c>
      <c r="BH1491" s="226" t="s">
        <v>1001</v>
      </c>
      <c r="BI1491" s="55" t="s">
        <v>479</v>
      </c>
      <c r="BJ1491" s="55" t="s">
        <v>479</v>
      </c>
      <c r="BK1491" s="55" t="s">
        <v>6269</v>
      </c>
      <c r="BM1491" s="192" t="s">
        <v>160</v>
      </c>
      <c r="BN1491" s="55">
        <v>4</v>
      </c>
      <c r="BO1491" s="55">
        <v>4</v>
      </c>
      <c r="BQ1491" s="55" t="s">
        <v>141</v>
      </c>
      <c r="BV1491" s="55" t="s">
        <v>993</v>
      </c>
      <c r="CH1491" s="90">
        <v>1.41</v>
      </c>
      <c r="CI1491" s="90">
        <v>1.47</v>
      </c>
      <c r="CM1491" s="65">
        <v>2.1800000000000002</v>
      </c>
      <c r="CN1491" s="65">
        <v>2.08</v>
      </c>
      <c r="CQ1491" s="65" t="s">
        <v>593</v>
      </c>
      <c r="CV1491" s="65" t="s">
        <v>3040</v>
      </c>
      <c r="DA1491" s="65" t="s">
        <v>4456</v>
      </c>
      <c r="DB1491" s="65">
        <v>2100</v>
      </c>
      <c r="DC1491" s="65">
        <v>2100</v>
      </c>
      <c r="DF1491" s="65" t="s">
        <v>232</v>
      </c>
      <c r="DG1491" s="65">
        <v>42</v>
      </c>
      <c r="DH1491" s="65">
        <v>31.8</v>
      </c>
      <c r="DL1491" s="65">
        <v>134</v>
      </c>
      <c r="DM1491" s="65">
        <v>89</v>
      </c>
      <c r="DQ1491" s="165">
        <v>6.4</v>
      </c>
      <c r="DR1491" s="165">
        <v>6.6</v>
      </c>
      <c r="EK1491" s="90">
        <v>809</v>
      </c>
      <c r="EL1491" s="90">
        <v>861</v>
      </c>
      <c r="EO1491" s="65" t="s">
        <v>1018</v>
      </c>
      <c r="GD1491" s="65">
        <v>27</v>
      </c>
      <c r="GE1491" s="65">
        <v>26</v>
      </c>
      <c r="GH1491" s="65" t="s">
        <v>164</v>
      </c>
      <c r="GP1491" s="292" t="s">
        <v>7494</v>
      </c>
      <c r="HX1491" s="65">
        <v>1600</v>
      </c>
      <c r="HY1491" s="65">
        <v>1670</v>
      </c>
      <c r="IB1491" s="65" t="s">
        <v>411</v>
      </c>
      <c r="IC1491" s="65">
        <v>21.4</v>
      </c>
      <c r="ID1491" s="65">
        <v>22.3</v>
      </c>
      <c r="JG1491" s="65">
        <f>169*0.000012</f>
        <v>2.0279999999999999E-3</v>
      </c>
      <c r="JH1491" s="65">
        <f>150*0.000012</f>
        <v>1.8E-3</v>
      </c>
      <c r="JK1491" s="65" t="s">
        <v>1008</v>
      </c>
      <c r="JR1491" s="65">
        <v>99999</v>
      </c>
      <c r="JS1491" s="65">
        <v>99999</v>
      </c>
      <c r="JU1491" s="55" t="s">
        <v>413</v>
      </c>
      <c r="JW1491" s="55" t="s">
        <v>837</v>
      </c>
    </row>
    <row r="1492" spans="1:283" x14ac:dyDescent="0.25">
      <c r="A1492" s="55">
        <v>1491</v>
      </c>
      <c r="B1492" s="12" t="s">
        <v>7067</v>
      </c>
      <c r="C1492" s="155">
        <v>68</v>
      </c>
      <c r="D1492" s="55" t="s">
        <v>3991</v>
      </c>
      <c r="E1492" s="90" t="s">
        <v>989</v>
      </c>
      <c r="G1492" s="55" t="s">
        <v>990</v>
      </c>
      <c r="H1492" s="55">
        <v>2011</v>
      </c>
      <c r="I1492" s="55">
        <v>1995</v>
      </c>
      <c r="J1492" s="55" t="s">
        <v>282</v>
      </c>
      <c r="K1492" s="55" t="s">
        <v>992</v>
      </c>
      <c r="L1492" s="55" t="s">
        <v>2737</v>
      </c>
      <c r="M1492" s="90">
        <f>43+18/60</f>
        <v>43.3</v>
      </c>
      <c r="N1492" s="90">
        <f>-89-21/60</f>
        <v>-89.35</v>
      </c>
      <c r="O1492" s="90">
        <v>317.10000000000002</v>
      </c>
      <c r="U1492" s="55" t="s">
        <v>1682</v>
      </c>
      <c r="V1492" s="55" t="s">
        <v>1933</v>
      </c>
      <c r="Y1492" s="55" t="s">
        <v>991</v>
      </c>
      <c r="Z1492" s="55" t="s">
        <v>1381</v>
      </c>
      <c r="AA1492" s="90" t="s">
        <v>1677</v>
      </c>
      <c r="AD1492" s="90">
        <v>1.41</v>
      </c>
      <c r="AH1492" s="55" t="s">
        <v>6378</v>
      </c>
      <c r="AM1492" s="55" t="s">
        <v>1309</v>
      </c>
      <c r="AN1492" s="185" t="s">
        <v>114</v>
      </c>
      <c r="AO1492" s="185" t="s">
        <v>5150</v>
      </c>
      <c r="AQ1492" s="55" t="s">
        <v>553</v>
      </c>
      <c r="AR1492" s="55" t="s">
        <v>132</v>
      </c>
      <c r="AS1492" s="55" t="s">
        <v>1575</v>
      </c>
      <c r="AT1492" s="181" t="s">
        <v>132</v>
      </c>
      <c r="AU1492" s="181" t="s">
        <v>5150</v>
      </c>
      <c r="AV1492" s="185" t="s">
        <v>176</v>
      </c>
      <c r="AW1492" s="55" t="s">
        <v>132</v>
      </c>
      <c r="AX1492" s="185" t="s">
        <v>176</v>
      </c>
      <c r="AY1492" s="55" t="s">
        <v>176</v>
      </c>
      <c r="AZ1492" s="55" t="s">
        <v>454</v>
      </c>
      <c r="BA1492" s="55" t="s">
        <v>999</v>
      </c>
      <c r="BB1492" s="55" t="s">
        <v>2082</v>
      </c>
      <c r="BC1492" s="55" t="s">
        <v>2082</v>
      </c>
      <c r="BD1492" s="55" t="s">
        <v>479</v>
      </c>
      <c r="BE1492" s="226" t="s">
        <v>1000</v>
      </c>
      <c r="BF1492" s="191" t="s">
        <v>479</v>
      </c>
      <c r="BG1492" s="55" t="s">
        <v>479</v>
      </c>
      <c r="BH1492" s="226" t="s">
        <v>1002</v>
      </c>
      <c r="BI1492" s="55" t="s">
        <v>479</v>
      </c>
      <c r="BJ1492" s="55" t="s">
        <v>479</v>
      </c>
      <c r="BK1492" s="55" t="s">
        <v>6269</v>
      </c>
      <c r="BM1492" s="192" t="s">
        <v>160</v>
      </c>
      <c r="BN1492" s="55">
        <v>4</v>
      </c>
      <c r="BO1492" s="55">
        <v>4</v>
      </c>
      <c r="BQ1492" s="55" t="s">
        <v>141</v>
      </c>
      <c r="BV1492" s="55" t="s">
        <v>994</v>
      </c>
      <c r="CH1492" s="90">
        <v>1.41</v>
      </c>
      <c r="CI1492" s="90">
        <v>1.48</v>
      </c>
      <c r="CM1492" s="65">
        <v>2.1800000000000002</v>
      </c>
      <c r="CN1492" s="65">
        <v>2.11</v>
      </c>
      <c r="CQ1492" s="65" t="s">
        <v>593</v>
      </c>
      <c r="CV1492" s="65" t="s">
        <v>3040</v>
      </c>
      <c r="DA1492" s="65" t="s">
        <v>4456</v>
      </c>
      <c r="DB1492" s="65">
        <v>2100</v>
      </c>
      <c r="DC1492" s="65">
        <v>2100</v>
      </c>
      <c r="DF1492" s="65" t="s">
        <v>232</v>
      </c>
      <c r="DG1492" s="65">
        <v>42</v>
      </c>
      <c r="DH1492" s="65">
        <v>40.799999999999997</v>
      </c>
      <c r="DL1492" s="65">
        <v>134</v>
      </c>
      <c r="DM1492" s="65">
        <v>72</v>
      </c>
      <c r="DQ1492" s="165">
        <v>6.4</v>
      </c>
      <c r="DR1492" s="165">
        <v>6.8</v>
      </c>
      <c r="EK1492" s="90">
        <v>809</v>
      </c>
      <c r="EL1492" s="90">
        <v>857</v>
      </c>
      <c r="EO1492" s="65" t="s">
        <v>1018</v>
      </c>
      <c r="GD1492" s="65">
        <v>27</v>
      </c>
      <c r="GE1492" s="65">
        <v>26</v>
      </c>
      <c r="GH1492" s="65" t="s">
        <v>164</v>
      </c>
      <c r="GP1492" s="292" t="s">
        <v>7494</v>
      </c>
      <c r="HX1492" s="65">
        <v>1600</v>
      </c>
      <c r="HY1492" s="65">
        <v>1610</v>
      </c>
      <c r="IB1492" s="65" t="s">
        <v>411</v>
      </c>
      <c r="IC1492" s="65">
        <v>21.4</v>
      </c>
      <c r="ID1492" s="65">
        <v>23.3</v>
      </c>
      <c r="JG1492" s="65">
        <f>169*0.000012</f>
        <v>2.0279999999999999E-3</v>
      </c>
      <c r="JH1492" s="65">
        <f>144*0.000012</f>
        <v>1.7279999999999999E-3</v>
      </c>
      <c r="JK1492" s="65" t="s">
        <v>1008</v>
      </c>
      <c r="JR1492" s="65">
        <v>99999</v>
      </c>
      <c r="JS1492" s="65">
        <v>99999</v>
      </c>
      <c r="JU1492" s="55" t="s">
        <v>413</v>
      </c>
      <c r="JW1492" s="55" t="s">
        <v>837</v>
      </c>
    </row>
    <row r="1493" spans="1:283" x14ac:dyDescent="0.25">
      <c r="A1493" s="55">
        <v>1492</v>
      </c>
      <c r="B1493" s="12" t="s">
        <v>7067</v>
      </c>
      <c r="C1493" s="155">
        <v>68</v>
      </c>
      <c r="D1493" s="55" t="s">
        <v>3991</v>
      </c>
      <c r="E1493" s="90" t="s">
        <v>989</v>
      </c>
      <c r="G1493" s="55" t="s">
        <v>990</v>
      </c>
      <c r="H1493" s="55">
        <v>2011</v>
      </c>
      <c r="I1493" s="55">
        <v>1995</v>
      </c>
      <c r="J1493" s="55" t="s">
        <v>282</v>
      </c>
      <c r="K1493" s="55" t="s">
        <v>992</v>
      </c>
      <c r="L1493" s="55" t="s">
        <v>2737</v>
      </c>
      <c r="M1493" s="90">
        <f>43+18/60</f>
        <v>43.3</v>
      </c>
      <c r="N1493" s="90">
        <f>-89-21/60</f>
        <v>-89.35</v>
      </c>
      <c r="O1493" s="90">
        <v>317.10000000000002</v>
      </c>
      <c r="U1493" s="55" t="s">
        <v>1682</v>
      </c>
      <c r="V1493" s="55" t="s">
        <v>1933</v>
      </c>
      <c r="Y1493" s="55" t="s">
        <v>991</v>
      </c>
      <c r="Z1493" s="55" t="s">
        <v>1381</v>
      </c>
      <c r="AA1493" s="90" t="s">
        <v>1677</v>
      </c>
      <c r="AD1493" s="90">
        <v>1.41</v>
      </c>
      <c r="AH1493" s="55" t="s">
        <v>6378</v>
      </c>
      <c r="AM1493" s="55" t="s">
        <v>1309</v>
      </c>
      <c r="AN1493" s="185" t="s">
        <v>114</v>
      </c>
      <c r="AO1493" s="185" t="s">
        <v>5150</v>
      </c>
      <c r="AQ1493" s="55" t="s">
        <v>553</v>
      </c>
      <c r="AR1493" s="55" t="s">
        <v>132</v>
      </c>
      <c r="AS1493" s="55" t="s">
        <v>1575</v>
      </c>
      <c r="AT1493" s="181" t="s">
        <v>132</v>
      </c>
      <c r="AU1493" s="181" t="s">
        <v>5150</v>
      </c>
      <c r="AV1493" s="185" t="s">
        <v>176</v>
      </c>
      <c r="AW1493" s="55" t="s">
        <v>132</v>
      </c>
      <c r="AX1493" s="185" t="s">
        <v>176</v>
      </c>
      <c r="AY1493" s="55" t="s">
        <v>176</v>
      </c>
      <c r="AZ1493" s="55" t="s">
        <v>454</v>
      </c>
      <c r="BA1493" s="55" t="s">
        <v>999</v>
      </c>
      <c r="BB1493" s="55" t="s">
        <v>2082</v>
      </c>
      <c r="BC1493" s="55" t="s">
        <v>2082</v>
      </c>
      <c r="BD1493" s="55" t="s">
        <v>479</v>
      </c>
      <c r="BE1493" s="226" t="s">
        <v>1000</v>
      </c>
      <c r="BF1493" s="191" t="s">
        <v>479</v>
      </c>
      <c r="BG1493" s="55" t="s">
        <v>479</v>
      </c>
      <c r="BH1493" s="226" t="s">
        <v>1003</v>
      </c>
      <c r="BI1493" s="55" t="s">
        <v>479</v>
      </c>
      <c r="BJ1493" s="55" t="s">
        <v>479</v>
      </c>
      <c r="BK1493" s="55" t="s">
        <v>6269</v>
      </c>
      <c r="BM1493" s="192" t="s">
        <v>160</v>
      </c>
      <c r="BN1493" s="55">
        <v>4</v>
      </c>
      <c r="BO1493" s="55">
        <v>4</v>
      </c>
      <c r="BQ1493" s="55" t="s">
        <v>141</v>
      </c>
      <c r="BV1493" s="55" t="s">
        <v>995</v>
      </c>
      <c r="CH1493" s="90">
        <v>1.41</v>
      </c>
      <c r="CI1493" s="90">
        <v>1.37</v>
      </c>
      <c r="CM1493" s="65">
        <v>2.1800000000000002</v>
      </c>
      <c r="CN1493" s="65">
        <v>2.2000000000000002</v>
      </c>
      <c r="CQ1493" s="65" t="s">
        <v>593</v>
      </c>
      <c r="CV1493" s="65" t="s">
        <v>3040</v>
      </c>
      <c r="DA1493" s="65" t="s">
        <v>4456</v>
      </c>
      <c r="DB1493" s="65">
        <v>2100</v>
      </c>
      <c r="DC1493" s="65">
        <v>2200</v>
      </c>
      <c r="DF1493" s="65" t="s">
        <v>232</v>
      </c>
      <c r="DG1493" s="65">
        <v>42</v>
      </c>
      <c r="DH1493" s="65">
        <v>50</v>
      </c>
      <c r="DL1493" s="65">
        <v>134</v>
      </c>
      <c r="DM1493" s="65">
        <v>83</v>
      </c>
      <c r="DQ1493" s="165">
        <v>6.4</v>
      </c>
      <c r="DR1493" s="165">
        <v>6.6</v>
      </c>
      <c r="EK1493" s="90">
        <v>809</v>
      </c>
      <c r="EL1493" s="90">
        <v>842</v>
      </c>
      <c r="EO1493" s="65" t="s">
        <v>1018</v>
      </c>
      <c r="GD1493" s="65">
        <v>27</v>
      </c>
      <c r="GE1493" s="65">
        <v>25</v>
      </c>
      <c r="GH1493" s="65" t="s">
        <v>164</v>
      </c>
      <c r="GP1493" s="292" t="s">
        <v>7494</v>
      </c>
      <c r="HX1493" s="65">
        <v>1600</v>
      </c>
      <c r="HY1493" s="65">
        <v>1540</v>
      </c>
      <c r="IB1493" s="65" t="s">
        <v>411</v>
      </c>
      <c r="IC1493" s="65">
        <v>21.4</v>
      </c>
      <c r="ID1493" s="65">
        <v>25.9</v>
      </c>
      <c r="JG1493" s="65">
        <f>169*0.000012</f>
        <v>2.0279999999999999E-3</v>
      </c>
      <c r="JH1493" s="65">
        <f>114*0.000012</f>
        <v>1.3680000000000001E-3</v>
      </c>
      <c r="JK1493" s="65" t="s">
        <v>1017</v>
      </c>
      <c r="JR1493" s="65">
        <v>99999</v>
      </c>
      <c r="JS1493" s="65">
        <v>99999</v>
      </c>
      <c r="JU1493" s="55" t="s">
        <v>413</v>
      </c>
      <c r="JW1493" s="55" t="s">
        <v>837</v>
      </c>
    </row>
    <row r="1494" spans="1:283" x14ac:dyDescent="0.25">
      <c r="A1494" s="55">
        <v>1493</v>
      </c>
      <c r="B1494" s="12" t="s">
        <v>7067</v>
      </c>
      <c r="C1494" s="155">
        <v>68</v>
      </c>
      <c r="D1494" s="55" t="s">
        <v>3991</v>
      </c>
      <c r="E1494" s="90" t="s">
        <v>989</v>
      </c>
      <c r="G1494" s="55" t="s">
        <v>990</v>
      </c>
      <c r="H1494" s="55">
        <v>2011</v>
      </c>
      <c r="I1494" s="55">
        <v>1995</v>
      </c>
      <c r="J1494" s="55" t="s">
        <v>282</v>
      </c>
      <c r="K1494" s="55" t="s">
        <v>992</v>
      </c>
      <c r="L1494" s="55" t="s">
        <v>2737</v>
      </c>
      <c r="M1494" s="90">
        <f>43+18/60</f>
        <v>43.3</v>
      </c>
      <c r="N1494" s="90">
        <f>-89-21/60</f>
        <v>-89.35</v>
      </c>
      <c r="O1494" s="90">
        <v>317.10000000000002</v>
      </c>
      <c r="U1494" s="55" t="s">
        <v>1682</v>
      </c>
      <c r="V1494" s="55" t="s">
        <v>1933</v>
      </c>
      <c r="Y1494" s="55" t="s">
        <v>991</v>
      </c>
      <c r="Z1494" s="55" t="s">
        <v>1381</v>
      </c>
      <c r="AA1494" s="90" t="s">
        <v>1677</v>
      </c>
      <c r="AD1494" s="90">
        <v>1.41</v>
      </c>
      <c r="AH1494" s="55" t="s">
        <v>6378</v>
      </c>
      <c r="AM1494" s="55" t="s">
        <v>1309</v>
      </c>
      <c r="AN1494" s="185" t="s">
        <v>114</v>
      </c>
      <c r="AO1494" s="185" t="s">
        <v>5150</v>
      </c>
      <c r="AQ1494" s="55" t="s">
        <v>553</v>
      </c>
      <c r="AR1494" s="55" t="s">
        <v>132</v>
      </c>
      <c r="AS1494" s="55" t="s">
        <v>1575</v>
      </c>
      <c r="AT1494" s="181" t="s">
        <v>132</v>
      </c>
      <c r="AU1494" s="181" t="s">
        <v>5150</v>
      </c>
      <c r="AV1494" s="185" t="s">
        <v>176</v>
      </c>
      <c r="AW1494" s="55" t="s">
        <v>132</v>
      </c>
      <c r="AX1494" s="185" t="s">
        <v>176</v>
      </c>
      <c r="AY1494" s="55" t="s">
        <v>176</v>
      </c>
      <c r="AZ1494" s="55" t="s">
        <v>454</v>
      </c>
      <c r="BA1494" s="55" t="s">
        <v>999</v>
      </c>
      <c r="BB1494" s="55" t="s">
        <v>2082</v>
      </c>
      <c r="BC1494" s="55" t="s">
        <v>2082</v>
      </c>
      <c r="BD1494" s="55" t="s">
        <v>479</v>
      </c>
      <c r="BE1494" s="226" t="s">
        <v>1000</v>
      </c>
      <c r="BF1494" s="191" t="s">
        <v>479</v>
      </c>
      <c r="BG1494" s="55" t="s">
        <v>479</v>
      </c>
      <c r="BH1494" s="226" t="s">
        <v>1004</v>
      </c>
      <c r="BI1494" s="55" t="s">
        <v>479</v>
      </c>
      <c r="BJ1494" s="55" t="s">
        <v>479</v>
      </c>
      <c r="BK1494" s="55" t="s">
        <v>6269</v>
      </c>
      <c r="BM1494" s="192" t="s">
        <v>160</v>
      </c>
      <c r="BN1494" s="55">
        <v>4</v>
      </c>
      <c r="BO1494" s="55">
        <v>4</v>
      </c>
      <c r="BQ1494" s="55" t="s">
        <v>141</v>
      </c>
      <c r="BV1494" s="55" t="s">
        <v>996</v>
      </c>
      <c r="CH1494" s="90">
        <v>1.41</v>
      </c>
      <c r="CI1494" s="90">
        <v>1.37</v>
      </c>
      <c r="CM1494" s="65">
        <v>2.1800000000000002</v>
      </c>
      <c r="CN1494" s="65">
        <v>2.2999999999999998</v>
      </c>
      <c r="CQ1494" s="65" t="s">
        <v>593</v>
      </c>
      <c r="CV1494" s="65" t="s">
        <v>3040</v>
      </c>
      <c r="DA1494" s="65" t="s">
        <v>4456</v>
      </c>
      <c r="DB1494" s="65">
        <v>2100</v>
      </c>
      <c r="DC1494" s="65">
        <v>2300</v>
      </c>
      <c r="DF1494" s="65" t="s">
        <v>232</v>
      </c>
      <c r="DG1494" s="65">
        <v>42</v>
      </c>
      <c r="DH1494" s="65">
        <v>46.8</v>
      </c>
      <c r="DL1494" s="65">
        <v>134</v>
      </c>
      <c r="DM1494" s="65">
        <v>79</v>
      </c>
      <c r="DQ1494" s="165">
        <v>6.4</v>
      </c>
      <c r="DR1494" s="165">
        <v>6.8</v>
      </c>
      <c r="EK1494" s="90">
        <v>809</v>
      </c>
      <c r="EL1494" s="90">
        <v>851</v>
      </c>
      <c r="EO1494" s="65" t="s">
        <v>1018</v>
      </c>
      <c r="GD1494" s="65">
        <v>27</v>
      </c>
      <c r="GE1494" s="65">
        <v>26</v>
      </c>
      <c r="GH1494" s="65" t="s">
        <v>164</v>
      </c>
      <c r="GP1494" s="292" t="s">
        <v>7494</v>
      </c>
      <c r="HX1494" s="65">
        <v>1600</v>
      </c>
      <c r="HY1494" s="65">
        <v>1840</v>
      </c>
      <c r="IB1494" s="65" t="s">
        <v>411</v>
      </c>
      <c r="IC1494" s="65">
        <v>21.4</v>
      </c>
      <c r="ID1494" s="65">
        <v>29.8</v>
      </c>
      <c r="JG1494" s="65">
        <f>169*0.000012</f>
        <v>2.0279999999999999E-3</v>
      </c>
      <c r="JH1494" s="65">
        <f>134*0.000012</f>
        <v>1.6080000000000001E-3</v>
      </c>
      <c r="JK1494" s="65" t="s">
        <v>1017</v>
      </c>
      <c r="JR1494" s="65">
        <v>99999</v>
      </c>
      <c r="JS1494" s="65">
        <v>99999</v>
      </c>
      <c r="JU1494" s="55" t="s">
        <v>413</v>
      </c>
      <c r="JW1494" s="55" t="s">
        <v>837</v>
      </c>
    </row>
    <row r="1495" spans="1:283" x14ac:dyDescent="0.25">
      <c r="A1495" s="55">
        <v>1494</v>
      </c>
      <c r="B1495" s="12" t="s">
        <v>7067</v>
      </c>
      <c r="C1495" s="155">
        <v>68</v>
      </c>
      <c r="D1495" s="55" t="s">
        <v>3991</v>
      </c>
      <c r="E1495" s="90" t="s">
        <v>989</v>
      </c>
      <c r="G1495" s="55" t="s">
        <v>990</v>
      </c>
      <c r="H1495" s="55">
        <v>2011</v>
      </c>
      <c r="I1495" s="55">
        <v>1995</v>
      </c>
      <c r="J1495" s="55" t="s">
        <v>282</v>
      </c>
      <c r="K1495" s="55" t="s">
        <v>992</v>
      </c>
      <c r="L1495" s="55" t="s">
        <v>2737</v>
      </c>
      <c r="M1495" s="90">
        <f>43+18/60</f>
        <v>43.3</v>
      </c>
      <c r="N1495" s="90">
        <f>-89-21/60</f>
        <v>-89.35</v>
      </c>
      <c r="O1495" s="90">
        <v>317.10000000000002</v>
      </c>
      <c r="U1495" s="55" t="s">
        <v>1682</v>
      </c>
      <c r="V1495" s="55" t="s">
        <v>1933</v>
      </c>
      <c r="Y1495" s="55" t="s">
        <v>991</v>
      </c>
      <c r="Z1495" s="55" t="s">
        <v>1381</v>
      </c>
      <c r="AA1495" s="90" t="s">
        <v>1677</v>
      </c>
      <c r="AD1495" s="90">
        <v>1.41</v>
      </c>
      <c r="AH1495" s="55" t="s">
        <v>6378</v>
      </c>
      <c r="AM1495" s="55" t="s">
        <v>1309</v>
      </c>
      <c r="AN1495" s="185" t="s">
        <v>114</v>
      </c>
      <c r="AO1495" s="185" t="s">
        <v>5150</v>
      </c>
      <c r="AQ1495" s="55" t="s">
        <v>553</v>
      </c>
      <c r="AR1495" s="55" t="s">
        <v>132</v>
      </c>
      <c r="AS1495" s="55" t="s">
        <v>1575</v>
      </c>
      <c r="AT1495" s="181" t="s">
        <v>132</v>
      </c>
      <c r="AU1495" s="181" t="s">
        <v>5150</v>
      </c>
      <c r="AV1495" s="185" t="s">
        <v>176</v>
      </c>
      <c r="AW1495" s="55" t="s">
        <v>132</v>
      </c>
      <c r="AX1495" s="185" t="s">
        <v>176</v>
      </c>
      <c r="AY1495" s="55" t="s">
        <v>176</v>
      </c>
      <c r="AZ1495" s="55" t="s">
        <v>454</v>
      </c>
      <c r="BA1495" s="55" t="s">
        <v>999</v>
      </c>
      <c r="BB1495" s="55" t="s">
        <v>2082</v>
      </c>
      <c r="BC1495" s="55" t="s">
        <v>2082</v>
      </c>
      <c r="BD1495" s="55" t="s">
        <v>479</v>
      </c>
      <c r="BE1495" s="226" t="s">
        <v>1000</v>
      </c>
      <c r="BF1495" s="191" t="s">
        <v>479</v>
      </c>
      <c r="BG1495" s="55" t="s">
        <v>479</v>
      </c>
      <c r="BH1495" s="226" t="s">
        <v>1005</v>
      </c>
      <c r="BI1495" s="55" t="s">
        <v>479</v>
      </c>
      <c r="BJ1495" s="55" t="s">
        <v>479</v>
      </c>
      <c r="BK1495" s="55" t="s">
        <v>6269</v>
      </c>
      <c r="BM1495" s="192" t="s">
        <v>160</v>
      </c>
      <c r="BN1495" s="55">
        <v>4</v>
      </c>
      <c r="BO1495" s="55">
        <v>4</v>
      </c>
      <c r="BQ1495" s="55" t="s">
        <v>141</v>
      </c>
      <c r="BV1495" s="55" t="s">
        <v>997</v>
      </c>
      <c r="CH1495" s="90">
        <v>1.41</v>
      </c>
      <c r="CI1495" s="90">
        <v>1.41</v>
      </c>
      <c r="CM1495" s="65">
        <v>2.1800000000000002</v>
      </c>
      <c r="CN1495" s="65">
        <v>2.4</v>
      </c>
      <c r="CQ1495" s="65" t="s">
        <v>593</v>
      </c>
      <c r="CV1495" s="65" t="s">
        <v>3040</v>
      </c>
      <c r="DA1495" s="65" t="s">
        <v>4456</v>
      </c>
      <c r="DB1495" s="65">
        <v>2100</v>
      </c>
      <c r="DC1495" s="65">
        <v>2300</v>
      </c>
      <c r="DF1495" s="65" t="s">
        <v>232</v>
      </c>
      <c r="DG1495" s="65">
        <v>42</v>
      </c>
      <c r="DH1495" s="65">
        <v>50.5</v>
      </c>
      <c r="DL1495" s="65">
        <v>134</v>
      </c>
      <c r="DM1495" s="65">
        <v>75</v>
      </c>
      <c r="DQ1495" s="165">
        <v>6.4</v>
      </c>
      <c r="DR1495" s="165">
        <v>6.7</v>
      </c>
      <c r="EK1495" s="90">
        <v>809</v>
      </c>
      <c r="EL1495" s="90">
        <v>882</v>
      </c>
      <c r="EO1495" s="65" t="s">
        <v>1018</v>
      </c>
      <c r="GD1495" s="65">
        <v>27</v>
      </c>
      <c r="GE1495" s="65">
        <v>26</v>
      </c>
      <c r="GH1495" s="65" t="s">
        <v>164</v>
      </c>
      <c r="GP1495" s="292" t="s">
        <v>7494</v>
      </c>
      <c r="HX1495" s="65">
        <v>1600</v>
      </c>
      <c r="HY1495" s="65">
        <v>1820</v>
      </c>
      <c r="IB1495" s="65" t="s">
        <v>411</v>
      </c>
      <c r="IC1495" s="65">
        <v>21.4</v>
      </c>
      <c r="ID1495" s="65">
        <v>30.9</v>
      </c>
      <c r="JG1495" s="65">
        <f>169*0.000012</f>
        <v>2.0279999999999999E-3</v>
      </c>
      <c r="JH1495" s="65">
        <f>95*0.000012</f>
        <v>1.14E-3</v>
      </c>
      <c r="JK1495" s="65" t="s">
        <v>1017</v>
      </c>
      <c r="JR1495" s="65">
        <v>99999</v>
      </c>
      <c r="JS1495" s="65">
        <v>99999</v>
      </c>
      <c r="JU1495" s="55" t="s">
        <v>413</v>
      </c>
      <c r="JW1495" s="55" t="s">
        <v>837</v>
      </c>
    </row>
    <row r="1496" spans="1:283" x14ac:dyDescent="0.25">
      <c r="A1496" s="55">
        <v>1495</v>
      </c>
      <c r="B1496" s="12" t="s">
        <v>7067</v>
      </c>
      <c r="C1496" s="155">
        <v>68</v>
      </c>
      <c r="D1496" s="55" t="s">
        <v>3991</v>
      </c>
      <c r="E1496" s="90" t="s">
        <v>989</v>
      </c>
      <c r="G1496" s="55" t="s">
        <v>990</v>
      </c>
      <c r="H1496" s="55">
        <v>2011</v>
      </c>
      <c r="I1496" s="55">
        <v>1995</v>
      </c>
      <c r="J1496" s="55" t="s">
        <v>282</v>
      </c>
      <c r="K1496" s="55" t="s">
        <v>992</v>
      </c>
      <c r="L1496" s="55" t="s">
        <v>2737</v>
      </c>
      <c r="M1496" s="90">
        <f>43+18/60</f>
        <v>43.3</v>
      </c>
      <c r="N1496" s="90">
        <f>-89-21/60</f>
        <v>-89.35</v>
      </c>
      <c r="O1496" s="90">
        <v>317.10000000000002</v>
      </c>
      <c r="U1496" s="55" t="s">
        <v>1682</v>
      </c>
      <c r="V1496" s="55" t="s">
        <v>1933</v>
      </c>
      <c r="Y1496" s="55" t="s">
        <v>991</v>
      </c>
      <c r="Z1496" s="55" t="s">
        <v>1381</v>
      </c>
      <c r="AA1496" s="90" t="s">
        <v>1677</v>
      </c>
      <c r="AD1496" s="90">
        <v>1.41</v>
      </c>
      <c r="AH1496" s="55" t="s">
        <v>6378</v>
      </c>
      <c r="AM1496" s="55" t="s">
        <v>1309</v>
      </c>
      <c r="AN1496" s="185" t="s">
        <v>610</v>
      </c>
      <c r="AO1496" s="185" t="s">
        <v>5150</v>
      </c>
      <c r="AQ1496" s="55" t="s">
        <v>610</v>
      </c>
      <c r="AR1496" s="55" t="s">
        <v>132</v>
      </c>
      <c r="AS1496" s="55" t="s">
        <v>1575</v>
      </c>
      <c r="AT1496" s="181" t="s">
        <v>132</v>
      </c>
      <c r="AU1496" s="181" t="s">
        <v>5150</v>
      </c>
      <c r="AV1496" s="185" t="s">
        <v>176</v>
      </c>
      <c r="AW1496" s="55" t="s">
        <v>1571</v>
      </c>
      <c r="AX1496" s="185" t="s">
        <v>176</v>
      </c>
      <c r="AY1496" s="55" t="s">
        <v>479</v>
      </c>
      <c r="AZ1496" s="55" t="s">
        <v>454</v>
      </c>
      <c r="BA1496" s="55" t="s">
        <v>999</v>
      </c>
      <c r="BB1496" s="55" t="s">
        <v>2082</v>
      </c>
      <c r="BC1496" s="55" t="s">
        <v>2082</v>
      </c>
      <c r="BD1496" s="55" t="s">
        <v>479</v>
      </c>
      <c r="BE1496" s="226" t="s">
        <v>1000</v>
      </c>
      <c r="BF1496" s="191" t="s">
        <v>479</v>
      </c>
      <c r="BG1496" s="55" t="s">
        <v>479</v>
      </c>
      <c r="BH1496" s="226" t="s">
        <v>1006</v>
      </c>
      <c r="BI1496" s="55" t="s">
        <v>479</v>
      </c>
      <c r="BJ1496" s="55" t="s">
        <v>479</v>
      </c>
      <c r="BK1496" s="55" t="s">
        <v>6269</v>
      </c>
      <c r="BM1496" s="192" t="s">
        <v>160</v>
      </c>
      <c r="BN1496" s="55">
        <v>4</v>
      </c>
      <c r="BO1496" s="55">
        <v>4</v>
      </c>
      <c r="BQ1496" s="55" t="s">
        <v>141</v>
      </c>
      <c r="BV1496" s="55" t="s">
        <v>998</v>
      </c>
      <c r="CH1496" s="90">
        <v>1.41</v>
      </c>
      <c r="CI1496" s="90">
        <v>1.42</v>
      </c>
      <c r="CM1496" s="65">
        <v>2.1800000000000002</v>
      </c>
      <c r="CN1496" s="65">
        <v>2.2400000000000002</v>
      </c>
      <c r="CQ1496" s="65" t="s">
        <v>593</v>
      </c>
      <c r="CV1496" s="65" t="s">
        <v>3040</v>
      </c>
      <c r="DA1496" s="65" t="s">
        <v>4456</v>
      </c>
      <c r="DB1496" s="65">
        <v>2100</v>
      </c>
      <c r="DC1496" s="65">
        <v>2100</v>
      </c>
      <c r="DF1496" s="65" t="s">
        <v>232</v>
      </c>
      <c r="DG1496" s="65">
        <v>42</v>
      </c>
      <c r="DH1496" s="65">
        <v>36</v>
      </c>
      <c r="DL1496" s="65">
        <v>134</v>
      </c>
      <c r="DM1496" s="65">
        <v>75</v>
      </c>
      <c r="DQ1496" s="165">
        <v>6.4</v>
      </c>
      <c r="DR1496" s="165">
        <v>6.5</v>
      </c>
      <c r="EK1496" s="90">
        <v>809</v>
      </c>
      <c r="EL1496" s="90">
        <v>873</v>
      </c>
      <c r="EO1496" s="65" t="s">
        <v>1018</v>
      </c>
      <c r="GD1496" s="65">
        <v>27</v>
      </c>
      <c r="GE1496" s="65">
        <v>23</v>
      </c>
      <c r="GH1496" s="65" t="s">
        <v>164</v>
      </c>
      <c r="GP1496" s="292" t="s">
        <v>7494</v>
      </c>
      <c r="HX1496" s="65">
        <v>1600</v>
      </c>
      <c r="HY1496" s="65">
        <v>1380</v>
      </c>
      <c r="IB1496" s="65" t="s">
        <v>411</v>
      </c>
      <c r="IC1496" s="65">
        <v>21.4</v>
      </c>
      <c r="ID1496" s="65">
        <v>24.4</v>
      </c>
      <c r="JG1496" s="65">
        <f>169*0.000012</f>
        <v>2.0279999999999999E-3</v>
      </c>
      <c r="JH1496" s="65">
        <f>193*0.000012</f>
        <v>2.3159999999999999E-3</v>
      </c>
      <c r="JK1496" s="65" t="s">
        <v>1017</v>
      </c>
      <c r="JR1496" s="65">
        <v>99999</v>
      </c>
      <c r="JS1496" s="65">
        <v>99999</v>
      </c>
      <c r="JU1496" s="55" t="s">
        <v>413</v>
      </c>
      <c r="JW1496" s="55" t="s">
        <v>837</v>
      </c>
    </row>
    <row r="1497" spans="1:283" x14ac:dyDescent="0.25">
      <c r="A1497" s="55">
        <v>1496</v>
      </c>
      <c r="B1497" s="12" t="s">
        <v>7067</v>
      </c>
      <c r="C1497" s="155">
        <v>68</v>
      </c>
      <c r="D1497" s="55" t="s">
        <v>3991</v>
      </c>
      <c r="E1497" s="90" t="s">
        <v>989</v>
      </c>
      <c r="G1497" s="55" t="s">
        <v>990</v>
      </c>
      <c r="H1497" s="55">
        <v>2011</v>
      </c>
      <c r="I1497" s="55">
        <v>1995</v>
      </c>
      <c r="J1497" s="55" t="s">
        <v>282</v>
      </c>
      <c r="K1497" s="55" t="s">
        <v>992</v>
      </c>
      <c r="L1497" s="55" t="s">
        <v>2737</v>
      </c>
      <c r="M1497" s="90">
        <f>43+18/60</f>
        <v>43.3</v>
      </c>
      <c r="N1497" s="90">
        <f>-89-21/60</f>
        <v>-89.35</v>
      </c>
      <c r="O1497" s="90">
        <v>317.10000000000002</v>
      </c>
      <c r="U1497" s="55" t="s">
        <v>1682</v>
      </c>
      <c r="V1497" s="55" t="s">
        <v>1933</v>
      </c>
      <c r="Y1497" s="55" t="s">
        <v>991</v>
      </c>
      <c r="Z1497" s="55" t="s">
        <v>1381</v>
      </c>
      <c r="AA1497" s="90" t="s">
        <v>1677</v>
      </c>
      <c r="AD1497" s="90">
        <v>1.38</v>
      </c>
      <c r="AH1497" s="55" t="s">
        <v>6378</v>
      </c>
      <c r="AM1497" s="55" t="s">
        <v>1309</v>
      </c>
      <c r="AN1497" s="185" t="s">
        <v>1491</v>
      </c>
      <c r="AO1497" s="185" t="s">
        <v>5150</v>
      </c>
      <c r="AQ1497" s="55" t="s">
        <v>1545</v>
      </c>
      <c r="AR1497" s="55" t="s">
        <v>1553</v>
      </c>
      <c r="AS1497" s="55" t="s">
        <v>1575</v>
      </c>
      <c r="AT1497" s="181" t="s">
        <v>658</v>
      </c>
      <c r="AU1497" s="181" t="s">
        <v>5150</v>
      </c>
      <c r="AV1497" s="185" t="s">
        <v>176</v>
      </c>
      <c r="AW1497" s="55" t="s">
        <v>912</v>
      </c>
      <c r="AX1497" s="185" t="s">
        <v>176</v>
      </c>
      <c r="AY1497" s="55" t="s">
        <v>176</v>
      </c>
      <c r="AZ1497" s="55" t="s">
        <v>1016</v>
      </c>
      <c r="BA1497" s="55" t="s">
        <v>999</v>
      </c>
      <c r="BB1497" s="55" t="s">
        <v>2082</v>
      </c>
      <c r="BC1497" s="55" t="s">
        <v>2082</v>
      </c>
      <c r="BD1497" s="55" t="s">
        <v>479</v>
      </c>
      <c r="BE1497" s="226" t="s">
        <v>1015</v>
      </c>
      <c r="BF1497" s="191" t="s">
        <v>479</v>
      </c>
      <c r="BG1497" s="55" t="s">
        <v>479</v>
      </c>
      <c r="BH1497" s="226" t="s">
        <v>1001</v>
      </c>
      <c r="BI1497" s="55" t="s">
        <v>479</v>
      </c>
      <c r="BJ1497" s="55" t="s">
        <v>479</v>
      </c>
      <c r="BK1497" s="55" t="s">
        <v>6269</v>
      </c>
      <c r="BM1497" s="192" t="s">
        <v>160</v>
      </c>
      <c r="BN1497" s="55">
        <v>4</v>
      </c>
      <c r="BO1497" s="55">
        <v>4</v>
      </c>
      <c r="BQ1497" s="55" t="s">
        <v>141</v>
      </c>
      <c r="BV1497" s="55" t="s">
        <v>1009</v>
      </c>
      <c r="CH1497" s="90">
        <v>1.38</v>
      </c>
      <c r="CI1497" s="90">
        <v>1.47</v>
      </c>
      <c r="CM1497" s="65">
        <v>1.95</v>
      </c>
      <c r="CN1497" s="65">
        <v>2.08</v>
      </c>
      <c r="CQ1497" s="65" t="s">
        <v>593</v>
      </c>
      <c r="CV1497" s="65" t="s">
        <v>3040</v>
      </c>
      <c r="DA1497" s="65" t="s">
        <v>4456</v>
      </c>
      <c r="DB1497" s="65">
        <v>1900</v>
      </c>
      <c r="DC1497" s="65">
        <v>2100</v>
      </c>
      <c r="DF1497" s="65" t="s">
        <v>232</v>
      </c>
      <c r="DG1497" s="65">
        <v>33</v>
      </c>
      <c r="DH1497" s="65">
        <v>31.8</v>
      </c>
      <c r="DL1497" s="65">
        <v>97</v>
      </c>
      <c r="DM1497" s="65">
        <v>89</v>
      </c>
      <c r="DQ1497" s="165">
        <v>6.5</v>
      </c>
      <c r="DR1497" s="165">
        <v>6.6</v>
      </c>
      <c r="EK1497" s="90">
        <v>887</v>
      </c>
      <c r="EL1497" s="90">
        <v>861</v>
      </c>
      <c r="EO1497" s="65" t="s">
        <v>1018</v>
      </c>
      <c r="GD1497" s="65">
        <v>26</v>
      </c>
      <c r="GE1497" s="65">
        <v>26</v>
      </c>
      <c r="GH1497" s="65" t="s">
        <v>164</v>
      </c>
      <c r="GP1497" s="292" t="s">
        <v>7494</v>
      </c>
      <c r="HX1497" s="65">
        <v>1380</v>
      </c>
      <c r="HY1497" s="65">
        <v>1670</v>
      </c>
      <c r="IB1497" s="65" t="s">
        <v>411</v>
      </c>
      <c r="IC1497" s="65">
        <v>17.100000000000001</v>
      </c>
      <c r="ID1497" s="65">
        <v>22.3</v>
      </c>
      <c r="JG1497" s="65">
        <f>109*0.000012</f>
        <v>1.3080000000000001E-3</v>
      </c>
      <c r="JH1497" s="65">
        <v>1.8E-3</v>
      </c>
      <c r="JK1497" s="65" t="s">
        <v>1008</v>
      </c>
      <c r="JR1497" s="65">
        <v>99999</v>
      </c>
      <c r="JS1497" s="65">
        <v>99999</v>
      </c>
      <c r="JU1497" s="55" t="s">
        <v>413</v>
      </c>
      <c r="JW1497" s="55" t="s">
        <v>837</v>
      </c>
    </row>
    <row r="1498" spans="1:283" x14ac:dyDescent="0.25">
      <c r="A1498" s="55">
        <v>1497</v>
      </c>
      <c r="B1498" s="12" t="s">
        <v>7067</v>
      </c>
      <c r="C1498" s="155">
        <v>68</v>
      </c>
      <c r="D1498" s="55" t="s">
        <v>3991</v>
      </c>
      <c r="E1498" s="90" t="s">
        <v>989</v>
      </c>
      <c r="G1498" s="55" t="s">
        <v>990</v>
      </c>
      <c r="H1498" s="55">
        <v>2011</v>
      </c>
      <c r="I1498" s="55">
        <v>1995</v>
      </c>
      <c r="J1498" s="55" t="s">
        <v>282</v>
      </c>
      <c r="K1498" s="55" t="s">
        <v>992</v>
      </c>
      <c r="L1498" s="55" t="s">
        <v>2737</v>
      </c>
      <c r="M1498" s="90">
        <f>43+18/60</f>
        <v>43.3</v>
      </c>
      <c r="N1498" s="90">
        <f>-89-21/60</f>
        <v>-89.35</v>
      </c>
      <c r="O1498" s="90">
        <v>317.10000000000002</v>
      </c>
      <c r="U1498" s="55" t="s">
        <v>1682</v>
      </c>
      <c r="V1498" s="55" t="s">
        <v>1933</v>
      </c>
      <c r="Y1498" s="55" t="s">
        <v>991</v>
      </c>
      <c r="Z1498" s="55" t="s">
        <v>1381</v>
      </c>
      <c r="AA1498" s="90" t="s">
        <v>1677</v>
      </c>
      <c r="AD1498" s="90">
        <v>1.38</v>
      </c>
      <c r="AH1498" s="55" t="s">
        <v>6378</v>
      </c>
      <c r="AM1498" s="55" t="s">
        <v>1309</v>
      </c>
      <c r="AN1498" s="185" t="s">
        <v>114</v>
      </c>
      <c r="AO1498" s="185" t="s">
        <v>5150</v>
      </c>
      <c r="AQ1498" s="55" t="s">
        <v>553</v>
      </c>
      <c r="AR1498" s="55" t="s">
        <v>1553</v>
      </c>
      <c r="AS1498" s="55" t="s">
        <v>1575</v>
      </c>
      <c r="AT1498" s="181" t="s">
        <v>658</v>
      </c>
      <c r="AU1498" s="181" t="s">
        <v>5150</v>
      </c>
      <c r="AV1498" s="185" t="s">
        <v>176</v>
      </c>
      <c r="AW1498" s="55" t="s">
        <v>132</v>
      </c>
      <c r="AX1498" s="185" t="s">
        <v>176</v>
      </c>
      <c r="AY1498" s="55" t="s">
        <v>479</v>
      </c>
      <c r="AZ1498" s="55" t="s">
        <v>1016</v>
      </c>
      <c r="BA1498" s="55" t="s">
        <v>999</v>
      </c>
      <c r="BB1498" s="55" t="s">
        <v>2082</v>
      </c>
      <c r="BC1498" s="55" t="s">
        <v>2082</v>
      </c>
      <c r="BD1498" s="55" t="s">
        <v>479</v>
      </c>
      <c r="BE1498" s="226" t="s">
        <v>1015</v>
      </c>
      <c r="BF1498" s="191" t="s">
        <v>479</v>
      </c>
      <c r="BG1498" s="55" t="s">
        <v>479</v>
      </c>
      <c r="BH1498" s="226" t="s">
        <v>1002</v>
      </c>
      <c r="BI1498" s="55" t="s">
        <v>479</v>
      </c>
      <c r="BJ1498" s="55" t="s">
        <v>479</v>
      </c>
      <c r="BK1498" s="55" t="s">
        <v>6269</v>
      </c>
      <c r="BM1498" s="192" t="s">
        <v>160</v>
      </c>
      <c r="BN1498" s="55">
        <v>4</v>
      </c>
      <c r="BO1498" s="55">
        <v>4</v>
      </c>
      <c r="BQ1498" s="55" t="s">
        <v>141</v>
      </c>
      <c r="BV1498" s="55" t="s">
        <v>1010</v>
      </c>
      <c r="CH1498" s="90">
        <v>1.38</v>
      </c>
      <c r="CI1498" s="90">
        <v>1.48</v>
      </c>
      <c r="CM1498" s="65">
        <v>1.95</v>
      </c>
      <c r="CN1498" s="65">
        <v>2.11</v>
      </c>
      <c r="CQ1498" s="65" t="s">
        <v>593</v>
      </c>
      <c r="CV1498" s="65" t="s">
        <v>3040</v>
      </c>
      <c r="DA1498" s="65" t="s">
        <v>4456</v>
      </c>
      <c r="DB1498" s="65">
        <v>1900</v>
      </c>
      <c r="DC1498" s="65">
        <v>2100</v>
      </c>
      <c r="DF1498" s="65" t="s">
        <v>232</v>
      </c>
      <c r="DG1498" s="65">
        <v>33</v>
      </c>
      <c r="DH1498" s="65">
        <v>40.799999999999997</v>
      </c>
      <c r="DL1498" s="65">
        <v>97</v>
      </c>
      <c r="DM1498" s="65">
        <v>72</v>
      </c>
      <c r="DQ1498" s="165">
        <v>6.5</v>
      </c>
      <c r="DR1498" s="165">
        <v>6.8</v>
      </c>
      <c r="EK1498" s="90">
        <v>887</v>
      </c>
      <c r="EL1498" s="90">
        <v>857</v>
      </c>
      <c r="EO1498" s="65" t="s">
        <v>1018</v>
      </c>
      <c r="GD1498" s="65">
        <v>26</v>
      </c>
      <c r="GE1498" s="65">
        <v>26</v>
      </c>
      <c r="GH1498" s="65" t="s">
        <v>164</v>
      </c>
      <c r="GP1498" s="292" t="s">
        <v>7494</v>
      </c>
      <c r="HX1498" s="65">
        <v>1380</v>
      </c>
      <c r="HY1498" s="65">
        <v>1610</v>
      </c>
      <c r="IB1498" s="65" t="s">
        <v>411</v>
      </c>
      <c r="IC1498" s="65">
        <v>17.100000000000001</v>
      </c>
      <c r="ID1498" s="65">
        <v>23.3</v>
      </c>
      <c r="JG1498" s="65">
        <f>109*0.000012</f>
        <v>1.3080000000000001E-3</v>
      </c>
      <c r="JH1498" s="65">
        <v>1.7279999999999999E-3</v>
      </c>
      <c r="JK1498" s="65" t="s">
        <v>1008</v>
      </c>
      <c r="JR1498" s="65">
        <v>99999</v>
      </c>
      <c r="JS1498" s="65">
        <v>99999</v>
      </c>
      <c r="JU1498" s="55" t="s">
        <v>413</v>
      </c>
      <c r="JW1498" s="55" t="s">
        <v>837</v>
      </c>
    </row>
    <row r="1499" spans="1:283" x14ac:dyDescent="0.25">
      <c r="A1499" s="55">
        <v>1498</v>
      </c>
      <c r="B1499" s="12" t="s">
        <v>7067</v>
      </c>
      <c r="C1499" s="155">
        <v>68</v>
      </c>
      <c r="D1499" s="55" t="s">
        <v>3991</v>
      </c>
      <c r="E1499" s="90" t="s">
        <v>989</v>
      </c>
      <c r="G1499" s="55" t="s">
        <v>990</v>
      </c>
      <c r="H1499" s="55">
        <v>2011</v>
      </c>
      <c r="I1499" s="55">
        <v>1995</v>
      </c>
      <c r="J1499" s="55" t="s">
        <v>282</v>
      </c>
      <c r="K1499" s="55" t="s">
        <v>992</v>
      </c>
      <c r="L1499" s="55" t="s">
        <v>2737</v>
      </c>
      <c r="M1499" s="90">
        <f>43+18/60</f>
        <v>43.3</v>
      </c>
      <c r="N1499" s="90">
        <f>-89-21/60</f>
        <v>-89.35</v>
      </c>
      <c r="O1499" s="90">
        <v>317.10000000000002</v>
      </c>
      <c r="U1499" s="55" t="s">
        <v>1682</v>
      </c>
      <c r="V1499" s="55" t="s">
        <v>1933</v>
      </c>
      <c r="Y1499" s="55" t="s">
        <v>991</v>
      </c>
      <c r="Z1499" s="55" t="s">
        <v>1381</v>
      </c>
      <c r="AA1499" s="90" t="s">
        <v>1677</v>
      </c>
      <c r="AD1499" s="90">
        <v>1.38</v>
      </c>
      <c r="AH1499" s="55" t="s">
        <v>6378</v>
      </c>
      <c r="AM1499" s="55" t="s">
        <v>1309</v>
      </c>
      <c r="AN1499" s="185" t="s">
        <v>114</v>
      </c>
      <c r="AO1499" s="185" t="s">
        <v>5150</v>
      </c>
      <c r="AQ1499" s="55" t="s">
        <v>553</v>
      </c>
      <c r="AR1499" s="55" t="s">
        <v>1553</v>
      </c>
      <c r="AS1499" s="55" t="s">
        <v>1575</v>
      </c>
      <c r="AT1499" s="181" t="s">
        <v>658</v>
      </c>
      <c r="AU1499" s="181" t="s">
        <v>5150</v>
      </c>
      <c r="AV1499" s="185" t="s">
        <v>176</v>
      </c>
      <c r="AW1499" s="55" t="s">
        <v>132</v>
      </c>
      <c r="AX1499" s="185" t="s">
        <v>176</v>
      </c>
      <c r="AY1499" s="55" t="s">
        <v>479</v>
      </c>
      <c r="AZ1499" s="55" t="s">
        <v>1016</v>
      </c>
      <c r="BA1499" s="55" t="s">
        <v>999</v>
      </c>
      <c r="BB1499" s="55" t="s">
        <v>2082</v>
      </c>
      <c r="BC1499" s="55" t="s">
        <v>2082</v>
      </c>
      <c r="BD1499" s="55" t="s">
        <v>479</v>
      </c>
      <c r="BE1499" s="226" t="s">
        <v>1015</v>
      </c>
      <c r="BF1499" s="191" t="s">
        <v>479</v>
      </c>
      <c r="BG1499" s="55" t="s">
        <v>479</v>
      </c>
      <c r="BH1499" s="226" t="s">
        <v>1003</v>
      </c>
      <c r="BI1499" s="55" t="s">
        <v>479</v>
      </c>
      <c r="BJ1499" s="55" t="s">
        <v>479</v>
      </c>
      <c r="BK1499" s="55" t="s">
        <v>6269</v>
      </c>
      <c r="BM1499" s="192" t="s">
        <v>160</v>
      </c>
      <c r="BN1499" s="55">
        <v>4</v>
      </c>
      <c r="BO1499" s="55">
        <v>4</v>
      </c>
      <c r="BQ1499" s="55" t="s">
        <v>141</v>
      </c>
      <c r="BV1499" s="55" t="s">
        <v>1011</v>
      </c>
      <c r="CH1499" s="90">
        <v>1.38</v>
      </c>
      <c r="CI1499" s="90">
        <v>1.37</v>
      </c>
      <c r="CM1499" s="65">
        <v>1.95</v>
      </c>
      <c r="CN1499" s="65">
        <v>2.2000000000000002</v>
      </c>
      <c r="CQ1499" s="65" t="s">
        <v>593</v>
      </c>
      <c r="CV1499" s="65" t="s">
        <v>3040</v>
      </c>
      <c r="DA1499" s="65" t="s">
        <v>4456</v>
      </c>
      <c r="DB1499" s="65">
        <v>1900</v>
      </c>
      <c r="DC1499" s="65">
        <v>2200</v>
      </c>
      <c r="DF1499" s="65" t="s">
        <v>232</v>
      </c>
      <c r="DG1499" s="65">
        <v>33</v>
      </c>
      <c r="DH1499" s="65">
        <v>50</v>
      </c>
      <c r="DL1499" s="65">
        <v>97</v>
      </c>
      <c r="DM1499" s="65">
        <v>83</v>
      </c>
      <c r="DQ1499" s="165">
        <v>6.5</v>
      </c>
      <c r="DR1499" s="165">
        <v>6.6</v>
      </c>
      <c r="EK1499" s="90">
        <v>887</v>
      </c>
      <c r="EL1499" s="90">
        <v>842</v>
      </c>
      <c r="EO1499" s="65" t="s">
        <v>1018</v>
      </c>
      <c r="GD1499" s="65">
        <v>26</v>
      </c>
      <c r="GE1499" s="65">
        <v>25</v>
      </c>
      <c r="GH1499" s="65" t="s">
        <v>164</v>
      </c>
      <c r="GP1499" s="292" t="s">
        <v>7494</v>
      </c>
      <c r="HX1499" s="65">
        <v>1380</v>
      </c>
      <c r="HY1499" s="65">
        <v>1540</v>
      </c>
      <c r="IB1499" s="65" t="s">
        <v>411</v>
      </c>
      <c r="IC1499" s="65">
        <v>17.100000000000001</v>
      </c>
      <c r="ID1499" s="65">
        <v>25.9</v>
      </c>
      <c r="JG1499" s="65">
        <f>109*0.000012</f>
        <v>1.3080000000000001E-3</v>
      </c>
      <c r="JH1499" s="65">
        <v>1.3680000000000001E-3</v>
      </c>
      <c r="JK1499" s="65" t="s">
        <v>1017</v>
      </c>
      <c r="JR1499" s="65">
        <v>99999</v>
      </c>
      <c r="JS1499" s="65">
        <v>99999</v>
      </c>
      <c r="JU1499" s="55" t="s">
        <v>413</v>
      </c>
      <c r="JW1499" s="55" t="s">
        <v>837</v>
      </c>
    </row>
    <row r="1500" spans="1:283" x14ac:dyDescent="0.25">
      <c r="A1500" s="55">
        <v>1499</v>
      </c>
      <c r="B1500" s="12" t="s">
        <v>7067</v>
      </c>
      <c r="C1500" s="155">
        <v>68</v>
      </c>
      <c r="D1500" s="55" t="s">
        <v>3991</v>
      </c>
      <c r="E1500" s="90" t="s">
        <v>989</v>
      </c>
      <c r="G1500" s="55" t="s">
        <v>990</v>
      </c>
      <c r="H1500" s="55">
        <v>2011</v>
      </c>
      <c r="I1500" s="55">
        <v>1995</v>
      </c>
      <c r="J1500" s="55" t="s">
        <v>282</v>
      </c>
      <c r="K1500" s="55" t="s">
        <v>992</v>
      </c>
      <c r="L1500" s="55" t="s">
        <v>2737</v>
      </c>
      <c r="M1500" s="90">
        <f>43+18/60</f>
        <v>43.3</v>
      </c>
      <c r="N1500" s="90">
        <f>-89-21/60</f>
        <v>-89.35</v>
      </c>
      <c r="O1500" s="90">
        <v>317.10000000000002</v>
      </c>
      <c r="U1500" s="55" t="s">
        <v>1682</v>
      </c>
      <c r="V1500" s="55" t="s">
        <v>1933</v>
      </c>
      <c r="Y1500" s="55" t="s">
        <v>991</v>
      </c>
      <c r="Z1500" s="55" t="s">
        <v>1381</v>
      </c>
      <c r="AA1500" s="90" t="s">
        <v>1677</v>
      </c>
      <c r="AD1500" s="90">
        <v>1.38</v>
      </c>
      <c r="AH1500" s="55" t="s">
        <v>6378</v>
      </c>
      <c r="AM1500" s="55" t="s">
        <v>1309</v>
      </c>
      <c r="AN1500" s="185" t="s">
        <v>114</v>
      </c>
      <c r="AO1500" s="185" t="s">
        <v>5150</v>
      </c>
      <c r="AQ1500" s="55" t="s">
        <v>553</v>
      </c>
      <c r="AR1500" s="55" t="s">
        <v>1553</v>
      </c>
      <c r="AS1500" s="55" t="s">
        <v>1575</v>
      </c>
      <c r="AT1500" s="181" t="s">
        <v>658</v>
      </c>
      <c r="AU1500" s="181" t="s">
        <v>5150</v>
      </c>
      <c r="AV1500" s="185" t="s">
        <v>176</v>
      </c>
      <c r="AW1500" s="55" t="s">
        <v>132</v>
      </c>
      <c r="AX1500" s="185" t="s">
        <v>176</v>
      </c>
      <c r="AY1500" s="55" t="s">
        <v>479</v>
      </c>
      <c r="AZ1500" s="55" t="s">
        <v>1016</v>
      </c>
      <c r="BA1500" s="55" t="s">
        <v>999</v>
      </c>
      <c r="BB1500" s="55" t="s">
        <v>2082</v>
      </c>
      <c r="BC1500" s="55" t="s">
        <v>2082</v>
      </c>
      <c r="BD1500" s="55" t="s">
        <v>479</v>
      </c>
      <c r="BE1500" s="226" t="s">
        <v>1015</v>
      </c>
      <c r="BF1500" s="191" t="s">
        <v>479</v>
      </c>
      <c r="BG1500" s="55" t="s">
        <v>479</v>
      </c>
      <c r="BH1500" s="226" t="s">
        <v>1004</v>
      </c>
      <c r="BI1500" s="55" t="s">
        <v>479</v>
      </c>
      <c r="BJ1500" s="55" t="s">
        <v>479</v>
      </c>
      <c r="BK1500" s="55" t="s">
        <v>6269</v>
      </c>
      <c r="BM1500" s="192" t="s">
        <v>160</v>
      </c>
      <c r="BN1500" s="55">
        <v>4</v>
      </c>
      <c r="BO1500" s="55">
        <v>4</v>
      </c>
      <c r="BQ1500" s="55" t="s">
        <v>141</v>
      </c>
      <c r="BV1500" s="55" t="s">
        <v>1012</v>
      </c>
      <c r="CH1500" s="90">
        <v>1.38</v>
      </c>
      <c r="CI1500" s="90">
        <v>1.37</v>
      </c>
      <c r="CM1500" s="65">
        <v>1.95</v>
      </c>
      <c r="CN1500" s="65">
        <v>2.2999999999999998</v>
      </c>
      <c r="CQ1500" s="65" t="s">
        <v>593</v>
      </c>
      <c r="CV1500" s="65" t="s">
        <v>3040</v>
      </c>
      <c r="DA1500" s="65" t="s">
        <v>4456</v>
      </c>
      <c r="DB1500" s="65">
        <v>1900</v>
      </c>
      <c r="DC1500" s="65">
        <v>2300</v>
      </c>
      <c r="DF1500" s="65" t="s">
        <v>232</v>
      </c>
      <c r="DG1500" s="65">
        <v>33</v>
      </c>
      <c r="DH1500" s="65">
        <v>46.8</v>
      </c>
      <c r="DL1500" s="65">
        <v>97</v>
      </c>
      <c r="DM1500" s="65">
        <v>79</v>
      </c>
      <c r="DQ1500" s="165">
        <v>6.5</v>
      </c>
      <c r="DR1500" s="165">
        <v>6.8</v>
      </c>
      <c r="EK1500" s="90">
        <v>887</v>
      </c>
      <c r="EL1500" s="90">
        <v>851</v>
      </c>
      <c r="EO1500" s="65" t="s">
        <v>1018</v>
      </c>
      <c r="GD1500" s="65">
        <v>26</v>
      </c>
      <c r="GE1500" s="65">
        <v>26</v>
      </c>
      <c r="GH1500" s="65" t="s">
        <v>164</v>
      </c>
      <c r="GP1500" s="292" t="s">
        <v>7494</v>
      </c>
      <c r="HX1500" s="65">
        <v>1380</v>
      </c>
      <c r="HY1500" s="65">
        <v>1840</v>
      </c>
      <c r="IB1500" s="65" t="s">
        <v>411</v>
      </c>
      <c r="IC1500" s="65">
        <v>17.100000000000001</v>
      </c>
      <c r="ID1500" s="65">
        <v>29.8</v>
      </c>
      <c r="JG1500" s="65">
        <f>109*0.000012</f>
        <v>1.3080000000000001E-3</v>
      </c>
      <c r="JH1500" s="65">
        <v>1.6080000000000001E-3</v>
      </c>
      <c r="JK1500" s="65" t="s">
        <v>1017</v>
      </c>
      <c r="JR1500" s="65">
        <v>99999</v>
      </c>
      <c r="JS1500" s="65">
        <v>99999</v>
      </c>
      <c r="JU1500" s="55" t="s">
        <v>413</v>
      </c>
      <c r="JW1500" s="55" t="s">
        <v>837</v>
      </c>
    </row>
    <row r="1501" spans="1:283" x14ac:dyDescent="0.25">
      <c r="A1501" s="55">
        <v>1500</v>
      </c>
      <c r="B1501" s="12" t="s">
        <v>7067</v>
      </c>
      <c r="C1501" s="155">
        <v>68</v>
      </c>
      <c r="D1501" s="55" t="s">
        <v>3991</v>
      </c>
      <c r="E1501" s="90" t="s">
        <v>989</v>
      </c>
      <c r="G1501" s="55" t="s">
        <v>990</v>
      </c>
      <c r="H1501" s="55">
        <v>2011</v>
      </c>
      <c r="I1501" s="55">
        <v>1995</v>
      </c>
      <c r="J1501" s="55" t="s">
        <v>282</v>
      </c>
      <c r="K1501" s="55" t="s">
        <v>992</v>
      </c>
      <c r="L1501" s="55" t="s">
        <v>2737</v>
      </c>
      <c r="M1501" s="90">
        <f>43+18/60</f>
        <v>43.3</v>
      </c>
      <c r="N1501" s="90">
        <f>-89-21/60</f>
        <v>-89.35</v>
      </c>
      <c r="O1501" s="90">
        <v>317.10000000000002</v>
      </c>
      <c r="U1501" s="55" t="s">
        <v>1682</v>
      </c>
      <c r="V1501" s="55" t="s">
        <v>1933</v>
      </c>
      <c r="Y1501" s="55" t="s">
        <v>991</v>
      </c>
      <c r="Z1501" s="55" t="s">
        <v>1381</v>
      </c>
      <c r="AA1501" s="90" t="s">
        <v>1677</v>
      </c>
      <c r="AD1501" s="90">
        <v>1.38</v>
      </c>
      <c r="AH1501" s="55" t="s">
        <v>6378</v>
      </c>
      <c r="AM1501" s="55" t="s">
        <v>1309</v>
      </c>
      <c r="AN1501" s="185" t="s">
        <v>114</v>
      </c>
      <c r="AO1501" s="185" t="s">
        <v>5150</v>
      </c>
      <c r="AQ1501" s="55" t="s">
        <v>553</v>
      </c>
      <c r="AR1501" s="55" t="s">
        <v>1553</v>
      </c>
      <c r="AS1501" s="55" t="s">
        <v>1575</v>
      </c>
      <c r="AT1501" s="181" t="s">
        <v>658</v>
      </c>
      <c r="AU1501" s="181" t="s">
        <v>5150</v>
      </c>
      <c r="AV1501" s="185" t="s">
        <v>176</v>
      </c>
      <c r="AW1501" s="55" t="s">
        <v>132</v>
      </c>
      <c r="AX1501" s="185" t="s">
        <v>176</v>
      </c>
      <c r="AY1501" s="55" t="s">
        <v>479</v>
      </c>
      <c r="AZ1501" s="55" t="s">
        <v>1016</v>
      </c>
      <c r="BA1501" s="55" t="s">
        <v>999</v>
      </c>
      <c r="BB1501" s="55" t="s">
        <v>2082</v>
      </c>
      <c r="BC1501" s="55" t="s">
        <v>2082</v>
      </c>
      <c r="BD1501" s="55" t="s">
        <v>479</v>
      </c>
      <c r="BE1501" s="226" t="s">
        <v>1015</v>
      </c>
      <c r="BF1501" s="191" t="s">
        <v>479</v>
      </c>
      <c r="BG1501" s="55" t="s">
        <v>479</v>
      </c>
      <c r="BH1501" s="226" t="s">
        <v>1005</v>
      </c>
      <c r="BI1501" s="55" t="s">
        <v>479</v>
      </c>
      <c r="BJ1501" s="55" t="s">
        <v>479</v>
      </c>
      <c r="BK1501" s="55" t="s">
        <v>6269</v>
      </c>
      <c r="BM1501" s="192" t="s">
        <v>160</v>
      </c>
      <c r="BN1501" s="55">
        <v>4</v>
      </c>
      <c r="BO1501" s="55">
        <v>4</v>
      </c>
      <c r="BQ1501" s="55" t="s">
        <v>141</v>
      </c>
      <c r="BV1501" s="55" t="s">
        <v>1013</v>
      </c>
      <c r="CH1501" s="90">
        <v>1.38</v>
      </c>
      <c r="CI1501" s="90">
        <v>1.41</v>
      </c>
      <c r="CM1501" s="65">
        <v>1.95</v>
      </c>
      <c r="CN1501" s="65">
        <v>2.4</v>
      </c>
      <c r="CQ1501" s="65" t="s">
        <v>593</v>
      </c>
      <c r="CV1501" s="65" t="s">
        <v>3040</v>
      </c>
      <c r="DA1501" s="65" t="s">
        <v>4456</v>
      </c>
      <c r="DB1501" s="65">
        <v>1900</v>
      </c>
      <c r="DC1501" s="65">
        <v>2300</v>
      </c>
      <c r="DF1501" s="65" t="s">
        <v>232</v>
      </c>
      <c r="DG1501" s="65">
        <v>33</v>
      </c>
      <c r="DH1501" s="65">
        <v>50.5</v>
      </c>
      <c r="DL1501" s="65">
        <v>97</v>
      </c>
      <c r="DM1501" s="65">
        <v>75</v>
      </c>
      <c r="DQ1501" s="165">
        <v>6.5</v>
      </c>
      <c r="DR1501" s="165">
        <v>6.7</v>
      </c>
      <c r="EK1501" s="90">
        <v>887</v>
      </c>
      <c r="EL1501" s="90">
        <v>882</v>
      </c>
      <c r="EO1501" s="65" t="s">
        <v>1018</v>
      </c>
      <c r="GD1501" s="65">
        <v>26</v>
      </c>
      <c r="GE1501" s="65">
        <v>26</v>
      </c>
      <c r="GH1501" s="65" t="s">
        <v>164</v>
      </c>
      <c r="GP1501" s="292" t="s">
        <v>7494</v>
      </c>
      <c r="HX1501" s="65">
        <v>1380</v>
      </c>
      <c r="HY1501" s="65">
        <v>1820</v>
      </c>
      <c r="IB1501" s="65" t="s">
        <v>411</v>
      </c>
      <c r="IC1501" s="65">
        <v>17.100000000000001</v>
      </c>
      <c r="ID1501" s="65">
        <v>30.9</v>
      </c>
      <c r="JG1501" s="65">
        <f>109*0.000012</f>
        <v>1.3080000000000001E-3</v>
      </c>
      <c r="JH1501" s="65">
        <v>1.14E-3</v>
      </c>
      <c r="JK1501" s="65" t="s">
        <v>1017</v>
      </c>
      <c r="JR1501" s="65">
        <v>99999</v>
      </c>
      <c r="JS1501" s="65">
        <v>99999</v>
      </c>
      <c r="JU1501" s="55" t="s">
        <v>413</v>
      </c>
      <c r="JW1501" s="55" t="s">
        <v>837</v>
      </c>
    </row>
    <row r="1502" spans="1:283" x14ac:dyDescent="0.25">
      <c r="A1502" s="55">
        <v>1501</v>
      </c>
      <c r="B1502" s="12" t="s">
        <v>7067</v>
      </c>
      <c r="C1502" s="155">
        <v>68</v>
      </c>
      <c r="D1502" s="55" t="s">
        <v>3991</v>
      </c>
      <c r="E1502" s="90" t="s">
        <v>989</v>
      </c>
      <c r="G1502" s="55" t="s">
        <v>990</v>
      </c>
      <c r="H1502" s="55">
        <v>2011</v>
      </c>
      <c r="I1502" s="55">
        <v>1995</v>
      </c>
      <c r="J1502" s="55" t="s">
        <v>282</v>
      </c>
      <c r="K1502" s="55" t="s">
        <v>992</v>
      </c>
      <c r="L1502" s="55" t="s">
        <v>2737</v>
      </c>
      <c r="M1502" s="90">
        <f>43+18/60</f>
        <v>43.3</v>
      </c>
      <c r="N1502" s="90">
        <f>-89-21/60</f>
        <v>-89.35</v>
      </c>
      <c r="O1502" s="90">
        <v>317.10000000000002</v>
      </c>
      <c r="U1502" s="55" t="s">
        <v>1682</v>
      </c>
      <c r="V1502" s="55" t="s">
        <v>1933</v>
      </c>
      <c r="Y1502" s="55" t="s">
        <v>991</v>
      </c>
      <c r="Z1502" s="55" t="s">
        <v>1381</v>
      </c>
      <c r="AA1502" s="90" t="s">
        <v>1677</v>
      </c>
      <c r="AD1502" s="90">
        <v>1.38</v>
      </c>
      <c r="AH1502" s="55" t="s">
        <v>6378</v>
      </c>
      <c r="AM1502" s="55" t="s">
        <v>1309</v>
      </c>
      <c r="AN1502" s="185" t="s">
        <v>610</v>
      </c>
      <c r="AO1502" s="185" t="s">
        <v>5150</v>
      </c>
      <c r="AQ1502" s="55" t="s">
        <v>610</v>
      </c>
      <c r="AR1502" s="55" t="s">
        <v>1553</v>
      </c>
      <c r="AS1502" s="55" t="s">
        <v>1575</v>
      </c>
      <c r="AT1502" s="181" t="s">
        <v>658</v>
      </c>
      <c r="AU1502" s="181" t="s">
        <v>5150</v>
      </c>
      <c r="AV1502" s="185" t="s">
        <v>176</v>
      </c>
      <c r="AW1502" s="55" t="s">
        <v>1571</v>
      </c>
      <c r="AX1502" s="185" t="s">
        <v>176</v>
      </c>
      <c r="AY1502" s="55" t="s">
        <v>479</v>
      </c>
      <c r="AZ1502" s="55" t="s">
        <v>1016</v>
      </c>
      <c r="BA1502" s="55" t="s">
        <v>999</v>
      </c>
      <c r="BB1502" s="55" t="s">
        <v>2082</v>
      </c>
      <c r="BC1502" s="55" t="s">
        <v>2082</v>
      </c>
      <c r="BD1502" s="55" t="s">
        <v>479</v>
      </c>
      <c r="BE1502" s="226" t="s">
        <v>1015</v>
      </c>
      <c r="BF1502" s="191" t="s">
        <v>479</v>
      </c>
      <c r="BG1502" s="55" t="s">
        <v>479</v>
      </c>
      <c r="BH1502" s="226" t="s">
        <v>1006</v>
      </c>
      <c r="BI1502" s="55" t="s">
        <v>479</v>
      </c>
      <c r="BJ1502" s="55" t="s">
        <v>479</v>
      </c>
      <c r="BK1502" s="55" t="s">
        <v>6269</v>
      </c>
      <c r="BM1502" s="192" t="s">
        <v>160</v>
      </c>
      <c r="BN1502" s="55">
        <v>4</v>
      </c>
      <c r="BO1502" s="55">
        <v>4</v>
      </c>
      <c r="BQ1502" s="55" t="s">
        <v>141</v>
      </c>
      <c r="BV1502" s="55" t="s">
        <v>1014</v>
      </c>
      <c r="CH1502" s="90">
        <v>1.38</v>
      </c>
      <c r="CI1502" s="90">
        <v>1.42</v>
      </c>
      <c r="CM1502" s="65">
        <v>1.95</v>
      </c>
      <c r="CN1502" s="65">
        <v>2.2400000000000002</v>
      </c>
      <c r="CQ1502" s="65" t="s">
        <v>593</v>
      </c>
      <c r="CV1502" s="65" t="s">
        <v>3040</v>
      </c>
      <c r="DA1502" s="65" t="s">
        <v>4456</v>
      </c>
      <c r="DB1502" s="65">
        <v>1900</v>
      </c>
      <c r="DC1502" s="65">
        <v>2100</v>
      </c>
      <c r="DF1502" s="65" t="s">
        <v>232</v>
      </c>
      <c r="DG1502" s="65">
        <v>33</v>
      </c>
      <c r="DH1502" s="65">
        <v>36</v>
      </c>
      <c r="DL1502" s="65">
        <v>97</v>
      </c>
      <c r="DM1502" s="65">
        <v>75</v>
      </c>
      <c r="DQ1502" s="165">
        <v>6.5</v>
      </c>
      <c r="DR1502" s="165">
        <v>6.5</v>
      </c>
      <c r="EK1502" s="90">
        <v>887</v>
      </c>
      <c r="EL1502" s="90">
        <v>873</v>
      </c>
      <c r="EO1502" s="65" t="s">
        <v>1018</v>
      </c>
      <c r="GD1502" s="65">
        <v>26</v>
      </c>
      <c r="GE1502" s="65">
        <v>23</v>
      </c>
      <c r="GH1502" s="65" t="s">
        <v>164</v>
      </c>
      <c r="GP1502" s="292" t="s">
        <v>7494</v>
      </c>
      <c r="HX1502" s="65">
        <v>1380</v>
      </c>
      <c r="HY1502" s="65">
        <v>1380</v>
      </c>
      <c r="IB1502" s="65" t="s">
        <v>411</v>
      </c>
      <c r="IC1502" s="65">
        <v>17.100000000000001</v>
      </c>
      <c r="ID1502" s="65">
        <v>24.4</v>
      </c>
      <c r="JG1502" s="65">
        <f>109*0.000012</f>
        <v>1.3080000000000001E-3</v>
      </c>
      <c r="JH1502" s="65">
        <v>2.3159999999999999E-3</v>
      </c>
      <c r="JK1502" s="65" t="s">
        <v>1017</v>
      </c>
      <c r="JR1502" s="65">
        <v>99999</v>
      </c>
      <c r="JS1502" s="65">
        <v>99999</v>
      </c>
      <c r="JU1502" s="55" t="s">
        <v>413</v>
      </c>
      <c r="JW1502" s="55" t="s">
        <v>837</v>
      </c>
    </row>
    <row r="1503" spans="1:283" x14ac:dyDescent="0.25">
      <c r="A1503" s="55">
        <v>1502</v>
      </c>
      <c r="B1503" s="12" t="s">
        <v>7067</v>
      </c>
      <c r="C1503" s="155">
        <v>68</v>
      </c>
      <c r="D1503" s="55" t="s">
        <v>3990</v>
      </c>
      <c r="E1503" s="90" t="s">
        <v>989</v>
      </c>
      <c r="G1503" s="55" t="s">
        <v>990</v>
      </c>
      <c r="H1503" s="55">
        <v>2011</v>
      </c>
      <c r="I1503" s="55">
        <v>1995</v>
      </c>
      <c r="J1503" s="55" t="s">
        <v>397</v>
      </c>
      <c r="K1503" s="55" t="s">
        <v>1428</v>
      </c>
      <c r="L1503" s="55" t="s">
        <v>2737</v>
      </c>
      <c r="M1503" s="90">
        <v>43.3</v>
      </c>
      <c r="N1503" s="90">
        <v>-89.35</v>
      </c>
      <c r="O1503" s="90">
        <v>317.10000000000002</v>
      </c>
      <c r="U1503" s="55" t="s">
        <v>1682</v>
      </c>
      <c r="V1503" s="55" t="s">
        <v>1933</v>
      </c>
      <c r="Y1503" s="55" t="s">
        <v>991</v>
      </c>
      <c r="Z1503" s="55" t="s">
        <v>1361</v>
      </c>
      <c r="AA1503" s="90" t="s">
        <v>1682</v>
      </c>
      <c r="AD1503" s="90">
        <v>1.32</v>
      </c>
      <c r="AH1503" s="55" t="s">
        <v>6378</v>
      </c>
      <c r="AM1503" s="55" t="s">
        <v>1309</v>
      </c>
      <c r="AN1503" s="185" t="s">
        <v>114</v>
      </c>
      <c r="AO1503" s="185" t="s">
        <v>5150</v>
      </c>
      <c r="AQ1503" s="55" t="s">
        <v>553</v>
      </c>
      <c r="AR1503" s="55" t="s">
        <v>1556</v>
      </c>
      <c r="AS1503" s="55" t="s">
        <v>1575</v>
      </c>
      <c r="AU1503" s="181" t="s">
        <v>7494</v>
      </c>
      <c r="AV1503" s="185" t="s">
        <v>176</v>
      </c>
      <c r="AX1503" s="185" t="s">
        <v>176</v>
      </c>
      <c r="AZ1503" s="55" t="s">
        <v>464</v>
      </c>
      <c r="BA1503" s="55" t="s">
        <v>464</v>
      </c>
      <c r="BB1503" s="55" t="s">
        <v>2081</v>
      </c>
      <c r="BC1503" s="55" t="s">
        <v>2081</v>
      </c>
      <c r="BD1503" s="55" t="s">
        <v>176</v>
      </c>
      <c r="BK1503" s="55" t="s">
        <v>5976</v>
      </c>
      <c r="BM1503" s="192" t="s">
        <v>160</v>
      </c>
      <c r="BN1503" s="55">
        <v>4</v>
      </c>
      <c r="BO1503" s="55">
        <v>4</v>
      </c>
      <c r="BQ1503" s="55" t="s">
        <v>141</v>
      </c>
      <c r="CH1503" s="90">
        <v>1.32</v>
      </c>
      <c r="CI1503" s="90">
        <v>1.37</v>
      </c>
      <c r="CM1503" s="65">
        <v>2.5</v>
      </c>
      <c r="CN1503" s="65">
        <v>2.59</v>
      </c>
      <c r="CQ1503" s="65" t="s">
        <v>593</v>
      </c>
      <c r="CV1503" s="65" t="s">
        <v>3040</v>
      </c>
      <c r="DA1503" s="65" t="s">
        <v>4456</v>
      </c>
      <c r="DB1503" s="65">
        <f>2.43*100</f>
        <v>243.00000000000003</v>
      </c>
      <c r="DC1503" s="65">
        <f>2.68*100</f>
        <v>268</v>
      </c>
      <c r="DF1503" s="65" t="s">
        <v>232</v>
      </c>
      <c r="DG1503" s="65">
        <v>61.5</v>
      </c>
      <c r="DH1503" s="65">
        <v>72.8</v>
      </c>
      <c r="DL1503" s="65">
        <v>135</v>
      </c>
      <c r="DM1503" s="65">
        <v>231</v>
      </c>
      <c r="DQ1503" s="165">
        <v>6.9</v>
      </c>
      <c r="DR1503" s="165">
        <v>6.6</v>
      </c>
      <c r="EK1503" s="90">
        <v>817</v>
      </c>
      <c r="EL1503" s="90">
        <v>801</v>
      </c>
      <c r="EO1503" s="65" t="s">
        <v>1429</v>
      </c>
      <c r="EU1503" s="65">
        <v>0.71</v>
      </c>
      <c r="EV1503" s="65">
        <v>1.53</v>
      </c>
      <c r="GD1503" s="65">
        <v>28</v>
      </c>
      <c r="GE1503" s="65">
        <v>23</v>
      </c>
      <c r="GH1503" s="65" t="s">
        <v>164</v>
      </c>
      <c r="GP1503" s="292" t="s">
        <v>7494</v>
      </c>
      <c r="HX1503" s="65">
        <v>1880</v>
      </c>
      <c r="HY1503" s="65">
        <v>1900</v>
      </c>
      <c r="IC1503" s="65">
        <v>37.4</v>
      </c>
      <c r="ID1503" s="65">
        <v>36.799999999999997</v>
      </c>
      <c r="JG1503" s="65">
        <f>0.000012*250</f>
        <v>3.0000000000000001E-3</v>
      </c>
      <c r="JH1503" s="65">
        <f>0.000012*181</f>
        <v>2.1719999999999999E-3</v>
      </c>
      <c r="JK1503" s="65" t="s">
        <v>1017</v>
      </c>
      <c r="JR1503" s="65">
        <v>99999</v>
      </c>
      <c r="JS1503" s="65">
        <v>99999</v>
      </c>
      <c r="JU1503" s="55" t="s">
        <v>413</v>
      </c>
      <c r="JW1503" s="55" t="s">
        <v>837</v>
      </c>
    </row>
    <row r="1504" spans="1:283" x14ac:dyDescent="0.25">
      <c r="A1504" s="55">
        <v>1503</v>
      </c>
      <c r="B1504" s="12" t="s">
        <v>7067</v>
      </c>
      <c r="C1504" s="155">
        <v>68</v>
      </c>
      <c r="D1504" s="55" t="s">
        <v>3990</v>
      </c>
      <c r="E1504" s="90" t="s">
        <v>989</v>
      </c>
      <c r="G1504" s="55" t="s">
        <v>990</v>
      </c>
      <c r="H1504" s="55">
        <v>2011</v>
      </c>
      <c r="I1504" s="55">
        <v>1995</v>
      </c>
      <c r="J1504" s="55" t="s">
        <v>397</v>
      </c>
      <c r="K1504" s="55" t="s">
        <v>1428</v>
      </c>
      <c r="L1504" s="55" t="s">
        <v>2737</v>
      </c>
      <c r="M1504" s="90">
        <v>43.3</v>
      </c>
      <c r="N1504" s="90">
        <v>-89.35</v>
      </c>
      <c r="O1504" s="90">
        <v>317.10000000000002</v>
      </c>
      <c r="U1504" s="55" t="s">
        <v>1682</v>
      </c>
      <c r="V1504" s="55" t="s">
        <v>1933</v>
      </c>
      <c r="Y1504" s="55" t="s">
        <v>1698</v>
      </c>
      <c r="Z1504" s="55" t="s">
        <v>1361</v>
      </c>
      <c r="AA1504" s="90" t="s">
        <v>1682</v>
      </c>
      <c r="AD1504" s="90">
        <v>1.1299999999999999</v>
      </c>
      <c r="AH1504" s="55" t="s">
        <v>6378</v>
      </c>
      <c r="AM1504" s="55" t="s">
        <v>1309</v>
      </c>
      <c r="AN1504" s="185" t="s">
        <v>114</v>
      </c>
      <c r="AO1504" s="185" t="s">
        <v>5150</v>
      </c>
      <c r="AQ1504" s="55" t="s">
        <v>553</v>
      </c>
      <c r="AR1504" s="55" t="s">
        <v>1557</v>
      </c>
      <c r="AS1504" s="55" t="s">
        <v>1575</v>
      </c>
      <c r="AU1504" s="181" t="s">
        <v>7494</v>
      </c>
      <c r="AV1504" s="185" t="s">
        <v>176</v>
      </c>
      <c r="AX1504" s="185" t="s">
        <v>176</v>
      </c>
      <c r="AZ1504" s="55" t="s">
        <v>464</v>
      </c>
      <c r="BA1504" s="55" t="s">
        <v>464</v>
      </c>
      <c r="BB1504" s="55" t="s">
        <v>2081</v>
      </c>
      <c r="BC1504" s="55" t="s">
        <v>2081</v>
      </c>
      <c r="BD1504" s="55" t="s">
        <v>176</v>
      </c>
      <c r="BK1504" s="55" t="s">
        <v>5976</v>
      </c>
      <c r="BM1504" s="192" t="s">
        <v>160</v>
      </c>
      <c r="BN1504" s="55">
        <v>4</v>
      </c>
      <c r="BO1504" s="55">
        <v>4</v>
      </c>
      <c r="BQ1504" s="55" t="s">
        <v>141</v>
      </c>
      <c r="CH1504" s="90">
        <v>1.1299999999999999</v>
      </c>
      <c r="CI1504" s="90">
        <v>1.32</v>
      </c>
      <c r="CM1504" s="65">
        <v>2.39</v>
      </c>
      <c r="CN1504" s="65">
        <v>2.39</v>
      </c>
      <c r="CQ1504" s="65" t="s">
        <v>593</v>
      </c>
      <c r="CV1504" s="65" t="s">
        <v>3040</v>
      </c>
      <c r="DA1504" s="65" t="s">
        <v>4456</v>
      </c>
      <c r="DB1504" s="65">
        <f>2.3*100</f>
        <v>229.99999999999997</v>
      </c>
      <c r="DC1504" s="65">
        <f>2.4*100</f>
        <v>240</v>
      </c>
      <c r="DF1504" s="65" t="s">
        <v>232</v>
      </c>
      <c r="DG1504" s="65">
        <v>58.6</v>
      </c>
      <c r="DH1504" s="65">
        <v>56.3</v>
      </c>
      <c r="DL1504" s="65">
        <v>145</v>
      </c>
      <c r="DM1504" s="65">
        <v>173</v>
      </c>
      <c r="DQ1504" s="165">
        <v>6.8</v>
      </c>
      <c r="DR1504" s="165">
        <v>6.7</v>
      </c>
      <c r="EK1504" s="90">
        <v>766</v>
      </c>
      <c r="EL1504" s="90">
        <v>829</v>
      </c>
      <c r="EO1504" s="65" t="s">
        <v>1429</v>
      </c>
      <c r="EU1504" s="65">
        <v>0.49</v>
      </c>
      <c r="EV1504" s="65">
        <v>1.32</v>
      </c>
      <c r="GD1504" s="65">
        <v>28</v>
      </c>
      <c r="GE1504" s="65">
        <v>26</v>
      </c>
      <c r="GH1504" s="65" t="s">
        <v>164</v>
      </c>
      <c r="GP1504" s="292" t="s">
        <v>7494</v>
      </c>
      <c r="HX1504" s="65">
        <v>1810</v>
      </c>
      <c r="HY1504" s="65">
        <v>1890</v>
      </c>
      <c r="IC1504" s="65">
        <v>31.2</v>
      </c>
      <c r="ID1504" s="65">
        <v>37.9</v>
      </c>
      <c r="JG1504" s="65">
        <f>0.000012*170</f>
        <v>2.0400000000000001E-3</v>
      </c>
      <c r="JH1504" s="65">
        <f>0.000012*204</f>
        <v>2.4480000000000001E-3</v>
      </c>
      <c r="JK1504" s="65" t="s">
        <v>1701</v>
      </c>
      <c r="JR1504" s="65">
        <v>99999</v>
      </c>
      <c r="JS1504" s="65">
        <v>99999</v>
      </c>
      <c r="JU1504" s="55" t="s">
        <v>413</v>
      </c>
      <c r="JW1504" s="55" t="s">
        <v>837</v>
      </c>
    </row>
    <row r="1505" spans="1:283" x14ac:dyDescent="0.25">
      <c r="A1505" s="55">
        <v>1504</v>
      </c>
      <c r="B1505" s="12" t="s">
        <v>7067</v>
      </c>
      <c r="C1505" s="155">
        <v>68</v>
      </c>
      <c r="D1505" s="55" t="s">
        <v>3991</v>
      </c>
      <c r="E1505" s="90" t="s">
        <v>989</v>
      </c>
      <c r="G1505" s="55" t="s">
        <v>990</v>
      </c>
      <c r="H1505" s="55">
        <v>2011</v>
      </c>
      <c r="I1505" s="55">
        <v>1995</v>
      </c>
      <c r="J1505" s="55" t="s">
        <v>397</v>
      </c>
      <c r="K1505" s="55" t="s">
        <v>1428</v>
      </c>
      <c r="L1505" s="55" t="s">
        <v>2737</v>
      </c>
      <c r="M1505" s="90">
        <v>43.3</v>
      </c>
      <c r="N1505" s="90">
        <v>-89.35</v>
      </c>
      <c r="O1505" s="90">
        <v>317.10000000000002</v>
      </c>
      <c r="U1505" s="55" t="s">
        <v>1682</v>
      </c>
      <c r="V1505" s="55" t="s">
        <v>1933</v>
      </c>
      <c r="Y1505" s="55" t="s">
        <v>1699</v>
      </c>
      <c r="Z1505" s="55" t="s">
        <v>1381</v>
      </c>
      <c r="AA1505" s="90" t="s">
        <v>1677</v>
      </c>
      <c r="AD1505" s="90">
        <v>1.48</v>
      </c>
      <c r="AH1505" s="55" t="s">
        <v>6378</v>
      </c>
      <c r="AM1505" s="55" t="s">
        <v>1309</v>
      </c>
      <c r="AN1505" s="185" t="s">
        <v>114</v>
      </c>
      <c r="AO1505" s="185" t="s">
        <v>5150</v>
      </c>
      <c r="AQ1505" s="55" t="s">
        <v>553</v>
      </c>
      <c r="AR1505" s="55" t="s">
        <v>1556</v>
      </c>
      <c r="AS1505" s="55" t="s">
        <v>1575</v>
      </c>
      <c r="AU1505" s="181" t="s">
        <v>7494</v>
      </c>
      <c r="AV1505" s="185" t="s">
        <v>176</v>
      </c>
      <c r="AX1505" s="185" t="s">
        <v>176</v>
      </c>
      <c r="AZ1505" s="55" t="s">
        <v>464</v>
      </c>
      <c r="BA1505" s="55" t="s">
        <v>464</v>
      </c>
      <c r="BB1505" s="55" t="s">
        <v>2081</v>
      </c>
      <c r="BC1505" s="55" t="s">
        <v>2081</v>
      </c>
      <c r="BD1505" s="55" t="s">
        <v>176</v>
      </c>
      <c r="BK1505" s="55" t="s">
        <v>5976</v>
      </c>
      <c r="BM1505" s="192" t="s">
        <v>160</v>
      </c>
      <c r="BN1505" s="55">
        <v>4</v>
      </c>
      <c r="BO1505" s="55">
        <v>4</v>
      </c>
      <c r="BQ1505" s="55" t="s">
        <v>141</v>
      </c>
      <c r="CH1505" s="90">
        <v>1.48</v>
      </c>
      <c r="CI1505" s="90">
        <v>1.37</v>
      </c>
      <c r="CM1505" s="65">
        <v>2.11</v>
      </c>
      <c r="CN1505" s="65">
        <v>2.2000000000000002</v>
      </c>
      <c r="CQ1505" s="65" t="s">
        <v>593</v>
      </c>
      <c r="CV1505" s="65" t="s">
        <v>3040</v>
      </c>
      <c r="DA1505" s="65" t="s">
        <v>4456</v>
      </c>
      <c r="DB1505" s="65">
        <v>210</v>
      </c>
      <c r="DC1505" s="65">
        <v>220</v>
      </c>
      <c r="DF1505" s="65" t="s">
        <v>232</v>
      </c>
      <c r="DG1505" s="65">
        <v>40.799999999999997</v>
      </c>
      <c r="DH1505" s="65">
        <v>50</v>
      </c>
      <c r="DL1505" s="65">
        <v>72</v>
      </c>
      <c r="DM1505" s="65">
        <v>83</v>
      </c>
      <c r="DQ1505" s="165">
        <v>6.8</v>
      </c>
      <c r="DR1505" s="165">
        <v>6.6</v>
      </c>
      <c r="EK1505" s="90">
        <v>857</v>
      </c>
      <c r="EL1505" s="90">
        <v>842</v>
      </c>
      <c r="EO1505" s="65" t="s">
        <v>1429</v>
      </c>
      <c r="EU1505" s="65">
        <v>0.91</v>
      </c>
      <c r="EV1505" s="65">
        <v>1.49</v>
      </c>
      <c r="GD1505" s="65">
        <v>26</v>
      </c>
      <c r="GE1505" s="65">
        <v>25</v>
      </c>
      <c r="GH1505" s="65" t="s">
        <v>164</v>
      </c>
      <c r="GP1505" s="292" t="s">
        <v>7494</v>
      </c>
      <c r="HX1505" s="65">
        <v>1610</v>
      </c>
      <c r="HY1505" s="65">
        <v>1540</v>
      </c>
      <c r="IC1505" s="65">
        <v>23.3</v>
      </c>
      <c r="ID1505" s="65">
        <v>25.9</v>
      </c>
      <c r="JG1505" s="65">
        <f>0.000012*144</f>
        <v>1.7279999999999999E-3</v>
      </c>
      <c r="JH1505" s="65">
        <f>0.000012*114</f>
        <v>1.3680000000000001E-3</v>
      </c>
      <c r="JK1505" s="65" t="s">
        <v>1702</v>
      </c>
      <c r="JR1505" s="65">
        <v>99999</v>
      </c>
      <c r="JS1505" s="65">
        <v>99999</v>
      </c>
      <c r="JU1505" s="55" t="s">
        <v>413</v>
      </c>
      <c r="JW1505" s="55" t="s">
        <v>837</v>
      </c>
    </row>
    <row r="1506" spans="1:283" x14ac:dyDescent="0.25">
      <c r="A1506" s="55">
        <v>1505</v>
      </c>
      <c r="B1506" s="12" t="s">
        <v>7067</v>
      </c>
      <c r="C1506" s="155">
        <v>68</v>
      </c>
      <c r="D1506" s="55" t="s">
        <v>3991</v>
      </c>
      <c r="E1506" s="90" t="s">
        <v>989</v>
      </c>
      <c r="G1506" s="55" t="s">
        <v>990</v>
      </c>
      <c r="H1506" s="55">
        <v>2011</v>
      </c>
      <c r="I1506" s="55">
        <v>1995</v>
      </c>
      <c r="J1506" s="55" t="s">
        <v>397</v>
      </c>
      <c r="K1506" s="55" t="s">
        <v>1428</v>
      </c>
      <c r="L1506" s="55" t="s">
        <v>2737</v>
      </c>
      <c r="M1506" s="90">
        <v>43.3</v>
      </c>
      <c r="N1506" s="90">
        <v>-89.35</v>
      </c>
      <c r="O1506" s="90">
        <v>317.10000000000002</v>
      </c>
      <c r="U1506" s="55" t="s">
        <v>1682</v>
      </c>
      <c r="V1506" s="55" t="s">
        <v>1933</v>
      </c>
      <c r="Y1506" s="55" t="s">
        <v>1700</v>
      </c>
      <c r="Z1506" s="55" t="s">
        <v>1381</v>
      </c>
      <c r="AA1506" s="90" t="s">
        <v>1677</v>
      </c>
      <c r="AD1506" s="90">
        <v>1.37</v>
      </c>
      <c r="AH1506" s="55" t="s">
        <v>6378</v>
      </c>
      <c r="AM1506" s="55" t="s">
        <v>1309</v>
      </c>
      <c r="AN1506" s="185" t="s">
        <v>114</v>
      </c>
      <c r="AO1506" s="185" t="s">
        <v>5150</v>
      </c>
      <c r="AQ1506" s="55" t="s">
        <v>553</v>
      </c>
      <c r="AR1506" s="55" t="s">
        <v>1557</v>
      </c>
      <c r="AS1506" s="55" t="s">
        <v>1575</v>
      </c>
      <c r="AU1506" s="181" t="s">
        <v>7494</v>
      </c>
      <c r="AV1506" s="185" t="s">
        <v>176</v>
      </c>
      <c r="AX1506" s="185" t="s">
        <v>176</v>
      </c>
      <c r="AZ1506" s="55" t="s">
        <v>464</v>
      </c>
      <c r="BA1506" s="55" t="s">
        <v>464</v>
      </c>
      <c r="BB1506" s="55" t="s">
        <v>2081</v>
      </c>
      <c r="BC1506" s="55" t="s">
        <v>2081</v>
      </c>
      <c r="BD1506" s="55" t="s">
        <v>176</v>
      </c>
      <c r="BK1506" s="55" t="s">
        <v>5976</v>
      </c>
      <c r="BM1506" s="192" t="s">
        <v>160</v>
      </c>
      <c r="BN1506" s="55">
        <v>4</v>
      </c>
      <c r="BO1506" s="55">
        <v>4</v>
      </c>
      <c r="BQ1506" s="55" t="s">
        <v>141</v>
      </c>
      <c r="CH1506" s="90">
        <v>1.37</v>
      </c>
      <c r="CI1506" s="90">
        <v>1.41</v>
      </c>
      <c r="CM1506" s="65">
        <v>2.2999999999999998</v>
      </c>
      <c r="CN1506" s="65">
        <v>2.4</v>
      </c>
      <c r="CQ1506" s="65" t="s">
        <v>593</v>
      </c>
      <c r="CV1506" s="65" t="s">
        <v>3040</v>
      </c>
      <c r="DA1506" s="65" t="s">
        <v>4456</v>
      </c>
      <c r="DB1506" s="65">
        <v>230</v>
      </c>
      <c r="DC1506" s="65">
        <v>230</v>
      </c>
      <c r="DF1506" s="65" t="s">
        <v>232</v>
      </c>
      <c r="DG1506" s="65">
        <v>46.8</v>
      </c>
      <c r="DH1506" s="65">
        <v>50.5</v>
      </c>
      <c r="DL1506" s="65">
        <v>79</v>
      </c>
      <c r="DM1506" s="65">
        <v>75</v>
      </c>
      <c r="DQ1506" s="165">
        <v>6.8</v>
      </c>
      <c r="DR1506" s="165">
        <v>6.7</v>
      </c>
      <c r="EK1506" s="90">
        <v>851</v>
      </c>
      <c r="EL1506" s="90">
        <v>882</v>
      </c>
      <c r="EO1506" s="65" t="s">
        <v>1429</v>
      </c>
      <c r="EU1506" s="65">
        <v>1.02</v>
      </c>
      <c r="EV1506" s="65">
        <v>1.75</v>
      </c>
      <c r="GD1506" s="65">
        <v>26</v>
      </c>
      <c r="GE1506" s="65">
        <v>26</v>
      </c>
      <c r="GH1506" s="65" t="s">
        <v>164</v>
      </c>
      <c r="GP1506" s="292" t="s">
        <v>7494</v>
      </c>
      <c r="HX1506" s="65">
        <v>1840</v>
      </c>
      <c r="HY1506" s="65">
        <v>1820</v>
      </c>
      <c r="IC1506" s="65">
        <v>29.8</v>
      </c>
      <c r="ID1506" s="65">
        <v>30.9</v>
      </c>
      <c r="JG1506" s="65">
        <f>0.000012*134</f>
        <v>1.6080000000000001E-3</v>
      </c>
      <c r="JH1506" s="65">
        <f>0.000012*95</f>
        <v>1.14E-3</v>
      </c>
      <c r="JK1506" s="65" t="s">
        <v>1703</v>
      </c>
      <c r="JR1506" s="65">
        <v>99999</v>
      </c>
      <c r="JS1506" s="65">
        <v>99999</v>
      </c>
      <c r="JU1506" s="55" t="s">
        <v>413</v>
      </c>
      <c r="JW1506" s="55" t="s">
        <v>837</v>
      </c>
    </row>
    <row r="1507" spans="1:283" x14ac:dyDescent="0.25">
      <c r="A1507" s="55">
        <v>1506</v>
      </c>
      <c r="B1507" s="12" t="s">
        <v>7067</v>
      </c>
      <c r="C1507" s="155">
        <v>69</v>
      </c>
      <c r="D1507" s="55" t="s">
        <v>3992</v>
      </c>
      <c r="E1507" s="90" t="s">
        <v>1019</v>
      </c>
      <c r="G1507" s="55" t="s">
        <v>1020</v>
      </c>
      <c r="H1507" s="55">
        <v>2000</v>
      </c>
      <c r="I1507" s="55">
        <v>1995</v>
      </c>
      <c r="J1507" s="55" t="s">
        <v>309</v>
      </c>
      <c r="K1507" s="55" t="s">
        <v>1021</v>
      </c>
      <c r="L1507" s="55" t="s">
        <v>2737</v>
      </c>
      <c r="M1507" s="90">
        <v>41.15</v>
      </c>
      <c r="N1507" s="90">
        <v>-96.5</v>
      </c>
      <c r="O1507" s="90">
        <v>346.8</v>
      </c>
      <c r="U1507" s="55" t="s">
        <v>1805</v>
      </c>
      <c r="V1507" s="55" t="s">
        <v>1688</v>
      </c>
      <c r="Y1507" s="55" t="s">
        <v>1957</v>
      </c>
      <c r="Z1507" s="55" t="s">
        <v>1349</v>
      </c>
      <c r="AA1507" s="90" t="s">
        <v>1677</v>
      </c>
      <c r="AD1507" s="90">
        <v>1.28</v>
      </c>
      <c r="AH1507" s="55" t="s">
        <v>1022</v>
      </c>
      <c r="AI1507" s="168">
        <v>6.3</v>
      </c>
      <c r="AJ1507" s="90">
        <v>2.6</v>
      </c>
      <c r="AM1507" s="55" t="s">
        <v>1319</v>
      </c>
      <c r="AN1507" s="185" t="s">
        <v>1023</v>
      </c>
      <c r="AO1507" s="185" t="s">
        <v>5150</v>
      </c>
      <c r="AQ1507" s="55" t="s">
        <v>131</v>
      </c>
      <c r="AR1507" s="55" t="s">
        <v>158</v>
      </c>
      <c r="AS1507" s="55" t="s">
        <v>158</v>
      </c>
      <c r="AU1507" s="181" t="s">
        <v>7494</v>
      </c>
      <c r="AV1507" s="185" t="s">
        <v>176</v>
      </c>
      <c r="AX1507" s="185" t="s">
        <v>176</v>
      </c>
      <c r="BK1507" s="55" t="s">
        <v>5976</v>
      </c>
      <c r="BM1507" s="192" t="s">
        <v>160</v>
      </c>
      <c r="BN1507" s="55">
        <v>3</v>
      </c>
      <c r="BO1507" s="55">
        <v>3</v>
      </c>
      <c r="BQ1507" s="55" t="s">
        <v>141</v>
      </c>
      <c r="BS1507" s="55">
        <v>3170</v>
      </c>
      <c r="BU1507" s="55" t="s">
        <v>1026</v>
      </c>
      <c r="BV1507" s="55" t="s">
        <v>1024</v>
      </c>
      <c r="CB1507" s="66">
        <v>2150</v>
      </c>
      <c r="CC1507" s="66">
        <v>2160</v>
      </c>
      <c r="FY1507" s="65">
        <v>29.66</v>
      </c>
      <c r="FZ1507" s="65">
        <v>27</v>
      </c>
      <c r="GD1507" s="65">
        <f>27.05/1.28</f>
        <v>21.1328125</v>
      </c>
      <c r="GE1507" s="65">
        <f>25.62/1.28</f>
        <v>20.015625</v>
      </c>
      <c r="GH1507" s="65" t="s">
        <v>1045</v>
      </c>
      <c r="GP1507" s="292" t="s">
        <v>7494</v>
      </c>
      <c r="JU1507" s="55" t="s">
        <v>1029</v>
      </c>
    </row>
    <row r="1508" spans="1:283" x14ac:dyDescent="0.25">
      <c r="A1508" s="55">
        <v>1507</v>
      </c>
      <c r="B1508" s="12" t="s">
        <v>7067</v>
      </c>
      <c r="C1508" s="155">
        <v>69</v>
      </c>
      <c r="D1508" s="55" t="s">
        <v>3992</v>
      </c>
      <c r="E1508" s="90" t="s">
        <v>1019</v>
      </c>
      <c r="G1508" s="55" t="s">
        <v>1020</v>
      </c>
      <c r="H1508" s="55">
        <v>2000</v>
      </c>
      <c r="I1508" s="55">
        <v>1995</v>
      </c>
      <c r="J1508" s="55" t="s">
        <v>309</v>
      </c>
      <c r="K1508" s="55" t="s">
        <v>1021</v>
      </c>
      <c r="L1508" s="55" t="s">
        <v>2737</v>
      </c>
      <c r="M1508" s="90">
        <v>41.15</v>
      </c>
      <c r="N1508" s="90">
        <v>-96.5</v>
      </c>
      <c r="O1508" s="90">
        <v>346.8</v>
      </c>
      <c r="U1508" s="55" t="s">
        <v>1805</v>
      </c>
      <c r="V1508" s="55" t="s">
        <v>1688</v>
      </c>
      <c r="Y1508" s="55" t="s">
        <v>1957</v>
      </c>
      <c r="Z1508" s="55" t="s">
        <v>1349</v>
      </c>
      <c r="AA1508" s="90" t="s">
        <v>1677</v>
      </c>
      <c r="AD1508" s="90">
        <v>1.28</v>
      </c>
      <c r="AH1508" s="55" t="s">
        <v>1022</v>
      </c>
      <c r="AI1508" s="168">
        <v>6.3</v>
      </c>
      <c r="AJ1508" s="90">
        <v>2.6</v>
      </c>
      <c r="AM1508" s="55" t="s">
        <v>1319</v>
      </c>
      <c r="AN1508" s="185" t="s">
        <v>131</v>
      </c>
      <c r="AO1508" s="185" t="s">
        <v>5150</v>
      </c>
      <c r="AQ1508" s="55" t="s">
        <v>131</v>
      </c>
      <c r="AR1508" s="55" t="s">
        <v>158</v>
      </c>
      <c r="AS1508" s="55" t="s">
        <v>158</v>
      </c>
      <c r="AU1508" s="181" t="s">
        <v>7494</v>
      </c>
      <c r="AV1508" s="185" t="s">
        <v>176</v>
      </c>
      <c r="AX1508" s="185" t="s">
        <v>176</v>
      </c>
      <c r="BK1508" s="55" t="s">
        <v>5976</v>
      </c>
      <c r="BM1508" s="192" t="s">
        <v>160</v>
      </c>
      <c r="BN1508" s="55">
        <v>3</v>
      </c>
      <c r="BO1508" s="55">
        <v>3</v>
      </c>
      <c r="BQ1508" s="55" t="s">
        <v>141</v>
      </c>
      <c r="BS1508" s="55">
        <v>6310</v>
      </c>
      <c r="BU1508" s="55" t="s">
        <v>1026</v>
      </c>
      <c r="BV1508" s="55" t="s">
        <v>1024</v>
      </c>
      <c r="CB1508" s="66">
        <v>2150</v>
      </c>
      <c r="CC1508" s="66">
        <v>1910</v>
      </c>
      <c r="GD1508" s="65">
        <f>27.05/1.28</f>
        <v>21.1328125</v>
      </c>
      <c r="GE1508" s="65">
        <f>30.54/1.28</f>
        <v>23.859375</v>
      </c>
      <c r="GH1508" s="65" t="s">
        <v>1045</v>
      </c>
      <c r="GP1508" s="292" t="s">
        <v>7494</v>
      </c>
      <c r="JU1508" s="55" t="s">
        <v>1029</v>
      </c>
    </row>
    <row r="1509" spans="1:283" x14ac:dyDescent="0.25">
      <c r="A1509" s="55">
        <v>1508</v>
      </c>
      <c r="B1509" s="12" t="s">
        <v>7067</v>
      </c>
      <c r="C1509" s="155">
        <v>69</v>
      </c>
      <c r="D1509" s="55" t="s">
        <v>3993</v>
      </c>
      <c r="E1509" s="90" t="s">
        <v>1019</v>
      </c>
      <c r="G1509" s="55" t="s">
        <v>1020</v>
      </c>
      <c r="H1509" s="55">
        <v>2000</v>
      </c>
      <c r="I1509" s="55">
        <v>1995</v>
      </c>
      <c r="J1509" s="55" t="s">
        <v>309</v>
      </c>
      <c r="K1509" s="55" t="s">
        <v>1021</v>
      </c>
      <c r="L1509" s="55" t="s">
        <v>2737</v>
      </c>
      <c r="M1509" s="90">
        <v>41.15</v>
      </c>
      <c r="N1509" s="90">
        <v>-96.5</v>
      </c>
      <c r="O1509" s="90">
        <v>346.8</v>
      </c>
      <c r="U1509" s="55" t="s">
        <v>1805</v>
      </c>
      <c r="V1509" s="55" t="s">
        <v>1688</v>
      </c>
      <c r="Y1509" s="55" t="s">
        <v>1957</v>
      </c>
      <c r="Z1509" s="55" t="s">
        <v>1349</v>
      </c>
      <c r="AA1509" s="90" t="s">
        <v>1677</v>
      </c>
      <c r="AD1509" s="90">
        <v>1.28</v>
      </c>
      <c r="AH1509" s="55" t="s">
        <v>1022</v>
      </c>
      <c r="AI1509" s="168">
        <v>6.3</v>
      </c>
      <c r="AJ1509" s="90">
        <v>2.6</v>
      </c>
      <c r="AM1509" s="55" t="s">
        <v>1319</v>
      </c>
      <c r="AN1509" s="185" t="s">
        <v>764</v>
      </c>
      <c r="AO1509" s="185" t="s">
        <v>5150</v>
      </c>
      <c r="AQ1509" s="55" t="s">
        <v>1545</v>
      </c>
      <c r="AR1509" s="55" t="s">
        <v>158</v>
      </c>
      <c r="AS1509" s="55" t="s">
        <v>158</v>
      </c>
      <c r="AU1509" s="181" t="s">
        <v>7494</v>
      </c>
      <c r="AV1509" s="185" t="s">
        <v>176</v>
      </c>
      <c r="AX1509" s="185" t="s">
        <v>176</v>
      </c>
      <c r="BK1509" s="55" t="s">
        <v>5976</v>
      </c>
      <c r="BM1509" s="192" t="s">
        <v>160</v>
      </c>
      <c r="BN1509" s="55">
        <v>3</v>
      </c>
      <c r="BO1509" s="55">
        <v>3</v>
      </c>
      <c r="BQ1509" s="55" t="s">
        <v>141</v>
      </c>
      <c r="BS1509" s="55">
        <v>7160</v>
      </c>
      <c r="BU1509" s="55" t="s">
        <v>1026</v>
      </c>
      <c r="BV1509" s="55" t="s">
        <v>1024</v>
      </c>
      <c r="CB1509" s="66">
        <v>2150</v>
      </c>
      <c r="CC1509" s="66">
        <v>2200</v>
      </c>
      <c r="GD1509" s="65">
        <f>27.05/1.28</f>
        <v>21.1328125</v>
      </c>
      <c r="GE1509" s="65">
        <f>28.9/1.28</f>
        <v>22.578125</v>
      </c>
      <c r="GH1509" s="65" t="s">
        <v>1045</v>
      </c>
      <c r="GP1509" s="292" t="s">
        <v>7494</v>
      </c>
      <c r="JU1509" s="55" t="s">
        <v>1029</v>
      </c>
    </row>
    <row r="1510" spans="1:283" x14ac:dyDescent="0.25">
      <c r="A1510" s="55">
        <v>1509</v>
      </c>
      <c r="B1510" s="12" t="s">
        <v>7067</v>
      </c>
      <c r="C1510" s="155">
        <v>69</v>
      </c>
      <c r="D1510" s="55" t="s">
        <v>3993</v>
      </c>
      <c r="E1510" s="90" t="s">
        <v>1019</v>
      </c>
      <c r="G1510" s="55" t="s">
        <v>1020</v>
      </c>
      <c r="H1510" s="55">
        <v>2000</v>
      </c>
      <c r="I1510" s="55">
        <v>1995</v>
      </c>
      <c r="J1510" s="55" t="s">
        <v>309</v>
      </c>
      <c r="K1510" s="55" t="s">
        <v>1021</v>
      </c>
      <c r="L1510" s="55" t="s">
        <v>2737</v>
      </c>
      <c r="M1510" s="90">
        <v>41.15</v>
      </c>
      <c r="N1510" s="90">
        <v>-96.5</v>
      </c>
      <c r="O1510" s="90">
        <v>346.8</v>
      </c>
      <c r="U1510" s="55" t="s">
        <v>1805</v>
      </c>
      <c r="V1510" s="55" t="s">
        <v>1688</v>
      </c>
      <c r="Y1510" s="55" t="s">
        <v>1957</v>
      </c>
      <c r="Z1510" s="55" t="s">
        <v>1349</v>
      </c>
      <c r="AA1510" s="90" t="s">
        <v>1677</v>
      </c>
      <c r="AD1510" s="90">
        <v>1.28</v>
      </c>
      <c r="AH1510" s="55" t="s">
        <v>1022</v>
      </c>
      <c r="AI1510" s="168">
        <v>6.3</v>
      </c>
      <c r="AJ1510" s="90">
        <v>2.6</v>
      </c>
      <c r="AM1510" s="55" t="s">
        <v>1319</v>
      </c>
      <c r="AN1510" s="185" t="s">
        <v>116</v>
      </c>
      <c r="AO1510" s="185" t="s">
        <v>5150</v>
      </c>
      <c r="AQ1510" s="55" t="s">
        <v>1545</v>
      </c>
      <c r="AR1510" s="55" t="s">
        <v>158</v>
      </c>
      <c r="AS1510" s="55" t="s">
        <v>158</v>
      </c>
      <c r="AU1510" s="181" t="s">
        <v>7494</v>
      </c>
      <c r="AV1510" s="185" t="s">
        <v>176</v>
      </c>
      <c r="AX1510" s="185" t="s">
        <v>176</v>
      </c>
      <c r="BK1510" s="55" t="s">
        <v>5976</v>
      </c>
      <c r="BM1510" s="192" t="s">
        <v>160</v>
      </c>
      <c r="BN1510" s="55">
        <v>3</v>
      </c>
      <c r="BO1510" s="55">
        <v>3</v>
      </c>
      <c r="BQ1510" s="55" t="s">
        <v>141</v>
      </c>
      <c r="BS1510" s="55">
        <v>6710</v>
      </c>
      <c r="BU1510" s="55" t="s">
        <v>1026</v>
      </c>
      <c r="BV1510" s="55" t="s">
        <v>1024</v>
      </c>
      <c r="CB1510" s="66">
        <v>2150</v>
      </c>
      <c r="CC1510" s="66">
        <v>2330</v>
      </c>
      <c r="GD1510" s="65">
        <f>27.05/1.28</f>
        <v>21.1328125</v>
      </c>
      <c r="GE1510" s="65">
        <f>28.9/1.28</f>
        <v>22.578125</v>
      </c>
      <c r="GH1510" s="65" t="s">
        <v>1045</v>
      </c>
      <c r="GP1510" s="292" t="s">
        <v>7494</v>
      </c>
      <c r="JU1510" s="55" t="s">
        <v>1029</v>
      </c>
    </row>
    <row r="1511" spans="1:283" x14ac:dyDescent="0.25">
      <c r="A1511" s="55">
        <v>1510</v>
      </c>
      <c r="B1511" s="12" t="s">
        <v>7067</v>
      </c>
      <c r="C1511" s="155">
        <v>69</v>
      </c>
      <c r="D1511" s="55" t="s">
        <v>3992</v>
      </c>
      <c r="E1511" s="90" t="s">
        <v>1019</v>
      </c>
      <c r="G1511" s="55" t="s">
        <v>1020</v>
      </c>
      <c r="H1511" s="55">
        <v>2000</v>
      </c>
      <c r="I1511" s="55">
        <v>1995</v>
      </c>
      <c r="J1511" s="55" t="s">
        <v>309</v>
      </c>
      <c r="K1511" s="55" t="s">
        <v>1021</v>
      </c>
      <c r="L1511" s="55" t="s">
        <v>2737</v>
      </c>
      <c r="M1511" s="90">
        <v>41.15</v>
      </c>
      <c r="N1511" s="90">
        <v>-96.5</v>
      </c>
      <c r="O1511" s="90">
        <v>346.8</v>
      </c>
      <c r="U1511" s="55" t="s">
        <v>1805</v>
      </c>
      <c r="V1511" s="55" t="s">
        <v>1688</v>
      </c>
      <c r="Y1511" s="55" t="s">
        <v>1957</v>
      </c>
      <c r="Z1511" s="55" t="s">
        <v>1349</v>
      </c>
      <c r="AA1511" s="90" t="s">
        <v>1677</v>
      </c>
      <c r="AD1511" s="90">
        <v>1.28</v>
      </c>
      <c r="AH1511" s="55" t="s">
        <v>1022</v>
      </c>
      <c r="AI1511" s="168">
        <v>6.3</v>
      </c>
      <c r="AJ1511" s="90">
        <v>2.6</v>
      </c>
      <c r="AM1511" s="55" t="s">
        <v>1319</v>
      </c>
      <c r="AN1511" s="185" t="s">
        <v>1023</v>
      </c>
      <c r="AO1511" s="185" t="s">
        <v>5150</v>
      </c>
      <c r="AQ1511" s="55" t="s">
        <v>131</v>
      </c>
      <c r="AR1511" s="55" t="s">
        <v>158</v>
      </c>
      <c r="AS1511" s="55" t="s">
        <v>158</v>
      </c>
      <c r="AU1511" s="181" t="s">
        <v>7494</v>
      </c>
      <c r="AV1511" s="185" t="s">
        <v>176</v>
      </c>
      <c r="AX1511" s="185" t="s">
        <v>176</v>
      </c>
      <c r="BK1511" s="55" t="s">
        <v>5976</v>
      </c>
      <c r="BM1511" s="192" t="s">
        <v>160</v>
      </c>
      <c r="BN1511" s="55">
        <v>3</v>
      </c>
      <c r="BO1511" s="55">
        <v>3</v>
      </c>
      <c r="BQ1511" s="55" t="s">
        <v>141</v>
      </c>
      <c r="BS1511" s="55">
        <v>3170</v>
      </c>
      <c r="BU1511" s="55" t="s">
        <v>1026</v>
      </c>
      <c r="BV1511" s="55" t="s">
        <v>1025</v>
      </c>
      <c r="CB1511" s="66">
        <v>1980</v>
      </c>
      <c r="CC1511" s="66">
        <v>1100</v>
      </c>
      <c r="GD1511" s="65">
        <f>18.19/1.28</f>
        <v>14.2109375</v>
      </c>
      <c r="GE1511" s="65">
        <f>20.79/1.28</f>
        <v>16.2421875</v>
      </c>
      <c r="GH1511" s="65" t="s">
        <v>1045</v>
      </c>
      <c r="GP1511" s="292" t="s">
        <v>7494</v>
      </c>
      <c r="JU1511" s="55" t="s">
        <v>1029</v>
      </c>
    </row>
    <row r="1512" spans="1:283" x14ac:dyDescent="0.25">
      <c r="A1512" s="55">
        <v>1511</v>
      </c>
      <c r="B1512" s="12" t="s">
        <v>7067</v>
      </c>
      <c r="C1512" s="155">
        <v>69</v>
      </c>
      <c r="D1512" s="55" t="s">
        <v>3992</v>
      </c>
      <c r="E1512" s="90" t="s">
        <v>1019</v>
      </c>
      <c r="G1512" s="55" t="s">
        <v>1020</v>
      </c>
      <c r="H1512" s="55">
        <v>2000</v>
      </c>
      <c r="I1512" s="55">
        <v>1995</v>
      </c>
      <c r="J1512" s="55" t="s">
        <v>309</v>
      </c>
      <c r="K1512" s="55" t="s">
        <v>1021</v>
      </c>
      <c r="L1512" s="55" t="s">
        <v>2737</v>
      </c>
      <c r="M1512" s="90">
        <v>41.15</v>
      </c>
      <c r="N1512" s="90">
        <v>-96.5</v>
      </c>
      <c r="O1512" s="90">
        <v>346.8</v>
      </c>
      <c r="U1512" s="55" t="s">
        <v>1805</v>
      </c>
      <c r="V1512" s="55" t="s">
        <v>1688</v>
      </c>
      <c r="Y1512" s="55" t="s">
        <v>1957</v>
      </c>
      <c r="Z1512" s="55" t="s">
        <v>1349</v>
      </c>
      <c r="AA1512" s="90" t="s">
        <v>1677</v>
      </c>
      <c r="AD1512" s="90">
        <v>1.28</v>
      </c>
      <c r="AH1512" s="55" t="s">
        <v>1022</v>
      </c>
      <c r="AI1512" s="168">
        <v>6.3</v>
      </c>
      <c r="AJ1512" s="90">
        <v>2.6</v>
      </c>
      <c r="AM1512" s="55" t="s">
        <v>1319</v>
      </c>
      <c r="AN1512" s="185" t="s">
        <v>131</v>
      </c>
      <c r="AO1512" s="185" t="s">
        <v>5150</v>
      </c>
      <c r="AQ1512" s="55" t="s">
        <v>131</v>
      </c>
      <c r="AR1512" s="55" t="s">
        <v>158</v>
      </c>
      <c r="AS1512" s="55" t="s">
        <v>158</v>
      </c>
      <c r="AU1512" s="181" t="s">
        <v>7494</v>
      </c>
      <c r="AV1512" s="185" t="s">
        <v>176</v>
      </c>
      <c r="AX1512" s="185" t="s">
        <v>176</v>
      </c>
      <c r="BK1512" s="55" t="s">
        <v>5976</v>
      </c>
      <c r="BM1512" s="192" t="s">
        <v>160</v>
      </c>
      <c r="BN1512" s="55">
        <v>3</v>
      </c>
      <c r="BO1512" s="55">
        <v>3</v>
      </c>
      <c r="BQ1512" s="55" t="s">
        <v>141</v>
      </c>
      <c r="BS1512" s="55">
        <v>6310</v>
      </c>
      <c r="BU1512" s="55" t="s">
        <v>1026</v>
      </c>
      <c r="BV1512" s="55" t="s">
        <v>1025</v>
      </c>
      <c r="CB1512" s="66">
        <v>1980</v>
      </c>
      <c r="CC1512" s="66">
        <v>1170</v>
      </c>
      <c r="GD1512" s="65">
        <f>18.19/1.28</f>
        <v>14.2109375</v>
      </c>
      <c r="GE1512" s="65">
        <f>22.62/1.28</f>
        <v>17.671875</v>
      </c>
      <c r="GH1512" s="65" t="s">
        <v>1045</v>
      </c>
      <c r="GP1512" s="292" t="s">
        <v>7494</v>
      </c>
      <c r="JU1512" s="55" t="s">
        <v>1029</v>
      </c>
    </row>
    <row r="1513" spans="1:283" x14ac:dyDescent="0.25">
      <c r="A1513" s="55">
        <v>1512</v>
      </c>
      <c r="B1513" s="12" t="s">
        <v>7067</v>
      </c>
      <c r="C1513" s="155">
        <v>69</v>
      </c>
      <c r="D1513" s="55" t="s">
        <v>3993</v>
      </c>
      <c r="E1513" s="90" t="s">
        <v>1019</v>
      </c>
      <c r="G1513" s="55" t="s">
        <v>1020</v>
      </c>
      <c r="H1513" s="55">
        <v>2000</v>
      </c>
      <c r="I1513" s="55">
        <v>1995</v>
      </c>
      <c r="J1513" s="55" t="s">
        <v>309</v>
      </c>
      <c r="K1513" s="55" t="s">
        <v>1021</v>
      </c>
      <c r="L1513" s="55" t="s">
        <v>2737</v>
      </c>
      <c r="M1513" s="90">
        <v>41.15</v>
      </c>
      <c r="N1513" s="90">
        <v>-96.5</v>
      </c>
      <c r="O1513" s="90">
        <v>346.8</v>
      </c>
      <c r="U1513" s="55" t="s">
        <v>1805</v>
      </c>
      <c r="V1513" s="55" t="s">
        <v>1688</v>
      </c>
      <c r="Y1513" s="55" t="s">
        <v>1957</v>
      </c>
      <c r="Z1513" s="55" t="s">
        <v>1349</v>
      </c>
      <c r="AA1513" s="90" t="s">
        <v>1677</v>
      </c>
      <c r="AD1513" s="90">
        <v>1.28</v>
      </c>
      <c r="AH1513" s="55" t="s">
        <v>1022</v>
      </c>
      <c r="AI1513" s="168">
        <v>6.3</v>
      </c>
      <c r="AJ1513" s="90">
        <v>2.6</v>
      </c>
      <c r="AM1513" s="55" t="s">
        <v>1319</v>
      </c>
      <c r="AN1513" s="185" t="s">
        <v>764</v>
      </c>
      <c r="AO1513" s="185" t="s">
        <v>5150</v>
      </c>
      <c r="AQ1513" s="55" t="s">
        <v>1545</v>
      </c>
      <c r="AR1513" s="55" t="s">
        <v>158</v>
      </c>
      <c r="AS1513" s="55" t="s">
        <v>158</v>
      </c>
      <c r="AU1513" s="181" t="s">
        <v>7494</v>
      </c>
      <c r="AV1513" s="185" t="s">
        <v>176</v>
      </c>
      <c r="AX1513" s="185" t="s">
        <v>176</v>
      </c>
      <c r="BK1513" s="55" t="s">
        <v>5976</v>
      </c>
      <c r="BM1513" s="192" t="s">
        <v>160</v>
      </c>
      <c r="BN1513" s="55">
        <v>3</v>
      </c>
      <c r="BO1513" s="55">
        <v>3</v>
      </c>
      <c r="BQ1513" s="55" t="s">
        <v>141</v>
      </c>
      <c r="BS1513" s="55">
        <v>7160</v>
      </c>
      <c r="BU1513" s="55" t="s">
        <v>1026</v>
      </c>
      <c r="BV1513" s="55" t="s">
        <v>1025</v>
      </c>
      <c r="CB1513" s="66">
        <v>1980</v>
      </c>
      <c r="CC1513" s="66">
        <v>1410</v>
      </c>
      <c r="GD1513" s="65">
        <f>18.19/1.28</f>
        <v>14.2109375</v>
      </c>
      <c r="GE1513" s="65">
        <f>20.18/1.28</f>
        <v>15.765625</v>
      </c>
      <c r="GH1513" s="65" t="s">
        <v>1045</v>
      </c>
      <c r="GP1513" s="292" t="s">
        <v>7494</v>
      </c>
      <c r="JU1513" s="55" t="s">
        <v>1029</v>
      </c>
    </row>
    <row r="1514" spans="1:283" x14ac:dyDescent="0.25">
      <c r="A1514" s="55">
        <v>1513</v>
      </c>
      <c r="B1514" s="12" t="s">
        <v>7067</v>
      </c>
      <c r="C1514" s="155">
        <v>69</v>
      </c>
      <c r="D1514" s="55" t="s">
        <v>3993</v>
      </c>
      <c r="E1514" s="90" t="s">
        <v>1019</v>
      </c>
      <c r="G1514" s="55" t="s">
        <v>1020</v>
      </c>
      <c r="H1514" s="55">
        <v>2000</v>
      </c>
      <c r="I1514" s="55">
        <v>1995</v>
      </c>
      <c r="J1514" s="55" t="s">
        <v>309</v>
      </c>
      <c r="K1514" s="55" t="s">
        <v>1021</v>
      </c>
      <c r="L1514" s="55" t="s">
        <v>2737</v>
      </c>
      <c r="M1514" s="90">
        <v>41.15</v>
      </c>
      <c r="N1514" s="90">
        <v>-96.5</v>
      </c>
      <c r="O1514" s="90">
        <v>346.8</v>
      </c>
      <c r="U1514" s="55" t="s">
        <v>1805</v>
      </c>
      <c r="V1514" s="55" t="s">
        <v>1688</v>
      </c>
      <c r="Y1514" s="55" t="s">
        <v>1957</v>
      </c>
      <c r="Z1514" s="55" t="s">
        <v>1349</v>
      </c>
      <c r="AA1514" s="90" t="s">
        <v>1677</v>
      </c>
      <c r="AD1514" s="90">
        <v>1.28</v>
      </c>
      <c r="AH1514" s="55" t="s">
        <v>1022</v>
      </c>
      <c r="AI1514" s="168">
        <v>6.3</v>
      </c>
      <c r="AJ1514" s="90">
        <v>2.6</v>
      </c>
      <c r="AM1514" s="55" t="s">
        <v>1319</v>
      </c>
      <c r="AN1514" s="185" t="s">
        <v>116</v>
      </c>
      <c r="AO1514" s="185" t="s">
        <v>5150</v>
      </c>
      <c r="AQ1514" s="55" t="s">
        <v>1545</v>
      </c>
      <c r="AR1514" s="55" t="s">
        <v>158</v>
      </c>
      <c r="AS1514" s="55" t="s">
        <v>158</v>
      </c>
      <c r="AU1514" s="181" t="s">
        <v>7494</v>
      </c>
      <c r="AV1514" s="185" t="s">
        <v>176</v>
      </c>
      <c r="AX1514" s="185" t="s">
        <v>176</v>
      </c>
      <c r="BK1514" s="55" t="s">
        <v>5976</v>
      </c>
      <c r="BM1514" s="192" t="s">
        <v>160</v>
      </c>
      <c r="BN1514" s="55">
        <v>3</v>
      </c>
      <c r="BO1514" s="55">
        <v>3</v>
      </c>
      <c r="BQ1514" s="55" t="s">
        <v>141</v>
      </c>
      <c r="BS1514" s="55">
        <v>6710</v>
      </c>
      <c r="BU1514" s="55" t="s">
        <v>1026</v>
      </c>
      <c r="BV1514" s="55" t="s">
        <v>1025</v>
      </c>
      <c r="CB1514" s="66">
        <v>1980</v>
      </c>
      <c r="CC1514" s="66">
        <v>1510</v>
      </c>
      <c r="GD1514" s="65">
        <f>18.19/1.28</f>
        <v>14.2109375</v>
      </c>
      <c r="GE1514" s="65">
        <f>20.18/1.28</f>
        <v>15.765625</v>
      </c>
      <c r="GH1514" s="65" t="s">
        <v>1045</v>
      </c>
      <c r="GP1514" s="292" t="s">
        <v>7494</v>
      </c>
      <c r="JU1514" s="55" t="s">
        <v>1029</v>
      </c>
    </row>
    <row r="1515" spans="1:283" x14ac:dyDescent="0.25">
      <c r="A1515" s="55">
        <v>1514</v>
      </c>
      <c r="B1515" s="12" t="s">
        <v>7067</v>
      </c>
      <c r="C1515" s="155">
        <v>69</v>
      </c>
      <c r="D1515" s="55" t="s">
        <v>3992</v>
      </c>
      <c r="E1515" s="90" t="s">
        <v>1019</v>
      </c>
      <c r="G1515" s="55" t="s">
        <v>1020</v>
      </c>
      <c r="H1515" s="55">
        <v>2000</v>
      </c>
      <c r="I1515" s="55">
        <v>1996</v>
      </c>
      <c r="J1515" s="55" t="s">
        <v>309</v>
      </c>
      <c r="K1515" s="55" t="s">
        <v>1021</v>
      </c>
      <c r="L1515" s="55" t="s">
        <v>2737</v>
      </c>
      <c r="M1515" s="90">
        <v>41.15</v>
      </c>
      <c r="N1515" s="90">
        <v>-96.5</v>
      </c>
      <c r="O1515" s="90">
        <v>346.8</v>
      </c>
      <c r="U1515" s="55" t="s">
        <v>1688</v>
      </c>
      <c r="V1515" s="55" t="s">
        <v>1688</v>
      </c>
      <c r="Y1515" s="55" t="s">
        <v>1957</v>
      </c>
      <c r="Z1515" s="55" t="s">
        <v>1349</v>
      </c>
      <c r="AA1515" s="90" t="s">
        <v>1677</v>
      </c>
      <c r="AD1515" s="90">
        <v>1.28</v>
      </c>
      <c r="AH1515" s="55" t="s">
        <v>1022</v>
      </c>
      <c r="AI1515" s="168">
        <v>6.3</v>
      </c>
      <c r="AJ1515" s="90">
        <v>2.6</v>
      </c>
      <c r="AM1515" s="55" t="s">
        <v>1319</v>
      </c>
      <c r="AN1515" s="185" t="s">
        <v>1023</v>
      </c>
      <c r="AO1515" s="185" t="s">
        <v>5150</v>
      </c>
      <c r="AQ1515" s="55" t="s">
        <v>131</v>
      </c>
      <c r="AR1515" s="55" t="s">
        <v>158</v>
      </c>
      <c r="AS1515" s="55" t="s">
        <v>158</v>
      </c>
      <c r="AU1515" s="181" t="s">
        <v>7494</v>
      </c>
      <c r="AV1515" s="185" t="s">
        <v>176</v>
      </c>
      <c r="AX1515" s="185" t="s">
        <v>176</v>
      </c>
      <c r="BK1515" s="55" t="s">
        <v>5976</v>
      </c>
      <c r="BM1515" s="192" t="s">
        <v>160</v>
      </c>
      <c r="BN1515" s="55">
        <v>3</v>
      </c>
      <c r="BO1515" s="55">
        <v>3</v>
      </c>
      <c r="BQ1515" s="55" t="s">
        <v>141</v>
      </c>
      <c r="BS1515" s="55">
        <v>130</v>
      </c>
      <c r="BU1515" s="55" t="s">
        <v>1027</v>
      </c>
      <c r="CB1515" s="66">
        <v>1200</v>
      </c>
      <c r="CC1515" s="66">
        <v>1480</v>
      </c>
      <c r="FY1515" s="65">
        <v>24.88</v>
      </c>
      <c r="FZ1515" s="65">
        <v>20.39</v>
      </c>
      <c r="GD1515" s="65">
        <f>17.57/1.28</f>
        <v>13.7265625</v>
      </c>
      <c r="GE1515" s="65">
        <f>22.21/1.28</f>
        <v>17.3515625</v>
      </c>
      <c r="GH1515" s="65" t="s">
        <v>1045</v>
      </c>
      <c r="GP1515" s="292" t="s">
        <v>7494</v>
      </c>
      <c r="JU1515" s="55" t="s">
        <v>1029</v>
      </c>
    </row>
    <row r="1516" spans="1:283" x14ac:dyDescent="0.25">
      <c r="A1516" s="55">
        <v>1515</v>
      </c>
      <c r="B1516" s="12" t="s">
        <v>7067</v>
      </c>
      <c r="C1516" s="155">
        <v>69</v>
      </c>
      <c r="D1516" s="55" t="s">
        <v>3992</v>
      </c>
      <c r="E1516" s="90" t="s">
        <v>1019</v>
      </c>
      <c r="G1516" s="55" t="s">
        <v>1020</v>
      </c>
      <c r="H1516" s="55">
        <v>2000</v>
      </c>
      <c r="I1516" s="55">
        <v>1996</v>
      </c>
      <c r="J1516" s="55" t="s">
        <v>309</v>
      </c>
      <c r="K1516" s="55" t="s">
        <v>1021</v>
      </c>
      <c r="L1516" s="55" t="s">
        <v>2737</v>
      </c>
      <c r="M1516" s="90">
        <v>41.15</v>
      </c>
      <c r="N1516" s="90">
        <v>-96.5</v>
      </c>
      <c r="O1516" s="90">
        <v>346.8</v>
      </c>
      <c r="U1516" s="55" t="s">
        <v>1688</v>
      </c>
      <c r="V1516" s="55" t="s">
        <v>1688</v>
      </c>
      <c r="Y1516" s="55" t="s">
        <v>1957</v>
      </c>
      <c r="Z1516" s="55" t="s">
        <v>1349</v>
      </c>
      <c r="AA1516" s="90" t="s">
        <v>1677</v>
      </c>
      <c r="AD1516" s="90">
        <v>1.28</v>
      </c>
      <c r="AH1516" s="55" t="s">
        <v>1022</v>
      </c>
      <c r="AI1516" s="168">
        <v>6.3</v>
      </c>
      <c r="AJ1516" s="90">
        <v>2.6</v>
      </c>
      <c r="AM1516" s="55" t="s">
        <v>1319</v>
      </c>
      <c r="AN1516" s="185" t="s">
        <v>131</v>
      </c>
      <c r="AO1516" s="185" t="s">
        <v>5150</v>
      </c>
      <c r="AQ1516" s="55" t="s">
        <v>131</v>
      </c>
      <c r="AR1516" s="55" t="s">
        <v>158</v>
      </c>
      <c r="AS1516" s="55" t="s">
        <v>158</v>
      </c>
      <c r="AU1516" s="181" t="s">
        <v>7494</v>
      </c>
      <c r="AV1516" s="185" t="s">
        <v>176</v>
      </c>
      <c r="AX1516" s="185" t="s">
        <v>176</v>
      </c>
      <c r="BK1516" s="55" t="s">
        <v>5976</v>
      </c>
      <c r="BM1516" s="192" t="s">
        <v>160</v>
      </c>
      <c r="BN1516" s="55">
        <v>3</v>
      </c>
      <c r="BO1516" s="55">
        <v>3</v>
      </c>
      <c r="BQ1516" s="55" t="s">
        <v>141</v>
      </c>
      <c r="BS1516" s="55">
        <v>2890</v>
      </c>
      <c r="BU1516" s="55" t="s">
        <v>1028</v>
      </c>
      <c r="CB1516" s="66">
        <v>1200</v>
      </c>
      <c r="CC1516" s="66">
        <v>2190</v>
      </c>
      <c r="GD1516" s="65">
        <f>17.57/1.28</f>
        <v>13.7265625</v>
      </c>
      <c r="GE1516" s="65">
        <f>19.61/1.28</f>
        <v>15.3203125</v>
      </c>
      <c r="GH1516" s="65" t="s">
        <v>1045</v>
      </c>
      <c r="GP1516" s="292" t="s">
        <v>7494</v>
      </c>
      <c r="JU1516" s="55" t="s">
        <v>1029</v>
      </c>
    </row>
    <row r="1517" spans="1:283" x14ac:dyDescent="0.25">
      <c r="A1517" s="55">
        <v>1516</v>
      </c>
      <c r="B1517" s="12" t="s">
        <v>7067</v>
      </c>
      <c r="C1517" s="155">
        <v>69</v>
      </c>
      <c r="D1517" s="55" t="s">
        <v>3993</v>
      </c>
      <c r="E1517" s="90" t="s">
        <v>1019</v>
      </c>
      <c r="G1517" s="55" t="s">
        <v>1020</v>
      </c>
      <c r="H1517" s="55">
        <v>2000</v>
      </c>
      <c r="I1517" s="55">
        <v>1996</v>
      </c>
      <c r="J1517" s="55" t="s">
        <v>309</v>
      </c>
      <c r="K1517" s="55" t="s">
        <v>1021</v>
      </c>
      <c r="L1517" s="55" t="s">
        <v>2737</v>
      </c>
      <c r="M1517" s="90">
        <v>41.15</v>
      </c>
      <c r="N1517" s="90">
        <v>-96.5</v>
      </c>
      <c r="O1517" s="90">
        <v>346.8</v>
      </c>
      <c r="U1517" s="55" t="s">
        <v>1688</v>
      </c>
      <c r="V1517" s="55" t="s">
        <v>1688</v>
      </c>
      <c r="Y1517" s="55" t="s">
        <v>1957</v>
      </c>
      <c r="Z1517" s="55" t="s">
        <v>1349</v>
      </c>
      <c r="AA1517" s="90" t="s">
        <v>1677</v>
      </c>
      <c r="AD1517" s="90">
        <v>1.28</v>
      </c>
      <c r="AH1517" s="55" t="s">
        <v>1022</v>
      </c>
      <c r="AI1517" s="168">
        <v>6.3</v>
      </c>
      <c r="AJ1517" s="90">
        <v>2.6</v>
      </c>
      <c r="AM1517" s="55" t="s">
        <v>1319</v>
      </c>
      <c r="AN1517" s="185" t="s">
        <v>764</v>
      </c>
      <c r="AO1517" s="185" t="s">
        <v>5150</v>
      </c>
      <c r="AQ1517" s="55" t="s">
        <v>1545</v>
      </c>
      <c r="AR1517" s="55" t="s">
        <v>158</v>
      </c>
      <c r="AS1517" s="55" t="s">
        <v>158</v>
      </c>
      <c r="AU1517" s="181" t="s">
        <v>7494</v>
      </c>
      <c r="AV1517" s="185" t="s">
        <v>176</v>
      </c>
      <c r="AX1517" s="185" t="s">
        <v>176</v>
      </c>
      <c r="BK1517" s="55" t="s">
        <v>5976</v>
      </c>
      <c r="BM1517" s="192" t="s">
        <v>160</v>
      </c>
      <c r="BN1517" s="55">
        <v>3</v>
      </c>
      <c r="BO1517" s="55">
        <v>3</v>
      </c>
      <c r="BQ1517" s="55" t="s">
        <v>141</v>
      </c>
      <c r="BS1517" s="55">
        <v>750</v>
      </c>
      <c r="BU1517" s="55" t="s">
        <v>1028</v>
      </c>
      <c r="CB1517" s="66">
        <v>1200</v>
      </c>
      <c r="CC1517" s="66">
        <v>1440</v>
      </c>
      <c r="GD1517" s="65">
        <f>17.57/1.28</f>
        <v>13.7265625</v>
      </c>
      <c r="GE1517" s="65">
        <f>16</f>
        <v>16</v>
      </c>
      <c r="GH1517" s="65" t="s">
        <v>1045</v>
      </c>
      <c r="GP1517" s="292" t="s">
        <v>7494</v>
      </c>
      <c r="JU1517" s="55" t="s">
        <v>1029</v>
      </c>
    </row>
    <row r="1518" spans="1:283" x14ac:dyDescent="0.25">
      <c r="A1518" s="55">
        <v>1517</v>
      </c>
      <c r="B1518" s="12" t="s">
        <v>7067</v>
      </c>
      <c r="C1518" s="155">
        <v>69</v>
      </c>
      <c r="D1518" s="55" t="s">
        <v>3993</v>
      </c>
      <c r="E1518" s="90" t="s">
        <v>1019</v>
      </c>
      <c r="G1518" s="55" t="s">
        <v>1020</v>
      </c>
      <c r="H1518" s="55">
        <v>2000</v>
      </c>
      <c r="I1518" s="55">
        <v>1996</v>
      </c>
      <c r="J1518" s="55" t="s">
        <v>309</v>
      </c>
      <c r="K1518" s="55" t="s">
        <v>1021</v>
      </c>
      <c r="L1518" s="55" t="s">
        <v>2737</v>
      </c>
      <c r="M1518" s="90">
        <v>41.15</v>
      </c>
      <c r="N1518" s="90">
        <v>-96.5</v>
      </c>
      <c r="O1518" s="90">
        <v>346.8</v>
      </c>
      <c r="U1518" s="55" t="s">
        <v>1688</v>
      </c>
      <c r="V1518" s="55" t="s">
        <v>1688</v>
      </c>
      <c r="Y1518" s="55" t="s">
        <v>1957</v>
      </c>
      <c r="Z1518" s="55" t="s">
        <v>1349</v>
      </c>
      <c r="AA1518" s="90" t="s">
        <v>1677</v>
      </c>
      <c r="AD1518" s="90">
        <v>1.28</v>
      </c>
      <c r="AH1518" s="55" t="s">
        <v>1022</v>
      </c>
      <c r="AI1518" s="168">
        <v>6.3</v>
      </c>
      <c r="AJ1518" s="90">
        <v>2.6</v>
      </c>
      <c r="AM1518" s="55" t="s">
        <v>1319</v>
      </c>
      <c r="AN1518" s="185" t="s">
        <v>116</v>
      </c>
      <c r="AO1518" s="185" t="s">
        <v>5150</v>
      </c>
      <c r="AQ1518" s="55" t="s">
        <v>1545</v>
      </c>
      <c r="AR1518" s="55" t="s">
        <v>158</v>
      </c>
      <c r="AS1518" s="55" t="s">
        <v>158</v>
      </c>
      <c r="AU1518" s="181" t="s">
        <v>7494</v>
      </c>
      <c r="AV1518" s="185" t="s">
        <v>176</v>
      </c>
      <c r="AX1518" s="185" t="s">
        <v>176</v>
      </c>
      <c r="BK1518" s="55" t="s">
        <v>5976</v>
      </c>
      <c r="BM1518" s="192" t="s">
        <v>160</v>
      </c>
      <c r="BN1518" s="55">
        <v>3</v>
      </c>
      <c r="BO1518" s="55">
        <v>3</v>
      </c>
      <c r="BQ1518" s="55" t="s">
        <v>141</v>
      </c>
      <c r="BS1518" s="55">
        <v>2170</v>
      </c>
      <c r="BU1518" s="55" t="s">
        <v>1027</v>
      </c>
      <c r="CB1518" s="66">
        <v>1200</v>
      </c>
      <c r="CC1518" s="66">
        <v>1960</v>
      </c>
      <c r="GD1518" s="65">
        <f>17.57/1.28</f>
        <v>13.7265625</v>
      </c>
      <c r="GE1518" s="65">
        <f>16</f>
        <v>16</v>
      </c>
      <c r="GH1518" s="65" t="s">
        <v>1045</v>
      </c>
      <c r="GP1518" s="292" t="s">
        <v>7494</v>
      </c>
      <c r="JU1518" s="55" t="s">
        <v>1029</v>
      </c>
    </row>
    <row r="1519" spans="1:283" x14ac:dyDescent="0.25">
      <c r="A1519" s="55">
        <v>1518</v>
      </c>
      <c r="B1519" s="12" t="s">
        <v>7067</v>
      </c>
      <c r="C1519" s="155">
        <v>69</v>
      </c>
      <c r="D1519" s="55" t="s">
        <v>3992</v>
      </c>
      <c r="E1519" s="90" t="s">
        <v>1019</v>
      </c>
      <c r="G1519" s="55" t="s">
        <v>1020</v>
      </c>
      <c r="H1519" s="55">
        <v>2000</v>
      </c>
      <c r="I1519" s="55">
        <v>1996</v>
      </c>
      <c r="J1519" s="55" t="s">
        <v>309</v>
      </c>
      <c r="K1519" s="55" t="s">
        <v>1021</v>
      </c>
      <c r="L1519" s="55" t="s">
        <v>2737</v>
      </c>
      <c r="M1519" s="90">
        <v>41.15</v>
      </c>
      <c r="N1519" s="90">
        <v>-96.5</v>
      </c>
      <c r="O1519" s="90">
        <v>346.8</v>
      </c>
      <c r="U1519" s="55" t="s">
        <v>1688</v>
      </c>
      <c r="V1519" s="55" t="s">
        <v>1688</v>
      </c>
      <c r="Y1519" s="55" t="s">
        <v>1957</v>
      </c>
      <c r="Z1519" s="55" t="s">
        <v>1349</v>
      </c>
      <c r="AA1519" s="90" t="s">
        <v>1677</v>
      </c>
      <c r="AD1519" s="90">
        <v>1.28</v>
      </c>
      <c r="AH1519" s="55" t="s">
        <v>1022</v>
      </c>
      <c r="AI1519" s="168">
        <v>6.3</v>
      </c>
      <c r="AJ1519" s="90">
        <v>2.6</v>
      </c>
      <c r="AM1519" s="55" t="s">
        <v>1319</v>
      </c>
      <c r="AN1519" s="185" t="s">
        <v>241</v>
      </c>
      <c r="AO1519" s="185" t="s">
        <v>5150</v>
      </c>
      <c r="AQ1519" s="55" t="s">
        <v>553</v>
      </c>
      <c r="AR1519" s="55" t="s">
        <v>158</v>
      </c>
      <c r="AS1519" s="55" t="s">
        <v>158</v>
      </c>
      <c r="AU1519" s="181" t="s">
        <v>7494</v>
      </c>
      <c r="AV1519" s="185" t="s">
        <v>176</v>
      </c>
      <c r="AX1519" s="185" t="s">
        <v>176</v>
      </c>
      <c r="BK1519" s="55" t="s">
        <v>5976</v>
      </c>
      <c r="BM1519" s="192" t="s">
        <v>160</v>
      </c>
      <c r="BN1519" s="55">
        <v>3</v>
      </c>
      <c r="BO1519" s="55">
        <v>3</v>
      </c>
      <c r="BQ1519" s="55" t="s">
        <v>141</v>
      </c>
      <c r="BS1519" s="55">
        <v>650</v>
      </c>
      <c r="BU1519" s="55" t="s">
        <v>1027</v>
      </c>
      <c r="CB1519" s="66">
        <v>1200</v>
      </c>
      <c r="CC1519" s="66">
        <v>1700</v>
      </c>
      <c r="GD1519" s="65">
        <f>17.57/1.28</f>
        <v>13.7265625</v>
      </c>
      <c r="GE1519" s="65">
        <f>16</f>
        <v>16</v>
      </c>
      <c r="GH1519" s="65" t="s">
        <v>1045</v>
      </c>
      <c r="GP1519" s="292" t="s">
        <v>7494</v>
      </c>
      <c r="JU1519" s="55" t="s">
        <v>1029</v>
      </c>
    </row>
    <row r="1520" spans="1:283" x14ac:dyDescent="0.25">
      <c r="A1520" s="55">
        <v>1519</v>
      </c>
      <c r="B1520" s="12" t="s">
        <v>7067</v>
      </c>
      <c r="C1520" s="155">
        <v>70</v>
      </c>
      <c r="D1520" s="55" t="s">
        <v>3994</v>
      </c>
      <c r="E1520" s="90" t="s">
        <v>1030</v>
      </c>
      <c r="G1520" s="55" t="s">
        <v>1031</v>
      </c>
      <c r="H1520" s="55">
        <v>1996</v>
      </c>
      <c r="I1520" s="55">
        <v>1992</v>
      </c>
      <c r="J1520" s="55" t="s">
        <v>1032</v>
      </c>
      <c r="K1520" s="55" t="s">
        <v>1033</v>
      </c>
      <c r="L1520" s="55" t="s">
        <v>2737</v>
      </c>
      <c r="M1520" s="90">
        <v>36.69</v>
      </c>
      <c r="N1520" s="90">
        <v>-121.64</v>
      </c>
      <c r="O1520" s="90">
        <v>11.5</v>
      </c>
      <c r="U1520" s="55">
        <v>1</v>
      </c>
      <c r="V1520" s="55" t="s">
        <v>1805</v>
      </c>
      <c r="Y1520" s="55" t="s">
        <v>1035</v>
      </c>
      <c r="Z1520" s="55" t="s">
        <v>1362</v>
      </c>
      <c r="AA1520" s="90" t="s">
        <v>1683</v>
      </c>
      <c r="AD1520" s="90">
        <v>1.46</v>
      </c>
      <c r="AE1520" s="90">
        <v>69</v>
      </c>
      <c r="AF1520" s="90">
        <v>20</v>
      </c>
      <c r="AH1520" s="55" t="s">
        <v>139</v>
      </c>
      <c r="AI1520" s="168">
        <v>7.7</v>
      </c>
      <c r="AJ1520" s="90">
        <v>0.62</v>
      </c>
      <c r="AM1520" s="55" t="s">
        <v>1320</v>
      </c>
      <c r="AN1520" s="185" t="s">
        <v>1034</v>
      </c>
      <c r="AO1520" s="185" t="s">
        <v>5150</v>
      </c>
      <c r="AQ1520" s="55" t="s">
        <v>1550</v>
      </c>
      <c r="AR1520" s="55" t="s">
        <v>609</v>
      </c>
      <c r="AS1520" s="55" t="s">
        <v>227</v>
      </c>
      <c r="AU1520" s="181" t="s">
        <v>7494</v>
      </c>
      <c r="AV1520" s="185" t="s">
        <v>176</v>
      </c>
      <c r="AX1520" s="185" t="s">
        <v>176</v>
      </c>
      <c r="BK1520" s="55" t="s">
        <v>5976</v>
      </c>
      <c r="BM1520" s="192" t="s">
        <v>119</v>
      </c>
      <c r="BN1520" s="55">
        <v>3</v>
      </c>
      <c r="BO1520" s="55">
        <v>3</v>
      </c>
      <c r="BQ1520" s="55" t="s">
        <v>141</v>
      </c>
      <c r="BS1520" s="55">
        <v>2.9</v>
      </c>
      <c r="BT1520" s="55">
        <f>BS1520/0.1</f>
        <v>28.999999999999996</v>
      </c>
      <c r="CB1520" s="66">
        <v>3</v>
      </c>
      <c r="CC1520" s="66">
        <v>4</v>
      </c>
      <c r="DB1520" s="65">
        <v>67.489999999999995</v>
      </c>
      <c r="DC1520" s="65">
        <v>53.72</v>
      </c>
      <c r="DF1520" s="65" t="s">
        <v>1041</v>
      </c>
      <c r="GD1520" s="65">
        <v>4.82</v>
      </c>
      <c r="GE1520" s="65">
        <v>5.87</v>
      </c>
      <c r="GN1520" s="294">
        <v>0.75</v>
      </c>
      <c r="GO1520" s="294">
        <v>0.75</v>
      </c>
      <c r="GP1520" s="292" t="s">
        <v>5150</v>
      </c>
      <c r="GS1520" s="65" t="s">
        <v>1046</v>
      </c>
      <c r="GY1520" s="65">
        <v>1.38</v>
      </c>
      <c r="GZ1520" s="65">
        <v>6.13</v>
      </c>
      <c r="HC1520" s="65" t="s">
        <v>1047</v>
      </c>
      <c r="IC1520" s="65">
        <v>6.56</v>
      </c>
      <c r="ID1520" s="65">
        <v>6.13</v>
      </c>
      <c r="JG1520" s="65">
        <v>86.95</v>
      </c>
      <c r="JH1520" s="65">
        <v>86.95</v>
      </c>
      <c r="JL1520" s="65">
        <v>10.52</v>
      </c>
      <c r="JM1520" s="65">
        <v>11.66</v>
      </c>
      <c r="JU1520" s="55" t="s">
        <v>754</v>
      </c>
      <c r="JV1520" s="55" t="s">
        <v>1044</v>
      </c>
      <c r="JW1520" s="55" t="s">
        <v>837</v>
      </c>
    </row>
    <row r="1521" spans="1:283" x14ac:dyDescent="0.25">
      <c r="A1521" s="55">
        <v>1520</v>
      </c>
      <c r="B1521" s="12" t="s">
        <v>7067</v>
      </c>
      <c r="C1521" s="155">
        <v>70</v>
      </c>
      <c r="D1521" s="55" t="s">
        <v>3994</v>
      </c>
      <c r="E1521" s="90" t="s">
        <v>1030</v>
      </c>
      <c r="G1521" s="55" t="s">
        <v>1031</v>
      </c>
      <c r="H1521" s="55">
        <v>1996</v>
      </c>
      <c r="I1521" s="55">
        <v>1992</v>
      </c>
      <c r="J1521" s="55" t="s">
        <v>1032</v>
      </c>
      <c r="K1521" s="55" t="s">
        <v>1033</v>
      </c>
      <c r="L1521" s="55" t="s">
        <v>2737</v>
      </c>
      <c r="M1521" s="90">
        <v>36.69</v>
      </c>
      <c r="N1521" s="90">
        <v>-121.64</v>
      </c>
      <c r="O1521" s="90">
        <v>11.5</v>
      </c>
      <c r="U1521" s="55">
        <v>1</v>
      </c>
      <c r="V1521" s="55" t="s">
        <v>1805</v>
      </c>
      <c r="Y1521" s="55" t="s">
        <v>1036</v>
      </c>
      <c r="Z1521" s="55" t="s">
        <v>1362</v>
      </c>
      <c r="AA1521" s="90" t="s">
        <v>1683</v>
      </c>
      <c r="AD1521" s="90">
        <v>1.46</v>
      </c>
      <c r="AE1521" s="90">
        <v>69</v>
      </c>
      <c r="AF1521" s="90">
        <v>20</v>
      </c>
      <c r="AH1521" s="55" t="s">
        <v>139</v>
      </c>
      <c r="AI1521" s="168">
        <v>7.7</v>
      </c>
      <c r="AJ1521" s="90">
        <v>0.62</v>
      </c>
      <c r="AM1521" s="55" t="s">
        <v>1320</v>
      </c>
      <c r="AN1521" s="185" t="s">
        <v>1034</v>
      </c>
      <c r="AO1521" s="185" t="s">
        <v>5150</v>
      </c>
      <c r="AQ1521" s="55" t="s">
        <v>1550</v>
      </c>
      <c r="AR1521" s="55" t="s">
        <v>609</v>
      </c>
      <c r="AS1521" s="55" t="s">
        <v>227</v>
      </c>
      <c r="AU1521" s="181" t="s">
        <v>7494</v>
      </c>
      <c r="AV1521" s="185" t="s">
        <v>176</v>
      </c>
      <c r="AX1521" s="185" t="s">
        <v>176</v>
      </c>
      <c r="BK1521" s="55" t="s">
        <v>5976</v>
      </c>
      <c r="BM1521" s="192" t="s">
        <v>119</v>
      </c>
      <c r="BN1521" s="55">
        <v>3</v>
      </c>
      <c r="BO1521" s="55">
        <v>3</v>
      </c>
      <c r="BQ1521" s="55" t="s">
        <v>141</v>
      </c>
      <c r="BS1521" s="55">
        <v>203</v>
      </c>
      <c r="BT1521" s="55">
        <f>BS1521/11.1</f>
        <v>18.288288288288289</v>
      </c>
      <c r="CB1521" s="66">
        <v>123</v>
      </c>
      <c r="CC1521" s="66">
        <v>106</v>
      </c>
      <c r="DB1521" s="65">
        <v>80.33</v>
      </c>
      <c r="DC1521" s="65">
        <v>88.86</v>
      </c>
      <c r="DF1521" s="65" t="s">
        <v>1041</v>
      </c>
      <c r="GD1521" s="65">
        <v>11.17</v>
      </c>
      <c r="GE1521" s="65">
        <v>10.87</v>
      </c>
      <c r="GN1521" s="294">
        <v>5.86</v>
      </c>
      <c r="GO1521" s="294">
        <v>1.4</v>
      </c>
      <c r="GP1521" s="292" t="s">
        <v>5150</v>
      </c>
      <c r="GS1521" s="65" t="s">
        <v>1046</v>
      </c>
      <c r="GY1521" s="65">
        <v>10.8</v>
      </c>
      <c r="GZ1521" s="65">
        <v>16.510000000000002</v>
      </c>
      <c r="HC1521" s="65" t="s">
        <v>1047</v>
      </c>
      <c r="IC1521" s="65">
        <v>12.79</v>
      </c>
      <c r="ID1521" s="65">
        <v>10.47</v>
      </c>
      <c r="JG1521" s="65">
        <v>203.57</v>
      </c>
      <c r="JH1521" s="65">
        <v>97.11</v>
      </c>
      <c r="JL1521" s="65">
        <v>19.37</v>
      </c>
      <c r="JM1521" s="65">
        <v>15.79</v>
      </c>
      <c r="JU1521" s="55" t="s">
        <v>853</v>
      </c>
      <c r="JV1521" s="55" t="s">
        <v>1044</v>
      </c>
      <c r="JW1521" s="55" t="s">
        <v>837</v>
      </c>
    </row>
    <row r="1522" spans="1:283" x14ac:dyDescent="0.25">
      <c r="A1522" s="55">
        <v>1521</v>
      </c>
      <c r="B1522" s="12" t="s">
        <v>7067</v>
      </c>
      <c r="C1522" s="155">
        <v>70</v>
      </c>
      <c r="D1522" s="55" t="s">
        <v>3994</v>
      </c>
      <c r="E1522" s="90" t="s">
        <v>1030</v>
      </c>
      <c r="G1522" s="55" t="s">
        <v>1031</v>
      </c>
      <c r="H1522" s="55">
        <v>1996</v>
      </c>
      <c r="I1522" s="55">
        <v>1993</v>
      </c>
      <c r="J1522" s="55" t="s">
        <v>1032</v>
      </c>
      <c r="K1522" s="55" t="s">
        <v>1033</v>
      </c>
      <c r="L1522" s="55" t="s">
        <v>2737</v>
      </c>
      <c r="M1522" s="90">
        <v>36.69</v>
      </c>
      <c r="N1522" s="90">
        <v>-121.64</v>
      </c>
      <c r="O1522" s="90">
        <v>11.5</v>
      </c>
      <c r="U1522" s="55" t="s">
        <v>1805</v>
      </c>
      <c r="V1522" s="55" t="s">
        <v>1805</v>
      </c>
      <c r="Y1522" s="55" t="s">
        <v>1037</v>
      </c>
      <c r="Z1522" s="55" t="s">
        <v>1362</v>
      </c>
      <c r="AA1522" s="90" t="s">
        <v>1683</v>
      </c>
      <c r="AD1522" s="90">
        <v>1.46</v>
      </c>
      <c r="AE1522" s="90">
        <v>69</v>
      </c>
      <c r="AF1522" s="90">
        <v>20</v>
      </c>
      <c r="AH1522" s="55" t="s">
        <v>139</v>
      </c>
      <c r="AI1522" s="168">
        <v>7.7</v>
      </c>
      <c r="AJ1522" s="90">
        <v>0.62</v>
      </c>
      <c r="AM1522" s="55" t="s">
        <v>1320</v>
      </c>
      <c r="AN1522" s="185" t="s">
        <v>1034</v>
      </c>
      <c r="AO1522" s="185" t="s">
        <v>5150</v>
      </c>
      <c r="AQ1522" s="55" t="s">
        <v>1550</v>
      </c>
      <c r="AR1522" s="55" t="s">
        <v>609</v>
      </c>
      <c r="AS1522" s="55" t="s">
        <v>227</v>
      </c>
      <c r="AU1522" s="181" t="s">
        <v>7494</v>
      </c>
      <c r="AV1522" s="185" t="s">
        <v>176</v>
      </c>
      <c r="AX1522" s="185" t="s">
        <v>176</v>
      </c>
      <c r="BK1522" s="55" t="s">
        <v>5976</v>
      </c>
      <c r="BM1522" s="192" t="s">
        <v>119</v>
      </c>
      <c r="BN1522" s="55">
        <v>3</v>
      </c>
      <c r="BO1522" s="55">
        <v>3</v>
      </c>
      <c r="BQ1522" s="55" t="s">
        <v>141</v>
      </c>
      <c r="BS1522" s="55">
        <v>1219</v>
      </c>
      <c r="BT1522" s="55">
        <f>BS1522/54</f>
        <v>22.574074074074073</v>
      </c>
      <c r="CB1522" s="66">
        <v>1285</v>
      </c>
      <c r="CC1522" s="66">
        <v>1360</v>
      </c>
      <c r="DB1522" s="65">
        <v>42.55</v>
      </c>
      <c r="DC1522" s="65">
        <v>50.38</v>
      </c>
      <c r="DF1522" s="65" t="s">
        <v>1041</v>
      </c>
      <c r="GD1522" s="65">
        <v>8.9</v>
      </c>
      <c r="GE1522" s="65">
        <v>8.09</v>
      </c>
      <c r="GN1522" s="294">
        <v>0.74</v>
      </c>
      <c r="GO1522" s="294">
        <v>0.74</v>
      </c>
      <c r="GP1522" s="292" t="s">
        <v>5150</v>
      </c>
      <c r="GS1522" s="65" t="s">
        <v>1046</v>
      </c>
      <c r="GY1522" s="65">
        <v>9.8000000000000007</v>
      </c>
      <c r="GZ1522" s="65">
        <v>40.19</v>
      </c>
      <c r="HC1522" s="65" t="s">
        <v>1047</v>
      </c>
      <c r="IC1522" s="65">
        <v>6.56</v>
      </c>
      <c r="ID1522" s="65">
        <v>6.56</v>
      </c>
      <c r="JG1522" s="65">
        <v>189.18</v>
      </c>
      <c r="JH1522" s="65">
        <v>264.92</v>
      </c>
      <c r="JL1522" s="65">
        <v>10.18</v>
      </c>
      <c r="JM1522" s="65">
        <v>12.76</v>
      </c>
      <c r="JU1522" s="55" t="s">
        <v>953</v>
      </c>
      <c r="JV1522" s="55" t="s">
        <v>1044</v>
      </c>
      <c r="JW1522" s="55" t="s">
        <v>837</v>
      </c>
    </row>
    <row r="1523" spans="1:283" x14ac:dyDescent="0.25">
      <c r="A1523" s="55">
        <v>1522</v>
      </c>
      <c r="B1523" s="12" t="s">
        <v>7067</v>
      </c>
      <c r="C1523" s="155">
        <v>70</v>
      </c>
      <c r="D1523" s="55" t="s">
        <v>3994</v>
      </c>
      <c r="E1523" s="90" t="s">
        <v>1030</v>
      </c>
      <c r="G1523" s="55" t="s">
        <v>1031</v>
      </c>
      <c r="H1523" s="55">
        <v>1996</v>
      </c>
      <c r="I1523" s="55">
        <v>1993</v>
      </c>
      <c r="J1523" s="55" t="s">
        <v>1032</v>
      </c>
      <c r="K1523" s="55" t="s">
        <v>1033</v>
      </c>
      <c r="L1523" s="55" t="s">
        <v>2737</v>
      </c>
      <c r="M1523" s="90">
        <v>36.69</v>
      </c>
      <c r="N1523" s="90">
        <v>-121.64</v>
      </c>
      <c r="O1523" s="90">
        <v>11.5</v>
      </c>
      <c r="U1523" s="55" t="s">
        <v>1805</v>
      </c>
      <c r="V1523" s="55" t="s">
        <v>1805</v>
      </c>
      <c r="Y1523" s="55" t="s">
        <v>1038</v>
      </c>
      <c r="Z1523" s="55" t="s">
        <v>1362</v>
      </c>
      <c r="AA1523" s="90" t="s">
        <v>1683</v>
      </c>
      <c r="AD1523" s="90">
        <v>1.46</v>
      </c>
      <c r="AE1523" s="90">
        <v>69</v>
      </c>
      <c r="AF1523" s="90">
        <v>20</v>
      </c>
      <c r="AH1523" s="55" t="s">
        <v>139</v>
      </c>
      <c r="AI1523" s="168">
        <v>7.7</v>
      </c>
      <c r="AJ1523" s="90">
        <v>0.62</v>
      </c>
      <c r="AM1523" s="55" t="s">
        <v>1320</v>
      </c>
      <c r="AN1523" s="185" t="s">
        <v>1034</v>
      </c>
      <c r="AO1523" s="185" t="s">
        <v>5150</v>
      </c>
      <c r="AQ1523" s="55" t="s">
        <v>1550</v>
      </c>
      <c r="AR1523" s="55" t="s">
        <v>609</v>
      </c>
      <c r="AS1523" s="55" t="s">
        <v>227</v>
      </c>
      <c r="AU1523" s="181" t="s">
        <v>7494</v>
      </c>
      <c r="AV1523" s="185" t="s">
        <v>176</v>
      </c>
      <c r="AX1523" s="185" t="s">
        <v>176</v>
      </c>
      <c r="BK1523" s="55" t="s">
        <v>5976</v>
      </c>
      <c r="BM1523" s="192" t="s">
        <v>119</v>
      </c>
      <c r="BN1523" s="55">
        <v>3</v>
      </c>
      <c r="BO1523" s="55">
        <v>3</v>
      </c>
      <c r="BQ1523" s="55" t="s">
        <v>141</v>
      </c>
      <c r="BS1523" s="55">
        <v>1962</v>
      </c>
      <c r="BT1523" s="55">
        <f>BS1523/69</f>
        <v>28.434782608695652</v>
      </c>
      <c r="CB1523" s="66">
        <v>5821</v>
      </c>
      <c r="CC1523" s="66">
        <v>6180</v>
      </c>
      <c r="DB1523" s="65">
        <v>18.420000000000002</v>
      </c>
      <c r="DC1523" s="65">
        <v>3.96</v>
      </c>
      <c r="DF1523" s="65" t="s">
        <v>1041</v>
      </c>
      <c r="GD1523" s="65">
        <v>8.3699999999999992</v>
      </c>
      <c r="GE1523" s="65">
        <v>6.65</v>
      </c>
      <c r="GN1523" s="294">
        <v>3.62</v>
      </c>
      <c r="GO1523" s="294">
        <v>1.46</v>
      </c>
      <c r="GP1523" s="292" t="s">
        <v>5150</v>
      </c>
      <c r="GS1523" s="65" t="s">
        <v>1046</v>
      </c>
      <c r="GY1523" s="65">
        <v>22.13</v>
      </c>
      <c r="GZ1523" s="65">
        <v>107.59</v>
      </c>
      <c r="HC1523" s="65" t="s">
        <v>1047</v>
      </c>
      <c r="IC1523" s="65">
        <v>7.56</v>
      </c>
      <c r="ID1523" s="65">
        <v>8.15</v>
      </c>
      <c r="JG1523" s="65">
        <v>275.08999999999997</v>
      </c>
      <c r="JH1523" s="65">
        <v>236.2</v>
      </c>
      <c r="JL1523" s="65">
        <v>15.46</v>
      </c>
      <c r="JM1523" s="65">
        <v>19.62</v>
      </c>
      <c r="JU1523" s="55" t="s">
        <v>954</v>
      </c>
      <c r="JV1523" s="55" t="s">
        <v>1044</v>
      </c>
      <c r="JW1523" s="55" t="s">
        <v>837</v>
      </c>
    </row>
    <row r="1524" spans="1:283" x14ac:dyDescent="0.25">
      <c r="A1524" s="55">
        <v>1523</v>
      </c>
      <c r="B1524" s="12" t="s">
        <v>7067</v>
      </c>
      <c r="C1524" s="155">
        <v>70</v>
      </c>
      <c r="D1524" s="55" t="s">
        <v>3994</v>
      </c>
      <c r="E1524" s="90" t="s">
        <v>1030</v>
      </c>
      <c r="G1524" s="55" t="s">
        <v>1031</v>
      </c>
      <c r="H1524" s="55">
        <v>1996</v>
      </c>
      <c r="I1524" s="55">
        <v>1993</v>
      </c>
      <c r="J1524" s="55" t="s">
        <v>1032</v>
      </c>
      <c r="K1524" s="55" t="s">
        <v>1033</v>
      </c>
      <c r="L1524" s="55" t="s">
        <v>2737</v>
      </c>
      <c r="M1524" s="90">
        <v>36.69</v>
      </c>
      <c r="N1524" s="90">
        <v>-121.64</v>
      </c>
      <c r="O1524" s="90">
        <v>11.5</v>
      </c>
      <c r="U1524" s="55" t="s">
        <v>1805</v>
      </c>
      <c r="V1524" s="55" t="s">
        <v>1805</v>
      </c>
      <c r="Y1524" s="55" t="s">
        <v>1039</v>
      </c>
      <c r="Z1524" s="55" t="s">
        <v>1362</v>
      </c>
      <c r="AA1524" s="90" t="s">
        <v>1683</v>
      </c>
      <c r="AD1524" s="90">
        <v>1.46</v>
      </c>
      <c r="AE1524" s="90">
        <v>69</v>
      </c>
      <c r="AF1524" s="90">
        <v>20</v>
      </c>
      <c r="AH1524" s="55" t="s">
        <v>139</v>
      </c>
      <c r="AI1524" s="168">
        <v>7.7</v>
      </c>
      <c r="AJ1524" s="90">
        <v>0.62</v>
      </c>
      <c r="AM1524" s="55" t="s">
        <v>1320</v>
      </c>
      <c r="AN1524" s="185" t="s">
        <v>1034</v>
      </c>
      <c r="AO1524" s="185" t="s">
        <v>5150</v>
      </c>
      <c r="AQ1524" s="55" t="s">
        <v>1550</v>
      </c>
      <c r="AR1524" s="55" t="s">
        <v>609</v>
      </c>
      <c r="AS1524" s="55" t="s">
        <v>227</v>
      </c>
      <c r="AU1524" s="181" t="s">
        <v>7494</v>
      </c>
      <c r="AV1524" s="185" t="s">
        <v>176</v>
      </c>
      <c r="AX1524" s="185" t="s">
        <v>176</v>
      </c>
      <c r="BK1524" s="55" t="s">
        <v>5976</v>
      </c>
      <c r="BM1524" s="192" t="s">
        <v>119</v>
      </c>
      <c r="BN1524" s="55">
        <v>3</v>
      </c>
      <c r="BO1524" s="55">
        <v>3</v>
      </c>
      <c r="BQ1524" s="55" t="s">
        <v>141</v>
      </c>
      <c r="BS1524" s="55">
        <v>3640</v>
      </c>
      <c r="BT1524" s="55">
        <f>BS1524/106</f>
        <v>34.339622641509436</v>
      </c>
      <c r="CB1524" s="66">
        <v>8303</v>
      </c>
      <c r="CC1524" s="66">
        <v>9375</v>
      </c>
      <c r="DB1524" s="65">
        <v>15.37</v>
      </c>
      <c r="DC1524" s="65">
        <v>5.74</v>
      </c>
      <c r="DF1524" s="65" t="s">
        <v>1041</v>
      </c>
      <c r="GD1524" s="65">
        <v>7.55</v>
      </c>
      <c r="GE1524" s="65">
        <v>6.35</v>
      </c>
      <c r="GN1524" s="294">
        <v>3.42</v>
      </c>
      <c r="GO1524" s="294">
        <v>5</v>
      </c>
      <c r="GP1524" s="292" t="s">
        <v>5150</v>
      </c>
      <c r="GS1524" s="65" t="s">
        <v>1046</v>
      </c>
      <c r="GY1524" s="65">
        <v>8.8000000000000007</v>
      </c>
      <c r="GZ1524" s="65">
        <v>36.33</v>
      </c>
      <c r="HC1524" s="65" t="s">
        <v>1047</v>
      </c>
      <c r="IC1524" s="65">
        <v>4.8</v>
      </c>
      <c r="ID1524" s="65">
        <v>12.93</v>
      </c>
      <c r="JG1524" s="65">
        <v>152.24</v>
      </c>
      <c r="JH1524" s="65">
        <v>199.32</v>
      </c>
      <c r="JL1524" s="65">
        <v>4.99</v>
      </c>
      <c r="JM1524" s="65">
        <v>8</v>
      </c>
      <c r="JU1524" s="55" t="s">
        <v>753</v>
      </c>
      <c r="JV1524" s="55" t="s">
        <v>1044</v>
      </c>
      <c r="JW1524" s="55" t="s">
        <v>837</v>
      </c>
    </row>
    <row r="1525" spans="1:283" x14ac:dyDescent="0.25">
      <c r="A1525" s="55">
        <v>1524</v>
      </c>
      <c r="B1525" s="12" t="s">
        <v>7067</v>
      </c>
      <c r="C1525" s="155">
        <v>70</v>
      </c>
      <c r="D1525" s="55" t="s">
        <v>3994</v>
      </c>
      <c r="E1525" s="90" t="s">
        <v>1030</v>
      </c>
      <c r="G1525" s="55" t="s">
        <v>1031</v>
      </c>
      <c r="H1525" s="55">
        <v>1996</v>
      </c>
      <c r="I1525" s="55">
        <v>1992</v>
      </c>
      <c r="J1525" s="55" t="s">
        <v>1032</v>
      </c>
      <c r="K1525" s="55" t="s">
        <v>1033</v>
      </c>
      <c r="L1525" s="55" t="s">
        <v>2737</v>
      </c>
      <c r="M1525" s="90">
        <v>36.69</v>
      </c>
      <c r="N1525" s="90">
        <v>-121.64</v>
      </c>
      <c r="O1525" s="90">
        <v>11.5</v>
      </c>
      <c r="U1525" s="55">
        <v>1</v>
      </c>
      <c r="V1525" s="55" t="s">
        <v>1805</v>
      </c>
      <c r="Y1525" s="55" t="s">
        <v>1958</v>
      </c>
      <c r="Z1525" s="55" t="s">
        <v>1362</v>
      </c>
      <c r="AA1525" s="90" t="s">
        <v>1683</v>
      </c>
      <c r="AD1525" s="90">
        <v>1.46</v>
      </c>
      <c r="AE1525" s="90">
        <v>69</v>
      </c>
      <c r="AF1525" s="90">
        <v>20</v>
      </c>
      <c r="AH1525" s="55" t="s">
        <v>139</v>
      </c>
      <c r="AI1525" s="168">
        <v>7.7</v>
      </c>
      <c r="AJ1525" s="90">
        <v>0.62</v>
      </c>
      <c r="AM1525" s="55" t="s">
        <v>1320</v>
      </c>
      <c r="AN1525" s="185" t="s">
        <v>1034</v>
      </c>
      <c r="AO1525" s="185" t="s">
        <v>5150</v>
      </c>
      <c r="AQ1525" s="55" t="s">
        <v>1550</v>
      </c>
      <c r="AR1525" s="55" t="s">
        <v>609</v>
      </c>
      <c r="AS1525" s="55" t="s">
        <v>227</v>
      </c>
      <c r="AU1525" s="181" t="s">
        <v>7494</v>
      </c>
      <c r="AV1525" s="185" t="s">
        <v>176</v>
      </c>
      <c r="AX1525" s="185" t="s">
        <v>176</v>
      </c>
      <c r="BK1525" s="55" t="s">
        <v>5976</v>
      </c>
      <c r="BM1525" s="192" t="s">
        <v>119</v>
      </c>
      <c r="BN1525" s="55">
        <v>3</v>
      </c>
      <c r="BO1525" s="55">
        <v>3</v>
      </c>
      <c r="BQ1525" s="55" t="s">
        <v>141</v>
      </c>
      <c r="BS1525" s="55">
        <v>2.9</v>
      </c>
      <c r="BT1525" s="55">
        <f>BS1525/0.1</f>
        <v>28.999999999999996</v>
      </c>
      <c r="DB1525" s="65">
        <v>20.61</v>
      </c>
      <c r="DC1525" s="65">
        <v>9.26</v>
      </c>
      <c r="DF1525" s="65" t="s">
        <v>1041</v>
      </c>
      <c r="GD1525" s="65">
        <v>11.36</v>
      </c>
      <c r="GE1525" s="65">
        <v>11.36</v>
      </c>
      <c r="GN1525" s="294">
        <v>0.65</v>
      </c>
      <c r="GO1525" s="294">
        <v>0.52</v>
      </c>
      <c r="GP1525" s="292" t="s">
        <v>5150</v>
      </c>
      <c r="GS1525" s="65" t="s">
        <v>1046</v>
      </c>
      <c r="GY1525" s="65">
        <v>2.82</v>
      </c>
      <c r="GZ1525" s="65">
        <v>2.82</v>
      </c>
      <c r="HC1525" s="65" t="s">
        <v>1047</v>
      </c>
      <c r="IC1525" s="65">
        <v>6.19</v>
      </c>
      <c r="ID1525" s="65">
        <v>13</v>
      </c>
      <c r="JG1525" s="65">
        <v>74.430000000000007</v>
      </c>
      <c r="JH1525" s="65">
        <v>238.2</v>
      </c>
      <c r="JL1525" s="65">
        <v>12.3</v>
      </c>
      <c r="JM1525" s="65">
        <v>20.61</v>
      </c>
      <c r="JU1525" s="55" t="s">
        <v>200</v>
      </c>
      <c r="JV1525" s="55" t="s">
        <v>1044</v>
      </c>
      <c r="JW1525" s="55" t="s">
        <v>837</v>
      </c>
    </row>
    <row r="1526" spans="1:283" x14ac:dyDescent="0.25">
      <c r="A1526" s="55">
        <v>1525</v>
      </c>
      <c r="B1526" s="12" t="s">
        <v>7067</v>
      </c>
      <c r="C1526" s="155">
        <v>70</v>
      </c>
      <c r="D1526" s="55" t="s">
        <v>3994</v>
      </c>
      <c r="E1526" s="90" t="s">
        <v>1030</v>
      </c>
      <c r="G1526" s="55" t="s">
        <v>1031</v>
      </c>
      <c r="H1526" s="55">
        <v>1996</v>
      </c>
      <c r="I1526" s="55">
        <v>1992</v>
      </c>
      <c r="J1526" s="55" t="s">
        <v>1032</v>
      </c>
      <c r="K1526" s="55" t="s">
        <v>1033</v>
      </c>
      <c r="L1526" s="55" t="s">
        <v>2737</v>
      </c>
      <c r="M1526" s="90">
        <v>36.69</v>
      </c>
      <c r="N1526" s="90">
        <v>-121.64</v>
      </c>
      <c r="O1526" s="90">
        <v>11.5</v>
      </c>
      <c r="U1526" s="55">
        <v>1</v>
      </c>
      <c r="V1526" s="55" t="s">
        <v>1805</v>
      </c>
      <c r="Y1526" s="55" t="s">
        <v>1958</v>
      </c>
      <c r="Z1526" s="55" t="s">
        <v>1362</v>
      </c>
      <c r="AA1526" s="90" t="s">
        <v>1683</v>
      </c>
      <c r="AD1526" s="90">
        <v>1.46</v>
      </c>
      <c r="AE1526" s="90">
        <v>69</v>
      </c>
      <c r="AF1526" s="90">
        <v>20</v>
      </c>
      <c r="AH1526" s="55" t="s">
        <v>139</v>
      </c>
      <c r="AI1526" s="168">
        <v>7.7</v>
      </c>
      <c r="AJ1526" s="90">
        <v>0.62</v>
      </c>
      <c r="AM1526" s="55" t="s">
        <v>1320</v>
      </c>
      <c r="AN1526" s="185" t="s">
        <v>1034</v>
      </c>
      <c r="AO1526" s="185" t="s">
        <v>5150</v>
      </c>
      <c r="AQ1526" s="55" t="s">
        <v>1550</v>
      </c>
      <c r="AR1526" s="55" t="s">
        <v>609</v>
      </c>
      <c r="AS1526" s="55" t="s">
        <v>227</v>
      </c>
      <c r="AU1526" s="181" t="s">
        <v>7494</v>
      </c>
      <c r="AV1526" s="185" t="s">
        <v>176</v>
      </c>
      <c r="AX1526" s="185" t="s">
        <v>176</v>
      </c>
      <c r="BK1526" s="55" t="s">
        <v>5976</v>
      </c>
      <c r="BM1526" s="192" t="s">
        <v>119</v>
      </c>
      <c r="BN1526" s="55">
        <v>3</v>
      </c>
      <c r="BO1526" s="55">
        <v>3</v>
      </c>
      <c r="BQ1526" s="55" t="s">
        <v>141</v>
      </c>
      <c r="BS1526" s="55">
        <v>203</v>
      </c>
      <c r="BT1526" s="55">
        <f>BS1526/11.1</f>
        <v>18.288288288288289</v>
      </c>
      <c r="DB1526" s="65">
        <v>22.56</v>
      </c>
      <c r="DC1526" s="65">
        <v>21.76</v>
      </c>
      <c r="DF1526" s="65" t="s">
        <v>1041</v>
      </c>
      <c r="GD1526" s="65">
        <v>9.19</v>
      </c>
      <c r="GE1526" s="65">
        <v>8.89</v>
      </c>
      <c r="GN1526" s="294">
        <v>1.43</v>
      </c>
      <c r="GO1526" s="294">
        <v>1.43</v>
      </c>
      <c r="GP1526" s="292" t="s">
        <v>5150</v>
      </c>
      <c r="GS1526" s="65" t="s">
        <v>1046</v>
      </c>
      <c r="GY1526" s="65">
        <v>29.28</v>
      </c>
      <c r="GZ1526" s="65">
        <v>90.06</v>
      </c>
      <c r="HC1526" s="65" t="s">
        <v>1047</v>
      </c>
      <c r="IC1526" s="65">
        <v>3.22</v>
      </c>
      <c r="ID1526" s="65">
        <v>7.64</v>
      </c>
      <c r="JG1526" s="65">
        <v>103.08</v>
      </c>
      <c r="JH1526" s="65">
        <v>289.37</v>
      </c>
      <c r="JL1526" s="65">
        <v>4.41</v>
      </c>
      <c r="JM1526" s="65">
        <v>17.3</v>
      </c>
      <c r="JU1526" s="55" t="s">
        <v>854</v>
      </c>
      <c r="JV1526" s="55" t="s">
        <v>1044</v>
      </c>
      <c r="JW1526" s="55" t="s">
        <v>837</v>
      </c>
    </row>
    <row r="1527" spans="1:283" x14ac:dyDescent="0.25">
      <c r="A1527" s="55">
        <v>1526</v>
      </c>
      <c r="B1527" s="12" t="s">
        <v>7067</v>
      </c>
      <c r="C1527" s="155">
        <v>70</v>
      </c>
      <c r="D1527" s="55" t="s">
        <v>3994</v>
      </c>
      <c r="E1527" s="90" t="s">
        <v>1030</v>
      </c>
      <c r="G1527" s="55" t="s">
        <v>1031</v>
      </c>
      <c r="H1527" s="55">
        <v>1996</v>
      </c>
      <c r="I1527" s="55">
        <v>1993</v>
      </c>
      <c r="J1527" s="55" t="s">
        <v>1032</v>
      </c>
      <c r="K1527" s="55" t="s">
        <v>1033</v>
      </c>
      <c r="L1527" s="55" t="s">
        <v>2737</v>
      </c>
      <c r="M1527" s="90">
        <v>36.69</v>
      </c>
      <c r="N1527" s="90">
        <v>-121.64</v>
      </c>
      <c r="O1527" s="90">
        <v>11.5</v>
      </c>
      <c r="U1527" s="55" t="s">
        <v>1805</v>
      </c>
      <c r="V1527" s="55" t="s">
        <v>1805</v>
      </c>
      <c r="Y1527" s="55" t="s">
        <v>1958</v>
      </c>
      <c r="Z1527" s="55" t="s">
        <v>1362</v>
      </c>
      <c r="AA1527" s="90" t="s">
        <v>1683</v>
      </c>
      <c r="AD1527" s="90">
        <v>1.46</v>
      </c>
      <c r="AE1527" s="90">
        <v>69</v>
      </c>
      <c r="AF1527" s="90">
        <v>20</v>
      </c>
      <c r="AH1527" s="55" t="s">
        <v>139</v>
      </c>
      <c r="AI1527" s="168">
        <v>7.7</v>
      </c>
      <c r="AJ1527" s="90">
        <v>0.62</v>
      </c>
      <c r="AM1527" s="55" t="s">
        <v>1320</v>
      </c>
      <c r="AN1527" s="185" t="s">
        <v>1034</v>
      </c>
      <c r="AO1527" s="185" t="s">
        <v>5150</v>
      </c>
      <c r="AQ1527" s="55" t="s">
        <v>1550</v>
      </c>
      <c r="AR1527" s="55" t="s">
        <v>609</v>
      </c>
      <c r="AS1527" s="55" t="s">
        <v>227</v>
      </c>
      <c r="AU1527" s="181" t="s">
        <v>7494</v>
      </c>
      <c r="AV1527" s="185" t="s">
        <v>176</v>
      </c>
      <c r="AX1527" s="185" t="s">
        <v>176</v>
      </c>
      <c r="BK1527" s="55" t="s">
        <v>5976</v>
      </c>
      <c r="BM1527" s="192" t="s">
        <v>119</v>
      </c>
      <c r="BN1527" s="55">
        <v>3</v>
      </c>
      <c r="BO1527" s="55">
        <v>3</v>
      </c>
      <c r="BQ1527" s="55" t="s">
        <v>141</v>
      </c>
      <c r="BS1527" s="55">
        <v>1219</v>
      </c>
      <c r="BT1527" s="55">
        <f>BS1527/54</f>
        <v>22.574074074074073</v>
      </c>
      <c r="DB1527" s="65">
        <v>44.05</v>
      </c>
      <c r="DC1527" s="65">
        <v>35.81</v>
      </c>
      <c r="DF1527" s="65" t="s">
        <v>1041</v>
      </c>
      <c r="GD1527" s="65">
        <v>8.2799999999999994</v>
      </c>
      <c r="GE1527" s="65">
        <v>7.76</v>
      </c>
      <c r="GN1527" s="294">
        <v>9.02</v>
      </c>
      <c r="GO1527" s="294">
        <v>8.1</v>
      </c>
      <c r="GP1527" s="292" t="s">
        <v>5150</v>
      </c>
      <c r="GS1527" s="65" t="s">
        <v>1046</v>
      </c>
      <c r="GY1527" s="65">
        <v>153.53</v>
      </c>
      <c r="GZ1527" s="65">
        <v>217.16</v>
      </c>
      <c r="HC1527" s="65" t="s">
        <v>1047</v>
      </c>
      <c r="IC1527" s="65">
        <v>5.32</v>
      </c>
      <c r="ID1527" s="65">
        <v>6.99</v>
      </c>
      <c r="JG1527" s="65">
        <v>49.83</v>
      </c>
      <c r="JH1527" s="65">
        <v>162.41999999999999</v>
      </c>
      <c r="JL1527" s="65">
        <v>11.14</v>
      </c>
      <c r="JM1527" s="65">
        <v>15.29</v>
      </c>
      <c r="JU1527" s="55" t="s">
        <v>1043</v>
      </c>
      <c r="JV1527" s="55" t="s">
        <v>1044</v>
      </c>
      <c r="JW1527" s="55" t="s">
        <v>837</v>
      </c>
    </row>
    <row r="1528" spans="1:283" x14ac:dyDescent="0.25">
      <c r="A1528" s="55">
        <v>1527</v>
      </c>
      <c r="B1528" s="12" t="s">
        <v>7067</v>
      </c>
      <c r="C1528" s="155">
        <v>70</v>
      </c>
      <c r="D1528" s="55" t="s">
        <v>3994</v>
      </c>
      <c r="E1528" s="90" t="s">
        <v>1030</v>
      </c>
      <c r="G1528" s="55" t="s">
        <v>1031</v>
      </c>
      <c r="H1528" s="55">
        <v>1996</v>
      </c>
      <c r="I1528" s="55">
        <v>1993</v>
      </c>
      <c r="J1528" s="55" t="s">
        <v>1032</v>
      </c>
      <c r="K1528" s="55" t="s">
        <v>1033</v>
      </c>
      <c r="L1528" s="55" t="s">
        <v>2737</v>
      </c>
      <c r="M1528" s="90">
        <v>36.69</v>
      </c>
      <c r="N1528" s="90">
        <v>-121.64</v>
      </c>
      <c r="O1528" s="90">
        <v>11.5</v>
      </c>
      <c r="U1528" s="55" t="s">
        <v>1805</v>
      </c>
      <c r="V1528" s="55" t="s">
        <v>1805</v>
      </c>
      <c r="Y1528" s="55" t="s">
        <v>1958</v>
      </c>
      <c r="Z1528" s="55" t="s">
        <v>1362</v>
      </c>
      <c r="AA1528" s="90" t="s">
        <v>1683</v>
      </c>
      <c r="AD1528" s="90">
        <v>1.46</v>
      </c>
      <c r="AE1528" s="90">
        <v>69</v>
      </c>
      <c r="AF1528" s="90">
        <v>20</v>
      </c>
      <c r="AH1528" s="55" t="s">
        <v>139</v>
      </c>
      <c r="AI1528" s="168">
        <v>7.7</v>
      </c>
      <c r="AJ1528" s="90">
        <v>0.62</v>
      </c>
      <c r="AM1528" s="55" t="s">
        <v>1320</v>
      </c>
      <c r="AN1528" s="185" t="s">
        <v>1034</v>
      </c>
      <c r="AO1528" s="185" t="s">
        <v>5150</v>
      </c>
      <c r="AQ1528" s="55" t="s">
        <v>1550</v>
      </c>
      <c r="AR1528" s="55" t="s">
        <v>609</v>
      </c>
      <c r="AS1528" s="55" t="s">
        <v>227</v>
      </c>
      <c r="AU1528" s="181" t="s">
        <v>7494</v>
      </c>
      <c r="AV1528" s="185" t="s">
        <v>176</v>
      </c>
      <c r="AX1528" s="185" t="s">
        <v>176</v>
      </c>
      <c r="BK1528" s="55" t="s">
        <v>5976</v>
      </c>
      <c r="BM1528" s="192" t="s">
        <v>119</v>
      </c>
      <c r="BN1528" s="55">
        <v>3</v>
      </c>
      <c r="BO1528" s="55">
        <v>3</v>
      </c>
      <c r="BQ1528" s="55" t="s">
        <v>141</v>
      </c>
      <c r="BS1528" s="55">
        <v>1962</v>
      </c>
      <c r="BT1528" s="55">
        <f>BS1528/69</f>
        <v>28.434782608695652</v>
      </c>
      <c r="DB1528" s="65">
        <v>57.76</v>
      </c>
      <c r="DC1528" s="65">
        <v>23.09</v>
      </c>
      <c r="DF1528" s="65" t="s">
        <v>1041</v>
      </c>
      <c r="GD1528" s="65">
        <v>7.15</v>
      </c>
      <c r="GE1528" s="65">
        <v>7.97</v>
      </c>
      <c r="GN1528" s="294">
        <v>15.1</v>
      </c>
      <c r="GO1528" s="294">
        <v>7.63</v>
      </c>
      <c r="GP1528" s="292" t="s">
        <v>5150</v>
      </c>
      <c r="GS1528" s="65" t="s">
        <v>1046</v>
      </c>
      <c r="GY1528" s="65">
        <v>46.96</v>
      </c>
      <c r="GZ1528" s="65">
        <v>75.45</v>
      </c>
      <c r="HC1528" s="65" t="s">
        <v>1047</v>
      </c>
      <c r="IC1528" s="65">
        <v>7.05</v>
      </c>
      <c r="ID1528" s="65">
        <v>4.3</v>
      </c>
      <c r="JG1528" s="65">
        <v>117.26</v>
      </c>
      <c r="JH1528" s="65">
        <v>244.18</v>
      </c>
      <c r="JL1528" s="65">
        <v>6.37</v>
      </c>
      <c r="JM1528" s="65">
        <v>15.97</v>
      </c>
      <c r="JU1528" s="55" t="s">
        <v>1043</v>
      </c>
      <c r="JV1528" s="55" t="s">
        <v>1044</v>
      </c>
      <c r="JW1528" s="55" t="s">
        <v>837</v>
      </c>
    </row>
    <row r="1529" spans="1:283" x14ac:dyDescent="0.25">
      <c r="A1529" s="55">
        <v>1528</v>
      </c>
      <c r="B1529" s="12" t="s">
        <v>7067</v>
      </c>
      <c r="C1529" s="155">
        <v>70</v>
      </c>
      <c r="D1529" s="55" t="s">
        <v>3994</v>
      </c>
      <c r="E1529" s="90" t="s">
        <v>1030</v>
      </c>
      <c r="G1529" s="55" t="s">
        <v>1031</v>
      </c>
      <c r="H1529" s="55">
        <v>1996</v>
      </c>
      <c r="I1529" s="55">
        <v>1993</v>
      </c>
      <c r="J1529" s="55" t="s">
        <v>1032</v>
      </c>
      <c r="K1529" s="55" t="s">
        <v>1033</v>
      </c>
      <c r="L1529" s="55" t="s">
        <v>2737</v>
      </c>
      <c r="M1529" s="90">
        <v>36.69</v>
      </c>
      <c r="N1529" s="90">
        <v>-121.64</v>
      </c>
      <c r="O1529" s="90">
        <v>11.5</v>
      </c>
      <c r="U1529" s="55" t="s">
        <v>1805</v>
      </c>
      <c r="V1529" s="55" t="s">
        <v>1805</v>
      </c>
      <c r="Y1529" s="55" t="s">
        <v>1958</v>
      </c>
      <c r="Z1529" s="55" t="s">
        <v>1362</v>
      </c>
      <c r="AA1529" s="90" t="s">
        <v>1683</v>
      </c>
      <c r="AD1529" s="90">
        <v>1.46</v>
      </c>
      <c r="AE1529" s="90">
        <v>69</v>
      </c>
      <c r="AF1529" s="90">
        <v>20</v>
      </c>
      <c r="AH1529" s="55" t="s">
        <v>139</v>
      </c>
      <c r="AI1529" s="168">
        <v>7.7</v>
      </c>
      <c r="AJ1529" s="90">
        <v>0.62</v>
      </c>
      <c r="AM1529" s="55" t="s">
        <v>1320</v>
      </c>
      <c r="AN1529" s="185" t="s">
        <v>1034</v>
      </c>
      <c r="AO1529" s="185" t="s">
        <v>5150</v>
      </c>
      <c r="AQ1529" s="55" t="s">
        <v>1550</v>
      </c>
      <c r="AR1529" s="55" t="s">
        <v>609</v>
      </c>
      <c r="AS1529" s="55" t="s">
        <v>227</v>
      </c>
      <c r="AU1529" s="181" t="s">
        <v>7494</v>
      </c>
      <c r="AV1529" s="185" t="s">
        <v>176</v>
      </c>
      <c r="AX1529" s="185" t="s">
        <v>176</v>
      </c>
      <c r="BK1529" s="55" t="s">
        <v>5976</v>
      </c>
      <c r="BM1529" s="192" t="s">
        <v>119</v>
      </c>
      <c r="BN1529" s="55">
        <v>3</v>
      </c>
      <c r="BO1529" s="55">
        <v>3</v>
      </c>
      <c r="BQ1529" s="55" t="s">
        <v>141</v>
      </c>
      <c r="BS1529" s="55">
        <v>3640</v>
      </c>
      <c r="BT1529" s="55">
        <f>BS1529/106</f>
        <v>34.339622641509436</v>
      </c>
      <c r="DB1529" s="65">
        <v>70.599999999999994</v>
      </c>
      <c r="DC1529" s="65">
        <v>70.31</v>
      </c>
      <c r="DF1529" s="65" t="s">
        <v>1041</v>
      </c>
      <c r="GD1529" s="65">
        <v>5.56</v>
      </c>
      <c r="GE1529" s="65">
        <v>5.78</v>
      </c>
      <c r="GN1529" s="294">
        <v>8.41</v>
      </c>
      <c r="GO1529" s="294">
        <v>7.1</v>
      </c>
      <c r="GP1529" s="292" t="s">
        <v>5150</v>
      </c>
      <c r="GS1529" s="65" t="s">
        <v>1046</v>
      </c>
      <c r="GY1529" s="65">
        <v>42.08</v>
      </c>
      <c r="GZ1529" s="65">
        <v>33.54</v>
      </c>
      <c r="HC1529" s="65" t="s">
        <v>1047</v>
      </c>
      <c r="IC1529" s="65">
        <v>3.86</v>
      </c>
      <c r="ID1529" s="65">
        <v>3.86</v>
      </c>
      <c r="JG1529" s="65">
        <v>119.25</v>
      </c>
      <c r="JH1529" s="65">
        <v>190.9</v>
      </c>
      <c r="JL1529" s="65">
        <v>11.22</v>
      </c>
      <c r="JM1529" s="65">
        <v>12.94</v>
      </c>
      <c r="JU1529" s="55" t="s">
        <v>754</v>
      </c>
      <c r="JV1529" s="55" t="s">
        <v>1044</v>
      </c>
      <c r="JW1529" s="55" t="s">
        <v>837</v>
      </c>
    </row>
    <row r="1530" spans="1:283" x14ac:dyDescent="0.25">
      <c r="A1530" s="55">
        <v>1529</v>
      </c>
      <c r="B1530" s="12" t="s">
        <v>7067</v>
      </c>
      <c r="C1530" s="155">
        <v>70</v>
      </c>
      <c r="D1530" s="55" t="s">
        <v>3995</v>
      </c>
      <c r="E1530" s="90" t="s">
        <v>1030</v>
      </c>
      <c r="G1530" s="55" t="s">
        <v>1031</v>
      </c>
      <c r="H1530" s="55">
        <v>1996</v>
      </c>
      <c r="I1530" s="55">
        <v>1992</v>
      </c>
      <c r="J1530" s="55" t="s">
        <v>1032</v>
      </c>
      <c r="K1530" s="55" t="s">
        <v>1033</v>
      </c>
      <c r="L1530" s="55" t="s">
        <v>2737</v>
      </c>
      <c r="M1530" s="90">
        <v>36.69</v>
      </c>
      <c r="N1530" s="90">
        <v>-121.64</v>
      </c>
      <c r="O1530" s="90">
        <v>11.5</v>
      </c>
      <c r="U1530" s="55">
        <v>1</v>
      </c>
      <c r="V1530" s="55" t="s">
        <v>1805</v>
      </c>
      <c r="Y1530" s="55" t="s">
        <v>1035</v>
      </c>
      <c r="Z1530" s="55" t="s">
        <v>1362</v>
      </c>
      <c r="AA1530" s="90" t="s">
        <v>1683</v>
      </c>
      <c r="AD1530" s="90">
        <v>1.46</v>
      </c>
      <c r="AE1530" s="90">
        <v>69</v>
      </c>
      <c r="AF1530" s="90">
        <v>20</v>
      </c>
      <c r="AH1530" s="55" t="s">
        <v>139</v>
      </c>
      <c r="AI1530" s="168">
        <v>7.7</v>
      </c>
      <c r="AJ1530" s="90">
        <v>0.62</v>
      </c>
      <c r="AM1530" s="55" t="s">
        <v>1320</v>
      </c>
      <c r="AN1530" s="185" t="s">
        <v>131</v>
      </c>
      <c r="AO1530" s="185" t="s">
        <v>5150</v>
      </c>
      <c r="AQ1530" s="55" t="s">
        <v>131</v>
      </c>
      <c r="AR1530" s="55" t="s">
        <v>609</v>
      </c>
      <c r="AS1530" s="55" t="s">
        <v>227</v>
      </c>
      <c r="AU1530" s="181" t="s">
        <v>7494</v>
      </c>
      <c r="AV1530" s="185" t="s">
        <v>176</v>
      </c>
      <c r="AX1530" s="185" t="s">
        <v>176</v>
      </c>
      <c r="BK1530" s="55" t="s">
        <v>5976</v>
      </c>
      <c r="BM1530" s="192" t="s">
        <v>119</v>
      </c>
      <c r="BN1530" s="55">
        <v>3</v>
      </c>
      <c r="BO1530" s="55">
        <v>3</v>
      </c>
      <c r="BQ1530" s="55" t="s">
        <v>141</v>
      </c>
      <c r="BS1530" s="55">
        <v>8.1</v>
      </c>
      <c r="BT1530" s="55">
        <f>BS1530/0.5</f>
        <v>16.2</v>
      </c>
      <c r="CB1530" s="66">
        <v>3</v>
      </c>
      <c r="CC1530" s="66">
        <v>4</v>
      </c>
      <c r="DB1530" s="65">
        <v>67.489999999999995</v>
      </c>
      <c r="DC1530" s="65">
        <v>35.72</v>
      </c>
      <c r="DF1530" s="65" t="s">
        <v>1041</v>
      </c>
      <c r="GD1530" s="65">
        <v>4.82</v>
      </c>
      <c r="GE1530" s="65">
        <v>6.39</v>
      </c>
      <c r="GN1530" s="294">
        <v>0.75</v>
      </c>
      <c r="GO1530" s="294">
        <v>6.06</v>
      </c>
      <c r="GP1530" s="292" t="s">
        <v>5150</v>
      </c>
      <c r="GS1530" s="65" t="s">
        <v>1046</v>
      </c>
      <c r="GY1530" s="65">
        <v>1.38</v>
      </c>
      <c r="GZ1530" s="65">
        <v>4.2300000000000004</v>
      </c>
      <c r="HC1530" s="65" t="s">
        <v>1047</v>
      </c>
      <c r="IC1530" s="65">
        <v>6.56</v>
      </c>
      <c r="ID1530" s="65">
        <v>7.72</v>
      </c>
      <c r="JG1530" s="65">
        <v>86.95</v>
      </c>
      <c r="JH1530" s="65">
        <v>86.95</v>
      </c>
      <c r="JL1530" s="65">
        <v>10.52</v>
      </c>
      <c r="JM1530" s="65">
        <v>10.52</v>
      </c>
      <c r="JU1530" s="55" t="s">
        <v>754</v>
      </c>
      <c r="JV1530" s="55" t="s">
        <v>1044</v>
      </c>
      <c r="JW1530" s="55" t="s">
        <v>837</v>
      </c>
    </row>
    <row r="1531" spans="1:283" x14ac:dyDescent="0.25">
      <c r="A1531" s="55">
        <v>1530</v>
      </c>
      <c r="B1531" s="12" t="s">
        <v>7067</v>
      </c>
      <c r="C1531" s="155">
        <v>70</v>
      </c>
      <c r="D1531" s="55" t="s">
        <v>3995</v>
      </c>
      <c r="E1531" s="90" t="s">
        <v>1030</v>
      </c>
      <c r="G1531" s="55" t="s">
        <v>1031</v>
      </c>
      <c r="H1531" s="55">
        <v>1996</v>
      </c>
      <c r="I1531" s="55">
        <v>1992</v>
      </c>
      <c r="J1531" s="55" t="s">
        <v>1032</v>
      </c>
      <c r="K1531" s="55" t="s">
        <v>1033</v>
      </c>
      <c r="L1531" s="55" t="s">
        <v>2737</v>
      </c>
      <c r="M1531" s="90">
        <v>36.69</v>
      </c>
      <c r="N1531" s="90">
        <v>-121.64</v>
      </c>
      <c r="O1531" s="90">
        <v>11.5</v>
      </c>
      <c r="U1531" s="55">
        <v>1</v>
      </c>
      <c r="V1531" s="55" t="s">
        <v>1805</v>
      </c>
      <c r="Y1531" s="55" t="s">
        <v>1036</v>
      </c>
      <c r="Z1531" s="55" t="s">
        <v>1362</v>
      </c>
      <c r="AA1531" s="90" t="s">
        <v>1683</v>
      </c>
      <c r="AD1531" s="90">
        <v>1.46</v>
      </c>
      <c r="AE1531" s="90">
        <v>69</v>
      </c>
      <c r="AF1531" s="90">
        <v>20</v>
      </c>
      <c r="AH1531" s="55" t="s">
        <v>139</v>
      </c>
      <c r="AI1531" s="168">
        <v>7.7</v>
      </c>
      <c r="AJ1531" s="90">
        <v>0.62</v>
      </c>
      <c r="AM1531" s="55" t="s">
        <v>1320</v>
      </c>
      <c r="AN1531" s="185" t="s">
        <v>131</v>
      </c>
      <c r="AO1531" s="185" t="s">
        <v>5150</v>
      </c>
      <c r="AQ1531" s="55" t="s">
        <v>131</v>
      </c>
      <c r="AR1531" s="55" t="s">
        <v>609</v>
      </c>
      <c r="AS1531" s="55" t="s">
        <v>227</v>
      </c>
      <c r="AU1531" s="181" t="s">
        <v>7494</v>
      </c>
      <c r="AV1531" s="185" t="s">
        <v>176</v>
      </c>
      <c r="AX1531" s="185" t="s">
        <v>176</v>
      </c>
      <c r="BK1531" s="55" t="s">
        <v>5976</v>
      </c>
      <c r="BM1531" s="192" t="s">
        <v>119</v>
      </c>
      <c r="BN1531" s="55">
        <v>3</v>
      </c>
      <c r="BO1531" s="55">
        <v>3</v>
      </c>
      <c r="BQ1531" s="55" t="s">
        <v>141</v>
      </c>
      <c r="BS1531" s="55">
        <v>347</v>
      </c>
      <c r="BT1531" s="55">
        <f>BS1531/21</f>
        <v>16.523809523809526</v>
      </c>
      <c r="CB1531" s="66">
        <v>123</v>
      </c>
      <c r="CC1531" s="66">
        <v>115</v>
      </c>
      <c r="DB1531" s="65">
        <v>80.33</v>
      </c>
      <c r="DC1531" s="65">
        <v>84.17</v>
      </c>
      <c r="DF1531" s="65" t="s">
        <v>1041</v>
      </c>
      <c r="GD1531" s="65">
        <v>11.17</v>
      </c>
      <c r="GE1531" s="65">
        <v>12.06</v>
      </c>
      <c r="GN1531" s="294">
        <v>5.86</v>
      </c>
      <c r="GO1531" s="294">
        <v>1.4</v>
      </c>
      <c r="GP1531" s="292" t="s">
        <v>5150</v>
      </c>
      <c r="GS1531" s="65" t="s">
        <v>1046</v>
      </c>
      <c r="GY1531" s="65">
        <v>10.8</v>
      </c>
      <c r="GZ1531" s="65">
        <v>9.86</v>
      </c>
      <c r="HC1531" s="65" t="s">
        <v>1047</v>
      </c>
      <c r="IC1531" s="65">
        <v>12.79</v>
      </c>
      <c r="ID1531" s="65">
        <v>8.59</v>
      </c>
      <c r="JG1531" s="65">
        <v>203.57</v>
      </c>
      <c r="JH1531" s="65">
        <v>154.43</v>
      </c>
      <c r="JL1531" s="65">
        <v>19.37</v>
      </c>
      <c r="JM1531" s="65">
        <v>19.23</v>
      </c>
      <c r="JU1531" s="55" t="s">
        <v>853</v>
      </c>
      <c r="JV1531" s="55" t="s">
        <v>1044</v>
      </c>
      <c r="JW1531" s="55" t="s">
        <v>837</v>
      </c>
    </row>
    <row r="1532" spans="1:283" x14ac:dyDescent="0.25">
      <c r="A1532" s="55">
        <v>1531</v>
      </c>
      <c r="B1532" s="12" t="s">
        <v>7067</v>
      </c>
      <c r="C1532" s="155">
        <v>70</v>
      </c>
      <c r="D1532" s="55" t="s">
        <v>3995</v>
      </c>
      <c r="E1532" s="90" t="s">
        <v>1030</v>
      </c>
      <c r="G1532" s="55" t="s">
        <v>1031</v>
      </c>
      <c r="H1532" s="55">
        <v>1996</v>
      </c>
      <c r="I1532" s="55">
        <v>1993</v>
      </c>
      <c r="J1532" s="55" t="s">
        <v>1032</v>
      </c>
      <c r="K1532" s="55" t="s">
        <v>1033</v>
      </c>
      <c r="L1532" s="55" t="s">
        <v>2737</v>
      </c>
      <c r="M1532" s="90">
        <v>36.69</v>
      </c>
      <c r="N1532" s="90">
        <v>-121.64</v>
      </c>
      <c r="O1532" s="90">
        <v>11.5</v>
      </c>
      <c r="U1532" s="55" t="s">
        <v>1805</v>
      </c>
      <c r="V1532" s="55" t="s">
        <v>1805</v>
      </c>
      <c r="Y1532" s="55" t="s">
        <v>1037</v>
      </c>
      <c r="Z1532" s="55" t="s">
        <v>1362</v>
      </c>
      <c r="AA1532" s="90" t="s">
        <v>1683</v>
      </c>
      <c r="AD1532" s="90">
        <v>1.46</v>
      </c>
      <c r="AE1532" s="90">
        <v>69</v>
      </c>
      <c r="AF1532" s="90">
        <v>20</v>
      </c>
      <c r="AH1532" s="55" t="s">
        <v>139</v>
      </c>
      <c r="AI1532" s="168">
        <v>7.7</v>
      </c>
      <c r="AJ1532" s="90">
        <v>0.62</v>
      </c>
      <c r="AM1532" s="55" t="s">
        <v>1320</v>
      </c>
      <c r="AN1532" s="185" t="s">
        <v>131</v>
      </c>
      <c r="AO1532" s="185" t="s">
        <v>5150</v>
      </c>
      <c r="AQ1532" s="55" t="s">
        <v>131</v>
      </c>
      <c r="AR1532" s="55" t="s">
        <v>609</v>
      </c>
      <c r="AS1532" s="55" t="s">
        <v>227</v>
      </c>
      <c r="AU1532" s="181" t="s">
        <v>7494</v>
      </c>
      <c r="AV1532" s="185" t="s">
        <v>176</v>
      </c>
      <c r="AX1532" s="185" t="s">
        <v>176</v>
      </c>
      <c r="BK1532" s="55" t="s">
        <v>5976</v>
      </c>
      <c r="BM1532" s="192" t="s">
        <v>119</v>
      </c>
      <c r="BN1532" s="55">
        <v>3</v>
      </c>
      <c r="BO1532" s="55">
        <v>3</v>
      </c>
      <c r="BQ1532" s="55" t="s">
        <v>141</v>
      </c>
      <c r="BS1532" s="55">
        <v>1399</v>
      </c>
      <c r="BT1532" s="55">
        <f>BS1532/59</f>
        <v>23.711864406779661</v>
      </c>
      <c r="CB1532" s="66">
        <v>1285</v>
      </c>
      <c r="CC1532" s="66">
        <v>1215</v>
      </c>
      <c r="DB1532" s="65">
        <v>42.55</v>
      </c>
      <c r="DC1532" s="65">
        <v>38.950000000000003</v>
      </c>
      <c r="DF1532" s="65" t="s">
        <v>1041</v>
      </c>
      <c r="GD1532" s="65">
        <v>8.9</v>
      </c>
      <c r="GE1532" s="65">
        <v>7.34</v>
      </c>
      <c r="GN1532" s="294">
        <v>0.74</v>
      </c>
      <c r="GO1532" s="294">
        <v>0.74</v>
      </c>
      <c r="GP1532" s="292" t="s">
        <v>5150</v>
      </c>
      <c r="GS1532" s="65" t="s">
        <v>1046</v>
      </c>
      <c r="GY1532" s="65">
        <v>9.8000000000000007</v>
      </c>
      <c r="GZ1532" s="65">
        <v>47.8</v>
      </c>
      <c r="HC1532" s="65" t="s">
        <v>1047</v>
      </c>
      <c r="IC1532" s="65">
        <v>6.56</v>
      </c>
      <c r="ID1532" s="65">
        <v>9.5299999999999994</v>
      </c>
      <c r="JG1532" s="65">
        <v>189.18</v>
      </c>
      <c r="JH1532" s="65">
        <v>299.72000000000003</v>
      </c>
      <c r="JL1532" s="65">
        <v>10.18</v>
      </c>
      <c r="JM1532" s="65">
        <v>12.76</v>
      </c>
      <c r="JU1532" s="55" t="s">
        <v>953</v>
      </c>
      <c r="JV1532" s="55" t="s">
        <v>1044</v>
      </c>
      <c r="JW1532" s="55" t="s">
        <v>837</v>
      </c>
    </row>
    <row r="1533" spans="1:283" x14ac:dyDescent="0.25">
      <c r="A1533" s="55">
        <v>1532</v>
      </c>
      <c r="B1533" s="12" t="s">
        <v>7067</v>
      </c>
      <c r="C1533" s="155">
        <v>70</v>
      </c>
      <c r="D1533" s="55" t="s">
        <v>3995</v>
      </c>
      <c r="E1533" s="90" t="s">
        <v>1030</v>
      </c>
      <c r="G1533" s="55" t="s">
        <v>1031</v>
      </c>
      <c r="H1533" s="55">
        <v>1996</v>
      </c>
      <c r="I1533" s="55">
        <v>1993</v>
      </c>
      <c r="J1533" s="55" t="s">
        <v>1032</v>
      </c>
      <c r="K1533" s="55" t="s">
        <v>1033</v>
      </c>
      <c r="L1533" s="55" t="s">
        <v>2737</v>
      </c>
      <c r="M1533" s="90">
        <v>36.69</v>
      </c>
      <c r="N1533" s="90">
        <v>-121.64</v>
      </c>
      <c r="O1533" s="90">
        <v>11.5</v>
      </c>
      <c r="U1533" s="55" t="s">
        <v>1805</v>
      </c>
      <c r="V1533" s="55" t="s">
        <v>1805</v>
      </c>
      <c r="Y1533" s="55" t="s">
        <v>1038</v>
      </c>
      <c r="Z1533" s="55" t="s">
        <v>1362</v>
      </c>
      <c r="AA1533" s="90" t="s">
        <v>1683</v>
      </c>
      <c r="AD1533" s="90">
        <v>1.46</v>
      </c>
      <c r="AE1533" s="90">
        <v>69</v>
      </c>
      <c r="AF1533" s="90">
        <v>20</v>
      </c>
      <c r="AH1533" s="55" t="s">
        <v>139</v>
      </c>
      <c r="AI1533" s="168">
        <v>7.7</v>
      </c>
      <c r="AJ1533" s="90">
        <v>0.62</v>
      </c>
      <c r="AM1533" s="55" t="s">
        <v>1320</v>
      </c>
      <c r="AN1533" s="185" t="s">
        <v>131</v>
      </c>
      <c r="AO1533" s="185" t="s">
        <v>5150</v>
      </c>
      <c r="AQ1533" s="55" t="s">
        <v>131</v>
      </c>
      <c r="AR1533" s="55" t="s">
        <v>609</v>
      </c>
      <c r="AS1533" s="55" t="s">
        <v>227</v>
      </c>
      <c r="AU1533" s="181" t="s">
        <v>7494</v>
      </c>
      <c r="AV1533" s="185" t="s">
        <v>176</v>
      </c>
      <c r="AX1533" s="185" t="s">
        <v>176</v>
      </c>
      <c r="BK1533" s="55" t="s">
        <v>5976</v>
      </c>
      <c r="BM1533" s="192" t="s">
        <v>119</v>
      </c>
      <c r="BN1533" s="55">
        <v>3</v>
      </c>
      <c r="BO1533" s="55">
        <v>3</v>
      </c>
      <c r="BQ1533" s="55" t="s">
        <v>141</v>
      </c>
      <c r="BS1533" s="55">
        <v>2151</v>
      </c>
      <c r="BT1533" s="55">
        <f>BS1533/78</f>
        <v>27.576923076923077</v>
      </c>
      <c r="CB1533" s="66">
        <v>5821</v>
      </c>
      <c r="CC1533" s="66">
        <v>5902</v>
      </c>
      <c r="DB1533" s="65">
        <v>18.420000000000002</v>
      </c>
      <c r="DC1533" s="65">
        <v>1.34</v>
      </c>
      <c r="DF1533" s="65" t="s">
        <v>1041</v>
      </c>
      <c r="GD1533" s="65">
        <v>8.3699999999999992</v>
      </c>
      <c r="GE1533" s="65">
        <v>6.13</v>
      </c>
      <c r="GN1533" s="294">
        <v>3.62</v>
      </c>
      <c r="GO1533" s="294">
        <v>6.9</v>
      </c>
      <c r="GP1533" s="292" t="s">
        <v>5150</v>
      </c>
      <c r="GS1533" s="65" t="s">
        <v>1046</v>
      </c>
      <c r="GY1533" s="65">
        <v>22.13</v>
      </c>
      <c r="GZ1533" s="65">
        <v>56.3</v>
      </c>
      <c r="HC1533" s="65" t="s">
        <v>1047</v>
      </c>
      <c r="IC1533" s="65">
        <v>7.56</v>
      </c>
      <c r="ID1533" s="65">
        <v>7.57</v>
      </c>
      <c r="JG1533" s="65">
        <v>275.08999999999997</v>
      </c>
      <c r="JH1533" s="65">
        <v>150.22</v>
      </c>
      <c r="JL1533" s="65">
        <v>15.46</v>
      </c>
      <c r="JM1533" s="65">
        <v>19.62</v>
      </c>
      <c r="JU1533" s="55" t="s">
        <v>954</v>
      </c>
      <c r="JV1533" s="55" t="s">
        <v>1044</v>
      </c>
      <c r="JW1533" s="55" t="s">
        <v>837</v>
      </c>
    </row>
    <row r="1534" spans="1:283" x14ac:dyDescent="0.25">
      <c r="A1534" s="55">
        <v>1533</v>
      </c>
      <c r="B1534" s="12" t="s">
        <v>7067</v>
      </c>
      <c r="C1534" s="155">
        <v>70</v>
      </c>
      <c r="D1534" s="55" t="s">
        <v>3995</v>
      </c>
      <c r="E1534" s="90" t="s">
        <v>1030</v>
      </c>
      <c r="G1534" s="55" t="s">
        <v>1031</v>
      </c>
      <c r="H1534" s="55">
        <v>1996</v>
      </c>
      <c r="I1534" s="55">
        <v>1993</v>
      </c>
      <c r="J1534" s="55" t="s">
        <v>1032</v>
      </c>
      <c r="K1534" s="55" t="s">
        <v>1033</v>
      </c>
      <c r="L1534" s="55" t="s">
        <v>2737</v>
      </c>
      <c r="M1534" s="90">
        <v>36.69</v>
      </c>
      <c r="N1534" s="90">
        <v>-121.64</v>
      </c>
      <c r="O1534" s="90">
        <v>11.5</v>
      </c>
      <c r="U1534" s="55" t="s">
        <v>1805</v>
      </c>
      <c r="V1534" s="55" t="s">
        <v>1805</v>
      </c>
      <c r="Y1534" s="55" t="s">
        <v>1039</v>
      </c>
      <c r="Z1534" s="55" t="s">
        <v>1362</v>
      </c>
      <c r="AA1534" s="90" t="s">
        <v>1683</v>
      </c>
      <c r="AD1534" s="90">
        <v>1.46</v>
      </c>
      <c r="AE1534" s="90">
        <v>69</v>
      </c>
      <c r="AF1534" s="90">
        <v>20</v>
      </c>
      <c r="AH1534" s="55" t="s">
        <v>139</v>
      </c>
      <c r="AI1534" s="168">
        <v>7.7</v>
      </c>
      <c r="AJ1534" s="90">
        <v>0.62</v>
      </c>
      <c r="AM1534" s="55" t="s">
        <v>1320</v>
      </c>
      <c r="AN1534" s="185" t="s">
        <v>131</v>
      </c>
      <c r="AO1534" s="185" t="s">
        <v>5150</v>
      </c>
      <c r="AQ1534" s="55" t="s">
        <v>131</v>
      </c>
      <c r="AR1534" s="55" t="s">
        <v>609</v>
      </c>
      <c r="AS1534" s="55" t="s">
        <v>227</v>
      </c>
      <c r="AU1534" s="181" t="s">
        <v>7494</v>
      </c>
      <c r="AV1534" s="185" t="s">
        <v>176</v>
      </c>
      <c r="AX1534" s="185" t="s">
        <v>176</v>
      </c>
      <c r="BK1534" s="55" t="s">
        <v>5976</v>
      </c>
      <c r="BM1534" s="192" t="s">
        <v>119</v>
      </c>
      <c r="BN1534" s="55">
        <v>3</v>
      </c>
      <c r="BO1534" s="55">
        <v>3</v>
      </c>
      <c r="BQ1534" s="55" t="s">
        <v>141</v>
      </c>
      <c r="BS1534" s="55">
        <v>3727</v>
      </c>
      <c r="BT1534" s="55">
        <f>BS1534/136</f>
        <v>27.404411764705884</v>
      </c>
      <c r="CB1534" s="66">
        <v>8303</v>
      </c>
      <c r="CC1534" s="66">
        <v>8672</v>
      </c>
      <c r="DB1534" s="65">
        <v>15.37</v>
      </c>
      <c r="DC1534" s="65">
        <v>7.27</v>
      </c>
      <c r="DF1534" s="65" t="s">
        <v>1041</v>
      </c>
      <c r="GD1534" s="65">
        <v>7.55</v>
      </c>
      <c r="GE1534" s="65">
        <v>5.75</v>
      </c>
      <c r="GN1534" s="294">
        <v>3.42</v>
      </c>
      <c r="GO1534" s="294">
        <v>9.4499999999999993</v>
      </c>
      <c r="GP1534" s="292" t="s">
        <v>5150</v>
      </c>
      <c r="GS1534" s="65" t="s">
        <v>1046</v>
      </c>
      <c r="GY1534" s="65">
        <v>8.8000000000000007</v>
      </c>
      <c r="GZ1534" s="65">
        <v>14.5</v>
      </c>
      <c r="HC1534" s="65" t="s">
        <v>1047</v>
      </c>
      <c r="IC1534" s="65">
        <v>4.8</v>
      </c>
      <c r="ID1534" s="65">
        <v>7.64</v>
      </c>
      <c r="JG1534" s="65">
        <v>152.24</v>
      </c>
      <c r="JH1534" s="65">
        <v>273.02</v>
      </c>
      <c r="JL1534" s="65">
        <v>4.99</v>
      </c>
      <c r="JM1534" s="65">
        <v>10.3</v>
      </c>
      <c r="JU1534" s="55" t="s">
        <v>753</v>
      </c>
      <c r="JV1534" s="55" t="s">
        <v>1044</v>
      </c>
      <c r="JW1534" s="55" t="s">
        <v>837</v>
      </c>
    </row>
    <row r="1535" spans="1:283" x14ac:dyDescent="0.25">
      <c r="A1535" s="55">
        <v>1534</v>
      </c>
      <c r="B1535" s="12" t="s">
        <v>7067</v>
      </c>
      <c r="C1535" s="155">
        <v>70</v>
      </c>
      <c r="D1535" s="55" t="s">
        <v>3995</v>
      </c>
      <c r="E1535" s="90" t="s">
        <v>1030</v>
      </c>
      <c r="G1535" s="55" t="s">
        <v>1031</v>
      </c>
      <c r="H1535" s="55">
        <v>1996</v>
      </c>
      <c r="I1535" s="55">
        <v>1992</v>
      </c>
      <c r="J1535" s="55" t="s">
        <v>1032</v>
      </c>
      <c r="K1535" s="55" t="s">
        <v>1033</v>
      </c>
      <c r="L1535" s="55" t="s">
        <v>2737</v>
      </c>
      <c r="M1535" s="90">
        <v>36.69</v>
      </c>
      <c r="N1535" s="90">
        <v>-121.64</v>
      </c>
      <c r="O1535" s="90">
        <v>11.5</v>
      </c>
      <c r="U1535" s="55">
        <v>1</v>
      </c>
      <c r="V1535" s="55" t="s">
        <v>1805</v>
      </c>
      <c r="Y1535" s="55" t="s">
        <v>1958</v>
      </c>
      <c r="Z1535" s="55" t="s">
        <v>1362</v>
      </c>
      <c r="AA1535" s="90" t="s">
        <v>1683</v>
      </c>
      <c r="AD1535" s="90">
        <v>1.46</v>
      </c>
      <c r="AE1535" s="90">
        <v>69</v>
      </c>
      <c r="AF1535" s="90">
        <v>20</v>
      </c>
      <c r="AH1535" s="55" t="s">
        <v>139</v>
      </c>
      <c r="AI1535" s="168">
        <v>7.7</v>
      </c>
      <c r="AJ1535" s="90">
        <v>0.62</v>
      </c>
      <c r="AM1535" s="55" t="s">
        <v>1320</v>
      </c>
      <c r="AN1535" s="185" t="s">
        <v>131</v>
      </c>
      <c r="AO1535" s="185" t="s">
        <v>5150</v>
      </c>
      <c r="AQ1535" s="55" t="s">
        <v>131</v>
      </c>
      <c r="AR1535" s="55" t="s">
        <v>609</v>
      </c>
      <c r="AS1535" s="55" t="s">
        <v>227</v>
      </c>
      <c r="AU1535" s="181" t="s">
        <v>7494</v>
      </c>
      <c r="AV1535" s="185" t="s">
        <v>176</v>
      </c>
      <c r="AX1535" s="185" t="s">
        <v>176</v>
      </c>
      <c r="BK1535" s="55" t="s">
        <v>5976</v>
      </c>
      <c r="BM1535" s="192" t="s">
        <v>119</v>
      </c>
      <c r="BN1535" s="55">
        <v>3</v>
      </c>
      <c r="BO1535" s="55">
        <v>3</v>
      </c>
      <c r="BQ1535" s="55" t="s">
        <v>141</v>
      </c>
      <c r="BS1535" s="55">
        <v>8.1</v>
      </c>
      <c r="BT1535" s="55">
        <f>BS1535/0.5</f>
        <v>16.2</v>
      </c>
      <c r="DB1535" s="65">
        <v>20.61</v>
      </c>
      <c r="DC1535" s="65">
        <v>10.96</v>
      </c>
      <c r="DF1535" s="65" t="s">
        <v>1041</v>
      </c>
      <c r="GD1535" s="65">
        <v>11.36</v>
      </c>
      <c r="GE1535" s="65">
        <v>11.36</v>
      </c>
      <c r="GN1535" s="294">
        <v>0.65</v>
      </c>
      <c r="GO1535" s="294">
        <v>0.52</v>
      </c>
      <c r="GP1535" s="292" t="s">
        <v>5150</v>
      </c>
      <c r="GS1535" s="65" t="s">
        <v>1046</v>
      </c>
      <c r="GY1535" s="65">
        <v>2.82</v>
      </c>
      <c r="GZ1535" s="65">
        <v>2.8</v>
      </c>
      <c r="HC1535" s="65" t="s">
        <v>1047</v>
      </c>
      <c r="IC1535" s="65">
        <v>6.19</v>
      </c>
      <c r="ID1535" s="65">
        <v>11.77</v>
      </c>
      <c r="JG1535" s="65">
        <v>74.430000000000007</v>
      </c>
      <c r="JH1535" s="65">
        <v>146.09</v>
      </c>
      <c r="JL1535" s="65">
        <v>12.3</v>
      </c>
      <c r="JM1535" s="65">
        <v>18.32</v>
      </c>
      <c r="JU1535" s="55" t="s">
        <v>200</v>
      </c>
      <c r="JV1535" s="55" t="s">
        <v>1044</v>
      </c>
      <c r="JW1535" s="55" t="s">
        <v>837</v>
      </c>
    </row>
    <row r="1536" spans="1:283" x14ac:dyDescent="0.25">
      <c r="A1536" s="55">
        <v>1535</v>
      </c>
      <c r="B1536" s="12" t="s">
        <v>7067</v>
      </c>
      <c r="C1536" s="155">
        <v>70</v>
      </c>
      <c r="D1536" s="55" t="s">
        <v>3995</v>
      </c>
      <c r="E1536" s="90" t="s">
        <v>1030</v>
      </c>
      <c r="G1536" s="55" t="s">
        <v>1031</v>
      </c>
      <c r="H1536" s="55">
        <v>1996</v>
      </c>
      <c r="I1536" s="55">
        <v>1992</v>
      </c>
      <c r="J1536" s="55" t="s">
        <v>1032</v>
      </c>
      <c r="K1536" s="55" t="s">
        <v>1033</v>
      </c>
      <c r="L1536" s="55" t="s">
        <v>2737</v>
      </c>
      <c r="M1536" s="90">
        <v>36.69</v>
      </c>
      <c r="N1536" s="90">
        <v>-121.64</v>
      </c>
      <c r="O1536" s="90">
        <v>11.5</v>
      </c>
      <c r="U1536" s="55">
        <v>1</v>
      </c>
      <c r="V1536" s="55" t="s">
        <v>1805</v>
      </c>
      <c r="Y1536" s="55" t="s">
        <v>1958</v>
      </c>
      <c r="Z1536" s="55" t="s">
        <v>1362</v>
      </c>
      <c r="AA1536" s="90" t="s">
        <v>1683</v>
      </c>
      <c r="AD1536" s="90">
        <v>1.46</v>
      </c>
      <c r="AE1536" s="90">
        <v>69</v>
      </c>
      <c r="AF1536" s="90">
        <v>20</v>
      </c>
      <c r="AH1536" s="55" t="s">
        <v>139</v>
      </c>
      <c r="AI1536" s="168">
        <v>7.7</v>
      </c>
      <c r="AJ1536" s="90">
        <v>0.62</v>
      </c>
      <c r="AM1536" s="55" t="s">
        <v>1320</v>
      </c>
      <c r="AN1536" s="185" t="s">
        <v>131</v>
      </c>
      <c r="AO1536" s="185" t="s">
        <v>5150</v>
      </c>
      <c r="AQ1536" s="55" t="s">
        <v>131</v>
      </c>
      <c r="AR1536" s="55" t="s">
        <v>609</v>
      </c>
      <c r="AS1536" s="55" t="s">
        <v>227</v>
      </c>
      <c r="AU1536" s="181" t="s">
        <v>7494</v>
      </c>
      <c r="AV1536" s="185" t="s">
        <v>176</v>
      </c>
      <c r="AX1536" s="185" t="s">
        <v>176</v>
      </c>
      <c r="BK1536" s="55" t="s">
        <v>5976</v>
      </c>
      <c r="BM1536" s="192" t="s">
        <v>119</v>
      </c>
      <c r="BN1536" s="55">
        <v>3</v>
      </c>
      <c r="BO1536" s="55">
        <v>3</v>
      </c>
      <c r="BQ1536" s="55" t="s">
        <v>141</v>
      </c>
      <c r="BS1536" s="55">
        <v>347</v>
      </c>
      <c r="BT1536" s="55">
        <f>BS1536/21</f>
        <v>16.523809523809526</v>
      </c>
      <c r="DB1536" s="65">
        <v>22.56</v>
      </c>
      <c r="DC1536" s="65">
        <v>25.01</v>
      </c>
      <c r="DF1536" s="65" t="s">
        <v>1041</v>
      </c>
      <c r="GD1536" s="65">
        <v>9.19</v>
      </c>
      <c r="GE1536" s="65">
        <v>8.89</v>
      </c>
      <c r="GN1536" s="294">
        <v>1.43</v>
      </c>
      <c r="GO1536" s="294">
        <v>2.41</v>
      </c>
      <c r="GP1536" s="292" t="s">
        <v>5150</v>
      </c>
      <c r="GS1536" s="65" t="s">
        <v>1046</v>
      </c>
      <c r="GY1536" s="65">
        <v>29.28</v>
      </c>
      <c r="GZ1536" s="65">
        <v>23.58</v>
      </c>
      <c r="HC1536" s="65" t="s">
        <v>1047</v>
      </c>
      <c r="IC1536" s="65">
        <v>3.22</v>
      </c>
      <c r="ID1536" s="65">
        <v>7.06</v>
      </c>
      <c r="JG1536" s="65">
        <v>103.08</v>
      </c>
      <c r="JH1536" s="65">
        <v>176.78</v>
      </c>
      <c r="JL1536" s="65">
        <v>4.41</v>
      </c>
      <c r="JM1536" s="65">
        <v>10.85</v>
      </c>
      <c r="JU1536" s="55" t="s">
        <v>854</v>
      </c>
      <c r="JV1536" s="55" t="s">
        <v>1044</v>
      </c>
      <c r="JW1536" s="55" t="s">
        <v>837</v>
      </c>
    </row>
    <row r="1537" spans="1:283" x14ac:dyDescent="0.25">
      <c r="A1537" s="55">
        <v>1536</v>
      </c>
      <c r="B1537" s="12" t="s">
        <v>7067</v>
      </c>
      <c r="C1537" s="155">
        <v>70</v>
      </c>
      <c r="D1537" s="55" t="s">
        <v>3995</v>
      </c>
      <c r="E1537" s="90" t="s">
        <v>1030</v>
      </c>
      <c r="G1537" s="55" t="s">
        <v>1031</v>
      </c>
      <c r="H1537" s="55">
        <v>1996</v>
      </c>
      <c r="I1537" s="55">
        <v>1993</v>
      </c>
      <c r="J1537" s="55" t="s">
        <v>1032</v>
      </c>
      <c r="K1537" s="55" t="s">
        <v>1033</v>
      </c>
      <c r="L1537" s="55" t="s">
        <v>2737</v>
      </c>
      <c r="M1537" s="90">
        <v>36.69</v>
      </c>
      <c r="N1537" s="90">
        <v>-121.64</v>
      </c>
      <c r="O1537" s="90">
        <v>11.5</v>
      </c>
      <c r="U1537" s="55" t="s">
        <v>1805</v>
      </c>
      <c r="V1537" s="55" t="s">
        <v>1805</v>
      </c>
      <c r="Y1537" s="55" t="s">
        <v>1958</v>
      </c>
      <c r="Z1537" s="55" t="s">
        <v>1362</v>
      </c>
      <c r="AA1537" s="90" t="s">
        <v>1683</v>
      </c>
      <c r="AD1537" s="90">
        <v>1.46</v>
      </c>
      <c r="AE1537" s="90">
        <v>69</v>
      </c>
      <c r="AF1537" s="90">
        <v>20</v>
      </c>
      <c r="AH1537" s="55" t="s">
        <v>139</v>
      </c>
      <c r="AI1537" s="168">
        <v>7.7</v>
      </c>
      <c r="AJ1537" s="90">
        <v>0.62</v>
      </c>
      <c r="AM1537" s="55" t="s">
        <v>1320</v>
      </c>
      <c r="AN1537" s="185" t="s">
        <v>131</v>
      </c>
      <c r="AO1537" s="185" t="s">
        <v>5150</v>
      </c>
      <c r="AQ1537" s="55" t="s">
        <v>131</v>
      </c>
      <c r="AR1537" s="55" t="s">
        <v>609</v>
      </c>
      <c r="AS1537" s="55" t="s">
        <v>227</v>
      </c>
      <c r="AU1537" s="181" t="s">
        <v>7494</v>
      </c>
      <c r="AV1537" s="185" t="s">
        <v>176</v>
      </c>
      <c r="AX1537" s="185" t="s">
        <v>176</v>
      </c>
      <c r="BK1537" s="55" t="s">
        <v>5976</v>
      </c>
      <c r="BM1537" s="192" t="s">
        <v>119</v>
      </c>
      <c r="BN1537" s="55">
        <v>3</v>
      </c>
      <c r="BO1537" s="55">
        <v>3</v>
      </c>
      <c r="BQ1537" s="55" t="s">
        <v>141</v>
      </c>
      <c r="BS1537" s="55">
        <v>1399</v>
      </c>
      <c r="BT1537" s="55">
        <f>BS1537/59</f>
        <v>23.711864406779661</v>
      </c>
      <c r="DB1537" s="65">
        <v>44.05</v>
      </c>
      <c r="DC1537" s="65">
        <v>44.76</v>
      </c>
      <c r="DF1537" s="65" t="s">
        <v>1041</v>
      </c>
      <c r="GD1537" s="65">
        <v>8.2799999999999994</v>
      </c>
      <c r="GE1537" s="65">
        <v>7.76</v>
      </c>
      <c r="GN1537" s="294">
        <v>9.02</v>
      </c>
      <c r="GO1537" s="294">
        <v>6</v>
      </c>
      <c r="GP1537" s="292" t="s">
        <v>5150</v>
      </c>
      <c r="GS1537" s="65" t="s">
        <v>1046</v>
      </c>
      <c r="GY1537" s="65">
        <v>153.53</v>
      </c>
      <c r="GZ1537" s="65">
        <v>130.69999999999999</v>
      </c>
      <c r="HC1537" s="65" t="s">
        <v>1047</v>
      </c>
      <c r="IC1537" s="65">
        <v>5.32</v>
      </c>
      <c r="ID1537" s="65">
        <v>6.41</v>
      </c>
      <c r="JG1537" s="65">
        <v>49.83</v>
      </c>
      <c r="JH1537" s="65">
        <v>101.01</v>
      </c>
      <c r="JL1537" s="65">
        <v>11.14</v>
      </c>
      <c r="JM1537" s="65">
        <v>7.56</v>
      </c>
      <c r="JU1537" s="55" t="s">
        <v>1043</v>
      </c>
      <c r="JV1537" s="55" t="s">
        <v>1044</v>
      </c>
      <c r="JW1537" s="55" t="s">
        <v>837</v>
      </c>
    </row>
    <row r="1538" spans="1:283" x14ac:dyDescent="0.25">
      <c r="A1538" s="55">
        <v>1537</v>
      </c>
      <c r="B1538" s="12" t="s">
        <v>7067</v>
      </c>
      <c r="C1538" s="155">
        <v>70</v>
      </c>
      <c r="D1538" s="55" t="s">
        <v>3995</v>
      </c>
      <c r="E1538" s="90" t="s">
        <v>1030</v>
      </c>
      <c r="G1538" s="55" t="s">
        <v>1031</v>
      </c>
      <c r="H1538" s="55">
        <v>1996</v>
      </c>
      <c r="I1538" s="55">
        <v>1993</v>
      </c>
      <c r="J1538" s="55" t="s">
        <v>1032</v>
      </c>
      <c r="K1538" s="55" t="s">
        <v>1033</v>
      </c>
      <c r="L1538" s="55" t="s">
        <v>2737</v>
      </c>
      <c r="M1538" s="90">
        <v>36.69</v>
      </c>
      <c r="N1538" s="90">
        <v>-121.64</v>
      </c>
      <c r="O1538" s="90">
        <v>11.5</v>
      </c>
      <c r="U1538" s="55" t="s">
        <v>1805</v>
      </c>
      <c r="V1538" s="55" t="s">
        <v>1805</v>
      </c>
      <c r="Y1538" s="55" t="s">
        <v>1958</v>
      </c>
      <c r="Z1538" s="55" t="s">
        <v>1362</v>
      </c>
      <c r="AA1538" s="90" t="s">
        <v>1683</v>
      </c>
      <c r="AD1538" s="90">
        <v>1.46</v>
      </c>
      <c r="AE1538" s="90">
        <v>69</v>
      </c>
      <c r="AF1538" s="90">
        <v>20</v>
      </c>
      <c r="AH1538" s="55" t="s">
        <v>139</v>
      </c>
      <c r="AI1538" s="168">
        <v>7.7</v>
      </c>
      <c r="AJ1538" s="90">
        <v>0.62</v>
      </c>
      <c r="AM1538" s="55" t="s">
        <v>1320</v>
      </c>
      <c r="AN1538" s="185" t="s">
        <v>131</v>
      </c>
      <c r="AO1538" s="185" t="s">
        <v>5150</v>
      </c>
      <c r="AQ1538" s="55" t="s">
        <v>131</v>
      </c>
      <c r="AR1538" s="55" t="s">
        <v>609</v>
      </c>
      <c r="AS1538" s="55" t="s">
        <v>227</v>
      </c>
      <c r="AU1538" s="181" t="s">
        <v>7494</v>
      </c>
      <c r="AV1538" s="185" t="s">
        <v>176</v>
      </c>
      <c r="AX1538" s="185" t="s">
        <v>176</v>
      </c>
      <c r="BK1538" s="55" t="s">
        <v>5976</v>
      </c>
      <c r="BM1538" s="192" t="s">
        <v>119</v>
      </c>
      <c r="BN1538" s="55">
        <v>3</v>
      </c>
      <c r="BO1538" s="55">
        <v>3</v>
      </c>
      <c r="BQ1538" s="55" t="s">
        <v>141</v>
      </c>
      <c r="BS1538" s="55">
        <v>2151</v>
      </c>
      <c r="BT1538" s="55">
        <f>BS1538/78</f>
        <v>27.576923076923077</v>
      </c>
      <c r="DB1538" s="65">
        <v>57.76</v>
      </c>
      <c r="DC1538" s="65">
        <v>43.79</v>
      </c>
      <c r="DF1538" s="65" t="s">
        <v>1041</v>
      </c>
      <c r="GD1538" s="65">
        <v>7.15</v>
      </c>
      <c r="GE1538" s="65">
        <v>8.1199999999999992</v>
      </c>
      <c r="GN1538" s="294">
        <v>15.1</v>
      </c>
      <c r="GO1538" s="294">
        <v>9.07</v>
      </c>
      <c r="GP1538" s="292" t="s">
        <v>5150</v>
      </c>
      <c r="GS1538" s="65" t="s">
        <v>1046</v>
      </c>
      <c r="GY1538" s="65">
        <v>46.96</v>
      </c>
      <c r="GZ1538" s="65">
        <v>40.31</v>
      </c>
      <c r="HC1538" s="65" t="s">
        <v>1047</v>
      </c>
      <c r="IC1538" s="65">
        <v>7.05</v>
      </c>
      <c r="ID1538" s="65">
        <v>7.42</v>
      </c>
      <c r="JG1538" s="65">
        <v>117.26</v>
      </c>
      <c r="JH1538" s="65">
        <v>332.21</v>
      </c>
      <c r="JL1538" s="65">
        <v>6.37</v>
      </c>
      <c r="JM1538" s="65">
        <v>12.53</v>
      </c>
      <c r="JU1538" s="55" t="s">
        <v>1043</v>
      </c>
      <c r="JV1538" s="55" t="s">
        <v>1044</v>
      </c>
      <c r="JW1538" s="55" t="s">
        <v>837</v>
      </c>
    </row>
    <row r="1539" spans="1:283" x14ac:dyDescent="0.25">
      <c r="A1539" s="55">
        <v>1538</v>
      </c>
      <c r="B1539" s="12" t="s">
        <v>7067</v>
      </c>
      <c r="C1539" s="155">
        <v>70</v>
      </c>
      <c r="D1539" s="55" t="s">
        <v>3995</v>
      </c>
      <c r="E1539" s="90" t="s">
        <v>1030</v>
      </c>
      <c r="G1539" s="55" t="s">
        <v>1031</v>
      </c>
      <c r="H1539" s="55">
        <v>1996</v>
      </c>
      <c r="I1539" s="55">
        <v>1993</v>
      </c>
      <c r="J1539" s="55" t="s">
        <v>1032</v>
      </c>
      <c r="K1539" s="55" t="s">
        <v>1033</v>
      </c>
      <c r="L1539" s="55" t="s">
        <v>2737</v>
      </c>
      <c r="M1539" s="90">
        <v>36.69</v>
      </c>
      <c r="N1539" s="90">
        <v>-121.64</v>
      </c>
      <c r="O1539" s="90">
        <v>11.5</v>
      </c>
      <c r="U1539" s="55" t="s">
        <v>1805</v>
      </c>
      <c r="V1539" s="55" t="s">
        <v>1805</v>
      </c>
      <c r="Y1539" s="55" t="s">
        <v>1958</v>
      </c>
      <c r="Z1539" s="55" t="s">
        <v>1362</v>
      </c>
      <c r="AA1539" s="90" t="s">
        <v>1683</v>
      </c>
      <c r="AD1539" s="90">
        <v>1.46</v>
      </c>
      <c r="AE1539" s="90">
        <v>69</v>
      </c>
      <c r="AF1539" s="90">
        <v>20</v>
      </c>
      <c r="AH1539" s="55" t="s">
        <v>139</v>
      </c>
      <c r="AI1539" s="168">
        <v>7.7</v>
      </c>
      <c r="AJ1539" s="90">
        <v>0.62</v>
      </c>
      <c r="AM1539" s="55" t="s">
        <v>1320</v>
      </c>
      <c r="AN1539" s="185" t="s">
        <v>131</v>
      </c>
      <c r="AO1539" s="185" t="s">
        <v>5150</v>
      </c>
      <c r="AQ1539" s="55" t="s">
        <v>131</v>
      </c>
      <c r="AR1539" s="55" t="s">
        <v>609</v>
      </c>
      <c r="AS1539" s="55" t="s">
        <v>227</v>
      </c>
      <c r="AU1539" s="181" t="s">
        <v>7494</v>
      </c>
      <c r="AV1539" s="185" t="s">
        <v>176</v>
      </c>
      <c r="AX1539" s="185" t="s">
        <v>176</v>
      </c>
      <c r="BK1539" s="55" t="s">
        <v>5976</v>
      </c>
      <c r="BM1539" s="192" t="s">
        <v>119</v>
      </c>
      <c r="BN1539" s="55">
        <v>3</v>
      </c>
      <c r="BO1539" s="55">
        <v>3</v>
      </c>
      <c r="BQ1539" s="55" t="s">
        <v>141</v>
      </c>
      <c r="BS1539" s="55">
        <v>3727</v>
      </c>
      <c r="BT1539" s="55">
        <f>BS1539/136</f>
        <v>27.404411764705884</v>
      </c>
      <c r="DB1539" s="65">
        <v>70.599999999999994</v>
      </c>
      <c r="DC1539" s="65">
        <v>70.8</v>
      </c>
      <c r="DF1539" s="65" t="s">
        <v>1041</v>
      </c>
      <c r="GD1539" s="65">
        <v>5.56</v>
      </c>
      <c r="GE1539" s="65">
        <v>6</v>
      </c>
      <c r="GN1539" s="294">
        <v>8.41</v>
      </c>
      <c r="GO1539" s="294">
        <v>5.13</v>
      </c>
      <c r="GP1539" s="292" t="s">
        <v>5150</v>
      </c>
      <c r="GS1539" s="65" t="s">
        <v>1046</v>
      </c>
      <c r="GY1539" s="65">
        <v>42.08</v>
      </c>
      <c r="GZ1539" s="65">
        <v>29.7</v>
      </c>
      <c r="HC1539" s="65" t="s">
        <v>1047</v>
      </c>
      <c r="IC1539" s="65">
        <v>3.86</v>
      </c>
      <c r="ID1539" s="65">
        <v>2.41</v>
      </c>
      <c r="JG1539" s="65">
        <v>119.25</v>
      </c>
      <c r="JH1539" s="65">
        <v>176.57</v>
      </c>
      <c r="JL1539" s="65">
        <v>11.22</v>
      </c>
      <c r="JM1539" s="65">
        <v>12.94</v>
      </c>
      <c r="JU1539" s="55" t="s">
        <v>754</v>
      </c>
      <c r="JV1539" s="55" t="s">
        <v>1044</v>
      </c>
      <c r="JW1539" s="55" t="s">
        <v>837</v>
      </c>
    </row>
    <row r="1540" spans="1:283" x14ac:dyDescent="0.25">
      <c r="A1540" s="55">
        <v>1539</v>
      </c>
      <c r="B1540" s="12" t="s">
        <v>7067</v>
      </c>
      <c r="C1540" s="155">
        <v>71</v>
      </c>
      <c r="D1540" s="55" t="s">
        <v>3996</v>
      </c>
      <c r="E1540" s="90" t="s">
        <v>1048</v>
      </c>
      <c r="G1540" s="55" t="s">
        <v>1049</v>
      </c>
      <c r="H1540" s="55">
        <v>1988</v>
      </c>
      <c r="I1540" s="55">
        <v>1984</v>
      </c>
      <c r="J1540" s="55" t="s">
        <v>1050</v>
      </c>
      <c r="K1540" s="55" t="s">
        <v>1052</v>
      </c>
      <c r="L1540" s="55" t="s">
        <v>2737</v>
      </c>
      <c r="M1540" s="90">
        <v>34.67</v>
      </c>
      <c r="N1540" s="90">
        <v>-86.89</v>
      </c>
      <c r="O1540" s="90">
        <v>182</v>
      </c>
      <c r="U1540" s="55">
        <v>1</v>
      </c>
      <c r="V1540" s="55">
        <v>1</v>
      </c>
      <c r="Y1540" s="55" t="s">
        <v>1961</v>
      </c>
      <c r="Z1540" s="55" t="s">
        <v>1344</v>
      </c>
      <c r="AA1540" s="90" t="s">
        <v>1344</v>
      </c>
      <c r="AE1540" s="90">
        <v>13</v>
      </c>
      <c r="AF1540" s="90">
        <v>54</v>
      </c>
      <c r="AH1540" s="55" t="s">
        <v>6378</v>
      </c>
      <c r="AM1540" s="55" t="s">
        <v>1321</v>
      </c>
      <c r="AN1540" s="185" t="s">
        <v>1491</v>
      </c>
      <c r="AO1540" s="185" t="s">
        <v>5150</v>
      </c>
      <c r="AQ1540" s="55" t="s">
        <v>1545</v>
      </c>
      <c r="AR1540" s="55" t="s">
        <v>560</v>
      </c>
      <c r="AS1540" s="55" t="s">
        <v>5133</v>
      </c>
      <c r="AU1540" s="181" t="s">
        <v>7494</v>
      </c>
      <c r="AV1540" s="185" t="s">
        <v>176</v>
      </c>
      <c r="AX1540" s="185" t="s">
        <v>176</v>
      </c>
      <c r="BE1540" s="226" t="s">
        <v>1051</v>
      </c>
      <c r="BF1540" s="191" t="s">
        <v>479</v>
      </c>
      <c r="BG1540" s="55" t="s">
        <v>479</v>
      </c>
      <c r="BH1540" s="226" t="s">
        <v>1051</v>
      </c>
      <c r="BI1540" s="55" t="s">
        <v>479</v>
      </c>
      <c r="BJ1540" s="55" t="s">
        <v>176</v>
      </c>
      <c r="BK1540" s="55" t="s">
        <v>5976</v>
      </c>
      <c r="BM1540" s="192" t="s">
        <v>160</v>
      </c>
      <c r="CB1540" s="66">
        <v>3217</v>
      </c>
      <c r="CC1540" s="66">
        <v>3613</v>
      </c>
      <c r="FJ1540" s="65">
        <f>944/1000</f>
        <v>0.94399999999999995</v>
      </c>
      <c r="FK1540" s="65">
        <f>1/1000*228</f>
        <v>0.22800000000000001</v>
      </c>
      <c r="FN1540" s="65" t="s">
        <v>6356</v>
      </c>
      <c r="FO1540" s="65">
        <v>20.7</v>
      </c>
      <c r="FP1540" s="65">
        <v>48.3</v>
      </c>
      <c r="FS1540" s="65" t="s">
        <v>637</v>
      </c>
      <c r="GP1540" s="292" t="s">
        <v>7494</v>
      </c>
      <c r="JW1540" s="55" t="s">
        <v>1959</v>
      </c>
    </row>
    <row r="1541" spans="1:283" x14ac:dyDescent="0.25">
      <c r="A1541" s="55">
        <v>1540</v>
      </c>
      <c r="B1541" s="12" t="s">
        <v>7067</v>
      </c>
      <c r="C1541" s="155">
        <v>71</v>
      </c>
      <c r="D1541" s="55" t="s">
        <v>3996</v>
      </c>
      <c r="E1541" s="90" t="s">
        <v>1048</v>
      </c>
      <c r="G1541" s="55" t="s">
        <v>1049</v>
      </c>
      <c r="H1541" s="55">
        <v>1988</v>
      </c>
      <c r="I1541" s="55">
        <v>1984</v>
      </c>
      <c r="J1541" s="55" t="s">
        <v>1050</v>
      </c>
      <c r="K1541" s="55" t="s">
        <v>1052</v>
      </c>
      <c r="L1541" s="55" t="s">
        <v>2737</v>
      </c>
      <c r="M1541" s="90">
        <v>34.67</v>
      </c>
      <c r="N1541" s="90">
        <v>-86.89</v>
      </c>
      <c r="O1541" s="90">
        <v>182</v>
      </c>
      <c r="U1541" s="55">
        <v>1</v>
      </c>
      <c r="V1541" s="55">
        <v>1</v>
      </c>
      <c r="Y1541" s="55" t="s">
        <v>1961</v>
      </c>
      <c r="Z1541" s="55" t="s">
        <v>1344</v>
      </c>
      <c r="AA1541" s="90" t="s">
        <v>1344</v>
      </c>
      <c r="AE1541" s="90">
        <v>13</v>
      </c>
      <c r="AF1541" s="90">
        <v>54</v>
      </c>
      <c r="AH1541" s="55" t="s">
        <v>6378</v>
      </c>
      <c r="AM1541" s="55" t="s">
        <v>1321</v>
      </c>
      <c r="AN1541" s="185" t="s">
        <v>1491</v>
      </c>
      <c r="AO1541" s="185" t="s">
        <v>5150</v>
      </c>
      <c r="AQ1541" s="55" t="s">
        <v>1545</v>
      </c>
      <c r="AR1541" s="55" t="s">
        <v>560</v>
      </c>
      <c r="AS1541" s="55" t="s">
        <v>5133</v>
      </c>
      <c r="AU1541" s="181" t="s">
        <v>7494</v>
      </c>
      <c r="AV1541" s="185" t="s">
        <v>176</v>
      </c>
      <c r="AX1541" s="185" t="s">
        <v>176</v>
      </c>
      <c r="BE1541" s="226" t="s">
        <v>1051</v>
      </c>
      <c r="BF1541" s="191" t="s">
        <v>479</v>
      </c>
      <c r="BG1541" s="55" t="s">
        <v>479</v>
      </c>
      <c r="BH1541" s="226" t="s">
        <v>1051</v>
      </c>
      <c r="BI1541" s="55" t="s">
        <v>479</v>
      </c>
      <c r="BJ1541" s="55" t="s">
        <v>176</v>
      </c>
      <c r="BK1541" s="55" t="s">
        <v>5976</v>
      </c>
      <c r="BM1541" s="192" t="s">
        <v>160</v>
      </c>
      <c r="CB1541" s="66">
        <v>3217</v>
      </c>
      <c r="CC1541" s="66">
        <v>3108</v>
      </c>
      <c r="FJ1541" s="65">
        <f>1/1000*2103</f>
        <v>2.1030000000000002</v>
      </c>
      <c r="FK1541" s="65">
        <f>1/1000*228</f>
        <v>0.22800000000000001</v>
      </c>
      <c r="FN1541" s="65" t="s">
        <v>6356</v>
      </c>
      <c r="FO1541" s="65">
        <v>20.7</v>
      </c>
      <c r="FP1541" s="65">
        <v>55.4</v>
      </c>
      <c r="FS1541" s="65" t="s">
        <v>637</v>
      </c>
      <c r="GP1541" s="292" t="s">
        <v>7494</v>
      </c>
      <c r="JW1541" s="55" t="s">
        <v>1959</v>
      </c>
    </row>
    <row r="1542" spans="1:283" x14ac:dyDescent="0.25">
      <c r="A1542" s="55">
        <v>1541</v>
      </c>
      <c r="B1542" s="12" t="s">
        <v>7067</v>
      </c>
      <c r="C1542" s="155">
        <v>71</v>
      </c>
      <c r="D1542" s="55" t="s">
        <v>3996</v>
      </c>
      <c r="E1542" s="90" t="s">
        <v>1048</v>
      </c>
      <c r="G1542" s="55" t="s">
        <v>1049</v>
      </c>
      <c r="H1542" s="55">
        <v>1988</v>
      </c>
      <c r="I1542" s="55">
        <v>1984</v>
      </c>
      <c r="J1542" s="55" t="s">
        <v>1050</v>
      </c>
      <c r="K1542" s="55" t="s">
        <v>1052</v>
      </c>
      <c r="L1542" s="55" t="s">
        <v>2737</v>
      </c>
      <c r="M1542" s="90">
        <v>34.67</v>
      </c>
      <c r="N1542" s="90">
        <v>-86.89</v>
      </c>
      <c r="O1542" s="90">
        <v>182</v>
      </c>
      <c r="U1542" s="55">
        <v>1</v>
      </c>
      <c r="V1542" s="55">
        <v>1</v>
      </c>
      <c r="Y1542" s="55" t="s">
        <v>1961</v>
      </c>
      <c r="Z1542" s="55" t="s">
        <v>1344</v>
      </c>
      <c r="AA1542" s="90" t="s">
        <v>1344</v>
      </c>
      <c r="AE1542" s="90">
        <v>13</v>
      </c>
      <c r="AF1542" s="90">
        <v>54</v>
      </c>
      <c r="AH1542" s="55" t="s">
        <v>6378</v>
      </c>
      <c r="AM1542" s="55" t="s">
        <v>1321</v>
      </c>
      <c r="AN1542" s="185" t="s">
        <v>1491</v>
      </c>
      <c r="AO1542" s="185" t="s">
        <v>5150</v>
      </c>
      <c r="AQ1542" s="55" t="s">
        <v>1545</v>
      </c>
      <c r="AR1542" s="55" t="s">
        <v>560</v>
      </c>
      <c r="AS1542" s="55" t="s">
        <v>5133</v>
      </c>
      <c r="AU1542" s="181" t="s">
        <v>7494</v>
      </c>
      <c r="AV1542" s="185" t="s">
        <v>176</v>
      </c>
      <c r="AX1542" s="185" t="s">
        <v>176</v>
      </c>
      <c r="BE1542" s="226" t="s">
        <v>1051</v>
      </c>
      <c r="BF1542" s="191" t="s">
        <v>479</v>
      </c>
      <c r="BG1542" s="55" t="s">
        <v>479</v>
      </c>
      <c r="BH1542" s="226" t="s">
        <v>1051</v>
      </c>
      <c r="BI1542" s="55" t="s">
        <v>479</v>
      </c>
      <c r="BJ1542" s="55" t="s">
        <v>176</v>
      </c>
      <c r="BK1542" s="55" t="s">
        <v>5976</v>
      </c>
      <c r="BM1542" s="192" t="s">
        <v>160</v>
      </c>
      <c r="FJ1542" s="65">
        <f>1/1000*123</f>
        <v>0.123</v>
      </c>
      <c r="FK1542" s="65">
        <f>1/1000*32</f>
        <v>3.2000000000000001E-2</v>
      </c>
      <c r="FN1542" s="65" t="s">
        <v>6356</v>
      </c>
      <c r="FO1542" s="65">
        <v>14</v>
      </c>
      <c r="FP1542" s="65">
        <v>42.7</v>
      </c>
      <c r="FS1542" s="65" t="s">
        <v>637</v>
      </c>
      <c r="GP1542" s="292" t="s">
        <v>7494</v>
      </c>
      <c r="JW1542" s="55" t="s">
        <v>1960</v>
      </c>
    </row>
    <row r="1543" spans="1:283" x14ac:dyDescent="0.25">
      <c r="A1543" s="55">
        <v>1542</v>
      </c>
      <c r="B1543" s="12" t="s">
        <v>7067</v>
      </c>
      <c r="C1543" s="155">
        <v>71</v>
      </c>
      <c r="D1543" s="55" t="s">
        <v>3996</v>
      </c>
      <c r="E1543" s="90" t="s">
        <v>1048</v>
      </c>
      <c r="G1543" s="55" t="s">
        <v>1049</v>
      </c>
      <c r="H1543" s="55">
        <v>1988</v>
      </c>
      <c r="I1543" s="55">
        <v>1984</v>
      </c>
      <c r="J1543" s="55" t="s">
        <v>1050</v>
      </c>
      <c r="K1543" s="55" t="s">
        <v>1052</v>
      </c>
      <c r="L1543" s="55" t="s">
        <v>2737</v>
      </c>
      <c r="M1543" s="90">
        <v>34.67</v>
      </c>
      <c r="N1543" s="90">
        <v>-86.89</v>
      </c>
      <c r="O1543" s="90">
        <v>182</v>
      </c>
      <c r="U1543" s="55">
        <v>1</v>
      </c>
      <c r="V1543" s="55">
        <v>1</v>
      </c>
      <c r="Y1543" s="55" t="s">
        <v>1961</v>
      </c>
      <c r="Z1543" s="55" t="s">
        <v>1344</v>
      </c>
      <c r="AA1543" s="90" t="s">
        <v>1344</v>
      </c>
      <c r="AE1543" s="90">
        <v>13</v>
      </c>
      <c r="AF1543" s="90">
        <v>54</v>
      </c>
      <c r="AH1543" s="55" t="s">
        <v>6378</v>
      </c>
      <c r="AM1543" s="55" t="s">
        <v>1321</v>
      </c>
      <c r="AN1543" s="185" t="s">
        <v>1491</v>
      </c>
      <c r="AO1543" s="185" t="s">
        <v>5150</v>
      </c>
      <c r="AQ1543" s="55" t="s">
        <v>1545</v>
      </c>
      <c r="AR1543" s="55" t="s">
        <v>560</v>
      </c>
      <c r="AS1543" s="55" t="s">
        <v>5133</v>
      </c>
      <c r="AU1543" s="181" t="s">
        <v>7494</v>
      </c>
      <c r="AV1543" s="185" t="s">
        <v>176</v>
      </c>
      <c r="AX1543" s="185" t="s">
        <v>176</v>
      </c>
      <c r="BE1543" s="226" t="s">
        <v>1051</v>
      </c>
      <c r="BF1543" s="191" t="s">
        <v>479</v>
      </c>
      <c r="BG1543" s="55" t="s">
        <v>479</v>
      </c>
      <c r="BH1543" s="226" t="s">
        <v>1051</v>
      </c>
      <c r="BI1543" s="55" t="s">
        <v>479</v>
      </c>
      <c r="BJ1543" s="55" t="s">
        <v>176</v>
      </c>
      <c r="BK1543" s="55" t="s">
        <v>5976</v>
      </c>
      <c r="BM1543" s="192" t="s">
        <v>160</v>
      </c>
      <c r="FJ1543" s="65">
        <f>1/1000*134</f>
        <v>0.13400000000000001</v>
      </c>
      <c r="FK1543" s="65">
        <f>1/1000*32</f>
        <v>3.2000000000000001E-2</v>
      </c>
      <c r="FN1543" s="65" t="s">
        <v>6356</v>
      </c>
      <c r="FO1543" s="65">
        <v>14</v>
      </c>
      <c r="FP1543" s="65">
        <v>32</v>
      </c>
      <c r="FS1543" s="65" t="s">
        <v>637</v>
      </c>
      <c r="GP1543" s="292" t="s">
        <v>7494</v>
      </c>
      <c r="JW1543" s="55" t="s">
        <v>1960</v>
      </c>
    </row>
    <row r="1544" spans="1:283" x14ac:dyDescent="0.25">
      <c r="A1544" s="55">
        <v>1543</v>
      </c>
      <c r="B1544" s="12" t="s">
        <v>7067</v>
      </c>
      <c r="C1544" s="155">
        <v>72</v>
      </c>
      <c r="D1544" s="55" t="s">
        <v>3997</v>
      </c>
      <c r="E1544" s="90" t="s">
        <v>1062</v>
      </c>
      <c r="G1544" s="55" t="s">
        <v>1063</v>
      </c>
      <c r="H1544" s="55">
        <v>1992</v>
      </c>
      <c r="I1544" s="55">
        <v>1991</v>
      </c>
      <c r="J1544" s="55" t="s">
        <v>127</v>
      </c>
      <c r="K1544" s="55" t="s">
        <v>1077</v>
      </c>
      <c r="L1544" s="55" t="s">
        <v>1077</v>
      </c>
      <c r="M1544" s="90">
        <v>48.22</v>
      </c>
      <c r="N1544" s="90">
        <v>11.6</v>
      </c>
      <c r="O1544" s="90">
        <v>493</v>
      </c>
      <c r="U1544" s="55" t="s">
        <v>1963</v>
      </c>
      <c r="V1544" s="55" t="s">
        <v>1963</v>
      </c>
      <c r="Y1544" s="55" t="s">
        <v>1962</v>
      </c>
      <c r="Z1544" s="55" t="s">
        <v>1355</v>
      </c>
      <c r="AA1544" s="90" t="s">
        <v>1679</v>
      </c>
      <c r="AE1544" s="90">
        <f>100-63-20</f>
        <v>17</v>
      </c>
      <c r="AF1544" s="90">
        <v>63</v>
      </c>
      <c r="AH1544" s="55" t="s">
        <v>139</v>
      </c>
      <c r="AM1544" s="55" t="s">
        <v>1322</v>
      </c>
      <c r="AN1544" s="185" t="s">
        <v>610</v>
      </c>
      <c r="AO1544" s="185" t="s">
        <v>5150</v>
      </c>
      <c r="AQ1544" s="55" t="s">
        <v>610</v>
      </c>
      <c r="AR1544" s="55" t="s">
        <v>1064</v>
      </c>
      <c r="AS1544" s="55" t="s">
        <v>1591</v>
      </c>
      <c r="AT1544" s="181" t="s">
        <v>1065</v>
      </c>
      <c r="AU1544" s="181" t="s">
        <v>5150</v>
      </c>
      <c r="AV1544" s="185" t="s">
        <v>176</v>
      </c>
      <c r="AW1544" s="55" t="s">
        <v>1066</v>
      </c>
      <c r="AX1544" s="185" t="s">
        <v>479</v>
      </c>
      <c r="AY1544" s="55" t="s">
        <v>479</v>
      </c>
      <c r="BE1544" s="226" t="s">
        <v>1069</v>
      </c>
      <c r="BF1544" s="191" t="s">
        <v>479</v>
      </c>
      <c r="BG1544" s="55" t="s">
        <v>479</v>
      </c>
      <c r="BH1544" s="226" t="s">
        <v>1067</v>
      </c>
      <c r="BI1544" s="55" t="s">
        <v>479</v>
      </c>
      <c r="BJ1544" s="55" t="s">
        <v>479</v>
      </c>
      <c r="BK1544" s="55" t="s">
        <v>5976</v>
      </c>
      <c r="BM1544" s="192" t="s">
        <v>160</v>
      </c>
      <c r="CM1544" s="65">
        <v>0.89</v>
      </c>
      <c r="CN1544" s="65">
        <v>1.26</v>
      </c>
      <c r="CQ1544" s="65" t="s">
        <v>962</v>
      </c>
      <c r="CV1544" s="65" t="s">
        <v>3039</v>
      </c>
      <c r="DA1544" s="65" t="s">
        <v>4458</v>
      </c>
      <c r="GP1544" s="292" t="s">
        <v>7494</v>
      </c>
      <c r="HS1544" s="65">
        <v>61.6</v>
      </c>
      <c r="HT1544" s="65">
        <v>105.6</v>
      </c>
      <c r="HW1544" s="65" t="s">
        <v>1071</v>
      </c>
      <c r="IM1544" s="65">
        <v>4.3999999999999997E-2</v>
      </c>
      <c r="IN1544" s="65">
        <v>4.2999999999999997E-2</v>
      </c>
      <c r="IQ1544" s="65" t="s">
        <v>1070</v>
      </c>
      <c r="JG1544" s="65">
        <v>281</v>
      </c>
      <c r="JH1544" s="65">
        <v>514</v>
      </c>
      <c r="JU1544" s="55" t="s">
        <v>1072</v>
      </c>
      <c r="JW1544" s="55" t="s">
        <v>837</v>
      </c>
    </row>
    <row r="1545" spans="1:283" x14ac:dyDescent="0.25">
      <c r="A1545" s="55">
        <v>1544</v>
      </c>
      <c r="B1545" s="12" t="s">
        <v>7067</v>
      </c>
      <c r="C1545" s="155">
        <v>72</v>
      </c>
      <c r="D1545" s="55" t="s">
        <v>3998</v>
      </c>
      <c r="E1545" s="90" t="s">
        <v>1062</v>
      </c>
      <c r="G1545" s="55" t="s">
        <v>1063</v>
      </c>
      <c r="H1545" s="55">
        <v>1992</v>
      </c>
      <c r="I1545" s="55">
        <v>1991</v>
      </c>
      <c r="J1545" s="55" t="s">
        <v>127</v>
      </c>
      <c r="K1545" s="55" t="s">
        <v>1077</v>
      </c>
      <c r="L1545" s="55" t="s">
        <v>1077</v>
      </c>
      <c r="M1545" s="90">
        <v>48.22</v>
      </c>
      <c r="N1545" s="90">
        <v>11.6</v>
      </c>
      <c r="O1545" s="90">
        <v>493</v>
      </c>
      <c r="U1545" s="55" t="s">
        <v>1963</v>
      </c>
      <c r="V1545" s="55" t="s">
        <v>1963</v>
      </c>
      <c r="Y1545" s="55" t="s">
        <v>1962</v>
      </c>
      <c r="Z1545" s="55" t="s">
        <v>1355</v>
      </c>
      <c r="AA1545" s="90" t="s">
        <v>1679</v>
      </c>
      <c r="AE1545" s="90">
        <f>100-63-20</f>
        <v>17</v>
      </c>
      <c r="AF1545" s="90">
        <v>63</v>
      </c>
      <c r="AH1545" s="55" t="s">
        <v>139</v>
      </c>
      <c r="AM1545" s="55" t="s">
        <v>1322</v>
      </c>
      <c r="AN1545" s="185" t="s">
        <v>610</v>
      </c>
      <c r="AO1545" s="185" t="s">
        <v>5150</v>
      </c>
      <c r="AQ1545" s="55" t="s">
        <v>610</v>
      </c>
      <c r="AR1545" s="55" t="s">
        <v>1064</v>
      </c>
      <c r="AS1545" s="55" t="s">
        <v>1591</v>
      </c>
      <c r="AT1545" s="181" t="s">
        <v>1065</v>
      </c>
      <c r="AU1545" s="181" t="s">
        <v>5150</v>
      </c>
      <c r="AV1545" s="185" t="s">
        <v>176</v>
      </c>
      <c r="AW1545" s="55" t="s">
        <v>1066</v>
      </c>
      <c r="AX1545" s="185" t="s">
        <v>479</v>
      </c>
      <c r="AY1545" s="55" t="s">
        <v>479</v>
      </c>
      <c r="BE1545" s="226" t="s">
        <v>1068</v>
      </c>
      <c r="BF1545" s="191" t="s">
        <v>479</v>
      </c>
      <c r="BG1545" s="55" t="s">
        <v>479</v>
      </c>
      <c r="BH1545" s="226" t="s">
        <v>1067</v>
      </c>
      <c r="BI1545" s="55" t="s">
        <v>479</v>
      </c>
      <c r="BJ1545" s="55" t="s">
        <v>479</v>
      </c>
      <c r="BK1545" s="55" t="s">
        <v>5976</v>
      </c>
      <c r="BM1545" s="192" t="s">
        <v>160</v>
      </c>
      <c r="CM1545" s="65">
        <v>0.99</v>
      </c>
      <c r="CN1545" s="65">
        <v>1.26</v>
      </c>
      <c r="CQ1545" s="65" t="s">
        <v>962</v>
      </c>
      <c r="CV1545" s="65" t="s">
        <v>3039</v>
      </c>
      <c r="DA1545" s="65" t="s">
        <v>4458</v>
      </c>
      <c r="GP1545" s="292" t="s">
        <v>7494</v>
      </c>
      <c r="HS1545" s="65">
        <v>69.2</v>
      </c>
      <c r="HT1545" s="65">
        <v>105.6</v>
      </c>
      <c r="HW1545" s="65" t="s">
        <v>1071</v>
      </c>
      <c r="IM1545" s="65">
        <v>4.2999999999999997E-2</v>
      </c>
      <c r="IN1545" s="65">
        <v>4.2999999999999997E-2</v>
      </c>
      <c r="IQ1545" s="65" t="s">
        <v>1070</v>
      </c>
      <c r="JG1545" s="65">
        <v>326</v>
      </c>
      <c r="JH1545" s="65">
        <v>514</v>
      </c>
      <c r="JU1545" s="55" t="s">
        <v>1072</v>
      </c>
      <c r="JW1545" s="55" t="s">
        <v>837</v>
      </c>
    </row>
    <row r="1546" spans="1:283" x14ac:dyDescent="0.25">
      <c r="A1546" s="55">
        <v>1545</v>
      </c>
      <c r="B1546" s="12" t="s">
        <v>7067</v>
      </c>
      <c r="C1546" s="155">
        <v>73</v>
      </c>
      <c r="D1546" s="55" t="s">
        <v>3999</v>
      </c>
      <c r="E1546" s="90" t="s">
        <v>1074</v>
      </c>
      <c r="G1546" s="55" t="s">
        <v>1075</v>
      </c>
      <c r="H1546" s="55">
        <v>2003</v>
      </c>
      <c r="I1546" s="55">
        <v>1988</v>
      </c>
      <c r="J1546" s="55" t="s">
        <v>1076</v>
      </c>
      <c r="K1546" s="55" t="s">
        <v>1104</v>
      </c>
      <c r="L1546" s="55" t="s">
        <v>2738</v>
      </c>
      <c r="M1546" s="90">
        <v>50.29</v>
      </c>
      <c r="N1546" s="90">
        <v>-107.8</v>
      </c>
      <c r="O1546" s="90">
        <v>757</v>
      </c>
      <c r="U1546" s="55">
        <v>1</v>
      </c>
      <c r="V1546" s="55" t="s">
        <v>1889</v>
      </c>
      <c r="Y1546" s="55" t="s">
        <v>1081</v>
      </c>
      <c r="Z1546" s="55" t="s">
        <v>1366</v>
      </c>
      <c r="AA1546" s="90" t="s">
        <v>1686</v>
      </c>
      <c r="AD1546" s="90">
        <f>(1.37+1.36+1.41+1.61+1.69)/5</f>
        <v>1.4880000000000002</v>
      </c>
      <c r="AH1546" s="55" t="s">
        <v>139</v>
      </c>
      <c r="AM1546" s="55" t="s">
        <v>1323</v>
      </c>
      <c r="AN1546" s="185" t="s">
        <v>553</v>
      </c>
      <c r="AO1546" s="185" t="s">
        <v>5150</v>
      </c>
      <c r="AQ1546" s="55" t="s">
        <v>553</v>
      </c>
      <c r="AR1546" s="55" t="s">
        <v>1500</v>
      </c>
      <c r="AS1546" s="55" t="s">
        <v>116</v>
      </c>
      <c r="AT1546" s="181" t="s">
        <v>1065</v>
      </c>
      <c r="AU1546" s="181" t="s">
        <v>5150</v>
      </c>
      <c r="AV1546" s="185" t="s">
        <v>176</v>
      </c>
      <c r="AW1546" s="55" t="s">
        <v>1065</v>
      </c>
      <c r="AX1546" s="185" t="s">
        <v>176</v>
      </c>
      <c r="AY1546" s="55" t="s">
        <v>176</v>
      </c>
      <c r="BE1546" s="226" t="s">
        <v>1079</v>
      </c>
      <c r="BF1546" s="191" t="s">
        <v>479</v>
      </c>
      <c r="BG1546" s="55" t="s">
        <v>479</v>
      </c>
      <c r="BH1546" s="226" t="s">
        <v>1080</v>
      </c>
      <c r="BI1546" s="55" t="s">
        <v>479</v>
      </c>
      <c r="BJ1546" s="55" t="s">
        <v>479</v>
      </c>
      <c r="BK1546" s="55" t="s">
        <v>5976</v>
      </c>
      <c r="BM1546" s="192" t="s">
        <v>1078</v>
      </c>
      <c r="BN1546" s="55">
        <v>3</v>
      </c>
      <c r="BO1546" s="55">
        <v>3</v>
      </c>
      <c r="BQ1546" s="55" t="s">
        <v>141</v>
      </c>
      <c r="BV1546" s="55" t="s">
        <v>1082</v>
      </c>
      <c r="BW1546" s="65">
        <v>1555</v>
      </c>
      <c r="BX1546" s="65">
        <v>1011</v>
      </c>
      <c r="CA1546" s="65" t="s">
        <v>1083</v>
      </c>
      <c r="CB1546" s="66">
        <v>1168</v>
      </c>
      <c r="CC1546" s="66">
        <v>700</v>
      </c>
      <c r="CG1546" s="65" t="s">
        <v>1086</v>
      </c>
      <c r="DB1546" s="65">
        <f>154*0.056</f>
        <v>8.6240000000000006</v>
      </c>
      <c r="DC1546" s="65">
        <f>86.5*0.056</f>
        <v>4.8440000000000003</v>
      </c>
      <c r="DF1546" s="65" t="s">
        <v>1635</v>
      </c>
      <c r="GD1546" s="65">
        <v>231</v>
      </c>
      <c r="GE1546" s="65">
        <v>207</v>
      </c>
      <c r="GH1546" s="65" t="s">
        <v>1088</v>
      </c>
      <c r="GI1546" s="65">
        <v>148</v>
      </c>
      <c r="GJ1546" s="65">
        <v>124</v>
      </c>
      <c r="GM1546" s="65" t="s">
        <v>1087</v>
      </c>
      <c r="GP1546" s="292" t="s">
        <v>7494</v>
      </c>
      <c r="JU1546" s="55" t="s">
        <v>1086</v>
      </c>
      <c r="JW1546" s="55" t="s">
        <v>1073</v>
      </c>
    </row>
    <row r="1547" spans="1:283" x14ac:dyDescent="0.25">
      <c r="A1547" s="55">
        <v>1546</v>
      </c>
      <c r="B1547" s="12" t="s">
        <v>7067</v>
      </c>
      <c r="C1547" s="155">
        <v>73</v>
      </c>
      <c r="D1547" s="55" t="s">
        <v>3999</v>
      </c>
      <c r="E1547" s="90" t="s">
        <v>1074</v>
      </c>
      <c r="G1547" s="55" t="s">
        <v>1075</v>
      </c>
      <c r="H1547" s="55">
        <v>2003</v>
      </c>
      <c r="I1547" s="55">
        <v>1989</v>
      </c>
      <c r="J1547" s="55" t="s">
        <v>1076</v>
      </c>
      <c r="K1547" s="55" t="s">
        <v>1104</v>
      </c>
      <c r="L1547" s="55" t="s">
        <v>2738</v>
      </c>
      <c r="M1547" s="90">
        <v>50.29</v>
      </c>
      <c r="N1547" s="90">
        <v>-107.8</v>
      </c>
      <c r="O1547" s="90">
        <v>757</v>
      </c>
      <c r="U1547" s="55">
        <v>2</v>
      </c>
      <c r="V1547" s="55" t="s">
        <v>1889</v>
      </c>
      <c r="Y1547" s="55" t="s">
        <v>1081</v>
      </c>
      <c r="Z1547" s="55" t="s">
        <v>1366</v>
      </c>
      <c r="AA1547" s="90" t="s">
        <v>1686</v>
      </c>
      <c r="AD1547" s="90">
        <f>(1.37+1.36+1.41+1.61+1.69)/5</f>
        <v>1.4880000000000002</v>
      </c>
      <c r="AH1547" s="55" t="s">
        <v>139</v>
      </c>
      <c r="AM1547" s="55" t="s">
        <v>1323</v>
      </c>
      <c r="AN1547" s="185" t="s">
        <v>553</v>
      </c>
      <c r="AO1547" s="185" t="s">
        <v>5150</v>
      </c>
      <c r="AQ1547" s="55" t="s">
        <v>553</v>
      </c>
      <c r="AR1547" s="55" t="s">
        <v>1500</v>
      </c>
      <c r="AS1547" s="55" t="s">
        <v>116</v>
      </c>
      <c r="AT1547" s="181" t="s">
        <v>1065</v>
      </c>
      <c r="AU1547" s="181" t="s">
        <v>5150</v>
      </c>
      <c r="AV1547" s="185" t="s">
        <v>176</v>
      </c>
      <c r="AW1547" s="55" t="s">
        <v>1065</v>
      </c>
      <c r="AX1547" s="185" t="s">
        <v>176</v>
      </c>
      <c r="AY1547" s="55" t="s">
        <v>176</v>
      </c>
      <c r="BE1547" s="226" t="s">
        <v>1079</v>
      </c>
      <c r="BF1547" s="191" t="s">
        <v>479</v>
      </c>
      <c r="BG1547" s="55" t="s">
        <v>479</v>
      </c>
      <c r="BH1547" s="226" t="s">
        <v>1080</v>
      </c>
      <c r="BI1547" s="55" t="s">
        <v>479</v>
      </c>
      <c r="BJ1547" s="55" t="s">
        <v>479</v>
      </c>
      <c r="BK1547" s="55" t="s">
        <v>5976</v>
      </c>
      <c r="BM1547" s="192" t="s">
        <v>1078</v>
      </c>
      <c r="BN1547" s="55">
        <v>3</v>
      </c>
      <c r="BO1547" s="55">
        <v>3</v>
      </c>
      <c r="BQ1547" s="55" t="s">
        <v>141</v>
      </c>
      <c r="BV1547" s="55" t="s">
        <v>1082</v>
      </c>
      <c r="BW1547" s="65">
        <v>3024</v>
      </c>
      <c r="BX1547" s="65">
        <v>2663</v>
      </c>
      <c r="CA1547" s="65" t="s">
        <v>1083</v>
      </c>
      <c r="CB1547" s="66">
        <v>1815</v>
      </c>
      <c r="CC1547" s="66">
        <v>1626</v>
      </c>
      <c r="CG1547" s="65" t="s">
        <v>1086</v>
      </c>
      <c r="DB1547" s="65">
        <f>168.5*0.056</f>
        <v>9.4359999999999999</v>
      </c>
      <c r="DC1547" s="65">
        <f>99.7*0.056</f>
        <v>5.5832000000000006</v>
      </c>
      <c r="DF1547" s="65" t="s">
        <v>1635</v>
      </c>
      <c r="GD1547" s="65">
        <v>230</v>
      </c>
      <c r="GE1547" s="65">
        <v>187</v>
      </c>
      <c r="GH1547" s="65" t="s">
        <v>1088</v>
      </c>
      <c r="GI1547" s="65">
        <v>147</v>
      </c>
      <c r="GJ1547" s="65">
        <v>104</v>
      </c>
      <c r="GM1547" s="65" t="s">
        <v>1087</v>
      </c>
      <c r="GP1547" s="292" t="s">
        <v>7494</v>
      </c>
      <c r="JU1547" s="55" t="s">
        <v>1086</v>
      </c>
      <c r="JW1547" s="55" t="s">
        <v>1073</v>
      </c>
    </row>
    <row r="1548" spans="1:283" x14ac:dyDescent="0.25">
      <c r="A1548" s="55">
        <v>1547</v>
      </c>
      <c r="B1548" s="12" t="s">
        <v>7067</v>
      </c>
      <c r="C1548" s="155">
        <v>73</v>
      </c>
      <c r="D1548" s="55" t="s">
        <v>3999</v>
      </c>
      <c r="E1548" s="90" t="s">
        <v>1074</v>
      </c>
      <c r="G1548" s="55" t="s">
        <v>1075</v>
      </c>
      <c r="H1548" s="55">
        <v>2003</v>
      </c>
      <c r="I1548" s="55">
        <v>1990</v>
      </c>
      <c r="J1548" s="55" t="s">
        <v>1076</v>
      </c>
      <c r="K1548" s="55" t="s">
        <v>1104</v>
      </c>
      <c r="L1548" s="55" t="s">
        <v>2738</v>
      </c>
      <c r="M1548" s="90">
        <v>50.29</v>
      </c>
      <c r="N1548" s="90">
        <v>-107.8</v>
      </c>
      <c r="O1548" s="90">
        <v>757</v>
      </c>
      <c r="U1548" s="55">
        <v>3</v>
      </c>
      <c r="V1548" s="55" t="s">
        <v>1889</v>
      </c>
      <c r="Y1548" s="55" t="s">
        <v>1081</v>
      </c>
      <c r="Z1548" s="55" t="s">
        <v>1366</v>
      </c>
      <c r="AA1548" s="90" t="s">
        <v>1686</v>
      </c>
      <c r="AD1548" s="90">
        <f>(1.37+1.36+1.41+1.61+1.69)/5</f>
        <v>1.4880000000000002</v>
      </c>
      <c r="AH1548" s="55" t="s">
        <v>139</v>
      </c>
      <c r="AM1548" s="55" t="s">
        <v>1323</v>
      </c>
      <c r="AN1548" s="185" t="s">
        <v>553</v>
      </c>
      <c r="AO1548" s="185" t="s">
        <v>5150</v>
      </c>
      <c r="AQ1548" s="55" t="s">
        <v>553</v>
      </c>
      <c r="AR1548" s="55" t="s">
        <v>1500</v>
      </c>
      <c r="AS1548" s="55" t="s">
        <v>116</v>
      </c>
      <c r="AT1548" s="181" t="s">
        <v>1065</v>
      </c>
      <c r="AU1548" s="181" t="s">
        <v>5150</v>
      </c>
      <c r="AV1548" s="185" t="s">
        <v>176</v>
      </c>
      <c r="AW1548" s="55" t="s">
        <v>1065</v>
      </c>
      <c r="AX1548" s="185" t="s">
        <v>176</v>
      </c>
      <c r="AY1548" s="55" t="s">
        <v>176</v>
      </c>
      <c r="BE1548" s="226" t="s">
        <v>1079</v>
      </c>
      <c r="BF1548" s="191" t="s">
        <v>479</v>
      </c>
      <c r="BG1548" s="55" t="s">
        <v>479</v>
      </c>
      <c r="BH1548" s="226" t="s">
        <v>1080</v>
      </c>
      <c r="BI1548" s="55" t="s">
        <v>479</v>
      </c>
      <c r="BJ1548" s="55" t="s">
        <v>479</v>
      </c>
      <c r="BK1548" s="55" t="s">
        <v>5976</v>
      </c>
      <c r="BM1548" s="192" t="s">
        <v>1078</v>
      </c>
      <c r="BN1548" s="55">
        <v>3</v>
      </c>
      <c r="BO1548" s="55">
        <v>3</v>
      </c>
      <c r="BQ1548" s="55" t="s">
        <v>141</v>
      </c>
      <c r="BV1548" s="55" t="s">
        <v>1082</v>
      </c>
      <c r="BW1548" s="65">
        <v>4198</v>
      </c>
      <c r="BX1548" s="65">
        <v>1517</v>
      </c>
      <c r="CA1548" s="65" t="s">
        <v>1083</v>
      </c>
      <c r="CB1548" s="66">
        <v>2321</v>
      </c>
      <c r="CC1548" s="66">
        <v>1136</v>
      </c>
      <c r="CG1548" s="65" t="s">
        <v>1086</v>
      </c>
      <c r="DB1548" s="65">
        <f>168.6*0.056</f>
        <v>9.4415999999999993</v>
      </c>
      <c r="DC1548" s="65">
        <f>150.7*0.056</f>
        <v>8.4391999999999996</v>
      </c>
      <c r="DF1548" s="65" t="s">
        <v>1635</v>
      </c>
      <c r="GD1548" s="65">
        <v>277</v>
      </c>
      <c r="GE1548" s="65">
        <v>214</v>
      </c>
      <c r="GH1548" s="65" t="s">
        <v>1088</v>
      </c>
      <c r="GI1548" s="65">
        <v>194</v>
      </c>
      <c r="GJ1548" s="65">
        <v>131</v>
      </c>
      <c r="GM1548" s="65" t="s">
        <v>1087</v>
      </c>
      <c r="GP1548" s="292" t="s">
        <v>7494</v>
      </c>
      <c r="JU1548" s="55" t="s">
        <v>1086</v>
      </c>
      <c r="JW1548" s="55" t="s">
        <v>1073</v>
      </c>
    </row>
    <row r="1549" spans="1:283" x14ac:dyDescent="0.25">
      <c r="A1549" s="55">
        <v>1548</v>
      </c>
      <c r="B1549" s="12" t="s">
        <v>7067</v>
      </c>
      <c r="C1549" s="155">
        <v>73</v>
      </c>
      <c r="D1549" s="55" t="s">
        <v>3999</v>
      </c>
      <c r="E1549" s="90" t="s">
        <v>1074</v>
      </c>
      <c r="G1549" s="55" t="s">
        <v>1075</v>
      </c>
      <c r="H1549" s="55">
        <v>2003</v>
      </c>
      <c r="I1549" s="55">
        <v>1991</v>
      </c>
      <c r="J1549" s="55" t="s">
        <v>1076</v>
      </c>
      <c r="K1549" s="55" t="s">
        <v>1104</v>
      </c>
      <c r="L1549" s="55" t="s">
        <v>2738</v>
      </c>
      <c r="M1549" s="90">
        <v>50.29</v>
      </c>
      <c r="N1549" s="90">
        <v>-107.8</v>
      </c>
      <c r="O1549" s="90">
        <v>757</v>
      </c>
      <c r="U1549" s="55">
        <v>4</v>
      </c>
      <c r="V1549" s="55" t="s">
        <v>1889</v>
      </c>
      <c r="Y1549" s="55" t="s">
        <v>1081</v>
      </c>
      <c r="Z1549" s="55" t="s">
        <v>1366</v>
      </c>
      <c r="AA1549" s="90" t="s">
        <v>1686</v>
      </c>
      <c r="AD1549" s="90">
        <f>(1.37+1.36+1.41+1.61+1.69)/5</f>
        <v>1.4880000000000002</v>
      </c>
      <c r="AH1549" s="55" t="s">
        <v>139</v>
      </c>
      <c r="AM1549" s="55" t="s">
        <v>1323</v>
      </c>
      <c r="AN1549" s="185" t="s">
        <v>553</v>
      </c>
      <c r="AO1549" s="185" t="s">
        <v>5150</v>
      </c>
      <c r="AQ1549" s="55" t="s">
        <v>553</v>
      </c>
      <c r="AR1549" s="55" t="s">
        <v>1500</v>
      </c>
      <c r="AS1549" s="55" t="s">
        <v>116</v>
      </c>
      <c r="AT1549" s="181" t="s">
        <v>1065</v>
      </c>
      <c r="AU1549" s="181" t="s">
        <v>5150</v>
      </c>
      <c r="AV1549" s="185" t="s">
        <v>176</v>
      </c>
      <c r="AW1549" s="55" t="s">
        <v>1065</v>
      </c>
      <c r="AX1549" s="185" t="s">
        <v>176</v>
      </c>
      <c r="AY1549" s="55" t="s">
        <v>176</v>
      </c>
      <c r="BE1549" s="226" t="s">
        <v>1079</v>
      </c>
      <c r="BF1549" s="191" t="s">
        <v>479</v>
      </c>
      <c r="BG1549" s="55" t="s">
        <v>479</v>
      </c>
      <c r="BH1549" s="226" t="s">
        <v>1080</v>
      </c>
      <c r="BI1549" s="55" t="s">
        <v>479</v>
      </c>
      <c r="BJ1549" s="55" t="s">
        <v>479</v>
      </c>
      <c r="BK1549" s="55" t="s">
        <v>5976</v>
      </c>
      <c r="BM1549" s="192" t="s">
        <v>1078</v>
      </c>
      <c r="BN1549" s="55">
        <v>3</v>
      </c>
      <c r="BO1549" s="55">
        <v>3</v>
      </c>
      <c r="BQ1549" s="55" t="s">
        <v>141</v>
      </c>
      <c r="BV1549" s="55" t="s">
        <v>1082</v>
      </c>
      <c r="BW1549" s="65">
        <v>4598</v>
      </c>
      <c r="BX1549" s="65">
        <v>4374</v>
      </c>
      <c r="CA1549" s="65" t="s">
        <v>1083</v>
      </c>
      <c r="CB1549" s="66">
        <v>2478</v>
      </c>
      <c r="CC1549" s="66">
        <v>2270</v>
      </c>
      <c r="CG1549" s="65" t="s">
        <v>1086</v>
      </c>
      <c r="DB1549" s="65">
        <f>134.3*0.056</f>
        <v>7.5208000000000004</v>
      </c>
      <c r="DC1549" s="65">
        <f>170.6*0.056</f>
        <v>9.5535999999999994</v>
      </c>
      <c r="DF1549" s="65" t="s">
        <v>1635</v>
      </c>
      <c r="GD1549" s="65">
        <v>287</v>
      </c>
      <c r="GE1549" s="65">
        <v>223</v>
      </c>
      <c r="GH1549" s="65" t="s">
        <v>1088</v>
      </c>
      <c r="GI1549" s="65">
        <v>204</v>
      </c>
      <c r="GJ1549" s="65">
        <v>140</v>
      </c>
      <c r="GM1549" s="65" t="s">
        <v>1087</v>
      </c>
      <c r="GP1549" s="292" t="s">
        <v>7494</v>
      </c>
      <c r="JU1549" s="55" t="s">
        <v>1086</v>
      </c>
      <c r="JW1549" s="55" t="s">
        <v>1073</v>
      </c>
    </row>
    <row r="1550" spans="1:283" x14ac:dyDescent="0.25">
      <c r="A1550" s="55">
        <v>1549</v>
      </c>
      <c r="B1550" s="12" t="s">
        <v>7067</v>
      </c>
      <c r="C1550" s="155">
        <v>73</v>
      </c>
      <c r="D1550" s="55" t="s">
        <v>3999</v>
      </c>
      <c r="E1550" s="90" t="s">
        <v>1074</v>
      </c>
      <c r="G1550" s="55" t="s">
        <v>1075</v>
      </c>
      <c r="H1550" s="55">
        <v>2003</v>
      </c>
      <c r="I1550" s="55">
        <v>1992</v>
      </c>
      <c r="J1550" s="55" t="s">
        <v>1076</v>
      </c>
      <c r="K1550" s="55" t="s">
        <v>1104</v>
      </c>
      <c r="L1550" s="55" t="s">
        <v>2738</v>
      </c>
      <c r="M1550" s="90">
        <v>50.29</v>
      </c>
      <c r="N1550" s="90">
        <v>-107.8</v>
      </c>
      <c r="O1550" s="90">
        <v>757</v>
      </c>
      <c r="U1550" s="55">
        <v>5</v>
      </c>
      <c r="V1550" s="55" t="s">
        <v>1889</v>
      </c>
      <c r="Y1550" s="55" t="s">
        <v>1081</v>
      </c>
      <c r="Z1550" s="55" t="s">
        <v>1366</v>
      </c>
      <c r="AA1550" s="90" t="s">
        <v>1686</v>
      </c>
      <c r="AD1550" s="90">
        <f>(1.37+1.36+1.41+1.61+1.69)/5</f>
        <v>1.4880000000000002</v>
      </c>
      <c r="AH1550" s="55" t="s">
        <v>139</v>
      </c>
      <c r="AM1550" s="55" t="s">
        <v>1323</v>
      </c>
      <c r="AN1550" s="185" t="s">
        <v>553</v>
      </c>
      <c r="AO1550" s="185" t="s">
        <v>5150</v>
      </c>
      <c r="AQ1550" s="55" t="s">
        <v>553</v>
      </c>
      <c r="AR1550" s="55" t="s">
        <v>1500</v>
      </c>
      <c r="AS1550" s="55" t="s">
        <v>116</v>
      </c>
      <c r="AT1550" s="181" t="s">
        <v>1065</v>
      </c>
      <c r="AU1550" s="181" t="s">
        <v>5150</v>
      </c>
      <c r="AV1550" s="185" t="s">
        <v>176</v>
      </c>
      <c r="AW1550" s="55" t="s">
        <v>1065</v>
      </c>
      <c r="AX1550" s="185" t="s">
        <v>176</v>
      </c>
      <c r="AY1550" s="55" t="s">
        <v>176</v>
      </c>
      <c r="BE1550" s="226" t="s">
        <v>1079</v>
      </c>
      <c r="BF1550" s="191" t="s">
        <v>479</v>
      </c>
      <c r="BG1550" s="55" t="s">
        <v>479</v>
      </c>
      <c r="BH1550" s="226" t="s">
        <v>1080</v>
      </c>
      <c r="BI1550" s="55" t="s">
        <v>479</v>
      </c>
      <c r="BJ1550" s="55" t="s">
        <v>479</v>
      </c>
      <c r="BK1550" s="55" t="s">
        <v>5976</v>
      </c>
      <c r="BM1550" s="192" t="s">
        <v>1078</v>
      </c>
      <c r="BN1550" s="55">
        <v>3</v>
      </c>
      <c r="BO1550" s="55">
        <v>3</v>
      </c>
      <c r="BQ1550" s="55" t="s">
        <v>141</v>
      </c>
      <c r="BV1550" s="55" t="s">
        <v>1082</v>
      </c>
      <c r="BW1550" s="65">
        <v>4324</v>
      </c>
      <c r="BX1550" s="65">
        <v>3058</v>
      </c>
      <c r="CA1550" s="65" t="s">
        <v>1083</v>
      </c>
      <c r="CB1550" s="66">
        <v>2756</v>
      </c>
      <c r="CC1550" s="66">
        <v>2055</v>
      </c>
      <c r="CG1550" s="65" t="s">
        <v>1086</v>
      </c>
      <c r="DB1550" s="65">
        <f>77.4*0.056</f>
        <v>4.3344000000000005</v>
      </c>
      <c r="DC1550" s="65">
        <f>86.4*0.056</f>
        <v>4.8384</v>
      </c>
      <c r="DF1550" s="65" t="s">
        <v>1635</v>
      </c>
      <c r="GD1550" s="65">
        <v>281</v>
      </c>
      <c r="GE1550" s="65">
        <v>218</v>
      </c>
      <c r="GH1550" s="65" t="s">
        <v>1088</v>
      </c>
      <c r="GI1550" s="65">
        <v>198</v>
      </c>
      <c r="GJ1550" s="65">
        <v>135</v>
      </c>
      <c r="GM1550" s="65" t="s">
        <v>1087</v>
      </c>
      <c r="GP1550" s="292" t="s">
        <v>7494</v>
      </c>
      <c r="JU1550" s="55" t="s">
        <v>1086</v>
      </c>
      <c r="JW1550" s="55" t="s">
        <v>1073</v>
      </c>
    </row>
    <row r="1551" spans="1:283" x14ac:dyDescent="0.25">
      <c r="A1551" s="55">
        <v>1550</v>
      </c>
      <c r="B1551" s="12" t="s">
        <v>7067</v>
      </c>
      <c r="C1551" s="155">
        <v>73</v>
      </c>
      <c r="D1551" s="55" t="s">
        <v>3999</v>
      </c>
      <c r="E1551" s="90" t="s">
        <v>1074</v>
      </c>
      <c r="G1551" s="55" t="s">
        <v>1075</v>
      </c>
      <c r="H1551" s="55">
        <v>2003</v>
      </c>
      <c r="I1551" s="55">
        <v>1993</v>
      </c>
      <c r="J1551" s="55" t="s">
        <v>1076</v>
      </c>
      <c r="K1551" s="55" t="s">
        <v>1104</v>
      </c>
      <c r="L1551" s="55" t="s">
        <v>2738</v>
      </c>
      <c r="M1551" s="90">
        <v>50.29</v>
      </c>
      <c r="N1551" s="90">
        <v>-107.8</v>
      </c>
      <c r="O1551" s="90">
        <v>757</v>
      </c>
      <c r="U1551" s="55">
        <v>6</v>
      </c>
      <c r="V1551" s="55" t="s">
        <v>1889</v>
      </c>
      <c r="Y1551" s="55" t="s">
        <v>1081</v>
      </c>
      <c r="Z1551" s="55" t="s">
        <v>1366</v>
      </c>
      <c r="AA1551" s="90" t="s">
        <v>1686</v>
      </c>
      <c r="AD1551" s="90">
        <f>(1.37+1.36+1.41+1.61+1.69)/5</f>
        <v>1.4880000000000002</v>
      </c>
      <c r="AH1551" s="55" t="s">
        <v>139</v>
      </c>
      <c r="AM1551" s="55" t="s">
        <v>1323</v>
      </c>
      <c r="AN1551" s="185" t="s">
        <v>553</v>
      </c>
      <c r="AO1551" s="185" t="s">
        <v>5150</v>
      </c>
      <c r="AQ1551" s="55" t="s">
        <v>553</v>
      </c>
      <c r="AR1551" s="55" t="s">
        <v>1500</v>
      </c>
      <c r="AS1551" s="55" t="s">
        <v>116</v>
      </c>
      <c r="AT1551" s="181" t="s">
        <v>1065</v>
      </c>
      <c r="AU1551" s="181" t="s">
        <v>5150</v>
      </c>
      <c r="AV1551" s="185" t="s">
        <v>176</v>
      </c>
      <c r="AW1551" s="55" t="s">
        <v>1065</v>
      </c>
      <c r="AX1551" s="185" t="s">
        <v>176</v>
      </c>
      <c r="AY1551" s="55" t="s">
        <v>176</v>
      </c>
      <c r="BE1551" s="226" t="s">
        <v>1079</v>
      </c>
      <c r="BF1551" s="191" t="s">
        <v>479</v>
      </c>
      <c r="BG1551" s="55" t="s">
        <v>479</v>
      </c>
      <c r="BH1551" s="226" t="s">
        <v>1080</v>
      </c>
      <c r="BI1551" s="55" t="s">
        <v>479</v>
      </c>
      <c r="BJ1551" s="55" t="s">
        <v>479</v>
      </c>
      <c r="BK1551" s="55" t="s">
        <v>5976</v>
      </c>
      <c r="BM1551" s="192" t="s">
        <v>1078</v>
      </c>
      <c r="BN1551" s="55">
        <v>3</v>
      </c>
      <c r="BO1551" s="55">
        <v>3</v>
      </c>
      <c r="BQ1551" s="55" t="s">
        <v>141</v>
      </c>
      <c r="BV1551" s="55" t="s">
        <v>1082</v>
      </c>
      <c r="BW1551" s="65">
        <v>5476</v>
      </c>
      <c r="BX1551" s="65">
        <v>3918</v>
      </c>
      <c r="CA1551" s="65" t="s">
        <v>1083</v>
      </c>
      <c r="CB1551" s="66">
        <v>3362</v>
      </c>
      <c r="CC1551" s="66">
        <v>2533</v>
      </c>
      <c r="CG1551" s="65" t="s">
        <v>1086</v>
      </c>
      <c r="DB1551" s="65">
        <f>72*0.056</f>
        <v>4.032</v>
      </c>
      <c r="DC1551" s="65">
        <f>96.2*0.056</f>
        <v>5.3872</v>
      </c>
      <c r="DF1551" s="65" t="s">
        <v>1635</v>
      </c>
      <c r="GD1551" s="65">
        <v>300</v>
      </c>
      <c r="GE1551" s="65">
        <v>238</v>
      </c>
      <c r="GH1551" s="65" t="s">
        <v>1088</v>
      </c>
      <c r="GI1551" s="65">
        <v>217</v>
      </c>
      <c r="GJ1551" s="65">
        <v>155</v>
      </c>
      <c r="GM1551" s="65" t="s">
        <v>1087</v>
      </c>
      <c r="GP1551" s="292" t="s">
        <v>7494</v>
      </c>
      <c r="JU1551" s="55" t="s">
        <v>1086</v>
      </c>
      <c r="JW1551" s="55" t="s">
        <v>1073</v>
      </c>
    </row>
    <row r="1552" spans="1:283" x14ac:dyDescent="0.25">
      <c r="A1552" s="55">
        <v>1551</v>
      </c>
      <c r="B1552" s="12" t="s">
        <v>7067</v>
      </c>
      <c r="C1552" s="155">
        <v>73</v>
      </c>
      <c r="D1552" s="55" t="s">
        <v>3999</v>
      </c>
      <c r="E1552" s="90" t="s">
        <v>1074</v>
      </c>
      <c r="G1552" s="55" t="s">
        <v>1075</v>
      </c>
      <c r="H1552" s="55">
        <v>2003</v>
      </c>
      <c r="I1552" s="55">
        <v>1994</v>
      </c>
      <c r="J1552" s="55" t="s">
        <v>1076</v>
      </c>
      <c r="K1552" s="55" t="s">
        <v>1104</v>
      </c>
      <c r="L1552" s="55" t="s">
        <v>2738</v>
      </c>
      <c r="M1552" s="90">
        <v>50.29</v>
      </c>
      <c r="N1552" s="90">
        <v>-107.8</v>
      </c>
      <c r="O1552" s="90">
        <v>757</v>
      </c>
      <c r="U1552" s="55">
        <v>7</v>
      </c>
      <c r="V1552" s="55" t="s">
        <v>1889</v>
      </c>
      <c r="Y1552" s="55" t="s">
        <v>1081</v>
      </c>
      <c r="Z1552" s="55" t="s">
        <v>1366</v>
      </c>
      <c r="AA1552" s="90" t="s">
        <v>1686</v>
      </c>
      <c r="AD1552" s="90">
        <f>(1.37+1.36+1.41+1.61+1.69)/5</f>
        <v>1.4880000000000002</v>
      </c>
      <c r="AH1552" s="55" t="s">
        <v>139</v>
      </c>
      <c r="AM1552" s="55" t="s">
        <v>1323</v>
      </c>
      <c r="AN1552" s="185" t="s">
        <v>553</v>
      </c>
      <c r="AO1552" s="185" t="s">
        <v>5150</v>
      </c>
      <c r="AQ1552" s="55" t="s">
        <v>553</v>
      </c>
      <c r="AR1552" s="55" t="s">
        <v>1500</v>
      </c>
      <c r="AS1552" s="55" t="s">
        <v>116</v>
      </c>
      <c r="AT1552" s="181" t="s">
        <v>1065</v>
      </c>
      <c r="AU1552" s="181" t="s">
        <v>5150</v>
      </c>
      <c r="AV1552" s="185" t="s">
        <v>176</v>
      </c>
      <c r="AW1552" s="55" t="s">
        <v>1065</v>
      </c>
      <c r="AX1552" s="185" t="s">
        <v>176</v>
      </c>
      <c r="AY1552" s="55" t="s">
        <v>176</v>
      </c>
      <c r="BE1552" s="226" t="s">
        <v>1079</v>
      </c>
      <c r="BF1552" s="191" t="s">
        <v>479</v>
      </c>
      <c r="BG1552" s="55" t="s">
        <v>479</v>
      </c>
      <c r="BH1552" s="226" t="s">
        <v>1080</v>
      </c>
      <c r="BI1552" s="55" t="s">
        <v>479</v>
      </c>
      <c r="BJ1552" s="55" t="s">
        <v>479</v>
      </c>
      <c r="BK1552" s="55" t="s">
        <v>5976</v>
      </c>
      <c r="BM1552" s="192" t="s">
        <v>1078</v>
      </c>
      <c r="BN1552" s="55">
        <v>3</v>
      </c>
      <c r="BO1552" s="55">
        <v>3</v>
      </c>
      <c r="BQ1552" s="55" t="s">
        <v>141</v>
      </c>
      <c r="BV1552" s="55" t="s">
        <v>1082</v>
      </c>
      <c r="BW1552" s="65">
        <v>3968</v>
      </c>
      <c r="BX1552" s="65">
        <v>3837</v>
      </c>
      <c r="CA1552" s="65" t="s">
        <v>1083</v>
      </c>
      <c r="CB1552" s="66">
        <v>1992</v>
      </c>
      <c r="CC1552" s="66">
        <v>1817</v>
      </c>
      <c r="CG1552" s="65" t="s">
        <v>1086</v>
      </c>
      <c r="DB1552" s="65">
        <f>39.9*0.056</f>
        <v>2.2343999999999999</v>
      </c>
      <c r="DC1552" s="65">
        <f>67.3*0.056</f>
        <v>3.7687999999999997</v>
      </c>
      <c r="DF1552" s="65" t="s">
        <v>1635</v>
      </c>
      <c r="GD1552" s="65">
        <v>299</v>
      </c>
      <c r="GE1552" s="65">
        <v>303</v>
      </c>
      <c r="GH1552" s="65" t="s">
        <v>1088</v>
      </c>
      <c r="GI1552" s="65">
        <v>216</v>
      </c>
      <c r="GJ1552" s="65">
        <v>220</v>
      </c>
      <c r="GM1552" s="65" t="s">
        <v>1087</v>
      </c>
      <c r="GP1552" s="292" t="s">
        <v>7494</v>
      </c>
      <c r="JU1552" s="55" t="s">
        <v>1086</v>
      </c>
      <c r="JW1552" s="55" t="s">
        <v>1073</v>
      </c>
    </row>
    <row r="1553" spans="1:283" x14ac:dyDescent="0.25">
      <c r="A1553" s="55">
        <v>1552</v>
      </c>
      <c r="B1553" s="12" t="s">
        <v>7067</v>
      </c>
      <c r="C1553" s="155">
        <v>73</v>
      </c>
      <c r="D1553" s="55" t="s">
        <v>3999</v>
      </c>
      <c r="E1553" s="90" t="s">
        <v>1074</v>
      </c>
      <c r="G1553" s="55" t="s">
        <v>1075</v>
      </c>
      <c r="H1553" s="55">
        <v>2003</v>
      </c>
      <c r="I1553" s="55">
        <v>1995</v>
      </c>
      <c r="J1553" s="55" t="s">
        <v>1076</v>
      </c>
      <c r="K1553" s="55" t="s">
        <v>1104</v>
      </c>
      <c r="L1553" s="55" t="s">
        <v>2738</v>
      </c>
      <c r="M1553" s="90">
        <v>50.29</v>
      </c>
      <c r="N1553" s="90">
        <v>-107.8</v>
      </c>
      <c r="O1553" s="90">
        <v>757</v>
      </c>
      <c r="U1553" s="55">
        <v>8</v>
      </c>
      <c r="V1553" s="55" t="s">
        <v>1889</v>
      </c>
      <c r="Y1553" s="55" t="s">
        <v>1081</v>
      </c>
      <c r="Z1553" s="55" t="s">
        <v>1366</v>
      </c>
      <c r="AA1553" s="90" t="s">
        <v>1686</v>
      </c>
      <c r="AD1553" s="90">
        <f>(1.37+1.36+1.41+1.61+1.69)/5</f>
        <v>1.4880000000000002</v>
      </c>
      <c r="AH1553" s="55" t="s">
        <v>139</v>
      </c>
      <c r="AM1553" s="55" t="s">
        <v>1323</v>
      </c>
      <c r="AN1553" s="185" t="s">
        <v>553</v>
      </c>
      <c r="AO1553" s="185" t="s">
        <v>5150</v>
      </c>
      <c r="AQ1553" s="55" t="s">
        <v>553</v>
      </c>
      <c r="AR1553" s="55" t="s">
        <v>1500</v>
      </c>
      <c r="AS1553" s="55" t="s">
        <v>116</v>
      </c>
      <c r="AT1553" s="181" t="s">
        <v>1065</v>
      </c>
      <c r="AU1553" s="181" t="s">
        <v>5150</v>
      </c>
      <c r="AV1553" s="185" t="s">
        <v>176</v>
      </c>
      <c r="AW1553" s="55" t="s">
        <v>1065</v>
      </c>
      <c r="AX1553" s="185" t="s">
        <v>176</v>
      </c>
      <c r="AY1553" s="55" t="s">
        <v>176</v>
      </c>
      <c r="BE1553" s="226" t="s">
        <v>1079</v>
      </c>
      <c r="BF1553" s="191" t="s">
        <v>479</v>
      </c>
      <c r="BG1553" s="55" t="s">
        <v>479</v>
      </c>
      <c r="BH1553" s="226" t="s">
        <v>1080</v>
      </c>
      <c r="BI1553" s="55" t="s">
        <v>479</v>
      </c>
      <c r="BJ1553" s="55" t="s">
        <v>479</v>
      </c>
      <c r="BK1553" s="55" t="s">
        <v>5976</v>
      </c>
      <c r="BM1553" s="192" t="s">
        <v>1078</v>
      </c>
      <c r="BN1553" s="55">
        <v>3</v>
      </c>
      <c r="BO1553" s="55">
        <v>3</v>
      </c>
      <c r="BQ1553" s="55" t="s">
        <v>141</v>
      </c>
      <c r="BV1553" s="55" t="s">
        <v>1082</v>
      </c>
      <c r="BW1553" s="65">
        <v>6058</v>
      </c>
      <c r="BX1553" s="65">
        <v>6058</v>
      </c>
      <c r="CA1553" s="65" t="s">
        <v>1083</v>
      </c>
      <c r="CB1553" s="66">
        <v>3085</v>
      </c>
      <c r="CC1553" s="66">
        <v>3200</v>
      </c>
      <c r="CG1553" s="65" t="s">
        <v>1086</v>
      </c>
      <c r="DB1553" s="65">
        <f>68.7*0.056</f>
        <v>3.8472000000000004</v>
      </c>
      <c r="DC1553" s="65">
        <f>89.9*0.056</f>
        <v>5.0344000000000007</v>
      </c>
      <c r="DF1553" s="65" t="s">
        <v>1635</v>
      </c>
      <c r="GD1553" s="65">
        <v>305</v>
      </c>
      <c r="GE1553" s="65">
        <v>274</v>
      </c>
      <c r="GH1553" s="65" t="s">
        <v>1088</v>
      </c>
      <c r="GI1553" s="65">
        <v>222</v>
      </c>
      <c r="GJ1553" s="65">
        <v>191</v>
      </c>
      <c r="GM1553" s="65" t="s">
        <v>1087</v>
      </c>
      <c r="GP1553" s="292" t="s">
        <v>7494</v>
      </c>
      <c r="JU1553" s="55" t="s">
        <v>1086</v>
      </c>
      <c r="JW1553" s="55" t="s">
        <v>1073</v>
      </c>
    </row>
    <row r="1554" spans="1:283" x14ac:dyDescent="0.25">
      <c r="A1554" s="55">
        <v>1553</v>
      </c>
      <c r="B1554" s="12" t="s">
        <v>7067</v>
      </c>
      <c r="C1554" s="155">
        <v>73</v>
      </c>
      <c r="D1554" s="55" t="s">
        <v>3999</v>
      </c>
      <c r="E1554" s="90" t="s">
        <v>1074</v>
      </c>
      <c r="G1554" s="55" t="s">
        <v>1075</v>
      </c>
      <c r="H1554" s="55">
        <v>2003</v>
      </c>
      <c r="I1554" s="55">
        <v>1996</v>
      </c>
      <c r="J1554" s="55" t="s">
        <v>1076</v>
      </c>
      <c r="K1554" s="55" t="s">
        <v>1104</v>
      </c>
      <c r="L1554" s="55" t="s">
        <v>2738</v>
      </c>
      <c r="M1554" s="90">
        <v>50.29</v>
      </c>
      <c r="N1554" s="90">
        <v>-107.8</v>
      </c>
      <c r="O1554" s="90">
        <v>757</v>
      </c>
      <c r="U1554" s="55">
        <v>9</v>
      </c>
      <c r="V1554" s="55" t="s">
        <v>1889</v>
      </c>
      <c r="Y1554" s="55" t="s">
        <v>1081</v>
      </c>
      <c r="Z1554" s="55" t="s">
        <v>1366</v>
      </c>
      <c r="AA1554" s="90" t="s">
        <v>1686</v>
      </c>
      <c r="AD1554" s="90">
        <f>(1.37+1.36+1.41+1.61+1.69)/5</f>
        <v>1.4880000000000002</v>
      </c>
      <c r="AH1554" s="55" t="s">
        <v>139</v>
      </c>
      <c r="AM1554" s="55" t="s">
        <v>1323</v>
      </c>
      <c r="AN1554" s="185" t="s">
        <v>553</v>
      </c>
      <c r="AO1554" s="185" t="s">
        <v>5150</v>
      </c>
      <c r="AQ1554" s="55" t="s">
        <v>553</v>
      </c>
      <c r="AR1554" s="55" t="s">
        <v>1500</v>
      </c>
      <c r="AS1554" s="55" t="s">
        <v>116</v>
      </c>
      <c r="AT1554" s="181" t="s">
        <v>1065</v>
      </c>
      <c r="AU1554" s="181" t="s">
        <v>5150</v>
      </c>
      <c r="AV1554" s="185" t="s">
        <v>176</v>
      </c>
      <c r="AW1554" s="55" t="s">
        <v>1065</v>
      </c>
      <c r="AX1554" s="185" t="s">
        <v>176</v>
      </c>
      <c r="AY1554" s="55" t="s">
        <v>176</v>
      </c>
      <c r="BE1554" s="226" t="s">
        <v>1079</v>
      </c>
      <c r="BF1554" s="191" t="s">
        <v>479</v>
      </c>
      <c r="BG1554" s="55" t="s">
        <v>479</v>
      </c>
      <c r="BH1554" s="226" t="s">
        <v>1080</v>
      </c>
      <c r="BI1554" s="55" t="s">
        <v>479</v>
      </c>
      <c r="BJ1554" s="55" t="s">
        <v>479</v>
      </c>
      <c r="BK1554" s="55" t="s">
        <v>5976</v>
      </c>
      <c r="BM1554" s="192" t="s">
        <v>1078</v>
      </c>
      <c r="BN1554" s="55">
        <v>3</v>
      </c>
      <c r="BO1554" s="55">
        <v>3</v>
      </c>
      <c r="BQ1554" s="55" t="s">
        <v>141</v>
      </c>
      <c r="BV1554" s="55" t="s">
        <v>1082</v>
      </c>
      <c r="BW1554" s="65">
        <v>4721</v>
      </c>
      <c r="BX1554" s="65">
        <v>4728</v>
      </c>
      <c r="CA1554" s="65" t="s">
        <v>1083</v>
      </c>
      <c r="CB1554" s="66">
        <v>2395</v>
      </c>
      <c r="CC1554" s="66">
        <v>2501</v>
      </c>
      <c r="CG1554" s="65" t="s">
        <v>1086</v>
      </c>
      <c r="DB1554" s="65">
        <f>64.8*0.056</f>
        <v>3.6288</v>
      </c>
      <c r="DC1554" s="65">
        <f>119.1*0.056</f>
        <v>6.6696</v>
      </c>
      <c r="DF1554" s="65" t="s">
        <v>1635</v>
      </c>
      <c r="GD1554" s="65">
        <v>325</v>
      </c>
      <c r="GE1554" s="65">
        <v>316</v>
      </c>
      <c r="GH1554" s="65" t="s">
        <v>1088</v>
      </c>
      <c r="GI1554" s="65">
        <v>242</v>
      </c>
      <c r="GJ1554" s="65">
        <v>233</v>
      </c>
      <c r="GM1554" s="65" t="s">
        <v>1087</v>
      </c>
      <c r="GP1554" s="292" t="s">
        <v>7494</v>
      </c>
      <c r="JU1554" s="55" t="s">
        <v>1086</v>
      </c>
      <c r="JW1554" s="55" t="s">
        <v>1073</v>
      </c>
    </row>
    <row r="1555" spans="1:283" x14ac:dyDescent="0.25">
      <c r="A1555" s="55">
        <v>1554</v>
      </c>
      <c r="B1555" s="12" t="s">
        <v>7067</v>
      </c>
      <c r="C1555" s="155">
        <v>73</v>
      </c>
      <c r="D1555" s="55" t="s">
        <v>3999</v>
      </c>
      <c r="E1555" s="90" t="s">
        <v>1074</v>
      </c>
      <c r="G1555" s="55" t="s">
        <v>1075</v>
      </c>
      <c r="H1555" s="55">
        <v>2003</v>
      </c>
      <c r="I1555" s="55">
        <v>1997</v>
      </c>
      <c r="J1555" s="55" t="s">
        <v>1076</v>
      </c>
      <c r="K1555" s="55" t="s">
        <v>1104</v>
      </c>
      <c r="L1555" s="55" t="s">
        <v>2738</v>
      </c>
      <c r="M1555" s="90">
        <v>50.29</v>
      </c>
      <c r="N1555" s="90">
        <v>-107.8</v>
      </c>
      <c r="O1555" s="90">
        <v>757</v>
      </c>
      <c r="U1555" s="55">
        <v>10</v>
      </c>
      <c r="V1555" s="55" t="s">
        <v>1889</v>
      </c>
      <c r="Y1555" s="55" t="s">
        <v>1081</v>
      </c>
      <c r="Z1555" s="55" t="s">
        <v>1366</v>
      </c>
      <c r="AA1555" s="90" t="s">
        <v>1686</v>
      </c>
      <c r="AD1555" s="90">
        <f>(1.37+1.36+1.41+1.61+1.69)/5</f>
        <v>1.4880000000000002</v>
      </c>
      <c r="AH1555" s="55" t="s">
        <v>139</v>
      </c>
      <c r="AM1555" s="55" t="s">
        <v>1323</v>
      </c>
      <c r="AN1555" s="185" t="s">
        <v>553</v>
      </c>
      <c r="AO1555" s="185" t="s">
        <v>5150</v>
      </c>
      <c r="AQ1555" s="55" t="s">
        <v>553</v>
      </c>
      <c r="AR1555" s="55" t="s">
        <v>1500</v>
      </c>
      <c r="AS1555" s="55" t="s">
        <v>116</v>
      </c>
      <c r="AT1555" s="181" t="s">
        <v>1065</v>
      </c>
      <c r="AU1555" s="181" t="s">
        <v>5150</v>
      </c>
      <c r="AV1555" s="185" t="s">
        <v>176</v>
      </c>
      <c r="AW1555" s="55" t="s">
        <v>1065</v>
      </c>
      <c r="AX1555" s="185" t="s">
        <v>176</v>
      </c>
      <c r="AY1555" s="55" t="s">
        <v>176</v>
      </c>
      <c r="BE1555" s="226" t="s">
        <v>1079</v>
      </c>
      <c r="BF1555" s="191" t="s">
        <v>479</v>
      </c>
      <c r="BG1555" s="55" t="s">
        <v>479</v>
      </c>
      <c r="BH1555" s="226" t="s">
        <v>1080</v>
      </c>
      <c r="BI1555" s="55" t="s">
        <v>479</v>
      </c>
      <c r="BJ1555" s="55" t="s">
        <v>479</v>
      </c>
      <c r="BK1555" s="55" t="s">
        <v>5976</v>
      </c>
      <c r="BM1555" s="192" t="s">
        <v>1078</v>
      </c>
      <c r="BN1555" s="55">
        <v>3</v>
      </c>
      <c r="BO1555" s="55">
        <v>3</v>
      </c>
      <c r="BQ1555" s="55" t="s">
        <v>141</v>
      </c>
      <c r="BV1555" s="55" t="s">
        <v>1082</v>
      </c>
      <c r="BW1555" s="65">
        <v>4439</v>
      </c>
      <c r="BX1555" s="65">
        <v>5034</v>
      </c>
      <c r="CA1555" s="65" t="s">
        <v>1083</v>
      </c>
      <c r="CB1555" s="66">
        <v>2998</v>
      </c>
      <c r="CC1555" s="66">
        <v>3155</v>
      </c>
      <c r="CG1555" s="65" t="s">
        <v>1086</v>
      </c>
      <c r="DB1555" s="65">
        <f>66.2*0.056</f>
        <v>3.7072000000000003</v>
      </c>
      <c r="DC1555" s="65">
        <f>89.7*0.056</f>
        <v>5.0232000000000001</v>
      </c>
      <c r="DF1555" s="65" t="s">
        <v>1635</v>
      </c>
      <c r="GD1555" s="65">
        <v>324</v>
      </c>
      <c r="GE1555" s="65">
        <v>322</v>
      </c>
      <c r="GH1555" s="65" t="s">
        <v>1088</v>
      </c>
      <c r="GI1555" s="65">
        <v>241</v>
      </c>
      <c r="GJ1555" s="65">
        <v>239</v>
      </c>
      <c r="GM1555" s="65" t="s">
        <v>1087</v>
      </c>
      <c r="GP1555" s="292" t="s">
        <v>7494</v>
      </c>
      <c r="JU1555" s="55" t="s">
        <v>1086</v>
      </c>
      <c r="JW1555" s="55" t="s">
        <v>1073</v>
      </c>
    </row>
    <row r="1556" spans="1:283" x14ac:dyDescent="0.25">
      <c r="A1556" s="55">
        <v>1555</v>
      </c>
      <c r="B1556" s="12" t="s">
        <v>7067</v>
      </c>
      <c r="C1556" s="155">
        <v>73</v>
      </c>
      <c r="D1556" s="55" t="s">
        <v>3999</v>
      </c>
      <c r="E1556" s="90" t="s">
        <v>1074</v>
      </c>
      <c r="G1556" s="55" t="s">
        <v>1075</v>
      </c>
      <c r="H1556" s="55">
        <v>2003</v>
      </c>
      <c r="I1556" s="55">
        <v>1998</v>
      </c>
      <c r="J1556" s="55" t="s">
        <v>1076</v>
      </c>
      <c r="K1556" s="55" t="s">
        <v>1104</v>
      </c>
      <c r="L1556" s="55" t="s">
        <v>2738</v>
      </c>
      <c r="M1556" s="90">
        <v>50.29</v>
      </c>
      <c r="N1556" s="90">
        <v>-107.8</v>
      </c>
      <c r="O1556" s="90">
        <v>757</v>
      </c>
      <c r="U1556" s="55">
        <v>11</v>
      </c>
      <c r="V1556" s="55" t="s">
        <v>1889</v>
      </c>
      <c r="Y1556" s="55" t="s">
        <v>1081</v>
      </c>
      <c r="Z1556" s="55" t="s">
        <v>1366</v>
      </c>
      <c r="AA1556" s="90" t="s">
        <v>1686</v>
      </c>
      <c r="AD1556" s="90">
        <f>(1.37+1.36+1.41+1.61+1.69)/5</f>
        <v>1.4880000000000002</v>
      </c>
      <c r="AH1556" s="55" t="s">
        <v>139</v>
      </c>
      <c r="AM1556" s="55" t="s">
        <v>1323</v>
      </c>
      <c r="AN1556" s="185" t="s">
        <v>553</v>
      </c>
      <c r="AO1556" s="185" t="s">
        <v>5150</v>
      </c>
      <c r="AQ1556" s="55" t="s">
        <v>553</v>
      </c>
      <c r="AR1556" s="55" t="s">
        <v>1500</v>
      </c>
      <c r="AS1556" s="55" t="s">
        <v>116</v>
      </c>
      <c r="AT1556" s="181" t="s">
        <v>1065</v>
      </c>
      <c r="AU1556" s="181" t="s">
        <v>5150</v>
      </c>
      <c r="AV1556" s="185" t="s">
        <v>176</v>
      </c>
      <c r="AW1556" s="55" t="s">
        <v>1065</v>
      </c>
      <c r="AX1556" s="185" t="s">
        <v>176</v>
      </c>
      <c r="AY1556" s="55" t="s">
        <v>176</v>
      </c>
      <c r="BE1556" s="226" t="s">
        <v>1079</v>
      </c>
      <c r="BF1556" s="191" t="s">
        <v>479</v>
      </c>
      <c r="BG1556" s="55" t="s">
        <v>479</v>
      </c>
      <c r="BH1556" s="226" t="s">
        <v>1080</v>
      </c>
      <c r="BI1556" s="55" t="s">
        <v>479</v>
      </c>
      <c r="BJ1556" s="55" t="s">
        <v>479</v>
      </c>
      <c r="BK1556" s="55" t="s">
        <v>5976</v>
      </c>
      <c r="BM1556" s="192" t="s">
        <v>1078</v>
      </c>
      <c r="BN1556" s="55">
        <v>3</v>
      </c>
      <c r="BO1556" s="55">
        <v>3</v>
      </c>
      <c r="BQ1556" s="55" t="s">
        <v>141</v>
      </c>
      <c r="BV1556" s="55" t="s">
        <v>1082</v>
      </c>
      <c r="BW1556" s="65">
        <v>4414</v>
      </c>
      <c r="BX1556" s="65">
        <v>3843</v>
      </c>
      <c r="CA1556" s="65" t="s">
        <v>1083</v>
      </c>
      <c r="CB1556" s="66">
        <v>2587</v>
      </c>
      <c r="CC1556" s="66">
        <v>2290</v>
      </c>
      <c r="CG1556" s="65" t="s">
        <v>1086</v>
      </c>
      <c r="DB1556" s="65">
        <f>105*0.056</f>
        <v>5.88</v>
      </c>
      <c r="DC1556" s="65">
        <f>139.3*0.056</f>
        <v>7.8008000000000006</v>
      </c>
      <c r="DF1556" s="65" t="s">
        <v>1635</v>
      </c>
      <c r="GD1556" s="65">
        <v>270</v>
      </c>
      <c r="GE1556" s="65">
        <v>248</v>
      </c>
      <c r="GH1556" s="65" t="s">
        <v>1088</v>
      </c>
      <c r="GI1556" s="65">
        <v>187</v>
      </c>
      <c r="GJ1556" s="65">
        <v>165</v>
      </c>
      <c r="GM1556" s="65" t="s">
        <v>1087</v>
      </c>
      <c r="GP1556" s="292" t="s">
        <v>7494</v>
      </c>
      <c r="JU1556" s="55" t="s">
        <v>1086</v>
      </c>
      <c r="JW1556" s="55" t="s">
        <v>1073</v>
      </c>
    </row>
    <row r="1557" spans="1:283" x14ac:dyDescent="0.25">
      <c r="A1557" s="55">
        <v>1556</v>
      </c>
      <c r="B1557" s="12" t="s">
        <v>7067</v>
      </c>
      <c r="C1557" s="155">
        <v>73</v>
      </c>
      <c r="D1557" s="55" t="s">
        <v>3999</v>
      </c>
      <c r="E1557" s="90" t="s">
        <v>1074</v>
      </c>
      <c r="G1557" s="55" t="s">
        <v>1075</v>
      </c>
      <c r="H1557" s="55">
        <v>2003</v>
      </c>
      <c r="I1557" s="55">
        <v>1999</v>
      </c>
      <c r="J1557" s="55" t="s">
        <v>1076</v>
      </c>
      <c r="K1557" s="55" t="s">
        <v>1104</v>
      </c>
      <c r="L1557" s="55" t="s">
        <v>2738</v>
      </c>
      <c r="M1557" s="90">
        <v>50.29</v>
      </c>
      <c r="N1557" s="90">
        <v>-107.8</v>
      </c>
      <c r="O1557" s="90">
        <v>757</v>
      </c>
      <c r="U1557" s="55">
        <v>12</v>
      </c>
      <c r="V1557" s="55" t="s">
        <v>1889</v>
      </c>
      <c r="Y1557" s="55" t="s">
        <v>1081</v>
      </c>
      <c r="Z1557" s="55" t="s">
        <v>1366</v>
      </c>
      <c r="AA1557" s="90" t="s">
        <v>1686</v>
      </c>
      <c r="AD1557" s="90">
        <f>(1.37+1.36+1.41+1.61+1.69)/5</f>
        <v>1.4880000000000002</v>
      </c>
      <c r="AH1557" s="55" t="s">
        <v>139</v>
      </c>
      <c r="AM1557" s="55" t="s">
        <v>1323</v>
      </c>
      <c r="AN1557" s="185" t="s">
        <v>553</v>
      </c>
      <c r="AO1557" s="185" t="s">
        <v>5150</v>
      </c>
      <c r="AQ1557" s="55" t="s">
        <v>553</v>
      </c>
      <c r="AR1557" s="55" t="s">
        <v>1500</v>
      </c>
      <c r="AS1557" s="55" t="s">
        <v>116</v>
      </c>
      <c r="AT1557" s="181" t="s">
        <v>1065</v>
      </c>
      <c r="AU1557" s="181" t="s">
        <v>5150</v>
      </c>
      <c r="AV1557" s="185" t="s">
        <v>176</v>
      </c>
      <c r="AW1557" s="55" t="s">
        <v>1065</v>
      </c>
      <c r="AX1557" s="185" t="s">
        <v>176</v>
      </c>
      <c r="AY1557" s="55" t="s">
        <v>176</v>
      </c>
      <c r="BE1557" s="226" t="s">
        <v>1079</v>
      </c>
      <c r="BF1557" s="191" t="s">
        <v>479</v>
      </c>
      <c r="BG1557" s="55" t="s">
        <v>479</v>
      </c>
      <c r="BH1557" s="226" t="s">
        <v>1080</v>
      </c>
      <c r="BI1557" s="55" t="s">
        <v>479</v>
      </c>
      <c r="BJ1557" s="55" t="s">
        <v>479</v>
      </c>
      <c r="BK1557" s="55" t="s">
        <v>5976</v>
      </c>
      <c r="BM1557" s="192" t="s">
        <v>1078</v>
      </c>
      <c r="BN1557" s="55">
        <v>3</v>
      </c>
      <c r="BO1557" s="55">
        <v>3</v>
      </c>
      <c r="BQ1557" s="55" t="s">
        <v>141</v>
      </c>
      <c r="BV1557" s="55" t="s">
        <v>1082</v>
      </c>
      <c r="BW1557" s="65">
        <v>5728</v>
      </c>
      <c r="BX1557" s="65">
        <v>5114</v>
      </c>
      <c r="CA1557" s="65" t="s">
        <v>1083</v>
      </c>
      <c r="CB1557" s="66">
        <v>3574</v>
      </c>
      <c r="CC1557" s="66">
        <v>2876</v>
      </c>
      <c r="CG1557" s="65" t="s">
        <v>1086</v>
      </c>
      <c r="DB1557" s="65">
        <f>92.2*0.056</f>
        <v>5.1632000000000007</v>
      </c>
      <c r="DC1557" s="65">
        <f>109.2*0.056</f>
        <v>6.1152000000000006</v>
      </c>
      <c r="DF1557" s="65" t="s">
        <v>1635</v>
      </c>
      <c r="GD1557" s="65">
        <v>300</v>
      </c>
      <c r="GE1557" s="65">
        <v>228</v>
      </c>
      <c r="GH1557" s="65" t="s">
        <v>1088</v>
      </c>
      <c r="GI1557" s="65">
        <v>217</v>
      </c>
      <c r="GJ1557" s="65">
        <v>145</v>
      </c>
      <c r="GM1557" s="65" t="s">
        <v>1087</v>
      </c>
      <c r="GP1557" s="292" t="s">
        <v>7494</v>
      </c>
      <c r="JU1557" s="55" t="s">
        <v>1086</v>
      </c>
      <c r="JW1557" s="55" t="s">
        <v>1073</v>
      </c>
    </row>
    <row r="1558" spans="1:283" x14ac:dyDescent="0.25">
      <c r="A1558" s="55">
        <v>1557</v>
      </c>
      <c r="B1558" s="12" t="s">
        <v>7067</v>
      </c>
      <c r="C1558" s="155">
        <v>73</v>
      </c>
      <c r="D1558" s="55" t="s">
        <v>4000</v>
      </c>
      <c r="E1558" s="90" t="s">
        <v>1074</v>
      </c>
      <c r="G1558" s="55" t="s">
        <v>1075</v>
      </c>
      <c r="H1558" s="55">
        <v>2003</v>
      </c>
      <c r="I1558" s="55">
        <v>1988</v>
      </c>
      <c r="J1558" s="55" t="s">
        <v>1076</v>
      </c>
      <c r="K1558" s="55" t="s">
        <v>1104</v>
      </c>
      <c r="L1558" s="55" t="s">
        <v>2738</v>
      </c>
      <c r="M1558" s="90">
        <v>50.29</v>
      </c>
      <c r="N1558" s="90">
        <v>-107.8</v>
      </c>
      <c r="O1558" s="90">
        <v>757</v>
      </c>
      <c r="U1558" s="55">
        <v>1</v>
      </c>
      <c r="V1558" s="55" t="s">
        <v>1889</v>
      </c>
      <c r="Y1558" s="55" t="s">
        <v>1081</v>
      </c>
      <c r="Z1558" s="55" t="s">
        <v>1366</v>
      </c>
      <c r="AA1558" s="90" t="s">
        <v>1686</v>
      </c>
      <c r="AD1558" s="90">
        <v>1.4880000000000002</v>
      </c>
      <c r="AH1558" s="55" t="s">
        <v>139</v>
      </c>
      <c r="AM1558" s="55" t="s">
        <v>1323</v>
      </c>
      <c r="AN1558" s="185" t="s">
        <v>553</v>
      </c>
      <c r="AO1558" s="185" t="s">
        <v>5150</v>
      </c>
      <c r="AQ1558" s="55" t="s">
        <v>553</v>
      </c>
      <c r="AR1558" s="55" t="s">
        <v>1500</v>
      </c>
      <c r="AS1558" s="55" t="s">
        <v>116</v>
      </c>
      <c r="AT1558" s="181" t="s">
        <v>1065</v>
      </c>
      <c r="AU1558" s="181" t="s">
        <v>5150</v>
      </c>
      <c r="AV1558" s="185" t="s">
        <v>176</v>
      </c>
      <c r="AW1558" s="55" t="s">
        <v>1065</v>
      </c>
      <c r="AX1558" s="185" t="s">
        <v>176</v>
      </c>
      <c r="AY1558" s="55" t="s">
        <v>176</v>
      </c>
      <c r="BE1558" s="226" t="s">
        <v>1079</v>
      </c>
      <c r="BF1558" s="191" t="s">
        <v>479</v>
      </c>
      <c r="BG1558" s="55" t="s">
        <v>479</v>
      </c>
      <c r="BH1558" s="226" t="s">
        <v>1080</v>
      </c>
      <c r="BI1558" s="55" t="s">
        <v>479</v>
      </c>
      <c r="BJ1558" s="55" t="s">
        <v>479</v>
      </c>
      <c r="BK1558" s="55" t="s">
        <v>5976</v>
      </c>
      <c r="BM1558" s="192" t="s">
        <v>1078</v>
      </c>
      <c r="BN1558" s="55">
        <v>3</v>
      </c>
      <c r="BO1558" s="55">
        <v>3</v>
      </c>
      <c r="BQ1558" s="55" t="s">
        <v>141</v>
      </c>
      <c r="BV1558" s="55" t="s">
        <v>1089</v>
      </c>
      <c r="BW1558" s="65">
        <v>794</v>
      </c>
      <c r="BX1558" s="65">
        <v>745</v>
      </c>
      <c r="CA1558" s="65" t="s">
        <v>1083</v>
      </c>
      <c r="CB1558" s="66">
        <v>420</v>
      </c>
      <c r="CC1558" s="66">
        <v>407</v>
      </c>
      <c r="CG1558" s="65" t="s">
        <v>1086</v>
      </c>
      <c r="GD1558" s="65">
        <v>188</v>
      </c>
      <c r="GE1558" s="65">
        <v>179</v>
      </c>
      <c r="GH1558" s="65" t="s">
        <v>1088</v>
      </c>
      <c r="GI1558" s="65">
        <v>105</v>
      </c>
      <c r="GJ1558" s="65">
        <v>96</v>
      </c>
      <c r="GM1558" s="65" t="s">
        <v>1087</v>
      </c>
      <c r="GP1558" s="292" t="s">
        <v>7494</v>
      </c>
      <c r="JU1558" s="55" t="s">
        <v>1086</v>
      </c>
      <c r="JW1558" s="55" t="s">
        <v>1073</v>
      </c>
    </row>
    <row r="1559" spans="1:283" x14ac:dyDescent="0.25">
      <c r="A1559" s="55">
        <v>1558</v>
      </c>
      <c r="B1559" s="12" t="s">
        <v>7067</v>
      </c>
      <c r="C1559" s="155">
        <v>73</v>
      </c>
      <c r="D1559" s="55" t="s">
        <v>4000</v>
      </c>
      <c r="E1559" s="90" t="s">
        <v>1074</v>
      </c>
      <c r="G1559" s="55" t="s">
        <v>1075</v>
      </c>
      <c r="H1559" s="55">
        <v>2003</v>
      </c>
      <c r="I1559" s="55">
        <v>1989</v>
      </c>
      <c r="J1559" s="55" t="s">
        <v>1076</v>
      </c>
      <c r="K1559" s="55" t="s">
        <v>1104</v>
      </c>
      <c r="L1559" s="55" t="s">
        <v>2738</v>
      </c>
      <c r="M1559" s="90">
        <v>50.29</v>
      </c>
      <c r="N1559" s="90">
        <v>-107.8</v>
      </c>
      <c r="O1559" s="90">
        <v>757</v>
      </c>
      <c r="U1559" s="55">
        <v>2</v>
      </c>
      <c r="V1559" s="55" t="s">
        <v>1889</v>
      </c>
      <c r="Y1559" s="55" t="s">
        <v>1081</v>
      </c>
      <c r="Z1559" s="55" t="s">
        <v>1366</v>
      </c>
      <c r="AA1559" s="90" t="s">
        <v>1686</v>
      </c>
      <c r="AD1559" s="90">
        <v>1.4880000000000002</v>
      </c>
      <c r="AH1559" s="55" t="s">
        <v>139</v>
      </c>
      <c r="AM1559" s="55" t="s">
        <v>1323</v>
      </c>
      <c r="AN1559" s="185" t="s">
        <v>553</v>
      </c>
      <c r="AO1559" s="185" t="s">
        <v>5150</v>
      </c>
      <c r="AQ1559" s="55" t="s">
        <v>553</v>
      </c>
      <c r="AR1559" s="55" t="s">
        <v>1500</v>
      </c>
      <c r="AS1559" s="55" t="s">
        <v>116</v>
      </c>
      <c r="AT1559" s="181" t="s">
        <v>1065</v>
      </c>
      <c r="AU1559" s="181" t="s">
        <v>5150</v>
      </c>
      <c r="AV1559" s="185" t="s">
        <v>176</v>
      </c>
      <c r="AW1559" s="55" t="s">
        <v>1065</v>
      </c>
      <c r="AX1559" s="185" t="s">
        <v>176</v>
      </c>
      <c r="AY1559" s="55" t="s">
        <v>176</v>
      </c>
      <c r="BE1559" s="226" t="s">
        <v>1079</v>
      </c>
      <c r="BF1559" s="191" t="s">
        <v>479</v>
      </c>
      <c r="BG1559" s="55" t="s">
        <v>479</v>
      </c>
      <c r="BH1559" s="226" t="s">
        <v>1080</v>
      </c>
      <c r="BI1559" s="55" t="s">
        <v>479</v>
      </c>
      <c r="BJ1559" s="55" t="s">
        <v>479</v>
      </c>
      <c r="BK1559" s="55" t="s">
        <v>5976</v>
      </c>
      <c r="BM1559" s="192" t="s">
        <v>1078</v>
      </c>
      <c r="BN1559" s="55">
        <v>3</v>
      </c>
      <c r="BO1559" s="55">
        <v>3</v>
      </c>
      <c r="BQ1559" s="55" t="s">
        <v>141</v>
      </c>
      <c r="BV1559" s="55" t="s">
        <v>1089</v>
      </c>
      <c r="BW1559" s="65">
        <v>2732</v>
      </c>
      <c r="BX1559" s="65">
        <v>2926</v>
      </c>
      <c r="CA1559" s="65" t="s">
        <v>1083</v>
      </c>
      <c r="CB1559" s="66">
        <v>1655</v>
      </c>
      <c r="CC1559" s="66">
        <v>1738</v>
      </c>
      <c r="CG1559" s="65" t="s">
        <v>1086</v>
      </c>
      <c r="GD1559" s="65">
        <v>191</v>
      </c>
      <c r="GE1559" s="65">
        <v>198</v>
      </c>
      <c r="GH1559" s="65" t="s">
        <v>1088</v>
      </c>
      <c r="GI1559" s="65">
        <v>108</v>
      </c>
      <c r="GJ1559" s="65">
        <v>115</v>
      </c>
      <c r="GM1559" s="65" t="s">
        <v>1087</v>
      </c>
      <c r="GP1559" s="292" t="s">
        <v>7494</v>
      </c>
      <c r="JU1559" s="55" t="s">
        <v>1086</v>
      </c>
      <c r="JW1559" s="55" t="s">
        <v>1073</v>
      </c>
    </row>
    <row r="1560" spans="1:283" x14ac:dyDescent="0.25">
      <c r="A1560" s="55">
        <v>1559</v>
      </c>
      <c r="B1560" s="12" t="s">
        <v>7067</v>
      </c>
      <c r="C1560" s="155">
        <v>73</v>
      </c>
      <c r="D1560" s="55" t="s">
        <v>4000</v>
      </c>
      <c r="E1560" s="90" t="s">
        <v>1074</v>
      </c>
      <c r="G1560" s="55" t="s">
        <v>1075</v>
      </c>
      <c r="H1560" s="55">
        <v>2003</v>
      </c>
      <c r="I1560" s="55">
        <v>1990</v>
      </c>
      <c r="J1560" s="55" t="s">
        <v>1076</v>
      </c>
      <c r="K1560" s="55" t="s">
        <v>1104</v>
      </c>
      <c r="L1560" s="55" t="s">
        <v>2738</v>
      </c>
      <c r="M1560" s="90">
        <v>50.29</v>
      </c>
      <c r="N1560" s="90">
        <v>-107.8</v>
      </c>
      <c r="O1560" s="90">
        <v>757</v>
      </c>
      <c r="U1560" s="55">
        <v>3</v>
      </c>
      <c r="V1560" s="55" t="s">
        <v>1889</v>
      </c>
      <c r="Y1560" s="55" t="s">
        <v>1081</v>
      </c>
      <c r="Z1560" s="55" t="s">
        <v>1366</v>
      </c>
      <c r="AA1560" s="90" t="s">
        <v>1686</v>
      </c>
      <c r="AD1560" s="90">
        <v>1.4880000000000002</v>
      </c>
      <c r="AH1560" s="55" t="s">
        <v>139</v>
      </c>
      <c r="AM1560" s="55" t="s">
        <v>1323</v>
      </c>
      <c r="AN1560" s="185" t="s">
        <v>553</v>
      </c>
      <c r="AO1560" s="185" t="s">
        <v>5150</v>
      </c>
      <c r="AQ1560" s="55" t="s">
        <v>553</v>
      </c>
      <c r="AR1560" s="55" t="s">
        <v>1500</v>
      </c>
      <c r="AS1560" s="55" t="s">
        <v>116</v>
      </c>
      <c r="AT1560" s="181" t="s">
        <v>1065</v>
      </c>
      <c r="AU1560" s="181" t="s">
        <v>5150</v>
      </c>
      <c r="AV1560" s="185" t="s">
        <v>176</v>
      </c>
      <c r="AW1560" s="55" t="s">
        <v>1065</v>
      </c>
      <c r="AX1560" s="185" t="s">
        <v>176</v>
      </c>
      <c r="AY1560" s="55" t="s">
        <v>176</v>
      </c>
      <c r="BE1560" s="226" t="s">
        <v>1079</v>
      </c>
      <c r="BF1560" s="191" t="s">
        <v>479</v>
      </c>
      <c r="BG1560" s="55" t="s">
        <v>479</v>
      </c>
      <c r="BH1560" s="226" t="s">
        <v>1080</v>
      </c>
      <c r="BI1560" s="55" t="s">
        <v>479</v>
      </c>
      <c r="BJ1560" s="55" t="s">
        <v>479</v>
      </c>
      <c r="BK1560" s="55" t="s">
        <v>5976</v>
      </c>
      <c r="BM1560" s="192" t="s">
        <v>1078</v>
      </c>
      <c r="BN1560" s="55">
        <v>3</v>
      </c>
      <c r="BO1560" s="55">
        <v>3</v>
      </c>
      <c r="BQ1560" s="55" t="s">
        <v>141</v>
      </c>
      <c r="BV1560" s="55" t="s">
        <v>1089</v>
      </c>
      <c r="BW1560" s="65">
        <v>2395</v>
      </c>
      <c r="BX1560" s="65">
        <v>2729</v>
      </c>
      <c r="CA1560" s="65" t="s">
        <v>1083</v>
      </c>
      <c r="CB1560" s="66">
        <v>1778</v>
      </c>
      <c r="CC1560" s="66">
        <v>1879</v>
      </c>
      <c r="CG1560" s="65" t="s">
        <v>1086</v>
      </c>
      <c r="GD1560" s="65">
        <v>231</v>
      </c>
      <c r="GE1560" s="65">
        <v>244</v>
      </c>
      <c r="GH1560" s="65" t="s">
        <v>1088</v>
      </c>
      <c r="GI1560" s="65">
        <v>148</v>
      </c>
      <c r="GJ1560" s="65">
        <v>161</v>
      </c>
      <c r="GM1560" s="65" t="s">
        <v>1087</v>
      </c>
      <c r="GP1560" s="292" t="s">
        <v>7494</v>
      </c>
      <c r="JU1560" s="55" t="s">
        <v>1086</v>
      </c>
      <c r="JW1560" s="55" t="s">
        <v>1073</v>
      </c>
    </row>
    <row r="1561" spans="1:283" x14ac:dyDescent="0.25">
      <c r="A1561" s="55">
        <v>1560</v>
      </c>
      <c r="B1561" s="12" t="s">
        <v>7067</v>
      </c>
      <c r="C1561" s="155">
        <v>73</v>
      </c>
      <c r="D1561" s="55" t="s">
        <v>4000</v>
      </c>
      <c r="E1561" s="90" t="s">
        <v>1074</v>
      </c>
      <c r="G1561" s="55" t="s">
        <v>1075</v>
      </c>
      <c r="H1561" s="55">
        <v>2003</v>
      </c>
      <c r="I1561" s="55">
        <v>1991</v>
      </c>
      <c r="J1561" s="55" t="s">
        <v>1076</v>
      </c>
      <c r="K1561" s="55" t="s">
        <v>1104</v>
      </c>
      <c r="L1561" s="55" t="s">
        <v>2738</v>
      </c>
      <c r="M1561" s="90">
        <v>50.29</v>
      </c>
      <c r="N1561" s="90">
        <v>-107.8</v>
      </c>
      <c r="O1561" s="90">
        <v>757</v>
      </c>
      <c r="U1561" s="55">
        <v>4</v>
      </c>
      <c r="V1561" s="55" t="s">
        <v>1889</v>
      </c>
      <c r="Y1561" s="55" t="s">
        <v>1081</v>
      </c>
      <c r="Z1561" s="55" t="s">
        <v>1366</v>
      </c>
      <c r="AA1561" s="90" t="s">
        <v>1686</v>
      </c>
      <c r="AD1561" s="90">
        <v>1.4880000000000002</v>
      </c>
      <c r="AH1561" s="55" t="s">
        <v>139</v>
      </c>
      <c r="AM1561" s="55" t="s">
        <v>1323</v>
      </c>
      <c r="AN1561" s="185" t="s">
        <v>553</v>
      </c>
      <c r="AO1561" s="185" t="s">
        <v>5150</v>
      </c>
      <c r="AQ1561" s="55" t="s">
        <v>553</v>
      </c>
      <c r="AR1561" s="55" t="s">
        <v>1500</v>
      </c>
      <c r="AS1561" s="55" t="s">
        <v>116</v>
      </c>
      <c r="AT1561" s="181" t="s">
        <v>1065</v>
      </c>
      <c r="AU1561" s="181" t="s">
        <v>5150</v>
      </c>
      <c r="AV1561" s="185" t="s">
        <v>176</v>
      </c>
      <c r="AW1561" s="55" t="s">
        <v>1065</v>
      </c>
      <c r="AX1561" s="185" t="s">
        <v>176</v>
      </c>
      <c r="AY1561" s="55" t="s">
        <v>176</v>
      </c>
      <c r="BE1561" s="226" t="s">
        <v>1079</v>
      </c>
      <c r="BF1561" s="191" t="s">
        <v>479</v>
      </c>
      <c r="BG1561" s="55" t="s">
        <v>479</v>
      </c>
      <c r="BH1561" s="226" t="s">
        <v>1080</v>
      </c>
      <c r="BI1561" s="55" t="s">
        <v>479</v>
      </c>
      <c r="BJ1561" s="55" t="s">
        <v>479</v>
      </c>
      <c r="BK1561" s="55" t="s">
        <v>5976</v>
      </c>
      <c r="BM1561" s="192" t="s">
        <v>1078</v>
      </c>
      <c r="BN1561" s="55">
        <v>3</v>
      </c>
      <c r="BO1561" s="55">
        <v>3</v>
      </c>
      <c r="BQ1561" s="55" t="s">
        <v>141</v>
      </c>
      <c r="BV1561" s="55" t="s">
        <v>1089</v>
      </c>
      <c r="BW1561" s="65">
        <v>4339</v>
      </c>
      <c r="BX1561" s="65">
        <v>4550</v>
      </c>
      <c r="CA1561" s="65" t="s">
        <v>1083</v>
      </c>
      <c r="CB1561" s="66">
        <v>2581</v>
      </c>
      <c r="CC1561" s="66">
        <v>2638</v>
      </c>
      <c r="CG1561" s="65" t="s">
        <v>1086</v>
      </c>
      <c r="GD1561" s="65">
        <v>260</v>
      </c>
      <c r="GE1561" s="65">
        <v>257</v>
      </c>
      <c r="GH1561" s="65" t="s">
        <v>1088</v>
      </c>
      <c r="GI1561" s="65">
        <v>177</v>
      </c>
      <c r="GJ1561" s="65">
        <v>174</v>
      </c>
      <c r="GM1561" s="65" t="s">
        <v>1087</v>
      </c>
      <c r="GP1561" s="292" t="s">
        <v>7494</v>
      </c>
      <c r="JU1561" s="55" t="s">
        <v>1086</v>
      </c>
      <c r="JW1561" s="55" t="s">
        <v>1073</v>
      </c>
    </row>
    <row r="1562" spans="1:283" x14ac:dyDescent="0.25">
      <c r="A1562" s="55">
        <v>1561</v>
      </c>
      <c r="B1562" s="12" t="s">
        <v>7067</v>
      </c>
      <c r="C1562" s="155">
        <v>73</v>
      </c>
      <c r="D1562" s="55" t="s">
        <v>4000</v>
      </c>
      <c r="E1562" s="90" t="s">
        <v>1074</v>
      </c>
      <c r="G1562" s="55" t="s">
        <v>1075</v>
      </c>
      <c r="H1562" s="55">
        <v>2003</v>
      </c>
      <c r="I1562" s="55">
        <v>1992</v>
      </c>
      <c r="J1562" s="55" t="s">
        <v>1076</v>
      </c>
      <c r="K1562" s="55" t="s">
        <v>1104</v>
      </c>
      <c r="L1562" s="55" t="s">
        <v>2738</v>
      </c>
      <c r="M1562" s="90">
        <v>50.29</v>
      </c>
      <c r="N1562" s="90">
        <v>-107.8</v>
      </c>
      <c r="O1562" s="90">
        <v>757</v>
      </c>
      <c r="U1562" s="55">
        <v>5</v>
      </c>
      <c r="V1562" s="55" t="s">
        <v>1889</v>
      </c>
      <c r="Y1562" s="55" t="s">
        <v>1081</v>
      </c>
      <c r="Z1562" s="55" t="s">
        <v>1366</v>
      </c>
      <c r="AA1562" s="90" t="s">
        <v>1686</v>
      </c>
      <c r="AD1562" s="90">
        <v>1.4880000000000002</v>
      </c>
      <c r="AH1562" s="55" t="s">
        <v>139</v>
      </c>
      <c r="AM1562" s="55" t="s">
        <v>1323</v>
      </c>
      <c r="AN1562" s="185" t="s">
        <v>553</v>
      </c>
      <c r="AO1562" s="185" t="s">
        <v>5150</v>
      </c>
      <c r="AQ1562" s="55" t="s">
        <v>553</v>
      </c>
      <c r="AR1562" s="55" t="s">
        <v>1500</v>
      </c>
      <c r="AS1562" s="55" t="s">
        <v>116</v>
      </c>
      <c r="AT1562" s="181" t="s">
        <v>1065</v>
      </c>
      <c r="AU1562" s="181" t="s">
        <v>5150</v>
      </c>
      <c r="AV1562" s="185" t="s">
        <v>176</v>
      </c>
      <c r="AW1562" s="55" t="s">
        <v>1065</v>
      </c>
      <c r="AX1562" s="185" t="s">
        <v>176</v>
      </c>
      <c r="AY1562" s="55" t="s">
        <v>176</v>
      </c>
      <c r="BE1562" s="226" t="s">
        <v>1079</v>
      </c>
      <c r="BF1562" s="191" t="s">
        <v>479</v>
      </c>
      <c r="BG1562" s="55" t="s">
        <v>479</v>
      </c>
      <c r="BH1562" s="226" t="s">
        <v>1080</v>
      </c>
      <c r="BI1562" s="55" t="s">
        <v>479</v>
      </c>
      <c r="BJ1562" s="55" t="s">
        <v>479</v>
      </c>
      <c r="BK1562" s="55" t="s">
        <v>5976</v>
      </c>
      <c r="BM1562" s="192" t="s">
        <v>1078</v>
      </c>
      <c r="BN1562" s="55">
        <v>3</v>
      </c>
      <c r="BO1562" s="55">
        <v>3</v>
      </c>
      <c r="BQ1562" s="55" t="s">
        <v>141</v>
      </c>
      <c r="BV1562" s="55" t="s">
        <v>1089</v>
      </c>
      <c r="BW1562" s="65">
        <v>2475</v>
      </c>
      <c r="BX1562" s="65">
        <v>2985</v>
      </c>
      <c r="CA1562" s="65" t="s">
        <v>1083</v>
      </c>
      <c r="CB1562" s="66">
        <v>1521</v>
      </c>
      <c r="CC1562" s="66">
        <v>1616</v>
      </c>
      <c r="CG1562" s="65" t="s">
        <v>1086</v>
      </c>
      <c r="GD1562" s="65">
        <v>217</v>
      </c>
      <c r="GE1562" s="65">
        <v>183</v>
      </c>
      <c r="GH1562" s="65" t="s">
        <v>1088</v>
      </c>
      <c r="GI1562" s="65">
        <v>134</v>
      </c>
      <c r="GJ1562" s="65">
        <v>100</v>
      </c>
      <c r="GM1562" s="65" t="s">
        <v>1087</v>
      </c>
      <c r="GP1562" s="292" t="s">
        <v>7494</v>
      </c>
      <c r="JU1562" s="55" t="s">
        <v>1086</v>
      </c>
      <c r="JW1562" s="55" t="s">
        <v>1073</v>
      </c>
    </row>
    <row r="1563" spans="1:283" x14ac:dyDescent="0.25">
      <c r="A1563" s="55">
        <v>1562</v>
      </c>
      <c r="B1563" s="12" t="s">
        <v>7067</v>
      </c>
      <c r="C1563" s="155">
        <v>73</v>
      </c>
      <c r="D1563" s="55" t="s">
        <v>4000</v>
      </c>
      <c r="E1563" s="90" t="s">
        <v>1074</v>
      </c>
      <c r="G1563" s="55" t="s">
        <v>1075</v>
      </c>
      <c r="H1563" s="55">
        <v>2003</v>
      </c>
      <c r="I1563" s="55">
        <v>1993</v>
      </c>
      <c r="J1563" s="55" t="s">
        <v>1076</v>
      </c>
      <c r="K1563" s="55" t="s">
        <v>1104</v>
      </c>
      <c r="L1563" s="55" t="s">
        <v>2738</v>
      </c>
      <c r="M1563" s="90">
        <v>50.29</v>
      </c>
      <c r="N1563" s="90">
        <v>-107.8</v>
      </c>
      <c r="O1563" s="90">
        <v>757</v>
      </c>
      <c r="U1563" s="55">
        <v>6</v>
      </c>
      <c r="V1563" s="55" t="s">
        <v>1889</v>
      </c>
      <c r="Y1563" s="55" t="s">
        <v>1081</v>
      </c>
      <c r="Z1563" s="55" t="s">
        <v>1366</v>
      </c>
      <c r="AA1563" s="90" t="s">
        <v>1686</v>
      </c>
      <c r="AD1563" s="90">
        <v>1.4880000000000002</v>
      </c>
      <c r="AH1563" s="55" t="s">
        <v>139</v>
      </c>
      <c r="AM1563" s="55" t="s">
        <v>1323</v>
      </c>
      <c r="AN1563" s="185" t="s">
        <v>553</v>
      </c>
      <c r="AO1563" s="185" t="s">
        <v>5150</v>
      </c>
      <c r="AQ1563" s="55" t="s">
        <v>553</v>
      </c>
      <c r="AR1563" s="55" t="s">
        <v>1500</v>
      </c>
      <c r="AS1563" s="55" t="s">
        <v>116</v>
      </c>
      <c r="AT1563" s="181" t="s">
        <v>1065</v>
      </c>
      <c r="AU1563" s="181" t="s">
        <v>5150</v>
      </c>
      <c r="AV1563" s="185" t="s">
        <v>176</v>
      </c>
      <c r="AW1563" s="55" t="s">
        <v>1065</v>
      </c>
      <c r="AX1563" s="185" t="s">
        <v>176</v>
      </c>
      <c r="AY1563" s="55" t="s">
        <v>176</v>
      </c>
      <c r="BE1563" s="226" t="s">
        <v>1079</v>
      </c>
      <c r="BF1563" s="191" t="s">
        <v>479</v>
      </c>
      <c r="BG1563" s="55" t="s">
        <v>479</v>
      </c>
      <c r="BH1563" s="226" t="s">
        <v>1080</v>
      </c>
      <c r="BI1563" s="55" t="s">
        <v>479</v>
      </c>
      <c r="BJ1563" s="55" t="s">
        <v>479</v>
      </c>
      <c r="BK1563" s="55" t="s">
        <v>5976</v>
      </c>
      <c r="BM1563" s="192" t="s">
        <v>1078</v>
      </c>
      <c r="BN1563" s="55">
        <v>3</v>
      </c>
      <c r="BO1563" s="55">
        <v>3</v>
      </c>
      <c r="BQ1563" s="55" t="s">
        <v>141</v>
      </c>
      <c r="BV1563" s="55" t="s">
        <v>1089</v>
      </c>
      <c r="BW1563" s="65">
        <v>3183</v>
      </c>
      <c r="BX1563" s="65">
        <v>3049</v>
      </c>
      <c r="CA1563" s="65" t="s">
        <v>1083</v>
      </c>
      <c r="CB1563" s="66">
        <v>2232</v>
      </c>
      <c r="CC1563" s="66">
        <v>2030</v>
      </c>
      <c r="CG1563" s="65" t="s">
        <v>1086</v>
      </c>
      <c r="GD1563" s="65">
        <v>214</v>
      </c>
      <c r="GE1563" s="65">
        <v>221</v>
      </c>
      <c r="GH1563" s="65" t="s">
        <v>1088</v>
      </c>
      <c r="GI1563" s="65">
        <v>131</v>
      </c>
      <c r="GJ1563" s="65">
        <v>138</v>
      </c>
      <c r="GM1563" s="65" t="s">
        <v>1087</v>
      </c>
      <c r="GP1563" s="292" t="s">
        <v>7494</v>
      </c>
      <c r="JU1563" s="55" t="s">
        <v>1086</v>
      </c>
      <c r="JW1563" s="55" t="s">
        <v>1073</v>
      </c>
    </row>
    <row r="1564" spans="1:283" x14ac:dyDescent="0.25">
      <c r="A1564" s="55">
        <v>1563</v>
      </c>
      <c r="B1564" s="12" t="s">
        <v>7067</v>
      </c>
      <c r="C1564" s="155">
        <v>73</v>
      </c>
      <c r="D1564" s="55" t="s">
        <v>4000</v>
      </c>
      <c r="E1564" s="90" t="s">
        <v>1074</v>
      </c>
      <c r="G1564" s="55" t="s">
        <v>1075</v>
      </c>
      <c r="H1564" s="55">
        <v>2003</v>
      </c>
      <c r="I1564" s="55">
        <v>1994</v>
      </c>
      <c r="J1564" s="55" t="s">
        <v>1076</v>
      </c>
      <c r="K1564" s="55" t="s">
        <v>1104</v>
      </c>
      <c r="L1564" s="55" t="s">
        <v>2738</v>
      </c>
      <c r="M1564" s="90">
        <v>50.29</v>
      </c>
      <c r="N1564" s="90">
        <v>-107.8</v>
      </c>
      <c r="O1564" s="90">
        <v>757</v>
      </c>
      <c r="U1564" s="55">
        <v>7</v>
      </c>
      <c r="V1564" s="55" t="s">
        <v>1889</v>
      </c>
      <c r="Y1564" s="55" t="s">
        <v>1081</v>
      </c>
      <c r="Z1564" s="55" t="s">
        <v>1366</v>
      </c>
      <c r="AA1564" s="90" t="s">
        <v>1686</v>
      </c>
      <c r="AD1564" s="90">
        <v>1.4880000000000002</v>
      </c>
      <c r="AH1564" s="55" t="s">
        <v>139</v>
      </c>
      <c r="AM1564" s="55" t="s">
        <v>1323</v>
      </c>
      <c r="AN1564" s="185" t="s">
        <v>553</v>
      </c>
      <c r="AO1564" s="185" t="s">
        <v>5150</v>
      </c>
      <c r="AQ1564" s="55" t="s">
        <v>553</v>
      </c>
      <c r="AR1564" s="55" t="s">
        <v>1500</v>
      </c>
      <c r="AS1564" s="55" t="s">
        <v>116</v>
      </c>
      <c r="AT1564" s="181" t="s">
        <v>1065</v>
      </c>
      <c r="AU1564" s="181" t="s">
        <v>5150</v>
      </c>
      <c r="AV1564" s="185" t="s">
        <v>176</v>
      </c>
      <c r="AW1564" s="55" t="s">
        <v>1065</v>
      </c>
      <c r="AX1564" s="185" t="s">
        <v>176</v>
      </c>
      <c r="AY1564" s="55" t="s">
        <v>176</v>
      </c>
      <c r="BE1564" s="226" t="s">
        <v>1079</v>
      </c>
      <c r="BF1564" s="191" t="s">
        <v>479</v>
      </c>
      <c r="BG1564" s="55" t="s">
        <v>479</v>
      </c>
      <c r="BH1564" s="226" t="s">
        <v>1080</v>
      </c>
      <c r="BI1564" s="55" t="s">
        <v>479</v>
      </c>
      <c r="BJ1564" s="55" t="s">
        <v>479</v>
      </c>
      <c r="BK1564" s="55" t="s">
        <v>5976</v>
      </c>
      <c r="BM1564" s="192" t="s">
        <v>1078</v>
      </c>
      <c r="BN1564" s="55">
        <v>3</v>
      </c>
      <c r="BO1564" s="55">
        <v>3</v>
      </c>
      <c r="BQ1564" s="55" t="s">
        <v>141</v>
      </c>
      <c r="BV1564" s="55" t="s">
        <v>1089</v>
      </c>
      <c r="BW1564" s="65">
        <v>2961</v>
      </c>
      <c r="BX1564" s="65">
        <v>4238</v>
      </c>
      <c r="CA1564" s="65" t="s">
        <v>1083</v>
      </c>
      <c r="CB1564" s="66">
        <v>1546</v>
      </c>
      <c r="CC1564" s="66">
        <v>2112</v>
      </c>
      <c r="CG1564" s="65" t="s">
        <v>1086</v>
      </c>
      <c r="GD1564" s="65">
        <v>293</v>
      </c>
      <c r="GE1564" s="65">
        <v>282</v>
      </c>
      <c r="GH1564" s="65" t="s">
        <v>1088</v>
      </c>
      <c r="GI1564" s="65">
        <v>210</v>
      </c>
      <c r="GJ1564" s="65">
        <v>199</v>
      </c>
      <c r="GM1564" s="65" t="s">
        <v>1087</v>
      </c>
      <c r="GP1564" s="292" t="s">
        <v>7494</v>
      </c>
      <c r="JU1564" s="55" t="s">
        <v>1086</v>
      </c>
      <c r="JW1564" s="55" t="s">
        <v>1073</v>
      </c>
    </row>
    <row r="1565" spans="1:283" x14ac:dyDescent="0.25">
      <c r="A1565" s="55">
        <v>1564</v>
      </c>
      <c r="B1565" s="12" t="s">
        <v>7067</v>
      </c>
      <c r="C1565" s="155">
        <v>73</v>
      </c>
      <c r="D1565" s="55" t="s">
        <v>4000</v>
      </c>
      <c r="E1565" s="90" t="s">
        <v>1074</v>
      </c>
      <c r="G1565" s="55" t="s">
        <v>1075</v>
      </c>
      <c r="H1565" s="55">
        <v>2003</v>
      </c>
      <c r="I1565" s="55">
        <v>1995</v>
      </c>
      <c r="J1565" s="55" t="s">
        <v>1076</v>
      </c>
      <c r="K1565" s="55" t="s">
        <v>1104</v>
      </c>
      <c r="L1565" s="55" t="s">
        <v>2738</v>
      </c>
      <c r="M1565" s="90">
        <v>50.29</v>
      </c>
      <c r="N1565" s="90">
        <v>-107.8</v>
      </c>
      <c r="O1565" s="90">
        <v>757</v>
      </c>
      <c r="U1565" s="55">
        <v>8</v>
      </c>
      <c r="V1565" s="55" t="s">
        <v>1889</v>
      </c>
      <c r="Y1565" s="55" t="s">
        <v>1081</v>
      </c>
      <c r="Z1565" s="55" t="s">
        <v>1366</v>
      </c>
      <c r="AA1565" s="90" t="s">
        <v>1686</v>
      </c>
      <c r="AD1565" s="90">
        <v>1.4880000000000002</v>
      </c>
      <c r="AH1565" s="55" t="s">
        <v>139</v>
      </c>
      <c r="AM1565" s="55" t="s">
        <v>1323</v>
      </c>
      <c r="AN1565" s="185" t="s">
        <v>553</v>
      </c>
      <c r="AO1565" s="185" t="s">
        <v>5150</v>
      </c>
      <c r="AQ1565" s="55" t="s">
        <v>553</v>
      </c>
      <c r="AR1565" s="55" t="s">
        <v>1500</v>
      </c>
      <c r="AS1565" s="55" t="s">
        <v>116</v>
      </c>
      <c r="AT1565" s="181" t="s">
        <v>1065</v>
      </c>
      <c r="AU1565" s="181" t="s">
        <v>5150</v>
      </c>
      <c r="AV1565" s="185" t="s">
        <v>176</v>
      </c>
      <c r="AW1565" s="55" t="s">
        <v>1065</v>
      </c>
      <c r="AX1565" s="185" t="s">
        <v>176</v>
      </c>
      <c r="AY1565" s="55" t="s">
        <v>176</v>
      </c>
      <c r="BE1565" s="226" t="s">
        <v>1079</v>
      </c>
      <c r="BF1565" s="191" t="s">
        <v>479</v>
      </c>
      <c r="BG1565" s="55" t="s">
        <v>479</v>
      </c>
      <c r="BH1565" s="226" t="s">
        <v>1080</v>
      </c>
      <c r="BI1565" s="55" t="s">
        <v>479</v>
      </c>
      <c r="BJ1565" s="55" t="s">
        <v>479</v>
      </c>
      <c r="BK1565" s="55" t="s">
        <v>5976</v>
      </c>
      <c r="BM1565" s="192" t="s">
        <v>1078</v>
      </c>
      <c r="BN1565" s="55">
        <v>3</v>
      </c>
      <c r="BO1565" s="55">
        <v>3</v>
      </c>
      <c r="BQ1565" s="55" t="s">
        <v>141</v>
      </c>
      <c r="BV1565" s="55" t="s">
        <v>1089</v>
      </c>
      <c r="BW1565" s="65">
        <v>4791</v>
      </c>
      <c r="BX1565" s="65">
        <v>4694</v>
      </c>
      <c r="CA1565" s="65" t="s">
        <v>1083</v>
      </c>
      <c r="CB1565" s="66">
        <v>2703</v>
      </c>
      <c r="CC1565" s="66">
        <v>2673</v>
      </c>
      <c r="CG1565" s="65" t="s">
        <v>1086</v>
      </c>
      <c r="GD1565" s="65">
        <v>256</v>
      </c>
      <c r="GE1565" s="65">
        <v>282</v>
      </c>
      <c r="GH1565" s="65" t="s">
        <v>1088</v>
      </c>
      <c r="GI1565" s="65">
        <v>173</v>
      </c>
      <c r="GJ1565" s="65">
        <v>199</v>
      </c>
      <c r="GM1565" s="65" t="s">
        <v>1087</v>
      </c>
      <c r="GP1565" s="292" t="s">
        <v>7494</v>
      </c>
      <c r="JU1565" s="55" t="s">
        <v>1086</v>
      </c>
      <c r="JW1565" s="55" t="s">
        <v>1073</v>
      </c>
    </row>
    <row r="1566" spans="1:283" x14ac:dyDescent="0.25">
      <c r="A1566" s="55">
        <v>1565</v>
      </c>
      <c r="B1566" s="12" t="s">
        <v>7067</v>
      </c>
      <c r="C1566" s="155">
        <v>73</v>
      </c>
      <c r="D1566" s="55" t="s">
        <v>4000</v>
      </c>
      <c r="E1566" s="90" t="s">
        <v>1074</v>
      </c>
      <c r="G1566" s="55" t="s">
        <v>1075</v>
      </c>
      <c r="H1566" s="55">
        <v>2003</v>
      </c>
      <c r="I1566" s="55">
        <v>1996</v>
      </c>
      <c r="J1566" s="55" t="s">
        <v>1076</v>
      </c>
      <c r="K1566" s="55" t="s">
        <v>1104</v>
      </c>
      <c r="L1566" s="55" t="s">
        <v>2738</v>
      </c>
      <c r="M1566" s="90">
        <v>50.29</v>
      </c>
      <c r="N1566" s="90">
        <v>-107.8</v>
      </c>
      <c r="O1566" s="90">
        <v>757</v>
      </c>
      <c r="U1566" s="55">
        <v>9</v>
      </c>
      <c r="V1566" s="55" t="s">
        <v>1889</v>
      </c>
      <c r="Y1566" s="55" t="s">
        <v>1081</v>
      </c>
      <c r="Z1566" s="55" t="s">
        <v>1366</v>
      </c>
      <c r="AA1566" s="90" t="s">
        <v>1686</v>
      </c>
      <c r="AD1566" s="90">
        <v>1.4880000000000002</v>
      </c>
      <c r="AH1566" s="55" t="s">
        <v>139</v>
      </c>
      <c r="AM1566" s="55" t="s">
        <v>1323</v>
      </c>
      <c r="AN1566" s="185" t="s">
        <v>553</v>
      </c>
      <c r="AO1566" s="185" t="s">
        <v>5150</v>
      </c>
      <c r="AQ1566" s="55" t="s">
        <v>553</v>
      </c>
      <c r="AR1566" s="55" t="s">
        <v>1500</v>
      </c>
      <c r="AS1566" s="55" t="s">
        <v>116</v>
      </c>
      <c r="AT1566" s="181" t="s">
        <v>1065</v>
      </c>
      <c r="AU1566" s="181" t="s">
        <v>5150</v>
      </c>
      <c r="AV1566" s="185" t="s">
        <v>176</v>
      </c>
      <c r="AW1566" s="55" t="s">
        <v>1065</v>
      </c>
      <c r="AX1566" s="185" t="s">
        <v>176</v>
      </c>
      <c r="AY1566" s="55" t="s">
        <v>176</v>
      </c>
      <c r="BE1566" s="226" t="s">
        <v>1079</v>
      </c>
      <c r="BF1566" s="191" t="s">
        <v>479</v>
      </c>
      <c r="BG1566" s="55" t="s">
        <v>479</v>
      </c>
      <c r="BH1566" s="226" t="s">
        <v>1080</v>
      </c>
      <c r="BI1566" s="55" t="s">
        <v>479</v>
      </c>
      <c r="BJ1566" s="55" t="s">
        <v>479</v>
      </c>
      <c r="BK1566" s="55" t="s">
        <v>5976</v>
      </c>
      <c r="BM1566" s="192" t="s">
        <v>1078</v>
      </c>
      <c r="BN1566" s="55">
        <v>3</v>
      </c>
      <c r="BO1566" s="55">
        <v>3</v>
      </c>
      <c r="BQ1566" s="55" t="s">
        <v>141</v>
      </c>
      <c r="BV1566" s="55" t="s">
        <v>1089</v>
      </c>
      <c r="BW1566" s="65">
        <v>4196</v>
      </c>
      <c r="BX1566" s="65">
        <v>4044</v>
      </c>
      <c r="CA1566" s="65" t="s">
        <v>1083</v>
      </c>
      <c r="CB1566" s="66">
        <v>2566</v>
      </c>
      <c r="CC1566" s="66">
        <v>2488</v>
      </c>
      <c r="CG1566" s="65" t="s">
        <v>1086</v>
      </c>
      <c r="GD1566" s="65">
        <v>279</v>
      </c>
      <c r="GE1566" s="65">
        <v>282</v>
      </c>
      <c r="GH1566" s="65" t="s">
        <v>1088</v>
      </c>
      <c r="GI1566" s="65">
        <v>196</v>
      </c>
      <c r="GJ1566" s="65">
        <v>199</v>
      </c>
      <c r="GM1566" s="65" t="s">
        <v>1087</v>
      </c>
      <c r="GP1566" s="292" t="s">
        <v>7494</v>
      </c>
      <c r="JU1566" s="55" t="s">
        <v>1086</v>
      </c>
      <c r="JW1566" s="55" t="s">
        <v>1073</v>
      </c>
    </row>
    <row r="1567" spans="1:283" x14ac:dyDescent="0.25">
      <c r="A1567" s="55">
        <v>1566</v>
      </c>
      <c r="B1567" s="12" t="s">
        <v>7067</v>
      </c>
      <c r="C1567" s="155">
        <v>73</v>
      </c>
      <c r="D1567" s="55" t="s">
        <v>4000</v>
      </c>
      <c r="E1567" s="90" t="s">
        <v>1074</v>
      </c>
      <c r="G1567" s="55" t="s">
        <v>1075</v>
      </c>
      <c r="H1567" s="55">
        <v>2003</v>
      </c>
      <c r="I1567" s="55">
        <v>1997</v>
      </c>
      <c r="J1567" s="55" t="s">
        <v>1076</v>
      </c>
      <c r="K1567" s="55" t="s">
        <v>1104</v>
      </c>
      <c r="L1567" s="55" t="s">
        <v>2738</v>
      </c>
      <c r="M1567" s="90">
        <v>50.29</v>
      </c>
      <c r="N1567" s="90">
        <v>-107.8</v>
      </c>
      <c r="O1567" s="90">
        <v>757</v>
      </c>
      <c r="U1567" s="55">
        <v>10</v>
      </c>
      <c r="V1567" s="55" t="s">
        <v>1889</v>
      </c>
      <c r="Y1567" s="55" t="s">
        <v>1081</v>
      </c>
      <c r="Z1567" s="55" t="s">
        <v>1366</v>
      </c>
      <c r="AA1567" s="90" t="s">
        <v>1686</v>
      </c>
      <c r="AD1567" s="90">
        <v>1.4880000000000002</v>
      </c>
      <c r="AH1567" s="55" t="s">
        <v>139</v>
      </c>
      <c r="AM1567" s="55" t="s">
        <v>1323</v>
      </c>
      <c r="AN1567" s="185" t="s">
        <v>553</v>
      </c>
      <c r="AO1567" s="185" t="s">
        <v>5150</v>
      </c>
      <c r="AQ1567" s="55" t="s">
        <v>553</v>
      </c>
      <c r="AR1567" s="55" t="s">
        <v>1500</v>
      </c>
      <c r="AS1567" s="55" t="s">
        <v>116</v>
      </c>
      <c r="AT1567" s="181" t="s">
        <v>1065</v>
      </c>
      <c r="AU1567" s="181" t="s">
        <v>5150</v>
      </c>
      <c r="AV1567" s="185" t="s">
        <v>176</v>
      </c>
      <c r="AW1567" s="55" t="s">
        <v>1065</v>
      </c>
      <c r="AX1567" s="185" t="s">
        <v>176</v>
      </c>
      <c r="AY1567" s="55" t="s">
        <v>176</v>
      </c>
      <c r="BE1567" s="226" t="s">
        <v>1079</v>
      </c>
      <c r="BF1567" s="191" t="s">
        <v>479</v>
      </c>
      <c r="BG1567" s="55" t="s">
        <v>479</v>
      </c>
      <c r="BH1567" s="226" t="s">
        <v>1080</v>
      </c>
      <c r="BI1567" s="55" t="s">
        <v>479</v>
      </c>
      <c r="BJ1567" s="55" t="s">
        <v>479</v>
      </c>
      <c r="BK1567" s="55" t="s">
        <v>5976</v>
      </c>
      <c r="BM1567" s="192" t="s">
        <v>1078</v>
      </c>
      <c r="BN1567" s="55">
        <v>3</v>
      </c>
      <c r="BO1567" s="55">
        <v>3</v>
      </c>
      <c r="BQ1567" s="55" t="s">
        <v>141</v>
      </c>
      <c r="BV1567" s="55" t="s">
        <v>1089</v>
      </c>
      <c r="BW1567" s="65">
        <v>3869</v>
      </c>
      <c r="BX1567" s="65">
        <v>4507</v>
      </c>
      <c r="CA1567" s="65" t="s">
        <v>1083</v>
      </c>
      <c r="CB1567" s="66">
        <v>2647</v>
      </c>
      <c r="CC1567" s="66">
        <v>3075</v>
      </c>
      <c r="CG1567" s="65" t="s">
        <v>1086</v>
      </c>
      <c r="GD1567" s="65">
        <v>285</v>
      </c>
      <c r="GE1567" s="65">
        <v>288</v>
      </c>
      <c r="GH1567" s="65" t="s">
        <v>1088</v>
      </c>
      <c r="GI1567" s="65">
        <v>202</v>
      </c>
      <c r="GJ1567" s="65">
        <v>205</v>
      </c>
      <c r="GM1567" s="65" t="s">
        <v>1087</v>
      </c>
      <c r="GP1567" s="292" t="s">
        <v>7494</v>
      </c>
      <c r="JU1567" s="55" t="s">
        <v>1086</v>
      </c>
      <c r="JW1567" s="55" t="s">
        <v>1073</v>
      </c>
    </row>
    <row r="1568" spans="1:283" x14ac:dyDescent="0.25">
      <c r="A1568" s="55">
        <v>1567</v>
      </c>
      <c r="B1568" s="12" t="s">
        <v>7067</v>
      </c>
      <c r="C1568" s="155">
        <v>73</v>
      </c>
      <c r="D1568" s="55" t="s">
        <v>4000</v>
      </c>
      <c r="E1568" s="90" t="s">
        <v>1074</v>
      </c>
      <c r="G1568" s="55" t="s">
        <v>1075</v>
      </c>
      <c r="H1568" s="55">
        <v>2003</v>
      </c>
      <c r="I1568" s="55">
        <v>1998</v>
      </c>
      <c r="J1568" s="55" t="s">
        <v>1076</v>
      </c>
      <c r="K1568" s="55" t="s">
        <v>1104</v>
      </c>
      <c r="L1568" s="55" t="s">
        <v>2738</v>
      </c>
      <c r="M1568" s="90">
        <v>50.29</v>
      </c>
      <c r="N1568" s="90">
        <v>-107.8</v>
      </c>
      <c r="O1568" s="90">
        <v>757</v>
      </c>
      <c r="U1568" s="55">
        <v>11</v>
      </c>
      <c r="V1568" s="55" t="s">
        <v>1889</v>
      </c>
      <c r="Y1568" s="55" t="s">
        <v>1081</v>
      </c>
      <c r="Z1568" s="55" t="s">
        <v>1366</v>
      </c>
      <c r="AA1568" s="90" t="s">
        <v>1686</v>
      </c>
      <c r="AD1568" s="90">
        <v>1.4880000000000002</v>
      </c>
      <c r="AH1568" s="55" t="s">
        <v>139</v>
      </c>
      <c r="AM1568" s="55" t="s">
        <v>1323</v>
      </c>
      <c r="AN1568" s="185" t="s">
        <v>553</v>
      </c>
      <c r="AO1568" s="185" t="s">
        <v>5150</v>
      </c>
      <c r="AQ1568" s="55" t="s">
        <v>553</v>
      </c>
      <c r="AR1568" s="55" t="s">
        <v>1500</v>
      </c>
      <c r="AS1568" s="55" t="s">
        <v>116</v>
      </c>
      <c r="AT1568" s="181" t="s">
        <v>1065</v>
      </c>
      <c r="AU1568" s="181" t="s">
        <v>5150</v>
      </c>
      <c r="AV1568" s="185" t="s">
        <v>176</v>
      </c>
      <c r="AW1568" s="55" t="s">
        <v>1065</v>
      </c>
      <c r="AX1568" s="185" t="s">
        <v>176</v>
      </c>
      <c r="AY1568" s="55" t="s">
        <v>176</v>
      </c>
      <c r="BE1568" s="226" t="s">
        <v>1079</v>
      </c>
      <c r="BF1568" s="191" t="s">
        <v>479</v>
      </c>
      <c r="BG1568" s="55" t="s">
        <v>479</v>
      </c>
      <c r="BH1568" s="226" t="s">
        <v>1080</v>
      </c>
      <c r="BI1568" s="55" t="s">
        <v>479</v>
      </c>
      <c r="BJ1568" s="55" t="s">
        <v>479</v>
      </c>
      <c r="BK1568" s="55" t="s">
        <v>5976</v>
      </c>
      <c r="BM1568" s="192" t="s">
        <v>1078</v>
      </c>
      <c r="BN1568" s="55">
        <v>3</v>
      </c>
      <c r="BO1568" s="55">
        <v>3</v>
      </c>
      <c r="BQ1568" s="55" t="s">
        <v>141</v>
      </c>
      <c r="BV1568" s="55" t="s">
        <v>1089</v>
      </c>
      <c r="BW1568" s="65">
        <v>2248</v>
      </c>
      <c r="BX1568" s="65">
        <v>2210</v>
      </c>
      <c r="CA1568" s="65" t="s">
        <v>1083</v>
      </c>
      <c r="CB1568" s="66">
        <v>870</v>
      </c>
      <c r="CC1568" s="66">
        <v>657</v>
      </c>
      <c r="CG1568" s="65" t="s">
        <v>1086</v>
      </c>
      <c r="GD1568" s="65">
        <v>196</v>
      </c>
      <c r="GE1568" s="65">
        <v>182</v>
      </c>
      <c r="GH1568" s="65" t="s">
        <v>1088</v>
      </c>
      <c r="GI1568" s="65">
        <v>113</v>
      </c>
      <c r="GJ1568" s="65">
        <v>99</v>
      </c>
      <c r="GM1568" s="65" t="s">
        <v>1087</v>
      </c>
      <c r="GP1568" s="292" t="s">
        <v>7494</v>
      </c>
      <c r="JU1568" s="55" t="s">
        <v>1086</v>
      </c>
      <c r="JW1568" s="55" t="s">
        <v>1073</v>
      </c>
    </row>
    <row r="1569" spans="1:283" x14ac:dyDescent="0.25">
      <c r="A1569" s="55">
        <v>1568</v>
      </c>
      <c r="B1569" s="12" t="s">
        <v>7067</v>
      </c>
      <c r="C1569" s="155">
        <v>73</v>
      </c>
      <c r="D1569" s="55" t="s">
        <v>4000</v>
      </c>
      <c r="E1569" s="90" t="s">
        <v>1074</v>
      </c>
      <c r="G1569" s="55" t="s">
        <v>1075</v>
      </c>
      <c r="H1569" s="55">
        <v>2003</v>
      </c>
      <c r="I1569" s="55">
        <v>1999</v>
      </c>
      <c r="J1569" s="55" t="s">
        <v>1076</v>
      </c>
      <c r="K1569" s="55" t="s">
        <v>1104</v>
      </c>
      <c r="L1569" s="55" t="s">
        <v>2738</v>
      </c>
      <c r="M1569" s="90">
        <v>50.29</v>
      </c>
      <c r="N1569" s="90">
        <v>-107.8</v>
      </c>
      <c r="O1569" s="90">
        <v>757</v>
      </c>
      <c r="U1569" s="55">
        <v>12</v>
      </c>
      <c r="V1569" s="55" t="s">
        <v>1889</v>
      </c>
      <c r="Y1569" s="55" t="s">
        <v>1081</v>
      </c>
      <c r="Z1569" s="55" t="s">
        <v>1366</v>
      </c>
      <c r="AA1569" s="90" t="s">
        <v>1686</v>
      </c>
      <c r="AD1569" s="90">
        <v>1.4880000000000002</v>
      </c>
      <c r="AH1569" s="55" t="s">
        <v>139</v>
      </c>
      <c r="AM1569" s="55" t="s">
        <v>1323</v>
      </c>
      <c r="AN1569" s="185" t="s">
        <v>553</v>
      </c>
      <c r="AO1569" s="185" t="s">
        <v>5150</v>
      </c>
      <c r="AQ1569" s="55" t="s">
        <v>553</v>
      </c>
      <c r="AR1569" s="55" t="s">
        <v>1500</v>
      </c>
      <c r="AS1569" s="55" t="s">
        <v>116</v>
      </c>
      <c r="AT1569" s="181" t="s">
        <v>1065</v>
      </c>
      <c r="AU1569" s="181" t="s">
        <v>5150</v>
      </c>
      <c r="AV1569" s="185" t="s">
        <v>176</v>
      </c>
      <c r="AW1569" s="55" t="s">
        <v>1065</v>
      </c>
      <c r="AX1569" s="185" t="s">
        <v>176</v>
      </c>
      <c r="AY1569" s="55" t="s">
        <v>176</v>
      </c>
      <c r="BE1569" s="226" t="s">
        <v>1079</v>
      </c>
      <c r="BF1569" s="191" t="s">
        <v>479</v>
      </c>
      <c r="BG1569" s="55" t="s">
        <v>479</v>
      </c>
      <c r="BH1569" s="226" t="s">
        <v>1080</v>
      </c>
      <c r="BI1569" s="55" t="s">
        <v>479</v>
      </c>
      <c r="BJ1569" s="55" t="s">
        <v>479</v>
      </c>
      <c r="BK1569" s="55" t="s">
        <v>5976</v>
      </c>
      <c r="BM1569" s="192" t="s">
        <v>1078</v>
      </c>
      <c r="BN1569" s="55">
        <v>3</v>
      </c>
      <c r="BO1569" s="55">
        <v>3</v>
      </c>
      <c r="BQ1569" s="55" t="s">
        <v>141</v>
      </c>
      <c r="BV1569" s="55" t="s">
        <v>1089</v>
      </c>
      <c r="BW1569" s="65">
        <v>5009</v>
      </c>
      <c r="BX1569" s="65">
        <v>5363</v>
      </c>
      <c r="CA1569" s="65" t="s">
        <v>1083</v>
      </c>
      <c r="CB1569" s="66">
        <v>3014</v>
      </c>
      <c r="CC1569" s="66">
        <v>2961</v>
      </c>
      <c r="CG1569" s="65" t="s">
        <v>1086</v>
      </c>
      <c r="GD1569" s="65">
        <v>207</v>
      </c>
      <c r="GE1569" s="65">
        <v>234</v>
      </c>
      <c r="GH1569" s="65" t="s">
        <v>1088</v>
      </c>
      <c r="GI1569" s="65">
        <v>124</v>
      </c>
      <c r="GJ1569" s="65">
        <v>151</v>
      </c>
      <c r="GM1569" s="65" t="s">
        <v>1087</v>
      </c>
      <c r="GP1569" s="292" t="s">
        <v>7494</v>
      </c>
      <c r="JU1569" s="55" t="s">
        <v>1086</v>
      </c>
      <c r="JW1569" s="55" t="s">
        <v>1073</v>
      </c>
    </row>
    <row r="1570" spans="1:283" x14ac:dyDescent="0.25">
      <c r="A1570" s="55">
        <v>1569</v>
      </c>
      <c r="B1570" s="12" t="s">
        <v>7067</v>
      </c>
      <c r="C1570" s="155">
        <v>73</v>
      </c>
      <c r="D1570" s="55" t="s">
        <v>4001</v>
      </c>
      <c r="E1570" s="90" t="s">
        <v>1074</v>
      </c>
      <c r="G1570" s="55" t="s">
        <v>1075</v>
      </c>
      <c r="H1570" s="55">
        <v>2003</v>
      </c>
      <c r="I1570" s="55">
        <v>1988</v>
      </c>
      <c r="J1570" s="55" t="s">
        <v>1076</v>
      </c>
      <c r="K1570" s="55" t="s">
        <v>1104</v>
      </c>
      <c r="L1570" s="55" t="s">
        <v>2738</v>
      </c>
      <c r="M1570" s="90">
        <v>50.29</v>
      </c>
      <c r="N1570" s="90">
        <v>-107.8</v>
      </c>
      <c r="O1570" s="90">
        <v>757</v>
      </c>
      <c r="U1570" s="55">
        <v>1</v>
      </c>
      <c r="V1570" s="55" t="s">
        <v>1889</v>
      </c>
      <c r="Y1570" s="55" t="s">
        <v>1081</v>
      </c>
      <c r="Z1570" s="55" t="s">
        <v>1356</v>
      </c>
      <c r="AA1570" s="90" t="s">
        <v>1680</v>
      </c>
      <c r="AD1570" s="90">
        <v>1.365</v>
      </c>
      <c r="AH1570" s="55" t="s">
        <v>139</v>
      </c>
      <c r="AM1570" s="55" t="s">
        <v>1323</v>
      </c>
      <c r="AN1570" s="185" t="s">
        <v>553</v>
      </c>
      <c r="AO1570" s="185" t="s">
        <v>5150</v>
      </c>
      <c r="AQ1570" s="55" t="s">
        <v>553</v>
      </c>
      <c r="AR1570" s="55" t="s">
        <v>1500</v>
      </c>
      <c r="AS1570" s="55" t="s">
        <v>116</v>
      </c>
      <c r="AT1570" s="181" t="s">
        <v>1065</v>
      </c>
      <c r="AU1570" s="181" t="s">
        <v>5150</v>
      </c>
      <c r="AV1570" s="185" t="s">
        <v>176</v>
      </c>
      <c r="AW1570" s="55" t="s">
        <v>1065</v>
      </c>
      <c r="AX1570" s="185" t="s">
        <v>176</v>
      </c>
      <c r="AY1570" s="55" t="s">
        <v>176</v>
      </c>
      <c r="BE1570" s="226" t="s">
        <v>1079</v>
      </c>
      <c r="BF1570" s="191" t="s">
        <v>479</v>
      </c>
      <c r="BG1570" s="55" t="s">
        <v>479</v>
      </c>
      <c r="BH1570" s="226" t="s">
        <v>1080</v>
      </c>
      <c r="BI1570" s="55" t="s">
        <v>479</v>
      </c>
      <c r="BJ1570" s="55" t="s">
        <v>479</v>
      </c>
      <c r="BK1570" s="55" t="s">
        <v>5976</v>
      </c>
      <c r="BM1570" s="192" t="s">
        <v>1078</v>
      </c>
      <c r="BN1570" s="55">
        <v>3</v>
      </c>
      <c r="BO1570" s="55">
        <v>3</v>
      </c>
      <c r="BQ1570" s="55" t="s">
        <v>141</v>
      </c>
      <c r="BV1570" s="55" t="s">
        <v>1082</v>
      </c>
      <c r="DB1570" s="65">
        <f>73*(1000000/(100*100*0.3*1.365*1000))</f>
        <v>17.826617826617827</v>
      </c>
      <c r="DC1570" s="65">
        <f>33.5*(1000000/(100*100*0.3*1.365*1000))</f>
        <v>8.1807081807081801</v>
      </c>
      <c r="DF1570" s="65" t="s">
        <v>1635</v>
      </c>
      <c r="GP1570" s="292" t="s">
        <v>7494</v>
      </c>
      <c r="JU1570" s="55" t="s">
        <v>1086</v>
      </c>
      <c r="JW1570" s="55" t="s">
        <v>1073</v>
      </c>
    </row>
    <row r="1571" spans="1:283" x14ac:dyDescent="0.25">
      <c r="A1571" s="55">
        <v>1570</v>
      </c>
      <c r="B1571" s="12" t="s">
        <v>7067</v>
      </c>
      <c r="C1571" s="155">
        <v>73</v>
      </c>
      <c r="D1571" s="55" t="s">
        <v>4001</v>
      </c>
      <c r="E1571" s="90" t="s">
        <v>1074</v>
      </c>
      <c r="G1571" s="55" t="s">
        <v>1075</v>
      </c>
      <c r="H1571" s="55">
        <v>2003</v>
      </c>
      <c r="I1571" s="55">
        <v>1989</v>
      </c>
      <c r="J1571" s="55" t="s">
        <v>1076</v>
      </c>
      <c r="K1571" s="55" t="s">
        <v>1104</v>
      </c>
      <c r="L1571" s="55" t="s">
        <v>2738</v>
      </c>
      <c r="M1571" s="90">
        <v>50.29</v>
      </c>
      <c r="N1571" s="90">
        <v>-107.8</v>
      </c>
      <c r="O1571" s="90">
        <v>757</v>
      </c>
      <c r="U1571" s="55">
        <v>2</v>
      </c>
      <c r="V1571" s="55" t="s">
        <v>1889</v>
      </c>
      <c r="Y1571" s="55" t="s">
        <v>1081</v>
      </c>
      <c r="Z1571" s="55" t="s">
        <v>1356</v>
      </c>
      <c r="AA1571" s="90" t="s">
        <v>1680</v>
      </c>
      <c r="AD1571" s="90">
        <v>1.365</v>
      </c>
      <c r="AH1571" s="55" t="s">
        <v>139</v>
      </c>
      <c r="AM1571" s="55" t="s">
        <v>1323</v>
      </c>
      <c r="AN1571" s="185" t="s">
        <v>553</v>
      </c>
      <c r="AO1571" s="185" t="s">
        <v>5150</v>
      </c>
      <c r="AQ1571" s="55" t="s">
        <v>553</v>
      </c>
      <c r="AR1571" s="55" t="s">
        <v>1500</v>
      </c>
      <c r="AS1571" s="55" t="s">
        <v>116</v>
      </c>
      <c r="AT1571" s="181" t="s">
        <v>1065</v>
      </c>
      <c r="AU1571" s="181" t="s">
        <v>5150</v>
      </c>
      <c r="AV1571" s="185" t="s">
        <v>176</v>
      </c>
      <c r="AW1571" s="55" t="s">
        <v>1065</v>
      </c>
      <c r="AX1571" s="185" t="s">
        <v>176</v>
      </c>
      <c r="AY1571" s="55" t="s">
        <v>176</v>
      </c>
      <c r="BE1571" s="226" t="s">
        <v>1079</v>
      </c>
      <c r="BF1571" s="191" t="s">
        <v>479</v>
      </c>
      <c r="BG1571" s="55" t="s">
        <v>479</v>
      </c>
      <c r="BH1571" s="226" t="s">
        <v>1080</v>
      </c>
      <c r="BI1571" s="55" t="s">
        <v>479</v>
      </c>
      <c r="BJ1571" s="55" t="s">
        <v>479</v>
      </c>
      <c r="BK1571" s="55" t="s">
        <v>5976</v>
      </c>
      <c r="BM1571" s="192" t="s">
        <v>1078</v>
      </c>
      <c r="BN1571" s="55">
        <v>3</v>
      </c>
      <c r="BO1571" s="55">
        <v>3</v>
      </c>
      <c r="BQ1571" s="55" t="s">
        <v>141</v>
      </c>
      <c r="BV1571" s="55" t="s">
        <v>1082</v>
      </c>
      <c r="DB1571" s="65">
        <f>52.2*(1000000/(100*100*0.3*1.365*1000))</f>
        <v>12.747252747252748</v>
      </c>
      <c r="DC1571" s="65">
        <f>29.1*(1000000/(100*100*0.3*1.365*1000))</f>
        <v>7.1062271062271067</v>
      </c>
      <c r="DF1571" s="65" t="s">
        <v>1635</v>
      </c>
      <c r="GP1571" s="292" t="s">
        <v>7494</v>
      </c>
      <c r="JU1571" s="55" t="s">
        <v>1086</v>
      </c>
      <c r="JW1571" s="55" t="s">
        <v>1073</v>
      </c>
    </row>
    <row r="1572" spans="1:283" x14ac:dyDescent="0.25">
      <c r="A1572" s="55">
        <v>1571</v>
      </c>
      <c r="B1572" s="12" t="s">
        <v>7067</v>
      </c>
      <c r="C1572" s="155">
        <v>73</v>
      </c>
      <c r="D1572" s="55" t="s">
        <v>4001</v>
      </c>
      <c r="E1572" s="90" t="s">
        <v>1074</v>
      </c>
      <c r="G1572" s="55" t="s">
        <v>1075</v>
      </c>
      <c r="H1572" s="55">
        <v>2003</v>
      </c>
      <c r="I1572" s="55">
        <v>1990</v>
      </c>
      <c r="J1572" s="55" t="s">
        <v>1076</v>
      </c>
      <c r="K1572" s="55" t="s">
        <v>1104</v>
      </c>
      <c r="L1572" s="55" t="s">
        <v>2738</v>
      </c>
      <c r="M1572" s="90">
        <v>50.29</v>
      </c>
      <c r="N1572" s="90">
        <v>-107.8</v>
      </c>
      <c r="O1572" s="90">
        <v>757</v>
      </c>
      <c r="U1572" s="55">
        <v>3</v>
      </c>
      <c r="V1572" s="55" t="s">
        <v>1889</v>
      </c>
      <c r="Y1572" s="55" t="s">
        <v>1081</v>
      </c>
      <c r="Z1572" s="55" t="s">
        <v>1356</v>
      </c>
      <c r="AA1572" s="90" t="s">
        <v>1680</v>
      </c>
      <c r="AD1572" s="90">
        <v>1.365</v>
      </c>
      <c r="AH1572" s="55" t="s">
        <v>139</v>
      </c>
      <c r="AM1572" s="55" t="s">
        <v>1323</v>
      </c>
      <c r="AN1572" s="185" t="s">
        <v>553</v>
      </c>
      <c r="AO1572" s="185" t="s">
        <v>5150</v>
      </c>
      <c r="AQ1572" s="55" t="s">
        <v>553</v>
      </c>
      <c r="AR1572" s="55" t="s">
        <v>1500</v>
      </c>
      <c r="AS1572" s="55" t="s">
        <v>116</v>
      </c>
      <c r="AT1572" s="181" t="s">
        <v>1065</v>
      </c>
      <c r="AU1572" s="181" t="s">
        <v>5150</v>
      </c>
      <c r="AV1572" s="185" t="s">
        <v>176</v>
      </c>
      <c r="AW1572" s="55" t="s">
        <v>1065</v>
      </c>
      <c r="AX1572" s="185" t="s">
        <v>176</v>
      </c>
      <c r="AY1572" s="55" t="s">
        <v>176</v>
      </c>
      <c r="BE1572" s="226" t="s">
        <v>1079</v>
      </c>
      <c r="BF1572" s="191" t="s">
        <v>479</v>
      </c>
      <c r="BG1572" s="55" t="s">
        <v>479</v>
      </c>
      <c r="BH1572" s="226" t="s">
        <v>1080</v>
      </c>
      <c r="BI1572" s="55" t="s">
        <v>479</v>
      </c>
      <c r="BJ1572" s="55" t="s">
        <v>479</v>
      </c>
      <c r="BK1572" s="55" t="s">
        <v>5976</v>
      </c>
      <c r="BM1572" s="192" t="s">
        <v>1078</v>
      </c>
      <c r="BN1572" s="55">
        <v>3</v>
      </c>
      <c r="BO1572" s="55">
        <v>3</v>
      </c>
      <c r="BQ1572" s="55" t="s">
        <v>141</v>
      </c>
      <c r="BV1572" s="55" t="s">
        <v>1082</v>
      </c>
      <c r="DB1572" s="65">
        <f>66.6*(1000000/(100*100*0.3*1.365*1000))</f>
        <v>16.263736263736263</v>
      </c>
      <c r="DC1572" s="65">
        <f>53.2*(1000000/(100*100*0.3*1.365*1000))</f>
        <v>12.991452991452991</v>
      </c>
      <c r="DF1572" s="65" t="s">
        <v>1635</v>
      </c>
      <c r="GP1572" s="292" t="s">
        <v>7494</v>
      </c>
      <c r="JU1572" s="55" t="s">
        <v>1086</v>
      </c>
      <c r="JW1572" s="55" t="s">
        <v>1073</v>
      </c>
    </row>
    <row r="1573" spans="1:283" x14ac:dyDescent="0.25">
      <c r="A1573" s="55">
        <v>1572</v>
      </c>
      <c r="B1573" s="12" t="s">
        <v>7067</v>
      </c>
      <c r="C1573" s="155">
        <v>73</v>
      </c>
      <c r="D1573" s="55" t="s">
        <v>4001</v>
      </c>
      <c r="E1573" s="90" t="s">
        <v>1074</v>
      </c>
      <c r="G1573" s="55" t="s">
        <v>1075</v>
      </c>
      <c r="H1573" s="55">
        <v>2003</v>
      </c>
      <c r="I1573" s="55">
        <v>1991</v>
      </c>
      <c r="J1573" s="55" t="s">
        <v>1076</v>
      </c>
      <c r="K1573" s="55" t="s">
        <v>1104</v>
      </c>
      <c r="L1573" s="55" t="s">
        <v>2738</v>
      </c>
      <c r="M1573" s="90">
        <v>50.29</v>
      </c>
      <c r="N1573" s="90">
        <v>-107.8</v>
      </c>
      <c r="O1573" s="90">
        <v>757</v>
      </c>
      <c r="U1573" s="55">
        <v>4</v>
      </c>
      <c r="V1573" s="55" t="s">
        <v>1889</v>
      </c>
      <c r="Y1573" s="55" t="s">
        <v>1081</v>
      </c>
      <c r="Z1573" s="55" t="s">
        <v>1356</v>
      </c>
      <c r="AA1573" s="90" t="s">
        <v>1680</v>
      </c>
      <c r="AD1573" s="90">
        <v>1.365</v>
      </c>
      <c r="AH1573" s="55" t="s">
        <v>139</v>
      </c>
      <c r="AM1573" s="55" t="s">
        <v>1323</v>
      </c>
      <c r="AN1573" s="185" t="s">
        <v>553</v>
      </c>
      <c r="AO1573" s="185" t="s">
        <v>5150</v>
      </c>
      <c r="AQ1573" s="55" t="s">
        <v>553</v>
      </c>
      <c r="AR1573" s="55" t="s">
        <v>1500</v>
      </c>
      <c r="AS1573" s="55" t="s">
        <v>116</v>
      </c>
      <c r="AT1573" s="181" t="s">
        <v>1065</v>
      </c>
      <c r="AU1573" s="181" t="s">
        <v>5150</v>
      </c>
      <c r="AV1573" s="185" t="s">
        <v>176</v>
      </c>
      <c r="AW1573" s="55" t="s">
        <v>1065</v>
      </c>
      <c r="AX1573" s="185" t="s">
        <v>176</v>
      </c>
      <c r="AY1573" s="55" t="s">
        <v>176</v>
      </c>
      <c r="BE1573" s="226" t="s">
        <v>1079</v>
      </c>
      <c r="BF1573" s="191" t="s">
        <v>479</v>
      </c>
      <c r="BG1573" s="55" t="s">
        <v>479</v>
      </c>
      <c r="BH1573" s="226" t="s">
        <v>1080</v>
      </c>
      <c r="BI1573" s="55" t="s">
        <v>479</v>
      </c>
      <c r="BJ1573" s="55" t="s">
        <v>479</v>
      </c>
      <c r="BK1573" s="55" t="s">
        <v>5976</v>
      </c>
      <c r="BM1573" s="192" t="s">
        <v>1078</v>
      </c>
      <c r="BN1573" s="55">
        <v>3</v>
      </c>
      <c r="BO1573" s="55">
        <v>3</v>
      </c>
      <c r="BQ1573" s="55" t="s">
        <v>141</v>
      </c>
      <c r="BV1573" s="55" t="s">
        <v>1082</v>
      </c>
      <c r="DB1573" s="65">
        <f>44.7*(1000000/(100*100*0.3*1.365*1000))</f>
        <v>10.915750915750916</v>
      </c>
      <c r="DC1573" s="65">
        <f>56.3*(1000000/(100*100*0.3*1.365*1000))</f>
        <v>13.748473748473748</v>
      </c>
      <c r="DF1573" s="65" t="s">
        <v>1635</v>
      </c>
      <c r="GP1573" s="292" t="s">
        <v>7494</v>
      </c>
      <c r="JU1573" s="55" t="s">
        <v>1086</v>
      </c>
      <c r="JW1573" s="55" t="s">
        <v>1073</v>
      </c>
    </row>
    <row r="1574" spans="1:283" x14ac:dyDescent="0.25">
      <c r="A1574" s="55">
        <v>1573</v>
      </c>
      <c r="B1574" s="12" t="s">
        <v>7067</v>
      </c>
      <c r="C1574" s="155">
        <v>73</v>
      </c>
      <c r="D1574" s="55" t="s">
        <v>4001</v>
      </c>
      <c r="E1574" s="90" t="s">
        <v>1074</v>
      </c>
      <c r="G1574" s="55" t="s">
        <v>1075</v>
      </c>
      <c r="H1574" s="55">
        <v>2003</v>
      </c>
      <c r="I1574" s="55">
        <v>1992</v>
      </c>
      <c r="J1574" s="55" t="s">
        <v>1076</v>
      </c>
      <c r="K1574" s="55" t="s">
        <v>1104</v>
      </c>
      <c r="L1574" s="55" t="s">
        <v>2738</v>
      </c>
      <c r="M1574" s="90">
        <v>50.29</v>
      </c>
      <c r="N1574" s="90">
        <v>-107.8</v>
      </c>
      <c r="O1574" s="90">
        <v>757</v>
      </c>
      <c r="U1574" s="55">
        <v>5</v>
      </c>
      <c r="V1574" s="55" t="s">
        <v>1889</v>
      </c>
      <c r="Y1574" s="55" t="s">
        <v>1081</v>
      </c>
      <c r="Z1574" s="55" t="s">
        <v>1356</v>
      </c>
      <c r="AA1574" s="90" t="s">
        <v>1680</v>
      </c>
      <c r="AD1574" s="90">
        <v>1.365</v>
      </c>
      <c r="AH1574" s="55" t="s">
        <v>139</v>
      </c>
      <c r="AM1574" s="55" t="s">
        <v>1323</v>
      </c>
      <c r="AN1574" s="185" t="s">
        <v>553</v>
      </c>
      <c r="AO1574" s="185" t="s">
        <v>5150</v>
      </c>
      <c r="AQ1574" s="55" t="s">
        <v>553</v>
      </c>
      <c r="AR1574" s="55" t="s">
        <v>1500</v>
      </c>
      <c r="AS1574" s="55" t="s">
        <v>116</v>
      </c>
      <c r="AT1574" s="181" t="s">
        <v>1065</v>
      </c>
      <c r="AU1574" s="181" t="s">
        <v>5150</v>
      </c>
      <c r="AV1574" s="185" t="s">
        <v>176</v>
      </c>
      <c r="AW1574" s="55" t="s">
        <v>1065</v>
      </c>
      <c r="AX1574" s="185" t="s">
        <v>176</v>
      </c>
      <c r="AY1574" s="55" t="s">
        <v>176</v>
      </c>
      <c r="BE1574" s="226" t="s">
        <v>1079</v>
      </c>
      <c r="BF1574" s="191" t="s">
        <v>479</v>
      </c>
      <c r="BG1574" s="55" t="s">
        <v>479</v>
      </c>
      <c r="BH1574" s="226" t="s">
        <v>1080</v>
      </c>
      <c r="BI1574" s="55" t="s">
        <v>479</v>
      </c>
      <c r="BJ1574" s="55" t="s">
        <v>479</v>
      </c>
      <c r="BK1574" s="55" t="s">
        <v>5976</v>
      </c>
      <c r="BM1574" s="192" t="s">
        <v>1078</v>
      </c>
      <c r="BN1574" s="55">
        <v>3</v>
      </c>
      <c r="BO1574" s="55">
        <v>3</v>
      </c>
      <c r="BQ1574" s="55" t="s">
        <v>141</v>
      </c>
      <c r="BV1574" s="55" t="s">
        <v>1082</v>
      </c>
      <c r="DB1574" s="65">
        <f>33.4*(1000000/(100*100*0.3*1.365*1000))</f>
        <v>8.1562881562881557</v>
      </c>
      <c r="DC1574" s="65">
        <f>19.7*(1000000/(100*100*0.3*1.365*1000))</f>
        <v>4.8107448107448105</v>
      </c>
      <c r="DF1574" s="65" t="s">
        <v>1635</v>
      </c>
      <c r="GP1574" s="292" t="s">
        <v>7494</v>
      </c>
      <c r="JU1574" s="55" t="s">
        <v>1086</v>
      </c>
      <c r="JW1574" s="55" t="s">
        <v>1073</v>
      </c>
    </row>
    <row r="1575" spans="1:283" x14ac:dyDescent="0.25">
      <c r="A1575" s="55">
        <v>1574</v>
      </c>
      <c r="B1575" s="12" t="s">
        <v>7067</v>
      </c>
      <c r="C1575" s="155">
        <v>73</v>
      </c>
      <c r="D1575" s="55" t="s">
        <v>4001</v>
      </c>
      <c r="E1575" s="90" t="s">
        <v>1074</v>
      </c>
      <c r="G1575" s="55" t="s">
        <v>1075</v>
      </c>
      <c r="H1575" s="55">
        <v>2003</v>
      </c>
      <c r="I1575" s="55">
        <v>1993</v>
      </c>
      <c r="J1575" s="55" t="s">
        <v>1076</v>
      </c>
      <c r="K1575" s="55" t="s">
        <v>1104</v>
      </c>
      <c r="L1575" s="55" t="s">
        <v>2738</v>
      </c>
      <c r="M1575" s="90">
        <v>50.29</v>
      </c>
      <c r="N1575" s="90">
        <v>-107.8</v>
      </c>
      <c r="O1575" s="90">
        <v>757</v>
      </c>
      <c r="U1575" s="55">
        <v>6</v>
      </c>
      <c r="V1575" s="55" t="s">
        <v>1889</v>
      </c>
      <c r="Y1575" s="55" t="s">
        <v>1081</v>
      </c>
      <c r="Z1575" s="55" t="s">
        <v>1356</v>
      </c>
      <c r="AA1575" s="90" t="s">
        <v>1680</v>
      </c>
      <c r="AD1575" s="90">
        <v>1.365</v>
      </c>
      <c r="AH1575" s="55" t="s">
        <v>139</v>
      </c>
      <c r="AM1575" s="55" t="s">
        <v>1323</v>
      </c>
      <c r="AN1575" s="185" t="s">
        <v>553</v>
      </c>
      <c r="AO1575" s="185" t="s">
        <v>5150</v>
      </c>
      <c r="AQ1575" s="55" t="s">
        <v>553</v>
      </c>
      <c r="AR1575" s="55" t="s">
        <v>1500</v>
      </c>
      <c r="AS1575" s="55" t="s">
        <v>116</v>
      </c>
      <c r="AT1575" s="181" t="s">
        <v>1065</v>
      </c>
      <c r="AU1575" s="181" t="s">
        <v>5150</v>
      </c>
      <c r="AV1575" s="185" t="s">
        <v>176</v>
      </c>
      <c r="AW1575" s="55" t="s">
        <v>1065</v>
      </c>
      <c r="AX1575" s="185" t="s">
        <v>176</v>
      </c>
      <c r="AY1575" s="55" t="s">
        <v>176</v>
      </c>
      <c r="BE1575" s="226" t="s">
        <v>1079</v>
      </c>
      <c r="BF1575" s="191" t="s">
        <v>479</v>
      </c>
      <c r="BG1575" s="55" t="s">
        <v>479</v>
      </c>
      <c r="BH1575" s="226" t="s">
        <v>1080</v>
      </c>
      <c r="BI1575" s="55" t="s">
        <v>479</v>
      </c>
      <c r="BJ1575" s="55" t="s">
        <v>479</v>
      </c>
      <c r="BK1575" s="55" t="s">
        <v>5976</v>
      </c>
      <c r="BM1575" s="192" t="s">
        <v>1078</v>
      </c>
      <c r="BN1575" s="55">
        <v>3</v>
      </c>
      <c r="BO1575" s="55">
        <v>3</v>
      </c>
      <c r="BQ1575" s="55" t="s">
        <v>141</v>
      </c>
      <c r="BV1575" s="55" t="s">
        <v>1082</v>
      </c>
      <c r="DB1575" s="65">
        <f>23*(1000000/(100*100*0.3*1.365*1000))</f>
        <v>5.6166056166056162</v>
      </c>
      <c r="DC1575" s="65">
        <f>44.7*(1000000/(100*100*0.3*1.365*1000))</f>
        <v>10.915750915750916</v>
      </c>
      <c r="DF1575" s="65" t="s">
        <v>1635</v>
      </c>
      <c r="GP1575" s="292" t="s">
        <v>7494</v>
      </c>
      <c r="JU1575" s="55" t="s">
        <v>1086</v>
      </c>
      <c r="JW1575" s="55" t="s">
        <v>1073</v>
      </c>
    </row>
    <row r="1576" spans="1:283" x14ac:dyDescent="0.25">
      <c r="A1576" s="55">
        <v>1575</v>
      </c>
      <c r="B1576" s="12" t="s">
        <v>7067</v>
      </c>
      <c r="C1576" s="155">
        <v>73</v>
      </c>
      <c r="D1576" s="55" t="s">
        <v>4001</v>
      </c>
      <c r="E1576" s="90" t="s">
        <v>1074</v>
      </c>
      <c r="G1576" s="55" t="s">
        <v>1075</v>
      </c>
      <c r="H1576" s="55">
        <v>2003</v>
      </c>
      <c r="I1576" s="55">
        <v>1994</v>
      </c>
      <c r="J1576" s="55" t="s">
        <v>1076</v>
      </c>
      <c r="K1576" s="55" t="s">
        <v>1104</v>
      </c>
      <c r="L1576" s="55" t="s">
        <v>2738</v>
      </c>
      <c r="M1576" s="90">
        <v>50.29</v>
      </c>
      <c r="N1576" s="90">
        <v>-107.8</v>
      </c>
      <c r="O1576" s="90">
        <v>757</v>
      </c>
      <c r="U1576" s="55">
        <v>7</v>
      </c>
      <c r="V1576" s="55" t="s">
        <v>1889</v>
      </c>
      <c r="Y1576" s="55" t="s">
        <v>1081</v>
      </c>
      <c r="Z1576" s="55" t="s">
        <v>1356</v>
      </c>
      <c r="AA1576" s="90" t="s">
        <v>1680</v>
      </c>
      <c r="AD1576" s="90">
        <v>1.365</v>
      </c>
      <c r="AH1576" s="55" t="s">
        <v>139</v>
      </c>
      <c r="AM1576" s="55" t="s">
        <v>1323</v>
      </c>
      <c r="AN1576" s="185" t="s">
        <v>553</v>
      </c>
      <c r="AO1576" s="185" t="s">
        <v>5150</v>
      </c>
      <c r="AQ1576" s="55" t="s">
        <v>553</v>
      </c>
      <c r="AR1576" s="55" t="s">
        <v>1500</v>
      </c>
      <c r="AS1576" s="55" t="s">
        <v>116</v>
      </c>
      <c r="AT1576" s="181" t="s">
        <v>1065</v>
      </c>
      <c r="AU1576" s="181" t="s">
        <v>5150</v>
      </c>
      <c r="AV1576" s="185" t="s">
        <v>176</v>
      </c>
      <c r="AW1576" s="55" t="s">
        <v>1065</v>
      </c>
      <c r="AX1576" s="185" t="s">
        <v>176</v>
      </c>
      <c r="AY1576" s="55" t="s">
        <v>176</v>
      </c>
      <c r="BE1576" s="226" t="s">
        <v>1079</v>
      </c>
      <c r="BF1576" s="191" t="s">
        <v>479</v>
      </c>
      <c r="BG1576" s="55" t="s">
        <v>479</v>
      </c>
      <c r="BH1576" s="226" t="s">
        <v>1080</v>
      </c>
      <c r="BI1576" s="55" t="s">
        <v>479</v>
      </c>
      <c r="BJ1576" s="55" t="s">
        <v>479</v>
      </c>
      <c r="BK1576" s="55" t="s">
        <v>5976</v>
      </c>
      <c r="BM1576" s="192" t="s">
        <v>1078</v>
      </c>
      <c r="BN1576" s="55">
        <v>3</v>
      </c>
      <c r="BO1576" s="55">
        <v>3</v>
      </c>
      <c r="BQ1576" s="55" t="s">
        <v>141</v>
      </c>
      <c r="BV1576" s="55" t="s">
        <v>1082</v>
      </c>
      <c r="DB1576" s="65">
        <f>15.1*(1000000/(100*100*0.3*1.365*1000))</f>
        <v>3.6874236874236872</v>
      </c>
      <c r="DC1576" s="65">
        <f>27.9*(1000000/(100*100*0.3*1.365*1000))</f>
        <v>6.813186813186813</v>
      </c>
      <c r="DF1576" s="65" t="s">
        <v>1635</v>
      </c>
      <c r="GP1576" s="292" t="s">
        <v>7494</v>
      </c>
      <c r="JU1576" s="55" t="s">
        <v>1086</v>
      </c>
      <c r="JW1576" s="55" t="s">
        <v>1073</v>
      </c>
    </row>
    <row r="1577" spans="1:283" x14ac:dyDescent="0.25">
      <c r="A1577" s="55">
        <v>1576</v>
      </c>
      <c r="B1577" s="12" t="s">
        <v>7067</v>
      </c>
      <c r="C1577" s="155">
        <v>73</v>
      </c>
      <c r="D1577" s="55" t="s">
        <v>4001</v>
      </c>
      <c r="E1577" s="90" t="s">
        <v>1074</v>
      </c>
      <c r="G1577" s="55" t="s">
        <v>1075</v>
      </c>
      <c r="H1577" s="55">
        <v>2003</v>
      </c>
      <c r="I1577" s="55">
        <v>1995</v>
      </c>
      <c r="J1577" s="55" t="s">
        <v>1076</v>
      </c>
      <c r="K1577" s="55" t="s">
        <v>1104</v>
      </c>
      <c r="L1577" s="55" t="s">
        <v>2738</v>
      </c>
      <c r="M1577" s="90">
        <v>50.29</v>
      </c>
      <c r="N1577" s="90">
        <v>-107.8</v>
      </c>
      <c r="O1577" s="90">
        <v>757</v>
      </c>
      <c r="U1577" s="55">
        <v>8</v>
      </c>
      <c r="V1577" s="55" t="s">
        <v>1889</v>
      </c>
      <c r="Y1577" s="55" t="s">
        <v>1081</v>
      </c>
      <c r="Z1577" s="55" t="s">
        <v>1356</v>
      </c>
      <c r="AA1577" s="90" t="s">
        <v>1680</v>
      </c>
      <c r="AD1577" s="90">
        <v>1.365</v>
      </c>
      <c r="AH1577" s="55" t="s">
        <v>139</v>
      </c>
      <c r="AM1577" s="55" t="s">
        <v>1323</v>
      </c>
      <c r="AN1577" s="185" t="s">
        <v>553</v>
      </c>
      <c r="AO1577" s="185" t="s">
        <v>5150</v>
      </c>
      <c r="AQ1577" s="55" t="s">
        <v>553</v>
      </c>
      <c r="AR1577" s="55" t="s">
        <v>1500</v>
      </c>
      <c r="AS1577" s="55" t="s">
        <v>116</v>
      </c>
      <c r="AT1577" s="181" t="s">
        <v>1065</v>
      </c>
      <c r="AU1577" s="181" t="s">
        <v>5150</v>
      </c>
      <c r="AV1577" s="185" t="s">
        <v>176</v>
      </c>
      <c r="AW1577" s="55" t="s">
        <v>1065</v>
      </c>
      <c r="AX1577" s="185" t="s">
        <v>176</v>
      </c>
      <c r="AY1577" s="55" t="s">
        <v>176</v>
      </c>
      <c r="BE1577" s="226" t="s">
        <v>1079</v>
      </c>
      <c r="BF1577" s="191" t="s">
        <v>479</v>
      </c>
      <c r="BG1577" s="55" t="s">
        <v>479</v>
      </c>
      <c r="BH1577" s="226" t="s">
        <v>1080</v>
      </c>
      <c r="BI1577" s="55" t="s">
        <v>479</v>
      </c>
      <c r="BJ1577" s="55" t="s">
        <v>479</v>
      </c>
      <c r="BK1577" s="55" t="s">
        <v>5976</v>
      </c>
      <c r="BM1577" s="192" t="s">
        <v>1078</v>
      </c>
      <c r="BN1577" s="55">
        <v>3</v>
      </c>
      <c r="BO1577" s="55">
        <v>3</v>
      </c>
      <c r="BQ1577" s="55" t="s">
        <v>141</v>
      </c>
      <c r="BV1577" s="55" t="s">
        <v>1082</v>
      </c>
      <c r="DB1577" s="65">
        <f>39.9*(1000000/(100*100*0.3*1.365*1000))</f>
        <v>9.7435897435897427</v>
      </c>
      <c r="DC1577" s="65">
        <f>54.1*(1000000/(100*100*0.3*1.365*1000))</f>
        <v>13.21123321123321</v>
      </c>
      <c r="DF1577" s="65" t="s">
        <v>1635</v>
      </c>
      <c r="GP1577" s="292" t="s">
        <v>7494</v>
      </c>
      <c r="JU1577" s="55" t="s">
        <v>1086</v>
      </c>
      <c r="JW1577" s="55" t="s">
        <v>1073</v>
      </c>
    </row>
    <row r="1578" spans="1:283" x14ac:dyDescent="0.25">
      <c r="A1578" s="55">
        <v>1577</v>
      </c>
      <c r="B1578" s="12" t="s">
        <v>7067</v>
      </c>
      <c r="C1578" s="155">
        <v>73</v>
      </c>
      <c r="D1578" s="55" t="s">
        <v>4001</v>
      </c>
      <c r="E1578" s="90" t="s">
        <v>1074</v>
      </c>
      <c r="G1578" s="55" t="s">
        <v>1075</v>
      </c>
      <c r="H1578" s="55">
        <v>2003</v>
      </c>
      <c r="I1578" s="55">
        <v>1996</v>
      </c>
      <c r="J1578" s="55" t="s">
        <v>1076</v>
      </c>
      <c r="K1578" s="55" t="s">
        <v>1104</v>
      </c>
      <c r="L1578" s="55" t="s">
        <v>2738</v>
      </c>
      <c r="M1578" s="90">
        <v>50.29</v>
      </c>
      <c r="N1578" s="90">
        <v>-107.8</v>
      </c>
      <c r="O1578" s="90">
        <v>757</v>
      </c>
      <c r="U1578" s="55">
        <v>9</v>
      </c>
      <c r="V1578" s="55" t="s">
        <v>1889</v>
      </c>
      <c r="Y1578" s="55" t="s">
        <v>1081</v>
      </c>
      <c r="Z1578" s="55" t="s">
        <v>1356</v>
      </c>
      <c r="AA1578" s="90" t="s">
        <v>1680</v>
      </c>
      <c r="AD1578" s="90">
        <v>1.365</v>
      </c>
      <c r="AH1578" s="55" t="s">
        <v>139</v>
      </c>
      <c r="AM1578" s="55" t="s">
        <v>1323</v>
      </c>
      <c r="AN1578" s="185" t="s">
        <v>553</v>
      </c>
      <c r="AO1578" s="185" t="s">
        <v>5150</v>
      </c>
      <c r="AQ1578" s="55" t="s">
        <v>553</v>
      </c>
      <c r="AR1578" s="55" t="s">
        <v>1500</v>
      </c>
      <c r="AS1578" s="55" t="s">
        <v>116</v>
      </c>
      <c r="AT1578" s="181" t="s">
        <v>1065</v>
      </c>
      <c r="AU1578" s="181" t="s">
        <v>5150</v>
      </c>
      <c r="AV1578" s="185" t="s">
        <v>176</v>
      </c>
      <c r="AW1578" s="55" t="s">
        <v>1065</v>
      </c>
      <c r="AX1578" s="185" t="s">
        <v>176</v>
      </c>
      <c r="AY1578" s="55" t="s">
        <v>176</v>
      </c>
      <c r="BE1578" s="226" t="s">
        <v>1079</v>
      </c>
      <c r="BF1578" s="191" t="s">
        <v>479</v>
      </c>
      <c r="BG1578" s="55" t="s">
        <v>479</v>
      </c>
      <c r="BH1578" s="226" t="s">
        <v>1080</v>
      </c>
      <c r="BI1578" s="55" t="s">
        <v>479</v>
      </c>
      <c r="BJ1578" s="55" t="s">
        <v>479</v>
      </c>
      <c r="BK1578" s="55" t="s">
        <v>5976</v>
      </c>
      <c r="BM1578" s="192" t="s">
        <v>1078</v>
      </c>
      <c r="BN1578" s="55">
        <v>3</v>
      </c>
      <c r="BO1578" s="55">
        <v>3</v>
      </c>
      <c r="BQ1578" s="55" t="s">
        <v>141</v>
      </c>
      <c r="BV1578" s="55" t="s">
        <v>1082</v>
      </c>
      <c r="DB1578" s="65">
        <f>29.2*(1000000/(100*100*0.3*1.365*1000))</f>
        <v>7.1306471306471302</v>
      </c>
      <c r="DC1578" s="65">
        <f>54.6*(1000000/(100*100*0.3*1.365*1000))</f>
        <v>13.333333333333334</v>
      </c>
      <c r="DF1578" s="65" t="s">
        <v>1635</v>
      </c>
      <c r="GP1578" s="292" t="s">
        <v>7494</v>
      </c>
      <c r="JU1578" s="55" t="s">
        <v>1086</v>
      </c>
      <c r="JW1578" s="55" t="s">
        <v>1073</v>
      </c>
    </row>
    <row r="1579" spans="1:283" x14ac:dyDescent="0.25">
      <c r="A1579" s="55">
        <v>1578</v>
      </c>
      <c r="B1579" s="12" t="s">
        <v>7067</v>
      </c>
      <c r="C1579" s="155">
        <v>73</v>
      </c>
      <c r="D1579" s="55" t="s">
        <v>4001</v>
      </c>
      <c r="E1579" s="90" t="s">
        <v>1074</v>
      </c>
      <c r="G1579" s="55" t="s">
        <v>1075</v>
      </c>
      <c r="H1579" s="55">
        <v>2003</v>
      </c>
      <c r="I1579" s="55">
        <v>1997</v>
      </c>
      <c r="J1579" s="55" t="s">
        <v>1076</v>
      </c>
      <c r="K1579" s="55" t="s">
        <v>1104</v>
      </c>
      <c r="L1579" s="55" t="s">
        <v>2738</v>
      </c>
      <c r="M1579" s="90">
        <v>50.29</v>
      </c>
      <c r="N1579" s="90">
        <v>-107.8</v>
      </c>
      <c r="O1579" s="90">
        <v>757</v>
      </c>
      <c r="U1579" s="55">
        <v>10</v>
      </c>
      <c r="V1579" s="55" t="s">
        <v>1889</v>
      </c>
      <c r="Y1579" s="55" t="s">
        <v>1081</v>
      </c>
      <c r="Z1579" s="55" t="s">
        <v>1356</v>
      </c>
      <c r="AA1579" s="90" t="s">
        <v>1680</v>
      </c>
      <c r="AD1579" s="90">
        <v>1.365</v>
      </c>
      <c r="AH1579" s="55" t="s">
        <v>139</v>
      </c>
      <c r="AM1579" s="55" t="s">
        <v>1323</v>
      </c>
      <c r="AN1579" s="185" t="s">
        <v>553</v>
      </c>
      <c r="AO1579" s="185" t="s">
        <v>5150</v>
      </c>
      <c r="AQ1579" s="55" t="s">
        <v>553</v>
      </c>
      <c r="AR1579" s="55" t="s">
        <v>1500</v>
      </c>
      <c r="AS1579" s="55" t="s">
        <v>116</v>
      </c>
      <c r="AT1579" s="181" t="s">
        <v>1065</v>
      </c>
      <c r="AU1579" s="181" t="s">
        <v>5150</v>
      </c>
      <c r="AV1579" s="185" t="s">
        <v>176</v>
      </c>
      <c r="AW1579" s="55" t="s">
        <v>1065</v>
      </c>
      <c r="AX1579" s="185" t="s">
        <v>176</v>
      </c>
      <c r="AY1579" s="55" t="s">
        <v>176</v>
      </c>
      <c r="BE1579" s="226" t="s">
        <v>1079</v>
      </c>
      <c r="BF1579" s="191" t="s">
        <v>479</v>
      </c>
      <c r="BG1579" s="55" t="s">
        <v>479</v>
      </c>
      <c r="BH1579" s="226" t="s">
        <v>1080</v>
      </c>
      <c r="BI1579" s="55" t="s">
        <v>479</v>
      </c>
      <c r="BJ1579" s="55" t="s">
        <v>479</v>
      </c>
      <c r="BK1579" s="55" t="s">
        <v>5976</v>
      </c>
      <c r="BM1579" s="192" t="s">
        <v>1078</v>
      </c>
      <c r="BN1579" s="55">
        <v>3</v>
      </c>
      <c r="BO1579" s="55">
        <v>3</v>
      </c>
      <c r="BQ1579" s="55" t="s">
        <v>141</v>
      </c>
      <c r="BV1579" s="55" t="s">
        <v>1082</v>
      </c>
      <c r="DB1579" s="65">
        <f>18.4*(1000000/(100*100*0.3*1.365*1000))</f>
        <v>4.4932844932844924</v>
      </c>
      <c r="DC1579" s="65">
        <f>24.9*(1000000/(100*100*0.3*1.365*1000))</f>
        <v>6.0805860805860803</v>
      </c>
      <c r="DF1579" s="65" t="s">
        <v>1635</v>
      </c>
      <c r="GP1579" s="292" t="s">
        <v>7494</v>
      </c>
      <c r="JU1579" s="55" t="s">
        <v>1086</v>
      </c>
      <c r="JW1579" s="55" t="s">
        <v>1073</v>
      </c>
    </row>
    <row r="1580" spans="1:283" x14ac:dyDescent="0.25">
      <c r="A1580" s="55">
        <v>1579</v>
      </c>
      <c r="B1580" s="12" t="s">
        <v>7067</v>
      </c>
      <c r="C1580" s="155">
        <v>73</v>
      </c>
      <c r="D1580" s="55" t="s">
        <v>4001</v>
      </c>
      <c r="E1580" s="90" t="s">
        <v>1074</v>
      </c>
      <c r="G1580" s="55" t="s">
        <v>1075</v>
      </c>
      <c r="H1580" s="55">
        <v>2003</v>
      </c>
      <c r="I1580" s="55">
        <v>1998</v>
      </c>
      <c r="J1580" s="55" t="s">
        <v>1076</v>
      </c>
      <c r="K1580" s="55" t="s">
        <v>1104</v>
      </c>
      <c r="L1580" s="55" t="s">
        <v>2738</v>
      </c>
      <c r="M1580" s="90">
        <v>50.29</v>
      </c>
      <c r="N1580" s="90">
        <v>-107.8</v>
      </c>
      <c r="O1580" s="90">
        <v>757</v>
      </c>
      <c r="U1580" s="55">
        <v>11</v>
      </c>
      <c r="V1580" s="55" t="s">
        <v>1889</v>
      </c>
      <c r="Y1580" s="55" t="s">
        <v>1081</v>
      </c>
      <c r="Z1580" s="55" t="s">
        <v>1356</v>
      </c>
      <c r="AA1580" s="90" t="s">
        <v>1680</v>
      </c>
      <c r="AD1580" s="90">
        <v>1.365</v>
      </c>
      <c r="AH1580" s="55" t="s">
        <v>139</v>
      </c>
      <c r="AM1580" s="55" t="s">
        <v>1323</v>
      </c>
      <c r="AN1580" s="185" t="s">
        <v>553</v>
      </c>
      <c r="AO1580" s="185" t="s">
        <v>5150</v>
      </c>
      <c r="AQ1580" s="55" t="s">
        <v>553</v>
      </c>
      <c r="AR1580" s="55" t="s">
        <v>1500</v>
      </c>
      <c r="AS1580" s="55" t="s">
        <v>116</v>
      </c>
      <c r="AT1580" s="181" t="s">
        <v>1065</v>
      </c>
      <c r="AU1580" s="181" t="s">
        <v>5150</v>
      </c>
      <c r="AV1580" s="185" t="s">
        <v>176</v>
      </c>
      <c r="AW1580" s="55" t="s">
        <v>1065</v>
      </c>
      <c r="AX1580" s="185" t="s">
        <v>176</v>
      </c>
      <c r="AY1580" s="55" t="s">
        <v>176</v>
      </c>
      <c r="BE1580" s="226" t="s">
        <v>1079</v>
      </c>
      <c r="BF1580" s="191" t="s">
        <v>479</v>
      </c>
      <c r="BG1580" s="55" t="s">
        <v>479</v>
      </c>
      <c r="BH1580" s="226" t="s">
        <v>1080</v>
      </c>
      <c r="BI1580" s="55" t="s">
        <v>479</v>
      </c>
      <c r="BJ1580" s="55" t="s">
        <v>479</v>
      </c>
      <c r="BK1580" s="55" t="s">
        <v>5976</v>
      </c>
      <c r="BM1580" s="192" t="s">
        <v>1078</v>
      </c>
      <c r="BN1580" s="55">
        <v>3</v>
      </c>
      <c r="BO1580" s="55">
        <v>3</v>
      </c>
      <c r="BQ1580" s="55" t="s">
        <v>141</v>
      </c>
      <c r="BV1580" s="55" t="s">
        <v>1082</v>
      </c>
      <c r="DB1580" s="65">
        <f>55*(1000000/(100*100*0.3*1.365*1000))</f>
        <v>13.431013431013431</v>
      </c>
      <c r="DC1580" s="65">
        <f>65.7*(1000000/(100*100*0.3*1.365*1000))</f>
        <v>16.043956043956044</v>
      </c>
      <c r="DF1580" s="65" t="s">
        <v>1635</v>
      </c>
      <c r="GP1580" s="292" t="s">
        <v>7494</v>
      </c>
      <c r="JU1580" s="55" t="s">
        <v>1086</v>
      </c>
      <c r="JW1580" s="55" t="s">
        <v>1073</v>
      </c>
    </row>
    <row r="1581" spans="1:283" x14ac:dyDescent="0.25">
      <c r="A1581" s="55">
        <v>1580</v>
      </c>
      <c r="B1581" s="12" t="s">
        <v>7067</v>
      </c>
      <c r="C1581" s="155">
        <v>73</v>
      </c>
      <c r="D1581" s="55" t="s">
        <v>4001</v>
      </c>
      <c r="E1581" s="90" t="s">
        <v>1074</v>
      </c>
      <c r="G1581" s="55" t="s">
        <v>1075</v>
      </c>
      <c r="H1581" s="55">
        <v>2003</v>
      </c>
      <c r="I1581" s="55">
        <v>1999</v>
      </c>
      <c r="J1581" s="55" t="s">
        <v>1076</v>
      </c>
      <c r="K1581" s="55" t="s">
        <v>1104</v>
      </c>
      <c r="L1581" s="55" t="s">
        <v>2738</v>
      </c>
      <c r="M1581" s="90">
        <v>50.29</v>
      </c>
      <c r="N1581" s="90">
        <v>-107.8</v>
      </c>
      <c r="O1581" s="90">
        <v>757</v>
      </c>
      <c r="U1581" s="55">
        <v>12</v>
      </c>
      <c r="V1581" s="55" t="s">
        <v>1889</v>
      </c>
      <c r="Y1581" s="55" t="s">
        <v>1081</v>
      </c>
      <c r="Z1581" s="55" t="s">
        <v>1356</v>
      </c>
      <c r="AA1581" s="90" t="s">
        <v>1680</v>
      </c>
      <c r="AD1581" s="90">
        <v>1.365</v>
      </c>
      <c r="AH1581" s="55" t="s">
        <v>139</v>
      </c>
      <c r="AM1581" s="55" t="s">
        <v>1323</v>
      </c>
      <c r="AN1581" s="185" t="s">
        <v>553</v>
      </c>
      <c r="AO1581" s="185" t="s">
        <v>5150</v>
      </c>
      <c r="AQ1581" s="55" t="s">
        <v>553</v>
      </c>
      <c r="AR1581" s="55" t="s">
        <v>1500</v>
      </c>
      <c r="AS1581" s="55" t="s">
        <v>116</v>
      </c>
      <c r="AT1581" s="181" t="s">
        <v>1065</v>
      </c>
      <c r="AU1581" s="181" t="s">
        <v>5150</v>
      </c>
      <c r="AV1581" s="185" t="s">
        <v>176</v>
      </c>
      <c r="AW1581" s="55" t="s">
        <v>1065</v>
      </c>
      <c r="AX1581" s="185" t="s">
        <v>176</v>
      </c>
      <c r="AY1581" s="55" t="s">
        <v>176</v>
      </c>
      <c r="BE1581" s="226" t="s">
        <v>1079</v>
      </c>
      <c r="BF1581" s="191" t="s">
        <v>479</v>
      </c>
      <c r="BG1581" s="55" t="s">
        <v>479</v>
      </c>
      <c r="BH1581" s="226" t="s">
        <v>1080</v>
      </c>
      <c r="BI1581" s="55" t="s">
        <v>479</v>
      </c>
      <c r="BJ1581" s="55" t="s">
        <v>479</v>
      </c>
      <c r="BK1581" s="55" t="s">
        <v>5976</v>
      </c>
      <c r="BM1581" s="192" t="s">
        <v>1078</v>
      </c>
      <c r="BN1581" s="55">
        <v>3</v>
      </c>
      <c r="BO1581" s="55">
        <v>3</v>
      </c>
      <c r="BQ1581" s="55" t="s">
        <v>141</v>
      </c>
      <c r="BV1581" s="55" t="s">
        <v>1082</v>
      </c>
      <c r="DB1581" s="65">
        <f>42.9*(1000000/(100*100*0.3*1.365*1000))</f>
        <v>10.476190476190476</v>
      </c>
      <c r="DC1581" s="65">
        <f>54*(1000000/(100*100*0.3*1.365*1000))</f>
        <v>13.186813186813186</v>
      </c>
      <c r="DF1581" s="65" t="s">
        <v>1635</v>
      </c>
      <c r="GP1581" s="292" t="s">
        <v>7494</v>
      </c>
      <c r="JU1581" s="55" t="s">
        <v>1086</v>
      </c>
      <c r="JW1581" s="55" t="s">
        <v>1073</v>
      </c>
    </row>
    <row r="1582" spans="1:283" x14ac:dyDescent="0.25">
      <c r="A1582" s="55">
        <v>1581</v>
      </c>
      <c r="B1582" s="12" t="s">
        <v>7067</v>
      </c>
      <c r="C1582" s="155">
        <v>73</v>
      </c>
      <c r="D1582" s="55" t="s">
        <v>4001</v>
      </c>
      <c r="E1582" s="90" t="s">
        <v>1074</v>
      </c>
      <c r="G1582" s="55" t="s">
        <v>1075</v>
      </c>
      <c r="H1582" s="55">
        <v>2003</v>
      </c>
      <c r="I1582" s="55">
        <v>1988</v>
      </c>
      <c r="J1582" s="55" t="s">
        <v>1076</v>
      </c>
      <c r="K1582" s="55" t="s">
        <v>1104</v>
      </c>
      <c r="L1582" s="55" t="s">
        <v>2738</v>
      </c>
      <c r="M1582" s="90">
        <v>50.29</v>
      </c>
      <c r="N1582" s="90">
        <v>-107.8</v>
      </c>
      <c r="O1582" s="90">
        <v>757</v>
      </c>
      <c r="U1582" s="55">
        <v>1</v>
      </c>
      <c r="V1582" s="55" t="s">
        <v>1889</v>
      </c>
      <c r="Y1582" s="55" t="s">
        <v>1081</v>
      </c>
      <c r="Z1582" s="55" t="s">
        <v>1369</v>
      </c>
      <c r="AA1582" s="90" t="s">
        <v>1680</v>
      </c>
      <c r="AD1582" s="90">
        <v>1.41</v>
      </c>
      <c r="AH1582" s="55" t="s">
        <v>139</v>
      </c>
      <c r="AM1582" s="55" t="s">
        <v>1323</v>
      </c>
      <c r="AN1582" s="185" t="s">
        <v>553</v>
      </c>
      <c r="AO1582" s="185" t="s">
        <v>5150</v>
      </c>
      <c r="AQ1582" s="55" t="s">
        <v>553</v>
      </c>
      <c r="AR1582" s="55" t="s">
        <v>1500</v>
      </c>
      <c r="AS1582" s="55" t="s">
        <v>116</v>
      </c>
      <c r="AT1582" s="181" t="s">
        <v>1065</v>
      </c>
      <c r="AU1582" s="181" t="s">
        <v>5150</v>
      </c>
      <c r="AV1582" s="185" t="s">
        <v>176</v>
      </c>
      <c r="AW1582" s="55" t="s">
        <v>1065</v>
      </c>
      <c r="AX1582" s="185" t="s">
        <v>176</v>
      </c>
      <c r="AY1582" s="55" t="s">
        <v>176</v>
      </c>
      <c r="BE1582" s="226" t="s">
        <v>1079</v>
      </c>
      <c r="BF1582" s="191" t="s">
        <v>479</v>
      </c>
      <c r="BG1582" s="55" t="s">
        <v>479</v>
      </c>
      <c r="BH1582" s="226" t="s">
        <v>1080</v>
      </c>
      <c r="BI1582" s="55" t="s">
        <v>479</v>
      </c>
      <c r="BJ1582" s="55" t="s">
        <v>479</v>
      </c>
      <c r="BK1582" s="55" t="s">
        <v>5976</v>
      </c>
      <c r="BM1582" s="192" t="s">
        <v>1078</v>
      </c>
      <c r="BN1582" s="55">
        <v>3</v>
      </c>
      <c r="BO1582" s="55">
        <v>3</v>
      </c>
      <c r="BQ1582" s="55" t="s">
        <v>141</v>
      </c>
      <c r="BV1582" s="55" t="s">
        <v>1082</v>
      </c>
      <c r="DB1582" s="65">
        <f>26.9*(1000000/(100*100*0.3*1.41*1000))</f>
        <v>6.3593380614657207</v>
      </c>
      <c r="DC1582" s="65">
        <f>(1000000/(100*100*0.3*1.41*1000))*15.8</f>
        <v>3.7352245862884166</v>
      </c>
      <c r="DF1582" s="65" t="s">
        <v>1635</v>
      </c>
      <c r="GP1582" s="292" t="s">
        <v>7494</v>
      </c>
      <c r="JU1582" s="55" t="s">
        <v>1086</v>
      </c>
      <c r="JW1582" s="55" t="s">
        <v>1073</v>
      </c>
    </row>
    <row r="1583" spans="1:283" x14ac:dyDescent="0.25">
      <c r="A1583" s="55">
        <v>1582</v>
      </c>
      <c r="B1583" s="12" t="s">
        <v>7067</v>
      </c>
      <c r="C1583" s="155">
        <v>73</v>
      </c>
      <c r="D1583" s="55" t="s">
        <v>4001</v>
      </c>
      <c r="E1583" s="90" t="s">
        <v>1074</v>
      </c>
      <c r="G1583" s="55" t="s">
        <v>1075</v>
      </c>
      <c r="H1583" s="55">
        <v>2003</v>
      </c>
      <c r="I1583" s="55">
        <v>1989</v>
      </c>
      <c r="J1583" s="55" t="s">
        <v>1076</v>
      </c>
      <c r="K1583" s="55" t="s">
        <v>1104</v>
      </c>
      <c r="L1583" s="55" t="s">
        <v>2738</v>
      </c>
      <c r="M1583" s="90">
        <v>50.29</v>
      </c>
      <c r="N1583" s="90">
        <v>-107.8</v>
      </c>
      <c r="O1583" s="90">
        <v>757</v>
      </c>
      <c r="U1583" s="55">
        <v>2</v>
      </c>
      <c r="V1583" s="55" t="s">
        <v>1889</v>
      </c>
      <c r="Y1583" s="55" t="s">
        <v>1081</v>
      </c>
      <c r="Z1583" s="55" t="s">
        <v>1369</v>
      </c>
      <c r="AA1583" s="90" t="s">
        <v>1680</v>
      </c>
      <c r="AD1583" s="90">
        <v>1.41</v>
      </c>
      <c r="AH1583" s="55" t="s">
        <v>139</v>
      </c>
      <c r="AM1583" s="55" t="s">
        <v>1323</v>
      </c>
      <c r="AN1583" s="185" t="s">
        <v>553</v>
      </c>
      <c r="AO1583" s="185" t="s">
        <v>5150</v>
      </c>
      <c r="AQ1583" s="55" t="s">
        <v>553</v>
      </c>
      <c r="AR1583" s="55" t="s">
        <v>1500</v>
      </c>
      <c r="AS1583" s="55" t="s">
        <v>116</v>
      </c>
      <c r="AT1583" s="181" t="s">
        <v>1065</v>
      </c>
      <c r="AU1583" s="181" t="s">
        <v>5150</v>
      </c>
      <c r="AV1583" s="185" t="s">
        <v>176</v>
      </c>
      <c r="AW1583" s="55" t="s">
        <v>1065</v>
      </c>
      <c r="AX1583" s="185" t="s">
        <v>176</v>
      </c>
      <c r="AY1583" s="55" t="s">
        <v>176</v>
      </c>
      <c r="BE1583" s="226" t="s">
        <v>1079</v>
      </c>
      <c r="BF1583" s="191" t="s">
        <v>479</v>
      </c>
      <c r="BG1583" s="55" t="s">
        <v>479</v>
      </c>
      <c r="BH1583" s="226" t="s">
        <v>1080</v>
      </c>
      <c r="BI1583" s="55" t="s">
        <v>479</v>
      </c>
      <c r="BJ1583" s="55" t="s">
        <v>479</v>
      </c>
      <c r="BK1583" s="55" t="s">
        <v>5976</v>
      </c>
      <c r="BM1583" s="192" t="s">
        <v>1078</v>
      </c>
      <c r="BN1583" s="55">
        <v>3</v>
      </c>
      <c r="BO1583" s="55">
        <v>3</v>
      </c>
      <c r="BQ1583" s="55" t="s">
        <v>141</v>
      </c>
      <c r="BV1583" s="55" t="s">
        <v>1082</v>
      </c>
      <c r="DB1583" s="65">
        <f>65.2*(1000000/(100*100*0.3*1.41*1000))</f>
        <v>15.413711583924352</v>
      </c>
      <c r="DC1583" s="65">
        <f>(1000000/(100*100*0.3*1.41*1000))*19.1</f>
        <v>4.5153664302600474</v>
      </c>
      <c r="DF1583" s="65" t="s">
        <v>1635</v>
      </c>
      <c r="GP1583" s="292" t="s">
        <v>7494</v>
      </c>
      <c r="JU1583" s="55" t="s">
        <v>1086</v>
      </c>
      <c r="JW1583" s="55" t="s">
        <v>1073</v>
      </c>
    </row>
    <row r="1584" spans="1:283" x14ac:dyDescent="0.25">
      <c r="A1584" s="55">
        <v>1583</v>
      </c>
      <c r="B1584" s="12" t="s">
        <v>7067</v>
      </c>
      <c r="C1584" s="155">
        <v>73</v>
      </c>
      <c r="D1584" s="55" t="s">
        <v>4001</v>
      </c>
      <c r="E1584" s="90" t="s">
        <v>1074</v>
      </c>
      <c r="G1584" s="55" t="s">
        <v>1075</v>
      </c>
      <c r="H1584" s="55">
        <v>2003</v>
      </c>
      <c r="I1584" s="55">
        <v>1990</v>
      </c>
      <c r="J1584" s="55" t="s">
        <v>1076</v>
      </c>
      <c r="K1584" s="55" t="s">
        <v>1104</v>
      </c>
      <c r="L1584" s="55" t="s">
        <v>2738</v>
      </c>
      <c r="M1584" s="90">
        <v>50.29</v>
      </c>
      <c r="N1584" s="90">
        <v>-107.8</v>
      </c>
      <c r="O1584" s="90">
        <v>757</v>
      </c>
      <c r="U1584" s="55">
        <v>3</v>
      </c>
      <c r="V1584" s="55" t="s">
        <v>1889</v>
      </c>
      <c r="Y1584" s="55" t="s">
        <v>1081</v>
      </c>
      <c r="Z1584" s="55" t="s">
        <v>1369</v>
      </c>
      <c r="AA1584" s="90" t="s">
        <v>1680</v>
      </c>
      <c r="AD1584" s="90">
        <v>1.41</v>
      </c>
      <c r="AH1584" s="55" t="s">
        <v>139</v>
      </c>
      <c r="AM1584" s="55" t="s">
        <v>1323</v>
      </c>
      <c r="AN1584" s="185" t="s">
        <v>553</v>
      </c>
      <c r="AO1584" s="185" t="s">
        <v>5150</v>
      </c>
      <c r="AQ1584" s="55" t="s">
        <v>553</v>
      </c>
      <c r="AR1584" s="55" t="s">
        <v>1500</v>
      </c>
      <c r="AS1584" s="55" t="s">
        <v>116</v>
      </c>
      <c r="AT1584" s="181" t="s">
        <v>1065</v>
      </c>
      <c r="AU1584" s="181" t="s">
        <v>5150</v>
      </c>
      <c r="AV1584" s="185" t="s">
        <v>176</v>
      </c>
      <c r="AW1584" s="55" t="s">
        <v>1065</v>
      </c>
      <c r="AX1584" s="185" t="s">
        <v>176</v>
      </c>
      <c r="AY1584" s="55" t="s">
        <v>176</v>
      </c>
      <c r="BE1584" s="226" t="s">
        <v>1079</v>
      </c>
      <c r="BF1584" s="191" t="s">
        <v>479</v>
      </c>
      <c r="BG1584" s="55" t="s">
        <v>479</v>
      </c>
      <c r="BH1584" s="226" t="s">
        <v>1080</v>
      </c>
      <c r="BI1584" s="55" t="s">
        <v>479</v>
      </c>
      <c r="BJ1584" s="55" t="s">
        <v>479</v>
      </c>
      <c r="BK1584" s="55" t="s">
        <v>5976</v>
      </c>
      <c r="BM1584" s="192" t="s">
        <v>1078</v>
      </c>
      <c r="BN1584" s="55">
        <v>3</v>
      </c>
      <c r="BO1584" s="55">
        <v>3</v>
      </c>
      <c r="BQ1584" s="55" t="s">
        <v>141</v>
      </c>
      <c r="BV1584" s="55" t="s">
        <v>1082</v>
      </c>
      <c r="DB1584" s="65">
        <f>(1000000/(100*100*0.3*1.41*1000))*30.9</f>
        <v>7.3049645390070923</v>
      </c>
      <c r="DC1584" s="65">
        <f>(1000000/(100*100*0.3*1.41*1000))*32.1</f>
        <v>7.5886524822695041</v>
      </c>
      <c r="DF1584" s="65" t="s">
        <v>1635</v>
      </c>
      <c r="GP1584" s="292" t="s">
        <v>7494</v>
      </c>
      <c r="JU1584" s="55" t="s">
        <v>1086</v>
      </c>
      <c r="JW1584" s="55" t="s">
        <v>1073</v>
      </c>
    </row>
    <row r="1585" spans="1:283" x14ac:dyDescent="0.25">
      <c r="A1585" s="55">
        <v>1584</v>
      </c>
      <c r="B1585" s="12" t="s">
        <v>7067</v>
      </c>
      <c r="C1585" s="155">
        <v>73</v>
      </c>
      <c r="D1585" s="55" t="s">
        <v>4001</v>
      </c>
      <c r="E1585" s="90" t="s">
        <v>1074</v>
      </c>
      <c r="G1585" s="55" t="s">
        <v>1075</v>
      </c>
      <c r="H1585" s="55">
        <v>2003</v>
      </c>
      <c r="I1585" s="55">
        <v>1991</v>
      </c>
      <c r="J1585" s="55" t="s">
        <v>1076</v>
      </c>
      <c r="K1585" s="55" t="s">
        <v>1104</v>
      </c>
      <c r="L1585" s="55" t="s">
        <v>2738</v>
      </c>
      <c r="M1585" s="90">
        <v>50.29</v>
      </c>
      <c r="N1585" s="90">
        <v>-107.8</v>
      </c>
      <c r="O1585" s="90">
        <v>757</v>
      </c>
      <c r="U1585" s="55">
        <v>4</v>
      </c>
      <c r="V1585" s="55" t="s">
        <v>1889</v>
      </c>
      <c r="Y1585" s="55" t="s">
        <v>1081</v>
      </c>
      <c r="Z1585" s="55" t="s">
        <v>1369</v>
      </c>
      <c r="AA1585" s="90" t="s">
        <v>1680</v>
      </c>
      <c r="AD1585" s="90">
        <v>1.41</v>
      </c>
      <c r="AH1585" s="55" t="s">
        <v>139</v>
      </c>
      <c r="AM1585" s="55" t="s">
        <v>1323</v>
      </c>
      <c r="AN1585" s="185" t="s">
        <v>553</v>
      </c>
      <c r="AO1585" s="185" t="s">
        <v>5150</v>
      </c>
      <c r="AQ1585" s="55" t="s">
        <v>553</v>
      </c>
      <c r="AR1585" s="55" t="s">
        <v>1500</v>
      </c>
      <c r="AS1585" s="55" t="s">
        <v>116</v>
      </c>
      <c r="AT1585" s="181" t="s">
        <v>1065</v>
      </c>
      <c r="AU1585" s="181" t="s">
        <v>5150</v>
      </c>
      <c r="AV1585" s="185" t="s">
        <v>176</v>
      </c>
      <c r="AW1585" s="55" t="s">
        <v>1065</v>
      </c>
      <c r="AX1585" s="185" t="s">
        <v>176</v>
      </c>
      <c r="AY1585" s="55" t="s">
        <v>176</v>
      </c>
      <c r="BE1585" s="226" t="s">
        <v>1079</v>
      </c>
      <c r="BF1585" s="191" t="s">
        <v>479</v>
      </c>
      <c r="BG1585" s="55" t="s">
        <v>479</v>
      </c>
      <c r="BH1585" s="226" t="s">
        <v>1080</v>
      </c>
      <c r="BI1585" s="55" t="s">
        <v>479</v>
      </c>
      <c r="BJ1585" s="55" t="s">
        <v>479</v>
      </c>
      <c r="BK1585" s="55" t="s">
        <v>5976</v>
      </c>
      <c r="BM1585" s="192" t="s">
        <v>1078</v>
      </c>
      <c r="BN1585" s="55">
        <v>3</v>
      </c>
      <c r="BO1585" s="55">
        <v>3</v>
      </c>
      <c r="BQ1585" s="55" t="s">
        <v>141</v>
      </c>
      <c r="BV1585" s="55" t="s">
        <v>1082</v>
      </c>
      <c r="DB1585" s="65">
        <f>(1000000/(100*100*0.3*1.41*1000))*25.2</f>
        <v>5.957446808510638</v>
      </c>
      <c r="DC1585" s="65">
        <f>(1000000/(100*100*0.3*1.41*1000))*27.9</f>
        <v>6.5957446808510634</v>
      </c>
      <c r="DF1585" s="65" t="s">
        <v>1635</v>
      </c>
      <c r="GP1585" s="292" t="s">
        <v>7494</v>
      </c>
      <c r="JU1585" s="55" t="s">
        <v>1086</v>
      </c>
      <c r="JW1585" s="55" t="s">
        <v>1073</v>
      </c>
    </row>
    <row r="1586" spans="1:283" x14ac:dyDescent="0.25">
      <c r="A1586" s="55">
        <v>1585</v>
      </c>
      <c r="B1586" s="12" t="s">
        <v>7067</v>
      </c>
      <c r="C1586" s="155">
        <v>73</v>
      </c>
      <c r="D1586" s="55" t="s">
        <v>4001</v>
      </c>
      <c r="E1586" s="90" t="s">
        <v>1074</v>
      </c>
      <c r="G1586" s="55" t="s">
        <v>1075</v>
      </c>
      <c r="H1586" s="55">
        <v>2003</v>
      </c>
      <c r="I1586" s="55">
        <v>1992</v>
      </c>
      <c r="J1586" s="55" t="s">
        <v>1076</v>
      </c>
      <c r="K1586" s="55" t="s">
        <v>1104</v>
      </c>
      <c r="L1586" s="55" t="s">
        <v>2738</v>
      </c>
      <c r="M1586" s="90">
        <v>50.29</v>
      </c>
      <c r="N1586" s="90">
        <v>-107.8</v>
      </c>
      <c r="O1586" s="90">
        <v>757</v>
      </c>
      <c r="U1586" s="55">
        <v>5</v>
      </c>
      <c r="V1586" s="55" t="s">
        <v>1889</v>
      </c>
      <c r="Y1586" s="55" t="s">
        <v>1081</v>
      </c>
      <c r="Z1586" s="55" t="s">
        <v>1369</v>
      </c>
      <c r="AA1586" s="90" t="s">
        <v>1680</v>
      </c>
      <c r="AD1586" s="90">
        <v>1.41</v>
      </c>
      <c r="AH1586" s="55" t="s">
        <v>139</v>
      </c>
      <c r="AM1586" s="55" t="s">
        <v>1323</v>
      </c>
      <c r="AN1586" s="185" t="s">
        <v>553</v>
      </c>
      <c r="AO1586" s="185" t="s">
        <v>5150</v>
      </c>
      <c r="AQ1586" s="55" t="s">
        <v>553</v>
      </c>
      <c r="AR1586" s="55" t="s">
        <v>1500</v>
      </c>
      <c r="AS1586" s="55" t="s">
        <v>116</v>
      </c>
      <c r="AT1586" s="181" t="s">
        <v>1065</v>
      </c>
      <c r="AU1586" s="181" t="s">
        <v>5150</v>
      </c>
      <c r="AV1586" s="185" t="s">
        <v>176</v>
      </c>
      <c r="AW1586" s="55" t="s">
        <v>1065</v>
      </c>
      <c r="AX1586" s="185" t="s">
        <v>176</v>
      </c>
      <c r="AY1586" s="55" t="s">
        <v>176</v>
      </c>
      <c r="BE1586" s="226" t="s">
        <v>1079</v>
      </c>
      <c r="BF1586" s="191" t="s">
        <v>479</v>
      </c>
      <c r="BG1586" s="55" t="s">
        <v>479</v>
      </c>
      <c r="BH1586" s="226" t="s">
        <v>1080</v>
      </c>
      <c r="BI1586" s="55" t="s">
        <v>479</v>
      </c>
      <c r="BJ1586" s="55" t="s">
        <v>479</v>
      </c>
      <c r="BK1586" s="55" t="s">
        <v>5976</v>
      </c>
      <c r="BM1586" s="192" t="s">
        <v>1078</v>
      </c>
      <c r="BN1586" s="55">
        <v>3</v>
      </c>
      <c r="BO1586" s="55">
        <v>3</v>
      </c>
      <c r="BQ1586" s="55" t="s">
        <v>141</v>
      </c>
      <c r="BV1586" s="55" t="s">
        <v>1082</v>
      </c>
      <c r="DB1586" s="65">
        <f>(1000000/(100*100*0.3*1.41*1000))*17.8</f>
        <v>4.208037825059102</v>
      </c>
      <c r="DC1586" s="65">
        <f>(1000000/(100*100*0.3*1.41*1000))*11.1</f>
        <v>2.624113475177305</v>
      </c>
      <c r="DF1586" s="65" t="s">
        <v>1635</v>
      </c>
      <c r="GP1586" s="292" t="s">
        <v>7494</v>
      </c>
      <c r="JU1586" s="55" t="s">
        <v>1086</v>
      </c>
      <c r="JW1586" s="55" t="s">
        <v>1073</v>
      </c>
    </row>
    <row r="1587" spans="1:283" x14ac:dyDescent="0.25">
      <c r="A1587" s="55">
        <v>1586</v>
      </c>
      <c r="B1587" s="12" t="s">
        <v>7067</v>
      </c>
      <c r="C1587" s="155">
        <v>73</v>
      </c>
      <c r="D1587" s="55" t="s">
        <v>4001</v>
      </c>
      <c r="E1587" s="90" t="s">
        <v>1074</v>
      </c>
      <c r="G1587" s="55" t="s">
        <v>1075</v>
      </c>
      <c r="H1587" s="55">
        <v>2003</v>
      </c>
      <c r="I1587" s="55">
        <v>1993</v>
      </c>
      <c r="J1587" s="55" t="s">
        <v>1076</v>
      </c>
      <c r="K1587" s="55" t="s">
        <v>1104</v>
      </c>
      <c r="L1587" s="55" t="s">
        <v>2738</v>
      </c>
      <c r="M1587" s="90">
        <v>50.29</v>
      </c>
      <c r="N1587" s="90">
        <v>-107.8</v>
      </c>
      <c r="O1587" s="90">
        <v>757</v>
      </c>
      <c r="U1587" s="55">
        <v>6</v>
      </c>
      <c r="V1587" s="55" t="s">
        <v>1889</v>
      </c>
      <c r="Y1587" s="55" t="s">
        <v>1081</v>
      </c>
      <c r="Z1587" s="55" t="s">
        <v>1369</v>
      </c>
      <c r="AA1587" s="90" t="s">
        <v>1680</v>
      </c>
      <c r="AD1587" s="90">
        <v>1.41</v>
      </c>
      <c r="AH1587" s="55" t="s">
        <v>139</v>
      </c>
      <c r="AM1587" s="55" t="s">
        <v>1323</v>
      </c>
      <c r="AN1587" s="185" t="s">
        <v>553</v>
      </c>
      <c r="AO1587" s="185" t="s">
        <v>5150</v>
      </c>
      <c r="AQ1587" s="55" t="s">
        <v>553</v>
      </c>
      <c r="AR1587" s="55" t="s">
        <v>1500</v>
      </c>
      <c r="AS1587" s="55" t="s">
        <v>116</v>
      </c>
      <c r="AT1587" s="181" t="s">
        <v>1065</v>
      </c>
      <c r="AU1587" s="181" t="s">
        <v>5150</v>
      </c>
      <c r="AV1587" s="185" t="s">
        <v>176</v>
      </c>
      <c r="AW1587" s="55" t="s">
        <v>1065</v>
      </c>
      <c r="AX1587" s="185" t="s">
        <v>176</v>
      </c>
      <c r="AY1587" s="55" t="s">
        <v>176</v>
      </c>
      <c r="BE1587" s="226" t="s">
        <v>1079</v>
      </c>
      <c r="BF1587" s="191" t="s">
        <v>479</v>
      </c>
      <c r="BG1587" s="55" t="s">
        <v>479</v>
      </c>
      <c r="BH1587" s="226" t="s">
        <v>1080</v>
      </c>
      <c r="BI1587" s="55" t="s">
        <v>479</v>
      </c>
      <c r="BJ1587" s="55" t="s">
        <v>479</v>
      </c>
      <c r="BK1587" s="55" t="s">
        <v>5976</v>
      </c>
      <c r="BM1587" s="192" t="s">
        <v>1078</v>
      </c>
      <c r="BN1587" s="55">
        <v>3</v>
      </c>
      <c r="BO1587" s="55">
        <v>3</v>
      </c>
      <c r="BQ1587" s="55" t="s">
        <v>141</v>
      </c>
      <c r="BV1587" s="55" t="s">
        <v>1082</v>
      </c>
      <c r="DB1587" s="65">
        <f>(1000000/(100*100*0.3*1.41*1000))*22.1</f>
        <v>5.2245862884160763</v>
      </c>
      <c r="DC1587" s="65">
        <f>(1000000/(100*100*0.3*1.41*1000))*22.6</f>
        <v>5.3427895981087472</v>
      </c>
      <c r="DF1587" s="65" t="s">
        <v>1635</v>
      </c>
      <c r="GP1587" s="292" t="s">
        <v>7494</v>
      </c>
      <c r="JU1587" s="55" t="s">
        <v>1086</v>
      </c>
      <c r="JW1587" s="55" t="s">
        <v>1073</v>
      </c>
    </row>
    <row r="1588" spans="1:283" x14ac:dyDescent="0.25">
      <c r="A1588" s="55">
        <v>1587</v>
      </c>
      <c r="B1588" s="12" t="s">
        <v>7067</v>
      </c>
      <c r="C1588" s="155">
        <v>73</v>
      </c>
      <c r="D1588" s="55" t="s">
        <v>4001</v>
      </c>
      <c r="E1588" s="90" t="s">
        <v>1074</v>
      </c>
      <c r="G1588" s="55" t="s">
        <v>1075</v>
      </c>
      <c r="H1588" s="55">
        <v>2003</v>
      </c>
      <c r="I1588" s="55">
        <v>1994</v>
      </c>
      <c r="J1588" s="55" t="s">
        <v>1076</v>
      </c>
      <c r="K1588" s="55" t="s">
        <v>1104</v>
      </c>
      <c r="L1588" s="55" t="s">
        <v>2738</v>
      </c>
      <c r="M1588" s="90">
        <v>50.29</v>
      </c>
      <c r="N1588" s="90">
        <v>-107.8</v>
      </c>
      <c r="O1588" s="90">
        <v>757</v>
      </c>
      <c r="U1588" s="55">
        <v>7</v>
      </c>
      <c r="V1588" s="55" t="s">
        <v>1889</v>
      </c>
      <c r="Y1588" s="55" t="s">
        <v>1081</v>
      </c>
      <c r="Z1588" s="55" t="s">
        <v>1369</v>
      </c>
      <c r="AA1588" s="90" t="s">
        <v>1680</v>
      </c>
      <c r="AD1588" s="90">
        <v>1.41</v>
      </c>
      <c r="AH1588" s="55" t="s">
        <v>139</v>
      </c>
      <c r="AM1588" s="55" t="s">
        <v>1323</v>
      </c>
      <c r="AN1588" s="185" t="s">
        <v>553</v>
      </c>
      <c r="AO1588" s="185" t="s">
        <v>5150</v>
      </c>
      <c r="AQ1588" s="55" t="s">
        <v>553</v>
      </c>
      <c r="AR1588" s="55" t="s">
        <v>1500</v>
      </c>
      <c r="AS1588" s="55" t="s">
        <v>116</v>
      </c>
      <c r="AT1588" s="181" t="s">
        <v>1065</v>
      </c>
      <c r="AU1588" s="181" t="s">
        <v>5150</v>
      </c>
      <c r="AV1588" s="185" t="s">
        <v>176</v>
      </c>
      <c r="AW1588" s="55" t="s">
        <v>1065</v>
      </c>
      <c r="AX1588" s="185" t="s">
        <v>176</v>
      </c>
      <c r="AY1588" s="55" t="s">
        <v>176</v>
      </c>
      <c r="BE1588" s="226" t="s">
        <v>1079</v>
      </c>
      <c r="BF1588" s="191" t="s">
        <v>479</v>
      </c>
      <c r="BG1588" s="55" t="s">
        <v>479</v>
      </c>
      <c r="BH1588" s="226" t="s">
        <v>1080</v>
      </c>
      <c r="BI1588" s="55" t="s">
        <v>479</v>
      </c>
      <c r="BJ1588" s="55" t="s">
        <v>479</v>
      </c>
      <c r="BK1588" s="55" t="s">
        <v>5976</v>
      </c>
      <c r="BM1588" s="192" t="s">
        <v>1078</v>
      </c>
      <c r="BN1588" s="55">
        <v>3</v>
      </c>
      <c r="BO1588" s="55">
        <v>3</v>
      </c>
      <c r="BQ1588" s="55" t="s">
        <v>141</v>
      </c>
      <c r="BV1588" s="55" t="s">
        <v>1082</v>
      </c>
      <c r="DB1588" s="65">
        <f>(1000000/(100*100*0.3*1.41*1000))*9</f>
        <v>2.1276595744680851</v>
      </c>
      <c r="DC1588" s="65">
        <f>(1000000/(100*100*0.3*1.41*1000))*14.6</f>
        <v>3.4515366430260048</v>
      </c>
      <c r="DF1588" s="65" t="s">
        <v>1635</v>
      </c>
      <c r="GP1588" s="292" t="s">
        <v>7494</v>
      </c>
      <c r="JU1588" s="55" t="s">
        <v>1086</v>
      </c>
      <c r="JW1588" s="55" t="s">
        <v>1073</v>
      </c>
    </row>
    <row r="1589" spans="1:283" x14ac:dyDescent="0.25">
      <c r="A1589" s="55">
        <v>1588</v>
      </c>
      <c r="B1589" s="12" t="s">
        <v>7067</v>
      </c>
      <c r="C1589" s="155">
        <v>73</v>
      </c>
      <c r="D1589" s="55" t="s">
        <v>4001</v>
      </c>
      <c r="E1589" s="90" t="s">
        <v>1074</v>
      </c>
      <c r="G1589" s="55" t="s">
        <v>1075</v>
      </c>
      <c r="H1589" s="55">
        <v>2003</v>
      </c>
      <c r="I1589" s="55">
        <v>1995</v>
      </c>
      <c r="J1589" s="55" t="s">
        <v>1076</v>
      </c>
      <c r="K1589" s="55" t="s">
        <v>1104</v>
      </c>
      <c r="L1589" s="55" t="s">
        <v>2738</v>
      </c>
      <c r="M1589" s="90">
        <v>50.29</v>
      </c>
      <c r="N1589" s="90">
        <v>-107.8</v>
      </c>
      <c r="O1589" s="90">
        <v>757</v>
      </c>
      <c r="U1589" s="55">
        <v>8</v>
      </c>
      <c r="V1589" s="55" t="s">
        <v>1889</v>
      </c>
      <c r="Y1589" s="55" t="s">
        <v>1081</v>
      </c>
      <c r="Z1589" s="55" t="s">
        <v>1369</v>
      </c>
      <c r="AA1589" s="90" t="s">
        <v>1680</v>
      </c>
      <c r="AD1589" s="90">
        <v>1.41</v>
      </c>
      <c r="AH1589" s="55" t="s">
        <v>139</v>
      </c>
      <c r="AM1589" s="55" t="s">
        <v>1323</v>
      </c>
      <c r="AN1589" s="185" t="s">
        <v>553</v>
      </c>
      <c r="AO1589" s="185" t="s">
        <v>5150</v>
      </c>
      <c r="AQ1589" s="55" t="s">
        <v>553</v>
      </c>
      <c r="AR1589" s="55" t="s">
        <v>1500</v>
      </c>
      <c r="AS1589" s="55" t="s">
        <v>116</v>
      </c>
      <c r="AT1589" s="181" t="s">
        <v>1065</v>
      </c>
      <c r="AU1589" s="181" t="s">
        <v>5150</v>
      </c>
      <c r="AV1589" s="185" t="s">
        <v>176</v>
      </c>
      <c r="AW1589" s="55" t="s">
        <v>1065</v>
      </c>
      <c r="AX1589" s="185" t="s">
        <v>176</v>
      </c>
      <c r="AY1589" s="55" t="s">
        <v>176</v>
      </c>
      <c r="BE1589" s="226" t="s">
        <v>1079</v>
      </c>
      <c r="BF1589" s="191" t="s">
        <v>479</v>
      </c>
      <c r="BG1589" s="55" t="s">
        <v>479</v>
      </c>
      <c r="BH1589" s="226" t="s">
        <v>1080</v>
      </c>
      <c r="BI1589" s="55" t="s">
        <v>479</v>
      </c>
      <c r="BJ1589" s="55" t="s">
        <v>479</v>
      </c>
      <c r="BK1589" s="55" t="s">
        <v>5976</v>
      </c>
      <c r="BM1589" s="192" t="s">
        <v>1078</v>
      </c>
      <c r="BN1589" s="55">
        <v>3</v>
      </c>
      <c r="BO1589" s="55">
        <v>3</v>
      </c>
      <c r="BQ1589" s="55" t="s">
        <v>141</v>
      </c>
      <c r="BV1589" s="55" t="s">
        <v>1082</v>
      </c>
      <c r="DB1589" s="65">
        <f>(1000000/(100*100*0.3*1.41*1000))*16.9</f>
        <v>3.9952718676122929</v>
      </c>
      <c r="DC1589" s="65">
        <f>(1000000/(100*100*0.3*1.41*1000))*15.8</f>
        <v>3.7352245862884166</v>
      </c>
      <c r="DF1589" s="65" t="s">
        <v>1635</v>
      </c>
      <c r="GP1589" s="292" t="s">
        <v>7494</v>
      </c>
      <c r="JU1589" s="55" t="s">
        <v>1086</v>
      </c>
      <c r="JW1589" s="55" t="s">
        <v>1073</v>
      </c>
    </row>
    <row r="1590" spans="1:283" x14ac:dyDescent="0.25">
      <c r="A1590" s="55">
        <v>1589</v>
      </c>
      <c r="B1590" s="12" t="s">
        <v>7067</v>
      </c>
      <c r="C1590" s="155">
        <v>73</v>
      </c>
      <c r="D1590" s="55" t="s">
        <v>4001</v>
      </c>
      <c r="E1590" s="90" t="s">
        <v>1074</v>
      </c>
      <c r="G1590" s="55" t="s">
        <v>1075</v>
      </c>
      <c r="H1590" s="55">
        <v>2003</v>
      </c>
      <c r="I1590" s="55">
        <v>1996</v>
      </c>
      <c r="J1590" s="55" t="s">
        <v>1076</v>
      </c>
      <c r="K1590" s="55" t="s">
        <v>1104</v>
      </c>
      <c r="L1590" s="55" t="s">
        <v>2738</v>
      </c>
      <c r="M1590" s="90">
        <v>50.29</v>
      </c>
      <c r="N1590" s="90">
        <v>-107.8</v>
      </c>
      <c r="O1590" s="90">
        <v>757</v>
      </c>
      <c r="U1590" s="55">
        <v>9</v>
      </c>
      <c r="V1590" s="55" t="s">
        <v>1889</v>
      </c>
      <c r="Y1590" s="55" t="s">
        <v>1081</v>
      </c>
      <c r="Z1590" s="55" t="s">
        <v>1369</v>
      </c>
      <c r="AA1590" s="90" t="s">
        <v>1680</v>
      </c>
      <c r="AD1590" s="90">
        <v>1.41</v>
      </c>
      <c r="AH1590" s="55" t="s">
        <v>139</v>
      </c>
      <c r="AM1590" s="55" t="s">
        <v>1323</v>
      </c>
      <c r="AN1590" s="185" t="s">
        <v>553</v>
      </c>
      <c r="AO1590" s="185" t="s">
        <v>5150</v>
      </c>
      <c r="AQ1590" s="55" t="s">
        <v>553</v>
      </c>
      <c r="AR1590" s="55" t="s">
        <v>1500</v>
      </c>
      <c r="AS1590" s="55" t="s">
        <v>116</v>
      </c>
      <c r="AT1590" s="181" t="s">
        <v>1065</v>
      </c>
      <c r="AU1590" s="181" t="s">
        <v>5150</v>
      </c>
      <c r="AV1590" s="185" t="s">
        <v>176</v>
      </c>
      <c r="AW1590" s="55" t="s">
        <v>1065</v>
      </c>
      <c r="AX1590" s="185" t="s">
        <v>176</v>
      </c>
      <c r="AY1590" s="55" t="s">
        <v>176</v>
      </c>
      <c r="BE1590" s="226" t="s">
        <v>1079</v>
      </c>
      <c r="BF1590" s="191" t="s">
        <v>479</v>
      </c>
      <c r="BG1590" s="55" t="s">
        <v>479</v>
      </c>
      <c r="BH1590" s="226" t="s">
        <v>1080</v>
      </c>
      <c r="BI1590" s="55" t="s">
        <v>479</v>
      </c>
      <c r="BJ1590" s="55" t="s">
        <v>479</v>
      </c>
      <c r="BK1590" s="55" t="s">
        <v>5976</v>
      </c>
      <c r="BM1590" s="192" t="s">
        <v>1078</v>
      </c>
      <c r="BN1590" s="55">
        <v>3</v>
      </c>
      <c r="BO1590" s="55">
        <v>3</v>
      </c>
      <c r="BQ1590" s="55" t="s">
        <v>141</v>
      </c>
      <c r="BV1590" s="55" t="s">
        <v>1082</v>
      </c>
      <c r="DB1590" s="65">
        <f>(1000000/(100*100*0.3*1.41*1000))*16.6</f>
        <v>3.9243498817966906</v>
      </c>
      <c r="DC1590" s="65">
        <f>(1000000/(100*100*0.3*1.41*1000))*36.1</f>
        <v>8.5342789598108748</v>
      </c>
      <c r="DF1590" s="65" t="s">
        <v>1635</v>
      </c>
      <c r="GP1590" s="292" t="s">
        <v>7494</v>
      </c>
      <c r="JU1590" s="55" t="s">
        <v>1086</v>
      </c>
      <c r="JW1590" s="55" t="s">
        <v>1073</v>
      </c>
    </row>
    <row r="1591" spans="1:283" x14ac:dyDescent="0.25">
      <c r="A1591" s="55">
        <v>1590</v>
      </c>
      <c r="B1591" s="12" t="s">
        <v>7067</v>
      </c>
      <c r="C1591" s="155">
        <v>73</v>
      </c>
      <c r="D1591" s="55" t="s">
        <v>4001</v>
      </c>
      <c r="E1591" s="90" t="s">
        <v>1074</v>
      </c>
      <c r="G1591" s="55" t="s">
        <v>1075</v>
      </c>
      <c r="H1591" s="55">
        <v>2003</v>
      </c>
      <c r="I1591" s="55">
        <v>1997</v>
      </c>
      <c r="J1591" s="55" t="s">
        <v>1076</v>
      </c>
      <c r="K1591" s="55" t="s">
        <v>1104</v>
      </c>
      <c r="L1591" s="55" t="s">
        <v>2738</v>
      </c>
      <c r="M1591" s="90">
        <v>50.29</v>
      </c>
      <c r="N1591" s="90">
        <v>-107.8</v>
      </c>
      <c r="O1591" s="90">
        <v>757</v>
      </c>
      <c r="U1591" s="55">
        <v>10</v>
      </c>
      <c r="V1591" s="55" t="s">
        <v>1889</v>
      </c>
      <c r="Y1591" s="55" t="s">
        <v>1081</v>
      </c>
      <c r="Z1591" s="55" t="s">
        <v>1369</v>
      </c>
      <c r="AA1591" s="90" t="s">
        <v>1680</v>
      </c>
      <c r="AD1591" s="90">
        <v>1.41</v>
      </c>
      <c r="AH1591" s="55" t="s">
        <v>139</v>
      </c>
      <c r="AM1591" s="55" t="s">
        <v>1323</v>
      </c>
      <c r="AN1591" s="185" t="s">
        <v>553</v>
      </c>
      <c r="AO1591" s="185" t="s">
        <v>5150</v>
      </c>
      <c r="AQ1591" s="55" t="s">
        <v>553</v>
      </c>
      <c r="AR1591" s="55" t="s">
        <v>1500</v>
      </c>
      <c r="AS1591" s="55" t="s">
        <v>116</v>
      </c>
      <c r="AT1591" s="181" t="s">
        <v>1065</v>
      </c>
      <c r="AU1591" s="181" t="s">
        <v>5150</v>
      </c>
      <c r="AV1591" s="185" t="s">
        <v>176</v>
      </c>
      <c r="AW1591" s="55" t="s">
        <v>1065</v>
      </c>
      <c r="AX1591" s="185" t="s">
        <v>176</v>
      </c>
      <c r="AY1591" s="55" t="s">
        <v>176</v>
      </c>
      <c r="BE1591" s="226" t="s">
        <v>1079</v>
      </c>
      <c r="BF1591" s="191" t="s">
        <v>479</v>
      </c>
      <c r="BG1591" s="55" t="s">
        <v>479</v>
      </c>
      <c r="BH1591" s="226" t="s">
        <v>1080</v>
      </c>
      <c r="BI1591" s="55" t="s">
        <v>479</v>
      </c>
      <c r="BJ1591" s="55" t="s">
        <v>479</v>
      </c>
      <c r="BK1591" s="55" t="s">
        <v>5976</v>
      </c>
      <c r="BM1591" s="192" t="s">
        <v>1078</v>
      </c>
      <c r="BN1591" s="55">
        <v>3</v>
      </c>
      <c r="BO1591" s="55">
        <v>3</v>
      </c>
      <c r="BQ1591" s="55" t="s">
        <v>141</v>
      </c>
      <c r="BV1591" s="55" t="s">
        <v>1082</v>
      </c>
      <c r="DB1591" s="65">
        <f>(1000000/(100*100*0.3*1.41*1000))*26.4</f>
        <v>6.2411347517730498</v>
      </c>
      <c r="DC1591" s="65">
        <f>(1000000/(100*100*0.3*1.41*1000))*35.9</f>
        <v>8.4869976359338057</v>
      </c>
      <c r="DF1591" s="65" t="s">
        <v>1635</v>
      </c>
      <c r="GP1591" s="292" t="s">
        <v>7494</v>
      </c>
      <c r="JU1591" s="55" t="s">
        <v>1086</v>
      </c>
      <c r="JW1591" s="55" t="s">
        <v>1073</v>
      </c>
    </row>
    <row r="1592" spans="1:283" x14ac:dyDescent="0.25">
      <c r="A1592" s="55">
        <v>1591</v>
      </c>
      <c r="B1592" s="12" t="s">
        <v>7067</v>
      </c>
      <c r="C1592" s="155">
        <v>73</v>
      </c>
      <c r="D1592" s="55" t="s">
        <v>4001</v>
      </c>
      <c r="E1592" s="90" t="s">
        <v>1074</v>
      </c>
      <c r="G1592" s="55" t="s">
        <v>1075</v>
      </c>
      <c r="H1592" s="55">
        <v>2003</v>
      </c>
      <c r="I1592" s="55">
        <v>1998</v>
      </c>
      <c r="J1592" s="55" t="s">
        <v>1076</v>
      </c>
      <c r="K1592" s="55" t="s">
        <v>1104</v>
      </c>
      <c r="L1592" s="55" t="s">
        <v>2738</v>
      </c>
      <c r="M1592" s="90">
        <v>50.29</v>
      </c>
      <c r="N1592" s="90">
        <v>-107.8</v>
      </c>
      <c r="O1592" s="90">
        <v>757</v>
      </c>
      <c r="U1592" s="55">
        <v>11</v>
      </c>
      <c r="V1592" s="55" t="s">
        <v>1889</v>
      </c>
      <c r="Y1592" s="55" t="s">
        <v>1081</v>
      </c>
      <c r="Z1592" s="55" t="s">
        <v>1369</v>
      </c>
      <c r="AA1592" s="90" t="s">
        <v>1680</v>
      </c>
      <c r="AD1592" s="90">
        <v>1.41</v>
      </c>
      <c r="AH1592" s="55" t="s">
        <v>139</v>
      </c>
      <c r="AM1592" s="55" t="s">
        <v>1323</v>
      </c>
      <c r="AN1592" s="185" t="s">
        <v>553</v>
      </c>
      <c r="AO1592" s="185" t="s">
        <v>5150</v>
      </c>
      <c r="AQ1592" s="55" t="s">
        <v>553</v>
      </c>
      <c r="AR1592" s="55" t="s">
        <v>1500</v>
      </c>
      <c r="AS1592" s="55" t="s">
        <v>116</v>
      </c>
      <c r="AT1592" s="181" t="s">
        <v>1065</v>
      </c>
      <c r="AU1592" s="181" t="s">
        <v>5150</v>
      </c>
      <c r="AV1592" s="185" t="s">
        <v>176</v>
      </c>
      <c r="AW1592" s="55" t="s">
        <v>1065</v>
      </c>
      <c r="AX1592" s="185" t="s">
        <v>176</v>
      </c>
      <c r="AY1592" s="55" t="s">
        <v>176</v>
      </c>
      <c r="BE1592" s="226" t="s">
        <v>1079</v>
      </c>
      <c r="BF1592" s="191" t="s">
        <v>479</v>
      </c>
      <c r="BG1592" s="55" t="s">
        <v>479</v>
      </c>
      <c r="BH1592" s="226" t="s">
        <v>1080</v>
      </c>
      <c r="BI1592" s="55" t="s">
        <v>479</v>
      </c>
      <c r="BJ1592" s="55" t="s">
        <v>479</v>
      </c>
      <c r="BK1592" s="55" t="s">
        <v>5976</v>
      </c>
      <c r="BM1592" s="192" t="s">
        <v>1078</v>
      </c>
      <c r="BN1592" s="55">
        <v>3</v>
      </c>
      <c r="BO1592" s="55">
        <v>3</v>
      </c>
      <c r="BQ1592" s="55" t="s">
        <v>141</v>
      </c>
      <c r="BV1592" s="55" t="s">
        <v>1082</v>
      </c>
      <c r="DB1592" s="65">
        <f>(1000000/(100*100*0.3*1.41*1000))*18.2</f>
        <v>4.3026004728132383</v>
      </c>
      <c r="DC1592" s="65">
        <f>(1000000/(100*100*0.3*1.41*1000))*21.3</f>
        <v>5.0354609929078018</v>
      </c>
      <c r="DF1592" s="65" t="s">
        <v>1635</v>
      </c>
      <c r="GP1592" s="292" t="s">
        <v>7494</v>
      </c>
      <c r="JU1592" s="55" t="s">
        <v>1086</v>
      </c>
      <c r="JW1592" s="55" t="s">
        <v>1073</v>
      </c>
    </row>
    <row r="1593" spans="1:283" x14ac:dyDescent="0.25">
      <c r="A1593" s="55">
        <v>1592</v>
      </c>
      <c r="B1593" s="12" t="s">
        <v>7067</v>
      </c>
      <c r="C1593" s="155">
        <v>73</v>
      </c>
      <c r="D1593" s="55" t="s">
        <v>4001</v>
      </c>
      <c r="E1593" s="90" t="s">
        <v>1074</v>
      </c>
      <c r="G1593" s="55" t="s">
        <v>1075</v>
      </c>
      <c r="H1593" s="55">
        <v>2003</v>
      </c>
      <c r="I1593" s="55">
        <v>1999</v>
      </c>
      <c r="J1593" s="55" t="s">
        <v>1076</v>
      </c>
      <c r="K1593" s="55" t="s">
        <v>1104</v>
      </c>
      <c r="L1593" s="55" t="s">
        <v>2738</v>
      </c>
      <c r="M1593" s="90">
        <v>50.29</v>
      </c>
      <c r="N1593" s="90">
        <v>-107.8</v>
      </c>
      <c r="O1593" s="90">
        <v>757</v>
      </c>
      <c r="U1593" s="55">
        <v>12</v>
      </c>
      <c r="V1593" s="55" t="s">
        <v>1889</v>
      </c>
      <c r="Y1593" s="55" t="s">
        <v>1081</v>
      </c>
      <c r="Z1593" s="55" t="s">
        <v>1369</v>
      </c>
      <c r="AA1593" s="90" t="s">
        <v>1680</v>
      </c>
      <c r="AD1593" s="90">
        <v>1.41</v>
      </c>
      <c r="AH1593" s="55" t="s">
        <v>139</v>
      </c>
      <c r="AM1593" s="55" t="s">
        <v>1323</v>
      </c>
      <c r="AN1593" s="185" t="s">
        <v>553</v>
      </c>
      <c r="AO1593" s="185" t="s">
        <v>5150</v>
      </c>
      <c r="AQ1593" s="55" t="s">
        <v>553</v>
      </c>
      <c r="AR1593" s="55" t="s">
        <v>1500</v>
      </c>
      <c r="AS1593" s="55" t="s">
        <v>116</v>
      </c>
      <c r="AT1593" s="181" t="s">
        <v>1065</v>
      </c>
      <c r="AU1593" s="181" t="s">
        <v>5150</v>
      </c>
      <c r="AV1593" s="185" t="s">
        <v>176</v>
      </c>
      <c r="AW1593" s="55" t="s">
        <v>1065</v>
      </c>
      <c r="AX1593" s="185" t="s">
        <v>176</v>
      </c>
      <c r="AY1593" s="55" t="s">
        <v>176</v>
      </c>
      <c r="BE1593" s="226" t="s">
        <v>1079</v>
      </c>
      <c r="BF1593" s="191" t="s">
        <v>479</v>
      </c>
      <c r="BG1593" s="55" t="s">
        <v>479</v>
      </c>
      <c r="BH1593" s="226" t="s">
        <v>1080</v>
      </c>
      <c r="BI1593" s="55" t="s">
        <v>479</v>
      </c>
      <c r="BJ1593" s="55" t="s">
        <v>479</v>
      </c>
      <c r="BK1593" s="55" t="s">
        <v>5976</v>
      </c>
      <c r="BM1593" s="192" t="s">
        <v>1078</v>
      </c>
      <c r="BN1593" s="55">
        <v>3</v>
      </c>
      <c r="BO1593" s="55">
        <v>3</v>
      </c>
      <c r="BQ1593" s="55" t="s">
        <v>141</v>
      </c>
      <c r="BV1593" s="55" t="s">
        <v>1082</v>
      </c>
      <c r="DB1593" s="65">
        <f>(1000000/(100*100*0.3*1.41*1000))*28.1</f>
        <v>6.6430260047281333</v>
      </c>
      <c r="DC1593" s="65">
        <f>(1000000/(100*100*0.3*1.41*1000))*14.3</f>
        <v>3.3806146572104021</v>
      </c>
      <c r="DF1593" s="65" t="s">
        <v>1635</v>
      </c>
      <c r="GP1593" s="292" t="s">
        <v>7494</v>
      </c>
      <c r="JU1593" s="55" t="s">
        <v>1086</v>
      </c>
      <c r="JW1593" s="55" t="s">
        <v>1073</v>
      </c>
    </row>
    <row r="1594" spans="1:283" x14ac:dyDescent="0.25">
      <c r="A1594" s="55">
        <v>1593</v>
      </c>
      <c r="B1594" s="12" t="s">
        <v>7067</v>
      </c>
      <c r="C1594" s="155">
        <v>73</v>
      </c>
      <c r="D1594" s="55" t="s">
        <v>4001</v>
      </c>
      <c r="E1594" s="90" t="s">
        <v>1074</v>
      </c>
      <c r="G1594" s="55" t="s">
        <v>1075</v>
      </c>
      <c r="H1594" s="55">
        <v>2003</v>
      </c>
      <c r="I1594" s="55">
        <v>1988</v>
      </c>
      <c r="J1594" s="55" t="s">
        <v>1076</v>
      </c>
      <c r="K1594" s="55" t="s">
        <v>1104</v>
      </c>
      <c r="L1594" s="55" t="s">
        <v>2738</v>
      </c>
      <c r="M1594" s="90">
        <v>50.29</v>
      </c>
      <c r="N1594" s="90">
        <v>-107.8</v>
      </c>
      <c r="O1594" s="90">
        <v>757</v>
      </c>
      <c r="U1594" s="55">
        <v>1</v>
      </c>
      <c r="V1594" s="55" t="s">
        <v>1889</v>
      </c>
      <c r="Y1594" s="55" t="s">
        <v>1081</v>
      </c>
      <c r="Z1594" s="55" t="s">
        <v>1370</v>
      </c>
      <c r="AA1594" s="90" t="s">
        <v>1680</v>
      </c>
      <c r="AD1594" s="90">
        <v>1.61</v>
      </c>
      <c r="AH1594" s="55" t="s">
        <v>139</v>
      </c>
      <c r="AM1594" s="55" t="s">
        <v>1323</v>
      </c>
      <c r="AN1594" s="185" t="s">
        <v>553</v>
      </c>
      <c r="AO1594" s="185" t="s">
        <v>5150</v>
      </c>
      <c r="AQ1594" s="55" t="s">
        <v>553</v>
      </c>
      <c r="AR1594" s="55" t="s">
        <v>1500</v>
      </c>
      <c r="AS1594" s="55" t="s">
        <v>116</v>
      </c>
      <c r="AT1594" s="181" t="s">
        <v>1065</v>
      </c>
      <c r="AU1594" s="181" t="s">
        <v>5150</v>
      </c>
      <c r="AV1594" s="185" t="s">
        <v>176</v>
      </c>
      <c r="AW1594" s="55" t="s">
        <v>1065</v>
      </c>
      <c r="AX1594" s="185" t="s">
        <v>176</v>
      </c>
      <c r="AY1594" s="55" t="s">
        <v>176</v>
      </c>
      <c r="BE1594" s="226" t="s">
        <v>1079</v>
      </c>
      <c r="BF1594" s="191" t="s">
        <v>479</v>
      </c>
      <c r="BG1594" s="55" t="s">
        <v>479</v>
      </c>
      <c r="BH1594" s="226" t="s">
        <v>1080</v>
      </c>
      <c r="BI1594" s="55" t="s">
        <v>479</v>
      </c>
      <c r="BJ1594" s="55" t="s">
        <v>479</v>
      </c>
      <c r="BK1594" s="55" t="s">
        <v>5976</v>
      </c>
      <c r="BM1594" s="192" t="s">
        <v>1078</v>
      </c>
      <c r="BN1594" s="55">
        <v>3</v>
      </c>
      <c r="BO1594" s="55">
        <v>3</v>
      </c>
      <c r="BQ1594" s="55" t="s">
        <v>141</v>
      </c>
      <c r="BV1594" s="55" t="s">
        <v>1082</v>
      </c>
      <c r="DB1594" s="65">
        <f>(1000000/(100*100*0.3*1.61*1000))*31.7</f>
        <v>6.5631469979296071</v>
      </c>
      <c r="DC1594" s="65">
        <f>(1000000/(100*100*0.3*1.61*1000))*14.3</f>
        <v>2.9606625258799175</v>
      </c>
      <c r="DF1594" s="65" t="s">
        <v>1635</v>
      </c>
      <c r="GP1594" s="292" t="s">
        <v>7494</v>
      </c>
      <c r="JU1594" s="55" t="s">
        <v>1086</v>
      </c>
      <c r="JW1594" s="55" t="s">
        <v>1073</v>
      </c>
    </row>
    <row r="1595" spans="1:283" x14ac:dyDescent="0.25">
      <c r="A1595" s="55">
        <v>1594</v>
      </c>
      <c r="B1595" s="12" t="s">
        <v>7067</v>
      </c>
      <c r="C1595" s="155">
        <v>73</v>
      </c>
      <c r="D1595" s="55" t="s">
        <v>4001</v>
      </c>
      <c r="E1595" s="90" t="s">
        <v>1074</v>
      </c>
      <c r="G1595" s="55" t="s">
        <v>1075</v>
      </c>
      <c r="H1595" s="55">
        <v>2003</v>
      </c>
      <c r="I1595" s="55">
        <v>1989</v>
      </c>
      <c r="J1595" s="55" t="s">
        <v>1076</v>
      </c>
      <c r="K1595" s="55" t="s">
        <v>1104</v>
      </c>
      <c r="L1595" s="55" t="s">
        <v>2738</v>
      </c>
      <c r="M1595" s="90">
        <v>50.29</v>
      </c>
      <c r="N1595" s="90">
        <v>-107.8</v>
      </c>
      <c r="O1595" s="90">
        <v>757</v>
      </c>
      <c r="U1595" s="55">
        <v>2</v>
      </c>
      <c r="V1595" s="55" t="s">
        <v>1889</v>
      </c>
      <c r="Y1595" s="55" t="s">
        <v>1081</v>
      </c>
      <c r="Z1595" s="55" t="s">
        <v>1370</v>
      </c>
      <c r="AA1595" s="90" t="s">
        <v>1680</v>
      </c>
      <c r="AD1595" s="90">
        <v>1.61</v>
      </c>
      <c r="AH1595" s="55" t="s">
        <v>139</v>
      </c>
      <c r="AM1595" s="55" t="s">
        <v>1323</v>
      </c>
      <c r="AN1595" s="185" t="s">
        <v>553</v>
      </c>
      <c r="AO1595" s="185" t="s">
        <v>5150</v>
      </c>
      <c r="AQ1595" s="55" t="s">
        <v>553</v>
      </c>
      <c r="AR1595" s="55" t="s">
        <v>1500</v>
      </c>
      <c r="AS1595" s="55" t="s">
        <v>116</v>
      </c>
      <c r="AT1595" s="181" t="s">
        <v>1065</v>
      </c>
      <c r="AU1595" s="181" t="s">
        <v>5150</v>
      </c>
      <c r="AV1595" s="185" t="s">
        <v>176</v>
      </c>
      <c r="AW1595" s="55" t="s">
        <v>1065</v>
      </c>
      <c r="AX1595" s="185" t="s">
        <v>176</v>
      </c>
      <c r="AY1595" s="55" t="s">
        <v>176</v>
      </c>
      <c r="BE1595" s="226" t="s">
        <v>1079</v>
      </c>
      <c r="BF1595" s="191" t="s">
        <v>479</v>
      </c>
      <c r="BG1595" s="55" t="s">
        <v>479</v>
      </c>
      <c r="BH1595" s="226" t="s">
        <v>1080</v>
      </c>
      <c r="BI1595" s="55" t="s">
        <v>479</v>
      </c>
      <c r="BJ1595" s="55" t="s">
        <v>479</v>
      </c>
      <c r="BK1595" s="55" t="s">
        <v>5976</v>
      </c>
      <c r="BM1595" s="192" t="s">
        <v>1078</v>
      </c>
      <c r="BN1595" s="55">
        <v>3</v>
      </c>
      <c r="BO1595" s="55">
        <v>3</v>
      </c>
      <c r="BQ1595" s="55" t="s">
        <v>141</v>
      </c>
      <c r="BV1595" s="55" t="s">
        <v>1082</v>
      </c>
      <c r="DB1595" s="65">
        <f>(1000000/(100*100*0.3*1.61*1000))*22.1</f>
        <v>4.5755693581780541</v>
      </c>
      <c r="DC1595" s="65">
        <f>(1000000/(100*100*0.3*1.61*1000))*17.2</f>
        <v>3.5610766045548656</v>
      </c>
      <c r="DF1595" s="65" t="s">
        <v>1635</v>
      </c>
      <c r="GP1595" s="292" t="s">
        <v>7494</v>
      </c>
      <c r="JU1595" s="55" t="s">
        <v>1086</v>
      </c>
      <c r="JW1595" s="55" t="s">
        <v>1073</v>
      </c>
    </row>
    <row r="1596" spans="1:283" x14ac:dyDescent="0.25">
      <c r="A1596" s="55">
        <v>1595</v>
      </c>
      <c r="B1596" s="12" t="s">
        <v>7067</v>
      </c>
      <c r="C1596" s="155">
        <v>73</v>
      </c>
      <c r="D1596" s="55" t="s">
        <v>4001</v>
      </c>
      <c r="E1596" s="90" t="s">
        <v>1074</v>
      </c>
      <c r="G1596" s="55" t="s">
        <v>1075</v>
      </c>
      <c r="H1596" s="55">
        <v>2003</v>
      </c>
      <c r="I1596" s="55">
        <v>1990</v>
      </c>
      <c r="J1596" s="55" t="s">
        <v>1076</v>
      </c>
      <c r="K1596" s="55" t="s">
        <v>1104</v>
      </c>
      <c r="L1596" s="55" t="s">
        <v>2738</v>
      </c>
      <c r="M1596" s="90">
        <v>50.29</v>
      </c>
      <c r="N1596" s="90">
        <v>-107.8</v>
      </c>
      <c r="O1596" s="90">
        <v>757</v>
      </c>
      <c r="U1596" s="55">
        <v>3</v>
      </c>
      <c r="V1596" s="55" t="s">
        <v>1889</v>
      </c>
      <c r="Y1596" s="55" t="s">
        <v>1081</v>
      </c>
      <c r="Z1596" s="55" t="s">
        <v>1370</v>
      </c>
      <c r="AA1596" s="90" t="s">
        <v>1680</v>
      </c>
      <c r="AD1596" s="90">
        <v>1.61</v>
      </c>
      <c r="AH1596" s="55" t="s">
        <v>139</v>
      </c>
      <c r="AM1596" s="55" t="s">
        <v>1323</v>
      </c>
      <c r="AN1596" s="185" t="s">
        <v>553</v>
      </c>
      <c r="AO1596" s="185" t="s">
        <v>5150</v>
      </c>
      <c r="AQ1596" s="55" t="s">
        <v>553</v>
      </c>
      <c r="AR1596" s="55" t="s">
        <v>1500</v>
      </c>
      <c r="AS1596" s="55" t="s">
        <v>116</v>
      </c>
      <c r="AT1596" s="181" t="s">
        <v>1065</v>
      </c>
      <c r="AU1596" s="181" t="s">
        <v>5150</v>
      </c>
      <c r="AV1596" s="185" t="s">
        <v>176</v>
      </c>
      <c r="AW1596" s="55" t="s">
        <v>1065</v>
      </c>
      <c r="AX1596" s="185" t="s">
        <v>176</v>
      </c>
      <c r="AY1596" s="55" t="s">
        <v>176</v>
      </c>
      <c r="BE1596" s="226" t="s">
        <v>1079</v>
      </c>
      <c r="BF1596" s="191" t="s">
        <v>479</v>
      </c>
      <c r="BG1596" s="55" t="s">
        <v>479</v>
      </c>
      <c r="BH1596" s="226" t="s">
        <v>1080</v>
      </c>
      <c r="BI1596" s="55" t="s">
        <v>479</v>
      </c>
      <c r="BJ1596" s="55" t="s">
        <v>479</v>
      </c>
      <c r="BK1596" s="55" t="s">
        <v>5976</v>
      </c>
      <c r="BM1596" s="192" t="s">
        <v>1078</v>
      </c>
      <c r="BN1596" s="55">
        <v>3</v>
      </c>
      <c r="BO1596" s="55">
        <v>3</v>
      </c>
      <c r="BQ1596" s="55" t="s">
        <v>141</v>
      </c>
      <c r="BV1596" s="55" t="s">
        <v>1082</v>
      </c>
      <c r="DB1596" s="65">
        <f>(1000000/(100*100*0.3*1.61*1000))*37.6</f>
        <v>7.7846790890269162</v>
      </c>
      <c r="DC1596" s="65">
        <f>(1000000/(100*100*0.3*1.61*1000))*30.6</f>
        <v>6.3354037267080754</v>
      </c>
      <c r="DF1596" s="65" t="s">
        <v>1635</v>
      </c>
      <c r="GP1596" s="292" t="s">
        <v>7494</v>
      </c>
      <c r="JU1596" s="55" t="s">
        <v>1086</v>
      </c>
      <c r="JW1596" s="55" t="s">
        <v>1073</v>
      </c>
    </row>
    <row r="1597" spans="1:283" x14ac:dyDescent="0.25">
      <c r="A1597" s="55">
        <v>1596</v>
      </c>
      <c r="B1597" s="12" t="s">
        <v>7067</v>
      </c>
      <c r="C1597" s="155">
        <v>73</v>
      </c>
      <c r="D1597" s="55" t="s">
        <v>4001</v>
      </c>
      <c r="E1597" s="90" t="s">
        <v>1074</v>
      </c>
      <c r="G1597" s="55" t="s">
        <v>1075</v>
      </c>
      <c r="H1597" s="55">
        <v>2003</v>
      </c>
      <c r="I1597" s="55">
        <v>1991</v>
      </c>
      <c r="J1597" s="55" t="s">
        <v>1076</v>
      </c>
      <c r="K1597" s="55" t="s">
        <v>1104</v>
      </c>
      <c r="L1597" s="55" t="s">
        <v>2738</v>
      </c>
      <c r="M1597" s="90">
        <v>50.29</v>
      </c>
      <c r="N1597" s="90">
        <v>-107.8</v>
      </c>
      <c r="O1597" s="90">
        <v>757</v>
      </c>
      <c r="U1597" s="55">
        <v>4</v>
      </c>
      <c r="V1597" s="55" t="s">
        <v>1889</v>
      </c>
      <c r="Y1597" s="55" t="s">
        <v>1081</v>
      </c>
      <c r="Z1597" s="55" t="s">
        <v>1370</v>
      </c>
      <c r="AA1597" s="90" t="s">
        <v>1680</v>
      </c>
      <c r="AD1597" s="90">
        <v>1.61</v>
      </c>
      <c r="AH1597" s="55" t="s">
        <v>139</v>
      </c>
      <c r="AM1597" s="55" t="s">
        <v>1323</v>
      </c>
      <c r="AN1597" s="185" t="s">
        <v>553</v>
      </c>
      <c r="AO1597" s="185" t="s">
        <v>5150</v>
      </c>
      <c r="AQ1597" s="55" t="s">
        <v>553</v>
      </c>
      <c r="AR1597" s="55" t="s">
        <v>1500</v>
      </c>
      <c r="AS1597" s="55" t="s">
        <v>116</v>
      </c>
      <c r="AT1597" s="181" t="s">
        <v>1065</v>
      </c>
      <c r="AU1597" s="181" t="s">
        <v>5150</v>
      </c>
      <c r="AV1597" s="185" t="s">
        <v>176</v>
      </c>
      <c r="AW1597" s="55" t="s">
        <v>1065</v>
      </c>
      <c r="AX1597" s="185" t="s">
        <v>176</v>
      </c>
      <c r="AY1597" s="55" t="s">
        <v>176</v>
      </c>
      <c r="BE1597" s="226" t="s">
        <v>1079</v>
      </c>
      <c r="BF1597" s="191" t="s">
        <v>479</v>
      </c>
      <c r="BG1597" s="55" t="s">
        <v>479</v>
      </c>
      <c r="BH1597" s="226" t="s">
        <v>1080</v>
      </c>
      <c r="BI1597" s="55" t="s">
        <v>479</v>
      </c>
      <c r="BJ1597" s="55" t="s">
        <v>479</v>
      </c>
      <c r="BK1597" s="55" t="s">
        <v>5976</v>
      </c>
      <c r="BM1597" s="192" t="s">
        <v>1078</v>
      </c>
      <c r="BN1597" s="55">
        <v>3</v>
      </c>
      <c r="BO1597" s="55">
        <v>3</v>
      </c>
      <c r="BQ1597" s="55" t="s">
        <v>141</v>
      </c>
      <c r="BV1597" s="55" t="s">
        <v>1082</v>
      </c>
      <c r="DB1597" s="65">
        <f>(1000000/(100*100*0.3*1.61*1000))*33.6</f>
        <v>6.9565217391304355</v>
      </c>
      <c r="DC1597" s="65">
        <f>(1000000/(100*100*0.3*1.61*1000))*50</f>
        <v>10.351966873706004</v>
      </c>
      <c r="DF1597" s="65" t="s">
        <v>1635</v>
      </c>
      <c r="GP1597" s="292" t="s">
        <v>7494</v>
      </c>
      <c r="JU1597" s="55" t="s">
        <v>1086</v>
      </c>
      <c r="JW1597" s="55" t="s">
        <v>1073</v>
      </c>
    </row>
    <row r="1598" spans="1:283" x14ac:dyDescent="0.25">
      <c r="A1598" s="55">
        <v>1597</v>
      </c>
      <c r="B1598" s="12" t="s">
        <v>7067</v>
      </c>
      <c r="C1598" s="155">
        <v>73</v>
      </c>
      <c r="D1598" s="55" t="s">
        <v>4001</v>
      </c>
      <c r="E1598" s="90" t="s">
        <v>1074</v>
      </c>
      <c r="G1598" s="55" t="s">
        <v>1075</v>
      </c>
      <c r="H1598" s="55">
        <v>2003</v>
      </c>
      <c r="I1598" s="55">
        <v>1992</v>
      </c>
      <c r="J1598" s="55" t="s">
        <v>1076</v>
      </c>
      <c r="K1598" s="55" t="s">
        <v>1104</v>
      </c>
      <c r="L1598" s="55" t="s">
        <v>2738</v>
      </c>
      <c r="M1598" s="90">
        <v>50.29</v>
      </c>
      <c r="N1598" s="90">
        <v>-107.8</v>
      </c>
      <c r="O1598" s="90">
        <v>757</v>
      </c>
      <c r="U1598" s="55">
        <v>5</v>
      </c>
      <c r="V1598" s="55" t="s">
        <v>1889</v>
      </c>
      <c r="Y1598" s="55" t="s">
        <v>1081</v>
      </c>
      <c r="Z1598" s="55" t="s">
        <v>1370</v>
      </c>
      <c r="AA1598" s="90" t="s">
        <v>1680</v>
      </c>
      <c r="AD1598" s="90">
        <v>1.61</v>
      </c>
      <c r="AH1598" s="55" t="s">
        <v>139</v>
      </c>
      <c r="AM1598" s="55" t="s">
        <v>1323</v>
      </c>
      <c r="AN1598" s="185" t="s">
        <v>553</v>
      </c>
      <c r="AO1598" s="185" t="s">
        <v>5150</v>
      </c>
      <c r="AQ1598" s="55" t="s">
        <v>553</v>
      </c>
      <c r="AR1598" s="55" t="s">
        <v>1500</v>
      </c>
      <c r="AS1598" s="55" t="s">
        <v>116</v>
      </c>
      <c r="AT1598" s="181" t="s">
        <v>1065</v>
      </c>
      <c r="AU1598" s="181" t="s">
        <v>5150</v>
      </c>
      <c r="AV1598" s="185" t="s">
        <v>176</v>
      </c>
      <c r="AW1598" s="55" t="s">
        <v>1065</v>
      </c>
      <c r="AX1598" s="185" t="s">
        <v>176</v>
      </c>
      <c r="AY1598" s="55" t="s">
        <v>176</v>
      </c>
      <c r="BE1598" s="226" t="s">
        <v>1079</v>
      </c>
      <c r="BF1598" s="191" t="s">
        <v>479</v>
      </c>
      <c r="BG1598" s="55" t="s">
        <v>479</v>
      </c>
      <c r="BH1598" s="226" t="s">
        <v>1080</v>
      </c>
      <c r="BI1598" s="55" t="s">
        <v>479</v>
      </c>
      <c r="BJ1598" s="55" t="s">
        <v>479</v>
      </c>
      <c r="BK1598" s="55" t="s">
        <v>5976</v>
      </c>
      <c r="BM1598" s="192" t="s">
        <v>1078</v>
      </c>
      <c r="BN1598" s="55">
        <v>3</v>
      </c>
      <c r="BO1598" s="55">
        <v>3</v>
      </c>
      <c r="BQ1598" s="55" t="s">
        <v>141</v>
      </c>
      <c r="BV1598" s="55" t="s">
        <v>1082</v>
      </c>
      <c r="DB1598" s="65">
        <f>(1000000/(100*100*0.3*1.61*1000))*13.4</f>
        <v>2.7743271221532093</v>
      </c>
      <c r="DC1598" s="65">
        <f>(1000000/(100*100*0.3*1.61*1000))*17.6</f>
        <v>3.643892339544514</v>
      </c>
      <c r="DF1598" s="65" t="s">
        <v>1635</v>
      </c>
      <c r="GP1598" s="292" t="s">
        <v>7494</v>
      </c>
      <c r="JU1598" s="55" t="s">
        <v>1086</v>
      </c>
      <c r="JW1598" s="55" t="s">
        <v>1073</v>
      </c>
    </row>
    <row r="1599" spans="1:283" x14ac:dyDescent="0.25">
      <c r="A1599" s="55">
        <v>1598</v>
      </c>
      <c r="B1599" s="12" t="s">
        <v>7067</v>
      </c>
      <c r="C1599" s="155">
        <v>73</v>
      </c>
      <c r="D1599" s="55" t="s">
        <v>4001</v>
      </c>
      <c r="E1599" s="90" t="s">
        <v>1074</v>
      </c>
      <c r="G1599" s="55" t="s">
        <v>1075</v>
      </c>
      <c r="H1599" s="55">
        <v>2003</v>
      </c>
      <c r="I1599" s="55">
        <v>1993</v>
      </c>
      <c r="J1599" s="55" t="s">
        <v>1076</v>
      </c>
      <c r="K1599" s="55" t="s">
        <v>1104</v>
      </c>
      <c r="L1599" s="55" t="s">
        <v>2738</v>
      </c>
      <c r="M1599" s="90">
        <v>50.29</v>
      </c>
      <c r="N1599" s="90">
        <v>-107.8</v>
      </c>
      <c r="O1599" s="90">
        <v>757</v>
      </c>
      <c r="U1599" s="55">
        <v>6</v>
      </c>
      <c r="V1599" s="55" t="s">
        <v>1889</v>
      </c>
      <c r="Y1599" s="55" t="s">
        <v>1081</v>
      </c>
      <c r="Z1599" s="55" t="s">
        <v>1370</v>
      </c>
      <c r="AA1599" s="90" t="s">
        <v>1680</v>
      </c>
      <c r="AD1599" s="90">
        <v>1.61</v>
      </c>
      <c r="AH1599" s="55" t="s">
        <v>139</v>
      </c>
      <c r="AM1599" s="55" t="s">
        <v>1323</v>
      </c>
      <c r="AN1599" s="185" t="s">
        <v>553</v>
      </c>
      <c r="AO1599" s="185" t="s">
        <v>5150</v>
      </c>
      <c r="AQ1599" s="55" t="s">
        <v>553</v>
      </c>
      <c r="AR1599" s="55" t="s">
        <v>1500</v>
      </c>
      <c r="AS1599" s="55" t="s">
        <v>116</v>
      </c>
      <c r="AT1599" s="181" t="s">
        <v>1065</v>
      </c>
      <c r="AU1599" s="181" t="s">
        <v>5150</v>
      </c>
      <c r="AV1599" s="185" t="s">
        <v>176</v>
      </c>
      <c r="AW1599" s="55" t="s">
        <v>1065</v>
      </c>
      <c r="AX1599" s="185" t="s">
        <v>176</v>
      </c>
      <c r="AY1599" s="55" t="s">
        <v>176</v>
      </c>
      <c r="BE1599" s="226" t="s">
        <v>1079</v>
      </c>
      <c r="BF1599" s="191" t="s">
        <v>479</v>
      </c>
      <c r="BG1599" s="55" t="s">
        <v>479</v>
      </c>
      <c r="BH1599" s="226" t="s">
        <v>1080</v>
      </c>
      <c r="BI1599" s="55" t="s">
        <v>479</v>
      </c>
      <c r="BJ1599" s="55" t="s">
        <v>479</v>
      </c>
      <c r="BK1599" s="55" t="s">
        <v>5976</v>
      </c>
      <c r="BM1599" s="192" t="s">
        <v>1078</v>
      </c>
      <c r="BN1599" s="55">
        <v>3</v>
      </c>
      <c r="BO1599" s="55">
        <v>3</v>
      </c>
      <c r="BQ1599" s="55" t="s">
        <v>141</v>
      </c>
      <c r="BV1599" s="55" t="s">
        <v>1082</v>
      </c>
      <c r="DB1599" s="65">
        <f>(1000000/(100*100*0.3*1.61*1000))*15.2</f>
        <v>3.1469979296066253</v>
      </c>
      <c r="DC1599" s="65">
        <f>(1000000/(100*100*0.3*1.61*1000))*11.3</f>
        <v>2.3395445134575574</v>
      </c>
      <c r="DF1599" s="65" t="s">
        <v>1635</v>
      </c>
      <c r="GP1599" s="292" t="s">
        <v>7494</v>
      </c>
      <c r="JU1599" s="55" t="s">
        <v>1086</v>
      </c>
      <c r="JW1599" s="55" t="s">
        <v>1073</v>
      </c>
    </row>
    <row r="1600" spans="1:283" x14ac:dyDescent="0.25">
      <c r="A1600" s="55">
        <v>1599</v>
      </c>
      <c r="B1600" s="12" t="s">
        <v>7067</v>
      </c>
      <c r="C1600" s="155">
        <v>73</v>
      </c>
      <c r="D1600" s="55" t="s">
        <v>4001</v>
      </c>
      <c r="E1600" s="90" t="s">
        <v>1074</v>
      </c>
      <c r="G1600" s="55" t="s">
        <v>1075</v>
      </c>
      <c r="H1600" s="55">
        <v>2003</v>
      </c>
      <c r="I1600" s="55">
        <v>1994</v>
      </c>
      <c r="J1600" s="55" t="s">
        <v>1076</v>
      </c>
      <c r="K1600" s="55" t="s">
        <v>1104</v>
      </c>
      <c r="L1600" s="55" t="s">
        <v>2738</v>
      </c>
      <c r="M1600" s="90">
        <v>50.29</v>
      </c>
      <c r="N1600" s="90">
        <v>-107.8</v>
      </c>
      <c r="O1600" s="90">
        <v>757</v>
      </c>
      <c r="U1600" s="55">
        <v>7</v>
      </c>
      <c r="V1600" s="55" t="s">
        <v>1889</v>
      </c>
      <c r="Y1600" s="55" t="s">
        <v>1081</v>
      </c>
      <c r="Z1600" s="55" t="s">
        <v>1370</v>
      </c>
      <c r="AA1600" s="90" t="s">
        <v>1680</v>
      </c>
      <c r="AD1600" s="90">
        <v>1.61</v>
      </c>
      <c r="AH1600" s="55" t="s">
        <v>139</v>
      </c>
      <c r="AM1600" s="55" t="s">
        <v>1323</v>
      </c>
      <c r="AN1600" s="185" t="s">
        <v>553</v>
      </c>
      <c r="AO1600" s="185" t="s">
        <v>5150</v>
      </c>
      <c r="AQ1600" s="55" t="s">
        <v>553</v>
      </c>
      <c r="AR1600" s="55" t="s">
        <v>1500</v>
      </c>
      <c r="AS1600" s="55" t="s">
        <v>116</v>
      </c>
      <c r="AT1600" s="181" t="s">
        <v>1065</v>
      </c>
      <c r="AU1600" s="181" t="s">
        <v>5150</v>
      </c>
      <c r="AV1600" s="185" t="s">
        <v>176</v>
      </c>
      <c r="AW1600" s="55" t="s">
        <v>1065</v>
      </c>
      <c r="AX1600" s="185" t="s">
        <v>176</v>
      </c>
      <c r="AY1600" s="55" t="s">
        <v>176</v>
      </c>
      <c r="BE1600" s="226" t="s">
        <v>1079</v>
      </c>
      <c r="BF1600" s="191" t="s">
        <v>479</v>
      </c>
      <c r="BG1600" s="55" t="s">
        <v>479</v>
      </c>
      <c r="BH1600" s="226" t="s">
        <v>1080</v>
      </c>
      <c r="BI1600" s="55" t="s">
        <v>479</v>
      </c>
      <c r="BJ1600" s="55" t="s">
        <v>479</v>
      </c>
      <c r="BK1600" s="55" t="s">
        <v>5976</v>
      </c>
      <c r="BM1600" s="192" t="s">
        <v>1078</v>
      </c>
      <c r="BN1600" s="55">
        <v>3</v>
      </c>
      <c r="BO1600" s="55">
        <v>3</v>
      </c>
      <c r="BQ1600" s="55" t="s">
        <v>141</v>
      </c>
      <c r="BV1600" s="55" t="s">
        <v>1082</v>
      </c>
      <c r="DB1600" s="65">
        <f>(1000000/(100*100*0.3*1.61*1000))*7.7</f>
        <v>1.5942028985507248</v>
      </c>
      <c r="DC1600" s="65">
        <f>(1000000/(100*100*0.3*1.61*1000))*10.7</f>
        <v>2.2153209109730847</v>
      </c>
      <c r="DF1600" s="65" t="s">
        <v>1635</v>
      </c>
      <c r="GP1600" s="292" t="s">
        <v>7494</v>
      </c>
      <c r="JU1600" s="55" t="s">
        <v>1086</v>
      </c>
      <c r="JW1600" s="55" t="s">
        <v>1073</v>
      </c>
    </row>
    <row r="1601" spans="1:283" x14ac:dyDescent="0.25">
      <c r="A1601" s="55">
        <v>1600</v>
      </c>
      <c r="B1601" s="12" t="s">
        <v>7067</v>
      </c>
      <c r="C1601" s="155">
        <v>73</v>
      </c>
      <c r="D1601" s="55" t="s">
        <v>4001</v>
      </c>
      <c r="E1601" s="90" t="s">
        <v>1074</v>
      </c>
      <c r="G1601" s="55" t="s">
        <v>1075</v>
      </c>
      <c r="H1601" s="55">
        <v>2003</v>
      </c>
      <c r="I1601" s="55">
        <v>1995</v>
      </c>
      <c r="J1601" s="55" t="s">
        <v>1076</v>
      </c>
      <c r="K1601" s="55" t="s">
        <v>1104</v>
      </c>
      <c r="L1601" s="55" t="s">
        <v>2738</v>
      </c>
      <c r="M1601" s="90">
        <v>50.29</v>
      </c>
      <c r="N1601" s="90">
        <v>-107.8</v>
      </c>
      <c r="O1601" s="90">
        <v>757</v>
      </c>
      <c r="U1601" s="55">
        <v>8</v>
      </c>
      <c r="V1601" s="55" t="s">
        <v>1889</v>
      </c>
      <c r="Y1601" s="55" t="s">
        <v>1081</v>
      </c>
      <c r="Z1601" s="55" t="s">
        <v>1370</v>
      </c>
      <c r="AA1601" s="90" t="s">
        <v>1680</v>
      </c>
      <c r="AD1601" s="90">
        <v>1.61</v>
      </c>
      <c r="AH1601" s="55" t="s">
        <v>139</v>
      </c>
      <c r="AM1601" s="55" t="s">
        <v>1323</v>
      </c>
      <c r="AN1601" s="185" t="s">
        <v>553</v>
      </c>
      <c r="AO1601" s="185" t="s">
        <v>5150</v>
      </c>
      <c r="AQ1601" s="55" t="s">
        <v>553</v>
      </c>
      <c r="AR1601" s="55" t="s">
        <v>1500</v>
      </c>
      <c r="AS1601" s="55" t="s">
        <v>116</v>
      </c>
      <c r="AT1601" s="181" t="s">
        <v>1065</v>
      </c>
      <c r="AU1601" s="181" t="s">
        <v>5150</v>
      </c>
      <c r="AV1601" s="185" t="s">
        <v>176</v>
      </c>
      <c r="AW1601" s="55" t="s">
        <v>1065</v>
      </c>
      <c r="AX1601" s="185" t="s">
        <v>176</v>
      </c>
      <c r="AY1601" s="55" t="s">
        <v>176</v>
      </c>
      <c r="BE1601" s="226" t="s">
        <v>1079</v>
      </c>
      <c r="BF1601" s="191" t="s">
        <v>479</v>
      </c>
      <c r="BG1601" s="55" t="s">
        <v>479</v>
      </c>
      <c r="BH1601" s="226" t="s">
        <v>1080</v>
      </c>
      <c r="BI1601" s="55" t="s">
        <v>479</v>
      </c>
      <c r="BJ1601" s="55" t="s">
        <v>479</v>
      </c>
      <c r="BK1601" s="55" t="s">
        <v>5976</v>
      </c>
      <c r="BM1601" s="192" t="s">
        <v>1078</v>
      </c>
      <c r="BN1601" s="55">
        <v>3</v>
      </c>
      <c r="BO1601" s="55">
        <v>3</v>
      </c>
      <c r="BQ1601" s="55" t="s">
        <v>141</v>
      </c>
      <c r="BV1601" s="55" t="s">
        <v>1082</v>
      </c>
      <c r="DB1601" s="65">
        <f>(1000000/(100*100*0.3*1.61*1000))*7.3</f>
        <v>1.5113871635610767</v>
      </c>
      <c r="DC1601" s="65">
        <f>(1000000/(100*100*0.3*1.61*1000))*8.8</f>
        <v>1.821946169772257</v>
      </c>
      <c r="DF1601" s="65" t="s">
        <v>1635</v>
      </c>
      <c r="GP1601" s="292" t="s">
        <v>7494</v>
      </c>
      <c r="JU1601" s="55" t="s">
        <v>1086</v>
      </c>
      <c r="JW1601" s="55" t="s">
        <v>1073</v>
      </c>
    </row>
    <row r="1602" spans="1:283" x14ac:dyDescent="0.25">
      <c r="A1602" s="55">
        <v>1601</v>
      </c>
      <c r="B1602" s="12" t="s">
        <v>7067</v>
      </c>
      <c r="C1602" s="155">
        <v>73</v>
      </c>
      <c r="D1602" s="55" t="s">
        <v>4001</v>
      </c>
      <c r="E1602" s="90" t="s">
        <v>1074</v>
      </c>
      <c r="G1602" s="55" t="s">
        <v>1075</v>
      </c>
      <c r="H1602" s="55">
        <v>2003</v>
      </c>
      <c r="I1602" s="55">
        <v>1996</v>
      </c>
      <c r="J1602" s="55" t="s">
        <v>1076</v>
      </c>
      <c r="K1602" s="55" t="s">
        <v>1104</v>
      </c>
      <c r="L1602" s="55" t="s">
        <v>2738</v>
      </c>
      <c r="M1602" s="90">
        <v>50.29</v>
      </c>
      <c r="N1602" s="90">
        <v>-107.8</v>
      </c>
      <c r="O1602" s="90">
        <v>757</v>
      </c>
      <c r="U1602" s="55">
        <v>9</v>
      </c>
      <c r="V1602" s="55" t="s">
        <v>1889</v>
      </c>
      <c r="Y1602" s="55" t="s">
        <v>1081</v>
      </c>
      <c r="Z1602" s="55" t="s">
        <v>1370</v>
      </c>
      <c r="AA1602" s="90" t="s">
        <v>1680</v>
      </c>
      <c r="AD1602" s="90">
        <v>1.61</v>
      </c>
      <c r="AH1602" s="55" t="s">
        <v>139</v>
      </c>
      <c r="AM1602" s="55" t="s">
        <v>1323</v>
      </c>
      <c r="AN1602" s="185" t="s">
        <v>553</v>
      </c>
      <c r="AO1602" s="185" t="s">
        <v>5150</v>
      </c>
      <c r="AQ1602" s="55" t="s">
        <v>553</v>
      </c>
      <c r="AR1602" s="55" t="s">
        <v>1500</v>
      </c>
      <c r="AS1602" s="55" t="s">
        <v>116</v>
      </c>
      <c r="AT1602" s="181" t="s">
        <v>1065</v>
      </c>
      <c r="AU1602" s="181" t="s">
        <v>5150</v>
      </c>
      <c r="AV1602" s="185" t="s">
        <v>176</v>
      </c>
      <c r="AW1602" s="55" t="s">
        <v>1065</v>
      </c>
      <c r="AX1602" s="185" t="s">
        <v>176</v>
      </c>
      <c r="AY1602" s="55" t="s">
        <v>176</v>
      </c>
      <c r="BE1602" s="226" t="s">
        <v>1079</v>
      </c>
      <c r="BF1602" s="191" t="s">
        <v>479</v>
      </c>
      <c r="BG1602" s="55" t="s">
        <v>479</v>
      </c>
      <c r="BH1602" s="226" t="s">
        <v>1080</v>
      </c>
      <c r="BI1602" s="55" t="s">
        <v>479</v>
      </c>
      <c r="BJ1602" s="55" t="s">
        <v>479</v>
      </c>
      <c r="BK1602" s="55" t="s">
        <v>5976</v>
      </c>
      <c r="BM1602" s="192" t="s">
        <v>1078</v>
      </c>
      <c r="BN1602" s="55">
        <v>3</v>
      </c>
      <c r="BO1602" s="55">
        <v>3</v>
      </c>
      <c r="BQ1602" s="55" t="s">
        <v>141</v>
      </c>
      <c r="BV1602" s="55" t="s">
        <v>1082</v>
      </c>
      <c r="DB1602" s="65">
        <f>(1000000/(100*100*0.3*1.61*1000))*11.3</f>
        <v>2.3395445134575574</v>
      </c>
      <c r="DC1602" s="65">
        <f>(1000000/(100*100*0.3*1.61*1000))*11.4</f>
        <v>2.360248447204969</v>
      </c>
      <c r="DF1602" s="65" t="s">
        <v>1635</v>
      </c>
      <c r="GP1602" s="292" t="s">
        <v>7494</v>
      </c>
      <c r="JU1602" s="55" t="s">
        <v>1086</v>
      </c>
      <c r="JW1602" s="55" t="s">
        <v>1073</v>
      </c>
    </row>
    <row r="1603" spans="1:283" x14ac:dyDescent="0.25">
      <c r="A1603" s="55">
        <v>1602</v>
      </c>
      <c r="B1603" s="12" t="s">
        <v>7067</v>
      </c>
      <c r="C1603" s="155">
        <v>73</v>
      </c>
      <c r="D1603" s="55" t="s">
        <v>4001</v>
      </c>
      <c r="E1603" s="90" t="s">
        <v>1074</v>
      </c>
      <c r="G1603" s="55" t="s">
        <v>1075</v>
      </c>
      <c r="H1603" s="55">
        <v>2003</v>
      </c>
      <c r="I1603" s="55">
        <v>1997</v>
      </c>
      <c r="J1603" s="55" t="s">
        <v>1076</v>
      </c>
      <c r="K1603" s="55" t="s">
        <v>1104</v>
      </c>
      <c r="L1603" s="55" t="s">
        <v>2738</v>
      </c>
      <c r="M1603" s="90">
        <v>50.29</v>
      </c>
      <c r="N1603" s="90">
        <v>-107.8</v>
      </c>
      <c r="O1603" s="90">
        <v>757</v>
      </c>
      <c r="U1603" s="55">
        <v>10</v>
      </c>
      <c r="V1603" s="55" t="s">
        <v>1889</v>
      </c>
      <c r="Y1603" s="55" t="s">
        <v>1081</v>
      </c>
      <c r="Z1603" s="55" t="s">
        <v>1370</v>
      </c>
      <c r="AA1603" s="90" t="s">
        <v>1680</v>
      </c>
      <c r="AD1603" s="90">
        <v>1.61</v>
      </c>
      <c r="AH1603" s="55" t="s">
        <v>139</v>
      </c>
      <c r="AM1603" s="55" t="s">
        <v>1323</v>
      </c>
      <c r="AN1603" s="185" t="s">
        <v>553</v>
      </c>
      <c r="AO1603" s="185" t="s">
        <v>5150</v>
      </c>
      <c r="AQ1603" s="55" t="s">
        <v>553</v>
      </c>
      <c r="AR1603" s="55" t="s">
        <v>1500</v>
      </c>
      <c r="AS1603" s="55" t="s">
        <v>116</v>
      </c>
      <c r="AT1603" s="181" t="s">
        <v>1065</v>
      </c>
      <c r="AU1603" s="181" t="s">
        <v>5150</v>
      </c>
      <c r="AV1603" s="185" t="s">
        <v>176</v>
      </c>
      <c r="AW1603" s="55" t="s">
        <v>1065</v>
      </c>
      <c r="AX1603" s="185" t="s">
        <v>176</v>
      </c>
      <c r="AY1603" s="55" t="s">
        <v>176</v>
      </c>
      <c r="BE1603" s="226" t="s">
        <v>1079</v>
      </c>
      <c r="BF1603" s="191" t="s">
        <v>479</v>
      </c>
      <c r="BG1603" s="55" t="s">
        <v>479</v>
      </c>
      <c r="BH1603" s="226" t="s">
        <v>1080</v>
      </c>
      <c r="BI1603" s="55" t="s">
        <v>479</v>
      </c>
      <c r="BJ1603" s="55" t="s">
        <v>479</v>
      </c>
      <c r="BK1603" s="55" t="s">
        <v>5976</v>
      </c>
      <c r="BM1603" s="192" t="s">
        <v>1078</v>
      </c>
      <c r="BN1603" s="55">
        <v>3</v>
      </c>
      <c r="BO1603" s="55">
        <v>3</v>
      </c>
      <c r="BQ1603" s="55" t="s">
        <v>141</v>
      </c>
      <c r="BV1603" s="55" t="s">
        <v>1082</v>
      </c>
      <c r="DB1603" s="65">
        <f>(1000000/(100*100*0.3*1.61*1000))*13.9</f>
        <v>2.8778467908902692</v>
      </c>
      <c r="DC1603" s="65">
        <f>(1000000/(100*100*0.3*1.61*1000))*10.4</f>
        <v>2.1532091097308492</v>
      </c>
      <c r="DF1603" s="65" t="s">
        <v>1635</v>
      </c>
      <c r="GP1603" s="292" t="s">
        <v>7494</v>
      </c>
      <c r="JU1603" s="55" t="s">
        <v>1086</v>
      </c>
      <c r="JW1603" s="55" t="s">
        <v>1073</v>
      </c>
    </row>
    <row r="1604" spans="1:283" x14ac:dyDescent="0.25">
      <c r="A1604" s="55">
        <v>1603</v>
      </c>
      <c r="B1604" s="12" t="s">
        <v>7067</v>
      </c>
      <c r="C1604" s="155">
        <v>73</v>
      </c>
      <c r="D1604" s="55" t="s">
        <v>4001</v>
      </c>
      <c r="E1604" s="90" t="s">
        <v>1074</v>
      </c>
      <c r="G1604" s="55" t="s">
        <v>1075</v>
      </c>
      <c r="H1604" s="55">
        <v>2003</v>
      </c>
      <c r="I1604" s="55">
        <v>1998</v>
      </c>
      <c r="J1604" s="55" t="s">
        <v>1076</v>
      </c>
      <c r="K1604" s="55" t="s">
        <v>1104</v>
      </c>
      <c r="L1604" s="55" t="s">
        <v>2738</v>
      </c>
      <c r="M1604" s="90">
        <v>50.29</v>
      </c>
      <c r="N1604" s="90">
        <v>-107.8</v>
      </c>
      <c r="O1604" s="90">
        <v>757</v>
      </c>
      <c r="U1604" s="55">
        <v>11</v>
      </c>
      <c r="V1604" s="55" t="s">
        <v>1889</v>
      </c>
      <c r="Y1604" s="55" t="s">
        <v>1081</v>
      </c>
      <c r="Z1604" s="55" t="s">
        <v>1370</v>
      </c>
      <c r="AA1604" s="90" t="s">
        <v>1680</v>
      </c>
      <c r="AD1604" s="90">
        <v>1.61</v>
      </c>
      <c r="AH1604" s="55" t="s">
        <v>139</v>
      </c>
      <c r="AM1604" s="55" t="s">
        <v>1323</v>
      </c>
      <c r="AN1604" s="185" t="s">
        <v>553</v>
      </c>
      <c r="AO1604" s="185" t="s">
        <v>5150</v>
      </c>
      <c r="AQ1604" s="55" t="s">
        <v>553</v>
      </c>
      <c r="AR1604" s="55" t="s">
        <v>1500</v>
      </c>
      <c r="AS1604" s="55" t="s">
        <v>116</v>
      </c>
      <c r="AT1604" s="181" t="s">
        <v>1065</v>
      </c>
      <c r="AU1604" s="181" t="s">
        <v>5150</v>
      </c>
      <c r="AV1604" s="185" t="s">
        <v>176</v>
      </c>
      <c r="AW1604" s="55" t="s">
        <v>1065</v>
      </c>
      <c r="AX1604" s="185" t="s">
        <v>176</v>
      </c>
      <c r="AY1604" s="55" t="s">
        <v>176</v>
      </c>
      <c r="BE1604" s="226" t="s">
        <v>1079</v>
      </c>
      <c r="BF1604" s="191" t="s">
        <v>479</v>
      </c>
      <c r="BG1604" s="55" t="s">
        <v>479</v>
      </c>
      <c r="BH1604" s="226" t="s">
        <v>1080</v>
      </c>
      <c r="BI1604" s="55" t="s">
        <v>479</v>
      </c>
      <c r="BJ1604" s="55" t="s">
        <v>479</v>
      </c>
      <c r="BK1604" s="55" t="s">
        <v>5976</v>
      </c>
      <c r="BM1604" s="192" t="s">
        <v>1078</v>
      </c>
      <c r="BN1604" s="55">
        <v>3</v>
      </c>
      <c r="BO1604" s="55">
        <v>3</v>
      </c>
      <c r="BQ1604" s="55" t="s">
        <v>141</v>
      </c>
      <c r="BV1604" s="55" t="s">
        <v>1082</v>
      </c>
      <c r="DB1604" s="65">
        <f>(1000000/(100*100*0.3*1.61*1000))*15.4</f>
        <v>3.1884057971014497</v>
      </c>
      <c r="DC1604" s="65">
        <f>(1000000/(100*100*0.3*1.61*1000))*11.3</f>
        <v>2.3395445134575574</v>
      </c>
      <c r="DF1604" s="65" t="s">
        <v>1635</v>
      </c>
      <c r="GP1604" s="292" t="s">
        <v>7494</v>
      </c>
      <c r="JU1604" s="55" t="s">
        <v>1086</v>
      </c>
      <c r="JW1604" s="55" t="s">
        <v>1073</v>
      </c>
    </row>
    <row r="1605" spans="1:283" x14ac:dyDescent="0.25">
      <c r="A1605" s="55">
        <v>1604</v>
      </c>
      <c r="B1605" s="12" t="s">
        <v>7067</v>
      </c>
      <c r="C1605" s="155">
        <v>73</v>
      </c>
      <c r="D1605" s="55" t="s">
        <v>4001</v>
      </c>
      <c r="E1605" s="90" t="s">
        <v>1074</v>
      </c>
      <c r="G1605" s="55" t="s">
        <v>1075</v>
      </c>
      <c r="H1605" s="55">
        <v>2003</v>
      </c>
      <c r="I1605" s="55">
        <v>1999</v>
      </c>
      <c r="J1605" s="55" t="s">
        <v>1076</v>
      </c>
      <c r="K1605" s="55" t="s">
        <v>1104</v>
      </c>
      <c r="L1605" s="55" t="s">
        <v>2738</v>
      </c>
      <c r="M1605" s="90">
        <v>50.29</v>
      </c>
      <c r="N1605" s="90">
        <v>-107.8</v>
      </c>
      <c r="O1605" s="90">
        <v>757</v>
      </c>
      <c r="U1605" s="55">
        <v>12</v>
      </c>
      <c r="V1605" s="55" t="s">
        <v>1889</v>
      </c>
      <c r="Y1605" s="55" t="s">
        <v>1081</v>
      </c>
      <c r="Z1605" s="55" t="s">
        <v>1370</v>
      </c>
      <c r="AA1605" s="90" t="s">
        <v>1680</v>
      </c>
      <c r="AD1605" s="90">
        <v>1.61</v>
      </c>
      <c r="AH1605" s="55" t="s">
        <v>139</v>
      </c>
      <c r="AM1605" s="55" t="s">
        <v>1323</v>
      </c>
      <c r="AN1605" s="185" t="s">
        <v>553</v>
      </c>
      <c r="AO1605" s="185" t="s">
        <v>5150</v>
      </c>
      <c r="AQ1605" s="55" t="s">
        <v>553</v>
      </c>
      <c r="AR1605" s="55" t="s">
        <v>1500</v>
      </c>
      <c r="AS1605" s="55" t="s">
        <v>116</v>
      </c>
      <c r="AT1605" s="181" t="s">
        <v>1065</v>
      </c>
      <c r="AU1605" s="181" t="s">
        <v>5150</v>
      </c>
      <c r="AV1605" s="185" t="s">
        <v>176</v>
      </c>
      <c r="AW1605" s="55" t="s">
        <v>1065</v>
      </c>
      <c r="AX1605" s="185" t="s">
        <v>176</v>
      </c>
      <c r="AY1605" s="55" t="s">
        <v>176</v>
      </c>
      <c r="BE1605" s="226" t="s">
        <v>1079</v>
      </c>
      <c r="BF1605" s="191" t="s">
        <v>479</v>
      </c>
      <c r="BG1605" s="55" t="s">
        <v>479</v>
      </c>
      <c r="BH1605" s="226" t="s">
        <v>1080</v>
      </c>
      <c r="BI1605" s="55" t="s">
        <v>479</v>
      </c>
      <c r="BJ1605" s="55" t="s">
        <v>479</v>
      </c>
      <c r="BK1605" s="55" t="s">
        <v>5976</v>
      </c>
      <c r="BM1605" s="192" t="s">
        <v>1078</v>
      </c>
      <c r="BN1605" s="55">
        <v>3</v>
      </c>
      <c r="BO1605" s="55">
        <v>3</v>
      </c>
      <c r="BQ1605" s="55" t="s">
        <v>141</v>
      </c>
      <c r="BV1605" s="55" t="s">
        <v>1082</v>
      </c>
      <c r="DB1605" s="65">
        <f>(1000000/(100*100*0.3*1.61*1000))*11.3</f>
        <v>2.3395445134575574</v>
      </c>
      <c r="DC1605" s="65">
        <f>(1000000/(100*100*0.3*1.61*1000))*12</f>
        <v>2.4844720496894412</v>
      </c>
      <c r="DF1605" s="65" t="s">
        <v>1635</v>
      </c>
      <c r="GP1605" s="292" t="s">
        <v>7494</v>
      </c>
      <c r="JU1605" s="55" t="s">
        <v>1086</v>
      </c>
      <c r="JW1605" s="55" t="s">
        <v>1073</v>
      </c>
    </row>
    <row r="1606" spans="1:283" x14ac:dyDescent="0.25">
      <c r="A1606" s="55">
        <v>1605</v>
      </c>
      <c r="B1606" s="12" t="s">
        <v>7067</v>
      </c>
      <c r="C1606" s="155">
        <v>73</v>
      </c>
      <c r="D1606" s="55" t="s">
        <v>4001</v>
      </c>
      <c r="E1606" s="90" t="s">
        <v>1074</v>
      </c>
      <c r="G1606" s="55" t="s">
        <v>1075</v>
      </c>
      <c r="H1606" s="55">
        <v>2003</v>
      </c>
      <c r="I1606" s="55">
        <v>1988</v>
      </c>
      <c r="J1606" s="55" t="s">
        <v>1076</v>
      </c>
      <c r="K1606" s="55" t="s">
        <v>1104</v>
      </c>
      <c r="L1606" s="55" t="s">
        <v>2738</v>
      </c>
      <c r="M1606" s="90">
        <v>50.29</v>
      </c>
      <c r="N1606" s="90">
        <v>-107.8</v>
      </c>
      <c r="O1606" s="90">
        <v>757</v>
      </c>
      <c r="U1606" s="55">
        <v>1</v>
      </c>
      <c r="V1606" s="55" t="s">
        <v>1889</v>
      </c>
      <c r="Y1606" s="55" t="s">
        <v>1081</v>
      </c>
      <c r="Z1606" s="55" t="s">
        <v>1382</v>
      </c>
      <c r="AA1606" s="90" t="s">
        <v>1680</v>
      </c>
      <c r="AD1606" s="90">
        <v>1.69</v>
      </c>
      <c r="AH1606" s="55" t="s">
        <v>139</v>
      </c>
      <c r="AM1606" s="55" t="s">
        <v>1323</v>
      </c>
      <c r="AN1606" s="185" t="s">
        <v>553</v>
      </c>
      <c r="AO1606" s="185" t="s">
        <v>5150</v>
      </c>
      <c r="AQ1606" s="55" t="s">
        <v>553</v>
      </c>
      <c r="AR1606" s="55" t="s">
        <v>1500</v>
      </c>
      <c r="AS1606" s="55" t="s">
        <v>116</v>
      </c>
      <c r="AT1606" s="181" t="s">
        <v>1065</v>
      </c>
      <c r="AU1606" s="181" t="s">
        <v>5150</v>
      </c>
      <c r="AV1606" s="185" t="s">
        <v>176</v>
      </c>
      <c r="AW1606" s="55" t="s">
        <v>1065</v>
      </c>
      <c r="AX1606" s="185" t="s">
        <v>176</v>
      </c>
      <c r="AY1606" s="55" t="s">
        <v>176</v>
      </c>
      <c r="BE1606" s="226" t="s">
        <v>1079</v>
      </c>
      <c r="BF1606" s="191" t="s">
        <v>479</v>
      </c>
      <c r="BG1606" s="55" t="s">
        <v>479</v>
      </c>
      <c r="BH1606" s="226" t="s">
        <v>1080</v>
      </c>
      <c r="BI1606" s="55" t="s">
        <v>479</v>
      </c>
      <c r="BJ1606" s="55" t="s">
        <v>479</v>
      </c>
      <c r="BK1606" s="55" t="s">
        <v>5976</v>
      </c>
      <c r="BM1606" s="192" t="s">
        <v>1078</v>
      </c>
      <c r="BN1606" s="55">
        <v>3</v>
      </c>
      <c r="BO1606" s="55">
        <v>3</v>
      </c>
      <c r="BQ1606" s="55" t="s">
        <v>141</v>
      </c>
      <c r="BV1606" s="55" t="s">
        <v>1082</v>
      </c>
      <c r="DB1606" s="65">
        <f>(1000000/(100*100*0.3*1.69*1000))*22.4</f>
        <v>4.4181459566074945</v>
      </c>
      <c r="DC1606" s="65">
        <f>(1000000/(100*100*0.3*1.69*1000))*22.9</f>
        <v>4.5167652859960548</v>
      </c>
      <c r="DF1606" s="65" t="s">
        <v>1635</v>
      </c>
      <c r="GP1606" s="292" t="s">
        <v>7494</v>
      </c>
      <c r="JU1606" s="55" t="s">
        <v>1086</v>
      </c>
      <c r="JW1606" s="55" t="s">
        <v>1073</v>
      </c>
    </row>
    <row r="1607" spans="1:283" x14ac:dyDescent="0.25">
      <c r="A1607" s="55">
        <v>1606</v>
      </c>
      <c r="B1607" s="12" t="s">
        <v>7067</v>
      </c>
      <c r="C1607" s="155">
        <v>73</v>
      </c>
      <c r="D1607" s="55" t="s">
        <v>4001</v>
      </c>
      <c r="E1607" s="90" t="s">
        <v>1074</v>
      </c>
      <c r="G1607" s="55" t="s">
        <v>1075</v>
      </c>
      <c r="H1607" s="55">
        <v>2003</v>
      </c>
      <c r="I1607" s="55">
        <v>1989</v>
      </c>
      <c r="J1607" s="55" t="s">
        <v>1076</v>
      </c>
      <c r="K1607" s="55" t="s">
        <v>1104</v>
      </c>
      <c r="L1607" s="55" t="s">
        <v>2738</v>
      </c>
      <c r="M1607" s="90">
        <v>50.29</v>
      </c>
      <c r="N1607" s="90">
        <v>-107.8</v>
      </c>
      <c r="O1607" s="90">
        <v>757</v>
      </c>
      <c r="U1607" s="55">
        <v>2</v>
      </c>
      <c r="V1607" s="55" t="s">
        <v>1889</v>
      </c>
      <c r="Y1607" s="55" t="s">
        <v>1081</v>
      </c>
      <c r="Z1607" s="55" t="s">
        <v>1382</v>
      </c>
      <c r="AA1607" s="90" t="s">
        <v>1680</v>
      </c>
      <c r="AD1607" s="90">
        <v>1.69</v>
      </c>
      <c r="AH1607" s="55" t="s">
        <v>139</v>
      </c>
      <c r="AM1607" s="55" t="s">
        <v>1323</v>
      </c>
      <c r="AN1607" s="185" t="s">
        <v>553</v>
      </c>
      <c r="AO1607" s="185" t="s">
        <v>5150</v>
      </c>
      <c r="AQ1607" s="55" t="s">
        <v>553</v>
      </c>
      <c r="AR1607" s="55" t="s">
        <v>1500</v>
      </c>
      <c r="AS1607" s="55" t="s">
        <v>116</v>
      </c>
      <c r="AT1607" s="181" t="s">
        <v>1065</v>
      </c>
      <c r="AU1607" s="181" t="s">
        <v>5150</v>
      </c>
      <c r="AV1607" s="185" t="s">
        <v>176</v>
      </c>
      <c r="AW1607" s="55" t="s">
        <v>1065</v>
      </c>
      <c r="AX1607" s="185" t="s">
        <v>176</v>
      </c>
      <c r="AY1607" s="55" t="s">
        <v>176</v>
      </c>
      <c r="BE1607" s="226" t="s">
        <v>1079</v>
      </c>
      <c r="BF1607" s="191" t="s">
        <v>479</v>
      </c>
      <c r="BG1607" s="55" t="s">
        <v>479</v>
      </c>
      <c r="BH1607" s="226" t="s">
        <v>1080</v>
      </c>
      <c r="BI1607" s="55" t="s">
        <v>479</v>
      </c>
      <c r="BJ1607" s="55" t="s">
        <v>479</v>
      </c>
      <c r="BK1607" s="55" t="s">
        <v>5976</v>
      </c>
      <c r="BM1607" s="192" t="s">
        <v>1078</v>
      </c>
      <c r="BN1607" s="55">
        <v>3</v>
      </c>
      <c r="BO1607" s="55">
        <v>3</v>
      </c>
      <c r="BQ1607" s="55" t="s">
        <v>141</v>
      </c>
      <c r="BV1607" s="55" t="s">
        <v>1082</v>
      </c>
      <c r="DB1607" s="65">
        <f>(1000000/(100*100*0.3*1.69*1000))*26.3</f>
        <v>5.1873767258382646</v>
      </c>
      <c r="DC1607" s="65">
        <f>(1000000/(100*100*0.3*1.69*1000))*34.3</f>
        <v>6.7652859960552263</v>
      </c>
      <c r="DF1607" s="65" t="s">
        <v>1635</v>
      </c>
      <c r="GP1607" s="292" t="s">
        <v>7494</v>
      </c>
      <c r="JU1607" s="55" t="s">
        <v>1086</v>
      </c>
      <c r="JW1607" s="55" t="s">
        <v>1073</v>
      </c>
    </row>
    <row r="1608" spans="1:283" x14ac:dyDescent="0.25">
      <c r="A1608" s="55">
        <v>1607</v>
      </c>
      <c r="B1608" s="12" t="s">
        <v>7067</v>
      </c>
      <c r="C1608" s="155">
        <v>73</v>
      </c>
      <c r="D1608" s="55" t="s">
        <v>4001</v>
      </c>
      <c r="E1608" s="90" t="s">
        <v>1074</v>
      </c>
      <c r="G1608" s="55" t="s">
        <v>1075</v>
      </c>
      <c r="H1608" s="55">
        <v>2003</v>
      </c>
      <c r="I1608" s="55">
        <v>1990</v>
      </c>
      <c r="J1608" s="55" t="s">
        <v>1076</v>
      </c>
      <c r="K1608" s="55" t="s">
        <v>1104</v>
      </c>
      <c r="L1608" s="55" t="s">
        <v>2738</v>
      </c>
      <c r="M1608" s="90">
        <v>50.29</v>
      </c>
      <c r="N1608" s="90">
        <v>-107.8</v>
      </c>
      <c r="O1608" s="90">
        <v>757</v>
      </c>
      <c r="U1608" s="55">
        <v>3</v>
      </c>
      <c r="V1608" s="55" t="s">
        <v>1889</v>
      </c>
      <c r="Y1608" s="55" t="s">
        <v>1081</v>
      </c>
      <c r="Z1608" s="55" t="s">
        <v>1382</v>
      </c>
      <c r="AA1608" s="90" t="s">
        <v>1680</v>
      </c>
      <c r="AD1608" s="90">
        <v>1.69</v>
      </c>
      <c r="AH1608" s="55" t="s">
        <v>139</v>
      </c>
      <c r="AM1608" s="55" t="s">
        <v>1323</v>
      </c>
      <c r="AN1608" s="185" t="s">
        <v>553</v>
      </c>
      <c r="AO1608" s="185" t="s">
        <v>5150</v>
      </c>
      <c r="AQ1608" s="55" t="s">
        <v>553</v>
      </c>
      <c r="AR1608" s="55" t="s">
        <v>1500</v>
      </c>
      <c r="AS1608" s="55" t="s">
        <v>116</v>
      </c>
      <c r="AT1608" s="181" t="s">
        <v>1065</v>
      </c>
      <c r="AU1608" s="181" t="s">
        <v>5150</v>
      </c>
      <c r="AV1608" s="185" t="s">
        <v>176</v>
      </c>
      <c r="AW1608" s="55" t="s">
        <v>1065</v>
      </c>
      <c r="AX1608" s="185" t="s">
        <v>176</v>
      </c>
      <c r="AY1608" s="55" t="s">
        <v>176</v>
      </c>
      <c r="BE1608" s="226" t="s">
        <v>1079</v>
      </c>
      <c r="BF1608" s="191" t="s">
        <v>479</v>
      </c>
      <c r="BG1608" s="55" t="s">
        <v>479</v>
      </c>
      <c r="BH1608" s="226" t="s">
        <v>1080</v>
      </c>
      <c r="BI1608" s="55" t="s">
        <v>479</v>
      </c>
      <c r="BJ1608" s="55" t="s">
        <v>479</v>
      </c>
      <c r="BK1608" s="55" t="s">
        <v>5976</v>
      </c>
      <c r="BM1608" s="192" t="s">
        <v>1078</v>
      </c>
      <c r="BN1608" s="55">
        <v>3</v>
      </c>
      <c r="BO1608" s="55">
        <v>3</v>
      </c>
      <c r="BQ1608" s="55" t="s">
        <v>141</v>
      </c>
      <c r="BV1608" s="55" t="s">
        <v>1082</v>
      </c>
      <c r="DB1608" s="65">
        <f>(1000000/(100*100*0.3*1.69*1000))*33.5</f>
        <v>6.607495069033531</v>
      </c>
      <c r="DC1608" s="65">
        <f>(1000000/(100*100*0.3*1.69*1000))*34.8</f>
        <v>6.8639053254437865</v>
      </c>
      <c r="DF1608" s="65" t="s">
        <v>1635</v>
      </c>
      <c r="GP1608" s="292" t="s">
        <v>7494</v>
      </c>
      <c r="JU1608" s="55" t="s">
        <v>1086</v>
      </c>
      <c r="JW1608" s="55" t="s">
        <v>1073</v>
      </c>
    </row>
    <row r="1609" spans="1:283" x14ac:dyDescent="0.25">
      <c r="A1609" s="55">
        <v>1608</v>
      </c>
      <c r="B1609" s="12" t="s">
        <v>7067</v>
      </c>
      <c r="C1609" s="155">
        <v>73</v>
      </c>
      <c r="D1609" s="55" t="s">
        <v>4001</v>
      </c>
      <c r="E1609" s="90" t="s">
        <v>1074</v>
      </c>
      <c r="G1609" s="55" t="s">
        <v>1075</v>
      </c>
      <c r="H1609" s="55">
        <v>2003</v>
      </c>
      <c r="I1609" s="55">
        <v>1991</v>
      </c>
      <c r="J1609" s="55" t="s">
        <v>1076</v>
      </c>
      <c r="K1609" s="55" t="s">
        <v>1104</v>
      </c>
      <c r="L1609" s="55" t="s">
        <v>2738</v>
      </c>
      <c r="M1609" s="90">
        <v>50.29</v>
      </c>
      <c r="N1609" s="90">
        <v>-107.8</v>
      </c>
      <c r="O1609" s="90">
        <v>757</v>
      </c>
      <c r="U1609" s="55">
        <v>4</v>
      </c>
      <c r="V1609" s="55" t="s">
        <v>1889</v>
      </c>
      <c r="Y1609" s="55" t="s">
        <v>1081</v>
      </c>
      <c r="Z1609" s="55" t="s">
        <v>1382</v>
      </c>
      <c r="AA1609" s="90" t="s">
        <v>1680</v>
      </c>
      <c r="AD1609" s="90">
        <v>1.69</v>
      </c>
      <c r="AH1609" s="55" t="s">
        <v>139</v>
      </c>
      <c r="AM1609" s="55" t="s">
        <v>1323</v>
      </c>
      <c r="AN1609" s="185" t="s">
        <v>553</v>
      </c>
      <c r="AO1609" s="185" t="s">
        <v>5150</v>
      </c>
      <c r="AQ1609" s="55" t="s">
        <v>553</v>
      </c>
      <c r="AR1609" s="55" t="s">
        <v>1500</v>
      </c>
      <c r="AS1609" s="55" t="s">
        <v>116</v>
      </c>
      <c r="AT1609" s="181" t="s">
        <v>1065</v>
      </c>
      <c r="AU1609" s="181" t="s">
        <v>5150</v>
      </c>
      <c r="AV1609" s="185" t="s">
        <v>176</v>
      </c>
      <c r="AW1609" s="55" t="s">
        <v>1065</v>
      </c>
      <c r="AX1609" s="185" t="s">
        <v>176</v>
      </c>
      <c r="AY1609" s="55" t="s">
        <v>176</v>
      </c>
      <c r="BE1609" s="226" t="s">
        <v>1079</v>
      </c>
      <c r="BF1609" s="191" t="s">
        <v>479</v>
      </c>
      <c r="BG1609" s="55" t="s">
        <v>479</v>
      </c>
      <c r="BH1609" s="226" t="s">
        <v>1080</v>
      </c>
      <c r="BI1609" s="55" t="s">
        <v>479</v>
      </c>
      <c r="BJ1609" s="55" t="s">
        <v>479</v>
      </c>
      <c r="BK1609" s="55" t="s">
        <v>5976</v>
      </c>
      <c r="BM1609" s="192" t="s">
        <v>1078</v>
      </c>
      <c r="BN1609" s="55">
        <v>3</v>
      </c>
      <c r="BO1609" s="55">
        <v>3</v>
      </c>
      <c r="BQ1609" s="55" t="s">
        <v>141</v>
      </c>
      <c r="BV1609" s="55" t="s">
        <v>1082</v>
      </c>
      <c r="DB1609" s="65">
        <f>(1000000/(100*100*0.3*1.69*1000))*30.8</f>
        <v>6.0749506903353065</v>
      </c>
      <c r="DC1609" s="65">
        <f>(1000000/(100*100*0.3*1.69*1000))*36.4</f>
        <v>7.1794871794871797</v>
      </c>
      <c r="DF1609" s="65" t="s">
        <v>1635</v>
      </c>
      <c r="GP1609" s="292" t="s">
        <v>7494</v>
      </c>
      <c r="JU1609" s="55" t="s">
        <v>1086</v>
      </c>
      <c r="JW1609" s="55" t="s">
        <v>1073</v>
      </c>
    </row>
    <row r="1610" spans="1:283" x14ac:dyDescent="0.25">
      <c r="A1610" s="55">
        <v>1609</v>
      </c>
      <c r="B1610" s="12" t="s">
        <v>7067</v>
      </c>
      <c r="C1610" s="155">
        <v>73</v>
      </c>
      <c r="D1610" s="55" t="s">
        <v>4001</v>
      </c>
      <c r="E1610" s="90" t="s">
        <v>1074</v>
      </c>
      <c r="G1610" s="55" t="s">
        <v>1075</v>
      </c>
      <c r="H1610" s="55">
        <v>2003</v>
      </c>
      <c r="I1610" s="55">
        <v>1992</v>
      </c>
      <c r="J1610" s="55" t="s">
        <v>1076</v>
      </c>
      <c r="K1610" s="55" t="s">
        <v>1104</v>
      </c>
      <c r="L1610" s="55" t="s">
        <v>2738</v>
      </c>
      <c r="M1610" s="90">
        <v>50.29</v>
      </c>
      <c r="N1610" s="90">
        <v>-107.8</v>
      </c>
      <c r="O1610" s="90">
        <v>757</v>
      </c>
      <c r="U1610" s="55">
        <v>5</v>
      </c>
      <c r="V1610" s="55" t="s">
        <v>1889</v>
      </c>
      <c r="Y1610" s="55" t="s">
        <v>1081</v>
      </c>
      <c r="Z1610" s="55" t="s">
        <v>1382</v>
      </c>
      <c r="AA1610" s="90" t="s">
        <v>1680</v>
      </c>
      <c r="AD1610" s="90">
        <v>1.69</v>
      </c>
      <c r="AH1610" s="55" t="s">
        <v>139</v>
      </c>
      <c r="AM1610" s="55" t="s">
        <v>1323</v>
      </c>
      <c r="AN1610" s="185" t="s">
        <v>553</v>
      </c>
      <c r="AO1610" s="185" t="s">
        <v>5150</v>
      </c>
      <c r="AQ1610" s="55" t="s">
        <v>553</v>
      </c>
      <c r="AR1610" s="55" t="s">
        <v>1500</v>
      </c>
      <c r="AS1610" s="55" t="s">
        <v>116</v>
      </c>
      <c r="AT1610" s="181" t="s">
        <v>1065</v>
      </c>
      <c r="AU1610" s="181" t="s">
        <v>5150</v>
      </c>
      <c r="AV1610" s="185" t="s">
        <v>176</v>
      </c>
      <c r="AW1610" s="55" t="s">
        <v>1065</v>
      </c>
      <c r="AX1610" s="185" t="s">
        <v>176</v>
      </c>
      <c r="AY1610" s="55" t="s">
        <v>176</v>
      </c>
      <c r="BE1610" s="226" t="s">
        <v>1079</v>
      </c>
      <c r="BF1610" s="191" t="s">
        <v>479</v>
      </c>
      <c r="BG1610" s="55" t="s">
        <v>479</v>
      </c>
      <c r="BH1610" s="226" t="s">
        <v>1080</v>
      </c>
      <c r="BI1610" s="55" t="s">
        <v>479</v>
      </c>
      <c r="BJ1610" s="55" t="s">
        <v>479</v>
      </c>
      <c r="BK1610" s="55" t="s">
        <v>5976</v>
      </c>
      <c r="BM1610" s="192" t="s">
        <v>1078</v>
      </c>
      <c r="BN1610" s="55">
        <v>3</v>
      </c>
      <c r="BO1610" s="55">
        <v>3</v>
      </c>
      <c r="BQ1610" s="55" t="s">
        <v>141</v>
      </c>
      <c r="BV1610" s="55" t="s">
        <v>1082</v>
      </c>
      <c r="DB1610" s="65">
        <f>(1000000/(100*100*0.3*1.69*1000))*12.8</f>
        <v>2.5246548323471405</v>
      </c>
      <c r="DC1610" s="65">
        <f>(1000000/(100*100*0.3*1.69*1000))*38</f>
        <v>7.4950690335305721</v>
      </c>
      <c r="DF1610" s="65" t="s">
        <v>1635</v>
      </c>
      <c r="GP1610" s="292" t="s">
        <v>7494</v>
      </c>
      <c r="JU1610" s="55" t="s">
        <v>1086</v>
      </c>
      <c r="JW1610" s="55" t="s">
        <v>1073</v>
      </c>
    </row>
    <row r="1611" spans="1:283" x14ac:dyDescent="0.25">
      <c r="A1611" s="55">
        <v>1610</v>
      </c>
      <c r="B1611" s="12" t="s">
        <v>7067</v>
      </c>
      <c r="C1611" s="155">
        <v>73</v>
      </c>
      <c r="D1611" s="55" t="s">
        <v>4001</v>
      </c>
      <c r="E1611" s="90" t="s">
        <v>1074</v>
      </c>
      <c r="G1611" s="55" t="s">
        <v>1075</v>
      </c>
      <c r="H1611" s="55">
        <v>2003</v>
      </c>
      <c r="I1611" s="55">
        <v>1993</v>
      </c>
      <c r="J1611" s="55" t="s">
        <v>1076</v>
      </c>
      <c r="K1611" s="55" t="s">
        <v>1104</v>
      </c>
      <c r="L1611" s="55" t="s">
        <v>2738</v>
      </c>
      <c r="M1611" s="90">
        <v>50.29</v>
      </c>
      <c r="N1611" s="90">
        <v>-107.8</v>
      </c>
      <c r="O1611" s="90">
        <v>757</v>
      </c>
      <c r="U1611" s="55">
        <v>6</v>
      </c>
      <c r="V1611" s="55" t="s">
        <v>1889</v>
      </c>
      <c r="Y1611" s="55" t="s">
        <v>1081</v>
      </c>
      <c r="Z1611" s="55" t="s">
        <v>1382</v>
      </c>
      <c r="AA1611" s="90" t="s">
        <v>1680</v>
      </c>
      <c r="AD1611" s="90">
        <v>1.69</v>
      </c>
      <c r="AH1611" s="55" t="s">
        <v>139</v>
      </c>
      <c r="AM1611" s="55" t="s">
        <v>1323</v>
      </c>
      <c r="AN1611" s="185" t="s">
        <v>553</v>
      </c>
      <c r="AO1611" s="185" t="s">
        <v>5150</v>
      </c>
      <c r="AQ1611" s="55" t="s">
        <v>553</v>
      </c>
      <c r="AR1611" s="55" t="s">
        <v>1500</v>
      </c>
      <c r="AS1611" s="55" t="s">
        <v>116</v>
      </c>
      <c r="AT1611" s="181" t="s">
        <v>1065</v>
      </c>
      <c r="AU1611" s="181" t="s">
        <v>5150</v>
      </c>
      <c r="AV1611" s="185" t="s">
        <v>176</v>
      </c>
      <c r="AW1611" s="55" t="s">
        <v>1065</v>
      </c>
      <c r="AX1611" s="185" t="s">
        <v>176</v>
      </c>
      <c r="AY1611" s="55" t="s">
        <v>176</v>
      </c>
      <c r="BE1611" s="226" t="s">
        <v>1079</v>
      </c>
      <c r="BF1611" s="191" t="s">
        <v>479</v>
      </c>
      <c r="BG1611" s="55" t="s">
        <v>479</v>
      </c>
      <c r="BH1611" s="226" t="s">
        <v>1080</v>
      </c>
      <c r="BI1611" s="55" t="s">
        <v>479</v>
      </c>
      <c r="BJ1611" s="55" t="s">
        <v>479</v>
      </c>
      <c r="BK1611" s="55" t="s">
        <v>5976</v>
      </c>
      <c r="BM1611" s="192" t="s">
        <v>1078</v>
      </c>
      <c r="BN1611" s="55">
        <v>3</v>
      </c>
      <c r="BO1611" s="55">
        <v>3</v>
      </c>
      <c r="BQ1611" s="55" t="s">
        <v>141</v>
      </c>
      <c r="BV1611" s="55" t="s">
        <v>1082</v>
      </c>
      <c r="DB1611" s="65">
        <f>(1000000/(100*100*0.3*1.69*1000))*11.7</f>
        <v>2.3076923076923075</v>
      </c>
      <c r="DC1611" s="65">
        <f>(1000000/(100*100*0.3*1.69*1000))*17.6</f>
        <v>3.471400394477318</v>
      </c>
      <c r="DF1611" s="65" t="s">
        <v>1635</v>
      </c>
      <c r="GP1611" s="292" t="s">
        <v>7494</v>
      </c>
      <c r="JU1611" s="55" t="s">
        <v>1086</v>
      </c>
      <c r="JW1611" s="55" t="s">
        <v>1073</v>
      </c>
    </row>
    <row r="1612" spans="1:283" x14ac:dyDescent="0.25">
      <c r="A1612" s="55">
        <v>1611</v>
      </c>
      <c r="B1612" s="12" t="s">
        <v>7067</v>
      </c>
      <c r="C1612" s="155">
        <v>73</v>
      </c>
      <c r="D1612" s="55" t="s">
        <v>4001</v>
      </c>
      <c r="E1612" s="90" t="s">
        <v>1074</v>
      </c>
      <c r="G1612" s="55" t="s">
        <v>1075</v>
      </c>
      <c r="H1612" s="55">
        <v>2003</v>
      </c>
      <c r="I1612" s="55">
        <v>1994</v>
      </c>
      <c r="J1612" s="55" t="s">
        <v>1076</v>
      </c>
      <c r="K1612" s="55" t="s">
        <v>1104</v>
      </c>
      <c r="L1612" s="55" t="s">
        <v>2738</v>
      </c>
      <c r="M1612" s="90">
        <v>50.29</v>
      </c>
      <c r="N1612" s="90">
        <v>-107.8</v>
      </c>
      <c r="O1612" s="90">
        <v>757</v>
      </c>
      <c r="U1612" s="55">
        <v>7</v>
      </c>
      <c r="V1612" s="55" t="s">
        <v>1889</v>
      </c>
      <c r="Y1612" s="55" t="s">
        <v>1081</v>
      </c>
      <c r="Z1612" s="55" t="s">
        <v>1382</v>
      </c>
      <c r="AA1612" s="90" t="s">
        <v>1680</v>
      </c>
      <c r="AD1612" s="90">
        <v>1.69</v>
      </c>
      <c r="AH1612" s="55" t="s">
        <v>139</v>
      </c>
      <c r="AM1612" s="55" t="s">
        <v>1323</v>
      </c>
      <c r="AN1612" s="185" t="s">
        <v>553</v>
      </c>
      <c r="AO1612" s="185" t="s">
        <v>5150</v>
      </c>
      <c r="AQ1612" s="55" t="s">
        <v>553</v>
      </c>
      <c r="AR1612" s="55" t="s">
        <v>1500</v>
      </c>
      <c r="AS1612" s="55" t="s">
        <v>116</v>
      </c>
      <c r="AT1612" s="181" t="s">
        <v>1065</v>
      </c>
      <c r="AU1612" s="181" t="s">
        <v>5150</v>
      </c>
      <c r="AV1612" s="185" t="s">
        <v>176</v>
      </c>
      <c r="AW1612" s="55" t="s">
        <v>1065</v>
      </c>
      <c r="AX1612" s="185" t="s">
        <v>176</v>
      </c>
      <c r="AY1612" s="55" t="s">
        <v>176</v>
      </c>
      <c r="BE1612" s="226" t="s">
        <v>1079</v>
      </c>
      <c r="BF1612" s="191" t="s">
        <v>479</v>
      </c>
      <c r="BG1612" s="55" t="s">
        <v>479</v>
      </c>
      <c r="BH1612" s="226" t="s">
        <v>1080</v>
      </c>
      <c r="BI1612" s="55" t="s">
        <v>479</v>
      </c>
      <c r="BJ1612" s="55" t="s">
        <v>479</v>
      </c>
      <c r="BK1612" s="55" t="s">
        <v>5976</v>
      </c>
      <c r="BM1612" s="192" t="s">
        <v>1078</v>
      </c>
      <c r="BN1612" s="55">
        <v>3</v>
      </c>
      <c r="BO1612" s="55">
        <v>3</v>
      </c>
      <c r="BQ1612" s="55" t="s">
        <v>141</v>
      </c>
      <c r="BV1612" s="55" t="s">
        <v>1082</v>
      </c>
      <c r="DB1612" s="65">
        <f>(1000000/(100*100*0.3*1.69*1000))*8.1</f>
        <v>1.5976331360946745</v>
      </c>
      <c r="DC1612" s="65">
        <f>(1000000/(100*100*0.3*1.69*1000))*14.1</f>
        <v>2.7810650887573964</v>
      </c>
      <c r="DF1612" s="65" t="s">
        <v>1635</v>
      </c>
      <c r="GP1612" s="292" t="s">
        <v>7494</v>
      </c>
      <c r="JU1612" s="55" t="s">
        <v>1086</v>
      </c>
      <c r="JW1612" s="55" t="s">
        <v>1073</v>
      </c>
    </row>
    <row r="1613" spans="1:283" x14ac:dyDescent="0.25">
      <c r="A1613" s="55">
        <v>1612</v>
      </c>
      <c r="B1613" s="12" t="s">
        <v>7067</v>
      </c>
      <c r="C1613" s="155">
        <v>73</v>
      </c>
      <c r="D1613" s="55" t="s">
        <v>4001</v>
      </c>
      <c r="E1613" s="90" t="s">
        <v>1074</v>
      </c>
      <c r="G1613" s="55" t="s">
        <v>1075</v>
      </c>
      <c r="H1613" s="55">
        <v>2003</v>
      </c>
      <c r="I1613" s="55">
        <v>1995</v>
      </c>
      <c r="J1613" s="55" t="s">
        <v>1076</v>
      </c>
      <c r="K1613" s="55" t="s">
        <v>1104</v>
      </c>
      <c r="L1613" s="55" t="s">
        <v>2738</v>
      </c>
      <c r="M1613" s="90">
        <v>50.29</v>
      </c>
      <c r="N1613" s="90">
        <v>-107.8</v>
      </c>
      <c r="O1613" s="90">
        <v>757</v>
      </c>
      <c r="U1613" s="55">
        <v>8</v>
      </c>
      <c r="V1613" s="55" t="s">
        <v>1889</v>
      </c>
      <c r="Y1613" s="55" t="s">
        <v>1081</v>
      </c>
      <c r="Z1613" s="55" t="s">
        <v>1382</v>
      </c>
      <c r="AA1613" s="90" t="s">
        <v>1680</v>
      </c>
      <c r="AD1613" s="90">
        <v>1.69</v>
      </c>
      <c r="AH1613" s="55" t="s">
        <v>139</v>
      </c>
      <c r="AM1613" s="55" t="s">
        <v>1323</v>
      </c>
      <c r="AN1613" s="185" t="s">
        <v>553</v>
      </c>
      <c r="AO1613" s="185" t="s">
        <v>5150</v>
      </c>
      <c r="AQ1613" s="55" t="s">
        <v>553</v>
      </c>
      <c r="AR1613" s="55" t="s">
        <v>1500</v>
      </c>
      <c r="AS1613" s="55" t="s">
        <v>116</v>
      </c>
      <c r="AT1613" s="181" t="s">
        <v>1065</v>
      </c>
      <c r="AU1613" s="181" t="s">
        <v>5150</v>
      </c>
      <c r="AV1613" s="185" t="s">
        <v>176</v>
      </c>
      <c r="AW1613" s="55" t="s">
        <v>1065</v>
      </c>
      <c r="AX1613" s="185" t="s">
        <v>176</v>
      </c>
      <c r="AY1613" s="55" t="s">
        <v>176</v>
      </c>
      <c r="BE1613" s="226" t="s">
        <v>1079</v>
      </c>
      <c r="BF1613" s="191" t="s">
        <v>479</v>
      </c>
      <c r="BG1613" s="55" t="s">
        <v>479</v>
      </c>
      <c r="BH1613" s="226" t="s">
        <v>1080</v>
      </c>
      <c r="BI1613" s="55" t="s">
        <v>479</v>
      </c>
      <c r="BJ1613" s="55" t="s">
        <v>479</v>
      </c>
      <c r="BK1613" s="55" t="s">
        <v>5976</v>
      </c>
      <c r="BM1613" s="192" t="s">
        <v>1078</v>
      </c>
      <c r="BN1613" s="55">
        <v>3</v>
      </c>
      <c r="BO1613" s="55">
        <v>3</v>
      </c>
      <c r="BQ1613" s="55" t="s">
        <v>141</v>
      </c>
      <c r="BV1613" s="55" t="s">
        <v>1082</v>
      </c>
      <c r="DB1613" s="65">
        <f>(1000000/(100*100*0.3*1.69*1000))*4.6</f>
        <v>0.90729783037475342</v>
      </c>
      <c r="DC1613" s="65">
        <f>(1000000/(100*100*0.3*1.69*1000))*11.2</f>
        <v>2.2090729783037473</v>
      </c>
      <c r="DF1613" s="65" t="s">
        <v>1635</v>
      </c>
      <c r="GP1613" s="292" t="s">
        <v>7494</v>
      </c>
      <c r="JU1613" s="55" t="s">
        <v>1086</v>
      </c>
      <c r="JW1613" s="55" t="s">
        <v>1073</v>
      </c>
    </row>
    <row r="1614" spans="1:283" x14ac:dyDescent="0.25">
      <c r="A1614" s="55">
        <v>1613</v>
      </c>
      <c r="B1614" s="12" t="s">
        <v>7067</v>
      </c>
      <c r="C1614" s="155">
        <v>73</v>
      </c>
      <c r="D1614" s="55" t="s">
        <v>4001</v>
      </c>
      <c r="E1614" s="90" t="s">
        <v>1074</v>
      </c>
      <c r="G1614" s="55" t="s">
        <v>1075</v>
      </c>
      <c r="H1614" s="55">
        <v>2003</v>
      </c>
      <c r="I1614" s="55">
        <v>1996</v>
      </c>
      <c r="J1614" s="55" t="s">
        <v>1076</v>
      </c>
      <c r="K1614" s="55" t="s">
        <v>1104</v>
      </c>
      <c r="L1614" s="55" t="s">
        <v>2738</v>
      </c>
      <c r="M1614" s="90">
        <v>50.29</v>
      </c>
      <c r="N1614" s="90">
        <v>-107.8</v>
      </c>
      <c r="O1614" s="90">
        <v>757</v>
      </c>
      <c r="U1614" s="55">
        <v>9</v>
      </c>
      <c r="V1614" s="55" t="s">
        <v>1889</v>
      </c>
      <c r="Y1614" s="55" t="s">
        <v>1081</v>
      </c>
      <c r="Z1614" s="55" t="s">
        <v>1382</v>
      </c>
      <c r="AA1614" s="90" t="s">
        <v>1680</v>
      </c>
      <c r="AD1614" s="90">
        <v>1.69</v>
      </c>
      <c r="AH1614" s="55" t="s">
        <v>139</v>
      </c>
      <c r="AM1614" s="55" t="s">
        <v>1323</v>
      </c>
      <c r="AN1614" s="185" t="s">
        <v>553</v>
      </c>
      <c r="AO1614" s="185" t="s">
        <v>5150</v>
      </c>
      <c r="AQ1614" s="55" t="s">
        <v>553</v>
      </c>
      <c r="AR1614" s="55" t="s">
        <v>1500</v>
      </c>
      <c r="AS1614" s="55" t="s">
        <v>116</v>
      </c>
      <c r="AT1614" s="181" t="s">
        <v>1065</v>
      </c>
      <c r="AU1614" s="181" t="s">
        <v>5150</v>
      </c>
      <c r="AV1614" s="185" t="s">
        <v>176</v>
      </c>
      <c r="AW1614" s="55" t="s">
        <v>1065</v>
      </c>
      <c r="AX1614" s="185" t="s">
        <v>176</v>
      </c>
      <c r="AY1614" s="55" t="s">
        <v>176</v>
      </c>
      <c r="BE1614" s="226" t="s">
        <v>1079</v>
      </c>
      <c r="BF1614" s="191" t="s">
        <v>479</v>
      </c>
      <c r="BG1614" s="55" t="s">
        <v>479</v>
      </c>
      <c r="BH1614" s="226" t="s">
        <v>1080</v>
      </c>
      <c r="BI1614" s="55" t="s">
        <v>479</v>
      </c>
      <c r="BJ1614" s="55" t="s">
        <v>479</v>
      </c>
      <c r="BK1614" s="55" t="s">
        <v>5976</v>
      </c>
      <c r="BM1614" s="192" t="s">
        <v>1078</v>
      </c>
      <c r="BN1614" s="55">
        <v>3</v>
      </c>
      <c r="BO1614" s="55">
        <v>3</v>
      </c>
      <c r="BQ1614" s="55" t="s">
        <v>141</v>
      </c>
      <c r="BV1614" s="55" t="s">
        <v>1082</v>
      </c>
      <c r="DB1614" s="65">
        <f>(1000000/(100*100*0.3*1.69*1000))*7.7</f>
        <v>1.5187376725838266</v>
      </c>
      <c r="DC1614" s="65">
        <f>(1000000/(100*100*0.3*1.69*1000))*17</f>
        <v>3.3530571992110456</v>
      </c>
      <c r="DF1614" s="65" t="s">
        <v>1635</v>
      </c>
      <c r="GP1614" s="292" t="s">
        <v>7494</v>
      </c>
      <c r="JU1614" s="55" t="s">
        <v>1086</v>
      </c>
      <c r="JW1614" s="55" t="s">
        <v>1073</v>
      </c>
    </row>
    <row r="1615" spans="1:283" x14ac:dyDescent="0.25">
      <c r="A1615" s="55">
        <v>1614</v>
      </c>
      <c r="B1615" s="12" t="s">
        <v>7067</v>
      </c>
      <c r="C1615" s="155">
        <v>73</v>
      </c>
      <c r="D1615" s="55" t="s">
        <v>4001</v>
      </c>
      <c r="E1615" s="90" t="s">
        <v>1074</v>
      </c>
      <c r="G1615" s="55" t="s">
        <v>1075</v>
      </c>
      <c r="H1615" s="55">
        <v>2003</v>
      </c>
      <c r="I1615" s="55">
        <v>1997</v>
      </c>
      <c r="J1615" s="55" t="s">
        <v>1076</v>
      </c>
      <c r="K1615" s="55" t="s">
        <v>1104</v>
      </c>
      <c r="L1615" s="55" t="s">
        <v>2738</v>
      </c>
      <c r="M1615" s="90">
        <v>50.29</v>
      </c>
      <c r="N1615" s="90">
        <v>-107.8</v>
      </c>
      <c r="O1615" s="90">
        <v>757</v>
      </c>
      <c r="U1615" s="55">
        <v>10</v>
      </c>
      <c r="V1615" s="55" t="s">
        <v>1889</v>
      </c>
      <c r="Y1615" s="55" t="s">
        <v>1081</v>
      </c>
      <c r="Z1615" s="55" t="s">
        <v>1382</v>
      </c>
      <c r="AA1615" s="90" t="s">
        <v>1680</v>
      </c>
      <c r="AD1615" s="90">
        <v>1.69</v>
      </c>
      <c r="AH1615" s="55" t="s">
        <v>139</v>
      </c>
      <c r="AM1615" s="55" t="s">
        <v>1323</v>
      </c>
      <c r="AN1615" s="185" t="s">
        <v>553</v>
      </c>
      <c r="AO1615" s="185" t="s">
        <v>5150</v>
      </c>
      <c r="AQ1615" s="55" t="s">
        <v>553</v>
      </c>
      <c r="AR1615" s="55" t="s">
        <v>1500</v>
      </c>
      <c r="AS1615" s="55" t="s">
        <v>116</v>
      </c>
      <c r="AT1615" s="181" t="s">
        <v>1065</v>
      </c>
      <c r="AU1615" s="181" t="s">
        <v>5150</v>
      </c>
      <c r="AV1615" s="185" t="s">
        <v>176</v>
      </c>
      <c r="AW1615" s="55" t="s">
        <v>1065</v>
      </c>
      <c r="AX1615" s="185" t="s">
        <v>176</v>
      </c>
      <c r="AY1615" s="55" t="s">
        <v>176</v>
      </c>
      <c r="BE1615" s="226" t="s">
        <v>1079</v>
      </c>
      <c r="BF1615" s="191" t="s">
        <v>479</v>
      </c>
      <c r="BG1615" s="55" t="s">
        <v>479</v>
      </c>
      <c r="BH1615" s="226" t="s">
        <v>1080</v>
      </c>
      <c r="BI1615" s="55" t="s">
        <v>479</v>
      </c>
      <c r="BJ1615" s="55" t="s">
        <v>479</v>
      </c>
      <c r="BK1615" s="55" t="s">
        <v>5976</v>
      </c>
      <c r="BM1615" s="192" t="s">
        <v>1078</v>
      </c>
      <c r="BN1615" s="55">
        <v>3</v>
      </c>
      <c r="BO1615" s="55">
        <v>3</v>
      </c>
      <c r="BQ1615" s="55" t="s">
        <v>141</v>
      </c>
      <c r="BV1615" s="55" t="s">
        <v>1082</v>
      </c>
      <c r="DB1615" s="65">
        <f>(1000000/(100*100*0.3*1.69*1000))*7.5</f>
        <v>1.4792899408284024</v>
      </c>
      <c r="DC1615" s="65">
        <f>(1000000/(100*100*0.3*1.69*1000))*18.5</f>
        <v>3.6489151873767258</v>
      </c>
      <c r="DF1615" s="65" t="s">
        <v>1635</v>
      </c>
      <c r="GP1615" s="292" t="s">
        <v>7494</v>
      </c>
      <c r="JU1615" s="55" t="s">
        <v>1086</v>
      </c>
      <c r="JW1615" s="55" t="s">
        <v>1073</v>
      </c>
    </row>
    <row r="1616" spans="1:283" x14ac:dyDescent="0.25">
      <c r="A1616" s="55">
        <v>1615</v>
      </c>
      <c r="B1616" s="12" t="s">
        <v>7067</v>
      </c>
      <c r="C1616" s="155">
        <v>73</v>
      </c>
      <c r="D1616" s="55" t="s">
        <v>4001</v>
      </c>
      <c r="E1616" s="90" t="s">
        <v>1074</v>
      </c>
      <c r="G1616" s="55" t="s">
        <v>1075</v>
      </c>
      <c r="H1616" s="55">
        <v>2003</v>
      </c>
      <c r="I1616" s="55">
        <v>1998</v>
      </c>
      <c r="J1616" s="55" t="s">
        <v>1076</v>
      </c>
      <c r="K1616" s="55" t="s">
        <v>1104</v>
      </c>
      <c r="L1616" s="55" t="s">
        <v>2738</v>
      </c>
      <c r="M1616" s="90">
        <v>50.29</v>
      </c>
      <c r="N1616" s="90">
        <v>-107.8</v>
      </c>
      <c r="O1616" s="90">
        <v>757</v>
      </c>
      <c r="U1616" s="55">
        <v>11</v>
      </c>
      <c r="V1616" s="55" t="s">
        <v>1889</v>
      </c>
      <c r="Y1616" s="55" t="s">
        <v>1081</v>
      </c>
      <c r="Z1616" s="55" t="s">
        <v>1382</v>
      </c>
      <c r="AA1616" s="90" t="s">
        <v>1680</v>
      </c>
      <c r="AD1616" s="90">
        <v>1.69</v>
      </c>
      <c r="AH1616" s="55" t="s">
        <v>139</v>
      </c>
      <c r="AM1616" s="55" t="s">
        <v>1323</v>
      </c>
      <c r="AN1616" s="185" t="s">
        <v>553</v>
      </c>
      <c r="AO1616" s="185" t="s">
        <v>5150</v>
      </c>
      <c r="AQ1616" s="55" t="s">
        <v>553</v>
      </c>
      <c r="AR1616" s="55" t="s">
        <v>1500</v>
      </c>
      <c r="AS1616" s="55" t="s">
        <v>116</v>
      </c>
      <c r="AT1616" s="181" t="s">
        <v>1065</v>
      </c>
      <c r="AU1616" s="181" t="s">
        <v>5150</v>
      </c>
      <c r="AV1616" s="185" t="s">
        <v>176</v>
      </c>
      <c r="AW1616" s="55" t="s">
        <v>1065</v>
      </c>
      <c r="AX1616" s="185" t="s">
        <v>176</v>
      </c>
      <c r="AY1616" s="55" t="s">
        <v>176</v>
      </c>
      <c r="BE1616" s="226" t="s">
        <v>1079</v>
      </c>
      <c r="BF1616" s="191" t="s">
        <v>479</v>
      </c>
      <c r="BG1616" s="55" t="s">
        <v>479</v>
      </c>
      <c r="BH1616" s="226" t="s">
        <v>1080</v>
      </c>
      <c r="BI1616" s="55" t="s">
        <v>479</v>
      </c>
      <c r="BJ1616" s="55" t="s">
        <v>479</v>
      </c>
      <c r="BK1616" s="55" t="s">
        <v>5976</v>
      </c>
      <c r="BM1616" s="192" t="s">
        <v>1078</v>
      </c>
      <c r="BN1616" s="55">
        <v>3</v>
      </c>
      <c r="BO1616" s="55">
        <v>3</v>
      </c>
      <c r="BQ1616" s="55" t="s">
        <v>141</v>
      </c>
      <c r="BV1616" s="55" t="s">
        <v>1082</v>
      </c>
      <c r="DB1616" s="65">
        <f>(1000000/(100*100*0.3*1.69*1000))*16.4</f>
        <v>3.2347140039447728</v>
      </c>
      <c r="DC1616" s="65">
        <f>(1000000/(100*100*0.3*1.69*1000))*41</f>
        <v>8.0867850098619325</v>
      </c>
      <c r="DF1616" s="65" t="s">
        <v>1635</v>
      </c>
      <c r="GP1616" s="292" t="s">
        <v>7494</v>
      </c>
      <c r="JU1616" s="55" t="s">
        <v>1086</v>
      </c>
      <c r="JW1616" s="55" t="s">
        <v>1073</v>
      </c>
    </row>
    <row r="1617" spans="1:283" x14ac:dyDescent="0.25">
      <c r="A1617" s="55">
        <v>1616</v>
      </c>
      <c r="B1617" s="12" t="s">
        <v>7067</v>
      </c>
      <c r="C1617" s="155">
        <v>73</v>
      </c>
      <c r="D1617" s="55" t="s">
        <v>4001</v>
      </c>
      <c r="E1617" s="90" t="s">
        <v>1074</v>
      </c>
      <c r="G1617" s="55" t="s">
        <v>1075</v>
      </c>
      <c r="H1617" s="55">
        <v>2003</v>
      </c>
      <c r="I1617" s="55">
        <v>1999</v>
      </c>
      <c r="J1617" s="55" t="s">
        <v>1076</v>
      </c>
      <c r="K1617" s="55" t="s">
        <v>1104</v>
      </c>
      <c r="L1617" s="55" t="s">
        <v>2738</v>
      </c>
      <c r="M1617" s="90">
        <v>50.29</v>
      </c>
      <c r="N1617" s="90">
        <v>-107.8</v>
      </c>
      <c r="O1617" s="90">
        <v>757</v>
      </c>
      <c r="U1617" s="55">
        <v>12</v>
      </c>
      <c r="V1617" s="55" t="s">
        <v>1889</v>
      </c>
      <c r="Y1617" s="55" t="s">
        <v>1081</v>
      </c>
      <c r="Z1617" s="55" t="s">
        <v>1382</v>
      </c>
      <c r="AA1617" s="90" t="s">
        <v>1680</v>
      </c>
      <c r="AD1617" s="90">
        <v>1.69</v>
      </c>
      <c r="AH1617" s="55" t="s">
        <v>139</v>
      </c>
      <c r="AM1617" s="55" t="s">
        <v>1323</v>
      </c>
      <c r="AN1617" s="185" t="s">
        <v>553</v>
      </c>
      <c r="AO1617" s="185" t="s">
        <v>5150</v>
      </c>
      <c r="AQ1617" s="55" t="s">
        <v>553</v>
      </c>
      <c r="AR1617" s="55" t="s">
        <v>1500</v>
      </c>
      <c r="AS1617" s="55" t="s">
        <v>116</v>
      </c>
      <c r="AT1617" s="181" t="s">
        <v>1065</v>
      </c>
      <c r="AU1617" s="181" t="s">
        <v>5150</v>
      </c>
      <c r="AV1617" s="185" t="s">
        <v>176</v>
      </c>
      <c r="AW1617" s="55" t="s">
        <v>1065</v>
      </c>
      <c r="AX1617" s="185" t="s">
        <v>176</v>
      </c>
      <c r="AY1617" s="55" t="s">
        <v>176</v>
      </c>
      <c r="BE1617" s="226" t="s">
        <v>1079</v>
      </c>
      <c r="BF1617" s="191" t="s">
        <v>479</v>
      </c>
      <c r="BG1617" s="55" t="s">
        <v>479</v>
      </c>
      <c r="BH1617" s="226" t="s">
        <v>1080</v>
      </c>
      <c r="BI1617" s="55" t="s">
        <v>479</v>
      </c>
      <c r="BJ1617" s="55" t="s">
        <v>479</v>
      </c>
      <c r="BK1617" s="55" t="s">
        <v>5976</v>
      </c>
      <c r="BM1617" s="192" t="s">
        <v>1078</v>
      </c>
      <c r="BN1617" s="55">
        <v>3</v>
      </c>
      <c r="BO1617" s="55">
        <v>3</v>
      </c>
      <c r="BQ1617" s="55" t="s">
        <v>141</v>
      </c>
      <c r="BV1617" s="55" t="s">
        <v>1082</v>
      </c>
      <c r="DB1617" s="65">
        <f>(1000000/(100*100*0.3*1.69*1000))*9.9</f>
        <v>1.9526627218934913</v>
      </c>
      <c r="DC1617" s="65">
        <f>(1000000/(100*100*0.3*1.69*1000))*28.9</f>
        <v>5.7001972386587774</v>
      </c>
      <c r="DF1617" s="65" t="s">
        <v>1635</v>
      </c>
      <c r="GP1617" s="292" t="s">
        <v>7494</v>
      </c>
      <c r="JU1617" s="55" t="s">
        <v>1086</v>
      </c>
      <c r="JW1617" s="55" t="s">
        <v>1073</v>
      </c>
    </row>
    <row r="1618" spans="1:283" x14ac:dyDescent="0.25">
      <c r="A1618" s="55">
        <v>1617</v>
      </c>
      <c r="B1618" s="12" t="s">
        <v>7067</v>
      </c>
      <c r="C1618" s="155">
        <v>74</v>
      </c>
      <c r="D1618" s="55" t="s">
        <v>4002</v>
      </c>
      <c r="E1618" s="90" t="s">
        <v>1092</v>
      </c>
      <c r="G1618" s="55" t="s">
        <v>1093</v>
      </c>
      <c r="H1618" s="55">
        <v>2013</v>
      </c>
      <c r="I1618" s="55">
        <v>2011</v>
      </c>
      <c r="J1618" s="55" t="s">
        <v>1094</v>
      </c>
      <c r="K1618" s="55" t="s">
        <v>1095</v>
      </c>
      <c r="L1618" s="55" t="s">
        <v>2737</v>
      </c>
      <c r="M1618" s="90">
        <v>32.24</v>
      </c>
      <c r="N1618" s="90">
        <v>-98.2</v>
      </c>
      <c r="O1618" s="90">
        <v>390.7</v>
      </c>
      <c r="U1618" s="55">
        <v>1</v>
      </c>
      <c r="V1618" s="55">
        <v>1</v>
      </c>
      <c r="Z1618" s="55" t="s">
        <v>1344</v>
      </c>
      <c r="AA1618" s="90" t="s">
        <v>1344</v>
      </c>
      <c r="AE1618" s="90">
        <v>3</v>
      </c>
      <c r="AF1618" s="90">
        <v>32</v>
      </c>
      <c r="AH1618" s="55" t="s">
        <v>399</v>
      </c>
      <c r="AM1618" s="55" t="s">
        <v>1324</v>
      </c>
      <c r="AN1618" s="185" t="s">
        <v>1097</v>
      </c>
      <c r="AO1618" s="185" t="s">
        <v>5150</v>
      </c>
      <c r="AQ1618" s="55" t="s">
        <v>1097</v>
      </c>
      <c r="AR1618" s="55" t="s">
        <v>1096</v>
      </c>
      <c r="AS1618" s="55" t="s">
        <v>5133</v>
      </c>
      <c r="AT1618" s="181" t="s">
        <v>119</v>
      </c>
      <c r="AU1618" s="181" t="s">
        <v>5150</v>
      </c>
      <c r="AV1618" s="185" t="s">
        <v>176</v>
      </c>
      <c r="AX1618" s="185" t="s">
        <v>176</v>
      </c>
      <c r="BK1618" s="55" t="s">
        <v>5976</v>
      </c>
      <c r="BM1618" s="192" t="s">
        <v>119</v>
      </c>
      <c r="BN1618" s="55">
        <v>4</v>
      </c>
      <c r="BO1618" s="55">
        <v>4</v>
      </c>
      <c r="BQ1618" s="55" t="s">
        <v>315</v>
      </c>
      <c r="BV1618" s="55" t="s">
        <v>1099</v>
      </c>
      <c r="GP1618" s="292" t="s">
        <v>7494</v>
      </c>
      <c r="GT1618" s="65">
        <v>4.3</v>
      </c>
      <c r="GU1618" s="65">
        <v>3.3</v>
      </c>
      <c r="GX1618" s="65" t="s">
        <v>1098</v>
      </c>
    </row>
    <row r="1619" spans="1:283" x14ac:dyDescent="0.25">
      <c r="A1619" s="55">
        <v>1618</v>
      </c>
      <c r="B1619" s="12" t="s">
        <v>7067</v>
      </c>
      <c r="C1619" s="155">
        <v>74</v>
      </c>
      <c r="D1619" s="55" t="s">
        <v>4002</v>
      </c>
      <c r="E1619" s="90" t="s">
        <v>1092</v>
      </c>
      <c r="G1619" s="55" t="s">
        <v>1093</v>
      </c>
      <c r="H1619" s="55">
        <v>2013</v>
      </c>
      <c r="I1619" s="55">
        <v>2011</v>
      </c>
      <c r="J1619" s="55" t="s">
        <v>1094</v>
      </c>
      <c r="K1619" s="55" t="s">
        <v>1095</v>
      </c>
      <c r="L1619" s="55" t="s">
        <v>2737</v>
      </c>
      <c r="M1619" s="90">
        <v>32.24</v>
      </c>
      <c r="N1619" s="90">
        <v>-98.2</v>
      </c>
      <c r="O1619" s="90">
        <v>390.7</v>
      </c>
      <c r="U1619" s="55">
        <v>1</v>
      </c>
      <c r="V1619" s="55">
        <v>1</v>
      </c>
      <c r="Z1619" s="55" t="s">
        <v>1344</v>
      </c>
      <c r="AA1619" s="90" t="s">
        <v>1344</v>
      </c>
      <c r="AE1619" s="90">
        <v>3</v>
      </c>
      <c r="AF1619" s="90">
        <v>32</v>
      </c>
      <c r="AH1619" s="55" t="s">
        <v>399</v>
      </c>
      <c r="AM1619" s="55" t="s">
        <v>1324</v>
      </c>
      <c r="AN1619" s="185" t="s">
        <v>1097</v>
      </c>
      <c r="AO1619" s="185" t="s">
        <v>5150</v>
      </c>
      <c r="AQ1619" s="55" t="s">
        <v>1097</v>
      </c>
      <c r="AR1619" s="55" t="s">
        <v>1096</v>
      </c>
      <c r="AS1619" s="55" t="s">
        <v>5133</v>
      </c>
      <c r="AT1619" s="181" t="s">
        <v>119</v>
      </c>
      <c r="AU1619" s="181" t="s">
        <v>5150</v>
      </c>
      <c r="AV1619" s="185" t="s">
        <v>176</v>
      </c>
      <c r="AX1619" s="185" t="s">
        <v>176</v>
      </c>
      <c r="BK1619" s="55" t="s">
        <v>5976</v>
      </c>
      <c r="BM1619" s="192" t="s">
        <v>119</v>
      </c>
      <c r="BN1619" s="55">
        <v>4</v>
      </c>
      <c r="BO1619" s="55">
        <v>4</v>
      </c>
      <c r="BQ1619" s="55" t="s">
        <v>315</v>
      </c>
      <c r="BV1619" s="55" t="s">
        <v>1100</v>
      </c>
      <c r="GP1619" s="292" t="s">
        <v>7494</v>
      </c>
      <c r="GT1619" s="65">
        <v>3</v>
      </c>
      <c r="GU1619" s="65">
        <v>2.5</v>
      </c>
      <c r="GX1619" s="65" t="s">
        <v>1098</v>
      </c>
    </row>
    <row r="1620" spans="1:283" x14ac:dyDescent="0.25">
      <c r="A1620" s="55">
        <v>1619</v>
      </c>
      <c r="B1620" s="12" t="s">
        <v>7067</v>
      </c>
      <c r="C1620" s="155">
        <v>74</v>
      </c>
      <c r="D1620" s="55" t="s">
        <v>4002</v>
      </c>
      <c r="E1620" s="90" t="s">
        <v>1092</v>
      </c>
      <c r="G1620" s="55" t="s">
        <v>1093</v>
      </c>
      <c r="H1620" s="55">
        <v>2013</v>
      </c>
      <c r="I1620" s="55">
        <v>2011</v>
      </c>
      <c r="J1620" s="55" t="s">
        <v>1094</v>
      </c>
      <c r="K1620" s="55" t="s">
        <v>1095</v>
      </c>
      <c r="L1620" s="55" t="s">
        <v>2737</v>
      </c>
      <c r="M1620" s="90">
        <v>32.24</v>
      </c>
      <c r="N1620" s="90">
        <v>-98.2</v>
      </c>
      <c r="O1620" s="90">
        <v>390.7</v>
      </c>
      <c r="U1620" s="55">
        <v>1</v>
      </c>
      <c r="V1620" s="55">
        <v>1</v>
      </c>
      <c r="Z1620" s="55" t="s">
        <v>1344</v>
      </c>
      <c r="AA1620" s="90" t="s">
        <v>1344</v>
      </c>
      <c r="AE1620" s="90">
        <v>3</v>
      </c>
      <c r="AF1620" s="90">
        <v>32</v>
      </c>
      <c r="AH1620" s="55" t="s">
        <v>399</v>
      </c>
      <c r="AM1620" s="55" t="s">
        <v>1324</v>
      </c>
      <c r="AN1620" s="185" t="s">
        <v>1097</v>
      </c>
      <c r="AO1620" s="185" t="s">
        <v>5150</v>
      </c>
      <c r="AQ1620" s="55" t="s">
        <v>1097</v>
      </c>
      <c r="AR1620" s="55" t="s">
        <v>1096</v>
      </c>
      <c r="AS1620" s="55" t="s">
        <v>5133</v>
      </c>
      <c r="AT1620" s="181" t="s">
        <v>119</v>
      </c>
      <c r="AU1620" s="181" t="s">
        <v>5150</v>
      </c>
      <c r="AV1620" s="185" t="s">
        <v>176</v>
      </c>
      <c r="AX1620" s="185" t="s">
        <v>176</v>
      </c>
      <c r="BK1620" s="55" t="s">
        <v>5976</v>
      </c>
      <c r="BM1620" s="192" t="s">
        <v>119</v>
      </c>
      <c r="BN1620" s="55">
        <v>4</v>
      </c>
      <c r="BO1620" s="55">
        <v>4</v>
      </c>
      <c r="BQ1620" s="55" t="s">
        <v>315</v>
      </c>
      <c r="BV1620" s="55" t="s">
        <v>1101</v>
      </c>
      <c r="GP1620" s="292" t="s">
        <v>7494</v>
      </c>
      <c r="GT1620" s="65">
        <v>1.3</v>
      </c>
      <c r="GU1620" s="65">
        <v>0.3</v>
      </c>
      <c r="GX1620" s="65" t="s">
        <v>1098</v>
      </c>
    </row>
    <row r="1621" spans="1:283" x14ac:dyDescent="0.25">
      <c r="A1621" s="55">
        <v>1620</v>
      </c>
      <c r="B1621" s="12" t="s">
        <v>7067</v>
      </c>
      <c r="C1621" s="155">
        <v>74</v>
      </c>
      <c r="D1621" s="55" t="s">
        <v>4002</v>
      </c>
      <c r="E1621" s="90" t="s">
        <v>1092</v>
      </c>
      <c r="G1621" s="55" t="s">
        <v>1093</v>
      </c>
      <c r="H1621" s="55">
        <v>2013</v>
      </c>
      <c r="I1621" s="55">
        <v>2011</v>
      </c>
      <c r="J1621" s="55" t="s">
        <v>1094</v>
      </c>
      <c r="K1621" s="55" t="s">
        <v>1095</v>
      </c>
      <c r="L1621" s="55" t="s">
        <v>2737</v>
      </c>
      <c r="M1621" s="90">
        <v>32.24</v>
      </c>
      <c r="N1621" s="90">
        <v>-98.2</v>
      </c>
      <c r="O1621" s="90">
        <v>390.7</v>
      </c>
      <c r="U1621" s="55">
        <v>1</v>
      </c>
      <c r="V1621" s="55">
        <v>1</v>
      </c>
      <c r="Z1621" s="55" t="s">
        <v>1344</v>
      </c>
      <c r="AA1621" s="90" t="s">
        <v>1344</v>
      </c>
      <c r="AE1621" s="90">
        <v>3</v>
      </c>
      <c r="AF1621" s="90">
        <v>32</v>
      </c>
      <c r="AH1621" s="55" t="s">
        <v>399</v>
      </c>
      <c r="AM1621" s="55" t="s">
        <v>1324</v>
      </c>
      <c r="AN1621" s="185" t="s">
        <v>1097</v>
      </c>
      <c r="AO1621" s="185" t="s">
        <v>5150</v>
      </c>
      <c r="AQ1621" s="55" t="s">
        <v>1097</v>
      </c>
      <c r="AR1621" s="55" t="s">
        <v>1096</v>
      </c>
      <c r="AS1621" s="55" t="s">
        <v>5133</v>
      </c>
      <c r="AT1621" s="181" t="s">
        <v>119</v>
      </c>
      <c r="AU1621" s="181" t="s">
        <v>5150</v>
      </c>
      <c r="AV1621" s="185" t="s">
        <v>176</v>
      </c>
      <c r="AX1621" s="185" t="s">
        <v>176</v>
      </c>
      <c r="BK1621" s="55" t="s">
        <v>5976</v>
      </c>
      <c r="BM1621" s="192" t="s">
        <v>119</v>
      </c>
      <c r="BN1621" s="55">
        <v>4</v>
      </c>
      <c r="BO1621" s="55">
        <v>4</v>
      </c>
      <c r="BQ1621" s="55" t="s">
        <v>315</v>
      </c>
      <c r="BV1621" s="55" t="s">
        <v>1102</v>
      </c>
      <c r="GP1621" s="292" t="s">
        <v>7494</v>
      </c>
      <c r="GT1621" s="65">
        <v>0.3</v>
      </c>
      <c r="GU1621" s="65">
        <v>0</v>
      </c>
      <c r="GX1621" s="65" t="s">
        <v>1098</v>
      </c>
    </row>
    <row r="1622" spans="1:283" x14ac:dyDescent="0.25">
      <c r="A1622" s="55">
        <v>1621</v>
      </c>
      <c r="B1622" s="12" t="s">
        <v>7067</v>
      </c>
      <c r="C1622" s="155">
        <v>74</v>
      </c>
      <c r="D1622" s="55" t="s">
        <v>4002</v>
      </c>
      <c r="E1622" s="90" t="s">
        <v>1092</v>
      </c>
      <c r="G1622" s="55" t="s">
        <v>1093</v>
      </c>
      <c r="H1622" s="55">
        <v>2013</v>
      </c>
      <c r="I1622" s="55">
        <v>2011</v>
      </c>
      <c r="J1622" s="55" t="s">
        <v>1094</v>
      </c>
      <c r="K1622" s="55" t="s">
        <v>1095</v>
      </c>
      <c r="L1622" s="55" t="s">
        <v>2737</v>
      </c>
      <c r="M1622" s="90">
        <v>32.24</v>
      </c>
      <c r="N1622" s="90">
        <v>-98.2</v>
      </c>
      <c r="O1622" s="90">
        <v>390.7</v>
      </c>
      <c r="U1622" s="55">
        <v>1</v>
      </c>
      <c r="V1622" s="55">
        <v>1</v>
      </c>
      <c r="Z1622" s="55" t="s">
        <v>1344</v>
      </c>
      <c r="AA1622" s="90" t="s">
        <v>1344</v>
      </c>
      <c r="AE1622" s="90">
        <v>3</v>
      </c>
      <c r="AF1622" s="90">
        <v>32</v>
      </c>
      <c r="AH1622" s="55" t="s">
        <v>399</v>
      </c>
      <c r="AM1622" s="55" t="s">
        <v>1324</v>
      </c>
      <c r="AN1622" s="185" t="s">
        <v>1097</v>
      </c>
      <c r="AO1622" s="185" t="s">
        <v>5150</v>
      </c>
      <c r="AQ1622" s="55" t="s">
        <v>1097</v>
      </c>
      <c r="AR1622" s="55" t="s">
        <v>1096</v>
      </c>
      <c r="AS1622" s="55" t="s">
        <v>5133</v>
      </c>
      <c r="AT1622" s="181" t="s">
        <v>119</v>
      </c>
      <c r="AU1622" s="181" t="s">
        <v>5150</v>
      </c>
      <c r="AV1622" s="185" t="s">
        <v>176</v>
      </c>
      <c r="AX1622" s="185" t="s">
        <v>176</v>
      </c>
      <c r="BK1622" s="55" t="s">
        <v>5976</v>
      </c>
      <c r="BM1622" s="192" t="s">
        <v>119</v>
      </c>
      <c r="BN1622" s="55">
        <v>4</v>
      </c>
      <c r="BO1622" s="55">
        <v>4</v>
      </c>
      <c r="BQ1622" s="55" t="s">
        <v>315</v>
      </c>
      <c r="BV1622" s="55" t="s">
        <v>1103</v>
      </c>
      <c r="GP1622" s="292" t="s">
        <v>7494</v>
      </c>
      <c r="GT1622" s="65">
        <v>2.2999999999999998</v>
      </c>
      <c r="GU1622" s="65">
        <v>1</v>
      </c>
      <c r="GX1622" s="65" t="s">
        <v>1098</v>
      </c>
    </row>
    <row r="1623" spans="1:283" x14ac:dyDescent="0.25">
      <c r="A1623" s="55">
        <v>1622</v>
      </c>
      <c r="B1623" s="12" t="s">
        <v>7067</v>
      </c>
      <c r="C1623" s="155">
        <v>75</v>
      </c>
      <c r="D1623" s="55" t="s">
        <v>4003</v>
      </c>
      <c r="E1623" s="90" t="s">
        <v>1105</v>
      </c>
      <c r="G1623" s="55" t="s">
        <v>1106</v>
      </c>
      <c r="H1623" s="55">
        <v>1989</v>
      </c>
      <c r="I1623" s="55">
        <v>1985</v>
      </c>
      <c r="J1623" s="55" t="s">
        <v>397</v>
      </c>
      <c r="K1623" s="55" t="s">
        <v>1107</v>
      </c>
      <c r="L1623" s="55" t="s">
        <v>2737</v>
      </c>
      <c r="M1623" s="90">
        <v>38.950000000000003</v>
      </c>
      <c r="N1623" s="90">
        <v>-91.94</v>
      </c>
      <c r="O1623" s="90">
        <v>251.9</v>
      </c>
      <c r="U1623" s="55" t="s">
        <v>1805</v>
      </c>
      <c r="V1623" s="55" t="s">
        <v>1816</v>
      </c>
      <c r="Y1623" s="55" t="s">
        <v>1964</v>
      </c>
      <c r="Z1623" s="55" t="s">
        <v>1344</v>
      </c>
      <c r="AA1623" s="90" t="s">
        <v>1344</v>
      </c>
      <c r="AH1623" s="55" t="s">
        <v>6378</v>
      </c>
      <c r="AM1623" s="55" t="s">
        <v>1325</v>
      </c>
      <c r="AN1623" s="185" t="s">
        <v>1505</v>
      </c>
      <c r="AO1623" s="185" t="s">
        <v>5150</v>
      </c>
      <c r="AQ1623" s="55" t="s">
        <v>1548</v>
      </c>
      <c r="AR1623" s="55" t="s">
        <v>158</v>
      </c>
      <c r="AS1623" s="55" t="s">
        <v>158</v>
      </c>
      <c r="AT1623" s="181" t="s">
        <v>119</v>
      </c>
      <c r="AU1623" s="181" t="s">
        <v>5150</v>
      </c>
      <c r="AV1623" s="185" t="s">
        <v>176</v>
      </c>
      <c r="AX1623" s="185" t="s">
        <v>176</v>
      </c>
      <c r="BE1623" s="226" t="s">
        <v>1113</v>
      </c>
      <c r="BF1623" s="191" t="s">
        <v>479</v>
      </c>
      <c r="BG1623" s="55" t="s">
        <v>479</v>
      </c>
      <c r="BH1623" s="226" t="s">
        <v>1113</v>
      </c>
      <c r="BI1623" s="55" t="s">
        <v>479</v>
      </c>
      <c r="BJ1623" s="55" t="s">
        <v>176</v>
      </c>
      <c r="BK1623" s="55" t="s">
        <v>5976</v>
      </c>
      <c r="BM1623" s="192" t="s">
        <v>160</v>
      </c>
      <c r="BN1623" s="55">
        <v>2</v>
      </c>
      <c r="BO1623" s="55">
        <v>2</v>
      </c>
      <c r="BQ1623" s="55" t="s">
        <v>141</v>
      </c>
      <c r="FJ1623" s="65">
        <f>1/1000*336</f>
        <v>0.33600000000000002</v>
      </c>
      <c r="FK1623" s="65">
        <v>0</v>
      </c>
      <c r="FN1623" s="65" t="s">
        <v>6357</v>
      </c>
      <c r="FO1623" s="65">
        <v>4</v>
      </c>
      <c r="FP1623" s="65">
        <v>0</v>
      </c>
      <c r="FS1623" s="65" t="s">
        <v>1114</v>
      </c>
      <c r="GP1623" s="292" t="s">
        <v>7494</v>
      </c>
      <c r="JW1623" s="55" t="s">
        <v>1112</v>
      </c>
    </row>
    <row r="1624" spans="1:283" x14ac:dyDescent="0.25">
      <c r="A1624" s="55">
        <v>1623</v>
      </c>
      <c r="B1624" s="12" t="s">
        <v>7067</v>
      </c>
      <c r="C1624" s="155">
        <v>75</v>
      </c>
      <c r="D1624" s="55" t="s">
        <v>4003</v>
      </c>
      <c r="E1624" s="90" t="s">
        <v>1105</v>
      </c>
      <c r="G1624" s="55" t="s">
        <v>1106</v>
      </c>
      <c r="H1624" s="55">
        <v>1989</v>
      </c>
      <c r="I1624" s="55">
        <v>1985</v>
      </c>
      <c r="J1624" s="55" t="s">
        <v>397</v>
      </c>
      <c r="K1624" s="55" t="s">
        <v>1107</v>
      </c>
      <c r="L1624" s="55" t="s">
        <v>2737</v>
      </c>
      <c r="M1624" s="90">
        <v>38.950000000000003</v>
      </c>
      <c r="N1624" s="90">
        <v>-91.94</v>
      </c>
      <c r="O1624" s="90">
        <v>251.9</v>
      </c>
      <c r="U1624" s="55" t="s">
        <v>1805</v>
      </c>
      <c r="V1624" s="55" t="s">
        <v>1816</v>
      </c>
      <c r="Y1624" s="55" t="s">
        <v>1964</v>
      </c>
      <c r="Z1624" s="55" t="s">
        <v>1344</v>
      </c>
      <c r="AA1624" s="90" t="s">
        <v>1344</v>
      </c>
      <c r="AH1624" s="55" t="s">
        <v>6378</v>
      </c>
      <c r="AM1624" s="55" t="s">
        <v>1325</v>
      </c>
      <c r="AN1624" s="185" t="s">
        <v>1505</v>
      </c>
      <c r="AO1624" s="185" t="s">
        <v>5150</v>
      </c>
      <c r="AQ1624" s="55" t="s">
        <v>1548</v>
      </c>
      <c r="AR1624" s="55" t="s">
        <v>158</v>
      </c>
      <c r="AS1624" s="55" t="s">
        <v>158</v>
      </c>
      <c r="AT1624" s="181" t="s">
        <v>119</v>
      </c>
      <c r="AU1624" s="181" t="s">
        <v>5150</v>
      </c>
      <c r="AV1624" s="185" t="s">
        <v>176</v>
      </c>
      <c r="AX1624" s="185" t="s">
        <v>176</v>
      </c>
      <c r="BE1624" s="226" t="s">
        <v>1113</v>
      </c>
      <c r="BF1624" s="191" t="s">
        <v>479</v>
      </c>
      <c r="BG1624" s="55" t="s">
        <v>479</v>
      </c>
      <c r="BH1624" s="226" t="s">
        <v>1113</v>
      </c>
      <c r="BI1624" s="55" t="s">
        <v>479</v>
      </c>
      <c r="BJ1624" s="55" t="s">
        <v>176</v>
      </c>
      <c r="BK1624" s="55" t="s">
        <v>5976</v>
      </c>
      <c r="BM1624" s="192" t="s">
        <v>160</v>
      </c>
      <c r="BN1624" s="55">
        <v>2</v>
      </c>
      <c r="BO1624" s="55">
        <v>2</v>
      </c>
      <c r="BQ1624" s="55" t="s">
        <v>141</v>
      </c>
      <c r="FJ1624" s="65">
        <f>1/1000*1984</f>
        <v>1.984</v>
      </c>
      <c r="FK1624" s="65">
        <f>1/1000*381</f>
        <v>0.38100000000000001</v>
      </c>
      <c r="FN1624" s="65" t="s">
        <v>6357</v>
      </c>
      <c r="FO1624" s="65">
        <v>53</v>
      </c>
      <c r="FP1624" s="65">
        <v>31</v>
      </c>
      <c r="FS1624" s="65" t="s">
        <v>1114</v>
      </c>
      <c r="GP1624" s="292" t="s">
        <v>7494</v>
      </c>
      <c r="JW1624" s="55" t="s">
        <v>1108</v>
      </c>
    </row>
    <row r="1625" spans="1:283" x14ac:dyDescent="0.25">
      <c r="A1625" s="55">
        <v>1624</v>
      </c>
      <c r="B1625" s="12" t="s">
        <v>7067</v>
      </c>
      <c r="C1625" s="155">
        <v>75</v>
      </c>
      <c r="D1625" s="55" t="s">
        <v>4003</v>
      </c>
      <c r="E1625" s="90" t="s">
        <v>1105</v>
      </c>
      <c r="G1625" s="55" t="s">
        <v>1106</v>
      </c>
      <c r="H1625" s="55">
        <v>1989</v>
      </c>
      <c r="I1625" s="55">
        <v>1985</v>
      </c>
      <c r="J1625" s="55" t="s">
        <v>397</v>
      </c>
      <c r="K1625" s="55" t="s">
        <v>1107</v>
      </c>
      <c r="L1625" s="55" t="s">
        <v>2737</v>
      </c>
      <c r="M1625" s="90">
        <v>38.950000000000003</v>
      </c>
      <c r="N1625" s="90">
        <v>-91.94</v>
      </c>
      <c r="O1625" s="90">
        <v>251.9</v>
      </c>
      <c r="U1625" s="55" t="s">
        <v>1805</v>
      </c>
      <c r="V1625" s="55" t="s">
        <v>1816</v>
      </c>
      <c r="Y1625" s="55" t="s">
        <v>1964</v>
      </c>
      <c r="Z1625" s="55" t="s">
        <v>1344</v>
      </c>
      <c r="AA1625" s="90" t="s">
        <v>1344</v>
      </c>
      <c r="AH1625" s="55" t="s">
        <v>6378</v>
      </c>
      <c r="AM1625" s="55" t="s">
        <v>1325</v>
      </c>
      <c r="AN1625" s="185" t="s">
        <v>1505</v>
      </c>
      <c r="AO1625" s="185" t="s">
        <v>5150</v>
      </c>
      <c r="AQ1625" s="55" t="s">
        <v>1548</v>
      </c>
      <c r="AR1625" s="55" t="s">
        <v>158</v>
      </c>
      <c r="AS1625" s="55" t="s">
        <v>158</v>
      </c>
      <c r="AT1625" s="181" t="s">
        <v>119</v>
      </c>
      <c r="AU1625" s="181" t="s">
        <v>5150</v>
      </c>
      <c r="AV1625" s="185" t="s">
        <v>176</v>
      </c>
      <c r="AX1625" s="185" t="s">
        <v>176</v>
      </c>
      <c r="BE1625" s="226" t="s">
        <v>1113</v>
      </c>
      <c r="BF1625" s="191" t="s">
        <v>479</v>
      </c>
      <c r="BG1625" s="55" t="s">
        <v>479</v>
      </c>
      <c r="BH1625" s="226" t="s">
        <v>1113</v>
      </c>
      <c r="BI1625" s="55" t="s">
        <v>479</v>
      </c>
      <c r="BJ1625" s="55" t="s">
        <v>176</v>
      </c>
      <c r="BK1625" s="55" t="s">
        <v>5976</v>
      </c>
      <c r="BM1625" s="192" t="s">
        <v>160</v>
      </c>
      <c r="BN1625" s="55">
        <v>2</v>
      </c>
      <c r="BO1625" s="55">
        <v>2</v>
      </c>
      <c r="BQ1625" s="55" t="s">
        <v>141</v>
      </c>
      <c r="FJ1625" s="65">
        <f>1/1000*0.001</f>
        <v>9.9999999999999995E-7</v>
      </c>
      <c r="FK1625" s="65">
        <v>0</v>
      </c>
      <c r="FN1625" s="65" t="s">
        <v>6357</v>
      </c>
      <c r="FO1625" s="65">
        <v>3</v>
      </c>
      <c r="FP1625" s="65">
        <v>0</v>
      </c>
      <c r="FS1625" s="65" t="s">
        <v>1114</v>
      </c>
      <c r="GP1625" s="292" t="s">
        <v>7494</v>
      </c>
      <c r="JW1625" s="55" t="s">
        <v>1109</v>
      </c>
    </row>
    <row r="1626" spans="1:283" x14ac:dyDescent="0.25">
      <c r="A1626" s="55">
        <v>1625</v>
      </c>
      <c r="B1626" s="12" t="s">
        <v>7067</v>
      </c>
      <c r="C1626" s="155">
        <v>75</v>
      </c>
      <c r="D1626" s="55" t="s">
        <v>4003</v>
      </c>
      <c r="E1626" s="90" t="s">
        <v>1105</v>
      </c>
      <c r="G1626" s="55" t="s">
        <v>1106</v>
      </c>
      <c r="H1626" s="55">
        <v>1989</v>
      </c>
      <c r="I1626" s="55">
        <v>1985</v>
      </c>
      <c r="J1626" s="55" t="s">
        <v>397</v>
      </c>
      <c r="K1626" s="55" t="s">
        <v>1107</v>
      </c>
      <c r="L1626" s="55" t="s">
        <v>2737</v>
      </c>
      <c r="M1626" s="90">
        <v>38.950000000000003</v>
      </c>
      <c r="N1626" s="90">
        <v>-91.94</v>
      </c>
      <c r="O1626" s="90">
        <v>251.9</v>
      </c>
      <c r="U1626" s="55" t="s">
        <v>1805</v>
      </c>
      <c r="V1626" s="55" t="s">
        <v>1816</v>
      </c>
      <c r="Y1626" s="55" t="s">
        <v>1964</v>
      </c>
      <c r="Z1626" s="55" t="s">
        <v>1344</v>
      </c>
      <c r="AA1626" s="90" t="s">
        <v>1344</v>
      </c>
      <c r="AH1626" s="55" t="s">
        <v>6378</v>
      </c>
      <c r="AM1626" s="55" t="s">
        <v>1325</v>
      </c>
      <c r="AN1626" s="185" t="s">
        <v>1505</v>
      </c>
      <c r="AO1626" s="185" t="s">
        <v>5150</v>
      </c>
      <c r="AQ1626" s="55" t="s">
        <v>1548</v>
      </c>
      <c r="AR1626" s="55" t="s">
        <v>158</v>
      </c>
      <c r="AS1626" s="55" t="s">
        <v>158</v>
      </c>
      <c r="AT1626" s="181" t="s">
        <v>119</v>
      </c>
      <c r="AU1626" s="181" t="s">
        <v>5150</v>
      </c>
      <c r="AV1626" s="185" t="s">
        <v>176</v>
      </c>
      <c r="AX1626" s="185" t="s">
        <v>176</v>
      </c>
      <c r="BE1626" s="226" t="s">
        <v>1113</v>
      </c>
      <c r="BF1626" s="191" t="s">
        <v>479</v>
      </c>
      <c r="BG1626" s="55" t="s">
        <v>479</v>
      </c>
      <c r="BH1626" s="226" t="s">
        <v>1113</v>
      </c>
      <c r="BI1626" s="55" t="s">
        <v>479</v>
      </c>
      <c r="BJ1626" s="55" t="s">
        <v>176</v>
      </c>
      <c r="BK1626" s="55" t="s">
        <v>5976</v>
      </c>
      <c r="BM1626" s="192" t="s">
        <v>160</v>
      </c>
      <c r="BN1626" s="55">
        <v>2</v>
      </c>
      <c r="BO1626" s="55">
        <v>2</v>
      </c>
      <c r="BQ1626" s="55" t="s">
        <v>141</v>
      </c>
      <c r="FJ1626" s="65">
        <f>1/1000*0.001</f>
        <v>9.9999999999999995E-7</v>
      </c>
      <c r="FK1626" s="65">
        <v>0</v>
      </c>
      <c r="FN1626" s="65" t="s">
        <v>6357</v>
      </c>
      <c r="FO1626" s="65">
        <v>258</v>
      </c>
      <c r="FP1626" s="65">
        <v>156</v>
      </c>
      <c r="FS1626" s="65" t="s">
        <v>1114</v>
      </c>
      <c r="GP1626" s="292" t="s">
        <v>7494</v>
      </c>
      <c r="JW1626" s="55" t="s">
        <v>1110</v>
      </c>
    </row>
    <row r="1627" spans="1:283" x14ac:dyDescent="0.25">
      <c r="A1627" s="55">
        <v>1626</v>
      </c>
      <c r="B1627" s="12" t="s">
        <v>7067</v>
      </c>
      <c r="C1627" s="155">
        <v>75</v>
      </c>
      <c r="D1627" s="55" t="s">
        <v>4003</v>
      </c>
      <c r="E1627" s="90" t="s">
        <v>1105</v>
      </c>
      <c r="G1627" s="55" t="s">
        <v>1106</v>
      </c>
      <c r="H1627" s="55">
        <v>1989</v>
      </c>
      <c r="I1627" s="55">
        <v>1985</v>
      </c>
      <c r="J1627" s="55" t="s">
        <v>397</v>
      </c>
      <c r="K1627" s="55" t="s">
        <v>1107</v>
      </c>
      <c r="L1627" s="55" t="s">
        <v>2737</v>
      </c>
      <c r="M1627" s="90">
        <v>38.950000000000003</v>
      </c>
      <c r="N1627" s="90">
        <v>-91.94</v>
      </c>
      <c r="O1627" s="90">
        <v>251.9</v>
      </c>
      <c r="U1627" s="55" t="s">
        <v>1805</v>
      </c>
      <c r="V1627" s="55" t="s">
        <v>1816</v>
      </c>
      <c r="Y1627" s="55" t="s">
        <v>1964</v>
      </c>
      <c r="Z1627" s="55" t="s">
        <v>1344</v>
      </c>
      <c r="AA1627" s="90" t="s">
        <v>1344</v>
      </c>
      <c r="AH1627" s="55" t="s">
        <v>6378</v>
      </c>
      <c r="AM1627" s="55" t="s">
        <v>1325</v>
      </c>
      <c r="AN1627" s="185" t="s">
        <v>1505</v>
      </c>
      <c r="AO1627" s="185" t="s">
        <v>5150</v>
      </c>
      <c r="AQ1627" s="55" t="s">
        <v>1548</v>
      </c>
      <c r="AR1627" s="55" t="s">
        <v>158</v>
      </c>
      <c r="AS1627" s="55" t="s">
        <v>158</v>
      </c>
      <c r="AT1627" s="181" t="s">
        <v>119</v>
      </c>
      <c r="AU1627" s="181" t="s">
        <v>5150</v>
      </c>
      <c r="AV1627" s="185" t="s">
        <v>176</v>
      </c>
      <c r="AX1627" s="185" t="s">
        <v>176</v>
      </c>
      <c r="BE1627" s="226" t="s">
        <v>1113</v>
      </c>
      <c r="BF1627" s="191" t="s">
        <v>479</v>
      </c>
      <c r="BG1627" s="55" t="s">
        <v>479</v>
      </c>
      <c r="BH1627" s="226" t="s">
        <v>1113</v>
      </c>
      <c r="BI1627" s="55" t="s">
        <v>479</v>
      </c>
      <c r="BJ1627" s="55" t="s">
        <v>176</v>
      </c>
      <c r="BK1627" s="55" t="s">
        <v>5976</v>
      </c>
      <c r="BM1627" s="192" t="s">
        <v>160</v>
      </c>
      <c r="BN1627" s="55">
        <v>2</v>
      </c>
      <c r="BO1627" s="55">
        <v>2</v>
      </c>
      <c r="BQ1627" s="55" t="s">
        <v>141</v>
      </c>
      <c r="FJ1627" s="65">
        <f>1/1000*2454</f>
        <v>2.4540000000000002</v>
      </c>
      <c r="FK1627" s="65">
        <f>1/1000*420</f>
        <v>0.42</v>
      </c>
      <c r="FN1627" s="65" t="s">
        <v>6357</v>
      </c>
      <c r="FO1627" s="65">
        <v>311</v>
      </c>
      <c r="FP1627" s="65">
        <v>213</v>
      </c>
      <c r="FS1627" s="65" t="s">
        <v>1114</v>
      </c>
      <c r="GP1627" s="292" t="s">
        <v>7494</v>
      </c>
      <c r="JW1627" s="55" t="s">
        <v>1111</v>
      </c>
    </row>
    <row r="1628" spans="1:283" x14ac:dyDescent="0.25">
      <c r="A1628" s="55">
        <v>1627</v>
      </c>
      <c r="B1628" s="12" t="s">
        <v>7067</v>
      </c>
      <c r="C1628" s="155">
        <v>75</v>
      </c>
      <c r="D1628" s="55" t="s">
        <v>4004</v>
      </c>
      <c r="E1628" s="90" t="s">
        <v>1105</v>
      </c>
      <c r="G1628" s="55" t="s">
        <v>1106</v>
      </c>
      <c r="H1628" s="55">
        <v>1989</v>
      </c>
      <c r="I1628" s="55">
        <v>1985</v>
      </c>
      <c r="J1628" s="55" t="s">
        <v>397</v>
      </c>
      <c r="K1628" s="55" t="s">
        <v>1107</v>
      </c>
      <c r="L1628" s="55" t="s">
        <v>2737</v>
      </c>
      <c r="M1628" s="90">
        <v>38.950000000000003</v>
      </c>
      <c r="N1628" s="90">
        <v>-91.94</v>
      </c>
      <c r="O1628" s="90">
        <v>251.9</v>
      </c>
      <c r="U1628" s="55" t="s">
        <v>1805</v>
      </c>
      <c r="V1628" s="55" t="s">
        <v>1816</v>
      </c>
      <c r="Y1628" s="55" t="s">
        <v>1964</v>
      </c>
      <c r="Z1628" s="55" t="s">
        <v>1344</v>
      </c>
      <c r="AA1628" s="90" t="s">
        <v>1344</v>
      </c>
      <c r="AH1628" s="55" t="s">
        <v>6378</v>
      </c>
      <c r="AM1628" s="55" t="s">
        <v>1325</v>
      </c>
      <c r="AN1628" s="185" t="s">
        <v>1506</v>
      </c>
      <c r="AO1628" s="185" t="s">
        <v>5150</v>
      </c>
      <c r="AQ1628" s="55" t="s">
        <v>1545</v>
      </c>
      <c r="AR1628" s="55" t="s">
        <v>158</v>
      </c>
      <c r="AS1628" s="55" t="s">
        <v>158</v>
      </c>
      <c r="AT1628" s="181" t="s">
        <v>119</v>
      </c>
      <c r="AU1628" s="181" t="s">
        <v>5150</v>
      </c>
      <c r="AV1628" s="185" t="s">
        <v>176</v>
      </c>
      <c r="AX1628" s="185" t="s">
        <v>176</v>
      </c>
      <c r="BE1628" s="226" t="s">
        <v>1113</v>
      </c>
      <c r="BF1628" s="191" t="s">
        <v>479</v>
      </c>
      <c r="BG1628" s="55" t="s">
        <v>479</v>
      </c>
      <c r="BH1628" s="226" t="s">
        <v>1113</v>
      </c>
      <c r="BI1628" s="55" t="s">
        <v>479</v>
      </c>
      <c r="BJ1628" s="55" t="s">
        <v>176</v>
      </c>
      <c r="BK1628" s="55" t="s">
        <v>5976</v>
      </c>
      <c r="BM1628" s="192" t="s">
        <v>160</v>
      </c>
      <c r="BN1628" s="55">
        <v>2</v>
      </c>
      <c r="BO1628" s="55">
        <v>2</v>
      </c>
      <c r="BQ1628" s="55" t="s">
        <v>141</v>
      </c>
      <c r="FJ1628" s="65">
        <f>1/1000*336</f>
        <v>0.33600000000000002</v>
      </c>
      <c r="FK1628" s="65">
        <v>0</v>
      </c>
      <c r="FN1628" s="65" t="s">
        <v>6357</v>
      </c>
      <c r="FO1628" s="65">
        <v>4</v>
      </c>
      <c r="FP1628" s="65">
        <v>0</v>
      </c>
      <c r="FS1628" s="65" t="s">
        <v>1114</v>
      </c>
      <c r="GP1628" s="292" t="s">
        <v>7494</v>
      </c>
      <c r="JW1628" s="55" t="s">
        <v>1112</v>
      </c>
    </row>
    <row r="1629" spans="1:283" x14ac:dyDescent="0.25">
      <c r="A1629" s="55">
        <v>1628</v>
      </c>
      <c r="B1629" s="12" t="s">
        <v>7067</v>
      </c>
      <c r="C1629" s="155">
        <v>75</v>
      </c>
      <c r="D1629" s="55" t="s">
        <v>4004</v>
      </c>
      <c r="E1629" s="90" t="s">
        <v>1105</v>
      </c>
      <c r="G1629" s="55" t="s">
        <v>1106</v>
      </c>
      <c r="H1629" s="55">
        <v>1989</v>
      </c>
      <c r="I1629" s="55">
        <v>1985</v>
      </c>
      <c r="J1629" s="55" t="s">
        <v>397</v>
      </c>
      <c r="K1629" s="55" t="s">
        <v>1107</v>
      </c>
      <c r="L1629" s="55" t="s">
        <v>2737</v>
      </c>
      <c r="M1629" s="90">
        <v>38.950000000000003</v>
      </c>
      <c r="N1629" s="90">
        <v>-91.94</v>
      </c>
      <c r="O1629" s="90">
        <v>251.9</v>
      </c>
      <c r="U1629" s="55" t="s">
        <v>1805</v>
      </c>
      <c r="V1629" s="55" t="s">
        <v>1816</v>
      </c>
      <c r="Y1629" s="55" t="s">
        <v>1964</v>
      </c>
      <c r="Z1629" s="55" t="s">
        <v>1344</v>
      </c>
      <c r="AA1629" s="90" t="s">
        <v>1344</v>
      </c>
      <c r="AH1629" s="55" t="s">
        <v>6378</v>
      </c>
      <c r="AM1629" s="55" t="s">
        <v>1325</v>
      </c>
      <c r="AN1629" s="185" t="s">
        <v>1506</v>
      </c>
      <c r="AO1629" s="185" t="s">
        <v>5150</v>
      </c>
      <c r="AQ1629" s="55" t="s">
        <v>1545</v>
      </c>
      <c r="AR1629" s="55" t="s">
        <v>158</v>
      </c>
      <c r="AS1629" s="55" t="s">
        <v>158</v>
      </c>
      <c r="AT1629" s="181" t="s">
        <v>119</v>
      </c>
      <c r="AU1629" s="181" t="s">
        <v>5150</v>
      </c>
      <c r="AV1629" s="185" t="s">
        <v>176</v>
      </c>
      <c r="AX1629" s="185" t="s">
        <v>176</v>
      </c>
      <c r="BE1629" s="226" t="s">
        <v>1113</v>
      </c>
      <c r="BF1629" s="191" t="s">
        <v>479</v>
      </c>
      <c r="BG1629" s="55" t="s">
        <v>479</v>
      </c>
      <c r="BH1629" s="226" t="s">
        <v>1113</v>
      </c>
      <c r="BI1629" s="55" t="s">
        <v>479</v>
      </c>
      <c r="BJ1629" s="55" t="s">
        <v>176</v>
      </c>
      <c r="BK1629" s="55" t="s">
        <v>5976</v>
      </c>
      <c r="BM1629" s="192" t="s">
        <v>160</v>
      </c>
      <c r="BN1629" s="55">
        <v>2</v>
      </c>
      <c r="BO1629" s="55">
        <v>2</v>
      </c>
      <c r="BQ1629" s="55" t="s">
        <v>141</v>
      </c>
      <c r="FJ1629" s="65">
        <f>1/1000*1984</f>
        <v>1.984</v>
      </c>
      <c r="FK1629" s="65">
        <f>1/1000*168</f>
        <v>0.16800000000000001</v>
      </c>
      <c r="FN1629" s="65" t="s">
        <v>6357</v>
      </c>
      <c r="FO1629" s="65">
        <v>53</v>
      </c>
      <c r="FP1629" s="65">
        <v>34</v>
      </c>
      <c r="FS1629" s="65" t="s">
        <v>1114</v>
      </c>
      <c r="GP1629" s="292" t="s">
        <v>7494</v>
      </c>
      <c r="JW1629" s="55" t="s">
        <v>1108</v>
      </c>
    </row>
    <row r="1630" spans="1:283" x14ac:dyDescent="0.25">
      <c r="A1630" s="55">
        <v>1629</v>
      </c>
      <c r="B1630" s="12" t="s">
        <v>7067</v>
      </c>
      <c r="C1630" s="155">
        <v>75</v>
      </c>
      <c r="D1630" s="55" t="s">
        <v>4004</v>
      </c>
      <c r="E1630" s="90" t="s">
        <v>1105</v>
      </c>
      <c r="G1630" s="55" t="s">
        <v>1106</v>
      </c>
      <c r="H1630" s="55">
        <v>1989</v>
      </c>
      <c r="I1630" s="55">
        <v>1985</v>
      </c>
      <c r="J1630" s="55" t="s">
        <v>397</v>
      </c>
      <c r="K1630" s="55" t="s">
        <v>1107</v>
      </c>
      <c r="L1630" s="55" t="s">
        <v>2737</v>
      </c>
      <c r="M1630" s="90">
        <v>38.950000000000003</v>
      </c>
      <c r="N1630" s="90">
        <v>-91.94</v>
      </c>
      <c r="O1630" s="90">
        <v>251.9</v>
      </c>
      <c r="U1630" s="55" t="s">
        <v>1805</v>
      </c>
      <c r="V1630" s="55" t="s">
        <v>1816</v>
      </c>
      <c r="Y1630" s="55" t="s">
        <v>1964</v>
      </c>
      <c r="Z1630" s="55" t="s">
        <v>1344</v>
      </c>
      <c r="AA1630" s="90" t="s">
        <v>1344</v>
      </c>
      <c r="AH1630" s="55" t="s">
        <v>6378</v>
      </c>
      <c r="AM1630" s="55" t="s">
        <v>1325</v>
      </c>
      <c r="AN1630" s="185" t="s">
        <v>1506</v>
      </c>
      <c r="AO1630" s="185" t="s">
        <v>5150</v>
      </c>
      <c r="AQ1630" s="55" t="s">
        <v>1545</v>
      </c>
      <c r="AR1630" s="55" t="s">
        <v>158</v>
      </c>
      <c r="AS1630" s="55" t="s">
        <v>158</v>
      </c>
      <c r="AT1630" s="181" t="s">
        <v>119</v>
      </c>
      <c r="AU1630" s="181" t="s">
        <v>5150</v>
      </c>
      <c r="AV1630" s="185" t="s">
        <v>176</v>
      </c>
      <c r="AX1630" s="185" t="s">
        <v>176</v>
      </c>
      <c r="BE1630" s="226" t="s">
        <v>1113</v>
      </c>
      <c r="BF1630" s="191" t="s">
        <v>479</v>
      </c>
      <c r="BG1630" s="55" t="s">
        <v>479</v>
      </c>
      <c r="BH1630" s="226" t="s">
        <v>1113</v>
      </c>
      <c r="BI1630" s="55" t="s">
        <v>479</v>
      </c>
      <c r="BJ1630" s="55" t="s">
        <v>176</v>
      </c>
      <c r="BK1630" s="55" t="s">
        <v>5976</v>
      </c>
      <c r="BM1630" s="192" t="s">
        <v>160</v>
      </c>
      <c r="BN1630" s="55">
        <v>2</v>
      </c>
      <c r="BO1630" s="55">
        <v>2</v>
      </c>
      <c r="BQ1630" s="55" t="s">
        <v>141</v>
      </c>
      <c r="FJ1630" s="65">
        <f>1/1000*0.001</f>
        <v>9.9999999999999995E-7</v>
      </c>
      <c r="FK1630" s="65">
        <v>0</v>
      </c>
      <c r="FN1630" s="65" t="s">
        <v>6357</v>
      </c>
      <c r="FO1630" s="65">
        <v>3</v>
      </c>
      <c r="FP1630" s="65">
        <v>0</v>
      </c>
      <c r="FS1630" s="65" t="s">
        <v>1114</v>
      </c>
      <c r="GP1630" s="292" t="s">
        <v>7494</v>
      </c>
      <c r="JW1630" s="55" t="s">
        <v>1109</v>
      </c>
    </row>
    <row r="1631" spans="1:283" x14ac:dyDescent="0.25">
      <c r="A1631" s="55">
        <v>1630</v>
      </c>
      <c r="B1631" s="12" t="s">
        <v>7067</v>
      </c>
      <c r="C1631" s="155">
        <v>75</v>
      </c>
      <c r="D1631" s="55" t="s">
        <v>4004</v>
      </c>
      <c r="E1631" s="90" t="s">
        <v>1105</v>
      </c>
      <c r="G1631" s="55" t="s">
        <v>1106</v>
      </c>
      <c r="H1631" s="55">
        <v>1989</v>
      </c>
      <c r="I1631" s="55">
        <v>1985</v>
      </c>
      <c r="J1631" s="55" t="s">
        <v>397</v>
      </c>
      <c r="K1631" s="55" t="s">
        <v>1107</v>
      </c>
      <c r="L1631" s="55" t="s">
        <v>2737</v>
      </c>
      <c r="M1631" s="90">
        <v>38.950000000000003</v>
      </c>
      <c r="N1631" s="90">
        <v>-91.94</v>
      </c>
      <c r="O1631" s="90">
        <v>251.9</v>
      </c>
      <c r="U1631" s="55" t="s">
        <v>1805</v>
      </c>
      <c r="V1631" s="55" t="s">
        <v>1816</v>
      </c>
      <c r="Y1631" s="55" t="s">
        <v>1964</v>
      </c>
      <c r="Z1631" s="55" t="s">
        <v>1344</v>
      </c>
      <c r="AA1631" s="90" t="s">
        <v>1344</v>
      </c>
      <c r="AH1631" s="55" t="s">
        <v>6378</v>
      </c>
      <c r="AM1631" s="55" t="s">
        <v>1325</v>
      </c>
      <c r="AN1631" s="185" t="s">
        <v>1506</v>
      </c>
      <c r="AO1631" s="185" t="s">
        <v>5150</v>
      </c>
      <c r="AQ1631" s="55" t="s">
        <v>1545</v>
      </c>
      <c r="AR1631" s="55" t="s">
        <v>158</v>
      </c>
      <c r="AS1631" s="55" t="s">
        <v>158</v>
      </c>
      <c r="AT1631" s="181" t="s">
        <v>119</v>
      </c>
      <c r="AU1631" s="181" t="s">
        <v>5150</v>
      </c>
      <c r="AV1631" s="185" t="s">
        <v>176</v>
      </c>
      <c r="AX1631" s="185" t="s">
        <v>176</v>
      </c>
      <c r="BE1631" s="226" t="s">
        <v>1113</v>
      </c>
      <c r="BF1631" s="191" t="s">
        <v>479</v>
      </c>
      <c r="BG1631" s="55" t="s">
        <v>479</v>
      </c>
      <c r="BH1631" s="226" t="s">
        <v>1113</v>
      </c>
      <c r="BI1631" s="55" t="s">
        <v>479</v>
      </c>
      <c r="BJ1631" s="55" t="s">
        <v>176</v>
      </c>
      <c r="BK1631" s="55" t="s">
        <v>5976</v>
      </c>
      <c r="BM1631" s="192" t="s">
        <v>160</v>
      </c>
      <c r="BN1631" s="55">
        <v>2</v>
      </c>
      <c r="BO1631" s="55">
        <v>2</v>
      </c>
      <c r="BQ1631" s="55" t="s">
        <v>141</v>
      </c>
      <c r="FJ1631" s="65">
        <f>1/1000*0.001</f>
        <v>9.9999999999999995E-7</v>
      </c>
      <c r="FK1631" s="65">
        <v>0</v>
      </c>
      <c r="FN1631" s="65" t="s">
        <v>6357</v>
      </c>
      <c r="FO1631" s="65">
        <v>258</v>
      </c>
      <c r="FP1631" s="65">
        <v>180</v>
      </c>
      <c r="FS1631" s="65" t="s">
        <v>1114</v>
      </c>
      <c r="GP1631" s="292" t="s">
        <v>7494</v>
      </c>
      <c r="JW1631" s="55" t="s">
        <v>1110</v>
      </c>
    </row>
    <row r="1632" spans="1:283" x14ac:dyDescent="0.25">
      <c r="A1632" s="55">
        <v>1631</v>
      </c>
      <c r="B1632" s="12" t="s">
        <v>7067</v>
      </c>
      <c r="C1632" s="155">
        <v>75</v>
      </c>
      <c r="D1632" s="55" t="s">
        <v>4004</v>
      </c>
      <c r="E1632" s="90" t="s">
        <v>1105</v>
      </c>
      <c r="G1632" s="55" t="s">
        <v>1106</v>
      </c>
      <c r="H1632" s="55">
        <v>1989</v>
      </c>
      <c r="I1632" s="55">
        <v>1985</v>
      </c>
      <c r="J1632" s="55" t="s">
        <v>397</v>
      </c>
      <c r="K1632" s="55" t="s">
        <v>1107</v>
      </c>
      <c r="L1632" s="55" t="s">
        <v>2737</v>
      </c>
      <c r="M1632" s="90">
        <v>38.950000000000003</v>
      </c>
      <c r="N1632" s="90">
        <v>-91.94</v>
      </c>
      <c r="O1632" s="90">
        <v>251.9</v>
      </c>
      <c r="U1632" s="55" t="s">
        <v>1886</v>
      </c>
      <c r="V1632" s="55" t="s">
        <v>1816</v>
      </c>
      <c r="Y1632" s="55" t="s">
        <v>1964</v>
      </c>
      <c r="Z1632" s="55" t="s">
        <v>1344</v>
      </c>
      <c r="AA1632" s="90" t="s">
        <v>1344</v>
      </c>
      <c r="AH1632" s="55" t="s">
        <v>6378</v>
      </c>
      <c r="AM1632" s="55" t="s">
        <v>1325</v>
      </c>
      <c r="AN1632" s="185" t="s">
        <v>1506</v>
      </c>
      <c r="AO1632" s="185" t="s">
        <v>5150</v>
      </c>
      <c r="AQ1632" s="55" t="s">
        <v>1545</v>
      </c>
      <c r="AR1632" s="55" t="s">
        <v>158</v>
      </c>
      <c r="AS1632" s="55" t="s">
        <v>158</v>
      </c>
      <c r="AT1632" s="181" t="s">
        <v>119</v>
      </c>
      <c r="AU1632" s="181" t="s">
        <v>5150</v>
      </c>
      <c r="AV1632" s="185" t="s">
        <v>176</v>
      </c>
      <c r="AX1632" s="185" t="s">
        <v>176</v>
      </c>
      <c r="BE1632" s="226" t="s">
        <v>1113</v>
      </c>
      <c r="BF1632" s="191" t="s">
        <v>479</v>
      </c>
      <c r="BG1632" s="55" t="s">
        <v>479</v>
      </c>
      <c r="BH1632" s="226" t="s">
        <v>1113</v>
      </c>
      <c r="BI1632" s="55" t="s">
        <v>479</v>
      </c>
      <c r="BJ1632" s="55" t="s">
        <v>176</v>
      </c>
      <c r="BK1632" s="55" t="s">
        <v>5976</v>
      </c>
      <c r="BM1632" s="192" t="s">
        <v>160</v>
      </c>
      <c r="BN1632" s="55">
        <v>2</v>
      </c>
      <c r="BO1632" s="55">
        <v>2</v>
      </c>
      <c r="BQ1632" s="55" t="s">
        <v>141</v>
      </c>
      <c r="FJ1632" s="65">
        <f>1/1000*2454</f>
        <v>2.4540000000000002</v>
      </c>
      <c r="FK1632" s="65">
        <f>1/1000*185</f>
        <v>0.185</v>
      </c>
      <c r="FN1632" s="65" t="s">
        <v>6357</v>
      </c>
      <c r="FO1632" s="65">
        <v>311</v>
      </c>
      <c r="FP1632" s="65">
        <v>217</v>
      </c>
      <c r="FS1632" s="65" t="s">
        <v>1114</v>
      </c>
      <c r="GP1632" s="292" t="s">
        <v>7494</v>
      </c>
      <c r="JW1632" s="55" t="s">
        <v>1111</v>
      </c>
    </row>
    <row r="1633" spans="1:283" x14ac:dyDescent="0.25">
      <c r="A1633" s="55">
        <v>1632</v>
      </c>
      <c r="B1633" s="12" t="s">
        <v>7067</v>
      </c>
      <c r="C1633" s="155">
        <v>75</v>
      </c>
      <c r="D1633" s="55" t="s">
        <v>4005</v>
      </c>
      <c r="E1633" s="90" t="s">
        <v>1105</v>
      </c>
      <c r="G1633" s="55" t="s">
        <v>1106</v>
      </c>
      <c r="H1633" s="55">
        <v>1989</v>
      </c>
      <c r="I1633" s="55">
        <v>1985</v>
      </c>
      <c r="J1633" s="55" t="s">
        <v>397</v>
      </c>
      <c r="K1633" s="55" t="s">
        <v>1107</v>
      </c>
      <c r="L1633" s="55" t="s">
        <v>2737</v>
      </c>
      <c r="M1633" s="90">
        <v>38.950000000000003</v>
      </c>
      <c r="N1633" s="90">
        <v>-91.94</v>
      </c>
      <c r="O1633" s="90">
        <v>251.9</v>
      </c>
      <c r="U1633" s="55" t="s">
        <v>1805</v>
      </c>
      <c r="V1633" s="55" t="s">
        <v>1816</v>
      </c>
      <c r="Y1633" s="55" t="s">
        <v>1964</v>
      </c>
      <c r="Z1633" s="55" t="s">
        <v>1344</v>
      </c>
      <c r="AA1633" s="90" t="s">
        <v>1344</v>
      </c>
      <c r="AH1633" s="55" t="s">
        <v>6378</v>
      </c>
      <c r="AM1633" s="55" t="s">
        <v>1325</v>
      </c>
      <c r="AN1633" s="185" t="s">
        <v>1507</v>
      </c>
      <c r="AO1633" s="185" t="s">
        <v>5150</v>
      </c>
      <c r="AQ1633" s="55" t="s">
        <v>131</v>
      </c>
      <c r="AR1633" s="55" t="s">
        <v>158</v>
      </c>
      <c r="AS1633" s="55" t="s">
        <v>158</v>
      </c>
      <c r="AT1633" s="181" t="s">
        <v>119</v>
      </c>
      <c r="AU1633" s="181" t="s">
        <v>5150</v>
      </c>
      <c r="AV1633" s="185" t="s">
        <v>176</v>
      </c>
      <c r="AX1633" s="185" t="s">
        <v>176</v>
      </c>
      <c r="BE1633" s="226" t="s">
        <v>1113</v>
      </c>
      <c r="BF1633" s="191" t="s">
        <v>479</v>
      </c>
      <c r="BG1633" s="55" t="s">
        <v>479</v>
      </c>
      <c r="BH1633" s="226" t="s">
        <v>1113</v>
      </c>
      <c r="BI1633" s="55" t="s">
        <v>479</v>
      </c>
      <c r="BJ1633" s="55" t="s">
        <v>176</v>
      </c>
      <c r="BK1633" s="55" t="s">
        <v>5976</v>
      </c>
      <c r="BM1633" s="192" t="s">
        <v>160</v>
      </c>
      <c r="BN1633" s="55">
        <v>2</v>
      </c>
      <c r="BO1633" s="55">
        <v>2</v>
      </c>
      <c r="BQ1633" s="55" t="s">
        <v>141</v>
      </c>
      <c r="FJ1633" s="65">
        <f>1/1000*336</f>
        <v>0.33600000000000002</v>
      </c>
      <c r="FK1633" s="65">
        <v>0</v>
      </c>
      <c r="FN1633" s="65" t="s">
        <v>6357</v>
      </c>
      <c r="FO1633" s="65">
        <v>4</v>
      </c>
      <c r="FP1633" s="65">
        <v>0</v>
      </c>
      <c r="FS1633" s="65" t="s">
        <v>1114</v>
      </c>
      <c r="GP1633" s="292" t="s">
        <v>7494</v>
      </c>
      <c r="JW1633" s="55" t="s">
        <v>1112</v>
      </c>
    </row>
    <row r="1634" spans="1:283" x14ac:dyDescent="0.25">
      <c r="A1634" s="55">
        <v>1633</v>
      </c>
      <c r="B1634" s="12" t="s">
        <v>7067</v>
      </c>
      <c r="C1634" s="155">
        <v>75</v>
      </c>
      <c r="D1634" s="55" t="s">
        <v>4005</v>
      </c>
      <c r="E1634" s="90" t="s">
        <v>1105</v>
      </c>
      <c r="G1634" s="55" t="s">
        <v>1106</v>
      </c>
      <c r="H1634" s="55">
        <v>1989</v>
      </c>
      <c r="I1634" s="55">
        <v>1985</v>
      </c>
      <c r="J1634" s="55" t="s">
        <v>397</v>
      </c>
      <c r="K1634" s="55" t="s">
        <v>1107</v>
      </c>
      <c r="L1634" s="55" t="s">
        <v>2737</v>
      </c>
      <c r="M1634" s="90">
        <v>38.950000000000003</v>
      </c>
      <c r="N1634" s="90">
        <v>-91.94</v>
      </c>
      <c r="O1634" s="90">
        <v>251.9</v>
      </c>
      <c r="U1634" s="55" t="s">
        <v>1805</v>
      </c>
      <c r="V1634" s="55" t="s">
        <v>1816</v>
      </c>
      <c r="Y1634" s="55" t="s">
        <v>1964</v>
      </c>
      <c r="Z1634" s="55" t="s">
        <v>1344</v>
      </c>
      <c r="AA1634" s="90" t="s">
        <v>1344</v>
      </c>
      <c r="AH1634" s="55" t="s">
        <v>6378</v>
      </c>
      <c r="AM1634" s="55" t="s">
        <v>1325</v>
      </c>
      <c r="AN1634" s="185" t="s">
        <v>1507</v>
      </c>
      <c r="AO1634" s="185" t="s">
        <v>5150</v>
      </c>
      <c r="AQ1634" s="55" t="s">
        <v>131</v>
      </c>
      <c r="AR1634" s="55" t="s">
        <v>158</v>
      </c>
      <c r="AS1634" s="55" t="s">
        <v>158</v>
      </c>
      <c r="AT1634" s="181" t="s">
        <v>119</v>
      </c>
      <c r="AU1634" s="181" t="s">
        <v>5150</v>
      </c>
      <c r="AV1634" s="185" t="s">
        <v>176</v>
      </c>
      <c r="AX1634" s="185" t="s">
        <v>176</v>
      </c>
      <c r="BE1634" s="226" t="s">
        <v>1113</v>
      </c>
      <c r="BF1634" s="191" t="s">
        <v>479</v>
      </c>
      <c r="BG1634" s="55" t="s">
        <v>479</v>
      </c>
      <c r="BH1634" s="226" t="s">
        <v>1113</v>
      </c>
      <c r="BI1634" s="55" t="s">
        <v>479</v>
      </c>
      <c r="BJ1634" s="55" t="s">
        <v>176</v>
      </c>
      <c r="BK1634" s="55" t="s">
        <v>5976</v>
      </c>
      <c r="BM1634" s="192" t="s">
        <v>160</v>
      </c>
      <c r="BN1634" s="55">
        <v>2</v>
      </c>
      <c r="BO1634" s="55">
        <v>2</v>
      </c>
      <c r="BQ1634" s="55" t="s">
        <v>141</v>
      </c>
      <c r="FJ1634" s="65">
        <f>1/1000*1984</f>
        <v>1.984</v>
      </c>
      <c r="FK1634" s="65">
        <f>1/1000*213</f>
        <v>0.21299999999999999</v>
      </c>
      <c r="FN1634" s="65" t="s">
        <v>6357</v>
      </c>
      <c r="FO1634" s="65">
        <v>53</v>
      </c>
      <c r="FP1634" s="65">
        <v>25</v>
      </c>
      <c r="FS1634" s="65" t="s">
        <v>1114</v>
      </c>
      <c r="GP1634" s="292" t="s">
        <v>7494</v>
      </c>
      <c r="JW1634" s="55" t="s">
        <v>1108</v>
      </c>
    </row>
    <row r="1635" spans="1:283" x14ac:dyDescent="0.25">
      <c r="A1635" s="55">
        <v>1634</v>
      </c>
      <c r="B1635" s="12" t="s">
        <v>7067</v>
      </c>
      <c r="C1635" s="155">
        <v>75</v>
      </c>
      <c r="D1635" s="55" t="s">
        <v>4005</v>
      </c>
      <c r="E1635" s="90" t="s">
        <v>1105</v>
      </c>
      <c r="G1635" s="55" t="s">
        <v>1106</v>
      </c>
      <c r="H1635" s="55">
        <v>1989</v>
      </c>
      <c r="I1635" s="55">
        <v>1985</v>
      </c>
      <c r="J1635" s="55" t="s">
        <v>397</v>
      </c>
      <c r="K1635" s="55" t="s">
        <v>1107</v>
      </c>
      <c r="L1635" s="55" t="s">
        <v>2737</v>
      </c>
      <c r="M1635" s="90">
        <v>38.950000000000003</v>
      </c>
      <c r="N1635" s="90">
        <v>-91.94</v>
      </c>
      <c r="O1635" s="90">
        <v>251.9</v>
      </c>
      <c r="U1635" s="55" t="s">
        <v>1805</v>
      </c>
      <c r="V1635" s="55" t="s">
        <v>1816</v>
      </c>
      <c r="Y1635" s="55" t="s">
        <v>1964</v>
      </c>
      <c r="Z1635" s="55" t="s">
        <v>1344</v>
      </c>
      <c r="AA1635" s="90" t="s">
        <v>1344</v>
      </c>
      <c r="AH1635" s="55" t="s">
        <v>6378</v>
      </c>
      <c r="AM1635" s="55" t="s">
        <v>1325</v>
      </c>
      <c r="AN1635" s="185" t="s">
        <v>1507</v>
      </c>
      <c r="AO1635" s="185" t="s">
        <v>5150</v>
      </c>
      <c r="AQ1635" s="55" t="s">
        <v>131</v>
      </c>
      <c r="AR1635" s="55" t="s">
        <v>158</v>
      </c>
      <c r="AS1635" s="55" t="s">
        <v>158</v>
      </c>
      <c r="AT1635" s="181" t="s">
        <v>119</v>
      </c>
      <c r="AU1635" s="181" t="s">
        <v>5150</v>
      </c>
      <c r="AV1635" s="185" t="s">
        <v>176</v>
      </c>
      <c r="AX1635" s="185" t="s">
        <v>176</v>
      </c>
      <c r="BE1635" s="226" t="s">
        <v>1113</v>
      </c>
      <c r="BF1635" s="191" t="s">
        <v>479</v>
      </c>
      <c r="BG1635" s="55" t="s">
        <v>479</v>
      </c>
      <c r="BH1635" s="226" t="s">
        <v>1113</v>
      </c>
      <c r="BI1635" s="55" t="s">
        <v>479</v>
      </c>
      <c r="BJ1635" s="55" t="s">
        <v>176</v>
      </c>
      <c r="BK1635" s="55" t="s">
        <v>5976</v>
      </c>
      <c r="BM1635" s="192" t="s">
        <v>160</v>
      </c>
      <c r="BN1635" s="55">
        <v>2</v>
      </c>
      <c r="BO1635" s="55">
        <v>2</v>
      </c>
      <c r="BQ1635" s="55" t="s">
        <v>141</v>
      </c>
      <c r="FJ1635" s="65">
        <f>1/1000*0.001</f>
        <v>9.9999999999999995E-7</v>
      </c>
      <c r="FK1635" s="65">
        <v>0</v>
      </c>
      <c r="FN1635" s="65" t="s">
        <v>6357</v>
      </c>
      <c r="FO1635" s="65">
        <v>3</v>
      </c>
      <c r="FP1635" s="65">
        <v>0</v>
      </c>
      <c r="FS1635" s="65" t="s">
        <v>1114</v>
      </c>
      <c r="GP1635" s="292" t="s">
        <v>7494</v>
      </c>
      <c r="JW1635" s="55" t="s">
        <v>1109</v>
      </c>
    </row>
    <row r="1636" spans="1:283" x14ac:dyDescent="0.25">
      <c r="A1636" s="55">
        <v>1635</v>
      </c>
      <c r="B1636" s="12" t="s">
        <v>7067</v>
      </c>
      <c r="C1636" s="155">
        <v>75</v>
      </c>
      <c r="D1636" s="55" t="s">
        <v>4005</v>
      </c>
      <c r="E1636" s="90" t="s">
        <v>1105</v>
      </c>
      <c r="G1636" s="55" t="s">
        <v>1106</v>
      </c>
      <c r="H1636" s="55">
        <v>1989</v>
      </c>
      <c r="I1636" s="55">
        <v>1985</v>
      </c>
      <c r="J1636" s="55" t="s">
        <v>397</v>
      </c>
      <c r="K1636" s="55" t="s">
        <v>1107</v>
      </c>
      <c r="L1636" s="55" t="s">
        <v>2737</v>
      </c>
      <c r="M1636" s="90">
        <v>38.950000000000003</v>
      </c>
      <c r="N1636" s="90">
        <v>-91.94</v>
      </c>
      <c r="O1636" s="90">
        <v>251.9</v>
      </c>
      <c r="U1636" s="55" t="s">
        <v>1805</v>
      </c>
      <c r="V1636" s="55" t="s">
        <v>1816</v>
      </c>
      <c r="Y1636" s="55" t="s">
        <v>1964</v>
      </c>
      <c r="Z1636" s="55" t="s">
        <v>1344</v>
      </c>
      <c r="AA1636" s="90" t="s">
        <v>1344</v>
      </c>
      <c r="AH1636" s="55" t="s">
        <v>6378</v>
      </c>
      <c r="AM1636" s="55" t="s">
        <v>1325</v>
      </c>
      <c r="AN1636" s="185" t="s">
        <v>1507</v>
      </c>
      <c r="AO1636" s="185" t="s">
        <v>5150</v>
      </c>
      <c r="AQ1636" s="55" t="s">
        <v>131</v>
      </c>
      <c r="AR1636" s="55" t="s">
        <v>158</v>
      </c>
      <c r="AS1636" s="55" t="s">
        <v>158</v>
      </c>
      <c r="AT1636" s="181" t="s">
        <v>119</v>
      </c>
      <c r="AU1636" s="181" t="s">
        <v>5150</v>
      </c>
      <c r="AV1636" s="185" t="s">
        <v>176</v>
      </c>
      <c r="AX1636" s="185" t="s">
        <v>176</v>
      </c>
      <c r="BE1636" s="226" t="s">
        <v>1113</v>
      </c>
      <c r="BF1636" s="191" t="s">
        <v>479</v>
      </c>
      <c r="BG1636" s="55" t="s">
        <v>479</v>
      </c>
      <c r="BH1636" s="226" t="s">
        <v>1113</v>
      </c>
      <c r="BI1636" s="55" t="s">
        <v>479</v>
      </c>
      <c r="BJ1636" s="55" t="s">
        <v>176</v>
      </c>
      <c r="BK1636" s="55" t="s">
        <v>5976</v>
      </c>
      <c r="BM1636" s="192" t="s">
        <v>160</v>
      </c>
      <c r="BN1636" s="55">
        <v>2</v>
      </c>
      <c r="BO1636" s="55">
        <v>2</v>
      </c>
      <c r="BQ1636" s="55" t="s">
        <v>141</v>
      </c>
      <c r="FJ1636" s="65">
        <f>1/1000*0.001</f>
        <v>9.9999999999999995E-7</v>
      </c>
      <c r="FK1636" s="65">
        <v>0</v>
      </c>
      <c r="FN1636" s="65" t="s">
        <v>6357</v>
      </c>
      <c r="FO1636" s="65">
        <v>258</v>
      </c>
      <c r="FP1636" s="65">
        <v>136</v>
      </c>
      <c r="FS1636" s="65" t="s">
        <v>1114</v>
      </c>
      <c r="GP1636" s="292" t="s">
        <v>7494</v>
      </c>
      <c r="JW1636" s="55" t="s">
        <v>1110</v>
      </c>
    </row>
    <row r="1637" spans="1:283" x14ac:dyDescent="0.25">
      <c r="A1637" s="55">
        <v>1636</v>
      </c>
      <c r="B1637" s="12" t="s">
        <v>7067</v>
      </c>
      <c r="C1637" s="155">
        <v>75</v>
      </c>
      <c r="D1637" s="55" t="s">
        <v>4005</v>
      </c>
      <c r="E1637" s="90" t="s">
        <v>1105</v>
      </c>
      <c r="G1637" s="55" t="s">
        <v>1106</v>
      </c>
      <c r="H1637" s="55">
        <v>1989</v>
      </c>
      <c r="I1637" s="55">
        <v>1985</v>
      </c>
      <c r="J1637" s="55" t="s">
        <v>397</v>
      </c>
      <c r="K1637" s="55" t="s">
        <v>1107</v>
      </c>
      <c r="L1637" s="55" t="s">
        <v>2737</v>
      </c>
      <c r="M1637" s="90">
        <v>38.950000000000003</v>
      </c>
      <c r="N1637" s="90">
        <v>-91.94</v>
      </c>
      <c r="O1637" s="90">
        <v>251.9</v>
      </c>
      <c r="U1637" s="55" t="s">
        <v>1805</v>
      </c>
      <c r="V1637" s="55" t="s">
        <v>1816</v>
      </c>
      <c r="Y1637" s="55" t="s">
        <v>1964</v>
      </c>
      <c r="Z1637" s="55" t="s">
        <v>1344</v>
      </c>
      <c r="AA1637" s="90" t="s">
        <v>1344</v>
      </c>
      <c r="AH1637" s="55" t="s">
        <v>6378</v>
      </c>
      <c r="AM1637" s="55" t="s">
        <v>1325</v>
      </c>
      <c r="AN1637" s="185" t="s">
        <v>1507</v>
      </c>
      <c r="AO1637" s="185" t="s">
        <v>5150</v>
      </c>
      <c r="AQ1637" s="55" t="s">
        <v>131</v>
      </c>
      <c r="AR1637" s="55" t="s">
        <v>158</v>
      </c>
      <c r="AS1637" s="55" t="s">
        <v>158</v>
      </c>
      <c r="AT1637" s="181" t="s">
        <v>119</v>
      </c>
      <c r="AU1637" s="181" t="s">
        <v>5150</v>
      </c>
      <c r="AV1637" s="185" t="s">
        <v>176</v>
      </c>
      <c r="AX1637" s="185" t="s">
        <v>176</v>
      </c>
      <c r="BE1637" s="226" t="s">
        <v>1113</v>
      </c>
      <c r="BF1637" s="191" t="s">
        <v>479</v>
      </c>
      <c r="BG1637" s="55" t="s">
        <v>479</v>
      </c>
      <c r="BH1637" s="226" t="s">
        <v>1113</v>
      </c>
      <c r="BI1637" s="55" t="s">
        <v>479</v>
      </c>
      <c r="BJ1637" s="55" t="s">
        <v>176</v>
      </c>
      <c r="BK1637" s="55" t="s">
        <v>5976</v>
      </c>
      <c r="BM1637" s="192" t="s">
        <v>160</v>
      </c>
      <c r="BN1637" s="55">
        <v>2</v>
      </c>
      <c r="BO1637" s="55">
        <v>2</v>
      </c>
      <c r="BQ1637" s="55" t="s">
        <v>141</v>
      </c>
      <c r="FJ1637" s="65">
        <f>1/1000*2454</f>
        <v>2.4540000000000002</v>
      </c>
      <c r="FK1637" s="65">
        <f>1/1000*235</f>
        <v>0.23500000000000001</v>
      </c>
      <c r="FN1637" s="65" t="s">
        <v>6357</v>
      </c>
      <c r="FO1637" s="65">
        <v>311</v>
      </c>
      <c r="FP1637" s="65">
        <v>200</v>
      </c>
      <c r="FS1637" s="65" t="s">
        <v>1114</v>
      </c>
      <c r="GP1637" s="292" t="s">
        <v>7494</v>
      </c>
      <c r="JW1637" s="55" t="s">
        <v>1111</v>
      </c>
    </row>
    <row r="1638" spans="1:283" x14ac:dyDescent="0.25">
      <c r="A1638" s="55">
        <v>1637</v>
      </c>
      <c r="B1638" s="12" t="s">
        <v>7067</v>
      </c>
      <c r="C1638" s="155">
        <v>75</v>
      </c>
      <c r="D1638" s="55" t="s">
        <v>4003</v>
      </c>
      <c r="E1638" s="90" t="s">
        <v>1105</v>
      </c>
      <c r="G1638" s="55" t="s">
        <v>1106</v>
      </c>
      <c r="H1638" s="55">
        <v>1989</v>
      </c>
      <c r="I1638" s="55">
        <v>1986</v>
      </c>
      <c r="J1638" s="55" t="s">
        <v>397</v>
      </c>
      <c r="K1638" s="55" t="s">
        <v>1107</v>
      </c>
      <c r="L1638" s="55" t="s">
        <v>2737</v>
      </c>
      <c r="M1638" s="90">
        <v>38.950000000000003</v>
      </c>
      <c r="N1638" s="90">
        <v>-91.94</v>
      </c>
      <c r="O1638" s="90">
        <v>251.9</v>
      </c>
      <c r="U1638" s="55" t="s">
        <v>1688</v>
      </c>
      <c r="V1638" s="55" t="s">
        <v>1816</v>
      </c>
      <c r="Y1638" s="55" t="s">
        <v>1964</v>
      </c>
      <c r="Z1638" s="55" t="s">
        <v>1344</v>
      </c>
      <c r="AA1638" s="90" t="s">
        <v>1344</v>
      </c>
      <c r="AH1638" s="55" t="s">
        <v>6378</v>
      </c>
      <c r="AM1638" s="55" t="s">
        <v>1325</v>
      </c>
      <c r="AN1638" s="185" t="s">
        <v>1505</v>
      </c>
      <c r="AO1638" s="185" t="s">
        <v>5150</v>
      </c>
      <c r="AQ1638" s="55" t="s">
        <v>1548</v>
      </c>
      <c r="AR1638" s="55" t="s">
        <v>158</v>
      </c>
      <c r="AS1638" s="55" t="s">
        <v>158</v>
      </c>
      <c r="AT1638" s="181" t="s">
        <v>119</v>
      </c>
      <c r="AU1638" s="181" t="s">
        <v>5150</v>
      </c>
      <c r="AV1638" s="185" t="s">
        <v>176</v>
      </c>
      <c r="AX1638" s="185" t="s">
        <v>176</v>
      </c>
      <c r="BE1638" s="226" t="s">
        <v>1113</v>
      </c>
      <c r="BF1638" s="191" t="s">
        <v>479</v>
      </c>
      <c r="BG1638" s="55" t="s">
        <v>479</v>
      </c>
      <c r="BH1638" s="226" t="s">
        <v>1113</v>
      </c>
      <c r="BI1638" s="55" t="s">
        <v>479</v>
      </c>
      <c r="BJ1638" s="55" t="s">
        <v>176</v>
      </c>
      <c r="BK1638" s="55" t="s">
        <v>5976</v>
      </c>
      <c r="BM1638" s="192" t="s">
        <v>160</v>
      </c>
      <c r="BN1638" s="55">
        <v>2</v>
      </c>
      <c r="BO1638" s="55">
        <v>2</v>
      </c>
      <c r="BQ1638" s="55" t="s">
        <v>141</v>
      </c>
      <c r="FJ1638" s="65">
        <f>1/1000*562</f>
        <v>0.56200000000000006</v>
      </c>
      <c r="FK1638" s="65">
        <f>1/1000*45</f>
        <v>4.4999999999999998E-2</v>
      </c>
      <c r="FN1638" s="65" t="s">
        <v>6357</v>
      </c>
      <c r="FO1638" s="65">
        <v>10</v>
      </c>
      <c r="FP1638" s="65">
        <v>1</v>
      </c>
      <c r="FS1638" s="65" t="s">
        <v>1114</v>
      </c>
      <c r="GP1638" s="292" t="s">
        <v>7494</v>
      </c>
      <c r="JW1638" s="55" t="s">
        <v>1112</v>
      </c>
    </row>
    <row r="1639" spans="1:283" x14ac:dyDescent="0.25">
      <c r="A1639" s="55">
        <v>1638</v>
      </c>
      <c r="B1639" s="12" t="s">
        <v>7067</v>
      </c>
      <c r="C1639" s="155">
        <v>75</v>
      </c>
      <c r="D1639" s="55" t="s">
        <v>4003</v>
      </c>
      <c r="E1639" s="90" t="s">
        <v>1105</v>
      </c>
      <c r="G1639" s="55" t="s">
        <v>1106</v>
      </c>
      <c r="H1639" s="55">
        <v>1989</v>
      </c>
      <c r="I1639" s="55">
        <v>1986</v>
      </c>
      <c r="J1639" s="55" t="s">
        <v>397</v>
      </c>
      <c r="K1639" s="55" t="s">
        <v>1107</v>
      </c>
      <c r="L1639" s="55" t="s">
        <v>2737</v>
      </c>
      <c r="M1639" s="90">
        <v>38.950000000000003</v>
      </c>
      <c r="N1639" s="90">
        <v>-91.94</v>
      </c>
      <c r="O1639" s="90">
        <v>251.9</v>
      </c>
      <c r="U1639" s="55" t="s">
        <v>1688</v>
      </c>
      <c r="V1639" s="55" t="s">
        <v>1816</v>
      </c>
      <c r="Y1639" s="55" t="s">
        <v>1964</v>
      </c>
      <c r="Z1639" s="55" t="s">
        <v>1344</v>
      </c>
      <c r="AA1639" s="90" t="s">
        <v>1344</v>
      </c>
      <c r="AH1639" s="55" t="s">
        <v>6378</v>
      </c>
      <c r="AM1639" s="55" t="s">
        <v>1325</v>
      </c>
      <c r="AN1639" s="185" t="s">
        <v>1505</v>
      </c>
      <c r="AO1639" s="185" t="s">
        <v>5150</v>
      </c>
      <c r="AQ1639" s="55" t="s">
        <v>1548</v>
      </c>
      <c r="AR1639" s="55" t="s">
        <v>158</v>
      </c>
      <c r="AS1639" s="55" t="s">
        <v>158</v>
      </c>
      <c r="AT1639" s="181" t="s">
        <v>119</v>
      </c>
      <c r="AU1639" s="181" t="s">
        <v>5150</v>
      </c>
      <c r="AV1639" s="185" t="s">
        <v>176</v>
      </c>
      <c r="AX1639" s="185" t="s">
        <v>176</v>
      </c>
      <c r="BE1639" s="226" t="s">
        <v>1113</v>
      </c>
      <c r="BF1639" s="191" t="s">
        <v>479</v>
      </c>
      <c r="BG1639" s="55" t="s">
        <v>479</v>
      </c>
      <c r="BH1639" s="226" t="s">
        <v>1113</v>
      </c>
      <c r="BI1639" s="55" t="s">
        <v>479</v>
      </c>
      <c r="BJ1639" s="55" t="s">
        <v>176</v>
      </c>
      <c r="BK1639" s="55" t="s">
        <v>5976</v>
      </c>
      <c r="BM1639" s="192" t="s">
        <v>160</v>
      </c>
      <c r="BN1639" s="55">
        <v>2</v>
      </c>
      <c r="BO1639" s="55">
        <v>2</v>
      </c>
      <c r="BQ1639" s="55" t="s">
        <v>141</v>
      </c>
      <c r="FJ1639" s="65">
        <f>1/1000*0.001</f>
        <v>9.9999999999999995E-7</v>
      </c>
      <c r="FK1639" s="65">
        <v>0</v>
      </c>
      <c r="FN1639" s="65" t="s">
        <v>6357</v>
      </c>
      <c r="FO1639" s="65">
        <v>1</v>
      </c>
      <c r="FP1639" s="65">
        <v>0</v>
      </c>
      <c r="FS1639" s="65" t="s">
        <v>1114</v>
      </c>
      <c r="GP1639" s="292" t="s">
        <v>7494</v>
      </c>
      <c r="JW1639" s="55" t="s">
        <v>1108</v>
      </c>
    </row>
    <row r="1640" spans="1:283" x14ac:dyDescent="0.25">
      <c r="A1640" s="55">
        <v>1639</v>
      </c>
      <c r="B1640" s="12" t="s">
        <v>7067</v>
      </c>
      <c r="C1640" s="155">
        <v>75</v>
      </c>
      <c r="D1640" s="55" t="s">
        <v>4003</v>
      </c>
      <c r="E1640" s="90" t="s">
        <v>1105</v>
      </c>
      <c r="G1640" s="55" t="s">
        <v>1106</v>
      </c>
      <c r="H1640" s="55">
        <v>1989</v>
      </c>
      <c r="I1640" s="55">
        <v>1986</v>
      </c>
      <c r="J1640" s="55" t="s">
        <v>397</v>
      </c>
      <c r="K1640" s="55" t="s">
        <v>1107</v>
      </c>
      <c r="L1640" s="55" t="s">
        <v>2737</v>
      </c>
      <c r="M1640" s="90">
        <v>38.950000000000003</v>
      </c>
      <c r="N1640" s="90">
        <v>-91.94</v>
      </c>
      <c r="O1640" s="90">
        <v>251.9</v>
      </c>
      <c r="U1640" s="55" t="s">
        <v>1688</v>
      </c>
      <c r="V1640" s="55" t="s">
        <v>1816</v>
      </c>
      <c r="Y1640" s="55" t="s">
        <v>1964</v>
      </c>
      <c r="Z1640" s="55" t="s">
        <v>1344</v>
      </c>
      <c r="AA1640" s="90" t="s">
        <v>1344</v>
      </c>
      <c r="AH1640" s="55" t="s">
        <v>6378</v>
      </c>
      <c r="AM1640" s="55" t="s">
        <v>1325</v>
      </c>
      <c r="AN1640" s="185" t="s">
        <v>1505</v>
      </c>
      <c r="AO1640" s="185" t="s">
        <v>5150</v>
      </c>
      <c r="AQ1640" s="55" t="s">
        <v>1548</v>
      </c>
      <c r="AR1640" s="55" t="s">
        <v>158</v>
      </c>
      <c r="AS1640" s="55" t="s">
        <v>158</v>
      </c>
      <c r="AT1640" s="181" t="s">
        <v>119</v>
      </c>
      <c r="AU1640" s="181" t="s">
        <v>5150</v>
      </c>
      <c r="AV1640" s="185" t="s">
        <v>176</v>
      </c>
      <c r="AX1640" s="185" t="s">
        <v>176</v>
      </c>
      <c r="BE1640" s="226" t="s">
        <v>1113</v>
      </c>
      <c r="BF1640" s="191" t="s">
        <v>479</v>
      </c>
      <c r="BG1640" s="55" t="s">
        <v>479</v>
      </c>
      <c r="BH1640" s="226" t="s">
        <v>1113</v>
      </c>
      <c r="BI1640" s="55" t="s">
        <v>479</v>
      </c>
      <c r="BJ1640" s="55" t="s">
        <v>176</v>
      </c>
      <c r="BK1640" s="55" t="s">
        <v>5976</v>
      </c>
      <c r="BM1640" s="192" t="s">
        <v>160</v>
      </c>
      <c r="BN1640" s="55">
        <v>2</v>
      </c>
      <c r="BO1640" s="55">
        <v>2</v>
      </c>
      <c r="BQ1640" s="55" t="s">
        <v>141</v>
      </c>
      <c r="FJ1640" s="65">
        <f>1/1000*0.001</f>
        <v>9.9999999999999995E-7</v>
      </c>
      <c r="FK1640" s="65">
        <v>0</v>
      </c>
      <c r="FN1640" s="65" t="s">
        <v>6357</v>
      </c>
      <c r="FO1640" s="65">
        <v>7</v>
      </c>
      <c r="FP1640" s="65">
        <v>1</v>
      </c>
      <c r="FS1640" s="65" t="s">
        <v>1114</v>
      </c>
      <c r="GP1640" s="292" t="s">
        <v>7494</v>
      </c>
      <c r="JW1640" s="55" t="s">
        <v>1109</v>
      </c>
    </row>
    <row r="1641" spans="1:283" x14ac:dyDescent="0.25">
      <c r="A1641" s="55">
        <v>1640</v>
      </c>
      <c r="B1641" s="12" t="s">
        <v>7067</v>
      </c>
      <c r="C1641" s="155">
        <v>75</v>
      </c>
      <c r="D1641" s="55" t="s">
        <v>4003</v>
      </c>
      <c r="E1641" s="90" t="s">
        <v>1105</v>
      </c>
      <c r="G1641" s="55" t="s">
        <v>1106</v>
      </c>
      <c r="H1641" s="55">
        <v>1989</v>
      </c>
      <c r="I1641" s="55">
        <v>1986</v>
      </c>
      <c r="J1641" s="55" t="s">
        <v>397</v>
      </c>
      <c r="K1641" s="55" t="s">
        <v>1107</v>
      </c>
      <c r="L1641" s="55" t="s">
        <v>2737</v>
      </c>
      <c r="M1641" s="90">
        <v>38.950000000000003</v>
      </c>
      <c r="N1641" s="90">
        <v>-91.94</v>
      </c>
      <c r="O1641" s="90">
        <v>251.9</v>
      </c>
      <c r="U1641" s="55" t="s">
        <v>1688</v>
      </c>
      <c r="V1641" s="55" t="s">
        <v>1816</v>
      </c>
      <c r="Y1641" s="55" t="s">
        <v>1964</v>
      </c>
      <c r="Z1641" s="55" t="s">
        <v>1344</v>
      </c>
      <c r="AA1641" s="90" t="s">
        <v>1344</v>
      </c>
      <c r="AH1641" s="55" t="s">
        <v>6378</v>
      </c>
      <c r="AM1641" s="55" t="s">
        <v>1325</v>
      </c>
      <c r="AN1641" s="185" t="s">
        <v>1505</v>
      </c>
      <c r="AO1641" s="185" t="s">
        <v>5150</v>
      </c>
      <c r="AQ1641" s="55" t="s">
        <v>1548</v>
      </c>
      <c r="AR1641" s="55" t="s">
        <v>158</v>
      </c>
      <c r="AS1641" s="55" t="s">
        <v>158</v>
      </c>
      <c r="AT1641" s="181" t="s">
        <v>119</v>
      </c>
      <c r="AU1641" s="181" t="s">
        <v>5150</v>
      </c>
      <c r="AV1641" s="185" t="s">
        <v>176</v>
      </c>
      <c r="AX1641" s="185" t="s">
        <v>176</v>
      </c>
      <c r="BE1641" s="226" t="s">
        <v>1113</v>
      </c>
      <c r="BF1641" s="191" t="s">
        <v>479</v>
      </c>
      <c r="BG1641" s="55" t="s">
        <v>479</v>
      </c>
      <c r="BH1641" s="226" t="s">
        <v>1113</v>
      </c>
      <c r="BI1641" s="55" t="s">
        <v>479</v>
      </c>
      <c r="BJ1641" s="55" t="s">
        <v>176</v>
      </c>
      <c r="BK1641" s="55" t="s">
        <v>5976</v>
      </c>
      <c r="BM1641" s="192" t="s">
        <v>160</v>
      </c>
      <c r="BN1641" s="55">
        <v>2</v>
      </c>
      <c r="BO1641" s="55">
        <v>2</v>
      </c>
      <c r="BQ1641" s="55" t="s">
        <v>141</v>
      </c>
      <c r="FJ1641" s="65">
        <f>1/1000*0.001</f>
        <v>9.9999999999999995E-7</v>
      </c>
      <c r="FK1641" s="65">
        <v>0</v>
      </c>
      <c r="FN1641" s="65" t="s">
        <v>6357</v>
      </c>
      <c r="FO1641" s="65">
        <v>92</v>
      </c>
      <c r="FP1641" s="65">
        <v>15</v>
      </c>
      <c r="FS1641" s="65" t="s">
        <v>1114</v>
      </c>
      <c r="GP1641" s="292" t="s">
        <v>7494</v>
      </c>
      <c r="JW1641" s="55" t="s">
        <v>1110</v>
      </c>
    </row>
    <row r="1642" spans="1:283" x14ac:dyDescent="0.25">
      <c r="A1642" s="55">
        <v>1641</v>
      </c>
      <c r="B1642" s="12" t="s">
        <v>7067</v>
      </c>
      <c r="C1642" s="155">
        <v>75</v>
      </c>
      <c r="D1642" s="55" t="s">
        <v>4003</v>
      </c>
      <c r="E1642" s="90" t="s">
        <v>1105</v>
      </c>
      <c r="G1642" s="55" t="s">
        <v>1106</v>
      </c>
      <c r="H1642" s="55">
        <v>1989</v>
      </c>
      <c r="I1642" s="55">
        <v>1986</v>
      </c>
      <c r="J1642" s="55" t="s">
        <v>397</v>
      </c>
      <c r="K1642" s="55" t="s">
        <v>1107</v>
      </c>
      <c r="L1642" s="55" t="s">
        <v>2737</v>
      </c>
      <c r="M1642" s="90">
        <v>38.950000000000003</v>
      </c>
      <c r="N1642" s="90">
        <v>-91.94</v>
      </c>
      <c r="O1642" s="90">
        <v>251.9</v>
      </c>
      <c r="U1642" s="55" t="s">
        <v>1688</v>
      </c>
      <c r="V1642" s="55" t="s">
        <v>1816</v>
      </c>
      <c r="Y1642" s="55" t="s">
        <v>1964</v>
      </c>
      <c r="Z1642" s="55" t="s">
        <v>1344</v>
      </c>
      <c r="AA1642" s="90" t="s">
        <v>1344</v>
      </c>
      <c r="AH1642" s="55" t="s">
        <v>6378</v>
      </c>
      <c r="AM1642" s="55" t="s">
        <v>1325</v>
      </c>
      <c r="AN1642" s="185" t="s">
        <v>1505</v>
      </c>
      <c r="AO1642" s="185" t="s">
        <v>5150</v>
      </c>
      <c r="AQ1642" s="55" t="s">
        <v>1548</v>
      </c>
      <c r="AR1642" s="55" t="s">
        <v>158</v>
      </c>
      <c r="AS1642" s="55" t="s">
        <v>158</v>
      </c>
      <c r="AT1642" s="181" t="s">
        <v>119</v>
      </c>
      <c r="AU1642" s="181" t="s">
        <v>5150</v>
      </c>
      <c r="AV1642" s="185" t="s">
        <v>176</v>
      </c>
      <c r="AX1642" s="185" t="s">
        <v>176</v>
      </c>
      <c r="BE1642" s="226" t="s">
        <v>1113</v>
      </c>
      <c r="BF1642" s="191" t="s">
        <v>479</v>
      </c>
      <c r="BG1642" s="55" t="s">
        <v>479</v>
      </c>
      <c r="BH1642" s="226" t="s">
        <v>1113</v>
      </c>
      <c r="BI1642" s="55" t="s">
        <v>479</v>
      </c>
      <c r="BJ1642" s="55" t="s">
        <v>176</v>
      </c>
      <c r="BK1642" s="55" t="s">
        <v>5976</v>
      </c>
      <c r="BM1642" s="192" t="s">
        <v>160</v>
      </c>
      <c r="BN1642" s="55">
        <v>2</v>
      </c>
      <c r="BO1642" s="55">
        <v>2</v>
      </c>
      <c r="BQ1642" s="55" t="s">
        <v>141</v>
      </c>
      <c r="FJ1642" s="65">
        <f>1/1000*562</f>
        <v>0.56200000000000006</v>
      </c>
      <c r="FK1642" s="65">
        <f>1/1000*45</f>
        <v>4.4999999999999998E-2</v>
      </c>
      <c r="FN1642" s="65" t="s">
        <v>6357</v>
      </c>
      <c r="FO1642" s="65">
        <v>151</v>
      </c>
      <c r="FP1642" s="65">
        <v>52</v>
      </c>
      <c r="FS1642" s="65" t="s">
        <v>1114</v>
      </c>
      <c r="GP1642" s="292" t="s">
        <v>7494</v>
      </c>
      <c r="JW1642" s="55" t="s">
        <v>1111</v>
      </c>
    </row>
    <row r="1643" spans="1:283" x14ac:dyDescent="0.25">
      <c r="A1643" s="55">
        <v>1642</v>
      </c>
      <c r="B1643" s="12" t="s">
        <v>7067</v>
      </c>
      <c r="C1643" s="155">
        <v>75</v>
      </c>
      <c r="D1643" s="55" t="s">
        <v>4004</v>
      </c>
      <c r="E1643" s="90" t="s">
        <v>1105</v>
      </c>
      <c r="G1643" s="55" t="s">
        <v>1106</v>
      </c>
      <c r="H1643" s="55">
        <v>1989</v>
      </c>
      <c r="I1643" s="55">
        <v>1986</v>
      </c>
      <c r="J1643" s="55" t="s">
        <v>397</v>
      </c>
      <c r="K1643" s="55" t="s">
        <v>1107</v>
      </c>
      <c r="L1643" s="55" t="s">
        <v>2737</v>
      </c>
      <c r="M1643" s="90">
        <v>38.950000000000003</v>
      </c>
      <c r="N1643" s="90">
        <v>-91.94</v>
      </c>
      <c r="O1643" s="90">
        <v>251.9</v>
      </c>
      <c r="U1643" s="55" t="s">
        <v>1688</v>
      </c>
      <c r="V1643" s="55" t="s">
        <v>1816</v>
      </c>
      <c r="Y1643" s="55" t="s">
        <v>1964</v>
      </c>
      <c r="Z1643" s="55" t="s">
        <v>1344</v>
      </c>
      <c r="AA1643" s="90" t="s">
        <v>1344</v>
      </c>
      <c r="AH1643" s="55" t="s">
        <v>6378</v>
      </c>
      <c r="AM1643" s="55" t="s">
        <v>1325</v>
      </c>
      <c r="AN1643" s="185" t="s">
        <v>1506</v>
      </c>
      <c r="AO1643" s="185" t="s">
        <v>5150</v>
      </c>
      <c r="AQ1643" s="55" t="s">
        <v>1545</v>
      </c>
      <c r="AR1643" s="55" t="s">
        <v>158</v>
      </c>
      <c r="AS1643" s="55" t="s">
        <v>158</v>
      </c>
      <c r="AT1643" s="181" t="s">
        <v>119</v>
      </c>
      <c r="AU1643" s="181" t="s">
        <v>5150</v>
      </c>
      <c r="AV1643" s="185" t="s">
        <v>176</v>
      </c>
      <c r="AX1643" s="185" t="s">
        <v>176</v>
      </c>
      <c r="BE1643" s="226" t="s">
        <v>1113</v>
      </c>
      <c r="BF1643" s="191" t="s">
        <v>479</v>
      </c>
      <c r="BG1643" s="55" t="s">
        <v>479</v>
      </c>
      <c r="BH1643" s="226" t="s">
        <v>1113</v>
      </c>
      <c r="BI1643" s="55" t="s">
        <v>479</v>
      </c>
      <c r="BJ1643" s="55" t="s">
        <v>176</v>
      </c>
      <c r="BK1643" s="55" t="s">
        <v>5976</v>
      </c>
      <c r="BM1643" s="192" t="s">
        <v>160</v>
      </c>
      <c r="BN1643" s="55">
        <v>2</v>
      </c>
      <c r="BO1643" s="55">
        <v>2</v>
      </c>
      <c r="BQ1643" s="55" t="s">
        <v>141</v>
      </c>
      <c r="FJ1643" s="65">
        <f>1/1000*562</f>
        <v>0.56200000000000006</v>
      </c>
      <c r="FK1643" s="65">
        <v>0</v>
      </c>
      <c r="FN1643" s="65" t="s">
        <v>6357</v>
      </c>
      <c r="FO1643" s="65">
        <v>10</v>
      </c>
      <c r="FP1643" s="65">
        <v>0</v>
      </c>
      <c r="FS1643" s="65" t="s">
        <v>1114</v>
      </c>
      <c r="GP1643" s="292" t="s">
        <v>7494</v>
      </c>
      <c r="JW1643" s="55" t="s">
        <v>1112</v>
      </c>
    </row>
    <row r="1644" spans="1:283" x14ac:dyDescent="0.25">
      <c r="A1644" s="55">
        <v>1643</v>
      </c>
      <c r="B1644" s="12" t="s">
        <v>7067</v>
      </c>
      <c r="C1644" s="155">
        <v>75</v>
      </c>
      <c r="D1644" s="55" t="s">
        <v>4004</v>
      </c>
      <c r="E1644" s="90" t="s">
        <v>1105</v>
      </c>
      <c r="G1644" s="55" t="s">
        <v>1106</v>
      </c>
      <c r="H1644" s="55">
        <v>1989</v>
      </c>
      <c r="I1644" s="55">
        <v>1986</v>
      </c>
      <c r="J1644" s="55" t="s">
        <v>397</v>
      </c>
      <c r="K1644" s="55" t="s">
        <v>1107</v>
      </c>
      <c r="L1644" s="55" t="s">
        <v>2737</v>
      </c>
      <c r="M1644" s="90">
        <v>38.950000000000003</v>
      </c>
      <c r="N1644" s="90">
        <v>-91.94</v>
      </c>
      <c r="O1644" s="90">
        <v>251.9</v>
      </c>
      <c r="U1644" s="55" t="s">
        <v>1688</v>
      </c>
      <c r="V1644" s="55" t="s">
        <v>1816</v>
      </c>
      <c r="Y1644" s="55" t="s">
        <v>1964</v>
      </c>
      <c r="Z1644" s="55" t="s">
        <v>1344</v>
      </c>
      <c r="AA1644" s="90" t="s">
        <v>1344</v>
      </c>
      <c r="AH1644" s="55" t="s">
        <v>6378</v>
      </c>
      <c r="AM1644" s="55" t="s">
        <v>1325</v>
      </c>
      <c r="AN1644" s="185" t="s">
        <v>1506</v>
      </c>
      <c r="AO1644" s="185" t="s">
        <v>5150</v>
      </c>
      <c r="AQ1644" s="55" t="s">
        <v>1545</v>
      </c>
      <c r="AR1644" s="55" t="s">
        <v>158</v>
      </c>
      <c r="AS1644" s="55" t="s">
        <v>158</v>
      </c>
      <c r="AT1644" s="181" t="s">
        <v>119</v>
      </c>
      <c r="AU1644" s="181" t="s">
        <v>5150</v>
      </c>
      <c r="AV1644" s="185" t="s">
        <v>176</v>
      </c>
      <c r="AX1644" s="185" t="s">
        <v>176</v>
      </c>
      <c r="BE1644" s="226" t="s">
        <v>1113</v>
      </c>
      <c r="BF1644" s="191" t="s">
        <v>479</v>
      </c>
      <c r="BG1644" s="55" t="s">
        <v>479</v>
      </c>
      <c r="BH1644" s="226" t="s">
        <v>1113</v>
      </c>
      <c r="BI1644" s="55" t="s">
        <v>479</v>
      </c>
      <c r="BJ1644" s="55" t="s">
        <v>176</v>
      </c>
      <c r="BK1644" s="55" t="s">
        <v>5976</v>
      </c>
      <c r="BM1644" s="192" t="s">
        <v>160</v>
      </c>
      <c r="BN1644" s="55">
        <v>2</v>
      </c>
      <c r="BO1644" s="55">
        <v>2</v>
      </c>
      <c r="BQ1644" s="55" t="s">
        <v>141</v>
      </c>
      <c r="FJ1644" s="65">
        <f>1/1000*0.001</f>
        <v>9.9999999999999995E-7</v>
      </c>
      <c r="FK1644" s="65">
        <v>0</v>
      </c>
      <c r="FN1644" s="65" t="s">
        <v>6357</v>
      </c>
      <c r="FO1644" s="65">
        <v>1</v>
      </c>
      <c r="FP1644" s="65">
        <v>0</v>
      </c>
      <c r="FS1644" s="65" t="s">
        <v>1114</v>
      </c>
      <c r="GP1644" s="292" t="s">
        <v>7494</v>
      </c>
      <c r="JW1644" s="55" t="s">
        <v>1108</v>
      </c>
    </row>
    <row r="1645" spans="1:283" x14ac:dyDescent="0.25">
      <c r="A1645" s="55">
        <v>1644</v>
      </c>
      <c r="B1645" s="12" t="s">
        <v>7067</v>
      </c>
      <c r="C1645" s="155">
        <v>75</v>
      </c>
      <c r="D1645" s="55" t="s">
        <v>4004</v>
      </c>
      <c r="E1645" s="90" t="s">
        <v>1105</v>
      </c>
      <c r="G1645" s="55" t="s">
        <v>1106</v>
      </c>
      <c r="H1645" s="55">
        <v>1989</v>
      </c>
      <c r="I1645" s="55">
        <v>1986</v>
      </c>
      <c r="J1645" s="55" t="s">
        <v>397</v>
      </c>
      <c r="K1645" s="55" t="s">
        <v>1107</v>
      </c>
      <c r="L1645" s="55" t="s">
        <v>2737</v>
      </c>
      <c r="M1645" s="90">
        <v>38.950000000000003</v>
      </c>
      <c r="N1645" s="90">
        <v>-91.94</v>
      </c>
      <c r="O1645" s="90">
        <v>251.9</v>
      </c>
      <c r="U1645" s="55" t="s">
        <v>1688</v>
      </c>
      <c r="V1645" s="55" t="s">
        <v>1816</v>
      </c>
      <c r="Y1645" s="55" t="s">
        <v>1964</v>
      </c>
      <c r="Z1645" s="55" t="s">
        <v>1344</v>
      </c>
      <c r="AA1645" s="90" t="s">
        <v>1344</v>
      </c>
      <c r="AH1645" s="55" t="s">
        <v>6378</v>
      </c>
      <c r="AM1645" s="55" t="s">
        <v>1325</v>
      </c>
      <c r="AN1645" s="185" t="s">
        <v>1506</v>
      </c>
      <c r="AO1645" s="185" t="s">
        <v>5150</v>
      </c>
      <c r="AQ1645" s="55" t="s">
        <v>1545</v>
      </c>
      <c r="AR1645" s="55" t="s">
        <v>158</v>
      </c>
      <c r="AS1645" s="55" t="s">
        <v>158</v>
      </c>
      <c r="AT1645" s="181" t="s">
        <v>119</v>
      </c>
      <c r="AU1645" s="181" t="s">
        <v>5150</v>
      </c>
      <c r="AV1645" s="185" t="s">
        <v>176</v>
      </c>
      <c r="AX1645" s="185" t="s">
        <v>176</v>
      </c>
      <c r="BE1645" s="226" t="s">
        <v>1113</v>
      </c>
      <c r="BF1645" s="191" t="s">
        <v>479</v>
      </c>
      <c r="BG1645" s="55" t="s">
        <v>479</v>
      </c>
      <c r="BH1645" s="226" t="s">
        <v>1113</v>
      </c>
      <c r="BI1645" s="55" t="s">
        <v>479</v>
      </c>
      <c r="BJ1645" s="55" t="s">
        <v>176</v>
      </c>
      <c r="BK1645" s="55" t="s">
        <v>5976</v>
      </c>
      <c r="BM1645" s="192" t="s">
        <v>160</v>
      </c>
      <c r="BN1645" s="55">
        <v>2</v>
      </c>
      <c r="BO1645" s="55">
        <v>2</v>
      </c>
      <c r="BQ1645" s="55" t="s">
        <v>141</v>
      </c>
      <c r="FJ1645" s="65">
        <f>1/1000*0.001</f>
        <v>9.9999999999999995E-7</v>
      </c>
      <c r="FK1645" s="65">
        <v>0</v>
      </c>
      <c r="FN1645" s="65" t="s">
        <v>6357</v>
      </c>
      <c r="FO1645" s="65">
        <v>7</v>
      </c>
      <c r="FP1645" s="65">
        <v>0</v>
      </c>
      <c r="FS1645" s="65" t="s">
        <v>1114</v>
      </c>
      <c r="GP1645" s="292" t="s">
        <v>7494</v>
      </c>
      <c r="JW1645" s="55" t="s">
        <v>1109</v>
      </c>
    </row>
    <row r="1646" spans="1:283" x14ac:dyDescent="0.25">
      <c r="A1646" s="55">
        <v>1645</v>
      </c>
      <c r="B1646" s="12" t="s">
        <v>7067</v>
      </c>
      <c r="C1646" s="155">
        <v>75</v>
      </c>
      <c r="D1646" s="55" t="s">
        <v>4004</v>
      </c>
      <c r="E1646" s="90" t="s">
        <v>1105</v>
      </c>
      <c r="G1646" s="55" t="s">
        <v>1106</v>
      </c>
      <c r="H1646" s="55">
        <v>1989</v>
      </c>
      <c r="I1646" s="55">
        <v>1986</v>
      </c>
      <c r="J1646" s="55" t="s">
        <v>397</v>
      </c>
      <c r="K1646" s="55" t="s">
        <v>1107</v>
      </c>
      <c r="L1646" s="55" t="s">
        <v>2737</v>
      </c>
      <c r="M1646" s="90">
        <v>38.950000000000003</v>
      </c>
      <c r="N1646" s="90">
        <v>-91.94</v>
      </c>
      <c r="O1646" s="90">
        <v>251.9</v>
      </c>
      <c r="U1646" s="55" t="s">
        <v>1688</v>
      </c>
      <c r="V1646" s="55" t="s">
        <v>1816</v>
      </c>
      <c r="Y1646" s="55" t="s">
        <v>1964</v>
      </c>
      <c r="Z1646" s="55" t="s">
        <v>1344</v>
      </c>
      <c r="AA1646" s="90" t="s">
        <v>1344</v>
      </c>
      <c r="AH1646" s="55" t="s">
        <v>6378</v>
      </c>
      <c r="AM1646" s="55" t="s">
        <v>1325</v>
      </c>
      <c r="AN1646" s="185" t="s">
        <v>1506</v>
      </c>
      <c r="AO1646" s="185" t="s">
        <v>5150</v>
      </c>
      <c r="AQ1646" s="55" t="s">
        <v>1545</v>
      </c>
      <c r="AR1646" s="55" t="s">
        <v>158</v>
      </c>
      <c r="AS1646" s="55" t="s">
        <v>158</v>
      </c>
      <c r="AT1646" s="181" t="s">
        <v>119</v>
      </c>
      <c r="AU1646" s="181" t="s">
        <v>5150</v>
      </c>
      <c r="AV1646" s="185" t="s">
        <v>176</v>
      </c>
      <c r="AX1646" s="185" t="s">
        <v>176</v>
      </c>
      <c r="BE1646" s="226" t="s">
        <v>1113</v>
      </c>
      <c r="BF1646" s="191" t="s">
        <v>479</v>
      </c>
      <c r="BG1646" s="55" t="s">
        <v>479</v>
      </c>
      <c r="BH1646" s="226" t="s">
        <v>1113</v>
      </c>
      <c r="BI1646" s="55" t="s">
        <v>479</v>
      </c>
      <c r="BJ1646" s="55" t="s">
        <v>176</v>
      </c>
      <c r="BK1646" s="55" t="s">
        <v>5976</v>
      </c>
      <c r="BM1646" s="192" t="s">
        <v>160</v>
      </c>
      <c r="BN1646" s="55">
        <v>2</v>
      </c>
      <c r="BO1646" s="55">
        <v>2</v>
      </c>
      <c r="BQ1646" s="55" t="s">
        <v>141</v>
      </c>
      <c r="FJ1646" s="65">
        <f>1/1000*0.001</f>
        <v>9.9999999999999995E-7</v>
      </c>
      <c r="FK1646" s="65">
        <v>0</v>
      </c>
      <c r="FN1646" s="65" t="s">
        <v>6357</v>
      </c>
      <c r="FO1646" s="65">
        <v>92</v>
      </c>
      <c r="FP1646" s="65">
        <v>26</v>
      </c>
      <c r="FS1646" s="65" t="s">
        <v>1114</v>
      </c>
      <c r="GP1646" s="292" t="s">
        <v>7494</v>
      </c>
      <c r="JW1646" s="55" t="s">
        <v>1110</v>
      </c>
    </row>
    <row r="1647" spans="1:283" x14ac:dyDescent="0.25">
      <c r="A1647" s="55">
        <v>1646</v>
      </c>
      <c r="B1647" s="12" t="s">
        <v>7067</v>
      </c>
      <c r="C1647" s="155">
        <v>75</v>
      </c>
      <c r="D1647" s="55" t="s">
        <v>4004</v>
      </c>
      <c r="E1647" s="90" t="s">
        <v>1105</v>
      </c>
      <c r="G1647" s="55" t="s">
        <v>1106</v>
      </c>
      <c r="H1647" s="55">
        <v>1989</v>
      </c>
      <c r="I1647" s="55">
        <v>1986</v>
      </c>
      <c r="J1647" s="55" t="s">
        <v>397</v>
      </c>
      <c r="K1647" s="55" t="s">
        <v>1107</v>
      </c>
      <c r="L1647" s="55" t="s">
        <v>2737</v>
      </c>
      <c r="M1647" s="90">
        <v>38.950000000000003</v>
      </c>
      <c r="N1647" s="90">
        <v>-91.94</v>
      </c>
      <c r="O1647" s="90">
        <v>251.9</v>
      </c>
      <c r="U1647" s="55" t="s">
        <v>1688</v>
      </c>
      <c r="V1647" s="55" t="s">
        <v>1816</v>
      </c>
      <c r="Y1647" s="55" t="s">
        <v>1964</v>
      </c>
      <c r="Z1647" s="55" t="s">
        <v>1344</v>
      </c>
      <c r="AA1647" s="90" t="s">
        <v>1344</v>
      </c>
      <c r="AH1647" s="55" t="s">
        <v>6378</v>
      </c>
      <c r="AM1647" s="55" t="s">
        <v>1325</v>
      </c>
      <c r="AN1647" s="185" t="s">
        <v>1506</v>
      </c>
      <c r="AO1647" s="185" t="s">
        <v>5150</v>
      </c>
      <c r="AQ1647" s="55" t="s">
        <v>1545</v>
      </c>
      <c r="AR1647" s="55" t="s">
        <v>158</v>
      </c>
      <c r="AS1647" s="55" t="s">
        <v>158</v>
      </c>
      <c r="AT1647" s="181" t="s">
        <v>119</v>
      </c>
      <c r="AU1647" s="181" t="s">
        <v>5150</v>
      </c>
      <c r="AV1647" s="185" t="s">
        <v>176</v>
      </c>
      <c r="AX1647" s="185" t="s">
        <v>176</v>
      </c>
      <c r="BE1647" s="226" t="s">
        <v>1113</v>
      </c>
      <c r="BF1647" s="191" t="s">
        <v>479</v>
      </c>
      <c r="BG1647" s="55" t="s">
        <v>479</v>
      </c>
      <c r="BH1647" s="226" t="s">
        <v>1113</v>
      </c>
      <c r="BI1647" s="55" t="s">
        <v>479</v>
      </c>
      <c r="BJ1647" s="55" t="s">
        <v>176</v>
      </c>
      <c r="BK1647" s="55" t="s">
        <v>5976</v>
      </c>
      <c r="BM1647" s="192" t="s">
        <v>160</v>
      </c>
      <c r="BN1647" s="55">
        <v>2</v>
      </c>
      <c r="BO1647" s="55">
        <v>2</v>
      </c>
      <c r="BQ1647" s="55" t="s">
        <v>141</v>
      </c>
      <c r="FJ1647" s="65">
        <f>1/1000*562</f>
        <v>0.56200000000000006</v>
      </c>
      <c r="FK1647" s="65">
        <v>0</v>
      </c>
      <c r="FN1647" s="65" t="s">
        <v>6357</v>
      </c>
      <c r="FO1647" s="65">
        <v>151</v>
      </c>
      <c r="FP1647" s="65">
        <v>67</v>
      </c>
      <c r="FS1647" s="65" t="s">
        <v>1114</v>
      </c>
      <c r="GP1647" s="292" t="s">
        <v>7494</v>
      </c>
      <c r="JW1647" s="55" t="s">
        <v>1111</v>
      </c>
    </row>
    <row r="1648" spans="1:283" x14ac:dyDescent="0.25">
      <c r="A1648" s="55">
        <v>1647</v>
      </c>
      <c r="B1648" s="12" t="s">
        <v>7067</v>
      </c>
      <c r="C1648" s="155">
        <v>75</v>
      </c>
      <c r="D1648" s="55" t="s">
        <v>4005</v>
      </c>
      <c r="E1648" s="90" t="s">
        <v>1105</v>
      </c>
      <c r="G1648" s="55" t="s">
        <v>1106</v>
      </c>
      <c r="H1648" s="55">
        <v>1989</v>
      </c>
      <c r="I1648" s="55">
        <v>1986</v>
      </c>
      <c r="J1648" s="55" t="s">
        <v>397</v>
      </c>
      <c r="K1648" s="55" t="s">
        <v>1107</v>
      </c>
      <c r="L1648" s="55" t="s">
        <v>2737</v>
      </c>
      <c r="M1648" s="90">
        <v>38.950000000000003</v>
      </c>
      <c r="N1648" s="90">
        <v>-91.94</v>
      </c>
      <c r="O1648" s="90">
        <v>251.9</v>
      </c>
      <c r="U1648" s="55" t="s">
        <v>1688</v>
      </c>
      <c r="V1648" s="55" t="s">
        <v>1816</v>
      </c>
      <c r="Y1648" s="55" t="s">
        <v>1964</v>
      </c>
      <c r="Z1648" s="55" t="s">
        <v>1344</v>
      </c>
      <c r="AA1648" s="90" t="s">
        <v>1344</v>
      </c>
      <c r="AH1648" s="55" t="s">
        <v>6378</v>
      </c>
      <c r="AM1648" s="55" t="s">
        <v>1325</v>
      </c>
      <c r="AN1648" s="185" t="s">
        <v>1507</v>
      </c>
      <c r="AO1648" s="185" t="s">
        <v>5150</v>
      </c>
      <c r="AQ1648" s="55" t="s">
        <v>131</v>
      </c>
      <c r="AR1648" s="55" t="s">
        <v>158</v>
      </c>
      <c r="AS1648" s="55" t="s">
        <v>158</v>
      </c>
      <c r="AT1648" s="181" t="s">
        <v>119</v>
      </c>
      <c r="AU1648" s="181" t="s">
        <v>5150</v>
      </c>
      <c r="AV1648" s="185" t="s">
        <v>176</v>
      </c>
      <c r="AX1648" s="185" t="s">
        <v>176</v>
      </c>
      <c r="BE1648" s="226" t="s">
        <v>1113</v>
      </c>
      <c r="BF1648" s="191" t="s">
        <v>479</v>
      </c>
      <c r="BG1648" s="55" t="s">
        <v>479</v>
      </c>
      <c r="BH1648" s="226" t="s">
        <v>1113</v>
      </c>
      <c r="BI1648" s="55" t="s">
        <v>479</v>
      </c>
      <c r="BJ1648" s="55" t="s">
        <v>176</v>
      </c>
      <c r="BK1648" s="55" t="s">
        <v>5976</v>
      </c>
      <c r="BM1648" s="192" t="s">
        <v>160</v>
      </c>
      <c r="BN1648" s="55">
        <v>2</v>
      </c>
      <c r="BO1648" s="55">
        <v>2</v>
      </c>
      <c r="BQ1648" s="55" t="s">
        <v>141</v>
      </c>
      <c r="FJ1648" s="65">
        <f>1/1000*562</f>
        <v>0.56200000000000006</v>
      </c>
      <c r="FK1648" s="65">
        <v>0</v>
      </c>
      <c r="FN1648" s="65" t="s">
        <v>6357</v>
      </c>
      <c r="FO1648" s="65">
        <v>10</v>
      </c>
      <c r="FP1648" s="65">
        <v>0</v>
      </c>
      <c r="FS1648" s="65" t="s">
        <v>1114</v>
      </c>
      <c r="GP1648" s="292" t="s">
        <v>7494</v>
      </c>
      <c r="JW1648" s="55" t="s">
        <v>1112</v>
      </c>
    </row>
    <row r="1649" spans="1:283" x14ac:dyDescent="0.25">
      <c r="A1649" s="55">
        <v>1648</v>
      </c>
      <c r="B1649" s="12" t="s">
        <v>7067</v>
      </c>
      <c r="C1649" s="155">
        <v>75</v>
      </c>
      <c r="D1649" s="55" t="s">
        <v>4005</v>
      </c>
      <c r="E1649" s="90" t="s">
        <v>1105</v>
      </c>
      <c r="G1649" s="55" t="s">
        <v>1106</v>
      </c>
      <c r="H1649" s="55">
        <v>1989</v>
      </c>
      <c r="I1649" s="55">
        <v>1986</v>
      </c>
      <c r="J1649" s="55" t="s">
        <v>397</v>
      </c>
      <c r="K1649" s="55" t="s">
        <v>1107</v>
      </c>
      <c r="L1649" s="55" t="s">
        <v>2737</v>
      </c>
      <c r="M1649" s="90">
        <v>38.950000000000003</v>
      </c>
      <c r="N1649" s="90">
        <v>-91.94</v>
      </c>
      <c r="O1649" s="90">
        <v>251.9</v>
      </c>
      <c r="U1649" s="55" t="s">
        <v>1688</v>
      </c>
      <c r="V1649" s="55" t="s">
        <v>1816</v>
      </c>
      <c r="Y1649" s="55" t="s">
        <v>1964</v>
      </c>
      <c r="Z1649" s="55" t="s">
        <v>1344</v>
      </c>
      <c r="AA1649" s="90" t="s">
        <v>1344</v>
      </c>
      <c r="AH1649" s="55" t="s">
        <v>6378</v>
      </c>
      <c r="AM1649" s="55" t="s">
        <v>1325</v>
      </c>
      <c r="AN1649" s="185" t="s">
        <v>1507</v>
      </c>
      <c r="AO1649" s="185" t="s">
        <v>5150</v>
      </c>
      <c r="AQ1649" s="55" t="s">
        <v>131</v>
      </c>
      <c r="AR1649" s="55" t="s">
        <v>158</v>
      </c>
      <c r="AS1649" s="55" t="s">
        <v>158</v>
      </c>
      <c r="AT1649" s="181" t="s">
        <v>119</v>
      </c>
      <c r="AU1649" s="181" t="s">
        <v>5150</v>
      </c>
      <c r="AV1649" s="185" t="s">
        <v>176</v>
      </c>
      <c r="AX1649" s="185" t="s">
        <v>176</v>
      </c>
      <c r="BE1649" s="226" t="s">
        <v>1113</v>
      </c>
      <c r="BF1649" s="191" t="s">
        <v>479</v>
      </c>
      <c r="BG1649" s="55" t="s">
        <v>479</v>
      </c>
      <c r="BH1649" s="226" t="s">
        <v>1113</v>
      </c>
      <c r="BI1649" s="55" t="s">
        <v>479</v>
      </c>
      <c r="BJ1649" s="55" t="s">
        <v>176</v>
      </c>
      <c r="BK1649" s="55" t="s">
        <v>5976</v>
      </c>
      <c r="BM1649" s="192" t="s">
        <v>160</v>
      </c>
      <c r="BN1649" s="55">
        <v>2</v>
      </c>
      <c r="BO1649" s="55">
        <v>2</v>
      </c>
      <c r="BQ1649" s="55" t="s">
        <v>141</v>
      </c>
      <c r="FJ1649" s="65">
        <f>1/1000*0.001</f>
        <v>9.9999999999999995E-7</v>
      </c>
      <c r="FK1649" s="65">
        <v>0</v>
      </c>
      <c r="FN1649" s="65" t="s">
        <v>6357</v>
      </c>
      <c r="FO1649" s="65">
        <v>1</v>
      </c>
      <c r="FP1649" s="65">
        <v>0</v>
      </c>
      <c r="FS1649" s="65" t="s">
        <v>1114</v>
      </c>
      <c r="GP1649" s="292" t="s">
        <v>7494</v>
      </c>
      <c r="JW1649" s="55" t="s">
        <v>1108</v>
      </c>
    </row>
    <row r="1650" spans="1:283" x14ac:dyDescent="0.25">
      <c r="A1650" s="55">
        <v>1649</v>
      </c>
      <c r="B1650" s="12" t="s">
        <v>7067</v>
      </c>
      <c r="C1650" s="155">
        <v>75</v>
      </c>
      <c r="D1650" s="55" t="s">
        <v>4005</v>
      </c>
      <c r="E1650" s="90" t="s">
        <v>1105</v>
      </c>
      <c r="G1650" s="55" t="s">
        <v>1106</v>
      </c>
      <c r="H1650" s="55">
        <v>1989</v>
      </c>
      <c r="I1650" s="55">
        <v>1986</v>
      </c>
      <c r="J1650" s="55" t="s">
        <v>397</v>
      </c>
      <c r="K1650" s="55" t="s">
        <v>1107</v>
      </c>
      <c r="L1650" s="55" t="s">
        <v>2737</v>
      </c>
      <c r="M1650" s="90">
        <v>38.950000000000003</v>
      </c>
      <c r="N1650" s="90">
        <v>-91.94</v>
      </c>
      <c r="O1650" s="90">
        <v>251.9</v>
      </c>
      <c r="U1650" s="55" t="s">
        <v>1688</v>
      </c>
      <c r="V1650" s="55" t="s">
        <v>1816</v>
      </c>
      <c r="Y1650" s="55" t="s">
        <v>1964</v>
      </c>
      <c r="Z1650" s="55" t="s">
        <v>1344</v>
      </c>
      <c r="AA1650" s="90" t="s">
        <v>1344</v>
      </c>
      <c r="AH1650" s="55" t="s">
        <v>6378</v>
      </c>
      <c r="AM1650" s="55" t="s">
        <v>1325</v>
      </c>
      <c r="AN1650" s="185" t="s">
        <v>1507</v>
      </c>
      <c r="AO1650" s="185" t="s">
        <v>5150</v>
      </c>
      <c r="AQ1650" s="55" t="s">
        <v>131</v>
      </c>
      <c r="AR1650" s="55" t="s">
        <v>158</v>
      </c>
      <c r="AS1650" s="55" t="s">
        <v>158</v>
      </c>
      <c r="AT1650" s="181" t="s">
        <v>119</v>
      </c>
      <c r="AU1650" s="181" t="s">
        <v>5150</v>
      </c>
      <c r="AV1650" s="185" t="s">
        <v>176</v>
      </c>
      <c r="AX1650" s="185" t="s">
        <v>176</v>
      </c>
      <c r="BE1650" s="226" t="s">
        <v>1113</v>
      </c>
      <c r="BF1650" s="191" t="s">
        <v>479</v>
      </c>
      <c r="BG1650" s="55" t="s">
        <v>479</v>
      </c>
      <c r="BH1650" s="226" t="s">
        <v>1113</v>
      </c>
      <c r="BI1650" s="55" t="s">
        <v>479</v>
      </c>
      <c r="BJ1650" s="55" t="s">
        <v>176</v>
      </c>
      <c r="BK1650" s="55" t="s">
        <v>5976</v>
      </c>
      <c r="BM1650" s="192" t="s">
        <v>160</v>
      </c>
      <c r="BN1650" s="55">
        <v>2</v>
      </c>
      <c r="BO1650" s="55">
        <v>2</v>
      </c>
      <c r="BQ1650" s="55" t="s">
        <v>141</v>
      </c>
      <c r="FJ1650" s="65">
        <f>1/1000*0.001</f>
        <v>9.9999999999999995E-7</v>
      </c>
      <c r="FK1650" s="65">
        <v>0</v>
      </c>
      <c r="FN1650" s="65" t="s">
        <v>6357</v>
      </c>
      <c r="FO1650" s="65">
        <v>7</v>
      </c>
      <c r="FP1650" s="65">
        <v>0</v>
      </c>
      <c r="FS1650" s="65" t="s">
        <v>1114</v>
      </c>
      <c r="GP1650" s="292" t="s">
        <v>7494</v>
      </c>
      <c r="JW1650" s="55" t="s">
        <v>1109</v>
      </c>
    </row>
    <row r="1651" spans="1:283" x14ac:dyDescent="0.25">
      <c r="A1651" s="55">
        <v>1650</v>
      </c>
      <c r="B1651" s="12" t="s">
        <v>7067</v>
      </c>
      <c r="C1651" s="155">
        <v>75</v>
      </c>
      <c r="D1651" s="55" t="s">
        <v>4005</v>
      </c>
      <c r="E1651" s="90" t="s">
        <v>1105</v>
      </c>
      <c r="G1651" s="55" t="s">
        <v>1106</v>
      </c>
      <c r="H1651" s="55">
        <v>1989</v>
      </c>
      <c r="I1651" s="55">
        <v>1986</v>
      </c>
      <c r="J1651" s="55" t="s">
        <v>397</v>
      </c>
      <c r="K1651" s="55" t="s">
        <v>1107</v>
      </c>
      <c r="L1651" s="55" t="s">
        <v>2737</v>
      </c>
      <c r="M1651" s="90">
        <v>38.950000000000003</v>
      </c>
      <c r="N1651" s="90">
        <v>-91.94</v>
      </c>
      <c r="O1651" s="90">
        <v>251.9</v>
      </c>
      <c r="U1651" s="55" t="s">
        <v>1688</v>
      </c>
      <c r="V1651" s="55" t="s">
        <v>1816</v>
      </c>
      <c r="Y1651" s="55" t="s">
        <v>1964</v>
      </c>
      <c r="Z1651" s="55" t="s">
        <v>1344</v>
      </c>
      <c r="AA1651" s="90" t="s">
        <v>1344</v>
      </c>
      <c r="AH1651" s="55" t="s">
        <v>6378</v>
      </c>
      <c r="AM1651" s="55" t="s">
        <v>1325</v>
      </c>
      <c r="AN1651" s="185" t="s">
        <v>1507</v>
      </c>
      <c r="AO1651" s="185" t="s">
        <v>5150</v>
      </c>
      <c r="AQ1651" s="55" t="s">
        <v>131</v>
      </c>
      <c r="AR1651" s="55" t="s">
        <v>158</v>
      </c>
      <c r="AS1651" s="55" t="s">
        <v>158</v>
      </c>
      <c r="AT1651" s="181" t="s">
        <v>119</v>
      </c>
      <c r="AU1651" s="181" t="s">
        <v>5150</v>
      </c>
      <c r="AV1651" s="185" t="s">
        <v>176</v>
      </c>
      <c r="AX1651" s="185" t="s">
        <v>176</v>
      </c>
      <c r="BE1651" s="226" t="s">
        <v>1113</v>
      </c>
      <c r="BF1651" s="191" t="s">
        <v>479</v>
      </c>
      <c r="BG1651" s="55" t="s">
        <v>479</v>
      </c>
      <c r="BH1651" s="226" t="s">
        <v>1113</v>
      </c>
      <c r="BI1651" s="55" t="s">
        <v>479</v>
      </c>
      <c r="BJ1651" s="55" t="s">
        <v>176</v>
      </c>
      <c r="BK1651" s="55" t="s">
        <v>5976</v>
      </c>
      <c r="BM1651" s="192" t="s">
        <v>160</v>
      </c>
      <c r="BN1651" s="55">
        <v>2</v>
      </c>
      <c r="BO1651" s="55">
        <v>2</v>
      </c>
      <c r="BQ1651" s="55" t="s">
        <v>141</v>
      </c>
      <c r="FJ1651" s="65">
        <f>1/1000*0.001</f>
        <v>9.9999999999999995E-7</v>
      </c>
      <c r="FK1651" s="65">
        <v>0</v>
      </c>
      <c r="FN1651" s="65" t="s">
        <v>6357</v>
      </c>
      <c r="FO1651" s="65">
        <v>92</v>
      </c>
      <c r="FP1651" s="65">
        <v>15</v>
      </c>
      <c r="FS1651" s="65" t="s">
        <v>1114</v>
      </c>
      <c r="GP1651" s="292" t="s">
        <v>7494</v>
      </c>
      <c r="JW1651" s="55" t="s">
        <v>1110</v>
      </c>
    </row>
    <row r="1652" spans="1:283" x14ac:dyDescent="0.25">
      <c r="A1652" s="55">
        <v>1651</v>
      </c>
      <c r="B1652" s="12" t="s">
        <v>7067</v>
      </c>
      <c r="C1652" s="155">
        <v>75</v>
      </c>
      <c r="D1652" s="55" t="s">
        <v>4005</v>
      </c>
      <c r="E1652" s="90" t="s">
        <v>1105</v>
      </c>
      <c r="G1652" s="55" t="s">
        <v>1106</v>
      </c>
      <c r="H1652" s="55">
        <v>1989</v>
      </c>
      <c r="I1652" s="55">
        <v>1986</v>
      </c>
      <c r="J1652" s="55" t="s">
        <v>397</v>
      </c>
      <c r="K1652" s="55" t="s">
        <v>1107</v>
      </c>
      <c r="L1652" s="55" t="s">
        <v>2737</v>
      </c>
      <c r="M1652" s="90">
        <v>38.950000000000003</v>
      </c>
      <c r="N1652" s="90">
        <v>-91.94</v>
      </c>
      <c r="O1652" s="90">
        <v>251.9</v>
      </c>
      <c r="U1652" s="55" t="s">
        <v>1688</v>
      </c>
      <c r="V1652" s="55" t="s">
        <v>1816</v>
      </c>
      <c r="Y1652" s="55" t="s">
        <v>1964</v>
      </c>
      <c r="Z1652" s="55" t="s">
        <v>1344</v>
      </c>
      <c r="AA1652" s="90" t="s">
        <v>1344</v>
      </c>
      <c r="AH1652" s="55" t="s">
        <v>6378</v>
      </c>
      <c r="AM1652" s="55" t="s">
        <v>1325</v>
      </c>
      <c r="AN1652" s="185" t="s">
        <v>1507</v>
      </c>
      <c r="AO1652" s="185" t="s">
        <v>5150</v>
      </c>
      <c r="AQ1652" s="55" t="s">
        <v>131</v>
      </c>
      <c r="AR1652" s="55" t="s">
        <v>158</v>
      </c>
      <c r="AS1652" s="55" t="s">
        <v>158</v>
      </c>
      <c r="AT1652" s="181" t="s">
        <v>119</v>
      </c>
      <c r="AU1652" s="181" t="s">
        <v>5150</v>
      </c>
      <c r="AV1652" s="185" t="s">
        <v>176</v>
      </c>
      <c r="AX1652" s="185" t="s">
        <v>176</v>
      </c>
      <c r="BE1652" s="226" t="s">
        <v>1113</v>
      </c>
      <c r="BF1652" s="191" t="s">
        <v>479</v>
      </c>
      <c r="BG1652" s="55" t="s">
        <v>479</v>
      </c>
      <c r="BH1652" s="226" t="s">
        <v>1113</v>
      </c>
      <c r="BI1652" s="55" t="s">
        <v>479</v>
      </c>
      <c r="BJ1652" s="55" t="s">
        <v>176</v>
      </c>
      <c r="BK1652" s="55" t="s">
        <v>5976</v>
      </c>
      <c r="BM1652" s="192" t="s">
        <v>160</v>
      </c>
      <c r="BN1652" s="55">
        <v>2</v>
      </c>
      <c r="BO1652" s="55">
        <v>2</v>
      </c>
      <c r="BQ1652" s="55" t="s">
        <v>141</v>
      </c>
      <c r="FJ1652" s="65">
        <f>1/1000*562</f>
        <v>0.56200000000000006</v>
      </c>
      <c r="FK1652" s="65">
        <v>0</v>
      </c>
      <c r="FN1652" s="65" t="s">
        <v>6357</v>
      </c>
      <c r="FO1652" s="65">
        <v>151</v>
      </c>
      <c r="FP1652" s="65">
        <v>31</v>
      </c>
      <c r="FS1652" s="65" t="s">
        <v>1114</v>
      </c>
      <c r="GP1652" s="292" t="s">
        <v>7494</v>
      </c>
      <c r="JW1652" s="55" t="s">
        <v>1111</v>
      </c>
    </row>
    <row r="1653" spans="1:283" x14ac:dyDescent="0.25">
      <c r="A1653" s="55">
        <v>1652</v>
      </c>
      <c r="B1653" s="12" t="s">
        <v>7067</v>
      </c>
      <c r="C1653" s="155">
        <v>75</v>
      </c>
      <c r="D1653" s="55" t="s">
        <v>4003</v>
      </c>
      <c r="E1653" s="90" t="s">
        <v>1105</v>
      </c>
      <c r="G1653" s="55" t="s">
        <v>1106</v>
      </c>
      <c r="H1653" s="55">
        <v>1989</v>
      </c>
      <c r="I1653" s="55">
        <v>1987</v>
      </c>
      <c r="J1653" s="55" t="s">
        <v>397</v>
      </c>
      <c r="K1653" s="55" t="s">
        <v>1107</v>
      </c>
      <c r="L1653" s="55" t="s">
        <v>2737</v>
      </c>
      <c r="M1653" s="90">
        <v>38.950000000000003</v>
      </c>
      <c r="N1653" s="90">
        <v>-91.94</v>
      </c>
      <c r="O1653" s="90">
        <v>251.9</v>
      </c>
      <c r="U1653" s="55" t="s">
        <v>1816</v>
      </c>
      <c r="V1653" s="55" t="s">
        <v>1816</v>
      </c>
      <c r="Y1653" s="55" t="s">
        <v>1964</v>
      </c>
      <c r="Z1653" s="55" t="s">
        <v>1344</v>
      </c>
      <c r="AA1653" s="90" t="s">
        <v>1344</v>
      </c>
      <c r="AH1653" s="55" t="s">
        <v>6378</v>
      </c>
      <c r="AM1653" s="55" t="s">
        <v>1325</v>
      </c>
      <c r="AN1653" s="185" t="s">
        <v>1505</v>
      </c>
      <c r="AO1653" s="185" t="s">
        <v>5150</v>
      </c>
      <c r="AQ1653" s="55" t="s">
        <v>1548</v>
      </c>
      <c r="AR1653" s="55" t="s">
        <v>158</v>
      </c>
      <c r="AS1653" s="55" t="s">
        <v>158</v>
      </c>
      <c r="AT1653" s="181" t="s">
        <v>119</v>
      </c>
      <c r="AU1653" s="181" t="s">
        <v>5150</v>
      </c>
      <c r="AV1653" s="185" t="s">
        <v>176</v>
      </c>
      <c r="AX1653" s="185" t="s">
        <v>176</v>
      </c>
      <c r="BE1653" s="226" t="s">
        <v>1113</v>
      </c>
      <c r="BF1653" s="191" t="s">
        <v>479</v>
      </c>
      <c r="BG1653" s="55" t="s">
        <v>479</v>
      </c>
      <c r="BH1653" s="226" t="s">
        <v>1113</v>
      </c>
      <c r="BI1653" s="55" t="s">
        <v>479</v>
      </c>
      <c r="BJ1653" s="55" t="s">
        <v>176</v>
      </c>
      <c r="BK1653" s="55" t="s">
        <v>5976</v>
      </c>
      <c r="BM1653" s="192" t="s">
        <v>160</v>
      </c>
      <c r="BN1653" s="55">
        <v>2</v>
      </c>
      <c r="BO1653" s="55">
        <v>2</v>
      </c>
      <c r="BQ1653" s="55" t="s">
        <v>141</v>
      </c>
      <c r="FJ1653" s="65">
        <f>1/1000*217</f>
        <v>0.217</v>
      </c>
      <c r="FK1653" s="65">
        <v>0</v>
      </c>
      <c r="FN1653" s="65" t="s">
        <v>6357</v>
      </c>
      <c r="FO1653" s="65">
        <v>2</v>
      </c>
      <c r="FP1653" s="65">
        <v>0</v>
      </c>
      <c r="FS1653" s="65" t="s">
        <v>1114</v>
      </c>
      <c r="GP1653" s="292" t="s">
        <v>7494</v>
      </c>
      <c r="JW1653" s="55" t="s">
        <v>1112</v>
      </c>
    </row>
    <row r="1654" spans="1:283" x14ac:dyDescent="0.25">
      <c r="A1654" s="55">
        <v>1653</v>
      </c>
      <c r="B1654" s="12" t="s">
        <v>7067</v>
      </c>
      <c r="C1654" s="155">
        <v>75</v>
      </c>
      <c r="D1654" s="55" t="s">
        <v>4003</v>
      </c>
      <c r="E1654" s="90" t="s">
        <v>1105</v>
      </c>
      <c r="G1654" s="55" t="s">
        <v>1106</v>
      </c>
      <c r="H1654" s="55">
        <v>1989</v>
      </c>
      <c r="I1654" s="55">
        <v>1987</v>
      </c>
      <c r="J1654" s="55" t="s">
        <v>397</v>
      </c>
      <c r="K1654" s="55" t="s">
        <v>1107</v>
      </c>
      <c r="L1654" s="55" t="s">
        <v>2737</v>
      </c>
      <c r="M1654" s="90">
        <v>38.950000000000003</v>
      </c>
      <c r="N1654" s="90">
        <v>-91.94</v>
      </c>
      <c r="O1654" s="90">
        <v>251.9</v>
      </c>
      <c r="U1654" s="55" t="s">
        <v>1816</v>
      </c>
      <c r="V1654" s="55" t="s">
        <v>1816</v>
      </c>
      <c r="Y1654" s="55" t="s">
        <v>1964</v>
      </c>
      <c r="Z1654" s="55" t="s">
        <v>1344</v>
      </c>
      <c r="AA1654" s="90" t="s">
        <v>1344</v>
      </c>
      <c r="AH1654" s="55" t="s">
        <v>6378</v>
      </c>
      <c r="AM1654" s="55" t="s">
        <v>1325</v>
      </c>
      <c r="AN1654" s="185" t="s">
        <v>1505</v>
      </c>
      <c r="AO1654" s="185" t="s">
        <v>5150</v>
      </c>
      <c r="AQ1654" s="55" t="s">
        <v>1548</v>
      </c>
      <c r="AR1654" s="55" t="s">
        <v>158</v>
      </c>
      <c r="AS1654" s="55" t="s">
        <v>158</v>
      </c>
      <c r="AT1654" s="181" t="s">
        <v>119</v>
      </c>
      <c r="AU1654" s="181" t="s">
        <v>5150</v>
      </c>
      <c r="AV1654" s="185" t="s">
        <v>176</v>
      </c>
      <c r="AX1654" s="185" t="s">
        <v>176</v>
      </c>
      <c r="BE1654" s="226" t="s">
        <v>1113</v>
      </c>
      <c r="BF1654" s="191" t="s">
        <v>479</v>
      </c>
      <c r="BG1654" s="55" t="s">
        <v>479</v>
      </c>
      <c r="BH1654" s="226" t="s">
        <v>1113</v>
      </c>
      <c r="BI1654" s="55" t="s">
        <v>479</v>
      </c>
      <c r="BJ1654" s="55" t="s">
        <v>176</v>
      </c>
      <c r="BK1654" s="55" t="s">
        <v>5976</v>
      </c>
      <c r="BM1654" s="192" t="s">
        <v>160</v>
      </c>
      <c r="BN1654" s="55">
        <v>2</v>
      </c>
      <c r="BO1654" s="55">
        <v>2</v>
      </c>
      <c r="BQ1654" s="55" t="s">
        <v>141</v>
      </c>
      <c r="FJ1654" s="65">
        <f>1/1000*1317</f>
        <v>1.3169999999999999</v>
      </c>
      <c r="FK1654" s="65">
        <f>1/1000*125</f>
        <v>0.125</v>
      </c>
      <c r="FN1654" s="65" t="s">
        <v>6357</v>
      </c>
      <c r="FO1654" s="65">
        <v>33</v>
      </c>
      <c r="FP1654" s="65">
        <v>8</v>
      </c>
      <c r="FS1654" s="65" t="s">
        <v>1114</v>
      </c>
      <c r="GP1654" s="292" t="s">
        <v>7494</v>
      </c>
      <c r="JW1654" s="55" t="s">
        <v>1108</v>
      </c>
    </row>
    <row r="1655" spans="1:283" x14ac:dyDescent="0.25">
      <c r="A1655" s="55">
        <v>1654</v>
      </c>
      <c r="B1655" s="12" t="s">
        <v>7067</v>
      </c>
      <c r="C1655" s="155">
        <v>75</v>
      </c>
      <c r="D1655" s="55" t="s">
        <v>4003</v>
      </c>
      <c r="E1655" s="90" t="s">
        <v>1105</v>
      </c>
      <c r="G1655" s="55" t="s">
        <v>1106</v>
      </c>
      <c r="H1655" s="55">
        <v>1989</v>
      </c>
      <c r="I1655" s="55">
        <v>1987</v>
      </c>
      <c r="J1655" s="55" t="s">
        <v>397</v>
      </c>
      <c r="K1655" s="55" t="s">
        <v>1107</v>
      </c>
      <c r="L1655" s="55" t="s">
        <v>2737</v>
      </c>
      <c r="M1655" s="90">
        <v>38.950000000000003</v>
      </c>
      <c r="N1655" s="90">
        <v>-91.94</v>
      </c>
      <c r="O1655" s="90">
        <v>251.9</v>
      </c>
      <c r="U1655" s="55" t="s">
        <v>1816</v>
      </c>
      <c r="V1655" s="55" t="s">
        <v>1816</v>
      </c>
      <c r="Y1655" s="55" t="s">
        <v>1964</v>
      </c>
      <c r="Z1655" s="55" t="s">
        <v>1344</v>
      </c>
      <c r="AA1655" s="90" t="s">
        <v>1344</v>
      </c>
      <c r="AH1655" s="55" t="s">
        <v>6378</v>
      </c>
      <c r="AM1655" s="55" t="s">
        <v>1325</v>
      </c>
      <c r="AN1655" s="185" t="s">
        <v>1505</v>
      </c>
      <c r="AO1655" s="185" t="s">
        <v>5150</v>
      </c>
      <c r="AQ1655" s="55" t="s">
        <v>1548</v>
      </c>
      <c r="AR1655" s="55" t="s">
        <v>158</v>
      </c>
      <c r="AS1655" s="55" t="s">
        <v>158</v>
      </c>
      <c r="AT1655" s="181" t="s">
        <v>119</v>
      </c>
      <c r="AU1655" s="181" t="s">
        <v>5150</v>
      </c>
      <c r="AV1655" s="185" t="s">
        <v>176</v>
      </c>
      <c r="AX1655" s="185" t="s">
        <v>176</v>
      </c>
      <c r="BE1655" s="226" t="s">
        <v>1113</v>
      </c>
      <c r="BF1655" s="191" t="s">
        <v>479</v>
      </c>
      <c r="BG1655" s="55" t="s">
        <v>479</v>
      </c>
      <c r="BH1655" s="226" t="s">
        <v>1113</v>
      </c>
      <c r="BI1655" s="55" t="s">
        <v>479</v>
      </c>
      <c r="BJ1655" s="55" t="s">
        <v>176</v>
      </c>
      <c r="BK1655" s="55" t="s">
        <v>5976</v>
      </c>
      <c r="BM1655" s="192" t="s">
        <v>160</v>
      </c>
      <c r="BN1655" s="55">
        <v>2</v>
      </c>
      <c r="BO1655" s="55">
        <v>2</v>
      </c>
      <c r="BQ1655" s="55" t="s">
        <v>141</v>
      </c>
      <c r="FJ1655" s="65">
        <v>0</v>
      </c>
      <c r="FK1655" s="65">
        <v>0</v>
      </c>
      <c r="FN1655" s="65" t="s">
        <v>6357</v>
      </c>
      <c r="FO1655" s="65">
        <v>1E-3</v>
      </c>
      <c r="FP1655" s="65">
        <v>0</v>
      </c>
      <c r="FS1655" s="65" t="s">
        <v>1114</v>
      </c>
      <c r="GP1655" s="292" t="s">
        <v>7494</v>
      </c>
      <c r="JW1655" s="55" t="s">
        <v>1109</v>
      </c>
    </row>
    <row r="1656" spans="1:283" x14ac:dyDescent="0.25">
      <c r="A1656" s="55">
        <v>1655</v>
      </c>
      <c r="B1656" s="12" t="s">
        <v>7067</v>
      </c>
      <c r="C1656" s="155">
        <v>75</v>
      </c>
      <c r="D1656" s="55" t="s">
        <v>4003</v>
      </c>
      <c r="E1656" s="90" t="s">
        <v>1105</v>
      </c>
      <c r="G1656" s="55" t="s">
        <v>1106</v>
      </c>
      <c r="H1656" s="55">
        <v>1989</v>
      </c>
      <c r="I1656" s="55">
        <v>1987</v>
      </c>
      <c r="J1656" s="55" t="s">
        <v>397</v>
      </c>
      <c r="K1656" s="55" t="s">
        <v>1107</v>
      </c>
      <c r="L1656" s="55" t="s">
        <v>2737</v>
      </c>
      <c r="M1656" s="90">
        <v>38.950000000000003</v>
      </c>
      <c r="N1656" s="90">
        <v>-91.94</v>
      </c>
      <c r="O1656" s="90">
        <v>251.9</v>
      </c>
      <c r="U1656" s="55" t="s">
        <v>1816</v>
      </c>
      <c r="V1656" s="55" t="s">
        <v>1816</v>
      </c>
      <c r="Y1656" s="55" t="s">
        <v>1964</v>
      </c>
      <c r="Z1656" s="55" t="s">
        <v>1344</v>
      </c>
      <c r="AA1656" s="90" t="s">
        <v>1344</v>
      </c>
      <c r="AH1656" s="55" t="s">
        <v>6378</v>
      </c>
      <c r="AM1656" s="55" t="s">
        <v>1325</v>
      </c>
      <c r="AN1656" s="185" t="s">
        <v>1505</v>
      </c>
      <c r="AO1656" s="185" t="s">
        <v>5150</v>
      </c>
      <c r="AQ1656" s="55" t="s">
        <v>1548</v>
      </c>
      <c r="AR1656" s="55" t="s">
        <v>158</v>
      </c>
      <c r="AS1656" s="55" t="s">
        <v>158</v>
      </c>
      <c r="AT1656" s="181" t="s">
        <v>119</v>
      </c>
      <c r="AU1656" s="181" t="s">
        <v>5150</v>
      </c>
      <c r="AV1656" s="185" t="s">
        <v>176</v>
      </c>
      <c r="AX1656" s="185" t="s">
        <v>176</v>
      </c>
      <c r="BE1656" s="226" t="s">
        <v>1113</v>
      </c>
      <c r="BF1656" s="191" t="s">
        <v>479</v>
      </c>
      <c r="BG1656" s="55" t="s">
        <v>479</v>
      </c>
      <c r="BH1656" s="226" t="s">
        <v>1113</v>
      </c>
      <c r="BI1656" s="55" t="s">
        <v>479</v>
      </c>
      <c r="BJ1656" s="55" t="s">
        <v>176</v>
      </c>
      <c r="BK1656" s="55" t="s">
        <v>5976</v>
      </c>
      <c r="BM1656" s="192" t="s">
        <v>160</v>
      </c>
      <c r="BN1656" s="55">
        <v>2</v>
      </c>
      <c r="BO1656" s="55">
        <v>2</v>
      </c>
      <c r="BQ1656" s="55" t="s">
        <v>141</v>
      </c>
      <c r="FJ1656" s="65">
        <f>1/1000*111</f>
        <v>0.111</v>
      </c>
      <c r="FK1656" s="65">
        <f>1/1000*52</f>
        <v>5.2000000000000005E-2</v>
      </c>
      <c r="FN1656" s="65" t="s">
        <v>6357</v>
      </c>
      <c r="FO1656" s="65">
        <v>57</v>
      </c>
      <c r="FP1656" s="65">
        <v>36</v>
      </c>
      <c r="FS1656" s="65" t="s">
        <v>1114</v>
      </c>
      <c r="GP1656" s="292" t="s">
        <v>7494</v>
      </c>
      <c r="JW1656" s="55" t="s">
        <v>1110</v>
      </c>
    </row>
    <row r="1657" spans="1:283" x14ac:dyDescent="0.25">
      <c r="A1657" s="55">
        <v>1656</v>
      </c>
      <c r="B1657" s="12" t="s">
        <v>7067</v>
      </c>
      <c r="C1657" s="155">
        <v>75</v>
      </c>
      <c r="D1657" s="55" t="s">
        <v>4003</v>
      </c>
      <c r="E1657" s="90" t="s">
        <v>1105</v>
      </c>
      <c r="G1657" s="55" t="s">
        <v>1106</v>
      </c>
      <c r="H1657" s="55">
        <v>1989</v>
      </c>
      <c r="I1657" s="55">
        <v>1987</v>
      </c>
      <c r="J1657" s="55" t="s">
        <v>397</v>
      </c>
      <c r="K1657" s="55" t="s">
        <v>1107</v>
      </c>
      <c r="L1657" s="55" t="s">
        <v>2737</v>
      </c>
      <c r="M1657" s="90">
        <v>38.950000000000003</v>
      </c>
      <c r="N1657" s="90">
        <v>-91.94</v>
      </c>
      <c r="O1657" s="90">
        <v>251.9</v>
      </c>
      <c r="U1657" s="55" t="s">
        <v>1816</v>
      </c>
      <c r="V1657" s="55" t="s">
        <v>1816</v>
      </c>
      <c r="Y1657" s="55" t="s">
        <v>1964</v>
      </c>
      <c r="Z1657" s="55" t="s">
        <v>1344</v>
      </c>
      <c r="AA1657" s="90" t="s">
        <v>1344</v>
      </c>
      <c r="AH1657" s="55" t="s">
        <v>6378</v>
      </c>
      <c r="AM1657" s="55" t="s">
        <v>1325</v>
      </c>
      <c r="AN1657" s="185" t="s">
        <v>1505</v>
      </c>
      <c r="AO1657" s="185" t="s">
        <v>5150</v>
      </c>
      <c r="AQ1657" s="55" t="s">
        <v>1548</v>
      </c>
      <c r="AR1657" s="55" t="s">
        <v>158</v>
      </c>
      <c r="AS1657" s="55" t="s">
        <v>158</v>
      </c>
      <c r="AT1657" s="181" t="s">
        <v>119</v>
      </c>
      <c r="AU1657" s="181" t="s">
        <v>5150</v>
      </c>
      <c r="AV1657" s="185" t="s">
        <v>176</v>
      </c>
      <c r="AX1657" s="185" t="s">
        <v>176</v>
      </c>
      <c r="BE1657" s="226" t="s">
        <v>1113</v>
      </c>
      <c r="BF1657" s="191" t="s">
        <v>479</v>
      </c>
      <c r="BG1657" s="55" t="s">
        <v>479</v>
      </c>
      <c r="BH1657" s="226" t="s">
        <v>1113</v>
      </c>
      <c r="BI1657" s="55" t="s">
        <v>479</v>
      </c>
      <c r="BJ1657" s="55" t="s">
        <v>176</v>
      </c>
      <c r="BK1657" s="55" t="s">
        <v>5976</v>
      </c>
      <c r="BM1657" s="192" t="s">
        <v>160</v>
      </c>
      <c r="BN1657" s="55">
        <v>2</v>
      </c>
      <c r="BO1657" s="55">
        <v>2</v>
      </c>
      <c r="BQ1657" s="55" t="s">
        <v>141</v>
      </c>
      <c r="FJ1657" s="65">
        <f>1/1000*1534</f>
        <v>1.534</v>
      </c>
      <c r="FK1657" s="65">
        <f>1/1000*125</f>
        <v>0.125</v>
      </c>
      <c r="FN1657" s="65" t="s">
        <v>6357</v>
      </c>
      <c r="FO1657" s="65">
        <v>74</v>
      </c>
      <c r="FP1657" s="65">
        <v>34</v>
      </c>
      <c r="FS1657" s="65" t="s">
        <v>1114</v>
      </c>
      <c r="GP1657" s="292" t="s">
        <v>7494</v>
      </c>
      <c r="JW1657" s="55" t="s">
        <v>1111</v>
      </c>
    </row>
    <row r="1658" spans="1:283" x14ac:dyDescent="0.25">
      <c r="A1658" s="55">
        <v>1657</v>
      </c>
      <c r="B1658" s="12" t="s">
        <v>7067</v>
      </c>
      <c r="C1658" s="155">
        <v>75</v>
      </c>
      <c r="D1658" s="55" t="s">
        <v>4004</v>
      </c>
      <c r="E1658" s="90" t="s">
        <v>1105</v>
      </c>
      <c r="G1658" s="55" t="s">
        <v>1106</v>
      </c>
      <c r="H1658" s="55">
        <v>1989</v>
      </c>
      <c r="I1658" s="55">
        <v>1987</v>
      </c>
      <c r="J1658" s="55" t="s">
        <v>397</v>
      </c>
      <c r="K1658" s="55" t="s">
        <v>1107</v>
      </c>
      <c r="L1658" s="55" t="s">
        <v>2737</v>
      </c>
      <c r="M1658" s="90">
        <v>38.950000000000003</v>
      </c>
      <c r="N1658" s="90">
        <v>-91.94</v>
      </c>
      <c r="O1658" s="90">
        <v>251.9</v>
      </c>
      <c r="U1658" s="55" t="s">
        <v>1816</v>
      </c>
      <c r="V1658" s="55" t="s">
        <v>1816</v>
      </c>
      <c r="Y1658" s="55" t="s">
        <v>1964</v>
      </c>
      <c r="Z1658" s="55" t="s">
        <v>1344</v>
      </c>
      <c r="AA1658" s="90" t="s">
        <v>1344</v>
      </c>
      <c r="AH1658" s="55" t="s">
        <v>6378</v>
      </c>
      <c r="AM1658" s="55" t="s">
        <v>1325</v>
      </c>
      <c r="AN1658" s="185" t="s">
        <v>1506</v>
      </c>
      <c r="AO1658" s="185" t="s">
        <v>5150</v>
      </c>
      <c r="AQ1658" s="55" t="s">
        <v>1545</v>
      </c>
      <c r="AR1658" s="55" t="s">
        <v>158</v>
      </c>
      <c r="AS1658" s="55" t="s">
        <v>158</v>
      </c>
      <c r="AT1658" s="181" t="s">
        <v>119</v>
      </c>
      <c r="AU1658" s="181" t="s">
        <v>5150</v>
      </c>
      <c r="AV1658" s="185" t="s">
        <v>176</v>
      </c>
      <c r="AX1658" s="185" t="s">
        <v>176</v>
      </c>
      <c r="BE1658" s="226" t="s">
        <v>1113</v>
      </c>
      <c r="BF1658" s="191" t="s">
        <v>479</v>
      </c>
      <c r="BG1658" s="55" t="s">
        <v>479</v>
      </c>
      <c r="BH1658" s="226" t="s">
        <v>1113</v>
      </c>
      <c r="BI1658" s="55" t="s">
        <v>479</v>
      </c>
      <c r="BJ1658" s="55" t="s">
        <v>176</v>
      </c>
      <c r="BK1658" s="55" t="s">
        <v>5976</v>
      </c>
      <c r="BM1658" s="192" t="s">
        <v>160</v>
      </c>
      <c r="BN1658" s="55">
        <v>2</v>
      </c>
      <c r="BO1658" s="55">
        <v>2</v>
      </c>
      <c r="BQ1658" s="55" t="s">
        <v>141</v>
      </c>
      <c r="FJ1658" s="65">
        <f>1/1000*217</f>
        <v>0.217</v>
      </c>
      <c r="FK1658" s="65">
        <v>0</v>
      </c>
      <c r="FN1658" s="65" t="s">
        <v>6357</v>
      </c>
      <c r="FO1658" s="65">
        <v>2</v>
      </c>
      <c r="FP1658" s="65">
        <v>0</v>
      </c>
      <c r="FS1658" s="65" t="s">
        <v>1114</v>
      </c>
      <c r="GP1658" s="292" t="s">
        <v>7494</v>
      </c>
      <c r="JW1658" s="55" t="s">
        <v>1112</v>
      </c>
    </row>
    <row r="1659" spans="1:283" x14ac:dyDescent="0.25">
      <c r="A1659" s="55">
        <v>1658</v>
      </c>
      <c r="B1659" s="12" t="s">
        <v>7067</v>
      </c>
      <c r="C1659" s="155">
        <v>75</v>
      </c>
      <c r="D1659" s="55" t="s">
        <v>4004</v>
      </c>
      <c r="E1659" s="90" t="s">
        <v>1105</v>
      </c>
      <c r="G1659" s="55" t="s">
        <v>1106</v>
      </c>
      <c r="H1659" s="55">
        <v>1989</v>
      </c>
      <c r="I1659" s="55">
        <v>1987</v>
      </c>
      <c r="J1659" s="55" t="s">
        <v>397</v>
      </c>
      <c r="K1659" s="55" t="s">
        <v>1107</v>
      </c>
      <c r="L1659" s="55" t="s">
        <v>2737</v>
      </c>
      <c r="M1659" s="90">
        <v>38.950000000000003</v>
      </c>
      <c r="N1659" s="90">
        <v>-91.94</v>
      </c>
      <c r="O1659" s="90">
        <v>251.9</v>
      </c>
      <c r="U1659" s="55" t="s">
        <v>1816</v>
      </c>
      <c r="V1659" s="55" t="s">
        <v>1816</v>
      </c>
      <c r="Y1659" s="55" t="s">
        <v>1964</v>
      </c>
      <c r="Z1659" s="55" t="s">
        <v>1344</v>
      </c>
      <c r="AA1659" s="90" t="s">
        <v>1344</v>
      </c>
      <c r="AH1659" s="55" t="s">
        <v>6378</v>
      </c>
      <c r="AM1659" s="55" t="s">
        <v>1325</v>
      </c>
      <c r="AN1659" s="185" t="s">
        <v>1506</v>
      </c>
      <c r="AO1659" s="185" t="s">
        <v>5150</v>
      </c>
      <c r="AQ1659" s="55" t="s">
        <v>1545</v>
      </c>
      <c r="AR1659" s="55" t="s">
        <v>158</v>
      </c>
      <c r="AS1659" s="55" t="s">
        <v>158</v>
      </c>
      <c r="AT1659" s="181" t="s">
        <v>119</v>
      </c>
      <c r="AU1659" s="181" t="s">
        <v>5150</v>
      </c>
      <c r="AV1659" s="185" t="s">
        <v>176</v>
      </c>
      <c r="AX1659" s="185" t="s">
        <v>176</v>
      </c>
      <c r="BE1659" s="226" t="s">
        <v>1113</v>
      </c>
      <c r="BF1659" s="191" t="s">
        <v>479</v>
      </c>
      <c r="BG1659" s="55" t="s">
        <v>479</v>
      </c>
      <c r="BH1659" s="226" t="s">
        <v>1113</v>
      </c>
      <c r="BI1659" s="55" t="s">
        <v>479</v>
      </c>
      <c r="BJ1659" s="55" t="s">
        <v>176</v>
      </c>
      <c r="BK1659" s="55" t="s">
        <v>5976</v>
      </c>
      <c r="BM1659" s="192" t="s">
        <v>160</v>
      </c>
      <c r="BN1659" s="55">
        <v>2</v>
      </c>
      <c r="BO1659" s="55">
        <v>2</v>
      </c>
      <c r="BQ1659" s="55" t="s">
        <v>141</v>
      </c>
      <c r="FJ1659" s="65">
        <f>1/1000*1317</f>
        <v>1.3169999999999999</v>
      </c>
      <c r="FK1659" s="65">
        <v>0</v>
      </c>
      <c r="FN1659" s="65" t="s">
        <v>6357</v>
      </c>
      <c r="FO1659" s="65">
        <v>33</v>
      </c>
      <c r="FP1659" s="65">
        <v>0</v>
      </c>
      <c r="FS1659" s="65" t="s">
        <v>1114</v>
      </c>
      <c r="GP1659" s="292" t="s">
        <v>7494</v>
      </c>
      <c r="JW1659" s="55" t="s">
        <v>1108</v>
      </c>
    </row>
    <row r="1660" spans="1:283" x14ac:dyDescent="0.25">
      <c r="A1660" s="55">
        <v>1659</v>
      </c>
      <c r="B1660" s="12" t="s">
        <v>7067</v>
      </c>
      <c r="C1660" s="155">
        <v>75</v>
      </c>
      <c r="D1660" s="55" t="s">
        <v>4004</v>
      </c>
      <c r="E1660" s="90" t="s">
        <v>1105</v>
      </c>
      <c r="G1660" s="55" t="s">
        <v>1106</v>
      </c>
      <c r="H1660" s="55">
        <v>1989</v>
      </c>
      <c r="I1660" s="55">
        <v>1987</v>
      </c>
      <c r="J1660" s="55" t="s">
        <v>397</v>
      </c>
      <c r="K1660" s="55" t="s">
        <v>1107</v>
      </c>
      <c r="L1660" s="55" t="s">
        <v>2737</v>
      </c>
      <c r="M1660" s="90">
        <v>38.950000000000003</v>
      </c>
      <c r="N1660" s="90">
        <v>-91.94</v>
      </c>
      <c r="O1660" s="90">
        <v>251.9</v>
      </c>
      <c r="U1660" s="55" t="s">
        <v>1816</v>
      </c>
      <c r="V1660" s="55" t="s">
        <v>1816</v>
      </c>
      <c r="Y1660" s="55" t="s">
        <v>1964</v>
      </c>
      <c r="Z1660" s="55" t="s">
        <v>1344</v>
      </c>
      <c r="AA1660" s="90" t="s">
        <v>1344</v>
      </c>
      <c r="AH1660" s="55" t="s">
        <v>6378</v>
      </c>
      <c r="AM1660" s="55" t="s">
        <v>1325</v>
      </c>
      <c r="AN1660" s="185" t="s">
        <v>1506</v>
      </c>
      <c r="AO1660" s="185" t="s">
        <v>5150</v>
      </c>
      <c r="AQ1660" s="55" t="s">
        <v>1545</v>
      </c>
      <c r="AR1660" s="55" t="s">
        <v>158</v>
      </c>
      <c r="AS1660" s="55" t="s">
        <v>158</v>
      </c>
      <c r="AT1660" s="181" t="s">
        <v>119</v>
      </c>
      <c r="AU1660" s="181" t="s">
        <v>5150</v>
      </c>
      <c r="AV1660" s="185" t="s">
        <v>176</v>
      </c>
      <c r="AX1660" s="185" t="s">
        <v>176</v>
      </c>
      <c r="BE1660" s="226" t="s">
        <v>1113</v>
      </c>
      <c r="BF1660" s="191" t="s">
        <v>479</v>
      </c>
      <c r="BG1660" s="55" t="s">
        <v>479</v>
      </c>
      <c r="BH1660" s="226" t="s">
        <v>1113</v>
      </c>
      <c r="BI1660" s="55" t="s">
        <v>479</v>
      </c>
      <c r="BJ1660" s="55" t="s">
        <v>176</v>
      </c>
      <c r="BK1660" s="55" t="s">
        <v>5976</v>
      </c>
      <c r="BM1660" s="192" t="s">
        <v>160</v>
      </c>
      <c r="BN1660" s="55">
        <v>2</v>
      </c>
      <c r="BO1660" s="55">
        <v>2</v>
      </c>
      <c r="BQ1660" s="55" t="s">
        <v>141</v>
      </c>
      <c r="FJ1660" s="65">
        <v>0</v>
      </c>
      <c r="FK1660" s="65">
        <v>0</v>
      </c>
      <c r="FN1660" s="65" t="s">
        <v>6357</v>
      </c>
      <c r="FO1660" s="65">
        <v>1E-3</v>
      </c>
      <c r="FP1660" s="65">
        <v>0</v>
      </c>
      <c r="FS1660" s="65" t="s">
        <v>1114</v>
      </c>
      <c r="GP1660" s="292" t="s">
        <v>7494</v>
      </c>
      <c r="JW1660" s="55" t="s">
        <v>1109</v>
      </c>
    </row>
    <row r="1661" spans="1:283" x14ac:dyDescent="0.25">
      <c r="A1661" s="55">
        <v>1660</v>
      </c>
      <c r="B1661" s="12" t="s">
        <v>7067</v>
      </c>
      <c r="C1661" s="155">
        <v>75</v>
      </c>
      <c r="D1661" s="55" t="s">
        <v>4004</v>
      </c>
      <c r="E1661" s="90" t="s">
        <v>1105</v>
      </c>
      <c r="G1661" s="55" t="s">
        <v>1106</v>
      </c>
      <c r="H1661" s="55">
        <v>1989</v>
      </c>
      <c r="I1661" s="55">
        <v>1987</v>
      </c>
      <c r="J1661" s="55" t="s">
        <v>397</v>
      </c>
      <c r="K1661" s="55" t="s">
        <v>1107</v>
      </c>
      <c r="L1661" s="55" t="s">
        <v>2737</v>
      </c>
      <c r="M1661" s="90">
        <v>38.950000000000003</v>
      </c>
      <c r="N1661" s="90">
        <v>-91.94</v>
      </c>
      <c r="O1661" s="90">
        <v>251.9</v>
      </c>
      <c r="U1661" s="55" t="s">
        <v>1816</v>
      </c>
      <c r="V1661" s="55" t="s">
        <v>1816</v>
      </c>
      <c r="Y1661" s="55" t="s">
        <v>1964</v>
      </c>
      <c r="Z1661" s="55" t="s">
        <v>1344</v>
      </c>
      <c r="AA1661" s="90" t="s">
        <v>1344</v>
      </c>
      <c r="AH1661" s="55" t="s">
        <v>6378</v>
      </c>
      <c r="AM1661" s="55" t="s">
        <v>1325</v>
      </c>
      <c r="AN1661" s="185" t="s">
        <v>1506</v>
      </c>
      <c r="AO1661" s="185" t="s">
        <v>5150</v>
      </c>
      <c r="AQ1661" s="55" t="s">
        <v>1545</v>
      </c>
      <c r="AR1661" s="55" t="s">
        <v>158</v>
      </c>
      <c r="AS1661" s="55" t="s">
        <v>158</v>
      </c>
      <c r="AT1661" s="181" t="s">
        <v>119</v>
      </c>
      <c r="AU1661" s="181" t="s">
        <v>5150</v>
      </c>
      <c r="AV1661" s="185" t="s">
        <v>176</v>
      </c>
      <c r="AX1661" s="185" t="s">
        <v>176</v>
      </c>
      <c r="BE1661" s="226" t="s">
        <v>1113</v>
      </c>
      <c r="BF1661" s="191" t="s">
        <v>479</v>
      </c>
      <c r="BG1661" s="55" t="s">
        <v>479</v>
      </c>
      <c r="BH1661" s="226" t="s">
        <v>1113</v>
      </c>
      <c r="BI1661" s="55" t="s">
        <v>479</v>
      </c>
      <c r="BJ1661" s="55" t="s">
        <v>176</v>
      </c>
      <c r="BK1661" s="55" t="s">
        <v>5976</v>
      </c>
      <c r="BM1661" s="192" t="s">
        <v>160</v>
      </c>
      <c r="BN1661" s="55">
        <v>2</v>
      </c>
      <c r="BO1661" s="55">
        <v>2</v>
      </c>
      <c r="BQ1661" s="55" t="s">
        <v>141</v>
      </c>
      <c r="FJ1661" s="65">
        <f>1/1000*111</f>
        <v>0.111</v>
      </c>
      <c r="FK1661" s="65">
        <v>0</v>
      </c>
      <c r="FN1661" s="65" t="s">
        <v>6357</v>
      </c>
      <c r="FO1661" s="65">
        <v>57</v>
      </c>
      <c r="FP1661" s="65">
        <v>20</v>
      </c>
      <c r="FS1661" s="65" t="s">
        <v>1114</v>
      </c>
      <c r="GP1661" s="292" t="s">
        <v>7494</v>
      </c>
      <c r="JW1661" s="55" t="s">
        <v>1110</v>
      </c>
    </row>
    <row r="1662" spans="1:283" x14ac:dyDescent="0.25">
      <c r="A1662" s="55">
        <v>1661</v>
      </c>
      <c r="B1662" s="12" t="s">
        <v>7067</v>
      </c>
      <c r="C1662" s="155">
        <v>75</v>
      </c>
      <c r="D1662" s="55" t="s">
        <v>4004</v>
      </c>
      <c r="E1662" s="90" t="s">
        <v>1105</v>
      </c>
      <c r="G1662" s="55" t="s">
        <v>1106</v>
      </c>
      <c r="H1662" s="55">
        <v>1989</v>
      </c>
      <c r="I1662" s="55">
        <v>1987</v>
      </c>
      <c r="J1662" s="55" t="s">
        <v>397</v>
      </c>
      <c r="K1662" s="55" t="s">
        <v>1107</v>
      </c>
      <c r="L1662" s="55" t="s">
        <v>2737</v>
      </c>
      <c r="M1662" s="90">
        <v>38.950000000000003</v>
      </c>
      <c r="N1662" s="90">
        <v>-91.94</v>
      </c>
      <c r="O1662" s="90">
        <v>251.9</v>
      </c>
      <c r="U1662" s="55" t="s">
        <v>1816</v>
      </c>
      <c r="V1662" s="55" t="s">
        <v>1816</v>
      </c>
      <c r="Y1662" s="55" t="s">
        <v>1964</v>
      </c>
      <c r="Z1662" s="55" t="s">
        <v>1344</v>
      </c>
      <c r="AA1662" s="90" t="s">
        <v>1344</v>
      </c>
      <c r="AH1662" s="55" t="s">
        <v>6378</v>
      </c>
      <c r="AM1662" s="55" t="s">
        <v>1325</v>
      </c>
      <c r="AN1662" s="185" t="s">
        <v>1506</v>
      </c>
      <c r="AO1662" s="185" t="s">
        <v>5150</v>
      </c>
      <c r="AQ1662" s="55" t="s">
        <v>1545</v>
      </c>
      <c r="AR1662" s="55" t="s">
        <v>158</v>
      </c>
      <c r="AS1662" s="55" t="s">
        <v>158</v>
      </c>
      <c r="AT1662" s="181" t="s">
        <v>119</v>
      </c>
      <c r="AU1662" s="181" t="s">
        <v>5150</v>
      </c>
      <c r="AV1662" s="185" t="s">
        <v>176</v>
      </c>
      <c r="AX1662" s="185" t="s">
        <v>176</v>
      </c>
      <c r="BE1662" s="226" t="s">
        <v>1113</v>
      </c>
      <c r="BF1662" s="191" t="s">
        <v>479</v>
      </c>
      <c r="BG1662" s="55" t="s">
        <v>479</v>
      </c>
      <c r="BH1662" s="226" t="s">
        <v>1113</v>
      </c>
      <c r="BI1662" s="55" t="s">
        <v>479</v>
      </c>
      <c r="BJ1662" s="55" t="s">
        <v>176</v>
      </c>
      <c r="BK1662" s="55" t="s">
        <v>5976</v>
      </c>
      <c r="BM1662" s="192" t="s">
        <v>160</v>
      </c>
      <c r="BN1662" s="55">
        <v>2</v>
      </c>
      <c r="BO1662" s="55">
        <v>2</v>
      </c>
      <c r="BQ1662" s="55" t="s">
        <v>141</v>
      </c>
      <c r="FJ1662" s="65">
        <f>1/1000*1534</f>
        <v>1.534</v>
      </c>
      <c r="FK1662" s="65">
        <v>0</v>
      </c>
      <c r="FN1662" s="65" t="s">
        <v>6357</v>
      </c>
      <c r="FO1662" s="65">
        <v>74</v>
      </c>
      <c r="FP1662" s="65">
        <v>12</v>
      </c>
      <c r="FS1662" s="65" t="s">
        <v>1114</v>
      </c>
      <c r="GP1662" s="292" t="s">
        <v>7494</v>
      </c>
      <c r="JW1662" s="55" t="s">
        <v>1111</v>
      </c>
    </row>
    <row r="1663" spans="1:283" x14ac:dyDescent="0.25">
      <c r="A1663" s="55">
        <v>1662</v>
      </c>
      <c r="B1663" s="12" t="s">
        <v>7067</v>
      </c>
      <c r="C1663" s="155">
        <v>75</v>
      </c>
      <c r="D1663" s="55" t="s">
        <v>4005</v>
      </c>
      <c r="E1663" s="90" t="s">
        <v>1105</v>
      </c>
      <c r="G1663" s="55" t="s">
        <v>1106</v>
      </c>
      <c r="H1663" s="55">
        <v>1989</v>
      </c>
      <c r="I1663" s="55">
        <v>1987</v>
      </c>
      <c r="J1663" s="55" t="s">
        <v>397</v>
      </c>
      <c r="K1663" s="55" t="s">
        <v>1107</v>
      </c>
      <c r="L1663" s="55" t="s">
        <v>2737</v>
      </c>
      <c r="M1663" s="90">
        <v>38.950000000000003</v>
      </c>
      <c r="N1663" s="90">
        <v>-91.94</v>
      </c>
      <c r="O1663" s="90">
        <v>251.9</v>
      </c>
      <c r="U1663" s="55" t="s">
        <v>1816</v>
      </c>
      <c r="V1663" s="55" t="s">
        <v>1816</v>
      </c>
      <c r="Y1663" s="55" t="s">
        <v>1964</v>
      </c>
      <c r="Z1663" s="55" t="s">
        <v>1344</v>
      </c>
      <c r="AA1663" s="90" t="s">
        <v>1344</v>
      </c>
      <c r="AH1663" s="55" t="s">
        <v>6378</v>
      </c>
      <c r="AM1663" s="55" t="s">
        <v>1325</v>
      </c>
      <c r="AN1663" s="185" t="s">
        <v>1507</v>
      </c>
      <c r="AO1663" s="185" t="s">
        <v>5150</v>
      </c>
      <c r="AQ1663" s="55" t="s">
        <v>131</v>
      </c>
      <c r="AR1663" s="55" t="s">
        <v>158</v>
      </c>
      <c r="AS1663" s="55" t="s">
        <v>158</v>
      </c>
      <c r="AT1663" s="181" t="s">
        <v>119</v>
      </c>
      <c r="AU1663" s="181" t="s">
        <v>5150</v>
      </c>
      <c r="AV1663" s="185" t="s">
        <v>176</v>
      </c>
      <c r="AX1663" s="185" t="s">
        <v>176</v>
      </c>
      <c r="BE1663" s="226" t="s">
        <v>1113</v>
      </c>
      <c r="BF1663" s="191" t="s">
        <v>479</v>
      </c>
      <c r="BG1663" s="55" t="s">
        <v>479</v>
      </c>
      <c r="BH1663" s="226" t="s">
        <v>1113</v>
      </c>
      <c r="BI1663" s="55" t="s">
        <v>479</v>
      </c>
      <c r="BJ1663" s="55" t="s">
        <v>176</v>
      </c>
      <c r="BK1663" s="55" t="s">
        <v>5976</v>
      </c>
      <c r="BM1663" s="192" t="s">
        <v>160</v>
      </c>
      <c r="BN1663" s="55">
        <v>2</v>
      </c>
      <c r="BO1663" s="55">
        <v>2</v>
      </c>
      <c r="BQ1663" s="55" t="s">
        <v>141</v>
      </c>
      <c r="FJ1663" s="65">
        <f>1/1000*217</f>
        <v>0.217</v>
      </c>
      <c r="FK1663" s="65">
        <v>0</v>
      </c>
      <c r="FN1663" s="65" t="s">
        <v>6357</v>
      </c>
      <c r="FO1663" s="65">
        <v>2</v>
      </c>
      <c r="FP1663" s="65">
        <v>0</v>
      </c>
      <c r="FS1663" s="65" t="s">
        <v>1114</v>
      </c>
      <c r="GP1663" s="292" t="s">
        <v>7494</v>
      </c>
      <c r="JW1663" s="55" t="s">
        <v>1112</v>
      </c>
    </row>
    <row r="1664" spans="1:283" x14ac:dyDescent="0.25">
      <c r="A1664" s="55">
        <v>1663</v>
      </c>
      <c r="B1664" s="12" t="s">
        <v>7067</v>
      </c>
      <c r="C1664" s="155">
        <v>75</v>
      </c>
      <c r="D1664" s="55" t="s">
        <v>4005</v>
      </c>
      <c r="E1664" s="90" t="s">
        <v>1105</v>
      </c>
      <c r="G1664" s="55" t="s">
        <v>1106</v>
      </c>
      <c r="H1664" s="55">
        <v>1989</v>
      </c>
      <c r="I1664" s="55">
        <v>1987</v>
      </c>
      <c r="J1664" s="55" t="s">
        <v>397</v>
      </c>
      <c r="K1664" s="55" t="s">
        <v>1107</v>
      </c>
      <c r="L1664" s="55" t="s">
        <v>2737</v>
      </c>
      <c r="M1664" s="90">
        <v>38.950000000000003</v>
      </c>
      <c r="N1664" s="90">
        <v>-91.94</v>
      </c>
      <c r="O1664" s="90">
        <v>251.9</v>
      </c>
      <c r="U1664" s="55" t="s">
        <v>1816</v>
      </c>
      <c r="V1664" s="55" t="s">
        <v>1816</v>
      </c>
      <c r="Y1664" s="55" t="s">
        <v>1964</v>
      </c>
      <c r="Z1664" s="55" t="s">
        <v>1344</v>
      </c>
      <c r="AA1664" s="90" t="s">
        <v>1344</v>
      </c>
      <c r="AH1664" s="55" t="s">
        <v>6378</v>
      </c>
      <c r="AM1664" s="55" t="s">
        <v>1325</v>
      </c>
      <c r="AN1664" s="185" t="s">
        <v>1507</v>
      </c>
      <c r="AO1664" s="185" t="s">
        <v>5150</v>
      </c>
      <c r="AQ1664" s="55" t="s">
        <v>131</v>
      </c>
      <c r="AR1664" s="55" t="s">
        <v>158</v>
      </c>
      <c r="AS1664" s="55" t="s">
        <v>158</v>
      </c>
      <c r="AT1664" s="181" t="s">
        <v>119</v>
      </c>
      <c r="AU1664" s="181" t="s">
        <v>5150</v>
      </c>
      <c r="AV1664" s="185" t="s">
        <v>176</v>
      </c>
      <c r="AX1664" s="185" t="s">
        <v>176</v>
      </c>
      <c r="BE1664" s="226" t="s">
        <v>1113</v>
      </c>
      <c r="BF1664" s="191" t="s">
        <v>479</v>
      </c>
      <c r="BG1664" s="55" t="s">
        <v>479</v>
      </c>
      <c r="BH1664" s="226" t="s">
        <v>1113</v>
      </c>
      <c r="BI1664" s="55" t="s">
        <v>479</v>
      </c>
      <c r="BJ1664" s="55" t="s">
        <v>176</v>
      </c>
      <c r="BK1664" s="55" t="s">
        <v>5976</v>
      </c>
      <c r="BM1664" s="192" t="s">
        <v>160</v>
      </c>
      <c r="BN1664" s="55">
        <v>2</v>
      </c>
      <c r="BO1664" s="55">
        <v>2</v>
      </c>
      <c r="BQ1664" s="55" t="s">
        <v>141</v>
      </c>
      <c r="FJ1664" s="65">
        <f>1/1000*1317</f>
        <v>1.3169999999999999</v>
      </c>
      <c r="FK1664" s="65">
        <v>0</v>
      </c>
      <c r="FN1664" s="65" t="s">
        <v>6357</v>
      </c>
      <c r="FO1664" s="65">
        <v>33</v>
      </c>
      <c r="FP1664" s="65">
        <v>0</v>
      </c>
      <c r="FS1664" s="65" t="s">
        <v>1114</v>
      </c>
      <c r="GP1664" s="292" t="s">
        <v>7494</v>
      </c>
      <c r="JW1664" s="55" t="s">
        <v>1108</v>
      </c>
    </row>
    <row r="1665" spans="1:283" x14ac:dyDescent="0.25">
      <c r="A1665" s="55">
        <v>1664</v>
      </c>
      <c r="B1665" s="12" t="s">
        <v>7067</v>
      </c>
      <c r="C1665" s="155">
        <v>75</v>
      </c>
      <c r="D1665" s="55" t="s">
        <v>4005</v>
      </c>
      <c r="E1665" s="90" t="s">
        <v>1105</v>
      </c>
      <c r="G1665" s="55" t="s">
        <v>1106</v>
      </c>
      <c r="H1665" s="55">
        <v>1989</v>
      </c>
      <c r="I1665" s="55">
        <v>1987</v>
      </c>
      <c r="J1665" s="55" t="s">
        <v>397</v>
      </c>
      <c r="K1665" s="55" t="s">
        <v>1107</v>
      </c>
      <c r="L1665" s="55" t="s">
        <v>2737</v>
      </c>
      <c r="M1665" s="90">
        <v>38.950000000000003</v>
      </c>
      <c r="N1665" s="90">
        <v>-91.94</v>
      </c>
      <c r="O1665" s="90">
        <v>251.9</v>
      </c>
      <c r="U1665" s="55" t="s">
        <v>1816</v>
      </c>
      <c r="V1665" s="55" t="s">
        <v>1816</v>
      </c>
      <c r="Y1665" s="55" t="s">
        <v>1964</v>
      </c>
      <c r="Z1665" s="55" t="s">
        <v>1344</v>
      </c>
      <c r="AA1665" s="90" t="s">
        <v>1344</v>
      </c>
      <c r="AH1665" s="55" t="s">
        <v>6378</v>
      </c>
      <c r="AM1665" s="55" t="s">
        <v>1325</v>
      </c>
      <c r="AN1665" s="185" t="s">
        <v>1507</v>
      </c>
      <c r="AO1665" s="185" t="s">
        <v>5150</v>
      </c>
      <c r="AQ1665" s="55" t="s">
        <v>131</v>
      </c>
      <c r="AR1665" s="55" t="s">
        <v>158</v>
      </c>
      <c r="AS1665" s="55" t="s">
        <v>158</v>
      </c>
      <c r="AT1665" s="181" t="s">
        <v>119</v>
      </c>
      <c r="AU1665" s="181" t="s">
        <v>5150</v>
      </c>
      <c r="AV1665" s="185" t="s">
        <v>176</v>
      </c>
      <c r="AX1665" s="185" t="s">
        <v>176</v>
      </c>
      <c r="BE1665" s="226" t="s">
        <v>1113</v>
      </c>
      <c r="BF1665" s="191" t="s">
        <v>479</v>
      </c>
      <c r="BG1665" s="55" t="s">
        <v>479</v>
      </c>
      <c r="BH1665" s="226" t="s">
        <v>1113</v>
      </c>
      <c r="BI1665" s="55" t="s">
        <v>479</v>
      </c>
      <c r="BJ1665" s="55" t="s">
        <v>176</v>
      </c>
      <c r="BK1665" s="55" t="s">
        <v>5976</v>
      </c>
      <c r="BM1665" s="192" t="s">
        <v>160</v>
      </c>
      <c r="BN1665" s="55">
        <v>2</v>
      </c>
      <c r="BO1665" s="55">
        <v>2</v>
      </c>
      <c r="BQ1665" s="55" t="s">
        <v>141</v>
      </c>
      <c r="FJ1665" s="65">
        <v>0</v>
      </c>
      <c r="FK1665" s="65">
        <v>0</v>
      </c>
      <c r="FN1665" s="65" t="s">
        <v>6357</v>
      </c>
      <c r="FO1665" s="65">
        <v>1E-3</v>
      </c>
      <c r="FP1665" s="65">
        <v>0</v>
      </c>
      <c r="FS1665" s="65" t="s">
        <v>1114</v>
      </c>
      <c r="GP1665" s="292" t="s">
        <v>7494</v>
      </c>
      <c r="JW1665" s="55" t="s">
        <v>1109</v>
      </c>
    </row>
    <row r="1666" spans="1:283" x14ac:dyDescent="0.25">
      <c r="A1666" s="55">
        <v>1665</v>
      </c>
      <c r="B1666" s="12" t="s">
        <v>7067</v>
      </c>
      <c r="C1666" s="155">
        <v>75</v>
      </c>
      <c r="D1666" s="55" t="s">
        <v>4005</v>
      </c>
      <c r="E1666" s="90" t="s">
        <v>1105</v>
      </c>
      <c r="G1666" s="55" t="s">
        <v>1106</v>
      </c>
      <c r="H1666" s="55">
        <v>1989</v>
      </c>
      <c r="I1666" s="55">
        <v>1987</v>
      </c>
      <c r="J1666" s="55" t="s">
        <v>397</v>
      </c>
      <c r="K1666" s="55" t="s">
        <v>1107</v>
      </c>
      <c r="L1666" s="55" t="s">
        <v>2737</v>
      </c>
      <c r="M1666" s="90">
        <v>38.950000000000003</v>
      </c>
      <c r="N1666" s="90">
        <v>-91.94</v>
      </c>
      <c r="O1666" s="90">
        <v>251.9</v>
      </c>
      <c r="U1666" s="55" t="s">
        <v>1816</v>
      </c>
      <c r="V1666" s="55" t="s">
        <v>1816</v>
      </c>
      <c r="Y1666" s="55" t="s">
        <v>1964</v>
      </c>
      <c r="Z1666" s="55" t="s">
        <v>1344</v>
      </c>
      <c r="AA1666" s="90" t="s">
        <v>1344</v>
      </c>
      <c r="AH1666" s="55" t="s">
        <v>6378</v>
      </c>
      <c r="AM1666" s="55" t="s">
        <v>1325</v>
      </c>
      <c r="AN1666" s="185" t="s">
        <v>1507</v>
      </c>
      <c r="AO1666" s="185" t="s">
        <v>5150</v>
      </c>
      <c r="AQ1666" s="55" t="s">
        <v>131</v>
      </c>
      <c r="AR1666" s="55" t="s">
        <v>158</v>
      </c>
      <c r="AS1666" s="55" t="s">
        <v>158</v>
      </c>
      <c r="AT1666" s="181" t="s">
        <v>119</v>
      </c>
      <c r="AU1666" s="181" t="s">
        <v>5150</v>
      </c>
      <c r="AV1666" s="185" t="s">
        <v>176</v>
      </c>
      <c r="AX1666" s="185" t="s">
        <v>176</v>
      </c>
      <c r="BE1666" s="226" t="s">
        <v>1113</v>
      </c>
      <c r="BF1666" s="191" t="s">
        <v>479</v>
      </c>
      <c r="BG1666" s="55" t="s">
        <v>479</v>
      </c>
      <c r="BH1666" s="226" t="s">
        <v>1113</v>
      </c>
      <c r="BI1666" s="55" t="s">
        <v>479</v>
      </c>
      <c r="BJ1666" s="55" t="s">
        <v>176</v>
      </c>
      <c r="BK1666" s="55" t="s">
        <v>5976</v>
      </c>
      <c r="BM1666" s="192" t="s">
        <v>160</v>
      </c>
      <c r="BN1666" s="55">
        <v>2</v>
      </c>
      <c r="BO1666" s="55">
        <v>2</v>
      </c>
      <c r="BQ1666" s="55" t="s">
        <v>141</v>
      </c>
      <c r="FJ1666" s="65">
        <f>1/1000*111</f>
        <v>0.111</v>
      </c>
      <c r="FK1666" s="65">
        <v>0</v>
      </c>
      <c r="FN1666" s="65" t="s">
        <v>6357</v>
      </c>
      <c r="FO1666" s="65">
        <v>57</v>
      </c>
      <c r="FP1666" s="65">
        <v>36</v>
      </c>
      <c r="FS1666" s="65" t="s">
        <v>1114</v>
      </c>
      <c r="GP1666" s="292" t="s">
        <v>7494</v>
      </c>
      <c r="JW1666" s="55" t="s">
        <v>1110</v>
      </c>
    </row>
    <row r="1667" spans="1:283" x14ac:dyDescent="0.25">
      <c r="A1667" s="55">
        <v>1666</v>
      </c>
      <c r="B1667" s="12" t="s">
        <v>7067</v>
      </c>
      <c r="C1667" s="155">
        <v>75</v>
      </c>
      <c r="D1667" s="55" t="s">
        <v>4005</v>
      </c>
      <c r="E1667" s="90" t="s">
        <v>1105</v>
      </c>
      <c r="G1667" s="55" t="s">
        <v>1106</v>
      </c>
      <c r="H1667" s="55">
        <v>1989</v>
      </c>
      <c r="I1667" s="55">
        <v>1987</v>
      </c>
      <c r="J1667" s="55" t="s">
        <v>397</v>
      </c>
      <c r="K1667" s="55" t="s">
        <v>1107</v>
      </c>
      <c r="L1667" s="55" t="s">
        <v>2737</v>
      </c>
      <c r="M1667" s="90">
        <v>38.950000000000003</v>
      </c>
      <c r="N1667" s="90">
        <v>-91.94</v>
      </c>
      <c r="O1667" s="90">
        <v>251.9</v>
      </c>
      <c r="U1667" s="55" t="s">
        <v>1816</v>
      </c>
      <c r="V1667" s="55" t="s">
        <v>1816</v>
      </c>
      <c r="Y1667" s="55" t="s">
        <v>1964</v>
      </c>
      <c r="Z1667" s="55" t="s">
        <v>1344</v>
      </c>
      <c r="AA1667" s="90" t="s">
        <v>1344</v>
      </c>
      <c r="AH1667" s="55" t="s">
        <v>6378</v>
      </c>
      <c r="AM1667" s="55" t="s">
        <v>1325</v>
      </c>
      <c r="AN1667" s="185" t="s">
        <v>1507</v>
      </c>
      <c r="AO1667" s="185" t="s">
        <v>5150</v>
      </c>
      <c r="AQ1667" s="55" t="s">
        <v>131</v>
      </c>
      <c r="AR1667" s="55" t="s">
        <v>158</v>
      </c>
      <c r="AS1667" s="55" t="s">
        <v>158</v>
      </c>
      <c r="AT1667" s="181" t="s">
        <v>119</v>
      </c>
      <c r="AU1667" s="181" t="s">
        <v>5150</v>
      </c>
      <c r="AV1667" s="185" t="s">
        <v>176</v>
      </c>
      <c r="AX1667" s="185" t="s">
        <v>176</v>
      </c>
      <c r="BE1667" s="226" t="s">
        <v>1113</v>
      </c>
      <c r="BF1667" s="191" t="s">
        <v>479</v>
      </c>
      <c r="BG1667" s="55" t="s">
        <v>479</v>
      </c>
      <c r="BH1667" s="226" t="s">
        <v>1113</v>
      </c>
      <c r="BI1667" s="55" t="s">
        <v>479</v>
      </c>
      <c r="BJ1667" s="55" t="s">
        <v>176</v>
      </c>
      <c r="BK1667" s="55" t="s">
        <v>5976</v>
      </c>
      <c r="BM1667" s="192" t="s">
        <v>160</v>
      </c>
      <c r="BN1667" s="55">
        <v>2</v>
      </c>
      <c r="BO1667" s="55">
        <v>2</v>
      </c>
      <c r="BQ1667" s="55" t="s">
        <v>141</v>
      </c>
      <c r="FJ1667" s="65">
        <f>1/1000*1534</f>
        <v>1.534</v>
      </c>
      <c r="FK1667" s="65">
        <v>0</v>
      </c>
      <c r="FN1667" s="65" t="s">
        <v>6357</v>
      </c>
      <c r="FO1667" s="65">
        <v>74</v>
      </c>
      <c r="FP1667" s="65">
        <v>23</v>
      </c>
      <c r="FS1667" s="65" t="s">
        <v>1114</v>
      </c>
      <c r="GP1667" s="292" t="s">
        <v>7494</v>
      </c>
      <c r="JW1667" s="55" t="s">
        <v>1111</v>
      </c>
    </row>
    <row r="1668" spans="1:283" x14ac:dyDescent="0.25">
      <c r="A1668" s="55">
        <v>1667</v>
      </c>
      <c r="B1668" s="12" t="s">
        <v>7067</v>
      </c>
      <c r="C1668" s="155">
        <v>76</v>
      </c>
      <c r="D1668" s="55" t="s">
        <v>4006</v>
      </c>
      <c r="E1668" s="90" t="s">
        <v>1387</v>
      </c>
      <c r="G1668" s="55" t="s">
        <v>1388</v>
      </c>
      <c r="H1668" s="55">
        <v>1992</v>
      </c>
      <c r="I1668" s="55">
        <v>1988</v>
      </c>
      <c r="J1668" s="55" t="s">
        <v>1389</v>
      </c>
      <c r="K1668" s="55" t="s">
        <v>1390</v>
      </c>
      <c r="L1668" s="55" t="s">
        <v>2738</v>
      </c>
      <c r="M1668" s="90">
        <v>47.43</v>
      </c>
      <c r="N1668" s="90">
        <v>-69.92</v>
      </c>
      <c r="O1668" s="90">
        <v>160</v>
      </c>
      <c r="U1668" s="55" t="s">
        <v>1805</v>
      </c>
      <c r="V1668" s="55" t="s">
        <v>1816</v>
      </c>
      <c r="Y1668" s="55" t="s">
        <v>1965</v>
      </c>
      <c r="Z1668" s="55" t="s">
        <v>1347</v>
      </c>
      <c r="AA1668" s="90" t="s">
        <v>1676</v>
      </c>
      <c r="AE1668" s="90">
        <v>10</v>
      </c>
      <c r="AF1668" s="90">
        <v>30</v>
      </c>
      <c r="AH1668" s="55" t="s">
        <v>769</v>
      </c>
      <c r="AM1668" s="55" t="s">
        <v>1391</v>
      </c>
      <c r="AN1668" s="185" t="s">
        <v>1479</v>
      </c>
      <c r="AO1668" s="185" t="s">
        <v>5150</v>
      </c>
      <c r="AQ1668" s="55" t="s">
        <v>553</v>
      </c>
      <c r="AR1668" s="55" t="s">
        <v>1023</v>
      </c>
      <c r="AS1668" s="55" t="s">
        <v>5133</v>
      </c>
      <c r="AT1668" s="181" t="s">
        <v>1065</v>
      </c>
      <c r="AU1668" s="181" t="s">
        <v>5150</v>
      </c>
      <c r="AV1668" s="185" t="s">
        <v>176</v>
      </c>
      <c r="AW1668" s="55" t="s">
        <v>1392</v>
      </c>
      <c r="AX1668" s="185" t="s">
        <v>176</v>
      </c>
      <c r="AY1668" s="55" t="s">
        <v>479</v>
      </c>
      <c r="BK1668" s="55" t="s">
        <v>5976</v>
      </c>
      <c r="BM1668" s="192" t="s">
        <v>160</v>
      </c>
      <c r="BN1668" s="55">
        <v>4</v>
      </c>
      <c r="BO1668" s="55">
        <v>4</v>
      </c>
      <c r="BQ1668" s="55" t="s">
        <v>315</v>
      </c>
      <c r="GP1668" s="292" t="s">
        <v>7494</v>
      </c>
      <c r="HN1668" s="65">
        <v>199</v>
      </c>
      <c r="HO1668" s="65">
        <v>230</v>
      </c>
      <c r="HR1668" s="65" t="s">
        <v>1663</v>
      </c>
      <c r="HX1668" s="65">
        <f>0.57*10000</f>
        <v>5699.9999999999991</v>
      </c>
      <c r="HY1668" s="65">
        <f>0.61*10000</f>
        <v>6100</v>
      </c>
      <c r="IB1668" s="65" t="s">
        <v>1393</v>
      </c>
      <c r="JG1668" s="65">
        <f>1.3*10000</f>
        <v>13000</v>
      </c>
      <c r="JH1668" s="65">
        <f>1.6*10000</f>
        <v>16000</v>
      </c>
      <c r="JU1668" s="55" t="s">
        <v>1394</v>
      </c>
    </row>
    <row r="1669" spans="1:283" x14ac:dyDescent="0.25">
      <c r="A1669" s="55">
        <v>1668</v>
      </c>
      <c r="B1669" s="12" t="s">
        <v>7067</v>
      </c>
      <c r="C1669" s="155">
        <v>76</v>
      </c>
      <c r="D1669" s="55" t="s">
        <v>4007</v>
      </c>
      <c r="E1669" s="90" t="s">
        <v>1387</v>
      </c>
      <c r="G1669" s="55" t="s">
        <v>1388</v>
      </c>
      <c r="H1669" s="55">
        <v>1992</v>
      </c>
      <c r="I1669" s="55">
        <v>1988</v>
      </c>
      <c r="J1669" s="55" t="s">
        <v>1389</v>
      </c>
      <c r="K1669" s="55" t="s">
        <v>1390</v>
      </c>
      <c r="L1669" s="55" t="s">
        <v>2738</v>
      </c>
      <c r="M1669" s="90">
        <v>47.43</v>
      </c>
      <c r="N1669" s="90">
        <v>-69.92</v>
      </c>
      <c r="O1669" s="90">
        <v>160</v>
      </c>
      <c r="U1669" s="55" t="s">
        <v>1805</v>
      </c>
      <c r="V1669" s="55" t="s">
        <v>1816</v>
      </c>
      <c r="Y1669" s="55" t="s">
        <v>1965</v>
      </c>
      <c r="Z1669" s="55" t="s">
        <v>1348</v>
      </c>
      <c r="AA1669" s="90" t="s">
        <v>1676</v>
      </c>
      <c r="AE1669" s="90">
        <v>10</v>
      </c>
      <c r="AF1669" s="90">
        <v>30</v>
      </c>
      <c r="AH1669" s="55" t="s">
        <v>769</v>
      </c>
      <c r="AM1669" s="55" t="s">
        <v>1391</v>
      </c>
      <c r="AN1669" s="185" t="s">
        <v>1479</v>
      </c>
      <c r="AO1669" s="185" t="s">
        <v>5150</v>
      </c>
      <c r="AQ1669" s="55" t="s">
        <v>553</v>
      </c>
      <c r="AR1669" s="55" t="s">
        <v>1023</v>
      </c>
      <c r="AS1669" s="55" t="s">
        <v>5133</v>
      </c>
      <c r="AT1669" s="181" t="s">
        <v>1065</v>
      </c>
      <c r="AU1669" s="181" t="s">
        <v>5150</v>
      </c>
      <c r="AV1669" s="185" t="s">
        <v>176</v>
      </c>
      <c r="AW1669" s="55" t="s">
        <v>1392</v>
      </c>
      <c r="AX1669" s="185" t="s">
        <v>176</v>
      </c>
      <c r="AY1669" s="55" t="s">
        <v>479</v>
      </c>
      <c r="BK1669" s="55" t="s">
        <v>5976</v>
      </c>
      <c r="BM1669" s="192" t="s">
        <v>160</v>
      </c>
      <c r="BN1669" s="55">
        <v>4</v>
      </c>
      <c r="BO1669" s="55">
        <v>4</v>
      </c>
      <c r="BQ1669" s="55" t="s">
        <v>315</v>
      </c>
      <c r="GP1669" s="292" t="s">
        <v>7494</v>
      </c>
      <c r="HN1669" s="65">
        <v>214</v>
      </c>
      <c r="HO1669" s="65">
        <v>230</v>
      </c>
      <c r="HR1669" s="65" t="s">
        <v>1663</v>
      </c>
      <c r="HX1669" s="65">
        <f>0.58*10000</f>
        <v>5800</v>
      </c>
      <c r="HY1669" s="65">
        <f>0.62*10000</f>
        <v>6200</v>
      </c>
      <c r="IB1669" s="65" t="s">
        <v>1393</v>
      </c>
      <c r="JG1669" s="65">
        <f>1.4*10000</f>
        <v>14000</v>
      </c>
      <c r="JH1669" s="65">
        <f>1.6*10000</f>
        <v>16000</v>
      </c>
      <c r="JU1669" s="55" t="s">
        <v>1394</v>
      </c>
    </row>
    <row r="1670" spans="1:283" x14ac:dyDescent="0.25">
      <c r="A1670" s="55">
        <v>1669</v>
      </c>
      <c r="B1670" s="12" t="s">
        <v>7067</v>
      </c>
      <c r="C1670" s="155">
        <v>77</v>
      </c>
      <c r="D1670" s="55" t="s">
        <v>4008</v>
      </c>
      <c r="E1670" s="90" t="s">
        <v>1395</v>
      </c>
      <c r="G1670" s="55" t="s">
        <v>1396</v>
      </c>
      <c r="H1670" s="55">
        <v>1993</v>
      </c>
      <c r="I1670" s="55">
        <v>1990</v>
      </c>
      <c r="J1670" s="55" t="s">
        <v>1397</v>
      </c>
      <c r="K1670" s="55" t="s">
        <v>1398</v>
      </c>
      <c r="L1670" s="55" t="s">
        <v>2737</v>
      </c>
      <c r="M1670" s="90">
        <f>33+54/60</f>
        <v>33.9</v>
      </c>
      <c r="N1670" s="90">
        <f>-83-24/60</f>
        <v>-83.4</v>
      </c>
      <c r="O1670" s="90">
        <v>185.5</v>
      </c>
      <c r="U1670" s="55" t="s">
        <v>1816</v>
      </c>
      <c r="V1670" s="55" t="s">
        <v>1816</v>
      </c>
      <c r="Y1670" s="55" t="s">
        <v>1965</v>
      </c>
      <c r="Z1670" s="55" t="s">
        <v>1361</v>
      </c>
      <c r="AA1670" s="90" t="s">
        <v>1682</v>
      </c>
      <c r="AE1670" s="90">
        <f>100-(130+165+71+210+57+110+190)/7*0.1-AF1670</f>
        <v>69.01428571428572</v>
      </c>
      <c r="AF1670" s="90">
        <f>(260+120+127+149+150+210+220)/7*0.1</f>
        <v>17.657142857142858</v>
      </c>
      <c r="AH1670" s="55" t="s">
        <v>238</v>
      </c>
      <c r="AJ1670" s="90">
        <f>(24.4+17.8+13+8.3+6.7+12.1+14)/7*0.1</f>
        <v>1.3757142857142857</v>
      </c>
      <c r="AM1670" s="55" t="s">
        <v>1399</v>
      </c>
      <c r="AN1670" s="185" t="s">
        <v>376</v>
      </c>
      <c r="AO1670" s="185" t="s">
        <v>5150</v>
      </c>
      <c r="AQ1670" s="55" t="s">
        <v>553</v>
      </c>
      <c r="AR1670" s="55" t="s">
        <v>218</v>
      </c>
      <c r="AS1670" s="55" t="s">
        <v>218</v>
      </c>
      <c r="AT1670" s="181" t="s">
        <v>1065</v>
      </c>
      <c r="AU1670" s="181" t="s">
        <v>5150</v>
      </c>
      <c r="AV1670" s="185" t="s">
        <v>176</v>
      </c>
      <c r="AW1670" s="55" t="s">
        <v>1065</v>
      </c>
      <c r="AX1670" s="185" t="s">
        <v>176</v>
      </c>
      <c r="AY1670" s="55" t="s">
        <v>1400</v>
      </c>
      <c r="AZ1670" s="55" t="s">
        <v>464</v>
      </c>
      <c r="BA1670" s="55" t="s">
        <v>156</v>
      </c>
      <c r="BD1670" s="55" t="s">
        <v>479</v>
      </c>
      <c r="BK1670" s="55" t="s">
        <v>6269</v>
      </c>
      <c r="BM1670" s="192" t="s">
        <v>119</v>
      </c>
      <c r="BN1670" s="55">
        <v>3</v>
      </c>
      <c r="BO1670" s="55">
        <v>3</v>
      </c>
      <c r="CM1670" s="65">
        <f>(9.4+10.2)/2*0.1</f>
        <v>0.98000000000000009</v>
      </c>
      <c r="CN1670" s="65">
        <f>13.2/10</f>
        <v>1.3199999999999998</v>
      </c>
      <c r="CQ1670" s="65" t="s">
        <v>163</v>
      </c>
      <c r="CV1670" s="65" t="s">
        <v>3039</v>
      </c>
      <c r="DA1670" s="65" t="s">
        <v>4454</v>
      </c>
      <c r="EK1670" s="90">
        <f>(47+49)/2*10</f>
        <v>480</v>
      </c>
      <c r="EL1670" s="90">
        <f>64*10</f>
        <v>640</v>
      </c>
      <c r="EO1670" s="65" t="s">
        <v>1640</v>
      </c>
      <c r="EZ1670" s="65">
        <f>(23.8+22.3)/2</f>
        <v>23.05</v>
      </c>
      <c r="FA1670" s="65">
        <v>46.3</v>
      </c>
      <c r="GP1670" s="292" t="s">
        <v>7494</v>
      </c>
    </row>
    <row r="1671" spans="1:283" x14ac:dyDescent="0.25">
      <c r="A1671" s="55">
        <v>1670</v>
      </c>
      <c r="B1671" s="12" t="s">
        <v>7067</v>
      </c>
      <c r="C1671" s="155">
        <v>78</v>
      </c>
      <c r="D1671" s="55" t="s">
        <v>4009</v>
      </c>
      <c r="E1671" s="90" t="s">
        <v>1401</v>
      </c>
      <c r="G1671" s="55" t="s">
        <v>1402</v>
      </c>
      <c r="H1671" s="55">
        <v>2007</v>
      </c>
      <c r="I1671" s="55">
        <v>2005</v>
      </c>
      <c r="J1671" s="55" t="s">
        <v>397</v>
      </c>
      <c r="K1671" s="55" t="s">
        <v>502</v>
      </c>
      <c r="L1671" s="55" t="s">
        <v>2737</v>
      </c>
      <c r="M1671" s="90">
        <f>40+15/60</f>
        <v>40.25</v>
      </c>
      <c r="N1671" s="90">
        <v>-101.25</v>
      </c>
      <c r="O1671" s="90">
        <v>972</v>
      </c>
      <c r="U1671" s="55" t="s">
        <v>1887</v>
      </c>
      <c r="V1671" s="55" t="s">
        <v>1887</v>
      </c>
      <c r="Y1671" s="55" t="s">
        <v>1966</v>
      </c>
      <c r="Z1671" s="55" t="s">
        <v>1355</v>
      </c>
      <c r="AA1671" s="90" t="s">
        <v>1679</v>
      </c>
      <c r="AE1671" s="90">
        <v>20</v>
      </c>
      <c r="AF1671" s="90">
        <f>100-20-(22+28+32)/3</f>
        <v>52.666666666666671</v>
      </c>
      <c r="AH1671" s="55" t="s">
        <v>6378</v>
      </c>
      <c r="AM1671" s="55" t="s">
        <v>1405</v>
      </c>
      <c r="AN1671" s="185" t="s">
        <v>503</v>
      </c>
      <c r="AO1671" s="185" t="s">
        <v>5150</v>
      </c>
      <c r="AQ1671" s="55" t="s">
        <v>1545</v>
      </c>
      <c r="AR1671" s="55" t="s">
        <v>1491</v>
      </c>
      <c r="AS1671" s="55" t="s">
        <v>1587</v>
      </c>
      <c r="AT1671" s="181" t="s">
        <v>1592</v>
      </c>
      <c r="AU1671" s="181" t="s">
        <v>5150</v>
      </c>
      <c r="AV1671" s="185" t="s">
        <v>176</v>
      </c>
      <c r="AW1671" s="55" t="s">
        <v>1592</v>
      </c>
      <c r="AX1671" s="185" t="s">
        <v>176</v>
      </c>
      <c r="AY1671" s="55" t="s">
        <v>176</v>
      </c>
      <c r="BK1671" s="55" t="s">
        <v>5976</v>
      </c>
      <c r="BM1671" s="192" t="s">
        <v>119</v>
      </c>
      <c r="BN1671" s="55">
        <v>3</v>
      </c>
      <c r="BO1671" s="55">
        <v>3</v>
      </c>
      <c r="BQ1671" s="55" t="s">
        <v>141</v>
      </c>
      <c r="CH1671" s="90">
        <v>1.36</v>
      </c>
      <c r="CI1671" s="90">
        <v>1.4</v>
      </c>
      <c r="CM1671" s="65">
        <v>0.82</v>
      </c>
      <c r="CN1671" s="65">
        <v>1.21</v>
      </c>
      <c r="CQ1671" s="65" t="s">
        <v>163</v>
      </c>
      <c r="CV1671" s="65" t="s">
        <v>3039</v>
      </c>
      <c r="DA1671" s="65" t="s">
        <v>4454</v>
      </c>
      <c r="EK1671" s="90">
        <v>25.8</v>
      </c>
      <c r="EL1671" s="90">
        <v>32.4</v>
      </c>
      <c r="EO1671" s="65" t="s">
        <v>1406</v>
      </c>
      <c r="EP1671" s="65">
        <v>23.3</v>
      </c>
      <c r="EQ1671" s="65">
        <v>22.7</v>
      </c>
      <c r="FE1671" s="65">
        <v>2.33</v>
      </c>
      <c r="FF1671" s="65">
        <v>3.58</v>
      </c>
      <c r="GP1671" s="292" t="s">
        <v>7494</v>
      </c>
    </row>
    <row r="1672" spans="1:283" x14ac:dyDescent="0.25">
      <c r="A1672" s="55">
        <v>1671</v>
      </c>
      <c r="B1672" s="12" t="s">
        <v>7067</v>
      </c>
      <c r="C1672" s="155">
        <v>78</v>
      </c>
      <c r="D1672" s="55" t="s">
        <v>4009</v>
      </c>
      <c r="E1672" s="90" t="s">
        <v>1401</v>
      </c>
      <c r="G1672" s="55" t="s">
        <v>1402</v>
      </c>
      <c r="H1672" s="55">
        <v>2007</v>
      </c>
      <c r="I1672" s="55">
        <v>2005</v>
      </c>
      <c r="J1672" s="55" t="s">
        <v>397</v>
      </c>
      <c r="K1672" s="55" t="s">
        <v>502</v>
      </c>
      <c r="L1672" s="55" t="s">
        <v>2737</v>
      </c>
      <c r="M1672" s="90">
        <f>40+15/60</f>
        <v>40.25</v>
      </c>
      <c r="N1672" s="90">
        <v>-101.25</v>
      </c>
      <c r="O1672" s="90">
        <v>972</v>
      </c>
      <c r="U1672" s="55" t="s">
        <v>1887</v>
      </c>
      <c r="V1672" s="55" t="s">
        <v>1887</v>
      </c>
      <c r="Y1672" s="55" t="s">
        <v>1966</v>
      </c>
      <c r="Z1672" s="55" t="s">
        <v>1359</v>
      </c>
      <c r="AA1672" s="90" t="s">
        <v>1679</v>
      </c>
      <c r="AE1672" s="90">
        <v>20</v>
      </c>
      <c r="AF1672" s="90">
        <f>100-20-(22+28+32)/3</f>
        <v>52.666666666666671</v>
      </c>
      <c r="AH1672" s="55" t="s">
        <v>6378</v>
      </c>
      <c r="AM1672" s="55" t="s">
        <v>1405</v>
      </c>
      <c r="AN1672" s="185" t="s">
        <v>503</v>
      </c>
      <c r="AO1672" s="185" t="s">
        <v>5150</v>
      </c>
      <c r="AQ1672" s="55" t="s">
        <v>1545</v>
      </c>
      <c r="AR1672" s="55" t="s">
        <v>1491</v>
      </c>
      <c r="AS1672" s="55" t="s">
        <v>1587</v>
      </c>
      <c r="AT1672" s="181" t="s">
        <v>1592</v>
      </c>
      <c r="AU1672" s="181" t="s">
        <v>5150</v>
      </c>
      <c r="AV1672" s="185" t="s">
        <v>176</v>
      </c>
      <c r="AW1672" s="55" t="s">
        <v>1592</v>
      </c>
      <c r="AX1672" s="185" t="s">
        <v>176</v>
      </c>
      <c r="AY1672" s="55" t="s">
        <v>176</v>
      </c>
      <c r="BK1672" s="55" t="s">
        <v>5976</v>
      </c>
      <c r="BM1672" s="192" t="s">
        <v>119</v>
      </c>
      <c r="BN1672" s="55">
        <v>3</v>
      </c>
      <c r="BO1672" s="55">
        <v>3</v>
      </c>
      <c r="BQ1672" s="55" t="s">
        <v>141</v>
      </c>
      <c r="CH1672" s="90">
        <v>1.36</v>
      </c>
      <c r="CI1672" s="90">
        <v>1.34</v>
      </c>
      <c r="CM1672" s="65">
        <v>0.57999999999999996</v>
      </c>
      <c r="CN1672" s="65">
        <v>0.59</v>
      </c>
      <c r="CQ1672" s="65" t="s">
        <v>163</v>
      </c>
      <c r="CV1672" s="65" t="s">
        <v>3039</v>
      </c>
      <c r="DA1672" s="65" t="s">
        <v>4454</v>
      </c>
      <c r="EK1672" s="90">
        <v>25.8</v>
      </c>
      <c r="EL1672" s="90">
        <v>30.2</v>
      </c>
      <c r="EO1672" s="65" t="s">
        <v>1406</v>
      </c>
      <c r="EP1672" s="65">
        <v>23.2</v>
      </c>
      <c r="EQ1672" s="65">
        <v>30.14</v>
      </c>
      <c r="FE1672" s="65">
        <v>2.4900000000000002</v>
      </c>
      <c r="FF1672" s="65">
        <v>2.06</v>
      </c>
      <c r="GP1672" s="292" t="s">
        <v>7494</v>
      </c>
    </row>
    <row r="1673" spans="1:283" x14ac:dyDescent="0.25">
      <c r="A1673" s="55">
        <v>1672</v>
      </c>
      <c r="B1673" s="12" t="s">
        <v>7067</v>
      </c>
      <c r="C1673" s="155">
        <v>78</v>
      </c>
      <c r="D1673" s="55" t="s">
        <v>4009</v>
      </c>
      <c r="E1673" s="90" t="s">
        <v>1401</v>
      </c>
      <c r="G1673" s="55" t="s">
        <v>1402</v>
      </c>
      <c r="H1673" s="55">
        <v>2007</v>
      </c>
      <c r="I1673" s="55">
        <v>2005</v>
      </c>
      <c r="J1673" s="55" t="s">
        <v>397</v>
      </c>
      <c r="K1673" s="55" t="s">
        <v>502</v>
      </c>
      <c r="L1673" s="55" t="s">
        <v>2737</v>
      </c>
      <c r="M1673" s="90">
        <f>40+15/60</f>
        <v>40.25</v>
      </c>
      <c r="N1673" s="90">
        <v>-101.25</v>
      </c>
      <c r="O1673" s="90">
        <v>972</v>
      </c>
      <c r="U1673" s="55" t="s">
        <v>1887</v>
      </c>
      <c r="V1673" s="55" t="s">
        <v>1887</v>
      </c>
      <c r="Y1673" s="55" t="s">
        <v>1966</v>
      </c>
      <c r="Z1673" s="55" t="s">
        <v>1360</v>
      </c>
      <c r="AA1673" s="90" t="s">
        <v>1679</v>
      </c>
      <c r="AE1673" s="90">
        <v>20</v>
      </c>
      <c r="AF1673" s="90">
        <f>100-20-(22+28+32)/3</f>
        <v>52.666666666666671</v>
      </c>
      <c r="AH1673" s="55" t="s">
        <v>6378</v>
      </c>
      <c r="AM1673" s="55" t="s">
        <v>1405</v>
      </c>
      <c r="AN1673" s="185" t="s">
        <v>503</v>
      </c>
      <c r="AO1673" s="185" t="s">
        <v>5150</v>
      </c>
      <c r="AQ1673" s="55" t="s">
        <v>1545</v>
      </c>
      <c r="AR1673" s="55" t="s">
        <v>1491</v>
      </c>
      <c r="AS1673" s="55" t="s">
        <v>1587</v>
      </c>
      <c r="AT1673" s="181" t="s">
        <v>1592</v>
      </c>
      <c r="AU1673" s="181" t="s">
        <v>5150</v>
      </c>
      <c r="AV1673" s="185" t="s">
        <v>176</v>
      </c>
      <c r="AW1673" s="55" t="s">
        <v>1592</v>
      </c>
      <c r="AX1673" s="185" t="s">
        <v>176</v>
      </c>
      <c r="AY1673" s="55" t="s">
        <v>176</v>
      </c>
      <c r="BK1673" s="55" t="s">
        <v>5976</v>
      </c>
      <c r="BM1673" s="192" t="s">
        <v>119</v>
      </c>
      <c r="BN1673" s="55">
        <v>3</v>
      </c>
      <c r="BO1673" s="55">
        <v>3</v>
      </c>
      <c r="BQ1673" s="55" t="s">
        <v>141</v>
      </c>
      <c r="CH1673" s="90">
        <v>1.23</v>
      </c>
      <c r="CI1673" s="90">
        <v>1.28</v>
      </c>
      <c r="CM1673" s="65">
        <v>0.46</v>
      </c>
      <c r="CN1673" s="65">
        <v>0.61</v>
      </c>
      <c r="CQ1673" s="65" t="s">
        <v>163</v>
      </c>
      <c r="CV1673" s="65" t="s">
        <v>3039</v>
      </c>
      <c r="DA1673" s="65" t="s">
        <v>4454</v>
      </c>
      <c r="EK1673" s="90">
        <v>83</v>
      </c>
      <c r="EL1673" s="90">
        <v>120.3</v>
      </c>
      <c r="EO1673" s="65" t="s">
        <v>1406</v>
      </c>
      <c r="EP1673" s="65">
        <v>27.97</v>
      </c>
      <c r="EQ1673" s="65">
        <v>29.7</v>
      </c>
      <c r="FE1673" s="65">
        <v>4.01</v>
      </c>
      <c r="FF1673" s="65">
        <v>3.36</v>
      </c>
      <c r="GP1673" s="292" t="s">
        <v>7494</v>
      </c>
    </row>
    <row r="1674" spans="1:283" x14ac:dyDescent="0.25">
      <c r="A1674" s="55">
        <v>1673</v>
      </c>
      <c r="B1674" s="12" t="s">
        <v>7067</v>
      </c>
      <c r="C1674" s="155">
        <v>78</v>
      </c>
      <c r="D1674" s="55" t="s">
        <v>4009</v>
      </c>
      <c r="E1674" s="90" t="s">
        <v>1401</v>
      </c>
      <c r="G1674" s="55" t="s">
        <v>1402</v>
      </c>
      <c r="H1674" s="55">
        <v>2007</v>
      </c>
      <c r="I1674" s="55">
        <v>2005</v>
      </c>
      <c r="J1674" s="55" t="s">
        <v>397</v>
      </c>
      <c r="K1674" s="55" t="s">
        <v>502</v>
      </c>
      <c r="L1674" s="55" t="s">
        <v>2737</v>
      </c>
      <c r="M1674" s="90">
        <f>40+15/60</f>
        <v>40.25</v>
      </c>
      <c r="N1674" s="90">
        <v>-101.25</v>
      </c>
      <c r="O1674" s="90">
        <v>972</v>
      </c>
      <c r="U1674" s="55" t="s">
        <v>1887</v>
      </c>
      <c r="V1674" s="55" t="s">
        <v>1887</v>
      </c>
      <c r="Y1674" s="55" t="s">
        <v>1966</v>
      </c>
      <c r="Z1674" s="55" t="s">
        <v>1403</v>
      </c>
      <c r="AA1674" s="90" t="s">
        <v>1679</v>
      </c>
      <c r="AE1674" s="90">
        <v>20</v>
      </c>
      <c r="AF1674" s="90">
        <f>100-20-(22+28+32)/3</f>
        <v>52.666666666666671</v>
      </c>
      <c r="AH1674" s="55" t="s">
        <v>6378</v>
      </c>
      <c r="AM1674" s="55" t="s">
        <v>1405</v>
      </c>
      <c r="AN1674" s="185" t="s">
        <v>503</v>
      </c>
      <c r="AO1674" s="185" t="s">
        <v>5150</v>
      </c>
      <c r="AQ1674" s="55" t="s">
        <v>1545</v>
      </c>
      <c r="AR1674" s="55" t="s">
        <v>1491</v>
      </c>
      <c r="AS1674" s="55" t="s">
        <v>1587</v>
      </c>
      <c r="AT1674" s="181" t="s">
        <v>1592</v>
      </c>
      <c r="AU1674" s="181" t="s">
        <v>5150</v>
      </c>
      <c r="AV1674" s="185" t="s">
        <v>176</v>
      </c>
      <c r="AW1674" s="55" t="s">
        <v>1592</v>
      </c>
      <c r="AX1674" s="185" t="s">
        <v>176</v>
      </c>
      <c r="AY1674" s="55" t="s">
        <v>176</v>
      </c>
      <c r="BK1674" s="55" t="s">
        <v>5976</v>
      </c>
      <c r="BM1674" s="192" t="s">
        <v>119</v>
      </c>
      <c r="BN1674" s="55">
        <v>3</v>
      </c>
      <c r="BO1674" s="55">
        <v>3</v>
      </c>
      <c r="BQ1674" s="55" t="s">
        <v>141</v>
      </c>
      <c r="CH1674" s="90">
        <v>1.34</v>
      </c>
      <c r="CI1674" s="90">
        <v>1.27</v>
      </c>
      <c r="CM1674" s="65">
        <v>0.6</v>
      </c>
      <c r="CN1674" s="65">
        <v>0.61</v>
      </c>
      <c r="CQ1674" s="65" t="s">
        <v>163</v>
      </c>
      <c r="CV1674" s="65" t="s">
        <v>3039</v>
      </c>
      <c r="DA1674" s="65" t="s">
        <v>4454</v>
      </c>
      <c r="EK1674" s="90">
        <v>89.56</v>
      </c>
      <c r="EL1674" s="90">
        <v>142.31</v>
      </c>
      <c r="EO1674" s="65" t="s">
        <v>1406</v>
      </c>
      <c r="EP1674" s="65">
        <v>25.8</v>
      </c>
      <c r="EQ1674" s="65">
        <v>29.27</v>
      </c>
      <c r="FE1674" s="65">
        <v>2.93</v>
      </c>
      <c r="FF1674" s="65">
        <v>3.14</v>
      </c>
      <c r="GP1674" s="292" t="s">
        <v>7494</v>
      </c>
    </row>
    <row r="1675" spans="1:283" x14ac:dyDescent="0.25">
      <c r="A1675" s="55">
        <v>1674</v>
      </c>
      <c r="B1675" s="12" t="s">
        <v>7067</v>
      </c>
      <c r="C1675" s="156">
        <v>79</v>
      </c>
      <c r="D1675" s="58" t="s">
        <v>4010</v>
      </c>
      <c r="E1675" s="93" t="s">
        <v>1704</v>
      </c>
      <c r="F1675" s="93"/>
      <c r="G1675" s="58"/>
      <c r="H1675" s="59">
        <v>1998</v>
      </c>
      <c r="I1675" s="59">
        <v>1981</v>
      </c>
      <c r="J1675" s="58" t="s">
        <v>1705</v>
      </c>
      <c r="K1675" s="59" t="s">
        <v>1706</v>
      </c>
      <c r="L1675" s="59" t="s">
        <v>2737</v>
      </c>
      <c r="M1675" s="94">
        <v>41.27</v>
      </c>
      <c r="N1675" s="94">
        <v>-77.349999999999994</v>
      </c>
      <c r="O1675" s="94">
        <v>549</v>
      </c>
      <c r="P1675" s="58"/>
      <c r="Q1675" s="58"/>
      <c r="R1675" s="58"/>
      <c r="S1675" s="94"/>
      <c r="T1675" s="58"/>
      <c r="U1675" s="58">
        <v>1</v>
      </c>
      <c r="V1675" s="58">
        <v>15</v>
      </c>
      <c r="Y1675" s="58" t="s">
        <v>1967</v>
      </c>
      <c r="Z1675" s="58" t="s">
        <v>1356</v>
      </c>
      <c r="AA1675" s="94">
        <v>30</v>
      </c>
      <c r="AD1675" s="94">
        <v>1.5805100000000001</v>
      </c>
      <c r="AE1675" s="94"/>
      <c r="AF1675" s="94"/>
      <c r="AG1675" s="94"/>
      <c r="AH1675" s="58"/>
      <c r="AI1675" s="169"/>
      <c r="AJ1675" s="94"/>
      <c r="AK1675" s="94"/>
      <c r="AN1675" s="186" t="s">
        <v>553</v>
      </c>
      <c r="AO1675" s="185" t="s">
        <v>5150</v>
      </c>
      <c r="AP1675" s="58"/>
      <c r="AQ1675" s="58" t="s">
        <v>553</v>
      </c>
      <c r="AR1675" s="58" t="s">
        <v>1558</v>
      </c>
      <c r="AS1675" s="58" t="s">
        <v>1575</v>
      </c>
      <c r="AT1675" s="182" t="s">
        <v>1558</v>
      </c>
      <c r="AU1675" s="181" t="s">
        <v>5150</v>
      </c>
      <c r="AV1675" s="185" t="s">
        <v>176</v>
      </c>
      <c r="AW1675" s="58" t="s">
        <v>1558</v>
      </c>
      <c r="AX1675" s="185" t="s">
        <v>176</v>
      </c>
      <c r="AY1675" s="58" t="s">
        <v>176</v>
      </c>
      <c r="AZ1675" s="58"/>
      <c r="BA1675" s="58"/>
      <c r="BB1675" s="58"/>
      <c r="BC1675" s="58"/>
      <c r="BD1675" s="58"/>
      <c r="BE1675" s="236"/>
      <c r="BF1675" s="58"/>
      <c r="BG1675" s="58"/>
      <c r="BH1675" s="236"/>
      <c r="BI1675" s="58"/>
      <c r="BJ1675" s="58"/>
      <c r="BK1675" s="58" t="s">
        <v>5976</v>
      </c>
      <c r="BL1675" s="58"/>
      <c r="BM1675" s="237" t="s">
        <v>160</v>
      </c>
      <c r="BN1675" s="58">
        <v>3</v>
      </c>
      <c r="BO1675" s="58">
        <v>3</v>
      </c>
      <c r="BP1675" s="58"/>
      <c r="BQ1675" s="58"/>
      <c r="BR1675" s="58"/>
      <c r="BS1675" s="58"/>
      <c r="CH1675" s="94"/>
      <c r="CI1675" s="94"/>
      <c r="CJ1675" s="67"/>
      <c r="CK1675" s="67"/>
      <c r="CL1675" s="67"/>
      <c r="CM1675" s="67">
        <v>0.87060395618634967</v>
      </c>
      <c r="CN1675" s="67">
        <v>0.93260917981008684</v>
      </c>
      <c r="CO1675" s="65">
        <f>(4490-4095)/(100*100*30*1.58)*100*SQRT(3)</f>
        <v>0.14433756729740646</v>
      </c>
      <c r="CP1675" s="65">
        <f>(4563-4405)/(100*100*30*1.58)*100*SQRT(3)</f>
        <v>5.7735026918962574E-2</v>
      </c>
      <c r="CR1675" s="67"/>
      <c r="CS1675" s="67"/>
      <c r="CV1675" s="65" t="s">
        <v>3039</v>
      </c>
      <c r="DA1675" s="65" t="s">
        <v>4458</v>
      </c>
      <c r="GP1675" s="292" t="s">
        <v>7494</v>
      </c>
    </row>
    <row r="1676" spans="1:283" x14ac:dyDescent="0.25">
      <c r="A1676" s="55">
        <v>1675</v>
      </c>
      <c r="B1676" s="12" t="s">
        <v>7067</v>
      </c>
      <c r="C1676" s="156">
        <v>79</v>
      </c>
      <c r="D1676" s="58" t="s">
        <v>4011</v>
      </c>
      <c r="E1676" s="93" t="s">
        <v>1704</v>
      </c>
      <c r="F1676" s="93"/>
      <c r="G1676" s="58"/>
      <c r="H1676" s="59">
        <v>1998</v>
      </c>
      <c r="I1676" s="59">
        <v>1995</v>
      </c>
      <c r="J1676" s="58" t="s">
        <v>1705</v>
      </c>
      <c r="K1676" s="59" t="s">
        <v>1706</v>
      </c>
      <c r="L1676" s="59" t="s">
        <v>2737</v>
      </c>
      <c r="M1676" s="94">
        <v>41.27</v>
      </c>
      <c r="N1676" s="94">
        <v>-77.349999999999994</v>
      </c>
      <c r="O1676" s="94">
        <v>549</v>
      </c>
      <c r="P1676" s="58"/>
      <c r="Q1676" s="58"/>
      <c r="R1676" s="58"/>
      <c r="S1676" s="94"/>
      <c r="T1676" s="58"/>
      <c r="U1676" s="58">
        <v>15</v>
      </c>
      <c r="V1676" s="58">
        <v>15</v>
      </c>
      <c r="Y1676" s="58" t="s">
        <v>1967</v>
      </c>
      <c r="Z1676" s="58" t="s">
        <v>1356</v>
      </c>
      <c r="AA1676" s="94">
        <v>30</v>
      </c>
      <c r="AD1676" s="94">
        <v>1.5805100000000001</v>
      </c>
      <c r="AE1676" s="94"/>
      <c r="AF1676" s="94"/>
      <c r="AG1676" s="94"/>
      <c r="AH1676" s="58"/>
      <c r="AI1676" s="169"/>
      <c r="AJ1676" s="94"/>
      <c r="AK1676" s="94"/>
      <c r="AN1676" s="186" t="s">
        <v>553</v>
      </c>
      <c r="AO1676" s="185" t="s">
        <v>5150</v>
      </c>
      <c r="AP1676" s="58"/>
      <c r="AQ1676" s="58" t="s">
        <v>553</v>
      </c>
      <c r="AR1676" s="58" t="s">
        <v>1558</v>
      </c>
      <c r="AS1676" s="58" t="s">
        <v>1575</v>
      </c>
      <c r="AT1676" s="182" t="s">
        <v>1558</v>
      </c>
      <c r="AU1676" s="181" t="s">
        <v>5150</v>
      </c>
      <c r="AV1676" s="185" t="s">
        <v>176</v>
      </c>
      <c r="AW1676" s="58" t="s">
        <v>1558</v>
      </c>
      <c r="AX1676" s="185" t="s">
        <v>176</v>
      </c>
      <c r="AY1676" s="58" t="s">
        <v>176</v>
      </c>
      <c r="AZ1676" s="58"/>
      <c r="BA1676" s="58"/>
      <c r="BB1676" s="58"/>
      <c r="BC1676" s="58"/>
      <c r="BD1676" s="58"/>
      <c r="BE1676" s="236"/>
      <c r="BF1676" s="58"/>
      <c r="BG1676" s="58"/>
      <c r="BH1676" s="236"/>
      <c r="BI1676" s="58"/>
      <c r="BJ1676" s="58"/>
      <c r="BK1676" s="58" t="s">
        <v>5976</v>
      </c>
      <c r="BL1676" s="58"/>
      <c r="BM1676" s="237" t="s">
        <v>160</v>
      </c>
      <c r="BN1676" s="58">
        <v>3</v>
      </c>
      <c r="BO1676" s="58">
        <v>3</v>
      </c>
      <c r="BP1676" s="58"/>
      <c r="BQ1676" s="58"/>
      <c r="BR1676" s="58"/>
      <c r="BS1676" s="58"/>
      <c r="CH1676" s="94"/>
      <c r="CI1676" s="94"/>
      <c r="CJ1676" s="67"/>
      <c r="CK1676" s="67"/>
      <c r="CL1676" s="67"/>
      <c r="CM1676" s="67">
        <v>0.91615881435889135</v>
      </c>
      <c r="CN1676" s="67">
        <v>1.0791861540226626</v>
      </c>
      <c r="CO1676" s="65">
        <f>(4668-4343)/(100*100*30*1.58)*100*SQRT(3)</f>
        <v>0.11875875790292936</v>
      </c>
      <c r="CP1676" s="65">
        <f>(5250-5057)/(100*100*30*1.58)*100*SQRT(3)</f>
        <v>7.0524431616201116E-2</v>
      </c>
      <c r="CR1676" s="67"/>
      <c r="CS1676" s="67"/>
      <c r="CV1676" s="65" t="s">
        <v>3039</v>
      </c>
      <c r="DA1676" s="65" t="s">
        <v>4458</v>
      </c>
      <c r="GP1676" s="292" t="s">
        <v>7494</v>
      </c>
    </row>
    <row r="1677" spans="1:283" x14ac:dyDescent="0.25">
      <c r="A1677" s="55">
        <v>1676</v>
      </c>
      <c r="B1677" s="12" t="s">
        <v>7067</v>
      </c>
      <c r="C1677" s="156">
        <v>79</v>
      </c>
      <c r="D1677" s="58" t="s">
        <v>4012</v>
      </c>
      <c r="E1677" s="93" t="s">
        <v>1704</v>
      </c>
      <c r="F1677" s="93"/>
      <c r="G1677" s="58"/>
      <c r="H1677" s="59">
        <v>1998</v>
      </c>
      <c r="I1677" s="59">
        <v>1987</v>
      </c>
      <c r="J1677" s="58" t="s">
        <v>1705</v>
      </c>
      <c r="K1677" s="59" t="s">
        <v>1706</v>
      </c>
      <c r="L1677" s="59" t="s">
        <v>2737</v>
      </c>
      <c r="M1677" s="94">
        <v>41.27</v>
      </c>
      <c r="N1677" s="94">
        <v>-77.349999999999994</v>
      </c>
      <c r="O1677" s="94">
        <v>549</v>
      </c>
      <c r="P1677" s="58"/>
      <c r="Q1677" s="58"/>
      <c r="R1677" s="58"/>
      <c r="S1677" s="94"/>
      <c r="T1677" s="58"/>
      <c r="U1677" s="58">
        <v>7</v>
      </c>
      <c r="V1677" s="58">
        <v>15</v>
      </c>
      <c r="Y1677" s="58" t="s">
        <v>1967</v>
      </c>
      <c r="Z1677" s="58" t="s">
        <v>1356</v>
      </c>
      <c r="AA1677" s="94">
        <v>30</v>
      </c>
      <c r="AD1677" s="94">
        <v>1.5805100000000001</v>
      </c>
      <c r="AE1677" s="94"/>
      <c r="AF1677" s="94"/>
      <c r="AG1677" s="94"/>
      <c r="AH1677" s="58"/>
      <c r="AI1677" s="169"/>
      <c r="AJ1677" s="94"/>
      <c r="AK1677" s="94"/>
      <c r="AN1677" s="186" t="s">
        <v>553</v>
      </c>
      <c r="AO1677" s="185" t="s">
        <v>5150</v>
      </c>
      <c r="AP1677" s="58"/>
      <c r="AQ1677" s="58" t="s">
        <v>553</v>
      </c>
      <c r="AR1677" s="58" t="s">
        <v>1558</v>
      </c>
      <c r="AS1677" s="58" t="s">
        <v>1575</v>
      </c>
      <c r="AT1677" s="182" t="s">
        <v>1558</v>
      </c>
      <c r="AU1677" s="181" t="s">
        <v>5150</v>
      </c>
      <c r="AV1677" s="185" t="s">
        <v>176</v>
      </c>
      <c r="AW1677" s="58" t="s">
        <v>1558</v>
      </c>
      <c r="AX1677" s="185" t="s">
        <v>176</v>
      </c>
      <c r="AY1677" s="58" t="s">
        <v>176</v>
      </c>
      <c r="AZ1677" s="58"/>
      <c r="BA1677" s="58"/>
      <c r="BB1677" s="58"/>
      <c r="BC1677" s="58"/>
      <c r="BD1677" s="58"/>
      <c r="BE1677" s="236"/>
      <c r="BF1677" s="58"/>
      <c r="BG1677" s="58"/>
      <c r="BH1677" s="236"/>
      <c r="BI1677" s="58"/>
      <c r="BJ1677" s="58"/>
      <c r="BK1677" s="58" t="s">
        <v>5976</v>
      </c>
      <c r="BL1677" s="58"/>
      <c r="BM1677" s="237" t="s">
        <v>160</v>
      </c>
      <c r="BN1677" s="58">
        <v>3</v>
      </c>
      <c r="BO1677" s="58">
        <v>3</v>
      </c>
      <c r="BP1677" s="58"/>
      <c r="BQ1677" s="58"/>
      <c r="BR1677" s="58"/>
      <c r="BS1677" s="58"/>
      <c r="BW1677" s="65">
        <v>75</v>
      </c>
      <c r="BX1677" s="65">
        <v>68</v>
      </c>
      <c r="CA1677" s="65" t="s">
        <v>1707</v>
      </c>
      <c r="CH1677" s="94"/>
      <c r="CI1677" s="94"/>
      <c r="CJ1677" s="67"/>
      <c r="CK1677" s="67"/>
      <c r="CL1677" s="67"/>
      <c r="CM1677" s="67"/>
      <c r="CN1677" s="67"/>
      <c r="CR1677" s="67"/>
      <c r="CS1677" s="67"/>
      <c r="FT1677" s="65">
        <v>1092.5</v>
      </c>
      <c r="FU1677" s="65">
        <v>927.7</v>
      </c>
      <c r="FX1677" s="65" t="s">
        <v>1708</v>
      </c>
      <c r="GP1677" s="292" t="s">
        <v>7494</v>
      </c>
    </row>
    <row r="1678" spans="1:283" x14ac:dyDescent="0.25">
      <c r="A1678" s="55">
        <v>1677</v>
      </c>
      <c r="B1678" s="12" t="s">
        <v>7067</v>
      </c>
      <c r="C1678" s="155">
        <v>80</v>
      </c>
      <c r="D1678" s="55" t="s">
        <v>4013</v>
      </c>
      <c r="E1678" s="90" t="s">
        <v>1411</v>
      </c>
      <c r="G1678" s="55" t="s">
        <v>1412</v>
      </c>
      <c r="H1678" s="55">
        <v>1950</v>
      </c>
      <c r="I1678" s="55">
        <v>1943</v>
      </c>
      <c r="J1678" s="55" t="s">
        <v>282</v>
      </c>
      <c r="K1678" s="55" t="s">
        <v>1413</v>
      </c>
      <c r="L1678" s="55" t="s">
        <v>2737</v>
      </c>
      <c r="M1678" s="90">
        <v>40.479999999999997</v>
      </c>
      <c r="N1678" s="90">
        <v>-74.44</v>
      </c>
      <c r="O1678" s="90">
        <v>40.5</v>
      </c>
      <c r="U1678" s="55">
        <v>5</v>
      </c>
      <c r="V1678" s="55" t="s">
        <v>1818</v>
      </c>
      <c r="Y1678" s="55" t="s">
        <v>1968</v>
      </c>
      <c r="Z1678" s="55" t="s">
        <v>1344</v>
      </c>
      <c r="AA1678" s="90" t="s">
        <v>1344</v>
      </c>
      <c r="AH1678" s="55" t="s">
        <v>174</v>
      </c>
      <c r="AM1678" s="55" t="s">
        <v>6364</v>
      </c>
      <c r="AN1678" s="185" t="s">
        <v>131</v>
      </c>
      <c r="AO1678" s="185" t="s">
        <v>5150</v>
      </c>
      <c r="AQ1678" s="55" t="s">
        <v>131</v>
      </c>
      <c r="AR1678" s="55" t="s">
        <v>1555</v>
      </c>
      <c r="AS1678" s="55" t="s">
        <v>1577</v>
      </c>
      <c r="AU1678" s="181" t="s">
        <v>7494</v>
      </c>
      <c r="AV1678" s="185" t="s">
        <v>176</v>
      </c>
      <c r="AX1678" s="185" t="s">
        <v>176</v>
      </c>
      <c r="BK1678" s="55" t="s">
        <v>5976</v>
      </c>
      <c r="BM1678" s="192" t="s">
        <v>160</v>
      </c>
      <c r="BN1678" s="55">
        <v>4</v>
      </c>
      <c r="BO1678" s="55">
        <v>4</v>
      </c>
      <c r="BQ1678" s="55" t="s">
        <v>141</v>
      </c>
      <c r="BV1678" s="55" t="s">
        <v>853</v>
      </c>
      <c r="FJ1678" s="65">
        <f>0.4536/0.4/1000*503.4</f>
        <v>0.57085559999999991</v>
      </c>
      <c r="FK1678" s="65">
        <f>0.4536/0.4/1000*53.84</f>
        <v>6.1054559999999994E-2</v>
      </c>
      <c r="FN1678" s="65" t="s">
        <v>6360</v>
      </c>
      <c r="FO1678" s="65">
        <f>10*9.34</f>
        <v>93.4</v>
      </c>
      <c r="FP1678" s="65">
        <f>10*1.8</f>
        <v>18</v>
      </c>
      <c r="FS1678" s="65" t="s">
        <v>6369</v>
      </c>
      <c r="GP1678" s="292" t="s">
        <v>7494</v>
      </c>
    </row>
    <row r="1679" spans="1:283" x14ac:dyDescent="0.25">
      <c r="A1679" s="55">
        <v>1678</v>
      </c>
      <c r="B1679" s="12" t="s">
        <v>7067</v>
      </c>
      <c r="C1679" s="155">
        <v>80</v>
      </c>
      <c r="D1679" s="55" t="s">
        <v>4013</v>
      </c>
      <c r="E1679" s="90" t="s">
        <v>1411</v>
      </c>
      <c r="G1679" s="55" t="s">
        <v>1412</v>
      </c>
      <c r="H1679" s="55">
        <v>1950</v>
      </c>
      <c r="I1679" s="55">
        <v>1943</v>
      </c>
      <c r="J1679" s="55" t="s">
        <v>282</v>
      </c>
      <c r="K1679" s="55" t="s">
        <v>1413</v>
      </c>
      <c r="L1679" s="55" t="s">
        <v>2737</v>
      </c>
      <c r="M1679" s="90">
        <v>40.479999999999997</v>
      </c>
      <c r="N1679" s="90">
        <v>-74.44</v>
      </c>
      <c r="O1679" s="90">
        <v>40.5</v>
      </c>
      <c r="U1679" s="55">
        <v>5</v>
      </c>
      <c r="V1679" s="55" t="s">
        <v>1818</v>
      </c>
      <c r="Y1679" s="55" t="s">
        <v>1968</v>
      </c>
      <c r="Z1679" s="55" t="s">
        <v>1344</v>
      </c>
      <c r="AA1679" s="90" t="s">
        <v>1344</v>
      </c>
      <c r="AH1679" s="55" t="s">
        <v>174</v>
      </c>
      <c r="AM1679" s="55" t="s">
        <v>6364</v>
      </c>
      <c r="AN1679" s="185" t="s">
        <v>131</v>
      </c>
      <c r="AO1679" s="185" t="s">
        <v>5150</v>
      </c>
      <c r="AQ1679" s="55" t="s">
        <v>131</v>
      </c>
      <c r="AR1679" s="55" t="s">
        <v>1555</v>
      </c>
      <c r="AS1679" s="55" t="s">
        <v>1577</v>
      </c>
      <c r="AU1679" s="181" t="s">
        <v>7494</v>
      </c>
      <c r="AV1679" s="185" t="s">
        <v>176</v>
      </c>
      <c r="AX1679" s="185" t="s">
        <v>176</v>
      </c>
      <c r="BK1679" s="55" t="s">
        <v>5976</v>
      </c>
      <c r="BM1679" s="192" t="s">
        <v>160</v>
      </c>
      <c r="BN1679" s="55">
        <v>4</v>
      </c>
      <c r="BO1679" s="55">
        <v>4</v>
      </c>
      <c r="BQ1679" s="55" t="s">
        <v>141</v>
      </c>
      <c r="BV1679" s="55" t="s">
        <v>953</v>
      </c>
      <c r="FJ1679" s="65">
        <f>0.4536/0.4/1000*121.6</f>
        <v>0.13789439999999997</v>
      </c>
      <c r="FK1679" s="65">
        <f>0.4536/0.4/1000*39.74</f>
        <v>4.5065159999999993E-2</v>
      </c>
      <c r="FN1679" s="65" t="s">
        <v>6360</v>
      </c>
      <c r="FO1679" s="65">
        <f>10*10.23</f>
        <v>102.30000000000001</v>
      </c>
      <c r="FP1679" s="65">
        <f>10*11.43</f>
        <v>114.3</v>
      </c>
      <c r="FS1679" s="65" t="s">
        <v>6369</v>
      </c>
      <c r="GP1679" s="292" t="s">
        <v>7494</v>
      </c>
    </row>
    <row r="1680" spans="1:283" x14ac:dyDescent="0.25">
      <c r="A1680" s="55">
        <v>1679</v>
      </c>
      <c r="B1680" s="12" t="s">
        <v>7067</v>
      </c>
      <c r="C1680" s="155">
        <v>80</v>
      </c>
      <c r="D1680" s="55" t="s">
        <v>4013</v>
      </c>
      <c r="E1680" s="90" t="s">
        <v>1411</v>
      </c>
      <c r="G1680" s="55" t="s">
        <v>1412</v>
      </c>
      <c r="H1680" s="55">
        <v>1950</v>
      </c>
      <c r="I1680" s="55">
        <v>1943</v>
      </c>
      <c r="J1680" s="55" t="s">
        <v>282</v>
      </c>
      <c r="K1680" s="55" t="s">
        <v>1413</v>
      </c>
      <c r="L1680" s="55" t="s">
        <v>2737</v>
      </c>
      <c r="M1680" s="90">
        <v>40.479999999999997</v>
      </c>
      <c r="N1680" s="90">
        <v>-74.44</v>
      </c>
      <c r="O1680" s="90">
        <v>40.5</v>
      </c>
      <c r="U1680" s="55">
        <v>5</v>
      </c>
      <c r="V1680" s="55" t="s">
        <v>1818</v>
      </c>
      <c r="Y1680" s="55" t="s">
        <v>1968</v>
      </c>
      <c r="Z1680" s="55" t="s">
        <v>1344</v>
      </c>
      <c r="AA1680" s="90" t="s">
        <v>1344</v>
      </c>
      <c r="AH1680" s="55" t="s">
        <v>174</v>
      </c>
      <c r="AM1680" s="55" t="s">
        <v>6364</v>
      </c>
      <c r="AN1680" s="185" t="s">
        <v>131</v>
      </c>
      <c r="AO1680" s="185" t="s">
        <v>5150</v>
      </c>
      <c r="AQ1680" s="55" t="s">
        <v>131</v>
      </c>
      <c r="AR1680" s="55" t="s">
        <v>1555</v>
      </c>
      <c r="AS1680" s="55" t="s">
        <v>1577</v>
      </c>
      <c r="AU1680" s="181" t="s">
        <v>7494</v>
      </c>
      <c r="AV1680" s="185" t="s">
        <v>176</v>
      </c>
      <c r="AX1680" s="185" t="s">
        <v>176</v>
      </c>
      <c r="BK1680" s="55" t="s">
        <v>5976</v>
      </c>
      <c r="BM1680" s="192" t="s">
        <v>160</v>
      </c>
      <c r="BN1680" s="55">
        <v>4</v>
      </c>
      <c r="BO1680" s="55">
        <v>4</v>
      </c>
      <c r="BQ1680" s="55" t="s">
        <v>141</v>
      </c>
      <c r="BV1680" s="55" t="s">
        <v>954</v>
      </c>
      <c r="FJ1680" s="65">
        <f>0.4536/0.4/1000*311.7</f>
        <v>0.35346779999999994</v>
      </c>
      <c r="FK1680" s="65">
        <f>0.4536/0.4/1000*39.21</f>
        <v>4.4464139999999992E-2</v>
      </c>
      <c r="FN1680" s="65" t="s">
        <v>6360</v>
      </c>
      <c r="FO1680" s="65">
        <f>10*4.49</f>
        <v>44.900000000000006</v>
      </c>
      <c r="FP1680" s="65">
        <f>10*2.07</f>
        <v>20.7</v>
      </c>
      <c r="FS1680" s="65" t="s">
        <v>6369</v>
      </c>
      <c r="GP1680" s="292" t="s">
        <v>7494</v>
      </c>
    </row>
    <row r="1681" spans="1:231" x14ac:dyDescent="0.25">
      <c r="A1681" s="55">
        <v>1680</v>
      </c>
      <c r="B1681" s="12" t="s">
        <v>7067</v>
      </c>
      <c r="C1681" s="155">
        <v>80</v>
      </c>
      <c r="D1681" s="55" t="s">
        <v>4013</v>
      </c>
      <c r="E1681" s="90" t="s">
        <v>1411</v>
      </c>
      <c r="G1681" s="55" t="s">
        <v>1412</v>
      </c>
      <c r="H1681" s="55">
        <v>1950</v>
      </c>
      <c r="I1681" s="55">
        <v>1943</v>
      </c>
      <c r="J1681" s="55" t="s">
        <v>282</v>
      </c>
      <c r="K1681" s="55" t="s">
        <v>1413</v>
      </c>
      <c r="L1681" s="55" t="s">
        <v>2737</v>
      </c>
      <c r="M1681" s="90">
        <v>40.479999999999997</v>
      </c>
      <c r="N1681" s="90">
        <v>-74.44</v>
      </c>
      <c r="O1681" s="90">
        <v>40.5</v>
      </c>
      <c r="U1681" s="55">
        <v>5</v>
      </c>
      <c r="V1681" s="55" t="s">
        <v>1818</v>
      </c>
      <c r="Y1681" s="55" t="s">
        <v>1968</v>
      </c>
      <c r="Z1681" s="55" t="s">
        <v>1344</v>
      </c>
      <c r="AA1681" s="90" t="s">
        <v>1344</v>
      </c>
      <c r="AH1681" s="55" t="s">
        <v>174</v>
      </c>
      <c r="AM1681" s="55" t="s">
        <v>6364</v>
      </c>
      <c r="AN1681" s="185" t="s">
        <v>131</v>
      </c>
      <c r="AO1681" s="185" t="s">
        <v>5150</v>
      </c>
      <c r="AQ1681" s="55" t="s">
        <v>131</v>
      </c>
      <c r="AR1681" s="55" t="s">
        <v>1555</v>
      </c>
      <c r="AS1681" s="55" t="s">
        <v>1577</v>
      </c>
      <c r="AU1681" s="181" t="s">
        <v>7494</v>
      </c>
      <c r="AV1681" s="185" t="s">
        <v>176</v>
      </c>
      <c r="AX1681" s="185" t="s">
        <v>176</v>
      </c>
      <c r="BK1681" s="55" t="s">
        <v>5976</v>
      </c>
      <c r="BM1681" s="192" t="s">
        <v>160</v>
      </c>
      <c r="BN1681" s="55">
        <v>4</v>
      </c>
      <c r="BO1681" s="55">
        <v>4</v>
      </c>
      <c r="BQ1681" s="55" t="s">
        <v>141</v>
      </c>
      <c r="BV1681" s="55" t="s">
        <v>753</v>
      </c>
      <c r="FJ1681" s="65">
        <f>0.4536/0.4/1000*515.45</f>
        <v>0.58452029999999999</v>
      </c>
      <c r="FK1681" s="65">
        <f>0.4536/0.4/1000*38.66</f>
        <v>4.3840439999999987E-2</v>
      </c>
      <c r="FN1681" s="65" t="s">
        <v>6360</v>
      </c>
      <c r="FO1681" s="65">
        <f>10*3.88</f>
        <v>38.799999999999997</v>
      </c>
      <c r="FP1681" s="65">
        <f>10*1.46</f>
        <v>14.6</v>
      </c>
      <c r="FS1681" s="65" t="s">
        <v>6369</v>
      </c>
      <c r="GP1681" s="292" t="s">
        <v>7494</v>
      </c>
    </row>
    <row r="1682" spans="1:231" x14ac:dyDescent="0.25">
      <c r="A1682" s="55">
        <v>1681</v>
      </c>
      <c r="B1682" s="12" t="s">
        <v>7067</v>
      </c>
      <c r="C1682" s="155">
        <v>80</v>
      </c>
      <c r="D1682" s="55" t="s">
        <v>4013</v>
      </c>
      <c r="E1682" s="90" t="s">
        <v>1411</v>
      </c>
      <c r="G1682" s="55" t="s">
        <v>1412</v>
      </c>
      <c r="H1682" s="55">
        <v>1950</v>
      </c>
      <c r="I1682" s="55">
        <v>1943</v>
      </c>
      <c r="J1682" s="55" t="s">
        <v>282</v>
      </c>
      <c r="K1682" s="55" t="s">
        <v>1413</v>
      </c>
      <c r="L1682" s="55" t="s">
        <v>2737</v>
      </c>
      <c r="M1682" s="90">
        <v>40.479999999999997</v>
      </c>
      <c r="N1682" s="90">
        <v>-74.44</v>
      </c>
      <c r="O1682" s="90">
        <v>40.5</v>
      </c>
      <c r="U1682" s="55">
        <v>5</v>
      </c>
      <c r="V1682" s="55" t="s">
        <v>1818</v>
      </c>
      <c r="Y1682" s="55" t="s">
        <v>1968</v>
      </c>
      <c r="Z1682" s="55" t="s">
        <v>1344</v>
      </c>
      <c r="AA1682" s="90" t="s">
        <v>1344</v>
      </c>
      <c r="AH1682" s="55" t="s">
        <v>174</v>
      </c>
      <c r="AM1682" s="55" t="s">
        <v>6364</v>
      </c>
      <c r="AN1682" s="185" t="s">
        <v>131</v>
      </c>
      <c r="AO1682" s="185" t="s">
        <v>5150</v>
      </c>
      <c r="AQ1682" s="55" t="s">
        <v>131</v>
      </c>
      <c r="AR1682" s="55" t="s">
        <v>1555</v>
      </c>
      <c r="AS1682" s="55" t="s">
        <v>1577</v>
      </c>
      <c r="AU1682" s="181" t="s">
        <v>7494</v>
      </c>
      <c r="AV1682" s="185" t="s">
        <v>176</v>
      </c>
      <c r="AX1682" s="185" t="s">
        <v>176</v>
      </c>
      <c r="BK1682" s="55" t="s">
        <v>5976</v>
      </c>
      <c r="BM1682" s="192" t="s">
        <v>160</v>
      </c>
      <c r="BN1682" s="55">
        <v>4</v>
      </c>
      <c r="BO1682" s="55">
        <v>4</v>
      </c>
      <c r="BQ1682" s="55" t="s">
        <v>141</v>
      </c>
      <c r="BV1682" s="55" t="s">
        <v>200</v>
      </c>
      <c r="FJ1682" s="65">
        <f>0.4536/0.4/1000*474.09</f>
        <v>0.5376180599999999</v>
      </c>
      <c r="FK1682" s="65">
        <f>0.4536/0.4/1000*147.1</f>
        <v>0.16681139999999997</v>
      </c>
      <c r="FN1682" s="65" t="s">
        <v>6360</v>
      </c>
      <c r="FO1682" s="65">
        <f>10*4.47</f>
        <v>44.699999999999996</v>
      </c>
      <c r="FP1682" s="65">
        <f>10*2.05</f>
        <v>20.5</v>
      </c>
      <c r="FS1682" s="65" t="s">
        <v>6369</v>
      </c>
      <c r="GP1682" s="292" t="s">
        <v>7494</v>
      </c>
    </row>
    <row r="1683" spans="1:231" x14ac:dyDescent="0.25">
      <c r="A1683" s="55">
        <v>1682</v>
      </c>
      <c r="B1683" s="12" t="s">
        <v>7067</v>
      </c>
      <c r="C1683" s="155">
        <v>80</v>
      </c>
      <c r="D1683" s="55" t="s">
        <v>4013</v>
      </c>
      <c r="E1683" s="90" t="s">
        <v>1411</v>
      </c>
      <c r="G1683" s="55" t="s">
        <v>1412</v>
      </c>
      <c r="H1683" s="55">
        <v>1950</v>
      </c>
      <c r="I1683" s="55">
        <v>1943</v>
      </c>
      <c r="J1683" s="55" t="s">
        <v>282</v>
      </c>
      <c r="K1683" s="55" t="s">
        <v>1413</v>
      </c>
      <c r="L1683" s="55" t="s">
        <v>2737</v>
      </c>
      <c r="M1683" s="90">
        <v>40.479999999999997</v>
      </c>
      <c r="N1683" s="90">
        <v>-74.44</v>
      </c>
      <c r="O1683" s="90">
        <v>40.5</v>
      </c>
      <c r="U1683" s="55">
        <v>5</v>
      </c>
      <c r="V1683" s="55" t="s">
        <v>1818</v>
      </c>
      <c r="Y1683" s="55" t="s">
        <v>1968</v>
      </c>
      <c r="Z1683" s="55" t="s">
        <v>1344</v>
      </c>
      <c r="AA1683" s="90" t="s">
        <v>1344</v>
      </c>
      <c r="AH1683" s="55" t="s">
        <v>174</v>
      </c>
      <c r="AM1683" s="55" t="s">
        <v>6364</v>
      </c>
      <c r="AN1683" s="185" t="s">
        <v>131</v>
      </c>
      <c r="AO1683" s="185" t="s">
        <v>5150</v>
      </c>
      <c r="AQ1683" s="55" t="s">
        <v>131</v>
      </c>
      <c r="AR1683" s="55" t="s">
        <v>1555</v>
      </c>
      <c r="AS1683" s="55" t="s">
        <v>1577</v>
      </c>
      <c r="AU1683" s="181" t="s">
        <v>7494</v>
      </c>
      <c r="AV1683" s="185" t="s">
        <v>176</v>
      </c>
      <c r="AX1683" s="185" t="s">
        <v>176</v>
      </c>
      <c r="BK1683" s="55" t="s">
        <v>5976</v>
      </c>
      <c r="BM1683" s="192" t="s">
        <v>160</v>
      </c>
      <c r="BN1683" s="55">
        <v>4</v>
      </c>
      <c r="BO1683" s="55">
        <v>4</v>
      </c>
      <c r="BQ1683" s="55" t="s">
        <v>141</v>
      </c>
      <c r="BV1683" s="55" t="s">
        <v>854</v>
      </c>
      <c r="FJ1683" s="65">
        <f>0.4536/0.4/1000*1467.26</f>
        <v>1.6638728399999998</v>
      </c>
      <c r="FK1683" s="65">
        <f>0.4536/0.4/1000*813.8</f>
        <v>0.92284919999999981</v>
      </c>
      <c r="FN1683" s="65" t="s">
        <v>6360</v>
      </c>
      <c r="FO1683" s="65">
        <f>10*12.29</f>
        <v>122.89999999999999</v>
      </c>
      <c r="FP1683" s="65">
        <f>10*7.16</f>
        <v>71.599999999999994</v>
      </c>
      <c r="FS1683" s="65" t="s">
        <v>6369</v>
      </c>
      <c r="GP1683" s="292" t="s">
        <v>7494</v>
      </c>
    </row>
    <row r="1684" spans="1:231" x14ac:dyDescent="0.25">
      <c r="A1684" s="55">
        <v>1683</v>
      </c>
      <c r="B1684" s="12" t="s">
        <v>7067</v>
      </c>
      <c r="C1684" s="155">
        <v>80</v>
      </c>
      <c r="D1684" s="55" t="s">
        <v>4013</v>
      </c>
      <c r="E1684" s="90" t="s">
        <v>1411</v>
      </c>
      <c r="G1684" s="55" t="s">
        <v>1412</v>
      </c>
      <c r="H1684" s="55">
        <v>1950</v>
      </c>
      <c r="I1684" s="55">
        <v>1943</v>
      </c>
      <c r="J1684" s="55" t="s">
        <v>282</v>
      </c>
      <c r="K1684" s="55" t="s">
        <v>1413</v>
      </c>
      <c r="L1684" s="55" t="s">
        <v>2737</v>
      </c>
      <c r="M1684" s="90">
        <v>40.479999999999997</v>
      </c>
      <c r="N1684" s="90">
        <v>-74.44</v>
      </c>
      <c r="O1684" s="90">
        <v>40.5</v>
      </c>
      <c r="U1684" s="55">
        <v>5</v>
      </c>
      <c r="V1684" s="55" t="s">
        <v>1818</v>
      </c>
      <c r="Y1684" s="55" t="s">
        <v>1968</v>
      </c>
      <c r="Z1684" s="55" t="s">
        <v>1344</v>
      </c>
      <c r="AA1684" s="90" t="s">
        <v>1344</v>
      </c>
      <c r="AH1684" s="55" t="s">
        <v>174</v>
      </c>
      <c r="AM1684" s="55" t="s">
        <v>6364</v>
      </c>
      <c r="AN1684" s="185" t="s">
        <v>131</v>
      </c>
      <c r="AO1684" s="185" t="s">
        <v>5150</v>
      </c>
      <c r="AQ1684" s="55" t="s">
        <v>131</v>
      </c>
      <c r="AR1684" s="55" t="s">
        <v>1555</v>
      </c>
      <c r="AS1684" s="55" t="s">
        <v>1577</v>
      </c>
      <c r="AU1684" s="181" t="s">
        <v>7494</v>
      </c>
      <c r="AV1684" s="185" t="s">
        <v>176</v>
      </c>
      <c r="AX1684" s="185" t="s">
        <v>176</v>
      </c>
      <c r="BK1684" s="55" t="s">
        <v>5976</v>
      </c>
      <c r="BM1684" s="192" t="s">
        <v>160</v>
      </c>
      <c r="BN1684" s="55">
        <v>4</v>
      </c>
      <c r="BO1684" s="55">
        <v>4</v>
      </c>
      <c r="BQ1684" s="55" t="s">
        <v>141</v>
      </c>
      <c r="BV1684" s="55" t="s">
        <v>1043</v>
      </c>
      <c r="FJ1684" s="65">
        <f>0.4536/0.4/1000*2147.95</f>
        <v>2.4357752999999995</v>
      </c>
      <c r="FK1684" s="65">
        <f>0.4536/0.4/1000*1112.9</f>
        <v>1.2620285999999998</v>
      </c>
      <c r="FN1684" s="65" t="s">
        <v>6360</v>
      </c>
      <c r="FO1684" s="65">
        <f>10*28.26</f>
        <v>282.60000000000002</v>
      </c>
      <c r="FP1684" s="65">
        <f>10*21.62</f>
        <v>216.20000000000002</v>
      </c>
      <c r="FS1684" s="65" t="s">
        <v>6369</v>
      </c>
      <c r="GP1684" s="292" t="s">
        <v>7494</v>
      </c>
    </row>
    <row r="1685" spans="1:231" x14ac:dyDescent="0.25">
      <c r="A1685" s="55">
        <v>1684</v>
      </c>
      <c r="B1685" s="12" t="s">
        <v>7067</v>
      </c>
      <c r="C1685" s="155">
        <v>80</v>
      </c>
      <c r="D1685" s="55" t="s">
        <v>4013</v>
      </c>
      <c r="E1685" s="90" t="s">
        <v>1411</v>
      </c>
      <c r="G1685" s="55" t="s">
        <v>1412</v>
      </c>
      <c r="H1685" s="55">
        <v>1950</v>
      </c>
      <c r="I1685" s="55">
        <v>1943</v>
      </c>
      <c r="J1685" s="55" t="s">
        <v>282</v>
      </c>
      <c r="K1685" s="55" t="s">
        <v>1413</v>
      </c>
      <c r="L1685" s="55" t="s">
        <v>2737</v>
      </c>
      <c r="M1685" s="90">
        <v>40.479999999999997</v>
      </c>
      <c r="N1685" s="90">
        <v>-74.44</v>
      </c>
      <c r="O1685" s="90">
        <v>40.5</v>
      </c>
      <c r="U1685" s="55">
        <v>5</v>
      </c>
      <c r="V1685" s="55" t="s">
        <v>1818</v>
      </c>
      <c r="Y1685" s="55" t="s">
        <v>1968</v>
      </c>
      <c r="Z1685" s="55" t="s">
        <v>1344</v>
      </c>
      <c r="AA1685" s="90" t="s">
        <v>1344</v>
      </c>
      <c r="AH1685" s="55" t="s">
        <v>174</v>
      </c>
      <c r="AM1685" s="55" t="s">
        <v>6364</v>
      </c>
      <c r="AN1685" s="185" t="s">
        <v>131</v>
      </c>
      <c r="AO1685" s="185" t="s">
        <v>5150</v>
      </c>
      <c r="AQ1685" s="55" t="s">
        <v>131</v>
      </c>
      <c r="AR1685" s="55" t="s">
        <v>1555</v>
      </c>
      <c r="AS1685" s="55" t="s">
        <v>1577</v>
      </c>
      <c r="AU1685" s="181" t="s">
        <v>7494</v>
      </c>
      <c r="AV1685" s="185" t="s">
        <v>176</v>
      </c>
      <c r="AX1685" s="185" t="s">
        <v>176</v>
      </c>
      <c r="BK1685" s="55" t="s">
        <v>5976</v>
      </c>
      <c r="BM1685" s="192" t="s">
        <v>160</v>
      </c>
      <c r="BN1685" s="55">
        <v>4</v>
      </c>
      <c r="BO1685" s="55">
        <v>4</v>
      </c>
      <c r="BQ1685" s="55" t="s">
        <v>141</v>
      </c>
      <c r="BV1685" s="55" t="s">
        <v>857</v>
      </c>
      <c r="FJ1685" s="65">
        <f>0.4536/0.4/1000*962.74</f>
        <v>1.0917471599999997</v>
      </c>
      <c r="FK1685" s="65">
        <f>0.4536/0.4/1000*567.65</f>
        <v>0.64371509999999987</v>
      </c>
      <c r="FN1685" s="65" t="s">
        <v>6360</v>
      </c>
      <c r="FO1685" s="65">
        <f>10*13.17</f>
        <v>131.69999999999999</v>
      </c>
      <c r="FP1685" s="65">
        <f>10*8.65</f>
        <v>86.5</v>
      </c>
      <c r="FS1685" s="65" t="s">
        <v>6369</v>
      </c>
      <c r="GP1685" s="292" t="s">
        <v>7494</v>
      </c>
    </row>
    <row r="1686" spans="1:231" x14ac:dyDescent="0.25">
      <c r="A1686" s="55">
        <v>1685</v>
      </c>
      <c r="B1686" s="12" t="s">
        <v>7067</v>
      </c>
      <c r="C1686" s="155">
        <v>80</v>
      </c>
      <c r="D1686" s="55" t="s">
        <v>4013</v>
      </c>
      <c r="E1686" s="90" t="s">
        <v>1411</v>
      </c>
      <c r="G1686" s="55" t="s">
        <v>1412</v>
      </c>
      <c r="H1686" s="55">
        <v>1950</v>
      </c>
      <c r="I1686" s="55">
        <v>1943</v>
      </c>
      <c r="J1686" s="55" t="s">
        <v>282</v>
      </c>
      <c r="K1686" s="55" t="s">
        <v>1413</v>
      </c>
      <c r="L1686" s="55" t="s">
        <v>2737</v>
      </c>
      <c r="M1686" s="90">
        <v>40.479999999999997</v>
      </c>
      <c r="N1686" s="90">
        <v>-74.44</v>
      </c>
      <c r="O1686" s="90">
        <v>40.5</v>
      </c>
      <c r="U1686" s="55">
        <v>5</v>
      </c>
      <c r="V1686" s="55" t="s">
        <v>1818</v>
      </c>
      <c r="Y1686" s="55" t="s">
        <v>1968</v>
      </c>
      <c r="Z1686" s="55" t="s">
        <v>1344</v>
      </c>
      <c r="AA1686" s="90" t="s">
        <v>1344</v>
      </c>
      <c r="AH1686" s="55" t="s">
        <v>174</v>
      </c>
      <c r="AM1686" s="55" t="s">
        <v>6364</v>
      </c>
      <c r="AN1686" s="185" t="s">
        <v>131</v>
      </c>
      <c r="AO1686" s="185" t="s">
        <v>5150</v>
      </c>
      <c r="AQ1686" s="55" t="s">
        <v>131</v>
      </c>
      <c r="AR1686" s="55" t="s">
        <v>1555</v>
      </c>
      <c r="AS1686" s="55" t="s">
        <v>1577</v>
      </c>
      <c r="AU1686" s="181" t="s">
        <v>7494</v>
      </c>
      <c r="AV1686" s="185" t="s">
        <v>176</v>
      </c>
      <c r="AX1686" s="185" t="s">
        <v>176</v>
      </c>
      <c r="BK1686" s="55" t="s">
        <v>5976</v>
      </c>
      <c r="BM1686" s="192" t="s">
        <v>160</v>
      </c>
      <c r="BN1686" s="55">
        <v>4</v>
      </c>
      <c r="BO1686" s="55">
        <v>4</v>
      </c>
      <c r="BQ1686" s="55" t="s">
        <v>141</v>
      </c>
      <c r="BV1686" s="55" t="s">
        <v>855</v>
      </c>
      <c r="FJ1686" s="65">
        <f>0.4536/0.4/1000*757.93</f>
        <v>0.85949261999999982</v>
      </c>
      <c r="FK1686" s="65">
        <f>0.4536/0.4/1000*349.23</f>
        <v>0.39602681999999995</v>
      </c>
      <c r="FN1686" s="65" t="s">
        <v>6360</v>
      </c>
      <c r="FO1686" s="65">
        <f>10*13.77</f>
        <v>137.69999999999999</v>
      </c>
      <c r="FP1686" s="65">
        <f>10*7.73</f>
        <v>77.300000000000011</v>
      </c>
      <c r="FS1686" s="65" t="s">
        <v>6369</v>
      </c>
      <c r="GP1686" s="292" t="s">
        <v>7494</v>
      </c>
    </row>
    <row r="1687" spans="1:231" x14ac:dyDescent="0.25">
      <c r="A1687" s="55">
        <v>1686</v>
      </c>
      <c r="B1687" s="12" t="s">
        <v>7067</v>
      </c>
      <c r="C1687" s="155">
        <v>80</v>
      </c>
      <c r="D1687" s="55" t="s">
        <v>4013</v>
      </c>
      <c r="E1687" s="90" t="s">
        <v>1411</v>
      </c>
      <c r="G1687" s="55" t="s">
        <v>1412</v>
      </c>
      <c r="H1687" s="55">
        <v>1950</v>
      </c>
      <c r="I1687" s="55">
        <v>1943</v>
      </c>
      <c r="J1687" s="55" t="s">
        <v>282</v>
      </c>
      <c r="K1687" s="55" t="s">
        <v>1413</v>
      </c>
      <c r="L1687" s="55" t="s">
        <v>2737</v>
      </c>
      <c r="M1687" s="90">
        <v>40.479999999999997</v>
      </c>
      <c r="N1687" s="90">
        <v>-74.44</v>
      </c>
      <c r="O1687" s="90">
        <v>40.5</v>
      </c>
      <c r="U1687" s="55">
        <v>5</v>
      </c>
      <c r="V1687" s="55" t="s">
        <v>1818</v>
      </c>
      <c r="Y1687" s="55" t="s">
        <v>1968</v>
      </c>
      <c r="Z1687" s="55" t="s">
        <v>1344</v>
      </c>
      <c r="AA1687" s="90" t="s">
        <v>1344</v>
      </c>
      <c r="AH1687" s="55" t="s">
        <v>174</v>
      </c>
      <c r="AM1687" s="55" t="s">
        <v>6364</v>
      </c>
      <c r="AN1687" s="185" t="s">
        <v>131</v>
      </c>
      <c r="AO1687" s="185" t="s">
        <v>5150</v>
      </c>
      <c r="AQ1687" s="55" t="s">
        <v>131</v>
      </c>
      <c r="AR1687" s="55" t="s">
        <v>1555</v>
      </c>
      <c r="AS1687" s="55" t="s">
        <v>1577</v>
      </c>
      <c r="AU1687" s="181" t="s">
        <v>7494</v>
      </c>
      <c r="AV1687" s="185" t="s">
        <v>176</v>
      </c>
      <c r="AX1687" s="185" t="s">
        <v>176</v>
      </c>
      <c r="BK1687" s="55" t="s">
        <v>5976</v>
      </c>
      <c r="BM1687" s="192" t="s">
        <v>160</v>
      </c>
      <c r="BN1687" s="55">
        <v>4</v>
      </c>
      <c r="BO1687" s="55">
        <v>4</v>
      </c>
      <c r="BQ1687" s="55" t="s">
        <v>141</v>
      </c>
      <c r="BV1687" s="55" t="s">
        <v>856</v>
      </c>
      <c r="FJ1687" s="65">
        <f>0.4536/0.4/1000*811.88</f>
        <v>0.92067191999999987</v>
      </c>
      <c r="FK1687" s="65">
        <f>0.4536/0.4/1000*76.38</f>
        <v>8.6614919999999984E-2</v>
      </c>
      <c r="FN1687" s="65" t="s">
        <v>6360</v>
      </c>
      <c r="FO1687" s="65">
        <f>10*10.44</f>
        <v>104.39999999999999</v>
      </c>
      <c r="FP1687" s="65">
        <f>10*3.5</f>
        <v>35</v>
      </c>
      <c r="FS1687" s="65" t="s">
        <v>6369</v>
      </c>
      <c r="GP1687" s="292" t="s">
        <v>7494</v>
      </c>
    </row>
    <row r="1688" spans="1:231" x14ac:dyDescent="0.25">
      <c r="A1688" s="55">
        <v>1687</v>
      </c>
      <c r="B1688" s="12" t="s">
        <v>7067</v>
      </c>
      <c r="C1688" s="155">
        <v>80</v>
      </c>
      <c r="D1688" s="55" t="s">
        <v>4013</v>
      </c>
      <c r="E1688" s="90" t="s">
        <v>1411</v>
      </c>
      <c r="G1688" s="55" t="s">
        <v>1412</v>
      </c>
      <c r="H1688" s="55">
        <v>1950</v>
      </c>
      <c r="I1688" s="55">
        <v>1943</v>
      </c>
      <c r="J1688" s="55" t="s">
        <v>282</v>
      </c>
      <c r="K1688" s="55" t="s">
        <v>1413</v>
      </c>
      <c r="L1688" s="55" t="s">
        <v>2737</v>
      </c>
      <c r="M1688" s="90">
        <v>40.479999999999997</v>
      </c>
      <c r="N1688" s="90">
        <v>-74.44</v>
      </c>
      <c r="O1688" s="90">
        <v>40.5</v>
      </c>
      <c r="U1688" s="55">
        <v>5</v>
      </c>
      <c r="V1688" s="55" t="s">
        <v>1818</v>
      </c>
      <c r="Y1688" s="55" t="s">
        <v>1968</v>
      </c>
      <c r="Z1688" s="55" t="s">
        <v>1344</v>
      </c>
      <c r="AA1688" s="90" t="s">
        <v>1344</v>
      </c>
      <c r="AH1688" s="55" t="s">
        <v>174</v>
      </c>
      <c r="AM1688" s="55" t="s">
        <v>6364</v>
      </c>
      <c r="AN1688" s="185" t="s">
        <v>131</v>
      </c>
      <c r="AO1688" s="185" t="s">
        <v>5150</v>
      </c>
      <c r="AQ1688" s="55" t="s">
        <v>131</v>
      </c>
      <c r="AR1688" s="55" t="s">
        <v>1555</v>
      </c>
      <c r="AS1688" s="55" t="s">
        <v>1577</v>
      </c>
      <c r="AU1688" s="181" t="s">
        <v>7494</v>
      </c>
      <c r="AV1688" s="185" t="s">
        <v>176</v>
      </c>
      <c r="AX1688" s="185" t="s">
        <v>176</v>
      </c>
      <c r="BK1688" s="55" t="s">
        <v>5976</v>
      </c>
      <c r="BM1688" s="192" t="s">
        <v>160</v>
      </c>
      <c r="BN1688" s="55">
        <v>4</v>
      </c>
      <c r="BO1688" s="55">
        <v>4</v>
      </c>
      <c r="BQ1688" s="55" t="s">
        <v>141</v>
      </c>
      <c r="BV1688" s="55" t="s">
        <v>754</v>
      </c>
      <c r="FJ1688" s="65">
        <f>0.4536/0.4/1000*702.4</f>
        <v>0.79652159999999983</v>
      </c>
      <c r="FK1688" s="65">
        <f>0.4536/0.4/1000*62.23</f>
        <v>7.056881999999999E-2</v>
      </c>
      <c r="FN1688" s="65" t="s">
        <v>6360</v>
      </c>
      <c r="FO1688" s="65">
        <f>10*14.95</f>
        <v>149.5</v>
      </c>
      <c r="FP1688" s="65">
        <f>10*1.38</f>
        <v>13.799999999999999</v>
      </c>
      <c r="FS1688" s="65" t="s">
        <v>6369</v>
      </c>
      <c r="GP1688" s="292" t="s">
        <v>7494</v>
      </c>
    </row>
    <row r="1689" spans="1:231" x14ac:dyDescent="0.25">
      <c r="A1689" s="55">
        <v>1688</v>
      </c>
      <c r="B1689" s="12" t="s">
        <v>7067</v>
      </c>
      <c r="C1689" s="155">
        <v>80</v>
      </c>
      <c r="D1689" s="55" t="s">
        <v>4013</v>
      </c>
      <c r="E1689" s="90" t="s">
        <v>1411</v>
      </c>
      <c r="G1689" s="55" t="s">
        <v>1412</v>
      </c>
      <c r="H1689" s="55">
        <v>1950</v>
      </c>
      <c r="I1689" s="55">
        <v>1943</v>
      </c>
      <c r="J1689" s="55" t="s">
        <v>282</v>
      </c>
      <c r="K1689" s="55" t="s">
        <v>1413</v>
      </c>
      <c r="L1689" s="55" t="s">
        <v>2737</v>
      </c>
      <c r="M1689" s="90">
        <v>40.479999999999997</v>
      </c>
      <c r="N1689" s="90">
        <v>-74.44</v>
      </c>
      <c r="O1689" s="90">
        <v>40.5</v>
      </c>
      <c r="U1689" s="55">
        <v>5</v>
      </c>
      <c r="V1689" s="55" t="s">
        <v>1818</v>
      </c>
      <c r="Y1689" s="55" t="s">
        <v>1968</v>
      </c>
      <c r="Z1689" s="55" t="s">
        <v>1344</v>
      </c>
      <c r="AA1689" s="90" t="s">
        <v>1344</v>
      </c>
      <c r="AH1689" s="55" t="s">
        <v>174</v>
      </c>
      <c r="AM1689" s="55" t="s">
        <v>6364</v>
      </c>
      <c r="AN1689" s="185" t="s">
        <v>131</v>
      </c>
      <c r="AO1689" s="185" t="s">
        <v>5150</v>
      </c>
      <c r="AQ1689" s="55" t="s">
        <v>131</v>
      </c>
      <c r="AR1689" s="55" t="s">
        <v>1555</v>
      </c>
      <c r="AS1689" s="55" t="s">
        <v>1577</v>
      </c>
      <c r="AU1689" s="181" t="s">
        <v>7494</v>
      </c>
      <c r="AV1689" s="185" t="s">
        <v>176</v>
      </c>
      <c r="AX1689" s="185" t="s">
        <v>176</v>
      </c>
      <c r="BK1689" s="55" t="s">
        <v>5976</v>
      </c>
      <c r="BM1689" s="192" t="s">
        <v>160</v>
      </c>
      <c r="BN1689" s="55">
        <v>4</v>
      </c>
      <c r="BO1689" s="55">
        <v>4</v>
      </c>
      <c r="BQ1689" s="55" t="s">
        <v>141</v>
      </c>
      <c r="BV1689" s="55" t="s">
        <v>955</v>
      </c>
      <c r="FJ1689" s="65">
        <f>0.4536/0.4/1000*48.3</f>
        <v>5.4772199999999986E-2</v>
      </c>
      <c r="FK1689" s="65">
        <f>0.4536/0.4/1000*6</f>
        <v>6.8039999999999993E-3</v>
      </c>
      <c r="FN1689" s="65" t="s">
        <v>6360</v>
      </c>
      <c r="FO1689" s="65">
        <f>10*1.67</f>
        <v>16.7</v>
      </c>
      <c r="FP1689" s="65">
        <f>10*0.14</f>
        <v>1.4000000000000001</v>
      </c>
      <c r="FS1689" s="65" t="s">
        <v>6369</v>
      </c>
      <c r="GP1689" s="292" t="s">
        <v>7494</v>
      </c>
    </row>
    <row r="1690" spans="1:231" x14ac:dyDescent="0.25">
      <c r="A1690" s="55">
        <v>1689</v>
      </c>
      <c r="B1690" s="12" t="s">
        <v>7067</v>
      </c>
      <c r="C1690" s="155">
        <v>81</v>
      </c>
      <c r="D1690" s="55" t="s">
        <v>4014</v>
      </c>
      <c r="E1690" s="90" t="s">
        <v>1418</v>
      </c>
      <c r="G1690" s="55" t="s">
        <v>1419</v>
      </c>
      <c r="H1690" s="55">
        <v>2016</v>
      </c>
      <c r="I1690" s="55">
        <v>1998</v>
      </c>
      <c r="J1690" s="55" t="s">
        <v>1420</v>
      </c>
      <c r="K1690" s="55" t="s">
        <v>2739</v>
      </c>
      <c r="L1690" s="55" t="s">
        <v>2737</v>
      </c>
      <c r="M1690" s="90">
        <v>38.94</v>
      </c>
      <c r="N1690" s="90">
        <v>-92.33</v>
      </c>
      <c r="O1690" s="90">
        <v>225</v>
      </c>
      <c r="U1690" s="55" t="s">
        <v>1970</v>
      </c>
      <c r="V1690" s="55" t="s">
        <v>1970</v>
      </c>
      <c r="Y1690" s="55" t="s">
        <v>1969</v>
      </c>
      <c r="Z1690" s="55" t="s">
        <v>1355</v>
      </c>
      <c r="AA1690" s="90" t="s">
        <v>1679</v>
      </c>
      <c r="AH1690" s="55" t="s">
        <v>6378</v>
      </c>
      <c r="AN1690" s="185" t="s">
        <v>376</v>
      </c>
      <c r="AO1690" s="185" t="s">
        <v>5150</v>
      </c>
      <c r="AQ1690" s="55" t="s">
        <v>553</v>
      </c>
      <c r="AR1690" s="55" t="s">
        <v>1491</v>
      </c>
      <c r="AS1690" s="55" t="s">
        <v>1587</v>
      </c>
      <c r="AU1690" s="181" t="s">
        <v>7494</v>
      </c>
      <c r="AV1690" s="185" t="s">
        <v>176</v>
      </c>
      <c r="AX1690" s="185" t="s">
        <v>176</v>
      </c>
      <c r="BK1690" s="55" t="s">
        <v>5976</v>
      </c>
      <c r="BM1690" s="192" t="s">
        <v>160</v>
      </c>
      <c r="BQ1690" s="55" t="s">
        <v>141</v>
      </c>
      <c r="BV1690" s="55" t="s">
        <v>1422</v>
      </c>
      <c r="GP1690" s="292" t="s">
        <v>7494</v>
      </c>
      <c r="HS1690" s="65">
        <v>1.5</v>
      </c>
      <c r="HT1690" s="65">
        <v>2.4300000000000002</v>
      </c>
      <c r="HW1690" s="65" t="s">
        <v>1423</v>
      </c>
    </row>
    <row r="1691" spans="1:231" x14ac:dyDescent="0.25">
      <c r="A1691" s="55">
        <v>1690</v>
      </c>
      <c r="B1691" s="12" t="s">
        <v>7067</v>
      </c>
      <c r="C1691" s="155">
        <v>81</v>
      </c>
      <c r="D1691" s="55" t="s">
        <v>4015</v>
      </c>
      <c r="E1691" s="90" t="s">
        <v>1418</v>
      </c>
      <c r="G1691" s="55" t="s">
        <v>1419</v>
      </c>
      <c r="H1691" s="55">
        <v>2016</v>
      </c>
      <c r="I1691" s="55">
        <v>1998</v>
      </c>
      <c r="J1691" s="55" t="s">
        <v>1420</v>
      </c>
      <c r="K1691" s="55" t="s">
        <v>2739</v>
      </c>
      <c r="L1691" s="55" t="s">
        <v>2737</v>
      </c>
      <c r="M1691" s="90">
        <v>38.94</v>
      </c>
      <c r="N1691" s="90">
        <v>-92.33</v>
      </c>
      <c r="O1691" s="90">
        <v>225</v>
      </c>
      <c r="U1691" s="55" t="s">
        <v>1970</v>
      </c>
      <c r="V1691" s="55" t="s">
        <v>1970</v>
      </c>
      <c r="Y1691" s="55" t="s">
        <v>1969</v>
      </c>
      <c r="Z1691" s="55" t="s">
        <v>1355</v>
      </c>
      <c r="AA1691" s="90" t="s">
        <v>1679</v>
      </c>
      <c r="AH1691" s="55" t="s">
        <v>6378</v>
      </c>
      <c r="AN1691" s="185" t="s">
        <v>376</v>
      </c>
      <c r="AO1691" s="185" t="s">
        <v>5150</v>
      </c>
      <c r="AQ1691" s="55" t="s">
        <v>553</v>
      </c>
      <c r="AR1691" s="55" t="s">
        <v>1421</v>
      </c>
      <c r="AS1691" s="55" t="s">
        <v>1587</v>
      </c>
      <c r="AU1691" s="181" t="s">
        <v>7494</v>
      </c>
      <c r="AV1691" s="185" t="s">
        <v>176</v>
      </c>
      <c r="AX1691" s="185" t="s">
        <v>176</v>
      </c>
      <c r="BK1691" s="55" t="s">
        <v>5976</v>
      </c>
      <c r="BM1691" s="192" t="s">
        <v>160</v>
      </c>
      <c r="BQ1691" s="55" t="s">
        <v>141</v>
      </c>
      <c r="BV1691" s="55" t="s">
        <v>1422</v>
      </c>
      <c r="GP1691" s="292" t="s">
        <v>7494</v>
      </c>
      <c r="HS1691" s="65">
        <v>1.97</v>
      </c>
      <c r="HT1691" s="65">
        <v>2.4300000000000002</v>
      </c>
      <c r="HW1691" s="65" t="s">
        <v>1423</v>
      </c>
    </row>
    <row r="1692" spans="1:231" x14ac:dyDescent="0.25">
      <c r="A1692" s="55">
        <v>1691</v>
      </c>
      <c r="B1692" s="12" t="s">
        <v>7067</v>
      </c>
      <c r="C1692" s="155">
        <v>81</v>
      </c>
      <c r="D1692" s="55" t="s">
        <v>4016</v>
      </c>
      <c r="E1692" s="90" t="s">
        <v>1418</v>
      </c>
      <c r="G1692" s="55" t="s">
        <v>1419</v>
      </c>
      <c r="H1692" s="55">
        <v>2016</v>
      </c>
      <c r="I1692" s="55">
        <v>1998</v>
      </c>
      <c r="J1692" s="55" t="s">
        <v>1420</v>
      </c>
      <c r="K1692" s="55" t="s">
        <v>2739</v>
      </c>
      <c r="L1692" s="55" t="s">
        <v>2737</v>
      </c>
      <c r="M1692" s="90">
        <v>38.94</v>
      </c>
      <c r="N1692" s="90">
        <v>-92.33</v>
      </c>
      <c r="O1692" s="90">
        <v>225</v>
      </c>
      <c r="U1692" s="55" t="s">
        <v>1970</v>
      </c>
      <c r="V1692" s="55" t="s">
        <v>1970</v>
      </c>
      <c r="Y1692" s="55" t="s">
        <v>1969</v>
      </c>
      <c r="Z1692" s="55" t="s">
        <v>1355</v>
      </c>
      <c r="AA1692" s="90" t="s">
        <v>1679</v>
      </c>
      <c r="AH1692" s="55" t="s">
        <v>6378</v>
      </c>
      <c r="AN1692" s="185" t="s">
        <v>376</v>
      </c>
      <c r="AO1692" s="185" t="s">
        <v>5150</v>
      </c>
      <c r="AQ1692" s="55" t="s">
        <v>553</v>
      </c>
      <c r="AR1692" s="55" t="s">
        <v>132</v>
      </c>
      <c r="AS1692" s="55" t="s">
        <v>1587</v>
      </c>
      <c r="AU1692" s="181" t="s">
        <v>7494</v>
      </c>
      <c r="AV1692" s="185" t="s">
        <v>176</v>
      </c>
      <c r="AX1692" s="185" t="s">
        <v>176</v>
      </c>
      <c r="BK1692" s="55" t="s">
        <v>5976</v>
      </c>
      <c r="BM1692" s="192" t="s">
        <v>160</v>
      </c>
      <c r="BQ1692" s="55" t="s">
        <v>141</v>
      </c>
      <c r="BV1692" s="55" t="s">
        <v>1422</v>
      </c>
      <c r="GP1692" s="292" t="s">
        <v>7494</v>
      </c>
      <c r="HS1692" s="65">
        <v>2.2799999999999998</v>
      </c>
      <c r="HT1692" s="65">
        <v>2.4300000000000002</v>
      </c>
      <c r="HW1692" s="65" t="s">
        <v>1423</v>
      </c>
    </row>
    <row r="1693" spans="1:231" x14ac:dyDescent="0.25">
      <c r="A1693" s="55">
        <v>1692</v>
      </c>
      <c r="B1693" s="12" t="s">
        <v>7067</v>
      </c>
      <c r="C1693" s="155">
        <v>82</v>
      </c>
      <c r="D1693" s="55" t="s">
        <v>4017</v>
      </c>
      <c r="E1693" s="90" t="s">
        <v>1424</v>
      </c>
      <c r="G1693" s="55" t="s">
        <v>1425</v>
      </c>
      <c r="H1693" s="55">
        <v>2007</v>
      </c>
      <c r="I1693" s="55">
        <v>2000</v>
      </c>
      <c r="J1693" s="55" t="s">
        <v>1426</v>
      </c>
      <c r="K1693" s="55" t="s">
        <v>1427</v>
      </c>
      <c r="L1693" s="55" t="s">
        <v>2737</v>
      </c>
      <c r="M1693" s="90">
        <v>42.74</v>
      </c>
      <c r="N1693" s="90">
        <v>-84.48</v>
      </c>
      <c r="O1693" s="90">
        <v>260</v>
      </c>
      <c r="U1693" s="55" t="s">
        <v>1805</v>
      </c>
      <c r="V1693" s="55" t="s">
        <v>1688</v>
      </c>
      <c r="Y1693" s="55" t="s">
        <v>1923</v>
      </c>
      <c r="Z1693" s="55" t="s">
        <v>1356</v>
      </c>
      <c r="AA1693" s="90" t="s">
        <v>1680</v>
      </c>
      <c r="AH1693" s="55" t="s">
        <v>139</v>
      </c>
      <c r="AN1693" s="185" t="s">
        <v>116</v>
      </c>
      <c r="AO1693" s="185" t="s">
        <v>5150</v>
      </c>
      <c r="AQ1693" s="55" t="s">
        <v>1545</v>
      </c>
      <c r="AR1693" s="55" t="s">
        <v>158</v>
      </c>
      <c r="AS1693" s="55" t="s">
        <v>1575</v>
      </c>
      <c r="AT1693" s="181" t="s">
        <v>658</v>
      </c>
      <c r="AU1693" s="181" t="s">
        <v>5150</v>
      </c>
      <c r="AV1693" s="185" t="s">
        <v>176</v>
      </c>
      <c r="AW1693" s="55" t="s">
        <v>658</v>
      </c>
      <c r="AX1693" s="185" t="s">
        <v>176</v>
      </c>
      <c r="AY1693" s="55" t="s">
        <v>176</v>
      </c>
      <c r="BK1693" s="55" t="s">
        <v>5976</v>
      </c>
      <c r="BM1693" s="192" t="s">
        <v>160</v>
      </c>
      <c r="BN1693" s="55">
        <v>4</v>
      </c>
      <c r="BO1693" s="55">
        <v>4</v>
      </c>
      <c r="BQ1693" s="55" t="s">
        <v>315</v>
      </c>
      <c r="DB1693" s="65">
        <v>1.4</v>
      </c>
      <c r="DC1693" s="65">
        <v>1.1000000000000001</v>
      </c>
      <c r="DF1693" s="65" t="s">
        <v>1634</v>
      </c>
      <c r="GP1693" s="292" t="s">
        <v>7494</v>
      </c>
    </row>
    <row r="1694" spans="1:231" x14ac:dyDescent="0.25">
      <c r="A1694" s="55">
        <v>1693</v>
      </c>
      <c r="B1694" s="12" t="s">
        <v>7067</v>
      </c>
      <c r="C1694" s="155">
        <v>82</v>
      </c>
      <c r="D1694" s="55" t="s">
        <v>4018</v>
      </c>
      <c r="E1694" s="90" t="s">
        <v>1424</v>
      </c>
      <c r="G1694" s="55" t="s">
        <v>1425</v>
      </c>
      <c r="H1694" s="55">
        <v>2007</v>
      </c>
      <c r="I1694" s="55">
        <v>2000</v>
      </c>
      <c r="J1694" s="55" t="s">
        <v>1426</v>
      </c>
      <c r="K1694" s="55" t="s">
        <v>1427</v>
      </c>
      <c r="L1694" s="55" t="s">
        <v>2737</v>
      </c>
      <c r="M1694" s="90">
        <v>42.74</v>
      </c>
      <c r="N1694" s="90">
        <v>-84.48</v>
      </c>
      <c r="O1694" s="90">
        <v>260</v>
      </c>
      <c r="U1694" s="55" t="s">
        <v>1805</v>
      </c>
      <c r="V1694" s="55" t="s">
        <v>1688</v>
      </c>
      <c r="Y1694" s="55" t="s">
        <v>1923</v>
      </c>
      <c r="Z1694" s="55" t="s">
        <v>1356</v>
      </c>
      <c r="AA1694" s="90" t="s">
        <v>1680</v>
      </c>
      <c r="AH1694" s="55" t="s">
        <v>139</v>
      </c>
      <c r="AN1694" s="185" t="s">
        <v>131</v>
      </c>
      <c r="AO1694" s="185" t="s">
        <v>5150</v>
      </c>
      <c r="AQ1694" s="55" t="s">
        <v>131</v>
      </c>
      <c r="AR1694" s="55" t="s">
        <v>158</v>
      </c>
      <c r="AS1694" s="55" t="s">
        <v>1575</v>
      </c>
      <c r="AT1694" s="181" t="s">
        <v>658</v>
      </c>
      <c r="AU1694" s="181" t="s">
        <v>5150</v>
      </c>
      <c r="AV1694" s="185" t="s">
        <v>176</v>
      </c>
      <c r="AW1694" s="55" t="s">
        <v>658</v>
      </c>
      <c r="AX1694" s="185" t="s">
        <v>176</v>
      </c>
      <c r="AY1694" s="55" t="s">
        <v>176</v>
      </c>
      <c r="BK1694" s="55" t="s">
        <v>5976</v>
      </c>
      <c r="BM1694" s="192" t="s">
        <v>160</v>
      </c>
      <c r="BN1694" s="55">
        <v>4</v>
      </c>
      <c r="BO1694" s="55">
        <v>4</v>
      </c>
      <c r="BQ1694" s="55" t="s">
        <v>315</v>
      </c>
      <c r="DB1694" s="65">
        <v>1.4</v>
      </c>
      <c r="DC1694" s="65">
        <v>1.1000000000000001</v>
      </c>
      <c r="DF1694" s="65" t="s">
        <v>1634</v>
      </c>
      <c r="GP1694" s="292" t="s">
        <v>7494</v>
      </c>
    </row>
    <row r="1695" spans="1:231" x14ac:dyDescent="0.25">
      <c r="A1695" s="55">
        <v>1694</v>
      </c>
      <c r="B1695" s="12" t="s">
        <v>7067</v>
      </c>
      <c r="C1695" s="155">
        <v>82</v>
      </c>
      <c r="D1695" s="55" t="s">
        <v>4018</v>
      </c>
      <c r="E1695" s="90" t="s">
        <v>1424</v>
      </c>
      <c r="G1695" s="55" t="s">
        <v>1425</v>
      </c>
      <c r="H1695" s="55">
        <v>2007</v>
      </c>
      <c r="I1695" s="55">
        <v>2000</v>
      </c>
      <c r="J1695" s="55" t="s">
        <v>1426</v>
      </c>
      <c r="K1695" s="55" t="s">
        <v>1427</v>
      </c>
      <c r="L1695" s="55" t="s">
        <v>2737</v>
      </c>
      <c r="M1695" s="90">
        <v>42.74</v>
      </c>
      <c r="N1695" s="90">
        <v>-84.48</v>
      </c>
      <c r="O1695" s="90">
        <v>260</v>
      </c>
      <c r="U1695" s="55" t="s">
        <v>1805</v>
      </c>
      <c r="V1695" s="55" t="s">
        <v>1688</v>
      </c>
      <c r="Y1695" s="55" t="s">
        <v>1923</v>
      </c>
      <c r="Z1695" s="55" t="s">
        <v>1356</v>
      </c>
      <c r="AA1695" s="90" t="s">
        <v>1680</v>
      </c>
      <c r="AH1695" s="55" t="s">
        <v>139</v>
      </c>
      <c r="AN1695" s="185" t="s">
        <v>1509</v>
      </c>
      <c r="AO1695" s="185" t="s">
        <v>5150</v>
      </c>
      <c r="AQ1695" s="55" t="s">
        <v>131</v>
      </c>
      <c r="AR1695" s="55" t="s">
        <v>158</v>
      </c>
      <c r="AS1695" s="55" t="s">
        <v>1575</v>
      </c>
      <c r="AT1695" s="181" t="s">
        <v>658</v>
      </c>
      <c r="AU1695" s="181" t="s">
        <v>5150</v>
      </c>
      <c r="AV1695" s="185" t="s">
        <v>176</v>
      </c>
      <c r="AW1695" s="55" t="s">
        <v>658</v>
      </c>
      <c r="AX1695" s="185" t="s">
        <v>176</v>
      </c>
      <c r="AY1695" s="55" t="s">
        <v>176</v>
      </c>
      <c r="BK1695" s="55" t="s">
        <v>5976</v>
      </c>
      <c r="BM1695" s="192" t="s">
        <v>160</v>
      </c>
      <c r="BN1695" s="55">
        <v>4</v>
      </c>
      <c r="BO1695" s="55">
        <v>4</v>
      </c>
      <c r="BQ1695" s="55" t="s">
        <v>315</v>
      </c>
      <c r="DB1695" s="65">
        <v>1.4</v>
      </c>
      <c r="DC1695" s="65">
        <v>0.9</v>
      </c>
      <c r="DF1695" s="65" t="s">
        <v>1634</v>
      </c>
      <c r="GP1695" s="292" t="s">
        <v>7494</v>
      </c>
    </row>
    <row r="1696" spans="1:231" x14ac:dyDescent="0.25">
      <c r="A1696" s="55">
        <v>1695</v>
      </c>
      <c r="B1696" s="12" t="s">
        <v>7067</v>
      </c>
      <c r="C1696" s="155">
        <v>82</v>
      </c>
      <c r="D1696" s="55" t="s">
        <v>4019</v>
      </c>
      <c r="E1696" s="90" t="s">
        <v>1424</v>
      </c>
      <c r="G1696" s="55" t="s">
        <v>1425</v>
      </c>
      <c r="H1696" s="55">
        <v>2007</v>
      </c>
      <c r="I1696" s="55">
        <v>2000</v>
      </c>
      <c r="J1696" s="55" t="s">
        <v>1426</v>
      </c>
      <c r="K1696" s="55" t="s">
        <v>1427</v>
      </c>
      <c r="L1696" s="55" t="s">
        <v>2737</v>
      </c>
      <c r="M1696" s="90">
        <v>42.74</v>
      </c>
      <c r="N1696" s="90">
        <v>-84.48</v>
      </c>
      <c r="O1696" s="90">
        <v>260</v>
      </c>
      <c r="U1696" s="55" t="s">
        <v>1805</v>
      </c>
      <c r="V1696" s="55" t="s">
        <v>1688</v>
      </c>
      <c r="Y1696" s="55" t="s">
        <v>1923</v>
      </c>
      <c r="Z1696" s="55" t="s">
        <v>1356</v>
      </c>
      <c r="AA1696" s="90" t="s">
        <v>1680</v>
      </c>
      <c r="AH1696" s="55" t="s">
        <v>139</v>
      </c>
      <c r="AN1696" s="185" t="s">
        <v>1510</v>
      </c>
      <c r="AO1696" s="185" t="s">
        <v>5150</v>
      </c>
      <c r="AQ1696" s="55" t="s">
        <v>1545</v>
      </c>
      <c r="AR1696" s="55" t="s">
        <v>158</v>
      </c>
      <c r="AS1696" s="55" t="s">
        <v>1575</v>
      </c>
      <c r="AT1696" s="181" t="s">
        <v>658</v>
      </c>
      <c r="AU1696" s="181" t="s">
        <v>5150</v>
      </c>
      <c r="AV1696" s="185" t="s">
        <v>176</v>
      </c>
      <c r="AW1696" s="55" t="s">
        <v>658</v>
      </c>
      <c r="AX1696" s="185" t="s">
        <v>176</v>
      </c>
      <c r="AY1696" s="55" t="s">
        <v>176</v>
      </c>
      <c r="BK1696" s="55" t="s">
        <v>5976</v>
      </c>
      <c r="BM1696" s="192" t="s">
        <v>160</v>
      </c>
      <c r="BN1696" s="55">
        <v>4</v>
      </c>
      <c r="BO1696" s="55">
        <v>4</v>
      </c>
      <c r="BQ1696" s="55" t="s">
        <v>315</v>
      </c>
      <c r="DB1696" s="65">
        <v>1.4</v>
      </c>
      <c r="DC1696" s="65">
        <v>0.8</v>
      </c>
      <c r="DF1696" s="65" t="s">
        <v>1634</v>
      </c>
      <c r="GP1696" s="292" t="s">
        <v>7494</v>
      </c>
    </row>
    <row r="1697" spans="1:198" x14ac:dyDescent="0.25">
      <c r="A1697" s="55">
        <v>1696</v>
      </c>
      <c r="B1697" s="12" t="s">
        <v>7067</v>
      </c>
      <c r="C1697" s="155">
        <v>82</v>
      </c>
      <c r="D1697" s="55" t="s">
        <v>4019</v>
      </c>
      <c r="E1697" s="90" t="s">
        <v>1424</v>
      </c>
      <c r="G1697" s="55" t="s">
        <v>1425</v>
      </c>
      <c r="H1697" s="55">
        <v>2007</v>
      </c>
      <c r="I1697" s="55">
        <v>2000</v>
      </c>
      <c r="J1697" s="55" t="s">
        <v>1426</v>
      </c>
      <c r="K1697" s="55" t="s">
        <v>1427</v>
      </c>
      <c r="L1697" s="55" t="s">
        <v>2737</v>
      </c>
      <c r="M1697" s="90">
        <v>42.74</v>
      </c>
      <c r="N1697" s="90">
        <v>-84.48</v>
      </c>
      <c r="O1697" s="90">
        <v>260</v>
      </c>
      <c r="U1697" s="55" t="s">
        <v>1805</v>
      </c>
      <c r="V1697" s="55" t="s">
        <v>1688</v>
      </c>
      <c r="Y1697" s="55" t="s">
        <v>1923</v>
      </c>
      <c r="Z1697" s="55" t="s">
        <v>1356</v>
      </c>
      <c r="AA1697" s="90" t="s">
        <v>1680</v>
      </c>
      <c r="AH1697" s="55" t="s">
        <v>139</v>
      </c>
      <c r="AN1697" s="185" t="s">
        <v>1511</v>
      </c>
      <c r="AO1697" s="185" t="s">
        <v>5150</v>
      </c>
      <c r="AQ1697" s="55" t="s">
        <v>1545</v>
      </c>
      <c r="AR1697" s="55" t="s">
        <v>158</v>
      </c>
      <c r="AS1697" s="55" t="s">
        <v>1575</v>
      </c>
      <c r="AT1697" s="181" t="s">
        <v>658</v>
      </c>
      <c r="AU1697" s="181" t="s">
        <v>5150</v>
      </c>
      <c r="AV1697" s="185" t="s">
        <v>176</v>
      </c>
      <c r="AW1697" s="55" t="s">
        <v>658</v>
      </c>
      <c r="AX1697" s="185" t="s">
        <v>176</v>
      </c>
      <c r="AY1697" s="55" t="s">
        <v>176</v>
      </c>
      <c r="BK1697" s="55" t="s">
        <v>5976</v>
      </c>
      <c r="BM1697" s="192" t="s">
        <v>160</v>
      </c>
      <c r="BN1697" s="55">
        <v>4</v>
      </c>
      <c r="BO1697" s="55">
        <v>4</v>
      </c>
      <c r="BQ1697" s="55" t="s">
        <v>315</v>
      </c>
      <c r="DB1697" s="65">
        <v>1.4</v>
      </c>
      <c r="DC1697" s="65">
        <v>0.6</v>
      </c>
      <c r="DF1697" s="65" t="s">
        <v>1634</v>
      </c>
      <c r="GP1697" s="292" t="s">
        <v>7494</v>
      </c>
    </row>
    <row r="1698" spans="1:198" x14ac:dyDescent="0.25">
      <c r="A1698" s="55">
        <v>1697</v>
      </c>
      <c r="B1698" s="12" t="s">
        <v>7067</v>
      </c>
      <c r="C1698" s="155">
        <v>82</v>
      </c>
      <c r="D1698" s="55" t="s">
        <v>4019</v>
      </c>
      <c r="E1698" s="90" t="s">
        <v>1424</v>
      </c>
      <c r="G1698" s="55" t="s">
        <v>1425</v>
      </c>
      <c r="H1698" s="55">
        <v>2007</v>
      </c>
      <c r="I1698" s="55">
        <v>2000</v>
      </c>
      <c r="J1698" s="55" t="s">
        <v>1426</v>
      </c>
      <c r="K1698" s="55" t="s">
        <v>1427</v>
      </c>
      <c r="L1698" s="55" t="s">
        <v>2737</v>
      </c>
      <c r="M1698" s="90">
        <v>42.74</v>
      </c>
      <c r="N1698" s="90">
        <v>-84.48</v>
      </c>
      <c r="O1698" s="90">
        <v>260</v>
      </c>
      <c r="U1698" s="55" t="s">
        <v>1805</v>
      </c>
      <c r="V1698" s="55" t="s">
        <v>1688</v>
      </c>
      <c r="Y1698" s="55" t="s">
        <v>1923</v>
      </c>
      <c r="Z1698" s="55" t="s">
        <v>1356</v>
      </c>
      <c r="AA1698" s="90" t="s">
        <v>1680</v>
      </c>
      <c r="AH1698" s="55" t="s">
        <v>139</v>
      </c>
      <c r="AN1698" s="185" t="s">
        <v>1512</v>
      </c>
      <c r="AO1698" s="185" t="s">
        <v>5150</v>
      </c>
      <c r="AQ1698" s="55" t="s">
        <v>1545</v>
      </c>
      <c r="AR1698" s="55" t="s">
        <v>158</v>
      </c>
      <c r="AS1698" s="55" t="s">
        <v>1575</v>
      </c>
      <c r="AT1698" s="181" t="s">
        <v>658</v>
      </c>
      <c r="AU1698" s="181" t="s">
        <v>5150</v>
      </c>
      <c r="AV1698" s="185" t="s">
        <v>176</v>
      </c>
      <c r="AW1698" s="55" t="s">
        <v>658</v>
      </c>
      <c r="AX1698" s="185" t="s">
        <v>176</v>
      </c>
      <c r="AY1698" s="55" t="s">
        <v>176</v>
      </c>
      <c r="BK1698" s="55" t="s">
        <v>5976</v>
      </c>
      <c r="BM1698" s="192" t="s">
        <v>160</v>
      </c>
      <c r="BN1698" s="55">
        <v>4</v>
      </c>
      <c r="BO1698" s="55">
        <v>4</v>
      </c>
      <c r="BQ1698" s="55" t="s">
        <v>315</v>
      </c>
      <c r="DB1698" s="65">
        <v>1.4</v>
      </c>
      <c r="DC1698" s="65">
        <v>0.8</v>
      </c>
      <c r="DF1698" s="65" t="s">
        <v>1634</v>
      </c>
      <c r="GP1698" s="292" t="s">
        <v>7494</v>
      </c>
    </row>
    <row r="1699" spans="1:198" x14ac:dyDescent="0.25">
      <c r="A1699" s="55">
        <v>1698</v>
      </c>
      <c r="B1699" s="12" t="s">
        <v>7067</v>
      </c>
      <c r="C1699" s="155">
        <v>82</v>
      </c>
      <c r="D1699" s="55" t="s">
        <v>4019</v>
      </c>
      <c r="E1699" s="90" t="s">
        <v>1424</v>
      </c>
      <c r="G1699" s="55" t="s">
        <v>1425</v>
      </c>
      <c r="H1699" s="55">
        <v>2007</v>
      </c>
      <c r="I1699" s="55">
        <v>2000</v>
      </c>
      <c r="J1699" s="55" t="s">
        <v>1426</v>
      </c>
      <c r="K1699" s="55" t="s">
        <v>1427</v>
      </c>
      <c r="L1699" s="55" t="s">
        <v>2737</v>
      </c>
      <c r="M1699" s="90">
        <v>42.74</v>
      </c>
      <c r="N1699" s="90">
        <v>-84.48</v>
      </c>
      <c r="O1699" s="90">
        <v>260</v>
      </c>
      <c r="U1699" s="55" t="s">
        <v>1805</v>
      </c>
      <c r="V1699" s="55" t="s">
        <v>1688</v>
      </c>
      <c r="Y1699" s="55" t="s">
        <v>1923</v>
      </c>
      <c r="Z1699" s="55" t="s">
        <v>1356</v>
      </c>
      <c r="AA1699" s="90" t="s">
        <v>1680</v>
      </c>
      <c r="AH1699" s="55" t="s">
        <v>139</v>
      </c>
      <c r="AN1699" s="185" t="s">
        <v>1513</v>
      </c>
      <c r="AO1699" s="185" t="s">
        <v>5150</v>
      </c>
      <c r="AQ1699" s="55" t="s">
        <v>1545</v>
      </c>
      <c r="AR1699" s="55" t="s">
        <v>158</v>
      </c>
      <c r="AS1699" s="55" t="s">
        <v>1575</v>
      </c>
      <c r="AT1699" s="181" t="s">
        <v>658</v>
      </c>
      <c r="AU1699" s="181" t="s">
        <v>5150</v>
      </c>
      <c r="AV1699" s="185" t="s">
        <v>176</v>
      </c>
      <c r="AW1699" s="55" t="s">
        <v>658</v>
      </c>
      <c r="AX1699" s="185" t="s">
        <v>176</v>
      </c>
      <c r="AY1699" s="55" t="s">
        <v>176</v>
      </c>
      <c r="BK1699" s="55" t="s">
        <v>5976</v>
      </c>
      <c r="BM1699" s="192" t="s">
        <v>160</v>
      </c>
      <c r="BN1699" s="55">
        <v>4</v>
      </c>
      <c r="BO1699" s="55">
        <v>4</v>
      </c>
      <c r="BQ1699" s="55" t="s">
        <v>315</v>
      </c>
      <c r="DB1699" s="65">
        <v>1.4</v>
      </c>
      <c r="DC1699" s="65">
        <v>1.1000000000000001</v>
      </c>
      <c r="DF1699" s="65" t="s">
        <v>1634</v>
      </c>
      <c r="GP1699" s="292" t="s">
        <v>7494</v>
      </c>
    </row>
    <row r="1700" spans="1:198" x14ac:dyDescent="0.25">
      <c r="A1700" s="55">
        <v>1699</v>
      </c>
      <c r="B1700" s="12" t="s">
        <v>7067</v>
      </c>
      <c r="C1700" s="155">
        <v>82</v>
      </c>
      <c r="D1700" s="55" t="s">
        <v>4020</v>
      </c>
      <c r="E1700" s="90" t="s">
        <v>1424</v>
      </c>
      <c r="G1700" s="55" t="s">
        <v>1425</v>
      </c>
      <c r="H1700" s="55">
        <v>2007</v>
      </c>
      <c r="I1700" s="55">
        <v>2000</v>
      </c>
      <c r="J1700" s="55" t="s">
        <v>1426</v>
      </c>
      <c r="K1700" s="55" t="s">
        <v>1427</v>
      </c>
      <c r="L1700" s="55" t="s">
        <v>2737</v>
      </c>
      <c r="M1700" s="90">
        <v>42.74</v>
      </c>
      <c r="N1700" s="90">
        <v>-84.48</v>
      </c>
      <c r="O1700" s="90">
        <v>260</v>
      </c>
      <c r="U1700" s="55" t="s">
        <v>1805</v>
      </c>
      <c r="V1700" s="55" t="s">
        <v>1688</v>
      </c>
      <c r="Y1700" s="55" t="s">
        <v>1923</v>
      </c>
      <c r="Z1700" s="55" t="s">
        <v>1369</v>
      </c>
      <c r="AA1700" s="90" t="s">
        <v>1680</v>
      </c>
      <c r="AH1700" s="55" t="s">
        <v>139</v>
      </c>
      <c r="AN1700" s="185" t="s">
        <v>116</v>
      </c>
      <c r="AO1700" s="185" t="s">
        <v>5150</v>
      </c>
      <c r="AQ1700" s="55" t="s">
        <v>1545</v>
      </c>
      <c r="AR1700" s="55" t="s">
        <v>158</v>
      </c>
      <c r="AS1700" s="55" t="s">
        <v>1575</v>
      </c>
      <c r="AT1700" s="181" t="s">
        <v>658</v>
      </c>
      <c r="AU1700" s="181" t="s">
        <v>5150</v>
      </c>
      <c r="AV1700" s="185" t="s">
        <v>176</v>
      </c>
      <c r="AW1700" s="55" t="s">
        <v>658</v>
      </c>
      <c r="AX1700" s="185" t="s">
        <v>176</v>
      </c>
      <c r="AY1700" s="55" t="s">
        <v>176</v>
      </c>
      <c r="BK1700" s="55" t="s">
        <v>5976</v>
      </c>
      <c r="BM1700" s="192" t="s">
        <v>160</v>
      </c>
      <c r="BN1700" s="55">
        <v>4</v>
      </c>
      <c r="BO1700" s="55">
        <v>4</v>
      </c>
      <c r="BQ1700" s="55" t="s">
        <v>315</v>
      </c>
      <c r="DB1700" s="65">
        <v>1.6</v>
      </c>
      <c r="DC1700" s="65">
        <v>0.9</v>
      </c>
      <c r="DF1700" s="65" t="s">
        <v>1634</v>
      </c>
      <c r="GP1700" s="292" t="s">
        <v>7494</v>
      </c>
    </row>
    <row r="1701" spans="1:198" x14ac:dyDescent="0.25">
      <c r="A1701" s="55">
        <v>1700</v>
      </c>
      <c r="B1701" s="12" t="s">
        <v>7067</v>
      </c>
      <c r="C1701" s="155">
        <v>82</v>
      </c>
      <c r="D1701" s="55" t="s">
        <v>4021</v>
      </c>
      <c r="E1701" s="90" t="s">
        <v>1424</v>
      </c>
      <c r="G1701" s="55" t="s">
        <v>1425</v>
      </c>
      <c r="H1701" s="55">
        <v>2007</v>
      </c>
      <c r="I1701" s="55">
        <v>2000</v>
      </c>
      <c r="J1701" s="55" t="s">
        <v>1426</v>
      </c>
      <c r="K1701" s="55" t="s">
        <v>1427</v>
      </c>
      <c r="L1701" s="55" t="s">
        <v>2737</v>
      </c>
      <c r="M1701" s="90">
        <v>42.74</v>
      </c>
      <c r="N1701" s="90">
        <v>-84.48</v>
      </c>
      <c r="O1701" s="90">
        <v>260</v>
      </c>
      <c r="U1701" s="55" t="s">
        <v>1805</v>
      </c>
      <c r="V1701" s="55" t="s">
        <v>1688</v>
      </c>
      <c r="Y1701" s="55" t="s">
        <v>1923</v>
      </c>
      <c r="Z1701" s="55" t="s">
        <v>1369</v>
      </c>
      <c r="AA1701" s="90" t="s">
        <v>1680</v>
      </c>
      <c r="AH1701" s="55" t="s">
        <v>139</v>
      </c>
      <c r="AN1701" s="185" t="s">
        <v>131</v>
      </c>
      <c r="AO1701" s="185" t="s">
        <v>5150</v>
      </c>
      <c r="AQ1701" s="55" t="s">
        <v>131</v>
      </c>
      <c r="AR1701" s="55" t="s">
        <v>158</v>
      </c>
      <c r="AS1701" s="55" t="s">
        <v>1575</v>
      </c>
      <c r="AT1701" s="181" t="s">
        <v>658</v>
      </c>
      <c r="AU1701" s="181" t="s">
        <v>5150</v>
      </c>
      <c r="AV1701" s="185" t="s">
        <v>176</v>
      </c>
      <c r="AW1701" s="55" t="s">
        <v>658</v>
      </c>
      <c r="AX1701" s="185" t="s">
        <v>176</v>
      </c>
      <c r="AY1701" s="55" t="s">
        <v>176</v>
      </c>
      <c r="BK1701" s="55" t="s">
        <v>5976</v>
      </c>
      <c r="BM1701" s="192" t="s">
        <v>160</v>
      </c>
      <c r="BN1701" s="55">
        <v>4</v>
      </c>
      <c r="BO1701" s="55">
        <v>4</v>
      </c>
      <c r="BQ1701" s="55" t="s">
        <v>315</v>
      </c>
      <c r="DB1701" s="65">
        <v>1.6</v>
      </c>
      <c r="DC1701" s="65">
        <v>0.8</v>
      </c>
      <c r="DF1701" s="65" t="s">
        <v>1634</v>
      </c>
      <c r="GP1701" s="292" t="s">
        <v>7494</v>
      </c>
    </row>
    <row r="1702" spans="1:198" x14ac:dyDescent="0.25">
      <c r="A1702" s="55">
        <v>1701</v>
      </c>
      <c r="B1702" s="12" t="s">
        <v>7067</v>
      </c>
      <c r="C1702" s="155">
        <v>82</v>
      </c>
      <c r="D1702" s="55" t="s">
        <v>4021</v>
      </c>
      <c r="E1702" s="90" t="s">
        <v>1424</v>
      </c>
      <c r="G1702" s="55" t="s">
        <v>1425</v>
      </c>
      <c r="H1702" s="55">
        <v>2007</v>
      </c>
      <c r="I1702" s="55">
        <v>2000</v>
      </c>
      <c r="J1702" s="55" t="s">
        <v>1426</v>
      </c>
      <c r="K1702" s="55" t="s">
        <v>1427</v>
      </c>
      <c r="L1702" s="55" t="s">
        <v>2737</v>
      </c>
      <c r="M1702" s="90">
        <v>42.74</v>
      </c>
      <c r="N1702" s="90">
        <v>-84.48</v>
      </c>
      <c r="O1702" s="90">
        <v>260</v>
      </c>
      <c r="U1702" s="55" t="s">
        <v>1805</v>
      </c>
      <c r="V1702" s="55" t="s">
        <v>1688</v>
      </c>
      <c r="Y1702" s="55" t="s">
        <v>1923</v>
      </c>
      <c r="Z1702" s="55" t="s">
        <v>1369</v>
      </c>
      <c r="AA1702" s="90" t="s">
        <v>1680</v>
      </c>
      <c r="AH1702" s="55" t="s">
        <v>139</v>
      </c>
      <c r="AN1702" s="185" t="s">
        <v>1509</v>
      </c>
      <c r="AO1702" s="185" t="s">
        <v>5150</v>
      </c>
      <c r="AQ1702" s="55" t="s">
        <v>131</v>
      </c>
      <c r="AR1702" s="55" t="s">
        <v>158</v>
      </c>
      <c r="AS1702" s="55" t="s">
        <v>1575</v>
      </c>
      <c r="AT1702" s="181" t="s">
        <v>658</v>
      </c>
      <c r="AU1702" s="181" t="s">
        <v>5150</v>
      </c>
      <c r="AV1702" s="185" t="s">
        <v>176</v>
      </c>
      <c r="AW1702" s="55" t="s">
        <v>658</v>
      </c>
      <c r="AX1702" s="185" t="s">
        <v>176</v>
      </c>
      <c r="AY1702" s="55" t="s">
        <v>176</v>
      </c>
      <c r="BK1702" s="55" t="s">
        <v>5976</v>
      </c>
      <c r="BM1702" s="192" t="s">
        <v>160</v>
      </c>
      <c r="BN1702" s="55">
        <v>4</v>
      </c>
      <c r="BO1702" s="55">
        <v>4</v>
      </c>
      <c r="BQ1702" s="55" t="s">
        <v>315</v>
      </c>
      <c r="DB1702" s="65">
        <v>1.6</v>
      </c>
      <c r="DC1702" s="65">
        <v>0.8</v>
      </c>
      <c r="DF1702" s="65" t="s">
        <v>1634</v>
      </c>
      <c r="GP1702" s="292" t="s">
        <v>7494</v>
      </c>
    </row>
    <row r="1703" spans="1:198" x14ac:dyDescent="0.25">
      <c r="A1703" s="55">
        <v>1702</v>
      </c>
      <c r="B1703" s="12" t="s">
        <v>7067</v>
      </c>
      <c r="C1703" s="155">
        <v>82</v>
      </c>
      <c r="D1703" s="55" t="s">
        <v>4022</v>
      </c>
      <c r="E1703" s="90" t="s">
        <v>1424</v>
      </c>
      <c r="G1703" s="55" t="s">
        <v>1425</v>
      </c>
      <c r="H1703" s="55">
        <v>2007</v>
      </c>
      <c r="I1703" s="55">
        <v>2000</v>
      </c>
      <c r="J1703" s="55" t="s">
        <v>1426</v>
      </c>
      <c r="K1703" s="55" t="s">
        <v>1427</v>
      </c>
      <c r="L1703" s="55" t="s">
        <v>2737</v>
      </c>
      <c r="M1703" s="90">
        <v>42.74</v>
      </c>
      <c r="N1703" s="90">
        <v>-84.48</v>
      </c>
      <c r="O1703" s="90">
        <v>260</v>
      </c>
      <c r="U1703" s="55" t="s">
        <v>1805</v>
      </c>
      <c r="V1703" s="55" t="s">
        <v>1688</v>
      </c>
      <c r="Y1703" s="55" t="s">
        <v>1923</v>
      </c>
      <c r="Z1703" s="55" t="s">
        <v>1369</v>
      </c>
      <c r="AA1703" s="90" t="s">
        <v>1680</v>
      </c>
      <c r="AH1703" s="55" t="s">
        <v>139</v>
      </c>
      <c r="AN1703" s="185" t="s">
        <v>1510</v>
      </c>
      <c r="AO1703" s="185" t="s">
        <v>5150</v>
      </c>
      <c r="AQ1703" s="55" t="s">
        <v>1545</v>
      </c>
      <c r="AR1703" s="55" t="s">
        <v>158</v>
      </c>
      <c r="AS1703" s="55" t="s">
        <v>1575</v>
      </c>
      <c r="AT1703" s="181" t="s">
        <v>658</v>
      </c>
      <c r="AU1703" s="181" t="s">
        <v>5150</v>
      </c>
      <c r="AV1703" s="185" t="s">
        <v>176</v>
      </c>
      <c r="AW1703" s="55" t="s">
        <v>658</v>
      </c>
      <c r="AX1703" s="185" t="s">
        <v>176</v>
      </c>
      <c r="AY1703" s="55" t="s">
        <v>176</v>
      </c>
      <c r="BK1703" s="55" t="s">
        <v>5976</v>
      </c>
      <c r="BM1703" s="192" t="s">
        <v>160</v>
      </c>
      <c r="BN1703" s="55">
        <v>4</v>
      </c>
      <c r="BO1703" s="55">
        <v>4</v>
      </c>
      <c r="BQ1703" s="55" t="s">
        <v>315</v>
      </c>
      <c r="DB1703" s="65">
        <v>1.6</v>
      </c>
      <c r="DC1703" s="65">
        <v>0.9</v>
      </c>
      <c r="DF1703" s="65" t="s">
        <v>1634</v>
      </c>
      <c r="GP1703" s="292" t="s">
        <v>7494</v>
      </c>
    </row>
    <row r="1704" spans="1:198" x14ac:dyDescent="0.25">
      <c r="A1704" s="55">
        <v>1703</v>
      </c>
      <c r="B1704" s="12" t="s">
        <v>7067</v>
      </c>
      <c r="C1704" s="155">
        <v>82</v>
      </c>
      <c r="D1704" s="55" t="s">
        <v>4022</v>
      </c>
      <c r="E1704" s="90" t="s">
        <v>1424</v>
      </c>
      <c r="G1704" s="55" t="s">
        <v>1425</v>
      </c>
      <c r="H1704" s="55">
        <v>2007</v>
      </c>
      <c r="I1704" s="55">
        <v>2000</v>
      </c>
      <c r="J1704" s="55" t="s">
        <v>1426</v>
      </c>
      <c r="K1704" s="55" t="s">
        <v>1427</v>
      </c>
      <c r="L1704" s="55" t="s">
        <v>2737</v>
      </c>
      <c r="M1704" s="90">
        <v>42.74</v>
      </c>
      <c r="N1704" s="90">
        <v>-84.48</v>
      </c>
      <c r="O1704" s="90">
        <v>260</v>
      </c>
      <c r="U1704" s="55" t="s">
        <v>1805</v>
      </c>
      <c r="V1704" s="55" t="s">
        <v>1688</v>
      </c>
      <c r="Y1704" s="55" t="s">
        <v>1923</v>
      </c>
      <c r="Z1704" s="55" t="s">
        <v>1369</v>
      </c>
      <c r="AA1704" s="90" t="s">
        <v>1680</v>
      </c>
      <c r="AH1704" s="55" t="s">
        <v>139</v>
      </c>
      <c r="AN1704" s="185" t="s">
        <v>1511</v>
      </c>
      <c r="AO1704" s="185" t="s">
        <v>5150</v>
      </c>
      <c r="AQ1704" s="55" t="s">
        <v>1545</v>
      </c>
      <c r="AR1704" s="55" t="s">
        <v>158</v>
      </c>
      <c r="AS1704" s="55" t="s">
        <v>1575</v>
      </c>
      <c r="AT1704" s="181" t="s">
        <v>658</v>
      </c>
      <c r="AU1704" s="181" t="s">
        <v>5150</v>
      </c>
      <c r="AV1704" s="185" t="s">
        <v>176</v>
      </c>
      <c r="AW1704" s="55" t="s">
        <v>658</v>
      </c>
      <c r="AX1704" s="185" t="s">
        <v>176</v>
      </c>
      <c r="AY1704" s="55" t="s">
        <v>176</v>
      </c>
      <c r="BK1704" s="55" t="s">
        <v>5976</v>
      </c>
      <c r="BM1704" s="192" t="s">
        <v>160</v>
      </c>
      <c r="BN1704" s="55">
        <v>4</v>
      </c>
      <c r="BO1704" s="55">
        <v>4</v>
      </c>
      <c r="BQ1704" s="55" t="s">
        <v>315</v>
      </c>
      <c r="DB1704" s="65">
        <v>1.6</v>
      </c>
      <c r="DC1704" s="65">
        <v>0.6</v>
      </c>
      <c r="DF1704" s="65" t="s">
        <v>1634</v>
      </c>
      <c r="GP1704" s="292" t="s">
        <v>7494</v>
      </c>
    </row>
    <row r="1705" spans="1:198" x14ac:dyDescent="0.25">
      <c r="A1705" s="55">
        <v>1704</v>
      </c>
      <c r="B1705" s="12" t="s">
        <v>7067</v>
      </c>
      <c r="C1705" s="155">
        <v>82</v>
      </c>
      <c r="D1705" s="55" t="s">
        <v>4022</v>
      </c>
      <c r="E1705" s="90" t="s">
        <v>1424</v>
      </c>
      <c r="G1705" s="55" t="s">
        <v>1425</v>
      </c>
      <c r="H1705" s="55">
        <v>2007</v>
      </c>
      <c r="I1705" s="55">
        <v>2000</v>
      </c>
      <c r="J1705" s="55" t="s">
        <v>1426</v>
      </c>
      <c r="K1705" s="55" t="s">
        <v>1427</v>
      </c>
      <c r="L1705" s="55" t="s">
        <v>2737</v>
      </c>
      <c r="M1705" s="90">
        <v>42.74</v>
      </c>
      <c r="N1705" s="90">
        <v>-84.48</v>
      </c>
      <c r="O1705" s="90">
        <v>260</v>
      </c>
      <c r="U1705" s="55" t="s">
        <v>1805</v>
      </c>
      <c r="V1705" s="55" t="s">
        <v>1688</v>
      </c>
      <c r="Y1705" s="55" t="s">
        <v>1923</v>
      </c>
      <c r="Z1705" s="55" t="s">
        <v>1369</v>
      </c>
      <c r="AA1705" s="90" t="s">
        <v>1680</v>
      </c>
      <c r="AH1705" s="55" t="s">
        <v>139</v>
      </c>
      <c r="AN1705" s="185" t="s">
        <v>1512</v>
      </c>
      <c r="AO1705" s="185" t="s">
        <v>5150</v>
      </c>
      <c r="AQ1705" s="55" t="s">
        <v>1545</v>
      </c>
      <c r="AR1705" s="55" t="s">
        <v>158</v>
      </c>
      <c r="AS1705" s="55" t="s">
        <v>1575</v>
      </c>
      <c r="AT1705" s="181" t="s">
        <v>658</v>
      </c>
      <c r="AU1705" s="181" t="s">
        <v>5150</v>
      </c>
      <c r="AV1705" s="185" t="s">
        <v>176</v>
      </c>
      <c r="AW1705" s="55" t="s">
        <v>658</v>
      </c>
      <c r="AX1705" s="185" t="s">
        <v>176</v>
      </c>
      <c r="AY1705" s="55" t="s">
        <v>176</v>
      </c>
      <c r="BK1705" s="55" t="s">
        <v>5976</v>
      </c>
      <c r="BM1705" s="192" t="s">
        <v>160</v>
      </c>
      <c r="BN1705" s="55">
        <v>4</v>
      </c>
      <c r="BO1705" s="55">
        <v>4</v>
      </c>
      <c r="BQ1705" s="55" t="s">
        <v>315</v>
      </c>
      <c r="DB1705" s="65">
        <v>1.6</v>
      </c>
      <c r="DC1705" s="65">
        <v>0.7</v>
      </c>
      <c r="DF1705" s="65" t="s">
        <v>1634</v>
      </c>
      <c r="GP1705" s="292" t="s">
        <v>7494</v>
      </c>
    </row>
    <row r="1706" spans="1:198" x14ac:dyDescent="0.25">
      <c r="A1706" s="55">
        <v>1705</v>
      </c>
      <c r="B1706" s="12" t="s">
        <v>7067</v>
      </c>
      <c r="C1706" s="155">
        <v>82</v>
      </c>
      <c r="D1706" s="55" t="s">
        <v>4022</v>
      </c>
      <c r="E1706" s="90" t="s">
        <v>1424</v>
      </c>
      <c r="G1706" s="55" t="s">
        <v>1425</v>
      </c>
      <c r="H1706" s="55">
        <v>2007</v>
      </c>
      <c r="I1706" s="55">
        <v>2000</v>
      </c>
      <c r="J1706" s="55" t="s">
        <v>1426</v>
      </c>
      <c r="K1706" s="55" t="s">
        <v>1427</v>
      </c>
      <c r="L1706" s="55" t="s">
        <v>2737</v>
      </c>
      <c r="M1706" s="90">
        <v>42.74</v>
      </c>
      <c r="N1706" s="90">
        <v>-84.48</v>
      </c>
      <c r="O1706" s="90">
        <v>260</v>
      </c>
      <c r="U1706" s="55" t="s">
        <v>1805</v>
      </c>
      <c r="V1706" s="55" t="s">
        <v>1688</v>
      </c>
      <c r="Y1706" s="55" t="s">
        <v>1923</v>
      </c>
      <c r="Z1706" s="55" t="s">
        <v>1369</v>
      </c>
      <c r="AA1706" s="90" t="s">
        <v>1680</v>
      </c>
      <c r="AH1706" s="55" t="s">
        <v>139</v>
      </c>
      <c r="AN1706" s="185" t="s">
        <v>1513</v>
      </c>
      <c r="AO1706" s="185" t="s">
        <v>5150</v>
      </c>
      <c r="AQ1706" s="55" t="s">
        <v>1545</v>
      </c>
      <c r="AR1706" s="55" t="s">
        <v>158</v>
      </c>
      <c r="AS1706" s="55" t="s">
        <v>1575</v>
      </c>
      <c r="AT1706" s="181" t="s">
        <v>658</v>
      </c>
      <c r="AU1706" s="181" t="s">
        <v>5150</v>
      </c>
      <c r="AV1706" s="185" t="s">
        <v>176</v>
      </c>
      <c r="AW1706" s="55" t="s">
        <v>658</v>
      </c>
      <c r="AX1706" s="185" t="s">
        <v>176</v>
      </c>
      <c r="AY1706" s="55" t="s">
        <v>176</v>
      </c>
      <c r="BK1706" s="55" t="s">
        <v>5976</v>
      </c>
      <c r="BM1706" s="192" t="s">
        <v>160</v>
      </c>
      <c r="BN1706" s="55">
        <v>4</v>
      </c>
      <c r="BO1706" s="55">
        <v>4</v>
      </c>
      <c r="BQ1706" s="55" t="s">
        <v>315</v>
      </c>
      <c r="DB1706" s="65">
        <v>1.6</v>
      </c>
      <c r="DC1706" s="65">
        <v>0.7</v>
      </c>
      <c r="DF1706" s="65" t="s">
        <v>1634</v>
      </c>
      <c r="GP1706" s="292" t="s">
        <v>7494</v>
      </c>
    </row>
    <row r="1707" spans="1:198" x14ac:dyDescent="0.25">
      <c r="A1707" s="55">
        <v>1706</v>
      </c>
      <c r="B1707" s="12" t="s">
        <v>7067</v>
      </c>
      <c r="C1707" s="155">
        <v>82</v>
      </c>
      <c r="D1707" s="55" t="s">
        <v>4023</v>
      </c>
      <c r="E1707" s="90" t="s">
        <v>1424</v>
      </c>
      <c r="G1707" s="55" t="s">
        <v>1425</v>
      </c>
      <c r="H1707" s="55">
        <v>2007</v>
      </c>
      <c r="I1707" s="55">
        <v>2000</v>
      </c>
      <c r="J1707" s="55" t="s">
        <v>1426</v>
      </c>
      <c r="K1707" s="55" t="s">
        <v>1427</v>
      </c>
      <c r="L1707" s="55" t="s">
        <v>2737</v>
      </c>
      <c r="M1707" s="90">
        <v>42.74</v>
      </c>
      <c r="N1707" s="90">
        <v>-84.48</v>
      </c>
      <c r="O1707" s="90">
        <v>260</v>
      </c>
      <c r="U1707" s="55" t="s">
        <v>1805</v>
      </c>
      <c r="V1707" s="55" t="s">
        <v>1688</v>
      </c>
      <c r="Y1707" s="55" t="s">
        <v>1923</v>
      </c>
      <c r="Z1707" s="55" t="s">
        <v>1370</v>
      </c>
      <c r="AA1707" s="90" t="s">
        <v>1680</v>
      </c>
      <c r="AH1707" s="55" t="s">
        <v>139</v>
      </c>
      <c r="AN1707" s="185" t="s">
        <v>116</v>
      </c>
      <c r="AO1707" s="185" t="s">
        <v>5150</v>
      </c>
      <c r="AQ1707" s="55" t="s">
        <v>1545</v>
      </c>
      <c r="AR1707" s="55" t="s">
        <v>158</v>
      </c>
      <c r="AS1707" s="55" t="s">
        <v>1575</v>
      </c>
      <c r="AT1707" s="181" t="s">
        <v>658</v>
      </c>
      <c r="AU1707" s="181" t="s">
        <v>5150</v>
      </c>
      <c r="AV1707" s="185" t="s">
        <v>176</v>
      </c>
      <c r="AW1707" s="55" t="s">
        <v>658</v>
      </c>
      <c r="AX1707" s="185" t="s">
        <v>176</v>
      </c>
      <c r="AY1707" s="55" t="s">
        <v>176</v>
      </c>
      <c r="BK1707" s="55" t="s">
        <v>5976</v>
      </c>
      <c r="BM1707" s="192" t="s">
        <v>160</v>
      </c>
      <c r="BN1707" s="55">
        <v>4</v>
      </c>
      <c r="BO1707" s="55">
        <v>4</v>
      </c>
      <c r="BQ1707" s="55" t="s">
        <v>315</v>
      </c>
      <c r="DB1707" s="65">
        <v>1.5</v>
      </c>
      <c r="DC1707" s="65">
        <v>0.6</v>
      </c>
      <c r="DF1707" s="65" t="s">
        <v>1634</v>
      </c>
      <c r="GP1707" s="292" t="s">
        <v>7494</v>
      </c>
    </row>
    <row r="1708" spans="1:198" x14ac:dyDescent="0.25">
      <c r="A1708" s="55">
        <v>1707</v>
      </c>
      <c r="B1708" s="12" t="s">
        <v>7067</v>
      </c>
      <c r="C1708" s="155">
        <v>82</v>
      </c>
      <c r="D1708" s="55" t="s">
        <v>4024</v>
      </c>
      <c r="E1708" s="90" t="s">
        <v>1424</v>
      </c>
      <c r="G1708" s="55" t="s">
        <v>1425</v>
      </c>
      <c r="H1708" s="55">
        <v>2007</v>
      </c>
      <c r="I1708" s="55">
        <v>2000</v>
      </c>
      <c r="J1708" s="55" t="s">
        <v>1426</v>
      </c>
      <c r="K1708" s="55" t="s">
        <v>1427</v>
      </c>
      <c r="L1708" s="55" t="s">
        <v>2737</v>
      </c>
      <c r="M1708" s="90">
        <v>42.74</v>
      </c>
      <c r="N1708" s="90">
        <v>-84.48</v>
      </c>
      <c r="O1708" s="90">
        <v>260</v>
      </c>
      <c r="U1708" s="55" t="s">
        <v>1805</v>
      </c>
      <c r="V1708" s="55" t="s">
        <v>1688</v>
      </c>
      <c r="Y1708" s="55" t="s">
        <v>1923</v>
      </c>
      <c r="Z1708" s="55" t="s">
        <v>1370</v>
      </c>
      <c r="AA1708" s="90" t="s">
        <v>1680</v>
      </c>
      <c r="AH1708" s="55" t="s">
        <v>139</v>
      </c>
      <c r="AN1708" s="185" t="s">
        <v>131</v>
      </c>
      <c r="AO1708" s="185" t="s">
        <v>5150</v>
      </c>
      <c r="AQ1708" s="55" t="s">
        <v>131</v>
      </c>
      <c r="AR1708" s="55" t="s">
        <v>158</v>
      </c>
      <c r="AS1708" s="55" t="s">
        <v>1575</v>
      </c>
      <c r="AT1708" s="181" t="s">
        <v>658</v>
      </c>
      <c r="AU1708" s="181" t="s">
        <v>5150</v>
      </c>
      <c r="AV1708" s="185" t="s">
        <v>176</v>
      </c>
      <c r="AW1708" s="55" t="s">
        <v>658</v>
      </c>
      <c r="AX1708" s="185" t="s">
        <v>176</v>
      </c>
      <c r="AY1708" s="55" t="s">
        <v>176</v>
      </c>
      <c r="BK1708" s="55" t="s">
        <v>5976</v>
      </c>
      <c r="BM1708" s="192" t="s">
        <v>160</v>
      </c>
      <c r="BN1708" s="55">
        <v>4</v>
      </c>
      <c r="BO1708" s="55">
        <v>4</v>
      </c>
      <c r="BQ1708" s="55" t="s">
        <v>315</v>
      </c>
      <c r="DB1708" s="65">
        <v>1.5</v>
      </c>
      <c r="DC1708" s="65">
        <v>0.7</v>
      </c>
      <c r="DF1708" s="65" t="s">
        <v>1634</v>
      </c>
      <c r="GP1708" s="292" t="s">
        <v>7494</v>
      </c>
    </row>
    <row r="1709" spans="1:198" x14ac:dyDescent="0.25">
      <c r="A1709" s="55">
        <v>1708</v>
      </c>
      <c r="B1709" s="12" t="s">
        <v>7067</v>
      </c>
      <c r="C1709" s="155">
        <v>82</v>
      </c>
      <c r="D1709" s="55" t="s">
        <v>4024</v>
      </c>
      <c r="E1709" s="90" t="s">
        <v>1424</v>
      </c>
      <c r="G1709" s="55" t="s">
        <v>1425</v>
      </c>
      <c r="H1709" s="55">
        <v>2007</v>
      </c>
      <c r="I1709" s="55">
        <v>2000</v>
      </c>
      <c r="J1709" s="55" t="s">
        <v>1426</v>
      </c>
      <c r="K1709" s="55" t="s">
        <v>1427</v>
      </c>
      <c r="L1709" s="55" t="s">
        <v>2737</v>
      </c>
      <c r="M1709" s="90">
        <v>42.74</v>
      </c>
      <c r="N1709" s="90">
        <v>-84.48</v>
      </c>
      <c r="O1709" s="90">
        <v>260</v>
      </c>
      <c r="U1709" s="55" t="s">
        <v>1805</v>
      </c>
      <c r="V1709" s="55" t="s">
        <v>1688</v>
      </c>
      <c r="Y1709" s="55" t="s">
        <v>1923</v>
      </c>
      <c r="Z1709" s="55" t="s">
        <v>1370</v>
      </c>
      <c r="AA1709" s="90" t="s">
        <v>1680</v>
      </c>
      <c r="AH1709" s="55" t="s">
        <v>139</v>
      </c>
      <c r="AN1709" s="185" t="s">
        <v>1509</v>
      </c>
      <c r="AO1709" s="185" t="s">
        <v>5150</v>
      </c>
      <c r="AQ1709" s="55" t="s">
        <v>131</v>
      </c>
      <c r="AR1709" s="55" t="s">
        <v>158</v>
      </c>
      <c r="AS1709" s="55" t="s">
        <v>1575</v>
      </c>
      <c r="AT1709" s="181" t="s">
        <v>658</v>
      </c>
      <c r="AU1709" s="181" t="s">
        <v>5150</v>
      </c>
      <c r="AV1709" s="185" t="s">
        <v>176</v>
      </c>
      <c r="AW1709" s="55" t="s">
        <v>658</v>
      </c>
      <c r="AX1709" s="185" t="s">
        <v>176</v>
      </c>
      <c r="AY1709" s="55" t="s">
        <v>176</v>
      </c>
      <c r="BK1709" s="55" t="s">
        <v>5976</v>
      </c>
      <c r="BM1709" s="192" t="s">
        <v>160</v>
      </c>
      <c r="BN1709" s="55">
        <v>4</v>
      </c>
      <c r="BO1709" s="55">
        <v>4</v>
      </c>
      <c r="BQ1709" s="55" t="s">
        <v>315</v>
      </c>
      <c r="DB1709" s="65">
        <v>1.5</v>
      </c>
      <c r="DC1709" s="65">
        <v>1</v>
      </c>
      <c r="DF1709" s="65" t="s">
        <v>1634</v>
      </c>
      <c r="GP1709" s="292" t="s">
        <v>7494</v>
      </c>
    </row>
    <row r="1710" spans="1:198" x14ac:dyDescent="0.25">
      <c r="A1710" s="55">
        <v>1709</v>
      </c>
      <c r="B1710" s="12" t="s">
        <v>7067</v>
      </c>
      <c r="C1710" s="155">
        <v>82</v>
      </c>
      <c r="D1710" s="55" t="s">
        <v>4025</v>
      </c>
      <c r="E1710" s="90" t="s">
        <v>1424</v>
      </c>
      <c r="G1710" s="55" t="s">
        <v>1425</v>
      </c>
      <c r="H1710" s="55">
        <v>2007</v>
      </c>
      <c r="I1710" s="55">
        <v>2000</v>
      </c>
      <c r="J1710" s="55" t="s">
        <v>1426</v>
      </c>
      <c r="K1710" s="55" t="s">
        <v>1427</v>
      </c>
      <c r="L1710" s="55" t="s">
        <v>2737</v>
      </c>
      <c r="M1710" s="90">
        <v>42.74</v>
      </c>
      <c r="N1710" s="90">
        <v>-84.48</v>
      </c>
      <c r="O1710" s="90">
        <v>260</v>
      </c>
      <c r="U1710" s="55" t="s">
        <v>1805</v>
      </c>
      <c r="V1710" s="55" t="s">
        <v>1688</v>
      </c>
      <c r="Y1710" s="55" t="s">
        <v>1923</v>
      </c>
      <c r="Z1710" s="55" t="s">
        <v>1370</v>
      </c>
      <c r="AA1710" s="90" t="s">
        <v>1680</v>
      </c>
      <c r="AH1710" s="55" t="s">
        <v>139</v>
      </c>
      <c r="AN1710" s="185" t="s">
        <v>1510</v>
      </c>
      <c r="AO1710" s="185" t="s">
        <v>5150</v>
      </c>
      <c r="AQ1710" s="55" t="s">
        <v>1545</v>
      </c>
      <c r="AR1710" s="55" t="s">
        <v>158</v>
      </c>
      <c r="AS1710" s="55" t="s">
        <v>1575</v>
      </c>
      <c r="AT1710" s="181" t="s">
        <v>658</v>
      </c>
      <c r="AU1710" s="181" t="s">
        <v>5150</v>
      </c>
      <c r="AV1710" s="185" t="s">
        <v>176</v>
      </c>
      <c r="AW1710" s="55" t="s">
        <v>658</v>
      </c>
      <c r="AX1710" s="185" t="s">
        <v>176</v>
      </c>
      <c r="AY1710" s="55" t="s">
        <v>176</v>
      </c>
      <c r="BK1710" s="55" t="s">
        <v>5976</v>
      </c>
      <c r="BM1710" s="192" t="s">
        <v>160</v>
      </c>
      <c r="BN1710" s="55">
        <v>4</v>
      </c>
      <c r="BO1710" s="55">
        <v>4</v>
      </c>
      <c r="BQ1710" s="55" t="s">
        <v>315</v>
      </c>
      <c r="DB1710" s="65">
        <v>1.5</v>
      </c>
      <c r="DC1710" s="65">
        <v>0.5</v>
      </c>
      <c r="DF1710" s="65" t="s">
        <v>1634</v>
      </c>
      <c r="GP1710" s="292" t="s">
        <v>7494</v>
      </c>
    </row>
    <row r="1711" spans="1:198" x14ac:dyDescent="0.25">
      <c r="A1711" s="55">
        <v>1710</v>
      </c>
      <c r="B1711" s="12" t="s">
        <v>7067</v>
      </c>
      <c r="C1711" s="155">
        <v>82</v>
      </c>
      <c r="D1711" s="55" t="s">
        <v>4025</v>
      </c>
      <c r="E1711" s="90" t="s">
        <v>1424</v>
      </c>
      <c r="G1711" s="55" t="s">
        <v>1425</v>
      </c>
      <c r="H1711" s="55">
        <v>2007</v>
      </c>
      <c r="I1711" s="55">
        <v>2000</v>
      </c>
      <c r="J1711" s="55" t="s">
        <v>1426</v>
      </c>
      <c r="K1711" s="55" t="s">
        <v>1427</v>
      </c>
      <c r="L1711" s="55" t="s">
        <v>2737</v>
      </c>
      <c r="M1711" s="90">
        <v>42.74</v>
      </c>
      <c r="N1711" s="90">
        <v>-84.48</v>
      </c>
      <c r="O1711" s="90">
        <v>260</v>
      </c>
      <c r="U1711" s="55" t="s">
        <v>1805</v>
      </c>
      <c r="V1711" s="55" t="s">
        <v>1688</v>
      </c>
      <c r="Y1711" s="55" t="s">
        <v>1923</v>
      </c>
      <c r="Z1711" s="55" t="s">
        <v>1370</v>
      </c>
      <c r="AA1711" s="90" t="s">
        <v>1680</v>
      </c>
      <c r="AH1711" s="55" t="s">
        <v>139</v>
      </c>
      <c r="AN1711" s="185" t="s">
        <v>1511</v>
      </c>
      <c r="AO1711" s="185" t="s">
        <v>5150</v>
      </c>
      <c r="AQ1711" s="55" t="s">
        <v>1545</v>
      </c>
      <c r="AR1711" s="55" t="s">
        <v>158</v>
      </c>
      <c r="AS1711" s="55" t="s">
        <v>1575</v>
      </c>
      <c r="AT1711" s="181" t="s">
        <v>658</v>
      </c>
      <c r="AU1711" s="181" t="s">
        <v>5150</v>
      </c>
      <c r="AV1711" s="185" t="s">
        <v>176</v>
      </c>
      <c r="AW1711" s="55" t="s">
        <v>658</v>
      </c>
      <c r="AX1711" s="185" t="s">
        <v>176</v>
      </c>
      <c r="AY1711" s="55" t="s">
        <v>176</v>
      </c>
      <c r="BK1711" s="55" t="s">
        <v>5976</v>
      </c>
      <c r="BM1711" s="192" t="s">
        <v>160</v>
      </c>
      <c r="BN1711" s="55">
        <v>4</v>
      </c>
      <c r="BO1711" s="55">
        <v>4</v>
      </c>
      <c r="BQ1711" s="55" t="s">
        <v>315</v>
      </c>
      <c r="DB1711" s="65">
        <v>1.5</v>
      </c>
      <c r="DC1711" s="65">
        <v>0.7</v>
      </c>
      <c r="DF1711" s="65" t="s">
        <v>1634</v>
      </c>
      <c r="GP1711" s="292" t="s">
        <v>7494</v>
      </c>
    </row>
    <row r="1712" spans="1:198" x14ac:dyDescent="0.25">
      <c r="A1712" s="55">
        <v>1711</v>
      </c>
      <c r="B1712" s="12" t="s">
        <v>7067</v>
      </c>
      <c r="C1712" s="155">
        <v>82</v>
      </c>
      <c r="D1712" s="55" t="s">
        <v>4025</v>
      </c>
      <c r="E1712" s="90" t="s">
        <v>1424</v>
      </c>
      <c r="G1712" s="55" t="s">
        <v>1425</v>
      </c>
      <c r="H1712" s="55">
        <v>2007</v>
      </c>
      <c r="I1712" s="55">
        <v>2000</v>
      </c>
      <c r="J1712" s="55" t="s">
        <v>1426</v>
      </c>
      <c r="K1712" s="55" t="s">
        <v>1427</v>
      </c>
      <c r="L1712" s="55" t="s">
        <v>2737</v>
      </c>
      <c r="M1712" s="90">
        <v>42.74</v>
      </c>
      <c r="N1712" s="90">
        <v>-84.48</v>
      </c>
      <c r="O1712" s="90">
        <v>260</v>
      </c>
      <c r="U1712" s="55" t="s">
        <v>1805</v>
      </c>
      <c r="V1712" s="55" t="s">
        <v>1688</v>
      </c>
      <c r="Y1712" s="55" t="s">
        <v>1923</v>
      </c>
      <c r="Z1712" s="55" t="s">
        <v>1370</v>
      </c>
      <c r="AA1712" s="90" t="s">
        <v>1680</v>
      </c>
      <c r="AH1712" s="55" t="s">
        <v>139</v>
      </c>
      <c r="AN1712" s="185" t="s">
        <v>1512</v>
      </c>
      <c r="AO1712" s="185" t="s">
        <v>5150</v>
      </c>
      <c r="AQ1712" s="55" t="s">
        <v>1545</v>
      </c>
      <c r="AR1712" s="55" t="s">
        <v>158</v>
      </c>
      <c r="AS1712" s="55" t="s">
        <v>1575</v>
      </c>
      <c r="AT1712" s="181" t="s">
        <v>658</v>
      </c>
      <c r="AU1712" s="181" t="s">
        <v>5150</v>
      </c>
      <c r="AV1712" s="185" t="s">
        <v>176</v>
      </c>
      <c r="AW1712" s="55" t="s">
        <v>658</v>
      </c>
      <c r="AX1712" s="185" t="s">
        <v>176</v>
      </c>
      <c r="AY1712" s="55" t="s">
        <v>176</v>
      </c>
      <c r="BK1712" s="55" t="s">
        <v>5976</v>
      </c>
      <c r="BM1712" s="192" t="s">
        <v>160</v>
      </c>
      <c r="BN1712" s="55">
        <v>4</v>
      </c>
      <c r="BO1712" s="55">
        <v>4</v>
      </c>
      <c r="BQ1712" s="55" t="s">
        <v>315</v>
      </c>
      <c r="DB1712" s="65">
        <v>1.5</v>
      </c>
      <c r="DC1712" s="65">
        <v>0.8</v>
      </c>
      <c r="DF1712" s="65" t="s">
        <v>1634</v>
      </c>
      <c r="GP1712" s="292" t="s">
        <v>7494</v>
      </c>
    </row>
    <row r="1713" spans="1:198" x14ac:dyDescent="0.25">
      <c r="A1713" s="55">
        <v>1712</v>
      </c>
      <c r="B1713" s="12" t="s">
        <v>7067</v>
      </c>
      <c r="C1713" s="155">
        <v>82</v>
      </c>
      <c r="D1713" s="55" t="s">
        <v>4025</v>
      </c>
      <c r="E1713" s="90" t="s">
        <v>1424</v>
      </c>
      <c r="G1713" s="55" t="s">
        <v>1425</v>
      </c>
      <c r="H1713" s="55">
        <v>2007</v>
      </c>
      <c r="I1713" s="55">
        <v>2000</v>
      </c>
      <c r="J1713" s="55" t="s">
        <v>1426</v>
      </c>
      <c r="K1713" s="55" t="s">
        <v>1427</v>
      </c>
      <c r="L1713" s="55" t="s">
        <v>2737</v>
      </c>
      <c r="M1713" s="90">
        <v>42.74</v>
      </c>
      <c r="N1713" s="90">
        <v>-84.48</v>
      </c>
      <c r="O1713" s="90">
        <v>260</v>
      </c>
      <c r="U1713" s="55" t="s">
        <v>1805</v>
      </c>
      <c r="V1713" s="55" t="s">
        <v>1688</v>
      </c>
      <c r="Y1713" s="55" t="s">
        <v>1923</v>
      </c>
      <c r="Z1713" s="55" t="s">
        <v>1370</v>
      </c>
      <c r="AA1713" s="90" t="s">
        <v>1680</v>
      </c>
      <c r="AH1713" s="55" t="s">
        <v>139</v>
      </c>
      <c r="AN1713" s="185" t="s">
        <v>1513</v>
      </c>
      <c r="AO1713" s="185" t="s">
        <v>5150</v>
      </c>
      <c r="AQ1713" s="55" t="s">
        <v>1545</v>
      </c>
      <c r="AR1713" s="55" t="s">
        <v>158</v>
      </c>
      <c r="AS1713" s="55" t="s">
        <v>1575</v>
      </c>
      <c r="AT1713" s="181" t="s">
        <v>658</v>
      </c>
      <c r="AU1713" s="181" t="s">
        <v>5150</v>
      </c>
      <c r="AV1713" s="185" t="s">
        <v>176</v>
      </c>
      <c r="AW1713" s="55" t="s">
        <v>658</v>
      </c>
      <c r="AX1713" s="185" t="s">
        <v>176</v>
      </c>
      <c r="AY1713" s="55" t="s">
        <v>176</v>
      </c>
      <c r="BK1713" s="55" t="s">
        <v>5976</v>
      </c>
      <c r="BM1713" s="192" t="s">
        <v>160</v>
      </c>
      <c r="BN1713" s="55">
        <v>4</v>
      </c>
      <c r="BO1713" s="55">
        <v>4</v>
      </c>
      <c r="BQ1713" s="55" t="s">
        <v>315</v>
      </c>
      <c r="DB1713" s="65">
        <v>1.5</v>
      </c>
      <c r="DC1713" s="65">
        <v>0.8</v>
      </c>
      <c r="DF1713" s="65" t="s">
        <v>1634</v>
      </c>
      <c r="GP1713" s="292" t="s">
        <v>7494</v>
      </c>
    </row>
    <row r="1714" spans="1:198" x14ac:dyDescent="0.25">
      <c r="A1714" s="55">
        <v>1713</v>
      </c>
      <c r="B1714" s="12" t="s">
        <v>7067</v>
      </c>
      <c r="C1714" s="155">
        <v>82</v>
      </c>
      <c r="D1714" s="55" t="s">
        <v>4017</v>
      </c>
      <c r="E1714" s="90" t="s">
        <v>1424</v>
      </c>
      <c r="G1714" s="55" t="s">
        <v>1425</v>
      </c>
      <c r="H1714" s="55">
        <v>2007</v>
      </c>
      <c r="I1714" s="55">
        <v>2001</v>
      </c>
      <c r="J1714" s="55" t="s">
        <v>1426</v>
      </c>
      <c r="K1714" s="55" t="s">
        <v>1427</v>
      </c>
      <c r="L1714" s="55" t="s">
        <v>2737</v>
      </c>
      <c r="M1714" s="90">
        <v>42.74</v>
      </c>
      <c r="N1714" s="90">
        <v>-84.48</v>
      </c>
      <c r="O1714" s="90">
        <v>260</v>
      </c>
      <c r="U1714" s="55" t="s">
        <v>1688</v>
      </c>
      <c r="V1714" s="55" t="s">
        <v>1688</v>
      </c>
      <c r="Y1714" s="55" t="s">
        <v>1923</v>
      </c>
      <c r="Z1714" s="55" t="s">
        <v>1356</v>
      </c>
      <c r="AA1714" s="90" t="s">
        <v>1680</v>
      </c>
      <c r="AH1714" s="55" t="s">
        <v>139</v>
      </c>
      <c r="AN1714" s="185" t="s">
        <v>116</v>
      </c>
      <c r="AO1714" s="185" t="s">
        <v>5150</v>
      </c>
      <c r="AQ1714" s="55" t="s">
        <v>1545</v>
      </c>
      <c r="AR1714" s="55" t="s">
        <v>158</v>
      </c>
      <c r="AS1714" s="55" t="s">
        <v>1575</v>
      </c>
      <c r="AU1714" s="181" t="s">
        <v>7494</v>
      </c>
      <c r="AV1714" s="185" t="s">
        <v>176</v>
      </c>
      <c r="AX1714" s="185" t="s">
        <v>176</v>
      </c>
      <c r="BK1714" s="55" t="s">
        <v>5976</v>
      </c>
      <c r="BM1714" s="192" t="s">
        <v>160</v>
      </c>
      <c r="BN1714" s="55">
        <v>4</v>
      </c>
      <c r="BO1714" s="55">
        <v>4</v>
      </c>
      <c r="BQ1714" s="55" t="s">
        <v>315</v>
      </c>
      <c r="DB1714" s="65">
        <v>2.8</v>
      </c>
      <c r="DC1714" s="65">
        <v>2.7</v>
      </c>
      <c r="DF1714" s="65" t="s">
        <v>1634</v>
      </c>
      <c r="GP1714" s="292" t="s">
        <v>7494</v>
      </c>
    </row>
    <row r="1715" spans="1:198" x14ac:dyDescent="0.25">
      <c r="A1715" s="55">
        <v>1714</v>
      </c>
      <c r="B1715" s="12" t="s">
        <v>7067</v>
      </c>
      <c r="C1715" s="155">
        <v>82</v>
      </c>
      <c r="D1715" s="55" t="s">
        <v>4018</v>
      </c>
      <c r="E1715" s="90" t="s">
        <v>1424</v>
      </c>
      <c r="G1715" s="55" t="s">
        <v>1425</v>
      </c>
      <c r="H1715" s="55">
        <v>2007</v>
      </c>
      <c r="I1715" s="55">
        <v>2001</v>
      </c>
      <c r="J1715" s="55" t="s">
        <v>1426</v>
      </c>
      <c r="K1715" s="55" t="s">
        <v>1427</v>
      </c>
      <c r="L1715" s="55" t="s">
        <v>2737</v>
      </c>
      <c r="M1715" s="90">
        <v>42.74</v>
      </c>
      <c r="N1715" s="90">
        <v>-84.48</v>
      </c>
      <c r="O1715" s="90">
        <v>260</v>
      </c>
      <c r="U1715" s="55" t="s">
        <v>1688</v>
      </c>
      <c r="V1715" s="55" t="s">
        <v>1688</v>
      </c>
      <c r="Y1715" s="55" t="s">
        <v>1923</v>
      </c>
      <c r="Z1715" s="55" t="s">
        <v>1356</v>
      </c>
      <c r="AA1715" s="90" t="s">
        <v>1680</v>
      </c>
      <c r="AH1715" s="55" t="s">
        <v>139</v>
      </c>
      <c r="AN1715" s="185" t="s">
        <v>131</v>
      </c>
      <c r="AO1715" s="185" t="s">
        <v>5150</v>
      </c>
      <c r="AQ1715" s="55" t="s">
        <v>131</v>
      </c>
      <c r="AR1715" s="55" t="s">
        <v>158</v>
      </c>
      <c r="AS1715" s="55" t="s">
        <v>1575</v>
      </c>
      <c r="AU1715" s="181" t="s">
        <v>7494</v>
      </c>
      <c r="AV1715" s="185" t="s">
        <v>176</v>
      </c>
      <c r="AX1715" s="185" t="s">
        <v>176</v>
      </c>
      <c r="BK1715" s="55" t="s">
        <v>5976</v>
      </c>
      <c r="BM1715" s="192" t="s">
        <v>160</v>
      </c>
      <c r="BN1715" s="55">
        <v>4</v>
      </c>
      <c r="BO1715" s="55">
        <v>4</v>
      </c>
      <c r="BQ1715" s="55" t="s">
        <v>315</v>
      </c>
      <c r="DB1715" s="65">
        <v>2.8</v>
      </c>
      <c r="DC1715" s="65">
        <v>2.2000000000000002</v>
      </c>
      <c r="DF1715" s="65" t="s">
        <v>1634</v>
      </c>
      <c r="GP1715" s="292" t="s">
        <v>7494</v>
      </c>
    </row>
    <row r="1716" spans="1:198" x14ac:dyDescent="0.25">
      <c r="A1716" s="55">
        <v>1715</v>
      </c>
      <c r="B1716" s="12" t="s">
        <v>7067</v>
      </c>
      <c r="C1716" s="155">
        <v>82</v>
      </c>
      <c r="D1716" s="55" t="s">
        <v>4018</v>
      </c>
      <c r="E1716" s="90" t="s">
        <v>1424</v>
      </c>
      <c r="G1716" s="55" t="s">
        <v>1425</v>
      </c>
      <c r="H1716" s="55">
        <v>2007</v>
      </c>
      <c r="I1716" s="55">
        <v>2001</v>
      </c>
      <c r="J1716" s="55" t="s">
        <v>1426</v>
      </c>
      <c r="K1716" s="55" t="s">
        <v>1427</v>
      </c>
      <c r="L1716" s="55" t="s">
        <v>2737</v>
      </c>
      <c r="M1716" s="90">
        <v>42.74</v>
      </c>
      <c r="N1716" s="90">
        <v>-84.48</v>
      </c>
      <c r="O1716" s="90">
        <v>260</v>
      </c>
      <c r="U1716" s="55" t="s">
        <v>1688</v>
      </c>
      <c r="V1716" s="55" t="s">
        <v>1688</v>
      </c>
      <c r="Y1716" s="55" t="s">
        <v>1923</v>
      </c>
      <c r="Z1716" s="55" t="s">
        <v>1356</v>
      </c>
      <c r="AA1716" s="90" t="s">
        <v>1680</v>
      </c>
      <c r="AH1716" s="55" t="s">
        <v>139</v>
      </c>
      <c r="AN1716" s="185" t="s">
        <v>1509</v>
      </c>
      <c r="AO1716" s="185" t="s">
        <v>5150</v>
      </c>
      <c r="AQ1716" s="55" t="s">
        <v>131</v>
      </c>
      <c r="AR1716" s="55" t="s">
        <v>158</v>
      </c>
      <c r="AS1716" s="55" t="s">
        <v>1575</v>
      </c>
      <c r="AU1716" s="181" t="s">
        <v>7494</v>
      </c>
      <c r="AV1716" s="185" t="s">
        <v>176</v>
      </c>
      <c r="AX1716" s="185" t="s">
        <v>176</v>
      </c>
      <c r="BK1716" s="55" t="s">
        <v>5976</v>
      </c>
      <c r="BM1716" s="192" t="s">
        <v>160</v>
      </c>
      <c r="BN1716" s="55">
        <v>4</v>
      </c>
      <c r="BO1716" s="55">
        <v>4</v>
      </c>
      <c r="BQ1716" s="55" t="s">
        <v>315</v>
      </c>
      <c r="DB1716" s="65">
        <v>2.8</v>
      </c>
      <c r="DC1716" s="65">
        <v>2.2999999999999998</v>
      </c>
      <c r="DF1716" s="65" t="s">
        <v>1634</v>
      </c>
      <c r="GP1716" s="292" t="s">
        <v>7494</v>
      </c>
    </row>
    <row r="1717" spans="1:198" x14ac:dyDescent="0.25">
      <c r="A1717" s="55">
        <v>1716</v>
      </c>
      <c r="B1717" s="12" t="s">
        <v>7067</v>
      </c>
      <c r="C1717" s="155">
        <v>82</v>
      </c>
      <c r="D1717" s="55" t="s">
        <v>4019</v>
      </c>
      <c r="E1717" s="90" t="s">
        <v>1424</v>
      </c>
      <c r="G1717" s="55" t="s">
        <v>1425</v>
      </c>
      <c r="H1717" s="55">
        <v>2007</v>
      </c>
      <c r="I1717" s="55">
        <v>2001</v>
      </c>
      <c r="J1717" s="55" t="s">
        <v>1426</v>
      </c>
      <c r="K1717" s="55" t="s">
        <v>1427</v>
      </c>
      <c r="L1717" s="55" t="s">
        <v>2737</v>
      </c>
      <c r="M1717" s="90">
        <v>42.74</v>
      </c>
      <c r="N1717" s="90">
        <v>-84.48</v>
      </c>
      <c r="O1717" s="90">
        <v>260</v>
      </c>
      <c r="U1717" s="55" t="s">
        <v>1688</v>
      </c>
      <c r="V1717" s="55" t="s">
        <v>1688</v>
      </c>
      <c r="Y1717" s="55" t="s">
        <v>1923</v>
      </c>
      <c r="Z1717" s="55" t="s">
        <v>1356</v>
      </c>
      <c r="AA1717" s="90" t="s">
        <v>1680</v>
      </c>
      <c r="AH1717" s="55" t="s">
        <v>139</v>
      </c>
      <c r="AN1717" s="185" t="s">
        <v>1510</v>
      </c>
      <c r="AO1717" s="185" t="s">
        <v>5150</v>
      </c>
      <c r="AQ1717" s="55" t="s">
        <v>1545</v>
      </c>
      <c r="AR1717" s="55" t="s">
        <v>158</v>
      </c>
      <c r="AS1717" s="55" t="s">
        <v>1575</v>
      </c>
      <c r="AU1717" s="181" t="s">
        <v>7494</v>
      </c>
      <c r="AV1717" s="185" t="s">
        <v>176</v>
      </c>
      <c r="AX1717" s="185" t="s">
        <v>176</v>
      </c>
      <c r="BK1717" s="55" t="s">
        <v>5976</v>
      </c>
      <c r="BM1717" s="192" t="s">
        <v>160</v>
      </c>
      <c r="BN1717" s="55">
        <v>4</v>
      </c>
      <c r="BO1717" s="55">
        <v>4</v>
      </c>
      <c r="BQ1717" s="55" t="s">
        <v>315</v>
      </c>
      <c r="DB1717" s="65">
        <v>2.8</v>
      </c>
      <c r="DC1717" s="65">
        <v>1.5</v>
      </c>
      <c r="DF1717" s="65" t="s">
        <v>1634</v>
      </c>
      <c r="GP1717" s="292" t="s">
        <v>7494</v>
      </c>
    </row>
    <row r="1718" spans="1:198" x14ac:dyDescent="0.25">
      <c r="A1718" s="55">
        <v>1717</v>
      </c>
      <c r="B1718" s="12" t="s">
        <v>7067</v>
      </c>
      <c r="C1718" s="155">
        <v>82</v>
      </c>
      <c r="D1718" s="55" t="s">
        <v>4019</v>
      </c>
      <c r="E1718" s="90" t="s">
        <v>1424</v>
      </c>
      <c r="G1718" s="55" t="s">
        <v>1425</v>
      </c>
      <c r="H1718" s="55">
        <v>2007</v>
      </c>
      <c r="I1718" s="55">
        <v>2001</v>
      </c>
      <c r="J1718" s="55" t="s">
        <v>1426</v>
      </c>
      <c r="K1718" s="55" t="s">
        <v>1427</v>
      </c>
      <c r="L1718" s="55" t="s">
        <v>2737</v>
      </c>
      <c r="M1718" s="90">
        <v>42.74</v>
      </c>
      <c r="N1718" s="90">
        <v>-84.48</v>
      </c>
      <c r="O1718" s="90">
        <v>260</v>
      </c>
      <c r="U1718" s="55" t="s">
        <v>1688</v>
      </c>
      <c r="V1718" s="55" t="s">
        <v>1688</v>
      </c>
      <c r="Y1718" s="55" t="s">
        <v>1923</v>
      </c>
      <c r="Z1718" s="55" t="s">
        <v>1356</v>
      </c>
      <c r="AA1718" s="90" t="s">
        <v>1680</v>
      </c>
      <c r="AH1718" s="55" t="s">
        <v>139</v>
      </c>
      <c r="AN1718" s="185" t="s">
        <v>1511</v>
      </c>
      <c r="AO1718" s="185" t="s">
        <v>5150</v>
      </c>
      <c r="AQ1718" s="55" t="s">
        <v>1545</v>
      </c>
      <c r="AR1718" s="55" t="s">
        <v>158</v>
      </c>
      <c r="AS1718" s="55" t="s">
        <v>1575</v>
      </c>
      <c r="AU1718" s="181" t="s">
        <v>7494</v>
      </c>
      <c r="AV1718" s="185" t="s">
        <v>176</v>
      </c>
      <c r="AX1718" s="185" t="s">
        <v>176</v>
      </c>
      <c r="BK1718" s="55" t="s">
        <v>5976</v>
      </c>
      <c r="BM1718" s="192" t="s">
        <v>160</v>
      </c>
      <c r="BN1718" s="55">
        <v>4</v>
      </c>
      <c r="BO1718" s="55">
        <v>4</v>
      </c>
      <c r="BQ1718" s="55" t="s">
        <v>315</v>
      </c>
      <c r="DB1718" s="65">
        <v>2.8</v>
      </c>
      <c r="DC1718" s="65">
        <v>1.5</v>
      </c>
      <c r="DF1718" s="65" t="s">
        <v>1634</v>
      </c>
      <c r="GP1718" s="292" t="s">
        <v>7494</v>
      </c>
    </row>
    <row r="1719" spans="1:198" x14ac:dyDescent="0.25">
      <c r="A1719" s="55">
        <v>1718</v>
      </c>
      <c r="B1719" s="12" t="s">
        <v>7067</v>
      </c>
      <c r="C1719" s="155">
        <v>82</v>
      </c>
      <c r="D1719" s="55" t="s">
        <v>4019</v>
      </c>
      <c r="E1719" s="90" t="s">
        <v>1424</v>
      </c>
      <c r="G1719" s="55" t="s">
        <v>1425</v>
      </c>
      <c r="H1719" s="55">
        <v>2007</v>
      </c>
      <c r="I1719" s="55">
        <v>2001</v>
      </c>
      <c r="J1719" s="55" t="s">
        <v>1426</v>
      </c>
      <c r="K1719" s="55" t="s">
        <v>1427</v>
      </c>
      <c r="L1719" s="55" t="s">
        <v>2737</v>
      </c>
      <c r="M1719" s="90">
        <v>42.74</v>
      </c>
      <c r="N1719" s="90">
        <v>-84.48</v>
      </c>
      <c r="O1719" s="90">
        <v>260</v>
      </c>
      <c r="U1719" s="55" t="s">
        <v>1688</v>
      </c>
      <c r="V1719" s="55" t="s">
        <v>1688</v>
      </c>
      <c r="Y1719" s="55" t="s">
        <v>1923</v>
      </c>
      <c r="Z1719" s="55" t="s">
        <v>1356</v>
      </c>
      <c r="AA1719" s="90" t="s">
        <v>1680</v>
      </c>
      <c r="AH1719" s="55" t="s">
        <v>139</v>
      </c>
      <c r="AN1719" s="185" t="s">
        <v>1512</v>
      </c>
      <c r="AO1719" s="185" t="s">
        <v>5150</v>
      </c>
      <c r="AQ1719" s="55" t="s">
        <v>1545</v>
      </c>
      <c r="AR1719" s="55" t="s">
        <v>158</v>
      </c>
      <c r="AS1719" s="55" t="s">
        <v>1575</v>
      </c>
      <c r="AU1719" s="181" t="s">
        <v>7494</v>
      </c>
      <c r="AV1719" s="185" t="s">
        <v>176</v>
      </c>
      <c r="AX1719" s="185" t="s">
        <v>176</v>
      </c>
      <c r="BK1719" s="55" t="s">
        <v>5976</v>
      </c>
      <c r="BM1719" s="192" t="s">
        <v>160</v>
      </c>
      <c r="BN1719" s="55">
        <v>4</v>
      </c>
      <c r="BO1719" s="55">
        <v>4</v>
      </c>
      <c r="BQ1719" s="55" t="s">
        <v>315</v>
      </c>
      <c r="DB1719" s="65">
        <v>2.8</v>
      </c>
      <c r="DC1719" s="65">
        <v>1.3</v>
      </c>
      <c r="DF1719" s="65" t="s">
        <v>1634</v>
      </c>
      <c r="GP1719" s="292" t="s">
        <v>7494</v>
      </c>
    </row>
    <row r="1720" spans="1:198" x14ac:dyDescent="0.25">
      <c r="A1720" s="55">
        <v>1719</v>
      </c>
      <c r="B1720" s="12" t="s">
        <v>7067</v>
      </c>
      <c r="C1720" s="155">
        <v>82</v>
      </c>
      <c r="D1720" s="55" t="s">
        <v>4019</v>
      </c>
      <c r="E1720" s="90" t="s">
        <v>1424</v>
      </c>
      <c r="G1720" s="55" t="s">
        <v>1425</v>
      </c>
      <c r="H1720" s="55">
        <v>2007</v>
      </c>
      <c r="I1720" s="55">
        <v>2001</v>
      </c>
      <c r="J1720" s="55" t="s">
        <v>1426</v>
      </c>
      <c r="K1720" s="55" t="s">
        <v>1427</v>
      </c>
      <c r="L1720" s="55" t="s">
        <v>2737</v>
      </c>
      <c r="M1720" s="90">
        <v>42.74</v>
      </c>
      <c r="N1720" s="90">
        <v>-84.48</v>
      </c>
      <c r="O1720" s="90">
        <v>260</v>
      </c>
      <c r="U1720" s="55" t="s">
        <v>1688</v>
      </c>
      <c r="V1720" s="55" t="s">
        <v>1688</v>
      </c>
      <c r="Y1720" s="55" t="s">
        <v>1923</v>
      </c>
      <c r="Z1720" s="55" t="s">
        <v>1356</v>
      </c>
      <c r="AA1720" s="90" t="s">
        <v>1680</v>
      </c>
      <c r="AH1720" s="55" t="s">
        <v>139</v>
      </c>
      <c r="AN1720" s="185" t="s">
        <v>1513</v>
      </c>
      <c r="AO1720" s="185" t="s">
        <v>5150</v>
      </c>
      <c r="AQ1720" s="55" t="s">
        <v>1545</v>
      </c>
      <c r="AR1720" s="55" t="s">
        <v>158</v>
      </c>
      <c r="AS1720" s="55" t="s">
        <v>1575</v>
      </c>
      <c r="AU1720" s="181" t="s">
        <v>7494</v>
      </c>
      <c r="AV1720" s="185" t="s">
        <v>176</v>
      </c>
      <c r="AX1720" s="185" t="s">
        <v>176</v>
      </c>
      <c r="BK1720" s="55" t="s">
        <v>5976</v>
      </c>
      <c r="BM1720" s="192" t="s">
        <v>160</v>
      </c>
      <c r="BN1720" s="55">
        <v>4</v>
      </c>
      <c r="BO1720" s="55">
        <v>4</v>
      </c>
      <c r="BQ1720" s="55" t="s">
        <v>315</v>
      </c>
      <c r="DB1720" s="65">
        <v>2.8</v>
      </c>
      <c r="DC1720" s="65">
        <v>1.3</v>
      </c>
      <c r="DF1720" s="65" t="s">
        <v>1634</v>
      </c>
      <c r="GP1720" s="292" t="s">
        <v>7494</v>
      </c>
    </row>
    <row r="1721" spans="1:198" x14ac:dyDescent="0.25">
      <c r="A1721" s="55">
        <v>1720</v>
      </c>
      <c r="B1721" s="12" t="s">
        <v>7067</v>
      </c>
      <c r="C1721" s="155">
        <v>82</v>
      </c>
      <c r="D1721" s="55" t="s">
        <v>4020</v>
      </c>
      <c r="E1721" s="90" t="s">
        <v>1424</v>
      </c>
      <c r="G1721" s="55" t="s">
        <v>1425</v>
      </c>
      <c r="H1721" s="55">
        <v>2007</v>
      </c>
      <c r="I1721" s="55">
        <v>2001</v>
      </c>
      <c r="J1721" s="55" t="s">
        <v>1426</v>
      </c>
      <c r="K1721" s="55" t="s">
        <v>1427</v>
      </c>
      <c r="L1721" s="55" t="s">
        <v>2737</v>
      </c>
      <c r="M1721" s="90">
        <v>42.74</v>
      </c>
      <c r="N1721" s="90">
        <v>-84.48</v>
      </c>
      <c r="O1721" s="90">
        <v>260</v>
      </c>
      <c r="U1721" s="55" t="s">
        <v>1688</v>
      </c>
      <c r="V1721" s="55" t="s">
        <v>1688</v>
      </c>
      <c r="Y1721" s="55" t="s">
        <v>1923</v>
      </c>
      <c r="Z1721" s="55" t="s">
        <v>1369</v>
      </c>
      <c r="AA1721" s="90" t="s">
        <v>1680</v>
      </c>
      <c r="AH1721" s="55" t="s">
        <v>139</v>
      </c>
      <c r="AN1721" s="185" t="s">
        <v>116</v>
      </c>
      <c r="AO1721" s="185" t="s">
        <v>5150</v>
      </c>
      <c r="AQ1721" s="55" t="s">
        <v>1545</v>
      </c>
      <c r="AR1721" s="55" t="s">
        <v>158</v>
      </c>
      <c r="AS1721" s="55" t="s">
        <v>1575</v>
      </c>
      <c r="AU1721" s="181" t="s">
        <v>7494</v>
      </c>
      <c r="AV1721" s="185" t="s">
        <v>176</v>
      </c>
      <c r="AX1721" s="185" t="s">
        <v>176</v>
      </c>
      <c r="BK1721" s="55" t="s">
        <v>5976</v>
      </c>
      <c r="BM1721" s="192" t="s">
        <v>160</v>
      </c>
      <c r="BN1721" s="55">
        <v>4</v>
      </c>
      <c r="BO1721" s="55">
        <v>4</v>
      </c>
      <c r="BQ1721" s="55" t="s">
        <v>315</v>
      </c>
      <c r="DB1721" s="65">
        <v>3.4</v>
      </c>
      <c r="DC1721" s="65">
        <v>2.4</v>
      </c>
      <c r="DF1721" s="65" t="s">
        <v>1634</v>
      </c>
      <c r="GP1721" s="292" t="s">
        <v>7494</v>
      </c>
    </row>
    <row r="1722" spans="1:198" x14ac:dyDescent="0.25">
      <c r="A1722" s="55">
        <v>1721</v>
      </c>
      <c r="B1722" s="12" t="s">
        <v>7067</v>
      </c>
      <c r="C1722" s="155">
        <v>82</v>
      </c>
      <c r="D1722" s="55" t="s">
        <v>4021</v>
      </c>
      <c r="E1722" s="90" t="s">
        <v>1424</v>
      </c>
      <c r="G1722" s="55" t="s">
        <v>1425</v>
      </c>
      <c r="H1722" s="55">
        <v>2007</v>
      </c>
      <c r="I1722" s="55">
        <v>2001</v>
      </c>
      <c r="J1722" s="55" t="s">
        <v>1426</v>
      </c>
      <c r="K1722" s="55" t="s">
        <v>1427</v>
      </c>
      <c r="L1722" s="55" t="s">
        <v>2737</v>
      </c>
      <c r="M1722" s="90">
        <v>42.74</v>
      </c>
      <c r="N1722" s="90">
        <v>-84.48</v>
      </c>
      <c r="O1722" s="90">
        <v>260</v>
      </c>
      <c r="U1722" s="55" t="s">
        <v>1688</v>
      </c>
      <c r="V1722" s="55" t="s">
        <v>1688</v>
      </c>
      <c r="Y1722" s="55" t="s">
        <v>1923</v>
      </c>
      <c r="Z1722" s="55" t="s">
        <v>1369</v>
      </c>
      <c r="AA1722" s="90" t="s">
        <v>1680</v>
      </c>
      <c r="AH1722" s="55" t="s">
        <v>139</v>
      </c>
      <c r="AN1722" s="185" t="s">
        <v>131</v>
      </c>
      <c r="AO1722" s="185" t="s">
        <v>5150</v>
      </c>
      <c r="AQ1722" s="55" t="s">
        <v>131</v>
      </c>
      <c r="AR1722" s="55" t="s">
        <v>158</v>
      </c>
      <c r="AS1722" s="55" t="s">
        <v>1575</v>
      </c>
      <c r="AU1722" s="181" t="s">
        <v>7494</v>
      </c>
      <c r="AV1722" s="185" t="s">
        <v>176</v>
      </c>
      <c r="AX1722" s="185" t="s">
        <v>176</v>
      </c>
      <c r="BK1722" s="55" t="s">
        <v>5976</v>
      </c>
      <c r="BM1722" s="192" t="s">
        <v>160</v>
      </c>
      <c r="BN1722" s="55">
        <v>4</v>
      </c>
      <c r="BO1722" s="55">
        <v>4</v>
      </c>
      <c r="BQ1722" s="55" t="s">
        <v>315</v>
      </c>
      <c r="DB1722" s="65">
        <v>3.4</v>
      </c>
      <c r="DC1722" s="65">
        <v>2</v>
      </c>
      <c r="DF1722" s="65" t="s">
        <v>1634</v>
      </c>
      <c r="GP1722" s="292" t="s">
        <v>7494</v>
      </c>
    </row>
    <row r="1723" spans="1:198" x14ac:dyDescent="0.25">
      <c r="A1723" s="55">
        <v>1722</v>
      </c>
      <c r="B1723" s="12" t="s">
        <v>7067</v>
      </c>
      <c r="C1723" s="155">
        <v>82</v>
      </c>
      <c r="D1723" s="55" t="s">
        <v>4021</v>
      </c>
      <c r="E1723" s="90" t="s">
        <v>1424</v>
      </c>
      <c r="G1723" s="55" t="s">
        <v>1425</v>
      </c>
      <c r="H1723" s="55">
        <v>2007</v>
      </c>
      <c r="I1723" s="55">
        <v>2001</v>
      </c>
      <c r="J1723" s="55" t="s">
        <v>1426</v>
      </c>
      <c r="K1723" s="55" t="s">
        <v>1427</v>
      </c>
      <c r="L1723" s="55" t="s">
        <v>2737</v>
      </c>
      <c r="M1723" s="90">
        <v>42.74</v>
      </c>
      <c r="N1723" s="90">
        <v>-84.48</v>
      </c>
      <c r="O1723" s="90">
        <v>260</v>
      </c>
      <c r="U1723" s="55" t="s">
        <v>1688</v>
      </c>
      <c r="V1723" s="55" t="s">
        <v>1688</v>
      </c>
      <c r="Y1723" s="55" t="s">
        <v>1923</v>
      </c>
      <c r="Z1723" s="55" t="s">
        <v>1369</v>
      </c>
      <c r="AA1723" s="90" t="s">
        <v>1680</v>
      </c>
      <c r="AH1723" s="55" t="s">
        <v>139</v>
      </c>
      <c r="AN1723" s="185" t="s">
        <v>1509</v>
      </c>
      <c r="AO1723" s="185" t="s">
        <v>5150</v>
      </c>
      <c r="AQ1723" s="55" t="s">
        <v>131</v>
      </c>
      <c r="AR1723" s="55" t="s">
        <v>158</v>
      </c>
      <c r="AS1723" s="55" t="s">
        <v>1575</v>
      </c>
      <c r="AU1723" s="181" t="s">
        <v>7494</v>
      </c>
      <c r="AV1723" s="185" t="s">
        <v>176</v>
      </c>
      <c r="AX1723" s="185" t="s">
        <v>176</v>
      </c>
      <c r="BK1723" s="55" t="s">
        <v>5976</v>
      </c>
      <c r="BM1723" s="192" t="s">
        <v>160</v>
      </c>
      <c r="BN1723" s="55">
        <v>4</v>
      </c>
      <c r="BO1723" s="55">
        <v>4</v>
      </c>
      <c r="BQ1723" s="55" t="s">
        <v>315</v>
      </c>
      <c r="DB1723" s="65">
        <v>3.4</v>
      </c>
      <c r="DC1723" s="65">
        <v>1.7</v>
      </c>
      <c r="DF1723" s="65" t="s">
        <v>1634</v>
      </c>
      <c r="GP1723" s="292" t="s">
        <v>7494</v>
      </c>
    </row>
    <row r="1724" spans="1:198" x14ac:dyDescent="0.25">
      <c r="A1724" s="55">
        <v>1723</v>
      </c>
      <c r="B1724" s="12" t="s">
        <v>7067</v>
      </c>
      <c r="C1724" s="155">
        <v>82</v>
      </c>
      <c r="D1724" s="55" t="s">
        <v>4022</v>
      </c>
      <c r="E1724" s="90" t="s">
        <v>1424</v>
      </c>
      <c r="G1724" s="55" t="s">
        <v>1425</v>
      </c>
      <c r="H1724" s="55">
        <v>2007</v>
      </c>
      <c r="I1724" s="55">
        <v>2001</v>
      </c>
      <c r="J1724" s="55" t="s">
        <v>1426</v>
      </c>
      <c r="K1724" s="55" t="s">
        <v>1427</v>
      </c>
      <c r="L1724" s="55" t="s">
        <v>2737</v>
      </c>
      <c r="M1724" s="90">
        <v>42.74</v>
      </c>
      <c r="N1724" s="90">
        <v>-84.48</v>
      </c>
      <c r="O1724" s="90">
        <v>260</v>
      </c>
      <c r="U1724" s="55" t="s">
        <v>1688</v>
      </c>
      <c r="V1724" s="55" t="s">
        <v>1688</v>
      </c>
      <c r="Y1724" s="55" t="s">
        <v>1923</v>
      </c>
      <c r="Z1724" s="55" t="s">
        <v>1369</v>
      </c>
      <c r="AA1724" s="90" t="s">
        <v>1680</v>
      </c>
      <c r="AH1724" s="55" t="s">
        <v>139</v>
      </c>
      <c r="AN1724" s="185" t="s">
        <v>1510</v>
      </c>
      <c r="AO1724" s="185" t="s">
        <v>5150</v>
      </c>
      <c r="AQ1724" s="55" t="s">
        <v>1545</v>
      </c>
      <c r="AR1724" s="55" t="s">
        <v>158</v>
      </c>
      <c r="AS1724" s="55" t="s">
        <v>1575</v>
      </c>
      <c r="AU1724" s="181" t="s">
        <v>7494</v>
      </c>
      <c r="AV1724" s="185" t="s">
        <v>176</v>
      </c>
      <c r="AX1724" s="185" t="s">
        <v>176</v>
      </c>
      <c r="BK1724" s="55" t="s">
        <v>5976</v>
      </c>
      <c r="BM1724" s="192" t="s">
        <v>160</v>
      </c>
      <c r="BN1724" s="55">
        <v>4</v>
      </c>
      <c r="BO1724" s="55">
        <v>4</v>
      </c>
      <c r="BQ1724" s="55" t="s">
        <v>315</v>
      </c>
      <c r="DB1724" s="65">
        <v>3.4</v>
      </c>
      <c r="DC1724" s="65">
        <v>1.3</v>
      </c>
      <c r="DF1724" s="65" t="s">
        <v>1634</v>
      </c>
      <c r="GP1724" s="292" t="s">
        <v>7494</v>
      </c>
    </row>
    <row r="1725" spans="1:198" x14ac:dyDescent="0.25">
      <c r="A1725" s="55">
        <v>1724</v>
      </c>
      <c r="B1725" s="12" t="s">
        <v>7067</v>
      </c>
      <c r="C1725" s="155">
        <v>82</v>
      </c>
      <c r="D1725" s="55" t="s">
        <v>4022</v>
      </c>
      <c r="E1725" s="90" t="s">
        <v>1424</v>
      </c>
      <c r="G1725" s="55" t="s">
        <v>1425</v>
      </c>
      <c r="H1725" s="55">
        <v>2007</v>
      </c>
      <c r="I1725" s="55">
        <v>2001</v>
      </c>
      <c r="J1725" s="55" t="s">
        <v>1426</v>
      </c>
      <c r="K1725" s="55" t="s">
        <v>1427</v>
      </c>
      <c r="L1725" s="55" t="s">
        <v>2737</v>
      </c>
      <c r="M1725" s="90">
        <v>42.74</v>
      </c>
      <c r="N1725" s="90">
        <v>-84.48</v>
      </c>
      <c r="O1725" s="90">
        <v>260</v>
      </c>
      <c r="U1725" s="55" t="s">
        <v>1688</v>
      </c>
      <c r="V1725" s="55" t="s">
        <v>1688</v>
      </c>
      <c r="Y1725" s="55" t="s">
        <v>1923</v>
      </c>
      <c r="Z1725" s="55" t="s">
        <v>1369</v>
      </c>
      <c r="AA1725" s="90" t="s">
        <v>1680</v>
      </c>
      <c r="AH1725" s="55" t="s">
        <v>139</v>
      </c>
      <c r="AN1725" s="185" t="s">
        <v>1511</v>
      </c>
      <c r="AO1725" s="185" t="s">
        <v>5150</v>
      </c>
      <c r="AQ1725" s="55" t="s">
        <v>1545</v>
      </c>
      <c r="AR1725" s="55" t="s">
        <v>158</v>
      </c>
      <c r="AS1725" s="55" t="s">
        <v>1575</v>
      </c>
      <c r="AU1725" s="181" t="s">
        <v>7494</v>
      </c>
      <c r="AV1725" s="185" t="s">
        <v>176</v>
      </c>
      <c r="AX1725" s="185" t="s">
        <v>176</v>
      </c>
      <c r="BK1725" s="55" t="s">
        <v>5976</v>
      </c>
      <c r="BM1725" s="192" t="s">
        <v>160</v>
      </c>
      <c r="BN1725" s="55">
        <v>4</v>
      </c>
      <c r="BO1725" s="55">
        <v>4</v>
      </c>
      <c r="BQ1725" s="55" t="s">
        <v>315</v>
      </c>
      <c r="DB1725" s="65">
        <v>3.4</v>
      </c>
      <c r="DC1725" s="65">
        <v>1.3</v>
      </c>
      <c r="DF1725" s="65" t="s">
        <v>1634</v>
      </c>
      <c r="GP1725" s="292" t="s">
        <v>7494</v>
      </c>
    </row>
    <row r="1726" spans="1:198" x14ac:dyDescent="0.25">
      <c r="A1726" s="55">
        <v>1725</v>
      </c>
      <c r="B1726" s="12" t="s">
        <v>7067</v>
      </c>
      <c r="C1726" s="155">
        <v>82</v>
      </c>
      <c r="D1726" s="55" t="s">
        <v>4022</v>
      </c>
      <c r="E1726" s="90" t="s">
        <v>1424</v>
      </c>
      <c r="G1726" s="55" t="s">
        <v>1425</v>
      </c>
      <c r="H1726" s="55">
        <v>2007</v>
      </c>
      <c r="I1726" s="55">
        <v>2001</v>
      </c>
      <c r="J1726" s="55" t="s">
        <v>1426</v>
      </c>
      <c r="K1726" s="55" t="s">
        <v>1427</v>
      </c>
      <c r="L1726" s="55" t="s">
        <v>2737</v>
      </c>
      <c r="M1726" s="90">
        <v>42.74</v>
      </c>
      <c r="N1726" s="90">
        <v>-84.48</v>
      </c>
      <c r="O1726" s="90">
        <v>260</v>
      </c>
      <c r="U1726" s="55" t="s">
        <v>1688</v>
      </c>
      <c r="V1726" s="55" t="s">
        <v>1688</v>
      </c>
      <c r="Y1726" s="55" t="s">
        <v>1923</v>
      </c>
      <c r="Z1726" s="55" t="s">
        <v>1369</v>
      </c>
      <c r="AA1726" s="90" t="s">
        <v>1680</v>
      </c>
      <c r="AH1726" s="55" t="s">
        <v>139</v>
      </c>
      <c r="AN1726" s="185" t="s">
        <v>1512</v>
      </c>
      <c r="AO1726" s="185" t="s">
        <v>5150</v>
      </c>
      <c r="AQ1726" s="55" t="s">
        <v>1545</v>
      </c>
      <c r="AR1726" s="55" t="s">
        <v>158</v>
      </c>
      <c r="AS1726" s="55" t="s">
        <v>1575</v>
      </c>
      <c r="AU1726" s="181" t="s">
        <v>7494</v>
      </c>
      <c r="AV1726" s="185" t="s">
        <v>176</v>
      </c>
      <c r="AX1726" s="185" t="s">
        <v>176</v>
      </c>
      <c r="BK1726" s="55" t="s">
        <v>5976</v>
      </c>
      <c r="BM1726" s="192" t="s">
        <v>160</v>
      </c>
      <c r="BN1726" s="55">
        <v>4</v>
      </c>
      <c r="BO1726" s="55">
        <v>4</v>
      </c>
      <c r="BQ1726" s="55" t="s">
        <v>315</v>
      </c>
      <c r="DB1726" s="65">
        <v>3.4</v>
      </c>
      <c r="DC1726" s="65">
        <v>1.2</v>
      </c>
      <c r="DF1726" s="65" t="s">
        <v>1634</v>
      </c>
      <c r="GP1726" s="292" t="s">
        <v>7494</v>
      </c>
    </row>
    <row r="1727" spans="1:198" x14ac:dyDescent="0.25">
      <c r="A1727" s="55">
        <v>1726</v>
      </c>
      <c r="B1727" s="12" t="s">
        <v>7067</v>
      </c>
      <c r="C1727" s="155">
        <v>82</v>
      </c>
      <c r="D1727" s="55" t="s">
        <v>4022</v>
      </c>
      <c r="E1727" s="90" t="s">
        <v>1424</v>
      </c>
      <c r="G1727" s="55" t="s">
        <v>1425</v>
      </c>
      <c r="H1727" s="55">
        <v>2007</v>
      </c>
      <c r="I1727" s="55">
        <v>2001</v>
      </c>
      <c r="J1727" s="55" t="s">
        <v>1426</v>
      </c>
      <c r="K1727" s="55" t="s">
        <v>1427</v>
      </c>
      <c r="L1727" s="55" t="s">
        <v>2737</v>
      </c>
      <c r="M1727" s="90">
        <v>42.74</v>
      </c>
      <c r="N1727" s="90">
        <v>-84.48</v>
      </c>
      <c r="O1727" s="90">
        <v>260</v>
      </c>
      <c r="U1727" s="55" t="s">
        <v>1688</v>
      </c>
      <c r="V1727" s="55" t="s">
        <v>1688</v>
      </c>
      <c r="Y1727" s="55" t="s">
        <v>1923</v>
      </c>
      <c r="Z1727" s="55" t="s">
        <v>1369</v>
      </c>
      <c r="AA1727" s="90" t="s">
        <v>1680</v>
      </c>
      <c r="AH1727" s="55" t="s">
        <v>139</v>
      </c>
      <c r="AN1727" s="185" t="s">
        <v>1513</v>
      </c>
      <c r="AO1727" s="185" t="s">
        <v>5150</v>
      </c>
      <c r="AQ1727" s="55" t="s">
        <v>1545</v>
      </c>
      <c r="AR1727" s="55" t="s">
        <v>158</v>
      </c>
      <c r="AS1727" s="55" t="s">
        <v>1575</v>
      </c>
      <c r="AU1727" s="181" t="s">
        <v>7494</v>
      </c>
      <c r="AV1727" s="185" t="s">
        <v>176</v>
      </c>
      <c r="AX1727" s="185" t="s">
        <v>176</v>
      </c>
      <c r="BK1727" s="55" t="s">
        <v>5976</v>
      </c>
      <c r="BM1727" s="192" t="s">
        <v>160</v>
      </c>
      <c r="BN1727" s="55">
        <v>4</v>
      </c>
      <c r="BO1727" s="55">
        <v>4</v>
      </c>
      <c r="BQ1727" s="55" t="s">
        <v>315</v>
      </c>
      <c r="DB1727" s="65">
        <v>3.4</v>
      </c>
      <c r="DC1727" s="65">
        <v>1.2</v>
      </c>
      <c r="DF1727" s="65" t="s">
        <v>1634</v>
      </c>
      <c r="GP1727" s="292" t="s">
        <v>7494</v>
      </c>
    </row>
    <row r="1728" spans="1:198" x14ac:dyDescent="0.25">
      <c r="A1728" s="55">
        <v>1727</v>
      </c>
      <c r="B1728" s="12" t="s">
        <v>7067</v>
      </c>
      <c r="C1728" s="155">
        <v>82</v>
      </c>
      <c r="D1728" s="55" t="s">
        <v>4023</v>
      </c>
      <c r="E1728" s="90" t="s">
        <v>1424</v>
      </c>
      <c r="G1728" s="55" t="s">
        <v>1425</v>
      </c>
      <c r="H1728" s="55">
        <v>2007</v>
      </c>
      <c r="I1728" s="55">
        <v>2001</v>
      </c>
      <c r="J1728" s="55" t="s">
        <v>1426</v>
      </c>
      <c r="K1728" s="55" t="s">
        <v>1427</v>
      </c>
      <c r="L1728" s="55" t="s">
        <v>2737</v>
      </c>
      <c r="M1728" s="90">
        <v>42.74</v>
      </c>
      <c r="N1728" s="90">
        <v>-84.48</v>
      </c>
      <c r="O1728" s="90">
        <v>260</v>
      </c>
      <c r="U1728" s="55" t="s">
        <v>1688</v>
      </c>
      <c r="V1728" s="55" t="s">
        <v>1688</v>
      </c>
      <c r="Y1728" s="55" t="s">
        <v>1923</v>
      </c>
      <c r="Z1728" s="55" t="s">
        <v>1370</v>
      </c>
      <c r="AA1728" s="90" t="s">
        <v>1680</v>
      </c>
      <c r="AH1728" s="55" t="s">
        <v>139</v>
      </c>
      <c r="AN1728" s="185" t="s">
        <v>116</v>
      </c>
      <c r="AO1728" s="185" t="s">
        <v>5150</v>
      </c>
      <c r="AQ1728" s="55" t="s">
        <v>1545</v>
      </c>
      <c r="AR1728" s="55" t="s">
        <v>158</v>
      </c>
      <c r="AS1728" s="55" t="s">
        <v>1575</v>
      </c>
      <c r="AU1728" s="181" t="s">
        <v>7494</v>
      </c>
      <c r="AV1728" s="185" t="s">
        <v>176</v>
      </c>
      <c r="AX1728" s="185" t="s">
        <v>176</v>
      </c>
      <c r="BK1728" s="55" t="s">
        <v>5976</v>
      </c>
      <c r="BM1728" s="192" t="s">
        <v>160</v>
      </c>
      <c r="BN1728" s="55">
        <v>4</v>
      </c>
      <c r="BO1728" s="55">
        <v>4</v>
      </c>
      <c r="BQ1728" s="55" t="s">
        <v>315</v>
      </c>
      <c r="DB1728" s="65">
        <v>2.7</v>
      </c>
      <c r="DC1728" s="65">
        <v>1.9</v>
      </c>
      <c r="DF1728" s="65" t="s">
        <v>1634</v>
      </c>
      <c r="GP1728" s="292" t="s">
        <v>7494</v>
      </c>
    </row>
    <row r="1729" spans="1:198" x14ac:dyDescent="0.25">
      <c r="A1729" s="55">
        <v>1728</v>
      </c>
      <c r="B1729" s="12" t="s">
        <v>7067</v>
      </c>
      <c r="C1729" s="155">
        <v>82</v>
      </c>
      <c r="D1729" s="55" t="s">
        <v>4024</v>
      </c>
      <c r="E1729" s="90" t="s">
        <v>1424</v>
      </c>
      <c r="G1729" s="55" t="s">
        <v>1425</v>
      </c>
      <c r="H1729" s="55">
        <v>2007</v>
      </c>
      <c r="I1729" s="55">
        <v>2001</v>
      </c>
      <c r="J1729" s="55" t="s">
        <v>1426</v>
      </c>
      <c r="K1729" s="55" t="s">
        <v>1427</v>
      </c>
      <c r="L1729" s="55" t="s">
        <v>2737</v>
      </c>
      <c r="M1729" s="90">
        <v>42.74</v>
      </c>
      <c r="N1729" s="90">
        <v>-84.48</v>
      </c>
      <c r="O1729" s="90">
        <v>260</v>
      </c>
      <c r="U1729" s="55" t="s">
        <v>1688</v>
      </c>
      <c r="V1729" s="55" t="s">
        <v>1688</v>
      </c>
      <c r="Y1729" s="55" t="s">
        <v>1923</v>
      </c>
      <c r="Z1729" s="55" t="s">
        <v>1370</v>
      </c>
      <c r="AA1729" s="90" t="s">
        <v>1680</v>
      </c>
      <c r="AH1729" s="55" t="s">
        <v>139</v>
      </c>
      <c r="AN1729" s="185" t="s">
        <v>131</v>
      </c>
      <c r="AO1729" s="185" t="s">
        <v>5150</v>
      </c>
      <c r="AQ1729" s="55" t="s">
        <v>131</v>
      </c>
      <c r="AR1729" s="55" t="s">
        <v>158</v>
      </c>
      <c r="AS1729" s="55" t="s">
        <v>1575</v>
      </c>
      <c r="AU1729" s="181" t="s">
        <v>7494</v>
      </c>
      <c r="AV1729" s="185" t="s">
        <v>176</v>
      </c>
      <c r="AX1729" s="185" t="s">
        <v>176</v>
      </c>
      <c r="BK1729" s="55" t="s">
        <v>5976</v>
      </c>
      <c r="BM1729" s="192" t="s">
        <v>160</v>
      </c>
      <c r="BN1729" s="55">
        <v>4</v>
      </c>
      <c r="BO1729" s="55">
        <v>4</v>
      </c>
      <c r="BQ1729" s="55" t="s">
        <v>315</v>
      </c>
      <c r="DB1729" s="65">
        <v>2.7</v>
      </c>
      <c r="DC1729" s="65">
        <v>1.9</v>
      </c>
      <c r="DF1729" s="65" t="s">
        <v>1634</v>
      </c>
      <c r="GP1729" s="292" t="s">
        <v>7494</v>
      </c>
    </row>
    <row r="1730" spans="1:198" x14ac:dyDescent="0.25">
      <c r="A1730" s="55">
        <v>1729</v>
      </c>
      <c r="B1730" s="12" t="s">
        <v>7067</v>
      </c>
      <c r="C1730" s="155">
        <v>82</v>
      </c>
      <c r="D1730" s="55" t="s">
        <v>4024</v>
      </c>
      <c r="E1730" s="90" t="s">
        <v>1424</v>
      </c>
      <c r="G1730" s="55" t="s">
        <v>1425</v>
      </c>
      <c r="H1730" s="55">
        <v>2007</v>
      </c>
      <c r="I1730" s="55">
        <v>2001</v>
      </c>
      <c r="J1730" s="55" t="s">
        <v>1426</v>
      </c>
      <c r="K1730" s="55" t="s">
        <v>1427</v>
      </c>
      <c r="L1730" s="55" t="s">
        <v>2737</v>
      </c>
      <c r="M1730" s="90">
        <v>42.74</v>
      </c>
      <c r="N1730" s="90">
        <v>-84.48</v>
      </c>
      <c r="O1730" s="90">
        <v>260</v>
      </c>
      <c r="U1730" s="55" t="s">
        <v>1688</v>
      </c>
      <c r="V1730" s="55" t="s">
        <v>1688</v>
      </c>
      <c r="Y1730" s="55" t="s">
        <v>1923</v>
      </c>
      <c r="Z1730" s="55" t="s">
        <v>1370</v>
      </c>
      <c r="AA1730" s="90" t="s">
        <v>1680</v>
      </c>
      <c r="AH1730" s="55" t="s">
        <v>139</v>
      </c>
      <c r="AN1730" s="185" t="s">
        <v>1509</v>
      </c>
      <c r="AO1730" s="185" t="s">
        <v>5150</v>
      </c>
      <c r="AQ1730" s="55" t="s">
        <v>131</v>
      </c>
      <c r="AR1730" s="55" t="s">
        <v>158</v>
      </c>
      <c r="AS1730" s="55" t="s">
        <v>1575</v>
      </c>
      <c r="AU1730" s="181" t="s">
        <v>7494</v>
      </c>
      <c r="AV1730" s="185" t="s">
        <v>176</v>
      </c>
      <c r="AX1730" s="185" t="s">
        <v>176</v>
      </c>
      <c r="BK1730" s="55" t="s">
        <v>5976</v>
      </c>
      <c r="BM1730" s="192" t="s">
        <v>160</v>
      </c>
      <c r="BN1730" s="55">
        <v>4</v>
      </c>
      <c r="BO1730" s="55">
        <v>4</v>
      </c>
      <c r="BQ1730" s="55" t="s">
        <v>315</v>
      </c>
      <c r="DB1730" s="65">
        <v>2.7</v>
      </c>
      <c r="DC1730" s="65">
        <v>1.8</v>
      </c>
      <c r="DF1730" s="65" t="s">
        <v>1634</v>
      </c>
      <c r="GP1730" s="292" t="s">
        <v>7494</v>
      </c>
    </row>
    <row r="1731" spans="1:198" x14ac:dyDescent="0.25">
      <c r="A1731" s="55">
        <v>1730</v>
      </c>
      <c r="B1731" s="12" t="s">
        <v>7067</v>
      </c>
      <c r="C1731" s="155">
        <v>82</v>
      </c>
      <c r="D1731" s="55" t="s">
        <v>4025</v>
      </c>
      <c r="E1731" s="90" t="s">
        <v>1424</v>
      </c>
      <c r="G1731" s="55" t="s">
        <v>1425</v>
      </c>
      <c r="H1731" s="55">
        <v>2007</v>
      </c>
      <c r="I1731" s="55">
        <v>2001</v>
      </c>
      <c r="J1731" s="55" t="s">
        <v>1426</v>
      </c>
      <c r="K1731" s="55" t="s">
        <v>1427</v>
      </c>
      <c r="L1731" s="55" t="s">
        <v>2737</v>
      </c>
      <c r="M1731" s="90">
        <v>42.74</v>
      </c>
      <c r="N1731" s="90">
        <v>-84.48</v>
      </c>
      <c r="O1731" s="90">
        <v>260</v>
      </c>
      <c r="U1731" s="55" t="s">
        <v>1688</v>
      </c>
      <c r="V1731" s="55" t="s">
        <v>1688</v>
      </c>
      <c r="Y1731" s="55" t="s">
        <v>1923</v>
      </c>
      <c r="Z1731" s="55" t="s">
        <v>1370</v>
      </c>
      <c r="AA1731" s="90" t="s">
        <v>1680</v>
      </c>
      <c r="AH1731" s="55" t="s">
        <v>139</v>
      </c>
      <c r="AN1731" s="185" t="s">
        <v>1510</v>
      </c>
      <c r="AO1731" s="185" t="s">
        <v>5150</v>
      </c>
      <c r="AQ1731" s="55" t="s">
        <v>1545</v>
      </c>
      <c r="AR1731" s="55" t="s">
        <v>158</v>
      </c>
      <c r="AS1731" s="55" t="s">
        <v>1575</v>
      </c>
      <c r="AU1731" s="181" t="s">
        <v>7494</v>
      </c>
      <c r="AV1731" s="185" t="s">
        <v>176</v>
      </c>
      <c r="AX1731" s="185" t="s">
        <v>176</v>
      </c>
      <c r="BK1731" s="55" t="s">
        <v>5976</v>
      </c>
      <c r="BM1731" s="192" t="s">
        <v>160</v>
      </c>
      <c r="BN1731" s="55">
        <v>4</v>
      </c>
      <c r="BO1731" s="55">
        <v>4</v>
      </c>
      <c r="BQ1731" s="55" t="s">
        <v>315</v>
      </c>
      <c r="DB1731" s="65">
        <v>2.7</v>
      </c>
      <c r="DC1731" s="65">
        <v>1.7</v>
      </c>
      <c r="DF1731" s="65" t="s">
        <v>1634</v>
      </c>
      <c r="GP1731" s="292" t="s">
        <v>7494</v>
      </c>
    </row>
    <row r="1732" spans="1:198" x14ac:dyDescent="0.25">
      <c r="A1732" s="55">
        <v>1731</v>
      </c>
      <c r="B1732" s="12" t="s">
        <v>7067</v>
      </c>
      <c r="C1732" s="155">
        <v>82</v>
      </c>
      <c r="D1732" s="55" t="s">
        <v>4025</v>
      </c>
      <c r="E1732" s="90" t="s">
        <v>1424</v>
      </c>
      <c r="G1732" s="55" t="s">
        <v>1425</v>
      </c>
      <c r="H1732" s="55">
        <v>2007</v>
      </c>
      <c r="I1732" s="55">
        <v>2001</v>
      </c>
      <c r="J1732" s="55" t="s">
        <v>1426</v>
      </c>
      <c r="K1732" s="55" t="s">
        <v>1427</v>
      </c>
      <c r="L1732" s="55" t="s">
        <v>2737</v>
      </c>
      <c r="M1732" s="90">
        <v>42.74</v>
      </c>
      <c r="N1732" s="90">
        <v>-84.48</v>
      </c>
      <c r="O1732" s="90">
        <v>260</v>
      </c>
      <c r="U1732" s="55" t="s">
        <v>1688</v>
      </c>
      <c r="V1732" s="55" t="s">
        <v>1688</v>
      </c>
      <c r="Y1732" s="55" t="s">
        <v>1923</v>
      </c>
      <c r="Z1732" s="55" t="s">
        <v>1370</v>
      </c>
      <c r="AA1732" s="90" t="s">
        <v>1680</v>
      </c>
      <c r="AH1732" s="55" t="s">
        <v>139</v>
      </c>
      <c r="AN1732" s="185" t="s">
        <v>1511</v>
      </c>
      <c r="AO1732" s="185" t="s">
        <v>5150</v>
      </c>
      <c r="AQ1732" s="55" t="s">
        <v>1545</v>
      </c>
      <c r="AR1732" s="55" t="s">
        <v>158</v>
      </c>
      <c r="AS1732" s="55" t="s">
        <v>1575</v>
      </c>
      <c r="AU1732" s="181" t="s">
        <v>7494</v>
      </c>
      <c r="AV1732" s="185" t="s">
        <v>176</v>
      </c>
      <c r="AX1732" s="185" t="s">
        <v>176</v>
      </c>
      <c r="BK1732" s="55" t="s">
        <v>5976</v>
      </c>
      <c r="BM1732" s="192" t="s">
        <v>160</v>
      </c>
      <c r="BN1732" s="55">
        <v>4</v>
      </c>
      <c r="BO1732" s="55">
        <v>4</v>
      </c>
      <c r="BQ1732" s="55" t="s">
        <v>315</v>
      </c>
      <c r="DB1732" s="65">
        <v>2.7</v>
      </c>
      <c r="DC1732" s="65">
        <v>1.6</v>
      </c>
      <c r="DF1732" s="65" t="s">
        <v>1634</v>
      </c>
      <c r="GP1732" s="292" t="s">
        <v>7494</v>
      </c>
    </row>
    <row r="1733" spans="1:198" x14ac:dyDescent="0.25">
      <c r="A1733" s="55">
        <v>1732</v>
      </c>
      <c r="B1733" s="12" t="s">
        <v>7067</v>
      </c>
      <c r="C1733" s="155">
        <v>82</v>
      </c>
      <c r="D1733" s="55" t="s">
        <v>4025</v>
      </c>
      <c r="E1733" s="90" t="s">
        <v>1424</v>
      </c>
      <c r="G1733" s="55" t="s">
        <v>1425</v>
      </c>
      <c r="H1733" s="55">
        <v>2007</v>
      </c>
      <c r="I1733" s="55">
        <v>2001</v>
      </c>
      <c r="J1733" s="55" t="s">
        <v>1426</v>
      </c>
      <c r="K1733" s="55" t="s">
        <v>1427</v>
      </c>
      <c r="L1733" s="55" t="s">
        <v>2737</v>
      </c>
      <c r="M1733" s="90">
        <v>42.74</v>
      </c>
      <c r="N1733" s="90">
        <v>-84.48</v>
      </c>
      <c r="O1733" s="90">
        <v>260</v>
      </c>
      <c r="U1733" s="55" t="s">
        <v>1688</v>
      </c>
      <c r="V1733" s="55" t="s">
        <v>1688</v>
      </c>
      <c r="Y1733" s="55" t="s">
        <v>1923</v>
      </c>
      <c r="Z1733" s="55" t="s">
        <v>1370</v>
      </c>
      <c r="AA1733" s="90" t="s">
        <v>1680</v>
      </c>
      <c r="AH1733" s="55" t="s">
        <v>139</v>
      </c>
      <c r="AN1733" s="185" t="s">
        <v>1512</v>
      </c>
      <c r="AO1733" s="185" t="s">
        <v>5150</v>
      </c>
      <c r="AQ1733" s="55" t="s">
        <v>1545</v>
      </c>
      <c r="AR1733" s="55" t="s">
        <v>158</v>
      </c>
      <c r="AS1733" s="55" t="s">
        <v>1575</v>
      </c>
      <c r="AU1733" s="181" t="s">
        <v>7494</v>
      </c>
      <c r="AV1733" s="185" t="s">
        <v>176</v>
      </c>
      <c r="AX1733" s="185" t="s">
        <v>176</v>
      </c>
      <c r="BK1733" s="55" t="s">
        <v>5976</v>
      </c>
      <c r="BM1733" s="192" t="s">
        <v>160</v>
      </c>
      <c r="BN1733" s="55">
        <v>4</v>
      </c>
      <c r="BO1733" s="55">
        <v>4</v>
      </c>
      <c r="BQ1733" s="55" t="s">
        <v>315</v>
      </c>
      <c r="DB1733" s="65">
        <v>2.7</v>
      </c>
      <c r="DC1733" s="65">
        <v>1.6</v>
      </c>
      <c r="DF1733" s="65" t="s">
        <v>1634</v>
      </c>
      <c r="GP1733" s="292" t="s">
        <v>7494</v>
      </c>
    </row>
    <row r="1734" spans="1:198" x14ac:dyDescent="0.25">
      <c r="A1734" s="55">
        <v>1733</v>
      </c>
      <c r="B1734" s="12" t="s">
        <v>7067</v>
      </c>
      <c r="C1734" s="155">
        <v>82</v>
      </c>
      <c r="D1734" s="55" t="s">
        <v>4025</v>
      </c>
      <c r="E1734" s="90" t="s">
        <v>1424</v>
      </c>
      <c r="G1734" s="55" t="s">
        <v>1425</v>
      </c>
      <c r="H1734" s="55">
        <v>2007</v>
      </c>
      <c r="I1734" s="55">
        <v>2001</v>
      </c>
      <c r="J1734" s="55" t="s">
        <v>1426</v>
      </c>
      <c r="K1734" s="55" t="s">
        <v>1427</v>
      </c>
      <c r="L1734" s="55" t="s">
        <v>2737</v>
      </c>
      <c r="M1734" s="90">
        <v>42.74</v>
      </c>
      <c r="N1734" s="90">
        <v>-84.48</v>
      </c>
      <c r="O1734" s="90">
        <v>260</v>
      </c>
      <c r="U1734" s="55" t="s">
        <v>1688</v>
      </c>
      <c r="V1734" s="55" t="s">
        <v>1688</v>
      </c>
      <c r="Y1734" s="55" t="s">
        <v>1923</v>
      </c>
      <c r="Z1734" s="55" t="s">
        <v>1370</v>
      </c>
      <c r="AA1734" s="90" t="s">
        <v>1680</v>
      </c>
      <c r="AH1734" s="55" t="s">
        <v>139</v>
      </c>
      <c r="AN1734" s="185" t="s">
        <v>1513</v>
      </c>
      <c r="AO1734" s="185" t="s">
        <v>5150</v>
      </c>
      <c r="AQ1734" s="55" t="s">
        <v>1545</v>
      </c>
      <c r="AR1734" s="55" t="s">
        <v>158</v>
      </c>
      <c r="AS1734" s="55" t="s">
        <v>1575</v>
      </c>
      <c r="AU1734" s="181" t="s">
        <v>7494</v>
      </c>
      <c r="AV1734" s="185" t="s">
        <v>176</v>
      </c>
      <c r="AX1734" s="185" t="s">
        <v>176</v>
      </c>
      <c r="BK1734" s="55" t="s">
        <v>5976</v>
      </c>
      <c r="BM1734" s="192" t="s">
        <v>160</v>
      </c>
      <c r="BN1734" s="55">
        <v>4</v>
      </c>
      <c r="BO1734" s="55">
        <v>4</v>
      </c>
      <c r="BQ1734" s="55" t="s">
        <v>315</v>
      </c>
      <c r="DB1734" s="65">
        <v>2.7</v>
      </c>
      <c r="DC1734" s="65">
        <v>1.6</v>
      </c>
      <c r="DF1734" s="65" t="s">
        <v>1634</v>
      </c>
      <c r="GP1734" s="292" t="s">
        <v>7494</v>
      </c>
    </row>
    <row r="1735" spans="1:198" x14ac:dyDescent="0.25">
      <c r="A1735" s="55">
        <v>1734</v>
      </c>
      <c r="B1735" s="12" t="s">
        <v>7067</v>
      </c>
      <c r="C1735" s="155">
        <v>82</v>
      </c>
      <c r="D1735" s="55" t="s">
        <v>4017</v>
      </c>
      <c r="E1735" s="90" t="s">
        <v>1424</v>
      </c>
      <c r="G1735" s="55" t="s">
        <v>1425</v>
      </c>
      <c r="H1735" s="55">
        <v>2007</v>
      </c>
      <c r="I1735" s="55">
        <v>2000</v>
      </c>
      <c r="J1735" s="55" t="s">
        <v>1426</v>
      </c>
      <c r="K1735" s="55" t="s">
        <v>1427</v>
      </c>
      <c r="L1735" s="55" t="s">
        <v>2737</v>
      </c>
      <c r="M1735" s="90">
        <v>42.74</v>
      </c>
      <c r="N1735" s="90">
        <v>-84.48</v>
      </c>
      <c r="O1735" s="90">
        <v>260</v>
      </c>
      <c r="U1735" s="55" t="s">
        <v>1805</v>
      </c>
      <c r="V1735" s="55" t="s">
        <v>1688</v>
      </c>
      <c r="Y1735" s="55" t="s">
        <v>1923</v>
      </c>
      <c r="Z1735" s="55" t="s">
        <v>1356</v>
      </c>
      <c r="AA1735" s="90" t="s">
        <v>1680</v>
      </c>
      <c r="AH1735" s="55" t="s">
        <v>139</v>
      </c>
      <c r="AN1735" s="185" t="s">
        <v>116</v>
      </c>
      <c r="AO1735" s="185" t="s">
        <v>5150</v>
      </c>
      <c r="AQ1735" s="55" t="s">
        <v>1545</v>
      </c>
      <c r="AR1735" s="55" t="s">
        <v>132</v>
      </c>
      <c r="AS1735" s="55" t="s">
        <v>1575</v>
      </c>
      <c r="AU1735" s="181" t="s">
        <v>7494</v>
      </c>
      <c r="AV1735" s="185" t="s">
        <v>176</v>
      </c>
      <c r="AX1735" s="185" t="s">
        <v>176</v>
      </c>
      <c r="BK1735" s="55" t="s">
        <v>5976</v>
      </c>
      <c r="BM1735" s="192" t="s">
        <v>160</v>
      </c>
      <c r="BN1735" s="55">
        <v>4</v>
      </c>
      <c r="BO1735" s="55">
        <v>4</v>
      </c>
      <c r="BQ1735" s="55" t="s">
        <v>315</v>
      </c>
      <c r="DB1735" s="65">
        <v>6.1</v>
      </c>
      <c r="DC1735" s="65">
        <v>6.4</v>
      </c>
      <c r="DF1735" s="65" t="s">
        <v>1634</v>
      </c>
      <c r="GP1735" s="292" t="s">
        <v>7494</v>
      </c>
    </row>
    <row r="1736" spans="1:198" x14ac:dyDescent="0.25">
      <c r="A1736" s="55">
        <v>1735</v>
      </c>
      <c r="B1736" s="12" t="s">
        <v>7067</v>
      </c>
      <c r="C1736" s="155">
        <v>82</v>
      </c>
      <c r="D1736" s="55" t="s">
        <v>4018</v>
      </c>
      <c r="E1736" s="90" t="s">
        <v>1424</v>
      </c>
      <c r="G1736" s="55" t="s">
        <v>1425</v>
      </c>
      <c r="H1736" s="55">
        <v>2007</v>
      </c>
      <c r="I1736" s="55">
        <v>2000</v>
      </c>
      <c r="J1736" s="55" t="s">
        <v>1426</v>
      </c>
      <c r="K1736" s="55" t="s">
        <v>1427</v>
      </c>
      <c r="L1736" s="55" t="s">
        <v>2737</v>
      </c>
      <c r="M1736" s="90">
        <v>42.74</v>
      </c>
      <c r="N1736" s="90">
        <v>-84.48</v>
      </c>
      <c r="O1736" s="90">
        <v>260</v>
      </c>
      <c r="U1736" s="55" t="s">
        <v>1805</v>
      </c>
      <c r="V1736" s="55" t="s">
        <v>1688</v>
      </c>
      <c r="Y1736" s="55" t="s">
        <v>1923</v>
      </c>
      <c r="Z1736" s="55" t="s">
        <v>1356</v>
      </c>
      <c r="AA1736" s="90" t="s">
        <v>1680</v>
      </c>
      <c r="AH1736" s="55" t="s">
        <v>139</v>
      </c>
      <c r="AN1736" s="185" t="s">
        <v>131</v>
      </c>
      <c r="AO1736" s="185" t="s">
        <v>5150</v>
      </c>
      <c r="AQ1736" s="55" t="s">
        <v>131</v>
      </c>
      <c r="AR1736" s="55" t="s">
        <v>132</v>
      </c>
      <c r="AS1736" s="55" t="s">
        <v>1575</v>
      </c>
      <c r="AU1736" s="181" t="s">
        <v>7494</v>
      </c>
      <c r="AV1736" s="185" t="s">
        <v>176</v>
      </c>
      <c r="AX1736" s="185" t="s">
        <v>176</v>
      </c>
      <c r="BK1736" s="55" t="s">
        <v>5976</v>
      </c>
      <c r="BM1736" s="192" t="s">
        <v>160</v>
      </c>
      <c r="BN1736" s="55">
        <v>4</v>
      </c>
      <c r="BO1736" s="55">
        <v>4</v>
      </c>
      <c r="BQ1736" s="55" t="s">
        <v>315</v>
      </c>
      <c r="DB1736" s="65">
        <v>6.1</v>
      </c>
      <c r="DC1736" s="65">
        <v>6.5</v>
      </c>
      <c r="DF1736" s="65" t="s">
        <v>1634</v>
      </c>
      <c r="GP1736" s="292" t="s">
        <v>7494</v>
      </c>
    </row>
    <row r="1737" spans="1:198" x14ac:dyDescent="0.25">
      <c r="A1737" s="55">
        <v>1736</v>
      </c>
      <c r="B1737" s="12" t="s">
        <v>7067</v>
      </c>
      <c r="C1737" s="155">
        <v>82</v>
      </c>
      <c r="D1737" s="55" t="s">
        <v>4018</v>
      </c>
      <c r="E1737" s="90" t="s">
        <v>1424</v>
      </c>
      <c r="G1737" s="55" t="s">
        <v>1425</v>
      </c>
      <c r="H1737" s="55">
        <v>2007</v>
      </c>
      <c r="I1737" s="55">
        <v>2000</v>
      </c>
      <c r="J1737" s="55" t="s">
        <v>1426</v>
      </c>
      <c r="K1737" s="55" t="s">
        <v>1427</v>
      </c>
      <c r="L1737" s="55" t="s">
        <v>2737</v>
      </c>
      <c r="M1737" s="90">
        <v>42.74</v>
      </c>
      <c r="N1737" s="90">
        <v>-84.48</v>
      </c>
      <c r="O1737" s="90">
        <v>260</v>
      </c>
      <c r="U1737" s="55" t="s">
        <v>1805</v>
      </c>
      <c r="V1737" s="55" t="s">
        <v>1688</v>
      </c>
      <c r="Y1737" s="55" t="s">
        <v>1923</v>
      </c>
      <c r="Z1737" s="55" t="s">
        <v>1356</v>
      </c>
      <c r="AA1737" s="90" t="s">
        <v>1680</v>
      </c>
      <c r="AH1737" s="55" t="s">
        <v>139</v>
      </c>
      <c r="AN1737" s="185" t="s">
        <v>1509</v>
      </c>
      <c r="AO1737" s="185" t="s">
        <v>5150</v>
      </c>
      <c r="AQ1737" s="55" t="s">
        <v>131</v>
      </c>
      <c r="AR1737" s="55" t="s">
        <v>132</v>
      </c>
      <c r="AS1737" s="55" t="s">
        <v>1575</v>
      </c>
      <c r="AU1737" s="181" t="s">
        <v>7494</v>
      </c>
      <c r="AV1737" s="185" t="s">
        <v>176</v>
      </c>
      <c r="AX1737" s="185" t="s">
        <v>176</v>
      </c>
      <c r="BK1737" s="55" t="s">
        <v>5976</v>
      </c>
      <c r="BM1737" s="192" t="s">
        <v>160</v>
      </c>
      <c r="BN1737" s="55">
        <v>4</v>
      </c>
      <c r="BO1737" s="55">
        <v>4</v>
      </c>
      <c r="BQ1737" s="55" t="s">
        <v>315</v>
      </c>
      <c r="DB1737" s="65">
        <v>6.1</v>
      </c>
      <c r="DC1737" s="65">
        <v>9.1</v>
      </c>
      <c r="DF1737" s="65" t="s">
        <v>1634</v>
      </c>
      <c r="GP1737" s="292" t="s">
        <v>7494</v>
      </c>
    </row>
    <row r="1738" spans="1:198" x14ac:dyDescent="0.25">
      <c r="A1738" s="55">
        <v>1737</v>
      </c>
      <c r="B1738" s="12" t="s">
        <v>7067</v>
      </c>
      <c r="C1738" s="155">
        <v>82</v>
      </c>
      <c r="D1738" s="55" t="s">
        <v>4019</v>
      </c>
      <c r="E1738" s="90" t="s">
        <v>1424</v>
      </c>
      <c r="G1738" s="55" t="s">
        <v>1425</v>
      </c>
      <c r="H1738" s="55">
        <v>2007</v>
      </c>
      <c r="I1738" s="55">
        <v>2000</v>
      </c>
      <c r="J1738" s="55" t="s">
        <v>1426</v>
      </c>
      <c r="K1738" s="55" t="s">
        <v>1427</v>
      </c>
      <c r="L1738" s="55" t="s">
        <v>2737</v>
      </c>
      <c r="M1738" s="90">
        <v>42.74</v>
      </c>
      <c r="N1738" s="90">
        <v>-84.48</v>
      </c>
      <c r="O1738" s="90">
        <v>260</v>
      </c>
      <c r="U1738" s="55" t="s">
        <v>1805</v>
      </c>
      <c r="V1738" s="55" t="s">
        <v>1688</v>
      </c>
      <c r="Y1738" s="55" t="s">
        <v>1923</v>
      </c>
      <c r="Z1738" s="55" t="s">
        <v>1356</v>
      </c>
      <c r="AA1738" s="90" t="s">
        <v>1680</v>
      </c>
      <c r="AH1738" s="55" t="s">
        <v>139</v>
      </c>
      <c r="AN1738" s="185" t="s">
        <v>1510</v>
      </c>
      <c r="AO1738" s="185" t="s">
        <v>5150</v>
      </c>
      <c r="AQ1738" s="55" t="s">
        <v>1545</v>
      </c>
      <c r="AR1738" s="55" t="s">
        <v>132</v>
      </c>
      <c r="AS1738" s="55" t="s">
        <v>1575</v>
      </c>
      <c r="AU1738" s="181" t="s">
        <v>7494</v>
      </c>
      <c r="AV1738" s="185" t="s">
        <v>176</v>
      </c>
      <c r="AX1738" s="185" t="s">
        <v>176</v>
      </c>
      <c r="BK1738" s="55" t="s">
        <v>5976</v>
      </c>
      <c r="BM1738" s="192" t="s">
        <v>160</v>
      </c>
      <c r="BN1738" s="55">
        <v>4</v>
      </c>
      <c r="BO1738" s="55">
        <v>4</v>
      </c>
      <c r="BQ1738" s="55" t="s">
        <v>315</v>
      </c>
      <c r="DB1738" s="65">
        <v>6.1</v>
      </c>
      <c r="DC1738" s="65">
        <v>6.7</v>
      </c>
      <c r="DF1738" s="65" t="s">
        <v>1634</v>
      </c>
      <c r="GP1738" s="292" t="s">
        <v>7494</v>
      </c>
    </row>
    <row r="1739" spans="1:198" x14ac:dyDescent="0.25">
      <c r="A1739" s="55">
        <v>1738</v>
      </c>
      <c r="B1739" s="12" t="s">
        <v>7067</v>
      </c>
      <c r="C1739" s="155">
        <v>82</v>
      </c>
      <c r="D1739" s="55" t="s">
        <v>4019</v>
      </c>
      <c r="E1739" s="90" t="s">
        <v>1424</v>
      </c>
      <c r="G1739" s="55" t="s">
        <v>1425</v>
      </c>
      <c r="H1739" s="55">
        <v>2007</v>
      </c>
      <c r="I1739" s="55">
        <v>2000</v>
      </c>
      <c r="J1739" s="55" t="s">
        <v>1426</v>
      </c>
      <c r="K1739" s="55" t="s">
        <v>1427</v>
      </c>
      <c r="L1739" s="55" t="s">
        <v>2737</v>
      </c>
      <c r="M1739" s="90">
        <v>42.74</v>
      </c>
      <c r="N1739" s="90">
        <v>-84.48</v>
      </c>
      <c r="O1739" s="90">
        <v>260</v>
      </c>
      <c r="U1739" s="55" t="s">
        <v>1805</v>
      </c>
      <c r="V1739" s="55" t="s">
        <v>1688</v>
      </c>
      <c r="Y1739" s="55" t="s">
        <v>1923</v>
      </c>
      <c r="Z1739" s="55" t="s">
        <v>1356</v>
      </c>
      <c r="AA1739" s="90" t="s">
        <v>1680</v>
      </c>
      <c r="AH1739" s="55" t="s">
        <v>139</v>
      </c>
      <c r="AN1739" s="185" t="s">
        <v>1511</v>
      </c>
      <c r="AO1739" s="185" t="s">
        <v>5150</v>
      </c>
      <c r="AQ1739" s="55" t="s">
        <v>1545</v>
      </c>
      <c r="AR1739" s="55" t="s">
        <v>132</v>
      </c>
      <c r="AS1739" s="55" t="s">
        <v>1575</v>
      </c>
      <c r="AU1739" s="181" t="s">
        <v>7494</v>
      </c>
      <c r="AV1739" s="185" t="s">
        <v>176</v>
      </c>
      <c r="AX1739" s="185" t="s">
        <v>176</v>
      </c>
      <c r="BK1739" s="55" t="s">
        <v>5976</v>
      </c>
      <c r="BM1739" s="192" t="s">
        <v>160</v>
      </c>
      <c r="BN1739" s="55">
        <v>4</v>
      </c>
      <c r="BO1739" s="55">
        <v>4</v>
      </c>
      <c r="BQ1739" s="55" t="s">
        <v>315</v>
      </c>
      <c r="DB1739" s="65">
        <v>6.1</v>
      </c>
      <c r="DC1739" s="65">
        <v>5.7</v>
      </c>
      <c r="DF1739" s="65" t="s">
        <v>1634</v>
      </c>
      <c r="GP1739" s="292" t="s">
        <v>7494</v>
      </c>
    </row>
    <row r="1740" spans="1:198" x14ac:dyDescent="0.25">
      <c r="A1740" s="55">
        <v>1739</v>
      </c>
      <c r="B1740" s="12" t="s">
        <v>7067</v>
      </c>
      <c r="C1740" s="155">
        <v>82</v>
      </c>
      <c r="D1740" s="55" t="s">
        <v>4019</v>
      </c>
      <c r="E1740" s="90" t="s">
        <v>1424</v>
      </c>
      <c r="G1740" s="55" t="s">
        <v>1425</v>
      </c>
      <c r="H1740" s="55">
        <v>2007</v>
      </c>
      <c r="I1740" s="55">
        <v>2000</v>
      </c>
      <c r="J1740" s="55" t="s">
        <v>1426</v>
      </c>
      <c r="K1740" s="55" t="s">
        <v>1427</v>
      </c>
      <c r="L1740" s="55" t="s">
        <v>2737</v>
      </c>
      <c r="M1740" s="90">
        <v>42.74</v>
      </c>
      <c r="N1740" s="90">
        <v>-84.48</v>
      </c>
      <c r="O1740" s="90">
        <v>260</v>
      </c>
      <c r="U1740" s="55" t="s">
        <v>1805</v>
      </c>
      <c r="V1740" s="55" t="s">
        <v>1688</v>
      </c>
      <c r="Y1740" s="55" t="s">
        <v>1923</v>
      </c>
      <c r="Z1740" s="55" t="s">
        <v>1356</v>
      </c>
      <c r="AA1740" s="90" t="s">
        <v>1680</v>
      </c>
      <c r="AH1740" s="55" t="s">
        <v>139</v>
      </c>
      <c r="AN1740" s="185" t="s">
        <v>1512</v>
      </c>
      <c r="AO1740" s="185" t="s">
        <v>5150</v>
      </c>
      <c r="AQ1740" s="55" t="s">
        <v>1545</v>
      </c>
      <c r="AR1740" s="55" t="s">
        <v>132</v>
      </c>
      <c r="AS1740" s="55" t="s">
        <v>1575</v>
      </c>
      <c r="AU1740" s="181" t="s">
        <v>7494</v>
      </c>
      <c r="AV1740" s="185" t="s">
        <v>176</v>
      </c>
      <c r="AX1740" s="185" t="s">
        <v>176</v>
      </c>
      <c r="BK1740" s="55" t="s">
        <v>5976</v>
      </c>
      <c r="BM1740" s="192" t="s">
        <v>160</v>
      </c>
      <c r="BN1740" s="55">
        <v>4</v>
      </c>
      <c r="BO1740" s="55">
        <v>4</v>
      </c>
      <c r="BQ1740" s="55" t="s">
        <v>315</v>
      </c>
      <c r="DB1740" s="65">
        <v>6.1</v>
      </c>
      <c r="DC1740" s="65">
        <v>5</v>
      </c>
      <c r="DF1740" s="65" t="s">
        <v>1634</v>
      </c>
      <c r="GP1740" s="292" t="s">
        <v>7494</v>
      </c>
    </row>
    <row r="1741" spans="1:198" x14ac:dyDescent="0.25">
      <c r="A1741" s="55">
        <v>1740</v>
      </c>
      <c r="B1741" s="12" t="s">
        <v>7067</v>
      </c>
      <c r="C1741" s="155">
        <v>82</v>
      </c>
      <c r="D1741" s="55" t="s">
        <v>4019</v>
      </c>
      <c r="E1741" s="90" t="s">
        <v>1424</v>
      </c>
      <c r="G1741" s="55" t="s">
        <v>1425</v>
      </c>
      <c r="H1741" s="55">
        <v>2007</v>
      </c>
      <c r="I1741" s="55">
        <v>2000</v>
      </c>
      <c r="J1741" s="55" t="s">
        <v>1426</v>
      </c>
      <c r="K1741" s="55" t="s">
        <v>1427</v>
      </c>
      <c r="L1741" s="55" t="s">
        <v>2737</v>
      </c>
      <c r="M1741" s="90">
        <v>42.74</v>
      </c>
      <c r="N1741" s="90">
        <v>-84.48</v>
      </c>
      <c r="O1741" s="90">
        <v>260</v>
      </c>
      <c r="U1741" s="55" t="s">
        <v>1805</v>
      </c>
      <c r="V1741" s="55" t="s">
        <v>1688</v>
      </c>
      <c r="Y1741" s="55" t="s">
        <v>1923</v>
      </c>
      <c r="Z1741" s="55" t="s">
        <v>1356</v>
      </c>
      <c r="AA1741" s="90" t="s">
        <v>1680</v>
      </c>
      <c r="AH1741" s="55" t="s">
        <v>139</v>
      </c>
      <c r="AN1741" s="185" t="s">
        <v>1513</v>
      </c>
      <c r="AO1741" s="185" t="s">
        <v>5150</v>
      </c>
      <c r="AQ1741" s="55" t="s">
        <v>1545</v>
      </c>
      <c r="AR1741" s="55" t="s">
        <v>132</v>
      </c>
      <c r="AS1741" s="55" t="s">
        <v>1575</v>
      </c>
      <c r="AU1741" s="181" t="s">
        <v>7494</v>
      </c>
      <c r="AV1741" s="185" t="s">
        <v>176</v>
      </c>
      <c r="AX1741" s="185" t="s">
        <v>176</v>
      </c>
      <c r="BK1741" s="55" t="s">
        <v>5976</v>
      </c>
      <c r="BM1741" s="192" t="s">
        <v>160</v>
      </c>
      <c r="BN1741" s="55">
        <v>4</v>
      </c>
      <c r="BO1741" s="55">
        <v>4</v>
      </c>
      <c r="BQ1741" s="55" t="s">
        <v>315</v>
      </c>
      <c r="DB1741" s="65">
        <v>6.1</v>
      </c>
      <c r="DC1741" s="65">
        <v>4.5999999999999996</v>
      </c>
      <c r="DF1741" s="65" t="s">
        <v>1634</v>
      </c>
      <c r="GP1741" s="292" t="s">
        <v>7494</v>
      </c>
    </row>
    <row r="1742" spans="1:198" x14ac:dyDescent="0.25">
      <c r="A1742" s="55">
        <v>1741</v>
      </c>
      <c r="B1742" s="12" t="s">
        <v>7067</v>
      </c>
      <c r="C1742" s="155">
        <v>82</v>
      </c>
      <c r="D1742" s="55" t="s">
        <v>4020</v>
      </c>
      <c r="E1742" s="90" t="s">
        <v>1424</v>
      </c>
      <c r="G1742" s="55" t="s">
        <v>1425</v>
      </c>
      <c r="H1742" s="55">
        <v>2007</v>
      </c>
      <c r="I1742" s="55">
        <v>2000</v>
      </c>
      <c r="J1742" s="55" t="s">
        <v>1426</v>
      </c>
      <c r="K1742" s="55" t="s">
        <v>1427</v>
      </c>
      <c r="L1742" s="55" t="s">
        <v>2737</v>
      </c>
      <c r="M1742" s="90">
        <v>42.74</v>
      </c>
      <c r="N1742" s="90">
        <v>-84.48</v>
      </c>
      <c r="O1742" s="90">
        <v>260</v>
      </c>
      <c r="U1742" s="55" t="s">
        <v>1805</v>
      </c>
      <c r="V1742" s="55" t="s">
        <v>1688</v>
      </c>
      <c r="Y1742" s="55" t="s">
        <v>1923</v>
      </c>
      <c r="Z1742" s="55" t="s">
        <v>1369</v>
      </c>
      <c r="AA1742" s="90" t="s">
        <v>1680</v>
      </c>
      <c r="AH1742" s="55" t="s">
        <v>139</v>
      </c>
      <c r="AN1742" s="185" t="s">
        <v>116</v>
      </c>
      <c r="AO1742" s="185" t="s">
        <v>5150</v>
      </c>
      <c r="AQ1742" s="55" t="s">
        <v>1545</v>
      </c>
      <c r="AR1742" s="55" t="s">
        <v>132</v>
      </c>
      <c r="AS1742" s="55" t="s">
        <v>1575</v>
      </c>
      <c r="AU1742" s="181" t="s">
        <v>7494</v>
      </c>
      <c r="AV1742" s="185" t="s">
        <v>176</v>
      </c>
      <c r="AX1742" s="185" t="s">
        <v>176</v>
      </c>
      <c r="BK1742" s="55" t="s">
        <v>5976</v>
      </c>
      <c r="BM1742" s="192" t="s">
        <v>160</v>
      </c>
      <c r="BN1742" s="55">
        <v>4</v>
      </c>
      <c r="BO1742" s="55">
        <v>4</v>
      </c>
      <c r="BQ1742" s="55" t="s">
        <v>315</v>
      </c>
      <c r="DB1742" s="65">
        <v>5.7</v>
      </c>
      <c r="DC1742" s="65">
        <v>5.3</v>
      </c>
      <c r="DF1742" s="65" t="s">
        <v>1634</v>
      </c>
      <c r="GP1742" s="292" t="s">
        <v>7494</v>
      </c>
    </row>
    <row r="1743" spans="1:198" x14ac:dyDescent="0.25">
      <c r="A1743" s="55">
        <v>1742</v>
      </c>
      <c r="B1743" s="12" t="s">
        <v>7067</v>
      </c>
      <c r="C1743" s="155">
        <v>82</v>
      </c>
      <c r="D1743" s="55" t="s">
        <v>4021</v>
      </c>
      <c r="E1743" s="90" t="s">
        <v>1424</v>
      </c>
      <c r="G1743" s="55" t="s">
        <v>1425</v>
      </c>
      <c r="H1743" s="55">
        <v>2007</v>
      </c>
      <c r="I1743" s="55">
        <v>2000</v>
      </c>
      <c r="J1743" s="55" t="s">
        <v>1426</v>
      </c>
      <c r="K1743" s="55" t="s">
        <v>1427</v>
      </c>
      <c r="L1743" s="55" t="s">
        <v>2737</v>
      </c>
      <c r="M1743" s="90">
        <v>42.74</v>
      </c>
      <c r="N1743" s="90">
        <v>-84.48</v>
      </c>
      <c r="O1743" s="90">
        <v>260</v>
      </c>
      <c r="U1743" s="55" t="s">
        <v>1805</v>
      </c>
      <c r="V1743" s="55" t="s">
        <v>1688</v>
      </c>
      <c r="Y1743" s="55" t="s">
        <v>1923</v>
      </c>
      <c r="Z1743" s="55" t="s">
        <v>1369</v>
      </c>
      <c r="AA1743" s="90" t="s">
        <v>1680</v>
      </c>
      <c r="AH1743" s="55" t="s">
        <v>139</v>
      </c>
      <c r="AN1743" s="185" t="s">
        <v>131</v>
      </c>
      <c r="AO1743" s="185" t="s">
        <v>5150</v>
      </c>
      <c r="AQ1743" s="55" t="s">
        <v>131</v>
      </c>
      <c r="AR1743" s="55" t="s">
        <v>132</v>
      </c>
      <c r="AS1743" s="55" t="s">
        <v>1575</v>
      </c>
      <c r="AU1743" s="181" t="s">
        <v>7494</v>
      </c>
      <c r="AV1743" s="185" t="s">
        <v>176</v>
      </c>
      <c r="AX1743" s="185" t="s">
        <v>176</v>
      </c>
      <c r="BK1743" s="55" t="s">
        <v>5976</v>
      </c>
      <c r="BM1743" s="192" t="s">
        <v>160</v>
      </c>
      <c r="BN1743" s="55">
        <v>4</v>
      </c>
      <c r="BO1743" s="55">
        <v>4</v>
      </c>
      <c r="BQ1743" s="55" t="s">
        <v>315</v>
      </c>
      <c r="DB1743" s="65">
        <v>5.7</v>
      </c>
      <c r="DC1743" s="65">
        <v>4.4000000000000004</v>
      </c>
      <c r="DF1743" s="65" t="s">
        <v>1634</v>
      </c>
      <c r="GP1743" s="292" t="s">
        <v>7494</v>
      </c>
    </row>
    <row r="1744" spans="1:198" x14ac:dyDescent="0.25">
      <c r="A1744" s="55">
        <v>1743</v>
      </c>
      <c r="B1744" s="12" t="s">
        <v>7067</v>
      </c>
      <c r="C1744" s="155">
        <v>82</v>
      </c>
      <c r="D1744" s="55" t="s">
        <v>4021</v>
      </c>
      <c r="E1744" s="90" t="s">
        <v>1424</v>
      </c>
      <c r="G1744" s="55" t="s">
        <v>1425</v>
      </c>
      <c r="H1744" s="55">
        <v>2007</v>
      </c>
      <c r="I1744" s="55">
        <v>2000</v>
      </c>
      <c r="J1744" s="55" t="s">
        <v>1426</v>
      </c>
      <c r="K1744" s="55" t="s">
        <v>1427</v>
      </c>
      <c r="L1744" s="55" t="s">
        <v>2737</v>
      </c>
      <c r="M1744" s="90">
        <v>42.74</v>
      </c>
      <c r="N1744" s="90">
        <v>-84.48</v>
      </c>
      <c r="O1744" s="90">
        <v>260</v>
      </c>
      <c r="U1744" s="55" t="s">
        <v>1805</v>
      </c>
      <c r="V1744" s="55" t="s">
        <v>1688</v>
      </c>
      <c r="Y1744" s="55" t="s">
        <v>1923</v>
      </c>
      <c r="Z1744" s="55" t="s">
        <v>1369</v>
      </c>
      <c r="AA1744" s="90" t="s">
        <v>1680</v>
      </c>
      <c r="AH1744" s="55" t="s">
        <v>139</v>
      </c>
      <c r="AN1744" s="185" t="s">
        <v>1509</v>
      </c>
      <c r="AO1744" s="185" t="s">
        <v>5150</v>
      </c>
      <c r="AQ1744" s="55" t="s">
        <v>131</v>
      </c>
      <c r="AR1744" s="55" t="s">
        <v>132</v>
      </c>
      <c r="AS1744" s="55" t="s">
        <v>1575</v>
      </c>
      <c r="AU1744" s="181" t="s">
        <v>7494</v>
      </c>
      <c r="AV1744" s="185" t="s">
        <v>176</v>
      </c>
      <c r="AX1744" s="185" t="s">
        <v>176</v>
      </c>
      <c r="BK1744" s="55" t="s">
        <v>5976</v>
      </c>
      <c r="BM1744" s="192" t="s">
        <v>160</v>
      </c>
      <c r="BN1744" s="55">
        <v>4</v>
      </c>
      <c r="BO1744" s="55">
        <v>4</v>
      </c>
      <c r="BQ1744" s="55" t="s">
        <v>315</v>
      </c>
      <c r="DB1744" s="65">
        <v>5.7</v>
      </c>
      <c r="DC1744" s="65">
        <v>3.2</v>
      </c>
      <c r="DF1744" s="65" t="s">
        <v>1634</v>
      </c>
      <c r="GP1744" s="292" t="s">
        <v>7494</v>
      </c>
    </row>
    <row r="1745" spans="1:198" x14ac:dyDescent="0.25">
      <c r="A1745" s="55">
        <v>1744</v>
      </c>
      <c r="B1745" s="12" t="s">
        <v>7067</v>
      </c>
      <c r="C1745" s="155">
        <v>82</v>
      </c>
      <c r="D1745" s="55" t="s">
        <v>4022</v>
      </c>
      <c r="E1745" s="90" t="s">
        <v>1424</v>
      </c>
      <c r="G1745" s="55" t="s">
        <v>1425</v>
      </c>
      <c r="H1745" s="55">
        <v>2007</v>
      </c>
      <c r="I1745" s="55">
        <v>2000</v>
      </c>
      <c r="J1745" s="55" t="s">
        <v>1426</v>
      </c>
      <c r="K1745" s="55" t="s">
        <v>1427</v>
      </c>
      <c r="L1745" s="55" t="s">
        <v>2737</v>
      </c>
      <c r="M1745" s="90">
        <v>42.74</v>
      </c>
      <c r="N1745" s="90">
        <v>-84.48</v>
      </c>
      <c r="O1745" s="90">
        <v>260</v>
      </c>
      <c r="U1745" s="55" t="s">
        <v>1805</v>
      </c>
      <c r="V1745" s="55" t="s">
        <v>1688</v>
      </c>
      <c r="Y1745" s="55" t="s">
        <v>1923</v>
      </c>
      <c r="Z1745" s="55" t="s">
        <v>1369</v>
      </c>
      <c r="AA1745" s="90" t="s">
        <v>1680</v>
      </c>
      <c r="AH1745" s="55" t="s">
        <v>139</v>
      </c>
      <c r="AN1745" s="185" t="s">
        <v>1510</v>
      </c>
      <c r="AO1745" s="185" t="s">
        <v>5150</v>
      </c>
      <c r="AQ1745" s="55" t="s">
        <v>1545</v>
      </c>
      <c r="AR1745" s="55" t="s">
        <v>132</v>
      </c>
      <c r="AS1745" s="55" t="s">
        <v>1575</v>
      </c>
      <c r="AU1745" s="181" t="s">
        <v>7494</v>
      </c>
      <c r="AV1745" s="185" t="s">
        <v>176</v>
      </c>
      <c r="AX1745" s="185" t="s">
        <v>176</v>
      </c>
      <c r="BK1745" s="55" t="s">
        <v>5976</v>
      </c>
      <c r="BM1745" s="192" t="s">
        <v>160</v>
      </c>
      <c r="BN1745" s="55">
        <v>4</v>
      </c>
      <c r="BO1745" s="55">
        <v>4</v>
      </c>
      <c r="BQ1745" s="55" t="s">
        <v>315</v>
      </c>
      <c r="DB1745" s="65">
        <v>5.7</v>
      </c>
      <c r="DC1745" s="65">
        <v>3.3</v>
      </c>
      <c r="DF1745" s="65" t="s">
        <v>1634</v>
      </c>
      <c r="GP1745" s="292" t="s">
        <v>7494</v>
      </c>
    </row>
    <row r="1746" spans="1:198" x14ac:dyDescent="0.25">
      <c r="A1746" s="55">
        <v>1745</v>
      </c>
      <c r="B1746" s="12" t="s">
        <v>7067</v>
      </c>
      <c r="C1746" s="155">
        <v>82</v>
      </c>
      <c r="D1746" s="55" t="s">
        <v>4022</v>
      </c>
      <c r="E1746" s="90" t="s">
        <v>1424</v>
      </c>
      <c r="G1746" s="55" t="s">
        <v>1425</v>
      </c>
      <c r="H1746" s="55">
        <v>2007</v>
      </c>
      <c r="I1746" s="55">
        <v>2000</v>
      </c>
      <c r="J1746" s="55" t="s">
        <v>1426</v>
      </c>
      <c r="K1746" s="55" t="s">
        <v>1427</v>
      </c>
      <c r="L1746" s="55" t="s">
        <v>2737</v>
      </c>
      <c r="M1746" s="90">
        <v>42.74</v>
      </c>
      <c r="N1746" s="90">
        <v>-84.48</v>
      </c>
      <c r="O1746" s="90">
        <v>260</v>
      </c>
      <c r="U1746" s="55" t="s">
        <v>1805</v>
      </c>
      <c r="V1746" s="55" t="s">
        <v>1688</v>
      </c>
      <c r="Y1746" s="55" t="s">
        <v>1923</v>
      </c>
      <c r="Z1746" s="55" t="s">
        <v>1369</v>
      </c>
      <c r="AA1746" s="90" t="s">
        <v>1680</v>
      </c>
      <c r="AH1746" s="55" t="s">
        <v>139</v>
      </c>
      <c r="AN1746" s="185" t="s">
        <v>1511</v>
      </c>
      <c r="AO1746" s="185" t="s">
        <v>5150</v>
      </c>
      <c r="AQ1746" s="55" t="s">
        <v>1545</v>
      </c>
      <c r="AR1746" s="55" t="s">
        <v>132</v>
      </c>
      <c r="AS1746" s="55" t="s">
        <v>1575</v>
      </c>
      <c r="AU1746" s="181" t="s">
        <v>7494</v>
      </c>
      <c r="AV1746" s="185" t="s">
        <v>176</v>
      </c>
      <c r="AX1746" s="185" t="s">
        <v>176</v>
      </c>
      <c r="BK1746" s="55" t="s">
        <v>5976</v>
      </c>
      <c r="BM1746" s="192" t="s">
        <v>160</v>
      </c>
      <c r="BN1746" s="55">
        <v>4</v>
      </c>
      <c r="BO1746" s="55">
        <v>4</v>
      </c>
      <c r="BQ1746" s="55" t="s">
        <v>315</v>
      </c>
      <c r="DB1746" s="65">
        <v>5.7</v>
      </c>
      <c r="DC1746" s="65">
        <v>2.2999999999999998</v>
      </c>
      <c r="DF1746" s="65" t="s">
        <v>1634</v>
      </c>
      <c r="GP1746" s="292" t="s">
        <v>7494</v>
      </c>
    </row>
    <row r="1747" spans="1:198" x14ac:dyDescent="0.25">
      <c r="A1747" s="55">
        <v>1746</v>
      </c>
      <c r="B1747" s="12" t="s">
        <v>7067</v>
      </c>
      <c r="C1747" s="155">
        <v>82</v>
      </c>
      <c r="D1747" s="55" t="s">
        <v>4022</v>
      </c>
      <c r="E1747" s="90" t="s">
        <v>1424</v>
      </c>
      <c r="G1747" s="55" t="s">
        <v>1425</v>
      </c>
      <c r="H1747" s="55">
        <v>2007</v>
      </c>
      <c r="I1747" s="55">
        <v>2000</v>
      </c>
      <c r="J1747" s="55" t="s">
        <v>1426</v>
      </c>
      <c r="K1747" s="55" t="s">
        <v>1427</v>
      </c>
      <c r="L1747" s="55" t="s">
        <v>2737</v>
      </c>
      <c r="M1747" s="90">
        <v>42.74</v>
      </c>
      <c r="N1747" s="90">
        <v>-84.48</v>
      </c>
      <c r="O1747" s="90">
        <v>260</v>
      </c>
      <c r="U1747" s="55" t="s">
        <v>1805</v>
      </c>
      <c r="V1747" s="55" t="s">
        <v>1688</v>
      </c>
      <c r="Y1747" s="55" t="s">
        <v>1923</v>
      </c>
      <c r="Z1747" s="55" t="s">
        <v>1369</v>
      </c>
      <c r="AA1747" s="90" t="s">
        <v>1680</v>
      </c>
      <c r="AH1747" s="55" t="s">
        <v>139</v>
      </c>
      <c r="AN1747" s="185" t="s">
        <v>1512</v>
      </c>
      <c r="AO1747" s="185" t="s">
        <v>5150</v>
      </c>
      <c r="AQ1747" s="55" t="s">
        <v>1545</v>
      </c>
      <c r="AR1747" s="55" t="s">
        <v>132</v>
      </c>
      <c r="AS1747" s="55" t="s">
        <v>1575</v>
      </c>
      <c r="AU1747" s="181" t="s">
        <v>7494</v>
      </c>
      <c r="AV1747" s="185" t="s">
        <v>176</v>
      </c>
      <c r="AX1747" s="185" t="s">
        <v>176</v>
      </c>
      <c r="BK1747" s="55" t="s">
        <v>5976</v>
      </c>
      <c r="BM1747" s="192" t="s">
        <v>160</v>
      </c>
      <c r="BN1747" s="55">
        <v>4</v>
      </c>
      <c r="BO1747" s="55">
        <v>4</v>
      </c>
      <c r="BQ1747" s="55" t="s">
        <v>315</v>
      </c>
      <c r="DB1747" s="65">
        <v>5.7</v>
      </c>
      <c r="DC1747" s="65">
        <v>2.5</v>
      </c>
      <c r="DF1747" s="65" t="s">
        <v>1634</v>
      </c>
      <c r="GP1747" s="292" t="s">
        <v>7494</v>
      </c>
    </row>
    <row r="1748" spans="1:198" x14ac:dyDescent="0.25">
      <c r="A1748" s="55">
        <v>1747</v>
      </c>
      <c r="B1748" s="12" t="s">
        <v>7067</v>
      </c>
      <c r="C1748" s="155">
        <v>82</v>
      </c>
      <c r="D1748" s="55" t="s">
        <v>4022</v>
      </c>
      <c r="E1748" s="90" t="s">
        <v>1424</v>
      </c>
      <c r="G1748" s="55" t="s">
        <v>1425</v>
      </c>
      <c r="H1748" s="55">
        <v>2007</v>
      </c>
      <c r="I1748" s="55">
        <v>2000</v>
      </c>
      <c r="J1748" s="55" t="s">
        <v>1426</v>
      </c>
      <c r="K1748" s="55" t="s">
        <v>1427</v>
      </c>
      <c r="L1748" s="55" t="s">
        <v>2737</v>
      </c>
      <c r="M1748" s="90">
        <v>42.74</v>
      </c>
      <c r="N1748" s="90">
        <v>-84.48</v>
      </c>
      <c r="O1748" s="90">
        <v>260</v>
      </c>
      <c r="U1748" s="55" t="s">
        <v>1805</v>
      </c>
      <c r="V1748" s="55" t="s">
        <v>1688</v>
      </c>
      <c r="Y1748" s="55" t="s">
        <v>1923</v>
      </c>
      <c r="Z1748" s="55" t="s">
        <v>1369</v>
      </c>
      <c r="AA1748" s="90" t="s">
        <v>1680</v>
      </c>
      <c r="AH1748" s="55" t="s">
        <v>139</v>
      </c>
      <c r="AN1748" s="185" t="s">
        <v>1513</v>
      </c>
      <c r="AO1748" s="185" t="s">
        <v>5150</v>
      </c>
      <c r="AQ1748" s="55" t="s">
        <v>1545</v>
      </c>
      <c r="AR1748" s="55" t="s">
        <v>132</v>
      </c>
      <c r="AS1748" s="55" t="s">
        <v>1575</v>
      </c>
      <c r="AU1748" s="181" t="s">
        <v>7494</v>
      </c>
      <c r="AV1748" s="185" t="s">
        <v>176</v>
      </c>
      <c r="AX1748" s="185" t="s">
        <v>176</v>
      </c>
      <c r="BK1748" s="55" t="s">
        <v>5976</v>
      </c>
      <c r="BM1748" s="192" t="s">
        <v>160</v>
      </c>
      <c r="BN1748" s="55">
        <v>4</v>
      </c>
      <c r="BO1748" s="55">
        <v>4</v>
      </c>
      <c r="BQ1748" s="55" t="s">
        <v>315</v>
      </c>
      <c r="DB1748" s="65">
        <v>5.7</v>
      </c>
      <c r="DC1748" s="65">
        <v>1.8</v>
      </c>
      <c r="DF1748" s="65" t="s">
        <v>1634</v>
      </c>
      <c r="GP1748" s="292" t="s">
        <v>7494</v>
      </c>
    </row>
    <row r="1749" spans="1:198" x14ac:dyDescent="0.25">
      <c r="A1749" s="55">
        <v>1748</v>
      </c>
      <c r="B1749" s="12" t="s">
        <v>7067</v>
      </c>
      <c r="C1749" s="155">
        <v>82</v>
      </c>
      <c r="D1749" s="55" t="s">
        <v>4023</v>
      </c>
      <c r="E1749" s="90" t="s">
        <v>1424</v>
      </c>
      <c r="G1749" s="55" t="s">
        <v>1425</v>
      </c>
      <c r="H1749" s="55">
        <v>2007</v>
      </c>
      <c r="I1749" s="55">
        <v>2000</v>
      </c>
      <c r="J1749" s="55" t="s">
        <v>1426</v>
      </c>
      <c r="K1749" s="55" t="s">
        <v>1427</v>
      </c>
      <c r="L1749" s="55" t="s">
        <v>2737</v>
      </c>
      <c r="M1749" s="90">
        <v>42.74</v>
      </c>
      <c r="N1749" s="90">
        <v>-84.48</v>
      </c>
      <c r="O1749" s="90">
        <v>260</v>
      </c>
      <c r="U1749" s="55" t="s">
        <v>1805</v>
      </c>
      <c r="V1749" s="55" t="s">
        <v>1688</v>
      </c>
      <c r="Y1749" s="55" t="s">
        <v>1923</v>
      </c>
      <c r="Z1749" s="55" t="s">
        <v>1370</v>
      </c>
      <c r="AA1749" s="90" t="s">
        <v>1680</v>
      </c>
      <c r="AH1749" s="55" t="s">
        <v>139</v>
      </c>
      <c r="AN1749" s="185" t="s">
        <v>116</v>
      </c>
      <c r="AO1749" s="185" t="s">
        <v>5150</v>
      </c>
      <c r="AQ1749" s="55" t="s">
        <v>1545</v>
      </c>
      <c r="AR1749" s="55" t="s">
        <v>132</v>
      </c>
      <c r="AS1749" s="55" t="s">
        <v>1575</v>
      </c>
      <c r="AU1749" s="181" t="s">
        <v>7494</v>
      </c>
      <c r="AV1749" s="185" t="s">
        <v>176</v>
      </c>
      <c r="AX1749" s="185" t="s">
        <v>176</v>
      </c>
      <c r="BK1749" s="55" t="s">
        <v>5976</v>
      </c>
      <c r="BM1749" s="192" t="s">
        <v>160</v>
      </c>
      <c r="BN1749" s="55">
        <v>4</v>
      </c>
      <c r="BO1749" s="55">
        <v>4</v>
      </c>
      <c r="BQ1749" s="55" t="s">
        <v>315</v>
      </c>
      <c r="DB1749" s="65">
        <v>7.8</v>
      </c>
      <c r="DC1749" s="65">
        <v>4.0999999999999996</v>
      </c>
      <c r="DF1749" s="65" t="s">
        <v>1634</v>
      </c>
      <c r="GP1749" s="292" t="s">
        <v>7494</v>
      </c>
    </row>
    <row r="1750" spans="1:198" x14ac:dyDescent="0.25">
      <c r="A1750" s="55">
        <v>1749</v>
      </c>
      <c r="B1750" s="12" t="s">
        <v>7067</v>
      </c>
      <c r="C1750" s="155">
        <v>82</v>
      </c>
      <c r="D1750" s="55" t="s">
        <v>4024</v>
      </c>
      <c r="E1750" s="90" t="s">
        <v>1424</v>
      </c>
      <c r="G1750" s="55" t="s">
        <v>1425</v>
      </c>
      <c r="H1750" s="55">
        <v>2007</v>
      </c>
      <c r="I1750" s="55">
        <v>2000</v>
      </c>
      <c r="J1750" s="55" t="s">
        <v>1426</v>
      </c>
      <c r="K1750" s="55" t="s">
        <v>1427</v>
      </c>
      <c r="L1750" s="55" t="s">
        <v>2737</v>
      </c>
      <c r="M1750" s="90">
        <v>42.74</v>
      </c>
      <c r="N1750" s="90">
        <v>-84.48</v>
      </c>
      <c r="O1750" s="90">
        <v>260</v>
      </c>
      <c r="U1750" s="55" t="s">
        <v>1805</v>
      </c>
      <c r="V1750" s="55" t="s">
        <v>1688</v>
      </c>
      <c r="Y1750" s="55" t="s">
        <v>1923</v>
      </c>
      <c r="Z1750" s="55" t="s">
        <v>1370</v>
      </c>
      <c r="AA1750" s="90" t="s">
        <v>1680</v>
      </c>
      <c r="AH1750" s="55" t="s">
        <v>139</v>
      </c>
      <c r="AN1750" s="185" t="s">
        <v>131</v>
      </c>
      <c r="AO1750" s="185" t="s">
        <v>5150</v>
      </c>
      <c r="AQ1750" s="55" t="s">
        <v>131</v>
      </c>
      <c r="AR1750" s="55" t="s">
        <v>132</v>
      </c>
      <c r="AS1750" s="55" t="s">
        <v>1575</v>
      </c>
      <c r="AU1750" s="181" t="s">
        <v>7494</v>
      </c>
      <c r="AV1750" s="185" t="s">
        <v>176</v>
      </c>
      <c r="AX1750" s="185" t="s">
        <v>176</v>
      </c>
      <c r="BK1750" s="55" t="s">
        <v>5976</v>
      </c>
      <c r="BM1750" s="192" t="s">
        <v>160</v>
      </c>
      <c r="BN1750" s="55">
        <v>4</v>
      </c>
      <c r="BO1750" s="55">
        <v>4</v>
      </c>
      <c r="BQ1750" s="55" t="s">
        <v>315</v>
      </c>
      <c r="DB1750" s="65">
        <v>7.8</v>
      </c>
      <c r="DC1750" s="65">
        <v>2.8</v>
      </c>
      <c r="DF1750" s="65" t="s">
        <v>1634</v>
      </c>
      <c r="GP1750" s="292" t="s">
        <v>7494</v>
      </c>
    </row>
    <row r="1751" spans="1:198" x14ac:dyDescent="0.25">
      <c r="A1751" s="55">
        <v>1750</v>
      </c>
      <c r="B1751" s="12" t="s">
        <v>7067</v>
      </c>
      <c r="C1751" s="155">
        <v>82</v>
      </c>
      <c r="D1751" s="55" t="s">
        <v>4024</v>
      </c>
      <c r="E1751" s="90" t="s">
        <v>1424</v>
      </c>
      <c r="G1751" s="55" t="s">
        <v>1425</v>
      </c>
      <c r="H1751" s="55">
        <v>2007</v>
      </c>
      <c r="I1751" s="55">
        <v>2000</v>
      </c>
      <c r="J1751" s="55" t="s">
        <v>1426</v>
      </c>
      <c r="K1751" s="55" t="s">
        <v>1427</v>
      </c>
      <c r="L1751" s="55" t="s">
        <v>2737</v>
      </c>
      <c r="M1751" s="90">
        <v>42.74</v>
      </c>
      <c r="N1751" s="90">
        <v>-84.48</v>
      </c>
      <c r="O1751" s="90">
        <v>260</v>
      </c>
      <c r="U1751" s="55" t="s">
        <v>1805</v>
      </c>
      <c r="V1751" s="55" t="s">
        <v>1688</v>
      </c>
      <c r="Y1751" s="55" t="s">
        <v>1923</v>
      </c>
      <c r="Z1751" s="55" t="s">
        <v>1370</v>
      </c>
      <c r="AA1751" s="90" t="s">
        <v>1680</v>
      </c>
      <c r="AH1751" s="55" t="s">
        <v>139</v>
      </c>
      <c r="AN1751" s="185" t="s">
        <v>1509</v>
      </c>
      <c r="AO1751" s="185" t="s">
        <v>5150</v>
      </c>
      <c r="AQ1751" s="55" t="s">
        <v>131</v>
      </c>
      <c r="AR1751" s="55" t="s">
        <v>132</v>
      </c>
      <c r="AS1751" s="55" t="s">
        <v>1575</v>
      </c>
      <c r="AU1751" s="181" t="s">
        <v>7494</v>
      </c>
      <c r="AV1751" s="185" t="s">
        <v>176</v>
      </c>
      <c r="AX1751" s="185" t="s">
        <v>176</v>
      </c>
      <c r="BK1751" s="55" t="s">
        <v>5976</v>
      </c>
      <c r="BM1751" s="192" t="s">
        <v>160</v>
      </c>
      <c r="BN1751" s="55">
        <v>4</v>
      </c>
      <c r="BO1751" s="55">
        <v>4</v>
      </c>
      <c r="BQ1751" s="55" t="s">
        <v>315</v>
      </c>
      <c r="DB1751" s="65">
        <v>7.8</v>
      </c>
      <c r="DC1751" s="65">
        <v>1.9</v>
      </c>
      <c r="DF1751" s="65" t="s">
        <v>1634</v>
      </c>
      <c r="GP1751" s="292" t="s">
        <v>7494</v>
      </c>
    </row>
    <row r="1752" spans="1:198" x14ac:dyDescent="0.25">
      <c r="A1752" s="55">
        <v>1751</v>
      </c>
      <c r="B1752" s="12" t="s">
        <v>7067</v>
      </c>
      <c r="C1752" s="155">
        <v>82</v>
      </c>
      <c r="D1752" s="55" t="s">
        <v>4025</v>
      </c>
      <c r="E1752" s="90" t="s">
        <v>1424</v>
      </c>
      <c r="G1752" s="55" t="s">
        <v>1425</v>
      </c>
      <c r="H1752" s="55">
        <v>2007</v>
      </c>
      <c r="I1752" s="55">
        <v>2000</v>
      </c>
      <c r="J1752" s="55" t="s">
        <v>1426</v>
      </c>
      <c r="K1752" s="55" t="s">
        <v>1427</v>
      </c>
      <c r="L1752" s="55" t="s">
        <v>2737</v>
      </c>
      <c r="M1752" s="90">
        <v>42.74</v>
      </c>
      <c r="N1752" s="90">
        <v>-84.48</v>
      </c>
      <c r="O1752" s="90">
        <v>260</v>
      </c>
      <c r="U1752" s="55" t="s">
        <v>1805</v>
      </c>
      <c r="V1752" s="55" t="s">
        <v>1688</v>
      </c>
      <c r="Y1752" s="55" t="s">
        <v>1923</v>
      </c>
      <c r="Z1752" s="55" t="s">
        <v>1370</v>
      </c>
      <c r="AA1752" s="90" t="s">
        <v>1680</v>
      </c>
      <c r="AH1752" s="55" t="s">
        <v>139</v>
      </c>
      <c r="AN1752" s="185" t="s">
        <v>1510</v>
      </c>
      <c r="AO1752" s="185" t="s">
        <v>5150</v>
      </c>
      <c r="AQ1752" s="55" t="s">
        <v>1545</v>
      </c>
      <c r="AR1752" s="55" t="s">
        <v>132</v>
      </c>
      <c r="AS1752" s="55" t="s">
        <v>1575</v>
      </c>
      <c r="AU1752" s="181" t="s">
        <v>7494</v>
      </c>
      <c r="AV1752" s="185" t="s">
        <v>176</v>
      </c>
      <c r="AX1752" s="185" t="s">
        <v>176</v>
      </c>
      <c r="BK1752" s="55" t="s">
        <v>5976</v>
      </c>
      <c r="BM1752" s="192" t="s">
        <v>160</v>
      </c>
      <c r="BN1752" s="55">
        <v>4</v>
      </c>
      <c r="BO1752" s="55">
        <v>4</v>
      </c>
      <c r="BQ1752" s="55" t="s">
        <v>315</v>
      </c>
      <c r="DB1752" s="65">
        <v>7.8</v>
      </c>
      <c r="DC1752" s="65">
        <v>3.4</v>
      </c>
      <c r="DF1752" s="65" t="s">
        <v>1634</v>
      </c>
      <c r="GP1752" s="292" t="s">
        <v>7494</v>
      </c>
    </row>
    <row r="1753" spans="1:198" x14ac:dyDescent="0.25">
      <c r="A1753" s="55">
        <v>1752</v>
      </c>
      <c r="B1753" s="12" t="s">
        <v>7067</v>
      </c>
      <c r="C1753" s="155">
        <v>82</v>
      </c>
      <c r="D1753" s="55" t="s">
        <v>4025</v>
      </c>
      <c r="E1753" s="90" t="s">
        <v>1424</v>
      </c>
      <c r="G1753" s="55" t="s">
        <v>1425</v>
      </c>
      <c r="H1753" s="55">
        <v>2007</v>
      </c>
      <c r="I1753" s="55">
        <v>2000</v>
      </c>
      <c r="J1753" s="55" t="s">
        <v>1426</v>
      </c>
      <c r="K1753" s="55" t="s">
        <v>1427</v>
      </c>
      <c r="L1753" s="55" t="s">
        <v>2737</v>
      </c>
      <c r="M1753" s="90">
        <v>42.74</v>
      </c>
      <c r="N1753" s="90">
        <v>-84.48</v>
      </c>
      <c r="O1753" s="90">
        <v>260</v>
      </c>
      <c r="U1753" s="55" t="s">
        <v>1805</v>
      </c>
      <c r="V1753" s="55" t="s">
        <v>1688</v>
      </c>
      <c r="Y1753" s="55" t="s">
        <v>1923</v>
      </c>
      <c r="Z1753" s="55" t="s">
        <v>1370</v>
      </c>
      <c r="AA1753" s="90" t="s">
        <v>1680</v>
      </c>
      <c r="AH1753" s="55" t="s">
        <v>139</v>
      </c>
      <c r="AN1753" s="185" t="s">
        <v>1511</v>
      </c>
      <c r="AO1753" s="185" t="s">
        <v>5150</v>
      </c>
      <c r="AQ1753" s="55" t="s">
        <v>1545</v>
      </c>
      <c r="AR1753" s="55" t="s">
        <v>132</v>
      </c>
      <c r="AS1753" s="55" t="s">
        <v>1575</v>
      </c>
      <c r="AU1753" s="181" t="s">
        <v>7494</v>
      </c>
      <c r="AV1753" s="185" t="s">
        <v>176</v>
      </c>
      <c r="AX1753" s="185" t="s">
        <v>176</v>
      </c>
      <c r="BK1753" s="55" t="s">
        <v>5976</v>
      </c>
      <c r="BM1753" s="192" t="s">
        <v>160</v>
      </c>
      <c r="BN1753" s="55">
        <v>4</v>
      </c>
      <c r="BO1753" s="55">
        <v>4</v>
      </c>
      <c r="BQ1753" s="55" t="s">
        <v>315</v>
      </c>
      <c r="DB1753" s="65">
        <v>7.8</v>
      </c>
      <c r="DC1753" s="65">
        <v>2.2000000000000002</v>
      </c>
      <c r="DF1753" s="65" t="s">
        <v>1634</v>
      </c>
      <c r="GP1753" s="292" t="s">
        <v>7494</v>
      </c>
    </row>
    <row r="1754" spans="1:198" x14ac:dyDescent="0.25">
      <c r="A1754" s="55">
        <v>1753</v>
      </c>
      <c r="B1754" s="12" t="s">
        <v>7067</v>
      </c>
      <c r="C1754" s="155">
        <v>82</v>
      </c>
      <c r="D1754" s="55" t="s">
        <v>4025</v>
      </c>
      <c r="E1754" s="90" t="s">
        <v>1424</v>
      </c>
      <c r="G1754" s="55" t="s">
        <v>1425</v>
      </c>
      <c r="H1754" s="55">
        <v>2007</v>
      </c>
      <c r="I1754" s="55">
        <v>2000</v>
      </c>
      <c r="J1754" s="55" t="s">
        <v>1426</v>
      </c>
      <c r="K1754" s="55" t="s">
        <v>1427</v>
      </c>
      <c r="L1754" s="55" t="s">
        <v>2737</v>
      </c>
      <c r="M1754" s="90">
        <v>42.74</v>
      </c>
      <c r="N1754" s="90">
        <v>-84.48</v>
      </c>
      <c r="O1754" s="90">
        <v>260</v>
      </c>
      <c r="U1754" s="55" t="s">
        <v>1805</v>
      </c>
      <c r="V1754" s="55" t="s">
        <v>1688</v>
      </c>
      <c r="Y1754" s="55" t="s">
        <v>1923</v>
      </c>
      <c r="Z1754" s="55" t="s">
        <v>1370</v>
      </c>
      <c r="AA1754" s="90" t="s">
        <v>1680</v>
      </c>
      <c r="AH1754" s="55" t="s">
        <v>139</v>
      </c>
      <c r="AN1754" s="185" t="s">
        <v>1512</v>
      </c>
      <c r="AO1754" s="185" t="s">
        <v>5150</v>
      </c>
      <c r="AQ1754" s="55" t="s">
        <v>1545</v>
      </c>
      <c r="AR1754" s="55" t="s">
        <v>132</v>
      </c>
      <c r="AS1754" s="55" t="s">
        <v>1575</v>
      </c>
      <c r="AU1754" s="181" t="s">
        <v>7494</v>
      </c>
      <c r="AV1754" s="185" t="s">
        <v>176</v>
      </c>
      <c r="AX1754" s="185" t="s">
        <v>176</v>
      </c>
      <c r="BK1754" s="55" t="s">
        <v>5976</v>
      </c>
      <c r="BM1754" s="192" t="s">
        <v>160</v>
      </c>
      <c r="BN1754" s="55">
        <v>4</v>
      </c>
      <c r="BO1754" s="55">
        <v>4</v>
      </c>
      <c r="BQ1754" s="55" t="s">
        <v>315</v>
      </c>
      <c r="DB1754" s="65">
        <v>7.8</v>
      </c>
      <c r="DC1754" s="65">
        <v>3.2</v>
      </c>
      <c r="DF1754" s="65" t="s">
        <v>1634</v>
      </c>
      <c r="GP1754" s="292" t="s">
        <v>7494</v>
      </c>
    </row>
    <row r="1755" spans="1:198" x14ac:dyDescent="0.25">
      <c r="A1755" s="55">
        <v>1754</v>
      </c>
      <c r="B1755" s="12" t="s">
        <v>7067</v>
      </c>
      <c r="C1755" s="155">
        <v>82</v>
      </c>
      <c r="D1755" s="55" t="s">
        <v>4025</v>
      </c>
      <c r="E1755" s="90" t="s">
        <v>1424</v>
      </c>
      <c r="G1755" s="55" t="s">
        <v>1425</v>
      </c>
      <c r="H1755" s="55">
        <v>2007</v>
      </c>
      <c r="I1755" s="55">
        <v>2000</v>
      </c>
      <c r="J1755" s="55" t="s">
        <v>1426</v>
      </c>
      <c r="K1755" s="55" t="s">
        <v>1427</v>
      </c>
      <c r="L1755" s="55" t="s">
        <v>2737</v>
      </c>
      <c r="M1755" s="90">
        <v>42.74</v>
      </c>
      <c r="N1755" s="90">
        <v>-84.48</v>
      </c>
      <c r="O1755" s="90">
        <v>260</v>
      </c>
      <c r="U1755" s="55" t="s">
        <v>1805</v>
      </c>
      <c r="V1755" s="55" t="s">
        <v>1688</v>
      </c>
      <c r="Y1755" s="55" t="s">
        <v>1923</v>
      </c>
      <c r="Z1755" s="55" t="s">
        <v>1370</v>
      </c>
      <c r="AA1755" s="90" t="s">
        <v>1680</v>
      </c>
      <c r="AH1755" s="55" t="s">
        <v>139</v>
      </c>
      <c r="AN1755" s="185" t="s">
        <v>1513</v>
      </c>
      <c r="AO1755" s="185" t="s">
        <v>5150</v>
      </c>
      <c r="AQ1755" s="55" t="s">
        <v>1545</v>
      </c>
      <c r="AR1755" s="55" t="s">
        <v>132</v>
      </c>
      <c r="AS1755" s="55" t="s">
        <v>1575</v>
      </c>
      <c r="AU1755" s="181" t="s">
        <v>7494</v>
      </c>
      <c r="AV1755" s="185" t="s">
        <v>176</v>
      </c>
      <c r="AX1755" s="185" t="s">
        <v>176</v>
      </c>
      <c r="BK1755" s="55" t="s">
        <v>5976</v>
      </c>
      <c r="BM1755" s="192" t="s">
        <v>160</v>
      </c>
      <c r="BN1755" s="55">
        <v>4</v>
      </c>
      <c r="BO1755" s="55">
        <v>4</v>
      </c>
      <c r="BQ1755" s="55" t="s">
        <v>315</v>
      </c>
      <c r="DB1755" s="65">
        <v>7.8</v>
      </c>
      <c r="DC1755" s="65">
        <v>2.5</v>
      </c>
      <c r="DF1755" s="65" t="s">
        <v>1634</v>
      </c>
      <c r="GP1755" s="292" t="s">
        <v>7494</v>
      </c>
    </row>
    <row r="1756" spans="1:198" x14ac:dyDescent="0.25">
      <c r="A1756" s="55">
        <v>1755</v>
      </c>
      <c r="B1756" s="12" t="s">
        <v>7067</v>
      </c>
      <c r="C1756" s="155">
        <v>82</v>
      </c>
      <c r="D1756" s="55" t="s">
        <v>4017</v>
      </c>
      <c r="E1756" s="90" t="s">
        <v>1424</v>
      </c>
      <c r="G1756" s="55" t="s">
        <v>1425</v>
      </c>
      <c r="H1756" s="55">
        <v>2007</v>
      </c>
      <c r="I1756" s="55">
        <v>2001</v>
      </c>
      <c r="J1756" s="55" t="s">
        <v>1426</v>
      </c>
      <c r="K1756" s="55" t="s">
        <v>1427</v>
      </c>
      <c r="L1756" s="55" t="s">
        <v>2737</v>
      </c>
      <c r="M1756" s="90">
        <v>42.74</v>
      </c>
      <c r="N1756" s="90">
        <v>-84.48</v>
      </c>
      <c r="O1756" s="90">
        <v>260</v>
      </c>
      <c r="U1756" s="55" t="s">
        <v>1688</v>
      </c>
      <c r="V1756" s="55" t="s">
        <v>1688</v>
      </c>
      <c r="Y1756" s="55" t="s">
        <v>1923</v>
      </c>
      <c r="Z1756" s="55" t="s">
        <v>1356</v>
      </c>
      <c r="AA1756" s="90" t="s">
        <v>1680</v>
      </c>
      <c r="AH1756" s="55" t="s">
        <v>139</v>
      </c>
      <c r="AN1756" s="185" t="s">
        <v>116</v>
      </c>
      <c r="AO1756" s="185" t="s">
        <v>5150</v>
      </c>
      <c r="AQ1756" s="55" t="s">
        <v>1545</v>
      </c>
      <c r="AR1756" s="55" t="s">
        <v>132</v>
      </c>
      <c r="AS1756" s="55" t="s">
        <v>1575</v>
      </c>
      <c r="AU1756" s="181" t="s">
        <v>7494</v>
      </c>
      <c r="AV1756" s="185" t="s">
        <v>176</v>
      </c>
      <c r="AX1756" s="185" t="s">
        <v>176</v>
      </c>
      <c r="BK1756" s="55" t="s">
        <v>5976</v>
      </c>
      <c r="BM1756" s="192" t="s">
        <v>160</v>
      </c>
      <c r="BN1756" s="55">
        <v>4</v>
      </c>
      <c r="BO1756" s="55">
        <v>4</v>
      </c>
      <c r="BQ1756" s="55" t="s">
        <v>315</v>
      </c>
      <c r="DB1756" s="65">
        <v>2.9</v>
      </c>
      <c r="DC1756" s="65">
        <v>2.9</v>
      </c>
      <c r="DF1756" s="65" t="s">
        <v>1634</v>
      </c>
      <c r="GP1756" s="292" t="s">
        <v>7494</v>
      </c>
    </row>
    <row r="1757" spans="1:198" x14ac:dyDescent="0.25">
      <c r="A1757" s="55">
        <v>1756</v>
      </c>
      <c r="B1757" s="12" t="s">
        <v>7067</v>
      </c>
      <c r="C1757" s="155">
        <v>82</v>
      </c>
      <c r="D1757" s="55" t="s">
        <v>4018</v>
      </c>
      <c r="E1757" s="90" t="s">
        <v>1424</v>
      </c>
      <c r="G1757" s="55" t="s">
        <v>1425</v>
      </c>
      <c r="H1757" s="55">
        <v>2007</v>
      </c>
      <c r="I1757" s="55">
        <v>2001</v>
      </c>
      <c r="J1757" s="55" t="s">
        <v>1426</v>
      </c>
      <c r="K1757" s="55" t="s">
        <v>1427</v>
      </c>
      <c r="L1757" s="55" t="s">
        <v>2737</v>
      </c>
      <c r="M1757" s="90">
        <v>42.74</v>
      </c>
      <c r="N1757" s="90">
        <v>-84.48</v>
      </c>
      <c r="O1757" s="90">
        <v>260</v>
      </c>
      <c r="U1757" s="55" t="s">
        <v>1688</v>
      </c>
      <c r="V1757" s="55" t="s">
        <v>1688</v>
      </c>
      <c r="Y1757" s="55" t="s">
        <v>1923</v>
      </c>
      <c r="Z1757" s="55" t="s">
        <v>1356</v>
      </c>
      <c r="AA1757" s="90" t="s">
        <v>1680</v>
      </c>
      <c r="AH1757" s="55" t="s">
        <v>139</v>
      </c>
      <c r="AN1757" s="185" t="s">
        <v>131</v>
      </c>
      <c r="AO1757" s="185" t="s">
        <v>5150</v>
      </c>
      <c r="AQ1757" s="55" t="s">
        <v>131</v>
      </c>
      <c r="AR1757" s="55" t="s">
        <v>132</v>
      </c>
      <c r="AS1757" s="55" t="s">
        <v>1575</v>
      </c>
      <c r="AU1757" s="181" t="s">
        <v>7494</v>
      </c>
      <c r="AV1757" s="185" t="s">
        <v>176</v>
      </c>
      <c r="AX1757" s="185" t="s">
        <v>176</v>
      </c>
      <c r="BK1757" s="55" t="s">
        <v>5976</v>
      </c>
      <c r="BM1757" s="192" t="s">
        <v>160</v>
      </c>
      <c r="BN1757" s="55">
        <v>4</v>
      </c>
      <c r="BO1757" s="55">
        <v>4</v>
      </c>
      <c r="BQ1757" s="55" t="s">
        <v>315</v>
      </c>
      <c r="DB1757" s="65">
        <v>2.9</v>
      </c>
      <c r="DC1757" s="65">
        <v>2.5</v>
      </c>
      <c r="DF1757" s="65" t="s">
        <v>1634</v>
      </c>
      <c r="GP1757" s="292" t="s">
        <v>7494</v>
      </c>
    </row>
    <row r="1758" spans="1:198" x14ac:dyDescent="0.25">
      <c r="A1758" s="55">
        <v>1757</v>
      </c>
      <c r="B1758" s="12" t="s">
        <v>7067</v>
      </c>
      <c r="C1758" s="155">
        <v>82</v>
      </c>
      <c r="D1758" s="55" t="s">
        <v>4018</v>
      </c>
      <c r="E1758" s="90" t="s">
        <v>1424</v>
      </c>
      <c r="G1758" s="55" t="s">
        <v>1425</v>
      </c>
      <c r="H1758" s="55">
        <v>2007</v>
      </c>
      <c r="I1758" s="55">
        <v>2001</v>
      </c>
      <c r="J1758" s="55" t="s">
        <v>1426</v>
      </c>
      <c r="K1758" s="55" t="s">
        <v>1427</v>
      </c>
      <c r="L1758" s="55" t="s">
        <v>2737</v>
      </c>
      <c r="M1758" s="90">
        <v>42.74</v>
      </c>
      <c r="N1758" s="90">
        <v>-84.48</v>
      </c>
      <c r="O1758" s="90">
        <v>260</v>
      </c>
      <c r="U1758" s="55" t="s">
        <v>1688</v>
      </c>
      <c r="V1758" s="55" t="s">
        <v>1688</v>
      </c>
      <c r="Y1758" s="55" t="s">
        <v>1923</v>
      </c>
      <c r="Z1758" s="55" t="s">
        <v>1356</v>
      </c>
      <c r="AA1758" s="90" t="s">
        <v>1680</v>
      </c>
      <c r="AH1758" s="55" t="s">
        <v>139</v>
      </c>
      <c r="AN1758" s="185" t="s">
        <v>1509</v>
      </c>
      <c r="AO1758" s="185" t="s">
        <v>5150</v>
      </c>
      <c r="AQ1758" s="55" t="s">
        <v>131</v>
      </c>
      <c r="AR1758" s="55" t="s">
        <v>132</v>
      </c>
      <c r="AS1758" s="55" t="s">
        <v>1575</v>
      </c>
      <c r="AU1758" s="181" t="s">
        <v>7494</v>
      </c>
      <c r="AV1758" s="185" t="s">
        <v>176</v>
      </c>
      <c r="AX1758" s="185" t="s">
        <v>176</v>
      </c>
      <c r="BK1758" s="55" t="s">
        <v>5976</v>
      </c>
      <c r="BM1758" s="192" t="s">
        <v>160</v>
      </c>
      <c r="BN1758" s="55">
        <v>4</v>
      </c>
      <c r="BO1758" s="55">
        <v>4</v>
      </c>
      <c r="BQ1758" s="55" t="s">
        <v>315</v>
      </c>
      <c r="DB1758" s="65">
        <v>2.9</v>
      </c>
      <c r="DC1758" s="65">
        <v>2.9</v>
      </c>
      <c r="DF1758" s="65" t="s">
        <v>1634</v>
      </c>
      <c r="GP1758" s="292" t="s">
        <v>7494</v>
      </c>
    </row>
    <row r="1759" spans="1:198" x14ac:dyDescent="0.25">
      <c r="A1759" s="55">
        <v>1758</v>
      </c>
      <c r="B1759" s="12" t="s">
        <v>7067</v>
      </c>
      <c r="C1759" s="155">
        <v>82</v>
      </c>
      <c r="D1759" s="55" t="s">
        <v>4019</v>
      </c>
      <c r="E1759" s="90" t="s">
        <v>1424</v>
      </c>
      <c r="G1759" s="55" t="s">
        <v>1425</v>
      </c>
      <c r="H1759" s="55">
        <v>2007</v>
      </c>
      <c r="I1759" s="55">
        <v>2001</v>
      </c>
      <c r="J1759" s="55" t="s">
        <v>1426</v>
      </c>
      <c r="K1759" s="55" t="s">
        <v>1427</v>
      </c>
      <c r="L1759" s="55" t="s">
        <v>2737</v>
      </c>
      <c r="M1759" s="90">
        <v>42.74</v>
      </c>
      <c r="N1759" s="90">
        <v>-84.48</v>
      </c>
      <c r="O1759" s="90">
        <v>260</v>
      </c>
      <c r="U1759" s="55" t="s">
        <v>1688</v>
      </c>
      <c r="V1759" s="55" t="s">
        <v>1688</v>
      </c>
      <c r="Y1759" s="55" t="s">
        <v>1923</v>
      </c>
      <c r="Z1759" s="55" t="s">
        <v>1356</v>
      </c>
      <c r="AA1759" s="90" t="s">
        <v>1680</v>
      </c>
      <c r="AH1759" s="55" t="s">
        <v>139</v>
      </c>
      <c r="AN1759" s="185" t="s">
        <v>1510</v>
      </c>
      <c r="AO1759" s="185" t="s">
        <v>5150</v>
      </c>
      <c r="AQ1759" s="55" t="s">
        <v>1545</v>
      </c>
      <c r="AR1759" s="55" t="s">
        <v>132</v>
      </c>
      <c r="AS1759" s="55" t="s">
        <v>1575</v>
      </c>
      <c r="AU1759" s="181" t="s">
        <v>7494</v>
      </c>
      <c r="AV1759" s="185" t="s">
        <v>176</v>
      </c>
      <c r="AX1759" s="185" t="s">
        <v>176</v>
      </c>
      <c r="BK1759" s="55" t="s">
        <v>5976</v>
      </c>
      <c r="BM1759" s="192" t="s">
        <v>160</v>
      </c>
      <c r="BN1759" s="55">
        <v>4</v>
      </c>
      <c r="BO1759" s="55">
        <v>4</v>
      </c>
      <c r="BQ1759" s="55" t="s">
        <v>315</v>
      </c>
      <c r="DB1759" s="65">
        <v>2.9</v>
      </c>
      <c r="DC1759" s="65">
        <v>1.5</v>
      </c>
      <c r="DF1759" s="65" t="s">
        <v>1634</v>
      </c>
      <c r="GP1759" s="292" t="s">
        <v>7494</v>
      </c>
    </row>
    <row r="1760" spans="1:198" x14ac:dyDescent="0.25">
      <c r="A1760" s="55">
        <v>1759</v>
      </c>
      <c r="B1760" s="12" t="s">
        <v>7067</v>
      </c>
      <c r="C1760" s="155">
        <v>82</v>
      </c>
      <c r="D1760" s="55" t="s">
        <v>4019</v>
      </c>
      <c r="E1760" s="90" t="s">
        <v>1424</v>
      </c>
      <c r="G1760" s="55" t="s">
        <v>1425</v>
      </c>
      <c r="H1760" s="55">
        <v>2007</v>
      </c>
      <c r="I1760" s="55">
        <v>2001</v>
      </c>
      <c r="J1760" s="55" t="s">
        <v>1426</v>
      </c>
      <c r="K1760" s="55" t="s">
        <v>1427</v>
      </c>
      <c r="L1760" s="55" t="s">
        <v>2737</v>
      </c>
      <c r="M1760" s="90">
        <v>42.74</v>
      </c>
      <c r="N1760" s="90">
        <v>-84.48</v>
      </c>
      <c r="O1760" s="90">
        <v>260</v>
      </c>
      <c r="U1760" s="55" t="s">
        <v>1688</v>
      </c>
      <c r="V1760" s="55" t="s">
        <v>1688</v>
      </c>
      <c r="Y1760" s="55" t="s">
        <v>1923</v>
      </c>
      <c r="Z1760" s="55" t="s">
        <v>1356</v>
      </c>
      <c r="AA1760" s="90" t="s">
        <v>1680</v>
      </c>
      <c r="AH1760" s="55" t="s">
        <v>139</v>
      </c>
      <c r="AN1760" s="185" t="s">
        <v>1511</v>
      </c>
      <c r="AO1760" s="185" t="s">
        <v>5150</v>
      </c>
      <c r="AQ1760" s="55" t="s">
        <v>1545</v>
      </c>
      <c r="AR1760" s="55" t="s">
        <v>132</v>
      </c>
      <c r="AS1760" s="55" t="s">
        <v>1575</v>
      </c>
      <c r="AU1760" s="181" t="s">
        <v>7494</v>
      </c>
      <c r="AV1760" s="185" t="s">
        <v>176</v>
      </c>
      <c r="AX1760" s="185" t="s">
        <v>176</v>
      </c>
      <c r="BK1760" s="55" t="s">
        <v>5976</v>
      </c>
      <c r="BM1760" s="192" t="s">
        <v>160</v>
      </c>
      <c r="BN1760" s="55">
        <v>4</v>
      </c>
      <c r="BO1760" s="55">
        <v>4</v>
      </c>
      <c r="BQ1760" s="55" t="s">
        <v>315</v>
      </c>
      <c r="DB1760" s="65">
        <v>2.9</v>
      </c>
      <c r="DC1760" s="65">
        <v>1.8</v>
      </c>
      <c r="DF1760" s="65" t="s">
        <v>1634</v>
      </c>
      <c r="GP1760" s="292" t="s">
        <v>7494</v>
      </c>
    </row>
    <row r="1761" spans="1:198" x14ac:dyDescent="0.25">
      <c r="A1761" s="55">
        <v>1760</v>
      </c>
      <c r="B1761" s="12" t="s">
        <v>7067</v>
      </c>
      <c r="C1761" s="155">
        <v>82</v>
      </c>
      <c r="D1761" s="55" t="s">
        <v>4019</v>
      </c>
      <c r="E1761" s="90" t="s">
        <v>1424</v>
      </c>
      <c r="G1761" s="55" t="s">
        <v>1425</v>
      </c>
      <c r="H1761" s="55">
        <v>2007</v>
      </c>
      <c r="I1761" s="55">
        <v>2001</v>
      </c>
      <c r="J1761" s="55" t="s">
        <v>1426</v>
      </c>
      <c r="K1761" s="55" t="s">
        <v>1427</v>
      </c>
      <c r="L1761" s="55" t="s">
        <v>2737</v>
      </c>
      <c r="M1761" s="90">
        <v>42.74</v>
      </c>
      <c r="N1761" s="90">
        <v>-84.48</v>
      </c>
      <c r="O1761" s="90">
        <v>260</v>
      </c>
      <c r="U1761" s="55" t="s">
        <v>1688</v>
      </c>
      <c r="V1761" s="55" t="s">
        <v>1688</v>
      </c>
      <c r="Y1761" s="55" t="s">
        <v>1923</v>
      </c>
      <c r="Z1761" s="55" t="s">
        <v>1356</v>
      </c>
      <c r="AA1761" s="90" t="s">
        <v>1680</v>
      </c>
      <c r="AH1761" s="55" t="s">
        <v>139</v>
      </c>
      <c r="AN1761" s="185" t="s">
        <v>1512</v>
      </c>
      <c r="AO1761" s="185" t="s">
        <v>5150</v>
      </c>
      <c r="AQ1761" s="55" t="s">
        <v>1545</v>
      </c>
      <c r="AR1761" s="55" t="s">
        <v>132</v>
      </c>
      <c r="AS1761" s="55" t="s">
        <v>1575</v>
      </c>
      <c r="AU1761" s="181" t="s">
        <v>7494</v>
      </c>
      <c r="AV1761" s="185" t="s">
        <v>176</v>
      </c>
      <c r="AX1761" s="185" t="s">
        <v>176</v>
      </c>
      <c r="BK1761" s="55" t="s">
        <v>5976</v>
      </c>
      <c r="BM1761" s="192" t="s">
        <v>160</v>
      </c>
      <c r="BN1761" s="55">
        <v>4</v>
      </c>
      <c r="BO1761" s="55">
        <v>4</v>
      </c>
      <c r="BQ1761" s="55" t="s">
        <v>315</v>
      </c>
      <c r="DB1761" s="65">
        <v>2.9</v>
      </c>
      <c r="DC1761" s="65">
        <v>1.5</v>
      </c>
      <c r="DF1761" s="65" t="s">
        <v>1634</v>
      </c>
      <c r="GP1761" s="292" t="s">
        <v>7494</v>
      </c>
    </row>
    <row r="1762" spans="1:198" x14ac:dyDescent="0.25">
      <c r="A1762" s="55">
        <v>1761</v>
      </c>
      <c r="B1762" s="12" t="s">
        <v>7067</v>
      </c>
      <c r="C1762" s="155">
        <v>82</v>
      </c>
      <c r="D1762" s="55" t="s">
        <v>4019</v>
      </c>
      <c r="E1762" s="90" t="s">
        <v>1424</v>
      </c>
      <c r="G1762" s="55" t="s">
        <v>1425</v>
      </c>
      <c r="H1762" s="55">
        <v>2007</v>
      </c>
      <c r="I1762" s="55">
        <v>2001</v>
      </c>
      <c r="J1762" s="55" t="s">
        <v>1426</v>
      </c>
      <c r="K1762" s="55" t="s">
        <v>1427</v>
      </c>
      <c r="L1762" s="55" t="s">
        <v>2737</v>
      </c>
      <c r="M1762" s="90">
        <v>42.74</v>
      </c>
      <c r="N1762" s="90">
        <v>-84.48</v>
      </c>
      <c r="O1762" s="90">
        <v>260</v>
      </c>
      <c r="U1762" s="55" t="s">
        <v>1688</v>
      </c>
      <c r="V1762" s="55" t="s">
        <v>1688</v>
      </c>
      <c r="Y1762" s="55" t="s">
        <v>1923</v>
      </c>
      <c r="Z1762" s="55" t="s">
        <v>1356</v>
      </c>
      <c r="AA1762" s="90" t="s">
        <v>1680</v>
      </c>
      <c r="AH1762" s="55" t="s">
        <v>139</v>
      </c>
      <c r="AN1762" s="185" t="s">
        <v>1513</v>
      </c>
      <c r="AO1762" s="185" t="s">
        <v>5150</v>
      </c>
      <c r="AQ1762" s="55" t="s">
        <v>1545</v>
      </c>
      <c r="AR1762" s="55" t="s">
        <v>132</v>
      </c>
      <c r="AS1762" s="55" t="s">
        <v>1575</v>
      </c>
      <c r="AU1762" s="181" t="s">
        <v>7494</v>
      </c>
      <c r="AV1762" s="185" t="s">
        <v>176</v>
      </c>
      <c r="AX1762" s="185" t="s">
        <v>176</v>
      </c>
      <c r="BK1762" s="55" t="s">
        <v>5976</v>
      </c>
      <c r="BM1762" s="192" t="s">
        <v>160</v>
      </c>
      <c r="BN1762" s="55">
        <v>4</v>
      </c>
      <c r="BO1762" s="55">
        <v>4</v>
      </c>
      <c r="BQ1762" s="55" t="s">
        <v>315</v>
      </c>
      <c r="DB1762" s="65">
        <v>2.9</v>
      </c>
      <c r="DC1762" s="65">
        <v>1.3</v>
      </c>
      <c r="DF1762" s="65" t="s">
        <v>1634</v>
      </c>
      <c r="GP1762" s="292" t="s">
        <v>7494</v>
      </c>
    </row>
    <row r="1763" spans="1:198" x14ac:dyDescent="0.25">
      <c r="A1763" s="55">
        <v>1762</v>
      </c>
      <c r="B1763" s="12" t="s">
        <v>7067</v>
      </c>
      <c r="C1763" s="155">
        <v>82</v>
      </c>
      <c r="D1763" s="55" t="s">
        <v>4020</v>
      </c>
      <c r="E1763" s="90" t="s">
        <v>1424</v>
      </c>
      <c r="G1763" s="55" t="s">
        <v>1425</v>
      </c>
      <c r="H1763" s="55">
        <v>2007</v>
      </c>
      <c r="I1763" s="55">
        <v>2001</v>
      </c>
      <c r="J1763" s="55" t="s">
        <v>1426</v>
      </c>
      <c r="K1763" s="55" t="s">
        <v>1427</v>
      </c>
      <c r="L1763" s="55" t="s">
        <v>2737</v>
      </c>
      <c r="M1763" s="90">
        <v>42.74</v>
      </c>
      <c r="N1763" s="90">
        <v>-84.48</v>
      </c>
      <c r="O1763" s="90">
        <v>260</v>
      </c>
      <c r="U1763" s="55" t="s">
        <v>1688</v>
      </c>
      <c r="V1763" s="55" t="s">
        <v>1688</v>
      </c>
      <c r="Y1763" s="55" t="s">
        <v>1923</v>
      </c>
      <c r="Z1763" s="55" t="s">
        <v>1369</v>
      </c>
      <c r="AA1763" s="90" t="s">
        <v>1680</v>
      </c>
      <c r="AH1763" s="55" t="s">
        <v>139</v>
      </c>
      <c r="AN1763" s="185" t="s">
        <v>116</v>
      </c>
      <c r="AO1763" s="185" t="s">
        <v>5150</v>
      </c>
      <c r="AQ1763" s="55" t="s">
        <v>1545</v>
      </c>
      <c r="AR1763" s="55" t="s">
        <v>132</v>
      </c>
      <c r="AS1763" s="55" t="s">
        <v>1575</v>
      </c>
      <c r="AU1763" s="181" t="s">
        <v>7494</v>
      </c>
      <c r="AV1763" s="185" t="s">
        <v>176</v>
      </c>
      <c r="AX1763" s="185" t="s">
        <v>176</v>
      </c>
      <c r="BK1763" s="55" t="s">
        <v>5976</v>
      </c>
      <c r="BM1763" s="192" t="s">
        <v>160</v>
      </c>
      <c r="BN1763" s="55">
        <v>4</v>
      </c>
      <c r="BO1763" s="55">
        <v>4</v>
      </c>
      <c r="BQ1763" s="55" t="s">
        <v>315</v>
      </c>
      <c r="DB1763" s="65">
        <v>3.8</v>
      </c>
      <c r="DC1763" s="65">
        <v>2.2999999999999998</v>
      </c>
      <c r="DF1763" s="65" t="s">
        <v>1634</v>
      </c>
      <c r="GP1763" s="292" t="s">
        <v>7494</v>
      </c>
    </row>
    <row r="1764" spans="1:198" x14ac:dyDescent="0.25">
      <c r="A1764" s="55">
        <v>1763</v>
      </c>
      <c r="B1764" s="12" t="s">
        <v>7067</v>
      </c>
      <c r="C1764" s="155">
        <v>82</v>
      </c>
      <c r="D1764" s="55" t="s">
        <v>4021</v>
      </c>
      <c r="E1764" s="90" t="s">
        <v>1424</v>
      </c>
      <c r="G1764" s="55" t="s">
        <v>1425</v>
      </c>
      <c r="H1764" s="55">
        <v>2007</v>
      </c>
      <c r="I1764" s="55">
        <v>2001</v>
      </c>
      <c r="J1764" s="55" t="s">
        <v>1426</v>
      </c>
      <c r="K1764" s="55" t="s">
        <v>1427</v>
      </c>
      <c r="L1764" s="55" t="s">
        <v>2737</v>
      </c>
      <c r="M1764" s="90">
        <v>42.74</v>
      </c>
      <c r="N1764" s="90">
        <v>-84.48</v>
      </c>
      <c r="O1764" s="90">
        <v>260</v>
      </c>
      <c r="U1764" s="55" t="s">
        <v>1688</v>
      </c>
      <c r="V1764" s="55" t="s">
        <v>1688</v>
      </c>
      <c r="Y1764" s="55" t="s">
        <v>1923</v>
      </c>
      <c r="Z1764" s="55" t="s">
        <v>1369</v>
      </c>
      <c r="AA1764" s="90" t="s">
        <v>1680</v>
      </c>
      <c r="AH1764" s="55" t="s">
        <v>139</v>
      </c>
      <c r="AN1764" s="185" t="s">
        <v>131</v>
      </c>
      <c r="AO1764" s="185" t="s">
        <v>5150</v>
      </c>
      <c r="AQ1764" s="55" t="s">
        <v>131</v>
      </c>
      <c r="AR1764" s="55" t="s">
        <v>132</v>
      </c>
      <c r="AS1764" s="55" t="s">
        <v>1575</v>
      </c>
      <c r="AU1764" s="181" t="s">
        <v>7494</v>
      </c>
      <c r="AV1764" s="185" t="s">
        <v>176</v>
      </c>
      <c r="AX1764" s="185" t="s">
        <v>176</v>
      </c>
      <c r="BK1764" s="55" t="s">
        <v>5976</v>
      </c>
      <c r="BM1764" s="192" t="s">
        <v>160</v>
      </c>
      <c r="BN1764" s="55">
        <v>4</v>
      </c>
      <c r="BO1764" s="55">
        <v>4</v>
      </c>
      <c r="BQ1764" s="55" t="s">
        <v>315</v>
      </c>
      <c r="DB1764" s="65">
        <v>3.8</v>
      </c>
      <c r="DC1764" s="65">
        <v>1.9</v>
      </c>
      <c r="DF1764" s="65" t="s">
        <v>1634</v>
      </c>
      <c r="GP1764" s="292" t="s">
        <v>7494</v>
      </c>
    </row>
    <row r="1765" spans="1:198" x14ac:dyDescent="0.25">
      <c r="A1765" s="55">
        <v>1764</v>
      </c>
      <c r="B1765" s="12" t="s">
        <v>7067</v>
      </c>
      <c r="C1765" s="155">
        <v>82</v>
      </c>
      <c r="D1765" s="55" t="s">
        <v>4021</v>
      </c>
      <c r="E1765" s="90" t="s">
        <v>1424</v>
      </c>
      <c r="G1765" s="55" t="s">
        <v>1425</v>
      </c>
      <c r="H1765" s="55">
        <v>2007</v>
      </c>
      <c r="I1765" s="55">
        <v>2001</v>
      </c>
      <c r="J1765" s="55" t="s">
        <v>1426</v>
      </c>
      <c r="K1765" s="55" t="s">
        <v>1427</v>
      </c>
      <c r="L1765" s="55" t="s">
        <v>2737</v>
      </c>
      <c r="M1765" s="90">
        <v>42.74</v>
      </c>
      <c r="N1765" s="90">
        <v>-84.48</v>
      </c>
      <c r="O1765" s="90">
        <v>260</v>
      </c>
      <c r="U1765" s="55" t="s">
        <v>1688</v>
      </c>
      <c r="V1765" s="55" t="s">
        <v>1688</v>
      </c>
      <c r="Y1765" s="55" t="s">
        <v>1923</v>
      </c>
      <c r="Z1765" s="55" t="s">
        <v>1369</v>
      </c>
      <c r="AA1765" s="90" t="s">
        <v>1680</v>
      </c>
      <c r="AH1765" s="55" t="s">
        <v>139</v>
      </c>
      <c r="AN1765" s="185" t="s">
        <v>1509</v>
      </c>
      <c r="AO1765" s="185" t="s">
        <v>5150</v>
      </c>
      <c r="AQ1765" s="55" t="s">
        <v>131</v>
      </c>
      <c r="AR1765" s="55" t="s">
        <v>132</v>
      </c>
      <c r="AS1765" s="55" t="s">
        <v>1575</v>
      </c>
      <c r="AU1765" s="181" t="s">
        <v>7494</v>
      </c>
      <c r="AV1765" s="185" t="s">
        <v>176</v>
      </c>
      <c r="AX1765" s="185" t="s">
        <v>176</v>
      </c>
      <c r="BK1765" s="55" t="s">
        <v>5976</v>
      </c>
      <c r="BM1765" s="192" t="s">
        <v>160</v>
      </c>
      <c r="BN1765" s="55">
        <v>4</v>
      </c>
      <c r="BO1765" s="55">
        <v>4</v>
      </c>
      <c r="BQ1765" s="55" t="s">
        <v>315</v>
      </c>
      <c r="DB1765" s="65">
        <v>3.8</v>
      </c>
      <c r="DC1765" s="65">
        <v>1.5</v>
      </c>
      <c r="DF1765" s="65" t="s">
        <v>1634</v>
      </c>
      <c r="GP1765" s="292" t="s">
        <v>7494</v>
      </c>
    </row>
    <row r="1766" spans="1:198" x14ac:dyDescent="0.25">
      <c r="A1766" s="55">
        <v>1765</v>
      </c>
      <c r="B1766" s="12" t="s">
        <v>7067</v>
      </c>
      <c r="C1766" s="155">
        <v>82</v>
      </c>
      <c r="D1766" s="55" t="s">
        <v>4022</v>
      </c>
      <c r="E1766" s="90" t="s">
        <v>1424</v>
      </c>
      <c r="G1766" s="55" t="s">
        <v>1425</v>
      </c>
      <c r="H1766" s="55">
        <v>2007</v>
      </c>
      <c r="I1766" s="55">
        <v>2001</v>
      </c>
      <c r="J1766" s="55" t="s">
        <v>1426</v>
      </c>
      <c r="K1766" s="55" t="s">
        <v>1427</v>
      </c>
      <c r="L1766" s="55" t="s">
        <v>2737</v>
      </c>
      <c r="M1766" s="90">
        <v>42.74</v>
      </c>
      <c r="N1766" s="90">
        <v>-84.48</v>
      </c>
      <c r="O1766" s="90">
        <v>260</v>
      </c>
      <c r="U1766" s="55" t="s">
        <v>1688</v>
      </c>
      <c r="V1766" s="55" t="s">
        <v>1688</v>
      </c>
      <c r="Y1766" s="55" t="s">
        <v>1923</v>
      </c>
      <c r="Z1766" s="55" t="s">
        <v>1369</v>
      </c>
      <c r="AA1766" s="90" t="s">
        <v>1680</v>
      </c>
      <c r="AH1766" s="55" t="s">
        <v>139</v>
      </c>
      <c r="AN1766" s="185" t="s">
        <v>1510</v>
      </c>
      <c r="AO1766" s="185" t="s">
        <v>5150</v>
      </c>
      <c r="AQ1766" s="55" t="s">
        <v>1545</v>
      </c>
      <c r="AR1766" s="55" t="s">
        <v>132</v>
      </c>
      <c r="AS1766" s="55" t="s">
        <v>1575</v>
      </c>
      <c r="AU1766" s="181" t="s">
        <v>7494</v>
      </c>
      <c r="AV1766" s="185" t="s">
        <v>176</v>
      </c>
      <c r="AX1766" s="185" t="s">
        <v>176</v>
      </c>
      <c r="BK1766" s="55" t="s">
        <v>5976</v>
      </c>
      <c r="BM1766" s="192" t="s">
        <v>160</v>
      </c>
      <c r="BN1766" s="55">
        <v>4</v>
      </c>
      <c r="BO1766" s="55">
        <v>4</v>
      </c>
      <c r="BQ1766" s="55" t="s">
        <v>315</v>
      </c>
      <c r="DB1766" s="65">
        <v>3.8</v>
      </c>
      <c r="DC1766" s="65">
        <v>1.3</v>
      </c>
      <c r="DF1766" s="65" t="s">
        <v>1634</v>
      </c>
      <c r="GP1766" s="292" t="s">
        <v>7494</v>
      </c>
    </row>
    <row r="1767" spans="1:198" x14ac:dyDescent="0.25">
      <c r="A1767" s="55">
        <v>1766</v>
      </c>
      <c r="B1767" s="12" t="s">
        <v>7067</v>
      </c>
      <c r="C1767" s="155">
        <v>82</v>
      </c>
      <c r="D1767" s="55" t="s">
        <v>4022</v>
      </c>
      <c r="E1767" s="90" t="s">
        <v>1424</v>
      </c>
      <c r="G1767" s="55" t="s">
        <v>1425</v>
      </c>
      <c r="H1767" s="55">
        <v>2007</v>
      </c>
      <c r="I1767" s="55">
        <v>2001</v>
      </c>
      <c r="J1767" s="55" t="s">
        <v>1426</v>
      </c>
      <c r="K1767" s="55" t="s">
        <v>1427</v>
      </c>
      <c r="L1767" s="55" t="s">
        <v>2737</v>
      </c>
      <c r="M1767" s="90">
        <v>42.74</v>
      </c>
      <c r="N1767" s="90">
        <v>-84.48</v>
      </c>
      <c r="O1767" s="90">
        <v>260</v>
      </c>
      <c r="U1767" s="55" t="s">
        <v>1688</v>
      </c>
      <c r="V1767" s="55" t="s">
        <v>1688</v>
      </c>
      <c r="Y1767" s="55" t="s">
        <v>1923</v>
      </c>
      <c r="Z1767" s="55" t="s">
        <v>1369</v>
      </c>
      <c r="AA1767" s="90" t="s">
        <v>1680</v>
      </c>
      <c r="AH1767" s="55" t="s">
        <v>139</v>
      </c>
      <c r="AN1767" s="185" t="s">
        <v>1511</v>
      </c>
      <c r="AO1767" s="185" t="s">
        <v>5150</v>
      </c>
      <c r="AQ1767" s="55" t="s">
        <v>1545</v>
      </c>
      <c r="AR1767" s="55" t="s">
        <v>132</v>
      </c>
      <c r="AS1767" s="55" t="s">
        <v>1575</v>
      </c>
      <c r="AU1767" s="181" t="s">
        <v>7494</v>
      </c>
      <c r="AV1767" s="185" t="s">
        <v>176</v>
      </c>
      <c r="AX1767" s="185" t="s">
        <v>176</v>
      </c>
      <c r="BK1767" s="55" t="s">
        <v>5976</v>
      </c>
      <c r="BM1767" s="192" t="s">
        <v>160</v>
      </c>
      <c r="BN1767" s="55">
        <v>4</v>
      </c>
      <c r="BO1767" s="55">
        <v>4</v>
      </c>
      <c r="BQ1767" s="55" t="s">
        <v>315</v>
      </c>
      <c r="DB1767" s="65">
        <v>3.8</v>
      </c>
      <c r="DC1767" s="65">
        <v>1.4</v>
      </c>
      <c r="DF1767" s="65" t="s">
        <v>1634</v>
      </c>
      <c r="GP1767" s="292" t="s">
        <v>7494</v>
      </c>
    </row>
    <row r="1768" spans="1:198" x14ac:dyDescent="0.25">
      <c r="A1768" s="55">
        <v>1767</v>
      </c>
      <c r="B1768" s="12" t="s">
        <v>7067</v>
      </c>
      <c r="C1768" s="155">
        <v>82</v>
      </c>
      <c r="D1768" s="55" t="s">
        <v>4022</v>
      </c>
      <c r="E1768" s="90" t="s">
        <v>1424</v>
      </c>
      <c r="G1768" s="55" t="s">
        <v>1425</v>
      </c>
      <c r="H1768" s="55">
        <v>2007</v>
      </c>
      <c r="I1768" s="55">
        <v>2001</v>
      </c>
      <c r="J1768" s="55" t="s">
        <v>1426</v>
      </c>
      <c r="K1768" s="55" t="s">
        <v>1427</v>
      </c>
      <c r="L1768" s="55" t="s">
        <v>2737</v>
      </c>
      <c r="M1768" s="90">
        <v>42.74</v>
      </c>
      <c r="N1768" s="90">
        <v>-84.48</v>
      </c>
      <c r="O1768" s="90">
        <v>260</v>
      </c>
      <c r="U1768" s="55" t="s">
        <v>1688</v>
      </c>
      <c r="V1768" s="55" t="s">
        <v>1688</v>
      </c>
      <c r="Y1768" s="55" t="s">
        <v>1923</v>
      </c>
      <c r="Z1768" s="55" t="s">
        <v>1369</v>
      </c>
      <c r="AA1768" s="90" t="s">
        <v>1680</v>
      </c>
      <c r="AH1768" s="55" t="s">
        <v>139</v>
      </c>
      <c r="AN1768" s="185" t="s">
        <v>1512</v>
      </c>
      <c r="AO1768" s="185" t="s">
        <v>5150</v>
      </c>
      <c r="AQ1768" s="55" t="s">
        <v>1545</v>
      </c>
      <c r="AR1768" s="55" t="s">
        <v>132</v>
      </c>
      <c r="AS1768" s="55" t="s">
        <v>1575</v>
      </c>
      <c r="AU1768" s="181" t="s">
        <v>7494</v>
      </c>
      <c r="AV1768" s="185" t="s">
        <v>176</v>
      </c>
      <c r="AX1768" s="185" t="s">
        <v>176</v>
      </c>
      <c r="BK1768" s="55" t="s">
        <v>5976</v>
      </c>
      <c r="BM1768" s="192" t="s">
        <v>160</v>
      </c>
      <c r="BN1768" s="55">
        <v>4</v>
      </c>
      <c r="BO1768" s="55">
        <v>4</v>
      </c>
      <c r="BQ1768" s="55" t="s">
        <v>315</v>
      </c>
      <c r="DB1768" s="65">
        <v>3.8</v>
      </c>
      <c r="DC1768" s="65">
        <v>1.5</v>
      </c>
      <c r="DF1768" s="65" t="s">
        <v>1634</v>
      </c>
      <c r="GP1768" s="292" t="s">
        <v>7494</v>
      </c>
    </row>
    <row r="1769" spans="1:198" x14ac:dyDescent="0.25">
      <c r="A1769" s="55">
        <v>1768</v>
      </c>
      <c r="B1769" s="12" t="s">
        <v>7067</v>
      </c>
      <c r="C1769" s="155">
        <v>82</v>
      </c>
      <c r="D1769" s="55" t="s">
        <v>4022</v>
      </c>
      <c r="E1769" s="90" t="s">
        <v>1424</v>
      </c>
      <c r="G1769" s="55" t="s">
        <v>1425</v>
      </c>
      <c r="H1769" s="55">
        <v>2007</v>
      </c>
      <c r="I1769" s="55">
        <v>2001</v>
      </c>
      <c r="J1769" s="55" t="s">
        <v>1426</v>
      </c>
      <c r="K1769" s="55" t="s">
        <v>1427</v>
      </c>
      <c r="L1769" s="55" t="s">
        <v>2737</v>
      </c>
      <c r="M1769" s="90">
        <v>42.74</v>
      </c>
      <c r="N1769" s="90">
        <v>-84.48</v>
      </c>
      <c r="O1769" s="90">
        <v>260</v>
      </c>
      <c r="U1769" s="55" t="s">
        <v>1688</v>
      </c>
      <c r="V1769" s="55" t="s">
        <v>1688</v>
      </c>
      <c r="Y1769" s="55" t="s">
        <v>1923</v>
      </c>
      <c r="Z1769" s="55" t="s">
        <v>1369</v>
      </c>
      <c r="AA1769" s="90" t="s">
        <v>1680</v>
      </c>
      <c r="AH1769" s="55" t="s">
        <v>139</v>
      </c>
      <c r="AN1769" s="185" t="s">
        <v>1513</v>
      </c>
      <c r="AO1769" s="185" t="s">
        <v>5150</v>
      </c>
      <c r="AQ1769" s="55" t="s">
        <v>1545</v>
      </c>
      <c r="AR1769" s="55" t="s">
        <v>132</v>
      </c>
      <c r="AS1769" s="55" t="s">
        <v>1575</v>
      </c>
      <c r="AU1769" s="181" t="s">
        <v>7494</v>
      </c>
      <c r="AV1769" s="185" t="s">
        <v>176</v>
      </c>
      <c r="AX1769" s="185" t="s">
        <v>176</v>
      </c>
      <c r="BK1769" s="55" t="s">
        <v>5976</v>
      </c>
      <c r="BM1769" s="192" t="s">
        <v>160</v>
      </c>
      <c r="BN1769" s="55">
        <v>4</v>
      </c>
      <c r="BO1769" s="55">
        <v>4</v>
      </c>
      <c r="BQ1769" s="55" t="s">
        <v>315</v>
      </c>
      <c r="DB1769" s="65">
        <v>3.8</v>
      </c>
      <c r="DC1769" s="65">
        <v>1.2</v>
      </c>
      <c r="DF1769" s="65" t="s">
        <v>1634</v>
      </c>
      <c r="GP1769" s="292" t="s">
        <v>7494</v>
      </c>
    </row>
    <row r="1770" spans="1:198" x14ac:dyDescent="0.25">
      <c r="A1770" s="55">
        <v>1769</v>
      </c>
      <c r="B1770" s="12" t="s">
        <v>7067</v>
      </c>
      <c r="C1770" s="155">
        <v>82</v>
      </c>
      <c r="D1770" s="55" t="s">
        <v>4023</v>
      </c>
      <c r="E1770" s="90" t="s">
        <v>1424</v>
      </c>
      <c r="G1770" s="55" t="s">
        <v>1425</v>
      </c>
      <c r="H1770" s="55">
        <v>2007</v>
      </c>
      <c r="I1770" s="55">
        <v>2001</v>
      </c>
      <c r="J1770" s="55" t="s">
        <v>1426</v>
      </c>
      <c r="K1770" s="55" t="s">
        <v>1427</v>
      </c>
      <c r="L1770" s="55" t="s">
        <v>2737</v>
      </c>
      <c r="M1770" s="90">
        <v>42.74</v>
      </c>
      <c r="N1770" s="90">
        <v>-84.48</v>
      </c>
      <c r="O1770" s="90">
        <v>260</v>
      </c>
      <c r="U1770" s="55" t="s">
        <v>1688</v>
      </c>
      <c r="V1770" s="55" t="s">
        <v>1688</v>
      </c>
      <c r="Y1770" s="55" t="s">
        <v>1923</v>
      </c>
      <c r="Z1770" s="55" t="s">
        <v>1370</v>
      </c>
      <c r="AA1770" s="90" t="s">
        <v>1680</v>
      </c>
      <c r="AH1770" s="55" t="s">
        <v>139</v>
      </c>
      <c r="AN1770" s="185" t="s">
        <v>116</v>
      </c>
      <c r="AO1770" s="185" t="s">
        <v>5150</v>
      </c>
      <c r="AQ1770" s="55" t="s">
        <v>1545</v>
      </c>
      <c r="AR1770" s="55" t="s">
        <v>132</v>
      </c>
      <c r="AS1770" s="55" t="s">
        <v>1575</v>
      </c>
      <c r="AU1770" s="181" t="s">
        <v>7494</v>
      </c>
      <c r="AV1770" s="185" t="s">
        <v>176</v>
      </c>
      <c r="AX1770" s="185" t="s">
        <v>176</v>
      </c>
      <c r="BK1770" s="55" t="s">
        <v>5976</v>
      </c>
      <c r="BM1770" s="192" t="s">
        <v>160</v>
      </c>
      <c r="BN1770" s="55">
        <v>4</v>
      </c>
      <c r="BO1770" s="55">
        <v>4</v>
      </c>
      <c r="BQ1770" s="55" t="s">
        <v>315</v>
      </c>
      <c r="DB1770" s="65">
        <v>3.1</v>
      </c>
      <c r="DC1770" s="65">
        <v>1.7</v>
      </c>
      <c r="DF1770" s="65" t="s">
        <v>1634</v>
      </c>
      <c r="GP1770" s="292" t="s">
        <v>7494</v>
      </c>
    </row>
    <row r="1771" spans="1:198" x14ac:dyDescent="0.25">
      <c r="A1771" s="55">
        <v>1770</v>
      </c>
      <c r="B1771" s="12" t="s">
        <v>7067</v>
      </c>
      <c r="C1771" s="155">
        <v>82</v>
      </c>
      <c r="D1771" s="55" t="s">
        <v>4024</v>
      </c>
      <c r="E1771" s="90" t="s">
        <v>1424</v>
      </c>
      <c r="G1771" s="55" t="s">
        <v>1425</v>
      </c>
      <c r="H1771" s="55">
        <v>2007</v>
      </c>
      <c r="I1771" s="55">
        <v>2001</v>
      </c>
      <c r="J1771" s="55" t="s">
        <v>1426</v>
      </c>
      <c r="K1771" s="55" t="s">
        <v>1427</v>
      </c>
      <c r="L1771" s="55" t="s">
        <v>2737</v>
      </c>
      <c r="M1771" s="90">
        <v>42.74</v>
      </c>
      <c r="N1771" s="90">
        <v>-84.48</v>
      </c>
      <c r="O1771" s="90">
        <v>260</v>
      </c>
      <c r="U1771" s="55" t="s">
        <v>1688</v>
      </c>
      <c r="V1771" s="55" t="s">
        <v>1688</v>
      </c>
      <c r="Y1771" s="55" t="s">
        <v>1923</v>
      </c>
      <c r="Z1771" s="55" t="s">
        <v>1370</v>
      </c>
      <c r="AA1771" s="90" t="s">
        <v>1680</v>
      </c>
      <c r="AH1771" s="55" t="s">
        <v>139</v>
      </c>
      <c r="AN1771" s="185" t="s">
        <v>131</v>
      </c>
      <c r="AO1771" s="185" t="s">
        <v>5150</v>
      </c>
      <c r="AQ1771" s="55" t="s">
        <v>131</v>
      </c>
      <c r="AR1771" s="55" t="s">
        <v>132</v>
      </c>
      <c r="AS1771" s="55" t="s">
        <v>1575</v>
      </c>
      <c r="AU1771" s="181" t="s">
        <v>7494</v>
      </c>
      <c r="AV1771" s="185" t="s">
        <v>176</v>
      </c>
      <c r="AX1771" s="185" t="s">
        <v>176</v>
      </c>
      <c r="BK1771" s="55" t="s">
        <v>5976</v>
      </c>
      <c r="BM1771" s="192" t="s">
        <v>160</v>
      </c>
      <c r="BN1771" s="55">
        <v>4</v>
      </c>
      <c r="BO1771" s="55">
        <v>4</v>
      </c>
      <c r="BQ1771" s="55" t="s">
        <v>315</v>
      </c>
      <c r="DB1771" s="65">
        <v>3.1</v>
      </c>
      <c r="DC1771" s="65">
        <v>1.8</v>
      </c>
      <c r="DF1771" s="65" t="s">
        <v>1634</v>
      </c>
      <c r="GP1771" s="292" t="s">
        <v>7494</v>
      </c>
    </row>
    <row r="1772" spans="1:198" x14ac:dyDescent="0.25">
      <c r="A1772" s="55">
        <v>1771</v>
      </c>
      <c r="B1772" s="12" t="s">
        <v>7067</v>
      </c>
      <c r="C1772" s="155">
        <v>82</v>
      </c>
      <c r="D1772" s="55" t="s">
        <v>4024</v>
      </c>
      <c r="E1772" s="90" t="s">
        <v>1424</v>
      </c>
      <c r="G1772" s="55" t="s">
        <v>1425</v>
      </c>
      <c r="H1772" s="55">
        <v>2007</v>
      </c>
      <c r="I1772" s="55">
        <v>2001</v>
      </c>
      <c r="J1772" s="55" t="s">
        <v>1426</v>
      </c>
      <c r="K1772" s="55" t="s">
        <v>1427</v>
      </c>
      <c r="L1772" s="55" t="s">
        <v>2737</v>
      </c>
      <c r="M1772" s="90">
        <v>42.74</v>
      </c>
      <c r="N1772" s="90">
        <v>-84.48</v>
      </c>
      <c r="O1772" s="90">
        <v>260</v>
      </c>
      <c r="U1772" s="55" t="s">
        <v>1688</v>
      </c>
      <c r="V1772" s="55" t="s">
        <v>1688</v>
      </c>
      <c r="Y1772" s="55" t="s">
        <v>1923</v>
      </c>
      <c r="Z1772" s="55" t="s">
        <v>1370</v>
      </c>
      <c r="AA1772" s="90" t="s">
        <v>1680</v>
      </c>
      <c r="AH1772" s="55" t="s">
        <v>139</v>
      </c>
      <c r="AN1772" s="185" t="s">
        <v>1509</v>
      </c>
      <c r="AO1772" s="185" t="s">
        <v>5150</v>
      </c>
      <c r="AQ1772" s="55" t="s">
        <v>131</v>
      </c>
      <c r="AR1772" s="55" t="s">
        <v>132</v>
      </c>
      <c r="AS1772" s="55" t="s">
        <v>1575</v>
      </c>
      <c r="AU1772" s="181" t="s">
        <v>7494</v>
      </c>
      <c r="AV1772" s="185" t="s">
        <v>176</v>
      </c>
      <c r="AX1772" s="185" t="s">
        <v>176</v>
      </c>
      <c r="BK1772" s="55" t="s">
        <v>5976</v>
      </c>
      <c r="BM1772" s="192" t="s">
        <v>160</v>
      </c>
      <c r="BN1772" s="55">
        <v>4</v>
      </c>
      <c r="BO1772" s="55">
        <v>4</v>
      </c>
      <c r="BQ1772" s="55" t="s">
        <v>315</v>
      </c>
      <c r="DB1772" s="65">
        <v>3.1</v>
      </c>
      <c r="DC1772" s="65">
        <v>1.5</v>
      </c>
      <c r="DF1772" s="65" t="s">
        <v>1634</v>
      </c>
      <c r="GP1772" s="292" t="s">
        <v>7494</v>
      </c>
    </row>
    <row r="1773" spans="1:198" x14ac:dyDescent="0.25">
      <c r="A1773" s="55">
        <v>1772</v>
      </c>
      <c r="B1773" s="12" t="s">
        <v>7067</v>
      </c>
      <c r="C1773" s="155">
        <v>82</v>
      </c>
      <c r="D1773" s="55" t="s">
        <v>4025</v>
      </c>
      <c r="E1773" s="90" t="s">
        <v>1424</v>
      </c>
      <c r="G1773" s="55" t="s">
        <v>1425</v>
      </c>
      <c r="H1773" s="55">
        <v>2007</v>
      </c>
      <c r="I1773" s="55">
        <v>2001</v>
      </c>
      <c r="J1773" s="55" t="s">
        <v>1426</v>
      </c>
      <c r="K1773" s="55" t="s">
        <v>1427</v>
      </c>
      <c r="L1773" s="55" t="s">
        <v>2737</v>
      </c>
      <c r="M1773" s="90">
        <v>42.74</v>
      </c>
      <c r="N1773" s="90">
        <v>-84.48</v>
      </c>
      <c r="O1773" s="90">
        <v>260</v>
      </c>
      <c r="U1773" s="55" t="s">
        <v>1688</v>
      </c>
      <c r="V1773" s="55" t="s">
        <v>1688</v>
      </c>
      <c r="Y1773" s="55" t="s">
        <v>1923</v>
      </c>
      <c r="Z1773" s="55" t="s">
        <v>1370</v>
      </c>
      <c r="AA1773" s="90" t="s">
        <v>1680</v>
      </c>
      <c r="AH1773" s="55" t="s">
        <v>139</v>
      </c>
      <c r="AN1773" s="185" t="s">
        <v>1510</v>
      </c>
      <c r="AO1773" s="185" t="s">
        <v>5150</v>
      </c>
      <c r="AQ1773" s="55" t="s">
        <v>1545</v>
      </c>
      <c r="AR1773" s="55" t="s">
        <v>132</v>
      </c>
      <c r="AS1773" s="55" t="s">
        <v>1575</v>
      </c>
      <c r="AU1773" s="181" t="s">
        <v>7494</v>
      </c>
      <c r="AV1773" s="185" t="s">
        <v>176</v>
      </c>
      <c r="AX1773" s="185" t="s">
        <v>176</v>
      </c>
      <c r="BK1773" s="55" t="s">
        <v>5976</v>
      </c>
      <c r="BM1773" s="192" t="s">
        <v>160</v>
      </c>
      <c r="BN1773" s="55">
        <v>4</v>
      </c>
      <c r="BO1773" s="55">
        <v>4</v>
      </c>
      <c r="BQ1773" s="55" t="s">
        <v>315</v>
      </c>
      <c r="DB1773" s="65">
        <v>3.1</v>
      </c>
      <c r="DC1773" s="65">
        <v>1.6</v>
      </c>
      <c r="DF1773" s="65" t="s">
        <v>1634</v>
      </c>
      <c r="GP1773" s="292" t="s">
        <v>7494</v>
      </c>
    </row>
    <row r="1774" spans="1:198" x14ac:dyDescent="0.25">
      <c r="A1774" s="55">
        <v>1773</v>
      </c>
      <c r="B1774" s="12" t="s">
        <v>7067</v>
      </c>
      <c r="C1774" s="155">
        <v>82</v>
      </c>
      <c r="D1774" s="55" t="s">
        <v>4025</v>
      </c>
      <c r="E1774" s="90" t="s">
        <v>1424</v>
      </c>
      <c r="G1774" s="55" t="s">
        <v>1425</v>
      </c>
      <c r="H1774" s="55">
        <v>2007</v>
      </c>
      <c r="I1774" s="55">
        <v>2001</v>
      </c>
      <c r="J1774" s="55" t="s">
        <v>1426</v>
      </c>
      <c r="K1774" s="55" t="s">
        <v>1427</v>
      </c>
      <c r="L1774" s="55" t="s">
        <v>2737</v>
      </c>
      <c r="M1774" s="90">
        <v>42.74</v>
      </c>
      <c r="N1774" s="90">
        <v>-84.48</v>
      </c>
      <c r="O1774" s="90">
        <v>260</v>
      </c>
      <c r="U1774" s="55" t="s">
        <v>1688</v>
      </c>
      <c r="V1774" s="55" t="s">
        <v>1688</v>
      </c>
      <c r="Y1774" s="55" t="s">
        <v>1923</v>
      </c>
      <c r="Z1774" s="55" t="s">
        <v>1370</v>
      </c>
      <c r="AA1774" s="90" t="s">
        <v>1680</v>
      </c>
      <c r="AH1774" s="55" t="s">
        <v>139</v>
      </c>
      <c r="AN1774" s="185" t="s">
        <v>1511</v>
      </c>
      <c r="AO1774" s="185" t="s">
        <v>5150</v>
      </c>
      <c r="AQ1774" s="55" t="s">
        <v>1545</v>
      </c>
      <c r="AR1774" s="55" t="s">
        <v>132</v>
      </c>
      <c r="AS1774" s="55" t="s">
        <v>1575</v>
      </c>
      <c r="AU1774" s="181" t="s">
        <v>7494</v>
      </c>
      <c r="AV1774" s="185" t="s">
        <v>176</v>
      </c>
      <c r="AX1774" s="185" t="s">
        <v>176</v>
      </c>
      <c r="BK1774" s="55" t="s">
        <v>5976</v>
      </c>
      <c r="BM1774" s="192" t="s">
        <v>160</v>
      </c>
      <c r="BN1774" s="55">
        <v>4</v>
      </c>
      <c r="BO1774" s="55">
        <v>4</v>
      </c>
      <c r="BQ1774" s="55" t="s">
        <v>315</v>
      </c>
      <c r="DB1774" s="65">
        <v>3.1</v>
      </c>
      <c r="DC1774" s="65">
        <v>1.9</v>
      </c>
      <c r="DF1774" s="65" t="s">
        <v>1634</v>
      </c>
      <c r="GP1774" s="292" t="s">
        <v>7494</v>
      </c>
    </row>
    <row r="1775" spans="1:198" x14ac:dyDescent="0.25">
      <c r="A1775" s="55">
        <v>1774</v>
      </c>
      <c r="B1775" s="12" t="s">
        <v>7067</v>
      </c>
      <c r="C1775" s="155">
        <v>82</v>
      </c>
      <c r="D1775" s="55" t="s">
        <v>4025</v>
      </c>
      <c r="E1775" s="90" t="s">
        <v>1424</v>
      </c>
      <c r="G1775" s="55" t="s">
        <v>1425</v>
      </c>
      <c r="H1775" s="55">
        <v>2007</v>
      </c>
      <c r="I1775" s="55">
        <v>2001</v>
      </c>
      <c r="J1775" s="55" t="s">
        <v>1426</v>
      </c>
      <c r="K1775" s="55" t="s">
        <v>1427</v>
      </c>
      <c r="L1775" s="55" t="s">
        <v>2737</v>
      </c>
      <c r="M1775" s="90">
        <v>42.74</v>
      </c>
      <c r="N1775" s="90">
        <v>-84.48</v>
      </c>
      <c r="O1775" s="90">
        <v>260</v>
      </c>
      <c r="U1775" s="55" t="s">
        <v>1688</v>
      </c>
      <c r="V1775" s="55" t="s">
        <v>1688</v>
      </c>
      <c r="Y1775" s="55" t="s">
        <v>1923</v>
      </c>
      <c r="Z1775" s="55" t="s">
        <v>1370</v>
      </c>
      <c r="AA1775" s="90" t="s">
        <v>1680</v>
      </c>
      <c r="AH1775" s="55" t="s">
        <v>139</v>
      </c>
      <c r="AN1775" s="185" t="s">
        <v>1512</v>
      </c>
      <c r="AO1775" s="185" t="s">
        <v>5150</v>
      </c>
      <c r="AQ1775" s="55" t="s">
        <v>1545</v>
      </c>
      <c r="AR1775" s="55" t="s">
        <v>132</v>
      </c>
      <c r="AS1775" s="55" t="s">
        <v>1575</v>
      </c>
      <c r="AU1775" s="181" t="s">
        <v>7494</v>
      </c>
      <c r="AV1775" s="185" t="s">
        <v>176</v>
      </c>
      <c r="AX1775" s="185" t="s">
        <v>176</v>
      </c>
      <c r="BK1775" s="55" t="s">
        <v>5976</v>
      </c>
      <c r="BM1775" s="192" t="s">
        <v>160</v>
      </c>
      <c r="BN1775" s="55">
        <v>4</v>
      </c>
      <c r="BO1775" s="55">
        <v>4</v>
      </c>
      <c r="BQ1775" s="55" t="s">
        <v>315</v>
      </c>
      <c r="DB1775" s="65">
        <v>3.1</v>
      </c>
      <c r="DC1775" s="65">
        <v>1.6</v>
      </c>
      <c r="DF1775" s="65" t="s">
        <v>1634</v>
      </c>
      <c r="GP1775" s="292" t="s">
        <v>7494</v>
      </c>
    </row>
    <row r="1776" spans="1:198" x14ac:dyDescent="0.25">
      <c r="A1776" s="55">
        <v>1775</v>
      </c>
      <c r="B1776" s="12" t="s">
        <v>7067</v>
      </c>
      <c r="C1776" s="155">
        <v>82</v>
      </c>
      <c r="D1776" s="55" t="s">
        <v>4025</v>
      </c>
      <c r="E1776" s="90" t="s">
        <v>1424</v>
      </c>
      <c r="G1776" s="55" t="s">
        <v>1425</v>
      </c>
      <c r="H1776" s="55">
        <v>2007</v>
      </c>
      <c r="I1776" s="55">
        <v>2001</v>
      </c>
      <c r="J1776" s="55" t="s">
        <v>1426</v>
      </c>
      <c r="K1776" s="55" t="s">
        <v>1427</v>
      </c>
      <c r="L1776" s="55" t="s">
        <v>2737</v>
      </c>
      <c r="M1776" s="90">
        <v>42.74</v>
      </c>
      <c r="N1776" s="90">
        <v>-84.48</v>
      </c>
      <c r="O1776" s="90">
        <v>260</v>
      </c>
      <c r="U1776" s="55" t="s">
        <v>1688</v>
      </c>
      <c r="V1776" s="55" t="s">
        <v>1688</v>
      </c>
      <c r="Y1776" s="55" t="s">
        <v>1923</v>
      </c>
      <c r="Z1776" s="55" t="s">
        <v>1370</v>
      </c>
      <c r="AA1776" s="90" t="s">
        <v>1680</v>
      </c>
      <c r="AH1776" s="55" t="s">
        <v>139</v>
      </c>
      <c r="AN1776" s="185" t="s">
        <v>1513</v>
      </c>
      <c r="AO1776" s="185" t="s">
        <v>5150</v>
      </c>
      <c r="AQ1776" s="55" t="s">
        <v>1545</v>
      </c>
      <c r="AR1776" s="55" t="s">
        <v>132</v>
      </c>
      <c r="AS1776" s="55" t="s">
        <v>1575</v>
      </c>
      <c r="AU1776" s="181" t="s">
        <v>7494</v>
      </c>
      <c r="AV1776" s="185" t="s">
        <v>176</v>
      </c>
      <c r="AX1776" s="185" t="s">
        <v>176</v>
      </c>
      <c r="BK1776" s="55" t="s">
        <v>5976</v>
      </c>
      <c r="BM1776" s="192" t="s">
        <v>160</v>
      </c>
      <c r="BN1776" s="55">
        <v>4</v>
      </c>
      <c r="BO1776" s="55">
        <v>4</v>
      </c>
      <c r="BQ1776" s="55" t="s">
        <v>315</v>
      </c>
      <c r="DB1776" s="65">
        <v>3.1</v>
      </c>
      <c r="DC1776" s="65">
        <v>1.5</v>
      </c>
      <c r="DF1776" s="65" t="s">
        <v>1634</v>
      </c>
      <c r="GP1776" s="292" t="s">
        <v>7494</v>
      </c>
    </row>
    <row r="1777" spans="1:283" s="23" customFormat="1" x14ac:dyDescent="0.25">
      <c r="A1777" s="55">
        <v>1776</v>
      </c>
      <c r="B1777" s="12" t="s">
        <v>7067</v>
      </c>
      <c r="C1777" s="156">
        <v>83</v>
      </c>
      <c r="D1777" s="58" t="s">
        <v>4026</v>
      </c>
      <c r="E1777" s="94" t="s">
        <v>1710</v>
      </c>
      <c r="F1777" s="94"/>
      <c r="G1777" s="58" t="s">
        <v>1715</v>
      </c>
      <c r="H1777" s="58">
        <v>2001</v>
      </c>
      <c r="I1777" s="58">
        <v>1997</v>
      </c>
      <c r="J1777" s="58" t="s">
        <v>1709</v>
      </c>
      <c r="K1777" s="58" t="s">
        <v>1711</v>
      </c>
      <c r="L1777" s="58" t="s">
        <v>2737</v>
      </c>
      <c r="M1777" s="94">
        <f>34+41/60</f>
        <v>34.68333333333333</v>
      </c>
      <c r="N1777" s="94">
        <f>-86-52/60</f>
        <v>-86.86666666666666</v>
      </c>
      <c r="O1777" s="94">
        <v>185</v>
      </c>
      <c r="P1777" s="58">
        <v>15.7</v>
      </c>
      <c r="Q1777" s="58"/>
      <c r="R1777" s="58">
        <v>1352</v>
      </c>
      <c r="S1777" s="94"/>
      <c r="T1777" s="58"/>
      <c r="U1777" s="58">
        <v>2</v>
      </c>
      <c r="V1777" s="58">
        <v>3</v>
      </c>
      <c r="W1777" s="174"/>
      <c r="X1777" s="174"/>
      <c r="Y1777" s="58" t="s">
        <v>1971</v>
      </c>
      <c r="Z1777" s="58" t="s">
        <v>1349</v>
      </c>
      <c r="AA1777" s="94">
        <v>15</v>
      </c>
      <c r="AB1777" s="67"/>
      <c r="AC1777" s="67"/>
      <c r="AD1777" s="94">
        <f>AVERAGE(CH1777:CI1777)</f>
        <v>1.2606999999999999</v>
      </c>
      <c r="AE1777" s="92">
        <v>35</v>
      </c>
      <c r="AF1777" s="92">
        <v>55</v>
      </c>
      <c r="AG1777" s="92"/>
      <c r="AH1777" s="58" t="s">
        <v>6378</v>
      </c>
      <c r="AI1777" s="169"/>
      <c r="AJ1777" s="94"/>
      <c r="AK1777" s="94"/>
      <c r="AL1777" s="58"/>
      <c r="AM1777" s="58" t="s">
        <v>1712</v>
      </c>
      <c r="AN1777" s="186" t="s">
        <v>1713</v>
      </c>
      <c r="AO1777" s="185" t="s">
        <v>5150</v>
      </c>
      <c r="AP1777" s="58"/>
      <c r="AQ1777" s="58" t="s">
        <v>131</v>
      </c>
      <c r="AR1777" s="58" t="s">
        <v>3473</v>
      </c>
      <c r="AS1777" s="55" t="s">
        <v>5133</v>
      </c>
      <c r="AT1777" s="182" t="s">
        <v>1065</v>
      </c>
      <c r="AU1777" s="181" t="s">
        <v>5150</v>
      </c>
      <c r="AV1777" s="185" t="s">
        <v>176</v>
      </c>
      <c r="AW1777" s="58" t="s">
        <v>1065</v>
      </c>
      <c r="AX1777" s="185" t="s">
        <v>176</v>
      </c>
      <c r="AY1777" s="58" t="s">
        <v>176</v>
      </c>
      <c r="AZ1777" s="58" t="s">
        <v>1016</v>
      </c>
      <c r="BA1777" s="58" t="s">
        <v>1016</v>
      </c>
      <c r="BB1777" s="58" t="s">
        <v>2082</v>
      </c>
      <c r="BC1777" s="58" t="s">
        <v>2082</v>
      </c>
      <c r="BD1777" s="58" t="s">
        <v>176</v>
      </c>
      <c r="BE1777" s="238" t="s">
        <v>1714</v>
      </c>
      <c r="BF1777" s="191" t="s">
        <v>176</v>
      </c>
      <c r="BG1777" s="62" t="s">
        <v>479</v>
      </c>
      <c r="BH1777" s="238" t="s">
        <v>1714</v>
      </c>
      <c r="BI1777" s="62" t="s">
        <v>479</v>
      </c>
      <c r="BJ1777" s="58" t="s">
        <v>176</v>
      </c>
      <c r="BK1777" s="58" t="s">
        <v>6269</v>
      </c>
      <c r="BL1777" s="58"/>
      <c r="BM1777" s="237" t="s">
        <v>119</v>
      </c>
      <c r="BN1777" s="58">
        <v>4</v>
      </c>
      <c r="BO1777" s="58">
        <v>4</v>
      </c>
      <c r="BP1777" s="58"/>
      <c r="BQ1777" s="58" t="s">
        <v>141</v>
      </c>
      <c r="BR1777" s="58"/>
      <c r="BS1777" s="58"/>
      <c r="BT1777" s="58"/>
      <c r="BU1777" s="58"/>
      <c r="BV1777" s="58"/>
      <c r="BW1777" s="67"/>
      <c r="BX1777" s="67"/>
      <c r="BY1777" s="67"/>
      <c r="BZ1777" s="67"/>
      <c r="CA1777" s="67"/>
      <c r="CB1777" s="68"/>
      <c r="CC1777" s="68"/>
      <c r="CD1777" s="68"/>
      <c r="CE1777" s="67"/>
      <c r="CF1777" s="67"/>
      <c r="CG1777" s="67"/>
      <c r="CH1777" s="94">
        <v>1.2955000000000001</v>
      </c>
      <c r="CI1777" s="94">
        <v>1.2259</v>
      </c>
      <c r="CJ1777" s="67"/>
      <c r="CK1777" s="67"/>
      <c r="CL1777" s="67"/>
      <c r="CM1777" s="67">
        <v>1.8</v>
      </c>
      <c r="CN1777" s="67">
        <v>2.2000000000000002</v>
      </c>
      <c r="CO1777" s="67"/>
      <c r="CP1777" s="67"/>
      <c r="CQ1777" s="67"/>
      <c r="CR1777" s="67"/>
      <c r="CS1777" s="67"/>
      <c r="CT1777" s="67"/>
      <c r="CU1777" s="67"/>
      <c r="CV1777" s="65" t="s">
        <v>3039</v>
      </c>
      <c r="CW1777" s="67"/>
      <c r="CX1777" s="67"/>
      <c r="CY1777" s="67"/>
      <c r="CZ1777" s="67"/>
      <c r="DA1777" s="65" t="s">
        <v>4458</v>
      </c>
      <c r="DB1777" s="67">
        <v>70.849999999999994</v>
      </c>
      <c r="DC1777" s="67">
        <v>57.49</v>
      </c>
      <c r="DD1777" s="67"/>
      <c r="DE1777" s="67"/>
      <c r="DF1777" s="67" t="s">
        <v>1716</v>
      </c>
      <c r="DG1777" s="67"/>
      <c r="DH1777" s="67"/>
      <c r="DI1777" s="67"/>
      <c r="DJ1777" s="67"/>
      <c r="DK1777" s="67"/>
      <c r="DL1777" s="67"/>
      <c r="DM1777" s="67"/>
      <c r="DN1777" s="67"/>
      <c r="DO1777" s="67"/>
      <c r="DP1777" s="67"/>
      <c r="DQ1777" s="166"/>
      <c r="DR1777" s="166"/>
      <c r="DS1777" s="163"/>
      <c r="DT1777" s="163"/>
      <c r="DU1777" s="67"/>
      <c r="DV1777" s="67"/>
      <c r="DW1777" s="67"/>
      <c r="DX1777" s="67"/>
      <c r="DY1777" s="67"/>
      <c r="DZ1777" s="67"/>
      <c r="EA1777" s="67"/>
      <c r="EB1777" s="67"/>
      <c r="EC1777" s="67"/>
      <c r="ED1777" s="67"/>
      <c r="EE1777" s="67"/>
      <c r="EF1777" s="67"/>
      <c r="EG1777" s="67"/>
      <c r="EH1777" s="67"/>
      <c r="EI1777" s="67"/>
      <c r="EJ1777" s="67"/>
      <c r="EK1777" s="94"/>
      <c r="EL1777" s="94"/>
      <c r="EM1777" s="67"/>
      <c r="EN1777" s="67"/>
      <c r="EO1777" s="67"/>
      <c r="EP1777" s="67"/>
      <c r="EQ1777" s="67"/>
      <c r="ER1777" s="67"/>
      <c r="ES1777" s="67"/>
      <c r="ET1777" s="67"/>
      <c r="EU1777" s="67"/>
      <c r="EV1777" s="67"/>
      <c r="EW1777" s="67"/>
      <c r="EX1777" s="67"/>
      <c r="EY1777" s="67"/>
      <c r="EZ1777" s="67"/>
      <c r="FA1777" s="67"/>
      <c r="FB1777" s="67"/>
      <c r="FC1777" s="67"/>
      <c r="FD1777" s="67"/>
      <c r="FE1777" s="67"/>
      <c r="FF1777" s="67"/>
      <c r="FG1777" s="67"/>
      <c r="FH1777" s="67"/>
      <c r="FI1777" s="67"/>
      <c r="FJ1777" s="67"/>
      <c r="FK1777" s="67"/>
      <c r="FL1777" s="67"/>
      <c r="FM1777" s="67"/>
      <c r="FN1777" s="67"/>
      <c r="FO1777" s="67"/>
      <c r="FP1777" s="67"/>
      <c r="FQ1777" s="67"/>
      <c r="FR1777" s="67"/>
      <c r="FS1777" s="67"/>
      <c r="FT1777" s="67"/>
      <c r="FU1777" s="67"/>
      <c r="FV1777" s="67"/>
      <c r="FW1777" s="67"/>
      <c r="FX1777" s="67"/>
      <c r="FY1777" s="67"/>
      <c r="FZ1777" s="67"/>
      <c r="GA1777" s="67"/>
      <c r="GB1777" s="67"/>
      <c r="GC1777" s="67"/>
      <c r="GD1777" s="67"/>
      <c r="GE1777" s="67"/>
      <c r="GF1777" s="67"/>
      <c r="GG1777" s="67"/>
      <c r="GH1777" s="67"/>
      <c r="GI1777" s="67"/>
      <c r="GJ1777" s="67"/>
      <c r="GK1777" s="67"/>
      <c r="GL1777" s="67"/>
      <c r="GM1777" s="67"/>
      <c r="GN1777" s="292"/>
      <c r="GO1777" s="292"/>
      <c r="GP1777" s="292" t="s">
        <v>7494</v>
      </c>
      <c r="GQ1777" s="67"/>
      <c r="GR1777" s="67"/>
      <c r="GS1777" s="67"/>
      <c r="GT1777" s="67"/>
      <c r="GU1777" s="67"/>
      <c r="GV1777" s="67"/>
      <c r="GW1777" s="67"/>
      <c r="GX1777" s="67"/>
      <c r="GY1777" s="67"/>
      <c r="GZ1777" s="67"/>
      <c r="HA1777" s="67"/>
      <c r="HB1777" s="67"/>
      <c r="HC1777" s="67"/>
      <c r="HD1777" s="67"/>
      <c r="HE1777" s="67"/>
      <c r="HF1777" s="67"/>
      <c r="HG1777" s="67"/>
      <c r="HH1777" s="67"/>
      <c r="HI1777" s="67"/>
      <c r="HJ1777" s="67"/>
      <c r="HK1777" s="67"/>
      <c r="HL1777" s="67"/>
      <c r="HM1777" s="67"/>
      <c r="HN1777" s="67"/>
      <c r="HO1777" s="67"/>
      <c r="HP1777" s="67"/>
      <c r="HQ1777" s="67"/>
      <c r="HR1777" s="67"/>
      <c r="HS1777" s="67"/>
      <c r="HT1777" s="67"/>
      <c r="HU1777" s="67"/>
      <c r="HV1777" s="67"/>
      <c r="HW1777" s="67"/>
      <c r="HX1777" s="67"/>
      <c r="HY1777" s="67"/>
      <c r="HZ1777" s="67"/>
      <c r="IA1777" s="67"/>
      <c r="IB1777" s="67"/>
      <c r="IC1777" s="67"/>
      <c r="ID1777" s="67"/>
      <c r="IE1777" s="67"/>
      <c r="IF1777" s="67"/>
      <c r="IG1777" s="67"/>
      <c r="IH1777" s="67"/>
      <c r="II1777" s="67"/>
      <c r="IJ1777" s="67"/>
      <c r="IK1777" s="67"/>
      <c r="IL1777" s="67"/>
      <c r="IM1777" s="67"/>
      <c r="IN1777" s="67"/>
      <c r="IO1777" s="67"/>
      <c r="IP1777" s="67"/>
      <c r="IQ1777" s="67"/>
      <c r="IR1777" s="67"/>
      <c r="IS1777" s="67"/>
      <c r="IT1777" s="67"/>
      <c r="IU1777" s="67"/>
      <c r="IV1777" s="67"/>
      <c r="IW1777" s="67"/>
      <c r="IX1777" s="67"/>
      <c r="IY1777" s="67"/>
      <c r="IZ1777" s="67"/>
      <c r="JA1777" s="67"/>
      <c r="JB1777" s="67"/>
      <c r="JC1777" s="67"/>
      <c r="JD1777" s="67"/>
      <c r="JE1777" s="67"/>
      <c r="JF1777" s="67"/>
      <c r="JG1777" s="67"/>
      <c r="JH1777" s="67"/>
      <c r="JI1777" s="67"/>
      <c r="JJ1777" s="67"/>
      <c r="JK1777" s="67"/>
      <c r="JL1777" s="67"/>
      <c r="JM1777" s="67"/>
      <c r="JN1777" s="67"/>
      <c r="JO1777" s="67"/>
      <c r="JP1777" s="67"/>
      <c r="JQ1777" s="67"/>
      <c r="JR1777" s="67"/>
      <c r="JS1777" s="67"/>
      <c r="JT1777" s="67"/>
      <c r="JU1777" s="58"/>
      <c r="JV1777" s="58"/>
      <c r="JW1777" s="58"/>
    </row>
    <row r="1778" spans="1:283" s="23" customFormat="1" x14ac:dyDescent="0.25">
      <c r="A1778" s="55">
        <v>1777</v>
      </c>
      <c r="B1778" s="12" t="s">
        <v>7067</v>
      </c>
      <c r="C1778" s="156">
        <v>83</v>
      </c>
      <c r="D1778" s="58" t="s">
        <v>4027</v>
      </c>
      <c r="E1778" s="94" t="s">
        <v>1710</v>
      </c>
      <c r="F1778" s="94"/>
      <c r="G1778" s="58" t="s">
        <v>1715</v>
      </c>
      <c r="H1778" s="58">
        <v>2001</v>
      </c>
      <c r="I1778" s="58">
        <v>1997</v>
      </c>
      <c r="J1778" s="58" t="s">
        <v>1709</v>
      </c>
      <c r="K1778" s="58" t="s">
        <v>1711</v>
      </c>
      <c r="L1778" s="58" t="s">
        <v>2737</v>
      </c>
      <c r="M1778" s="94">
        <f>34+41/60</f>
        <v>34.68333333333333</v>
      </c>
      <c r="N1778" s="94">
        <f>-86-52/60</f>
        <v>-86.86666666666666</v>
      </c>
      <c r="O1778" s="94">
        <v>185</v>
      </c>
      <c r="P1778" s="58">
        <v>15.7</v>
      </c>
      <c r="Q1778" s="58"/>
      <c r="R1778" s="58">
        <v>1352</v>
      </c>
      <c r="S1778" s="94"/>
      <c r="T1778" s="58"/>
      <c r="U1778" s="58">
        <v>2</v>
      </c>
      <c r="V1778" s="58">
        <v>3</v>
      </c>
      <c r="W1778" s="174"/>
      <c r="X1778" s="174"/>
      <c r="Y1778" s="58" t="s">
        <v>1971</v>
      </c>
      <c r="Z1778" s="58" t="s">
        <v>1357</v>
      </c>
      <c r="AA1778" s="94">
        <v>15</v>
      </c>
      <c r="AB1778" s="67"/>
      <c r="AC1778" s="67"/>
      <c r="AD1778" s="94">
        <f>AVERAGE(CH1778:CI1778)</f>
        <v>1.3564000000000001</v>
      </c>
      <c r="AE1778" s="92">
        <v>35</v>
      </c>
      <c r="AF1778" s="92">
        <v>55</v>
      </c>
      <c r="AG1778" s="92"/>
      <c r="AH1778" s="58" t="s">
        <v>6378</v>
      </c>
      <c r="AI1778" s="169"/>
      <c r="AJ1778" s="94"/>
      <c r="AK1778" s="94"/>
      <c r="AL1778" s="58"/>
      <c r="AM1778" s="58" t="s">
        <v>1712</v>
      </c>
      <c r="AN1778" s="186" t="s">
        <v>1713</v>
      </c>
      <c r="AO1778" s="185" t="s">
        <v>5150</v>
      </c>
      <c r="AP1778" s="58"/>
      <c r="AQ1778" s="58" t="s">
        <v>131</v>
      </c>
      <c r="AR1778" s="58" t="s">
        <v>3473</v>
      </c>
      <c r="AS1778" s="55" t="s">
        <v>5133</v>
      </c>
      <c r="AT1778" s="182" t="s">
        <v>1065</v>
      </c>
      <c r="AU1778" s="181" t="s">
        <v>5150</v>
      </c>
      <c r="AV1778" s="185" t="s">
        <v>176</v>
      </c>
      <c r="AW1778" s="58" t="s">
        <v>1065</v>
      </c>
      <c r="AX1778" s="185" t="s">
        <v>176</v>
      </c>
      <c r="AY1778" s="58" t="s">
        <v>176</v>
      </c>
      <c r="AZ1778" s="58" t="s">
        <v>1016</v>
      </c>
      <c r="BA1778" s="58" t="s">
        <v>1016</v>
      </c>
      <c r="BB1778" s="58" t="s">
        <v>2082</v>
      </c>
      <c r="BC1778" s="58" t="s">
        <v>2082</v>
      </c>
      <c r="BD1778" s="58" t="s">
        <v>176</v>
      </c>
      <c r="BE1778" s="238" t="s">
        <v>1714</v>
      </c>
      <c r="BF1778" s="191" t="s">
        <v>176</v>
      </c>
      <c r="BG1778" s="62" t="s">
        <v>479</v>
      </c>
      <c r="BH1778" s="238" t="s">
        <v>1714</v>
      </c>
      <c r="BI1778" s="62" t="s">
        <v>479</v>
      </c>
      <c r="BJ1778" s="58" t="s">
        <v>176</v>
      </c>
      <c r="BK1778" s="58" t="s">
        <v>6269</v>
      </c>
      <c r="BL1778" s="58"/>
      <c r="BM1778" s="237" t="s">
        <v>119</v>
      </c>
      <c r="BN1778" s="58">
        <v>4</v>
      </c>
      <c r="BO1778" s="58">
        <v>4</v>
      </c>
      <c r="BP1778" s="58"/>
      <c r="BQ1778" s="58" t="s">
        <v>141</v>
      </c>
      <c r="BR1778" s="58"/>
      <c r="BS1778" s="58"/>
      <c r="BT1778" s="58"/>
      <c r="BU1778" s="58"/>
      <c r="BV1778" s="58"/>
      <c r="BW1778" s="67"/>
      <c r="BX1778" s="67"/>
      <c r="BY1778" s="67"/>
      <c r="BZ1778" s="67"/>
      <c r="CA1778" s="67"/>
      <c r="CB1778" s="68"/>
      <c r="CC1778" s="68"/>
      <c r="CD1778" s="68"/>
      <c r="CE1778" s="67"/>
      <c r="CF1778" s="67"/>
      <c r="CG1778" s="67"/>
      <c r="CH1778" s="94">
        <v>1.3999000000000001</v>
      </c>
      <c r="CI1778" s="94">
        <v>1.3129</v>
      </c>
      <c r="CJ1778" s="67"/>
      <c r="CK1778" s="67"/>
      <c r="CL1778" s="67"/>
      <c r="CM1778" s="67">
        <v>1.2</v>
      </c>
      <c r="CN1778" s="67">
        <v>1.7</v>
      </c>
      <c r="CO1778" s="67"/>
      <c r="CP1778" s="67"/>
      <c r="CQ1778" s="67"/>
      <c r="CR1778" s="67"/>
      <c r="CS1778" s="67"/>
      <c r="CT1778" s="67"/>
      <c r="CU1778" s="67"/>
      <c r="CV1778" s="65" t="s">
        <v>3039</v>
      </c>
      <c r="CW1778" s="67"/>
      <c r="CX1778" s="67"/>
      <c r="CY1778" s="67"/>
      <c r="CZ1778" s="67"/>
      <c r="DA1778" s="65" t="s">
        <v>4458</v>
      </c>
      <c r="DB1778" s="67">
        <v>69.64</v>
      </c>
      <c r="DC1778" s="67">
        <v>60.32</v>
      </c>
      <c r="DD1778" s="67"/>
      <c r="DE1778" s="67"/>
      <c r="DF1778" s="67" t="s">
        <v>1716</v>
      </c>
      <c r="DG1778" s="67"/>
      <c r="DH1778" s="67"/>
      <c r="DI1778" s="67"/>
      <c r="DJ1778" s="67"/>
      <c r="DK1778" s="67"/>
      <c r="DL1778" s="67"/>
      <c r="DM1778" s="67"/>
      <c r="DN1778" s="67"/>
      <c r="DO1778" s="67"/>
      <c r="DP1778" s="67"/>
      <c r="DQ1778" s="166"/>
      <c r="DR1778" s="166"/>
      <c r="DS1778" s="163"/>
      <c r="DT1778" s="163"/>
      <c r="DU1778" s="67"/>
      <c r="DV1778" s="67"/>
      <c r="DW1778" s="67"/>
      <c r="DX1778" s="67"/>
      <c r="DY1778" s="67"/>
      <c r="DZ1778" s="67"/>
      <c r="EA1778" s="67"/>
      <c r="EB1778" s="67"/>
      <c r="EC1778" s="67"/>
      <c r="ED1778" s="67"/>
      <c r="EE1778" s="67"/>
      <c r="EF1778" s="67"/>
      <c r="EG1778" s="67"/>
      <c r="EH1778" s="67"/>
      <c r="EI1778" s="67"/>
      <c r="EJ1778" s="67"/>
      <c r="EK1778" s="94"/>
      <c r="EL1778" s="94"/>
      <c r="EM1778" s="67"/>
      <c r="EN1778" s="67"/>
      <c r="EO1778" s="67"/>
      <c r="EP1778" s="67"/>
      <c r="EQ1778" s="67"/>
      <c r="ER1778" s="67"/>
      <c r="ES1778" s="67"/>
      <c r="ET1778" s="67"/>
      <c r="EU1778" s="67"/>
      <c r="EV1778" s="67"/>
      <c r="EW1778" s="67"/>
      <c r="EX1778" s="67"/>
      <c r="EY1778" s="67"/>
      <c r="EZ1778" s="67"/>
      <c r="FA1778" s="67"/>
      <c r="FB1778" s="67"/>
      <c r="FC1778" s="67"/>
      <c r="FD1778" s="67"/>
      <c r="FE1778" s="67"/>
      <c r="FF1778" s="67"/>
      <c r="FG1778" s="67"/>
      <c r="FH1778" s="67"/>
      <c r="FI1778" s="67"/>
      <c r="FJ1778" s="67"/>
      <c r="FK1778" s="67"/>
      <c r="FL1778" s="67"/>
      <c r="FM1778" s="67"/>
      <c r="FN1778" s="67"/>
      <c r="FO1778" s="67"/>
      <c r="FP1778" s="67"/>
      <c r="FQ1778" s="67"/>
      <c r="FR1778" s="67"/>
      <c r="FS1778" s="67"/>
      <c r="FT1778" s="67"/>
      <c r="FU1778" s="67"/>
      <c r="FV1778" s="67"/>
      <c r="FW1778" s="67"/>
      <c r="FX1778" s="67"/>
      <c r="FY1778" s="67"/>
      <c r="FZ1778" s="67"/>
      <c r="GA1778" s="67"/>
      <c r="GB1778" s="67"/>
      <c r="GC1778" s="67"/>
      <c r="GD1778" s="67"/>
      <c r="GE1778" s="67"/>
      <c r="GF1778" s="67"/>
      <c r="GG1778" s="67"/>
      <c r="GH1778" s="67"/>
      <c r="GI1778" s="67"/>
      <c r="GJ1778" s="67"/>
      <c r="GK1778" s="67"/>
      <c r="GL1778" s="67"/>
      <c r="GM1778" s="67"/>
      <c r="GN1778" s="292"/>
      <c r="GO1778" s="292"/>
      <c r="GP1778" s="292" t="s">
        <v>7494</v>
      </c>
      <c r="GQ1778" s="67"/>
      <c r="GR1778" s="67"/>
      <c r="GS1778" s="67"/>
      <c r="GT1778" s="67"/>
      <c r="GU1778" s="67"/>
      <c r="GV1778" s="67"/>
      <c r="GW1778" s="67"/>
      <c r="GX1778" s="67"/>
      <c r="GY1778" s="67"/>
      <c r="GZ1778" s="67"/>
      <c r="HA1778" s="67"/>
      <c r="HB1778" s="67"/>
      <c r="HC1778" s="67"/>
      <c r="HD1778" s="67"/>
      <c r="HE1778" s="67"/>
      <c r="HF1778" s="67"/>
      <c r="HG1778" s="67"/>
      <c r="HH1778" s="67"/>
      <c r="HI1778" s="67"/>
      <c r="HJ1778" s="67"/>
      <c r="HK1778" s="67"/>
      <c r="HL1778" s="67"/>
      <c r="HM1778" s="67"/>
      <c r="HN1778" s="67"/>
      <c r="HO1778" s="67"/>
      <c r="HP1778" s="67"/>
      <c r="HQ1778" s="67"/>
      <c r="HR1778" s="67"/>
      <c r="HS1778" s="67"/>
      <c r="HT1778" s="67"/>
      <c r="HU1778" s="67"/>
      <c r="HV1778" s="67"/>
      <c r="HW1778" s="67"/>
      <c r="HX1778" s="67"/>
      <c r="HY1778" s="67"/>
      <c r="HZ1778" s="67"/>
      <c r="IA1778" s="67"/>
      <c r="IB1778" s="67"/>
      <c r="IC1778" s="67"/>
      <c r="ID1778" s="67"/>
      <c r="IE1778" s="67"/>
      <c r="IF1778" s="67"/>
      <c r="IG1778" s="67"/>
      <c r="IH1778" s="67"/>
      <c r="II1778" s="67"/>
      <c r="IJ1778" s="67"/>
      <c r="IK1778" s="67"/>
      <c r="IL1778" s="67"/>
      <c r="IM1778" s="67"/>
      <c r="IN1778" s="67"/>
      <c r="IO1778" s="67"/>
      <c r="IP1778" s="67"/>
      <c r="IQ1778" s="67"/>
      <c r="IR1778" s="67"/>
      <c r="IS1778" s="67"/>
      <c r="IT1778" s="67"/>
      <c r="IU1778" s="67"/>
      <c r="IV1778" s="67"/>
      <c r="IW1778" s="67"/>
      <c r="IX1778" s="67"/>
      <c r="IY1778" s="67"/>
      <c r="IZ1778" s="67"/>
      <c r="JA1778" s="67"/>
      <c r="JB1778" s="67"/>
      <c r="JC1778" s="67"/>
      <c r="JD1778" s="67"/>
      <c r="JE1778" s="67"/>
      <c r="JF1778" s="67"/>
      <c r="JG1778" s="67"/>
      <c r="JH1778" s="67"/>
      <c r="JI1778" s="67"/>
      <c r="JJ1778" s="67"/>
      <c r="JK1778" s="67"/>
      <c r="JL1778" s="67"/>
      <c r="JM1778" s="67"/>
      <c r="JN1778" s="67"/>
      <c r="JO1778" s="67"/>
      <c r="JP1778" s="67"/>
      <c r="JQ1778" s="67"/>
      <c r="JR1778" s="67"/>
      <c r="JS1778" s="67"/>
      <c r="JT1778" s="67"/>
      <c r="JU1778" s="58"/>
      <c r="JV1778" s="58"/>
      <c r="JW1778" s="58"/>
    </row>
    <row r="1779" spans="1:283" s="23" customFormat="1" x14ac:dyDescent="0.25">
      <c r="A1779" s="55">
        <v>1778</v>
      </c>
      <c r="B1779" s="12" t="s">
        <v>7067</v>
      </c>
      <c r="C1779" s="156">
        <v>83</v>
      </c>
      <c r="D1779" s="58" t="s">
        <v>4028</v>
      </c>
      <c r="E1779" s="94" t="s">
        <v>1710</v>
      </c>
      <c r="F1779" s="94"/>
      <c r="G1779" s="58" t="s">
        <v>1715</v>
      </c>
      <c r="H1779" s="58">
        <v>2001</v>
      </c>
      <c r="I1779" s="58">
        <v>1997</v>
      </c>
      <c r="J1779" s="58" t="s">
        <v>1709</v>
      </c>
      <c r="K1779" s="58" t="s">
        <v>1711</v>
      </c>
      <c r="L1779" s="58" t="s">
        <v>2737</v>
      </c>
      <c r="M1779" s="94">
        <f>34+41/60</f>
        <v>34.68333333333333</v>
      </c>
      <c r="N1779" s="94">
        <f>-86-52/60</f>
        <v>-86.86666666666666</v>
      </c>
      <c r="O1779" s="94">
        <v>185</v>
      </c>
      <c r="P1779" s="58">
        <v>15.7</v>
      </c>
      <c r="Q1779" s="58"/>
      <c r="R1779" s="58">
        <v>1352</v>
      </c>
      <c r="S1779" s="94"/>
      <c r="T1779" s="58"/>
      <c r="U1779" s="58">
        <v>2</v>
      </c>
      <c r="V1779" s="58">
        <v>3</v>
      </c>
      <c r="W1779" s="174"/>
      <c r="X1779" s="174"/>
      <c r="Y1779" s="58" t="s">
        <v>1971</v>
      </c>
      <c r="Z1779" s="58" t="s">
        <v>1356</v>
      </c>
      <c r="AA1779" s="94">
        <v>30</v>
      </c>
      <c r="AB1779" s="67"/>
      <c r="AC1779" s="67"/>
      <c r="AD1779" s="94">
        <f>AVERAGE(CH1779:CI1779)</f>
        <v>1.4782000000000002</v>
      </c>
      <c r="AE1779" s="92">
        <v>35</v>
      </c>
      <c r="AF1779" s="92">
        <v>55</v>
      </c>
      <c r="AG1779" s="92"/>
      <c r="AH1779" s="58" t="s">
        <v>6378</v>
      </c>
      <c r="AI1779" s="169"/>
      <c r="AJ1779" s="94"/>
      <c r="AK1779" s="94"/>
      <c r="AL1779" s="58"/>
      <c r="AM1779" s="58" t="s">
        <v>1712</v>
      </c>
      <c r="AN1779" s="186" t="s">
        <v>1713</v>
      </c>
      <c r="AO1779" s="185" t="s">
        <v>5150</v>
      </c>
      <c r="AP1779" s="58"/>
      <c r="AQ1779" s="58" t="s">
        <v>131</v>
      </c>
      <c r="AR1779" s="58" t="s">
        <v>3473</v>
      </c>
      <c r="AS1779" s="55" t="s">
        <v>5133</v>
      </c>
      <c r="AT1779" s="182" t="s">
        <v>1065</v>
      </c>
      <c r="AU1779" s="181" t="s">
        <v>5150</v>
      </c>
      <c r="AV1779" s="185" t="s">
        <v>176</v>
      </c>
      <c r="AW1779" s="58" t="s">
        <v>1065</v>
      </c>
      <c r="AX1779" s="185" t="s">
        <v>176</v>
      </c>
      <c r="AY1779" s="58" t="s">
        <v>176</v>
      </c>
      <c r="AZ1779" s="58" t="s">
        <v>1016</v>
      </c>
      <c r="BA1779" s="58" t="s">
        <v>1016</v>
      </c>
      <c r="BB1779" s="58" t="s">
        <v>2082</v>
      </c>
      <c r="BC1779" s="58" t="s">
        <v>2082</v>
      </c>
      <c r="BD1779" s="58" t="s">
        <v>176</v>
      </c>
      <c r="BE1779" s="238" t="s">
        <v>1714</v>
      </c>
      <c r="BF1779" s="191" t="s">
        <v>176</v>
      </c>
      <c r="BG1779" s="62" t="s">
        <v>479</v>
      </c>
      <c r="BH1779" s="238" t="s">
        <v>1714</v>
      </c>
      <c r="BI1779" s="62" t="s">
        <v>479</v>
      </c>
      <c r="BJ1779" s="58" t="s">
        <v>176</v>
      </c>
      <c r="BK1779" s="58" t="s">
        <v>6269</v>
      </c>
      <c r="BL1779" s="58"/>
      <c r="BM1779" s="237" t="s">
        <v>119</v>
      </c>
      <c r="BN1779" s="58">
        <v>4</v>
      </c>
      <c r="BO1779" s="58">
        <v>4</v>
      </c>
      <c r="BP1779" s="58"/>
      <c r="BQ1779" s="58" t="s">
        <v>141</v>
      </c>
      <c r="BR1779" s="58"/>
      <c r="BS1779" s="58"/>
      <c r="BT1779" s="58"/>
      <c r="BU1779" s="58"/>
      <c r="BV1779" s="58"/>
      <c r="BW1779" s="67"/>
      <c r="BX1779" s="67"/>
      <c r="BY1779" s="67"/>
      <c r="BZ1779" s="67"/>
      <c r="CA1779" s="67"/>
      <c r="CB1779" s="68"/>
      <c r="CC1779" s="68"/>
      <c r="CD1779" s="68"/>
      <c r="CE1779" s="67"/>
      <c r="CF1779" s="67"/>
      <c r="CG1779" s="67"/>
      <c r="CH1779" s="94">
        <v>1.3477000000000001</v>
      </c>
      <c r="CI1779" s="94">
        <v>1.6087</v>
      </c>
      <c r="CJ1779" s="67"/>
      <c r="CK1779" s="67"/>
      <c r="CL1779" s="67"/>
      <c r="CM1779" s="67">
        <v>1.5</v>
      </c>
      <c r="CN1779" s="67">
        <v>1.8286376790086811</v>
      </c>
      <c r="CO1779" s="67"/>
      <c r="CP1779" s="67"/>
      <c r="CQ1779" s="67"/>
      <c r="CR1779" s="67"/>
      <c r="CS1779" s="67"/>
      <c r="CT1779" s="67"/>
      <c r="CU1779" s="67"/>
      <c r="CV1779" s="65" t="s">
        <v>3039</v>
      </c>
      <c r="CW1779" s="67"/>
      <c r="CX1779" s="67"/>
      <c r="CY1779" s="67"/>
      <c r="CZ1779" s="67"/>
      <c r="DA1779" s="65" t="s">
        <v>4458</v>
      </c>
      <c r="DB1779" s="67">
        <v>70.25</v>
      </c>
      <c r="DC1779" s="67">
        <v>58.9</v>
      </c>
      <c r="DD1779" s="67"/>
      <c r="DE1779" s="67"/>
      <c r="DF1779" s="67" t="s">
        <v>1716</v>
      </c>
      <c r="DG1779" s="67"/>
      <c r="DH1779" s="67"/>
      <c r="DI1779" s="67"/>
      <c r="DJ1779" s="67"/>
      <c r="DK1779" s="67"/>
      <c r="DL1779" s="67"/>
      <c r="DM1779" s="67"/>
      <c r="DN1779" s="67"/>
      <c r="DO1779" s="67"/>
      <c r="DP1779" s="67"/>
      <c r="DQ1779" s="166"/>
      <c r="DR1779" s="166"/>
      <c r="DS1779" s="163"/>
      <c r="DT1779" s="163"/>
      <c r="DU1779" s="67"/>
      <c r="DV1779" s="67"/>
      <c r="DW1779" s="67"/>
      <c r="DX1779" s="67"/>
      <c r="DY1779" s="67"/>
      <c r="DZ1779" s="67"/>
      <c r="EA1779" s="67"/>
      <c r="EB1779" s="67"/>
      <c r="EC1779" s="67"/>
      <c r="ED1779" s="67"/>
      <c r="EE1779" s="67"/>
      <c r="EF1779" s="67"/>
      <c r="EG1779" s="67"/>
      <c r="EH1779" s="67"/>
      <c r="EI1779" s="67"/>
      <c r="EJ1779" s="67"/>
      <c r="EK1779" s="94"/>
      <c r="EL1779" s="94"/>
      <c r="EM1779" s="67"/>
      <c r="EN1779" s="67"/>
      <c r="EO1779" s="67"/>
      <c r="EP1779" s="67"/>
      <c r="EQ1779" s="67"/>
      <c r="ER1779" s="67"/>
      <c r="ES1779" s="67"/>
      <c r="ET1779" s="67"/>
      <c r="EU1779" s="67"/>
      <c r="EV1779" s="67"/>
      <c r="EW1779" s="67"/>
      <c r="EX1779" s="67"/>
      <c r="EY1779" s="67"/>
      <c r="EZ1779" s="67"/>
      <c r="FA1779" s="67"/>
      <c r="FB1779" s="67"/>
      <c r="FC1779" s="67"/>
      <c r="FD1779" s="67"/>
      <c r="FE1779" s="67"/>
      <c r="FF1779" s="67"/>
      <c r="FG1779" s="67"/>
      <c r="FH1779" s="67"/>
      <c r="FI1779" s="67"/>
      <c r="FJ1779" s="67"/>
      <c r="FK1779" s="67"/>
      <c r="FL1779" s="67"/>
      <c r="FM1779" s="67"/>
      <c r="FN1779" s="67"/>
      <c r="FO1779" s="67"/>
      <c r="FP1779" s="67"/>
      <c r="FQ1779" s="67"/>
      <c r="FR1779" s="67"/>
      <c r="FS1779" s="67"/>
      <c r="FT1779" s="67"/>
      <c r="FU1779" s="67"/>
      <c r="FV1779" s="67"/>
      <c r="FW1779" s="67"/>
      <c r="FX1779" s="67"/>
      <c r="FY1779" s="67"/>
      <c r="FZ1779" s="67"/>
      <c r="GA1779" s="67"/>
      <c r="GB1779" s="67"/>
      <c r="GC1779" s="67"/>
      <c r="GD1779" s="67"/>
      <c r="GE1779" s="67"/>
      <c r="GF1779" s="67"/>
      <c r="GG1779" s="67"/>
      <c r="GH1779" s="67"/>
      <c r="GI1779" s="67"/>
      <c r="GJ1779" s="67"/>
      <c r="GK1779" s="67"/>
      <c r="GL1779" s="67"/>
      <c r="GM1779" s="67"/>
      <c r="GN1779" s="292"/>
      <c r="GO1779" s="292"/>
      <c r="GP1779" s="292" t="s">
        <v>7494</v>
      </c>
      <c r="GQ1779" s="67"/>
      <c r="GR1779" s="67"/>
      <c r="GS1779" s="67"/>
      <c r="GT1779" s="67"/>
      <c r="GU1779" s="67"/>
      <c r="GV1779" s="67"/>
      <c r="GW1779" s="67"/>
      <c r="GX1779" s="67"/>
      <c r="GY1779" s="67"/>
      <c r="GZ1779" s="67"/>
      <c r="HA1779" s="67"/>
      <c r="HB1779" s="67"/>
      <c r="HC1779" s="67"/>
      <c r="HD1779" s="67"/>
      <c r="HE1779" s="67"/>
      <c r="HF1779" s="67"/>
      <c r="HG1779" s="67"/>
      <c r="HH1779" s="67"/>
      <c r="HI1779" s="67"/>
      <c r="HJ1779" s="67"/>
      <c r="HK1779" s="67"/>
      <c r="HL1779" s="67"/>
      <c r="HM1779" s="67"/>
      <c r="HN1779" s="67"/>
      <c r="HO1779" s="67"/>
      <c r="HP1779" s="67"/>
      <c r="HQ1779" s="67"/>
      <c r="HR1779" s="67"/>
      <c r="HS1779" s="67"/>
      <c r="HT1779" s="67"/>
      <c r="HU1779" s="67"/>
      <c r="HV1779" s="67"/>
      <c r="HW1779" s="67"/>
      <c r="HX1779" s="67"/>
      <c r="HY1779" s="67"/>
      <c r="HZ1779" s="67"/>
      <c r="IA1779" s="67"/>
      <c r="IB1779" s="67"/>
      <c r="IC1779" s="67"/>
      <c r="ID1779" s="67"/>
      <c r="IE1779" s="67"/>
      <c r="IF1779" s="67"/>
      <c r="IG1779" s="67"/>
      <c r="IH1779" s="67"/>
      <c r="II1779" s="67"/>
      <c r="IJ1779" s="67"/>
      <c r="IK1779" s="67"/>
      <c r="IL1779" s="67"/>
      <c r="IM1779" s="67"/>
      <c r="IN1779" s="67"/>
      <c r="IO1779" s="67"/>
      <c r="IP1779" s="67"/>
      <c r="IQ1779" s="67"/>
      <c r="IR1779" s="67"/>
      <c r="IS1779" s="67"/>
      <c r="IT1779" s="67"/>
      <c r="IU1779" s="67"/>
      <c r="IV1779" s="67"/>
      <c r="IW1779" s="67"/>
      <c r="IX1779" s="67"/>
      <c r="IY1779" s="67"/>
      <c r="IZ1779" s="67"/>
      <c r="JA1779" s="67"/>
      <c r="JB1779" s="67"/>
      <c r="JC1779" s="67"/>
      <c r="JD1779" s="67"/>
      <c r="JE1779" s="67"/>
      <c r="JF1779" s="67"/>
      <c r="JG1779" s="67"/>
      <c r="JH1779" s="67"/>
      <c r="JI1779" s="67"/>
      <c r="JJ1779" s="67"/>
      <c r="JK1779" s="67"/>
      <c r="JL1779" s="67"/>
      <c r="JM1779" s="67"/>
      <c r="JN1779" s="67"/>
      <c r="JO1779" s="67"/>
      <c r="JP1779" s="67"/>
      <c r="JQ1779" s="67"/>
      <c r="JR1779" s="67"/>
      <c r="JS1779" s="67"/>
      <c r="JT1779" s="67"/>
      <c r="JU1779" s="58"/>
      <c r="JV1779" s="58"/>
      <c r="JW1779" s="58"/>
    </row>
    <row r="1780" spans="1:283" s="23" customFormat="1" x14ac:dyDescent="0.25">
      <c r="A1780" s="55">
        <v>1779</v>
      </c>
      <c r="B1780" s="12" t="s">
        <v>7067</v>
      </c>
      <c r="C1780" s="156">
        <v>83</v>
      </c>
      <c r="D1780" s="58" t="s">
        <v>4029</v>
      </c>
      <c r="E1780" s="94" t="s">
        <v>1710</v>
      </c>
      <c r="F1780" s="94"/>
      <c r="G1780" s="58" t="s">
        <v>1715</v>
      </c>
      <c r="H1780" s="58">
        <v>2001</v>
      </c>
      <c r="I1780" s="58">
        <v>1997</v>
      </c>
      <c r="J1780" s="58" t="s">
        <v>1709</v>
      </c>
      <c r="K1780" s="58" t="s">
        <v>1711</v>
      </c>
      <c r="L1780" s="58" t="s">
        <v>2737</v>
      </c>
      <c r="M1780" s="94">
        <f>34+41/60</f>
        <v>34.68333333333333</v>
      </c>
      <c r="N1780" s="94">
        <f>-86-52/60</f>
        <v>-86.86666666666666</v>
      </c>
      <c r="O1780" s="94">
        <v>185</v>
      </c>
      <c r="P1780" s="58">
        <v>15.7</v>
      </c>
      <c r="Q1780" s="58"/>
      <c r="R1780" s="58">
        <v>1352</v>
      </c>
      <c r="S1780" s="94"/>
      <c r="T1780" s="58"/>
      <c r="U1780" s="58">
        <v>2</v>
      </c>
      <c r="V1780" s="58">
        <v>3</v>
      </c>
      <c r="W1780" s="174"/>
      <c r="X1780" s="174"/>
      <c r="Y1780" s="58" t="s">
        <v>1971</v>
      </c>
      <c r="Z1780" s="58" t="s">
        <v>1369</v>
      </c>
      <c r="AA1780" s="94">
        <v>30</v>
      </c>
      <c r="AB1780" s="67"/>
      <c r="AC1780" s="67"/>
      <c r="AD1780" s="94">
        <f>AVERAGE(CH1780:CI1780)</f>
        <v>1.5530604651162792</v>
      </c>
      <c r="AE1780" s="92">
        <v>35</v>
      </c>
      <c r="AF1780" s="92">
        <v>55</v>
      </c>
      <c r="AG1780" s="92"/>
      <c r="AH1780" s="58" t="s">
        <v>6378</v>
      </c>
      <c r="AI1780" s="169"/>
      <c r="AJ1780" s="94"/>
      <c r="AK1780" s="94"/>
      <c r="AL1780" s="58"/>
      <c r="AM1780" s="58" t="s">
        <v>1712</v>
      </c>
      <c r="AN1780" s="186" t="s">
        <v>1713</v>
      </c>
      <c r="AO1780" s="185" t="s">
        <v>5150</v>
      </c>
      <c r="AP1780" s="58"/>
      <c r="AQ1780" s="58" t="s">
        <v>131</v>
      </c>
      <c r="AR1780" s="58" t="s">
        <v>3473</v>
      </c>
      <c r="AS1780" s="55" t="s">
        <v>5133</v>
      </c>
      <c r="AT1780" s="182" t="s">
        <v>1065</v>
      </c>
      <c r="AU1780" s="181" t="s">
        <v>5150</v>
      </c>
      <c r="AV1780" s="185" t="s">
        <v>176</v>
      </c>
      <c r="AW1780" s="58" t="s">
        <v>1065</v>
      </c>
      <c r="AX1780" s="185" t="s">
        <v>176</v>
      </c>
      <c r="AY1780" s="58" t="s">
        <v>176</v>
      </c>
      <c r="AZ1780" s="58" t="s">
        <v>1016</v>
      </c>
      <c r="BA1780" s="58" t="s">
        <v>1016</v>
      </c>
      <c r="BB1780" s="58" t="s">
        <v>2082</v>
      </c>
      <c r="BC1780" s="58" t="s">
        <v>2082</v>
      </c>
      <c r="BD1780" s="58" t="s">
        <v>176</v>
      </c>
      <c r="BE1780" s="238" t="s">
        <v>1714</v>
      </c>
      <c r="BF1780" s="191" t="s">
        <v>176</v>
      </c>
      <c r="BG1780" s="62" t="s">
        <v>479</v>
      </c>
      <c r="BH1780" s="238" t="s">
        <v>1714</v>
      </c>
      <c r="BI1780" s="62" t="s">
        <v>479</v>
      </c>
      <c r="BJ1780" s="58" t="s">
        <v>176</v>
      </c>
      <c r="BK1780" s="58" t="s">
        <v>6269</v>
      </c>
      <c r="BL1780" s="58"/>
      <c r="BM1780" s="237" t="s">
        <v>119</v>
      </c>
      <c r="BN1780" s="58">
        <v>4</v>
      </c>
      <c r="BO1780" s="58">
        <v>4</v>
      </c>
      <c r="BP1780" s="58"/>
      <c r="BQ1780" s="58" t="s">
        <v>141</v>
      </c>
      <c r="BR1780" s="58"/>
      <c r="BS1780" s="58"/>
      <c r="BT1780" s="58"/>
      <c r="BU1780" s="58"/>
      <c r="BV1780" s="58"/>
      <c r="BW1780" s="67"/>
      <c r="BX1780" s="67"/>
      <c r="BY1780" s="67"/>
      <c r="BZ1780" s="67"/>
      <c r="CA1780" s="67"/>
      <c r="CB1780" s="68"/>
      <c r="CC1780" s="68"/>
      <c r="CD1780" s="68"/>
      <c r="CE1780" s="67"/>
      <c r="CF1780" s="67"/>
      <c r="CG1780" s="67"/>
      <c r="CH1780" s="94">
        <v>1.5480023255813955</v>
      </c>
      <c r="CI1780" s="94">
        <v>1.558118604651163</v>
      </c>
      <c r="CJ1780" s="67"/>
      <c r="CK1780" s="67"/>
      <c r="CL1780" s="67"/>
      <c r="CM1780" s="67">
        <v>0.34883720930232498</v>
      </c>
      <c r="CN1780" s="67">
        <v>0.290697674418604</v>
      </c>
      <c r="CO1780" s="67"/>
      <c r="CP1780" s="67"/>
      <c r="CQ1780" s="67"/>
      <c r="CR1780" s="67"/>
      <c r="CS1780" s="67"/>
      <c r="CT1780" s="67"/>
      <c r="CU1780" s="67"/>
      <c r="CV1780" s="65" t="s">
        <v>3039</v>
      </c>
      <c r="CW1780" s="67"/>
      <c r="CX1780" s="67"/>
      <c r="CY1780" s="67"/>
      <c r="CZ1780" s="67"/>
      <c r="DA1780" s="65" t="s">
        <v>4458</v>
      </c>
      <c r="DB1780" s="67">
        <v>42.5</v>
      </c>
      <c r="DC1780" s="67">
        <v>42.5</v>
      </c>
      <c r="DD1780" s="67"/>
      <c r="DE1780" s="67"/>
      <c r="DF1780" s="67" t="s">
        <v>1716</v>
      </c>
      <c r="DG1780" s="67"/>
      <c r="DH1780" s="67"/>
      <c r="DI1780" s="67"/>
      <c r="DJ1780" s="67"/>
      <c r="DK1780" s="67"/>
      <c r="DL1780" s="67"/>
      <c r="DM1780" s="67"/>
      <c r="DN1780" s="67"/>
      <c r="DO1780" s="67"/>
      <c r="DP1780" s="67"/>
      <c r="DQ1780" s="166"/>
      <c r="DR1780" s="166"/>
      <c r="DS1780" s="163"/>
      <c r="DT1780" s="163"/>
      <c r="DU1780" s="67"/>
      <c r="DV1780" s="67"/>
      <c r="DW1780" s="67"/>
      <c r="DX1780" s="67"/>
      <c r="DY1780" s="67"/>
      <c r="DZ1780" s="67"/>
      <c r="EA1780" s="67"/>
      <c r="EB1780" s="67"/>
      <c r="EC1780" s="67"/>
      <c r="ED1780" s="67"/>
      <c r="EE1780" s="67"/>
      <c r="EF1780" s="67"/>
      <c r="EG1780" s="67"/>
      <c r="EH1780" s="67"/>
      <c r="EI1780" s="67"/>
      <c r="EJ1780" s="67"/>
      <c r="EK1780" s="94"/>
      <c r="EL1780" s="94"/>
      <c r="EM1780" s="67"/>
      <c r="EN1780" s="67"/>
      <c r="EO1780" s="67"/>
      <c r="EP1780" s="67"/>
      <c r="EQ1780" s="67"/>
      <c r="ER1780" s="67"/>
      <c r="ES1780" s="67"/>
      <c r="ET1780" s="67"/>
      <c r="EU1780" s="67"/>
      <c r="EV1780" s="67"/>
      <c r="EW1780" s="67"/>
      <c r="EX1780" s="67"/>
      <c r="EY1780" s="67"/>
      <c r="EZ1780" s="67"/>
      <c r="FA1780" s="67"/>
      <c r="FB1780" s="67"/>
      <c r="FC1780" s="67"/>
      <c r="FD1780" s="67"/>
      <c r="FE1780" s="67"/>
      <c r="FF1780" s="67"/>
      <c r="FG1780" s="67"/>
      <c r="FH1780" s="67"/>
      <c r="FI1780" s="67"/>
      <c r="FJ1780" s="67"/>
      <c r="FK1780" s="67"/>
      <c r="FL1780" s="67"/>
      <c r="FM1780" s="67"/>
      <c r="FN1780" s="67"/>
      <c r="FO1780" s="67"/>
      <c r="FP1780" s="67"/>
      <c r="FQ1780" s="67"/>
      <c r="FR1780" s="67"/>
      <c r="FS1780" s="67"/>
      <c r="FT1780" s="67"/>
      <c r="FU1780" s="67"/>
      <c r="FV1780" s="67"/>
      <c r="FW1780" s="67"/>
      <c r="FX1780" s="67"/>
      <c r="FY1780" s="67"/>
      <c r="FZ1780" s="67"/>
      <c r="GA1780" s="67"/>
      <c r="GB1780" s="67"/>
      <c r="GC1780" s="67"/>
      <c r="GD1780" s="67"/>
      <c r="GE1780" s="67"/>
      <c r="GF1780" s="67"/>
      <c r="GG1780" s="67"/>
      <c r="GH1780" s="67"/>
      <c r="GI1780" s="67"/>
      <c r="GJ1780" s="67"/>
      <c r="GK1780" s="67"/>
      <c r="GL1780" s="67"/>
      <c r="GM1780" s="67"/>
      <c r="GN1780" s="292"/>
      <c r="GO1780" s="292"/>
      <c r="GP1780" s="292" t="s">
        <v>7494</v>
      </c>
      <c r="GQ1780" s="67"/>
      <c r="GR1780" s="67"/>
      <c r="GS1780" s="67"/>
      <c r="GT1780" s="67"/>
      <c r="GU1780" s="67"/>
      <c r="GV1780" s="67"/>
      <c r="GW1780" s="67"/>
      <c r="GX1780" s="67"/>
      <c r="GY1780" s="67"/>
      <c r="GZ1780" s="67"/>
      <c r="HA1780" s="67"/>
      <c r="HB1780" s="67"/>
      <c r="HC1780" s="67"/>
      <c r="HD1780" s="67"/>
      <c r="HE1780" s="67"/>
      <c r="HF1780" s="67"/>
      <c r="HG1780" s="67"/>
      <c r="HH1780" s="67"/>
      <c r="HI1780" s="67"/>
      <c r="HJ1780" s="67"/>
      <c r="HK1780" s="67"/>
      <c r="HL1780" s="67"/>
      <c r="HM1780" s="67"/>
      <c r="HN1780" s="67"/>
      <c r="HO1780" s="67"/>
      <c r="HP1780" s="67"/>
      <c r="HQ1780" s="67"/>
      <c r="HR1780" s="67"/>
      <c r="HS1780" s="67"/>
      <c r="HT1780" s="67"/>
      <c r="HU1780" s="67"/>
      <c r="HV1780" s="67"/>
      <c r="HW1780" s="67"/>
      <c r="HX1780" s="67"/>
      <c r="HY1780" s="67"/>
      <c r="HZ1780" s="67"/>
      <c r="IA1780" s="67"/>
      <c r="IB1780" s="67"/>
      <c r="IC1780" s="67"/>
      <c r="ID1780" s="67"/>
      <c r="IE1780" s="67"/>
      <c r="IF1780" s="67"/>
      <c r="IG1780" s="67"/>
      <c r="IH1780" s="67"/>
      <c r="II1780" s="67"/>
      <c r="IJ1780" s="67"/>
      <c r="IK1780" s="67"/>
      <c r="IL1780" s="67"/>
      <c r="IM1780" s="67"/>
      <c r="IN1780" s="67"/>
      <c r="IO1780" s="67"/>
      <c r="IP1780" s="67"/>
      <c r="IQ1780" s="67"/>
      <c r="IR1780" s="67"/>
      <c r="IS1780" s="67"/>
      <c r="IT1780" s="67"/>
      <c r="IU1780" s="67"/>
      <c r="IV1780" s="67"/>
      <c r="IW1780" s="67"/>
      <c r="IX1780" s="67"/>
      <c r="IY1780" s="67"/>
      <c r="IZ1780" s="67"/>
      <c r="JA1780" s="67"/>
      <c r="JB1780" s="67"/>
      <c r="JC1780" s="67"/>
      <c r="JD1780" s="67"/>
      <c r="JE1780" s="67"/>
      <c r="JF1780" s="67"/>
      <c r="JG1780" s="67"/>
      <c r="JH1780" s="67"/>
      <c r="JI1780" s="67"/>
      <c r="JJ1780" s="67"/>
      <c r="JK1780" s="67"/>
      <c r="JL1780" s="67"/>
      <c r="JM1780" s="67"/>
      <c r="JN1780" s="67"/>
      <c r="JO1780" s="67"/>
      <c r="JP1780" s="67"/>
      <c r="JQ1780" s="67"/>
      <c r="JR1780" s="67"/>
      <c r="JS1780" s="67"/>
      <c r="JT1780" s="67"/>
      <c r="JU1780" s="58"/>
      <c r="JV1780" s="58"/>
      <c r="JW1780" s="58"/>
    </row>
    <row r="1781" spans="1:283" s="23" customFormat="1" x14ac:dyDescent="0.25">
      <c r="A1781" s="55">
        <v>1780</v>
      </c>
      <c r="B1781" s="12" t="s">
        <v>7067</v>
      </c>
      <c r="C1781" s="156">
        <v>83</v>
      </c>
      <c r="D1781" s="58" t="s">
        <v>4030</v>
      </c>
      <c r="E1781" s="94" t="s">
        <v>1710</v>
      </c>
      <c r="F1781" s="94"/>
      <c r="G1781" s="58" t="s">
        <v>1715</v>
      </c>
      <c r="H1781" s="58">
        <v>2001</v>
      </c>
      <c r="I1781" s="58">
        <v>1997</v>
      </c>
      <c r="J1781" s="58" t="s">
        <v>1709</v>
      </c>
      <c r="K1781" s="58" t="s">
        <v>1711</v>
      </c>
      <c r="L1781" s="58" t="s">
        <v>2737</v>
      </c>
      <c r="M1781" s="94">
        <f>34+41/60</f>
        <v>34.68333333333333</v>
      </c>
      <c r="N1781" s="94">
        <f>-86-52/60</f>
        <v>-86.86666666666666</v>
      </c>
      <c r="O1781" s="94">
        <v>185</v>
      </c>
      <c r="P1781" s="58">
        <v>15.7</v>
      </c>
      <c r="Q1781" s="58"/>
      <c r="R1781" s="58">
        <v>1352</v>
      </c>
      <c r="S1781" s="94"/>
      <c r="T1781" s="58"/>
      <c r="U1781" s="58">
        <v>2</v>
      </c>
      <c r="V1781" s="58">
        <v>3</v>
      </c>
      <c r="W1781" s="174"/>
      <c r="X1781" s="174"/>
      <c r="Y1781" s="58" t="s">
        <v>1971</v>
      </c>
      <c r="Z1781" s="58" t="s">
        <v>1370</v>
      </c>
      <c r="AA1781" s="94">
        <v>30</v>
      </c>
      <c r="AB1781" s="67"/>
      <c r="AC1781" s="67"/>
      <c r="AD1781" s="94">
        <f>AVERAGE(CH1781:CI1781)</f>
        <v>1.5884674418604652</v>
      </c>
      <c r="AE1781" s="92">
        <v>35</v>
      </c>
      <c r="AF1781" s="92">
        <v>55</v>
      </c>
      <c r="AG1781" s="92"/>
      <c r="AH1781" s="58" t="s">
        <v>6378</v>
      </c>
      <c r="AI1781" s="169"/>
      <c r="AJ1781" s="94"/>
      <c r="AK1781" s="94"/>
      <c r="AL1781" s="58"/>
      <c r="AM1781" s="58" t="s">
        <v>1712</v>
      </c>
      <c r="AN1781" s="186" t="s">
        <v>1713</v>
      </c>
      <c r="AO1781" s="185" t="s">
        <v>5150</v>
      </c>
      <c r="AP1781" s="58"/>
      <c r="AQ1781" s="58" t="s">
        <v>131</v>
      </c>
      <c r="AR1781" s="58" t="s">
        <v>3473</v>
      </c>
      <c r="AS1781" s="55" t="s">
        <v>5133</v>
      </c>
      <c r="AT1781" s="182" t="s">
        <v>1065</v>
      </c>
      <c r="AU1781" s="181" t="s">
        <v>5150</v>
      </c>
      <c r="AV1781" s="185" t="s">
        <v>176</v>
      </c>
      <c r="AW1781" s="58" t="s">
        <v>1065</v>
      </c>
      <c r="AX1781" s="185" t="s">
        <v>176</v>
      </c>
      <c r="AY1781" s="58" t="s">
        <v>176</v>
      </c>
      <c r="AZ1781" s="58" t="s">
        <v>1016</v>
      </c>
      <c r="BA1781" s="58" t="s">
        <v>1016</v>
      </c>
      <c r="BB1781" s="58" t="s">
        <v>2082</v>
      </c>
      <c r="BC1781" s="58" t="s">
        <v>2082</v>
      </c>
      <c r="BD1781" s="58" t="s">
        <v>176</v>
      </c>
      <c r="BE1781" s="238" t="s">
        <v>1714</v>
      </c>
      <c r="BF1781" s="191" t="s">
        <v>176</v>
      </c>
      <c r="BG1781" s="62" t="s">
        <v>479</v>
      </c>
      <c r="BH1781" s="238" t="s">
        <v>1714</v>
      </c>
      <c r="BI1781" s="62" t="s">
        <v>479</v>
      </c>
      <c r="BJ1781" s="58" t="s">
        <v>176</v>
      </c>
      <c r="BK1781" s="58" t="s">
        <v>6269</v>
      </c>
      <c r="BL1781" s="58"/>
      <c r="BM1781" s="237" t="s">
        <v>119</v>
      </c>
      <c r="BN1781" s="58">
        <v>4</v>
      </c>
      <c r="BO1781" s="58">
        <v>4</v>
      </c>
      <c r="BP1781" s="58"/>
      <c r="BQ1781" s="58" t="s">
        <v>141</v>
      </c>
      <c r="BR1781" s="58"/>
      <c r="BS1781" s="58"/>
      <c r="BT1781" s="58"/>
      <c r="BU1781" s="58"/>
      <c r="BV1781" s="58"/>
      <c r="BW1781" s="67"/>
      <c r="BX1781" s="67"/>
      <c r="BY1781" s="67"/>
      <c r="BZ1781" s="67"/>
      <c r="CA1781" s="67"/>
      <c r="CB1781" s="68"/>
      <c r="CC1781" s="68"/>
      <c r="CD1781" s="68"/>
      <c r="CE1781" s="67"/>
      <c r="CF1781" s="67"/>
      <c r="CG1781" s="67"/>
      <c r="CH1781" s="94">
        <v>1.5884674418604652</v>
      </c>
      <c r="CI1781" s="94">
        <v>1.5884674418604652</v>
      </c>
      <c r="CJ1781" s="67"/>
      <c r="CK1781" s="67"/>
      <c r="CL1781" s="67"/>
      <c r="CM1781" s="67">
        <v>0.116279069767441</v>
      </c>
      <c r="CN1781" s="67">
        <v>0.116279069767441</v>
      </c>
      <c r="CO1781" s="67"/>
      <c r="CP1781" s="67"/>
      <c r="CQ1781" s="67"/>
      <c r="CR1781" s="67"/>
      <c r="CS1781" s="67"/>
      <c r="CT1781" s="67"/>
      <c r="CU1781" s="67"/>
      <c r="CV1781" s="65" t="s">
        <v>3039</v>
      </c>
      <c r="CW1781" s="67"/>
      <c r="CX1781" s="67"/>
      <c r="CY1781" s="67"/>
      <c r="CZ1781" s="67"/>
      <c r="DA1781" s="65" t="s">
        <v>4458</v>
      </c>
      <c r="DB1781" s="67">
        <v>30.77</v>
      </c>
      <c r="DC1781" s="67">
        <v>30.77</v>
      </c>
      <c r="DD1781" s="67"/>
      <c r="DE1781" s="67"/>
      <c r="DF1781" s="67" t="s">
        <v>1716</v>
      </c>
      <c r="DG1781" s="67"/>
      <c r="DH1781" s="67"/>
      <c r="DI1781" s="67"/>
      <c r="DJ1781" s="67"/>
      <c r="DK1781" s="67"/>
      <c r="DL1781" s="67"/>
      <c r="DM1781" s="67"/>
      <c r="DN1781" s="67"/>
      <c r="DO1781" s="67"/>
      <c r="DP1781" s="67"/>
      <c r="DQ1781" s="166"/>
      <c r="DR1781" s="166"/>
      <c r="DS1781" s="163"/>
      <c r="DT1781" s="163"/>
      <c r="DU1781" s="67"/>
      <c r="DV1781" s="67"/>
      <c r="DW1781" s="67"/>
      <c r="DX1781" s="67"/>
      <c r="DY1781" s="67"/>
      <c r="DZ1781" s="67"/>
      <c r="EA1781" s="67"/>
      <c r="EB1781" s="67"/>
      <c r="EC1781" s="67"/>
      <c r="ED1781" s="67"/>
      <c r="EE1781" s="67"/>
      <c r="EF1781" s="67"/>
      <c r="EG1781" s="67"/>
      <c r="EH1781" s="67"/>
      <c r="EI1781" s="67"/>
      <c r="EJ1781" s="67"/>
      <c r="EK1781" s="94"/>
      <c r="EL1781" s="94"/>
      <c r="EM1781" s="67"/>
      <c r="EN1781" s="67"/>
      <c r="EO1781" s="67"/>
      <c r="EP1781" s="67"/>
      <c r="EQ1781" s="67"/>
      <c r="ER1781" s="67"/>
      <c r="ES1781" s="67"/>
      <c r="ET1781" s="67"/>
      <c r="EU1781" s="67"/>
      <c r="EV1781" s="67"/>
      <c r="EW1781" s="67"/>
      <c r="EX1781" s="67"/>
      <c r="EY1781" s="67"/>
      <c r="EZ1781" s="67"/>
      <c r="FA1781" s="67"/>
      <c r="FB1781" s="67"/>
      <c r="FC1781" s="67"/>
      <c r="FD1781" s="67"/>
      <c r="FE1781" s="67"/>
      <c r="FF1781" s="67"/>
      <c r="FG1781" s="67"/>
      <c r="FH1781" s="67"/>
      <c r="FI1781" s="67"/>
      <c r="FJ1781" s="67"/>
      <c r="FK1781" s="67"/>
      <c r="FL1781" s="67"/>
      <c r="FM1781" s="67"/>
      <c r="FN1781" s="67"/>
      <c r="FO1781" s="67"/>
      <c r="FP1781" s="67"/>
      <c r="FQ1781" s="67"/>
      <c r="FR1781" s="67"/>
      <c r="FS1781" s="67"/>
      <c r="FT1781" s="67"/>
      <c r="FU1781" s="67"/>
      <c r="FV1781" s="67"/>
      <c r="FW1781" s="67"/>
      <c r="FX1781" s="67"/>
      <c r="FY1781" s="67"/>
      <c r="FZ1781" s="67"/>
      <c r="GA1781" s="67"/>
      <c r="GB1781" s="67"/>
      <c r="GC1781" s="67"/>
      <c r="GD1781" s="67"/>
      <c r="GE1781" s="67"/>
      <c r="GF1781" s="67"/>
      <c r="GG1781" s="67"/>
      <c r="GH1781" s="67"/>
      <c r="GI1781" s="67"/>
      <c r="GJ1781" s="67"/>
      <c r="GK1781" s="67"/>
      <c r="GL1781" s="67"/>
      <c r="GM1781" s="67"/>
      <c r="GN1781" s="292"/>
      <c r="GO1781" s="292"/>
      <c r="GP1781" s="292" t="s">
        <v>7494</v>
      </c>
      <c r="GQ1781" s="67"/>
      <c r="GR1781" s="67"/>
      <c r="GS1781" s="67"/>
      <c r="GT1781" s="67"/>
      <c r="GU1781" s="67"/>
      <c r="GV1781" s="67"/>
      <c r="GW1781" s="67"/>
      <c r="GX1781" s="67"/>
      <c r="GY1781" s="67"/>
      <c r="GZ1781" s="67"/>
      <c r="HA1781" s="67"/>
      <c r="HB1781" s="67"/>
      <c r="HC1781" s="67"/>
      <c r="HD1781" s="67"/>
      <c r="HE1781" s="67"/>
      <c r="HF1781" s="67"/>
      <c r="HG1781" s="67"/>
      <c r="HH1781" s="67"/>
      <c r="HI1781" s="67"/>
      <c r="HJ1781" s="67"/>
      <c r="HK1781" s="67"/>
      <c r="HL1781" s="67"/>
      <c r="HM1781" s="67"/>
      <c r="HN1781" s="67"/>
      <c r="HO1781" s="67"/>
      <c r="HP1781" s="67"/>
      <c r="HQ1781" s="67"/>
      <c r="HR1781" s="67"/>
      <c r="HS1781" s="67"/>
      <c r="HT1781" s="67"/>
      <c r="HU1781" s="67"/>
      <c r="HV1781" s="67"/>
      <c r="HW1781" s="67"/>
      <c r="HX1781" s="67"/>
      <c r="HY1781" s="67"/>
      <c r="HZ1781" s="67"/>
      <c r="IA1781" s="67"/>
      <c r="IB1781" s="67"/>
      <c r="IC1781" s="67"/>
      <c r="ID1781" s="67"/>
      <c r="IE1781" s="67"/>
      <c r="IF1781" s="67"/>
      <c r="IG1781" s="67"/>
      <c r="IH1781" s="67"/>
      <c r="II1781" s="67"/>
      <c r="IJ1781" s="67"/>
      <c r="IK1781" s="67"/>
      <c r="IL1781" s="67"/>
      <c r="IM1781" s="67"/>
      <c r="IN1781" s="67"/>
      <c r="IO1781" s="67"/>
      <c r="IP1781" s="67"/>
      <c r="IQ1781" s="67"/>
      <c r="IR1781" s="67"/>
      <c r="IS1781" s="67"/>
      <c r="IT1781" s="67"/>
      <c r="IU1781" s="67"/>
      <c r="IV1781" s="67"/>
      <c r="IW1781" s="67"/>
      <c r="IX1781" s="67"/>
      <c r="IY1781" s="67"/>
      <c r="IZ1781" s="67"/>
      <c r="JA1781" s="67"/>
      <c r="JB1781" s="67"/>
      <c r="JC1781" s="67"/>
      <c r="JD1781" s="67"/>
      <c r="JE1781" s="67"/>
      <c r="JF1781" s="67"/>
      <c r="JG1781" s="67"/>
      <c r="JH1781" s="67"/>
      <c r="JI1781" s="67"/>
      <c r="JJ1781" s="67"/>
      <c r="JK1781" s="67"/>
      <c r="JL1781" s="67"/>
      <c r="JM1781" s="67"/>
      <c r="JN1781" s="67"/>
      <c r="JO1781" s="67"/>
      <c r="JP1781" s="67"/>
      <c r="JQ1781" s="67"/>
      <c r="JR1781" s="67"/>
      <c r="JS1781" s="67"/>
      <c r="JT1781" s="67"/>
      <c r="JU1781" s="58"/>
      <c r="JV1781" s="58"/>
      <c r="JW1781" s="58"/>
    </row>
    <row r="1782" spans="1:283" s="23" customFormat="1" x14ac:dyDescent="0.25">
      <c r="A1782" s="55">
        <v>1781</v>
      </c>
      <c r="B1782" s="12" t="s">
        <v>7067</v>
      </c>
      <c r="C1782" s="156">
        <v>83</v>
      </c>
      <c r="D1782" s="58" t="s">
        <v>4031</v>
      </c>
      <c r="E1782" s="94" t="s">
        <v>1710</v>
      </c>
      <c r="F1782" s="94"/>
      <c r="G1782" s="58" t="s">
        <v>1715</v>
      </c>
      <c r="H1782" s="58">
        <v>2001</v>
      </c>
      <c r="I1782" s="58">
        <v>1997</v>
      </c>
      <c r="J1782" s="58" t="s">
        <v>1709</v>
      </c>
      <c r="K1782" s="58" t="s">
        <v>1711</v>
      </c>
      <c r="L1782" s="58" t="s">
        <v>2737</v>
      </c>
      <c r="M1782" s="94">
        <f>34+41/60</f>
        <v>34.68333333333333</v>
      </c>
      <c r="N1782" s="94">
        <f>-86-52/60</f>
        <v>-86.86666666666666</v>
      </c>
      <c r="O1782" s="94">
        <v>185</v>
      </c>
      <c r="P1782" s="58">
        <v>15.7</v>
      </c>
      <c r="Q1782" s="58"/>
      <c r="R1782" s="58">
        <v>1352</v>
      </c>
      <c r="S1782" s="94"/>
      <c r="T1782" s="58"/>
      <c r="U1782" s="58">
        <v>2</v>
      </c>
      <c r="V1782" s="58">
        <v>3</v>
      </c>
      <c r="W1782" s="174"/>
      <c r="X1782" s="174"/>
      <c r="Y1782" s="58" t="s">
        <v>1971</v>
      </c>
      <c r="Z1782" s="58" t="s">
        <v>1377</v>
      </c>
      <c r="AA1782" s="94">
        <v>60</v>
      </c>
      <c r="AB1782" s="67"/>
      <c r="AC1782" s="67"/>
      <c r="AD1782" s="94">
        <f>AVERAGE(CH1782:CI1782)</f>
        <v>1.6087</v>
      </c>
      <c r="AE1782" s="92">
        <v>35</v>
      </c>
      <c r="AF1782" s="92">
        <v>55</v>
      </c>
      <c r="AG1782" s="92"/>
      <c r="AH1782" s="58" t="s">
        <v>6378</v>
      </c>
      <c r="AI1782" s="169"/>
      <c r="AJ1782" s="94"/>
      <c r="AK1782" s="94"/>
      <c r="AL1782" s="58"/>
      <c r="AM1782" s="58" t="s">
        <v>1712</v>
      </c>
      <c r="AN1782" s="186" t="s">
        <v>1713</v>
      </c>
      <c r="AO1782" s="185" t="s">
        <v>5150</v>
      </c>
      <c r="AP1782" s="58"/>
      <c r="AQ1782" s="58" t="s">
        <v>131</v>
      </c>
      <c r="AR1782" s="58" t="s">
        <v>3473</v>
      </c>
      <c r="AS1782" s="55" t="s">
        <v>5133</v>
      </c>
      <c r="AT1782" s="182" t="s">
        <v>1065</v>
      </c>
      <c r="AU1782" s="181" t="s">
        <v>5150</v>
      </c>
      <c r="AV1782" s="185" t="s">
        <v>176</v>
      </c>
      <c r="AW1782" s="58" t="s">
        <v>1065</v>
      </c>
      <c r="AX1782" s="185" t="s">
        <v>176</v>
      </c>
      <c r="AY1782" s="58" t="s">
        <v>176</v>
      </c>
      <c r="AZ1782" s="58" t="s">
        <v>1016</v>
      </c>
      <c r="BA1782" s="58" t="s">
        <v>1016</v>
      </c>
      <c r="BB1782" s="58" t="s">
        <v>2082</v>
      </c>
      <c r="BC1782" s="58" t="s">
        <v>2082</v>
      </c>
      <c r="BD1782" s="58" t="s">
        <v>176</v>
      </c>
      <c r="BE1782" s="238" t="s">
        <v>1714</v>
      </c>
      <c r="BF1782" s="191" t="s">
        <v>176</v>
      </c>
      <c r="BG1782" s="62" t="s">
        <v>479</v>
      </c>
      <c r="BH1782" s="238" t="s">
        <v>1714</v>
      </c>
      <c r="BI1782" s="62" t="s">
        <v>479</v>
      </c>
      <c r="BJ1782" s="58" t="s">
        <v>176</v>
      </c>
      <c r="BK1782" s="58" t="s">
        <v>6269</v>
      </c>
      <c r="BL1782" s="58"/>
      <c r="BM1782" s="237" t="s">
        <v>119</v>
      </c>
      <c r="BN1782" s="58">
        <v>4</v>
      </c>
      <c r="BO1782" s="58">
        <v>4</v>
      </c>
      <c r="BP1782" s="58"/>
      <c r="BQ1782" s="58" t="s">
        <v>141</v>
      </c>
      <c r="BR1782" s="58"/>
      <c r="BS1782" s="58"/>
      <c r="BT1782" s="58"/>
      <c r="BU1782" s="58"/>
      <c r="BV1782" s="58"/>
      <c r="BW1782" s="67"/>
      <c r="BX1782" s="67"/>
      <c r="BY1782" s="67"/>
      <c r="BZ1782" s="67"/>
      <c r="CA1782" s="67"/>
      <c r="CB1782" s="68"/>
      <c r="CC1782" s="68"/>
      <c r="CD1782" s="68"/>
      <c r="CE1782" s="67"/>
      <c r="CF1782" s="67"/>
      <c r="CG1782" s="67"/>
      <c r="CH1782" s="94">
        <v>1.6087</v>
      </c>
      <c r="CI1782" s="94">
        <v>1.6087</v>
      </c>
      <c r="CJ1782" s="67"/>
      <c r="CK1782" s="67"/>
      <c r="CL1782" s="67"/>
      <c r="CM1782" s="67">
        <v>1.8861898383372332E-2</v>
      </c>
      <c r="CN1782" s="67">
        <v>1.6515586377609637E-2</v>
      </c>
      <c r="CO1782" s="67"/>
      <c r="CP1782" s="67"/>
      <c r="CQ1782" s="67"/>
      <c r="CR1782" s="67"/>
      <c r="CS1782" s="67"/>
      <c r="CT1782" s="67"/>
      <c r="CU1782" s="67"/>
      <c r="CV1782" s="65" t="s">
        <v>3039</v>
      </c>
      <c r="CW1782" s="67"/>
      <c r="CX1782" s="67"/>
      <c r="CY1782" s="67"/>
      <c r="CZ1782" s="67"/>
      <c r="DA1782" s="65" t="s">
        <v>4458</v>
      </c>
      <c r="DB1782" s="67">
        <v>36.64</v>
      </c>
      <c r="DC1782" s="67">
        <v>36.64</v>
      </c>
      <c r="DD1782" s="67"/>
      <c r="DE1782" s="67"/>
      <c r="DF1782" s="67" t="s">
        <v>1716</v>
      </c>
      <c r="DG1782" s="67"/>
      <c r="DH1782" s="67"/>
      <c r="DI1782" s="67"/>
      <c r="DJ1782" s="67"/>
      <c r="DK1782" s="67"/>
      <c r="DL1782" s="67"/>
      <c r="DM1782" s="67"/>
      <c r="DN1782" s="67"/>
      <c r="DO1782" s="67"/>
      <c r="DP1782" s="67"/>
      <c r="DQ1782" s="166"/>
      <c r="DR1782" s="166"/>
      <c r="DS1782" s="163"/>
      <c r="DT1782" s="163"/>
      <c r="DU1782" s="67"/>
      <c r="DV1782" s="67"/>
      <c r="DW1782" s="67"/>
      <c r="DX1782" s="67"/>
      <c r="DY1782" s="67"/>
      <c r="DZ1782" s="67"/>
      <c r="EA1782" s="67"/>
      <c r="EB1782" s="67"/>
      <c r="EC1782" s="67"/>
      <c r="ED1782" s="67"/>
      <c r="EE1782" s="67"/>
      <c r="EF1782" s="67"/>
      <c r="EG1782" s="67"/>
      <c r="EH1782" s="67"/>
      <c r="EI1782" s="67"/>
      <c r="EJ1782" s="67"/>
      <c r="EK1782" s="94"/>
      <c r="EL1782" s="94"/>
      <c r="EM1782" s="67"/>
      <c r="EN1782" s="67"/>
      <c r="EO1782" s="67"/>
      <c r="EP1782" s="67"/>
      <c r="EQ1782" s="67"/>
      <c r="ER1782" s="67"/>
      <c r="ES1782" s="67"/>
      <c r="ET1782" s="67"/>
      <c r="EU1782" s="67"/>
      <c r="EV1782" s="67"/>
      <c r="EW1782" s="67"/>
      <c r="EX1782" s="67"/>
      <c r="EY1782" s="67"/>
      <c r="EZ1782" s="67"/>
      <c r="FA1782" s="67"/>
      <c r="FB1782" s="67"/>
      <c r="FC1782" s="67"/>
      <c r="FD1782" s="67"/>
      <c r="FE1782" s="67"/>
      <c r="FF1782" s="67"/>
      <c r="FG1782" s="67"/>
      <c r="FH1782" s="67"/>
      <c r="FI1782" s="67"/>
      <c r="FJ1782" s="67"/>
      <c r="FK1782" s="67"/>
      <c r="FL1782" s="67"/>
      <c r="FM1782" s="67"/>
      <c r="FN1782" s="67"/>
      <c r="FO1782" s="67"/>
      <c r="FP1782" s="67"/>
      <c r="FQ1782" s="67"/>
      <c r="FR1782" s="67"/>
      <c r="FS1782" s="67"/>
      <c r="FT1782" s="67"/>
      <c r="FU1782" s="67"/>
      <c r="FV1782" s="67"/>
      <c r="FW1782" s="67"/>
      <c r="FX1782" s="67"/>
      <c r="FY1782" s="67"/>
      <c r="FZ1782" s="67"/>
      <c r="GA1782" s="67"/>
      <c r="GB1782" s="67"/>
      <c r="GC1782" s="67"/>
      <c r="GD1782" s="67"/>
      <c r="GE1782" s="67"/>
      <c r="GF1782" s="67"/>
      <c r="GG1782" s="67"/>
      <c r="GH1782" s="67"/>
      <c r="GI1782" s="67"/>
      <c r="GJ1782" s="67"/>
      <c r="GK1782" s="67"/>
      <c r="GL1782" s="67"/>
      <c r="GM1782" s="67"/>
      <c r="GN1782" s="292"/>
      <c r="GO1782" s="292"/>
      <c r="GP1782" s="292" t="s">
        <v>7494</v>
      </c>
      <c r="GQ1782" s="67"/>
      <c r="GR1782" s="67"/>
      <c r="GS1782" s="67"/>
      <c r="GT1782" s="67"/>
      <c r="GU1782" s="67"/>
      <c r="GV1782" s="67"/>
      <c r="GW1782" s="67"/>
      <c r="GX1782" s="67"/>
      <c r="GY1782" s="67"/>
      <c r="GZ1782" s="67"/>
      <c r="HA1782" s="67"/>
      <c r="HB1782" s="67"/>
      <c r="HC1782" s="67"/>
      <c r="HD1782" s="67"/>
      <c r="HE1782" s="67"/>
      <c r="HF1782" s="67"/>
      <c r="HG1782" s="67"/>
      <c r="HH1782" s="67"/>
      <c r="HI1782" s="67"/>
      <c r="HJ1782" s="67"/>
      <c r="HK1782" s="67"/>
      <c r="HL1782" s="67"/>
      <c r="HM1782" s="67"/>
      <c r="HN1782" s="67"/>
      <c r="HO1782" s="67"/>
      <c r="HP1782" s="67"/>
      <c r="HQ1782" s="67"/>
      <c r="HR1782" s="67"/>
      <c r="HS1782" s="67"/>
      <c r="HT1782" s="67"/>
      <c r="HU1782" s="67"/>
      <c r="HV1782" s="67"/>
      <c r="HW1782" s="67"/>
      <c r="HX1782" s="67"/>
      <c r="HY1782" s="67"/>
      <c r="HZ1782" s="67"/>
      <c r="IA1782" s="67"/>
      <c r="IB1782" s="67"/>
      <c r="IC1782" s="67"/>
      <c r="ID1782" s="67"/>
      <c r="IE1782" s="67"/>
      <c r="IF1782" s="67"/>
      <c r="IG1782" s="67"/>
      <c r="IH1782" s="67"/>
      <c r="II1782" s="67"/>
      <c r="IJ1782" s="67"/>
      <c r="IK1782" s="67"/>
      <c r="IL1782" s="67"/>
      <c r="IM1782" s="67"/>
      <c r="IN1782" s="67"/>
      <c r="IO1782" s="67"/>
      <c r="IP1782" s="67"/>
      <c r="IQ1782" s="67"/>
      <c r="IR1782" s="67"/>
      <c r="IS1782" s="67"/>
      <c r="IT1782" s="67"/>
      <c r="IU1782" s="67"/>
      <c r="IV1782" s="67"/>
      <c r="IW1782" s="67"/>
      <c r="IX1782" s="67"/>
      <c r="IY1782" s="67"/>
      <c r="IZ1782" s="67"/>
      <c r="JA1782" s="67"/>
      <c r="JB1782" s="67"/>
      <c r="JC1782" s="67"/>
      <c r="JD1782" s="67"/>
      <c r="JE1782" s="67"/>
      <c r="JF1782" s="67"/>
      <c r="JG1782" s="67"/>
      <c r="JH1782" s="67"/>
      <c r="JI1782" s="67"/>
      <c r="JJ1782" s="67"/>
      <c r="JK1782" s="67"/>
      <c r="JL1782" s="67"/>
      <c r="JM1782" s="67"/>
      <c r="JN1782" s="67"/>
      <c r="JO1782" s="67"/>
      <c r="JP1782" s="67"/>
      <c r="JQ1782" s="67"/>
      <c r="JR1782" s="67"/>
      <c r="JS1782" s="67"/>
      <c r="JT1782" s="67"/>
      <c r="JU1782" s="58"/>
      <c r="JV1782" s="58"/>
      <c r="JW1782" s="58"/>
    </row>
    <row r="1783" spans="1:283" x14ac:dyDescent="0.25">
      <c r="A1783" s="55">
        <v>1782</v>
      </c>
      <c r="B1783" s="12" t="s">
        <v>7067</v>
      </c>
      <c r="C1783" s="155">
        <v>84</v>
      </c>
      <c r="D1783" s="55" t="s">
        <v>4032</v>
      </c>
      <c r="E1783" s="90" t="s">
        <v>1432</v>
      </c>
      <c r="G1783" s="55" t="s">
        <v>1433</v>
      </c>
      <c r="H1783" s="55">
        <v>1998</v>
      </c>
      <c r="I1783" s="55">
        <v>1995</v>
      </c>
      <c r="J1783" s="55" t="s">
        <v>1434</v>
      </c>
      <c r="K1783" s="55" t="s">
        <v>1435</v>
      </c>
      <c r="L1783" s="55" t="s">
        <v>2738</v>
      </c>
      <c r="M1783" s="90">
        <f>58+23/60</f>
        <v>58.383333333333333</v>
      </c>
      <c r="N1783" s="90">
        <f>-116-2/60</f>
        <v>-116.03333333333333</v>
      </c>
      <c r="O1783" s="90">
        <v>283</v>
      </c>
      <c r="U1783" s="55" t="s">
        <v>1816</v>
      </c>
      <c r="V1783" s="55" t="s">
        <v>1682</v>
      </c>
      <c r="Y1783" s="55" t="s">
        <v>1972</v>
      </c>
      <c r="Z1783" s="55" t="s">
        <v>1347</v>
      </c>
      <c r="AA1783" s="90" t="s">
        <v>1676</v>
      </c>
      <c r="AH1783" s="55" t="s">
        <v>238</v>
      </c>
      <c r="AN1783" s="185" t="s">
        <v>1479</v>
      </c>
      <c r="AO1783" s="185" t="s">
        <v>5150</v>
      </c>
      <c r="AQ1783" s="55" t="s">
        <v>553</v>
      </c>
      <c r="AR1783" s="55" t="s">
        <v>1566</v>
      </c>
      <c r="AS1783" s="55" t="s">
        <v>1576</v>
      </c>
      <c r="AU1783" s="181" t="s">
        <v>7494</v>
      </c>
      <c r="AV1783" s="185" t="s">
        <v>176</v>
      </c>
      <c r="AX1783" s="185" t="s">
        <v>176</v>
      </c>
      <c r="BK1783" s="55" t="s">
        <v>5976</v>
      </c>
      <c r="BM1783" s="192" t="s">
        <v>119</v>
      </c>
      <c r="BN1783" s="55">
        <v>3</v>
      </c>
      <c r="BO1783" s="55">
        <v>3</v>
      </c>
      <c r="BQ1783" s="55" t="s">
        <v>141</v>
      </c>
      <c r="BV1783" s="55" t="s">
        <v>1436</v>
      </c>
      <c r="GP1783" s="292" t="s">
        <v>7494</v>
      </c>
      <c r="HN1783" s="65">
        <v>4.0999999999999996</v>
      </c>
      <c r="HO1783" s="65">
        <v>4.17</v>
      </c>
      <c r="HR1783" s="65" t="s">
        <v>1619</v>
      </c>
      <c r="JU1783" s="55" t="s">
        <v>1439</v>
      </c>
    </row>
    <row r="1784" spans="1:283" x14ac:dyDescent="0.25">
      <c r="A1784" s="55">
        <v>1783</v>
      </c>
      <c r="B1784" s="12" t="s">
        <v>7067</v>
      </c>
      <c r="C1784" s="155">
        <v>84</v>
      </c>
      <c r="D1784" s="55" t="s">
        <v>4032</v>
      </c>
      <c r="E1784" s="90" t="s">
        <v>1432</v>
      </c>
      <c r="G1784" s="55" t="s">
        <v>1433</v>
      </c>
      <c r="H1784" s="55">
        <v>1998</v>
      </c>
      <c r="I1784" s="55">
        <v>1995</v>
      </c>
      <c r="J1784" s="55" t="s">
        <v>1434</v>
      </c>
      <c r="K1784" s="55" t="s">
        <v>1435</v>
      </c>
      <c r="L1784" s="55" t="s">
        <v>2738</v>
      </c>
      <c r="M1784" s="90">
        <f>58+23/60</f>
        <v>58.383333333333333</v>
      </c>
      <c r="N1784" s="90">
        <f>-116-2/60</f>
        <v>-116.03333333333333</v>
      </c>
      <c r="O1784" s="90">
        <v>283</v>
      </c>
      <c r="U1784" s="55" t="s">
        <v>1816</v>
      </c>
      <c r="V1784" s="55" t="s">
        <v>1682</v>
      </c>
      <c r="Y1784" s="55" t="s">
        <v>1972</v>
      </c>
      <c r="Z1784" s="55" t="s">
        <v>1347</v>
      </c>
      <c r="AA1784" s="90" t="s">
        <v>1676</v>
      </c>
      <c r="AH1784" s="55" t="s">
        <v>238</v>
      </c>
      <c r="AN1784" s="185" t="s">
        <v>1479</v>
      </c>
      <c r="AO1784" s="185" t="s">
        <v>5150</v>
      </c>
      <c r="AQ1784" s="55" t="s">
        <v>553</v>
      </c>
      <c r="AR1784" s="55" t="s">
        <v>1566</v>
      </c>
      <c r="AS1784" s="55" t="s">
        <v>1576</v>
      </c>
      <c r="AU1784" s="181" t="s">
        <v>7494</v>
      </c>
      <c r="AV1784" s="185" t="s">
        <v>176</v>
      </c>
      <c r="AX1784" s="185" t="s">
        <v>176</v>
      </c>
      <c r="BK1784" s="55" t="s">
        <v>5976</v>
      </c>
      <c r="BM1784" s="192" t="s">
        <v>119</v>
      </c>
      <c r="BN1784" s="55">
        <v>3</v>
      </c>
      <c r="BO1784" s="55">
        <v>3</v>
      </c>
      <c r="BQ1784" s="55" t="s">
        <v>141</v>
      </c>
      <c r="BV1784" s="55" t="s">
        <v>1437</v>
      </c>
      <c r="GP1784" s="292" t="s">
        <v>7494</v>
      </c>
      <c r="HN1784" s="65">
        <v>85</v>
      </c>
      <c r="HO1784" s="65">
        <v>92</v>
      </c>
      <c r="HR1784" s="65" t="s">
        <v>1620</v>
      </c>
      <c r="JU1784" s="55" t="s">
        <v>1439</v>
      </c>
    </row>
    <row r="1785" spans="1:283" x14ac:dyDescent="0.25">
      <c r="A1785" s="55">
        <v>1784</v>
      </c>
      <c r="B1785" s="12" t="s">
        <v>7067</v>
      </c>
      <c r="C1785" s="155">
        <v>84</v>
      </c>
      <c r="D1785" s="55" t="s">
        <v>4032</v>
      </c>
      <c r="E1785" s="90" t="s">
        <v>1432</v>
      </c>
      <c r="G1785" s="55" t="s">
        <v>1433</v>
      </c>
      <c r="H1785" s="55">
        <v>1998</v>
      </c>
      <c r="I1785" s="55">
        <v>1995</v>
      </c>
      <c r="J1785" s="55" t="s">
        <v>1434</v>
      </c>
      <c r="K1785" s="55" t="s">
        <v>1435</v>
      </c>
      <c r="L1785" s="55" t="s">
        <v>2738</v>
      </c>
      <c r="M1785" s="90">
        <f>58+23/60</f>
        <v>58.383333333333333</v>
      </c>
      <c r="N1785" s="90">
        <f>-116-2/60</f>
        <v>-116.03333333333333</v>
      </c>
      <c r="O1785" s="90">
        <v>283</v>
      </c>
      <c r="U1785" s="55" t="s">
        <v>1816</v>
      </c>
      <c r="V1785" s="55" t="s">
        <v>1682</v>
      </c>
      <c r="Y1785" s="55" t="s">
        <v>1972</v>
      </c>
      <c r="Z1785" s="55" t="s">
        <v>1347</v>
      </c>
      <c r="AA1785" s="90" t="s">
        <v>1676</v>
      </c>
      <c r="AH1785" s="55" t="s">
        <v>238</v>
      </c>
      <c r="AN1785" s="185" t="s">
        <v>1479</v>
      </c>
      <c r="AO1785" s="185" t="s">
        <v>5150</v>
      </c>
      <c r="AQ1785" s="55" t="s">
        <v>553</v>
      </c>
      <c r="AR1785" s="55" t="s">
        <v>1566</v>
      </c>
      <c r="AS1785" s="55" t="s">
        <v>1576</v>
      </c>
      <c r="AU1785" s="181" t="s">
        <v>7494</v>
      </c>
      <c r="AV1785" s="185" t="s">
        <v>176</v>
      </c>
      <c r="AX1785" s="185" t="s">
        <v>176</v>
      </c>
      <c r="BK1785" s="55" t="s">
        <v>5976</v>
      </c>
      <c r="BM1785" s="192" t="s">
        <v>119</v>
      </c>
      <c r="BN1785" s="55">
        <v>3</v>
      </c>
      <c r="BO1785" s="55">
        <v>3</v>
      </c>
      <c r="BQ1785" s="55" t="s">
        <v>141</v>
      </c>
      <c r="BV1785" s="55" t="s">
        <v>1438</v>
      </c>
      <c r="GP1785" s="292" t="s">
        <v>7494</v>
      </c>
      <c r="HN1785" s="65">
        <v>0.93</v>
      </c>
      <c r="HO1785" s="65">
        <v>0.92</v>
      </c>
      <c r="HR1785" s="65" t="s">
        <v>1621</v>
      </c>
      <c r="JU1785" s="55" t="s">
        <v>1439</v>
      </c>
    </row>
    <row r="1786" spans="1:283" x14ac:dyDescent="0.25">
      <c r="A1786" s="55">
        <v>1785</v>
      </c>
      <c r="B1786" s="12" t="s">
        <v>7067</v>
      </c>
      <c r="C1786" s="155">
        <v>84</v>
      </c>
      <c r="D1786" s="55" t="s">
        <v>4032</v>
      </c>
      <c r="E1786" s="90" t="s">
        <v>1432</v>
      </c>
      <c r="G1786" s="55" t="s">
        <v>1433</v>
      </c>
      <c r="H1786" s="55">
        <v>1998</v>
      </c>
      <c r="I1786" s="55">
        <v>1995</v>
      </c>
      <c r="J1786" s="55" t="s">
        <v>1434</v>
      </c>
      <c r="K1786" s="55" t="s">
        <v>1435</v>
      </c>
      <c r="L1786" s="55" t="s">
        <v>2738</v>
      </c>
      <c r="M1786" s="90">
        <f>58+23/60</f>
        <v>58.383333333333333</v>
      </c>
      <c r="N1786" s="90">
        <f>-116-2/60</f>
        <v>-116.03333333333333</v>
      </c>
      <c r="O1786" s="90">
        <v>283</v>
      </c>
      <c r="U1786" s="55" t="s">
        <v>1816</v>
      </c>
      <c r="V1786" s="55" t="s">
        <v>1682</v>
      </c>
      <c r="Y1786" s="55" t="s">
        <v>1972</v>
      </c>
      <c r="Z1786" s="55" t="s">
        <v>1347</v>
      </c>
      <c r="AA1786" s="90" t="s">
        <v>1676</v>
      </c>
      <c r="AH1786" s="55" t="s">
        <v>238</v>
      </c>
      <c r="AN1786" s="185" t="s">
        <v>1502</v>
      </c>
      <c r="AO1786" s="185" t="s">
        <v>5150</v>
      </c>
      <c r="AQ1786" s="55" t="s">
        <v>553</v>
      </c>
      <c r="AR1786" s="55" t="s">
        <v>1566</v>
      </c>
      <c r="AS1786" s="55" t="s">
        <v>1576</v>
      </c>
      <c r="AU1786" s="181" t="s">
        <v>7494</v>
      </c>
      <c r="AV1786" s="185" t="s">
        <v>176</v>
      </c>
      <c r="AX1786" s="185" t="s">
        <v>176</v>
      </c>
      <c r="BK1786" s="55" t="s">
        <v>5976</v>
      </c>
      <c r="BM1786" s="192" t="s">
        <v>119</v>
      </c>
      <c r="BN1786" s="55">
        <v>3</v>
      </c>
      <c r="BO1786" s="55">
        <v>3</v>
      </c>
      <c r="BQ1786" s="55" t="s">
        <v>141</v>
      </c>
      <c r="BV1786" s="55" t="s">
        <v>1436</v>
      </c>
      <c r="GP1786" s="292" t="s">
        <v>7494</v>
      </c>
      <c r="HN1786" s="65">
        <v>4.0999999999999996</v>
      </c>
      <c r="HO1786" s="65">
        <v>4.1100000000000003</v>
      </c>
      <c r="HR1786" s="65" t="s">
        <v>1619</v>
      </c>
      <c r="JU1786" s="55" t="s">
        <v>1439</v>
      </c>
    </row>
    <row r="1787" spans="1:283" x14ac:dyDescent="0.25">
      <c r="A1787" s="55">
        <v>1786</v>
      </c>
      <c r="B1787" s="12" t="s">
        <v>7067</v>
      </c>
      <c r="C1787" s="155">
        <v>84</v>
      </c>
      <c r="D1787" s="55" t="s">
        <v>4032</v>
      </c>
      <c r="E1787" s="90" t="s">
        <v>1432</v>
      </c>
      <c r="G1787" s="55" t="s">
        <v>1433</v>
      </c>
      <c r="H1787" s="55">
        <v>1998</v>
      </c>
      <c r="I1787" s="55">
        <v>1995</v>
      </c>
      <c r="J1787" s="55" t="s">
        <v>1434</v>
      </c>
      <c r="K1787" s="55" t="s">
        <v>1435</v>
      </c>
      <c r="L1787" s="55" t="s">
        <v>2738</v>
      </c>
      <c r="M1787" s="90">
        <f>58+23/60</f>
        <v>58.383333333333333</v>
      </c>
      <c r="N1787" s="90">
        <f>-116-2/60</f>
        <v>-116.03333333333333</v>
      </c>
      <c r="O1787" s="90">
        <v>283</v>
      </c>
      <c r="U1787" s="55" t="s">
        <v>1816</v>
      </c>
      <c r="V1787" s="55" t="s">
        <v>1682</v>
      </c>
      <c r="Y1787" s="55" t="s">
        <v>1972</v>
      </c>
      <c r="Z1787" s="55" t="s">
        <v>1347</v>
      </c>
      <c r="AA1787" s="90" t="s">
        <v>1676</v>
      </c>
      <c r="AH1787" s="55" t="s">
        <v>238</v>
      </c>
      <c r="AN1787" s="185" t="s">
        <v>1502</v>
      </c>
      <c r="AO1787" s="185" t="s">
        <v>5150</v>
      </c>
      <c r="AQ1787" s="55" t="s">
        <v>553</v>
      </c>
      <c r="AR1787" s="55" t="s">
        <v>1566</v>
      </c>
      <c r="AS1787" s="55" t="s">
        <v>1576</v>
      </c>
      <c r="AU1787" s="181" t="s">
        <v>7494</v>
      </c>
      <c r="AV1787" s="185" t="s">
        <v>176</v>
      </c>
      <c r="AX1787" s="185" t="s">
        <v>176</v>
      </c>
      <c r="BK1787" s="55" t="s">
        <v>5976</v>
      </c>
      <c r="BM1787" s="192" t="s">
        <v>119</v>
      </c>
      <c r="BN1787" s="55">
        <v>3</v>
      </c>
      <c r="BO1787" s="55">
        <v>3</v>
      </c>
      <c r="BQ1787" s="55" t="s">
        <v>141</v>
      </c>
      <c r="BV1787" s="55" t="s">
        <v>1437</v>
      </c>
      <c r="GP1787" s="292" t="s">
        <v>7494</v>
      </c>
      <c r="HN1787" s="65">
        <v>85</v>
      </c>
      <c r="HO1787" s="65">
        <v>91</v>
      </c>
      <c r="HR1787" s="65" t="s">
        <v>1620</v>
      </c>
      <c r="JU1787" s="55" t="s">
        <v>1439</v>
      </c>
    </row>
    <row r="1788" spans="1:283" x14ac:dyDescent="0.25">
      <c r="A1788" s="55">
        <v>1787</v>
      </c>
      <c r="B1788" s="12" t="s">
        <v>7067</v>
      </c>
      <c r="C1788" s="155">
        <v>84</v>
      </c>
      <c r="D1788" s="55" t="s">
        <v>4032</v>
      </c>
      <c r="E1788" s="90" t="s">
        <v>1432</v>
      </c>
      <c r="G1788" s="55" t="s">
        <v>1433</v>
      </c>
      <c r="H1788" s="55">
        <v>1998</v>
      </c>
      <c r="I1788" s="55">
        <v>1995</v>
      </c>
      <c r="J1788" s="55" t="s">
        <v>1434</v>
      </c>
      <c r="K1788" s="55" t="s">
        <v>1435</v>
      </c>
      <c r="L1788" s="55" t="s">
        <v>2738</v>
      </c>
      <c r="M1788" s="90">
        <f>58+23/60</f>
        <v>58.383333333333333</v>
      </c>
      <c r="N1788" s="90">
        <f>-116-2/60</f>
        <v>-116.03333333333333</v>
      </c>
      <c r="O1788" s="90">
        <v>283</v>
      </c>
      <c r="U1788" s="55" t="s">
        <v>1816</v>
      </c>
      <c r="V1788" s="55" t="s">
        <v>1682</v>
      </c>
      <c r="Y1788" s="55" t="s">
        <v>1972</v>
      </c>
      <c r="Z1788" s="55" t="s">
        <v>1347</v>
      </c>
      <c r="AA1788" s="90" t="s">
        <v>1676</v>
      </c>
      <c r="AH1788" s="55" t="s">
        <v>238</v>
      </c>
      <c r="AN1788" s="185" t="s">
        <v>1502</v>
      </c>
      <c r="AO1788" s="185" t="s">
        <v>5150</v>
      </c>
      <c r="AQ1788" s="55" t="s">
        <v>553</v>
      </c>
      <c r="AR1788" s="55" t="s">
        <v>1566</v>
      </c>
      <c r="AS1788" s="55" t="s">
        <v>1576</v>
      </c>
      <c r="AU1788" s="181" t="s">
        <v>7494</v>
      </c>
      <c r="AV1788" s="185" t="s">
        <v>176</v>
      </c>
      <c r="AX1788" s="185" t="s">
        <v>176</v>
      </c>
      <c r="BK1788" s="55" t="s">
        <v>5976</v>
      </c>
      <c r="BM1788" s="192" t="s">
        <v>119</v>
      </c>
      <c r="BN1788" s="55">
        <v>3</v>
      </c>
      <c r="BO1788" s="55">
        <v>3</v>
      </c>
      <c r="BQ1788" s="55" t="s">
        <v>141</v>
      </c>
      <c r="BV1788" s="55" t="s">
        <v>1438</v>
      </c>
      <c r="GP1788" s="292" t="s">
        <v>7494</v>
      </c>
      <c r="HN1788" s="65">
        <v>0.93</v>
      </c>
      <c r="HO1788" s="65">
        <v>0.91</v>
      </c>
      <c r="HR1788" s="65" t="s">
        <v>1621</v>
      </c>
      <c r="JU1788" s="55" t="s">
        <v>1439</v>
      </c>
    </row>
    <row r="1789" spans="1:283" x14ac:dyDescent="0.25">
      <c r="A1789" s="55">
        <v>1788</v>
      </c>
      <c r="B1789" s="12" t="s">
        <v>7067</v>
      </c>
      <c r="C1789" s="155">
        <v>84</v>
      </c>
      <c r="D1789" s="55" t="s">
        <v>4032</v>
      </c>
      <c r="E1789" s="90" t="s">
        <v>1432</v>
      </c>
      <c r="G1789" s="55" t="s">
        <v>1433</v>
      </c>
      <c r="H1789" s="55">
        <v>1998</v>
      </c>
      <c r="I1789" s="55">
        <v>1996</v>
      </c>
      <c r="J1789" s="55" t="s">
        <v>1434</v>
      </c>
      <c r="K1789" s="55" t="s">
        <v>1435</v>
      </c>
      <c r="L1789" s="55" t="s">
        <v>2738</v>
      </c>
      <c r="M1789" s="90">
        <f>58+23/60</f>
        <v>58.383333333333333</v>
      </c>
      <c r="N1789" s="90">
        <f>-116-2/60</f>
        <v>-116.03333333333333</v>
      </c>
      <c r="O1789" s="90">
        <v>283</v>
      </c>
      <c r="U1789" s="55" t="s">
        <v>1682</v>
      </c>
      <c r="V1789" s="55" t="s">
        <v>1682</v>
      </c>
      <c r="Y1789" s="55" t="s">
        <v>1972</v>
      </c>
      <c r="Z1789" s="55" t="s">
        <v>1347</v>
      </c>
      <c r="AA1789" s="90" t="s">
        <v>1676</v>
      </c>
      <c r="AH1789" s="55" t="s">
        <v>238</v>
      </c>
      <c r="AN1789" s="185" t="s">
        <v>1479</v>
      </c>
      <c r="AO1789" s="185" t="s">
        <v>5150</v>
      </c>
      <c r="AQ1789" s="55" t="s">
        <v>553</v>
      </c>
      <c r="AR1789" s="55" t="s">
        <v>1566</v>
      </c>
      <c r="AS1789" s="55" t="s">
        <v>1576</v>
      </c>
      <c r="AU1789" s="181" t="s">
        <v>7494</v>
      </c>
      <c r="AV1789" s="185" t="s">
        <v>176</v>
      </c>
      <c r="AX1789" s="185" t="s">
        <v>176</v>
      </c>
      <c r="BK1789" s="55" t="s">
        <v>5976</v>
      </c>
      <c r="BM1789" s="192" t="s">
        <v>119</v>
      </c>
      <c r="BN1789" s="55">
        <v>3</v>
      </c>
      <c r="BO1789" s="55">
        <v>3</v>
      </c>
      <c r="BQ1789" s="55" t="s">
        <v>141</v>
      </c>
      <c r="BV1789" s="55" t="s">
        <v>1436</v>
      </c>
      <c r="GP1789" s="292" t="s">
        <v>7494</v>
      </c>
      <c r="HN1789" s="65">
        <v>3.71</v>
      </c>
      <c r="HO1789" s="65">
        <v>4.09</v>
      </c>
      <c r="HR1789" s="65" t="s">
        <v>1619</v>
      </c>
      <c r="JU1789" s="55" t="s">
        <v>1439</v>
      </c>
    </row>
    <row r="1790" spans="1:283" x14ac:dyDescent="0.25">
      <c r="A1790" s="55">
        <v>1789</v>
      </c>
      <c r="B1790" s="12" t="s">
        <v>7067</v>
      </c>
      <c r="C1790" s="155">
        <v>84</v>
      </c>
      <c r="D1790" s="55" t="s">
        <v>4032</v>
      </c>
      <c r="E1790" s="90" t="s">
        <v>1432</v>
      </c>
      <c r="G1790" s="55" t="s">
        <v>1433</v>
      </c>
      <c r="H1790" s="55">
        <v>1998</v>
      </c>
      <c r="I1790" s="55">
        <v>1996</v>
      </c>
      <c r="J1790" s="55" t="s">
        <v>1434</v>
      </c>
      <c r="K1790" s="55" t="s">
        <v>1435</v>
      </c>
      <c r="L1790" s="55" t="s">
        <v>2738</v>
      </c>
      <c r="M1790" s="90">
        <f>58+23/60</f>
        <v>58.383333333333333</v>
      </c>
      <c r="N1790" s="90">
        <f>-116-2/60</f>
        <v>-116.03333333333333</v>
      </c>
      <c r="O1790" s="90">
        <v>283</v>
      </c>
      <c r="U1790" s="55" t="s">
        <v>1682</v>
      </c>
      <c r="V1790" s="55" t="s">
        <v>1682</v>
      </c>
      <c r="Y1790" s="55" t="s">
        <v>1972</v>
      </c>
      <c r="Z1790" s="55" t="s">
        <v>1347</v>
      </c>
      <c r="AA1790" s="90" t="s">
        <v>1676</v>
      </c>
      <c r="AH1790" s="55" t="s">
        <v>238</v>
      </c>
      <c r="AN1790" s="185" t="s">
        <v>1479</v>
      </c>
      <c r="AO1790" s="185" t="s">
        <v>5150</v>
      </c>
      <c r="AQ1790" s="55" t="s">
        <v>553</v>
      </c>
      <c r="AR1790" s="55" t="s">
        <v>1566</v>
      </c>
      <c r="AS1790" s="55" t="s">
        <v>1576</v>
      </c>
      <c r="AU1790" s="181" t="s">
        <v>7494</v>
      </c>
      <c r="AV1790" s="185" t="s">
        <v>176</v>
      </c>
      <c r="AX1790" s="185" t="s">
        <v>176</v>
      </c>
      <c r="BK1790" s="55" t="s">
        <v>5976</v>
      </c>
      <c r="BM1790" s="192" t="s">
        <v>119</v>
      </c>
      <c r="BN1790" s="55">
        <v>3</v>
      </c>
      <c r="BO1790" s="55">
        <v>3</v>
      </c>
      <c r="BQ1790" s="55" t="s">
        <v>141</v>
      </c>
      <c r="BV1790" s="55" t="s">
        <v>1437</v>
      </c>
      <c r="GP1790" s="292" t="s">
        <v>7494</v>
      </c>
      <c r="HN1790" s="65">
        <v>71</v>
      </c>
      <c r="HO1790" s="65">
        <v>91</v>
      </c>
      <c r="HR1790" s="65" t="s">
        <v>1620</v>
      </c>
      <c r="JU1790" s="55" t="s">
        <v>1439</v>
      </c>
    </row>
    <row r="1791" spans="1:283" x14ac:dyDescent="0.25">
      <c r="A1791" s="55">
        <v>1790</v>
      </c>
      <c r="B1791" s="12" t="s">
        <v>7067</v>
      </c>
      <c r="C1791" s="155">
        <v>84</v>
      </c>
      <c r="D1791" s="55" t="s">
        <v>4032</v>
      </c>
      <c r="E1791" s="90" t="s">
        <v>1432</v>
      </c>
      <c r="G1791" s="55" t="s">
        <v>1433</v>
      </c>
      <c r="H1791" s="55">
        <v>1998</v>
      </c>
      <c r="I1791" s="55">
        <v>1996</v>
      </c>
      <c r="J1791" s="55" t="s">
        <v>1434</v>
      </c>
      <c r="K1791" s="55" t="s">
        <v>1435</v>
      </c>
      <c r="L1791" s="55" t="s">
        <v>2738</v>
      </c>
      <c r="M1791" s="90">
        <f>58+23/60</f>
        <v>58.383333333333333</v>
      </c>
      <c r="N1791" s="90">
        <f>-116-2/60</f>
        <v>-116.03333333333333</v>
      </c>
      <c r="O1791" s="90">
        <v>283</v>
      </c>
      <c r="U1791" s="55" t="s">
        <v>1682</v>
      </c>
      <c r="V1791" s="55" t="s">
        <v>1682</v>
      </c>
      <c r="Y1791" s="55" t="s">
        <v>1972</v>
      </c>
      <c r="Z1791" s="55" t="s">
        <v>1347</v>
      </c>
      <c r="AA1791" s="90" t="s">
        <v>1676</v>
      </c>
      <c r="AH1791" s="55" t="s">
        <v>238</v>
      </c>
      <c r="AN1791" s="185" t="s">
        <v>1479</v>
      </c>
      <c r="AO1791" s="185" t="s">
        <v>5150</v>
      </c>
      <c r="AQ1791" s="55" t="s">
        <v>553</v>
      </c>
      <c r="AR1791" s="55" t="s">
        <v>1566</v>
      </c>
      <c r="AS1791" s="55" t="s">
        <v>1576</v>
      </c>
      <c r="AU1791" s="181" t="s">
        <v>7494</v>
      </c>
      <c r="AV1791" s="185" t="s">
        <v>176</v>
      </c>
      <c r="AX1791" s="185" t="s">
        <v>176</v>
      </c>
      <c r="BK1791" s="55" t="s">
        <v>5976</v>
      </c>
      <c r="BM1791" s="192" t="s">
        <v>119</v>
      </c>
      <c r="BN1791" s="55">
        <v>3</v>
      </c>
      <c r="BO1791" s="55">
        <v>3</v>
      </c>
      <c r="BQ1791" s="55" t="s">
        <v>141</v>
      </c>
      <c r="BV1791" s="55" t="s">
        <v>1438</v>
      </c>
      <c r="GP1791" s="292" t="s">
        <v>7494</v>
      </c>
      <c r="HN1791" s="65">
        <v>0.87</v>
      </c>
      <c r="HO1791" s="65">
        <v>0.91</v>
      </c>
      <c r="HR1791" s="65" t="s">
        <v>1621</v>
      </c>
      <c r="JU1791" s="55" t="s">
        <v>1439</v>
      </c>
    </row>
    <row r="1792" spans="1:283" x14ac:dyDescent="0.25">
      <c r="A1792" s="55">
        <v>1791</v>
      </c>
      <c r="B1792" s="12" t="s">
        <v>7067</v>
      </c>
      <c r="C1792" s="155">
        <v>84</v>
      </c>
      <c r="D1792" s="55" t="s">
        <v>4032</v>
      </c>
      <c r="E1792" s="90" t="s">
        <v>1432</v>
      </c>
      <c r="G1792" s="55" t="s">
        <v>1433</v>
      </c>
      <c r="H1792" s="55">
        <v>1998</v>
      </c>
      <c r="I1792" s="55">
        <v>1996</v>
      </c>
      <c r="J1792" s="55" t="s">
        <v>1434</v>
      </c>
      <c r="K1792" s="55" t="s">
        <v>1435</v>
      </c>
      <c r="L1792" s="55" t="s">
        <v>2738</v>
      </c>
      <c r="M1792" s="90">
        <f>58+23/60</f>
        <v>58.383333333333333</v>
      </c>
      <c r="N1792" s="90">
        <f>-116-2/60</f>
        <v>-116.03333333333333</v>
      </c>
      <c r="O1792" s="90">
        <v>283</v>
      </c>
      <c r="U1792" s="55" t="s">
        <v>1682</v>
      </c>
      <c r="V1792" s="55" t="s">
        <v>1682</v>
      </c>
      <c r="Y1792" s="55" t="s">
        <v>1972</v>
      </c>
      <c r="Z1792" s="55" t="s">
        <v>1347</v>
      </c>
      <c r="AA1792" s="90" t="s">
        <v>1676</v>
      </c>
      <c r="AH1792" s="55" t="s">
        <v>238</v>
      </c>
      <c r="AN1792" s="185" t="s">
        <v>1502</v>
      </c>
      <c r="AO1792" s="185" t="s">
        <v>5150</v>
      </c>
      <c r="AQ1792" s="55" t="s">
        <v>553</v>
      </c>
      <c r="AR1792" s="55" t="s">
        <v>1566</v>
      </c>
      <c r="AS1792" s="55" t="s">
        <v>1576</v>
      </c>
      <c r="AU1792" s="181" t="s">
        <v>7494</v>
      </c>
      <c r="AV1792" s="185" t="s">
        <v>176</v>
      </c>
      <c r="AX1792" s="185" t="s">
        <v>176</v>
      </c>
      <c r="BK1792" s="55" t="s">
        <v>5976</v>
      </c>
      <c r="BM1792" s="192" t="s">
        <v>119</v>
      </c>
      <c r="BN1792" s="55">
        <v>3</v>
      </c>
      <c r="BO1792" s="55">
        <v>3</v>
      </c>
      <c r="BQ1792" s="55" t="s">
        <v>141</v>
      </c>
      <c r="BV1792" s="55" t="s">
        <v>1436</v>
      </c>
      <c r="GP1792" s="292" t="s">
        <v>7494</v>
      </c>
      <c r="HN1792" s="65">
        <v>3.71</v>
      </c>
      <c r="HO1792" s="65">
        <v>4.04</v>
      </c>
      <c r="HR1792" s="65" t="s">
        <v>1619</v>
      </c>
      <c r="JU1792" s="55" t="s">
        <v>1439</v>
      </c>
    </row>
    <row r="1793" spans="1:281" x14ac:dyDescent="0.25">
      <c r="A1793" s="55">
        <v>1792</v>
      </c>
      <c r="B1793" s="12" t="s">
        <v>7067</v>
      </c>
      <c r="C1793" s="155">
        <v>84</v>
      </c>
      <c r="D1793" s="55" t="s">
        <v>4032</v>
      </c>
      <c r="E1793" s="90" t="s">
        <v>1432</v>
      </c>
      <c r="G1793" s="55" t="s">
        <v>1433</v>
      </c>
      <c r="H1793" s="55">
        <v>1998</v>
      </c>
      <c r="I1793" s="55">
        <v>1996</v>
      </c>
      <c r="J1793" s="55" t="s">
        <v>1434</v>
      </c>
      <c r="K1793" s="55" t="s">
        <v>1435</v>
      </c>
      <c r="L1793" s="55" t="s">
        <v>2738</v>
      </c>
      <c r="M1793" s="90">
        <f>58+23/60</f>
        <v>58.383333333333333</v>
      </c>
      <c r="N1793" s="90">
        <f>-116-2/60</f>
        <v>-116.03333333333333</v>
      </c>
      <c r="O1793" s="90">
        <v>283</v>
      </c>
      <c r="U1793" s="55" t="s">
        <v>1682</v>
      </c>
      <c r="V1793" s="55" t="s">
        <v>1682</v>
      </c>
      <c r="Y1793" s="55" t="s">
        <v>1972</v>
      </c>
      <c r="Z1793" s="55" t="s">
        <v>1347</v>
      </c>
      <c r="AA1793" s="90" t="s">
        <v>1676</v>
      </c>
      <c r="AH1793" s="55" t="s">
        <v>238</v>
      </c>
      <c r="AN1793" s="185" t="s">
        <v>1502</v>
      </c>
      <c r="AO1793" s="185" t="s">
        <v>5150</v>
      </c>
      <c r="AQ1793" s="55" t="s">
        <v>553</v>
      </c>
      <c r="AR1793" s="55" t="s">
        <v>1566</v>
      </c>
      <c r="AS1793" s="55" t="s">
        <v>1576</v>
      </c>
      <c r="AU1793" s="181" t="s">
        <v>7494</v>
      </c>
      <c r="AV1793" s="185" t="s">
        <v>176</v>
      </c>
      <c r="AX1793" s="185" t="s">
        <v>176</v>
      </c>
      <c r="BK1793" s="55" t="s">
        <v>5976</v>
      </c>
      <c r="BM1793" s="192" t="s">
        <v>119</v>
      </c>
      <c r="BN1793" s="55">
        <v>3</v>
      </c>
      <c r="BO1793" s="55">
        <v>3</v>
      </c>
      <c r="BQ1793" s="55" t="s">
        <v>141</v>
      </c>
      <c r="BV1793" s="55" t="s">
        <v>1437</v>
      </c>
      <c r="GP1793" s="292" t="s">
        <v>7494</v>
      </c>
      <c r="HN1793" s="65">
        <v>71</v>
      </c>
      <c r="HO1793" s="65">
        <v>88</v>
      </c>
      <c r="HR1793" s="65" t="s">
        <v>1620</v>
      </c>
      <c r="JU1793" s="55" t="s">
        <v>1439</v>
      </c>
    </row>
    <row r="1794" spans="1:281" x14ac:dyDescent="0.25">
      <c r="A1794" s="55">
        <v>1793</v>
      </c>
      <c r="B1794" s="12" t="s">
        <v>7067</v>
      </c>
      <c r="C1794" s="155">
        <v>84</v>
      </c>
      <c r="D1794" s="55" t="s">
        <v>4032</v>
      </c>
      <c r="E1794" s="90" t="s">
        <v>1432</v>
      </c>
      <c r="G1794" s="55" t="s">
        <v>1433</v>
      </c>
      <c r="H1794" s="55">
        <v>1998</v>
      </c>
      <c r="I1794" s="55">
        <v>1996</v>
      </c>
      <c r="J1794" s="55" t="s">
        <v>1434</v>
      </c>
      <c r="K1794" s="55" t="s">
        <v>1435</v>
      </c>
      <c r="L1794" s="55" t="s">
        <v>2738</v>
      </c>
      <c r="M1794" s="90">
        <f>58+23/60</f>
        <v>58.383333333333333</v>
      </c>
      <c r="N1794" s="90">
        <f>-116-2/60</f>
        <v>-116.03333333333333</v>
      </c>
      <c r="O1794" s="90">
        <v>283</v>
      </c>
      <c r="U1794" s="55" t="s">
        <v>1682</v>
      </c>
      <c r="V1794" s="55" t="s">
        <v>1682</v>
      </c>
      <c r="Y1794" s="55" t="s">
        <v>1972</v>
      </c>
      <c r="Z1794" s="55" t="s">
        <v>1347</v>
      </c>
      <c r="AA1794" s="90" t="s">
        <v>1676</v>
      </c>
      <c r="AH1794" s="55" t="s">
        <v>238</v>
      </c>
      <c r="AN1794" s="185" t="s">
        <v>1502</v>
      </c>
      <c r="AO1794" s="185" t="s">
        <v>5150</v>
      </c>
      <c r="AQ1794" s="55" t="s">
        <v>553</v>
      </c>
      <c r="AR1794" s="55" t="s">
        <v>1566</v>
      </c>
      <c r="AS1794" s="55" t="s">
        <v>1576</v>
      </c>
      <c r="AU1794" s="181" t="s">
        <v>7494</v>
      </c>
      <c r="AV1794" s="185" t="s">
        <v>176</v>
      </c>
      <c r="AX1794" s="185" t="s">
        <v>176</v>
      </c>
      <c r="BK1794" s="55" t="s">
        <v>5976</v>
      </c>
      <c r="BM1794" s="192" t="s">
        <v>119</v>
      </c>
      <c r="BN1794" s="55">
        <v>3</v>
      </c>
      <c r="BO1794" s="55">
        <v>3</v>
      </c>
      <c r="BQ1794" s="55" t="s">
        <v>141</v>
      </c>
      <c r="BV1794" s="55" t="s">
        <v>1438</v>
      </c>
      <c r="GP1794" s="292" t="s">
        <v>7494</v>
      </c>
      <c r="HN1794" s="65">
        <v>0.87</v>
      </c>
      <c r="HO1794" s="65">
        <v>0.9</v>
      </c>
      <c r="HR1794" s="65" t="s">
        <v>1621</v>
      </c>
      <c r="JU1794" s="55" t="s">
        <v>1439</v>
      </c>
    </row>
    <row r="1795" spans="1:281" x14ac:dyDescent="0.25">
      <c r="A1795" s="55">
        <v>1794</v>
      </c>
      <c r="B1795" s="12" t="s">
        <v>7067</v>
      </c>
      <c r="C1795" s="155">
        <v>85</v>
      </c>
      <c r="D1795" s="55" t="s">
        <v>4033</v>
      </c>
      <c r="E1795" s="90" t="s">
        <v>1440</v>
      </c>
      <c r="G1795" s="55" t="s">
        <v>1441</v>
      </c>
      <c r="H1795" s="55">
        <v>2018</v>
      </c>
      <c r="I1795" s="55">
        <v>2014</v>
      </c>
      <c r="J1795" s="55" t="s">
        <v>276</v>
      </c>
      <c r="K1795" s="55" t="s">
        <v>1442</v>
      </c>
      <c r="L1795" s="55" t="s">
        <v>2737</v>
      </c>
      <c r="M1795" s="90">
        <v>34.67</v>
      </c>
      <c r="N1795" s="90">
        <v>-82.85</v>
      </c>
      <c r="O1795" s="90">
        <v>191</v>
      </c>
      <c r="U1795" s="55" t="s">
        <v>1805</v>
      </c>
      <c r="V1795" s="55" t="s">
        <v>1688</v>
      </c>
      <c r="Y1795" s="55" t="s">
        <v>1973</v>
      </c>
      <c r="Z1795" s="55" t="s">
        <v>1349</v>
      </c>
      <c r="AA1795" s="90" t="s">
        <v>1677</v>
      </c>
      <c r="AH1795" s="55" t="s">
        <v>238</v>
      </c>
      <c r="AN1795" s="185" t="s">
        <v>1544</v>
      </c>
      <c r="AO1795" s="185" t="s">
        <v>5150</v>
      </c>
      <c r="AQ1795" s="55" t="s">
        <v>1546</v>
      </c>
      <c r="AR1795" s="55" t="s">
        <v>240</v>
      </c>
      <c r="AS1795" s="55" t="s">
        <v>227</v>
      </c>
      <c r="AT1795" s="181" t="s">
        <v>1065</v>
      </c>
      <c r="AU1795" s="181" t="s">
        <v>5150</v>
      </c>
      <c r="AV1795" s="185" t="s">
        <v>176</v>
      </c>
      <c r="AW1795" s="55" t="s">
        <v>1065</v>
      </c>
      <c r="AX1795" s="185" t="s">
        <v>176</v>
      </c>
      <c r="AY1795" s="55" t="s">
        <v>176</v>
      </c>
      <c r="AZ1795" s="55" t="s">
        <v>464</v>
      </c>
      <c r="BA1795" s="55" t="s">
        <v>156</v>
      </c>
      <c r="BB1795" s="55" t="s">
        <v>2081</v>
      </c>
      <c r="BC1795" s="55" t="s">
        <v>2081</v>
      </c>
      <c r="BD1795" s="55" t="s">
        <v>479</v>
      </c>
      <c r="BE1795" s="226" t="s">
        <v>1447</v>
      </c>
      <c r="BF1795" s="191" t="s">
        <v>176</v>
      </c>
      <c r="BG1795" s="62" t="s">
        <v>479</v>
      </c>
      <c r="BH1795" s="226" t="s">
        <v>1447</v>
      </c>
      <c r="BI1795" s="62" t="s">
        <v>479</v>
      </c>
      <c r="BJ1795" s="55" t="s">
        <v>176</v>
      </c>
      <c r="BK1795" s="55" t="s">
        <v>5976</v>
      </c>
      <c r="BM1795" s="192" t="s">
        <v>160</v>
      </c>
      <c r="BN1795" s="55">
        <v>3</v>
      </c>
      <c r="BO1795" s="55">
        <v>3</v>
      </c>
      <c r="BQ1795" s="55" t="s">
        <v>315</v>
      </c>
      <c r="CB1795" s="66">
        <f>10.8*1000</f>
        <v>10800</v>
      </c>
      <c r="CC1795" s="66">
        <f>19.7*1000</f>
        <v>19700</v>
      </c>
      <c r="DB1795" s="65">
        <v>61.3</v>
      </c>
      <c r="DC1795" s="65">
        <v>74.099999999999994</v>
      </c>
      <c r="DF1795" s="65" t="s">
        <v>1446</v>
      </c>
      <c r="GP1795" s="292" t="s">
        <v>7494</v>
      </c>
      <c r="IC1795" s="65">
        <v>52</v>
      </c>
      <c r="ID1795" s="65">
        <v>61.4</v>
      </c>
      <c r="IG1795" s="65" t="s">
        <v>1443</v>
      </c>
      <c r="JS1795" s="65">
        <v>99999</v>
      </c>
      <c r="JU1795" s="55" t="s">
        <v>1444</v>
      </c>
    </row>
    <row r="1796" spans="1:281" x14ac:dyDescent="0.25">
      <c r="A1796" s="55">
        <v>1795</v>
      </c>
      <c r="B1796" s="12" t="s">
        <v>7067</v>
      </c>
      <c r="C1796" s="155">
        <v>85</v>
      </c>
      <c r="D1796" s="55" t="s">
        <v>4033</v>
      </c>
      <c r="E1796" s="90" t="s">
        <v>1440</v>
      </c>
      <c r="G1796" s="55" t="s">
        <v>1441</v>
      </c>
      <c r="H1796" s="55">
        <v>2018</v>
      </c>
      <c r="I1796" s="55">
        <v>2015</v>
      </c>
      <c r="J1796" s="55" t="s">
        <v>276</v>
      </c>
      <c r="K1796" s="55" t="s">
        <v>1442</v>
      </c>
      <c r="L1796" s="55" t="s">
        <v>2737</v>
      </c>
      <c r="M1796" s="90">
        <v>34.67</v>
      </c>
      <c r="N1796" s="90">
        <v>-82.85</v>
      </c>
      <c r="O1796" s="90">
        <v>191</v>
      </c>
      <c r="U1796" s="55" t="s">
        <v>1688</v>
      </c>
      <c r="V1796" s="55" t="s">
        <v>1688</v>
      </c>
      <c r="Y1796" s="55" t="s">
        <v>1973</v>
      </c>
      <c r="Z1796" s="55" t="s">
        <v>1349</v>
      </c>
      <c r="AA1796" s="90" t="s">
        <v>1677</v>
      </c>
      <c r="AH1796" s="55" t="s">
        <v>238</v>
      </c>
      <c r="AN1796" s="185" t="s">
        <v>1544</v>
      </c>
      <c r="AO1796" s="185" t="s">
        <v>5150</v>
      </c>
      <c r="AQ1796" s="55" t="s">
        <v>1546</v>
      </c>
      <c r="AR1796" s="55" t="s">
        <v>240</v>
      </c>
      <c r="AS1796" s="55" t="s">
        <v>227</v>
      </c>
      <c r="AT1796" s="181" t="s">
        <v>1065</v>
      </c>
      <c r="AU1796" s="181" t="s">
        <v>5150</v>
      </c>
      <c r="AV1796" s="185" t="s">
        <v>176</v>
      </c>
      <c r="AW1796" s="55" t="s">
        <v>1065</v>
      </c>
      <c r="AX1796" s="185" t="s">
        <v>176</v>
      </c>
      <c r="AY1796" s="55" t="s">
        <v>176</v>
      </c>
      <c r="AZ1796" s="55" t="s">
        <v>464</v>
      </c>
      <c r="BA1796" s="55" t="s">
        <v>156</v>
      </c>
      <c r="BB1796" s="55" t="s">
        <v>2081</v>
      </c>
      <c r="BC1796" s="55" t="s">
        <v>2081</v>
      </c>
      <c r="BD1796" s="55" t="s">
        <v>479</v>
      </c>
      <c r="BE1796" s="226" t="s">
        <v>1447</v>
      </c>
      <c r="BF1796" s="191" t="s">
        <v>176</v>
      </c>
      <c r="BG1796" s="62" t="s">
        <v>479</v>
      </c>
      <c r="BH1796" s="226" t="s">
        <v>1447</v>
      </c>
      <c r="BI1796" s="62" t="s">
        <v>479</v>
      </c>
      <c r="BJ1796" s="55" t="s">
        <v>176</v>
      </c>
      <c r="BK1796" s="55" t="s">
        <v>5976</v>
      </c>
      <c r="BM1796" s="192" t="s">
        <v>160</v>
      </c>
      <c r="BN1796" s="55">
        <v>3</v>
      </c>
      <c r="BO1796" s="55">
        <v>3</v>
      </c>
      <c r="BQ1796" s="55" t="s">
        <v>315</v>
      </c>
      <c r="CB1796" s="66">
        <f>31*1000</f>
        <v>31000</v>
      </c>
      <c r="CC1796" s="66">
        <f>21.2*1000</f>
        <v>21200</v>
      </c>
      <c r="DB1796" s="65">
        <v>113.4</v>
      </c>
      <c r="DC1796" s="65">
        <v>102.6</v>
      </c>
      <c r="DF1796" s="65" t="s">
        <v>1446</v>
      </c>
      <c r="GP1796" s="292" t="s">
        <v>7494</v>
      </c>
      <c r="IC1796" s="65">
        <v>100.1</v>
      </c>
      <c r="ID1796" s="65">
        <v>95</v>
      </c>
      <c r="IG1796" s="65" t="s">
        <v>1443</v>
      </c>
      <c r="JS1796" s="65">
        <v>99999</v>
      </c>
      <c r="JU1796" s="55" t="s">
        <v>1444</v>
      </c>
    </row>
    <row r="1797" spans="1:281" x14ac:dyDescent="0.25">
      <c r="A1797" s="55">
        <v>1796</v>
      </c>
      <c r="B1797" s="12" t="s">
        <v>7067</v>
      </c>
      <c r="C1797" s="155">
        <v>85</v>
      </c>
      <c r="D1797" s="55" t="s">
        <v>4033</v>
      </c>
      <c r="E1797" s="90" t="s">
        <v>1440</v>
      </c>
      <c r="G1797" s="55" t="s">
        <v>1441</v>
      </c>
      <c r="H1797" s="55">
        <v>2018</v>
      </c>
      <c r="I1797" s="55">
        <v>2014</v>
      </c>
      <c r="J1797" s="55" t="s">
        <v>276</v>
      </c>
      <c r="K1797" s="55" t="s">
        <v>1442</v>
      </c>
      <c r="L1797" s="55" t="s">
        <v>2737</v>
      </c>
      <c r="M1797" s="90">
        <v>34.67</v>
      </c>
      <c r="N1797" s="90">
        <v>-82.85</v>
      </c>
      <c r="O1797" s="90">
        <v>191</v>
      </c>
      <c r="U1797" s="55" t="s">
        <v>1805</v>
      </c>
      <c r="V1797" s="55" t="s">
        <v>1688</v>
      </c>
      <c r="Y1797" s="55" t="s">
        <v>1973</v>
      </c>
      <c r="Z1797" s="55" t="s">
        <v>1349</v>
      </c>
      <c r="AA1797" s="90" t="s">
        <v>1677</v>
      </c>
      <c r="AH1797" s="55" t="s">
        <v>238</v>
      </c>
      <c r="AN1797" s="185" t="s">
        <v>1544</v>
      </c>
      <c r="AO1797" s="185" t="s">
        <v>5150</v>
      </c>
      <c r="AQ1797" s="55" t="s">
        <v>1546</v>
      </c>
      <c r="AR1797" s="55" t="s">
        <v>1445</v>
      </c>
      <c r="AS1797" s="55" t="s">
        <v>227</v>
      </c>
      <c r="AT1797" s="181" t="s">
        <v>1065</v>
      </c>
      <c r="AU1797" s="181" t="s">
        <v>5150</v>
      </c>
      <c r="AV1797" s="185" t="s">
        <v>176</v>
      </c>
      <c r="AW1797" s="55" t="s">
        <v>1065</v>
      </c>
      <c r="AX1797" s="185" t="s">
        <v>176</v>
      </c>
      <c r="AY1797" s="55" t="s">
        <v>176</v>
      </c>
      <c r="AZ1797" s="55" t="s">
        <v>464</v>
      </c>
      <c r="BA1797" s="55" t="s">
        <v>156</v>
      </c>
      <c r="BB1797" s="55" t="s">
        <v>2081</v>
      </c>
      <c r="BC1797" s="55" t="s">
        <v>2081</v>
      </c>
      <c r="BD1797" s="55" t="s">
        <v>479</v>
      </c>
      <c r="BE1797" s="226" t="s">
        <v>1447</v>
      </c>
      <c r="BF1797" s="191" t="s">
        <v>176</v>
      </c>
      <c r="BG1797" s="62" t="s">
        <v>479</v>
      </c>
      <c r="BH1797" s="226" t="s">
        <v>1447</v>
      </c>
      <c r="BI1797" s="62" t="s">
        <v>479</v>
      </c>
      <c r="BJ1797" s="55" t="s">
        <v>176</v>
      </c>
      <c r="BK1797" s="55" t="s">
        <v>5976</v>
      </c>
      <c r="BM1797" s="192" t="s">
        <v>160</v>
      </c>
      <c r="BN1797" s="55">
        <v>3</v>
      </c>
      <c r="BO1797" s="55">
        <v>3</v>
      </c>
      <c r="BQ1797" s="55" t="s">
        <v>315</v>
      </c>
      <c r="CB1797" s="66">
        <f>57.8*1000</f>
        <v>57800</v>
      </c>
      <c r="CC1797" s="66">
        <f>54.5*1000</f>
        <v>54500</v>
      </c>
      <c r="DB1797" s="65">
        <v>65.900000000000006</v>
      </c>
      <c r="DC1797" s="65">
        <v>78.599999999999994</v>
      </c>
      <c r="DF1797" s="65" t="s">
        <v>1446</v>
      </c>
      <c r="GP1797" s="292" t="s">
        <v>7494</v>
      </c>
      <c r="IC1797" s="65">
        <v>55</v>
      </c>
      <c r="ID1797" s="65">
        <v>65.2</v>
      </c>
      <c r="IG1797" s="65" t="s">
        <v>1443</v>
      </c>
      <c r="JS1797" s="65">
        <v>99999</v>
      </c>
      <c r="JU1797" s="55" t="s">
        <v>1444</v>
      </c>
    </row>
    <row r="1798" spans="1:281" x14ac:dyDescent="0.25">
      <c r="A1798" s="55">
        <v>1797</v>
      </c>
      <c r="B1798" s="12" t="s">
        <v>7067</v>
      </c>
      <c r="C1798" s="155">
        <v>85</v>
      </c>
      <c r="D1798" s="55" t="s">
        <v>4033</v>
      </c>
      <c r="E1798" s="90" t="s">
        <v>1440</v>
      </c>
      <c r="G1798" s="55" t="s">
        <v>1441</v>
      </c>
      <c r="H1798" s="55">
        <v>2018</v>
      </c>
      <c r="I1798" s="55">
        <v>2015</v>
      </c>
      <c r="J1798" s="55" t="s">
        <v>276</v>
      </c>
      <c r="K1798" s="55" t="s">
        <v>1442</v>
      </c>
      <c r="L1798" s="55" t="s">
        <v>2737</v>
      </c>
      <c r="M1798" s="90">
        <v>34.67</v>
      </c>
      <c r="N1798" s="90">
        <v>-82.85</v>
      </c>
      <c r="O1798" s="90">
        <v>191</v>
      </c>
      <c r="U1798" s="55" t="s">
        <v>1688</v>
      </c>
      <c r="V1798" s="55" t="s">
        <v>1688</v>
      </c>
      <c r="Y1798" s="55" t="s">
        <v>1973</v>
      </c>
      <c r="Z1798" s="55" t="s">
        <v>1349</v>
      </c>
      <c r="AA1798" s="90" t="s">
        <v>1677</v>
      </c>
      <c r="AH1798" s="55" t="s">
        <v>238</v>
      </c>
      <c r="AN1798" s="185" t="s">
        <v>1544</v>
      </c>
      <c r="AO1798" s="185" t="s">
        <v>5150</v>
      </c>
      <c r="AQ1798" s="55" t="s">
        <v>1546</v>
      </c>
      <c r="AR1798" s="55" t="s">
        <v>1445</v>
      </c>
      <c r="AS1798" s="55" t="s">
        <v>227</v>
      </c>
      <c r="AT1798" s="181" t="s">
        <v>1065</v>
      </c>
      <c r="AU1798" s="181" t="s">
        <v>5150</v>
      </c>
      <c r="AV1798" s="185" t="s">
        <v>176</v>
      </c>
      <c r="AW1798" s="55" t="s">
        <v>1065</v>
      </c>
      <c r="AX1798" s="185" t="s">
        <v>176</v>
      </c>
      <c r="AY1798" s="55" t="s">
        <v>176</v>
      </c>
      <c r="AZ1798" s="55" t="s">
        <v>464</v>
      </c>
      <c r="BA1798" s="55" t="s">
        <v>156</v>
      </c>
      <c r="BB1798" s="55" t="s">
        <v>2081</v>
      </c>
      <c r="BC1798" s="55" t="s">
        <v>2081</v>
      </c>
      <c r="BD1798" s="55" t="s">
        <v>479</v>
      </c>
      <c r="BE1798" s="226" t="s">
        <v>1447</v>
      </c>
      <c r="BF1798" s="191" t="s">
        <v>176</v>
      </c>
      <c r="BG1798" s="62" t="s">
        <v>479</v>
      </c>
      <c r="BH1798" s="226" t="s">
        <v>1447</v>
      </c>
      <c r="BI1798" s="62" t="s">
        <v>479</v>
      </c>
      <c r="BJ1798" s="55" t="s">
        <v>176</v>
      </c>
      <c r="BK1798" s="55" t="s">
        <v>5976</v>
      </c>
      <c r="BM1798" s="192" t="s">
        <v>160</v>
      </c>
      <c r="BN1798" s="55">
        <v>3</v>
      </c>
      <c r="BO1798" s="55">
        <v>3</v>
      </c>
      <c r="BQ1798" s="55" t="s">
        <v>315</v>
      </c>
      <c r="CB1798" s="66">
        <f>25.14*1000</f>
        <v>25140</v>
      </c>
      <c r="CC1798" s="66">
        <f>23.32*1000</f>
        <v>23320</v>
      </c>
      <c r="DB1798" s="65">
        <v>103.8</v>
      </c>
      <c r="DC1798" s="65">
        <v>100</v>
      </c>
      <c r="DF1798" s="65" t="s">
        <v>1446</v>
      </c>
      <c r="GP1798" s="292" t="s">
        <v>7494</v>
      </c>
      <c r="IC1798" s="65">
        <v>91.8</v>
      </c>
      <c r="ID1798" s="65">
        <v>90.6</v>
      </c>
      <c r="IG1798" s="65" t="s">
        <v>1443</v>
      </c>
      <c r="JS1798" s="65">
        <v>99999</v>
      </c>
      <c r="JU1798" s="55" t="s">
        <v>1444</v>
      </c>
    </row>
    <row r="1799" spans="1:281" x14ac:dyDescent="0.25">
      <c r="A1799" s="55">
        <v>1798</v>
      </c>
      <c r="B1799" s="12" t="s">
        <v>7067</v>
      </c>
      <c r="C1799" s="155">
        <v>86</v>
      </c>
      <c r="D1799" s="55" t="s">
        <v>4034</v>
      </c>
      <c r="E1799" s="90" t="s">
        <v>1019</v>
      </c>
      <c r="G1799" s="55" t="s">
        <v>1020</v>
      </c>
      <c r="H1799" s="55">
        <v>2006</v>
      </c>
      <c r="I1799" s="55">
        <v>2002</v>
      </c>
      <c r="J1799" s="55" t="s">
        <v>309</v>
      </c>
      <c r="K1799" s="55" t="s">
        <v>1448</v>
      </c>
      <c r="L1799" s="55" t="s">
        <v>2737</v>
      </c>
      <c r="M1799" s="90">
        <v>40.07</v>
      </c>
      <c r="N1799" s="90">
        <v>-82.85</v>
      </c>
      <c r="O1799" s="90">
        <v>223</v>
      </c>
      <c r="U1799" s="55" t="s">
        <v>1682</v>
      </c>
      <c r="V1799" s="55" t="s">
        <v>1801</v>
      </c>
      <c r="Y1799" s="55" t="s">
        <v>1974</v>
      </c>
      <c r="Z1799" s="55" t="s">
        <v>1361</v>
      </c>
      <c r="AA1799" s="90" t="s">
        <v>1682</v>
      </c>
      <c r="AD1799" s="90">
        <f>(1.32+1.4+1.45+1.45)/4</f>
        <v>1.405</v>
      </c>
      <c r="AE1799" s="90">
        <v>27.3</v>
      </c>
      <c r="AF1799" s="90">
        <v>58.7</v>
      </c>
      <c r="AH1799" s="55" t="s">
        <v>6378</v>
      </c>
      <c r="AM1799" s="55" t="s">
        <v>1449</v>
      </c>
      <c r="AN1799" s="185" t="s">
        <v>131</v>
      </c>
      <c r="AO1799" s="185" t="s">
        <v>5150</v>
      </c>
      <c r="AQ1799" s="55" t="s">
        <v>131</v>
      </c>
      <c r="AR1799" s="55" t="s">
        <v>1558</v>
      </c>
      <c r="AS1799" s="55" t="s">
        <v>1575</v>
      </c>
      <c r="AT1799" s="181" t="s">
        <v>1450</v>
      </c>
      <c r="AU1799" s="181" t="s">
        <v>5150</v>
      </c>
      <c r="AV1799" s="185" t="s">
        <v>176</v>
      </c>
      <c r="AW1799" s="55" t="s">
        <v>1451</v>
      </c>
      <c r="AX1799" s="185" t="s">
        <v>479</v>
      </c>
      <c r="AY1799" s="55" t="s">
        <v>479</v>
      </c>
      <c r="BG1799" s="62"/>
      <c r="BI1799" s="62"/>
      <c r="BK1799" s="55" t="s">
        <v>5976</v>
      </c>
      <c r="BM1799" s="192" t="s">
        <v>119</v>
      </c>
      <c r="BN1799" s="55">
        <v>4</v>
      </c>
      <c r="BO1799" s="55">
        <v>4</v>
      </c>
      <c r="BQ1799" s="55" t="s">
        <v>141</v>
      </c>
      <c r="CH1799" s="90">
        <v>1.32</v>
      </c>
      <c r="CI1799" s="90">
        <v>1.24</v>
      </c>
      <c r="CM1799" s="65">
        <v>4.2</v>
      </c>
      <c r="CN1799" s="65">
        <v>4.4000000000000004</v>
      </c>
      <c r="CQ1799" s="65" t="s">
        <v>977</v>
      </c>
      <c r="CV1799" s="65" t="s">
        <v>1630</v>
      </c>
      <c r="DA1799" s="65" t="s">
        <v>4457</v>
      </c>
      <c r="DB1799" s="65">
        <f>10^1</f>
        <v>10</v>
      </c>
      <c r="DC1799" s="65">
        <f>10^1</f>
        <v>10</v>
      </c>
      <c r="DF1799" s="65" t="s">
        <v>979</v>
      </c>
      <c r="DG1799" s="65">
        <v>5.3</v>
      </c>
      <c r="DH1799" s="65">
        <v>5.9</v>
      </c>
      <c r="EK1799" s="90">
        <v>38</v>
      </c>
      <c r="EL1799" s="90">
        <v>41</v>
      </c>
      <c r="EP1799" s="65">
        <v>39</v>
      </c>
      <c r="EQ1799" s="65">
        <v>41</v>
      </c>
      <c r="ET1799" s="65" t="s">
        <v>987</v>
      </c>
      <c r="EU1799" s="65">
        <v>3.1</v>
      </c>
      <c r="EV1799" s="65">
        <v>3</v>
      </c>
      <c r="GD1799" s="65">
        <v>35.200000000000003</v>
      </c>
      <c r="GE1799" s="65">
        <v>36.4</v>
      </c>
      <c r="GH1799" s="65" t="s">
        <v>1457</v>
      </c>
      <c r="GI1799" s="65">
        <v>24.3</v>
      </c>
      <c r="GJ1799" s="65">
        <v>25.3</v>
      </c>
      <c r="GM1799" s="65" t="s">
        <v>1456</v>
      </c>
      <c r="GP1799" s="292" t="s">
        <v>7494</v>
      </c>
      <c r="JU1799" s="55" t="s">
        <v>1454</v>
      </c>
    </row>
    <row r="1800" spans="1:281" x14ac:dyDescent="0.25">
      <c r="A1800" s="55">
        <v>1799</v>
      </c>
      <c r="B1800" s="12" t="s">
        <v>7067</v>
      </c>
      <c r="C1800" s="155">
        <v>86</v>
      </c>
      <c r="D1800" s="55" t="s">
        <v>4034</v>
      </c>
      <c r="E1800" s="90" t="s">
        <v>1019</v>
      </c>
      <c r="G1800" s="55" t="s">
        <v>1020</v>
      </c>
      <c r="H1800" s="55">
        <v>2006</v>
      </c>
      <c r="I1800" s="55">
        <v>2002</v>
      </c>
      <c r="J1800" s="55" t="s">
        <v>309</v>
      </c>
      <c r="K1800" s="55" t="s">
        <v>1448</v>
      </c>
      <c r="L1800" s="55" t="s">
        <v>2737</v>
      </c>
      <c r="M1800" s="90">
        <v>40.07</v>
      </c>
      <c r="N1800" s="90">
        <v>-82.85</v>
      </c>
      <c r="O1800" s="90">
        <v>223</v>
      </c>
      <c r="U1800" s="55" t="s">
        <v>1682</v>
      </c>
      <c r="V1800" s="55" t="s">
        <v>1801</v>
      </c>
      <c r="Y1800" s="55" t="s">
        <v>1974</v>
      </c>
      <c r="Z1800" s="55" t="s">
        <v>1361</v>
      </c>
      <c r="AA1800" s="90" t="s">
        <v>1682</v>
      </c>
      <c r="AD1800" s="90">
        <f>(1.32+1.4+1.45+1.45)/4</f>
        <v>1.405</v>
      </c>
      <c r="AE1800" s="90">
        <v>27.3</v>
      </c>
      <c r="AF1800" s="90">
        <v>58.7</v>
      </c>
      <c r="AH1800" s="55" t="s">
        <v>6378</v>
      </c>
      <c r="AM1800" s="55" t="s">
        <v>1449</v>
      </c>
      <c r="AN1800" s="185" t="s">
        <v>1482</v>
      </c>
      <c r="AO1800" s="185" t="s">
        <v>5150</v>
      </c>
      <c r="AQ1800" s="55" t="s">
        <v>1546</v>
      </c>
      <c r="AR1800" s="55" t="s">
        <v>1558</v>
      </c>
      <c r="AS1800" s="55" t="s">
        <v>1575</v>
      </c>
      <c r="AT1800" s="181" t="s">
        <v>1450</v>
      </c>
      <c r="AU1800" s="181" t="s">
        <v>5150</v>
      </c>
      <c r="AV1800" s="185" t="s">
        <v>176</v>
      </c>
      <c r="AW1800" s="55" t="s">
        <v>1452</v>
      </c>
      <c r="AX1800" s="185" t="s">
        <v>479</v>
      </c>
      <c r="AY1800" s="55" t="s">
        <v>479</v>
      </c>
      <c r="BG1800" s="62"/>
      <c r="BI1800" s="62"/>
      <c r="BK1800" s="55" t="s">
        <v>5976</v>
      </c>
      <c r="BM1800" s="192" t="s">
        <v>119</v>
      </c>
      <c r="BN1800" s="55">
        <v>4</v>
      </c>
      <c r="BO1800" s="55">
        <v>4</v>
      </c>
      <c r="BQ1800" s="55" t="s">
        <v>141</v>
      </c>
      <c r="CH1800" s="90">
        <v>1.32</v>
      </c>
      <c r="CI1800" s="90">
        <v>1.23</v>
      </c>
      <c r="CM1800" s="65">
        <v>4.2</v>
      </c>
      <c r="CN1800" s="65">
        <v>4.5</v>
      </c>
      <c r="CQ1800" s="65" t="s">
        <v>977</v>
      </c>
      <c r="CV1800" s="65" t="s">
        <v>1630</v>
      </c>
      <c r="DA1800" s="65" t="s">
        <v>4457</v>
      </c>
      <c r="DB1800" s="65">
        <f>10^1</f>
        <v>10</v>
      </c>
      <c r="DC1800" s="65">
        <f>10^1</f>
        <v>10</v>
      </c>
      <c r="DF1800" s="65" t="s">
        <v>979</v>
      </c>
      <c r="EU1800" s="65">
        <v>3.1</v>
      </c>
      <c r="EV1800" s="65">
        <v>3</v>
      </c>
      <c r="GP1800" s="292" t="s">
        <v>7494</v>
      </c>
      <c r="JU1800" s="55" t="s">
        <v>1454</v>
      </c>
    </row>
    <row r="1801" spans="1:281" x14ac:dyDescent="0.25">
      <c r="A1801" s="55">
        <v>1800</v>
      </c>
      <c r="B1801" s="12" t="s">
        <v>7067</v>
      </c>
      <c r="C1801" s="155">
        <v>86</v>
      </c>
      <c r="D1801" s="55" t="s">
        <v>4034</v>
      </c>
      <c r="E1801" s="90" t="s">
        <v>1019</v>
      </c>
      <c r="G1801" s="55" t="s">
        <v>1020</v>
      </c>
      <c r="H1801" s="55">
        <v>2006</v>
      </c>
      <c r="I1801" s="55">
        <v>2002</v>
      </c>
      <c r="J1801" s="55" t="s">
        <v>309</v>
      </c>
      <c r="K1801" s="55" t="s">
        <v>1448</v>
      </c>
      <c r="L1801" s="55" t="s">
        <v>2737</v>
      </c>
      <c r="M1801" s="90">
        <v>40.07</v>
      </c>
      <c r="N1801" s="90">
        <v>-82.85</v>
      </c>
      <c r="O1801" s="90">
        <v>223</v>
      </c>
      <c r="U1801" s="55" t="s">
        <v>1682</v>
      </c>
      <c r="V1801" s="55" t="s">
        <v>1801</v>
      </c>
      <c r="Y1801" s="55" t="s">
        <v>1974</v>
      </c>
      <c r="Z1801" s="55" t="s">
        <v>1361</v>
      </c>
      <c r="AA1801" s="90" t="s">
        <v>1682</v>
      </c>
      <c r="AD1801" s="90">
        <f>(1.32+1.4+1.45+1.45)/4</f>
        <v>1.405</v>
      </c>
      <c r="AE1801" s="90">
        <v>27.3</v>
      </c>
      <c r="AF1801" s="90">
        <v>58.7</v>
      </c>
      <c r="AH1801" s="55" t="s">
        <v>6378</v>
      </c>
      <c r="AM1801" s="55" t="s">
        <v>1449</v>
      </c>
      <c r="AN1801" s="185" t="s">
        <v>1543</v>
      </c>
      <c r="AO1801" s="185" t="s">
        <v>5150</v>
      </c>
      <c r="AQ1801" s="55" t="s">
        <v>610</v>
      </c>
      <c r="AR1801" s="55" t="s">
        <v>1558</v>
      </c>
      <c r="AS1801" s="55" t="s">
        <v>1575</v>
      </c>
      <c r="AT1801" s="181" t="s">
        <v>1450</v>
      </c>
      <c r="AU1801" s="181" t="s">
        <v>5150</v>
      </c>
      <c r="AV1801" s="185" t="s">
        <v>176</v>
      </c>
      <c r="AW1801" s="55" t="s">
        <v>1453</v>
      </c>
      <c r="AX1801" s="185" t="s">
        <v>479</v>
      </c>
      <c r="AY1801" s="55" t="s">
        <v>479</v>
      </c>
      <c r="BK1801" s="55" t="s">
        <v>5976</v>
      </c>
      <c r="BM1801" s="192" t="s">
        <v>119</v>
      </c>
      <c r="BN1801" s="55">
        <v>4</v>
      </c>
      <c r="BO1801" s="55">
        <v>4</v>
      </c>
      <c r="BQ1801" s="55" t="s">
        <v>141</v>
      </c>
      <c r="CH1801" s="90">
        <v>1.32</v>
      </c>
      <c r="CI1801" s="90">
        <v>1.23</v>
      </c>
      <c r="CM1801" s="65">
        <v>4.2</v>
      </c>
      <c r="CN1801" s="65">
        <v>4.7</v>
      </c>
      <c r="CQ1801" s="65" t="s">
        <v>977</v>
      </c>
      <c r="CV1801" s="65" t="s">
        <v>1630</v>
      </c>
      <c r="DA1801" s="65" t="s">
        <v>4457</v>
      </c>
      <c r="DB1801" s="65">
        <f>10^1</f>
        <v>10</v>
      </c>
      <c r="DC1801" s="65">
        <f>10^0.9</f>
        <v>7.9432823472428176</v>
      </c>
      <c r="DF1801" s="65" t="s">
        <v>979</v>
      </c>
      <c r="EU1801" s="65">
        <v>3.1</v>
      </c>
      <c r="EV1801" s="65">
        <v>3.1</v>
      </c>
      <c r="GP1801" s="292" t="s">
        <v>7494</v>
      </c>
      <c r="JU1801" s="55" t="s">
        <v>1454</v>
      </c>
    </row>
    <row r="1802" spans="1:281" x14ac:dyDescent="0.25">
      <c r="A1802" s="55">
        <v>1801</v>
      </c>
      <c r="B1802" s="12" t="s">
        <v>7067</v>
      </c>
      <c r="C1802" s="155">
        <v>86</v>
      </c>
      <c r="D1802" s="55" t="s">
        <v>4035</v>
      </c>
      <c r="E1802" s="90" t="s">
        <v>1019</v>
      </c>
      <c r="G1802" s="55" t="s">
        <v>1020</v>
      </c>
      <c r="H1802" s="55">
        <v>2006</v>
      </c>
      <c r="I1802" s="55">
        <v>2002</v>
      </c>
      <c r="J1802" s="55" t="s">
        <v>309</v>
      </c>
      <c r="K1802" s="55" t="s">
        <v>1448</v>
      </c>
      <c r="L1802" s="55" t="s">
        <v>2737</v>
      </c>
      <c r="M1802" s="90">
        <v>40.07</v>
      </c>
      <c r="N1802" s="90">
        <v>-82.85</v>
      </c>
      <c r="O1802" s="90">
        <v>223</v>
      </c>
      <c r="U1802" s="55" t="s">
        <v>1682</v>
      </c>
      <c r="V1802" s="55" t="s">
        <v>1801</v>
      </c>
      <c r="Y1802" s="55" t="s">
        <v>1974</v>
      </c>
      <c r="Z1802" s="55" t="s">
        <v>1368</v>
      </c>
      <c r="AA1802" s="90" t="s">
        <v>1682</v>
      </c>
      <c r="AD1802" s="90">
        <f>(1.32+1.4+1.45+1.45)/4</f>
        <v>1.405</v>
      </c>
      <c r="AE1802" s="90">
        <v>27.3</v>
      </c>
      <c r="AF1802" s="90">
        <v>58.7</v>
      </c>
      <c r="AH1802" s="55" t="s">
        <v>6378</v>
      </c>
      <c r="AM1802" s="55" t="s">
        <v>1449</v>
      </c>
      <c r="AN1802" s="185" t="s">
        <v>131</v>
      </c>
      <c r="AO1802" s="185" t="s">
        <v>5150</v>
      </c>
      <c r="AQ1802" s="55" t="s">
        <v>131</v>
      </c>
      <c r="AR1802" s="55" t="s">
        <v>1558</v>
      </c>
      <c r="AS1802" s="55" t="s">
        <v>1575</v>
      </c>
      <c r="AT1802" s="181" t="s">
        <v>1450</v>
      </c>
      <c r="AU1802" s="181" t="s">
        <v>5150</v>
      </c>
      <c r="AV1802" s="185" t="s">
        <v>176</v>
      </c>
      <c r="AW1802" s="55" t="s">
        <v>1451</v>
      </c>
      <c r="AX1802" s="185" t="s">
        <v>479</v>
      </c>
      <c r="AY1802" s="55" t="s">
        <v>479</v>
      </c>
      <c r="BK1802" s="55" t="s">
        <v>5976</v>
      </c>
      <c r="BM1802" s="192" t="s">
        <v>119</v>
      </c>
      <c r="BN1802" s="55">
        <v>4</v>
      </c>
      <c r="BO1802" s="55">
        <v>4</v>
      </c>
      <c r="BQ1802" s="55" t="s">
        <v>141</v>
      </c>
      <c r="CH1802" s="90">
        <v>1.4</v>
      </c>
      <c r="CI1802" s="90">
        <v>1.38</v>
      </c>
      <c r="CM1802" s="65">
        <v>3.3</v>
      </c>
      <c r="CN1802" s="65">
        <v>3.5</v>
      </c>
      <c r="CQ1802" s="65" t="s">
        <v>977</v>
      </c>
      <c r="CV1802" s="65" t="s">
        <v>1630</v>
      </c>
      <c r="DA1802" s="65" t="s">
        <v>4457</v>
      </c>
      <c r="DB1802" s="65">
        <f>10^1.1</f>
        <v>12.58925411794168</v>
      </c>
      <c r="DC1802" s="65">
        <f>10^1</f>
        <v>10</v>
      </c>
      <c r="DF1802" s="65" t="s">
        <v>979</v>
      </c>
      <c r="DG1802" s="65">
        <v>5.8</v>
      </c>
      <c r="DH1802" s="65">
        <v>5.9</v>
      </c>
      <c r="EK1802" s="90">
        <v>38</v>
      </c>
      <c r="EL1802" s="90">
        <v>43</v>
      </c>
      <c r="EP1802" s="65">
        <v>39</v>
      </c>
      <c r="EQ1802" s="65">
        <v>40.299999999999997</v>
      </c>
      <c r="ET1802" s="65" t="s">
        <v>987</v>
      </c>
      <c r="EU1802" s="65">
        <v>3.3</v>
      </c>
      <c r="EV1802" s="65">
        <v>3.2</v>
      </c>
      <c r="GD1802" s="65">
        <v>35.200000000000003</v>
      </c>
      <c r="GE1802" s="65">
        <v>36.4</v>
      </c>
      <c r="GH1802" s="65" t="s">
        <v>1457</v>
      </c>
      <c r="GI1802" s="65">
        <v>24.3</v>
      </c>
      <c r="GJ1802" s="65">
        <v>25.6</v>
      </c>
      <c r="GM1802" s="65" t="s">
        <v>1456</v>
      </c>
      <c r="GP1802" s="292" t="s">
        <v>7494</v>
      </c>
      <c r="JU1802" s="55" t="s">
        <v>1454</v>
      </c>
    </row>
    <row r="1803" spans="1:281" x14ac:dyDescent="0.25">
      <c r="A1803" s="55">
        <v>1802</v>
      </c>
      <c r="B1803" s="12" t="s">
        <v>7067</v>
      </c>
      <c r="C1803" s="155">
        <v>86</v>
      </c>
      <c r="D1803" s="55" t="s">
        <v>4035</v>
      </c>
      <c r="E1803" s="90" t="s">
        <v>1019</v>
      </c>
      <c r="G1803" s="55" t="s">
        <v>1020</v>
      </c>
      <c r="H1803" s="55">
        <v>2006</v>
      </c>
      <c r="I1803" s="55">
        <v>2002</v>
      </c>
      <c r="J1803" s="55" t="s">
        <v>309</v>
      </c>
      <c r="K1803" s="55" t="s">
        <v>1448</v>
      </c>
      <c r="L1803" s="55" t="s">
        <v>2737</v>
      </c>
      <c r="M1803" s="90">
        <v>40.07</v>
      </c>
      <c r="N1803" s="90">
        <v>-82.85</v>
      </c>
      <c r="O1803" s="90">
        <v>223</v>
      </c>
      <c r="U1803" s="55" t="s">
        <v>1682</v>
      </c>
      <c r="V1803" s="55" t="s">
        <v>1801</v>
      </c>
      <c r="Y1803" s="55" t="s">
        <v>1974</v>
      </c>
      <c r="Z1803" s="55" t="s">
        <v>1368</v>
      </c>
      <c r="AA1803" s="90" t="s">
        <v>1682</v>
      </c>
      <c r="AD1803" s="90">
        <f>(1.32+1.4+1.45+1.45)/4</f>
        <v>1.405</v>
      </c>
      <c r="AE1803" s="90">
        <v>27.3</v>
      </c>
      <c r="AF1803" s="90">
        <v>58.7</v>
      </c>
      <c r="AH1803" s="55" t="s">
        <v>6378</v>
      </c>
      <c r="AM1803" s="55" t="s">
        <v>1449</v>
      </c>
      <c r="AN1803" s="185" t="s">
        <v>1482</v>
      </c>
      <c r="AO1803" s="185" t="s">
        <v>5150</v>
      </c>
      <c r="AQ1803" s="55" t="s">
        <v>1546</v>
      </c>
      <c r="AR1803" s="55" t="s">
        <v>1558</v>
      </c>
      <c r="AS1803" s="55" t="s">
        <v>1575</v>
      </c>
      <c r="AT1803" s="181" t="s">
        <v>1450</v>
      </c>
      <c r="AU1803" s="181" t="s">
        <v>5150</v>
      </c>
      <c r="AV1803" s="185" t="s">
        <v>176</v>
      </c>
      <c r="AW1803" s="55" t="s">
        <v>1452</v>
      </c>
      <c r="AX1803" s="185" t="s">
        <v>479</v>
      </c>
      <c r="AY1803" s="55" t="s">
        <v>479</v>
      </c>
      <c r="BK1803" s="55" t="s">
        <v>5976</v>
      </c>
      <c r="BM1803" s="192" t="s">
        <v>119</v>
      </c>
      <c r="BN1803" s="55">
        <v>4</v>
      </c>
      <c r="BO1803" s="55">
        <v>4</v>
      </c>
      <c r="BQ1803" s="55" t="s">
        <v>141</v>
      </c>
      <c r="CH1803" s="90">
        <v>1.4</v>
      </c>
      <c r="CI1803" s="90">
        <v>1.35</v>
      </c>
      <c r="CM1803" s="65">
        <v>3.3</v>
      </c>
      <c r="CN1803" s="65">
        <v>3.6</v>
      </c>
      <c r="CQ1803" s="65" t="s">
        <v>977</v>
      </c>
      <c r="CV1803" s="65" t="s">
        <v>1630</v>
      </c>
      <c r="DA1803" s="65" t="s">
        <v>4457</v>
      </c>
      <c r="DB1803" s="65">
        <f>10^1.1</f>
        <v>12.58925411794168</v>
      </c>
      <c r="DC1803" s="65">
        <f>10^0.6</f>
        <v>3.9810717055349727</v>
      </c>
      <c r="DF1803" s="65" t="s">
        <v>979</v>
      </c>
      <c r="EU1803" s="65">
        <v>3.3</v>
      </c>
      <c r="EV1803" s="65">
        <v>3.2</v>
      </c>
      <c r="GP1803" s="292" t="s">
        <v>7494</v>
      </c>
      <c r="JU1803" s="55" t="s">
        <v>1454</v>
      </c>
    </row>
    <row r="1804" spans="1:281" x14ac:dyDescent="0.25">
      <c r="A1804" s="55">
        <v>1803</v>
      </c>
      <c r="B1804" s="12" t="s">
        <v>7067</v>
      </c>
      <c r="C1804" s="155">
        <v>86</v>
      </c>
      <c r="D1804" s="55" t="s">
        <v>4035</v>
      </c>
      <c r="E1804" s="90" t="s">
        <v>1019</v>
      </c>
      <c r="G1804" s="55" t="s">
        <v>1020</v>
      </c>
      <c r="H1804" s="55">
        <v>2006</v>
      </c>
      <c r="I1804" s="55">
        <v>2002</v>
      </c>
      <c r="J1804" s="55" t="s">
        <v>309</v>
      </c>
      <c r="K1804" s="55" t="s">
        <v>1448</v>
      </c>
      <c r="L1804" s="55" t="s">
        <v>2737</v>
      </c>
      <c r="M1804" s="90">
        <v>40.07</v>
      </c>
      <c r="N1804" s="90">
        <v>-82.85</v>
      </c>
      <c r="O1804" s="90">
        <v>223</v>
      </c>
      <c r="U1804" s="55" t="s">
        <v>1682</v>
      </c>
      <c r="V1804" s="55" t="s">
        <v>1801</v>
      </c>
      <c r="Y1804" s="55" t="s">
        <v>1974</v>
      </c>
      <c r="Z1804" s="55" t="s">
        <v>1368</v>
      </c>
      <c r="AA1804" s="90" t="s">
        <v>1682</v>
      </c>
      <c r="AD1804" s="90">
        <f>(1.32+1.4+1.45+1.45)/4</f>
        <v>1.405</v>
      </c>
      <c r="AE1804" s="90">
        <v>27.3</v>
      </c>
      <c r="AF1804" s="90">
        <v>58.7</v>
      </c>
      <c r="AH1804" s="55" t="s">
        <v>6378</v>
      </c>
      <c r="AM1804" s="55" t="s">
        <v>1449</v>
      </c>
      <c r="AN1804" s="185" t="s">
        <v>1543</v>
      </c>
      <c r="AO1804" s="185" t="s">
        <v>5150</v>
      </c>
      <c r="AQ1804" s="55" t="s">
        <v>610</v>
      </c>
      <c r="AR1804" s="55" t="s">
        <v>1558</v>
      </c>
      <c r="AS1804" s="55" t="s">
        <v>1575</v>
      </c>
      <c r="AT1804" s="181" t="s">
        <v>1450</v>
      </c>
      <c r="AU1804" s="181" t="s">
        <v>5150</v>
      </c>
      <c r="AV1804" s="185" t="s">
        <v>176</v>
      </c>
      <c r="AW1804" s="55" t="s">
        <v>1453</v>
      </c>
      <c r="AX1804" s="185" t="s">
        <v>479</v>
      </c>
      <c r="AY1804" s="55" t="s">
        <v>479</v>
      </c>
      <c r="BK1804" s="55" t="s">
        <v>5976</v>
      </c>
      <c r="BM1804" s="192" t="s">
        <v>119</v>
      </c>
      <c r="BN1804" s="55">
        <v>4</v>
      </c>
      <c r="BO1804" s="55">
        <v>4</v>
      </c>
      <c r="BQ1804" s="55" t="s">
        <v>141</v>
      </c>
      <c r="CH1804" s="90">
        <v>1.4</v>
      </c>
      <c r="CI1804" s="90">
        <v>1.36</v>
      </c>
      <c r="CM1804" s="65">
        <v>3.3</v>
      </c>
      <c r="CN1804" s="65">
        <v>3.8</v>
      </c>
      <c r="CQ1804" s="65" t="s">
        <v>977</v>
      </c>
      <c r="CV1804" s="65" t="s">
        <v>1630</v>
      </c>
      <c r="DA1804" s="65" t="s">
        <v>4457</v>
      </c>
      <c r="DB1804" s="65">
        <f>10^1.1</f>
        <v>12.58925411794168</v>
      </c>
      <c r="DC1804" s="65">
        <f>10^0.9</f>
        <v>7.9432823472428176</v>
      </c>
      <c r="DF1804" s="65" t="s">
        <v>979</v>
      </c>
      <c r="EU1804" s="65">
        <v>3.3</v>
      </c>
      <c r="EV1804" s="65">
        <v>3.2</v>
      </c>
      <c r="GP1804" s="292" t="s">
        <v>7494</v>
      </c>
      <c r="JU1804" s="55" t="s">
        <v>1454</v>
      </c>
    </row>
    <row r="1805" spans="1:281" x14ac:dyDescent="0.25">
      <c r="A1805" s="55">
        <v>1804</v>
      </c>
      <c r="B1805" s="12" t="s">
        <v>7067</v>
      </c>
      <c r="C1805" s="155">
        <v>86</v>
      </c>
      <c r="D1805" s="55" t="s">
        <v>4036</v>
      </c>
      <c r="E1805" s="90" t="s">
        <v>1019</v>
      </c>
      <c r="G1805" s="55" t="s">
        <v>1020</v>
      </c>
      <c r="H1805" s="55">
        <v>2006</v>
      </c>
      <c r="I1805" s="55">
        <v>2002</v>
      </c>
      <c r="J1805" s="55" t="s">
        <v>309</v>
      </c>
      <c r="K1805" s="55" t="s">
        <v>1448</v>
      </c>
      <c r="L1805" s="55" t="s">
        <v>2737</v>
      </c>
      <c r="M1805" s="90">
        <v>40.07</v>
      </c>
      <c r="N1805" s="90">
        <v>-82.85</v>
      </c>
      <c r="O1805" s="90">
        <v>223</v>
      </c>
      <c r="U1805" s="55" t="s">
        <v>1682</v>
      </c>
      <c r="V1805" s="55" t="s">
        <v>1801</v>
      </c>
      <c r="Y1805" s="55" t="s">
        <v>1974</v>
      </c>
      <c r="Z1805" s="55" t="s">
        <v>1376</v>
      </c>
      <c r="AA1805" s="90" t="s">
        <v>1682</v>
      </c>
      <c r="AD1805" s="90">
        <f>(1.32+1.4+1.45+1.45)/4</f>
        <v>1.405</v>
      </c>
      <c r="AE1805" s="90">
        <v>27.3</v>
      </c>
      <c r="AF1805" s="90">
        <v>58.7</v>
      </c>
      <c r="AH1805" s="55" t="s">
        <v>6378</v>
      </c>
      <c r="AM1805" s="55" t="s">
        <v>1449</v>
      </c>
      <c r="AN1805" s="185" t="s">
        <v>131</v>
      </c>
      <c r="AO1805" s="185" t="s">
        <v>5150</v>
      </c>
      <c r="AQ1805" s="55" t="s">
        <v>131</v>
      </c>
      <c r="AR1805" s="55" t="s">
        <v>1558</v>
      </c>
      <c r="AS1805" s="55" t="s">
        <v>1575</v>
      </c>
      <c r="AT1805" s="181" t="s">
        <v>1450</v>
      </c>
      <c r="AU1805" s="181" t="s">
        <v>5150</v>
      </c>
      <c r="AV1805" s="185" t="s">
        <v>176</v>
      </c>
      <c r="AW1805" s="55" t="s">
        <v>1451</v>
      </c>
      <c r="AX1805" s="185" t="s">
        <v>479</v>
      </c>
      <c r="AY1805" s="55" t="s">
        <v>479</v>
      </c>
      <c r="BK1805" s="55" t="s">
        <v>5976</v>
      </c>
      <c r="BM1805" s="192" t="s">
        <v>119</v>
      </c>
      <c r="BN1805" s="55">
        <v>4</v>
      </c>
      <c r="BO1805" s="55">
        <v>4</v>
      </c>
      <c r="BQ1805" s="55" t="s">
        <v>141</v>
      </c>
      <c r="CH1805" s="90">
        <v>1.45</v>
      </c>
      <c r="CI1805" s="90">
        <v>1.46</v>
      </c>
      <c r="CM1805" s="65">
        <v>3.1</v>
      </c>
      <c r="CN1805" s="65">
        <v>3.3</v>
      </c>
      <c r="CQ1805" s="65" t="s">
        <v>977</v>
      </c>
      <c r="CV1805" s="65" t="s">
        <v>1630</v>
      </c>
      <c r="DA1805" s="65" t="s">
        <v>4457</v>
      </c>
      <c r="DB1805" s="65">
        <f>10^1.1</f>
        <v>12.58925411794168</v>
      </c>
      <c r="DC1805" s="65">
        <f>10^0.8</f>
        <v>6.3095734448019343</v>
      </c>
      <c r="DF1805" s="65" t="s">
        <v>979</v>
      </c>
      <c r="DG1805" s="65">
        <v>5.5</v>
      </c>
      <c r="DH1805" s="65">
        <v>5.9</v>
      </c>
      <c r="EK1805" s="90">
        <v>38</v>
      </c>
      <c r="EL1805" s="90">
        <v>44</v>
      </c>
      <c r="EP1805" s="65">
        <v>39</v>
      </c>
      <c r="EQ1805" s="65">
        <v>41.3</v>
      </c>
      <c r="ET1805" s="65" t="s">
        <v>987</v>
      </c>
      <c r="EU1805" s="65">
        <v>3.2</v>
      </c>
      <c r="EV1805" s="65">
        <v>3.2</v>
      </c>
      <c r="GD1805" s="65">
        <v>35.200000000000003</v>
      </c>
      <c r="GE1805" s="65">
        <v>37.299999999999997</v>
      </c>
      <c r="GH1805" s="65" t="s">
        <v>1457</v>
      </c>
      <c r="GI1805" s="65">
        <v>24.3</v>
      </c>
      <c r="GJ1805" s="65">
        <v>26.4</v>
      </c>
      <c r="GM1805" s="65" t="s">
        <v>1456</v>
      </c>
      <c r="GP1805" s="292" t="s">
        <v>7494</v>
      </c>
      <c r="JU1805" s="55" t="s">
        <v>1454</v>
      </c>
    </row>
    <row r="1806" spans="1:281" x14ac:dyDescent="0.25">
      <c r="A1806" s="55">
        <v>1805</v>
      </c>
      <c r="B1806" s="12" t="s">
        <v>7067</v>
      </c>
      <c r="C1806" s="155">
        <v>86</v>
      </c>
      <c r="D1806" s="55" t="s">
        <v>4036</v>
      </c>
      <c r="E1806" s="90" t="s">
        <v>1019</v>
      </c>
      <c r="G1806" s="55" t="s">
        <v>1020</v>
      </c>
      <c r="H1806" s="55">
        <v>2006</v>
      </c>
      <c r="I1806" s="55">
        <v>2002</v>
      </c>
      <c r="J1806" s="55" t="s">
        <v>309</v>
      </c>
      <c r="K1806" s="55" t="s">
        <v>1448</v>
      </c>
      <c r="L1806" s="55" t="s">
        <v>2737</v>
      </c>
      <c r="M1806" s="90">
        <v>40.07</v>
      </c>
      <c r="N1806" s="90">
        <v>-82.85</v>
      </c>
      <c r="O1806" s="90">
        <v>223</v>
      </c>
      <c r="U1806" s="55" t="s">
        <v>1682</v>
      </c>
      <c r="V1806" s="55" t="s">
        <v>1801</v>
      </c>
      <c r="Y1806" s="55" t="s">
        <v>1974</v>
      </c>
      <c r="Z1806" s="55" t="s">
        <v>1376</v>
      </c>
      <c r="AA1806" s="90" t="s">
        <v>1682</v>
      </c>
      <c r="AD1806" s="90">
        <f>(1.32+1.4+1.45+1.45)/4</f>
        <v>1.405</v>
      </c>
      <c r="AE1806" s="90">
        <v>27.3</v>
      </c>
      <c r="AF1806" s="90">
        <v>58.7</v>
      </c>
      <c r="AH1806" s="55" t="s">
        <v>6378</v>
      </c>
      <c r="AM1806" s="55" t="s">
        <v>1449</v>
      </c>
      <c r="AN1806" s="185" t="s">
        <v>1482</v>
      </c>
      <c r="AO1806" s="185" t="s">
        <v>5150</v>
      </c>
      <c r="AQ1806" s="55" t="s">
        <v>1546</v>
      </c>
      <c r="AR1806" s="55" t="s">
        <v>1558</v>
      </c>
      <c r="AS1806" s="55" t="s">
        <v>1575</v>
      </c>
      <c r="AT1806" s="181" t="s">
        <v>1450</v>
      </c>
      <c r="AU1806" s="181" t="s">
        <v>5150</v>
      </c>
      <c r="AV1806" s="185" t="s">
        <v>176</v>
      </c>
      <c r="AW1806" s="55" t="s">
        <v>1452</v>
      </c>
      <c r="AX1806" s="185" t="s">
        <v>479</v>
      </c>
      <c r="AY1806" s="55" t="s">
        <v>479</v>
      </c>
      <c r="BK1806" s="55" t="s">
        <v>5976</v>
      </c>
      <c r="BM1806" s="192" t="s">
        <v>119</v>
      </c>
      <c r="BN1806" s="55">
        <v>4</v>
      </c>
      <c r="BO1806" s="55">
        <v>4</v>
      </c>
      <c r="BQ1806" s="55" t="s">
        <v>141</v>
      </c>
      <c r="CH1806" s="90">
        <v>1.45</v>
      </c>
      <c r="CI1806" s="90">
        <v>1.5</v>
      </c>
      <c r="CM1806" s="65">
        <v>3.1</v>
      </c>
      <c r="CN1806" s="65">
        <v>3.4</v>
      </c>
      <c r="CQ1806" s="65" t="s">
        <v>977</v>
      </c>
      <c r="CV1806" s="65" t="s">
        <v>1630</v>
      </c>
      <c r="DA1806" s="65" t="s">
        <v>4457</v>
      </c>
      <c r="DB1806" s="65">
        <f>10^1.1</f>
        <v>12.58925411794168</v>
      </c>
      <c r="DC1806" s="65">
        <f>10^0.3</f>
        <v>1.9952623149688797</v>
      </c>
      <c r="DF1806" s="65" t="s">
        <v>979</v>
      </c>
      <c r="EU1806" s="65">
        <v>3.2</v>
      </c>
      <c r="EV1806" s="65">
        <v>3.3</v>
      </c>
      <c r="GP1806" s="292" t="s">
        <v>7494</v>
      </c>
      <c r="JU1806" s="55" t="s">
        <v>1454</v>
      </c>
    </row>
    <row r="1807" spans="1:281" x14ac:dyDescent="0.25">
      <c r="A1807" s="55">
        <v>1806</v>
      </c>
      <c r="B1807" s="12" t="s">
        <v>7067</v>
      </c>
      <c r="C1807" s="155">
        <v>86</v>
      </c>
      <c r="D1807" s="55" t="s">
        <v>4036</v>
      </c>
      <c r="E1807" s="90" t="s">
        <v>1019</v>
      </c>
      <c r="G1807" s="55" t="s">
        <v>1020</v>
      </c>
      <c r="H1807" s="55">
        <v>2006</v>
      </c>
      <c r="I1807" s="55">
        <v>2002</v>
      </c>
      <c r="J1807" s="55" t="s">
        <v>309</v>
      </c>
      <c r="K1807" s="55" t="s">
        <v>1448</v>
      </c>
      <c r="L1807" s="55" t="s">
        <v>2737</v>
      </c>
      <c r="M1807" s="90">
        <v>40.07</v>
      </c>
      <c r="N1807" s="90">
        <v>-82.85</v>
      </c>
      <c r="O1807" s="90">
        <v>223</v>
      </c>
      <c r="U1807" s="55" t="s">
        <v>1682</v>
      </c>
      <c r="V1807" s="55" t="s">
        <v>1801</v>
      </c>
      <c r="Y1807" s="55" t="s">
        <v>1974</v>
      </c>
      <c r="Z1807" s="55" t="s">
        <v>1376</v>
      </c>
      <c r="AA1807" s="90" t="s">
        <v>1682</v>
      </c>
      <c r="AD1807" s="90">
        <f>(1.32+1.4+1.45+1.45)/4</f>
        <v>1.405</v>
      </c>
      <c r="AE1807" s="90">
        <v>27.3</v>
      </c>
      <c r="AF1807" s="90">
        <v>58.7</v>
      </c>
      <c r="AH1807" s="55" t="s">
        <v>6378</v>
      </c>
      <c r="AM1807" s="55" t="s">
        <v>1449</v>
      </c>
      <c r="AN1807" s="185" t="s">
        <v>1543</v>
      </c>
      <c r="AO1807" s="185" t="s">
        <v>5150</v>
      </c>
      <c r="AQ1807" s="55" t="s">
        <v>610</v>
      </c>
      <c r="AR1807" s="55" t="s">
        <v>1558</v>
      </c>
      <c r="AS1807" s="55" t="s">
        <v>1575</v>
      </c>
      <c r="AT1807" s="181" t="s">
        <v>1450</v>
      </c>
      <c r="AU1807" s="181" t="s">
        <v>5150</v>
      </c>
      <c r="AV1807" s="185" t="s">
        <v>176</v>
      </c>
      <c r="AW1807" s="55" t="s">
        <v>1453</v>
      </c>
      <c r="AX1807" s="185" t="s">
        <v>479</v>
      </c>
      <c r="AY1807" s="55" t="s">
        <v>479</v>
      </c>
      <c r="BK1807" s="55" t="s">
        <v>5976</v>
      </c>
      <c r="BM1807" s="192" t="s">
        <v>119</v>
      </c>
      <c r="BN1807" s="55">
        <v>4</v>
      </c>
      <c r="BO1807" s="55">
        <v>4</v>
      </c>
      <c r="BQ1807" s="55" t="s">
        <v>141</v>
      </c>
      <c r="CH1807" s="90">
        <v>1.45</v>
      </c>
      <c r="CI1807" s="90">
        <v>1.43</v>
      </c>
      <c r="CM1807" s="65">
        <v>3.1</v>
      </c>
      <c r="CN1807" s="65">
        <v>3.6</v>
      </c>
      <c r="CQ1807" s="65" t="s">
        <v>977</v>
      </c>
      <c r="CV1807" s="65" t="s">
        <v>1630</v>
      </c>
      <c r="DA1807" s="65" t="s">
        <v>4457</v>
      </c>
      <c r="DB1807" s="65">
        <f>10^1.1</f>
        <v>12.58925411794168</v>
      </c>
      <c r="DC1807" s="65">
        <f>10^0.8</f>
        <v>6.3095734448019343</v>
      </c>
      <c r="DF1807" s="65" t="s">
        <v>979</v>
      </c>
      <c r="EU1807" s="65">
        <v>3.2</v>
      </c>
      <c r="EV1807" s="65">
        <v>3.3</v>
      </c>
      <c r="GP1807" s="292" t="s">
        <v>7494</v>
      </c>
      <c r="JU1807" s="55" t="s">
        <v>1454</v>
      </c>
    </row>
    <row r="1808" spans="1:281" x14ac:dyDescent="0.25">
      <c r="A1808" s="55">
        <v>1807</v>
      </c>
      <c r="B1808" s="12" t="s">
        <v>7067</v>
      </c>
      <c r="C1808" s="155">
        <v>86</v>
      </c>
      <c r="D1808" s="55" t="s">
        <v>4037</v>
      </c>
      <c r="E1808" s="90" t="s">
        <v>1019</v>
      </c>
      <c r="G1808" s="55" t="s">
        <v>1020</v>
      </c>
      <c r="H1808" s="55">
        <v>2006</v>
      </c>
      <c r="I1808" s="55">
        <v>2002</v>
      </c>
      <c r="J1808" s="55" t="s">
        <v>309</v>
      </c>
      <c r="K1808" s="55" t="s">
        <v>1448</v>
      </c>
      <c r="L1808" s="55" t="s">
        <v>2737</v>
      </c>
      <c r="M1808" s="90">
        <v>40.07</v>
      </c>
      <c r="N1808" s="90">
        <v>-82.85</v>
      </c>
      <c r="O1808" s="90">
        <v>223</v>
      </c>
      <c r="U1808" s="55" t="s">
        <v>1682</v>
      </c>
      <c r="V1808" s="55" t="s">
        <v>1801</v>
      </c>
      <c r="Y1808" s="55" t="s">
        <v>1974</v>
      </c>
      <c r="Z1808" s="55" t="s">
        <v>1357</v>
      </c>
      <c r="AA1808" s="90" t="s">
        <v>1677</v>
      </c>
      <c r="AD1808" s="90">
        <f>(1.32+1.4+1.45+1.45)/4</f>
        <v>1.405</v>
      </c>
      <c r="AE1808" s="90">
        <v>27.3</v>
      </c>
      <c r="AF1808" s="90">
        <v>58.7</v>
      </c>
      <c r="AH1808" s="55" t="s">
        <v>6378</v>
      </c>
      <c r="AM1808" s="55" t="s">
        <v>1449</v>
      </c>
      <c r="AN1808" s="185" t="s">
        <v>131</v>
      </c>
      <c r="AO1808" s="185" t="s">
        <v>5150</v>
      </c>
      <c r="AQ1808" s="55" t="s">
        <v>131</v>
      </c>
      <c r="AR1808" s="55" t="s">
        <v>1558</v>
      </c>
      <c r="AS1808" s="55" t="s">
        <v>1575</v>
      </c>
      <c r="AT1808" s="181" t="s">
        <v>1450</v>
      </c>
      <c r="AU1808" s="181" t="s">
        <v>5150</v>
      </c>
      <c r="AV1808" s="185" t="s">
        <v>176</v>
      </c>
      <c r="AW1808" s="55" t="s">
        <v>1451</v>
      </c>
      <c r="AX1808" s="185" t="s">
        <v>479</v>
      </c>
      <c r="AY1808" s="55" t="s">
        <v>479</v>
      </c>
      <c r="BK1808" s="55" t="s">
        <v>5976</v>
      </c>
      <c r="BM1808" s="192" t="s">
        <v>119</v>
      </c>
      <c r="BN1808" s="55">
        <v>4</v>
      </c>
      <c r="BO1808" s="55">
        <v>4</v>
      </c>
      <c r="BQ1808" s="55" t="s">
        <v>141</v>
      </c>
      <c r="CH1808" s="90">
        <v>1.45</v>
      </c>
      <c r="CI1808" s="90">
        <v>1.44</v>
      </c>
      <c r="CM1808" s="65">
        <v>3.5</v>
      </c>
      <c r="CN1808" s="65">
        <v>3.6</v>
      </c>
      <c r="CQ1808" s="65" t="s">
        <v>977</v>
      </c>
      <c r="CV1808" s="65" t="s">
        <v>1630</v>
      </c>
      <c r="DA1808" s="65" t="s">
        <v>4457</v>
      </c>
      <c r="DB1808" s="65">
        <f>10^1</f>
        <v>10</v>
      </c>
      <c r="DC1808" s="65">
        <f>10^0.9</f>
        <v>7.9432823472428176</v>
      </c>
      <c r="DF1808" s="65" t="s">
        <v>979</v>
      </c>
      <c r="EU1808" s="65">
        <v>3.2</v>
      </c>
      <c r="EV1808" s="65">
        <v>3.2</v>
      </c>
      <c r="GP1808" s="292" t="s">
        <v>7494</v>
      </c>
      <c r="JU1808" s="55" t="s">
        <v>1454</v>
      </c>
    </row>
    <row r="1809" spans="1:282" x14ac:dyDescent="0.25">
      <c r="A1809" s="55">
        <v>1808</v>
      </c>
      <c r="B1809" s="12" t="s">
        <v>7067</v>
      </c>
      <c r="C1809" s="155">
        <v>86</v>
      </c>
      <c r="D1809" s="55" t="s">
        <v>4037</v>
      </c>
      <c r="E1809" s="90" t="s">
        <v>1019</v>
      </c>
      <c r="G1809" s="55" t="s">
        <v>1020</v>
      </c>
      <c r="H1809" s="55">
        <v>2006</v>
      </c>
      <c r="I1809" s="55">
        <v>2002</v>
      </c>
      <c r="J1809" s="55" t="s">
        <v>309</v>
      </c>
      <c r="K1809" s="55" t="s">
        <v>1448</v>
      </c>
      <c r="L1809" s="55" t="s">
        <v>2737</v>
      </c>
      <c r="M1809" s="90">
        <v>40.07</v>
      </c>
      <c r="N1809" s="90">
        <v>-82.85</v>
      </c>
      <c r="O1809" s="90">
        <v>223</v>
      </c>
      <c r="U1809" s="55" t="s">
        <v>1682</v>
      </c>
      <c r="V1809" s="55" t="s">
        <v>1801</v>
      </c>
      <c r="Y1809" s="55" t="s">
        <v>1974</v>
      </c>
      <c r="Z1809" s="55" t="s">
        <v>1357</v>
      </c>
      <c r="AA1809" s="90" t="s">
        <v>1677</v>
      </c>
      <c r="AD1809" s="90">
        <f>(1.32+1.4+1.45+1.45)/4</f>
        <v>1.405</v>
      </c>
      <c r="AE1809" s="90">
        <v>27.3</v>
      </c>
      <c r="AF1809" s="90">
        <v>58.7</v>
      </c>
      <c r="AH1809" s="55" t="s">
        <v>6378</v>
      </c>
      <c r="AM1809" s="55" t="s">
        <v>1449</v>
      </c>
      <c r="AN1809" s="185" t="s">
        <v>1482</v>
      </c>
      <c r="AO1809" s="185" t="s">
        <v>5150</v>
      </c>
      <c r="AQ1809" s="55" t="s">
        <v>1546</v>
      </c>
      <c r="AR1809" s="55" t="s">
        <v>1558</v>
      </c>
      <c r="AS1809" s="55" t="s">
        <v>1575</v>
      </c>
      <c r="AT1809" s="181" t="s">
        <v>1450</v>
      </c>
      <c r="AU1809" s="181" t="s">
        <v>5150</v>
      </c>
      <c r="AV1809" s="185" t="s">
        <v>176</v>
      </c>
      <c r="AW1809" s="55" t="s">
        <v>1452</v>
      </c>
      <c r="AX1809" s="185" t="s">
        <v>479</v>
      </c>
      <c r="AY1809" s="55" t="s">
        <v>479</v>
      </c>
      <c r="BK1809" s="55" t="s">
        <v>5976</v>
      </c>
      <c r="BM1809" s="192" t="s">
        <v>119</v>
      </c>
      <c r="BN1809" s="55">
        <v>4</v>
      </c>
      <c r="BO1809" s="55">
        <v>4</v>
      </c>
      <c r="BQ1809" s="55" t="s">
        <v>141</v>
      </c>
      <c r="CH1809" s="90">
        <v>1.45</v>
      </c>
      <c r="CI1809" s="90">
        <v>1.42</v>
      </c>
      <c r="CM1809" s="65">
        <v>3.5</v>
      </c>
      <c r="CN1809" s="65">
        <v>3.7</v>
      </c>
      <c r="CQ1809" s="65" t="s">
        <v>977</v>
      </c>
      <c r="CV1809" s="65" t="s">
        <v>1630</v>
      </c>
      <c r="DA1809" s="65" t="s">
        <v>4457</v>
      </c>
      <c r="DB1809" s="65">
        <f>10^1</f>
        <v>10</v>
      </c>
      <c r="DC1809" s="65">
        <f>10^0.7</f>
        <v>5.0118723362727229</v>
      </c>
      <c r="DF1809" s="65" t="s">
        <v>979</v>
      </c>
      <c r="EU1809" s="65">
        <v>3.2</v>
      </c>
      <c r="EV1809" s="65">
        <v>3.2</v>
      </c>
      <c r="GP1809" s="292" t="s">
        <v>7494</v>
      </c>
      <c r="JU1809" s="55" t="s">
        <v>1454</v>
      </c>
    </row>
    <row r="1810" spans="1:282" x14ac:dyDescent="0.25">
      <c r="A1810" s="55">
        <v>1809</v>
      </c>
      <c r="B1810" s="12" t="s">
        <v>7067</v>
      </c>
      <c r="C1810" s="155">
        <v>86</v>
      </c>
      <c r="D1810" s="55" t="s">
        <v>4037</v>
      </c>
      <c r="E1810" s="90" t="s">
        <v>1019</v>
      </c>
      <c r="G1810" s="55" t="s">
        <v>1020</v>
      </c>
      <c r="H1810" s="55">
        <v>2006</v>
      </c>
      <c r="I1810" s="55">
        <v>2002</v>
      </c>
      <c r="J1810" s="55" t="s">
        <v>309</v>
      </c>
      <c r="K1810" s="55" t="s">
        <v>1448</v>
      </c>
      <c r="L1810" s="55" t="s">
        <v>2737</v>
      </c>
      <c r="M1810" s="90">
        <v>40.07</v>
      </c>
      <c r="N1810" s="90">
        <v>-82.85</v>
      </c>
      <c r="O1810" s="90">
        <v>223</v>
      </c>
      <c r="U1810" s="55" t="s">
        <v>1682</v>
      </c>
      <c r="V1810" s="55" t="s">
        <v>1801</v>
      </c>
      <c r="Y1810" s="55" t="s">
        <v>1974</v>
      </c>
      <c r="Z1810" s="55" t="s">
        <v>1357</v>
      </c>
      <c r="AA1810" s="90" t="s">
        <v>1677</v>
      </c>
      <c r="AD1810" s="90">
        <f>(1.32+1.4+1.45+1.45)/4</f>
        <v>1.405</v>
      </c>
      <c r="AE1810" s="90">
        <v>27.3</v>
      </c>
      <c r="AF1810" s="90">
        <v>58.7</v>
      </c>
      <c r="AH1810" s="55" t="s">
        <v>6378</v>
      </c>
      <c r="AM1810" s="55" t="s">
        <v>1449</v>
      </c>
      <c r="AN1810" s="185" t="s">
        <v>1543</v>
      </c>
      <c r="AO1810" s="185" t="s">
        <v>5150</v>
      </c>
      <c r="AQ1810" s="55" t="s">
        <v>610</v>
      </c>
      <c r="AR1810" s="55" t="s">
        <v>1558</v>
      </c>
      <c r="AS1810" s="55" t="s">
        <v>1575</v>
      </c>
      <c r="AT1810" s="181" t="s">
        <v>1450</v>
      </c>
      <c r="AU1810" s="181" t="s">
        <v>5150</v>
      </c>
      <c r="AV1810" s="185" t="s">
        <v>176</v>
      </c>
      <c r="AW1810" s="55" t="s">
        <v>1453</v>
      </c>
      <c r="AX1810" s="185" t="s">
        <v>479</v>
      </c>
      <c r="AY1810" s="55" t="s">
        <v>479</v>
      </c>
      <c r="BK1810" s="55" t="s">
        <v>5976</v>
      </c>
      <c r="BM1810" s="192" t="s">
        <v>119</v>
      </c>
      <c r="BN1810" s="55">
        <v>4</v>
      </c>
      <c r="BO1810" s="55">
        <v>4</v>
      </c>
      <c r="BQ1810" s="55" t="s">
        <v>141</v>
      </c>
      <c r="CH1810" s="90">
        <v>1.45</v>
      </c>
      <c r="CI1810" s="90">
        <v>1.39</v>
      </c>
      <c r="CM1810" s="65">
        <v>3.5</v>
      </c>
      <c r="CN1810" s="65">
        <v>3.7</v>
      </c>
      <c r="CQ1810" s="65" t="s">
        <v>977</v>
      </c>
      <c r="CV1810" s="65" t="s">
        <v>1630</v>
      </c>
      <c r="DA1810" s="65" t="s">
        <v>4457</v>
      </c>
      <c r="DB1810" s="65">
        <f>10^1</f>
        <v>10</v>
      </c>
      <c r="DC1810" s="65">
        <f>10^0.8</f>
        <v>6.3095734448019343</v>
      </c>
      <c r="DF1810" s="65" t="s">
        <v>979</v>
      </c>
      <c r="EU1810" s="65">
        <v>3.2</v>
      </c>
      <c r="EV1810" s="65">
        <v>3.3</v>
      </c>
      <c r="GP1810" s="292" t="s">
        <v>7494</v>
      </c>
      <c r="JU1810" s="55" t="s">
        <v>1454</v>
      </c>
    </row>
    <row r="1811" spans="1:282" x14ac:dyDescent="0.25">
      <c r="A1811" s="55">
        <v>1810</v>
      </c>
      <c r="B1811" s="12" t="s">
        <v>7067</v>
      </c>
      <c r="C1811" s="155">
        <v>86</v>
      </c>
      <c r="D1811" s="55" t="s">
        <v>4034</v>
      </c>
      <c r="E1811" s="90" t="s">
        <v>1019</v>
      </c>
      <c r="G1811" s="55" t="s">
        <v>1020</v>
      </c>
      <c r="H1811" s="55">
        <v>2006</v>
      </c>
      <c r="I1811" s="55">
        <v>2003</v>
      </c>
      <c r="J1811" s="55" t="s">
        <v>309</v>
      </c>
      <c r="K1811" s="55" t="s">
        <v>1448</v>
      </c>
      <c r="L1811" s="55" t="s">
        <v>2737</v>
      </c>
      <c r="M1811" s="90">
        <v>40.07</v>
      </c>
      <c r="N1811" s="90">
        <v>-82.85</v>
      </c>
      <c r="O1811" s="90">
        <v>223</v>
      </c>
      <c r="U1811" s="55" t="s">
        <v>1801</v>
      </c>
      <c r="V1811" s="55" t="s">
        <v>1801</v>
      </c>
      <c r="Y1811" s="55" t="s">
        <v>1974</v>
      </c>
      <c r="Z1811" s="55" t="s">
        <v>1361</v>
      </c>
      <c r="AA1811" s="90" t="s">
        <v>1682</v>
      </c>
      <c r="AD1811" s="90">
        <f>(1.32+1.4+1.45+1.45)/4</f>
        <v>1.405</v>
      </c>
      <c r="AE1811" s="90">
        <v>27.3</v>
      </c>
      <c r="AF1811" s="90">
        <v>58.7</v>
      </c>
      <c r="AH1811" s="55" t="s">
        <v>6378</v>
      </c>
      <c r="AM1811" s="55" t="s">
        <v>1449</v>
      </c>
      <c r="AN1811" s="185" t="s">
        <v>131</v>
      </c>
      <c r="AO1811" s="185" t="s">
        <v>5150</v>
      </c>
      <c r="AQ1811" s="55" t="s">
        <v>131</v>
      </c>
      <c r="AR1811" s="55" t="s">
        <v>1558</v>
      </c>
      <c r="AS1811" s="55" t="s">
        <v>1575</v>
      </c>
      <c r="AT1811" s="181" t="s">
        <v>1450</v>
      </c>
      <c r="AU1811" s="181" t="s">
        <v>5150</v>
      </c>
      <c r="AV1811" s="185" t="s">
        <v>176</v>
      </c>
      <c r="AW1811" s="55" t="s">
        <v>1451</v>
      </c>
      <c r="AX1811" s="185" t="s">
        <v>479</v>
      </c>
      <c r="AY1811" s="55" t="s">
        <v>479</v>
      </c>
      <c r="BK1811" s="55" t="s">
        <v>5976</v>
      </c>
      <c r="BM1811" s="192" t="s">
        <v>119</v>
      </c>
      <c r="BN1811" s="55">
        <v>4</v>
      </c>
      <c r="BO1811" s="55">
        <v>4</v>
      </c>
      <c r="BQ1811" s="55" t="s">
        <v>141</v>
      </c>
      <c r="CM1811" s="65">
        <v>4</v>
      </c>
      <c r="CN1811" s="65">
        <v>4.4000000000000004</v>
      </c>
      <c r="CQ1811" s="65" t="s">
        <v>977</v>
      </c>
      <c r="CV1811" s="65" t="s">
        <v>1630</v>
      </c>
      <c r="DA1811" s="65" t="s">
        <v>4457</v>
      </c>
      <c r="DB1811" s="65">
        <f>10^0.9</f>
        <v>7.9432823472428176</v>
      </c>
      <c r="DC1811" s="65">
        <f>10^0.6</f>
        <v>3.9810717055349727</v>
      </c>
      <c r="DF1811" s="65" t="s">
        <v>979</v>
      </c>
      <c r="EU1811" s="65">
        <v>3.1</v>
      </c>
      <c r="EV1811" s="65">
        <v>3</v>
      </c>
      <c r="GP1811" s="292" t="s">
        <v>7494</v>
      </c>
      <c r="JU1811" s="55" t="s">
        <v>1454</v>
      </c>
    </row>
    <row r="1812" spans="1:282" x14ac:dyDescent="0.25">
      <c r="A1812" s="55">
        <v>1811</v>
      </c>
      <c r="B1812" s="12" t="s">
        <v>7067</v>
      </c>
      <c r="C1812" s="155">
        <v>86</v>
      </c>
      <c r="D1812" s="55" t="s">
        <v>4034</v>
      </c>
      <c r="E1812" s="90" t="s">
        <v>1019</v>
      </c>
      <c r="G1812" s="55" t="s">
        <v>1020</v>
      </c>
      <c r="H1812" s="55">
        <v>2006</v>
      </c>
      <c r="I1812" s="55">
        <v>2003</v>
      </c>
      <c r="J1812" s="55" t="s">
        <v>309</v>
      </c>
      <c r="K1812" s="55" t="s">
        <v>1448</v>
      </c>
      <c r="L1812" s="55" t="s">
        <v>2737</v>
      </c>
      <c r="M1812" s="90">
        <v>40.07</v>
      </c>
      <c r="N1812" s="90">
        <v>-82.85</v>
      </c>
      <c r="O1812" s="90">
        <v>223</v>
      </c>
      <c r="U1812" s="55" t="s">
        <v>1801</v>
      </c>
      <c r="V1812" s="55" t="s">
        <v>1801</v>
      </c>
      <c r="Y1812" s="55" t="s">
        <v>1974</v>
      </c>
      <c r="Z1812" s="55" t="s">
        <v>1361</v>
      </c>
      <c r="AA1812" s="90" t="s">
        <v>1682</v>
      </c>
      <c r="AD1812" s="90">
        <f>(1.32+1.4+1.45+1.45)/4</f>
        <v>1.405</v>
      </c>
      <c r="AE1812" s="90">
        <v>27.3</v>
      </c>
      <c r="AF1812" s="90">
        <v>58.7</v>
      </c>
      <c r="AH1812" s="55" t="s">
        <v>6378</v>
      </c>
      <c r="AM1812" s="55" t="s">
        <v>1449</v>
      </c>
      <c r="AN1812" s="185" t="s">
        <v>1482</v>
      </c>
      <c r="AO1812" s="185" t="s">
        <v>5150</v>
      </c>
      <c r="AQ1812" s="55" t="s">
        <v>1546</v>
      </c>
      <c r="AR1812" s="55" t="s">
        <v>1558</v>
      </c>
      <c r="AS1812" s="55" t="s">
        <v>1575</v>
      </c>
      <c r="AT1812" s="181" t="s">
        <v>1450</v>
      </c>
      <c r="AU1812" s="181" t="s">
        <v>5150</v>
      </c>
      <c r="AV1812" s="185" t="s">
        <v>176</v>
      </c>
      <c r="AW1812" s="55" t="s">
        <v>1452</v>
      </c>
      <c r="AX1812" s="185" t="s">
        <v>479</v>
      </c>
      <c r="AY1812" s="55" t="s">
        <v>479</v>
      </c>
      <c r="BK1812" s="55" t="s">
        <v>5976</v>
      </c>
      <c r="BM1812" s="192" t="s">
        <v>119</v>
      </c>
      <c r="BN1812" s="55">
        <v>4</v>
      </c>
      <c r="BO1812" s="55">
        <v>4</v>
      </c>
      <c r="BQ1812" s="55" t="s">
        <v>141</v>
      </c>
      <c r="CM1812" s="65">
        <v>4</v>
      </c>
      <c r="CN1812" s="65">
        <v>4.5999999999999996</v>
      </c>
      <c r="CQ1812" s="65" t="s">
        <v>977</v>
      </c>
      <c r="CV1812" s="65" t="s">
        <v>1630</v>
      </c>
      <c r="DA1812" s="65" t="s">
        <v>4457</v>
      </c>
      <c r="DB1812" s="65">
        <f>10^0.9</f>
        <v>7.9432823472428176</v>
      </c>
      <c r="DC1812" s="65">
        <f>10^0.7</f>
        <v>5.0118723362727229</v>
      </c>
      <c r="DF1812" s="65" t="s">
        <v>979</v>
      </c>
      <c r="EU1812" s="65">
        <v>3.1</v>
      </c>
      <c r="EV1812" s="65">
        <v>3.2</v>
      </c>
      <c r="GP1812" s="292" t="s">
        <v>7494</v>
      </c>
      <c r="JU1812" s="55" t="s">
        <v>1454</v>
      </c>
    </row>
    <row r="1813" spans="1:282" x14ac:dyDescent="0.25">
      <c r="A1813" s="55">
        <v>1812</v>
      </c>
      <c r="B1813" s="12" t="s">
        <v>7067</v>
      </c>
      <c r="C1813" s="155">
        <v>86</v>
      </c>
      <c r="D1813" s="55" t="s">
        <v>4034</v>
      </c>
      <c r="E1813" s="90" t="s">
        <v>1019</v>
      </c>
      <c r="G1813" s="55" t="s">
        <v>1020</v>
      </c>
      <c r="H1813" s="55">
        <v>2006</v>
      </c>
      <c r="I1813" s="55">
        <v>2003</v>
      </c>
      <c r="J1813" s="55" t="s">
        <v>309</v>
      </c>
      <c r="K1813" s="55" t="s">
        <v>1448</v>
      </c>
      <c r="L1813" s="55" t="s">
        <v>2737</v>
      </c>
      <c r="M1813" s="90">
        <v>40.07</v>
      </c>
      <c r="N1813" s="90">
        <v>-82.85</v>
      </c>
      <c r="O1813" s="90">
        <v>223</v>
      </c>
      <c r="U1813" s="55" t="s">
        <v>1801</v>
      </c>
      <c r="V1813" s="55" t="s">
        <v>1801</v>
      </c>
      <c r="Y1813" s="55" t="s">
        <v>1974</v>
      </c>
      <c r="Z1813" s="55" t="s">
        <v>1361</v>
      </c>
      <c r="AA1813" s="90" t="s">
        <v>1682</v>
      </c>
      <c r="AD1813" s="90">
        <f>(1.32+1.4+1.45+1.45)/4</f>
        <v>1.405</v>
      </c>
      <c r="AE1813" s="90">
        <v>27.3</v>
      </c>
      <c r="AF1813" s="90">
        <v>58.7</v>
      </c>
      <c r="AH1813" s="55" t="s">
        <v>6378</v>
      </c>
      <c r="AM1813" s="55" t="s">
        <v>1449</v>
      </c>
      <c r="AN1813" s="185" t="s">
        <v>1543</v>
      </c>
      <c r="AO1813" s="185" t="s">
        <v>5150</v>
      </c>
      <c r="AQ1813" s="55" t="s">
        <v>610</v>
      </c>
      <c r="AR1813" s="55" t="s">
        <v>1558</v>
      </c>
      <c r="AS1813" s="55" t="s">
        <v>1575</v>
      </c>
      <c r="AT1813" s="181" t="s">
        <v>1450</v>
      </c>
      <c r="AU1813" s="181" t="s">
        <v>5150</v>
      </c>
      <c r="AV1813" s="185" t="s">
        <v>176</v>
      </c>
      <c r="AW1813" s="55" t="s">
        <v>1453</v>
      </c>
      <c r="AX1813" s="185" t="s">
        <v>479</v>
      </c>
      <c r="AY1813" s="55" t="s">
        <v>479</v>
      </c>
      <c r="BK1813" s="55" t="s">
        <v>5976</v>
      </c>
      <c r="BM1813" s="192" t="s">
        <v>119</v>
      </c>
      <c r="BN1813" s="55">
        <v>4</v>
      </c>
      <c r="BO1813" s="55">
        <v>4</v>
      </c>
      <c r="BQ1813" s="55" t="s">
        <v>141</v>
      </c>
      <c r="CM1813" s="65">
        <v>4</v>
      </c>
      <c r="CN1813" s="65">
        <v>4.7</v>
      </c>
      <c r="CQ1813" s="65" t="s">
        <v>977</v>
      </c>
      <c r="CV1813" s="65" t="s">
        <v>1630</v>
      </c>
      <c r="DA1813" s="65" t="s">
        <v>4457</v>
      </c>
      <c r="DB1813" s="65">
        <f>10^0.9</f>
        <v>7.9432823472428176</v>
      </c>
      <c r="DC1813" s="65">
        <f>10^0.6</f>
        <v>3.9810717055349727</v>
      </c>
      <c r="DF1813" s="65" t="s">
        <v>979</v>
      </c>
      <c r="EU1813" s="65">
        <v>3.1</v>
      </c>
      <c r="EV1813" s="65">
        <v>3</v>
      </c>
      <c r="GP1813" s="292" t="s">
        <v>7494</v>
      </c>
      <c r="JU1813" s="55" t="s">
        <v>1454</v>
      </c>
    </row>
    <row r="1814" spans="1:282" x14ac:dyDescent="0.25">
      <c r="A1814" s="55">
        <v>1813</v>
      </c>
      <c r="B1814" s="12" t="s">
        <v>7067</v>
      </c>
      <c r="C1814" s="155">
        <v>86</v>
      </c>
      <c r="D1814" s="55" t="s">
        <v>4035</v>
      </c>
      <c r="E1814" s="90" t="s">
        <v>1019</v>
      </c>
      <c r="G1814" s="55" t="s">
        <v>1020</v>
      </c>
      <c r="H1814" s="55">
        <v>2006</v>
      </c>
      <c r="I1814" s="55">
        <v>2003</v>
      </c>
      <c r="J1814" s="55" t="s">
        <v>309</v>
      </c>
      <c r="K1814" s="55" t="s">
        <v>1448</v>
      </c>
      <c r="L1814" s="55" t="s">
        <v>2737</v>
      </c>
      <c r="M1814" s="90">
        <v>40.07</v>
      </c>
      <c r="N1814" s="90">
        <v>-82.85</v>
      </c>
      <c r="O1814" s="90">
        <v>223</v>
      </c>
      <c r="U1814" s="55" t="s">
        <v>1801</v>
      </c>
      <c r="V1814" s="55" t="s">
        <v>1801</v>
      </c>
      <c r="Y1814" s="55" t="s">
        <v>1974</v>
      </c>
      <c r="Z1814" s="55" t="s">
        <v>1368</v>
      </c>
      <c r="AA1814" s="90" t="s">
        <v>1682</v>
      </c>
      <c r="AD1814" s="90">
        <f>(1.32+1.4+1.45+1.45)/4</f>
        <v>1.405</v>
      </c>
      <c r="AE1814" s="90">
        <v>27.3</v>
      </c>
      <c r="AF1814" s="90">
        <v>58.7</v>
      </c>
      <c r="AH1814" s="55" t="s">
        <v>6378</v>
      </c>
      <c r="AM1814" s="55" t="s">
        <v>1449</v>
      </c>
      <c r="AN1814" s="185" t="s">
        <v>131</v>
      </c>
      <c r="AO1814" s="185" t="s">
        <v>5150</v>
      </c>
      <c r="AQ1814" s="55" t="s">
        <v>131</v>
      </c>
      <c r="AR1814" s="55" t="s">
        <v>1558</v>
      </c>
      <c r="AS1814" s="55" t="s">
        <v>1575</v>
      </c>
      <c r="AT1814" s="181" t="s">
        <v>1450</v>
      </c>
      <c r="AU1814" s="181" t="s">
        <v>5150</v>
      </c>
      <c r="AV1814" s="185" t="s">
        <v>176</v>
      </c>
      <c r="AW1814" s="55" t="s">
        <v>1451</v>
      </c>
      <c r="AX1814" s="185" t="s">
        <v>479</v>
      </c>
      <c r="AY1814" s="55" t="s">
        <v>479</v>
      </c>
      <c r="BK1814" s="55" t="s">
        <v>5976</v>
      </c>
      <c r="BM1814" s="192" t="s">
        <v>119</v>
      </c>
      <c r="BN1814" s="55">
        <v>4</v>
      </c>
      <c r="BO1814" s="55">
        <v>4</v>
      </c>
      <c r="BQ1814" s="55" t="s">
        <v>141</v>
      </c>
      <c r="CM1814" s="65">
        <v>3.2</v>
      </c>
      <c r="CN1814" s="65">
        <v>3.4</v>
      </c>
      <c r="CQ1814" s="65" t="s">
        <v>977</v>
      </c>
      <c r="CV1814" s="65" t="s">
        <v>1630</v>
      </c>
      <c r="DA1814" s="65" t="s">
        <v>4457</v>
      </c>
      <c r="DB1814" s="65">
        <f>10^0.8</f>
        <v>6.3095734448019343</v>
      </c>
      <c r="DC1814" s="65">
        <f>10^0.7</f>
        <v>5.0118723362727229</v>
      </c>
      <c r="DF1814" s="65" t="s">
        <v>979</v>
      </c>
      <c r="EU1814" s="65">
        <v>3.3</v>
      </c>
      <c r="EV1814" s="65">
        <v>3.2</v>
      </c>
      <c r="GP1814" s="292" t="s">
        <v>7494</v>
      </c>
      <c r="JU1814" s="55" t="s">
        <v>1454</v>
      </c>
    </row>
    <row r="1815" spans="1:282" x14ac:dyDescent="0.25">
      <c r="A1815" s="55">
        <v>1814</v>
      </c>
      <c r="B1815" s="12" t="s">
        <v>7067</v>
      </c>
      <c r="C1815" s="155">
        <v>86</v>
      </c>
      <c r="D1815" s="55" t="s">
        <v>4035</v>
      </c>
      <c r="E1815" s="90" t="s">
        <v>1019</v>
      </c>
      <c r="G1815" s="55" t="s">
        <v>1020</v>
      </c>
      <c r="H1815" s="55">
        <v>2006</v>
      </c>
      <c r="I1815" s="55">
        <v>2003</v>
      </c>
      <c r="J1815" s="55" t="s">
        <v>309</v>
      </c>
      <c r="K1815" s="55" t="s">
        <v>1448</v>
      </c>
      <c r="L1815" s="55" t="s">
        <v>2737</v>
      </c>
      <c r="M1815" s="90">
        <v>40.07</v>
      </c>
      <c r="N1815" s="90">
        <v>-82.85</v>
      </c>
      <c r="O1815" s="90">
        <v>223</v>
      </c>
      <c r="U1815" s="55" t="s">
        <v>1801</v>
      </c>
      <c r="V1815" s="55" t="s">
        <v>1801</v>
      </c>
      <c r="Y1815" s="55" t="s">
        <v>1974</v>
      </c>
      <c r="Z1815" s="55" t="s">
        <v>1368</v>
      </c>
      <c r="AA1815" s="90" t="s">
        <v>1682</v>
      </c>
      <c r="AD1815" s="90">
        <f>(1.32+1.4+1.45+1.45)/4</f>
        <v>1.405</v>
      </c>
      <c r="AE1815" s="90">
        <v>27.3</v>
      </c>
      <c r="AF1815" s="90">
        <v>58.7</v>
      </c>
      <c r="AH1815" s="55" t="s">
        <v>6378</v>
      </c>
      <c r="AM1815" s="55" t="s">
        <v>1449</v>
      </c>
      <c r="AN1815" s="185" t="s">
        <v>1482</v>
      </c>
      <c r="AO1815" s="185" t="s">
        <v>5150</v>
      </c>
      <c r="AQ1815" s="55" t="s">
        <v>1546</v>
      </c>
      <c r="AR1815" s="55" t="s">
        <v>1558</v>
      </c>
      <c r="AS1815" s="55" t="s">
        <v>1575</v>
      </c>
      <c r="AT1815" s="181" t="s">
        <v>1450</v>
      </c>
      <c r="AU1815" s="181" t="s">
        <v>5150</v>
      </c>
      <c r="AV1815" s="185" t="s">
        <v>176</v>
      </c>
      <c r="AW1815" s="55" t="s">
        <v>1452</v>
      </c>
      <c r="AX1815" s="185" t="s">
        <v>479</v>
      </c>
      <c r="AY1815" s="55" t="s">
        <v>479</v>
      </c>
      <c r="BK1815" s="55" t="s">
        <v>5976</v>
      </c>
      <c r="BM1815" s="192" t="s">
        <v>119</v>
      </c>
      <c r="BN1815" s="55">
        <v>4</v>
      </c>
      <c r="BO1815" s="55">
        <v>4</v>
      </c>
      <c r="BQ1815" s="55" t="s">
        <v>141</v>
      </c>
      <c r="CM1815" s="65">
        <v>3.2</v>
      </c>
      <c r="CN1815" s="65">
        <v>3.5</v>
      </c>
      <c r="CQ1815" s="65" t="s">
        <v>977</v>
      </c>
      <c r="CV1815" s="65" t="s">
        <v>1630</v>
      </c>
      <c r="DA1815" s="65" t="s">
        <v>4457</v>
      </c>
      <c r="DB1815" s="65">
        <f>10^0.8</f>
        <v>6.3095734448019343</v>
      </c>
      <c r="DC1815" s="65">
        <f>10^0.6</f>
        <v>3.9810717055349727</v>
      </c>
      <c r="DF1815" s="65" t="s">
        <v>979</v>
      </c>
      <c r="EU1815" s="65">
        <v>3.3</v>
      </c>
      <c r="EV1815" s="65">
        <v>3.3</v>
      </c>
      <c r="GP1815" s="292" t="s">
        <v>7494</v>
      </c>
      <c r="JU1815" s="55" t="s">
        <v>1454</v>
      </c>
    </row>
    <row r="1816" spans="1:282" x14ac:dyDescent="0.25">
      <c r="A1816" s="55">
        <v>1815</v>
      </c>
      <c r="B1816" s="12" t="s">
        <v>7067</v>
      </c>
      <c r="C1816" s="155">
        <v>86</v>
      </c>
      <c r="D1816" s="55" t="s">
        <v>4035</v>
      </c>
      <c r="E1816" s="90" t="s">
        <v>1019</v>
      </c>
      <c r="G1816" s="55" t="s">
        <v>1020</v>
      </c>
      <c r="H1816" s="55">
        <v>2006</v>
      </c>
      <c r="I1816" s="55">
        <v>2003</v>
      </c>
      <c r="J1816" s="55" t="s">
        <v>309</v>
      </c>
      <c r="K1816" s="55" t="s">
        <v>1448</v>
      </c>
      <c r="L1816" s="55" t="s">
        <v>2737</v>
      </c>
      <c r="M1816" s="90">
        <v>40.07</v>
      </c>
      <c r="N1816" s="90">
        <v>-82.85</v>
      </c>
      <c r="O1816" s="90">
        <v>223</v>
      </c>
      <c r="U1816" s="55" t="s">
        <v>1801</v>
      </c>
      <c r="V1816" s="55" t="s">
        <v>1801</v>
      </c>
      <c r="Y1816" s="55" t="s">
        <v>1974</v>
      </c>
      <c r="Z1816" s="55" t="s">
        <v>1368</v>
      </c>
      <c r="AA1816" s="90" t="s">
        <v>1682</v>
      </c>
      <c r="AD1816" s="90">
        <f>(1.32+1.4+1.45+1.45)/4</f>
        <v>1.405</v>
      </c>
      <c r="AE1816" s="90">
        <v>27.3</v>
      </c>
      <c r="AF1816" s="90">
        <v>58.7</v>
      </c>
      <c r="AH1816" s="55" t="s">
        <v>6378</v>
      </c>
      <c r="AM1816" s="55" t="s">
        <v>1449</v>
      </c>
      <c r="AN1816" s="185" t="s">
        <v>1543</v>
      </c>
      <c r="AO1816" s="185" t="s">
        <v>5150</v>
      </c>
      <c r="AQ1816" s="55" t="s">
        <v>610</v>
      </c>
      <c r="AR1816" s="55" t="s">
        <v>1558</v>
      </c>
      <c r="AS1816" s="55" t="s">
        <v>1575</v>
      </c>
      <c r="AT1816" s="181" t="s">
        <v>1450</v>
      </c>
      <c r="AU1816" s="181" t="s">
        <v>5150</v>
      </c>
      <c r="AV1816" s="185" t="s">
        <v>176</v>
      </c>
      <c r="AW1816" s="55" t="s">
        <v>1453</v>
      </c>
      <c r="AX1816" s="185" t="s">
        <v>479</v>
      </c>
      <c r="AY1816" s="55" t="s">
        <v>479</v>
      </c>
      <c r="BK1816" s="55" t="s">
        <v>5976</v>
      </c>
      <c r="BM1816" s="192" t="s">
        <v>119</v>
      </c>
      <c r="BN1816" s="55">
        <v>4</v>
      </c>
      <c r="BO1816" s="55">
        <v>4</v>
      </c>
      <c r="BQ1816" s="55" t="s">
        <v>141</v>
      </c>
      <c r="CM1816" s="65">
        <v>3.2</v>
      </c>
      <c r="CN1816" s="65">
        <v>3.5</v>
      </c>
      <c r="CQ1816" s="65" t="s">
        <v>977</v>
      </c>
      <c r="CV1816" s="65" t="s">
        <v>1630</v>
      </c>
      <c r="DA1816" s="65" t="s">
        <v>4457</v>
      </c>
      <c r="DB1816" s="65">
        <f>10^0.8</f>
        <v>6.3095734448019343</v>
      </c>
      <c r="DC1816" s="65">
        <f>10^0.6</f>
        <v>3.9810717055349727</v>
      </c>
      <c r="DF1816" s="65" t="s">
        <v>979</v>
      </c>
      <c r="EU1816" s="65">
        <v>3.3</v>
      </c>
      <c r="EV1816" s="65">
        <v>3.3</v>
      </c>
      <c r="GP1816" s="292" t="s">
        <v>7494</v>
      </c>
      <c r="JU1816" s="55" t="s">
        <v>1454</v>
      </c>
    </row>
    <row r="1817" spans="1:282" x14ac:dyDescent="0.25">
      <c r="A1817" s="55">
        <v>1816</v>
      </c>
      <c r="B1817" s="12" t="s">
        <v>7067</v>
      </c>
      <c r="C1817" s="155">
        <v>86</v>
      </c>
      <c r="D1817" s="55" t="s">
        <v>4036</v>
      </c>
      <c r="E1817" s="90" t="s">
        <v>1019</v>
      </c>
      <c r="G1817" s="55" t="s">
        <v>1020</v>
      </c>
      <c r="H1817" s="55">
        <v>2006</v>
      </c>
      <c r="I1817" s="55">
        <v>2003</v>
      </c>
      <c r="J1817" s="55" t="s">
        <v>309</v>
      </c>
      <c r="K1817" s="55" t="s">
        <v>1448</v>
      </c>
      <c r="L1817" s="55" t="s">
        <v>2737</v>
      </c>
      <c r="M1817" s="90">
        <v>40.07</v>
      </c>
      <c r="N1817" s="90">
        <v>-82.85</v>
      </c>
      <c r="O1817" s="90">
        <v>223</v>
      </c>
      <c r="U1817" s="55" t="s">
        <v>1801</v>
      </c>
      <c r="V1817" s="55" t="s">
        <v>1801</v>
      </c>
      <c r="Y1817" s="55" t="s">
        <v>1974</v>
      </c>
      <c r="Z1817" s="55" t="s">
        <v>1376</v>
      </c>
      <c r="AA1817" s="90" t="s">
        <v>1682</v>
      </c>
      <c r="AD1817" s="90">
        <f>(1.32+1.4+1.45+1.45)/4</f>
        <v>1.405</v>
      </c>
      <c r="AE1817" s="90">
        <v>27.3</v>
      </c>
      <c r="AF1817" s="90">
        <v>58.7</v>
      </c>
      <c r="AH1817" s="55" t="s">
        <v>6378</v>
      </c>
      <c r="AM1817" s="55" t="s">
        <v>1449</v>
      </c>
      <c r="AN1817" s="185" t="s">
        <v>131</v>
      </c>
      <c r="AO1817" s="185" t="s">
        <v>5150</v>
      </c>
      <c r="AQ1817" s="55" t="s">
        <v>131</v>
      </c>
      <c r="AR1817" s="55" t="s">
        <v>1558</v>
      </c>
      <c r="AS1817" s="55" t="s">
        <v>1575</v>
      </c>
      <c r="AT1817" s="181" t="s">
        <v>1450</v>
      </c>
      <c r="AU1817" s="181" t="s">
        <v>5150</v>
      </c>
      <c r="AV1817" s="185" t="s">
        <v>176</v>
      </c>
      <c r="AW1817" s="55" t="s">
        <v>1451</v>
      </c>
      <c r="AX1817" s="185" t="s">
        <v>479</v>
      </c>
      <c r="AY1817" s="55" t="s">
        <v>479</v>
      </c>
      <c r="BK1817" s="55" t="s">
        <v>5976</v>
      </c>
      <c r="BM1817" s="192" t="s">
        <v>119</v>
      </c>
      <c r="BN1817" s="55">
        <v>4</v>
      </c>
      <c r="BO1817" s="55">
        <v>4</v>
      </c>
      <c r="BQ1817" s="55" t="s">
        <v>141</v>
      </c>
      <c r="CM1817" s="65">
        <v>3.3</v>
      </c>
      <c r="CN1817" s="65">
        <v>3.3</v>
      </c>
      <c r="CQ1817" s="65" t="s">
        <v>977</v>
      </c>
      <c r="CV1817" s="65" t="s">
        <v>1630</v>
      </c>
      <c r="DA1817" s="65" t="s">
        <v>4457</v>
      </c>
      <c r="DB1817" s="65">
        <f>10^0.4</f>
        <v>2.5118864315095806</v>
      </c>
      <c r="DC1817" s="65">
        <f>10^0.3</f>
        <v>1.9952623149688797</v>
      </c>
      <c r="DF1817" s="65" t="s">
        <v>979</v>
      </c>
      <c r="EU1817" s="65">
        <v>3.2</v>
      </c>
      <c r="EV1817" s="65">
        <v>3.3</v>
      </c>
      <c r="GP1817" s="292" t="s">
        <v>7494</v>
      </c>
      <c r="JU1817" s="55" t="s">
        <v>1454</v>
      </c>
    </row>
    <row r="1818" spans="1:282" x14ac:dyDescent="0.25">
      <c r="A1818" s="55">
        <v>1817</v>
      </c>
      <c r="B1818" s="12" t="s">
        <v>7067</v>
      </c>
      <c r="C1818" s="155">
        <v>86</v>
      </c>
      <c r="D1818" s="55" t="s">
        <v>4036</v>
      </c>
      <c r="E1818" s="90" t="s">
        <v>1019</v>
      </c>
      <c r="G1818" s="55" t="s">
        <v>1020</v>
      </c>
      <c r="H1818" s="55">
        <v>2006</v>
      </c>
      <c r="I1818" s="55">
        <v>2003</v>
      </c>
      <c r="J1818" s="55" t="s">
        <v>309</v>
      </c>
      <c r="K1818" s="55" t="s">
        <v>1448</v>
      </c>
      <c r="L1818" s="55" t="s">
        <v>2737</v>
      </c>
      <c r="M1818" s="90">
        <v>40.07</v>
      </c>
      <c r="N1818" s="90">
        <v>-82.85</v>
      </c>
      <c r="O1818" s="90">
        <v>223</v>
      </c>
      <c r="U1818" s="55" t="s">
        <v>1801</v>
      </c>
      <c r="V1818" s="55" t="s">
        <v>1801</v>
      </c>
      <c r="Y1818" s="55" t="s">
        <v>1974</v>
      </c>
      <c r="Z1818" s="55" t="s">
        <v>1376</v>
      </c>
      <c r="AA1818" s="90" t="s">
        <v>1682</v>
      </c>
      <c r="AD1818" s="90">
        <f>(1.32+1.4+1.45+1.45)/4</f>
        <v>1.405</v>
      </c>
      <c r="AE1818" s="90">
        <v>27.3</v>
      </c>
      <c r="AF1818" s="90">
        <v>58.7</v>
      </c>
      <c r="AH1818" s="55" t="s">
        <v>6378</v>
      </c>
      <c r="AM1818" s="55" t="s">
        <v>1449</v>
      </c>
      <c r="AN1818" s="185" t="s">
        <v>1482</v>
      </c>
      <c r="AO1818" s="185" t="s">
        <v>5150</v>
      </c>
      <c r="AQ1818" s="55" t="s">
        <v>1546</v>
      </c>
      <c r="AR1818" s="55" t="s">
        <v>1558</v>
      </c>
      <c r="AS1818" s="55" t="s">
        <v>1575</v>
      </c>
      <c r="AT1818" s="181" t="s">
        <v>1450</v>
      </c>
      <c r="AU1818" s="181" t="s">
        <v>5150</v>
      </c>
      <c r="AV1818" s="185" t="s">
        <v>176</v>
      </c>
      <c r="AW1818" s="55" t="s">
        <v>1452</v>
      </c>
      <c r="AX1818" s="185" t="s">
        <v>479</v>
      </c>
      <c r="AY1818" s="55" t="s">
        <v>479</v>
      </c>
      <c r="BK1818" s="55" t="s">
        <v>5976</v>
      </c>
      <c r="BM1818" s="192" t="s">
        <v>119</v>
      </c>
      <c r="BN1818" s="55">
        <v>4</v>
      </c>
      <c r="BO1818" s="55">
        <v>4</v>
      </c>
      <c r="BQ1818" s="55" t="s">
        <v>141</v>
      </c>
      <c r="CM1818" s="65">
        <v>3.3</v>
      </c>
      <c r="CN1818" s="65">
        <v>3.3</v>
      </c>
      <c r="CQ1818" s="65" t="s">
        <v>977</v>
      </c>
      <c r="CV1818" s="65" t="s">
        <v>1630</v>
      </c>
      <c r="DA1818" s="65" t="s">
        <v>4457</v>
      </c>
      <c r="DB1818" s="65">
        <f>10^0.4</f>
        <v>2.5118864315095806</v>
      </c>
      <c r="DC1818" s="65">
        <f>10^0.6</f>
        <v>3.9810717055349727</v>
      </c>
      <c r="DF1818" s="65" t="s">
        <v>979</v>
      </c>
      <c r="EU1818" s="65">
        <v>3.2</v>
      </c>
      <c r="EV1818" s="65">
        <v>3.3</v>
      </c>
      <c r="GP1818" s="292" t="s">
        <v>7494</v>
      </c>
      <c r="JU1818" s="55" t="s">
        <v>1454</v>
      </c>
    </row>
    <row r="1819" spans="1:282" x14ac:dyDescent="0.25">
      <c r="A1819" s="55">
        <v>1818</v>
      </c>
      <c r="B1819" s="12" t="s">
        <v>7067</v>
      </c>
      <c r="C1819" s="155">
        <v>86</v>
      </c>
      <c r="D1819" s="55" t="s">
        <v>4036</v>
      </c>
      <c r="E1819" s="90" t="s">
        <v>1019</v>
      </c>
      <c r="G1819" s="55" t="s">
        <v>1020</v>
      </c>
      <c r="H1819" s="55">
        <v>2006</v>
      </c>
      <c r="I1819" s="55">
        <v>2003</v>
      </c>
      <c r="J1819" s="55" t="s">
        <v>309</v>
      </c>
      <c r="K1819" s="55" t="s">
        <v>1448</v>
      </c>
      <c r="L1819" s="55" t="s">
        <v>2737</v>
      </c>
      <c r="M1819" s="90">
        <v>40.07</v>
      </c>
      <c r="N1819" s="90">
        <v>-82.85</v>
      </c>
      <c r="O1819" s="90">
        <v>223</v>
      </c>
      <c r="U1819" s="55" t="s">
        <v>1801</v>
      </c>
      <c r="V1819" s="55" t="s">
        <v>1801</v>
      </c>
      <c r="Y1819" s="55" t="s">
        <v>1974</v>
      </c>
      <c r="Z1819" s="55" t="s">
        <v>1376</v>
      </c>
      <c r="AA1819" s="90" t="s">
        <v>1682</v>
      </c>
      <c r="AD1819" s="90">
        <f>(1.32+1.4+1.45+1.45)/4</f>
        <v>1.405</v>
      </c>
      <c r="AE1819" s="90">
        <v>27.3</v>
      </c>
      <c r="AF1819" s="90">
        <v>58.7</v>
      </c>
      <c r="AH1819" s="55" t="s">
        <v>6378</v>
      </c>
      <c r="AM1819" s="55" t="s">
        <v>1449</v>
      </c>
      <c r="AN1819" s="185" t="s">
        <v>1543</v>
      </c>
      <c r="AO1819" s="185" t="s">
        <v>5150</v>
      </c>
      <c r="AQ1819" s="55" t="s">
        <v>610</v>
      </c>
      <c r="AR1819" s="55" t="s">
        <v>1558</v>
      </c>
      <c r="AS1819" s="55" t="s">
        <v>1575</v>
      </c>
      <c r="AT1819" s="181" t="s">
        <v>1450</v>
      </c>
      <c r="AU1819" s="181" t="s">
        <v>5150</v>
      </c>
      <c r="AV1819" s="185" t="s">
        <v>176</v>
      </c>
      <c r="AW1819" s="55" t="s">
        <v>1453</v>
      </c>
      <c r="AX1819" s="185" t="s">
        <v>479</v>
      </c>
      <c r="AY1819" s="55" t="s">
        <v>479</v>
      </c>
      <c r="BK1819" s="55" t="s">
        <v>5976</v>
      </c>
      <c r="BM1819" s="192" t="s">
        <v>119</v>
      </c>
      <c r="BN1819" s="55">
        <v>4</v>
      </c>
      <c r="BO1819" s="55">
        <v>4</v>
      </c>
      <c r="BQ1819" s="55" t="s">
        <v>141</v>
      </c>
      <c r="CM1819" s="65">
        <v>3.3</v>
      </c>
      <c r="CN1819" s="65">
        <v>3.3</v>
      </c>
      <c r="CQ1819" s="65" t="s">
        <v>977</v>
      </c>
      <c r="CV1819" s="65" t="s">
        <v>1630</v>
      </c>
      <c r="DA1819" s="65" t="s">
        <v>4457</v>
      </c>
      <c r="DB1819" s="65">
        <f>10^0.4</f>
        <v>2.5118864315095806</v>
      </c>
      <c r="DC1819" s="65">
        <f>10^0.3</f>
        <v>1.9952623149688797</v>
      </c>
      <c r="DF1819" s="65" t="s">
        <v>979</v>
      </c>
      <c r="EU1819" s="65">
        <v>3.2</v>
      </c>
      <c r="EV1819" s="65">
        <v>3.3</v>
      </c>
      <c r="GP1819" s="292" t="s">
        <v>7494</v>
      </c>
      <c r="JU1819" s="55" t="s">
        <v>1454</v>
      </c>
    </row>
    <row r="1820" spans="1:282" x14ac:dyDescent="0.25">
      <c r="A1820" s="55">
        <v>1819</v>
      </c>
      <c r="B1820" s="12" t="s">
        <v>7067</v>
      </c>
      <c r="C1820" s="155">
        <v>86</v>
      </c>
      <c r="D1820" s="55" t="s">
        <v>4037</v>
      </c>
      <c r="E1820" s="90" t="s">
        <v>1019</v>
      </c>
      <c r="G1820" s="55" t="s">
        <v>1020</v>
      </c>
      <c r="H1820" s="55">
        <v>2006</v>
      </c>
      <c r="I1820" s="55">
        <v>2003</v>
      </c>
      <c r="J1820" s="55" t="s">
        <v>309</v>
      </c>
      <c r="K1820" s="55" t="s">
        <v>1448</v>
      </c>
      <c r="L1820" s="55" t="s">
        <v>2737</v>
      </c>
      <c r="M1820" s="90">
        <v>40.07</v>
      </c>
      <c r="N1820" s="90">
        <v>-82.85</v>
      </c>
      <c r="O1820" s="90">
        <v>223</v>
      </c>
      <c r="U1820" s="55" t="s">
        <v>1801</v>
      </c>
      <c r="V1820" s="55" t="s">
        <v>1801</v>
      </c>
      <c r="Y1820" s="55" t="s">
        <v>1974</v>
      </c>
      <c r="Z1820" s="55" t="s">
        <v>1357</v>
      </c>
      <c r="AA1820" s="90" t="s">
        <v>1677</v>
      </c>
      <c r="AD1820" s="90">
        <f>(1.32+1.4+1.45+1.45)/4</f>
        <v>1.405</v>
      </c>
      <c r="AE1820" s="90">
        <v>27.3</v>
      </c>
      <c r="AF1820" s="90">
        <v>58.7</v>
      </c>
      <c r="AH1820" s="55" t="s">
        <v>6378</v>
      </c>
      <c r="AM1820" s="55" t="s">
        <v>1449</v>
      </c>
      <c r="AN1820" s="185" t="s">
        <v>131</v>
      </c>
      <c r="AO1820" s="185" t="s">
        <v>5150</v>
      </c>
      <c r="AQ1820" s="55" t="s">
        <v>131</v>
      </c>
      <c r="AR1820" s="55" t="s">
        <v>1558</v>
      </c>
      <c r="AS1820" s="55" t="s">
        <v>1575</v>
      </c>
      <c r="AT1820" s="181" t="s">
        <v>1450</v>
      </c>
      <c r="AU1820" s="181" t="s">
        <v>5150</v>
      </c>
      <c r="AV1820" s="185" t="s">
        <v>176</v>
      </c>
      <c r="AW1820" s="55" t="s">
        <v>1451</v>
      </c>
      <c r="AX1820" s="185" t="s">
        <v>479</v>
      </c>
      <c r="AY1820" s="55" t="s">
        <v>479</v>
      </c>
      <c r="BK1820" s="55" t="s">
        <v>5976</v>
      </c>
      <c r="BM1820" s="192" t="s">
        <v>119</v>
      </c>
      <c r="BN1820" s="55">
        <v>4</v>
      </c>
      <c r="BO1820" s="55">
        <v>4</v>
      </c>
      <c r="BQ1820" s="55" t="s">
        <v>141</v>
      </c>
      <c r="CM1820" s="65">
        <v>3.7</v>
      </c>
      <c r="CN1820" s="65">
        <v>3.8</v>
      </c>
      <c r="CQ1820" s="65" t="s">
        <v>977</v>
      </c>
      <c r="CV1820" s="65" t="s">
        <v>1630</v>
      </c>
      <c r="DA1820" s="65" t="s">
        <v>4457</v>
      </c>
      <c r="DB1820" s="65">
        <f>10^0.8</f>
        <v>6.3095734448019343</v>
      </c>
      <c r="DC1820" s="65">
        <f>10^0.7</f>
        <v>5.0118723362727229</v>
      </c>
      <c r="DF1820" s="65" t="s">
        <v>979</v>
      </c>
      <c r="EU1820" s="65">
        <v>3.2</v>
      </c>
      <c r="EV1820" s="65">
        <v>3.2</v>
      </c>
      <c r="GP1820" s="292" t="s">
        <v>7494</v>
      </c>
      <c r="JU1820" s="55" t="s">
        <v>1454</v>
      </c>
    </row>
    <row r="1821" spans="1:282" x14ac:dyDescent="0.25">
      <c r="A1821" s="55">
        <v>1820</v>
      </c>
      <c r="B1821" s="12" t="s">
        <v>7067</v>
      </c>
      <c r="C1821" s="155">
        <v>86</v>
      </c>
      <c r="D1821" s="55" t="s">
        <v>4037</v>
      </c>
      <c r="E1821" s="90" t="s">
        <v>1019</v>
      </c>
      <c r="G1821" s="55" t="s">
        <v>1020</v>
      </c>
      <c r="H1821" s="55">
        <v>2006</v>
      </c>
      <c r="I1821" s="55">
        <v>2003</v>
      </c>
      <c r="J1821" s="55" t="s">
        <v>309</v>
      </c>
      <c r="K1821" s="55" t="s">
        <v>1448</v>
      </c>
      <c r="L1821" s="55" t="s">
        <v>2737</v>
      </c>
      <c r="M1821" s="90">
        <v>40.07</v>
      </c>
      <c r="N1821" s="90">
        <v>-82.85</v>
      </c>
      <c r="O1821" s="90">
        <v>223</v>
      </c>
      <c r="U1821" s="55" t="s">
        <v>1801</v>
      </c>
      <c r="V1821" s="55" t="s">
        <v>1801</v>
      </c>
      <c r="Y1821" s="55" t="s">
        <v>1974</v>
      </c>
      <c r="Z1821" s="55" t="s">
        <v>1357</v>
      </c>
      <c r="AA1821" s="90" t="s">
        <v>1677</v>
      </c>
      <c r="AD1821" s="90">
        <f>(1.32+1.4+1.45+1.45)/4</f>
        <v>1.405</v>
      </c>
      <c r="AE1821" s="90">
        <v>27.3</v>
      </c>
      <c r="AF1821" s="90">
        <v>58.7</v>
      </c>
      <c r="AH1821" s="55" t="s">
        <v>6378</v>
      </c>
      <c r="AM1821" s="55" t="s">
        <v>1449</v>
      </c>
      <c r="AN1821" s="185" t="s">
        <v>1482</v>
      </c>
      <c r="AO1821" s="185" t="s">
        <v>5150</v>
      </c>
      <c r="AQ1821" s="55" t="s">
        <v>1546</v>
      </c>
      <c r="AR1821" s="55" t="s">
        <v>1558</v>
      </c>
      <c r="AS1821" s="55" t="s">
        <v>1575</v>
      </c>
      <c r="AT1821" s="181" t="s">
        <v>1450</v>
      </c>
      <c r="AU1821" s="181" t="s">
        <v>5150</v>
      </c>
      <c r="AV1821" s="185" t="s">
        <v>176</v>
      </c>
      <c r="AW1821" s="55" t="s">
        <v>1452</v>
      </c>
      <c r="AX1821" s="185" t="s">
        <v>479</v>
      </c>
      <c r="AY1821" s="55" t="s">
        <v>479</v>
      </c>
      <c r="BK1821" s="55" t="s">
        <v>5976</v>
      </c>
      <c r="BM1821" s="192" t="s">
        <v>119</v>
      </c>
      <c r="BN1821" s="55">
        <v>4</v>
      </c>
      <c r="BO1821" s="55">
        <v>4</v>
      </c>
      <c r="BQ1821" s="55" t="s">
        <v>141</v>
      </c>
      <c r="CM1821" s="65">
        <v>3.7</v>
      </c>
      <c r="CN1821" s="65">
        <v>3.7</v>
      </c>
      <c r="CQ1821" s="65" t="s">
        <v>977</v>
      </c>
      <c r="CV1821" s="65" t="s">
        <v>1630</v>
      </c>
      <c r="DA1821" s="65" t="s">
        <v>4457</v>
      </c>
      <c r="DB1821" s="65">
        <f>10^0.8</f>
        <v>6.3095734448019343</v>
      </c>
      <c r="DC1821" s="65">
        <f>10^0.5</f>
        <v>3.1622776601683795</v>
      </c>
      <c r="DF1821" s="65" t="s">
        <v>979</v>
      </c>
      <c r="EU1821" s="65">
        <v>3.2</v>
      </c>
      <c r="EV1821" s="65">
        <v>3.3</v>
      </c>
      <c r="GP1821" s="292" t="s">
        <v>7494</v>
      </c>
      <c r="JU1821" s="55" t="s">
        <v>1454</v>
      </c>
    </row>
    <row r="1822" spans="1:282" x14ac:dyDescent="0.25">
      <c r="A1822" s="55">
        <v>1821</v>
      </c>
      <c r="B1822" s="12" t="s">
        <v>7067</v>
      </c>
      <c r="C1822" s="155">
        <v>86</v>
      </c>
      <c r="D1822" s="55" t="s">
        <v>4037</v>
      </c>
      <c r="E1822" s="90" t="s">
        <v>1019</v>
      </c>
      <c r="G1822" s="55" t="s">
        <v>1020</v>
      </c>
      <c r="H1822" s="55">
        <v>2006</v>
      </c>
      <c r="I1822" s="55">
        <v>2003</v>
      </c>
      <c r="J1822" s="55" t="s">
        <v>309</v>
      </c>
      <c r="K1822" s="55" t="s">
        <v>1448</v>
      </c>
      <c r="L1822" s="55" t="s">
        <v>2737</v>
      </c>
      <c r="M1822" s="90">
        <v>40.07</v>
      </c>
      <c r="N1822" s="90">
        <v>-82.85</v>
      </c>
      <c r="O1822" s="90">
        <v>223</v>
      </c>
      <c r="U1822" s="55" t="s">
        <v>1801</v>
      </c>
      <c r="V1822" s="55" t="s">
        <v>1801</v>
      </c>
      <c r="Y1822" s="55" t="s">
        <v>1974</v>
      </c>
      <c r="Z1822" s="55" t="s">
        <v>1357</v>
      </c>
      <c r="AA1822" s="90" t="s">
        <v>1677</v>
      </c>
      <c r="AD1822" s="90">
        <f>(1.32+1.4+1.45+1.45)/4</f>
        <v>1.405</v>
      </c>
      <c r="AE1822" s="90">
        <v>27.3</v>
      </c>
      <c r="AF1822" s="90">
        <v>58.7</v>
      </c>
      <c r="AH1822" s="55" t="s">
        <v>6378</v>
      </c>
      <c r="AM1822" s="55" t="s">
        <v>1449</v>
      </c>
      <c r="AN1822" s="185" t="s">
        <v>1543</v>
      </c>
      <c r="AO1822" s="185" t="s">
        <v>5150</v>
      </c>
      <c r="AQ1822" s="55" t="s">
        <v>610</v>
      </c>
      <c r="AR1822" s="55" t="s">
        <v>1558</v>
      </c>
      <c r="AS1822" s="55" t="s">
        <v>1575</v>
      </c>
      <c r="AT1822" s="181" t="s">
        <v>1450</v>
      </c>
      <c r="AU1822" s="181" t="s">
        <v>5150</v>
      </c>
      <c r="AV1822" s="185" t="s">
        <v>176</v>
      </c>
      <c r="AW1822" s="55" t="s">
        <v>1453</v>
      </c>
      <c r="AX1822" s="185" t="s">
        <v>479</v>
      </c>
      <c r="AY1822" s="55" t="s">
        <v>479</v>
      </c>
      <c r="BK1822" s="55" t="s">
        <v>5976</v>
      </c>
      <c r="BM1822" s="192" t="s">
        <v>119</v>
      </c>
      <c r="BN1822" s="55">
        <v>4</v>
      </c>
      <c r="BO1822" s="55">
        <v>4</v>
      </c>
      <c r="BQ1822" s="55" t="s">
        <v>141</v>
      </c>
      <c r="CM1822" s="65">
        <v>3.7</v>
      </c>
      <c r="CN1822" s="65">
        <v>4</v>
      </c>
      <c r="CQ1822" s="65" t="s">
        <v>977</v>
      </c>
      <c r="CV1822" s="65" t="s">
        <v>1630</v>
      </c>
      <c r="DA1822" s="65" t="s">
        <v>4457</v>
      </c>
      <c r="DB1822" s="65">
        <f>10^0.8</f>
        <v>6.3095734448019343</v>
      </c>
      <c r="DC1822" s="65">
        <f>10^0.6</f>
        <v>3.9810717055349727</v>
      </c>
      <c r="DF1822" s="65" t="s">
        <v>979</v>
      </c>
      <c r="EU1822" s="65">
        <v>3.2</v>
      </c>
      <c r="EV1822" s="65">
        <v>3.3</v>
      </c>
      <c r="GP1822" s="292" t="s">
        <v>7494</v>
      </c>
      <c r="JU1822" s="55" t="s">
        <v>1454</v>
      </c>
    </row>
    <row r="1823" spans="1:282" x14ac:dyDescent="0.25">
      <c r="A1823" s="55">
        <v>1822</v>
      </c>
      <c r="B1823" s="12" t="s">
        <v>7067</v>
      </c>
      <c r="C1823" s="156">
        <v>87</v>
      </c>
      <c r="D1823" s="58" t="s">
        <v>4026</v>
      </c>
      <c r="E1823" s="94" t="s">
        <v>2029</v>
      </c>
      <c r="F1823" s="94"/>
      <c r="G1823" s="58"/>
      <c r="H1823" s="58">
        <v>1991</v>
      </c>
      <c r="I1823" s="58">
        <v>1982</v>
      </c>
      <c r="J1823" s="58" t="s">
        <v>2013</v>
      </c>
      <c r="K1823" s="58" t="s">
        <v>2028</v>
      </c>
      <c r="L1823" s="58" t="s">
        <v>2737</v>
      </c>
      <c r="M1823" s="94">
        <v>40.82</v>
      </c>
      <c r="N1823" s="94">
        <v>-81.97</v>
      </c>
      <c r="O1823" s="94">
        <v>350</v>
      </c>
      <c r="P1823" s="58">
        <v>9</v>
      </c>
      <c r="Q1823" s="58"/>
      <c r="R1823" s="58">
        <v>960</v>
      </c>
      <c r="S1823" s="94"/>
      <c r="T1823" s="58"/>
      <c r="U1823" s="58">
        <v>2</v>
      </c>
      <c r="V1823" s="58" t="s">
        <v>1816</v>
      </c>
      <c r="Y1823" s="58" t="s">
        <v>2045</v>
      </c>
      <c r="Z1823" s="58" t="s">
        <v>1346</v>
      </c>
      <c r="AA1823" s="94">
        <v>20</v>
      </c>
      <c r="AD1823" s="94">
        <f>AVERAGE(Sheet1!CH1823:CI1823)</f>
        <v>1.34074</v>
      </c>
      <c r="AE1823" s="92">
        <v>35</v>
      </c>
      <c r="AF1823" s="92">
        <v>55</v>
      </c>
      <c r="AG1823" s="92"/>
      <c r="AH1823" s="58" t="s">
        <v>6378</v>
      </c>
      <c r="AI1823" s="169">
        <v>5.9</v>
      </c>
      <c r="AJ1823" s="94">
        <v>1.48</v>
      </c>
      <c r="AK1823" s="94"/>
      <c r="AL1823" s="58"/>
      <c r="AM1823" s="58" t="s">
        <v>2027</v>
      </c>
      <c r="AN1823" s="186" t="s">
        <v>1713</v>
      </c>
      <c r="AO1823" s="185" t="s">
        <v>5150</v>
      </c>
      <c r="AP1823" s="58"/>
      <c r="AQ1823" s="58" t="s">
        <v>131</v>
      </c>
      <c r="AR1823" s="58" t="s">
        <v>1977</v>
      </c>
      <c r="AS1823" s="58" t="s">
        <v>132</v>
      </c>
      <c r="AT1823" s="182" t="s">
        <v>1977</v>
      </c>
      <c r="AU1823" s="181" t="s">
        <v>5150</v>
      </c>
      <c r="AV1823" s="185" t="s">
        <v>176</v>
      </c>
      <c r="AW1823" s="58"/>
      <c r="AX1823" s="185" t="s">
        <v>176</v>
      </c>
      <c r="AY1823" s="58"/>
      <c r="AZ1823" s="58"/>
      <c r="BA1823" s="58"/>
      <c r="BB1823" s="58"/>
      <c r="BC1823" s="58"/>
      <c r="BD1823" s="59"/>
      <c r="BE1823" s="236"/>
      <c r="BF1823" s="58"/>
      <c r="BG1823" s="58"/>
      <c r="BH1823" s="236"/>
      <c r="BI1823" s="58"/>
      <c r="BJ1823" s="58" t="s">
        <v>2038</v>
      </c>
      <c r="BK1823" s="58" t="s">
        <v>5976</v>
      </c>
      <c r="BL1823" s="58"/>
      <c r="BM1823" s="237" t="s">
        <v>160</v>
      </c>
      <c r="BN1823" s="58">
        <v>3</v>
      </c>
      <c r="BO1823" s="58">
        <v>3</v>
      </c>
      <c r="BP1823" s="58"/>
      <c r="BQ1823" s="58" t="s">
        <v>141</v>
      </c>
      <c r="BR1823" s="58"/>
      <c r="BS1823" s="58"/>
      <c r="BT1823" s="58"/>
      <c r="BU1823" s="58"/>
      <c r="BV1823" s="58"/>
      <c r="CB1823" s="68">
        <v>11900</v>
      </c>
      <c r="CC1823" s="68">
        <v>11100</v>
      </c>
      <c r="CD1823" s="68"/>
      <c r="CE1823" s="67"/>
      <c r="CH1823" s="94">
        <v>1.35118</v>
      </c>
      <c r="CI1823" s="94">
        <v>1.3303</v>
      </c>
      <c r="CM1823" s="67">
        <v>1.48</v>
      </c>
      <c r="CN1823" s="67">
        <v>1.6</v>
      </c>
      <c r="CR1823" s="67"/>
      <c r="CS1823" s="67"/>
      <c r="CV1823" s="65" t="s">
        <v>3039</v>
      </c>
      <c r="DA1823" s="65" t="s">
        <v>4458</v>
      </c>
      <c r="GP1823" s="292" t="s">
        <v>7494</v>
      </c>
      <c r="JU1823" s="58" t="s">
        <v>2044</v>
      </c>
      <c r="JV1823" s="58"/>
    </row>
    <row r="1824" spans="1:282" x14ac:dyDescent="0.25">
      <c r="A1824" s="55">
        <v>1823</v>
      </c>
      <c r="B1824" s="12" t="s">
        <v>7067</v>
      </c>
      <c r="C1824" s="156">
        <v>87</v>
      </c>
      <c r="D1824" s="58" t="s">
        <v>4027</v>
      </c>
      <c r="E1824" s="94" t="s">
        <v>2029</v>
      </c>
      <c r="F1824" s="94"/>
      <c r="G1824" s="58"/>
      <c r="H1824" s="58">
        <v>1991</v>
      </c>
      <c r="I1824" s="58">
        <v>1982</v>
      </c>
      <c r="J1824" s="58" t="s">
        <v>2013</v>
      </c>
      <c r="K1824" s="58" t="s">
        <v>2028</v>
      </c>
      <c r="L1824" s="58" t="s">
        <v>2737</v>
      </c>
      <c r="M1824" s="94">
        <v>40.82</v>
      </c>
      <c r="N1824" s="94">
        <v>-81.97</v>
      </c>
      <c r="O1824" s="94">
        <v>350</v>
      </c>
      <c r="P1824" s="58">
        <v>9</v>
      </c>
      <c r="Q1824" s="58"/>
      <c r="R1824" s="58">
        <v>960</v>
      </c>
      <c r="S1824" s="94"/>
      <c r="T1824" s="58"/>
      <c r="U1824" s="58">
        <v>2</v>
      </c>
      <c r="V1824" s="58" t="s">
        <v>1816</v>
      </c>
      <c r="Y1824" s="58" t="s">
        <v>2045</v>
      </c>
      <c r="Z1824" s="58" t="s">
        <v>1361</v>
      </c>
      <c r="AA1824" s="94">
        <v>5</v>
      </c>
      <c r="AD1824" s="94">
        <f>AVERAGE(Sheet1!CH1824:CI1824)</f>
        <v>1.32334</v>
      </c>
      <c r="AE1824" s="92">
        <v>35</v>
      </c>
      <c r="AF1824" s="92">
        <v>55</v>
      </c>
      <c r="AG1824" s="92"/>
      <c r="AH1824" s="58" t="s">
        <v>6378</v>
      </c>
      <c r="AI1824" s="169">
        <v>6</v>
      </c>
      <c r="AJ1824" s="94">
        <v>1.4</v>
      </c>
      <c r="AK1824" s="94"/>
      <c r="AL1824" s="58"/>
      <c r="AM1824" s="58" t="s">
        <v>2027</v>
      </c>
      <c r="AN1824" s="186" t="s">
        <v>1713</v>
      </c>
      <c r="AO1824" s="185" t="s">
        <v>5150</v>
      </c>
      <c r="AP1824" s="58"/>
      <c r="AQ1824" s="58" t="s">
        <v>131</v>
      </c>
      <c r="AR1824" s="58" t="s">
        <v>1977</v>
      </c>
      <c r="AS1824" s="58" t="s">
        <v>132</v>
      </c>
      <c r="AT1824" s="182" t="s">
        <v>1977</v>
      </c>
      <c r="AU1824" s="181" t="s">
        <v>5150</v>
      </c>
      <c r="AV1824" s="185" t="s">
        <v>176</v>
      </c>
      <c r="AW1824" s="58"/>
      <c r="AX1824" s="185" t="s">
        <v>176</v>
      </c>
      <c r="AY1824" s="58"/>
      <c r="AZ1824" s="58"/>
      <c r="BA1824" s="58"/>
      <c r="BB1824" s="58"/>
      <c r="BC1824" s="58"/>
      <c r="BD1824" s="59"/>
      <c r="BE1824" s="236"/>
      <c r="BF1824" s="58"/>
      <c r="BG1824" s="58"/>
      <c r="BH1824" s="236"/>
      <c r="BI1824" s="58"/>
      <c r="BJ1824" s="58" t="s">
        <v>2038</v>
      </c>
      <c r="BK1824" s="58" t="s">
        <v>5976</v>
      </c>
      <c r="BL1824" s="58"/>
      <c r="BM1824" s="237" t="s">
        <v>160</v>
      </c>
      <c r="BN1824" s="58">
        <v>3</v>
      </c>
      <c r="BO1824" s="58">
        <v>3</v>
      </c>
      <c r="BP1824" s="58"/>
      <c r="BQ1824" s="58" t="s">
        <v>141</v>
      </c>
      <c r="BR1824" s="58"/>
      <c r="BS1824" s="58"/>
      <c r="BT1824" s="58"/>
      <c r="BU1824" s="58"/>
      <c r="BV1824" s="58"/>
      <c r="CB1824" s="68">
        <v>6500</v>
      </c>
      <c r="CC1824" s="68">
        <v>6700</v>
      </c>
      <c r="CD1824" s="68"/>
      <c r="CE1824" s="67"/>
      <c r="CH1824" s="94">
        <v>1.3651</v>
      </c>
      <c r="CI1824" s="94">
        <v>1.2815799999999999</v>
      </c>
      <c r="CM1824" s="67">
        <v>1.4</v>
      </c>
      <c r="CN1824" s="67">
        <v>1.8800000000000001</v>
      </c>
      <c r="CR1824" s="67"/>
      <c r="CS1824" s="67"/>
      <c r="CV1824" s="65" t="s">
        <v>3039</v>
      </c>
      <c r="DA1824" s="65" t="s">
        <v>4458</v>
      </c>
      <c r="GP1824" s="292" t="s">
        <v>7494</v>
      </c>
      <c r="JU1824" s="58" t="s">
        <v>2044</v>
      </c>
      <c r="JV1824" s="58"/>
    </row>
    <row r="1825" spans="1:282" x14ac:dyDescent="0.25">
      <c r="A1825" s="55">
        <v>1824</v>
      </c>
      <c r="B1825" s="12" t="s">
        <v>7067</v>
      </c>
      <c r="C1825" s="156">
        <v>87</v>
      </c>
      <c r="D1825" s="58" t="s">
        <v>4028</v>
      </c>
      <c r="E1825" s="94" t="s">
        <v>2029</v>
      </c>
      <c r="F1825" s="94"/>
      <c r="G1825" s="58"/>
      <c r="H1825" s="58">
        <v>1991</v>
      </c>
      <c r="I1825" s="58">
        <v>1982</v>
      </c>
      <c r="J1825" s="58" t="s">
        <v>2013</v>
      </c>
      <c r="K1825" s="58" t="s">
        <v>2028</v>
      </c>
      <c r="L1825" s="58" t="s">
        <v>2737</v>
      </c>
      <c r="M1825" s="94">
        <v>40.82</v>
      </c>
      <c r="N1825" s="94">
        <v>-81.97</v>
      </c>
      <c r="O1825" s="94">
        <v>350</v>
      </c>
      <c r="P1825" s="58">
        <v>9</v>
      </c>
      <c r="Q1825" s="58"/>
      <c r="R1825" s="58">
        <v>960</v>
      </c>
      <c r="S1825" s="94"/>
      <c r="T1825" s="58"/>
      <c r="U1825" s="58">
        <v>2</v>
      </c>
      <c r="V1825" s="58" t="s">
        <v>1816</v>
      </c>
      <c r="Y1825" s="58" t="s">
        <v>2045</v>
      </c>
      <c r="Z1825" s="58" t="s">
        <v>1368</v>
      </c>
      <c r="AA1825" s="94">
        <v>5</v>
      </c>
      <c r="AD1825" s="94">
        <f>AVERAGE(Sheet1!CH1825:CI1825)</f>
        <v>1.34335</v>
      </c>
      <c r="AE1825" s="92">
        <v>35</v>
      </c>
      <c r="AF1825" s="92">
        <v>55</v>
      </c>
      <c r="AG1825" s="92"/>
      <c r="AH1825" s="58" t="s">
        <v>6378</v>
      </c>
      <c r="AI1825" s="169">
        <v>5.8</v>
      </c>
      <c r="AJ1825" s="94">
        <v>1.48</v>
      </c>
      <c r="AK1825" s="94"/>
      <c r="AL1825" s="58"/>
      <c r="AM1825" s="58" t="s">
        <v>2027</v>
      </c>
      <c r="AN1825" s="186" t="s">
        <v>1713</v>
      </c>
      <c r="AO1825" s="185" t="s">
        <v>5150</v>
      </c>
      <c r="AP1825" s="58"/>
      <c r="AQ1825" s="58" t="s">
        <v>131</v>
      </c>
      <c r="AR1825" s="58" t="s">
        <v>1977</v>
      </c>
      <c r="AS1825" s="58" t="s">
        <v>132</v>
      </c>
      <c r="AT1825" s="182" t="s">
        <v>1977</v>
      </c>
      <c r="AU1825" s="181" t="s">
        <v>5150</v>
      </c>
      <c r="AV1825" s="185" t="s">
        <v>176</v>
      </c>
      <c r="AW1825" s="58"/>
      <c r="AX1825" s="185" t="s">
        <v>176</v>
      </c>
      <c r="AY1825" s="58"/>
      <c r="AZ1825" s="58"/>
      <c r="BA1825" s="58"/>
      <c r="BB1825" s="58"/>
      <c r="BC1825" s="58"/>
      <c r="BD1825" s="59"/>
      <c r="BE1825" s="236"/>
      <c r="BF1825" s="58"/>
      <c r="BG1825" s="58"/>
      <c r="BH1825" s="236"/>
      <c r="BI1825" s="58"/>
      <c r="BJ1825" s="58" t="s">
        <v>2038</v>
      </c>
      <c r="BK1825" s="58" t="s">
        <v>5976</v>
      </c>
      <c r="BL1825" s="58"/>
      <c r="BM1825" s="237" t="s">
        <v>160</v>
      </c>
      <c r="BN1825" s="58">
        <v>3</v>
      </c>
      <c r="BO1825" s="58">
        <v>3</v>
      </c>
      <c r="BP1825" s="58"/>
      <c r="BQ1825" s="58" t="s">
        <v>141</v>
      </c>
      <c r="BR1825" s="58"/>
      <c r="BS1825" s="58"/>
      <c r="BT1825" s="58"/>
      <c r="BU1825" s="58"/>
      <c r="BV1825" s="58"/>
      <c r="CB1825" s="68">
        <v>11100</v>
      </c>
      <c r="CC1825" s="68">
        <v>10100</v>
      </c>
      <c r="CD1825" s="68"/>
      <c r="CE1825" s="67"/>
      <c r="CH1825" s="94">
        <v>1.35118</v>
      </c>
      <c r="CI1825" s="94">
        <v>1.33552</v>
      </c>
      <c r="CM1825" s="67">
        <v>1.48</v>
      </c>
      <c r="CN1825" s="67">
        <v>1.5699999999999998</v>
      </c>
      <c r="CR1825" s="67"/>
      <c r="CS1825" s="67"/>
      <c r="CV1825" s="65" t="s">
        <v>3039</v>
      </c>
      <c r="DA1825" s="65" t="s">
        <v>4458</v>
      </c>
      <c r="GP1825" s="292" t="s">
        <v>7494</v>
      </c>
      <c r="JU1825" s="58" t="s">
        <v>2044</v>
      </c>
      <c r="JV1825" s="58"/>
    </row>
    <row r="1826" spans="1:282" x14ac:dyDescent="0.25">
      <c r="A1826" s="55">
        <v>1825</v>
      </c>
      <c r="B1826" s="12" t="s">
        <v>7067</v>
      </c>
      <c r="C1826" s="156">
        <v>87</v>
      </c>
      <c r="D1826" s="58" t="s">
        <v>4029</v>
      </c>
      <c r="E1826" s="94" t="s">
        <v>2029</v>
      </c>
      <c r="F1826" s="94"/>
      <c r="G1826" s="58"/>
      <c r="H1826" s="58">
        <v>1991</v>
      </c>
      <c r="I1826" s="58">
        <v>1982</v>
      </c>
      <c r="J1826" s="58" t="s">
        <v>2013</v>
      </c>
      <c r="K1826" s="58" t="s">
        <v>2028</v>
      </c>
      <c r="L1826" s="58" t="s">
        <v>2737</v>
      </c>
      <c r="M1826" s="94">
        <v>40.82</v>
      </c>
      <c r="N1826" s="94">
        <v>-81.97</v>
      </c>
      <c r="O1826" s="94">
        <v>350</v>
      </c>
      <c r="P1826" s="58">
        <v>9</v>
      </c>
      <c r="Q1826" s="58"/>
      <c r="R1826" s="58">
        <v>960</v>
      </c>
      <c r="S1826" s="94"/>
      <c r="T1826" s="58"/>
      <c r="U1826" s="58">
        <v>2</v>
      </c>
      <c r="V1826" s="58" t="s">
        <v>1816</v>
      </c>
      <c r="Y1826" s="58" t="s">
        <v>2045</v>
      </c>
      <c r="Z1826" s="58" t="s">
        <v>1376</v>
      </c>
      <c r="AA1826" s="94">
        <v>5</v>
      </c>
      <c r="AD1826" s="94">
        <f>AVERAGE(Sheet1!CH1826:CI1826)</f>
        <v>1.3398700000000001</v>
      </c>
      <c r="AE1826" s="92">
        <v>35</v>
      </c>
      <c r="AF1826" s="92">
        <v>55</v>
      </c>
      <c r="AG1826" s="92"/>
      <c r="AH1826" s="58" t="s">
        <v>6378</v>
      </c>
      <c r="AI1826" s="169">
        <v>5.8</v>
      </c>
      <c r="AJ1826" s="94">
        <v>1.56</v>
      </c>
      <c r="AK1826" s="94"/>
      <c r="AL1826" s="58"/>
      <c r="AM1826" s="58" t="s">
        <v>2027</v>
      </c>
      <c r="AN1826" s="186" t="s">
        <v>1713</v>
      </c>
      <c r="AO1826" s="185" t="s">
        <v>5150</v>
      </c>
      <c r="AP1826" s="58"/>
      <c r="AQ1826" s="58" t="s">
        <v>131</v>
      </c>
      <c r="AR1826" s="58" t="s">
        <v>1977</v>
      </c>
      <c r="AS1826" s="58" t="s">
        <v>132</v>
      </c>
      <c r="AT1826" s="182" t="s">
        <v>1977</v>
      </c>
      <c r="AU1826" s="181" t="s">
        <v>5150</v>
      </c>
      <c r="AV1826" s="185" t="s">
        <v>176</v>
      </c>
      <c r="AW1826" s="58"/>
      <c r="AX1826" s="185" t="s">
        <v>176</v>
      </c>
      <c r="AY1826" s="58"/>
      <c r="AZ1826" s="58"/>
      <c r="BA1826" s="58"/>
      <c r="BB1826" s="58"/>
      <c r="BC1826" s="58"/>
      <c r="BD1826" s="59"/>
      <c r="BE1826" s="236"/>
      <c r="BF1826" s="58"/>
      <c r="BG1826" s="58"/>
      <c r="BH1826" s="236"/>
      <c r="BI1826" s="58"/>
      <c r="BJ1826" s="58" t="s">
        <v>2038</v>
      </c>
      <c r="BK1826" s="58" t="s">
        <v>5976</v>
      </c>
      <c r="BL1826" s="58"/>
      <c r="BM1826" s="237" t="s">
        <v>160</v>
      </c>
      <c r="BN1826" s="58">
        <v>3</v>
      </c>
      <c r="BO1826" s="58">
        <v>3</v>
      </c>
      <c r="BP1826" s="58"/>
      <c r="BQ1826" s="58" t="s">
        <v>141</v>
      </c>
      <c r="BR1826" s="58"/>
      <c r="BS1826" s="58"/>
      <c r="BT1826" s="58"/>
      <c r="BU1826" s="58"/>
      <c r="BV1826" s="58"/>
      <c r="CB1826" s="68">
        <v>10300</v>
      </c>
      <c r="CC1826" s="68">
        <v>8900</v>
      </c>
      <c r="CD1826" s="68"/>
      <c r="CE1826" s="67"/>
      <c r="CH1826" s="94">
        <v>1.3372600000000001</v>
      </c>
      <c r="CI1826" s="94">
        <v>1.3424800000000001</v>
      </c>
      <c r="CM1826" s="67">
        <v>1.56</v>
      </c>
      <c r="CN1826" s="67">
        <v>1.53</v>
      </c>
      <c r="CR1826" s="67"/>
      <c r="CS1826" s="67"/>
      <c r="CV1826" s="65" t="s">
        <v>3039</v>
      </c>
      <c r="DA1826" s="65" t="s">
        <v>4458</v>
      </c>
      <c r="GP1826" s="292" t="s">
        <v>7494</v>
      </c>
      <c r="JU1826" s="58" t="s">
        <v>2044</v>
      </c>
      <c r="JV1826" s="58"/>
    </row>
    <row r="1827" spans="1:282" x14ac:dyDescent="0.25">
      <c r="A1827" s="55">
        <v>1826</v>
      </c>
      <c r="B1827" s="12" t="s">
        <v>7067</v>
      </c>
      <c r="C1827" s="156">
        <v>87</v>
      </c>
      <c r="D1827" s="58" t="s">
        <v>4030</v>
      </c>
      <c r="E1827" s="94" t="s">
        <v>2029</v>
      </c>
      <c r="F1827" s="94"/>
      <c r="G1827" s="58"/>
      <c r="H1827" s="58">
        <v>1991</v>
      </c>
      <c r="I1827" s="58">
        <v>1982</v>
      </c>
      <c r="J1827" s="58" t="s">
        <v>2013</v>
      </c>
      <c r="K1827" s="58" t="s">
        <v>2028</v>
      </c>
      <c r="L1827" s="58" t="s">
        <v>2737</v>
      </c>
      <c r="M1827" s="94">
        <v>40.82</v>
      </c>
      <c r="N1827" s="94">
        <v>-81.97</v>
      </c>
      <c r="O1827" s="94">
        <v>350</v>
      </c>
      <c r="P1827" s="58">
        <v>9</v>
      </c>
      <c r="Q1827" s="58"/>
      <c r="R1827" s="58">
        <v>960</v>
      </c>
      <c r="S1827" s="94"/>
      <c r="T1827" s="58"/>
      <c r="U1827" s="58">
        <v>2</v>
      </c>
      <c r="V1827" s="58" t="s">
        <v>1816</v>
      </c>
      <c r="Y1827" s="58" t="s">
        <v>2045</v>
      </c>
      <c r="Z1827" s="58" t="s">
        <v>2033</v>
      </c>
      <c r="AA1827" s="94">
        <v>5</v>
      </c>
      <c r="AD1827" s="94">
        <f>AVERAGE(Sheet1!CH1827:CI1827)</f>
        <v>1.3564000000000001</v>
      </c>
      <c r="AE1827" s="92">
        <v>35</v>
      </c>
      <c r="AF1827" s="92">
        <v>55</v>
      </c>
      <c r="AG1827" s="92"/>
      <c r="AH1827" s="58" t="s">
        <v>6378</v>
      </c>
      <c r="AI1827" s="169">
        <v>6</v>
      </c>
      <c r="AJ1827" s="94">
        <v>1.46</v>
      </c>
      <c r="AK1827" s="94"/>
      <c r="AL1827" s="58"/>
      <c r="AM1827" s="58" t="s">
        <v>2027</v>
      </c>
      <c r="AN1827" s="186" t="s">
        <v>1713</v>
      </c>
      <c r="AO1827" s="185" t="s">
        <v>5150</v>
      </c>
      <c r="AP1827" s="58"/>
      <c r="AQ1827" s="58" t="s">
        <v>131</v>
      </c>
      <c r="AR1827" s="58" t="s">
        <v>1977</v>
      </c>
      <c r="AS1827" s="58" t="s">
        <v>132</v>
      </c>
      <c r="AT1827" s="182" t="s">
        <v>1977</v>
      </c>
      <c r="AU1827" s="181" t="s">
        <v>5150</v>
      </c>
      <c r="AV1827" s="185" t="s">
        <v>176</v>
      </c>
      <c r="AW1827" s="58"/>
      <c r="AX1827" s="185" t="s">
        <v>176</v>
      </c>
      <c r="AY1827" s="58"/>
      <c r="AZ1827" s="58"/>
      <c r="BA1827" s="58"/>
      <c r="BB1827" s="58"/>
      <c r="BC1827" s="58"/>
      <c r="BD1827" s="59"/>
      <c r="BE1827" s="236"/>
      <c r="BF1827" s="58"/>
      <c r="BG1827" s="58"/>
      <c r="BH1827" s="236"/>
      <c r="BI1827" s="58"/>
      <c r="BJ1827" s="58" t="s">
        <v>2038</v>
      </c>
      <c r="BK1827" s="58" t="s">
        <v>5976</v>
      </c>
      <c r="BL1827" s="58"/>
      <c r="BM1827" s="237" t="s">
        <v>160</v>
      </c>
      <c r="BN1827" s="58">
        <v>3</v>
      </c>
      <c r="BO1827" s="58">
        <v>3</v>
      </c>
      <c r="BP1827" s="58"/>
      <c r="BQ1827" s="58" t="s">
        <v>141</v>
      </c>
      <c r="BR1827" s="58"/>
      <c r="BS1827" s="58"/>
      <c r="BT1827" s="58"/>
      <c r="BU1827" s="58"/>
      <c r="BV1827" s="58"/>
      <c r="CE1827" s="67"/>
      <c r="CH1827" s="94">
        <v>1.35466</v>
      </c>
      <c r="CI1827" s="94">
        <v>1.3581400000000001</v>
      </c>
      <c r="CM1827" s="67">
        <v>1.46</v>
      </c>
      <c r="CN1827" s="67">
        <v>1.44</v>
      </c>
      <c r="CR1827" s="67"/>
      <c r="CS1827" s="67"/>
      <c r="CV1827" s="65" t="s">
        <v>3039</v>
      </c>
      <c r="DA1827" s="65" t="s">
        <v>4458</v>
      </c>
      <c r="GP1827" s="292" t="s">
        <v>7494</v>
      </c>
      <c r="JU1827" s="58" t="s">
        <v>2044</v>
      </c>
      <c r="JV1827" s="58"/>
    </row>
    <row r="1828" spans="1:282" x14ac:dyDescent="0.25">
      <c r="A1828" s="55">
        <v>1827</v>
      </c>
      <c r="B1828" s="12" t="s">
        <v>7067</v>
      </c>
      <c r="C1828" s="156">
        <v>87</v>
      </c>
      <c r="D1828" s="58" t="s">
        <v>4031</v>
      </c>
      <c r="E1828" s="94" t="s">
        <v>2029</v>
      </c>
      <c r="F1828" s="94"/>
      <c r="G1828" s="58"/>
      <c r="H1828" s="58">
        <v>1991</v>
      </c>
      <c r="I1828" s="58">
        <v>1982</v>
      </c>
      <c r="J1828" s="58" t="s">
        <v>2013</v>
      </c>
      <c r="K1828" s="58" t="s">
        <v>2028</v>
      </c>
      <c r="L1828" s="58" t="s">
        <v>2737</v>
      </c>
      <c r="M1828" s="94">
        <v>40.82</v>
      </c>
      <c r="N1828" s="94">
        <v>-81.97</v>
      </c>
      <c r="O1828" s="94">
        <v>350</v>
      </c>
      <c r="P1828" s="58">
        <v>9</v>
      </c>
      <c r="Q1828" s="58"/>
      <c r="R1828" s="58">
        <v>960</v>
      </c>
      <c r="S1828" s="94"/>
      <c r="T1828" s="58"/>
      <c r="U1828" s="58">
        <v>2</v>
      </c>
      <c r="V1828" s="58" t="s">
        <v>1816</v>
      </c>
      <c r="Y1828" s="58" t="s">
        <v>2045</v>
      </c>
      <c r="Z1828" s="58" t="s">
        <v>1346</v>
      </c>
      <c r="AA1828" s="94">
        <v>20</v>
      </c>
      <c r="AD1828" s="94">
        <f>AVERAGE(Sheet1!CH1828:CI1828)</f>
        <v>2.6962700000000002</v>
      </c>
      <c r="AE1828" s="92">
        <v>35</v>
      </c>
      <c r="AF1828" s="92">
        <v>55</v>
      </c>
      <c r="AG1828" s="92"/>
      <c r="AH1828" s="58" t="s">
        <v>6378</v>
      </c>
      <c r="AI1828" s="169">
        <v>5.9</v>
      </c>
      <c r="AJ1828" s="94">
        <v>1.48</v>
      </c>
      <c r="AK1828" s="94"/>
      <c r="AL1828" s="58"/>
      <c r="AM1828" s="58" t="s">
        <v>2027</v>
      </c>
      <c r="AN1828" s="186" t="s">
        <v>1713</v>
      </c>
      <c r="AO1828" s="185" t="s">
        <v>5150</v>
      </c>
      <c r="AP1828" s="58"/>
      <c r="AQ1828" s="58" t="s">
        <v>131</v>
      </c>
      <c r="AR1828" s="58" t="s">
        <v>2037</v>
      </c>
      <c r="AS1828" s="58" t="s">
        <v>158</v>
      </c>
      <c r="AT1828" s="182" t="s">
        <v>2037</v>
      </c>
      <c r="AU1828" s="181" t="s">
        <v>5150</v>
      </c>
      <c r="AV1828" s="185" t="s">
        <v>176</v>
      </c>
      <c r="AW1828" s="58"/>
      <c r="AX1828" s="185" t="s">
        <v>176</v>
      </c>
      <c r="AY1828" s="58"/>
      <c r="AZ1828" s="58"/>
      <c r="BA1828" s="58"/>
      <c r="BB1828" s="58"/>
      <c r="BC1828" s="58"/>
      <c r="BD1828" s="59"/>
      <c r="BE1828" s="236"/>
      <c r="BF1828" s="58"/>
      <c r="BG1828" s="58"/>
      <c r="BH1828" s="236"/>
      <c r="BI1828" s="58"/>
      <c r="BJ1828" s="58" t="s">
        <v>2036</v>
      </c>
      <c r="BK1828" s="58" t="s">
        <v>5976</v>
      </c>
      <c r="BL1828" s="58"/>
      <c r="BM1828" s="237" t="s">
        <v>160</v>
      </c>
      <c r="BN1828" s="58">
        <v>3</v>
      </c>
      <c r="BO1828" s="58">
        <v>3</v>
      </c>
      <c r="BP1828" s="58"/>
      <c r="BQ1828" s="58" t="s">
        <v>141</v>
      </c>
      <c r="BR1828" s="58"/>
      <c r="BS1828" s="58"/>
      <c r="BT1828" s="58"/>
      <c r="BU1828" s="58"/>
      <c r="BV1828" s="58"/>
      <c r="CB1828" s="68">
        <v>12300</v>
      </c>
      <c r="CC1828" s="68">
        <v>12100</v>
      </c>
      <c r="CD1828" s="68"/>
      <c r="CE1828" s="67"/>
      <c r="CH1828" s="94">
        <v>2.6919200000000001</v>
      </c>
      <c r="CI1828" s="94">
        <v>2.7006200000000002</v>
      </c>
      <c r="CM1828" s="67">
        <v>1.4750000000000001</v>
      </c>
      <c r="CN1828" s="67">
        <v>1.48</v>
      </c>
      <c r="CR1828" s="67"/>
      <c r="CS1828" s="67"/>
      <c r="CV1828" s="65" t="s">
        <v>3039</v>
      </c>
      <c r="DA1828" s="65" t="s">
        <v>4458</v>
      </c>
      <c r="GP1828" s="292" t="s">
        <v>7494</v>
      </c>
      <c r="JU1828" s="58" t="s">
        <v>2044</v>
      </c>
      <c r="JV1828" s="58"/>
    </row>
    <row r="1829" spans="1:282" x14ac:dyDescent="0.25">
      <c r="A1829" s="55">
        <v>1828</v>
      </c>
      <c r="B1829" s="12" t="s">
        <v>7067</v>
      </c>
      <c r="C1829" s="156">
        <v>87</v>
      </c>
      <c r="D1829" s="58" t="s">
        <v>4038</v>
      </c>
      <c r="E1829" s="94" t="s">
        <v>2029</v>
      </c>
      <c r="F1829" s="94"/>
      <c r="G1829" s="58"/>
      <c r="H1829" s="58">
        <v>1991</v>
      </c>
      <c r="I1829" s="58">
        <v>1982</v>
      </c>
      <c r="J1829" s="58" t="s">
        <v>2013</v>
      </c>
      <c r="K1829" s="58" t="s">
        <v>2028</v>
      </c>
      <c r="L1829" s="58" t="s">
        <v>2737</v>
      </c>
      <c r="M1829" s="94">
        <v>40.82</v>
      </c>
      <c r="N1829" s="94">
        <v>-81.97</v>
      </c>
      <c r="O1829" s="94">
        <v>350</v>
      </c>
      <c r="P1829" s="58">
        <v>9</v>
      </c>
      <c r="Q1829" s="58"/>
      <c r="R1829" s="58">
        <v>960</v>
      </c>
      <c r="S1829" s="94"/>
      <c r="T1829" s="58"/>
      <c r="U1829" s="58">
        <v>2</v>
      </c>
      <c r="V1829" s="58" t="s">
        <v>1816</v>
      </c>
      <c r="Y1829" s="58" t="s">
        <v>2045</v>
      </c>
      <c r="Z1829" s="58" t="s">
        <v>1361</v>
      </c>
      <c r="AA1829" s="94">
        <v>5</v>
      </c>
      <c r="AD1829" s="94">
        <f>AVERAGE(Sheet1!CH1829:CI1829)</f>
        <v>1.33117</v>
      </c>
      <c r="AE1829" s="92">
        <v>35</v>
      </c>
      <c r="AF1829" s="92">
        <v>55</v>
      </c>
      <c r="AG1829" s="92"/>
      <c r="AH1829" s="58" t="s">
        <v>6378</v>
      </c>
      <c r="AI1829" s="169">
        <v>6</v>
      </c>
      <c r="AJ1829" s="94">
        <v>1.4</v>
      </c>
      <c r="AK1829" s="94"/>
      <c r="AL1829" s="58"/>
      <c r="AM1829" s="58" t="s">
        <v>2027</v>
      </c>
      <c r="AN1829" s="186" t="s">
        <v>1713</v>
      </c>
      <c r="AO1829" s="185" t="s">
        <v>5150</v>
      </c>
      <c r="AP1829" s="58"/>
      <c r="AQ1829" s="58" t="s">
        <v>131</v>
      </c>
      <c r="AR1829" s="58" t="s">
        <v>2037</v>
      </c>
      <c r="AS1829" s="58" t="s">
        <v>158</v>
      </c>
      <c r="AT1829" s="182" t="s">
        <v>2037</v>
      </c>
      <c r="AU1829" s="181" t="s">
        <v>5150</v>
      </c>
      <c r="AV1829" s="185" t="s">
        <v>176</v>
      </c>
      <c r="AW1829" s="58"/>
      <c r="AX1829" s="185" t="s">
        <v>176</v>
      </c>
      <c r="AY1829" s="58"/>
      <c r="AZ1829" s="58"/>
      <c r="BA1829" s="58"/>
      <c r="BB1829" s="58"/>
      <c r="BC1829" s="58"/>
      <c r="BD1829" s="59"/>
      <c r="BE1829" s="236"/>
      <c r="BF1829" s="58"/>
      <c r="BG1829" s="58"/>
      <c r="BH1829" s="236"/>
      <c r="BI1829" s="58"/>
      <c r="BJ1829" s="58" t="s">
        <v>2036</v>
      </c>
      <c r="BK1829" s="58" t="s">
        <v>5976</v>
      </c>
      <c r="BL1829" s="58"/>
      <c r="BM1829" s="237" t="s">
        <v>160</v>
      </c>
      <c r="BN1829" s="58">
        <v>3</v>
      </c>
      <c r="BO1829" s="58">
        <v>3</v>
      </c>
      <c r="BP1829" s="58"/>
      <c r="BQ1829" s="58" t="s">
        <v>141</v>
      </c>
      <c r="BR1829" s="58"/>
      <c r="BS1829" s="58"/>
      <c r="BT1829" s="58"/>
      <c r="BU1829" s="58"/>
      <c r="BV1829" s="58"/>
      <c r="CB1829" s="68">
        <v>6600</v>
      </c>
      <c r="CC1829" s="68">
        <v>7700</v>
      </c>
      <c r="CD1829" s="68"/>
      <c r="CE1829" s="67"/>
      <c r="CH1829" s="94">
        <v>1.34944</v>
      </c>
      <c r="CI1829" s="94">
        <v>1.3129</v>
      </c>
      <c r="CM1829" s="67">
        <v>1.49</v>
      </c>
      <c r="CN1829" s="67">
        <v>1.7</v>
      </c>
      <c r="CR1829" s="67"/>
      <c r="CS1829" s="67"/>
      <c r="CV1829" s="65" t="s">
        <v>3039</v>
      </c>
      <c r="DA1829" s="65" t="s">
        <v>4458</v>
      </c>
      <c r="GP1829" s="292" t="s">
        <v>7494</v>
      </c>
      <c r="JU1829" s="58" t="s">
        <v>2044</v>
      </c>
      <c r="JV1829" s="58"/>
    </row>
    <row r="1830" spans="1:282" x14ac:dyDescent="0.25">
      <c r="A1830" s="55">
        <v>1829</v>
      </c>
      <c r="B1830" s="12" t="s">
        <v>7067</v>
      </c>
      <c r="C1830" s="156">
        <v>87</v>
      </c>
      <c r="D1830" s="58" t="s">
        <v>4039</v>
      </c>
      <c r="E1830" s="94" t="s">
        <v>2029</v>
      </c>
      <c r="F1830" s="94"/>
      <c r="G1830" s="58"/>
      <c r="H1830" s="58">
        <v>1991</v>
      </c>
      <c r="I1830" s="58">
        <v>1982</v>
      </c>
      <c r="J1830" s="58" t="s">
        <v>2013</v>
      </c>
      <c r="K1830" s="58" t="s">
        <v>2028</v>
      </c>
      <c r="L1830" s="58" t="s">
        <v>2737</v>
      </c>
      <c r="M1830" s="94">
        <v>40.82</v>
      </c>
      <c r="N1830" s="94">
        <v>-81.97</v>
      </c>
      <c r="O1830" s="94">
        <v>350</v>
      </c>
      <c r="P1830" s="58">
        <v>9</v>
      </c>
      <c r="Q1830" s="58"/>
      <c r="R1830" s="58">
        <v>960</v>
      </c>
      <c r="S1830" s="94"/>
      <c r="T1830" s="58"/>
      <c r="U1830" s="58">
        <v>2</v>
      </c>
      <c r="V1830" s="58" t="s">
        <v>1816</v>
      </c>
      <c r="Y1830" s="58" t="s">
        <v>2045</v>
      </c>
      <c r="Z1830" s="58" t="s">
        <v>1368</v>
      </c>
      <c r="AA1830" s="94">
        <v>5</v>
      </c>
      <c r="AD1830" s="94">
        <f>AVERAGE(Sheet1!CH1830:CI1830)</f>
        <v>1.35205</v>
      </c>
      <c r="AE1830" s="92">
        <v>35</v>
      </c>
      <c r="AF1830" s="92">
        <v>55</v>
      </c>
      <c r="AG1830" s="92"/>
      <c r="AH1830" s="58" t="s">
        <v>6378</v>
      </c>
      <c r="AI1830" s="169">
        <v>5.8</v>
      </c>
      <c r="AJ1830" s="94">
        <v>1.48</v>
      </c>
      <c r="AK1830" s="94"/>
      <c r="AL1830" s="58"/>
      <c r="AM1830" s="58" t="s">
        <v>2027</v>
      </c>
      <c r="AN1830" s="186" t="s">
        <v>1713</v>
      </c>
      <c r="AO1830" s="185" t="s">
        <v>5150</v>
      </c>
      <c r="AP1830" s="58"/>
      <c r="AQ1830" s="58" t="s">
        <v>131</v>
      </c>
      <c r="AR1830" s="58" t="s">
        <v>2037</v>
      </c>
      <c r="AS1830" s="58" t="s">
        <v>158</v>
      </c>
      <c r="AT1830" s="182" t="s">
        <v>2037</v>
      </c>
      <c r="AU1830" s="181" t="s">
        <v>5150</v>
      </c>
      <c r="AV1830" s="185" t="s">
        <v>176</v>
      </c>
      <c r="AW1830" s="58"/>
      <c r="AX1830" s="185" t="s">
        <v>176</v>
      </c>
      <c r="AY1830" s="58"/>
      <c r="AZ1830" s="58"/>
      <c r="BA1830" s="58"/>
      <c r="BB1830" s="58"/>
      <c r="BC1830" s="58"/>
      <c r="BD1830" s="59"/>
      <c r="BE1830" s="236"/>
      <c r="BF1830" s="58"/>
      <c r="BG1830" s="58"/>
      <c r="BH1830" s="236"/>
      <c r="BI1830" s="58"/>
      <c r="BJ1830" s="58" t="s">
        <v>2036</v>
      </c>
      <c r="BK1830" s="58" t="s">
        <v>5976</v>
      </c>
      <c r="BL1830" s="58"/>
      <c r="BM1830" s="237" t="s">
        <v>160</v>
      </c>
      <c r="BN1830" s="58">
        <v>3</v>
      </c>
      <c r="BO1830" s="58">
        <v>3</v>
      </c>
      <c r="BP1830" s="58"/>
      <c r="BQ1830" s="58" t="s">
        <v>141</v>
      </c>
      <c r="BR1830" s="58"/>
      <c r="BS1830" s="58"/>
      <c r="BT1830" s="58"/>
      <c r="BU1830" s="58"/>
      <c r="BV1830" s="58"/>
      <c r="CB1830" s="68">
        <v>11900</v>
      </c>
      <c r="CC1830" s="68">
        <v>11700</v>
      </c>
      <c r="CD1830" s="68"/>
      <c r="CE1830" s="67"/>
      <c r="CH1830" s="94">
        <v>1.339</v>
      </c>
      <c r="CI1830" s="94">
        <v>1.3651</v>
      </c>
      <c r="CM1830" s="67">
        <v>1.55</v>
      </c>
      <c r="CN1830" s="67">
        <v>1.4</v>
      </c>
      <c r="CR1830" s="67"/>
      <c r="CS1830" s="67"/>
      <c r="CV1830" s="65" t="s">
        <v>3039</v>
      </c>
      <c r="DA1830" s="65" t="s">
        <v>4458</v>
      </c>
      <c r="GP1830" s="292" t="s">
        <v>7494</v>
      </c>
      <c r="JU1830" s="58" t="s">
        <v>2044</v>
      </c>
      <c r="JV1830" s="58"/>
    </row>
    <row r="1831" spans="1:282" x14ac:dyDescent="0.25">
      <c r="A1831" s="55">
        <v>1830</v>
      </c>
      <c r="B1831" s="12" t="s">
        <v>7067</v>
      </c>
      <c r="C1831" s="156">
        <v>87</v>
      </c>
      <c r="D1831" s="58" t="s">
        <v>4040</v>
      </c>
      <c r="E1831" s="94" t="s">
        <v>2029</v>
      </c>
      <c r="F1831" s="94"/>
      <c r="G1831" s="58"/>
      <c r="H1831" s="58">
        <v>1991</v>
      </c>
      <c r="I1831" s="58">
        <v>1982</v>
      </c>
      <c r="J1831" s="58" t="s">
        <v>2013</v>
      </c>
      <c r="K1831" s="58" t="s">
        <v>2028</v>
      </c>
      <c r="L1831" s="58" t="s">
        <v>2737</v>
      </c>
      <c r="M1831" s="94">
        <v>40.82</v>
      </c>
      <c r="N1831" s="94">
        <v>-81.97</v>
      </c>
      <c r="O1831" s="94">
        <v>350</v>
      </c>
      <c r="P1831" s="58">
        <v>9</v>
      </c>
      <c r="Q1831" s="58"/>
      <c r="R1831" s="58">
        <v>960</v>
      </c>
      <c r="S1831" s="94"/>
      <c r="T1831" s="58"/>
      <c r="U1831" s="58">
        <v>2</v>
      </c>
      <c r="V1831" s="58" t="s">
        <v>1816</v>
      </c>
      <c r="Y1831" s="58" t="s">
        <v>2045</v>
      </c>
      <c r="Z1831" s="58" t="s">
        <v>1376</v>
      </c>
      <c r="AA1831" s="94">
        <v>5</v>
      </c>
      <c r="AD1831" s="94">
        <f>AVERAGE(Sheet1!CH1831:CI1831)</f>
        <v>1.32769</v>
      </c>
      <c r="AE1831" s="92">
        <v>35</v>
      </c>
      <c r="AF1831" s="92">
        <v>55</v>
      </c>
      <c r="AG1831" s="92"/>
      <c r="AH1831" s="58" t="s">
        <v>6378</v>
      </c>
      <c r="AI1831" s="169">
        <v>5.8</v>
      </c>
      <c r="AJ1831" s="94">
        <v>1.56</v>
      </c>
      <c r="AK1831" s="94"/>
      <c r="AL1831" s="58"/>
      <c r="AM1831" s="58" t="s">
        <v>2027</v>
      </c>
      <c r="AN1831" s="186" t="s">
        <v>1713</v>
      </c>
      <c r="AO1831" s="185" t="s">
        <v>5150</v>
      </c>
      <c r="AP1831" s="58"/>
      <c r="AQ1831" s="58" t="s">
        <v>131</v>
      </c>
      <c r="AR1831" s="58" t="s">
        <v>2037</v>
      </c>
      <c r="AS1831" s="58" t="s">
        <v>158</v>
      </c>
      <c r="AT1831" s="182" t="s">
        <v>2037</v>
      </c>
      <c r="AU1831" s="181" t="s">
        <v>5150</v>
      </c>
      <c r="AV1831" s="185" t="s">
        <v>176</v>
      </c>
      <c r="AW1831" s="58"/>
      <c r="AX1831" s="185" t="s">
        <v>176</v>
      </c>
      <c r="AY1831" s="58"/>
      <c r="AZ1831" s="58"/>
      <c r="BA1831" s="58"/>
      <c r="BB1831" s="58"/>
      <c r="BC1831" s="58"/>
      <c r="BD1831" s="59"/>
      <c r="BE1831" s="236"/>
      <c r="BF1831" s="58"/>
      <c r="BG1831" s="58"/>
      <c r="BH1831" s="236"/>
      <c r="BI1831" s="58"/>
      <c r="BJ1831" s="58" t="s">
        <v>2036</v>
      </c>
      <c r="BK1831" s="58" t="s">
        <v>5976</v>
      </c>
      <c r="BL1831" s="58"/>
      <c r="BM1831" s="237" t="s">
        <v>160</v>
      </c>
      <c r="BN1831" s="58">
        <v>3</v>
      </c>
      <c r="BO1831" s="58">
        <v>3</v>
      </c>
      <c r="BP1831" s="58"/>
      <c r="BQ1831" s="58" t="s">
        <v>141</v>
      </c>
      <c r="BR1831" s="58"/>
      <c r="BS1831" s="58"/>
      <c r="BT1831" s="58"/>
      <c r="BU1831" s="58"/>
      <c r="BV1831" s="58"/>
      <c r="CB1831" s="68">
        <v>12100</v>
      </c>
      <c r="CC1831" s="68">
        <v>12100</v>
      </c>
      <c r="CD1831" s="68"/>
      <c r="CE1831" s="67"/>
      <c r="CH1831" s="94">
        <v>1.30246</v>
      </c>
      <c r="CI1831" s="94">
        <v>1.3529200000000001</v>
      </c>
      <c r="CM1831" s="67">
        <v>1.7600000000000002</v>
      </c>
      <c r="CN1831" s="67">
        <v>1.47</v>
      </c>
      <c r="CR1831" s="67"/>
      <c r="CS1831" s="67"/>
      <c r="CV1831" s="65" t="s">
        <v>3039</v>
      </c>
      <c r="DA1831" s="65" t="s">
        <v>4458</v>
      </c>
      <c r="GP1831" s="292" t="s">
        <v>7494</v>
      </c>
      <c r="JU1831" s="58" t="s">
        <v>2044</v>
      </c>
      <c r="JV1831" s="58"/>
    </row>
    <row r="1832" spans="1:282" x14ac:dyDescent="0.25">
      <c r="A1832" s="55">
        <v>1831</v>
      </c>
      <c r="B1832" s="12" t="s">
        <v>7067</v>
      </c>
      <c r="C1832" s="156">
        <v>87</v>
      </c>
      <c r="D1832" s="58" t="s">
        <v>4041</v>
      </c>
      <c r="E1832" s="94" t="s">
        <v>2029</v>
      </c>
      <c r="F1832" s="94"/>
      <c r="G1832" s="58"/>
      <c r="H1832" s="58">
        <v>1991</v>
      </c>
      <c r="I1832" s="58">
        <v>1982</v>
      </c>
      <c r="J1832" s="58" t="s">
        <v>2013</v>
      </c>
      <c r="K1832" s="58" t="s">
        <v>2028</v>
      </c>
      <c r="L1832" s="58" t="s">
        <v>2737</v>
      </c>
      <c r="M1832" s="94">
        <v>40.82</v>
      </c>
      <c r="N1832" s="94">
        <v>-81.97</v>
      </c>
      <c r="O1832" s="94">
        <v>350</v>
      </c>
      <c r="P1832" s="58">
        <v>9</v>
      </c>
      <c r="Q1832" s="58"/>
      <c r="R1832" s="58">
        <v>960</v>
      </c>
      <c r="S1832" s="94"/>
      <c r="T1832" s="58"/>
      <c r="U1832" s="58">
        <v>2</v>
      </c>
      <c r="V1832" s="58" t="s">
        <v>1816</v>
      </c>
      <c r="Y1832" s="58" t="s">
        <v>2045</v>
      </c>
      <c r="Z1832" s="58" t="s">
        <v>2033</v>
      </c>
      <c r="AA1832" s="94">
        <v>5</v>
      </c>
      <c r="AD1832" s="94">
        <f>AVERAGE(Sheet1!CH1832:CI1832)</f>
        <v>1.37032</v>
      </c>
      <c r="AE1832" s="92">
        <v>35</v>
      </c>
      <c r="AF1832" s="92">
        <v>55</v>
      </c>
      <c r="AG1832" s="92"/>
      <c r="AH1832" s="58" t="s">
        <v>6378</v>
      </c>
      <c r="AI1832" s="169">
        <v>6</v>
      </c>
      <c r="AJ1832" s="94">
        <v>1.46</v>
      </c>
      <c r="AK1832" s="94"/>
      <c r="AL1832" s="58"/>
      <c r="AM1832" s="58" t="s">
        <v>2027</v>
      </c>
      <c r="AN1832" s="186" t="s">
        <v>1713</v>
      </c>
      <c r="AO1832" s="185" t="s">
        <v>5150</v>
      </c>
      <c r="AP1832" s="58"/>
      <c r="AQ1832" s="58" t="s">
        <v>131</v>
      </c>
      <c r="AR1832" s="58" t="s">
        <v>2037</v>
      </c>
      <c r="AS1832" s="58" t="s">
        <v>158</v>
      </c>
      <c r="AT1832" s="182" t="s">
        <v>2037</v>
      </c>
      <c r="AU1832" s="181" t="s">
        <v>5150</v>
      </c>
      <c r="AV1832" s="185" t="s">
        <v>176</v>
      </c>
      <c r="AW1832" s="58"/>
      <c r="AX1832" s="185" t="s">
        <v>176</v>
      </c>
      <c r="AY1832" s="58"/>
      <c r="AZ1832" s="58"/>
      <c r="BA1832" s="58"/>
      <c r="BB1832" s="58"/>
      <c r="BC1832" s="58"/>
      <c r="BD1832" s="59"/>
      <c r="BE1832" s="236"/>
      <c r="BF1832" s="58"/>
      <c r="BG1832" s="58"/>
      <c r="BH1832" s="236"/>
      <c r="BI1832" s="58"/>
      <c r="BJ1832" s="58" t="s">
        <v>2036</v>
      </c>
      <c r="BK1832" s="58" t="s">
        <v>5976</v>
      </c>
      <c r="BL1832" s="58"/>
      <c r="BM1832" s="237" t="s">
        <v>160</v>
      </c>
      <c r="BN1832" s="58">
        <v>3</v>
      </c>
      <c r="BO1832" s="58">
        <v>3</v>
      </c>
      <c r="BP1832" s="58"/>
      <c r="BQ1832" s="58" t="s">
        <v>141</v>
      </c>
      <c r="BR1832" s="58"/>
      <c r="BS1832" s="58"/>
      <c r="BT1832" s="58"/>
      <c r="BU1832" s="58"/>
      <c r="BV1832" s="58"/>
      <c r="CC1832" s="68"/>
      <c r="CD1832" s="68"/>
      <c r="CE1832" s="67"/>
      <c r="CH1832" s="94">
        <v>1.3685800000000001</v>
      </c>
      <c r="CI1832" s="94">
        <v>1.3720600000000001</v>
      </c>
      <c r="CM1832" s="67">
        <v>1.3800000000000001</v>
      </c>
      <c r="CN1832" s="67">
        <v>1.3599999999999999</v>
      </c>
      <c r="CR1832" s="67"/>
      <c r="CS1832" s="67"/>
      <c r="CV1832" s="65" t="s">
        <v>3039</v>
      </c>
      <c r="DA1832" s="65" t="s">
        <v>4458</v>
      </c>
      <c r="GP1832" s="292" t="s">
        <v>7494</v>
      </c>
      <c r="JU1832" s="58" t="s">
        <v>2044</v>
      </c>
      <c r="JV1832" s="58"/>
    </row>
    <row r="1833" spans="1:282" x14ac:dyDescent="0.25">
      <c r="A1833" s="55">
        <v>1832</v>
      </c>
      <c r="B1833" s="12" t="s">
        <v>7067</v>
      </c>
      <c r="C1833" s="156">
        <v>87</v>
      </c>
      <c r="D1833" s="58" t="s">
        <v>4042</v>
      </c>
      <c r="E1833" s="94" t="s">
        <v>2029</v>
      </c>
      <c r="F1833" s="94"/>
      <c r="G1833" s="58"/>
      <c r="H1833" s="58">
        <v>1991</v>
      </c>
      <c r="I1833" s="58">
        <v>1982</v>
      </c>
      <c r="J1833" s="58" t="s">
        <v>2013</v>
      </c>
      <c r="K1833" s="58" t="s">
        <v>2028</v>
      </c>
      <c r="L1833" s="58" t="s">
        <v>2737</v>
      </c>
      <c r="M1833" s="94">
        <v>40.82</v>
      </c>
      <c r="N1833" s="94">
        <v>-81.97</v>
      </c>
      <c r="O1833" s="94">
        <v>350</v>
      </c>
      <c r="P1833" s="58">
        <v>9</v>
      </c>
      <c r="Q1833" s="58"/>
      <c r="R1833" s="58">
        <v>960</v>
      </c>
      <c r="S1833" s="94"/>
      <c r="T1833" s="58"/>
      <c r="U1833" s="58">
        <v>2</v>
      </c>
      <c r="V1833" s="58" t="s">
        <v>1816</v>
      </c>
      <c r="Y1833" s="58" t="s">
        <v>2045</v>
      </c>
      <c r="Z1833" s="58" t="s">
        <v>1346</v>
      </c>
      <c r="AA1833" s="94">
        <v>20</v>
      </c>
      <c r="AD1833" s="94">
        <f>AVERAGE(Sheet1!CH1833:CI1833)</f>
        <v>1.338565</v>
      </c>
      <c r="AE1833" s="92">
        <v>35</v>
      </c>
      <c r="AF1833" s="92">
        <v>55</v>
      </c>
      <c r="AG1833" s="92"/>
      <c r="AH1833" s="58" t="s">
        <v>6378</v>
      </c>
      <c r="AI1833" s="169">
        <v>6.1</v>
      </c>
      <c r="AJ1833" s="94">
        <v>1.55</v>
      </c>
      <c r="AK1833" s="94"/>
      <c r="AL1833" s="58"/>
      <c r="AM1833" s="58" t="s">
        <v>2027</v>
      </c>
      <c r="AN1833" s="186" t="s">
        <v>1713</v>
      </c>
      <c r="AO1833" s="185" t="s">
        <v>5150</v>
      </c>
      <c r="AP1833" s="58"/>
      <c r="AQ1833" s="58" t="s">
        <v>131</v>
      </c>
      <c r="AR1833" s="58" t="s">
        <v>2031</v>
      </c>
      <c r="AS1833" s="58" t="s">
        <v>1575</v>
      </c>
      <c r="AT1833" s="182" t="s">
        <v>2031</v>
      </c>
      <c r="AU1833" s="181" t="s">
        <v>5150</v>
      </c>
      <c r="AV1833" s="185" t="s">
        <v>176</v>
      </c>
      <c r="AW1833" s="58"/>
      <c r="AX1833" s="185" t="s">
        <v>176</v>
      </c>
      <c r="AY1833" s="58"/>
      <c r="AZ1833" s="58"/>
      <c r="BA1833" s="58"/>
      <c r="BB1833" s="58"/>
      <c r="BC1833" s="58"/>
      <c r="BD1833" s="59"/>
      <c r="BE1833" s="236"/>
      <c r="BF1833" s="58"/>
      <c r="BG1833" s="58"/>
      <c r="BH1833" s="236"/>
      <c r="BI1833" s="58"/>
      <c r="BJ1833" s="58" t="s">
        <v>2035</v>
      </c>
      <c r="BK1833" s="58" t="s">
        <v>5976</v>
      </c>
      <c r="BL1833" s="58"/>
      <c r="BM1833" s="237" t="s">
        <v>160</v>
      </c>
      <c r="BN1833" s="58">
        <v>3</v>
      </c>
      <c r="BO1833" s="58">
        <v>3</v>
      </c>
      <c r="BP1833" s="58"/>
      <c r="BQ1833" s="58" t="s">
        <v>141</v>
      </c>
      <c r="BR1833" s="58"/>
      <c r="BS1833" s="58"/>
      <c r="BT1833" s="58"/>
      <c r="BU1833" s="58"/>
      <c r="BV1833" s="58"/>
      <c r="CB1833" s="68">
        <v>2900</v>
      </c>
      <c r="CC1833" s="68">
        <v>3000</v>
      </c>
      <c r="CD1833" s="68"/>
      <c r="CE1833" s="67"/>
      <c r="CH1833" s="94">
        <v>1.3398700000000001</v>
      </c>
      <c r="CI1833" s="94">
        <v>1.3372600000000001</v>
      </c>
      <c r="CM1833" s="67">
        <v>1.5449999999999999</v>
      </c>
      <c r="CN1833" s="67">
        <v>1.56</v>
      </c>
      <c r="CR1833" s="67"/>
      <c r="CS1833" s="67"/>
      <c r="CV1833" s="65" t="s">
        <v>3039</v>
      </c>
      <c r="DA1833" s="65" t="s">
        <v>4458</v>
      </c>
      <c r="GP1833" s="292" t="s">
        <v>7494</v>
      </c>
      <c r="JU1833" s="58" t="s">
        <v>2044</v>
      </c>
      <c r="JV1833" s="58"/>
    </row>
    <row r="1834" spans="1:282" x14ac:dyDescent="0.25">
      <c r="A1834" s="55">
        <v>1833</v>
      </c>
      <c r="B1834" s="12" t="s">
        <v>7067</v>
      </c>
      <c r="C1834" s="156">
        <v>87</v>
      </c>
      <c r="D1834" s="58" t="s">
        <v>4043</v>
      </c>
      <c r="E1834" s="94" t="s">
        <v>2029</v>
      </c>
      <c r="F1834" s="94"/>
      <c r="G1834" s="58"/>
      <c r="H1834" s="58">
        <v>1991</v>
      </c>
      <c r="I1834" s="58">
        <v>1982</v>
      </c>
      <c r="J1834" s="58" t="s">
        <v>2013</v>
      </c>
      <c r="K1834" s="58" t="s">
        <v>2028</v>
      </c>
      <c r="L1834" s="58" t="s">
        <v>2737</v>
      </c>
      <c r="M1834" s="94">
        <v>40.82</v>
      </c>
      <c r="N1834" s="94">
        <v>-81.97</v>
      </c>
      <c r="O1834" s="94">
        <v>350</v>
      </c>
      <c r="P1834" s="58">
        <v>9</v>
      </c>
      <c r="Q1834" s="58"/>
      <c r="R1834" s="58">
        <v>960</v>
      </c>
      <c r="S1834" s="94"/>
      <c r="T1834" s="58"/>
      <c r="U1834" s="58">
        <v>2</v>
      </c>
      <c r="V1834" s="58" t="s">
        <v>1816</v>
      </c>
      <c r="Y1834" s="58" t="s">
        <v>2045</v>
      </c>
      <c r="Z1834" s="58" t="s">
        <v>1361</v>
      </c>
      <c r="AA1834" s="94">
        <v>5</v>
      </c>
      <c r="AD1834" s="94">
        <f>AVERAGE(Sheet1!CH1834:CI1834)</f>
        <v>1.32769</v>
      </c>
      <c r="AE1834" s="92">
        <v>35</v>
      </c>
      <c r="AF1834" s="92">
        <v>55</v>
      </c>
      <c r="AG1834" s="92"/>
      <c r="AH1834" s="58" t="s">
        <v>6378</v>
      </c>
      <c r="AI1834" s="169">
        <v>6.1</v>
      </c>
      <c r="AJ1834" s="94">
        <v>1.49</v>
      </c>
      <c r="AK1834" s="94"/>
      <c r="AL1834" s="58"/>
      <c r="AM1834" s="58" t="s">
        <v>2027</v>
      </c>
      <c r="AN1834" s="186" t="s">
        <v>1713</v>
      </c>
      <c r="AO1834" s="185" t="s">
        <v>5150</v>
      </c>
      <c r="AP1834" s="58"/>
      <c r="AQ1834" s="58" t="s">
        <v>131</v>
      </c>
      <c r="AR1834" s="58" t="s">
        <v>2031</v>
      </c>
      <c r="AS1834" s="58" t="s">
        <v>1575</v>
      </c>
      <c r="AT1834" s="182" t="s">
        <v>2031</v>
      </c>
      <c r="AU1834" s="181" t="s">
        <v>5150</v>
      </c>
      <c r="AV1834" s="185" t="s">
        <v>176</v>
      </c>
      <c r="AW1834" s="58"/>
      <c r="AX1834" s="185" t="s">
        <v>176</v>
      </c>
      <c r="AY1834" s="58"/>
      <c r="AZ1834" s="58"/>
      <c r="BA1834" s="58"/>
      <c r="BB1834" s="58"/>
      <c r="BC1834" s="58"/>
      <c r="BD1834" s="59"/>
      <c r="BE1834" s="236"/>
      <c r="BF1834" s="58"/>
      <c r="BG1834" s="58"/>
      <c r="BH1834" s="236"/>
      <c r="BI1834" s="58"/>
      <c r="BJ1834" s="58" t="s">
        <v>2035</v>
      </c>
      <c r="BK1834" s="58" t="s">
        <v>5976</v>
      </c>
      <c r="BL1834" s="58"/>
      <c r="BM1834" s="237" t="s">
        <v>160</v>
      </c>
      <c r="BN1834" s="58">
        <v>3</v>
      </c>
      <c r="BO1834" s="58">
        <v>3</v>
      </c>
      <c r="BP1834" s="58"/>
      <c r="BQ1834" s="58" t="s">
        <v>141</v>
      </c>
      <c r="BR1834" s="58"/>
      <c r="BS1834" s="58"/>
      <c r="BT1834" s="58"/>
      <c r="BU1834" s="58"/>
      <c r="BV1834" s="58"/>
      <c r="CB1834" s="68">
        <v>1900</v>
      </c>
      <c r="CC1834" s="68">
        <v>1700</v>
      </c>
      <c r="CD1834" s="68"/>
      <c r="CE1834" s="67"/>
      <c r="CH1834" s="94">
        <v>1.34944</v>
      </c>
      <c r="CI1834" s="94">
        <v>1.3059400000000001</v>
      </c>
      <c r="CM1834" s="67">
        <v>1.49</v>
      </c>
      <c r="CN1834" s="67">
        <v>1.7399999999999998</v>
      </c>
      <c r="CR1834" s="67"/>
      <c r="CS1834" s="67"/>
      <c r="CV1834" s="65" t="s">
        <v>3039</v>
      </c>
      <c r="DA1834" s="65" t="s">
        <v>4458</v>
      </c>
      <c r="GP1834" s="292" t="s">
        <v>7494</v>
      </c>
      <c r="JU1834" s="58" t="s">
        <v>2044</v>
      </c>
      <c r="JV1834" s="58"/>
    </row>
    <row r="1835" spans="1:282" x14ac:dyDescent="0.25">
      <c r="A1835" s="55">
        <v>1834</v>
      </c>
      <c r="B1835" s="12" t="s">
        <v>7067</v>
      </c>
      <c r="C1835" s="156">
        <v>87</v>
      </c>
      <c r="D1835" s="58" t="s">
        <v>4044</v>
      </c>
      <c r="E1835" s="94" t="s">
        <v>2029</v>
      </c>
      <c r="F1835" s="94"/>
      <c r="G1835" s="58"/>
      <c r="H1835" s="58">
        <v>1991</v>
      </c>
      <c r="I1835" s="58">
        <v>1982</v>
      </c>
      <c r="J1835" s="58" t="s">
        <v>2013</v>
      </c>
      <c r="K1835" s="58" t="s">
        <v>2028</v>
      </c>
      <c r="L1835" s="58" t="s">
        <v>2737</v>
      </c>
      <c r="M1835" s="94">
        <v>40.82</v>
      </c>
      <c r="N1835" s="94">
        <v>-81.97</v>
      </c>
      <c r="O1835" s="94">
        <v>350</v>
      </c>
      <c r="P1835" s="58">
        <v>9</v>
      </c>
      <c r="Q1835" s="58"/>
      <c r="R1835" s="58">
        <v>960</v>
      </c>
      <c r="S1835" s="94"/>
      <c r="T1835" s="58"/>
      <c r="U1835" s="58">
        <v>2</v>
      </c>
      <c r="V1835" s="58" t="s">
        <v>1816</v>
      </c>
      <c r="Y1835" s="58" t="s">
        <v>2045</v>
      </c>
      <c r="Z1835" s="58" t="s">
        <v>1368</v>
      </c>
      <c r="AA1835" s="94">
        <v>5</v>
      </c>
      <c r="AD1835" s="94">
        <f>AVERAGE(Sheet1!CH1835:CI1835)</f>
        <v>1.3424800000000001</v>
      </c>
      <c r="AE1835" s="92">
        <v>35</v>
      </c>
      <c r="AF1835" s="92">
        <v>55</v>
      </c>
      <c r="AG1835" s="92"/>
      <c r="AH1835" s="58" t="s">
        <v>6378</v>
      </c>
      <c r="AI1835" s="169">
        <v>6.1</v>
      </c>
      <c r="AJ1835" s="94">
        <v>1.55</v>
      </c>
      <c r="AK1835" s="94"/>
      <c r="AL1835" s="58"/>
      <c r="AM1835" s="58" t="s">
        <v>2027</v>
      </c>
      <c r="AN1835" s="186" t="s">
        <v>1713</v>
      </c>
      <c r="AO1835" s="185" t="s">
        <v>5150</v>
      </c>
      <c r="AP1835" s="58"/>
      <c r="AQ1835" s="58" t="s">
        <v>131</v>
      </c>
      <c r="AR1835" s="58" t="s">
        <v>2031</v>
      </c>
      <c r="AS1835" s="58" t="s">
        <v>1575</v>
      </c>
      <c r="AT1835" s="182" t="s">
        <v>2031</v>
      </c>
      <c r="AU1835" s="181" t="s">
        <v>5150</v>
      </c>
      <c r="AV1835" s="185" t="s">
        <v>176</v>
      </c>
      <c r="AW1835" s="58"/>
      <c r="AX1835" s="185" t="s">
        <v>176</v>
      </c>
      <c r="AY1835" s="58"/>
      <c r="AZ1835" s="58"/>
      <c r="BA1835" s="58"/>
      <c r="BB1835" s="58"/>
      <c r="BC1835" s="58"/>
      <c r="BD1835" s="59"/>
      <c r="BE1835" s="236"/>
      <c r="BF1835" s="58"/>
      <c r="BG1835" s="58"/>
      <c r="BH1835" s="236"/>
      <c r="BI1835" s="58"/>
      <c r="BJ1835" s="58" t="s">
        <v>2035</v>
      </c>
      <c r="BK1835" s="58" t="s">
        <v>5976</v>
      </c>
      <c r="BL1835" s="58"/>
      <c r="BM1835" s="237" t="s">
        <v>160</v>
      </c>
      <c r="BN1835" s="58">
        <v>3</v>
      </c>
      <c r="BO1835" s="58">
        <v>3</v>
      </c>
      <c r="BP1835" s="58"/>
      <c r="BQ1835" s="58" t="s">
        <v>141</v>
      </c>
      <c r="BR1835" s="58"/>
      <c r="BS1835" s="58"/>
      <c r="BT1835" s="58"/>
      <c r="BU1835" s="58"/>
      <c r="BV1835" s="58"/>
      <c r="CB1835" s="68">
        <v>2600</v>
      </c>
      <c r="CC1835" s="68">
        <v>2700</v>
      </c>
      <c r="CD1835" s="68"/>
      <c r="CE1835" s="67"/>
      <c r="CH1835" s="94">
        <v>1.339</v>
      </c>
      <c r="CI1835" s="94">
        <v>1.34596</v>
      </c>
      <c r="CM1835" s="67">
        <v>1.55</v>
      </c>
      <c r="CN1835" s="67">
        <v>1.51</v>
      </c>
      <c r="CR1835" s="67"/>
      <c r="CS1835" s="67"/>
      <c r="CV1835" s="65" t="s">
        <v>3039</v>
      </c>
      <c r="DA1835" s="65" t="s">
        <v>4458</v>
      </c>
      <c r="GP1835" s="292" t="s">
        <v>7494</v>
      </c>
      <c r="JU1835" s="58" t="s">
        <v>2044</v>
      </c>
      <c r="JV1835" s="58"/>
    </row>
    <row r="1836" spans="1:282" x14ac:dyDescent="0.25">
      <c r="A1836" s="55">
        <v>1835</v>
      </c>
      <c r="B1836" s="12" t="s">
        <v>7067</v>
      </c>
      <c r="C1836" s="156">
        <v>87</v>
      </c>
      <c r="D1836" s="58" t="s">
        <v>4045</v>
      </c>
      <c r="E1836" s="94" t="s">
        <v>2029</v>
      </c>
      <c r="F1836" s="94"/>
      <c r="G1836" s="58"/>
      <c r="H1836" s="58">
        <v>1991</v>
      </c>
      <c r="I1836" s="58">
        <v>1982</v>
      </c>
      <c r="J1836" s="58" t="s">
        <v>2013</v>
      </c>
      <c r="K1836" s="58" t="s">
        <v>2028</v>
      </c>
      <c r="L1836" s="58" t="s">
        <v>2737</v>
      </c>
      <c r="M1836" s="94">
        <v>40.82</v>
      </c>
      <c r="N1836" s="94">
        <v>-81.97</v>
      </c>
      <c r="O1836" s="94">
        <v>350</v>
      </c>
      <c r="P1836" s="58">
        <v>9</v>
      </c>
      <c r="Q1836" s="58"/>
      <c r="R1836" s="58">
        <v>960</v>
      </c>
      <c r="S1836" s="94"/>
      <c r="T1836" s="58"/>
      <c r="U1836" s="58">
        <v>2</v>
      </c>
      <c r="V1836" s="58" t="s">
        <v>1816</v>
      </c>
      <c r="Y1836" s="58" t="s">
        <v>2045</v>
      </c>
      <c r="Z1836" s="58" t="s">
        <v>1376</v>
      </c>
      <c r="AA1836" s="94">
        <v>5</v>
      </c>
      <c r="AD1836" s="94">
        <f>AVERAGE(Sheet1!CH1836:CI1836)</f>
        <v>1.32073</v>
      </c>
      <c r="AE1836" s="92">
        <v>35</v>
      </c>
      <c r="AF1836" s="92">
        <v>55</v>
      </c>
      <c r="AG1836" s="92"/>
      <c r="AH1836" s="58" t="s">
        <v>6378</v>
      </c>
      <c r="AI1836" s="169">
        <v>6</v>
      </c>
      <c r="AJ1836" s="94">
        <v>1.76</v>
      </c>
      <c r="AK1836" s="94"/>
      <c r="AL1836" s="58"/>
      <c r="AM1836" s="58" t="s">
        <v>2027</v>
      </c>
      <c r="AN1836" s="186" t="s">
        <v>1713</v>
      </c>
      <c r="AO1836" s="185" t="s">
        <v>5150</v>
      </c>
      <c r="AP1836" s="58"/>
      <c r="AQ1836" s="58" t="s">
        <v>131</v>
      </c>
      <c r="AR1836" s="58" t="s">
        <v>2031</v>
      </c>
      <c r="AS1836" s="58" t="s">
        <v>1575</v>
      </c>
      <c r="AT1836" s="182" t="s">
        <v>2031</v>
      </c>
      <c r="AU1836" s="181" t="s">
        <v>5150</v>
      </c>
      <c r="AV1836" s="185" t="s">
        <v>176</v>
      </c>
      <c r="AW1836" s="58"/>
      <c r="AX1836" s="185" t="s">
        <v>176</v>
      </c>
      <c r="AY1836" s="58"/>
      <c r="AZ1836" s="58"/>
      <c r="BA1836" s="58"/>
      <c r="BB1836" s="58"/>
      <c r="BC1836" s="58"/>
      <c r="BD1836" s="59"/>
      <c r="BE1836" s="236"/>
      <c r="BF1836" s="58"/>
      <c r="BG1836" s="58"/>
      <c r="BH1836" s="236"/>
      <c r="BI1836" s="58"/>
      <c r="BJ1836" s="58" t="s">
        <v>2035</v>
      </c>
      <c r="BK1836" s="58" t="s">
        <v>5976</v>
      </c>
      <c r="BL1836" s="58"/>
      <c r="BM1836" s="237" t="s">
        <v>160</v>
      </c>
      <c r="BN1836" s="58">
        <v>3</v>
      </c>
      <c r="BO1836" s="58">
        <v>3</v>
      </c>
      <c r="BP1836" s="58"/>
      <c r="BQ1836" s="58" t="s">
        <v>141</v>
      </c>
      <c r="BR1836" s="58"/>
      <c r="BS1836" s="58"/>
      <c r="BT1836" s="58"/>
      <c r="BU1836" s="58"/>
      <c r="BV1836" s="58"/>
      <c r="CB1836" s="68">
        <v>2300</v>
      </c>
      <c r="CC1836" s="68">
        <v>2000</v>
      </c>
      <c r="CD1836" s="68"/>
      <c r="CE1836" s="67"/>
      <c r="CH1836" s="94">
        <v>1.30246</v>
      </c>
      <c r="CI1836" s="94">
        <v>1.339</v>
      </c>
      <c r="CM1836" s="67">
        <v>1.7600000000000002</v>
      </c>
      <c r="CN1836" s="67">
        <v>1.55</v>
      </c>
      <c r="CR1836" s="67"/>
      <c r="CS1836" s="67"/>
      <c r="CV1836" s="65" t="s">
        <v>3039</v>
      </c>
      <c r="DA1836" s="65" t="s">
        <v>4458</v>
      </c>
      <c r="GP1836" s="292" t="s">
        <v>7494</v>
      </c>
      <c r="JU1836" s="58" t="s">
        <v>2044</v>
      </c>
      <c r="JV1836" s="58"/>
    </row>
    <row r="1837" spans="1:282" x14ac:dyDescent="0.25">
      <c r="A1837" s="55">
        <v>1836</v>
      </c>
      <c r="B1837" s="12" t="s">
        <v>7067</v>
      </c>
      <c r="C1837" s="156">
        <v>87</v>
      </c>
      <c r="D1837" s="58" t="s">
        <v>4046</v>
      </c>
      <c r="E1837" s="94" t="s">
        <v>2029</v>
      </c>
      <c r="F1837" s="94"/>
      <c r="G1837" s="58"/>
      <c r="H1837" s="58">
        <v>1991</v>
      </c>
      <c r="I1837" s="58">
        <v>1982</v>
      </c>
      <c r="J1837" s="58" t="s">
        <v>2013</v>
      </c>
      <c r="K1837" s="58" t="s">
        <v>2028</v>
      </c>
      <c r="L1837" s="58" t="s">
        <v>2737</v>
      </c>
      <c r="M1837" s="94">
        <v>40.82</v>
      </c>
      <c r="N1837" s="94">
        <v>-81.97</v>
      </c>
      <c r="O1837" s="94">
        <v>350</v>
      </c>
      <c r="P1837" s="58">
        <v>9</v>
      </c>
      <c r="Q1837" s="58"/>
      <c r="R1837" s="58">
        <v>960</v>
      </c>
      <c r="S1837" s="94"/>
      <c r="T1837" s="58"/>
      <c r="U1837" s="58">
        <v>2</v>
      </c>
      <c r="V1837" s="58" t="s">
        <v>1816</v>
      </c>
      <c r="Y1837" s="58" t="s">
        <v>2045</v>
      </c>
      <c r="Z1837" s="58" t="s">
        <v>2033</v>
      </c>
      <c r="AA1837" s="94">
        <v>5</v>
      </c>
      <c r="AD1837" s="94">
        <f>AVERAGE(Sheet1!CH1837:CI1837)</f>
        <v>1.3616200000000001</v>
      </c>
      <c r="AE1837" s="92">
        <v>35</v>
      </c>
      <c r="AF1837" s="92">
        <v>55</v>
      </c>
      <c r="AG1837" s="92"/>
      <c r="AH1837" s="58" t="s">
        <v>6378</v>
      </c>
      <c r="AI1837" s="169">
        <v>6.1</v>
      </c>
      <c r="AJ1837" s="94">
        <v>1.38</v>
      </c>
      <c r="AK1837" s="94"/>
      <c r="AL1837" s="58"/>
      <c r="AM1837" s="58" t="s">
        <v>2027</v>
      </c>
      <c r="AN1837" s="186" t="s">
        <v>1713</v>
      </c>
      <c r="AO1837" s="185" t="s">
        <v>5150</v>
      </c>
      <c r="AP1837" s="58"/>
      <c r="AQ1837" s="58" t="s">
        <v>131</v>
      </c>
      <c r="AR1837" s="58" t="s">
        <v>2031</v>
      </c>
      <c r="AS1837" s="58" t="s">
        <v>1575</v>
      </c>
      <c r="AT1837" s="182" t="s">
        <v>2031</v>
      </c>
      <c r="AU1837" s="181" t="s">
        <v>5150</v>
      </c>
      <c r="AV1837" s="185" t="s">
        <v>176</v>
      </c>
      <c r="AW1837" s="58"/>
      <c r="AX1837" s="185" t="s">
        <v>176</v>
      </c>
      <c r="AY1837" s="58"/>
      <c r="AZ1837" s="58"/>
      <c r="BA1837" s="58"/>
      <c r="BB1837" s="58"/>
      <c r="BC1837" s="58"/>
      <c r="BD1837" s="59"/>
      <c r="BE1837" s="236"/>
      <c r="BF1837" s="58"/>
      <c r="BG1837" s="58"/>
      <c r="BH1837" s="236"/>
      <c r="BI1837" s="58"/>
      <c r="BJ1837" s="58" t="s">
        <v>2035</v>
      </c>
      <c r="BK1837" s="58" t="s">
        <v>5976</v>
      </c>
      <c r="BL1837" s="58"/>
      <c r="BM1837" s="237" t="s">
        <v>160</v>
      </c>
      <c r="BN1837" s="58">
        <v>3</v>
      </c>
      <c r="BO1837" s="58">
        <v>3</v>
      </c>
      <c r="BP1837" s="58"/>
      <c r="BQ1837" s="58" t="s">
        <v>141</v>
      </c>
      <c r="BR1837" s="58"/>
      <c r="BS1837" s="58"/>
      <c r="BT1837" s="58"/>
      <c r="BU1837" s="58"/>
      <c r="BV1837" s="58"/>
      <c r="CB1837" s="68"/>
      <c r="CC1837" s="68"/>
      <c r="CD1837" s="68"/>
      <c r="CE1837" s="67"/>
      <c r="CH1837" s="94">
        <v>1.3685800000000001</v>
      </c>
      <c r="CI1837" s="94">
        <v>1.35466</v>
      </c>
      <c r="CM1837" s="67">
        <v>1.3800000000000001</v>
      </c>
      <c r="CN1837" s="67">
        <v>1.46</v>
      </c>
      <c r="CR1837" s="67"/>
      <c r="CS1837" s="67"/>
      <c r="CV1837" s="65" t="s">
        <v>3039</v>
      </c>
      <c r="DA1837" s="65" t="s">
        <v>4458</v>
      </c>
      <c r="GP1837" s="292" t="s">
        <v>7494</v>
      </c>
      <c r="JU1837" s="58" t="s">
        <v>2044</v>
      </c>
      <c r="JV1837" s="58"/>
    </row>
    <row r="1838" spans="1:282" x14ac:dyDescent="0.25">
      <c r="A1838" s="55">
        <v>1837</v>
      </c>
      <c r="B1838" s="12" t="s">
        <v>7067</v>
      </c>
      <c r="C1838" s="156">
        <v>87</v>
      </c>
      <c r="D1838" s="58" t="s">
        <v>4047</v>
      </c>
      <c r="E1838" s="94" t="s">
        <v>2029</v>
      </c>
      <c r="F1838" s="94"/>
      <c r="G1838" s="58"/>
      <c r="H1838" s="58">
        <v>1991</v>
      </c>
      <c r="I1838" s="58">
        <v>1982</v>
      </c>
      <c r="J1838" s="58" t="s">
        <v>2013</v>
      </c>
      <c r="K1838" s="58" t="s">
        <v>2028</v>
      </c>
      <c r="L1838" s="58" t="s">
        <v>2737</v>
      </c>
      <c r="M1838" s="94">
        <v>40.82</v>
      </c>
      <c r="N1838" s="94">
        <v>-81.97</v>
      </c>
      <c r="O1838" s="94">
        <v>350</v>
      </c>
      <c r="P1838" s="58">
        <v>9</v>
      </c>
      <c r="Q1838" s="58"/>
      <c r="R1838" s="58">
        <v>960</v>
      </c>
      <c r="S1838" s="94"/>
      <c r="T1838" s="58"/>
      <c r="U1838" s="58">
        <v>2</v>
      </c>
      <c r="V1838" s="58" t="s">
        <v>1816</v>
      </c>
      <c r="Y1838" s="58" t="s">
        <v>2045</v>
      </c>
      <c r="Z1838" s="58" t="s">
        <v>1346</v>
      </c>
      <c r="AA1838" s="94">
        <v>20</v>
      </c>
      <c r="AD1838" s="94">
        <f>AVERAGE(Sheet1!CH1838:CI1838)</f>
        <v>1.4742850000000001</v>
      </c>
      <c r="AE1838" s="92">
        <v>35</v>
      </c>
      <c r="AF1838" s="92">
        <v>55</v>
      </c>
      <c r="AG1838" s="92"/>
      <c r="AH1838" s="58" t="s">
        <v>6378</v>
      </c>
      <c r="AI1838" s="169">
        <v>6.1</v>
      </c>
      <c r="AJ1838" s="94">
        <v>1.55</v>
      </c>
      <c r="AK1838" s="94"/>
      <c r="AL1838" s="58"/>
      <c r="AM1838" s="58" t="s">
        <v>2027</v>
      </c>
      <c r="AN1838" s="186" t="s">
        <v>1713</v>
      </c>
      <c r="AO1838" s="185" t="s">
        <v>5150</v>
      </c>
      <c r="AP1838" s="58"/>
      <c r="AQ1838" s="58" t="s">
        <v>131</v>
      </c>
      <c r="AR1838" s="58" t="s">
        <v>2031</v>
      </c>
      <c r="AS1838" s="58" t="s">
        <v>1575</v>
      </c>
      <c r="AT1838" s="182" t="s">
        <v>2031</v>
      </c>
      <c r="AU1838" s="181" t="s">
        <v>5150</v>
      </c>
      <c r="AV1838" s="185" t="s">
        <v>176</v>
      </c>
      <c r="AW1838" s="58"/>
      <c r="AX1838" s="185" t="s">
        <v>176</v>
      </c>
      <c r="AY1838" s="58"/>
      <c r="AZ1838" s="58"/>
      <c r="BA1838" s="58"/>
      <c r="BB1838" s="58"/>
      <c r="BC1838" s="58"/>
      <c r="BD1838" s="59"/>
      <c r="BE1838" s="236"/>
      <c r="BF1838" s="58"/>
      <c r="BG1838" s="58"/>
      <c r="BH1838" s="236"/>
      <c r="BI1838" s="58"/>
      <c r="BJ1838" s="58"/>
      <c r="BK1838" s="58" t="s">
        <v>5976</v>
      </c>
      <c r="BL1838" s="58"/>
      <c r="BM1838" s="237" t="s">
        <v>160</v>
      </c>
      <c r="BN1838" s="58">
        <v>3</v>
      </c>
      <c r="BO1838" s="58">
        <v>3</v>
      </c>
      <c r="BP1838" s="58"/>
      <c r="BQ1838" s="58" t="s">
        <v>141</v>
      </c>
      <c r="BR1838" s="58"/>
      <c r="BS1838" s="58"/>
      <c r="BT1838" s="58"/>
      <c r="BU1838" s="58"/>
      <c r="BV1838" s="58"/>
      <c r="CB1838" s="68"/>
      <c r="CC1838" s="68"/>
      <c r="CD1838" s="68"/>
      <c r="CE1838" s="67"/>
      <c r="CH1838" s="94">
        <v>1.3398700000000001</v>
      </c>
      <c r="CI1838" s="94">
        <v>1.6087</v>
      </c>
      <c r="CM1838" s="67">
        <v>1.5449999999999999</v>
      </c>
      <c r="CN1838" s="67">
        <v>1.5594775612559428</v>
      </c>
      <c r="CR1838" s="67"/>
      <c r="CS1838" s="67"/>
      <c r="CV1838" s="65" t="s">
        <v>3039</v>
      </c>
      <c r="DA1838" s="65" t="s">
        <v>4458</v>
      </c>
      <c r="GP1838" s="292" t="s">
        <v>7494</v>
      </c>
      <c r="JU1838" s="58"/>
      <c r="JV1838" s="58"/>
    </row>
    <row r="1839" spans="1:282" x14ac:dyDescent="0.25">
      <c r="A1839" s="55">
        <v>1838</v>
      </c>
      <c r="B1839" s="12" t="s">
        <v>7067</v>
      </c>
      <c r="C1839" s="156">
        <v>87</v>
      </c>
      <c r="D1839" s="58" t="s">
        <v>4048</v>
      </c>
      <c r="E1839" s="94" t="s">
        <v>2029</v>
      </c>
      <c r="F1839" s="94"/>
      <c r="G1839" s="58"/>
      <c r="H1839" s="58">
        <v>1991</v>
      </c>
      <c r="I1839" s="58">
        <v>1982</v>
      </c>
      <c r="J1839" s="58" t="s">
        <v>2013</v>
      </c>
      <c r="K1839" s="58" t="s">
        <v>2034</v>
      </c>
      <c r="L1839" s="58" t="s">
        <v>2737</v>
      </c>
      <c r="M1839" s="94">
        <v>41.2</v>
      </c>
      <c r="N1839" s="94">
        <v>-83.81</v>
      </c>
      <c r="O1839" s="94">
        <v>213</v>
      </c>
      <c r="P1839" s="58">
        <v>9.8000000000000007</v>
      </c>
      <c r="Q1839" s="58"/>
      <c r="R1839" s="58">
        <v>849</v>
      </c>
      <c r="S1839" s="94"/>
      <c r="T1839" s="58"/>
      <c r="U1839" s="58">
        <v>1</v>
      </c>
      <c r="V1839" s="58" t="s">
        <v>1816</v>
      </c>
      <c r="Y1839" s="58" t="s">
        <v>2045</v>
      </c>
      <c r="Z1839" s="58" t="s">
        <v>1361</v>
      </c>
      <c r="AA1839" s="94">
        <v>5</v>
      </c>
      <c r="AD1839" s="94">
        <f>AVERAGE(Sheet1!CH1839:CI1839)</f>
        <v>1.18066</v>
      </c>
      <c r="AE1839" s="92">
        <v>10</v>
      </c>
      <c r="AF1839" s="92">
        <v>55</v>
      </c>
      <c r="AG1839" s="92"/>
      <c r="AH1839" s="58" t="s">
        <v>523</v>
      </c>
      <c r="AI1839" s="169">
        <v>6.1</v>
      </c>
      <c r="AJ1839" s="94">
        <v>1.55</v>
      </c>
      <c r="AK1839" s="94"/>
      <c r="AL1839" s="58"/>
      <c r="AM1839" s="58" t="s">
        <v>2032</v>
      </c>
      <c r="AN1839" s="186" t="s">
        <v>1713</v>
      </c>
      <c r="AO1839" s="185" t="s">
        <v>5150</v>
      </c>
      <c r="AP1839" s="58"/>
      <c r="AQ1839" s="58" t="s">
        <v>131</v>
      </c>
      <c r="AR1839" s="58" t="s">
        <v>2031</v>
      </c>
      <c r="AS1839" s="58" t="s">
        <v>1575</v>
      </c>
      <c r="AT1839" s="182" t="s">
        <v>2031</v>
      </c>
      <c r="AU1839" s="181" t="s">
        <v>5150</v>
      </c>
      <c r="AV1839" s="185" t="s">
        <v>176</v>
      </c>
      <c r="AW1839" s="58"/>
      <c r="AX1839" s="185" t="s">
        <v>176</v>
      </c>
      <c r="AY1839" s="58"/>
      <c r="AZ1839" s="58"/>
      <c r="BA1839" s="58"/>
      <c r="BB1839" s="58"/>
      <c r="BC1839" s="58"/>
      <c r="BD1839" s="59"/>
      <c r="BE1839" s="236"/>
      <c r="BF1839" s="58"/>
      <c r="BG1839" s="58"/>
      <c r="BH1839" s="236"/>
      <c r="BI1839" s="58"/>
      <c r="BJ1839" s="58" t="s">
        <v>2030</v>
      </c>
      <c r="BK1839" s="58" t="s">
        <v>5976</v>
      </c>
      <c r="BL1839" s="58"/>
      <c r="BM1839" s="237" t="s">
        <v>160</v>
      </c>
      <c r="BN1839" s="58">
        <v>3</v>
      </c>
      <c r="BO1839" s="58">
        <v>3</v>
      </c>
      <c r="BP1839" s="58"/>
      <c r="BQ1839" s="58" t="s">
        <v>141</v>
      </c>
      <c r="BR1839" s="58"/>
      <c r="BS1839" s="58"/>
      <c r="BT1839" s="58"/>
      <c r="BU1839" s="58"/>
      <c r="BV1839" s="58"/>
      <c r="CB1839" s="66">
        <v>9300</v>
      </c>
      <c r="CC1839" s="66">
        <v>8900</v>
      </c>
      <c r="CE1839" s="67"/>
      <c r="CH1839" s="94">
        <v>1.1876200000000001</v>
      </c>
      <c r="CI1839" s="94">
        <v>1.1737000000000002</v>
      </c>
      <c r="CM1839" s="67">
        <v>2.42</v>
      </c>
      <c r="CN1839" s="67">
        <v>2.5</v>
      </c>
      <c r="CR1839" s="67"/>
      <c r="CS1839" s="67"/>
      <c r="CV1839" s="65" t="s">
        <v>3039</v>
      </c>
      <c r="DA1839" s="65" t="s">
        <v>4458</v>
      </c>
      <c r="GP1839" s="292" t="s">
        <v>7494</v>
      </c>
      <c r="JU1839" s="58" t="s">
        <v>2044</v>
      </c>
      <c r="JV1839" s="58"/>
    </row>
    <row r="1840" spans="1:282" x14ac:dyDescent="0.25">
      <c r="A1840" s="55">
        <v>1839</v>
      </c>
      <c r="B1840" s="12" t="s">
        <v>7067</v>
      </c>
      <c r="C1840" s="156">
        <v>87</v>
      </c>
      <c r="D1840" s="58" t="s">
        <v>4049</v>
      </c>
      <c r="E1840" s="94" t="s">
        <v>2029</v>
      </c>
      <c r="F1840" s="94"/>
      <c r="G1840" s="58"/>
      <c r="H1840" s="58">
        <v>1991</v>
      </c>
      <c r="I1840" s="58">
        <v>1983</v>
      </c>
      <c r="J1840" s="58" t="s">
        <v>2013</v>
      </c>
      <c r="K1840" s="58" t="s">
        <v>2034</v>
      </c>
      <c r="L1840" s="58" t="s">
        <v>2737</v>
      </c>
      <c r="M1840" s="94">
        <v>41.2</v>
      </c>
      <c r="N1840" s="94">
        <v>-83.81</v>
      </c>
      <c r="O1840" s="94">
        <v>213</v>
      </c>
      <c r="P1840" s="58">
        <v>9.8000000000000007</v>
      </c>
      <c r="Q1840" s="58"/>
      <c r="R1840" s="58">
        <v>849</v>
      </c>
      <c r="S1840" s="94"/>
      <c r="T1840" s="58"/>
      <c r="U1840" s="58">
        <v>2</v>
      </c>
      <c r="V1840" s="58" t="s">
        <v>1816</v>
      </c>
      <c r="Y1840" s="58" t="s">
        <v>2045</v>
      </c>
      <c r="Z1840" s="58" t="s">
        <v>1368</v>
      </c>
      <c r="AA1840" s="94">
        <v>5</v>
      </c>
      <c r="AD1840" s="94">
        <f>AVERAGE(Sheet1!CH1840:CI1840)</f>
        <v>1.2267700000000001</v>
      </c>
      <c r="AE1840" s="92">
        <v>10</v>
      </c>
      <c r="AF1840" s="92">
        <v>55</v>
      </c>
      <c r="AG1840" s="92"/>
      <c r="AH1840" s="58" t="s">
        <v>523</v>
      </c>
      <c r="AI1840" s="169">
        <v>6.1</v>
      </c>
      <c r="AJ1840" s="94">
        <v>1.49</v>
      </c>
      <c r="AK1840" s="94"/>
      <c r="AL1840" s="58"/>
      <c r="AM1840" s="58" t="s">
        <v>2032</v>
      </c>
      <c r="AN1840" s="186" t="s">
        <v>1713</v>
      </c>
      <c r="AO1840" s="185" t="s">
        <v>5150</v>
      </c>
      <c r="AP1840" s="58"/>
      <c r="AQ1840" s="58" t="s">
        <v>131</v>
      </c>
      <c r="AR1840" s="58" t="s">
        <v>2031</v>
      </c>
      <c r="AS1840" s="58" t="s">
        <v>1575</v>
      </c>
      <c r="AT1840" s="182" t="s">
        <v>2031</v>
      </c>
      <c r="AU1840" s="181" t="s">
        <v>5150</v>
      </c>
      <c r="AV1840" s="185" t="s">
        <v>176</v>
      </c>
      <c r="AW1840" s="58"/>
      <c r="AX1840" s="185" t="s">
        <v>176</v>
      </c>
      <c r="AY1840" s="58"/>
      <c r="AZ1840" s="58"/>
      <c r="BA1840" s="58"/>
      <c r="BB1840" s="58"/>
      <c r="BC1840" s="58"/>
      <c r="BD1840" s="59"/>
      <c r="BE1840" s="236"/>
      <c r="BF1840" s="58"/>
      <c r="BG1840" s="58"/>
      <c r="BH1840" s="236"/>
      <c r="BI1840" s="58"/>
      <c r="BJ1840" s="58" t="s">
        <v>2030</v>
      </c>
      <c r="BK1840" s="58" t="s">
        <v>5976</v>
      </c>
      <c r="BL1840" s="58"/>
      <c r="BM1840" s="237" t="s">
        <v>160</v>
      </c>
      <c r="BN1840" s="58">
        <v>3</v>
      </c>
      <c r="BO1840" s="58">
        <v>3</v>
      </c>
      <c r="BP1840" s="58"/>
      <c r="BQ1840" s="58" t="s">
        <v>141</v>
      </c>
      <c r="BR1840" s="58"/>
      <c r="BS1840" s="58"/>
      <c r="BT1840" s="58"/>
      <c r="BU1840" s="58"/>
      <c r="BV1840" s="58"/>
      <c r="CB1840" s="66">
        <v>7600</v>
      </c>
      <c r="CC1840" s="66">
        <v>6300</v>
      </c>
      <c r="CE1840" s="67"/>
      <c r="CH1840" s="94">
        <v>1.24156</v>
      </c>
      <c r="CI1840" s="94">
        <v>1.2119800000000001</v>
      </c>
      <c r="CM1840" s="67">
        <v>2.1100000000000003</v>
      </c>
      <c r="CN1840" s="67">
        <v>2.2800000000000002</v>
      </c>
      <c r="CR1840" s="67"/>
      <c r="CS1840" s="67"/>
      <c r="CV1840" s="65" t="s">
        <v>3039</v>
      </c>
      <c r="DA1840" s="65" t="s">
        <v>4458</v>
      </c>
      <c r="GP1840" s="292" t="s">
        <v>7494</v>
      </c>
      <c r="JU1840" s="58" t="s">
        <v>2044</v>
      </c>
      <c r="JV1840" s="58"/>
    </row>
    <row r="1841" spans="1:282" x14ac:dyDescent="0.25">
      <c r="A1841" s="55">
        <v>1840</v>
      </c>
      <c r="B1841" s="12" t="s">
        <v>7067</v>
      </c>
      <c r="C1841" s="156">
        <v>87</v>
      </c>
      <c r="D1841" s="58" t="s">
        <v>4050</v>
      </c>
      <c r="E1841" s="94" t="s">
        <v>2029</v>
      </c>
      <c r="F1841" s="94"/>
      <c r="G1841" s="58"/>
      <c r="H1841" s="58">
        <v>1991</v>
      </c>
      <c r="I1841" s="58">
        <v>1984</v>
      </c>
      <c r="J1841" s="58" t="s">
        <v>2013</v>
      </c>
      <c r="K1841" s="58" t="s">
        <v>2034</v>
      </c>
      <c r="L1841" s="58" t="s">
        <v>2737</v>
      </c>
      <c r="M1841" s="94">
        <v>41.2</v>
      </c>
      <c r="N1841" s="94">
        <v>-83.81</v>
      </c>
      <c r="O1841" s="94">
        <v>213</v>
      </c>
      <c r="P1841" s="58">
        <v>9.8000000000000007</v>
      </c>
      <c r="Q1841" s="58"/>
      <c r="R1841" s="58">
        <v>849</v>
      </c>
      <c r="S1841" s="94"/>
      <c r="T1841" s="58"/>
      <c r="U1841" s="58">
        <v>3</v>
      </c>
      <c r="V1841" s="58" t="s">
        <v>1816</v>
      </c>
      <c r="Y1841" s="58" t="s">
        <v>2045</v>
      </c>
      <c r="Z1841" s="58" t="s">
        <v>1376</v>
      </c>
      <c r="AA1841" s="94">
        <v>5</v>
      </c>
      <c r="AD1841" s="94">
        <f>AVERAGE(Sheet1!CH1841:CI1841)</f>
        <v>1.23112</v>
      </c>
      <c r="AE1841" s="92">
        <v>10</v>
      </c>
      <c r="AF1841" s="92">
        <v>55</v>
      </c>
      <c r="AG1841" s="92"/>
      <c r="AH1841" s="58" t="s">
        <v>523</v>
      </c>
      <c r="AI1841" s="169">
        <v>6.1</v>
      </c>
      <c r="AJ1841" s="94">
        <v>1.55</v>
      </c>
      <c r="AK1841" s="94"/>
      <c r="AL1841" s="58"/>
      <c r="AM1841" s="58" t="s">
        <v>2032</v>
      </c>
      <c r="AN1841" s="186" t="s">
        <v>1713</v>
      </c>
      <c r="AO1841" s="185" t="s">
        <v>5150</v>
      </c>
      <c r="AP1841" s="58"/>
      <c r="AQ1841" s="58" t="s">
        <v>131</v>
      </c>
      <c r="AR1841" s="58" t="s">
        <v>2031</v>
      </c>
      <c r="AS1841" s="58" t="s">
        <v>1575</v>
      </c>
      <c r="AT1841" s="182" t="s">
        <v>2031</v>
      </c>
      <c r="AU1841" s="181" t="s">
        <v>5150</v>
      </c>
      <c r="AV1841" s="185" t="s">
        <v>176</v>
      </c>
      <c r="AW1841" s="58"/>
      <c r="AX1841" s="185" t="s">
        <v>176</v>
      </c>
      <c r="AY1841" s="58"/>
      <c r="AZ1841" s="58"/>
      <c r="BA1841" s="58"/>
      <c r="BB1841" s="58"/>
      <c r="BC1841" s="58"/>
      <c r="BD1841" s="59"/>
      <c r="BE1841" s="236"/>
      <c r="BF1841" s="58"/>
      <c r="BG1841" s="58"/>
      <c r="BH1841" s="236"/>
      <c r="BI1841" s="58"/>
      <c r="BJ1841" s="58" t="s">
        <v>2030</v>
      </c>
      <c r="BK1841" s="58" t="s">
        <v>5976</v>
      </c>
      <c r="BL1841" s="58"/>
      <c r="BM1841" s="237" t="s">
        <v>160</v>
      </c>
      <c r="BN1841" s="58">
        <v>3</v>
      </c>
      <c r="BO1841" s="58">
        <v>3</v>
      </c>
      <c r="BP1841" s="58"/>
      <c r="BQ1841" s="58" t="s">
        <v>141</v>
      </c>
      <c r="BR1841" s="58"/>
      <c r="BS1841" s="58"/>
      <c r="BT1841" s="58"/>
      <c r="BU1841" s="58"/>
      <c r="BV1841" s="58"/>
      <c r="CB1841" s="66">
        <v>11700</v>
      </c>
      <c r="CC1841" s="66">
        <v>12000</v>
      </c>
      <c r="CE1841" s="67"/>
      <c r="CH1841" s="94">
        <v>1.2398199999999999</v>
      </c>
      <c r="CI1841" s="94">
        <v>1.2224200000000001</v>
      </c>
      <c r="CM1841" s="67">
        <v>2.12</v>
      </c>
      <c r="CN1841" s="67">
        <v>2.2199999999999998</v>
      </c>
      <c r="CR1841" s="67"/>
      <c r="CS1841" s="67"/>
      <c r="CV1841" s="65" t="s">
        <v>3039</v>
      </c>
      <c r="DA1841" s="65" t="s">
        <v>4458</v>
      </c>
      <c r="GP1841" s="292" t="s">
        <v>7494</v>
      </c>
      <c r="JU1841" s="58" t="s">
        <v>2044</v>
      </c>
      <c r="JV1841" s="58"/>
    </row>
    <row r="1842" spans="1:282" x14ac:dyDescent="0.25">
      <c r="A1842" s="55">
        <v>1841</v>
      </c>
      <c r="B1842" s="12" t="s">
        <v>7067</v>
      </c>
      <c r="C1842" s="156">
        <v>87</v>
      </c>
      <c r="D1842" s="58" t="s">
        <v>4051</v>
      </c>
      <c r="E1842" s="94" t="s">
        <v>2029</v>
      </c>
      <c r="F1842" s="94"/>
      <c r="G1842" s="58"/>
      <c r="H1842" s="58">
        <v>1991</v>
      </c>
      <c r="I1842" s="58">
        <v>1985</v>
      </c>
      <c r="J1842" s="58" t="s">
        <v>2013</v>
      </c>
      <c r="K1842" s="58" t="s">
        <v>2034</v>
      </c>
      <c r="L1842" s="58" t="s">
        <v>2737</v>
      </c>
      <c r="M1842" s="94">
        <v>41.2</v>
      </c>
      <c r="N1842" s="94">
        <v>-83.81</v>
      </c>
      <c r="O1842" s="94">
        <v>213</v>
      </c>
      <c r="P1842" s="58">
        <v>9.8000000000000007</v>
      </c>
      <c r="Q1842" s="58"/>
      <c r="R1842" s="58">
        <v>849</v>
      </c>
      <c r="S1842" s="94"/>
      <c r="T1842" s="58"/>
      <c r="U1842" s="58">
        <v>4</v>
      </c>
      <c r="V1842" s="58" t="s">
        <v>1816</v>
      </c>
      <c r="Y1842" s="58" t="s">
        <v>2045</v>
      </c>
      <c r="Z1842" s="58" t="s">
        <v>2033</v>
      </c>
      <c r="AA1842" s="94">
        <v>5</v>
      </c>
      <c r="AD1842" s="94">
        <f>AVERAGE(Sheet1!CH1842:CI1842)</f>
        <v>1.23112</v>
      </c>
      <c r="AE1842" s="92">
        <v>10</v>
      </c>
      <c r="AF1842" s="92">
        <v>55</v>
      </c>
      <c r="AG1842" s="92"/>
      <c r="AH1842" s="58" t="s">
        <v>523</v>
      </c>
      <c r="AI1842" s="169">
        <v>6</v>
      </c>
      <c r="AJ1842" s="94">
        <v>1.76</v>
      </c>
      <c r="AK1842" s="94"/>
      <c r="AL1842" s="58"/>
      <c r="AM1842" s="58" t="s">
        <v>2032</v>
      </c>
      <c r="AN1842" s="186" t="s">
        <v>1713</v>
      </c>
      <c r="AO1842" s="185" t="s">
        <v>5150</v>
      </c>
      <c r="AP1842" s="58"/>
      <c r="AQ1842" s="58" t="s">
        <v>131</v>
      </c>
      <c r="AR1842" s="58" t="s">
        <v>2031</v>
      </c>
      <c r="AS1842" s="58" t="s">
        <v>1575</v>
      </c>
      <c r="AT1842" s="182" t="s">
        <v>2031</v>
      </c>
      <c r="AU1842" s="181" t="s">
        <v>5150</v>
      </c>
      <c r="AV1842" s="185" t="s">
        <v>176</v>
      </c>
      <c r="AW1842" s="58"/>
      <c r="AX1842" s="185" t="s">
        <v>176</v>
      </c>
      <c r="AY1842" s="58"/>
      <c r="AZ1842" s="58"/>
      <c r="BA1842" s="58"/>
      <c r="BB1842" s="58"/>
      <c r="BC1842" s="58"/>
      <c r="BD1842" s="59"/>
      <c r="BE1842" s="236"/>
      <c r="BF1842" s="58"/>
      <c r="BG1842" s="58"/>
      <c r="BH1842" s="236"/>
      <c r="BI1842" s="58"/>
      <c r="BJ1842" s="58" t="s">
        <v>2030</v>
      </c>
      <c r="BK1842" s="58" t="s">
        <v>5976</v>
      </c>
      <c r="BL1842" s="58"/>
      <c r="BM1842" s="237" t="s">
        <v>160</v>
      </c>
      <c r="BN1842" s="58">
        <v>3</v>
      </c>
      <c r="BO1842" s="58">
        <v>3</v>
      </c>
      <c r="BP1842" s="58"/>
      <c r="BQ1842" s="58" t="s">
        <v>141</v>
      </c>
      <c r="BR1842" s="58"/>
      <c r="BS1842" s="58"/>
      <c r="BT1842" s="58"/>
      <c r="BU1842" s="58"/>
      <c r="BV1842" s="58"/>
      <c r="CB1842" s="66">
        <v>9900</v>
      </c>
      <c r="CC1842" s="66">
        <v>8500</v>
      </c>
      <c r="CE1842" s="67"/>
      <c r="CH1842" s="94">
        <v>1.2398199999999999</v>
      </c>
      <c r="CI1842" s="94">
        <v>1.2224200000000001</v>
      </c>
      <c r="CM1842" s="67">
        <v>2.12</v>
      </c>
      <c r="CN1842" s="67">
        <v>2.2199999999999998</v>
      </c>
      <c r="CR1842" s="67"/>
      <c r="CS1842" s="67"/>
      <c r="CV1842" s="65" t="s">
        <v>3039</v>
      </c>
      <c r="DA1842" s="65" t="s">
        <v>4458</v>
      </c>
      <c r="GP1842" s="292" t="s">
        <v>7494</v>
      </c>
      <c r="JU1842" s="58" t="s">
        <v>2044</v>
      </c>
      <c r="JV1842" s="58"/>
    </row>
    <row r="1843" spans="1:282" x14ac:dyDescent="0.25">
      <c r="A1843" s="55">
        <v>1842</v>
      </c>
      <c r="B1843" s="12" t="s">
        <v>7067</v>
      </c>
      <c r="C1843" s="156">
        <v>87</v>
      </c>
      <c r="D1843" s="58" t="s">
        <v>4052</v>
      </c>
      <c r="E1843" s="94" t="s">
        <v>2029</v>
      </c>
      <c r="F1843" s="94"/>
      <c r="G1843" s="58"/>
      <c r="H1843" s="58">
        <v>1991</v>
      </c>
      <c r="I1843" s="58">
        <v>1982</v>
      </c>
      <c r="J1843" s="58" t="s">
        <v>2013</v>
      </c>
      <c r="K1843" s="58" t="s">
        <v>2028</v>
      </c>
      <c r="L1843" s="58" t="s">
        <v>2737</v>
      </c>
      <c r="M1843" s="94">
        <v>41.2</v>
      </c>
      <c r="N1843" s="94">
        <v>-83.81</v>
      </c>
      <c r="O1843" s="94">
        <v>350</v>
      </c>
      <c r="P1843" s="58">
        <v>9</v>
      </c>
      <c r="Q1843" s="58"/>
      <c r="R1843" s="58">
        <v>960</v>
      </c>
      <c r="S1843" s="94"/>
      <c r="T1843" s="58"/>
      <c r="U1843" s="58">
        <v>2</v>
      </c>
      <c r="V1843" s="58" t="s">
        <v>1816</v>
      </c>
      <c r="Y1843" s="58" t="s">
        <v>2045</v>
      </c>
      <c r="Z1843" s="58" t="s">
        <v>1346</v>
      </c>
      <c r="AA1843" s="94">
        <v>20</v>
      </c>
      <c r="AD1843" s="94"/>
      <c r="AE1843" s="92">
        <v>10</v>
      </c>
      <c r="AF1843" s="92">
        <v>55</v>
      </c>
      <c r="AG1843" s="92"/>
      <c r="AH1843" s="58" t="s">
        <v>523</v>
      </c>
      <c r="AI1843" s="169">
        <v>6.1</v>
      </c>
      <c r="AJ1843" s="94">
        <v>1.38</v>
      </c>
      <c r="AK1843" s="94"/>
      <c r="AL1843" s="58"/>
      <c r="AM1843" s="58" t="s">
        <v>2027</v>
      </c>
      <c r="AN1843" s="186"/>
      <c r="AO1843" s="185" t="s">
        <v>5150</v>
      </c>
      <c r="AP1843" s="58"/>
      <c r="AQ1843" s="58" t="s">
        <v>131</v>
      </c>
      <c r="AR1843" s="58" t="s">
        <v>2031</v>
      </c>
      <c r="AS1843" s="58" t="s">
        <v>1575</v>
      </c>
      <c r="AT1843" s="182" t="s">
        <v>2031</v>
      </c>
      <c r="AU1843" s="181" t="s">
        <v>5150</v>
      </c>
      <c r="AV1843" s="185" t="s">
        <v>176</v>
      </c>
      <c r="AW1843" s="58"/>
      <c r="AX1843" s="185" t="s">
        <v>176</v>
      </c>
      <c r="AY1843" s="58"/>
      <c r="AZ1843" s="58"/>
      <c r="BA1843" s="58"/>
      <c r="BB1843" s="58"/>
      <c r="BC1843" s="58"/>
      <c r="BD1843" s="59"/>
      <c r="BE1843" s="236"/>
      <c r="BF1843" s="58"/>
      <c r="BG1843" s="58"/>
      <c r="BH1843" s="236"/>
      <c r="BI1843" s="58"/>
      <c r="BJ1843" s="58"/>
      <c r="BK1843" s="58" t="s">
        <v>5976</v>
      </c>
      <c r="BL1843" s="58"/>
      <c r="BM1843" s="237" t="s">
        <v>160</v>
      </c>
      <c r="BN1843" s="58">
        <v>3</v>
      </c>
      <c r="BO1843" s="58">
        <v>3</v>
      </c>
      <c r="BP1843" s="58"/>
      <c r="BQ1843" s="58" t="s">
        <v>141</v>
      </c>
      <c r="BR1843" s="58"/>
      <c r="BS1843" s="58"/>
      <c r="BT1843" s="58"/>
      <c r="BU1843" s="58"/>
      <c r="BV1843" s="58"/>
      <c r="CB1843" s="68"/>
      <c r="CC1843" s="68"/>
      <c r="CD1843" s="68"/>
      <c r="CE1843" s="67"/>
      <c r="CH1843" s="94"/>
      <c r="CI1843" s="94"/>
      <c r="CM1843" s="67"/>
      <c r="CN1843" s="67"/>
      <c r="CR1843" s="67"/>
      <c r="CS1843" s="67"/>
      <c r="GP1843" s="292" t="s">
        <v>7494</v>
      </c>
      <c r="JU1843" s="58"/>
      <c r="JV1843" s="58"/>
    </row>
    <row r="1844" spans="1:282" x14ac:dyDescent="0.25">
      <c r="A1844" s="55">
        <v>1843</v>
      </c>
      <c r="B1844" s="12" t="s">
        <v>7067</v>
      </c>
      <c r="C1844" s="156">
        <v>88</v>
      </c>
      <c r="D1844" s="58" t="s">
        <v>4053</v>
      </c>
      <c r="E1844" s="94" t="s">
        <v>2024</v>
      </c>
      <c r="F1844" s="94"/>
      <c r="G1844" s="58"/>
      <c r="H1844" s="58">
        <v>1997</v>
      </c>
      <c r="I1844" s="58">
        <v>1994</v>
      </c>
      <c r="J1844" s="58" t="s">
        <v>1709</v>
      </c>
      <c r="K1844" s="58" t="s">
        <v>2023</v>
      </c>
      <c r="L1844" s="58" t="s">
        <v>2738</v>
      </c>
      <c r="M1844" s="94">
        <v>49.09</v>
      </c>
      <c r="N1844" s="94">
        <v>-123.03</v>
      </c>
      <c r="O1844" s="94">
        <v>2</v>
      </c>
      <c r="P1844" s="58">
        <v>10</v>
      </c>
      <c r="Q1844" s="58"/>
      <c r="R1844" s="58">
        <v>1167</v>
      </c>
      <c r="S1844" s="94"/>
      <c r="T1844" s="58"/>
      <c r="U1844" s="58">
        <v>2</v>
      </c>
      <c r="V1844" s="58">
        <v>2</v>
      </c>
      <c r="Y1844" s="58" t="s">
        <v>2046</v>
      </c>
      <c r="Z1844" s="58" t="s">
        <v>1361</v>
      </c>
      <c r="AA1844" s="94">
        <v>5</v>
      </c>
      <c r="AD1844" s="94">
        <f>AVERAGE(Sheet1!CH1844:CI1844)</f>
        <v>1.2951519999999999</v>
      </c>
      <c r="AE1844" s="94">
        <v>3.6</v>
      </c>
      <c r="AF1844" s="94">
        <v>66.5</v>
      </c>
      <c r="AG1844" s="94"/>
      <c r="AH1844" s="58" t="s">
        <v>1022</v>
      </c>
      <c r="AI1844" s="169">
        <v>5</v>
      </c>
      <c r="AJ1844" s="94">
        <v>1.6719999999999999</v>
      </c>
      <c r="AK1844" s="94"/>
      <c r="AL1844" s="58"/>
      <c r="AM1844" s="58" t="s">
        <v>6377</v>
      </c>
      <c r="AN1844" s="186" t="s">
        <v>2026</v>
      </c>
      <c r="AO1844" s="185" t="s">
        <v>5150</v>
      </c>
      <c r="AP1844" s="58"/>
      <c r="AQ1844" s="58" t="s">
        <v>1545</v>
      </c>
      <c r="AR1844" s="58" t="s">
        <v>2022</v>
      </c>
      <c r="AS1844" s="55" t="s">
        <v>5133</v>
      </c>
      <c r="AT1844" s="182"/>
      <c r="AU1844" s="181" t="s">
        <v>7494</v>
      </c>
      <c r="AV1844" s="185" t="s">
        <v>176</v>
      </c>
      <c r="AW1844" s="58"/>
      <c r="AX1844" s="185" t="s">
        <v>176</v>
      </c>
      <c r="AY1844" s="58"/>
      <c r="AZ1844" s="58" t="s">
        <v>1016</v>
      </c>
      <c r="BA1844" s="58" t="s">
        <v>1016</v>
      </c>
      <c r="BB1844" s="58" t="s">
        <v>2082</v>
      </c>
      <c r="BC1844" s="58" t="s">
        <v>2082</v>
      </c>
      <c r="BD1844" s="55" t="s">
        <v>176</v>
      </c>
      <c r="BE1844" s="236"/>
      <c r="BF1844" s="58"/>
      <c r="BG1844" s="58"/>
      <c r="BH1844" s="236"/>
      <c r="BI1844" s="58"/>
      <c r="BJ1844" s="58" t="s">
        <v>2020</v>
      </c>
      <c r="BK1844" s="58" t="s">
        <v>6269</v>
      </c>
      <c r="BL1844" s="58"/>
      <c r="BM1844" s="237" t="s">
        <v>119</v>
      </c>
      <c r="BN1844" s="58">
        <v>5</v>
      </c>
      <c r="BO1844" s="58">
        <v>5</v>
      </c>
      <c r="BP1844" s="58"/>
      <c r="BQ1844" s="58" t="s">
        <v>141</v>
      </c>
      <c r="BR1844" s="58"/>
      <c r="BS1844" s="58"/>
      <c r="BT1844" s="58"/>
      <c r="BU1844" s="58"/>
      <c r="BV1844" s="58"/>
      <c r="CB1844" s="68"/>
      <c r="CC1844" s="68"/>
      <c r="CD1844" s="68"/>
      <c r="CE1844" s="67"/>
      <c r="CH1844" s="94">
        <v>1.307158</v>
      </c>
      <c r="CI1844" s="94">
        <v>1.2831459999999999</v>
      </c>
      <c r="CM1844" s="67">
        <v>1.7329999999999999</v>
      </c>
      <c r="CN1844" s="67">
        <v>1.871</v>
      </c>
      <c r="CR1844" s="67"/>
      <c r="CS1844" s="67"/>
      <c r="CV1844" s="65" t="s">
        <v>3039</v>
      </c>
      <c r="DA1844" s="65" t="s">
        <v>4458</v>
      </c>
      <c r="GD1844" s="65">
        <v>14.6</v>
      </c>
      <c r="GE1844" s="65">
        <v>18</v>
      </c>
      <c r="GH1844" s="65" t="s">
        <v>2049</v>
      </c>
      <c r="GP1844" s="292" t="s">
        <v>7494</v>
      </c>
      <c r="JU1844" s="58"/>
      <c r="JV1844" s="58"/>
    </row>
    <row r="1845" spans="1:282" x14ac:dyDescent="0.25">
      <c r="A1845" s="55">
        <v>1844</v>
      </c>
      <c r="B1845" s="12" t="s">
        <v>7067</v>
      </c>
      <c r="C1845" s="156">
        <v>88</v>
      </c>
      <c r="D1845" s="58" t="s">
        <v>4054</v>
      </c>
      <c r="E1845" s="94" t="s">
        <v>2024</v>
      </c>
      <c r="F1845" s="94"/>
      <c r="G1845" s="58"/>
      <c r="H1845" s="58">
        <v>1997</v>
      </c>
      <c r="I1845" s="58">
        <v>1994</v>
      </c>
      <c r="J1845" s="58" t="s">
        <v>1709</v>
      </c>
      <c r="K1845" s="58" t="s">
        <v>2023</v>
      </c>
      <c r="L1845" s="58" t="s">
        <v>2738</v>
      </c>
      <c r="M1845" s="94">
        <v>49.09</v>
      </c>
      <c r="N1845" s="94">
        <v>-123.03</v>
      </c>
      <c r="O1845" s="94">
        <v>2</v>
      </c>
      <c r="P1845" s="58">
        <v>10</v>
      </c>
      <c r="Q1845" s="58"/>
      <c r="R1845" s="58">
        <v>1167</v>
      </c>
      <c r="S1845" s="94"/>
      <c r="T1845" s="58"/>
      <c r="U1845" s="58">
        <v>2</v>
      </c>
      <c r="V1845" s="58">
        <v>2</v>
      </c>
      <c r="Y1845" s="58" t="s">
        <v>2046</v>
      </c>
      <c r="Z1845" s="58" t="s">
        <v>1361</v>
      </c>
      <c r="AA1845" s="94">
        <v>5</v>
      </c>
      <c r="AD1845" s="94">
        <f>AVERAGE(Sheet1!CH1845:CI1845)</f>
        <v>1.3043740000000001</v>
      </c>
      <c r="AE1845" s="94">
        <v>3.6</v>
      </c>
      <c r="AF1845" s="94">
        <v>66.5</v>
      </c>
      <c r="AG1845" s="94"/>
      <c r="AH1845" s="58" t="s">
        <v>1022</v>
      </c>
      <c r="AI1845" s="169">
        <v>5</v>
      </c>
      <c r="AJ1845" s="94">
        <v>1.6719999999999999</v>
      </c>
      <c r="AK1845" s="94"/>
      <c r="AL1845" s="58"/>
      <c r="AM1845" s="58" t="s">
        <v>6377</v>
      </c>
      <c r="AN1845" s="186" t="s">
        <v>2026</v>
      </c>
      <c r="AO1845" s="185" t="s">
        <v>5150</v>
      </c>
      <c r="AP1845" s="58"/>
      <c r="AQ1845" s="58" t="s">
        <v>1545</v>
      </c>
      <c r="AR1845" s="58" t="s">
        <v>2022</v>
      </c>
      <c r="AS1845" s="55" t="s">
        <v>5133</v>
      </c>
      <c r="AT1845" s="182"/>
      <c r="AU1845" s="181" t="s">
        <v>7494</v>
      </c>
      <c r="AV1845" s="185" t="s">
        <v>176</v>
      </c>
      <c r="AW1845" s="58"/>
      <c r="AX1845" s="185" t="s">
        <v>176</v>
      </c>
      <c r="AY1845" s="58"/>
      <c r="AZ1845" s="58" t="s">
        <v>2021</v>
      </c>
      <c r="BA1845" s="58" t="s">
        <v>2021</v>
      </c>
      <c r="BB1845" s="58" t="s">
        <v>2081</v>
      </c>
      <c r="BC1845" s="58" t="s">
        <v>2081</v>
      </c>
      <c r="BD1845" s="55" t="s">
        <v>176</v>
      </c>
      <c r="BE1845" s="236"/>
      <c r="BF1845" s="58"/>
      <c r="BG1845" s="58"/>
      <c r="BH1845" s="236"/>
      <c r="BI1845" s="58"/>
      <c r="BJ1845" s="58" t="s">
        <v>2020</v>
      </c>
      <c r="BK1845" s="58" t="s">
        <v>5976</v>
      </c>
      <c r="BL1845" s="58"/>
      <c r="BM1845" s="237" t="s">
        <v>119</v>
      </c>
      <c r="BN1845" s="58">
        <v>5</v>
      </c>
      <c r="BO1845" s="58">
        <v>5</v>
      </c>
      <c r="BP1845" s="58"/>
      <c r="BQ1845" s="58" t="s">
        <v>141</v>
      </c>
      <c r="BR1845" s="58"/>
      <c r="BS1845" s="58"/>
      <c r="BT1845" s="58"/>
      <c r="BU1845" s="58"/>
      <c r="BV1845" s="58"/>
      <c r="CB1845" s="68"/>
      <c r="CC1845" s="68"/>
      <c r="CD1845" s="68"/>
      <c r="CE1845" s="67"/>
      <c r="CH1845" s="94">
        <v>1.3153360000000001</v>
      </c>
      <c r="CI1845" s="94">
        <v>1.293412</v>
      </c>
      <c r="CM1845" s="67">
        <v>1.6859999999999999</v>
      </c>
      <c r="CN1845" s="67">
        <v>1.8120000000000001</v>
      </c>
      <c r="CR1845" s="67"/>
      <c r="CS1845" s="67"/>
      <c r="CV1845" s="65" t="s">
        <v>3039</v>
      </c>
      <c r="DA1845" s="65" t="s">
        <v>4458</v>
      </c>
      <c r="GD1845" s="65">
        <v>14.6</v>
      </c>
      <c r="GE1845" s="65">
        <v>24.9</v>
      </c>
      <c r="GH1845" s="65" t="s">
        <v>2049</v>
      </c>
      <c r="GP1845" s="292" t="s">
        <v>7494</v>
      </c>
      <c r="JU1845" s="58"/>
      <c r="JV1845" s="58"/>
    </row>
    <row r="1846" spans="1:282" x14ac:dyDescent="0.25">
      <c r="A1846" s="55">
        <v>1845</v>
      </c>
      <c r="B1846" s="12" t="s">
        <v>7067</v>
      </c>
      <c r="C1846" s="156">
        <v>88</v>
      </c>
      <c r="D1846" s="58" t="s">
        <v>4055</v>
      </c>
      <c r="E1846" s="94" t="s">
        <v>2024</v>
      </c>
      <c r="F1846" s="94"/>
      <c r="G1846" s="58"/>
      <c r="H1846" s="58">
        <v>1997</v>
      </c>
      <c r="I1846" s="58">
        <v>1994</v>
      </c>
      <c r="J1846" s="58" t="s">
        <v>1709</v>
      </c>
      <c r="K1846" s="58" t="s">
        <v>2023</v>
      </c>
      <c r="L1846" s="58" t="s">
        <v>2738</v>
      </c>
      <c r="M1846" s="94">
        <v>49.09</v>
      </c>
      <c r="N1846" s="94">
        <v>-123.03</v>
      </c>
      <c r="O1846" s="94">
        <v>2</v>
      </c>
      <c r="P1846" s="58">
        <v>10</v>
      </c>
      <c r="Q1846" s="58"/>
      <c r="R1846" s="58">
        <v>1167</v>
      </c>
      <c r="S1846" s="94"/>
      <c r="T1846" s="58"/>
      <c r="U1846" s="58">
        <v>2</v>
      </c>
      <c r="V1846" s="58">
        <v>2</v>
      </c>
      <c r="Y1846" s="58" t="s">
        <v>2046</v>
      </c>
      <c r="Z1846" s="58" t="s">
        <v>1361</v>
      </c>
      <c r="AA1846" s="94">
        <v>5</v>
      </c>
      <c r="AD1846" s="94">
        <f>AVERAGE(Sheet1!CH1846:CI1846)</f>
        <v>1.2988059999999999</v>
      </c>
      <c r="AE1846" s="94">
        <v>3.6</v>
      </c>
      <c r="AF1846" s="94">
        <v>66.5</v>
      </c>
      <c r="AG1846" s="94"/>
      <c r="AH1846" s="58" t="s">
        <v>1022</v>
      </c>
      <c r="AI1846" s="169">
        <v>5</v>
      </c>
      <c r="AJ1846" s="94">
        <v>1.6719999999999999</v>
      </c>
      <c r="AK1846" s="94"/>
      <c r="AL1846" s="58"/>
      <c r="AM1846" s="58" t="s">
        <v>6377</v>
      </c>
      <c r="AN1846" s="186" t="s">
        <v>2025</v>
      </c>
      <c r="AO1846" s="185" t="s">
        <v>5150</v>
      </c>
      <c r="AP1846" s="58"/>
      <c r="AQ1846" s="58" t="s">
        <v>131</v>
      </c>
      <c r="AR1846" s="58" t="s">
        <v>2022</v>
      </c>
      <c r="AS1846" s="55" t="s">
        <v>5133</v>
      </c>
      <c r="AT1846" s="182"/>
      <c r="AU1846" s="181" t="s">
        <v>7494</v>
      </c>
      <c r="AV1846" s="185" t="s">
        <v>176</v>
      </c>
      <c r="AW1846" s="58"/>
      <c r="AX1846" s="185" t="s">
        <v>176</v>
      </c>
      <c r="AY1846" s="58"/>
      <c r="AZ1846" s="58" t="s">
        <v>1016</v>
      </c>
      <c r="BA1846" s="58" t="s">
        <v>1016</v>
      </c>
      <c r="BB1846" s="58" t="s">
        <v>2082</v>
      </c>
      <c r="BC1846" s="58" t="s">
        <v>2082</v>
      </c>
      <c r="BD1846" s="55" t="s">
        <v>176</v>
      </c>
      <c r="BE1846" s="236"/>
      <c r="BF1846" s="58"/>
      <c r="BG1846" s="58"/>
      <c r="BH1846" s="236"/>
      <c r="BI1846" s="58"/>
      <c r="BJ1846" s="58" t="s">
        <v>2020</v>
      </c>
      <c r="BK1846" s="58" t="s">
        <v>6269</v>
      </c>
      <c r="BL1846" s="58"/>
      <c r="BM1846" s="237" t="s">
        <v>119</v>
      </c>
      <c r="BN1846" s="58">
        <v>5</v>
      </c>
      <c r="BO1846" s="58">
        <v>5</v>
      </c>
      <c r="BP1846" s="58"/>
      <c r="BQ1846" s="58" t="s">
        <v>141</v>
      </c>
      <c r="BR1846" s="58"/>
      <c r="BS1846" s="58"/>
      <c r="BT1846" s="58"/>
      <c r="BU1846" s="58"/>
      <c r="BV1846" s="58"/>
      <c r="CB1846" s="68"/>
      <c r="CC1846" s="68"/>
      <c r="CD1846" s="68"/>
      <c r="CE1846" s="67"/>
      <c r="CH1846" s="94">
        <v>1.307158</v>
      </c>
      <c r="CI1846" s="94">
        <v>1.290454</v>
      </c>
      <c r="CM1846" s="67">
        <v>1.7329999999999999</v>
      </c>
      <c r="CN1846" s="67">
        <v>1.829</v>
      </c>
      <c r="CR1846" s="67"/>
      <c r="CS1846" s="67"/>
      <c r="CV1846" s="65" t="s">
        <v>3039</v>
      </c>
      <c r="DA1846" s="65" t="s">
        <v>4458</v>
      </c>
      <c r="GD1846" s="65">
        <v>14.6</v>
      </c>
      <c r="GE1846" s="65">
        <v>28</v>
      </c>
      <c r="GH1846" s="65" t="s">
        <v>2049</v>
      </c>
      <c r="GP1846" s="292" t="s">
        <v>7494</v>
      </c>
      <c r="JU1846" s="58"/>
      <c r="JV1846" s="58"/>
    </row>
    <row r="1847" spans="1:282" x14ac:dyDescent="0.25">
      <c r="A1847" s="55">
        <v>1846</v>
      </c>
      <c r="B1847" s="12" t="s">
        <v>7067</v>
      </c>
      <c r="C1847" s="156">
        <v>88</v>
      </c>
      <c r="D1847" s="58" t="s">
        <v>4056</v>
      </c>
      <c r="E1847" s="94" t="s">
        <v>2024</v>
      </c>
      <c r="F1847" s="94"/>
      <c r="G1847" s="58"/>
      <c r="H1847" s="58">
        <v>1997</v>
      </c>
      <c r="I1847" s="58">
        <v>1994</v>
      </c>
      <c r="J1847" s="58" t="s">
        <v>1709</v>
      </c>
      <c r="K1847" s="58" t="s">
        <v>2023</v>
      </c>
      <c r="L1847" s="58" t="s">
        <v>2738</v>
      </c>
      <c r="M1847" s="94">
        <v>49.09</v>
      </c>
      <c r="N1847" s="94">
        <v>-123.03</v>
      </c>
      <c r="O1847" s="94">
        <v>2</v>
      </c>
      <c r="P1847" s="58">
        <v>10</v>
      </c>
      <c r="Q1847" s="58"/>
      <c r="R1847" s="58">
        <v>1167</v>
      </c>
      <c r="S1847" s="94"/>
      <c r="T1847" s="58"/>
      <c r="U1847" s="58">
        <v>2</v>
      </c>
      <c r="V1847" s="58">
        <v>2</v>
      </c>
      <c r="Y1847" s="58" t="s">
        <v>2046</v>
      </c>
      <c r="Z1847" s="58" t="s">
        <v>1361</v>
      </c>
      <c r="AA1847" s="94">
        <v>5</v>
      </c>
      <c r="AD1847" s="94">
        <f>AVERAGE(Sheet1!CH1847:CI1847)</f>
        <v>1.3249059999999999</v>
      </c>
      <c r="AE1847" s="94">
        <v>3.6</v>
      </c>
      <c r="AF1847" s="94">
        <v>66.5</v>
      </c>
      <c r="AG1847" s="94"/>
      <c r="AH1847" s="58" t="s">
        <v>1022</v>
      </c>
      <c r="AI1847" s="169">
        <v>5</v>
      </c>
      <c r="AJ1847" s="94">
        <v>1.6719999999999999</v>
      </c>
      <c r="AK1847" s="94"/>
      <c r="AL1847" s="58"/>
      <c r="AM1847" s="58" t="s">
        <v>6377</v>
      </c>
      <c r="AN1847" s="186" t="s">
        <v>2025</v>
      </c>
      <c r="AO1847" s="185" t="s">
        <v>5150</v>
      </c>
      <c r="AP1847" s="58"/>
      <c r="AQ1847" s="58" t="s">
        <v>131</v>
      </c>
      <c r="AR1847" s="58" t="s">
        <v>2022</v>
      </c>
      <c r="AS1847" s="55" t="s">
        <v>5133</v>
      </c>
      <c r="AT1847" s="182"/>
      <c r="AU1847" s="181" t="s">
        <v>7494</v>
      </c>
      <c r="AV1847" s="185" t="s">
        <v>176</v>
      </c>
      <c r="AW1847" s="58"/>
      <c r="AX1847" s="185" t="s">
        <v>176</v>
      </c>
      <c r="AY1847" s="58"/>
      <c r="AZ1847" s="58" t="s">
        <v>2021</v>
      </c>
      <c r="BA1847" s="58" t="s">
        <v>2021</v>
      </c>
      <c r="BB1847" s="58" t="s">
        <v>2081</v>
      </c>
      <c r="BC1847" s="58" t="s">
        <v>2081</v>
      </c>
      <c r="BD1847" s="55" t="s">
        <v>176</v>
      </c>
      <c r="BE1847" s="236"/>
      <c r="BF1847" s="58"/>
      <c r="BG1847" s="58"/>
      <c r="BH1847" s="236"/>
      <c r="BI1847" s="58"/>
      <c r="BJ1847" s="58" t="s">
        <v>2020</v>
      </c>
      <c r="BK1847" s="58" t="s">
        <v>5976</v>
      </c>
      <c r="BL1847" s="58"/>
      <c r="BM1847" s="237" t="s">
        <v>119</v>
      </c>
      <c r="BN1847" s="58">
        <v>5</v>
      </c>
      <c r="BO1847" s="58">
        <v>5</v>
      </c>
      <c r="BP1847" s="58"/>
      <c r="BQ1847" s="58" t="s">
        <v>141</v>
      </c>
      <c r="BR1847" s="58"/>
      <c r="BS1847" s="58"/>
      <c r="BT1847" s="58"/>
      <c r="BU1847" s="58"/>
      <c r="BV1847" s="58"/>
      <c r="CB1847" s="68"/>
      <c r="CC1847" s="68"/>
      <c r="CD1847" s="68"/>
      <c r="CE1847" s="67"/>
      <c r="CH1847" s="94">
        <v>1.3153360000000001</v>
      </c>
      <c r="CI1847" s="94">
        <v>1.334476</v>
      </c>
      <c r="CM1847" s="67">
        <v>1.6859999999999999</v>
      </c>
      <c r="CN1847" s="67">
        <v>1.5760000000000001</v>
      </c>
      <c r="CR1847" s="67"/>
      <c r="CS1847" s="67"/>
      <c r="CV1847" s="65" t="s">
        <v>3039</v>
      </c>
      <c r="DA1847" s="65" t="s">
        <v>4458</v>
      </c>
      <c r="GD1847" s="65">
        <v>14.2</v>
      </c>
      <c r="GE1847" s="65">
        <v>14.7</v>
      </c>
      <c r="GH1847" s="65" t="s">
        <v>2050</v>
      </c>
      <c r="GP1847" s="292" t="s">
        <v>7494</v>
      </c>
      <c r="JU1847" s="58"/>
      <c r="JV1847" s="58"/>
    </row>
    <row r="1848" spans="1:282" x14ac:dyDescent="0.25">
      <c r="A1848" s="55">
        <v>1847</v>
      </c>
      <c r="B1848" s="12" t="s">
        <v>7067</v>
      </c>
      <c r="C1848" s="156">
        <v>88</v>
      </c>
      <c r="D1848" s="58" t="s">
        <v>4057</v>
      </c>
      <c r="E1848" s="94" t="s">
        <v>2024</v>
      </c>
      <c r="F1848" s="94"/>
      <c r="G1848" s="58"/>
      <c r="H1848" s="58">
        <v>1997</v>
      </c>
      <c r="I1848" s="58">
        <v>1994</v>
      </c>
      <c r="J1848" s="58" t="s">
        <v>1709</v>
      </c>
      <c r="K1848" s="58" t="s">
        <v>2023</v>
      </c>
      <c r="L1848" s="58" t="s">
        <v>2738</v>
      </c>
      <c r="M1848" s="94">
        <v>49.09</v>
      </c>
      <c r="N1848" s="94">
        <v>-123.03</v>
      </c>
      <c r="O1848" s="94">
        <v>2</v>
      </c>
      <c r="P1848" s="58">
        <v>10</v>
      </c>
      <c r="Q1848" s="58"/>
      <c r="R1848" s="58">
        <v>1167</v>
      </c>
      <c r="S1848" s="94"/>
      <c r="T1848" s="58"/>
      <c r="U1848" s="58">
        <v>2</v>
      </c>
      <c r="V1848" s="58">
        <v>2</v>
      </c>
      <c r="Y1848" s="58" t="s">
        <v>2046</v>
      </c>
      <c r="Z1848" s="58" t="s">
        <v>1361</v>
      </c>
      <c r="AA1848" s="94">
        <v>5</v>
      </c>
      <c r="AD1848" s="94">
        <f>AVERAGE(Sheet1!CH1848:CI1848)</f>
        <v>1.2947169999999999</v>
      </c>
      <c r="AE1848" s="94">
        <v>3.6</v>
      </c>
      <c r="AF1848" s="94">
        <v>66.5</v>
      </c>
      <c r="AG1848" s="94"/>
      <c r="AH1848" s="58" t="s">
        <v>1022</v>
      </c>
      <c r="AI1848" s="169">
        <v>5</v>
      </c>
      <c r="AJ1848" s="94">
        <v>1.6719999999999999</v>
      </c>
      <c r="AK1848" s="94"/>
      <c r="AL1848" s="58"/>
      <c r="AM1848" s="58" t="s">
        <v>6377</v>
      </c>
      <c r="AN1848" s="186" t="s">
        <v>2018</v>
      </c>
      <c r="AO1848" s="185" t="s">
        <v>5150</v>
      </c>
      <c r="AP1848" s="58"/>
      <c r="AQ1848" s="58" t="s">
        <v>131</v>
      </c>
      <c r="AR1848" s="58" t="s">
        <v>2022</v>
      </c>
      <c r="AS1848" s="55" t="s">
        <v>5133</v>
      </c>
      <c r="AT1848" s="182"/>
      <c r="AU1848" s="181" t="s">
        <v>7494</v>
      </c>
      <c r="AV1848" s="185" t="s">
        <v>176</v>
      </c>
      <c r="AW1848" s="58"/>
      <c r="AX1848" s="185" t="s">
        <v>176</v>
      </c>
      <c r="AY1848" s="58"/>
      <c r="AZ1848" s="58" t="s">
        <v>1016</v>
      </c>
      <c r="BA1848" s="58" t="s">
        <v>1016</v>
      </c>
      <c r="BB1848" s="58" t="s">
        <v>2082</v>
      </c>
      <c r="BC1848" s="58" t="s">
        <v>2082</v>
      </c>
      <c r="BD1848" s="55" t="s">
        <v>176</v>
      </c>
      <c r="BE1848" s="236"/>
      <c r="BF1848" s="58"/>
      <c r="BG1848" s="58"/>
      <c r="BH1848" s="236"/>
      <c r="BI1848" s="58"/>
      <c r="BJ1848" s="58" t="s">
        <v>2020</v>
      </c>
      <c r="BK1848" s="58" t="s">
        <v>6269</v>
      </c>
      <c r="BL1848" s="58"/>
      <c r="BM1848" s="237" t="s">
        <v>119</v>
      </c>
      <c r="BN1848" s="58">
        <v>5</v>
      </c>
      <c r="BO1848" s="58">
        <v>5</v>
      </c>
      <c r="BP1848" s="58"/>
      <c r="BQ1848" s="58" t="s">
        <v>141</v>
      </c>
      <c r="BR1848" s="58"/>
      <c r="BS1848" s="58"/>
      <c r="BT1848" s="58"/>
      <c r="BU1848" s="58"/>
      <c r="BV1848" s="58"/>
      <c r="CB1848" s="68"/>
      <c r="CC1848" s="68"/>
      <c r="CD1848" s="68"/>
      <c r="CE1848" s="67"/>
      <c r="CH1848" s="94">
        <v>1.307158</v>
      </c>
      <c r="CI1848" s="94">
        <v>1.282276</v>
      </c>
      <c r="CM1848" s="67">
        <v>1.7329999999999999</v>
      </c>
      <c r="CN1848" s="67">
        <v>1.8760000000000001</v>
      </c>
      <c r="CR1848" s="67"/>
      <c r="CS1848" s="67"/>
      <c r="CV1848" s="65" t="s">
        <v>3039</v>
      </c>
      <c r="DA1848" s="65" t="s">
        <v>4458</v>
      </c>
      <c r="GD1848" s="65">
        <v>14.2</v>
      </c>
      <c r="GE1848" s="65">
        <v>18</v>
      </c>
      <c r="GH1848" s="65" t="s">
        <v>2050</v>
      </c>
      <c r="GP1848" s="292" t="s">
        <v>7494</v>
      </c>
      <c r="JU1848" s="58"/>
      <c r="JV1848" s="58"/>
    </row>
    <row r="1849" spans="1:282" x14ac:dyDescent="0.25">
      <c r="A1849" s="55">
        <v>1848</v>
      </c>
      <c r="B1849" s="12" t="s">
        <v>7067</v>
      </c>
      <c r="C1849" s="156">
        <v>88</v>
      </c>
      <c r="D1849" s="58" t="s">
        <v>4058</v>
      </c>
      <c r="E1849" s="94" t="s">
        <v>2024</v>
      </c>
      <c r="F1849" s="94"/>
      <c r="G1849" s="58"/>
      <c r="H1849" s="58">
        <v>1997</v>
      </c>
      <c r="I1849" s="58">
        <v>1994</v>
      </c>
      <c r="J1849" s="58" t="s">
        <v>1709</v>
      </c>
      <c r="K1849" s="58" t="s">
        <v>2023</v>
      </c>
      <c r="L1849" s="58" t="s">
        <v>2738</v>
      </c>
      <c r="M1849" s="94">
        <v>49.09</v>
      </c>
      <c r="N1849" s="94">
        <v>-123.03</v>
      </c>
      <c r="O1849" s="94">
        <v>2</v>
      </c>
      <c r="P1849" s="58">
        <v>10</v>
      </c>
      <c r="Q1849" s="58"/>
      <c r="R1849" s="58">
        <v>1167</v>
      </c>
      <c r="S1849" s="94"/>
      <c r="T1849" s="58"/>
      <c r="U1849" s="58">
        <v>2</v>
      </c>
      <c r="V1849" s="58">
        <v>2</v>
      </c>
      <c r="Y1849" s="58" t="s">
        <v>2046</v>
      </c>
      <c r="Z1849" s="58" t="s">
        <v>1361</v>
      </c>
      <c r="AA1849" s="94">
        <v>5</v>
      </c>
      <c r="AD1849" s="94">
        <f>AVERAGE(Sheet1!CH1849:CI1849)</f>
        <v>1.2921070000000001</v>
      </c>
      <c r="AE1849" s="94">
        <v>3.6</v>
      </c>
      <c r="AF1849" s="94">
        <v>66.5</v>
      </c>
      <c r="AG1849" s="94"/>
      <c r="AH1849" s="58" t="s">
        <v>1022</v>
      </c>
      <c r="AI1849" s="169">
        <v>5</v>
      </c>
      <c r="AJ1849" s="94">
        <v>1.6719999999999999</v>
      </c>
      <c r="AK1849" s="94"/>
      <c r="AL1849" s="58"/>
      <c r="AM1849" s="58" t="s">
        <v>6377</v>
      </c>
      <c r="AN1849" s="186" t="s">
        <v>2018</v>
      </c>
      <c r="AO1849" s="185" t="s">
        <v>5150</v>
      </c>
      <c r="AP1849" s="58"/>
      <c r="AQ1849" s="58" t="s">
        <v>131</v>
      </c>
      <c r="AR1849" s="58" t="s">
        <v>2022</v>
      </c>
      <c r="AS1849" s="55" t="s">
        <v>5133</v>
      </c>
      <c r="AT1849" s="182"/>
      <c r="AU1849" s="181" t="s">
        <v>7494</v>
      </c>
      <c r="AV1849" s="185" t="s">
        <v>176</v>
      </c>
      <c r="AW1849" s="58"/>
      <c r="AX1849" s="185" t="s">
        <v>176</v>
      </c>
      <c r="AY1849" s="58"/>
      <c r="AZ1849" s="58" t="s">
        <v>2021</v>
      </c>
      <c r="BA1849" s="58" t="s">
        <v>2021</v>
      </c>
      <c r="BB1849" s="58" t="s">
        <v>2081</v>
      </c>
      <c r="BC1849" s="58" t="s">
        <v>2081</v>
      </c>
      <c r="BD1849" s="55" t="s">
        <v>176</v>
      </c>
      <c r="BE1849" s="236"/>
      <c r="BF1849" s="58"/>
      <c r="BG1849" s="58"/>
      <c r="BH1849" s="236"/>
      <c r="BI1849" s="58"/>
      <c r="BJ1849" s="58" t="s">
        <v>2020</v>
      </c>
      <c r="BK1849" s="58" t="s">
        <v>5976</v>
      </c>
      <c r="BL1849" s="58"/>
      <c r="BM1849" s="237" t="s">
        <v>119</v>
      </c>
      <c r="BN1849" s="58">
        <v>5</v>
      </c>
      <c r="BO1849" s="58">
        <v>5</v>
      </c>
      <c r="BP1849" s="58"/>
      <c r="BQ1849" s="58" t="s">
        <v>141</v>
      </c>
      <c r="BR1849" s="58"/>
      <c r="BS1849" s="58"/>
      <c r="BT1849" s="58"/>
      <c r="BU1849" s="58"/>
      <c r="BV1849" s="58"/>
      <c r="CB1849" s="68"/>
      <c r="CC1849" s="68"/>
      <c r="CD1849" s="68"/>
      <c r="CE1849" s="67"/>
      <c r="CH1849" s="94">
        <v>1.3153360000000001</v>
      </c>
      <c r="CI1849" s="94">
        <v>1.268878</v>
      </c>
      <c r="CM1849" s="67">
        <v>1.6859999999999999</v>
      </c>
      <c r="CN1849" s="67">
        <v>1.9530000000000001</v>
      </c>
      <c r="CR1849" s="67"/>
      <c r="CS1849" s="67"/>
      <c r="CV1849" s="65" t="s">
        <v>3039</v>
      </c>
      <c r="DA1849" s="65" t="s">
        <v>4458</v>
      </c>
      <c r="GD1849" s="65">
        <v>14.2</v>
      </c>
      <c r="GE1849" s="65">
        <v>21.1</v>
      </c>
      <c r="GH1849" s="65" t="s">
        <v>2050</v>
      </c>
      <c r="GP1849" s="292" t="s">
        <v>7494</v>
      </c>
      <c r="JU1849" s="58"/>
      <c r="JV1849" s="58"/>
    </row>
    <row r="1850" spans="1:282" x14ac:dyDescent="0.25">
      <c r="A1850" s="55">
        <v>1849</v>
      </c>
      <c r="B1850" s="12" t="s">
        <v>7067</v>
      </c>
      <c r="C1850" s="156">
        <v>89</v>
      </c>
      <c r="D1850" s="58" t="s">
        <v>4059</v>
      </c>
      <c r="E1850" s="94" t="s">
        <v>2014</v>
      </c>
      <c r="F1850" s="94"/>
      <c r="G1850" s="58"/>
      <c r="H1850" s="58">
        <v>1997</v>
      </c>
      <c r="I1850" s="58">
        <v>1992</v>
      </c>
      <c r="J1850" s="58" t="s">
        <v>2013</v>
      </c>
      <c r="K1850" s="58" t="s">
        <v>2012</v>
      </c>
      <c r="L1850" s="58" t="s">
        <v>2737</v>
      </c>
      <c r="M1850" s="94">
        <v>47.87</v>
      </c>
      <c r="N1850" s="94">
        <v>-121.82</v>
      </c>
      <c r="O1850" s="92">
        <v>114</v>
      </c>
      <c r="P1850" s="61">
        <v>10.7</v>
      </c>
      <c r="Q1850" s="58"/>
      <c r="R1850" s="61">
        <v>1633</v>
      </c>
      <c r="S1850" s="94"/>
      <c r="T1850" s="58"/>
      <c r="U1850" s="58">
        <v>6</v>
      </c>
      <c r="V1850" s="58" t="s">
        <v>1940</v>
      </c>
      <c r="Y1850" s="58" t="s">
        <v>2048</v>
      </c>
      <c r="Z1850" s="58" t="s">
        <v>1349</v>
      </c>
      <c r="AA1850" s="94">
        <v>15</v>
      </c>
      <c r="AD1850" s="94">
        <f>AVERAGE(Sheet1!CH1850:CI1850)</f>
        <v>1.32769</v>
      </c>
      <c r="AE1850" s="92">
        <v>35</v>
      </c>
      <c r="AF1850" s="92">
        <v>55</v>
      </c>
      <c r="AG1850" s="92"/>
      <c r="AH1850" s="58" t="s">
        <v>6378</v>
      </c>
      <c r="AI1850" s="169"/>
      <c r="AJ1850" s="94"/>
      <c r="AK1850" s="94"/>
      <c r="AL1850" s="58"/>
      <c r="AM1850" s="58" t="s">
        <v>2011</v>
      </c>
      <c r="AN1850" s="186" t="s">
        <v>1713</v>
      </c>
      <c r="AO1850" s="185" t="s">
        <v>5150</v>
      </c>
      <c r="AP1850" s="58"/>
      <c r="AQ1850" s="58" t="s">
        <v>131</v>
      </c>
      <c r="AR1850" s="58" t="s">
        <v>2016</v>
      </c>
      <c r="AS1850" s="58" t="s">
        <v>227</v>
      </c>
      <c r="AT1850" s="182"/>
      <c r="AU1850" s="181" t="s">
        <v>7494</v>
      </c>
      <c r="AV1850" s="185" t="s">
        <v>176</v>
      </c>
      <c r="AW1850" s="58"/>
      <c r="AX1850" s="185" t="s">
        <v>176</v>
      </c>
      <c r="AY1850" s="58"/>
      <c r="AZ1850" s="58" t="s">
        <v>1976</v>
      </c>
      <c r="BA1850" s="58" t="s">
        <v>1976</v>
      </c>
      <c r="BB1850" s="58" t="s">
        <v>2081</v>
      </c>
      <c r="BC1850" s="58" t="s">
        <v>2081</v>
      </c>
      <c r="BD1850" s="55" t="s">
        <v>176</v>
      </c>
      <c r="BE1850" s="236" t="s">
        <v>2015</v>
      </c>
      <c r="BF1850" s="191" t="s">
        <v>176</v>
      </c>
      <c r="BG1850" s="58" t="s">
        <v>479</v>
      </c>
      <c r="BH1850" s="236"/>
      <c r="BI1850" s="58"/>
      <c r="BK1850" s="58" t="s">
        <v>5976</v>
      </c>
      <c r="BL1850" s="58"/>
      <c r="BM1850" s="237" t="s">
        <v>119</v>
      </c>
      <c r="BN1850" s="58">
        <v>3</v>
      </c>
      <c r="BO1850" s="58">
        <v>3</v>
      </c>
      <c r="BP1850" s="58"/>
      <c r="BQ1850" s="58" t="s">
        <v>141</v>
      </c>
      <c r="BR1850" s="58"/>
      <c r="BS1850" s="58">
        <v>4050</v>
      </c>
      <c r="BT1850" s="58">
        <v>32</v>
      </c>
      <c r="BU1850" s="58"/>
      <c r="BV1850" s="58"/>
      <c r="CB1850" s="68"/>
      <c r="CC1850" s="68"/>
      <c r="CD1850" s="68"/>
      <c r="CE1850" s="67"/>
      <c r="CH1850" s="94">
        <v>1.33552</v>
      </c>
      <c r="CI1850" s="94">
        <v>1.31986</v>
      </c>
      <c r="CM1850" s="67">
        <v>1.5699999999999998</v>
      </c>
      <c r="CN1850" s="67">
        <v>1.6600000000000001</v>
      </c>
      <c r="CR1850" s="67"/>
      <c r="CS1850" s="67"/>
      <c r="CV1850" s="65" t="s">
        <v>3039</v>
      </c>
      <c r="DA1850" s="65" t="s">
        <v>4458</v>
      </c>
      <c r="GP1850" s="292" t="s">
        <v>7494</v>
      </c>
      <c r="JU1850" s="58" t="s">
        <v>2043</v>
      </c>
      <c r="JV1850" s="58"/>
    </row>
    <row r="1851" spans="1:282" x14ac:dyDescent="0.25">
      <c r="A1851" s="55">
        <v>1850</v>
      </c>
      <c r="B1851" s="12" t="s">
        <v>7067</v>
      </c>
      <c r="C1851" s="156">
        <v>89</v>
      </c>
      <c r="D1851" s="58" t="s">
        <v>4060</v>
      </c>
      <c r="E1851" s="94" t="s">
        <v>2014</v>
      </c>
      <c r="F1851" s="94"/>
      <c r="G1851" s="58"/>
      <c r="H1851" s="58">
        <v>1997</v>
      </c>
      <c r="I1851" s="58">
        <v>1992</v>
      </c>
      <c r="J1851" s="58" t="s">
        <v>2013</v>
      </c>
      <c r="K1851" s="58" t="s">
        <v>2012</v>
      </c>
      <c r="L1851" s="58" t="s">
        <v>2737</v>
      </c>
      <c r="M1851" s="94">
        <v>47.87</v>
      </c>
      <c r="N1851" s="94">
        <v>-121.82</v>
      </c>
      <c r="O1851" s="92">
        <v>114</v>
      </c>
      <c r="P1851" s="61">
        <v>10.7</v>
      </c>
      <c r="Q1851" s="58"/>
      <c r="R1851" s="61">
        <v>1633</v>
      </c>
      <c r="S1851" s="94"/>
      <c r="T1851" s="58"/>
      <c r="U1851" s="58">
        <v>6</v>
      </c>
      <c r="V1851" s="58" t="s">
        <v>1940</v>
      </c>
      <c r="Y1851" s="58" t="s">
        <v>2048</v>
      </c>
      <c r="Z1851" s="58" t="s">
        <v>1357</v>
      </c>
      <c r="AA1851" s="94">
        <v>15</v>
      </c>
      <c r="AD1851" s="94">
        <f>AVERAGE(Sheet1!CH1851:CI1851)</f>
        <v>1.3372600000000001</v>
      </c>
      <c r="AE1851" s="92">
        <v>35</v>
      </c>
      <c r="AF1851" s="92">
        <v>55</v>
      </c>
      <c r="AG1851" s="92"/>
      <c r="AH1851" s="58" t="s">
        <v>6378</v>
      </c>
      <c r="AI1851" s="169"/>
      <c r="AJ1851" s="94"/>
      <c r="AK1851" s="94"/>
      <c r="AL1851" s="58"/>
      <c r="AM1851" s="58" t="s">
        <v>2011</v>
      </c>
      <c r="AN1851" s="186" t="s">
        <v>1713</v>
      </c>
      <c r="AO1851" s="185" t="s">
        <v>5150</v>
      </c>
      <c r="AP1851" s="58"/>
      <c r="AQ1851" s="58" t="s">
        <v>131</v>
      </c>
      <c r="AR1851" s="58" t="s">
        <v>2016</v>
      </c>
      <c r="AS1851" s="58" t="s">
        <v>227</v>
      </c>
      <c r="AT1851" s="182"/>
      <c r="AU1851" s="181" t="s">
        <v>7494</v>
      </c>
      <c r="AV1851" s="185" t="s">
        <v>176</v>
      </c>
      <c r="AW1851" s="58"/>
      <c r="AX1851" s="185" t="s">
        <v>176</v>
      </c>
      <c r="AY1851" s="58"/>
      <c r="AZ1851" s="58" t="s">
        <v>1976</v>
      </c>
      <c r="BA1851" s="58" t="s">
        <v>1976</v>
      </c>
      <c r="BB1851" s="58" t="s">
        <v>2081</v>
      </c>
      <c r="BC1851" s="58" t="s">
        <v>2081</v>
      </c>
      <c r="BD1851" s="55" t="s">
        <v>176</v>
      </c>
      <c r="BE1851" s="236" t="s">
        <v>2015</v>
      </c>
      <c r="BF1851" s="191" t="s">
        <v>176</v>
      </c>
      <c r="BG1851" s="58" t="s">
        <v>479</v>
      </c>
      <c r="BH1851" s="236"/>
      <c r="BI1851" s="58"/>
      <c r="BK1851" s="58" t="s">
        <v>5976</v>
      </c>
      <c r="BL1851" s="58"/>
      <c r="BM1851" s="237" t="s">
        <v>119</v>
      </c>
      <c r="BN1851" s="58">
        <v>3</v>
      </c>
      <c r="BO1851" s="58">
        <v>3</v>
      </c>
      <c r="BP1851" s="58"/>
      <c r="BQ1851" s="58" t="s">
        <v>141</v>
      </c>
      <c r="BR1851" s="58"/>
      <c r="BS1851" s="58"/>
      <c r="BT1851" s="58"/>
      <c r="BU1851" s="58"/>
      <c r="BV1851" s="58"/>
      <c r="CB1851" s="68"/>
      <c r="CC1851" s="68"/>
      <c r="CD1851" s="68"/>
      <c r="CE1851" s="67"/>
      <c r="CH1851" s="94">
        <v>1.3477000000000001</v>
      </c>
      <c r="CI1851" s="94">
        <v>1.3268200000000001</v>
      </c>
      <c r="CM1851" s="67">
        <v>1.5</v>
      </c>
      <c r="CN1851" s="67">
        <v>1.6199999999999999</v>
      </c>
      <c r="CR1851" s="67"/>
      <c r="CS1851" s="67"/>
      <c r="CV1851" s="65" t="s">
        <v>3039</v>
      </c>
      <c r="DA1851" s="65" t="s">
        <v>4458</v>
      </c>
      <c r="GP1851" s="292" t="s">
        <v>7494</v>
      </c>
      <c r="JU1851" s="58" t="s">
        <v>2043</v>
      </c>
      <c r="JV1851" s="58"/>
    </row>
    <row r="1852" spans="1:282" x14ac:dyDescent="0.25">
      <c r="A1852" s="55">
        <v>1851</v>
      </c>
      <c r="B1852" s="12" t="s">
        <v>7067</v>
      </c>
      <c r="C1852" s="156">
        <v>89</v>
      </c>
      <c r="D1852" s="58" t="s">
        <v>4061</v>
      </c>
      <c r="E1852" s="94" t="s">
        <v>2014</v>
      </c>
      <c r="F1852" s="94"/>
      <c r="G1852" s="58"/>
      <c r="H1852" s="58">
        <v>1997</v>
      </c>
      <c r="I1852" s="58">
        <v>1992</v>
      </c>
      <c r="J1852" s="58" t="s">
        <v>2013</v>
      </c>
      <c r="K1852" s="58" t="s">
        <v>2012</v>
      </c>
      <c r="L1852" s="58" t="s">
        <v>2737</v>
      </c>
      <c r="M1852" s="94">
        <v>47.87</v>
      </c>
      <c r="N1852" s="94">
        <v>-121.82</v>
      </c>
      <c r="O1852" s="92">
        <v>114</v>
      </c>
      <c r="P1852" s="61">
        <v>10.7</v>
      </c>
      <c r="Q1852" s="58"/>
      <c r="R1852" s="61">
        <v>1633</v>
      </c>
      <c r="S1852" s="94"/>
      <c r="T1852" s="58"/>
      <c r="U1852" s="58">
        <v>6</v>
      </c>
      <c r="V1852" s="58" t="s">
        <v>1940</v>
      </c>
      <c r="Y1852" s="58" t="s">
        <v>2048</v>
      </c>
      <c r="Z1852" s="58" t="s">
        <v>1356</v>
      </c>
      <c r="AA1852" s="94">
        <v>30</v>
      </c>
      <c r="AD1852" s="94">
        <f>AVERAGE(Sheet1!CH1852:CI1852)</f>
        <v>2.6649500000000002</v>
      </c>
      <c r="AE1852" s="92">
        <v>35</v>
      </c>
      <c r="AF1852" s="92">
        <v>55</v>
      </c>
      <c r="AG1852" s="92"/>
      <c r="AH1852" s="58" t="s">
        <v>6378</v>
      </c>
      <c r="AI1852" s="169"/>
      <c r="AJ1852" s="94"/>
      <c r="AK1852" s="94"/>
      <c r="AL1852" s="58"/>
      <c r="AM1852" s="58" t="s">
        <v>2011</v>
      </c>
      <c r="AN1852" s="186"/>
      <c r="AO1852" s="185" t="s">
        <v>5150</v>
      </c>
      <c r="AP1852" s="58"/>
      <c r="AQ1852" s="58" t="s">
        <v>131</v>
      </c>
      <c r="AR1852" s="58" t="s">
        <v>2016</v>
      </c>
      <c r="AS1852" s="58" t="s">
        <v>227</v>
      </c>
      <c r="AT1852" s="182"/>
      <c r="AU1852" s="181" t="s">
        <v>7494</v>
      </c>
      <c r="AV1852" s="185" t="s">
        <v>176</v>
      </c>
      <c r="AW1852" s="58"/>
      <c r="AX1852" s="185" t="s">
        <v>176</v>
      </c>
      <c r="AY1852" s="58"/>
      <c r="AZ1852" s="58" t="s">
        <v>1976</v>
      </c>
      <c r="BA1852" s="58" t="s">
        <v>1976</v>
      </c>
      <c r="BB1852" s="58" t="s">
        <v>2081</v>
      </c>
      <c r="BC1852" s="58" t="s">
        <v>2081</v>
      </c>
      <c r="BD1852" s="55" t="s">
        <v>176</v>
      </c>
      <c r="BE1852" s="236" t="s">
        <v>2015</v>
      </c>
      <c r="BF1852" s="191" t="s">
        <v>176</v>
      </c>
      <c r="BG1852" s="58" t="s">
        <v>479</v>
      </c>
      <c r="BH1852" s="236"/>
      <c r="BI1852" s="58"/>
      <c r="BK1852" s="58" t="s">
        <v>5976</v>
      </c>
      <c r="BL1852" s="58"/>
      <c r="BM1852" s="237" t="s">
        <v>119</v>
      </c>
      <c r="BN1852" s="58">
        <v>3</v>
      </c>
      <c r="BO1852" s="58">
        <v>3</v>
      </c>
      <c r="BP1852" s="58"/>
      <c r="BQ1852" s="58" t="s">
        <v>141</v>
      </c>
      <c r="BR1852" s="58"/>
      <c r="BS1852" s="58"/>
      <c r="BT1852" s="58"/>
      <c r="BU1852" s="58"/>
      <c r="BV1852" s="58"/>
      <c r="CB1852" s="68"/>
      <c r="CC1852" s="68"/>
      <c r="CD1852" s="68"/>
      <c r="CE1852" s="67"/>
      <c r="CH1852" s="94">
        <v>2.6832200000000004</v>
      </c>
      <c r="CI1852" s="94">
        <v>2.6466799999999999</v>
      </c>
      <c r="CM1852" s="67">
        <v>0.76</v>
      </c>
      <c r="CN1852" s="67">
        <v>0.80880732850828474</v>
      </c>
      <c r="CR1852" s="67"/>
      <c r="CS1852" s="67"/>
      <c r="CV1852" s="65" t="s">
        <v>3039</v>
      </c>
      <c r="DA1852" s="65" t="s">
        <v>4458</v>
      </c>
      <c r="GP1852" s="292" t="s">
        <v>7494</v>
      </c>
      <c r="JU1852" s="58"/>
      <c r="JV1852" s="58"/>
    </row>
    <row r="1853" spans="1:282" x14ac:dyDescent="0.25">
      <c r="A1853" s="55">
        <v>1852</v>
      </c>
      <c r="B1853" s="12" t="s">
        <v>7067</v>
      </c>
      <c r="C1853" s="156">
        <v>89</v>
      </c>
      <c r="D1853" s="58" t="s">
        <v>4059</v>
      </c>
      <c r="E1853" s="94" t="s">
        <v>2014</v>
      </c>
      <c r="F1853" s="94"/>
      <c r="G1853" s="58"/>
      <c r="H1853" s="58">
        <v>1997</v>
      </c>
      <c r="I1853" s="58">
        <v>1993</v>
      </c>
      <c r="J1853" s="58" t="s">
        <v>2013</v>
      </c>
      <c r="K1853" s="58" t="s">
        <v>2012</v>
      </c>
      <c r="L1853" s="58" t="s">
        <v>2737</v>
      </c>
      <c r="M1853" s="94">
        <v>47.87</v>
      </c>
      <c r="N1853" s="94">
        <v>-121.82</v>
      </c>
      <c r="O1853" s="92">
        <v>114</v>
      </c>
      <c r="P1853" s="61">
        <v>10.7</v>
      </c>
      <c r="Q1853" s="58"/>
      <c r="R1853" s="61">
        <v>1633</v>
      </c>
      <c r="S1853" s="94"/>
      <c r="T1853" s="58"/>
      <c r="U1853" s="58">
        <v>7</v>
      </c>
      <c r="V1853" s="58" t="s">
        <v>1940</v>
      </c>
      <c r="Y1853" s="58" t="s">
        <v>2048</v>
      </c>
      <c r="Z1853" s="58" t="s">
        <v>1349</v>
      </c>
      <c r="AA1853" s="94">
        <v>15</v>
      </c>
      <c r="AD1853" s="94">
        <f>AVERAGE(Sheet1!CH1853:CI1853)</f>
        <v>1.33552</v>
      </c>
      <c r="AE1853" s="92">
        <v>35</v>
      </c>
      <c r="AF1853" s="92">
        <v>55</v>
      </c>
      <c r="AG1853" s="92"/>
      <c r="AH1853" s="58" t="s">
        <v>6378</v>
      </c>
      <c r="AI1853" s="169"/>
      <c r="AJ1853" s="94"/>
      <c r="AK1853" s="94"/>
      <c r="AL1853" s="58"/>
      <c r="AM1853" s="58" t="s">
        <v>2011</v>
      </c>
      <c r="AN1853" s="186" t="s">
        <v>1713</v>
      </c>
      <c r="AO1853" s="185" t="s">
        <v>5150</v>
      </c>
      <c r="AP1853" s="58"/>
      <c r="AQ1853" s="58" t="s">
        <v>131</v>
      </c>
      <c r="AR1853" s="58" t="s">
        <v>2016</v>
      </c>
      <c r="AS1853" s="58" t="s">
        <v>227</v>
      </c>
      <c r="AT1853" s="182"/>
      <c r="AU1853" s="181" t="s">
        <v>7494</v>
      </c>
      <c r="AV1853" s="185" t="s">
        <v>176</v>
      </c>
      <c r="AW1853" s="58"/>
      <c r="AX1853" s="185" t="s">
        <v>176</v>
      </c>
      <c r="AY1853" s="58"/>
      <c r="AZ1853" s="58" t="s">
        <v>1976</v>
      </c>
      <c r="BA1853" s="58" t="s">
        <v>1976</v>
      </c>
      <c r="BB1853" s="58" t="s">
        <v>2081</v>
      </c>
      <c r="BC1853" s="58" t="s">
        <v>2081</v>
      </c>
      <c r="BD1853" s="55" t="s">
        <v>176</v>
      </c>
      <c r="BE1853" s="236" t="s">
        <v>2015</v>
      </c>
      <c r="BF1853" s="191" t="s">
        <v>176</v>
      </c>
      <c r="BG1853" s="58" t="s">
        <v>479</v>
      </c>
      <c r="BH1853" s="236"/>
      <c r="BI1853" s="58"/>
      <c r="BK1853" s="58" t="s">
        <v>5976</v>
      </c>
      <c r="BL1853" s="58"/>
      <c r="BM1853" s="237" t="s">
        <v>119</v>
      </c>
      <c r="BN1853" s="58">
        <v>3</v>
      </c>
      <c r="BO1853" s="58">
        <v>3</v>
      </c>
      <c r="BP1853" s="58"/>
      <c r="BQ1853" s="58" t="s">
        <v>141</v>
      </c>
      <c r="BR1853" s="58"/>
      <c r="BS1853" s="58">
        <v>4190</v>
      </c>
      <c r="BT1853" s="58">
        <v>37</v>
      </c>
      <c r="BU1853" s="58"/>
      <c r="BV1853" s="58"/>
      <c r="CB1853" s="68"/>
      <c r="CC1853" s="68"/>
      <c r="CD1853" s="68"/>
      <c r="CE1853" s="67"/>
      <c r="CH1853" s="94">
        <v>1.34422</v>
      </c>
      <c r="CI1853" s="94">
        <v>1.3268200000000001</v>
      </c>
      <c r="CM1853" s="67">
        <v>1.52</v>
      </c>
      <c r="CN1853" s="67">
        <v>1.6199999999999999</v>
      </c>
      <c r="CR1853" s="67"/>
      <c r="CS1853" s="67"/>
      <c r="CV1853" s="65" t="s">
        <v>3039</v>
      </c>
      <c r="DA1853" s="65" t="s">
        <v>4458</v>
      </c>
      <c r="GP1853" s="292" t="s">
        <v>7494</v>
      </c>
      <c r="JU1853" s="58" t="s">
        <v>2043</v>
      </c>
      <c r="JV1853" s="58"/>
    </row>
    <row r="1854" spans="1:282" x14ac:dyDescent="0.25">
      <c r="A1854" s="55">
        <v>1853</v>
      </c>
      <c r="B1854" s="12" t="s">
        <v>7067</v>
      </c>
      <c r="C1854" s="156">
        <v>89</v>
      </c>
      <c r="D1854" s="58" t="s">
        <v>4060</v>
      </c>
      <c r="E1854" s="94" t="s">
        <v>2014</v>
      </c>
      <c r="F1854" s="94"/>
      <c r="G1854" s="58"/>
      <c r="H1854" s="58">
        <v>1997</v>
      </c>
      <c r="I1854" s="58">
        <v>1993</v>
      </c>
      <c r="J1854" s="58" t="s">
        <v>2013</v>
      </c>
      <c r="K1854" s="58" t="s">
        <v>2012</v>
      </c>
      <c r="L1854" s="58" t="s">
        <v>2737</v>
      </c>
      <c r="M1854" s="94">
        <v>47.87</v>
      </c>
      <c r="N1854" s="94">
        <v>-121.82</v>
      </c>
      <c r="O1854" s="92">
        <v>114</v>
      </c>
      <c r="P1854" s="61">
        <v>10.7</v>
      </c>
      <c r="Q1854" s="58"/>
      <c r="R1854" s="61">
        <v>1633</v>
      </c>
      <c r="S1854" s="94"/>
      <c r="T1854" s="58"/>
      <c r="U1854" s="58">
        <v>7</v>
      </c>
      <c r="V1854" s="58" t="s">
        <v>1940</v>
      </c>
      <c r="Y1854" s="58" t="s">
        <v>2048</v>
      </c>
      <c r="Z1854" s="58" t="s">
        <v>1357</v>
      </c>
      <c r="AA1854" s="94">
        <v>15</v>
      </c>
      <c r="AD1854" s="94">
        <f>AVERAGE(Sheet1!CH1854:CI1854)</f>
        <v>1.34422</v>
      </c>
      <c r="AE1854" s="92">
        <v>35</v>
      </c>
      <c r="AF1854" s="92">
        <v>55</v>
      </c>
      <c r="AG1854" s="92"/>
      <c r="AH1854" s="58" t="s">
        <v>6378</v>
      </c>
      <c r="AI1854" s="169"/>
      <c r="AJ1854" s="94"/>
      <c r="AK1854" s="94"/>
      <c r="AL1854" s="58"/>
      <c r="AM1854" s="58" t="s">
        <v>2011</v>
      </c>
      <c r="AN1854" s="186" t="s">
        <v>1713</v>
      </c>
      <c r="AO1854" s="185" t="s">
        <v>5150</v>
      </c>
      <c r="AP1854" s="58"/>
      <c r="AQ1854" s="58" t="s">
        <v>131</v>
      </c>
      <c r="AR1854" s="58" t="s">
        <v>2016</v>
      </c>
      <c r="AS1854" s="58" t="s">
        <v>227</v>
      </c>
      <c r="AT1854" s="182"/>
      <c r="AU1854" s="181" t="s">
        <v>7494</v>
      </c>
      <c r="AV1854" s="185" t="s">
        <v>176</v>
      </c>
      <c r="AW1854" s="58"/>
      <c r="AX1854" s="185" t="s">
        <v>176</v>
      </c>
      <c r="AY1854" s="58"/>
      <c r="AZ1854" s="58" t="s">
        <v>1976</v>
      </c>
      <c r="BA1854" s="58" t="s">
        <v>1976</v>
      </c>
      <c r="BB1854" s="58" t="s">
        <v>2081</v>
      </c>
      <c r="BC1854" s="58" t="s">
        <v>2081</v>
      </c>
      <c r="BD1854" s="55" t="s">
        <v>176</v>
      </c>
      <c r="BE1854" s="236" t="s">
        <v>2015</v>
      </c>
      <c r="BF1854" s="191" t="s">
        <v>176</v>
      </c>
      <c r="BG1854" s="58" t="s">
        <v>479</v>
      </c>
      <c r="BH1854" s="236"/>
      <c r="BI1854" s="58"/>
      <c r="BK1854" s="58" t="s">
        <v>5976</v>
      </c>
      <c r="BL1854" s="58"/>
      <c r="BM1854" s="237" t="s">
        <v>119</v>
      </c>
      <c r="BN1854" s="58">
        <v>3</v>
      </c>
      <c r="BO1854" s="58">
        <v>3</v>
      </c>
      <c r="BP1854" s="58"/>
      <c r="BQ1854" s="58" t="s">
        <v>141</v>
      </c>
      <c r="BR1854" s="58"/>
      <c r="BS1854" s="58"/>
      <c r="BT1854" s="58"/>
      <c r="BU1854" s="58"/>
      <c r="BV1854" s="58"/>
      <c r="CB1854" s="68"/>
      <c r="CC1854" s="68"/>
      <c r="CD1854" s="68"/>
      <c r="CE1854" s="67"/>
      <c r="CH1854" s="94">
        <v>1.35118</v>
      </c>
      <c r="CI1854" s="94">
        <v>1.3372600000000001</v>
      </c>
      <c r="CM1854" s="67">
        <v>1.48</v>
      </c>
      <c r="CN1854" s="67">
        <v>1.56</v>
      </c>
      <c r="CR1854" s="67"/>
      <c r="CS1854" s="67"/>
      <c r="CV1854" s="65" t="s">
        <v>3039</v>
      </c>
      <c r="DA1854" s="65" t="s">
        <v>4458</v>
      </c>
      <c r="GP1854" s="292" t="s">
        <v>7494</v>
      </c>
      <c r="JU1854" s="58" t="s">
        <v>2043</v>
      </c>
      <c r="JV1854" s="58"/>
    </row>
    <row r="1855" spans="1:282" x14ac:dyDescent="0.25">
      <c r="A1855" s="55">
        <v>1854</v>
      </c>
      <c r="B1855" s="12" t="s">
        <v>7067</v>
      </c>
      <c r="C1855" s="156">
        <v>89</v>
      </c>
      <c r="D1855" s="58" t="s">
        <v>4061</v>
      </c>
      <c r="E1855" s="94" t="s">
        <v>2014</v>
      </c>
      <c r="F1855" s="94"/>
      <c r="G1855" s="58"/>
      <c r="H1855" s="58">
        <v>1997</v>
      </c>
      <c r="I1855" s="58">
        <v>1993</v>
      </c>
      <c r="J1855" s="58" t="s">
        <v>2013</v>
      </c>
      <c r="K1855" s="58" t="s">
        <v>2012</v>
      </c>
      <c r="L1855" s="58" t="s">
        <v>2737</v>
      </c>
      <c r="M1855" s="94">
        <v>47.87</v>
      </c>
      <c r="N1855" s="94">
        <v>-121.82</v>
      </c>
      <c r="O1855" s="92">
        <v>114</v>
      </c>
      <c r="P1855" s="61">
        <v>10.7</v>
      </c>
      <c r="Q1855" s="58"/>
      <c r="R1855" s="61">
        <v>1633</v>
      </c>
      <c r="S1855" s="94"/>
      <c r="T1855" s="58"/>
      <c r="U1855" s="58">
        <v>7</v>
      </c>
      <c r="V1855" s="58" t="s">
        <v>1940</v>
      </c>
      <c r="Y1855" s="58" t="s">
        <v>2048</v>
      </c>
      <c r="Z1855" s="58" t="s">
        <v>1356</v>
      </c>
      <c r="AA1855" s="94">
        <v>30</v>
      </c>
      <c r="AD1855" s="94">
        <f>AVERAGE(Sheet1!CH1855:CI1855)</f>
        <v>2.6797400000000002</v>
      </c>
      <c r="AE1855" s="92">
        <v>35</v>
      </c>
      <c r="AF1855" s="92">
        <v>55</v>
      </c>
      <c r="AG1855" s="92"/>
      <c r="AH1855" s="58" t="s">
        <v>6378</v>
      </c>
      <c r="AI1855" s="169"/>
      <c r="AJ1855" s="94"/>
      <c r="AK1855" s="94"/>
      <c r="AL1855" s="58"/>
      <c r="AM1855" s="58" t="s">
        <v>2011</v>
      </c>
      <c r="AN1855" s="186"/>
      <c r="AO1855" s="185" t="s">
        <v>5150</v>
      </c>
      <c r="AP1855" s="58"/>
      <c r="AQ1855" s="58" t="s">
        <v>131</v>
      </c>
      <c r="AR1855" s="58" t="s">
        <v>2016</v>
      </c>
      <c r="AS1855" s="58" t="s">
        <v>227</v>
      </c>
      <c r="AT1855" s="182"/>
      <c r="AU1855" s="181" t="s">
        <v>7494</v>
      </c>
      <c r="AV1855" s="185" t="s">
        <v>176</v>
      </c>
      <c r="AW1855" s="58"/>
      <c r="AX1855" s="185" t="s">
        <v>176</v>
      </c>
      <c r="AY1855" s="58"/>
      <c r="AZ1855" s="58" t="s">
        <v>1976</v>
      </c>
      <c r="BA1855" s="58" t="s">
        <v>1976</v>
      </c>
      <c r="BB1855" s="58" t="s">
        <v>2081</v>
      </c>
      <c r="BC1855" s="58" t="s">
        <v>2081</v>
      </c>
      <c r="BD1855" s="55" t="s">
        <v>176</v>
      </c>
      <c r="BE1855" s="236" t="s">
        <v>2015</v>
      </c>
      <c r="BF1855" s="191" t="s">
        <v>176</v>
      </c>
      <c r="BG1855" s="58" t="s">
        <v>479</v>
      </c>
      <c r="BH1855" s="236"/>
      <c r="BI1855" s="58"/>
      <c r="BK1855" s="58" t="s">
        <v>5976</v>
      </c>
      <c r="BL1855" s="58"/>
      <c r="BM1855" s="237" t="s">
        <v>119</v>
      </c>
      <c r="BN1855" s="58">
        <v>3</v>
      </c>
      <c r="BO1855" s="58">
        <v>3</v>
      </c>
      <c r="BP1855" s="58"/>
      <c r="BQ1855" s="58" t="s">
        <v>141</v>
      </c>
      <c r="BR1855" s="58"/>
      <c r="BS1855" s="58"/>
      <c r="BT1855" s="58"/>
      <c r="BU1855" s="58"/>
      <c r="BV1855" s="58"/>
      <c r="CB1855" s="68"/>
      <c r="CC1855" s="68"/>
      <c r="CD1855" s="68"/>
      <c r="CE1855" s="67"/>
      <c r="CH1855" s="94">
        <v>2.6954000000000002</v>
      </c>
      <c r="CI1855" s="94">
        <v>2.6640800000000002</v>
      </c>
      <c r="CM1855" s="67">
        <v>0.74</v>
      </c>
      <c r="CN1855" s="67">
        <v>0.78570416264747334</v>
      </c>
      <c r="CR1855" s="67"/>
      <c r="CS1855" s="67"/>
      <c r="CV1855" s="65" t="s">
        <v>3039</v>
      </c>
      <c r="DA1855" s="65" t="s">
        <v>4458</v>
      </c>
      <c r="GP1855" s="292" t="s">
        <v>7494</v>
      </c>
      <c r="JU1855" s="58"/>
      <c r="JV1855" s="58"/>
    </row>
    <row r="1856" spans="1:282" x14ac:dyDescent="0.25">
      <c r="A1856" s="55">
        <v>1855</v>
      </c>
      <c r="B1856" s="12" t="s">
        <v>7067</v>
      </c>
      <c r="C1856" s="156">
        <v>89</v>
      </c>
      <c r="D1856" s="58" t="s">
        <v>4062</v>
      </c>
      <c r="E1856" s="94" t="s">
        <v>2014</v>
      </c>
      <c r="F1856" s="94"/>
      <c r="G1856" s="58"/>
      <c r="H1856" s="58">
        <v>1997</v>
      </c>
      <c r="I1856" s="58">
        <v>1992</v>
      </c>
      <c r="J1856" s="58" t="s">
        <v>2013</v>
      </c>
      <c r="K1856" s="58" t="s">
        <v>2012</v>
      </c>
      <c r="L1856" s="58" t="s">
        <v>2737</v>
      </c>
      <c r="M1856" s="94">
        <v>47.87</v>
      </c>
      <c r="N1856" s="94">
        <v>-121.82</v>
      </c>
      <c r="O1856" s="92">
        <v>114</v>
      </c>
      <c r="P1856" s="61">
        <v>10.7</v>
      </c>
      <c r="Q1856" s="58"/>
      <c r="R1856" s="61">
        <v>1633</v>
      </c>
      <c r="S1856" s="94"/>
      <c r="T1856" s="58"/>
      <c r="U1856" s="58">
        <v>6</v>
      </c>
      <c r="V1856" s="58" t="s">
        <v>1940</v>
      </c>
      <c r="Y1856" s="58" t="s">
        <v>2048</v>
      </c>
      <c r="Z1856" s="58" t="s">
        <v>1349</v>
      </c>
      <c r="AA1856" s="94">
        <v>15</v>
      </c>
      <c r="AD1856" s="94">
        <f>AVERAGE(Sheet1!CH1856:CI1856)</f>
        <v>1.33291</v>
      </c>
      <c r="AE1856" s="92">
        <v>35</v>
      </c>
      <c r="AF1856" s="92">
        <v>55</v>
      </c>
      <c r="AG1856" s="92"/>
      <c r="AH1856" s="58" t="s">
        <v>6378</v>
      </c>
      <c r="AI1856" s="169"/>
      <c r="AJ1856" s="94"/>
      <c r="AK1856" s="94"/>
      <c r="AL1856" s="58"/>
      <c r="AM1856" s="58" t="s">
        <v>2011</v>
      </c>
      <c r="AN1856" s="186" t="s">
        <v>2019</v>
      </c>
      <c r="AO1856" s="185" t="s">
        <v>5150</v>
      </c>
      <c r="AP1856" s="58" t="s">
        <v>5150</v>
      </c>
      <c r="AQ1856" s="58" t="s">
        <v>553</v>
      </c>
      <c r="AR1856" s="58" t="s">
        <v>2016</v>
      </c>
      <c r="AS1856" s="58" t="s">
        <v>227</v>
      </c>
      <c r="AT1856" s="182"/>
      <c r="AU1856" s="181" t="s">
        <v>7494</v>
      </c>
      <c r="AV1856" s="185" t="s">
        <v>176</v>
      </c>
      <c r="AW1856" s="58"/>
      <c r="AX1856" s="185" t="s">
        <v>176</v>
      </c>
      <c r="AY1856" s="58"/>
      <c r="AZ1856" s="58" t="s">
        <v>1976</v>
      </c>
      <c r="BA1856" s="58" t="s">
        <v>1976</v>
      </c>
      <c r="BB1856" s="58" t="s">
        <v>2081</v>
      </c>
      <c r="BC1856" s="58" t="s">
        <v>2081</v>
      </c>
      <c r="BD1856" s="55" t="s">
        <v>176</v>
      </c>
      <c r="BE1856" s="236" t="s">
        <v>2015</v>
      </c>
      <c r="BF1856" s="191" t="s">
        <v>176</v>
      </c>
      <c r="BG1856" s="58" t="s">
        <v>479</v>
      </c>
      <c r="BH1856" s="236"/>
      <c r="BI1856" s="58"/>
      <c r="BK1856" s="58" t="s">
        <v>5976</v>
      </c>
      <c r="BL1856" s="58"/>
      <c r="BM1856" s="237" t="s">
        <v>119</v>
      </c>
      <c r="BN1856" s="58">
        <v>3</v>
      </c>
      <c r="BO1856" s="58">
        <v>3</v>
      </c>
      <c r="BP1856" s="58"/>
      <c r="BQ1856" s="58" t="s">
        <v>141</v>
      </c>
      <c r="BR1856" s="58"/>
      <c r="BS1856" s="58">
        <v>2860</v>
      </c>
      <c r="BT1856" s="58">
        <v>14</v>
      </c>
      <c r="BU1856" s="58"/>
      <c r="BV1856" s="58"/>
      <c r="CB1856" s="68"/>
      <c r="CC1856" s="68"/>
      <c r="CD1856" s="68"/>
      <c r="CE1856" s="67"/>
      <c r="CH1856" s="94">
        <v>1.33552</v>
      </c>
      <c r="CI1856" s="94">
        <v>1.3303</v>
      </c>
      <c r="CM1856" s="67">
        <v>1.5699999999999998</v>
      </c>
      <c r="CN1856" s="67">
        <v>1.6</v>
      </c>
      <c r="CR1856" s="67"/>
      <c r="CS1856" s="67"/>
      <c r="CV1856" s="65" t="s">
        <v>3039</v>
      </c>
      <c r="DA1856" s="65" t="s">
        <v>4458</v>
      </c>
      <c r="GP1856" s="292" t="s">
        <v>7494</v>
      </c>
      <c r="JU1856" s="58" t="s">
        <v>2043</v>
      </c>
      <c r="JV1856" s="58"/>
    </row>
    <row r="1857" spans="1:282" x14ac:dyDescent="0.25">
      <c r="A1857" s="55">
        <v>1856</v>
      </c>
      <c r="B1857" s="12" t="s">
        <v>7067</v>
      </c>
      <c r="C1857" s="156">
        <v>89</v>
      </c>
      <c r="D1857" s="58" t="s">
        <v>4063</v>
      </c>
      <c r="E1857" s="94" t="s">
        <v>2014</v>
      </c>
      <c r="F1857" s="94"/>
      <c r="G1857" s="58"/>
      <c r="H1857" s="58">
        <v>1997</v>
      </c>
      <c r="I1857" s="58">
        <v>1992</v>
      </c>
      <c r="J1857" s="58" t="s">
        <v>2013</v>
      </c>
      <c r="K1857" s="58" t="s">
        <v>2012</v>
      </c>
      <c r="L1857" s="58" t="s">
        <v>2737</v>
      </c>
      <c r="M1857" s="94">
        <v>47.87</v>
      </c>
      <c r="N1857" s="94">
        <v>-121.82</v>
      </c>
      <c r="O1857" s="92">
        <v>114</v>
      </c>
      <c r="P1857" s="61">
        <v>10.7</v>
      </c>
      <c r="Q1857" s="58"/>
      <c r="R1857" s="61">
        <v>1633</v>
      </c>
      <c r="S1857" s="94"/>
      <c r="T1857" s="58"/>
      <c r="U1857" s="58">
        <v>6</v>
      </c>
      <c r="V1857" s="58" t="s">
        <v>1940</v>
      </c>
      <c r="Y1857" s="58" t="s">
        <v>2048</v>
      </c>
      <c r="Z1857" s="58" t="s">
        <v>1357</v>
      </c>
      <c r="AA1857" s="94">
        <v>15</v>
      </c>
      <c r="AD1857" s="94">
        <f>AVERAGE(Sheet1!CH1857:CI1857)</f>
        <v>1.34422</v>
      </c>
      <c r="AE1857" s="92">
        <v>35</v>
      </c>
      <c r="AF1857" s="92">
        <v>55</v>
      </c>
      <c r="AG1857" s="92"/>
      <c r="AH1857" s="58" t="s">
        <v>6378</v>
      </c>
      <c r="AI1857" s="169"/>
      <c r="AJ1857" s="94"/>
      <c r="AK1857" s="94"/>
      <c r="AL1857" s="58"/>
      <c r="AM1857" s="58" t="s">
        <v>2011</v>
      </c>
      <c r="AN1857" s="186" t="s">
        <v>2019</v>
      </c>
      <c r="AO1857" s="185" t="s">
        <v>5150</v>
      </c>
      <c r="AP1857" s="58" t="s">
        <v>5150</v>
      </c>
      <c r="AQ1857" s="58" t="s">
        <v>553</v>
      </c>
      <c r="AR1857" s="58" t="s">
        <v>2016</v>
      </c>
      <c r="AS1857" s="58" t="s">
        <v>227</v>
      </c>
      <c r="AT1857" s="182"/>
      <c r="AU1857" s="181" t="s">
        <v>7494</v>
      </c>
      <c r="AV1857" s="185" t="s">
        <v>176</v>
      </c>
      <c r="AW1857" s="58"/>
      <c r="AX1857" s="185" t="s">
        <v>176</v>
      </c>
      <c r="AY1857" s="58"/>
      <c r="AZ1857" s="58" t="s">
        <v>1976</v>
      </c>
      <c r="BA1857" s="58" t="s">
        <v>1976</v>
      </c>
      <c r="BB1857" s="58" t="s">
        <v>2081</v>
      </c>
      <c r="BC1857" s="58" t="s">
        <v>2081</v>
      </c>
      <c r="BD1857" s="55" t="s">
        <v>176</v>
      </c>
      <c r="BE1857" s="236" t="s">
        <v>2015</v>
      </c>
      <c r="BF1857" s="191" t="s">
        <v>176</v>
      </c>
      <c r="BG1857" s="58" t="s">
        <v>479</v>
      </c>
      <c r="BH1857" s="236"/>
      <c r="BI1857" s="58"/>
      <c r="BK1857" s="58" t="s">
        <v>5976</v>
      </c>
      <c r="BL1857" s="58"/>
      <c r="BM1857" s="237" t="s">
        <v>119</v>
      </c>
      <c r="BN1857" s="58">
        <v>3</v>
      </c>
      <c r="BO1857" s="58">
        <v>3</v>
      </c>
      <c r="BP1857" s="58"/>
      <c r="BQ1857" s="58" t="s">
        <v>141</v>
      </c>
      <c r="BR1857" s="58"/>
      <c r="BS1857" s="58"/>
      <c r="BT1857" s="58"/>
      <c r="BU1857" s="58"/>
      <c r="BV1857" s="58"/>
      <c r="CB1857" s="68"/>
      <c r="CC1857" s="68"/>
      <c r="CD1857" s="68"/>
      <c r="CE1857" s="67"/>
      <c r="CH1857" s="94">
        <v>1.3477000000000001</v>
      </c>
      <c r="CI1857" s="94">
        <v>1.34074</v>
      </c>
      <c r="CM1857" s="67">
        <v>1.5</v>
      </c>
      <c r="CN1857" s="67">
        <v>1.54</v>
      </c>
      <c r="CR1857" s="67"/>
      <c r="CS1857" s="67"/>
      <c r="CV1857" s="65" t="s">
        <v>3039</v>
      </c>
      <c r="DA1857" s="65" t="s">
        <v>4458</v>
      </c>
      <c r="GP1857" s="292" t="s">
        <v>7494</v>
      </c>
      <c r="JU1857" s="58" t="s">
        <v>2043</v>
      </c>
      <c r="JV1857" s="58"/>
    </row>
    <row r="1858" spans="1:282" x14ac:dyDescent="0.25">
      <c r="A1858" s="55">
        <v>1857</v>
      </c>
      <c r="B1858" s="12" t="s">
        <v>7067</v>
      </c>
      <c r="C1858" s="156">
        <v>89</v>
      </c>
      <c r="D1858" s="58" t="s">
        <v>4064</v>
      </c>
      <c r="E1858" s="94" t="s">
        <v>2014</v>
      </c>
      <c r="F1858" s="94"/>
      <c r="G1858" s="58"/>
      <c r="H1858" s="58">
        <v>1997</v>
      </c>
      <c r="I1858" s="58">
        <v>1992</v>
      </c>
      <c r="J1858" s="58" t="s">
        <v>2013</v>
      </c>
      <c r="K1858" s="58" t="s">
        <v>2012</v>
      </c>
      <c r="L1858" s="58" t="s">
        <v>2737</v>
      </c>
      <c r="M1858" s="94">
        <v>47.87</v>
      </c>
      <c r="N1858" s="94">
        <v>-121.82</v>
      </c>
      <c r="O1858" s="92">
        <v>114</v>
      </c>
      <c r="P1858" s="61">
        <v>10.7</v>
      </c>
      <c r="Q1858" s="58"/>
      <c r="R1858" s="61">
        <v>1633</v>
      </c>
      <c r="S1858" s="94"/>
      <c r="T1858" s="58"/>
      <c r="U1858" s="58">
        <v>6</v>
      </c>
      <c r="V1858" s="58" t="s">
        <v>1940</v>
      </c>
      <c r="Y1858" s="58" t="s">
        <v>2048</v>
      </c>
      <c r="Z1858" s="58" t="s">
        <v>1356</v>
      </c>
      <c r="AA1858" s="94">
        <v>30</v>
      </c>
      <c r="AD1858" s="94">
        <f>AVERAGE(Sheet1!CH1858:CI1858)</f>
        <v>2.67713</v>
      </c>
      <c r="AE1858" s="92">
        <v>35</v>
      </c>
      <c r="AF1858" s="92">
        <v>55</v>
      </c>
      <c r="AG1858" s="92"/>
      <c r="AH1858" s="58" t="s">
        <v>6378</v>
      </c>
      <c r="AI1858" s="169"/>
      <c r="AJ1858" s="94"/>
      <c r="AK1858" s="94"/>
      <c r="AL1858" s="58"/>
      <c r="AM1858" s="58" t="s">
        <v>2011</v>
      </c>
      <c r="AN1858" s="186"/>
      <c r="AO1858" s="185" t="s">
        <v>5150</v>
      </c>
      <c r="AP1858" s="58"/>
      <c r="AQ1858" s="58" t="s">
        <v>553</v>
      </c>
      <c r="AR1858" s="58" t="s">
        <v>2016</v>
      </c>
      <c r="AS1858" s="58" t="s">
        <v>227</v>
      </c>
      <c r="AT1858" s="182"/>
      <c r="AU1858" s="181" t="s">
        <v>7494</v>
      </c>
      <c r="AV1858" s="185" t="s">
        <v>176</v>
      </c>
      <c r="AW1858" s="58"/>
      <c r="AX1858" s="185" t="s">
        <v>176</v>
      </c>
      <c r="AY1858" s="58"/>
      <c r="AZ1858" s="58" t="s">
        <v>1976</v>
      </c>
      <c r="BA1858" s="58" t="s">
        <v>1976</v>
      </c>
      <c r="BB1858" s="58" t="s">
        <v>2081</v>
      </c>
      <c r="BC1858" s="58" t="s">
        <v>2081</v>
      </c>
      <c r="BD1858" s="55" t="s">
        <v>176</v>
      </c>
      <c r="BE1858" s="236" t="s">
        <v>2015</v>
      </c>
      <c r="BF1858" s="191" t="s">
        <v>176</v>
      </c>
      <c r="BG1858" s="58" t="s">
        <v>479</v>
      </c>
      <c r="BH1858" s="236"/>
      <c r="BI1858" s="58"/>
      <c r="BK1858" s="58" t="s">
        <v>5976</v>
      </c>
      <c r="BL1858" s="58"/>
      <c r="BM1858" s="237" t="s">
        <v>119</v>
      </c>
      <c r="BN1858" s="58">
        <v>3</v>
      </c>
      <c r="BO1858" s="58">
        <v>3</v>
      </c>
      <c r="BP1858" s="58"/>
      <c r="BQ1858" s="58" t="s">
        <v>141</v>
      </c>
      <c r="BR1858" s="58"/>
      <c r="BS1858" s="58"/>
      <c r="BT1858" s="58"/>
      <c r="BU1858" s="58"/>
      <c r="BV1858" s="58"/>
      <c r="CB1858" s="68"/>
      <c r="CC1858" s="68"/>
      <c r="CD1858" s="68"/>
      <c r="CE1858" s="67"/>
      <c r="CH1858" s="94">
        <v>2.6832200000000004</v>
      </c>
      <c r="CI1858" s="94">
        <v>2.6710400000000001</v>
      </c>
      <c r="CM1858" s="67">
        <v>0.76</v>
      </c>
      <c r="CN1858" s="67">
        <v>0.78137826939274446</v>
      </c>
      <c r="CR1858" s="67"/>
      <c r="CS1858" s="67"/>
      <c r="CV1858" s="65" t="s">
        <v>3039</v>
      </c>
      <c r="DA1858" s="65" t="s">
        <v>4458</v>
      </c>
      <c r="GP1858" s="292" t="s">
        <v>7494</v>
      </c>
      <c r="JU1858" s="58"/>
      <c r="JV1858" s="58"/>
    </row>
    <row r="1859" spans="1:282" x14ac:dyDescent="0.25">
      <c r="A1859" s="55">
        <v>1858</v>
      </c>
      <c r="B1859" s="12" t="s">
        <v>7067</v>
      </c>
      <c r="C1859" s="156">
        <v>89</v>
      </c>
      <c r="D1859" s="58" t="s">
        <v>4062</v>
      </c>
      <c r="E1859" s="94" t="s">
        <v>2014</v>
      </c>
      <c r="F1859" s="94"/>
      <c r="G1859" s="58"/>
      <c r="H1859" s="58">
        <v>1997</v>
      </c>
      <c r="I1859" s="58">
        <v>1993</v>
      </c>
      <c r="J1859" s="58" t="s">
        <v>2013</v>
      </c>
      <c r="K1859" s="58" t="s">
        <v>2012</v>
      </c>
      <c r="L1859" s="58" t="s">
        <v>2737</v>
      </c>
      <c r="M1859" s="94">
        <v>47.87</v>
      </c>
      <c r="N1859" s="94">
        <v>-121.82</v>
      </c>
      <c r="O1859" s="92">
        <v>114</v>
      </c>
      <c r="P1859" s="61">
        <v>10.7</v>
      </c>
      <c r="Q1859" s="58"/>
      <c r="R1859" s="61">
        <v>1633</v>
      </c>
      <c r="S1859" s="94"/>
      <c r="T1859" s="58"/>
      <c r="U1859" s="58">
        <v>7</v>
      </c>
      <c r="V1859" s="58" t="s">
        <v>1940</v>
      </c>
      <c r="Y1859" s="58" t="s">
        <v>2048</v>
      </c>
      <c r="Z1859" s="58" t="s">
        <v>1349</v>
      </c>
      <c r="AA1859" s="94">
        <v>15</v>
      </c>
      <c r="AD1859" s="94">
        <f>AVERAGE(Sheet1!CH1859:CI1859)</f>
        <v>1.34161</v>
      </c>
      <c r="AE1859" s="92">
        <v>35</v>
      </c>
      <c r="AF1859" s="92">
        <v>55</v>
      </c>
      <c r="AG1859" s="92"/>
      <c r="AH1859" s="58" t="s">
        <v>6378</v>
      </c>
      <c r="AI1859" s="169"/>
      <c r="AJ1859" s="94"/>
      <c r="AK1859" s="94"/>
      <c r="AL1859" s="58"/>
      <c r="AM1859" s="58" t="s">
        <v>2011</v>
      </c>
      <c r="AN1859" s="186" t="s">
        <v>2019</v>
      </c>
      <c r="AO1859" s="185" t="s">
        <v>5150</v>
      </c>
      <c r="AP1859" s="58" t="s">
        <v>5150</v>
      </c>
      <c r="AQ1859" s="58" t="s">
        <v>553</v>
      </c>
      <c r="AR1859" s="58" t="s">
        <v>2016</v>
      </c>
      <c r="AS1859" s="58" t="s">
        <v>227</v>
      </c>
      <c r="AT1859" s="182"/>
      <c r="AU1859" s="181" t="s">
        <v>7494</v>
      </c>
      <c r="AV1859" s="185" t="s">
        <v>176</v>
      </c>
      <c r="AW1859" s="58"/>
      <c r="AX1859" s="185" t="s">
        <v>176</v>
      </c>
      <c r="AY1859" s="58"/>
      <c r="AZ1859" s="58" t="s">
        <v>1976</v>
      </c>
      <c r="BA1859" s="58" t="s">
        <v>1976</v>
      </c>
      <c r="BB1859" s="58" t="s">
        <v>2081</v>
      </c>
      <c r="BC1859" s="58" t="s">
        <v>2081</v>
      </c>
      <c r="BD1859" s="55" t="s">
        <v>176</v>
      </c>
      <c r="BE1859" s="236" t="s">
        <v>2015</v>
      </c>
      <c r="BF1859" s="191" t="s">
        <v>176</v>
      </c>
      <c r="BG1859" s="58" t="s">
        <v>479</v>
      </c>
      <c r="BH1859" s="236"/>
      <c r="BI1859" s="58"/>
      <c r="BK1859" s="58" t="s">
        <v>5976</v>
      </c>
      <c r="BL1859" s="58"/>
      <c r="BM1859" s="237" t="s">
        <v>119</v>
      </c>
      <c r="BN1859" s="58">
        <v>3</v>
      </c>
      <c r="BO1859" s="58">
        <v>3</v>
      </c>
      <c r="BP1859" s="58"/>
      <c r="BQ1859" s="58" t="s">
        <v>141</v>
      </c>
      <c r="BR1859" s="58"/>
      <c r="BS1859" s="58">
        <v>2270</v>
      </c>
      <c r="BT1859" s="58">
        <v>23</v>
      </c>
      <c r="BU1859" s="58"/>
      <c r="BV1859" s="58"/>
      <c r="CB1859" s="68"/>
      <c r="CC1859" s="68"/>
      <c r="CD1859" s="68"/>
      <c r="CE1859" s="67"/>
      <c r="CH1859" s="94">
        <v>1.34422</v>
      </c>
      <c r="CI1859" s="94">
        <v>1.339</v>
      </c>
      <c r="CM1859" s="67">
        <v>1.52</v>
      </c>
      <c r="CN1859" s="67">
        <v>1.55</v>
      </c>
      <c r="CR1859" s="67"/>
      <c r="CS1859" s="67"/>
      <c r="CV1859" s="65" t="s">
        <v>3039</v>
      </c>
      <c r="DA1859" s="65" t="s">
        <v>4458</v>
      </c>
      <c r="GP1859" s="292" t="s">
        <v>7494</v>
      </c>
      <c r="JU1859" s="58" t="s">
        <v>2043</v>
      </c>
      <c r="JV1859" s="58"/>
    </row>
    <row r="1860" spans="1:282" x14ac:dyDescent="0.25">
      <c r="A1860" s="55">
        <v>1859</v>
      </c>
      <c r="B1860" s="12" t="s">
        <v>7067</v>
      </c>
      <c r="C1860" s="156">
        <v>89</v>
      </c>
      <c r="D1860" s="58" t="s">
        <v>4063</v>
      </c>
      <c r="E1860" s="94" t="s">
        <v>2014</v>
      </c>
      <c r="F1860" s="94"/>
      <c r="G1860" s="58"/>
      <c r="H1860" s="58">
        <v>1997</v>
      </c>
      <c r="I1860" s="58">
        <v>1993</v>
      </c>
      <c r="J1860" s="58" t="s">
        <v>2013</v>
      </c>
      <c r="K1860" s="58" t="s">
        <v>2012</v>
      </c>
      <c r="L1860" s="58" t="s">
        <v>2737</v>
      </c>
      <c r="M1860" s="94">
        <v>47.87</v>
      </c>
      <c r="N1860" s="94">
        <v>-121.82</v>
      </c>
      <c r="O1860" s="92">
        <v>114</v>
      </c>
      <c r="P1860" s="61">
        <v>10.7</v>
      </c>
      <c r="Q1860" s="58"/>
      <c r="R1860" s="61">
        <v>1633</v>
      </c>
      <c r="S1860" s="94"/>
      <c r="T1860" s="58"/>
      <c r="U1860" s="58">
        <v>7</v>
      </c>
      <c r="V1860" s="58" t="s">
        <v>1940</v>
      </c>
      <c r="Y1860" s="58" t="s">
        <v>2048</v>
      </c>
      <c r="Z1860" s="58" t="s">
        <v>1357</v>
      </c>
      <c r="AA1860" s="94">
        <v>15</v>
      </c>
      <c r="AD1860" s="94">
        <f>AVERAGE(Sheet1!CH1860:CI1860)</f>
        <v>1.34944</v>
      </c>
      <c r="AE1860" s="92">
        <v>35</v>
      </c>
      <c r="AF1860" s="92">
        <v>55</v>
      </c>
      <c r="AG1860" s="92"/>
      <c r="AH1860" s="58" t="s">
        <v>6378</v>
      </c>
      <c r="AI1860" s="169"/>
      <c r="AJ1860" s="94"/>
      <c r="AK1860" s="94"/>
      <c r="AL1860" s="58"/>
      <c r="AM1860" s="58" t="s">
        <v>2011</v>
      </c>
      <c r="AN1860" s="186" t="s">
        <v>2019</v>
      </c>
      <c r="AO1860" s="185" t="s">
        <v>5150</v>
      </c>
      <c r="AP1860" s="58" t="s">
        <v>5150</v>
      </c>
      <c r="AQ1860" s="58" t="s">
        <v>553</v>
      </c>
      <c r="AR1860" s="58" t="s">
        <v>2016</v>
      </c>
      <c r="AS1860" s="58" t="s">
        <v>227</v>
      </c>
      <c r="AT1860" s="182"/>
      <c r="AU1860" s="181" t="s">
        <v>7494</v>
      </c>
      <c r="AV1860" s="185" t="s">
        <v>176</v>
      </c>
      <c r="AW1860" s="58"/>
      <c r="AX1860" s="185" t="s">
        <v>176</v>
      </c>
      <c r="AY1860" s="58"/>
      <c r="AZ1860" s="58" t="s">
        <v>1976</v>
      </c>
      <c r="BA1860" s="58" t="s">
        <v>1976</v>
      </c>
      <c r="BB1860" s="58" t="s">
        <v>2081</v>
      </c>
      <c r="BC1860" s="58" t="s">
        <v>2081</v>
      </c>
      <c r="BD1860" s="55" t="s">
        <v>176</v>
      </c>
      <c r="BE1860" s="236" t="s">
        <v>2015</v>
      </c>
      <c r="BF1860" s="191" t="s">
        <v>176</v>
      </c>
      <c r="BG1860" s="58" t="s">
        <v>479</v>
      </c>
      <c r="BH1860" s="236"/>
      <c r="BI1860" s="58"/>
      <c r="BK1860" s="58" t="s">
        <v>5976</v>
      </c>
      <c r="BL1860" s="58"/>
      <c r="BM1860" s="237" t="s">
        <v>119</v>
      </c>
      <c r="BN1860" s="58">
        <v>3</v>
      </c>
      <c r="BO1860" s="58">
        <v>3</v>
      </c>
      <c r="BP1860" s="58"/>
      <c r="BQ1860" s="58" t="s">
        <v>141</v>
      </c>
      <c r="BR1860" s="58"/>
      <c r="BS1860" s="58"/>
      <c r="BT1860" s="58"/>
      <c r="BU1860" s="58"/>
      <c r="BV1860" s="58"/>
      <c r="CB1860" s="68"/>
      <c r="CC1860" s="68"/>
      <c r="CD1860" s="68"/>
      <c r="CE1860" s="67"/>
      <c r="CH1860" s="94">
        <v>1.35118</v>
      </c>
      <c r="CI1860" s="94">
        <v>1.3477000000000001</v>
      </c>
      <c r="CM1860" s="67">
        <v>1.48</v>
      </c>
      <c r="CN1860" s="67">
        <v>1.5</v>
      </c>
      <c r="CR1860" s="67"/>
      <c r="CS1860" s="67"/>
      <c r="CV1860" s="65" t="s">
        <v>3039</v>
      </c>
      <c r="DA1860" s="65" t="s">
        <v>4458</v>
      </c>
      <c r="GP1860" s="292" t="s">
        <v>7494</v>
      </c>
      <c r="JU1860" s="58" t="s">
        <v>2043</v>
      </c>
      <c r="JV1860" s="58"/>
    </row>
    <row r="1861" spans="1:282" x14ac:dyDescent="0.25">
      <c r="A1861" s="55">
        <v>1860</v>
      </c>
      <c r="B1861" s="12" t="s">
        <v>7067</v>
      </c>
      <c r="C1861" s="156">
        <v>89</v>
      </c>
      <c r="D1861" s="58" t="s">
        <v>4064</v>
      </c>
      <c r="E1861" s="94" t="s">
        <v>2014</v>
      </c>
      <c r="F1861" s="94"/>
      <c r="G1861" s="58"/>
      <c r="H1861" s="58">
        <v>1997</v>
      </c>
      <c r="I1861" s="58">
        <v>1993</v>
      </c>
      <c r="J1861" s="58" t="s">
        <v>2013</v>
      </c>
      <c r="K1861" s="58" t="s">
        <v>2012</v>
      </c>
      <c r="L1861" s="58" t="s">
        <v>2737</v>
      </c>
      <c r="M1861" s="94">
        <v>47.87</v>
      </c>
      <c r="N1861" s="94">
        <v>-121.82</v>
      </c>
      <c r="O1861" s="92">
        <v>114</v>
      </c>
      <c r="P1861" s="61">
        <v>10.7</v>
      </c>
      <c r="Q1861" s="58"/>
      <c r="R1861" s="61">
        <v>1633</v>
      </c>
      <c r="S1861" s="94"/>
      <c r="T1861" s="58"/>
      <c r="U1861" s="58">
        <v>7</v>
      </c>
      <c r="V1861" s="58" t="s">
        <v>1940</v>
      </c>
      <c r="Y1861" s="58" t="s">
        <v>2048</v>
      </c>
      <c r="Z1861" s="58" t="s">
        <v>1356</v>
      </c>
      <c r="AA1861" s="94">
        <v>30</v>
      </c>
      <c r="AD1861" s="94">
        <f>AVERAGE(Sheet1!CH1861:CI1861)</f>
        <v>2.6910500000000002</v>
      </c>
      <c r="AE1861" s="92">
        <v>35</v>
      </c>
      <c r="AF1861" s="92">
        <v>55</v>
      </c>
      <c r="AG1861" s="92"/>
      <c r="AH1861" s="58" t="s">
        <v>6378</v>
      </c>
      <c r="AI1861" s="169"/>
      <c r="AJ1861" s="94"/>
      <c r="AK1861" s="94"/>
      <c r="AL1861" s="58"/>
      <c r="AM1861" s="58" t="s">
        <v>2011</v>
      </c>
      <c r="AN1861" s="186"/>
      <c r="AO1861" s="185" t="s">
        <v>5150</v>
      </c>
      <c r="AP1861" s="58"/>
      <c r="AQ1861" s="58" t="s">
        <v>553</v>
      </c>
      <c r="AR1861" s="58" t="s">
        <v>2016</v>
      </c>
      <c r="AS1861" s="58" t="s">
        <v>227</v>
      </c>
      <c r="AT1861" s="182"/>
      <c r="AU1861" s="181" t="s">
        <v>7494</v>
      </c>
      <c r="AV1861" s="185" t="s">
        <v>176</v>
      </c>
      <c r="AW1861" s="58"/>
      <c r="AX1861" s="185" t="s">
        <v>176</v>
      </c>
      <c r="AY1861" s="58"/>
      <c r="AZ1861" s="58" t="s">
        <v>1976</v>
      </c>
      <c r="BA1861" s="58" t="s">
        <v>1976</v>
      </c>
      <c r="BB1861" s="58" t="s">
        <v>2081</v>
      </c>
      <c r="BC1861" s="58" t="s">
        <v>2081</v>
      </c>
      <c r="BD1861" s="55" t="s">
        <v>176</v>
      </c>
      <c r="BE1861" s="236" t="s">
        <v>2015</v>
      </c>
      <c r="BF1861" s="191" t="s">
        <v>176</v>
      </c>
      <c r="BG1861" s="58" t="s">
        <v>479</v>
      </c>
      <c r="BH1861" s="236"/>
      <c r="BI1861" s="58"/>
      <c r="BK1861" s="58" t="s">
        <v>5976</v>
      </c>
      <c r="BL1861" s="58"/>
      <c r="BM1861" s="237" t="s">
        <v>119</v>
      </c>
      <c r="BN1861" s="58">
        <v>3</v>
      </c>
      <c r="BO1861" s="58">
        <v>3</v>
      </c>
      <c r="BP1861" s="58"/>
      <c r="BQ1861" s="58" t="s">
        <v>141</v>
      </c>
      <c r="BR1861" s="58"/>
      <c r="BS1861" s="58"/>
      <c r="BT1861" s="58"/>
      <c r="BU1861" s="58"/>
      <c r="BV1861" s="58"/>
      <c r="CB1861" s="68"/>
      <c r="CC1861" s="68"/>
      <c r="CD1861" s="68"/>
      <c r="CE1861" s="67"/>
      <c r="CH1861" s="94">
        <v>2.6954000000000002</v>
      </c>
      <c r="CI1861" s="94">
        <v>2.6867000000000001</v>
      </c>
      <c r="CM1861" s="67">
        <v>0.75</v>
      </c>
      <c r="CN1861" s="67">
        <v>0.7599985159902054</v>
      </c>
      <c r="CR1861" s="67"/>
      <c r="CS1861" s="67"/>
      <c r="CV1861" s="65" t="s">
        <v>3039</v>
      </c>
      <c r="DA1861" s="65" t="s">
        <v>4458</v>
      </c>
      <c r="GP1861" s="292" t="s">
        <v>7494</v>
      </c>
      <c r="JU1861" s="58"/>
      <c r="JV1861" s="58"/>
    </row>
    <row r="1862" spans="1:282" x14ac:dyDescent="0.25">
      <c r="A1862" s="55">
        <v>1861</v>
      </c>
      <c r="B1862" s="12" t="s">
        <v>7067</v>
      </c>
      <c r="C1862" s="156">
        <v>89</v>
      </c>
      <c r="D1862" s="58" t="s">
        <v>4059</v>
      </c>
      <c r="E1862" s="94" t="s">
        <v>2014</v>
      </c>
      <c r="F1862" s="94"/>
      <c r="G1862" s="58"/>
      <c r="H1862" s="58">
        <v>1997</v>
      </c>
      <c r="I1862" s="58">
        <v>1992</v>
      </c>
      <c r="J1862" s="58" t="s">
        <v>2013</v>
      </c>
      <c r="K1862" s="58" t="s">
        <v>2012</v>
      </c>
      <c r="L1862" s="58" t="s">
        <v>2737</v>
      </c>
      <c r="M1862" s="94">
        <v>47.87</v>
      </c>
      <c r="N1862" s="94">
        <v>-121.82</v>
      </c>
      <c r="O1862" s="92">
        <v>114</v>
      </c>
      <c r="P1862" s="61">
        <v>10.7</v>
      </c>
      <c r="Q1862" s="58"/>
      <c r="R1862" s="61">
        <v>1633</v>
      </c>
      <c r="S1862" s="94"/>
      <c r="T1862" s="58"/>
      <c r="U1862" s="58">
        <v>6</v>
      </c>
      <c r="V1862" s="58" t="s">
        <v>1940</v>
      </c>
      <c r="Y1862" s="58" t="s">
        <v>2048</v>
      </c>
      <c r="Z1862" s="58" t="s">
        <v>1349</v>
      </c>
      <c r="AA1862" s="94">
        <v>15</v>
      </c>
      <c r="AD1862" s="94">
        <f>AVERAGE(Sheet1!CH1862:CI1862)</f>
        <v>1.32769</v>
      </c>
      <c r="AE1862" s="92">
        <v>35</v>
      </c>
      <c r="AF1862" s="92">
        <v>55</v>
      </c>
      <c r="AG1862" s="92"/>
      <c r="AH1862" s="58" t="s">
        <v>6378</v>
      </c>
      <c r="AI1862" s="169"/>
      <c r="AJ1862" s="94"/>
      <c r="AK1862" s="94"/>
      <c r="AL1862" s="58"/>
      <c r="AM1862" s="58" t="s">
        <v>2011</v>
      </c>
      <c r="AN1862" s="186" t="s">
        <v>2018</v>
      </c>
      <c r="AO1862" s="185" t="s">
        <v>5150</v>
      </c>
      <c r="AP1862" s="58"/>
      <c r="AQ1862" s="58" t="s">
        <v>131</v>
      </c>
      <c r="AR1862" s="58" t="s">
        <v>2016</v>
      </c>
      <c r="AS1862" s="58" t="s">
        <v>227</v>
      </c>
      <c r="AT1862" s="182"/>
      <c r="AU1862" s="181" t="s">
        <v>7494</v>
      </c>
      <c r="AV1862" s="185" t="s">
        <v>176</v>
      </c>
      <c r="AW1862" s="58"/>
      <c r="AX1862" s="185" t="s">
        <v>176</v>
      </c>
      <c r="AY1862" s="58"/>
      <c r="AZ1862" s="58" t="s">
        <v>1976</v>
      </c>
      <c r="BA1862" s="58" t="s">
        <v>1976</v>
      </c>
      <c r="BB1862" s="58" t="s">
        <v>2081</v>
      </c>
      <c r="BC1862" s="58" t="s">
        <v>2081</v>
      </c>
      <c r="BD1862" s="55" t="s">
        <v>176</v>
      </c>
      <c r="BE1862" s="236" t="s">
        <v>2015</v>
      </c>
      <c r="BF1862" s="191" t="s">
        <v>176</v>
      </c>
      <c r="BG1862" s="58" t="s">
        <v>479</v>
      </c>
      <c r="BH1862" s="236"/>
      <c r="BI1862" s="58"/>
      <c r="BK1862" s="58" t="s">
        <v>5976</v>
      </c>
      <c r="BL1862" s="58"/>
      <c r="BM1862" s="237" t="s">
        <v>119</v>
      </c>
      <c r="BN1862" s="58">
        <v>3</v>
      </c>
      <c r="BO1862" s="58">
        <v>3</v>
      </c>
      <c r="BP1862" s="58"/>
      <c r="BQ1862" s="58" t="s">
        <v>141</v>
      </c>
      <c r="BR1862" s="58"/>
      <c r="BS1862" s="58">
        <v>4650</v>
      </c>
      <c r="BT1862" s="58">
        <v>47</v>
      </c>
      <c r="BU1862" s="58"/>
      <c r="BV1862" s="58"/>
      <c r="CB1862" s="68"/>
      <c r="CC1862" s="68"/>
      <c r="CD1862" s="68"/>
      <c r="CE1862" s="67"/>
      <c r="CH1862" s="94">
        <v>1.33552</v>
      </c>
      <c r="CI1862" s="94">
        <v>1.31986</v>
      </c>
      <c r="CM1862" s="67">
        <v>1.5699999999999998</v>
      </c>
      <c r="CN1862" s="67">
        <v>1.6600000000000001</v>
      </c>
      <c r="CR1862" s="67"/>
      <c r="CS1862" s="67"/>
      <c r="CV1862" s="65" t="s">
        <v>3039</v>
      </c>
      <c r="DA1862" s="65" t="s">
        <v>4458</v>
      </c>
      <c r="GP1862" s="292" t="s">
        <v>7494</v>
      </c>
      <c r="JU1862" s="58" t="s">
        <v>2043</v>
      </c>
      <c r="JV1862" s="58"/>
    </row>
    <row r="1863" spans="1:282" x14ac:dyDescent="0.25">
      <c r="A1863" s="55">
        <v>1862</v>
      </c>
      <c r="B1863" s="12" t="s">
        <v>7067</v>
      </c>
      <c r="C1863" s="156">
        <v>89</v>
      </c>
      <c r="D1863" s="58" t="s">
        <v>4060</v>
      </c>
      <c r="E1863" s="94" t="s">
        <v>2014</v>
      </c>
      <c r="F1863" s="94"/>
      <c r="G1863" s="58"/>
      <c r="H1863" s="58">
        <v>1997</v>
      </c>
      <c r="I1863" s="58">
        <v>1992</v>
      </c>
      <c r="J1863" s="58" t="s">
        <v>2013</v>
      </c>
      <c r="K1863" s="58" t="s">
        <v>2012</v>
      </c>
      <c r="L1863" s="58" t="s">
        <v>2737</v>
      </c>
      <c r="M1863" s="94">
        <v>47.87</v>
      </c>
      <c r="N1863" s="94">
        <v>-121.82</v>
      </c>
      <c r="O1863" s="92">
        <v>114</v>
      </c>
      <c r="P1863" s="61">
        <v>10.7</v>
      </c>
      <c r="Q1863" s="58"/>
      <c r="R1863" s="61">
        <v>1633</v>
      </c>
      <c r="S1863" s="94"/>
      <c r="T1863" s="58"/>
      <c r="U1863" s="58">
        <v>6</v>
      </c>
      <c r="V1863" s="58" t="s">
        <v>1940</v>
      </c>
      <c r="Y1863" s="58" t="s">
        <v>2048</v>
      </c>
      <c r="Z1863" s="58" t="s">
        <v>1357</v>
      </c>
      <c r="AA1863" s="94">
        <v>15</v>
      </c>
      <c r="AD1863" s="94">
        <f>AVERAGE(Sheet1!CH1863:CI1863)</f>
        <v>1.34335</v>
      </c>
      <c r="AE1863" s="92">
        <v>35</v>
      </c>
      <c r="AF1863" s="92">
        <v>55</v>
      </c>
      <c r="AG1863" s="92"/>
      <c r="AH1863" s="58" t="s">
        <v>6378</v>
      </c>
      <c r="AI1863" s="169"/>
      <c r="AJ1863" s="94"/>
      <c r="AK1863" s="94"/>
      <c r="AL1863" s="58"/>
      <c r="AM1863" s="58" t="s">
        <v>2011</v>
      </c>
      <c r="AN1863" s="186" t="s">
        <v>2018</v>
      </c>
      <c r="AO1863" s="185" t="s">
        <v>5150</v>
      </c>
      <c r="AP1863" s="58"/>
      <c r="AQ1863" s="58" t="s">
        <v>131</v>
      </c>
      <c r="AR1863" s="58" t="s">
        <v>2016</v>
      </c>
      <c r="AS1863" s="58" t="s">
        <v>227</v>
      </c>
      <c r="AT1863" s="182"/>
      <c r="AU1863" s="181" t="s">
        <v>7494</v>
      </c>
      <c r="AV1863" s="185" t="s">
        <v>176</v>
      </c>
      <c r="AW1863" s="58"/>
      <c r="AX1863" s="185" t="s">
        <v>176</v>
      </c>
      <c r="AY1863" s="58"/>
      <c r="AZ1863" s="58" t="s">
        <v>1976</v>
      </c>
      <c r="BA1863" s="58" t="s">
        <v>1976</v>
      </c>
      <c r="BB1863" s="58" t="s">
        <v>2081</v>
      </c>
      <c r="BC1863" s="58" t="s">
        <v>2081</v>
      </c>
      <c r="BD1863" s="55" t="s">
        <v>176</v>
      </c>
      <c r="BE1863" s="236" t="s">
        <v>2015</v>
      </c>
      <c r="BF1863" s="191" t="s">
        <v>176</v>
      </c>
      <c r="BG1863" s="58" t="s">
        <v>479</v>
      </c>
      <c r="BH1863" s="236"/>
      <c r="BI1863" s="58"/>
      <c r="BK1863" s="58" t="s">
        <v>5976</v>
      </c>
      <c r="BL1863" s="58"/>
      <c r="BM1863" s="237" t="s">
        <v>119</v>
      </c>
      <c r="BN1863" s="58">
        <v>3</v>
      </c>
      <c r="BO1863" s="58">
        <v>3</v>
      </c>
      <c r="BP1863" s="58"/>
      <c r="BQ1863" s="58" t="s">
        <v>141</v>
      </c>
      <c r="BR1863" s="58"/>
      <c r="BS1863" s="58"/>
      <c r="BU1863" s="58"/>
      <c r="BV1863" s="58"/>
      <c r="CB1863" s="68"/>
      <c r="CC1863" s="68"/>
      <c r="CD1863" s="68"/>
      <c r="CE1863" s="67"/>
      <c r="CH1863" s="94">
        <v>1.3477000000000001</v>
      </c>
      <c r="CI1863" s="94">
        <v>1.339</v>
      </c>
      <c r="CM1863" s="67">
        <v>1.5</v>
      </c>
      <c r="CN1863" s="67">
        <v>1.55</v>
      </c>
      <c r="CR1863" s="67"/>
      <c r="CS1863" s="67"/>
      <c r="CV1863" s="65" t="s">
        <v>3039</v>
      </c>
      <c r="DA1863" s="65" t="s">
        <v>4458</v>
      </c>
      <c r="GP1863" s="292" t="s">
        <v>7494</v>
      </c>
      <c r="JU1863" s="58" t="s">
        <v>2043</v>
      </c>
      <c r="JV1863" s="58"/>
    </row>
    <row r="1864" spans="1:282" x14ac:dyDescent="0.25">
      <c r="A1864" s="55">
        <v>1863</v>
      </c>
      <c r="B1864" s="12" t="s">
        <v>7067</v>
      </c>
      <c r="C1864" s="156">
        <v>89</v>
      </c>
      <c r="D1864" s="58" t="s">
        <v>4061</v>
      </c>
      <c r="E1864" s="94" t="s">
        <v>2014</v>
      </c>
      <c r="F1864" s="94"/>
      <c r="G1864" s="58"/>
      <c r="H1864" s="58">
        <v>1997</v>
      </c>
      <c r="I1864" s="58">
        <v>1992</v>
      </c>
      <c r="J1864" s="58" t="s">
        <v>2013</v>
      </c>
      <c r="K1864" s="58" t="s">
        <v>2012</v>
      </c>
      <c r="L1864" s="58" t="s">
        <v>2737</v>
      </c>
      <c r="M1864" s="94">
        <v>47.87</v>
      </c>
      <c r="N1864" s="94">
        <v>-121.82</v>
      </c>
      <c r="O1864" s="92">
        <v>114</v>
      </c>
      <c r="P1864" s="61">
        <v>10.7</v>
      </c>
      <c r="Q1864" s="58"/>
      <c r="R1864" s="61">
        <v>1633</v>
      </c>
      <c r="S1864" s="94"/>
      <c r="T1864" s="58"/>
      <c r="U1864" s="58">
        <v>6</v>
      </c>
      <c r="V1864" s="58" t="s">
        <v>1940</v>
      </c>
      <c r="Y1864" s="58" t="s">
        <v>2048</v>
      </c>
      <c r="Z1864" s="58" t="s">
        <v>1356</v>
      </c>
      <c r="AA1864" s="94">
        <v>30</v>
      </c>
      <c r="AD1864" s="94">
        <f>AVERAGE(Sheet1!CH1864:CI1864)</f>
        <v>2.6710400000000001</v>
      </c>
      <c r="AE1864" s="92">
        <v>35</v>
      </c>
      <c r="AF1864" s="92">
        <v>55</v>
      </c>
      <c r="AG1864" s="92"/>
      <c r="AH1864" s="58" t="s">
        <v>6378</v>
      </c>
      <c r="AI1864" s="169"/>
      <c r="AJ1864" s="94"/>
      <c r="AK1864" s="94"/>
      <c r="AL1864" s="58"/>
      <c r="AM1864" s="58" t="s">
        <v>2011</v>
      </c>
      <c r="AN1864" s="186"/>
      <c r="AO1864" s="185" t="s">
        <v>5150</v>
      </c>
      <c r="AP1864" s="58"/>
      <c r="AQ1864" s="58" t="s">
        <v>131</v>
      </c>
      <c r="AR1864" s="58" t="s">
        <v>2016</v>
      </c>
      <c r="AS1864" s="58" t="s">
        <v>227</v>
      </c>
      <c r="AT1864" s="182"/>
      <c r="AU1864" s="181" t="s">
        <v>7494</v>
      </c>
      <c r="AV1864" s="185" t="s">
        <v>176</v>
      </c>
      <c r="AW1864" s="58"/>
      <c r="AX1864" s="185" t="s">
        <v>176</v>
      </c>
      <c r="AY1864" s="58"/>
      <c r="AZ1864" s="58" t="s">
        <v>1976</v>
      </c>
      <c r="BA1864" s="58" t="s">
        <v>1976</v>
      </c>
      <c r="BB1864" s="58" t="s">
        <v>2081</v>
      </c>
      <c r="BC1864" s="58" t="s">
        <v>2081</v>
      </c>
      <c r="BD1864" s="55" t="s">
        <v>176</v>
      </c>
      <c r="BE1864" s="236" t="s">
        <v>2015</v>
      </c>
      <c r="BF1864" s="191" t="s">
        <v>176</v>
      </c>
      <c r="BG1864" s="58" t="s">
        <v>479</v>
      </c>
      <c r="BH1864" s="236"/>
      <c r="BI1864" s="58"/>
      <c r="BK1864" s="58" t="s">
        <v>5976</v>
      </c>
      <c r="BL1864" s="58"/>
      <c r="BM1864" s="237" t="s">
        <v>119</v>
      </c>
      <c r="BN1864" s="58">
        <v>3</v>
      </c>
      <c r="BO1864" s="58">
        <v>3</v>
      </c>
      <c r="BP1864" s="58"/>
      <c r="BQ1864" s="58" t="s">
        <v>141</v>
      </c>
      <c r="BR1864" s="58"/>
      <c r="BS1864" s="58"/>
      <c r="BU1864" s="58"/>
      <c r="BV1864" s="58"/>
      <c r="CB1864" s="68"/>
      <c r="CC1864" s="68"/>
      <c r="CD1864" s="68"/>
      <c r="CE1864" s="67"/>
      <c r="CH1864" s="94">
        <v>2.6832200000000004</v>
      </c>
      <c r="CI1864" s="94">
        <v>2.6588599999999998</v>
      </c>
      <c r="CM1864" s="67">
        <v>0.76</v>
      </c>
      <c r="CN1864" s="67">
        <v>0.79501822437220948</v>
      </c>
      <c r="CR1864" s="67"/>
      <c r="CS1864" s="67"/>
      <c r="CV1864" s="65" t="s">
        <v>3039</v>
      </c>
      <c r="DA1864" s="65" t="s">
        <v>4458</v>
      </c>
      <c r="GP1864" s="292" t="s">
        <v>7494</v>
      </c>
      <c r="JU1864" s="58"/>
      <c r="JV1864" s="58"/>
    </row>
    <row r="1865" spans="1:282" x14ac:dyDescent="0.25">
      <c r="A1865" s="55">
        <v>1864</v>
      </c>
      <c r="B1865" s="12" t="s">
        <v>7067</v>
      </c>
      <c r="C1865" s="156">
        <v>89</v>
      </c>
      <c r="D1865" s="58" t="s">
        <v>4059</v>
      </c>
      <c r="E1865" s="94" t="s">
        <v>2014</v>
      </c>
      <c r="F1865" s="94"/>
      <c r="G1865" s="58"/>
      <c r="H1865" s="58">
        <v>1997</v>
      </c>
      <c r="I1865" s="58">
        <v>1993</v>
      </c>
      <c r="J1865" s="58" t="s">
        <v>2013</v>
      </c>
      <c r="K1865" s="58" t="s">
        <v>2012</v>
      </c>
      <c r="L1865" s="58" t="s">
        <v>2737</v>
      </c>
      <c r="M1865" s="94">
        <v>47.87</v>
      </c>
      <c r="N1865" s="94">
        <v>-121.82</v>
      </c>
      <c r="O1865" s="92">
        <v>114</v>
      </c>
      <c r="P1865" s="61">
        <v>10.7</v>
      </c>
      <c r="Q1865" s="58"/>
      <c r="R1865" s="61">
        <v>1633</v>
      </c>
      <c r="S1865" s="94"/>
      <c r="T1865" s="58"/>
      <c r="U1865" s="58">
        <v>7</v>
      </c>
      <c r="V1865" s="58" t="s">
        <v>1940</v>
      </c>
      <c r="Y1865" s="58" t="s">
        <v>2048</v>
      </c>
      <c r="Z1865" s="58" t="s">
        <v>1349</v>
      </c>
      <c r="AA1865" s="94">
        <v>15</v>
      </c>
      <c r="AD1865" s="94">
        <f>AVERAGE(Sheet1!CH1865:CI1865)</f>
        <v>1.339</v>
      </c>
      <c r="AE1865" s="92">
        <v>35</v>
      </c>
      <c r="AF1865" s="92">
        <v>55</v>
      </c>
      <c r="AG1865" s="92"/>
      <c r="AH1865" s="58" t="s">
        <v>6378</v>
      </c>
      <c r="AI1865" s="169"/>
      <c r="AJ1865" s="94"/>
      <c r="AK1865" s="94"/>
      <c r="AL1865" s="58"/>
      <c r="AM1865" s="58" t="s">
        <v>2011</v>
      </c>
      <c r="AN1865" s="186" t="s">
        <v>2018</v>
      </c>
      <c r="AO1865" s="185" t="s">
        <v>5150</v>
      </c>
      <c r="AP1865" s="58"/>
      <c r="AQ1865" s="58" t="s">
        <v>131</v>
      </c>
      <c r="AR1865" s="58" t="s">
        <v>2016</v>
      </c>
      <c r="AS1865" s="58" t="s">
        <v>227</v>
      </c>
      <c r="AT1865" s="182"/>
      <c r="AU1865" s="181" t="s">
        <v>7494</v>
      </c>
      <c r="AV1865" s="185" t="s">
        <v>176</v>
      </c>
      <c r="AW1865" s="58"/>
      <c r="AX1865" s="185" t="s">
        <v>176</v>
      </c>
      <c r="AY1865" s="58"/>
      <c r="AZ1865" s="58" t="s">
        <v>1976</v>
      </c>
      <c r="BA1865" s="58" t="s">
        <v>1976</v>
      </c>
      <c r="BB1865" s="58" t="s">
        <v>2081</v>
      </c>
      <c r="BC1865" s="58" t="s">
        <v>2081</v>
      </c>
      <c r="BD1865" s="55" t="s">
        <v>176</v>
      </c>
      <c r="BE1865" s="236" t="s">
        <v>2015</v>
      </c>
      <c r="BF1865" s="191" t="s">
        <v>176</v>
      </c>
      <c r="BG1865" s="58" t="s">
        <v>479</v>
      </c>
      <c r="BH1865" s="236"/>
      <c r="BI1865" s="58"/>
      <c r="BK1865" s="58" t="s">
        <v>5976</v>
      </c>
      <c r="BL1865" s="58"/>
      <c r="BM1865" s="237" t="s">
        <v>119</v>
      </c>
      <c r="BN1865" s="58">
        <v>3</v>
      </c>
      <c r="BO1865" s="58">
        <v>3</v>
      </c>
      <c r="BP1865" s="58"/>
      <c r="BQ1865" s="58" t="s">
        <v>141</v>
      </c>
      <c r="BR1865" s="58"/>
      <c r="BS1865" s="58">
        <v>4420</v>
      </c>
      <c r="BT1865" s="55">
        <v>54</v>
      </c>
      <c r="BU1865" s="58"/>
      <c r="BV1865" s="58"/>
      <c r="CB1865" s="68"/>
      <c r="CC1865" s="68"/>
      <c r="CD1865" s="68"/>
      <c r="CE1865" s="67"/>
      <c r="CH1865" s="94">
        <v>1.34422</v>
      </c>
      <c r="CI1865" s="94">
        <v>1.33378</v>
      </c>
      <c r="CM1865" s="67">
        <v>1.52</v>
      </c>
      <c r="CN1865" s="67">
        <v>1.58</v>
      </c>
      <c r="CR1865" s="67"/>
      <c r="CS1865" s="67"/>
      <c r="CV1865" s="65" t="s">
        <v>3039</v>
      </c>
      <c r="DA1865" s="65" t="s">
        <v>4458</v>
      </c>
      <c r="GP1865" s="292" t="s">
        <v>7494</v>
      </c>
      <c r="JU1865" s="58" t="s">
        <v>2043</v>
      </c>
      <c r="JV1865" s="58"/>
    </row>
    <row r="1866" spans="1:282" x14ac:dyDescent="0.25">
      <c r="A1866" s="55">
        <v>1865</v>
      </c>
      <c r="B1866" s="12" t="s">
        <v>7067</v>
      </c>
      <c r="C1866" s="156">
        <v>89</v>
      </c>
      <c r="D1866" s="58" t="s">
        <v>4060</v>
      </c>
      <c r="E1866" s="94" t="s">
        <v>2014</v>
      </c>
      <c r="F1866" s="94"/>
      <c r="G1866" s="58"/>
      <c r="H1866" s="58">
        <v>1997</v>
      </c>
      <c r="I1866" s="58">
        <v>1993</v>
      </c>
      <c r="J1866" s="58" t="s">
        <v>2013</v>
      </c>
      <c r="K1866" s="58" t="s">
        <v>2012</v>
      </c>
      <c r="L1866" s="58" t="s">
        <v>2737</v>
      </c>
      <c r="M1866" s="94">
        <v>47.87</v>
      </c>
      <c r="N1866" s="94">
        <v>-121.82</v>
      </c>
      <c r="O1866" s="92">
        <v>114</v>
      </c>
      <c r="P1866" s="61">
        <v>10.7</v>
      </c>
      <c r="Q1866" s="58"/>
      <c r="R1866" s="61">
        <v>1633</v>
      </c>
      <c r="S1866" s="94"/>
      <c r="T1866" s="58"/>
      <c r="U1866" s="58">
        <v>7</v>
      </c>
      <c r="V1866" s="58" t="s">
        <v>1940</v>
      </c>
      <c r="Y1866" s="58" t="s">
        <v>2048</v>
      </c>
      <c r="Z1866" s="58" t="s">
        <v>1357</v>
      </c>
      <c r="AA1866" s="94">
        <v>15</v>
      </c>
      <c r="AD1866" s="94">
        <f>AVERAGE(Sheet1!CH1866:CI1866)</f>
        <v>1.3468300000000002</v>
      </c>
      <c r="AE1866" s="92">
        <v>35</v>
      </c>
      <c r="AF1866" s="92">
        <v>55</v>
      </c>
      <c r="AG1866" s="92"/>
      <c r="AH1866" s="58" t="s">
        <v>6378</v>
      </c>
      <c r="AI1866" s="169"/>
      <c r="AJ1866" s="94"/>
      <c r="AK1866" s="94"/>
      <c r="AL1866" s="58"/>
      <c r="AM1866" s="58" t="s">
        <v>2011</v>
      </c>
      <c r="AN1866" s="186" t="s">
        <v>2018</v>
      </c>
      <c r="AO1866" s="185" t="s">
        <v>5150</v>
      </c>
      <c r="AP1866" s="58"/>
      <c r="AQ1866" s="58" t="s">
        <v>131</v>
      </c>
      <c r="AR1866" s="58" t="s">
        <v>2016</v>
      </c>
      <c r="AS1866" s="58" t="s">
        <v>227</v>
      </c>
      <c r="AT1866" s="182"/>
      <c r="AU1866" s="181" t="s">
        <v>7494</v>
      </c>
      <c r="AV1866" s="185" t="s">
        <v>176</v>
      </c>
      <c r="AW1866" s="58"/>
      <c r="AX1866" s="185" t="s">
        <v>176</v>
      </c>
      <c r="AY1866" s="58"/>
      <c r="AZ1866" s="58" t="s">
        <v>1976</v>
      </c>
      <c r="BA1866" s="58" t="s">
        <v>1976</v>
      </c>
      <c r="BB1866" s="58" t="s">
        <v>2081</v>
      </c>
      <c r="BC1866" s="58" t="s">
        <v>2081</v>
      </c>
      <c r="BD1866" s="55" t="s">
        <v>176</v>
      </c>
      <c r="BE1866" s="236" t="s">
        <v>2015</v>
      </c>
      <c r="BF1866" s="191" t="s">
        <v>176</v>
      </c>
      <c r="BG1866" s="58" t="s">
        <v>479</v>
      </c>
      <c r="BH1866" s="236"/>
      <c r="BI1866" s="58"/>
      <c r="BK1866" s="58" t="s">
        <v>5976</v>
      </c>
      <c r="BL1866" s="58"/>
      <c r="BM1866" s="237" t="s">
        <v>119</v>
      </c>
      <c r="BN1866" s="58">
        <v>3</v>
      </c>
      <c r="BO1866" s="58">
        <v>3</v>
      </c>
      <c r="BP1866" s="58"/>
      <c r="BQ1866" s="58" t="s">
        <v>141</v>
      </c>
      <c r="BR1866" s="58"/>
      <c r="BS1866" s="58"/>
      <c r="BU1866" s="58"/>
      <c r="BV1866" s="58"/>
      <c r="CB1866" s="68"/>
      <c r="CC1866" s="68"/>
      <c r="CD1866" s="68"/>
      <c r="CE1866" s="67"/>
      <c r="CH1866" s="94">
        <v>1.35118</v>
      </c>
      <c r="CI1866" s="94">
        <v>1.3424800000000001</v>
      </c>
      <c r="CM1866" s="67">
        <v>1.48</v>
      </c>
      <c r="CN1866" s="67">
        <v>1.53</v>
      </c>
      <c r="CR1866" s="67"/>
      <c r="CS1866" s="67"/>
      <c r="CV1866" s="65" t="s">
        <v>3039</v>
      </c>
      <c r="DA1866" s="65" t="s">
        <v>4458</v>
      </c>
      <c r="GP1866" s="292" t="s">
        <v>7494</v>
      </c>
      <c r="JU1866" s="58" t="s">
        <v>2043</v>
      </c>
      <c r="JV1866" s="58"/>
    </row>
    <row r="1867" spans="1:282" x14ac:dyDescent="0.25">
      <c r="A1867" s="55">
        <v>1866</v>
      </c>
      <c r="B1867" s="12" t="s">
        <v>7067</v>
      </c>
      <c r="C1867" s="156">
        <v>89</v>
      </c>
      <c r="D1867" s="58" t="s">
        <v>4061</v>
      </c>
      <c r="E1867" s="94" t="s">
        <v>2014</v>
      </c>
      <c r="F1867" s="94"/>
      <c r="G1867" s="58"/>
      <c r="H1867" s="58">
        <v>1997</v>
      </c>
      <c r="I1867" s="58">
        <v>1993</v>
      </c>
      <c r="J1867" s="58" t="s">
        <v>2013</v>
      </c>
      <c r="K1867" s="58" t="s">
        <v>2012</v>
      </c>
      <c r="L1867" s="58" t="s">
        <v>2737</v>
      </c>
      <c r="M1867" s="94">
        <v>47.87</v>
      </c>
      <c r="N1867" s="94">
        <v>-121.82</v>
      </c>
      <c r="O1867" s="92">
        <v>114</v>
      </c>
      <c r="P1867" s="61">
        <v>10.7</v>
      </c>
      <c r="Q1867" s="58"/>
      <c r="R1867" s="61">
        <v>1633</v>
      </c>
      <c r="S1867" s="94"/>
      <c r="T1867" s="58"/>
      <c r="U1867" s="58">
        <v>7</v>
      </c>
      <c r="V1867" s="58" t="s">
        <v>1940</v>
      </c>
      <c r="Y1867" s="58" t="s">
        <v>2048</v>
      </c>
      <c r="Z1867" s="58" t="s">
        <v>1356</v>
      </c>
      <c r="AA1867" s="94">
        <v>30</v>
      </c>
      <c r="AD1867" s="94">
        <f>AVERAGE(Sheet1!CH1867:CI1867)</f>
        <v>2.6858300000000002</v>
      </c>
      <c r="AE1867" s="92">
        <v>35</v>
      </c>
      <c r="AF1867" s="92">
        <v>55</v>
      </c>
      <c r="AG1867" s="92"/>
      <c r="AH1867" s="58" t="s">
        <v>6378</v>
      </c>
      <c r="AI1867" s="169"/>
      <c r="AJ1867" s="94"/>
      <c r="AK1867" s="94"/>
      <c r="AL1867" s="58"/>
      <c r="AM1867" s="58" t="s">
        <v>2011</v>
      </c>
      <c r="AN1867" s="186"/>
      <c r="AO1867" s="185" t="s">
        <v>5150</v>
      </c>
      <c r="AP1867" s="58"/>
      <c r="AQ1867" s="58" t="s">
        <v>131</v>
      </c>
      <c r="AR1867" s="58" t="s">
        <v>2016</v>
      </c>
      <c r="AS1867" s="58" t="s">
        <v>227</v>
      </c>
      <c r="AT1867" s="182"/>
      <c r="AU1867" s="181" t="s">
        <v>7494</v>
      </c>
      <c r="AV1867" s="185" t="s">
        <v>176</v>
      </c>
      <c r="AW1867" s="58"/>
      <c r="AX1867" s="185" t="s">
        <v>176</v>
      </c>
      <c r="AY1867" s="58"/>
      <c r="AZ1867" s="58" t="s">
        <v>1976</v>
      </c>
      <c r="BA1867" s="58" t="s">
        <v>1976</v>
      </c>
      <c r="BB1867" s="58" t="s">
        <v>2081</v>
      </c>
      <c r="BC1867" s="58" t="s">
        <v>2081</v>
      </c>
      <c r="BD1867" s="55" t="s">
        <v>176</v>
      </c>
      <c r="BE1867" s="236" t="s">
        <v>2015</v>
      </c>
      <c r="BF1867" s="191" t="s">
        <v>176</v>
      </c>
      <c r="BG1867" s="58" t="s">
        <v>479</v>
      </c>
      <c r="BH1867" s="236"/>
      <c r="BI1867" s="58"/>
      <c r="BK1867" s="58" t="s">
        <v>5976</v>
      </c>
      <c r="BL1867" s="58"/>
      <c r="BM1867" s="237" t="s">
        <v>119</v>
      </c>
      <c r="BN1867" s="58">
        <v>3</v>
      </c>
      <c r="BO1867" s="58">
        <v>3</v>
      </c>
      <c r="BP1867" s="58"/>
      <c r="BQ1867" s="58" t="s">
        <v>141</v>
      </c>
      <c r="BR1867" s="58"/>
      <c r="BS1867" s="58"/>
      <c r="BU1867" s="58"/>
      <c r="BV1867" s="58"/>
      <c r="CB1867" s="68"/>
      <c r="CC1867" s="68"/>
      <c r="CD1867" s="68"/>
      <c r="CE1867" s="67"/>
      <c r="CH1867" s="94">
        <v>2.6954000000000002</v>
      </c>
      <c r="CI1867" s="94">
        <v>2.6762600000000001</v>
      </c>
      <c r="CM1867" s="67">
        <v>0.74</v>
      </c>
      <c r="CN1867" s="67">
        <v>0.77193863619499892</v>
      </c>
      <c r="CR1867" s="67"/>
      <c r="CS1867" s="67"/>
      <c r="CV1867" s="65" t="s">
        <v>3039</v>
      </c>
      <c r="DA1867" s="65" t="s">
        <v>4458</v>
      </c>
      <c r="GP1867" s="292" t="s">
        <v>7494</v>
      </c>
      <c r="JU1867" s="58"/>
      <c r="JV1867" s="58"/>
    </row>
    <row r="1868" spans="1:282" x14ac:dyDescent="0.25">
      <c r="A1868" s="55">
        <v>1867</v>
      </c>
      <c r="B1868" s="12" t="s">
        <v>7067</v>
      </c>
      <c r="C1868" s="156">
        <v>89</v>
      </c>
      <c r="D1868" s="58" t="s">
        <v>4062</v>
      </c>
      <c r="E1868" s="94" t="s">
        <v>2014</v>
      </c>
      <c r="F1868" s="94"/>
      <c r="G1868" s="58"/>
      <c r="H1868" s="58">
        <v>1997</v>
      </c>
      <c r="I1868" s="58">
        <v>1992</v>
      </c>
      <c r="J1868" s="58" t="s">
        <v>2013</v>
      </c>
      <c r="K1868" s="58" t="s">
        <v>2012</v>
      </c>
      <c r="L1868" s="58" t="s">
        <v>2737</v>
      </c>
      <c r="M1868" s="94">
        <v>47.87</v>
      </c>
      <c r="N1868" s="94">
        <v>-121.82</v>
      </c>
      <c r="O1868" s="92">
        <v>114</v>
      </c>
      <c r="P1868" s="61">
        <v>10.7</v>
      </c>
      <c r="Q1868" s="58"/>
      <c r="R1868" s="61">
        <v>1633</v>
      </c>
      <c r="S1868" s="94"/>
      <c r="T1868" s="58"/>
      <c r="U1868" s="58">
        <v>6</v>
      </c>
      <c r="V1868" s="58" t="s">
        <v>1940</v>
      </c>
      <c r="Y1868" s="58" t="s">
        <v>2048</v>
      </c>
      <c r="Z1868" s="58" t="s">
        <v>1349</v>
      </c>
      <c r="AA1868" s="94">
        <v>15</v>
      </c>
      <c r="AD1868" s="94">
        <f>AVERAGE(Sheet1!CH1868:CI1868)</f>
        <v>1.3346499999999999</v>
      </c>
      <c r="AE1868" s="92">
        <v>35</v>
      </c>
      <c r="AF1868" s="92">
        <v>55</v>
      </c>
      <c r="AG1868" s="92"/>
      <c r="AH1868" s="58" t="s">
        <v>6378</v>
      </c>
      <c r="AI1868" s="169"/>
      <c r="AJ1868" s="94"/>
      <c r="AK1868" s="94"/>
      <c r="AL1868" s="58"/>
      <c r="AM1868" s="58" t="s">
        <v>2011</v>
      </c>
      <c r="AN1868" s="186" t="s">
        <v>1982</v>
      </c>
      <c r="AO1868" s="185" t="s">
        <v>5150</v>
      </c>
      <c r="AP1868" s="58"/>
      <c r="AQ1868" s="58" t="s">
        <v>553</v>
      </c>
      <c r="AR1868" s="58" t="s">
        <v>2016</v>
      </c>
      <c r="AS1868" s="58" t="s">
        <v>227</v>
      </c>
      <c r="AT1868" s="182"/>
      <c r="AU1868" s="181" t="s">
        <v>7494</v>
      </c>
      <c r="AV1868" s="185" t="s">
        <v>176</v>
      </c>
      <c r="AW1868" s="58"/>
      <c r="AX1868" s="185" t="s">
        <v>176</v>
      </c>
      <c r="AY1868" s="58"/>
      <c r="AZ1868" s="58" t="s">
        <v>1976</v>
      </c>
      <c r="BA1868" s="58" t="s">
        <v>1976</v>
      </c>
      <c r="BB1868" s="58" t="s">
        <v>2081</v>
      </c>
      <c r="BC1868" s="58" t="s">
        <v>2081</v>
      </c>
      <c r="BD1868" s="55" t="s">
        <v>176</v>
      </c>
      <c r="BE1868" s="236" t="s">
        <v>2015</v>
      </c>
      <c r="BF1868" s="191" t="s">
        <v>176</v>
      </c>
      <c r="BG1868" s="58" t="s">
        <v>479</v>
      </c>
      <c r="BH1868" s="236"/>
      <c r="BI1868" s="58"/>
      <c r="BK1868" s="58" t="s">
        <v>5976</v>
      </c>
      <c r="BL1868" s="58"/>
      <c r="BM1868" s="237" t="s">
        <v>119</v>
      </c>
      <c r="BN1868" s="58">
        <v>3</v>
      </c>
      <c r="BO1868" s="58">
        <v>3</v>
      </c>
      <c r="BP1868" s="58"/>
      <c r="BQ1868" s="58" t="s">
        <v>141</v>
      </c>
      <c r="BR1868" s="58"/>
      <c r="BS1868" s="58">
        <v>2700</v>
      </c>
      <c r="BT1868" s="55">
        <v>10</v>
      </c>
      <c r="BU1868" s="58"/>
      <c r="BV1868" s="58"/>
      <c r="CB1868" s="68"/>
      <c r="CC1868" s="68"/>
      <c r="CD1868" s="68"/>
      <c r="CE1868" s="67"/>
      <c r="CH1868" s="94">
        <v>1.33552</v>
      </c>
      <c r="CI1868" s="94">
        <v>1.33378</v>
      </c>
      <c r="CM1868" s="67">
        <v>1.5699999999999998</v>
      </c>
      <c r="CN1868" s="67">
        <v>1.58</v>
      </c>
      <c r="CR1868" s="67"/>
      <c r="CS1868" s="67"/>
      <c r="CV1868" s="65" t="s">
        <v>3039</v>
      </c>
      <c r="DA1868" s="65" t="s">
        <v>4458</v>
      </c>
      <c r="GP1868" s="292" t="s">
        <v>7494</v>
      </c>
      <c r="JU1868" s="58" t="s">
        <v>2043</v>
      </c>
      <c r="JV1868" s="58"/>
    </row>
    <row r="1869" spans="1:282" x14ac:dyDescent="0.25">
      <c r="A1869" s="55">
        <v>1868</v>
      </c>
      <c r="B1869" s="12" t="s">
        <v>7067</v>
      </c>
      <c r="C1869" s="156">
        <v>89</v>
      </c>
      <c r="D1869" s="58" t="s">
        <v>4063</v>
      </c>
      <c r="E1869" s="94" t="s">
        <v>2014</v>
      </c>
      <c r="F1869" s="94"/>
      <c r="G1869" s="58"/>
      <c r="H1869" s="58">
        <v>1997</v>
      </c>
      <c r="I1869" s="58">
        <v>1992</v>
      </c>
      <c r="J1869" s="58" t="s">
        <v>2013</v>
      </c>
      <c r="K1869" s="58" t="s">
        <v>2012</v>
      </c>
      <c r="L1869" s="58" t="s">
        <v>2737</v>
      </c>
      <c r="M1869" s="94">
        <v>47.87</v>
      </c>
      <c r="N1869" s="94">
        <v>-121.82</v>
      </c>
      <c r="O1869" s="92">
        <v>114</v>
      </c>
      <c r="P1869" s="61">
        <v>10.7</v>
      </c>
      <c r="Q1869" s="58"/>
      <c r="R1869" s="61">
        <v>1633</v>
      </c>
      <c r="S1869" s="94"/>
      <c r="T1869" s="58"/>
      <c r="U1869" s="58">
        <v>6</v>
      </c>
      <c r="V1869" s="58" t="s">
        <v>1940</v>
      </c>
      <c r="Y1869" s="58" t="s">
        <v>2048</v>
      </c>
      <c r="Z1869" s="58" t="s">
        <v>1357</v>
      </c>
      <c r="AA1869" s="94">
        <v>15</v>
      </c>
      <c r="AD1869" s="94">
        <f>AVERAGE(Sheet1!CH1869:CI1869)</f>
        <v>1.34857</v>
      </c>
      <c r="AE1869" s="92">
        <v>35</v>
      </c>
      <c r="AF1869" s="92">
        <v>55</v>
      </c>
      <c r="AG1869" s="92"/>
      <c r="AH1869" s="58" t="s">
        <v>6378</v>
      </c>
      <c r="AI1869" s="169"/>
      <c r="AJ1869" s="94"/>
      <c r="AK1869" s="94"/>
      <c r="AL1869" s="58"/>
      <c r="AM1869" s="58" t="s">
        <v>2011</v>
      </c>
      <c r="AN1869" s="186" t="s">
        <v>1982</v>
      </c>
      <c r="AO1869" s="185" t="s">
        <v>5150</v>
      </c>
      <c r="AP1869" s="58"/>
      <c r="AQ1869" s="58" t="s">
        <v>553</v>
      </c>
      <c r="AR1869" s="58" t="s">
        <v>2016</v>
      </c>
      <c r="AS1869" s="58" t="s">
        <v>227</v>
      </c>
      <c r="AT1869" s="182"/>
      <c r="AU1869" s="181" t="s">
        <v>7494</v>
      </c>
      <c r="AV1869" s="185" t="s">
        <v>176</v>
      </c>
      <c r="AW1869" s="58"/>
      <c r="AX1869" s="185" t="s">
        <v>176</v>
      </c>
      <c r="AY1869" s="58"/>
      <c r="AZ1869" s="58" t="s">
        <v>1976</v>
      </c>
      <c r="BA1869" s="58" t="s">
        <v>1976</v>
      </c>
      <c r="BB1869" s="58" t="s">
        <v>2081</v>
      </c>
      <c r="BC1869" s="58" t="s">
        <v>2081</v>
      </c>
      <c r="BD1869" s="55" t="s">
        <v>176</v>
      </c>
      <c r="BE1869" s="236" t="s">
        <v>2015</v>
      </c>
      <c r="BF1869" s="191" t="s">
        <v>176</v>
      </c>
      <c r="BG1869" s="58" t="s">
        <v>479</v>
      </c>
      <c r="BH1869" s="236"/>
      <c r="BI1869" s="58"/>
      <c r="BK1869" s="58" t="s">
        <v>5976</v>
      </c>
      <c r="BL1869" s="58"/>
      <c r="BM1869" s="237" t="s">
        <v>119</v>
      </c>
      <c r="BN1869" s="58">
        <v>3</v>
      </c>
      <c r="BO1869" s="58">
        <v>3</v>
      </c>
      <c r="BP1869" s="58"/>
      <c r="BQ1869" s="58" t="s">
        <v>141</v>
      </c>
      <c r="BR1869" s="58"/>
      <c r="BS1869" s="58"/>
      <c r="BT1869" s="58"/>
      <c r="BU1869" s="58"/>
      <c r="BV1869" s="58"/>
      <c r="CB1869" s="68"/>
      <c r="CC1869" s="68"/>
      <c r="CD1869" s="68"/>
      <c r="CE1869" s="67"/>
      <c r="CH1869" s="94">
        <v>1.3477000000000001</v>
      </c>
      <c r="CI1869" s="94">
        <v>1.34944</v>
      </c>
      <c r="CM1869" s="67">
        <v>1.5</v>
      </c>
      <c r="CN1869" s="67">
        <v>1.49</v>
      </c>
      <c r="CR1869" s="67"/>
      <c r="CS1869" s="67"/>
      <c r="CV1869" s="65" t="s">
        <v>3039</v>
      </c>
      <c r="DA1869" s="65" t="s">
        <v>4458</v>
      </c>
      <c r="GP1869" s="292" t="s">
        <v>7494</v>
      </c>
      <c r="JU1869" s="58" t="s">
        <v>2043</v>
      </c>
      <c r="JV1869" s="58"/>
    </row>
    <row r="1870" spans="1:282" x14ac:dyDescent="0.25">
      <c r="A1870" s="55">
        <v>1869</v>
      </c>
      <c r="B1870" s="12" t="s">
        <v>7067</v>
      </c>
      <c r="C1870" s="156">
        <v>89</v>
      </c>
      <c r="D1870" s="58" t="s">
        <v>4064</v>
      </c>
      <c r="E1870" s="94" t="s">
        <v>2014</v>
      </c>
      <c r="F1870" s="94"/>
      <c r="G1870" s="58"/>
      <c r="H1870" s="58">
        <v>1997</v>
      </c>
      <c r="I1870" s="58">
        <v>1992</v>
      </c>
      <c r="J1870" s="58" t="s">
        <v>2013</v>
      </c>
      <c r="K1870" s="58" t="s">
        <v>2012</v>
      </c>
      <c r="L1870" s="58" t="s">
        <v>2737</v>
      </c>
      <c r="M1870" s="94">
        <v>47.87</v>
      </c>
      <c r="N1870" s="94">
        <v>-121.82</v>
      </c>
      <c r="O1870" s="92">
        <v>114</v>
      </c>
      <c r="P1870" s="61">
        <v>10.7</v>
      </c>
      <c r="Q1870" s="58"/>
      <c r="R1870" s="61">
        <v>1633</v>
      </c>
      <c r="S1870" s="94"/>
      <c r="T1870" s="58"/>
      <c r="U1870" s="58">
        <v>6</v>
      </c>
      <c r="V1870" s="58" t="s">
        <v>1940</v>
      </c>
      <c r="Y1870" s="58" t="s">
        <v>2048</v>
      </c>
      <c r="Z1870" s="58" t="s">
        <v>1356</v>
      </c>
      <c r="AA1870" s="94">
        <v>30</v>
      </c>
      <c r="AD1870" s="94">
        <f>AVERAGE(Sheet1!CH1870:CI1870)</f>
        <v>1.475155</v>
      </c>
      <c r="AE1870" s="92">
        <v>35</v>
      </c>
      <c r="AF1870" s="92">
        <v>55</v>
      </c>
      <c r="AG1870" s="92"/>
      <c r="AH1870" s="58" t="s">
        <v>6378</v>
      </c>
      <c r="AI1870" s="169"/>
      <c r="AJ1870" s="94"/>
      <c r="AK1870" s="94"/>
      <c r="AL1870" s="58"/>
      <c r="AM1870" s="58" t="s">
        <v>2011</v>
      </c>
      <c r="AN1870" s="186"/>
      <c r="AO1870" s="185" t="s">
        <v>5150</v>
      </c>
      <c r="AP1870" s="58"/>
      <c r="AQ1870" s="58" t="s">
        <v>553</v>
      </c>
      <c r="AR1870" s="58" t="s">
        <v>2016</v>
      </c>
      <c r="AS1870" s="58" t="s">
        <v>227</v>
      </c>
      <c r="AT1870" s="182"/>
      <c r="AU1870" s="181" t="s">
        <v>7494</v>
      </c>
      <c r="AV1870" s="185" t="s">
        <v>176</v>
      </c>
      <c r="AW1870" s="58"/>
      <c r="AX1870" s="185" t="s">
        <v>176</v>
      </c>
      <c r="AY1870" s="58"/>
      <c r="AZ1870" s="58" t="s">
        <v>1976</v>
      </c>
      <c r="BA1870" s="58" t="s">
        <v>1976</v>
      </c>
      <c r="BB1870" s="58" t="s">
        <v>2081</v>
      </c>
      <c r="BC1870" s="58" t="s">
        <v>2081</v>
      </c>
      <c r="BD1870" s="55" t="s">
        <v>176</v>
      </c>
      <c r="BE1870" s="236" t="s">
        <v>2015</v>
      </c>
      <c r="BF1870" s="191" t="s">
        <v>176</v>
      </c>
      <c r="BG1870" s="58" t="s">
        <v>479</v>
      </c>
      <c r="BH1870" s="236"/>
      <c r="BI1870" s="58"/>
      <c r="BK1870" s="58" t="s">
        <v>5976</v>
      </c>
      <c r="BL1870" s="58"/>
      <c r="BM1870" s="237" t="s">
        <v>119</v>
      </c>
      <c r="BN1870" s="58">
        <v>3</v>
      </c>
      <c r="BO1870" s="58">
        <v>3</v>
      </c>
      <c r="BP1870" s="58"/>
      <c r="BQ1870" s="58" t="s">
        <v>141</v>
      </c>
      <c r="BR1870" s="58"/>
      <c r="BS1870" s="58"/>
      <c r="BT1870" s="58"/>
      <c r="BU1870" s="58"/>
      <c r="BV1870" s="58"/>
      <c r="CB1870" s="68"/>
      <c r="CC1870" s="68"/>
      <c r="CD1870" s="68"/>
      <c r="CE1870" s="67"/>
      <c r="CH1870" s="94">
        <v>1.34161</v>
      </c>
      <c r="CI1870" s="94">
        <v>1.6087</v>
      </c>
      <c r="CM1870" s="67">
        <v>1.5349999999999999</v>
      </c>
      <c r="CN1870" s="67">
        <v>1.5347373677894471</v>
      </c>
      <c r="CR1870" s="67"/>
      <c r="CS1870" s="67"/>
      <c r="CV1870" s="65" t="s">
        <v>3039</v>
      </c>
      <c r="DA1870" s="65" t="s">
        <v>4458</v>
      </c>
      <c r="GP1870" s="292" t="s">
        <v>7494</v>
      </c>
      <c r="JU1870" s="58"/>
      <c r="JV1870" s="58"/>
    </row>
    <row r="1871" spans="1:282" x14ac:dyDescent="0.25">
      <c r="A1871" s="55">
        <v>1870</v>
      </c>
      <c r="B1871" s="12" t="s">
        <v>7067</v>
      </c>
      <c r="C1871" s="156">
        <v>89</v>
      </c>
      <c r="D1871" s="58" t="s">
        <v>4062</v>
      </c>
      <c r="E1871" s="94" t="s">
        <v>2014</v>
      </c>
      <c r="F1871" s="94"/>
      <c r="G1871" s="58"/>
      <c r="H1871" s="58">
        <v>1997</v>
      </c>
      <c r="I1871" s="58">
        <v>1993</v>
      </c>
      <c r="J1871" s="58" t="s">
        <v>2013</v>
      </c>
      <c r="K1871" s="58" t="s">
        <v>2012</v>
      </c>
      <c r="L1871" s="58" t="s">
        <v>2737</v>
      </c>
      <c r="M1871" s="94">
        <v>47.87</v>
      </c>
      <c r="N1871" s="94">
        <v>-121.82</v>
      </c>
      <c r="O1871" s="92">
        <v>114</v>
      </c>
      <c r="P1871" s="61">
        <v>10.7</v>
      </c>
      <c r="Q1871" s="58"/>
      <c r="R1871" s="61">
        <v>1633</v>
      </c>
      <c r="S1871" s="94"/>
      <c r="T1871" s="58"/>
      <c r="U1871" s="58">
        <v>7</v>
      </c>
      <c r="V1871" s="58" t="s">
        <v>1940</v>
      </c>
      <c r="Y1871" s="58" t="s">
        <v>2048</v>
      </c>
      <c r="Z1871" s="58" t="s">
        <v>1349</v>
      </c>
      <c r="AA1871" s="94">
        <v>15</v>
      </c>
      <c r="AD1871" s="94">
        <f>AVERAGE(Sheet1!CH1871:CI1871)</f>
        <v>1.3424800000000001</v>
      </c>
      <c r="AE1871" s="92">
        <v>35</v>
      </c>
      <c r="AF1871" s="92">
        <v>55</v>
      </c>
      <c r="AG1871" s="92"/>
      <c r="AH1871" s="58" t="s">
        <v>6378</v>
      </c>
      <c r="AI1871" s="169"/>
      <c r="AJ1871" s="94"/>
      <c r="AK1871" s="94"/>
      <c r="AL1871" s="58"/>
      <c r="AM1871" s="58" t="s">
        <v>2011</v>
      </c>
      <c r="AN1871" s="186" t="s">
        <v>1982</v>
      </c>
      <c r="AO1871" s="185" t="s">
        <v>5150</v>
      </c>
      <c r="AP1871" s="58"/>
      <c r="AQ1871" s="58" t="s">
        <v>553</v>
      </c>
      <c r="AR1871" s="58" t="s">
        <v>2016</v>
      </c>
      <c r="AS1871" s="58" t="s">
        <v>227</v>
      </c>
      <c r="AT1871" s="182"/>
      <c r="AU1871" s="181" t="s">
        <v>7494</v>
      </c>
      <c r="AV1871" s="185" t="s">
        <v>176</v>
      </c>
      <c r="AW1871" s="58"/>
      <c r="AX1871" s="185" t="s">
        <v>176</v>
      </c>
      <c r="AY1871" s="58"/>
      <c r="AZ1871" s="58" t="s">
        <v>1976</v>
      </c>
      <c r="BA1871" s="58" t="s">
        <v>1976</v>
      </c>
      <c r="BB1871" s="58" t="s">
        <v>2081</v>
      </c>
      <c r="BC1871" s="58" t="s">
        <v>2081</v>
      </c>
      <c r="BD1871" s="55" t="s">
        <v>176</v>
      </c>
      <c r="BE1871" s="236" t="s">
        <v>2015</v>
      </c>
      <c r="BF1871" s="191" t="s">
        <v>176</v>
      </c>
      <c r="BG1871" s="58" t="s">
        <v>479</v>
      </c>
      <c r="BH1871" s="236"/>
      <c r="BI1871" s="58"/>
      <c r="BK1871" s="58" t="s">
        <v>5976</v>
      </c>
      <c r="BL1871" s="58"/>
      <c r="BM1871" s="237" t="s">
        <v>119</v>
      </c>
      <c r="BN1871" s="58">
        <v>3</v>
      </c>
      <c r="BO1871" s="58">
        <v>3</v>
      </c>
      <c r="BP1871" s="58"/>
      <c r="BQ1871" s="58" t="s">
        <v>141</v>
      </c>
      <c r="BR1871" s="58"/>
      <c r="BS1871" s="58">
        <v>3480</v>
      </c>
      <c r="BT1871" s="58">
        <v>10</v>
      </c>
      <c r="BU1871" s="58"/>
      <c r="BV1871" s="58"/>
      <c r="CB1871" s="68"/>
      <c r="CC1871" s="68"/>
      <c r="CD1871" s="68"/>
      <c r="CE1871" s="67"/>
      <c r="CH1871" s="94">
        <v>1.34422</v>
      </c>
      <c r="CI1871" s="94">
        <v>1.34074</v>
      </c>
      <c r="CM1871" s="67">
        <v>1.52</v>
      </c>
      <c r="CN1871" s="67">
        <v>1.54</v>
      </c>
      <c r="CR1871" s="67"/>
      <c r="CS1871" s="67"/>
      <c r="CV1871" s="65" t="s">
        <v>3039</v>
      </c>
      <c r="DA1871" s="65" t="s">
        <v>4458</v>
      </c>
      <c r="GP1871" s="292" t="s">
        <v>7494</v>
      </c>
      <c r="JU1871" s="58" t="s">
        <v>2043</v>
      </c>
      <c r="JV1871" s="58"/>
    </row>
    <row r="1872" spans="1:282" x14ac:dyDescent="0.25">
      <c r="A1872" s="55">
        <v>1871</v>
      </c>
      <c r="B1872" s="12" t="s">
        <v>7067</v>
      </c>
      <c r="C1872" s="156">
        <v>89</v>
      </c>
      <c r="D1872" s="58" t="s">
        <v>4063</v>
      </c>
      <c r="E1872" s="94" t="s">
        <v>2014</v>
      </c>
      <c r="F1872" s="94"/>
      <c r="G1872" s="58"/>
      <c r="H1872" s="58">
        <v>1997</v>
      </c>
      <c r="I1872" s="58">
        <v>1993</v>
      </c>
      <c r="J1872" s="58" t="s">
        <v>2013</v>
      </c>
      <c r="K1872" s="58" t="s">
        <v>2012</v>
      </c>
      <c r="L1872" s="58" t="s">
        <v>2737</v>
      </c>
      <c r="M1872" s="94">
        <v>47.87</v>
      </c>
      <c r="N1872" s="94">
        <v>-121.82</v>
      </c>
      <c r="O1872" s="92">
        <v>114</v>
      </c>
      <c r="P1872" s="61">
        <v>10.7</v>
      </c>
      <c r="Q1872" s="58"/>
      <c r="R1872" s="61">
        <v>1633</v>
      </c>
      <c r="S1872" s="94"/>
      <c r="T1872" s="58"/>
      <c r="U1872" s="58">
        <v>7</v>
      </c>
      <c r="V1872" s="58" t="s">
        <v>1940</v>
      </c>
      <c r="Y1872" s="58" t="s">
        <v>2048</v>
      </c>
      <c r="Z1872" s="58" t="s">
        <v>1357</v>
      </c>
      <c r="AA1872" s="94">
        <v>15</v>
      </c>
      <c r="AD1872" s="94">
        <f>AVERAGE(Sheet1!CH1872:CI1872)</f>
        <v>1.35379</v>
      </c>
      <c r="AE1872" s="92">
        <v>35</v>
      </c>
      <c r="AF1872" s="92">
        <v>55</v>
      </c>
      <c r="AG1872" s="92"/>
      <c r="AH1872" s="58" t="s">
        <v>6378</v>
      </c>
      <c r="AI1872" s="169"/>
      <c r="AJ1872" s="94"/>
      <c r="AK1872" s="94"/>
      <c r="AL1872" s="58"/>
      <c r="AM1872" s="58" t="s">
        <v>2011</v>
      </c>
      <c r="AN1872" s="186" t="s">
        <v>1982</v>
      </c>
      <c r="AO1872" s="185" t="s">
        <v>5150</v>
      </c>
      <c r="AP1872" s="58"/>
      <c r="AQ1872" s="58" t="s">
        <v>553</v>
      </c>
      <c r="AR1872" s="58" t="s">
        <v>2016</v>
      </c>
      <c r="AS1872" s="58" t="s">
        <v>227</v>
      </c>
      <c r="AT1872" s="182"/>
      <c r="AU1872" s="181" t="s">
        <v>7494</v>
      </c>
      <c r="AV1872" s="185" t="s">
        <v>176</v>
      </c>
      <c r="AW1872" s="58"/>
      <c r="AX1872" s="185" t="s">
        <v>176</v>
      </c>
      <c r="AY1872" s="58"/>
      <c r="AZ1872" s="58" t="s">
        <v>1976</v>
      </c>
      <c r="BA1872" s="58" t="s">
        <v>1976</v>
      </c>
      <c r="BB1872" s="58" t="s">
        <v>2081</v>
      </c>
      <c r="BC1872" s="58" t="s">
        <v>2081</v>
      </c>
      <c r="BD1872" s="55" t="s">
        <v>176</v>
      </c>
      <c r="BE1872" s="236" t="s">
        <v>2015</v>
      </c>
      <c r="BF1872" s="191" t="s">
        <v>176</v>
      </c>
      <c r="BG1872" s="58" t="s">
        <v>479</v>
      </c>
      <c r="BH1872" s="236"/>
      <c r="BI1872" s="58"/>
      <c r="BK1872" s="58" t="s">
        <v>5976</v>
      </c>
      <c r="BL1872" s="58"/>
      <c r="BM1872" s="237" t="s">
        <v>119</v>
      </c>
      <c r="BN1872" s="58">
        <v>3</v>
      </c>
      <c r="BO1872" s="58">
        <v>3</v>
      </c>
      <c r="BP1872" s="58"/>
      <c r="BQ1872" s="58" t="s">
        <v>141</v>
      </c>
      <c r="BR1872" s="58"/>
      <c r="BS1872" s="58"/>
      <c r="BT1872" s="58"/>
      <c r="BU1872" s="58"/>
      <c r="BV1872" s="58"/>
      <c r="CB1872" s="68"/>
      <c r="CC1872" s="68"/>
      <c r="CD1872" s="68"/>
      <c r="CE1872" s="67"/>
      <c r="CH1872" s="94">
        <v>1.35118</v>
      </c>
      <c r="CI1872" s="94">
        <v>1.3564000000000001</v>
      </c>
      <c r="CM1872" s="67">
        <v>1.48</v>
      </c>
      <c r="CN1872" s="67">
        <v>1.45</v>
      </c>
      <c r="CR1872" s="67"/>
      <c r="CS1872" s="67"/>
      <c r="CV1872" s="65" t="s">
        <v>3039</v>
      </c>
      <c r="DA1872" s="65" t="s">
        <v>4458</v>
      </c>
      <c r="GP1872" s="292" t="s">
        <v>7494</v>
      </c>
      <c r="JU1872" s="58" t="s">
        <v>2043</v>
      </c>
      <c r="JV1872" s="58"/>
    </row>
    <row r="1873" spans="1:282" x14ac:dyDescent="0.25">
      <c r="A1873" s="55">
        <v>1872</v>
      </c>
      <c r="B1873" s="12" t="s">
        <v>7067</v>
      </c>
      <c r="C1873" s="156">
        <v>89</v>
      </c>
      <c r="D1873" s="58" t="s">
        <v>4064</v>
      </c>
      <c r="E1873" s="94" t="s">
        <v>2014</v>
      </c>
      <c r="F1873" s="94"/>
      <c r="G1873" s="58"/>
      <c r="H1873" s="58">
        <v>1997</v>
      </c>
      <c r="I1873" s="58">
        <v>1993</v>
      </c>
      <c r="J1873" s="58" t="s">
        <v>2013</v>
      </c>
      <c r="K1873" s="58" t="s">
        <v>2012</v>
      </c>
      <c r="L1873" s="58" t="s">
        <v>2737</v>
      </c>
      <c r="M1873" s="94">
        <v>47.87</v>
      </c>
      <c r="N1873" s="94">
        <v>-121.82</v>
      </c>
      <c r="O1873" s="92">
        <v>114</v>
      </c>
      <c r="P1873" s="61">
        <v>10.7</v>
      </c>
      <c r="Q1873" s="58"/>
      <c r="R1873" s="61">
        <v>1633</v>
      </c>
      <c r="S1873" s="94"/>
      <c r="T1873" s="58"/>
      <c r="U1873" s="58">
        <v>7</v>
      </c>
      <c r="V1873" s="58" t="s">
        <v>1940</v>
      </c>
      <c r="Y1873" s="58" t="s">
        <v>2048</v>
      </c>
      <c r="Z1873" s="58" t="s">
        <v>1356</v>
      </c>
      <c r="AA1873" s="94">
        <v>30</v>
      </c>
      <c r="AD1873" s="94">
        <f>AVERAGE(Sheet1!CH1873:CI1873)</f>
        <v>1.4782000000000002</v>
      </c>
      <c r="AE1873" s="92">
        <v>35</v>
      </c>
      <c r="AF1873" s="92">
        <v>55</v>
      </c>
      <c r="AG1873" s="92"/>
      <c r="AH1873" s="58" t="s">
        <v>6378</v>
      </c>
      <c r="AI1873" s="169"/>
      <c r="AJ1873" s="94"/>
      <c r="AK1873" s="94"/>
      <c r="AL1873" s="58"/>
      <c r="AM1873" s="58" t="s">
        <v>2011</v>
      </c>
      <c r="AN1873" s="186"/>
      <c r="AO1873" s="185" t="s">
        <v>5150</v>
      </c>
      <c r="AP1873" s="58"/>
      <c r="AQ1873" s="58" t="s">
        <v>553</v>
      </c>
      <c r="AR1873" s="58" t="s">
        <v>2016</v>
      </c>
      <c r="AS1873" s="58" t="s">
        <v>227</v>
      </c>
      <c r="AT1873" s="182"/>
      <c r="AU1873" s="181" t="s">
        <v>7494</v>
      </c>
      <c r="AV1873" s="185" t="s">
        <v>176</v>
      </c>
      <c r="AW1873" s="58"/>
      <c r="AX1873" s="185" t="s">
        <v>176</v>
      </c>
      <c r="AY1873" s="58"/>
      <c r="AZ1873" s="58" t="s">
        <v>1976</v>
      </c>
      <c r="BA1873" s="58" t="s">
        <v>1976</v>
      </c>
      <c r="BB1873" s="58" t="s">
        <v>2081</v>
      </c>
      <c r="BC1873" s="58" t="s">
        <v>2081</v>
      </c>
      <c r="BD1873" s="55" t="s">
        <v>176</v>
      </c>
      <c r="BE1873" s="236" t="s">
        <v>2015</v>
      </c>
      <c r="BF1873" s="191" t="s">
        <v>176</v>
      </c>
      <c r="BG1873" s="58" t="s">
        <v>479</v>
      </c>
      <c r="BH1873" s="236"/>
      <c r="BI1873" s="58"/>
      <c r="BK1873" s="58" t="s">
        <v>5976</v>
      </c>
      <c r="BL1873" s="58"/>
      <c r="BM1873" s="237" t="s">
        <v>119</v>
      </c>
      <c r="BN1873" s="58">
        <v>3</v>
      </c>
      <c r="BO1873" s="58">
        <v>3</v>
      </c>
      <c r="BP1873" s="58"/>
      <c r="BQ1873" s="58" t="s">
        <v>141</v>
      </c>
      <c r="BR1873" s="58"/>
      <c r="BS1873" s="58"/>
      <c r="BT1873" s="58"/>
      <c r="BU1873" s="58"/>
      <c r="BV1873" s="58"/>
      <c r="CB1873" s="68"/>
      <c r="CC1873" s="68"/>
      <c r="CD1873" s="68"/>
      <c r="CE1873" s="67"/>
      <c r="CH1873" s="94">
        <v>1.3477000000000001</v>
      </c>
      <c r="CI1873" s="94">
        <v>1.6087</v>
      </c>
      <c r="CM1873" s="67">
        <v>1.5</v>
      </c>
      <c r="CN1873" s="67">
        <v>1.4957036432440454</v>
      </c>
      <c r="CR1873" s="67"/>
      <c r="CS1873" s="67"/>
      <c r="CV1873" s="65" t="s">
        <v>3039</v>
      </c>
      <c r="DA1873" s="65" t="s">
        <v>4458</v>
      </c>
      <c r="GP1873" s="292" t="s">
        <v>7494</v>
      </c>
      <c r="JU1873" s="58"/>
      <c r="JV1873" s="58"/>
    </row>
    <row r="1874" spans="1:282" x14ac:dyDescent="0.25">
      <c r="A1874" s="55">
        <v>1873</v>
      </c>
      <c r="B1874" s="12" t="s">
        <v>7067</v>
      </c>
      <c r="C1874" s="156">
        <v>89</v>
      </c>
      <c r="D1874" s="58" t="s">
        <v>4065</v>
      </c>
      <c r="E1874" s="94" t="s">
        <v>2014</v>
      </c>
      <c r="F1874" s="94"/>
      <c r="G1874" s="58"/>
      <c r="H1874" s="58">
        <v>1997</v>
      </c>
      <c r="I1874" s="58">
        <v>1992</v>
      </c>
      <c r="J1874" s="58" t="s">
        <v>2013</v>
      </c>
      <c r="K1874" s="58" t="s">
        <v>2012</v>
      </c>
      <c r="L1874" s="58" t="s">
        <v>2737</v>
      </c>
      <c r="M1874" s="94">
        <v>47.87</v>
      </c>
      <c r="N1874" s="94">
        <v>-121.82</v>
      </c>
      <c r="O1874" s="92">
        <v>114</v>
      </c>
      <c r="P1874" s="61">
        <v>10.7</v>
      </c>
      <c r="Q1874" s="58"/>
      <c r="R1874" s="61">
        <v>1633</v>
      </c>
      <c r="S1874" s="94"/>
      <c r="T1874" s="58"/>
      <c r="U1874" s="58">
        <v>6</v>
      </c>
      <c r="V1874" s="58" t="s">
        <v>1940</v>
      </c>
      <c r="Y1874" s="58" t="s">
        <v>2048</v>
      </c>
      <c r="Z1874" s="58" t="s">
        <v>1349</v>
      </c>
      <c r="AA1874" s="94">
        <v>15</v>
      </c>
      <c r="AD1874" s="94">
        <f>AVERAGE(Sheet1!CH1874:CI1874)</f>
        <v>1.33813</v>
      </c>
      <c r="AE1874" s="92">
        <v>35</v>
      </c>
      <c r="AF1874" s="92">
        <v>55</v>
      </c>
      <c r="AG1874" s="92"/>
      <c r="AH1874" s="58" t="s">
        <v>6378</v>
      </c>
      <c r="AI1874" s="169"/>
      <c r="AJ1874" s="94"/>
      <c r="AK1874" s="94"/>
      <c r="AL1874" s="58"/>
      <c r="AM1874" s="58" t="s">
        <v>2011</v>
      </c>
      <c r="AN1874" s="186" t="s">
        <v>2017</v>
      </c>
      <c r="AO1874" s="185" t="s">
        <v>5150</v>
      </c>
      <c r="AP1874" s="58"/>
      <c r="AQ1874" s="58" t="s">
        <v>1097</v>
      </c>
      <c r="AR1874" s="58" t="s">
        <v>2016</v>
      </c>
      <c r="AS1874" s="58" t="s">
        <v>227</v>
      </c>
      <c r="AT1874" s="182"/>
      <c r="AU1874" s="181" t="s">
        <v>7494</v>
      </c>
      <c r="AV1874" s="185" t="s">
        <v>176</v>
      </c>
      <c r="AW1874" s="58"/>
      <c r="AX1874" s="185" t="s">
        <v>176</v>
      </c>
      <c r="AY1874" s="58"/>
      <c r="AZ1874" s="58" t="s">
        <v>1976</v>
      </c>
      <c r="BA1874" s="58" t="s">
        <v>1976</v>
      </c>
      <c r="BB1874" s="58" t="s">
        <v>2081</v>
      </c>
      <c r="BC1874" s="58" t="s">
        <v>2081</v>
      </c>
      <c r="BD1874" s="55" t="s">
        <v>176</v>
      </c>
      <c r="BE1874" s="236" t="s">
        <v>2015</v>
      </c>
      <c r="BF1874" s="191" t="s">
        <v>176</v>
      </c>
      <c r="BG1874" s="58" t="s">
        <v>479</v>
      </c>
      <c r="BH1874" s="236"/>
      <c r="BI1874" s="58"/>
      <c r="BK1874" s="58" t="s">
        <v>5976</v>
      </c>
      <c r="BL1874" s="58"/>
      <c r="BM1874" s="237" t="s">
        <v>119</v>
      </c>
      <c r="BN1874" s="58">
        <v>3</v>
      </c>
      <c r="BO1874" s="58">
        <v>3</v>
      </c>
      <c r="BP1874" s="58"/>
      <c r="BQ1874" s="58" t="s">
        <v>141</v>
      </c>
      <c r="BR1874" s="58"/>
      <c r="BS1874" s="58">
        <v>2590</v>
      </c>
      <c r="BT1874" s="58">
        <v>28</v>
      </c>
      <c r="BU1874" s="58"/>
      <c r="BV1874" s="58"/>
      <c r="CB1874" s="68"/>
      <c r="CC1874" s="68"/>
      <c r="CD1874" s="68"/>
      <c r="CE1874" s="67"/>
      <c r="CH1874" s="94">
        <v>1.33552</v>
      </c>
      <c r="CI1874" s="94">
        <v>1.34074</v>
      </c>
      <c r="CM1874" s="67">
        <v>1.5699999999999998</v>
      </c>
      <c r="CN1874" s="67">
        <v>1.54</v>
      </c>
      <c r="CR1874" s="67"/>
      <c r="CS1874" s="67"/>
      <c r="CV1874" s="65" t="s">
        <v>3039</v>
      </c>
      <c r="DA1874" s="65" t="s">
        <v>4458</v>
      </c>
      <c r="GP1874" s="292" t="s">
        <v>7494</v>
      </c>
      <c r="JU1874" s="58" t="s">
        <v>2043</v>
      </c>
      <c r="JV1874" s="58"/>
    </row>
    <row r="1875" spans="1:282" x14ac:dyDescent="0.25">
      <c r="A1875" s="55">
        <v>1874</v>
      </c>
      <c r="B1875" s="12" t="s">
        <v>7067</v>
      </c>
      <c r="C1875" s="156">
        <v>89</v>
      </c>
      <c r="D1875" s="58" t="s">
        <v>4066</v>
      </c>
      <c r="E1875" s="94" t="s">
        <v>2014</v>
      </c>
      <c r="F1875" s="94"/>
      <c r="G1875" s="58"/>
      <c r="H1875" s="58">
        <v>1997</v>
      </c>
      <c r="I1875" s="58">
        <v>1992</v>
      </c>
      <c r="J1875" s="58" t="s">
        <v>2013</v>
      </c>
      <c r="K1875" s="58" t="s">
        <v>2012</v>
      </c>
      <c r="L1875" s="58" t="s">
        <v>2737</v>
      </c>
      <c r="M1875" s="94">
        <v>47.87</v>
      </c>
      <c r="N1875" s="94">
        <v>-121.82</v>
      </c>
      <c r="O1875" s="92">
        <v>114</v>
      </c>
      <c r="P1875" s="61">
        <v>10.7</v>
      </c>
      <c r="Q1875" s="58"/>
      <c r="R1875" s="61">
        <v>1633</v>
      </c>
      <c r="S1875" s="94"/>
      <c r="T1875" s="58"/>
      <c r="U1875" s="58">
        <v>6</v>
      </c>
      <c r="V1875" s="58" t="s">
        <v>1940</v>
      </c>
      <c r="Y1875" s="58" t="s">
        <v>2048</v>
      </c>
      <c r="Z1875" s="58" t="s">
        <v>1357</v>
      </c>
      <c r="AA1875" s="94">
        <v>15</v>
      </c>
      <c r="AD1875" s="94">
        <f>AVERAGE(Sheet1!CH1875:CI1875)</f>
        <v>1.3529200000000001</v>
      </c>
      <c r="AE1875" s="92">
        <v>35</v>
      </c>
      <c r="AF1875" s="92">
        <v>55</v>
      </c>
      <c r="AG1875" s="92"/>
      <c r="AH1875" s="58" t="s">
        <v>6378</v>
      </c>
      <c r="AI1875" s="169"/>
      <c r="AJ1875" s="94"/>
      <c r="AK1875" s="94"/>
      <c r="AL1875" s="58"/>
      <c r="AM1875" s="58" t="s">
        <v>2011</v>
      </c>
      <c r="AN1875" s="186" t="s">
        <v>2017</v>
      </c>
      <c r="AO1875" s="185" t="s">
        <v>5150</v>
      </c>
      <c r="AP1875" s="58"/>
      <c r="AQ1875" s="58" t="s">
        <v>1097</v>
      </c>
      <c r="AR1875" s="58" t="s">
        <v>2016</v>
      </c>
      <c r="AS1875" s="58" t="s">
        <v>227</v>
      </c>
      <c r="AT1875" s="182"/>
      <c r="AU1875" s="181" t="s">
        <v>7494</v>
      </c>
      <c r="AV1875" s="185" t="s">
        <v>176</v>
      </c>
      <c r="AW1875" s="58"/>
      <c r="AX1875" s="185" t="s">
        <v>176</v>
      </c>
      <c r="AY1875" s="58"/>
      <c r="AZ1875" s="58" t="s">
        <v>1976</v>
      </c>
      <c r="BA1875" s="58" t="s">
        <v>1976</v>
      </c>
      <c r="BB1875" s="58" t="s">
        <v>2081</v>
      </c>
      <c r="BC1875" s="58" t="s">
        <v>2081</v>
      </c>
      <c r="BD1875" s="55" t="s">
        <v>176</v>
      </c>
      <c r="BE1875" s="236" t="s">
        <v>2015</v>
      </c>
      <c r="BF1875" s="191" t="s">
        <v>176</v>
      </c>
      <c r="BG1875" s="58" t="s">
        <v>479</v>
      </c>
      <c r="BH1875" s="236"/>
      <c r="BI1875" s="58"/>
      <c r="BK1875" s="58" t="s">
        <v>5976</v>
      </c>
      <c r="BL1875" s="58"/>
      <c r="BM1875" s="237" t="s">
        <v>119</v>
      </c>
      <c r="BN1875" s="58">
        <v>3</v>
      </c>
      <c r="BO1875" s="58">
        <v>3</v>
      </c>
      <c r="BP1875" s="58"/>
      <c r="BQ1875" s="58" t="s">
        <v>141</v>
      </c>
      <c r="BR1875" s="58"/>
      <c r="BS1875" s="58"/>
      <c r="BT1875" s="58"/>
      <c r="BU1875" s="58"/>
      <c r="BV1875" s="58"/>
      <c r="CB1875" s="68"/>
      <c r="CC1875" s="68"/>
      <c r="CD1875" s="68"/>
      <c r="CE1875" s="67"/>
      <c r="CH1875" s="94">
        <v>1.3477000000000001</v>
      </c>
      <c r="CI1875" s="94">
        <v>1.3581400000000001</v>
      </c>
      <c r="CM1875" s="67">
        <v>1.5</v>
      </c>
      <c r="CN1875" s="67">
        <v>1.44</v>
      </c>
      <c r="CR1875" s="67"/>
      <c r="CS1875" s="67"/>
      <c r="CV1875" s="65" t="s">
        <v>3039</v>
      </c>
      <c r="DA1875" s="65" t="s">
        <v>4458</v>
      </c>
      <c r="GP1875" s="292" t="s">
        <v>7494</v>
      </c>
      <c r="JU1875" s="58" t="s">
        <v>2043</v>
      </c>
      <c r="JV1875" s="58"/>
    </row>
    <row r="1876" spans="1:282" x14ac:dyDescent="0.25">
      <c r="A1876" s="55">
        <v>1875</v>
      </c>
      <c r="B1876" s="12" t="s">
        <v>7067</v>
      </c>
      <c r="C1876" s="156">
        <v>89</v>
      </c>
      <c r="D1876" s="58" t="s">
        <v>4067</v>
      </c>
      <c r="E1876" s="94" t="s">
        <v>2014</v>
      </c>
      <c r="F1876" s="94"/>
      <c r="G1876" s="58"/>
      <c r="H1876" s="58">
        <v>1997</v>
      </c>
      <c r="I1876" s="58">
        <v>1992</v>
      </c>
      <c r="J1876" s="58" t="s">
        <v>2013</v>
      </c>
      <c r="K1876" s="58" t="s">
        <v>2012</v>
      </c>
      <c r="L1876" s="58" t="s">
        <v>2737</v>
      </c>
      <c r="M1876" s="94">
        <v>47.87</v>
      </c>
      <c r="N1876" s="94">
        <v>-121.82</v>
      </c>
      <c r="O1876" s="92">
        <v>114</v>
      </c>
      <c r="P1876" s="61">
        <v>10.7</v>
      </c>
      <c r="Q1876" s="58"/>
      <c r="R1876" s="61">
        <v>1633</v>
      </c>
      <c r="S1876" s="94"/>
      <c r="T1876" s="58"/>
      <c r="U1876" s="58">
        <v>6</v>
      </c>
      <c r="V1876" s="58" t="s">
        <v>1940</v>
      </c>
      <c r="Y1876" s="58" t="s">
        <v>2048</v>
      </c>
      <c r="Z1876" s="58" t="s">
        <v>1356</v>
      </c>
      <c r="AA1876" s="94">
        <v>30</v>
      </c>
      <c r="AD1876" s="94">
        <f>AVERAGE(Sheet1!CH1876:CI1876)</f>
        <v>1.475155</v>
      </c>
      <c r="AE1876" s="92">
        <v>35</v>
      </c>
      <c r="AF1876" s="92">
        <v>55</v>
      </c>
      <c r="AG1876" s="92"/>
      <c r="AH1876" s="58" t="s">
        <v>6378</v>
      </c>
      <c r="AI1876" s="169"/>
      <c r="AJ1876" s="94"/>
      <c r="AK1876" s="94"/>
      <c r="AL1876" s="58"/>
      <c r="AM1876" s="58" t="s">
        <v>2011</v>
      </c>
      <c r="AN1876" s="186"/>
      <c r="AO1876" s="185" t="s">
        <v>5150</v>
      </c>
      <c r="AP1876" s="58"/>
      <c r="AQ1876" s="58" t="s">
        <v>1097</v>
      </c>
      <c r="AR1876" s="58" t="s">
        <v>2016</v>
      </c>
      <c r="AS1876" s="58" t="s">
        <v>227</v>
      </c>
      <c r="AT1876" s="182"/>
      <c r="AU1876" s="181" t="s">
        <v>7494</v>
      </c>
      <c r="AV1876" s="185" t="s">
        <v>176</v>
      </c>
      <c r="AW1876" s="58"/>
      <c r="AX1876" s="185" t="s">
        <v>176</v>
      </c>
      <c r="AY1876" s="58"/>
      <c r="AZ1876" s="58" t="s">
        <v>1976</v>
      </c>
      <c r="BA1876" s="58" t="s">
        <v>1976</v>
      </c>
      <c r="BB1876" s="58" t="s">
        <v>2081</v>
      </c>
      <c r="BC1876" s="58" t="s">
        <v>2081</v>
      </c>
      <c r="BD1876" s="55" t="s">
        <v>176</v>
      </c>
      <c r="BE1876" s="236" t="s">
        <v>2015</v>
      </c>
      <c r="BF1876" s="191" t="s">
        <v>176</v>
      </c>
      <c r="BG1876" s="58" t="s">
        <v>479</v>
      </c>
      <c r="BH1876" s="236"/>
      <c r="BI1876" s="58"/>
      <c r="BK1876" s="58" t="s">
        <v>5976</v>
      </c>
      <c r="BL1876" s="58"/>
      <c r="BM1876" s="237" t="s">
        <v>119</v>
      </c>
      <c r="BN1876" s="58">
        <v>3</v>
      </c>
      <c r="BO1876" s="58">
        <v>3</v>
      </c>
      <c r="BP1876" s="58"/>
      <c r="BQ1876" s="58" t="s">
        <v>141</v>
      </c>
      <c r="BR1876" s="58"/>
      <c r="BS1876" s="58"/>
      <c r="BT1876" s="58"/>
      <c r="BU1876" s="58"/>
      <c r="BV1876" s="58"/>
      <c r="CB1876" s="68"/>
      <c r="CC1876" s="68"/>
      <c r="CD1876" s="68"/>
      <c r="CE1876" s="67"/>
      <c r="CH1876" s="94">
        <v>1.34161</v>
      </c>
      <c r="CI1876" s="94">
        <v>1.6087</v>
      </c>
      <c r="CM1876" s="67">
        <v>1.5349999999999999</v>
      </c>
      <c r="CN1876" s="67">
        <v>1.4983718070079981</v>
      </c>
      <c r="CR1876" s="67"/>
      <c r="CS1876" s="67"/>
      <c r="CV1876" s="65" t="s">
        <v>3039</v>
      </c>
      <c r="DA1876" s="65" t="s">
        <v>4458</v>
      </c>
      <c r="GP1876" s="292" t="s">
        <v>7494</v>
      </c>
      <c r="JU1876" s="58"/>
      <c r="JV1876" s="58"/>
    </row>
    <row r="1877" spans="1:282" x14ac:dyDescent="0.25">
      <c r="A1877" s="55">
        <v>1876</v>
      </c>
      <c r="B1877" s="12" t="s">
        <v>7067</v>
      </c>
      <c r="C1877" s="156">
        <v>89</v>
      </c>
      <c r="D1877" s="58" t="s">
        <v>4065</v>
      </c>
      <c r="E1877" s="94" t="s">
        <v>2014</v>
      </c>
      <c r="F1877" s="94"/>
      <c r="G1877" s="58"/>
      <c r="H1877" s="58">
        <v>1997</v>
      </c>
      <c r="I1877" s="58">
        <v>1993</v>
      </c>
      <c r="J1877" s="58" t="s">
        <v>2013</v>
      </c>
      <c r="K1877" s="58" t="s">
        <v>2012</v>
      </c>
      <c r="L1877" s="58" t="s">
        <v>2737</v>
      </c>
      <c r="M1877" s="94">
        <v>47.87</v>
      </c>
      <c r="N1877" s="94">
        <v>-121.82</v>
      </c>
      <c r="O1877" s="92">
        <v>114</v>
      </c>
      <c r="P1877" s="61">
        <v>10.7</v>
      </c>
      <c r="Q1877" s="58"/>
      <c r="R1877" s="61">
        <v>1633</v>
      </c>
      <c r="S1877" s="94"/>
      <c r="T1877" s="58"/>
      <c r="U1877" s="58">
        <v>7</v>
      </c>
      <c r="V1877" s="58" t="s">
        <v>1940</v>
      </c>
      <c r="Y1877" s="58" t="s">
        <v>2048</v>
      </c>
      <c r="Z1877" s="58" t="s">
        <v>1349</v>
      </c>
      <c r="AA1877" s="94">
        <v>15</v>
      </c>
      <c r="AD1877" s="94">
        <f>AVERAGE(Sheet1!CH1877:CI1877)</f>
        <v>1.34944</v>
      </c>
      <c r="AE1877" s="92">
        <v>35</v>
      </c>
      <c r="AF1877" s="92">
        <v>55</v>
      </c>
      <c r="AG1877" s="92"/>
      <c r="AH1877" s="58" t="s">
        <v>6378</v>
      </c>
      <c r="AI1877" s="169"/>
      <c r="AJ1877" s="94"/>
      <c r="AK1877" s="94"/>
      <c r="AL1877" s="58"/>
      <c r="AM1877" s="58" t="s">
        <v>2011</v>
      </c>
      <c r="AN1877" s="186" t="s">
        <v>2017</v>
      </c>
      <c r="AO1877" s="185" t="s">
        <v>5150</v>
      </c>
      <c r="AP1877" s="58"/>
      <c r="AQ1877" s="58" t="s">
        <v>1097</v>
      </c>
      <c r="AR1877" s="58" t="s">
        <v>2016</v>
      </c>
      <c r="AS1877" s="58" t="s">
        <v>227</v>
      </c>
      <c r="AT1877" s="182"/>
      <c r="AU1877" s="181" t="s">
        <v>7494</v>
      </c>
      <c r="AV1877" s="185" t="s">
        <v>176</v>
      </c>
      <c r="AW1877" s="58"/>
      <c r="AX1877" s="185" t="s">
        <v>176</v>
      </c>
      <c r="AY1877" s="58"/>
      <c r="AZ1877" s="58" t="s">
        <v>1976</v>
      </c>
      <c r="BA1877" s="58" t="s">
        <v>1976</v>
      </c>
      <c r="BB1877" s="58" t="s">
        <v>2081</v>
      </c>
      <c r="BC1877" s="58" t="s">
        <v>2081</v>
      </c>
      <c r="BD1877" s="55" t="s">
        <v>176</v>
      </c>
      <c r="BE1877" s="236" t="s">
        <v>2015</v>
      </c>
      <c r="BF1877" s="191" t="s">
        <v>176</v>
      </c>
      <c r="BG1877" s="58" t="s">
        <v>479</v>
      </c>
      <c r="BH1877" s="236"/>
      <c r="BI1877" s="58"/>
      <c r="BK1877" s="58" t="s">
        <v>5976</v>
      </c>
      <c r="BL1877" s="58"/>
      <c r="BM1877" s="237" t="s">
        <v>119</v>
      </c>
      <c r="BN1877" s="58">
        <v>3</v>
      </c>
      <c r="BO1877" s="58">
        <v>3</v>
      </c>
      <c r="BP1877" s="58"/>
      <c r="BQ1877" s="58" t="s">
        <v>141</v>
      </c>
      <c r="BR1877" s="58"/>
      <c r="BS1877" s="58"/>
      <c r="BT1877" s="58">
        <v>23</v>
      </c>
      <c r="BU1877" s="58"/>
      <c r="BV1877" s="58"/>
      <c r="CB1877" s="68"/>
      <c r="CC1877" s="68"/>
      <c r="CD1877" s="68"/>
      <c r="CE1877" s="67"/>
      <c r="CH1877" s="94">
        <v>1.34422</v>
      </c>
      <c r="CI1877" s="94">
        <v>1.35466</v>
      </c>
      <c r="CM1877" s="67">
        <v>1.52</v>
      </c>
      <c r="CN1877" s="67">
        <v>1.46</v>
      </c>
      <c r="CR1877" s="67"/>
      <c r="CS1877" s="67"/>
      <c r="CV1877" s="65" t="s">
        <v>3039</v>
      </c>
      <c r="DA1877" s="65" t="s">
        <v>4458</v>
      </c>
      <c r="GP1877" s="292" t="s">
        <v>7494</v>
      </c>
      <c r="JU1877" s="58" t="s">
        <v>2043</v>
      </c>
      <c r="JV1877" s="58"/>
    </row>
    <row r="1878" spans="1:282" x14ac:dyDescent="0.25">
      <c r="A1878" s="55">
        <v>1877</v>
      </c>
      <c r="B1878" s="12" t="s">
        <v>7067</v>
      </c>
      <c r="C1878" s="156">
        <v>89</v>
      </c>
      <c r="D1878" s="58" t="s">
        <v>4066</v>
      </c>
      <c r="E1878" s="94" t="s">
        <v>2014</v>
      </c>
      <c r="F1878" s="94"/>
      <c r="G1878" s="58"/>
      <c r="H1878" s="58">
        <v>1997</v>
      </c>
      <c r="I1878" s="58">
        <v>1993</v>
      </c>
      <c r="J1878" s="58" t="s">
        <v>2013</v>
      </c>
      <c r="K1878" s="58" t="s">
        <v>2012</v>
      </c>
      <c r="L1878" s="58" t="s">
        <v>2737</v>
      </c>
      <c r="M1878" s="94">
        <v>47.87</v>
      </c>
      <c r="N1878" s="94">
        <v>-121.82</v>
      </c>
      <c r="O1878" s="92">
        <v>114</v>
      </c>
      <c r="P1878" s="61">
        <v>10.7</v>
      </c>
      <c r="Q1878" s="58"/>
      <c r="R1878" s="61">
        <v>1633</v>
      </c>
      <c r="S1878" s="94"/>
      <c r="T1878" s="58"/>
      <c r="U1878" s="58">
        <v>7</v>
      </c>
      <c r="V1878" s="58" t="s">
        <v>1940</v>
      </c>
      <c r="Y1878" s="58" t="s">
        <v>2048</v>
      </c>
      <c r="Z1878" s="58" t="s">
        <v>1357</v>
      </c>
      <c r="AA1878" s="94">
        <v>15</v>
      </c>
      <c r="AD1878" s="94">
        <f>AVERAGE(Sheet1!CH1878:CI1878)</f>
        <v>1.3581400000000001</v>
      </c>
      <c r="AE1878" s="92">
        <v>35</v>
      </c>
      <c r="AF1878" s="92">
        <v>55</v>
      </c>
      <c r="AG1878" s="92"/>
      <c r="AH1878" s="58" t="s">
        <v>6378</v>
      </c>
      <c r="AI1878" s="169"/>
      <c r="AJ1878" s="94"/>
      <c r="AK1878" s="94"/>
      <c r="AL1878" s="58"/>
      <c r="AM1878" s="58" t="s">
        <v>2011</v>
      </c>
      <c r="AN1878" s="186" t="s">
        <v>2017</v>
      </c>
      <c r="AO1878" s="185" t="s">
        <v>5150</v>
      </c>
      <c r="AP1878" s="58"/>
      <c r="AQ1878" s="58" t="s">
        <v>1097</v>
      </c>
      <c r="AR1878" s="58" t="s">
        <v>2016</v>
      </c>
      <c r="AS1878" s="58" t="s">
        <v>227</v>
      </c>
      <c r="AT1878" s="182"/>
      <c r="AU1878" s="181" t="s">
        <v>7494</v>
      </c>
      <c r="AV1878" s="185" t="s">
        <v>176</v>
      </c>
      <c r="AW1878" s="58"/>
      <c r="AX1878" s="185" t="s">
        <v>176</v>
      </c>
      <c r="AY1878" s="58"/>
      <c r="AZ1878" s="58" t="s">
        <v>1976</v>
      </c>
      <c r="BA1878" s="58" t="s">
        <v>1976</v>
      </c>
      <c r="BB1878" s="58" t="s">
        <v>2081</v>
      </c>
      <c r="BC1878" s="58" t="s">
        <v>2081</v>
      </c>
      <c r="BD1878" s="55" t="s">
        <v>176</v>
      </c>
      <c r="BE1878" s="236" t="s">
        <v>2015</v>
      </c>
      <c r="BF1878" s="191" t="s">
        <v>176</v>
      </c>
      <c r="BG1878" s="58" t="s">
        <v>479</v>
      </c>
      <c r="BH1878" s="236"/>
      <c r="BI1878" s="58"/>
      <c r="BK1878" s="58" t="s">
        <v>5976</v>
      </c>
      <c r="BL1878" s="58"/>
      <c r="BM1878" s="237" t="s">
        <v>119</v>
      </c>
      <c r="BN1878" s="58">
        <v>3</v>
      </c>
      <c r="BO1878" s="58">
        <v>3</v>
      </c>
      <c r="BP1878" s="58"/>
      <c r="BQ1878" s="58" t="s">
        <v>141</v>
      </c>
      <c r="BR1878" s="58"/>
      <c r="BS1878" s="58"/>
      <c r="BT1878" s="58"/>
      <c r="BU1878" s="58"/>
      <c r="BV1878" s="58"/>
      <c r="CB1878" s="68"/>
      <c r="CC1878" s="68"/>
      <c r="CD1878" s="68"/>
      <c r="CE1878" s="67"/>
      <c r="CH1878" s="94">
        <v>1.35118</v>
      </c>
      <c r="CI1878" s="94">
        <v>1.3651</v>
      </c>
      <c r="CM1878" s="67">
        <v>1.48</v>
      </c>
      <c r="CN1878" s="67">
        <v>1.4</v>
      </c>
      <c r="CR1878" s="67"/>
      <c r="CS1878" s="67"/>
      <c r="CV1878" s="65" t="s">
        <v>3039</v>
      </c>
      <c r="DA1878" s="65" t="s">
        <v>4458</v>
      </c>
      <c r="GP1878" s="292" t="s">
        <v>7494</v>
      </c>
      <c r="JU1878" s="58" t="s">
        <v>2043</v>
      </c>
      <c r="JV1878" s="58"/>
    </row>
    <row r="1879" spans="1:282" x14ac:dyDescent="0.25">
      <c r="A1879" s="55">
        <v>1878</v>
      </c>
      <c r="B1879" s="12" t="s">
        <v>7067</v>
      </c>
      <c r="C1879" s="156">
        <v>89</v>
      </c>
      <c r="D1879" s="58" t="s">
        <v>4067</v>
      </c>
      <c r="E1879" s="94" t="s">
        <v>2014</v>
      </c>
      <c r="F1879" s="94"/>
      <c r="G1879" s="58"/>
      <c r="H1879" s="58">
        <v>1997</v>
      </c>
      <c r="I1879" s="58">
        <v>1993</v>
      </c>
      <c r="J1879" s="58" t="s">
        <v>2013</v>
      </c>
      <c r="K1879" s="58" t="s">
        <v>2012</v>
      </c>
      <c r="L1879" s="58" t="s">
        <v>2737</v>
      </c>
      <c r="M1879" s="94">
        <v>47.87</v>
      </c>
      <c r="N1879" s="94">
        <v>-121.82</v>
      </c>
      <c r="O1879" s="92">
        <v>114</v>
      </c>
      <c r="P1879" s="61">
        <v>10.7</v>
      </c>
      <c r="Q1879" s="58"/>
      <c r="R1879" s="61">
        <v>1633</v>
      </c>
      <c r="S1879" s="94"/>
      <c r="T1879" s="58"/>
      <c r="U1879" s="58">
        <v>7</v>
      </c>
      <c r="V1879" s="58" t="s">
        <v>1940</v>
      </c>
      <c r="Y1879" s="58" t="s">
        <v>2048</v>
      </c>
      <c r="Z1879" s="58" t="s">
        <v>1356</v>
      </c>
      <c r="AA1879" s="94">
        <v>30</v>
      </c>
      <c r="AD1879" s="94">
        <f>AVERAGE(Sheet1!CH1879:CI1879)</f>
        <v>1.4782000000000002</v>
      </c>
      <c r="AE1879" s="92">
        <v>35</v>
      </c>
      <c r="AF1879" s="92">
        <v>55</v>
      </c>
      <c r="AG1879" s="92"/>
      <c r="AH1879" s="58" t="s">
        <v>6378</v>
      </c>
      <c r="AI1879" s="169"/>
      <c r="AJ1879" s="94"/>
      <c r="AK1879" s="94"/>
      <c r="AL1879" s="58"/>
      <c r="AM1879" s="58" t="s">
        <v>2011</v>
      </c>
      <c r="AN1879" s="186"/>
      <c r="AO1879" s="185" t="s">
        <v>5150</v>
      </c>
      <c r="AP1879" s="58"/>
      <c r="AQ1879" s="58" t="s">
        <v>1097</v>
      </c>
      <c r="AR1879" s="58" t="s">
        <v>2016</v>
      </c>
      <c r="AS1879" s="58" t="s">
        <v>227</v>
      </c>
      <c r="AT1879" s="182"/>
      <c r="AU1879" s="181" t="s">
        <v>7494</v>
      </c>
      <c r="AV1879" s="185" t="s">
        <v>176</v>
      </c>
      <c r="AW1879" s="58"/>
      <c r="AX1879" s="185" t="s">
        <v>176</v>
      </c>
      <c r="AY1879" s="58"/>
      <c r="AZ1879" s="58" t="s">
        <v>1976</v>
      </c>
      <c r="BA1879" s="58" t="s">
        <v>1976</v>
      </c>
      <c r="BB1879" s="58" t="s">
        <v>2081</v>
      </c>
      <c r="BC1879" s="58" t="s">
        <v>2081</v>
      </c>
      <c r="BD1879" s="55" t="s">
        <v>176</v>
      </c>
      <c r="BE1879" s="236" t="s">
        <v>2015</v>
      </c>
      <c r="BF1879" s="191" t="s">
        <v>176</v>
      </c>
      <c r="BG1879" s="58" t="s">
        <v>479</v>
      </c>
      <c r="BH1879" s="236"/>
      <c r="BI1879" s="58"/>
      <c r="BK1879" s="58" t="s">
        <v>5976</v>
      </c>
      <c r="BL1879" s="58"/>
      <c r="BM1879" s="237" t="s">
        <v>119</v>
      </c>
      <c r="BN1879" s="58">
        <v>3</v>
      </c>
      <c r="BO1879" s="58">
        <v>3</v>
      </c>
      <c r="BP1879" s="58"/>
      <c r="BQ1879" s="58" t="s">
        <v>141</v>
      </c>
      <c r="BR1879" s="58"/>
      <c r="BS1879" s="58"/>
      <c r="BT1879" s="58"/>
      <c r="BU1879" s="58"/>
      <c r="BV1879" s="58"/>
      <c r="CB1879" s="68"/>
      <c r="CC1879" s="68"/>
      <c r="CD1879" s="68"/>
      <c r="CE1879" s="67"/>
      <c r="CH1879" s="94">
        <v>1.3477000000000001</v>
      </c>
      <c r="CI1879" s="94">
        <v>1.6087</v>
      </c>
      <c r="CM1879" s="67">
        <v>1.5</v>
      </c>
      <c r="CN1879" s="67">
        <v>1.4428075981301474</v>
      </c>
      <c r="CR1879" s="67"/>
      <c r="CS1879" s="67"/>
      <c r="CV1879" s="65" t="s">
        <v>3039</v>
      </c>
      <c r="DA1879" s="65" t="s">
        <v>4458</v>
      </c>
      <c r="GP1879" s="292" t="s">
        <v>7494</v>
      </c>
      <c r="JU1879" s="58"/>
      <c r="JV1879" s="58"/>
    </row>
    <row r="1880" spans="1:282" x14ac:dyDescent="0.25">
      <c r="A1880" s="55">
        <v>1879</v>
      </c>
      <c r="B1880" s="12" t="s">
        <v>7067</v>
      </c>
      <c r="C1880" s="156">
        <v>90</v>
      </c>
      <c r="D1880" s="58" t="s">
        <v>4068</v>
      </c>
      <c r="E1880" s="94" t="s">
        <v>2010</v>
      </c>
      <c r="F1880" s="94"/>
      <c r="G1880" s="58"/>
      <c r="H1880" s="58">
        <v>1996</v>
      </c>
      <c r="I1880" s="58">
        <v>1994</v>
      </c>
      <c r="J1880" s="58" t="s">
        <v>2009</v>
      </c>
      <c r="K1880" s="61" t="s">
        <v>2008</v>
      </c>
      <c r="L1880" s="61" t="s">
        <v>2737</v>
      </c>
      <c r="M1880" s="94">
        <v>30.55</v>
      </c>
      <c r="N1880" s="94">
        <v>-87.88</v>
      </c>
      <c r="O1880" s="94">
        <v>235</v>
      </c>
      <c r="P1880" s="58">
        <v>18</v>
      </c>
      <c r="Q1880" s="58"/>
      <c r="R1880" s="58">
        <v>1339</v>
      </c>
      <c r="S1880" s="94"/>
      <c r="T1880" s="58"/>
      <c r="U1880" s="58">
        <v>19</v>
      </c>
      <c r="V1880" s="58" t="s">
        <v>2047</v>
      </c>
      <c r="Y1880" s="58"/>
      <c r="Z1880" s="58" t="s">
        <v>1356</v>
      </c>
      <c r="AA1880" s="94">
        <v>30</v>
      </c>
      <c r="AD1880" s="94">
        <f>AVERAGE(Sheet1!CH1880:CI1880)</f>
        <v>1.8450000000000002</v>
      </c>
      <c r="AE1880" s="239">
        <v>68</v>
      </c>
      <c r="AF1880" s="239">
        <v>18.5</v>
      </c>
      <c r="AG1880" s="239"/>
      <c r="AH1880" s="58" t="s">
        <v>238</v>
      </c>
      <c r="AI1880" s="169"/>
      <c r="AJ1880" s="94"/>
      <c r="AK1880" s="94"/>
      <c r="AL1880" s="58"/>
      <c r="AM1880" s="58" t="s">
        <v>2007</v>
      </c>
      <c r="AN1880" s="186" t="s">
        <v>2006</v>
      </c>
      <c r="AO1880" s="185" t="s">
        <v>5150</v>
      </c>
      <c r="AP1880" s="58"/>
      <c r="AQ1880" s="58" t="s">
        <v>553</v>
      </c>
      <c r="AR1880" s="58" t="s">
        <v>2005</v>
      </c>
      <c r="AS1880" s="55" t="s">
        <v>5133</v>
      </c>
      <c r="AT1880" s="182"/>
      <c r="AU1880" s="181" t="s">
        <v>7494</v>
      </c>
      <c r="AV1880" s="185" t="s">
        <v>176</v>
      </c>
      <c r="AW1880" s="58"/>
      <c r="AX1880" s="185" t="s">
        <v>176</v>
      </c>
      <c r="AY1880" s="58"/>
      <c r="AZ1880" s="58"/>
      <c r="BA1880" s="58"/>
      <c r="BB1880" s="58"/>
      <c r="BC1880" s="58"/>
      <c r="BD1880" s="59"/>
      <c r="BE1880" s="236"/>
      <c r="BF1880" s="58"/>
      <c r="BG1880" s="58"/>
      <c r="BH1880" s="236"/>
      <c r="BI1880" s="58"/>
      <c r="BJ1880" s="62" t="s">
        <v>2004</v>
      </c>
      <c r="BK1880" s="58" t="s">
        <v>5976</v>
      </c>
      <c r="BL1880" s="58"/>
      <c r="BM1880" s="237"/>
      <c r="BN1880" s="58"/>
      <c r="BO1880" s="58"/>
      <c r="BP1880" s="58"/>
      <c r="BQ1880" s="58"/>
      <c r="BR1880" s="58"/>
      <c r="BS1880" s="58"/>
      <c r="BT1880" s="58"/>
      <c r="BU1880" s="58"/>
      <c r="BV1880" s="58"/>
      <c r="CB1880" s="68">
        <f>1.04*1000</f>
        <v>1040</v>
      </c>
      <c r="CC1880" s="68">
        <v>2500</v>
      </c>
      <c r="CD1880" s="68"/>
      <c r="CE1880" s="67"/>
      <c r="CH1880" s="94">
        <v>1.84</v>
      </c>
      <c r="CI1880" s="94">
        <v>1.85</v>
      </c>
      <c r="CM1880" s="67">
        <v>5.7999999999999996E-2</v>
      </c>
      <c r="CN1880" s="67">
        <v>0.20400000000000001</v>
      </c>
      <c r="CR1880" s="67"/>
      <c r="CS1880" s="67"/>
      <c r="CV1880" s="65" t="s">
        <v>3039</v>
      </c>
      <c r="DA1880" s="65" t="s">
        <v>4458</v>
      </c>
      <c r="GP1880" s="292" t="s">
        <v>7494</v>
      </c>
      <c r="JU1880" s="58" t="s">
        <v>2042</v>
      </c>
      <c r="JV1880" s="58"/>
    </row>
    <row r="1881" spans="1:282" x14ac:dyDescent="0.25">
      <c r="A1881" s="55">
        <v>1880</v>
      </c>
      <c r="B1881" s="12" t="s">
        <v>7067</v>
      </c>
      <c r="C1881" s="157">
        <v>91</v>
      </c>
      <c r="D1881" s="59" t="s">
        <v>4069</v>
      </c>
      <c r="E1881" s="93" t="s">
        <v>741</v>
      </c>
      <c r="F1881" s="93"/>
      <c r="G1881" s="58" t="s">
        <v>2074</v>
      </c>
      <c r="H1881" s="59">
        <v>2006</v>
      </c>
      <c r="I1881" s="58">
        <v>1999</v>
      </c>
      <c r="J1881" s="59" t="s">
        <v>916</v>
      </c>
      <c r="K1881" s="59" t="s">
        <v>1990</v>
      </c>
      <c r="L1881" s="59" t="s">
        <v>2737</v>
      </c>
      <c r="M1881" s="94">
        <v>32.56</v>
      </c>
      <c r="N1881" s="94">
        <v>-83.91</v>
      </c>
      <c r="O1881" s="93">
        <v>16</v>
      </c>
      <c r="P1881" s="59">
        <v>18.100000000000001</v>
      </c>
      <c r="Q1881" s="58"/>
      <c r="R1881" s="59">
        <v>1258</v>
      </c>
      <c r="S1881" s="94"/>
      <c r="T1881" s="58"/>
      <c r="U1881" s="59">
        <v>6</v>
      </c>
      <c r="V1881" s="58" t="s">
        <v>1933</v>
      </c>
      <c r="Y1881" s="58" t="s">
        <v>2059</v>
      </c>
      <c r="Z1881" s="58" t="s">
        <v>1355</v>
      </c>
      <c r="AA1881" s="94">
        <v>10</v>
      </c>
      <c r="AD1881" s="94">
        <f>AVERAGE(Sheet1!CH1881:CI1881)</f>
        <v>1.421</v>
      </c>
      <c r="AE1881" s="93">
        <v>65</v>
      </c>
      <c r="AF1881" s="93">
        <v>25</v>
      </c>
      <c r="AG1881" s="93"/>
      <c r="AH1881" s="58" t="s">
        <v>238</v>
      </c>
      <c r="AI1881" s="169"/>
      <c r="AJ1881" s="94"/>
      <c r="AK1881" s="94"/>
      <c r="AL1881" s="58"/>
      <c r="AM1881" s="59" t="s">
        <v>1987</v>
      </c>
      <c r="AN1881" s="188" t="s">
        <v>131</v>
      </c>
      <c r="AO1881" s="185" t="s">
        <v>5150</v>
      </c>
      <c r="AP1881" s="59"/>
      <c r="AQ1881" s="59" t="s">
        <v>131</v>
      </c>
      <c r="AR1881" s="59" t="s">
        <v>1985</v>
      </c>
      <c r="AS1881" s="55" t="s">
        <v>5133</v>
      </c>
      <c r="AT1881" s="182"/>
      <c r="AU1881" s="181" t="s">
        <v>7494</v>
      </c>
      <c r="AV1881" s="185" t="s">
        <v>176</v>
      </c>
      <c r="AW1881" s="58"/>
      <c r="AX1881" s="185" t="s">
        <v>176</v>
      </c>
      <c r="AY1881" s="58"/>
      <c r="AZ1881" s="59" t="s">
        <v>1016</v>
      </c>
      <c r="BA1881" s="59" t="s">
        <v>1016</v>
      </c>
      <c r="BB1881" s="59" t="s">
        <v>2082</v>
      </c>
      <c r="BC1881" s="59" t="s">
        <v>2082</v>
      </c>
      <c r="BD1881" s="55" t="s">
        <v>176</v>
      </c>
      <c r="BE1881" s="236" t="s">
        <v>161</v>
      </c>
      <c r="BF1881" s="58"/>
      <c r="BG1881" s="58" t="s">
        <v>176</v>
      </c>
      <c r="BH1881" s="236"/>
      <c r="BI1881" s="58"/>
      <c r="BJ1881" s="152" t="s">
        <v>1983</v>
      </c>
      <c r="BK1881" s="58" t="s">
        <v>6269</v>
      </c>
      <c r="BL1881" s="58"/>
      <c r="BM1881" s="237" t="s">
        <v>160</v>
      </c>
      <c r="BN1881" s="59">
        <v>4</v>
      </c>
      <c r="BO1881" s="59">
        <v>4</v>
      </c>
      <c r="BP1881" s="59">
        <v>4</v>
      </c>
      <c r="BQ1881" s="58" t="s">
        <v>141</v>
      </c>
      <c r="BR1881" s="58"/>
      <c r="BS1881" s="59">
        <f>1/3*12160</f>
        <v>4053.333333333333</v>
      </c>
      <c r="BT1881" s="58"/>
      <c r="BU1881" s="58"/>
      <c r="BV1881" s="58"/>
      <c r="CC1881" s="153"/>
      <c r="CD1881" s="153"/>
      <c r="CE1881" s="67"/>
      <c r="CH1881" s="94">
        <f>CI1881</f>
        <v>1.421</v>
      </c>
      <c r="CI1881" s="93">
        <v>1.421</v>
      </c>
      <c r="CM1881" s="67">
        <v>0.74595355383532724</v>
      </c>
      <c r="CN1881" s="67">
        <v>0.78184377199155519</v>
      </c>
      <c r="CO1881" s="65">
        <f>CM1881*(CT1881/CR1881)</f>
        <v>7.0372976776917673E-2</v>
      </c>
      <c r="CP1881" s="65">
        <f>CN1881*(CU1881/CS1881)</f>
        <v>7.0372976776917659E-2</v>
      </c>
      <c r="CR1881" s="65">
        <v>10.6</v>
      </c>
      <c r="CS1881" s="65">
        <v>11.11</v>
      </c>
      <c r="CT1881" s="65">
        <v>1</v>
      </c>
      <c r="CU1881" s="65">
        <v>1</v>
      </c>
      <c r="CV1881" s="65" t="s">
        <v>962</v>
      </c>
      <c r="DA1881" s="65" t="s">
        <v>4458</v>
      </c>
      <c r="GP1881" s="292" t="s">
        <v>7494</v>
      </c>
      <c r="JU1881" s="59" t="s">
        <v>2040</v>
      </c>
      <c r="JV1881" s="58"/>
    </row>
    <row r="1882" spans="1:282" x14ac:dyDescent="0.25">
      <c r="A1882" s="55">
        <v>1881</v>
      </c>
      <c r="B1882" s="12" t="s">
        <v>7067</v>
      </c>
      <c r="C1882" s="157">
        <v>91</v>
      </c>
      <c r="D1882" s="59" t="s">
        <v>4070</v>
      </c>
      <c r="E1882" s="93" t="s">
        <v>741</v>
      </c>
      <c r="F1882" s="93"/>
      <c r="G1882" s="58" t="s">
        <v>2074</v>
      </c>
      <c r="H1882" s="59">
        <v>2006</v>
      </c>
      <c r="I1882" s="58">
        <v>1999</v>
      </c>
      <c r="J1882" s="59" t="s">
        <v>916</v>
      </c>
      <c r="K1882" s="59" t="s">
        <v>1990</v>
      </c>
      <c r="L1882" s="59" t="s">
        <v>2737</v>
      </c>
      <c r="M1882" s="94">
        <v>32.56</v>
      </c>
      <c r="N1882" s="94">
        <v>-83.91</v>
      </c>
      <c r="O1882" s="93">
        <v>16</v>
      </c>
      <c r="P1882" s="59">
        <v>18.100000000000001</v>
      </c>
      <c r="Q1882" s="58"/>
      <c r="R1882" s="59">
        <v>1258</v>
      </c>
      <c r="S1882" s="94"/>
      <c r="T1882" s="58"/>
      <c r="U1882" s="59">
        <v>6</v>
      </c>
      <c r="V1882" s="58" t="s">
        <v>1933</v>
      </c>
      <c r="Y1882" s="58" t="s">
        <v>2059</v>
      </c>
      <c r="Z1882" s="58" t="s">
        <v>1375</v>
      </c>
      <c r="AA1882" s="94">
        <v>20</v>
      </c>
      <c r="AD1882" s="94">
        <f>AVERAGE(Sheet1!CH1882:CI1882)</f>
        <v>1.5469999999999999</v>
      </c>
      <c r="AE1882" s="93">
        <v>65</v>
      </c>
      <c r="AF1882" s="93">
        <v>25</v>
      </c>
      <c r="AG1882" s="93"/>
      <c r="AH1882" s="58" t="s">
        <v>238</v>
      </c>
      <c r="AI1882" s="169"/>
      <c r="AJ1882" s="94"/>
      <c r="AK1882" s="94"/>
      <c r="AL1882" s="58"/>
      <c r="AM1882" s="59" t="s">
        <v>1987</v>
      </c>
      <c r="AN1882" s="188" t="s">
        <v>131</v>
      </c>
      <c r="AO1882" s="185" t="s">
        <v>5150</v>
      </c>
      <c r="AP1882" s="59"/>
      <c r="AQ1882" s="59" t="s">
        <v>131</v>
      </c>
      <c r="AR1882" s="59" t="s">
        <v>1985</v>
      </c>
      <c r="AS1882" s="55" t="s">
        <v>5133</v>
      </c>
      <c r="AT1882" s="182"/>
      <c r="AU1882" s="181" t="s">
        <v>7494</v>
      </c>
      <c r="AV1882" s="185" t="s">
        <v>176</v>
      </c>
      <c r="AW1882" s="58"/>
      <c r="AX1882" s="185" t="s">
        <v>176</v>
      </c>
      <c r="AY1882" s="58"/>
      <c r="AZ1882" s="59" t="s">
        <v>1016</v>
      </c>
      <c r="BA1882" s="59" t="s">
        <v>1016</v>
      </c>
      <c r="BB1882" s="59" t="s">
        <v>2082</v>
      </c>
      <c r="BC1882" s="59" t="s">
        <v>2082</v>
      </c>
      <c r="BD1882" s="55" t="s">
        <v>2071</v>
      </c>
      <c r="BE1882" s="236" t="s">
        <v>161</v>
      </c>
      <c r="BF1882" s="58"/>
      <c r="BG1882" s="58" t="s">
        <v>176</v>
      </c>
      <c r="BH1882" s="236"/>
      <c r="BI1882" s="58"/>
      <c r="BJ1882" s="152" t="s">
        <v>1983</v>
      </c>
      <c r="BK1882" s="58" t="s">
        <v>6269</v>
      </c>
      <c r="BL1882" s="58"/>
      <c r="BM1882" s="237" t="s">
        <v>160</v>
      </c>
      <c r="BN1882" s="59">
        <v>4</v>
      </c>
      <c r="BO1882" s="59">
        <v>4</v>
      </c>
      <c r="BP1882" s="59">
        <v>4</v>
      </c>
      <c r="BQ1882" s="58" t="s">
        <v>141</v>
      </c>
      <c r="BR1882" s="58"/>
      <c r="BS1882" s="59"/>
      <c r="BT1882" s="58"/>
      <c r="BU1882" s="58"/>
      <c r="BV1882" s="58"/>
      <c r="CC1882" s="153"/>
      <c r="CD1882" s="153"/>
      <c r="CE1882" s="67"/>
      <c r="CH1882" s="94">
        <f>CI1882</f>
        <v>1.5469999999999999</v>
      </c>
      <c r="CI1882" s="93">
        <v>1.5469999999999999</v>
      </c>
      <c r="CM1882" s="67">
        <v>0.45248868778280549</v>
      </c>
      <c r="CN1882" s="67">
        <v>0.45572074983839694</v>
      </c>
      <c r="CO1882" s="65">
        <f>CM1882*(CT1882/CR1882)</f>
        <v>7.4337427278603749E-2</v>
      </c>
      <c r="CP1882" s="65">
        <f>CN1882*(CU1882/CS1882)</f>
        <v>7.4337427278603763E-2</v>
      </c>
      <c r="CR1882" s="65">
        <v>14.000000000000002</v>
      </c>
      <c r="CS1882" s="65">
        <v>14.099999999999998</v>
      </c>
      <c r="CT1882" s="65">
        <v>2.2999999999999998</v>
      </c>
      <c r="CU1882" s="65">
        <v>2.2999999999999998</v>
      </c>
      <c r="CV1882" s="65" t="s">
        <v>962</v>
      </c>
      <c r="DA1882" s="65" t="s">
        <v>4458</v>
      </c>
      <c r="GP1882" s="292" t="s">
        <v>7494</v>
      </c>
      <c r="JU1882" s="59" t="s">
        <v>2040</v>
      </c>
      <c r="JV1882" s="58"/>
    </row>
    <row r="1883" spans="1:282" x14ac:dyDescent="0.25">
      <c r="A1883" s="55">
        <v>1882</v>
      </c>
      <c r="B1883" s="12" t="s">
        <v>7067</v>
      </c>
      <c r="C1883" s="157">
        <v>91</v>
      </c>
      <c r="D1883" s="59" t="s">
        <v>4071</v>
      </c>
      <c r="E1883" s="93" t="s">
        <v>741</v>
      </c>
      <c r="F1883" s="93"/>
      <c r="G1883" s="58" t="s">
        <v>2074</v>
      </c>
      <c r="H1883" s="59">
        <v>2006</v>
      </c>
      <c r="I1883" s="58">
        <v>1999</v>
      </c>
      <c r="J1883" s="59" t="s">
        <v>916</v>
      </c>
      <c r="K1883" s="59" t="s">
        <v>1990</v>
      </c>
      <c r="L1883" s="59" t="s">
        <v>2737</v>
      </c>
      <c r="M1883" s="94">
        <v>32.56</v>
      </c>
      <c r="N1883" s="94">
        <v>-83.91</v>
      </c>
      <c r="O1883" s="93">
        <v>16</v>
      </c>
      <c r="P1883" s="59">
        <v>18.100000000000001</v>
      </c>
      <c r="Q1883" s="58"/>
      <c r="R1883" s="59">
        <v>1258</v>
      </c>
      <c r="S1883" s="94"/>
      <c r="T1883" s="58"/>
      <c r="U1883" s="59">
        <v>6</v>
      </c>
      <c r="V1883" s="58" t="s">
        <v>1933</v>
      </c>
      <c r="Y1883" s="58" t="s">
        <v>2059</v>
      </c>
      <c r="Z1883" s="58" t="s">
        <v>1369</v>
      </c>
      <c r="AA1883" s="94">
        <v>30</v>
      </c>
      <c r="AD1883" s="94">
        <f>AVERAGE(Sheet1!CH1883:CI1883)</f>
        <v>1.3979999999999999</v>
      </c>
      <c r="AE1883" s="93">
        <v>65</v>
      </c>
      <c r="AF1883" s="93">
        <v>25</v>
      </c>
      <c r="AG1883" s="93"/>
      <c r="AH1883" s="58" t="s">
        <v>238</v>
      </c>
      <c r="AI1883" s="169"/>
      <c r="AJ1883" s="94"/>
      <c r="AK1883" s="94"/>
      <c r="AL1883" s="58"/>
      <c r="AM1883" s="59" t="s">
        <v>1987</v>
      </c>
      <c r="AN1883" s="188" t="s">
        <v>131</v>
      </c>
      <c r="AO1883" s="185" t="s">
        <v>5150</v>
      </c>
      <c r="AP1883" s="59"/>
      <c r="AQ1883" s="59" t="s">
        <v>131</v>
      </c>
      <c r="AR1883" s="59" t="s">
        <v>1985</v>
      </c>
      <c r="AS1883" s="55" t="s">
        <v>5133</v>
      </c>
      <c r="AT1883" s="182"/>
      <c r="AU1883" s="181" t="s">
        <v>7494</v>
      </c>
      <c r="AV1883" s="185" t="s">
        <v>176</v>
      </c>
      <c r="AW1883" s="58"/>
      <c r="AX1883" s="185" t="s">
        <v>176</v>
      </c>
      <c r="AY1883" s="58"/>
      <c r="AZ1883" s="59" t="s">
        <v>1016</v>
      </c>
      <c r="BA1883" s="59" t="s">
        <v>1016</v>
      </c>
      <c r="BB1883" s="59" t="s">
        <v>2082</v>
      </c>
      <c r="BC1883" s="59" t="s">
        <v>2082</v>
      </c>
      <c r="BD1883" s="55" t="s">
        <v>176</v>
      </c>
      <c r="BE1883" s="236" t="s">
        <v>161</v>
      </c>
      <c r="BF1883" s="58"/>
      <c r="BG1883" s="58" t="s">
        <v>176</v>
      </c>
      <c r="BH1883" s="236"/>
      <c r="BI1883" s="58"/>
      <c r="BJ1883" s="152" t="s">
        <v>1983</v>
      </c>
      <c r="BK1883" s="58" t="s">
        <v>6269</v>
      </c>
      <c r="BL1883" s="58"/>
      <c r="BM1883" s="237" t="s">
        <v>160</v>
      </c>
      <c r="BN1883" s="59">
        <v>4</v>
      </c>
      <c r="BO1883" s="59">
        <v>4</v>
      </c>
      <c r="BP1883" s="59">
        <v>4</v>
      </c>
      <c r="BQ1883" s="58" t="s">
        <v>141</v>
      </c>
      <c r="BR1883" s="58"/>
      <c r="BS1883" s="59"/>
      <c r="BT1883" s="58"/>
      <c r="BU1883" s="58"/>
      <c r="BV1883" s="58"/>
      <c r="CC1883" s="153"/>
      <c r="CD1883" s="153"/>
      <c r="CE1883" s="67"/>
      <c r="CH1883" s="94">
        <f>CI1883</f>
        <v>1.3979999999999999</v>
      </c>
      <c r="CI1883" s="93">
        <v>1.3979999999999999</v>
      </c>
      <c r="CM1883" s="67">
        <v>0.24082021936099188</v>
      </c>
      <c r="CN1883" s="67">
        <v>0.24558893657606107</v>
      </c>
      <c r="CO1883" s="65">
        <f>CM1883*(CT1883/CR1883)</f>
        <v>8.10681926561755E-2</v>
      </c>
      <c r="CP1883" s="65">
        <f>CN1883*(CU1883/CS1883)</f>
        <v>8.1068192656175486E-2</v>
      </c>
      <c r="CR1883" s="65">
        <v>10.099999999999998</v>
      </c>
      <c r="CS1883" s="65">
        <v>10.3</v>
      </c>
      <c r="CT1883" s="65">
        <v>3.4</v>
      </c>
      <c r="CU1883" s="65">
        <v>3.4</v>
      </c>
      <c r="CV1883" s="65" t="s">
        <v>962</v>
      </c>
      <c r="DA1883" s="65" t="s">
        <v>4458</v>
      </c>
      <c r="GP1883" s="292" t="s">
        <v>7494</v>
      </c>
      <c r="JU1883" s="59" t="s">
        <v>2040</v>
      </c>
      <c r="JV1883" s="58"/>
    </row>
    <row r="1884" spans="1:282" x14ac:dyDescent="0.25">
      <c r="A1884" s="55">
        <v>1883</v>
      </c>
      <c r="B1884" s="12" t="s">
        <v>7067</v>
      </c>
      <c r="C1884" s="157">
        <v>91</v>
      </c>
      <c r="D1884" s="59" t="s">
        <v>4072</v>
      </c>
      <c r="E1884" s="93" t="s">
        <v>741</v>
      </c>
      <c r="F1884" s="93"/>
      <c r="G1884" s="58" t="s">
        <v>2074</v>
      </c>
      <c r="H1884" s="59">
        <v>2006</v>
      </c>
      <c r="I1884" s="58">
        <v>1999</v>
      </c>
      <c r="J1884" s="59" t="s">
        <v>916</v>
      </c>
      <c r="K1884" s="59" t="s">
        <v>1990</v>
      </c>
      <c r="L1884" s="59" t="s">
        <v>2737</v>
      </c>
      <c r="M1884" s="94">
        <v>32.56</v>
      </c>
      <c r="N1884" s="94">
        <v>-83.91</v>
      </c>
      <c r="O1884" s="93">
        <v>16</v>
      </c>
      <c r="P1884" s="59">
        <v>18.100000000000001</v>
      </c>
      <c r="Q1884" s="58"/>
      <c r="R1884" s="59">
        <v>1258</v>
      </c>
      <c r="S1884" s="94"/>
      <c r="T1884" s="58"/>
      <c r="U1884" s="59">
        <v>6</v>
      </c>
      <c r="V1884" s="58" t="s">
        <v>1933</v>
      </c>
      <c r="Y1884" s="58" t="s">
        <v>2059</v>
      </c>
      <c r="Z1884" s="58" t="s">
        <v>1370</v>
      </c>
      <c r="AA1884" s="94">
        <v>30</v>
      </c>
      <c r="AD1884" s="94">
        <f>AVERAGE(Sheet1!CH1884:CI1884)</f>
        <v>1.6160000000000001</v>
      </c>
      <c r="AE1884" s="93">
        <v>65</v>
      </c>
      <c r="AF1884" s="93">
        <v>25</v>
      </c>
      <c r="AG1884" s="93"/>
      <c r="AH1884" s="58" t="s">
        <v>238</v>
      </c>
      <c r="AI1884" s="169"/>
      <c r="AJ1884" s="94"/>
      <c r="AK1884" s="94"/>
      <c r="AL1884" s="58"/>
      <c r="AM1884" s="59" t="s">
        <v>1987</v>
      </c>
      <c r="AN1884" s="188" t="s">
        <v>131</v>
      </c>
      <c r="AO1884" s="185" t="s">
        <v>5150</v>
      </c>
      <c r="AP1884" s="59"/>
      <c r="AQ1884" s="59" t="s">
        <v>131</v>
      </c>
      <c r="AR1884" s="59" t="s">
        <v>1985</v>
      </c>
      <c r="AS1884" s="55" t="s">
        <v>5133</v>
      </c>
      <c r="AT1884" s="182"/>
      <c r="AU1884" s="181" t="s">
        <v>7494</v>
      </c>
      <c r="AV1884" s="185" t="s">
        <v>176</v>
      </c>
      <c r="AW1884" s="58"/>
      <c r="AX1884" s="185" t="s">
        <v>176</v>
      </c>
      <c r="AY1884" s="58"/>
      <c r="AZ1884" s="59" t="s">
        <v>1016</v>
      </c>
      <c r="BA1884" s="59" t="s">
        <v>1016</v>
      </c>
      <c r="BB1884" s="59" t="s">
        <v>2082</v>
      </c>
      <c r="BC1884" s="59" t="s">
        <v>2082</v>
      </c>
      <c r="BD1884" s="55" t="s">
        <v>2071</v>
      </c>
      <c r="BE1884" s="236" t="s">
        <v>161</v>
      </c>
      <c r="BF1884" s="58"/>
      <c r="BG1884" s="58" t="s">
        <v>176</v>
      </c>
      <c r="BH1884" s="236"/>
      <c r="BI1884" s="58"/>
      <c r="BJ1884" s="152" t="s">
        <v>1983</v>
      </c>
      <c r="BK1884" s="58" t="s">
        <v>6269</v>
      </c>
      <c r="BL1884" s="58"/>
      <c r="BM1884" s="237" t="s">
        <v>160</v>
      </c>
      <c r="BN1884" s="59">
        <v>4</v>
      </c>
      <c r="BO1884" s="59">
        <v>4</v>
      </c>
      <c r="BP1884" s="59">
        <v>4</v>
      </c>
      <c r="BQ1884" s="58" t="s">
        <v>141</v>
      </c>
      <c r="BR1884" s="58"/>
      <c r="BS1884" s="59"/>
      <c r="BT1884" s="58"/>
      <c r="BU1884" s="58"/>
      <c r="BV1884" s="58"/>
      <c r="CC1884" s="153"/>
      <c r="CD1884" s="153"/>
      <c r="CE1884" s="67"/>
      <c r="CH1884" s="94">
        <f>CI1884</f>
        <v>1.6160000000000001</v>
      </c>
      <c r="CI1884" s="93">
        <v>1.6160000000000001</v>
      </c>
      <c r="CM1884" s="67">
        <v>0.17326732673267325</v>
      </c>
      <c r="CN1884" s="67">
        <v>0.16295379537953794</v>
      </c>
      <c r="CO1884" s="65">
        <f>CM1884*(CT1884/CR1884)</f>
        <v>7.013201320132012E-2</v>
      </c>
      <c r="CP1884" s="65">
        <f>CN1884*(CU1884/CS1884)</f>
        <v>7.013201320132012E-2</v>
      </c>
      <c r="CR1884" s="65">
        <v>8.4</v>
      </c>
      <c r="CS1884" s="65">
        <v>7.9</v>
      </c>
      <c r="CT1884" s="65">
        <v>3.4</v>
      </c>
      <c r="CU1884" s="65">
        <v>3.4</v>
      </c>
      <c r="CV1884" s="65" t="s">
        <v>962</v>
      </c>
      <c r="DA1884" s="65" t="s">
        <v>4458</v>
      </c>
      <c r="GP1884" s="292" t="s">
        <v>7494</v>
      </c>
      <c r="JU1884" s="59" t="s">
        <v>2040</v>
      </c>
      <c r="JV1884" s="58"/>
    </row>
    <row r="1885" spans="1:282" x14ac:dyDescent="0.25">
      <c r="A1885" s="55">
        <v>1884</v>
      </c>
      <c r="B1885" s="12" t="s">
        <v>7067</v>
      </c>
      <c r="C1885" s="157">
        <v>91</v>
      </c>
      <c r="D1885" s="59" t="s">
        <v>4073</v>
      </c>
      <c r="E1885" s="93" t="s">
        <v>741</v>
      </c>
      <c r="F1885" s="93"/>
      <c r="G1885" s="58" t="s">
        <v>2074</v>
      </c>
      <c r="H1885" s="59">
        <v>2006</v>
      </c>
      <c r="I1885" s="58">
        <v>1999</v>
      </c>
      <c r="J1885" s="59" t="s">
        <v>916</v>
      </c>
      <c r="K1885" s="59" t="s">
        <v>1990</v>
      </c>
      <c r="L1885" s="59" t="s">
        <v>2737</v>
      </c>
      <c r="M1885" s="94">
        <v>32.56</v>
      </c>
      <c r="N1885" s="94">
        <v>-83.91</v>
      </c>
      <c r="O1885" s="93">
        <v>16</v>
      </c>
      <c r="P1885" s="59">
        <v>18.100000000000001</v>
      </c>
      <c r="Q1885" s="58"/>
      <c r="R1885" s="59">
        <v>1258</v>
      </c>
      <c r="S1885" s="94"/>
      <c r="T1885" s="58"/>
      <c r="U1885" s="59">
        <v>6</v>
      </c>
      <c r="V1885" s="58" t="s">
        <v>1933</v>
      </c>
      <c r="Y1885" s="58" t="s">
        <v>2059</v>
      </c>
      <c r="Z1885" s="58" t="s">
        <v>1382</v>
      </c>
      <c r="AA1885" s="94">
        <v>30</v>
      </c>
      <c r="AD1885" s="94">
        <f>AVERAGE(Sheet1!CH1885:CI1885)</f>
        <v>1.6279999999999999</v>
      </c>
      <c r="AE1885" s="93">
        <v>65</v>
      </c>
      <c r="AF1885" s="93">
        <v>25</v>
      </c>
      <c r="AG1885" s="93"/>
      <c r="AH1885" s="58" t="s">
        <v>238</v>
      </c>
      <c r="AI1885" s="169"/>
      <c r="AJ1885" s="94"/>
      <c r="AK1885" s="94"/>
      <c r="AL1885" s="58"/>
      <c r="AM1885" s="59" t="s">
        <v>1987</v>
      </c>
      <c r="AN1885" s="188" t="s">
        <v>131</v>
      </c>
      <c r="AO1885" s="185" t="s">
        <v>5150</v>
      </c>
      <c r="AP1885" s="59"/>
      <c r="AQ1885" s="59" t="s">
        <v>131</v>
      </c>
      <c r="AR1885" s="59" t="s">
        <v>1985</v>
      </c>
      <c r="AS1885" s="55" t="s">
        <v>5133</v>
      </c>
      <c r="AT1885" s="182"/>
      <c r="AU1885" s="181" t="s">
        <v>7494</v>
      </c>
      <c r="AV1885" s="185" t="s">
        <v>176</v>
      </c>
      <c r="AW1885" s="58"/>
      <c r="AX1885" s="185" t="s">
        <v>176</v>
      </c>
      <c r="AY1885" s="58"/>
      <c r="AZ1885" s="59" t="s">
        <v>1016</v>
      </c>
      <c r="BA1885" s="59" t="s">
        <v>1016</v>
      </c>
      <c r="BB1885" s="59" t="s">
        <v>2082</v>
      </c>
      <c r="BC1885" s="59" t="s">
        <v>2082</v>
      </c>
      <c r="BD1885" s="55" t="s">
        <v>176</v>
      </c>
      <c r="BE1885" s="236" t="s">
        <v>161</v>
      </c>
      <c r="BF1885" s="58"/>
      <c r="BG1885" s="58" t="s">
        <v>176</v>
      </c>
      <c r="BH1885" s="236"/>
      <c r="BI1885" s="58"/>
      <c r="BJ1885" s="152" t="s">
        <v>1983</v>
      </c>
      <c r="BK1885" s="58" t="s">
        <v>6269</v>
      </c>
      <c r="BL1885" s="58"/>
      <c r="BM1885" s="237" t="s">
        <v>160</v>
      </c>
      <c r="BN1885" s="59">
        <v>4</v>
      </c>
      <c r="BO1885" s="59">
        <v>4</v>
      </c>
      <c r="BP1885" s="59">
        <v>4</v>
      </c>
      <c r="BQ1885" s="58" t="s">
        <v>141</v>
      </c>
      <c r="BR1885" s="58"/>
      <c r="BS1885" s="59"/>
      <c r="BT1885" s="58"/>
      <c r="BU1885" s="58"/>
      <c r="BV1885" s="58"/>
      <c r="CC1885" s="153"/>
      <c r="CD1885" s="153"/>
      <c r="CE1885" s="67"/>
      <c r="CH1885" s="94">
        <f>CI1885</f>
        <v>1.6279999999999999</v>
      </c>
      <c r="CI1885" s="93">
        <v>1.6279999999999999</v>
      </c>
      <c r="CM1885" s="67">
        <v>0.14332514332514337</v>
      </c>
      <c r="CN1885" s="67">
        <v>0.10851760851760854</v>
      </c>
      <c r="CO1885" s="65">
        <f>CM1885*(CT1885/CR1885)</f>
        <v>4.504504504504505E-2</v>
      </c>
      <c r="CP1885" s="65">
        <f>CN1885*(CU1885/CS1885)</f>
        <v>4.504504504504505E-2</v>
      </c>
      <c r="CR1885" s="65">
        <v>7.0000000000000018</v>
      </c>
      <c r="CS1885" s="65">
        <v>5.3000000000000007</v>
      </c>
      <c r="CT1885" s="65">
        <v>2.2000000000000002</v>
      </c>
      <c r="CU1885" s="65">
        <v>2.2000000000000002</v>
      </c>
      <c r="CV1885" s="65" t="s">
        <v>962</v>
      </c>
      <c r="DA1885" s="65" t="s">
        <v>4458</v>
      </c>
      <c r="GP1885" s="292" t="s">
        <v>7494</v>
      </c>
      <c r="JU1885" s="59" t="s">
        <v>2040</v>
      </c>
      <c r="JV1885" s="58"/>
    </row>
    <row r="1886" spans="1:282" x14ac:dyDescent="0.25">
      <c r="A1886" s="55">
        <v>1885</v>
      </c>
      <c r="B1886" s="12" t="s">
        <v>7067</v>
      </c>
      <c r="C1886" s="157">
        <v>91</v>
      </c>
      <c r="D1886" s="59" t="s">
        <v>4074</v>
      </c>
      <c r="E1886" s="93" t="s">
        <v>741</v>
      </c>
      <c r="F1886" s="93"/>
      <c r="G1886" s="58" t="s">
        <v>2074</v>
      </c>
      <c r="H1886" s="59">
        <v>2006</v>
      </c>
      <c r="I1886" s="58">
        <v>1999</v>
      </c>
      <c r="J1886" s="59" t="s">
        <v>916</v>
      </c>
      <c r="K1886" s="59" t="s">
        <v>1990</v>
      </c>
      <c r="L1886" s="59" t="s">
        <v>2737</v>
      </c>
      <c r="M1886" s="94">
        <v>32.56</v>
      </c>
      <c r="N1886" s="94">
        <v>-83.91</v>
      </c>
      <c r="O1886" s="93">
        <v>16</v>
      </c>
      <c r="P1886" s="59">
        <v>18.100000000000001</v>
      </c>
      <c r="Q1886" s="58"/>
      <c r="R1886" s="59">
        <v>1258</v>
      </c>
      <c r="S1886" s="94"/>
      <c r="T1886" s="58"/>
      <c r="U1886" s="59">
        <v>6</v>
      </c>
      <c r="V1886" s="58" t="s">
        <v>1933</v>
      </c>
      <c r="Y1886" s="58" t="s">
        <v>2059</v>
      </c>
      <c r="Z1886" s="58" t="s">
        <v>1355</v>
      </c>
      <c r="AA1886" s="94">
        <v>10</v>
      </c>
      <c r="AD1886" s="94">
        <f>AVERAGE(Sheet1!CH1886:CI1886)</f>
        <v>1.421</v>
      </c>
      <c r="AE1886" s="93">
        <v>65</v>
      </c>
      <c r="AF1886" s="93">
        <v>25</v>
      </c>
      <c r="AG1886" s="93"/>
      <c r="AH1886" s="58" t="s">
        <v>238</v>
      </c>
      <c r="AI1886" s="169"/>
      <c r="AJ1886" s="94"/>
      <c r="AK1886" s="94"/>
      <c r="AL1886" s="58"/>
      <c r="AM1886" s="59" t="s">
        <v>1987</v>
      </c>
      <c r="AN1886" s="188" t="s">
        <v>131</v>
      </c>
      <c r="AO1886" s="185" t="s">
        <v>5150</v>
      </c>
      <c r="AP1886" s="59"/>
      <c r="AQ1886" s="59" t="s">
        <v>131</v>
      </c>
      <c r="AR1886" s="59" t="s">
        <v>1985</v>
      </c>
      <c r="AS1886" s="55" t="s">
        <v>5133</v>
      </c>
      <c r="AT1886" s="182"/>
      <c r="AU1886" s="181" t="s">
        <v>7494</v>
      </c>
      <c r="AV1886" s="185" t="s">
        <v>176</v>
      </c>
      <c r="AW1886" s="58"/>
      <c r="AX1886" s="185" t="s">
        <v>176</v>
      </c>
      <c r="AY1886" s="58"/>
      <c r="AZ1886" s="59" t="s">
        <v>1016</v>
      </c>
      <c r="BA1886" s="59" t="s">
        <v>1016</v>
      </c>
      <c r="BB1886" s="59" t="s">
        <v>2082</v>
      </c>
      <c r="BC1886" s="59" t="s">
        <v>2082</v>
      </c>
      <c r="BD1886" s="55" t="s">
        <v>2071</v>
      </c>
      <c r="BE1886" s="236" t="s">
        <v>1989</v>
      </c>
      <c r="BF1886" s="191"/>
      <c r="BG1886" s="58" t="s">
        <v>479</v>
      </c>
      <c r="BH1886" s="236"/>
      <c r="BI1886" s="58"/>
      <c r="BJ1886" s="152" t="s">
        <v>1983</v>
      </c>
      <c r="BK1886" s="58" t="s">
        <v>6269</v>
      </c>
      <c r="BL1886" s="58"/>
      <c r="BM1886" s="237" t="s">
        <v>160</v>
      </c>
      <c r="BN1886" s="59">
        <v>4</v>
      </c>
      <c r="BO1886" s="59">
        <v>4</v>
      </c>
      <c r="BP1886" s="59">
        <v>4</v>
      </c>
      <c r="BQ1886" s="58" t="s">
        <v>141</v>
      </c>
      <c r="BR1886" s="58"/>
      <c r="BS1886" s="59">
        <f>1/3*13740</f>
        <v>4580</v>
      </c>
      <c r="BT1886" s="58"/>
      <c r="BU1886" s="58"/>
      <c r="BV1886" s="58"/>
      <c r="CC1886" s="153"/>
      <c r="CD1886" s="153"/>
      <c r="CE1886" s="67"/>
      <c r="CH1886" s="93">
        <f>CI1886</f>
        <v>1.421</v>
      </c>
      <c r="CI1886" s="93">
        <v>1.421</v>
      </c>
      <c r="CM1886" s="67">
        <v>0.74595355383532724</v>
      </c>
      <c r="CN1886" s="67">
        <v>0.78114004222378608</v>
      </c>
      <c r="CR1886" s="65">
        <v>10.6</v>
      </c>
      <c r="CS1886" s="65">
        <v>11.100000000000001</v>
      </c>
      <c r="CT1886" s="65">
        <v>1</v>
      </c>
      <c r="CU1886" s="65">
        <v>1</v>
      </c>
      <c r="CV1886" s="65" t="s">
        <v>962</v>
      </c>
      <c r="DA1886" s="65" t="s">
        <v>4458</v>
      </c>
      <c r="GP1886" s="292" t="s">
        <v>7494</v>
      </c>
      <c r="JU1886" s="59" t="s">
        <v>2040</v>
      </c>
      <c r="JV1886" s="58"/>
    </row>
    <row r="1887" spans="1:282" x14ac:dyDescent="0.25">
      <c r="A1887" s="55">
        <v>1886</v>
      </c>
      <c r="B1887" s="12" t="s">
        <v>7067</v>
      </c>
      <c r="C1887" s="157">
        <v>91</v>
      </c>
      <c r="D1887" s="59" t="s">
        <v>4075</v>
      </c>
      <c r="E1887" s="93" t="s">
        <v>741</v>
      </c>
      <c r="F1887" s="93"/>
      <c r="G1887" s="58" t="s">
        <v>2074</v>
      </c>
      <c r="H1887" s="59">
        <v>2006</v>
      </c>
      <c r="I1887" s="58">
        <v>1999</v>
      </c>
      <c r="J1887" s="59" t="s">
        <v>916</v>
      </c>
      <c r="K1887" s="59" t="s">
        <v>1990</v>
      </c>
      <c r="L1887" s="59" t="s">
        <v>2737</v>
      </c>
      <c r="M1887" s="94">
        <v>32.56</v>
      </c>
      <c r="N1887" s="94">
        <v>-83.91</v>
      </c>
      <c r="O1887" s="93">
        <v>16</v>
      </c>
      <c r="P1887" s="59">
        <v>18.100000000000001</v>
      </c>
      <c r="Q1887" s="58"/>
      <c r="R1887" s="59">
        <v>1258</v>
      </c>
      <c r="S1887" s="94"/>
      <c r="T1887" s="58"/>
      <c r="U1887" s="59">
        <v>6</v>
      </c>
      <c r="V1887" s="58" t="s">
        <v>1933</v>
      </c>
      <c r="Y1887" s="58" t="s">
        <v>2059</v>
      </c>
      <c r="Z1887" s="58" t="s">
        <v>1375</v>
      </c>
      <c r="AA1887" s="94">
        <v>20</v>
      </c>
      <c r="AD1887" s="94">
        <f>AVERAGE(Sheet1!CH1887:CI1887)</f>
        <v>1.5469999999999999</v>
      </c>
      <c r="AE1887" s="93">
        <v>65</v>
      </c>
      <c r="AF1887" s="93">
        <v>25</v>
      </c>
      <c r="AG1887" s="93"/>
      <c r="AH1887" s="58" t="s">
        <v>238</v>
      </c>
      <c r="AI1887" s="169"/>
      <c r="AJ1887" s="94"/>
      <c r="AK1887" s="94"/>
      <c r="AL1887" s="58"/>
      <c r="AM1887" s="59" t="s">
        <v>1987</v>
      </c>
      <c r="AN1887" s="188" t="s">
        <v>131</v>
      </c>
      <c r="AO1887" s="185" t="s">
        <v>5150</v>
      </c>
      <c r="AP1887" s="59"/>
      <c r="AQ1887" s="59" t="s">
        <v>131</v>
      </c>
      <c r="AR1887" s="59" t="s">
        <v>1985</v>
      </c>
      <c r="AS1887" s="55" t="s">
        <v>5133</v>
      </c>
      <c r="AT1887" s="182"/>
      <c r="AU1887" s="181" t="s">
        <v>7494</v>
      </c>
      <c r="AV1887" s="185" t="s">
        <v>176</v>
      </c>
      <c r="AW1887" s="58"/>
      <c r="AX1887" s="185" t="s">
        <v>176</v>
      </c>
      <c r="AY1887" s="58"/>
      <c r="AZ1887" s="59" t="s">
        <v>1016</v>
      </c>
      <c r="BA1887" s="59" t="s">
        <v>1016</v>
      </c>
      <c r="BB1887" s="59" t="s">
        <v>2082</v>
      </c>
      <c r="BC1887" s="59" t="s">
        <v>2082</v>
      </c>
      <c r="BD1887" s="55" t="s">
        <v>176</v>
      </c>
      <c r="BE1887" s="236" t="s">
        <v>1989</v>
      </c>
      <c r="BF1887" s="191"/>
      <c r="BG1887" s="58" t="s">
        <v>479</v>
      </c>
      <c r="BH1887" s="236"/>
      <c r="BI1887" s="58"/>
      <c r="BJ1887" s="152" t="s">
        <v>1983</v>
      </c>
      <c r="BK1887" s="58" t="s">
        <v>6269</v>
      </c>
      <c r="BL1887" s="58"/>
      <c r="BM1887" s="237" t="s">
        <v>160</v>
      </c>
      <c r="BN1887" s="59">
        <v>4</v>
      </c>
      <c r="BO1887" s="59">
        <v>4</v>
      </c>
      <c r="BP1887" s="59">
        <v>4</v>
      </c>
      <c r="BQ1887" s="58" t="s">
        <v>141</v>
      </c>
      <c r="BR1887" s="58"/>
      <c r="BS1887" s="59"/>
      <c r="BT1887" s="58"/>
      <c r="BU1887" s="58"/>
      <c r="BV1887" s="58"/>
      <c r="CC1887" s="153"/>
      <c r="CD1887" s="153"/>
      <c r="CE1887" s="67"/>
      <c r="CH1887" s="93">
        <f>CI1887</f>
        <v>1.5469999999999999</v>
      </c>
      <c r="CI1887" s="93">
        <v>1.5469999999999999</v>
      </c>
      <c r="CM1887" s="67">
        <v>0.44602456367162258</v>
      </c>
      <c r="CN1887" s="67">
        <v>0.50420168067226889</v>
      </c>
      <c r="CR1887" s="65">
        <v>13.8</v>
      </c>
      <c r="CS1887" s="65">
        <v>15.599999999999998</v>
      </c>
      <c r="CT1887" s="65">
        <v>2.2999999999999998</v>
      </c>
      <c r="CU1887" s="65">
        <v>2.2999999999999998</v>
      </c>
      <c r="CV1887" s="65" t="s">
        <v>962</v>
      </c>
      <c r="DA1887" s="65" t="s">
        <v>4458</v>
      </c>
      <c r="GP1887" s="292" t="s">
        <v>7494</v>
      </c>
      <c r="JU1887" s="59" t="s">
        <v>2040</v>
      </c>
      <c r="JV1887" s="58"/>
    </row>
    <row r="1888" spans="1:282" x14ac:dyDescent="0.25">
      <c r="A1888" s="55">
        <v>1887</v>
      </c>
      <c r="B1888" s="12" t="s">
        <v>7067</v>
      </c>
      <c r="C1888" s="157">
        <v>91</v>
      </c>
      <c r="D1888" s="59" t="s">
        <v>4076</v>
      </c>
      <c r="E1888" s="93" t="s">
        <v>741</v>
      </c>
      <c r="F1888" s="93"/>
      <c r="G1888" s="58" t="s">
        <v>2074</v>
      </c>
      <c r="H1888" s="59">
        <v>2006</v>
      </c>
      <c r="I1888" s="58">
        <v>1999</v>
      </c>
      <c r="J1888" s="59" t="s">
        <v>916</v>
      </c>
      <c r="K1888" s="59" t="s">
        <v>1990</v>
      </c>
      <c r="L1888" s="59" t="s">
        <v>2737</v>
      </c>
      <c r="M1888" s="94">
        <v>32.56</v>
      </c>
      <c r="N1888" s="94">
        <v>-83.91</v>
      </c>
      <c r="O1888" s="93">
        <v>16</v>
      </c>
      <c r="P1888" s="59">
        <v>18.100000000000001</v>
      </c>
      <c r="Q1888" s="58"/>
      <c r="R1888" s="59">
        <v>1258</v>
      </c>
      <c r="S1888" s="94"/>
      <c r="T1888" s="58"/>
      <c r="U1888" s="59">
        <v>6</v>
      </c>
      <c r="V1888" s="58" t="s">
        <v>1933</v>
      </c>
      <c r="Y1888" s="58" t="s">
        <v>2059</v>
      </c>
      <c r="Z1888" s="58" t="s">
        <v>1369</v>
      </c>
      <c r="AA1888" s="94">
        <v>30</v>
      </c>
      <c r="AD1888" s="94">
        <f>AVERAGE(Sheet1!CH1888:CI1888)</f>
        <v>1.3979999999999999</v>
      </c>
      <c r="AE1888" s="93">
        <v>65</v>
      </c>
      <c r="AF1888" s="93">
        <v>25</v>
      </c>
      <c r="AG1888" s="93"/>
      <c r="AH1888" s="58" t="s">
        <v>238</v>
      </c>
      <c r="AI1888" s="169"/>
      <c r="AJ1888" s="94"/>
      <c r="AK1888" s="94"/>
      <c r="AL1888" s="58"/>
      <c r="AM1888" s="59" t="s">
        <v>1987</v>
      </c>
      <c r="AN1888" s="188" t="s">
        <v>131</v>
      </c>
      <c r="AO1888" s="185" t="s">
        <v>5150</v>
      </c>
      <c r="AP1888" s="59"/>
      <c r="AQ1888" s="59" t="s">
        <v>131</v>
      </c>
      <c r="AR1888" s="59" t="s">
        <v>1985</v>
      </c>
      <c r="AS1888" s="55" t="s">
        <v>5133</v>
      </c>
      <c r="AT1888" s="182"/>
      <c r="AU1888" s="181" t="s">
        <v>7494</v>
      </c>
      <c r="AV1888" s="185" t="s">
        <v>176</v>
      </c>
      <c r="AW1888" s="58"/>
      <c r="AX1888" s="185" t="s">
        <v>176</v>
      </c>
      <c r="AY1888" s="58"/>
      <c r="AZ1888" s="59" t="s">
        <v>1016</v>
      </c>
      <c r="BA1888" s="59" t="s">
        <v>1016</v>
      </c>
      <c r="BB1888" s="59" t="s">
        <v>2082</v>
      </c>
      <c r="BC1888" s="59" t="s">
        <v>2082</v>
      </c>
      <c r="BD1888" s="55" t="s">
        <v>2071</v>
      </c>
      <c r="BE1888" s="236" t="s">
        <v>1989</v>
      </c>
      <c r="BF1888" s="191"/>
      <c r="BG1888" s="58" t="s">
        <v>479</v>
      </c>
      <c r="BH1888" s="236"/>
      <c r="BI1888" s="58"/>
      <c r="BJ1888" s="152" t="s">
        <v>1983</v>
      </c>
      <c r="BK1888" s="58" t="s">
        <v>6269</v>
      </c>
      <c r="BL1888" s="58"/>
      <c r="BM1888" s="237" t="s">
        <v>160</v>
      </c>
      <c r="BN1888" s="59">
        <v>4</v>
      </c>
      <c r="BO1888" s="59">
        <v>4</v>
      </c>
      <c r="BP1888" s="59">
        <v>4</v>
      </c>
      <c r="BQ1888" s="58" t="s">
        <v>141</v>
      </c>
      <c r="BR1888" s="58"/>
      <c r="BS1888" s="59"/>
      <c r="BT1888" s="58"/>
      <c r="BU1888" s="58"/>
      <c r="BV1888" s="58"/>
      <c r="CC1888" s="153"/>
      <c r="CD1888" s="153"/>
      <c r="CE1888" s="67"/>
      <c r="CH1888" s="93">
        <f>CI1888</f>
        <v>1.3979999999999999</v>
      </c>
      <c r="CI1888" s="93">
        <v>1.3979999999999999</v>
      </c>
      <c r="CM1888" s="67">
        <v>0.27896995708154504</v>
      </c>
      <c r="CN1888" s="67">
        <v>0.24558893657606107</v>
      </c>
      <c r="CR1888" s="65">
        <v>11.700000000000001</v>
      </c>
      <c r="CS1888" s="65">
        <v>10.3</v>
      </c>
      <c r="CT1888" s="65">
        <v>3.4</v>
      </c>
      <c r="CU1888" s="65">
        <v>3.4</v>
      </c>
      <c r="CV1888" s="65" t="s">
        <v>962</v>
      </c>
      <c r="DA1888" s="65" t="s">
        <v>4458</v>
      </c>
      <c r="GP1888" s="292" t="s">
        <v>7494</v>
      </c>
      <c r="JU1888" s="59" t="s">
        <v>2040</v>
      </c>
      <c r="JV1888" s="58"/>
    </row>
    <row r="1889" spans="1:282" x14ac:dyDescent="0.25">
      <c r="A1889" s="55">
        <v>1888</v>
      </c>
      <c r="B1889" s="12" t="s">
        <v>7067</v>
      </c>
      <c r="C1889" s="157">
        <v>91</v>
      </c>
      <c r="D1889" s="59" t="s">
        <v>4077</v>
      </c>
      <c r="E1889" s="93" t="s">
        <v>741</v>
      </c>
      <c r="F1889" s="93"/>
      <c r="G1889" s="58" t="s">
        <v>2074</v>
      </c>
      <c r="H1889" s="59">
        <v>2006</v>
      </c>
      <c r="I1889" s="58">
        <v>1999</v>
      </c>
      <c r="J1889" s="59" t="s">
        <v>916</v>
      </c>
      <c r="K1889" s="59" t="s">
        <v>1990</v>
      </c>
      <c r="L1889" s="59" t="s">
        <v>2737</v>
      </c>
      <c r="M1889" s="94">
        <v>32.56</v>
      </c>
      <c r="N1889" s="94">
        <v>-83.91</v>
      </c>
      <c r="O1889" s="93">
        <v>16</v>
      </c>
      <c r="P1889" s="59">
        <v>18.100000000000001</v>
      </c>
      <c r="Q1889" s="58"/>
      <c r="R1889" s="59">
        <v>1258</v>
      </c>
      <c r="S1889" s="94"/>
      <c r="T1889" s="58"/>
      <c r="U1889" s="59">
        <v>6</v>
      </c>
      <c r="V1889" s="58" t="s">
        <v>1933</v>
      </c>
      <c r="Y1889" s="58" t="s">
        <v>2059</v>
      </c>
      <c r="Z1889" s="58" t="s">
        <v>1370</v>
      </c>
      <c r="AA1889" s="94">
        <v>30</v>
      </c>
      <c r="AD1889" s="94">
        <f>AVERAGE(Sheet1!CH1889:CI1889)</f>
        <v>1.6160000000000001</v>
      </c>
      <c r="AE1889" s="93">
        <v>65</v>
      </c>
      <c r="AF1889" s="93">
        <v>25</v>
      </c>
      <c r="AG1889" s="93"/>
      <c r="AH1889" s="58" t="s">
        <v>238</v>
      </c>
      <c r="AI1889" s="169"/>
      <c r="AJ1889" s="94"/>
      <c r="AK1889" s="94"/>
      <c r="AL1889" s="58"/>
      <c r="AM1889" s="59" t="s">
        <v>1987</v>
      </c>
      <c r="AN1889" s="188" t="s">
        <v>131</v>
      </c>
      <c r="AO1889" s="185" t="s">
        <v>5150</v>
      </c>
      <c r="AP1889" s="59"/>
      <c r="AQ1889" s="59" t="s">
        <v>131</v>
      </c>
      <c r="AR1889" s="59" t="s">
        <v>1985</v>
      </c>
      <c r="AS1889" s="55" t="s">
        <v>5133</v>
      </c>
      <c r="AT1889" s="182"/>
      <c r="AU1889" s="181" t="s">
        <v>7494</v>
      </c>
      <c r="AV1889" s="185" t="s">
        <v>176</v>
      </c>
      <c r="AW1889" s="58"/>
      <c r="AX1889" s="185" t="s">
        <v>176</v>
      </c>
      <c r="AY1889" s="58"/>
      <c r="AZ1889" s="59" t="s">
        <v>1016</v>
      </c>
      <c r="BA1889" s="59" t="s">
        <v>1016</v>
      </c>
      <c r="BB1889" s="59" t="s">
        <v>2082</v>
      </c>
      <c r="BC1889" s="59" t="s">
        <v>2082</v>
      </c>
      <c r="BD1889" s="55" t="s">
        <v>176</v>
      </c>
      <c r="BE1889" s="236" t="s">
        <v>1989</v>
      </c>
      <c r="BF1889" s="191"/>
      <c r="BG1889" s="58" t="s">
        <v>479</v>
      </c>
      <c r="BH1889" s="236"/>
      <c r="BI1889" s="58"/>
      <c r="BJ1889" s="152" t="s">
        <v>1983</v>
      </c>
      <c r="BK1889" s="58" t="s">
        <v>6269</v>
      </c>
      <c r="BL1889" s="58"/>
      <c r="BM1889" s="237" t="s">
        <v>160</v>
      </c>
      <c r="BN1889" s="59">
        <v>4</v>
      </c>
      <c r="BO1889" s="59">
        <v>4</v>
      </c>
      <c r="BP1889" s="59">
        <v>4</v>
      </c>
      <c r="BQ1889" s="58" t="s">
        <v>141</v>
      </c>
      <c r="BR1889" s="58"/>
      <c r="BS1889" s="59"/>
      <c r="BT1889" s="58"/>
      <c r="BU1889" s="58"/>
      <c r="BV1889" s="58"/>
      <c r="CC1889" s="153"/>
      <c r="CD1889" s="153"/>
      <c r="CE1889" s="67"/>
      <c r="CH1889" s="93">
        <f>CI1889</f>
        <v>1.6160000000000001</v>
      </c>
      <c r="CI1889" s="93">
        <v>1.6160000000000001</v>
      </c>
      <c r="CM1889" s="67">
        <v>0.19389438943894385</v>
      </c>
      <c r="CN1889" s="67">
        <v>0.16707920792079203</v>
      </c>
      <c r="CR1889" s="65">
        <v>9.3999999999999986</v>
      </c>
      <c r="CS1889" s="65">
        <v>8.0999999999999979</v>
      </c>
      <c r="CT1889" s="65">
        <v>3.4</v>
      </c>
      <c r="CU1889" s="65">
        <v>3.4</v>
      </c>
      <c r="CV1889" s="65" t="s">
        <v>962</v>
      </c>
      <c r="DA1889" s="65" t="s">
        <v>4458</v>
      </c>
      <c r="GP1889" s="292" t="s">
        <v>7494</v>
      </c>
      <c r="JU1889" s="59" t="s">
        <v>2040</v>
      </c>
      <c r="JV1889" s="58"/>
    </row>
    <row r="1890" spans="1:282" x14ac:dyDescent="0.25">
      <c r="A1890" s="55">
        <v>1889</v>
      </c>
      <c r="B1890" s="12" t="s">
        <v>7067</v>
      </c>
      <c r="C1890" s="157">
        <v>91</v>
      </c>
      <c r="D1890" s="59" t="s">
        <v>4078</v>
      </c>
      <c r="E1890" s="93" t="s">
        <v>741</v>
      </c>
      <c r="F1890" s="93"/>
      <c r="G1890" s="58" t="s">
        <v>2074</v>
      </c>
      <c r="H1890" s="59">
        <v>2006</v>
      </c>
      <c r="I1890" s="58">
        <v>1999</v>
      </c>
      <c r="J1890" s="59" t="s">
        <v>916</v>
      </c>
      <c r="K1890" s="59" t="s">
        <v>1990</v>
      </c>
      <c r="L1890" s="59" t="s">
        <v>2737</v>
      </c>
      <c r="M1890" s="94">
        <v>32.56</v>
      </c>
      <c r="N1890" s="94">
        <v>-83.91</v>
      </c>
      <c r="O1890" s="93">
        <v>16</v>
      </c>
      <c r="P1890" s="59">
        <v>18.100000000000001</v>
      </c>
      <c r="Q1890" s="58"/>
      <c r="R1890" s="59">
        <v>1258</v>
      </c>
      <c r="S1890" s="94"/>
      <c r="T1890" s="58"/>
      <c r="U1890" s="59">
        <v>6</v>
      </c>
      <c r="V1890" s="58" t="s">
        <v>1933</v>
      </c>
      <c r="Y1890" s="58" t="s">
        <v>2059</v>
      </c>
      <c r="Z1890" s="58" t="s">
        <v>1382</v>
      </c>
      <c r="AA1890" s="94">
        <v>30</v>
      </c>
      <c r="AD1890" s="94">
        <f>AVERAGE(Sheet1!CH1890:CI1890)</f>
        <v>1.6279999999999999</v>
      </c>
      <c r="AE1890" s="93">
        <v>65</v>
      </c>
      <c r="AF1890" s="93">
        <v>25</v>
      </c>
      <c r="AG1890" s="93"/>
      <c r="AH1890" s="58" t="s">
        <v>238</v>
      </c>
      <c r="AI1890" s="169"/>
      <c r="AJ1890" s="94"/>
      <c r="AK1890" s="94"/>
      <c r="AL1890" s="58"/>
      <c r="AM1890" s="59" t="s">
        <v>1987</v>
      </c>
      <c r="AN1890" s="188" t="s">
        <v>131</v>
      </c>
      <c r="AO1890" s="185" t="s">
        <v>5150</v>
      </c>
      <c r="AP1890" s="59"/>
      <c r="AQ1890" s="59" t="s">
        <v>131</v>
      </c>
      <c r="AR1890" s="59" t="s">
        <v>1985</v>
      </c>
      <c r="AS1890" s="55" t="s">
        <v>5133</v>
      </c>
      <c r="AT1890" s="182"/>
      <c r="AU1890" s="181" t="s">
        <v>7494</v>
      </c>
      <c r="AV1890" s="185" t="s">
        <v>176</v>
      </c>
      <c r="AW1890" s="58"/>
      <c r="AX1890" s="185" t="s">
        <v>176</v>
      </c>
      <c r="AY1890" s="58"/>
      <c r="AZ1890" s="59" t="s">
        <v>1016</v>
      </c>
      <c r="BA1890" s="59" t="s">
        <v>1016</v>
      </c>
      <c r="BB1890" s="59" t="s">
        <v>2082</v>
      </c>
      <c r="BC1890" s="59" t="s">
        <v>2082</v>
      </c>
      <c r="BD1890" s="55" t="s">
        <v>2071</v>
      </c>
      <c r="BE1890" s="236" t="s">
        <v>1989</v>
      </c>
      <c r="BF1890" s="191"/>
      <c r="BG1890" s="58" t="s">
        <v>479</v>
      </c>
      <c r="BH1890" s="236"/>
      <c r="BI1890" s="58"/>
      <c r="BJ1890" s="152" t="s">
        <v>1983</v>
      </c>
      <c r="BK1890" s="58" t="s">
        <v>6269</v>
      </c>
      <c r="BL1890" s="58"/>
      <c r="BM1890" s="237" t="s">
        <v>160</v>
      </c>
      <c r="BN1890" s="59">
        <v>4</v>
      </c>
      <c r="BO1890" s="59">
        <v>4</v>
      </c>
      <c r="BP1890" s="59">
        <v>4</v>
      </c>
      <c r="BQ1890" s="58" t="s">
        <v>141</v>
      </c>
      <c r="BR1890" s="58"/>
      <c r="BS1890" s="59"/>
      <c r="BT1890" s="58"/>
      <c r="BU1890" s="58"/>
      <c r="BV1890" s="58"/>
      <c r="CC1890" s="153"/>
      <c r="CD1890" s="153"/>
      <c r="CE1890" s="67"/>
      <c r="CH1890" s="93">
        <f>CI1890</f>
        <v>1.6279999999999999</v>
      </c>
      <c r="CI1890" s="93">
        <v>1.6279999999999999</v>
      </c>
      <c r="CM1890" s="67">
        <v>0.13104013104013107</v>
      </c>
      <c r="CN1890" s="67">
        <v>0.11875511875511877</v>
      </c>
      <c r="CR1890" s="65">
        <v>6.4</v>
      </c>
      <c r="CS1890" s="65">
        <v>5.8</v>
      </c>
      <c r="CT1890" s="65">
        <v>2.2000000000000002</v>
      </c>
      <c r="CU1890" s="65">
        <v>2.2000000000000002</v>
      </c>
      <c r="CV1890" s="65" t="s">
        <v>962</v>
      </c>
      <c r="DA1890" s="65" t="s">
        <v>4458</v>
      </c>
      <c r="GP1890" s="292" t="s">
        <v>7494</v>
      </c>
      <c r="JU1890" s="59" t="s">
        <v>2040</v>
      </c>
      <c r="JV1890" s="58"/>
    </row>
    <row r="1891" spans="1:282" x14ac:dyDescent="0.25">
      <c r="A1891" s="55">
        <v>1890</v>
      </c>
      <c r="B1891" s="12" t="s">
        <v>7067</v>
      </c>
      <c r="C1891" s="157">
        <v>91</v>
      </c>
      <c r="D1891" s="59" t="s">
        <v>4079</v>
      </c>
      <c r="E1891" s="93" t="s">
        <v>741</v>
      </c>
      <c r="F1891" s="93"/>
      <c r="G1891" s="58" t="s">
        <v>2074</v>
      </c>
      <c r="H1891" s="59">
        <v>2006</v>
      </c>
      <c r="I1891" s="58">
        <v>1999</v>
      </c>
      <c r="J1891" s="59" t="s">
        <v>916</v>
      </c>
      <c r="K1891" s="59" t="s">
        <v>1990</v>
      </c>
      <c r="L1891" s="59" t="s">
        <v>2737</v>
      </c>
      <c r="M1891" s="94">
        <v>32.56</v>
      </c>
      <c r="N1891" s="94">
        <v>-83.91</v>
      </c>
      <c r="O1891" s="93">
        <v>16</v>
      </c>
      <c r="P1891" s="59">
        <v>18.100000000000001</v>
      </c>
      <c r="Q1891" s="58"/>
      <c r="R1891" s="59">
        <v>1258</v>
      </c>
      <c r="S1891" s="94"/>
      <c r="T1891" s="58"/>
      <c r="U1891" s="59">
        <v>6</v>
      </c>
      <c r="V1891" s="58" t="s">
        <v>1933</v>
      </c>
      <c r="Y1891" s="58" t="s">
        <v>2059</v>
      </c>
      <c r="Z1891" s="58" t="s">
        <v>1355</v>
      </c>
      <c r="AA1891" s="94">
        <v>10</v>
      </c>
      <c r="AD1891" s="94">
        <f>AVERAGE(Sheet1!CH1891:CI1891)</f>
        <v>1.421</v>
      </c>
      <c r="AE1891" s="93">
        <v>65</v>
      </c>
      <c r="AF1891" s="93">
        <v>25</v>
      </c>
      <c r="AG1891" s="93"/>
      <c r="AH1891" s="58" t="s">
        <v>238</v>
      </c>
      <c r="AI1891" s="169"/>
      <c r="AJ1891" s="94"/>
      <c r="AK1891" s="94"/>
      <c r="AL1891" s="58"/>
      <c r="AM1891" s="59" t="s">
        <v>1987</v>
      </c>
      <c r="AN1891" s="188" t="s">
        <v>131</v>
      </c>
      <c r="AO1891" s="185" t="s">
        <v>5150</v>
      </c>
      <c r="AP1891" s="59"/>
      <c r="AQ1891" s="59" t="s">
        <v>131</v>
      </c>
      <c r="AR1891" s="59" t="s">
        <v>1985</v>
      </c>
      <c r="AS1891" s="55" t="s">
        <v>5133</v>
      </c>
      <c r="AT1891" s="182"/>
      <c r="AU1891" s="181" t="s">
        <v>7494</v>
      </c>
      <c r="AV1891" s="185" t="s">
        <v>176</v>
      </c>
      <c r="AW1891" s="58"/>
      <c r="AX1891" s="185" t="s">
        <v>176</v>
      </c>
      <c r="AY1891" s="58"/>
      <c r="AZ1891" s="59" t="s">
        <v>1016</v>
      </c>
      <c r="BA1891" s="59" t="s">
        <v>1016</v>
      </c>
      <c r="BB1891" s="59" t="s">
        <v>2082</v>
      </c>
      <c r="BC1891" s="59" t="s">
        <v>2082</v>
      </c>
      <c r="BD1891" s="55" t="s">
        <v>176</v>
      </c>
      <c r="BE1891" s="236" t="s">
        <v>1984</v>
      </c>
      <c r="BF1891" s="191"/>
      <c r="BG1891" s="58" t="s">
        <v>479</v>
      </c>
      <c r="BH1891" s="236"/>
      <c r="BI1891" s="58"/>
      <c r="BJ1891" s="152" t="s">
        <v>1983</v>
      </c>
      <c r="BK1891" s="58" t="s">
        <v>6269</v>
      </c>
      <c r="BL1891" s="58"/>
      <c r="BM1891" s="237" t="s">
        <v>160</v>
      </c>
      <c r="BN1891" s="59">
        <v>4</v>
      </c>
      <c r="BO1891" s="59">
        <v>4</v>
      </c>
      <c r="BP1891" s="59">
        <v>4</v>
      </c>
      <c r="BQ1891" s="58" t="s">
        <v>141</v>
      </c>
      <c r="BR1891" s="58"/>
      <c r="BS1891" s="59">
        <f>1/3*14820</f>
        <v>4940</v>
      </c>
      <c r="BT1891" s="58"/>
      <c r="BU1891" s="58"/>
      <c r="BV1891" s="58"/>
      <c r="CC1891" s="153"/>
      <c r="CD1891" s="153"/>
      <c r="CE1891" s="67"/>
      <c r="CH1891" s="93">
        <f>CI1891</f>
        <v>1.421</v>
      </c>
      <c r="CI1891" s="93">
        <v>1.421</v>
      </c>
      <c r="CM1891" s="67">
        <v>0.7670654468684025</v>
      </c>
      <c r="CN1891" s="67">
        <v>0.80928923293455313</v>
      </c>
      <c r="CR1891" s="65">
        <v>10.9</v>
      </c>
      <c r="CS1891" s="65">
        <v>11.5</v>
      </c>
      <c r="CT1891" s="65">
        <v>1</v>
      </c>
      <c r="CU1891" s="65">
        <v>1</v>
      </c>
      <c r="CV1891" s="65" t="s">
        <v>962</v>
      </c>
      <c r="DA1891" s="65" t="s">
        <v>4458</v>
      </c>
      <c r="GP1891" s="292" t="s">
        <v>7494</v>
      </c>
      <c r="JU1891" s="59" t="s">
        <v>2040</v>
      </c>
      <c r="JV1891" s="58"/>
    </row>
    <row r="1892" spans="1:282" x14ac:dyDescent="0.25">
      <c r="A1892" s="55">
        <v>1891</v>
      </c>
      <c r="B1892" s="12" t="s">
        <v>7067</v>
      </c>
      <c r="C1892" s="157">
        <v>91</v>
      </c>
      <c r="D1892" s="59" t="s">
        <v>4080</v>
      </c>
      <c r="E1892" s="93" t="s">
        <v>741</v>
      </c>
      <c r="F1892" s="93"/>
      <c r="G1892" s="58" t="s">
        <v>2074</v>
      </c>
      <c r="H1892" s="59">
        <v>2006</v>
      </c>
      <c r="I1892" s="58">
        <v>1999</v>
      </c>
      <c r="J1892" s="59" t="s">
        <v>916</v>
      </c>
      <c r="K1892" s="59" t="s">
        <v>1990</v>
      </c>
      <c r="L1892" s="59" t="s">
        <v>2737</v>
      </c>
      <c r="M1892" s="94">
        <v>32.56</v>
      </c>
      <c r="N1892" s="94">
        <v>-83.91</v>
      </c>
      <c r="O1892" s="93">
        <v>16</v>
      </c>
      <c r="P1892" s="59">
        <v>18.100000000000001</v>
      </c>
      <c r="Q1892" s="58"/>
      <c r="R1892" s="59">
        <v>1258</v>
      </c>
      <c r="S1892" s="94"/>
      <c r="T1892" s="58"/>
      <c r="U1892" s="59">
        <v>6</v>
      </c>
      <c r="V1892" s="58" t="s">
        <v>1933</v>
      </c>
      <c r="Y1892" s="58" t="s">
        <v>2059</v>
      </c>
      <c r="Z1892" s="58" t="s">
        <v>1375</v>
      </c>
      <c r="AA1892" s="94">
        <v>20</v>
      </c>
      <c r="AD1892" s="94">
        <f>AVERAGE(Sheet1!CH1892:CI1892)</f>
        <v>1.5469999999999999</v>
      </c>
      <c r="AE1892" s="93">
        <v>65</v>
      </c>
      <c r="AF1892" s="93">
        <v>25</v>
      </c>
      <c r="AG1892" s="93"/>
      <c r="AH1892" s="58" t="s">
        <v>238</v>
      </c>
      <c r="AI1892" s="169"/>
      <c r="AJ1892" s="94"/>
      <c r="AK1892" s="94"/>
      <c r="AL1892" s="58"/>
      <c r="AM1892" s="59" t="s">
        <v>1987</v>
      </c>
      <c r="AN1892" s="188" t="s">
        <v>131</v>
      </c>
      <c r="AO1892" s="185" t="s">
        <v>5150</v>
      </c>
      <c r="AP1892" s="59"/>
      <c r="AQ1892" s="59" t="s">
        <v>131</v>
      </c>
      <c r="AR1892" s="59" t="s">
        <v>1985</v>
      </c>
      <c r="AS1892" s="55" t="s">
        <v>5133</v>
      </c>
      <c r="AT1892" s="182"/>
      <c r="AU1892" s="181" t="s">
        <v>7494</v>
      </c>
      <c r="AV1892" s="185" t="s">
        <v>176</v>
      </c>
      <c r="AW1892" s="58"/>
      <c r="AX1892" s="185" t="s">
        <v>176</v>
      </c>
      <c r="AY1892" s="58"/>
      <c r="AZ1892" s="59" t="s">
        <v>1016</v>
      </c>
      <c r="BA1892" s="59" t="s">
        <v>1016</v>
      </c>
      <c r="BB1892" s="59" t="s">
        <v>2082</v>
      </c>
      <c r="BC1892" s="59" t="s">
        <v>2082</v>
      </c>
      <c r="BD1892" s="55" t="s">
        <v>2071</v>
      </c>
      <c r="BE1892" s="236" t="s">
        <v>1984</v>
      </c>
      <c r="BF1892" s="58"/>
      <c r="BG1892" s="58" t="s">
        <v>479</v>
      </c>
      <c r="BH1892" s="236"/>
      <c r="BI1892" s="58"/>
      <c r="BJ1892" s="152" t="s">
        <v>1983</v>
      </c>
      <c r="BK1892" s="58" t="s">
        <v>6269</v>
      </c>
      <c r="BL1892" s="58"/>
      <c r="BM1892" s="237" t="s">
        <v>160</v>
      </c>
      <c r="BN1892" s="59">
        <v>4</v>
      </c>
      <c r="BO1892" s="59">
        <v>4</v>
      </c>
      <c r="BP1892" s="59">
        <v>4</v>
      </c>
      <c r="BQ1892" s="58" t="s">
        <v>141</v>
      </c>
      <c r="BR1892" s="58"/>
      <c r="BS1892" s="59"/>
      <c r="BT1892" s="58"/>
      <c r="BU1892" s="58"/>
      <c r="BV1892" s="58"/>
      <c r="CC1892" s="153"/>
      <c r="CD1892" s="153"/>
      <c r="CE1892" s="67"/>
      <c r="CH1892" s="93">
        <f>CI1892</f>
        <v>1.5469999999999999</v>
      </c>
      <c r="CI1892" s="93">
        <v>1.5469999999999999</v>
      </c>
      <c r="CM1892" s="67">
        <v>0.42986425339366519</v>
      </c>
      <c r="CN1892" s="67">
        <v>0.55268261150614095</v>
      </c>
      <c r="CR1892" s="65">
        <v>13.3</v>
      </c>
      <c r="CS1892" s="65">
        <v>17.100000000000001</v>
      </c>
      <c r="CT1892" s="65">
        <v>2.2999999999999998</v>
      </c>
      <c r="CU1892" s="65">
        <v>2.2999999999999998</v>
      </c>
      <c r="CV1892" s="65" t="s">
        <v>962</v>
      </c>
      <c r="DA1892" s="65" t="s">
        <v>4458</v>
      </c>
      <c r="GP1892" s="292" t="s">
        <v>7494</v>
      </c>
      <c r="JU1892" s="59" t="s">
        <v>2040</v>
      </c>
      <c r="JV1892" s="58"/>
    </row>
    <row r="1893" spans="1:282" x14ac:dyDescent="0.25">
      <c r="A1893" s="55">
        <v>1892</v>
      </c>
      <c r="B1893" s="12" t="s">
        <v>7067</v>
      </c>
      <c r="C1893" s="157">
        <v>91</v>
      </c>
      <c r="D1893" s="59" t="s">
        <v>4081</v>
      </c>
      <c r="E1893" s="93" t="s">
        <v>741</v>
      </c>
      <c r="F1893" s="93"/>
      <c r="G1893" s="58" t="s">
        <v>2074</v>
      </c>
      <c r="H1893" s="59">
        <v>2006</v>
      </c>
      <c r="I1893" s="58">
        <v>1999</v>
      </c>
      <c r="J1893" s="59" t="s">
        <v>916</v>
      </c>
      <c r="K1893" s="59" t="s">
        <v>1990</v>
      </c>
      <c r="L1893" s="59" t="s">
        <v>2737</v>
      </c>
      <c r="M1893" s="94">
        <v>32.56</v>
      </c>
      <c r="N1893" s="94">
        <v>-83.91</v>
      </c>
      <c r="O1893" s="93">
        <v>16</v>
      </c>
      <c r="P1893" s="59">
        <v>18.100000000000001</v>
      </c>
      <c r="Q1893" s="58"/>
      <c r="R1893" s="59">
        <v>1258</v>
      </c>
      <c r="S1893" s="94"/>
      <c r="T1893" s="58"/>
      <c r="U1893" s="59">
        <v>6</v>
      </c>
      <c r="V1893" s="58" t="s">
        <v>1933</v>
      </c>
      <c r="Y1893" s="58" t="s">
        <v>2059</v>
      </c>
      <c r="Z1893" s="58" t="s">
        <v>1369</v>
      </c>
      <c r="AA1893" s="94">
        <v>30</v>
      </c>
      <c r="AD1893" s="94">
        <f>AVERAGE(Sheet1!CH1893:CI1893)</f>
        <v>1.3979999999999999</v>
      </c>
      <c r="AE1893" s="93">
        <v>65</v>
      </c>
      <c r="AF1893" s="93">
        <v>25</v>
      </c>
      <c r="AG1893" s="93"/>
      <c r="AH1893" s="58" t="s">
        <v>238</v>
      </c>
      <c r="AI1893" s="169"/>
      <c r="AJ1893" s="94"/>
      <c r="AK1893" s="94"/>
      <c r="AL1893" s="58"/>
      <c r="AM1893" s="59" t="s">
        <v>1987</v>
      </c>
      <c r="AN1893" s="188" t="s">
        <v>131</v>
      </c>
      <c r="AO1893" s="185" t="s">
        <v>5150</v>
      </c>
      <c r="AP1893" s="59"/>
      <c r="AQ1893" s="59" t="s">
        <v>131</v>
      </c>
      <c r="AR1893" s="59" t="s">
        <v>1985</v>
      </c>
      <c r="AS1893" s="55" t="s">
        <v>5133</v>
      </c>
      <c r="AT1893" s="182"/>
      <c r="AU1893" s="181" t="s">
        <v>7494</v>
      </c>
      <c r="AV1893" s="185" t="s">
        <v>176</v>
      </c>
      <c r="AW1893" s="58"/>
      <c r="AX1893" s="185" t="s">
        <v>176</v>
      </c>
      <c r="AY1893" s="58"/>
      <c r="AZ1893" s="59" t="s">
        <v>1016</v>
      </c>
      <c r="BA1893" s="59" t="s">
        <v>1016</v>
      </c>
      <c r="BB1893" s="59" t="s">
        <v>2082</v>
      </c>
      <c r="BC1893" s="59" t="s">
        <v>2082</v>
      </c>
      <c r="BD1893" s="55" t="s">
        <v>176</v>
      </c>
      <c r="BE1893" s="236" t="s">
        <v>1984</v>
      </c>
      <c r="BF1893" s="58"/>
      <c r="BG1893" s="58" t="s">
        <v>479</v>
      </c>
      <c r="BH1893" s="236"/>
      <c r="BI1893" s="58"/>
      <c r="BJ1893" s="152" t="s">
        <v>1983</v>
      </c>
      <c r="BK1893" s="58" t="s">
        <v>6269</v>
      </c>
      <c r="BL1893" s="58"/>
      <c r="BM1893" s="237" t="s">
        <v>160</v>
      </c>
      <c r="BN1893" s="59">
        <v>4</v>
      </c>
      <c r="BO1893" s="59">
        <v>4</v>
      </c>
      <c r="BP1893" s="59">
        <v>4</v>
      </c>
      <c r="BQ1893" s="58" t="s">
        <v>141</v>
      </c>
      <c r="BR1893" s="58"/>
      <c r="BS1893" s="59"/>
      <c r="BT1893" s="58"/>
      <c r="BU1893" s="58"/>
      <c r="BV1893" s="58"/>
      <c r="CC1893" s="153"/>
      <c r="CD1893" s="153"/>
      <c r="CE1893" s="67"/>
      <c r="CH1893" s="93">
        <f>CI1893</f>
        <v>1.3979999999999999</v>
      </c>
      <c r="CI1893" s="93">
        <v>1.3979999999999999</v>
      </c>
      <c r="CM1893" s="67">
        <v>0.25035765379113017</v>
      </c>
      <c r="CN1893" s="67">
        <v>0.26943252265140677</v>
      </c>
      <c r="CR1893" s="65">
        <v>10.499999999999996</v>
      </c>
      <c r="CS1893" s="65">
        <v>11.299999999999997</v>
      </c>
      <c r="CT1893" s="65">
        <v>3.4</v>
      </c>
      <c r="CU1893" s="65">
        <v>3.4</v>
      </c>
      <c r="CV1893" s="65" t="s">
        <v>962</v>
      </c>
      <c r="DA1893" s="65" t="s">
        <v>4458</v>
      </c>
      <c r="GP1893" s="292" t="s">
        <v>7494</v>
      </c>
      <c r="JU1893" s="59" t="s">
        <v>2040</v>
      </c>
      <c r="JV1893" s="58"/>
    </row>
    <row r="1894" spans="1:282" x14ac:dyDescent="0.25">
      <c r="A1894" s="55">
        <v>1893</v>
      </c>
      <c r="B1894" s="12" t="s">
        <v>7067</v>
      </c>
      <c r="C1894" s="157">
        <v>91</v>
      </c>
      <c r="D1894" s="59" t="s">
        <v>4082</v>
      </c>
      <c r="E1894" s="93" t="s">
        <v>741</v>
      </c>
      <c r="F1894" s="93"/>
      <c r="G1894" s="58" t="s">
        <v>2074</v>
      </c>
      <c r="H1894" s="59">
        <v>2006</v>
      </c>
      <c r="I1894" s="58">
        <v>1999</v>
      </c>
      <c r="J1894" s="59" t="s">
        <v>916</v>
      </c>
      <c r="K1894" s="59" t="s">
        <v>1990</v>
      </c>
      <c r="L1894" s="59" t="s">
        <v>2737</v>
      </c>
      <c r="M1894" s="94">
        <v>32.56</v>
      </c>
      <c r="N1894" s="94">
        <v>-83.91</v>
      </c>
      <c r="O1894" s="93">
        <v>16</v>
      </c>
      <c r="P1894" s="59">
        <v>18.100000000000001</v>
      </c>
      <c r="Q1894" s="58"/>
      <c r="R1894" s="59">
        <v>1258</v>
      </c>
      <c r="S1894" s="94"/>
      <c r="T1894" s="58"/>
      <c r="U1894" s="59">
        <v>6</v>
      </c>
      <c r="V1894" s="58" t="s">
        <v>1933</v>
      </c>
      <c r="Y1894" s="58" t="s">
        <v>2059</v>
      </c>
      <c r="Z1894" s="58" t="s">
        <v>1370</v>
      </c>
      <c r="AA1894" s="94">
        <v>30</v>
      </c>
      <c r="AD1894" s="94">
        <f>AVERAGE(Sheet1!CH1894:CI1894)</f>
        <v>1.6160000000000001</v>
      </c>
      <c r="AE1894" s="93">
        <v>65</v>
      </c>
      <c r="AF1894" s="93">
        <v>25</v>
      </c>
      <c r="AG1894" s="93"/>
      <c r="AH1894" s="58" t="s">
        <v>238</v>
      </c>
      <c r="AI1894" s="169"/>
      <c r="AJ1894" s="94"/>
      <c r="AK1894" s="94"/>
      <c r="AL1894" s="58"/>
      <c r="AM1894" s="59" t="s">
        <v>1987</v>
      </c>
      <c r="AN1894" s="188" t="s">
        <v>131</v>
      </c>
      <c r="AO1894" s="185" t="s">
        <v>5150</v>
      </c>
      <c r="AP1894" s="59"/>
      <c r="AQ1894" s="59" t="s">
        <v>131</v>
      </c>
      <c r="AR1894" s="59" t="s">
        <v>1985</v>
      </c>
      <c r="AS1894" s="55" t="s">
        <v>5133</v>
      </c>
      <c r="AT1894" s="182"/>
      <c r="AU1894" s="181" t="s">
        <v>7494</v>
      </c>
      <c r="AV1894" s="185" t="s">
        <v>176</v>
      </c>
      <c r="AW1894" s="58"/>
      <c r="AX1894" s="185" t="s">
        <v>176</v>
      </c>
      <c r="AY1894" s="58"/>
      <c r="AZ1894" s="59" t="s">
        <v>1016</v>
      </c>
      <c r="BA1894" s="59" t="s">
        <v>1016</v>
      </c>
      <c r="BB1894" s="59" t="s">
        <v>2082</v>
      </c>
      <c r="BC1894" s="59" t="s">
        <v>2082</v>
      </c>
      <c r="BD1894" s="55" t="s">
        <v>2071</v>
      </c>
      <c r="BE1894" s="236" t="s">
        <v>1984</v>
      </c>
      <c r="BF1894" s="58"/>
      <c r="BG1894" s="58" t="s">
        <v>479</v>
      </c>
      <c r="BH1894" s="236"/>
      <c r="BI1894" s="58"/>
      <c r="BJ1894" s="152" t="s">
        <v>1983</v>
      </c>
      <c r="BK1894" s="58" t="s">
        <v>6269</v>
      </c>
      <c r="BL1894" s="58"/>
      <c r="BM1894" s="237" t="s">
        <v>160</v>
      </c>
      <c r="BN1894" s="59">
        <v>4</v>
      </c>
      <c r="BO1894" s="59">
        <v>4</v>
      </c>
      <c r="BP1894" s="59">
        <v>4</v>
      </c>
      <c r="BQ1894" s="58" t="s">
        <v>141</v>
      </c>
      <c r="BR1894" s="58"/>
      <c r="BS1894" s="59"/>
      <c r="BT1894" s="58"/>
      <c r="BU1894" s="58"/>
      <c r="BV1894" s="58"/>
      <c r="CC1894" s="153"/>
      <c r="CD1894" s="153"/>
      <c r="CE1894" s="67"/>
      <c r="CH1894" s="93">
        <f>CI1894</f>
        <v>1.6160000000000001</v>
      </c>
      <c r="CI1894" s="93">
        <v>1.6160000000000001</v>
      </c>
      <c r="CM1894" s="67">
        <v>0.14438943894389436</v>
      </c>
      <c r="CN1894" s="67">
        <v>0.13613861386138612</v>
      </c>
      <c r="CR1894" s="65">
        <v>6.9999999999999991</v>
      </c>
      <c r="CS1894" s="65">
        <v>6.6</v>
      </c>
      <c r="CT1894" s="65">
        <v>3.4</v>
      </c>
      <c r="CU1894" s="65">
        <v>3.4</v>
      </c>
      <c r="CV1894" s="65" t="s">
        <v>962</v>
      </c>
      <c r="DA1894" s="65" t="s">
        <v>4458</v>
      </c>
      <c r="GP1894" s="292" t="s">
        <v>7494</v>
      </c>
      <c r="JU1894" s="59" t="s">
        <v>2040</v>
      </c>
      <c r="JV1894" s="58"/>
    </row>
    <row r="1895" spans="1:282" x14ac:dyDescent="0.25">
      <c r="A1895" s="55">
        <v>1894</v>
      </c>
      <c r="B1895" s="12" t="s">
        <v>7067</v>
      </c>
      <c r="C1895" s="157">
        <v>91</v>
      </c>
      <c r="D1895" s="59" t="s">
        <v>4083</v>
      </c>
      <c r="E1895" s="93" t="s">
        <v>741</v>
      </c>
      <c r="F1895" s="93"/>
      <c r="G1895" s="58" t="s">
        <v>2074</v>
      </c>
      <c r="H1895" s="59">
        <v>2006</v>
      </c>
      <c r="I1895" s="58">
        <v>1999</v>
      </c>
      <c r="J1895" s="59" t="s">
        <v>916</v>
      </c>
      <c r="K1895" s="59" t="s">
        <v>1990</v>
      </c>
      <c r="L1895" s="59" t="s">
        <v>2737</v>
      </c>
      <c r="M1895" s="94">
        <v>32.56</v>
      </c>
      <c r="N1895" s="94">
        <v>-83.91</v>
      </c>
      <c r="O1895" s="93">
        <v>16</v>
      </c>
      <c r="P1895" s="59">
        <v>18.100000000000001</v>
      </c>
      <c r="Q1895" s="58"/>
      <c r="R1895" s="59">
        <v>1258</v>
      </c>
      <c r="S1895" s="94"/>
      <c r="T1895" s="58"/>
      <c r="U1895" s="59">
        <v>6</v>
      </c>
      <c r="V1895" s="58" t="s">
        <v>1933</v>
      </c>
      <c r="Y1895" s="58" t="s">
        <v>2059</v>
      </c>
      <c r="Z1895" s="58" t="s">
        <v>1382</v>
      </c>
      <c r="AA1895" s="94">
        <v>30</v>
      </c>
      <c r="AD1895" s="94">
        <f>AVERAGE(Sheet1!CH1895:CI1895)</f>
        <v>1.6279999999999999</v>
      </c>
      <c r="AE1895" s="93">
        <v>65</v>
      </c>
      <c r="AF1895" s="93">
        <v>25</v>
      </c>
      <c r="AG1895" s="93"/>
      <c r="AH1895" s="58" t="s">
        <v>238</v>
      </c>
      <c r="AI1895" s="169"/>
      <c r="AJ1895" s="94"/>
      <c r="AK1895" s="94"/>
      <c r="AL1895" s="58"/>
      <c r="AM1895" s="59" t="s">
        <v>1987</v>
      </c>
      <c r="AN1895" s="188" t="s">
        <v>131</v>
      </c>
      <c r="AO1895" s="185" t="s">
        <v>5150</v>
      </c>
      <c r="AP1895" s="59"/>
      <c r="AQ1895" s="59" t="s">
        <v>131</v>
      </c>
      <c r="AR1895" s="59" t="s">
        <v>1985</v>
      </c>
      <c r="AS1895" s="55" t="s">
        <v>5133</v>
      </c>
      <c r="AT1895" s="182"/>
      <c r="AU1895" s="181" t="s">
        <v>7494</v>
      </c>
      <c r="AV1895" s="185" t="s">
        <v>176</v>
      </c>
      <c r="AW1895" s="58"/>
      <c r="AX1895" s="185" t="s">
        <v>176</v>
      </c>
      <c r="AY1895" s="58"/>
      <c r="AZ1895" s="59" t="s">
        <v>1016</v>
      </c>
      <c r="BA1895" s="59" t="s">
        <v>1016</v>
      </c>
      <c r="BB1895" s="59" t="s">
        <v>2082</v>
      </c>
      <c r="BC1895" s="59" t="s">
        <v>2082</v>
      </c>
      <c r="BD1895" s="55" t="s">
        <v>176</v>
      </c>
      <c r="BE1895" s="236" t="s">
        <v>1984</v>
      </c>
      <c r="BF1895" s="58"/>
      <c r="BG1895" s="58" t="s">
        <v>479</v>
      </c>
      <c r="BH1895" s="236"/>
      <c r="BI1895" s="58"/>
      <c r="BJ1895" s="152" t="s">
        <v>1983</v>
      </c>
      <c r="BK1895" s="58" t="s">
        <v>6269</v>
      </c>
      <c r="BL1895" s="58"/>
      <c r="BM1895" s="237" t="s">
        <v>160</v>
      </c>
      <c r="BN1895" s="59">
        <v>4</v>
      </c>
      <c r="BO1895" s="59">
        <v>4</v>
      </c>
      <c r="BP1895" s="59">
        <v>4</v>
      </c>
      <c r="BQ1895" s="58" t="s">
        <v>141</v>
      </c>
      <c r="BR1895" s="58"/>
      <c r="BS1895" s="59"/>
      <c r="BT1895" s="58"/>
      <c r="BU1895" s="58"/>
      <c r="BV1895" s="58"/>
      <c r="CC1895" s="153"/>
      <c r="CD1895" s="153"/>
      <c r="CE1895" s="67"/>
      <c r="CH1895" s="93">
        <f>CI1895</f>
        <v>1.6279999999999999</v>
      </c>
      <c r="CI1895" s="93">
        <v>1.6279999999999999</v>
      </c>
      <c r="CM1895" s="67">
        <v>0.11466011466011466</v>
      </c>
      <c r="CN1895" s="67">
        <v>0.13923013923013927</v>
      </c>
      <c r="CR1895" s="65">
        <v>5.6000000000000005</v>
      </c>
      <c r="CS1895" s="65">
        <v>6.8000000000000016</v>
      </c>
      <c r="CT1895" s="65">
        <v>2.2000000000000002</v>
      </c>
      <c r="CU1895" s="65">
        <v>2.2000000000000002</v>
      </c>
      <c r="CV1895" s="65" t="s">
        <v>962</v>
      </c>
      <c r="DA1895" s="65" t="s">
        <v>4458</v>
      </c>
      <c r="GP1895" s="292" t="s">
        <v>7494</v>
      </c>
      <c r="JU1895" s="59" t="s">
        <v>2040</v>
      </c>
      <c r="JV1895" s="58"/>
    </row>
    <row r="1896" spans="1:282" x14ac:dyDescent="0.25">
      <c r="A1896" s="55">
        <v>1895</v>
      </c>
      <c r="B1896" s="12" t="s">
        <v>7067</v>
      </c>
      <c r="C1896" s="157">
        <v>91</v>
      </c>
      <c r="D1896" s="59" t="s">
        <v>4084</v>
      </c>
      <c r="E1896" s="93" t="s">
        <v>741</v>
      </c>
      <c r="F1896" s="93"/>
      <c r="G1896" s="58" t="s">
        <v>2074</v>
      </c>
      <c r="H1896" s="59">
        <v>2006</v>
      </c>
      <c r="I1896" s="58">
        <v>1999</v>
      </c>
      <c r="J1896" s="59" t="s">
        <v>916</v>
      </c>
      <c r="K1896" s="59" t="s">
        <v>1990</v>
      </c>
      <c r="L1896" s="59" t="s">
        <v>2737</v>
      </c>
      <c r="M1896" s="94">
        <v>32.56</v>
      </c>
      <c r="N1896" s="94">
        <v>-83.91</v>
      </c>
      <c r="O1896" s="93">
        <v>16</v>
      </c>
      <c r="P1896" s="59">
        <v>18.100000000000001</v>
      </c>
      <c r="Q1896" s="58"/>
      <c r="R1896" s="59">
        <v>1258</v>
      </c>
      <c r="S1896" s="94"/>
      <c r="T1896" s="58"/>
      <c r="U1896" s="59">
        <v>6</v>
      </c>
      <c r="V1896" s="58" t="s">
        <v>1933</v>
      </c>
      <c r="Y1896" s="58" t="s">
        <v>2059</v>
      </c>
      <c r="Z1896" s="58" t="s">
        <v>1355</v>
      </c>
      <c r="AA1896" s="94">
        <v>10</v>
      </c>
      <c r="AD1896" s="94">
        <f>AVERAGE(Sheet1!CH1896:CI1896)</f>
        <v>1.421</v>
      </c>
      <c r="AE1896" s="93">
        <v>65</v>
      </c>
      <c r="AF1896" s="93">
        <v>25</v>
      </c>
      <c r="AG1896" s="93"/>
      <c r="AH1896" s="58" t="s">
        <v>238</v>
      </c>
      <c r="AI1896" s="169"/>
      <c r="AJ1896" s="94"/>
      <c r="AK1896" s="94"/>
      <c r="AL1896" s="58"/>
      <c r="AM1896" s="59" t="s">
        <v>1987</v>
      </c>
      <c r="AN1896" s="188" t="s">
        <v>241</v>
      </c>
      <c r="AO1896" s="185" t="s">
        <v>5150</v>
      </c>
      <c r="AP1896" s="59"/>
      <c r="AQ1896" s="58" t="s">
        <v>553</v>
      </c>
      <c r="AR1896" s="59" t="s">
        <v>1985</v>
      </c>
      <c r="AS1896" s="55" t="s">
        <v>5133</v>
      </c>
      <c r="AT1896" s="182"/>
      <c r="AU1896" s="181" t="s">
        <v>7494</v>
      </c>
      <c r="AV1896" s="185" t="s">
        <v>176</v>
      </c>
      <c r="AW1896" s="58"/>
      <c r="AX1896" s="185" t="s">
        <v>176</v>
      </c>
      <c r="AY1896" s="58"/>
      <c r="AZ1896" s="59" t="s">
        <v>1016</v>
      </c>
      <c r="BA1896" s="59" t="s">
        <v>1016</v>
      </c>
      <c r="BB1896" s="59" t="s">
        <v>2082</v>
      </c>
      <c r="BC1896" s="59" t="s">
        <v>2082</v>
      </c>
      <c r="BD1896" s="55" t="s">
        <v>2071</v>
      </c>
      <c r="BE1896" s="236" t="s">
        <v>161</v>
      </c>
      <c r="BF1896" s="58"/>
      <c r="BG1896" s="58" t="s">
        <v>176</v>
      </c>
      <c r="BH1896" s="236"/>
      <c r="BI1896" s="58"/>
      <c r="BJ1896" s="152" t="s">
        <v>1983</v>
      </c>
      <c r="BK1896" s="58" t="s">
        <v>6269</v>
      </c>
      <c r="BL1896" s="58"/>
      <c r="BM1896" s="237" t="s">
        <v>160</v>
      </c>
      <c r="BN1896" s="59">
        <v>4</v>
      </c>
      <c r="BO1896" s="59">
        <v>4</v>
      </c>
      <c r="BP1896" s="59">
        <v>4</v>
      </c>
      <c r="BQ1896" s="58" t="s">
        <v>141</v>
      </c>
      <c r="BR1896" s="58"/>
      <c r="BS1896" s="59">
        <f>1/3*16440</f>
        <v>5480</v>
      </c>
      <c r="BT1896" s="58"/>
      <c r="BU1896" s="58"/>
      <c r="BV1896" s="58"/>
      <c r="CC1896" s="153"/>
      <c r="CD1896" s="153"/>
      <c r="CE1896" s="67"/>
      <c r="CH1896" s="94">
        <f>CI1896</f>
        <v>1.421</v>
      </c>
      <c r="CI1896" s="93">
        <v>1.421</v>
      </c>
      <c r="CM1896" s="67">
        <v>0.74595355383532724</v>
      </c>
      <c r="CN1896" s="67">
        <v>0.83040112596762838</v>
      </c>
      <c r="CR1896" s="65">
        <v>10.6</v>
      </c>
      <c r="CS1896" s="65">
        <v>11.799999999999999</v>
      </c>
      <c r="CT1896" s="65">
        <v>1</v>
      </c>
      <c r="CU1896" s="65">
        <v>1</v>
      </c>
      <c r="CV1896" s="65" t="s">
        <v>962</v>
      </c>
      <c r="DA1896" s="65" t="s">
        <v>4458</v>
      </c>
      <c r="GP1896" s="292" t="s">
        <v>7494</v>
      </c>
      <c r="JU1896" s="59" t="s">
        <v>2040</v>
      </c>
      <c r="JV1896" s="58"/>
    </row>
    <row r="1897" spans="1:282" x14ac:dyDescent="0.25">
      <c r="A1897" s="55">
        <v>1896</v>
      </c>
      <c r="B1897" s="12" t="s">
        <v>7067</v>
      </c>
      <c r="C1897" s="157">
        <v>91</v>
      </c>
      <c r="D1897" s="59" t="s">
        <v>4085</v>
      </c>
      <c r="E1897" s="93" t="s">
        <v>741</v>
      </c>
      <c r="F1897" s="93"/>
      <c r="G1897" s="58" t="s">
        <v>2074</v>
      </c>
      <c r="H1897" s="59">
        <v>2006</v>
      </c>
      <c r="I1897" s="58">
        <v>1999</v>
      </c>
      <c r="J1897" s="59" t="s">
        <v>916</v>
      </c>
      <c r="K1897" s="59" t="s">
        <v>1990</v>
      </c>
      <c r="L1897" s="59" t="s">
        <v>2737</v>
      </c>
      <c r="M1897" s="94">
        <v>32.56</v>
      </c>
      <c r="N1897" s="94">
        <v>-83.91</v>
      </c>
      <c r="O1897" s="93">
        <v>16</v>
      </c>
      <c r="P1897" s="59">
        <v>18.100000000000001</v>
      </c>
      <c r="Q1897" s="58"/>
      <c r="R1897" s="59">
        <v>1258</v>
      </c>
      <c r="S1897" s="94"/>
      <c r="T1897" s="58"/>
      <c r="U1897" s="59">
        <v>6</v>
      </c>
      <c r="V1897" s="58" t="s">
        <v>1933</v>
      </c>
      <c r="Y1897" s="58" t="s">
        <v>2059</v>
      </c>
      <c r="Z1897" s="58" t="s">
        <v>1375</v>
      </c>
      <c r="AA1897" s="94">
        <v>20</v>
      </c>
      <c r="AD1897" s="94">
        <f>AVERAGE(Sheet1!CH1897:CI1897)</f>
        <v>1.5469999999999999</v>
      </c>
      <c r="AE1897" s="93">
        <v>65</v>
      </c>
      <c r="AF1897" s="93">
        <v>25</v>
      </c>
      <c r="AG1897" s="93"/>
      <c r="AH1897" s="58" t="s">
        <v>238</v>
      </c>
      <c r="AI1897" s="169"/>
      <c r="AJ1897" s="94"/>
      <c r="AK1897" s="94"/>
      <c r="AL1897" s="58"/>
      <c r="AM1897" s="59" t="s">
        <v>1987</v>
      </c>
      <c r="AN1897" s="188" t="s">
        <v>241</v>
      </c>
      <c r="AO1897" s="185" t="s">
        <v>5150</v>
      </c>
      <c r="AP1897" s="59"/>
      <c r="AQ1897" s="58" t="s">
        <v>553</v>
      </c>
      <c r="AR1897" s="59" t="s">
        <v>1985</v>
      </c>
      <c r="AS1897" s="55" t="s">
        <v>5133</v>
      </c>
      <c r="AT1897" s="182"/>
      <c r="AU1897" s="181" t="s">
        <v>7494</v>
      </c>
      <c r="AV1897" s="185" t="s">
        <v>176</v>
      </c>
      <c r="AW1897" s="58"/>
      <c r="AX1897" s="185" t="s">
        <v>176</v>
      </c>
      <c r="AY1897" s="58"/>
      <c r="AZ1897" s="59" t="s">
        <v>1016</v>
      </c>
      <c r="BA1897" s="59" t="s">
        <v>1016</v>
      </c>
      <c r="BB1897" s="59" t="s">
        <v>2082</v>
      </c>
      <c r="BC1897" s="59" t="s">
        <v>2082</v>
      </c>
      <c r="BD1897" s="55" t="s">
        <v>176</v>
      </c>
      <c r="BE1897" s="236" t="s">
        <v>161</v>
      </c>
      <c r="BF1897" s="58"/>
      <c r="BG1897" s="58" t="s">
        <v>176</v>
      </c>
      <c r="BH1897" s="236"/>
      <c r="BI1897" s="58"/>
      <c r="BJ1897" s="152" t="s">
        <v>1983</v>
      </c>
      <c r="BK1897" s="58" t="s">
        <v>6269</v>
      </c>
      <c r="BL1897" s="58"/>
      <c r="BM1897" s="237" t="s">
        <v>160</v>
      </c>
      <c r="BN1897" s="59">
        <v>4</v>
      </c>
      <c r="BO1897" s="59">
        <v>4</v>
      </c>
      <c r="BP1897" s="59">
        <v>4</v>
      </c>
      <c r="BQ1897" s="58" t="s">
        <v>141</v>
      </c>
      <c r="BR1897" s="58"/>
      <c r="BS1897" s="58"/>
      <c r="BT1897" s="58"/>
      <c r="BU1897" s="58"/>
      <c r="BV1897" s="58"/>
      <c r="CB1897" s="153"/>
      <c r="CC1897" s="153"/>
      <c r="CD1897" s="153"/>
      <c r="CE1897" s="67"/>
      <c r="CH1897" s="94">
        <f>CI1897</f>
        <v>1.5469999999999999</v>
      </c>
      <c r="CI1897" s="93">
        <v>1.5469999999999999</v>
      </c>
      <c r="CM1897" s="67">
        <v>0.45248868778280549</v>
      </c>
      <c r="CN1897" s="67">
        <v>0.46541693600517131</v>
      </c>
      <c r="CR1897" s="65">
        <v>14.000000000000002</v>
      </c>
      <c r="CS1897" s="65">
        <v>14.399999999999999</v>
      </c>
      <c r="CT1897" s="65">
        <v>2.2999999999999998</v>
      </c>
      <c r="CU1897" s="65">
        <v>2.2999999999999998</v>
      </c>
      <c r="CV1897" s="65" t="s">
        <v>962</v>
      </c>
      <c r="DA1897" s="65" t="s">
        <v>4458</v>
      </c>
      <c r="GP1897" s="292" t="s">
        <v>7494</v>
      </c>
      <c r="JU1897" s="59" t="s">
        <v>2040</v>
      </c>
      <c r="JV1897" s="58"/>
    </row>
    <row r="1898" spans="1:282" x14ac:dyDescent="0.25">
      <c r="A1898" s="55">
        <v>1897</v>
      </c>
      <c r="B1898" s="12" t="s">
        <v>7067</v>
      </c>
      <c r="C1898" s="157">
        <v>91</v>
      </c>
      <c r="D1898" s="59" t="s">
        <v>4086</v>
      </c>
      <c r="E1898" s="93" t="s">
        <v>741</v>
      </c>
      <c r="F1898" s="93"/>
      <c r="G1898" s="58" t="s">
        <v>2074</v>
      </c>
      <c r="H1898" s="59">
        <v>2006</v>
      </c>
      <c r="I1898" s="58">
        <v>1999</v>
      </c>
      <c r="J1898" s="59" t="s">
        <v>916</v>
      </c>
      <c r="K1898" s="59" t="s">
        <v>1990</v>
      </c>
      <c r="L1898" s="59" t="s">
        <v>2737</v>
      </c>
      <c r="M1898" s="94">
        <v>32.56</v>
      </c>
      <c r="N1898" s="94">
        <v>-83.91</v>
      </c>
      <c r="O1898" s="93">
        <v>16</v>
      </c>
      <c r="P1898" s="59">
        <v>18.100000000000001</v>
      </c>
      <c r="Q1898" s="58"/>
      <c r="R1898" s="59">
        <v>1258</v>
      </c>
      <c r="S1898" s="94"/>
      <c r="T1898" s="58"/>
      <c r="U1898" s="59">
        <v>6</v>
      </c>
      <c r="V1898" s="58" t="s">
        <v>1933</v>
      </c>
      <c r="Y1898" s="58" t="s">
        <v>2059</v>
      </c>
      <c r="Z1898" s="58" t="s">
        <v>1369</v>
      </c>
      <c r="AA1898" s="94">
        <v>30</v>
      </c>
      <c r="AD1898" s="94">
        <f>AVERAGE(Sheet1!CH1898:CI1898)</f>
        <v>1.3979999999999999</v>
      </c>
      <c r="AE1898" s="93">
        <v>65</v>
      </c>
      <c r="AF1898" s="93">
        <v>25</v>
      </c>
      <c r="AG1898" s="93"/>
      <c r="AH1898" s="58" t="s">
        <v>238</v>
      </c>
      <c r="AI1898" s="169"/>
      <c r="AJ1898" s="94"/>
      <c r="AK1898" s="94"/>
      <c r="AL1898" s="58"/>
      <c r="AM1898" s="59" t="s">
        <v>1987</v>
      </c>
      <c r="AN1898" s="188" t="s">
        <v>241</v>
      </c>
      <c r="AO1898" s="185" t="s">
        <v>5150</v>
      </c>
      <c r="AP1898" s="59"/>
      <c r="AQ1898" s="58" t="s">
        <v>553</v>
      </c>
      <c r="AR1898" s="59" t="s">
        <v>1985</v>
      </c>
      <c r="AS1898" s="55" t="s">
        <v>5133</v>
      </c>
      <c r="AT1898" s="182"/>
      <c r="AU1898" s="181" t="s">
        <v>7494</v>
      </c>
      <c r="AV1898" s="185" t="s">
        <v>176</v>
      </c>
      <c r="AW1898" s="58"/>
      <c r="AX1898" s="185" t="s">
        <v>176</v>
      </c>
      <c r="AY1898" s="58"/>
      <c r="AZ1898" s="59" t="s">
        <v>1016</v>
      </c>
      <c r="BA1898" s="59" t="s">
        <v>1016</v>
      </c>
      <c r="BB1898" s="59" t="s">
        <v>2082</v>
      </c>
      <c r="BC1898" s="59" t="s">
        <v>2082</v>
      </c>
      <c r="BD1898" s="55" t="s">
        <v>2071</v>
      </c>
      <c r="BE1898" s="236" t="s">
        <v>161</v>
      </c>
      <c r="BF1898" s="58"/>
      <c r="BG1898" s="58" t="s">
        <v>176</v>
      </c>
      <c r="BH1898" s="236"/>
      <c r="BI1898" s="58"/>
      <c r="BJ1898" s="152" t="s">
        <v>1983</v>
      </c>
      <c r="BK1898" s="58" t="s">
        <v>6269</v>
      </c>
      <c r="BL1898" s="58"/>
      <c r="BM1898" s="237" t="s">
        <v>160</v>
      </c>
      <c r="BN1898" s="59">
        <v>4</v>
      </c>
      <c r="BO1898" s="59">
        <v>4</v>
      </c>
      <c r="BP1898" s="59">
        <v>4</v>
      </c>
      <c r="BQ1898" s="58" t="s">
        <v>141</v>
      </c>
      <c r="BR1898" s="58"/>
      <c r="BS1898" s="58"/>
      <c r="BT1898" s="58"/>
      <c r="BU1898" s="58"/>
      <c r="BV1898" s="58"/>
      <c r="CB1898" s="153"/>
      <c r="CC1898" s="153"/>
      <c r="CD1898" s="153"/>
      <c r="CE1898" s="67"/>
      <c r="CH1898" s="94">
        <f>CI1898</f>
        <v>1.3979999999999999</v>
      </c>
      <c r="CI1898" s="93">
        <v>1.3979999999999999</v>
      </c>
      <c r="CM1898" s="67">
        <v>0.24082021936099188</v>
      </c>
      <c r="CN1898" s="67">
        <v>0.27896995708154504</v>
      </c>
      <c r="CR1898" s="65">
        <v>10.099999999999998</v>
      </c>
      <c r="CS1898" s="65">
        <v>11.700000000000001</v>
      </c>
      <c r="CT1898" s="65">
        <v>3.4</v>
      </c>
      <c r="CU1898" s="65">
        <v>3.4</v>
      </c>
      <c r="CV1898" s="65" t="s">
        <v>962</v>
      </c>
      <c r="DA1898" s="65" t="s">
        <v>4458</v>
      </c>
      <c r="GP1898" s="292" t="s">
        <v>7494</v>
      </c>
      <c r="JU1898" s="59" t="s">
        <v>2040</v>
      </c>
      <c r="JV1898" s="58"/>
    </row>
    <row r="1899" spans="1:282" x14ac:dyDescent="0.25">
      <c r="A1899" s="55">
        <v>1898</v>
      </c>
      <c r="B1899" s="12" t="s">
        <v>7067</v>
      </c>
      <c r="C1899" s="157">
        <v>91</v>
      </c>
      <c r="D1899" s="59" t="s">
        <v>4087</v>
      </c>
      <c r="E1899" s="93" t="s">
        <v>741</v>
      </c>
      <c r="F1899" s="93"/>
      <c r="G1899" s="58" t="s">
        <v>2074</v>
      </c>
      <c r="H1899" s="59">
        <v>2006</v>
      </c>
      <c r="I1899" s="58">
        <v>1999</v>
      </c>
      <c r="J1899" s="59" t="s">
        <v>916</v>
      </c>
      <c r="K1899" s="59" t="s">
        <v>1990</v>
      </c>
      <c r="L1899" s="59" t="s">
        <v>2737</v>
      </c>
      <c r="M1899" s="94">
        <v>32.56</v>
      </c>
      <c r="N1899" s="94">
        <v>-83.91</v>
      </c>
      <c r="O1899" s="93">
        <v>16</v>
      </c>
      <c r="P1899" s="59">
        <v>18.100000000000001</v>
      </c>
      <c r="Q1899" s="58"/>
      <c r="R1899" s="59">
        <v>1258</v>
      </c>
      <c r="S1899" s="94"/>
      <c r="T1899" s="58"/>
      <c r="U1899" s="59">
        <v>6</v>
      </c>
      <c r="V1899" s="58" t="s">
        <v>1933</v>
      </c>
      <c r="Y1899" s="58" t="s">
        <v>2059</v>
      </c>
      <c r="Z1899" s="58" t="s">
        <v>1370</v>
      </c>
      <c r="AA1899" s="94">
        <v>30</v>
      </c>
      <c r="AD1899" s="94">
        <f>AVERAGE(Sheet1!CH1899:CI1899)</f>
        <v>1.6160000000000001</v>
      </c>
      <c r="AE1899" s="93">
        <v>65</v>
      </c>
      <c r="AF1899" s="93">
        <v>25</v>
      </c>
      <c r="AG1899" s="93"/>
      <c r="AH1899" s="58" t="s">
        <v>238</v>
      </c>
      <c r="AI1899" s="169"/>
      <c r="AJ1899" s="94"/>
      <c r="AK1899" s="94"/>
      <c r="AL1899" s="58"/>
      <c r="AM1899" s="59" t="s">
        <v>1987</v>
      </c>
      <c r="AN1899" s="188" t="s">
        <v>241</v>
      </c>
      <c r="AO1899" s="185" t="s">
        <v>5150</v>
      </c>
      <c r="AP1899" s="59"/>
      <c r="AQ1899" s="58" t="s">
        <v>553</v>
      </c>
      <c r="AR1899" s="59" t="s">
        <v>1985</v>
      </c>
      <c r="AS1899" s="55" t="s">
        <v>5133</v>
      </c>
      <c r="AT1899" s="182"/>
      <c r="AU1899" s="181" t="s">
        <v>7494</v>
      </c>
      <c r="AV1899" s="185" t="s">
        <v>176</v>
      </c>
      <c r="AW1899" s="58"/>
      <c r="AX1899" s="185" t="s">
        <v>176</v>
      </c>
      <c r="AY1899" s="58"/>
      <c r="AZ1899" s="59" t="s">
        <v>1016</v>
      </c>
      <c r="BA1899" s="59" t="s">
        <v>1016</v>
      </c>
      <c r="BB1899" s="59" t="s">
        <v>2082</v>
      </c>
      <c r="BC1899" s="59" t="s">
        <v>2082</v>
      </c>
      <c r="BD1899" s="55" t="s">
        <v>176</v>
      </c>
      <c r="BE1899" s="236" t="s">
        <v>161</v>
      </c>
      <c r="BF1899" s="58"/>
      <c r="BG1899" s="58" t="s">
        <v>176</v>
      </c>
      <c r="BH1899" s="236"/>
      <c r="BI1899" s="58"/>
      <c r="BJ1899" s="152" t="s">
        <v>1983</v>
      </c>
      <c r="BK1899" s="58" t="s">
        <v>6269</v>
      </c>
      <c r="BL1899" s="58"/>
      <c r="BM1899" s="237" t="s">
        <v>160</v>
      </c>
      <c r="BN1899" s="59">
        <v>4</v>
      </c>
      <c r="BO1899" s="59">
        <v>4</v>
      </c>
      <c r="BP1899" s="59">
        <v>4</v>
      </c>
      <c r="BQ1899" s="58" t="s">
        <v>141</v>
      </c>
      <c r="BR1899" s="58"/>
      <c r="BS1899" s="58"/>
      <c r="BT1899" s="58"/>
      <c r="BU1899" s="58"/>
      <c r="BV1899" s="58"/>
      <c r="CB1899" s="153"/>
      <c r="CC1899" s="153"/>
      <c r="CD1899" s="153"/>
      <c r="CE1899" s="67"/>
      <c r="CH1899" s="94">
        <f>CI1899</f>
        <v>1.6160000000000001</v>
      </c>
      <c r="CI1899" s="93">
        <v>1.6160000000000001</v>
      </c>
      <c r="CM1899" s="67">
        <v>0.17326732673267325</v>
      </c>
      <c r="CN1899" s="67">
        <v>0.19183168316831681</v>
      </c>
      <c r="CR1899" s="65">
        <v>8.4</v>
      </c>
      <c r="CS1899" s="65">
        <v>9.2999999999999989</v>
      </c>
      <c r="CT1899" s="65">
        <v>3.4</v>
      </c>
      <c r="CU1899" s="65">
        <v>3.4</v>
      </c>
      <c r="CV1899" s="65" t="s">
        <v>962</v>
      </c>
      <c r="DA1899" s="65" t="s">
        <v>4458</v>
      </c>
      <c r="GP1899" s="292" t="s">
        <v>7494</v>
      </c>
      <c r="JU1899" s="59" t="s">
        <v>2040</v>
      </c>
      <c r="JV1899" s="58"/>
    </row>
    <row r="1900" spans="1:282" x14ac:dyDescent="0.25">
      <c r="A1900" s="55">
        <v>1899</v>
      </c>
      <c r="B1900" s="12" t="s">
        <v>7067</v>
      </c>
      <c r="C1900" s="157">
        <v>91</v>
      </c>
      <c r="D1900" s="59" t="s">
        <v>4088</v>
      </c>
      <c r="E1900" s="93" t="s">
        <v>741</v>
      </c>
      <c r="F1900" s="93"/>
      <c r="G1900" s="58" t="s">
        <v>2074</v>
      </c>
      <c r="H1900" s="59">
        <v>2006</v>
      </c>
      <c r="I1900" s="58">
        <v>1999</v>
      </c>
      <c r="J1900" s="59" t="s">
        <v>916</v>
      </c>
      <c r="K1900" s="59" t="s">
        <v>1990</v>
      </c>
      <c r="L1900" s="59" t="s">
        <v>2737</v>
      </c>
      <c r="M1900" s="94">
        <v>32.56</v>
      </c>
      <c r="N1900" s="94">
        <v>-83.91</v>
      </c>
      <c r="O1900" s="93">
        <v>16</v>
      </c>
      <c r="P1900" s="59">
        <v>18.100000000000001</v>
      </c>
      <c r="Q1900" s="58"/>
      <c r="R1900" s="59">
        <v>1258</v>
      </c>
      <c r="S1900" s="94"/>
      <c r="T1900" s="58"/>
      <c r="U1900" s="59">
        <v>6</v>
      </c>
      <c r="V1900" s="58" t="s">
        <v>1933</v>
      </c>
      <c r="Y1900" s="58" t="s">
        <v>2059</v>
      </c>
      <c r="Z1900" s="58" t="s">
        <v>1382</v>
      </c>
      <c r="AA1900" s="94">
        <v>30</v>
      </c>
      <c r="AD1900" s="94">
        <f>AVERAGE(Sheet1!CH1900:CI1900)</f>
        <v>1.6279999999999999</v>
      </c>
      <c r="AE1900" s="93">
        <v>65</v>
      </c>
      <c r="AF1900" s="93">
        <v>25</v>
      </c>
      <c r="AG1900" s="93"/>
      <c r="AH1900" s="58" t="s">
        <v>238</v>
      </c>
      <c r="AI1900" s="169"/>
      <c r="AJ1900" s="94"/>
      <c r="AK1900" s="94"/>
      <c r="AL1900" s="58"/>
      <c r="AM1900" s="59" t="s">
        <v>1987</v>
      </c>
      <c r="AN1900" s="188" t="s">
        <v>241</v>
      </c>
      <c r="AO1900" s="185" t="s">
        <v>5150</v>
      </c>
      <c r="AP1900" s="59"/>
      <c r="AQ1900" s="58" t="s">
        <v>553</v>
      </c>
      <c r="AR1900" s="59" t="s">
        <v>1985</v>
      </c>
      <c r="AS1900" s="55" t="s">
        <v>5133</v>
      </c>
      <c r="AT1900" s="182"/>
      <c r="AU1900" s="181" t="s">
        <v>7494</v>
      </c>
      <c r="AV1900" s="185" t="s">
        <v>176</v>
      </c>
      <c r="AW1900" s="58"/>
      <c r="AX1900" s="185" t="s">
        <v>176</v>
      </c>
      <c r="AY1900" s="58"/>
      <c r="AZ1900" s="59" t="s">
        <v>1016</v>
      </c>
      <c r="BA1900" s="59" t="s">
        <v>1016</v>
      </c>
      <c r="BB1900" s="59" t="s">
        <v>2082</v>
      </c>
      <c r="BC1900" s="59" t="s">
        <v>2082</v>
      </c>
      <c r="BD1900" s="55" t="s">
        <v>2071</v>
      </c>
      <c r="BE1900" s="236" t="s">
        <v>161</v>
      </c>
      <c r="BF1900" s="58"/>
      <c r="BG1900" s="58" t="s">
        <v>176</v>
      </c>
      <c r="BH1900" s="236"/>
      <c r="BI1900" s="58"/>
      <c r="BJ1900" s="152" t="s">
        <v>1983</v>
      </c>
      <c r="BK1900" s="58" t="s">
        <v>6269</v>
      </c>
      <c r="BL1900" s="58"/>
      <c r="BM1900" s="237" t="s">
        <v>160</v>
      </c>
      <c r="BN1900" s="59">
        <v>4</v>
      </c>
      <c r="BO1900" s="59">
        <v>4</v>
      </c>
      <c r="BP1900" s="59">
        <v>4</v>
      </c>
      <c r="BQ1900" s="58" t="s">
        <v>141</v>
      </c>
      <c r="BR1900" s="58"/>
      <c r="BS1900" s="58"/>
      <c r="BT1900" s="58"/>
      <c r="BU1900" s="58"/>
      <c r="BV1900" s="58"/>
      <c r="CB1900" s="153"/>
      <c r="CC1900" s="153"/>
      <c r="CD1900" s="153"/>
      <c r="CE1900" s="67"/>
      <c r="CH1900" s="94">
        <f>CI1900</f>
        <v>1.6279999999999999</v>
      </c>
      <c r="CI1900" s="93">
        <v>1.6279999999999999</v>
      </c>
      <c r="CM1900" s="67">
        <v>0.14332514332514337</v>
      </c>
      <c r="CN1900" s="67">
        <v>0.12285012285012287</v>
      </c>
      <c r="CR1900" s="65">
        <v>7.0000000000000018</v>
      </c>
      <c r="CS1900" s="65">
        <v>5.9999999999999991</v>
      </c>
      <c r="CT1900" s="65">
        <v>2.2000000000000002</v>
      </c>
      <c r="CU1900" s="65">
        <v>2.2000000000000002</v>
      </c>
      <c r="CV1900" s="65" t="s">
        <v>962</v>
      </c>
      <c r="DA1900" s="65" t="s">
        <v>4458</v>
      </c>
      <c r="GP1900" s="292" t="s">
        <v>7494</v>
      </c>
      <c r="JU1900" s="59" t="s">
        <v>2040</v>
      </c>
      <c r="JV1900" s="58"/>
    </row>
    <row r="1901" spans="1:282" x14ac:dyDescent="0.25">
      <c r="A1901" s="55">
        <v>1900</v>
      </c>
      <c r="B1901" s="12" t="s">
        <v>7067</v>
      </c>
      <c r="C1901" s="157">
        <v>91</v>
      </c>
      <c r="D1901" s="59" t="s">
        <v>4089</v>
      </c>
      <c r="E1901" s="93" t="s">
        <v>741</v>
      </c>
      <c r="F1901" s="93"/>
      <c r="G1901" s="58" t="s">
        <v>2074</v>
      </c>
      <c r="H1901" s="59">
        <v>2006</v>
      </c>
      <c r="I1901" s="58">
        <v>1999</v>
      </c>
      <c r="J1901" s="59" t="s">
        <v>916</v>
      </c>
      <c r="K1901" s="59" t="s">
        <v>1990</v>
      </c>
      <c r="L1901" s="59" t="s">
        <v>2737</v>
      </c>
      <c r="M1901" s="94">
        <v>32.56</v>
      </c>
      <c r="N1901" s="94">
        <v>-83.91</v>
      </c>
      <c r="O1901" s="93">
        <v>16</v>
      </c>
      <c r="P1901" s="59">
        <v>18.100000000000001</v>
      </c>
      <c r="Q1901" s="58"/>
      <c r="R1901" s="59">
        <v>1258</v>
      </c>
      <c r="S1901" s="94"/>
      <c r="T1901" s="58"/>
      <c r="U1901" s="59">
        <v>6</v>
      </c>
      <c r="V1901" s="58" t="s">
        <v>1933</v>
      </c>
      <c r="Y1901" s="58" t="s">
        <v>2059</v>
      </c>
      <c r="Z1901" s="58" t="s">
        <v>1355</v>
      </c>
      <c r="AA1901" s="94">
        <v>10</v>
      </c>
      <c r="AD1901" s="94">
        <f>AVERAGE(Sheet1!CH1901:CI1901)</f>
        <v>1.421</v>
      </c>
      <c r="AE1901" s="93">
        <v>65</v>
      </c>
      <c r="AF1901" s="93">
        <v>25</v>
      </c>
      <c r="AG1901" s="93"/>
      <c r="AH1901" s="58" t="s">
        <v>238</v>
      </c>
      <c r="AI1901" s="169"/>
      <c r="AJ1901" s="94"/>
      <c r="AK1901" s="94"/>
      <c r="AL1901" s="58"/>
      <c r="AM1901" s="59" t="s">
        <v>1987</v>
      </c>
      <c r="AN1901" s="188" t="s">
        <v>241</v>
      </c>
      <c r="AO1901" s="185" t="s">
        <v>5150</v>
      </c>
      <c r="AP1901" s="59"/>
      <c r="AQ1901" s="58" t="s">
        <v>553</v>
      </c>
      <c r="AR1901" s="59" t="s">
        <v>1985</v>
      </c>
      <c r="AS1901" s="55" t="s">
        <v>5133</v>
      </c>
      <c r="AT1901" s="182"/>
      <c r="AU1901" s="181" t="s">
        <v>7494</v>
      </c>
      <c r="AV1901" s="185" t="s">
        <v>176</v>
      </c>
      <c r="AW1901" s="58"/>
      <c r="AX1901" s="185" t="s">
        <v>176</v>
      </c>
      <c r="AY1901" s="58"/>
      <c r="AZ1901" s="59" t="s">
        <v>1016</v>
      </c>
      <c r="BA1901" s="59" t="s">
        <v>1016</v>
      </c>
      <c r="BB1901" s="59" t="s">
        <v>2082</v>
      </c>
      <c r="BC1901" s="59" t="s">
        <v>2082</v>
      </c>
      <c r="BD1901" s="55" t="s">
        <v>176</v>
      </c>
      <c r="BE1901" s="236" t="s">
        <v>1989</v>
      </c>
      <c r="BF1901" s="58"/>
      <c r="BG1901" s="191" t="s">
        <v>479</v>
      </c>
      <c r="BH1901" s="236"/>
      <c r="BI1901" s="58"/>
      <c r="BJ1901" s="152" t="s">
        <v>1983</v>
      </c>
      <c r="BK1901" s="58" t="s">
        <v>6269</v>
      </c>
      <c r="BL1901" s="58"/>
      <c r="BM1901" s="237" t="s">
        <v>160</v>
      </c>
      <c r="BN1901" s="59">
        <v>4</v>
      </c>
      <c r="BO1901" s="59">
        <v>4</v>
      </c>
      <c r="BP1901" s="59">
        <v>4</v>
      </c>
      <c r="BQ1901" s="58" t="s">
        <v>141</v>
      </c>
      <c r="BR1901" s="58"/>
      <c r="BS1901" s="58">
        <f>1/3*16170</f>
        <v>5390</v>
      </c>
      <c r="BT1901" s="58"/>
      <c r="BU1901" s="58"/>
      <c r="BV1901" s="58"/>
      <c r="CB1901" s="153"/>
      <c r="CC1901" s="153"/>
      <c r="CD1901" s="153"/>
      <c r="CE1901" s="67"/>
      <c r="CH1901" s="93">
        <f>CI1901</f>
        <v>1.421</v>
      </c>
      <c r="CI1901" s="93">
        <v>1.421</v>
      </c>
      <c r="CM1901" s="67">
        <v>0.74595355383532724</v>
      </c>
      <c r="CN1901" s="67">
        <v>0.78817733990147776</v>
      </c>
      <c r="CR1901" s="65">
        <v>10.6</v>
      </c>
      <c r="CS1901" s="65">
        <v>11.200000000000001</v>
      </c>
      <c r="CT1901" s="65">
        <v>1</v>
      </c>
      <c r="CU1901" s="65">
        <v>1</v>
      </c>
      <c r="CV1901" s="65" t="s">
        <v>962</v>
      </c>
      <c r="DA1901" s="65" t="s">
        <v>4458</v>
      </c>
      <c r="GP1901" s="292" t="s">
        <v>7494</v>
      </c>
      <c r="JU1901" s="59" t="s">
        <v>2040</v>
      </c>
      <c r="JV1901" s="58"/>
    </row>
    <row r="1902" spans="1:282" x14ac:dyDescent="0.25">
      <c r="A1902" s="55">
        <v>1901</v>
      </c>
      <c r="B1902" s="12" t="s">
        <v>7067</v>
      </c>
      <c r="C1902" s="157">
        <v>91</v>
      </c>
      <c r="D1902" s="59" t="s">
        <v>4090</v>
      </c>
      <c r="E1902" s="93" t="s">
        <v>741</v>
      </c>
      <c r="F1902" s="93"/>
      <c r="G1902" s="58" t="s">
        <v>2074</v>
      </c>
      <c r="H1902" s="59">
        <v>2006</v>
      </c>
      <c r="I1902" s="58">
        <v>1999</v>
      </c>
      <c r="J1902" s="59" t="s">
        <v>916</v>
      </c>
      <c r="K1902" s="59" t="s">
        <v>1990</v>
      </c>
      <c r="L1902" s="59" t="s">
        <v>2737</v>
      </c>
      <c r="M1902" s="94">
        <v>32.56</v>
      </c>
      <c r="N1902" s="94">
        <v>-83.91</v>
      </c>
      <c r="O1902" s="93">
        <v>16</v>
      </c>
      <c r="P1902" s="59">
        <v>18.100000000000001</v>
      </c>
      <c r="Q1902" s="58"/>
      <c r="R1902" s="59">
        <v>1258</v>
      </c>
      <c r="S1902" s="94"/>
      <c r="T1902" s="58"/>
      <c r="U1902" s="59">
        <v>6</v>
      </c>
      <c r="V1902" s="58" t="s">
        <v>1933</v>
      </c>
      <c r="Y1902" s="58" t="s">
        <v>2059</v>
      </c>
      <c r="Z1902" s="58" t="s">
        <v>1375</v>
      </c>
      <c r="AA1902" s="94">
        <v>20</v>
      </c>
      <c r="AD1902" s="94">
        <f>AVERAGE(Sheet1!CH1902:CI1902)</f>
        <v>1.5469999999999999</v>
      </c>
      <c r="AE1902" s="93">
        <v>65</v>
      </c>
      <c r="AF1902" s="93">
        <v>25</v>
      </c>
      <c r="AG1902" s="93"/>
      <c r="AH1902" s="58" t="s">
        <v>238</v>
      </c>
      <c r="AI1902" s="169"/>
      <c r="AJ1902" s="94"/>
      <c r="AK1902" s="94"/>
      <c r="AL1902" s="58"/>
      <c r="AM1902" s="59" t="s">
        <v>1987</v>
      </c>
      <c r="AN1902" s="188" t="s">
        <v>241</v>
      </c>
      <c r="AO1902" s="185" t="s">
        <v>5150</v>
      </c>
      <c r="AP1902" s="59"/>
      <c r="AQ1902" s="58" t="s">
        <v>553</v>
      </c>
      <c r="AR1902" s="59" t="s">
        <v>1985</v>
      </c>
      <c r="AS1902" s="55" t="s">
        <v>5133</v>
      </c>
      <c r="AT1902" s="182"/>
      <c r="AU1902" s="181" t="s">
        <v>7494</v>
      </c>
      <c r="AV1902" s="185" t="s">
        <v>176</v>
      </c>
      <c r="AW1902" s="58"/>
      <c r="AX1902" s="185" t="s">
        <v>176</v>
      </c>
      <c r="AY1902" s="58"/>
      <c r="AZ1902" s="59" t="s">
        <v>1016</v>
      </c>
      <c r="BA1902" s="59" t="s">
        <v>1016</v>
      </c>
      <c r="BB1902" s="59" t="s">
        <v>2082</v>
      </c>
      <c r="BC1902" s="59" t="s">
        <v>2082</v>
      </c>
      <c r="BD1902" s="55" t="s">
        <v>2071</v>
      </c>
      <c r="BE1902" s="236" t="s">
        <v>1989</v>
      </c>
      <c r="BF1902" s="58"/>
      <c r="BG1902" s="191" t="s">
        <v>479</v>
      </c>
      <c r="BH1902" s="236"/>
      <c r="BI1902" s="58"/>
      <c r="BJ1902" s="152" t="s">
        <v>1983</v>
      </c>
      <c r="BK1902" s="58" t="s">
        <v>6269</v>
      </c>
      <c r="BL1902" s="58"/>
      <c r="BM1902" s="237" t="s">
        <v>160</v>
      </c>
      <c r="BN1902" s="59">
        <v>4</v>
      </c>
      <c r="BO1902" s="59">
        <v>4</v>
      </c>
      <c r="BP1902" s="59">
        <v>4</v>
      </c>
      <c r="BQ1902" s="58" t="s">
        <v>141</v>
      </c>
      <c r="BR1902" s="58"/>
      <c r="BS1902" s="58"/>
      <c r="BT1902" s="58"/>
      <c r="BU1902" s="58"/>
      <c r="BV1902" s="58"/>
      <c r="CB1902" s="153"/>
      <c r="CC1902" s="153"/>
      <c r="CD1902" s="153"/>
      <c r="CE1902" s="67"/>
      <c r="CH1902" s="93">
        <f>CI1902</f>
        <v>1.5469999999999999</v>
      </c>
      <c r="CI1902" s="93">
        <v>1.5469999999999999</v>
      </c>
      <c r="CM1902" s="67">
        <v>0.44602456367162258</v>
      </c>
      <c r="CN1902" s="67">
        <v>0.52036199095022628</v>
      </c>
      <c r="CR1902" s="65">
        <v>13.8</v>
      </c>
      <c r="CS1902" s="65">
        <v>16.100000000000001</v>
      </c>
      <c r="CT1902" s="65">
        <v>2.2999999999999998</v>
      </c>
      <c r="CU1902" s="65">
        <v>2.2999999999999998</v>
      </c>
      <c r="CV1902" s="65" t="s">
        <v>962</v>
      </c>
      <c r="DA1902" s="65" t="s">
        <v>4458</v>
      </c>
      <c r="GP1902" s="292" t="s">
        <v>7494</v>
      </c>
      <c r="JU1902" s="59" t="s">
        <v>2040</v>
      </c>
      <c r="JV1902" s="58"/>
    </row>
    <row r="1903" spans="1:282" x14ac:dyDescent="0.25">
      <c r="A1903" s="55">
        <v>1902</v>
      </c>
      <c r="B1903" s="12" t="s">
        <v>7067</v>
      </c>
      <c r="C1903" s="157">
        <v>91</v>
      </c>
      <c r="D1903" s="59" t="s">
        <v>4091</v>
      </c>
      <c r="E1903" s="93" t="s">
        <v>741</v>
      </c>
      <c r="F1903" s="93"/>
      <c r="G1903" s="58" t="s">
        <v>2074</v>
      </c>
      <c r="H1903" s="59">
        <v>2006</v>
      </c>
      <c r="I1903" s="58">
        <v>1999</v>
      </c>
      <c r="J1903" s="59" t="s">
        <v>916</v>
      </c>
      <c r="K1903" s="59" t="s">
        <v>1990</v>
      </c>
      <c r="L1903" s="59" t="s">
        <v>2737</v>
      </c>
      <c r="M1903" s="94">
        <v>32.56</v>
      </c>
      <c r="N1903" s="94">
        <v>-83.91</v>
      </c>
      <c r="O1903" s="93">
        <v>16</v>
      </c>
      <c r="P1903" s="59">
        <v>18.100000000000001</v>
      </c>
      <c r="Q1903" s="58"/>
      <c r="R1903" s="59">
        <v>1258</v>
      </c>
      <c r="S1903" s="94"/>
      <c r="T1903" s="58"/>
      <c r="U1903" s="59">
        <v>6</v>
      </c>
      <c r="V1903" s="58" t="s">
        <v>1933</v>
      </c>
      <c r="Y1903" s="58" t="s">
        <v>2059</v>
      </c>
      <c r="Z1903" s="58" t="s">
        <v>1369</v>
      </c>
      <c r="AA1903" s="94">
        <v>30</v>
      </c>
      <c r="AD1903" s="94">
        <f>AVERAGE(Sheet1!CH1903:CI1903)</f>
        <v>1.3979999999999999</v>
      </c>
      <c r="AE1903" s="93">
        <v>65</v>
      </c>
      <c r="AF1903" s="93">
        <v>25</v>
      </c>
      <c r="AG1903" s="93"/>
      <c r="AH1903" s="58" t="s">
        <v>238</v>
      </c>
      <c r="AI1903" s="169"/>
      <c r="AJ1903" s="94"/>
      <c r="AK1903" s="94"/>
      <c r="AL1903" s="58"/>
      <c r="AM1903" s="59" t="s">
        <v>1987</v>
      </c>
      <c r="AN1903" s="188" t="s">
        <v>241</v>
      </c>
      <c r="AO1903" s="185" t="s">
        <v>5150</v>
      </c>
      <c r="AP1903" s="59"/>
      <c r="AQ1903" s="58" t="s">
        <v>553</v>
      </c>
      <c r="AR1903" s="59" t="s">
        <v>1985</v>
      </c>
      <c r="AS1903" s="55" t="s">
        <v>5133</v>
      </c>
      <c r="AT1903" s="182"/>
      <c r="AU1903" s="181" t="s">
        <v>7494</v>
      </c>
      <c r="AV1903" s="185" t="s">
        <v>176</v>
      </c>
      <c r="AW1903" s="58"/>
      <c r="AX1903" s="185" t="s">
        <v>176</v>
      </c>
      <c r="AY1903" s="58"/>
      <c r="AZ1903" s="59" t="s">
        <v>1016</v>
      </c>
      <c r="BA1903" s="59" t="s">
        <v>1016</v>
      </c>
      <c r="BB1903" s="59" t="s">
        <v>2082</v>
      </c>
      <c r="BC1903" s="59" t="s">
        <v>2082</v>
      </c>
      <c r="BD1903" s="55" t="s">
        <v>176</v>
      </c>
      <c r="BE1903" s="236" t="s">
        <v>1989</v>
      </c>
      <c r="BF1903" s="58"/>
      <c r="BG1903" s="191" t="s">
        <v>479</v>
      </c>
      <c r="BH1903" s="236"/>
      <c r="BI1903" s="58"/>
      <c r="BJ1903" s="152" t="s">
        <v>1983</v>
      </c>
      <c r="BK1903" s="58" t="s">
        <v>6269</v>
      </c>
      <c r="BL1903" s="58"/>
      <c r="BM1903" s="237" t="s">
        <v>160</v>
      </c>
      <c r="BN1903" s="59">
        <v>4</v>
      </c>
      <c r="BO1903" s="59">
        <v>4</v>
      </c>
      <c r="BP1903" s="59">
        <v>4</v>
      </c>
      <c r="BQ1903" s="58" t="s">
        <v>141</v>
      </c>
      <c r="BR1903" s="58"/>
      <c r="BS1903" s="58"/>
      <c r="BT1903" s="58"/>
      <c r="BU1903" s="58"/>
      <c r="BV1903" s="58"/>
      <c r="CB1903" s="153"/>
      <c r="CC1903" s="153"/>
      <c r="CD1903" s="153"/>
      <c r="CE1903" s="67"/>
      <c r="CH1903" s="93">
        <f>CI1903</f>
        <v>1.3979999999999999</v>
      </c>
      <c r="CI1903" s="93">
        <v>1.3979999999999999</v>
      </c>
      <c r="CM1903" s="67">
        <v>0.27896995708154504</v>
      </c>
      <c r="CN1903" s="67">
        <v>0.30758226037195996</v>
      </c>
      <c r="CR1903" s="65">
        <v>11.700000000000001</v>
      </c>
      <c r="CS1903" s="65">
        <v>12.900000000000002</v>
      </c>
      <c r="CT1903" s="65">
        <v>3.4</v>
      </c>
      <c r="CU1903" s="65">
        <v>3.4</v>
      </c>
      <c r="CV1903" s="65" t="s">
        <v>962</v>
      </c>
      <c r="DA1903" s="65" t="s">
        <v>4458</v>
      </c>
      <c r="GP1903" s="292" t="s">
        <v>7494</v>
      </c>
      <c r="JU1903" s="59" t="s">
        <v>2040</v>
      </c>
      <c r="JV1903" s="58"/>
    </row>
    <row r="1904" spans="1:282" x14ac:dyDescent="0.25">
      <c r="A1904" s="55">
        <v>1903</v>
      </c>
      <c r="B1904" s="12" t="s">
        <v>7067</v>
      </c>
      <c r="C1904" s="157">
        <v>91</v>
      </c>
      <c r="D1904" s="59" t="s">
        <v>4092</v>
      </c>
      <c r="E1904" s="93" t="s">
        <v>741</v>
      </c>
      <c r="F1904" s="93"/>
      <c r="G1904" s="58" t="s">
        <v>2074</v>
      </c>
      <c r="H1904" s="59">
        <v>2006</v>
      </c>
      <c r="I1904" s="58">
        <v>1999</v>
      </c>
      <c r="J1904" s="59" t="s">
        <v>916</v>
      </c>
      <c r="K1904" s="59" t="s">
        <v>1990</v>
      </c>
      <c r="L1904" s="59" t="s">
        <v>2737</v>
      </c>
      <c r="M1904" s="94">
        <v>32.56</v>
      </c>
      <c r="N1904" s="94">
        <v>-83.91</v>
      </c>
      <c r="O1904" s="93">
        <v>16</v>
      </c>
      <c r="P1904" s="59">
        <v>18.100000000000001</v>
      </c>
      <c r="Q1904" s="58"/>
      <c r="R1904" s="59">
        <v>1258</v>
      </c>
      <c r="S1904" s="94"/>
      <c r="T1904" s="58"/>
      <c r="U1904" s="59">
        <v>6</v>
      </c>
      <c r="V1904" s="58" t="s">
        <v>1933</v>
      </c>
      <c r="Y1904" s="58" t="s">
        <v>2059</v>
      </c>
      <c r="Z1904" s="58" t="s">
        <v>1370</v>
      </c>
      <c r="AA1904" s="94">
        <v>30</v>
      </c>
      <c r="AD1904" s="94">
        <f>AVERAGE(Sheet1!CH1904:CI1904)</f>
        <v>1.6160000000000001</v>
      </c>
      <c r="AE1904" s="93">
        <v>65</v>
      </c>
      <c r="AF1904" s="93">
        <v>25</v>
      </c>
      <c r="AG1904" s="93"/>
      <c r="AH1904" s="58" t="s">
        <v>238</v>
      </c>
      <c r="AI1904" s="169"/>
      <c r="AJ1904" s="94"/>
      <c r="AK1904" s="94"/>
      <c r="AL1904" s="58"/>
      <c r="AM1904" s="59" t="s">
        <v>1987</v>
      </c>
      <c r="AN1904" s="188" t="s">
        <v>241</v>
      </c>
      <c r="AO1904" s="185" t="s">
        <v>5150</v>
      </c>
      <c r="AP1904" s="59"/>
      <c r="AQ1904" s="58" t="s">
        <v>553</v>
      </c>
      <c r="AR1904" s="59" t="s">
        <v>1985</v>
      </c>
      <c r="AS1904" s="55" t="s">
        <v>5133</v>
      </c>
      <c r="AT1904" s="182"/>
      <c r="AU1904" s="181" t="s">
        <v>7494</v>
      </c>
      <c r="AV1904" s="185" t="s">
        <v>176</v>
      </c>
      <c r="AW1904" s="58"/>
      <c r="AX1904" s="185" t="s">
        <v>176</v>
      </c>
      <c r="AY1904" s="58"/>
      <c r="AZ1904" s="59" t="s">
        <v>1016</v>
      </c>
      <c r="BA1904" s="59" t="s">
        <v>1016</v>
      </c>
      <c r="BB1904" s="59" t="s">
        <v>2082</v>
      </c>
      <c r="BC1904" s="59" t="s">
        <v>2082</v>
      </c>
      <c r="BD1904" s="55" t="s">
        <v>2071</v>
      </c>
      <c r="BE1904" s="236" t="s">
        <v>1989</v>
      </c>
      <c r="BF1904" s="58"/>
      <c r="BG1904" s="191" t="s">
        <v>479</v>
      </c>
      <c r="BH1904" s="236"/>
      <c r="BI1904" s="58"/>
      <c r="BJ1904" s="152" t="s">
        <v>1983</v>
      </c>
      <c r="BK1904" s="58" t="s">
        <v>6269</v>
      </c>
      <c r="BL1904" s="58"/>
      <c r="BM1904" s="237" t="s">
        <v>160</v>
      </c>
      <c r="BN1904" s="59">
        <v>4</v>
      </c>
      <c r="BO1904" s="59">
        <v>4</v>
      </c>
      <c r="BP1904" s="59">
        <v>4</v>
      </c>
      <c r="BQ1904" s="58" t="s">
        <v>141</v>
      </c>
      <c r="BR1904" s="58"/>
      <c r="BS1904" s="58"/>
      <c r="BT1904" s="58"/>
      <c r="BU1904" s="58"/>
      <c r="BV1904" s="58"/>
      <c r="CB1904" s="153"/>
      <c r="CC1904" s="153"/>
      <c r="CD1904" s="153"/>
      <c r="CE1904" s="67"/>
      <c r="CH1904" s="93">
        <f>CI1904</f>
        <v>1.6160000000000001</v>
      </c>
      <c r="CI1904" s="93">
        <v>1.6160000000000001</v>
      </c>
      <c r="CM1904" s="67">
        <v>0.19389438943894385</v>
      </c>
      <c r="CN1904" s="67">
        <v>0.16707920792079203</v>
      </c>
      <c r="CR1904" s="65">
        <v>9.3999999999999986</v>
      </c>
      <c r="CS1904" s="65">
        <v>8.0999999999999979</v>
      </c>
      <c r="CT1904" s="65">
        <v>3.4</v>
      </c>
      <c r="CU1904" s="65">
        <v>3.4</v>
      </c>
      <c r="CV1904" s="65" t="s">
        <v>962</v>
      </c>
      <c r="DA1904" s="65" t="s">
        <v>4458</v>
      </c>
      <c r="GP1904" s="292" t="s">
        <v>7494</v>
      </c>
      <c r="JU1904" s="59" t="s">
        <v>2040</v>
      </c>
      <c r="JV1904" s="58"/>
    </row>
    <row r="1905" spans="1:282" x14ac:dyDescent="0.25">
      <c r="A1905" s="55">
        <v>1904</v>
      </c>
      <c r="B1905" s="12" t="s">
        <v>7067</v>
      </c>
      <c r="C1905" s="157">
        <v>91</v>
      </c>
      <c r="D1905" s="59" t="s">
        <v>4093</v>
      </c>
      <c r="E1905" s="93" t="s">
        <v>741</v>
      </c>
      <c r="F1905" s="93"/>
      <c r="G1905" s="58" t="s">
        <v>2074</v>
      </c>
      <c r="H1905" s="59">
        <v>2006</v>
      </c>
      <c r="I1905" s="58">
        <v>1999</v>
      </c>
      <c r="J1905" s="59" t="s">
        <v>916</v>
      </c>
      <c r="K1905" s="59" t="s">
        <v>1990</v>
      </c>
      <c r="L1905" s="59" t="s">
        <v>2737</v>
      </c>
      <c r="M1905" s="94">
        <v>32.56</v>
      </c>
      <c r="N1905" s="94">
        <v>-83.91</v>
      </c>
      <c r="O1905" s="93">
        <v>16</v>
      </c>
      <c r="P1905" s="59">
        <v>18.100000000000001</v>
      </c>
      <c r="Q1905" s="58"/>
      <c r="R1905" s="59">
        <v>1258</v>
      </c>
      <c r="S1905" s="94"/>
      <c r="T1905" s="58"/>
      <c r="U1905" s="59">
        <v>6</v>
      </c>
      <c r="V1905" s="58" t="s">
        <v>1933</v>
      </c>
      <c r="Y1905" s="58" t="s">
        <v>2059</v>
      </c>
      <c r="Z1905" s="58" t="s">
        <v>1382</v>
      </c>
      <c r="AA1905" s="94">
        <v>30</v>
      </c>
      <c r="AD1905" s="94">
        <f>AVERAGE(Sheet1!CH1905:CI1905)</f>
        <v>1.6279999999999999</v>
      </c>
      <c r="AE1905" s="93">
        <v>65</v>
      </c>
      <c r="AF1905" s="93">
        <v>25</v>
      </c>
      <c r="AG1905" s="93"/>
      <c r="AH1905" s="58" t="s">
        <v>238</v>
      </c>
      <c r="AI1905" s="169"/>
      <c r="AJ1905" s="94"/>
      <c r="AK1905" s="94"/>
      <c r="AL1905" s="58"/>
      <c r="AM1905" s="59" t="s">
        <v>1987</v>
      </c>
      <c r="AN1905" s="188" t="s">
        <v>241</v>
      </c>
      <c r="AO1905" s="185" t="s">
        <v>5150</v>
      </c>
      <c r="AP1905" s="59"/>
      <c r="AQ1905" s="58" t="s">
        <v>553</v>
      </c>
      <c r="AR1905" s="59" t="s">
        <v>1985</v>
      </c>
      <c r="AS1905" s="55" t="s">
        <v>5133</v>
      </c>
      <c r="AT1905" s="182"/>
      <c r="AU1905" s="181" t="s">
        <v>7494</v>
      </c>
      <c r="AV1905" s="185" t="s">
        <v>176</v>
      </c>
      <c r="AW1905" s="58"/>
      <c r="AX1905" s="185" t="s">
        <v>176</v>
      </c>
      <c r="AY1905" s="58"/>
      <c r="AZ1905" s="59" t="s">
        <v>1016</v>
      </c>
      <c r="BA1905" s="59" t="s">
        <v>1016</v>
      </c>
      <c r="BB1905" s="59" t="s">
        <v>2082</v>
      </c>
      <c r="BC1905" s="59" t="s">
        <v>2082</v>
      </c>
      <c r="BD1905" s="55" t="s">
        <v>176</v>
      </c>
      <c r="BE1905" s="236" t="s">
        <v>1989</v>
      </c>
      <c r="BF1905" s="58"/>
      <c r="BG1905" s="191" t="s">
        <v>479</v>
      </c>
      <c r="BH1905" s="236"/>
      <c r="BI1905" s="58"/>
      <c r="BJ1905" s="152" t="s">
        <v>1983</v>
      </c>
      <c r="BK1905" s="58" t="s">
        <v>6269</v>
      </c>
      <c r="BL1905" s="58"/>
      <c r="BM1905" s="237" t="s">
        <v>160</v>
      </c>
      <c r="BN1905" s="59">
        <v>4</v>
      </c>
      <c r="BO1905" s="59">
        <v>4</v>
      </c>
      <c r="BP1905" s="59">
        <v>4</v>
      </c>
      <c r="BQ1905" s="58" t="s">
        <v>141</v>
      </c>
      <c r="BR1905" s="58"/>
      <c r="BS1905" s="58"/>
      <c r="BT1905" s="58"/>
      <c r="BU1905" s="58"/>
      <c r="BV1905" s="58"/>
      <c r="CB1905" s="153"/>
      <c r="CC1905" s="153"/>
      <c r="CD1905" s="153"/>
      <c r="CE1905" s="67"/>
      <c r="CH1905" s="93">
        <f>CI1905</f>
        <v>1.6279999999999999</v>
      </c>
      <c r="CI1905" s="93">
        <v>1.6279999999999999</v>
      </c>
      <c r="CM1905" s="67">
        <v>0.13104013104013107</v>
      </c>
      <c r="CN1905" s="67">
        <v>0.128992628992629</v>
      </c>
      <c r="CR1905" s="65">
        <v>6.4</v>
      </c>
      <c r="CS1905" s="65">
        <v>6.3</v>
      </c>
      <c r="CT1905" s="65">
        <v>2.2000000000000002</v>
      </c>
      <c r="CU1905" s="65">
        <v>2.2000000000000002</v>
      </c>
      <c r="CV1905" s="65" t="s">
        <v>962</v>
      </c>
      <c r="DA1905" s="65" t="s">
        <v>4458</v>
      </c>
      <c r="GP1905" s="292" t="s">
        <v>7494</v>
      </c>
      <c r="JU1905" s="59" t="s">
        <v>2040</v>
      </c>
      <c r="JV1905" s="58"/>
    </row>
    <row r="1906" spans="1:282" x14ac:dyDescent="0.25">
      <c r="A1906" s="55">
        <v>1905</v>
      </c>
      <c r="B1906" s="12" t="s">
        <v>7067</v>
      </c>
      <c r="C1906" s="157">
        <v>91</v>
      </c>
      <c r="D1906" s="59" t="s">
        <v>4094</v>
      </c>
      <c r="E1906" s="93" t="s">
        <v>741</v>
      </c>
      <c r="F1906" s="93"/>
      <c r="G1906" s="58" t="s">
        <v>2074</v>
      </c>
      <c r="H1906" s="59">
        <v>2006</v>
      </c>
      <c r="I1906" s="58">
        <v>1999</v>
      </c>
      <c r="J1906" s="59" t="s">
        <v>916</v>
      </c>
      <c r="K1906" s="59" t="s">
        <v>1990</v>
      </c>
      <c r="L1906" s="59" t="s">
        <v>2737</v>
      </c>
      <c r="M1906" s="94">
        <v>32.56</v>
      </c>
      <c r="N1906" s="94">
        <v>-83.91</v>
      </c>
      <c r="O1906" s="93">
        <v>16</v>
      </c>
      <c r="P1906" s="59">
        <v>18.100000000000001</v>
      </c>
      <c r="Q1906" s="58"/>
      <c r="R1906" s="59">
        <v>1258</v>
      </c>
      <c r="S1906" s="94"/>
      <c r="T1906" s="58"/>
      <c r="U1906" s="59">
        <v>6</v>
      </c>
      <c r="V1906" s="58" t="s">
        <v>1933</v>
      </c>
      <c r="Y1906" s="58" t="s">
        <v>2059</v>
      </c>
      <c r="Z1906" s="58" t="s">
        <v>1355</v>
      </c>
      <c r="AA1906" s="94">
        <v>10</v>
      </c>
      <c r="AD1906" s="94">
        <f>AVERAGE(Sheet1!CH1906:CI1906)</f>
        <v>1.421</v>
      </c>
      <c r="AE1906" s="93">
        <v>65</v>
      </c>
      <c r="AF1906" s="93">
        <v>25</v>
      </c>
      <c r="AG1906" s="93"/>
      <c r="AH1906" s="58" t="s">
        <v>238</v>
      </c>
      <c r="AI1906" s="169"/>
      <c r="AJ1906" s="94"/>
      <c r="AK1906" s="94"/>
      <c r="AL1906" s="58"/>
      <c r="AM1906" s="59" t="s">
        <v>1987</v>
      </c>
      <c r="AN1906" s="188" t="s">
        <v>241</v>
      </c>
      <c r="AO1906" s="185" t="s">
        <v>5150</v>
      </c>
      <c r="AP1906" s="59"/>
      <c r="AQ1906" s="58" t="s">
        <v>553</v>
      </c>
      <c r="AR1906" s="59" t="s">
        <v>1985</v>
      </c>
      <c r="AS1906" s="55" t="s">
        <v>5133</v>
      </c>
      <c r="AT1906" s="182"/>
      <c r="AU1906" s="181" t="s">
        <v>7494</v>
      </c>
      <c r="AV1906" s="185" t="s">
        <v>176</v>
      </c>
      <c r="AW1906" s="58"/>
      <c r="AX1906" s="185" t="s">
        <v>176</v>
      </c>
      <c r="AY1906" s="58"/>
      <c r="AZ1906" s="59" t="s">
        <v>1016</v>
      </c>
      <c r="BA1906" s="59" t="s">
        <v>1016</v>
      </c>
      <c r="BB1906" s="59" t="s">
        <v>2082</v>
      </c>
      <c r="BC1906" s="59" t="s">
        <v>2082</v>
      </c>
      <c r="BD1906" s="55" t="s">
        <v>2071</v>
      </c>
      <c r="BE1906" s="236" t="s">
        <v>1984</v>
      </c>
      <c r="BF1906" s="58"/>
      <c r="BG1906" s="191" t="s">
        <v>479</v>
      </c>
      <c r="BH1906" s="236"/>
      <c r="BI1906" s="58"/>
      <c r="BJ1906" s="152" t="s">
        <v>1983</v>
      </c>
      <c r="BK1906" s="58" t="s">
        <v>6269</v>
      </c>
      <c r="BL1906" s="58"/>
      <c r="BM1906" s="237" t="s">
        <v>160</v>
      </c>
      <c r="BN1906" s="59">
        <v>4</v>
      </c>
      <c r="BO1906" s="59">
        <v>4</v>
      </c>
      <c r="BP1906" s="59">
        <v>4</v>
      </c>
      <c r="BQ1906" s="58" t="s">
        <v>141</v>
      </c>
      <c r="BR1906" s="58"/>
      <c r="BS1906" s="58">
        <f>1/3*15750</f>
        <v>5250</v>
      </c>
      <c r="BT1906" s="58"/>
      <c r="BU1906" s="58"/>
      <c r="BV1906" s="58"/>
      <c r="CB1906" s="153"/>
      <c r="CC1906" s="153"/>
      <c r="CD1906" s="153"/>
      <c r="CE1906" s="67"/>
      <c r="CH1906" s="93">
        <f>CI1906</f>
        <v>1.421</v>
      </c>
      <c r="CI1906" s="93">
        <v>1.421</v>
      </c>
      <c r="CM1906" s="67">
        <v>0.7670654468684025</v>
      </c>
      <c r="CN1906" s="67">
        <v>0.80928923293455313</v>
      </c>
      <c r="CR1906" s="65">
        <v>10.9</v>
      </c>
      <c r="CS1906" s="65">
        <v>11.5</v>
      </c>
      <c r="CT1906" s="65">
        <v>1</v>
      </c>
      <c r="CU1906" s="65">
        <v>1</v>
      </c>
      <c r="CV1906" s="65" t="s">
        <v>962</v>
      </c>
      <c r="DA1906" s="65" t="s">
        <v>4458</v>
      </c>
      <c r="GP1906" s="292" t="s">
        <v>7494</v>
      </c>
      <c r="JU1906" s="59" t="s">
        <v>2040</v>
      </c>
      <c r="JV1906" s="58"/>
    </row>
    <row r="1907" spans="1:282" x14ac:dyDescent="0.25">
      <c r="A1907" s="55">
        <v>1906</v>
      </c>
      <c r="B1907" s="12" t="s">
        <v>7067</v>
      </c>
      <c r="C1907" s="157">
        <v>91</v>
      </c>
      <c r="D1907" s="59" t="s">
        <v>4095</v>
      </c>
      <c r="E1907" s="93" t="s">
        <v>741</v>
      </c>
      <c r="F1907" s="93"/>
      <c r="G1907" s="58" t="s">
        <v>2074</v>
      </c>
      <c r="H1907" s="59">
        <v>2006</v>
      </c>
      <c r="I1907" s="58">
        <v>1999</v>
      </c>
      <c r="J1907" s="59" t="s">
        <v>916</v>
      </c>
      <c r="K1907" s="59" t="s">
        <v>1990</v>
      </c>
      <c r="L1907" s="59" t="s">
        <v>2737</v>
      </c>
      <c r="M1907" s="94">
        <v>32.56</v>
      </c>
      <c r="N1907" s="94">
        <v>-83.91</v>
      </c>
      <c r="O1907" s="93">
        <v>16</v>
      </c>
      <c r="P1907" s="59">
        <v>18.100000000000001</v>
      </c>
      <c r="Q1907" s="58"/>
      <c r="R1907" s="59">
        <v>1258</v>
      </c>
      <c r="S1907" s="94"/>
      <c r="T1907" s="58"/>
      <c r="U1907" s="59">
        <v>6</v>
      </c>
      <c r="V1907" s="58" t="s">
        <v>1933</v>
      </c>
      <c r="Y1907" s="58" t="s">
        <v>2059</v>
      </c>
      <c r="Z1907" s="58" t="s">
        <v>1375</v>
      </c>
      <c r="AA1907" s="94">
        <v>20</v>
      </c>
      <c r="AD1907" s="94">
        <f>AVERAGE(Sheet1!CH1907:CI1907)</f>
        <v>1.5469999999999999</v>
      </c>
      <c r="AE1907" s="93">
        <v>65</v>
      </c>
      <c r="AF1907" s="93">
        <v>25</v>
      </c>
      <c r="AG1907" s="93"/>
      <c r="AH1907" s="58" t="s">
        <v>238</v>
      </c>
      <c r="AI1907" s="169"/>
      <c r="AJ1907" s="94"/>
      <c r="AK1907" s="94"/>
      <c r="AL1907" s="58"/>
      <c r="AM1907" s="59" t="s">
        <v>1987</v>
      </c>
      <c r="AN1907" s="188" t="s">
        <v>241</v>
      </c>
      <c r="AO1907" s="185" t="s">
        <v>5150</v>
      </c>
      <c r="AP1907" s="59"/>
      <c r="AQ1907" s="58" t="s">
        <v>553</v>
      </c>
      <c r="AR1907" s="59" t="s">
        <v>1985</v>
      </c>
      <c r="AS1907" s="55" t="s">
        <v>5133</v>
      </c>
      <c r="AT1907" s="182"/>
      <c r="AU1907" s="181" t="s">
        <v>7494</v>
      </c>
      <c r="AV1907" s="185" t="s">
        <v>176</v>
      </c>
      <c r="AW1907" s="58"/>
      <c r="AX1907" s="185" t="s">
        <v>176</v>
      </c>
      <c r="AY1907" s="58"/>
      <c r="AZ1907" s="59" t="s">
        <v>1016</v>
      </c>
      <c r="BA1907" s="59" t="s">
        <v>1016</v>
      </c>
      <c r="BB1907" s="59" t="s">
        <v>2082</v>
      </c>
      <c r="BC1907" s="59" t="s">
        <v>2082</v>
      </c>
      <c r="BD1907" s="55" t="s">
        <v>176</v>
      </c>
      <c r="BE1907" s="236" t="s">
        <v>1984</v>
      </c>
      <c r="BF1907" s="58"/>
      <c r="BG1907" s="191" t="s">
        <v>479</v>
      </c>
      <c r="BH1907" s="236"/>
      <c r="BI1907" s="58"/>
      <c r="BJ1907" s="152" t="s">
        <v>1983</v>
      </c>
      <c r="BK1907" s="58" t="s">
        <v>6269</v>
      </c>
      <c r="BL1907" s="58"/>
      <c r="BM1907" s="237" t="s">
        <v>160</v>
      </c>
      <c r="BN1907" s="59">
        <v>4</v>
      </c>
      <c r="BO1907" s="59">
        <v>4</v>
      </c>
      <c r="BP1907" s="59">
        <v>4</v>
      </c>
      <c r="BQ1907" s="58" t="s">
        <v>141</v>
      </c>
      <c r="BR1907" s="58"/>
      <c r="BS1907" s="58"/>
      <c r="BT1907" s="58"/>
      <c r="BU1907" s="58"/>
      <c r="BV1907" s="58"/>
      <c r="CB1907" s="153"/>
      <c r="CC1907" s="153"/>
      <c r="CD1907" s="153"/>
      <c r="CE1907" s="67"/>
      <c r="CH1907" s="93">
        <f>CI1907</f>
        <v>1.5469999999999999</v>
      </c>
      <c r="CI1907" s="93">
        <v>1.5469999999999999</v>
      </c>
      <c r="CM1907" s="67">
        <v>0.42986425339366519</v>
      </c>
      <c r="CN1907" s="67">
        <v>0.45248868778280549</v>
      </c>
      <c r="CR1907" s="65">
        <v>13.3</v>
      </c>
      <c r="CS1907" s="65">
        <v>14.000000000000002</v>
      </c>
      <c r="CT1907" s="65">
        <v>2.2999999999999998</v>
      </c>
      <c r="CU1907" s="65">
        <v>2.2999999999999998</v>
      </c>
      <c r="CV1907" s="65" t="s">
        <v>962</v>
      </c>
      <c r="DA1907" s="65" t="s">
        <v>4458</v>
      </c>
      <c r="GP1907" s="292" t="s">
        <v>7494</v>
      </c>
      <c r="JU1907" s="59" t="s">
        <v>2040</v>
      </c>
      <c r="JV1907" s="58"/>
    </row>
    <row r="1908" spans="1:282" x14ac:dyDescent="0.25">
      <c r="A1908" s="55">
        <v>1907</v>
      </c>
      <c r="B1908" s="12" t="s">
        <v>7067</v>
      </c>
      <c r="C1908" s="157">
        <v>91</v>
      </c>
      <c r="D1908" s="59" t="s">
        <v>4096</v>
      </c>
      <c r="E1908" s="93" t="s">
        <v>741</v>
      </c>
      <c r="F1908" s="93"/>
      <c r="G1908" s="58" t="s">
        <v>2074</v>
      </c>
      <c r="H1908" s="59">
        <v>2006</v>
      </c>
      <c r="I1908" s="58">
        <v>1999</v>
      </c>
      <c r="J1908" s="59" t="s">
        <v>916</v>
      </c>
      <c r="K1908" s="59" t="s">
        <v>1990</v>
      </c>
      <c r="L1908" s="59" t="s">
        <v>2737</v>
      </c>
      <c r="M1908" s="94">
        <v>32.56</v>
      </c>
      <c r="N1908" s="94">
        <v>-83.91</v>
      </c>
      <c r="O1908" s="93">
        <v>16</v>
      </c>
      <c r="P1908" s="59">
        <v>18.100000000000001</v>
      </c>
      <c r="Q1908" s="58"/>
      <c r="R1908" s="59">
        <v>1258</v>
      </c>
      <c r="S1908" s="94"/>
      <c r="T1908" s="58"/>
      <c r="U1908" s="59">
        <v>6</v>
      </c>
      <c r="V1908" s="58" t="s">
        <v>1933</v>
      </c>
      <c r="Y1908" s="58" t="s">
        <v>2059</v>
      </c>
      <c r="Z1908" s="58" t="s">
        <v>1369</v>
      </c>
      <c r="AA1908" s="94">
        <v>30</v>
      </c>
      <c r="AD1908" s="94">
        <f>AVERAGE(Sheet1!CH1908:CI1908)</f>
        <v>1.3979999999999999</v>
      </c>
      <c r="AE1908" s="93">
        <v>65</v>
      </c>
      <c r="AF1908" s="93">
        <v>25</v>
      </c>
      <c r="AG1908" s="93"/>
      <c r="AH1908" s="58" t="s">
        <v>238</v>
      </c>
      <c r="AI1908" s="169"/>
      <c r="AJ1908" s="94"/>
      <c r="AK1908" s="94"/>
      <c r="AL1908" s="58"/>
      <c r="AM1908" s="59" t="s">
        <v>1987</v>
      </c>
      <c r="AN1908" s="188" t="s">
        <v>241</v>
      </c>
      <c r="AO1908" s="185" t="s">
        <v>5150</v>
      </c>
      <c r="AP1908" s="59"/>
      <c r="AQ1908" s="58" t="s">
        <v>553</v>
      </c>
      <c r="AR1908" s="59" t="s">
        <v>1985</v>
      </c>
      <c r="AS1908" s="55" t="s">
        <v>5133</v>
      </c>
      <c r="AT1908" s="182"/>
      <c r="AU1908" s="181" t="s">
        <v>7494</v>
      </c>
      <c r="AV1908" s="185" t="s">
        <v>176</v>
      </c>
      <c r="AW1908" s="58"/>
      <c r="AX1908" s="185" t="s">
        <v>176</v>
      </c>
      <c r="AY1908" s="58"/>
      <c r="AZ1908" s="59" t="s">
        <v>1016</v>
      </c>
      <c r="BA1908" s="59" t="s">
        <v>1016</v>
      </c>
      <c r="BB1908" s="59" t="s">
        <v>2082</v>
      </c>
      <c r="BC1908" s="59" t="s">
        <v>2082</v>
      </c>
      <c r="BD1908" s="55" t="s">
        <v>2071</v>
      </c>
      <c r="BE1908" s="236" t="s">
        <v>1984</v>
      </c>
      <c r="BF1908" s="58"/>
      <c r="BG1908" s="191" t="s">
        <v>479</v>
      </c>
      <c r="BH1908" s="236"/>
      <c r="BI1908" s="58"/>
      <c r="BJ1908" s="152" t="s">
        <v>1983</v>
      </c>
      <c r="BK1908" s="58" t="s">
        <v>6269</v>
      </c>
      <c r="BL1908" s="58"/>
      <c r="BM1908" s="237" t="s">
        <v>160</v>
      </c>
      <c r="BN1908" s="59">
        <v>4</v>
      </c>
      <c r="BO1908" s="59">
        <v>4</v>
      </c>
      <c r="BP1908" s="59">
        <v>4</v>
      </c>
      <c r="BQ1908" s="58" t="s">
        <v>141</v>
      </c>
      <c r="BR1908" s="58"/>
      <c r="BS1908" s="58"/>
      <c r="BT1908" s="58"/>
      <c r="BU1908" s="58"/>
      <c r="BV1908" s="58"/>
      <c r="CB1908" s="153"/>
      <c r="CC1908" s="153"/>
      <c r="CD1908" s="153"/>
      <c r="CE1908" s="67"/>
      <c r="CH1908" s="93">
        <f>CI1908</f>
        <v>1.3979999999999999</v>
      </c>
      <c r="CI1908" s="93">
        <v>1.3979999999999999</v>
      </c>
      <c r="CM1908" s="67">
        <v>0.25035765379113017</v>
      </c>
      <c r="CN1908" s="67">
        <v>0.2837386742966142</v>
      </c>
      <c r="CR1908" s="65">
        <v>10.499999999999996</v>
      </c>
      <c r="CS1908" s="65">
        <v>11.899999999999999</v>
      </c>
      <c r="CT1908" s="65">
        <v>3.4</v>
      </c>
      <c r="CU1908" s="65">
        <v>3.4</v>
      </c>
      <c r="CV1908" s="65" t="s">
        <v>962</v>
      </c>
      <c r="DA1908" s="65" t="s">
        <v>4458</v>
      </c>
      <c r="GP1908" s="292" t="s">
        <v>7494</v>
      </c>
      <c r="JU1908" s="59" t="s">
        <v>2040</v>
      </c>
      <c r="JV1908" s="58"/>
    </row>
    <row r="1909" spans="1:282" x14ac:dyDescent="0.25">
      <c r="A1909" s="55">
        <v>1908</v>
      </c>
      <c r="B1909" s="12" t="s">
        <v>7067</v>
      </c>
      <c r="C1909" s="157">
        <v>91</v>
      </c>
      <c r="D1909" s="59" t="s">
        <v>4097</v>
      </c>
      <c r="E1909" s="93" t="s">
        <v>741</v>
      </c>
      <c r="F1909" s="93"/>
      <c r="G1909" s="58" t="s">
        <v>2074</v>
      </c>
      <c r="H1909" s="59">
        <v>2006</v>
      </c>
      <c r="I1909" s="58">
        <v>1999</v>
      </c>
      <c r="J1909" s="59" t="s">
        <v>916</v>
      </c>
      <c r="K1909" s="59" t="s">
        <v>1990</v>
      </c>
      <c r="L1909" s="59" t="s">
        <v>2737</v>
      </c>
      <c r="M1909" s="94">
        <v>32.56</v>
      </c>
      <c r="N1909" s="94">
        <v>-83.91</v>
      </c>
      <c r="O1909" s="93">
        <v>16</v>
      </c>
      <c r="P1909" s="59">
        <v>18.100000000000001</v>
      </c>
      <c r="Q1909" s="58"/>
      <c r="R1909" s="59">
        <v>1258</v>
      </c>
      <c r="S1909" s="94"/>
      <c r="T1909" s="58"/>
      <c r="U1909" s="59">
        <v>6</v>
      </c>
      <c r="V1909" s="58" t="s">
        <v>1933</v>
      </c>
      <c r="Y1909" s="58" t="s">
        <v>2059</v>
      </c>
      <c r="Z1909" s="58" t="s">
        <v>1370</v>
      </c>
      <c r="AA1909" s="94">
        <v>30</v>
      </c>
      <c r="AD1909" s="94">
        <f>AVERAGE(Sheet1!CH1909:CI1909)</f>
        <v>1.6160000000000001</v>
      </c>
      <c r="AE1909" s="93">
        <v>65</v>
      </c>
      <c r="AF1909" s="93">
        <v>25</v>
      </c>
      <c r="AG1909" s="93"/>
      <c r="AH1909" s="58" t="s">
        <v>238</v>
      </c>
      <c r="AI1909" s="169"/>
      <c r="AJ1909" s="94"/>
      <c r="AK1909" s="94"/>
      <c r="AL1909" s="58"/>
      <c r="AM1909" s="59" t="s">
        <v>1987</v>
      </c>
      <c r="AN1909" s="188" t="s">
        <v>241</v>
      </c>
      <c r="AO1909" s="185" t="s">
        <v>5150</v>
      </c>
      <c r="AP1909" s="59"/>
      <c r="AQ1909" s="58" t="s">
        <v>553</v>
      </c>
      <c r="AR1909" s="59" t="s">
        <v>1985</v>
      </c>
      <c r="AS1909" s="55" t="s">
        <v>5133</v>
      </c>
      <c r="AT1909" s="182"/>
      <c r="AU1909" s="181" t="s">
        <v>7494</v>
      </c>
      <c r="AV1909" s="185" t="s">
        <v>176</v>
      </c>
      <c r="AW1909" s="58"/>
      <c r="AX1909" s="185" t="s">
        <v>176</v>
      </c>
      <c r="AY1909" s="58"/>
      <c r="AZ1909" s="59" t="s">
        <v>1016</v>
      </c>
      <c r="BA1909" s="59" t="s">
        <v>1016</v>
      </c>
      <c r="BB1909" s="59" t="s">
        <v>2082</v>
      </c>
      <c r="BC1909" s="59" t="s">
        <v>2082</v>
      </c>
      <c r="BD1909" s="55" t="s">
        <v>176</v>
      </c>
      <c r="BE1909" s="236" t="s">
        <v>1984</v>
      </c>
      <c r="BF1909" s="58"/>
      <c r="BG1909" s="191" t="s">
        <v>479</v>
      </c>
      <c r="BH1909" s="236"/>
      <c r="BI1909" s="58"/>
      <c r="BJ1909" s="152" t="s">
        <v>1983</v>
      </c>
      <c r="BK1909" s="58" t="s">
        <v>6269</v>
      </c>
      <c r="BL1909" s="58"/>
      <c r="BM1909" s="237" t="s">
        <v>160</v>
      </c>
      <c r="BN1909" s="59">
        <v>4</v>
      </c>
      <c r="BO1909" s="59">
        <v>4</v>
      </c>
      <c r="BP1909" s="59">
        <v>4</v>
      </c>
      <c r="BQ1909" s="58" t="s">
        <v>141</v>
      </c>
      <c r="BR1909" s="58"/>
      <c r="BS1909" s="58"/>
      <c r="BT1909" s="58"/>
      <c r="BU1909" s="58"/>
      <c r="BV1909" s="58"/>
      <c r="CB1909" s="153"/>
      <c r="CC1909" s="153"/>
      <c r="CD1909" s="153"/>
      <c r="CE1909" s="67"/>
      <c r="CH1909" s="93">
        <f>CI1909</f>
        <v>1.6160000000000001</v>
      </c>
      <c r="CI1909" s="93">
        <v>1.6160000000000001</v>
      </c>
      <c r="CM1909" s="67">
        <v>0.14438943894389436</v>
      </c>
      <c r="CN1909" s="67">
        <v>0.18151815181518149</v>
      </c>
      <c r="CR1909" s="65">
        <v>6.9999999999999991</v>
      </c>
      <c r="CS1909" s="65">
        <v>8.7999999999999989</v>
      </c>
      <c r="CT1909" s="65">
        <v>3.4</v>
      </c>
      <c r="CU1909" s="65">
        <v>3.4</v>
      </c>
      <c r="CV1909" s="65" t="s">
        <v>962</v>
      </c>
      <c r="DA1909" s="65" t="s">
        <v>4458</v>
      </c>
      <c r="GP1909" s="292" t="s">
        <v>7494</v>
      </c>
      <c r="JU1909" s="59" t="s">
        <v>2040</v>
      </c>
      <c r="JV1909" s="58"/>
    </row>
    <row r="1910" spans="1:282" x14ac:dyDescent="0.25">
      <c r="A1910" s="55">
        <v>1909</v>
      </c>
      <c r="B1910" s="12" t="s">
        <v>7067</v>
      </c>
      <c r="C1910" s="157">
        <v>91</v>
      </c>
      <c r="D1910" s="59" t="s">
        <v>4098</v>
      </c>
      <c r="E1910" s="93" t="s">
        <v>741</v>
      </c>
      <c r="F1910" s="93"/>
      <c r="G1910" s="58" t="s">
        <v>2074</v>
      </c>
      <c r="H1910" s="59">
        <v>2006</v>
      </c>
      <c r="I1910" s="58">
        <v>1999</v>
      </c>
      <c r="J1910" s="59" t="s">
        <v>916</v>
      </c>
      <c r="K1910" s="59" t="s">
        <v>1990</v>
      </c>
      <c r="L1910" s="59" t="s">
        <v>2737</v>
      </c>
      <c r="M1910" s="94">
        <v>32.56</v>
      </c>
      <c r="N1910" s="94">
        <v>-83.91</v>
      </c>
      <c r="O1910" s="93">
        <v>16</v>
      </c>
      <c r="P1910" s="59">
        <v>18.100000000000001</v>
      </c>
      <c r="Q1910" s="58"/>
      <c r="R1910" s="59">
        <v>1258</v>
      </c>
      <c r="S1910" s="94"/>
      <c r="T1910" s="58"/>
      <c r="U1910" s="59">
        <v>6</v>
      </c>
      <c r="V1910" s="58" t="s">
        <v>1933</v>
      </c>
      <c r="Y1910" s="58" t="s">
        <v>2059</v>
      </c>
      <c r="Z1910" s="58" t="s">
        <v>1382</v>
      </c>
      <c r="AA1910" s="94">
        <v>30</v>
      </c>
      <c r="AD1910" s="94">
        <f>AVERAGE(Sheet1!CH1910:CI1910)</f>
        <v>1.6279999999999999</v>
      </c>
      <c r="AE1910" s="93">
        <v>65</v>
      </c>
      <c r="AF1910" s="93">
        <v>25</v>
      </c>
      <c r="AG1910" s="93"/>
      <c r="AH1910" s="58" t="s">
        <v>238</v>
      </c>
      <c r="AI1910" s="169"/>
      <c r="AJ1910" s="94"/>
      <c r="AK1910" s="94"/>
      <c r="AL1910" s="58"/>
      <c r="AM1910" s="59" t="s">
        <v>1987</v>
      </c>
      <c r="AN1910" s="188" t="s">
        <v>241</v>
      </c>
      <c r="AO1910" s="185" t="s">
        <v>5150</v>
      </c>
      <c r="AP1910" s="59"/>
      <c r="AQ1910" s="58" t="s">
        <v>553</v>
      </c>
      <c r="AR1910" s="59" t="s">
        <v>1985</v>
      </c>
      <c r="AS1910" s="55" t="s">
        <v>5133</v>
      </c>
      <c r="AT1910" s="182"/>
      <c r="AU1910" s="181" t="s">
        <v>7494</v>
      </c>
      <c r="AV1910" s="185" t="s">
        <v>176</v>
      </c>
      <c r="AW1910" s="58"/>
      <c r="AX1910" s="185" t="s">
        <v>176</v>
      </c>
      <c r="AY1910" s="58"/>
      <c r="AZ1910" s="59" t="s">
        <v>1016</v>
      </c>
      <c r="BA1910" s="59" t="s">
        <v>1016</v>
      </c>
      <c r="BB1910" s="59" t="s">
        <v>2082</v>
      </c>
      <c r="BC1910" s="59" t="s">
        <v>2082</v>
      </c>
      <c r="BD1910" s="55" t="s">
        <v>2071</v>
      </c>
      <c r="BE1910" s="236" t="s">
        <v>1984</v>
      </c>
      <c r="BF1910" s="58"/>
      <c r="BG1910" s="191" t="s">
        <v>479</v>
      </c>
      <c r="BH1910" s="236"/>
      <c r="BI1910" s="58"/>
      <c r="BJ1910" s="152" t="s">
        <v>1983</v>
      </c>
      <c r="BK1910" s="58" t="s">
        <v>6269</v>
      </c>
      <c r="BL1910" s="58"/>
      <c r="BM1910" s="237" t="s">
        <v>160</v>
      </c>
      <c r="BN1910" s="59">
        <v>4</v>
      </c>
      <c r="BO1910" s="59">
        <v>4</v>
      </c>
      <c r="BP1910" s="59">
        <v>4</v>
      </c>
      <c r="BQ1910" s="58" t="s">
        <v>141</v>
      </c>
      <c r="BR1910" s="58"/>
      <c r="BS1910" s="58"/>
      <c r="BT1910" s="58"/>
      <c r="BU1910" s="58"/>
      <c r="BV1910" s="58"/>
      <c r="CB1910" s="153"/>
      <c r="CC1910" s="153"/>
      <c r="CD1910" s="153"/>
      <c r="CE1910" s="67"/>
      <c r="CH1910" s="93">
        <f>CI1910</f>
        <v>1.6279999999999999</v>
      </c>
      <c r="CI1910" s="93">
        <v>1.6279999999999999</v>
      </c>
      <c r="CM1910" s="67">
        <v>0.11466011466011466</v>
      </c>
      <c r="CN1910" s="67">
        <v>0.12694512694512697</v>
      </c>
      <c r="CR1910" s="65">
        <v>5.6000000000000005</v>
      </c>
      <c r="CS1910" s="65">
        <v>6.2</v>
      </c>
      <c r="CT1910" s="65">
        <v>2.2000000000000002</v>
      </c>
      <c r="CU1910" s="65">
        <v>2.2000000000000002</v>
      </c>
      <c r="CV1910" s="65" t="s">
        <v>962</v>
      </c>
      <c r="DA1910" s="65" t="s">
        <v>4458</v>
      </c>
      <c r="GP1910" s="292" t="s">
        <v>7494</v>
      </c>
      <c r="JU1910" s="59" t="s">
        <v>2040</v>
      </c>
      <c r="JV1910" s="58"/>
    </row>
    <row r="1911" spans="1:282" x14ac:dyDescent="0.25">
      <c r="A1911" s="55">
        <v>1910</v>
      </c>
      <c r="B1911" s="12" t="s">
        <v>7067</v>
      </c>
      <c r="C1911" s="157">
        <v>91</v>
      </c>
      <c r="D1911" s="59" t="s">
        <v>4099</v>
      </c>
      <c r="E1911" s="93" t="s">
        <v>741</v>
      </c>
      <c r="F1911" s="93"/>
      <c r="G1911" s="58" t="s">
        <v>2074</v>
      </c>
      <c r="H1911" s="59">
        <v>2006</v>
      </c>
      <c r="I1911" s="58">
        <v>1999</v>
      </c>
      <c r="J1911" s="59" t="s">
        <v>916</v>
      </c>
      <c r="K1911" s="59" t="s">
        <v>1990</v>
      </c>
      <c r="L1911" s="59" t="s">
        <v>2737</v>
      </c>
      <c r="M1911" s="94">
        <v>32.56</v>
      </c>
      <c r="N1911" s="94">
        <v>-83.91</v>
      </c>
      <c r="O1911" s="93">
        <v>16</v>
      </c>
      <c r="P1911" s="59">
        <v>18.100000000000001</v>
      </c>
      <c r="Q1911" s="58"/>
      <c r="R1911" s="59">
        <v>1258</v>
      </c>
      <c r="S1911" s="94"/>
      <c r="T1911" s="58"/>
      <c r="U1911" s="59">
        <v>6</v>
      </c>
      <c r="V1911" s="58" t="s">
        <v>1933</v>
      </c>
      <c r="Y1911" s="58" t="s">
        <v>2059</v>
      </c>
      <c r="Z1911" s="58" t="s">
        <v>1355</v>
      </c>
      <c r="AA1911" s="94">
        <v>10</v>
      </c>
      <c r="AD1911" s="94">
        <f>AVERAGE(Sheet1!CH1911:CI1911)</f>
        <v>1.421</v>
      </c>
      <c r="AE1911" s="93">
        <v>65</v>
      </c>
      <c r="AF1911" s="93">
        <v>25</v>
      </c>
      <c r="AG1911" s="93"/>
      <c r="AH1911" s="58" t="s">
        <v>238</v>
      </c>
      <c r="AI1911" s="169"/>
      <c r="AJ1911" s="94"/>
      <c r="AK1911" s="94"/>
      <c r="AL1911" s="58"/>
      <c r="AM1911" s="59" t="s">
        <v>1987</v>
      </c>
      <c r="AN1911" s="188" t="s">
        <v>1986</v>
      </c>
      <c r="AO1911" s="185" t="s">
        <v>5150</v>
      </c>
      <c r="AP1911" s="59"/>
      <c r="AQ1911" s="58" t="s">
        <v>1546</v>
      </c>
      <c r="AR1911" s="59" t="s">
        <v>1985</v>
      </c>
      <c r="AS1911" s="55" t="s">
        <v>5133</v>
      </c>
      <c r="AT1911" s="182"/>
      <c r="AU1911" s="181" t="s">
        <v>7494</v>
      </c>
      <c r="AV1911" s="185" t="s">
        <v>176</v>
      </c>
      <c r="AW1911" s="58"/>
      <c r="AX1911" s="185" t="s">
        <v>176</v>
      </c>
      <c r="AY1911" s="58"/>
      <c r="AZ1911" s="59" t="s">
        <v>1016</v>
      </c>
      <c r="BA1911" s="59" t="s">
        <v>1016</v>
      </c>
      <c r="BB1911" s="59" t="s">
        <v>2082</v>
      </c>
      <c r="BC1911" s="59" t="s">
        <v>2082</v>
      </c>
      <c r="BD1911" s="55" t="s">
        <v>176</v>
      </c>
      <c r="BE1911" s="236" t="s">
        <v>161</v>
      </c>
      <c r="BF1911" s="58"/>
      <c r="BG1911" s="191" t="s">
        <v>176</v>
      </c>
      <c r="BH1911" s="236"/>
      <c r="BI1911" s="58"/>
      <c r="BJ1911" s="152" t="s">
        <v>1983</v>
      </c>
      <c r="BK1911" s="58" t="s">
        <v>6269</v>
      </c>
      <c r="BL1911" s="58"/>
      <c r="BM1911" s="237" t="s">
        <v>160</v>
      </c>
      <c r="BN1911" s="59">
        <v>4</v>
      </c>
      <c r="BO1911" s="59">
        <v>4</v>
      </c>
      <c r="BP1911" s="59">
        <v>4</v>
      </c>
      <c r="BQ1911" s="58" t="s">
        <v>141</v>
      </c>
      <c r="BR1911" s="58"/>
      <c r="BS1911" s="58">
        <f>1/3*17730</f>
        <v>5910</v>
      </c>
      <c r="BT1911" s="58"/>
      <c r="BU1911" s="58"/>
      <c r="BV1911" s="58"/>
      <c r="CB1911" s="153"/>
      <c r="CC1911" s="153"/>
      <c r="CD1911" s="153"/>
      <c r="CE1911" s="67"/>
      <c r="CH1911" s="94">
        <f>CI1911</f>
        <v>1.421</v>
      </c>
      <c r="CI1911" s="93">
        <v>1.421</v>
      </c>
      <c r="CM1911" s="67">
        <v>0.74595355383532724</v>
      </c>
      <c r="CN1911" s="67">
        <v>0.74595355383532724</v>
      </c>
      <c r="CR1911" s="65">
        <v>10.6</v>
      </c>
      <c r="CS1911" s="65">
        <v>10.6</v>
      </c>
      <c r="CT1911" s="65">
        <v>1</v>
      </c>
      <c r="CU1911" s="65">
        <v>1</v>
      </c>
      <c r="CV1911" s="65" t="s">
        <v>962</v>
      </c>
      <c r="DA1911" s="65" t="s">
        <v>4458</v>
      </c>
      <c r="GP1911" s="292" t="s">
        <v>7494</v>
      </c>
      <c r="JU1911" s="59" t="s">
        <v>2040</v>
      </c>
      <c r="JV1911" s="58"/>
    </row>
    <row r="1912" spans="1:282" x14ac:dyDescent="0.25">
      <c r="A1912" s="55">
        <v>1911</v>
      </c>
      <c r="B1912" s="12" t="s">
        <v>7067</v>
      </c>
      <c r="C1912" s="157">
        <v>91</v>
      </c>
      <c r="D1912" s="59" t="s">
        <v>4100</v>
      </c>
      <c r="E1912" s="93" t="s">
        <v>741</v>
      </c>
      <c r="F1912" s="93"/>
      <c r="G1912" s="58" t="s">
        <v>2074</v>
      </c>
      <c r="H1912" s="59">
        <v>2006</v>
      </c>
      <c r="I1912" s="58">
        <v>1999</v>
      </c>
      <c r="J1912" s="59" t="s">
        <v>916</v>
      </c>
      <c r="K1912" s="59" t="s">
        <v>1990</v>
      </c>
      <c r="L1912" s="59" t="s">
        <v>2737</v>
      </c>
      <c r="M1912" s="94">
        <v>32.56</v>
      </c>
      <c r="N1912" s="94">
        <v>-83.91</v>
      </c>
      <c r="O1912" s="93">
        <v>16</v>
      </c>
      <c r="P1912" s="59">
        <v>18.100000000000001</v>
      </c>
      <c r="Q1912" s="58"/>
      <c r="R1912" s="59">
        <v>1258</v>
      </c>
      <c r="S1912" s="94"/>
      <c r="T1912" s="58"/>
      <c r="U1912" s="59">
        <v>6</v>
      </c>
      <c r="V1912" s="58" t="s">
        <v>1933</v>
      </c>
      <c r="Y1912" s="58" t="s">
        <v>2059</v>
      </c>
      <c r="Z1912" s="58" t="s">
        <v>1375</v>
      </c>
      <c r="AA1912" s="94">
        <v>20</v>
      </c>
      <c r="AD1912" s="94">
        <f>AVERAGE(Sheet1!CH1912:CI1912)</f>
        <v>1.5469999999999999</v>
      </c>
      <c r="AE1912" s="93">
        <v>65</v>
      </c>
      <c r="AF1912" s="93">
        <v>25</v>
      </c>
      <c r="AG1912" s="93"/>
      <c r="AH1912" s="58" t="s">
        <v>238</v>
      </c>
      <c r="AI1912" s="169"/>
      <c r="AJ1912" s="94"/>
      <c r="AK1912" s="94"/>
      <c r="AL1912" s="58"/>
      <c r="AM1912" s="59" t="s">
        <v>1987</v>
      </c>
      <c r="AN1912" s="188" t="s">
        <v>1986</v>
      </c>
      <c r="AO1912" s="185" t="s">
        <v>5150</v>
      </c>
      <c r="AP1912" s="59"/>
      <c r="AQ1912" s="58" t="s">
        <v>1546</v>
      </c>
      <c r="AR1912" s="59" t="s">
        <v>1985</v>
      </c>
      <c r="AS1912" s="55" t="s">
        <v>5133</v>
      </c>
      <c r="AT1912" s="182"/>
      <c r="AU1912" s="181" t="s">
        <v>7494</v>
      </c>
      <c r="AV1912" s="185" t="s">
        <v>176</v>
      </c>
      <c r="AW1912" s="58"/>
      <c r="AX1912" s="185" t="s">
        <v>176</v>
      </c>
      <c r="AY1912" s="58"/>
      <c r="AZ1912" s="59" t="s">
        <v>1016</v>
      </c>
      <c r="BA1912" s="59" t="s">
        <v>1016</v>
      </c>
      <c r="BB1912" s="59" t="s">
        <v>2082</v>
      </c>
      <c r="BC1912" s="59" t="s">
        <v>2082</v>
      </c>
      <c r="BD1912" s="55" t="s">
        <v>2071</v>
      </c>
      <c r="BE1912" s="236" t="s">
        <v>161</v>
      </c>
      <c r="BF1912" s="58"/>
      <c r="BG1912" s="191" t="s">
        <v>176</v>
      </c>
      <c r="BH1912" s="236"/>
      <c r="BI1912" s="58"/>
      <c r="BJ1912" s="152" t="s">
        <v>1983</v>
      </c>
      <c r="BK1912" s="58" t="s">
        <v>6269</v>
      </c>
      <c r="BL1912" s="58"/>
      <c r="BM1912" s="237" t="s">
        <v>160</v>
      </c>
      <c r="BN1912" s="59">
        <v>4</v>
      </c>
      <c r="BO1912" s="59">
        <v>4</v>
      </c>
      <c r="BP1912" s="59">
        <v>4</v>
      </c>
      <c r="BQ1912" s="58" t="s">
        <v>141</v>
      </c>
      <c r="BR1912" s="58"/>
      <c r="BS1912" s="58"/>
      <c r="BT1912" s="58"/>
      <c r="BU1912" s="58"/>
      <c r="BV1912" s="58"/>
      <c r="CB1912" s="153"/>
      <c r="CC1912" s="153"/>
      <c r="CD1912" s="153"/>
      <c r="CE1912" s="67"/>
      <c r="CH1912" s="94">
        <f>CI1912</f>
        <v>1.5469999999999999</v>
      </c>
      <c r="CI1912" s="93">
        <v>1.5469999999999999</v>
      </c>
      <c r="CM1912" s="67">
        <v>0.45248868778280549</v>
      </c>
      <c r="CN1912" s="67">
        <v>0.50096961861667744</v>
      </c>
      <c r="CR1912" s="65">
        <v>14.000000000000002</v>
      </c>
      <c r="CS1912" s="65">
        <v>15.499999999999996</v>
      </c>
      <c r="CT1912" s="65">
        <v>2.2999999999999998</v>
      </c>
      <c r="CU1912" s="65">
        <v>2.2999999999999998</v>
      </c>
      <c r="CV1912" s="65" t="s">
        <v>962</v>
      </c>
      <c r="DA1912" s="65" t="s">
        <v>4458</v>
      </c>
      <c r="GP1912" s="292" t="s">
        <v>7494</v>
      </c>
      <c r="JU1912" s="59" t="s">
        <v>2040</v>
      </c>
      <c r="JV1912" s="58"/>
    </row>
    <row r="1913" spans="1:282" x14ac:dyDescent="0.25">
      <c r="A1913" s="55">
        <v>1912</v>
      </c>
      <c r="B1913" s="12" t="s">
        <v>7067</v>
      </c>
      <c r="C1913" s="157">
        <v>91</v>
      </c>
      <c r="D1913" s="59" t="s">
        <v>4101</v>
      </c>
      <c r="E1913" s="93" t="s">
        <v>741</v>
      </c>
      <c r="F1913" s="93"/>
      <c r="G1913" s="58" t="s">
        <v>2074</v>
      </c>
      <c r="H1913" s="59">
        <v>2006</v>
      </c>
      <c r="I1913" s="58">
        <v>1999</v>
      </c>
      <c r="J1913" s="59" t="s">
        <v>916</v>
      </c>
      <c r="K1913" s="59" t="s">
        <v>1990</v>
      </c>
      <c r="L1913" s="59" t="s">
        <v>2737</v>
      </c>
      <c r="M1913" s="94">
        <v>32.56</v>
      </c>
      <c r="N1913" s="94">
        <v>-83.91</v>
      </c>
      <c r="O1913" s="93">
        <v>16</v>
      </c>
      <c r="P1913" s="59">
        <v>18.100000000000001</v>
      </c>
      <c r="Q1913" s="58"/>
      <c r="R1913" s="59">
        <v>1258</v>
      </c>
      <c r="S1913" s="94"/>
      <c r="T1913" s="58"/>
      <c r="U1913" s="59">
        <v>6</v>
      </c>
      <c r="V1913" s="58" t="s">
        <v>1933</v>
      </c>
      <c r="Y1913" s="58" t="s">
        <v>2059</v>
      </c>
      <c r="Z1913" s="58" t="s">
        <v>1369</v>
      </c>
      <c r="AA1913" s="94">
        <v>30</v>
      </c>
      <c r="AD1913" s="94">
        <f>AVERAGE(Sheet1!CH1913:CI1913)</f>
        <v>1.3979999999999999</v>
      </c>
      <c r="AE1913" s="93">
        <v>65</v>
      </c>
      <c r="AF1913" s="93">
        <v>25</v>
      </c>
      <c r="AG1913" s="93"/>
      <c r="AH1913" s="58" t="s">
        <v>238</v>
      </c>
      <c r="AI1913" s="169"/>
      <c r="AJ1913" s="94"/>
      <c r="AK1913" s="94"/>
      <c r="AL1913" s="58"/>
      <c r="AM1913" s="59" t="s">
        <v>1987</v>
      </c>
      <c r="AN1913" s="188" t="s">
        <v>1986</v>
      </c>
      <c r="AO1913" s="185" t="s">
        <v>5150</v>
      </c>
      <c r="AP1913" s="59"/>
      <c r="AQ1913" s="58" t="s">
        <v>1546</v>
      </c>
      <c r="AR1913" s="59" t="s">
        <v>1985</v>
      </c>
      <c r="AS1913" s="55" t="s">
        <v>5133</v>
      </c>
      <c r="AT1913" s="182"/>
      <c r="AU1913" s="181" t="s">
        <v>7494</v>
      </c>
      <c r="AV1913" s="185" t="s">
        <v>176</v>
      </c>
      <c r="AW1913" s="58"/>
      <c r="AX1913" s="185" t="s">
        <v>176</v>
      </c>
      <c r="AY1913" s="58"/>
      <c r="AZ1913" s="59" t="s">
        <v>1016</v>
      </c>
      <c r="BA1913" s="59" t="s">
        <v>1016</v>
      </c>
      <c r="BB1913" s="59" t="s">
        <v>2082</v>
      </c>
      <c r="BC1913" s="59" t="s">
        <v>2082</v>
      </c>
      <c r="BD1913" s="55" t="s">
        <v>176</v>
      </c>
      <c r="BE1913" s="236" t="s">
        <v>161</v>
      </c>
      <c r="BF1913" s="58"/>
      <c r="BG1913" s="191" t="s">
        <v>176</v>
      </c>
      <c r="BH1913" s="236"/>
      <c r="BI1913" s="58"/>
      <c r="BJ1913" s="152" t="s">
        <v>1983</v>
      </c>
      <c r="BK1913" s="58" t="s">
        <v>6269</v>
      </c>
      <c r="BL1913" s="58"/>
      <c r="BM1913" s="237" t="s">
        <v>160</v>
      </c>
      <c r="BN1913" s="59">
        <v>4</v>
      </c>
      <c r="BO1913" s="59">
        <v>4</v>
      </c>
      <c r="BP1913" s="59">
        <v>4</v>
      </c>
      <c r="BQ1913" s="58" t="s">
        <v>141</v>
      </c>
      <c r="BR1913" s="58"/>
      <c r="BS1913" s="58"/>
      <c r="BT1913" s="58"/>
      <c r="BU1913" s="58"/>
      <c r="BV1913" s="58"/>
      <c r="CB1913" s="153"/>
      <c r="CC1913" s="153"/>
      <c r="CD1913" s="153"/>
      <c r="CE1913" s="67"/>
      <c r="CH1913" s="94">
        <f>CI1913</f>
        <v>1.3979999999999999</v>
      </c>
      <c r="CI1913" s="93">
        <v>1.3979999999999999</v>
      </c>
      <c r="CM1913" s="67">
        <v>0.24082021936099188</v>
      </c>
      <c r="CN1913" s="67">
        <v>0.27420123986647588</v>
      </c>
      <c r="CR1913" s="65">
        <v>10.099999999999998</v>
      </c>
      <c r="CS1913" s="65">
        <v>11.499999999999995</v>
      </c>
      <c r="CT1913" s="65">
        <v>3.4</v>
      </c>
      <c r="CU1913" s="65">
        <v>3.4</v>
      </c>
      <c r="CV1913" s="65" t="s">
        <v>962</v>
      </c>
      <c r="DA1913" s="65" t="s">
        <v>4458</v>
      </c>
      <c r="GP1913" s="292" t="s">
        <v>7494</v>
      </c>
      <c r="JU1913" s="59" t="s">
        <v>2040</v>
      </c>
      <c r="JV1913" s="58"/>
    </row>
    <row r="1914" spans="1:282" x14ac:dyDescent="0.25">
      <c r="A1914" s="55">
        <v>1913</v>
      </c>
      <c r="B1914" s="12" t="s">
        <v>7067</v>
      </c>
      <c r="C1914" s="157">
        <v>91</v>
      </c>
      <c r="D1914" s="59" t="s">
        <v>4102</v>
      </c>
      <c r="E1914" s="93" t="s">
        <v>741</v>
      </c>
      <c r="F1914" s="93"/>
      <c r="G1914" s="58" t="s">
        <v>2074</v>
      </c>
      <c r="H1914" s="59">
        <v>2006</v>
      </c>
      <c r="I1914" s="58">
        <v>1999</v>
      </c>
      <c r="J1914" s="59" t="s">
        <v>916</v>
      </c>
      <c r="K1914" s="59" t="s">
        <v>1990</v>
      </c>
      <c r="L1914" s="59" t="s">
        <v>2737</v>
      </c>
      <c r="M1914" s="94">
        <v>32.56</v>
      </c>
      <c r="N1914" s="94">
        <v>-83.91</v>
      </c>
      <c r="O1914" s="93">
        <v>16</v>
      </c>
      <c r="P1914" s="59">
        <v>18.100000000000001</v>
      </c>
      <c r="Q1914" s="58"/>
      <c r="R1914" s="59">
        <v>1258</v>
      </c>
      <c r="S1914" s="94"/>
      <c r="T1914" s="58"/>
      <c r="U1914" s="59">
        <v>6</v>
      </c>
      <c r="V1914" s="58" t="s">
        <v>1933</v>
      </c>
      <c r="Y1914" s="58" t="s">
        <v>2059</v>
      </c>
      <c r="Z1914" s="58" t="s">
        <v>1370</v>
      </c>
      <c r="AA1914" s="94">
        <v>30</v>
      </c>
      <c r="AD1914" s="94">
        <f>AVERAGE(Sheet1!CH1914:CI1914)</f>
        <v>1.6160000000000001</v>
      </c>
      <c r="AE1914" s="93">
        <v>65</v>
      </c>
      <c r="AF1914" s="93">
        <v>25</v>
      </c>
      <c r="AG1914" s="93"/>
      <c r="AH1914" s="58" t="s">
        <v>238</v>
      </c>
      <c r="AI1914" s="169"/>
      <c r="AJ1914" s="94"/>
      <c r="AK1914" s="94"/>
      <c r="AL1914" s="58"/>
      <c r="AM1914" s="59" t="s">
        <v>1987</v>
      </c>
      <c r="AN1914" s="188" t="s">
        <v>1986</v>
      </c>
      <c r="AO1914" s="185" t="s">
        <v>5150</v>
      </c>
      <c r="AP1914" s="59"/>
      <c r="AQ1914" s="58" t="s">
        <v>1546</v>
      </c>
      <c r="AR1914" s="59" t="s">
        <v>1985</v>
      </c>
      <c r="AS1914" s="55" t="s">
        <v>5133</v>
      </c>
      <c r="AT1914" s="182"/>
      <c r="AU1914" s="181" t="s">
        <v>7494</v>
      </c>
      <c r="AV1914" s="185" t="s">
        <v>176</v>
      </c>
      <c r="AW1914" s="58"/>
      <c r="AX1914" s="185" t="s">
        <v>176</v>
      </c>
      <c r="AY1914" s="58"/>
      <c r="AZ1914" s="59" t="s">
        <v>1016</v>
      </c>
      <c r="BA1914" s="59" t="s">
        <v>1016</v>
      </c>
      <c r="BB1914" s="59" t="s">
        <v>2082</v>
      </c>
      <c r="BC1914" s="59" t="s">
        <v>2082</v>
      </c>
      <c r="BD1914" s="55" t="s">
        <v>2071</v>
      </c>
      <c r="BE1914" s="236" t="s">
        <v>161</v>
      </c>
      <c r="BF1914" s="58"/>
      <c r="BG1914" s="191" t="s">
        <v>176</v>
      </c>
      <c r="BH1914" s="236"/>
      <c r="BI1914" s="58"/>
      <c r="BJ1914" s="152" t="s">
        <v>1983</v>
      </c>
      <c r="BK1914" s="58" t="s">
        <v>6269</v>
      </c>
      <c r="BL1914" s="58"/>
      <c r="BM1914" s="237" t="s">
        <v>160</v>
      </c>
      <c r="BN1914" s="59">
        <v>4</v>
      </c>
      <c r="BO1914" s="59">
        <v>4</v>
      </c>
      <c r="BP1914" s="59">
        <v>4</v>
      </c>
      <c r="BQ1914" s="58" t="s">
        <v>141</v>
      </c>
      <c r="BR1914" s="58"/>
      <c r="BS1914" s="58"/>
      <c r="BT1914" s="58"/>
      <c r="BU1914" s="58"/>
      <c r="BV1914" s="58"/>
      <c r="CB1914" s="153"/>
      <c r="CC1914" s="153"/>
      <c r="CD1914" s="153"/>
      <c r="CE1914" s="67"/>
      <c r="CH1914" s="94">
        <f>CI1914</f>
        <v>1.6160000000000001</v>
      </c>
      <c r="CI1914" s="93">
        <v>1.6160000000000001</v>
      </c>
      <c r="CM1914" s="67">
        <v>0.17326732673267325</v>
      </c>
      <c r="CN1914" s="67">
        <v>0.18564356435643561</v>
      </c>
      <c r="CR1914" s="65">
        <v>8.4</v>
      </c>
      <c r="CS1914" s="65">
        <v>8.9999999999999982</v>
      </c>
      <c r="CT1914" s="65">
        <v>3.4</v>
      </c>
      <c r="CU1914" s="65">
        <v>3.4</v>
      </c>
      <c r="CV1914" s="65" t="s">
        <v>962</v>
      </c>
      <c r="DA1914" s="65" t="s">
        <v>4458</v>
      </c>
      <c r="GP1914" s="292" t="s">
        <v>7494</v>
      </c>
      <c r="JU1914" s="59" t="s">
        <v>2040</v>
      </c>
      <c r="JV1914" s="58"/>
    </row>
    <row r="1915" spans="1:282" x14ac:dyDescent="0.25">
      <c r="A1915" s="55">
        <v>1914</v>
      </c>
      <c r="B1915" s="12" t="s">
        <v>7067</v>
      </c>
      <c r="C1915" s="157">
        <v>91</v>
      </c>
      <c r="D1915" s="59" t="s">
        <v>4103</v>
      </c>
      <c r="E1915" s="93" t="s">
        <v>741</v>
      </c>
      <c r="F1915" s="93"/>
      <c r="G1915" s="58" t="s">
        <v>2074</v>
      </c>
      <c r="H1915" s="59">
        <v>2006</v>
      </c>
      <c r="I1915" s="58">
        <v>1999</v>
      </c>
      <c r="J1915" s="59" t="s">
        <v>916</v>
      </c>
      <c r="K1915" s="59" t="s">
        <v>1990</v>
      </c>
      <c r="L1915" s="59" t="s">
        <v>2737</v>
      </c>
      <c r="M1915" s="94">
        <v>32.56</v>
      </c>
      <c r="N1915" s="94">
        <v>-83.91</v>
      </c>
      <c r="O1915" s="93">
        <v>16</v>
      </c>
      <c r="P1915" s="59">
        <v>18.100000000000001</v>
      </c>
      <c r="Q1915" s="58"/>
      <c r="R1915" s="59">
        <v>1258</v>
      </c>
      <c r="S1915" s="94"/>
      <c r="T1915" s="58"/>
      <c r="U1915" s="59">
        <v>6</v>
      </c>
      <c r="V1915" s="58" t="s">
        <v>1933</v>
      </c>
      <c r="Y1915" s="58" t="s">
        <v>2059</v>
      </c>
      <c r="Z1915" s="58" t="s">
        <v>1382</v>
      </c>
      <c r="AA1915" s="94">
        <v>30</v>
      </c>
      <c r="AD1915" s="94">
        <f>AVERAGE(Sheet1!CH1915:CI1915)</f>
        <v>1.6279999999999999</v>
      </c>
      <c r="AE1915" s="93">
        <v>65</v>
      </c>
      <c r="AF1915" s="93">
        <v>25</v>
      </c>
      <c r="AG1915" s="93"/>
      <c r="AH1915" s="58" t="s">
        <v>238</v>
      </c>
      <c r="AI1915" s="169"/>
      <c r="AJ1915" s="94"/>
      <c r="AK1915" s="94"/>
      <c r="AL1915" s="58"/>
      <c r="AM1915" s="59" t="s">
        <v>1987</v>
      </c>
      <c r="AN1915" s="188" t="s">
        <v>1986</v>
      </c>
      <c r="AO1915" s="185" t="s">
        <v>5150</v>
      </c>
      <c r="AP1915" s="59"/>
      <c r="AQ1915" s="58" t="s">
        <v>1546</v>
      </c>
      <c r="AR1915" s="59" t="s">
        <v>1985</v>
      </c>
      <c r="AS1915" s="55" t="s">
        <v>5133</v>
      </c>
      <c r="AT1915" s="182"/>
      <c r="AU1915" s="181" t="s">
        <v>7494</v>
      </c>
      <c r="AV1915" s="185" t="s">
        <v>176</v>
      </c>
      <c r="AW1915" s="58"/>
      <c r="AX1915" s="185" t="s">
        <v>176</v>
      </c>
      <c r="AY1915" s="58"/>
      <c r="AZ1915" s="59" t="s">
        <v>1016</v>
      </c>
      <c r="BA1915" s="59" t="s">
        <v>1016</v>
      </c>
      <c r="BB1915" s="59" t="s">
        <v>2082</v>
      </c>
      <c r="BC1915" s="59" t="s">
        <v>2082</v>
      </c>
      <c r="BD1915" s="55" t="s">
        <v>176</v>
      </c>
      <c r="BE1915" s="236" t="s">
        <v>161</v>
      </c>
      <c r="BF1915" s="58"/>
      <c r="BG1915" s="191" t="s">
        <v>176</v>
      </c>
      <c r="BH1915" s="236"/>
      <c r="BI1915" s="58"/>
      <c r="BJ1915" s="152" t="s">
        <v>1983</v>
      </c>
      <c r="BK1915" s="58" t="s">
        <v>6269</v>
      </c>
      <c r="BL1915" s="58"/>
      <c r="BM1915" s="237" t="s">
        <v>160</v>
      </c>
      <c r="BN1915" s="59">
        <v>4</v>
      </c>
      <c r="BO1915" s="59">
        <v>4</v>
      </c>
      <c r="BP1915" s="59">
        <v>4</v>
      </c>
      <c r="BQ1915" s="58" t="s">
        <v>141</v>
      </c>
      <c r="BR1915" s="58"/>
      <c r="BS1915" s="58"/>
      <c r="BT1915" s="58"/>
      <c r="BU1915" s="58"/>
      <c r="BV1915" s="58"/>
      <c r="CB1915" s="153"/>
      <c r="CC1915" s="153"/>
      <c r="CD1915" s="153"/>
      <c r="CE1915" s="67"/>
      <c r="CH1915" s="94">
        <f>CI1915</f>
        <v>1.6279999999999999</v>
      </c>
      <c r="CI1915" s="93">
        <v>1.6279999999999999</v>
      </c>
      <c r="CM1915" s="67">
        <v>0.14332514332514337</v>
      </c>
      <c r="CN1915" s="67">
        <v>0.13718263718263721</v>
      </c>
      <c r="CR1915" s="65">
        <v>7.0000000000000018</v>
      </c>
      <c r="CS1915" s="65">
        <v>6.7</v>
      </c>
      <c r="CT1915" s="65">
        <v>2.2000000000000002</v>
      </c>
      <c r="CU1915" s="65">
        <v>2.2000000000000002</v>
      </c>
      <c r="CV1915" s="65" t="s">
        <v>962</v>
      </c>
      <c r="DA1915" s="65" t="s">
        <v>4458</v>
      </c>
      <c r="GP1915" s="292" t="s">
        <v>7494</v>
      </c>
      <c r="JU1915" s="59" t="s">
        <v>2040</v>
      </c>
      <c r="JV1915" s="58"/>
    </row>
    <row r="1916" spans="1:282" x14ac:dyDescent="0.25">
      <c r="A1916" s="55">
        <v>1915</v>
      </c>
      <c r="B1916" s="12" t="s">
        <v>7067</v>
      </c>
      <c r="C1916" s="157">
        <v>91</v>
      </c>
      <c r="D1916" s="59" t="s">
        <v>4104</v>
      </c>
      <c r="E1916" s="93" t="s">
        <v>741</v>
      </c>
      <c r="F1916" s="93"/>
      <c r="G1916" s="58" t="s">
        <v>2074</v>
      </c>
      <c r="H1916" s="59">
        <v>2006</v>
      </c>
      <c r="I1916" s="58">
        <v>1999</v>
      </c>
      <c r="J1916" s="59" t="s">
        <v>916</v>
      </c>
      <c r="K1916" s="59" t="s">
        <v>1990</v>
      </c>
      <c r="L1916" s="59" t="s">
        <v>2737</v>
      </c>
      <c r="M1916" s="94">
        <v>32.56</v>
      </c>
      <c r="N1916" s="94">
        <v>-83.91</v>
      </c>
      <c r="O1916" s="93">
        <v>16</v>
      </c>
      <c r="P1916" s="59">
        <v>18.100000000000001</v>
      </c>
      <c r="Q1916" s="58"/>
      <c r="R1916" s="59">
        <v>1258</v>
      </c>
      <c r="S1916" s="94"/>
      <c r="T1916" s="58"/>
      <c r="U1916" s="59">
        <v>6</v>
      </c>
      <c r="V1916" s="58" t="s">
        <v>1933</v>
      </c>
      <c r="Y1916" s="58" t="s">
        <v>2059</v>
      </c>
      <c r="Z1916" s="58" t="s">
        <v>1355</v>
      </c>
      <c r="AA1916" s="94">
        <v>10</v>
      </c>
      <c r="AD1916" s="94">
        <f>AVERAGE(Sheet1!CH1916:CI1916)</f>
        <v>1.421</v>
      </c>
      <c r="AE1916" s="93">
        <v>65</v>
      </c>
      <c r="AF1916" s="93">
        <v>25</v>
      </c>
      <c r="AG1916" s="93"/>
      <c r="AH1916" s="58" t="s">
        <v>238</v>
      </c>
      <c r="AI1916" s="169"/>
      <c r="AJ1916" s="94"/>
      <c r="AK1916" s="94"/>
      <c r="AL1916" s="58"/>
      <c r="AM1916" s="59" t="s">
        <v>1987</v>
      </c>
      <c r="AN1916" s="188" t="s">
        <v>1986</v>
      </c>
      <c r="AO1916" s="185" t="s">
        <v>5150</v>
      </c>
      <c r="AP1916" s="59"/>
      <c r="AQ1916" s="58" t="s">
        <v>1546</v>
      </c>
      <c r="AR1916" s="59" t="s">
        <v>1985</v>
      </c>
      <c r="AS1916" s="55" t="s">
        <v>5133</v>
      </c>
      <c r="AT1916" s="182"/>
      <c r="AU1916" s="181" t="s">
        <v>7494</v>
      </c>
      <c r="AV1916" s="185" t="s">
        <v>176</v>
      </c>
      <c r="AW1916" s="58"/>
      <c r="AX1916" s="185" t="s">
        <v>176</v>
      </c>
      <c r="AY1916" s="58"/>
      <c r="AZ1916" s="59" t="s">
        <v>1016</v>
      </c>
      <c r="BA1916" s="59" t="s">
        <v>1016</v>
      </c>
      <c r="BB1916" s="59" t="s">
        <v>2082</v>
      </c>
      <c r="BC1916" s="59" t="s">
        <v>2082</v>
      </c>
      <c r="BD1916" s="55" t="s">
        <v>2071</v>
      </c>
      <c r="BE1916" s="236" t="s">
        <v>1989</v>
      </c>
      <c r="BF1916" s="58"/>
      <c r="BG1916" s="191" t="s">
        <v>479</v>
      </c>
      <c r="BH1916" s="236"/>
      <c r="BI1916" s="58"/>
      <c r="BJ1916" s="152" t="s">
        <v>1983</v>
      </c>
      <c r="BK1916" s="58" t="s">
        <v>6269</v>
      </c>
      <c r="BL1916" s="58"/>
      <c r="BM1916" s="237" t="s">
        <v>160</v>
      </c>
      <c r="BN1916" s="59">
        <v>4</v>
      </c>
      <c r="BO1916" s="59">
        <v>4</v>
      </c>
      <c r="BP1916" s="59">
        <v>4</v>
      </c>
      <c r="BQ1916" s="58" t="s">
        <v>141</v>
      </c>
      <c r="BR1916" s="58"/>
      <c r="BS1916" s="58">
        <f>1/3*16490</f>
        <v>5496.6666666666661</v>
      </c>
      <c r="BT1916" s="58"/>
      <c r="BU1916" s="58"/>
      <c r="BV1916" s="58"/>
      <c r="CB1916" s="153"/>
      <c r="CC1916" s="153"/>
      <c r="CD1916" s="153"/>
      <c r="CE1916" s="67"/>
      <c r="CH1916" s="93">
        <f>CI1916</f>
        <v>1.421</v>
      </c>
      <c r="CI1916" s="93">
        <v>1.421</v>
      </c>
      <c r="CM1916" s="67">
        <v>0.74595355383532724</v>
      </c>
      <c r="CN1916" s="67">
        <v>0.7670654468684025</v>
      </c>
      <c r="CR1916" s="65">
        <v>10.6</v>
      </c>
      <c r="CS1916" s="65">
        <v>10.9</v>
      </c>
      <c r="CT1916" s="65">
        <v>1</v>
      </c>
      <c r="CU1916" s="65">
        <v>1</v>
      </c>
      <c r="CV1916" s="65" t="s">
        <v>962</v>
      </c>
      <c r="DA1916" s="65" t="s">
        <v>4458</v>
      </c>
      <c r="GP1916" s="292" t="s">
        <v>7494</v>
      </c>
      <c r="JU1916" s="59" t="s">
        <v>2040</v>
      </c>
      <c r="JV1916" s="58"/>
    </row>
    <row r="1917" spans="1:282" x14ac:dyDescent="0.25">
      <c r="A1917" s="55">
        <v>1916</v>
      </c>
      <c r="B1917" s="12" t="s">
        <v>7067</v>
      </c>
      <c r="C1917" s="157">
        <v>91</v>
      </c>
      <c r="D1917" s="59" t="s">
        <v>4105</v>
      </c>
      <c r="E1917" s="93" t="s">
        <v>741</v>
      </c>
      <c r="F1917" s="93"/>
      <c r="G1917" s="58" t="s">
        <v>2074</v>
      </c>
      <c r="H1917" s="59">
        <v>2006</v>
      </c>
      <c r="I1917" s="58">
        <v>1999</v>
      </c>
      <c r="J1917" s="59" t="s">
        <v>916</v>
      </c>
      <c r="K1917" s="59" t="s">
        <v>1990</v>
      </c>
      <c r="L1917" s="59" t="s">
        <v>2737</v>
      </c>
      <c r="M1917" s="94">
        <v>32.56</v>
      </c>
      <c r="N1917" s="94">
        <v>-83.91</v>
      </c>
      <c r="O1917" s="93">
        <v>16</v>
      </c>
      <c r="P1917" s="59">
        <v>18.100000000000001</v>
      </c>
      <c r="Q1917" s="58"/>
      <c r="R1917" s="59">
        <v>1258</v>
      </c>
      <c r="S1917" s="94"/>
      <c r="T1917" s="58"/>
      <c r="U1917" s="59">
        <v>6</v>
      </c>
      <c r="V1917" s="58" t="s">
        <v>1933</v>
      </c>
      <c r="Y1917" s="58" t="s">
        <v>2059</v>
      </c>
      <c r="Z1917" s="58" t="s">
        <v>1375</v>
      </c>
      <c r="AA1917" s="94">
        <v>20</v>
      </c>
      <c r="AD1917" s="94">
        <f>AVERAGE(Sheet1!CH1917:CI1917)</f>
        <v>1.5469999999999999</v>
      </c>
      <c r="AE1917" s="93">
        <v>65</v>
      </c>
      <c r="AF1917" s="93">
        <v>25</v>
      </c>
      <c r="AG1917" s="93"/>
      <c r="AH1917" s="58" t="s">
        <v>238</v>
      </c>
      <c r="AI1917" s="169"/>
      <c r="AJ1917" s="94"/>
      <c r="AK1917" s="94"/>
      <c r="AL1917" s="58"/>
      <c r="AM1917" s="59" t="s">
        <v>1987</v>
      </c>
      <c r="AN1917" s="188" t="s">
        <v>1986</v>
      </c>
      <c r="AO1917" s="185" t="s">
        <v>5150</v>
      </c>
      <c r="AP1917" s="59"/>
      <c r="AQ1917" s="58" t="s">
        <v>1546</v>
      </c>
      <c r="AR1917" s="59" t="s">
        <v>1985</v>
      </c>
      <c r="AS1917" s="55" t="s">
        <v>5133</v>
      </c>
      <c r="AT1917" s="182"/>
      <c r="AU1917" s="181" t="s">
        <v>7494</v>
      </c>
      <c r="AV1917" s="185" t="s">
        <v>176</v>
      </c>
      <c r="AW1917" s="58"/>
      <c r="AX1917" s="185" t="s">
        <v>176</v>
      </c>
      <c r="AY1917" s="58"/>
      <c r="AZ1917" s="59" t="s">
        <v>1016</v>
      </c>
      <c r="BA1917" s="59" t="s">
        <v>1016</v>
      </c>
      <c r="BB1917" s="59" t="s">
        <v>2082</v>
      </c>
      <c r="BC1917" s="59" t="s">
        <v>2082</v>
      </c>
      <c r="BD1917" s="55" t="s">
        <v>176</v>
      </c>
      <c r="BE1917" s="236" t="s">
        <v>1989</v>
      </c>
      <c r="BF1917" s="58"/>
      <c r="BG1917" s="191" t="s">
        <v>479</v>
      </c>
      <c r="BH1917" s="236"/>
      <c r="BI1917" s="58"/>
      <c r="BJ1917" s="152" t="s">
        <v>1983</v>
      </c>
      <c r="BK1917" s="58" t="s">
        <v>6269</v>
      </c>
      <c r="BL1917" s="58"/>
      <c r="BM1917" s="237" t="s">
        <v>160</v>
      </c>
      <c r="BN1917" s="59">
        <v>4</v>
      </c>
      <c r="BO1917" s="59">
        <v>4</v>
      </c>
      <c r="BP1917" s="59">
        <v>4</v>
      </c>
      <c r="BQ1917" s="58" t="s">
        <v>141</v>
      </c>
      <c r="BR1917" s="58"/>
      <c r="BS1917" s="58"/>
      <c r="BT1917" s="58"/>
      <c r="BU1917" s="58"/>
      <c r="BV1917" s="58"/>
      <c r="CB1917" s="153"/>
      <c r="CC1917" s="153"/>
      <c r="CD1917" s="153"/>
      <c r="CE1917" s="67"/>
      <c r="CH1917" s="93">
        <f>CI1917</f>
        <v>1.5469999999999999</v>
      </c>
      <c r="CI1917" s="93">
        <v>1.5469999999999999</v>
      </c>
      <c r="CM1917" s="67">
        <v>0.44602456367162258</v>
      </c>
      <c r="CN1917" s="67">
        <v>0.51712992889463472</v>
      </c>
      <c r="CR1917" s="65">
        <v>13.8</v>
      </c>
      <c r="CS1917" s="65">
        <v>15.999999999999998</v>
      </c>
      <c r="CT1917" s="65">
        <v>2.2999999999999998</v>
      </c>
      <c r="CU1917" s="65">
        <v>2.2999999999999998</v>
      </c>
      <c r="CV1917" s="65" t="s">
        <v>962</v>
      </c>
      <c r="DA1917" s="65" t="s">
        <v>4458</v>
      </c>
      <c r="GP1917" s="292" t="s">
        <v>7494</v>
      </c>
      <c r="JU1917" s="59" t="s">
        <v>2040</v>
      </c>
      <c r="JV1917" s="58"/>
    </row>
    <row r="1918" spans="1:282" x14ac:dyDescent="0.25">
      <c r="A1918" s="55">
        <v>1917</v>
      </c>
      <c r="B1918" s="12" t="s">
        <v>7067</v>
      </c>
      <c r="C1918" s="157">
        <v>91</v>
      </c>
      <c r="D1918" s="59" t="s">
        <v>4106</v>
      </c>
      <c r="E1918" s="93" t="s">
        <v>741</v>
      </c>
      <c r="F1918" s="93"/>
      <c r="G1918" s="58" t="s">
        <v>2074</v>
      </c>
      <c r="H1918" s="59">
        <v>2006</v>
      </c>
      <c r="I1918" s="58">
        <v>1999</v>
      </c>
      <c r="J1918" s="59" t="s">
        <v>916</v>
      </c>
      <c r="K1918" s="59" t="s">
        <v>1990</v>
      </c>
      <c r="L1918" s="59" t="s">
        <v>2737</v>
      </c>
      <c r="M1918" s="94">
        <v>32.56</v>
      </c>
      <c r="N1918" s="94">
        <v>-83.91</v>
      </c>
      <c r="O1918" s="93">
        <v>16</v>
      </c>
      <c r="P1918" s="59">
        <v>18.100000000000001</v>
      </c>
      <c r="Q1918" s="58"/>
      <c r="R1918" s="59">
        <v>1258</v>
      </c>
      <c r="S1918" s="94"/>
      <c r="T1918" s="58"/>
      <c r="U1918" s="59">
        <v>6</v>
      </c>
      <c r="V1918" s="58" t="s">
        <v>1933</v>
      </c>
      <c r="Y1918" s="58" t="s">
        <v>2059</v>
      </c>
      <c r="Z1918" s="58" t="s">
        <v>1369</v>
      </c>
      <c r="AA1918" s="94">
        <v>30</v>
      </c>
      <c r="AD1918" s="94">
        <f>AVERAGE(Sheet1!CH1918:CI1918)</f>
        <v>1.3979999999999999</v>
      </c>
      <c r="AE1918" s="93">
        <v>65</v>
      </c>
      <c r="AF1918" s="93">
        <v>25</v>
      </c>
      <c r="AG1918" s="93"/>
      <c r="AH1918" s="58" t="s">
        <v>238</v>
      </c>
      <c r="AI1918" s="169"/>
      <c r="AJ1918" s="94"/>
      <c r="AK1918" s="94"/>
      <c r="AL1918" s="58"/>
      <c r="AM1918" s="59" t="s">
        <v>1987</v>
      </c>
      <c r="AN1918" s="188" t="s">
        <v>1986</v>
      </c>
      <c r="AO1918" s="185" t="s">
        <v>5150</v>
      </c>
      <c r="AP1918" s="59"/>
      <c r="AQ1918" s="58" t="s">
        <v>1546</v>
      </c>
      <c r="AR1918" s="59" t="s">
        <v>1985</v>
      </c>
      <c r="AS1918" s="55" t="s">
        <v>5133</v>
      </c>
      <c r="AT1918" s="182"/>
      <c r="AU1918" s="181" t="s">
        <v>7494</v>
      </c>
      <c r="AV1918" s="185" t="s">
        <v>176</v>
      </c>
      <c r="AW1918" s="58"/>
      <c r="AX1918" s="185" t="s">
        <v>176</v>
      </c>
      <c r="AY1918" s="58"/>
      <c r="AZ1918" s="59" t="s">
        <v>1016</v>
      </c>
      <c r="BA1918" s="59" t="s">
        <v>1016</v>
      </c>
      <c r="BB1918" s="59" t="s">
        <v>2082</v>
      </c>
      <c r="BC1918" s="59" t="s">
        <v>2082</v>
      </c>
      <c r="BD1918" s="55" t="s">
        <v>2071</v>
      </c>
      <c r="BE1918" s="236" t="s">
        <v>1989</v>
      </c>
      <c r="BF1918" s="58"/>
      <c r="BG1918" s="191" t="s">
        <v>479</v>
      </c>
      <c r="BH1918" s="236"/>
      <c r="BI1918" s="58"/>
      <c r="BJ1918" s="152" t="s">
        <v>1983</v>
      </c>
      <c r="BK1918" s="58" t="s">
        <v>6269</v>
      </c>
      <c r="BL1918" s="58"/>
      <c r="BM1918" s="237" t="s">
        <v>160</v>
      </c>
      <c r="BN1918" s="59">
        <v>4</v>
      </c>
      <c r="BO1918" s="59">
        <v>4</v>
      </c>
      <c r="BP1918" s="59">
        <v>4</v>
      </c>
      <c r="BQ1918" s="58" t="s">
        <v>141</v>
      </c>
      <c r="BR1918" s="58"/>
      <c r="BS1918" s="58"/>
      <c r="BT1918" s="58"/>
      <c r="BU1918" s="58"/>
      <c r="BV1918" s="58"/>
      <c r="CB1918" s="153"/>
      <c r="CC1918" s="153"/>
      <c r="CD1918" s="153"/>
      <c r="CE1918" s="67"/>
      <c r="CH1918" s="93">
        <f>CI1918</f>
        <v>1.3979999999999999</v>
      </c>
      <c r="CI1918" s="93">
        <v>1.3979999999999999</v>
      </c>
      <c r="CM1918" s="67">
        <v>0.27896995708154504</v>
      </c>
      <c r="CN1918" s="67">
        <v>0.25512637100619928</v>
      </c>
      <c r="CR1918" s="65">
        <v>11.700000000000001</v>
      </c>
      <c r="CS1918" s="65">
        <v>10.699999999999998</v>
      </c>
      <c r="CT1918" s="65">
        <v>3.4</v>
      </c>
      <c r="CU1918" s="65">
        <v>3.4</v>
      </c>
      <c r="CV1918" s="65" t="s">
        <v>962</v>
      </c>
      <c r="DA1918" s="65" t="s">
        <v>4458</v>
      </c>
      <c r="GP1918" s="292" t="s">
        <v>7494</v>
      </c>
      <c r="JU1918" s="59" t="s">
        <v>2040</v>
      </c>
      <c r="JV1918" s="58"/>
    </row>
    <row r="1919" spans="1:282" x14ac:dyDescent="0.25">
      <c r="A1919" s="55">
        <v>1918</v>
      </c>
      <c r="B1919" s="12" t="s">
        <v>7067</v>
      </c>
      <c r="C1919" s="157">
        <v>91</v>
      </c>
      <c r="D1919" s="59" t="s">
        <v>4107</v>
      </c>
      <c r="E1919" s="93" t="s">
        <v>741</v>
      </c>
      <c r="F1919" s="93"/>
      <c r="G1919" s="58" t="s">
        <v>2074</v>
      </c>
      <c r="H1919" s="59">
        <v>2006</v>
      </c>
      <c r="I1919" s="58">
        <v>1999</v>
      </c>
      <c r="J1919" s="59" t="s">
        <v>916</v>
      </c>
      <c r="K1919" s="59" t="s">
        <v>1990</v>
      </c>
      <c r="L1919" s="59" t="s">
        <v>2737</v>
      </c>
      <c r="M1919" s="94">
        <v>32.56</v>
      </c>
      <c r="N1919" s="94">
        <v>-83.91</v>
      </c>
      <c r="O1919" s="93">
        <v>16</v>
      </c>
      <c r="P1919" s="59">
        <v>18.100000000000001</v>
      </c>
      <c r="Q1919" s="58"/>
      <c r="R1919" s="59">
        <v>1258</v>
      </c>
      <c r="S1919" s="94"/>
      <c r="T1919" s="58"/>
      <c r="U1919" s="59">
        <v>6</v>
      </c>
      <c r="V1919" s="58" t="s">
        <v>1933</v>
      </c>
      <c r="Y1919" s="58" t="s">
        <v>2059</v>
      </c>
      <c r="Z1919" s="58" t="s">
        <v>1370</v>
      </c>
      <c r="AA1919" s="94">
        <v>30</v>
      </c>
      <c r="AD1919" s="94">
        <f>AVERAGE(Sheet1!CH1919:CI1919)</f>
        <v>1.6160000000000001</v>
      </c>
      <c r="AE1919" s="93">
        <v>65</v>
      </c>
      <c r="AF1919" s="93">
        <v>25</v>
      </c>
      <c r="AG1919" s="93"/>
      <c r="AH1919" s="58" t="s">
        <v>238</v>
      </c>
      <c r="AI1919" s="169"/>
      <c r="AJ1919" s="94"/>
      <c r="AK1919" s="94"/>
      <c r="AL1919" s="58"/>
      <c r="AM1919" s="59" t="s">
        <v>1987</v>
      </c>
      <c r="AN1919" s="188" t="s">
        <v>1986</v>
      </c>
      <c r="AO1919" s="185" t="s">
        <v>5150</v>
      </c>
      <c r="AP1919" s="59"/>
      <c r="AQ1919" s="58" t="s">
        <v>1546</v>
      </c>
      <c r="AR1919" s="59" t="s">
        <v>1985</v>
      </c>
      <c r="AS1919" s="55" t="s">
        <v>5133</v>
      </c>
      <c r="AT1919" s="182"/>
      <c r="AU1919" s="181" t="s">
        <v>7494</v>
      </c>
      <c r="AV1919" s="185" t="s">
        <v>176</v>
      </c>
      <c r="AW1919" s="58"/>
      <c r="AX1919" s="185" t="s">
        <v>176</v>
      </c>
      <c r="AY1919" s="58"/>
      <c r="AZ1919" s="59" t="s">
        <v>1016</v>
      </c>
      <c r="BA1919" s="59" t="s">
        <v>1016</v>
      </c>
      <c r="BB1919" s="59" t="s">
        <v>2082</v>
      </c>
      <c r="BC1919" s="59" t="s">
        <v>2082</v>
      </c>
      <c r="BD1919" s="55" t="s">
        <v>176</v>
      </c>
      <c r="BE1919" s="236" t="s">
        <v>1989</v>
      </c>
      <c r="BF1919" s="58"/>
      <c r="BG1919" s="191" t="s">
        <v>479</v>
      </c>
      <c r="BH1919" s="236"/>
      <c r="BI1919" s="58"/>
      <c r="BJ1919" s="152" t="s">
        <v>1983</v>
      </c>
      <c r="BK1919" s="58" t="s">
        <v>6269</v>
      </c>
      <c r="BL1919" s="58"/>
      <c r="BM1919" s="237" t="s">
        <v>160</v>
      </c>
      <c r="BN1919" s="59">
        <v>4</v>
      </c>
      <c r="BO1919" s="59">
        <v>4</v>
      </c>
      <c r="BP1919" s="59">
        <v>4</v>
      </c>
      <c r="BQ1919" s="58" t="s">
        <v>141</v>
      </c>
      <c r="BR1919" s="58"/>
      <c r="BS1919" s="58"/>
      <c r="BT1919" s="58"/>
      <c r="BU1919" s="58"/>
      <c r="BV1919" s="58"/>
      <c r="CB1919" s="153"/>
      <c r="CC1919" s="153"/>
      <c r="CD1919" s="153"/>
      <c r="CE1919" s="67"/>
      <c r="CH1919" s="93">
        <f>CI1919</f>
        <v>1.6160000000000001</v>
      </c>
      <c r="CI1919" s="93">
        <v>1.6160000000000001</v>
      </c>
      <c r="CM1919" s="67">
        <v>0.19389438943894385</v>
      </c>
      <c r="CN1919" s="67">
        <v>0.15057755775577555</v>
      </c>
      <c r="CR1919" s="65">
        <v>9.3999999999999986</v>
      </c>
      <c r="CS1919" s="65">
        <v>7.2999999999999989</v>
      </c>
      <c r="CT1919" s="65">
        <v>3.4</v>
      </c>
      <c r="CU1919" s="65">
        <v>3.4</v>
      </c>
      <c r="CV1919" s="65" t="s">
        <v>962</v>
      </c>
      <c r="DA1919" s="65" t="s">
        <v>4458</v>
      </c>
      <c r="GP1919" s="292" t="s">
        <v>7494</v>
      </c>
      <c r="JU1919" s="59" t="s">
        <v>2040</v>
      </c>
      <c r="JV1919" s="58"/>
    </row>
    <row r="1920" spans="1:282" x14ac:dyDescent="0.25">
      <c r="A1920" s="55">
        <v>1919</v>
      </c>
      <c r="B1920" s="12" t="s">
        <v>7067</v>
      </c>
      <c r="C1920" s="157">
        <v>91</v>
      </c>
      <c r="D1920" s="59" t="s">
        <v>4108</v>
      </c>
      <c r="E1920" s="93" t="s">
        <v>741</v>
      </c>
      <c r="F1920" s="93"/>
      <c r="G1920" s="58" t="s">
        <v>2074</v>
      </c>
      <c r="H1920" s="59">
        <v>2006</v>
      </c>
      <c r="I1920" s="58">
        <v>1999</v>
      </c>
      <c r="J1920" s="59" t="s">
        <v>916</v>
      </c>
      <c r="K1920" s="59" t="s">
        <v>1990</v>
      </c>
      <c r="L1920" s="59" t="s">
        <v>2737</v>
      </c>
      <c r="M1920" s="94">
        <v>32.56</v>
      </c>
      <c r="N1920" s="94">
        <v>-83.91</v>
      </c>
      <c r="O1920" s="93">
        <v>16</v>
      </c>
      <c r="P1920" s="59">
        <v>18.100000000000001</v>
      </c>
      <c r="Q1920" s="58"/>
      <c r="R1920" s="59">
        <v>1258</v>
      </c>
      <c r="S1920" s="94"/>
      <c r="T1920" s="58"/>
      <c r="U1920" s="59">
        <v>6</v>
      </c>
      <c r="V1920" s="58" t="s">
        <v>1933</v>
      </c>
      <c r="Y1920" s="58" t="s">
        <v>2059</v>
      </c>
      <c r="Z1920" s="58" t="s">
        <v>1382</v>
      </c>
      <c r="AA1920" s="94">
        <v>30</v>
      </c>
      <c r="AD1920" s="94">
        <f>AVERAGE(Sheet1!CH1920:CI1920)</f>
        <v>1.6279999999999999</v>
      </c>
      <c r="AE1920" s="93">
        <v>65</v>
      </c>
      <c r="AF1920" s="93">
        <v>25</v>
      </c>
      <c r="AG1920" s="93"/>
      <c r="AH1920" s="58" t="s">
        <v>238</v>
      </c>
      <c r="AI1920" s="169"/>
      <c r="AJ1920" s="94"/>
      <c r="AK1920" s="94"/>
      <c r="AL1920" s="58"/>
      <c r="AM1920" s="59" t="s">
        <v>1987</v>
      </c>
      <c r="AN1920" s="188" t="s">
        <v>1986</v>
      </c>
      <c r="AO1920" s="185" t="s">
        <v>5150</v>
      </c>
      <c r="AP1920" s="59"/>
      <c r="AQ1920" s="58" t="s">
        <v>1546</v>
      </c>
      <c r="AR1920" s="59" t="s">
        <v>1985</v>
      </c>
      <c r="AS1920" s="55" t="s">
        <v>5133</v>
      </c>
      <c r="AT1920" s="182"/>
      <c r="AU1920" s="181" t="s">
        <v>7494</v>
      </c>
      <c r="AV1920" s="185" t="s">
        <v>176</v>
      </c>
      <c r="AW1920" s="58"/>
      <c r="AX1920" s="185" t="s">
        <v>176</v>
      </c>
      <c r="AY1920" s="58"/>
      <c r="AZ1920" s="59" t="s">
        <v>1016</v>
      </c>
      <c r="BA1920" s="59" t="s">
        <v>1016</v>
      </c>
      <c r="BB1920" s="59" t="s">
        <v>2082</v>
      </c>
      <c r="BC1920" s="59" t="s">
        <v>2082</v>
      </c>
      <c r="BD1920" s="55" t="s">
        <v>2071</v>
      </c>
      <c r="BE1920" s="236" t="s">
        <v>1989</v>
      </c>
      <c r="BF1920" s="58"/>
      <c r="BG1920" s="191" t="s">
        <v>479</v>
      </c>
      <c r="BH1920" s="236"/>
      <c r="BI1920" s="58"/>
      <c r="BJ1920" s="152" t="s">
        <v>1983</v>
      </c>
      <c r="BK1920" s="58" t="s">
        <v>6269</v>
      </c>
      <c r="BL1920" s="58"/>
      <c r="BM1920" s="237" t="s">
        <v>160</v>
      </c>
      <c r="BN1920" s="59">
        <v>4</v>
      </c>
      <c r="BO1920" s="59">
        <v>4</v>
      </c>
      <c r="BP1920" s="59">
        <v>4</v>
      </c>
      <c r="BQ1920" s="58" t="s">
        <v>141</v>
      </c>
      <c r="BR1920" s="58"/>
      <c r="BS1920" s="58"/>
      <c r="BT1920" s="58"/>
      <c r="BU1920" s="58"/>
      <c r="BV1920" s="58"/>
      <c r="CB1920" s="153"/>
      <c r="CC1920" s="153"/>
      <c r="CD1920" s="153"/>
      <c r="CE1920" s="67"/>
      <c r="CH1920" s="93">
        <f>CI1920</f>
        <v>1.6279999999999999</v>
      </c>
      <c r="CI1920" s="93">
        <v>1.6279999999999999</v>
      </c>
      <c r="CM1920" s="67">
        <v>0.13104013104013107</v>
      </c>
      <c r="CN1920" s="67">
        <v>0.11670761670761673</v>
      </c>
      <c r="CR1920" s="65">
        <v>6.4</v>
      </c>
      <c r="CS1920" s="65">
        <v>5.7000000000000011</v>
      </c>
      <c r="CT1920" s="65">
        <v>2.2000000000000002</v>
      </c>
      <c r="CU1920" s="65">
        <v>2.2000000000000002</v>
      </c>
      <c r="CV1920" s="65" t="s">
        <v>962</v>
      </c>
      <c r="DA1920" s="65" t="s">
        <v>4458</v>
      </c>
      <c r="GP1920" s="292" t="s">
        <v>7494</v>
      </c>
      <c r="JU1920" s="59" t="s">
        <v>2040</v>
      </c>
      <c r="JV1920" s="58"/>
    </row>
    <row r="1921" spans="1:282" x14ac:dyDescent="0.25">
      <c r="A1921" s="55">
        <v>1920</v>
      </c>
      <c r="B1921" s="12" t="s">
        <v>7067</v>
      </c>
      <c r="C1921" s="157">
        <v>91</v>
      </c>
      <c r="D1921" s="59" t="s">
        <v>4109</v>
      </c>
      <c r="E1921" s="93" t="s">
        <v>741</v>
      </c>
      <c r="F1921" s="93"/>
      <c r="G1921" s="58" t="s">
        <v>2074</v>
      </c>
      <c r="H1921" s="59">
        <v>2006</v>
      </c>
      <c r="I1921" s="58">
        <v>1999</v>
      </c>
      <c r="J1921" s="59" t="s">
        <v>916</v>
      </c>
      <c r="K1921" s="59" t="s">
        <v>1990</v>
      </c>
      <c r="L1921" s="59" t="s">
        <v>2737</v>
      </c>
      <c r="M1921" s="94">
        <v>32.56</v>
      </c>
      <c r="N1921" s="94">
        <v>-83.91</v>
      </c>
      <c r="O1921" s="93">
        <v>16</v>
      </c>
      <c r="P1921" s="59">
        <v>18.100000000000001</v>
      </c>
      <c r="Q1921" s="58"/>
      <c r="R1921" s="59">
        <v>1258</v>
      </c>
      <c r="S1921" s="94"/>
      <c r="T1921" s="58"/>
      <c r="U1921" s="59">
        <v>6</v>
      </c>
      <c r="V1921" s="58" t="s">
        <v>1933</v>
      </c>
      <c r="Y1921" s="58" t="s">
        <v>2059</v>
      </c>
      <c r="Z1921" s="58" t="s">
        <v>1355</v>
      </c>
      <c r="AA1921" s="94">
        <v>10</v>
      </c>
      <c r="AD1921" s="94">
        <f>AVERAGE(Sheet1!CH1921:CI1921)</f>
        <v>1.421</v>
      </c>
      <c r="AE1921" s="93">
        <v>65</v>
      </c>
      <c r="AF1921" s="93">
        <v>25</v>
      </c>
      <c r="AG1921" s="93"/>
      <c r="AH1921" s="58" t="s">
        <v>238</v>
      </c>
      <c r="AI1921" s="169"/>
      <c r="AJ1921" s="94"/>
      <c r="AK1921" s="94"/>
      <c r="AL1921" s="58"/>
      <c r="AM1921" s="59" t="s">
        <v>1987</v>
      </c>
      <c r="AN1921" s="188" t="s">
        <v>1986</v>
      </c>
      <c r="AO1921" s="185" t="s">
        <v>5150</v>
      </c>
      <c r="AP1921" s="59"/>
      <c r="AQ1921" s="58" t="s">
        <v>1546</v>
      </c>
      <c r="AR1921" s="59" t="s">
        <v>1985</v>
      </c>
      <c r="AS1921" s="55" t="s">
        <v>5133</v>
      </c>
      <c r="AT1921" s="182"/>
      <c r="AU1921" s="181" t="s">
        <v>7494</v>
      </c>
      <c r="AV1921" s="185" t="s">
        <v>176</v>
      </c>
      <c r="AW1921" s="58"/>
      <c r="AX1921" s="185" t="s">
        <v>176</v>
      </c>
      <c r="AY1921" s="58"/>
      <c r="AZ1921" s="59" t="s">
        <v>1016</v>
      </c>
      <c r="BA1921" s="59" t="s">
        <v>1016</v>
      </c>
      <c r="BB1921" s="59" t="s">
        <v>2082</v>
      </c>
      <c r="BC1921" s="59" t="s">
        <v>2082</v>
      </c>
      <c r="BD1921" s="55" t="s">
        <v>176</v>
      </c>
      <c r="BE1921" s="236" t="s">
        <v>1984</v>
      </c>
      <c r="BF1921" s="58"/>
      <c r="BG1921" s="191" t="s">
        <v>479</v>
      </c>
      <c r="BH1921" s="236"/>
      <c r="BI1921" s="58"/>
      <c r="BJ1921" s="152" t="s">
        <v>1983</v>
      </c>
      <c r="BK1921" s="58" t="s">
        <v>6269</v>
      </c>
      <c r="BL1921" s="58"/>
      <c r="BM1921" s="237" t="s">
        <v>160</v>
      </c>
      <c r="BN1921" s="59">
        <v>4</v>
      </c>
      <c r="BO1921" s="59">
        <v>4</v>
      </c>
      <c r="BP1921" s="59">
        <v>4</v>
      </c>
      <c r="BQ1921" s="58" t="s">
        <v>141</v>
      </c>
      <c r="BR1921" s="58"/>
      <c r="BS1921" s="58"/>
      <c r="BT1921" s="58"/>
      <c r="BU1921" s="58"/>
      <c r="BV1921" s="58"/>
      <c r="CB1921" s="153"/>
      <c r="CC1921" s="153"/>
      <c r="CD1921" s="153"/>
      <c r="CE1921" s="67"/>
      <c r="CH1921" s="93">
        <f>CI1921</f>
        <v>1.421</v>
      </c>
      <c r="CI1921" s="93">
        <v>1.421</v>
      </c>
      <c r="CM1921" s="67">
        <v>0.7670654468684025</v>
      </c>
      <c r="CN1921" s="67">
        <v>0.81632653061224481</v>
      </c>
      <c r="CR1921" s="65">
        <v>10.9</v>
      </c>
      <c r="CS1921" s="65">
        <v>11.6</v>
      </c>
      <c r="CT1921" s="65">
        <v>1</v>
      </c>
      <c r="CU1921" s="65">
        <v>1</v>
      </c>
      <c r="CV1921" s="65" t="s">
        <v>962</v>
      </c>
      <c r="DA1921" s="65" t="s">
        <v>4458</v>
      </c>
      <c r="GP1921" s="292" t="s">
        <v>7494</v>
      </c>
      <c r="JU1921" s="59" t="s">
        <v>2040</v>
      </c>
      <c r="JV1921" s="58"/>
    </row>
    <row r="1922" spans="1:282" x14ac:dyDescent="0.25">
      <c r="A1922" s="55">
        <v>1921</v>
      </c>
      <c r="B1922" s="12" t="s">
        <v>7067</v>
      </c>
      <c r="C1922" s="157">
        <v>91</v>
      </c>
      <c r="D1922" s="59" t="s">
        <v>4110</v>
      </c>
      <c r="E1922" s="93" t="s">
        <v>741</v>
      </c>
      <c r="F1922" s="93"/>
      <c r="G1922" s="58" t="s">
        <v>2074</v>
      </c>
      <c r="H1922" s="59">
        <v>2006</v>
      </c>
      <c r="I1922" s="58">
        <v>1999</v>
      </c>
      <c r="J1922" s="59" t="s">
        <v>916</v>
      </c>
      <c r="K1922" s="59" t="s">
        <v>1990</v>
      </c>
      <c r="L1922" s="59" t="s">
        <v>2737</v>
      </c>
      <c r="M1922" s="94">
        <v>32.56</v>
      </c>
      <c r="N1922" s="94">
        <v>-83.91</v>
      </c>
      <c r="O1922" s="93">
        <v>16</v>
      </c>
      <c r="P1922" s="59">
        <v>18.100000000000001</v>
      </c>
      <c r="Q1922" s="58"/>
      <c r="R1922" s="59">
        <v>1258</v>
      </c>
      <c r="S1922" s="94"/>
      <c r="T1922" s="58"/>
      <c r="U1922" s="59">
        <v>6</v>
      </c>
      <c r="V1922" s="58" t="s">
        <v>1933</v>
      </c>
      <c r="Y1922" s="58" t="s">
        <v>2059</v>
      </c>
      <c r="Z1922" s="58" t="s">
        <v>1375</v>
      </c>
      <c r="AA1922" s="94">
        <v>20</v>
      </c>
      <c r="AD1922" s="94">
        <f>AVERAGE(Sheet1!CH1922:CI1922)</f>
        <v>1.5469999999999999</v>
      </c>
      <c r="AE1922" s="93">
        <v>65</v>
      </c>
      <c r="AF1922" s="93">
        <v>25</v>
      </c>
      <c r="AG1922" s="93"/>
      <c r="AH1922" s="58" t="s">
        <v>238</v>
      </c>
      <c r="AI1922" s="169"/>
      <c r="AJ1922" s="94"/>
      <c r="AK1922" s="94"/>
      <c r="AL1922" s="58"/>
      <c r="AM1922" s="59" t="s">
        <v>1987</v>
      </c>
      <c r="AN1922" s="188" t="s">
        <v>1986</v>
      </c>
      <c r="AO1922" s="185" t="s">
        <v>5150</v>
      </c>
      <c r="AP1922" s="59"/>
      <c r="AQ1922" s="58" t="s">
        <v>1546</v>
      </c>
      <c r="AR1922" s="59" t="s">
        <v>1985</v>
      </c>
      <c r="AS1922" s="55" t="s">
        <v>5133</v>
      </c>
      <c r="AT1922" s="182"/>
      <c r="AU1922" s="181" t="s">
        <v>7494</v>
      </c>
      <c r="AV1922" s="185" t="s">
        <v>176</v>
      </c>
      <c r="AW1922" s="58"/>
      <c r="AX1922" s="185" t="s">
        <v>176</v>
      </c>
      <c r="AY1922" s="58"/>
      <c r="AZ1922" s="59" t="s">
        <v>1016</v>
      </c>
      <c r="BA1922" s="59" t="s">
        <v>1016</v>
      </c>
      <c r="BB1922" s="59" t="s">
        <v>2082</v>
      </c>
      <c r="BC1922" s="59" t="s">
        <v>2082</v>
      </c>
      <c r="BD1922" s="55" t="s">
        <v>2071</v>
      </c>
      <c r="BE1922" s="236" t="s">
        <v>1984</v>
      </c>
      <c r="BF1922" s="58"/>
      <c r="BG1922" s="191" t="s">
        <v>479</v>
      </c>
      <c r="BH1922" s="236"/>
      <c r="BI1922" s="58"/>
      <c r="BJ1922" s="152" t="s">
        <v>1983</v>
      </c>
      <c r="BK1922" s="58" t="s">
        <v>6269</v>
      </c>
      <c r="BL1922" s="58"/>
      <c r="BM1922" s="237" t="s">
        <v>160</v>
      </c>
      <c r="BN1922" s="59">
        <v>4</v>
      </c>
      <c r="BO1922" s="59">
        <v>4</v>
      </c>
      <c r="BP1922" s="59">
        <v>4</v>
      </c>
      <c r="BQ1922" s="58" t="s">
        <v>141</v>
      </c>
      <c r="BR1922" s="58"/>
      <c r="BS1922" s="58"/>
      <c r="BT1922" s="58"/>
      <c r="BU1922" s="58"/>
      <c r="BV1922" s="58"/>
      <c r="CB1922" s="153"/>
      <c r="CC1922" s="153"/>
      <c r="CD1922" s="153"/>
      <c r="CE1922" s="67"/>
      <c r="CH1922" s="93">
        <f>CI1922</f>
        <v>1.5469999999999999</v>
      </c>
      <c r="CI1922" s="93">
        <v>1.5469999999999999</v>
      </c>
      <c r="CM1922" s="67">
        <v>0.42986425339366519</v>
      </c>
      <c r="CN1922" s="67">
        <v>0.53329023917259211</v>
      </c>
      <c r="CR1922" s="65">
        <v>13.3</v>
      </c>
      <c r="CS1922" s="65">
        <v>16.5</v>
      </c>
      <c r="CT1922" s="65">
        <v>2.2999999999999998</v>
      </c>
      <c r="CU1922" s="65">
        <v>2.2999999999999998</v>
      </c>
      <c r="CV1922" s="65" t="s">
        <v>962</v>
      </c>
      <c r="DA1922" s="65" t="s">
        <v>4458</v>
      </c>
      <c r="GP1922" s="292" t="s">
        <v>7494</v>
      </c>
      <c r="JU1922" s="59" t="s">
        <v>2040</v>
      </c>
      <c r="JV1922" s="58"/>
    </row>
    <row r="1923" spans="1:282" x14ac:dyDescent="0.25">
      <c r="A1923" s="55">
        <v>1922</v>
      </c>
      <c r="B1923" s="12" t="s">
        <v>7067</v>
      </c>
      <c r="C1923" s="157">
        <v>91</v>
      </c>
      <c r="D1923" s="59" t="s">
        <v>4111</v>
      </c>
      <c r="E1923" s="93" t="s">
        <v>741</v>
      </c>
      <c r="F1923" s="93"/>
      <c r="G1923" s="58" t="s">
        <v>2074</v>
      </c>
      <c r="H1923" s="59">
        <v>2006</v>
      </c>
      <c r="I1923" s="58">
        <v>1999</v>
      </c>
      <c r="J1923" s="59" t="s">
        <v>916</v>
      </c>
      <c r="K1923" s="59" t="s">
        <v>1990</v>
      </c>
      <c r="L1923" s="59" t="s">
        <v>2737</v>
      </c>
      <c r="M1923" s="94">
        <v>32.56</v>
      </c>
      <c r="N1923" s="94">
        <v>-83.91</v>
      </c>
      <c r="O1923" s="93">
        <v>16</v>
      </c>
      <c r="P1923" s="59">
        <v>18.100000000000001</v>
      </c>
      <c r="Q1923" s="58"/>
      <c r="R1923" s="59">
        <v>1258</v>
      </c>
      <c r="S1923" s="94"/>
      <c r="T1923" s="58"/>
      <c r="U1923" s="59">
        <v>6</v>
      </c>
      <c r="V1923" s="58" t="s">
        <v>1933</v>
      </c>
      <c r="Y1923" s="58" t="s">
        <v>2059</v>
      </c>
      <c r="Z1923" s="58" t="s">
        <v>1369</v>
      </c>
      <c r="AA1923" s="94">
        <v>30</v>
      </c>
      <c r="AD1923" s="94">
        <f>AVERAGE(Sheet1!CH1923:CI1923)</f>
        <v>1.3979999999999999</v>
      </c>
      <c r="AE1923" s="93">
        <v>65</v>
      </c>
      <c r="AF1923" s="93">
        <v>25</v>
      </c>
      <c r="AG1923" s="93"/>
      <c r="AH1923" s="58" t="s">
        <v>238</v>
      </c>
      <c r="AI1923" s="169"/>
      <c r="AJ1923" s="94"/>
      <c r="AK1923" s="94"/>
      <c r="AL1923" s="58"/>
      <c r="AM1923" s="59" t="s">
        <v>1987</v>
      </c>
      <c r="AN1923" s="188" t="s">
        <v>1986</v>
      </c>
      <c r="AO1923" s="185" t="s">
        <v>5150</v>
      </c>
      <c r="AP1923" s="59"/>
      <c r="AQ1923" s="58" t="s">
        <v>1546</v>
      </c>
      <c r="AR1923" s="59" t="s">
        <v>1985</v>
      </c>
      <c r="AS1923" s="55" t="s">
        <v>5133</v>
      </c>
      <c r="AT1923" s="182"/>
      <c r="AU1923" s="181" t="s">
        <v>7494</v>
      </c>
      <c r="AV1923" s="185" t="s">
        <v>176</v>
      </c>
      <c r="AW1923" s="58"/>
      <c r="AX1923" s="185" t="s">
        <v>176</v>
      </c>
      <c r="AY1923" s="58"/>
      <c r="AZ1923" s="59" t="s">
        <v>1016</v>
      </c>
      <c r="BA1923" s="59" t="s">
        <v>1016</v>
      </c>
      <c r="BB1923" s="59" t="s">
        <v>2082</v>
      </c>
      <c r="BC1923" s="59" t="s">
        <v>2082</v>
      </c>
      <c r="BD1923" s="55" t="s">
        <v>176</v>
      </c>
      <c r="BE1923" s="236" t="s">
        <v>1984</v>
      </c>
      <c r="BF1923" s="58"/>
      <c r="BG1923" s="191" t="s">
        <v>479</v>
      </c>
      <c r="BH1923" s="236"/>
      <c r="BI1923" s="58"/>
      <c r="BJ1923" s="152" t="s">
        <v>1983</v>
      </c>
      <c r="BK1923" s="58" t="s">
        <v>6269</v>
      </c>
      <c r="BL1923" s="58"/>
      <c r="BM1923" s="237" t="s">
        <v>160</v>
      </c>
      <c r="BN1923" s="59">
        <v>4</v>
      </c>
      <c r="BO1923" s="59">
        <v>4</v>
      </c>
      <c r="BP1923" s="59">
        <v>4</v>
      </c>
      <c r="BQ1923" s="58" t="s">
        <v>141</v>
      </c>
      <c r="BR1923" s="58"/>
      <c r="BS1923" s="58"/>
      <c r="BT1923" s="58"/>
      <c r="BU1923" s="58"/>
      <c r="BV1923" s="58"/>
      <c r="CB1923" s="153"/>
      <c r="CC1923" s="153"/>
      <c r="CD1923" s="153"/>
      <c r="CE1923" s="67"/>
      <c r="CH1923" s="93">
        <f>CI1923</f>
        <v>1.3979999999999999</v>
      </c>
      <c r="CI1923" s="93">
        <v>1.3979999999999999</v>
      </c>
      <c r="CM1923" s="67">
        <v>0.25035765379113017</v>
      </c>
      <c r="CN1923" s="67">
        <v>0.26227944682880305</v>
      </c>
      <c r="CR1923" s="65">
        <v>10.499999999999996</v>
      </c>
      <c r="CS1923" s="65">
        <v>11</v>
      </c>
      <c r="CT1923" s="65">
        <v>3.4</v>
      </c>
      <c r="CU1923" s="65">
        <v>3.4</v>
      </c>
      <c r="CV1923" s="65" t="s">
        <v>962</v>
      </c>
      <c r="DA1923" s="65" t="s">
        <v>4458</v>
      </c>
      <c r="GP1923" s="292" t="s">
        <v>7494</v>
      </c>
      <c r="JU1923" s="59" t="s">
        <v>2040</v>
      </c>
      <c r="JV1923" s="58"/>
    </row>
    <row r="1924" spans="1:282" x14ac:dyDescent="0.25">
      <c r="A1924" s="55">
        <v>1923</v>
      </c>
      <c r="B1924" s="12" t="s">
        <v>7067</v>
      </c>
      <c r="C1924" s="157">
        <v>91</v>
      </c>
      <c r="D1924" s="59" t="s">
        <v>4112</v>
      </c>
      <c r="E1924" s="93" t="s">
        <v>741</v>
      </c>
      <c r="F1924" s="93"/>
      <c r="G1924" s="58" t="s">
        <v>2074</v>
      </c>
      <c r="H1924" s="59">
        <v>2006</v>
      </c>
      <c r="I1924" s="58">
        <v>1999</v>
      </c>
      <c r="J1924" s="59" t="s">
        <v>916</v>
      </c>
      <c r="K1924" s="59" t="s">
        <v>1990</v>
      </c>
      <c r="L1924" s="59" t="s">
        <v>2737</v>
      </c>
      <c r="M1924" s="94">
        <v>32.56</v>
      </c>
      <c r="N1924" s="94">
        <v>-83.91</v>
      </c>
      <c r="O1924" s="93">
        <v>16</v>
      </c>
      <c r="P1924" s="59">
        <v>18.100000000000001</v>
      </c>
      <c r="Q1924" s="58"/>
      <c r="R1924" s="59">
        <v>1258</v>
      </c>
      <c r="S1924" s="94"/>
      <c r="T1924" s="58"/>
      <c r="U1924" s="59">
        <v>6</v>
      </c>
      <c r="V1924" s="58" t="s">
        <v>1933</v>
      </c>
      <c r="Y1924" s="58" t="s">
        <v>2059</v>
      </c>
      <c r="Z1924" s="58" t="s">
        <v>1370</v>
      </c>
      <c r="AA1924" s="94">
        <v>30</v>
      </c>
      <c r="AD1924" s="94">
        <f>AVERAGE(Sheet1!CH1924:CI1924)</f>
        <v>1.6160000000000001</v>
      </c>
      <c r="AE1924" s="93">
        <v>65</v>
      </c>
      <c r="AF1924" s="93">
        <v>25</v>
      </c>
      <c r="AG1924" s="93"/>
      <c r="AH1924" s="58" t="s">
        <v>238</v>
      </c>
      <c r="AI1924" s="169"/>
      <c r="AJ1924" s="94"/>
      <c r="AK1924" s="94"/>
      <c r="AL1924" s="58"/>
      <c r="AM1924" s="59" t="s">
        <v>1987</v>
      </c>
      <c r="AN1924" s="188" t="s">
        <v>1986</v>
      </c>
      <c r="AO1924" s="185" t="s">
        <v>5150</v>
      </c>
      <c r="AP1924" s="59"/>
      <c r="AQ1924" s="58" t="s">
        <v>1546</v>
      </c>
      <c r="AR1924" s="59" t="s">
        <v>1985</v>
      </c>
      <c r="AS1924" s="55" t="s">
        <v>5133</v>
      </c>
      <c r="AT1924" s="182"/>
      <c r="AU1924" s="181" t="s">
        <v>7494</v>
      </c>
      <c r="AV1924" s="185" t="s">
        <v>176</v>
      </c>
      <c r="AW1924" s="58"/>
      <c r="AX1924" s="185" t="s">
        <v>176</v>
      </c>
      <c r="AY1924" s="58"/>
      <c r="AZ1924" s="59" t="s">
        <v>1016</v>
      </c>
      <c r="BA1924" s="59" t="s">
        <v>1016</v>
      </c>
      <c r="BB1924" s="59" t="s">
        <v>2082</v>
      </c>
      <c r="BC1924" s="59" t="s">
        <v>2082</v>
      </c>
      <c r="BD1924" s="55" t="s">
        <v>2071</v>
      </c>
      <c r="BE1924" s="236" t="s">
        <v>1984</v>
      </c>
      <c r="BF1924" s="58"/>
      <c r="BG1924" s="191" t="s">
        <v>479</v>
      </c>
      <c r="BH1924" s="236"/>
      <c r="BI1924" s="58"/>
      <c r="BJ1924" s="152" t="s">
        <v>1983</v>
      </c>
      <c r="BK1924" s="58" t="s">
        <v>6269</v>
      </c>
      <c r="BL1924" s="58"/>
      <c r="BM1924" s="237" t="s">
        <v>160</v>
      </c>
      <c r="BN1924" s="59">
        <v>4</v>
      </c>
      <c r="BO1924" s="59">
        <v>4</v>
      </c>
      <c r="BP1924" s="59">
        <v>4</v>
      </c>
      <c r="BQ1924" s="58" t="s">
        <v>141</v>
      </c>
      <c r="BR1924" s="58"/>
      <c r="BS1924" s="58"/>
      <c r="BT1924" s="58"/>
      <c r="BU1924" s="58"/>
      <c r="BV1924" s="58"/>
      <c r="CB1924" s="153"/>
      <c r="CC1924" s="153"/>
      <c r="CD1924" s="153"/>
      <c r="CE1924" s="67"/>
      <c r="CH1924" s="93">
        <f>CI1924</f>
        <v>1.6160000000000001</v>
      </c>
      <c r="CI1924" s="93">
        <v>1.6160000000000001</v>
      </c>
      <c r="CM1924" s="67">
        <v>0.14438943894389436</v>
      </c>
      <c r="CN1924" s="67">
        <v>0.13820132013201319</v>
      </c>
      <c r="CR1924" s="65">
        <v>6.9999999999999991</v>
      </c>
      <c r="CS1924" s="65">
        <v>6.7</v>
      </c>
      <c r="CT1924" s="65">
        <v>3.4</v>
      </c>
      <c r="CU1924" s="65">
        <v>3.4</v>
      </c>
      <c r="CV1924" s="65" t="s">
        <v>962</v>
      </c>
      <c r="DA1924" s="65" t="s">
        <v>4458</v>
      </c>
      <c r="GP1924" s="292" t="s">
        <v>7494</v>
      </c>
      <c r="JU1924" s="59" t="s">
        <v>2040</v>
      </c>
      <c r="JV1924" s="58"/>
    </row>
    <row r="1925" spans="1:282" x14ac:dyDescent="0.25">
      <c r="A1925" s="55">
        <v>1924</v>
      </c>
      <c r="B1925" s="12" t="s">
        <v>7067</v>
      </c>
      <c r="C1925" s="157">
        <v>91</v>
      </c>
      <c r="D1925" s="59" t="s">
        <v>4113</v>
      </c>
      <c r="E1925" s="93" t="s">
        <v>741</v>
      </c>
      <c r="F1925" s="93"/>
      <c r="G1925" s="58" t="s">
        <v>2074</v>
      </c>
      <c r="H1925" s="59">
        <v>2006</v>
      </c>
      <c r="I1925" s="58">
        <v>1999</v>
      </c>
      <c r="J1925" s="59" t="s">
        <v>916</v>
      </c>
      <c r="K1925" s="59" t="s">
        <v>1990</v>
      </c>
      <c r="L1925" s="59" t="s">
        <v>2737</v>
      </c>
      <c r="M1925" s="94">
        <v>32.56</v>
      </c>
      <c r="N1925" s="94">
        <v>-83.91</v>
      </c>
      <c r="O1925" s="93">
        <v>16</v>
      </c>
      <c r="P1925" s="59">
        <v>18.100000000000001</v>
      </c>
      <c r="Q1925" s="58"/>
      <c r="R1925" s="59">
        <v>1258</v>
      </c>
      <c r="S1925" s="94"/>
      <c r="T1925" s="58"/>
      <c r="U1925" s="59">
        <v>6</v>
      </c>
      <c r="V1925" s="58" t="s">
        <v>1933</v>
      </c>
      <c r="Y1925" s="58" t="s">
        <v>2059</v>
      </c>
      <c r="Z1925" s="58" t="s">
        <v>1382</v>
      </c>
      <c r="AA1925" s="94">
        <v>30</v>
      </c>
      <c r="AD1925" s="94">
        <f>AVERAGE(Sheet1!CH1925:CI1925)</f>
        <v>1.6279999999999999</v>
      </c>
      <c r="AE1925" s="93">
        <v>65</v>
      </c>
      <c r="AF1925" s="93">
        <v>25</v>
      </c>
      <c r="AG1925" s="93"/>
      <c r="AH1925" s="58" t="s">
        <v>238</v>
      </c>
      <c r="AI1925" s="169"/>
      <c r="AJ1925" s="94"/>
      <c r="AK1925" s="94"/>
      <c r="AL1925" s="58"/>
      <c r="AM1925" s="59" t="s">
        <v>1987</v>
      </c>
      <c r="AN1925" s="188" t="s">
        <v>1986</v>
      </c>
      <c r="AO1925" s="185" t="s">
        <v>5150</v>
      </c>
      <c r="AP1925" s="59"/>
      <c r="AQ1925" s="58" t="s">
        <v>1546</v>
      </c>
      <c r="AR1925" s="59" t="s">
        <v>1985</v>
      </c>
      <c r="AS1925" s="55" t="s">
        <v>5133</v>
      </c>
      <c r="AT1925" s="182"/>
      <c r="AU1925" s="181" t="s">
        <v>7494</v>
      </c>
      <c r="AV1925" s="185" t="s">
        <v>176</v>
      </c>
      <c r="AW1925" s="58"/>
      <c r="AX1925" s="185" t="s">
        <v>176</v>
      </c>
      <c r="AY1925" s="58"/>
      <c r="AZ1925" s="59" t="s">
        <v>1016</v>
      </c>
      <c r="BA1925" s="59" t="s">
        <v>1016</v>
      </c>
      <c r="BB1925" s="59" t="s">
        <v>2082</v>
      </c>
      <c r="BC1925" s="59" t="s">
        <v>2082</v>
      </c>
      <c r="BD1925" s="55" t="s">
        <v>176</v>
      </c>
      <c r="BE1925" s="236" t="s">
        <v>1984</v>
      </c>
      <c r="BF1925" s="58"/>
      <c r="BG1925" s="191" t="s">
        <v>479</v>
      </c>
      <c r="BH1925" s="236"/>
      <c r="BI1925" s="58"/>
      <c r="BJ1925" s="152" t="s">
        <v>1983</v>
      </c>
      <c r="BK1925" s="58" t="s">
        <v>6269</v>
      </c>
      <c r="BL1925" s="58"/>
      <c r="BM1925" s="237" t="s">
        <v>160</v>
      </c>
      <c r="BN1925" s="59">
        <v>4</v>
      </c>
      <c r="BO1925" s="59">
        <v>4</v>
      </c>
      <c r="BP1925" s="59">
        <v>4</v>
      </c>
      <c r="BQ1925" s="58" t="s">
        <v>141</v>
      </c>
      <c r="BR1925" s="58"/>
      <c r="BS1925" s="58"/>
      <c r="BT1925" s="58"/>
      <c r="BU1925" s="58"/>
      <c r="BV1925" s="58"/>
      <c r="CB1925" s="153"/>
      <c r="CC1925" s="153"/>
      <c r="CD1925" s="153"/>
      <c r="CE1925" s="67"/>
      <c r="CH1925" s="93">
        <f>CI1925</f>
        <v>1.6279999999999999</v>
      </c>
      <c r="CI1925" s="93">
        <v>1.6279999999999999</v>
      </c>
      <c r="CM1925" s="67">
        <v>0.11466011466011466</v>
      </c>
      <c r="CN1925" s="67">
        <v>0.11670761670761673</v>
      </c>
      <c r="CR1925" s="65">
        <v>5.6000000000000005</v>
      </c>
      <c r="CS1925" s="65">
        <v>5.7000000000000011</v>
      </c>
      <c r="CT1925" s="65">
        <v>2.2000000000000002</v>
      </c>
      <c r="CU1925" s="65">
        <v>2.2000000000000002</v>
      </c>
      <c r="CV1925" s="65" t="s">
        <v>962</v>
      </c>
      <c r="DA1925" s="65" t="s">
        <v>4458</v>
      </c>
      <c r="GP1925" s="292" t="s">
        <v>7494</v>
      </c>
      <c r="JU1925" s="59" t="s">
        <v>2040</v>
      </c>
      <c r="JV1925" s="58"/>
    </row>
    <row r="1926" spans="1:282" x14ac:dyDescent="0.25">
      <c r="A1926" s="55">
        <v>1925</v>
      </c>
      <c r="B1926" s="12" t="s">
        <v>7067</v>
      </c>
      <c r="C1926" s="157">
        <v>91</v>
      </c>
      <c r="D1926" s="59" t="s">
        <v>4069</v>
      </c>
      <c r="E1926" s="93" t="s">
        <v>741</v>
      </c>
      <c r="F1926" s="93"/>
      <c r="G1926" s="58" t="s">
        <v>2074</v>
      </c>
      <c r="H1926" s="59">
        <v>2006</v>
      </c>
      <c r="I1926" s="58">
        <v>1999</v>
      </c>
      <c r="J1926" s="59" t="s">
        <v>916</v>
      </c>
      <c r="K1926" s="59" t="s">
        <v>1990</v>
      </c>
      <c r="L1926" s="59" t="s">
        <v>2737</v>
      </c>
      <c r="M1926" s="94">
        <v>32.56</v>
      </c>
      <c r="N1926" s="94">
        <v>-83.91</v>
      </c>
      <c r="O1926" s="93">
        <v>16</v>
      </c>
      <c r="P1926" s="59">
        <v>18.100000000000001</v>
      </c>
      <c r="Q1926" s="58"/>
      <c r="R1926" s="59">
        <v>1258</v>
      </c>
      <c r="S1926" s="94"/>
      <c r="T1926" s="58"/>
      <c r="U1926" s="59">
        <v>6</v>
      </c>
      <c r="V1926" s="58" t="s">
        <v>1933</v>
      </c>
      <c r="Y1926" s="58" t="s">
        <v>2059</v>
      </c>
      <c r="Z1926" s="58" t="s">
        <v>1355</v>
      </c>
      <c r="AA1926" s="94">
        <v>10</v>
      </c>
      <c r="AD1926" s="94">
        <f>AVERAGE(Sheet1!CH1926:CI1926)</f>
        <v>1.526</v>
      </c>
      <c r="AE1926" s="93">
        <v>65</v>
      </c>
      <c r="AF1926" s="93">
        <v>25</v>
      </c>
      <c r="AG1926" s="93"/>
      <c r="AH1926" s="58" t="s">
        <v>238</v>
      </c>
      <c r="AI1926" s="169"/>
      <c r="AJ1926" s="94"/>
      <c r="AK1926" s="94"/>
      <c r="AL1926" s="58"/>
      <c r="AM1926" s="59" t="s">
        <v>1987</v>
      </c>
      <c r="AN1926" s="188" t="s">
        <v>131</v>
      </c>
      <c r="AO1926" s="185" t="s">
        <v>5150</v>
      </c>
      <c r="AP1926" s="59"/>
      <c r="AQ1926" s="58" t="s">
        <v>131</v>
      </c>
      <c r="AR1926" s="59" t="s">
        <v>1985</v>
      </c>
      <c r="AS1926" s="55" t="s">
        <v>5133</v>
      </c>
      <c r="AT1926" s="182"/>
      <c r="AU1926" s="181" t="s">
        <v>7494</v>
      </c>
      <c r="AV1926" s="185" t="s">
        <v>176</v>
      </c>
      <c r="AW1926" s="58"/>
      <c r="AX1926" s="185" t="s">
        <v>176</v>
      </c>
      <c r="AY1926" s="58"/>
      <c r="AZ1926" s="59" t="s">
        <v>745</v>
      </c>
      <c r="BA1926" s="59" t="s">
        <v>745</v>
      </c>
      <c r="BB1926" s="59" t="s">
        <v>2081</v>
      </c>
      <c r="BC1926" s="59" t="s">
        <v>2081</v>
      </c>
      <c r="BD1926" s="55" t="s">
        <v>2071</v>
      </c>
      <c r="BE1926" s="236" t="s">
        <v>161</v>
      </c>
      <c r="BF1926" s="58"/>
      <c r="BG1926" s="191" t="s">
        <v>176</v>
      </c>
      <c r="BH1926" s="236"/>
      <c r="BI1926" s="58"/>
      <c r="BJ1926" s="152" t="s">
        <v>1983</v>
      </c>
      <c r="BK1926" s="58" t="s">
        <v>5976</v>
      </c>
      <c r="BL1926" s="58"/>
      <c r="BM1926" s="237" t="s">
        <v>160</v>
      </c>
      <c r="BN1926" s="59">
        <v>4</v>
      </c>
      <c r="BO1926" s="59">
        <v>4</v>
      </c>
      <c r="BP1926" s="59">
        <v>4</v>
      </c>
      <c r="BQ1926" s="58" t="s">
        <v>141</v>
      </c>
      <c r="BR1926" s="58"/>
      <c r="BS1926" s="58"/>
      <c r="BT1926" s="58"/>
      <c r="BU1926" s="58"/>
      <c r="BV1926" s="58"/>
      <c r="CB1926" s="153"/>
      <c r="CC1926" s="153"/>
      <c r="CD1926" s="153"/>
      <c r="CE1926" s="67"/>
      <c r="CH1926" s="93">
        <f>CI1926+0.02</f>
        <v>1.536</v>
      </c>
      <c r="CI1926" s="93">
        <v>1.516</v>
      </c>
      <c r="CM1926" s="67">
        <v>0.63151041666666663</v>
      </c>
      <c r="CN1926" s="67">
        <v>0.61197916666666663</v>
      </c>
      <c r="CO1926" s="65">
        <f>CM1926*(CT1926/CR1926)</f>
        <v>6.5104166666666671E-2</v>
      </c>
      <c r="CP1926" s="65">
        <f>CN1926*(CU1926/CS1926)</f>
        <v>6.5963060686015831E-2</v>
      </c>
      <c r="CR1926" s="65">
        <v>9.6999999999999993</v>
      </c>
      <c r="CS1926" s="65">
        <v>9.2776041666666664</v>
      </c>
      <c r="CT1926" s="65">
        <v>1</v>
      </c>
      <c r="CU1926" s="65">
        <v>1</v>
      </c>
      <c r="CV1926" s="65" t="s">
        <v>962</v>
      </c>
      <c r="DA1926" s="65" t="s">
        <v>4458</v>
      </c>
      <c r="GP1926" s="292" t="s">
        <v>7494</v>
      </c>
      <c r="JU1926" s="59" t="s">
        <v>2040</v>
      </c>
      <c r="JV1926" s="58"/>
    </row>
    <row r="1927" spans="1:282" x14ac:dyDescent="0.25">
      <c r="A1927" s="55">
        <v>1926</v>
      </c>
      <c r="B1927" s="12" t="s">
        <v>7067</v>
      </c>
      <c r="C1927" s="157">
        <v>91</v>
      </c>
      <c r="D1927" s="59" t="s">
        <v>4070</v>
      </c>
      <c r="E1927" s="93" t="s">
        <v>741</v>
      </c>
      <c r="F1927" s="93"/>
      <c r="G1927" s="58" t="s">
        <v>2074</v>
      </c>
      <c r="H1927" s="59">
        <v>2006</v>
      </c>
      <c r="I1927" s="58">
        <v>1999</v>
      </c>
      <c r="J1927" s="59" t="s">
        <v>916</v>
      </c>
      <c r="K1927" s="59" t="s">
        <v>1990</v>
      </c>
      <c r="L1927" s="59" t="s">
        <v>2737</v>
      </c>
      <c r="M1927" s="94">
        <v>32.56</v>
      </c>
      <c r="N1927" s="94">
        <v>-83.91</v>
      </c>
      <c r="O1927" s="93">
        <v>16</v>
      </c>
      <c r="P1927" s="59">
        <v>18.100000000000001</v>
      </c>
      <c r="Q1927" s="58"/>
      <c r="R1927" s="59">
        <v>1258</v>
      </c>
      <c r="S1927" s="94"/>
      <c r="T1927" s="58"/>
      <c r="U1927" s="59">
        <v>6</v>
      </c>
      <c r="V1927" s="58" t="s">
        <v>1933</v>
      </c>
      <c r="Y1927" s="58" t="s">
        <v>2059</v>
      </c>
      <c r="Z1927" s="58" t="s">
        <v>1375</v>
      </c>
      <c r="AA1927" s="94">
        <v>20</v>
      </c>
      <c r="AD1927" s="94">
        <f>AVERAGE(Sheet1!CH1927:CI1927)</f>
        <v>1.5189999999999999</v>
      </c>
      <c r="AE1927" s="93">
        <v>65</v>
      </c>
      <c r="AF1927" s="93">
        <v>25</v>
      </c>
      <c r="AG1927" s="93"/>
      <c r="AH1927" s="58" t="s">
        <v>238</v>
      </c>
      <c r="AI1927" s="169"/>
      <c r="AJ1927" s="94"/>
      <c r="AK1927" s="94"/>
      <c r="AL1927" s="58"/>
      <c r="AM1927" s="59" t="s">
        <v>1987</v>
      </c>
      <c r="AN1927" s="188" t="s">
        <v>131</v>
      </c>
      <c r="AO1927" s="185" t="s">
        <v>5150</v>
      </c>
      <c r="AP1927" s="59"/>
      <c r="AQ1927" s="58" t="s">
        <v>131</v>
      </c>
      <c r="AR1927" s="59" t="s">
        <v>1985</v>
      </c>
      <c r="AS1927" s="55" t="s">
        <v>5133</v>
      </c>
      <c r="AT1927" s="182"/>
      <c r="AU1927" s="181" t="s">
        <v>7494</v>
      </c>
      <c r="AV1927" s="185" t="s">
        <v>176</v>
      </c>
      <c r="AW1927" s="58"/>
      <c r="AX1927" s="185" t="s">
        <v>176</v>
      </c>
      <c r="AY1927" s="58"/>
      <c r="AZ1927" s="59" t="s">
        <v>745</v>
      </c>
      <c r="BA1927" s="59" t="s">
        <v>745</v>
      </c>
      <c r="BB1927" s="59" t="s">
        <v>2081</v>
      </c>
      <c r="BC1927" s="59" t="s">
        <v>2081</v>
      </c>
      <c r="BD1927" s="55" t="s">
        <v>176</v>
      </c>
      <c r="BE1927" s="236" t="s">
        <v>161</v>
      </c>
      <c r="BF1927" s="58"/>
      <c r="BG1927" s="191" t="s">
        <v>176</v>
      </c>
      <c r="BH1927" s="236"/>
      <c r="BI1927" s="58"/>
      <c r="BJ1927" s="152" t="s">
        <v>1983</v>
      </c>
      <c r="BK1927" s="58" t="s">
        <v>5976</v>
      </c>
      <c r="BL1927" s="58"/>
      <c r="BM1927" s="237" t="s">
        <v>160</v>
      </c>
      <c r="BN1927" s="59">
        <v>4</v>
      </c>
      <c r="BO1927" s="59">
        <v>4</v>
      </c>
      <c r="BP1927" s="59">
        <v>4</v>
      </c>
      <c r="BQ1927" s="58" t="s">
        <v>141</v>
      </c>
      <c r="BR1927" s="58"/>
      <c r="BS1927" s="58"/>
      <c r="BT1927" s="58"/>
      <c r="BU1927" s="58"/>
      <c r="BV1927" s="58"/>
      <c r="CB1927" s="153"/>
      <c r="CC1927" s="153"/>
      <c r="CD1927" s="153"/>
      <c r="CE1927" s="67"/>
      <c r="CH1927" s="93">
        <f>CI1927+0.02</f>
        <v>1.5289999999999999</v>
      </c>
      <c r="CI1927" s="93">
        <v>1.5089999999999999</v>
      </c>
      <c r="CM1927" s="67">
        <v>0.44800523217789401</v>
      </c>
      <c r="CN1927" s="67">
        <v>0.46762589928057557</v>
      </c>
      <c r="CO1927" s="65">
        <f>CM1927*(CT1927/CR1927)</f>
        <v>7.5212557226945698E-2</v>
      </c>
      <c r="CP1927" s="65">
        <f>CN1927*(CU1927/CS1927)</f>
        <v>7.6209410205434064E-2</v>
      </c>
      <c r="CR1927" s="65">
        <v>13.7</v>
      </c>
      <c r="CS1927" s="65">
        <v>14.11294964028777</v>
      </c>
      <c r="CT1927" s="65">
        <v>2.2999999999999998</v>
      </c>
      <c r="CU1927" s="65">
        <v>2.2999999999999998</v>
      </c>
      <c r="CV1927" s="65" t="s">
        <v>962</v>
      </c>
      <c r="DA1927" s="65" t="s">
        <v>4458</v>
      </c>
      <c r="GP1927" s="292" t="s">
        <v>7494</v>
      </c>
      <c r="JU1927" s="59" t="s">
        <v>2040</v>
      </c>
      <c r="JV1927" s="58"/>
    </row>
    <row r="1928" spans="1:282" x14ac:dyDescent="0.25">
      <c r="A1928" s="55">
        <v>1927</v>
      </c>
      <c r="B1928" s="12" t="s">
        <v>7067</v>
      </c>
      <c r="C1928" s="157">
        <v>91</v>
      </c>
      <c r="D1928" s="59" t="s">
        <v>4071</v>
      </c>
      <c r="E1928" s="93" t="s">
        <v>741</v>
      </c>
      <c r="F1928" s="93"/>
      <c r="G1928" s="58" t="s">
        <v>2074</v>
      </c>
      <c r="H1928" s="59">
        <v>2006</v>
      </c>
      <c r="I1928" s="58">
        <v>1999</v>
      </c>
      <c r="J1928" s="59" t="s">
        <v>916</v>
      </c>
      <c r="K1928" s="59" t="s">
        <v>1990</v>
      </c>
      <c r="L1928" s="59" t="s">
        <v>2737</v>
      </c>
      <c r="M1928" s="94">
        <v>32.56</v>
      </c>
      <c r="N1928" s="94">
        <v>-83.91</v>
      </c>
      <c r="O1928" s="93">
        <v>16</v>
      </c>
      <c r="P1928" s="59">
        <v>18.100000000000001</v>
      </c>
      <c r="Q1928" s="58"/>
      <c r="R1928" s="59">
        <v>1258</v>
      </c>
      <c r="S1928" s="94"/>
      <c r="T1928" s="58"/>
      <c r="U1928" s="59">
        <v>6</v>
      </c>
      <c r="V1928" s="58" t="s">
        <v>1933</v>
      </c>
      <c r="Y1928" s="58" t="s">
        <v>2059</v>
      </c>
      <c r="Z1928" s="58" t="s">
        <v>1369</v>
      </c>
      <c r="AA1928" s="94">
        <v>30</v>
      </c>
      <c r="AD1928" s="94">
        <f>AVERAGE(Sheet1!CH1928:CI1928)</f>
        <v>1.43</v>
      </c>
      <c r="AE1928" s="93">
        <v>65</v>
      </c>
      <c r="AF1928" s="93">
        <v>25</v>
      </c>
      <c r="AG1928" s="93"/>
      <c r="AH1928" s="58" t="s">
        <v>238</v>
      </c>
      <c r="AI1928" s="169"/>
      <c r="AJ1928" s="94"/>
      <c r="AK1928" s="94"/>
      <c r="AL1928" s="58"/>
      <c r="AM1928" s="59" t="s">
        <v>1987</v>
      </c>
      <c r="AN1928" s="188" t="s">
        <v>131</v>
      </c>
      <c r="AO1928" s="185" t="s">
        <v>5150</v>
      </c>
      <c r="AP1928" s="59"/>
      <c r="AQ1928" s="58" t="s">
        <v>131</v>
      </c>
      <c r="AR1928" s="59" t="s">
        <v>1985</v>
      </c>
      <c r="AS1928" s="55" t="s">
        <v>5133</v>
      </c>
      <c r="AT1928" s="182"/>
      <c r="AU1928" s="181" t="s">
        <v>7494</v>
      </c>
      <c r="AV1928" s="185" t="s">
        <v>176</v>
      </c>
      <c r="AW1928" s="58"/>
      <c r="AX1928" s="185" t="s">
        <v>176</v>
      </c>
      <c r="AY1928" s="58"/>
      <c r="AZ1928" s="59" t="s">
        <v>745</v>
      </c>
      <c r="BA1928" s="59" t="s">
        <v>745</v>
      </c>
      <c r="BB1928" s="59" t="s">
        <v>2081</v>
      </c>
      <c r="BC1928" s="59" t="s">
        <v>2081</v>
      </c>
      <c r="BD1928" s="55" t="s">
        <v>2071</v>
      </c>
      <c r="BE1928" s="236" t="s">
        <v>161</v>
      </c>
      <c r="BF1928" s="58"/>
      <c r="BG1928" s="191" t="s">
        <v>176</v>
      </c>
      <c r="BH1928" s="236"/>
      <c r="BI1928" s="58"/>
      <c r="BJ1928" s="152" t="s">
        <v>1983</v>
      </c>
      <c r="BK1928" s="58" t="s">
        <v>5976</v>
      </c>
      <c r="BL1928" s="58"/>
      <c r="BM1928" s="237" t="s">
        <v>160</v>
      </c>
      <c r="BN1928" s="59">
        <v>4</v>
      </c>
      <c r="BO1928" s="59">
        <v>4</v>
      </c>
      <c r="BP1928" s="59">
        <v>4</v>
      </c>
      <c r="BQ1928" s="58" t="s">
        <v>141</v>
      </c>
      <c r="BR1928" s="58"/>
      <c r="BS1928" s="58"/>
      <c r="BT1928" s="58"/>
      <c r="BU1928" s="58"/>
      <c r="BV1928" s="58"/>
      <c r="CB1928" s="153"/>
      <c r="CC1928" s="153"/>
      <c r="CD1928" s="153"/>
      <c r="CE1928" s="67"/>
      <c r="CH1928" s="93">
        <f>CI1928+0.02</f>
        <v>1.44</v>
      </c>
      <c r="CI1928" s="93">
        <v>1.42</v>
      </c>
      <c r="CM1928" s="67">
        <v>0.22916666666666666</v>
      </c>
      <c r="CN1928" s="67">
        <v>0.20370370370370372</v>
      </c>
      <c r="CO1928" s="65">
        <f>CM1928*(CT1928/CR1928)</f>
        <v>7.8703703703703692E-2</v>
      </c>
      <c r="CP1928" s="65">
        <f>CN1928*(CU1928/CS1928)</f>
        <v>7.9812206572769939E-2</v>
      </c>
      <c r="CR1928" s="65">
        <v>9.9</v>
      </c>
      <c r="CS1928" s="65">
        <v>8.6777777777777789</v>
      </c>
      <c r="CT1928" s="65">
        <v>3.4</v>
      </c>
      <c r="CU1928" s="65">
        <v>3.4</v>
      </c>
      <c r="CV1928" s="65" t="s">
        <v>962</v>
      </c>
      <c r="DA1928" s="65" t="s">
        <v>4458</v>
      </c>
      <c r="GP1928" s="292" t="s">
        <v>7494</v>
      </c>
      <c r="JU1928" s="59" t="s">
        <v>2040</v>
      </c>
      <c r="JV1928" s="58"/>
    </row>
    <row r="1929" spans="1:282" x14ac:dyDescent="0.25">
      <c r="A1929" s="55">
        <v>1928</v>
      </c>
      <c r="B1929" s="12" t="s">
        <v>7067</v>
      </c>
      <c r="C1929" s="157">
        <v>91</v>
      </c>
      <c r="D1929" s="59" t="s">
        <v>4072</v>
      </c>
      <c r="E1929" s="93" t="s">
        <v>741</v>
      </c>
      <c r="F1929" s="93"/>
      <c r="G1929" s="58" t="s">
        <v>2074</v>
      </c>
      <c r="H1929" s="59">
        <v>2006</v>
      </c>
      <c r="I1929" s="58">
        <v>1999</v>
      </c>
      <c r="J1929" s="59" t="s">
        <v>916</v>
      </c>
      <c r="K1929" s="59" t="s">
        <v>1990</v>
      </c>
      <c r="L1929" s="59" t="s">
        <v>2737</v>
      </c>
      <c r="M1929" s="94">
        <v>32.56</v>
      </c>
      <c r="N1929" s="94">
        <v>-83.91</v>
      </c>
      <c r="O1929" s="93">
        <v>16</v>
      </c>
      <c r="P1929" s="59">
        <v>18.100000000000001</v>
      </c>
      <c r="Q1929" s="58"/>
      <c r="R1929" s="59">
        <v>1258</v>
      </c>
      <c r="S1929" s="94"/>
      <c r="T1929" s="58"/>
      <c r="U1929" s="59">
        <v>6</v>
      </c>
      <c r="V1929" s="58" t="s">
        <v>1933</v>
      </c>
      <c r="Y1929" s="58" t="s">
        <v>2059</v>
      </c>
      <c r="Z1929" s="58" t="s">
        <v>1370</v>
      </c>
      <c r="AA1929" s="94">
        <v>30</v>
      </c>
      <c r="AD1929" s="94">
        <f>AVERAGE(Sheet1!CH1929:CI1929)</f>
        <v>1.6160000000000001</v>
      </c>
      <c r="AE1929" s="93">
        <v>65</v>
      </c>
      <c r="AF1929" s="93">
        <v>25</v>
      </c>
      <c r="AG1929" s="93"/>
      <c r="AH1929" s="58" t="s">
        <v>238</v>
      </c>
      <c r="AI1929" s="169"/>
      <c r="AJ1929" s="94"/>
      <c r="AK1929" s="94"/>
      <c r="AL1929" s="58"/>
      <c r="AM1929" s="59" t="s">
        <v>1987</v>
      </c>
      <c r="AN1929" s="188" t="s">
        <v>131</v>
      </c>
      <c r="AO1929" s="185" t="s">
        <v>5150</v>
      </c>
      <c r="AP1929" s="59"/>
      <c r="AQ1929" s="58" t="s">
        <v>131</v>
      </c>
      <c r="AR1929" s="59" t="s">
        <v>1985</v>
      </c>
      <c r="AS1929" s="55" t="s">
        <v>5133</v>
      </c>
      <c r="AT1929" s="182"/>
      <c r="AU1929" s="181" t="s">
        <v>7494</v>
      </c>
      <c r="AV1929" s="185" t="s">
        <v>176</v>
      </c>
      <c r="AW1929" s="58"/>
      <c r="AX1929" s="185" t="s">
        <v>176</v>
      </c>
      <c r="AY1929" s="58"/>
      <c r="AZ1929" s="59" t="s">
        <v>745</v>
      </c>
      <c r="BA1929" s="59" t="s">
        <v>745</v>
      </c>
      <c r="BB1929" s="59" t="s">
        <v>2081</v>
      </c>
      <c r="BC1929" s="59" t="s">
        <v>2081</v>
      </c>
      <c r="BD1929" s="55" t="s">
        <v>176</v>
      </c>
      <c r="BE1929" s="236" t="s">
        <v>161</v>
      </c>
      <c r="BF1929" s="58"/>
      <c r="BG1929" s="191" t="s">
        <v>176</v>
      </c>
      <c r="BH1929" s="236"/>
      <c r="BI1929" s="58"/>
      <c r="BJ1929" s="152" t="s">
        <v>1983</v>
      </c>
      <c r="BK1929" s="58" t="s">
        <v>5976</v>
      </c>
      <c r="BL1929" s="58"/>
      <c r="BM1929" s="237" t="s">
        <v>160</v>
      </c>
      <c r="BN1929" s="59">
        <v>4</v>
      </c>
      <c r="BO1929" s="59">
        <v>4</v>
      </c>
      <c r="BP1929" s="59">
        <v>4</v>
      </c>
      <c r="BQ1929" s="58" t="s">
        <v>141</v>
      </c>
      <c r="BR1929" s="58"/>
      <c r="BS1929" s="58"/>
      <c r="BT1929" s="58"/>
      <c r="BU1929" s="58"/>
      <c r="BV1929" s="58"/>
      <c r="CB1929" s="153"/>
      <c r="CC1929" s="153"/>
      <c r="CD1929" s="153"/>
      <c r="CE1929" s="67"/>
      <c r="CH1929" s="93">
        <f>CI1929+0.02</f>
        <v>1.6260000000000001</v>
      </c>
      <c r="CI1929" s="93">
        <v>1.6060000000000001</v>
      </c>
      <c r="CM1929" s="67">
        <v>0.14145141451414511</v>
      </c>
      <c r="CN1929" s="67">
        <v>0.13735137351373511</v>
      </c>
      <c r="CO1929" s="65">
        <f>CM1929*(CT1929/CR1929)</f>
        <v>6.9700697006970055E-2</v>
      </c>
      <c r="CP1929" s="65">
        <f>CN1929*(CU1929/CS1929)</f>
        <v>7.0568700705687007E-2</v>
      </c>
      <c r="CR1929" s="65">
        <v>6.8999999999999995</v>
      </c>
      <c r="CS1929" s="65">
        <v>6.6175891758917569</v>
      </c>
      <c r="CT1929" s="65">
        <v>3.4</v>
      </c>
      <c r="CU1929" s="65">
        <v>3.4</v>
      </c>
      <c r="CV1929" s="65" t="s">
        <v>962</v>
      </c>
      <c r="DA1929" s="65" t="s">
        <v>4458</v>
      </c>
      <c r="GP1929" s="292" t="s">
        <v>7494</v>
      </c>
      <c r="JU1929" s="59" t="s">
        <v>2040</v>
      </c>
      <c r="JV1929" s="58"/>
    </row>
    <row r="1930" spans="1:282" x14ac:dyDescent="0.25">
      <c r="A1930" s="55">
        <v>1929</v>
      </c>
      <c r="B1930" s="12" t="s">
        <v>7067</v>
      </c>
      <c r="C1930" s="157">
        <v>91</v>
      </c>
      <c r="D1930" s="59" t="s">
        <v>4073</v>
      </c>
      <c r="E1930" s="93" t="s">
        <v>741</v>
      </c>
      <c r="F1930" s="93"/>
      <c r="G1930" s="58" t="s">
        <v>2074</v>
      </c>
      <c r="H1930" s="59">
        <v>2006</v>
      </c>
      <c r="I1930" s="58">
        <v>1999</v>
      </c>
      <c r="J1930" s="59" t="s">
        <v>916</v>
      </c>
      <c r="K1930" s="59" t="s">
        <v>1990</v>
      </c>
      <c r="L1930" s="59" t="s">
        <v>2737</v>
      </c>
      <c r="M1930" s="94">
        <v>32.56</v>
      </c>
      <c r="N1930" s="94">
        <v>-83.91</v>
      </c>
      <c r="O1930" s="93">
        <v>16</v>
      </c>
      <c r="P1930" s="59">
        <v>18.100000000000001</v>
      </c>
      <c r="Q1930" s="58"/>
      <c r="R1930" s="59">
        <v>1258</v>
      </c>
      <c r="S1930" s="94"/>
      <c r="T1930" s="58"/>
      <c r="U1930" s="59">
        <v>6</v>
      </c>
      <c r="V1930" s="58" t="s">
        <v>1933</v>
      </c>
      <c r="Y1930" s="58" t="s">
        <v>2059</v>
      </c>
      <c r="Z1930" s="58" t="s">
        <v>1382</v>
      </c>
      <c r="AA1930" s="94">
        <v>30</v>
      </c>
      <c r="AD1930" s="94">
        <f>AVERAGE(Sheet1!CH1930:CI1930)</f>
        <v>1.605</v>
      </c>
      <c r="AE1930" s="93">
        <v>65</v>
      </c>
      <c r="AF1930" s="93">
        <v>25</v>
      </c>
      <c r="AG1930" s="93"/>
      <c r="AH1930" s="58" t="s">
        <v>238</v>
      </c>
      <c r="AI1930" s="169"/>
      <c r="AJ1930" s="94"/>
      <c r="AK1930" s="94"/>
      <c r="AL1930" s="58"/>
      <c r="AM1930" s="59" t="s">
        <v>1987</v>
      </c>
      <c r="AN1930" s="188" t="s">
        <v>131</v>
      </c>
      <c r="AO1930" s="185" t="s">
        <v>5150</v>
      </c>
      <c r="AP1930" s="59"/>
      <c r="AQ1930" s="58" t="s">
        <v>131</v>
      </c>
      <c r="AR1930" s="59" t="s">
        <v>1985</v>
      </c>
      <c r="AS1930" s="55" t="s">
        <v>5133</v>
      </c>
      <c r="AT1930" s="182"/>
      <c r="AU1930" s="181" t="s">
        <v>7494</v>
      </c>
      <c r="AV1930" s="185" t="s">
        <v>176</v>
      </c>
      <c r="AW1930" s="58"/>
      <c r="AX1930" s="185" t="s">
        <v>176</v>
      </c>
      <c r="AY1930" s="58"/>
      <c r="AZ1930" s="59" t="s">
        <v>745</v>
      </c>
      <c r="BA1930" s="59" t="s">
        <v>745</v>
      </c>
      <c r="BB1930" s="59" t="s">
        <v>2081</v>
      </c>
      <c r="BC1930" s="59" t="s">
        <v>2081</v>
      </c>
      <c r="BD1930" s="55" t="s">
        <v>2071</v>
      </c>
      <c r="BE1930" s="236" t="s">
        <v>161</v>
      </c>
      <c r="BF1930" s="58"/>
      <c r="BG1930" s="191" t="s">
        <v>176</v>
      </c>
      <c r="BH1930" s="236"/>
      <c r="BI1930" s="58"/>
      <c r="BJ1930" s="152" t="s">
        <v>1983</v>
      </c>
      <c r="BK1930" s="58" t="s">
        <v>5976</v>
      </c>
      <c r="BL1930" s="58"/>
      <c r="BM1930" s="237" t="s">
        <v>160</v>
      </c>
      <c r="BN1930" s="59">
        <v>4</v>
      </c>
      <c r="BO1930" s="59">
        <v>4</v>
      </c>
      <c r="BP1930" s="59">
        <v>4</v>
      </c>
      <c r="BQ1930" s="58" t="s">
        <v>141</v>
      </c>
      <c r="BR1930" s="58"/>
      <c r="BS1930" s="58"/>
      <c r="BT1930" s="58"/>
      <c r="BU1930" s="58"/>
      <c r="BV1930" s="58"/>
      <c r="CB1930" s="153"/>
      <c r="CC1930" s="153"/>
      <c r="CD1930" s="153"/>
      <c r="CE1930" s="67"/>
      <c r="CH1930" s="93">
        <f>CI1930+0.02</f>
        <v>1.615</v>
      </c>
      <c r="CI1930" s="93">
        <v>1.595</v>
      </c>
      <c r="CM1930" s="67">
        <v>0.12590299277605779</v>
      </c>
      <c r="CN1930" s="67">
        <v>0.10732714138286895</v>
      </c>
      <c r="CO1930" s="65">
        <f>CM1930*(CT1930/CR1930)</f>
        <v>4.5407636738906097E-2</v>
      </c>
      <c r="CP1930" s="65">
        <f>CN1930*(CU1930/CS1930)</f>
        <v>4.5977011494252887E-2</v>
      </c>
      <c r="CR1930" s="65">
        <v>6.1</v>
      </c>
      <c r="CS1930" s="65">
        <v>5.1356037151702782</v>
      </c>
      <c r="CT1930" s="65">
        <v>2.2000000000000002</v>
      </c>
      <c r="CU1930" s="65">
        <v>2.2000000000000002</v>
      </c>
      <c r="CV1930" s="65" t="s">
        <v>962</v>
      </c>
      <c r="DA1930" s="65" t="s">
        <v>4458</v>
      </c>
      <c r="GP1930" s="292" t="s">
        <v>7494</v>
      </c>
      <c r="JU1930" s="59" t="s">
        <v>2040</v>
      </c>
      <c r="JV1930" s="58"/>
    </row>
    <row r="1931" spans="1:282" x14ac:dyDescent="0.25">
      <c r="A1931" s="55">
        <v>1930</v>
      </c>
      <c r="B1931" s="12" t="s">
        <v>7067</v>
      </c>
      <c r="C1931" s="157">
        <v>91</v>
      </c>
      <c r="D1931" s="59" t="s">
        <v>4074</v>
      </c>
      <c r="E1931" s="93" t="s">
        <v>741</v>
      </c>
      <c r="F1931" s="93"/>
      <c r="G1931" s="58" t="s">
        <v>2074</v>
      </c>
      <c r="H1931" s="59">
        <v>2006</v>
      </c>
      <c r="I1931" s="58">
        <v>1999</v>
      </c>
      <c r="J1931" s="59" t="s">
        <v>916</v>
      </c>
      <c r="K1931" s="59" t="s">
        <v>1990</v>
      </c>
      <c r="L1931" s="59" t="s">
        <v>2737</v>
      </c>
      <c r="M1931" s="94">
        <v>32.56</v>
      </c>
      <c r="N1931" s="94">
        <v>-83.91</v>
      </c>
      <c r="O1931" s="93">
        <v>16</v>
      </c>
      <c r="P1931" s="59">
        <v>18.100000000000001</v>
      </c>
      <c r="Q1931" s="58"/>
      <c r="R1931" s="59">
        <v>1258</v>
      </c>
      <c r="S1931" s="94"/>
      <c r="T1931" s="58"/>
      <c r="U1931" s="59">
        <v>6</v>
      </c>
      <c r="V1931" s="58" t="s">
        <v>1933</v>
      </c>
      <c r="Y1931" s="58" t="s">
        <v>2059</v>
      </c>
      <c r="Z1931" s="58" t="s">
        <v>1355</v>
      </c>
      <c r="AA1931" s="94">
        <v>10</v>
      </c>
      <c r="AD1931" s="94">
        <f>AVERAGE(Sheet1!CH1931:CI1931)</f>
        <v>1.526</v>
      </c>
      <c r="AE1931" s="93">
        <v>65</v>
      </c>
      <c r="AF1931" s="93">
        <v>25</v>
      </c>
      <c r="AG1931" s="93"/>
      <c r="AH1931" s="58" t="s">
        <v>238</v>
      </c>
      <c r="AI1931" s="169"/>
      <c r="AJ1931" s="94"/>
      <c r="AK1931" s="94"/>
      <c r="AL1931" s="58"/>
      <c r="AM1931" s="59" t="s">
        <v>1987</v>
      </c>
      <c r="AN1931" s="188" t="s">
        <v>131</v>
      </c>
      <c r="AO1931" s="185" t="s">
        <v>5150</v>
      </c>
      <c r="AP1931" s="59"/>
      <c r="AQ1931" s="58" t="s">
        <v>131</v>
      </c>
      <c r="AR1931" s="59" t="s">
        <v>1985</v>
      </c>
      <c r="AS1931" s="55" t="s">
        <v>5133</v>
      </c>
      <c r="AT1931" s="182"/>
      <c r="AU1931" s="181" t="s">
        <v>7494</v>
      </c>
      <c r="AV1931" s="185" t="s">
        <v>176</v>
      </c>
      <c r="AW1931" s="58"/>
      <c r="AX1931" s="185" t="s">
        <v>176</v>
      </c>
      <c r="AY1931" s="58"/>
      <c r="AZ1931" s="59" t="s">
        <v>745</v>
      </c>
      <c r="BA1931" s="59" t="s">
        <v>745</v>
      </c>
      <c r="BB1931" s="59" t="s">
        <v>2081</v>
      </c>
      <c r="BC1931" s="59" t="s">
        <v>2081</v>
      </c>
      <c r="BD1931" s="55" t="s">
        <v>176</v>
      </c>
      <c r="BE1931" s="236" t="s">
        <v>1989</v>
      </c>
      <c r="BF1931" s="58"/>
      <c r="BG1931" s="191" t="s">
        <v>479</v>
      </c>
      <c r="BH1931" s="236"/>
      <c r="BI1931" s="58"/>
      <c r="BJ1931" s="152" t="s">
        <v>1983</v>
      </c>
      <c r="BK1931" s="58" t="s">
        <v>5976</v>
      </c>
      <c r="BL1931" s="58"/>
      <c r="BM1931" s="237" t="s">
        <v>160</v>
      </c>
      <c r="BN1931" s="59">
        <v>4</v>
      </c>
      <c r="BO1931" s="59">
        <v>4</v>
      </c>
      <c r="BP1931" s="59">
        <v>4</v>
      </c>
      <c r="BQ1931" s="58" t="s">
        <v>141</v>
      </c>
      <c r="BR1931" s="58"/>
      <c r="BS1931" s="58"/>
      <c r="BT1931" s="58"/>
      <c r="BU1931" s="58"/>
      <c r="BV1931" s="58"/>
      <c r="CB1931" s="153"/>
      <c r="CC1931" s="153"/>
      <c r="CD1931" s="153"/>
      <c r="CE1931" s="67"/>
      <c r="CH1931" s="93">
        <f>CI1931+0.02</f>
        <v>1.536</v>
      </c>
      <c r="CI1931" s="93">
        <v>1.516</v>
      </c>
      <c r="CM1931" s="67">
        <v>0.57291666666666674</v>
      </c>
      <c r="CN1931" s="67">
        <v>0.63151041666666663</v>
      </c>
      <c r="CR1931" s="65">
        <v>8.8000000000000007</v>
      </c>
      <c r="CS1931" s="65">
        <v>9.5736979166666654</v>
      </c>
      <c r="CT1931" s="65">
        <v>1</v>
      </c>
      <c r="CU1931" s="65">
        <v>1</v>
      </c>
      <c r="CV1931" s="65" t="s">
        <v>962</v>
      </c>
      <c r="DA1931" s="65" t="s">
        <v>4458</v>
      </c>
      <c r="GP1931" s="292" t="s">
        <v>7494</v>
      </c>
      <c r="JU1931" s="59" t="s">
        <v>2040</v>
      </c>
      <c r="JV1931" s="58"/>
    </row>
    <row r="1932" spans="1:282" x14ac:dyDescent="0.25">
      <c r="A1932" s="55">
        <v>1931</v>
      </c>
      <c r="B1932" s="12" t="s">
        <v>7067</v>
      </c>
      <c r="C1932" s="157">
        <v>91</v>
      </c>
      <c r="D1932" s="59" t="s">
        <v>4075</v>
      </c>
      <c r="E1932" s="93" t="s">
        <v>741</v>
      </c>
      <c r="F1932" s="93"/>
      <c r="G1932" s="58" t="s">
        <v>2074</v>
      </c>
      <c r="H1932" s="59">
        <v>2006</v>
      </c>
      <c r="I1932" s="58">
        <v>1999</v>
      </c>
      <c r="J1932" s="59" t="s">
        <v>916</v>
      </c>
      <c r="K1932" s="59" t="s">
        <v>1990</v>
      </c>
      <c r="L1932" s="59" t="s">
        <v>2737</v>
      </c>
      <c r="M1932" s="94">
        <v>32.56</v>
      </c>
      <c r="N1932" s="94">
        <v>-83.91</v>
      </c>
      <c r="O1932" s="93">
        <v>16</v>
      </c>
      <c r="P1932" s="59">
        <v>18.100000000000001</v>
      </c>
      <c r="Q1932" s="58"/>
      <c r="R1932" s="59">
        <v>1258</v>
      </c>
      <c r="S1932" s="94"/>
      <c r="T1932" s="58"/>
      <c r="U1932" s="59">
        <v>6</v>
      </c>
      <c r="V1932" s="58" t="s">
        <v>1933</v>
      </c>
      <c r="Y1932" s="58" t="s">
        <v>2059</v>
      </c>
      <c r="Z1932" s="58" t="s">
        <v>1375</v>
      </c>
      <c r="AA1932" s="94">
        <v>20</v>
      </c>
      <c r="AD1932" s="94">
        <f>AVERAGE(Sheet1!CH1932:CI1932)</f>
        <v>1.5189999999999999</v>
      </c>
      <c r="AE1932" s="93">
        <v>65</v>
      </c>
      <c r="AF1932" s="93">
        <v>25</v>
      </c>
      <c r="AG1932" s="93"/>
      <c r="AH1932" s="58" t="s">
        <v>238</v>
      </c>
      <c r="AI1932" s="169"/>
      <c r="AJ1932" s="94"/>
      <c r="AK1932" s="94"/>
      <c r="AL1932" s="58"/>
      <c r="AM1932" s="59" t="s">
        <v>1987</v>
      </c>
      <c r="AN1932" s="188" t="s">
        <v>131</v>
      </c>
      <c r="AO1932" s="185" t="s">
        <v>5150</v>
      </c>
      <c r="AP1932" s="59"/>
      <c r="AQ1932" s="58" t="s">
        <v>131</v>
      </c>
      <c r="AR1932" s="59" t="s">
        <v>1985</v>
      </c>
      <c r="AS1932" s="55" t="s">
        <v>5133</v>
      </c>
      <c r="AT1932" s="182"/>
      <c r="AU1932" s="181" t="s">
        <v>7494</v>
      </c>
      <c r="AV1932" s="185" t="s">
        <v>176</v>
      </c>
      <c r="AW1932" s="58"/>
      <c r="AX1932" s="185" t="s">
        <v>176</v>
      </c>
      <c r="AY1932" s="58"/>
      <c r="AZ1932" s="59" t="s">
        <v>745</v>
      </c>
      <c r="BA1932" s="59" t="s">
        <v>745</v>
      </c>
      <c r="BB1932" s="59" t="s">
        <v>2081</v>
      </c>
      <c r="BC1932" s="59" t="s">
        <v>2081</v>
      </c>
      <c r="BD1932" s="55" t="s">
        <v>2071</v>
      </c>
      <c r="BE1932" s="236" t="s">
        <v>1989</v>
      </c>
      <c r="BF1932" s="58"/>
      <c r="BG1932" s="191" t="s">
        <v>479</v>
      </c>
      <c r="BH1932" s="236"/>
      <c r="BI1932" s="58"/>
      <c r="BJ1932" s="152" t="s">
        <v>1983</v>
      </c>
      <c r="BK1932" s="58" t="s">
        <v>5976</v>
      </c>
      <c r="BL1932" s="58"/>
      <c r="BM1932" s="237" t="s">
        <v>160</v>
      </c>
      <c r="BN1932" s="59">
        <v>4</v>
      </c>
      <c r="BO1932" s="59">
        <v>4</v>
      </c>
      <c r="BP1932" s="59">
        <v>4</v>
      </c>
      <c r="BQ1932" s="58" t="s">
        <v>141</v>
      </c>
      <c r="BR1932" s="58"/>
      <c r="BS1932" s="58"/>
      <c r="BT1932" s="58"/>
      <c r="BU1932" s="58"/>
      <c r="BV1932" s="58"/>
      <c r="CB1932" s="153"/>
      <c r="CC1932" s="153"/>
      <c r="CD1932" s="153"/>
      <c r="CE1932" s="67"/>
      <c r="CH1932" s="93">
        <f>CI1932+0.02</f>
        <v>1.5289999999999999</v>
      </c>
      <c r="CI1932" s="93">
        <v>1.5089999999999999</v>
      </c>
      <c r="CM1932" s="67">
        <v>0.45781556572923476</v>
      </c>
      <c r="CN1932" s="67">
        <v>0.50032701111837807</v>
      </c>
      <c r="CR1932" s="65">
        <v>13.999999999999998</v>
      </c>
      <c r="CS1932" s="65">
        <v>15.09986919555265</v>
      </c>
      <c r="CT1932" s="65">
        <v>2.2999999999999998</v>
      </c>
      <c r="CU1932" s="65">
        <v>2.2999999999999998</v>
      </c>
      <c r="CV1932" s="65" t="s">
        <v>962</v>
      </c>
      <c r="DA1932" s="65" t="s">
        <v>4458</v>
      </c>
      <c r="GP1932" s="292" t="s">
        <v>7494</v>
      </c>
      <c r="JU1932" s="59" t="s">
        <v>2040</v>
      </c>
      <c r="JV1932" s="58"/>
    </row>
    <row r="1933" spans="1:282" x14ac:dyDescent="0.25">
      <c r="A1933" s="55">
        <v>1932</v>
      </c>
      <c r="B1933" s="12" t="s">
        <v>7067</v>
      </c>
      <c r="C1933" s="157">
        <v>91</v>
      </c>
      <c r="D1933" s="59" t="s">
        <v>4076</v>
      </c>
      <c r="E1933" s="93" t="s">
        <v>741</v>
      </c>
      <c r="F1933" s="93"/>
      <c r="G1933" s="58" t="s">
        <v>2074</v>
      </c>
      <c r="H1933" s="59">
        <v>2006</v>
      </c>
      <c r="I1933" s="58">
        <v>1999</v>
      </c>
      <c r="J1933" s="59" t="s">
        <v>916</v>
      </c>
      <c r="K1933" s="59" t="s">
        <v>1990</v>
      </c>
      <c r="L1933" s="59" t="s">
        <v>2737</v>
      </c>
      <c r="M1933" s="94">
        <v>32.56</v>
      </c>
      <c r="N1933" s="94">
        <v>-83.91</v>
      </c>
      <c r="O1933" s="93">
        <v>16</v>
      </c>
      <c r="P1933" s="59">
        <v>18.100000000000001</v>
      </c>
      <c r="Q1933" s="58"/>
      <c r="R1933" s="59">
        <v>1258</v>
      </c>
      <c r="S1933" s="94"/>
      <c r="T1933" s="58"/>
      <c r="U1933" s="59">
        <v>6</v>
      </c>
      <c r="V1933" s="58" t="s">
        <v>1933</v>
      </c>
      <c r="Y1933" s="58" t="s">
        <v>2059</v>
      </c>
      <c r="Z1933" s="58" t="s">
        <v>1369</v>
      </c>
      <c r="AA1933" s="94">
        <v>30</v>
      </c>
      <c r="AD1933" s="94">
        <f>AVERAGE(Sheet1!CH1933:CI1933)</f>
        <v>1.43</v>
      </c>
      <c r="AE1933" s="93">
        <v>65</v>
      </c>
      <c r="AF1933" s="93">
        <v>25</v>
      </c>
      <c r="AG1933" s="93"/>
      <c r="AH1933" s="58" t="s">
        <v>238</v>
      </c>
      <c r="AI1933" s="169"/>
      <c r="AJ1933" s="94"/>
      <c r="AK1933" s="94"/>
      <c r="AL1933" s="58"/>
      <c r="AM1933" s="59" t="s">
        <v>1987</v>
      </c>
      <c r="AN1933" s="188" t="s">
        <v>131</v>
      </c>
      <c r="AO1933" s="185" t="s">
        <v>5150</v>
      </c>
      <c r="AP1933" s="59"/>
      <c r="AQ1933" s="58" t="s">
        <v>131</v>
      </c>
      <c r="AR1933" s="59" t="s">
        <v>1985</v>
      </c>
      <c r="AS1933" s="55" t="s">
        <v>5133</v>
      </c>
      <c r="AT1933" s="182"/>
      <c r="AU1933" s="181" t="s">
        <v>7494</v>
      </c>
      <c r="AV1933" s="185" t="s">
        <v>176</v>
      </c>
      <c r="AW1933" s="58"/>
      <c r="AX1933" s="185" t="s">
        <v>176</v>
      </c>
      <c r="AY1933" s="58"/>
      <c r="AZ1933" s="59" t="s">
        <v>745</v>
      </c>
      <c r="BA1933" s="59" t="s">
        <v>745</v>
      </c>
      <c r="BB1933" s="59" t="s">
        <v>2081</v>
      </c>
      <c r="BC1933" s="59" t="s">
        <v>2081</v>
      </c>
      <c r="BD1933" s="55" t="s">
        <v>176</v>
      </c>
      <c r="BE1933" s="236" t="s">
        <v>1989</v>
      </c>
      <c r="BF1933" s="58"/>
      <c r="BG1933" s="191" t="s">
        <v>479</v>
      </c>
      <c r="BH1933" s="236"/>
      <c r="BI1933" s="58"/>
      <c r="BJ1933" s="152" t="s">
        <v>1983</v>
      </c>
      <c r="BK1933" s="58" t="s">
        <v>5976</v>
      </c>
      <c r="BL1933" s="58"/>
      <c r="BM1933" s="237" t="s">
        <v>160</v>
      </c>
      <c r="BN1933" s="59">
        <v>4</v>
      </c>
      <c r="BO1933" s="59">
        <v>4</v>
      </c>
      <c r="BP1933" s="59">
        <v>4</v>
      </c>
      <c r="BQ1933" s="58" t="s">
        <v>141</v>
      </c>
      <c r="BR1933" s="58"/>
      <c r="BS1933" s="58"/>
      <c r="BT1933" s="58"/>
      <c r="BU1933" s="58"/>
      <c r="BV1933" s="58"/>
      <c r="CB1933" s="153"/>
      <c r="CC1933" s="153"/>
      <c r="CD1933" s="153"/>
      <c r="CE1933" s="67"/>
      <c r="CH1933" s="93">
        <f>CI1933+0.02</f>
        <v>1.44</v>
      </c>
      <c r="CI1933" s="93">
        <v>1.42</v>
      </c>
      <c r="CM1933" s="67">
        <v>0.23379629629629628</v>
      </c>
      <c r="CN1933" s="67">
        <v>0.25</v>
      </c>
      <c r="CR1933" s="65">
        <v>10.099999999999998</v>
      </c>
      <c r="CS1933" s="65">
        <v>10.65</v>
      </c>
      <c r="CT1933" s="65">
        <v>3.4</v>
      </c>
      <c r="CU1933" s="65">
        <v>3.4</v>
      </c>
      <c r="CV1933" s="65" t="s">
        <v>962</v>
      </c>
      <c r="DA1933" s="65" t="s">
        <v>4458</v>
      </c>
      <c r="GP1933" s="292" t="s">
        <v>7494</v>
      </c>
      <c r="JU1933" s="59" t="s">
        <v>2040</v>
      </c>
      <c r="JV1933" s="58"/>
    </row>
    <row r="1934" spans="1:282" x14ac:dyDescent="0.25">
      <c r="A1934" s="55">
        <v>1933</v>
      </c>
      <c r="B1934" s="12" t="s">
        <v>7067</v>
      </c>
      <c r="C1934" s="157">
        <v>91</v>
      </c>
      <c r="D1934" s="59" t="s">
        <v>4077</v>
      </c>
      <c r="E1934" s="93" t="s">
        <v>741</v>
      </c>
      <c r="F1934" s="93"/>
      <c r="G1934" s="58" t="s">
        <v>2074</v>
      </c>
      <c r="H1934" s="59">
        <v>2006</v>
      </c>
      <c r="I1934" s="58">
        <v>1999</v>
      </c>
      <c r="J1934" s="59" t="s">
        <v>916</v>
      </c>
      <c r="K1934" s="59" t="s">
        <v>1990</v>
      </c>
      <c r="L1934" s="59" t="s">
        <v>2737</v>
      </c>
      <c r="M1934" s="94">
        <v>32.56</v>
      </c>
      <c r="N1934" s="94">
        <v>-83.91</v>
      </c>
      <c r="O1934" s="93">
        <v>16</v>
      </c>
      <c r="P1934" s="59">
        <v>18.100000000000001</v>
      </c>
      <c r="Q1934" s="58"/>
      <c r="R1934" s="59">
        <v>1258</v>
      </c>
      <c r="S1934" s="94"/>
      <c r="T1934" s="58"/>
      <c r="U1934" s="59">
        <v>6</v>
      </c>
      <c r="V1934" s="58" t="s">
        <v>1933</v>
      </c>
      <c r="Y1934" s="58" t="s">
        <v>2059</v>
      </c>
      <c r="Z1934" s="58" t="s">
        <v>1370</v>
      </c>
      <c r="AA1934" s="94">
        <v>30</v>
      </c>
      <c r="AD1934" s="94">
        <f>AVERAGE(Sheet1!CH1934:CI1934)</f>
        <v>1.6160000000000001</v>
      </c>
      <c r="AE1934" s="93">
        <v>65</v>
      </c>
      <c r="AF1934" s="93">
        <v>25</v>
      </c>
      <c r="AG1934" s="93"/>
      <c r="AH1934" s="58" t="s">
        <v>238</v>
      </c>
      <c r="AI1934" s="169"/>
      <c r="AJ1934" s="94"/>
      <c r="AK1934" s="94"/>
      <c r="AL1934" s="58"/>
      <c r="AM1934" s="59" t="s">
        <v>1987</v>
      </c>
      <c r="AN1934" s="188" t="s">
        <v>131</v>
      </c>
      <c r="AO1934" s="185" t="s">
        <v>5150</v>
      </c>
      <c r="AP1934" s="59"/>
      <c r="AQ1934" s="58" t="s">
        <v>131</v>
      </c>
      <c r="AR1934" s="59" t="s">
        <v>1985</v>
      </c>
      <c r="AS1934" s="55" t="s">
        <v>5133</v>
      </c>
      <c r="AT1934" s="182"/>
      <c r="AU1934" s="181" t="s">
        <v>7494</v>
      </c>
      <c r="AV1934" s="185" t="s">
        <v>176</v>
      </c>
      <c r="AW1934" s="58"/>
      <c r="AX1934" s="185" t="s">
        <v>176</v>
      </c>
      <c r="AY1934" s="58"/>
      <c r="AZ1934" s="59" t="s">
        <v>745</v>
      </c>
      <c r="BA1934" s="59" t="s">
        <v>745</v>
      </c>
      <c r="BB1934" s="59" t="s">
        <v>2081</v>
      </c>
      <c r="BC1934" s="59" t="s">
        <v>2081</v>
      </c>
      <c r="BD1934" s="55" t="s">
        <v>2071</v>
      </c>
      <c r="BE1934" s="236" t="s">
        <v>1989</v>
      </c>
      <c r="BF1934" s="58"/>
      <c r="BG1934" s="191" t="s">
        <v>479</v>
      </c>
      <c r="BH1934" s="236"/>
      <c r="BI1934" s="58"/>
      <c r="BJ1934" s="152" t="s">
        <v>1983</v>
      </c>
      <c r="BK1934" s="58" t="s">
        <v>5976</v>
      </c>
      <c r="BL1934" s="58"/>
      <c r="BM1934" s="237" t="s">
        <v>160</v>
      </c>
      <c r="BN1934" s="59">
        <v>4</v>
      </c>
      <c r="BO1934" s="59">
        <v>4</v>
      </c>
      <c r="BP1934" s="59">
        <v>4</v>
      </c>
      <c r="BQ1934" s="58" t="s">
        <v>141</v>
      </c>
      <c r="BR1934" s="58"/>
      <c r="BS1934" s="58"/>
      <c r="BT1934" s="58"/>
      <c r="BU1934" s="58"/>
      <c r="BV1934" s="58"/>
      <c r="CB1934" s="153"/>
      <c r="CC1934" s="153"/>
      <c r="CD1934" s="153"/>
      <c r="CE1934" s="67"/>
      <c r="CH1934" s="93">
        <f>CI1934+0.02</f>
        <v>1.6260000000000001</v>
      </c>
      <c r="CI1934" s="93">
        <v>1.6060000000000001</v>
      </c>
      <c r="CM1934" s="67">
        <v>0.16400164001640014</v>
      </c>
      <c r="CN1934" s="67">
        <v>0.16195161951619513</v>
      </c>
      <c r="CR1934" s="65">
        <v>7.9999999999999991</v>
      </c>
      <c r="CS1934" s="65">
        <v>7.8028290282902812</v>
      </c>
      <c r="CT1934" s="65">
        <v>3.4</v>
      </c>
      <c r="CU1934" s="65">
        <v>3.4</v>
      </c>
      <c r="CV1934" s="65" t="s">
        <v>962</v>
      </c>
      <c r="DA1934" s="65" t="s">
        <v>4458</v>
      </c>
      <c r="GP1934" s="292" t="s">
        <v>7494</v>
      </c>
      <c r="JU1934" s="59" t="s">
        <v>2040</v>
      </c>
      <c r="JV1934" s="58"/>
    </row>
    <row r="1935" spans="1:282" x14ac:dyDescent="0.25">
      <c r="A1935" s="55">
        <v>1934</v>
      </c>
      <c r="B1935" s="12" t="s">
        <v>7067</v>
      </c>
      <c r="C1935" s="157">
        <v>91</v>
      </c>
      <c r="D1935" s="59" t="s">
        <v>4078</v>
      </c>
      <c r="E1935" s="93" t="s">
        <v>741</v>
      </c>
      <c r="F1935" s="93"/>
      <c r="G1935" s="58" t="s">
        <v>2074</v>
      </c>
      <c r="H1935" s="59">
        <v>2006</v>
      </c>
      <c r="I1935" s="58">
        <v>1999</v>
      </c>
      <c r="J1935" s="59" t="s">
        <v>916</v>
      </c>
      <c r="K1935" s="59" t="s">
        <v>1990</v>
      </c>
      <c r="L1935" s="59" t="s">
        <v>2737</v>
      </c>
      <c r="M1935" s="94">
        <v>32.56</v>
      </c>
      <c r="N1935" s="94">
        <v>-83.91</v>
      </c>
      <c r="O1935" s="93">
        <v>16</v>
      </c>
      <c r="P1935" s="59">
        <v>18.100000000000001</v>
      </c>
      <c r="Q1935" s="58"/>
      <c r="R1935" s="59">
        <v>1258</v>
      </c>
      <c r="S1935" s="94"/>
      <c r="T1935" s="58"/>
      <c r="U1935" s="59">
        <v>6</v>
      </c>
      <c r="V1935" s="58" t="s">
        <v>1933</v>
      </c>
      <c r="Y1935" s="58" t="s">
        <v>2059</v>
      </c>
      <c r="Z1935" s="58" t="s">
        <v>1382</v>
      </c>
      <c r="AA1935" s="94">
        <v>30</v>
      </c>
      <c r="AD1935" s="94">
        <f>AVERAGE(Sheet1!CH1935:CI1935)</f>
        <v>1.605</v>
      </c>
      <c r="AE1935" s="93">
        <v>65</v>
      </c>
      <c r="AF1935" s="93">
        <v>25</v>
      </c>
      <c r="AG1935" s="93"/>
      <c r="AH1935" s="58" t="s">
        <v>238</v>
      </c>
      <c r="AI1935" s="169"/>
      <c r="AJ1935" s="94"/>
      <c r="AK1935" s="94"/>
      <c r="AL1935" s="58"/>
      <c r="AM1935" s="59" t="s">
        <v>1987</v>
      </c>
      <c r="AN1935" s="188" t="s">
        <v>131</v>
      </c>
      <c r="AO1935" s="185" t="s">
        <v>5150</v>
      </c>
      <c r="AP1935" s="59"/>
      <c r="AQ1935" s="58" t="s">
        <v>131</v>
      </c>
      <c r="AR1935" s="59" t="s">
        <v>1985</v>
      </c>
      <c r="AS1935" s="55" t="s">
        <v>5133</v>
      </c>
      <c r="AT1935" s="182"/>
      <c r="AU1935" s="181" t="s">
        <v>7494</v>
      </c>
      <c r="AV1935" s="185" t="s">
        <v>176</v>
      </c>
      <c r="AW1935" s="58"/>
      <c r="AX1935" s="185" t="s">
        <v>176</v>
      </c>
      <c r="AY1935" s="58"/>
      <c r="AZ1935" s="59" t="s">
        <v>745</v>
      </c>
      <c r="BA1935" s="59" t="s">
        <v>745</v>
      </c>
      <c r="BB1935" s="59" t="s">
        <v>2081</v>
      </c>
      <c r="BC1935" s="59" t="s">
        <v>2081</v>
      </c>
      <c r="BD1935" s="55" t="s">
        <v>176</v>
      </c>
      <c r="BE1935" s="236" t="s">
        <v>1989</v>
      </c>
      <c r="BF1935" s="58"/>
      <c r="BG1935" s="191" t="s">
        <v>479</v>
      </c>
      <c r="BH1935" s="236"/>
      <c r="BI1935" s="58"/>
      <c r="BJ1935" s="152" t="s">
        <v>1983</v>
      </c>
      <c r="BK1935" s="58" t="s">
        <v>5976</v>
      </c>
      <c r="BL1935" s="58"/>
      <c r="BM1935" s="237" t="s">
        <v>160</v>
      </c>
      <c r="BN1935" s="59">
        <v>4</v>
      </c>
      <c r="BO1935" s="59">
        <v>4</v>
      </c>
      <c r="BP1935" s="59">
        <v>4</v>
      </c>
      <c r="BQ1935" s="58" t="s">
        <v>141</v>
      </c>
      <c r="BR1935" s="58"/>
      <c r="BS1935" s="58"/>
      <c r="BT1935" s="58"/>
      <c r="BU1935" s="58"/>
      <c r="BV1935" s="58"/>
      <c r="CB1935" s="153"/>
      <c r="CC1935" s="153"/>
      <c r="CD1935" s="153"/>
      <c r="CE1935" s="67"/>
      <c r="CH1935" s="93">
        <f>CI1935+0.02</f>
        <v>1.615</v>
      </c>
      <c r="CI1935" s="93">
        <v>1.595</v>
      </c>
      <c r="CM1935" s="67">
        <v>0.1155830753353973</v>
      </c>
      <c r="CN1935" s="67">
        <v>0.11971104231166151</v>
      </c>
      <c r="CR1935" s="65">
        <v>5.6</v>
      </c>
      <c r="CS1935" s="65">
        <v>5.7281733746130028</v>
      </c>
      <c r="CT1935" s="65">
        <v>2.2000000000000002</v>
      </c>
      <c r="CU1935" s="65">
        <v>2.2000000000000002</v>
      </c>
      <c r="CV1935" s="65" t="s">
        <v>962</v>
      </c>
      <c r="DA1935" s="65" t="s">
        <v>4458</v>
      </c>
      <c r="GP1935" s="292" t="s">
        <v>7494</v>
      </c>
      <c r="JU1935" s="59" t="s">
        <v>2040</v>
      </c>
      <c r="JV1935" s="58"/>
    </row>
    <row r="1936" spans="1:282" x14ac:dyDescent="0.25">
      <c r="A1936" s="55">
        <v>1935</v>
      </c>
      <c r="B1936" s="12" t="s">
        <v>7067</v>
      </c>
      <c r="C1936" s="157">
        <v>91</v>
      </c>
      <c r="D1936" s="59" t="s">
        <v>4079</v>
      </c>
      <c r="E1936" s="93" t="s">
        <v>741</v>
      </c>
      <c r="F1936" s="93"/>
      <c r="G1936" s="58" t="s">
        <v>2074</v>
      </c>
      <c r="H1936" s="59">
        <v>2006</v>
      </c>
      <c r="I1936" s="58">
        <v>1999</v>
      </c>
      <c r="J1936" s="59" t="s">
        <v>916</v>
      </c>
      <c r="K1936" s="59" t="s">
        <v>1990</v>
      </c>
      <c r="L1936" s="59" t="s">
        <v>2737</v>
      </c>
      <c r="M1936" s="94">
        <v>32.56</v>
      </c>
      <c r="N1936" s="94">
        <v>-83.91</v>
      </c>
      <c r="O1936" s="93">
        <v>16</v>
      </c>
      <c r="P1936" s="59">
        <v>18.100000000000001</v>
      </c>
      <c r="Q1936" s="58"/>
      <c r="R1936" s="59">
        <v>1258</v>
      </c>
      <c r="S1936" s="94"/>
      <c r="T1936" s="58"/>
      <c r="U1936" s="59">
        <v>6</v>
      </c>
      <c r="V1936" s="58" t="s">
        <v>1933</v>
      </c>
      <c r="Y1936" s="58" t="s">
        <v>2059</v>
      </c>
      <c r="Z1936" s="58" t="s">
        <v>1355</v>
      </c>
      <c r="AA1936" s="94">
        <v>10</v>
      </c>
      <c r="AD1936" s="94">
        <f>AVERAGE(Sheet1!CH1936:CI1936)</f>
        <v>1.526</v>
      </c>
      <c r="AE1936" s="93">
        <v>65</v>
      </c>
      <c r="AF1936" s="93">
        <v>25</v>
      </c>
      <c r="AG1936" s="93"/>
      <c r="AH1936" s="58" t="s">
        <v>238</v>
      </c>
      <c r="AI1936" s="169"/>
      <c r="AJ1936" s="94"/>
      <c r="AK1936" s="94"/>
      <c r="AL1936" s="58"/>
      <c r="AM1936" s="59" t="s">
        <v>1987</v>
      </c>
      <c r="AN1936" s="188" t="s">
        <v>131</v>
      </c>
      <c r="AO1936" s="185" t="s">
        <v>5150</v>
      </c>
      <c r="AP1936" s="59"/>
      <c r="AQ1936" s="58" t="s">
        <v>131</v>
      </c>
      <c r="AR1936" s="59" t="s">
        <v>1985</v>
      </c>
      <c r="AS1936" s="55" t="s">
        <v>5133</v>
      </c>
      <c r="AT1936" s="182"/>
      <c r="AU1936" s="181" t="s">
        <v>7494</v>
      </c>
      <c r="AV1936" s="185" t="s">
        <v>176</v>
      </c>
      <c r="AW1936" s="58"/>
      <c r="AX1936" s="185" t="s">
        <v>176</v>
      </c>
      <c r="AY1936" s="58"/>
      <c r="AZ1936" s="59" t="s">
        <v>745</v>
      </c>
      <c r="BA1936" s="59" t="s">
        <v>745</v>
      </c>
      <c r="BB1936" s="59" t="s">
        <v>2081</v>
      </c>
      <c r="BC1936" s="59" t="s">
        <v>2081</v>
      </c>
      <c r="BD1936" s="55" t="s">
        <v>2071</v>
      </c>
      <c r="BE1936" s="236" t="s">
        <v>1984</v>
      </c>
      <c r="BF1936" s="58"/>
      <c r="BG1936" s="191" t="s">
        <v>479</v>
      </c>
      <c r="BH1936" s="236"/>
      <c r="BI1936" s="58"/>
      <c r="BJ1936" s="152" t="s">
        <v>1983</v>
      </c>
      <c r="BK1936" s="58" t="s">
        <v>5976</v>
      </c>
      <c r="BL1936" s="58"/>
      <c r="BM1936" s="237" t="s">
        <v>160</v>
      </c>
      <c r="BN1936" s="59">
        <v>4</v>
      </c>
      <c r="BO1936" s="59">
        <v>4</v>
      </c>
      <c r="BP1936" s="59">
        <v>4</v>
      </c>
      <c r="BQ1936" s="58" t="s">
        <v>141</v>
      </c>
      <c r="BR1936" s="58"/>
      <c r="BS1936" s="58"/>
      <c r="BT1936" s="58"/>
      <c r="BU1936" s="58"/>
      <c r="BV1936" s="58"/>
      <c r="CB1936" s="153"/>
      <c r="CC1936" s="153"/>
      <c r="CD1936" s="153"/>
      <c r="CE1936" s="67"/>
      <c r="CH1936" s="93">
        <f>CI1936+0.02</f>
        <v>1.536</v>
      </c>
      <c r="CI1936" s="93">
        <v>1.516</v>
      </c>
      <c r="CM1936" s="67">
        <v>0.6640625</v>
      </c>
      <c r="CN1936" s="67">
        <v>0.71614583333333326</v>
      </c>
      <c r="CR1936" s="65">
        <v>10.200000000000001</v>
      </c>
      <c r="CS1936" s="65">
        <v>10.856770833333332</v>
      </c>
      <c r="CT1936" s="65">
        <v>1</v>
      </c>
      <c r="CU1936" s="65">
        <v>1</v>
      </c>
      <c r="CV1936" s="65" t="s">
        <v>962</v>
      </c>
      <c r="DA1936" s="65" t="s">
        <v>4458</v>
      </c>
      <c r="GP1936" s="292" t="s">
        <v>7494</v>
      </c>
      <c r="JU1936" s="59" t="s">
        <v>2040</v>
      </c>
      <c r="JV1936" s="58"/>
    </row>
    <row r="1937" spans="1:282" x14ac:dyDescent="0.25">
      <c r="A1937" s="55">
        <v>1936</v>
      </c>
      <c r="B1937" s="12" t="s">
        <v>7067</v>
      </c>
      <c r="C1937" s="157">
        <v>91</v>
      </c>
      <c r="D1937" s="59" t="s">
        <v>4080</v>
      </c>
      <c r="E1937" s="93" t="s">
        <v>741</v>
      </c>
      <c r="F1937" s="93"/>
      <c r="G1937" s="58" t="s">
        <v>2074</v>
      </c>
      <c r="H1937" s="59">
        <v>2006</v>
      </c>
      <c r="I1937" s="58">
        <v>1999</v>
      </c>
      <c r="J1937" s="59" t="s">
        <v>916</v>
      </c>
      <c r="K1937" s="59" t="s">
        <v>1990</v>
      </c>
      <c r="L1937" s="59" t="s">
        <v>2737</v>
      </c>
      <c r="M1937" s="94">
        <v>32.56</v>
      </c>
      <c r="N1937" s="94">
        <v>-83.91</v>
      </c>
      <c r="O1937" s="93">
        <v>16</v>
      </c>
      <c r="P1937" s="59">
        <v>18.100000000000001</v>
      </c>
      <c r="Q1937" s="58"/>
      <c r="R1937" s="59">
        <v>1258</v>
      </c>
      <c r="S1937" s="94"/>
      <c r="T1937" s="58"/>
      <c r="U1937" s="59">
        <v>6</v>
      </c>
      <c r="V1937" s="58" t="s">
        <v>1933</v>
      </c>
      <c r="Y1937" s="58" t="s">
        <v>2059</v>
      </c>
      <c r="Z1937" s="58" t="s">
        <v>1375</v>
      </c>
      <c r="AA1937" s="94">
        <v>20</v>
      </c>
      <c r="AD1937" s="94">
        <f>AVERAGE(Sheet1!CH1937:CI1937)</f>
        <v>1.5189999999999999</v>
      </c>
      <c r="AE1937" s="93">
        <v>65</v>
      </c>
      <c r="AF1937" s="93">
        <v>25</v>
      </c>
      <c r="AG1937" s="93"/>
      <c r="AH1937" s="58" t="s">
        <v>238</v>
      </c>
      <c r="AI1937" s="169"/>
      <c r="AJ1937" s="94"/>
      <c r="AK1937" s="94"/>
      <c r="AL1937" s="58"/>
      <c r="AM1937" s="59" t="s">
        <v>1987</v>
      </c>
      <c r="AN1937" s="188" t="s">
        <v>131</v>
      </c>
      <c r="AO1937" s="185" t="s">
        <v>5150</v>
      </c>
      <c r="AP1937" s="59"/>
      <c r="AQ1937" s="58" t="s">
        <v>131</v>
      </c>
      <c r="AR1937" s="59" t="s">
        <v>1985</v>
      </c>
      <c r="AS1937" s="55" t="s">
        <v>5133</v>
      </c>
      <c r="AT1937" s="182"/>
      <c r="AU1937" s="181" t="s">
        <v>7494</v>
      </c>
      <c r="AV1937" s="185" t="s">
        <v>176</v>
      </c>
      <c r="AW1937" s="58"/>
      <c r="AX1937" s="185" t="s">
        <v>176</v>
      </c>
      <c r="AY1937" s="58"/>
      <c r="AZ1937" s="59" t="s">
        <v>745</v>
      </c>
      <c r="BA1937" s="59" t="s">
        <v>745</v>
      </c>
      <c r="BB1937" s="59" t="s">
        <v>2081</v>
      </c>
      <c r="BC1937" s="59" t="s">
        <v>2081</v>
      </c>
      <c r="BD1937" s="55" t="s">
        <v>176</v>
      </c>
      <c r="BE1937" s="236" t="s">
        <v>1984</v>
      </c>
      <c r="BF1937" s="58"/>
      <c r="BG1937" s="191" t="s">
        <v>479</v>
      </c>
      <c r="BH1937" s="236"/>
      <c r="BI1937" s="58"/>
      <c r="BJ1937" s="152" t="s">
        <v>1983</v>
      </c>
      <c r="BK1937" s="58" t="s">
        <v>5976</v>
      </c>
      <c r="BL1937" s="58"/>
      <c r="BM1937" s="237" t="s">
        <v>160</v>
      </c>
      <c r="BN1937" s="59">
        <v>4</v>
      </c>
      <c r="BO1937" s="59">
        <v>4</v>
      </c>
      <c r="BP1937" s="59">
        <v>4</v>
      </c>
      <c r="BQ1937" s="58" t="s">
        <v>141</v>
      </c>
      <c r="BR1937" s="58"/>
      <c r="BS1937" s="58"/>
      <c r="BT1937" s="58"/>
      <c r="BU1937" s="58"/>
      <c r="BV1937" s="58"/>
      <c r="CB1937" s="153"/>
      <c r="CC1937" s="153"/>
      <c r="CD1937" s="153"/>
      <c r="CE1937" s="67"/>
      <c r="CH1937" s="93">
        <f>CI1937+0.02</f>
        <v>1.5289999999999999</v>
      </c>
      <c r="CI1937" s="93">
        <v>1.5089999999999999</v>
      </c>
      <c r="CM1937" s="67">
        <v>0.50686723348593854</v>
      </c>
      <c r="CN1937" s="67">
        <v>0.54610856769130145</v>
      </c>
      <c r="CR1937" s="65">
        <v>15.5</v>
      </c>
      <c r="CS1937" s="65">
        <v>16.481556572923477</v>
      </c>
      <c r="CT1937" s="65">
        <v>2.2999999999999998</v>
      </c>
      <c r="CU1937" s="65">
        <v>2.2999999999999998</v>
      </c>
      <c r="CV1937" s="65" t="s">
        <v>962</v>
      </c>
      <c r="DA1937" s="65" t="s">
        <v>4458</v>
      </c>
      <c r="GP1937" s="292" t="s">
        <v>7494</v>
      </c>
      <c r="JU1937" s="59" t="s">
        <v>2040</v>
      </c>
      <c r="JV1937" s="58"/>
    </row>
    <row r="1938" spans="1:282" x14ac:dyDescent="0.25">
      <c r="A1938" s="55">
        <v>1937</v>
      </c>
      <c r="B1938" s="12" t="s">
        <v>7067</v>
      </c>
      <c r="C1938" s="157">
        <v>91</v>
      </c>
      <c r="D1938" s="59" t="s">
        <v>4081</v>
      </c>
      <c r="E1938" s="93" t="s">
        <v>741</v>
      </c>
      <c r="F1938" s="93"/>
      <c r="G1938" s="58" t="s">
        <v>2074</v>
      </c>
      <c r="H1938" s="59">
        <v>2006</v>
      </c>
      <c r="I1938" s="58">
        <v>1999</v>
      </c>
      <c r="J1938" s="59" t="s">
        <v>916</v>
      </c>
      <c r="K1938" s="59" t="s">
        <v>1990</v>
      </c>
      <c r="L1938" s="59" t="s">
        <v>2737</v>
      </c>
      <c r="M1938" s="94">
        <v>32.56</v>
      </c>
      <c r="N1938" s="94">
        <v>-83.91</v>
      </c>
      <c r="O1938" s="93">
        <v>16</v>
      </c>
      <c r="P1938" s="59">
        <v>18.100000000000001</v>
      </c>
      <c r="Q1938" s="58"/>
      <c r="R1938" s="59">
        <v>1258</v>
      </c>
      <c r="S1938" s="94"/>
      <c r="T1938" s="58"/>
      <c r="U1938" s="59">
        <v>6</v>
      </c>
      <c r="V1938" s="58" t="s">
        <v>1933</v>
      </c>
      <c r="Y1938" s="58" t="s">
        <v>2059</v>
      </c>
      <c r="Z1938" s="58" t="s">
        <v>1369</v>
      </c>
      <c r="AA1938" s="94">
        <v>30</v>
      </c>
      <c r="AD1938" s="94">
        <f>AVERAGE(Sheet1!CH1938:CI1938)</f>
        <v>1.43</v>
      </c>
      <c r="AE1938" s="93">
        <v>65</v>
      </c>
      <c r="AF1938" s="93">
        <v>25</v>
      </c>
      <c r="AG1938" s="93"/>
      <c r="AH1938" s="58" t="s">
        <v>238</v>
      </c>
      <c r="AI1938" s="169"/>
      <c r="AJ1938" s="94"/>
      <c r="AK1938" s="94"/>
      <c r="AL1938" s="58"/>
      <c r="AM1938" s="59" t="s">
        <v>1987</v>
      </c>
      <c r="AN1938" s="188" t="s">
        <v>131</v>
      </c>
      <c r="AO1938" s="185" t="s">
        <v>5150</v>
      </c>
      <c r="AP1938" s="59"/>
      <c r="AQ1938" s="58" t="s">
        <v>131</v>
      </c>
      <c r="AR1938" s="59" t="s">
        <v>1985</v>
      </c>
      <c r="AS1938" s="55" t="s">
        <v>5133</v>
      </c>
      <c r="AT1938" s="182"/>
      <c r="AU1938" s="181" t="s">
        <v>7494</v>
      </c>
      <c r="AV1938" s="185" t="s">
        <v>176</v>
      </c>
      <c r="AW1938" s="58"/>
      <c r="AX1938" s="185" t="s">
        <v>176</v>
      </c>
      <c r="AY1938" s="58"/>
      <c r="AZ1938" s="59" t="s">
        <v>745</v>
      </c>
      <c r="BA1938" s="59" t="s">
        <v>745</v>
      </c>
      <c r="BB1938" s="59" t="s">
        <v>2081</v>
      </c>
      <c r="BC1938" s="59" t="s">
        <v>2081</v>
      </c>
      <c r="BD1938" s="55" t="s">
        <v>2071</v>
      </c>
      <c r="BE1938" s="236" t="s">
        <v>1984</v>
      </c>
      <c r="BF1938" s="58"/>
      <c r="BG1938" s="191" t="s">
        <v>479</v>
      </c>
      <c r="BH1938" s="236"/>
      <c r="BI1938" s="58"/>
      <c r="BJ1938" s="152" t="s">
        <v>1983</v>
      </c>
      <c r="BK1938" s="58" t="s">
        <v>5976</v>
      </c>
      <c r="BL1938" s="58"/>
      <c r="BM1938" s="237" t="s">
        <v>160</v>
      </c>
      <c r="BN1938" s="59">
        <v>4</v>
      </c>
      <c r="BO1938" s="59">
        <v>4</v>
      </c>
      <c r="BP1938" s="59">
        <v>4</v>
      </c>
      <c r="BQ1938" s="58" t="s">
        <v>141</v>
      </c>
      <c r="BR1938" s="58"/>
      <c r="BS1938" s="58"/>
      <c r="BT1938" s="58"/>
      <c r="BU1938" s="58"/>
      <c r="BV1938" s="58"/>
      <c r="CB1938" s="153"/>
      <c r="CC1938" s="153"/>
      <c r="CD1938" s="153"/>
      <c r="CE1938" s="67"/>
      <c r="CH1938" s="93">
        <f>CI1938+0.02</f>
        <v>1.44</v>
      </c>
      <c r="CI1938" s="93">
        <v>1.42</v>
      </c>
      <c r="CM1938" s="67">
        <v>0.21759259259259262</v>
      </c>
      <c r="CN1938" s="67">
        <v>0.23842592592592596</v>
      </c>
      <c r="CR1938" s="65">
        <v>9.4</v>
      </c>
      <c r="CS1938" s="65">
        <v>10.156944444444445</v>
      </c>
      <c r="CT1938" s="65">
        <v>3.4</v>
      </c>
      <c r="CU1938" s="65">
        <v>3.4</v>
      </c>
      <c r="CV1938" s="65" t="s">
        <v>962</v>
      </c>
      <c r="DA1938" s="65" t="s">
        <v>4458</v>
      </c>
      <c r="GP1938" s="292" t="s">
        <v>7494</v>
      </c>
      <c r="JU1938" s="59" t="s">
        <v>2040</v>
      </c>
      <c r="JV1938" s="58"/>
    </row>
    <row r="1939" spans="1:282" x14ac:dyDescent="0.25">
      <c r="A1939" s="55">
        <v>1938</v>
      </c>
      <c r="B1939" s="12" t="s">
        <v>7067</v>
      </c>
      <c r="C1939" s="157">
        <v>91</v>
      </c>
      <c r="D1939" s="59" t="s">
        <v>4082</v>
      </c>
      <c r="E1939" s="93" t="s">
        <v>741</v>
      </c>
      <c r="F1939" s="93"/>
      <c r="G1939" s="58" t="s">
        <v>2074</v>
      </c>
      <c r="H1939" s="59">
        <v>2006</v>
      </c>
      <c r="I1939" s="58">
        <v>1999</v>
      </c>
      <c r="J1939" s="59" t="s">
        <v>916</v>
      </c>
      <c r="K1939" s="59" t="s">
        <v>1990</v>
      </c>
      <c r="L1939" s="59" t="s">
        <v>2737</v>
      </c>
      <c r="M1939" s="94">
        <v>32.56</v>
      </c>
      <c r="N1939" s="94">
        <v>-83.91</v>
      </c>
      <c r="O1939" s="93">
        <v>16</v>
      </c>
      <c r="P1939" s="59">
        <v>18.100000000000001</v>
      </c>
      <c r="Q1939" s="58"/>
      <c r="R1939" s="59">
        <v>1258</v>
      </c>
      <c r="S1939" s="94"/>
      <c r="T1939" s="58"/>
      <c r="U1939" s="59">
        <v>6</v>
      </c>
      <c r="V1939" s="58" t="s">
        <v>1933</v>
      </c>
      <c r="Y1939" s="58" t="s">
        <v>2059</v>
      </c>
      <c r="Z1939" s="58" t="s">
        <v>1370</v>
      </c>
      <c r="AA1939" s="94">
        <v>30</v>
      </c>
      <c r="AD1939" s="94">
        <f>AVERAGE(Sheet1!CH1939:CI1939)</f>
        <v>1.6160000000000001</v>
      </c>
      <c r="AE1939" s="93">
        <v>65</v>
      </c>
      <c r="AF1939" s="93">
        <v>25</v>
      </c>
      <c r="AG1939" s="93"/>
      <c r="AH1939" s="58" t="s">
        <v>238</v>
      </c>
      <c r="AI1939" s="169"/>
      <c r="AJ1939" s="94"/>
      <c r="AK1939" s="94"/>
      <c r="AL1939" s="58"/>
      <c r="AM1939" s="59" t="s">
        <v>1987</v>
      </c>
      <c r="AN1939" s="188" t="s">
        <v>131</v>
      </c>
      <c r="AO1939" s="185" t="s">
        <v>5150</v>
      </c>
      <c r="AP1939" s="59"/>
      <c r="AQ1939" s="58" t="s">
        <v>131</v>
      </c>
      <c r="AR1939" s="59" t="s">
        <v>1985</v>
      </c>
      <c r="AS1939" s="55" t="s">
        <v>5133</v>
      </c>
      <c r="AT1939" s="182"/>
      <c r="AU1939" s="181" t="s">
        <v>7494</v>
      </c>
      <c r="AV1939" s="185" t="s">
        <v>176</v>
      </c>
      <c r="AW1939" s="58"/>
      <c r="AX1939" s="185" t="s">
        <v>176</v>
      </c>
      <c r="AY1939" s="58"/>
      <c r="AZ1939" s="59" t="s">
        <v>745</v>
      </c>
      <c r="BA1939" s="59" t="s">
        <v>745</v>
      </c>
      <c r="BB1939" s="59" t="s">
        <v>2081</v>
      </c>
      <c r="BC1939" s="59" t="s">
        <v>2081</v>
      </c>
      <c r="BD1939" s="55" t="s">
        <v>176</v>
      </c>
      <c r="BE1939" s="236" t="s">
        <v>1984</v>
      </c>
      <c r="BF1939" s="58"/>
      <c r="BG1939" s="191" t="s">
        <v>479</v>
      </c>
      <c r="BH1939" s="236"/>
      <c r="BI1939" s="58"/>
      <c r="BJ1939" s="152" t="s">
        <v>1983</v>
      </c>
      <c r="BK1939" s="58" t="s">
        <v>5976</v>
      </c>
      <c r="BL1939" s="58"/>
      <c r="BM1939" s="237" t="s">
        <v>160</v>
      </c>
      <c r="BN1939" s="59">
        <v>4</v>
      </c>
      <c r="BO1939" s="59">
        <v>4</v>
      </c>
      <c r="BP1939" s="59">
        <v>4</v>
      </c>
      <c r="BQ1939" s="58" t="s">
        <v>141</v>
      </c>
      <c r="BR1939" s="58"/>
      <c r="BS1939" s="58"/>
      <c r="BT1939" s="58"/>
      <c r="BU1939" s="58"/>
      <c r="BV1939" s="58"/>
      <c r="CB1939" s="153"/>
      <c r="CC1939" s="153"/>
      <c r="CD1939" s="153"/>
      <c r="CE1939" s="67"/>
      <c r="CH1939" s="93">
        <f>CI1939+0.02</f>
        <v>1.6260000000000001</v>
      </c>
      <c r="CI1939" s="93">
        <v>1.6060000000000001</v>
      </c>
      <c r="CM1939" s="67">
        <v>0.17015170151701514</v>
      </c>
      <c r="CN1939" s="67">
        <v>0.1312013120131201</v>
      </c>
      <c r="CR1939" s="65">
        <v>8.2999999999999989</v>
      </c>
      <c r="CS1939" s="65">
        <v>6.3212792127921276</v>
      </c>
      <c r="CT1939" s="65">
        <v>3.4</v>
      </c>
      <c r="CU1939" s="65">
        <v>3.4</v>
      </c>
      <c r="CV1939" s="65" t="s">
        <v>962</v>
      </c>
      <c r="DA1939" s="65" t="s">
        <v>4458</v>
      </c>
      <c r="GP1939" s="292" t="s">
        <v>7494</v>
      </c>
      <c r="JU1939" s="59" t="s">
        <v>2040</v>
      </c>
      <c r="JV1939" s="58"/>
    </row>
    <row r="1940" spans="1:282" x14ac:dyDescent="0.25">
      <c r="A1940" s="55">
        <v>1939</v>
      </c>
      <c r="B1940" s="12" t="s">
        <v>7067</v>
      </c>
      <c r="C1940" s="157">
        <v>91</v>
      </c>
      <c r="D1940" s="59" t="s">
        <v>4083</v>
      </c>
      <c r="E1940" s="93" t="s">
        <v>741</v>
      </c>
      <c r="F1940" s="93"/>
      <c r="G1940" s="58" t="s">
        <v>2074</v>
      </c>
      <c r="H1940" s="59">
        <v>2006</v>
      </c>
      <c r="I1940" s="58">
        <v>1999</v>
      </c>
      <c r="J1940" s="59" t="s">
        <v>916</v>
      </c>
      <c r="K1940" s="59" t="s">
        <v>1990</v>
      </c>
      <c r="L1940" s="59" t="s">
        <v>2737</v>
      </c>
      <c r="M1940" s="94">
        <v>32.56</v>
      </c>
      <c r="N1940" s="94">
        <v>-83.91</v>
      </c>
      <c r="O1940" s="93">
        <v>16</v>
      </c>
      <c r="P1940" s="59">
        <v>18.100000000000001</v>
      </c>
      <c r="Q1940" s="58"/>
      <c r="R1940" s="59">
        <v>1258</v>
      </c>
      <c r="S1940" s="94"/>
      <c r="T1940" s="58"/>
      <c r="U1940" s="59">
        <v>6</v>
      </c>
      <c r="V1940" s="58" t="s">
        <v>1933</v>
      </c>
      <c r="Y1940" s="58" t="s">
        <v>2059</v>
      </c>
      <c r="Z1940" s="58" t="s">
        <v>1382</v>
      </c>
      <c r="AA1940" s="94">
        <v>30</v>
      </c>
      <c r="AD1940" s="94">
        <f>AVERAGE(Sheet1!CH1940:CI1940)</f>
        <v>1.605</v>
      </c>
      <c r="AE1940" s="93">
        <v>65</v>
      </c>
      <c r="AF1940" s="93">
        <v>25</v>
      </c>
      <c r="AG1940" s="93"/>
      <c r="AH1940" s="58" t="s">
        <v>238</v>
      </c>
      <c r="AI1940" s="169"/>
      <c r="AJ1940" s="94"/>
      <c r="AK1940" s="94"/>
      <c r="AL1940" s="58"/>
      <c r="AM1940" s="59" t="s">
        <v>1987</v>
      </c>
      <c r="AN1940" s="188" t="s">
        <v>131</v>
      </c>
      <c r="AO1940" s="185" t="s">
        <v>5150</v>
      </c>
      <c r="AP1940" s="59"/>
      <c r="AQ1940" s="58" t="s">
        <v>131</v>
      </c>
      <c r="AR1940" s="59" t="s">
        <v>1985</v>
      </c>
      <c r="AS1940" s="55" t="s">
        <v>5133</v>
      </c>
      <c r="AT1940" s="182"/>
      <c r="AU1940" s="181" t="s">
        <v>7494</v>
      </c>
      <c r="AV1940" s="185" t="s">
        <v>176</v>
      </c>
      <c r="AW1940" s="58"/>
      <c r="AX1940" s="185" t="s">
        <v>176</v>
      </c>
      <c r="AY1940" s="58"/>
      <c r="AZ1940" s="59" t="s">
        <v>745</v>
      </c>
      <c r="BA1940" s="59" t="s">
        <v>745</v>
      </c>
      <c r="BB1940" s="59" t="s">
        <v>2081</v>
      </c>
      <c r="BC1940" s="59" t="s">
        <v>2081</v>
      </c>
      <c r="BD1940" s="55" t="s">
        <v>2071</v>
      </c>
      <c r="BE1940" s="236" t="s">
        <v>1984</v>
      </c>
      <c r="BF1940" s="58"/>
      <c r="BG1940" s="191" t="s">
        <v>479</v>
      </c>
      <c r="BH1940" s="236"/>
      <c r="BI1940" s="58"/>
      <c r="BJ1940" s="152" t="s">
        <v>1983</v>
      </c>
      <c r="BK1940" s="58" t="s">
        <v>5976</v>
      </c>
      <c r="BL1940" s="58"/>
      <c r="BM1940" s="237" t="s">
        <v>160</v>
      </c>
      <c r="BN1940" s="59">
        <v>4</v>
      </c>
      <c r="BO1940" s="59">
        <v>4</v>
      </c>
      <c r="BP1940" s="59">
        <v>4</v>
      </c>
      <c r="BQ1940" s="58" t="s">
        <v>141</v>
      </c>
      <c r="BR1940" s="58"/>
      <c r="BS1940" s="58"/>
      <c r="BT1940" s="58"/>
      <c r="BU1940" s="58"/>
      <c r="BV1940" s="58"/>
      <c r="CB1940" s="153"/>
      <c r="CC1940" s="153"/>
      <c r="CD1940" s="153"/>
      <c r="CE1940" s="67"/>
      <c r="CH1940" s="93">
        <f>CI1940+0.02</f>
        <v>1.615</v>
      </c>
      <c r="CI1940" s="93">
        <v>1.595</v>
      </c>
      <c r="CM1940" s="67">
        <v>0.1155830753353973</v>
      </c>
      <c r="CN1940" s="67">
        <v>0.11145510835913314</v>
      </c>
      <c r="CR1940" s="65">
        <v>5.6</v>
      </c>
      <c r="CS1940" s="65">
        <v>5.3331269349845201</v>
      </c>
      <c r="CT1940" s="65">
        <v>2.2000000000000002</v>
      </c>
      <c r="CU1940" s="65">
        <v>2.2000000000000002</v>
      </c>
      <c r="CV1940" s="65" t="s">
        <v>962</v>
      </c>
      <c r="DA1940" s="65" t="s">
        <v>4458</v>
      </c>
      <c r="GP1940" s="292" t="s">
        <v>7494</v>
      </c>
      <c r="JU1940" s="59" t="s">
        <v>2040</v>
      </c>
      <c r="JV1940" s="58"/>
    </row>
    <row r="1941" spans="1:282" x14ac:dyDescent="0.25">
      <c r="A1941" s="55">
        <v>1940</v>
      </c>
      <c r="B1941" s="12" t="s">
        <v>7067</v>
      </c>
      <c r="C1941" s="157">
        <v>91</v>
      </c>
      <c r="D1941" s="59" t="s">
        <v>4084</v>
      </c>
      <c r="E1941" s="93" t="s">
        <v>741</v>
      </c>
      <c r="F1941" s="93"/>
      <c r="G1941" s="58" t="s">
        <v>2074</v>
      </c>
      <c r="H1941" s="59">
        <v>2006</v>
      </c>
      <c r="I1941" s="58">
        <v>1999</v>
      </c>
      <c r="J1941" s="59" t="s">
        <v>916</v>
      </c>
      <c r="K1941" s="59" t="s">
        <v>1990</v>
      </c>
      <c r="L1941" s="59" t="s">
        <v>2737</v>
      </c>
      <c r="M1941" s="94">
        <v>32.56</v>
      </c>
      <c r="N1941" s="94">
        <v>-83.91</v>
      </c>
      <c r="O1941" s="93">
        <v>16</v>
      </c>
      <c r="P1941" s="59">
        <v>18.100000000000001</v>
      </c>
      <c r="Q1941" s="58"/>
      <c r="R1941" s="59">
        <v>1258</v>
      </c>
      <c r="S1941" s="94"/>
      <c r="T1941" s="58"/>
      <c r="U1941" s="59">
        <v>6</v>
      </c>
      <c r="V1941" s="58" t="s">
        <v>1933</v>
      </c>
      <c r="Y1941" s="58" t="s">
        <v>2059</v>
      </c>
      <c r="Z1941" s="58" t="s">
        <v>1355</v>
      </c>
      <c r="AA1941" s="94">
        <v>10</v>
      </c>
      <c r="AD1941" s="94">
        <f>AVERAGE(Sheet1!CH1941:CI1941)</f>
        <v>1.526</v>
      </c>
      <c r="AE1941" s="93">
        <v>65</v>
      </c>
      <c r="AF1941" s="93">
        <v>25</v>
      </c>
      <c r="AG1941" s="93"/>
      <c r="AH1941" s="58" t="s">
        <v>238</v>
      </c>
      <c r="AI1941" s="169"/>
      <c r="AJ1941" s="94"/>
      <c r="AK1941" s="94"/>
      <c r="AL1941" s="58"/>
      <c r="AM1941" s="59" t="s">
        <v>1987</v>
      </c>
      <c r="AN1941" s="188" t="s">
        <v>241</v>
      </c>
      <c r="AO1941" s="185" t="s">
        <v>5150</v>
      </c>
      <c r="AP1941" s="59"/>
      <c r="AQ1941" s="58" t="s">
        <v>553</v>
      </c>
      <c r="AR1941" s="59" t="s">
        <v>1985</v>
      </c>
      <c r="AS1941" s="55" t="s">
        <v>5133</v>
      </c>
      <c r="AT1941" s="182"/>
      <c r="AU1941" s="181" t="s">
        <v>7494</v>
      </c>
      <c r="AV1941" s="185" t="s">
        <v>176</v>
      </c>
      <c r="AW1941" s="58"/>
      <c r="AX1941" s="185" t="s">
        <v>176</v>
      </c>
      <c r="AY1941" s="58"/>
      <c r="AZ1941" s="59" t="s">
        <v>745</v>
      </c>
      <c r="BA1941" s="59" t="s">
        <v>745</v>
      </c>
      <c r="BB1941" s="59" t="s">
        <v>2081</v>
      </c>
      <c r="BC1941" s="59" t="s">
        <v>2081</v>
      </c>
      <c r="BD1941" s="55" t="s">
        <v>176</v>
      </c>
      <c r="BE1941" s="236" t="s">
        <v>161</v>
      </c>
      <c r="BF1941" s="58"/>
      <c r="BG1941" s="191" t="s">
        <v>176</v>
      </c>
      <c r="BH1941" s="236"/>
      <c r="BI1941" s="58"/>
      <c r="BJ1941" s="152" t="s">
        <v>1983</v>
      </c>
      <c r="BK1941" s="58" t="s">
        <v>5976</v>
      </c>
      <c r="BL1941" s="58"/>
      <c r="BM1941" s="237" t="s">
        <v>160</v>
      </c>
      <c r="BN1941" s="59">
        <v>4</v>
      </c>
      <c r="BO1941" s="59">
        <v>4</v>
      </c>
      <c r="BP1941" s="59">
        <v>4</v>
      </c>
      <c r="BQ1941" s="58" t="s">
        <v>141</v>
      </c>
      <c r="BR1941" s="58"/>
      <c r="BS1941" s="58"/>
      <c r="BT1941" s="58"/>
      <c r="BU1941" s="58"/>
      <c r="BV1941" s="58"/>
      <c r="CB1941" s="153"/>
      <c r="CC1941" s="153"/>
      <c r="CD1941" s="153"/>
      <c r="CE1941" s="67"/>
      <c r="CH1941" s="93">
        <f>CI1941+0.02</f>
        <v>1.536</v>
      </c>
      <c r="CI1941" s="93">
        <v>1.516</v>
      </c>
      <c r="CM1941" s="67">
        <v>0.63151041666666663</v>
      </c>
      <c r="CN1941" s="67">
        <v>0.65104166666666674</v>
      </c>
      <c r="CR1941" s="65">
        <v>9.6999999999999993</v>
      </c>
      <c r="CS1941" s="65">
        <v>9.8697916666666679</v>
      </c>
      <c r="CT1941" s="65">
        <v>1</v>
      </c>
      <c r="CU1941" s="65">
        <v>1</v>
      </c>
      <c r="CV1941" s="65" t="s">
        <v>962</v>
      </c>
      <c r="DA1941" s="65" t="s">
        <v>4458</v>
      </c>
      <c r="GP1941" s="292" t="s">
        <v>7494</v>
      </c>
      <c r="JU1941" s="59" t="s">
        <v>2040</v>
      </c>
      <c r="JV1941" s="58"/>
    </row>
    <row r="1942" spans="1:282" x14ac:dyDescent="0.25">
      <c r="A1942" s="55">
        <v>1941</v>
      </c>
      <c r="B1942" s="12" t="s">
        <v>7067</v>
      </c>
      <c r="C1942" s="157">
        <v>91</v>
      </c>
      <c r="D1942" s="59" t="s">
        <v>4085</v>
      </c>
      <c r="E1942" s="93" t="s">
        <v>741</v>
      </c>
      <c r="F1942" s="93"/>
      <c r="G1942" s="58" t="s">
        <v>2074</v>
      </c>
      <c r="H1942" s="59">
        <v>2006</v>
      </c>
      <c r="I1942" s="58">
        <v>1999</v>
      </c>
      <c r="J1942" s="59" t="s">
        <v>916</v>
      </c>
      <c r="K1942" s="59" t="s">
        <v>1990</v>
      </c>
      <c r="L1942" s="59" t="s">
        <v>2737</v>
      </c>
      <c r="M1942" s="94">
        <v>32.56</v>
      </c>
      <c r="N1942" s="94">
        <v>-83.91</v>
      </c>
      <c r="O1942" s="93">
        <v>16</v>
      </c>
      <c r="P1942" s="59">
        <v>18.100000000000001</v>
      </c>
      <c r="Q1942" s="58"/>
      <c r="R1942" s="59">
        <v>1258</v>
      </c>
      <c r="S1942" s="94"/>
      <c r="T1942" s="58"/>
      <c r="U1942" s="59">
        <v>6</v>
      </c>
      <c r="V1942" s="58" t="s">
        <v>1933</v>
      </c>
      <c r="Y1942" s="58" t="s">
        <v>2059</v>
      </c>
      <c r="Z1942" s="58" t="s">
        <v>1375</v>
      </c>
      <c r="AA1942" s="94">
        <v>20</v>
      </c>
      <c r="AD1942" s="94">
        <f>AVERAGE(Sheet1!CH1942:CI1942)</f>
        <v>1.5189999999999999</v>
      </c>
      <c r="AE1942" s="93">
        <v>65</v>
      </c>
      <c r="AF1942" s="93">
        <v>25</v>
      </c>
      <c r="AG1942" s="93"/>
      <c r="AH1942" s="58" t="s">
        <v>238</v>
      </c>
      <c r="AI1942" s="169"/>
      <c r="AJ1942" s="94"/>
      <c r="AK1942" s="94"/>
      <c r="AL1942" s="58"/>
      <c r="AM1942" s="59" t="s">
        <v>1987</v>
      </c>
      <c r="AN1942" s="188" t="s">
        <v>241</v>
      </c>
      <c r="AO1942" s="185" t="s">
        <v>5150</v>
      </c>
      <c r="AP1942" s="59"/>
      <c r="AQ1942" s="58" t="s">
        <v>553</v>
      </c>
      <c r="AR1942" s="59" t="s">
        <v>1985</v>
      </c>
      <c r="AS1942" s="55" t="s">
        <v>5133</v>
      </c>
      <c r="AT1942" s="182"/>
      <c r="AU1942" s="181" t="s">
        <v>7494</v>
      </c>
      <c r="AV1942" s="185" t="s">
        <v>176</v>
      </c>
      <c r="AW1942" s="58"/>
      <c r="AX1942" s="185" t="s">
        <v>176</v>
      </c>
      <c r="AY1942" s="58"/>
      <c r="AZ1942" s="59" t="s">
        <v>745</v>
      </c>
      <c r="BA1942" s="59" t="s">
        <v>745</v>
      </c>
      <c r="BB1942" s="59" t="s">
        <v>2081</v>
      </c>
      <c r="BC1942" s="59" t="s">
        <v>2081</v>
      </c>
      <c r="BD1942" s="55" t="s">
        <v>2071</v>
      </c>
      <c r="BE1942" s="236" t="s">
        <v>161</v>
      </c>
      <c r="BF1942" s="58"/>
      <c r="BG1942" s="191" t="s">
        <v>176</v>
      </c>
      <c r="BH1942" s="236"/>
      <c r="BI1942" s="58"/>
      <c r="BJ1942" s="152" t="s">
        <v>1983</v>
      </c>
      <c r="BK1942" s="58" t="s">
        <v>5976</v>
      </c>
      <c r="BL1942" s="58"/>
      <c r="BM1942" s="237" t="s">
        <v>160</v>
      </c>
      <c r="BN1942" s="59">
        <v>4</v>
      </c>
      <c r="BO1942" s="59">
        <v>4</v>
      </c>
      <c r="BP1942" s="59">
        <v>4</v>
      </c>
      <c r="BQ1942" s="58" t="s">
        <v>141</v>
      </c>
      <c r="BR1942" s="58"/>
      <c r="BS1942" s="58"/>
      <c r="BT1942" s="58"/>
      <c r="BU1942" s="58"/>
      <c r="BV1942" s="58"/>
      <c r="CB1942" s="153"/>
      <c r="CC1942" s="153"/>
      <c r="CD1942" s="153"/>
      <c r="CE1942" s="67"/>
      <c r="CH1942" s="93">
        <f>CI1942+0.02</f>
        <v>1.5289999999999999</v>
      </c>
      <c r="CI1942" s="93">
        <v>1.5089999999999999</v>
      </c>
      <c r="CM1942" s="67">
        <v>0.44800523217789401</v>
      </c>
      <c r="CN1942" s="67">
        <v>0.46762589928057557</v>
      </c>
      <c r="CR1942" s="65">
        <v>13.7</v>
      </c>
      <c r="CS1942" s="65">
        <v>14.11294964028777</v>
      </c>
      <c r="CT1942" s="65">
        <v>2.2999999999999998</v>
      </c>
      <c r="CU1942" s="65">
        <v>2.2999999999999998</v>
      </c>
      <c r="CV1942" s="65" t="s">
        <v>962</v>
      </c>
      <c r="DA1942" s="65" t="s">
        <v>4458</v>
      </c>
      <c r="GP1942" s="292" t="s">
        <v>7494</v>
      </c>
      <c r="JU1942" s="59" t="s">
        <v>2040</v>
      </c>
      <c r="JV1942" s="58"/>
    </row>
    <row r="1943" spans="1:282" x14ac:dyDescent="0.25">
      <c r="A1943" s="55">
        <v>1942</v>
      </c>
      <c r="B1943" s="12" t="s">
        <v>7067</v>
      </c>
      <c r="C1943" s="157">
        <v>91</v>
      </c>
      <c r="D1943" s="59" t="s">
        <v>4086</v>
      </c>
      <c r="E1943" s="93" t="s">
        <v>741</v>
      </c>
      <c r="F1943" s="93"/>
      <c r="G1943" s="58" t="s">
        <v>2074</v>
      </c>
      <c r="H1943" s="59">
        <v>2006</v>
      </c>
      <c r="I1943" s="58">
        <v>1999</v>
      </c>
      <c r="J1943" s="59" t="s">
        <v>916</v>
      </c>
      <c r="K1943" s="59" t="s">
        <v>1990</v>
      </c>
      <c r="L1943" s="59" t="s">
        <v>2737</v>
      </c>
      <c r="M1943" s="94">
        <v>32.56</v>
      </c>
      <c r="N1943" s="94">
        <v>-83.91</v>
      </c>
      <c r="O1943" s="93">
        <v>16</v>
      </c>
      <c r="P1943" s="59">
        <v>18.100000000000001</v>
      </c>
      <c r="Q1943" s="58"/>
      <c r="R1943" s="59">
        <v>1258</v>
      </c>
      <c r="S1943" s="94"/>
      <c r="T1943" s="58"/>
      <c r="U1943" s="59">
        <v>6</v>
      </c>
      <c r="V1943" s="58" t="s">
        <v>1933</v>
      </c>
      <c r="Y1943" s="58" t="s">
        <v>2059</v>
      </c>
      <c r="Z1943" s="58" t="s">
        <v>1369</v>
      </c>
      <c r="AA1943" s="94">
        <v>30</v>
      </c>
      <c r="AD1943" s="94">
        <f>AVERAGE(Sheet1!CH1943:CI1943)</f>
        <v>1.43</v>
      </c>
      <c r="AE1943" s="93">
        <v>65</v>
      </c>
      <c r="AF1943" s="93">
        <v>25</v>
      </c>
      <c r="AG1943" s="93"/>
      <c r="AH1943" s="58" t="s">
        <v>238</v>
      </c>
      <c r="AI1943" s="169"/>
      <c r="AJ1943" s="94"/>
      <c r="AK1943" s="94"/>
      <c r="AL1943" s="58"/>
      <c r="AM1943" s="59" t="s">
        <v>1987</v>
      </c>
      <c r="AN1943" s="188" t="s">
        <v>241</v>
      </c>
      <c r="AO1943" s="185" t="s">
        <v>5150</v>
      </c>
      <c r="AP1943" s="59"/>
      <c r="AQ1943" s="58" t="s">
        <v>553</v>
      </c>
      <c r="AR1943" s="59" t="s">
        <v>1985</v>
      </c>
      <c r="AS1943" s="55" t="s">
        <v>5133</v>
      </c>
      <c r="AT1943" s="182"/>
      <c r="AU1943" s="181" t="s">
        <v>7494</v>
      </c>
      <c r="AV1943" s="185" t="s">
        <v>176</v>
      </c>
      <c r="AW1943" s="58"/>
      <c r="AX1943" s="185" t="s">
        <v>176</v>
      </c>
      <c r="AY1943" s="58"/>
      <c r="AZ1943" s="59" t="s">
        <v>745</v>
      </c>
      <c r="BA1943" s="59" t="s">
        <v>745</v>
      </c>
      <c r="BB1943" s="59" t="s">
        <v>2081</v>
      </c>
      <c r="BC1943" s="59" t="s">
        <v>2081</v>
      </c>
      <c r="BD1943" s="55" t="s">
        <v>176</v>
      </c>
      <c r="BE1943" s="236" t="s">
        <v>161</v>
      </c>
      <c r="BF1943" s="58"/>
      <c r="BG1943" s="191" t="s">
        <v>176</v>
      </c>
      <c r="BH1943" s="236"/>
      <c r="BI1943" s="58"/>
      <c r="BJ1943" s="152" t="s">
        <v>1983</v>
      </c>
      <c r="BK1943" s="58" t="s">
        <v>5976</v>
      </c>
      <c r="BL1943" s="58"/>
      <c r="BM1943" s="237" t="s">
        <v>160</v>
      </c>
      <c r="BN1943" s="59">
        <v>4</v>
      </c>
      <c r="BO1943" s="59">
        <v>4</v>
      </c>
      <c r="BP1943" s="59">
        <v>4</v>
      </c>
      <c r="BQ1943" s="58" t="s">
        <v>141</v>
      </c>
      <c r="BR1943" s="58"/>
      <c r="BS1943" s="58"/>
      <c r="BT1943" s="58"/>
      <c r="BU1943" s="58"/>
      <c r="BV1943" s="58"/>
      <c r="CB1943" s="153"/>
      <c r="CC1943" s="153"/>
      <c r="CD1943" s="153"/>
      <c r="CE1943" s="67"/>
      <c r="CH1943" s="93">
        <f>CI1943+0.02</f>
        <v>1.44</v>
      </c>
      <c r="CI1943" s="93">
        <v>1.42</v>
      </c>
      <c r="CM1943" s="67">
        <v>0.22916666666666666</v>
      </c>
      <c r="CN1943" s="67">
        <v>0.22453703703703703</v>
      </c>
      <c r="CR1943" s="65">
        <v>9.9</v>
      </c>
      <c r="CS1943" s="65">
        <v>9.5652777777777764</v>
      </c>
      <c r="CT1943" s="65">
        <v>3.4</v>
      </c>
      <c r="CU1943" s="65">
        <v>3.4</v>
      </c>
      <c r="CV1943" s="65" t="s">
        <v>962</v>
      </c>
      <c r="DA1943" s="65" t="s">
        <v>4458</v>
      </c>
      <c r="GP1943" s="292" t="s">
        <v>7494</v>
      </c>
      <c r="JU1943" s="59" t="s">
        <v>2040</v>
      </c>
      <c r="JV1943" s="58"/>
    </row>
    <row r="1944" spans="1:282" x14ac:dyDescent="0.25">
      <c r="A1944" s="55">
        <v>1943</v>
      </c>
      <c r="B1944" s="12" t="s">
        <v>7067</v>
      </c>
      <c r="C1944" s="157">
        <v>91</v>
      </c>
      <c r="D1944" s="59" t="s">
        <v>4087</v>
      </c>
      <c r="E1944" s="93" t="s">
        <v>741</v>
      </c>
      <c r="F1944" s="93"/>
      <c r="G1944" s="58" t="s">
        <v>2074</v>
      </c>
      <c r="H1944" s="59">
        <v>2006</v>
      </c>
      <c r="I1944" s="58">
        <v>1999</v>
      </c>
      <c r="J1944" s="59" t="s">
        <v>916</v>
      </c>
      <c r="K1944" s="59" t="s">
        <v>1990</v>
      </c>
      <c r="L1944" s="59" t="s">
        <v>2737</v>
      </c>
      <c r="M1944" s="94">
        <v>32.56</v>
      </c>
      <c r="N1944" s="94">
        <v>-83.91</v>
      </c>
      <c r="O1944" s="93">
        <v>16</v>
      </c>
      <c r="P1944" s="59">
        <v>18.100000000000001</v>
      </c>
      <c r="Q1944" s="58"/>
      <c r="R1944" s="59">
        <v>1258</v>
      </c>
      <c r="S1944" s="94"/>
      <c r="T1944" s="58"/>
      <c r="U1944" s="59">
        <v>6</v>
      </c>
      <c r="V1944" s="58" t="s">
        <v>1933</v>
      </c>
      <c r="Y1944" s="58" t="s">
        <v>2059</v>
      </c>
      <c r="Z1944" s="58" t="s">
        <v>1370</v>
      </c>
      <c r="AA1944" s="94">
        <v>30</v>
      </c>
      <c r="AD1944" s="94">
        <f>AVERAGE(Sheet1!CH1944:CI1944)</f>
        <v>1.6160000000000001</v>
      </c>
      <c r="AE1944" s="93">
        <v>65</v>
      </c>
      <c r="AF1944" s="93">
        <v>25</v>
      </c>
      <c r="AG1944" s="93"/>
      <c r="AH1944" s="58" t="s">
        <v>238</v>
      </c>
      <c r="AI1944" s="169"/>
      <c r="AJ1944" s="94"/>
      <c r="AK1944" s="94"/>
      <c r="AL1944" s="58"/>
      <c r="AM1944" s="59" t="s">
        <v>1987</v>
      </c>
      <c r="AN1944" s="188" t="s">
        <v>241</v>
      </c>
      <c r="AO1944" s="185" t="s">
        <v>5150</v>
      </c>
      <c r="AP1944" s="59"/>
      <c r="AQ1944" s="58" t="s">
        <v>553</v>
      </c>
      <c r="AR1944" s="59" t="s">
        <v>1985</v>
      </c>
      <c r="AS1944" s="55" t="s">
        <v>5133</v>
      </c>
      <c r="AT1944" s="182"/>
      <c r="AU1944" s="181" t="s">
        <v>7494</v>
      </c>
      <c r="AV1944" s="185" t="s">
        <v>176</v>
      </c>
      <c r="AW1944" s="58"/>
      <c r="AX1944" s="185" t="s">
        <v>176</v>
      </c>
      <c r="AY1944" s="58"/>
      <c r="AZ1944" s="59" t="s">
        <v>745</v>
      </c>
      <c r="BA1944" s="59" t="s">
        <v>745</v>
      </c>
      <c r="BB1944" s="59" t="s">
        <v>2081</v>
      </c>
      <c r="BC1944" s="59" t="s">
        <v>2081</v>
      </c>
      <c r="BD1944" s="55" t="s">
        <v>2071</v>
      </c>
      <c r="BE1944" s="236" t="s">
        <v>161</v>
      </c>
      <c r="BF1944" s="58"/>
      <c r="BG1944" s="191" t="s">
        <v>176</v>
      </c>
      <c r="BH1944" s="236"/>
      <c r="BI1944" s="58"/>
      <c r="BJ1944" s="152" t="s">
        <v>1983</v>
      </c>
      <c r="BK1944" s="58" t="s">
        <v>5976</v>
      </c>
      <c r="BL1944" s="58"/>
      <c r="BM1944" s="237" t="s">
        <v>160</v>
      </c>
      <c r="BN1944" s="59">
        <v>4</v>
      </c>
      <c r="BO1944" s="59">
        <v>4</v>
      </c>
      <c r="BP1944" s="59">
        <v>4</v>
      </c>
      <c r="BQ1944" s="58" t="s">
        <v>141</v>
      </c>
      <c r="BR1944" s="58"/>
      <c r="BS1944" s="58"/>
      <c r="BT1944" s="58"/>
      <c r="BU1944" s="58"/>
      <c r="BV1944" s="58"/>
      <c r="CB1944" s="153"/>
      <c r="CC1944" s="153"/>
      <c r="CD1944" s="153"/>
      <c r="CE1944" s="67"/>
      <c r="CH1944" s="93">
        <f>CI1944+0.02</f>
        <v>1.6260000000000001</v>
      </c>
      <c r="CI1944" s="93">
        <v>1.6060000000000001</v>
      </c>
      <c r="CM1944" s="67">
        <v>0.14145141451414511</v>
      </c>
      <c r="CN1944" s="67">
        <v>0.1332513325133251</v>
      </c>
      <c r="CR1944" s="65">
        <v>6.8999999999999995</v>
      </c>
      <c r="CS1944" s="65">
        <v>6.4200492004920031</v>
      </c>
      <c r="CT1944" s="65">
        <v>3.4</v>
      </c>
      <c r="CU1944" s="65">
        <v>3.4</v>
      </c>
      <c r="CV1944" s="65" t="s">
        <v>962</v>
      </c>
      <c r="DA1944" s="65" t="s">
        <v>4458</v>
      </c>
      <c r="GP1944" s="292" t="s">
        <v>7494</v>
      </c>
      <c r="JU1944" s="59" t="s">
        <v>2040</v>
      </c>
      <c r="JV1944" s="58"/>
    </row>
    <row r="1945" spans="1:282" x14ac:dyDescent="0.25">
      <c r="A1945" s="55">
        <v>1944</v>
      </c>
      <c r="B1945" s="12" t="s">
        <v>7067</v>
      </c>
      <c r="C1945" s="157">
        <v>91</v>
      </c>
      <c r="D1945" s="59" t="s">
        <v>4088</v>
      </c>
      <c r="E1945" s="93" t="s">
        <v>741</v>
      </c>
      <c r="F1945" s="93"/>
      <c r="G1945" s="58" t="s">
        <v>2074</v>
      </c>
      <c r="H1945" s="59">
        <v>2006</v>
      </c>
      <c r="I1945" s="58">
        <v>1999</v>
      </c>
      <c r="J1945" s="59" t="s">
        <v>916</v>
      </c>
      <c r="K1945" s="59" t="s">
        <v>1990</v>
      </c>
      <c r="L1945" s="59" t="s">
        <v>2737</v>
      </c>
      <c r="M1945" s="94">
        <v>32.56</v>
      </c>
      <c r="N1945" s="94">
        <v>-83.91</v>
      </c>
      <c r="O1945" s="93">
        <v>16</v>
      </c>
      <c r="P1945" s="59">
        <v>18.100000000000001</v>
      </c>
      <c r="Q1945" s="58"/>
      <c r="R1945" s="59">
        <v>1258</v>
      </c>
      <c r="S1945" s="94"/>
      <c r="T1945" s="58"/>
      <c r="U1945" s="59">
        <v>6</v>
      </c>
      <c r="V1945" s="58" t="s">
        <v>1933</v>
      </c>
      <c r="Y1945" s="58" t="s">
        <v>2059</v>
      </c>
      <c r="Z1945" s="58" t="s">
        <v>1382</v>
      </c>
      <c r="AA1945" s="94">
        <v>30</v>
      </c>
      <c r="AD1945" s="94">
        <f>AVERAGE(Sheet1!CH1945:CI1945)</f>
        <v>1.605</v>
      </c>
      <c r="AE1945" s="93">
        <v>65</v>
      </c>
      <c r="AF1945" s="93">
        <v>25</v>
      </c>
      <c r="AG1945" s="93"/>
      <c r="AH1945" s="58" t="s">
        <v>238</v>
      </c>
      <c r="AI1945" s="169"/>
      <c r="AJ1945" s="94"/>
      <c r="AK1945" s="94"/>
      <c r="AL1945" s="58"/>
      <c r="AM1945" s="59" t="s">
        <v>1987</v>
      </c>
      <c r="AN1945" s="188" t="s">
        <v>241</v>
      </c>
      <c r="AO1945" s="185" t="s">
        <v>5150</v>
      </c>
      <c r="AP1945" s="59"/>
      <c r="AQ1945" s="58" t="s">
        <v>553</v>
      </c>
      <c r="AR1945" s="59" t="s">
        <v>1985</v>
      </c>
      <c r="AS1945" s="55" t="s">
        <v>5133</v>
      </c>
      <c r="AT1945" s="182"/>
      <c r="AU1945" s="181" t="s">
        <v>7494</v>
      </c>
      <c r="AV1945" s="185" t="s">
        <v>176</v>
      </c>
      <c r="AW1945" s="58"/>
      <c r="AX1945" s="185" t="s">
        <v>176</v>
      </c>
      <c r="AY1945" s="58"/>
      <c r="AZ1945" s="59" t="s">
        <v>745</v>
      </c>
      <c r="BA1945" s="59" t="s">
        <v>745</v>
      </c>
      <c r="BB1945" s="59" t="s">
        <v>2081</v>
      </c>
      <c r="BC1945" s="59" t="s">
        <v>2081</v>
      </c>
      <c r="BD1945" s="55" t="s">
        <v>176</v>
      </c>
      <c r="BE1945" s="236" t="s">
        <v>161</v>
      </c>
      <c r="BF1945" s="58"/>
      <c r="BG1945" s="191" t="s">
        <v>176</v>
      </c>
      <c r="BH1945" s="236"/>
      <c r="BI1945" s="58"/>
      <c r="BJ1945" s="152" t="s">
        <v>1983</v>
      </c>
      <c r="BK1945" s="58" t="s">
        <v>5976</v>
      </c>
      <c r="BL1945" s="58"/>
      <c r="BM1945" s="237" t="s">
        <v>160</v>
      </c>
      <c r="BN1945" s="59">
        <v>4</v>
      </c>
      <c r="BO1945" s="59">
        <v>4</v>
      </c>
      <c r="BP1945" s="59">
        <v>4</v>
      </c>
      <c r="BQ1945" s="58" t="s">
        <v>141</v>
      </c>
      <c r="BR1945" s="58"/>
      <c r="BS1945" s="58"/>
      <c r="BT1945" s="58"/>
      <c r="BU1945" s="58"/>
      <c r="BV1945" s="58"/>
      <c r="CB1945" s="153"/>
      <c r="CC1945" s="153"/>
      <c r="CD1945" s="153"/>
      <c r="CE1945" s="67"/>
      <c r="CH1945" s="93">
        <f>CI1945+0.02</f>
        <v>1.615</v>
      </c>
      <c r="CI1945" s="93">
        <v>1.595</v>
      </c>
      <c r="CM1945" s="67">
        <v>0.12590299277605779</v>
      </c>
      <c r="CN1945" s="67">
        <v>0.11971104231166151</v>
      </c>
      <c r="CR1945" s="65">
        <v>6.1</v>
      </c>
      <c r="CS1945" s="65">
        <v>5.7281733746130028</v>
      </c>
      <c r="CT1945" s="65">
        <v>2.2000000000000002</v>
      </c>
      <c r="CU1945" s="65">
        <v>2.2000000000000002</v>
      </c>
      <c r="CV1945" s="65" t="s">
        <v>962</v>
      </c>
      <c r="DA1945" s="65" t="s">
        <v>4458</v>
      </c>
      <c r="GP1945" s="292" t="s">
        <v>7494</v>
      </c>
      <c r="JU1945" s="59" t="s">
        <v>2040</v>
      </c>
      <c r="JV1945" s="58"/>
    </row>
    <row r="1946" spans="1:282" x14ac:dyDescent="0.25">
      <c r="A1946" s="55">
        <v>1945</v>
      </c>
      <c r="B1946" s="12" t="s">
        <v>7067</v>
      </c>
      <c r="C1946" s="157">
        <v>91</v>
      </c>
      <c r="D1946" s="59" t="s">
        <v>4089</v>
      </c>
      <c r="E1946" s="93" t="s">
        <v>741</v>
      </c>
      <c r="F1946" s="93"/>
      <c r="G1946" s="58" t="s">
        <v>2074</v>
      </c>
      <c r="H1946" s="59">
        <v>2006</v>
      </c>
      <c r="I1946" s="58">
        <v>1999</v>
      </c>
      <c r="J1946" s="59" t="s">
        <v>916</v>
      </c>
      <c r="K1946" s="59" t="s">
        <v>1990</v>
      </c>
      <c r="L1946" s="59" t="s">
        <v>2737</v>
      </c>
      <c r="M1946" s="94">
        <v>32.56</v>
      </c>
      <c r="N1946" s="94">
        <v>-83.91</v>
      </c>
      <c r="O1946" s="93">
        <v>16</v>
      </c>
      <c r="P1946" s="59">
        <v>18.100000000000001</v>
      </c>
      <c r="Q1946" s="58"/>
      <c r="R1946" s="59">
        <v>1258</v>
      </c>
      <c r="S1946" s="94"/>
      <c r="T1946" s="58"/>
      <c r="U1946" s="59">
        <v>6</v>
      </c>
      <c r="V1946" s="58" t="s">
        <v>1933</v>
      </c>
      <c r="Y1946" s="58" t="s">
        <v>2059</v>
      </c>
      <c r="Z1946" s="58" t="s">
        <v>1355</v>
      </c>
      <c r="AA1946" s="94">
        <v>10</v>
      </c>
      <c r="AD1946" s="94">
        <f>AVERAGE(Sheet1!CH1946:CI1946)</f>
        <v>1.526</v>
      </c>
      <c r="AE1946" s="93">
        <v>65</v>
      </c>
      <c r="AF1946" s="93">
        <v>25</v>
      </c>
      <c r="AG1946" s="93"/>
      <c r="AH1946" s="58" t="s">
        <v>238</v>
      </c>
      <c r="AI1946" s="169"/>
      <c r="AJ1946" s="94"/>
      <c r="AK1946" s="94"/>
      <c r="AL1946" s="58"/>
      <c r="AM1946" s="59" t="s">
        <v>1987</v>
      </c>
      <c r="AN1946" s="188" t="s">
        <v>241</v>
      </c>
      <c r="AO1946" s="185" t="s">
        <v>5150</v>
      </c>
      <c r="AP1946" s="59"/>
      <c r="AQ1946" s="58" t="s">
        <v>553</v>
      </c>
      <c r="AR1946" s="59" t="s">
        <v>1985</v>
      </c>
      <c r="AS1946" s="55" t="s">
        <v>5133</v>
      </c>
      <c r="AT1946" s="182"/>
      <c r="AU1946" s="181" t="s">
        <v>7494</v>
      </c>
      <c r="AV1946" s="185" t="s">
        <v>176</v>
      </c>
      <c r="AW1946" s="58"/>
      <c r="AX1946" s="185" t="s">
        <v>176</v>
      </c>
      <c r="AY1946" s="58"/>
      <c r="AZ1946" s="59" t="s">
        <v>745</v>
      </c>
      <c r="BA1946" s="59" t="s">
        <v>745</v>
      </c>
      <c r="BB1946" s="59" t="s">
        <v>2081</v>
      </c>
      <c r="BC1946" s="59" t="s">
        <v>2081</v>
      </c>
      <c r="BD1946" s="55" t="s">
        <v>2071</v>
      </c>
      <c r="BE1946" s="236" t="s">
        <v>1989</v>
      </c>
      <c r="BF1946" s="58"/>
      <c r="BG1946" s="191" t="s">
        <v>479</v>
      </c>
      <c r="BH1946" s="236"/>
      <c r="BI1946" s="58"/>
      <c r="BJ1946" s="152" t="s">
        <v>1983</v>
      </c>
      <c r="BK1946" s="58" t="s">
        <v>5976</v>
      </c>
      <c r="BL1946" s="58"/>
      <c r="BM1946" s="237" t="s">
        <v>160</v>
      </c>
      <c r="BN1946" s="59">
        <v>4</v>
      </c>
      <c r="BO1946" s="59">
        <v>4</v>
      </c>
      <c r="BP1946" s="59">
        <v>4</v>
      </c>
      <c r="BQ1946" s="58" t="s">
        <v>141</v>
      </c>
      <c r="BR1946" s="58"/>
      <c r="BS1946" s="58"/>
      <c r="BT1946" s="58"/>
      <c r="BU1946" s="58"/>
      <c r="BV1946" s="58"/>
      <c r="CB1946" s="153"/>
      <c r="CC1946" s="153"/>
      <c r="CD1946" s="153"/>
      <c r="CE1946" s="67"/>
      <c r="CH1946" s="93">
        <f>CI1946+0.02</f>
        <v>1.536</v>
      </c>
      <c r="CI1946" s="93">
        <v>1.516</v>
      </c>
      <c r="CM1946" s="67">
        <v>0.57291666666666674</v>
      </c>
      <c r="CN1946" s="67">
        <v>0.64453125</v>
      </c>
      <c r="CR1946" s="65">
        <v>8.8000000000000007</v>
      </c>
      <c r="CS1946" s="65">
        <v>9.7710937499999986</v>
      </c>
      <c r="CT1946" s="65">
        <v>1</v>
      </c>
      <c r="CU1946" s="65">
        <v>1</v>
      </c>
      <c r="CV1946" s="65" t="s">
        <v>962</v>
      </c>
      <c r="DA1946" s="65" t="s">
        <v>4458</v>
      </c>
      <c r="GP1946" s="292" t="s">
        <v>7494</v>
      </c>
      <c r="JU1946" s="59" t="s">
        <v>2040</v>
      </c>
      <c r="JV1946" s="58"/>
    </row>
    <row r="1947" spans="1:282" x14ac:dyDescent="0.25">
      <c r="A1947" s="55">
        <v>1946</v>
      </c>
      <c r="B1947" s="12" t="s">
        <v>7067</v>
      </c>
      <c r="C1947" s="157">
        <v>91</v>
      </c>
      <c r="D1947" s="59" t="s">
        <v>4090</v>
      </c>
      <c r="E1947" s="93" t="s">
        <v>741</v>
      </c>
      <c r="F1947" s="93"/>
      <c r="G1947" s="58" t="s">
        <v>2074</v>
      </c>
      <c r="H1947" s="59">
        <v>2006</v>
      </c>
      <c r="I1947" s="58">
        <v>1999</v>
      </c>
      <c r="J1947" s="59" t="s">
        <v>916</v>
      </c>
      <c r="K1947" s="59" t="s">
        <v>1990</v>
      </c>
      <c r="L1947" s="59" t="s">
        <v>2737</v>
      </c>
      <c r="M1947" s="94">
        <v>32.56</v>
      </c>
      <c r="N1947" s="94">
        <v>-83.91</v>
      </c>
      <c r="O1947" s="93">
        <v>16</v>
      </c>
      <c r="P1947" s="59">
        <v>18.100000000000001</v>
      </c>
      <c r="Q1947" s="58"/>
      <c r="R1947" s="59">
        <v>1258</v>
      </c>
      <c r="S1947" s="94"/>
      <c r="T1947" s="58"/>
      <c r="U1947" s="59">
        <v>6</v>
      </c>
      <c r="V1947" s="58" t="s">
        <v>1933</v>
      </c>
      <c r="Y1947" s="58" t="s">
        <v>2059</v>
      </c>
      <c r="Z1947" s="58" t="s">
        <v>1375</v>
      </c>
      <c r="AA1947" s="94">
        <v>20</v>
      </c>
      <c r="AD1947" s="94">
        <f>AVERAGE(Sheet1!CH1947:CI1947)</f>
        <v>1.5189999999999999</v>
      </c>
      <c r="AE1947" s="93">
        <v>65</v>
      </c>
      <c r="AF1947" s="93">
        <v>25</v>
      </c>
      <c r="AG1947" s="93"/>
      <c r="AH1947" s="58" t="s">
        <v>238</v>
      </c>
      <c r="AI1947" s="169"/>
      <c r="AJ1947" s="94"/>
      <c r="AK1947" s="94"/>
      <c r="AL1947" s="58"/>
      <c r="AM1947" s="59" t="s">
        <v>1987</v>
      </c>
      <c r="AN1947" s="188" t="s">
        <v>241</v>
      </c>
      <c r="AO1947" s="185" t="s">
        <v>5150</v>
      </c>
      <c r="AP1947" s="59"/>
      <c r="AQ1947" s="58" t="s">
        <v>553</v>
      </c>
      <c r="AR1947" s="59" t="s">
        <v>1985</v>
      </c>
      <c r="AS1947" s="55" t="s">
        <v>5133</v>
      </c>
      <c r="AT1947" s="182"/>
      <c r="AU1947" s="181" t="s">
        <v>7494</v>
      </c>
      <c r="AV1947" s="185" t="s">
        <v>176</v>
      </c>
      <c r="AW1947" s="58"/>
      <c r="AX1947" s="185" t="s">
        <v>176</v>
      </c>
      <c r="AY1947" s="58"/>
      <c r="AZ1947" s="59" t="s">
        <v>745</v>
      </c>
      <c r="BA1947" s="59" t="s">
        <v>745</v>
      </c>
      <c r="BB1947" s="59" t="s">
        <v>2081</v>
      </c>
      <c r="BC1947" s="59" t="s">
        <v>2081</v>
      </c>
      <c r="BD1947" s="55" t="s">
        <v>176</v>
      </c>
      <c r="BE1947" s="236" t="s">
        <v>1989</v>
      </c>
      <c r="BF1947" s="58"/>
      <c r="BG1947" s="191" t="s">
        <v>479</v>
      </c>
      <c r="BH1947" s="236"/>
      <c r="BI1947" s="58"/>
      <c r="BJ1947" s="152" t="s">
        <v>1983</v>
      </c>
      <c r="BK1947" s="58" t="s">
        <v>5976</v>
      </c>
      <c r="BL1947" s="58"/>
      <c r="BM1947" s="237" t="s">
        <v>160</v>
      </c>
      <c r="BN1947" s="59">
        <v>4</v>
      </c>
      <c r="BO1947" s="59">
        <v>4</v>
      </c>
      <c r="BP1947" s="59">
        <v>4</v>
      </c>
      <c r="BQ1947" s="58" t="s">
        <v>141</v>
      </c>
      <c r="BR1947" s="58"/>
      <c r="BS1947" s="58"/>
      <c r="BT1947" s="58"/>
      <c r="BU1947" s="58"/>
      <c r="BV1947" s="58"/>
      <c r="CB1947" s="153"/>
      <c r="CC1947" s="153"/>
      <c r="CD1947" s="153"/>
      <c r="CE1947" s="67"/>
      <c r="CH1947" s="93">
        <f>CI1947+0.02</f>
        <v>1.5289999999999999</v>
      </c>
      <c r="CI1947" s="93">
        <v>1.5089999999999999</v>
      </c>
      <c r="CM1947" s="67">
        <v>0.45781556572923476</v>
      </c>
      <c r="CN1947" s="67">
        <v>0.47416612164813599</v>
      </c>
      <c r="CR1947" s="65">
        <v>13.999999999999998</v>
      </c>
      <c r="CS1947" s="65">
        <v>14.310333551340742</v>
      </c>
      <c r="CT1947" s="65">
        <v>2.2999999999999998</v>
      </c>
      <c r="CU1947" s="65">
        <v>2.2999999999999998</v>
      </c>
      <c r="CV1947" s="65" t="s">
        <v>962</v>
      </c>
      <c r="DA1947" s="65" t="s">
        <v>4458</v>
      </c>
      <c r="GP1947" s="292" t="s">
        <v>7494</v>
      </c>
      <c r="JU1947" s="59" t="s">
        <v>2040</v>
      </c>
      <c r="JV1947" s="58"/>
    </row>
    <row r="1948" spans="1:282" x14ac:dyDescent="0.25">
      <c r="A1948" s="55">
        <v>1947</v>
      </c>
      <c r="B1948" s="12" t="s">
        <v>7067</v>
      </c>
      <c r="C1948" s="157">
        <v>91</v>
      </c>
      <c r="D1948" s="59" t="s">
        <v>4091</v>
      </c>
      <c r="E1948" s="93" t="s">
        <v>741</v>
      </c>
      <c r="F1948" s="93"/>
      <c r="G1948" s="58" t="s">
        <v>2074</v>
      </c>
      <c r="H1948" s="59">
        <v>2006</v>
      </c>
      <c r="I1948" s="58">
        <v>1999</v>
      </c>
      <c r="J1948" s="59" t="s">
        <v>916</v>
      </c>
      <c r="K1948" s="59" t="s">
        <v>1990</v>
      </c>
      <c r="L1948" s="59" t="s">
        <v>2737</v>
      </c>
      <c r="M1948" s="94">
        <v>32.56</v>
      </c>
      <c r="N1948" s="94">
        <v>-83.91</v>
      </c>
      <c r="O1948" s="93">
        <v>16</v>
      </c>
      <c r="P1948" s="59">
        <v>18.100000000000001</v>
      </c>
      <c r="Q1948" s="58"/>
      <c r="R1948" s="59">
        <v>1258</v>
      </c>
      <c r="S1948" s="94"/>
      <c r="T1948" s="58"/>
      <c r="U1948" s="59">
        <v>6</v>
      </c>
      <c r="V1948" s="58" t="s">
        <v>1933</v>
      </c>
      <c r="Y1948" s="58" t="s">
        <v>2059</v>
      </c>
      <c r="Z1948" s="58" t="s">
        <v>1369</v>
      </c>
      <c r="AA1948" s="94">
        <v>30</v>
      </c>
      <c r="AD1948" s="94">
        <f>AVERAGE(Sheet1!CH1948:CI1948)</f>
        <v>1.43</v>
      </c>
      <c r="AE1948" s="93">
        <v>65</v>
      </c>
      <c r="AF1948" s="93">
        <v>25</v>
      </c>
      <c r="AG1948" s="93"/>
      <c r="AH1948" s="58" t="s">
        <v>238</v>
      </c>
      <c r="AI1948" s="169"/>
      <c r="AJ1948" s="94"/>
      <c r="AK1948" s="94"/>
      <c r="AL1948" s="58"/>
      <c r="AM1948" s="59" t="s">
        <v>1987</v>
      </c>
      <c r="AN1948" s="188" t="s">
        <v>241</v>
      </c>
      <c r="AO1948" s="185" t="s">
        <v>5150</v>
      </c>
      <c r="AP1948" s="59"/>
      <c r="AQ1948" s="58" t="s">
        <v>553</v>
      </c>
      <c r="AR1948" s="59" t="s">
        <v>1985</v>
      </c>
      <c r="AS1948" s="55" t="s">
        <v>5133</v>
      </c>
      <c r="AT1948" s="182"/>
      <c r="AU1948" s="181" t="s">
        <v>7494</v>
      </c>
      <c r="AV1948" s="185" t="s">
        <v>176</v>
      </c>
      <c r="AW1948" s="58"/>
      <c r="AX1948" s="185" t="s">
        <v>176</v>
      </c>
      <c r="AY1948" s="58"/>
      <c r="AZ1948" s="59" t="s">
        <v>745</v>
      </c>
      <c r="BA1948" s="59" t="s">
        <v>745</v>
      </c>
      <c r="BB1948" s="59" t="s">
        <v>2081</v>
      </c>
      <c r="BC1948" s="59" t="s">
        <v>2081</v>
      </c>
      <c r="BD1948" s="55" t="s">
        <v>2071</v>
      </c>
      <c r="BE1948" s="236" t="s">
        <v>1989</v>
      </c>
      <c r="BF1948" s="58"/>
      <c r="BG1948" s="191" t="s">
        <v>479</v>
      </c>
      <c r="BH1948" s="236"/>
      <c r="BI1948" s="58"/>
      <c r="BJ1948" s="152" t="s">
        <v>1983</v>
      </c>
      <c r="BK1948" s="58" t="s">
        <v>5976</v>
      </c>
      <c r="BL1948" s="58"/>
      <c r="BM1948" s="237" t="s">
        <v>160</v>
      </c>
      <c r="BN1948" s="59">
        <v>4</v>
      </c>
      <c r="BO1948" s="59">
        <v>4</v>
      </c>
      <c r="BP1948" s="59">
        <v>4</v>
      </c>
      <c r="BQ1948" s="58" t="s">
        <v>141</v>
      </c>
      <c r="BR1948" s="58"/>
      <c r="BS1948" s="58"/>
      <c r="BT1948" s="58"/>
      <c r="BU1948" s="58"/>
      <c r="BV1948" s="58"/>
      <c r="CB1948" s="153"/>
      <c r="CC1948" s="153"/>
      <c r="CD1948" s="153"/>
      <c r="CE1948" s="67"/>
      <c r="CH1948" s="93">
        <f>CI1948+0.02</f>
        <v>1.44</v>
      </c>
      <c r="CI1948" s="93">
        <v>1.42</v>
      </c>
      <c r="CM1948" s="67">
        <v>0.23379629629629628</v>
      </c>
      <c r="CN1948" s="67">
        <v>0.21296296296296294</v>
      </c>
      <c r="CR1948" s="65">
        <v>10.099999999999998</v>
      </c>
      <c r="CS1948" s="65">
        <v>9.0722222222222211</v>
      </c>
      <c r="CT1948" s="65">
        <v>3.4</v>
      </c>
      <c r="CU1948" s="65">
        <v>3.4</v>
      </c>
      <c r="CV1948" s="65" t="s">
        <v>962</v>
      </c>
      <c r="DA1948" s="65" t="s">
        <v>4458</v>
      </c>
      <c r="GP1948" s="292" t="s">
        <v>7494</v>
      </c>
      <c r="JU1948" s="59" t="s">
        <v>2040</v>
      </c>
      <c r="JV1948" s="58"/>
    </row>
    <row r="1949" spans="1:282" x14ac:dyDescent="0.25">
      <c r="A1949" s="55">
        <v>1948</v>
      </c>
      <c r="B1949" s="12" t="s">
        <v>7067</v>
      </c>
      <c r="C1949" s="157">
        <v>91</v>
      </c>
      <c r="D1949" s="59" t="s">
        <v>4092</v>
      </c>
      <c r="E1949" s="93" t="s">
        <v>741</v>
      </c>
      <c r="F1949" s="93"/>
      <c r="G1949" s="58" t="s">
        <v>2074</v>
      </c>
      <c r="H1949" s="59">
        <v>2006</v>
      </c>
      <c r="I1949" s="58">
        <v>1999</v>
      </c>
      <c r="J1949" s="59" t="s">
        <v>916</v>
      </c>
      <c r="K1949" s="59" t="s">
        <v>1990</v>
      </c>
      <c r="L1949" s="59" t="s">
        <v>2737</v>
      </c>
      <c r="M1949" s="94">
        <v>32.56</v>
      </c>
      <c r="N1949" s="94">
        <v>-83.91</v>
      </c>
      <c r="O1949" s="93">
        <v>16</v>
      </c>
      <c r="P1949" s="59">
        <v>18.100000000000001</v>
      </c>
      <c r="Q1949" s="58"/>
      <c r="R1949" s="59">
        <v>1258</v>
      </c>
      <c r="S1949" s="94"/>
      <c r="T1949" s="58"/>
      <c r="U1949" s="59">
        <v>6</v>
      </c>
      <c r="V1949" s="58" t="s">
        <v>1933</v>
      </c>
      <c r="Y1949" s="58" t="s">
        <v>2059</v>
      </c>
      <c r="Z1949" s="58" t="s">
        <v>1370</v>
      </c>
      <c r="AA1949" s="94">
        <v>30</v>
      </c>
      <c r="AD1949" s="94">
        <f>AVERAGE(Sheet1!CH1949:CI1949)</f>
        <v>1.6160000000000001</v>
      </c>
      <c r="AE1949" s="93">
        <v>65</v>
      </c>
      <c r="AF1949" s="93">
        <v>25</v>
      </c>
      <c r="AG1949" s="93"/>
      <c r="AH1949" s="58" t="s">
        <v>238</v>
      </c>
      <c r="AI1949" s="169"/>
      <c r="AJ1949" s="94"/>
      <c r="AK1949" s="94"/>
      <c r="AL1949" s="58"/>
      <c r="AM1949" s="59" t="s">
        <v>1987</v>
      </c>
      <c r="AN1949" s="188" t="s">
        <v>241</v>
      </c>
      <c r="AO1949" s="185" t="s">
        <v>5150</v>
      </c>
      <c r="AP1949" s="59"/>
      <c r="AQ1949" s="58" t="s">
        <v>553</v>
      </c>
      <c r="AR1949" s="59" t="s">
        <v>1985</v>
      </c>
      <c r="AS1949" s="55" t="s">
        <v>5133</v>
      </c>
      <c r="AT1949" s="182"/>
      <c r="AU1949" s="181" t="s">
        <v>7494</v>
      </c>
      <c r="AV1949" s="185" t="s">
        <v>176</v>
      </c>
      <c r="AW1949" s="58"/>
      <c r="AX1949" s="185" t="s">
        <v>176</v>
      </c>
      <c r="AY1949" s="58"/>
      <c r="AZ1949" s="59" t="s">
        <v>745</v>
      </c>
      <c r="BA1949" s="59" t="s">
        <v>745</v>
      </c>
      <c r="BB1949" s="59" t="s">
        <v>2081</v>
      </c>
      <c r="BC1949" s="59" t="s">
        <v>2081</v>
      </c>
      <c r="BD1949" s="55" t="s">
        <v>176</v>
      </c>
      <c r="BE1949" s="236" t="s">
        <v>1989</v>
      </c>
      <c r="BF1949" s="58"/>
      <c r="BG1949" s="191" t="s">
        <v>479</v>
      </c>
      <c r="BH1949" s="236"/>
      <c r="BI1949" s="58"/>
      <c r="BJ1949" s="152" t="s">
        <v>1983</v>
      </c>
      <c r="BK1949" s="58" t="s">
        <v>5976</v>
      </c>
      <c r="BL1949" s="58"/>
      <c r="BM1949" s="237" t="s">
        <v>160</v>
      </c>
      <c r="BN1949" s="59">
        <v>4</v>
      </c>
      <c r="BO1949" s="59">
        <v>4</v>
      </c>
      <c r="BP1949" s="59">
        <v>4</v>
      </c>
      <c r="BQ1949" s="58" t="s">
        <v>141</v>
      </c>
      <c r="BR1949" s="58"/>
      <c r="BS1949" s="58"/>
      <c r="BT1949" s="58"/>
      <c r="BU1949" s="58"/>
      <c r="BV1949" s="58"/>
      <c r="CB1949" s="153"/>
      <c r="CC1949" s="153"/>
      <c r="CD1949" s="153"/>
      <c r="CE1949" s="67"/>
      <c r="CH1949" s="93">
        <f>CI1949+0.02</f>
        <v>1.6260000000000001</v>
      </c>
      <c r="CI1949" s="93">
        <v>1.6060000000000001</v>
      </c>
      <c r="CM1949" s="67">
        <v>0.16400164001640014</v>
      </c>
      <c r="CN1949" s="67">
        <v>0.1332513325133251</v>
      </c>
      <c r="CR1949" s="65">
        <v>7.9999999999999991</v>
      </c>
      <c r="CS1949" s="65">
        <v>6.4200492004920031</v>
      </c>
      <c r="CT1949" s="65">
        <v>3.4</v>
      </c>
      <c r="CU1949" s="65">
        <v>3.4</v>
      </c>
      <c r="CV1949" s="65" t="s">
        <v>962</v>
      </c>
      <c r="DA1949" s="65" t="s">
        <v>4458</v>
      </c>
      <c r="GP1949" s="292" t="s">
        <v>7494</v>
      </c>
      <c r="JU1949" s="59" t="s">
        <v>2040</v>
      </c>
      <c r="JV1949" s="58"/>
    </row>
    <row r="1950" spans="1:282" x14ac:dyDescent="0.25">
      <c r="A1950" s="55">
        <v>1949</v>
      </c>
      <c r="B1950" s="12" t="s">
        <v>7067</v>
      </c>
      <c r="C1950" s="157">
        <v>91</v>
      </c>
      <c r="D1950" s="59" t="s">
        <v>4093</v>
      </c>
      <c r="E1950" s="93" t="s">
        <v>741</v>
      </c>
      <c r="F1950" s="93"/>
      <c r="G1950" s="58" t="s">
        <v>2074</v>
      </c>
      <c r="H1950" s="59">
        <v>2006</v>
      </c>
      <c r="I1950" s="58">
        <v>1999</v>
      </c>
      <c r="J1950" s="59" t="s">
        <v>916</v>
      </c>
      <c r="K1950" s="59" t="s">
        <v>1990</v>
      </c>
      <c r="L1950" s="59" t="s">
        <v>2737</v>
      </c>
      <c r="M1950" s="94">
        <v>32.56</v>
      </c>
      <c r="N1950" s="94">
        <v>-83.91</v>
      </c>
      <c r="O1950" s="93">
        <v>16</v>
      </c>
      <c r="P1950" s="59">
        <v>18.100000000000001</v>
      </c>
      <c r="Q1950" s="58"/>
      <c r="R1950" s="59">
        <v>1258</v>
      </c>
      <c r="S1950" s="94"/>
      <c r="T1950" s="58"/>
      <c r="U1950" s="59">
        <v>6</v>
      </c>
      <c r="V1950" s="58" t="s">
        <v>1933</v>
      </c>
      <c r="Y1950" s="58" t="s">
        <v>2059</v>
      </c>
      <c r="Z1950" s="58" t="s">
        <v>1382</v>
      </c>
      <c r="AA1950" s="94">
        <v>30</v>
      </c>
      <c r="AD1950" s="94">
        <f>AVERAGE(Sheet1!CH1950:CI1950)</f>
        <v>1.605</v>
      </c>
      <c r="AE1950" s="93">
        <v>65</v>
      </c>
      <c r="AF1950" s="93">
        <v>25</v>
      </c>
      <c r="AG1950" s="93"/>
      <c r="AH1950" s="58" t="s">
        <v>238</v>
      </c>
      <c r="AI1950" s="169"/>
      <c r="AJ1950" s="94"/>
      <c r="AK1950" s="94"/>
      <c r="AL1950" s="58"/>
      <c r="AM1950" s="59" t="s">
        <v>1987</v>
      </c>
      <c r="AN1950" s="188" t="s">
        <v>241</v>
      </c>
      <c r="AO1950" s="185" t="s">
        <v>5150</v>
      </c>
      <c r="AP1950" s="59"/>
      <c r="AQ1950" s="58" t="s">
        <v>553</v>
      </c>
      <c r="AR1950" s="59" t="s">
        <v>1985</v>
      </c>
      <c r="AS1950" s="55" t="s">
        <v>5133</v>
      </c>
      <c r="AT1950" s="182"/>
      <c r="AU1950" s="181" t="s">
        <v>7494</v>
      </c>
      <c r="AV1950" s="185" t="s">
        <v>176</v>
      </c>
      <c r="AW1950" s="58"/>
      <c r="AX1950" s="185" t="s">
        <v>176</v>
      </c>
      <c r="AY1950" s="58"/>
      <c r="AZ1950" s="59" t="s">
        <v>745</v>
      </c>
      <c r="BA1950" s="59" t="s">
        <v>745</v>
      </c>
      <c r="BB1950" s="59" t="s">
        <v>2081</v>
      </c>
      <c r="BC1950" s="59" t="s">
        <v>2081</v>
      </c>
      <c r="BD1950" s="55" t="s">
        <v>2071</v>
      </c>
      <c r="BE1950" s="236" t="s">
        <v>1989</v>
      </c>
      <c r="BF1950" s="58"/>
      <c r="BG1950" s="191" t="s">
        <v>479</v>
      </c>
      <c r="BH1950" s="236"/>
      <c r="BI1950" s="58"/>
      <c r="BJ1950" s="152" t="s">
        <v>1983</v>
      </c>
      <c r="BK1950" s="58" t="s">
        <v>5976</v>
      </c>
      <c r="BL1950" s="58"/>
      <c r="BM1950" s="237" t="s">
        <v>160</v>
      </c>
      <c r="BN1950" s="59">
        <v>4</v>
      </c>
      <c r="BO1950" s="59">
        <v>4</v>
      </c>
      <c r="BP1950" s="59">
        <v>4</v>
      </c>
      <c r="BQ1950" s="58" t="s">
        <v>141</v>
      </c>
      <c r="BR1950" s="58"/>
      <c r="BS1950" s="58"/>
      <c r="BT1950" s="58"/>
      <c r="BU1950" s="58"/>
      <c r="BV1950" s="58"/>
      <c r="CB1950" s="153"/>
      <c r="CC1950" s="153"/>
      <c r="CD1950" s="153"/>
      <c r="CE1950" s="67"/>
      <c r="CH1950" s="93">
        <f>CI1950+0.02</f>
        <v>1.615</v>
      </c>
      <c r="CI1950" s="93">
        <v>1.595</v>
      </c>
      <c r="CM1950" s="67">
        <v>0.1155830753353973</v>
      </c>
      <c r="CN1950" s="67">
        <v>0.11764705882352942</v>
      </c>
      <c r="CR1950" s="65">
        <v>5.6</v>
      </c>
      <c r="CS1950" s="65">
        <v>5.6294117647058828</v>
      </c>
      <c r="CT1950" s="65">
        <v>2.2000000000000002</v>
      </c>
      <c r="CU1950" s="65">
        <v>2.2000000000000002</v>
      </c>
      <c r="CV1950" s="65" t="s">
        <v>962</v>
      </c>
      <c r="DA1950" s="65" t="s">
        <v>4458</v>
      </c>
      <c r="GP1950" s="292" t="s">
        <v>7494</v>
      </c>
      <c r="JU1950" s="59" t="s">
        <v>2040</v>
      </c>
      <c r="JV1950" s="58"/>
    </row>
    <row r="1951" spans="1:282" x14ac:dyDescent="0.25">
      <c r="A1951" s="55">
        <v>1950</v>
      </c>
      <c r="B1951" s="12" t="s">
        <v>7067</v>
      </c>
      <c r="C1951" s="157">
        <v>91</v>
      </c>
      <c r="D1951" s="59" t="s">
        <v>4094</v>
      </c>
      <c r="E1951" s="93" t="s">
        <v>741</v>
      </c>
      <c r="F1951" s="93"/>
      <c r="G1951" s="58" t="s">
        <v>2074</v>
      </c>
      <c r="H1951" s="59">
        <v>2006</v>
      </c>
      <c r="I1951" s="58">
        <v>1999</v>
      </c>
      <c r="J1951" s="59" t="s">
        <v>916</v>
      </c>
      <c r="K1951" s="59" t="s">
        <v>1990</v>
      </c>
      <c r="L1951" s="59" t="s">
        <v>2737</v>
      </c>
      <c r="M1951" s="94">
        <v>32.56</v>
      </c>
      <c r="N1951" s="94">
        <v>-83.91</v>
      </c>
      <c r="O1951" s="93">
        <v>16</v>
      </c>
      <c r="P1951" s="59">
        <v>18.100000000000001</v>
      </c>
      <c r="Q1951" s="58"/>
      <c r="R1951" s="59">
        <v>1258</v>
      </c>
      <c r="S1951" s="94"/>
      <c r="T1951" s="58"/>
      <c r="U1951" s="59">
        <v>6</v>
      </c>
      <c r="V1951" s="58" t="s">
        <v>1933</v>
      </c>
      <c r="Y1951" s="58" t="s">
        <v>2059</v>
      </c>
      <c r="Z1951" s="58" t="s">
        <v>1355</v>
      </c>
      <c r="AA1951" s="94">
        <v>10</v>
      </c>
      <c r="AD1951" s="94">
        <f>AVERAGE(Sheet1!CH1951:CI1951)</f>
        <v>1.526</v>
      </c>
      <c r="AE1951" s="93">
        <v>65</v>
      </c>
      <c r="AF1951" s="93">
        <v>25</v>
      </c>
      <c r="AG1951" s="93"/>
      <c r="AH1951" s="58" t="s">
        <v>238</v>
      </c>
      <c r="AI1951" s="169"/>
      <c r="AJ1951" s="94"/>
      <c r="AK1951" s="94"/>
      <c r="AL1951" s="58"/>
      <c r="AM1951" s="59" t="s">
        <v>1987</v>
      </c>
      <c r="AN1951" s="188" t="s">
        <v>241</v>
      </c>
      <c r="AO1951" s="185" t="s">
        <v>5150</v>
      </c>
      <c r="AP1951" s="59"/>
      <c r="AQ1951" s="58" t="s">
        <v>553</v>
      </c>
      <c r="AR1951" s="59" t="s">
        <v>1985</v>
      </c>
      <c r="AS1951" s="55" t="s">
        <v>5133</v>
      </c>
      <c r="AT1951" s="182"/>
      <c r="AU1951" s="181" t="s">
        <v>7494</v>
      </c>
      <c r="AV1951" s="185" t="s">
        <v>176</v>
      </c>
      <c r="AW1951" s="58"/>
      <c r="AX1951" s="185" t="s">
        <v>176</v>
      </c>
      <c r="AY1951" s="58"/>
      <c r="AZ1951" s="59" t="s">
        <v>745</v>
      </c>
      <c r="BA1951" s="59" t="s">
        <v>745</v>
      </c>
      <c r="BB1951" s="59" t="s">
        <v>2081</v>
      </c>
      <c r="BC1951" s="59" t="s">
        <v>2081</v>
      </c>
      <c r="BD1951" s="55" t="s">
        <v>176</v>
      </c>
      <c r="BE1951" s="236" t="s">
        <v>1984</v>
      </c>
      <c r="BF1951" s="58"/>
      <c r="BG1951" s="191" t="s">
        <v>479</v>
      </c>
      <c r="BH1951" s="236"/>
      <c r="BI1951" s="58"/>
      <c r="BJ1951" s="152" t="s">
        <v>1983</v>
      </c>
      <c r="BK1951" s="58" t="s">
        <v>5976</v>
      </c>
      <c r="BL1951" s="58"/>
      <c r="BM1951" s="237" t="s">
        <v>160</v>
      </c>
      <c r="BN1951" s="59">
        <v>4</v>
      </c>
      <c r="BO1951" s="59">
        <v>4</v>
      </c>
      <c r="BP1951" s="59">
        <v>4</v>
      </c>
      <c r="BQ1951" s="58" t="s">
        <v>141</v>
      </c>
      <c r="BR1951" s="58"/>
      <c r="BS1951" s="58"/>
      <c r="BT1951" s="58"/>
      <c r="BU1951" s="58"/>
      <c r="BV1951" s="58"/>
      <c r="CB1951" s="153"/>
      <c r="CC1951" s="153"/>
      <c r="CD1951" s="153"/>
      <c r="CE1951" s="67"/>
      <c r="CH1951" s="93">
        <f>CI1951+0.02</f>
        <v>1.536</v>
      </c>
      <c r="CI1951" s="93">
        <v>1.516</v>
      </c>
      <c r="CM1951" s="67">
        <v>0.6640625</v>
      </c>
      <c r="CN1951" s="67">
        <v>0.67057291666666674</v>
      </c>
      <c r="CR1951" s="65">
        <v>10.200000000000001</v>
      </c>
      <c r="CS1951" s="65">
        <v>10.165885416666667</v>
      </c>
      <c r="CT1951" s="65">
        <v>1</v>
      </c>
      <c r="CU1951" s="65">
        <v>1</v>
      </c>
      <c r="CV1951" s="65" t="s">
        <v>962</v>
      </c>
      <c r="DA1951" s="65" t="s">
        <v>4458</v>
      </c>
      <c r="GP1951" s="292" t="s">
        <v>7494</v>
      </c>
      <c r="JU1951" s="59" t="s">
        <v>2040</v>
      </c>
      <c r="JV1951" s="58"/>
    </row>
    <row r="1952" spans="1:282" x14ac:dyDescent="0.25">
      <c r="A1952" s="55">
        <v>1951</v>
      </c>
      <c r="B1952" s="12" t="s">
        <v>7067</v>
      </c>
      <c r="C1952" s="157">
        <v>91</v>
      </c>
      <c r="D1952" s="59" t="s">
        <v>4095</v>
      </c>
      <c r="E1952" s="93" t="s">
        <v>741</v>
      </c>
      <c r="F1952" s="93"/>
      <c r="G1952" s="58" t="s">
        <v>2074</v>
      </c>
      <c r="H1952" s="59">
        <v>2006</v>
      </c>
      <c r="I1952" s="58">
        <v>1999</v>
      </c>
      <c r="J1952" s="59" t="s">
        <v>916</v>
      </c>
      <c r="K1952" s="59" t="s">
        <v>1990</v>
      </c>
      <c r="L1952" s="59" t="s">
        <v>2737</v>
      </c>
      <c r="M1952" s="94">
        <v>32.56</v>
      </c>
      <c r="N1952" s="94">
        <v>-83.91</v>
      </c>
      <c r="O1952" s="93">
        <v>16</v>
      </c>
      <c r="P1952" s="59">
        <v>18.100000000000001</v>
      </c>
      <c r="Q1952" s="58"/>
      <c r="R1952" s="59">
        <v>1258</v>
      </c>
      <c r="S1952" s="94"/>
      <c r="T1952" s="58"/>
      <c r="U1952" s="59">
        <v>6</v>
      </c>
      <c r="V1952" s="58" t="s">
        <v>1933</v>
      </c>
      <c r="Y1952" s="58" t="s">
        <v>2059</v>
      </c>
      <c r="Z1952" s="58" t="s">
        <v>1375</v>
      </c>
      <c r="AA1952" s="94">
        <v>20</v>
      </c>
      <c r="AD1952" s="94">
        <f>AVERAGE(Sheet1!CH1952:CI1952)</f>
        <v>1.5189999999999999</v>
      </c>
      <c r="AE1952" s="93">
        <v>65</v>
      </c>
      <c r="AF1952" s="93">
        <v>25</v>
      </c>
      <c r="AG1952" s="93"/>
      <c r="AH1952" s="58" t="s">
        <v>238</v>
      </c>
      <c r="AI1952" s="169"/>
      <c r="AJ1952" s="94"/>
      <c r="AK1952" s="94"/>
      <c r="AL1952" s="58"/>
      <c r="AM1952" s="59" t="s">
        <v>1987</v>
      </c>
      <c r="AN1952" s="188" t="s">
        <v>241</v>
      </c>
      <c r="AO1952" s="185" t="s">
        <v>5150</v>
      </c>
      <c r="AP1952" s="59"/>
      <c r="AQ1952" s="58" t="s">
        <v>553</v>
      </c>
      <c r="AR1952" s="59" t="s">
        <v>1985</v>
      </c>
      <c r="AS1952" s="55" t="s">
        <v>5133</v>
      </c>
      <c r="AT1952" s="182"/>
      <c r="AU1952" s="181" t="s">
        <v>7494</v>
      </c>
      <c r="AV1952" s="185" t="s">
        <v>176</v>
      </c>
      <c r="AW1952" s="58"/>
      <c r="AX1952" s="185" t="s">
        <v>176</v>
      </c>
      <c r="AY1952" s="58"/>
      <c r="AZ1952" s="59" t="s">
        <v>745</v>
      </c>
      <c r="BA1952" s="59" t="s">
        <v>745</v>
      </c>
      <c r="BB1952" s="59" t="s">
        <v>2081</v>
      </c>
      <c r="BC1952" s="59" t="s">
        <v>2081</v>
      </c>
      <c r="BD1952" s="55" t="s">
        <v>2071</v>
      </c>
      <c r="BE1952" s="236" t="s">
        <v>1984</v>
      </c>
      <c r="BF1952" s="58"/>
      <c r="BG1952" s="191" t="s">
        <v>479</v>
      </c>
      <c r="BH1952" s="236"/>
      <c r="BI1952" s="58"/>
      <c r="BJ1952" s="152" t="s">
        <v>1983</v>
      </c>
      <c r="BK1952" s="58" t="s">
        <v>5976</v>
      </c>
      <c r="BL1952" s="58"/>
      <c r="BM1952" s="237" t="s">
        <v>160</v>
      </c>
      <c r="BN1952" s="59">
        <v>4</v>
      </c>
      <c r="BO1952" s="59">
        <v>4</v>
      </c>
      <c r="BP1952" s="59">
        <v>4</v>
      </c>
      <c r="BQ1952" s="58" t="s">
        <v>141</v>
      </c>
      <c r="BR1952" s="58"/>
      <c r="BS1952" s="58"/>
      <c r="BT1952" s="58"/>
      <c r="BU1952" s="58"/>
      <c r="BV1952" s="58"/>
      <c r="CB1952" s="153"/>
      <c r="CC1952" s="153"/>
      <c r="CD1952" s="153"/>
      <c r="CE1952" s="67"/>
      <c r="CH1952" s="93">
        <f>CI1952+0.02</f>
        <v>1.5289999999999999</v>
      </c>
      <c r="CI1952" s="93">
        <v>1.5089999999999999</v>
      </c>
      <c r="CM1952" s="67">
        <v>0.50686723348593854</v>
      </c>
      <c r="CN1952" s="67">
        <v>0.51994767822105958</v>
      </c>
      <c r="CR1952" s="65">
        <v>15.5</v>
      </c>
      <c r="CS1952" s="65">
        <v>15.692020928711578</v>
      </c>
      <c r="CT1952" s="65">
        <v>2.2999999999999998</v>
      </c>
      <c r="CU1952" s="65">
        <v>2.2999999999999998</v>
      </c>
      <c r="CV1952" s="65" t="s">
        <v>962</v>
      </c>
      <c r="DA1952" s="65" t="s">
        <v>4458</v>
      </c>
      <c r="GP1952" s="292" t="s">
        <v>7494</v>
      </c>
      <c r="JU1952" s="59" t="s">
        <v>2040</v>
      </c>
      <c r="JV1952" s="58"/>
    </row>
    <row r="1953" spans="1:282" x14ac:dyDescent="0.25">
      <c r="A1953" s="55">
        <v>1952</v>
      </c>
      <c r="B1953" s="12" t="s">
        <v>7067</v>
      </c>
      <c r="C1953" s="157">
        <v>91</v>
      </c>
      <c r="D1953" s="59" t="s">
        <v>4096</v>
      </c>
      <c r="E1953" s="93" t="s">
        <v>741</v>
      </c>
      <c r="F1953" s="93"/>
      <c r="G1953" s="58" t="s">
        <v>2074</v>
      </c>
      <c r="H1953" s="59">
        <v>2006</v>
      </c>
      <c r="I1953" s="58">
        <v>1999</v>
      </c>
      <c r="J1953" s="59" t="s">
        <v>916</v>
      </c>
      <c r="K1953" s="59" t="s">
        <v>1990</v>
      </c>
      <c r="L1953" s="59" t="s">
        <v>2737</v>
      </c>
      <c r="M1953" s="94">
        <v>32.56</v>
      </c>
      <c r="N1953" s="94">
        <v>-83.91</v>
      </c>
      <c r="O1953" s="93">
        <v>16</v>
      </c>
      <c r="P1953" s="59">
        <v>18.100000000000001</v>
      </c>
      <c r="Q1953" s="58"/>
      <c r="R1953" s="59">
        <v>1258</v>
      </c>
      <c r="S1953" s="94"/>
      <c r="T1953" s="58"/>
      <c r="U1953" s="59">
        <v>6</v>
      </c>
      <c r="V1953" s="58" t="s">
        <v>1933</v>
      </c>
      <c r="Y1953" s="58" t="s">
        <v>2059</v>
      </c>
      <c r="Z1953" s="58" t="s">
        <v>1369</v>
      </c>
      <c r="AA1953" s="94">
        <v>30</v>
      </c>
      <c r="AD1953" s="94">
        <f>AVERAGE(Sheet1!CH1953:CI1953)</f>
        <v>1.43</v>
      </c>
      <c r="AE1953" s="93">
        <v>65</v>
      </c>
      <c r="AF1953" s="93">
        <v>25</v>
      </c>
      <c r="AG1953" s="93"/>
      <c r="AH1953" s="58" t="s">
        <v>238</v>
      </c>
      <c r="AI1953" s="169"/>
      <c r="AJ1953" s="94"/>
      <c r="AK1953" s="94"/>
      <c r="AL1953" s="58"/>
      <c r="AM1953" s="59" t="s">
        <v>1987</v>
      </c>
      <c r="AN1953" s="188" t="s">
        <v>241</v>
      </c>
      <c r="AO1953" s="185" t="s">
        <v>5150</v>
      </c>
      <c r="AP1953" s="59"/>
      <c r="AQ1953" s="58" t="s">
        <v>553</v>
      </c>
      <c r="AR1953" s="59" t="s">
        <v>1985</v>
      </c>
      <c r="AS1953" s="55" t="s">
        <v>5133</v>
      </c>
      <c r="AT1953" s="182"/>
      <c r="AU1953" s="181" t="s">
        <v>7494</v>
      </c>
      <c r="AV1953" s="185" t="s">
        <v>176</v>
      </c>
      <c r="AW1953" s="58"/>
      <c r="AX1953" s="185" t="s">
        <v>176</v>
      </c>
      <c r="AY1953" s="58"/>
      <c r="AZ1953" s="59" t="s">
        <v>745</v>
      </c>
      <c r="BA1953" s="59" t="s">
        <v>745</v>
      </c>
      <c r="BB1953" s="59" t="s">
        <v>2081</v>
      </c>
      <c r="BC1953" s="59" t="s">
        <v>2081</v>
      </c>
      <c r="BD1953" s="55" t="s">
        <v>176</v>
      </c>
      <c r="BE1953" s="236" t="s">
        <v>1984</v>
      </c>
      <c r="BF1953" s="58"/>
      <c r="BG1953" s="191" t="s">
        <v>479</v>
      </c>
      <c r="BH1953" s="236"/>
      <c r="BI1953" s="58"/>
      <c r="BJ1953" s="152" t="s">
        <v>1983</v>
      </c>
      <c r="BK1953" s="58" t="s">
        <v>5976</v>
      </c>
      <c r="BL1953" s="58"/>
      <c r="BM1953" s="237" t="s">
        <v>160</v>
      </c>
      <c r="BN1953" s="59">
        <v>4</v>
      </c>
      <c r="BO1953" s="59">
        <v>4</v>
      </c>
      <c r="BP1953" s="59">
        <v>4</v>
      </c>
      <c r="BQ1953" s="58" t="s">
        <v>141</v>
      </c>
      <c r="BR1953" s="58"/>
      <c r="BS1953" s="58"/>
      <c r="BT1953" s="58"/>
      <c r="BU1953" s="58"/>
      <c r="BV1953" s="58"/>
      <c r="CB1953" s="153"/>
      <c r="CC1953" s="153"/>
      <c r="CD1953" s="153"/>
      <c r="CE1953" s="67"/>
      <c r="CH1953" s="93">
        <f>CI1953+0.02</f>
        <v>1.44</v>
      </c>
      <c r="CI1953" s="93">
        <v>1.42</v>
      </c>
      <c r="CM1953" s="67">
        <v>0.21759259259259262</v>
      </c>
      <c r="CN1953" s="67">
        <v>0.20833333333333334</v>
      </c>
      <c r="CR1953" s="65">
        <v>9.4</v>
      </c>
      <c r="CS1953" s="65">
        <v>8.875</v>
      </c>
      <c r="CT1953" s="65">
        <v>3.4</v>
      </c>
      <c r="CU1953" s="65">
        <v>3.4</v>
      </c>
      <c r="CV1953" s="65" t="s">
        <v>962</v>
      </c>
      <c r="DA1953" s="65" t="s">
        <v>4458</v>
      </c>
      <c r="GP1953" s="292" t="s">
        <v>7494</v>
      </c>
      <c r="JU1953" s="59" t="s">
        <v>2040</v>
      </c>
      <c r="JV1953" s="58"/>
    </row>
    <row r="1954" spans="1:282" x14ac:dyDescent="0.25">
      <c r="A1954" s="55">
        <v>1953</v>
      </c>
      <c r="B1954" s="12" t="s">
        <v>7067</v>
      </c>
      <c r="C1954" s="157">
        <v>91</v>
      </c>
      <c r="D1954" s="59" t="s">
        <v>4097</v>
      </c>
      <c r="E1954" s="93" t="s">
        <v>741</v>
      </c>
      <c r="F1954" s="93"/>
      <c r="G1954" s="58" t="s">
        <v>2074</v>
      </c>
      <c r="H1954" s="59">
        <v>2006</v>
      </c>
      <c r="I1954" s="58">
        <v>1999</v>
      </c>
      <c r="J1954" s="59" t="s">
        <v>916</v>
      </c>
      <c r="K1954" s="59" t="s">
        <v>1990</v>
      </c>
      <c r="L1954" s="59" t="s">
        <v>2737</v>
      </c>
      <c r="M1954" s="94">
        <v>32.56</v>
      </c>
      <c r="N1954" s="94">
        <v>-83.91</v>
      </c>
      <c r="O1954" s="93">
        <v>16</v>
      </c>
      <c r="P1954" s="59">
        <v>18.100000000000001</v>
      </c>
      <c r="Q1954" s="58"/>
      <c r="R1954" s="59">
        <v>1258</v>
      </c>
      <c r="S1954" s="94"/>
      <c r="T1954" s="58"/>
      <c r="U1954" s="59">
        <v>6</v>
      </c>
      <c r="V1954" s="58" t="s">
        <v>1933</v>
      </c>
      <c r="Y1954" s="58" t="s">
        <v>2059</v>
      </c>
      <c r="Z1954" s="58" t="s">
        <v>1370</v>
      </c>
      <c r="AA1954" s="94">
        <v>30</v>
      </c>
      <c r="AD1954" s="94">
        <f>AVERAGE(Sheet1!CH1954:CI1954)</f>
        <v>1.6160000000000001</v>
      </c>
      <c r="AE1954" s="93">
        <v>65</v>
      </c>
      <c r="AF1954" s="93">
        <v>25</v>
      </c>
      <c r="AG1954" s="93"/>
      <c r="AH1954" s="58" t="s">
        <v>238</v>
      </c>
      <c r="AI1954" s="169"/>
      <c r="AJ1954" s="94"/>
      <c r="AK1954" s="94"/>
      <c r="AL1954" s="58"/>
      <c r="AM1954" s="59" t="s">
        <v>1987</v>
      </c>
      <c r="AN1954" s="188" t="s">
        <v>241</v>
      </c>
      <c r="AO1954" s="185" t="s">
        <v>5150</v>
      </c>
      <c r="AP1954" s="59"/>
      <c r="AQ1954" s="58" t="s">
        <v>553</v>
      </c>
      <c r="AR1954" s="59" t="s">
        <v>1985</v>
      </c>
      <c r="AS1954" s="55" t="s">
        <v>5133</v>
      </c>
      <c r="AT1954" s="182"/>
      <c r="AU1954" s="181" t="s">
        <v>7494</v>
      </c>
      <c r="AV1954" s="185" t="s">
        <v>176</v>
      </c>
      <c r="AW1954" s="58"/>
      <c r="AX1954" s="185" t="s">
        <v>176</v>
      </c>
      <c r="AY1954" s="58"/>
      <c r="AZ1954" s="59" t="s">
        <v>745</v>
      </c>
      <c r="BA1954" s="59" t="s">
        <v>745</v>
      </c>
      <c r="BB1954" s="59" t="s">
        <v>2081</v>
      </c>
      <c r="BC1954" s="59" t="s">
        <v>2081</v>
      </c>
      <c r="BD1954" s="55" t="s">
        <v>2071</v>
      </c>
      <c r="BE1954" s="236" t="s">
        <v>1984</v>
      </c>
      <c r="BF1954" s="58"/>
      <c r="BG1954" s="191" t="s">
        <v>479</v>
      </c>
      <c r="BH1954" s="236"/>
      <c r="BI1954" s="58"/>
      <c r="BJ1954" s="152" t="s">
        <v>1983</v>
      </c>
      <c r="BK1954" s="58" t="s">
        <v>5976</v>
      </c>
      <c r="BL1954" s="58"/>
      <c r="BM1954" s="237" t="s">
        <v>160</v>
      </c>
      <c r="BN1954" s="59">
        <v>4</v>
      </c>
      <c r="BO1954" s="59">
        <v>4</v>
      </c>
      <c r="BP1954" s="59">
        <v>4</v>
      </c>
      <c r="BQ1954" s="58" t="s">
        <v>141</v>
      </c>
      <c r="BR1954" s="58"/>
      <c r="BS1954" s="58"/>
      <c r="BT1954" s="58"/>
      <c r="BU1954" s="58"/>
      <c r="BV1954" s="58"/>
      <c r="CB1954" s="153"/>
      <c r="CC1954" s="153"/>
      <c r="CD1954" s="153"/>
      <c r="CE1954" s="67"/>
      <c r="CH1954" s="93">
        <f>CI1954+0.02</f>
        <v>1.6260000000000001</v>
      </c>
      <c r="CI1954" s="93">
        <v>1.6060000000000001</v>
      </c>
      <c r="CM1954" s="67">
        <v>0.17015170151701514</v>
      </c>
      <c r="CN1954" s="67">
        <v>0.1312013120131201</v>
      </c>
      <c r="CR1954" s="65">
        <v>8.2999999999999989</v>
      </c>
      <c r="CS1954" s="65">
        <v>6.3212792127921276</v>
      </c>
      <c r="CT1954" s="65">
        <v>3.4</v>
      </c>
      <c r="CU1954" s="65">
        <v>3.4</v>
      </c>
      <c r="CV1954" s="65" t="s">
        <v>962</v>
      </c>
      <c r="DA1954" s="65" t="s">
        <v>4458</v>
      </c>
      <c r="GP1954" s="292" t="s">
        <v>7494</v>
      </c>
      <c r="JU1954" s="59" t="s">
        <v>2040</v>
      </c>
      <c r="JV1954" s="58"/>
    </row>
    <row r="1955" spans="1:282" x14ac:dyDescent="0.25">
      <c r="A1955" s="55">
        <v>1954</v>
      </c>
      <c r="B1955" s="12" t="s">
        <v>7067</v>
      </c>
      <c r="C1955" s="157">
        <v>91</v>
      </c>
      <c r="D1955" s="59" t="s">
        <v>4098</v>
      </c>
      <c r="E1955" s="93" t="s">
        <v>741</v>
      </c>
      <c r="F1955" s="93"/>
      <c r="G1955" s="58" t="s">
        <v>2074</v>
      </c>
      <c r="H1955" s="59">
        <v>2006</v>
      </c>
      <c r="I1955" s="58">
        <v>1999</v>
      </c>
      <c r="J1955" s="59" t="s">
        <v>916</v>
      </c>
      <c r="K1955" s="59" t="s">
        <v>1990</v>
      </c>
      <c r="L1955" s="59" t="s">
        <v>2737</v>
      </c>
      <c r="M1955" s="94">
        <v>32.56</v>
      </c>
      <c r="N1955" s="94">
        <v>-83.91</v>
      </c>
      <c r="O1955" s="93">
        <v>16</v>
      </c>
      <c r="P1955" s="59">
        <v>18.100000000000001</v>
      </c>
      <c r="Q1955" s="58"/>
      <c r="R1955" s="59">
        <v>1258</v>
      </c>
      <c r="S1955" s="94"/>
      <c r="T1955" s="58"/>
      <c r="U1955" s="59">
        <v>6</v>
      </c>
      <c r="V1955" s="58" t="s">
        <v>1933</v>
      </c>
      <c r="Y1955" s="58" t="s">
        <v>2059</v>
      </c>
      <c r="Z1955" s="58" t="s">
        <v>1382</v>
      </c>
      <c r="AA1955" s="94">
        <v>30</v>
      </c>
      <c r="AD1955" s="94">
        <f>AVERAGE(Sheet1!CH1955:CI1955)</f>
        <v>1.605</v>
      </c>
      <c r="AE1955" s="93">
        <v>65</v>
      </c>
      <c r="AF1955" s="93">
        <v>25</v>
      </c>
      <c r="AG1955" s="93"/>
      <c r="AH1955" s="58" t="s">
        <v>238</v>
      </c>
      <c r="AI1955" s="169"/>
      <c r="AJ1955" s="94"/>
      <c r="AK1955" s="94"/>
      <c r="AL1955" s="58"/>
      <c r="AM1955" s="59" t="s">
        <v>1987</v>
      </c>
      <c r="AN1955" s="188" t="s">
        <v>241</v>
      </c>
      <c r="AO1955" s="185" t="s">
        <v>5150</v>
      </c>
      <c r="AP1955" s="59"/>
      <c r="AQ1955" s="58" t="s">
        <v>553</v>
      </c>
      <c r="AR1955" s="59" t="s">
        <v>1985</v>
      </c>
      <c r="AS1955" s="55" t="s">
        <v>5133</v>
      </c>
      <c r="AT1955" s="182"/>
      <c r="AU1955" s="181" t="s">
        <v>7494</v>
      </c>
      <c r="AV1955" s="185" t="s">
        <v>176</v>
      </c>
      <c r="AW1955" s="58"/>
      <c r="AX1955" s="185" t="s">
        <v>176</v>
      </c>
      <c r="AY1955" s="58"/>
      <c r="AZ1955" s="59" t="s">
        <v>745</v>
      </c>
      <c r="BA1955" s="59" t="s">
        <v>745</v>
      </c>
      <c r="BB1955" s="59" t="s">
        <v>2081</v>
      </c>
      <c r="BC1955" s="59" t="s">
        <v>2081</v>
      </c>
      <c r="BD1955" s="55" t="s">
        <v>176</v>
      </c>
      <c r="BE1955" s="236" t="s">
        <v>1984</v>
      </c>
      <c r="BF1955" s="58"/>
      <c r="BG1955" s="191" t="s">
        <v>479</v>
      </c>
      <c r="BH1955" s="236"/>
      <c r="BI1955" s="58"/>
      <c r="BJ1955" s="152" t="s">
        <v>1983</v>
      </c>
      <c r="BK1955" s="58" t="s">
        <v>5976</v>
      </c>
      <c r="BL1955" s="58"/>
      <c r="BM1955" s="237" t="s">
        <v>160</v>
      </c>
      <c r="BN1955" s="59">
        <v>4</v>
      </c>
      <c r="BO1955" s="59">
        <v>4</v>
      </c>
      <c r="BP1955" s="59">
        <v>4</v>
      </c>
      <c r="BQ1955" s="58" t="s">
        <v>141</v>
      </c>
      <c r="BR1955" s="58"/>
      <c r="BS1955" s="58"/>
      <c r="BT1955" s="58"/>
      <c r="BU1955" s="58"/>
      <c r="BV1955" s="58"/>
      <c r="CB1955" s="153"/>
      <c r="CC1955" s="153"/>
      <c r="CD1955" s="153"/>
      <c r="CE1955" s="67"/>
      <c r="CH1955" s="93">
        <f>CI1955+0.02</f>
        <v>1.615</v>
      </c>
      <c r="CI1955" s="93">
        <v>1.595</v>
      </c>
      <c r="CM1955" s="67">
        <v>0.1155830753353973</v>
      </c>
      <c r="CN1955" s="67">
        <v>0.11351909184726522</v>
      </c>
      <c r="CR1955" s="65">
        <v>5.6</v>
      </c>
      <c r="CS1955" s="65">
        <v>5.4318885448916401</v>
      </c>
      <c r="CT1955" s="65">
        <v>2.2000000000000002</v>
      </c>
      <c r="CU1955" s="65">
        <v>2.2000000000000002</v>
      </c>
      <c r="CV1955" s="65" t="s">
        <v>962</v>
      </c>
      <c r="DA1955" s="65" t="s">
        <v>4458</v>
      </c>
      <c r="GP1955" s="292" t="s">
        <v>7494</v>
      </c>
      <c r="JU1955" s="59" t="s">
        <v>2040</v>
      </c>
      <c r="JV1955" s="58"/>
    </row>
    <row r="1956" spans="1:282" x14ac:dyDescent="0.25">
      <c r="A1956" s="55">
        <v>1955</v>
      </c>
      <c r="B1956" s="12" t="s">
        <v>7067</v>
      </c>
      <c r="C1956" s="157">
        <v>91</v>
      </c>
      <c r="D1956" s="59" t="s">
        <v>4099</v>
      </c>
      <c r="E1956" s="93" t="s">
        <v>741</v>
      </c>
      <c r="F1956" s="93"/>
      <c r="G1956" s="58" t="s">
        <v>2074</v>
      </c>
      <c r="H1956" s="59">
        <v>2006</v>
      </c>
      <c r="I1956" s="58">
        <v>1999</v>
      </c>
      <c r="J1956" s="59" t="s">
        <v>916</v>
      </c>
      <c r="K1956" s="59" t="s">
        <v>1990</v>
      </c>
      <c r="L1956" s="59" t="s">
        <v>2737</v>
      </c>
      <c r="M1956" s="94">
        <v>32.56</v>
      </c>
      <c r="N1956" s="94">
        <v>-83.91</v>
      </c>
      <c r="O1956" s="93">
        <v>16</v>
      </c>
      <c r="P1956" s="59">
        <v>18.100000000000001</v>
      </c>
      <c r="Q1956" s="58"/>
      <c r="R1956" s="59">
        <v>1258</v>
      </c>
      <c r="S1956" s="94"/>
      <c r="T1956" s="58"/>
      <c r="U1956" s="59">
        <v>6</v>
      </c>
      <c r="V1956" s="58" t="s">
        <v>1933</v>
      </c>
      <c r="Y1956" s="58" t="s">
        <v>2059</v>
      </c>
      <c r="Z1956" s="58" t="s">
        <v>1355</v>
      </c>
      <c r="AA1956" s="94">
        <v>10</v>
      </c>
      <c r="AD1956" s="94">
        <f>AVERAGE(Sheet1!CH1956:CI1956)</f>
        <v>1.526</v>
      </c>
      <c r="AE1956" s="93">
        <v>65</v>
      </c>
      <c r="AF1956" s="93">
        <v>25</v>
      </c>
      <c r="AG1956" s="93"/>
      <c r="AH1956" s="58" t="s">
        <v>238</v>
      </c>
      <c r="AI1956" s="169"/>
      <c r="AJ1956" s="94"/>
      <c r="AK1956" s="94"/>
      <c r="AL1956" s="58"/>
      <c r="AM1956" s="59" t="s">
        <v>1987</v>
      </c>
      <c r="AN1956" s="188" t="s">
        <v>1986</v>
      </c>
      <c r="AO1956" s="185" t="s">
        <v>5150</v>
      </c>
      <c r="AP1956" s="59"/>
      <c r="AQ1956" s="58" t="s">
        <v>1546</v>
      </c>
      <c r="AR1956" s="59" t="s">
        <v>1985</v>
      </c>
      <c r="AS1956" s="55" t="s">
        <v>5133</v>
      </c>
      <c r="AT1956" s="182"/>
      <c r="AU1956" s="181" t="s">
        <v>7494</v>
      </c>
      <c r="AV1956" s="185" t="s">
        <v>176</v>
      </c>
      <c r="AW1956" s="58"/>
      <c r="AX1956" s="185" t="s">
        <v>176</v>
      </c>
      <c r="AY1956" s="58"/>
      <c r="AZ1956" s="59" t="s">
        <v>745</v>
      </c>
      <c r="BA1956" s="59" t="s">
        <v>745</v>
      </c>
      <c r="BB1956" s="59" t="s">
        <v>2081</v>
      </c>
      <c r="BC1956" s="59" t="s">
        <v>2081</v>
      </c>
      <c r="BD1956" s="55" t="s">
        <v>2071</v>
      </c>
      <c r="BE1956" s="236" t="s">
        <v>161</v>
      </c>
      <c r="BF1956" s="58"/>
      <c r="BG1956" s="191" t="s">
        <v>176</v>
      </c>
      <c r="BH1956" s="236"/>
      <c r="BI1956" s="58"/>
      <c r="BJ1956" s="152" t="s">
        <v>1983</v>
      </c>
      <c r="BK1956" s="58" t="s">
        <v>5976</v>
      </c>
      <c r="BL1956" s="58"/>
      <c r="BM1956" s="237" t="s">
        <v>160</v>
      </c>
      <c r="BN1956" s="59">
        <v>4</v>
      </c>
      <c r="BO1956" s="59">
        <v>4</v>
      </c>
      <c r="BP1956" s="59">
        <v>4</v>
      </c>
      <c r="BQ1956" s="58" t="s">
        <v>141</v>
      </c>
      <c r="BR1956" s="58"/>
      <c r="BS1956" s="58"/>
      <c r="BT1956" s="58"/>
      <c r="BU1956" s="58"/>
      <c r="BV1956" s="58"/>
      <c r="CB1956" s="153"/>
      <c r="CC1956" s="153"/>
      <c r="CD1956" s="153"/>
      <c r="CE1956" s="67"/>
      <c r="CH1956" s="93">
        <f>CI1956+0.02</f>
        <v>1.536</v>
      </c>
      <c r="CI1956" s="93">
        <v>1.516</v>
      </c>
      <c r="CM1956" s="67">
        <v>0.63151041666666663</v>
      </c>
      <c r="CN1956" s="67">
        <v>0.5859375</v>
      </c>
      <c r="CR1956" s="65">
        <v>9.6999999999999993</v>
      </c>
      <c r="CS1956" s="65">
        <v>8.8828125</v>
      </c>
      <c r="CT1956" s="65">
        <v>1</v>
      </c>
      <c r="CU1956" s="65">
        <v>1</v>
      </c>
      <c r="CV1956" s="65" t="s">
        <v>962</v>
      </c>
      <c r="DA1956" s="65" t="s">
        <v>4458</v>
      </c>
      <c r="GP1956" s="292" t="s">
        <v>7494</v>
      </c>
      <c r="JU1956" s="59" t="s">
        <v>2040</v>
      </c>
      <c r="JV1956" s="58"/>
    </row>
    <row r="1957" spans="1:282" x14ac:dyDescent="0.25">
      <c r="A1957" s="55">
        <v>1956</v>
      </c>
      <c r="B1957" s="12" t="s">
        <v>7067</v>
      </c>
      <c r="C1957" s="157">
        <v>91</v>
      </c>
      <c r="D1957" s="59" t="s">
        <v>4100</v>
      </c>
      <c r="E1957" s="93" t="s">
        <v>741</v>
      </c>
      <c r="F1957" s="93"/>
      <c r="G1957" s="58" t="s">
        <v>2074</v>
      </c>
      <c r="H1957" s="59">
        <v>2006</v>
      </c>
      <c r="I1957" s="58">
        <v>1999</v>
      </c>
      <c r="J1957" s="59" t="s">
        <v>916</v>
      </c>
      <c r="K1957" s="59" t="s">
        <v>1990</v>
      </c>
      <c r="L1957" s="59" t="s">
        <v>2737</v>
      </c>
      <c r="M1957" s="94">
        <v>32.56</v>
      </c>
      <c r="N1957" s="94">
        <v>-83.91</v>
      </c>
      <c r="O1957" s="93">
        <v>16</v>
      </c>
      <c r="P1957" s="59">
        <v>18.100000000000001</v>
      </c>
      <c r="Q1957" s="58"/>
      <c r="R1957" s="59">
        <v>1258</v>
      </c>
      <c r="S1957" s="94"/>
      <c r="T1957" s="58"/>
      <c r="U1957" s="59">
        <v>6</v>
      </c>
      <c r="V1957" s="58" t="s">
        <v>1933</v>
      </c>
      <c r="Y1957" s="58" t="s">
        <v>2059</v>
      </c>
      <c r="Z1957" s="58" t="s">
        <v>1375</v>
      </c>
      <c r="AA1957" s="94">
        <v>20</v>
      </c>
      <c r="AD1957" s="94">
        <f>AVERAGE(Sheet1!CH1957:CI1957)</f>
        <v>1.5189999999999999</v>
      </c>
      <c r="AE1957" s="93">
        <v>65</v>
      </c>
      <c r="AF1957" s="93">
        <v>25</v>
      </c>
      <c r="AG1957" s="93"/>
      <c r="AH1957" s="58" t="s">
        <v>238</v>
      </c>
      <c r="AI1957" s="169"/>
      <c r="AJ1957" s="94"/>
      <c r="AK1957" s="94"/>
      <c r="AL1957" s="58"/>
      <c r="AM1957" s="59" t="s">
        <v>1987</v>
      </c>
      <c r="AN1957" s="188" t="s">
        <v>1986</v>
      </c>
      <c r="AO1957" s="185" t="s">
        <v>5150</v>
      </c>
      <c r="AP1957" s="59"/>
      <c r="AQ1957" s="58" t="s">
        <v>1546</v>
      </c>
      <c r="AR1957" s="59" t="s">
        <v>1985</v>
      </c>
      <c r="AS1957" s="55" t="s">
        <v>5133</v>
      </c>
      <c r="AT1957" s="182"/>
      <c r="AU1957" s="181" t="s">
        <v>7494</v>
      </c>
      <c r="AV1957" s="185" t="s">
        <v>176</v>
      </c>
      <c r="AW1957" s="58"/>
      <c r="AX1957" s="185" t="s">
        <v>176</v>
      </c>
      <c r="AY1957" s="58"/>
      <c r="AZ1957" s="59" t="s">
        <v>745</v>
      </c>
      <c r="BA1957" s="59" t="s">
        <v>745</v>
      </c>
      <c r="BB1957" s="59" t="s">
        <v>2081</v>
      </c>
      <c r="BC1957" s="59" t="s">
        <v>2081</v>
      </c>
      <c r="BD1957" s="55" t="s">
        <v>176</v>
      </c>
      <c r="BE1957" s="236" t="s">
        <v>161</v>
      </c>
      <c r="BF1957" s="58"/>
      <c r="BG1957" s="191" t="s">
        <v>176</v>
      </c>
      <c r="BH1957" s="236"/>
      <c r="BI1957" s="58"/>
      <c r="BJ1957" s="152" t="s">
        <v>1983</v>
      </c>
      <c r="BK1957" s="58" t="s">
        <v>5976</v>
      </c>
      <c r="BL1957" s="58"/>
      <c r="BM1957" s="237" t="s">
        <v>160</v>
      </c>
      <c r="BN1957" s="59">
        <v>4</v>
      </c>
      <c r="BO1957" s="59">
        <v>4</v>
      </c>
      <c r="BP1957" s="59">
        <v>4</v>
      </c>
      <c r="BQ1957" s="58" t="s">
        <v>141</v>
      </c>
      <c r="BR1957" s="58"/>
      <c r="BS1957" s="58"/>
      <c r="BT1957" s="58"/>
      <c r="BU1957" s="58"/>
      <c r="BV1957" s="58"/>
      <c r="CB1957" s="153"/>
      <c r="CC1957" s="153"/>
      <c r="CD1957" s="153"/>
      <c r="CE1957" s="67"/>
      <c r="CH1957" s="93">
        <f>CI1957+0.02</f>
        <v>1.5289999999999999</v>
      </c>
      <c r="CI1957" s="93">
        <v>1.5089999999999999</v>
      </c>
      <c r="CM1957" s="67">
        <v>0.44800523217789401</v>
      </c>
      <c r="CN1957" s="67">
        <v>0.48070634401569651</v>
      </c>
      <c r="CR1957" s="65">
        <v>13.7</v>
      </c>
      <c r="CS1957" s="65">
        <v>14.507717462393718</v>
      </c>
      <c r="CT1957" s="65">
        <v>2.2999999999999998</v>
      </c>
      <c r="CU1957" s="65">
        <v>2.2999999999999998</v>
      </c>
      <c r="CV1957" s="65" t="s">
        <v>962</v>
      </c>
      <c r="DA1957" s="65" t="s">
        <v>4458</v>
      </c>
      <c r="GP1957" s="292" t="s">
        <v>7494</v>
      </c>
      <c r="JU1957" s="59" t="s">
        <v>2040</v>
      </c>
      <c r="JV1957" s="58"/>
    </row>
    <row r="1958" spans="1:282" x14ac:dyDescent="0.25">
      <c r="A1958" s="55">
        <v>1957</v>
      </c>
      <c r="B1958" s="12" t="s">
        <v>7067</v>
      </c>
      <c r="C1958" s="157">
        <v>91</v>
      </c>
      <c r="D1958" s="59" t="s">
        <v>4101</v>
      </c>
      <c r="E1958" s="93" t="s">
        <v>741</v>
      </c>
      <c r="F1958" s="93"/>
      <c r="G1958" s="58" t="s">
        <v>2074</v>
      </c>
      <c r="H1958" s="59">
        <v>2006</v>
      </c>
      <c r="I1958" s="58">
        <v>1999</v>
      </c>
      <c r="J1958" s="59" t="s">
        <v>916</v>
      </c>
      <c r="K1958" s="59" t="s">
        <v>1990</v>
      </c>
      <c r="L1958" s="59" t="s">
        <v>2737</v>
      </c>
      <c r="M1958" s="94">
        <v>32.56</v>
      </c>
      <c r="N1958" s="94">
        <v>-83.91</v>
      </c>
      <c r="O1958" s="93">
        <v>16</v>
      </c>
      <c r="P1958" s="59">
        <v>18.100000000000001</v>
      </c>
      <c r="Q1958" s="58"/>
      <c r="R1958" s="59">
        <v>1258</v>
      </c>
      <c r="S1958" s="94"/>
      <c r="T1958" s="58"/>
      <c r="U1958" s="59">
        <v>6</v>
      </c>
      <c r="V1958" s="58" t="s">
        <v>1933</v>
      </c>
      <c r="Y1958" s="58" t="s">
        <v>2059</v>
      </c>
      <c r="Z1958" s="58" t="s">
        <v>1369</v>
      </c>
      <c r="AA1958" s="94">
        <v>30</v>
      </c>
      <c r="AD1958" s="94">
        <f>AVERAGE(Sheet1!CH1958:CI1958)</f>
        <v>1.43</v>
      </c>
      <c r="AE1958" s="93">
        <v>65</v>
      </c>
      <c r="AF1958" s="93">
        <v>25</v>
      </c>
      <c r="AG1958" s="93"/>
      <c r="AH1958" s="58" t="s">
        <v>238</v>
      </c>
      <c r="AI1958" s="169"/>
      <c r="AJ1958" s="94"/>
      <c r="AK1958" s="94"/>
      <c r="AL1958" s="58"/>
      <c r="AM1958" s="59" t="s">
        <v>1987</v>
      </c>
      <c r="AN1958" s="188" t="s">
        <v>1986</v>
      </c>
      <c r="AO1958" s="185" t="s">
        <v>5150</v>
      </c>
      <c r="AP1958" s="59"/>
      <c r="AQ1958" s="58" t="s">
        <v>1546</v>
      </c>
      <c r="AR1958" s="59" t="s">
        <v>1985</v>
      </c>
      <c r="AS1958" s="55" t="s">
        <v>5133</v>
      </c>
      <c r="AT1958" s="182"/>
      <c r="AU1958" s="181" t="s">
        <v>7494</v>
      </c>
      <c r="AV1958" s="185" t="s">
        <v>176</v>
      </c>
      <c r="AW1958" s="58"/>
      <c r="AX1958" s="185" t="s">
        <v>176</v>
      </c>
      <c r="AY1958" s="58"/>
      <c r="AZ1958" s="59" t="s">
        <v>745</v>
      </c>
      <c r="BA1958" s="59" t="s">
        <v>745</v>
      </c>
      <c r="BB1958" s="59" t="s">
        <v>2081</v>
      </c>
      <c r="BC1958" s="59" t="s">
        <v>2081</v>
      </c>
      <c r="BD1958" s="55" t="s">
        <v>2071</v>
      </c>
      <c r="BE1958" s="236" t="s">
        <v>161</v>
      </c>
      <c r="BF1958" s="58"/>
      <c r="BG1958" s="191" t="s">
        <v>176</v>
      </c>
      <c r="BH1958" s="236"/>
      <c r="BI1958" s="58"/>
      <c r="BJ1958" s="152" t="s">
        <v>1983</v>
      </c>
      <c r="BK1958" s="58" t="s">
        <v>5976</v>
      </c>
      <c r="BL1958" s="58"/>
      <c r="BM1958" s="237" t="s">
        <v>160</v>
      </c>
      <c r="BN1958" s="59">
        <v>4</v>
      </c>
      <c r="BO1958" s="59">
        <v>4</v>
      </c>
      <c r="BP1958" s="59">
        <v>4</v>
      </c>
      <c r="BQ1958" s="58" t="s">
        <v>141</v>
      </c>
      <c r="BR1958" s="58"/>
      <c r="BS1958" s="58"/>
      <c r="BT1958" s="58"/>
      <c r="BU1958" s="58"/>
      <c r="BV1958" s="58"/>
      <c r="CB1958" s="153"/>
      <c r="CC1958" s="153"/>
      <c r="CD1958" s="153"/>
      <c r="CE1958" s="67"/>
      <c r="CH1958" s="93">
        <f>CI1958+0.02</f>
        <v>1.44</v>
      </c>
      <c r="CI1958" s="93">
        <v>1.42</v>
      </c>
      <c r="CM1958" s="67">
        <v>0.22916666666666666</v>
      </c>
      <c r="CN1958" s="67">
        <v>0.23379629629629628</v>
      </c>
      <c r="CR1958" s="65">
        <v>9.9</v>
      </c>
      <c r="CS1958" s="65">
        <v>9.9597222222222186</v>
      </c>
      <c r="CT1958" s="65">
        <v>3.4</v>
      </c>
      <c r="CU1958" s="65">
        <v>3.4</v>
      </c>
      <c r="CV1958" s="65" t="s">
        <v>962</v>
      </c>
      <c r="DA1958" s="65" t="s">
        <v>4458</v>
      </c>
      <c r="GP1958" s="292" t="s">
        <v>7494</v>
      </c>
      <c r="JU1958" s="59" t="s">
        <v>2040</v>
      </c>
      <c r="JV1958" s="58"/>
    </row>
    <row r="1959" spans="1:282" x14ac:dyDescent="0.25">
      <c r="A1959" s="55">
        <v>1958</v>
      </c>
      <c r="B1959" s="12" t="s">
        <v>7067</v>
      </c>
      <c r="C1959" s="157">
        <v>91</v>
      </c>
      <c r="D1959" s="59" t="s">
        <v>4102</v>
      </c>
      <c r="E1959" s="93" t="s">
        <v>741</v>
      </c>
      <c r="F1959" s="93"/>
      <c r="G1959" s="58" t="s">
        <v>2074</v>
      </c>
      <c r="H1959" s="59">
        <v>2006</v>
      </c>
      <c r="I1959" s="58">
        <v>1999</v>
      </c>
      <c r="J1959" s="59" t="s">
        <v>916</v>
      </c>
      <c r="K1959" s="59" t="s">
        <v>1990</v>
      </c>
      <c r="L1959" s="59" t="s">
        <v>2737</v>
      </c>
      <c r="M1959" s="94">
        <v>32.56</v>
      </c>
      <c r="N1959" s="94">
        <v>-83.91</v>
      </c>
      <c r="O1959" s="93">
        <v>16</v>
      </c>
      <c r="P1959" s="59">
        <v>18.100000000000001</v>
      </c>
      <c r="Q1959" s="58"/>
      <c r="R1959" s="59">
        <v>1258</v>
      </c>
      <c r="S1959" s="94"/>
      <c r="T1959" s="58"/>
      <c r="U1959" s="59">
        <v>6</v>
      </c>
      <c r="V1959" s="58" t="s">
        <v>1933</v>
      </c>
      <c r="Y1959" s="58" t="s">
        <v>2059</v>
      </c>
      <c r="Z1959" s="58" t="s">
        <v>1370</v>
      </c>
      <c r="AA1959" s="94">
        <v>30</v>
      </c>
      <c r="AD1959" s="94">
        <f>AVERAGE(Sheet1!CH1959:CI1959)</f>
        <v>1.6160000000000001</v>
      </c>
      <c r="AE1959" s="93">
        <v>65</v>
      </c>
      <c r="AF1959" s="93">
        <v>25</v>
      </c>
      <c r="AG1959" s="93"/>
      <c r="AH1959" s="58" t="s">
        <v>238</v>
      </c>
      <c r="AI1959" s="169"/>
      <c r="AJ1959" s="94"/>
      <c r="AK1959" s="94"/>
      <c r="AL1959" s="58"/>
      <c r="AM1959" s="59" t="s">
        <v>1987</v>
      </c>
      <c r="AN1959" s="188" t="s">
        <v>1986</v>
      </c>
      <c r="AO1959" s="185" t="s">
        <v>5150</v>
      </c>
      <c r="AP1959" s="59"/>
      <c r="AQ1959" s="58" t="s">
        <v>1546</v>
      </c>
      <c r="AR1959" s="59" t="s">
        <v>1985</v>
      </c>
      <c r="AS1959" s="55" t="s">
        <v>5133</v>
      </c>
      <c r="AT1959" s="182"/>
      <c r="AU1959" s="181" t="s">
        <v>7494</v>
      </c>
      <c r="AV1959" s="185" t="s">
        <v>176</v>
      </c>
      <c r="AW1959" s="58"/>
      <c r="AX1959" s="185" t="s">
        <v>176</v>
      </c>
      <c r="AY1959" s="58"/>
      <c r="AZ1959" s="59" t="s">
        <v>745</v>
      </c>
      <c r="BA1959" s="59" t="s">
        <v>745</v>
      </c>
      <c r="BB1959" s="59" t="s">
        <v>2081</v>
      </c>
      <c r="BC1959" s="59" t="s">
        <v>2081</v>
      </c>
      <c r="BD1959" s="55" t="s">
        <v>176</v>
      </c>
      <c r="BE1959" s="236" t="s">
        <v>161</v>
      </c>
      <c r="BF1959" s="58"/>
      <c r="BG1959" s="191" t="s">
        <v>176</v>
      </c>
      <c r="BH1959" s="236"/>
      <c r="BI1959" s="58"/>
      <c r="BJ1959" s="152" t="s">
        <v>1983</v>
      </c>
      <c r="BK1959" s="58" t="s">
        <v>5976</v>
      </c>
      <c r="BL1959" s="58"/>
      <c r="BM1959" s="237" t="s">
        <v>160</v>
      </c>
      <c r="BN1959" s="59">
        <v>4</v>
      </c>
      <c r="BO1959" s="59">
        <v>4</v>
      </c>
      <c r="BP1959" s="59">
        <v>4</v>
      </c>
      <c r="BQ1959" s="58" t="s">
        <v>141</v>
      </c>
      <c r="BR1959" s="58"/>
      <c r="BS1959" s="58"/>
      <c r="BT1959" s="58"/>
      <c r="BU1959" s="58"/>
      <c r="BV1959" s="58"/>
      <c r="CB1959" s="153"/>
      <c r="CC1959" s="153"/>
      <c r="CD1959" s="153"/>
      <c r="CE1959" s="67"/>
      <c r="CH1959" s="93">
        <f>CI1959+0.02</f>
        <v>1.6260000000000001</v>
      </c>
      <c r="CI1959" s="93">
        <v>1.6060000000000001</v>
      </c>
      <c r="CM1959" s="67">
        <v>0.14145141451414511</v>
      </c>
      <c r="CN1959" s="67">
        <v>0.17220172201722014</v>
      </c>
      <c r="CR1959" s="65">
        <v>6.8999999999999995</v>
      </c>
      <c r="CS1959" s="65">
        <v>8.296678966789667</v>
      </c>
      <c r="CT1959" s="65">
        <v>3.4</v>
      </c>
      <c r="CU1959" s="65">
        <v>3.4</v>
      </c>
      <c r="CV1959" s="65" t="s">
        <v>962</v>
      </c>
      <c r="DA1959" s="65" t="s">
        <v>4458</v>
      </c>
      <c r="GP1959" s="292" t="s">
        <v>7494</v>
      </c>
      <c r="JU1959" s="59" t="s">
        <v>2040</v>
      </c>
      <c r="JV1959" s="58"/>
    </row>
    <row r="1960" spans="1:282" x14ac:dyDescent="0.25">
      <c r="A1960" s="55">
        <v>1959</v>
      </c>
      <c r="B1960" s="12" t="s">
        <v>7067</v>
      </c>
      <c r="C1960" s="157">
        <v>91</v>
      </c>
      <c r="D1960" s="59" t="s">
        <v>4103</v>
      </c>
      <c r="E1960" s="93" t="s">
        <v>741</v>
      </c>
      <c r="F1960" s="93"/>
      <c r="G1960" s="58" t="s">
        <v>2074</v>
      </c>
      <c r="H1960" s="59">
        <v>2006</v>
      </c>
      <c r="I1960" s="58">
        <v>1999</v>
      </c>
      <c r="J1960" s="59" t="s">
        <v>916</v>
      </c>
      <c r="K1960" s="59" t="s">
        <v>1990</v>
      </c>
      <c r="L1960" s="59" t="s">
        <v>2737</v>
      </c>
      <c r="M1960" s="94">
        <v>32.56</v>
      </c>
      <c r="N1960" s="94">
        <v>-83.91</v>
      </c>
      <c r="O1960" s="93">
        <v>16</v>
      </c>
      <c r="P1960" s="59">
        <v>18.100000000000001</v>
      </c>
      <c r="Q1960" s="58"/>
      <c r="R1960" s="59">
        <v>1258</v>
      </c>
      <c r="S1960" s="94"/>
      <c r="T1960" s="58"/>
      <c r="U1960" s="59">
        <v>6</v>
      </c>
      <c r="V1960" s="58" t="s">
        <v>1933</v>
      </c>
      <c r="Y1960" s="58" t="s">
        <v>2059</v>
      </c>
      <c r="Z1960" s="58" t="s">
        <v>1382</v>
      </c>
      <c r="AA1960" s="94">
        <v>30</v>
      </c>
      <c r="AD1960" s="94">
        <f>AVERAGE(Sheet1!CH1960:CI1960)</f>
        <v>1.605</v>
      </c>
      <c r="AE1960" s="93">
        <v>65</v>
      </c>
      <c r="AF1960" s="93">
        <v>25</v>
      </c>
      <c r="AG1960" s="93"/>
      <c r="AH1960" s="58" t="s">
        <v>238</v>
      </c>
      <c r="AI1960" s="169"/>
      <c r="AJ1960" s="94"/>
      <c r="AK1960" s="94"/>
      <c r="AL1960" s="58"/>
      <c r="AM1960" s="59" t="s">
        <v>1987</v>
      </c>
      <c r="AN1960" s="188" t="s">
        <v>1986</v>
      </c>
      <c r="AO1960" s="185" t="s">
        <v>5150</v>
      </c>
      <c r="AP1960" s="59"/>
      <c r="AQ1960" s="58" t="s">
        <v>1546</v>
      </c>
      <c r="AR1960" s="59" t="s">
        <v>1985</v>
      </c>
      <c r="AS1960" s="55" t="s">
        <v>5133</v>
      </c>
      <c r="AT1960" s="182"/>
      <c r="AU1960" s="181" t="s">
        <v>7494</v>
      </c>
      <c r="AV1960" s="185" t="s">
        <v>176</v>
      </c>
      <c r="AW1960" s="58"/>
      <c r="AX1960" s="185" t="s">
        <v>176</v>
      </c>
      <c r="AY1960" s="58"/>
      <c r="AZ1960" s="59" t="s">
        <v>745</v>
      </c>
      <c r="BA1960" s="59" t="s">
        <v>745</v>
      </c>
      <c r="BB1960" s="59" t="s">
        <v>2081</v>
      </c>
      <c r="BC1960" s="59" t="s">
        <v>2081</v>
      </c>
      <c r="BD1960" s="55" t="s">
        <v>2071</v>
      </c>
      <c r="BE1960" s="236" t="s">
        <v>161</v>
      </c>
      <c r="BF1960" s="58"/>
      <c r="BG1960" s="191" t="s">
        <v>176</v>
      </c>
      <c r="BH1960" s="236"/>
      <c r="BI1960" s="58"/>
      <c r="BJ1960" s="152" t="s">
        <v>1983</v>
      </c>
      <c r="BK1960" s="58" t="s">
        <v>5976</v>
      </c>
      <c r="BL1960" s="58"/>
      <c r="BM1960" s="237" t="s">
        <v>160</v>
      </c>
      <c r="BN1960" s="59">
        <v>4</v>
      </c>
      <c r="BO1960" s="59">
        <v>4</v>
      </c>
      <c r="BP1960" s="59">
        <v>4</v>
      </c>
      <c r="BQ1960" s="58" t="s">
        <v>141</v>
      </c>
      <c r="BR1960" s="58"/>
      <c r="BS1960" s="58"/>
      <c r="BT1960" s="58"/>
      <c r="BU1960" s="58"/>
      <c r="BV1960" s="58"/>
      <c r="CB1960" s="153"/>
      <c r="CC1960" s="153"/>
      <c r="CD1960" s="153"/>
      <c r="CE1960" s="67"/>
      <c r="CH1960" s="93">
        <f>CI1960+0.02</f>
        <v>1.615</v>
      </c>
      <c r="CI1960" s="93">
        <v>1.595</v>
      </c>
      <c r="CM1960" s="67">
        <v>0.12590299277605779</v>
      </c>
      <c r="CN1960" s="67">
        <v>0.10113519091847266</v>
      </c>
      <c r="CR1960" s="65">
        <v>6.1</v>
      </c>
      <c r="CS1960" s="65">
        <v>4.8393188854489164</v>
      </c>
      <c r="CT1960" s="65">
        <v>2.2000000000000002</v>
      </c>
      <c r="CU1960" s="65">
        <v>2.2000000000000002</v>
      </c>
      <c r="CV1960" s="65" t="s">
        <v>962</v>
      </c>
      <c r="DA1960" s="65" t="s">
        <v>4458</v>
      </c>
      <c r="GP1960" s="292" t="s">
        <v>7494</v>
      </c>
      <c r="JU1960" s="59" t="s">
        <v>2040</v>
      </c>
      <c r="JV1960" s="58"/>
    </row>
    <row r="1961" spans="1:282" x14ac:dyDescent="0.25">
      <c r="A1961" s="55">
        <v>1960</v>
      </c>
      <c r="B1961" s="12" t="s">
        <v>7067</v>
      </c>
      <c r="C1961" s="157">
        <v>91</v>
      </c>
      <c r="D1961" s="59" t="s">
        <v>4104</v>
      </c>
      <c r="E1961" s="93" t="s">
        <v>741</v>
      </c>
      <c r="F1961" s="93"/>
      <c r="G1961" s="58" t="s">
        <v>2074</v>
      </c>
      <c r="H1961" s="59">
        <v>2006</v>
      </c>
      <c r="I1961" s="58">
        <v>1999</v>
      </c>
      <c r="J1961" s="59" t="s">
        <v>916</v>
      </c>
      <c r="K1961" s="59" t="s">
        <v>1990</v>
      </c>
      <c r="L1961" s="59" t="s">
        <v>2737</v>
      </c>
      <c r="M1961" s="94">
        <v>32.56</v>
      </c>
      <c r="N1961" s="94">
        <v>-83.91</v>
      </c>
      <c r="O1961" s="93">
        <v>16</v>
      </c>
      <c r="P1961" s="59">
        <v>18.100000000000001</v>
      </c>
      <c r="Q1961" s="58"/>
      <c r="R1961" s="59">
        <v>1258</v>
      </c>
      <c r="S1961" s="94"/>
      <c r="T1961" s="58"/>
      <c r="U1961" s="59">
        <v>6</v>
      </c>
      <c r="V1961" s="58" t="s">
        <v>1933</v>
      </c>
      <c r="Y1961" s="58" t="s">
        <v>2059</v>
      </c>
      <c r="Z1961" s="58" t="s">
        <v>1355</v>
      </c>
      <c r="AA1961" s="94">
        <v>10</v>
      </c>
      <c r="AD1961" s="94">
        <f>AVERAGE(Sheet1!CH1961:CI1961)</f>
        <v>1.526</v>
      </c>
      <c r="AE1961" s="93">
        <v>65</v>
      </c>
      <c r="AF1961" s="93">
        <v>25</v>
      </c>
      <c r="AG1961" s="93"/>
      <c r="AH1961" s="58" t="s">
        <v>238</v>
      </c>
      <c r="AI1961" s="169"/>
      <c r="AJ1961" s="94"/>
      <c r="AK1961" s="94"/>
      <c r="AL1961" s="58"/>
      <c r="AM1961" s="59" t="s">
        <v>1987</v>
      </c>
      <c r="AN1961" s="188" t="s">
        <v>1986</v>
      </c>
      <c r="AO1961" s="185" t="s">
        <v>5150</v>
      </c>
      <c r="AP1961" s="59"/>
      <c r="AQ1961" s="58" t="s">
        <v>1546</v>
      </c>
      <c r="AR1961" s="59" t="s">
        <v>1985</v>
      </c>
      <c r="AS1961" s="55" t="s">
        <v>5133</v>
      </c>
      <c r="AT1961" s="182"/>
      <c r="AU1961" s="181" t="s">
        <v>7494</v>
      </c>
      <c r="AV1961" s="185" t="s">
        <v>176</v>
      </c>
      <c r="AW1961" s="58"/>
      <c r="AX1961" s="185" t="s">
        <v>176</v>
      </c>
      <c r="AY1961" s="58"/>
      <c r="AZ1961" s="59" t="s">
        <v>745</v>
      </c>
      <c r="BA1961" s="59" t="s">
        <v>745</v>
      </c>
      <c r="BB1961" s="59" t="s">
        <v>2081</v>
      </c>
      <c r="BC1961" s="59" t="s">
        <v>2081</v>
      </c>
      <c r="BD1961" s="55" t="s">
        <v>176</v>
      </c>
      <c r="BE1961" s="236" t="s">
        <v>1989</v>
      </c>
      <c r="BF1961" s="58"/>
      <c r="BG1961" s="191" t="s">
        <v>479</v>
      </c>
      <c r="BH1961" s="236"/>
      <c r="BI1961" s="58"/>
      <c r="BJ1961" s="152" t="s">
        <v>1983</v>
      </c>
      <c r="BK1961" s="58" t="s">
        <v>5976</v>
      </c>
      <c r="BL1961" s="58"/>
      <c r="BM1961" s="237" t="s">
        <v>160</v>
      </c>
      <c r="BN1961" s="59">
        <v>4</v>
      </c>
      <c r="BO1961" s="59">
        <v>4</v>
      </c>
      <c r="BP1961" s="59">
        <v>4</v>
      </c>
      <c r="BQ1961" s="58" t="s">
        <v>141</v>
      </c>
      <c r="BR1961" s="58"/>
      <c r="BS1961" s="58"/>
      <c r="BT1961" s="58"/>
      <c r="BU1961" s="58"/>
      <c r="BV1961" s="58"/>
      <c r="CB1961" s="153"/>
      <c r="CC1961" s="153"/>
      <c r="CD1961" s="153"/>
      <c r="CE1961" s="67"/>
      <c r="CH1961" s="93">
        <f>CI1961+0.02</f>
        <v>1.536</v>
      </c>
      <c r="CI1961" s="93">
        <v>1.516</v>
      </c>
      <c r="CM1961" s="67">
        <v>0.57291666666666674</v>
      </c>
      <c r="CN1961" s="67">
        <v>0.59244791666666663</v>
      </c>
      <c r="CR1961" s="65">
        <v>8.8000000000000007</v>
      </c>
      <c r="CS1961" s="65">
        <v>8.9815104166666657</v>
      </c>
      <c r="CT1961" s="65">
        <v>1</v>
      </c>
      <c r="CU1961" s="65">
        <v>1</v>
      </c>
      <c r="CV1961" s="65" t="s">
        <v>962</v>
      </c>
      <c r="DA1961" s="65" t="s">
        <v>4458</v>
      </c>
      <c r="GP1961" s="292" t="s">
        <v>7494</v>
      </c>
      <c r="JU1961" s="59" t="s">
        <v>2040</v>
      </c>
      <c r="JV1961" s="58"/>
    </row>
    <row r="1962" spans="1:282" x14ac:dyDescent="0.25">
      <c r="A1962" s="55">
        <v>1961</v>
      </c>
      <c r="B1962" s="12" t="s">
        <v>7067</v>
      </c>
      <c r="C1962" s="157">
        <v>91</v>
      </c>
      <c r="D1962" s="59" t="s">
        <v>4105</v>
      </c>
      <c r="E1962" s="93" t="s">
        <v>741</v>
      </c>
      <c r="F1962" s="93"/>
      <c r="G1962" s="58" t="s">
        <v>2074</v>
      </c>
      <c r="H1962" s="59">
        <v>2006</v>
      </c>
      <c r="I1962" s="58">
        <v>1999</v>
      </c>
      <c r="J1962" s="59" t="s">
        <v>916</v>
      </c>
      <c r="K1962" s="59" t="s">
        <v>1990</v>
      </c>
      <c r="L1962" s="59" t="s">
        <v>2737</v>
      </c>
      <c r="M1962" s="94">
        <v>32.56</v>
      </c>
      <c r="N1962" s="94">
        <v>-83.91</v>
      </c>
      <c r="O1962" s="93">
        <v>16</v>
      </c>
      <c r="P1962" s="59">
        <v>18.100000000000001</v>
      </c>
      <c r="Q1962" s="58"/>
      <c r="R1962" s="59">
        <v>1258</v>
      </c>
      <c r="S1962" s="94"/>
      <c r="T1962" s="58"/>
      <c r="U1962" s="59">
        <v>6</v>
      </c>
      <c r="V1962" s="58" t="s">
        <v>1933</v>
      </c>
      <c r="Y1962" s="58" t="s">
        <v>2059</v>
      </c>
      <c r="Z1962" s="58" t="s">
        <v>1375</v>
      </c>
      <c r="AA1962" s="94">
        <v>20</v>
      </c>
      <c r="AD1962" s="94">
        <f>AVERAGE(Sheet1!CH1962:CI1962)</f>
        <v>1.5189999999999999</v>
      </c>
      <c r="AE1962" s="93">
        <v>65</v>
      </c>
      <c r="AF1962" s="93">
        <v>25</v>
      </c>
      <c r="AG1962" s="93"/>
      <c r="AH1962" s="58" t="s">
        <v>238</v>
      </c>
      <c r="AI1962" s="169"/>
      <c r="AJ1962" s="94"/>
      <c r="AK1962" s="94"/>
      <c r="AL1962" s="58"/>
      <c r="AM1962" s="59" t="s">
        <v>1987</v>
      </c>
      <c r="AN1962" s="188" t="s">
        <v>1986</v>
      </c>
      <c r="AO1962" s="185" t="s">
        <v>5150</v>
      </c>
      <c r="AP1962" s="59"/>
      <c r="AQ1962" s="58" t="s">
        <v>1546</v>
      </c>
      <c r="AR1962" s="59" t="s">
        <v>1985</v>
      </c>
      <c r="AS1962" s="55" t="s">
        <v>5133</v>
      </c>
      <c r="AT1962" s="182"/>
      <c r="AU1962" s="181" t="s">
        <v>7494</v>
      </c>
      <c r="AV1962" s="185" t="s">
        <v>176</v>
      </c>
      <c r="AW1962" s="58"/>
      <c r="AX1962" s="185" t="s">
        <v>176</v>
      </c>
      <c r="AY1962" s="58"/>
      <c r="AZ1962" s="59" t="s">
        <v>745</v>
      </c>
      <c r="BA1962" s="59" t="s">
        <v>745</v>
      </c>
      <c r="BB1962" s="59" t="s">
        <v>2081</v>
      </c>
      <c r="BC1962" s="59" t="s">
        <v>2081</v>
      </c>
      <c r="BD1962" s="55" t="s">
        <v>2071</v>
      </c>
      <c r="BE1962" s="236" t="s">
        <v>1989</v>
      </c>
      <c r="BF1962" s="58"/>
      <c r="BG1962" s="191" t="s">
        <v>479</v>
      </c>
      <c r="BH1962" s="236"/>
      <c r="BI1962" s="58"/>
      <c r="BJ1962" s="152" t="s">
        <v>1983</v>
      </c>
      <c r="BK1962" s="58" t="s">
        <v>5976</v>
      </c>
      <c r="BL1962" s="58"/>
      <c r="BM1962" s="237" t="s">
        <v>160</v>
      </c>
      <c r="BN1962" s="59">
        <v>4</v>
      </c>
      <c r="BO1962" s="59">
        <v>4</v>
      </c>
      <c r="BP1962" s="59">
        <v>4</v>
      </c>
      <c r="BQ1962" s="58" t="s">
        <v>141</v>
      </c>
      <c r="BR1962" s="58"/>
      <c r="BS1962" s="58"/>
      <c r="BT1962" s="58"/>
      <c r="BU1962" s="58"/>
      <c r="BV1962" s="58"/>
      <c r="CB1962" s="153"/>
      <c r="CC1962" s="153"/>
      <c r="CD1962" s="153"/>
      <c r="CE1962" s="67"/>
      <c r="CH1962" s="93">
        <f>CI1962+0.02</f>
        <v>1.5289999999999999</v>
      </c>
      <c r="CI1962" s="93">
        <v>1.5089999999999999</v>
      </c>
      <c r="CM1962" s="67">
        <v>0.45781556572923476</v>
      </c>
      <c r="CN1962" s="67">
        <v>0.48724656638325708</v>
      </c>
      <c r="CR1962" s="65">
        <v>13.999999999999998</v>
      </c>
      <c r="CS1962" s="65">
        <v>14.705101373446697</v>
      </c>
      <c r="CT1962" s="65">
        <v>2.2999999999999998</v>
      </c>
      <c r="CU1962" s="65">
        <v>2.2999999999999998</v>
      </c>
      <c r="CV1962" s="65" t="s">
        <v>962</v>
      </c>
      <c r="DA1962" s="65" t="s">
        <v>4458</v>
      </c>
      <c r="GP1962" s="292" t="s">
        <v>7494</v>
      </c>
      <c r="JU1962" s="59" t="s">
        <v>2040</v>
      </c>
      <c r="JV1962" s="58"/>
    </row>
    <row r="1963" spans="1:282" x14ac:dyDescent="0.25">
      <c r="A1963" s="55">
        <v>1962</v>
      </c>
      <c r="B1963" s="12" t="s">
        <v>7067</v>
      </c>
      <c r="C1963" s="157">
        <v>91</v>
      </c>
      <c r="D1963" s="59" t="s">
        <v>4106</v>
      </c>
      <c r="E1963" s="93" t="s">
        <v>741</v>
      </c>
      <c r="F1963" s="93"/>
      <c r="G1963" s="58" t="s">
        <v>2074</v>
      </c>
      <c r="H1963" s="59">
        <v>2006</v>
      </c>
      <c r="I1963" s="58">
        <v>1999</v>
      </c>
      <c r="J1963" s="59" t="s">
        <v>916</v>
      </c>
      <c r="K1963" s="59" t="s">
        <v>1990</v>
      </c>
      <c r="L1963" s="59" t="s">
        <v>2737</v>
      </c>
      <c r="M1963" s="94">
        <v>32.56</v>
      </c>
      <c r="N1963" s="94">
        <v>-83.91</v>
      </c>
      <c r="O1963" s="93">
        <v>16</v>
      </c>
      <c r="P1963" s="59">
        <v>18.100000000000001</v>
      </c>
      <c r="Q1963" s="58"/>
      <c r="R1963" s="59">
        <v>1258</v>
      </c>
      <c r="S1963" s="94"/>
      <c r="T1963" s="58"/>
      <c r="U1963" s="59">
        <v>6</v>
      </c>
      <c r="V1963" s="58" t="s">
        <v>1933</v>
      </c>
      <c r="Y1963" s="58" t="s">
        <v>2059</v>
      </c>
      <c r="Z1963" s="58" t="s">
        <v>1369</v>
      </c>
      <c r="AA1963" s="94">
        <v>30</v>
      </c>
      <c r="AD1963" s="94">
        <f>AVERAGE(Sheet1!CH1963:CI1963)</f>
        <v>1.43</v>
      </c>
      <c r="AE1963" s="93">
        <v>65</v>
      </c>
      <c r="AF1963" s="93">
        <v>25</v>
      </c>
      <c r="AG1963" s="93"/>
      <c r="AH1963" s="58" t="s">
        <v>238</v>
      </c>
      <c r="AI1963" s="169"/>
      <c r="AJ1963" s="94"/>
      <c r="AK1963" s="94"/>
      <c r="AL1963" s="58"/>
      <c r="AM1963" s="59" t="s">
        <v>1987</v>
      </c>
      <c r="AN1963" s="188" t="s">
        <v>1986</v>
      </c>
      <c r="AO1963" s="185" t="s">
        <v>5150</v>
      </c>
      <c r="AP1963" s="59"/>
      <c r="AQ1963" s="58" t="s">
        <v>1546</v>
      </c>
      <c r="AR1963" s="59" t="s">
        <v>1985</v>
      </c>
      <c r="AS1963" s="55" t="s">
        <v>5133</v>
      </c>
      <c r="AT1963" s="182"/>
      <c r="AU1963" s="181" t="s">
        <v>7494</v>
      </c>
      <c r="AV1963" s="185" t="s">
        <v>176</v>
      </c>
      <c r="AW1963" s="58"/>
      <c r="AX1963" s="185" t="s">
        <v>176</v>
      </c>
      <c r="AY1963" s="58"/>
      <c r="AZ1963" s="59" t="s">
        <v>745</v>
      </c>
      <c r="BA1963" s="59" t="s">
        <v>745</v>
      </c>
      <c r="BB1963" s="59" t="s">
        <v>2081</v>
      </c>
      <c r="BC1963" s="59" t="s">
        <v>2081</v>
      </c>
      <c r="BD1963" s="55" t="s">
        <v>176</v>
      </c>
      <c r="BE1963" s="236" t="s">
        <v>1989</v>
      </c>
      <c r="BF1963" s="58"/>
      <c r="BG1963" s="191" t="s">
        <v>479</v>
      </c>
      <c r="BH1963" s="236"/>
      <c r="BI1963" s="58"/>
      <c r="BJ1963" s="152" t="s">
        <v>1983</v>
      </c>
      <c r="BK1963" s="58" t="s">
        <v>5976</v>
      </c>
      <c r="BL1963" s="58"/>
      <c r="BM1963" s="237" t="s">
        <v>160</v>
      </c>
      <c r="BN1963" s="59">
        <v>4</v>
      </c>
      <c r="BO1963" s="59">
        <v>4</v>
      </c>
      <c r="BP1963" s="59">
        <v>4</v>
      </c>
      <c r="BQ1963" s="58" t="s">
        <v>141</v>
      </c>
      <c r="BR1963" s="58"/>
      <c r="BS1963" s="58"/>
      <c r="BT1963" s="58"/>
      <c r="BU1963" s="58"/>
      <c r="BV1963" s="58"/>
      <c r="CB1963" s="153"/>
      <c r="CC1963" s="153"/>
      <c r="CD1963" s="153"/>
      <c r="CE1963" s="67"/>
      <c r="CH1963" s="93">
        <f>CI1963+0.02</f>
        <v>1.44</v>
      </c>
      <c r="CI1963" s="93">
        <v>1.42</v>
      </c>
      <c r="CM1963" s="67">
        <v>0.23379629629629628</v>
      </c>
      <c r="CN1963" s="67">
        <v>0.24537037037037035</v>
      </c>
      <c r="CR1963" s="65">
        <v>10.099999999999998</v>
      </c>
      <c r="CS1963" s="65">
        <v>10.452777777777778</v>
      </c>
      <c r="CT1963" s="65">
        <v>3.4</v>
      </c>
      <c r="CU1963" s="65">
        <v>3.4</v>
      </c>
      <c r="CV1963" s="65" t="s">
        <v>962</v>
      </c>
      <c r="DA1963" s="65" t="s">
        <v>4458</v>
      </c>
      <c r="GP1963" s="292" t="s">
        <v>7494</v>
      </c>
      <c r="JU1963" s="59" t="s">
        <v>2040</v>
      </c>
      <c r="JV1963" s="58"/>
    </row>
    <row r="1964" spans="1:282" x14ac:dyDescent="0.25">
      <c r="A1964" s="55">
        <v>1963</v>
      </c>
      <c r="B1964" s="12" t="s">
        <v>7067</v>
      </c>
      <c r="C1964" s="157">
        <v>91</v>
      </c>
      <c r="D1964" s="59" t="s">
        <v>4107</v>
      </c>
      <c r="E1964" s="93" t="s">
        <v>741</v>
      </c>
      <c r="F1964" s="93"/>
      <c r="G1964" s="58" t="s">
        <v>2074</v>
      </c>
      <c r="H1964" s="59">
        <v>2006</v>
      </c>
      <c r="I1964" s="58">
        <v>1999</v>
      </c>
      <c r="J1964" s="59" t="s">
        <v>916</v>
      </c>
      <c r="K1964" s="59" t="s">
        <v>1990</v>
      </c>
      <c r="L1964" s="59" t="s">
        <v>2737</v>
      </c>
      <c r="M1964" s="94">
        <v>32.56</v>
      </c>
      <c r="N1964" s="94">
        <v>-83.91</v>
      </c>
      <c r="O1964" s="93">
        <v>16</v>
      </c>
      <c r="P1964" s="59">
        <v>18.100000000000001</v>
      </c>
      <c r="Q1964" s="58"/>
      <c r="R1964" s="59">
        <v>1258</v>
      </c>
      <c r="S1964" s="94"/>
      <c r="T1964" s="58"/>
      <c r="U1964" s="59">
        <v>6</v>
      </c>
      <c r="V1964" s="58" t="s">
        <v>1933</v>
      </c>
      <c r="Y1964" s="58" t="s">
        <v>2059</v>
      </c>
      <c r="Z1964" s="58" t="s">
        <v>1370</v>
      </c>
      <c r="AA1964" s="94">
        <v>30</v>
      </c>
      <c r="AD1964" s="94">
        <f>AVERAGE(Sheet1!CH1964:CI1964)</f>
        <v>1.6160000000000001</v>
      </c>
      <c r="AE1964" s="93">
        <v>65</v>
      </c>
      <c r="AF1964" s="93">
        <v>25</v>
      </c>
      <c r="AG1964" s="93"/>
      <c r="AH1964" s="58" t="s">
        <v>238</v>
      </c>
      <c r="AI1964" s="169"/>
      <c r="AJ1964" s="94"/>
      <c r="AK1964" s="94"/>
      <c r="AL1964" s="58"/>
      <c r="AM1964" s="59" t="s">
        <v>1987</v>
      </c>
      <c r="AN1964" s="188" t="s">
        <v>1986</v>
      </c>
      <c r="AO1964" s="185" t="s">
        <v>5150</v>
      </c>
      <c r="AP1964" s="59"/>
      <c r="AQ1964" s="58" t="s">
        <v>1546</v>
      </c>
      <c r="AR1964" s="59" t="s">
        <v>1985</v>
      </c>
      <c r="AS1964" s="55" t="s">
        <v>5133</v>
      </c>
      <c r="AT1964" s="182"/>
      <c r="AU1964" s="181" t="s">
        <v>7494</v>
      </c>
      <c r="AV1964" s="185" t="s">
        <v>176</v>
      </c>
      <c r="AW1964" s="58"/>
      <c r="AX1964" s="185" t="s">
        <v>176</v>
      </c>
      <c r="AY1964" s="58"/>
      <c r="AZ1964" s="59" t="s">
        <v>745</v>
      </c>
      <c r="BA1964" s="59" t="s">
        <v>745</v>
      </c>
      <c r="BB1964" s="59" t="s">
        <v>2081</v>
      </c>
      <c r="BC1964" s="59" t="s">
        <v>2081</v>
      </c>
      <c r="BD1964" s="55" t="s">
        <v>2071</v>
      </c>
      <c r="BE1964" s="236" t="s">
        <v>1989</v>
      </c>
      <c r="BF1964" s="58"/>
      <c r="BG1964" s="191" t="s">
        <v>479</v>
      </c>
      <c r="BH1964" s="236"/>
      <c r="BI1964" s="58"/>
      <c r="BJ1964" s="152" t="s">
        <v>1983</v>
      </c>
      <c r="BK1964" s="58" t="s">
        <v>5976</v>
      </c>
      <c r="BL1964" s="58"/>
      <c r="BM1964" s="237" t="s">
        <v>160</v>
      </c>
      <c r="BN1964" s="59">
        <v>4</v>
      </c>
      <c r="BO1964" s="59">
        <v>4</v>
      </c>
      <c r="BP1964" s="59">
        <v>4</v>
      </c>
      <c r="BQ1964" s="58" t="s">
        <v>141</v>
      </c>
      <c r="BR1964" s="58"/>
      <c r="BS1964" s="58"/>
      <c r="BT1964" s="58"/>
      <c r="BU1964" s="58"/>
      <c r="BV1964" s="58"/>
      <c r="CB1964" s="153"/>
      <c r="CC1964" s="153"/>
      <c r="CD1964" s="153"/>
      <c r="CE1964" s="67"/>
      <c r="CH1964" s="93">
        <f>CI1964+0.02</f>
        <v>1.6260000000000001</v>
      </c>
      <c r="CI1964" s="93">
        <v>1.6060000000000001</v>
      </c>
      <c r="CM1964" s="67">
        <v>0.16400164001640014</v>
      </c>
      <c r="CN1964" s="67">
        <v>0.14965149651496512</v>
      </c>
      <c r="CR1964" s="65">
        <v>7.9999999999999991</v>
      </c>
      <c r="CS1964" s="65">
        <v>7.2102091020910191</v>
      </c>
      <c r="CT1964" s="65">
        <v>3.4</v>
      </c>
      <c r="CU1964" s="65">
        <v>3.4</v>
      </c>
      <c r="CV1964" s="65" t="s">
        <v>962</v>
      </c>
      <c r="DA1964" s="65" t="s">
        <v>4458</v>
      </c>
      <c r="GP1964" s="292" t="s">
        <v>7494</v>
      </c>
      <c r="JU1964" s="59" t="s">
        <v>2040</v>
      </c>
      <c r="JV1964" s="58"/>
    </row>
    <row r="1965" spans="1:282" x14ac:dyDescent="0.25">
      <c r="A1965" s="55">
        <v>1964</v>
      </c>
      <c r="B1965" s="12" t="s">
        <v>7067</v>
      </c>
      <c r="C1965" s="157">
        <v>91</v>
      </c>
      <c r="D1965" s="59" t="s">
        <v>4108</v>
      </c>
      <c r="E1965" s="93" t="s">
        <v>741</v>
      </c>
      <c r="F1965" s="93"/>
      <c r="G1965" s="58" t="s">
        <v>2074</v>
      </c>
      <c r="H1965" s="59">
        <v>2006</v>
      </c>
      <c r="I1965" s="58">
        <v>1999</v>
      </c>
      <c r="J1965" s="59" t="s">
        <v>916</v>
      </c>
      <c r="K1965" s="59" t="s">
        <v>1990</v>
      </c>
      <c r="L1965" s="59" t="s">
        <v>2737</v>
      </c>
      <c r="M1965" s="94">
        <v>32.56</v>
      </c>
      <c r="N1965" s="94">
        <v>-83.91</v>
      </c>
      <c r="O1965" s="93">
        <v>16</v>
      </c>
      <c r="P1965" s="59">
        <v>18.100000000000001</v>
      </c>
      <c r="Q1965" s="58"/>
      <c r="R1965" s="59">
        <v>1258</v>
      </c>
      <c r="S1965" s="94"/>
      <c r="T1965" s="58"/>
      <c r="U1965" s="59">
        <v>6</v>
      </c>
      <c r="V1965" s="58" t="s">
        <v>1933</v>
      </c>
      <c r="Y1965" s="58" t="s">
        <v>2059</v>
      </c>
      <c r="Z1965" s="58" t="s">
        <v>1382</v>
      </c>
      <c r="AA1965" s="94">
        <v>30</v>
      </c>
      <c r="AD1965" s="94">
        <f>AVERAGE(Sheet1!CH1965:CI1965)</f>
        <v>1.605</v>
      </c>
      <c r="AE1965" s="93">
        <v>65</v>
      </c>
      <c r="AF1965" s="93">
        <v>25</v>
      </c>
      <c r="AG1965" s="93"/>
      <c r="AH1965" s="58" t="s">
        <v>238</v>
      </c>
      <c r="AI1965" s="169"/>
      <c r="AJ1965" s="94"/>
      <c r="AK1965" s="94"/>
      <c r="AL1965" s="58"/>
      <c r="AM1965" s="59" t="s">
        <v>1987</v>
      </c>
      <c r="AN1965" s="188" t="s">
        <v>1986</v>
      </c>
      <c r="AO1965" s="185" t="s">
        <v>5150</v>
      </c>
      <c r="AP1965" s="59"/>
      <c r="AQ1965" s="58" t="s">
        <v>1546</v>
      </c>
      <c r="AR1965" s="59" t="s">
        <v>1985</v>
      </c>
      <c r="AS1965" s="55" t="s">
        <v>5133</v>
      </c>
      <c r="AT1965" s="182"/>
      <c r="AU1965" s="181" t="s">
        <v>7494</v>
      </c>
      <c r="AV1965" s="185" t="s">
        <v>176</v>
      </c>
      <c r="AW1965" s="58"/>
      <c r="AX1965" s="185" t="s">
        <v>176</v>
      </c>
      <c r="AY1965" s="58"/>
      <c r="AZ1965" s="59" t="s">
        <v>745</v>
      </c>
      <c r="BA1965" s="59" t="s">
        <v>745</v>
      </c>
      <c r="BB1965" s="59" t="s">
        <v>2081</v>
      </c>
      <c r="BC1965" s="59" t="s">
        <v>2081</v>
      </c>
      <c r="BD1965" s="55" t="s">
        <v>176</v>
      </c>
      <c r="BE1965" s="236" t="s">
        <v>1989</v>
      </c>
      <c r="BF1965" s="58"/>
      <c r="BG1965" s="191" t="s">
        <v>479</v>
      </c>
      <c r="BH1965" s="236"/>
      <c r="BI1965" s="58"/>
      <c r="BJ1965" s="152" t="s">
        <v>1983</v>
      </c>
      <c r="BK1965" s="58" t="s">
        <v>5976</v>
      </c>
      <c r="BL1965" s="58"/>
      <c r="BM1965" s="237" t="s">
        <v>160</v>
      </c>
      <c r="BN1965" s="59">
        <v>4</v>
      </c>
      <c r="BO1965" s="59">
        <v>4</v>
      </c>
      <c r="BP1965" s="59">
        <v>4</v>
      </c>
      <c r="BQ1965" s="58" t="s">
        <v>141</v>
      </c>
      <c r="BR1965" s="58"/>
      <c r="BS1965" s="58"/>
      <c r="BT1965" s="58"/>
      <c r="BU1965" s="58"/>
      <c r="BV1965" s="58"/>
      <c r="CB1965" s="153"/>
      <c r="CC1965" s="153"/>
      <c r="CD1965" s="153"/>
      <c r="CE1965" s="67"/>
      <c r="CH1965" s="93">
        <f>CI1965+0.02</f>
        <v>1.615</v>
      </c>
      <c r="CI1965" s="93">
        <v>1.595</v>
      </c>
      <c r="CM1965" s="67">
        <v>0.1155830753353973</v>
      </c>
      <c r="CN1965" s="67">
        <v>0.11145510835913314</v>
      </c>
      <c r="CR1965" s="65">
        <v>5.6</v>
      </c>
      <c r="CS1965" s="65">
        <v>5.3331269349845201</v>
      </c>
      <c r="CT1965" s="65">
        <v>2.2000000000000002</v>
      </c>
      <c r="CU1965" s="65">
        <v>2.2000000000000002</v>
      </c>
      <c r="CV1965" s="65" t="s">
        <v>962</v>
      </c>
      <c r="DA1965" s="65" t="s">
        <v>4458</v>
      </c>
      <c r="GP1965" s="292" t="s">
        <v>7494</v>
      </c>
      <c r="JU1965" s="59" t="s">
        <v>2040</v>
      </c>
      <c r="JV1965" s="58"/>
    </row>
    <row r="1966" spans="1:282" x14ac:dyDescent="0.25">
      <c r="A1966" s="55">
        <v>1965</v>
      </c>
      <c r="B1966" s="12" t="s">
        <v>7067</v>
      </c>
      <c r="C1966" s="157">
        <v>91</v>
      </c>
      <c r="D1966" s="59" t="s">
        <v>4109</v>
      </c>
      <c r="E1966" s="93" t="s">
        <v>741</v>
      </c>
      <c r="F1966" s="93"/>
      <c r="G1966" s="58" t="s">
        <v>2074</v>
      </c>
      <c r="H1966" s="59">
        <v>2006</v>
      </c>
      <c r="I1966" s="58">
        <v>1999</v>
      </c>
      <c r="J1966" s="59" t="s">
        <v>916</v>
      </c>
      <c r="K1966" s="59" t="s">
        <v>1990</v>
      </c>
      <c r="L1966" s="59" t="s">
        <v>2737</v>
      </c>
      <c r="M1966" s="94">
        <v>32.56</v>
      </c>
      <c r="N1966" s="94">
        <v>-83.91</v>
      </c>
      <c r="O1966" s="93">
        <v>16</v>
      </c>
      <c r="P1966" s="59">
        <v>18.100000000000001</v>
      </c>
      <c r="Q1966" s="58"/>
      <c r="R1966" s="59">
        <v>1258</v>
      </c>
      <c r="S1966" s="94"/>
      <c r="T1966" s="58"/>
      <c r="U1966" s="59">
        <v>6</v>
      </c>
      <c r="V1966" s="58" t="s">
        <v>1933</v>
      </c>
      <c r="Y1966" s="58" t="s">
        <v>2059</v>
      </c>
      <c r="Z1966" s="58" t="s">
        <v>1355</v>
      </c>
      <c r="AA1966" s="94">
        <v>10</v>
      </c>
      <c r="AD1966" s="94">
        <f>AVERAGE(Sheet1!CH1966:CI1966)</f>
        <v>1.526</v>
      </c>
      <c r="AE1966" s="93">
        <v>65</v>
      </c>
      <c r="AF1966" s="93">
        <v>25</v>
      </c>
      <c r="AG1966" s="93"/>
      <c r="AH1966" s="58" t="s">
        <v>238</v>
      </c>
      <c r="AI1966" s="169"/>
      <c r="AJ1966" s="94"/>
      <c r="AK1966" s="94"/>
      <c r="AL1966" s="58"/>
      <c r="AM1966" s="59" t="s">
        <v>1987</v>
      </c>
      <c r="AN1966" s="188" t="s">
        <v>1986</v>
      </c>
      <c r="AO1966" s="185" t="s">
        <v>5150</v>
      </c>
      <c r="AP1966" s="59"/>
      <c r="AQ1966" s="58" t="s">
        <v>1546</v>
      </c>
      <c r="AR1966" s="59" t="s">
        <v>1985</v>
      </c>
      <c r="AS1966" s="55" t="s">
        <v>5133</v>
      </c>
      <c r="AT1966" s="182"/>
      <c r="AU1966" s="181" t="s">
        <v>7494</v>
      </c>
      <c r="AV1966" s="185" t="s">
        <v>176</v>
      </c>
      <c r="AW1966" s="58"/>
      <c r="AX1966" s="185" t="s">
        <v>176</v>
      </c>
      <c r="AY1966" s="58"/>
      <c r="AZ1966" s="59" t="s">
        <v>745</v>
      </c>
      <c r="BA1966" s="59" t="s">
        <v>745</v>
      </c>
      <c r="BB1966" s="59" t="s">
        <v>2081</v>
      </c>
      <c r="BC1966" s="59" t="s">
        <v>2081</v>
      </c>
      <c r="BD1966" s="55" t="s">
        <v>2071</v>
      </c>
      <c r="BE1966" s="236" t="s">
        <v>1984</v>
      </c>
      <c r="BF1966" s="58"/>
      <c r="BG1966" s="191" t="s">
        <v>479</v>
      </c>
      <c r="BH1966" s="236"/>
      <c r="BI1966" s="58"/>
      <c r="BJ1966" s="152" t="s">
        <v>1983</v>
      </c>
      <c r="BK1966" s="58" t="s">
        <v>5976</v>
      </c>
      <c r="BL1966" s="58"/>
      <c r="BM1966" s="237" t="s">
        <v>160</v>
      </c>
      <c r="BN1966" s="59">
        <v>4</v>
      </c>
      <c r="BO1966" s="59">
        <v>4</v>
      </c>
      <c r="BP1966" s="59">
        <v>4</v>
      </c>
      <c r="BQ1966" s="58" t="s">
        <v>141</v>
      </c>
      <c r="BR1966" s="58"/>
      <c r="BS1966" s="58"/>
      <c r="BT1966" s="58"/>
      <c r="BU1966" s="58"/>
      <c r="BV1966" s="58"/>
      <c r="CB1966" s="153"/>
      <c r="CC1966" s="153"/>
      <c r="CD1966" s="153"/>
      <c r="CE1966" s="67"/>
      <c r="CH1966" s="93">
        <f>CI1966+0.02</f>
        <v>1.536</v>
      </c>
      <c r="CI1966" s="93">
        <v>1.516</v>
      </c>
      <c r="CM1966" s="67">
        <v>0.6640625</v>
      </c>
      <c r="CN1966" s="67">
        <v>0.703125</v>
      </c>
      <c r="CR1966" s="65">
        <v>10.200000000000001</v>
      </c>
      <c r="CS1966" s="65">
        <v>10.659375000000001</v>
      </c>
      <c r="CT1966" s="65">
        <v>1</v>
      </c>
      <c r="CU1966" s="65">
        <v>1</v>
      </c>
      <c r="CV1966" s="65" t="s">
        <v>962</v>
      </c>
      <c r="DA1966" s="65" t="s">
        <v>4458</v>
      </c>
      <c r="GP1966" s="292" t="s">
        <v>7494</v>
      </c>
      <c r="JU1966" s="59" t="s">
        <v>2040</v>
      </c>
      <c r="JV1966" s="58"/>
    </row>
    <row r="1967" spans="1:282" x14ac:dyDescent="0.25">
      <c r="A1967" s="55">
        <v>1966</v>
      </c>
      <c r="B1967" s="12" t="s">
        <v>7067</v>
      </c>
      <c r="C1967" s="157">
        <v>91</v>
      </c>
      <c r="D1967" s="59" t="s">
        <v>4110</v>
      </c>
      <c r="E1967" s="93" t="s">
        <v>741</v>
      </c>
      <c r="F1967" s="93"/>
      <c r="G1967" s="58" t="s">
        <v>2074</v>
      </c>
      <c r="H1967" s="59">
        <v>2006</v>
      </c>
      <c r="I1967" s="58">
        <v>1999</v>
      </c>
      <c r="J1967" s="59" t="s">
        <v>916</v>
      </c>
      <c r="K1967" s="59" t="s">
        <v>1990</v>
      </c>
      <c r="L1967" s="59" t="s">
        <v>2737</v>
      </c>
      <c r="M1967" s="94">
        <v>32.56</v>
      </c>
      <c r="N1967" s="94">
        <v>-83.91</v>
      </c>
      <c r="O1967" s="93">
        <v>16</v>
      </c>
      <c r="P1967" s="59">
        <v>18.100000000000001</v>
      </c>
      <c r="Q1967" s="58"/>
      <c r="R1967" s="59">
        <v>1258</v>
      </c>
      <c r="S1967" s="94"/>
      <c r="T1967" s="58"/>
      <c r="U1967" s="59">
        <v>6</v>
      </c>
      <c r="V1967" s="58" t="s">
        <v>1933</v>
      </c>
      <c r="Y1967" s="58" t="s">
        <v>2059</v>
      </c>
      <c r="Z1967" s="58" t="s">
        <v>1375</v>
      </c>
      <c r="AA1967" s="94">
        <v>20</v>
      </c>
      <c r="AD1967" s="94">
        <f>AVERAGE(Sheet1!CH1967:CI1967)</f>
        <v>1.5189999999999999</v>
      </c>
      <c r="AE1967" s="93">
        <v>65</v>
      </c>
      <c r="AF1967" s="93">
        <v>25</v>
      </c>
      <c r="AG1967" s="93"/>
      <c r="AH1967" s="58" t="s">
        <v>238</v>
      </c>
      <c r="AI1967" s="169"/>
      <c r="AJ1967" s="94"/>
      <c r="AK1967" s="94"/>
      <c r="AL1967" s="58"/>
      <c r="AM1967" s="59" t="s">
        <v>1987</v>
      </c>
      <c r="AN1967" s="188" t="s">
        <v>1986</v>
      </c>
      <c r="AO1967" s="185" t="s">
        <v>5150</v>
      </c>
      <c r="AP1967" s="59"/>
      <c r="AQ1967" s="58" t="s">
        <v>1546</v>
      </c>
      <c r="AR1967" s="59" t="s">
        <v>1985</v>
      </c>
      <c r="AS1967" s="55" t="s">
        <v>5133</v>
      </c>
      <c r="AT1967" s="182"/>
      <c r="AU1967" s="181" t="s">
        <v>7494</v>
      </c>
      <c r="AV1967" s="185" t="s">
        <v>176</v>
      </c>
      <c r="AW1967" s="58"/>
      <c r="AX1967" s="185" t="s">
        <v>176</v>
      </c>
      <c r="AY1967" s="58"/>
      <c r="AZ1967" s="59" t="s">
        <v>745</v>
      </c>
      <c r="BA1967" s="59" t="s">
        <v>745</v>
      </c>
      <c r="BB1967" s="59" t="s">
        <v>2081</v>
      </c>
      <c r="BC1967" s="59" t="s">
        <v>2081</v>
      </c>
      <c r="BD1967" s="55" t="s">
        <v>176</v>
      </c>
      <c r="BE1967" s="236" t="s">
        <v>1984</v>
      </c>
      <c r="BF1967" s="58"/>
      <c r="BG1967" s="191" t="s">
        <v>479</v>
      </c>
      <c r="BH1967" s="236"/>
      <c r="BI1967" s="58"/>
      <c r="BJ1967" s="152" t="s">
        <v>1983</v>
      </c>
      <c r="BK1967" s="58" t="s">
        <v>5976</v>
      </c>
      <c r="BL1967" s="58"/>
      <c r="BM1967" s="237" t="s">
        <v>160</v>
      </c>
      <c r="BN1967" s="59">
        <v>4</v>
      </c>
      <c r="BO1967" s="59">
        <v>4</v>
      </c>
      <c r="BP1967" s="59">
        <v>4</v>
      </c>
      <c r="BQ1967" s="58" t="s">
        <v>141</v>
      </c>
      <c r="BR1967" s="58"/>
      <c r="BS1967" s="58"/>
      <c r="BT1967" s="58"/>
      <c r="BU1967" s="58"/>
      <c r="BV1967" s="58"/>
      <c r="CB1967" s="153"/>
      <c r="CC1967" s="153"/>
      <c r="CD1967" s="153"/>
      <c r="CE1967" s="67"/>
      <c r="CH1967" s="93">
        <f>CI1967+0.02</f>
        <v>1.5289999999999999</v>
      </c>
      <c r="CI1967" s="93">
        <v>1.5089999999999999</v>
      </c>
      <c r="CM1967" s="67">
        <v>0.50686723348593854</v>
      </c>
      <c r="CN1967" s="67">
        <v>0.4937867887508175</v>
      </c>
      <c r="CR1967" s="65">
        <v>15.5</v>
      </c>
      <c r="CS1967" s="65">
        <v>14.902485284499669</v>
      </c>
      <c r="CT1967" s="65">
        <v>2.2999999999999998</v>
      </c>
      <c r="CU1967" s="65">
        <v>2.2999999999999998</v>
      </c>
      <c r="CV1967" s="65" t="s">
        <v>962</v>
      </c>
      <c r="DA1967" s="65" t="s">
        <v>4458</v>
      </c>
      <c r="GP1967" s="292" t="s">
        <v>7494</v>
      </c>
      <c r="JU1967" s="59" t="s">
        <v>2040</v>
      </c>
      <c r="JV1967" s="58"/>
    </row>
    <row r="1968" spans="1:282" x14ac:dyDescent="0.25">
      <c r="A1968" s="55">
        <v>1967</v>
      </c>
      <c r="B1968" s="12" t="s">
        <v>7067</v>
      </c>
      <c r="C1968" s="157">
        <v>91</v>
      </c>
      <c r="D1968" s="59" t="s">
        <v>4111</v>
      </c>
      <c r="E1968" s="93" t="s">
        <v>741</v>
      </c>
      <c r="F1968" s="93"/>
      <c r="G1968" s="58" t="s">
        <v>2074</v>
      </c>
      <c r="H1968" s="59">
        <v>2006</v>
      </c>
      <c r="I1968" s="58">
        <v>1999</v>
      </c>
      <c r="J1968" s="59" t="s">
        <v>916</v>
      </c>
      <c r="K1968" s="59" t="s">
        <v>1990</v>
      </c>
      <c r="L1968" s="59" t="s">
        <v>2737</v>
      </c>
      <c r="M1968" s="94">
        <v>32.56</v>
      </c>
      <c r="N1968" s="94">
        <v>-83.91</v>
      </c>
      <c r="O1968" s="93">
        <v>16</v>
      </c>
      <c r="P1968" s="59">
        <v>18.100000000000001</v>
      </c>
      <c r="Q1968" s="58"/>
      <c r="R1968" s="59">
        <v>1258</v>
      </c>
      <c r="S1968" s="94"/>
      <c r="T1968" s="58"/>
      <c r="U1968" s="59">
        <v>6</v>
      </c>
      <c r="V1968" s="58" t="s">
        <v>1933</v>
      </c>
      <c r="Y1968" s="58" t="s">
        <v>2059</v>
      </c>
      <c r="Z1968" s="58" t="s">
        <v>1369</v>
      </c>
      <c r="AA1968" s="94">
        <v>30</v>
      </c>
      <c r="AD1968" s="94">
        <f>AVERAGE(Sheet1!CH1968:CI1968)</f>
        <v>1.43</v>
      </c>
      <c r="AE1968" s="93">
        <v>65</v>
      </c>
      <c r="AF1968" s="93">
        <v>25</v>
      </c>
      <c r="AG1968" s="93"/>
      <c r="AH1968" s="58" t="s">
        <v>238</v>
      </c>
      <c r="AI1968" s="169"/>
      <c r="AJ1968" s="94"/>
      <c r="AK1968" s="94"/>
      <c r="AL1968" s="58"/>
      <c r="AM1968" s="59" t="s">
        <v>1987</v>
      </c>
      <c r="AN1968" s="188" t="s">
        <v>1986</v>
      </c>
      <c r="AO1968" s="185" t="s">
        <v>5150</v>
      </c>
      <c r="AP1968" s="59"/>
      <c r="AQ1968" s="58" t="s">
        <v>1546</v>
      </c>
      <c r="AR1968" s="59" t="s">
        <v>1985</v>
      </c>
      <c r="AS1968" s="55" t="s">
        <v>5133</v>
      </c>
      <c r="AT1968" s="182"/>
      <c r="AU1968" s="181" t="s">
        <v>7494</v>
      </c>
      <c r="AV1968" s="185" t="s">
        <v>176</v>
      </c>
      <c r="AW1968" s="58"/>
      <c r="AX1968" s="185" t="s">
        <v>176</v>
      </c>
      <c r="AY1968" s="58"/>
      <c r="AZ1968" s="59" t="s">
        <v>745</v>
      </c>
      <c r="BA1968" s="59" t="s">
        <v>745</v>
      </c>
      <c r="BB1968" s="59" t="s">
        <v>2081</v>
      </c>
      <c r="BC1968" s="59" t="s">
        <v>2081</v>
      </c>
      <c r="BD1968" s="55" t="s">
        <v>2071</v>
      </c>
      <c r="BE1968" s="236" t="s">
        <v>1984</v>
      </c>
      <c r="BF1968" s="58"/>
      <c r="BG1968" s="191" t="s">
        <v>479</v>
      </c>
      <c r="BH1968" s="236"/>
      <c r="BI1968" s="58"/>
      <c r="BJ1968" s="152" t="s">
        <v>1983</v>
      </c>
      <c r="BK1968" s="58" t="s">
        <v>5976</v>
      </c>
      <c r="BL1968" s="58"/>
      <c r="BM1968" s="237" t="s">
        <v>160</v>
      </c>
      <c r="BN1968" s="59">
        <v>4</v>
      </c>
      <c r="BO1968" s="59">
        <v>4</v>
      </c>
      <c r="BP1968" s="59">
        <v>4</v>
      </c>
      <c r="BQ1968" s="58" t="s">
        <v>141</v>
      </c>
      <c r="BR1968" s="58"/>
      <c r="BS1968" s="58"/>
      <c r="BT1968" s="58"/>
      <c r="BU1968" s="58"/>
      <c r="BV1968" s="58"/>
      <c r="CB1968" s="153"/>
      <c r="CC1968" s="153"/>
      <c r="CD1968" s="153"/>
      <c r="CE1968" s="67"/>
      <c r="CH1968" s="93">
        <f>CI1968+0.02</f>
        <v>1.44</v>
      </c>
      <c r="CI1968" s="93">
        <v>1.42</v>
      </c>
      <c r="CM1968" s="67">
        <v>0.21759259259259262</v>
      </c>
      <c r="CN1968" s="67">
        <v>0.23842592592592596</v>
      </c>
      <c r="CR1968" s="65">
        <v>9.4</v>
      </c>
      <c r="CS1968" s="65">
        <v>10.156944444444445</v>
      </c>
      <c r="CT1968" s="65">
        <v>3.4</v>
      </c>
      <c r="CU1968" s="65">
        <v>3.4</v>
      </c>
      <c r="CV1968" s="65" t="s">
        <v>962</v>
      </c>
      <c r="DA1968" s="65" t="s">
        <v>4458</v>
      </c>
      <c r="GP1968" s="292" t="s">
        <v>7494</v>
      </c>
      <c r="JU1968" s="59" t="s">
        <v>2040</v>
      </c>
      <c r="JV1968" s="58"/>
    </row>
    <row r="1969" spans="1:282" x14ac:dyDescent="0.25">
      <c r="A1969" s="55">
        <v>1968</v>
      </c>
      <c r="B1969" s="12" t="s">
        <v>7067</v>
      </c>
      <c r="C1969" s="157">
        <v>91</v>
      </c>
      <c r="D1969" s="59" t="s">
        <v>4112</v>
      </c>
      <c r="E1969" s="93" t="s">
        <v>741</v>
      </c>
      <c r="F1969" s="93"/>
      <c r="G1969" s="58" t="s">
        <v>2074</v>
      </c>
      <c r="H1969" s="59">
        <v>2006</v>
      </c>
      <c r="I1969" s="58">
        <v>1999</v>
      </c>
      <c r="J1969" s="59" t="s">
        <v>916</v>
      </c>
      <c r="K1969" s="59" t="s">
        <v>1990</v>
      </c>
      <c r="L1969" s="59" t="s">
        <v>2737</v>
      </c>
      <c r="M1969" s="94">
        <v>32.56</v>
      </c>
      <c r="N1969" s="94">
        <v>-83.91</v>
      </c>
      <c r="O1969" s="93">
        <v>16</v>
      </c>
      <c r="P1969" s="59">
        <v>18.100000000000001</v>
      </c>
      <c r="Q1969" s="58"/>
      <c r="R1969" s="59">
        <v>1258</v>
      </c>
      <c r="S1969" s="94"/>
      <c r="T1969" s="58"/>
      <c r="U1969" s="59">
        <v>6</v>
      </c>
      <c r="V1969" s="58" t="s">
        <v>1933</v>
      </c>
      <c r="Y1969" s="58" t="s">
        <v>2059</v>
      </c>
      <c r="Z1969" s="58" t="s">
        <v>1370</v>
      </c>
      <c r="AA1969" s="94">
        <v>30</v>
      </c>
      <c r="AD1969" s="94">
        <f>AVERAGE(Sheet1!CH1969:CI1969)</f>
        <v>1.6160000000000001</v>
      </c>
      <c r="AE1969" s="93">
        <v>65</v>
      </c>
      <c r="AF1969" s="93">
        <v>25</v>
      </c>
      <c r="AG1969" s="93"/>
      <c r="AH1969" s="58" t="s">
        <v>238</v>
      </c>
      <c r="AI1969" s="169"/>
      <c r="AJ1969" s="94"/>
      <c r="AK1969" s="94"/>
      <c r="AL1969" s="58"/>
      <c r="AM1969" s="59" t="s">
        <v>1987</v>
      </c>
      <c r="AN1969" s="188" t="s">
        <v>1986</v>
      </c>
      <c r="AO1969" s="185" t="s">
        <v>5150</v>
      </c>
      <c r="AP1969" s="59"/>
      <c r="AQ1969" s="58" t="s">
        <v>1546</v>
      </c>
      <c r="AR1969" s="59" t="s">
        <v>1985</v>
      </c>
      <c r="AS1969" s="55" t="s">
        <v>5133</v>
      </c>
      <c r="AT1969" s="182"/>
      <c r="AU1969" s="181" t="s">
        <v>7494</v>
      </c>
      <c r="AV1969" s="185" t="s">
        <v>176</v>
      </c>
      <c r="AW1969" s="58"/>
      <c r="AX1969" s="185" t="s">
        <v>176</v>
      </c>
      <c r="AY1969" s="58"/>
      <c r="AZ1969" s="59" t="s">
        <v>745</v>
      </c>
      <c r="BA1969" s="59" t="s">
        <v>745</v>
      </c>
      <c r="BB1969" s="59" t="s">
        <v>2081</v>
      </c>
      <c r="BC1969" s="59" t="s">
        <v>2081</v>
      </c>
      <c r="BD1969" s="55" t="s">
        <v>176</v>
      </c>
      <c r="BE1969" s="236" t="s">
        <v>1984</v>
      </c>
      <c r="BF1969" s="58"/>
      <c r="BG1969" s="191" t="s">
        <v>479</v>
      </c>
      <c r="BH1969" s="236"/>
      <c r="BI1969" s="58"/>
      <c r="BJ1969" s="152" t="s">
        <v>1983</v>
      </c>
      <c r="BK1969" s="58" t="s">
        <v>5976</v>
      </c>
      <c r="BL1969" s="58"/>
      <c r="BM1969" s="237" t="s">
        <v>160</v>
      </c>
      <c r="BN1969" s="59">
        <v>4</v>
      </c>
      <c r="BO1969" s="59">
        <v>4</v>
      </c>
      <c r="BP1969" s="59">
        <v>4</v>
      </c>
      <c r="BQ1969" s="58" t="s">
        <v>141</v>
      </c>
      <c r="BR1969" s="58"/>
      <c r="BS1969" s="58"/>
      <c r="BT1969" s="58"/>
      <c r="BU1969" s="58"/>
      <c r="BV1969" s="58"/>
      <c r="CB1969" s="153"/>
      <c r="CC1969" s="153"/>
      <c r="CD1969" s="153"/>
      <c r="CE1969" s="67"/>
      <c r="CH1969" s="93">
        <f>CI1969+0.02</f>
        <v>1.6260000000000001</v>
      </c>
      <c r="CI1969" s="93">
        <v>1.6060000000000001</v>
      </c>
      <c r="CM1969" s="67">
        <v>0.17015170151701514</v>
      </c>
      <c r="CN1969" s="67">
        <v>0.16195161951619513</v>
      </c>
      <c r="CR1969" s="65">
        <v>8.2999999999999989</v>
      </c>
      <c r="CS1969" s="65">
        <v>7.8028290282902812</v>
      </c>
      <c r="CT1969" s="65">
        <v>3.4</v>
      </c>
      <c r="CU1969" s="65">
        <v>3.4</v>
      </c>
      <c r="CV1969" s="65" t="s">
        <v>962</v>
      </c>
      <c r="DA1969" s="65" t="s">
        <v>4458</v>
      </c>
      <c r="GP1969" s="292" t="s">
        <v>7494</v>
      </c>
      <c r="JU1969" s="59" t="s">
        <v>2040</v>
      </c>
      <c r="JV1969" s="58"/>
    </row>
    <row r="1970" spans="1:282" x14ac:dyDescent="0.25">
      <c r="A1970" s="55">
        <v>1969</v>
      </c>
      <c r="B1970" s="12" t="s">
        <v>7067</v>
      </c>
      <c r="C1970" s="157">
        <v>91</v>
      </c>
      <c r="D1970" s="59" t="s">
        <v>4113</v>
      </c>
      <c r="E1970" s="93" t="s">
        <v>741</v>
      </c>
      <c r="F1970" s="93"/>
      <c r="G1970" s="58" t="s">
        <v>2074</v>
      </c>
      <c r="H1970" s="59">
        <v>2006</v>
      </c>
      <c r="I1970" s="58">
        <v>1999</v>
      </c>
      <c r="J1970" s="59" t="s">
        <v>916</v>
      </c>
      <c r="K1970" s="59" t="s">
        <v>1990</v>
      </c>
      <c r="L1970" s="59" t="s">
        <v>2737</v>
      </c>
      <c r="M1970" s="94">
        <v>32.56</v>
      </c>
      <c r="N1970" s="94">
        <v>-83.91</v>
      </c>
      <c r="O1970" s="93">
        <v>16</v>
      </c>
      <c r="P1970" s="59">
        <v>18.100000000000001</v>
      </c>
      <c r="Q1970" s="58"/>
      <c r="R1970" s="59">
        <v>1258</v>
      </c>
      <c r="S1970" s="94"/>
      <c r="T1970" s="58"/>
      <c r="U1970" s="59">
        <v>6</v>
      </c>
      <c r="V1970" s="58" t="s">
        <v>1933</v>
      </c>
      <c r="Y1970" s="58" t="s">
        <v>2059</v>
      </c>
      <c r="Z1970" s="58" t="s">
        <v>1382</v>
      </c>
      <c r="AA1970" s="94">
        <v>30</v>
      </c>
      <c r="AD1970" s="94">
        <f>AVERAGE(Sheet1!CH1970:CI1970)</f>
        <v>1.605</v>
      </c>
      <c r="AE1970" s="93">
        <v>65</v>
      </c>
      <c r="AF1970" s="93">
        <v>25</v>
      </c>
      <c r="AG1970" s="93"/>
      <c r="AH1970" s="58" t="s">
        <v>238</v>
      </c>
      <c r="AI1970" s="169"/>
      <c r="AJ1970" s="94"/>
      <c r="AK1970" s="94"/>
      <c r="AL1970" s="58"/>
      <c r="AM1970" s="59" t="s">
        <v>1987</v>
      </c>
      <c r="AN1970" s="188" t="s">
        <v>1986</v>
      </c>
      <c r="AO1970" s="185" t="s">
        <v>5150</v>
      </c>
      <c r="AP1970" s="59"/>
      <c r="AQ1970" s="58" t="s">
        <v>1546</v>
      </c>
      <c r="AR1970" s="59" t="s">
        <v>1985</v>
      </c>
      <c r="AS1970" s="55" t="s">
        <v>5133</v>
      </c>
      <c r="AT1970" s="182"/>
      <c r="AU1970" s="181" t="s">
        <v>7494</v>
      </c>
      <c r="AV1970" s="185" t="s">
        <v>176</v>
      </c>
      <c r="AW1970" s="58"/>
      <c r="AX1970" s="185" t="s">
        <v>176</v>
      </c>
      <c r="AY1970" s="58"/>
      <c r="AZ1970" s="59" t="s">
        <v>745</v>
      </c>
      <c r="BA1970" s="59" t="s">
        <v>745</v>
      </c>
      <c r="BB1970" s="59" t="s">
        <v>2081</v>
      </c>
      <c r="BC1970" s="59" t="s">
        <v>2081</v>
      </c>
      <c r="BD1970" s="55" t="s">
        <v>2071</v>
      </c>
      <c r="BE1970" s="236" t="s">
        <v>1984</v>
      </c>
      <c r="BF1970" s="58"/>
      <c r="BG1970" s="191" t="s">
        <v>479</v>
      </c>
      <c r="BH1970" s="236"/>
      <c r="BI1970" s="58"/>
      <c r="BJ1970" s="152" t="s">
        <v>1983</v>
      </c>
      <c r="BK1970" s="58" t="s">
        <v>5976</v>
      </c>
      <c r="BL1970" s="58"/>
      <c r="BM1970" s="237" t="s">
        <v>160</v>
      </c>
      <c r="BN1970" s="59">
        <v>4</v>
      </c>
      <c r="BO1970" s="59">
        <v>4</v>
      </c>
      <c r="BP1970" s="59">
        <v>4</v>
      </c>
      <c r="BQ1970" s="58" t="s">
        <v>141</v>
      </c>
      <c r="BR1970" s="58"/>
      <c r="BS1970" s="58"/>
      <c r="BT1970" s="58"/>
      <c r="BU1970" s="58"/>
      <c r="BV1970" s="58"/>
      <c r="CB1970" s="153"/>
      <c r="CC1970" s="153"/>
      <c r="CD1970" s="153"/>
      <c r="CE1970" s="67"/>
      <c r="CH1970" s="93">
        <f>CI1970+0.02</f>
        <v>1.615</v>
      </c>
      <c r="CI1970" s="93">
        <v>1.595</v>
      </c>
      <c r="CM1970" s="67">
        <v>0.1155830753353973</v>
      </c>
      <c r="CN1970" s="67">
        <v>0.13622291021671826</v>
      </c>
      <c r="CR1970" s="65">
        <v>5.6</v>
      </c>
      <c r="CS1970" s="65">
        <v>6.5182662538699692</v>
      </c>
      <c r="CT1970" s="65">
        <v>2.2000000000000002</v>
      </c>
      <c r="CU1970" s="65">
        <v>2.2000000000000002</v>
      </c>
      <c r="CV1970" s="65" t="s">
        <v>962</v>
      </c>
      <c r="DA1970" s="65" t="s">
        <v>4458</v>
      </c>
      <c r="GP1970" s="292" t="s">
        <v>7494</v>
      </c>
      <c r="JU1970" s="59" t="s">
        <v>2040</v>
      </c>
      <c r="JV1970" s="58"/>
    </row>
    <row r="1971" spans="1:282" x14ac:dyDescent="0.25">
      <c r="A1971" s="55">
        <v>1970</v>
      </c>
      <c r="B1971" s="12" t="s">
        <v>7067</v>
      </c>
      <c r="C1971" s="157">
        <v>91</v>
      </c>
      <c r="D1971" s="59" t="s">
        <v>4069</v>
      </c>
      <c r="E1971" s="93" t="s">
        <v>741</v>
      </c>
      <c r="F1971" s="93"/>
      <c r="G1971" s="58" t="s">
        <v>2074</v>
      </c>
      <c r="H1971" s="59">
        <v>2006</v>
      </c>
      <c r="I1971" s="58">
        <v>1999</v>
      </c>
      <c r="J1971" s="59" t="s">
        <v>916</v>
      </c>
      <c r="K1971" s="59" t="s">
        <v>1990</v>
      </c>
      <c r="L1971" s="59" t="s">
        <v>2737</v>
      </c>
      <c r="M1971" s="94">
        <v>32.56</v>
      </c>
      <c r="N1971" s="94">
        <v>-83.91</v>
      </c>
      <c r="O1971" s="93">
        <v>16</v>
      </c>
      <c r="P1971" s="59">
        <v>18.100000000000001</v>
      </c>
      <c r="Q1971" s="58"/>
      <c r="R1971" s="59">
        <v>1258</v>
      </c>
      <c r="S1971" s="94"/>
      <c r="T1971" s="58"/>
      <c r="U1971" s="59">
        <v>6</v>
      </c>
      <c r="V1971" s="58" t="s">
        <v>1933</v>
      </c>
      <c r="Y1971" s="58" t="s">
        <v>2059</v>
      </c>
      <c r="Z1971" s="58" t="s">
        <v>1355</v>
      </c>
      <c r="AA1971" s="94">
        <v>10</v>
      </c>
      <c r="AD1971" s="94">
        <f>AVERAGE(Sheet1!CH1971:CI1971)</f>
        <v>1.4249999999999998</v>
      </c>
      <c r="AE1971" s="93">
        <v>65</v>
      </c>
      <c r="AF1971" s="93">
        <v>25</v>
      </c>
      <c r="AG1971" s="93"/>
      <c r="AH1971" s="58" t="s">
        <v>238</v>
      </c>
      <c r="AI1971" s="169"/>
      <c r="AJ1971" s="94"/>
      <c r="AK1971" s="94"/>
      <c r="AL1971" s="58"/>
      <c r="AM1971" s="59" t="s">
        <v>1987</v>
      </c>
      <c r="AN1971" s="188" t="s">
        <v>131</v>
      </c>
      <c r="AO1971" s="185" t="s">
        <v>5150</v>
      </c>
      <c r="AP1971" s="59"/>
      <c r="AQ1971" s="58" t="s">
        <v>131</v>
      </c>
      <c r="AR1971" s="59" t="s">
        <v>1985</v>
      </c>
      <c r="AS1971" s="55" t="s">
        <v>5133</v>
      </c>
      <c r="AT1971" s="182"/>
      <c r="AU1971" s="181" t="s">
        <v>7494</v>
      </c>
      <c r="AV1971" s="185" t="s">
        <v>176</v>
      </c>
      <c r="AW1971" s="58"/>
      <c r="AX1971" s="185" t="s">
        <v>176</v>
      </c>
      <c r="AY1971" s="58"/>
      <c r="AZ1971" s="59" t="s">
        <v>746</v>
      </c>
      <c r="BA1971" s="59" t="s">
        <v>746</v>
      </c>
      <c r="BB1971" s="59" t="s">
        <v>2081</v>
      </c>
      <c r="BC1971" s="59" t="s">
        <v>2081</v>
      </c>
      <c r="BD1971" s="55" t="s">
        <v>176</v>
      </c>
      <c r="BE1971" s="236" t="s">
        <v>161</v>
      </c>
      <c r="BF1971" s="58"/>
      <c r="BG1971" s="191" t="s">
        <v>176</v>
      </c>
      <c r="BH1971" s="236"/>
      <c r="BI1971" s="58"/>
      <c r="BJ1971" s="152" t="s">
        <v>1983</v>
      </c>
      <c r="BK1971" s="58" t="s">
        <v>5976</v>
      </c>
      <c r="BL1971" s="58"/>
      <c r="BM1971" s="237" t="s">
        <v>160</v>
      </c>
      <c r="BN1971" s="59">
        <v>4</v>
      </c>
      <c r="BO1971" s="59">
        <v>4</v>
      </c>
      <c r="BP1971" s="59">
        <v>4</v>
      </c>
      <c r="BQ1971" s="58" t="s">
        <v>141</v>
      </c>
      <c r="BR1971" s="58"/>
      <c r="BS1971" s="58"/>
      <c r="BT1971" s="58"/>
      <c r="BU1971" s="58"/>
      <c r="BV1971" s="58"/>
      <c r="CB1971" s="153"/>
      <c r="CC1971" s="153"/>
      <c r="CD1971" s="153"/>
      <c r="CE1971" s="67"/>
      <c r="CH1971" s="93">
        <f>CI1971+0.01</f>
        <v>1.43</v>
      </c>
      <c r="CI1971" s="93">
        <v>1.42</v>
      </c>
      <c r="CM1971" s="67">
        <v>0.55944055944055948</v>
      </c>
      <c r="CN1971" s="67">
        <v>0.6223776223776224</v>
      </c>
      <c r="CO1971" s="65">
        <f>CM1971*(CT1971/CR1971)</f>
        <v>6.9930069930069935E-2</v>
      </c>
      <c r="CP1971" s="65">
        <f>CN1971*(CU1971/CS1971)</f>
        <v>7.0422535211267595E-2</v>
      </c>
      <c r="CR1971" s="65">
        <v>8</v>
      </c>
      <c r="CS1971" s="65">
        <v>8.837762237762238</v>
      </c>
      <c r="CT1971" s="65">
        <v>1</v>
      </c>
      <c r="CU1971" s="65">
        <v>1</v>
      </c>
      <c r="CV1971" s="65" t="s">
        <v>962</v>
      </c>
      <c r="DA1971" s="65" t="s">
        <v>4458</v>
      </c>
      <c r="GP1971" s="292" t="s">
        <v>7494</v>
      </c>
      <c r="JU1971" s="59" t="s">
        <v>2040</v>
      </c>
      <c r="JV1971" s="58"/>
    </row>
    <row r="1972" spans="1:282" x14ac:dyDescent="0.25">
      <c r="A1972" s="55">
        <v>1971</v>
      </c>
      <c r="B1972" s="12" t="s">
        <v>7067</v>
      </c>
      <c r="C1972" s="157">
        <v>91</v>
      </c>
      <c r="D1972" s="59" t="s">
        <v>4070</v>
      </c>
      <c r="E1972" s="93" t="s">
        <v>741</v>
      </c>
      <c r="F1972" s="93"/>
      <c r="G1972" s="58" t="s">
        <v>2074</v>
      </c>
      <c r="H1972" s="59">
        <v>2006</v>
      </c>
      <c r="I1972" s="58">
        <v>1999</v>
      </c>
      <c r="J1972" s="59" t="s">
        <v>916</v>
      </c>
      <c r="K1972" s="59" t="s">
        <v>1990</v>
      </c>
      <c r="L1972" s="59" t="s">
        <v>2737</v>
      </c>
      <c r="M1972" s="94">
        <v>32.56</v>
      </c>
      <c r="N1972" s="94">
        <v>-83.91</v>
      </c>
      <c r="O1972" s="93">
        <v>16</v>
      </c>
      <c r="P1972" s="59">
        <v>18.100000000000001</v>
      </c>
      <c r="Q1972" s="58"/>
      <c r="R1972" s="59">
        <v>1258</v>
      </c>
      <c r="S1972" s="94"/>
      <c r="T1972" s="58"/>
      <c r="U1972" s="59">
        <v>6</v>
      </c>
      <c r="V1972" s="58" t="s">
        <v>1933</v>
      </c>
      <c r="Y1972" s="58" t="s">
        <v>2059</v>
      </c>
      <c r="Z1972" s="58" t="s">
        <v>1375</v>
      </c>
      <c r="AA1972" s="94">
        <v>20</v>
      </c>
      <c r="AD1972" s="94">
        <f>AVERAGE(Sheet1!CH1972:CI1972)</f>
        <v>1.5550000000000002</v>
      </c>
      <c r="AE1972" s="93">
        <v>65</v>
      </c>
      <c r="AF1972" s="93">
        <v>25</v>
      </c>
      <c r="AG1972" s="93"/>
      <c r="AH1972" s="58" t="s">
        <v>238</v>
      </c>
      <c r="AI1972" s="169"/>
      <c r="AJ1972" s="94"/>
      <c r="AK1972" s="94"/>
      <c r="AL1972" s="58"/>
      <c r="AM1972" s="59" t="s">
        <v>1987</v>
      </c>
      <c r="AN1972" s="188" t="s">
        <v>131</v>
      </c>
      <c r="AO1972" s="185" t="s">
        <v>5150</v>
      </c>
      <c r="AP1972" s="59"/>
      <c r="AQ1972" s="58" t="s">
        <v>131</v>
      </c>
      <c r="AR1972" s="59" t="s">
        <v>1985</v>
      </c>
      <c r="AS1972" s="55" t="s">
        <v>5133</v>
      </c>
      <c r="AT1972" s="182"/>
      <c r="AU1972" s="181" t="s">
        <v>7494</v>
      </c>
      <c r="AV1972" s="185" t="s">
        <v>176</v>
      </c>
      <c r="AW1972" s="58"/>
      <c r="AX1972" s="185" t="s">
        <v>176</v>
      </c>
      <c r="AY1972" s="58"/>
      <c r="AZ1972" s="59" t="s">
        <v>746</v>
      </c>
      <c r="BA1972" s="59" t="s">
        <v>746</v>
      </c>
      <c r="BB1972" s="59" t="s">
        <v>2081</v>
      </c>
      <c r="BC1972" s="59" t="s">
        <v>2081</v>
      </c>
      <c r="BD1972" s="55" t="s">
        <v>2071</v>
      </c>
      <c r="BE1972" s="236" t="s">
        <v>161</v>
      </c>
      <c r="BF1972" s="58"/>
      <c r="BG1972" s="191" t="s">
        <v>176</v>
      </c>
      <c r="BH1972" s="236"/>
      <c r="BI1972" s="58"/>
      <c r="BJ1972" s="152" t="s">
        <v>1983</v>
      </c>
      <c r="BK1972" s="58" t="s">
        <v>5976</v>
      </c>
      <c r="BL1972" s="58"/>
      <c r="BM1972" s="237" t="s">
        <v>160</v>
      </c>
      <c r="BN1972" s="59">
        <v>4</v>
      </c>
      <c r="BO1972" s="59">
        <v>4</v>
      </c>
      <c r="BP1972" s="59">
        <v>4</v>
      </c>
      <c r="BQ1972" s="58" t="s">
        <v>141</v>
      </c>
      <c r="BR1972" s="58"/>
      <c r="BS1972" s="58"/>
      <c r="BT1972" s="58"/>
      <c r="BU1972" s="58"/>
      <c r="BV1972" s="58"/>
      <c r="CB1972" s="153"/>
      <c r="CC1972" s="153"/>
      <c r="CD1972" s="153"/>
      <c r="CE1972" s="67"/>
      <c r="CH1972" s="93">
        <f>CI1972+0.01</f>
        <v>1.56</v>
      </c>
      <c r="CI1972" s="93">
        <v>1.55</v>
      </c>
      <c r="CM1972" s="67">
        <v>0.39743589743589747</v>
      </c>
      <c r="CN1972" s="67">
        <v>0.41346153846153849</v>
      </c>
      <c r="CO1972" s="65">
        <f>CM1972*(CT1972/CR1972)</f>
        <v>7.3717948717948706E-2</v>
      </c>
      <c r="CP1972" s="65">
        <f>CN1972*(CU1972/CS1972)</f>
        <v>7.4193548387096769E-2</v>
      </c>
      <c r="CR1972" s="65">
        <v>12.400000000000002</v>
      </c>
      <c r="CS1972" s="65">
        <v>12.817307692307693</v>
      </c>
      <c r="CT1972" s="65">
        <v>2.2999999999999998</v>
      </c>
      <c r="CU1972" s="65">
        <v>2.2999999999999998</v>
      </c>
      <c r="CV1972" s="65" t="s">
        <v>962</v>
      </c>
      <c r="DA1972" s="65" t="s">
        <v>4458</v>
      </c>
      <c r="GP1972" s="292" t="s">
        <v>7494</v>
      </c>
      <c r="JU1972" s="59" t="s">
        <v>2040</v>
      </c>
      <c r="JV1972" s="58"/>
    </row>
    <row r="1973" spans="1:282" x14ac:dyDescent="0.25">
      <c r="A1973" s="55">
        <v>1972</v>
      </c>
      <c r="B1973" s="12" t="s">
        <v>7067</v>
      </c>
      <c r="C1973" s="157">
        <v>91</v>
      </c>
      <c r="D1973" s="59" t="s">
        <v>4071</v>
      </c>
      <c r="E1973" s="93" t="s">
        <v>741</v>
      </c>
      <c r="F1973" s="93"/>
      <c r="G1973" s="58" t="s">
        <v>2074</v>
      </c>
      <c r="H1973" s="59">
        <v>2006</v>
      </c>
      <c r="I1973" s="58">
        <v>1999</v>
      </c>
      <c r="J1973" s="59" t="s">
        <v>916</v>
      </c>
      <c r="K1973" s="59" t="s">
        <v>1990</v>
      </c>
      <c r="L1973" s="59" t="s">
        <v>2737</v>
      </c>
      <c r="M1973" s="94">
        <v>32.56</v>
      </c>
      <c r="N1973" s="94">
        <v>-83.91</v>
      </c>
      <c r="O1973" s="93">
        <v>16</v>
      </c>
      <c r="P1973" s="59">
        <v>18.100000000000001</v>
      </c>
      <c r="Q1973" s="58"/>
      <c r="R1973" s="59">
        <v>1258</v>
      </c>
      <c r="S1973" s="94"/>
      <c r="T1973" s="58"/>
      <c r="U1973" s="59">
        <v>6</v>
      </c>
      <c r="V1973" s="58" t="s">
        <v>1933</v>
      </c>
      <c r="Y1973" s="58" t="s">
        <v>2059</v>
      </c>
      <c r="Z1973" s="58" t="s">
        <v>1369</v>
      </c>
      <c r="AA1973" s="94">
        <v>30</v>
      </c>
      <c r="AD1973" s="94">
        <f>AVERAGE(Sheet1!CH1973:CI1973)</f>
        <v>1.3919999999999999</v>
      </c>
      <c r="AE1973" s="93">
        <v>65</v>
      </c>
      <c r="AF1973" s="93">
        <v>25</v>
      </c>
      <c r="AG1973" s="93"/>
      <c r="AH1973" s="58" t="s">
        <v>238</v>
      </c>
      <c r="AI1973" s="169"/>
      <c r="AJ1973" s="94"/>
      <c r="AK1973" s="94"/>
      <c r="AL1973" s="58"/>
      <c r="AM1973" s="59" t="s">
        <v>1987</v>
      </c>
      <c r="AN1973" s="188" t="s">
        <v>131</v>
      </c>
      <c r="AO1973" s="185" t="s">
        <v>5150</v>
      </c>
      <c r="AP1973" s="59"/>
      <c r="AQ1973" s="58" t="s">
        <v>131</v>
      </c>
      <c r="AR1973" s="59" t="s">
        <v>1985</v>
      </c>
      <c r="AS1973" s="55" t="s">
        <v>5133</v>
      </c>
      <c r="AT1973" s="182"/>
      <c r="AU1973" s="181" t="s">
        <v>7494</v>
      </c>
      <c r="AV1973" s="185" t="s">
        <v>176</v>
      </c>
      <c r="AW1973" s="58"/>
      <c r="AX1973" s="185" t="s">
        <v>176</v>
      </c>
      <c r="AY1973" s="58"/>
      <c r="AZ1973" s="59" t="s">
        <v>746</v>
      </c>
      <c r="BA1973" s="59" t="s">
        <v>746</v>
      </c>
      <c r="BB1973" s="59" t="s">
        <v>2081</v>
      </c>
      <c r="BC1973" s="59" t="s">
        <v>2081</v>
      </c>
      <c r="BD1973" s="55" t="s">
        <v>176</v>
      </c>
      <c r="BE1973" s="236" t="s">
        <v>161</v>
      </c>
      <c r="BF1973" s="58"/>
      <c r="BG1973" s="191" t="s">
        <v>176</v>
      </c>
      <c r="BH1973" s="236"/>
      <c r="BI1973" s="58"/>
      <c r="BJ1973" s="152" t="s">
        <v>1983</v>
      </c>
      <c r="BK1973" s="58" t="s">
        <v>5976</v>
      </c>
      <c r="BL1973" s="58"/>
      <c r="BM1973" s="237" t="s">
        <v>160</v>
      </c>
      <c r="BN1973" s="59">
        <v>4</v>
      </c>
      <c r="BO1973" s="59">
        <v>4</v>
      </c>
      <c r="BP1973" s="59">
        <v>4</v>
      </c>
      <c r="BQ1973" s="58" t="s">
        <v>141</v>
      </c>
      <c r="BR1973" s="58"/>
      <c r="BS1973" s="58"/>
      <c r="BT1973" s="58"/>
      <c r="BU1973" s="58"/>
      <c r="BV1973" s="58"/>
      <c r="CB1973" s="153"/>
      <c r="CC1973" s="153"/>
      <c r="CD1973" s="153"/>
      <c r="CE1973" s="67"/>
      <c r="CH1973" s="93">
        <f>CI1973+0.01</f>
        <v>1.397</v>
      </c>
      <c r="CI1973" s="93">
        <v>1.387</v>
      </c>
      <c r="CM1973" s="67">
        <v>0.21951801479360533</v>
      </c>
      <c r="CN1973" s="67">
        <v>0.20997375328083989</v>
      </c>
      <c r="CO1973" s="65">
        <f>CM1973*(CT1973/CR1973)</f>
        <v>8.1126222858506333E-2</v>
      </c>
      <c r="CP1973" s="65">
        <f>CN1973*(CU1973/CS1973)</f>
        <v>8.1711127132900754E-2</v>
      </c>
      <c r="CR1973" s="65">
        <v>9.1999999999999975</v>
      </c>
      <c r="CS1973" s="65">
        <v>8.7370078740157471</v>
      </c>
      <c r="CT1973" s="65">
        <v>3.4</v>
      </c>
      <c r="CU1973" s="65">
        <v>3.4</v>
      </c>
      <c r="CV1973" s="65" t="s">
        <v>962</v>
      </c>
      <c r="DA1973" s="65" t="s">
        <v>4458</v>
      </c>
      <c r="GP1973" s="292" t="s">
        <v>7494</v>
      </c>
      <c r="JU1973" s="59" t="s">
        <v>2040</v>
      </c>
      <c r="JV1973" s="58"/>
    </row>
    <row r="1974" spans="1:282" x14ac:dyDescent="0.25">
      <c r="A1974" s="55">
        <v>1973</v>
      </c>
      <c r="B1974" s="12" t="s">
        <v>7067</v>
      </c>
      <c r="C1974" s="157">
        <v>91</v>
      </c>
      <c r="D1974" s="59" t="s">
        <v>4072</v>
      </c>
      <c r="E1974" s="93" t="s">
        <v>741</v>
      </c>
      <c r="F1974" s="93"/>
      <c r="G1974" s="58" t="s">
        <v>2074</v>
      </c>
      <c r="H1974" s="59">
        <v>2006</v>
      </c>
      <c r="I1974" s="58">
        <v>1999</v>
      </c>
      <c r="J1974" s="59" t="s">
        <v>916</v>
      </c>
      <c r="K1974" s="59" t="s">
        <v>1990</v>
      </c>
      <c r="L1974" s="59" t="s">
        <v>2737</v>
      </c>
      <c r="M1974" s="94">
        <v>32.56</v>
      </c>
      <c r="N1974" s="94">
        <v>-83.91</v>
      </c>
      <c r="O1974" s="93">
        <v>16</v>
      </c>
      <c r="P1974" s="59">
        <v>18.100000000000001</v>
      </c>
      <c r="Q1974" s="58"/>
      <c r="R1974" s="59">
        <v>1258</v>
      </c>
      <c r="S1974" s="94"/>
      <c r="T1974" s="58"/>
      <c r="U1974" s="59">
        <v>6</v>
      </c>
      <c r="V1974" s="58" t="s">
        <v>1933</v>
      </c>
      <c r="Y1974" s="58" t="s">
        <v>2059</v>
      </c>
      <c r="Z1974" s="58" t="s">
        <v>1370</v>
      </c>
      <c r="AA1974" s="94">
        <v>30</v>
      </c>
      <c r="AD1974" s="94">
        <f>AVERAGE(Sheet1!CH1974:CI1974)</f>
        <v>1.5939999999999999</v>
      </c>
      <c r="AE1974" s="93">
        <v>65</v>
      </c>
      <c r="AF1974" s="93">
        <v>25</v>
      </c>
      <c r="AG1974" s="93"/>
      <c r="AH1974" s="58" t="s">
        <v>238</v>
      </c>
      <c r="AI1974" s="169"/>
      <c r="AJ1974" s="94"/>
      <c r="AK1974" s="94"/>
      <c r="AL1974" s="58"/>
      <c r="AM1974" s="59" t="s">
        <v>1987</v>
      </c>
      <c r="AN1974" s="188" t="s">
        <v>131</v>
      </c>
      <c r="AO1974" s="185" t="s">
        <v>5150</v>
      </c>
      <c r="AP1974" s="59"/>
      <c r="AQ1974" s="58" t="s">
        <v>131</v>
      </c>
      <c r="AR1974" s="59" t="s">
        <v>1985</v>
      </c>
      <c r="AS1974" s="55" t="s">
        <v>5133</v>
      </c>
      <c r="AT1974" s="182"/>
      <c r="AU1974" s="181" t="s">
        <v>7494</v>
      </c>
      <c r="AV1974" s="185" t="s">
        <v>176</v>
      </c>
      <c r="AW1974" s="58"/>
      <c r="AX1974" s="185" t="s">
        <v>176</v>
      </c>
      <c r="AY1974" s="58"/>
      <c r="AZ1974" s="59" t="s">
        <v>746</v>
      </c>
      <c r="BA1974" s="59" t="s">
        <v>746</v>
      </c>
      <c r="BB1974" s="59" t="s">
        <v>2081</v>
      </c>
      <c r="BC1974" s="59" t="s">
        <v>2081</v>
      </c>
      <c r="BD1974" s="55" t="s">
        <v>2071</v>
      </c>
      <c r="BE1974" s="236" t="s">
        <v>161</v>
      </c>
      <c r="BF1974" s="58"/>
      <c r="BG1974" s="191" t="s">
        <v>176</v>
      </c>
      <c r="BH1974" s="236"/>
      <c r="BI1974" s="58"/>
      <c r="BJ1974" s="152" t="s">
        <v>1983</v>
      </c>
      <c r="BK1974" s="58" t="s">
        <v>5976</v>
      </c>
      <c r="BL1974" s="58"/>
      <c r="BM1974" s="237" t="s">
        <v>160</v>
      </c>
      <c r="BN1974" s="59">
        <v>4</v>
      </c>
      <c r="BO1974" s="59">
        <v>4</v>
      </c>
      <c r="BP1974" s="59">
        <v>4</v>
      </c>
      <c r="BQ1974" s="58" t="s">
        <v>141</v>
      </c>
      <c r="BR1974" s="58"/>
      <c r="BS1974" s="58"/>
      <c r="BT1974" s="58"/>
      <c r="BU1974" s="58"/>
      <c r="BV1974" s="58"/>
      <c r="CB1974" s="153"/>
      <c r="CC1974" s="153"/>
      <c r="CD1974" s="153"/>
      <c r="CE1974" s="67"/>
      <c r="CH1974" s="93">
        <f>CI1974+0.01</f>
        <v>1.599</v>
      </c>
      <c r="CI1974" s="93">
        <v>1.589</v>
      </c>
      <c r="CM1974" s="67">
        <v>0.1480091723994163</v>
      </c>
      <c r="CN1974" s="67">
        <v>0.15843235355430477</v>
      </c>
      <c r="CO1974" s="65">
        <f>CM1974*(CT1974/CR1974)</f>
        <v>7.0877631853241627E-2</v>
      </c>
      <c r="CP1974" s="65">
        <f>CN1974*(CU1974/CS1974)</f>
        <v>7.1323683658485404E-2</v>
      </c>
      <c r="CR1974" s="65">
        <v>7.0999999999999988</v>
      </c>
      <c r="CS1974" s="65">
        <v>7.5524702939337089</v>
      </c>
      <c r="CT1974" s="65">
        <v>3.4</v>
      </c>
      <c r="CU1974" s="65">
        <v>3.4</v>
      </c>
      <c r="CV1974" s="65" t="s">
        <v>962</v>
      </c>
      <c r="DA1974" s="65" t="s">
        <v>4458</v>
      </c>
      <c r="GP1974" s="292" t="s">
        <v>7494</v>
      </c>
      <c r="JU1974" s="59" t="s">
        <v>2040</v>
      </c>
      <c r="JV1974" s="58"/>
    </row>
    <row r="1975" spans="1:282" x14ac:dyDescent="0.25">
      <c r="A1975" s="55">
        <v>1974</v>
      </c>
      <c r="B1975" s="12" t="s">
        <v>7067</v>
      </c>
      <c r="C1975" s="157">
        <v>91</v>
      </c>
      <c r="D1975" s="59" t="s">
        <v>4073</v>
      </c>
      <c r="E1975" s="93" t="s">
        <v>741</v>
      </c>
      <c r="F1975" s="93"/>
      <c r="G1975" s="58" t="s">
        <v>2074</v>
      </c>
      <c r="H1975" s="59">
        <v>2006</v>
      </c>
      <c r="I1975" s="58">
        <v>1999</v>
      </c>
      <c r="J1975" s="59" t="s">
        <v>916</v>
      </c>
      <c r="K1975" s="59" t="s">
        <v>1990</v>
      </c>
      <c r="L1975" s="59" t="s">
        <v>2737</v>
      </c>
      <c r="M1975" s="94">
        <v>32.56</v>
      </c>
      <c r="N1975" s="94">
        <v>-83.91</v>
      </c>
      <c r="O1975" s="93">
        <v>16</v>
      </c>
      <c r="P1975" s="59">
        <v>18.100000000000001</v>
      </c>
      <c r="Q1975" s="58"/>
      <c r="R1975" s="59">
        <v>1258</v>
      </c>
      <c r="S1975" s="94"/>
      <c r="T1975" s="58"/>
      <c r="U1975" s="59">
        <v>6</v>
      </c>
      <c r="V1975" s="58" t="s">
        <v>1933</v>
      </c>
      <c r="Y1975" s="58" t="s">
        <v>2059</v>
      </c>
      <c r="Z1975" s="58" t="s">
        <v>1382</v>
      </c>
      <c r="AA1975" s="94">
        <v>30</v>
      </c>
      <c r="AD1975" s="94">
        <f>AVERAGE(Sheet1!CH1975:CI1975)</f>
        <v>1.617</v>
      </c>
      <c r="AE1975" s="93">
        <v>65</v>
      </c>
      <c r="AF1975" s="93">
        <v>25</v>
      </c>
      <c r="AG1975" s="93"/>
      <c r="AH1975" s="58" t="s">
        <v>238</v>
      </c>
      <c r="AI1975" s="169"/>
      <c r="AJ1975" s="94"/>
      <c r="AK1975" s="94"/>
      <c r="AL1975" s="58"/>
      <c r="AM1975" s="59" t="s">
        <v>1987</v>
      </c>
      <c r="AN1975" s="188" t="s">
        <v>131</v>
      </c>
      <c r="AO1975" s="185" t="s">
        <v>5150</v>
      </c>
      <c r="AP1975" s="59"/>
      <c r="AQ1975" s="58" t="s">
        <v>131</v>
      </c>
      <c r="AR1975" s="59" t="s">
        <v>1985</v>
      </c>
      <c r="AS1975" s="55" t="s">
        <v>5133</v>
      </c>
      <c r="AT1975" s="182"/>
      <c r="AU1975" s="181" t="s">
        <v>7494</v>
      </c>
      <c r="AV1975" s="185" t="s">
        <v>176</v>
      </c>
      <c r="AW1975" s="58"/>
      <c r="AX1975" s="185" t="s">
        <v>176</v>
      </c>
      <c r="AY1975" s="58"/>
      <c r="AZ1975" s="59" t="s">
        <v>746</v>
      </c>
      <c r="BA1975" s="59" t="s">
        <v>746</v>
      </c>
      <c r="BB1975" s="59" t="s">
        <v>2081</v>
      </c>
      <c r="BC1975" s="59" t="s">
        <v>2081</v>
      </c>
      <c r="BD1975" s="55" t="s">
        <v>176</v>
      </c>
      <c r="BE1975" s="236" t="s">
        <v>161</v>
      </c>
      <c r="BF1975" s="58"/>
      <c r="BG1975" s="191" t="s">
        <v>176</v>
      </c>
      <c r="BH1975" s="236"/>
      <c r="BI1975" s="58"/>
      <c r="BJ1975" s="152" t="s">
        <v>1983</v>
      </c>
      <c r="BK1975" s="58" t="s">
        <v>5976</v>
      </c>
      <c r="BL1975" s="58"/>
      <c r="BM1975" s="237" t="s">
        <v>160</v>
      </c>
      <c r="BN1975" s="59">
        <v>4</v>
      </c>
      <c r="BO1975" s="59">
        <v>4</v>
      </c>
      <c r="BP1975" s="59">
        <v>4</v>
      </c>
      <c r="BQ1975" s="58" t="s">
        <v>141</v>
      </c>
      <c r="BR1975" s="58"/>
      <c r="BS1975" s="58"/>
      <c r="BT1975" s="58"/>
      <c r="BU1975" s="58"/>
      <c r="BV1975" s="58"/>
      <c r="CB1975" s="153"/>
      <c r="CC1975" s="153"/>
      <c r="CD1975" s="153"/>
      <c r="CE1975" s="67"/>
      <c r="CH1975" s="93">
        <f>CI1975+0.01</f>
        <v>1.6220000000000001</v>
      </c>
      <c r="CI1975" s="93">
        <v>1.6120000000000001</v>
      </c>
      <c r="CM1975" s="67">
        <v>0.11302918207973693</v>
      </c>
      <c r="CN1975" s="67">
        <v>0.12330456226880393</v>
      </c>
      <c r="CO1975" s="65">
        <f>CM1975*(CT1975/CR1975)</f>
        <v>4.5211672831894777E-2</v>
      </c>
      <c r="CP1975" s="65">
        <f>CN1975*(CU1975/CS1975)</f>
        <v>4.5492142266335814E-2</v>
      </c>
      <c r="CR1975" s="65">
        <v>5.5</v>
      </c>
      <c r="CS1975" s="65">
        <v>5.9630086313193589</v>
      </c>
      <c r="CT1975" s="65">
        <v>2.2000000000000002</v>
      </c>
      <c r="CU1975" s="65">
        <v>2.2000000000000002</v>
      </c>
      <c r="CV1975" s="65" t="s">
        <v>962</v>
      </c>
      <c r="DA1975" s="65" t="s">
        <v>4458</v>
      </c>
      <c r="GP1975" s="292" t="s">
        <v>7494</v>
      </c>
      <c r="JU1975" s="59" t="s">
        <v>2040</v>
      </c>
      <c r="JV1975" s="58"/>
    </row>
    <row r="1976" spans="1:282" x14ac:dyDescent="0.25">
      <c r="A1976" s="55">
        <v>1975</v>
      </c>
      <c r="B1976" s="12" t="s">
        <v>7067</v>
      </c>
      <c r="C1976" s="157">
        <v>91</v>
      </c>
      <c r="D1976" s="59" t="s">
        <v>4074</v>
      </c>
      <c r="E1976" s="93" t="s">
        <v>741</v>
      </c>
      <c r="F1976" s="93"/>
      <c r="G1976" s="58" t="s">
        <v>2074</v>
      </c>
      <c r="H1976" s="59">
        <v>2006</v>
      </c>
      <c r="I1976" s="58">
        <v>1999</v>
      </c>
      <c r="J1976" s="59" t="s">
        <v>916</v>
      </c>
      <c r="K1976" s="59" t="s">
        <v>1990</v>
      </c>
      <c r="L1976" s="59" t="s">
        <v>2737</v>
      </c>
      <c r="M1976" s="94">
        <v>32.56</v>
      </c>
      <c r="N1976" s="94">
        <v>-83.91</v>
      </c>
      <c r="O1976" s="93">
        <v>16</v>
      </c>
      <c r="P1976" s="59">
        <v>18.100000000000001</v>
      </c>
      <c r="Q1976" s="58"/>
      <c r="R1976" s="59">
        <v>1258</v>
      </c>
      <c r="S1976" s="94"/>
      <c r="T1976" s="58"/>
      <c r="U1976" s="59">
        <v>6</v>
      </c>
      <c r="V1976" s="58" t="s">
        <v>1933</v>
      </c>
      <c r="Y1976" s="58" t="s">
        <v>2059</v>
      </c>
      <c r="Z1976" s="58" t="s">
        <v>1355</v>
      </c>
      <c r="AA1976" s="94">
        <v>10</v>
      </c>
      <c r="AD1976" s="94">
        <f>AVERAGE(Sheet1!CH1976:CI1976)</f>
        <v>1.4249999999999998</v>
      </c>
      <c r="AE1976" s="93">
        <v>65</v>
      </c>
      <c r="AF1976" s="93">
        <v>25</v>
      </c>
      <c r="AG1976" s="93"/>
      <c r="AH1976" s="58" t="s">
        <v>238</v>
      </c>
      <c r="AI1976" s="169"/>
      <c r="AJ1976" s="94"/>
      <c r="AK1976" s="94"/>
      <c r="AL1976" s="58"/>
      <c r="AM1976" s="59" t="s">
        <v>1987</v>
      </c>
      <c r="AN1976" s="188" t="s">
        <v>131</v>
      </c>
      <c r="AO1976" s="185" t="s">
        <v>5150</v>
      </c>
      <c r="AP1976" s="59"/>
      <c r="AQ1976" s="58" t="s">
        <v>131</v>
      </c>
      <c r="AR1976" s="59" t="s">
        <v>1985</v>
      </c>
      <c r="AS1976" s="55" t="s">
        <v>5133</v>
      </c>
      <c r="AT1976" s="182"/>
      <c r="AU1976" s="181" t="s">
        <v>7494</v>
      </c>
      <c r="AV1976" s="185" t="s">
        <v>176</v>
      </c>
      <c r="AW1976" s="58"/>
      <c r="AX1976" s="185" t="s">
        <v>176</v>
      </c>
      <c r="AY1976" s="58"/>
      <c r="AZ1976" s="59" t="s">
        <v>746</v>
      </c>
      <c r="BA1976" s="59" t="s">
        <v>746</v>
      </c>
      <c r="BB1976" s="59" t="s">
        <v>2081</v>
      </c>
      <c r="BC1976" s="59" t="s">
        <v>2081</v>
      </c>
      <c r="BD1976" s="55" t="s">
        <v>2071</v>
      </c>
      <c r="BE1976" s="236" t="s">
        <v>1989</v>
      </c>
      <c r="BF1976" s="58"/>
      <c r="BG1976" s="191" t="s">
        <v>479</v>
      </c>
      <c r="BH1976" s="236"/>
      <c r="BI1976" s="58"/>
      <c r="BJ1976" s="152" t="s">
        <v>1983</v>
      </c>
      <c r="BK1976" s="58" t="s">
        <v>5976</v>
      </c>
      <c r="BL1976" s="58"/>
      <c r="BM1976" s="237" t="s">
        <v>160</v>
      </c>
      <c r="BN1976" s="59">
        <v>4</v>
      </c>
      <c r="BO1976" s="59">
        <v>4</v>
      </c>
      <c r="BP1976" s="59">
        <v>4</v>
      </c>
      <c r="BQ1976" s="58" t="s">
        <v>141</v>
      </c>
      <c r="BR1976" s="58"/>
      <c r="BS1976" s="58"/>
      <c r="BT1976" s="58"/>
      <c r="BU1976" s="58"/>
      <c r="BV1976" s="58"/>
      <c r="CB1976" s="153"/>
      <c r="CC1976" s="153"/>
      <c r="CD1976" s="153"/>
      <c r="CE1976" s="67"/>
      <c r="CH1976" s="93">
        <f>CI1976+0.01</f>
        <v>1.43</v>
      </c>
      <c r="CI1976" s="93">
        <v>1.42</v>
      </c>
      <c r="CM1976" s="67">
        <v>0.64335664335664322</v>
      </c>
      <c r="CN1976" s="67">
        <v>0.62937062937062938</v>
      </c>
      <c r="CR1976" s="65">
        <v>9.1999999999999975</v>
      </c>
      <c r="CS1976" s="65">
        <v>8.9370629370629366</v>
      </c>
      <c r="CT1976" s="65">
        <v>1</v>
      </c>
      <c r="CU1976" s="65">
        <v>1</v>
      </c>
      <c r="CV1976" s="65" t="s">
        <v>962</v>
      </c>
      <c r="DA1976" s="65" t="s">
        <v>4458</v>
      </c>
      <c r="GP1976" s="292" t="s">
        <v>7494</v>
      </c>
      <c r="JU1976" s="59" t="s">
        <v>2040</v>
      </c>
      <c r="JV1976" s="58"/>
    </row>
    <row r="1977" spans="1:282" x14ac:dyDescent="0.25">
      <c r="A1977" s="55">
        <v>1976</v>
      </c>
      <c r="B1977" s="12" t="s">
        <v>7067</v>
      </c>
      <c r="C1977" s="157">
        <v>91</v>
      </c>
      <c r="D1977" s="59" t="s">
        <v>4075</v>
      </c>
      <c r="E1977" s="93" t="s">
        <v>741</v>
      </c>
      <c r="F1977" s="93"/>
      <c r="G1977" s="58" t="s">
        <v>2074</v>
      </c>
      <c r="H1977" s="59">
        <v>2006</v>
      </c>
      <c r="I1977" s="58">
        <v>1999</v>
      </c>
      <c r="J1977" s="59" t="s">
        <v>916</v>
      </c>
      <c r="K1977" s="59" t="s">
        <v>1990</v>
      </c>
      <c r="L1977" s="59" t="s">
        <v>2737</v>
      </c>
      <c r="M1977" s="94">
        <v>32.56</v>
      </c>
      <c r="N1977" s="94">
        <v>-83.91</v>
      </c>
      <c r="O1977" s="93">
        <v>16</v>
      </c>
      <c r="P1977" s="59">
        <v>18.100000000000001</v>
      </c>
      <c r="Q1977" s="58"/>
      <c r="R1977" s="59">
        <v>1258</v>
      </c>
      <c r="S1977" s="94"/>
      <c r="T1977" s="58"/>
      <c r="U1977" s="59">
        <v>6</v>
      </c>
      <c r="V1977" s="58" t="s">
        <v>1933</v>
      </c>
      <c r="Y1977" s="58" t="s">
        <v>2059</v>
      </c>
      <c r="Z1977" s="58" t="s">
        <v>1375</v>
      </c>
      <c r="AA1977" s="94">
        <v>20</v>
      </c>
      <c r="AD1977" s="94">
        <f>AVERAGE(Sheet1!CH1977:CI1977)</f>
        <v>1.5550000000000002</v>
      </c>
      <c r="AE1977" s="93">
        <v>65</v>
      </c>
      <c r="AF1977" s="93">
        <v>25</v>
      </c>
      <c r="AG1977" s="93"/>
      <c r="AH1977" s="58" t="s">
        <v>238</v>
      </c>
      <c r="AI1977" s="169"/>
      <c r="AJ1977" s="94"/>
      <c r="AK1977" s="94"/>
      <c r="AL1977" s="58"/>
      <c r="AM1977" s="59" t="s">
        <v>1987</v>
      </c>
      <c r="AN1977" s="188" t="s">
        <v>131</v>
      </c>
      <c r="AO1977" s="185" t="s">
        <v>5150</v>
      </c>
      <c r="AP1977" s="59"/>
      <c r="AQ1977" s="58" t="s">
        <v>131</v>
      </c>
      <c r="AR1977" s="59" t="s">
        <v>1985</v>
      </c>
      <c r="AS1977" s="55" t="s">
        <v>5133</v>
      </c>
      <c r="AT1977" s="182"/>
      <c r="AU1977" s="181" t="s">
        <v>7494</v>
      </c>
      <c r="AV1977" s="185" t="s">
        <v>176</v>
      </c>
      <c r="AW1977" s="58"/>
      <c r="AX1977" s="185" t="s">
        <v>176</v>
      </c>
      <c r="AY1977" s="58"/>
      <c r="AZ1977" s="59" t="s">
        <v>746</v>
      </c>
      <c r="BA1977" s="59" t="s">
        <v>746</v>
      </c>
      <c r="BB1977" s="59" t="s">
        <v>2081</v>
      </c>
      <c r="BC1977" s="59" t="s">
        <v>2081</v>
      </c>
      <c r="BD1977" s="55" t="s">
        <v>176</v>
      </c>
      <c r="BE1977" s="236" t="s">
        <v>1989</v>
      </c>
      <c r="BF1977" s="58"/>
      <c r="BG1977" s="191" t="s">
        <v>479</v>
      </c>
      <c r="BH1977" s="236"/>
      <c r="BI1977" s="58"/>
      <c r="BJ1977" s="152" t="s">
        <v>1983</v>
      </c>
      <c r="BK1977" s="58" t="s">
        <v>5976</v>
      </c>
      <c r="BL1977" s="58"/>
      <c r="BM1977" s="237" t="s">
        <v>160</v>
      </c>
      <c r="BN1977" s="59">
        <v>4</v>
      </c>
      <c r="BO1977" s="59">
        <v>4</v>
      </c>
      <c r="BP1977" s="59">
        <v>4</v>
      </c>
      <c r="BQ1977" s="58" t="s">
        <v>141</v>
      </c>
      <c r="BR1977" s="58"/>
      <c r="BS1977" s="58"/>
      <c r="BT1977" s="58"/>
      <c r="BU1977" s="58"/>
      <c r="BV1977" s="58"/>
      <c r="CB1977" s="153"/>
      <c r="CC1977" s="153"/>
      <c r="CD1977" s="153"/>
      <c r="CE1977" s="67"/>
      <c r="CH1977" s="93">
        <f>CI1977+0.01</f>
        <v>1.56</v>
      </c>
      <c r="CI1977" s="93">
        <v>1.55</v>
      </c>
      <c r="CM1977" s="67">
        <v>0.41987179487179482</v>
      </c>
      <c r="CN1977" s="67">
        <v>0.4391025641025641</v>
      </c>
      <c r="CR1977" s="65">
        <v>13.099999999999998</v>
      </c>
      <c r="CS1977" s="65">
        <v>13.612179487179487</v>
      </c>
      <c r="CT1977" s="65">
        <v>2.2999999999999998</v>
      </c>
      <c r="CU1977" s="65">
        <v>2.2999999999999998</v>
      </c>
      <c r="CV1977" s="65" t="s">
        <v>962</v>
      </c>
      <c r="DA1977" s="65" t="s">
        <v>4458</v>
      </c>
      <c r="GP1977" s="292" t="s">
        <v>7494</v>
      </c>
      <c r="JU1977" s="59" t="s">
        <v>2040</v>
      </c>
      <c r="JV1977" s="58"/>
    </row>
    <row r="1978" spans="1:282" x14ac:dyDescent="0.25">
      <c r="A1978" s="55">
        <v>1977</v>
      </c>
      <c r="B1978" s="12" t="s">
        <v>7067</v>
      </c>
      <c r="C1978" s="157">
        <v>91</v>
      </c>
      <c r="D1978" s="59" t="s">
        <v>4076</v>
      </c>
      <c r="E1978" s="93" t="s">
        <v>741</v>
      </c>
      <c r="F1978" s="93"/>
      <c r="G1978" s="58" t="s">
        <v>2074</v>
      </c>
      <c r="H1978" s="59">
        <v>2006</v>
      </c>
      <c r="I1978" s="58">
        <v>1999</v>
      </c>
      <c r="J1978" s="59" t="s">
        <v>916</v>
      </c>
      <c r="K1978" s="59" t="s">
        <v>1990</v>
      </c>
      <c r="L1978" s="59" t="s">
        <v>2737</v>
      </c>
      <c r="M1978" s="94">
        <v>32.56</v>
      </c>
      <c r="N1978" s="94">
        <v>-83.91</v>
      </c>
      <c r="O1978" s="93">
        <v>16</v>
      </c>
      <c r="P1978" s="59">
        <v>18.100000000000001</v>
      </c>
      <c r="Q1978" s="58"/>
      <c r="R1978" s="59">
        <v>1258</v>
      </c>
      <c r="S1978" s="94"/>
      <c r="T1978" s="58"/>
      <c r="U1978" s="59">
        <v>6</v>
      </c>
      <c r="V1978" s="58" t="s">
        <v>1933</v>
      </c>
      <c r="Y1978" s="58" t="s">
        <v>2059</v>
      </c>
      <c r="Z1978" s="58" t="s">
        <v>1369</v>
      </c>
      <c r="AA1978" s="94">
        <v>30</v>
      </c>
      <c r="AD1978" s="94">
        <f>AVERAGE(Sheet1!CH1978:CI1978)</f>
        <v>1.3919999999999999</v>
      </c>
      <c r="AE1978" s="93">
        <v>65</v>
      </c>
      <c r="AF1978" s="93">
        <v>25</v>
      </c>
      <c r="AG1978" s="93"/>
      <c r="AH1978" s="58" t="s">
        <v>238</v>
      </c>
      <c r="AI1978" s="169"/>
      <c r="AJ1978" s="94"/>
      <c r="AK1978" s="94"/>
      <c r="AL1978" s="58"/>
      <c r="AM1978" s="59" t="s">
        <v>1987</v>
      </c>
      <c r="AN1978" s="188" t="s">
        <v>131</v>
      </c>
      <c r="AO1978" s="185" t="s">
        <v>5150</v>
      </c>
      <c r="AP1978" s="59"/>
      <c r="AQ1978" s="58" t="s">
        <v>131</v>
      </c>
      <c r="AR1978" s="59" t="s">
        <v>1985</v>
      </c>
      <c r="AS1978" s="55" t="s">
        <v>5133</v>
      </c>
      <c r="AT1978" s="182"/>
      <c r="AU1978" s="181" t="s">
        <v>7494</v>
      </c>
      <c r="AV1978" s="185" t="s">
        <v>176</v>
      </c>
      <c r="AW1978" s="58"/>
      <c r="AX1978" s="185" t="s">
        <v>176</v>
      </c>
      <c r="AY1978" s="58"/>
      <c r="AZ1978" s="59" t="s">
        <v>746</v>
      </c>
      <c r="BA1978" s="59" t="s">
        <v>746</v>
      </c>
      <c r="BB1978" s="59" t="s">
        <v>2081</v>
      </c>
      <c r="BC1978" s="59" t="s">
        <v>2081</v>
      </c>
      <c r="BD1978" s="55" t="s">
        <v>2071</v>
      </c>
      <c r="BE1978" s="236" t="s">
        <v>1989</v>
      </c>
      <c r="BF1978" s="58"/>
      <c r="BG1978" s="191" t="s">
        <v>479</v>
      </c>
      <c r="BH1978" s="236"/>
      <c r="BI1978" s="58"/>
      <c r="BJ1978" s="152" t="s">
        <v>1983</v>
      </c>
      <c r="BK1978" s="58" t="s">
        <v>5976</v>
      </c>
      <c r="BL1978" s="58"/>
      <c r="BM1978" s="237" t="s">
        <v>160</v>
      </c>
      <c r="BN1978" s="59">
        <v>4</v>
      </c>
      <c r="BO1978" s="59">
        <v>4</v>
      </c>
      <c r="BP1978" s="59">
        <v>4</v>
      </c>
      <c r="BQ1978" s="58" t="s">
        <v>141</v>
      </c>
      <c r="BR1978" s="58"/>
      <c r="BS1978" s="58"/>
      <c r="BT1978" s="58"/>
      <c r="BU1978" s="58"/>
      <c r="BV1978" s="58"/>
      <c r="CB1978" s="153"/>
      <c r="CC1978" s="153"/>
      <c r="CD1978" s="153"/>
      <c r="CE1978" s="67"/>
      <c r="CH1978" s="93">
        <f>CI1978+0.01</f>
        <v>1.397</v>
      </c>
      <c r="CI1978" s="93">
        <v>1.387</v>
      </c>
      <c r="CM1978" s="67">
        <v>0.23383440706275355</v>
      </c>
      <c r="CN1978" s="67">
        <v>0.21713194941541397</v>
      </c>
      <c r="CR1978" s="65">
        <v>9.8000000000000025</v>
      </c>
      <c r="CS1978" s="65">
        <v>9.0348604151753751</v>
      </c>
      <c r="CT1978" s="65">
        <v>3.4</v>
      </c>
      <c r="CU1978" s="65">
        <v>3.4</v>
      </c>
      <c r="CV1978" s="65" t="s">
        <v>962</v>
      </c>
      <c r="DA1978" s="65" t="s">
        <v>4458</v>
      </c>
      <c r="GP1978" s="292" t="s">
        <v>7494</v>
      </c>
      <c r="JU1978" s="59" t="s">
        <v>2040</v>
      </c>
      <c r="JV1978" s="58"/>
    </row>
    <row r="1979" spans="1:282" x14ac:dyDescent="0.25">
      <c r="A1979" s="55">
        <v>1978</v>
      </c>
      <c r="B1979" s="12" t="s">
        <v>7067</v>
      </c>
      <c r="C1979" s="157">
        <v>91</v>
      </c>
      <c r="D1979" s="59" t="s">
        <v>4077</v>
      </c>
      <c r="E1979" s="93" t="s">
        <v>741</v>
      </c>
      <c r="F1979" s="93"/>
      <c r="G1979" s="58" t="s">
        <v>2074</v>
      </c>
      <c r="H1979" s="59">
        <v>2006</v>
      </c>
      <c r="I1979" s="58">
        <v>1999</v>
      </c>
      <c r="J1979" s="59" t="s">
        <v>916</v>
      </c>
      <c r="K1979" s="59" t="s">
        <v>1990</v>
      </c>
      <c r="L1979" s="59" t="s">
        <v>2737</v>
      </c>
      <c r="M1979" s="94">
        <v>32.56</v>
      </c>
      <c r="N1979" s="94">
        <v>-83.91</v>
      </c>
      <c r="O1979" s="93">
        <v>16</v>
      </c>
      <c r="P1979" s="59">
        <v>18.100000000000001</v>
      </c>
      <c r="Q1979" s="58"/>
      <c r="R1979" s="59">
        <v>1258</v>
      </c>
      <c r="S1979" s="94"/>
      <c r="T1979" s="58"/>
      <c r="U1979" s="59">
        <v>6</v>
      </c>
      <c r="V1979" s="58" t="s">
        <v>1933</v>
      </c>
      <c r="Y1979" s="58" t="s">
        <v>2059</v>
      </c>
      <c r="Z1979" s="58" t="s">
        <v>1370</v>
      </c>
      <c r="AA1979" s="94">
        <v>30</v>
      </c>
      <c r="AD1979" s="94">
        <f>AVERAGE(Sheet1!CH1979:CI1979)</f>
        <v>1.5939999999999999</v>
      </c>
      <c r="AE1979" s="93">
        <v>65</v>
      </c>
      <c r="AF1979" s="93">
        <v>25</v>
      </c>
      <c r="AG1979" s="93"/>
      <c r="AH1979" s="58" t="s">
        <v>238</v>
      </c>
      <c r="AI1979" s="169"/>
      <c r="AJ1979" s="94"/>
      <c r="AK1979" s="94"/>
      <c r="AL1979" s="58"/>
      <c r="AM1979" s="59" t="s">
        <v>1987</v>
      </c>
      <c r="AN1979" s="188" t="s">
        <v>131</v>
      </c>
      <c r="AO1979" s="185" t="s">
        <v>5150</v>
      </c>
      <c r="AP1979" s="59"/>
      <c r="AQ1979" s="58" t="s">
        <v>131</v>
      </c>
      <c r="AR1979" s="59" t="s">
        <v>1985</v>
      </c>
      <c r="AS1979" s="55" t="s">
        <v>5133</v>
      </c>
      <c r="AT1979" s="182"/>
      <c r="AU1979" s="181" t="s">
        <v>7494</v>
      </c>
      <c r="AV1979" s="185" t="s">
        <v>176</v>
      </c>
      <c r="AW1979" s="58"/>
      <c r="AX1979" s="185" t="s">
        <v>176</v>
      </c>
      <c r="AY1979" s="58"/>
      <c r="AZ1979" s="59" t="s">
        <v>746</v>
      </c>
      <c r="BA1979" s="59" t="s">
        <v>746</v>
      </c>
      <c r="BB1979" s="59" t="s">
        <v>2081</v>
      </c>
      <c r="BC1979" s="59" t="s">
        <v>2081</v>
      </c>
      <c r="BD1979" s="55" t="s">
        <v>176</v>
      </c>
      <c r="BE1979" s="236" t="s">
        <v>1989</v>
      </c>
      <c r="BF1979" s="58"/>
      <c r="BG1979" s="191" t="s">
        <v>479</v>
      </c>
      <c r="BH1979" s="236"/>
      <c r="BI1979" s="58"/>
      <c r="BJ1979" s="152" t="s">
        <v>1983</v>
      </c>
      <c r="BK1979" s="58" t="s">
        <v>5976</v>
      </c>
      <c r="BL1979" s="58"/>
      <c r="BM1979" s="237" t="s">
        <v>160</v>
      </c>
      <c r="BN1979" s="59">
        <v>4</v>
      </c>
      <c r="BO1979" s="59">
        <v>4</v>
      </c>
      <c r="BP1979" s="59">
        <v>4</v>
      </c>
      <c r="BQ1979" s="58" t="s">
        <v>141</v>
      </c>
      <c r="BR1979" s="58"/>
      <c r="BS1979" s="58"/>
      <c r="BT1979" s="58"/>
      <c r="BU1979" s="58"/>
      <c r="BV1979" s="58"/>
      <c r="CB1979" s="153"/>
      <c r="CC1979" s="153"/>
      <c r="CD1979" s="153"/>
      <c r="CE1979" s="67"/>
      <c r="CH1979" s="93">
        <f>CI1979+0.01</f>
        <v>1.599</v>
      </c>
      <c r="CI1979" s="93">
        <v>1.589</v>
      </c>
      <c r="CM1979" s="67">
        <v>0.13967062747550552</v>
      </c>
      <c r="CN1979" s="67">
        <v>0.1480091723994163</v>
      </c>
      <c r="CR1979" s="65">
        <v>6.7</v>
      </c>
      <c r="CS1979" s="65">
        <v>7.0555972482801748</v>
      </c>
      <c r="CT1979" s="65">
        <v>3.4</v>
      </c>
      <c r="CU1979" s="65">
        <v>3.4</v>
      </c>
      <c r="CV1979" s="65" t="s">
        <v>962</v>
      </c>
      <c r="DA1979" s="65" t="s">
        <v>4458</v>
      </c>
      <c r="GP1979" s="292" t="s">
        <v>7494</v>
      </c>
      <c r="JU1979" s="59" t="s">
        <v>2040</v>
      </c>
      <c r="JV1979" s="58"/>
    </row>
    <row r="1980" spans="1:282" x14ac:dyDescent="0.25">
      <c r="A1980" s="55">
        <v>1979</v>
      </c>
      <c r="B1980" s="12" t="s">
        <v>7067</v>
      </c>
      <c r="C1980" s="157">
        <v>91</v>
      </c>
      <c r="D1980" s="59" t="s">
        <v>4078</v>
      </c>
      <c r="E1980" s="93" t="s">
        <v>741</v>
      </c>
      <c r="F1980" s="93"/>
      <c r="G1980" s="58" t="s">
        <v>2074</v>
      </c>
      <c r="H1980" s="59">
        <v>2006</v>
      </c>
      <c r="I1980" s="58">
        <v>1999</v>
      </c>
      <c r="J1980" s="59" t="s">
        <v>916</v>
      </c>
      <c r="K1980" s="59" t="s">
        <v>1990</v>
      </c>
      <c r="L1980" s="59" t="s">
        <v>2737</v>
      </c>
      <c r="M1980" s="94">
        <v>32.56</v>
      </c>
      <c r="N1980" s="94">
        <v>-83.91</v>
      </c>
      <c r="O1980" s="93">
        <v>16</v>
      </c>
      <c r="P1980" s="59">
        <v>18.100000000000001</v>
      </c>
      <c r="Q1980" s="58"/>
      <c r="R1980" s="59">
        <v>1258</v>
      </c>
      <c r="S1980" s="94"/>
      <c r="T1980" s="58"/>
      <c r="U1980" s="59">
        <v>6</v>
      </c>
      <c r="V1980" s="58" t="s">
        <v>1933</v>
      </c>
      <c r="Y1980" s="58" t="s">
        <v>2059</v>
      </c>
      <c r="Z1980" s="58" t="s">
        <v>1382</v>
      </c>
      <c r="AA1980" s="94">
        <v>30</v>
      </c>
      <c r="AD1980" s="94">
        <f>AVERAGE(Sheet1!CH1980:CI1980)</f>
        <v>1.617</v>
      </c>
      <c r="AE1980" s="93">
        <v>65</v>
      </c>
      <c r="AF1980" s="93">
        <v>25</v>
      </c>
      <c r="AG1980" s="93"/>
      <c r="AH1980" s="58" t="s">
        <v>238</v>
      </c>
      <c r="AI1980" s="169"/>
      <c r="AJ1980" s="94"/>
      <c r="AK1980" s="94"/>
      <c r="AL1980" s="58"/>
      <c r="AM1980" s="59" t="s">
        <v>1987</v>
      </c>
      <c r="AN1980" s="188" t="s">
        <v>131</v>
      </c>
      <c r="AO1980" s="185" t="s">
        <v>5150</v>
      </c>
      <c r="AP1980" s="59"/>
      <c r="AQ1980" s="58" t="s">
        <v>131</v>
      </c>
      <c r="AR1980" s="59" t="s">
        <v>1985</v>
      </c>
      <c r="AS1980" s="55" t="s">
        <v>5133</v>
      </c>
      <c r="AT1980" s="182"/>
      <c r="AU1980" s="181" t="s">
        <v>7494</v>
      </c>
      <c r="AV1980" s="185" t="s">
        <v>176</v>
      </c>
      <c r="AW1980" s="58"/>
      <c r="AX1980" s="185" t="s">
        <v>176</v>
      </c>
      <c r="AY1980" s="58"/>
      <c r="AZ1980" s="59" t="s">
        <v>746</v>
      </c>
      <c r="BA1980" s="59" t="s">
        <v>746</v>
      </c>
      <c r="BB1980" s="59" t="s">
        <v>2081</v>
      </c>
      <c r="BC1980" s="59" t="s">
        <v>2081</v>
      </c>
      <c r="BD1980" s="55" t="s">
        <v>2071</v>
      </c>
      <c r="BE1980" s="236" t="s">
        <v>1989</v>
      </c>
      <c r="BF1980" s="58"/>
      <c r="BG1980" s="191" t="s">
        <v>479</v>
      </c>
      <c r="BH1980" s="236"/>
      <c r="BI1980" s="58"/>
      <c r="BJ1980" s="152" t="s">
        <v>1983</v>
      </c>
      <c r="BK1980" s="58" t="s">
        <v>5976</v>
      </c>
      <c r="BL1980" s="58"/>
      <c r="BM1980" s="237" t="s">
        <v>160</v>
      </c>
      <c r="BN1980" s="59">
        <v>4</v>
      </c>
      <c r="BO1980" s="59">
        <v>4</v>
      </c>
      <c r="BP1980" s="59">
        <v>4</v>
      </c>
      <c r="BQ1980" s="58" t="s">
        <v>141</v>
      </c>
      <c r="BR1980" s="58"/>
      <c r="BS1980" s="58"/>
      <c r="BT1980" s="58"/>
      <c r="BU1980" s="58"/>
      <c r="BV1980" s="58"/>
      <c r="CB1980" s="153"/>
      <c r="CC1980" s="153"/>
      <c r="CD1980" s="153"/>
      <c r="CE1980" s="67"/>
      <c r="CH1980" s="93">
        <f>CI1980+0.01</f>
        <v>1.6220000000000001</v>
      </c>
      <c r="CI1980" s="93">
        <v>1.6120000000000001</v>
      </c>
      <c r="CM1980" s="67">
        <v>9.2478421701602934E-2</v>
      </c>
      <c r="CN1980" s="67">
        <v>0.11919441019317713</v>
      </c>
      <c r="CR1980" s="65">
        <v>4.4999999999999991</v>
      </c>
      <c r="CS1980" s="65">
        <v>5.7642416769420466</v>
      </c>
      <c r="CT1980" s="65">
        <v>2.2000000000000002</v>
      </c>
      <c r="CU1980" s="65">
        <v>2.2000000000000002</v>
      </c>
      <c r="CV1980" s="65" t="s">
        <v>962</v>
      </c>
      <c r="DA1980" s="65" t="s">
        <v>4458</v>
      </c>
      <c r="GP1980" s="292" t="s">
        <v>7494</v>
      </c>
      <c r="JU1980" s="59" t="s">
        <v>2040</v>
      </c>
      <c r="JV1980" s="58"/>
    </row>
    <row r="1981" spans="1:282" x14ac:dyDescent="0.25">
      <c r="A1981" s="55">
        <v>1980</v>
      </c>
      <c r="B1981" s="12" t="s">
        <v>7067</v>
      </c>
      <c r="C1981" s="157">
        <v>91</v>
      </c>
      <c r="D1981" s="59" t="s">
        <v>4079</v>
      </c>
      <c r="E1981" s="93" t="s">
        <v>741</v>
      </c>
      <c r="F1981" s="93"/>
      <c r="G1981" s="58" t="s">
        <v>2074</v>
      </c>
      <c r="H1981" s="59">
        <v>2006</v>
      </c>
      <c r="I1981" s="58">
        <v>1999</v>
      </c>
      <c r="J1981" s="59" t="s">
        <v>916</v>
      </c>
      <c r="K1981" s="59" t="s">
        <v>1990</v>
      </c>
      <c r="L1981" s="59" t="s">
        <v>2737</v>
      </c>
      <c r="M1981" s="94">
        <v>32.56</v>
      </c>
      <c r="N1981" s="94">
        <v>-83.91</v>
      </c>
      <c r="O1981" s="93">
        <v>16</v>
      </c>
      <c r="P1981" s="59">
        <v>18.100000000000001</v>
      </c>
      <c r="Q1981" s="58"/>
      <c r="R1981" s="59">
        <v>1258</v>
      </c>
      <c r="S1981" s="94"/>
      <c r="T1981" s="58"/>
      <c r="U1981" s="59">
        <v>6</v>
      </c>
      <c r="V1981" s="58" t="s">
        <v>1933</v>
      </c>
      <c r="Y1981" s="58" t="s">
        <v>2059</v>
      </c>
      <c r="Z1981" s="58" t="s">
        <v>1355</v>
      </c>
      <c r="AA1981" s="94">
        <v>10</v>
      </c>
      <c r="AD1981" s="94">
        <f>AVERAGE(Sheet1!CH1981:CI1981)</f>
        <v>1.4249999999999998</v>
      </c>
      <c r="AE1981" s="93">
        <v>65</v>
      </c>
      <c r="AF1981" s="93">
        <v>25</v>
      </c>
      <c r="AG1981" s="93"/>
      <c r="AH1981" s="58" t="s">
        <v>238</v>
      </c>
      <c r="AI1981" s="169"/>
      <c r="AJ1981" s="94"/>
      <c r="AK1981" s="94"/>
      <c r="AL1981" s="58"/>
      <c r="AM1981" s="59" t="s">
        <v>1987</v>
      </c>
      <c r="AN1981" s="188" t="s">
        <v>131</v>
      </c>
      <c r="AO1981" s="185" t="s">
        <v>5150</v>
      </c>
      <c r="AP1981" s="59"/>
      <c r="AQ1981" s="58" t="s">
        <v>131</v>
      </c>
      <c r="AR1981" s="59" t="s">
        <v>1985</v>
      </c>
      <c r="AS1981" s="55" t="s">
        <v>5133</v>
      </c>
      <c r="AT1981" s="182"/>
      <c r="AU1981" s="181" t="s">
        <v>7494</v>
      </c>
      <c r="AV1981" s="185" t="s">
        <v>176</v>
      </c>
      <c r="AW1981" s="58"/>
      <c r="AX1981" s="185" t="s">
        <v>176</v>
      </c>
      <c r="AY1981" s="58"/>
      <c r="AZ1981" s="59" t="s">
        <v>746</v>
      </c>
      <c r="BA1981" s="59" t="s">
        <v>746</v>
      </c>
      <c r="BB1981" s="59" t="s">
        <v>2081</v>
      </c>
      <c r="BC1981" s="59" t="s">
        <v>2081</v>
      </c>
      <c r="BD1981" s="55" t="s">
        <v>176</v>
      </c>
      <c r="BE1981" s="236" t="s">
        <v>1984</v>
      </c>
      <c r="BF1981" s="58"/>
      <c r="BG1981" s="191" t="s">
        <v>479</v>
      </c>
      <c r="BH1981" s="236"/>
      <c r="BI1981" s="58"/>
      <c r="BJ1981" s="152" t="s">
        <v>1983</v>
      </c>
      <c r="BK1981" s="58" t="s">
        <v>5976</v>
      </c>
      <c r="BL1981" s="58"/>
      <c r="BM1981" s="237" t="s">
        <v>160</v>
      </c>
      <c r="BN1981" s="59">
        <v>4</v>
      </c>
      <c r="BO1981" s="59">
        <v>4</v>
      </c>
      <c r="BP1981" s="59">
        <v>4</v>
      </c>
      <c r="BQ1981" s="58" t="s">
        <v>141</v>
      </c>
      <c r="BR1981" s="58"/>
      <c r="BS1981" s="58"/>
      <c r="BT1981" s="58"/>
      <c r="BU1981" s="58"/>
      <c r="BV1981" s="58"/>
      <c r="CB1981" s="153"/>
      <c r="CC1981" s="153"/>
      <c r="CD1981" s="153"/>
      <c r="CE1981" s="67"/>
      <c r="CH1981" s="93">
        <f>CI1981+0.01</f>
        <v>1.43</v>
      </c>
      <c r="CI1981" s="93">
        <v>1.42</v>
      </c>
      <c r="CM1981" s="67">
        <v>0.6573426573426574</v>
      </c>
      <c r="CN1981" s="67">
        <v>0.63636363636363624</v>
      </c>
      <c r="CR1981" s="65">
        <v>9.4</v>
      </c>
      <c r="CS1981" s="65">
        <v>9.0363636363636335</v>
      </c>
      <c r="CT1981" s="65">
        <v>1</v>
      </c>
      <c r="CU1981" s="65">
        <v>1</v>
      </c>
      <c r="CV1981" s="65" t="s">
        <v>962</v>
      </c>
      <c r="DA1981" s="65" t="s">
        <v>4458</v>
      </c>
      <c r="GP1981" s="292" t="s">
        <v>7494</v>
      </c>
      <c r="JU1981" s="59" t="s">
        <v>2040</v>
      </c>
      <c r="JV1981" s="58"/>
    </row>
    <row r="1982" spans="1:282" x14ac:dyDescent="0.25">
      <c r="A1982" s="55">
        <v>1981</v>
      </c>
      <c r="B1982" s="12" t="s">
        <v>7067</v>
      </c>
      <c r="C1982" s="157">
        <v>91</v>
      </c>
      <c r="D1982" s="59" t="s">
        <v>4080</v>
      </c>
      <c r="E1982" s="93" t="s">
        <v>741</v>
      </c>
      <c r="F1982" s="93"/>
      <c r="G1982" s="58" t="s">
        <v>2074</v>
      </c>
      <c r="H1982" s="59">
        <v>2006</v>
      </c>
      <c r="I1982" s="58">
        <v>1999</v>
      </c>
      <c r="J1982" s="59" t="s">
        <v>916</v>
      </c>
      <c r="K1982" s="59" t="s">
        <v>1990</v>
      </c>
      <c r="L1982" s="59" t="s">
        <v>2737</v>
      </c>
      <c r="M1982" s="94">
        <v>32.56</v>
      </c>
      <c r="N1982" s="94">
        <v>-83.91</v>
      </c>
      <c r="O1982" s="93">
        <v>16</v>
      </c>
      <c r="P1982" s="59">
        <v>18.100000000000001</v>
      </c>
      <c r="Q1982" s="58"/>
      <c r="R1982" s="59">
        <v>1258</v>
      </c>
      <c r="S1982" s="94"/>
      <c r="T1982" s="58"/>
      <c r="U1982" s="59">
        <v>6</v>
      </c>
      <c r="V1982" s="58" t="s">
        <v>1933</v>
      </c>
      <c r="Y1982" s="58" t="s">
        <v>2059</v>
      </c>
      <c r="Z1982" s="58" t="s">
        <v>1375</v>
      </c>
      <c r="AA1982" s="94">
        <v>20</v>
      </c>
      <c r="AD1982" s="94">
        <f>AVERAGE(Sheet1!CH1982:CI1982)</f>
        <v>1.5550000000000002</v>
      </c>
      <c r="AE1982" s="93">
        <v>65</v>
      </c>
      <c r="AF1982" s="93">
        <v>25</v>
      </c>
      <c r="AG1982" s="93"/>
      <c r="AH1982" s="58" t="s">
        <v>238</v>
      </c>
      <c r="AI1982" s="169"/>
      <c r="AJ1982" s="94"/>
      <c r="AK1982" s="94"/>
      <c r="AL1982" s="58"/>
      <c r="AM1982" s="59" t="s">
        <v>1987</v>
      </c>
      <c r="AN1982" s="188" t="s">
        <v>131</v>
      </c>
      <c r="AO1982" s="185" t="s">
        <v>5150</v>
      </c>
      <c r="AP1982" s="59"/>
      <c r="AQ1982" s="58" t="s">
        <v>131</v>
      </c>
      <c r="AR1982" s="59" t="s">
        <v>1985</v>
      </c>
      <c r="AS1982" s="55" t="s">
        <v>5133</v>
      </c>
      <c r="AT1982" s="182"/>
      <c r="AU1982" s="181" t="s">
        <v>7494</v>
      </c>
      <c r="AV1982" s="185" t="s">
        <v>176</v>
      </c>
      <c r="AW1982" s="58"/>
      <c r="AX1982" s="185" t="s">
        <v>176</v>
      </c>
      <c r="AY1982" s="58"/>
      <c r="AZ1982" s="59" t="s">
        <v>746</v>
      </c>
      <c r="BA1982" s="59" t="s">
        <v>746</v>
      </c>
      <c r="BB1982" s="59" t="s">
        <v>2081</v>
      </c>
      <c r="BC1982" s="59" t="s">
        <v>2081</v>
      </c>
      <c r="BD1982" s="55" t="s">
        <v>2071</v>
      </c>
      <c r="BE1982" s="236" t="s">
        <v>1984</v>
      </c>
      <c r="BF1982" s="58"/>
      <c r="BG1982" s="191" t="s">
        <v>479</v>
      </c>
      <c r="BH1982" s="236"/>
      <c r="BI1982" s="58"/>
      <c r="BJ1982" s="152" t="s">
        <v>1983</v>
      </c>
      <c r="BK1982" s="58" t="s">
        <v>5976</v>
      </c>
      <c r="BL1982" s="58"/>
      <c r="BM1982" s="237" t="s">
        <v>160</v>
      </c>
      <c r="BN1982" s="59">
        <v>4</v>
      </c>
      <c r="BO1982" s="59">
        <v>4</v>
      </c>
      <c r="BP1982" s="59">
        <v>4</v>
      </c>
      <c r="BQ1982" s="58" t="s">
        <v>141</v>
      </c>
      <c r="BR1982" s="58"/>
      <c r="BS1982" s="58"/>
      <c r="BT1982" s="58"/>
      <c r="BU1982" s="58"/>
      <c r="BV1982" s="58"/>
      <c r="CB1982" s="153"/>
      <c r="CC1982" s="153"/>
      <c r="CD1982" s="153"/>
      <c r="CE1982" s="67"/>
      <c r="CH1982" s="93">
        <f>CI1982+0.01</f>
        <v>1.56</v>
      </c>
      <c r="CI1982" s="93">
        <v>1.55</v>
      </c>
      <c r="CM1982" s="67">
        <v>0.41987179487179482</v>
      </c>
      <c r="CN1982" s="67">
        <v>0.44871794871794868</v>
      </c>
      <c r="CR1982" s="65">
        <v>13.099999999999998</v>
      </c>
      <c r="CS1982" s="65">
        <v>13.910256410256412</v>
      </c>
      <c r="CT1982" s="65">
        <v>2.2999999999999998</v>
      </c>
      <c r="CU1982" s="65">
        <v>2.2999999999999998</v>
      </c>
      <c r="CV1982" s="65" t="s">
        <v>962</v>
      </c>
      <c r="DA1982" s="65" t="s">
        <v>4458</v>
      </c>
      <c r="GP1982" s="292" t="s">
        <v>7494</v>
      </c>
      <c r="JU1982" s="59" t="s">
        <v>2040</v>
      </c>
      <c r="JV1982" s="58"/>
    </row>
    <row r="1983" spans="1:282" x14ac:dyDescent="0.25">
      <c r="A1983" s="55">
        <v>1982</v>
      </c>
      <c r="B1983" s="12" t="s">
        <v>7067</v>
      </c>
      <c r="C1983" s="157">
        <v>91</v>
      </c>
      <c r="D1983" s="59" t="s">
        <v>4081</v>
      </c>
      <c r="E1983" s="93" t="s">
        <v>741</v>
      </c>
      <c r="F1983" s="93"/>
      <c r="G1983" s="58" t="s">
        <v>2074</v>
      </c>
      <c r="H1983" s="59">
        <v>2006</v>
      </c>
      <c r="I1983" s="58">
        <v>1999</v>
      </c>
      <c r="J1983" s="59" t="s">
        <v>916</v>
      </c>
      <c r="K1983" s="59" t="s">
        <v>1990</v>
      </c>
      <c r="L1983" s="59" t="s">
        <v>2737</v>
      </c>
      <c r="M1983" s="94">
        <v>32.56</v>
      </c>
      <c r="N1983" s="94">
        <v>-83.91</v>
      </c>
      <c r="O1983" s="93">
        <v>16</v>
      </c>
      <c r="P1983" s="59">
        <v>18.100000000000001</v>
      </c>
      <c r="Q1983" s="58"/>
      <c r="R1983" s="59">
        <v>1258</v>
      </c>
      <c r="S1983" s="94"/>
      <c r="T1983" s="58"/>
      <c r="U1983" s="59">
        <v>6</v>
      </c>
      <c r="V1983" s="58" t="s">
        <v>1933</v>
      </c>
      <c r="Y1983" s="58" t="s">
        <v>2059</v>
      </c>
      <c r="Z1983" s="58" t="s">
        <v>1369</v>
      </c>
      <c r="AA1983" s="94">
        <v>30</v>
      </c>
      <c r="AD1983" s="94">
        <f>AVERAGE(Sheet1!CH1983:CI1983)</f>
        <v>1.3919999999999999</v>
      </c>
      <c r="AE1983" s="93">
        <v>65</v>
      </c>
      <c r="AF1983" s="93">
        <v>25</v>
      </c>
      <c r="AG1983" s="93"/>
      <c r="AH1983" s="58" t="s">
        <v>238</v>
      </c>
      <c r="AI1983" s="169"/>
      <c r="AJ1983" s="94"/>
      <c r="AK1983" s="94"/>
      <c r="AL1983" s="58"/>
      <c r="AM1983" s="59" t="s">
        <v>1987</v>
      </c>
      <c r="AN1983" s="188" t="s">
        <v>131</v>
      </c>
      <c r="AO1983" s="185" t="s">
        <v>5150</v>
      </c>
      <c r="AP1983" s="59"/>
      <c r="AQ1983" s="58" t="s">
        <v>131</v>
      </c>
      <c r="AR1983" s="59" t="s">
        <v>1985</v>
      </c>
      <c r="AS1983" s="55" t="s">
        <v>5133</v>
      </c>
      <c r="AT1983" s="182"/>
      <c r="AU1983" s="181" t="s">
        <v>7494</v>
      </c>
      <c r="AV1983" s="185" t="s">
        <v>176</v>
      </c>
      <c r="AW1983" s="58"/>
      <c r="AX1983" s="185" t="s">
        <v>176</v>
      </c>
      <c r="AY1983" s="58"/>
      <c r="AZ1983" s="59" t="s">
        <v>746</v>
      </c>
      <c r="BA1983" s="59" t="s">
        <v>746</v>
      </c>
      <c r="BB1983" s="59" t="s">
        <v>2081</v>
      </c>
      <c r="BC1983" s="59" t="s">
        <v>2081</v>
      </c>
      <c r="BD1983" s="55" t="s">
        <v>176</v>
      </c>
      <c r="BE1983" s="236" t="s">
        <v>1984</v>
      </c>
      <c r="BF1983" s="58"/>
      <c r="BG1983" s="191" t="s">
        <v>479</v>
      </c>
      <c r="BH1983" s="236"/>
      <c r="BI1983" s="58"/>
      <c r="BJ1983" s="152" t="s">
        <v>1983</v>
      </c>
      <c r="BK1983" s="58" t="s">
        <v>5976</v>
      </c>
      <c r="BL1983" s="58"/>
      <c r="BM1983" s="237" t="s">
        <v>160</v>
      </c>
      <c r="BN1983" s="59">
        <v>4</v>
      </c>
      <c r="BO1983" s="59">
        <v>4</v>
      </c>
      <c r="BP1983" s="59">
        <v>4</v>
      </c>
      <c r="BQ1983" s="58" t="s">
        <v>141</v>
      </c>
      <c r="BR1983" s="58"/>
      <c r="BS1983" s="58"/>
      <c r="BT1983" s="58"/>
      <c r="BU1983" s="58"/>
      <c r="BV1983" s="58"/>
      <c r="CB1983" s="153"/>
      <c r="CC1983" s="153"/>
      <c r="CD1983" s="153"/>
      <c r="CE1983" s="67"/>
      <c r="CH1983" s="93">
        <f>CI1983+0.01</f>
        <v>1.397</v>
      </c>
      <c r="CI1983" s="93">
        <v>1.387</v>
      </c>
      <c r="CM1983" s="67">
        <v>0.22429014554998808</v>
      </c>
      <c r="CN1983" s="67">
        <v>0.28871391076115482</v>
      </c>
      <c r="CR1983" s="65">
        <v>9.4</v>
      </c>
      <c r="CS1983" s="65">
        <v>12.013385826771653</v>
      </c>
      <c r="CT1983" s="65">
        <v>3.4</v>
      </c>
      <c r="CU1983" s="65">
        <v>3.4</v>
      </c>
      <c r="CV1983" s="65" t="s">
        <v>962</v>
      </c>
      <c r="DA1983" s="65" t="s">
        <v>4458</v>
      </c>
      <c r="GP1983" s="292" t="s">
        <v>7494</v>
      </c>
      <c r="JU1983" s="59" t="s">
        <v>2040</v>
      </c>
      <c r="JV1983" s="58"/>
    </row>
    <row r="1984" spans="1:282" x14ac:dyDescent="0.25">
      <c r="A1984" s="55">
        <v>1983</v>
      </c>
      <c r="B1984" s="12" t="s">
        <v>7067</v>
      </c>
      <c r="C1984" s="157">
        <v>91</v>
      </c>
      <c r="D1984" s="59" t="s">
        <v>4082</v>
      </c>
      <c r="E1984" s="93" t="s">
        <v>741</v>
      </c>
      <c r="F1984" s="93"/>
      <c r="G1984" s="58" t="s">
        <v>2074</v>
      </c>
      <c r="H1984" s="59">
        <v>2006</v>
      </c>
      <c r="I1984" s="58">
        <v>1999</v>
      </c>
      <c r="J1984" s="59" t="s">
        <v>916</v>
      </c>
      <c r="K1984" s="59" t="s">
        <v>1990</v>
      </c>
      <c r="L1984" s="59" t="s">
        <v>2737</v>
      </c>
      <c r="M1984" s="94">
        <v>32.56</v>
      </c>
      <c r="N1984" s="94">
        <v>-83.91</v>
      </c>
      <c r="O1984" s="93">
        <v>16</v>
      </c>
      <c r="P1984" s="59">
        <v>18.100000000000001</v>
      </c>
      <c r="Q1984" s="58"/>
      <c r="R1984" s="59">
        <v>1258</v>
      </c>
      <c r="S1984" s="94"/>
      <c r="T1984" s="58"/>
      <c r="U1984" s="59">
        <v>6</v>
      </c>
      <c r="V1984" s="58" t="s">
        <v>1933</v>
      </c>
      <c r="Y1984" s="58" t="s">
        <v>2059</v>
      </c>
      <c r="Z1984" s="58" t="s">
        <v>1370</v>
      </c>
      <c r="AA1984" s="94">
        <v>30</v>
      </c>
      <c r="AD1984" s="94">
        <f>AVERAGE(Sheet1!CH1984:CI1984)</f>
        <v>1.5939999999999999</v>
      </c>
      <c r="AE1984" s="93">
        <v>65</v>
      </c>
      <c r="AF1984" s="93">
        <v>25</v>
      </c>
      <c r="AG1984" s="93"/>
      <c r="AH1984" s="58" t="s">
        <v>238</v>
      </c>
      <c r="AI1984" s="169"/>
      <c r="AJ1984" s="94"/>
      <c r="AK1984" s="94"/>
      <c r="AL1984" s="58"/>
      <c r="AM1984" s="59" t="s">
        <v>1987</v>
      </c>
      <c r="AN1984" s="188" t="s">
        <v>131</v>
      </c>
      <c r="AO1984" s="185" t="s">
        <v>5150</v>
      </c>
      <c r="AP1984" s="59"/>
      <c r="AQ1984" s="58" t="s">
        <v>131</v>
      </c>
      <c r="AR1984" s="59" t="s">
        <v>1985</v>
      </c>
      <c r="AS1984" s="55" t="s">
        <v>5133</v>
      </c>
      <c r="AT1984" s="182"/>
      <c r="AU1984" s="181" t="s">
        <v>7494</v>
      </c>
      <c r="AV1984" s="185" t="s">
        <v>176</v>
      </c>
      <c r="AW1984" s="58"/>
      <c r="AX1984" s="185" t="s">
        <v>176</v>
      </c>
      <c r="AY1984" s="58"/>
      <c r="AZ1984" s="59" t="s">
        <v>746</v>
      </c>
      <c r="BA1984" s="59" t="s">
        <v>746</v>
      </c>
      <c r="BB1984" s="59" t="s">
        <v>2081</v>
      </c>
      <c r="BC1984" s="59" t="s">
        <v>2081</v>
      </c>
      <c r="BD1984" s="55" t="s">
        <v>2071</v>
      </c>
      <c r="BE1984" s="236" t="s">
        <v>1984</v>
      </c>
      <c r="BF1984" s="58"/>
      <c r="BG1984" s="191" t="s">
        <v>479</v>
      </c>
      <c r="BH1984" s="236"/>
      <c r="BI1984" s="58"/>
      <c r="BJ1984" s="152" t="s">
        <v>1983</v>
      </c>
      <c r="BK1984" s="58" t="s">
        <v>5976</v>
      </c>
      <c r="BL1984" s="58"/>
      <c r="BM1984" s="237" t="s">
        <v>160</v>
      </c>
      <c r="BN1984" s="59">
        <v>4</v>
      </c>
      <c r="BO1984" s="59">
        <v>4</v>
      </c>
      <c r="BP1984" s="59">
        <v>4</v>
      </c>
      <c r="BQ1984" s="58" t="s">
        <v>141</v>
      </c>
      <c r="BR1984" s="58"/>
      <c r="BS1984" s="58"/>
      <c r="BT1984" s="58"/>
      <c r="BU1984" s="58"/>
      <c r="BV1984" s="58"/>
      <c r="CB1984" s="153"/>
      <c r="CC1984" s="153"/>
      <c r="CD1984" s="153"/>
      <c r="CE1984" s="67"/>
      <c r="CH1984" s="93">
        <f>CI1984+0.01</f>
        <v>1.599</v>
      </c>
      <c r="CI1984" s="93">
        <v>1.589</v>
      </c>
      <c r="CM1984" s="67">
        <v>0.16468626224723787</v>
      </c>
      <c r="CN1984" s="67">
        <v>0.16885553470919323</v>
      </c>
      <c r="CR1984" s="65">
        <v>7.9</v>
      </c>
      <c r="CS1984" s="65">
        <v>8.0493433395872405</v>
      </c>
      <c r="CT1984" s="65">
        <v>3.4</v>
      </c>
      <c r="CU1984" s="65">
        <v>3.4</v>
      </c>
      <c r="CV1984" s="65" t="s">
        <v>962</v>
      </c>
      <c r="DA1984" s="65" t="s">
        <v>4458</v>
      </c>
      <c r="GP1984" s="292" t="s">
        <v>7494</v>
      </c>
      <c r="JU1984" s="59" t="s">
        <v>2040</v>
      </c>
      <c r="JV1984" s="58"/>
    </row>
    <row r="1985" spans="1:282" x14ac:dyDescent="0.25">
      <c r="A1985" s="55">
        <v>1984</v>
      </c>
      <c r="B1985" s="12" t="s">
        <v>7067</v>
      </c>
      <c r="C1985" s="157">
        <v>91</v>
      </c>
      <c r="D1985" s="59" t="s">
        <v>4083</v>
      </c>
      <c r="E1985" s="93" t="s">
        <v>741</v>
      </c>
      <c r="F1985" s="93"/>
      <c r="G1985" s="58" t="s">
        <v>2074</v>
      </c>
      <c r="H1985" s="59">
        <v>2006</v>
      </c>
      <c r="I1985" s="58">
        <v>1999</v>
      </c>
      <c r="J1985" s="59" t="s">
        <v>916</v>
      </c>
      <c r="K1985" s="59" t="s">
        <v>1990</v>
      </c>
      <c r="L1985" s="59" t="s">
        <v>2737</v>
      </c>
      <c r="M1985" s="94">
        <v>32.56</v>
      </c>
      <c r="N1985" s="94">
        <v>-83.91</v>
      </c>
      <c r="O1985" s="93">
        <v>16</v>
      </c>
      <c r="P1985" s="59">
        <v>18.100000000000001</v>
      </c>
      <c r="Q1985" s="58"/>
      <c r="R1985" s="59">
        <v>1258</v>
      </c>
      <c r="S1985" s="94"/>
      <c r="T1985" s="58"/>
      <c r="U1985" s="59">
        <v>6</v>
      </c>
      <c r="V1985" s="58" t="s">
        <v>1933</v>
      </c>
      <c r="Y1985" s="58" t="s">
        <v>2059</v>
      </c>
      <c r="Z1985" s="58" t="s">
        <v>1382</v>
      </c>
      <c r="AA1985" s="94">
        <v>30</v>
      </c>
      <c r="AD1985" s="94">
        <f>AVERAGE(Sheet1!CH1985:CI1985)</f>
        <v>1.617</v>
      </c>
      <c r="AE1985" s="93">
        <v>65</v>
      </c>
      <c r="AF1985" s="93">
        <v>25</v>
      </c>
      <c r="AG1985" s="93"/>
      <c r="AH1985" s="58" t="s">
        <v>238</v>
      </c>
      <c r="AI1985" s="169"/>
      <c r="AJ1985" s="94"/>
      <c r="AK1985" s="94"/>
      <c r="AL1985" s="58"/>
      <c r="AM1985" s="59" t="s">
        <v>1987</v>
      </c>
      <c r="AN1985" s="188" t="s">
        <v>131</v>
      </c>
      <c r="AO1985" s="185" t="s">
        <v>5150</v>
      </c>
      <c r="AP1985" s="59"/>
      <c r="AQ1985" s="58" t="s">
        <v>131</v>
      </c>
      <c r="AR1985" s="59" t="s">
        <v>1985</v>
      </c>
      <c r="AS1985" s="55" t="s">
        <v>5133</v>
      </c>
      <c r="AT1985" s="182"/>
      <c r="AU1985" s="181" t="s">
        <v>7494</v>
      </c>
      <c r="AV1985" s="185" t="s">
        <v>176</v>
      </c>
      <c r="AW1985" s="58"/>
      <c r="AX1985" s="185" t="s">
        <v>176</v>
      </c>
      <c r="AY1985" s="58"/>
      <c r="AZ1985" s="59" t="s">
        <v>746</v>
      </c>
      <c r="BA1985" s="59" t="s">
        <v>746</v>
      </c>
      <c r="BB1985" s="59" t="s">
        <v>2081</v>
      </c>
      <c r="BC1985" s="59" t="s">
        <v>2081</v>
      </c>
      <c r="BD1985" s="55" t="s">
        <v>176</v>
      </c>
      <c r="BE1985" s="236" t="s">
        <v>1984</v>
      </c>
      <c r="BF1985" s="58"/>
      <c r="BG1985" s="191" t="s">
        <v>479</v>
      </c>
      <c r="BH1985" s="236"/>
      <c r="BI1985" s="58"/>
      <c r="BJ1985" s="152" t="s">
        <v>1983</v>
      </c>
      <c r="BK1985" s="58" t="s">
        <v>5976</v>
      </c>
      <c r="BL1985" s="58"/>
      <c r="BM1985" s="237" t="s">
        <v>160</v>
      </c>
      <c r="BN1985" s="59">
        <v>4</v>
      </c>
      <c r="BO1985" s="59">
        <v>4</v>
      </c>
      <c r="BP1985" s="59">
        <v>4</v>
      </c>
      <c r="BQ1985" s="58" t="s">
        <v>141</v>
      </c>
      <c r="BR1985" s="58"/>
      <c r="BS1985" s="58"/>
      <c r="BT1985" s="58"/>
      <c r="BU1985" s="58"/>
      <c r="BV1985" s="58"/>
      <c r="CB1985" s="153"/>
      <c r="CC1985" s="153"/>
      <c r="CD1985" s="153"/>
      <c r="CE1985" s="67"/>
      <c r="CH1985" s="93">
        <f>CI1985+0.01</f>
        <v>1.6220000000000001</v>
      </c>
      <c r="CI1985" s="93">
        <v>1.6120000000000001</v>
      </c>
      <c r="CM1985" s="67">
        <v>0.12741471434443072</v>
      </c>
      <c r="CN1985" s="67">
        <v>0.12124948623099052</v>
      </c>
      <c r="CR1985" s="65">
        <v>6.1999999999999993</v>
      </c>
      <c r="CS1985" s="65">
        <v>5.8636251541307027</v>
      </c>
      <c r="CT1985" s="65">
        <v>2.2000000000000002</v>
      </c>
      <c r="CU1985" s="65">
        <v>2.2000000000000002</v>
      </c>
      <c r="CV1985" s="65" t="s">
        <v>962</v>
      </c>
      <c r="DA1985" s="65" t="s">
        <v>4458</v>
      </c>
      <c r="GP1985" s="292" t="s">
        <v>7494</v>
      </c>
      <c r="JU1985" s="59" t="s">
        <v>2040</v>
      </c>
      <c r="JV1985" s="58"/>
    </row>
    <row r="1986" spans="1:282" x14ac:dyDescent="0.25">
      <c r="A1986" s="55">
        <v>1985</v>
      </c>
      <c r="B1986" s="12" t="s">
        <v>7067</v>
      </c>
      <c r="C1986" s="157">
        <v>91</v>
      </c>
      <c r="D1986" s="59" t="s">
        <v>4084</v>
      </c>
      <c r="E1986" s="93" t="s">
        <v>741</v>
      </c>
      <c r="F1986" s="93"/>
      <c r="G1986" s="58" t="s">
        <v>2074</v>
      </c>
      <c r="H1986" s="59">
        <v>2006</v>
      </c>
      <c r="I1986" s="58">
        <v>1999</v>
      </c>
      <c r="J1986" s="59" t="s">
        <v>916</v>
      </c>
      <c r="K1986" s="59" t="s">
        <v>1990</v>
      </c>
      <c r="L1986" s="59" t="s">
        <v>2737</v>
      </c>
      <c r="M1986" s="94">
        <v>32.56</v>
      </c>
      <c r="N1986" s="94">
        <v>-83.91</v>
      </c>
      <c r="O1986" s="93">
        <v>16</v>
      </c>
      <c r="P1986" s="59">
        <v>18.100000000000001</v>
      </c>
      <c r="Q1986" s="58"/>
      <c r="R1986" s="59">
        <v>1258</v>
      </c>
      <c r="S1986" s="94"/>
      <c r="T1986" s="58"/>
      <c r="U1986" s="59">
        <v>6</v>
      </c>
      <c r="V1986" s="58" t="s">
        <v>1933</v>
      </c>
      <c r="Y1986" s="58" t="s">
        <v>2059</v>
      </c>
      <c r="Z1986" s="58" t="s">
        <v>1355</v>
      </c>
      <c r="AA1986" s="94">
        <v>10</v>
      </c>
      <c r="AD1986" s="94">
        <f>AVERAGE(Sheet1!CH1986:CI1986)</f>
        <v>1.4249999999999998</v>
      </c>
      <c r="AE1986" s="93">
        <v>65</v>
      </c>
      <c r="AF1986" s="93">
        <v>25</v>
      </c>
      <c r="AG1986" s="93"/>
      <c r="AH1986" s="58" t="s">
        <v>238</v>
      </c>
      <c r="AI1986" s="169"/>
      <c r="AJ1986" s="94"/>
      <c r="AK1986" s="94"/>
      <c r="AL1986" s="58"/>
      <c r="AM1986" s="59" t="s">
        <v>1987</v>
      </c>
      <c r="AN1986" s="188" t="s">
        <v>241</v>
      </c>
      <c r="AO1986" s="185" t="s">
        <v>5150</v>
      </c>
      <c r="AP1986" s="59"/>
      <c r="AQ1986" s="58" t="s">
        <v>553</v>
      </c>
      <c r="AR1986" s="59" t="s">
        <v>1985</v>
      </c>
      <c r="AS1986" s="55" t="s">
        <v>5133</v>
      </c>
      <c r="AT1986" s="182"/>
      <c r="AU1986" s="181" t="s">
        <v>7494</v>
      </c>
      <c r="AV1986" s="185" t="s">
        <v>176</v>
      </c>
      <c r="AW1986" s="58"/>
      <c r="AX1986" s="185" t="s">
        <v>176</v>
      </c>
      <c r="AY1986" s="58"/>
      <c r="AZ1986" s="59" t="s">
        <v>746</v>
      </c>
      <c r="BA1986" s="59" t="s">
        <v>746</v>
      </c>
      <c r="BB1986" s="59" t="s">
        <v>2081</v>
      </c>
      <c r="BC1986" s="59" t="s">
        <v>2081</v>
      </c>
      <c r="BD1986" s="55" t="s">
        <v>2071</v>
      </c>
      <c r="BE1986" s="236" t="s">
        <v>161</v>
      </c>
      <c r="BF1986" s="58"/>
      <c r="BG1986" s="191" t="s">
        <v>176</v>
      </c>
      <c r="BH1986" s="236"/>
      <c r="BI1986" s="58"/>
      <c r="BJ1986" s="152" t="s">
        <v>1983</v>
      </c>
      <c r="BK1986" s="58" t="s">
        <v>5976</v>
      </c>
      <c r="BL1986" s="58"/>
      <c r="BM1986" s="237" t="s">
        <v>160</v>
      </c>
      <c r="BN1986" s="59">
        <v>4</v>
      </c>
      <c r="BO1986" s="59">
        <v>4</v>
      </c>
      <c r="BP1986" s="59">
        <v>4</v>
      </c>
      <c r="BQ1986" s="58" t="s">
        <v>141</v>
      </c>
      <c r="BR1986" s="58"/>
      <c r="BS1986" s="58"/>
      <c r="BT1986" s="58"/>
      <c r="BU1986" s="58"/>
      <c r="BV1986" s="58"/>
      <c r="CB1986" s="153"/>
      <c r="CC1986" s="153"/>
      <c r="CD1986" s="153"/>
      <c r="CE1986" s="67"/>
      <c r="CH1986" s="93">
        <f>CI1986+0.01</f>
        <v>1.43</v>
      </c>
      <c r="CI1986" s="93">
        <v>1.42</v>
      </c>
      <c r="CM1986" s="67">
        <v>0.55944055944055948</v>
      </c>
      <c r="CN1986" s="67">
        <v>0.63636363636363624</v>
      </c>
      <c r="CR1986" s="65">
        <v>8</v>
      </c>
      <c r="CS1986" s="65">
        <v>9.0363636363636335</v>
      </c>
      <c r="CT1986" s="65">
        <v>1</v>
      </c>
      <c r="CU1986" s="65">
        <v>1</v>
      </c>
      <c r="CV1986" s="65" t="s">
        <v>962</v>
      </c>
      <c r="DA1986" s="65" t="s">
        <v>4458</v>
      </c>
      <c r="GP1986" s="292" t="s">
        <v>7494</v>
      </c>
      <c r="JU1986" s="59" t="s">
        <v>2040</v>
      </c>
      <c r="JV1986" s="58"/>
    </row>
    <row r="1987" spans="1:282" x14ac:dyDescent="0.25">
      <c r="A1987" s="55">
        <v>1986</v>
      </c>
      <c r="B1987" s="12" t="s">
        <v>7067</v>
      </c>
      <c r="C1987" s="157">
        <v>91</v>
      </c>
      <c r="D1987" s="59" t="s">
        <v>4085</v>
      </c>
      <c r="E1987" s="93" t="s">
        <v>741</v>
      </c>
      <c r="F1987" s="93"/>
      <c r="G1987" s="58" t="s">
        <v>2074</v>
      </c>
      <c r="H1987" s="59">
        <v>2006</v>
      </c>
      <c r="I1987" s="58">
        <v>1999</v>
      </c>
      <c r="J1987" s="59" t="s">
        <v>916</v>
      </c>
      <c r="K1987" s="59" t="s">
        <v>1990</v>
      </c>
      <c r="L1987" s="59" t="s">
        <v>2737</v>
      </c>
      <c r="M1987" s="94">
        <v>32.56</v>
      </c>
      <c r="N1987" s="94">
        <v>-83.91</v>
      </c>
      <c r="O1987" s="93">
        <v>16</v>
      </c>
      <c r="P1987" s="59">
        <v>18.100000000000001</v>
      </c>
      <c r="Q1987" s="58"/>
      <c r="R1987" s="59">
        <v>1258</v>
      </c>
      <c r="S1987" s="94"/>
      <c r="T1987" s="58"/>
      <c r="U1987" s="59">
        <v>6</v>
      </c>
      <c r="V1987" s="58" t="s">
        <v>1933</v>
      </c>
      <c r="Y1987" s="58" t="s">
        <v>2059</v>
      </c>
      <c r="Z1987" s="58" t="s">
        <v>1375</v>
      </c>
      <c r="AA1987" s="94">
        <v>20</v>
      </c>
      <c r="AD1987" s="94">
        <f>AVERAGE(Sheet1!CH1987:CI1987)</f>
        <v>1.5550000000000002</v>
      </c>
      <c r="AE1987" s="93">
        <v>65</v>
      </c>
      <c r="AF1987" s="93">
        <v>25</v>
      </c>
      <c r="AG1987" s="93"/>
      <c r="AH1987" s="58" t="s">
        <v>238</v>
      </c>
      <c r="AI1987" s="169"/>
      <c r="AJ1987" s="94"/>
      <c r="AK1987" s="94"/>
      <c r="AL1987" s="58"/>
      <c r="AM1987" s="59" t="s">
        <v>1987</v>
      </c>
      <c r="AN1987" s="188" t="s">
        <v>241</v>
      </c>
      <c r="AO1987" s="185" t="s">
        <v>5150</v>
      </c>
      <c r="AP1987" s="59"/>
      <c r="AQ1987" s="58" t="s">
        <v>553</v>
      </c>
      <c r="AR1987" s="59" t="s">
        <v>1985</v>
      </c>
      <c r="AS1987" s="55" t="s">
        <v>5133</v>
      </c>
      <c r="AT1987" s="182"/>
      <c r="AU1987" s="181" t="s">
        <v>7494</v>
      </c>
      <c r="AV1987" s="185" t="s">
        <v>176</v>
      </c>
      <c r="AW1987" s="58"/>
      <c r="AX1987" s="185" t="s">
        <v>176</v>
      </c>
      <c r="AY1987" s="58"/>
      <c r="AZ1987" s="59" t="s">
        <v>746</v>
      </c>
      <c r="BA1987" s="59" t="s">
        <v>746</v>
      </c>
      <c r="BB1987" s="59" t="s">
        <v>2081</v>
      </c>
      <c r="BC1987" s="59" t="s">
        <v>2081</v>
      </c>
      <c r="BD1987" s="55" t="s">
        <v>176</v>
      </c>
      <c r="BE1987" s="236" t="s">
        <v>161</v>
      </c>
      <c r="BF1987" s="58"/>
      <c r="BG1987" s="191" t="s">
        <v>176</v>
      </c>
      <c r="BH1987" s="236"/>
      <c r="BI1987" s="58"/>
      <c r="BJ1987" s="152" t="s">
        <v>1983</v>
      </c>
      <c r="BK1987" s="58" t="s">
        <v>5976</v>
      </c>
      <c r="BL1987" s="58"/>
      <c r="BM1987" s="237" t="s">
        <v>160</v>
      </c>
      <c r="BN1987" s="59">
        <v>4</v>
      </c>
      <c r="BO1987" s="59">
        <v>4</v>
      </c>
      <c r="BP1987" s="59">
        <v>4</v>
      </c>
      <c r="BQ1987" s="58" t="s">
        <v>141</v>
      </c>
      <c r="BR1987" s="58"/>
      <c r="BS1987" s="58"/>
      <c r="BT1987" s="58"/>
      <c r="BU1987" s="58"/>
      <c r="BV1987" s="58"/>
      <c r="CB1987" s="153"/>
      <c r="CC1987" s="153"/>
      <c r="CD1987" s="153"/>
      <c r="CE1987" s="67"/>
      <c r="CH1987" s="93">
        <f>CI1987+0.01</f>
        <v>1.56</v>
      </c>
      <c r="CI1987" s="93">
        <v>1.55</v>
      </c>
      <c r="CM1987" s="67">
        <v>0.39743589743589747</v>
      </c>
      <c r="CN1987" s="67">
        <v>0.44551282051282054</v>
      </c>
      <c r="CR1987" s="65">
        <v>12.400000000000002</v>
      </c>
      <c r="CS1987" s="65">
        <v>13.810897435897436</v>
      </c>
      <c r="CT1987" s="65">
        <v>2.2999999999999998</v>
      </c>
      <c r="CU1987" s="65">
        <v>2.2999999999999998</v>
      </c>
      <c r="CV1987" s="65" t="s">
        <v>962</v>
      </c>
      <c r="DA1987" s="65" t="s">
        <v>4458</v>
      </c>
      <c r="GP1987" s="292" t="s">
        <v>7494</v>
      </c>
      <c r="JU1987" s="59" t="s">
        <v>2040</v>
      </c>
      <c r="JV1987" s="58"/>
    </row>
    <row r="1988" spans="1:282" x14ac:dyDescent="0.25">
      <c r="A1988" s="55">
        <v>1987</v>
      </c>
      <c r="B1988" s="12" t="s">
        <v>7067</v>
      </c>
      <c r="C1988" s="157">
        <v>91</v>
      </c>
      <c r="D1988" s="59" t="s">
        <v>4086</v>
      </c>
      <c r="E1988" s="93" t="s">
        <v>741</v>
      </c>
      <c r="F1988" s="93"/>
      <c r="G1988" s="58" t="s">
        <v>2074</v>
      </c>
      <c r="H1988" s="59">
        <v>2006</v>
      </c>
      <c r="I1988" s="58">
        <v>1999</v>
      </c>
      <c r="J1988" s="59" t="s">
        <v>916</v>
      </c>
      <c r="K1988" s="59" t="s">
        <v>1990</v>
      </c>
      <c r="L1988" s="59" t="s">
        <v>2737</v>
      </c>
      <c r="M1988" s="94">
        <v>32.56</v>
      </c>
      <c r="N1988" s="94">
        <v>-83.91</v>
      </c>
      <c r="O1988" s="93">
        <v>16</v>
      </c>
      <c r="P1988" s="59">
        <v>18.100000000000001</v>
      </c>
      <c r="Q1988" s="58"/>
      <c r="R1988" s="59">
        <v>1258</v>
      </c>
      <c r="S1988" s="94"/>
      <c r="T1988" s="58"/>
      <c r="U1988" s="59">
        <v>6</v>
      </c>
      <c r="V1988" s="58" t="s">
        <v>1933</v>
      </c>
      <c r="Y1988" s="58" t="s">
        <v>2059</v>
      </c>
      <c r="Z1988" s="58" t="s">
        <v>1369</v>
      </c>
      <c r="AA1988" s="94">
        <v>30</v>
      </c>
      <c r="AD1988" s="94">
        <f>AVERAGE(Sheet1!CH1988:CI1988)</f>
        <v>1.3919999999999999</v>
      </c>
      <c r="AE1988" s="93">
        <v>65</v>
      </c>
      <c r="AF1988" s="93">
        <v>25</v>
      </c>
      <c r="AG1988" s="93"/>
      <c r="AH1988" s="58" t="s">
        <v>238</v>
      </c>
      <c r="AI1988" s="169"/>
      <c r="AJ1988" s="94"/>
      <c r="AK1988" s="94"/>
      <c r="AL1988" s="58"/>
      <c r="AM1988" s="59" t="s">
        <v>1987</v>
      </c>
      <c r="AN1988" s="188" t="s">
        <v>241</v>
      </c>
      <c r="AO1988" s="185" t="s">
        <v>5150</v>
      </c>
      <c r="AP1988" s="59"/>
      <c r="AQ1988" s="58" t="s">
        <v>553</v>
      </c>
      <c r="AR1988" s="59" t="s">
        <v>1985</v>
      </c>
      <c r="AS1988" s="55" t="s">
        <v>5133</v>
      </c>
      <c r="AT1988" s="182"/>
      <c r="AU1988" s="181" t="s">
        <v>7494</v>
      </c>
      <c r="AV1988" s="185" t="s">
        <v>176</v>
      </c>
      <c r="AW1988" s="58"/>
      <c r="AX1988" s="185" t="s">
        <v>176</v>
      </c>
      <c r="AY1988" s="58"/>
      <c r="AZ1988" s="59" t="s">
        <v>746</v>
      </c>
      <c r="BA1988" s="59" t="s">
        <v>746</v>
      </c>
      <c r="BB1988" s="59" t="s">
        <v>2081</v>
      </c>
      <c r="BC1988" s="59" t="s">
        <v>2081</v>
      </c>
      <c r="BD1988" s="55" t="s">
        <v>2071</v>
      </c>
      <c r="BE1988" s="236" t="s">
        <v>161</v>
      </c>
      <c r="BF1988" s="58"/>
      <c r="BG1988" s="191" t="s">
        <v>176</v>
      </c>
      <c r="BH1988" s="236"/>
      <c r="BI1988" s="58"/>
      <c r="BJ1988" s="152" t="s">
        <v>1983</v>
      </c>
      <c r="BK1988" s="58" t="s">
        <v>5976</v>
      </c>
      <c r="BL1988" s="58"/>
      <c r="BM1988" s="237" t="s">
        <v>160</v>
      </c>
      <c r="BN1988" s="59">
        <v>4</v>
      </c>
      <c r="BO1988" s="59">
        <v>4</v>
      </c>
      <c r="BP1988" s="59">
        <v>4</v>
      </c>
      <c r="BQ1988" s="58" t="s">
        <v>141</v>
      </c>
      <c r="BR1988" s="58"/>
      <c r="BS1988" s="58"/>
      <c r="BT1988" s="58"/>
      <c r="BU1988" s="58"/>
      <c r="BV1988" s="58"/>
      <c r="CB1988" s="153"/>
      <c r="CC1988" s="153"/>
      <c r="CD1988" s="153"/>
      <c r="CE1988" s="67"/>
      <c r="CH1988" s="93">
        <f>CI1988+0.01</f>
        <v>1.397</v>
      </c>
      <c r="CI1988" s="93">
        <v>1.387</v>
      </c>
      <c r="CM1988" s="67">
        <v>0.21951801479360533</v>
      </c>
      <c r="CN1988" s="67">
        <v>0.26008112622285851</v>
      </c>
      <c r="CR1988" s="65">
        <v>9.1999999999999975</v>
      </c>
      <c r="CS1988" s="65">
        <v>10.821975662133141</v>
      </c>
      <c r="CT1988" s="65">
        <v>3.4</v>
      </c>
      <c r="CU1988" s="65">
        <v>3.4</v>
      </c>
      <c r="CV1988" s="65" t="s">
        <v>962</v>
      </c>
      <c r="DA1988" s="65" t="s">
        <v>4458</v>
      </c>
      <c r="GP1988" s="292" t="s">
        <v>7494</v>
      </c>
      <c r="JU1988" s="59" t="s">
        <v>2040</v>
      </c>
      <c r="JV1988" s="58"/>
    </row>
    <row r="1989" spans="1:282" x14ac:dyDescent="0.25">
      <c r="A1989" s="55">
        <v>1988</v>
      </c>
      <c r="B1989" s="12" t="s">
        <v>7067</v>
      </c>
      <c r="C1989" s="157">
        <v>91</v>
      </c>
      <c r="D1989" s="59" t="s">
        <v>4087</v>
      </c>
      <c r="E1989" s="93" t="s">
        <v>741</v>
      </c>
      <c r="F1989" s="93"/>
      <c r="G1989" s="58" t="s">
        <v>2074</v>
      </c>
      <c r="H1989" s="59">
        <v>2006</v>
      </c>
      <c r="I1989" s="58">
        <v>1999</v>
      </c>
      <c r="J1989" s="59" t="s">
        <v>916</v>
      </c>
      <c r="K1989" s="59" t="s">
        <v>1990</v>
      </c>
      <c r="L1989" s="59" t="s">
        <v>2737</v>
      </c>
      <c r="M1989" s="94">
        <v>32.56</v>
      </c>
      <c r="N1989" s="94">
        <v>-83.91</v>
      </c>
      <c r="O1989" s="93">
        <v>16</v>
      </c>
      <c r="P1989" s="59">
        <v>18.100000000000001</v>
      </c>
      <c r="Q1989" s="58"/>
      <c r="R1989" s="59">
        <v>1258</v>
      </c>
      <c r="S1989" s="94"/>
      <c r="T1989" s="58"/>
      <c r="U1989" s="59">
        <v>6</v>
      </c>
      <c r="V1989" s="58" t="s">
        <v>1933</v>
      </c>
      <c r="Y1989" s="58" t="s">
        <v>2059</v>
      </c>
      <c r="Z1989" s="58" t="s">
        <v>1370</v>
      </c>
      <c r="AA1989" s="94">
        <v>30</v>
      </c>
      <c r="AD1989" s="94">
        <f>AVERAGE(Sheet1!CH1989:CI1989)</f>
        <v>1.5939999999999999</v>
      </c>
      <c r="AE1989" s="93">
        <v>65</v>
      </c>
      <c r="AF1989" s="93">
        <v>25</v>
      </c>
      <c r="AG1989" s="93"/>
      <c r="AH1989" s="58" t="s">
        <v>238</v>
      </c>
      <c r="AI1989" s="169"/>
      <c r="AJ1989" s="94"/>
      <c r="AK1989" s="94"/>
      <c r="AL1989" s="58"/>
      <c r="AM1989" s="59" t="s">
        <v>1987</v>
      </c>
      <c r="AN1989" s="188" t="s">
        <v>241</v>
      </c>
      <c r="AO1989" s="185" t="s">
        <v>5150</v>
      </c>
      <c r="AP1989" s="59"/>
      <c r="AQ1989" s="58" t="s">
        <v>553</v>
      </c>
      <c r="AR1989" s="59" t="s">
        <v>1985</v>
      </c>
      <c r="AS1989" s="55" t="s">
        <v>5133</v>
      </c>
      <c r="AT1989" s="182"/>
      <c r="AU1989" s="181" t="s">
        <v>7494</v>
      </c>
      <c r="AV1989" s="185" t="s">
        <v>176</v>
      </c>
      <c r="AW1989" s="58"/>
      <c r="AX1989" s="185" t="s">
        <v>176</v>
      </c>
      <c r="AY1989" s="58"/>
      <c r="AZ1989" s="59" t="s">
        <v>746</v>
      </c>
      <c r="BA1989" s="59" t="s">
        <v>746</v>
      </c>
      <c r="BB1989" s="59" t="s">
        <v>2081</v>
      </c>
      <c r="BC1989" s="59" t="s">
        <v>2081</v>
      </c>
      <c r="BD1989" s="55" t="s">
        <v>176</v>
      </c>
      <c r="BE1989" s="236" t="s">
        <v>161</v>
      </c>
      <c r="BF1989" s="58"/>
      <c r="BG1989" s="191" t="s">
        <v>176</v>
      </c>
      <c r="BH1989" s="236"/>
      <c r="BI1989" s="58"/>
      <c r="BJ1989" s="152" t="s">
        <v>1983</v>
      </c>
      <c r="BK1989" s="58" t="s">
        <v>5976</v>
      </c>
      <c r="BL1989" s="58"/>
      <c r="BM1989" s="237" t="s">
        <v>160</v>
      </c>
      <c r="BN1989" s="59">
        <v>4</v>
      </c>
      <c r="BO1989" s="59">
        <v>4</v>
      </c>
      <c r="BP1989" s="59">
        <v>4</v>
      </c>
      <c r="BQ1989" s="58" t="s">
        <v>141</v>
      </c>
      <c r="BR1989" s="58"/>
      <c r="BS1989" s="58"/>
      <c r="BT1989" s="58"/>
      <c r="BU1989" s="58"/>
      <c r="BV1989" s="58"/>
      <c r="CB1989" s="153"/>
      <c r="CC1989" s="153"/>
      <c r="CD1989" s="153"/>
      <c r="CE1989" s="67"/>
      <c r="CH1989" s="93">
        <f>CI1989+0.01</f>
        <v>1.599</v>
      </c>
      <c r="CI1989" s="93">
        <v>1.589</v>
      </c>
      <c r="CM1989" s="67">
        <v>0.1480091723994163</v>
      </c>
      <c r="CN1989" s="67">
        <v>0.13341671878257244</v>
      </c>
      <c r="CR1989" s="65">
        <v>7.0999999999999988</v>
      </c>
      <c r="CS1989" s="65">
        <v>6.3599749843652287</v>
      </c>
      <c r="CT1989" s="65">
        <v>3.4</v>
      </c>
      <c r="CU1989" s="65">
        <v>3.4</v>
      </c>
      <c r="CV1989" s="65" t="s">
        <v>962</v>
      </c>
      <c r="DA1989" s="65" t="s">
        <v>4458</v>
      </c>
      <c r="GP1989" s="292" t="s">
        <v>7494</v>
      </c>
      <c r="JU1989" s="59" t="s">
        <v>2040</v>
      </c>
      <c r="JV1989" s="58"/>
    </row>
    <row r="1990" spans="1:282" x14ac:dyDescent="0.25">
      <c r="A1990" s="55">
        <v>1989</v>
      </c>
      <c r="B1990" s="12" t="s">
        <v>7067</v>
      </c>
      <c r="C1990" s="157">
        <v>91</v>
      </c>
      <c r="D1990" s="59" t="s">
        <v>4088</v>
      </c>
      <c r="E1990" s="93" t="s">
        <v>741</v>
      </c>
      <c r="F1990" s="93"/>
      <c r="G1990" s="58" t="s">
        <v>2074</v>
      </c>
      <c r="H1990" s="59">
        <v>2006</v>
      </c>
      <c r="I1990" s="58">
        <v>1999</v>
      </c>
      <c r="J1990" s="59" t="s">
        <v>916</v>
      </c>
      <c r="K1990" s="59" t="s">
        <v>1990</v>
      </c>
      <c r="L1990" s="59" t="s">
        <v>2737</v>
      </c>
      <c r="M1990" s="94">
        <v>32.56</v>
      </c>
      <c r="N1990" s="94">
        <v>-83.91</v>
      </c>
      <c r="O1990" s="93">
        <v>16</v>
      </c>
      <c r="P1990" s="59">
        <v>18.100000000000001</v>
      </c>
      <c r="Q1990" s="58"/>
      <c r="R1990" s="59">
        <v>1258</v>
      </c>
      <c r="S1990" s="94"/>
      <c r="T1990" s="58"/>
      <c r="U1990" s="59">
        <v>6</v>
      </c>
      <c r="V1990" s="58" t="s">
        <v>1933</v>
      </c>
      <c r="Y1990" s="58" t="s">
        <v>2059</v>
      </c>
      <c r="Z1990" s="58" t="s">
        <v>1382</v>
      </c>
      <c r="AA1990" s="94">
        <v>30</v>
      </c>
      <c r="AD1990" s="94">
        <f>AVERAGE(Sheet1!CH1990:CI1990)</f>
        <v>1.617</v>
      </c>
      <c r="AE1990" s="93">
        <v>65</v>
      </c>
      <c r="AF1990" s="93">
        <v>25</v>
      </c>
      <c r="AG1990" s="93"/>
      <c r="AH1990" s="58" t="s">
        <v>238</v>
      </c>
      <c r="AI1990" s="169"/>
      <c r="AJ1990" s="94"/>
      <c r="AK1990" s="94"/>
      <c r="AL1990" s="58"/>
      <c r="AM1990" s="59" t="s">
        <v>1987</v>
      </c>
      <c r="AN1990" s="188" t="s">
        <v>241</v>
      </c>
      <c r="AO1990" s="185" t="s">
        <v>5150</v>
      </c>
      <c r="AP1990" s="59"/>
      <c r="AQ1990" s="58" t="s">
        <v>553</v>
      </c>
      <c r="AR1990" s="59" t="s">
        <v>1985</v>
      </c>
      <c r="AS1990" s="55" t="s">
        <v>5133</v>
      </c>
      <c r="AT1990" s="182"/>
      <c r="AU1990" s="181" t="s">
        <v>7494</v>
      </c>
      <c r="AV1990" s="185" t="s">
        <v>176</v>
      </c>
      <c r="AW1990" s="58"/>
      <c r="AX1990" s="185" t="s">
        <v>176</v>
      </c>
      <c r="AY1990" s="58"/>
      <c r="AZ1990" s="59" t="s">
        <v>746</v>
      </c>
      <c r="BA1990" s="59" t="s">
        <v>746</v>
      </c>
      <c r="BB1990" s="59" t="s">
        <v>2081</v>
      </c>
      <c r="BC1990" s="59" t="s">
        <v>2081</v>
      </c>
      <c r="BD1990" s="55" t="s">
        <v>2071</v>
      </c>
      <c r="BE1990" s="236" t="s">
        <v>161</v>
      </c>
      <c r="BF1990" s="58"/>
      <c r="BG1990" s="191" t="s">
        <v>176</v>
      </c>
      <c r="BH1990" s="236"/>
      <c r="BI1990" s="58"/>
      <c r="BJ1990" s="152" t="s">
        <v>1983</v>
      </c>
      <c r="BK1990" s="58" t="s">
        <v>5976</v>
      </c>
      <c r="BL1990" s="58"/>
      <c r="BM1990" s="237" t="s">
        <v>160</v>
      </c>
      <c r="BN1990" s="59">
        <v>4</v>
      </c>
      <c r="BO1990" s="59">
        <v>4</v>
      </c>
      <c r="BP1990" s="59">
        <v>4</v>
      </c>
      <c r="BQ1990" s="58" t="s">
        <v>141</v>
      </c>
      <c r="BR1990" s="58"/>
      <c r="BS1990" s="58"/>
      <c r="BT1990" s="58"/>
      <c r="BU1990" s="58"/>
      <c r="BV1990" s="58"/>
      <c r="CB1990" s="153"/>
      <c r="CC1990" s="153"/>
      <c r="CD1990" s="153"/>
      <c r="CE1990" s="67"/>
      <c r="CH1990" s="93">
        <f>CI1990+0.01</f>
        <v>1.6220000000000001</v>
      </c>
      <c r="CI1990" s="93">
        <v>1.6120000000000001</v>
      </c>
      <c r="CM1990" s="67">
        <v>0.11302918207973693</v>
      </c>
      <c r="CN1990" s="67">
        <v>0.12330456226880393</v>
      </c>
      <c r="CR1990" s="65">
        <v>5.5</v>
      </c>
      <c r="CS1990" s="65">
        <v>5.9630086313193589</v>
      </c>
      <c r="CT1990" s="65">
        <v>2.2000000000000002</v>
      </c>
      <c r="CU1990" s="65">
        <v>2.2000000000000002</v>
      </c>
      <c r="CV1990" s="65" t="s">
        <v>962</v>
      </c>
      <c r="DA1990" s="65" t="s">
        <v>4458</v>
      </c>
      <c r="GP1990" s="292" t="s">
        <v>7494</v>
      </c>
      <c r="JU1990" s="59" t="s">
        <v>2040</v>
      </c>
      <c r="JV1990" s="58"/>
    </row>
    <row r="1991" spans="1:282" x14ac:dyDescent="0.25">
      <c r="A1991" s="55">
        <v>1990</v>
      </c>
      <c r="B1991" s="12" t="s">
        <v>7067</v>
      </c>
      <c r="C1991" s="157">
        <v>91</v>
      </c>
      <c r="D1991" s="59" t="s">
        <v>4089</v>
      </c>
      <c r="E1991" s="93" t="s">
        <v>741</v>
      </c>
      <c r="F1991" s="93"/>
      <c r="G1991" s="58" t="s">
        <v>2074</v>
      </c>
      <c r="H1991" s="59">
        <v>2006</v>
      </c>
      <c r="I1991" s="58">
        <v>1999</v>
      </c>
      <c r="J1991" s="59" t="s">
        <v>916</v>
      </c>
      <c r="K1991" s="59" t="s">
        <v>1990</v>
      </c>
      <c r="L1991" s="59" t="s">
        <v>2737</v>
      </c>
      <c r="M1991" s="94">
        <v>32.56</v>
      </c>
      <c r="N1991" s="94">
        <v>-83.91</v>
      </c>
      <c r="O1991" s="93">
        <v>16</v>
      </c>
      <c r="P1991" s="59">
        <v>18.100000000000001</v>
      </c>
      <c r="Q1991" s="58"/>
      <c r="R1991" s="59">
        <v>1258</v>
      </c>
      <c r="S1991" s="94"/>
      <c r="T1991" s="58"/>
      <c r="U1991" s="59">
        <v>6</v>
      </c>
      <c r="V1991" s="58" t="s">
        <v>1933</v>
      </c>
      <c r="Y1991" s="58" t="s">
        <v>2059</v>
      </c>
      <c r="Z1991" s="58" t="s">
        <v>1355</v>
      </c>
      <c r="AA1991" s="94">
        <v>10</v>
      </c>
      <c r="AD1991" s="94">
        <f>AVERAGE(Sheet1!CH1991:CI1991)</f>
        <v>1.4249999999999998</v>
      </c>
      <c r="AE1991" s="93">
        <v>65</v>
      </c>
      <c r="AF1991" s="93">
        <v>25</v>
      </c>
      <c r="AG1991" s="93"/>
      <c r="AH1991" s="58" t="s">
        <v>238</v>
      </c>
      <c r="AI1991" s="169"/>
      <c r="AJ1991" s="94"/>
      <c r="AK1991" s="94"/>
      <c r="AL1991" s="58"/>
      <c r="AM1991" s="59" t="s">
        <v>1987</v>
      </c>
      <c r="AN1991" s="188" t="s">
        <v>241</v>
      </c>
      <c r="AO1991" s="185" t="s">
        <v>5150</v>
      </c>
      <c r="AP1991" s="59"/>
      <c r="AQ1991" s="58" t="s">
        <v>553</v>
      </c>
      <c r="AR1991" s="59" t="s">
        <v>1985</v>
      </c>
      <c r="AS1991" s="55" t="s">
        <v>5133</v>
      </c>
      <c r="AT1991" s="182"/>
      <c r="AU1991" s="181" t="s">
        <v>7494</v>
      </c>
      <c r="AV1991" s="185" t="s">
        <v>176</v>
      </c>
      <c r="AW1991" s="58"/>
      <c r="AX1991" s="185" t="s">
        <v>176</v>
      </c>
      <c r="AY1991" s="58"/>
      <c r="AZ1991" s="59" t="s">
        <v>746</v>
      </c>
      <c r="BA1991" s="59" t="s">
        <v>746</v>
      </c>
      <c r="BB1991" s="59" t="s">
        <v>2081</v>
      </c>
      <c r="BC1991" s="59" t="s">
        <v>2081</v>
      </c>
      <c r="BD1991" s="55" t="s">
        <v>176</v>
      </c>
      <c r="BE1991" s="236" t="s">
        <v>1989</v>
      </c>
      <c r="BF1991" s="58"/>
      <c r="BG1991" s="191" t="s">
        <v>479</v>
      </c>
      <c r="BH1991" s="236"/>
      <c r="BI1991" s="58"/>
      <c r="BJ1991" s="152" t="s">
        <v>1983</v>
      </c>
      <c r="BK1991" s="58" t="s">
        <v>5976</v>
      </c>
      <c r="BL1991" s="58"/>
      <c r="BM1991" s="237" t="s">
        <v>160</v>
      </c>
      <c r="BN1991" s="59">
        <v>4</v>
      </c>
      <c r="BO1991" s="59">
        <v>4</v>
      </c>
      <c r="BP1991" s="59">
        <v>4</v>
      </c>
      <c r="BQ1991" s="58" t="s">
        <v>141</v>
      </c>
      <c r="BR1991" s="58"/>
      <c r="BS1991" s="58"/>
      <c r="BT1991" s="58"/>
      <c r="BU1991" s="58"/>
      <c r="BV1991" s="58"/>
      <c r="CB1991" s="153"/>
      <c r="CC1991" s="153"/>
      <c r="CD1991" s="153"/>
      <c r="CE1991" s="67"/>
      <c r="CH1991" s="93">
        <f>CI1991+0.01</f>
        <v>1.43</v>
      </c>
      <c r="CI1991" s="93">
        <v>1.42</v>
      </c>
      <c r="CM1991" s="67">
        <v>0.64335664335664322</v>
      </c>
      <c r="CN1991" s="67">
        <v>0.63636363636363624</v>
      </c>
      <c r="CR1991" s="65">
        <v>9.1999999999999975</v>
      </c>
      <c r="CS1991" s="65">
        <v>9.0363636363636335</v>
      </c>
      <c r="CT1991" s="65">
        <v>1</v>
      </c>
      <c r="CU1991" s="65">
        <v>1</v>
      </c>
      <c r="CV1991" s="65" t="s">
        <v>962</v>
      </c>
      <c r="DA1991" s="65" t="s">
        <v>4458</v>
      </c>
      <c r="GP1991" s="292" t="s">
        <v>7494</v>
      </c>
      <c r="JU1991" s="59" t="s">
        <v>2040</v>
      </c>
      <c r="JV1991" s="58"/>
    </row>
    <row r="1992" spans="1:282" x14ac:dyDescent="0.25">
      <c r="A1992" s="55">
        <v>1991</v>
      </c>
      <c r="B1992" s="12" t="s">
        <v>7067</v>
      </c>
      <c r="C1992" s="157">
        <v>91</v>
      </c>
      <c r="D1992" s="59" t="s">
        <v>4090</v>
      </c>
      <c r="E1992" s="93" t="s">
        <v>741</v>
      </c>
      <c r="F1992" s="93"/>
      <c r="G1992" s="58" t="s">
        <v>2074</v>
      </c>
      <c r="H1992" s="59">
        <v>2006</v>
      </c>
      <c r="I1992" s="58">
        <v>1999</v>
      </c>
      <c r="J1992" s="59" t="s">
        <v>916</v>
      </c>
      <c r="K1992" s="59" t="s">
        <v>1990</v>
      </c>
      <c r="L1992" s="59" t="s">
        <v>2737</v>
      </c>
      <c r="M1992" s="94">
        <v>32.56</v>
      </c>
      <c r="N1992" s="94">
        <v>-83.91</v>
      </c>
      <c r="O1992" s="93">
        <v>16</v>
      </c>
      <c r="P1992" s="59">
        <v>18.100000000000001</v>
      </c>
      <c r="Q1992" s="58"/>
      <c r="R1992" s="59">
        <v>1258</v>
      </c>
      <c r="S1992" s="94"/>
      <c r="T1992" s="58"/>
      <c r="U1992" s="59">
        <v>6</v>
      </c>
      <c r="V1992" s="58" t="s">
        <v>1933</v>
      </c>
      <c r="Y1992" s="58" t="s">
        <v>2059</v>
      </c>
      <c r="Z1992" s="58" t="s">
        <v>1375</v>
      </c>
      <c r="AA1992" s="94">
        <v>20</v>
      </c>
      <c r="AD1992" s="94">
        <f>AVERAGE(Sheet1!CH1992:CI1992)</f>
        <v>1.5550000000000002</v>
      </c>
      <c r="AE1992" s="93">
        <v>65</v>
      </c>
      <c r="AF1992" s="93">
        <v>25</v>
      </c>
      <c r="AG1992" s="93"/>
      <c r="AH1992" s="58" t="s">
        <v>238</v>
      </c>
      <c r="AI1992" s="169"/>
      <c r="AJ1992" s="94"/>
      <c r="AK1992" s="94"/>
      <c r="AL1992" s="58"/>
      <c r="AM1992" s="59" t="s">
        <v>1987</v>
      </c>
      <c r="AN1992" s="188" t="s">
        <v>241</v>
      </c>
      <c r="AO1992" s="185" t="s">
        <v>5150</v>
      </c>
      <c r="AP1992" s="59"/>
      <c r="AQ1992" s="58" t="s">
        <v>553</v>
      </c>
      <c r="AR1992" s="59" t="s">
        <v>1985</v>
      </c>
      <c r="AS1992" s="55" t="s">
        <v>5133</v>
      </c>
      <c r="AT1992" s="182"/>
      <c r="AU1992" s="181" t="s">
        <v>7494</v>
      </c>
      <c r="AV1992" s="185" t="s">
        <v>176</v>
      </c>
      <c r="AW1992" s="58"/>
      <c r="AX1992" s="185" t="s">
        <v>176</v>
      </c>
      <c r="AY1992" s="58"/>
      <c r="AZ1992" s="59" t="s">
        <v>746</v>
      </c>
      <c r="BA1992" s="59" t="s">
        <v>746</v>
      </c>
      <c r="BB1992" s="59" t="s">
        <v>2081</v>
      </c>
      <c r="BC1992" s="59" t="s">
        <v>2081</v>
      </c>
      <c r="BD1992" s="55" t="s">
        <v>2071</v>
      </c>
      <c r="BE1992" s="236" t="s">
        <v>1989</v>
      </c>
      <c r="BF1992" s="58"/>
      <c r="BG1992" s="191" t="s">
        <v>479</v>
      </c>
      <c r="BH1992" s="236"/>
      <c r="BI1992" s="58"/>
      <c r="BJ1992" s="152" t="s">
        <v>1983</v>
      </c>
      <c r="BK1992" s="58" t="s">
        <v>5976</v>
      </c>
      <c r="BL1992" s="58"/>
      <c r="BM1992" s="237" t="s">
        <v>160</v>
      </c>
      <c r="BN1992" s="59">
        <v>4</v>
      </c>
      <c r="BO1992" s="59">
        <v>4</v>
      </c>
      <c r="BP1992" s="59">
        <v>4</v>
      </c>
      <c r="BQ1992" s="58" t="s">
        <v>141</v>
      </c>
      <c r="BR1992" s="58"/>
      <c r="BS1992" s="58"/>
      <c r="BT1992" s="58"/>
      <c r="BU1992" s="58"/>
      <c r="BV1992" s="58"/>
      <c r="CB1992" s="153"/>
      <c r="CC1992" s="153"/>
      <c r="CD1992" s="153"/>
      <c r="CE1992" s="67"/>
      <c r="CH1992" s="93">
        <f>CI1992+0.01</f>
        <v>1.56</v>
      </c>
      <c r="CI1992" s="93">
        <v>1.55</v>
      </c>
      <c r="CM1992" s="67">
        <v>0.41987179487179482</v>
      </c>
      <c r="CN1992" s="67">
        <v>0.4358974358974359</v>
      </c>
      <c r="CR1992" s="65">
        <v>13.099999999999998</v>
      </c>
      <c r="CS1992" s="65">
        <v>13.512820512820511</v>
      </c>
      <c r="CT1992" s="65">
        <v>2.2999999999999998</v>
      </c>
      <c r="CU1992" s="65">
        <v>2.2999999999999998</v>
      </c>
      <c r="CV1992" s="65" t="s">
        <v>962</v>
      </c>
      <c r="DA1992" s="65" t="s">
        <v>4458</v>
      </c>
      <c r="GP1992" s="292" t="s">
        <v>7494</v>
      </c>
      <c r="JU1992" s="59" t="s">
        <v>2040</v>
      </c>
      <c r="JV1992" s="58"/>
    </row>
    <row r="1993" spans="1:282" x14ac:dyDescent="0.25">
      <c r="A1993" s="55">
        <v>1992</v>
      </c>
      <c r="B1993" s="12" t="s">
        <v>7067</v>
      </c>
      <c r="C1993" s="157">
        <v>91</v>
      </c>
      <c r="D1993" s="59" t="s">
        <v>4091</v>
      </c>
      <c r="E1993" s="93" t="s">
        <v>741</v>
      </c>
      <c r="F1993" s="93"/>
      <c r="G1993" s="58" t="s">
        <v>2074</v>
      </c>
      <c r="H1993" s="59">
        <v>2006</v>
      </c>
      <c r="I1993" s="58">
        <v>1999</v>
      </c>
      <c r="J1993" s="59" t="s">
        <v>916</v>
      </c>
      <c r="K1993" s="59" t="s">
        <v>1990</v>
      </c>
      <c r="L1993" s="59" t="s">
        <v>2737</v>
      </c>
      <c r="M1993" s="94">
        <v>32.56</v>
      </c>
      <c r="N1993" s="94">
        <v>-83.91</v>
      </c>
      <c r="O1993" s="93">
        <v>16</v>
      </c>
      <c r="P1993" s="59">
        <v>18.100000000000001</v>
      </c>
      <c r="Q1993" s="58"/>
      <c r="R1993" s="59">
        <v>1258</v>
      </c>
      <c r="S1993" s="94"/>
      <c r="T1993" s="58"/>
      <c r="U1993" s="59">
        <v>6</v>
      </c>
      <c r="V1993" s="58" t="s">
        <v>1933</v>
      </c>
      <c r="Y1993" s="58" t="s">
        <v>2059</v>
      </c>
      <c r="Z1993" s="58" t="s">
        <v>1369</v>
      </c>
      <c r="AA1993" s="94">
        <v>30</v>
      </c>
      <c r="AD1993" s="94">
        <f>AVERAGE(Sheet1!CH1993:CI1993)</f>
        <v>1.3919999999999999</v>
      </c>
      <c r="AE1993" s="93">
        <v>65</v>
      </c>
      <c r="AF1993" s="93">
        <v>25</v>
      </c>
      <c r="AG1993" s="93"/>
      <c r="AH1993" s="58" t="s">
        <v>238</v>
      </c>
      <c r="AI1993" s="169"/>
      <c r="AJ1993" s="94"/>
      <c r="AK1993" s="94"/>
      <c r="AL1993" s="58"/>
      <c r="AM1993" s="59" t="s">
        <v>1987</v>
      </c>
      <c r="AN1993" s="188" t="s">
        <v>241</v>
      </c>
      <c r="AO1993" s="185" t="s">
        <v>5150</v>
      </c>
      <c r="AP1993" s="59"/>
      <c r="AQ1993" s="58" t="s">
        <v>553</v>
      </c>
      <c r="AR1993" s="59" t="s">
        <v>1985</v>
      </c>
      <c r="AS1993" s="55" t="s">
        <v>5133</v>
      </c>
      <c r="AT1993" s="182"/>
      <c r="AU1993" s="181" t="s">
        <v>7494</v>
      </c>
      <c r="AV1993" s="185" t="s">
        <v>176</v>
      </c>
      <c r="AW1993" s="58"/>
      <c r="AX1993" s="185" t="s">
        <v>176</v>
      </c>
      <c r="AY1993" s="58"/>
      <c r="AZ1993" s="59" t="s">
        <v>746</v>
      </c>
      <c r="BA1993" s="59" t="s">
        <v>746</v>
      </c>
      <c r="BB1993" s="59" t="s">
        <v>2081</v>
      </c>
      <c r="BC1993" s="59" t="s">
        <v>2081</v>
      </c>
      <c r="BD1993" s="55" t="s">
        <v>176</v>
      </c>
      <c r="BE1993" s="236" t="s">
        <v>1989</v>
      </c>
      <c r="BF1993" s="58"/>
      <c r="BG1993" s="191" t="s">
        <v>479</v>
      </c>
      <c r="BH1993" s="236"/>
      <c r="BI1993" s="58"/>
      <c r="BJ1993" s="152" t="s">
        <v>1983</v>
      </c>
      <c r="BK1993" s="58" t="s">
        <v>5976</v>
      </c>
      <c r="BL1993" s="58"/>
      <c r="BM1993" s="237" t="s">
        <v>160</v>
      </c>
      <c r="BN1993" s="59">
        <v>4</v>
      </c>
      <c r="BO1993" s="59">
        <v>4</v>
      </c>
      <c r="BP1993" s="59">
        <v>4</v>
      </c>
      <c r="BQ1993" s="58" t="s">
        <v>141</v>
      </c>
      <c r="BR1993" s="58"/>
      <c r="BS1993" s="58"/>
      <c r="BT1993" s="58"/>
      <c r="BU1993" s="58"/>
      <c r="BV1993" s="58"/>
      <c r="CB1993" s="153"/>
      <c r="CC1993" s="153"/>
      <c r="CD1993" s="153"/>
      <c r="CE1993" s="67"/>
      <c r="CH1993" s="93">
        <f>CI1993+0.01</f>
        <v>1.397</v>
      </c>
      <c r="CI1993" s="93">
        <v>1.387</v>
      </c>
      <c r="CM1993" s="67">
        <v>0.23383440706275355</v>
      </c>
      <c r="CN1993" s="67">
        <v>0.24576473395371035</v>
      </c>
      <c r="CR1993" s="65">
        <v>9.8000000000000025</v>
      </c>
      <c r="CS1993" s="65">
        <v>10.226270579813889</v>
      </c>
      <c r="CT1993" s="65">
        <v>3.4</v>
      </c>
      <c r="CU1993" s="65">
        <v>3.4</v>
      </c>
      <c r="CV1993" s="65" t="s">
        <v>962</v>
      </c>
      <c r="DA1993" s="65" t="s">
        <v>4458</v>
      </c>
      <c r="GP1993" s="292" t="s">
        <v>7494</v>
      </c>
      <c r="JU1993" s="59" t="s">
        <v>2040</v>
      </c>
      <c r="JV1993" s="58"/>
    </row>
    <row r="1994" spans="1:282" x14ac:dyDescent="0.25">
      <c r="A1994" s="55">
        <v>1993</v>
      </c>
      <c r="B1994" s="12" t="s">
        <v>7067</v>
      </c>
      <c r="C1994" s="157">
        <v>91</v>
      </c>
      <c r="D1994" s="59" t="s">
        <v>4092</v>
      </c>
      <c r="E1994" s="93" t="s">
        <v>741</v>
      </c>
      <c r="F1994" s="93"/>
      <c r="G1994" s="58" t="s">
        <v>2074</v>
      </c>
      <c r="H1994" s="59">
        <v>2006</v>
      </c>
      <c r="I1994" s="58">
        <v>1999</v>
      </c>
      <c r="J1994" s="59" t="s">
        <v>916</v>
      </c>
      <c r="K1994" s="59" t="s">
        <v>1990</v>
      </c>
      <c r="L1994" s="59" t="s">
        <v>2737</v>
      </c>
      <c r="M1994" s="94">
        <v>32.56</v>
      </c>
      <c r="N1994" s="94">
        <v>-83.91</v>
      </c>
      <c r="O1994" s="93">
        <v>16</v>
      </c>
      <c r="P1994" s="59">
        <v>18.100000000000001</v>
      </c>
      <c r="Q1994" s="58"/>
      <c r="R1994" s="59">
        <v>1258</v>
      </c>
      <c r="S1994" s="94"/>
      <c r="T1994" s="58"/>
      <c r="U1994" s="59">
        <v>6</v>
      </c>
      <c r="V1994" s="58" t="s">
        <v>1933</v>
      </c>
      <c r="Y1994" s="58" t="s">
        <v>2059</v>
      </c>
      <c r="Z1994" s="58" t="s">
        <v>1370</v>
      </c>
      <c r="AA1994" s="94">
        <v>30</v>
      </c>
      <c r="AD1994" s="94">
        <f>AVERAGE(Sheet1!CH1994:CI1994)</f>
        <v>1.5939999999999999</v>
      </c>
      <c r="AE1994" s="93">
        <v>65</v>
      </c>
      <c r="AF1994" s="93">
        <v>25</v>
      </c>
      <c r="AG1994" s="93"/>
      <c r="AH1994" s="58" t="s">
        <v>238</v>
      </c>
      <c r="AI1994" s="169"/>
      <c r="AJ1994" s="94"/>
      <c r="AK1994" s="94"/>
      <c r="AL1994" s="58"/>
      <c r="AM1994" s="59" t="s">
        <v>1987</v>
      </c>
      <c r="AN1994" s="188" t="s">
        <v>241</v>
      </c>
      <c r="AO1994" s="185" t="s">
        <v>5150</v>
      </c>
      <c r="AP1994" s="59"/>
      <c r="AQ1994" s="58" t="s">
        <v>553</v>
      </c>
      <c r="AR1994" s="59" t="s">
        <v>1985</v>
      </c>
      <c r="AS1994" s="55" t="s">
        <v>5133</v>
      </c>
      <c r="AT1994" s="182"/>
      <c r="AU1994" s="181" t="s">
        <v>7494</v>
      </c>
      <c r="AV1994" s="185" t="s">
        <v>176</v>
      </c>
      <c r="AW1994" s="58"/>
      <c r="AX1994" s="185" t="s">
        <v>176</v>
      </c>
      <c r="AY1994" s="58"/>
      <c r="AZ1994" s="59" t="s">
        <v>746</v>
      </c>
      <c r="BA1994" s="59" t="s">
        <v>746</v>
      </c>
      <c r="BB1994" s="59" t="s">
        <v>2081</v>
      </c>
      <c r="BC1994" s="59" t="s">
        <v>2081</v>
      </c>
      <c r="BD1994" s="55" t="s">
        <v>2071</v>
      </c>
      <c r="BE1994" s="236" t="s">
        <v>1989</v>
      </c>
      <c r="BF1994" s="58"/>
      <c r="BG1994" s="191" t="s">
        <v>479</v>
      </c>
      <c r="BH1994" s="236"/>
      <c r="BI1994" s="58"/>
      <c r="BJ1994" s="152" t="s">
        <v>1983</v>
      </c>
      <c r="BK1994" s="58" t="s">
        <v>5976</v>
      </c>
      <c r="BL1994" s="58"/>
      <c r="BM1994" s="237" t="s">
        <v>160</v>
      </c>
      <c r="BN1994" s="59">
        <v>4</v>
      </c>
      <c r="BO1994" s="59">
        <v>4</v>
      </c>
      <c r="BP1994" s="59">
        <v>4</v>
      </c>
      <c r="BQ1994" s="58" t="s">
        <v>141</v>
      </c>
      <c r="BR1994" s="58"/>
      <c r="BS1994" s="58"/>
      <c r="BT1994" s="58"/>
      <c r="BU1994" s="58"/>
      <c r="BV1994" s="58"/>
      <c r="CB1994" s="153"/>
      <c r="CC1994" s="153"/>
      <c r="CD1994" s="153"/>
      <c r="CE1994" s="67"/>
      <c r="CH1994" s="93">
        <f>CI1994+0.01</f>
        <v>1.599</v>
      </c>
      <c r="CI1994" s="93">
        <v>1.589</v>
      </c>
      <c r="CM1994" s="67">
        <v>0.13967062747550552</v>
      </c>
      <c r="CN1994" s="67">
        <v>0.14592453616843862</v>
      </c>
      <c r="CR1994" s="65">
        <v>6.7</v>
      </c>
      <c r="CS1994" s="65">
        <v>6.9562226391494688</v>
      </c>
      <c r="CT1994" s="65">
        <v>3.4</v>
      </c>
      <c r="CU1994" s="65">
        <v>3.4</v>
      </c>
      <c r="CV1994" s="65" t="s">
        <v>962</v>
      </c>
      <c r="DA1994" s="65" t="s">
        <v>4458</v>
      </c>
      <c r="GP1994" s="292" t="s">
        <v>7494</v>
      </c>
      <c r="JU1994" s="59" t="s">
        <v>2040</v>
      </c>
      <c r="JV1994" s="58"/>
    </row>
    <row r="1995" spans="1:282" x14ac:dyDescent="0.25">
      <c r="A1995" s="55">
        <v>1994</v>
      </c>
      <c r="B1995" s="12" t="s">
        <v>7067</v>
      </c>
      <c r="C1995" s="157">
        <v>91</v>
      </c>
      <c r="D1995" s="59" t="s">
        <v>4093</v>
      </c>
      <c r="E1995" s="93" t="s">
        <v>741</v>
      </c>
      <c r="F1995" s="93"/>
      <c r="G1995" s="58" t="s">
        <v>2074</v>
      </c>
      <c r="H1995" s="59">
        <v>2006</v>
      </c>
      <c r="I1995" s="58">
        <v>1999</v>
      </c>
      <c r="J1995" s="59" t="s">
        <v>916</v>
      </c>
      <c r="K1995" s="59" t="s">
        <v>1990</v>
      </c>
      <c r="L1995" s="59" t="s">
        <v>2737</v>
      </c>
      <c r="M1995" s="94">
        <v>32.56</v>
      </c>
      <c r="N1995" s="94">
        <v>-83.91</v>
      </c>
      <c r="O1995" s="93">
        <v>16</v>
      </c>
      <c r="P1995" s="59">
        <v>18.100000000000001</v>
      </c>
      <c r="Q1995" s="58"/>
      <c r="R1995" s="59">
        <v>1258</v>
      </c>
      <c r="S1995" s="94"/>
      <c r="T1995" s="58"/>
      <c r="U1995" s="59">
        <v>6</v>
      </c>
      <c r="V1995" s="58" t="s">
        <v>1933</v>
      </c>
      <c r="Y1995" s="58" t="s">
        <v>2059</v>
      </c>
      <c r="Z1995" s="58" t="s">
        <v>1382</v>
      </c>
      <c r="AA1995" s="94">
        <v>30</v>
      </c>
      <c r="AD1995" s="94">
        <f>AVERAGE(Sheet1!CH1995:CI1995)</f>
        <v>1.617</v>
      </c>
      <c r="AE1995" s="93">
        <v>65</v>
      </c>
      <c r="AF1995" s="93">
        <v>25</v>
      </c>
      <c r="AG1995" s="93"/>
      <c r="AH1995" s="58" t="s">
        <v>238</v>
      </c>
      <c r="AI1995" s="169"/>
      <c r="AJ1995" s="94"/>
      <c r="AK1995" s="94"/>
      <c r="AL1995" s="58"/>
      <c r="AM1995" s="59" t="s">
        <v>1987</v>
      </c>
      <c r="AN1995" s="188" t="s">
        <v>241</v>
      </c>
      <c r="AO1995" s="185" t="s">
        <v>5150</v>
      </c>
      <c r="AP1995" s="59"/>
      <c r="AQ1995" s="58" t="s">
        <v>553</v>
      </c>
      <c r="AR1995" s="59" t="s">
        <v>1985</v>
      </c>
      <c r="AS1995" s="55" t="s">
        <v>5133</v>
      </c>
      <c r="AT1995" s="182"/>
      <c r="AU1995" s="181" t="s">
        <v>7494</v>
      </c>
      <c r="AV1995" s="185" t="s">
        <v>176</v>
      </c>
      <c r="AW1995" s="58"/>
      <c r="AX1995" s="185" t="s">
        <v>176</v>
      </c>
      <c r="AY1995" s="58"/>
      <c r="AZ1995" s="59" t="s">
        <v>746</v>
      </c>
      <c r="BA1995" s="59" t="s">
        <v>746</v>
      </c>
      <c r="BB1995" s="59" t="s">
        <v>2081</v>
      </c>
      <c r="BC1995" s="59" t="s">
        <v>2081</v>
      </c>
      <c r="BD1995" s="55" t="s">
        <v>176</v>
      </c>
      <c r="BE1995" s="236" t="s">
        <v>1989</v>
      </c>
      <c r="BF1995" s="58"/>
      <c r="BG1995" s="191" t="s">
        <v>479</v>
      </c>
      <c r="BH1995" s="236"/>
      <c r="BI1995" s="58"/>
      <c r="BJ1995" s="152" t="s">
        <v>1983</v>
      </c>
      <c r="BK1995" s="58" t="s">
        <v>5976</v>
      </c>
      <c r="BL1995" s="58"/>
      <c r="BM1995" s="237" t="s">
        <v>160</v>
      </c>
      <c r="BN1995" s="59">
        <v>4</v>
      </c>
      <c r="BO1995" s="59">
        <v>4</v>
      </c>
      <c r="BP1995" s="59">
        <v>4</v>
      </c>
      <c r="BQ1995" s="58" t="s">
        <v>141</v>
      </c>
      <c r="BR1995" s="58"/>
      <c r="BS1995" s="58"/>
      <c r="BT1995" s="58"/>
      <c r="BU1995" s="58"/>
      <c r="BV1995" s="58"/>
      <c r="CB1995" s="153"/>
      <c r="CC1995" s="153"/>
      <c r="CD1995" s="153"/>
      <c r="CE1995" s="67"/>
      <c r="CH1995" s="93">
        <f>CI1995+0.01</f>
        <v>1.6220000000000001</v>
      </c>
      <c r="CI1995" s="93">
        <v>1.6120000000000001</v>
      </c>
      <c r="CM1995" s="67">
        <v>9.2478421701602934E-2</v>
      </c>
      <c r="CN1995" s="67">
        <v>0.12330456226880393</v>
      </c>
      <c r="CR1995" s="65">
        <v>4.4999999999999991</v>
      </c>
      <c r="CS1995" s="65">
        <v>5.9630086313193589</v>
      </c>
      <c r="CT1995" s="65">
        <v>2.2000000000000002</v>
      </c>
      <c r="CU1995" s="65">
        <v>2.2000000000000002</v>
      </c>
      <c r="CV1995" s="65" t="s">
        <v>962</v>
      </c>
      <c r="DA1995" s="65" t="s">
        <v>4458</v>
      </c>
      <c r="GP1995" s="292" t="s">
        <v>7494</v>
      </c>
      <c r="JU1995" s="59" t="s">
        <v>2040</v>
      </c>
      <c r="JV1995" s="58"/>
    </row>
    <row r="1996" spans="1:282" x14ac:dyDescent="0.25">
      <c r="A1996" s="55">
        <v>1995</v>
      </c>
      <c r="B1996" s="12" t="s">
        <v>7067</v>
      </c>
      <c r="C1996" s="157">
        <v>91</v>
      </c>
      <c r="D1996" s="59" t="s">
        <v>4094</v>
      </c>
      <c r="E1996" s="93" t="s">
        <v>741</v>
      </c>
      <c r="F1996" s="93"/>
      <c r="G1996" s="58" t="s">
        <v>2074</v>
      </c>
      <c r="H1996" s="59">
        <v>2006</v>
      </c>
      <c r="I1996" s="58">
        <v>1999</v>
      </c>
      <c r="J1996" s="59" t="s">
        <v>916</v>
      </c>
      <c r="K1996" s="59" t="s">
        <v>1990</v>
      </c>
      <c r="L1996" s="59" t="s">
        <v>2737</v>
      </c>
      <c r="M1996" s="94">
        <v>32.56</v>
      </c>
      <c r="N1996" s="94">
        <v>-83.91</v>
      </c>
      <c r="O1996" s="93">
        <v>16</v>
      </c>
      <c r="P1996" s="59">
        <v>18.100000000000001</v>
      </c>
      <c r="Q1996" s="58"/>
      <c r="R1996" s="59">
        <v>1258</v>
      </c>
      <c r="S1996" s="94"/>
      <c r="T1996" s="58"/>
      <c r="U1996" s="59">
        <v>6</v>
      </c>
      <c r="V1996" s="58" t="s">
        <v>1933</v>
      </c>
      <c r="Y1996" s="58" t="s">
        <v>2059</v>
      </c>
      <c r="Z1996" s="58" t="s">
        <v>1355</v>
      </c>
      <c r="AA1996" s="94">
        <v>10</v>
      </c>
      <c r="AD1996" s="94">
        <f>AVERAGE(Sheet1!CH1996:CI1996)</f>
        <v>1.4249999999999998</v>
      </c>
      <c r="AE1996" s="93">
        <v>65</v>
      </c>
      <c r="AF1996" s="93">
        <v>25</v>
      </c>
      <c r="AG1996" s="93"/>
      <c r="AH1996" s="58" t="s">
        <v>238</v>
      </c>
      <c r="AI1996" s="169"/>
      <c r="AJ1996" s="94"/>
      <c r="AK1996" s="94"/>
      <c r="AL1996" s="58"/>
      <c r="AM1996" s="59" t="s">
        <v>1987</v>
      </c>
      <c r="AN1996" s="188" t="s">
        <v>241</v>
      </c>
      <c r="AO1996" s="185" t="s">
        <v>5150</v>
      </c>
      <c r="AP1996" s="59"/>
      <c r="AQ1996" s="58" t="s">
        <v>553</v>
      </c>
      <c r="AR1996" s="59" t="s">
        <v>1985</v>
      </c>
      <c r="AS1996" s="55" t="s">
        <v>5133</v>
      </c>
      <c r="AT1996" s="182"/>
      <c r="AU1996" s="181" t="s">
        <v>7494</v>
      </c>
      <c r="AV1996" s="185" t="s">
        <v>176</v>
      </c>
      <c r="AW1996" s="58"/>
      <c r="AX1996" s="185" t="s">
        <v>176</v>
      </c>
      <c r="AY1996" s="58"/>
      <c r="AZ1996" s="59" t="s">
        <v>746</v>
      </c>
      <c r="BA1996" s="59" t="s">
        <v>746</v>
      </c>
      <c r="BB1996" s="59" t="s">
        <v>2081</v>
      </c>
      <c r="BC1996" s="59" t="s">
        <v>2081</v>
      </c>
      <c r="BD1996" s="55" t="s">
        <v>2071</v>
      </c>
      <c r="BE1996" s="236" t="s">
        <v>1984</v>
      </c>
      <c r="BF1996" s="58"/>
      <c r="BG1996" s="191" t="s">
        <v>479</v>
      </c>
      <c r="BH1996" s="236"/>
      <c r="BI1996" s="58"/>
      <c r="BJ1996" s="152" t="s">
        <v>1983</v>
      </c>
      <c r="BK1996" s="58" t="s">
        <v>5976</v>
      </c>
      <c r="BL1996" s="58"/>
      <c r="BM1996" s="237" t="s">
        <v>160</v>
      </c>
      <c r="BN1996" s="59">
        <v>4</v>
      </c>
      <c r="BO1996" s="59">
        <v>4</v>
      </c>
      <c r="BP1996" s="59">
        <v>4</v>
      </c>
      <c r="BQ1996" s="58" t="s">
        <v>141</v>
      </c>
      <c r="BR1996" s="58"/>
      <c r="BS1996" s="58"/>
      <c r="BT1996" s="58"/>
      <c r="BU1996" s="58"/>
      <c r="BV1996" s="58"/>
      <c r="CB1996" s="153"/>
      <c r="CC1996" s="153"/>
      <c r="CD1996" s="153"/>
      <c r="CE1996" s="67"/>
      <c r="CH1996" s="93">
        <f>CI1996+0.01</f>
        <v>1.43</v>
      </c>
      <c r="CI1996" s="93">
        <v>1.42</v>
      </c>
      <c r="CM1996" s="67">
        <v>0.6573426573426574</v>
      </c>
      <c r="CN1996" s="67">
        <v>0.66433566433566438</v>
      </c>
      <c r="CR1996" s="65">
        <v>9.4</v>
      </c>
      <c r="CS1996" s="65">
        <v>9.4335664335664351</v>
      </c>
      <c r="CT1996" s="65">
        <v>1</v>
      </c>
      <c r="CU1996" s="65">
        <v>1</v>
      </c>
      <c r="CV1996" s="65" t="s">
        <v>962</v>
      </c>
      <c r="DA1996" s="65" t="s">
        <v>4458</v>
      </c>
      <c r="GP1996" s="292" t="s">
        <v>7494</v>
      </c>
      <c r="JU1996" s="59" t="s">
        <v>2040</v>
      </c>
      <c r="JV1996" s="58"/>
    </row>
    <row r="1997" spans="1:282" x14ac:dyDescent="0.25">
      <c r="A1997" s="55">
        <v>1996</v>
      </c>
      <c r="B1997" s="12" t="s">
        <v>7067</v>
      </c>
      <c r="C1997" s="157">
        <v>91</v>
      </c>
      <c r="D1997" s="59" t="s">
        <v>4095</v>
      </c>
      <c r="E1997" s="93" t="s">
        <v>741</v>
      </c>
      <c r="F1997" s="93"/>
      <c r="G1997" s="58" t="s">
        <v>2074</v>
      </c>
      <c r="H1997" s="59">
        <v>2006</v>
      </c>
      <c r="I1997" s="58">
        <v>1999</v>
      </c>
      <c r="J1997" s="59" t="s">
        <v>916</v>
      </c>
      <c r="K1997" s="59" t="s">
        <v>1990</v>
      </c>
      <c r="L1997" s="59" t="s">
        <v>2737</v>
      </c>
      <c r="M1997" s="94">
        <v>32.56</v>
      </c>
      <c r="N1997" s="94">
        <v>-83.91</v>
      </c>
      <c r="O1997" s="93">
        <v>16</v>
      </c>
      <c r="P1997" s="59">
        <v>18.100000000000001</v>
      </c>
      <c r="Q1997" s="58"/>
      <c r="R1997" s="59">
        <v>1258</v>
      </c>
      <c r="S1997" s="94"/>
      <c r="T1997" s="58"/>
      <c r="U1997" s="59">
        <v>6</v>
      </c>
      <c r="V1997" s="58" t="s">
        <v>1933</v>
      </c>
      <c r="Y1997" s="58" t="s">
        <v>2059</v>
      </c>
      <c r="Z1997" s="58" t="s">
        <v>1375</v>
      </c>
      <c r="AA1997" s="94">
        <v>20</v>
      </c>
      <c r="AD1997" s="94">
        <f>AVERAGE(Sheet1!CH1997:CI1997)</f>
        <v>1.5550000000000002</v>
      </c>
      <c r="AE1997" s="93">
        <v>65</v>
      </c>
      <c r="AF1997" s="93">
        <v>25</v>
      </c>
      <c r="AG1997" s="93"/>
      <c r="AH1997" s="58" t="s">
        <v>238</v>
      </c>
      <c r="AI1997" s="169"/>
      <c r="AJ1997" s="94"/>
      <c r="AK1997" s="94"/>
      <c r="AL1997" s="58"/>
      <c r="AM1997" s="59" t="s">
        <v>1987</v>
      </c>
      <c r="AN1997" s="188" t="s">
        <v>241</v>
      </c>
      <c r="AO1997" s="185" t="s">
        <v>5150</v>
      </c>
      <c r="AP1997" s="59"/>
      <c r="AQ1997" s="58" t="s">
        <v>553</v>
      </c>
      <c r="AR1997" s="59" t="s">
        <v>1985</v>
      </c>
      <c r="AS1997" s="55" t="s">
        <v>5133</v>
      </c>
      <c r="AT1997" s="182"/>
      <c r="AU1997" s="181" t="s">
        <v>7494</v>
      </c>
      <c r="AV1997" s="185" t="s">
        <v>176</v>
      </c>
      <c r="AW1997" s="58"/>
      <c r="AX1997" s="185" t="s">
        <v>176</v>
      </c>
      <c r="AY1997" s="58"/>
      <c r="AZ1997" s="59" t="s">
        <v>746</v>
      </c>
      <c r="BA1997" s="59" t="s">
        <v>746</v>
      </c>
      <c r="BB1997" s="59" t="s">
        <v>2081</v>
      </c>
      <c r="BC1997" s="59" t="s">
        <v>2081</v>
      </c>
      <c r="BD1997" s="55" t="s">
        <v>176</v>
      </c>
      <c r="BE1997" s="236" t="s">
        <v>1984</v>
      </c>
      <c r="BF1997" s="58"/>
      <c r="BG1997" s="191" t="s">
        <v>479</v>
      </c>
      <c r="BH1997" s="236"/>
      <c r="BI1997" s="58"/>
      <c r="BJ1997" s="152" t="s">
        <v>1983</v>
      </c>
      <c r="BK1997" s="58" t="s">
        <v>5976</v>
      </c>
      <c r="BL1997" s="58"/>
      <c r="BM1997" s="237" t="s">
        <v>160</v>
      </c>
      <c r="BN1997" s="59">
        <v>4</v>
      </c>
      <c r="BO1997" s="59">
        <v>4</v>
      </c>
      <c r="BP1997" s="59">
        <v>4</v>
      </c>
      <c r="BQ1997" s="58" t="s">
        <v>141</v>
      </c>
      <c r="BR1997" s="58"/>
      <c r="BS1997" s="58"/>
      <c r="BT1997" s="58"/>
      <c r="BU1997" s="58"/>
      <c r="BV1997" s="58"/>
      <c r="CB1997" s="153"/>
      <c r="CC1997" s="153"/>
      <c r="CD1997" s="153"/>
      <c r="CE1997" s="67"/>
      <c r="CH1997" s="93">
        <f>CI1997+0.01</f>
        <v>1.56</v>
      </c>
      <c r="CI1997" s="93">
        <v>1.55</v>
      </c>
      <c r="CM1997" s="67">
        <v>0.41987179487179482</v>
      </c>
      <c r="CN1997" s="67">
        <v>0.4679487179487179</v>
      </c>
      <c r="CR1997" s="65">
        <v>13.099999999999998</v>
      </c>
      <c r="CS1997" s="65">
        <v>14.506410256410254</v>
      </c>
      <c r="CT1997" s="65">
        <v>2.2999999999999998</v>
      </c>
      <c r="CU1997" s="65">
        <v>2.2999999999999998</v>
      </c>
      <c r="CV1997" s="65" t="s">
        <v>962</v>
      </c>
      <c r="DA1997" s="65" t="s">
        <v>4458</v>
      </c>
      <c r="GP1997" s="292" t="s">
        <v>7494</v>
      </c>
      <c r="JU1997" s="59" t="s">
        <v>2040</v>
      </c>
      <c r="JV1997" s="58"/>
    </row>
    <row r="1998" spans="1:282" x14ac:dyDescent="0.25">
      <c r="A1998" s="55">
        <v>1997</v>
      </c>
      <c r="B1998" s="12" t="s">
        <v>7067</v>
      </c>
      <c r="C1998" s="157">
        <v>91</v>
      </c>
      <c r="D1998" s="59" t="s">
        <v>4096</v>
      </c>
      <c r="E1998" s="93" t="s">
        <v>741</v>
      </c>
      <c r="F1998" s="93"/>
      <c r="G1998" s="58" t="s">
        <v>2074</v>
      </c>
      <c r="H1998" s="59">
        <v>2006</v>
      </c>
      <c r="I1998" s="58">
        <v>1999</v>
      </c>
      <c r="J1998" s="59" t="s">
        <v>916</v>
      </c>
      <c r="K1998" s="59" t="s">
        <v>1990</v>
      </c>
      <c r="L1998" s="59" t="s">
        <v>2737</v>
      </c>
      <c r="M1998" s="94">
        <v>32.56</v>
      </c>
      <c r="N1998" s="94">
        <v>-83.91</v>
      </c>
      <c r="O1998" s="93">
        <v>16</v>
      </c>
      <c r="P1998" s="59">
        <v>18.100000000000001</v>
      </c>
      <c r="Q1998" s="58"/>
      <c r="R1998" s="59">
        <v>1258</v>
      </c>
      <c r="S1998" s="94"/>
      <c r="T1998" s="58"/>
      <c r="U1998" s="59">
        <v>6</v>
      </c>
      <c r="V1998" s="58" t="s">
        <v>1933</v>
      </c>
      <c r="Y1998" s="58" t="s">
        <v>2059</v>
      </c>
      <c r="Z1998" s="58" t="s">
        <v>1369</v>
      </c>
      <c r="AA1998" s="94">
        <v>30</v>
      </c>
      <c r="AD1998" s="94">
        <f>AVERAGE(Sheet1!CH1998:CI1998)</f>
        <v>1.3919999999999999</v>
      </c>
      <c r="AE1998" s="93">
        <v>65</v>
      </c>
      <c r="AF1998" s="93">
        <v>25</v>
      </c>
      <c r="AG1998" s="93"/>
      <c r="AH1998" s="58" t="s">
        <v>238</v>
      </c>
      <c r="AI1998" s="169"/>
      <c r="AJ1998" s="94"/>
      <c r="AK1998" s="94"/>
      <c r="AL1998" s="58"/>
      <c r="AM1998" s="59" t="s">
        <v>1987</v>
      </c>
      <c r="AN1998" s="188" t="s">
        <v>241</v>
      </c>
      <c r="AO1998" s="185" t="s">
        <v>5150</v>
      </c>
      <c r="AP1998" s="59"/>
      <c r="AQ1998" s="58" t="s">
        <v>553</v>
      </c>
      <c r="AR1998" s="59" t="s">
        <v>1985</v>
      </c>
      <c r="AS1998" s="55" t="s">
        <v>5133</v>
      </c>
      <c r="AT1998" s="182"/>
      <c r="AU1998" s="181" t="s">
        <v>7494</v>
      </c>
      <c r="AV1998" s="185" t="s">
        <v>176</v>
      </c>
      <c r="AW1998" s="58"/>
      <c r="AX1998" s="185" t="s">
        <v>176</v>
      </c>
      <c r="AY1998" s="58"/>
      <c r="AZ1998" s="59" t="s">
        <v>746</v>
      </c>
      <c r="BA1998" s="59" t="s">
        <v>746</v>
      </c>
      <c r="BB1998" s="59" t="s">
        <v>2081</v>
      </c>
      <c r="BC1998" s="59" t="s">
        <v>2081</v>
      </c>
      <c r="BD1998" s="55" t="s">
        <v>2071</v>
      </c>
      <c r="BE1998" s="236" t="s">
        <v>1984</v>
      </c>
      <c r="BF1998" s="58"/>
      <c r="BG1998" s="191" t="s">
        <v>479</v>
      </c>
      <c r="BH1998" s="236"/>
      <c r="BI1998" s="58"/>
      <c r="BJ1998" s="152" t="s">
        <v>1983</v>
      </c>
      <c r="BK1998" s="58" t="s">
        <v>5976</v>
      </c>
      <c r="BL1998" s="58"/>
      <c r="BM1998" s="237" t="s">
        <v>160</v>
      </c>
      <c r="BN1998" s="59">
        <v>4</v>
      </c>
      <c r="BO1998" s="59">
        <v>4</v>
      </c>
      <c r="BP1998" s="59">
        <v>4</v>
      </c>
      <c r="BQ1998" s="58" t="s">
        <v>141</v>
      </c>
      <c r="BR1998" s="58"/>
      <c r="BS1998" s="58"/>
      <c r="BT1998" s="58"/>
      <c r="BU1998" s="58"/>
      <c r="BV1998" s="58"/>
      <c r="CB1998" s="153"/>
      <c r="CC1998" s="153"/>
      <c r="CD1998" s="153"/>
      <c r="CE1998" s="67"/>
      <c r="CH1998" s="93">
        <f>CI1998+0.01</f>
        <v>1.397</v>
      </c>
      <c r="CI1998" s="93">
        <v>1.387</v>
      </c>
      <c r="CM1998" s="67">
        <v>0.22429014554998808</v>
      </c>
      <c r="CN1998" s="67">
        <v>0.28871391076115482</v>
      </c>
      <c r="CR1998" s="65">
        <v>9.4</v>
      </c>
      <c r="CS1998" s="65">
        <v>12.013385826771653</v>
      </c>
      <c r="CT1998" s="65">
        <v>3.4</v>
      </c>
      <c r="CU1998" s="65">
        <v>3.4</v>
      </c>
      <c r="CV1998" s="65" t="s">
        <v>962</v>
      </c>
      <c r="DA1998" s="65" t="s">
        <v>4458</v>
      </c>
      <c r="GP1998" s="292" t="s">
        <v>7494</v>
      </c>
      <c r="JU1998" s="59" t="s">
        <v>2040</v>
      </c>
      <c r="JV1998" s="58"/>
    </row>
    <row r="1999" spans="1:282" x14ac:dyDescent="0.25">
      <c r="A1999" s="55">
        <v>1998</v>
      </c>
      <c r="B1999" s="12" t="s">
        <v>7067</v>
      </c>
      <c r="C1999" s="157">
        <v>91</v>
      </c>
      <c r="D1999" s="59" t="s">
        <v>4097</v>
      </c>
      <c r="E1999" s="93" t="s">
        <v>741</v>
      </c>
      <c r="F1999" s="93"/>
      <c r="G1999" s="58" t="s">
        <v>2074</v>
      </c>
      <c r="H1999" s="59">
        <v>2006</v>
      </c>
      <c r="I1999" s="58">
        <v>1999</v>
      </c>
      <c r="J1999" s="59" t="s">
        <v>916</v>
      </c>
      <c r="K1999" s="59" t="s">
        <v>1990</v>
      </c>
      <c r="L1999" s="59" t="s">
        <v>2737</v>
      </c>
      <c r="M1999" s="94">
        <v>32.56</v>
      </c>
      <c r="N1999" s="94">
        <v>-83.91</v>
      </c>
      <c r="O1999" s="93">
        <v>16</v>
      </c>
      <c r="P1999" s="59">
        <v>18.100000000000001</v>
      </c>
      <c r="Q1999" s="58"/>
      <c r="R1999" s="59">
        <v>1258</v>
      </c>
      <c r="S1999" s="94"/>
      <c r="T1999" s="58"/>
      <c r="U1999" s="59">
        <v>6</v>
      </c>
      <c r="V1999" s="58" t="s">
        <v>1933</v>
      </c>
      <c r="Y1999" s="58" t="s">
        <v>2059</v>
      </c>
      <c r="Z1999" s="58" t="s">
        <v>1370</v>
      </c>
      <c r="AA1999" s="94">
        <v>30</v>
      </c>
      <c r="AD1999" s="94">
        <f>AVERAGE(Sheet1!CH1999:CI1999)</f>
        <v>1.5939999999999999</v>
      </c>
      <c r="AE1999" s="93">
        <v>65</v>
      </c>
      <c r="AF1999" s="93">
        <v>25</v>
      </c>
      <c r="AG1999" s="93"/>
      <c r="AH1999" s="58" t="s">
        <v>238</v>
      </c>
      <c r="AI1999" s="169"/>
      <c r="AJ1999" s="94"/>
      <c r="AK1999" s="94"/>
      <c r="AL1999" s="58"/>
      <c r="AM1999" s="59" t="s">
        <v>1987</v>
      </c>
      <c r="AN1999" s="188" t="s">
        <v>241</v>
      </c>
      <c r="AO1999" s="185" t="s">
        <v>5150</v>
      </c>
      <c r="AP1999" s="59"/>
      <c r="AQ1999" s="58" t="s">
        <v>553</v>
      </c>
      <c r="AR1999" s="59" t="s">
        <v>1985</v>
      </c>
      <c r="AS1999" s="55" t="s">
        <v>5133</v>
      </c>
      <c r="AT1999" s="182"/>
      <c r="AU1999" s="181" t="s">
        <v>7494</v>
      </c>
      <c r="AV1999" s="185" t="s">
        <v>176</v>
      </c>
      <c r="AW1999" s="58"/>
      <c r="AX1999" s="185" t="s">
        <v>176</v>
      </c>
      <c r="AY1999" s="58"/>
      <c r="AZ1999" s="59" t="s">
        <v>746</v>
      </c>
      <c r="BA1999" s="59" t="s">
        <v>746</v>
      </c>
      <c r="BB1999" s="59" t="s">
        <v>2081</v>
      </c>
      <c r="BC1999" s="59" t="s">
        <v>2081</v>
      </c>
      <c r="BD1999" s="55" t="s">
        <v>176</v>
      </c>
      <c r="BE1999" s="236" t="s">
        <v>1984</v>
      </c>
      <c r="BF1999" s="58"/>
      <c r="BG1999" s="191" t="s">
        <v>479</v>
      </c>
      <c r="BH1999" s="236"/>
      <c r="BI1999" s="58"/>
      <c r="BJ1999" s="152" t="s">
        <v>1983</v>
      </c>
      <c r="BK1999" s="58" t="s">
        <v>5976</v>
      </c>
      <c r="BL1999" s="58"/>
      <c r="BM1999" s="237" t="s">
        <v>160</v>
      </c>
      <c r="BN1999" s="59">
        <v>4</v>
      </c>
      <c r="BO1999" s="59">
        <v>4</v>
      </c>
      <c r="BP1999" s="59">
        <v>4</v>
      </c>
      <c r="BQ1999" s="58" t="s">
        <v>141</v>
      </c>
      <c r="BR1999" s="58"/>
      <c r="BS1999" s="58"/>
      <c r="BT1999" s="58"/>
      <c r="BU1999" s="58"/>
      <c r="BV1999" s="58"/>
      <c r="CB1999" s="153"/>
      <c r="CC1999" s="153"/>
      <c r="CD1999" s="153"/>
      <c r="CE1999" s="67"/>
      <c r="CH1999" s="93">
        <f>CI1999+0.01</f>
        <v>1.599</v>
      </c>
      <c r="CI1999" s="93">
        <v>1.589</v>
      </c>
      <c r="CM1999" s="67">
        <v>0.16468626224723787</v>
      </c>
      <c r="CN1999" s="67">
        <v>0.16677089847821555</v>
      </c>
      <c r="CR1999" s="65">
        <v>7.9</v>
      </c>
      <c r="CS1999" s="65">
        <v>7.9499687304565345</v>
      </c>
      <c r="CT1999" s="65">
        <v>3.4</v>
      </c>
      <c r="CU1999" s="65">
        <v>3.4</v>
      </c>
      <c r="CV1999" s="65" t="s">
        <v>962</v>
      </c>
      <c r="DA1999" s="65" t="s">
        <v>4458</v>
      </c>
      <c r="GP1999" s="292" t="s">
        <v>7494</v>
      </c>
      <c r="JU1999" s="59" t="s">
        <v>2040</v>
      </c>
      <c r="JV1999" s="58"/>
    </row>
    <row r="2000" spans="1:282" x14ac:dyDescent="0.25">
      <c r="A2000" s="55">
        <v>1999</v>
      </c>
      <c r="B2000" s="12" t="s">
        <v>7067</v>
      </c>
      <c r="C2000" s="157">
        <v>91</v>
      </c>
      <c r="D2000" s="59" t="s">
        <v>4098</v>
      </c>
      <c r="E2000" s="93" t="s">
        <v>741</v>
      </c>
      <c r="F2000" s="93"/>
      <c r="G2000" s="58" t="s">
        <v>2074</v>
      </c>
      <c r="H2000" s="59">
        <v>2006</v>
      </c>
      <c r="I2000" s="58">
        <v>1999</v>
      </c>
      <c r="J2000" s="59" t="s">
        <v>916</v>
      </c>
      <c r="K2000" s="59" t="s">
        <v>1990</v>
      </c>
      <c r="L2000" s="59" t="s">
        <v>2737</v>
      </c>
      <c r="M2000" s="94">
        <v>32.56</v>
      </c>
      <c r="N2000" s="94">
        <v>-83.91</v>
      </c>
      <c r="O2000" s="93">
        <v>16</v>
      </c>
      <c r="P2000" s="59">
        <v>18.100000000000001</v>
      </c>
      <c r="Q2000" s="58"/>
      <c r="R2000" s="59">
        <v>1258</v>
      </c>
      <c r="S2000" s="94"/>
      <c r="T2000" s="58"/>
      <c r="U2000" s="59">
        <v>6</v>
      </c>
      <c r="V2000" s="58" t="s">
        <v>1933</v>
      </c>
      <c r="Y2000" s="58" t="s">
        <v>2059</v>
      </c>
      <c r="Z2000" s="58" t="s">
        <v>1382</v>
      </c>
      <c r="AA2000" s="94">
        <v>30</v>
      </c>
      <c r="AD2000" s="94">
        <f>AVERAGE(Sheet1!CH2000:CI2000)</f>
        <v>1.617</v>
      </c>
      <c r="AE2000" s="93">
        <v>65</v>
      </c>
      <c r="AF2000" s="93">
        <v>25</v>
      </c>
      <c r="AG2000" s="93"/>
      <c r="AH2000" s="58" t="s">
        <v>238</v>
      </c>
      <c r="AI2000" s="169"/>
      <c r="AJ2000" s="94"/>
      <c r="AK2000" s="94"/>
      <c r="AL2000" s="58"/>
      <c r="AM2000" s="59" t="s">
        <v>1987</v>
      </c>
      <c r="AN2000" s="188" t="s">
        <v>241</v>
      </c>
      <c r="AO2000" s="185" t="s">
        <v>5150</v>
      </c>
      <c r="AP2000" s="59"/>
      <c r="AQ2000" s="58" t="s">
        <v>553</v>
      </c>
      <c r="AR2000" s="59" t="s">
        <v>1985</v>
      </c>
      <c r="AS2000" s="55" t="s">
        <v>5133</v>
      </c>
      <c r="AT2000" s="182"/>
      <c r="AU2000" s="181" t="s">
        <v>7494</v>
      </c>
      <c r="AV2000" s="185" t="s">
        <v>176</v>
      </c>
      <c r="AW2000" s="58"/>
      <c r="AX2000" s="185" t="s">
        <v>176</v>
      </c>
      <c r="AY2000" s="58"/>
      <c r="AZ2000" s="59" t="s">
        <v>746</v>
      </c>
      <c r="BA2000" s="59" t="s">
        <v>746</v>
      </c>
      <c r="BB2000" s="59" t="s">
        <v>2081</v>
      </c>
      <c r="BC2000" s="59" t="s">
        <v>2081</v>
      </c>
      <c r="BD2000" s="55" t="s">
        <v>2071</v>
      </c>
      <c r="BE2000" s="236" t="s">
        <v>1984</v>
      </c>
      <c r="BF2000" s="58"/>
      <c r="BG2000" s="191" t="s">
        <v>479</v>
      </c>
      <c r="BH2000" s="236"/>
      <c r="BI2000" s="58"/>
      <c r="BJ2000" s="152" t="s">
        <v>1983</v>
      </c>
      <c r="BK2000" s="58" t="s">
        <v>5976</v>
      </c>
      <c r="BL2000" s="58"/>
      <c r="BM2000" s="237" t="s">
        <v>160</v>
      </c>
      <c r="BN2000" s="59">
        <v>4</v>
      </c>
      <c r="BO2000" s="59">
        <v>4</v>
      </c>
      <c r="BP2000" s="59">
        <v>4</v>
      </c>
      <c r="BQ2000" s="58" t="s">
        <v>141</v>
      </c>
      <c r="BR2000" s="58"/>
      <c r="BS2000" s="58"/>
      <c r="BT2000" s="58"/>
      <c r="BU2000" s="58"/>
      <c r="BV2000" s="58"/>
      <c r="CB2000" s="153"/>
      <c r="CC2000" s="153"/>
      <c r="CD2000" s="153"/>
      <c r="CE2000" s="67"/>
      <c r="CH2000" s="93">
        <f>CI2000+0.01</f>
        <v>1.6220000000000001</v>
      </c>
      <c r="CI2000" s="93">
        <v>1.6120000000000001</v>
      </c>
      <c r="CM2000" s="67">
        <v>0.12741471434443072</v>
      </c>
      <c r="CN2000" s="67">
        <v>0.13563501849568432</v>
      </c>
      <c r="CR2000" s="65">
        <v>6.1999999999999993</v>
      </c>
      <c r="CS2000" s="65">
        <v>6.5593094944512949</v>
      </c>
      <c r="CT2000" s="65">
        <v>2.2000000000000002</v>
      </c>
      <c r="CU2000" s="65">
        <v>2.2000000000000002</v>
      </c>
      <c r="CV2000" s="65" t="s">
        <v>962</v>
      </c>
      <c r="DA2000" s="65" t="s">
        <v>4458</v>
      </c>
      <c r="GP2000" s="292" t="s">
        <v>7494</v>
      </c>
      <c r="JU2000" s="59" t="s">
        <v>2040</v>
      </c>
      <c r="JV2000" s="58"/>
    </row>
    <row r="2001" spans="1:282" x14ac:dyDescent="0.25">
      <c r="A2001" s="55">
        <v>2000</v>
      </c>
      <c r="B2001" s="12" t="s">
        <v>7067</v>
      </c>
      <c r="C2001" s="157">
        <v>91</v>
      </c>
      <c r="D2001" s="59" t="s">
        <v>4099</v>
      </c>
      <c r="E2001" s="93" t="s">
        <v>741</v>
      </c>
      <c r="F2001" s="93"/>
      <c r="G2001" s="58" t="s">
        <v>2074</v>
      </c>
      <c r="H2001" s="59">
        <v>2006</v>
      </c>
      <c r="I2001" s="58">
        <v>1999</v>
      </c>
      <c r="J2001" s="59" t="s">
        <v>916</v>
      </c>
      <c r="K2001" s="59" t="s">
        <v>1990</v>
      </c>
      <c r="L2001" s="59" t="s">
        <v>2737</v>
      </c>
      <c r="M2001" s="94">
        <v>32.56</v>
      </c>
      <c r="N2001" s="94">
        <v>-83.91</v>
      </c>
      <c r="O2001" s="93">
        <v>16</v>
      </c>
      <c r="P2001" s="59">
        <v>18.100000000000001</v>
      </c>
      <c r="Q2001" s="58"/>
      <c r="R2001" s="59">
        <v>1258</v>
      </c>
      <c r="S2001" s="94"/>
      <c r="T2001" s="58"/>
      <c r="U2001" s="59">
        <v>6</v>
      </c>
      <c r="V2001" s="58" t="s">
        <v>1933</v>
      </c>
      <c r="Y2001" s="58" t="s">
        <v>2059</v>
      </c>
      <c r="Z2001" s="58" t="s">
        <v>1355</v>
      </c>
      <c r="AA2001" s="94">
        <v>10</v>
      </c>
      <c r="AD2001" s="94">
        <f>AVERAGE(Sheet1!CH2001:CI2001)</f>
        <v>1.4249999999999998</v>
      </c>
      <c r="AE2001" s="93">
        <v>65</v>
      </c>
      <c r="AF2001" s="93">
        <v>25</v>
      </c>
      <c r="AG2001" s="93"/>
      <c r="AH2001" s="58" t="s">
        <v>238</v>
      </c>
      <c r="AI2001" s="169"/>
      <c r="AJ2001" s="94"/>
      <c r="AK2001" s="94"/>
      <c r="AL2001" s="58"/>
      <c r="AM2001" s="59" t="s">
        <v>1987</v>
      </c>
      <c r="AN2001" s="188" t="s">
        <v>1986</v>
      </c>
      <c r="AO2001" s="185" t="s">
        <v>5150</v>
      </c>
      <c r="AP2001" s="59"/>
      <c r="AQ2001" s="58" t="s">
        <v>1546</v>
      </c>
      <c r="AR2001" s="59" t="s">
        <v>1985</v>
      </c>
      <c r="AS2001" s="55" t="s">
        <v>5133</v>
      </c>
      <c r="AT2001" s="182"/>
      <c r="AU2001" s="181" t="s">
        <v>7494</v>
      </c>
      <c r="AV2001" s="185" t="s">
        <v>176</v>
      </c>
      <c r="AW2001" s="58"/>
      <c r="AX2001" s="185" t="s">
        <v>176</v>
      </c>
      <c r="AY2001" s="58"/>
      <c r="AZ2001" s="59" t="s">
        <v>746</v>
      </c>
      <c r="BA2001" s="59" t="s">
        <v>746</v>
      </c>
      <c r="BB2001" s="59" t="s">
        <v>2081</v>
      </c>
      <c r="BC2001" s="59" t="s">
        <v>2081</v>
      </c>
      <c r="BD2001" s="55" t="s">
        <v>176</v>
      </c>
      <c r="BE2001" s="236" t="s">
        <v>161</v>
      </c>
      <c r="BF2001" s="58"/>
      <c r="BG2001" s="191" t="s">
        <v>176</v>
      </c>
      <c r="BH2001" s="236"/>
      <c r="BI2001" s="58"/>
      <c r="BJ2001" s="152" t="s">
        <v>1983</v>
      </c>
      <c r="BK2001" s="58" t="s">
        <v>5976</v>
      </c>
      <c r="BL2001" s="58"/>
      <c r="BM2001" s="237" t="s">
        <v>160</v>
      </c>
      <c r="BN2001" s="59">
        <v>4</v>
      </c>
      <c r="BO2001" s="59">
        <v>4</v>
      </c>
      <c r="BP2001" s="59">
        <v>4</v>
      </c>
      <c r="BQ2001" s="58" t="s">
        <v>141</v>
      </c>
      <c r="BR2001" s="58"/>
      <c r="BS2001" s="58"/>
      <c r="BT2001" s="58"/>
      <c r="BU2001" s="58"/>
      <c r="BV2001" s="58"/>
      <c r="CB2001" s="153"/>
      <c r="CC2001" s="153"/>
      <c r="CD2001" s="153"/>
      <c r="CE2001" s="67"/>
      <c r="CH2001" s="93">
        <f>CI2001+0.01</f>
        <v>1.43</v>
      </c>
      <c r="CI2001" s="93">
        <v>1.42</v>
      </c>
      <c r="CM2001" s="67">
        <v>0.55944055944055948</v>
      </c>
      <c r="CN2001" s="67">
        <v>0.66433566433566438</v>
      </c>
      <c r="CR2001" s="65">
        <v>8</v>
      </c>
      <c r="CS2001" s="65">
        <v>9.4335664335664351</v>
      </c>
      <c r="CT2001" s="65">
        <v>1</v>
      </c>
      <c r="CU2001" s="65">
        <v>1</v>
      </c>
      <c r="CV2001" s="65" t="s">
        <v>962</v>
      </c>
      <c r="DA2001" s="65" t="s">
        <v>4458</v>
      </c>
      <c r="GP2001" s="292" t="s">
        <v>7494</v>
      </c>
      <c r="JU2001" s="59" t="s">
        <v>2040</v>
      </c>
      <c r="JV2001" s="58"/>
    </row>
    <row r="2002" spans="1:282" x14ac:dyDescent="0.25">
      <c r="A2002" s="55">
        <v>2001</v>
      </c>
      <c r="B2002" s="12" t="s">
        <v>7067</v>
      </c>
      <c r="C2002" s="157">
        <v>91</v>
      </c>
      <c r="D2002" s="59" t="s">
        <v>4100</v>
      </c>
      <c r="E2002" s="93" t="s">
        <v>741</v>
      </c>
      <c r="F2002" s="93"/>
      <c r="G2002" s="58" t="s">
        <v>2074</v>
      </c>
      <c r="H2002" s="59">
        <v>2006</v>
      </c>
      <c r="I2002" s="58">
        <v>1999</v>
      </c>
      <c r="J2002" s="59" t="s">
        <v>916</v>
      </c>
      <c r="K2002" s="59" t="s">
        <v>1990</v>
      </c>
      <c r="L2002" s="59" t="s">
        <v>2737</v>
      </c>
      <c r="M2002" s="94">
        <v>32.56</v>
      </c>
      <c r="N2002" s="94">
        <v>-83.91</v>
      </c>
      <c r="O2002" s="93">
        <v>16</v>
      </c>
      <c r="P2002" s="59">
        <v>18.100000000000001</v>
      </c>
      <c r="Q2002" s="58"/>
      <c r="R2002" s="59">
        <v>1258</v>
      </c>
      <c r="S2002" s="94"/>
      <c r="T2002" s="58"/>
      <c r="U2002" s="59">
        <v>6</v>
      </c>
      <c r="V2002" s="58" t="s">
        <v>1933</v>
      </c>
      <c r="Y2002" s="58" t="s">
        <v>2059</v>
      </c>
      <c r="Z2002" s="58" t="s">
        <v>1375</v>
      </c>
      <c r="AA2002" s="94">
        <v>20</v>
      </c>
      <c r="AD2002" s="94">
        <f>AVERAGE(Sheet1!CH2002:CI2002)</f>
        <v>1.5550000000000002</v>
      </c>
      <c r="AE2002" s="93">
        <v>65</v>
      </c>
      <c r="AF2002" s="93">
        <v>25</v>
      </c>
      <c r="AG2002" s="93"/>
      <c r="AH2002" s="58" t="s">
        <v>238</v>
      </c>
      <c r="AI2002" s="169"/>
      <c r="AJ2002" s="94"/>
      <c r="AK2002" s="94"/>
      <c r="AL2002" s="58"/>
      <c r="AM2002" s="59" t="s">
        <v>1987</v>
      </c>
      <c r="AN2002" s="188" t="s">
        <v>1986</v>
      </c>
      <c r="AO2002" s="185" t="s">
        <v>5150</v>
      </c>
      <c r="AP2002" s="59"/>
      <c r="AQ2002" s="58" t="s">
        <v>1546</v>
      </c>
      <c r="AR2002" s="59" t="s">
        <v>1985</v>
      </c>
      <c r="AS2002" s="55" t="s">
        <v>5133</v>
      </c>
      <c r="AT2002" s="182"/>
      <c r="AU2002" s="181" t="s">
        <v>7494</v>
      </c>
      <c r="AV2002" s="185" t="s">
        <v>176</v>
      </c>
      <c r="AW2002" s="58"/>
      <c r="AX2002" s="185" t="s">
        <v>176</v>
      </c>
      <c r="AY2002" s="58"/>
      <c r="AZ2002" s="59" t="s">
        <v>746</v>
      </c>
      <c r="BA2002" s="59" t="s">
        <v>746</v>
      </c>
      <c r="BB2002" s="59" t="s">
        <v>2081</v>
      </c>
      <c r="BC2002" s="59" t="s">
        <v>2081</v>
      </c>
      <c r="BD2002" s="55" t="s">
        <v>2071</v>
      </c>
      <c r="BE2002" s="236" t="s">
        <v>161</v>
      </c>
      <c r="BF2002" s="58"/>
      <c r="BG2002" s="191" t="s">
        <v>176</v>
      </c>
      <c r="BH2002" s="236"/>
      <c r="BI2002" s="58"/>
      <c r="BJ2002" s="152" t="s">
        <v>1983</v>
      </c>
      <c r="BK2002" s="58" t="s">
        <v>5976</v>
      </c>
      <c r="BL2002" s="58"/>
      <c r="BM2002" s="237" t="s">
        <v>160</v>
      </c>
      <c r="BN2002" s="59">
        <v>4</v>
      </c>
      <c r="BO2002" s="59">
        <v>4</v>
      </c>
      <c r="BP2002" s="59">
        <v>4</v>
      </c>
      <c r="BQ2002" s="58" t="s">
        <v>141</v>
      </c>
      <c r="BR2002" s="58"/>
      <c r="BS2002" s="58"/>
      <c r="BT2002" s="58"/>
      <c r="BU2002" s="58"/>
      <c r="BV2002" s="58"/>
      <c r="CB2002" s="153"/>
      <c r="CC2002" s="153"/>
      <c r="CD2002" s="153"/>
      <c r="CE2002" s="67"/>
      <c r="CH2002" s="93">
        <f>CI2002+0.01</f>
        <v>1.56</v>
      </c>
      <c r="CI2002" s="93">
        <v>1.55</v>
      </c>
      <c r="CM2002" s="67">
        <v>0.39743589743589747</v>
      </c>
      <c r="CN2002" s="67">
        <v>0.45833333333333331</v>
      </c>
      <c r="CR2002" s="65">
        <v>12.400000000000002</v>
      </c>
      <c r="CS2002" s="65">
        <v>14.208333333333334</v>
      </c>
      <c r="CT2002" s="65">
        <v>2.2999999999999998</v>
      </c>
      <c r="CU2002" s="65">
        <v>2.2999999999999998</v>
      </c>
      <c r="CV2002" s="65" t="s">
        <v>962</v>
      </c>
      <c r="DA2002" s="65" t="s">
        <v>4458</v>
      </c>
      <c r="GP2002" s="292" t="s">
        <v>7494</v>
      </c>
      <c r="JU2002" s="59" t="s">
        <v>2040</v>
      </c>
      <c r="JV2002" s="58"/>
    </row>
    <row r="2003" spans="1:282" x14ac:dyDescent="0.25">
      <c r="A2003" s="55">
        <v>2002</v>
      </c>
      <c r="B2003" s="12" t="s">
        <v>7067</v>
      </c>
      <c r="C2003" s="157">
        <v>91</v>
      </c>
      <c r="D2003" s="59" t="s">
        <v>4101</v>
      </c>
      <c r="E2003" s="93" t="s">
        <v>741</v>
      </c>
      <c r="F2003" s="93"/>
      <c r="G2003" s="58" t="s">
        <v>2074</v>
      </c>
      <c r="H2003" s="59">
        <v>2006</v>
      </c>
      <c r="I2003" s="58">
        <v>1999</v>
      </c>
      <c r="J2003" s="59" t="s">
        <v>916</v>
      </c>
      <c r="K2003" s="59" t="s">
        <v>1990</v>
      </c>
      <c r="L2003" s="59" t="s">
        <v>2737</v>
      </c>
      <c r="M2003" s="94">
        <v>32.56</v>
      </c>
      <c r="N2003" s="94">
        <v>-83.91</v>
      </c>
      <c r="O2003" s="93">
        <v>16</v>
      </c>
      <c r="P2003" s="59">
        <v>18.100000000000001</v>
      </c>
      <c r="Q2003" s="58"/>
      <c r="R2003" s="59">
        <v>1258</v>
      </c>
      <c r="S2003" s="94"/>
      <c r="T2003" s="58"/>
      <c r="U2003" s="59">
        <v>6</v>
      </c>
      <c r="V2003" s="58" t="s">
        <v>1933</v>
      </c>
      <c r="Y2003" s="58" t="s">
        <v>2059</v>
      </c>
      <c r="Z2003" s="58" t="s">
        <v>1369</v>
      </c>
      <c r="AA2003" s="94">
        <v>30</v>
      </c>
      <c r="AD2003" s="94">
        <f>AVERAGE(Sheet1!CH2003:CI2003)</f>
        <v>1.3919999999999999</v>
      </c>
      <c r="AE2003" s="93">
        <v>65</v>
      </c>
      <c r="AF2003" s="93">
        <v>25</v>
      </c>
      <c r="AG2003" s="93"/>
      <c r="AH2003" s="58" t="s">
        <v>238</v>
      </c>
      <c r="AI2003" s="169"/>
      <c r="AJ2003" s="94"/>
      <c r="AK2003" s="94"/>
      <c r="AL2003" s="58"/>
      <c r="AM2003" s="59" t="s">
        <v>1987</v>
      </c>
      <c r="AN2003" s="188" t="s">
        <v>1986</v>
      </c>
      <c r="AO2003" s="185" t="s">
        <v>5150</v>
      </c>
      <c r="AP2003" s="59"/>
      <c r="AQ2003" s="58" t="s">
        <v>1546</v>
      </c>
      <c r="AR2003" s="59" t="s">
        <v>1985</v>
      </c>
      <c r="AS2003" s="55" t="s">
        <v>5133</v>
      </c>
      <c r="AT2003" s="182"/>
      <c r="AU2003" s="181" t="s">
        <v>7494</v>
      </c>
      <c r="AV2003" s="185" t="s">
        <v>176</v>
      </c>
      <c r="AW2003" s="58"/>
      <c r="AX2003" s="185" t="s">
        <v>176</v>
      </c>
      <c r="AY2003" s="58"/>
      <c r="AZ2003" s="59" t="s">
        <v>746</v>
      </c>
      <c r="BA2003" s="59" t="s">
        <v>746</v>
      </c>
      <c r="BB2003" s="59" t="s">
        <v>2081</v>
      </c>
      <c r="BC2003" s="59" t="s">
        <v>2081</v>
      </c>
      <c r="BD2003" s="55" t="s">
        <v>176</v>
      </c>
      <c r="BE2003" s="236" t="s">
        <v>161</v>
      </c>
      <c r="BF2003" s="58"/>
      <c r="BG2003" s="191" t="s">
        <v>176</v>
      </c>
      <c r="BH2003" s="236"/>
      <c r="BI2003" s="58"/>
      <c r="BJ2003" s="152" t="s">
        <v>1983</v>
      </c>
      <c r="BK2003" s="58" t="s">
        <v>5976</v>
      </c>
      <c r="BL2003" s="58"/>
      <c r="BM2003" s="237" t="s">
        <v>160</v>
      </c>
      <c r="BN2003" s="59">
        <v>4</v>
      </c>
      <c r="BO2003" s="59">
        <v>4</v>
      </c>
      <c r="BP2003" s="59">
        <v>4</v>
      </c>
      <c r="BQ2003" s="58" t="s">
        <v>141</v>
      </c>
      <c r="BR2003" s="58"/>
      <c r="BS2003" s="58"/>
      <c r="BT2003" s="58"/>
      <c r="BU2003" s="58"/>
      <c r="BV2003" s="58"/>
      <c r="CB2003" s="153"/>
      <c r="CC2003" s="153"/>
      <c r="CD2003" s="153"/>
      <c r="CE2003" s="67"/>
      <c r="CH2003" s="93">
        <f>CI2003+0.01</f>
        <v>1.397</v>
      </c>
      <c r="CI2003" s="93">
        <v>1.387</v>
      </c>
      <c r="CM2003" s="67">
        <v>0.21951801479360533</v>
      </c>
      <c r="CN2003" s="67">
        <v>0.24815079933190168</v>
      </c>
      <c r="CR2003" s="65">
        <v>9.1999999999999975</v>
      </c>
      <c r="CS2003" s="65">
        <v>10.325554760200429</v>
      </c>
      <c r="CT2003" s="65">
        <v>3.4</v>
      </c>
      <c r="CU2003" s="65">
        <v>3.4</v>
      </c>
      <c r="CV2003" s="65" t="s">
        <v>962</v>
      </c>
      <c r="DA2003" s="65" t="s">
        <v>4458</v>
      </c>
      <c r="GP2003" s="292" t="s">
        <v>7494</v>
      </c>
      <c r="JU2003" s="59" t="s">
        <v>2040</v>
      </c>
      <c r="JV2003" s="58"/>
    </row>
    <row r="2004" spans="1:282" x14ac:dyDescent="0.25">
      <c r="A2004" s="55">
        <v>2003</v>
      </c>
      <c r="B2004" s="12" t="s">
        <v>7067</v>
      </c>
      <c r="C2004" s="157">
        <v>91</v>
      </c>
      <c r="D2004" s="59" t="s">
        <v>4102</v>
      </c>
      <c r="E2004" s="93" t="s">
        <v>741</v>
      </c>
      <c r="F2004" s="93"/>
      <c r="G2004" s="58" t="s">
        <v>2074</v>
      </c>
      <c r="H2004" s="59">
        <v>2006</v>
      </c>
      <c r="I2004" s="58">
        <v>1999</v>
      </c>
      <c r="J2004" s="59" t="s">
        <v>916</v>
      </c>
      <c r="K2004" s="59" t="s">
        <v>1990</v>
      </c>
      <c r="L2004" s="59" t="s">
        <v>2737</v>
      </c>
      <c r="M2004" s="94">
        <v>32.56</v>
      </c>
      <c r="N2004" s="94">
        <v>-83.91</v>
      </c>
      <c r="O2004" s="93">
        <v>16</v>
      </c>
      <c r="P2004" s="59">
        <v>18.100000000000001</v>
      </c>
      <c r="Q2004" s="58"/>
      <c r="R2004" s="59">
        <v>1258</v>
      </c>
      <c r="S2004" s="94"/>
      <c r="T2004" s="58"/>
      <c r="U2004" s="59">
        <v>6</v>
      </c>
      <c r="V2004" s="58" t="s">
        <v>1933</v>
      </c>
      <c r="Y2004" s="58" t="s">
        <v>2059</v>
      </c>
      <c r="Z2004" s="58" t="s">
        <v>1370</v>
      </c>
      <c r="AA2004" s="94">
        <v>30</v>
      </c>
      <c r="AD2004" s="94">
        <f>AVERAGE(Sheet1!CH2004:CI2004)</f>
        <v>1.5939999999999999</v>
      </c>
      <c r="AE2004" s="93">
        <v>65</v>
      </c>
      <c r="AF2004" s="93">
        <v>25</v>
      </c>
      <c r="AG2004" s="93"/>
      <c r="AH2004" s="58" t="s">
        <v>238</v>
      </c>
      <c r="AI2004" s="169"/>
      <c r="AJ2004" s="94"/>
      <c r="AK2004" s="94"/>
      <c r="AL2004" s="58"/>
      <c r="AM2004" s="59" t="s">
        <v>1987</v>
      </c>
      <c r="AN2004" s="188" t="s">
        <v>1986</v>
      </c>
      <c r="AO2004" s="185" t="s">
        <v>5150</v>
      </c>
      <c r="AP2004" s="59"/>
      <c r="AQ2004" s="58" t="s">
        <v>1546</v>
      </c>
      <c r="AR2004" s="59" t="s">
        <v>1985</v>
      </c>
      <c r="AS2004" s="55" t="s">
        <v>5133</v>
      </c>
      <c r="AT2004" s="182"/>
      <c r="AU2004" s="181" t="s">
        <v>7494</v>
      </c>
      <c r="AV2004" s="185" t="s">
        <v>176</v>
      </c>
      <c r="AW2004" s="58"/>
      <c r="AX2004" s="185" t="s">
        <v>176</v>
      </c>
      <c r="AY2004" s="58"/>
      <c r="AZ2004" s="59" t="s">
        <v>746</v>
      </c>
      <c r="BA2004" s="59" t="s">
        <v>746</v>
      </c>
      <c r="BB2004" s="59" t="s">
        <v>2081</v>
      </c>
      <c r="BC2004" s="59" t="s">
        <v>2081</v>
      </c>
      <c r="BD2004" s="55" t="s">
        <v>2071</v>
      </c>
      <c r="BE2004" s="236" t="s">
        <v>161</v>
      </c>
      <c r="BF2004" s="58"/>
      <c r="BG2004" s="191" t="s">
        <v>176</v>
      </c>
      <c r="BH2004" s="236"/>
      <c r="BI2004" s="58"/>
      <c r="BJ2004" s="152" t="s">
        <v>1983</v>
      </c>
      <c r="BK2004" s="58" t="s">
        <v>5976</v>
      </c>
      <c r="BL2004" s="58"/>
      <c r="BM2004" s="237" t="s">
        <v>160</v>
      </c>
      <c r="BN2004" s="59">
        <v>4</v>
      </c>
      <c r="BO2004" s="59">
        <v>4</v>
      </c>
      <c r="BP2004" s="59">
        <v>4</v>
      </c>
      <c r="BQ2004" s="58" t="s">
        <v>141</v>
      </c>
      <c r="BR2004" s="58"/>
      <c r="BS2004" s="58"/>
      <c r="BT2004" s="58"/>
      <c r="BU2004" s="58"/>
      <c r="BV2004" s="58"/>
      <c r="CB2004" s="153"/>
      <c r="CC2004" s="153"/>
      <c r="CD2004" s="153"/>
      <c r="CE2004" s="67"/>
      <c r="CH2004" s="93">
        <f>CI2004+0.01</f>
        <v>1.599</v>
      </c>
      <c r="CI2004" s="93">
        <v>1.589</v>
      </c>
      <c r="CM2004" s="67">
        <v>0.1480091723994163</v>
      </c>
      <c r="CN2004" s="67">
        <v>0.16885553470919323</v>
      </c>
      <c r="CR2004" s="65">
        <v>7.0999999999999988</v>
      </c>
      <c r="CS2004" s="65">
        <v>8.0493433395872405</v>
      </c>
      <c r="CT2004" s="65">
        <v>3.4</v>
      </c>
      <c r="CU2004" s="65">
        <v>3.4</v>
      </c>
      <c r="CV2004" s="65" t="s">
        <v>962</v>
      </c>
      <c r="DA2004" s="65" t="s">
        <v>4458</v>
      </c>
      <c r="GP2004" s="292" t="s">
        <v>7494</v>
      </c>
      <c r="JU2004" s="59" t="s">
        <v>2040</v>
      </c>
      <c r="JV2004" s="58"/>
    </row>
    <row r="2005" spans="1:282" x14ac:dyDescent="0.25">
      <c r="A2005" s="55">
        <v>2004</v>
      </c>
      <c r="B2005" s="12" t="s">
        <v>7067</v>
      </c>
      <c r="C2005" s="157">
        <v>91</v>
      </c>
      <c r="D2005" s="59" t="s">
        <v>4103</v>
      </c>
      <c r="E2005" s="93" t="s">
        <v>741</v>
      </c>
      <c r="F2005" s="93"/>
      <c r="G2005" s="58" t="s">
        <v>2074</v>
      </c>
      <c r="H2005" s="59">
        <v>2006</v>
      </c>
      <c r="I2005" s="58">
        <v>1999</v>
      </c>
      <c r="J2005" s="59" t="s">
        <v>916</v>
      </c>
      <c r="K2005" s="59" t="s">
        <v>1990</v>
      </c>
      <c r="L2005" s="59" t="s">
        <v>2737</v>
      </c>
      <c r="M2005" s="94">
        <v>32.56</v>
      </c>
      <c r="N2005" s="94">
        <v>-83.91</v>
      </c>
      <c r="O2005" s="93">
        <v>16</v>
      </c>
      <c r="P2005" s="59">
        <v>18.100000000000001</v>
      </c>
      <c r="Q2005" s="58"/>
      <c r="R2005" s="59">
        <v>1258</v>
      </c>
      <c r="S2005" s="94"/>
      <c r="T2005" s="58"/>
      <c r="U2005" s="59">
        <v>6</v>
      </c>
      <c r="V2005" s="58" t="s">
        <v>1933</v>
      </c>
      <c r="Y2005" s="58" t="s">
        <v>2059</v>
      </c>
      <c r="Z2005" s="58" t="s">
        <v>1382</v>
      </c>
      <c r="AA2005" s="94">
        <v>30</v>
      </c>
      <c r="AD2005" s="94">
        <f>AVERAGE(Sheet1!CH2005:CI2005)</f>
        <v>1.617</v>
      </c>
      <c r="AE2005" s="93">
        <v>65</v>
      </c>
      <c r="AF2005" s="93">
        <v>25</v>
      </c>
      <c r="AG2005" s="93"/>
      <c r="AH2005" s="58" t="s">
        <v>238</v>
      </c>
      <c r="AI2005" s="169"/>
      <c r="AJ2005" s="94"/>
      <c r="AK2005" s="94"/>
      <c r="AL2005" s="58"/>
      <c r="AM2005" s="59" t="s">
        <v>1987</v>
      </c>
      <c r="AN2005" s="188" t="s">
        <v>1986</v>
      </c>
      <c r="AO2005" s="185" t="s">
        <v>5150</v>
      </c>
      <c r="AP2005" s="59"/>
      <c r="AQ2005" s="58" t="s">
        <v>1546</v>
      </c>
      <c r="AR2005" s="59" t="s">
        <v>1985</v>
      </c>
      <c r="AS2005" s="55" t="s">
        <v>5133</v>
      </c>
      <c r="AT2005" s="182"/>
      <c r="AU2005" s="181" t="s">
        <v>7494</v>
      </c>
      <c r="AV2005" s="185" t="s">
        <v>176</v>
      </c>
      <c r="AW2005" s="58"/>
      <c r="AX2005" s="185" t="s">
        <v>176</v>
      </c>
      <c r="AY2005" s="58"/>
      <c r="AZ2005" s="59" t="s">
        <v>746</v>
      </c>
      <c r="BA2005" s="59" t="s">
        <v>746</v>
      </c>
      <c r="BB2005" s="59" t="s">
        <v>2081</v>
      </c>
      <c r="BC2005" s="59" t="s">
        <v>2081</v>
      </c>
      <c r="BD2005" s="55" t="s">
        <v>176</v>
      </c>
      <c r="BE2005" s="236" t="s">
        <v>161</v>
      </c>
      <c r="BF2005" s="58"/>
      <c r="BG2005" s="191" t="s">
        <v>176</v>
      </c>
      <c r="BH2005" s="236"/>
      <c r="BI2005" s="58"/>
      <c r="BJ2005" s="152" t="s">
        <v>1983</v>
      </c>
      <c r="BK2005" s="58" t="s">
        <v>5976</v>
      </c>
      <c r="BL2005" s="58"/>
      <c r="BM2005" s="237" t="s">
        <v>160</v>
      </c>
      <c r="BN2005" s="59">
        <v>4</v>
      </c>
      <c r="BO2005" s="59">
        <v>4</v>
      </c>
      <c r="BP2005" s="59">
        <v>4</v>
      </c>
      <c r="BQ2005" s="58" t="s">
        <v>141</v>
      </c>
      <c r="BR2005" s="58"/>
      <c r="BS2005" s="58"/>
      <c r="BT2005" s="58"/>
      <c r="BU2005" s="58"/>
      <c r="BV2005" s="58"/>
      <c r="CB2005" s="153"/>
      <c r="CC2005" s="153"/>
      <c r="CD2005" s="153"/>
      <c r="CE2005" s="67"/>
      <c r="CH2005" s="93">
        <f>CI2005+0.01</f>
        <v>1.6220000000000001</v>
      </c>
      <c r="CI2005" s="93">
        <v>1.6120000000000001</v>
      </c>
      <c r="CM2005" s="67">
        <v>0.11302918207973693</v>
      </c>
      <c r="CN2005" s="67">
        <v>0.13152486642005751</v>
      </c>
      <c r="CR2005" s="65">
        <v>5.5</v>
      </c>
      <c r="CS2005" s="65">
        <v>6.3605425400739826</v>
      </c>
      <c r="CT2005" s="65">
        <v>2.2000000000000002</v>
      </c>
      <c r="CU2005" s="65">
        <v>2.2000000000000002</v>
      </c>
      <c r="CV2005" s="65" t="s">
        <v>962</v>
      </c>
      <c r="DA2005" s="65" t="s">
        <v>4458</v>
      </c>
      <c r="GP2005" s="292" t="s">
        <v>7494</v>
      </c>
      <c r="JU2005" s="59" t="s">
        <v>2040</v>
      </c>
      <c r="JV2005" s="58"/>
    </row>
    <row r="2006" spans="1:282" x14ac:dyDescent="0.25">
      <c r="A2006" s="55">
        <v>2005</v>
      </c>
      <c r="B2006" s="12" t="s">
        <v>7067</v>
      </c>
      <c r="C2006" s="157">
        <v>91</v>
      </c>
      <c r="D2006" s="59" t="s">
        <v>4104</v>
      </c>
      <c r="E2006" s="93" t="s">
        <v>741</v>
      </c>
      <c r="F2006" s="93"/>
      <c r="G2006" s="58" t="s">
        <v>2074</v>
      </c>
      <c r="H2006" s="59">
        <v>2006</v>
      </c>
      <c r="I2006" s="58">
        <v>1999</v>
      </c>
      <c r="J2006" s="59" t="s">
        <v>916</v>
      </c>
      <c r="K2006" s="59" t="s">
        <v>1990</v>
      </c>
      <c r="L2006" s="59" t="s">
        <v>2737</v>
      </c>
      <c r="M2006" s="94">
        <v>32.56</v>
      </c>
      <c r="N2006" s="94">
        <v>-83.91</v>
      </c>
      <c r="O2006" s="93">
        <v>16</v>
      </c>
      <c r="P2006" s="59">
        <v>18.100000000000001</v>
      </c>
      <c r="Q2006" s="58"/>
      <c r="R2006" s="59">
        <v>1258</v>
      </c>
      <c r="S2006" s="94"/>
      <c r="T2006" s="58"/>
      <c r="U2006" s="59">
        <v>6</v>
      </c>
      <c r="V2006" s="58" t="s">
        <v>1933</v>
      </c>
      <c r="Y2006" s="58" t="s">
        <v>2059</v>
      </c>
      <c r="Z2006" s="58" t="s">
        <v>1355</v>
      </c>
      <c r="AA2006" s="94">
        <v>10</v>
      </c>
      <c r="AD2006" s="94">
        <f>AVERAGE(Sheet1!CH2006:CI2006)</f>
        <v>1.4249999999999998</v>
      </c>
      <c r="AE2006" s="93">
        <v>65</v>
      </c>
      <c r="AF2006" s="93">
        <v>25</v>
      </c>
      <c r="AG2006" s="93"/>
      <c r="AH2006" s="58" t="s">
        <v>238</v>
      </c>
      <c r="AI2006" s="169"/>
      <c r="AJ2006" s="94"/>
      <c r="AK2006" s="94"/>
      <c r="AL2006" s="58"/>
      <c r="AM2006" s="59" t="s">
        <v>1987</v>
      </c>
      <c r="AN2006" s="188" t="s">
        <v>1986</v>
      </c>
      <c r="AO2006" s="185" t="s">
        <v>5150</v>
      </c>
      <c r="AP2006" s="59"/>
      <c r="AQ2006" s="58" t="s">
        <v>1546</v>
      </c>
      <c r="AR2006" s="59" t="s">
        <v>1985</v>
      </c>
      <c r="AS2006" s="55" t="s">
        <v>5133</v>
      </c>
      <c r="AT2006" s="182"/>
      <c r="AU2006" s="181" t="s">
        <v>7494</v>
      </c>
      <c r="AV2006" s="185" t="s">
        <v>176</v>
      </c>
      <c r="AW2006" s="58"/>
      <c r="AX2006" s="185" t="s">
        <v>176</v>
      </c>
      <c r="AY2006" s="58"/>
      <c r="AZ2006" s="59" t="s">
        <v>746</v>
      </c>
      <c r="BA2006" s="59" t="s">
        <v>746</v>
      </c>
      <c r="BB2006" s="59" t="s">
        <v>2081</v>
      </c>
      <c r="BC2006" s="59" t="s">
        <v>2081</v>
      </c>
      <c r="BD2006" s="55" t="s">
        <v>2071</v>
      </c>
      <c r="BE2006" s="236" t="s">
        <v>1989</v>
      </c>
      <c r="BF2006" s="58"/>
      <c r="BG2006" s="191" t="s">
        <v>479</v>
      </c>
      <c r="BH2006" s="236"/>
      <c r="BI2006" s="58"/>
      <c r="BJ2006" s="152" t="s">
        <v>1983</v>
      </c>
      <c r="BK2006" s="58" t="s">
        <v>5976</v>
      </c>
      <c r="BL2006" s="58"/>
      <c r="BM2006" s="237" t="s">
        <v>160</v>
      </c>
      <c r="BN2006" s="59">
        <v>4</v>
      </c>
      <c r="BO2006" s="59">
        <v>4</v>
      </c>
      <c r="BP2006" s="59">
        <v>4</v>
      </c>
      <c r="BQ2006" s="58" t="s">
        <v>141</v>
      </c>
      <c r="BR2006" s="58"/>
      <c r="BS2006" s="58"/>
      <c r="BT2006" s="58"/>
      <c r="BU2006" s="58"/>
      <c r="BV2006" s="58"/>
      <c r="CB2006" s="153"/>
      <c r="CC2006" s="153"/>
      <c r="CD2006" s="153"/>
      <c r="CE2006" s="67"/>
      <c r="CH2006" s="93">
        <f>CI2006+0.01</f>
        <v>1.43</v>
      </c>
      <c r="CI2006" s="93">
        <v>1.42</v>
      </c>
      <c r="CM2006" s="67">
        <v>0.64335664335664322</v>
      </c>
      <c r="CN2006" s="67">
        <v>0.70629370629370625</v>
      </c>
      <c r="CR2006" s="65">
        <v>9.1999999999999975</v>
      </c>
      <c r="CS2006" s="65">
        <v>10.029370629370629</v>
      </c>
      <c r="CT2006" s="65">
        <v>1</v>
      </c>
      <c r="CU2006" s="65">
        <v>1</v>
      </c>
      <c r="CV2006" s="65" t="s">
        <v>962</v>
      </c>
      <c r="DA2006" s="65" t="s">
        <v>4458</v>
      </c>
      <c r="GP2006" s="292" t="s">
        <v>7494</v>
      </c>
      <c r="JU2006" s="59" t="s">
        <v>2040</v>
      </c>
      <c r="JV2006" s="58"/>
    </row>
    <row r="2007" spans="1:282" x14ac:dyDescent="0.25">
      <c r="A2007" s="55">
        <v>2006</v>
      </c>
      <c r="B2007" s="12" t="s">
        <v>7067</v>
      </c>
      <c r="C2007" s="157">
        <v>91</v>
      </c>
      <c r="D2007" s="59" t="s">
        <v>4105</v>
      </c>
      <c r="E2007" s="93" t="s">
        <v>741</v>
      </c>
      <c r="F2007" s="93"/>
      <c r="G2007" s="58" t="s">
        <v>2074</v>
      </c>
      <c r="H2007" s="59">
        <v>2006</v>
      </c>
      <c r="I2007" s="58">
        <v>1999</v>
      </c>
      <c r="J2007" s="59" t="s">
        <v>916</v>
      </c>
      <c r="K2007" s="59" t="s">
        <v>1990</v>
      </c>
      <c r="L2007" s="59" t="s">
        <v>2737</v>
      </c>
      <c r="M2007" s="94">
        <v>32.56</v>
      </c>
      <c r="N2007" s="94">
        <v>-83.91</v>
      </c>
      <c r="O2007" s="93">
        <v>16</v>
      </c>
      <c r="P2007" s="59">
        <v>18.100000000000001</v>
      </c>
      <c r="Q2007" s="58"/>
      <c r="R2007" s="59">
        <v>1258</v>
      </c>
      <c r="S2007" s="94"/>
      <c r="T2007" s="58"/>
      <c r="U2007" s="59">
        <v>6</v>
      </c>
      <c r="V2007" s="58" t="s">
        <v>1933</v>
      </c>
      <c r="Y2007" s="58" t="s">
        <v>2059</v>
      </c>
      <c r="Z2007" s="58" t="s">
        <v>1375</v>
      </c>
      <c r="AA2007" s="94">
        <v>20</v>
      </c>
      <c r="AD2007" s="94">
        <f>AVERAGE(Sheet1!CH2007:CI2007)</f>
        <v>1.5550000000000002</v>
      </c>
      <c r="AE2007" s="93">
        <v>65</v>
      </c>
      <c r="AF2007" s="93">
        <v>25</v>
      </c>
      <c r="AG2007" s="93"/>
      <c r="AH2007" s="58" t="s">
        <v>238</v>
      </c>
      <c r="AI2007" s="169"/>
      <c r="AJ2007" s="94"/>
      <c r="AK2007" s="94"/>
      <c r="AL2007" s="58"/>
      <c r="AM2007" s="59" t="s">
        <v>1987</v>
      </c>
      <c r="AN2007" s="188" t="s">
        <v>1986</v>
      </c>
      <c r="AO2007" s="185" t="s">
        <v>5150</v>
      </c>
      <c r="AP2007" s="59"/>
      <c r="AQ2007" s="58" t="s">
        <v>1546</v>
      </c>
      <c r="AR2007" s="59" t="s">
        <v>1985</v>
      </c>
      <c r="AS2007" s="55" t="s">
        <v>5133</v>
      </c>
      <c r="AT2007" s="182"/>
      <c r="AU2007" s="181" t="s">
        <v>7494</v>
      </c>
      <c r="AV2007" s="185" t="s">
        <v>176</v>
      </c>
      <c r="AW2007" s="58"/>
      <c r="AX2007" s="185" t="s">
        <v>176</v>
      </c>
      <c r="AY2007" s="58"/>
      <c r="AZ2007" s="59" t="s">
        <v>746</v>
      </c>
      <c r="BA2007" s="59" t="s">
        <v>746</v>
      </c>
      <c r="BB2007" s="59" t="s">
        <v>2081</v>
      </c>
      <c r="BC2007" s="59" t="s">
        <v>2081</v>
      </c>
      <c r="BD2007" s="55" t="s">
        <v>176</v>
      </c>
      <c r="BE2007" s="236" t="s">
        <v>1989</v>
      </c>
      <c r="BF2007" s="58"/>
      <c r="BG2007" s="191" t="s">
        <v>479</v>
      </c>
      <c r="BH2007" s="236"/>
      <c r="BI2007" s="58"/>
      <c r="BJ2007" s="152" t="s">
        <v>1983</v>
      </c>
      <c r="BK2007" s="58" t="s">
        <v>5976</v>
      </c>
      <c r="BL2007" s="58"/>
      <c r="BM2007" s="237" t="s">
        <v>160</v>
      </c>
      <c r="BN2007" s="59">
        <v>4</v>
      </c>
      <c r="BO2007" s="59">
        <v>4</v>
      </c>
      <c r="BP2007" s="59">
        <v>4</v>
      </c>
      <c r="BQ2007" s="58" t="s">
        <v>141</v>
      </c>
      <c r="BR2007" s="58"/>
      <c r="BS2007" s="58"/>
      <c r="BT2007" s="58"/>
      <c r="BU2007" s="58"/>
      <c r="BV2007" s="58"/>
      <c r="CB2007" s="153"/>
      <c r="CC2007" s="153"/>
      <c r="CD2007" s="153"/>
      <c r="CE2007" s="67"/>
      <c r="CH2007" s="93">
        <f>CI2007+0.01</f>
        <v>1.56</v>
      </c>
      <c r="CI2007" s="93">
        <v>1.55</v>
      </c>
      <c r="CM2007" s="67">
        <v>0.41987179487179482</v>
      </c>
      <c r="CN2007" s="67">
        <v>0.45512820512820507</v>
      </c>
      <c r="CR2007" s="65">
        <v>13.099999999999998</v>
      </c>
      <c r="CS2007" s="65">
        <v>14.108974358974358</v>
      </c>
      <c r="CT2007" s="65">
        <v>2.2999999999999998</v>
      </c>
      <c r="CU2007" s="65">
        <v>2.2999999999999998</v>
      </c>
      <c r="CV2007" s="65" t="s">
        <v>962</v>
      </c>
      <c r="DA2007" s="65" t="s">
        <v>4458</v>
      </c>
      <c r="GP2007" s="292" t="s">
        <v>7494</v>
      </c>
      <c r="JU2007" s="59" t="s">
        <v>2040</v>
      </c>
      <c r="JV2007" s="58"/>
    </row>
    <row r="2008" spans="1:282" x14ac:dyDescent="0.25">
      <c r="A2008" s="55">
        <v>2007</v>
      </c>
      <c r="B2008" s="12" t="s">
        <v>7067</v>
      </c>
      <c r="C2008" s="157">
        <v>91</v>
      </c>
      <c r="D2008" s="59" t="s">
        <v>4106</v>
      </c>
      <c r="E2008" s="93" t="s">
        <v>741</v>
      </c>
      <c r="F2008" s="93"/>
      <c r="G2008" s="58" t="s">
        <v>2074</v>
      </c>
      <c r="H2008" s="59">
        <v>2006</v>
      </c>
      <c r="I2008" s="58">
        <v>1999</v>
      </c>
      <c r="J2008" s="59" t="s">
        <v>916</v>
      </c>
      <c r="K2008" s="59" t="s">
        <v>1990</v>
      </c>
      <c r="L2008" s="59" t="s">
        <v>2737</v>
      </c>
      <c r="M2008" s="94">
        <v>32.56</v>
      </c>
      <c r="N2008" s="94">
        <v>-83.91</v>
      </c>
      <c r="O2008" s="93">
        <v>16</v>
      </c>
      <c r="P2008" s="59">
        <v>18.100000000000001</v>
      </c>
      <c r="Q2008" s="58"/>
      <c r="R2008" s="59">
        <v>1258</v>
      </c>
      <c r="S2008" s="94"/>
      <c r="T2008" s="58"/>
      <c r="U2008" s="59">
        <v>6</v>
      </c>
      <c r="V2008" s="58" t="s">
        <v>1933</v>
      </c>
      <c r="Y2008" s="58" t="s">
        <v>2059</v>
      </c>
      <c r="Z2008" s="58" t="s">
        <v>1369</v>
      </c>
      <c r="AA2008" s="94">
        <v>30</v>
      </c>
      <c r="AD2008" s="94">
        <f>AVERAGE(Sheet1!CH2008:CI2008)</f>
        <v>1.3919999999999999</v>
      </c>
      <c r="AE2008" s="93">
        <v>65</v>
      </c>
      <c r="AF2008" s="93">
        <v>25</v>
      </c>
      <c r="AG2008" s="93"/>
      <c r="AH2008" s="58" t="s">
        <v>238</v>
      </c>
      <c r="AI2008" s="169"/>
      <c r="AJ2008" s="94"/>
      <c r="AK2008" s="94"/>
      <c r="AL2008" s="58"/>
      <c r="AM2008" s="59" t="s">
        <v>1987</v>
      </c>
      <c r="AN2008" s="188" t="s">
        <v>1986</v>
      </c>
      <c r="AO2008" s="185" t="s">
        <v>5150</v>
      </c>
      <c r="AP2008" s="59"/>
      <c r="AQ2008" s="58" t="s">
        <v>1546</v>
      </c>
      <c r="AR2008" s="59" t="s">
        <v>1985</v>
      </c>
      <c r="AS2008" s="55" t="s">
        <v>5133</v>
      </c>
      <c r="AT2008" s="182"/>
      <c r="AU2008" s="181" t="s">
        <v>7494</v>
      </c>
      <c r="AV2008" s="185" t="s">
        <v>176</v>
      </c>
      <c r="AW2008" s="58"/>
      <c r="AX2008" s="185" t="s">
        <v>176</v>
      </c>
      <c r="AY2008" s="58"/>
      <c r="AZ2008" s="59" t="s">
        <v>746</v>
      </c>
      <c r="BA2008" s="59" t="s">
        <v>746</v>
      </c>
      <c r="BB2008" s="59" t="s">
        <v>2081</v>
      </c>
      <c r="BC2008" s="59" t="s">
        <v>2081</v>
      </c>
      <c r="BD2008" s="55" t="s">
        <v>2071</v>
      </c>
      <c r="BE2008" s="236" t="s">
        <v>1989</v>
      </c>
      <c r="BF2008" s="58"/>
      <c r="BG2008" s="191" t="s">
        <v>479</v>
      </c>
      <c r="BH2008" s="236"/>
      <c r="BI2008" s="58"/>
      <c r="BJ2008" s="152" t="s">
        <v>1983</v>
      </c>
      <c r="BK2008" s="58" t="s">
        <v>5976</v>
      </c>
      <c r="BL2008" s="58"/>
      <c r="BM2008" s="237" t="s">
        <v>160</v>
      </c>
      <c r="BN2008" s="59">
        <v>4</v>
      </c>
      <c r="BO2008" s="59">
        <v>4</v>
      </c>
      <c r="BP2008" s="59">
        <v>4</v>
      </c>
      <c r="BQ2008" s="58" t="s">
        <v>141</v>
      </c>
      <c r="BR2008" s="58"/>
      <c r="BS2008" s="58"/>
      <c r="BT2008" s="58"/>
      <c r="BU2008" s="58"/>
      <c r="BV2008" s="58"/>
      <c r="CB2008" s="153"/>
      <c r="CC2008" s="153"/>
      <c r="CD2008" s="153"/>
      <c r="CE2008" s="67"/>
      <c r="CH2008" s="93">
        <f>CI2008+0.01</f>
        <v>1.397</v>
      </c>
      <c r="CI2008" s="93">
        <v>1.387</v>
      </c>
      <c r="CM2008" s="67">
        <v>0.23383440706275355</v>
      </c>
      <c r="CN2008" s="67">
        <v>0.26246719160104987</v>
      </c>
      <c r="CR2008" s="65">
        <v>9.8000000000000025</v>
      </c>
      <c r="CS2008" s="65">
        <v>10.921259842519683</v>
      </c>
      <c r="CT2008" s="65">
        <v>3.4</v>
      </c>
      <c r="CU2008" s="65">
        <v>3.4</v>
      </c>
      <c r="CV2008" s="65" t="s">
        <v>962</v>
      </c>
      <c r="DA2008" s="65" t="s">
        <v>4458</v>
      </c>
      <c r="GP2008" s="292" t="s">
        <v>7494</v>
      </c>
      <c r="JU2008" s="59" t="s">
        <v>2040</v>
      </c>
      <c r="JV2008" s="58"/>
    </row>
    <row r="2009" spans="1:282" x14ac:dyDescent="0.25">
      <c r="A2009" s="55">
        <v>2008</v>
      </c>
      <c r="B2009" s="12" t="s">
        <v>7067</v>
      </c>
      <c r="C2009" s="157">
        <v>91</v>
      </c>
      <c r="D2009" s="59" t="s">
        <v>4107</v>
      </c>
      <c r="E2009" s="93" t="s">
        <v>741</v>
      </c>
      <c r="F2009" s="93"/>
      <c r="G2009" s="58" t="s">
        <v>2074</v>
      </c>
      <c r="H2009" s="59">
        <v>2006</v>
      </c>
      <c r="I2009" s="58">
        <v>1999</v>
      </c>
      <c r="J2009" s="59" t="s">
        <v>916</v>
      </c>
      <c r="K2009" s="59" t="s">
        <v>1990</v>
      </c>
      <c r="L2009" s="59" t="s">
        <v>2737</v>
      </c>
      <c r="M2009" s="94">
        <v>32.56</v>
      </c>
      <c r="N2009" s="94">
        <v>-83.91</v>
      </c>
      <c r="O2009" s="93">
        <v>16</v>
      </c>
      <c r="P2009" s="59">
        <v>18.100000000000001</v>
      </c>
      <c r="Q2009" s="58"/>
      <c r="R2009" s="59">
        <v>1258</v>
      </c>
      <c r="S2009" s="94"/>
      <c r="T2009" s="58"/>
      <c r="U2009" s="59">
        <v>6</v>
      </c>
      <c r="V2009" s="58" t="s">
        <v>1933</v>
      </c>
      <c r="Y2009" s="58" t="s">
        <v>2059</v>
      </c>
      <c r="Z2009" s="58" t="s">
        <v>1370</v>
      </c>
      <c r="AA2009" s="94">
        <v>30</v>
      </c>
      <c r="AD2009" s="94">
        <f>AVERAGE(Sheet1!CH2009:CI2009)</f>
        <v>1.5939999999999999</v>
      </c>
      <c r="AE2009" s="93">
        <v>65</v>
      </c>
      <c r="AF2009" s="93">
        <v>25</v>
      </c>
      <c r="AG2009" s="93"/>
      <c r="AH2009" s="58" t="s">
        <v>238</v>
      </c>
      <c r="AI2009" s="169"/>
      <c r="AJ2009" s="94"/>
      <c r="AK2009" s="94"/>
      <c r="AL2009" s="58"/>
      <c r="AM2009" s="59" t="s">
        <v>1987</v>
      </c>
      <c r="AN2009" s="188" t="s">
        <v>1986</v>
      </c>
      <c r="AO2009" s="185" t="s">
        <v>5150</v>
      </c>
      <c r="AP2009" s="59"/>
      <c r="AQ2009" s="58" t="s">
        <v>1546</v>
      </c>
      <c r="AR2009" s="59" t="s">
        <v>1985</v>
      </c>
      <c r="AS2009" s="55" t="s">
        <v>5133</v>
      </c>
      <c r="AT2009" s="182"/>
      <c r="AU2009" s="181" t="s">
        <v>7494</v>
      </c>
      <c r="AV2009" s="185" t="s">
        <v>176</v>
      </c>
      <c r="AW2009" s="58"/>
      <c r="AX2009" s="185" t="s">
        <v>176</v>
      </c>
      <c r="AY2009" s="58"/>
      <c r="AZ2009" s="59" t="s">
        <v>746</v>
      </c>
      <c r="BA2009" s="59" t="s">
        <v>746</v>
      </c>
      <c r="BB2009" s="59" t="s">
        <v>2081</v>
      </c>
      <c r="BC2009" s="59" t="s">
        <v>2081</v>
      </c>
      <c r="BD2009" s="55" t="s">
        <v>176</v>
      </c>
      <c r="BE2009" s="236" t="s">
        <v>1989</v>
      </c>
      <c r="BF2009" s="58"/>
      <c r="BG2009" s="191" t="s">
        <v>479</v>
      </c>
      <c r="BH2009" s="236"/>
      <c r="BI2009" s="58"/>
      <c r="BJ2009" s="152" t="s">
        <v>1983</v>
      </c>
      <c r="BK2009" s="58" t="s">
        <v>5976</v>
      </c>
      <c r="BL2009" s="58"/>
      <c r="BM2009" s="237" t="s">
        <v>160</v>
      </c>
      <c r="BN2009" s="59">
        <v>4</v>
      </c>
      <c r="BO2009" s="59">
        <v>4</v>
      </c>
      <c r="BP2009" s="59">
        <v>4</v>
      </c>
      <c r="BQ2009" s="58" t="s">
        <v>141</v>
      </c>
      <c r="BR2009" s="58"/>
      <c r="BS2009" s="58"/>
      <c r="BT2009" s="58"/>
      <c r="BU2009" s="58"/>
      <c r="BV2009" s="58"/>
      <c r="CB2009" s="153"/>
      <c r="CC2009" s="153"/>
      <c r="CD2009" s="153"/>
      <c r="CE2009" s="67"/>
      <c r="CH2009" s="93">
        <f>CI2009+0.01</f>
        <v>1.599</v>
      </c>
      <c r="CI2009" s="93">
        <v>1.589</v>
      </c>
      <c r="CM2009" s="67">
        <v>0.13967062747550552</v>
      </c>
      <c r="CN2009" s="67">
        <v>0.17302480717114865</v>
      </c>
      <c r="CR2009" s="65">
        <v>6.7</v>
      </c>
      <c r="CS2009" s="65">
        <v>8.2480925578486559</v>
      </c>
      <c r="CT2009" s="65">
        <v>3.4</v>
      </c>
      <c r="CU2009" s="65">
        <v>3.4</v>
      </c>
      <c r="CV2009" s="65" t="s">
        <v>962</v>
      </c>
      <c r="DA2009" s="65" t="s">
        <v>4458</v>
      </c>
      <c r="GP2009" s="292" t="s">
        <v>7494</v>
      </c>
      <c r="JU2009" s="59" t="s">
        <v>2040</v>
      </c>
      <c r="JV2009" s="58"/>
    </row>
    <row r="2010" spans="1:282" x14ac:dyDescent="0.25">
      <c r="A2010" s="55">
        <v>2009</v>
      </c>
      <c r="B2010" s="12" t="s">
        <v>7067</v>
      </c>
      <c r="C2010" s="157">
        <v>91</v>
      </c>
      <c r="D2010" s="59" t="s">
        <v>4108</v>
      </c>
      <c r="E2010" s="93" t="s">
        <v>741</v>
      </c>
      <c r="F2010" s="93"/>
      <c r="G2010" s="58" t="s">
        <v>2074</v>
      </c>
      <c r="H2010" s="59">
        <v>2006</v>
      </c>
      <c r="I2010" s="58">
        <v>1999</v>
      </c>
      <c r="J2010" s="59" t="s">
        <v>916</v>
      </c>
      <c r="K2010" s="59" t="s">
        <v>1990</v>
      </c>
      <c r="L2010" s="59" t="s">
        <v>2737</v>
      </c>
      <c r="M2010" s="94">
        <v>32.56</v>
      </c>
      <c r="N2010" s="94">
        <v>-83.91</v>
      </c>
      <c r="O2010" s="93">
        <v>16</v>
      </c>
      <c r="P2010" s="59">
        <v>18.100000000000001</v>
      </c>
      <c r="Q2010" s="58"/>
      <c r="R2010" s="59">
        <v>1258</v>
      </c>
      <c r="S2010" s="94"/>
      <c r="T2010" s="58"/>
      <c r="U2010" s="59">
        <v>6</v>
      </c>
      <c r="V2010" s="58" t="s">
        <v>1933</v>
      </c>
      <c r="Y2010" s="58" t="s">
        <v>2059</v>
      </c>
      <c r="Z2010" s="58" t="s">
        <v>1382</v>
      </c>
      <c r="AA2010" s="94">
        <v>30</v>
      </c>
      <c r="AD2010" s="94">
        <f>AVERAGE(Sheet1!CH2010:CI2010)</f>
        <v>1.617</v>
      </c>
      <c r="AE2010" s="93">
        <v>65</v>
      </c>
      <c r="AF2010" s="93">
        <v>25</v>
      </c>
      <c r="AG2010" s="93"/>
      <c r="AH2010" s="58" t="s">
        <v>238</v>
      </c>
      <c r="AI2010" s="169"/>
      <c r="AJ2010" s="94"/>
      <c r="AK2010" s="94"/>
      <c r="AL2010" s="58"/>
      <c r="AM2010" s="59" t="s">
        <v>1987</v>
      </c>
      <c r="AN2010" s="188" t="s">
        <v>1986</v>
      </c>
      <c r="AO2010" s="185" t="s">
        <v>5150</v>
      </c>
      <c r="AP2010" s="59"/>
      <c r="AQ2010" s="58" t="s">
        <v>1546</v>
      </c>
      <c r="AR2010" s="59" t="s">
        <v>1985</v>
      </c>
      <c r="AS2010" s="55" t="s">
        <v>5133</v>
      </c>
      <c r="AT2010" s="182"/>
      <c r="AU2010" s="181" t="s">
        <v>7494</v>
      </c>
      <c r="AV2010" s="185" t="s">
        <v>176</v>
      </c>
      <c r="AW2010" s="58"/>
      <c r="AX2010" s="185" t="s">
        <v>176</v>
      </c>
      <c r="AY2010" s="58"/>
      <c r="AZ2010" s="59" t="s">
        <v>746</v>
      </c>
      <c r="BA2010" s="59" t="s">
        <v>746</v>
      </c>
      <c r="BB2010" s="59" t="s">
        <v>2081</v>
      </c>
      <c r="BC2010" s="59" t="s">
        <v>2081</v>
      </c>
      <c r="BD2010" s="55" t="s">
        <v>2071</v>
      </c>
      <c r="BE2010" s="236" t="s">
        <v>1989</v>
      </c>
      <c r="BF2010" s="58"/>
      <c r="BG2010" s="191" t="s">
        <v>479</v>
      </c>
      <c r="BH2010" s="236"/>
      <c r="BI2010" s="58"/>
      <c r="BJ2010" s="152" t="s">
        <v>1983</v>
      </c>
      <c r="BK2010" s="58" t="s">
        <v>5976</v>
      </c>
      <c r="BL2010" s="58"/>
      <c r="BM2010" s="237" t="s">
        <v>160</v>
      </c>
      <c r="BN2010" s="59">
        <v>4</v>
      </c>
      <c r="BO2010" s="59">
        <v>4</v>
      </c>
      <c r="BP2010" s="59">
        <v>4</v>
      </c>
      <c r="BQ2010" s="58" t="s">
        <v>141</v>
      </c>
      <c r="BR2010" s="58"/>
      <c r="BS2010" s="58"/>
      <c r="BT2010" s="58"/>
      <c r="BU2010" s="58"/>
      <c r="BV2010" s="58"/>
      <c r="CB2010" s="153"/>
      <c r="CC2010" s="153"/>
      <c r="CD2010" s="153"/>
      <c r="CE2010" s="67"/>
      <c r="CH2010" s="93">
        <f>CI2010+0.01</f>
        <v>1.6220000000000001</v>
      </c>
      <c r="CI2010" s="93">
        <v>1.6120000000000001</v>
      </c>
      <c r="CM2010" s="67">
        <v>9.2478421701602934E-2</v>
      </c>
      <c r="CN2010" s="67">
        <v>0.10275380189066993</v>
      </c>
      <c r="CR2010" s="65">
        <v>4.4999999999999991</v>
      </c>
      <c r="CS2010" s="65">
        <v>4.9691738594327983</v>
      </c>
      <c r="CT2010" s="65">
        <v>2.2000000000000002</v>
      </c>
      <c r="CU2010" s="65">
        <v>2.2000000000000002</v>
      </c>
      <c r="CV2010" s="65" t="s">
        <v>962</v>
      </c>
      <c r="DA2010" s="65" t="s">
        <v>4458</v>
      </c>
      <c r="GP2010" s="292" t="s">
        <v>7494</v>
      </c>
      <c r="JU2010" s="59" t="s">
        <v>2040</v>
      </c>
      <c r="JV2010" s="58"/>
    </row>
    <row r="2011" spans="1:282" x14ac:dyDescent="0.25">
      <c r="A2011" s="55">
        <v>2010</v>
      </c>
      <c r="B2011" s="12" t="s">
        <v>7067</v>
      </c>
      <c r="C2011" s="157">
        <v>91</v>
      </c>
      <c r="D2011" s="59" t="s">
        <v>4109</v>
      </c>
      <c r="E2011" s="93" t="s">
        <v>741</v>
      </c>
      <c r="F2011" s="93"/>
      <c r="G2011" s="58" t="s">
        <v>2074</v>
      </c>
      <c r="H2011" s="59">
        <v>2006</v>
      </c>
      <c r="I2011" s="58">
        <v>1999</v>
      </c>
      <c r="J2011" s="59" t="s">
        <v>916</v>
      </c>
      <c r="K2011" s="59" t="s">
        <v>1990</v>
      </c>
      <c r="L2011" s="59" t="s">
        <v>2737</v>
      </c>
      <c r="M2011" s="94">
        <v>32.56</v>
      </c>
      <c r="N2011" s="94">
        <v>-83.91</v>
      </c>
      <c r="O2011" s="93">
        <v>16</v>
      </c>
      <c r="P2011" s="59">
        <v>18.100000000000001</v>
      </c>
      <c r="Q2011" s="58"/>
      <c r="R2011" s="59">
        <v>1258</v>
      </c>
      <c r="S2011" s="94"/>
      <c r="T2011" s="58"/>
      <c r="U2011" s="59">
        <v>6</v>
      </c>
      <c r="V2011" s="58" t="s">
        <v>1933</v>
      </c>
      <c r="Y2011" s="58" t="s">
        <v>2059</v>
      </c>
      <c r="Z2011" s="58" t="s">
        <v>1355</v>
      </c>
      <c r="AA2011" s="94">
        <v>10</v>
      </c>
      <c r="AD2011" s="94">
        <f>AVERAGE(Sheet1!CH2011:CI2011)</f>
        <v>1.4249999999999998</v>
      </c>
      <c r="AE2011" s="93">
        <v>65</v>
      </c>
      <c r="AF2011" s="93">
        <v>25</v>
      </c>
      <c r="AG2011" s="93"/>
      <c r="AH2011" s="58" t="s">
        <v>238</v>
      </c>
      <c r="AI2011" s="169"/>
      <c r="AJ2011" s="94"/>
      <c r="AK2011" s="94"/>
      <c r="AL2011" s="58"/>
      <c r="AM2011" s="59" t="s">
        <v>1987</v>
      </c>
      <c r="AN2011" s="188" t="s">
        <v>1986</v>
      </c>
      <c r="AO2011" s="185" t="s">
        <v>5150</v>
      </c>
      <c r="AP2011" s="59"/>
      <c r="AQ2011" s="58" t="s">
        <v>1546</v>
      </c>
      <c r="AR2011" s="59" t="s">
        <v>1985</v>
      </c>
      <c r="AS2011" s="55" t="s">
        <v>5133</v>
      </c>
      <c r="AT2011" s="182"/>
      <c r="AU2011" s="181" t="s">
        <v>7494</v>
      </c>
      <c r="AV2011" s="185" t="s">
        <v>176</v>
      </c>
      <c r="AW2011" s="58"/>
      <c r="AX2011" s="185" t="s">
        <v>176</v>
      </c>
      <c r="AY2011" s="58"/>
      <c r="AZ2011" s="59" t="s">
        <v>746</v>
      </c>
      <c r="BA2011" s="59" t="s">
        <v>746</v>
      </c>
      <c r="BB2011" s="59" t="s">
        <v>2081</v>
      </c>
      <c r="BC2011" s="59" t="s">
        <v>2081</v>
      </c>
      <c r="BD2011" s="55" t="s">
        <v>176</v>
      </c>
      <c r="BE2011" s="236" t="s">
        <v>1984</v>
      </c>
      <c r="BF2011" s="58"/>
      <c r="BG2011" s="191" t="s">
        <v>479</v>
      </c>
      <c r="BH2011" s="236"/>
      <c r="BI2011" s="58"/>
      <c r="BJ2011" s="152" t="s">
        <v>1983</v>
      </c>
      <c r="BK2011" s="58" t="s">
        <v>5976</v>
      </c>
      <c r="BL2011" s="58"/>
      <c r="BM2011" s="237" t="s">
        <v>160</v>
      </c>
      <c r="BN2011" s="59">
        <v>4</v>
      </c>
      <c r="BO2011" s="59">
        <v>4</v>
      </c>
      <c r="BP2011" s="59">
        <v>4</v>
      </c>
      <c r="BQ2011" s="58" t="s">
        <v>141</v>
      </c>
      <c r="BR2011" s="58"/>
      <c r="BS2011" s="58"/>
      <c r="BT2011" s="58"/>
      <c r="BU2011" s="58"/>
      <c r="BV2011" s="58"/>
      <c r="CB2011" s="153"/>
      <c r="CC2011" s="153"/>
      <c r="CD2011" s="153"/>
      <c r="CE2011" s="67"/>
      <c r="CH2011" s="93">
        <f>CI2011+0.01</f>
        <v>1.43</v>
      </c>
      <c r="CI2011" s="93">
        <v>1.42</v>
      </c>
      <c r="CM2011" s="67">
        <v>0.6573426573426574</v>
      </c>
      <c r="CN2011" s="67">
        <v>0.66433566433566438</v>
      </c>
      <c r="CR2011" s="65">
        <v>9.4</v>
      </c>
      <c r="CS2011" s="65">
        <v>9.4335664335664351</v>
      </c>
      <c r="CT2011" s="65">
        <v>1</v>
      </c>
      <c r="CU2011" s="65">
        <v>1</v>
      </c>
      <c r="CV2011" s="65" t="s">
        <v>962</v>
      </c>
      <c r="DA2011" s="65" t="s">
        <v>4458</v>
      </c>
      <c r="GP2011" s="292" t="s">
        <v>7494</v>
      </c>
      <c r="JU2011" s="59" t="s">
        <v>2040</v>
      </c>
      <c r="JV2011" s="58"/>
    </row>
    <row r="2012" spans="1:282" x14ac:dyDescent="0.25">
      <c r="A2012" s="55">
        <v>2011</v>
      </c>
      <c r="B2012" s="12" t="s">
        <v>7067</v>
      </c>
      <c r="C2012" s="157">
        <v>91</v>
      </c>
      <c r="D2012" s="59" t="s">
        <v>4110</v>
      </c>
      <c r="E2012" s="93" t="s">
        <v>741</v>
      </c>
      <c r="F2012" s="93"/>
      <c r="G2012" s="58" t="s">
        <v>2074</v>
      </c>
      <c r="H2012" s="59">
        <v>2006</v>
      </c>
      <c r="I2012" s="58">
        <v>1999</v>
      </c>
      <c r="J2012" s="59" t="s">
        <v>916</v>
      </c>
      <c r="K2012" s="59" t="s">
        <v>1990</v>
      </c>
      <c r="L2012" s="59" t="s">
        <v>2737</v>
      </c>
      <c r="M2012" s="94">
        <v>32.56</v>
      </c>
      <c r="N2012" s="94">
        <v>-83.91</v>
      </c>
      <c r="O2012" s="93">
        <v>16</v>
      </c>
      <c r="P2012" s="59">
        <v>18.100000000000001</v>
      </c>
      <c r="Q2012" s="58"/>
      <c r="R2012" s="59">
        <v>1258</v>
      </c>
      <c r="S2012" s="94"/>
      <c r="T2012" s="58"/>
      <c r="U2012" s="59">
        <v>6</v>
      </c>
      <c r="V2012" s="58" t="s">
        <v>1933</v>
      </c>
      <c r="Y2012" s="58" t="s">
        <v>2059</v>
      </c>
      <c r="Z2012" s="58" t="s">
        <v>1375</v>
      </c>
      <c r="AA2012" s="94">
        <v>20</v>
      </c>
      <c r="AD2012" s="94">
        <f>AVERAGE(Sheet1!CH2012:CI2012)</f>
        <v>1.5550000000000002</v>
      </c>
      <c r="AE2012" s="93">
        <v>65</v>
      </c>
      <c r="AF2012" s="93">
        <v>25</v>
      </c>
      <c r="AG2012" s="93"/>
      <c r="AH2012" s="58" t="s">
        <v>238</v>
      </c>
      <c r="AI2012" s="169"/>
      <c r="AJ2012" s="94"/>
      <c r="AK2012" s="94"/>
      <c r="AL2012" s="58"/>
      <c r="AM2012" s="59" t="s">
        <v>1987</v>
      </c>
      <c r="AN2012" s="188" t="s">
        <v>1986</v>
      </c>
      <c r="AO2012" s="185" t="s">
        <v>5150</v>
      </c>
      <c r="AP2012" s="59"/>
      <c r="AQ2012" s="58" t="s">
        <v>1546</v>
      </c>
      <c r="AR2012" s="59" t="s">
        <v>1985</v>
      </c>
      <c r="AS2012" s="55" t="s">
        <v>5133</v>
      </c>
      <c r="AT2012" s="182"/>
      <c r="AU2012" s="181" t="s">
        <v>7494</v>
      </c>
      <c r="AV2012" s="185" t="s">
        <v>176</v>
      </c>
      <c r="AW2012" s="58"/>
      <c r="AX2012" s="185" t="s">
        <v>176</v>
      </c>
      <c r="AY2012" s="58"/>
      <c r="AZ2012" s="59" t="s">
        <v>746</v>
      </c>
      <c r="BA2012" s="59" t="s">
        <v>746</v>
      </c>
      <c r="BB2012" s="59" t="s">
        <v>2081</v>
      </c>
      <c r="BC2012" s="59" t="s">
        <v>2081</v>
      </c>
      <c r="BD2012" s="55" t="s">
        <v>2071</v>
      </c>
      <c r="BE2012" s="236" t="s">
        <v>1984</v>
      </c>
      <c r="BF2012" s="58"/>
      <c r="BG2012" s="191" t="s">
        <v>479</v>
      </c>
      <c r="BH2012" s="236"/>
      <c r="BI2012" s="58"/>
      <c r="BJ2012" s="152" t="s">
        <v>1983</v>
      </c>
      <c r="BK2012" s="58" t="s">
        <v>5976</v>
      </c>
      <c r="BL2012" s="58"/>
      <c r="BM2012" s="237" t="s">
        <v>160</v>
      </c>
      <c r="BN2012" s="59">
        <v>4</v>
      </c>
      <c r="BO2012" s="59">
        <v>4</v>
      </c>
      <c r="BP2012" s="59">
        <v>4</v>
      </c>
      <c r="BQ2012" s="58" t="s">
        <v>141</v>
      </c>
      <c r="BR2012" s="58"/>
      <c r="BS2012" s="58"/>
      <c r="BT2012" s="58"/>
      <c r="BU2012" s="58"/>
      <c r="BV2012" s="58"/>
      <c r="CB2012" s="153"/>
      <c r="CC2012" s="153"/>
      <c r="CD2012" s="153"/>
      <c r="CE2012" s="67"/>
      <c r="CH2012" s="93">
        <f>CI2012+0.01</f>
        <v>1.56</v>
      </c>
      <c r="CI2012" s="93">
        <v>1.55</v>
      </c>
      <c r="CM2012" s="67">
        <v>0.41987179487179482</v>
      </c>
      <c r="CN2012" s="67">
        <v>0.4679487179487179</v>
      </c>
      <c r="CR2012" s="65">
        <v>13.099999999999998</v>
      </c>
      <c r="CS2012" s="65">
        <v>14.506410256410254</v>
      </c>
      <c r="CT2012" s="65">
        <v>2.2999999999999998</v>
      </c>
      <c r="CU2012" s="65">
        <v>2.2999999999999998</v>
      </c>
      <c r="CV2012" s="65" t="s">
        <v>962</v>
      </c>
      <c r="DA2012" s="65" t="s">
        <v>4458</v>
      </c>
      <c r="GP2012" s="292" t="s">
        <v>7494</v>
      </c>
      <c r="JU2012" s="59" t="s">
        <v>2040</v>
      </c>
      <c r="JV2012" s="58"/>
    </row>
    <row r="2013" spans="1:282" x14ac:dyDescent="0.25">
      <c r="A2013" s="55">
        <v>2012</v>
      </c>
      <c r="B2013" s="12" t="s">
        <v>7067</v>
      </c>
      <c r="C2013" s="157">
        <v>91</v>
      </c>
      <c r="D2013" s="59" t="s">
        <v>4111</v>
      </c>
      <c r="E2013" s="93" t="s">
        <v>741</v>
      </c>
      <c r="F2013" s="93"/>
      <c r="G2013" s="58" t="s">
        <v>2074</v>
      </c>
      <c r="H2013" s="59">
        <v>2006</v>
      </c>
      <c r="I2013" s="58">
        <v>1999</v>
      </c>
      <c r="J2013" s="59" t="s">
        <v>916</v>
      </c>
      <c r="K2013" s="59" t="s">
        <v>1990</v>
      </c>
      <c r="L2013" s="59" t="s">
        <v>2737</v>
      </c>
      <c r="M2013" s="94">
        <v>32.56</v>
      </c>
      <c r="N2013" s="94">
        <v>-83.91</v>
      </c>
      <c r="O2013" s="93">
        <v>16</v>
      </c>
      <c r="P2013" s="59">
        <v>18.100000000000001</v>
      </c>
      <c r="Q2013" s="58"/>
      <c r="R2013" s="59">
        <v>1258</v>
      </c>
      <c r="S2013" s="94"/>
      <c r="T2013" s="58"/>
      <c r="U2013" s="59">
        <v>6</v>
      </c>
      <c r="V2013" s="58" t="s">
        <v>1933</v>
      </c>
      <c r="Y2013" s="58" t="s">
        <v>2059</v>
      </c>
      <c r="Z2013" s="58" t="s">
        <v>1369</v>
      </c>
      <c r="AA2013" s="94">
        <v>30</v>
      </c>
      <c r="AD2013" s="94">
        <f>AVERAGE(Sheet1!CH2013:CI2013)</f>
        <v>1.3919999999999999</v>
      </c>
      <c r="AE2013" s="93">
        <v>65</v>
      </c>
      <c r="AF2013" s="93">
        <v>25</v>
      </c>
      <c r="AG2013" s="93"/>
      <c r="AH2013" s="58" t="s">
        <v>238</v>
      </c>
      <c r="AI2013" s="169"/>
      <c r="AJ2013" s="94"/>
      <c r="AK2013" s="94"/>
      <c r="AL2013" s="58"/>
      <c r="AM2013" s="59" t="s">
        <v>1987</v>
      </c>
      <c r="AN2013" s="188" t="s">
        <v>1986</v>
      </c>
      <c r="AO2013" s="185" t="s">
        <v>5150</v>
      </c>
      <c r="AP2013" s="59"/>
      <c r="AQ2013" s="58" t="s">
        <v>1546</v>
      </c>
      <c r="AR2013" s="59" t="s">
        <v>1985</v>
      </c>
      <c r="AS2013" s="55" t="s">
        <v>5133</v>
      </c>
      <c r="AT2013" s="182"/>
      <c r="AU2013" s="181" t="s">
        <v>7494</v>
      </c>
      <c r="AV2013" s="185" t="s">
        <v>176</v>
      </c>
      <c r="AW2013" s="58"/>
      <c r="AX2013" s="185" t="s">
        <v>176</v>
      </c>
      <c r="AY2013" s="58"/>
      <c r="AZ2013" s="59" t="s">
        <v>746</v>
      </c>
      <c r="BA2013" s="59" t="s">
        <v>746</v>
      </c>
      <c r="BB2013" s="59" t="s">
        <v>2081</v>
      </c>
      <c r="BC2013" s="59" t="s">
        <v>2081</v>
      </c>
      <c r="BD2013" s="55" t="s">
        <v>176</v>
      </c>
      <c r="BE2013" s="236" t="s">
        <v>1984</v>
      </c>
      <c r="BF2013" s="58"/>
      <c r="BG2013" s="191" t="s">
        <v>479</v>
      </c>
      <c r="BH2013" s="236"/>
      <c r="BI2013" s="58"/>
      <c r="BJ2013" s="152" t="s">
        <v>1983</v>
      </c>
      <c r="BK2013" s="58" t="s">
        <v>5976</v>
      </c>
      <c r="BL2013" s="58"/>
      <c r="BM2013" s="237" t="s">
        <v>160</v>
      </c>
      <c r="BN2013" s="59">
        <v>4</v>
      </c>
      <c r="BO2013" s="59">
        <v>4</v>
      </c>
      <c r="BP2013" s="59">
        <v>4</v>
      </c>
      <c r="BQ2013" s="58" t="s">
        <v>141</v>
      </c>
      <c r="BR2013" s="58"/>
      <c r="BS2013" s="58"/>
      <c r="BT2013" s="58"/>
      <c r="BU2013" s="58"/>
      <c r="BV2013" s="58"/>
      <c r="CB2013" s="153"/>
      <c r="CC2013" s="153"/>
      <c r="CD2013" s="153"/>
      <c r="CE2013" s="67"/>
      <c r="CH2013" s="93">
        <f>CI2013+0.01</f>
        <v>1.397</v>
      </c>
      <c r="CI2013" s="93">
        <v>1.387</v>
      </c>
      <c r="CM2013" s="67">
        <v>0.22429014554998808</v>
      </c>
      <c r="CN2013" s="67">
        <v>0.26246719160104987</v>
      </c>
      <c r="CR2013" s="65">
        <v>9.4</v>
      </c>
      <c r="CS2013" s="65">
        <v>10.921259842519683</v>
      </c>
      <c r="CT2013" s="65">
        <v>3.4</v>
      </c>
      <c r="CU2013" s="65">
        <v>3.4</v>
      </c>
      <c r="CV2013" s="65" t="s">
        <v>962</v>
      </c>
      <c r="DA2013" s="65" t="s">
        <v>4458</v>
      </c>
      <c r="GP2013" s="292" t="s">
        <v>7494</v>
      </c>
      <c r="JU2013" s="59" t="s">
        <v>2040</v>
      </c>
      <c r="JV2013" s="58"/>
    </row>
    <row r="2014" spans="1:282" x14ac:dyDescent="0.25">
      <c r="A2014" s="55">
        <v>2013</v>
      </c>
      <c r="B2014" s="12" t="s">
        <v>7067</v>
      </c>
      <c r="C2014" s="157">
        <v>91</v>
      </c>
      <c r="D2014" s="59" t="s">
        <v>4112</v>
      </c>
      <c r="E2014" s="93" t="s">
        <v>741</v>
      </c>
      <c r="F2014" s="93"/>
      <c r="G2014" s="58" t="s">
        <v>2074</v>
      </c>
      <c r="H2014" s="59">
        <v>2006</v>
      </c>
      <c r="I2014" s="58">
        <v>1999</v>
      </c>
      <c r="J2014" s="59" t="s">
        <v>916</v>
      </c>
      <c r="K2014" s="59" t="s">
        <v>1990</v>
      </c>
      <c r="L2014" s="59" t="s">
        <v>2737</v>
      </c>
      <c r="M2014" s="94">
        <v>32.56</v>
      </c>
      <c r="N2014" s="94">
        <v>-83.91</v>
      </c>
      <c r="O2014" s="93">
        <v>16</v>
      </c>
      <c r="P2014" s="59">
        <v>18.100000000000001</v>
      </c>
      <c r="Q2014" s="58"/>
      <c r="R2014" s="59">
        <v>1258</v>
      </c>
      <c r="S2014" s="94"/>
      <c r="T2014" s="58"/>
      <c r="U2014" s="59">
        <v>6</v>
      </c>
      <c r="V2014" s="58" t="s">
        <v>1933</v>
      </c>
      <c r="Y2014" s="58" t="s">
        <v>2059</v>
      </c>
      <c r="Z2014" s="58" t="s">
        <v>1370</v>
      </c>
      <c r="AA2014" s="94">
        <v>30</v>
      </c>
      <c r="AD2014" s="94">
        <f>AVERAGE(Sheet1!CH2014:CI2014)</f>
        <v>1.5939999999999999</v>
      </c>
      <c r="AE2014" s="93">
        <v>65</v>
      </c>
      <c r="AF2014" s="93">
        <v>25</v>
      </c>
      <c r="AG2014" s="93"/>
      <c r="AH2014" s="58" t="s">
        <v>238</v>
      </c>
      <c r="AI2014" s="169"/>
      <c r="AJ2014" s="94"/>
      <c r="AK2014" s="94"/>
      <c r="AL2014" s="58"/>
      <c r="AM2014" s="59" t="s">
        <v>1987</v>
      </c>
      <c r="AN2014" s="188" t="s">
        <v>1986</v>
      </c>
      <c r="AO2014" s="185" t="s">
        <v>5150</v>
      </c>
      <c r="AP2014" s="59"/>
      <c r="AQ2014" s="58" t="s">
        <v>1546</v>
      </c>
      <c r="AR2014" s="59" t="s">
        <v>1985</v>
      </c>
      <c r="AS2014" s="55" t="s">
        <v>5133</v>
      </c>
      <c r="AT2014" s="182"/>
      <c r="AU2014" s="181" t="s">
        <v>7494</v>
      </c>
      <c r="AV2014" s="185" t="s">
        <v>176</v>
      </c>
      <c r="AW2014" s="58"/>
      <c r="AX2014" s="185" t="s">
        <v>176</v>
      </c>
      <c r="AY2014" s="58"/>
      <c r="AZ2014" s="59" t="s">
        <v>746</v>
      </c>
      <c r="BA2014" s="59" t="s">
        <v>746</v>
      </c>
      <c r="BB2014" s="59" t="s">
        <v>2081</v>
      </c>
      <c r="BC2014" s="59" t="s">
        <v>2081</v>
      </c>
      <c r="BD2014" s="55" t="s">
        <v>2071</v>
      </c>
      <c r="BE2014" s="236" t="s">
        <v>1984</v>
      </c>
      <c r="BF2014" s="58"/>
      <c r="BG2014" s="191" t="s">
        <v>479</v>
      </c>
      <c r="BH2014" s="236"/>
      <c r="BI2014" s="58"/>
      <c r="BJ2014" s="152" t="s">
        <v>1983</v>
      </c>
      <c r="BK2014" s="58" t="s">
        <v>5976</v>
      </c>
      <c r="BL2014" s="58"/>
      <c r="BM2014" s="237" t="s">
        <v>160</v>
      </c>
      <c r="BN2014" s="59">
        <v>4</v>
      </c>
      <c r="BO2014" s="59">
        <v>4</v>
      </c>
      <c r="BP2014" s="59">
        <v>4</v>
      </c>
      <c r="BQ2014" s="58" t="s">
        <v>141</v>
      </c>
      <c r="BR2014" s="58"/>
      <c r="BS2014" s="58"/>
      <c r="BT2014" s="58"/>
      <c r="BU2014" s="58"/>
      <c r="BV2014" s="58"/>
      <c r="CB2014" s="153"/>
      <c r="CC2014" s="153"/>
      <c r="CD2014" s="153"/>
      <c r="CE2014" s="67"/>
      <c r="CH2014" s="93">
        <f>CI2014+0.01</f>
        <v>1.599</v>
      </c>
      <c r="CI2014" s="93">
        <v>1.589</v>
      </c>
      <c r="CM2014" s="67">
        <v>0.16468626224723787</v>
      </c>
      <c r="CN2014" s="67">
        <v>0.16260162601626016</v>
      </c>
      <c r="CR2014" s="65">
        <v>7.9</v>
      </c>
      <c r="CS2014" s="65">
        <v>7.7512195121951217</v>
      </c>
      <c r="CT2014" s="65">
        <v>3.4</v>
      </c>
      <c r="CU2014" s="65">
        <v>3.4</v>
      </c>
      <c r="CV2014" s="65" t="s">
        <v>962</v>
      </c>
      <c r="DA2014" s="65" t="s">
        <v>4458</v>
      </c>
      <c r="GP2014" s="292" t="s">
        <v>7494</v>
      </c>
      <c r="JU2014" s="59" t="s">
        <v>2040</v>
      </c>
      <c r="JV2014" s="58"/>
    </row>
    <row r="2015" spans="1:282" x14ac:dyDescent="0.25">
      <c r="A2015" s="55">
        <v>2014</v>
      </c>
      <c r="B2015" s="12" t="s">
        <v>7067</v>
      </c>
      <c r="C2015" s="157">
        <v>91</v>
      </c>
      <c r="D2015" s="59" t="s">
        <v>4113</v>
      </c>
      <c r="E2015" s="93" t="s">
        <v>741</v>
      </c>
      <c r="F2015" s="93"/>
      <c r="G2015" s="58" t="s">
        <v>2074</v>
      </c>
      <c r="H2015" s="59">
        <v>2006</v>
      </c>
      <c r="I2015" s="58">
        <v>1999</v>
      </c>
      <c r="J2015" s="59" t="s">
        <v>916</v>
      </c>
      <c r="K2015" s="59" t="s">
        <v>1990</v>
      </c>
      <c r="L2015" s="59" t="s">
        <v>2737</v>
      </c>
      <c r="M2015" s="94">
        <v>32.56</v>
      </c>
      <c r="N2015" s="94">
        <v>-83.91</v>
      </c>
      <c r="O2015" s="93">
        <v>16</v>
      </c>
      <c r="P2015" s="59">
        <v>18.100000000000001</v>
      </c>
      <c r="Q2015" s="58"/>
      <c r="R2015" s="59">
        <v>1258</v>
      </c>
      <c r="S2015" s="94"/>
      <c r="T2015" s="58"/>
      <c r="U2015" s="59">
        <v>6</v>
      </c>
      <c r="V2015" s="58" t="s">
        <v>1933</v>
      </c>
      <c r="Y2015" s="58" t="s">
        <v>2059</v>
      </c>
      <c r="Z2015" s="58" t="s">
        <v>1382</v>
      </c>
      <c r="AA2015" s="94">
        <v>30</v>
      </c>
      <c r="AD2015" s="94">
        <f>AVERAGE(Sheet1!CH2015:CI2015)</f>
        <v>1.617</v>
      </c>
      <c r="AE2015" s="93">
        <v>65</v>
      </c>
      <c r="AF2015" s="93">
        <v>25</v>
      </c>
      <c r="AG2015" s="93"/>
      <c r="AH2015" s="58" t="s">
        <v>238</v>
      </c>
      <c r="AI2015" s="169"/>
      <c r="AJ2015" s="94"/>
      <c r="AK2015" s="94"/>
      <c r="AL2015" s="58"/>
      <c r="AM2015" s="59" t="s">
        <v>1987</v>
      </c>
      <c r="AN2015" s="188" t="s">
        <v>1986</v>
      </c>
      <c r="AO2015" s="185" t="s">
        <v>5150</v>
      </c>
      <c r="AP2015" s="59"/>
      <c r="AQ2015" s="58" t="s">
        <v>1546</v>
      </c>
      <c r="AR2015" s="59" t="s">
        <v>1985</v>
      </c>
      <c r="AS2015" s="55" t="s">
        <v>5133</v>
      </c>
      <c r="AT2015" s="182"/>
      <c r="AU2015" s="181" t="s">
        <v>7494</v>
      </c>
      <c r="AV2015" s="185" t="s">
        <v>176</v>
      </c>
      <c r="AW2015" s="58"/>
      <c r="AX2015" s="185" t="s">
        <v>176</v>
      </c>
      <c r="AY2015" s="58"/>
      <c r="AZ2015" s="59" t="s">
        <v>746</v>
      </c>
      <c r="BA2015" s="59" t="s">
        <v>746</v>
      </c>
      <c r="BB2015" s="59" t="s">
        <v>2081</v>
      </c>
      <c r="BC2015" s="59" t="s">
        <v>2081</v>
      </c>
      <c r="BD2015" s="55" t="s">
        <v>176</v>
      </c>
      <c r="BE2015" s="236" t="s">
        <v>1984</v>
      </c>
      <c r="BF2015" s="58"/>
      <c r="BG2015" s="191" t="s">
        <v>479</v>
      </c>
      <c r="BH2015" s="236"/>
      <c r="BI2015" s="58"/>
      <c r="BJ2015" s="152" t="s">
        <v>1983</v>
      </c>
      <c r="BK2015" s="58" t="s">
        <v>5976</v>
      </c>
      <c r="BL2015" s="58"/>
      <c r="BM2015" s="237" t="s">
        <v>160</v>
      </c>
      <c r="BN2015" s="59">
        <v>4</v>
      </c>
      <c r="BO2015" s="59">
        <v>4</v>
      </c>
      <c r="BP2015" s="59">
        <v>4</v>
      </c>
      <c r="BQ2015" s="58" t="s">
        <v>141</v>
      </c>
      <c r="BR2015" s="58"/>
      <c r="BS2015" s="58"/>
      <c r="BT2015" s="58"/>
      <c r="BU2015" s="58"/>
      <c r="BV2015" s="58"/>
      <c r="CB2015" s="153"/>
      <c r="CC2015" s="153"/>
      <c r="CD2015" s="153"/>
      <c r="CE2015" s="67"/>
      <c r="CH2015" s="93">
        <f>CI2015+0.01</f>
        <v>1.6220000000000001</v>
      </c>
      <c r="CI2015" s="93">
        <v>1.6120000000000001</v>
      </c>
      <c r="CM2015" s="67">
        <v>0.12741471434443072</v>
      </c>
      <c r="CN2015" s="67">
        <v>0.12330456226880393</v>
      </c>
      <c r="CR2015" s="65">
        <v>6.1999999999999993</v>
      </c>
      <c r="CS2015" s="65">
        <v>5.9630086313193589</v>
      </c>
      <c r="CT2015" s="65">
        <v>2.2000000000000002</v>
      </c>
      <c r="CU2015" s="65">
        <v>2.2000000000000002</v>
      </c>
      <c r="CV2015" s="65" t="s">
        <v>962</v>
      </c>
      <c r="DA2015" s="65" t="s">
        <v>4458</v>
      </c>
      <c r="GP2015" s="292" t="s">
        <v>7494</v>
      </c>
      <c r="JU2015" s="59" t="s">
        <v>2040</v>
      </c>
      <c r="JV2015" s="58"/>
    </row>
    <row r="2016" spans="1:282" x14ac:dyDescent="0.25">
      <c r="A2016" s="55">
        <v>2015</v>
      </c>
      <c r="B2016" s="12" t="s">
        <v>7067</v>
      </c>
      <c r="C2016" s="157">
        <v>92</v>
      </c>
      <c r="D2016" s="59" t="s">
        <v>4069</v>
      </c>
      <c r="E2016" s="94" t="s">
        <v>741</v>
      </c>
      <c r="F2016" s="94"/>
      <c r="G2016" s="58" t="s">
        <v>2074</v>
      </c>
      <c r="H2016" s="58">
        <v>2003</v>
      </c>
      <c r="I2016" s="58">
        <v>1994</v>
      </c>
      <c r="J2016" s="58" t="s">
        <v>2003</v>
      </c>
      <c r="K2016" s="58" t="s">
        <v>2002</v>
      </c>
      <c r="L2016" s="58" t="s">
        <v>2737</v>
      </c>
      <c r="M2016" s="94">
        <v>32.56</v>
      </c>
      <c r="N2016" s="94">
        <v>-83.9</v>
      </c>
      <c r="O2016" s="94">
        <v>16</v>
      </c>
      <c r="P2016" s="58">
        <v>18.100000000000001</v>
      </c>
      <c r="Q2016" s="58"/>
      <c r="R2016" s="58">
        <v>1258</v>
      </c>
      <c r="S2016" s="94"/>
      <c r="T2016" s="58"/>
      <c r="U2016" s="58">
        <v>1</v>
      </c>
      <c r="V2016" s="58" t="s">
        <v>1694</v>
      </c>
      <c r="Y2016" s="58" t="s">
        <v>2069</v>
      </c>
      <c r="Z2016" s="58" t="s">
        <v>1356</v>
      </c>
      <c r="AA2016" s="94">
        <v>30</v>
      </c>
      <c r="AD2016" s="94">
        <v>1.5152619999999999</v>
      </c>
      <c r="AE2016" s="94">
        <v>65</v>
      </c>
      <c r="AF2016" s="94">
        <v>20</v>
      </c>
      <c r="AG2016" s="94"/>
      <c r="AH2016" s="58" t="s">
        <v>238</v>
      </c>
      <c r="AI2016" s="169"/>
      <c r="AJ2016" s="94"/>
      <c r="AK2016" s="94"/>
      <c r="AL2016" s="58"/>
      <c r="AM2016" s="58" t="s">
        <v>2001</v>
      </c>
      <c r="AN2016" s="186" t="s">
        <v>1713</v>
      </c>
      <c r="AO2016" s="185" t="s">
        <v>5150</v>
      </c>
      <c r="AP2016" s="58"/>
      <c r="AQ2016" s="58" t="s">
        <v>131</v>
      </c>
      <c r="AR2016" s="58" t="s">
        <v>1999</v>
      </c>
      <c r="AS2016" s="58" t="s">
        <v>227</v>
      </c>
      <c r="AT2016" s="182"/>
      <c r="AU2016" s="181" t="s">
        <v>7494</v>
      </c>
      <c r="AV2016" s="185" t="s">
        <v>176</v>
      </c>
      <c r="AW2016" s="58"/>
      <c r="AX2016" s="185" t="s">
        <v>176</v>
      </c>
      <c r="AY2016" s="58"/>
      <c r="AZ2016" s="58" t="s">
        <v>1976</v>
      </c>
      <c r="BA2016" s="58" t="s">
        <v>1976</v>
      </c>
      <c r="BB2016" s="58" t="s">
        <v>2081</v>
      </c>
      <c r="BC2016" s="58" t="s">
        <v>2081</v>
      </c>
      <c r="BD2016" s="55" t="s">
        <v>176</v>
      </c>
      <c r="BE2016" s="236" t="s">
        <v>1998</v>
      </c>
      <c r="BF2016" s="58"/>
      <c r="BG2016" s="191" t="s">
        <v>479</v>
      </c>
      <c r="BH2016" s="236"/>
      <c r="BI2016" s="58"/>
      <c r="BK2016" s="58" t="s">
        <v>5976</v>
      </c>
      <c r="BL2016" s="58"/>
      <c r="BM2016" s="237" t="s">
        <v>119</v>
      </c>
      <c r="BN2016" s="58">
        <v>4</v>
      </c>
      <c r="BO2016" s="58">
        <v>4</v>
      </c>
      <c r="BP2016" s="58">
        <v>4</v>
      </c>
      <c r="BQ2016" s="58" t="s">
        <v>141</v>
      </c>
      <c r="BR2016" s="58"/>
      <c r="BS2016" s="58"/>
      <c r="BT2016" s="58"/>
      <c r="BU2016" s="58"/>
      <c r="BV2016" s="58" t="s">
        <v>2066</v>
      </c>
      <c r="CB2016" s="68"/>
      <c r="CC2016" s="68"/>
      <c r="CD2016" s="68"/>
      <c r="CE2016" s="67"/>
      <c r="CH2016" s="94"/>
      <c r="CI2016" s="94"/>
      <c r="CM2016" s="65">
        <f>(CR2016*1000000)/(100*100*AD2016*AA2016/100*1000000)*100</f>
        <v>0.39817096537320501</v>
      </c>
      <c r="CN2016" s="65">
        <f>(CS2016*1000000)/(100*100*AD2016*AA2016/100*1000000)*100</f>
        <v>0.39817096537320501</v>
      </c>
      <c r="CR2016" s="67">
        <v>18.100000000000001</v>
      </c>
      <c r="CS2016" s="67">
        <v>18.100000000000001</v>
      </c>
      <c r="CV2016" s="65" t="s">
        <v>2070</v>
      </c>
      <c r="DA2016" s="65" t="s">
        <v>4463</v>
      </c>
      <c r="DB2016" s="65">
        <v>1.39</v>
      </c>
      <c r="DC2016" s="65">
        <v>1.39</v>
      </c>
      <c r="DF2016" s="65" t="s">
        <v>2053</v>
      </c>
      <c r="GP2016" s="292" t="s">
        <v>7494</v>
      </c>
      <c r="JU2016" s="58" t="s">
        <v>2041</v>
      </c>
      <c r="JV2016" s="58" t="s">
        <v>2055</v>
      </c>
    </row>
    <row r="2017" spans="1:282" x14ac:dyDescent="0.25">
      <c r="A2017" s="55">
        <v>2016</v>
      </c>
      <c r="B2017" s="12" t="s">
        <v>7067</v>
      </c>
      <c r="C2017" s="157">
        <v>92</v>
      </c>
      <c r="D2017" s="59" t="s">
        <v>4084</v>
      </c>
      <c r="E2017" s="94" t="s">
        <v>741</v>
      </c>
      <c r="F2017" s="94"/>
      <c r="G2017" s="58" t="s">
        <v>2074</v>
      </c>
      <c r="H2017" s="58">
        <v>2003</v>
      </c>
      <c r="I2017" s="58">
        <v>1994</v>
      </c>
      <c r="J2017" s="58" t="s">
        <v>2003</v>
      </c>
      <c r="K2017" s="58" t="s">
        <v>2002</v>
      </c>
      <c r="L2017" s="58" t="s">
        <v>2737</v>
      </c>
      <c r="M2017" s="94">
        <v>32.56</v>
      </c>
      <c r="N2017" s="94">
        <v>-83.9</v>
      </c>
      <c r="O2017" s="94">
        <v>16</v>
      </c>
      <c r="P2017" s="58">
        <v>18.100000000000001</v>
      </c>
      <c r="Q2017" s="58"/>
      <c r="R2017" s="58">
        <v>1258</v>
      </c>
      <c r="S2017" s="94"/>
      <c r="T2017" s="58"/>
      <c r="U2017" s="58">
        <v>1</v>
      </c>
      <c r="V2017" s="58" t="s">
        <v>1694</v>
      </c>
      <c r="Y2017" s="58" t="s">
        <v>2069</v>
      </c>
      <c r="Z2017" s="58" t="s">
        <v>1356</v>
      </c>
      <c r="AA2017" s="94">
        <v>30</v>
      </c>
      <c r="AD2017" s="94">
        <v>1.517611</v>
      </c>
      <c r="AE2017" s="94">
        <v>65</v>
      </c>
      <c r="AF2017" s="94">
        <v>20</v>
      </c>
      <c r="AG2017" s="94"/>
      <c r="AH2017" s="58" t="s">
        <v>238</v>
      </c>
      <c r="AI2017" s="169"/>
      <c r="AJ2017" s="94"/>
      <c r="AK2017" s="94"/>
      <c r="AL2017" s="58"/>
      <c r="AM2017" s="58" t="s">
        <v>2001</v>
      </c>
      <c r="AN2017" s="186" t="s">
        <v>1991</v>
      </c>
      <c r="AO2017" s="185" t="s">
        <v>5150</v>
      </c>
      <c r="AP2017" s="58"/>
      <c r="AQ2017" s="58" t="s">
        <v>553</v>
      </c>
      <c r="AR2017" s="58" t="s">
        <v>1999</v>
      </c>
      <c r="AS2017" s="58" t="s">
        <v>227</v>
      </c>
      <c r="AT2017" s="182"/>
      <c r="AU2017" s="181" t="s">
        <v>7494</v>
      </c>
      <c r="AV2017" s="185" t="s">
        <v>176</v>
      </c>
      <c r="AW2017" s="58"/>
      <c r="AX2017" s="185" t="s">
        <v>176</v>
      </c>
      <c r="AY2017" s="58"/>
      <c r="AZ2017" s="58" t="s">
        <v>1976</v>
      </c>
      <c r="BA2017" s="58" t="s">
        <v>1976</v>
      </c>
      <c r="BB2017" s="58" t="s">
        <v>2081</v>
      </c>
      <c r="BC2017" s="58" t="s">
        <v>2081</v>
      </c>
      <c r="BD2017" s="55" t="s">
        <v>176</v>
      </c>
      <c r="BE2017" s="236" t="s">
        <v>1998</v>
      </c>
      <c r="BF2017" s="58"/>
      <c r="BG2017" s="191" t="s">
        <v>479</v>
      </c>
      <c r="BH2017" s="236"/>
      <c r="BI2017" s="58"/>
      <c r="BK2017" s="58" t="s">
        <v>5976</v>
      </c>
      <c r="BL2017" s="58"/>
      <c r="BM2017" s="237" t="s">
        <v>119</v>
      </c>
      <c r="BN2017" s="58">
        <v>4</v>
      </c>
      <c r="BO2017" s="58">
        <v>4</v>
      </c>
      <c r="BP2017" s="58">
        <v>4</v>
      </c>
      <c r="BQ2017" s="58" t="s">
        <v>141</v>
      </c>
      <c r="BR2017" s="58"/>
      <c r="BS2017" s="58"/>
      <c r="BT2017" s="58"/>
      <c r="BU2017" s="58"/>
      <c r="BV2017" s="58" t="s">
        <v>2066</v>
      </c>
      <c r="CB2017" s="68"/>
      <c r="CC2017" s="68"/>
      <c r="CD2017" s="68"/>
      <c r="CE2017" s="67"/>
      <c r="CH2017" s="94"/>
      <c r="CI2017" s="94"/>
      <c r="CM2017" s="65">
        <f>(CR2017*1000000)/(100*100*AD2017*AA2017/100*1000000)*100</f>
        <v>0.39755466541382029</v>
      </c>
      <c r="CN2017" s="65">
        <f>(CS2017*1000000)/(100*100*AD2017*AA2017/100*1000000)*100</f>
        <v>0.39755466541382029</v>
      </c>
      <c r="CR2017" s="67">
        <v>18.100000000000001</v>
      </c>
      <c r="CS2017" s="67">
        <v>18.100000000000001</v>
      </c>
      <c r="CV2017" s="65" t="s">
        <v>2070</v>
      </c>
      <c r="DA2017" s="65" t="s">
        <v>4463</v>
      </c>
      <c r="DB2017" s="65">
        <v>1.39</v>
      </c>
      <c r="DC2017" s="65">
        <v>1.39</v>
      </c>
      <c r="DF2017" s="65" t="s">
        <v>2053</v>
      </c>
      <c r="GP2017" s="292" t="s">
        <v>7494</v>
      </c>
      <c r="JU2017" s="58" t="s">
        <v>2041</v>
      </c>
      <c r="JV2017" s="58" t="s">
        <v>2055</v>
      </c>
    </row>
    <row r="2018" spans="1:282" x14ac:dyDescent="0.25">
      <c r="A2018" s="55">
        <v>2017</v>
      </c>
      <c r="B2018" s="12" t="s">
        <v>7067</v>
      </c>
      <c r="C2018" s="157">
        <v>92</v>
      </c>
      <c r="D2018" s="59" t="s">
        <v>4084</v>
      </c>
      <c r="E2018" s="94" t="s">
        <v>741</v>
      </c>
      <c r="F2018" s="94"/>
      <c r="G2018" s="58" t="s">
        <v>2074</v>
      </c>
      <c r="H2018" s="58">
        <v>2003</v>
      </c>
      <c r="I2018" s="58">
        <v>1994</v>
      </c>
      <c r="J2018" s="58" t="s">
        <v>2003</v>
      </c>
      <c r="K2018" s="58" t="s">
        <v>2002</v>
      </c>
      <c r="L2018" s="58" t="s">
        <v>2737</v>
      </c>
      <c r="M2018" s="94">
        <v>32.56</v>
      </c>
      <c r="N2018" s="94">
        <v>-83.9</v>
      </c>
      <c r="O2018" s="94">
        <v>16</v>
      </c>
      <c r="P2018" s="58">
        <v>18.100000000000001</v>
      </c>
      <c r="Q2018" s="58"/>
      <c r="R2018" s="58">
        <v>1258</v>
      </c>
      <c r="S2018" s="94"/>
      <c r="T2018" s="58"/>
      <c r="U2018" s="58">
        <v>1</v>
      </c>
      <c r="V2018" s="58" t="s">
        <v>1694</v>
      </c>
      <c r="Y2018" s="58" t="s">
        <v>2069</v>
      </c>
      <c r="Z2018" s="58" t="s">
        <v>1356</v>
      </c>
      <c r="AA2018" s="94">
        <v>30</v>
      </c>
      <c r="AD2018" s="94">
        <v>1.5189159999999999</v>
      </c>
      <c r="AE2018" s="94">
        <v>65</v>
      </c>
      <c r="AF2018" s="94">
        <v>20</v>
      </c>
      <c r="AG2018" s="94"/>
      <c r="AH2018" s="58" t="s">
        <v>238</v>
      </c>
      <c r="AI2018" s="169"/>
      <c r="AJ2018" s="94"/>
      <c r="AK2018" s="94"/>
      <c r="AL2018" s="58"/>
      <c r="AM2018" s="58" t="s">
        <v>2001</v>
      </c>
      <c r="AN2018" s="186" t="s">
        <v>2000</v>
      </c>
      <c r="AO2018" s="185" t="s">
        <v>5150</v>
      </c>
      <c r="AP2018" s="58"/>
      <c r="AQ2018" s="58" t="s">
        <v>553</v>
      </c>
      <c r="AR2018" s="58" t="s">
        <v>1999</v>
      </c>
      <c r="AS2018" s="58" t="s">
        <v>227</v>
      </c>
      <c r="AT2018" s="182"/>
      <c r="AU2018" s="181" t="s">
        <v>7494</v>
      </c>
      <c r="AV2018" s="185" t="s">
        <v>176</v>
      </c>
      <c r="AW2018" s="58"/>
      <c r="AX2018" s="185" t="s">
        <v>176</v>
      </c>
      <c r="AY2018" s="58"/>
      <c r="AZ2018" s="58" t="s">
        <v>1976</v>
      </c>
      <c r="BA2018" s="58" t="s">
        <v>1976</v>
      </c>
      <c r="BB2018" s="58" t="s">
        <v>2081</v>
      </c>
      <c r="BC2018" s="58" t="s">
        <v>2081</v>
      </c>
      <c r="BD2018" s="55" t="s">
        <v>176</v>
      </c>
      <c r="BE2018" s="236" t="s">
        <v>1998</v>
      </c>
      <c r="BF2018" s="58"/>
      <c r="BG2018" s="191" t="s">
        <v>479</v>
      </c>
      <c r="BH2018" s="236"/>
      <c r="BI2018" s="58"/>
      <c r="BK2018" s="58" t="s">
        <v>5976</v>
      </c>
      <c r="BL2018" s="58"/>
      <c r="BM2018" s="237" t="s">
        <v>119</v>
      </c>
      <c r="BN2018" s="58">
        <v>4</v>
      </c>
      <c r="BO2018" s="58">
        <v>4</v>
      </c>
      <c r="BP2018" s="58">
        <v>4</v>
      </c>
      <c r="BQ2018" s="58" t="s">
        <v>141</v>
      </c>
      <c r="BR2018" s="58"/>
      <c r="BS2018" s="58"/>
      <c r="BT2018" s="58"/>
      <c r="BU2018" s="58"/>
      <c r="BV2018" s="58" t="s">
        <v>2066</v>
      </c>
      <c r="CB2018" s="68"/>
      <c r="CC2018" s="68"/>
      <c r="CD2018" s="68"/>
      <c r="CE2018" s="67"/>
      <c r="CH2018" s="94"/>
      <c r="CI2018" s="94"/>
      <c r="CM2018" s="65">
        <f>(CR2018*1000000)/(100*100*AD2018*AA2018/100*1000000)*100</f>
        <v>0.39721310021971812</v>
      </c>
      <c r="CN2018" s="65">
        <f>(CS2018*1000000)/(100*100*AD2018*AA2018/100*1000000)*100</f>
        <v>0.39721310021971812</v>
      </c>
      <c r="CR2018" s="67">
        <v>18.100000000000001</v>
      </c>
      <c r="CS2018" s="67">
        <v>18.100000000000001</v>
      </c>
      <c r="CV2018" s="65" t="s">
        <v>2070</v>
      </c>
      <c r="DA2018" s="65" t="s">
        <v>4463</v>
      </c>
      <c r="DB2018" s="65">
        <v>1.39</v>
      </c>
      <c r="DC2018" s="65">
        <v>1.39</v>
      </c>
      <c r="DF2018" s="65" t="s">
        <v>2053</v>
      </c>
      <c r="GP2018" s="292" t="s">
        <v>7494</v>
      </c>
      <c r="JU2018" s="58" t="s">
        <v>2041</v>
      </c>
      <c r="JV2018" s="58" t="s">
        <v>2055</v>
      </c>
    </row>
    <row r="2019" spans="1:282" x14ac:dyDescent="0.25">
      <c r="A2019" s="55">
        <v>2018</v>
      </c>
      <c r="B2019" s="12" t="s">
        <v>7067</v>
      </c>
      <c r="C2019" s="157">
        <v>92</v>
      </c>
      <c r="D2019" s="59" t="s">
        <v>4069</v>
      </c>
      <c r="E2019" s="94" t="s">
        <v>741</v>
      </c>
      <c r="F2019" s="94"/>
      <c r="G2019" s="58" t="s">
        <v>2074</v>
      </c>
      <c r="H2019" s="58">
        <v>2003</v>
      </c>
      <c r="I2019" s="58">
        <v>1995</v>
      </c>
      <c r="J2019" s="58" t="s">
        <v>2003</v>
      </c>
      <c r="K2019" s="58" t="s">
        <v>2002</v>
      </c>
      <c r="L2019" s="58" t="s">
        <v>2737</v>
      </c>
      <c r="M2019" s="94">
        <v>32.56</v>
      </c>
      <c r="N2019" s="94">
        <v>-83.9</v>
      </c>
      <c r="O2019" s="94">
        <v>16</v>
      </c>
      <c r="P2019" s="58">
        <v>18.100000000000001</v>
      </c>
      <c r="Q2019" s="58"/>
      <c r="R2019" s="58">
        <v>1258</v>
      </c>
      <c r="S2019" s="94"/>
      <c r="T2019" s="58"/>
      <c r="U2019" s="58">
        <v>2</v>
      </c>
      <c r="V2019" s="58" t="s">
        <v>1694</v>
      </c>
      <c r="Y2019" s="58" t="s">
        <v>2069</v>
      </c>
      <c r="Z2019" s="58" t="s">
        <v>1356</v>
      </c>
      <c r="AA2019" s="94">
        <v>30</v>
      </c>
      <c r="AD2019" s="94">
        <v>1.5152619999999999</v>
      </c>
      <c r="AE2019" s="94">
        <v>65</v>
      </c>
      <c r="AF2019" s="94">
        <v>20</v>
      </c>
      <c r="AG2019" s="94"/>
      <c r="AH2019" s="58" t="s">
        <v>238</v>
      </c>
      <c r="AI2019" s="169"/>
      <c r="AJ2019" s="94"/>
      <c r="AK2019" s="94"/>
      <c r="AL2019" s="58"/>
      <c r="AM2019" s="58" t="s">
        <v>2001</v>
      </c>
      <c r="AN2019" s="186" t="s">
        <v>1713</v>
      </c>
      <c r="AO2019" s="185" t="s">
        <v>5150</v>
      </c>
      <c r="AP2019" s="58"/>
      <c r="AQ2019" s="58" t="s">
        <v>131</v>
      </c>
      <c r="AR2019" s="58" t="s">
        <v>1999</v>
      </c>
      <c r="AS2019" s="58" t="s">
        <v>227</v>
      </c>
      <c r="AT2019" s="182"/>
      <c r="AU2019" s="181" t="s">
        <v>7494</v>
      </c>
      <c r="AV2019" s="185" t="s">
        <v>176</v>
      </c>
      <c r="AW2019" s="58"/>
      <c r="AX2019" s="185" t="s">
        <v>176</v>
      </c>
      <c r="AY2019" s="58"/>
      <c r="AZ2019" s="58" t="s">
        <v>1976</v>
      </c>
      <c r="BA2019" s="58" t="s">
        <v>1976</v>
      </c>
      <c r="BB2019" s="58" t="s">
        <v>2081</v>
      </c>
      <c r="BC2019" s="58" t="s">
        <v>2081</v>
      </c>
      <c r="BD2019" s="55" t="s">
        <v>176</v>
      </c>
      <c r="BE2019" s="236" t="s">
        <v>1998</v>
      </c>
      <c r="BF2019" s="58"/>
      <c r="BG2019" s="191" t="s">
        <v>479</v>
      </c>
      <c r="BH2019" s="236"/>
      <c r="BI2019" s="58"/>
      <c r="BK2019" s="58" t="s">
        <v>5976</v>
      </c>
      <c r="BL2019" s="58"/>
      <c r="BM2019" s="237" t="s">
        <v>119</v>
      </c>
      <c r="BN2019" s="58">
        <v>4</v>
      </c>
      <c r="BO2019" s="58">
        <v>4</v>
      </c>
      <c r="BP2019" s="58">
        <v>4</v>
      </c>
      <c r="BQ2019" s="58" t="s">
        <v>141</v>
      </c>
      <c r="BR2019" s="58"/>
      <c r="BS2019" s="58"/>
      <c r="BT2019" s="58"/>
      <c r="BU2019" s="58"/>
      <c r="BV2019" s="58" t="s">
        <v>2066</v>
      </c>
      <c r="CB2019" s="68"/>
      <c r="CC2019" s="68"/>
      <c r="CD2019" s="68"/>
      <c r="CE2019" s="67"/>
      <c r="CH2019" s="94"/>
      <c r="CI2019" s="94"/>
      <c r="CM2019" s="65">
        <f>(CR2019*1000000)/(100*100*AD2019*AA2019/100*1000000)*100</f>
        <v>0.39157144661011317</v>
      </c>
      <c r="CN2019" s="65">
        <f>(CS2019*1000000)/(100*100*AD2019*AA2019/100*1000000)*100</f>
        <v>0.41576968207478315</v>
      </c>
      <c r="CR2019" s="67">
        <v>17.8</v>
      </c>
      <c r="CS2019" s="67">
        <v>18.899999999999999</v>
      </c>
      <c r="CV2019" s="65" t="s">
        <v>2070</v>
      </c>
      <c r="DA2019" s="65" t="s">
        <v>4463</v>
      </c>
      <c r="DB2019" s="65">
        <v>1.31</v>
      </c>
      <c r="DC2019" s="65">
        <v>1.43</v>
      </c>
      <c r="DF2019" s="65" t="s">
        <v>2053</v>
      </c>
      <c r="GP2019" s="292" t="s">
        <v>7494</v>
      </c>
      <c r="JU2019" s="58" t="s">
        <v>2041</v>
      </c>
      <c r="JV2019" s="58" t="s">
        <v>2055</v>
      </c>
    </row>
    <row r="2020" spans="1:282" x14ac:dyDescent="0.25">
      <c r="A2020" s="55">
        <v>2019</v>
      </c>
      <c r="B2020" s="12" t="s">
        <v>7067</v>
      </c>
      <c r="C2020" s="157">
        <v>92</v>
      </c>
      <c r="D2020" s="59" t="s">
        <v>4084</v>
      </c>
      <c r="E2020" s="94" t="s">
        <v>741</v>
      </c>
      <c r="F2020" s="94"/>
      <c r="G2020" s="58" t="s">
        <v>2074</v>
      </c>
      <c r="H2020" s="58">
        <v>2003</v>
      </c>
      <c r="I2020" s="58">
        <v>1995</v>
      </c>
      <c r="J2020" s="58" t="s">
        <v>2003</v>
      </c>
      <c r="K2020" s="58" t="s">
        <v>2002</v>
      </c>
      <c r="L2020" s="58" t="s">
        <v>2737</v>
      </c>
      <c r="M2020" s="94">
        <v>32.56</v>
      </c>
      <c r="N2020" s="94">
        <v>-83.9</v>
      </c>
      <c r="O2020" s="94">
        <v>16</v>
      </c>
      <c r="P2020" s="58">
        <v>18.100000000000001</v>
      </c>
      <c r="Q2020" s="58"/>
      <c r="R2020" s="58">
        <v>1258</v>
      </c>
      <c r="S2020" s="94"/>
      <c r="T2020" s="58"/>
      <c r="U2020" s="58">
        <v>2</v>
      </c>
      <c r="V2020" s="58" t="s">
        <v>1694</v>
      </c>
      <c r="Y2020" s="58" t="s">
        <v>2069</v>
      </c>
      <c r="Z2020" s="58" t="s">
        <v>1356</v>
      </c>
      <c r="AA2020" s="94">
        <v>30</v>
      </c>
      <c r="AD2020" s="94">
        <v>1.517611</v>
      </c>
      <c r="AE2020" s="94">
        <v>65</v>
      </c>
      <c r="AF2020" s="94">
        <v>20</v>
      </c>
      <c r="AG2020" s="94"/>
      <c r="AH2020" s="58" t="s">
        <v>238</v>
      </c>
      <c r="AI2020" s="169"/>
      <c r="AJ2020" s="94"/>
      <c r="AK2020" s="94"/>
      <c r="AL2020" s="58"/>
      <c r="AM2020" s="58" t="s">
        <v>2001</v>
      </c>
      <c r="AN2020" s="186" t="s">
        <v>1991</v>
      </c>
      <c r="AO2020" s="185" t="s">
        <v>5150</v>
      </c>
      <c r="AP2020" s="58"/>
      <c r="AQ2020" s="58" t="s">
        <v>553</v>
      </c>
      <c r="AR2020" s="58" t="s">
        <v>1999</v>
      </c>
      <c r="AS2020" s="58" t="s">
        <v>227</v>
      </c>
      <c r="AT2020" s="182"/>
      <c r="AU2020" s="181" t="s">
        <v>7494</v>
      </c>
      <c r="AV2020" s="185" t="s">
        <v>176</v>
      </c>
      <c r="AW2020" s="58"/>
      <c r="AX2020" s="185" t="s">
        <v>176</v>
      </c>
      <c r="AY2020" s="58"/>
      <c r="AZ2020" s="58" t="s">
        <v>1976</v>
      </c>
      <c r="BA2020" s="58" t="s">
        <v>1976</v>
      </c>
      <c r="BB2020" s="58" t="s">
        <v>2081</v>
      </c>
      <c r="BC2020" s="58" t="s">
        <v>2081</v>
      </c>
      <c r="BD2020" s="55" t="s">
        <v>176</v>
      </c>
      <c r="BE2020" s="236" t="s">
        <v>1998</v>
      </c>
      <c r="BF2020" s="58"/>
      <c r="BG2020" s="191" t="s">
        <v>479</v>
      </c>
      <c r="BH2020" s="236"/>
      <c r="BI2020" s="58"/>
      <c r="BK2020" s="58" t="s">
        <v>5976</v>
      </c>
      <c r="BL2020" s="58"/>
      <c r="BM2020" s="237" t="s">
        <v>119</v>
      </c>
      <c r="BN2020" s="58">
        <v>4</v>
      </c>
      <c r="BO2020" s="58">
        <v>4</v>
      </c>
      <c r="BP2020" s="58">
        <v>4</v>
      </c>
      <c r="BQ2020" s="58" t="s">
        <v>141</v>
      </c>
      <c r="BR2020" s="58"/>
      <c r="BS2020" s="58"/>
      <c r="BT2020" s="58"/>
      <c r="BU2020" s="58"/>
      <c r="BV2020" s="58" t="s">
        <v>2066</v>
      </c>
      <c r="CB2020" s="68"/>
      <c r="CC2020" s="68"/>
      <c r="CD2020" s="68"/>
      <c r="CE2020" s="67"/>
      <c r="CH2020" s="94"/>
      <c r="CI2020" s="94"/>
      <c r="CM2020" s="65">
        <f>(CR2020*1000000)/(100*100*AD2020*AA2020/100*1000000)*100</f>
        <v>0.39096536156718231</v>
      </c>
      <c r="CN2020" s="65">
        <f>(CS2020*1000000)/(100*100*AD2020*AA2020/100*1000000)*100</f>
        <v>0.41073327310709606</v>
      </c>
      <c r="CR2020" s="67">
        <v>17.8</v>
      </c>
      <c r="CS2020" s="67">
        <v>18.7</v>
      </c>
      <c r="CV2020" s="65" t="s">
        <v>2070</v>
      </c>
      <c r="DA2020" s="65" t="s">
        <v>4463</v>
      </c>
      <c r="DB2020" s="65">
        <v>1.31</v>
      </c>
      <c r="DC2020" s="65">
        <v>1.41</v>
      </c>
      <c r="DF2020" s="65" t="s">
        <v>2053</v>
      </c>
      <c r="GP2020" s="292" t="s">
        <v>7494</v>
      </c>
      <c r="JU2020" s="58" t="s">
        <v>2041</v>
      </c>
      <c r="JV2020" s="58" t="s">
        <v>2055</v>
      </c>
    </row>
    <row r="2021" spans="1:282" x14ac:dyDescent="0.25">
      <c r="A2021" s="55">
        <v>2020</v>
      </c>
      <c r="B2021" s="12" t="s">
        <v>7067</v>
      </c>
      <c r="C2021" s="157">
        <v>92</v>
      </c>
      <c r="D2021" s="59" t="s">
        <v>4084</v>
      </c>
      <c r="E2021" s="94" t="s">
        <v>741</v>
      </c>
      <c r="F2021" s="94"/>
      <c r="G2021" s="58" t="s">
        <v>2074</v>
      </c>
      <c r="H2021" s="58">
        <v>2003</v>
      </c>
      <c r="I2021" s="58">
        <v>1995</v>
      </c>
      <c r="J2021" s="58" t="s">
        <v>2003</v>
      </c>
      <c r="K2021" s="58" t="s">
        <v>2002</v>
      </c>
      <c r="L2021" s="58" t="s">
        <v>2737</v>
      </c>
      <c r="M2021" s="94">
        <v>32.56</v>
      </c>
      <c r="N2021" s="94">
        <v>-83.9</v>
      </c>
      <c r="O2021" s="94">
        <v>16</v>
      </c>
      <c r="P2021" s="58">
        <v>18.100000000000001</v>
      </c>
      <c r="Q2021" s="58"/>
      <c r="R2021" s="58">
        <v>1258</v>
      </c>
      <c r="S2021" s="94"/>
      <c r="T2021" s="58"/>
      <c r="U2021" s="58">
        <v>2</v>
      </c>
      <c r="V2021" s="58" t="s">
        <v>1694</v>
      </c>
      <c r="Y2021" s="58" t="s">
        <v>2069</v>
      </c>
      <c r="Z2021" s="58" t="s">
        <v>1356</v>
      </c>
      <c r="AA2021" s="94">
        <v>30</v>
      </c>
      <c r="AD2021" s="94">
        <v>1.5189159999999999</v>
      </c>
      <c r="AE2021" s="94">
        <v>65</v>
      </c>
      <c r="AF2021" s="94">
        <v>20</v>
      </c>
      <c r="AG2021" s="94"/>
      <c r="AH2021" s="58" t="s">
        <v>238</v>
      </c>
      <c r="AI2021" s="169"/>
      <c r="AJ2021" s="94"/>
      <c r="AK2021" s="94"/>
      <c r="AL2021" s="58"/>
      <c r="AM2021" s="58" t="s">
        <v>2001</v>
      </c>
      <c r="AN2021" s="186" t="s">
        <v>2000</v>
      </c>
      <c r="AO2021" s="185" t="s">
        <v>5150</v>
      </c>
      <c r="AP2021" s="58"/>
      <c r="AQ2021" s="58" t="s">
        <v>553</v>
      </c>
      <c r="AR2021" s="58" t="s">
        <v>1999</v>
      </c>
      <c r="AS2021" s="58" t="s">
        <v>227</v>
      </c>
      <c r="AT2021" s="182"/>
      <c r="AU2021" s="181" t="s">
        <v>7494</v>
      </c>
      <c r="AV2021" s="185" t="s">
        <v>176</v>
      </c>
      <c r="AW2021" s="58"/>
      <c r="AX2021" s="185" t="s">
        <v>176</v>
      </c>
      <c r="AY2021" s="58"/>
      <c r="AZ2021" s="58" t="s">
        <v>1976</v>
      </c>
      <c r="BA2021" s="58" t="s">
        <v>1976</v>
      </c>
      <c r="BB2021" s="58" t="s">
        <v>2081</v>
      </c>
      <c r="BC2021" s="58" t="s">
        <v>2081</v>
      </c>
      <c r="BD2021" s="55" t="s">
        <v>176</v>
      </c>
      <c r="BE2021" s="236" t="s">
        <v>1998</v>
      </c>
      <c r="BF2021" s="58"/>
      <c r="BG2021" s="191" t="s">
        <v>479</v>
      </c>
      <c r="BH2021" s="236"/>
      <c r="BI2021" s="58"/>
      <c r="BK2021" s="58" t="s">
        <v>5976</v>
      </c>
      <c r="BL2021" s="58"/>
      <c r="BM2021" s="237" t="s">
        <v>119</v>
      </c>
      <c r="BN2021" s="58">
        <v>4</v>
      </c>
      <c r="BO2021" s="58">
        <v>4</v>
      </c>
      <c r="BP2021" s="58">
        <v>4</v>
      </c>
      <c r="BQ2021" s="58" t="s">
        <v>141</v>
      </c>
      <c r="BR2021" s="58"/>
      <c r="BS2021" s="58"/>
      <c r="BT2021" s="58"/>
      <c r="BU2021" s="58"/>
      <c r="BV2021" s="58" t="s">
        <v>2066</v>
      </c>
      <c r="CB2021" s="68"/>
      <c r="CC2021" s="68"/>
      <c r="CD2021" s="68"/>
      <c r="CE2021" s="67"/>
      <c r="CH2021" s="94"/>
      <c r="CI2021" s="94"/>
      <c r="CM2021" s="65">
        <f>(CR2021*1000000)/(100*100*AD2021*AA2021/100*1000000)*100</f>
        <v>0.39062945767463991</v>
      </c>
      <c r="CN2021" s="65">
        <f>(CS2021*1000000)/(100*100*AD2021*AA2021/100*1000000)*100</f>
        <v>0.39062945767463991</v>
      </c>
      <c r="CR2021" s="67">
        <v>17.8</v>
      </c>
      <c r="CS2021" s="67">
        <v>17.8</v>
      </c>
      <c r="CV2021" s="65" t="s">
        <v>2070</v>
      </c>
      <c r="DA2021" s="65" t="s">
        <v>4463</v>
      </c>
      <c r="DB2021" s="65">
        <v>1.31</v>
      </c>
      <c r="DC2021" s="65">
        <v>1.36</v>
      </c>
      <c r="DF2021" s="65" t="s">
        <v>2053</v>
      </c>
      <c r="GP2021" s="292" t="s">
        <v>7494</v>
      </c>
      <c r="JU2021" s="58" t="s">
        <v>2041</v>
      </c>
      <c r="JV2021" s="58" t="s">
        <v>2055</v>
      </c>
    </row>
    <row r="2022" spans="1:282" x14ac:dyDescent="0.25">
      <c r="A2022" s="55">
        <v>2021</v>
      </c>
      <c r="B2022" s="12" t="s">
        <v>7067</v>
      </c>
      <c r="C2022" s="157">
        <v>92</v>
      </c>
      <c r="D2022" s="59" t="s">
        <v>4069</v>
      </c>
      <c r="E2022" s="94" t="s">
        <v>741</v>
      </c>
      <c r="F2022" s="94"/>
      <c r="G2022" s="58" t="s">
        <v>2074</v>
      </c>
      <c r="H2022" s="58">
        <v>2003</v>
      </c>
      <c r="I2022" s="58">
        <v>1996</v>
      </c>
      <c r="J2022" s="58" t="s">
        <v>2003</v>
      </c>
      <c r="K2022" s="58" t="s">
        <v>2002</v>
      </c>
      <c r="L2022" s="58" t="s">
        <v>2737</v>
      </c>
      <c r="M2022" s="94">
        <v>32.56</v>
      </c>
      <c r="N2022" s="94">
        <v>-83.9</v>
      </c>
      <c r="O2022" s="94">
        <v>16</v>
      </c>
      <c r="P2022" s="58">
        <v>18.100000000000001</v>
      </c>
      <c r="Q2022" s="58"/>
      <c r="R2022" s="58">
        <v>1258</v>
      </c>
      <c r="S2022" s="94"/>
      <c r="T2022" s="58"/>
      <c r="U2022" s="58">
        <v>3</v>
      </c>
      <c r="V2022" s="58" t="s">
        <v>1694</v>
      </c>
      <c r="Y2022" s="58" t="s">
        <v>2069</v>
      </c>
      <c r="Z2022" s="58" t="s">
        <v>1356</v>
      </c>
      <c r="AA2022" s="94">
        <v>30</v>
      </c>
      <c r="AD2022" s="94">
        <f>AVERAGE(Sheet1!CH2022:CI2022)</f>
        <v>1.5152619999999999</v>
      </c>
      <c r="AE2022" s="94">
        <v>65</v>
      </c>
      <c r="AF2022" s="94">
        <v>20</v>
      </c>
      <c r="AG2022" s="94"/>
      <c r="AH2022" s="58" t="s">
        <v>238</v>
      </c>
      <c r="AI2022" s="169"/>
      <c r="AJ2022" s="94"/>
      <c r="AK2022" s="94"/>
      <c r="AL2022" s="58"/>
      <c r="AM2022" s="58" t="s">
        <v>2001</v>
      </c>
      <c r="AN2022" s="186" t="s">
        <v>1713</v>
      </c>
      <c r="AO2022" s="185" t="s">
        <v>5150</v>
      </c>
      <c r="AP2022" s="58"/>
      <c r="AQ2022" s="58" t="s">
        <v>131</v>
      </c>
      <c r="AR2022" s="58" t="s">
        <v>1999</v>
      </c>
      <c r="AS2022" s="58" t="s">
        <v>227</v>
      </c>
      <c r="AT2022" s="182"/>
      <c r="AU2022" s="181" t="s">
        <v>7494</v>
      </c>
      <c r="AV2022" s="185" t="s">
        <v>176</v>
      </c>
      <c r="AW2022" s="58"/>
      <c r="AX2022" s="185" t="s">
        <v>176</v>
      </c>
      <c r="AY2022" s="58"/>
      <c r="AZ2022" s="58" t="s">
        <v>1976</v>
      </c>
      <c r="BA2022" s="58" t="s">
        <v>1976</v>
      </c>
      <c r="BB2022" s="58" t="s">
        <v>2081</v>
      </c>
      <c r="BC2022" s="58" t="s">
        <v>2081</v>
      </c>
      <c r="BD2022" s="55" t="s">
        <v>176</v>
      </c>
      <c r="BE2022" s="236" t="s">
        <v>1998</v>
      </c>
      <c r="BF2022" s="58"/>
      <c r="BG2022" s="191" t="s">
        <v>479</v>
      </c>
      <c r="BH2022" s="236"/>
      <c r="BI2022" s="58"/>
      <c r="BK2022" s="58" t="s">
        <v>5976</v>
      </c>
      <c r="BL2022" s="58"/>
      <c r="BM2022" s="237" t="s">
        <v>119</v>
      </c>
      <c r="BN2022" s="58">
        <v>4</v>
      </c>
      <c r="BO2022" s="58">
        <v>4</v>
      </c>
      <c r="BP2022" s="58">
        <v>4</v>
      </c>
      <c r="BQ2022" s="58" t="s">
        <v>141</v>
      </c>
      <c r="BR2022" s="58"/>
      <c r="BS2022" s="58">
        <v>2888</v>
      </c>
      <c r="BT2022" s="58">
        <v>38.299999999999997</v>
      </c>
      <c r="BU2022" s="58"/>
      <c r="BV2022" s="58" t="s">
        <v>2066</v>
      </c>
      <c r="CB2022" s="68">
        <v>20000</v>
      </c>
      <c r="CC2022" s="68">
        <v>19000</v>
      </c>
      <c r="CD2022" s="68"/>
      <c r="CE2022" s="67"/>
      <c r="CH2022" s="94">
        <v>1.5295300000000001</v>
      </c>
      <c r="CI2022" s="94">
        <v>1.5009939999999999</v>
      </c>
      <c r="CM2022" s="65">
        <f>(CR2022*1000000)/(100*100*AD2022*AA2022/100*1000000)*100</f>
        <v>0.36517337155774604</v>
      </c>
      <c r="CN2022" s="65">
        <f>(CS2022*1000000)/(100*100*AD2022*AA2022/100*1000000)*100</f>
        <v>0.40257064454859948</v>
      </c>
      <c r="CR2022" s="67">
        <v>16.600000000000001</v>
      </c>
      <c r="CS2022" s="67">
        <v>18.3</v>
      </c>
      <c r="CV2022" s="65" t="s">
        <v>2070</v>
      </c>
      <c r="DA2022" s="65" t="s">
        <v>4463</v>
      </c>
      <c r="DB2022" s="65">
        <v>1.29</v>
      </c>
      <c r="DC2022" s="65">
        <v>1.45</v>
      </c>
      <c r="DF2022" s="65" t="s">
        <v>2053</v>
      </c>
      <c r="EK2022" s="90">
        <v>1.7</v>
      </c>
      <c r="EL2022" s="90">
        <v>1.75</v>
      </c>
      <c r="EO2022" s="65" t="s">
        <v>2054</v>
      </c>
      <c r="GP2022" s="292" t="s">
        <v>7494</v>
      </c>
      <c r="HX2022" s="65">
        <v>283</v>
      </c>
      <c r="HY2022" s="65">
        <v>575</v>
      </c>
      <c r="IB2022" s="65" t="s">
        <v>2056</v>
      </c>
      <c r="IC2022" s="65">
        <v>51</v>
      </c>
      <c r="ID2022" s="65">
        <v>43</v>
      </c>
      <c r="IG2022" s="65" t="s">
        <v>2057</v>
      </c>
      <c r="JG2022" s="65">
        <v>1298</v>
      </c>
      <c r="JH2022" s="65">
        <v>1550</v>
      </c>
      <c r="JL2022" s="65">
        <v>72</v>
      </c>
      <c r="JM2022" s="65">
        <v>106</v>
      </c>
      <c r="JU2022" s="58" t="s">
        <v>2041</v>
      </c>
      <c r="JV2022" s="58" t="s">
        <v>2055</v>
      </c>
    </row>
    <row r="2023" spans="1:282" x14ac:dyDescent="0.25">
      <c r="A2023" s="55">
        <v>2022</v>
      </c>
      <c r="B2023" s="12" t="s">
        <v>7067</v>
      </c>
      <c r="C2023" s="157">
        <v>92</v>
      </c>
      <c r="D2023" s="59" t="s">
        <v>4084</v>
      </c>
      <c r="E2023" s="94" t="s">
        <v>741</v>
      </c>
      <c r="F2023" s="94"/>
      <c r="G2023" s="58" t="s">
        <v>2074</v>
      </c>
      <c r="H2023" s="58">
        <v>2003</v>
      </c>
      <c r="I2023" s="58">
        <v>1996</v>
      </c>
      <c r="J2023" s="58" t="s">
        <v>2003</v>
      </c>
      <c r="K2023" s="58" t="s">
        <v>2002</v>
      </c>
      <c r="L2023" s="58" t="s">
        <v>2737</v>
      </c>
      <c r="M2023" s="94">
        <v>32.56</v>
      </c>
      <c r="N2023" s="94">
        <v>-83.9</v>
      </c>
      <c r="O2023" s="94">
        <v>16</v>
      </c>
      <c r="P2023" s="58">
        <v>18.100000000000001</v>
      </c>
      <c r="Q2023" s="58"/>
      <c r="R2023" s="58">
        <v>1258</v>
      </c>
      <c r="S2023" s="94"/>
      <c r="T2023" s="58"/>
      <c r="U2023" s="58">
        <v>3</v>
      </c>
      <c r="V2023" s="58" t="s">
        <v>1694</v>
      </c>
      <c r="Y2023" s="58" t="s">
        <v>2069</v>
      </c>
      <c r="Z2023" s="58" t="s">
        <v>1356</v>
      </c>
      <c r="AA2023" s="94">
        <v>30</v>
      </c>
      <c r="AD2023" s="94">
        <f>AVERAGE(Sheet1!CH2023:CI2023)</f>
        <v>1.517611</v>
      </c>
      <c r="AE2023" s="94">
        <v>65</v>
      </c>
      <c r="AF2023" s="94">
        <v>20</v>
      </c>
      <c r="AG2023" s="94"/>
      <c r="AH2023" s="58" t="s">
        <v>238</v>
      </c>
      <c r="AI2023" s="169"/>
      <c r="AJ2023" s="94"/>
      <c r="AK2023" s="94"/>
      <c r="AL2023" s="58"/>
      <c r="AM2023" s="58" t="s">
        <v>2001</v>
      </c>
      <c r="AN2023" s="186" t="s">
        <v>1991</v>
      </c>
      <c r="AO2023" s="185" t="s">
        <v>5150</v>
      </c>
      <c r="AP2023" s="58"/>
      <c r="AQ2023" s="58" t="s">
        <v>553</v>
      </c>
      <c r="AR2023" s="58" t="s">
        <v>1999</v>
      </c>
      <c r="AS2023" s="58" t="s">
        <v>227</v>
      </c>
      <c r="AT2023" s="182"/>
      <c r="AU2023" s="181" t="s">
        <v>7494</v>
      </c>
      <c r="AV2023" s="185" t="s">
        <v>176</v>
      </c>
      <c r="AW2023" s="58"/>
      <c r="AX2023" s="185" t="s">
        <v>176</v>
      </c>
      <c r="AY2023" s="58"/>
      <c r="AZ2023" s="58" t="s">
        <v>1976</v>
      </c>
      <c r="BA2023" s="58" t="s">
        <v>1976</v>
      </c>
      <c r="BB2023" s="58" t="s">
        <v>2081</v>
      </c>
      <c r="BC2023" s="58" t="s">
        <v>2081</v>
      </c>
      <c r="BD2023" s="55" t="s">
        <v>176</v>
      </c>
      <c r="BE2023" s="236" t="s">
        <v>1998</v>
      </c>
      <c r="BF2023" s="58"/>
      <c r="BG2023" s="191" t="s">
        <v>479</v>
      </c>
      <c r="BH2023" s="236"/>
      <c r="BI2023" s="58"/>
      <c r="BK2023" s="58" t="s">
        <v>5976</v>
      </c>
      <c r="BL2023" s="58"/>
      <c r="BM2023" s="237" t="s">
        <v>119</v>
      </c>
      <c r="BN2023" s="58">
        <v>4</v>
      </c>
      <c r="BO2023" s="58">
        <v>4</v>
      </c>
      <c r="BP2023" s="58">
        <v>4</v>
      </c>
      <c r="BQ2023" s="58" t="s">
        <v>141</v>
      </c>
      <c r="BR2023" s="58"/>
      <c r="BS2023" s="58">
        <v>2313</v>
      </c>
      <c r="BT2023" s="58">
        <v>13.8</v>
      </c>
      <c r="BU2023" s="58"/>
      <c r="BV2023" s="58" t="s">
        <v>2066</v>
      </c>
      <c r="CB2023" s="68">
        <v>20000</v>
      </c>
      <c r="CC2023" s="68">
        <v>40200</v>
      </c>
      <c r="CD2023" s="68"/>
      <c r="CE2023" s="67"/>
      <c r="CH2023" s="94">
        <v>1.5295300000000001</v>
      </c>
      <c r="CI2023" s="94">
        <v>1.505692</v>
      </c>
      <c r="CM2023" s="65">
        <f>(CR2023*1000000)/(100*100*AD2023*AA2023/100*1000000)*100</f>
        <v>0.36460814618063081</v>
      </c>
      <c r="CN2023" s="65">
        <f>(CS2023*1000000)/(100*100*AD2023*AA2023/100*1000000)*100</f>
        <v>0.3997511000293662</v>
      </c>
      <c r="CR2023" s="67">
        <v>16.600000000000001</v>
      </c>
      <c r="CS2023" s="67">
        <v>18.2</v>
      </c>
      <c r="CV2023" s="65" t="s">
        <v>2070</v>
      </c>
      <c r="DA2023" s="65" t="s">
        <v>4463</v>
      </c>
      <c r="DB2023" s="65">
        <v>1.29</v>
      </c>
      <c r="DC2023" s="65">
        <v>1.46</v>
      </c>
      <c r="DF2023" s="65" t="s">
        <v>2053</v>
      </c>
      <c r="EK2023" s="90">
        <v>1.7</v>
      </c>
      <c r="EL2023" s="90">
        <v>1.71</v>
      </c>
      <c r="EO2023" s="65" t="s">
        <v>2054</v>
      </c>
      <c r="GP2023" s="292" t="s">
        <v>7494</v>
      </c>
      <c r="HX2023" s="65">
        <v>283</v>
      </c>
      <c r="HY2023" s="65">
        <v>420</v>
      </c>
      <c r="IB2023" s="65" t="s">
        <v>2056</v>
      </c>
      <c r="IC2023" s="65">
        <v>51</v>
      </c>
      <c r="ID2023" s="65">
        <v>60</v>
      </c>
      <c r="IG2023" s="65" t="s">
        <v>2057</v>
      </c>
      <c r="JG2023" s="65">
        <v>1298</v>
      </c>
      <c r="JH2023" s="65">
        <v>1469</v>
      </c>
      <c r="JL2023" s="65">
        <v>72</v>
      </c>
      <c r="JM2023" s="65">
        <v>109</v>
      </c>
      <c r="JU2023" s="58" t="s">
        <v>2041</v>
      </c>
      <c r="JV2023" s="58" t="s">
        <v>2055</v>
      </c>
    </row>
    <row r="2024" spans="1:282" x14ac:dyDescent="0.25">
      <c r="A2024" s="55">
        <v>2023</v>
      </c>
      <c r="B2024" s="12" t="s">
        <v>7067</v>
      </c>
      <c r="C2024" s="157">
        <v>92</v>
      </c>
      <c r="D2024" s="59" t="s">
        <v>4084</v>
      </c>
      <c r="E2024" s="94" t="s">
        <v>741</v>
      </c>
      <c r="F2024" s="94"/>
      <c r="G2024" s="58" t="s">
        <v>2074</v>
      </c>
      <c r="H2024" s="58">
        <v>2003</v>
      </c>
      <c r="I2024" s="58">
        <v>1996</v>
      </c>
      <c r="J2024" s="58" t="s">
        <v>2003</v>
      </c>
      <c r="K2024" s="58" t="s">
        <v>2002</v>
      </c>
      <c r="L2024" s="58" t="s">
        <v>2737</v>
      </c>
      <c r="M2024" s="94">
        <v>32.56</v>
      </c>
      <c r="N2024" s="94">
        <v>-83.9</v>
      </c>
      <c r="O2024" s="94">
        <v>16</v>
      </c>
      <c r="P2024" s="58">
        <v>18.100000000000001</v>
      </c>
      <c r="Q2024" s="58"/>
      <c r="R2024" s="58">
        <v>1258</v>
      </c>
      <c r="S2024" s="94"/>
      <c r="T2024" s="58"/>
      <c r="U2024" s="58">
        <v>3</v>
      </c>
      <c r="V2024" s="58" t="s">
        <v>1694</v>
      </c>
      <c r="Y2024" s="58" t="s">
        <v>2069</v>
      </c>
      <c r="Z2024" s="58" t="s">
        <v>1356</v>
      </c>
      <c r="AA2024" s="94">
        <v>30</v>
      </c>
      <c r="AD2024" s="94">
        <f>AVERAGE(Sheet1!CH2024:CI2024)</f>
        <v>1.5189159999999999</v>
      </c>
      <c r="AE2024" s="94">
        <v>65</v>
      </c>
      <c r="AF2024" s="94">
        <v>20</v>
      </c>
      <c r="AG2024" s="94"/>
      <c r="AH2024" s="58" t="s">
        <v>238</v>
      </c>
      <c r="AI2024" s="169"/>
      <c r="AJ2024" s="94"/>
      <c r="AK2024" s="94"/>
      <c r="AL2024" s="58"/>
      <c r="AM2024" s="58" t="s">
        <v>2001</v>
      </c>
      <c r="AN2024" s="186" t="s">
        <v>2000</v>
      </c>
      <c r="AO2024" s="185" t="s">
        <v>5150</v>
      </c>
      <c r="AP2024" s="58"/>
      <c r="AQ2024" s="58" t="s">
        <v>553</v>
      </c>
      <c r="AR2024" s="58" t="s">
        <v>1999</v>
      </c>
      <c r="AS2024" s="58" t="s">
        <v>227</v>
      </c>
      <c r="AT2024" s="182"/>
      <c r="AU2024" s="181" t="s">
        <v>7494</v>
      </c>
      <c r="AV2024" s="185" t="s">
        <v>176</v>
      </c>
      <c r="AW2024" s="58"/>
      <c r="AX2024" s="185" t="s">
        <v>176</v>
      </c>
      <c r="AY2024" s="58"/>
      <c r="AZ2024" s="58" t="s">
        <v>1976</v>
      </c>
      <c r="BA2024" s="58" t="s">
        <v>1976</v>
      </c>
      <c r="BB2024" s="58" t="s">
        <v>2081</v>
      </c>
      <c r="BC2024" s="58" t="s">
        <v>2081</v>
      </c>
      <c r="BD2024" s="55" t="s">
        <v>176</v>
      </c>
      <c r="BE2024" s="236" t="s">
        <v>1998</v>
      </c>
      <c r="BF2024" s="58"/>
      <c r="BG2024" s="191" t="s">
        <v>479</v>
      </c>
      <c r="BH2024" s="236"/>
      <c r="BI2024" s="58"/>
      <c r="BK2024" s="58" t="s">
        <v>5976</v>
      </c>
      <c r="BL2024" s="58"/>
      <c r="BM2024" s="237" t="s">
        <v>119</v>
      </c>
      <c r="BN2024" s="58">
        <v>4</v>
      </c>
      <c r="BO2024" s="58">
        <v>4</v>
      </c>
      <c r="BP2024" s="58">
        <v>4</v>
      </c>
      <c r="BQ2024" s="58" t="s">
        <v>141</v>
      </c>
      <c r="BR2024" s="58"/>
      <c r="BS2024" s="58">
        <v>2863</v>
      </c>
      <c r="BT2024" s="58">
        <v>19.600000000000001</v>
      </c>
      <c r="BU2024" s="58"/>
      <c r="BV2024" s="58" t="s">
        <v>2066</v>
      </c>
      <c r="CB2024" s="68">
        <v>20000</v>
      </c>
      <c r="CC2024" s="68">
        <v>40900</v>
      </c>
      <c r="CD2024" s="68"/>
      <c r="CE2024" s="67"/>
      <c r="CH2024" s="94">
        <v>1.5295300000000001</v>
      </c>
      <c r="CI2024" s="94">
        <v>1.508302</v>
      </c>
      <c r="CM2024" s="65">
        <f>(CR2024*1000000)/(100*100*AD2024*AA2024/100*1000000)*100</f>
        <v>0.36429488749432715</v>
      </c>
      <c r="CN2024" s="65">
        <f>(CS2024*1000000)/(100*100*AD2024*AA2024/100*1000000)*100</f>
        <v>0.39721310021971812</v>
      </c>
      <c r="CR2024" s="67">
        <v>16.600000000000001</v>
      </c>
      <c r="CS2024" s="67">
        <v>18.100000000000001</v>
      </c>
      <c r="CV2024" s="65" t="s">
        <v>2070</v>
      </c>
      <c r="DA2024" s="65" t="s">
        <v>4463</v>
      </c>
      <c r="DB2024" s="65">
        <v>1.29</v>
      </c>
      <c r="DC2024" s="65">
        <v>1.33</v>
      </c>
      <c r="DF2024" s="65" t="s">
        <v>2053</v>
      </c>
      <c r="EK2024" s="90">
        <v>1.7</v>
      </c>
      <c r="EL2024" s="90">
        <v>1.66</v>
      </c>
      <c r="EO2024" s="65" t="s">
        <v>2054</v>
      </c>
      <c r="GP2024" s="292" t="s">
        <v>7494</v>
      </c>
      <c r="HX2024" s="65">
        <v>283</v>
      </c>
      <c r="HY2024" s="65">
        <v>575</v>
      </c>
      <c r="IB2024" s="65" t="s">
        <v>2056</v>
      </c>
      <c r="IC2024" s="65">
        <v>51</v>
      </c>
      <c r="ID2024" s="65">
        <v>54</v>
      </c>
      <c r="IG2024" s="65" t="s">
        <v>2057</v>
      </c>
      <c r="JG2024" s="65">
        <v>1298</v>
      </c>
      <c r="JH2024" s="65">
        <v>1530</v>
      </c>
      <c r="JL2024" s="65">
        <v>72</v>
      </c>
      <c r="JM2024" s="65">
        <v>106</v>
      </c>
      <c r="JU2024" s="58" t="s">
        <v>2041</v>
      </c>
      <c r="JV2024" s="58" t="s">
        <v>2055</v>
      </c>
    </row>
    <row r="2025" spans="1:282" x14ac:dyDescent="0.25">
      <c r="A2025" s="55">
        <v>2024</v>
      </c>
      <c r="B2025" s="12" t="s">
        <v>7067</v>
      </c>
      <c r="C2025" s="157">
        <v>92</v>
      </c>
      <c r="D2025" s="59" t="s">
        <v>4069</v>
      </c>
      <c r="E2025" s="94" t="s">
        <v>741</v>
      </c>
      <c r="F2025" s="94"/>
      <c r="G2025" s="58" t="s">
        <v>2074</v>
      </c>
      <c r="H2025" s="58">
        <v>2003</v>
      </c>
      <c r="I2025" s="58">
        <v>1997</v>
      </c>
      <c r="J2025" s="58" t="s">
        <v>2003</v>
      </c>
      <c r="K2025" s="58" t="s">
        <v>2002</v>
      </c>
      <c r="L2025" s="58" t="s">
        <v>2737</v>
      </c>
      <c r="M2025" s="94">
        <v>32.56</v>
      </c>
      <c r="N2025" s="94">
        <v>-83.9</v>
      </c>
      <c r="O2025" s="94">
        <v>16</v>
      </c>
      <c r="P2025" s="58">
        <v>18.100000000000001</v>
      </c>
      <c r="Q2025" s="58"/>
      <c r="R2025" s="58">
        <v>1258</v>
      </c>
      <c r="S2025" s="94"/>
      <c r="T2025" s="58"/>
      <c r="U2025" s="58">
        <v>4</v>
      </c>
      <c r="V2025" s="58" t="s">
        <v>1694</v>
      </c>
      <c r="Y2025" s="58" t="s">
        <v>2069</v>
      </c>
      <c r="Z2025" s="58" t="s">
        <v>1356</v>
      </c>
      <c r="AA2025" s="94">
        <v>30</v>
      </c>
      <c r="AD2025" s="94">
        <v>1.5152619999999999</v>
      </c>
      <c r="AE2025" s="94">
        <v>65</v>
      </c>
      <c r="AF2025" s="94">
        <v>20</v>
      </c>
      <c r="AG2025" s="94"/>
      <c r="AH2025" s="58" t="s">
        <v>238</v>
      </c>
      <c r="AI2025" s="169"/>
      <c r="AJ2025" s="94"/>
      <c r="AK2025" s="94"/>
      <c r="AL2025" s="58"/>
      <c r="AM2025" s="58" t="s">
        <v>2001</v>
      </c>
      <c r="AN2025" s="186" t="s">
        <v>1713</v>
      </c>
      <c r="AO2025" s="185" t="s">
        <v>5150</v>
      </c>
      <c r="AP2025" s="58"/>
      <c r="AQ2025" s="58" t="s">
        <v>131</v>
      </c>
      <c r="AR2025" s="58" t="s">
        <v>1999</v>
      </c>
      <c r="AS2025" s="58" t="s">
        <v>227</v>
      </c>
      <c r="AT2025" s="182"/>
      <c r="AU2025" s="181" t="s">
        <v>7494</v>
      </c>
      <c r="AV2025" s="185" t="s">
        <v>176</v>
      </c>
      <c r="AW2025" s="58"/>
      <c r="AX2025" s="185" t="s">
        <v>176</v>
      </c>
      <c r="AY2025" s="58"/>
      <c r="AZ2025" s="58" t="s">
        <v>1976</v>
      </c>
      <c r="BA2025" s="58" t="s">
        <v>1976</v>
      </c>
      <c r="BB2025" s="58" t="s">
        <v>2081</v>
      </c>
      <c r="BC2025" s="58" t="s">
        <v>2081</v>
      </c>
      <c r="BD2025" s="55" t="s">
        <v>176</v>
      </c>
      <c r="BE2025" s="236" t="s">
        <v>1998</v>
      </c>
      <c r="BF2025" s="58"/>
      <c r="BG2025" s="191" t="s">
        <v>479</v>
      </c>
      <c r="BH2025" s="236"/>
      <c r="BI2025" s="58"/>
      <c r="BK2025" s="58" t="s">
        <v>5976</v>
      </c>
      <c r="BL2025" s="58"/>
      <c r="BM2025" s="237" t="s">
        <v>119</v>
      </c>
      <c r="BN2025" s="58">
        <v>4</v>
      </c>
      <c r="BO2025" s="58">
        <v>4</v>
      </c>
      <c r="BP2025" s="58">
        <v>4</v>
      </c>
      <c r="BQ2025" s="58" t="s">
        <v>141</v>
      </c>
      <c r="BR2025" s="58"/>
      <c r="BS2025" s="58">
        <v>3020</v>
      </c>
      <c r="BT2025" s="58">
        <v>25.3</v>
      </c>
      <c r="BU2025" s="58"/>
      <c r="BV2025" s="58" t="s">
        <v>2066</v>
      </c>
      <c r="CB2025" s="68">
        <v>17300</v>
      </c>
      <c r="CC2025" s="68">
        <v>13600</v>
      </c>
      <c r="CD2025" s="68"/>
      <c r="CE2025" s="67"/>
      <c r="CH2025" s="94"/>
      <c r="CI2025" s="94"/>
      <c r="CM2025" s="65">
        <f>(CR2025*1000000)/(100*100*AD2025*AA2025/100*1000000)*100</f>
        <v>0.3585738527946542</v>
      </c>
      <c r="CN2025" s="65">
        <f>(CS2025*1000000)/(100*100*AD2025*AA2025/100*1000000)*100</f>
        <v>0.40697032372399405</v>
      </c>
      <c r="CR2025" s="67">
        <v>16.3</v>
      </c>
      <c r="CS2025" s="67">
        <v>18.5</v>
      </c>
      <c r="CV2025" s="65" t="s">
        <v>2070</v>
      </c>
      <c r="DA2025" s="65" t="s">
        <v>4463</v>
      </c>
      <c r="DB2025" s="65">
        <v>1.28</v>
      </c>
      <c r="DC2025" s="65">
        <v>1.43</v>
      </c>
      <c r="DF2025" s="65" t="s">
        <v>2053</v>
      </c>
      <c r="GP2025" s="292" t="s">
        <v>7494</v>
      </c>
      <c r="JU2025" s="58" t="s">
        <v>2041</v>
      </c>
      <c r="JV2025" s="58" t="s">
        <v>2055</v>
      </c>
    </row>
    <row r="2026" spans="1:282" x14ac:dyDescent="0.25">
      <c r="A2026" s="55">
        <v>2025</v>
      </c>
      <c r="B2026" s="12" t="s">
        <v>7067</v>
      </c>
      <c r="C2026" s="157">
        <v>92</v>
      </c>
      <c r="D2026" s="59" t="s">
        <v>4084</v>
      </c>
      <c r="E2026" s="94" t="s">
        <v>741</v>
      </c>
      <c r="F2026" s="94"/>
      <c r="G2026" s="58" t="s">
        <v>2074</v>
      </c>
      <c r="H2026" s="58">
        <v>2003</v>
      </c>
      <c r="I2026" s="58">
        <v>1997</v>
      </c>
      <c r="J2026" s="58" t="s">
        <v>2003</v>
      </c>
      <c r="K2026" s="58" t="s">
        <v>2002</v>
      </c>
      <c r="L2026" s="58" t="s">
        <v>2737</v>
      </c>
      <c r="M2026" s="94">
        <v>32.56</v>
      </c>
      <c r="N2026" s="94">
        <v>-83.9</v>
      </c>
      <c r="O2026" s="94">
        <v>16</v>
      </c>
      <c r="P2026" s="58">
        <v>18.100000000000001</v>
      </c>
      <c r="Q2026" s="58"/>
      <c r="R2026" s="58">
        <v>1258</v>
      </c>
      <c r="S2026" s="94"/>
      <c r="T2026" s="58"/>
      <c r="U2026" s="58">
        <v>4</v>
      </c>
      <c r="V2026" s="58" t="s">
        <v>1694</v>
      </c>
      <c r="Y2026" s="58" t="s">
        <v>2069</v>
      </c>
      <c r="Z2026" s="58" t="s">
        <v>1356</v>
      </c>
      <c r="AA2026" s="94">
        <v>30</v>
      </c>
      <c r="AD2026" s="94">
        <v>1.517611</v>
      </c>
      <c r="AE2026" s="94">
        <v>65</v>
      </c>
      <c r="AF2026" s="94">
        <v>20</v>
      </c>
      <c r="AG2026" s="94"/>
      <c r="AH2026" s="58" t="s">
        <v>238</v>
      </c>
      <c r="AI2026" s="169"/>
      <c r="AJ2026" s="94"/>
      <c r="AK2026" s="94"/>
      <c r="AL2026" s="58"/>
      <c r="AM2026" s="58" t="s">
        <v>2001</v>
      </c>
      <c r="AN2026" s="186" t="s">
        <v>1991</v>
      </c>
      <c r="AO2026" s="185" t="s">
        <v>5150</v>
      </c>
      <c r="AP2026" s="58"/>
      <c r="AQ2026" s="58" t="s">
        <v>553</v>
      </c>
      <c r="AR2026" s="58" t="s">
        <v>1999</v>
      </c>
      <c r="AS2026" s="58" t="s">
        <v>227</v>
      </c>
      <c r="AT2026" s="182"/>
      <c r="AU2026" s="181" t="s">
        <v>7494</v>
      </c>
      <c r="AV2026" s="185" t="s">
        <v>176</v>
      </c>
      <c r="AW2026" s="58"/>
      <c r="AX2026" s="185" t="s">
        <v>176</v>
      </c>
      <c r="AY2026" s="58"/>
      <c r="AZ2026" s="58" t="s">
        <v>1976</v>
      </c>
      <c r="BA2026" s="58" t="s">
        <v>1976</v>
      </c>
      <c r="BB2026" s="58" t="s">
        <v>2081</v>
      </c>
      <c r="BC2026" s="58" t="s">
        <v>2081</v>
      </c>
      <c r="BD2026" s="55" t="s">
        <v>176</v>
      </c>
      <c r="BE2026" s="236" t="s">
        <v>1998</v>
      </c>
      <c r="BF2026" s="58"/>
      <c r="BG2026" s="191" t="s">
        <v>479</v>
      </c>
      <c r="BH2026" s="236"/>
      <c r="BI2026" s="58"/>
      <c r="BK2026" s="58" t="s">
        <v>5976</v>
      </c>
      <c r="BL2026" s="58"/>
      <c r="BM2026" s="237" t="s">
        <v>119</v>
      </c>
      <c r="BN2026" s="58">
        <v>4</v>
      </c>
      <c r="BO2026" s="58">
        <v>4</v>
      </c>
      <c r="BP2026" s="58">
        <v>4</v>
      </c>
      <c r="BQ2026" s="58" t="s">
        <v>141</v>
      </c>
      <c r="BR2026" s="58"/>
      <c r="BS2026" s="58">
        <v>1911</v>
      </c>
      <c r="BT2026" s="58">
        <v>9.1999999999999993</v>
      </c>
      <c r="BU2026" s="58"/>
      <c r="BV2026" s="58" t="s">
        <v>2066</v>
      </c>
      <c r="CB2026" s="68">
        <v>17300</v>
      </c>
      <c r="CC2026" s="68">
        <v>31500</v>
      </c>
      <c r="CD2026" s="68"/>
      <c r="CE2026" s="67"/>
      <c r="CH2026" s="94"/>
      <c r="CI2026" s="94"/>
      <c r="CM2026" s="65">
        <f>(CR2026*1000000)/(100*100*AD2026*AA2026/100*1000000)*100</f>
        <v>0.35801884233399284</v>
      </c>
      <c r="CN2026" s="65">
        <f>(CS2026*1000000)/(100*100*AD2026*AA2026/100*1000000)*100</f>
        <v>0.38657249233609042</v>
      </c>
      <c r="CR2026" s="67">
        <v>16.3</v>
      </c>
      <c r="CS2026" s="67">
        <v>17.600000000000001</v>
      </c>
      <c r="CV2026" s="65" t="s">
        <v>2070</v>
      </c>
      <c r="DA2026" s="65" t="s">
        <v>4463</v>
      </c>
      <c r="DB2026" s="65">
        <v>1.28</v>
      </c>
      <c r="DC2026" s="65">
        <v>1.38</v>
      </c>
      <c r="DF2026" s="65" t="s">
        <v>2053</v>
      </c>
      <c r="GP2026" s="292" t="s">
        <v>7494</v>
      </c>
      <c r="JU2026" s="58" t="s">
        <v>2041</v>
      </c>
      <c r="JV2026" s="58" t="s">
        <v>2055</v>
      </c>
    </row>
    <row r="2027" spans="1:282" x14ac:dyDescent="0.25">
      <c r="A2027" s="55">
        <v>2026</v>
      </c>
      <c r="B2027" s="12" t="s">
        <v>7067</v>
      </c>
      <c r="C2027" s="157">
        <v>92</v>
      </c>
      <c r="D2027" s="59" t="s">
        <v>4084</v>
      </c>
      <c r="E2027" s="94" t="s">
        <v>741</v>
      </c>
      <c r="F2027" s="94"/>
      <c r="G2027" s="58" t="s">
        <v>2074</v>
      </c>
      <c r="H2027" s="58">
        <v>2003</v>
      </c>
      <c r="I2027" s="58">
        <v>1997</v>
      </c>
      <c r="J2027" s="58" t="s">
        <v>2003</v>
      </c>
      <c r="K2027" s="58" t="s">
        <v>2002</v>
      </c>
      <c r="L2027" s="58" t="s">
        <v>2737</v>
      </c>
      <c r="M2027" s="94">
        <v>32.56</v>
      </c>
      <c r="N2027" s="94">
        <v>-83.9</v>
      </c>
      <c r="O2027" s="94">
        <v>16</v>
      </c>
      <c r="P2027" s="58">
        <v>18.100000000000001</v>
      </c>
      <c r="Q2027" s="58"/>
      <c r="R2027" s="58">
        <v>1258</v>
      </c>
      <c r="S2027" s="94"/>
      <c r="T2027" s="58"/>
      <c r="U2027" s="58">
        <v>4</v>
      </c>
      <c r="V2027" s="58" t="s">
        <v>1694</v>
      </c>
      <c r="Y2027" s="58" t="s">
        <v>2069</v>
      </c>
      <c r="Z2027" s="58" t="s">
        <v>1356</v>
      </c>
      <c r="AA2027" s="94">
        <v>30</v>
      </c>
      <c r="AD2027" s="94">
        <v>1.5189159999999999</v>
      </c>
      <c r="AE2027" s="94">
        <v>65</v>
      </c>
      <c r="AF2027" s="94">
        <v>20</v>
      </c>
      <c r="AG2027" s="94"/>
      <c r="AH2027" s="58" t="s">
        <v>238</v>
      </c>
      <c r="AI2027" s="169"/>
      <c r="AJ2027" s="94"/>
      <c r="AK2027" s="94"/>
      <c r="AL2027" s="58"/>
      <c r="AM2027" s="58" t="s">
        <v>2001</v>
      </c>
      <c r="AN2027" s="186" t="s">
        <v>2000</v>
      </c>
      <c r="AO2027" s="185" t="s">
        <v>5150</v>
      </c>
      <c r="AP2027" s="58"/>
      <c r="AQ2027" s="58" t="s">
        <v>553</v>
      </c>
      <c r="AR2027" s="58" t="s">
        <v>1999</v>
      </c>
      <c r="AS2027" s="58" t="s">
        <v>227</v>
      </c>
      <c r="AT2027" s="182"/>
      <c r="AU2027" s="181" t="s">
        <v>7494</v>
      </c>
      <c r="AV2027" s="185" t="s">
        <v>176</v>
      </c>
      <c r="AW2027" s="58"/>
      <c r="AX2027" s="185" t="s">
        <v>176</v>
      </c>
      <c r="AY2027" s="58"/>
      <c r="AZ2027" s="58" t="s">
        <v>1976</v>
      </c>
      <c r="BA2027" s="58" t="s">
        <v>1976</v>
      </c>
      <c r="BB2027" s="58" t="s">
        <v>2081</v>
      </c>
      <c r="BC2027" s="58" t="s">
        <v>2081</v>
      </c>
      <c r="BD2027" s="55" t="s">
        <v>176</v>
      </c>
      <c r="BE2027" s="236" t="s">
        <v>1998</v>
      </c>
      <c r="BF2027" s="58"/>
      <c r="BG2027" s="191" t="s">
        <v>479</v>
      </c>
      <c r="BH2027" s="236"/>
      <c r="BI2027" s="58"/>
      <c r="BK2027" s="58" t="s">
        <v>5976</v>
      </c>
      <c r="BL2027" s="58"/>
      <c r="BM2027" s="237" t="s">
        <v>119</v>
      </c>
      <c r="BN2027" s="58">
        <v>4</v>
      </c>
      <c r="BO2027" s="58">
        <v>4</v>
      </c>
      <c r="BP2027" s="58">
        <v>4</v>
      </c>
      <c r="BQ2027" s="58" t="s">
        <v>141</v>
      </c>
      <c r="BR2027" s="58"/>
      <c r="BS2027" s="58">
        <v>2663</v>
      </c>
      <c r="BT2027" s="58">
        <v>12.3</v>
      </c>
      <c r="BU2027" s="58"/>
      <c r="BV2027" s="58" t="s">
        <v>2066</v>
      </c>
      <c r="CB2027" s="68">
        <v>17300</v>
      </c>
      <c r="CC2027" s="68">
        <v>30000</v>
      </c>
      <c r="CD2027" s="68"/>
      <c r="CE2027" s="67"/>
      <c r="CH2027" s="94"/>
      <c r="CI2027" s="94"/>
      <c r="CM2027" s="65">
        <f>(CR2027*1000000)/(100*100*AD2027*AA2027/100*1000000)*100</f>
        <v>0.35771124494924894</v>
      </c>
      <c r="CN2027" s="65">
        <f>(CS2027*1000000)/(100*100*AD2027*AA2027/100*1000000)*100</f>
        <v>0.37307307755443136</v>
      </c>
      <c r="CR2027" s="67">
        <v>16.3</v>
      </c>
      <c r="CS2027" s="67">
        <v>17</v>
      </c>
      <c r="CV2027" s="65" t="s">
        <v>2070</v>
      </c>
      <c r="DA2027" s="65" t="s">
        <v>4463</v>
      </c>
      <c r="DB2027" s="65">
        <v>1.28</v>
      </c>
      <c r="DC2027" s="65">
        <v>1.36</v>
      </c>
      <c r="DF2027" s="65" t="s">
        <v>2053</v>
      </c>
      <c r="GP2027" s="292" t="s">
        <v>7494</v>
      </c>
      <c r="JU2027" s="58" t="s">
        <v>2041</v>
      </c>
      <c r="JV2027" s="58" t="s">
        <v>2055</v>
      </c>
    </row>
    <row r="2028" spans="1:282" x14ac:dyDescent="0.25">
      <c r="A2028" s="55">
        <v>2027</v>
      </c>
      <c r="B2028" s="12" t="s">
        <v>7067</v>
      </c>
      <c r="C2028" s="157">
        <v>92</v>
      </c>
      <c r="D2028" s="59" t="s">
        <v>4069</v>
      </c>
      <c r="E2028" s="94" t="s">
        <v>741</v>
      </c>
      <c r="F2028" s="94"/>
      <c r="G2028" s="58" t="s">
        <v>2074</v>
      </c>
      <c r="H2028" s="58">
        <v>2003</v>
      </c>
      <c r="I2028" s="58">
        <v>1998</v>
      </c>
      <c r="J2028" s="58" t="s">
        <v>2003</v>
      </c>
      <c r="K2028" s="58" t="s">
        <v>2002</v>
      </c>
      <c r="L2028" s="58" t="s">
        <v>2737</v>
      </c>
      <c r="M2028" s="94">
        <v>32.56</v>
      </c>
      <c r="N2028" s="94">
        <v>-83.9</v>
      </c>
      <c r="O2028" s="94">
        <v>16</v>
      </c>
      <c r="P2028" s="58">
        <v>18.100000000000001</v>
      </c>
      <c r="Q2028" s="58"/>
      <c r="R2028" s="58">
        <v>1258</v>
      </c>
      <c r="S2028" s="94"/>
      <c r="T2028" s="58"/>
      <c r="U2028" s="58">
        <v>5</v>
      </c>
      <c r="V2028" s="58" t="s">
        <v>1694</v>
      </c>
      <c r="Y2028" s="58" t="s">
        <v>2069</v>
      </c>
      <c r="Z2028" s="58" t="s">
        <v>1356</v>
      </c>
      <c r="AA2028" s="94">
        <v>30</v>
      </c>
      <c r="AD2028" s="94">
        <v>1.5152619999999999</v>
      </c>
      <c r="AE2028" s="94">
        <v>65</v>
      </c>
      <c r="AF2028" s="94">
        <v>20</v>
      </c>
      <c r="AG2028" s="94"/>
      <c r="AH2028" s="58" t="s">
        <v>238</v>
      </c>
      <c r="AI2028" s="169"/>
      <c r="AJ2028" s="94"/>
      <c r="AK2028" s="94"/>
      <c r="AL2028" s="58"/>
      <c r="AM2028" s="58" t="s">
        <v>2001</v>
      </c>
      <c r="AN2028" s="186" t="s">
        <v>1713</v>
      </c>
      <c r="AO2028" s="185" t="s">
        <v>5150</v>
      </c>
      <c r="AP2028" s="58"/>
      <c r="AQ2028" s="58" t="s">
        <v>131</v>
      </c>
      <c r="AR2028" s="58" t="s">
        <v>1999</v>
      </c>
      <c r="AS2028" s="58" t="s">
        <v>227</v>
      </c>
      <c r="AT2028" s="182"/>
      <c r="AU2028" s="181" t="s">
        <v>7494</v>
      </c>
      <c r="AV2028" s="185" t="s">
        <v>176</v>
      </c>
      <c r="AW2028" s="58"/>
      <c r="AX2028" s="185" t="s">
        <v>176</v>
      </c>
      <c r="AY2028" s="58"/>
      <c r="AZ2028" s="58" t="s">
        <v>1976</v>
      </c>
      <c r="BA2028" s="58" t="s">
        <v>1976</v>
      </c>
      <c r="BB2028" s="58" t="s">
        <v>2081</v>
      </c>
      <c r="BC2028" s="58" t="s">
        <v>2081</v>
      </c>
      <c r="BD2028" s="55" t="s">
        <v>176</v>
      </c>
      <c r="BE2028" s="236" t="s">
        <v>1998</v>
      </c>
      <c r="BF2028" s="58"/>
      <c r="BG2028" s="191" t="s">
        <v>479</v>
      </c>
      <c r="BH2028" s="236"/>
      <c r="BI2028" s="58"/>
      <c r="BK2028" s="58" t="s">
        <v>5976</v>
      </c>
      <c r="BL2028" s="58"/>
      <c r="BM2028" s="237" t="s">
        <v>119</v>
      </c>
      <c r="BN2028" s="58">
        <v>4</v>
      </c>
      <c r="BO2028" s="58">
        <v>4</v>
      </c>
      <c r="BP2028" s="58">
        <v>4</v>
      </c>
      <c r="BQ2028" s="58" t="s">
        <v>141</v>
      </c>
      <c r="BR2028" s="58"/>
      <c r="BS2028" s="58"/>
      <c r="BT2028" s="58"/>
      <c r="BU2028" s="58"/>
      <c r="BV2028" s="58" t="s">
        <v>2066</v>
      </c>
      <c r="CB2028" s="68"/>
      <c r="CC2028" s="68"/>
      <c r="CD2028" s="68"/>
      <c r="CE2028" s="67"/>
      <c r="CH2028" s="94"/>
      <c r="CI2028" s="94"/>
      <c r="CM2028" s="65">
        <f>(CR2028*1000000)/(100*100*AD2028*AA2028/100*1000000)*100</f>
        <v>0.35417417361925968</v>
      </c>
      <c r="CN2028" s="65">
        <f>(CS2028*1000000)/(100*100*AD2028*AA2028/100*1000000)*100</f>
        <v>0.40257064454859948</v>
      </c>
      <c r="CR2028" s="67">
        <v>16.100000000000001</v>
      </c>
      <c r="CS2028" s="67">
        <v>18.3</v>
      </c>
      <c r="CV2028" s="65" t="s">
        <v>2070</v>
      </c>
      <c r="DA2028" s="65" t="s">
        <v>4463</v>
      </c>
      <c r="DB2028" s="65">
        <v>1.28</v>
      </c>
      <c r="DC2028" s="65">
        <v>1.44</v>
      </c>
      <c r="DF2028" s="65" t="s">
        <v>2053</v>
      </c>
      <c r="GP2028" s="292" t="s">
        <v>7494</v>
      </c>
      <c r="JU2028" s="58" t="s">
        <v>2041</v>
      </c>
      <c r="JV2028" s="58" t="s">
        <v>2055</v>
      </c>
    </row>
    <row r="2029" spans="1:282" x14ac:dyDescent="0.25">
      <c r="A2029" s="55">
        <v>2028</v>
      </c>
      <c r="B2029" s="12" t="s">
        <v>7067</v>
      </c>
      <c r="C2029" s="157">
        <v>92</v>
      </c>
      <c r="D2029" s="59" t="s">
        <v>4084</v>
      </c>
      <c r="E2029" s="94" t="s">
        <v>741</v>
      </c>
      <c r="F2029" s="94"/>
      <c r="G2029" s="58" t="s">
        <v>2074</v>
      </c>
      <c r="H2029" s="58">
        <v>2003</v>
      </c>
      <c r="I2029" s="58">
        <v>1998</v>
      </c>
      <c r="J2029" s="58" t="s">
        <v>2003</v>
      </c>
      <c r="K2029" s="58" t="s">
        <v>2002</v>
      </c>
      <c r="L2029" s="58" t="s">
        <v>2737</v>
      </c>
      <c r="M2029" s="94">
        <v>32.56</v>
      </c>
      <c r="N2029" s="94">
        <v>-83.9</v>
      </c>
      <c r="O2029" s="94">
        <v>16</v>
      </c>
      <c r="P2029" s="58">
        <v>18.100000000000001</v>
      </c>
      <c r="Q2029" s="58"/>
      <c r="R2029" s="58">
        <v>1258</v>
      </c>
      <c r="S2029" s="94"/>
      <c r="T2029" s="58"/>
      <c r="U2029" s="58">
        <v>5</v>
      </c>
      <c r="V2029" s="58" t="s">
        <v>1694</v>
      </c>
      <c r="Y2029" s="58" t="s">
        <v>2069</v>
      </c>
      <c r="Z2029" s="58" t="s">
        <v>1356</v>
      </c>
      <c r="AA2029" s="94">
        <v>30</v>
      </c>
      <c r="AD2029" s="94">
        <v>1.517611</v>
      </c>
      <c r="AE2029" s="94">
        <v>65</v>
      </c>
      <c r="AF2029" s="94">
        <v>20</v>
      </c>
      <c r="AG2029" s="94"/>
      <c r="AH2029" s="58" t="s">
        <v>238</v>
      </c>
      <c r="AI2029" s="169"/>
      <c r="AJ2029" s="94"/>
      <c r="AK2029" s="94"/>
      <c r="AL2029" s="58"/>
      <c r="AM2029" s="58" t="s">
        <v>2001</v>
      </c>
      <c r="AN2029" s="186" t="s">
        <v>1991</v>
      </c>
      <c r="AO2029" s="185" t="s">
        <v>5150</v>
      </c>
      <c r="AP2029" s="58"/>
      <c r="AQ2029" s="58" t="s">
        <v>553</v>
      </c>
      <c r="AR2029" s="58" t="s">
        <v>1999</v>
      </c>
      <c r="AS2029" s="58" t="s">
        <v>227</v>
      </c>
      <c r="AT2029" s="182"/>
      <c r="AU2029" s="181" t="s">
        <v>7494</v>
      </c>
      <c r="AV2029" s="185" t="s">
        <v>176</v>
      </c>
      <c r="AW2029" s="58"/>
      <c r="AX2029" s="185" t="s">
        <v>176</v>
      </c>
      <c r="AY2029" s="58"/>
      <c r="AZ2029" s="58" t="s">
        <v>1976</v>
      </c>
      <c r="BA2029" s="58" t="s">
        <v>1976</v>
      </c>
      <c r="BB2029" s="58" t="s">
        <v>2081</v>
      </c>
      <c r="BC2029" s="58" t="s">
        <v>2081</v>
      </c>
      <c r="BD2029" s="55" t="s">
        <v>176</v>
      </c>
      <c r="BE2029" s="236" t="s">
        <v>1998</v>
      </c>
      <c r="BF2029" s="58"/>
      <c r="BG2029" s="191" t="s">
        <v>479</v>
      </c>
      <c r="BH2029" s="236"/>
      <c r="BI2029" s="58"/>
      <c r="BK2029" s="58" t="s">
        <v>5976</v>
      </c>
      <c r="BL2029" s="58"/>
      <c r="BM2029" s="237" t="s">
        <v>119</v>
      </c>
      <c r="BN2029" s="58">
        <v>4</v>
      </c>
      <c r="BO2029" s="58">
        <v>4</v>
      </c>
      <c r="BP2029" s="58">
        <v>4</v>
      </c>
      <c r="BQ2029" s="58" t="s">
        <v>141</v>
      </c>
      <c r="BR2029" s="58"/>
      <c r="BS2029" s="58"/>
      <c r="BT2029" s="58"/>
      <c r="BU2029" s="58"/>
      <c r="BV2029" s="58" t="s">
        <v>2066</v>
      </c>
      <c r="CB2029" s="68"/>
      <c r="CC2029" s="68"/>
      <c r="CD2029" s="68"/>
      <c r="CE2029" s="67"/>
      <c r="CH2029" s="94"/>
      <c r="CI2029" s="94"/>
      <c r="CM2029" s="65">
        <f>(CR2029*1000000)/(100*100*AD2029*AA2029/100*1000000)*100</f>
        <v>0.35362597310290095</v>
      </c>
      <c r="CN2029" s="65">
        <f>(CS2029*1000000)/(100*100*AD2029*AA2029/100*1000000)*100</f>
        <v>0.37998318848945251</v>
      </c>
      <c r="CR2029" s="67">
        <v>16.100000000000001</v>
      </c>
      <c r="CS2029" s="67">
        <v>17.3</v>
      </c>
      <c r="CV2029" s="65" t="s">
        <v>2070</v>
      </c>
      <c r="DA2029" s="65" t="s">
        <v>4463</v>
      </c>
      <c r="DB2029" s="65">
        <v>1.28</v>
      </c>
      <c r="DC2029" s="65">
        <v>1.38</v>
      </c>
      <c r="DF2029" s="65" t="s">
        <v>2053</v>
      </c>
      <c r="GP2029" s="292" t="s">
        <v>7494</v>
      </c>
      <c r="JU2029" s="58" t="s">
        <v>2041</v>
      </c>
      <c r="JV2029" s="58" t="s">
        <v>2055</v>
      </c>
    </row>
    <row r="2030" spans="1:282" x14ac:dyDescent="0.25">
      <c r="A2030" s="55">
        <v>2029</v>
      </c>
      <c r="B2030" s="12" t="s">
        <v>7067</v>
      </c>
      <c r="C2030" s="157">
        <v>92</v>
      </c>
      <c r="D2030" s="59" t="s">
        <v>4084</v>
      </c>
      <c r="E2030" s="94" t="s">
        <v>741</v>
      </c>
      <c r="F2030" s="94"/>
      <c r="G2030" s="58" t="s">
        <v>2074</v>
      </c>
      <c r="H2030" s="58">
        <v>2003</v>
      </c>
      <c r="I2030" s="58">
        <v>1998</v>
      </c>
      <c r="J2030" s="58" t="s">
        <v>2003</v>
      </c>
      <c r="K2030" s="58" t="s">
        <v>2002</v>
      </c>
      <c r="L2030" s="58" t="s">
        <v>2737</v>
      </c>
      <c r="M2030" s="94">
        <v>32.56</v>
      </c>
      <c r="N2030" s="94">
        <v>-83.9</v>
      </c>
      <c r="O2030" s="94">
        <v>16</v>
      </c>
      <c r="P2030" s="58">
        <v>18.100000000000001</v>
      </c>
      <c r="Q2030" s="58"/>
      <c r="R2030" s="58">
        <v>1258</v>
      </c>
      <c r="S2030" s="94"/>
      <c r="T2030" s="58"/>
      <c r="U2030" s="58">
        <v>5</v>
      </c>
      <c r="V2030" s="58" t="s">
        <v>1694</v>
      </c>
      <c r="Y2030" s="58" t="s">
        <v>2069</v>
      </c>
      <c r="Z2030" s="58" t="s">
        <v>1356</v>
      </c>
      <c r="AA2030" s="94">
        <v>30</v>
      </c>
      <c r="AD2030" s="94">
        <v>1.5189159999999999</v>
      </c>
      <c r="AE2030" s="94">
        <v>65</v>
      </c>
      <c r="AF2030" s="94">
        <v>20</v>
      </c>
      <c r="AG2030" s="94"/>
      <c r="AH2030" s="58" t="s">
        <v>238</v>
      </c>
      <c r="AI2030" s="169"/>
      <c r="AJ2030" s="94"/>
      <c r="AK2030" s="94"/>
      <c r="AL2030" s="58"/>
      <c r="AM2030" s="58" t="s">
        <v>2001</v>
      </c>
      <c r="AN2030" s="186" t="s">
        <v>2000</v>
      </c>
      <c r="AO2030" s="185" t="s">
        <v>5150</v>
      </c>
      <c r="AP2030" s="58"/>
      <c r="AQ2030" s="58" t="s">
        <v>553</v>
      </c>
      <c r="AR2030" s="58" t="s">
        <v>1999</v>
      </c>
      <c r="AS2030" s="58" t="s">
        <v>227</v>
      </c>
      <c r="AT2030" s="182"/>
      <c r="AU2030" s="181" t="s">
        <v>7494</v>
      </c>
      <c r="AV2030" s="185" t="s">
        <v>176</v>
      </c>
      <c r="AW2030" s="58"/>
      <c r="AX2030" s="185" t="s">
        <v>176</v>
      </c>
      <c r="AY2030" s="58"/>
      <c r="AZ2030" s="58" t="s">
        <v>1976</v>
      </c>
      <c r="BA2030" s="58" t="s">
        <v>1976</v>
      </c>
      <c r="BB2030" s="58" t="s">
        <v>2081</v>
      </c>
      <c r="BC2030" s="58" t="s">
        <v>2081</v>
      </c>
      <c r="BD2030" s="55" t="s">
        <v>176</v>
      </c>
      <c r="BE2030" s="236" t="s">
        <v>1998</v>
      </c>
      <c r="BF2030" s="58"/>
      <c r="BG2030" s="191" t="s">
        <v>479</v>
      </c>
      <c r="BH2030" s="236"/>
      <c r="BI2030" s="58"/>
      <c r="BK2030" s="58" t="s">
        <v>5976</v>
      </c>
      <c r="BL2030" s="58"/>
      <c r="BM2030" s="237" t="s">
        <v>119</v>
      </c>
      <c r="BN2030" s="58">
        <v>4</v>
      </c>
      <c r="BO2030" s="58">
        <v>4</v>
      </c>
      <c r="BP2030" s="58">
        <v>4</v>
      </c>
      <c r="BQ2030" s="58" t="s">
        <v>141</v>
      </c>
      <c r="BR2030" s="58"/>
      <c r="BS2030" s="58"/>
      <c r="BT2030" s="58"/>
      <c r="BU2030" s="58"/>
      <c r="BV2030" s="58" t="s">
        <v>2066</v>
      </c>
      <c r="CB2030" s="68"/>
      <c r="CC2030" s="68"/>
      <c r="CD2030" s="68"/>
      <c r="CE2030" s="67"/>
      <c r="CH2030" s="94"/>
      <c r="CI2030" s="94"/>
      <c r="CM2030" s="65">
        <f>(CR2030*1000000)/(100*100*AD2030*AA2030/100*1000000)*100</f>
        <v>0.3533221499191968</v>
      </c>
      <c r="CN2030" s="65">
        <f>(CS2030*1000000)/(100*100*AD2030*AA2030/100*1000000)*100</f>
        <v>0.38843491015961384</v>
      </c>
      <c r="CR2030" s="67">
        <v>16.100000000000001</v>
      </c>
      <c r="CS2030" s="67">
        <v>17.7</v>
      </c>
      <c r="CV2030" s="65" t="s">
        <v>2070</v>
      </c>
      <c r="DA2030" s="65" t="s">
        <v>4463</v>
      </c>
      <c r="DB2030" s="65">
        <v>1.28</v>
      </c>
      <c r="DC2030" s="65">
        <v>1.36</v>
      </c>
      <c r="DF2030" s="65" t="s">
        <v>2053</v>
      </c>
      <c r="GP2030" s="292" t="s">
        <v>7494</v>
      </c>
      <c r="JU2030" s="58" t="s">
        <v>2041</v>
      </c>
      <c r="JV2030" s="58" t="s">
        <v>2055</v>
      </c>
    </row>
    <row r="2031" spans="1:282" x14ac:dyDescent="0.25">
      <c r="A2031" s="55">
        <v>2030</v>
      </c>
      <c r="B2031" s="12" t="s">
        <v>7067</v>
      </c>
      <c r="C2031" s="157">
        <v>92</v>
      </c>
      <c r="D2031" s="59" t="s">
        <v>4069</v>
      </c>
      <c r="E2031" s="94" t="s">
        <v>741</v>
      </c>
      <c r="F2031" s="94"/>
      <c r="G2031" s="58" t="s">
        <v>2074</v>
      </c>
      <c r="H2031" s="58">
        <v>2003</v>
      </c>
      <c r="I2031" s="58">
        <v>1999</v>
      </c>
      <c r="J2031" s="58" t="s">
        <v>2003</v>
      </c>
      <c r="K2031" s="58" t="s">
        <v>2002</v>
      </c>
      <c r="L2031" s="58" t="s">
        <v>2737</v>
      </c>
      <c r="M2031" s="94">
        <v>32.56</v>
      </c>
      <c r="N2031" s="94">
        <v>-83.9</v>
      </c>
      <c r="O2031" s="94">
        <v>16</v>
      </c>
      <c r="P2031" s="58">
        <v>18.100000000000001</v>
      </c>
      <c r="Q2031" s="58"/>
      <c r="R2031" s="58">
        <v>1258</v>
      </c>
      <c r="S2031" s="94"/>
      <c r="T2031" s="58"/>
      <c r="U2031" s="58">
        <v>6</v>
      </c>
      <c r="V2031" s="58" t="s">
        <v>1694</v>
      </c>
      <c r="Y2031" s="58" t="s">
        <v>2069</v>
      </c>
      <c r="Z2031" s="58" t="s">
        <v>1356</v>
      </c>
      <c r="AA2031" s="94">
        <v>30</v>
      </c>
      <c r="AD2031" s="94">
        <v>1.5152619999999999</v>
      </c>
      <c r="AE2031" s="94">
        <v>65</v>
      </c>
      <c r="AF2031" s="94">
        <v>20</v>
      </c>
      <c r="AG2031" s="94"/>
      <c r="AH2031" s="58" t="s">
        <v>238</v>
      </c>
      <c r="AI2031" s="169"/>
      <c r="AJ2031" s="94"/>
      <c r="AK2031" s="94"/>
      <c r="AL2031" s="58"/>
      <c r="AM2031" s="58" t="s">
        <v>2001</v>
      </c>
      <c r="AN2031" s="186" t="s">
        <v>1713</v>
      </c>
      <c r="AO2031" s="185" t="s">
        <v>5150</v>
      </c>
      <c r="AP2031" s="58"/>
      <c r="AQ2031" s="58" t="s">
        <v>131</v>
      </c>
      <c r="AR2031" s="58" t="s">
        <v>1999</v>
      </c>
      <c r="AS2031" s="58" t="s">
        <v>227</v>
      </c>
      <c r="AT2031" s="182"/>
      <c r="AU2031" s="181" t="s">
        <v>7494</v>
      </c>
      <c r="AV2031" s="185" t="s">
        <v>176</v>
      </c>
      <c r="AW2031" s="58"/>
      <c r="AX2031" s="185" t="s">
        <v>176</v>
      </c>
      <c r="AY2031" s="58"/>
      <c r="AZ2031" s="58" t="s">
        <v>1976</v>
      </c>
      <c r="BA2031" s="58" t="s">
        <v>1976</v>
      </c>
      <c r="BB2031" s="58" t="s">
        <v>2081</v>
      </c>
      <c r="BC2031" s="58" t="s">
        <v>2081</v>
      </c>
      <c r="BD2031" s="55" t="s">
        <v>176</v>
      </c>
      <c r="BE2031" s="236" t="s">
        <v>1998</v>
      </c>
      <c r="BF2031" s="58"/>
      <c r="BG2031" s="191" t="s">
        <v>479</v>
      </c>
      <c r="BH2031" s="236"/>
      <c r="BI2031" s="58"/>
      <c r="BK2031" s="58" t="s">
        <v>5976</v>
      </c>
      <c r="BL2031" s="58"/>
      <c r="BM2031" s="237" t="s">
        <v>119</v>
      </c>
      <c r="BN2031" s="58">
        <v>4</v>
      </c>
      <c r="BO2031" s="58">
        <v>4</v>
      </c>
      <c r="BP2031" s="58">
        <v>4</v>
      </c>
      <c r="BQ2031" s="58" t="s">
        <v>141</v>
      </c>
      <c r="BR2031" s="58"/>
      <c r="BS2031" s="58">
        <v>3704</v>
      </c>
      <c r="BT2031" s="58">
        <v>49.2</v>
      </c>
      <c r="BU2031" s="58"/>
      <c r="BV2031" s="58" t="s">
        <v>2066</v>
      </c>
      <c r="CB2031" s="68">
        <v>56100</v>
      </c>
      <c r="CC2031" s="68">
        <v>37000</v>
      </c>
      <c r="CD2031" s="68"/>
      <c r="CE2031" s="67"/>
      <c r="CH2031" s="94"/>
      <c r="CI2031" s="94"/>
      <c r="CM2031" s="65">
        <f>(CR2031*1000000)/(100*100*AD2031*AA2031/100*1000000)*100</f>
        <v>0.34317497568077338</v>
      </c>
      <c r="CN2031" s="65">
        <f>(CS2031*1000000)/(100*100*AD2031*AA2031/100*1000000)*100</f>
        <v>0.40697032372399405</v>
      </c>
      <c r="CR2031" s="67">
        <v>15.6</v>
      </c>
      <c r="CS2031" s="67">
        <v>18.5</v>
      </c>
      <c r="CV2031" s="65" t="s">
        <v>2070</v>
      </c>
      <c r="DA2031" s="65" t="s">
        <v>4463</v>
      </c>
      <c r="DB2031" s="65">
        <v>1.32</v>
      </c>
      <c r="DC2031" s="65">
        <v>1.45</v>
      </c>
      <c r="DF2031" s="65" t="s">
        <v>2053</v>
      </c>
      <c r="GP2031" s="292" t="s">
        <v>7494</v>
      </c>
      <c r="JU2031" s="58" t="s">
        <v>2041</v>
      </c>
      <c r="JV2031" s="58" t="s">
        <v>2055</v>
      </c>
    </row>
    <row r="2032" spans="1:282" x14ac:dyDescent="0.25">
      <c r="A2032" s="55">
        <v>2031</v>
      </c>
      <c r="B2032" s="12" t="s">
        <v>7067</v>
      </c>
      <c r="C2032" s="157">
        <v>92</v>
      </c>
      <c r="D2032" s="59" t="s">
        <v>4084</v>
      </c>
      <c r="E2032" s="94" t="s">
        <v>741</v>
      </c>
      <c r="F2032" s="94"/>
      <c r="G2032" s="58" t="s">
        <v>2074</v>
      </c>
      <c r="H2032" s="58">
        <v>2003</v>
      </c>
      <c r="I2032" s="58">
        <v>1999</v>
      </c>
      <c r="J2032" s="58" t="s">
        <v>2003</v>
      </c>
      <c r="K2032" s="58" t="s">
        <v>2002</v>
      </c>
      <c r="L2032" s="58" t="s">
        <v>2737</v>
      </c>
      <c r="M2032" s="94">
        <v>32.56</v>
      </c>
      <c r="N2032" s="94">
        <v>-83.9</v>
      </c>
      <c r="O2032" s="94">
        <v>16</v>
      </c>
      <c r="P2032" s="58">
        <v>18.100000000000001</v>
      </c>
      <c r="Q2032" s="58"/>
      <c r="R2032" s="58">
        <v>1258</v>
      </c>
      <c r="S2032" s="94"/>
      <c r="T2032" s="58"/>
      <c r="U2032" s="58">
        <v>6</v>
      </c>
      <c r="V2032" s="58" t="s">
        <v>1694</v>
      </c>
      <c r="Y2032" s="58" t="s">
        <v>2069</v>
      </c>
      <c r="Z2032" s="58" t="s">
        <v>1356</v>
      </c>
      <c r="AA2032" s="94">
        <v>30</v>
      </c>
      <c r="AD2032" s="94">
        <v>1.517611</v>
      </c>
      <c r="AE2032" s="94">
        <v>65</v>
      </c>
      <c r="AF2032" s="94">
        <v>20</v>
      </c>
      <c r="AG2032" s="94"/>
      <c r="AH2032" s="58" t="s">
        <v>238</v>
      </c>
      <c r="AI2032" s="169"/>
      <c r="AJ2032" s="94"/>
      <c r="AK2032" s="94"/>
      <c r="AL2032" s="58"/>
      <c r="AM2032" s="58" t="s">
        <v>2001</v>
      </c>
      <c r="AN2032" s="186" t="s">
        <v>1991</v>
      </c>
      <c r="AO2032" s="185" t="s">
        <v>5150</v>
      </c>
      <c r="AP2032" s="58"/>
      <c r="AQ2032" s="58" t="s">
        <v>553</v>
      </c>
      <c r="AR2032" s="58" t="s">
        <v>1999</v>
      </c>
      <c r="AS2032" s="58" t="s">
        <v>227</v>
      </c>
      <c r="AT2032" s="182"/>
      <c r="AU2032" s="181" t="s">
        <v>7494</v>
      </c>
      <c r="AV2032" s="185" t="s">
        <v>176</v>
      </c>
      <c r="AW2032" s="58"/>
      <c r="AX2032" s="185" t="s">
        <v>176</v>
      </c>
      <c r="AY2032" s="58"/>
      <c r="AZ2032" s="58" t="s">
        <v>1976</v>
      </c>
      <c r="BA2032" s="58" t="s">
        <v>1976</v>
      </c>
      <c r="BB2032" s="58" t="s">
        <v>2081</v>
      </c>
      <c r="BC2032" s="58" t="s">
        <v>2081</v>
      </c>
      <c r="BD2032" s="55" t="s">
        <v>176</v>
      </c>
      <c r="BE2032" s="236" t="s">
        <v>1998</v>
      </c>
      <c r="BF2032" s="58"/>
      <c r="BG2032" s="191" t="s">
        <v>479</v>
      </c>
      <c r="BH2032" s="236"/>
      <c r="BI2032" s="58"/>
      <c r="BK2032" s="58" t="s">
        <v>5976</v>
      </c>
      <c r="BL2032" s="58"/>
      <c r="BM2032" s="237" t="s">
        <v>119</v>
      </c>
      <c r="BN2032" s="58">
        <v>4</v>
      </c>
      <c r="BO2032" s="58">
        <v>4</v>
      </c>
      <c r="BP2032" s="58">
        <v>4</v>
      </c>
      <c r="BQ2032" s="58" t="s">
        <v>141</v>
      </c>
      <c r="BR2032" s="58"/>
      <c r="BS2032" s="58"/>
      <c r="BT2032" s="58"/>
      <c r="BU2032" s="58"/>
      <c r="BV2032" s="58" t="s">
        <v>2066</v>
      </c>
      <c r="CB2032" s="68">
        <v>56100</v>
      </c>
      <c r="CC2032" s="68">
        <v>75200</v>
      </c>
      <c r="CD2032" s="68"/>
      <c r="CE2032" s="67"/>
      <c r="CH2032" s="94"/>
      <c r="CI2032" s="94"/>
      <c r="CM2032" s="65">
        <f>(CR2032*1000000)/(100*100*AD2032*AA2032/100*1000000)*100</f>
        <v>0.34264380002517103</v>
      </c>
      <c r="CN2032" s="65">
        <f>(CS2032*1000000)/(100*100*AD2032*AA2032/100*1000000)*100</f>
        <v>0.38876892695163645</v>
      </c>
      <c r="CR2032" s="67">
        <v>15.6</v>
      </c>
      <c r="CS2032" s="67">
        <v>17.7</v>
      </c>
      <c r="CV2032" s="65" t="s">
        <v>2070</v>
      </c>
      <c r="DA2032" s="65" t="s">
        <v>4463</v>
      </c>
      <c r="DB2032" s="65">
        <v>1.32</v>
      </c>
      <c r="DC2032" s="65">
        <v>1.41</v>
      </c>
      <c r="DF2032" s="65" t="s">
        <v>2053</v>
      </c>
      <c r="GP2032" s="292" t="s">
        <v>7494</v>
      </c>
      <c r="JU2032" s="58" t="s">
        <v>2041</v>
      </c>
      <c r="JV2032" s="58" t="s">
        <v>2055</v>
      </c>
    </row>
    <row r="2033" spans="1:282" x14ac:dyDescent="0.25">
      <c r="A2033" s="55">
        <v>2032</v>
      </c>
      <c r="B2033" s="12" t="s">
        <v>7067</v>
      </c>
      <c r="C2033" s="157">
        <v>92</v>
      </c>
      <c r="D2033" s="59" t="s">
        <v>4084</v>
      </c>
      <c r="E2033" s="94" t="s">
        <v>741</v>
      </c>
      <c r="F2033" s="94"/>
      <c r="G2033" s="58" t="s">
        <v>2074</v>
      </c>
      <c r="H2033" s="58">
        <v>2003</v>
      </c>
      <c r="I2033" s="58">
        <v>1999</v>
      </c>
      <c r="J2033" s="58" t="s">
        <v>2003</v>
      </c>
      <c r="K2033" s="58" t="s">
        <v>2002</v>
      </c>
      <c r="L2033" s="58" t="s">
        <v>2737</v>
      </c>
      <c r="M2033" s="94">
        <v>32.56</v>
      </c>
      <c r="N2033" s="94">
        <v>-83.9</v>
      </c>
      <c r="O2033" s="94">
        <v>16</v>
      </c>
      <c r="P2033" s="58">
        <v>18.100000000000001</v>
      </c>
      <c r="Q2033" s="58"/>
      <c r="R2033" s="58">
        <v>1258</v>
      </c>
      <c r="S2033" s="94"/>
      <c r="T2033" s="58"/>
      <c r="U2033" s="58">
        <v>6</v>
      </c>
      <c r="V2033" s="58" t="s">
        <v>1694</v>
      </c>
      <c r="Y2033" s="58" t="s">
        <v>2069</v>
      </c>
      <c r="Z2033" s="58" t="s">
        <v>1356</v>
      </c>
      <c r="AA2033" s="94">
        <v>30</v>
      </c>
      <c r="AD2033" s="94">
        <v>1.5189159999999999</v>
      </c>
      <c r="AE2033" s="94">
        <v>65</v>
      </c>
      <c r="AF2033" s="94">
        <v>20</v>
      </c>
      <c r="AG2033" s="94"/>
      <c r="AH2033" s="58" t="s">
        <v>238</v>
      </c>
      <c r="AI2033" s="169"/>
      <c r="AJ2033" s="94"/>
      <c r="AK2033" s="94"/>
      <c r="AL2033" s="58"/>
      <c r="AM2033" s="58" t="s">
        <v>2001</v>
      </c>
      <c r="AN2033" s="186" t="s">
        <v>2000</v>
      </c>
      <c r="AO2033" s="185" t="s">
        <v>5150</v>
      </c>
      <c r="AP2033" s="58"/>
      <c r="AQ2033" s="58" t="s">
        <v>553</v>
      </c>
      <c r="AR2033" s="58" t="s">
        <v>1999</v>
      </c>
      <c r="AS2033" s="58" t="s">
        <v>227</v>
      </c>
      <c r="AT2033" s="182"/>
      <c r="AU2033" s="181" t="s">
        <v>7494</v>
      </c>
      <c r="AV2033" s="185" t="s">
        <v>176</v>
      </c>
      <c r="AW2033" s="58"/>
      <c r="AX2033" s="185" t="s">
        <v>176</v>
      </c>
      <c r="AY2033" s="58"/>
      <c r="AZ2033" s="58" t="s">
        <v>1976</v>
      </c>
      <c r="BA2033" s="58" t="s">
        <v>1976</v>
      </c>
      <c r="BB2033" s="58" t="s">
        <v>2081</v>
      </c>
      <c r="BC2033" s="58" t="s">
        <v>2081</v>
      </c>
      <c r="BD2033" s="55" t="s">
        <v>176</v>
      </c>
      <c r="BE2033" s="236" t="s">
        <v>1998</v>
      </c>
      <c r="BF2033" s="58"/>
      <c r="BG2033" s="191" t="s">
        <v>479</v>
      </c>
      <c r="BH2033" s="236"/>
      <c r="BI2033" s="58"/>
      <c r="BK2033" s="58" t="s">
        <v>5976</v>
      </c>
      <c r="BL2033" s="58"/>
      <c r="BM2033" s="237" t="s">
        <v>119</v>
      </c>
      <c r="BN2033" s="58">
        <v>4</v>
      </c>
      <c r="BO2033" s="58">
        <v>4</v>
      </c>
      <c r="BP2033" s="58">
        <v>4</v>
      </c>
      <c r="BQ2033" s="58" t="s">
        <v>141</v>
      </c>
      <c r="BR2033" s="58"/>
      <c r="BS2033" s="58">
        <v>1231</v>
      </c>
      <c r="BT2033" s="58">
        <v>14.3</v>
      </c>
      <c r="BU2033" s="58"/>
      <c r="BV2033" s="58" t="s">
        <v>2066</v>
      </c>
      <c r="CB2033" s="68">
        <v>56100</v>
      </c>
      <c r="CC2033" s="68">
        <v>65400</v>
      </c>
      <c r="CD2033" s="68"/>
      <c r="CE2033" s="67"/>
      <c r="CH2033" s="94"/>
      <c r="CI2033" s="94"/>
      <c r="CM2033" s="65">
        <f>(CR2033*1000000)/(100*100*AD2033*AA2033/100*1000000)*100</f>
        <v>0.34234941234406646</v>
      </c>
      <c r="CN2033" s="65">
        <f>(CS2033*1000000)/(100*100*AD2033*AA2033/100*1000000)*100</f>
        <v>0.38843491015961384</v>
      </c>
      <c r="CR2033" s="67">
        <v>15.6</v>
      </c>
      <c r="CS2033" s="67">
        <v>17.7</v>
      </c>
      <c r="CV2033" s="65" t="s">
        <v>2070</v>
      </c>
      <c r="DA2033" s="65" t="s">
        <v>4463</v>
      </c>
      <c r="DB2033" s="65">
        <v>1.32</v>
      </c>
      <c r="DC2033" s="65">
        <v>1.44</v>
      </c>
      <c r="DF2033" s="65" t="s">
        <v>2053</v>
      </c>
      <c r="GP2033" s="292" t="s">
        <v>7494</v>
      </c>
      <c r="JU2033" s="58" t="s">
        <v>2041</v>
      </c>
      <c r="JV2033" s="58" t="s">
        <v>2055</v>
      </c>
    </row>
    <row r="2034" spans="1:282" x14ac:dyDescent="0.25">
      <c r="A2034" s="55">
        <v>2033</v>
      </c>
      <c r="B2034" s="12" t="s">
        <v>7067</v>
      </c>
      <c r="C2034" s="157">
        <v>92</v>
      </c>
      <c r="D2034" s="59" t="s">
        <v>4069</v>
      </c>
      <c r="E2034" s="94" t="s">
        <v>741</v>
      </c>
      <c r="F2034" s="94"/>
      <c r="G2034" s="58" t="s">
        <v>2074</v>
      </c>
      <c r="H2034" s="58">
        <v>2003</v>
      </c>
      <c r="I2034" s="58">
        <v>2000</v>
      </c>
      <c r="J2034" s="58" t="s">
        <v>2003</v>
      </c>
      <c r="K2034" s="58" t="s">
        <v>2002</v>
      </c>
      <c r="L2034" s="58" t="s">
        <v>2737</v>
      </c>
      <c r="M2034" s="94">
        <v>32.56</v>
      </c>
      <c r="N2034" s="94">
        <v>-83.9</v>
      </c>
      <c r="O2034" s="94">
        <v>16</v>
      </c>
      <c r="P2034" s="58">
        <v>18.100000000000001</v>
      </c>
      <c r="Q2034" s="58"/>
      <c r="R2034" s="58">
        <v>1258</v>
      </c>
      <c r="S2034" s="94"/>
      <c r="T2034" s="58"/>
      <c r="U2034" s="58">
        <v>7</v>
      </c>
      <c r="V2034" s="58" t="s">
        <v>1694</v>
      </c>
      <c r="Y2034" s="58" t="s">
        <v>2069</v>
      </c>
      <c r="Z2034" s="58" t="s">
        <v>1356</v>
      </c>
      <c r="AA2034" s="94">
        <v>30</v>
      </c>
      <c r="AD2034" s="94">
        <v>1.5152619999999999</v>
      </c>
      <c r="AE2034" s="94">
        <v>65</v>
      </c>
      <c r="AF2034" s="94">
        <v>20</v>
      </c>
      <c r="AG2034" s="94"/>
      <c r="AH2034" s="58" t="s">
        <v>238</v>
      </c>
      <c r="AI2034" s="169"/>
      <c r="AJ2034" s="94"/>
      <c r="AK2034" s="94"/>
      <c r="AL2034" s="58"/>
      <c r="AM2034" s="58" t="s">
        <v>2001</v>
      </c>
      <c r="AN2034" s="186" t="s">
        <v>1713</v>
      </c>
      <c r="AO2034" s="185" t="s">
        <v>5150</v>
      </c>
      <c r="AP2034" s="58"/>
      <c r="AQ2034" s="58" t="s">
        <v>131</v>
      </c>
      <c r="AR2034" s="58" t="s">
        <v>2051</v>
      </c>
      <c r="AS2034" s="58" t="s">
        <v>227</v>
      </c>
      <c r="AT2034" s="182"/>
      <c r="AU2034" s="181" t="s">
        <v>7494</v>
      </c>
      <c r="AV2034" s="185" t="s">
        <v>176</v>
      </c>
      <c r="AW2034" s="58"/>
      <c r="AX2034" s="185" t="s">
        <v>176</v>
      </c>
      <c r="AY2034" s="58"/>
      <c r="AZ2034" s="58" t="s">
        <v>1976</v>
      </c>
      <c r="BA2034" s="58" t="s">
        <v>1976</v>
      </c>
      <c r="BB2034" s="58" t="s">
        <v>2081</v>
      </c>
      <c r="BC2034" s="58" t="s">
        <v>2081</v>
      </c>
      <c r="BD2034" s="55" t="s">
        <v>176</v>
      </c>
      <c r="BE2034" s="236" t="s">
        <v>1998</v>
      </c>
      <c r="BF2034" s="58"/>
      <c r="BG2034" s="191" t="s">
        <v>479</v>
      </c>
      <c r="BH2034" s="236"/>
      <c r="BI2034" s="58"/>
      <c r="BK2034" s="58" t="s">
        <v>5976</v>
      </c>
      <c r="BL2034" s="58"/>
      <c r="BM2034" s="237" t="s">
        <v>119</v>
      </c>
      <c r="BN2034" s="58">
        <v>4</v>
      </c>
      <c r="BO2034" s="58">
        <v>4</v>
      </c>
      <c r="BP2034" s="58">
        <v>4</v>
      </c>
      <c r="BQ2034" s="58" t="s">
        <v>141</v>
      </c>
      <c r="BR2034" s="58"/>
      <c r="BS2034" s="58">
        <v>3000</v>
      </c>
      <c r="BT2034" s="58">
        <v>35.200000000000003</v>
      </c>
      <c r="BU2034" s="58"/>
      <c r="BV2034" s="58" t="s">
        <v>2066</v>
      </c>
      <c r="CB2034" s="68">
        <v>23700</v>
      </c>
      <c r="CC2034" s="68">
        <v>21000</v>
      </c>
      <c r="CD2034" s="68"/>
      <c r="CE2034" s="67"/>
      <c r="CH2034" s="94"/>
      <c r="CI2034" s="94"/>
      <c r="CM2034" s="65">
        <f>(CR2034*1000000)/(100*100*AD2034*AA2034/100*1000000)*100</f>
        <v>0.32777609856689249</v>
      </c>
      <c r="CN2034" s="65">
        <f>(CS2034*1000000)/(100*100*AD2034*AA2034/100*1000000)*100</f>
        <v>0.41137000289938858</v>
      </c>
      <c r="CR2034" s="67">
        <v>14.9</v>
      </c>
      <c r="CS2034" s="67">
        <v>18.7</v>
      </c>
      <c r="CV2034" s="65" t="s">
        <v>2070</v>
      </c>
      <c r="DA2034" s="65" t="s">
        <v>4463</v>
      </c>
      <c r="DB2034" s="65">
        <v>1.31</v>
      </c>
      <c r="DC2034" s="65">
        <v>1.45</v>
      </c>
      <c r="DF2034" s="65" t="s">
        <v>2053</v>
      </c>
      <c r="GP2034" s="292" t="s">
        <v>7494</v>
      </c>
      <c r="JU2034" s="58" t="s">
        <v>2041</v>
      </c>
      <c r="JV2034" s="58" t="s">
        <v>2055</v>
      </c>
    </row>
    <row r="2035" spans="1:282" x14ac:dyDescent="0.25">
      <c r="A2035" s="55">
        <v>2034</v>
      </c>
      <c r="B2035" s="12" t="s">
        <v>7067</v>
      </c>
      <c r="C2035" s="157">
        <v>92</v>
      </c>
      <c r="D2035" s="59" t="s">
        <v>4084</v>
      </c>
      <c r="E2035" s="94" t="s">
        <v>741</v>
      </c>
      <c r="F2035" s="94"/>
      <c r="G2035" s="58" t="s">
        <v>2074</v>
      </c>
      <c r="H2035" s="58">
        <v>2003</v>
      </c>
      <c r="I2035" s="58">
        <v>2000</v>
      </c>
      <c r="J2035" s="58" t="s">
        <v>2003</v>
      </c>
      <c r="K2035" s="58" t="s">
        <v>2002</v>
      </c>
      <c r="L2035" s="58" t="s">
        <v>2737</v>
      </c>
      <c r="M2035" s="94">
        <v>32.56</v>
      </c>
      <c r="N2035" s="94">
        <v>-83.9</v>
      </c>
      <c r="O2035" s="94">
        <v>16</v>
      </c>
      <c r="P2035" s="58">
        <v>18.100000000000001</v>
      </c>
      <c r="Q2035" s="58"/>
      <c r="R2035" s="58">
        <v>1258</v>
      </c>
      <c r="S2035" s="94"/>
      <c r="T2035" s="58"/>
      <c r="U2035" s="58">
        <v>7</v>
      </c>
      <c r="V2035" s="58" t="s">
        <v>1694</v>
      </c>
      <c r="Y2035" s="58" t="s">
        <v>2069</v>
      </c>
      <c r="Z2035" s="58" t="s">
        <v>1356</v>
      </c>
      <c r="AA2035" s="94">
        <v>30</v>
      </c>
      <c r="AD2035" s="94">
        <v>1.517611</v>
      </c>
      <c r="AE2035" s="94">
        <v>65</v>
      </c>
      <c r="AF2035" s="94">
        <v>20</v>
      </c>
      <c r="AG2035" s="94"/>
      <c r="AH2035" s="58" t="s">
        <v>238</v>
      </c>
      <c r="AI2035" s="169"/>
      <c r="AJ2035" s="94"/>
      <c r="AK2035" s="94"/>
      <c r="AL2035" s="58"/>
      <c r="AM2035" s="58" t="s">
        <v>2001</v>
      </c>
      <c r="AN2035" s="186" t="s">
        <v>1991</v>
      </c>
      <c r="AO2035" s="185" t="s">
        <v>5150</v>
      </c>
      <c r="AP2035" s="58"/>
      <c r="AQ2035" s="58" t="s">
        <v>553</v>
      </c>
      <c r="AR2035" s="58" t="s">
        <v>2051</v>
      </c>
      <c r="AS2035" s="58" t="s">
        <v>227</v>
      </c>
      <c r="AT2035" s="182"/>
      <c r="AU2035" s="181" t="s">
        <v>7494</v>
      </c>
      <c r="AV2035" s="185" t="s">
        <v>176</v>
      </c>
      <c r="AW2035" s="58"/>
      <c r="AX2035" s="185" t="s">
        <v>176</v>
      </c>
      <c r="AY2035" s="58"/>
      <c r="AZ2035" s="58" t="s">
        <v>1976</v>
      </c>
      <c r="BA2035" s="58" t="s">
        <v>1976</v>
      </c>
      <c r="BB2035" s="58" t="s">
        <v>2081</v>
      </c>
      <c r="BC2035" s="58" t="s">
        <v>2081</v>
      </c>
      <c r="BD2035" s="55" t="s">
        <v>176</v>
      </c>
      <c r="BE2035" s="236" t="s">
        <v>1998</v>
      </c>
      <c r="BF2035" s="58"/>
      <c r="BG2035" s="191" t="s">
        <v>479</v>
      </c>
      <c r="BH2035" s="236"/>
      <c r="BI2035" s="58"/>
      <c r="BK2035" s="58" t="s">
        <v>5976</v>
      </c>
      <c r="BL2035" s="58"/>
      <c r="BM2035" s="237" t="s">
        <v>119</v>
      </c>
      <c r="BN2035" s="58">
        <v>4</v>
      </c>
      <c r="BO2035" s="58">
        <v>4</v>
      </c>
      <c r="BP2035" s="58">
        <v>4</v>
      </c>
      <c r="BQ2035" s="58" t="s">
        <v>141</v>
      </c>
      <c r="BR2035" s="58"/>
      <c r="BS2035" s="58">
        <v>1723</v>
      </c>
      <c r="BT2035" s="58">
        <v>9.8000000000000007</v>
      </c>
      <c r="BU2035" s="58"/>
      <c r="BV2035" s="58" t="s">
        <v>2066</v>
      </c>
      <c r="CB2035" s="68">
        <v>23700</v>
      </c>
      <c r="CC2035" s="68">
        <v>52100</v>
      </c>
      <c r="CD2035" s="68"/>
      <c r="CE2035" s="67"/>
      <c r="CH2035" s="94"/>
      <c r="CI2035" s="94"/>
      <c r="CM2035" s="65">
        <f>(CR2035*1000000)/(100*100*AD2035*AA2035/100*1000000)*100</f>
        <v>0.32726875771634928</v>
      </c>
      <c r="CN2035" s="65">
        <f>(CS2035*1000000)/(100*100*AD2035*AA2035/100*1000000)*100</f>
        <v>0.39535823079827431</v>
      </c>
      <c r="CR2035" s="67">
        <v>14.9</v>
      </c>
      <c r="CS2035" s="67">
        <v>18</v>
      </c>
      <c r="CV2035" s="65" t="s">
        <v>2070</v>
      </c>
      <c r="DA2035" s="65" t="s">
        <v>4463</v>
      </c>
      <c r="DB2035" s="65">
        <v>1.31</v>
      </c>
      <c r="DC2035" s="65">
        <v>1.41</v>
      </c>
      <c r="DF2035" s="65" t="s">
        <v>2053</v>
      </c>
      <c r="GP2035" s="292" t="s">
        <v>7494</v>
      </c>
      <c r="JU2035" s="58" t="s">
        <v>2041</v>
      </c>
      <c r="JV2035" s="58" t="s">
        <v>2055</v>
      </c>
    </row>
    <row r="2036" spans="1:282" x14ac:dyDescent="0.25">
      <c r="A2036" s="55">
        <v>2035</v>
      </c>
      <c r="B2036" s="12" t="s">
        <v>7067</v>
      </c>
      <c r="C2036" s="157">
        <v>92</v>
      </c>
      <c r="D2036" s="59" t="s">
        <v>4084</v>
      </c>
      <c r="E2036" s="94" t="s">
        <v>741</v>
      </c>
      <c r="F2036" s="94"/>
      <c r="G2036" s="58" t="s">
        <v>2074</v>
      </c>
      <c r="H2036" s="58">
        <v>2003</v>
      </c>
      <c r="I2036" s="58">
        <v>2000</v>
      </c>
      <c r="J2036" s="58" t="s">
        <v>2003</v>
      </c>
      <c r="K2036" s="58" t="s">
        <v>2002</v>
      </c>
      <c r="L2036" s="58" t="s">
        <v>2737</v>
      </c>
      <c r="M2036" s="94">
        <v>32.56</v>
      </c>
      <c r="N2036" s="94">
        <v>-83.9</v>
      </c>
      <c r="O2036" s="94">
        <v>16</v>
      </c>
      <c r="P2036" s="58">
        <v>18.100000000000001</v>
      </c>
      <c r="Q2036" s="58"/>
      <c r="R2036" s="58">
        <v>1258</v>
      </c>
      <c r="S2036" s="94"/>
      <c r="T2036" s="58"/>
      <c r="U2036" s="58">
        <v>7</v>
      </c>
      <c r="V2036" s="58" t="s">
        <v>1694</v>
      </c>
      <c r="Y2036" s="58" t="s">
        <v>2069</v>
      </c>
      <c r="Z2036" s="58" t="s">
        <v>1356</v>
      </c>
      <c r="AA2036" s="94">
        <v>30</v>
      </c>
      <c r="AD2036" s="94">
        <v>1.5189159999999999</v>
      </c>
      <c r="AE2036" s="94">
        <v>65</v>
      </c>
      <c r="AF2036" s="94">
        <v>20</v>
      </c>
      <c r="AG2036" s="94"/>
      <c r="AH2036" s="58" t="s">
        <v>238</v>
      </c>
      <c r="AI2036" s="169"/>
      <c r="AJ2036" s="94"/>
      <c r="AK2036" s="94"/>
      <c r="AL2036" s="58"/>
      <c r="AM2036" s="58" t="s">
        <v>2001</v>
      </c>
      <c r="AN2036" s="186" t="s">
        <v>2000</v>
      </c>
      <c r="AO2036" s="185" t="s">
        <v>5150</v>
      </c>
      <c r="AP2036" s="58"/>
      <c r="AQ2036" s="58" t="s">
        <v>553</v>
      </c>
      <c r="AR2036" s="58" t="s">
        <v>2051</v>
      </c>
      <c r="AS2036" s="58" t="s">
        <v>227</v>
      </c>
      <c r="AT2036" s="182"/>
      <c r="AU2036" s="181" t="s">
        <v>7494</v>
      </c>
      <c r="AV2036" s="185" t="s">
        <v>176</v>
      </c>
      <c r="AW2036" s="58"/>
      <c r="AX2036" s="185" t="s">
        <v>176</v>
      </c>
      <c r="AY2036" s="58"/>
      <c r="AZ2036" s="58" t="s">
        <v>1976</v>
      </c>
      <c r="BA2036" s="58" t="s">
        <v>1976</v>
      </c>
      <c r="BB2036" s="58" t="s">
        <v>2081</v>
      </c>
      <c r="BC2036" s="58" t="s">
        <v>2081</v>
      </c>
      <c r="BD2036" s="55" t="s">
        <v>176</v>
      </c>
      <c r="BE2036" s="236" t="s">
        <v>1998</v>
      </c>
      <c r="BF2036" s="58"/>
      <c r="BG2036" s="191" t="s">
        <v>479</v>
      </c>
      <c r="BH2036" s="236"/>
      <c r="BI2036" s="58"/>
      <c r="BK2036" s="58" t="s">
        <v>5976</v>
      </c>
      <c r="BL2036" s="58"/>
      <c r="BM2036" s="237" t="s">
        <v>119</v>
      </c>
      <c r="BN2036" s="58">
        <v>4</v>
      </c>
      <c r="BO2036" s="58">
        <v>4</v>
      </c>
      <c r="BP2036" s="58">
        <v>4</v>
      </c>
      <c r="BQ2036" s="58" t="s">
        <v>141</v>
      </c>
      <c r="BR2036" s="58"/>
      <c r="BS2036" s="58">
        <v>2285</v>
      </c>
      <c r="BT2036" s="58">
        <v>13.8</v>
      </c>
      <c r="BU2036" s="58"/>
      <c r="BV2036" s="58" t="s">
        <v>2066</v>
      </c>
      <c r="CB2036" s="68">
        <v>23700</v>
      </c>
      <c r="CC2036" s="68">
        <v>45500</v>
      </c>
      <c r="CD2036" s="68"/>
      <c r="CE2036" s="67"/>
      <c r="CH2036" s="94"/>
      <c r="CI2036" s="94"/>
      <c r="CM2036" s="65">
        <f>(CR2036*1000000)/(100*100*AD2036*AA2036/100*1000000)*100</f>
        <v>0.32698757973888398</v>
      </c>
      <c r="CN2036" s="65">
        <f>(CS2036*1000000)/(100*100*AD2036*AA2036/100*1000000)*100</f>
        <v>0.39282400518966593</v>
      </c>
      <c r="CR2036" s="67">
        <v>14.9</v>
      </c>
      <c r="CS2036" s="67">
        <v>17.899999999999999</v>
      </c>
      <c r="CV2036" s="65" t="s">
        <v>2070</v>
      </c>
      <c r="DA2036" s="65" t="s">
        <v>4463</v>
      </c>
      <c r="DB2036" s="65">
        <v>1.31</v>
      </c>
      <c r="DC2036" s="65">
        <v>1.42</v>
      </c>
      <c r="DF2036" s="65" t="s">
        <v>2053</v>
      </c>
      <c r="GP2036" s="292" t="s">
        <v>7494</v>
      </c>
      <c r="JU2036" s="58" t="s">
        <v>2041</v>
      </c>
      <c r="JV2036" s="58" t="s">
        <v>2055</v>
      </c>
    </row>
    <row r="2037" spans="1:282" x14ac:dyDescent="0.25">
      <c r="A2037" s="55">
        <v>2036</v>
      </c>
      <c r="B2037" s="12" t="s">
        <v>7067</v>
      </c>
      <c r="C2037" s="157">
        <v>93</v>
      </c>
      <c r="D2037" s="59" t="s">
        <v>4114</v>
      </c>
      <c r="E2037" s="94" t="s">
        <v>741</v>
      </c>
      <c r="F2037" s="94"/>
      <c r="G2037" s="58" t="s">
        <v>2074</v>
      </c>
      <c r="H2037" s="58">
        <v>2002</v>
      </c>
      <c r="I2037" s="58">
        <v>1996</v>
      </c>
      <c r="J2037" s="58" t="s">
        <v>1709</v>
      </c>
      <c r="K2037" s="58" t="s">
        <v>1990</v>
      </c>
      <c r="L2037" s="58" t="s">
        <v>2737</v>
      </c>
      <c r="M2037" s="94">
        <v>32.57</v>
      </c>
      <c r="N2037" s="94">
        <v>-83.91</v>
      </c>
      <c r="O2037" s="94">
        <v>16</v>
      </c>
      <c r="P2037" s="58">
        <v>18.100000000000001</v>
      </c>
      <c r="Q2037" s="58"/>
      <c r="R2037" s="58">
        <v>1258</v>
      </c>
      <c r="S2037" s="94"/>
      <c r="T2037" s="58"/>
      <c r="U2037" s="58">
        <v>3</v>
      </c>
      <c r="V2037" s="58" t="s">
        <v>1940</v>
      </c>
      <c r="Y2037" s="58" t="s">
        <v>2058</v>
      </c>
      <c r="Z2037" s="58" t="s">
        <v>1346</v>
      </c>
      <c r="AA2037" s="94">
        <v>20</v>
      </c>
      <c r="AD2037" s="94">
        <v>1.39</v>
      </c>
      <c r="AE2037" s="94">
        <v>65</v>
      </c>
      <c r="AF2037" s="94">
        <v>25</v>
      </c>
      <c r="AG2037" s="94"/>
      <c r="AH2037" s="58" t="s">
        <v>238</v>
      </c>
      <c r="AI2037" s="169">
        <v>6.5</v>
      </c>
      <c r="AJ2037" s="94">
        <f>23.9/(100*100*AD2037*0.2)*100</f>
        <v>0.85971223021582732</v>
      </c>
      <c r="AK2037" s="94"/>
      <c r="AL2037" s="58"/>
      <c r="AM2037" s="58" t="s">
        <v>1994</v>
      </c>
      <c r="AN2037" s="186" t="s">
        <v>1991</v>
      </c>
      <c r="AO2037" s="185" t="s">
        <v>5150</v>
      </c>
      <c r="AP2037" s="58"/>
      <c r="AQ2037" s="58" t="s">
        <v>553</v>
      </c>
      <c r="AR2037" s="58" t="s">
        <v>2063</v>
      </c>
      <c r="AS2037" s="58" t="s">
        <v>1580</v>
      </c>
      <c r="AT2037" s="182" t="s">
        <v>1993</v>
      </c>
      <c r="AU2037" s="181" t="s">
        <v>5150</v>
      </c>
      <c r="AV2037" s="185" t="s">
        <v>176</v>
      </c>
      <c r="AW2037" s="58" t="s">
        <v>1993</v>
      </c>
      <c r="AX2037" s="185" t="s">
        <v>176</v>
      </c>
      <c r="AY2037" s="58" t="s">
        <v>176</v>
      </c>
      <c r="AZ2037" s="58" t="s">
        <v>2067</v>
      </c>
      <c r="BA2037" s="58" t="s">
        <v>2067</v>
      </c>
      <c r="BB2037" s="58" t="s">
        <v>2082</v>
      </c>
      <c r="BC2037" s="58" t="s">
        <v>2082</v>
      </c>
      <c r="BD2037" s="55" t="s">
        <v>176</v>
      </c>
      <c r="BE2037" s="236" t="s">
        <v>610</v>
      </c>
      <c r="BF2037" s="58"/>
      <c r="BG2037" s="191" t="s">
        <v>479</v>
      </c>
      <c r="BH2037" s="236" t="s">
        <v>610</v>
      </c>
      <c r="BI2037" s="191" t="s">
        <v>479</v>
      </c>
      <c r="BJ2037" s="58" t="s">
        <v>176</v>
      </c>
      <c r="BK2037" s="58" t="s">
        <v>6269</v>
      </c>
      <c r="BL2037" s="58"/>
      <c r="BM2037" s="237" t="s">
        <v>160</v>
      </c>
      <c r="BN2037" s="58">
        <v>4</v>
      </c>
      <c r="BO2037" s="58">
        <v>4</v>
      </c>
      <c r="BP2037" s="58">
        <v>4</v>
      </c>
      <c r="BQ2037" s="58" t="s">
        <v>141</v>
      </c>
      <c r="BR2037" s="58"/>
      <c r="BS2037" s="58">
        <v>2390</v>
      </c>
      <c r="BT2037" s="58">
        <v>11.7</v>
      </c>
      <c r="BU2037" s="58"/>
      <c r="BV2037" s="58"/>
      <c r="CB2037" s="68">
        <v>53900</v>
      </c>
      <c r="CC2037" s="68">
        <v>56700</v>
      </c>
      <c r="CD2037" s="68"/>
      <c r="CE2037" s="67"/>
      <c r="CG2037" s="65" t="s">
        <v>2064</v>
      </c>
      <c r="CH2037" s="94"/>
      <c r="CI2037" s="94"/>
      <c r="CM2037" s="65">
        <f>(CR2037*1000000)/(100*100*AD2037*AA2037/100*1000000)*100</f>
        <v>0.8161470823341328</v>
      </c>
      <c r="CN2037" s="65">
        <f>(CS2037*1000000)/(100*100*AD2037*AA2037/100*1000000)*100</f>
        <v>0.85131894484412485</v>
      </c>
      <c r="CR2037" s="67">
        <f>AVERAGE(CR2043,CR2049,CR2055,CR2061,CR2067,CR2073,CR2079,CR2085,CR2091)</f>
        <v>22.688888888888886</v>
      </c>
      <c r="CS2037" s="67">
        <f>AVERAGE(CS2043,CS2049,CS2055,CS2061,CS2067,CS2073,CS2079,CS2085,CS2091)</f>
        <v>23.666666666666668</v>
      </c>
      <c r="CV2037" s="65" t="s">
        <v>2052</v>
      </c>
      <c r="DA2037" s="65" t="s">
        <v>4463</v>
      </c>
      <c r="DB2037" s="67">
        <f>AVERAGE(DB2043,DB2049,DB2055,DB2061,DB2067,DB2073,DB2079,DB2085,DB2091)</f>
        <v>2.0988888888888888</v>
      </c>
      <c r="DC2037" s="67">
        <f>AVERAGE(DC2043,DC2049,DC2055,DC2061,DC2067,DC2073,DC2079,DC2085,DC2091)</f>
        <v>2.0277777777777777</v>
      </c>
      <c r="DF2037" s="65" t="s">
        <v>545</v>
      </c>
      <c r="GP2037" s="292" t="s">
        <v>7494</v>
      </c>
      <c r="JU2037" s="58" t="s">
        <v>2041</v>
      </c>
      <c r="JV2037" s="58" t="s">
        <v>2065</v>
      </c>
    </row>
    <row r="2038" spans="1:282" x14ac:dyDescent="0.25">
      <c r="A2038" s="55">
        <v>2037</v>
      </c>
      <c r="B2038" s="12" t="s">
        <v>7067</v>
      </c>
      <c r="C2038" s="157">
        <v>93</v>
      </c>
      <c r="D2038" s="59" t="s">
        <v>4114</v>
      </c>
      <c r="E2038" s="94" t="s">
        <v>741</v>
      </c>
      <c r="F2038" s="94"/>
      <c r="G2038" s="58" t="s">
        <v>2074</v>
      </c>
      <c r="H2038" s="58">
        <v>2002</v>
      </c>
      <c r="I2038" s="58">
        <v>1997</v>
      </c>
      <c r="J2038" s="58" t="s">
        <v>1709</v>
      </c>
      <c r="K2038" s="58" t="s">
        <v>1990</v>
      </c>
      <c r="L2038" s="58" t="s">
        <v>2737</v>
      </c>
      <c r="M2038" s="94">
        <v>32.57</v>
      </c>
      <c r="N2038" s="94">
        <v>-83.91</v>
      </c>
      <c r="O2038" s="94">
        <v>16</v>
      </c>
      <c r="P2038" s="58">
        <v>18.100000000000001</v>
      </c>
      <c r="Q2038" s="58"/>
      <c r="R2038" s="58">
        <v>1258</v>
      </c>
      <c r="S2038" s="94"/>
      <c r="T2038" s="58"/>
      <c r="U2038" s="58">
        <v>4</v>
      </c>
      <c r="V2038" s="58" t="s">
        <v>1940</v>
      </c>
      <c r="Y2038" s="58" t="s">
        <v>2058</v>
      </c>
      <c r="Z2038" s="58" t="s">
        <v>1346</v>
      </c>
      <c r="AA2038" s="94">
        <v>20</v>
      </c>
      <c r="AD2038" s="94">
        <v>1.39</v>
      </c>
      <c r="AE2038" s="94">
        <v>65</v>
      </c>
      <c r="AF2038" s="94">
        <v>25</v>
      </c>
      <c r="AG2038" s="94"/>
      <c r="AH2038" s="58" t="s">
        <v>238</v>
      </c>
      <c r="AI2038" s="169">
        <v>6.5</v>
      </c>
      <c r="AJ2038" s="94">
        <f>23.9/(100*100*AD2038*0.2)*100</f>
        <v>0.85971223021582732</v>
      </c>
      <c r="AK2038" s="94"/>
      <c r="AL2038" s="58"/>
      <c r="AM2038" s="58" t="s">
        <v>1994</v>
      </c>
      <c r="AN2038" s="186" t="s">
        <v>1991</v>
      </c>
      <c r="AO2038" s="185" t="s">
        <v>5150</v>
      </c>
      <c r="AP2038" s="58"/>
      <c r="AQ2038" s="58" t="s">
        <v>553</v>
      </c>
      <c r="AR2038" s="58" t="s">
        <v>2063</v>
      </c>
      <c r="AS2038" s="58" t="s">
        <v>1580</v>
      </c>
      <c r="AT2038" s="182" t="s">
        <v>1993</v>
      </c>
      <c r="AU2038" s="181" t="s">
        <v>5150</v>
      </c>
      <c r="AV2038" s="185" t="s">
        <v>176</v>
      </c>
      <c r="AW2038" s="58" t="s">
        <v>1993</v>
      </c>
      <c r="AX2038" s="185" t="s">
        <v>176</v>
      </c>
      <c r="AY2038" s="58" t="s">
        <v>176</v>
      </c>
      <c r="AZ2038" s="58" t="s">
        <v>2067</v>
      </c>
      <c r="BA2038" s="58" t="s">
        <v>2067</v>
      </c>
      <c r="BB2038" s="58" t="s">
        <v>2082</v>
      </c>
      <c r="BC2038" s="58" t="s">
        <v>2082</v>
      </c>
      <c r="BD2038" s="55" t="s">
        <v>176</v>
      </c>
      <c r="BE2038" s="236" t="s">
        <v>610</v>
      </c>
      <c r="BF2038" s="58"/>
      <c r="BG2038" s="191" t="s">
        <v>479</v>
      </c>
      <c r="BH2038" s="236" t="s">
        <v>610</v>
      </c>
      <c r="BI2038" s="191" t="s">
        <v>479</v>
      </c>
      <c r="BJ2038" s="58" t="s">
        <v>176</v>
      </c>
      <c r="BK2038" s="58" t="s">
        <v>6269</v>
      </c>
      <c r="BL2038" s="58"/>
      <c r="BM2038" s="237" t="s">
        <v>160</v>
      </c>
      <c r="BN2038" s="58">
        <v>4</v>
      </c>
      <c r="BO2038" s="58">
        <v>4</v>
      </c>
      <c r="BP2038" s="58">
        <v>4</v>
      </c>
      <c r="BQ2038" s="58" t="s">
        <v>141</v>
      </c>
      <c r="BR2038" s="58"/>
      <c r="BS2038" s="58">
        <v>1802</v>
      </c>
      <c r="BT2038" s="58">
        <v>23.6</v>
      </c>
      <c r="BU2038" s="58"/>
      <c r="BV2038" s="58"/>
      <c r="CB2038" s="68">
        <v>33400</v>
      </c>
      <c r="CC2038" s="68">
        <v>34000</v>
      </c>
      <c r="CD2038" s="68"/>
      <c r="CE2038" s="67"/>
      <c r="CG2038" s="65" t="s">
        <v>2064</v>
      </c>
      <c r="CH2038" s="94"/>
      <c r="CI2038" s="94"/>
      <c r="CM2038" s="65">
        <f>(CR2038*1000000)/(100*100*AD2038*AA2038/100*1000000)*100</f>
        <v>0.77697841726618722</v>
      </c>
      <c r="CN2038" s="65">
        <f>(CS2038*1000000)/(100*100*AD2038*AA2038/100*1000000)*100</f>
        <v>0.80775379696243033</v>
      </c>
      <c r="CR2038" s="67">
        <f>AVERAGE(CR2044,CR2050,CR2056,CR2062,CR2068,CR2074,CR2080,CR2086,CR2092)</f>
        <v>21.6</v>
      </c>
      <c r="CS2038" s="67">
        <f>AVERAGE(CS2044,CS2050,CS2056,CS2062,CS2068,CS2074,CS2080,CS2086,CS2092)</f>
        <v>22.455555555555559</v>
      </c>
      <c r="CV2038" s="65" t="s">
        <v>2052</v>
      </c>
      <c r="DA2038" s="65" t="s">
        <v>4463</v>
      </c>
      <c r="DB2038" s="67">
        <f>AVERAGE(DB2044,DB2050,DB2056,DB2062,DB2068,DB2074,DB2080,DB2086,DB2092)</f>
        <v>1.7733333333333332</v>
      </c>
      <c r="DC2038" s="67">
        <f>AVERAGE(DC2044,DC2050,DC2056,DC2062,DC2068,DC2074,DC2080,DC2086,DC2092)</f>
        <v>1.8577777777777778</v>
      </c>
      <c r="DF2038" s="65" t="s">
        <v>545</v>
      </c>
      <c r="GP2038" s="292" t="s">
        <v>7494</v>
      </c>
      <c r="JU2038" s="58" t="s">
        <v>2041</v>
      </c>
      <c r="JV2038" s="58" t="s">
        <v>2065</v>
      </c>
    </row>
    <row r="2039" spans="1:282" x14ac:dyDescent="0.25">
      <c r="A2039" s="55">
        <v>2038</v>
      </c>
      <c r="B2039" s="12" t="s">
        <v>7067</v>
      </c>
      <c r="C2039" s="157">
        <v>93</v>
      </c>
      <c r="D2039" s="59" t="s">
        <v>4114</v>
      </c>
      <c r="E2039" s="94" t="s">
        <v>741</v>
      </c>
      <c r="F2039" s="94"/>
      <c r="G2039" s="58" t="s">
        <v>2074</v>
      </c>
      <c r="H2039" s="58">
        <v>2002</v>
      </c>
      <c r="I2039" s="58">
        <v>1998</v>
      </c>
      <c r="J2039" s="58" t="s">
        <v>1709</v>
      </c>
      <c r="K2039" s="58" t="s">
        <v>1990</v>
      </c>
      <c r="L2039" s="58" t="s">
        <v>2737</v>
      </c>
      <c r="M2039" s="94">
        <v>32.57</v>
      </c>
      <c r="N2039" s="94">
        <v>-83.91</v>
      </c>
      <c r="O2039" s="94">
        <v>16</v>
      </c>
      <c r="P2039" s="58">
        <v>18.100000000000001</v>
      </c>
      <c r="Q2039" s="58"/>
      <c r="R2039" s="58">
        <v>1258</v>
      </c>
      <c r="S2039" s="94"/>
      <c r="T2039" s="58"/>
      <c r="U2039" s="58">
        <v>5</v>
      </c>
      <c r="V2039" s="58" t="s">
        <v>1940</v>
      </c>
      <c r="Y2039" s="58" t="s">
        <v>2058</v>
      </c>
      <c r="Z2039" s="58" t="s">
        <v>1346</v>
      </c>
      <c r="AA2039" s="94">
        <v>20</v>
      </c>
      <c r="AD2039" s="94">
        <v>1.39</v>
      </c>
      <c r="AE2039" s="94">
        <v>65</v>
      </c>
      <c r="AF2039" s="94">
        <v>25</v>
      </c>
      <c r="AG2039" s="94"/>
      <c r="AH2039" s="58" t="s">
        <v>238</v>
      </c>
      <c r="AI2039" s="169">
        <v>6.5</v>
      </c>
      <c r="AJ2039" s="94">
        <f>23.9/(100*100*AD2039*0.2)*100</f>
        <v>0.85971223021582732</v>
      </c>
      <c r="AK2039" s="94"/>
      <c r="AL2039" s="58"/>
      <c r="AM2039" s="58" t="s">
        <v>1994</v>
      </c>
      <c r="AN2039" s="186" t="s">
        <v>1991</v>
      </c>
      <c r="AO2039" s="185" t="s">
        <v>5150</v>
      </c>
      <c r="AP2039" s="58"/>
      <c r="AQ2039" s="58" t="s">
        <v>553</v>
      </c>
      <c r="AR2039" s="58" t="s">
        <v>2063</v>
      </c>
      <c r="AS2039" s="58" t="s">
        <v>1580</v>
      </c>
      <c r="AT2039" s="182" t="s">
        <v>1993</v>
      </c>
      <c r="AU2039" s="181" t="s">
        <v>5150</v>
      </c>
      <c r="AV2039" s="185" t="s">
        <v>176</v>
      </c>
      <c r="AW2039" s="58" t="s">
        <v>1993</v>
      </c>
      <c r="AX2039" s="185" t="s">
        <v>176</v>
      </c>
      <c r="AY2039" s="58" t="s">
        <v>176</v>
      </c>
      <c r="AZ2039" s="58" t="s">
        <v>2067</v>
      </c>
      <c r="BA2039" s="58" t="s">
        <v>2067</v>
      </c>
      <c r="BB2039" s="58" t="s">
        <v>2082</v>
      </c>
      <c r="BC2039" s="58" t="s">
        <v>2082</v>
      </c>
      <c r="BD2039" s="55" t="s">
        <v>176</v>
      </c>
      <c r="BE2039" s="236" t="s">
        <v>610</v>
      </c>
      <c r="BF2039" s="58"/>
      <c r="BG2039" s="191" t="s">
        <v>479</v>
      </c>
      <c r="BH2039" s="236" t="s">
        <v>610</v>
      </c>
      <c r="BI2039" s="191" t="s">
        <v>479</v>
      </c>
      <c r="BJ2039" s="58" t="s">
        <v>176</v>
      </c>
      <c r="BK2039" s="58" t="s">
        <v>6269</v>
      </c>
      <c r="BL2039" s="58"/>
      <c r="BM2039" s="237" t="s">
        <v>160</v>
      </c>
      <c r="BN2039" s="58">
        <v>4</v>
      </c>
      <c r="BO2039" s="58">
        <v>4</v>
      </c>
      <c r="BP2039" s="58">
        <v>4</v>
      </c>
      <c r="BQ2039" s="58" t="s">
        <v>141</v>
      </c>
      <c r="BR2039" s="58"/>
      <c r="BS2039" s="58">
        <v>2668</v>
      </c>
      <c r="BT2039" s="58">
        <v>11.1</v>
      </c>
      <c r="BU2039" s="58"/>
      <c r="BV2039" s="58"/>
      <c r="CB2039" s="68">
        <v>15000</v>
      </c>
      <c r="CC2039" s="68">
        <v>14800</v>
      </c>
      <c r="CD2039" s="68"/>
      <c r="CE2039" s="67"/>
      <c r="CG2039" s="65" t="s">
        <v>2064</v>
      </c>
      <c r="CH2039" s="94"/>
      <c r="CI2039" s="94"/>
      <c r="CM2039" s="65">
        <f>(CR2039*1000000)/(100*100*AD2039*AA2039/100*1000000)*100</f>
        <v>0.76658673061550764</v>
      </c>
      <c r="CN2039" s="65">
        <f>(CS2039*1000000)/(100*100*AD2039*AA2039/100*1000000)*100</f>
        <v>0.79776179056754615</v>
      </c>
      <c r="CR2039" s="67">
        <f>AVERAGE(CR2045,CR2051,CR2057,CR2063,CR2069,CR2075,CR2081,CR2087,CR2093)</f>
        <v>21.311111111111106</v>
      </c>
      <c r="CS2039" s="67">
        <f>AVERAGE(CS2045,CS2051,CS2057,CS2063,CS2069,CS2075,CS2081,CS2087,CS2093)</f>
        <v>22.177777777777777</v>
      </c>
      <c r="CV2039" s="65" t="s">
        <v>2052</v>
      </c>
      <c r="DA2039" s="65" t="s">
        <v>4463</v>
      </c>
      <c r="DB2039" s="67">
        <f>AVERAGE(DB2045,DB2051,DB2057,DB2063,DB2069,DB2075,DB2081,DB2087,DB2093)</f>
        <v>1.6455555555555554</v>
      </c>
      <c r="DC2039" s="67">
        <f>AVERAGE(DC2045,DC2051,DC2057,DC2063,DC2069,DC2075,DC2081,DC2087,DC2093)</f>
        <v>1.6166666666666667</v>
      </c>
      <c r="DF2039" s="65" t="s">
        <v>545</v>
      </c>
      <c r="GP2039" s="292" t="s">
        <v>7494</v>
      </c>
      <c r="JU2039" s="58" t="s">
        <v>2041</v>
      </c>
      <c r="JV2039" s="58" t="s">
        <v>2065</v>
      </c>
    </row>
    <row r="2040" spans="1:282" x14ac:dyDescent="0.25">
      <c r="A2040" s="55">
        <v>2039</v>
      </c>
      <c r="B2040" s="12" t="s">
        <v>7067</v>
      </c>
      <c r="C2040" s="157">
        <v>93</v>
      </c>
      <c r="D2040" s="59" t="s">
        <v>4114</v>
      </c>
      <c r="E2040" s="94" t="s">
        <v>741</v>
      </c>
      <c r="F2040" s="94"/>
      <c r="G2040" s="58" t="s">
        <v>2074</v>
      </c>
      <c r="H2040" s="58">
        <v>2002</v>
      </c>
      <c r="I2040" s="58">
        <v>1999</v>
      </c>
      <c r="J2040" s="58" t="s">
        <v>1709</v>
      </c>
      <c r="K2040" s="58" t="s">
        <v>1990</v>
      </c>
      <c r="L2040" s="58" t="s">
        <v>2737</v>
      </c>
      <c r="M2040" s="94">
        <v>32.57</v>
      </c>
      <c r="N2040" s="94">
        <v>-83.91</v>
      </c>
      <c r="O2040" s="94">
        <v>16</v>
      </c>
      <c r="P2040" s="58">
        <v>18.100000000000001</v>
      </c>
      <c r="Q2040" s="58"/>
      <c r="R2040" s="58">
        <v>1258</v>
      </c>
      <c r="S2040" s="94"/>
      <c r="T2040" s="58"/>
      <c r="U2040" s="58">
        <v>6</v>
      </c>
      <c r="V2040" s="58" t="s">
        <v>1940</v>
      </c>
      <c r="Y2040" s="58" t="s">
        <v>2058</v>
      </c>
      <c r="Z2040" s="58" t="s">
        <v>1346</v>
      </c>
      <c r="AA2040" s="94">
        <v>20</v>
      </c>
      <c r="AD2040" s="94">
        <v>1.39</v>
      </c>
      <c r="AE2040" s="94">
        <v>65</v>
      </c>
      <c r="AF2040" s="94">
        <v>25</v>
      </c>
      <c r="AG2040" s="94"/>
      <c r="AH2040" s="58" t="s">
        <v>238</v>
      </c>
      <c r="AI2040" s="169">
        <v>6.5</v>
      </c>
      <c r="AJ2040" s="94">
        <f>23.9/(100*100*AD2040*0.2)*100</f>
        <v>0.85971223021582732</v>
      </c>
      <c r="AK2040" s="94"/>
      <c r="AL2040" s="58"/>
      <c r="AM2040" s="58" t="s">
        <v>1994</v>
      </c>
      <c r="AN2040" s="186" t="s">
        <v>1991</v>
      </c>
      <c r="AO2040" s="185" t="s">
        <v>5150</v>
      </c>
      <c r="AP2040" s="58"/>
      <c r="AQ2040" s="58" t="s">
        <v>553</v>
      </c>
      <c r="AR2040" s="58" t="s">
        <v>2062</v>
      </c>
      <c r="AS2040" s="58" t="s">
        <v>1580</v>
      </c>
      <c r="AT2040" s="182" t="s">
        <v>1993</v>
      </c>
      <c r="AU2040" s="181" t="s">
        <v>5150</v>
      </c>
      <c r="AV2040" s="185" t="s">
        <v>176</v>
      </c>
      <c r="AW2040" s="58" t="s">
        <v>1993</v>
      </c>
      <c r="AX2040" s="185" t="s">
        <v>176</v>
      </c>
      <c r="AY2040" s="58" t="s">
        <v>176</v>
      </c>
      <c r="AZ2040" s="58" t="s">
        <v>2067</v>
      </c>
      <c r="BA2040" s="58" t="s">
        <v>2067</v>
      </c>
      <c r="BB2040" s="58" t="s">
        <v>2082</v>
      </c>
      <c r="BC2040" s="58" t="s">
        <v>2082</v>
      </c>
      <c r="BD2040" s="55" t="s">
        <v>176</v>
      </c>
      <c r="BE2040" s="236" t="s">
        <v>610</v>
      </c>
      <c r="BF2040" s="58"/>
      <c r="BG2040" s="191" t="s">
        <v>479</v>
      </c>
      <c r="BH2040" s="236" t="s">
        <v>610</v>
      </c>
      <c r="BI2040" s="191" t="s">
        <v>479</v>
      </c>
      <c r="BJ2040" s="58" t="s">
        <v>176</v>
      </c>
      <c r="BK2040" s="58" t="s">
        <v>6269</v>
      </c>
      <c r="BL2040" s="58"/>
      <c r="BM2040" s="237" t="s">
        <v>160</v>
      </c>
      <c r="BN2040" s="58">
        <v>4</v>
      </c>
      <c r="BO2040" s="58">
        <v>4</v>
      </c>
      <c r="BP2040" s="58">
        <v>4</v>
      </c>
      <c r="BQ2040" s="58" t="s">
        <v>141</v>
      </c>
      <c r="BR2040" s="58"/>
      <c r="BS2040" s="58">
        <v>2952</v>
      </c>
      <c r="BT2040" s="58">
        <v>15</v>
      </c>
      <c r="BU2040" s="58"/>
      <c r="BV2040" s="58"/>
      <c r="CB2040" s="68">
        <v>21100</v>
      </c>
      <c r="CC2040" s="68">
        <v>24600</v>
      </c>
      <c r="CD2040" s="68"/>
      <c r="CE2040" s="67"/>
      <c r="CG2040" s="65" t="s">
        <v>2064</v>
      </c>
      <c r="CH2040" s="94"/>
      <c r="CI2040" s="94"/>
      <c r="CM2040" s="65">
        <f>(CR2040*1000000)/(100*100*AD2040*AA2040/100*1000000)*100</f>
        <v>0.72102318145483624</v>
      </c>
      <c r="CN2040" s="65">
        <f>(CS2040*1000000)/(100*100*AD2040*AA2040/100*1000000)*100</f>
        <v>0.77937649880095938</v>
      </c>
      <c r="CR2040" s="67">
        <f>AVERAGE(CR2046,CR2052,CR2058,CR2064,CR2070,CR2076,CR2082,CR2088,CR2094)</f>
        <v>20.044444444444444</v>
      </c>
      <c r="CS2040" s="67">
        <f>AVERAGE(CS2046,CS2052,CS2058,CS2064,CS2070,CS2076,CS2082,CS2088,CS2094)</f>
        <v>21.666666666666668</v>
      </c>
      <c r="CV2040" s="65" t="s">
        <v>2052</v>
      </c>
      <c r="DA2040" s="65" t="s">
        <v>4463</v>
      </c>
      <c r="DB2040" s="67">
        <f>AVERAGE(DB2046,DB2052,DB2058,DB2064,DB2070,DB2076,DB2082,DB2088,DB2094)</f>
        <v>1.5022222222222221</v>
      </c>
      <c r="DC2040" s="67">
        <f>AVERAGE(DC2046,DC2052,DC2058,DC2064,DC2070,DC2076,DC2082,DC2088,DC2094)</f>
        <v>1.56</v>
      </c>
      <c r="DF2040" s="65" t="s">
        <v>545</v>
      </c>
      <c r="GP2040" s="292" t="s">
        <v>7494</v>
      </c>
      <c r="JU2040" s="58" t="s">
        <v>2041</v>
      </c>
      <c r="JV2040" s="58" t="s">
        <v>2065</v>
      </c>
    </row>
    <row r="2041" spans="1:282" x14ac:dyDescent="0.25">
      <c r="A2041" s="55">
        <v>2040</v>
      </c>
      <c r="B2041" s="12" t="s">
        <v>7067</v>
      </c>
      <c r="C2041" s="157">
        <v>93</v>
      </c>
      <c r="D2041" s="59" t="s">
        <v>4115</v>
      </c>
      <c r="E2041" s="94" t="s">
        <v>741</v>
      </c>
      <c r="F2041" s="94"/>
      <c r="G2041" s="58" t="s">
        <v>2074</v>
      </c>
      <c r="H2041" s="58">
        <v>2002</v>
      </c>
      <c r="I2041" s="58">
        <v>1994</v>
      </c>
      <c r="J2041" s="58" t="s">
        <v>1709</v>
      </c>
      <c r="K2041" s="58" t="s">
        <v>1990</v>
      </c>
      <c r="L2041" s="58" t="s">
        <v>2737</v>
      </c>
      <c r="M2041" s="94">
        <v>32.57</v>
      </c>
      <c r="N2041" s="94">
        <v>-83.91</v>
      </c>
      <c r="O2041" s="94">
        <v>16</v>
      </c>
      <c r="P2041" s="58">
        <v>18.100000000000001</v>
      </c>
      <c r="Q2041" s="58"/>
      <c r="R2041" s="58">
        <v>1258</v>
      </c>
      <c r="S2041" s="94"/>
      <c r="T2041" s="58"/>
      <c r="U2041" s="58">
        <v>1</v>
      </c>
      <c r="V2041" s="58" t="s">
        <v>1940</v>
      </c>
      <c r="Y2041" s="58" t="s">
        <v>2058</v>
      </c>
      <c r="Z2041" s="58" t="s">
        <v>1346</v>
      </c>
      <c r="AA2041" s="94">
        <v>20</v>
      </c>
      <c r="AD2041" s="94">
        <v>1.39</v>
      </c>
      <c r="AE2041" s="94">
        <v>65</v>
      </c>
      <c r="AF2041" s="94">
        <v>25</v>
      </c>
      <c r="AG2041" s="94"/>
      <c r="AH2041" s="58" t="s">
        <v>238</v>
      </c>
      <c r="AI2041" s="169">
        <v>6.5</v>
      </c>
      <c r="AJ2041" s="94">
        <f>23.9/(100*100*AD2041*0.2)*100</f>
        <v>0.85971223021582732</v>
      </c>
      <c r="AK2041" s="94"/>
      <c r="AL2041" s="58"/>
      <c r="AM2041" s="58" t="s">
        <v>1994</v>
      </c>
      <c r="AN2041" s="186" t="s">
        <v>1991</v>
      </c>
      <c r="AO2041" s="185" t="s">
        <v>5150</v>
      </c>
      <c r="AP2041" s="58"/>
      <c r="AQ2041" s="58" t="s">
        <v>553</v>
      </c>
      <c r="AR2041" s="58" t="s">
        <v>1993</v>
      </c>
      <c r="AS2041" s="58" t="s">
        <v>1580</v>
      </c>
      <c r="AT2041" s="182" t="s">
        <v>1993</v>
      </c>
      <c r="AU2041" s="181" t="s">
        <v>5150</v>
      </c>
      <c r="AV2041" s="185" t="s">
        <v>176</v>
      </c>
      <c r="AW2041" s="58" t="s">
        <v>1993</v>
      </c>
      <c r="AX2041" s="185" t="s">
        <v>176</v>
      </c>
      <c r="AY2041" s="58" t="s">
        <v>176</v>
      </c>
      <c r="AZ2041" s="58" t="s">
        <v>1016</v>
      </c>
      <c r="BA2041" s="58" t="s">
        <v>1016</v>
      </c>
      <c r="BB2041" s="58" t="s">
        <v>2082</v>
      </c>
      <c r="BC2041" s="58" t="s">
        <v>2082</v>
      </c>
      <c r="BD2041" s="55" t="s">
        <v>176</v>
      </c>
      <c r="BE2041" s="236" t="s">
        <v>1996</v>
      </c>
      <c r="BF2041" s="191" t="s">
        <v>176</v>
      </c>
      <c r="BG2041" s="191" t="s">
        <v>176</v>
      </c>
      <c r="BH2041" s="236" t="s">
        <v>1996</v>
      </c>
      <c r="BI2041" s="191" t="s">
        <v>176</v>
      </c>
      <c r="BJ2041" s="58" t="s">
        <v>176</v>
      </c>
      <c r="BK2041" s="58" t="s">
        <v>6269</v>
      </c>
      <c r="BL2041" s="58"/>
      <c r="BM2041" s="237" t="s">
        <v>160</v>
      </c>
      <c r="BN2041" s="58">
        <v>4</v>
      </c>
      <c r="BO2041" s="58">
        <v>4</v>
      </c>
      <c r="BP2041" s="58">
        <v>4</v>
      </c>
      <c r="BQ2041" s="58" t="s">
        <v>141</v>
      </c>
      <c r="BR2041" s="58"/>
      <c r="BU2041" s="58"/>
      <c r="BV2041" s="58"/>
      <c r="CB2041" s="68"/>
      <c r="CC2041" s="68"/>
      <c r="CD2041" s="68"/>
      <c r="CE2041" s="67"/>
      <c r="CH2041" s="94"/>
      <c r="CI2041" s="94"/>
      <c r="CM2041" s="65">
        <f>(CR2041*1000000)/(100*100*AD2041*AA2041/100*1000000)*100</f>
        <v>0.85971223021582743</v>
      </c>
      <c r="CN2041" s="65">
        <f>(CS2041*1000000)/(100*100*AD2041*AA2041/100*1000000)*100</f>
        <v>0.85971223021582743</v>
      </c>
      <c r="CR2041" s="67">
        <v>23.9</v>
      </c>
      <c r="CS2041" s="67">
        <v>23.9</v>
      </c>
      <c r="CV2041" s="65" t="s">
        <v>2052</v>
      </c>
      <c r="DA2041" s="65" t="s">
        <v>4463</v>
      </c>
      <c r="DB2041" s="65">
        <v>1.95</v>
      </c>
      <c r="DC2041" s="65">
        <v>1.95</v>
      </c>
      <c r="DF2041" s="65" t="s">
        <v>545</v>
      </c>
      <c r="GP2041" s="292" t="s">
        <v>7494</v>
      </c>
      <c r="JU2041" s="58" t="s">
        <v>2041</v>
      </c>
      <c r="JV2041" s="58" t="s">
        <v>2065</v>
      </c>
    </row>
    <row r="2042" spans="1:282" x14ac:dyDescent="0.25">
      <c r="A2042" s="55">
        <v>2041</v>
      </c>
      <c r="B2042" s="12" t="s">
        <v>7067</v>
      </c>
      <c r="C2042" s="157">
        <v>93</v>
      </c>
      <c r="D2042" s="59" t="s">
        <v>4115</v>
      </c>
      <c r="E2042" s="94" t="s">
        <v>741</v>
      </c>
      <c r="F2042" s="94"/>
      <c r="G2042" s="58" t="s">
        <v>2074</v>
      </c>
      <c r="H2042" s="58">
        <v>2002</v>
      </c>
      <c r="I2042" s="58">
        <v>1995</v>
      </c>
      <c r="J2042" s="58" t="s">
        <v>1709</v>
      </c>
      <c r="K2042" s="58" t="s">
        <v>1990</v>
      </c>
      <c r="L2042" s="58" t="s">
        <v>2737</v>
      </c>
      <c r="M2042" s="94">
        <v>32.57</v>
      </c>
      <c r="N2042" s="94">
        <v>-83.91</v>
      </c>
      <c r="O2042" s="94">
        <v>16</v>
      </c>
      <c r="P2042" s="58">
        <v>18.100000000000001</v>
      </c>
      <c r="Q2042" s="58"/>
      <c r="R2042" s="58">
        <v>1258</v>
      </c>
      <c r="S2042" s="94"/>
      <c r="T2042" s="58"/>
      <c r="U2042" s="58">
        <v>2</v>
      </c>
      <c r="V2042" s="58" t="s">
        <v>1940</v>
      </c>
      <c r="Y2042" s="58" t="s">
        <v>2058</v>
      </c>
      <c r="Z2042" s="58" t="s">
        <v>1346</v>
      </c>
      <c r="AA2042" s="94">
        <v>20</v>
      </c>
      <c r="AD2042" s="94">
        <v>1.39</v>
      </c>
      <c r="AE2042" s="94">
        <v>65</v>
      </c>
      <c r="AF2042" s="94">
        <v>25</v>
      </c>
      <c r="AG2042" s="94"/>
      <c r="AH2042" s="58" t="s">
        <v>238</v>
      </c>
      <c r="AI2042" s="169">
        <v>6.5</v>
      </c>
      <c r="AJ2042" s="94">
        <f>23.9/(100*100*AD2042*0.2)*100</f>
        <v>0.85971223021582732</v>
      </c>
      <c r="AK2042" s="94"/>
      <c r="AL2042" s="58"/>
      <c r="AM2042" s="58" t="s">
        <v>1994</v>
      </c>
      <c r="AN2042" s="186" t="s">
        <v>1991</v>
      </c>
      <c r="AO2042" s="185" t="s">
        <v>5150</v>
      </c>
      <c r="AP2042" s="58"/>
      <c r="AQ2042" s="58" t="s">
        <v>553</v>
      </c>
      <c r="AR2042" s="58" t="s">
        <v>1993</v>
      </c>
      <c r="AS2042" s="58" t="s">
        <v>1580</v>
      </c>
      <c r="AT2042" s="182" t="s">
        <v>1993</v>
      </c>
      <c r="AU2042" s="181" t="s">
        <v>5150</v>
      </c>
      <c r="AV2042" s="185" t="s">
        <v>176</v>
      </c>
      <c r="AW2042" s="58" t="s">
        <v>1993</v>
      </c>
      <c r="AX2042" s="185" t="s">
        <v>176</v>
      </c>
      <c r="AY2042" s="58" t="s">
        <v>176</v>
      </c>
      <c r="AZ2042" s="58" t="s">
        <v>1016</v>
      </c>
      <c r="BA2042" s="58" t="s">
        <v>1016</v>
      </c>
      <c r="BB2042" s="58" t="s">
        <v>2082</v>
      </c>
      <c r="BC2042" s="58" t="s">
        <v>2082</v>
      </c>
      <c r="BD2042" s="55" t="s">
        <v>176</v>
      </c>
      <c r="BE2042" s="236" t="s">
        <v>1996</v>
      </c>
      <c r="BF2042" s="191" t="s">
        <v>176</v>
      </c>
      <c r="BG2042" s="191" t="s">
        <v>176</v>
      </c>
      <c r="BH2042" s="236" t="s">
        <v>1996</v>
      </c>
      <c r="BI2042" s="191" t="s">
        <v>176</v>
      </c>
      <c r="BJ2042" s="58" t="s">
        <v>176</v>
      </c>
      <c r="BK2042" s="58" t="s">
        <v>6269</v>
      </c>
      <c r="BL2042" s="58"/>
      <c r="BM2042" s="237" t="s">
        <v>160</v>
      </c>
      <c r="BN2042" s="58">
        <v>4</v>
      </c>
      <c r="BO2042" s="58">
        <v>4</v>
      </c>
      <c r="BP2042" s="58">
        <v>4</v>
      </c>
      <c r="BQ2042" s="58" t="s">
        <v>141</v>
      </c>
      <c r="BR2042" s="58"/>
      <c r="BS2042" s="58"/>
      <c r="BT2042" s="58"/>
      <c r="BU2042" s="58"/>
      <c r="BV2042" s="58"/>
      <c r="CB2042" s="68"/>
      <c r="CC2042" s="68"/>
      <c r="CD2042" s="68"/>
      <c r="CE2042" s="67"/>
      <c r="CH2042" s="94"/>
      <c r="CI2042" s="94"/>
      <c r="CM2042" s="65">
        <f>(CR2042*1000000)/(100*100*AD2042*AA2042/100*1000000)*100</f>
        <v>0.73741007194244612</v>
      </c>
      <c r="CN2042" s="65">
        <f>(CS2042*1000000)/(100*100*AD2042*AA2042/100*1000000)*100</f>
        <v>0.87050359712230241</v>
      </c>
      <c r="CR2042" s="67">
        <v>20.5</v>
      </c>
      <c r="CS2042" s="67">
        <v>24.2</v>
      </c>
      <c r="CV2042" s="65" t="s">
        <v>2052</v>
      </c>
      <c r="DA2042" s="65" t="s">
        <v>4463</v>
      </c>
      <c r="DB2042" s="65">
        <v>1.93</v>
      </c>
      <c r="DC2042" s="65">
        <v>2.08</v>
      </c>
      <c r="DF2042" s="65" t="s">
        <v>545</v>
      </c>
      <c r="GP2042" s="292" t="s">
        <v>7494</v>
      </c>
      <c r="JU2042" s="58" t="s">
        <v>2041</v>
      </c>
      <c r="JV2042" s="58" t="s">
        <v>2065</v>
      </c>
    </row>
    <row r="2043" spans="1:282" x14ac:dyDescent="0.25">
      <c r="A2043" s="55">
        <v>2042</v>
      </c>
      <c r="B2043" s="12" t="s">
        <v>7067</v>
      </c>
      <c r="C2043" s="157">
        <v>93</v>
      </c>
      <c r="D2043" s="59" t="s">
        <v>4115</v>
      </c>
      <c r="E2043" s="94" t="s">
        <v>741</v>
      </c>
      <c r="F2043" s="94"/>
      <c r="G2043" s="58" t="s">
        <v>2074</v>
      </c>
      <c r="H2043" s="58">
        <v>2002</v>
      </c>
      <c r="I2043" s="58">
        <v>1996</v>
      </c>
      <c r="J2043" s="58" t="s">
        <v>1709</v>
      </c>
      <c r="K2043" s="58" t="s">
        <v>1990</v>
      </c>
      <c r="L2043" s="58" t="s">
        <v>2737</v>
      </c>
      <c r="M2043" s="94">
        <v>32.57</v>
      </c>
      <c r="N2043" s="94">
        <v>-83.91</v>
      </c>
      <c r="O2043" s="94">
        <v>16</v>
      </c>
      <c r="P2043" s="58">
        <v>18.100000000000001</v>
      </c>
      <c r="Q2043" s="58"/>
      <c r="R2043" s="58">
        <v>1258</v>
      </c>
      <c r="S2043" s="94"/>
      <c r="T2043" s="58"/>
      <c r="U2043" s="58">
        <v>3</v>
      </c>
      <c r="V2043" s="58" t="s">
        <v>1940</v>
      </c>
      <c r="Y2043" s="58" t="s">
        <v>2058</v>
      </c>
      <c r="Z2043" s="58" t="s">
        <v>1346</v>
      </c>
      <c r="AA2043" s="94">
        <v>20</v>
      </c>
      <c r="AD2043" s="94">
        <v>1.39</v>
      </c>
      <c r="AE2043" s="94">
        <v>65</v>
      </c>
      <c r="AF2043" s="94">
        <v>25</v>
      </c>
      <c r="AG2043" s="94"/>
      <c r="AH2043" s="58" t="s">
        <v>238</v>
      </c>
      <c r="AI2043" s="169">
        <v>6.5</v>
      </c>
      <c r="AJ2043" s="94">
        <f>23.9/(100*100*AD2043*0.2)*100</f>
        <v>0.85971223021582732</v>
      </c>
      <c r="AK2043" s="94"/>
      <c r="AL2043" s="58"/>
      <c r="AM2043" s="58" t="s">
        <v>1994</v>
      </c>
      <c r="AN2043" s="186" t="s">
        <v>1991</v>
      </c>
      <c r="AO2043" s="185" t="s">
        <v>5150</v>
      </c>
      <c r="AP2043" s="58"/>
      <c r="AQ2043" s="58" t="s">
        <v>553</v>
      </c>
      <c r="AR2043" s="58" t="s">
        <v>1993</v>
      </c>
      <c r="AS2043" s="58" t="s">
        <v>1580</v>
      </c>
      <c r="AT2043" s="182" t="s">
        <v>1993</v>
      </c>
      <c r="AU2043" s="181" t="s">
        <v>5150</v>
      </c>
      <c r="AV2043" s="185" t="s">
        <v>176</v>
      </c>
      <c r="AW2043" s="58" t="s">
        <v>1993</v>
      </c>
      <c r="AX2043" s="185" t="s">
        <v>176</v>
      </c>
      <c r="AY2043" s="58" t="s">
        <v>176</v>
      </c>
      <c r="AZ2043" s="58" t="s">
        <v>1016</v>
      </c>
      <c r="BA2043" s="58" t="s">
        <v>1016</v>
      </c>
      <c r="BB2043" s="58" t="s">
        <v>2082</v>
      </c>
      <c r="BC2043" s="58" t="s">
        <v>2082</v>
      </c>
      <c r="BD2043" s="55" t="s">
        <v>176</v>
      </c>
      <c r="BE2043" s="236" t="s">
        <v>1996</v>
      </c>
      <c r="BF2043" s="191" t="s">
        <v>176</v>
      </c>
      <c r="BG2043" s="191" t="s">
        <v>176</v>
      </c>
      <c r="BH2043" s="236" t="s">
        <v>1996</v>
      </c>
      <c r="BI2043" s="191" t="s">
        <v>176</v>
      </c>
      <c r="BJ2043" s="58" t="s">
        <v>176</v>
      </c>
      <c r="BK2043" s="58" t="s">
        <v>6269</v>
      </c>
      <c r="BL2043" s="58"/>
      <c r="BM2043" s="237" t="s">
        <v>160</v>
      </c>
      <c r="BN2043" s="58">
        <v>4</v>
      </c>
      <c r="BO2043" s="58">
        <v>4</v>
      </c>
      <c r="BP2043" s="58">
        <v>4</v>
      </c>
      <c r="BQ2043" s="58" t="s">
        <v>141</v>
      </c>
      <c r="BR2043" s="58"/>
      <c r="BU2043" s="58"/>
      <c r="BV2043" s="58"/>
      <c r="CB2043" s="68"/>
      <c r="CC2043" s="68"/>
      <c r="CD2043" s="68"/>
      <c r="CE2043" s="67"/>
      <c r="CH2043" s="94"/>
      <c r="CI2043" s="94"/>
      <c r="CM2043" s="65">
        <f>(CR2043*1000000)/(100*100*AD2043*AA2043/100*1000000)*100</f>
        <v>0.93525179856115115</v>
      </c>
      <c r="CN2043" s="65">
        <f>(CS2043*1000000)/(100*100*AD2043*AA2043/100*1000000)*100</f>
        <v>1.02158273381295</v>
      </c>
      <c r="CR2043" s="67">
        <v>26</v>
      </c>
      <c r="CS2043" s="67">
        <v>28.4</v>
      </c>
      <c r="CV2043" s="65" t="s">
        <v>2052</v>
      </c>
      <c r="DA2043" s="65" t="s">
        <v>4463</v>
      </c>
      <c r="DB2043" s="65">
        <v>2.29</v>
      </c>
      <c r="DC2043" s="65">
        <v>2.5099999999999998</v>
      </c>
      <c r="DF2043" s="65" t="s">
        <v>545</v>
      </c>
      <c r="GP2043" s="292" t="s">
        <v>7494</v>
      </c>
      <c r="JU2043" s="58" t="s">
        <v>2041</v>
      </c>
      <c r="JV2043" s="58" t="s">
        <v>2065</v>
      </c>
    </row>
    <row r="2044" spans="1:282" x14ac:dyDescent="0.25">
      <c r="A2044" s="55">
        <v>2043</v>
      </c>
      <c r="B2044" s="12" t="s">
        <v>7067</v>
      </c>
      <c r="C2044" s="157">
        <v>93</v>
      </c>
      <c r="D2044" s="59" t="s">
        <v>4115</v>
      </c>
      <c r="E2044" s="94" t="s">
        <v>741</v>
      </c>
      <c r="F2044" s="94"/>
      <c r="G2044" s="58" t="s">
        <v>2074</v>
      </c>
      <c r="H2044" s="58">
        <v>2002</v>
      </c>
      <c r="I2044" s="58">
        <v>1997</v>
      </c>
      <c r="J2044" s="58" t="s">
        <v>1709</v>
      </c>
      <c r="K2044" s="58" t="s">
        <v>1990</v>
      </c>
      <c r="L2044" s="58" t="s">
        <v>2737</v>
      </c>
      <c r="M2044" s="94">
        <v>32.57</v>
      </c>
      <c r="N2044" s="94">
        <v>-83.91</v>
      </c>
      <c r="O2044" s="94">
        <v>16</v>
      </c>
      <c r="P2044" s="58">
        <v>18.100000000000001</v>
      </c>
      <c r="Q2044" s="58"/>
      <c r="R2044" s="58">
        <v>1258</v>
      </c>
      <c r="S2044" s="94"/>
      <c r="T2044" s="58"/>
      <c r="U2044" s="58">
        <v>4</v>
      </c>
      <c r="V2044" s="58" t="s">
        <v>1940</v>
      </c>
      <c r="Y2044" s="58" t="s">
        <v>2058</v>
      </c>
      <c r="Z2044" s="58" t="s">
        <v>1346</v>
      </c>
      <c r="AA2044" s="94">
        <v>20</v>
      </c>
      <c r="AD2044" s="94">
        <v>1.39</v>
      </c>
      <c r="AE2044" s="94">
        <v>65</v>
      </c>
      <c r="AF2044" s="94">
        <v>25</v>
      </c>
      <c r="AG2044" s="94"/>
      <c r="AH2044" s="58" t="s">
        <v>238</v>
      </c>
      <c r="AI2044" s="169">
        <v>6.5</v>
      </c>
      <c r="AJ2044" s="94">
        <f>23.9/(100*100*AD2044*0.2)*100</f>
        <v>0.85971223021582732</v>
      </c>
      <c r="AK2044" s="94"/>
      <c r="AL2044" s="58"/>
      <c r="AM2044" s="58" t="s">
        <v>1994</v>
      </c>
      <c r="AN2044" s="186" t="s">
        <v>1991</v>
      </c>
      <c r="AO2044" s="185" t="s">
        <v>5150</v>
      </c>
      <c r="AP2044" s="58"/>
      <c r="AQ2044" s="58" t="s">
        <v>553</v>
      </c>
      <c r="AR2044" s="58" t="s">
        <v>1993</v>
      </c>
      <c r="AS2044" s="58" t="s">
        <v>1580</v>
      </c>
      <c r="AT2044" s="182" t="s">
        <v>1993</v>
      </c>
      <c r="AU2044" s="181" t="s">
        <v>5150</v>
      </c>
      <c r="AV2044" s="185" t="s">
        <v>176</v>
      </c>
      <c r="AW2044" s="58" t="s">
        <v>1993</v>
      </c>
      <c r="AX2044" s="185" t="s">
        <v>176</v>
      </c>
      <c r="AY2044" s="58" t="s">
        <v>176</v>
      </c>
      <c r="AZ2044" s="58" t="s">
        <v>1016</v>
      </c>
      <c r="BA2044" s="58" t="s">
        <v>1016</v>
      </c>
      <c r="BB2044" s="58" t="s">
        <v>2082</v>
      </c>
      <c r="BC2044" s="58" t="s">
        <v>2082</v>
      </c>
      <c r="BD2044" s="55" t="s">
        <v>176</v>
      </c>
      <c r="BE2044" s="236" t="s">
        <v>1996</v>
      </c>
      <c r="BF2044" s="191" t="s">
        <v>176</v>
      </c>
      <c r="BG2044" s="191" t="s">
        <v>176</v>
      </c>
      <c r="BH2044" s="236" t="s">
        <v>1996</v>
      </c>
      <c r="BI2044" s="191" t="s">
        <v>176</v>
      </c>
      <c r="BJ2044" s="58" t="s">
        <v>176</v>
      </c>
      <c r="BK2044" s="58" t="s">
        <v>6269</v>
      </c>
      <c r="BL2044" s="58"/>
      <c r="BM2044" s="237" t="s">
        <v>160</v>
      </c>
      <c r="BN2044" s="58">
        <v>4</v>
      </c>
      <c r="BO2044" s="58">
        <v>4</v>
      </c>
      <c r="BP2044" s="58">
        <v>4</v>
      </c>
      <c r="BQ2044" s="58" t="s">
        <v>141</v>
      </c>
      <c r="BR2044" s="58"/>
      <c r="BS2044" s="58"/>
      <c r="BT2044" s="58"/>
      <c r="BU2044" s="58"/>
      <c r="BV2044" s="58"/>
      <c r="CB2044" s="68"/>
      <c r="CC2044" s="68"/>
      <c r="CD2044" s="68"/>
      <c r="CE2044" s="67"/>
      <c r="CH2044" s="94"/>
      <c r="CI2044" s="94"/>
      <c r="CM2044" s="65">
        <f>(CR2044*1000000)/(100*100*AD2044*AA2044/100*1000000)*100</f>
        <v>0.78417266187050372</v>
      </c>
      <c r="CN2044" s="65">
        <f>(CS2044*1000000)/(100*100*AD2044*AA2044/100*1000000)*100</f>
        <v>0.88129496402877716</v>
      </c>
      <c r="CR2044" s="67">
        <v>21.8</v>
      </c>
      <c r="CS2044" s="67">
        <v>24.5</v>
      </c>
      <c r="CV2044" s="65" t="s">
        <v>2052</v>
      </c>
      <c r="DA2044" s="65" t="s">
        <v>4463</v>
      </c>
      <c r="DB2044" s="65">
        <v>1.7</v>
      </c>
      <c r="DC2044" s="65">
        <v>2.38</v>
      </c>
      <c r="DF2044" s="65" t="s">
        <v>545</v>
      </c>
      <c r="GP2044" s="292" t="s">
        <v>7494</v>
      </c>
      <c r="JU2044" s="58" t="s">
        <v>2041</v>
      </c>
      <c r="JV2044" s="58" t="s">
        <v>2065</v>
      </c>
    </row>
    <row r="2045" spans="1:282" x14ac:dyDescent="0.25">
      <c r="A2045" s="55">
        <v>2044</v>
      </c>
      <c r="B2045" s="12" t="s">
        <v>7067</v>
      </c>
      <c r="C2045" s="157">
        <v>93</v>
      </c>
      <c r="D2045" s="59" t="s">
        <v>4115</v>
      </c>
      <c r="E2045" s="94" t="s">
        <v>741</v>
      </c>
      <c r="F2045" s="94"/>
      <c r="G2045" s="58" t="s">
        <v>2074</v>
      </c>
      <c r="H2045" s="58">
        <v>2002</v>
      </c>
      <c r="I2045" s="58">
        <v>1998</v>
      </c>
      <c r="J2045" s="58" t="s">
        <v>1709</v>
      </c>
      <c r="K2045" s="58" t="s">
        <v>1990</v>
      </c>
      <c r="L2045" s="58" t="s">
        <v>2737</v>
      </c>
      <c r="M2045" s="94">
        <v>32.57</v>
      </c>
      <c r="N2045" s="94">
        <v>-83.91</v>
      </c>
      <c r="O2045" s="94">
        <v>16</v>
      </c>
      <c r="P2045" s="58">
        <v>18.100000000000001</v>
      </c>
      <c r="Q2045" s="58"/>
      <c r="R2045" s="58">
        <v>1258</v>
      </c>
      <c r="S2045" s="94"/>
      <c r="T2045" s="58"/>
      <c r="U2045" s="58">
        <v>5</v>
      </c>
      <c r="V2045" s="58" t="s">
        <v>1940</v>
      </c>
      <c r="Y2045" s="58" t="s">
        <v>2058</v>
      </c>
      <c r="Z2045" s="58" t="s">
        <v>1346</v>
      </c>
      <c r="AA2045" s="94">
        <v>20</v>
      </c>
      <c r="AD2045" s="94">
        <v>1.39</v>
      </c>
      <c r="AE2045" s="94">
        <v>65</v>
      </c>
      <c r="AF2045" s="94">
        <v>25</v>
      </c>
      <c r="AG2045" s="94"/>
      <c r="AH2045" s="58" t="s">
        <v>238</v>
      </c>
      <c r="AI2045" s="169">
        <v>6.5</v>
      </c>
      <c r="AJ2045" s="94">
        <f>23.9/(100*100*AD2045*0.2)*100</f>
        <v>0.85971223021582732</v>
      </c>
      <c r="AK2045" s="94"/>
      <c r="AL2045" s="58"/>
      <c r="AM2045" s="58" t="s">
        <v>1994</v>
      </c>
      <c r="AN2045" s="186" t="s">
        <v>1991</v>
      </c>
      <c r="AO2045" s="185" t="s">
        <v>5150</v>
      </c>
      <c r="AP2045" s="58"/>
      <c r="AQ2045" s="58" t="s">
        <v>553</v>
      </c>
      <c r="AR2045" s="58" t="s">
        <v>1993</v>
      </c>
      <c r="AS2045" s="58" t="s">
        <v>1580</v>
      </c>
      <c r="AT2045" s="182" t="s">
        <v>1993</v>
      </c>
      <c r="AU2045" s="181" t="s">
        <v>5150</v>
      </c>
      <c r="AV2045" s="185" t="s">
        <v>176</v>
      </c>
      <c r="AW2045" s="58" t="s">
        <v>1993</v>
      </c>
      <c r="AX2045" s="185" t="s">
        <v>176</v>
      </c>
      <c r="AY2045" s="58" t="s">
        <v>176</v>
      </c>
      <c r="AZ2045" s="58" t="s">
        <v>1016</v>
      </c>
      <c r="BA2045" s="58" t="s">
        <v>1016</v>
      </c>
      <c r="BB2045" s="58" t="s">
        <v>2082</v>
      </c>
      <c r="BC2045" s="58" t="s">
        <v>2082</v>
      </c>
      <c r="BD2045" s="55" t="s">
        <v>176</v>
      </c>
      <c r="BE2045" s="236" t="s">
        <v>1996</v>
      </c>
      <c r="BF2045" s="191" t="s">
        <v>176</v>
      </c>
      <c r="BG2045" s="191" t="s">
        <v>176</v>
      </c>
      <c r="BH2045" s="236" t="s">
        <v>1996</v>
      </c>
      <c r="BI2045" s="191" t="s">
        <v>176</v>
      </c>
      <c r="BJ2045" s="58" t="s">
        <v>176</v>
      </c>
      <c r="BK2045" s="58" t="s">
        <v>6269</v>
      </c>
      <c r="BL2045" s="58"/>
      <c r="BM2045" s="237" t="s">
        <v>160</v>
      </c>
      <c r="BN2045" s="58">
        <v>4</v>
      </c>
      <c r="BO2045" s="58">
        <v>4</v>
      </c>
      <c r="BP2045" s="58">
        <v>4</v>
      </c>
      <c r="BQ2045" s="58" t="s">
        <v>141</v>
      </c>
      <c r="BR2045" s="58"/>
      <c r="BS2045" s="58"/>
      <c r="BT2045" s="58"/>
      <c r="BU2045" s="58"/>
      <c r="BV2045" s="58"/>
      <c r="CB2045" s="68"/>
      <c r="CC2045" s="68"/>
      <c r="CD2045" s="68"/>
      <c r="CE2045" s="67"/>
      <c r="CH2045" s="94"/>
      <c r="CI2045" s="94"/>
      <c r="CM2045" s="65">
        <f>(CR2045*1000000)/(100*100*AD2045*AA2045/100*1000000)*100</f>
        <v>0.7697841726618706</v>
      </c>
      <c r="CN2045" s="65">
        <f>(CS2045*1000000)/(100*100*AD2045*AA2045/100*1000000)*100</f>
        <v>0.85971223021582743</v>
      </c>
      <c r="CR2045" s="67">
        <v>21.4</v>
      </c>
      <c r="CS2045" s="67">
        <v>23.9</v>
      </c>
      <c r="CV2045" s="65" t="s">
        <v>2052</v>
      </c>
      <c r="DA2045" s="65" t="s">
        <v>4463</v>
      </c>
      <c r="DB2045" s="65">
        <v>1.6</v>
      </c>
      <c r="DC2045" s="65">
        <v>1.65</v>
      </c>
      <c r="DF2045" s="65" t="s">
        <v>545</v>
      </c>
      <c r="GP2045" s="292" t="s">
        <v>7494</v>
      </c>
      <c r="JU2045" s="58" t="s">
        <v>2041</v>
      </c>
      <c r="JV2045" s="58" t="s">
        <v>2065</v>
      </c>
    </row>
    <row r="2046" spans="1:282" x14ac:dyDescent="0.25">
      <c r="A2046" s="55">
        <v>2045</v>
      </c>
      <c r="B2046" s="12" t="s">
        <v>7067</v>
      </c>
      <c r="C2046" s="157">
        <v>93</v>
      </c>
      <c r="D2046" s="59" t="s">
        <v>4115</v>
      </c>
      <c r="E2046" s="94" t="s">
        <v>741</v>
      </c>
      <c r="F2046" s="94"/>
      <c r="G2046" s="58" t="s">
        <v>2074</v>
      </c>
      <c r="H2046" s="58">
        <v>2002</v>
      </c>
      <c r="I2046" s="58">
        <v>1999</v>
      </c>
      <c r="J2046" s="58" t="s">
        <v>1709</v>
      </c>
      <c r="K2046" s="58" t="s">
        <v>1990</v>
      </c>
      <c r="L2046" s="58" t="s">
        <v>2737</v>
      </c>
      <c r="M2046" s="94">
        <v>32.57</v>
      </c>
      <c r="N2046" s="94">
        <v>-83.91</v>
      </c>
      <c r="O2046" s="94">
        <v>16</v>
      </c>
      <c r="P2046" s="58">
        <v>18.100000000000001</v>
      </c>
      <c r="Q2046" s="58"/>
      <c r="R2046" s="58">
        <v>1258</v>
      </c>
      <c r="S2046" s="94"/>
      <c r="T2046" s="58"/>
      <c r="U2046" s="58">
        <v>6</v>
      </c>
      <c r="V2046" s="58" t="s">
        <v>1940</v>
      </c>
      <c r="Y2046" s="58" t="s">
        <v>2058</v>
      </c>
      <c r="Z2046" s="58" t="s">
        <v>1346</v>
      </c>
      <c r="AA2046" s="94">
        <v>20</v>
      </c>
      <c r="AD2046" s="94">
        <v>1.39</v>
      </c>
      <c r="AE2046" s="94">
        <v>65</v>
      </c>
      <c r="AF2046" s="94">
        <v>25</v>
      </c>
      <c r="AG2046" s="94"/>
      <c r="AH2046" s="58" t="s">
        <v>238</v>
      </c>
      <c r="AI2046" s="169">
        <v>6.5</v>
      </c>
      <c r="AJ2046" s="94">
        <f>23.9/(100*100*AD2046*0.2)*100</f>
        <v>0.85971223021582732</v>
      </c>
      <c r="AK2046" s="94"/>
      <c r="AL2046" s="58"/>
      <c r="AM2046" s="58" t="s">
        <v>1994</v>
      </c>
      <c r="AN2046" s="186" t="s">
        <v>1991</v>
      </c>
      <c r="AO2046" s="185" t="s">
        <v>5150</v>
      </c>
      <c r="AP2046" s="58"/>
      <c r="AQ2046" s="58" t="s">
        <v>553</v>
      </c>
      <c r="AR2046" s="58" t="s">
        <v>2062</v>
      </c>
      <c r="AS2046" s="58" t="s">
        <v>1580</v>
      </c>
      <c r="AT2046" s="182" t="s">
        <v>1993</v>
      </c>
      <c r="AU2046" s="181" t="s">
        <v>5150</v>
      </c>
      <c r="AV2046" s="185" t="s">
        <v>176</v>
      </c>
      <c r="AW2046" s="58" t="s">
        <v>1993</v>
      </c>
      <c r="AX2046" s="185" t="s">
        <v>176</v>
      </c>
      <c r="AY2046" s="58" t="s">
        <v>176</v>
      </c>
      <c r="AZ2046" s="58" t="s">
        <v>1016</v>
      </c>
      <c r="BA2046" s="58" t="s">
        <v>1016</v>
      </c>
      <c r="BB2046" s="58" t="s">
        <v>2082</v>
      </c>
      <c r="BC2046" s="58" t="s">
        <v>2082</v>
      </c>
      <c r="BD2046" s="55" t="s">
        <v>176</v>
      </c>
      <c r="BE2046" s="236" t="s">
        <v>1996</v>
      </c>
      <c r="BF2046" s="191" t="s">
        <v>176</v>
      </c>
      <c r="BG2046" s="191" t="s">
        <v>176</v>
      </c>
      <c r="BH2046" s="236" t="s">
        <v>1996</v>
      </c>
      <c r="BI2046" s="191" t="s">
        <v>176</v>
      </c>
      <c r="BJ2046" s="58" t="s">
        <v>176</v>
      </c>
      <c r="BK2046" s="58" t="s">
        <v>6269</v>
      </c>
      <c r="BL2046" s="58"/>
      <c r="BM2046" s="237" t="s">
        <v>160</v>
      </c>
      <c r="BN2046" s="58">
        <v>4</v>
      </c>
      <c r="BO2046" s="58">
        <v>4</v>
      </c>
      <c r="BP2046" s="58">
        <v>4</v>
      </c>
      <c r="BQ2046" s="58" t="s">
        <v>141</v>
      </c>
      <c r="BR2046" s="58"/>
      <c r="BS2046" s="58"/>
      <c r="BT2046" s="58"/>
      <c r="BU2046" s="58"/>
      <c r="BV2046" s="58"/>
      <c r="CB2046" s="68"/>
      <c r="CC2046" s="68"/>
      <c r="CD2046" s="68"/>
      <c r="CE2046" s="67"/>
      <c r="CH2046" s="94"/>
      <c r="CI2046" s="94"/>
      <c r="CM2046" s="65">
        <f>(CR2046*1000000)/(100*100*AD2046*AA2046/100*1000000)*100</f>
        <v>0.7158273381294965</v>
      </c>
      <c r="CN2046" s="65">
        <f>(CS2046*1000000)/(100*100*AD2046*AA2046/100*1000000)*100</f>
        <v>0.8776978417266188</v>
      </c>
      <c r="CR2046" s="67">
        <v>19.899999999999999</v>
      </c>
      <c r="CS2046" s="67">
        <v>24.4</v>
      </c>
      <c r="CV2046" s="65" t="s">
        <v>2052</v>
      </c>
      <c r="DA2046" s="65" t="s">
        <v>4463</v>
      </c>
      <c r="DB2046" s="65">
        <v>1.6</v>
      </c>
      <c r="DC2046" s="65">
        <v>1.72</v>
      </c>
      <c r="DF2046" s="65" t="s">
        <v>545</v>
      </c>
      <c r="GP2046" s="292" t="s">
        <v>7494</v>
      </c>
      <c r="JU2046" s="58" t="s">
        <v>2041</v>
      </c>
      <c r="JV2046" s="58" t="s">
        <v>2065</v>
      </c>
    </row>
    <row r="2047" spans="1:282" x14ac:dyDescent="0.25">
      <c r="A2047" s="55">
        <v>2046</v>
      </c>
      <c r="B2047" s="12" t="s">
        <v>7067</v>
      </c>
      <c r="C2047" s="157">
        <v>93</v>
      </c>
      <c r="D2047" s="59" t="s">
        <v>4116</v>
      </c>
      <c r="E2047" s="94" t="s">
        <v>741</v>
      </c>
      <c r="F2047" s="94"/>
      <c r="G2047" s="58" t="s">
        <v>2074</v>
      </c>
      <c r="H2047" s="58">
        <v>2002</v>
      </c>
      <c r="I2047" s="58">
        <v>1994</v>
      </c>
      <c r="J2047" s="58" t="s">
        <v>1709</v>
      </c>
      <c r="K2047" s="58" t="s">
        <v>1990</v>
      </c>
      <c r="L2047" s="58" t="s">
        <v>2737</v>
      </c>
      <c r="M2047" s="94">
        <v>32.57</v>
      </c>
      <c r="N2047" s="94">
        <v>-83.91</v>
      </c>
      <c r="O2047" s="94">
        <v>16</v>
      </c>
      <c r="P2047" s="58">
        <v>18.100000000000001</v>
      </c>
      <c r="Q2047" s="58"/>
      <c r="R2047" s="58">
        <v>1258</v>
      </c>
      <c r="S2047" s="94"/>
      <c r="T2047" s="58"/>
      <c r="U2047" s="58">
        <v>1</v>
      </c>
      <c r="V2047" s="58" t="s">
        <v>1940</v>
      </c>
      <c r="Y2047" s="58" t="s">
        <v>2058</v>
      </c>
      <c r="Z2047" s="58" t="s">
        <v>1346</v>
      </c>
      <c r="AA2047" s="94">
        <v>20</v>
      </c>
      <c r="AD2047" s="94">
        <v>1.39</v>
      </c>
      <c r="AE2047" s="94">
        <v>65</v>
      </c>
      <c r="AF2047" s="94">
        <v>25</v>
      </c>
      <c r="AG2047" s="94"/>
      <c r="AH2047" s="58" t="s">
        <v>238</v>
      </c>
      <c r="AI2047" s="169">
        <v>6.5</v>
      </c>
      <c r="AJ2047" s="94">
        <f>23.9/(100*100*AD2047*0.2)*100</f>
        <v>0.85971223021582732</v>
      </c>
      <c r="AK2047" s="94"/>
      <c r="AL2047" s="58"/>
      <c r="AM2047" s="58" t="s">
        <v>1994</v>
      </c>
      <c r="AN2047" s="186" t="s">
        <v>1991</v>
      </c>
      <c r="AO2047" s="185" t="s">
        <v>5150</v>
      </c>
      <c r="AP2047" s="58"/>
      <c r="AQ2047" s="58" t="s">
        <v>553</v>
      </c>
      <c r="AR2047" s="58" t="s">
        <v>1993</v>
      </c>
      <c r="AS2047" s="58" t="s">
        <v>1580</v>
      </c>
      <c r="AT2047" s="182" t="s">
        <v>1993</v>
      </c>
      <c r="AU2047" s="181" t="s">
        <v>5150</v>
      </c>
      <c r="AV2047" s="185" t="s">
        <v>176</v>
      </c>
      <c r="AW2047" s="58" t="s">
        <v>1993</v>
      </c>
      <c r="AX2047" s="185" t="s">
        <v>176</v>
      </c>
      <c r="AY2047" s="58" t="s">
        <v>176</v>
      </c>
      <c r="AZ2047" s="58" t="s">
        <v>1016</v>
      </c>
      <c r="BA2047" s="58" t="s">
        <v>1016</v>
      </c>
      <c r="BB2047" s="58" t="s">
        <v>2082</v>
      </c>
      <c r="BC2047" s="58" t="s">
        <v>2082</v>
      </c>
      <c r="BD2047" s="55" t="s">
        <v>176</v>
      </c>
      <c r="BE2047" s="236" t="s">
        <v>1995</v>
      </c>
      <c r="BF2047" s="191" t="s">
        <v>479</v>
      </c>
      <c r="BG2047" s="191" t="s">
        <v>479</v>
      </c>
      <c r="BH2047" s="236" t="s">
        <v>1995</v>
      </c>
      <c r="BI2047" s="191" t="s">
        <v>479</v>
      </c>
      <c r="BJ2047" s="58" t="s">
        <v>176</v>
      </c>
      <c r="BK2047" s="58" t="s">
        <v>6269</v>
      </c>
      <c r="BL2047" s="58"/>
      <c r="BM2047" s="237" t="s">
        <v>160</v>
      </c>
      <c r="BN2047" s="58">
        <v>4</v>
      </c>
      <c r="BO2047" s="58">
        <v>4</v>
      </c>
      <c r="BP2047" s="58">
        <v>4</v>
      </c>
      <c r="BQ2047" s="58" t="s">
        <v>141</v>
      </c>
      <c r="BR2047" s="58"/>
      <c r="BU2047" s="58"/>
      <c r="BV2047" s="58"/>
      <c r="CB2047" s="68"/>
      <c r="CC2047" s="68"/>
      <c r="CD2047" s="68"/>
      <c r="CE2047" s="67"/>
      <c r="CH2047" s="94"/>
      <c r="CI2047" s="94"/>
      <c r="CM2047" s="65">
        <f>(CR2047*1000000)/(100*100*AD2047*AA2047/100*1000000)*100</f>
        <v>0.85971223021582743</v>
      </c>
      <c r="CN2047" s="65">
        <f>(CS2047*1000000)/(100*100*AD2047*AA2047/100*1000000)*100</f>
        <v>0.85971223021582743</v>
      </c>
      <c r="CR2047" s="67">
        <v>23.9</v>
      </c>
      <c r="CS2047" s="67">
        <v>23.9</v>
      </c>
      <c r="CV2047" s="65" t="s">
        <v>2052</v>
      </c>
      <c r="DA2047" s="65" t="s">
        <v>4463</v>
      </c>
      <c r="DB2047" s="65">
        <v>1.95</v>
      </c>
      <c r="DC2047" s="65">
        <v>1.95</v>
      </c>
      <c r="DF2047" s="65" t="s">
        <v>545</v>
      </c>
      <c r="GP2047" s="292" t="s">
        <v>7494</v>
      </c>
      <c r="JU2047" s="58" t="s">
        <v>2041</v>
      </c>
      <c r="JV2047" s="58" t="s">
        <v>2065</v>
      </c>
    </row>
    <row r="2048" spans="1:282" x14ac:dyDescent="0.25">
      <c r="A2048" s="55">
        <v>2047</v>
      </c>
      <c r="B2048" s="12" t="s">
        <v>7067</v>
      </c>
      <c r="C2048" s="157">
        <v>93</v>
      </c>
      <c r="D2048" s="59" t="s">
        <v>4116</v>
      </c>
      <c r="E2048" s="94" t="s">
        <v>741</v>
      </c>
      <c r="F2048" s="94"/>
      <c r="G2048" s="58" t="s">
        <v>2074</v>
      </c>
      <c r="H2048" s="58">
        <v>2002</v>
      </c>
      <c r="I2048" s="58">
        <v>1995</v>
      </c>
      <c r="J2048" s="58" t="s">
        <v>1709</v>
      </c>
      <c r="K2048" s="58" t="s">
        <v>1990</v>
      </c>
      <c r="L2048" s="58" t="s">
        <v>2737</v>
      </c>
      <c r="M2048" s="94">
        <v>32.57</v>
      </c>
      <c r="N2048" s="94">
        <v>-83.91</v>
      </c>
      <c r="O2048" s="94">
        <v>16</v>
      </c>
      <c r="P2048" s="58">
        <v>18.100000000000001</v>
      </c>
      <c r="Q2048" s="58"/>
      <c r="R2048" s="58">
        <v>1258</v>
      </c>
      <c r="S2048" s="94"/>
      <c r="T2048" s="58"/>
      <c r="U2048" s="58">
        <v>2</v>
      </c>
      <c r="V2048" s="58" t="s">
        <v>1940</v>
      </c>
      <c r="Y2048" s="58" t="s">
        <v>2058</v>
      </c>
      <c r="Z2048" s="58" t="s">
        <v>1346</v>
      </c>
      <c r="AA2048" s="94">
        <v>20</v>
      </c>
      <c r="AD2048" s="94">
        <v>1.39</v>
      </c>
      <c r="AE2048" s="94">
        <v>65</v>
      </c>
      <c r="AF2048" s="94">
        <v>25</v>
      </c>
      <c r="AG2048" s="94"/>
      <c r="AH2048" s="58" t="s">
        <v>238</v>
      </c>
      <c r="AI2048" s="169">
        <v>6.5</v>
      </c>
      <c r="AJ2048" s="94">
        <f>23.9/(100*100*AD2048*0.2)*100</f>
        <v>0.85971223021582732</v>
      </c>
      <c r="AK2048" s="94"/>
      <c r="AL2048" s="58"/>
      <c r="AM2048" s="58" t="s">
        <v>1994</v>
      </c>
      <c r="AN2048" s="186" t="s">
        <v>1991</v>
      </c>
      <c r="AO2048" s="185" t="s">
        <v>5150</v>
      </c>
      <c r="AP2048" s="58"/>
      <c r="AQ2048" s="58" t="s">
        <v>553</v>
      </c>
      <c r="AR2048" s="58" t="s">
        <v>1993</v>
      </c>
      <c r="AS2048" s="58" t="s">
        <v>1580</v>
      </c>
      <c r="AT2048" s="182" t="s">
        <v>1993</v>
      </c>
      <c r="AU2048" s="181" t="s">
        <v>5150</v>
      </c>
      <c r="AV2048" s="185" t="s">
        <v>176</v>
      </c>
      <c r="AW2048" s="58" t="s">
        <v>1993</v>
      </c>
      <c r="AX2048" s="185" t="s">
        <v>176</v>
      </c>
      <c r="AY2048" s="58" t="s">
        <v>176</v>
      </c>
      <c r="AZ2048" s="58" t="s">
        <v>1016</v>
      </c>
      <c r="BA2048" s="58" t="s">
        <v>1016</v>
      </c>
      <c r="BB2048" s="58" t="s">
        <v>2082</v>
      </c>
      <c r="BC2048" s="58" t="s">
        <v>2082</v>
      </c>
      <c r="BD2048" s="55" t="s">
        <v>176</v>
      </c>
      <c r="BE2048" s="236" t="s">
        <v>1995</v>
      </c>
      <c r="BF2048" s="191" t="s">
        <v>479</v>
      </c>
      <c r="BG2048" s="191" t="s">
        <v>479</v>
      </c>
      <c r="BH2048" s="236" t="s">
        <v>1995</v>
      </c>
      <c r="BI2048" s="191" t="s">
        <v>479</v>
      </c>
      <c r="BJ2048" s="58" t="s">
        <v>176</v>
      </c>
      <c r="BK2048" s="58" t="s">
        <v>6269</v>
      </c>
      <c r="BL2048" s="58"/>
      <c r="BM2048" s="237" t="s">
        <v>160</v>
      </c>
      <c r="BN2048" s="58">
        <v>4</v>
      </c>
      <c r="BO2048" s="58">
        <v>4</v>
      </c>
      <c r="BP2048" s="58">
        <v>4</v>
      </c>
      <c r="BQ2048" s="58" t="s">
        <v>141</v>
      </c>
      <c r="BR2048" s="58"/>
      <c r="BS2048" s="58"/>
      <c r="BT2048" s="58"/>
      <c r="BU2048" s="58"/>
      <c r="BV2048" s="58"/>
      <c r="CB2048" s="68"/>
      <c r="CC2048" s="68"/>
      <c r="CD2048" s="68"/>
      <c r="CE2048" s="67"/>
      <c r="CH2048" s="94"/>
      <c r="CI2048" s="94"/>
      <c r="CM2048" s="65">
        <f>(CR2048*1000000)/(100*100*AD2048*AA2048/100*1000000)*100</f>
        <v>0.77697841726618722</v>
      </c>
      <c r="CN2048" s="65">
        <f>(CS2048*1000000)/(100*100*AD2048*AA2048/100*1000000)*100</f>
        <v>0.76618705035971235</v>
      </c>
      <c r="CR2048" s="67">
        <v>21.6</v>
      </c>
      <c r="CS2048" s="67">
        <v>21.3</v>
      </c>
      <c r="CV2048" s="65" t="s">
        <v>2052</v>
      </c>
      <c r="DA2048" s="65" t="s">
        <v>4463</v>
      </c>
      <c r="DB2048" s="65">
        <v>1.8</v>
      </c>
      <c r="DC2048" s="65">
        <v>1.82</v>
      </c>
      <c r="DF2048" s="65" t="s">
        <v>545</v>
      </c>
      <c r="GP2048" s="292" t="s">
        <v>7494</v>
      </c>
      <c r="JU2048" s="58" t="s">
        <v>2041</v>
      </c>
      <c r="JV2048" s="58" t="s">
        <v>2065</v>
      </c>
    </row>
    <row r="2049" spans="1:282" x14ac:dyDescent="0.25">
      <c r="A2049" s="55">
        <v>2048</v>
      </c>
      <c r="B2049" s="12" t="s">
        <v>7067</v>
      </c>
      <c r="C2049" s="157">
        <v>93</v>
      </c>
      <c r="D2049" s="59" t="s">
        <v>4116</v>
      </c>
      <c r="E2049" s="94" t="s">
        <v>741</v>
      </c>
      <c r="F2049" s="94"/>
      <c r="G2049" s="58" t="s">
        <v>2074</v>
      </c>
      <c r="H2049" s="58">
        <v>2002</v>
      </c>
      <c r="I2049" s="58">
        <v>1996</v>
      </c>
      <c r="J2049" s="58" t="s">
        <v>1709</v>
      </c>
      <c r="K2049" s="58" t="s">
        <v>1990</v>
      </c>
      <c r="L2049" s="58" t="s">
        <v>2737</v>
      </c>
      <c r="M2049" s="94">
        <v>32.57</v>
      </c>
      <c r="N2049" s="94">
        <v>-83.91</v>
      </c>
      <c r="O2049" s="94">
        <v>16</v>
      </c>
      <c r="P2049" s="58">
        <v>18.100000000000001</v>
      </c>
      <c r="Q2049" s="58"/>
      <c r="R2049" s="58">
        <v>1258</v>
      </c>
      <c r="S2049" s="94"/>
      <c r="T2049" s="58"/>
      <c r="U2049" s="58">
        <v>3</v>
      </c>
      <c r="V2049" s="58" t="s">
        <v>1940</v>
      </c>
      <c r="Y2049" s="58" t="s">
        <v>2058</v>
      </c>
      <c r="Z2049" s="58" t="s">
        <v>1346</v>
      </c>
      <c r="AA2049" s="94">
        <v>20</v>
      </c>
      <c r="AD2049" s="94">
        <v>1.39</v>
      </c>
      <c r="AE2049" s="94">
        <v>65</v>
      </c>
      <c r="AF2049" s="94">
        <v>25</v>
      </c>
      <c r="AG2049" s="94"/>
      <c r="AH2049" s="58" t="s">
        <v>238</v>
      </c>
      <c r="AI2049" s="169">
        <v>6.5</v>
      </c>
      <c r="AJ2049" s="94">
        <f>23.9/(100*100*AD2049*0.2)*100</f>
        <v>0.85971223021582732</v>
      </c>
      <c r="AK2049" s="94"/>
      <c r="AL2049" s="58"/>
      <c r="AM2049" s="58" t="s">
        <v>1994</v>
      </c>
      <c r="AN2049" s="186" t="s">
        <v>1991</v>
      </c>
      <c r="AO2049" s="185" t="s">
        <v>5150</v>
      </c>
      <c r="AP2049" s="58"/>
      <c r="AQ2049" s="58" t="s">
        <v>553</v>
      </c>
      <c r="AR2049" s="58" t="s">
        <v>1993</v>
      </c>
      <c r="AS2049" s="58" t="s">
        <v>1580</v>
      </c>
      <c r="AT2049" s="182" t="s">
        <v>1993</v>
      </c>
      <c r="AU2049" s="181" t="s">
        <v>5150</v>
      </c>
      <c r="AV2049" s="185" t="s">
        <v>176</v>
      </c>
      <c r="AW2049" s="58" t="s">
        <v>1993</v>
      </c>
      <c r="AX2049" s="185" t="s">
        <v>176</v>
      </c>
      <c r="AY2049" s="58" t="s">
        <v>176</v>
      </c>
      <c r="AZ2049" s="58" t="s">
        <v>1016</v>
      </c>
      <c r="BA2049" s="58" t="s">
        <v>1016</v>
      </c>
      <c r="BB2049" s="58" t="s">
        <v>2082</v>
      </c>
      <c r="BC2049" s="58" t="s">
        <v>2082</v>
      </c>
      <c r="BD2049" s="55" t="s">
        <v>176</v>
      </c>
      <c r="BE2049" s="236" t="s">
        <v>1995</v>
      </c>
      <c r="BF2049" s="191" t="s">
        <v>479</v>
      </c>
      <c r="BG2049" s="191" t="s">
        <v>479</v>
      </c>
      <c r="BH2049" s="236" t="s">
        <v>1995</v>
      </c>
      <c r="BI2049" s="191" t="s">
        <v>479</v>
      </c>
      <c r="BJ2049" s="58" t="s">
        <v>176</v>
      </c>
      <c r="BK2049" s="58" t="s">
        <v>6269</v>
      </c>
      <c r="BL2049" s="58"/>
      <c r="BM2049" s="237" t="s">
        <v>160</v>
      </c>
      <c r="BN2049" s="58">
        <v>4</v>
      </c>
      <c r="BO2049" s="58">
        <v>4</v>
      </c>
      <c r="BP2049" s="58">
        <v>4</v>
      </c>
      <c r="BQ2049" s="58" t="s">
        <v>141</v>
      </c>
      <c r="BR2049" s="58"/>
      <c r="BU2049" s="58"/>
      <c r="BV2049" s="58"/>
      <c r="CB2049" s="68"/>
      <c r="CC2049" s="68"/>
      <c r="CD2049" s="68"/>
      <c r="CE2049" s="67"/>
      <c r="CH2049" s="94"/>
      <c r="CI2049" s="94"/>
      <c r="CM2049" s="65">
        <f>(CR2049*1000000)/(100*100*AD2049*AA2049/100*1000000)*100</f>
        <v>0.88129496402877716</v>
      </c>
      <c r="CN2049" s="65">
        <f>(CS2049*1000000)/(100*100*AD2049*AA2049/100*1000000)*100</f>
        <v>0.96762589928057574</v>
      </c>
      <c r="CR2049" s="67">
        <v>24.5</v>
      </c>
      <c r="CS2049" s="67">
        <v>26.9</v>
      </c>
      <c r="CV2049" s="65" t="s">
        <v>2052</v>
      </c>
      <c r="DA2049" s="65" t="s">
        <v>4463</v>
      </c>
      <c r="DB2049" s="65">
        <v>2.33</v>
      </c>
      <c r="DC2049" s="65">
        <v>2.4700000000000002</v>
      </c>
      <c r="DF2049" s="65" t="s">
        <v>545</v>
      </c>
      <c r="GP2049" s="292" t="s">
        <v>7494</v>
      </c>
      <c r="JU2049" s="58" t="s">
        <v>2041</v>
      </c>
      <c r="JV2049" s="58" t="s">
        <v>2065</v>
      </c>
    </row>
    <row r="2050" spans="1:282" x14ac:dyDescent="0.25">
      <c r="A2050" s="55">
        <v>2049</v>
      </c>
      <c r="B2050" s="12" t="s">
        <v>7067</v>
      </c>
      <c r="C2050" s="157">
        <v>93</v>
      </c>
      <c r="D2050" s="59" t="s">
        <v>4116</v>
      </c>
      <c r="E2050" s="94" t="s">
        <v>741</v>
      </c>
      <c r="F2050" s="94"/>
      <c r="G2050" s="58" t="s">
        <v>2074</v>
      </c>
      <c r="H2050" s="58">
        <v>2002</v>
      </c>
      <c r="I2050" s="58">
        <v>1997</v>
      </c>
      <c r="J2050" s="58" t="s">
        <v>1709</v>
      </c>
      <c r="K2050" s="58" t="s">
        <v>1990</v>
      </c>
      <c r="L2050" s="58" t="s">
        <v>2737</v>
      </c>
      <c r="M2050" s="94">
        <v>32.57</v>
      </c>
      <c r="N2050" s="94">
        <v>-83.91</v>
      </c>
      <c r="O2050" s="94">
        <v>16</v>
      </c>
      <c r="P2050" s="58">
        <v>18.100000000000001</v>
      </c>
      <c r="Q2050" s="58"/>
      <c r="R2050" s="58">
        <v>1258</v>
      </c>
      <c r="S2050" s="94"/>
      <c r="T2050" s="58"/>
      <c r="U2050" s="58">
        <v>4</v>
      </c>
      <c r="V2050" s="58" t="s">
        <v>1940</v>
      </c>
      <c r="Y2050" s="58" t="s">
        <v>2058</v>
      </c>
      <c r="Z2050" s="58" t="s">
        <v>1346</v>
      </c>
      <c r="AA2050" s="94">
        <v>20</v>
      </c>
      <c r="AD2050" s="94">
        <v>1.39</v>
      </c>
      <c r="AE2050" s="94">
        <v>65</v>
      </c>
      <c r="AF2050" s="94">
        <v>25</v>
      </c>
      <c r="AG2050" s="94"/>
      <c r="AH2050" s="58" t="s">
        <v>238</v>
      </c>
      <c r="AI2050" s="169">
        <v>6.5</v>
      </c>
      <c r="AJ2050" s="94">
        <f>23.9/(100*100*AD2050*0.2)*100</f>
        <v>0.85971223021582732</v>
      </c>
      <c r="AK2050" s="94"/>
      <c r="AL2050" s="58"/>
      <c r="AM2050" s="58" t="s">
        <v>1994</v>
      </c>
      <c r="AN2050" s="186" t="s">
        <v>1991</v>
      </c>
      <c r="AO2050" s="185" t="s">
        <v>5150</v>
      </c>
      <c r="AP2050" s="58"/>
      <c r="AQ2050" s="58" t="s">
        <v>553</v>
      </c>
      <c r="AR2050" s="58" t="s">
        <v>1993</v>
      </c>
      <c r="AS2050" s="58" t="s">
        <v>1580</v>
      </c>
      <c r="AT2050" s="182" t="s">
        <v>1993</v>
      </c>
      <c r="AU2050" s="181" t="s">
        <v>5150</v>
      </c>
      <c r="AV2050" s="185" t="s">
        <v>176</v>
      </c>
      <c r="AW2050" s="58" t="s">
        <v>1993</v>
      </c>
      <c r="AX2050" s="185" t="s">
        <v>176</v>
      </c>
      <c r="AY2050" s="58" t="s">
        <v>176</v>
      </c>
      <c r="AZ2050" s="58" t="s">
        <v>1016</v>
      </c>
      <c r="BA2050" s="58" t="s">
        <v>1016</v>
      </c>
      <c r="BB2050" s="58" t="s">
        <v>2082</v>
      </c>
      <c r="BC2050" s="58" t="s">
        <v>2082</v>
      </c>
      <c r="BD2050" s="55" t="s">
        <v>176</v>
      </c>
      <c r="BE2050" s="236" t="s">
        <v>1995</v>
      </c>
      <c r="BF2050" s="191" t="s">
        <v>479</v>
      </c>
      <c r="BG2050" s="191" t="s">
        <v>479</v>
      </c>
      <c r="BH2050" s="236" t="s">
        <v>1995</v>
      </c>
      <c r="BI2050" s="191" t="s">
        <v>479</v>
      </c>
      <c r="BJ2050" s="58" t="s">
        <v>176</v>
      </c>
      <c r="BK2050" s="58" t="s">
        <v>6269</v>
      </c>
      <c r="BL2050" s="58"/>
      <c r="BM2050" s="237" t="s">
        <v>160</v>
      </c>
      <c r="BN2050" s="58">
        <v>4</v>
      </c>
      <c r="BO2050" s="58">
        <v>4</v>
      </c>
      <c r="BP2050" s="58">
        <v>4</v>
      </c>
      <c r="BQ2050" s="58" t="s">
        <v>141</v>
      </c>
      <c r="BR2050" s="58"/>
      <c r="BS2050" s="58"/>
      <c r="BT2050" s="58"/>
      <c r="BU2050" s="58"/>
      <c r="BV2050" s="58"/>
      <c r="CB2050" s="68"/>
      <c r="CC2050" s="68"/>
      <c r="CD2050" s="68"/>
      <c r="CE2050" s="67"/>
      <c r="CH2050" s="94"/>
      <c r="CI2050" s="94"/>
      <c r="CM2050" s="65">
        <f>(CR2050*1000000)/(100*100*AD2050*AA2050/100*1000000)*100</f>
        <v>0.82014388489208645</v>
      </c>
      <c r="CN2050" s="65">
        <f>(CS2050*1000000)/(100*100*AD2050*AA2050/100*1000000)*100</f>
        <v>0.85971223021582743</v>
      </c>
      <c r="CR2050" s="67">
        <v>22.8</v>
      </c>
      <c r="CS2050" s="67">
        <v>23.9</v>
      </c>
      <c r="CV2050" s="65" t="s">
        <v>2052</v>
      </c>
      <c r="DA2050" s="65" t="s">
        <v>4463</v>
      </c>
      <c r="DB2050" s="65">
        <v>1.94</v>
      </c>
      <c r="DC2050" s="65">
        <v>2.02</v>
      </c>
      <c r="DF2050" s="65" t="s">
        <v>545</v>
      </c>
      <c r="GP2050" s="292" t="s">
        <v>7494</v>
      </c>
      <c r="JU2050" s="58" t="s">
        <v>2041</v>
      </c>
      <c r="JV2050" s="58" t="s">
        <v>2065</v>
      </c>
    </row>
    <row r="2051" spans="1:282" x14ac:dyDescent="0.25">
      <c r="A2051" s="55">
        <v>2050</v>
      </c>
      <c r="B2051" s="12" t="s">
        <v>7067</v>
      </c>
      <c r="C2051" s="157">
        <v>93</v>
      </c>
      <c r="D2051" s="59" t="s">
        <v>4116</v>
      </c>
      <c r="E2051" s="94" t="s">
        <v>741</v>
      </c>
      <c r="F2051" s="94"/>
      <c r="G2051" s="58" t="s">
        <v>2074</v>
      </c>
      <c r="H2051" s="58">
        <v>2002</v>
      </c>
      <c r="I2051" s="58">
        <v>1998</v>
      </c>
      <c r="J2051" s="58" t="s">
        <v>1709</v>
      </c>
      <c r="K2051" s="58" t="s">
        <v>1990</v>
      </c>
      <c r="L2051" s="58" t="s">
        <v>2737</v>
      </c>
      <c r="M2051" s="94">
        <v>32.57</v>
      </c>
      <c r="N2051" s="94">
        <v>-83.91</v>
      </c>
      <c r="O2051" s="94">
        <v>16</v>
      </c>
      <c r="P2051" s="58">
        <v>18.100000000000001</v>
      </c>
      <c r="Q2051" s="58"/>
      <c r="R2051" s="58">
        <v>1258</v>
      </c>
      <c r="S2051" s="94"/>
      <c r="T2051" s="58"/>
      <c r="U2051" s="58">
        <v>5</v>
      </c>
      <c r="V2051" s="58" t="s">
        <v>1940</v>
      </c>
      <c r="Y2051" s="58" t="s">
        <v>2058</v>
      </c>
      <c r="Z2051" s="58" t="s">
        <v>1346</v>
      </c>
      <c r="AA2051" s="94">
        <v>20</v>
      </c>
      <c r="AD2051" s="94">
        <v>1.39</v>
      </c>
      <c r="AE2051" s="94">
        <v>65</v>
      </c>
      <c r="AF2051" s="94">
        <v>25</v>
      </c>
      <c r="AG2051" s="94"/>
      <c r="AH2051" s="58" t="s">
        <v>238</v>
      </c>
      <c r="AI2051" s="169">
        <v>6.5</v>
      </c>
      <c r="AJ2051" s="94">
        <f>23.9/(100*100*AD2051*0.2)*100</f>
        <v>0.85971223021582732</v>
      </c>
      <c r="AK2051" s="94"/>
      <c r="AL2051" s="58"/>
      <c r="AM2051" s="58" t="s">
        <v>1994</v>
      </c>
      <c r="AN2051" s="186" t="s">
        <v>1991</v>
      </c>
      <c r="AO2051" s="185" t="s">
        <v>5150</v>
      </c>
      <c r="AP2051" s="58"/>
      <c r="AQ2051" s="58" t="s">
        <v>553</v>
      </c>
      <c r="AR2051" s="58" t="s">
        <v>1993</v>
      </c>
      <c r="AS2051" s="58" t="s">
        <v>1580</v>
      </c>
      <c r="AT2051" s="182" t="s">
        <v>1993</v>
      </c>
      <c r="AU2051" s="181" t="s">
        <v>5150</v>
      </c>
      <c r="AV2051" s="185" t="s">
        <v>176</v>
      </c>
      <c r="AW2051" s="58" t="s">
        <v>1993</v>
      </c>
      <c r="AX2051" s="185" t="s">
        <v>176</v>
      </c>
      <c r="AY2051" s="58" t="s">
        <v>176</v>
      </c>
      <c r="AZ2051" s="58" t="s">
        <v>1016</v>
      </c>
      <c r="BA2051" s="58" t="s">
        <v>1016</v>
      </c>
      <c r="BB2051" s="58" t="s">
        <v>2082</v>
      </c>
      <c r="BC2051" s="58" t="s">
        <v>2082</v>
      </c>
      <c r="BD2051" s="55" t="s">
        <v>176</v>
      </c>
      <c r="BE2051" s="236" t="s">
        <v>1995</v>
      </c>
      <c r="BF2051" s="191" t="s">
        <v>479</v>
      </c>
      <c r="BG2051" s="191" t="s">
        <v>479</v>
      </c>
      <c r="BH2051" s="236" t="s">
        <v>1995</v>
      </c>
      <c r="BI2051" s="191" t="s">
        <v>479</v>
      </c>
      <c r="BJ2051" s="58" t="s">
        <v>176</v>
      </c>
      <c r="BK2051" s="58" t="s">
        <v>6269</v>
      </c>
      <c r="BL2051" s="58"/>
      <c r="BM2051" s="237" t="s">
        <v>160</v>
      </c>
      <c r="BN2051" s="58">
        <v>4</v>
      </c>
      <c r="BO2051" s="58">
        <v>4</v>
      </c>
      <c r="BP2051" s="58">
        <v>4</v>
      </c>
      <c r="BQ2051" s="58" t="s">
        <v>141</v>
      </c>
      <c r="BR2051" s="58"/>
      <c r="BS2051" s="58"/>
      <c r="BT2051" s="58"/>
      <c r="BU2051" s="58"/>
      <c r="BV2051" s="58"/>
      <c r="CB2051" s="68"/>
      <c r="CC2051" s="68"/>
      <c r="CD2051" s="68"/>
      <c r="CE2051" s="67"/>
      <c r="CH2051" s="94"/>
      <c r="CI2051" s="94"/>
      <c r="CM2051" s="65">
        <f>(CR2051*1000000)/(100*100*AD2051*AA2051/100*1000000)*100</f>
        <v>0.7625899280575541</v>
      </c>
      <c r="CN2051" s="65">
        <f>(CS2051*1000000)/(100*100*AD2051*AA2051/100*1000000)*100</f>
        <v>0.85971223021582743</v>
      </c>
      <c r="CR2051" s="67">
        <v>21.2</v>
      </c>
      <c r="CS2051" s="67">
        <v>23.9</v>
      </c>
      <c r="CV2051" s="65" t="s">
        <v>2052</v>
      </c>
      <c r="DA2051" s="65" t="s">
        <v>4463</v>
      </c>
      <c r="DB2051" s="65">
        <v>1.57</v>
      </c>
      <c r="DC2051" s="65">
        <v>1.74</v>
      </c>
      <c r="DF2051" s="65" t="s">
        <v>545</v>
      </c>
      <c r="GP2051" s="292" t="s">
        <v>7494</v>
      </c>
      <c r="JU2051" s="58" t="s">
        <v>2041</v>
      </c>
      <c r="JV2051" s="58" t="s">
        <v>2065</v>
      </c>
    </row>
    <row r="2052" spans="1:282" x14ac:dyDescent="0.25">
      <c r="A2052" s="55">
        <v>2051</v>
      </c>
      <c r="B2052" s="12" t="s">
        <v>7067</v>
      </c>
      <c r="C2052" s="157">
        <v>93</v>
      </c>
      <c r="D2052" s="59" t="s">
        <v>4116</v>
      </c>
      <c r="E2052" s="94" t="s">
        <v>741</v>
      </c>
      <c r="F2052" s="94"/>
      <c r="G2052" s="58" t="s">
        <v>2074</v>
      </c>
      <c r="H2052" s="58">
        <v>2002</v>
      </c>
      <c r="I2052" s="58">
        <v>1999</v>
      </c>
      <c r="J2052" s="58" t="s">
        <v>1709</v>
      </c>
      <c r="K2052" s="58" t="s">
        <v>1990</v>
      </c>
      <c r="L2052" s="58" t="s">
        <v>2737</v>
      </c>
      <c r="M2052" s="94">
        <v>32.57</v>
      </c>
      <c r="N2052" s="94">
        <v>-83.91</v>
      </c>
      <c r="O2052" s="94">
        <v>16</v>
      </c>
      <c r="P2052" s="58">
        <v>18.100000000000001</v>
      </c>
      <c r="Q2052" s="58"/>
      <c r="R2052" s="58">
        <v>1258</v>
      </c>
      <c r="S2052" s="94"/>
      <c r="T2052" s="58"/>
      <c r="U2052" s="58">
        <v>6</v>
      </c>
      <c r="V2052" s="58" t="s">
        <v>1940</v>
      </c>
      <c r="Y2052" s="58" t="s">
        <v>2058</v>
      </c>
      <c r="Z2052" s="58" t="s">
        <v>1346</v>
      </c>
      <c r="AA2052" s="94">
        <v>20</v>
      </c>
      <c r="AD2052" s="94">
        <v>1.39</v>
      </c>
      <c r="AE2052" s="94">
        <v>65</v>
      </c>
      <c r="AF2052" s="94">
        <v>25</v>
      </c>
      <c r="AG2052" s="94"/>
      <c r="AH2052" s="58" t="s">
        <v>238</v>
      </c>
      <c r="AI2052" s="169">
        <v>6.5</v>
      </c>
      <c r="AJ2052" s="94">
        <f>23.9/(100*100*AD2052*0.2)*100</f>
        <v>0.85971223021582732</v>
      </c>
      <c r="AK2052" s="94"/>
      <c r="AL2052" s="58"/>
      <c r="AM2052" s="58" t="s">
        <v>1994</v>
      </c>
      <c r="AN2052" s="186" t="s">
        <v>1991</v>
      </c>
      <c r="AO2052" s="185" t="s">
        <v>5150</v>
      </c>
      <c r="AP2052" s="58"/>
      <c r="AQ2052" s="58" t="s">
        <v>553</v>
      </c>
      <c r="AR2052" s="58" t="s">
        <v>2062</v>
      </c>
      <c r="AS2052" s="58" t="s">
        <v>1580</v>
      </c>
      <c r="AT2052" s="182" t="s">
        <v>1993</v>
      </c>
      <c r="AU2052" s="181" t="s">
        <v>5150</v>
      </c>
      <c r="AV2052" s="185" t="s">
        <v>176</v>
      </c>
      <c r="AW2052" s="58" t="s">
        <v>1993</v>
      </c>
      <c r="AX2052" s="185" t="s">
        <v>176</v>
      </c>
      <c r="AY2052" s="58" t="s">
        <v>176</v>
      </c>
      <c r="AZ2052" s="58" t="s">
        <v>1016</v>
      </c>
      <c r="BA2052" s="58" t="s">
        <v>1016</v>
      </c>
      <c r="BB2052" s="58" t="s">
        <v>2082</v>
      </c>
      <c r="BC2052" s="58" t="s">
        <v>2082</v>
      </c>
      <c r="BD2052" s="55" t="s">
        <v>176</v>
      </c>
      <c r="BE2052" s="236" t="s">
        <v>1995</v>
      </c>
      <c r="BF2052" s="191" t="s">
        <v>479</v>
      </c>
      <c r="BG2052" s="191" t="s">
        <v>479</v>
      </c>
      <c r="BH2052" s="236" t="s">
        <v>1995</v>
      </c>
      <c r="BI2052" s="191" t="s">
        <v>479</v>
      </c>
      <c r="BJ2052" s="58" t="s">
        <v>176</v>
      </c>
      <c r="BK2052" s="58" t="s">
        <v>6269</v>
      </c>
      <c r="BL2052" s="58"/>
      <c r="BM2052" s="237" t="s">
        <v>160</v>
      </c>
      <c r="BN2052" s="58">
        <v>4</v>
      </c>
      <c r="BO2052" s="58">
        <v>4</v>
      </c>
      <c r="BP2052" s="58">
        <v>4</v>
      </c>
      <c r="BQ2052" s="58" t="s">
        <v>141</v>
      </c>
      <c r="BR2052" s="58"/>
      <c r="BS2052" s="58"/>
      <c r="BT2052" s="58"/>
      <c r="BU2052" s="58"/>
      <c r="BV2052" s="58"/>
      <c r="CB2052" s="68"/>
      <c r="CC2052" s="68"/>
      <c r="CD2052" s="68"/>
      <c r="CE2052" s="67"/>
      <c r="CH2052" s="94"/>
      <c r="CI2052" s="94"/>
      <c r="CM2052" s="65">
        <f>(CR2052*1000000)/(100*100*AD2052*AA2052/100*1000000)*100</f>
        <v>0.71223021582733825</v>
      </c>
      <c r="CN2052" s="65">
        <f>(CS2052*1000000)/(100*100*AD2052*AA2052/100*1000000)*100</f>
        <v>0.87410071942446055</v>
      </c>
      <c r="CR2052" s="67">
        <v>19.8</v>
      </c>
      <c r="CS2052" s="67">
        <v>24.3</v>
      </c>
      <c r="CV2052" s="65" t="s">
        <v>2052</v>
      </c>
      <c r="DA2052" s="65" t="s">
        <v>4463</v>
      </c>
      <c r="DB2052" s="65">
        <v>1.48</v>
      </c>
      <c r="DC2052" s="65">
        <v>1.74</v>
      </c>
      <c r="DF2052" s="65" t="s">
        <v>545</v>
      </c>
      <c r="GP2052" s="292" t="s">
        <v>7494</v>
      </c>
      <c r="JU2052" s="58" t="s">
        <v>2041</v>
      </c>
      <c r="JV2052" s="58" t="s">
        <v>2065</v>
      </c>
    </row>
    <row r="2053" spans="1:282" x14ac:dyDescent="0.25">
      <c r="A2053" s="55">
        <v>2052</v>
      </c>
      <c r="B2053" s="12" t="s">
        <v>7067</v>
      </c>
      <c r="C2053" s="157">
        <v>93</v>
      </c>
      <c r="D2053" s="59" t="s">
        <v>4117</v>
      </c>
      <c r="E2053" s="94" t="s">
        <v>741</v>
      </c>
      <c r="F2053" s="94"/>
      <c r="G2053" s="58" t="s">
        <v>2074</v>
      </c>
      <c r="H2053" s="58">
        <v>2002</v>
      </c>
      <c r="I2053" s="58">
        <v>1994</v>
      </c>
      <c r="J2053" s="58" t="s">
        <v>1709</v>
      </c>
      <c r="K2053" s="58" t="s">
        <v>1990</v>
      </c>
      <c r="L2053" s="58" t="s">
        <v>2737</v>
      </c>
      <c r="M2053" s="94">
        <v>32.57</v>
      </c>
      <c r="N2053" s="94">
        <v>-83.91</v>
      </c>
      <c r="O2053" s="94">
        <v>16</v>
      </c>
      <c r="P2053" s="58">
        <v>18.100000000000001</v>
      </c>
      <c r="Q2053" s="58"/>
      <c r="R2053" s="58">
        <v>1258</v>
      </c>
      <c r="S2053" s="94"/>
      <c r="T2053" s="58"/>
      <c r="U2053" s="58">
        <v>1</v>
      </c>
      <c r="V2053" s="58" t="s">
        <v>1940</v>
      </c>
      <c r="Y2053" s="58" t="s">
        <v>2058</v>
      </c>
      <c r="Z2053" s="58" t="s">
        <v>1346</v>
      </c>
      <c r="AA2053" s="94">
        <v>20</v>
      </c>
      <c r="AD2053" s="94">
        <v>1.39</v>
      </c>
      <c r="AE2053" s="94">
        <v>65</v>
      </c>
      <c r="AF2053" s="94">
        <v>25</v>
      </c>
      <c r="AG2053" s="94"/>
      <c r="AH2053" s="58" t="s">
        <v>238</v>
      </c>
      <c r="AI2053" s="169">
        <v>6.5</v>
      </c>
      <c r="AJ2053" s="94">
        <f>23.9/(100*100*AD2053*0.2)*100</f>
        <v>0.85971223021582732</v>
      </c>
      <c r="AK2053" s="94"/>
      <c r="AL2053" s="58"/>
      <c r="AM2053" s="58" t="s">
        <v>1994</v>
      </c>
      <c r="AN2053" s="186" t="s">
        <v>1991</v>
      </c>
      <c r="AO2053" s="185" t="s">
        <v>5150</v>
      </c>
      <c r="AP2053" s="58"/>
      <c r="AQ2053" s="58" t="s">
        <v>553</v>
      </c>
      <c r="AR2053" s="58" t="s">
        <v>1993</v>
      </c>
      <c r="AS2053" s="58" t="s">
        <v>1580</v>
      </c>
      <c r="AT2053" s="182" t="s">
        <v>1993</v>
      </c>
      <c r="AU2053" s="181" t="s">
        <v>5150</v>
      </c>
      <c r="AV2053" s="185" t="s">
        <v>176</v>
      </c>
      <c r="AW2053" s="58" t="s">
        <v>1993</v>
      </c>
      <c r="AX2053" s="185" t="s">
        <v>176</v>
      </c>
      <c r="AY2053" s="58" t="s">
        <v>176</v>
      </c>
      <c r="AZ2053" s="58" t="s">
        <v>1016</v>
      </c>
      <c r="BA2053" s="58" t="s">
        <v>1016</v>
      </c>
      <c r="BB2053" s="58" t="s">
        <v>2082</v>
      </c>
      <c r="BC2053" s="58" t="s">
        <v>2082</v>
      </c>
      <c r="BD2053" s="55" t="s">
        <v>176</v>
      </c>
      <c r="BE2053" s="236" t="s">
        <v>1992</v>
      </c>
      <c r="BF2053" s="191" t="s">
        <v>479</v>
      </c>
      <c r="BG2053" s="191" t="s">
        <v>479</v>
      </c>
      <c r="BH2053" s="236" t="s">
        <v>1992</v>
      </c>
      <c r="BI2053" s="191" t="s">
        <v>479</v>
      </c>
      <c r="BJ2053" s="58" t="s">
        <v>176</v>
      </c>
      <c r="BK2053" s="58" t="s">
        <v>6269</v>
      </c>
      <c r="BL2053" s="58"/>
      <c r="BM2053" s="237" t="s">
        <v>160</v>
      </c>
      <c r="BN2053" s="58">
        <v>4</v>
      </c>
      <c r="BO2053" s="58">
        <v>4</v>
      </c>
      <c r="BP2053" s="58">
        <v>4</v>
      </c>
      <c r="BQ2053" s="58" t="s">
        <v>141</v>
      </c>
      <c r="BR2053" s="58"/>
      <c r="BU2053" s="58"/>
      <c r="BV2053" s="58"/>
      <c r="CB2053" s="68"/>
      <c r="CC2053" s="68"/>
      <c r="CD2053" s="68"/>
      <c r="CE2053" s="67"/>
      <c r="CH2053" s="94"/>
      <c r="CI2053" s="94"/>
      <c r="CM2053" s="65">
        <f>(CR2053*1000000)/(100*100*AD2053*AA2053/100*1000000)*100</f>
        <v>0.85971223021582743</v>
      </c>
      <c r="CN2053" s="65">
        <f>(CS2053*1000000)/(100*100*AD2053*AA2053/100*1000000)*100</f>
        <v>0.85971223021582743</v>
      </c>
      <c r="CR2053" s="67">
        <v>23.9</v>
      </c>
      <c r="CS2053" s="67">
        <v>23.9</v>
      </c>
      <c r="CV2053" s="65" t="s">
        <v>2052</v>
      </c>
      <c r="DA2053" s="65" t="s">
        <v>4463</v>
      </c>
      <c r="DB2053" s="65">
        <v>1.95</v>
      </c>
      <c r="DC2053" s="65">
        <v>1.95</v>
      </c>
      <c r="DF2053" s="65" t="s">
        <v>545</v>
      </c>
      <c r="GP2053" s="292" t="s">
        <v>7494</v>
      </c>
      <c r="JU2053" s="58" t="s">
        <v>2041</v>
      </c>
      <c r="JV2053" s="58" t="s">
        <v>2065</v>
      </c>
    </row>
    <row r="2054" spans="1:282" x14ac:dyDescent="0.25">
      <c r="A2054" s="55">
        <v>2053</v>
      </c>
      <c r="B2054" s="12" t="s">
        <v>7067</v>
      </c>
      <c r="C2054" s="157">
        <v>93</v>
      </c>
      <c r="D2054" s="59" t="s">
        <v>4117</v>
      </c>
      <c r="E2054" s="94" t="s">
        <v>741</v>
      </c>
      <c r="F2054" s="94"/>
      <c r="G2054" s="58" t="s">
        <v>2074</v>
      </c>
      <c r="H2054" s="58">
        <v>2002</v>
      </c>
      <c r="I2054" s="58">
        <v>1995</v>
      </c>
      <c r="J2054" s="58" t="s">
        <v>1709</v>
      </c>
      <c r="K2054" s="58" t="s">
        <v>1990</v>
      </c>
      <c r="L2054" s="58" t="s">
        <v>2737</v>
      </c>
      <c r="M2054" s="94">
        <v>32.57</v>
      </c>
      <c r="N2054" s="94">
        <v>-83.91</v>
      </c>
      <c r="O2054" s="94">
        <v>16</v>
      </c>
      <c r="P2054" s="58">
        <v>18.100000000000001</v>
      </c>
      <c r="Q2054" s="58"/>
      <c r="R2054" s="58">
        <v>1258</v>
      </c>
      <c r="S2054" s="94"/>
      <c r="T2054" s="58"/>
      <c r="U2054" s="58">
        <v>2</v>
      </c>
      <c r="V2054" s="58" t="s">
        <v>1940</v>
      </c>
      <c r="Y2054" s="58" t="s">
        <v>2058</v>
      </c>
      <c r="Z2054" s="58" t="s">
        <v>1346</v>
      </c>
      <c r="AA2054" s="94">
        <v>20</v>
      </c>
      <c r="AD2054" s="94">
        <v>1.39</v>
      </c>
      <c r="AE2054" s="94">
        <v>65</v>
      </c>
      <c r="AF2054" s="94">
        <v>25</v>
      </c>
      <c r="AG2054" s="94"/>
      <c r="AH2054" s="58" t="s">
        <v>238</v>
      </c>
      <c r="AI2054" s="169">
        <v>6.5</v>
      </c>
      <c r="AJ2054" s="94">
        <f>23.9/(100*100*AD2054*0.2)*100</f>
        <v>0.85971223021582732</v>
      </c>
      <c r="AK2054" s="94"/>
      <c r="AL2054" s="58"/>
      <c r="AM2054" s="58" t="s">
        <v>1994</v>
      </c>
      <c r="AN2054" s="186" t="s">
        <v>1991</v>
      </c>
      <c r="AO2054" s="185" t="s">
        <v>5150</v>
      </c>
      <c r="AP2054" s="58"/>
      <c r="AQ2054" s="58" t="s">
        <v>553</v>
      </c>
      <c r="AR2054" s="58" t="s">
        <v>1993</v>
      </c>
      <c r="AS2054" s="58" t="s">
        <v>1580</v>
      </c>
      <c r="AT2054" s="182" t="s">
        <v>1993</v>
      </c>
      <c r="AU2054" s="181" t="s">
        <v>5150</v>
      </c>
      <c r="AV2054" s="185" t="s">
        <v>176</v>
      </c>
      <c r="AW2054" s="58" t="s">
        <v>1993</v>
      </c>
      <c r="AX2054" s="185" t="s">
        <v>176</v>
      </c>
      <c r="AY2054" s="58" t="s">
        <v>176</v>
      </c>
      <c r="AZ2054" s="58" t="s">
        <v>1016</v>
      </c>
      <c r="BA2054" s="58" t="s">
        <v>1016</v>
      </c>
      <c r="BB2054" s="58" t="s">
        <v>2082</v>
      </c>
      <c r="BC2054" s="58" t="s">
        <v>2082</v>
      </c>
      <c r="BD2054" s="55" t="s">
        <v>176</v>
      </c>
      <c r="BE2054" s="236" t="s">
        <v>1992</v>
      </c>
      <c r="BF2054" s="191" t="s">
        <v>479</v>
      </c>
      <c r="BG2054" s="191" t="s">
        <v>479</v>
      </c>
      <c r="BH2054" s="236" t="s">
        <v>1992</v>
      </c>
      <c r="BI2054" s="191" t="s">
        <v>479</v>
      </c>
      <c r="BJ2054" s="58" t="s">
        <v>176</v>
      </c>
      <c r="BK2054" s="58" t="s">
        <v>6269</v>
      </c>
      <c r="BL2054" s="58"/>
      <c r="BM2054" s="237" t="s">
        <v>160</v>
      </c>
      <c r="BN2054" s="58">
        <v>4</v>
      </c>
      <c r="BO2054" s="58">
        <v>4</v>
      </c>
      <c r="BP2054" s="58">
        <v>4</v>
      </c>
      <c r="BQ2054" s="58" t="s">
        <v>141</v>
      </c>
      <c r="BR2054" s="58"/>
      <c r="BS2054" s="58"/>
      <c r="BT2054" s="58"/>
      <c r="BU2054" s="58"/>
      <c r="BV2054" s="58"/>
      <c r="CB2054" s="68"/>
      <c r="CC2054" s="68"/>
      <c r="CD2054" s="68"/>
      <c r="CE2054" s="67"/>
      <c r="CH2054" s="94"/>
      <c r="CI2054" s="94"/>
      <c r="CM2054" s="65">
        <f>(CR2054*1000000)/(100*100*AD2054*AA2054/100*1000000)*100</f>
        <v>0.8093525179856117</v>
      </c>
      <c r="CN2054" s="65">
        <f>(CS2054*1000000)/(100*100*AD2054*AA2054/100*1000000)*100</f>
        <v>0.76618705035971235</v>
      </c>
      <c r="CR2054" s="67">
        <v>22.5</v>
      </c>
      <c r="CS2054" s="67">
        <v>21.3</v>
      </c>
      <c r="CV2054" s="65" t="s">
        <v>2052</v>
      </c>
      <c r="DA2054" s="65" t="s">
        <v>4463</v>
      </c>
      <c r="DB2054" s="65">
        <v>2.0499999999999998</v>
      </c>
      <c r="DC2054" s="65">
        <v>1.72</v>
      </c>
      <c r="DF2054" s="65" t="s">
        <v>545</v>
      </c>
      <c r="GP2054" s="292" t="s">
        <v>7494</v>
      </c>
      <c r="JU2054" s="58" t="s">
        <v>2041</v>
      </c>
      <c r="JV2054" s="58" t="s">
        <v>2065</v>
      </c>
    </row>
    <row r="2055" spans="1:282" x14ac:dyDescent="0.25">
      <c r="A2055" s="55">
        <v>2054</v>
      </c>
      <c r="B2055" s="12" t="s">
        <v>7067</v>
      </c>
      <c r="C2055" s="157">
        <v>93</v>
      </c>
      <c r="D2055" s="59" t="s">
        <v>4117</v>
      </c>
      <c r="E2055" s="94" t="s">
        <v>741</v>
      </c>
      <c r="F2055" s="94"/>
      <c r="G2055" s="58" t="s">
        <v>2074</v>
      </c>
      <c r="H2055" s="58">
        <v>2002</v>
      </c>
      <c r="I2055" s="58">
        <v>1996</v>
      </c>
      <c r="J2055" s="58" t="s">
        <v>1709</v>
      </c>
      <c r="K2055" s="58" t="s">
        <v>1990</v>
      </c>
      <c r="L2055" s="58" t="s">
        <v>2737</v>
      </c>
      <c r="M2055" s="94">
        <v>32.57</v>
      </c>
      <c r="N2055" s="94">
        <v>-83.91</v>
      </c>
      <c r="O2055" s="94">
        <v>16</v>
      </c>
      <c r="P2055" s="58">
        <v>18.100000000000001</v>
      </c>
      <c r="Q2055" s="58"/>
      <c r="R2055" s="58">
        <v>1258</v>
      </c>
      <c r="S2055" s="94"/>
      <c r="T2055" s="58"/>
      <c r="U2055" s="58">
        <v>3</v>
      </c>
      <c r="V2055" s="58" t="s">
        <v>1940</v>
      </c>
      <c r="Y2055" s="58" t="s">
        <v>2058</v>
      </c>
      <c r="Z2055" s="58" t="s">
        <v>1346</v>
      </c>
      <c r="AA2055" s="94">
        <v>20</v>
      </c>
      <c r="AD2055" s="94">
        <v>1.39</v>
      </c>
      <c r="AE2055" s="94">
        <v>65</v>
      </c>
      <c r="AF2055" s="94">
        <v>25</v>
      </c>
      <c r="AG2055" s="94"/>
      <c r="AH2055" s="58" t="s">
        <v>238</v>
      </c>
      <c r="AI2055" s="169">
        <v>6.5</v>
      </c>
      <c r="AJ2055" s="94">
        <f>23.9/(100*100*AD2055*0.2)*100</f>
        <v>0.85971223021582732</v>
      </c>
      <c r="AK2055" s="94"/>
      <c r="AL2055" s="58"/>
      <c r="AM2055" s="58" t="s">
        <v>1994</v>
      </c>
      <c r="AN2055" s="186" t="s">
        <v>1991</v>
      </c>
      <c r="AO2055" s="185" t="s">
        <v>5150</v>
      </c>
      <c r="AP2055" s="58"/>
      <c r="AQ2055" s="58" t="s">
        <v>553</v>
      </c>
      <c r="AR2055" s="58" t="s">
        <v>1993</v>
      </c>
      <c r="AS2055" s="58" t="s">
        <v>1580</v>
      </c>
      <c r="AT2055" s="182" t="s">
        <v>1993</v>
      </c>
      <c r="AU2055" s="181" t="s">
        <v>5150</v>
      </c>
      <c r="AV2055" s="185" t="s">
        <v>176</v>
      </c>
      <c r="AW2055" s="58" t="s">
        <v>1993</v>
      </c>
      <c r="AX2055" s="185" t="s">
        <v>176</v>
      </c>
      <c r="AY2055" s="58" t="s">
        <v>176</v>
      </c>
      <c r="AZ2055" s="58" t="s">
        <v>1016</v>
      </c>
      <c r="BA2055" s="58" t="s">
        <v>1016</v>
      </c>
      <c r="BB2055" s="58" t="s">
        <v>2082</v>
      </c>
      <c r="BC2055" s="58" t="s">
        <v>2082</v>
      </c>
      <c r="BD2055" s="55" t="s">
        <v>176</v>
      </c>
      <c r="BE2055" s="236" t="s">
        <v>1992</v>
      </c>
      <c r="BF2055" s="191" t="s">
        <v>479</v>
      </c>
      <c r="BG2055" s="191" t="s">
        <v>479</v>
      </c>
      <c r="BH2055" s="236" t="s">
        <v>1992</v>
      </c>
      <c r="BI2055" s="191" t="s">
        <v>479</v>
      </c>
      <c r="BJ2055" s="58" t="s">
        <v>176</v>
      </c>
      <c r="BK2055" s="58" t="s">
        <v>6269</v>
      </c>
      <c r="BL2055" s="58"/>
      <c r="BM2055" s="237" t="s">
        <v>160</v>
      </c>
      <c r="BN2055" s="58">
        <v>4</v>
      </c>
      <c r="BO2055" s="58">
        <v>4</v>
      </c>
      <c r="BP2055" s="58">
        <v>4</v>
      </c>
      <c r="BQ2055" s="58" t="s">
        <v>141</v>
      </c>
      <c r="BR2055" s="58"/>
      <c r="BU2055" s="58"/>
      <c r="BV2055" s="58"/>
      <c r="CB2055" s="68"/>
      <c r="CC2055" s="68"/>
      <c r="CD2055" s="68"/>
      <c r="CE2055" s="67"/>
      <c r="CH2055" s="94"/>
      <c r="CI2055" s="94"/>
      <c r="CM2055" s="65">
        <f>(CR2055*1000000)/(100*100*AD2055*AA2055/100*1000000)*100</f>
        <v>1.035971223021583</v>
      </c>
      <c r="CN2055" s="65">
        <f>(CS2055*1000000)/(100*100*AD2055*AA2055/100*1000000)*100</f>
        <v>0.89208633093525191</v>
      </c>
      <c r="CR2055" s="67">
        <v>28.8</v>
      </c>
      <c r="CS2055" s="67">
        <v>24.8</v>
      </c>
      <c r="CV2055" s="65" t="s">
        <v>2052</v>
      </c>
      <c r="DA2055" s="65" t="s">
        <v>4463</v>
      </c>
      <c r="DB2055" s="65">
        <v>2.54</v>
      </c>
      <c r="DC2055" s="65">
        <v>2.02</v>
      </c>
      <c r="DF2055" s="65" t="s">
        <v>545</v>
      </c>
      <c r="GP2055" s="292" t="s">
        <v>7494</v>
      </c>
      <c r="JU2055" s="58" t="s">
        <v>2041</v>
      </c>
      <c r="JV2055" s="58" t="s">
        <v>2065</v>
      </c>
    </row>
    <row r="2056" spans="1:282" x14ac:dyDescent="0.25">
      <c r="A2056" s="55">
        <v>2055</v>
      </c>
      <c r="B2056" s="12" t="s">
        <v>7067</v>
      </c>
      <c r="C2056" s="157">
        <v>93</v>
      </c>
      <c r="D2056" s="59" t="s">
        <v>4117</v>
      </c>
      <c r="E2056" s="94" t="s">
        <v>741</v>
      </c>
      <c r="F2056" s="94"/>
      <c r="G2056" s="58" t="s">
        <v>2074</v>
      </c>
      <c r="H2056" s="58">
        <v>2002</v>
      </c>
      <c r="I2056" s="58">
        <v>1997</v>
      </c>
      <c r="J2056" s="58" t="s">
        <v>1709</v>
      </c>
      <c r="K2056" s="58" t="s">
        <v>1990</v>
      </c>
      <c r="L2056" s="58" t="s">
        <v>2737</v>
      </c>
      <c r="M2056" s="94">
        <v>32.57</v>
      </c>
      <c r="N2056" s="94">
        <v>-83.91</v>
      </c>
      <c r="O2056" s="94">
        <v>16</v>
      </c>
      <c r="P2056" s="58">
        <v>18.100000000000001</v>
      </c>
      <c r="Q2056" s="58"/>
      <c r="R2056" s="58">
        <v>1258</v>
      </c>
      <c r="S2056" s="94"/>
      <c r="T2056" s="58"/>
      <c r="U2056" s="58">
        <v>4</v>
      </c>
      <c r="V2056" s="58" t="s">
        <v>1940</v>
      </c>
      <c r="Y2056" s="58" t="s">
        <v>2058</v>
      </c>
      <c r="Z2056" s="58" t="s">
        <v>1346</v>
      </c>
      <c r="AA2056" s="94">
        <v>20</v>
      </c>
      <c r="AD2056" s="94">
        <v>1.39</v>
      </c>
      <c r="AE2056" s="94">
        <v>65</v>
      </c>
      <c r="AF2056" s="94">
        <v>25</v>
      </c>
      <c r="AG2056" s="94"/>
      <c r="AH2056" s="58" t="s">
        <v>238</v>
      </c>
      <c r="AI2056" s="169">
        <v>6.5</v>
      </c>
      <c r="AJ2056" s="94">
        <f>23.9/(100*100*AD2056*0.2)*100</f>
        <v>0.85971223021582732</v>
      </c>
      <c r="AK2056" s="94"/>
      <c r="AL2056" s="58"/>
      <c r="AM2056" s="58" t="s">
        <v>1994</v>
      </c>
      <c r="AN2056" s="186" t="s">
        <v>1991</v>
      </c>
      <c r="AO2056" s="185" t="s">
        <v>5150</v>
      </c>
      <c r="AP2056" s="58"/>
      <c r="AQ2056" s="58" t="s">
        <v>553</v>
      </c>
      <c r="AR2056" s="58" t="s">
        <v>1993</v>
      </c>
      <c r="AS2056" s="58" t="s">
        <v>1580</v>
      </c>
      <c r="AT2056" s="182" t="s">
        <v>1993</v>
      </c>
      <c r="AU2056" s="181" t="s">
        <v>5150</v>
      </c>
      <c r="AV2056" s="185" t="s">
        <v>176</v>
      </c>
      <c r="AW2056" s="58" t="s">
        <v>1993</v>
      </c>
      <c r="AX2056" s="185" t="s">
        <v>176</v>
      </c>
      <c r="AY2056" s="58" t="s">
        <v>176</v>
      </c>
      <c r="AZ2056" s="58" t="s">
        <v>1016</v>
      </c>
      <c r="BA2056" s="58" t="s">
        <v>1016</v>
      </c>
      <c r="BB2056" s="58" t="s">
        <v>2082</v>
      </c>
      <c r="BC2056" s="58" t="s">
        <v>2082</v>
      </c>
      <c r="BD2056" s="55" t="s">
        <v>176</v>
      </c>
      <c r="BE2056" s="236" t="s">
        <v>1992</v>
      </c>
      <c r="BF2056" s="191" t="s">
        <v>479</v>
      </c>
      <c r="BG2056" s="191" t="s">
        <v>479</v>
      </c>
      <c r="BH2056" s="236" t="s">
        <v>1992</v>
      </c>
      <c r="BI2056" s="191" t="s">
        <v>479</v>
      </c>
      <c r="BJ2056" s="58" t="s">
        <v>176</v>
      </c>
      <c r="BK2056" s="58" t="s">
        <v>6269</v>
      </c>
      <c r="BL2056" s="58"/>
      <c r="BM2056" s="237" t="s">
        <v>160</v>
      </c>
      <c r="BN2056" s="58">
        <v>4</v>
      </c>
      <c r="BO2056" s="58">
        <v>4</v>
      </c>
      <c r="BP2056" s="58">
        <v>4</v>
      </c>
      <c r="BQ2056" s="58" t="s">
        <v>141</v>
      </c>
      <c r="BR2056" s="58"/>
      <c r="BS2056" s="58"/>
      <c r="BT2056" s="58"/>
      <c r="BU2056" s="58"/>
      <c r="BV2056" s="58"/>
      <c r="CB2056" s="68"/>
      <c r="CC2056" s="68"/>
      <c r="CD2056" s="68"/>
      <c r="CE2056" s="67"/>
      <c r="CH2056" s="94"/>
      <c r="CI2056" s="94"/>
      <c r="CM2056" s="65">
        <f>(CR2056*1000000)/(100*100*AD2056*AA2056/100*1000000)*100</f>
        <v>0.89568345323741017</v>
      </c>
      <c r="CN2056" s="65">
        <f>(CS2056*1000000)/(100*100*AD2056*AA2056/100*1000000)*100</f>
        <v>0.8237410071942447</v>
      </c>
      <c r="CR2056" s="67">
        <v>24.9</v>
      </c>
      <c r="CS2056" s="67">
        <v>22.9</v>
      </c>
      <c r="CV2056" s="65" t="s">
        <v>2052</v>
      </c>
      <c r="DA2056" s="65" t="s">
        <v>4463</v>
      </c>
      <c r="DB2056" s="65">
        <v>2.15</v>
      </c>
      <c r="DC2056" s="65">
        <v>1.33</v>
      </c>
      <c r="DF2056" s="65" t="s">
        <v>545</v>
      </c>
      <c r="GP2056" s="292" t="s">
        <v>7494</v>
      </c>
      <c r="JU2056" s="58" t="s">
        <v>2041</v>
      </c>
      <c r="JV2056" s="58" t="s">
        <v>2065</v>
      </c>
    </row>
    <row r="2057" spans="1:282" x14ac:dyDescent="0.25">
      <c r="A2057" s="55">
        <v>2056</v>
      </c>
      <c r="B2057" s="12" t="s">
        <v>7067</v>
      </c>
      <c r="C2057" s="157">
        <v>93</v>
      </c>
      <c r="D2057" s="59" t="s">
        <v>4117</v>
      </c>
      <c r="E2057" s="94" t="s">
        <v>741</v>
      </c>
      <c r="F2057" s="94"/>
      <c r="G2057" s="58" t="s">
        <v>2074</v>
      </c>
      <c r="H2057" s="58">
        <v>2002</v>
      </c>
      <c r="I2057" s="58">
        <v>1998</v>
      </c>
      <c r="J2057" s="58" t="s">
        <v>1709</v>
      </c>
      <c r="K2057" s="58" t="s">
        <v>1990</v>
      </c>
      <c r="L2057" s="58" t="s">
        <v>2737</v>
      </c>
      <c r="M2057" s="94">
        <v>32.57</v>
      </c>
      <c r="N2057" s="94">
        <v>-83.91</v>
      </c>
      <c r="O2057" s="94">
        <v>16</v>
      </c>
      <c r="P2057" s="58">
        <v>18.100000000000001</v>
      </c>
      <c r="Q2057" s="58"/>
      <c r="R2057" s="58">
        <v>1258</v>
      </c>
      <c r="S2057" s="94"/>
      <c r="T2057" s="58"/>
      <c r="U2057" s="58">
        <v>5</v>
      </c>
      <c r="V2057" s="58" t="s">
        <v>1940</v>
      </c>
      <c r="Y2057" s="58" t="s">
        <v>2058</v>
      </c>
      <c r="Z2057" s="58" t="s">
        <v>1346</v>
      </c>
      <c r="AA2057" s="94">
        <v>20</v>
      </c>
      <c r="AD2057" s="94">
        <v>1.39</v>
      </c>
      <c r="AE2057" s="94">
        <v>65</v>
      </c>
      <c r="AF2057" s="94">
        <v>25</v>
      </c>
      <c r="AG2057" s="94"/>
      <c r="AH2057" s="58" t="s">
        <v>238</v>
      </c>
      <c r="AI2057" s="169">
        <v>6.5</v>
      </c>
      <c r="AJ2057" s="94">
        <f>23.9/(100*100*AD2057*0.2)*100</f>
        <v>0.85971223021582732</v>
      </c>
      <c r="AK2057" s="94"/>
      <c r="AL2057" s="58"/>
      <c r="AM2057" s="58" t="s">
        <v>1994</v>
      </c>
      <c r="AN2057" s="186" t="s">
        <v>1991</v>
      </c>
      <c r="AO2057" s="185" t="s">
        <v>5150</v>
      </c>
      <c r="AP2057" s="58"/>
      <c r="AQ2057" s="58" t="s">
        <v>553</v>
      </c>
      <c r="AR2057" s="58" t="s">
        <v>1993</v>
      </c>
      <c r="AS2057" s="58" t="s">
        <v>1580</v>
      </c>
      <c r="AT2057" s="182" t="s">
        <v>1993</v>
      </c>
      <c r="AU2057" s="181" t="s">
        <v>5150</v>
      </c>
      <c r="AV2057" s="185" t="s">
        <v>176</v>
      </c>
      <c r="AW2057" s="58" t="s">
        <v>1993</v>
      </c>
      <c r="AX2057" s="185" t="s">
        <v>176</v>
      </c>
      <c r="AY2057" s="58" t="s">
        <v>176</v>
      </c>
      <c r="AZ2057" s="58" t="s">
        <v>1016</v>
      </c>
      <c r="BA2057" s="58" t="s">
        <v>1016</v>
      </c>
      <c r="BB2057" s="58" t="s">
        <v>2082</v>
      </c>
      <c r="BC2057" s="58" t="s">
        <v>2082</v>
      </c>
      <c r="BD2057" s="55" t="s">
        <v>176</v>
      </c>
      <c r="BE2057" s="236" t="s">
        <v>1992</v>
      </c>
      <c r="BF2057" s="191" t="s">
        <v>479</v>
      </c>
      <c r="BG2057" s="191" t="s">
        <v>479</v>
      </c>
      <c r="BH2057" s="236" t="s">
        <v>1992</v>
      </c>
      <c r="BI2057" s="191" t="s">
        <v>479</v>
      </c>
      <c r="BJ2057" s="58" t="s">
        <v>176</v>
      </c>
      <c r="BK2057" s="58" t="s">
        <v>6269</v>
      </c>
      <c r="BL2057" s="58"/>
      <c r="BM2057" s="237" t="s">
        <v>160</v>
      </c>
      <c r="BN2057" s="58">
        <v>4</v>
      </c>
      <c r="BO2057" s="58">
        <v>4</v>
      </c>
      <c r="BP2057" s="58">
        <v>4</v>
      </c>
      <c r="BQ2057" s="58" t="s">
        <v>141</v>
      </c>
      <c r="BR2057" s="58"/>
      <c r="BS2057" s="58"/>
      <c r="BT2057" s="58"/>
      <c r="BU2057" s="58"/>
      <c r="BV2057" s="58"/>
      <c r="CB2057" s="68"/>
      <c r="CC2057" s="68"/>
      <c r="CD2057" s="68"/>
      <c r="CE2057" s="67"/>
      <c r="CH2057" s="94"/>
      <c r="CI2057" s="94"/>
      <c r="CM2057" s="65">
        <f>(CR2057*1000000)/(100*100*AD2057*AA2057/100*1000000)*100</f>
        <v>0.75539568345323749</v>
      </c>
      <c r="CN2057" s="65">
        <f>(CS2057*1000000)/(100*100*AD2057*AA2057/100*1000000)*100</f>
        <v>0.84892086330935268</v>
      </c>
      <c r="CR2057" s="67">
        <v>21</v>
      </c>
      <c r="CS2057" s="67">
        <v>23.6</v>
      </c>
      <c r="CV2057" s="65" t="s">
        <v>2052</v>
      </c>
      <c r="DA2057" s="65" t="s">
        <v>4463</v>
      </c>
      <c r="DB2057" s="65">
        <v>1.62</v>
      </c>
      <c r="DC2057" s="65">
        <v>1.77</v>
      </c>
      <c r="DF2057" s="65" t="s">
        <v>545</v>
      </c>
      <c r="GP2057" s="292" t="s">
        <v>7494</v>
      </c>
      <c r="JU2057" s="58" t="s">
        <v>2041</v>
      </c>
      <c r="JV2057" s="58" t="s">
        <v>2065</v>
      </c>
    </row>
    <row r="2058" spans="1:282" x14ac:dyDescent="0.25">
      <c r="A2058" s="55">
        <v>2057</v>
      </c>
      <c r="B2058" s="12" t="s">
        <v>7067</v>
      </c>
      <c r="C2058" s="157">
        <v>93</v>
      </c>
      <c r="D2058" s="59" t="s">
        <v>4117</v>
      </c>
      <c r="E2058" s="94" t="s">
        <v>741</v>
      </c>
      <c r="F2058" s="94"/>
      <c r="G2058" s="58" t="s">
        <v>2074</v>
      </c>
      <c r="H2058" s="58">
        <v>2002</v>
      </c>
      <c r="I2058" s="58">
        <v>1999</v>
      </c>
      <c r="J2058" s="58" t="s">
        <v>1709</v>
      </c>
      <c r="K2058" s="58" t="s">
        <v>1990</v>
      </c>
      <c r="L2058" s="58" t="s">
        <v>2737</v>
      </c>
      <c r="M2058" s="94">
        <v>32.57</v>
      </c>
      <c r="N2058" s="94">
        <v>-83.91</v>
      </c>
      <c r="O2058" s="94">
        <v>16</v>
      </c>
      <c r="P2058" s="58">
        <v>18.100000000000001</v>
      </c>
      <c r="Q2058" s="58"/>
      <c r="R2058" s="58">
        <v>1258</v>
      </c>
      <c r="S2058" s="94"/>
      <c r="T2058" s="58"/>
      <c r="U2058" s="58">
        <v>6</v>
      </c>
      <c r="V2058" s="58" t="s">
        <v>1940</v>
      </c>
      <c r="Y2058" s="58" t="s">
        <v>2058</v>
      </c>
      <c r="Z2058" s="58" t="s">
        <v>1346</v>
      </c>
      <c r="AA2058" s="94">
        <v>20</v>
      </c>
      <c r="AD2058" s="94">
        <v>1.39</v>
      </c>
      <c r="AE2058" s="94">
        <v>65</v>
      </c>
      <c r="AF2058" s="94">
        <v>25</v>
      </c>
      <c r="AG2058" s="94"/>
      <c r="AH2058" s="58" t="s">
        <v>238</v>
      </c>
      <c r="AI2058" s="169">
        <v>6.5</v>
      </c>
      <c r="AJ2058" s="94">
        <f>23.9/(100*100*AD2058*0.2)*100</f>
        <v>0.85971223021582732</v>
      </c>
      <c r="AK2058" s="94"/>
      <c r="AL2058" s="58"/>
      <c r="AM2058" s="58" t="s">
        <v>1994</v>
      </c>
      <c r="AN2058" s="186" t="s">
        <v>1991</v>
      </c>
      <c r="AO2058" s="185" t="s">
        <v>5150</v>
      </c>
      <c r="AP2058" s="58"/>
      <c r="AQ2058" s="58" t="s">
        <v>553</v>
      </c>
      <c r="AR2058" s="58" t="s">
        <v>2062</v>
      </c>
      <c r="AS2058" s="58" t="s">
        <v>1580</v>
      </c>
      <c r="AT2058" s="182" t="s">
        <v>1993</v>
      </c>
      <c r="AU2058" s="181" t="s">
        <v>5150</v>
      </c>
      <c r="AV2058" s="185" t="s">
        <v>176</v>
      </c>
      <c r="AW2058" s="58" t="s">
        <v>1993</v>
      </c>
      <c r="AX2058" s="185" t="s">
        <v>176</v>
      </c>
      <c r="AY2058" s="58" t="s">
        <v>176</v>
      </c>
      <c r="AZ2058" s="58" t="s">
        <v>1016</v>
      </c>
      <c r="BA2058" s="58" t="s">
        <v>1016</v>
      </c>
      <c r="BB2058" s="58" t="s">
        <v>2082</v>
      </c>
      <c r="BC2058" s="58" t="s">
        <v>2082</v>
      </c>
      <c r="BD2058" s="55" t="s">
        <v>176</v>
      </c>
      <c r="BE2058" s="236" t="s">
        <v>1992</v>
      </c>
      <c r="BF2058" s="191" t="s">
        <v>479</v>
      </c>
      <c r="BG2058" s="191" t="s">
        <v>479</v>
      </c>
      <c r="BH2058" s="236" t="s">
        <v>1992</v>
      </c>
      <c r="BI2058" s="191" t="s">
        <v>479</v>
      </c>
      <c r="BJ2058" s="58" t="s">
        <v>176</v>
      </c>
      <c r="BK2058" s="58" t="s">
        <v>6269</v>
      </c>
      <c r="BL2058" s="58"/>
      <c r="BM2058" s="237" t="s">
        <v>160</v>
      </c>
      <c r="BN2058" s="58">
        <v>4</v>
      </c>
      <c r="BO2058" s="58">
        <v>4</v>
      </c>
      <c r="BP2058" s="58">
        <v>4</v>
      </c>
      <c r="BQ2058" s="58" t="s">
        <v>141</v>
      </c>
      <c r="BR2058" s="58"/>
      <c r="BS2058" s="58"/>
      <c r="BT2058" s="58"/>
      <c r="BU2058" s="58"/>
      <c r="BV2058" s="58"/>
      <c r="CB2058" s="68"/>
      <c r="CC2058" s="68"/>
      <c r="CD2058" s="68"/>
      <c r="CE2058" s="67"/>
      <c r="CH2058" s="94"/>
      <c r="CI2058" s="94"/>
      <c r="CM2058" s="65">
        <f>(CR2058*1000000)/(100*100*AD2058*AA2058/100*1000000)*100</f>
        <v>0.71223021582733825</v>
      </c>
      <c r="CN2058" s="65">
        <f>(CS2058*1000000)/(100*100*AD2058*AA2058/100*1000000)*100</f>
        <v>0.87050359712230241</v>
      </c>
      <c r="CR2058" s="67">
        <v>19.8</v>
      </c>
      <c r="CS2058" s="67">
        <v>24.2</v>
      </c>
      <c r="CV2058" s="65" t="s">
        <v>2052</v>
      </c>
      <c r="DA2058" s="65" t="s">
        <v>4463</v>
      </c>
      <c r="DB2058" s="65">
        <v>1.56</v>
      </c>
      <c r="DC2058" s="65">
        <v>1.76</v>
      </c>
      <c r="DF2058" s="65" t="s">
        <v>545</v>
      </c>
      <c r="GP2058" s="292" t="s">
        <v>7494</v>
      </c>
      <c r="JU2058" s="58" t="s">
        <v>2041</v>
      </c>
      <c r="JV2058" s="58" t="s">
        <v>2065</v>
      </c>
    </row>
    <row r="2059" spans="1:282" x14ac:dyDescent="0.25">
      <c r="A2059" s="55">
        <v>2058</v>
      </c>
      <c r="B2059" s="12" t="s">
        <v>7067</v>
      </c>
      <c r="C2059" s="157">
        <v>93</v>
      </c>
      <c r="D2059" s="59" t="s">
        <v>4115</v>
      </c>
      <c r="E2059" s="94" t="s">
        <v>741</v>
      </c>
      <c r="F2059" s="94"/>
      <c r="G2059" s="58" t="s">
        <v>2074</v>
      </c>
      <c r="H2059" s="58">
        <v>2002</v>
      </c>
      <c r="I2059" s="58">
        <v>1994</v>
      </c>
      <c r="J2059" s="58" t="s">
        <v>1709</v>
      </c>
      <c r="K2059" s="58" t="s">
        <v>1990</v>
      </c>
      <c r="L2059" s="58" t="s">
        <v>2737</v>
      </c>
      <c r="M2059" s="94">
        <v>32.57</v>
      </c>
      <c r="N2059" s="94">
        <v>-83.91</v>
      </c>
      <c r="O2059" s="94">
        <v>16</v>
      </c>
      <c r="P2059" s="58">
        <v>18.100000000000001</v>
      </c>
      <c r="Q2059" s="58"/>
      <c r="R2059" s="58">
        <v>1258</v>
      </c>
      <c r="S2059" s="94"/>
      <c r="T2059" s="58"/>
      <c r="U2059" s="58">
        <v>1</v>
      </c>
      <c r="V2059" s="58" t="s">
        <v>1940</v>
      </c>
      <c r="Y2059" s="58" t="s">
        <v>2058</v>
      </c>
      <c r="Z2059" s="58" t="s">
        <v>1346</v>
      </c>
      <c r="AA2059" s="94">
        <v>20</v>
      </c>
      <c r="AD2059" s="94">
        <v>1.39</v>
      </c>
      <c r="AE2059" s="94">
        <v>65</v>
      </c>
      <c r="AF2059" s="94">
        <v>25</v>
      </c>
      <c r="AG2059" s="94"/>
      <c r="AH2059" s="58" t="s">
        <v>238</v>
      </c>
      <c r="AI2059" s="169">
        <v>6.5</v>
      </c>
      <c r="AJ2059" s="94">
        <f>23.9/(100*100*AD2059*0.2)*100</f>
        <v>0.85971223021582732</v>
      </c>
      <c r="AK2059" s="94"/>
      <c r="AL2059" s="58"/>
      <c r="AM2059" s="58" t="s">
        <v>1994</v>
      </c>
      <c r="AN2059" s="186" t="s">
        <v>1991</v>
      </c>
      <c r="AO2059" s="185" t="s">
        <v>5150</v>
      </c>
      <c r="AP2059" s="58"/>
      <c r="AQ2059" s="58" t="s">
        <v>553</v>
      </c>
      <c r="AR2059" s="58" t="s">
        <v>1993</v>
      </c>
      <c r="AS2059" s="58" t="s">
        <v>1580</v>
      </c>
      <c r="AT2059" s="182" t="s">
        <v>1993</v>
      </c>
      <c r="AU2059" s="181" t="s">
        <v>5150</v>
      </c>
      <c r="AV2059" s="185" t="s">
        <v>176</v>
      </c>
      <c r="AW2059" s="58" t="s">
        <v>1993</v>
      </c>
      <c r="AX2059" s="185" t="s">
        <v>176</v>
      </c>
      <c r="AY2059" s="58" t="s">
        <v>176</v>
      </c>
      <c r="AZ2059" s="58" t="s">
        <v>1997</v>
      </c>
      <c r="BA2059" s="58" t="s">
        <v>1997</v>
      </c>
      <c r="BB2059" s="58" t="s">
        <v>2081</v>
      </c>
      <c r="BC2059" s="58" t="s">
        <v>2081</v>
      </c>
      <c r="BD2059" s="55" t="s">
        <v>176</v>
      </c>
      <c r="BE2059" s="236" t="s">
        <v>1996</v>
      </c>
      <c r="BF2059" s="191" t="s">
        <v>176</v>
      </c>
      <c r="BG2059" s="191" t="s">
        <v>176</v>
      </c>
      <c r="BH2059" s="236" t="s">
        <v>1996</v>
      </c>
      <c r="BI2059" s="191" t="s">
        <v>176</v>
      </c>
      <c r="BJ2059" s="55" t="s">
        <v>176</v>
      </c>
      <c r="BK2059" s="58" t="s">
        <v>5976</v>
      </c>
      <c r="BL2059" s="58"/>
      <c r="BM2059" s="237" t="s">
        <v>160</v>
      </c>
      <c r="BN2059" s="58">
        <v>4</v>
      </c>
      <c r="BO2059" s="58">
        <v>4</v>
      </c>
      <c r="BP2059" s="58">
        <v>4</v>
      </c>
      <c r="BQ2059" s="58" t="s">
        <v>141</v>
      </c>
      <c r="BR2059" s="58"/>
      <c r="BU2059" s="58"/>
      <c r="BV2059" s="58"/>
      <c r="CB2059" s="68"/>
      <c r="CC2059" s="68"/>
      <c r="CD2059" s="68"/>
      <c r="CE2059" s="67"/>
      <c r="CH2059" s="94"/>
      <c r="CI2059" s="94"/>
      <c r="CM2059" s="65">
        <f>(CR2059*1000000)/(100*100*AD2059*AA2059/100*1000000)*100</f>
        <v>0.85971223021582743</v>
      </c>
      <c r="CN2059" s="65">
        <f>(CS2059*1000000)/(100*100*AD2059*AA2059/100*1000000)*100</f>
        <v>0.85971223021582743</v>
      </c>
      <c r="CR2059" s="67">
        <v>23.9</v>
      </c>
      <c r="CS2059" s="67">
        <v>23.9</v>
      </c>
      <c r="CV2059" s="65" t="s">
        <v>2052</v>
      </c>
      <c r="DA2059" s="65" t="s">
        <v>4463</v>
      </c>
      <c r="DB2059" s="65">
        <v>1.95</v>
      </c>
      <c r="DC2059" s="65">
        <v>1.95</v>
      </c>
      <c r="DF2059" s="65" t="s">
        <v>545</v>
      </c>
      <c r="GP2059" s="292" t="s">
        <v>7494</v>
      </c>
      <c r="JU2059" s="58" t="s">
        <v>2041</v>
      </c>
      <c r="JV2059" s="58" t="s">
        <v>2065</v>
      </c>
    </row>
    <row r="2060" spans="1:282" x14ac:dyDescent="0.25">
      <c r="A2060" s="55">
        <v>2059</v>
      </c>
      <c r="B2060" s="12" t="s">
        <v>7067</v>
      </c>
      <c r="C2060" s="157">
        <v>93</v>
      </c>
      <c r="D2060" s="59" t="s">
        <v>4115</v>
      </c>
      <c r="E2060" s="94" t="s">
        <v>741</v>
      </c>
      <c r="F2060" s="94"/>
      <c r="G2060" s="58" t="s">
        <v>2074</v>
      </c>
      <c r="H2060" s="58">
        <v>2002</v>
      </c>
      <c r="I2060" s="58">
        <v>1995</v>
      </c>
      <c r="J2060" s="58" t="s">
        <v>1709</v>
      </c>
      <c r="K2060" s="58" t="s">
        <v>1990</v>
      </c>
      <c r="L2060" s="58" t="s">
        <v>2737</v>
      </c>
      <c r="M2060" s="94">
        <v>32.57</v>
      </c>
      <c r="N2060" s="94">
        <v>-83.91</v>
      </c>
      <c r="O2060" s="94">
        <v>16</v>
      </c>
      <c r="P2060" s="58">
        <v>18.100000000000001</v>
      </c>
      <c r="Q2060" s="58"/>
      <c r="R2060" s="58">
        <v>1258</v>
      </c>
      <c r="S2060" s="94"/>
      <c r="T2060" s="58"/>
      <c r="U2060" s="58">
        <v>2</v>
      </c>
      <c r="V2060" s="58" t="s">
        <v>1940</v>
      </c>
      <c r="Y2060" s="58" t="s">
        <v>2058</v>
      </c>
      <c r="Z2060" s="58" t="s">
        <v>1346</v>
      </c>
      <c r="AA2060" s="94">
        <v>20</v>
      </c>
      <c r="AD2060" s="94">
        <v>1.39</v>
      </c>
      <c r="AE2060" s="94">
        <v>65</v>
      </c>
      <c r="AF2060" s="94">
        <v>25</v>
      </c>
      <c r="AG2060" s="94"/>
      <c r="AH2060" s="58" t="s">
        <v>238</v>
      </c>
      <c r="AI2060" s="169">
        <v>6.5</v>
      </c>
      <c r="AJ2060" s="94">
        <f>23.9/(100*100*AD2060*0.2)*100</f>
        <v>0.85971223021582732</v>
      </c>
      <c r="AK2060" s="94"/>
      <c r="AL2060" s="58"/>
      <c r="AM2060" s="58" t="s">
        <v>1994</v>
      </c>
      <c r="AN2060" s="186" t="s">
        <v>1991</v>
      </c>
      <c r="AO2060" s="185" t="s">
        <v>5150</v>
      </c>
      <c r="AP2060" s="58"/>
      <c r="AQ2060" s="58" t="s">
        <v>553</v>
      </c>
      <c r="AR2060" s="58" t="s">
        <v>1993</v>
      </c>
      <c r="AS2060" s="58" t="s">
        <v>1580</v>
      </c>
      <c r="AT2060" s="182" t="s">
        <v>1993</v>
      </c>
      <c r="AU2060" s="181" t="s">
        <v>5150</v>
      </c>
      <c r="AV2060" s="185" t="s">
        <v>176</v>
      </c>
      <c r="AW2060" s="58" t="s">
        <v>1993</v>
      </c>
      <c r="AX2060" s="185" t="s">
        <v>176</v>
      </c>
      <c r="AY2060" s="58" t="s">
        <v>176</v>
      </c>
      <c r="AZ2060" s="58" t="s">
        <v>1997</v>
      </c>
      <c r="BA2060" s="58" t="s">
        <v>1997</v>
      </c>
      <c r="BB2060" s="58" t="s">
        <v>2081</v>
      </c>
      <c r="BC2060" s="58" t="s">
        <v>2081</v>
      </c>
      <c r="BD2060" s="55" t="s">
        <v>176</v>
      </c>
      <c r="BE2060" s="236" t="s">
        <v>1996</v>
      </c>
      <c r="BF2060" s="191" t="s">
        <v>176</v>
      </c>
      <c r="BG2060" s="191" t="s">
        <v>176</v>
      </c>
      <c r="BH2060" s="236" t="s">
        <v>1996</v>
      </c>
      <c r="BI2060" s="191" t="s">
        <v>176</v>
      </c>
      <c r="BJ2060" s="55" t="s">
        <v>176</v>
      </c>
      <c r="BK2060" s="58" t="s">
        <v>5976</v>
      </c>
      <c r="BL2060" s="58"/>
      <c r="BM2060" s="237" t="s">
        <v>160</v>
      </c>
      <c r="BN2060" s="58">
        <v>4</v>
      </c>
      <c r="BO2060" s="58">
        <v>4</v>
      </c>
      <c r="BP2060" s="58">
        <v>4</v>
      </c>
      <c r="BQ2060" s="58" t="s">
        <v>141</v>
      </c>
      <c r="BR2060" s="58"/>
      <c r="BS2060" s="58"/>
      <c r="BT2060" s="58"/>
      <c r="BU2060" s="58"/>
      <c r="BV2060" s="58"/>
      <c r="CB2060" s="68"/>
      <c r="CC2060" s="68"/>
      <c r="CD2060" s="68"/>
      <c r="CE2060" s="67"/>
      <c r="CH2060" s="94"/>
      <c r="CI2060" s="94"/>
      <c r="CM2060" s="65">
        <f>(CR2060*1000000)/(100*100*AD2060*AA2060/100*1000000)*100</f>
        <v>0.83453237410071945</v>
      </c>
      <c r="CN2060" s="65">
        <f>(CS2060*1000000)/(100*100*AD2060*AA2060/100*1000000)*100</f>
        <v>0.76618705035971235</v>
      </c>
      <c r="CR2060" s="67">
        <v>23.2</v>
      </c>
      <c r="CS2060" s="67">
        <v>21.3</v>
      </c>
      <c r="CV2060" s="65" t="s">
        <v>2052</v>
      </c>
      <c r="DA2060" s="65" t="s">
        <v>4463</v>
      </c>
      <c r="DB2060" s="65">
        <v>1.63</v>
      </c>
      <c r="DC2060" s="65">
        <v>1.69</v>
      </c>
      <c r="DF2060" s="65" t="s">
        <v>545</v>
      </c>
      <c r="GP2060" s="292" t="s">
        <v>7494</v>
      </c>
      <c r="JU2060" s="58" t="s">
        <v>2041</v>
      </c>
      <c r="JV2060" s="58" t="s">
        <v>2065</v>
      </c>
    </row>
    <row r="2061" spans="1:282" x14ac:dyDescent="0.25">
      <c r="A2061" s="55">
        <v>2060</v>
      </c>
      <c r="B2061" s="12" t="s">
        <v>7067</v>
      </c>
      <c r="C2061" s="157">
        <v>93</v>
      </c>
      <c r="D2061" s="59" t="s">
        <v>4115</v>
      </c>
      <c r="E2061" s="94" t="s">
        <v>741</v>
      </c>
      <c r="F2061" s="94"/>
      <c r="G2061" s="58" t="s">
        <v>2074</v>
      </c>
      <c r="H2061" s="58">
        <v>2002</v>
      </c>
      <c r="I2061" s="58">
        <v>1996</v>
      </c>
      <c r="J2061" s="58" t="s">
        <v>1709</v>
      </c>
      <c r="K2061" s="58" t="s">
        <v>1990</v>
      </c>
      <c r="L2061" s="58" t="s">
        <v>2737</v>
      </c>
      <c r="M2061" s="94">
        <v>32.57</v>
      </c>
      <c r="N2061" s="94">
        <v>-83.91</v>
      </c>
      <c r="O2061" s="94">
        <v>16</v>
      </c>
      <c r="P2061" s="58">
        <v>18.100000000000001</v>
      </c>
      <c r="Q2061" s="58"/>
      <c r="R2061" s="58">
        <v>1258</v>
      </c>
      <c r="S2061" s="94"/>
      <c r="T2061" s="58"/>
      <c r="U2061" s="58">
        <v>3</v>
      </c>
      <c r="V2061" s="58" t="s">
        <v>1940</v>
      </c>
      <c r="Y2061" s="58" t="s">
        <v>2058</v>
      </c>
      <c r="Z2061" s="58" t="s">
        <v>1346</v>
      </c>
      <c r="AA2061" s="94">
        <v>20</v>
      </c>
      <c r="AD2061" s="94">
        <v>1.39</v>
      </c>
      <c r="AE2061" s="94">
        <v>65</v>
      </c>
      <c r="AF2061" s="94">
        <v>25</v>
      </c>
      <c r="AG2061" s="94"/>
      <c r="AH2061" s="58" t="s">
        <v>238</v>
      </c>
      <c r="AI2061" s="169">
        <v>6.5</v>
      </c>
      <c r="AJ2061" s="94">
        <f>23.9/(100*100*AD2061*0.2)*100</f>
        <v>0.85971223021582732</v>
      </c>
      <c r="AK2061" s="94"/>
      <c r="AL2061" s="58"/>
      <c r="AM2061" s="58" t="s">
        <v>1994</v>
      </c>
      <c r="AN2061" s="186" t="s">
        <v>1991</v>
      </c>
      <c r="AO2061" s="185" t="s">
        <v>5150</v>
      </c>
      <c r="AP2061" s="58"/>
      <c r="AQ2061" s="58" t="s">
        <v>553</v>
      </c>
      <c r="AR2061" s="58" t="s">
        <v>1993</v>
      </c>
      <c r="AS2061" s="58" t="s">
        <v>1580</v>
      </c>
      <c r="AT2061" s="182" t="s">
        <v>1993</v>
      </c>
      <c r="AU2061" s="181" t="s">
        <v>5150</v>
      </c>
      <c r="AV2061" s="185" t="s">
        <v>176</v>
      </c>
      <c r="AW2061" s="58" t="s">
        <v>1993</v>
      </c>
      <c r="AX2061" s="185" t="s">
        <v>176</v>
      </c>
      <c r="AY2061" s="58" t="s">
        <v>176</v>
      </c>
      <c r="AZ2061" s="58" t="s">
        <v>1997</v>
      </c>
      <c r="BA2061" s="58" t="s">
        <v>1997</v>
      </c>
      <c r="BB2061" s="58" t="s">
        <v>2081</v>
      </c>
      <c r="BC2061" s="58" t="s">
        <v>2081</v>
      </c>
      <c r="BD2061" s="55" t="s">
        <v>176</v>
      </c>
      <c r="BE2061" s="236" t="s">
        <v>1996</v>
      </c>
      <c r="BF2061" s="191" t="s">
        <v>176</v>
      </c>
      <c r="BG2061" s="191" t="s">
        <v>176</v>
      </c>
      <c r="BH2061" s="236" t="s">
        <v>1996</v>
      </c>
      <c r="BI2061" s="191" t="s">
        <v>176</v>
      </c>
      <c r="BJ2061" s="55" t="s">
        <v>176</v>
      </c>
      <c r="BK2061" s="58" t="s">
        <v>5976</v>
      </c>
      <c r="BL2061" s="58"/>
      <c r="BM2061" s="237" t="s">
        <v>160</v>
      </c>
      <c r="BN2061" s="58">
        <v>4</v>
      </c>
      <c r="BO2061" s="58">
        <v>4</v>
      </c>
      <c r="BP2061" s="58">
        <v>4</v>
      </c>
      <c r="BQ2061" s="58" t="s">
        <v>141</v>
      </c>
      <c r="BR2061" s="58"/>
      <c r="BU2061" s="58"/>
      <c r="BV2061" s="58"/>
      <c r="CB2061" s="68"/>
      <c r="CC2061" s="68"/>
      <c r="CD2061" s="68"/>
      <c r="CE2061" s="67"/>
      <c r="CH2061" s="94"/>
      <c r="CI2061" s="94"/>
      <c r="CM2061" s="65">
        <f>(CR2061*1000000)/(100*100*AD2061*AA2061/100*1000000)*100</f>
        <v>0.81654676258992809</v>
      </c>
      <c r="CN2061" s="65">
        <f>(CS2061*1000000)/(100*100*AD2061*AA2061/100*1000000)*100</f>
        <v>0.83812949640287782</v>
      </c>
      <c r="CR2061" s="67">
        <v>22.7</v>
      </c>
      <c r="CS2061" s="67">
        <v>23.3</v>
      </c>
      <c r="CV2061" s="65" t="s">
        <v>2052</v>
      </c>
      <c r="DA2061" s="65" t="s">
        <v>4463</v>
      </c>
      <c r="DB2061" s="65">
        <v>2.06</v>
      </c>
      <c r="DC2061" s="65">
        <v>1.88</v>
      </c>
      <c r="DF2061" s="65" t="s">
        <v>545</v>
      </c>
      <c r="GP2061" s="292" t="s">
        <v>7494</v>
      </c>
      <c r="JU2061" s="58" t="s">
        <v>2041</v>
      </c>
      <c r="JV2061" s="58" t="s">
        <v>2065</v>
      </c>
    </row>
    <row r="2062" spans="1:282" x14ac:dyDescent="0.25">
      <c r="A2062" s="55">
        <v>2061</v>
      </c>
      <c r="B2062" s="12" t="s">
        <v>7067</v>
      </c>
      <c r="C2062" s="157">
        <v>93</v>
      </c>
      <c r="D2062" s="59" t="s">
        <v>4115</v>
      </c>
      <c r="E2062" s="94" t="s">
        <v>741</v>
      </c>
      <c r="F2062" s="94"/>
      <c r="G2062" s="58" t="s">
        <v>2074</v>
      </c>
      <c r="H2062" s="58">
        <v>2002</v>
      </c>
      <c r="I2062" s="58">
        <v>1997</v>
      </c>
      <c r="J2062" s="58" t="s">
        <v>1709</v>
      </c>
      <c r="K2062" s="58" t="s">
        <v>1990</v>
      </c>
      <c r="L2062" s="58" t="s">
        <v>2737</v>
      </c>
      <c r="M2062" s="94">
        <v>32.57</v>
      </c>
      <c r="N2062" s="94">
        <v>-83.91</v>
      </c>
      <c r="O2062" s="94">
        <v>16</v>
      </c>
      <c r="P2062" s="58">
        <v>18.100000000000001</v>
      </c>
      <c r="Q2062" s="58"/>
      <c r="R2062" s="58">
        <v>1258</v>
      </c>
      <c r="S2062" s="94"/>
      <c r="T2062" s="58"/>
      <c r="U2062" s="58">
        <v>4</v>
      </c>
      <c r="V2062" s="58" t="s">
        <v>1940</v>
      </c>
      <c r="Y2062" s="58" t="s">
        <v>2058</v>
      </c>
      <c r="Z2062" s="58" t="s">
        <v>1346</v>
      </c>
      <c r="AA2062" s="94">
        <v>20</v>
      </c>
      <c r="AD2062" s="94">
        <v>1.39</v>
      </c>
      <c r="AE2062" s="94">
        <v>65</v>
      </c>
      <c r="AF2062" s="94">
        <v>25</v>
      </c>
      <c r="AG2062" s="94"/>
      <c r="AH2062" s="58" t="s">
        <v>238</v>
      </c>
      <c r="AI2062" s="169">
        <v>6.5</v>
      </c>
      <c r="AJ2062" s="94">
        <f>23.9/(100*100*AD2062*0.2)*100</f>
        <v>0.85971223021582732</v>
      </c>
      <c r="AK2062" s="94"/>
      <c r="AL2062" s="58"/>
      <c r="AM2062" s="58" t="s">
        <v>1994</v>
      </c>
      <c r="AN2062" s="186" t="s">
        <v>1991</v>
      </c>
      <c r="AO2062" s="185" t="s">
        <v>5150</v>
      </c>
      <c r="AP2062" s="58"/>
      <c r="AQ2062" s="58" t="s">
        <v>553</v>
      </c>
      <c r="AR2062" s="58" t="s">
        <v>1993</v>
      </c>
      <c r="AS2062" s="58" t="s">
        <v>1580</v>
      </c>
      <c r="AT2062" s="182" t="s">
        <v>1993</v>
      </c>
      <c r="AU2062" s="181" t="s">
        <v>5150</v>
      </c>
      <c r="AV2062" s="185" t="s">
        <v>176</v>
      </c>
      <c r="AW2062" s="58" t="s">
        <v>1993</v>
      </c>
      <c r="AX2062" s="185" t="s">
        <v>176</v>
      </c>
      <c r="AY2062" s="58" t="s">
        <v>176</v>
      </c>
      <c r="AZ2062" s="58" t="s">
        <v>1997</v>
      </c>
      <c r="BA2062" s="58" t="s">
        <v>1997</v>
      </c>
      <c r="BB2062" s="58" t="s">
        <v>2081</v>
      </c>
      <c r="BC2062" s="58" t="s">
        <v>2081</v>
      </c>
      <c r="BD2062" s="55" t="s">
        <v>176</v>
      </c>
      <c r="BE2062" s="236" t="s">
        <v>1996</v>
      </c>
      <c r="BF2062" s="191" t="s">
        <v>176</v>
      </c>
      <c r="BG2062" s="191" t="s">
        <v>176</v>
      </c>
      <c r="BH2062" s="236" t="s">
        <v>1996</v>
      </c>
      <c r="BI2062" s="191" t="s">
        <v>176</v>
      </c>
      <c r="BJ2062" s="55" t="s">
        <v>176</v>
      </c>
      <c r="BK2062" s="58" t="s">
        <v>5976</v>
      </c>
      <c r="BL2062" s="58"/>
      <c r="BM2062" s="237" t="s">
        <v>160</v>
      </c>
      <c r="BN2062" s="58">
        <v>4</v>
      </c>
      <c r="BO2062" s="58">
        <v>4</v>
      </c>
      <c r="BP2062" s="58">
        <v>4</v>
      </c>
      <c r="BQ2062" s="58" t="s">
        <v>141</v>
      </c>
      <c r="BR2062" s="58"/>
      <c r="BS2062" s="58"/>
      <c r="BT2062" s="58"/>
      <c r="BU2062" s="58"/>
      <c r="BV2062" s="58"/>
      <c r="CB2062" s="68"/>
      <c r="CC2062" s="68"/>
      <c r="CD2062" s="68"/>
      <c r="CE2062" s="67"/>
      <c r="CH2062" s="94"/>
      <c r="CI2062" s="94"/>
      <c r="CM2062" s="65">
        <f>(CR2062*1000000)/(100*100*AD2062*AA2062/100*1000000)*100</f>
        <v>0.7697841726618706</v>
      </c>
      <c r="CN2062" s="65">
        <f>(CS2062*1000000)/(100*100*AD2062*AA2062/100*1000000)*100</f>
        <v>0.83093525179856131</v>
      </c>
      <c r="CR2062" s="67">
        <v>21.4</v>
      </c>
      <c r="CS2062" s="67">
        <v>23.1</v>
      </c>
      <c r="CV2062" s="65" t="s">
        <v>2052</v>
      </c>
      <c r="DA2062" s="65" t="s">
        <v>4463</v>
      </c>
      <c r="DB2062" s="65">
        <v>1.78</v>
      </c>
      <c r="DC2062" s="65">
        <v>1.99</v>
      </c>
      <c r="DF2062" s="65" t="s">
        <v>545</v>
      </c>
      <c r="GP2062" s="292" t="s">
        <v>7494</v>
      </c>
      <c r="JU2062" s="58" t="s">
        <v>2041</v>
      </c>
      <c r="JV2062" s="58" t="s">
        <v>2065</v>
      </c>
    </row>
    <row r="2063" spans="1:282" x14ac:dyDescent="0.25">
      <c r="A2063" s="55">
        <v>2062</v>
      </c>
      <c r="B2063" s="12" t="s">
        <v>7067</v>
      </c>
      <c r="C2063" s="157">
        <v>93</v>
      </c>
      <c r="D2063" s="59" t="s">
        <v>4115</v>
      </c>
      <c r="E2063" s="94" t="s">
        <v>741</v>
      </c>
      <c r="F2063" s="94"/>
      <c r="G2063" s="58" t="s">
        <v>2074</v>
      </c>
      <c r="H2063" s="58">
        <v>2002</v>
      </c>
      <c r="I2063" s="58">
        <v>1998</v>
      </c>
      <c r="J2063" s="58" t="s">
        <v>1709</v>
      </c>
      <c r="K2063" s="58" t="s">
        <v>1990</v>
      </c>
      <c r="L2063" s="58" t="s">
        <v>2737</v>
      </c>
      <c r="M2063" s="94">
        <v>32.57</v>
      </c>
      <c r="N2063" s="94">
        <v>-83.91</v>
      </c>
      <c r="O2063" s="94">
        <v>16</v>
      </c>
      <c r="P2063" s="58">
        <v>18.100000000000001</v>
      </c>
      <c r="Q2063" s="58"/>
      <c r="R2063" s="58">
        <v>1258</v>
      </c>
      <c r="S2063" s="94"/>
      <c r="T2063" s="58"/>
      <c r="U2063" s="58">
        <v>5</v>
      </c>
      <c r="V2063" s="58" t="s">
        <v>1940</v>
      </c>
      <c r="Y2063" s="58" t="s">
        <v>2058</v>
      </c>
      <c r="Z2063" s="58" t="s">
        <v>1346</v>
      </c>
      <c r="AA2063" s="94">
        <v>20</v>
      </c>
      <c r="AD2063" s="94">
        <v>1.39</v>
      </c>
      <c r="AE2063" s="94">
        <v>65</v>
      </c>
      <c r="AF2063" s="94">
        <v>25</v>
      </c>
      <c r="AG2063" s="94"/>
      <c r="AH2063" s="58" t="s">
        <v>238</v>
      </c>
      <c r="AI2063" s="169">
        <v>6.5</v>
      </c>
      <c r="AJ2063" s="94">
        <f>23.9/(100*100*AD2063*0.2)*100</f>
        <v>0.85971223021582732</v>
      </c>
      <c r="AK2063" s="94"/>
      <c r="AL2063" s="58"/>
      <c r="AM2063" s="58" t="s">
        <v>1994</v>
      </c>
      <c r="AN2063" s="186" t="s">
        <v>1991</v>
      </c>
      <c r="AO2063" s="185" t="s">
        <v>5150</v>
      </c>
      <c r="AP2063" s="58"/>
      <c r="AQ2063" s="58" t="s">
        <v>553</v>
      </c>
      <c r="AR2063" s="58" t="s">
        <v>1993</v>
      </c>
      <c r="AS2063" s="58" t="s">
        <v>1580</v>
      </c>
      <c r="AT2063" s="182" t="s">
        <v>1993</v>
      </c>
      <c r="AU2063" s="181" t="s">
        <v>5150</v>
      </c>
      <c r="AV2063" s="185" t="s">
        <v>176</v>
      </c>
      <c r="AW2063" s="58" t="s">
        <v>1993</v>
      </c>
      <c r="AX2063" s="185" t="s">
        <v>176</v>
      </c>
      <c r="AY2063" s="58" t="s">
        <v>176</v>
      </c>
      <c r="AZ2063" s="58" t="s">
        <v>1997</v>
      </c>
      <c r="BA2063" s="58" t="s">
        <v>1997</v>
      </c>
      <c r="BB2063" s="58" t="s">
        <v>2081</v>
      </c>
      <c r="BC2063" s="58" t="s">
        <v>2081</v>
      </c>
      <c r="BD2063" s="55" t="s">
        <v>176</v>
      </c>
      <c r="BE2063" s="236" t="s">
        <v>1996</v>
      </c>
      <c r="BF2063" s="191" t="s">
        <v>176</v>
      </c>
      <c r="BG2063" s="191" t="s">
        <v>176</v>
      </c>
      <c r="BH2063" s="236" t="s">
        <v>1996</v>
      </c>
      <c r="BI2063" s="191" t="s">
        <v>176</v>
      </c>
      <c r="BJ2063" s="55" t="s">
        <v>176</v>
      </c>
      <c r="BK2063" s="58" t="s">
        <v>5976</v>
      </c>
      <c r="BL2063" s="58"/>
      <c r="BM2063" s="237" t="s">
        <v>160</v>
      </c>
      <c r="BN2063" s="58">
        <v>4</v>
      </c>
      <c r="BO2063" s="58">
        <v>4</v>
      </c>
      <c r="BP2063" s="58">
        <v>4</v>
      </c>
      <c r="BQ2063" s="58" t="s">
        <v>141</v>
      </c>
      <c r="BR2063" s="58"/>
      <c r="BS2063" s="58"/>
      <c r="BT2063" s="58"/>
      <c r="BU2063" s="58"/>
      <c r="BV2063" s="58"/>
      <c r="CB2063" s="68"/>
      <c r="CC2063" s="68"/>
      <c r="CD2063" s="68"/>
      <c r="CE2063" s="67"/>
      <c r="CH2063" s="94"/>
      <c r="CI2063" s="94"/>
      <c r="CM2063" s="65">
        <f>(CR2063*1000000)/(100*100*AD2063*AA2063/100*1000000)*100</f>
        <v>0.77697841726618722</v>
      </c>
      <c r="CN2063" s="65">
        <f>(CS2063*1000000)/(100*100*AD2063*AA2063/100*1000000)*100</f>
        <v>0.74460431654676273</v>
      </c>
      <c r="CR2063" s="67">
        <v>21.6</v>
      </c>
      <c r="CS2063" s="67">
        <v>20.7</v>
      </c>
      <c r="CV2063" s="65" t="s">
        <v>2052</v>
      </c>
      <c r="DA2063" s="65" t="s">
        <v>4463</v>
      </c>
      <c r="DB2063" s="65">
        <v>1.71</v>
      </c>
      <c r="DC2063" s="65">
        <v>1.5</v>
      </c>
      <c r="DF2063" s="65" t="s">
        <v>545</v>
      </c>
      <c r="GP2063" s="292" t="s">
        <v>7494</v>
      </c>
      <c r="JU2063" s="58" t="s">
        <v>2041</v>
      </c>
      <c r="JV2063" s="58" t="s">
        <v>2065</v>
      </c>
    </row>
    <row r="2064" spans="1:282" x14ac:dyDescent="0.25">
      <c r="A2064" s="55">
        <v>2063</v>
      </c>
      <c r="B2064" s="12" t="s">
        <v>7067</v>
      </c>
      <c r="C2064" s="157">
        <v>93</v>
      </c>
      <c r="D2064" s="59" t="s">
        <v>4115</v>
      </c>
      <c r="E2064" s="94" t="s">
        <v>741</v>
      </c>
      <c r="F2064" s="94"/>
      <c r="G2064" s="58" t="s">
        <v>2074</v>
      </c>
      <c r="H2064" s="58">
        <v>2002</v>
      </c>
      <c r="I2064" s="58">
        <v>1999</v>
      </c>
      <c r="J2064" s="58" t="s">
        <v>1709</v>
      </c>
      <c r="K2064" s="58" t="s">
        <v>1990</v>
      </c>
      <c r="L2064" s="58" t="s">
        <v>2737</v>
      </c>
      <c r="M2064" s="94">
        <v>32.57</v>
      </c>
      <c r="N2064" s="94">
        <v>-83.91</v>
      </c>
      <c r="O2064" s="94">
        <v>16</v>
      </c>
      <c r="P2064" s="58">
        <v>18.100000000000001</v>
      </c>
      <c r="Q2064" s="58"/>
      <c r="R2064" s="58">
        <v>1258</v>
      </c>
      <c r="S2064" s="94"/>
      <c r="T2064" s="58"/>
      <c r="U2064" s="58">
        <v>6</v>
      </c>
      <c r="V2064" s="58" t="s">
        <v>1940</v>
      </c>
      <c r="Y2064" s="58" t="s">
        <v>2058</v>
      </c>
      <c r="Z2064" s="58" t="s">
        <v>1346</v>
      </c>
      <c r="AA2064" s="94">
        <v>20</v>
      </c>
      <c r="AD2064" s="94">
        <v>1.39</v>
      </c>
      <c r="AE2064" s="94">
        <v>65</v>
      </c>
      <c r="AF2064" s="94">
        <v>25</v>
      </c>
      <c r="AG2064" s="94"/>
      <c r="AH2064" s="58" t="s">
        <v>238</v>
      </c>
      <c r="AI2064" s="169">
        <v>6.5</v>
      </c>
      <c r="AJ2064" s="94">
        <f>23.9/(100*100*AD2064*0.2)*100</f>
        <v>0.85971223021582732</v>
      </c>
      <c r="AK2064" s="94"/>
      <c r="AL2064" s="58"/>
      <c r="AM2064" s="58" t="s">
        <v>1994</v>
      </c>
      <c r="AN2064" s="186" t="s">
        <v>1991</v>
      </c>
      <c r="AO2064" s="185" t="s">
        <v>5150</v>
      </c>
      <c r="AP2064" s="58"/>
      <c r="AQ2064" s="58" t="s">
        <v>553</v>
      </c>
      <c r="AR2064" s="58" t="s">
        <v>2062</v>
      </c>
      <c r="AS2064" s="58" t="s">
        <v>1580</v>
      </c>
      <c r="AT2064" s="182" t="s">
        <v>1993</v>
      </c>
      <c r="AU2064" s="181" t="s">
        <v>5150</v>
      </c>
      <c r="AV2064" s="185" t="s">
        <v>176</v>
      </c>
      <c r="AW2064" s="58" t="s">
        <v>1993</v>
      </c>
      <c r="AX2064" s="185" t="s">
        <v>176</v>
      </c>
      <c r="AY2064" s="58" t="s">
        <v>176</v>
      </c>
      <c r="AZ2064" s="58" t="s">
        <v>1997</v>
      </c>
      <c r="BA2064" s="58" t="s">
        <v>1997</v>
      </c>
      <c r="BB2064" s="58" t="s">
        <v>2081</v>
      </c>
      <c r="BC2064" s="58" t="s">
        <v>2081</v>
      </c>
      <c r="BD2064" s="55" t="s">
        <v>176</v>
      </c>
      <c r="BE2064" s="236" t="s">
        <v>1996</v>
      </c>
      <c r="BF2064" s="191" t="s">
        <v>176</v>
      </c>
      <c r="BG2064" s="191" t="s">
        <v>176</v>
      </c>
      <c r="BH2064" s="236" t="s">
        <v>1996</v>
      </c>
      <c r="BI2064" s="191" t="s">
        <v>176</v>
      </c>
      <c r="BJ2064" s="55" t="s">
        <v>176</v>
      </c>
      <c r="BK2064" s="58" t="s">
        <v>5976</v>
      </c>
      <c r="BL2064" s="58"/>
      <c r="BM2064" s="237" t="s">
        <v>160</v>
      </c>
      <c r="BN2064" s="58">
        <v>4</v>
      </c>
      <c r="BO2064" s="58">
        <v>4</v>
      </c>
      <c r="BP2064" s="58">
        <v>4</v>
      </c>
      <c r="BQ2064" s="58" t="s">
        <v>141</v>
      </c>
      <c r="BR2064" s="58"/>
      <c r="BS2064" s="58"/>
      <c r="BT2064" s="58"/>
      <c r="BU2064" s="58"/>
      <c r="BV2064" s="58"/>
      <c r="CB2064" s="68"/>
      <c r="CC2064" s="68"/>
      <c r="CD2064" s="68"/>
      <c r="CE2064" s="67"/>
      <c r="CH2064" s="94"/>
      <c r="CI2064" s="94"/>
      <c r="CM2064" s="65">
        <f>(CR2064*1000000)/(100*100*AD2064*AA2064/100*1000000)*100</f>
        <v>0.72302158273381312</v>
      </c>
      <c r="CN2064" s="65">
        <f>(CS2064*1000000)/(100*100*AD2064*AA2064/100*1000000)*100</f>
        <v>0.72302158273381312</v>
      </c>
      <c r="CR2064" s="67">
        <v>20.100000000000001</v>
      </c>
      <c r="CS2064" s="67">
        <v>20.100000000000001</v>
      </c>
      <c r="CV2064" s="65" t="s">
        <v>2052</v>
      </c>
      <c r="DA2064" s="65" t="s">
        <v>4463</v>
      </c>
      <c r="DB2064" s="65">
        <v>1.43</v>
      </c>
      <c r="DC2064" s="65">
        <v>1.51</v>
      </c>
      <c r="DF2064" s="65" t="s">
        <v>545</v>
      </c>
      <c r="GP2064" s="292" t="s">
        <v>7494</v>
      </c>
      <c r="JU2064" s="58" t="s">
        <v>2041</v>
      </c>
      <c r="JV2064" s="58" t="s">
        <v>2065</v>
      </c>
    </row>
    <row r="2065" spans="1:282" x14ac:dyDescent="0.25">
      <c r="A2065" s="55">
        <v>2064</v>
      </c>
      <c r="B2065" s="12" t="s">
        <v>7067</v>
      </c>
      <c r="C2065" s="157">
        <v>93</v>
      </c>
      <c r="D2065" s="59" t="s">
        <v>4116</v>
      </c>
      <c r="E2065" s="94" t="s">
        <v>741</v>
      </c>
      <c r="F2065" s="94"/>
      <c r="G2065" s="58" t="s">
        <v>2074</v>
      </c>
      <c r="H2065" s="58">
        <v>2002</v>
      </c>
      <c r="I2065" s="58">
        <v>1994</v>
      </c>
      <c r="J2065" s="58" t="s">
        <v>1709</v>
      </c>
      <c r="K2065" s="58" t="s">
        <v>1990</v>
      </c>
      <c r="L2065" s="58" t="s">
        <v>2737</v>
      </c>
      <c r="M2065" s="94">
        <v>32.57</v>
      </c>
      <c r="N2065" s="94">
        <v>-83.91</v>
      </c>
      <c r="O2065" s="94">
        <v>16</v>
      </c>
      <c r="P2065" s="58">
        <v>18.100000000000001</v>
      </c>
      <c r="Q2065" s="58"/>
      <c r="R2065" s="58">
        <v>1258</v>
      </c>
      <c r="S2065" s="94"/>
      <c r="T2065" s="58"/>
      <c r="U2065" s="58">
        <v>1</v>
      </c>
      <c r="V2065" s="58" t="s">
        <v>1940</v>
      </c>
      <c r="Y2065" s="58" t="s">
        <v>2058</v>
      </c>
      <c r="Z2065" s="58" t="s">
        <v>1346</v>
      </c>
      <c r="AA2065" s="94">
        <v>20</v>
      </c>
      <c r="AD2065" s="94">
        <v>1.39</v>
      </c>
      <c r="AE2065" s="94">
        <v>65</v>
      </c>
      <c r="AF2065" s="94">
        <v>25</v>
      </c>
      <c r="AG2065" s="94"/>
      <c r="AH2065" s="58" t="s">
        <v>238</v>
      </c>
      <c r="AI2065" s="169">
        <v>6.5</v>
      </c>
      <c r="AJ2065" s="94">
        <f>23.9/(100*100*AD2065*0.2)*100</f>
        <v>0.85971223021582732</v>
      </c>
      <c r="AK2065" s="94"/>
      <c r="AL2065" s="58"/>
      <c r="AM2065" s="58" t="s">
        <v>1994</v>
      </c>
      <c r="AN2065" s="186" t="s">
        <v>1991</v>
      </c>
      <c r="AO2065" s="185" t="s">
        <v>5150</v>
      </c>
      <c r="AP2065" s="58"/>
      <c r="AQ2065" s="58" t="s">
        <v>553</v>
      </c>
      <c r="AR2065" s="58" t="s">
        <v>1993</v>
      </c>
      <c r="AS2065" s="58" t="s">
        <v>1580</v>
      </c>
      <c r="AT2065" s="182" t="s">
        <v>1993</v>
      </c>
      <c r="AU2065" s="181" t="s">
        <v>5150</v>
      </c>
      <c r="AV2065" s="185" t="s">
        <v>176</v>
      </c>
      <c r="AW2065" s="58" t="s">
        <v>1993</v>
      </c>
      <c r="AX2065" s="185" t="s">
        <v>176</v>
      </c>
      <c r="AY2065" s="58" t="s">
        <v>176</v>
      </c>
      <c r="AZ2065" s="58" t="s">
        <v>1997</v>
      </c>
      <c r="BA2065" s="58" t="s">
        <v>1997</v>
      </c>
      <c r="BB2065" s="58" t="s">
        <v>2081</v>
      </c>
      <c r="BC2065" s="58" t="s">
        <v>2081</v>
      </c>
      <c r="BD2065" s="55" t="s">
        <v>176</v>
      </c>
      <c r="BE2065" s="236" t="s">
        <v>1995</v>
      </c>
      <c r="BF2065" s="191" t="s">
        <v>479</v>
      </c>
      <c r="BG2065" s="191" t="s">
        <v>479</v>
      </c>
      <c r="BH2065" s="236" t="s">
        <v>1995</v>
      </c>
      <c r="BI2065" s="191" t="s">
        <v>479</v>
      </c>
      <c r="BJ2065" s="55" t="s">
        <v>176</v>
      </c>
      <c r="BK2065" s="58" t="s">
        <v>5976</v>
      </c>
      <c r="BL2065" s="58"/>
      <c r="BM2065" s="237" t="s">
        <v>160</v>
      </c>
      <c r="BN2065" s="58">
        <v>4</v>
      </c>
      <c r="BO2065" s="58">
        <v>4</v>
      </c>
      <c r="BP2065" s="58">
        <v>4</v>
      </c>
      <c r="BQ2065" s="58" t="s">
        <v>141</v>
      </c>
      <c r="BR2065" s="58"/>
      <c r="BU2065" s="58"/>
      <c r="BV2065" s="58"/>
      <c r="CB2065" s="68"/>
      <c r="CC2065" s="68"/>
      <c r="CD2065" s="68"/>
      <c r="CE2065" s="67"/>
      <c r="CH2065" s="94"/>
      <c r="CI2065" s="94"/>
      <c r="CM2065" s="65">
        <f>(CR2065*1000000)/(100*100*AD2065*AA2065/100*1000000)*100</f>
        <v>0.85971223021582743</v>
      </c>
      <c r="CN2065" s="65">
        <f>(CS2065*1000000)/(100*100*AD2065*AA2065/100*1000000)*100</f>
        <v>0.85971223021582743</v>
      </c>
      <c r="CR2065" s="67">
        <v>23.9</v>
      </c>
      <c r="CS2065" s="67">
        <v>23.9</v>
      </c>
      <c r="CV2065" s="65" t="s">
        <v>2052</v>
      </c>
      <c r="DA2065" s="65" t="s">
        <v>4463</v>
      </c>
      <c r="DB2065" s="65">
        <v>1.95</v>
      </c>
      <c r="DC2065" s="65">
        <v>1.95</v>
      </c>
      <c r="DF2065" s="65" t="s">
        <v>545</v>
      </c>
      <c r="GP2065" s="292" t="s">
        <v>7494</v>
      </c>
      <c r="JU2065" s="58" t="s">
        <v>2041</v>
      </c>
      <c r="JV2065" s="58" t="s">
        <v>2065</v>
      </c>
    </row>
    <row r="2066" spans="1:282" x14ac:dyDescent="0.25">
      <c r="A2066" s="55">
        <v>2065</v>
      </c>
      <c r="B2066" s="12" t="s">
        <v>7067</v>
      </c>
      <c r="C2066" s="157">
        <v>93</v>
      </c>
      <c r="D2066" s="59" t="s">
        <v>4116</v>
      </c>
      <c r="E2066" s="94" t="s">
        <v>741</v>
      </c>
      <c r="F2066" s="94"/>
      <c r="G2066" s="58" t="s">
        <v>2074</v>
      </c>
      <c r="H2066" s="58">
        <v>2002</v>
      </c>
      <c r="I2066" s="58">
        <v>1995</v>
      </c>
      <c r="J2066" s="58" t="s">
        <v>1709</v>
      </c>
      <c r="K2066" s="58" t="s">
        <v>1990</v>
      </c>
      <c r="L2066" s="58" t="s">
        <v>2737</v>
      </c>
      <c r="M2066" s="94">
        <v>32.57</v>
      </c>
      <c r="N2066" s="94">
        <v>-83.91</v>
      </c>
      <c r="O2066" s="94">
        <v>16</v>
      </c>
      <c r="P2066" s="58">
        <v>18.100000000000001</v>
      </c>
      <c r="Q2066" s="58"/>
      <c r="R2066" s="58">
        <v>1258</v>
      </c>
      <c r="S2066" s="94"/>
      <c r="T2066" s="58"/>
      <c r="U2066" s="58">
        <v>2</v>
      </c>
      <c r="V2066" s="58" t="s">
        <v>1940</v>
      </c>
      <c r="Y2066" s="58" t="s">
        <v>2058</v>
      </c>
      <c r="Z2066" s="58" t="s">
        <v>1346</v>
      </c>
      <c r="AA2066" s="94">
        <v>20</v>
      </c>
      <c r="AD2066" s="94">
        <v>1.39</v>
      </c>
      <c r="AE2066" s="94">
        <v>65</v>
      </c>
      <c r="AF2066" s="94">
        <v>25</v>
      </c>
      <c r="AG2066" s="94"/>
      <c r="AH2066" s="58" t="s">
        <v>238</v>
      </c>
      <c r="AI2066" s="169">
        <v>6.5</v>
      </c>
      <c r="AJ2066" s="94">
        <f>23.9/(100*100*AD2066*0.2)*100</f>
        <v>0.85971223021582732</v>
      </c>
      <c r="AK2066" s="94"/>
      <c r="AL2066" s="58"/>
      <c r="AM2066" s="58" t="s">
        <v>1994</v>
      </c>
      <c r="AN2066" s="186" t="s">
        <v>1991</v>
      </c>
      <c r="AO2066" s="185" t="s">
        <v>5150</v>
      </c>
      <c r="AP2066" s="58"/>
      <c r="AQ2066" s="58" t="s">
        <v>553</v>
      </c>
      <c r="AR2066" s="58" t="s">
        <v>1993</v>
      </c>
      <c r="AS2066" s="58" t="s">
        <v>1580</v>
      </c>
      <c r="AT2066" s="182" t="s">
        <v>1993</v>
      </c>
      <c r="AU2066" s="181" t="s">
        <v>5150</v>
      </c>
      <c r="AV2066" s="185" t="s">
        <v>176</v>
      </c>
      <c r="AW2066" s="58" t="s">
        <v>1993</v>
      </c>
      <c r="AX2066" s="185" t="s">
        <v>176</v>
      </c>
      <c r="AY2066" s="58" t="s">
        <v>176</v>
      </c>
      <c r="AZ2066" s="58" t="s">
        <v>1997</v>
      </c>
      <c r="BA2066" s="58" t="s">
        <v>1997</v>
      </c>
      <c r="BB2066" s="58" t="s">
        <v>2081</v>
      </c>
      <c r="BC2066" s="58" t="s">
        <v>2081</v>
      </c>
      <c r="BD2066" s="55" t="s">
        <v>176</v>
      </c>
      <c r="BE2066" s="236" t="s">
        <v>1995</v>
      </c>
      <c r="BF2066" s="191" t="s">
        <v>479</v>
      </c>
      <c r="BG2066" s="191" t="s">
        <v>479</v>
      </c>
      <c r="BH2066" s="236" t="s">
        <v>1995</v>
      </c>
      <c r="BI2066" s="191" t="s">
        <v>479</v>
      </c>
      <c r="BJ2066" s="55" t="s">
        <v>176</v>
      </c>
      <c r="BK2066" s="58" t="s">
        <v>5976</v>
      </c>
      <c r="BL2066" s="58"/>
      <c r="BM2066" s="237" t="s">
        <v>160</v>
      </c>
      <c r="BN2066" s="58">
        <v>4</v>
      </c>
      <c r="BO2066" s="58">
        <v>4</v>
      </c>
      <c r="BP2066" s="58">
        <v>4</v>
      </c>
      <c r="BQ2066" s="58" t="s">
        <v>141</v>
      </c>
      <c r="BR2066" s="58"/>
      <c r="BS2066" s="58"/>
      <c r="BT2066" s="58"/>
      <c r="BU2066" s="58"/>
      <c r="BV2066" s="58"/>
      <c r="CB2066" s="68"/>
      <c r="CC2066" s="68"/>
      <c r="CD2066" s="68"/>
      <c r="CE2066" s="67"/>
      <c r="CH2066" s="94"/>
      <c r="CI2066" s="94"/>
      <c r="CM2066" s="65">
        <f>(CR2066*1000000)/(100*100*AD2066*AA2066/100*1000000)*100</f>
        <v>0.77338129496402885</v>
      </c>
      <c r="CN2066" s="65">
        <f>(CS2066*1000000)/(100*100*AD2066*AA2066/100*1000000)*100</f>
        <v>0.79496402877697858</v>
      </c>
      <c r="CR2066" s="67">
        <v>21.5</v>
      </c>
      <c r="CS2066" s="67">
        <v>22.1</v>
      </c>
      <c r="CV2066" s="65" t="s">
        <v>2052</v>
      </c>
      <c r="DA2066" s="65" t="s">
        <v>4463</v>
      </c>
      <c r="DB2066" s="65">
        <v>2.0299999999999998</v>
      </c>
      <c r="DC2066" s="65">
        <v>1.88</v>
      </c>
      <c r="DF2066" s="65" t="s">
        <v>545</v>
      </c>
      <c r="GP2066" s="292" t="s">
        <v>7494</v>
      </c>
      <c r="JU2066" s="58" t="s">
        <v>2041</v>
      </c>
      <c r="JV2066" s="58" t="s">
        <v>2065</v>
      </c>
    </row>
    <row r="2067" spans="1:282" x14ac:dyDescent="0.25">
      <c r="A2067" s="55">
        <v>2066</v>
      </c>
      <c r="B2067" s="12" t="s">
        <v>7067</v>
      </c>
      <c r="C2067" s="157">
        <v>93</v>
      </c>
      <c r="D2067" s="59" t="s">
        <v>4116</v>
      </c>
      <c r="E2067" s="94" t="s">
        <v>741</v>
      </c>
      <c r="F2067" s="94"/>
      <c r="G2067" s="58" t="s">
        <v>2074</v>
      </c>
      <c r="H2067" s="58">
        <v>2002</v>
      </c>
      <c r="I2067" s="58">
        <v>1996</v>
      </c>
      <c r="J2067" s="58" t="s">
        <v>1709</v>
      </c>
      <c r="K2067" s="58" t="s">
        <v>1990</v>
      </c>
      <c r="L2067" s="58" t="s">
        <v>2737</v>
      </c>
      <c r="M2067" s="94">
        <v>32.57</v>
      </c>
      <c r="N2067" s="94">
        <v>-83.91</v>
      </c>
      <c r="O2067" s="94">
        <v>16</v>
      </c>
      <c r="P2067" s="58">
        <v>18.100000000000001</v>
      </c>
      <c r="Q2067" s="58"/>
      <c r="R2067" s="58">
        <v>1258</v>
      </c>
      <c r="S2067" s="94"/>
      <c r="T2067" s="58"/>
      <c r="U2067" s="58">
        <v>3</v>
      </c>
      <c r="V2067" s="58" t="s">
        <v>1940</v>
      </c>
      <c r="Y2067" s="58" t="s">
        <v>2058</v>
      </c>
      <c r="Z2067" s="58" t="s">
        <v>1346</v>
      </c>
      <c r="AA2067" s="94">
        <v>20</v>
      </c>
      <c r="AD2067" s="94">
        <v>1.39</v>
      </c>
      <c r="AE2067" s="94">
        <v>65</v>
      </c>
      <c r="AF2067" s="94">
        <v>25</v>
      </c>
      <c r="AG2067" s="94"/>
      <c r="AH2067" s="58" t="s">
        <v>238</v>
      </c>
      <c r="AI2067" s="169">
        <v>6.5</v>
      </c>
      <c r="AJ2067" s="94">
        <f>23.9/(100*100*AD2067*0.2)*100</f>
        <v>0.85971223021582732</v>
      </c>
      <c r="AK2067" s="94"/>
      <c r="AL2067" s="58"/>
      <c r="AM2067" s="58" t="s">
        <v>1994</v>
      </c>
      <c r="AN2067" s="186" t="s">
        <v>1991</v>
      </c>
      <c r="AO2067" s="185" t="s">
        <v>5150</v>
      </c>
      <c r="AP2067" s="58"/>
      <c r="AQ2067" s="58" t="s">
        <v>553</v>
      </c>
      <c r="AR2067" s="58" t="s">
        <v>1993</v>
      </c>
      <c r="AS2067" s="58" t="s">
        <v>1580</v>
      </c>
      <c r="AT2067" s="182" t="s">
        <v>1993</v>
      </c>
      <c r="AU2067" s="181" t="s">
        <v>5150</v>
      </c>
      <c r="AV2067" s="185" t="s">
        <v>176</v>
      </c>
      <c r="AW2067" s="58" t="s">
        <v>1993</v>
      </c>
      <c r="AX2067" s="185" t="s">
        <v>176</v>
      </c>
      <c r="AY2067" s="58" t="s">
        <v>176</v>
      </c>
      <c r="AZ2067" s="58" t="s">
        <v>1997</v>
      </c>
      <c r="BA2067" s="58" t="s">
        <v>1997</v>
      </c>
      <c r="BB2067" s="58" t="s">
        <v>2081</v>
      </c>
      <c r="BC2067" s="58" t="s">
        <v>2081</v>
      </c>
      <c r="BD2067" s="55" t="s">
        <v>176</v>
      </c>
      <c r="BE2067" s="236" t="s">
        <v>1995</v>
      </c>
      <c r="BF2067" s="191" t="s">
        <v>479</v>
      </c>
      <c r="BG2067" s="191" t="s">
        <v>479</v>
      </c>
      <c r="BH2067" s="236" t="s">
        <v>1995</v>
      </c>
      <c r="BI2067" s="191" t="s">
        <v>479</v>
      </c>
      <c r="BJ2067" s="55" t="s">
        <v>176</v>
      </c>
      <c r="BK2067" s="58" t="s">
        <v>5976</v>
      </c>
      <c r="BL2067" s="58"/>
      <c r="BM2067" s="237" t="s">
        <v>160</v>
      </c>
      <c r="BN2067" s="58">
        <v>4</v>
      </c>
      <c r="BO2067" s="58">
        <v>4</v>
      </c>
      <c r="BP2067" s="58">
        <v>4</v>
      </c>
      <c r="BQ2067" s="58" t="s">
        <v>141</v>
      </c>
      <c r="BR2067" s="58"/>
      <c r="BU2067" s="58"/>
      <c r="BV2067" s="58"/>
      <c r="CB2067" s="68"/>
      <c r="CC2067" s="68"/>
      <c r="CD2067" s="68"/>
      <c r="CE2067" s="67"/>
      <c r="CH2067" s="94"/>
      <c r="CI2067" s="94"/>
      <c r="CM2067" s="65">
        <f>(CR2067*1000000)/(100*100*AD2067*AA2067/100*1000000)*100</f>
        <v>0.72661870503597137</v>
      </c>
      <c r="CN2067" s="65">
        <f>(CS2067*1000000)/(100*100*AD2067*AA2067/100*1000000)*100</f>
        <v>0.72302158273381312</v>
      </c>
      <c r="CR2067" s="67">
        <v>20.2</v>
      </c>
      <c r="CS2067" s="67">
        <v>20.100000000000001</v>
      </c>
      <c r="CV2067" s="65" t="s">
        <v>2052</v>
      </c>
      <c r="DA2067" s="65" t="s">
        <v>4463</v>
      </c>
      <c r="DB2067" s="65">
        <v>2.04</v>
      </c>
      <c r="DC2067" s="65">
        <v>1.71</v>
      </c>
      <c r="DF2067" s="65" t="s">
        <v>545</v>
      </c>
      <c r="GP2067" s="292" t="s">
        <v>7494</v>
      </c>
      <c r="JU2067" s="58" t="s">
        <v>2041</v>
      </c>
      <c r="JV2067" s="58" t="s">
        <v>2065</v>
      </c>
    </row>
    <row r="2068" spans="1:282" x14ac:dyDescent="0.25">
      <c r="A2068" s="55">
        <v>2067</v>
      </c>
      <c r="B2068" s="12" t="s">
        <v>7067</v>
      </c>
      <c r="C2068" s="157">
        <v>93</v>
      </c>
      <c r="D2068" s="59" t="s">
        <v>4116</v>
      </c>
      <c r="E2068" s="94" t="s">
        <v>741</v>
      </c>
      <c r="F2068" s="94"/>
      <c r="G2068" s="58" t="s">
        <v>2074</v>
      </c>
      <c r="H2068" s="58">
        <v>2002</v>
      </c>
      <c r="I2068" s="58">
        <v>1997</v>
      </c>
      <c r="J2068" s="58" t="s">
        <v>1709</v>
      </c>
      <c r="K2068" s="58" t="s">
        <v>1990</v>
      </c>
      <c r="L2068" s="58" t="s">
        <v>2737</v>
      </c>
      <c r="M2068" s="94">
        <v>32.57</v>
      </c>
      <c r="N2068" s="94">
        <v>-83.91</v>
      </c>
      <c r="O2068" s="94">
        <v>16</v>
      </c>
      <c r="P2068" s="58">
        <v>18.100000000000001</v>
      </c>
      <c r="Q2068" s="58"/>
      <c r="R2068" s="58">
        <v>1258</v>
      </c>
      <c r="S2068" s="94"/>
      <c r="T2068" s="58"/>
      <c r="U2068" s="58">
        <v>4</v>
      </c>
      <c r="V2068" s="58" t="s">
        <v>1940</v>
      </c>
      <c r="Y2068" s="58" t="s">
        <v>2058</v>
      </c>
      <c r="Z2068" s="58" t="s">
        <v>1346</v>
      </c>
      <c r="AA2068" s="94">
        <v>20</v>
      </c>
      <c r="AD2068" s="94">
        <v>1.39</v>
      </c>
      <c r="AE2068" s="94">
        <v>65</v>
      </c>
      <c r="AF2068" s="94">
        <v>25</v>
      </c>
      <c r="AG2068" s="94"/>
      <c r="AH2068" s="58" t="s">
        <v>238</v>
      </c>
      <c r="AI2068" s="169">
        <v>6.5</v>
      </c>
      <c r="AJ2068" s="94">
        <f>23.9/(100*100*AD2068*0.2)*100</f>
        <v>0.85971223021582732</v>
      </c>
      <c r="AK2068" s="94"/>
      <c r="AL2068" s="58"/>
      <c r="AM2068" s="58" t="s">
        <v>1994</v>
      </c>
      <c r="AN2068" s="186" t="s">
        <v>1991</v>
      </c>
      <c r="AO2068" s="185" t="s">
        <v>5150</v>
      </c>
      <c r="AP2068" s="58"/>
      <c r="AQ2068" s="58" t="s">
        <v>553</v>
      </c>
      <c r="AR2068" s="58" t="s">
        <v>1993</v>
      </c>
      <c r="AS2068" s="58" t="s">
        <v>1580</v>
      </c>
      <c r="AT2068" s="182" t="s">
        <v>1993</v>
      </c>
      <c r="AU2068" s="181" t="s">
        <v>5150</v>
      </c>
      <c r="AV2068" s="185" t="s">
        <v>176</v>
      </c>
      <c r="AW2068" s="58" t="s">
        <v>1993</v>
      </c>
      <c r="AX2068" s="185" t="s">
        <v>176</v>
      </c>
      <c r="AY2068" s="58" t="s">
        <v>176</v>
      </c>
      <c r="AZ2068" s="58" t="s">
        <v>1997</v>
      </c>
      <c r="BA2068" s="58" t="s">
        <v>1997</v>
      </c>
      <c r="BB2068" s="58" t="s">
        <v>2081</v>
      </c>
      <c r="BC2068" s="58" t="s">
        <v>2081</v>
      </c>
      <c r="BD2068" s="55" t="s">
        <v>176</v>
      </c>
      <c r="BE2068" s="236" t="s">
        <v>1995</v>
      </c>
      <c r="BF2068" s="191" t="s">
        <v>479</v>
      </c>
      <c r="BG2068" s="191" t="s">
        <v>479</v>
      </c>
      <c r="BH2068" s="236" t="s">
        <v>1995</v>
      </c>
      <c r="BI2068" s="191" t="s">
        <v>479</v>
      </c>
      <c r="BJ2068" s="55" t="s">
        <v>176</v>
      </c>
      <c r="BK2068" s="58" t="s">
        <v>5976</v>
      </c>
      <c r="BL2068" s="58"/>
      <c r="BM2068" s="237" t="s">
        <v>160</v>
      </c>
      <c r="BN2068" s="58">
        <v>4</v>
      </c>
      <c r="BO2068" s="58">
        <v>4</v>
      </c>
      <c r="BP2068" s="58">
        <v>4</v>
      </c>
      <c r="BQ2068" s="58" t="s">
        <v>141</v>
      </c>
      <c r="BR2068" s="58"/>
      <c r="BS2068" s="58"/>
      <c r="BT2068" s="58"/>
      <c r="BU2068" s="58"/>
      <c r="BV2068" s="58"/>
      <c r="CB2068" s="68"/>
      <c r="CC2068" s="68"/>
      <c r="CD2068" s="68"/>
      <c r="CE2068" s="67"/>
      <c r="CH2068" s="94"/>
      <c r="CI2068" s="94"/>
      <c r="CM2068" s="65">
        <f>(CR2068*1000000)/(100*100*AD2068*AA2068/100*1000000)*100</f>
        <v>0.79136690647482033</v>
      </c>
      <c r="CN2068" s="65">
        <f>(CS2068*1000000)/(100*100*AD2068*AA2068/100*1000000)*100</f>
        <v>0.85251798561151104</v>
      </c>
      <c r="CR2068" s="67">
        <v>22</v>
      </c>
      <c r="CS2068" s="67">
        <v>23.7</v>
      </c>
      <c r="CV2068" s="65" t="s">
        <v>2052</v>
      </c>
      <c r="DA2068" s="65" t="s">
        <v>4463</v>
      </c>
      <c r="DB2068" s="65">
        <v>1.78</v>
      </c>
      <c r="DC2068" s="65">
        <v>2.0299999999999998</v>
      </c>
      <c r="DF2068" s="65" t="s">
        <v>545</v>
      </c>
      <c r="GP2068" s="292" t="s">
        <v>7494</v>
      </c>
      <c r="JU2068" s="58" t="s">
        <v>2041</v>
      </c>
      <c r="JV2068" s="58" t="s">
        <v>2065</v>
      </c>
    </row>
    <row r="2069" spans="1:282" x14ac:dyDescent="0.25">
      <c r="A2069" s="55">
        <v>2068</v>
      </c>
      <c r="B2069" s="12" t="s">
        <v>7067</v>
      </c>
      <c r="C2069" s="157">
        <v>93</v>
      </c>
      <c r="D2069" s="59" t="s">
        <v>4116</v>
      </c>
      <c r="E2069" s="94" t="s">
        <v>741</v>
      </c>
      <c r="F2069" s="94"/>
      <c r="G2069" s="58" t="s">
        <v>2074</v>
      </c>
      <c r="H2069" s="58">
        <v>2002</v>
      </c>
      <c r="I2069" s="58">
        <v>1998</v>
      </c>
      <c r="J2069" s="58" t="s">
        <v>1709</v>
      </c>
      <c r="K2069" s="58" t="s">
        <v>1990</v>
      </c>
      <c r="L2069" s="58" t="s">
        <v>2737</v>
      </c>
      <c r="M2069" s="94">
        <v>32.57</v>
      </c>
      <c r="N2069" s="94">
        <v>-83.91</v>
      </c>
      <c r="O2069" s="94">
        <v>16</v>
      </c>
      <c r="P2069" s="58">
        <v>18.100000000000001</v>
      </c>
      <c r="Q2069" s="58"/>
      <c r="R2069" s="58">
        <v>1258</v>
      </c>
      <c r="S2069" s="94"/>
      <c r="T2069" s="58"/>
      <c r="U2069" s="58">
        <v>5</v>
      </c>
      <c r="V2069" s="58" t="s">
        <v>1940</v>
      </c>
      <c r="Y2069" s="58" t="s">
        <v>2058</v>
      </c>
      <c r="Z2069" s="58" t="s">
        <v>1346</v>
      </c>
      <c r="AA2069" s="94">
        <v>20</v>
      </c>
      <c r="AD2069" s="94">
        <v>1.39</v>
      </c>
      <c r="AE2069" s="94">
        <v>65</v>
      </c>
      <c r="AF2069" s="94">
        <v>25</v>
      </c>
      <c r="AG2069" s="94"/>
      <c r="AH2069" s="58" t="s">
        <v>238</v>
      </c>
      <c r="AI2069" s="169">
        <v>6.5</v>
      </c>
      <c r="AJ2069" s="94">
        <f>23.9/(100*100*AD2069*0.2)*100</f>
        <v>0.85971223021582732</v>
      </c>
      <c r="AK2069" s="94"/>
      <c r="AL2069" s="58"/>
      <c r="AM2069" s="58" t="s">
        <v>1994</v>
      </c>
      <c r="AN2069" s="186" t="s">
        <v>1991</v>
      </c>
      <c r="AO2069" s="185" t="s">
        <v>5150</v>
      </c>
      <c r="AP2069" s="58"/>
      <c r="AQ2069" s="58" t="s">
        <v>553</v>
      </c>
      <c r="AR2069" s="58" t="s">
        <v>1993</v>
      </c>
      <c r="AS2069" s="58" t="s">
        <v>1580</v>
      </c>
      <c r="AT2069" s="182" t="s">
        <v>1993</v>
      </c>
      <c r="AU2069" s="181" t="s">
        <v>5150</v>
      </c>
      <c r="AV2069" s="185" t="s">
        <v>176</v>
      </c>
      <c r="AW2069" s="58" t="s">
        <v>1993</v>
      </c>
      <c r="AX2069" s="185" t="s">
        <v>176</v>
      </c>
      <c r="AY2069" s="58" t="s">
        <v>176</v>
      </c>
      <c r="AZ2069" s="58" t="s">
        <v>1997</v>
      </c>
      <c r="BA2069" s="58" t="s">
        <v>1997</v>
      </c>
      <c r="BB2069" s="58" t="s">
        <v>2081</v>
      </c>
      <c r="BC2069" s="58" t="s">
        <v>2081</v>
      </c>
      <c r="BD2069" s="55" t="s">
        <v>176</v>
      </c>
      <c r="BE2069" s="236" t="s">
        <v>1995</v>
      </c>
      <c r="BF2069" s="191" t="s">
        <v>479</v>
      </c>
      <c r="BG2069" s="191" t="s">
        <v>479</v>
      </c>
      <c r="BH2069" s="236" t="s">
        <v>1995</v>
      </c>
      <c r="BI2069" s="191" t="s">
        <v>479</v>
      </c>
      <c r="BJ2069" s="55" t="s">
        <v>176</v>
      </c>
      <c r="BK2069" s="58" t="s">
        <v>5976</v>
      </c>
      <c r="BL2069" s="58"/>
      <c r="BM2069" s="237" t="s">
        <v>160</v>
      </c>
      <c r="BN2069" s="58">
        <v>4</v>
      </c>
      <c r="BO2069" s="58">
        <v>4</v>
      </c>
      <c r="BP2069" s="58">
        <v>4</v>
      </c>
      <c r="BQ2069" s="58" t="s">
        <v>141</v>
      </c>
      <c r="BR2069" s="58"/>
      <c r="BS2069" s="58"/>
      <c r="BT2069" s="58"/>
      <c r="BU2069" s="58"/>
      <c r="BV2069" s="58"/>
      <c r="CB2069" s="68"/>
      <c r="CC2069" s="68"/>
      <c r="CD2069" s="68"/>
      <c r="CE2069" s="67"/>
      <c r="CH2069" s="94"/>
      <c r="CI2069" s="94"/>
      <c r="CM2069" s="65">
        <f>(CR2069*1000000)/(100*100*AD2069*AA2069/100*1000000)*100</f>
        <v>0.81294964028776995</v>
      </c>
      <c r="CN2069" s="65">
        <f>(CS2069*1000000)/(100*100*AD2069*AA2069/100*1000000)*100</f>
        <v>0.74460431654676273</v>
      </c>
      <c r="CR2069" s="67">
        <v>22.6</v>
      </c>
      <c r="CS2069" s="67">
        <v>20.7</v>
      </c>
      <c r="CV2069" s="65" t="s">
        <v>2052</v>
      </c>
      <c r="DA2069" s="65" t="s">
        <v>4463</v>
      </c>
      <c r="DB2069" s="65">
        <v>1.69</v>
      </c>
      <c r="DC2069" s="65">
        <v>1.52</v>
      </c>
      <c r="DF2069" s="65" t="s">
        <v>545</v>
      </c>
      <c r="GP2069" s="292" t="s">
        <v>7494</v>
      </c>
      <c r="JU2069" s="58" t="s">
        <v>2041</v>
      </c>
      <c r="JV2069" s="58" t="s">
        <v>2065</v>
      </c>
    </row>
    <row r="2070" spans="1:282" x14ac:dyDescent="0.25">
      <c r="A2070" s="55">
        <v>2069</v>
      </c>
      <c r="B2070" s="12" t="s">
        <v>7067</v>
      </c>
      <c r="C2070" s="157">
        <v>93</v>
      </c>
      <c r="D2070" s="59" t="s">
        <v>4116</v>
      </c>
      <c r="E2070" s="94" t="s">
        <v>741</v>
      </c>
      <c r="F2070" s="94"/>
      <c r="G2070" s="58" t="s">
        <v>2074</v>
      </c>
      <c r="H2070" s="58">
        <v>2002</v>
      </c>
      <c r="I2070" s="58">
        <v>1999</v>
      </c>
      <c r="J2070" s="58" t="s">
        <v>1709</v>
      </c>
      <c r="K2070" s="58" t="s">
        <v>1990</v>
      </c>
      <c r="L2070" s="58" t="s">
        <v>2737</v>
      </c>
      <c r="M2070" s="94">
        <v>32.57</v>
      </c>
      <c r="N2070" s="94">
        <v>-83.91</v>
      </c>
      <c r="O2070" s="94">
        <v>16</v>
      </c>
      <c r="P2070" s="58">
        <v>18.100000000000001</v>
      </c>
      <c r="Q2070" s="58"/>
      <c r="R2070" s="58">
        <v>1258</v>
      </c>
      <c r="S2070" s="94"/>
      <c r="T2070" s="58"/>
      <c r="U2070" s="58">
        <v>6</v>
      </c>
      <c r="V2070" s="58" t="s">
        <v>1940</v>
      </c>
      <c r="Y2070" s="58" t="s">
        <v>2058</v>
      </c>
      <c r="Z2070" s="58" t="s">
        <v>1346</v>
      </c>
      <c r="AA2070" s="94">
        <v>20</v>
      </c>
      <c r="AD2070" s="94">
        <v>1.39</v>
      </c>
      <c r="AE2070" s="94">
        <v>65</v>
      </c>
      <c r="AF2070" s="94">
        <v>25</v>
      </c>
      <c r="AG2070" s="94"/>
      <c r="AH2070" s="58" t="s">
        <v>238</v>
      </c>
      <c r="AI2070" s="169">
        <v>6.5</v>
      </c>
      <c r="AJ2070" s="94">
        <f>23.9/(100*100*AD2070*0.2)*100</f>
        <v>0.85971223021582732</v>
      </c>
      <c r="AK2070" s="94"/>
      <c r="AL2070" s="58"/>
      <c r="AM2070" s="58" t="s">
        <v>1994</v>
      </c>
      <c r="AN2070" s="186" t="s">
        <v>1991</v>
      </c>
      <c r="AO2070" s="185" t="s">
        <v>5150</v>
      </c>
      <c r="AP2070" s="58"/>
      <c r="AQ2070" s="58" t="s">
        <v>553</v>
      </c>
      <c r="AR2070" s="58" t="s">
        <v>2062</v>
      </c>
      <c r="AS2070" s="58" t="s">
        <v>1580</v>
      </c>
      <c r="AT2070" s="182" t="s">
        <v>1993</v>
      </c>
      <c r="AU2070" s="181" t="s">
        <v>5150</v>
      </c>
      <c r="AV2070" s="185" t="s">
        <v>176</v>
      </c>
      <c r="AW2070" s="58" t="s">
        <v>1993</v>
      </c>
      <c r="AX2070" s="185" t="s">
        <v>176</v>
      </c>
      <c r="AY2070" s="58" t="s">
        <v>176</v>
      </c>
      <c r="AZ2070" s="58" t="s">
        <v>1997</v>
      </c>
      <c r="BA2070" s="58" t="s">
        <v>1997</v>
      </c>
      <c r="BB2070" s="58" t="s">
        <v>2081</v>
      </c>
      <c r="BC2070" s="58" t="s">
        <v>2081</v>
      </c>
      <c r="BD2070" s="55" t="s">
        <v>176</v>
      </c>
      <c r="BE2070" s="236" t="s">
        <v>1995</v>
      </c>
      <c r="BF2070" s="191" t="s">
        <v>479</v>
      </c>
      <c r="BG2070" s="191" t="s">
        <v>479</v>
      </c>
      <c r="BH2070" s="236" t="s">
        <v>1995</v>
      </c>
      <c r="BI2070" s="191" t="s">
        <v>479</v>
      </c>
      <c r="BJ2070" s="55" t="s">
        <v>176</v>
      </c>
      <c r="BK2070" s="58" t="s">
        <v>5976</v>
      </c>
      <c r="BL2070" s="58"/>
      <c r="BM2070" s="237" t="s">
        <v>160</v>
      </c>
      <c r="BN2070" s="58">
        <v>4</v>
      </c>
      <c r="BO2070" s="58">
        <v>4</v>
      </c>
      <c r="BP2070" s="58">
        <v>4</v>
      </c>
      <c r="BQ2070" s="58" t="s">
        <v>141</v>
      </c>
      <c r="BR2070" s="58"/>
      <c r="BS2070" s="58"/>
      <c r="BT2070" s="58"/>
      <c r="BU2070" s="58"/>
      <c r="BV2070" s="58"/>
      <c r="CB2070" s="68"/>
      <c r="CC2070" s="68"/>
      <c r="CD2070" s="68"/>
      <c r="CE2070" s="67"/>
      <c r="CH2070" s="94"/>
      <c r="CI2070" s="94"/>
      <c r="CM2070" s="65">
        <f>(CR2070*1000000)/(100*100*AD2070*AA2070/100*1000000)*100</f>
        <v>0.71942446043165476</v>
      </c>
      <c r="CN2070" s="65">
        <f>(CS2070*1000000)/(100*100*AD2070*AA2070/100*1000000)*100</f>
        <v>0.73021582733812962</v>
      </c>
      <c r="CR2070" s="67">
        <v>20</v>
      </c>
      <c r="CS2070" s="67">
        <v>20.3</v>
      </c>
      <c r="CV2070" s="65" t="s">
        <v>2052</v>
      </c>
      <c r="DA2070" s="65" t="s">
        <v>4463</v>
      </c>
      <c r="DB2070" s="65">
        <v>1.41</v>
      </c>
      <c r="DC2070" s="65">
        <v>1.53</v>
      </c>
      <c r="DF2070" s="65" t="s">
        <v>545</v>
      </c>
      <c r="GP2070" s="292" t="s">
        <v>7494</v>
      </c>
      <c r="JU2070" s="58" t="s">
        <v>2041</v>
      </c>
      <c r="JV2070" s="58" t="s">
        <v>2065</v>
      </c>
    </row>
    <row r="2071" spans="1:282" x14ac:dyDescent="0.25">
      <c r="A2071" s="55">
        <v>2070</v>
      </c>
      <c r="B2071" s="12" t="s">
        <v>7067</v>
      </c>
      <c r="C2071" s="157">
        <v>93</v>
      </c>
      <c r="D2071" s="59" t="s">
        <v>4117</v>
      </c>
      <c r="E2071" s="94" t="s">
        <v>741</v>
      </c>
      <c r="F2071" s="94"/>
      <c r="G2071" s="58" t="s">
        <v>2074</v>
      </c>
      <c r="H2071" s="58">
        <v>2002</v>
      </c>
      <c r="I2071" s="58">
        <v>1994</v>
      </c>
      <c r="J2071" s="58" t="s">
        <v>1709</v>
      </c>
      <c r="K2071" s="58" t="s">
        <v>1990</v>
      </c>
      <c r="L2071" s="58" t="s">
        <v>2737</v>
      </c>
      <c r="M2071" s="94">
        <v>32.57</v>
      </c>
      <c r="N2071" s="94">
        <v>-83.91</v>
      </c>
      <c r="O2071" s="94">
        <v>16</v>
      </c>
      <c r="P2071" s="58">
        <v>18.100000000000001</v>
      </c>
      <c r="Q2071" s="58"/>
      <c r="R2071" s="58">
        <v>1258</v>
      </c>
      <c r="S2071" s="94"/>
      <c r="T2071" s="58"/>
      <c r="U2071" s="58">
        <v>1</v>
      </c>
      <c r="V2071" s="58" t="s">
        <v>1940</v>
      </c>
      <c r="Y2071" s="58" t="s">
        <v>2058</v>
      </c>
      <c r="Z2071" s="58" t="s">
        <v>1346</v>
      </c>
      <c r="AA2071" s="94">
        <v>20</v>
      </c>
      <c r="AD2071" s="94">
        <v>1.39</v>
      </c>
      <c r="AE2071" s="94">
        <v>65</v>
      </c>
      <c r="AF2071" s="94">
        <v>25</v>
      </c>
      <c r="AG2071" s="94"/>
      <c r="AH2071" s="58" t="s">
        <v>238</v>
      </c>
      <c r="AI2071" s="169">
        <v>6.5</v>
      </c>
      <c r="AJ2071" s="94">
        <f>23.9/(100*100*AD2071*0.2)*100</f>
        <v>0.85971223021582732</v>
      </c>
      <c r="AK2071" s="94"/>
      <c r="AL2071" s="58"/>
      <c r="AM2071" s="58" t="s">
        <v>1994</v>
      </c>
      <c r="AN2071" s="186" t="s">
        <v>1991</v>
      </c>
      <c r="AO2071" s="185" t="s">
        <v>5150</v>
      </c>
      <c r="AP2071" s="58"/>
      <c r="AQ2071" s="58" t="s">
        <v>553</v>
      </c>
      <c r="AR2071" s="58" t="s">
        <v>1993</v>
      </c>
      <c r="AS2071" s="58" t="s">
        <v>1580</v>
      </c>
      <c r="AT2071" s="182" t="s">
        <v>1993</v>
      </c>
      <c r="AU2071" s="181" t="s">
        <v>5150</v>
      </c>
      <c r="AV2071" s="185" t="s">
        <v>176</v>
      </c>
      <c r="AW2071" s="58" t="s">
        <v>1993</v>
      </c>
      <c r="AX2071" s="185" t="s">
        <v>176</v>
      </c>
      <c r="AY2071" s="58" t="s">
        <v>176</v>
      </c>
      <c r="AZ2071" s="58" t="s">
        <v>1997</v>
      </c>
      <c r="BA2071" s="58" t="s">
        <v>1997</v>
      </c>
      <c r="BB2071" s="58" t="s">
        <v>2081</v>
      </c>
      <c r="BC2071" s="58" t="s">
        <v>2081</v>
      </c>
      <c r="BD2071" s="55" t="s">
        <v>176</v>
      </c>
      <c r="BE2071" s="236" t="s">
        <v>1992</v>
      </c>
      <c r="BF2071" s="191" t="s">
        <v>479</v>
      </c>
      <c r="BG2071" s="191" t="s">
        <v>479</v>
      </c>
      <c r="BH2071" s="236" t="s">
        <v>1992</v>
      </c>
      <c r="BI2071" s="191" t="s">
        <v>479</v>
      </c>
      <c r="BJ2071" s="55" t="s">
        <v>176</v>
      </c>
      <c r="BK2071" s="58" t="s">
        <v>5976</v>
      </c>
      <c r="BL2071" s="58"/>
      <c r="BM2071" s="237" t="s">
        <v>160</v>
      </c>
      <c r="BN2071" s="58">
        <v>4</v>
      </c>
      <c r="BO2071" s="58">
        <v>4</v>
      </c>
      <c r="BP2071" s="58">
        <v>4</v>
      </c>
      <c r="BQ2071" s="58" t="s">
        <v>141</v>
      </c>
      <c r="BR2071" s="58"/>
      <c r="BU2071" s="58"/>
      <c r="BV2071" s="58"/>
      <c r="CB2071" s="68"/>
      <c r="CC2071" s="68"/>
      <c r="CD2071" s="68"/>
      <c r="CE2071" s="67"/>
      <c r="CH2071" s="94"/>
      <c r="CI2071" s="94"/>
      <c r="CM2071" s="65">
        <f>(CR2071*1000000)/(100*100*AD2071*AA2071/100*1000000)*100</f>
        <v>0.85971223021582743</v>
      </c>
      <c r="CN2071" s="65">
        <f>(CS2071*1000000)/(100*100*AD2071*AA2071/100*1000000)*100</f>
        <v>0.85971223021582743</v>
      </c>
      <c r="CR2071" s="67">
        <v>23.9</v>
      </c>
      <c r="CS2071" s="67">
        <v>23.9</v>
      </c>
      <c r="CV2071" s="65" t="s">
        <v>2052</v>
      </c>
      <c r="DA2071" s="65" t="s">
        <v>4463</v>
      </c>
      <c r="DB2071" s="65">
        <v>1.95</v>
      </c>
      <c r="DC2071" s="65">
        <v>1.95</v>
      </c>
      <c r="DF2071" s="65" t="s">
        <v>545</v>
      </c>
      <c r="GP2071" s="292" t="s">
        <v>7494</v>
      </c>
      <c r="JU2071" s="58" t="s">
        <v>2041</v>
      </c>
      <c r="JV2071" s="58" t="s">
        <v>2065</v>
      </c>
    </row>
    <row r="2072" spans="1:282" x14ac:dyDescent="0.25">
      <c r="A2072" s="55">
        <v>2071</v>
      </c>
      <c r="B2072" s="12" t="s">
        <v>7067</v>
      </c>
      <c r="C2072" s="157">
        <v>93</v>
      </c>
      <c r="D2072" s="59" t="s">
        <v>4117</v>
      </c>
      <c r="E2072" s="94" t="s">
        <v>741</v>
      </c>
      <c r="F2072" s="94"/>
      <c r="G2072" s="58" t="s">
        <v>2074</v>
      </c>
      <c r="H2072" s="58">
        <v>2002</v>
      </c>
      <c r="I2072" s="58">
        <v>1995</v>
      </c>
      <c r="J2072" s="58" t="s">
        <v>1709</v>
      </c>
      <c r="K2072" s="58" t="s">
        <v>1990</v>
      </c>
      <c r="L2072" s="58" t="s">
        <v>2737</v>
      </c>
      <c r="M2072" s="94">
        <v>32.57</v>
      </c>
      <c r="N2072" s="94">
        <v>-83.91</v>
      </c>
      <c r="O2072" s="94">
        <v>16</v>
      </c>
      <c r="P2072" s="58">
        <v>18.100000000000001</v>
      </c>
      <c r="Q2072" s="58"/>
      <c r="R2072" s="58">
        <v>1258</v>
      </c>
      <c r="S2072" s="94"/>
      <c r="T2072" s="58"/>
      <c r="U2072" s="58">
        <v>2</v>
      </c>
      <c r="V2072" s="58" t="s">
        <v>1940</v>
      </c>
      <c r="Y2072" s="58" t="s">
        <v>2058</v>
      </c>
      <c r="Z2072" s="58" t="s">
        <v>1346</v>
      </c>
      <c r="AA2072" s="94">
        <v>20</v>
      </c>
      <c r="AD2072" s="94">
        <v>1.39</v>
      </c>
      <c r="AE2072" s="94">
        <v>65</v>
      </c>
      <c r="AF2072" s="94">
        <v>25</v>
      </c>
      <c r="AG2072" s="94"/>
      <c r="AH2072" s="58" t="s">
        <v>238</v>
      </c>
      <c r="AI2072" s="169">
        <v>6.5</v>
      </c>
      <c r="AJ2072" s="94">
        <f>23.9/(100*100*AD2072*0.2)*100</f>
        <v>0.85971223021582732</v>
      </c>
      <c r="AK2072" s="94"/>
      <c r="AL2072" s="58"/>
      <c r="AM2072" s="58" t="s">
        <v>1994</v>
      </c>
      <c r="AN2072" s="186" t="s">
        <v>1991</v>
      </c>
      <c r="AO2072" s="185" t="s">
        <v>5150</v>
      </c>
      <c r="AP2072" s="58"/>
      <c r="AQ2072" s="58" t="s">
        <v>553</v>
      </c>
      <c r="AR2072" s="58" t="s">
        <v>1993</v>
      </c>
      <c r="AS2072" s="58" t="s">
        <v>1580</v>
      </c>
      <c r="AT2072" s="182" t="s">
        <v>1993</v>
      </c>
      <c r="AU2072" s="181" t="s">
        <v>5150</v>
      </c>
      <c r="AV2072" s="185" t="s">
        <v>176</v>
      </c>
      <c r="AW2072" s="58" t="s">
        <v>1993</v>
      </c>
      <c r="AX2072" s="185" t="s">
        <v>176</v>
      </c>
      <c r="AY2072" s="58" t="s">
        <v>176</v>
      </c>
      <c r="AZ2072" s="58" t="s">
        <v>1997</v>
      </c>
      <c r="BA2072" s="58" t="s">
        <v>1997</v>
      </c>
      <c r="BB2072" s="58" t="s">
        <v>2081</v>
      </c>
      <c r="BC2072" s="58" t="s">
        <v>2081</v>
      </c>
      <c r="BD2072" s="55" t="s">
        <v>176</v>
      </c>
      <c r="BE2072" s="236" t="s">
        <v>1992</v>
      </c>
      <c r="BF2072" s="191" t="s">
        <v>479</v>
      </c>
      <c r="BG2072" s="191" t="s">
        <v>479</v>
      </c>
      <c r="BH2072" s="236" t="s">
        <v>1992</v>
      </c>
      <c r="BI2072" s="191" t="s">
        <v>479</v>
      </c>
      <c r="BJ2072" s="55" t="s">
        <v>176</v>
      </c>
      <c r="BK2072" s="58" t="s">
        <v>5976</v>
      </c>
      <c r="BL2072" s="58"/>
      <c r="BM2072" s="237" t="s">
        <v>160</v>
      </c>
      <c r="BN2072" s="58">
        <v>4</v>
      </c>
      <c r="BO2072" s="58">
        <v>4</v>
      </c>
      <c r="BP2072" s="58">
        <v>4</v>
      </c>
      <c r="BQ2072" s="58" t="s">
        <v>141</v>
      </c>
      <c r="BR2072" s="58"/>
      <c r="BS2072" s="58"/>
      <c r="BT2072" s="58"/>
      <c r="BU2072" s="58"/>
      <c r="BV2072" s="58"/>
      <c r="CB2072" s="68"/>
      <c r="CC2072" s="68"/>
      <c r="CD2072" s="68"/>
      <c r="CE2072" s="67"/>
      <c r="CH2072" s="94"/>
      <c r="CI2072" s="94"/>
      <c r="CM2072" s="65">
        <f>(CR2072*1000000)/(100*100*AD2072*AA2072/100*1000000)*100</f>
        <v>0.88848920863309377</v>
      </c>
      <c r="CN2072" s="65">
        <f>(CS2072*1000000)/(100*100*AD2072*AA2072/100*1000000)*100</f>
        <v>0.88848920863309377</v>
      </c>
      <c r="CR2072" s="67">
        <v>24.7</v>
      </c>
      <c r="CS2072" s="67">
        <v>24.7</v>
      </c>
      <c r="CV2072" s="65" t="s">
        <v>2052</v>
      </c>
      <c r="DA2072" s="65" t="s">
        <v>4463</v>
      </c>
      <c r="DB2072" s="65">
        <v>2.04</v>
      </c>
      <c r="DC2072" s="65">
        <v>1.8</v>
      </c>
      <c r="DF2072" s="65" t="s">
        <v>545</v>
      </c>
      <c r="GP2072" s="292" t="s">
        <v>7494</v>
      </c>
      <c r="JU2072" s="58" t="s">
        <v>2041</v>
      </c>
      <c r="JV2072" s="58" t="s">
        <v>2065</v>
      </c>
    </row>
    <row r="2073" spans="1:282" x14ac:dyDescent="0.25">
      <c r="A2073" s="55">
        <v>2072</v>
      </c>
      <c r="B2073" s="12" t="s">
        <v>7067</v>
      </c>
      <c r="C2073" s="157">
        <v>93</v>
      </c>
      <c r="D2073" s="59" t="s">
        <v>4117</v>
      </c>
      <c r="E2073" s="94" t="s">
        <v>741</v>
      </c>
      <c r="F2073" s="94"/>
      <c r="G2073" s="58" t="s">
        <v>2074</v>
      </c>
      <c r="H2073" s="58">
        <v>2002</v>
      </c>
      <c r="I2073" s="58">
        <v>1996</v>
      </c>
      <c r="J2073" s="58" t="s">
        <v>1709</v>
      </c>
      <c r="K2073" s="58" t="s">
        <v>1990</v>
      </c>
      <c r="L2073" s="58" t="s">
        <v>2737</v>
      </c>
      <c r="M2073" s="94">
        <v>32.57</v>
      </c>
      <c r="N2073" s="94">
        <v>-83.91</v>
      </c>
      <c r="O2073" s="94">
        <v>16</v>
      </c>
      <c r="P2073" s="58">
        <v>18.100000000000001</v>
      </c>
      <c r="Q2073" s="58"/>
      <c r="R2073" s="58">
        <v>1258</v>
      </c>
      <c r="S2073" s="94"/>
      <c r="T2073" s="58"/>
      <c r="U2073" s="58">
        <v>3</v>
      </c>
      <c r="V2073" s="58" t="s">
        <v>1940</v>
      </c>
      <c r="Y2073" s="58" t="s">
        <v>2058</v>
      </c>
      <c r="Z2073" s="58" t="s">
        <v>1346</v>
      </c>
      <c r="AA2073" s="94">
        <v>20</v>
      </c>
      <c r="AD2073" s="94">
        <v>1.39</v>
      </c>
      <c r="AE2073" s="94">
        <v>65</v>
      </c>
      <c r="AF2073" s="94">
        <v>25</v>
      </c>
      <c r="AG2073" s="94"/>
      <c r="AH2073" s="58" t="s">
        <v>238</v>
      </c>
      <c r="AI2073" s="169">
        <v>6.5</v>
      </c>
      <c r="AJ2073" s="94">
        <f>23.9/(100*100*AD2073*0.2)*100</f>
        <v>0.85971223021582732</v>
      </c>
      <c r="AK2073" s="94"/>
      <c r="AL2073" s="58"/>
      <c r="AM2073" s="58" t="s">
        <v>1994</v>
      </c>
      <c r="AN2073" s="186" t="s">
        <v>1991</v>
      </c>
      <c r="AO2073" s="185" t="s">
        <v>5150</v>
      </c>
      <c r="AP2073" s="58"/>
      <c r="AQ2073" s="58" t="s">
        <v>553</v>
      </c>
      <c r="AR2073" s="58" t="s">
        <v>1993</v>
      </c>
      <c r="AS2073" s="58" t="s">
        <v>1580</v>
      </c>
      <c r="AT2073" s="182" t="s">
        <v>1993</v>
      </c>
      <c r="AU2073" s="181" t="s">
        <v>5150</v>
      </c>
      <c r="AV2073" s="185" t="s">
        <v>176</v>
      </c>
      <c r="AW2073" s="58" t="s">
        <v>1993</v>
      </c>
      <c r="AX2073" s="185" t="s">
        <v>176</v>
      </c>
      <c r="AY2073" s="58" t="s">
        <v>176</v>
      </c>
      <c r="AZ2073" s="58" t="s">
        <v>1997</v>
      </c>
      <c r="BA2073" s="58" t="s">
        <v>1997</v>
      </c>
      <c r="BB2073" s="58" t="s">
        <v>2081</v>
      </c>
      <c r="BC2073" s="58" t="s">
        <v>2081</v>
      </c>
      <c r="BD2073" s="55" t="s">
        <v>176</v>
      </c>
      <c r="BE2073" s="236" t="s">
        <v>1992</v>
      </c>
      <c r="BF2073" s="191" t="s">
        <v>479</v>
      </c>
      <c r="BG2073" s="191" t="s">
        <v>479</v>
      </c>
      <c r="BH2073" s="236" t="s">
        <v>1992</v>
      </c>
      <c r="BI2073" s="191" t="s">
        <v>479</v>
      </c>
      <c r="BJ2073" s="55" t="s">
        <v>176</v>
      </c>
      <c r="BK2073" s="58" t="s">
        <v>5976</v>
      </c>
      <c r="BL2073" s="58"/>
      <c r="BM2073" s="237" t="s">
        <v>160</v>
      </c>
      <c r="BN2073" s="58">
        <v>4</v>
      </c>
      <c r="BO2073" s="58">
        <v>4</v>
      </c>
      <c r="BP2073" s="58">
        <v>4</v>
      </c>
      <c r="BQ2073" s="58" t="s">
        <v>141</v>
      </c>
      <c r="BR2073" s="58"/>
      <c r="BU2073" s="58"/>
      <c r="BV2073" s="58"/>
      <c r="CB2073" s="68"/>
      <c r="CC2073" s="68"/>
      <c r="CD2073" s="68"/>
      <c r="CE2073" s="67"/>
      <c r="CH2073" s="94"/>
      <c r="CI2073" s="94"/>
      <c r="CM2073" s="65">
        <f>(CR2073*1000000)/(100*100*AD2073*AA2073/100*1000000)*100</f>
        <v>0.83453237410071945</v>
      </c>
      <c r="CN2073" s="65">
        <f>(CS2073*1000000)/(100*100*AD2073*AA2073/100*1000000)*100</f>
        <v>0.97482014388489224</v>
      </c>
      <c r="CR2073" s="67">
        <v>23.2</v>
      </c>
      <c r="CS2073" s="67">
        <v>27.1</v>
      </c>
      <c r="CV2073" s="65" t="s">
        <v>2052</v>
      </c>
      <c r="DA2073" s="65" t="s">
        <v>4463</v>
      </c>
      <c r="DB2073" s="65">
        <v>2.1800000000000002</v>
      </c>
      <c r="DC2073" s="65">
        <v>2.25</v>
      </c>
      <c r="DF2073" s="65" t="s">
        <v>545</v>
      </c>
      <c r="GP2073" s="292" t="s">
        <v>7494</v>
      </c>
      <c r="JU2073" s="58" t="s">
        <v>2041</v>
      </c>
      <c r="JV2073" s="58" t="s">
        <v>2065</v>
      </c>
    </row>
    <row r="2074" spans="1:282" x14ac:dyDescent="0.25">
      <c r="A2074" s="55">
        <v>2073</v>
      </c>
      <c r="B2074" s="12" t="s">
        <v>7067</v>
      </c>
      <c r="C2074" s="157">
        <v>93</v>
      </c>
      <c r="D2074" s="59" t="s">
        <v>4117</v>
      </c>
      <c r="E2074" s="94" t="s">
        <v>741</v>
      </c>
      <c r="F2074" s="94"/>
      <c r="G2074" s="58" t="s">
        <v>2074</v>
      </c>
      <c r="H2074" s="58">
        <v>2002</v>
      </c>
      <c r="I2074" s="58">
        <v>1997</v>
      </c>
      <c r="J2074" s="58" t="s">
        <v>1709</v>
      </c>
      <c r="K2074" s="58" t="s">
        <v>1990</v>
      </c>
      <c r="L2074" s="58" t="s">
        <v>2737</v>
      </c>
      <c r="M2074" s="94">
        <v>32.57</v>
      </c>
      <c r="N2074" s="94">
        <v>-83.91</v>
      </c>
      <c r="O2074" s="94">
        <v>16</v>
      </c>
      <c r="P2074" s="58">
        <v>18.100000000000001</v>
      </c>
      <c r="Q2074" s="58"/>
      <c r="R2074" s="58">
        <v>1258</v>
      </c>
      <c r="S2074" s="94"/>
      <c r="T2074" s="58"/>
      <c r="U2074" s="58">
        <v>4</v>
      </c>
      <c r="V2074" s="58" t="s">
        <v>1940</v>
      </c>
      <c r="Y2074" s="58" t="s">
        <v>2058</v>
      </c>
      <c r="Z2074" s="58" t="s">
        <v>1346</v>
      </c>
      <c r="AA2074" s="94">
        <v>20</v>
      </c>
      <c r="AD2074" s="94">
        <v>1.39</v>
      </c>
      <c r="AE2074" s="94">
        <v>65</v>
      </c>
      <c r="AF2074" s="94">
        <v>25</v>
      </c>
      <c r="AG2074" s="94"/>
      <c r="AH2074" s="58" t="s">
        <v>238</v>
      </c>
      <c r="AI2074" s="169">
        <v>6.5</v>
      </c>
      <c r="AJ2074" s="94">
        <f>23.9/(100*100*AD2074*0.2)*100</f>
        <v>0.85971223021582732</v>
      </c>
      <c r="AK2074" s="94"/>
      <c r="AL2074" s="58"/>
      <c r="AM2074" s="58" t="s">
        <v>1994</v>
      </c>
      <c r="AN2074" s="186" t="s">
        <v>1991</v>
      </c>
      <c r="AO2074" s="185" t="s">
        <v>5150</v>
      </c>
      <c r="AP2074" s="58"/>
      <c r="AQ2074" s="58" t="s">
        <v>553</v>
      </c>
      <c r="AR2074" s="58" t="s">
        <v>1993</v>
      </c>
      <c r="AS2074" s="58" t="s">
        <v>1580</v>
      </c>
      <c r="AT2074" s="182" t="s">
        <v>1993</v>
      </c>
      <c r="AU2074" s="181" t="s">
        <v>5150</v>
      </c>
      <c r="AV2074" s="185" t="s">
        <v>176</v>
      </c>
      <c r="AW2074" s="58" t="s">
        <v>1993</v>
      </c>
      <c r="AX2074" s="185" t="s">
        <v>176</v>
      </c>
      <c r="AY2074" s="58" t="s">
        <v>176</v>
      </c>
      <c r="AZ2074" s="58" t="s">
        <v>1997</v>
      </c>
      <c r="BA2074" s="58" t="s">
        <v>1997</v>
      </c>
      <c r="BB2074" s="58" t="s">
        <v>2081</v>
      </c>
      <c r="BC2074" s="58" t="s">
        <v>2081</v>
      </c>
      <c r="BD2074" s="55" t="s">
        <v>176</v>
      </c>
      <c r="BE2074" s="236" t="s">
        <v>1992</v>
      </c>
      <c r="BF2074" s="191" t="s">
        <v>479</v>
      </c>
      <c r="BG2074" s="191" t="s">
        <v>479</v>
      </c>
      <c r="BH2074" s="236" t="s">
        <v>1992</v>
      </c>
      <c r="BI2074" s="191" t="s">
        <v>479</v>
      </c>
      <c r="BJ2074" s="55" t="s">
        <v>176</v>
      </c>
      <c r="BK2074" s="58" t="s">
        <v>5976</v>
      </c>
      <c r="BL2074" s="58"/>
      <c r="BM2074" s="237" t="s">
        <v>160</v>
      </c>
      <c r="BN2074" s="58">
        <v>4</v>
      </c>
      <c r="BO2074" s="58">
        <v>4</v>
      </c>
      <c r="BP2074" s="58">
        <v>4</v>
      </c>
      <c r="BQ2074" s="58" t="s">
        <v>141</v>
      </c>
      <c r="BR2074" s="58"/>
      <c r="BS2074" s="58"/>
      <c r="BT2074" s="58"/>
      <c r="BU2074" s="58"/>
      <c r="BV2074" s="58"/>
      <c r="CB2074" s="68"/>
      <c r="CC2074" s="68"/>
      <c r="CD2074" s="68"/>
      <c r="CE2074" s="67"/>
      <c r="CH2074" s="94"/>
      <c r="CI2074" s="94"/>
      <c r="CM2074" s="65">
        <f>(CR2074*1000000)/(100*100*AD2074*AA2074/100*1000000)*100</f>
        <v>0.89208633093525191</v>
      </c>
      <c r="CN2074" s="65">
        <f>(CS2074*1000000)/(100*100*AD2074*AA2074/100*1000000)*100</f>
        <v>0.93525179856115115</v>
      </c>
      <c r="CR2074" s="67">
        <v>24.8</v>
      </c>
      <c r="CS2074" s="67">
        <v>26</v>
      </c>
      <c r="CV2074" s="65" t="s">
        <v>2052</v>
      </c>
      <c r="DA2074" s="65" t="s">
        <v>4463</v>
      </c>
      <c r="DB2074" s="65">
        <v>2.08</v>
      </c>
      <c r="DC2074" s="65">
        <v>2.25</v>
      </c>
      <c r="DF2074" s="65" t="s">
        <v>545</v>
      </c>
      <c r="GP2074" s="292" t="s">
        <v>7494</v>
      </c>
      <c r="JU2074" s="58" t="s">
        <v>2041</v>
      </c>
      <c r="JV2074" s="58" t="s">
        <v>2065</v>
      </c>
    </row>
    <row r="2075" spans="1:282" x14ac:dyDescent="0.25">
      <c r="A2075" s="55">
        <v>2074</v>
      </c>
      <c r="B2075" s="12" t="s">
        <v>7067</v>
      </c>
      <c r="C2075" s="157">
        <v>93</v>
      </c>
      <c r="D2075" s="59" t="s">
        <v>4117</v>
      </c>
      <c r="E2075" s="94" t="s">
        <v>741</v>
      </c>
      <c r="F2075" s="94"/>
      <c r="G2075" s="58" t="s">
        <v>2074</v>
      </c>
      <c r="H2075" s="58">
        <v>2002</v>
      </c>
      <c r="I2075" s="58">
        <v>1998</v>
      </c>
      <c r="J2075" s="58" t="s">
        <v>1709</v>
      </c>
      <c r="K2075" s="58" t="s">
        <v>1990</v>
      </c>
      <c r="L2075" s="58" t="s">
        <v>2737</v>
      </c>
      <c r="M2075" s="94">
        <v>32.57</v>
      </c>
      <c r="N2075" s="94">
        <v>-83.91</v>
      </c>
      <c r="O2075" s="94">
        <v>16</v>
      </c>
      <c r="P2075" s="58">
        <v>18.100000000000001</v>
      </c>
      <c r="Q2075" s="58"/>
      <c r="R2075" s="58">
        <v>1258</v>
      </c>
      <c r="S2075" s="94"/>
      <c r="T2075" s="58"/>
      <c r="U2075" s="58">
        <v>5</v>
      </c>
      <c r="V2075" s="58" t="s">
        <v>1940</v>
      </c>
      <c r="Y2075" s="58" t="s">
        <v>2058</v>
      </c>
      <c r="Z2075" s="58" t="s">
        <v>1346</v>
      </c>
      <c r="AA2075" s="94">
        <v>20</v>
      </c>
      <c r="AD2075" s="94">
        <v>1.39</v>
      </c>
      <c r="AE2075" s="94">
        <v>65</v>
      </c>
      <c r="AF2075" s="94">
        <v>25</v>
      </c>
      <c r="AG2075" s="94"/>
      <c r="AH2075" s="58" t="s">
        <v>238</v>
      </c>
      <c r="AI2075" s="169">
        <v>6.5</v>
      </c>
      <c r="AJ2075" s="94">
        <f>23.9/(100*100*AD2075*0.2)*100</f>
        <v>0.85971223021582732</v>
      </c>
      <c r="AK2075" s="94"/>
      <c r="AL2075" s="58"/>
      <c r="AM2075" s="58" t="s">
        <v>1994</v>
      </c>
      <c r="AN2075" s="186" t="s">
        <v>1991</v>
      </c>
      <c r="AO2075" s="185" t="s">
        <v>5150</v>
      </c>
      <c r="AP2075" s="58"/>
      <c r="AQ2075" s="58" t="s">
        <v>553</v>
      </c>
      <c r="AR2075" s="58" t="s">
        <v>1993</v>
      </c>
      <c r="AS2075" s="58" t="s">
        <v>1580</v>
      </c>
      <c r="AT2075" s="182" t="s">
        <v>1993</v>
      </c>
      <c r="AU2075" s="181" t="s">
        <v>5150</v>
      </c>
      <c r="AV2075" s="185" t="s">
        <v>176</v>
      </c>
      <c r="AW2075" s="58" t="s">
        <v>1993</v>
      </c>
      <c r="AX2075" s="185" t="s">
        <v>176</v>
      </c>
      <c r="AY2075" s="58" t="s">
        <v>176</v>
      </c>
      <c r="AZ2075" s="58" t="s">
        <v>1997</v>
      </c>
      <c r="BA2075" s="58" t="s">
        <v>1997</v>
      </c>
      <c r="BB2075" s="58" t="s">
        <v>2081</v>
      </c>
      <c r="BC2075" s="58" t="s">
        <v>2081</v>
      </c>
      <c r="BD2075" s="55" t="s">
        <v>176</v>
      </c>
      <c r="BE2075" s="236" t="s">
        <v>1992</v>
      </c>
      <c r="BF2075" s="191" t="s">
        <v>479</v>
      </c>
      <c r="BG2075" s="191" t="s">
        <v>479</v>
      </c>
      <c r="BH2075" s="236" t="s">
        <v>1992</v>
      </c>
      <c r="BI2075" s="191" t="s">
        <v>479</v>
      </c>
      <c r="BJ2075" s="55" t="s">
        <v>176</v>
      </c>
      <c r="BK2075" s="58" t="s">
        <v>5976</v>
      </c>
      <c r="BL2075" s="58"/>
      <c r="BM2075" s="237" t="s">
        <v>160</v>
      </c>
      <c r="BN2075" s="58">
        <v>4</v>
      </c>
      <c r="BO2075" s="58">
        <v>4</v>
      </c>
      <c r="BP2075" s="58">
        <v>4</v>
      </c>
      <c r="BQ2075" s="58" t="s">
        <v>141</v>
      </c>
      <c r="BR2075" s="58"/>
      <c r="BS2075" s="58"/>
      <c r="BT2075" s="58"/>
      <c r="BU2075" s="58"/>
      <c r="BV2075" s="58"/>
      <c r="CB2075" s="68"/>
      <c r="CC2075" s="68"/>
      <c r="CD2075" s="68"/>
      <c r="CE2075" s="67"/>
      <c r="CH2075" s="94"/>
      <c r="CI2075" s="94"/>
      <c r="CM2075" s="65">
        <f>(CR2075*1000000)/(100*100*AD2075*AA2075/100*1000000)*100</f>
        <v>0.85251798561151104</v>
      </c>
      <c r="CN2075" s="65">
        <f>(CS2075*1000000)/(100*100*AD2075*AA2075/100*1000000)*100</f>
        <v>0.74460431654676273</v>
      </c>
      <c r="CR2075" s="67">
        <v>23.7</v>
      </c>
      <c r="CS2075" s="67">
        <v>20.7</v>
      </c>
      <c r="CV2075" s="65" t="s">
        <v>2052</v>
      </c>
      <c r="DA2075" s="65" t="s">
        <v>4463</v>
      </c>
      <c r="DB2075" s="65">
        <v>1.73</v>
      </c>
      <c r="DC2075" s="65">
        <v>1.51</v>
      </c>
      <c r="DF2075" s="65" t="s">
        <v>545</v>
      </c>
      <c r="GP2075" s="292" t="s">
        <v>7494</v>
      </c>
      <c r="JU2075" s="58" t="s">
        <v>2041</v>
      </c>
      <c r="JV2075" s="58" t="s">
        <v>2065</v>
      </c>
    </row>
    <row r="2076" spans="1:282" x14ac:dyDescent="0.25">
      <c r="A2076" s="55">
        <v>2075</v>
      </c>
      <c r="B2076" s="12" t="s">
        <v>7067</v>
      </c>
      <c r="C2076" s="157">
        <v>93</v>
      </c>
      <c r="D2076" s="59" t="s">
        <v>4117</v>
      </c>
      <c r="E2076" s="94" t="s">
        <v>741</v>
      </c>
      <c r="F2076" s="94"/>
      <c r="G2076" s="58" t="s">
        <v>2074</v>
      </c>
      <c r="H2076" s="58">
        <v>2002</v>
      </c>
      <c r="I2076" s="58">
        <v>1999</v>
      </c>
      <c r="J2076" s="58" t="s">
        <v>1709</v>
      </c>
      <c r="K2076" s="58" t="s">
        <v>1990</v>
      </c>
      <c r="L2076" s="58" t="s">
        <v>2737</v>
      </c>
      <c r="M2076" s="94">
        <v>32.57</v>
      </c>
      <c r="N2076" s="94">
        <v>-83.91</v>
      </c>
      <c r="O2076" s="94">
        <v>16</v>
      </c>
      <c r="P2076" s="58">
        <v>18.100000000000001</v>
      </c>
      <c r="Q2076" s="58"/>
      <c r="R2076" s="58">
        <v>1258</v>
      </c>
      <c r="S2076" s="94"/>
      <c r="T2076" s="58"/>
      <c r="U2076" s="58">
        <v>6</v>
      </c>
      <c r="V2076" s="58" t="s">
        <v>1940</v>
      </c>
      <c r="Y2076" s="58" t="s">
        <v>2058</v>
      </c>
      <c r="Z2076" s="58" t="s">
        <v>1346</v>
      </c>
      <c r="AA2076" s="94">
        <v>20</v>
      </c>
      <c r="AD2076" s="94">
        <v>1.39</v>
      </c>
      <c r="AE2076" s="94">
        <v>65</v>
      </c>
      <c r="AF2076" s="94">
        <v>25</v>
      </c>
      <c r="AG2076" s="94"/>
      <c r="AH2076" s="58" t="s">
        <v>238</v>
      </c>
      <c r="AI2076" s="169">
        <v>6.5</v>
      </c>
      <c r="AJ2076" s="94">
        <f>23.9/(100*100*AD2076*0.2)*100</f>
        <v>0.85971223021582732</v>
      </c>
      <c r="AK2076" s="94"/>
      <c r="AL2076" s="58"/>
      <c r="AM2076" s="58" t="s">
        <v>1994</v>
      </c>
      <c r="AN2076" s="186" t="s">
        <v>1991</v>
      </c>
      <c r="AO2076" s="185" t="s">
        <v>5150</v>
      </c>
      <c r="AP2076" s="58"/>
      <c r="AQ2076" s="58" t="s">
        <v>553</v>
      </c>
      <c r="AR2076" s="58" t="s">
        <v>2062</v>
      </c>
      <c r="AS2076" s="58" t="s">
        <v>1580</v>
      </c>
      <c r="AT2076" s="182" t="s">
        <v>1993</v>
      </c>
      <c r="AU2076" s="181" t="s">
        <v>5150</v>
      </c>
      <c r="AV2076" s="185" t="s">
        <v>176</v>
      </c>
      <c r="AW2076" s="58" t="s">
        <v>1993</v>
      </c>
      <c r="AX2076" s="185" t="s">
        <v>176</v>
      </c>
      <c r="AY2076" s="58" t="s">
        <v>176</v>
      </c>
      <c r="AZ2076" s="58" t="s">
        <v>1997</v>
      </c>
      <c r="BA2076" s="58" t="s">
        <v>1997</v>
      </c>
      <c r="BB2076" s="58" t="s">
        <v>2081</v>
      </c>
      <c r="BC2076" s="58" t="s">
        <v>2081</v>
      </c>
      <c r="BD2076" s="55" t="s">
        <v>176</v>
      </c>
      <c r="BE2076" s="236" t="s">
        <v>1992</v>
      </c>
      <c r="BF2076" s="191" t="s">
        <v>479</v>
      </c>
      <c r="BG2076" s="191" t="s">
        <v>479</v>
      </c>
      <c r="BH2076" s="236" t="s">
        <v>1992</v>
      </c>
      <c r="BI2076" s="191" t="s">
        <v>479</v>
      </c>
      <c r="BJ2076" s="55" t="s">
        <v>176</v>
      </c>
      <c r="BK2076" s="58" t="s">
        <v>5976</v>
      </c>
      <c r="BL2076" s="58"/>
      <c r="BM2076" s="237" t="s">
        <v>160</v>
      </c>
      <c r="BN2076" s="58">
        <v>4</v>
      </c>
      <c r="BO2076" s="58">
        <v>4</v>
      </c>
      <c r="BP2076" s="58">
        <v>4</v>
      </c>
      <c r="BQ2076" s="58" t="s">
        <v>141</v>
      </c>
      <c r="BR2076" s="58"/>
      <c r="BS2076" s="58"/>
      <c r="BT2076" s="58"/>
      <c r="BU2076" s="58"/>
      <c r="BV2076" s="58"/>
      <c r="CB2076" s="68"/>
      <c r="CC2076" s="68"/>
      <c r="CD2076" s="68"/>
      <c r="CE2076" s="67"/>
      <c r="CH2076" s="94"/>
      <c r="CI2076" s="94"/>
      <c r="CM2076" s="65">
        <f>(CR2076*1000000)/(100*100*AD2076*AA2076/100*1000000)*100</f>
        <v>0.73021582733812962</v>
      </c>
      <c r="CN2076" s="65">
        <f>(CS2076*1000000)/(100*100*AD2076*AA2076/100*1000000)*100</f>
        <v>0.7158273381294965</v>
      </c>
      <c r="CR2076" s="67">
        <v>20.3</v>
      </c>
      <c r="CS2076" s="67">
        <v>19.899999999999999</v>
      </c>
      <c r="CV2076" s="65" t="s">
        <v>2052</v>
      </c>
      <c r="DA2076" s="65" t="s">
        <v>4463</v>
      </c>
      <c r="DB2076" s="65">
        <v>1.45</v>
      </c>
      <c r="DC2076" s="65">
        <v>1.55</v>
      </c>
      <c r="DF2076" s="65" t="s">
        <v>545</v>
      </c>
      <c r="GP2076" s="292" t="s">
        <v>7494</v>
      </c>
      <c r="JU2076" s="58" t="s">
        <v>2041</v>
      </c>
      <c r="JV2076" s="58" t="s">
        <v>2065</v>
      </c>
    </row>
    <row r="2077" spans="1:282" x14ac:dyDescent="0.25">
      <c r="A2077" s="55">
        <v>2076</v>
      </c>
      <c r="B2077" s="12" t="s">
        <v>7067</v>
      </c>
      <c r="C2077" s="157">
        <v>93</v>
      </c>
      <c r="D2077" s="59" t="s">
        <v>4115</v>
      </c>
      <c r="E2077" s="94" t="s">
        <v>741</v>
      </c>
      <c r="F2077" s="94"/>
      <c r="G2077" s="58" t="s">
        <v>2074</v>
      </c>
      <c r="H2077" s="58">
        <v>2002</v>
      </c>
      <c r="I2077" s="58">
        <v>1994</v>
      </c>
      <c r="J2077" s="58" t="s">
        <v>1709</v>
      </c>
      <c r="K2077" s="58" t="s">
        <v>1990</v>
      </c>
      <c r="L2077" s="58" t="s">
        <v>2737</v>
      </c>
      <c r="M2077" s="94">
        <v>32.57</v>
      </c>
      <c r="N2077" s="94">
        <v>-83.91</v>
      </c>
      <c r="O2077" s="94">
        <v>16</v>
      </c>
      <c r="P2077" s="58">
        <v>18.100000000000001</v>
      </c>
      <c r="Q2077" s="58"/>
      <c r="R2077" s="58">
        <v>1258</v>
      </c>
      <c r="S2077" s="94"/>
      <c r="T2077" s="58"/>
      <c r="U2077" s="58">
        <v>1</v>
      </c>
      <c r="V2077" s="58" t="s">
        <v>1940</v>
      </c>
      <c r="Y2077" s="58" t="s">
        <v>2058</v>
      </c>
      <c r="Z2077" s="58" t="s">
        <v>1346</v>
      </c>
      <c r="AA2077" s="94">
        <v>20</v>
      </c>
      <c r="AD2077" s="94">
        <v>1.39</v>
      </c>
      <c r="AE2077" s="94">
        <v>65</v>
      </c>
      <c r="AF2077" s="94">
        <v>25</v>
      </c>
      <c r="AG2077" s="94"/>
      <c r="AH2077" s="58" t="s">
        <v>238</v>
      </c>
      <c r="AI2077" s="169">
        <v>6.5</v>
      </c>
      <c r="AJ2077" s="94">
        <f>23.9/(100*100*AD2077*0.2)*100</f>
        <v>0.85971223021582732</v>
      </c>
      <c r="AK2077" s="94"/>
      <c r="AL2077" s="58"/>
      <c r="AM2077" s="58" t="s">
        <v>1994</v>
      </c>
      <c r="AN2077" s="186" t="s">
        <v>1991</v>
      </c>
      <c r="AO2077" s="185" t="s">
        <v>5150</v>
      </c>
      <c r="AP2077" s="58"/>
      <c r="AQ2077" s="58" t="s">
        <v>553</v>
      </c>
      <c r="AR2077" s="58" t="s">
        <v>1993</v>
      </c>
      <c r="AS2077" s="58" t="s">
        <v>1580</v>
      </c>
      <c r="AT2077" s="182" t="s">
        <v>1993</v>
      </c>
      <c r="AU2077" s="181" t="s">
        <v>5150</v>
      </c>
      <c r="AV2077" s="185" t="s">
        <v>176</v>
      </c>
      <c r="AW2077" s="58" t="s">
        <v>1993</v>
      </c>
      <c r="AX2077" s="185" t="s">
        <v>176</v>
      </c>
      <c r="AY2077" s="58" t="s">
        <v>176</v>
      </c>
      <c r="AZ2077" s="58" t="s">
        <v>2068</v>
      </c>
      <c r="BA2077" s="58" t="s">
        <v>2068</v>
      </c>
      <c r="BB2077" s="58" t="s">
        <v>2081</v>
      </c>
      <c r="BC2077" s="58" t="s">
        <v>2081</v>
      </c>
      <c r="BD2077" s="55" t="s">
        <v>176</v>
      </c>
      <c r="BE2077" s="236" t="s">
        <v>1996</v>
      </c>
      <c r="BF2077" s="191" t="s">
        <v>176</v>
      </c>
      <c r="BG2077" s="191" t="s">
        <v>176</v>
      </c>
      <c r="BH2077" s="236" t="s">
        <v>1996</v>
      </c>
      <c r="BI2077" s="191" t="s">
        <v>176</v>
      </c>
      <c r="BJ2077" s="55" t="s">
        <v>176</v>
      </c>
      <c r="BK2077" s="58" t="s">
        <v>5976</v>
      </c>
      <c r="BL2077" s="58"/>
      <c r="BM2077" s="237" t="s">
        <v>160</v>
      </c>
      <c r="BN2077" s="58">
        <v>4</v>
      </c>
      <c r="BO2077" s="58">
        <v>4</v>
      </c>
      <c r="BP2077" s="58">
        <v>4</v>
      </c>
      <c r="BQ2077" s="58" t="s">
        <v>141</v>
      </c>
      <c r="BR2077" s="58"/>
      <c r="BU2077" s="58"/>
      <c r="BV2077" s="58"/>
      <c r="CB2077" s="68"/>
      <c r="CC2077" s="68"/>
      <c r="CD2077" s="68"/>
      <c r="CE2077" s="67"/>
      <c r="CH2077" s="94"/>
      <c r="CI2077" s="94"/>
      <c r="CM2077" s="65">
        <f>(CR2077*1000000)/(100*100*AD2077*AA2077/100*1000000)*100</f>
        <v>0.85971223021582743</v>
      </c>
      <c r="CN2077" s="65">
        <f>(CS2077*1000000)/(100*100*AD2077*AA2077/100*1000000)*100</f>
        <v>0.85971223021582743</v>
      </c>
      <c r="CR2077" s="67">
        <v>23.9</v>
      </c>
      <c r="CS2077" s="67">
        <v>23.9</v>
      </c>
      <c r="CV2077" s="65" t="s">
        <v>2052</v>
      </c>
      <c r="DA2077" s="65" t="s">
        <v>4463</v>
      </c>
      <c r="DB2077" s="65">
        <v>1.95</v>
      </c>
      <c r="DC2077" s="65">
        <v>1.95</v>
      </c>
      <c r="DF2077" s="65" t="s">
        <v>545</v>
      </c>
      <c r="GP2077" s="292" t="s">
        <v>7494</v>
      </c>
      <c r="JU2077" s="58" t="s">
        <v>2041</v>
      </c>
      <c r="JV2077" s="58" t="s">
        <v>2065</v>
      </c>
    </row>
    <row r="2078" spans="1:282" x14ac:dyDescent="0.25">
      <c r="A2078" s="55">
        <v>2077</v>
      </c>
      <c r="B2078" s="12" t="s">
        <v>7067</v>
      </c>
      <c r="C2078" s="157">
        <v>93</v>
      </c>
      <c r="D2078" s="59" t="s">
        <v>4115</v>
      </c>
      <c r="E2078" s="94" t="s">
        <v>741</v>
      </c>
      <c r="F2078" s="94"/>
      <c r="G2078" s="58" t="s">
        <v>2074</v>
      </c>
      <c r="H2078" s="58">
        <v>2002</v>
      </c>
      <c r="I2078" s="58">
        <v>1995</v>
      </c>
      <c r="J2078" s="58" t="s">
        <v>1709</v>
      </c>
      <c r="K2078" s="58" t="s">
        <v>1990</v>
      </c>
      <c r="L2078" s="58" t="s">
        <v>2737</v>
      </c>
      <c r="M2078" s="94">
        <v>32.57</v>
      </c>
      <c r="N2078" s="94">
        <v>-83.91</v>
      </c>
      <c r="O2078" s="94">
        <v>16</v>
      </c>
      <c r="P2078" s="58">
        <v>18.100000000000001</v>
      </c>
      <c r="Q2078" s="58"/>
      <c r="R2078" s="58">
        <v>1258</v>
      </c>
      <c r="S2078" s="94"/>
      <c r="T2078" s="58"/>
      <c r="U2078" s="58">
        <v>2</v>
      </c>
      <c r="V2078" s="58" t="s">
        <v>1940</v>
      </c>
      <c r="Y2078" s="58" t="s">
        <v>2058</v>
      </c>
      <c r="Z2078" s="58" t="s">
        <v>1346</v>
      </c>
      <c r="AA2078" s="94">
        <v>20</v>
      </c>
      <c r="AD2078" s="94">
        <v>1.39</v>
      </c>
      <c r="AE2078" s="94">
        <v>65</v>
      </c>
      <c r="AF2078" s="94">
        <v>25</v>
      </c>
      <c r="AG2078" s="94"/>
      <c r="AH2078" s="58" t="s">
        <v>238</v>
      </c>
      <c r="AI2078" s="169">
        <v>6.5</v>
      </c>
      <c r="AJ2078" s="94">
        <f>23.9/(100*100*AD2078*0.2)*100</f>
        <v>0.85971223021582732</v>
      </c>
      <c r="AK2078" s="94"/>
      <c r="AL2078" s="58"/>
      <c r="AM2078" s="58" t="s">
        <v>1994</v>
      </c>
      <c r="AN2078" s="186" t="s">
        <v>1991</v>
      </c>
      <c r="AO2078" s="185" t="s">
        <v>5150</v>
      </c>
      <c r="AP2078" s="58"/>
      <c r="AQ2078" s="58" t="s">
        <v>553</v>
      </c>
      <c r="AR2078" s="58" t="s">
        <v>1993</v>
      </c>
      <c r="AS2078" s="58" t="s">
        <v>1580</v>
      </c>
      <c r="AT2078" s="182" t="s">
        <v>1993</v>
      </c>
      <c r="AU2078" s="181" t="s">
        <v>5150</v>
      </c>
      <c r="AV2078" s="185" t="s">
        <v>176</v>
      </c>
      <c r="AW2078" s="58" t="s">
        <v>1993</v>
      </c>
      <c r="AX2078" s="185" t="s">
        <v>176</v>
      </c>
      <c r="AY2078" s="58" t="s">
        <v>176</v>
      </c>
      <c r="AZ2078" s="58" t="s">
        <v>2068</v>
      </c>
      <c r="BA2078" s="58" t="s">
        <v>2068</v>
      </c>
      <c r="BB2078" s="58" t="s">
        <v>2081</v>
      </c>
      <c r="BC2078" s="58" t="s">
        <v>2081</v>
      </c>
      <c r="BD2078" s="55" t="s">
        <v>176</v>
      </c>
      <c r="BE2078" s="236" t="s">
        <v>1996</v>
      </c>
      <c r="BF2078" s="191" t="s">
        <v>176</v>
      </c>
      <c r="BG2078" s="191" t="s">
        <v>176</v>
      </c>
      <c r="BH2078" s="236" t="s">
        <v>1996</v>
      </c>
      <c r="BI2078" s="191" t="s">
        <v>176</v>
      </c>
      <c r="BJ2078" s="55" t="s">
        <v>176</v>
      </c>
      <c r="BK2078" s="58" t="s">
        <v>5976</v>
      </c>
      <c r="BL2078" s="58"/>
      <c r="BM2078" s="237" t="s">
        <v>160</v>
      </c>
      <c r="BN2078" s="58">
        <v>4</v>
      </c>
      <c r="BO2078" s="58">
        <v>4</v>
      </c>
      <c r="BP2078" s="58">
        <v>4</v>
      </c>
      <c r="BQ2078" s="58" t="s">
        <v>141</v>
      </c>
      <c r="BR2078" s="58"/>
      <c r="BS2078" s="58"/>
      <c r="BT2078" s="58"/>
      <c r="BU2078" s="58"/>
      <c r="BV2078" s="58"/>
      <c r="CB2078" s="68"/>
      <c r="CC2078" s="68"/>
      <c r="CD2078" s="68"/>
      <c r="CE2078" s="67"/>
      <c r="CH2078" s="94"/>
      <c r="CI2078" s="94"/>
      <c r="CM2078" s="65">
        <f>(CR2078*1000000)/(100*100*AD2078*AA2078/100*1000000)*100</f>
        <v>0.73381294964028787</v>
      </c>
      <c r="CN2078" s="65">
        <f>(CS2078*1000000)/(100*100*AD2078*AA2078/100*1000000)*100</f>
        <v>0.69784172661870514</v>
      </c>
      <c r="CR2078" s="67">
        <v>20.399999999999999</v>
      </c>
      <c r="CS2078" s="67">
        <v>19.399999999999999</v>
      </c>
      <c r="CV2078" s="65" t="s">
        <v>2052</v>
      </c>
      <c r="DA2078" s="65" t="s">
        <v>4463</v>
      </c>
      <c r="DB2078" s="65">
        <v>1.99</v>
      </c>
      <c r="DC2078" s="65">
        <v>1.45</v>
      </c>
      <c r="DF2078" s="65" t="s">
        <v>545</v>
      </c>
      <c r="GP2078" s="292" t="s">
        <v>7494</v>
      </c>
      <c r="JU2078" s="58" t="s">
        <v>2041</v>
      </c>
      <c r="JV2078" s="58" t="s">
        <v>2065</v>
      </c>
    </row>
    <row r="2079" spans="1:282" x14ac:dyDescent="0.25">
      <c r="A2079" s="55">
        <v>2078</v>
      </c>
      <c r="B2079" s="12" t="s">
        <v>7067</v>
      </c>
      <c r="C2079" s="157">
        <v>93</v>
      </c>
      <c r="D2079" s="59" t="s">
        <v>4115</v>
      </c>
      <c r="E2079" s="94" t="s">
        <v>741</v>
      </c>
      <c r="F2079" s="94"/>
      <c r="G2079" s="58" t="s">
        <v>2074</v>
      </c>
      <c r="H2079" s="58">
        <v>2002</v>
      </c>
      <c r="I2079" s="58">
        <v>1996</v>
      </c>
      <c r="J2079" s="58" t="s">
        <v>1709</v>
      </c>
      <c r="K2079" s="58" t="s">
        <v>1990</v>
      </c>
      <c r="L2079" s="58" t="s">
        <v>2737</v>
      </c>
      <c r="M2079" s="94">
        <v>32.57</v>
      </c>
      <c r="N2079" s="94">
        <v>-83.91</v>
      </c>
      <c r="O2079" s="94">
        <v>16</v>
      </c>
      <c r="P2079" s="58">
        <v>18.100000000000001</v>
      </c>
      <c r="Q2079" s="58"/>
      <c r="R2079" s="58">
        <v>1258</v>
      </c>
      <c r="S2079" s="94"/>
      <c r="T2079" s="58"/>
      <c r="U2079" s="58">
        <v>3</v>
      </c>
      <c r="V2079" s="58" t="s">
        <v>1940</v>
      </c>
      <c r="Y2079" s="58" t="s">
        <v>2058</v>
      </c>
      <c r="Z2079" s="58" t="s">
        <v>1346</v>
      </c>
      <c r="AA2079" s="94">
        <v>20</v>
      </c>
      <c r="AD2079" s="94">
        <v>1.39</v>
      </c>
      <c r="AE2079" s="94">
        <v>65</v>
      </c>
      <c r="AF2079" s="94">
        <v>25</v>
      </c>
      <c r="AG2079" s="94"/>
      <c r="AH2079" s="58" t="s">
        <v>238</v>
      </c>
      <c r="AI2079" s="169">
        <v>6.5</v>
      </c>
      <c r="AJ2079" s="94">
        <f>23.9/(100*100*AD2079*0.2)*100</f>
        <v>0.85971223021582732</v>
      </c>
      <c r="AK2079" s="94"/>
      <c r="AL2079" s="58"/>
      <c r="AM2079" s="58" t="s">
        <v>1994</v>
      </c>
      <c r="AN2079" s="186" t="s">
        <v>1991</v>
      </c>
      <c r="AO2079" s="185" t="s">
        <v>5150</v>
      </c>
      <c r="AP2079" s="58"/>
      <c r="AQ2079" s="58" t="s">
        <v>553</v>
      </c>
      <c r="AR2079" s="58" t="s">
        <v>1993</v>
      </c>
      <c r="AS2079" s="58" t="s">
        <v>1580</v>
      </c>
      <c r="AT2079" s="182" t="s">
        <v>1993</v>
      </c>
      <c r="AU2079" s="181" t="s">
        <v>5150</v>
      </c>
      <c r="AV2079" s="185" t="s">
        <v>176</v>
      </c>
      <c r="AW2079" s="58" t="s">
        <v>1993</v>
      </c>
      <c r="AX2079" s="185" t="s">
        <v>176</v>
      </c>
      <c r="AY2079" s="58" t="s">
        <v>176</v>
      </c>
      <c r="AZ2079" s="58" t="s">
        <v>2068</v>
      </c>
      <c r="BA2079" s="58" t="s">
        <v>2068</v>
      </c>
      <c r="BB2079" s="58" t="s">
        <v>2081</v>
      </c>
      <c r="BC2079" s="58" t="s">
        <v>2081</v>
      </c>
      <c r="BD2079" s="55" t="s">
        <v>176</v>
      </c>
      <c r="BE2079" s="236" t="s">
        <v>1996</v>
      </c>
      <c r="BF2079" s="191" t="s">
        <v>176</v>
      </c>
      <c r="BG2079" s="191" t="s">
        <v>176</v>
      </c>
      <c r="BH2079" s="236" t="s">
        <v>1996</v>
      </c>
      <c r="BI2079" s="191" t="s">
        <v>176</v>
      </c>
      <c r="BJ2079" s="55" t="s">
        <v>176</v>
      </c>
      <c r="BK2079" s="58" t="s">
        <v>5976</v>
      </c>
      <c r="BL2079" s="58"/>
      <c r="BM2079" s="237" t="s">
        <v>160</v>
      </c>
      <c r="BN2079" s="58">
        <v>4</v>
      </c>
      <c r="BO2079" s="58">
        <v>4</v>
      </c>
      <c r="BP2079" s="58">
        <v>4</v>
      </c>
      <c r="BQ2079" s="58" t="s">
        <v>141</v>
      </c>
      <c r="BR2079" s="58"/>
      <c r="BU2079" s="58"/>
      <c r="BV2079" s="58"/>
      <c r="CB2079" s="68"/>
      <c r="CC2079" s="68"/>
      <c r="CD2079" s="68"/>
      <c r="CE2079" s="67"/>
      <c r="CH2079" s="94"/>
      <c r="CI2079" s="94"/>
      <c r="CM2079" s="65">
        <f>(CR2079*1000000)/(100*100*AD2079*AA2079/100*1000000)*100</f>
        <v>0.75899280575539585</v>
      </c>
      <c r="CN2079" s="65">
        <f>(CS2079*1000000)/(100*100*AD2079*AA2079/100*1000000)*100</f>
        <v>0.83453237410071945</v>
      </c>
      <c r="CR2079" s="67">
        <v>21.1</v>
      </c>
      <c r="CS2079" s="67">
        <v>23.2</v>
      </c>
      <c r="CV2079" s="65" t="s">
        <v>2052</v>
      </c>
      <c r="DA2079" s="65" t="s">
        <v>4463</v>
      </c>
      <c r="DB2079" s="65">
        <v>1.98</v>
      </c>
      <c r="DC2079" s="65">
        <v>2.0099999999999998</v>
      </c>
      <c r="DF2079" s="65" t="s">
        <v>545</v>
      </c>
      <c r="GP2079" s="292" t="s">
        <v>7494</v>
      </c>
      <c r="JU2079" s="58" t="s">
        <v>2041</v>
      </c>
      <c r="JV2079" s="58" t="s">
        <v>2065</v>
      </c>
    </row>
    <row r="2080" spans="1:282" x14ac:dyDescent="0.25">
      <c r="A2080" s="55">
        <v>2079</v>
      </c>
      <c r="B2080" s="12" t="s">
        <v>7067</v>
      </c>
      <c r="C2080" s="157">
        <v>93</v>
      </c>
      <c r="D2080" s="59" t="s">
        <v>4115</v>
      </c>
      <c r="E2080" s="94" t="s">
        <v>741</v>
      </c>
      <c r="F2080" s="94"/>
      <c r="G2080" s="58" t="s">
        <v>2074</v>
      </c>
      <c r="H2080" s="58">
        <v>2002</v>
      </c>
      <c r="I2080" s="58">
        <v>1997</v>
      </c>
      <c r="J2080" s="58" t="s">
        <v>1709</v>
      </c>
      <c r="K2080" s="58" t="s">
        <v>1990</v>
      </c>
      <c r="L2080" s="58" t="s">
        <v>2737</v>
      </c>
      <c r="M2080" s="94">
        <v>32.57</v>
      </c>
      <c r="N2080" s="94">
        <v>-83.91</v>
      </c>
      <c r="O2080" s="94">
        <v>16</v>
      </c>
      <c r="P2080" s="58">
        <v>18.100000000000001</v>
      </c>
      <c r="Q2080" s="58"/>
      <c r="R2080" s="58">
        <v>1258</v>
      </c>
      <c r="S2080" s="94"/>
      <c r="T2080" s="58"/>
      <c r="U2080" s="58">
        <v>4</v>
      </c>
      <c r="V2080" s="58" t="s">
        <v>1940</v>
      </c>
      <c r="Y2080" s="58" t="s">
        <v>2058</v>
      </c>
      <c r="Z2080" s="58" t="s">
        <v>1346</v>
      </c>
      <c r="AA2080" s="94">
        <v>20</v>
      </c>
      <c r="AD2080" s="94">
        <v>1.39</v>
      </c>
      <c r="AE2080" s="94">
        <v>65</v>
      </c>
      <c r="AF2080" s="94">
        <v>25</v>
      </c>
      <c r="AG2080" s="94"/>
      <c r="AH2080" s="58" t="s">
        <v>238</v>
      </c>
      <c r="AI2080" s="169">
        <v>6.5</v>
      </c>
      <c r="AJ2080" s="94">
        <f>23.9/(100*100*AD2080*0.2)*100</f>
        <v>0.85971223021582732</v>
      </c>
      <c r="AK2080" s="94"/>
      <c r="AL2080" s="58"/>
      <c r="AM2080" s="58" t="s">
        <v>1994</v>
      </c>
      <c r="AN2080" s="186" t="s">
        <v>1991</v>
      </c>
      <c r="AO2080" s="185" t="s">
        <v>5150</v>
      </c>
      <c r="AP2080" s="58"/>
      <c r="AQ2080" s="58" t="s">
        <v>553</v>
      </c>
      <c r="AR2080" s="58" t="s">
        <v>1993</v>
      </c>
      <c r="AS2080" s="58" t="s">
        <v>1580</v>
      </c>
      <c r="AT2080" s="182" t="s">
        <v>1993</v>
      </c>
      <c r="AU2080" s="181" t="s">
        <v>5150</v>
      </c>
      <c r="AV2080" s="185" t="s">
        <v>176</v>
      </c>
      <c r="AW2080" s="58" t="s">
        <v>1993</v>
      </c>
      <c r="AX2080" s="185" t="s">
        <v>176</v>
      </c>
      <c r="AY2080" s="58" t="s">
        <v>176</v>
      </c>
      <c r="AZ2080" s="58" t="s">
        <v>2068</v>
      </c>
      <c r="BA2080" s="58" t="s">
        <v>2068</v>
      </c>
      <c r="BB2080" s="58" t="s">
        <v>2081</v>
      </c>
      <c r="BC2080" s="58" t="s">
        <v>2081</v>
      </c>
      <c r="BD2080" s="55" t="s">
        <v>176</v>
      </c>
      <c r="BE2080" s="236" t="s">
        <v>1996</v>
      </c>
      <c r="BF2080" s="191" t="s">
        <v>176</v>
      </c>
      <c r="BG2080" s="191" t="s">
        <v>176</v>
      </c>
      <c r="BH2080" s="236" t="s">
        <v>1996</v>
      </c>
      <c r="BI2080" s="191" t="s">
        <v>176</v>
      </c>
      <c r="BJ2080" s="55" t="s">
        <v>176</v>
      </c>
      <c r="BK2080" s="58" t="s">
        <v>5976</v>
      </c>
      <c r="BL2080" s="58"/>
      <c r="BM2080" s="237" t="s">
        <v>160</v>
      </c>
      <c r="BN2080" s="58">
        <v>4</v>
      </c>
      <c r="BO2080" s="58">
        <v>4</v>
      </c>
      <c r="BP2080" s="58">
        <v>4</v>
      </c>
      <c r="BQ2080" s="58" t="s">
        <v>141</v>
      </c>
      <c r="BR2080" s="58"/>
      <c r="BS2080" s="58"/>
      <c r="BT2080" s="58"/>
      <c r="BU2080" s="58"/>
      <c r="BV2080" s="58"/>
      <c r="CB2080" s="68"/>
      <c r="CC2080" s="68"/>
      <c r="CD2080" s="68"/>
      <c r="CE2080" s="67"/>
      <c r="CH2080" s="94"/>
      <c r="CI2080" s="94"/>
      <c r="CM2080" s="65">
        <f>(CR2080*1000000)/(100*100*AD2080*AA2080/100*1000000)*100</f>
        <v>0.70143884892086339</v>
      </c>
      <c r="CN2080" s="65">
        <f>(CS2080*1000000)/(100*100*AD2080*AA2080/100*1000000)*100</f>
        <v>0.69784172661870514</v>
      </c>
      <c r="CR2080" s="67">
        <v>19.5</v>
      </c>
      <c r="CS2080" s="67">
        <v>19.399999999999999</v>
      </c>
      <c r="CV2080" s="65" t="s">
        <v>2052</v>
      </c>
      <c r="DA2080" s="65" t="s">
        <v>4463</v>
      </c>
      <c r="DB2080" s="65">
        <v>1.44</v>
      </c>
      <c r="DC2080" s="65">
        <v>1.52</v>
      </c>
      <c r="DF2080" s="65" t="s">
        <v>545</v>
      </c>
      <c r="GP2080" s="292" t="s">
        <v>7494</v>
      </c>
      <c r="JU2080" s="58" t="s">
        <v>2041</v>
      </c>
      <c r="JV2080" s="58" t="s">
        <v>2065</v>
      </c>
    </row>
    <row r="2081" spans="1:282" x14ac:dyDescent="0.25">
      <c r="A2081" s="55">
        <v>2080</v>
      </c>
      <c r="B2081" s="12" t="s">
        <v>7067</v>
      </c>
      <c r="C2081" s="157">
        <v>93</v>
      </c>
      <c r="D2081" s="59" t="s">
        <v>4115</v>
      </c>
      <c r="E2081" s="94" t="s">
        <v>741</v>
      </c>
      <c r="F2081" s="94"/>
      <c r="G2081" s="58" t="s">
        <v>2074</v>
      </c>
      <c r="H2081" s="58">
        <v>2002</v>
      </c>
      <c r="I2081" s="58">
        <v>1998</v>
      </c>
      <c r="J2081" s="58" t="s">
        <v>1709</v>
      </c>
      <c r="K2081" s="58" t="s">
        <v>1990</v>
      </c>
      <c r="L2081" s="58" t="s">
        <v>2737</v>
      </c>
      <c r="M2081" s="94">
        <v>32.57</v>
      </c>
      <c r="N2081" s="94">
        <v>-83.91</v>
      </c>
      <c r="O2081" s="94">
        <v>16</v>
      </c>
      <c r="P2081" s="58">
        <v>18.100000000000001</v>
      </c>
      <c r="Q2081" s="58"/>
      <c r="R2081" s="58">
        <v>1258</v>
      </c>
      <c r="S2081" s="94"/>
      <c r="T2081" s="58"/>
      <c r="U2081" s="58">
        <v>5</v>
      </c>
      <c r="V2081" s="58" t="s">
        <v>1940</v>
      </c>
      <c r="Y2081" s="58" t="s">
        <v>2058</v>
      </c>
      <c r="Z2081" s="58" t="s">
        <v>1346</v>
      </c>
      <c r="AA2081" s="94">
        <v>20</v>
      </c>
      <c r="AD2081" s="94">
        <v>1.39</v>
      </c>
      <c r="AE2081" s="94">
        <v>65</v>
      </c>
      <c r="AF2081" s="94">
        <v>25</v>
      </c>
      <c r="AG2081" s="94"/>
      <c r="AH2081" s="58" t="s">
        <v>238</v>
      </c>
      <c r="AI2081" s="169">
        <v>6.5</v>
      </c>
      <c r="AJ2081" s="94">
        <f>23.9/(100*100*AD2081*0.2)*100</f>
        <v>0.85971223021582732</v>
      </c>
      <c r="AK2081" s="94"/>
      <c r="AL2081" s="58"/>
      <c r="AM2081" s="58" t="s">
        <v>1994</v>
      </c>
      <c r="AN2081" s="186" t="s">
        <v>1991</v>
      </c>
      <c r="AO2081" s="185" t="s">
        <v>5150</v>
      </c>
      <c r="AP2081" s="58"/>
      <c r="AQ2081" s="58" t="s">
        <v>553</v>
      </c>
      <c r="AR2081" s="58" t="s">
        <v>1993</v>
      </c>
      <c r="AS2081" s="58" t="s">
        <v>1580</v>
      </c>
      <c r="AT2081" s="182" t="s">
        <v>1993</v>
      </c>
      <c r="AU2081" s="181" t="s">
        <v>5150</v>
      </c>
      <c r="AV2081" s="185" t="s">
        <v>176</v>
      </c>
      <c r="AW2081" s="58" t="s">
        <v>1993</v>
      </c>
      <c r="AX2081" s="185" t="s">
        <v>176</v>
      </c>
      <c r="AY2081" s="58" t="s">
        <v>176</v>
      </c>
      <c r="AZ2081" s="58" t="s">
        <v>2068</v>
      </c>
      <c r="BA2081" s="58" t="s">
        <v>2068</v>
      </c>
      <c r="BB2081" s="58" t="s">
        <v>2081</v>
      </c>
      <c r="BC2081" s="58" t="s">
        <v>2081</v>
      </c>
      <c r="BD2081" s="55" t="s">
        <v>176</v>
      </c>
      <c r="BE2081" s="236" t="s">
        <v>1996</v>
      </c>
      <c r="BF2081" s="191" t="s">
        <v>176</v>
      </c>
      <c r="BG2081" s="191" t="s">
        <v>176</v>
      </c>
      <c r="BH2081" s="236" t="s">
        <v>1996</v>
      </c>
      <c r="BI2081" s="191" t="s">
        <v>176</v>
      </c>
      <c r="BJ2081" s="55" t="s">
        <v>176</v>
      </c>
      <c r="BK2081" s="58" t="s">
        <v>5976</v>
      </c>
      <c r="BL2081" s="58"/>
      <c r="BM2081" s="237" t="s">
        <v>160</v>
      </c>
      <c r="BN2081" s="58">
        <v>4</v>
      </c>
      <c r="BO2081" s="58">
        <v>4</v>
      </c>
      <c r="BP2081" s="58">
        <v>4</v>
      </c>
      <c r="BQ2081" s="58" t="s">
        <v>141</v>
      </c>
      <c r="BR2081" s="58"/>
      <c r="BS2081" s="58"/>
      <c r="BT2081" s="58"/>
      <c r="BU2081" s="58"/>
      <c r="BV2081" s="58"/>
      <c r="CB2081" s="68"/>
      <c r="CC2081" s="68"/>
      <c r="CD2081" s="68"/>
      <c r="CE2081" s="67"/>
      <c r="CH2081" s="94"/>
      <c r="CI2081" s="94"/>
      <c r="CM2081" s="65">
        <f>(CR2081*1000000)/(100*100*AD2081*AA2081/100*1000000)*100</f>
        <v>0.72302158273381312</v>
      </c>
      <c r="CN2081" s="65">
        <f>(CS2081*1000000)/(100*100*AD2081*AA2081/100*1000000)*100</f>
        <v>0.78776978417266197</v>
      </c>
      <c r="CR2081" s="67">
        <v>20.100000000000001</v>
      </c>
      <c r="CS2081" s="67">
        <v>21.9</v>
      </c>
      <c r="CV2081" s="65" t="s">
        <v>2052</v>
      </c>
      <c r="DA2081" s="65" t="s">
        <v>4463</v>
      </c>
      <c r="DB2081" s="65">
        <v>1.62</v>
      </c>
      <c r="DC2081" s="65">
        <v>1.6</v>
      </c>
      <c r="DF2081" s="65" t="s">
        <v>545</v>
      </c>
      <c r="GP2081" s="292" t="s">
        <v>7494</v>
      </c>
      <c r="JU2081" s="58" t="s">
        <v>2041</v>
      </c>
      <c r="JV2081" s="58" t="s">
        <v>2065</v>
      </c>
    </row>
    <row r="2082" spans="1:282" x14ac:dyDescent="0.25">
      <c r="A2082" s="55">
        <v>2081</v>
      </c>
      <c r="B2082" s="12" t="s">
        <v>7067</v>
      </c>
      <c r="C2082" s="157">
        <v>93</v>
      </c>
      <c r="D2082" s="59" t="s">
        <v>4115</v>
      </c>
      <c r="E2082" s="94" t="s">
        <v>741</v>
      </c>
      <c r="F2082" s="94"/>
      <c r="G2082" s="58" t="s">
        <v>2074</v>
      </c>
      <c r="H2082" s="58">
        <v>2002</v>
      </c>
      <c r="I2082" s="58">
        <v>1999</v>
      </c>
      <c r="J2082" s="58" t="s">
        <v>1709</v>
      </c>
      <c r="K2082" s="58" t="s">
        <v>1990</v>
      </c>
      <c r="L2082" s="58" t="s">
        <v>2737</v>
      </c>
      <c r="M2082" s="94">
        <v>32.57</v>
      </c>
      <c r="N2082" s="94">
        <v>-83.91</v>
      </c>
      <c r="O2082" s="94">
        <v>16</v>
      </c>
      <c r="P2082" s="58">
        <v>18.100000000000001</v>
      </c>
      <c r="Q2082" s="58"/>
      <c r="R2082" s="58">
        <v>1258</v>
      </c>
      <c r="S2082" s="94"/>
      <c r="T2082" s="58"/>
      <c r="U2082" s="58">
        <v>6</v>
      </c>
      <c r="V2082" s="58" t="s">
        <v>1940</v>
      </c>
      <c r="Y2082" s="58" t="s">
        <v>2058</v>
      </c>
      <c r="Z2082" s="58" t="s">
        <v>1346</v>
      </c>
      <c r="AA2082" s="94">
        <v>20</v>
      </c>
      <c r="AD2082" s="94">
        <v>1.39</v>
      </c>
      <c r="AE2082" s="94">
        <v>65</v>
      </c>
      <c r="AF2082" s="94">
        <v>25</v>
      </c>
      <c r="AG2082" s="94"/>
      <c r="AH2082" s="58" t="s">
        <v>238</v>
      </c>
      <c r="AI2082" s="169">
        <v>6.5</v>
      </c>
      <c r="AJ2082" s="94">
        <f>23.9/(100*100*AD2082*0.2)*100</f>
        <v>0.85971223021582732</v>
      </c>
      <c r="AK2082" s="94"/>
      <c r="AL2082" s="58"/>
      <c r="AM2082" s="58" t="s">
        <v>1994</v>
      </c>
      <c r="AN2082" s="186" t="s">
        <v>1991</v>
      </c>
      <c r="AO2082" s="185" t="s">
        <v>5150</v>
      </c>
      <c r="AP2082" s="58"/>
      <c r="AQ2082" s="58" t="s">
        <v>553</v>
      </c>
      <c r="AR2082" s="58" t="s">
        <v>2062</v>
      </c>
      <c r="AS2082" s="58" t="s">
        <v>1580</v>
      </c>
      <c r="AT2082" s="182" t="s">
        <v>1993</v>
      </c>
      <c r="AU2082" s="181" t="s">
        <v>5150</v>
      </c>
      <c r="AV2082" s="185" t="s">
        <v>176</v>
      </c>
      <c r="AW2082" s="58" t="s">
        <v>1993</v>
      </c>
      <c r="AX2082" s="185" t="s">
        <v>176</v>
      </c>
      <c r="AY2082" s="58" t="s">
        <v>176</v>
      </c>
      <c r="AZ2082" s="58" t="s">
        <v>2068</v>
      </c>
      <c r="BA2082" s="58" t="s">
        <v>2068</v>
      </c>
      <c r="BB2082" s="58" t="s">
        <v>2081</v>
      </c>
      <c r="BC2082" s="58" t="s">
        <v>2081</v>
      </c>
      <c r="BD2082" s="55" t="s">
        <v>176</v>
      </c>
      <c r="BE2082" s="236" t="s">
        <v>1996</v>
      </c>
      <c r="BF2082" s="191" t="s">
        <v>176</v>
      </c>
      <c r="BG2082" s="191" t="s">
        <v>176</v>
      </c>
      <c r="BH2082" s="236" t="s">
        <v>1996</v>
      </c>
      <c r="BI2082" s="191" t="s">
        <v>176</v>
      </c>
      <c r="BJ2082" s="55" t="s">
        <v>176</v>
      </c>
      <c r="BK2082" s="58" t="s">
        <v>5976</v>
      </c>
      <c r="BL2082" s="58"/>
      <c r="BM2082" s="237" t="s">
        <v>160</v>
      </c>
      <c r="BN2082" s="58">
        <v>4</v>
      </c>
      <c r="BO2082" s="58">
        <v>4</v>
      </c>
      <c r="BP2082" s="58">
        <v>4</v>
      </c>
      <c r="BQ2082" s="58" t="s">
        <v>141</v>
      </c>
      <c r="BR2082" s="58"/>
      <c r="BS2082" s="58"/>
      <c r="BT2082" s="58"/>
      <c r="BU2082" s="58"/>
      <c r="BV2082" s="58"/>
      <c r="CB2082" s="68"/>
      <c r="CC2082" s="68"/>
      <c r="CD2082" s="68"/>
      <c r="CE2082" s="67"/>
      <c r="CH2082" s="94"/>
      <c r="CI2082" s="94"/>
      <c r="CM2082" s="65">
        <f>(CR2082*1000000)/(100*100*AD2082*AA2082/100*1000000)*100</f>
        <v>0.72302158273381312</v>
      </c>
      <c r="CN2082" s="65">
        <f>(CS2082*1000000)/(100*100*AD2082*AA2082/100*1000000)*100</f>
        <v>0.74820143884892099</v>
      </c>
      <c r="CR2082" s="67">
        <v>20.100000000000001</v>
      </c>
      <c r="CS2082" s="67">
        <v>20.8</v>
      </c>
      <c r="CV2082" s="65" t="s">
        <v>2052</v>
      </c>
      <c r="DA2082" s="65" t="s">
        <v>4463</v>
      </c>
      <c r="DB2082" s="65">
        <v>1.55</v>
      </c>
      <c r="DC2082" s="65">
        <v>1.41</v>
      </c>
      <c r="DF2082" s="65" t="s">
        <v>545</v>
      </c>
      <c r="GP2082" s="292" t="s">
        <v>7494</v>
      </c>
      <c r="JU2082" s="58" t="s">
        <v>2041</v>
      </c>
      <c r="JV2082" s="58" t="s">
        <v>2065</v>
      </c>
    </row>
    <row r="2083" spans="1:282" x14ac:dyDescent="0.25">
      <c r="A2083" s="55">
        <v>2082</v>
      </c>
      <c r="B2083" s="12" t="s">
        <v>7067</v>
      </c>
      <c r="C2083" s="157">
        <v>93</v>
      </c>
      <c r="D2083" s="59" t="s">
        <v>4116</v>
      </c>
      <c r="E2083" s="94" t="s">
        <v>741</v>
      </c>
      <c r="F2083" s="94"/>
      <c r="G2083" s="58" t="s">
        <v>2074</v>
      </c>
      <c r="H2083" s="58">
        <v>2002</v>
      </c>
      <c r="I2083" s="58">
        <v>1994</v>
      </c>
      <c r="J2083" s="58" t="s">
        <v>1709</v>
      </c>
      <c r="K2083" s="58" t="s">
        <v>1990</v>
      </c>
      <c r="L2083" s="58" t="s">
        <v>2737</v>
      </c>
      <c r="M2083" s="94">
        <v>32.57</v>
      </c>
      <c r="N2083" s="94">
        <v>-83.91</v>
      </c>
      <c r="O2083" s="94">
        <v>16</v>
      </c>
      <c r="P2083" s="58">
        <v>18.100000000000001</v>
      </c>
      <c r="Q2083" s="58"/>
      <c r="R2083" s="58">
        <v>1258</v>
      </c>
      <c r="S2083" s="94"/>
      <c r="T2083" s="58"/>
      <c r="U2083" s="58">
        <v>1</v>
      </c>
      <c r="V2083" s="58" t="s">
        <v>1940</v>
      </c>
      <c r="Y2083" s="58" t="s">
        <v>2058</v>
      </c>
      <c r="Z2083" s="58" t="s">
        <v>1346</v>
      </c>
      <c r="AA2083" s="94">
        <v>20</v>
      </c>
      <c r="AD2083" s="94">
        <v>1.39</v>
      </c>
      <c r="AE2083" s="94">
        <v>65</v>
      </c>
      <c r="AF2083" s="94">
        <v>25</v>
      </c>
      <c r="AG2083" s="94"/>
      <c r="AH2083" s="58" t="s">
        <v>238</v>
      </c>
      <c r="AI2083" s="169">
        <v>6.5</v>
      </c>
      <c r="AJ2083" s="94">
        <f>23.9/(100*100*AD2083*0.2)*100</f>
        <v>0.85971223021582732</v>
      </c>
      <c r="AK2083" s="94"/>
      <c r="AL2083" s="58"/>
      <c r="AM2083" s="58" t="s">
        <v>1994</v>
      </c>
      <c r="AN2083" s="186" t="s">
        <v>1991</v>
      </c>
      <c r="AO2083" s="185" t="s">
        <v>5150</v>
      </c>
      <c r="AP2083" s="58"/>
      <c r="AQ2083" s="58" t="s">
        <v>553</v>
      </c>
      <c r="AR2083" s="58" t="s">
        <v>1993</v>
      </c>
      <c r="AS2083" s="58" t="s">
        <v>1580</v>
      </c>
      <c r="AT2083" s="182" t="s">
        <v>1993</v>
      </c>
      <c r="AU2083" s="181" t="s">
        <v>5150</v>
      </c>
      <c r="AV2083" s="185" t="s">
        <v>176</v>
      </c>
      <c r="AW2083" s="58" t="s">
        <v>1993</v>
      </c>
      <c r="AX2083" s="185" t="s">
        <v>176</v>
      </c>
      <c r="AY2083" s="58" t="s">
        <v>176</v>
      </c>
      <c r="AZ2083" s="58" t="s">
        <v>2068</v>
      </c>
      <c r="BA2083" s="58" t="s">
        <v>2068</v>
      </c>
      <c r="BB2083" s="58" t="s">
        <v>2081</v>
      </c>
      <c r="BC2083" s="58" t="s">
        <v>2081</v>
      </c>
      <c r="BD2083" s="55" t="s">
        <v>176</v>
      </c>
      <c r="BE2083" s="236" t="s">
        <v>1995</v>
      </c>
      <c r="BF2083" s="191" t="s">
        <v>479</v>
      </c>
      <c r="BG2083" s="191" t="s">
        <v>479</v>
      </c>
      <c r="BH2083" s="236" t="s">
        <v>1995</v>
      </c>
      <c r="BI2083" s="191" t="s">
        <v>479</v>
      </c>
      <c r="BJ2083" s="55" t="s">
        <v>176</v>
      </c>
      <c r="BK2083" s="58" t="s">
        <v>5976</v>
      </c>
      <c r="BL2083" s="58"/>
      <c r="BM2083" s="237" t="s">
        <v>160</v>
      </c>
      <c r="BN2083" s="58">
        <v>4</v>
      </c>
      <c r="BO2083" s="58">
        <v>4</v>
      </c>
      <c r="BP2083" s="58">
        <v>4</v>
      </c>
      <c r="BQ2083" s="58" t="s">
        <v>141</v>
      </c>
      <c r="BR2083" s="58"/>
      <c r="BU2083" s="58"/>
      <c r="BV2083" s="58"/>
      <c r="CB2083" s="68"/>
      <c r="CC2083" s="68"/>
      <c r="CD2083" s="68"/>
      <c r="CE2083" s="67"/>
      <c r="CH2083" s="94"/>
      <c r="CI2083" s="94"/>
      <c r="CM2083" s="65">
        <f>(CR2083*1000000)/(100*100*AD2083*AA2083/100*1000000)*100</f>
        <v>0.85971223021582743</v>
      </c>
      <c r="CN2083" s="65">
        <f>(CS2083*1000000)/(100*100*AD2083*AA2083/100*1000000)*100</f>
        <v>0.85971223021582743</v>
      </c>
      <c r="CR2083" s="67">
        <v>23.9</v>
      </c>
      <c r="CS2083" s="67">
        <v>23.9</v>
      </c>
      <c r="CV2083" s="65" t="s">
        <v>2052</v>
      </c>
      <c r="DA2083" s="65" t="s">
        <v>4463</v>
      </c>
      <c r="DB2083" s="65">
        <v>1.95</v>
      </c>
      <c r="DC2083" s="65">
        <v>1.95</v>
      </c>
      <c r="DF2083" s="65" t="s">
        <v>545</v>
      </c>
      <c r="GP2083" s="292" t="s">
        <v>7494</v>
      </c>
      <c r="JU2083" s="58" t="s">
        <v>2041</v>
      </c>
      <c r="JV2083" s="58" t="s">
        <v>2065</v>
      </c>
    </row>
    <row r="2084" spans="1:282" x14ac:dyDescent="0.25">
      <c r="A2084" s="55">
        <v>2083</v>
      </c>
      <c r="B2084" s="12" t="s">
        <v>7067</v>
      </c>
      <c r="C2084" s="157">
        <v>93</v>
      </c>
      <c r="D2084" s="59" t="s">
        <v>4116</v>
      </c>
      <c r="E2084" s="94" t="s">
        <v>741</v>
      </c>
      <c r="F2084" s="94"/>
      <c r="G2084" s="58" t="s">
        <v>2074</v>
      </c>
      <c r="H2084" s="58">
        <v>2002</v>
      </c>
      <c r="I2084" s="58">
        <v>1995</v>
      </c>
      <c r="J2084" s="58" t="s">
        <v>1709</v>
      </c>
      <c r="K2084" s="58" t="s">
        <v>1990</v>
      </c>
      <c r="L2084" s="58" t="s">
        <v>2737</v>
      </c>
      <c r="M2084" s="94">
        <v>32.57</v>
      </c>
      <c r="N2084" s="94">
        <v>-83.91</v>
      </c>
      <c r="O2084" s="94">
        <v>16</v>
      </c>
      <c r="P2084" s="58">
        <v>18.100000000000001</v>
      </c>
      <c r="Q2084" s="58"/>
      <c r="R2084" s="58">
        <v>1258</v>
      </c>
      <c r="S2084" s="94"/>
      <c r="T2084" s="58"/>
      <c r="U2084" s="58">
        <v>2</v>
      </c>
      <c r="V2084" s="58" t="s">
        <v>1940</v>
      </c>
      <c r="Y2084" s="58" t="s">
        <v>2058</v>
      </c>
      <c r="Z2084" s="58" t="s">
        <v>1346</v>
      </c>
      <c r="AA2084" s="94">
        <v>20</v>
      </c>
      <c r="AD2084" s="94">
        <v>1.39</v>
      </c>
      <c r="AE2084" s="94">
        <v>65</v>
      </c>
      <c r="AF2084" s="94">
        <v>25</v>
      </c>
      <c r="AG2084" s="94"/>
      <c r="AH2084" s="58" t="s">
        <v>238</v>
      </c>
      <c r="AI2084" s="169">
        <v>6.5</v>
      </c>
      <c r="AJ2084" s="94">
        <f>23.9/(100*100*AD2084*0.2)*100</f>
        <v>0.85971223021582732</v>
      </c>
      <c r="AK2084" s="94"/>
      <c r="AL2084" s="58"/>
      <c r="AM2084" s="58" t="s">
        <v>1994</v>
      </c>
      <c r="AN2084" s="186" t="s">
        <v>1991</v>
      </c>
      <c r="AO2084" s="185" t="s">
        <v>5150</v>
      </c>
      <c r="AP2084" s="58"/>
      <c r="AQ2084" s="58" t="s">
        <v>553</v>
      </c>
      <c r="AR2084" s="58" t="s">
        <v>1993</v>
      </c>
      <c r="AS2084" s="58" t="s">
        <v>1580</v>
      </c>
      <c r="AT2084" s="182" t="s">
        <v>1993</v>
      </c>
      <c r="AU2084" s="181" t="s">
        <v>5150</v>
      </c>
      <c r="AV2084" s="185" t="s">
        <v>176</v>
      </c>
      <c r="AW2084" s="58" t="s">
        <v>1993</v>
      </c>
      <c r="AX2084" s="185" t="s">
        <v>176</v>
      </c>
      <c r="AY2084" s="58" t="s">
        <v>176</v>
      </c>
      <c r="AZ2084" s="58" t="s">
        <v>2068</v>
      </c>
      <c r="BA2084" s="58" t="s">
        <v>2068</v>
      </c>
      <c r="BB2084" s="58" t="s">
        <v>2081</v>
      </c>
      <c r="BC2084" s="58" t="s">
        <v>2081</v>
      </c>
      <c r="BD2084" s="55" t="s">
        <v>176</v>
      </c>
      <c r="BE2084" s="236" t="s">
        <v>1995</v>
      </c>
      <c r="BF2084" s="191" t="s">
        <v>479</v>
      </c>
      <c r="BG2084" s="191" t="s">
        <v>479</v>
      </c>
      <c r="BH2084" s="236" t="s">
        <v>1995</v>
      </c>
      <c r="BI2084" s="191" t="s">
        <v>479</v>
      </c>
      <c r="BJ2084" s="55" t="s">
        <v>176</v>
      </c>
      <c r="BK2084" s="58" t="s">
        <v>5976</v>
      </c>
      <c r="BL2084" s="58"/>
      <c r="BM2084" s="237" t="s">
        <v>160</v>
      </c>
      <c r="BN2084" s="58">
        <v>4</v>
      </c>
      <c r="BO2084" s="58">
        <v>4</v>
      </c>
      <c r="BP2084" s="58">
        <v>4</v>
      </c>
      <c r="BQ2084" s="58" t="s">
        <v>141</v>
      </c>
      <c r="BR2084" s="58"/>
      <c r="BS2084" s="58"/>
      <c r="BT2084" s="58"/>
      <c r="BU2084" s="58"/>
      <c r="BV2084" s="58"/>
      <c r="CB2084" s="68"/>
      <c r="CC2084" s="68"/>
      <c r="CD2084" s="68"/>
      <c r="CE2084" s="67"/>
      <c r="CH2084" s="94"/>
      <c r="CI2084" s="94"/>
      <c r="CM2084" s="65">
        <f>(CR2084*1000000)/(100*100*AD2084*AA2084/100*1000000)*100</f>
        <v>0.61151079136690656</v>
      </c>
      <c r="CN2084" s="65">
        <f>(CS2084*1000000)/(100*100*AD2084*AA2084/100*1000000)*100</f>
        <v>0.64748201438848929</v>
      </c>
      <c r="CR2084" s="67">
        <v>17</v>
      </c>
      <c r="CS2084" s="67">
        <v>18</v>
      </c>
      <c r="CV2084" s="65" t="s">
        <v>2052</v>
      </c>
      <c r="DA2084" s="65" t="s">
        <v>4463</v>
      </c>
      <c r="DB2084" s="65">
        <v>1.31</v>
      </c>
      <c r="DC2084" s="65">
        <v>1.38</v>
      </c>
      <c r="DF2084" s="65" t="s">
        <v>545</v>
      </c>
      <c r="GP2084" s="292" t="s">
        <v>7494</v>
      </c>
      <c r="JU2084" s="58" t="s">
        <v>2041</v>
      </c>
      <c r="JV2084" s="58" t="s">
        <v>2065</v>
      </c>
    </row>
    <row r="2085" spans="1:282" x14ac:dyDescent="0.25">
      <c r="A2085" s="55">
        <v>2084</v>
      </c>
      <c r="B2085" s="12" t="s">
        <v>7067</v>
      </c>
      <c r="C2085" s="157">
        <v>93</v>
      </c>
      <c r="D2085" s="59" t="s">
        <v>4116</v>
      </c>
      <c r="E2085" s="94" t="s">
        <v>741</v>
      </c>
      <c r="F2085" s="94"/>
      <c r="G2085" s="58" t="s">
        <v>2074</v>
      </c>
      <c r="H2085" s="58">
        <v>2002</v>
      </c>
      <c r="I2085" s="58">
        <v>1996</v>
      </c>
      <c r="J2085" s="58" t="s">
        <v>1709</v>
      </c>
      <c r="K2085" s="58" t="s">
        <v>1990</v>
      </c>
      <c r="L2085" s="58" t="s">
        <v>2737</v>
      </c>
      <c r="M2085" s="94">
        <v>32.57</v>
      </c>
      <c r="N2085" s="94">
        <v>-83.91</v>
      </c>
      <c r="O2085" s="94">
        <v>16</v>
      </c>
      <c r="P2085" s="58">
        <v>18.100000000000001</v>
      </c>
      <c r="Q2085" s="58"/>
      <c r="R2085" s="58">
        <v>1258</v>
      </c>
      <c r="S2085" s="94"/>
      <c r="T2085" s="58"/>
      <c r="U2085" s="58">
        <v>3</v>
      </c>
      <c r="V2085" s="58" t="s">
        <v>1940</v>
      </c>
      <c r="Y2085" s="58" t="s">
        <v>2058</v>
      </c>
      <c r="Z2085" s="58" t="s">
        <v>1346</v>
      </c>
      <c r="AA2085" s="94">
        <v>20</v>
      </c>
      <c r="AD2085" s="94">
        <v>1.39</v>
      </c>
      <c r="AE2085" s="94">
        <v>65</v>
      </c>
      <c r="AF2085" s="94">
        <v>25</v>
      </c>
      <c r="AG2085" s="94"/>
      <c r="AH2085" s="58" t="s">
        <v>238</v>
      </c>
      <c r="AI2085" s="169">
        <v>6.5</v>
      </c>
      <c r="AJ2085" s="94">
        <f>23.9/(100*100*AD2085*0.2)*100</f>
        <v>0.85971223021582732</v>
      </c>
      <c r="AK2085" s="94"/>
      <c r="AL2085" s="58"/>
      <c r="AM2085" s="58" t="s">
        <v>1994</v>
      </c>
      <c r="AN2085" s="186" t="s">
        <v>1991</v>
      </c>
      <c r="AO2085" s="185" t="s">
        <v>5150</v>
      </c>
      <c r="AP2085" s="58"/>
      <c r="AQ2085" s="58" t="s">
        <v>553</v>
      </c>
      <c r="AR2085" s="58" t="s">
        <v>1993</v>
      </c>
      <c r="AS2085" s="58" t="s">
        <v>1580</v>
      </c>
      <c r="AT2085" s="182" t="s">
        <v>1993</v>
      </c>
      <c r="AU2085" s="181" t="s">
        <v>5150</v>
      </c>
      <c r="AV2085" s="185" t="s">
        <v>176</v>
      </c>
      <c r="AW2085" s="58" t="s">
        <v>1993</v>
      </c>
      <c r="AX2085" s="185" t="s">
        <v>176</v>
      </c>
      <c r="AY2085" s="58" t="s">
        <v>176</v>
      </c>
      <c r="AZ2085" s="58" t="s">
        <v>2068</v>
      </c>
      <c r="BA2085" s="58" t="s">
        <v>2068</v>
      </c>
      <c r="BB2085" s="58" t="s">
        <v>2081</v>
      </c>
      <c r="BC2085" s="58" t="s">
        <v>2081</v>
      </c>
      <c r="BD2085" s="55" t="s">
        <v>176</v>
      </c>
      <c r="BE2085" s="236" t="s">
        <v>1995</v>
      </c>
      <c r="BF2085" s="191" t="s">
        <v>479</v>
      </c>
      <c r="BG2085" s="191" t="s">
        <v>479</v>
      </c>
      <c r="BH2085" s="236" t="s">
        <v>1995</v>
      </c>
      <c r="BI2085" s="191" t="s">
        <v>479</v>
      </c>
      <c r="BJ2085" s="55" t="s">
        <v>176</v>
      </c>
      <c r="BK2085" s="58" t="s">
        <v>5976</v>
      </c>
      <c r="BL2085" s="58"/>
      <c r="BM2085" s="237" t="s">
        <v>160</v>
      </c>
      <c r="BN2085" s="58">
        <v>4</v>
      </c>
      <c r="BO2085" s="58">
        <v>4</v>
      </c>
      <c r="BP2085" s="58">
        <v>4</v>
      </c>
      <c r="BQ2085" s="58" t="s">
        <v>141</v>
      </c>
      <c r="BR2085" s="58"/>
      <c r="BU2085" s="58"/>
      <c r="BV2085" s="58"/>
      <c r="CB2085" s="68"/>
      <c r="CC2085" s="68"/>
      <c r="CD2085" s="68"/>
      <c r="CE2085" s="67"/>
      <c r="CH2085" s="94"/>
      <c r="CI2085" s="94"/>
      <c r="CM2085" s="65">
        <f>(CR2085*1000000)/(100*100*AD2085*AA2085/100*1000000)*100</f>
        <v>0.70863309352518</v>
      </c>
      <c r="CN2085" s="65">
        <f>(CS2085*1000000)/(100*100*AD2085*AA2085/100*1000000)*100</f>
        <v>0.64388489208633104</v>
      </c>
      <c r="CR2085" s="67">
        <v>19.7</v>
      </c>
      <c r="CS2085" s="67">
        <v>17.899999999999999</v>
      </c>
      <c r="CV2085" s="65" t="s">
        <v>2052</v>
      </c>
      <c r="DA2085" s="65" t="s">
        <v>4463</v>
      </c>
      <c r="DB2085" s="65">
        <v>1.68</v>
      </c>
      <c r="DC2085" s="65">
        <v>1.58</v>
      </c>
      <c r="DF2085" s="65" t="s">
        <v>545</v>
      </c>
      <c r="GP2085" s="292" t="s">
        <v>7494</v>
      </c>
      <c r="JU2085" s="58" t="s">
        <v>2041</v>
      </c>
      <c r="JV2085" s="58" t="s">
        <v>2065</v>
      </c>
    </row>
    <row r="2086" spans="1:282" x14ac:dyDescent="0.25">
      <c r="A2086" s="55">
        <v>2085</v>
      </c>
      <c r="B2086" s="12" t="s">
        <v>7067</v>
      </c>
      <c r="C2086" s="157">
        <v>93</v>
      </c>
      <c r="D2086" s="59" t="s">
        <v>4116</v>
      </c>
      <c r="E2086" s="94" t="s">
        <v>741</v>
      </c>
      <c r="F2086" s="94"/>
      <c r="G2086" s="58" t="s">
        <v>2074</v>
      </c>
      <c r="H2086" s="58">
        <v>2002</v>
      </c>
      <c r="I2086" s="58">
        <v>1997</v>
      </c>
      <c r="J2086" s="58" t="s">
        <v>1709</v>
      </c>
      <c r="K2086" s="58" t="s">
        <v>1990</v>
      </c>
      <c r="L2086" s="58" t="s">
        <v>2737</v>
      </c>
      <c r="M2086" s="94">
        <v>32.57</v>
      </c>
      <c r="N2086" s="94">
        <v>-83.91</v>
      </c>
      <c r="O2086" s="94">
        <v>16</v>
      </c>
      <c r="P2086" s="58">
        <v>18.100000000000001</v>
      </c>
      <c r="Q2086" s="58"/>
      <c r="R2086" s="58">
        <v>1258</v>
      </c>
      <c r="S2086" s="94"/>
      <c r="T2086" s="58"/>
      <c r="U2086" s="58">
        <v>4</v>
      </c>
      <c r="V2086" s="58" t="s">
        <v>1940</v>
      </c>
      <c r="Y2086" s="58" t="s">
        <v>2058</v>
      </c>
      <c r="Z2086" s="58" t="s">
        <v>1346</v>
      </c>
      <c r="AA2086" s="94">
        <v>20</v>
      </c>
      <c r="AD2086" s="94">
        <v>1.39</v>
      </c>
      <c r="AE2086" s="94">
        <v>65</v>
      </c>
      <c r="AF2086" s="94">
        <v>25</v>
      </c>
      <c r="AG2086" s="94"/>
      <c r="AH2086" s="58" t="s">
        <v>238</v>
      </c>
      <c r="AI2086" s="169">
        <v>6.5</v>
      </c>
      <c r="AJ2086" s="94">
        <f>23.9/(100*100*AD2086*0.2)*100</f>
        <v>0.85971223021582732</v>
      </c>
      <c r="AK2086" s="94"/>
      <c r="AL2086" s="58"/>
      <c r="AM2086" s="58" t="s">
        <v>1994</v>
      </c>
      <c r="AN2086" s="186" t="s">
        <v>1991</v>
      </c>
      <c r="AO2086" s="185" t="s">
        <v>5150</v>
      </c>
      <c r="AP2086" s="58"/>
      <c r="AQ2086" s="58" t="s">
        <v>553</v>
      </c>
      <c r="AR2086" s="58" t="s">
        <v>1993</v>
      </c>
      <c r="AS2086" s="58" t="s">
        <v>1580</v>
      </c>
      <c r="AT2086" s="182" t="s">
        <v>1993</v>
      </c>
      <c r="AU2086" s="181" t="s">
        <v>5150</v>
      </c>
      <c r="AV2086" s="185" t="s">
        <v>176</v>
      </c>
      <c r="AW2086" s="58" t="s">
        <v>1993</v>
      </c>
      <c r="AX2086" s="185" t="s">
        <v>176</v>
      </c>
      <c r="AY2086" s="58" t="s">
        <v>176</v>
      </c>
      <c r="AZ2086" s="58" t="s">
        <v>2068</v>
      </c>
      <c r="BA2086" s="58" t="s">
        <v>2068</v>
      </c>
      <c r="BB2086" s="58" t="s">
        <v>2081</v>
      </c>
      <c r="BC2086" s="58" t="s">
        <v>2081</v>
      </c>
      <c r="BD2086" s="55" t="s">
        <v>176</v>
      </c>
      <c r="BE2086" s="236" t="s">
        <v>1995</v>
      </c>
      <c r="BF2086" s="191" t="s">
        <v>479</v>
      </c>
      <c r="BG2086" s="191" t="s">
        <v>479</v>
      </c>
      <c r="BH2086" s="236" t="s">
        <v>1995</v>
      </c>
      <c r="BI2086" s="191" t="s">
        <v>479</v>
      </c>
      <c r="BJ2086" s="55" t="s">
        <v>176</v>
      </c>
      <c r="BK2086" s="58" t="s">
        <v>5976</v>
      </c>
      <c r="BL2086" s="58"/>
      <c r="BM2086" s="237" t="s">
        <v>160</v>
      </c>
      <c r="BN2086" s="58">
        <v>4</v>
      </c>
      <c r="BO2086" s="58">
        <v>4</v>
      </c>
      <c r="BP2086" s="58">
        <v>4</v>
      </c>
      <c r="BQ2086" s="58" t="s">
        <v>141</v>
      </c>
      <c r="BR2086" s="58"/>
      <c r="BS2086" s="58"/>
      <c r="BT2086" s="58"/>
      <c r="BU2086" s="58"/>
      <c r="BV2086" s="58"/>
      <c r="CB2086" s="68"/>
      <c r="CC2086" s="68"/>
      <c r="CD2086" s="68"/>
      <c r="CE2086" s="67"/>
      <c r="CH2086" s="94"/>
      <c r="CI2086" s="94"/>
      <c r="CM2086" s="65">
        <f>(CR2086*1000000)/(100*100*AD2086*AA2086/100*1000000)*100</f>
        <v>0.65107913669064754</v>
      </c>
      <c r="CN2086" s="65">
        <f>(CS2086*1000000)/(100*100*AD2086*AA2086/100*1000000)*100</f>
        <v>0.6546762589928059</v>
      </c>
      <c r="CR2086" s="67">
        <v>18.100000000000001</v>
      </c>
      <c r="CS2086" s="67">
        <v>18.2</v>
      </c>
      <c r="CV2086" s="65" t="s">
        <v>2052</v>
      </c>
      <c r="DA2086" s="65" t="s">
        <v>4463</v>
      </c>
      <c r="DB2086" s="65">
        <v>1.4</v>
      </c>
      <c r="DC2086" s="65">
        <v>1.49</v>
      </c>
      <c r="DF2086" s="65" t="s">
        <v>545</v>
      </c>
      <c r="GP2086" s="292" t="s">
        <v>7494</v>
      </c>
      <c r="JU2086" s="58" t="s">
        <v>2041</v>
      </c>
      <c r="JV2086" s="58" t="s">
        <v>2065</v>
      </c>
    </row>
    <row r="2087" spans="1:282" x14ac:dyDescent="0.25">
      <c r="A2087" s="55">
        <v>2086</v>
      </c>
      <c r="B2087" s="12" t="s">
        <v>7067</v>
      </c>
      <c r="C2087" s="157">
        <v>93</v>
      </c>
      <c r="D2087" s="59" t="s">
        <v>4116</v>
      </c>
      <c r="E2087" s="94" t="s">
        <v>741</v>
      </c>
      <c r="F2087" s="94"/>
      <c r="G2087" s="58" t="s">
        <v>2074</v>
      </c>
      <c r="H2087" s="58">
        <v>2002</v>
      </c>
      <c r="I2087" s="58">
        <v>1998</v>
      </c>
      <c r="J2087" s="58" t="s">
        <v>1709</v>
      </c>
      <c r="K2087" s="58" t="s">
        <v>1990</v>
      </c>
      <c r="L2087" s="58" t="s">
        <v>2737</v>
      </c>
      <c r="M2087" s="94">
        <v>32.57</v>
      </c>
      <c r="N2087" s="94">
        <v>-83.91</v>
      </c>
      <c r="O2087" s="94">
        <v>16</v>
      </c>
      <c r="P2087" s="58">
        <v>18.100000000000001</v>
      </c>
      <c r="Q2087" s="58"/>
      <c r="R2087" s="58">
        <v>1258</v>
      </c>
      <c r="S2087" s="94"/>
      <c r="T2087" s="58"/>
      <c r="U2087" s="58">
        <v>5</v>
      </c>
      <c r="V2087" s="58" t="s">
        <v>1940</v>
      </c>
      <c r="Y2087" s="58" t="s">
        <v>2058</v>
      </c>
      <c r="Z2087" s="58" t="s">
        <v>1346</v>
      </c>
      <c r="AA2087" s="94">
        <v>20</v>
      </c>
      <c r="AD2087" s="94">
        <v>1.39</v>
      </c>
      <c r="AE2087" s="94">
        <v>65</v>
      </c>
      <c r="AF2087" s="94">
        <v>25</v>
      </c>
      <c r="AG2087" s="94"/>
      <c r="AH2087" s="58" t="s">
        <v>238</v>
      </c>
      <c r="AI2087" s="169">
        <v>6.5</v>
      </c>
      <c r="AJ2087" s="94">
        <f>23.9/(100*100*AD2087*0.2)*100</f>
        <v>0.85971223021582732</v>
      </c>
      <c r="AK2087" s="94"/>
      <c r="AL2087" s="58"/>
      <c r="AM2087" s="58" t="s">
        <v>1994</v>
      </c>
      <c r="AN2087" s="186" t="s">
        <v>1991</v>
      </c>
      <c r="AO2087" s="185" t="s">
        <v>5150</v>
      </c>
      <c r="AP2087" s="58"/>
      <c r="AQ2087" s="58" t="s">
        <v>553</v>
      </c>
      <c r="AR2087" s="58" t="s">
        <v>1993</v>
      </c>
      <c r="AS2087" s="58" t="s">
        <v>1580</v>
      </c>
      <c r="AT2087" s="182" t="s">
        <v>1993</v>
      </c>
      <c r="AU2087" s="181" t="s">
        <v>5150</v>
      </c>
      <c r="AV2087" s="185" t="s">
        <v>176</v>
      </c>
      <c r="AW2087" s="58" t="s">
        <v>1993</v>
      </c>
      <c r="AX2087" s="185" t="s">
        <v>176</v>
      </c>
      <c r="AY2087" s="58" t="s">
        <v>176</v>
      </c>
      <c r="AZ2087" s="58" t="s">
        <v>2068</v>
      </c>
      <c r="BA2087" s="58" t="s">
        <v>2068</v>
      </c>
      <c r="BB2087" s="58" t="s">
        <v>2081</v>
      </c>
      <c r="BC2087" s="58" t="s">
        <v>2081</v>
      </c>
      <c r="BD2087" s="55" t="s">
        <v>176</v>
      </c>
      <c r="BE2087" s="236" t="s">
        <v>1995</v>
      </c>
      <c r="BF2087" s="191" t="s">
        <v>479</v>
      </c>
      <c r="BG2087" s="191" t="s">
        <v>479</v>
      </c>
      <c r="BH2087" s="236" t="s">
        <v>1995</v>
      </c>
      <c r="BI2087" s="191" t="s">
        <v>479</v>
      </c>
      <c r="BJ2087" s="55" t="s">
        <v>176</v>
      </c>
      <c r="BK2087" s="58" t="s">
        <v>5976</v>
      </c>
      <c r="BL2087" s="58"/>
      <c r="BM2087" s="237" t="s">
        <v>160</v>
      </c>
      <c r="BN2087" s="58">
        <v>4</v>
      </c>
      <c r="BO2087" s="58">
        <v>4</v>
      </c>
      <c r="BP2087" s="58">
        <v>4</v>
      </c>
      <c r="BQ2087" s="58" t="s">
        <v>141</v>
      </c>
      <c r="BR2087" s="58"/>
      <c r="BS2087" s="58"/>
      <c r="BT2087" s="58"/>
      <c r="BU2087" s="58"/>
      <c r="BV2087" s="58"/>
      <c r="CB2087" s="68"/>
      <c r="CC2087" s="68"/>
      <c r="CD2087" s="68"/>
      <c r="CE2087" s="67"/>
      <c r="CH2087" s="94"/>
      <c r="CI2087" s="94"/>
      <c r="CM2087" s="65">
        <f>(CR2087*1000000)/(100*100*AD2087*AA2087/100*1000000)*100</f>
        <v>0.72302158273381312</v>
      </c>
      <c r="CN2087" s="65">
        <f>(CS2087*1000000)/(100*100*AD2087*AA2087/100*1000000)*100</f>
        <v>0.79496402877697858</v>
      </c>
      <c r="CR2087" s="67">
        <v>20.100000000000001</v>
      </c>
      <c r="CS2087" s="67">
        <v>22.1</v>
      </c>
      <c r="CV2087" s="65" t="s">
        <v>2052</v>
      </c>
      <c r="DA2087" s="65" t="s">
        <v>4463</v>
      </c>
      <c r="DB2087" s="65">
        <v>1.63</v>
      </c>
      <c r="DC2087" s="65">
        <v>1.64</v>
      </c>
      <c r="DF2087" s="65" t="s">
        <v>545</v>
      </c>
      <c r="GP2087" s="292" t="s">
        <v>7494</v>
      </c>
      <c r="JU2087" s="58" t="s">
        <v>2041</v>
      </c>
      <c r="JV2087" s="58" t="s">
        <v>2065</v>
      </c>
    </row>
    <row r="2088" spans="1:282" x14ac:dyDescent="0.25">
      <c r="A2088" s="55">
        <v>2087</v>
      </c>
      <c r="B2088" s="12" t="s">
        <v>7067</v>
      </c>
      <c r="C2088" s="157">
        <v>93</v>
      </c>
      <c r="D2088" s="59" t="s">
        <v>4116</v>
      </c>
      <c r="E2088" s="94" t="s">
        <v>741</v>
      </c>
      <c r="F2088" s="94"/>
      <c r="G2088" s="58" t="s">
        <v>2074</v>
      </c>
      <c r="H2088" s="58">
        <v>2002</v>
      </c>
      <c r="I2088" s="58">
        <v>1999</v>
      </c>
      <c r="J2088" s="58" t="s">
        <v>1709</v>
      </c>
      <c r="K2088" s="58" t="s">
        <v>1990</v>
      </c>
      <c r="L2088" s="58" t="s">
        <v>2737</v>
      </c>
      <c r="M2088" s="94">
        <v>32.57</v>
      </c>
      <c r="N2088" s="94">
        <v>-83.91</v>
      </c>
      <c r="O2088" s="94">
        <v>16</v>
      </c>
      <c r="P2088" s="58">
        <v>18.100000000000001</v>
      </c>
      <c r="Q2088" s="58"/>
      <c r="R2088" s="58">
        <v>1258</v>
      </c>
      <c r="S2088" s="94"/>
      <c r="T2088" s="58"/>
      <c r="U2088" s="58">
        <v>6</v>
      </c>
      <c r="V2088" s="58" t="s">
        <v>1940</v>
      </c>
      <c r="Y2088" s="58" t="s">
        <v>2058</v>
      </c>
      <c r="Z2088" s="58" t="s">
        <v>1346</v>
      </c>
      <c r="AA2088" s="94">
        <v>20</v>
      </c>
      <c r="AD2088" s="94">
        <v>1.39</v>
      </c>
      <c r="AE2088" s="94">
        <v>65</v>
      </c>
      <c r="AF2088" s="94">
        <v>25</v>
      </c>
      <c r="AG2088" s="94"/>
      <c r="AH2088" s="58" t="s">
        <v>238</v>
      </c>
      <c r="AI2088" s="169">
        <v>6.5</v>
      </c>
      <c r="AJ2088" s="94">
        <f>23.9/(100*100*AD2088*0.2)*100</f>
        <v>0.85971223021582732</v>
      </c>
      <c r="AK2088" s="94"/>
      <c r="AL2088" s="58"/>
      <c r="AM2088" s="58" t="s">
        <v>1994</v>
      </c>
      <c r="AN2088" s="186" t="s">
        <v>1991</v>
      </c>
      <c r="AO2088" s="185" t="s">
        <v>5150</v>
      </c>
      <c r="AP2088" s="58"/>
      <c r="AQ2088" s="58" t="s">
        <v>553</v>
      </c>
      <c r="AR2088" s="58" t="s">
        <v>2062</v>
      </c>
      <c r="AS2088" s="58" t="s">
        <v>1580</v>
      </c>
      <c r="AT2088" s="182" t="s">
        <v>1993</v>
      </c>
      <c r="AU2088" s="181" t="s">
        <v>5150</v>
      </c>
      <c r="AV2088" s="185" t="s">
        <v>176</v>
      </c>
      <c r="AW2088" s="58" t="s">
        <v>1993</v>
      </c>
      <c r="AX2088" s="185" t="s">
        <v>176</v>
      </c>
      <c r="AY2088" s="58" t="s">
        <v>176</v>
      </c>
      <c r="AZ2088" s="58" t="s">
        <v>2068</v>
      </c>
      <c r="BA2088" s="58" t="s">
        <v>2068</v>
      </c>
      <c r="BB2088" s="58" t="s">
        <v>2081</v>
      </c>
      <c r="BC2088" s="58" t="s">
        <v>2081</v>
      </c>
      <c r="BD2088" s="55" t="s">
        <v>176</v>
      </c>
      <c r="BE2088" s="236" t="s">
        <v>1995</v>
      </c>
      <c r="BF2088" s="191" t="s">
        <v>479</v>
      </c>
      <c r="BG2088" s="191" t="s">
        <v>479</v>
      </c>
      <c r="BH2088" s="236" t="s">
        <v>1995</v>
      </c>
      <c r="BI2088" s="191" t="s">
        <v>479</v>
      </c>
      <c r="BJ2088" s="55" t="s">
        <v>176</v>
      </c>
      <c r="BK2088" s="58" t="s">
        <v>5976</v>
      </c>
      <c r="BL2088" s="58"/>
      <c r="BM2088" s="237" t="s">
        <v>160</v>
      </c>
      <c r="BN2088" s="58">
        <v>4</v>
      </c>
      <c r="BO2088" s="58">
        <v>4</v>
      </c>
      <c r="BP2088" s="58">
        <v>4</v>
      </c>
      <c r="BQ2088" s="58" t="s">
        <v>141</v>
      </c>
      <c r="BR2088" s="58"/>
      <c r="BS2088" s="58"/>
      <c r="BT2088" s="58"/>
      <c r="BU2088" s="58"/>
      <c r="BV2088" s="58"/>
      <c r="CB2088" s="68"/>
      <c r="CC2088" s="68"/>
      <c r="CD2088" s="68"/>
      <c r="CE2088" s="67"/>
      <c r="CH2088" s="94"/>
      <c r="CI2088" s="94"/>
      <c r="CM2088" s="65">
        <f>(CR2088*1000000)/(100*100*AD2088*AA2088/100*1000000)*100</f>
        <v>0.72302158273381312</v>
      </c>
      <c r="CN2088" s="65">
        <f>(CS2088*1000000)/(100*100*AD2088*AA2088/100*1000000)*100</f>
        <v>0.75539568345323749</v>
      </c>
      <c r="CR2088" s="67">
        <v>20.100000000000001</v>
      </c>
      <c r="CS2088" s="67">
        <v>21</v>
      </c>
      <c r="CV2088" s="65" t="s">
        <v>2052</v>
      </c>
      <c r="DA2088" s="65" t="s">
        <v>4463</v>
      </c>
      <c r="DB2088" s="65">
        <v>1.51</v>
      </c>
      <c r="DC2088" s="65">
        <v>1.43</v>
      </c>
      <c r="DF2088" s="65" t="s">
        <v>545</v>
      </c>
      <c r="GP2088" s="292" t="s">
        <v>7494</v>
      </c>
      <c r="JU2088" s="58" t="s">
        <v>2041</v>
      </c>
      <c r="JV2088" s="58" t="s">
        <v>2065</v>
      </c>
    </row>
    <row r="2089" spans="1:282" x14ac:dyDescent="0.25">
      <c r="A2089" s="55">
        <v>2088</v>
      </c>
      <c r="B2089" s="12" t="s">
        <v>7067</v>
      </c>
      <c r="C2089" s="157">
        <v>93</v>
      </c>
      <c r="D2089" s="59" t="s">
        <v>4117</v>
      </c>
      <c r="E2089" s="94" t="s">
        <v>741</v>
      </c>
      <c r="F2089" s="94"/>
      <c r="G2089" s="58" t="s">
        <v>2074</v>
      </c>
      <c r="H2089" s="58">
        <v>2002</v>
      </c>
      <c r="I2089" s="58">
        <v>1994</v>
      </c>
      <c r="J2089" s="58" t="s">
        <v>1709</v>
      </c>
      <c r="K2089" s="58" t="s">
        <v>1990</v>
      </c>
      <c r="L2089" s="58" t="s">
        <v>2737</v>
      </c>
      <c r="M2089" s="94">
        <v>32.57</v>
      </c>
      <c r="N2089" s="94">
        <v>-83.91</v>
      </c>
      <c r="O2089" s="94">
        <v>16</v>
      </c>
      <c r="P2089" s="58">
        <v>18.100000000000001</v>
      </c>
      <c r="Q2089" s="58"/>
      <c r="R2089" s="58">
        <v>1258</v>
      </c>
      <c r="S2089" s="94"/>
      <c r="T2089" s="58"/>
      <c r="U2089" s="58">
        <v>1</v>
      </c>
      <c r="V2089" s="58" t="s">
        <v>1940</v>
      </c>
      <c r="Y2089" s="58" t="s">
        <v>2058</v>
      </c>
      <c r="Z2089" s="58" t="s">
        <v>1346</v>
      </c>
      <c r="AA2089" s="94">
        <v>20</v>
      </c>
      <c r="AD2089" s="94">
        <v>1.39</v>
      </c>
      <c r="AE2089" s="94">
        <v>65</v>
      </c>
      <c r="AF2089" s="94">
        <v>25</v>
      </c>
      <c r="AG2089" s="94"/>
      <c r="AH2089" s="58" t="s">
        <v>238</v>
      </c>
      <c r="AI2089" s="169">
        <v>6.5</v>
      </c>
      <c r="AJ2089" s="94">
        <f>23.9/(100*100*AD2089*0.2)*100</f>
        <v>0.85971223021582732</v>
      </c>
      <c r="AK2089" s="94"/>
      <c r="AL2089" s="58"/>
      <c r="AM2089" s="58" t="s">
        <v>1994</v>
      </c>
      <c r="AN2089" s="186" t="s">
        <v>1991</v>
      </c>
      <c r="AO2089" s="185" t="s">
        <v>5150</v>
      </c>
      <c r="AP2089" s="58"/>
      <c r="AQ2089" s="58" t="s">
        <v>553</v>
      </c>
      <c r="AR2089" s="58" t="s">
        <v>1993</v>
      </c>
      <c r="AS2089" s="58" t="s">
        <v>1580</v>
      </c>
      <c r="AT2089" s="182" t="s">
        <v>1993</v>
      </c>
      <c r="AU2089" s="181" t="s">
        <v>5150</v>
      </c>
      <c r="AV2089" s="185" t="s">
        <v>176</v>
      </c>
      <c r="AW2089" s="58" t="s">
        <v>1993</v>
      </c>
      <c r="AX2089" s="185" t="s">
        <v>176</v>
      </c>
      <c r="AY2089" s="58" t="s">
        <v>176</v>
      </c>
      <c r="AZ2089" s="58" t="s">
        <v>2068</v>
      </c>
      <c r="BA2089" s="58" t="s">
        <v>2068</v>
      </c>
      <c r="BB2089" s="58" t="s">
        <v>2081</v>
      </c>
      <c r="BC2089" s="58" t="s">
        <v>2081</v>
      </c>
      <c r="BD2089" s="55" t="s">
        <v>176</v>
      </c>
      <c r="BE2089" s="236" t="s">
        <v>1992</v>
      </c>
      <c r="BF2089" s="191" t="s">
        <v>479</v>
      </c>
      <c r="BG2089" s="191" t="s">
        <v>479</v>
      </c>
      <c r="BH2089" s="236" t="s">
        <v>1992</v>
      </c>
      <c r="BI2089" s="191" t="s">
        <v>479</v>
      </c>
      <c r="BJ2089" s="55" t="s">
        <v>176</v>
      </c>
      <c r="BK2089" s="58" t="s">
        <v>5976</v>
      </c>
      <c r="BL2089" s="58"/>
      <c r="BM2089" s="237" t="s">
        <v>160</v>
      </c>
      <c r="BN2089" s="58">
        <v>4</v>
      </c>
      <c r="BO2089" s="58">
        <v>4</v>
      </c>
      <c r="BP2089" s="58">
        <v>4</v>
      </c>
      <c r="BQ2089" s="58" t="s">
        <v>141</v>
      </c>
      <c r="BR2089" s="58"/>
      <c r="BU2089" s="58"/>
      <c r="BV2089" s="58"/>
      <c r="CB2089" s="68"/>
      <c r="CC2089" s="68"/>
      <c r="CD2089" s="68"/>
      <c r="CE2089" s="67"/>
      <c r="CH2089" s="94"/>
      <c r="CI2089" s="94"/>
      <c r="CM2089" s="65">
        <f>(CR2089*1000000)/(100*100*AD2089*AA2089/100*1000000)*100</f>
        <v>0.85971223021582743</v>
      </c>
      <c r="CN2089" s="65">
        <f>(CS2089*1000000)/(100*100*AD2089*AA2089/100*1000000)*100</f>
        <v>0.85971223021582743</v>
      </c>
      <c r="CR2089" s="67">
        <v>23.9</v>
      </c>
      <c r="CS2089" s="67">
        <v>23.9</v>
      </c>
      <c r="CV2089" s="65" t="s">
        <v>2052</v>
      </c>
      <c r="DA2089" s="65" t="s">
        <v>4463</v>
      </c>
      <c r="DB2089" s="65">
        <v>1.95</v>
      </c>
      <c r="DC2089" s="65">
        <v>1.95</v>
      </c>
      <c r="DF2089" s="65" t="s">
        <v>545</v>
      </c>
      <c r="GP2089" s="292" t="s">
        <v>7494</v>
      </c>
      <c r="JU2089" s="58" t="s">
        <v>2041</v>
      </c>
      <c r="JV2089" s="58" t="s">
        <v>2065</v>
      </c>
    </row>
    <row r="2090" spans="1:282" x14ac:dyDescent="0.25">
      <c r="A2090" s="55">
        <v>2089</v>
      </c>
      <c r="B2090" s="12" t="s">
        <v>7067</v>
      </c>
      <c r="C2090" s="157">
        <v>93</v>
      </c>
      <c r="D2090" s="59" t="s">
        <v>4117</v>
      </c>
      <c r="E2090" s="94" t="s">
        <v>741</v>
      </c>
      <c r="F2090" s="94"/>
      <c r="G2090" s="58" t="s">
        <v>2074</v>
      </c>
      <c r="H2090" s="58">
        <v>2002</v>
      </c>
      <c r="I2090" s="58">
        <v>1995</v>
      </c>
      <c r="J2090" s="58" t="s">
        <v>1709</v>
      </c>
      <c r="K2090" s="58" t="s">
        <v>1990</v>
      </c>
      <c r="L2090" s="58" t="s">
        <v>2737</v>
      </c>
      <c r="M2090" s="94">
        <v>32.57</v>
      </c>
      <c r="N2090" s="94">
        <v>-83.91</v>
      </c>
      <c r="O2090" s="94">
        <v>16</v>
      </c>
      <c r="P2090" s="58">
        <v>18.100000000000001</v>
      </c>
      <c r="Q2090" s="58"/>
      <c r="R2090" s="58">
        <v>1258</v>
      </c>
      <c r="S2090" s="94"/>
      <c r="T2090" s="58"/>
      <c r="U2090" s="58">
        <v>2</v>
      </c>
      <c r="V2090" s="58" t="s">
        <v>1940</v>
      </c>
      <c r="Y2090" s="58" t="s">
        <v>2058</v>
      </c>
      <c r="Z2090" s="58" t="s">
        <v>1346</v>
      </c>
      <c r="AA2090" s="94">
        <v>20</v>
      </c>
      <c r="AD2090" s="94">
        <v>1.39</v>
      </c>
      <c r="AE2090" s="94">
        <v>65</v>
      </c>
      <c r="AF2090" s="94">
        <v>25</v>
      </c>
      <c r="AG2090" s="94"/>
      <c r="AH2090" s="58" t="s">
        <v>238</v>
      </c>
      <c r="AI2090" s="169">
        <v>6.5</v>
      </c>
      <c r="AJ2090" s="94">
        <f>23.9/(100*100*AD2090*0.2)*100</f>
        <v>0.85971223021582732</v>
      </c>
      <c r="AK2090" s="94"/>
      <c r="AL2090" s="58"/>
      <c r="AM2090" s="58" t="s">
        <v>1994</v>
      </c>
      <c r="AN2090" s="186" t="s">
        <v>1991</v>
      </c>
      <c r="AO2090" s="185" t="s">
        <v>5150</v>
      </c>
      <c r="AP2090" s="58"/>
      <c r="AQ2090" s="58" t="s">
        <v>553</v>
      </c>
      <c r="AR2090" s="58" t="s">
        <v>1993</v>
      </c>
      <c r="AS2090" s="58" t="s">
        <v>1580</v>
      </c>
      <c r="AT2090" s="182" t="s">
        <v>1993</v>
      </c>
      <c r="AU2090" s="181" t="s">
        <v>5150</v>
      </c>
      <c r="AV2090" s="185" t="s">
        <v>176</v>
      </c>
      <c r="AW2090" s="58" t="s">
        <v>1993</v>
      </c>
      <c r="AX2090" s="185" t="s">
        <v>176</v>
      </c>
      <c r="AY2090" s="58" t="s">
        <v>176</v>
      </c>
      <c r="AZ2090" s="58" t="s">
        <v>2068</v>
      </c>
      <c r="BA2090" s="58" t="s">
        <v>2068</v>
      </c>
      <c r="BB2090" s="58" t="s">
        <v>2081</v>
      </c>
      <c r="BC2090" s="58" t="s">
        <v>2081</v>
      </c>
      <c r="BD2090" s="55" t="s">
        <v>176</v>
      </c>
      <c r="BE2090" s="236" t="s">
        <v>1992</v>
      </c>
      <c r="BF2090" s="191" t="s">
        <v>479</v>
      </c>
      <c r="BG2090" s="191" t="s">
        <v>479</v>
      </c>
      <c r="BH2090" s="236" t="s">
        <v>1992</v>
      </c>
      <c r="BI2090" s="191" t="s">
        <v>479</v>
      </c>
      <c r="BJ2090" s="55" t="s">
        <v>176</v>
      </c>
      <c r="BK2090" s="58" t="s">
        <v>5976</v>
      </c>
      <c r="BL2090" s="58"/>
      <c r="BM2090" s="237" t="s">
        <v>160</v>
      </c>
      <c r="BN2090" s="58">
        <v>4</v>
      </c>
      <c r="BO2090" s="58">
        <v>4</v>
      </c>
      <c r="BP2090" s="58">
        <v>4</v>
      </c>
      <c r="BQ2090" s="58" t="s">
        <v>141</v>
      </c>
      <c r="BR2090" s="58"/>
      <c r="BS2090" s="58"/>
      <c r="BT2090" s="58"/>
      <c r="BU2090" s="58"/>
      <c r="BV2090" s="58"/>
      <c r="CB2090" s="68"/>
      <c r="CC2090" s="68"/>
      <c r="CD2090" s="68"/>
      <c r="CE2090" s="67"/>
      <c r="CH2090" s="94"/>
      <c r="CI2090" s="94"/>
      <c r="CM2090" s="65">
        <f>(CR2090*1000000)/(100*100*AD2090*AA2090/100*1000000)*100</f>
        <v>0.6546762589928059</v>
      </c>
      <c r="CN2090" s="65">
        <f>(CS2090*1000000)/(100*100*AD2090*AA2090/100*1000000)*100</f>
        <v>0.68345323741007213</v>
      </c>
      <c r="CR2090" s="67">
        <v>18.2</v>
      </c>
      <c r="CS2090" s="67">
        <v>19</v>
      </c>
      <c r="CV2090" s="65" t="s">
        <v>2052</v>
      </c>
      <c r="DA2090" s="65" t="s">
        <v>4463</v>
      </c>
      <c r="DB2090" s="65">
        <v>1.82</v>
      </c>
      <c r="DC2090" s="65">
        <v>1.53</v>
      </c>
      <c r="DF2090" s="65" t="s">
        <v>545</v>
      </c>
      <c r="GP2090" s="292" t="s">
        <v>7494</v>
      </c>
      <c r="JU2090" s="58" t="s">
        <v>2041</v>
      </c>
      <c r="JV2090" s="58" t="s">
        <v>2065</v>
      </c>
    </row>
    <row r="2091" spans="1:282" x14ac:dyDescent="0.25">
      <c r="A2091" s="55">
        <v>2090</v>
      </c>
      <c r="B2091" s="12" t="s">
        <v>7067</v>
      </c>
      <c r="C2091" s="157">
        <v>93</v>
      </c>
      <c r="D2091" s="59" t="s">
        <v>4117</v>
      </c>
      <c r="E2091" s="94" t="s">
        <v>741</v>
      </c>
      <c r="F2091" s="94"/>
      <c r="G2091" s="58" t="s">
        <v>2074</v>
      </c>
      <c r="H2091" s="58">
        <v>2002</v>
      </c>
      <c r="I2091" s="58">
        <v>1996</v>
      </c>
      <c r="J2091" s="58" t="s">
        <v>1709</v>
      </c>
      <c r="K2091" s="58" t="s">
        <v>1990</v>
      </c>
      <c r="L2091" s="58" t="s">
        <v>2737</v>
      </c>
      <c r="M2091" s="94">
        <v>32.57</v>
      </c>
      <c r="N2091" s="94">
        <v>-83.91</v>
      </c>
      <c r="O2091" s="94">
        <v>16</v>
      </c>
      <c r="P2091" s="58">
        <v>18.100000000000001</v>
      </c>
      <c r="Q2091" s="58"/>
      <c r="R2091" s="58">
        <v>1258</v>
      </c>
      <c r="S2091" s="94"/>
      <c r="T2091" s="58"/>
      <c r="U2091" s="58">
        <v>3</v>
      </c>
      <c r="V2091" s="58" t="s">
        <v>1940</v>
      </c>
      <c r="Y2091" s="58" t="s">
        <v>2058</v>
      </c>
      <c r="Z2091" s="58" t="s">
        <v>1346</v>
      </c>
      <c r="AA2091" s="94">
        <v>20</v>
      </c>
      <c r="AD2091" s="94">
        <v>1.39</v>
      </c>
      <c r="AE2091" s="94">
        <v>65</v>
      </c>
      <c r="AF2091" s="94">
        <v>25</v>
      </c>
      <c r="AG2091" s="94"/>
      <c r="AH2091" s="58" t="s">
        <v>238</v>
      </c>
      <c r="AI2091" s="169">
        <v>6.5</v>
      </c>
      <c r="AJ2091" s="94">
        <f>23.9/(100*100*AD2091*0.2)*100</f>
        <v>0.85971223021582732</v>
      </c>
      <c r="AK2091" s="94"/>
      <c r="AL2091" s="58"/>
      <c r="AM2091" s="58" t="s">
        <v>1994</v>
      </c>
      <c r="AN2091" s="186" t="s">
        <v>1991</v>
      </c>
      <c r="AO2091" s="185" t="s">
        <v>5150</v>
      </c>
      <c r="AP2091" s="58"/>
      <c r="AQ2091" s="58" t="s">
        <v>553</v>
      </c>
      <c r="AR2091" s="58" t="s">
        <v>1993</v>
      </c>
      <c r="AS2091" s="58" t="s">
        <v>1580</v>
      </c>
      <c r="AT2091" s="182" t="s">
        <v>1993</v>
      </c>
      <c r="AU2091" s="181" t="s">
        <v>5150</v>
      </c>
      <c r="AV2091" s="185" t="s">
        <v>176</v>
      </c>
      <c r="AW2091" s="58" t="s">
        <v>1993</v>
      </c>
      <c r="AX2091" s="185" t="s">
        <v>176</v>
      </c>
      <c r="AY2091" s="58" t="s">
        <v>176</v>
      </c>
      <c r="AZ2091" s="58" t="s">
        <v>2068</v>
      </c>
      <c r="BA2091" s="58" t="s">
        <v>2068</v>
      </c>
      <c r="BB2091" s="58" t="s">
        <v>2081</v>
      </c>
      <c r="BC2091" s="58" t="s">
        <v>2081</v>
      </c>
      <c r="BD2091" s="55" t="s">
        <v>176</v>
      </c>
      <c r="BE2091" s="236" t="s">
        <v>1992</v>
      </c>
      <c r="BF2091" s="191" t="s">
        <v>479</v>
      </c>
      <c r="BG2091" s="191" t="s">
        <v>479</v>
      </c>
      <c r="BH2091" s="236" t="s">
        <v>1992</v>
      </c>
      <c r="BI2091" s="191" t="s">
        <v>479</v>
      </c>
      <c r="BJ2091" s="55" t="s">
        <v>176</v>
      </c>
      <c r="BK2091" s="58" t="s">
        <v>5976</v>
      </c>
      <c r="BL2091" s="58"/>
      <c r="BM2091" s="237" t="s">
        <v>160</v>
      </c>
      <c r="BN2091" s="58">
        <v>4</v>
      </c>
      <c r="BO2091" s="58">
        <v>4</v>
      </c>
      <c r="BP2091" s="58">
        <v>4</v>
      </c>
      <c r="BQ2091" s="58" t="s">
        <v>141</v>
      </c>
      <c r="BR2091" s="58"/>
      <c r="BU2091" s="58"/>
      <c r="BV2091" s="58"/>
      <c r="CB2091" s="68"/>
      <c r="CC2091" s="68"/>
      <c r="CD2091" s="68"/>
      <c r="CE2091" s="67"/>
      <c r="CH2091" s="94"/>
      <c r="CI2091" s="94"/>
      <c r="CM2091" s="65">
        <f>(CR2091*1000000)/(100*100*AD2091*AA2091/100*1000000)*100</f>
        <v>0.64748201438848929</v>
      </c>
      <c r="CN2091" s="65">
        <f>(CS2091*1000000)/(100*100*AD2091*AA2091/100*1000000)*100</f>
        <v>0.76618705035971235</v>
      </c>
      <c r="CR2091" s="67">
        <v>18</v>
      </c>
      <c r="CS2091" s="67">
        <v>21.3</v>
      </c>
      <c r="CV2091" s="65" t="s">
        <v>2052</v>
      </c>
      <c r="DA2091" s="65" t="s">
        <v>4463</v>
      </c>
      <c r="DB2091" s="65">
        <v>1.79</v>
      </c>
      <c r="DC2091" s="65">
        <v>1.82</v>
      </c>
      <c r="DF2091" s="65" t="s">
        <v>545</v>
      </c>
      <c r="GP2091" s="292" t="s">
        <v>7494</v>
      </c>
      <c r="JU2091" s="58" t="s">
        <v>2041</v>
      </c>
      <c r="JV2091" s="58" t="s">
        <v>2065</v>
      </c>
    </row>
    <row r="2092" spans="1:282" x14ac:dyDescent="0.25">
      <c r="A2092" s="55">
        <v>2091</v>
      </c>
      <c r="B2092" s="12" t="s">
        <v>7067</v>
      </c>
      <c r="C2092" s="157">
        <v>93</v>
      </c>
      <c r="D2092" s="59" t="s">
        <v>4117</v>
      </c>
      <c r="E2092" s="94" t="s">
        <v>741</v>
      </c>
      <c r="F2092" s="94"/>
      <c r="G2092" s="58" t="s">
        <v>2074</v>
      </c>
      <c r="H2092" s="58">
        <v>2002</v>
      </c>
      <c r="I2092" s="58">
        <v>1997</v>
      </c>
      <c r="J2092" s="58" t="s">
        <v>1709</v>
      </c>
      <c r="K2092" s="58" t="s">
        <v>1990</v>
      </c>
      <c r="L2092" s="58" t="s">
        <v>2737</v>
      </c>
      <c r="M2092" s="94">
        <v>32.57</v>
      </c>
      <c r="N2092" s="94">
        <v>-83.91</v>
      </c>
      <c r="O2092" s="94">
        <v>16</v>
      </c>
      <c r="P2092" s="58">
        <v>18.100000000000001</v>
      </c>
      <c r="Q2092" s="58"/>
      <c r="R2092" s="58">
        <v>1258</v>
      </c>
      <c r="S2092" s="94"/>
      <c r="T2092" s="58"/>
      <c r="U2092" s="58">
        <v>4</v>
      </c>
      <c r="V2092" s="58" t="s">
        <v>1940</v>
      </c>
      <c r="Y2092" s="58" t="s">
        <v>2058</v>
      </c>
      <c r="Z2092" s="58" t="s">
        <v>1346</v>
      </c>
      <c r="AA2092" s="94">
        <v>20</v>
      </c>
      <c r="AD2092" s="94">
        <v>1.39</v>
      </c>
      <c r="AE2092" s="94">
        <v>65</v>
      </c>
      <c r="AF2092" s="94">
        <v>25</v>
      </c>
      <c r="AG2092" s="94"/>
      <c r="AH2092" s="58" t="s">
        <v>238</v>
      </c>
      <c r="AI2092" s="169">
        <v>6.5</v>
      </c>
      <c r="AJ2092" s="94">
        <f>23.9/(100*100*AD2092*0.2)*100</f>
        <v>0.85971223021582732</v>
      </c>
      <c r="AK2092" s="94"/>
      <c r="AL2092" s="58"/>
      <c r="AM2092" s="58" t="s">
        <v>1994</v>
      </c>
      <c r="AN2092" s="186" t="s">
        <v>1991</v>
      </c>
      <c r="AO2092" s="185" t="s">
        <v>5150</v>
      </c>
      <c r="AP2092" s="58"/>
      <c r="AQ2092" s="58" t="s">
        <v>553</v>
      </c>
      <c r="AR2092" s="58" t="s">
        <v>1993</v>
      </c>
      <c r="AS2092" s="58" t="s">
        <v>1580</v>
      </c>
      <c r="AT2092" s="182" t="s">
        <v>1993</v>
      </c>
      <c r="AU2092" s="181" t="s">
        <v>5150</v>
      </c>
      <c r="AV2092" s="185" t="s">
        <v>176</v>
      </c>
      <c r="AW2092" s="58" t="s">
        <v>1993</v>
      </c>
      <c r="AX2092" s="185" t="s">
        <v>176</v>
      </c>
      <c r="AY2092" s="58" t="s">
        <v>176</v>
      </c>
      <c r="AZ2092" s="58" t="s">
        <v>2068</v>
      </c>
      <c r="BA2092" s="58" t="s">
        <v>2068</v>
      </c>
      <c r="BB2092" s="58" t="s">
        <v>2081</v>
      </c>
      <c r="BC2092" s="58" t="s">
        <v>2081</v>
      </c>
      <c r="BD2092" s="55" t="s">
        <v>176</v>
      </c>
      <c r="BE2092" s="236" t="s">
        <v>1992</v>
      </c>
      <c r="BF2092" s="191" t="s">
        <v>479</v>
      </c>
      <c r="BG2092" s="191" t="s">
        <v>479</v>
      </c>
      <c r="BH2092" s="236" t="s">
        <v>1992</v>
      </c>
      <c r="BI2092" s="191" t="s">
        <v>479</v>
      </c>
      <c r="BJ2092" s="55" t="s">
        <v>176</v>
      </c>
      <c r="BK2092" s="58" t="s">
        <v>5976</v>
      </c>
      <c r="BL2092" s="58"/>
      <c r="BM2092" s="237" t="s">
        <v>160</v>
      </c>
      <c r="BN2092" s="58">
        <v>4</v>
      </c>
      <c r="BO2092" s="58">
        <v>4</v>
      </c>
      <c r="BP2092" s="58">
        <v>4</v>
      </c>
      <c r="BQ2092" s="58" t="s">
        <v>141</v>
      </c>
      <c r="BR2092" s="58"/>
      <c r="BS2092" s="58"/>
      <c r="BT2092" s="58"/>
      <c r="BU2092" s="58"/>
      <c r="BV2092" s="58"/>
      <c r="CB2092" s="68"/>
      <c r="CC2092" s="68"/>
      <c r="CD2092" s="68"/>
      <c r="CE2092" s="67"/>
      <c r="CH2092" s="94"/>
      <c r="CI2092" s="94"/>
      <c r="CM2092" s="65">
        <f>(CR2092*1000000)/(100*100*AD2092*AA2092/100*1000000)*100</f>
        <v>0.68705035971223027</v>
      </c>
      <c r="CN2092" s="65">
        <f>(CS2092*1000000)/(100*100*AD2092*AA2092/100*1000000)*100</f>
        <v>0.73381294964028787</v>
      </c>
      <c r="CR2092" s="67">
        <v>19.100000000000001</v>
      </c>
      <c r="CS2092" s="67">
        <v>20.399999999999999</v>
      </c>
      <c r="CV2092" s="65" t="s">
        <v>2052</v>
      </c>
      <c r="DA2092" s="65" t="s">
        <v>4463</v>
      </c>
      <c r="DB2092" s="65">
        <v>1.69</v>
      </c>
      <c r="DC2092" s="65">
        <v>1.71</v>
      </c>
      <c r="DF2092" s="65" t="s">
        <v>545</v>
      </c>
      <c r="GP2092" s="292" t="s">
        <v>7494</v>
      </c>
      <c r="JU2092" s="58" t="s">
        <v>2041</v>
      </c>
      <c r="JV2092" s="58" t="s">
        <v>2065</v>
      </c>
    </row>
    <row r="2093" spans="1:282" x14ac:dyDescent="0.25">
      <c r="A2093" s="55">
        <v>2092</v>
      </c>
      <c r="B2093" s="12" t="s">
        <v>7067</v>
      </c>
      <c r="C2093" s="157">
        <v>93</v>
      </c>
      <c r="D2093" s="59" t="s">
        <v>4117</v>
      </c>
      <c r="E2093" s="94" t="s">
        <v>741</v>
      </c>
      <c r="F2093" s="94"/>
      <c r="G2093" s="58" t="s">
        <v>2074</v>
      </c>
      <c r="H2093" s="58">
        <v>2002</v>
      </c>
      <c r="I2093" s="58">
        <v>1998</v>
      </c>
      <c r="J2093" s="58" t="s">
        <v>1709</v>
      </c>
      <c r="K2093" s="58" t="s">
        <v>1990</v>
      </c>
      <c r="L2093" s="58" t="s">
        <v>2737</v>
      </c>
      <c r="M2093" s="94">
        <v>32.57</v>
      </c>
      <c r="N2093" s="94">
        <v>-83.91</v>
      </c>
      <c r="O2093" s="94">
        <v>16</v>
      </c>
      <c r="P2093" s="58">
        <v>18.100000000000001</v>
      </c>
      <c r="Q2093" s="58"/>
      <c r="R2093" s="58">
        <v>1258</v>
      </c>
      <c r="S2093" s="94"/>
      <c r="T2093" s="58"/>
      <c r="U2093" s="58">
        <v>5</v>
      </c>
      <c r="V2093" s="58" t="s">
        <v>1940</v>
      </c>
      <c r="Y2093" s="58" t="s">
        <v>2058</v>
      </c>
      <c r="Z2093" s="58" t="s">
        <v>1346</v>
      </c>
      <c r="AA2093" s="94">
        <v>20</v>
      </c>
      <c r="AD2093" s="94">
        <v>1.39</v>
      </c>
      <c r="AE2093" s="94">
        <v>65</v>
      </c>
      <c r="AF2093" s="94">
        <v>25</v>
      </c>
      <c r="AG2093" s="94"/>
      <c r="AH2093" s="58" t="s">
        <v>238</v>
      </c>
      <c r="AI2093" s="169">
        <v>6.5</v>
      </c>
      <c r="AJ2093" s="94">
        <f>23.9/(100*100*AD2093*0.2)*100</f>
        <v>0.85971223021582732</v>
      </c>
      <c r="AK2093" s="94"/>
      <c r="AL2093" s="58"/>
      <c r="AM2093" s="58" t="s">
        <v>1994</v>
      </c>
      <c r="AN2093" s="186" t="s">
        <v>1991</v>
      </c>
      <c r="AO2093" s="185" t="s">
        <v>5150</v>
      </c>
      <c r="AP2093" s="58"/>
      <c r="AQ2093" s="58" t="s">
        <v>553</v>
      </c>
      <c r="AR2093" s="58" t="s">
        <v>1993</v>
      </c>
      <c r="AS2093" s="58" t="s">
        <v>1580</v>
      </c>
      <c r="AT2093" s="182" t="s">
        <v>1993</v>
      </c>
      <c r="AU2093" s="181" t="s">
        <v>5150</v>
      </c>
      <c r="AV2093" s="185" t="s">
        <v>176</v>
      </c>
      <c r="AW2093" s="58" t="s">
        <v>1993</v>
      </c>
      <c r="AX2093" s="185" t="s">
        <v>176</v>
      </c>
      <c r="AY2093" s="58" t="s">
        <v>176</v>
      </c>
      <c r="AZ2093" s="58" t="s">
        <v>2068</v>
      </c>
      <c r="BA2093" s="58" t="s">
        <v>2068</v>
      </c>
      <c r="BB2093" s="58" t="s">
        <v>2081</v>
      </c>
      <c r="BC2093" s="58" t="s">
        <v>2081</v>
      </c>
      <c r="BD2093" s="55" t="s">
        <v>176</v>
      </c>
      <c r="BE2093" s="236" t="s">
        <v>1992</v>
      </c>
      <c r="BF2093" s="191" t="s">
        <v>479</v>
      </c>
      <c r="BG2093" s="191" t="s">
        <v>479</v>
      </c>
      <c r="BH2093" s="236" t="s">
        <v>1992</v>
      </c>
      <c r="BI2093" s="191" t="s">
        <v>479</v>
      </c>
      <c r="BJ2093" s="55" t="s">
        <v>176</v>
      </c>
      <c r="BK2093" s="58" t="s">
        <v>5976</v>
      </c>
      <c r="BL2093" s="58"/>
      <c r="BM2093" s="237" t="s">
        <v>160</v>
      </c>
      <c r="BN2093" s="58">
        <v>4</v>
      </c>
      <c r="BO2093" s="58">
        <v>4</v>
      </c>
      <c r="BP2093" s="58">
        <v>4</v>
      </c>
      <c r="BQ2093" s="58" t="s">
        <v>141</v>
      </c>
      <c r="BR2093" s="58"/>
      <c r="BS2093" s="58"/>
      <c r="BT2093" s="58"/>
      <c r="BU2093" s="58"/>
      <c r="BV2093" s="58"/>
      <c r="CB2093" s="68"/>
      <c r="CC2093" s="68"/>
      <c r="CD2093" s="68"/>
      <c r="CE2093" s="67"/>
      <c r="CH2093" s="94"/>
      <c r="CI2093" s="94"/>
      <c r="CM2093" s="65">
        <f>(CR2093*1000000)/(100*100*AD2093*AA2093/100*1000000)*100</f>
        <v>0.72302158273381312</v>
      </c>
      <c r="CN2093" s="65">
        <f>(CS2093*1000000)/(100*100*AD2093*AA2093/100*1000000)*100</f>
        <v>0.79496402877697858</v>
      </c>
      <c r="CR2093" s="67">
        <v>20.100000000000001</v>
      </c>
      <c r="CS2093" s="67">
        <v>22.1</v>
      </c>
      <c r="CV2093" s="65" t="s">
        <v>2052</v>
      </c>
      <c r="DA2093" s="65" t="s">
        <v>4463</v>
      </c>
      <c r="DB2093" s="65">
        <v>1.64</v>
      </c>
      <c r="DC2093" s="65">
        <v>1.62</v>
      </c>
      <c r="DF2093" s="65" t="s">
        <v>545</v>
      </c>
      <c r="GP2093" s="292" t="s">
        <v>7494</v>
      </c>
      <c r="JU2093" s="58" t="s">
        <v>2041</v>
      </c>
      <c r="JV2093" s="58" t="s">
        <v>2065</v>
      </c>
    </row>
    <row r="2094" spans="1:282" x14ac:dyDescent="0.25">
      <c r="A2094" s="55">
        <v>2093</v>
      </c>
      <c r="B2094" s="12" t="s">
        <v>7067</v>
      </c>
      <c r="C2094" s="157">
        <v>93</v>
      </c>
      <c r="D2094" s="59" t="s">
        <v>4117</v>
      </c>
      <c r="E2094" s="94" t="s">
        <v>741</v>
      </c>
      <c r="F2094" s="94"/>
      <c r="G2094" s="58" t="s">
        <v>2074</v>
      </c>
      <c r="H2094" s="58">
        <v>2002</v>
      </c>
      <c r="I2094" s="58">
        <v>1999</v>
      </c>
      <c r="J2094" s="58" t="s">
        <v>1709</v>
      </c>
      <c r="K2094" s="58" t="s">
        <v>1990</v>
      </c>
      <c r="L2094" s="58" t="s">
        <v>2737</v>
      </c>
      <c r="M2094" s="94">
        <v>32.57</v>
      </c>
      <c r="N2094" s="94">
        <v>-83.91</v>
      </c>
      <c r="O2094" s="94">
        <v>16</v>
      </c>
      <c r="P2094" s="58">
        <v>18.100000000000001</v>
      </c>
      <c r="Q2094" s="58"/>
      <c r="R2094" s="58">
        <v>1258</v>
      </c>
      <c r="S2094" s="94"/>
      <c r="T2094" s="58"/>
      <c r="U2094" s="58">
        <v>6</v>
      </c>
      <c r="V2094" s="58" t="s">
        <v>1940</v>
      </c>
      <c r="Y2094" s="58" t="s">
        <v>2058</v>
      </c>
      <c r="Z2094" s="58" t="s">
        <v>1346</v>
      </c>
      <c r="AA2094" s="94">
        <v>20</v>
      </c>
      <c r="AD2094" s="94">
        <v>1.39</v>
      </c>
      <c r="AE2094" s="94">
        <v>65</v>
      </c>
      <c r="AF2094" s="94">
        <v>25</v>
      </c>
      <c r="AG2094" s="94"/>
      <c r="AH2094" s="58" t="s">
        <v>238</v>
      </c>
      <c r="AI2094" s="169">
        <v>6.5</v>
      </c>
      <c r="AJ2094" s="94">
        <f>23.9/(100*100*AD2094*0.2)*100</f>
        <v>0.85971223021582732</v>
      </c>
      <c r="AK2094" s="94"/>
      <c r="AL2094" s="58"/>
      <c r="AM2094" s="58" t="s">
        <v>1994</v>
      </c>
      <c r="AN2094" s="186" t="s">
        <v>1991</v>
      </c>
      <c r="AO2094" s="185" t="s">
        <v>5150</v>
      </c>
      <c r="AP2094" s="58"/>
      <c r="AQ2094" s="58" t="s">
        <v>553</v>
      </c>
      <c r="AR2094" s="58" t="s">
        <v>2062</v>
      </c>
      <c r="AS2094" s="58" t="s">
        <v>1580</v>
      </c>
      <c r="AT2094" s="182" t="s">
        <v>1993</v>
      </c>
      <c r="AU2094" s="181" t="s">
        <v>5150</v>
      </c>
      <c r="AV2094" s="185" t="s">
        <v>176</v>
      </c>
      <c r="AW2094" s="58" t="s">
        <v>1993</v>
      </c>
      <c r="AX2094" s="185" t="s">
        <v>176</v>
      </c>
      <c r="AY2094" s="58" t="s">
        <v>176</v>
      </c>
      <c r="AZ2094" s="58" t="s">
        <v>2068</v>
      </c>
      <c r="BA2094" s="58" t="s">
        <v>2068</v>
      </c>
      <c r="BB2094" s="58" t="s">
        <v>2081</v>
      </c>
      <c r="BC2094" s="58" t="s">
        <v>2081</v>
      </c>
      <c r="BD2094" s="55" t="s">
        <v>176</v>
      </c>
      <c r="BE2094" s="236" t="s">
        <v>1992</v>
      </c>
      <c r="BF2094" s="191" t="s">
        <v>479</v>
      </c>
      <c r="BG2094" s="191" t="s">
        <v>479</v>
      </c>
      <c r="BH2094" s="236" t="s">
        <v>1992</v>
      </c>
      <c r="BI2094" s="191" t="s">
        <v>479</v>
      </c>
      <c r="BJ2094" s="55" t="s">
        <v>176</v>
      </c>
      <c r="BK2094" s="58" t="s">
        <v>5976</v>
      </c>
      <c r="BL2094" s="58"/>
      <c r="BM2094" s="237" t="s">
        <v>160</v>
      </c>
      <c r="BN2094" s="58">
        <v>4</v>
      </c>
      <c r="BO2094" s="58">
        <v>4</v>
      </c>
      <c r="BP2094" s="58">
        <v>4</v>
      </c>
      <c r="BQ2094" s="58" t="s">
        <v>141</v>
      </c>
      <c r="BR2094" s="58"/>
      <c r="BS2094" s="58"/>
      <c r="BT2094" s="58"/>
      <c r="BU2094" s="58"/>
      <c r="BV2094" s="58"/>
      <c r="CB2094" s="68"/>
      <c r="CC2094" s="68"/>
      <c r="CD2094" s="68"/>
      <c r="CE2094" s="67"/>
      <c r="CH2094" s="94"/>
      <c r="CI2094" s="94"/>
      <c r="CM2094" s="65">
        <f>(CR2094*1000000)/(100*100*AD2094*AA2094/100*1000000)*100</f>
        <v>0.73021582733812962</v>
      </c>
      <c r="CN2094" s="65">
        <f>(CS2094*1000000)/(100*100*AD2094*AA2094/100*1000000)*100</f>
        <v>0.71942446043165476</v>
      </c>
      <c r="CR2094" s="67">
        <v>20.3</v>
      </c>
      <c r="CS2094" s="67">
        <v>20</v>
      </c>
      <c r="CV2094" s="65" t="s">
        <v>2052</v>
      </c>
      <c r="DA2094" s="65" t="s">
        <v>4463</v>
      </c>
      <c r="DB2094" s="65">
        <v>1.53</v>
      </c>
      <c r="DC2094" s="65">
        <v>1.39</v>
      </c>
      <c r="DF2094" s="65" t="s">
        <v>545</v>
      </c>
      <c r="GP2094" s="292" t="s">
        <v>7494</v>
      </c>
      <c r="JU2094" s="58" t="s">
        <v>2041</v>
      </c>
      <c r="JV2094" s="58" t="s">
        <v>2065</v>
      </c>
    </row>
    <row r="2095" spans="1:282" x14ac:dyDescent="0.25">
      <c r="A2095" s="55">
        <v>2094</v>
      </c>
      <c r="B2095" s="12" t="s">
        <v>7067</v>
      </c>
      <c r="C2095" s="157">
        <v>94</v>
      </c>
      <c r="D2095" s="59" t="s">
        <v>4118</v>
      </c>
      <c r="E2095" s="93" t="s">
        <v>741</v>
      </c>
      <c r="F2095" s="93"/>
      <c r="G2095" s="58" t="s">
        <v>2074</v>
      </c>
      <c r="H2095" s="59">
        <v>2006</v>
      </c>
      <c r="I2095" s="58">
        <v>2001</v>
      </c>
      <c r="J2095" s="59" t="s">
        <v>1709</v>
      </c>
      <c r="K2095" s="59" t="s">
        <v>1988</v>
      </c>
      <c r="L2095" s="59" t="s">
        <v>2737</v>
      </c>
      <c r="M2095" s="94">
        <v>32.9</v>
      </c>
      <c r="N2095" s="94">
        <v>-82.48</v>
      </c>
      <c r="O2095" s="93">
        <v>72</v>
      </c>
      <c r="P2095" s="59">
        <f>AVERAGE(7.9,12.7,12.8,18.7,22.6,25.5,26.8,27.3,23.1,17.4,16.5,12.1)</f>
        <v>18.616666666666667</v>
      </c>
      <c r="Q2095" s="59">
        <f>AVERAGE(7.9,9.7,13.7,17.9,22,25.3,26.8,26.2,23.6,18.3,13.5,9.1)</f>
        <v>17.833333333333332</v>
      </c>
      <c r="R2095" s="59">
        <v>710</v>
      </c>
      <c r="S2095" s="93">
        <v>1150</v>
      </c>
      <c r="T2095" s="58"/>
      <c r="U2095" s="59">
        <v>1</v>
      </c>
      <c r="V2095" s="58" t="s">
        <v>1688</v>
      </c>
      <c r="Y2095" s="58" t="s">
        <v>1822</v>
      </c>
      <c r="Z2095" s="58" t="s">
        <v>1349</v>
      </c>
      <c r="AA2095" s="94">
        <v>15</v>
      </c>
      <c r="AD2095" s="94">
        <v>1.08</v>
      </c>
      <c r="AE2095" s="93">
        <v>65</v>
      </c>
      <c r="AF2095" s="93">
        <v>25</v>
      </c>
      <c r="AG2095" s="93"/>
      <c r="AH2095" s="58" t="s">
        <v>238</v>
      </c>
      <c r="AI2095" s="169">
        <v>6.25</v>
      </c>
      <c r="AJ2095" s="94">
        <f>18/(100*100*0.15*AD2095)*100</f>
        <v>1.1111111111111112</v>
      </c>
      <c r="AK2095" s="94"/>
      <c r="AL2095" s="58"/>
      <c r="AM2095" s="59" t="s">
        <v>1987</v>
      </c>
      <c r="AN2095" s="188" t="s">
        <v>131</v>
      </c>
      <c r="AO2095" s="185" t="s">
        <v>5150</v>
      </c>
      <c r="AP2095" s="59"/>
      <c r="AQ2095" s="58" t="s">
        <v>1545</v>
      </c>
      <c r="AR2095" s="59" t="s">
        <v>1985</v>
      </c>
      <c r="AS2095" s="55" t="s">
        <v>5133</v>
      </c>
      <c r="AT2095" s="182"/>
      <c r="AU2095" s="181" t="s">
        <v>7494</v>
      </c>
      <c r="AV2095" s="185" t="s">
        <v>176</v>
      </c>
      <c r="AW2095" s="58"/>
      <c r="AX2095" s="185" t="s">
        <v>176</v>
      </c>
      <c r="AY2095" s="58"/>
      <c r="AZ2095" s="58"/>
      <c r="BA2095" s="58"/>
      <c r="BB2095" s="58"/>
      <c r="BC2095" s="58"/>
      <c r="BD2095" s="59"/>
      <c r="BE2095" s="236"/>
      <c r="BF2095" s="58"/>
      <c r="BG2095" s="58"/>
      <c r="BH2095" s="236"/>
      <c r="BI2095" s="58"/>
      <c r="BJ2095" s="152"/>
      <c r="BK2095" s="58" t="s">
        <v>5976</v>
      </c>
      <c r="BL2095" s="58"/>
      <c r="BM2095" s="237" t="s">
        <v>119</v>
      </c>
      <c r="BN2095" s="59">
        <v>4</v>
      </c>
      <c r="BO2095" s="59">
        <v>4</v>
      </c>
      <c r="BP2095" s="59">
        <v>4</v>
      </c>
      <c r="BQ2095" s="58" t="s">
        <v>141</v>
      </c>
      <c r="BR2095" s="58"/>
      <c r="BS2095" s="58">
        <v>2080</v>
      </c>
      <c r="BT2095" s="58">
        <v>35</v>
      </c>
      <c r="BU2095" s="58"/>
      <c r="BV2095" s="58"/>
      <c r="CB2095" s="153">
        <v>6550</v>
      </c>
      <c r="CC2095" s="153">
        <v>6460</v>
      </c>
      <c r="CD2095" s="153"/>
      <c r="CE2095" s="67">
        <v>1010</v>
      </c>
      <c r="CF2095" s="65">
        <v>1070</v>
      </c>
      <c r="CH2095" s="93">
        <f>AVERAGE(CH2101,CH2104)</f>
        <v>1.08</v>
      </c>
      <c r="CI2095" s="93">
        <f>AVERAGE(CI2101,CI2104)</f>
        <v>1.0900000000000001</v>
      </c>
      <c r="CJ2095" s="69">
        <f>AVERAGE(CJ2101,CJ2104)</f>
        <v>4.4999999999999998E-2</v>
      </c>
      <c r="CK2095" s="69">
        <f>AVERAGE(CK2101,CK2104)</f>
        <v>0.04</v>
      </c>
      <c r="CO2095" s="67"/>
      <c r="CP2095" s="67"/>
      <c r="CR2095" s="67"/>
      <c r="CS2095" s="67"/>
      <c r="GP2095" s="292" t="s">
        <v>7494</v>
      </c>
      <c r="JU2095" s="59" t="s">
        <v>2040</v>
      </c>
      <c r="JV2095" s="58"/>
    </row>
    <row r="2096" spans="1:282" x14ac:dyDescent="0.25">
      <c r="A2096" s="55">
        <v>2095</v>
      </c>
      <c r="B2096" s="12" t="s">
        <v>7067</v>
      </c>
      <c r="C2096" s="157">
        <v>94</v>
      </c>
      <c r="D2096" s="59" t="s">
        <v>4119</v>
      </c>
      <c r="E2096" s="93" t="s">
        <v>741</v>
      </c>
      <c r="F2096" s="93"/>
      <c r="G2096" s="58" t="s">
        <v>2074</v>
      </c>
      <c r="H2096" s="59">
        <v>2006</v>
      </c>
      <c r="I2096" s="58">
        <v>2001</v>
      </c>
      <c r="J2096" s="59" t="s">
        <v>1709</v>
      </c>
      <c r="K2096" s="59" t="s">
        <v>1988</v>
      </c>
      <c r="L2096" s="59" t="s">
        <v>2737</v>
      </c>
      <c r="M2096" s="94">
        <v>32.9</v>
      </c>
      <c r="N2096" s="94">
        <v>-82.48</v>
      </c>
      <c r="O2096" s="93">
        <v>72</v>
      </c>
      <c r="P2096" s="59">
        <f>AVERAGE(7.9,12.7,12.8,18.7,22.6,25.5,26.8,27.3,23.1,17.4,16.5,12.1)</f>
        <v>18.616666666666667</v>
      </c>
      <c r="Q2096" s="59">
        <f>AVERAGE(7.9,9.7,13.7,17.9,22,25.3,26.8,26.2,23.6,18.3,13.5,9.1)</f>
        <v>17.833333333333332</v>
      </c>
      <c r="R2096" s="59">
        <v>710</v>
      </c>
      <c r="S2096" s="93">
        <v>1150</v>
      </c>
      <c r="T2096" s="58"/>
      <c r="U2096" s="59">
        <v>1</v>
      </c>
      <c r="V2096" s="58" t="s">
        <v>1688</v>
      </c>
      <c r="Y2096" s="58" t="s">
        <v>1822</v>
      </c>
      <c r="Z2096" s="58" t="s">
        <v>1349</v>
      </c>
      <c r="AA2096" s="94">
        <v>15</v>
      </c>
      <c r="AD2096" s="94">
        <v>1.08</v>
      </c>
      <c r="AE2096" s="93">
        <v>65</v>
      </c>
      <c r="AF2096" s="93">
        <v>25</v>
      </c>
      <c r="AG2096" s="93"/>
      <c r="AH2096" s="58" t="s">
        <v>238</v>
      </c>
      <c r="AI2096" s="169">
        <v>6.25</v>
      </c>
      <c r="AJ2096" s="94">
        <f>18/(100*100*0.15*AD2096)*100</f>
        <v>1.1111111111111112</v>
      </c>
      <c r="AK2096" s="94"/>
      <c r="AL2096" s="58"/>
      <c r="AM2096" s="59" t="s">
        <v>1987</v>
      </c>
      <c r="AN2096" s="188" t="s">
        <v>2073</v>
      </c>
      <c r="AO2096" s="185" t="s">
        <v>5150</v>
      </c>
      <c r="AP2096" s="59"/>
      <c r="AQ2096" s="58" t="s">
        <v>1547</v>
      </c>
      <c r="AR2096" s="59" t="s">
        <v>1985</v>
      </c>
      <c r="AS2096" s="55" t="s">
        <v>5133</v>
      </c>
      <c r="AT2096" s="182"/>
      <c r="AU2096" s="181" t="s">
        <v>7494</v>
      </c>
      <c r="AV2096" s="185" t="s">
        <v>176</v>
      </c>
      <c r="AW2096" s="58"/>
      <c r="AX2096" s="185" t="s">
        <v>176</v>
      </c>
      <c r="AY2096" s="58"/>
      <c r="AZ2096" s="58"/>
      <c r="BA2096" s="58"/>
      <c r="BB2096" s="58"/>
      <c r="BC2096" s="58"/>
      <c r="BD2096" s="59"/>
      <c r="BE2096" s="236"/>
      <c r="BF2096" s="58"/>
      <c r="BG2096" s="58"/>
      <c r="BH2096" s="236"/>
      <c r="BI2096" s="58"/>
      <c r="BJ2096" s="152"/>
      <c r="BK2096" s="58" t="s">
        <v>5976</v>
      </c>
      <c r="BL2096" s="58"/>
      <c r="BM2096" s="237" t="s">
        <v>119</v>
      </c>
      <c r="BN2096" s="59">
        <v>4</v>
      </c>
      <c r="BO2096" s="59">
        <v>4</v>
      </c>
      <c r="BP2096" s="59">
        <v>4</v>
      </c>
      <c r="BQ2096" s="58" t="s">
        <v>141</v>
      </c>
      <c r="BR2096" s="58"/>
      <c r="BS2096" s="58">
        <v>2120</v>
      </c>
      <c r="BT2096" s="58">
        <v>21</v>
      </c>
      <c r="BU2096" s="58"/>
      <c r="BV2096" s="58"/>
      <c r="CB2096" s="153">
        <v>6550</v>
      </c>
      <c r="CC2096" s="153">
        <v>7370</v>
      </c>
      <c r="CD2096" s="153"/>
      <c r="CE2096" s="67">
        <v>1010</v>
      </c>
      <c r="CF2096" s="65">
        <v>970</v>
      </c>
      <c r="CH2096" s="93">
        <f>AVERAGE(CH2102,CH2105)</f>
        <v>1.08</v>
      </c>
      <c r="CI2096" s="93">
        <f>AVERAGE(CI2102,CI2105)</f>
        <v>1.0649999999999999</v>
      </c>
      <c r="CJ2096" s="69">
        <f>AVERAGE(CJ2102,CJ2105)</f>
        <v>4.4999999999999998E-2</v>
      </c>
      <c r="CK2096" s="69">
        <f>AVERAGE(CK2102,CK2105)</f>
        <v>8.5000000000000006E-2</v>
      </c>
      <c r="CO2096" s="67"/>
      <c r="CP2096" s="67"/>
      <c r="CR2096" s="67"/>
      <c r="CS2096" s="67"/>
      <c r="GP2096" s="292" t="s">
        <v>7494</v>
      </c>
      <c r="JU2096" s="59" t="s">
        <v>2040</v>
      </c>
      <c r="JV2096" s="58"/>
    </row>
    <row r="2097" spans="1:282" x14ac:dyDescent="0.25">
      <c r="A2097" s="55">
        <v>2096</v>
      </c>
      <c r="B2097" s="12" t="s">
        <v>7067</v>
      </c>
      <c r="C2097" s="157">
        <v>94</v>
      </c>
      <c r="D2097" s="59" t="s">
        <v>4120</v>
      </c>
      <c r="E2097" s="93" t="s">
        <v>741</v>
      </c>
      <c r="F2097" s="93"/>
      <c r="G2097" s="58" t="s">
        <v>2074</v>
      </c>
      <c r="H2097" s="59">
        <v>2006</v>
      </c>
      <c r="I2097" s="58">
        <v>2001</v>
      </c>
      <c r="J2097" s="59" t="s">
        <v>1709</v>
      </c>
      <c r="K2097" s="59" t="s">
        <v>1988</v>
      </c>
      <c r="L2097" s="59" t="s">
        <v>2737</v>
      </c>
      <c r="M2097" s="94">
        <v>32.9</v>
      </c>
      <c r="N2097" s="94">
        <v>-82.48</v>
      </c>
      <c r="O2097" s="93">
        <v>72</v>
      </c>
      <c r="P2097" s="59">
        <f>AVERAGE(7.9,12.7,12.8,18.7,22.6,25.5,26.8,27.3,23.1,17.4,16.5,12.1)</f>
        <v>18.616666666666667</v>
      </c>
      <c r="Q2097" s="59">
        <f>AVERAGE(7.9,9.7,13.7,17.9,22,25.3,26.8,26.2,23.6,18.3,13.5,9.1)</f>
        <v>17.833333333333332</v>
      </c>
      <c r="R2097" s="59">
        <v>710</v>
      </c>
      <c r="S2097" s="93">
        <v>1150</v>
      </c>
      <c r="T2097" s="58"/>
      <c r="U2097" s="59">
        <v>1</v>
      </c>
      <c r="V2097" s="58" t="s">
        <v>1688</v>
      </c>
      <c r="Y2097" s="58" t="s">
        <v>1822</v>
      </c>
      <c r="Z2097" s="58" t="s">
        <v>1349</v>
      </c>
      <c r="AA2097" s="94">
        <v>15</v>
      </c>
      <c r="AD2097" s="94">
        <v>1.08</v>
      </c>
      <c r="AE2097" s="93">
        <v>65</v>
      </c>
      <c r="AF2097" s="93">
        <v>25</v>
      </c>
      <c r="AG2097" s="93"/>
      <c r="AH2097" s="58" t="s">
        <v>238</v>
      </c>
      <c r="AI2097" s="169">
        <v>6.25</v>
      </c>
      <c r="AJ2097" s="94">
        <f>18/(100*100*0.15*AD2097)*100</f>
        <v>1.1111111111111112</v>
      </c>
      <c r="AK2097" s="94"/>
      <c r="AL2097" s="58"/>
      <c r="AM2097" s="59" t="s">
        <v>1987</v>
      </c>
      <c r="AN2097" s="188" t="s">
        <v>2072</v>
      </c>
      <c r="AO2097" s="185" t="s">
        <v>5150</v>
      </c>
      <c r="AP2097" s="59"/>
      <c r="AQ2097" s="58" t="s">
        <v>610</v>
      </c>
      <c r="AR2097" s="59" t="s">
        <v>1985</v>
      </c>
      <c r="AS2097" s="55" t="s">
        <v>5133</v>
      </c>
      <c r="AT2097" s="182"/>
      <c r="AU2097" s="181" t="s">
        <v>7494</v>
      </c>
      <c r="AV2097" s="185" t="s">
        <v>176</v>
      </c>
      <c r="AW2097" s="58"/>
      <c r="AX2097" s="185" t="s">
        <v>176</v>
      </c>
      <c r="AY2097" s="58"/>
      <c r="AZ2097" s="58"/>
      <c r="BA2097" s="58"/>
      <c r="BB2097" s="58"/>
      <c r="BC2097" s="58"/>
      <c r="BD2097" s="59"/>
      <c r="BE2097" s="236"/>
      <c r="BF2097" s="58"/>
      <c r="BG2097" s="58"/>
      <c r="BH2097" s="236"/>
      <c r="BI2097" s="58"/>
      <c r="BJ2097" s="152"/>
      <c r="BK2097" s="58" t="s">
        <v>5976</v>
      </c>
      <c r="BL2097" s="58"/>
      <c r="BM2097" s="237" t="s">
        <v>119</v>
      </c>
      <c r="BN2097" s="59">
        <v>4</v>
      </c>
      <c r="BO2097" s="59">
        <v>4</v>
      </c>
      <c r="BP2097" s="59">
        <v>4</v>
      </c>
      <c r="BQ2097" s="58" t="s">
        <v>141</v>
      </c>
      <c r="BR2097" s="58"/>
      <c r="BS2097" s="58">
        <v>3370</v>
      </c>
      <c r="BT2097" s="58">
        <v>32</v>
      </c>
      <c r="BU2097" s="58"/>
      <c r="BV2097" s="58"/>
      <c r="CB2097" s="153">
        <v>6550</v>
      </c>
      <c r="CC2097" s="153">
        <v>7680</v>
      </c>
      <c r="CD2097" s="153"/>
      <c r="CE2097" s="67">
        <v>1010</v>
      </c>
      <c r="CF2097" s="65">
        <v>1170</v>
      </c>
      <c r="CH2097" s="93">
        <f>AVERAGE(CH2103,CH2106)</f>
        <v>1.08</v>
      </c>
      <c r="CI2097" s="93">
        <f>AVERAGE(CI2103,CI2106)</f>
        <v>1.0750000000000002</v>
      </c>
      <c r="CJ2097" s="69">
        <f>AVERAGE(CJ2103,CJ2106)</f>
        <v>4.4999999999999998E-2</v>
      </c>
      <c r="CK2097" s="69">
        <f>AVERAGE(CK2103,CK2106)</f>
        <v>7.5000000000000011E-2</v>
      </c>
      <c r="CO2097" s="67"/>
      <c r="CP2097" s="67"/>
      <c r="CR2097" s="67"/>
      <c r="CS2097" s="67"/>
      <c r="GP2097" s="292" t="s">
        <v>7494</v>
      </c>
      <c r="JU2097" s="59" t="s">
        <v>2040</v>
      </c>
      <c r="JV2097" s="58"/>
    </row>
    <row r="2098" spans="1:282" x14ac:dyDescent="0.25">
      <c r="A2098" s="55">
        <v>2097</v>
      </c>
      <c r="B2098" s="12" t="s">
        <v>7067</v>
      </c>
      <c r="C2098" s="157">
        <v>94</v>
      </c>
      <c r="D2098" s="59" t="s">
        <v>4121</v>
      </c>
      <c r="E2098" s="93" t="s">
        <v>741</v>
      </c>
      <c r="F2098" s="93"/>
      <c r="G2098" s="58" t="s">
        <v>2074</v>
      </c>
      <c r="H2098" s="59">
        <v>2006</v>
      </c>
      <c r="I2098" s="58">
        <v>2002</v>
      </c>
      <c r="J2098" s="59" t="s">
        <v>1709</v>
      </c>
      <c r="K2098" s="59" t="s">
        <v>1988</v>
      </c>
      <c r="L2098" s="59" t="s">
        <v>2737</v>
      </c>
      <c r="M2098" s="94">
        <v>32.9</v>
      </c>
      <c r="N2098" s="94">
        <v>-82.48</v>
      </c>
      <c r="O2098" s="93">
        <v>72</v>
      </c>
      <c r="P2098" s="59">
        <f>AVERAGE(9.9,9.1,15.4,21,22.2,26.4,28.1,27.1,25.5,20.3,12.1,8)</f>
        <v>18.758333333333333</v>
      </c>
      <c r="Q2098" s="59">
        <v>17.833333333333332</v>
      </c>
      <c r="R2098" s="59">
        <v>1024</v>
      </c>
      <c r="S2098" s="93">
        <v>1150</v>
      </c>
      <c r="T2098" s="58"/>
      <c r="U2098" s="59">
        <v>2</v>
      </c>
      <c r="V2098" s="58" t="s">
        <v>1688</v>
      </c>
      <c r="Y2098" s="58" t="s">
        <v>1822</v>
      </c>
      <c r="Z2098" s="58" t="s">
        <v>1349</v>
      </c>
      <c r="AA2098" s="94">
        <v>15</v>
      </c>
      <c r="AD2098" s="94">
        <v>1.08</v>
      </c>
      <c r="AE2098" s="93">
        <v>65</v>
      </c>
      <c r="AF2098" s="93">
        <v>25</v>
      </c>
      <c r="AG2098" s="93"/>
      <c r="AH2098" s="58" t="s">
        <v>238</v>
      </c>
      <c r="AI2098" s="169">
        <v>6.25</v>
      </c>
      <c r="AJ2098" s="94">
        <f>18/(100*100*0.15*AD2098)*100</f>
        <v>1.1111111111111112</v>
      </c>
      <c r="AK2098" s="94"/>
      <c r="AL2098" s="58"/>
      <c r="AM2098" s="59" t="s">
        <v>1987</v>
      </c>
      <c r="AN2098" s="188" t="s">
        <v>131</v>
      </c>
      <c r="AO2098" s="185" t="s">
        <v>5150</v>
      </c>
      <c r="AP2098" s="59"/>
      <c r="AQ2098" s="58" t="s">
        <v>1545</v>
      </c>
      <c r="AR2098" s="59" t="s">
        <v>1985</v>
      </c>
      <c r="AS2098" s="55" t="s">
        <v>5133</v>
      </c>
      <c r="AT2098" s="182"/>
      <c r="AU2098" s="181" t="s">
        <v>7494</v>
      </c>
      <c r="AV2098" s="185" t="s">
        <v>176</v>
      </c>
      <c r="AW2098" s="58"/>
      <c r="AX2098" s="185" t="s">
        <v>176</v>
      </c>
      <c r="AY2098" s="58"/>
      <c r="AZ2098" s="58"/>
      <c r="BA2098" s="58"/>
      <c r="BB2098" s="58"/>
      <c r="BC2098" s="58"/>
      <c r="BD2098" s="59"/>
      <c r="BE2098" s="236"/>
      <c r="BF2098" s="58"/>
      <c r="BG2098" s="58"/>
      <c r="BH2098" s="236"/>
      <c r="BI2098" s="58"/>
      <c r="BJ2098" s="152"/>
      <c r="BK2098" s="58" t="s">
        <v>5976</v>
      </c>
      <c r="BL2098" s="58"/>
      <c r="BM2098" s="237" t="s">
        <v>119</v>
      </c>
      <c r="BN2098" s="59">
        <v>4</v>
      </c>
      <c r="BO2098" s="59">
        <v>4</v>
      </c>
      <c r="BP2098" s="59">
        <v>4</v>
      </c>
      <c r="BQ2098" s="58" t="s">
        <v>141</v>
      </c>
      <c r="BR2098" s="58"/>
      <c r="BS2098" s="58">
        <v>1900</v>
      </c>
      <c r="BT2098" s="58">
        <v>17</v>
      </c>
      <c r="BU2098" s="58"/>
      <c r="BV2098" s="58"/>
      <c r="CB2098" s="153">
        <v>6280</v>
      </c>
      <c r="CC2098" s="153">
        <v>5440</v>
      </c>
      <c r="CD2098" s="153"/>
      <c r="CE2098" s="67">
        <v>870</v>
      </c>
      <c r="CF2098" s="65">
        <v>670</v>
      </c>
      <c r="CH2098" s="93"/>
      <c r="CI2098" s="93"/>
      <c r="CO2098" s="67"/>
      <c r="CP2098" s="67"/>
      <c r="CR2098" s="67"/>
      <c r="CS2098" s="67"/>
      <c r="GP2098" s="292" t="s">
        <v>7494</v>
      </c>
      <c r="JU2098" s="59" t="s">
        <v>2040</v>
      </c>
      <c r="JV2098" s="58"/>
    </row>
    <row r="2099" spans="1:282" x14ac:dyDescent="0.25">
      <c r="A2099" s="55">
        <v>2098</v>
      </c>
      <c r="B2099" s="12" t="s">
        <v>7067</v>
      </c>
      <c r="C2099" s="157">
        <v>94</v>
      </c>
      <c r="D2099" s="59" t="s">
        <v>4122</v>
      </c>
      <c r="E2099" s="93" t="s">
        <v>741</v>
      </c>
      <c r="F2099" s="93"/>
      <c r="G2099" s="58" t="s">
        <v>2074</v>
      </c>
      <c r="H2099" s="59">
        <v>2006</v>
      </c>
      <c r="I2099" s="58">
        <v>2002</v>
      </c>
      <c r="J2099" s="59" t="s">
        <v>1709</v>
      </c>
      <c r="K2099" s="59" t="s">
        <v>1988</v>
      </c>
      <c r="L2099" s="59" t="s">
        <v>2737</v>
      </c>
      <c r="M2099" s="94">
        <v>32.9</v>
      </c>
      <c r="N2099" s="94">
        <v>-82.48</v>
      </c>
      <c r="O2099" s="93">
        <v>72</v>
      </c>
      <c r="P2099" s="59">
        <f>AVERAGE(9.9,9.1,15.4,21,22.2,26.4,28.1,27.1,25.5,20.3,12.1,8)</f>
        <v>18.758333333333333</v>
      </c>
      <c r="Q2099" s="59">
        <v>17.833333333333332</v>
      </c>
      <c r="R2099" s="59">
        <v>1024</v>
      </c>
      <c r="S2099" s="93">
        <v>1150</v>
      </c>
      <c r="T2099" s="58"/>
      <c r="U2099" s="59">
        <v>2</v>
      </c>
      <c r="V2099" s="58" t="s">
        <v>1688</v>
      </c>
      <c r="Y2099" s="58" t="s">
        <v>1822</v>
      </c>
      <c r="Z2099" s="58" t="s">
        <v>1349</v>
      </c>
      <c r="AA2099" s="94">
        <v>15</v>
      </c>
      <c r="AD2099" s="94">
        <v>1.08</v>
      </c>
      <c r="AE2099" s="93">
        <v>65</v>
      </c>
      <c r="AF2099" s="93">
        <v>25</v>
      </c>
      <c r="AG2099" s="93"/>
      <c r="AH2099" s="58" t="s">
        <v>238</v>
      </c>
      <c r="AI2099" s="169">
        <v>6.25</v>
      </c>
      <c r="AJ2099" s="94">
        <f>18/(100*100*0.15*AD2099)*100</f>
        <v>1.1111111111111112</v>
      </c>
      <c r="AK2099" s="94"/>
      <c r="AL2099" s="58"/>
      <c r="AM2099" s="59" t="s">
        <v>1987</v>
      </c>
      <c r="AN2099" s="188" t="s">
        <v>2073</v>
      </c>
      <c r="AO2099" s="185" t="s">
        <v>5150</v>
      </c>
      <c r="AP2099" s="59"/>
      <c r="AQ2099" s="58" t="s">
        <v>1547</v>
      </c>
      <c r="AR2099" s="59" t="s">
        <v>1985</v>
      </c>
      <c r="AS2099" s="55" t="s">
        <v>5133</v>
      </c>
      <c r="AT2099" s="182"/>
      <c r="AU2099" s="181" t="s">
        <v>7494</v>
      </c>
      <c r="AV2099" s="185" t="s">
        <v>176</v>
      </c>
      <c r="AW2099" s="58"/>
      <c r="AX2099" s="185" t="s">
        <v>176</v>
      </c>
      <c r="AY2099" s="58"/>
      <c r="AZ2099" s="58"/>
      <c r="BA2099" s="58"/>
      <c r="BB2099" s="58"/>
      <c r="BC2099" s="58"/>
      <c r="BD2099" s="59"/>
      <c r="BE2099" s="236"/>
      <c r="BF2099" s="58"/>
      <c r="BG2099" s="58"/>
      <c r="BH2099" s="236"/>
      <c r="BI2099" s="58"/>
      <c r="BJ2099" s="152"/>
      <c r="BK2099" s="58" t="s">
        <v>5976</v>
      </c>
      <c r="BL2099" s="58"/>
      <c r="BM2099" s="237" t="s">
        <v>119</v>
      </c>
      <c r="BN2099" s="59">
        <v>4</v>
      </c>
      <c r="BO2099" s="59">
        <v>4</v>
      </c>
      <c r="BP2099" s="59">
        <v>4</v>
      </c>
      <c r="BQ2099" s="58" t="s">
        <v>141</v>
      </c>
      <c r="BR2099" s="58"/>
      <c r="BS2099" s="58">
        <v>950</v>
      </c>
      <c r="BT2099" s="58">
        <v>12</v>
      </c>
      <c r="BU2099" s="58"/>
      <c r="BV2099" s="58"/>
      <c r="CB2099" s="153">
        <v>6280</v>
      </c>
      <c r="CC2099" s="153">
        <v>2200</v>
      </c>
      <c r="CD2099" s="153"/>
      <c r="CE2099" s="67">
        <v>870</v>
      </c>
      <c r="CF2099" s="65">
        <v>230</v>
      </c>
      <c r="CH2099" s="93"/>
      <c r="CI2099" s="93"/>
      <c r="CO2099" s="67"/>
      <c r="CP2099" s="67"/>
      <c r="CR2099" s="67"/>
      <c r="CS2099" s="67"/>
      <c r="GP2099" s="292" t="s">
        <v>7494</v>
      </c>
      <c r="JU2099" s="59" t="s">
        <v>2040</v>
      </c>
      <c r="JV2099" s="58"/>
    </row>
    <row r="2100" spans="1:282" x14ac:dyDescent="0.25">
      <c r="A2100" s="55">
        <v>2099</v>
      </c>
      <c r="B2100" s="12" t="s">
        <v>7067</v>
      </c>
      <c r="C2100" s="157">
        <v>94</v>
      </c>
      <c r="D2100" s="59" t="s">
        <v>4123</v>
      </c>
      <c r="E2100" s="93" t="s">
        <v>741</v>
      </c>
      <c r="F2100" s="93"/>
      <c r="G2100" s="58" t="s">
        <v>2074</v>
      </c>
      <c r="H2100" s="59">
        <v>2006</v>
      </c>
      <c r="I2100" s="58">
        <v>2002</v>
      </c>
      <c r="J2100" s="59" t="s">
        <v>1709</v>
      </c>
      <c r="K2100" s="59" t="s">
        <v>1988</v>
      </c>
      <c r="L2100" s="59" t="s">
        <v>2737</v>
      </c>
      <c r="M2100" s="94">
        <v>32.9</v>
      </c>
      <c r="N2100" s="94">
        <v>-82.48</v>
      </c>
      <c r="O2100" s="93">
        <v>72</v>
      </c>
      <c r="P2100" s="59">
        <f>AVERAGE(9.9,9.1,15.4,21,22.2,26.4,28.1,27.1,25.5,20.3,12.1,8)</f>
        <v>18.758333333333333</v>
      </c>
      <c r="Q2100" s="59">
        <v>17.833333333333332</v>
      </c>
      <c r="R2100" s="59">
        <v>1024</v>
      </c>
      <c r="S2100" s="93">
        <v>1150</v>
      </c>
      <c r="T2100" s="58"/>
      <c r="U2100" s="59">
        <v>2</v>
      </c>
      <c r="V2100" s="58" t="s">
        <v>1688</v>
      </c>
      <c r="Y2100" s="58" t="s">
        <v>1822</v>
      </c>
      <c r="Z2100" s="58" t="s">
        <v>1349</v>
      </c>
      <c r="AA2100" s="94">
        <v>15</v>
      </c>
      <c r="AD2100" s="94">
        <v>1.08</v>
      </c>
      <c r="AE2100" s="93">
        <v>65</v>
      </c>
      <c r="AF2100" s="93">
        <v>25</v>
      </c>
      <c r="AG2100" s="93"/>
      <c r="AH2100" s="58" t="s">
        <v>238</v>
      </c>
      <c r="AI2100" s="169">
        <v>6.25</v>
      </c>
      <c r="AJ2100" s="94">
        <f>18/(100*100*0.15*AD2100)*100</f>
        <v>1.1111111111111112</v>
      </c>
      <c r="AK2100" s="94"/>
      <c r="AL2100" s="58"/>
      <c r="AM2100" s="59" t="s">
        <v>1987</v>
      </c>
      <c r="AN2100" s="188" t="s">
        <v>2072</v>
      </c>
      <c r="AO2100" s="185" t="s">
        <v>5150</v>
      </c>
      <c r="AP2100" s="59"/>
      <c r="AQ2100" s="58" t="s">
        <v>610</v>
      </c>
      <c r="AR2100" s="59" t="s">
        <v>1985</v>
      </c>
      <c r="AS2100" s="55" t="s">
        <v>5133</v>
      </c>
      <c r="AT2100" s="182"/>
      <c r="AU2100" s="181" t="s">
        <v>7494</v>
      </c>
      <c r="AV2100" s="185" t="s">
        <v>176</v>
      </c>
      <c r="AW2100" s="58"/>
      <c r="AX2100" s="185" t="s">
        <v>176</v>
      </c>
      <c r="AY2100" s="58"/>
      <c r="AZ2100" s="58"/>
      <c r="BA2100" s="58"/>
      <c r="BB2100" s="58"/>
      <c r="BC2100" s="58"/>
      <c r="BD2100" s="59"/>
      <c r="BE2100" s="236"/>
      <c r="BF2100" s="58"/>
      <c r="BG2100" s="58"/>
      <c r="BH2100" s="236"/>
      <c r="BI2100" s="58"/>
      <c r="BJ2100" s="152"/>
      <c r="BK2100" s="58" t="s">
        <v>5976</v>
      </c>
      <c r="BL2100" s="58"/>
      <c r="BM2100" s="237" t="s">
        <v>119</v>
      </c>
      <c r="BN2100" s="59">
        <v>4</v>
      </c>
      <c r="BO2100" s="59">
        <v>4</v>
      </c>
      <c r="BP2100" s="59">
        <v>4</v>
      </c>
      <c r="BQ2100" s="58" t="s">
        <v>141</v>
      </c>
      <c r="BR2100" s="58"/>
      <c r="BS2100" s="58">
        <v>1960</v>
      </c>
      <c r="BT2100" s="58">
        <v>14</v>
      </c>
      <c r="BU2100" s="58"/>
      <c r="BV2100" s="58"/>
      <c r="CB2100" s="153">
        <v>6280</v>
      </c>
      <c r="CC2100" s="153">
        <v>2530</v>
      </c>
      <c r="CD2100" s="153"/>
      <c r="CE2100" s="67">
        <v>870</v>
      </c>
      <c r="CF2100" s="65">
        <v>370</v>
      </c>
      <c r="CH2100" s="93"/>
      <c r="CI2100" s="93"/>
      <c r="CO2100" s="67"/>
      <c r="CP2100" s="67"/>
      <c r="CR2100" s="67"/>
      <c r="CS2100" s="67"/>
      <c r="GP2100" s="292" t="s">
        <v>7494</v>
      </c>
      <c r="JU2100" s="59" t="s">
        <v>2040</v>
      </c>
      <c r="JV2100" s="58"/>
    </row>
    <row r="2101" spans="1:282" x14ac:dyDescent="0.25">
      <c r="A2101" s="55">
        <v>2100</v>
      </c>
      <c r="B2101" s="12" t="s">
        <v>7067</v>
      </c>
      <c r="C2101" s="157">
        <v>94</v>
      </c>
      <c r="D2101" s="59" t="s">
        <v>4124</v>
      </c>
      <c r="E2101" s="93" t="s">
        <v>741</v>
      </c>
      <c r="F2101" s="93"/>
      <c r="G2101" s="58" t="s">
        <v>2074</v>
      </c>
      <c r="H2101" s="59">
        <v>2006</v>
      </c>
      <c r="I2101" s="58">
        <v>2002</v>
      </c>
      <c r="J2101" s="59" t="s">
        <v>1709</v>
      </c>
      <c r="K2101" s="59" t="s">
        <v>1988</v>
      </c>
      <c r="L2101" s="59" t="s">
        <v>2737</v>
      </c>
      <c r="M2101" s="94">
        <v>32.9</v>
      </c>
      <c r="N2101" s="94">
        <v>-82.48</v>
      </c>
      <c r="O2101" s="93">
        <v>72</v>
      </c>
      <c r="P2101" s="59">
        <f>AVERAGE(7.9,12.7,12.8,18.7,22.6,25.5,26.8,27.3,23.1,17.4,16.5,12.1)</f>
        <v>18.616666666666667</v>
      </c>
      <c r="Q2101" s="59">
        <f>AVERAGE(7.9,9.7,13.7,17.9,22,25.3,26.8,26.2,23.6,18.3,13.5,9.1)</f>
        <v>17.833333333333332</v>
      </c>
      <c r="R2101" s="59">
        <v>710</v>
      </c>
      <c r="S2101" s="93">
        <v>1150</v>
      </c>
      <c r="T2101" s="58"/>
      <c r="U2101" s="59">
        <v>2</v>
      </c>
      <c r="V2101" s="58" t="s">
        <v>1688</v>
      </c>
      <c r="Y2101" s="58" t="s">
        <v>1822</v>
      </c>
      <c r="Z2101" s="58" t="s">
        <v>1361</v>
      </c>
      <c r="AA2101" s="94">
        <v>5</v>
      </c>
      <c r="AD2101" s="94">
        <v>1.08</v>
      </c>
      <c r="AE2101" s="93">
        <v>65</v>
      </c>
      <c r="AF2101" s="93">
        <v>25</v>
      </c>
      <c r="AG2101" s="93"/>
      <c r="AH2101" s="58" t="s">
        <v>238</v>
      </c>
      <c r="AI2101" s="169">
        <v>6.25</v>
      </c>
      <c r="AJ2101" s="94">
        <f>18/(100*100*0.15*AD2101)*100</f>
        <v>1.1111111111111112</v>
      </c>
      <c r="AK2101" s="94"/>
      <c r="AL2101" s="58"/>
      <c r="AM2101" s="59" t="s">
        <v>1987</v>
      </c>
      <c r="AN2101" s="188" t="s">
        <v>131</v>
      </c>
      <c r="AO2101" s="185" t="s">
        <v>5150</v>
      </c>
      <c r="AP2101" s="59"/>
      <c r="AQ2101" s="58" t="s">
        <v>1545</v>
      </c>
      <c r="AR2101" s="59" t="s">
        <v>1985</v>
      </c>
      <c r="AS2101" s="55" t="s">
        <v>5133</v>
      </c>
      <c r="AT2101" s="182"/>
      <c r="AU2101" s="181" t="s">
        <v>7494</v>
      </c>
      <c r="AV2101" s="185" t="s">
        <v>176</v>
      </c>
      <c r="AW2101" s="58"/>
      <c r="AX2101" s="185" t="s">
        <v>176</v>
      </c>
      <c r="AY2101" s="58"/>
      <c r="AZ2101" s="58"/>
      <c r="BA2101" s="58"/>
      <c r="BB2101" s="58"/>
      <c r="BC2101" s="58"/>
      <c r="BD2101" s="59"/>
      <c r="BE2101" s="236"/>
      <c r="BF2101" s="58"/>
      <c r="BG2101" s="58"/>
      <c r="BH2101" s="236"/>
      <c r="BI2101" s="58"/>
      <c r="BJ2101" s="152"/>
      <c r="BK2101" s="58" t="s">
        <v>5976</v>
      </c>
      <c r="BL2101" s="58"/>
      <c r="BM2101" s="237" t="s">
        <v>119</v>
      </c>
      <c r="BN2101" s="59">
        <v>4</v>
      </c>
      <c r="BO2101" s="59">
        <v>4</v>
      </c>
      <c r="BP2101" s="59">
        <v>4</v>
      </c>
      <c r="BQ2101" s="58" t="s">
        <v>141</v>
      </c>
      <c r="BR2101" s="58"/>
      <c r="BU2101" s="58"/>
      <c r="BV2101" s="58"/>
      <c r="CB2101" s="153"/>
      <c r="CC2101" s="153"/>
      <c r="CD2101" s="153"/>
      <c r="CE2101" s="67"/>
      <c r="CH2101" s="94">
        <v>1.06</v>
      </c>
      <c r="CI2101" s="94">
        <v>1.08</v>
      </c>
      <c r="CJ2101" s="65">
        <v>0.04</v>
      </c>
      <c r="CK2101" s="65">
        <v>7.0000000000000007E-2</v>
      </c>
      <c r="GP2101" s="292" t="s">
        <v>7494</v>
      </c>
      <c r="JU2101" s="59" t="s">
        <v>2040</v>
      </c>
      <c r="JV2101" s="58"/>
    </row>
    <row r="2102" spans="1:282" x14ac:dyDescent="0.25">
      <c r="A2102" s="55">
        <v>2101</v>
      </c>
      <c r="B2102" s="12" t="s">
        <v>7067</v>
      </c>
      <c r="C2102" s="157">
        <v>94</v>
      </c>
      <c r="D2102" s="59" t="s">
        <v>4125</v>
      </c>
      <c r="E2102" s="93" t="s">
        <v>741</v>
      </c>
      <c r="F2102" s="93"/>
      <c r="G2102" s="58" t="s">
        <v>2074</v>
      </c>
      <c r="H2102" s="59">
        <v>2006</v>
      </c>
      <c r="I2102" s="58">
        <v>2002</v>
      </c>
      <c r="J2102" s="59" t="s">
        <v>1709</v>
      </c>
      <c r="K2102" s="59" t="s">
        <v>1988</v>
      </c>
      <c r="L2102" s="59" t="s">
        <v>2737</v>
      </c>
      <c r="M2102" s="94">
        <v>32.9</v>
      </c>
      <c r="N2102" s="94">
        <v>-82.48</v>
      </c>
      <c r="O2102" s="93">
        <v>72</v>
      </c>
      <c r="P2102" s="59">
        <f>AVERAGE(7.9,12.7,12.8,18.7,22.6,25.5,26.8,27.3,23.1,17.4,16.5,12.1)</f>
        <v>18.616666666666667</v>
      </c>
      <c r="Q2102" s="59">
        <f>AVERAGE(7.9,9.7,13.7,17.9,22,25.3,26.8,26.2,23.6,18.3,13.5,9.1)</f>
        <v>17.833333333333332</v>
      </c>
      <c r="R2102" s="59">
        <v>710</v>
      </c>
      <c r="S2102" s="93">
        <v>1150</v>
      </c>
      <c r="T2102" s="58"/>
      <c r="U2102" s="59">
        <v>2</v>
      </c>
      <c r="V2102" s="58" t="s">
        <v>1688</v>
      </c>
      <c r="Y2102" s="58" t="s">
        <v>1822</v>
      </c>
      <c r="Z2102" s="58" t="s">
        <v>1361</v>
      </c>
      <c r="AA2102" s="94">
        <v>5</v>
      </c>
      <c r="AD2102" s="94">
        <v>1.08</v>
      </c>
      <c r="AE2102" s="93">
        <v>65</v>
      </c>
      <c r="AF2102" s="93">
        <v>25</v>
      </c>
      <c r="AG2102" s="93"/>
      <c r="AH2102" s="58" t="s">
        <v>238</v>
      </c>
      <c r="AI2102" s="169">
        <v>6.25</v>
      </c>
      <c r="AJ2102" s="94">
        <f>18/(100*100*0.15*AD2102)*100</f>
        <v>1.1111111111111112</v>
      </c>
      <c r="AK2102" s="94"/>
      <c r="AL2102" s="58"/>
      <c r="AM2102" s="59" t="s">
        <v>1987</v>
      </c>
      <c r="AN2102" s="188" t="s">
        <v>2073</v>
      </c>
      <c r="AO2102" s="185" t="s">
        <v>5150</v>
      </c>
      <c r="AP2102" s="59"/>
      <c r="AQ2102" s="58" t="s">
        <v>1547</v>
      </c>
      <c r="AR2102" s="59" t="s">
        <v>1985</v>
      </c>
      <c r="AS2102" s="55" t="s">
        <v>5133</v>
      </c>
      <c r="AT2102" s="182"/>
      <c r="AU2102" s="181" t="s">
        <v>7494</v>
      </c>
      <c r="AV2102" s="185" t="s">
        <v>176</v>
      </c>
      <c r="AW2102" s="58"/>
      <c r="AX2102" s="185" t="s">
        <v>176</v>
      </c>
      <c r="AY2102" s="58"/>
      <c r="AZ2102" s="58"/>
      <c r="BA2102" s="58"/>
      <c r="BB2102" s="58"/>
      <c r="BC2102" s="58"/>
      <c r="BD2102" s="59"/>
      <c r="BE2102" s="236"/>
      <c r="BF2102" s="58"/>
      <c r="BG2102" s="58"/>
      <c r="BH2102" s="236"/>
      <c r="BI2102" s="58"/>
      <c r="BJ2102" s="152"/>
      <c r="BK2102" s="58" t="s">
        <v>5976</v>
      </c>
      <c r="BL2102" s="58"/>
      <c r="BM2102" s="237" t="s">
        <v>119</v>
      </c>
      <c r="BN2102" s="59">
        <v>4</v>
      </c>
      <c r="BO2102" s="59">
        <v>4</v>
      </c>
      <c r="BP2102" s="59">
        <v>4</v>
      </c>
      <c r="BQ2102" s="58" t="s">
        <v>141</v>
      </c>
      <c r="BR2102" s="58"/>
      <c r="BU2102" s="58"/>
      <c r="BV2102" s="58"/>
      <c r="CB2102" s="153"/>
      <c r="CC2102" s="153"/>
      <c r="CD2102" s="153"/>
      <c r="CE2102" s="67"/>
      <c r="CH2102" s="94">
        <v>1.06</v>
      </c>
      <c r="CI2102" s="94">
        <v>1.05</v>
      </c>
      <c r="CJ2102" s="65">
        <v>0.04</v>
      </c>
      <c r="CK2102" s="65">
        <v>0.1</v>
      </c>
      <c r="GP2102" s="292" t="s">
        <v>7494</v>
      </c>
      <c r="JU2102" s="59" t="s">
        <v>2040</v>
      </c>
      <c r="JV2102" s="58"/>
    </row>
    <row r="2103" spans="1:282" x14ac:dyDescent="0.25">
      <c r="A2103" s="55">
        <v>2102</v>
      </c>
      <c r="B2103" s="12" t="s">
        <v>7067</v>
      </c>
      <c r="C2103" s="157">
        <v>94</v>
      </c>
      <c r="D2103" s="59" t="s">
        <v>4126</v>
      </c>
      <c r="E2103" s="93" t="s">
        <v>741</v>
      </c>
      <c r="F2103" s="93"/>
      <c r="G2103" s="58" t="s">
        <v>2074</v>
      </c>
      <c r="H2103" s="59">
        <v>2006</v>
      </c>
      <c r="I2103" s="58">
        <v>2002</v>
      </c>
      <c r="J2103" s="59" t="s">
        <v>1709</v>
      </c>
      <c r="K2103" s="59" t="s">
        <v>1988</v>
      </c>
      <c r="L2103" s="59" t="s">
        <v>2737</v>
      </c>
      <c r="M2103" s="94">
        <v>32.9</v>
      </c>
      <c r="N2103" s="94">
        <v>-82.48</v>
      </c>
      <c r="O2103" s="93">
        <v>72</v>
      </c>
      <c r="P2103" s="59">
        <f>AVERAGE(7.9,12.7,12.8,18.7,22.6,25.5,26.8,27.3,23.1,17.4,16.5,12.1)</f>
        <v>18.616666666666667</v>
      </c>
      <c r="Q2103" s="59">
        <f>AVERAGE(7.9,9.7,13.7,17.9,22,25.3,26.8,26.2,23.6,18.3,13.5,9.1)</f>
        <v>17.833333333333332</v>
      </c>
      <c r="R2103" s="59">
        <v>710</v>
      </c>
      <c r="S2103" s="93">
        <v>1150</v>
      </c>
      <c r="T2103" s="58"/>
      <c r="U2103" s="59">
        <v>2</v>
      </c>
      <c r="V2103" s="58" t="s">
        <v>1688</v>
      </c>
      <c r="Y2103" s="58" t="s">
        <v>1822</v>
      </c>
      <c r="Z2103" s="58" t="s">
        <v>1361</v>
      </c>
      <c r="AA2103" s="94">
        <v>5</v>
      </c>
      <c r="AD2103" s="94">
        <v>1.08</v>
      </c>
      <c r="AE2103" s="93">
        <v>65</v>
      </c>
      <c r="AF2103" s="93">
        <v>25</v>
      </c>
      <c r="AG2103" s="93"/>
      <c r="AH2103" s="58" t="s">
        <v>238</v>
      </c>
      <c r="AI2103" s="169">
        <v>6.25</v>
      </c>
      <c r="AJ2103" s="94">
        <f>18/(100*100*0.15*AD2103)*100</f>
        <v>1.1111111111111112</v>
      </c>
      <c r="AK2103" s="94"/>
      <c r="AL2103" s="58"/>
      <c r="AM2103" s="59" t="s">
        <v>1987</v>
      </c>
      <c r="AN2103" s="188" t="s">
        <v>2072</v>
      </c>
      <c r="AO2103" s="185" t="s">
        <v>5150</v>
      </c>
      <c r="AP2103" s="59"/>
      <c r="AQ2103" s="58" t="s">
        <v>610</v>
      </c>
      <c r="AR2103" s="59" t="s">
        <v>1985</v>
      </c>
      <c r="AS2103" s="55" t="s">
        <v>5133</v>
      </c>
      <c r="AT2103" s="182"/>
      <c r="AU2103" s="181" t="s">
        <v>7494</v>
      </c>
      <c r="AV2103" s="185" t="s">
        <v>176</v>
      </c>
      <c r="AW2103" s="58"/>
      <c r="AX2103" s="185" t="s">
        <v>176</v>
      </c>
      <c r="AY2103" s="58"/>
      <c r="AZ2103" s="58"/>
      <c r="BA2103" s="58"/>
      <c r="BB2103" s="58"/>
      <c r="BC2103" s="58"/>
      <c r="BD2103" s="59"/>
      <c r="BE2103" s="236"/>
      <c r="BF2103" s="58"/>
      <c r="BG2103" s="58"/>
      <c r="BH2103" s="236"/>
      <c r="BI2103" s="58"/>
      <c r="BJ2103" s="152"/>
      <c r="BK2103" s="58" t="s">
        <v>5976</v>
      </c>
      <c r="BL2103" s="58"/>
      <c r="BM2103" s="237" t="s">
        <v>119</v>
      </c>
      <c r="BN2103" s="59">
        <v>4</v>
      </c>
      <c r="BO2103" s="59">
        <v>4</v>
      </c>
      <c r="BP2103" s="59">
        <v>4</v>
      </c>
      <c r="BQ2103" s="58" t="s">
        <v>141</v>
      </c>
      <c r="BR2103" s="58"/>
      <c r="BU2103" s="58"/>
      <c r="BV2103" s="58"/>
      <c r="CB2103" s="153"/>
      <c r="CC2103" s="153"/>
      <c r="CD2103" s="153"/>
      <c r="CE2103" s="67"/>
      <c r="CH2103" s="94">
        <v>1.06</v>
      </c>
      <c r="CI2103" s="94">
        <v>1.05</v>
      </c>
      <c r="CJ2103" s="65">
        <v>0.04</v>
      </c>
      <c r="CK2103" s="65">
        <v>0.1</v>
      </c>
      <c r="GP2103" s="292" t="s">
        <v>7494</v>
      </c>
      <c r="JU2103" s="59" t="s">
        <v>2040</v>
      </c>
      <c r="JV2103" s="58"/>
    </row>
    <row r="2104" spans="1:282" x14ac:dyDescent="0.25">
      <c r="A2104" s="55">
        <v>2103</v>
      </c>
      <c r="B2104" s="12" t="s">
        <v>7067</v>
      </c>
      <c r="C2104" s="157">
        <v>94</v>
      </c>
      <c r="D2104" s="59" t="s">
        <v>4127</v>
      </c>
      <c r="E2104" s="93" t="s">
        <v>741</v>
      </c>
      <c r="F2104" s="93"/>
      <c r="G2104" s="58" t="s">
        <v>2074</v>
      </c>
      <c r="H2104" s="59">
        <v>2006</v>
      </c>
      <c r="I2104" s="58">
        <v>2002</v>
      </c>
      <c r="J2104" s="59" t="s">
        <v>1709</v>
      </c>
      <c r="K2104" s="59" t="s">
        <v>1988</v>
      </c>
      <c r="L2104" s="59" t="s">
        <v>2737</v>
      </c>
      <c r="M2104" s="94">
        <v>32.9</v>
      </c>
      <c r="N2104" s="94">
        <v>-82.48</v>
      </c>
      <c r="O2104" s="93">
        <v>72</v>
      </c>
      <c r="P2104" s="59">
        <v>18.616666666666667</v>
      </c>
      <c r="Q2104" s="59">
        <v>17.833333333333332</v>
      </c>
      <c r="R2104" s="59">
        <v>710</v>
      </c>
      <c r="S2104" s="93">
        <v>1150</v>
      </c>
      <c r="T2104" s="58"/>
      <c r="U2104" s="59">
        <v>2</v>
      </c>
      <c r="V2104" s="58" t="s">
        <v>1688</v>
      </c>
      <c r="Y2104" s="58" t="s">
        <v>1822</v>
      </c>
      <c r="Z2104" s="58" t="s">
        <v>1379</v>
      </c>
      <c r="AA2104" s="94">
        <v>10</v>
      </c>
      <c r="AD2104" s="94">
        <v>1.08</v>
      </c>
      <c r="AE2104" s="93">
        <v>65</v>
      </c>
      <c r="AF2104" s="93">
        <v>25</v>
      </c>
      <c r="AG2104" s="93"/>
      <c r="AH2104" s="58" t="s">
        <v>238</v>
      </c>
      <c r="AI2104" s="169">
        <v>6.25</v>
      </c>
      <c r="AJ2104" s="94">
        <v>1.1111111111111112</v>
      </c>
      <c r="AK2104" s="94"/>
      <c r="AL2104" s="58"/>
      <c r="AM2104" s="59" t="s">
        <v>1987</v>
      </c>
      <c r="AN2104" s="188" t="s">
        <v>131</v>
      </c>
      <c r="AO2104" s="185" t="s">
        <v>5150</v>
      </c>
      <c r="AP2104" s="59"/>
      <c r="AQ2104" s="58" t="s">
        <v>1545</v>
      </c>
      <c r="AR2104" s="59" t="s">
        <v>1985</v>
      </c>
      <c r="AS2104" s="55" t="s">
        <v>5133</v>
      </c>
      <c r="AT2104" s="182"/>
      <c r="AU2104" s="181" t="s">
        <v>7494</v>
      </c>
      <c r="AV2104" s="185" t="s">
        <v>176</v>
      </c>
      <c r="AW2104" s="58"/>
      <c r="AX2104" s="185" t="s">
        <v>176</v>
      </c>
      <c r="AY2104" s="58"/>
      <c r="AZ2104" s="58"/>
      <c r="BA2104" s="58"/>
      <c r="BB2104" s="58"/>
      <c r="BC2104" s="58"/>
      <c r="BD2104" s="59"/>
      <c r="BE2104" s="236"/>
      <c r="BF2104" s="58"/>
      <c r="BG2104" s="58"/>
      <c r="BH2104" s="236"/>
      <c r="BI2104" s="58"/>
      <c r="BJ2104" s="152"/>
      <c r="BK2104" s="58" t="s">
        <v>5976</v>
      </c>
      <c r="BL2104" s="58"/>
      <c r="BM2104" s="237" t="s">
        <v>119</v>
      </c>
      <c r="BN2104" s="59">
        <v>4</v>
      </c>
      <c r="BO2104" s="59">
        <v>4</v>
      </c>
      <c r="BP2104" s="59">
        <v>4</v>
      </c>
      <c r="BQ2104" s="58" t="s">
        <v>141</v>
      </c>
      <c r="BR2104" s="58"/>
      <c r="BS2104" s="58"/>
      <c r="BT2104" s="58"/>
      <c r="BU2104" s="58"/>
      <c r="BV2104" s="58"/>
      <c r="CB2104" s="153"/>
      <c r="CC2104" s="153"/>
      <c r="CD2104" s="153"/>
      <c r="CE2104" s="67"/>
      <c r="CH2104" s="94">
        <v>1.1000000000000001</v>
      </c>
      <c r="CI2104" s="94">
        <v>1.1000000000000001</v>
      </c>
      <c r="CJ2104" s="65">
        <v>0.05</v>
      </c>
      <c r="CK2104" s="65">
        <v>0.01</v>
      </c>
      <c r="GP2104" s="292" t="s">
        <v>7494</v>
      </c>
      <c r="JU2104" s="59" t="s">
        <v>2040</v>
      </c>
      <c r="JV2104" s="58"/>
    </row>
    <row r="2105" spans="1:282" x14ac:dyDescent="0.25">
      <c r="A2105" s="55">
        <v>2104</v>
      </c>
      <c r="B2105" s="12" t="s">
        <v>7067</v>
      </c>
      <c r="C2105" s="157">
        <v>94</v>
      </c>
      <c r="D2105" s="59" t="s">
        <v>4128</v>
      </c>
      <c r="E2105" s="93" t="s">
        <v>741</v>
      </c>
      <c r="F2105" s="93"/>
      <c r="G2105" s="58" t="s">
        <v>2074</v>
      </c>
      <c r="H2105" s="59">
        <v>2006</v>
      </c>
      <c r="I2105" s="58">
        <v>2002</v>
      </c>
      <c r="J2105" s="59" t="s">
        <v>1709</v>
      </c>
      <c r="K2105" s="59" t="s">
        <v>1988</v>
      </c>
      <c r="L2105" s="59" t="s">
        <v>2737</v>
      </c>
      <c r="M2105" s="94">
        <v>32.9</v>
      </c>
      <c r="N2105" s="94">
        <v>-82.48</v>
      </c>
      <c r="O2105" s="93">
        <v>72</v>
      </c>
      <c r="P2105" s="59">
        <v>18.616666666666667</v>
      </c>
      <c r="Q2105" s="59">
        <v>17.833333333333332</v>
      </c>
      <c r="R2105" s="59">
        <v>710</v>
      </c>
      <c r="S2105" s="93">
        <v>1150</v>
      </c>
      <c r="T2105" s="58"/>
      <c r="U2105" s="59">
        <v>2</v>
      </c>
      <c r="V2105" s="58" t="s">
        <v>1688</v>
      </c>
      <c r="Y2105" s="58" t="s">
        <v>1822</v>
      </c>
      <c r="Z2105" s="58" t="s">
        <v>1379</v>
      </c>
      <c r="AA2105" s="94">
        <v>10</v>
      </c>
      <c r="AD2105" s="94">
        <v>1.08</v>
      </c>
      <c r="AE2105" s="93">
        <v>65</v>
      </c>
      <c r="AF2105" s="93">
        <v>25</v>
      </c>
      <c r="AG2105" s="93"/>
      <c r="AH2105" s="58" t="s">
        <v>238</v>
      </c>
      <c r="AI2105" s="169">
        <v>6.25</v>
      </c>
      <c r="AJ2105" s="94">
        <v>1.1111111111111112</v>
      </c>
      <c r="AK2105" s="94"/>
      <c r="AL2105" s="58"/>
      <c r="AM2105" s="59" t="s">
        <v>1987</v>
      </c>
      <c r="AN2105" s="188" t="s">
        <v>2073</v>
      </c>
      <c r="AO2105" s="185" t="s">
        <v>5150</v>
      </c>
      <c r="AP2105" s="59"/>
      <c r="AQ2105" s="58" t="s">
        <v>1547</v>
      </c>
      <c r="AR2105" s="59" t="s">
        <v>1985</v>
      </c>
      <c r="AS2105" s="55" t="s">
        <v>5133</v>
      </c>
      <c r="AT2105" s="182"/>
      <c r="AU2105" s="181" t="s">
        <v>7494</v>
      </c>
      <c r="AV2105" s="185" t="s">
        <v>176</v>
      </c>
      <c r="AW2105" s="58"/>
      <c r="AX2105" s="185" t="s">
        <v>176</v>
      </c>
      <c r="AY2105" s="58"/>
      <c r="AZ2105" s="58"/>
      <c r="BA2105" s="58"/>
      <c r="BB2105" s="58"/>
      <c r="BC2105" s="58"/>
      <c r="BD2105" s="59"/>
      <c r="BE2105" s="236"/>
      <c r="BF2105" s="58"/>
      <c r="BG2105" s="58"/>
      <c r="BH2105" s="236"/>
      <c r="BI2105" s="58"/>
      <c r="BJ2105" s="152"/>
      <c r="BK2105" s="58" t="s">
        <v>5976</v>
      </c>
      <c r="BL2105" s="58"/>
      <c r="BM2105" s="237" t="s">
        <v>119</v>
      </c>
      <c r="BN2105" s="59">
        <v>4</v>
      </c>
      <c r="BO2105" s="59">
        <v>4</v>
      </c>
      <c r="BP2105" s="59">
        <v>4</v>
      </c>
      <c r="BQ2105" s="58" t="s">
        <v>141</v>
      </c>
      <c r="BR2105" s="58"/>
      <c r="BS2105" s="58"/>
      <c r="BT2105" s="58"/>
      <c r="BU2105" s="58"/>
      <c r="BV2105" s="58"/>
      <c r="CB2105" s="153"/>
      <c r="CC2105" s="153"/>
      <c r="CD2105" s="153"/>
      <c r="CE2105" s="67"/>
      <c r="CH2105" s="94">
        <v>1.1000000000000001</v>
      </c>
      <c r="CI2105" s="94">
        <v>1.08</v>
      </c>
      <c r="CJ2105" s="65">
        <v>0.05</v>
      </c>
      <c r="CK2105" s="65">
        <v>7.0000000000000007E-2</v>
      </c>
      <c r="GP2105" s="292" t="s">
        <v>7494</v>
      </c>
      <c r="JU2105" s="59" t="s">
        <v>2040</v>
      </c>
      <c r="JV2105" s="58"/>
    </row>
    <row r="2106" spans="1:282" x14ac:dyDescent="0.25">
      <c r="A2106" s="55">
        <v>2105</v>
      </c>
      <c r="B2106" s="12" t="s">
        <v>7067</v>
      </c>
      <c r="C2106" s="157">
        <v>94</v>
      </c>
      <c r="D2106" s="59" t="s">
        <v>4129</v>
      </c>
      <c r="E2106" s="93" t="s">
        <v>741</v>
      </c>
      <c r="F2106" s="93"/>
      <c r="G2106" s="58" t="s">
        <v>2074</v>
      </c>
      <c r="H2106" s="59">
        <v>2006</v>
      </c>
      <c r="I2106" s="58">
        <v>2002</v>
      </c>
      <c r="J2106" s="59" t="s">
        <v>1709</v>
      </c>
      <c r="K2106" s="59" t="s">
        <v>1988</v>
      </c>
      <c r="L2106" s="59" t="s">
        <v>2737</v>
      </c>
      <c r="M2106" s="94">
        <v>32.9</v>
      </c>
      <c r="N2106" s="94">
        <v>-82.48</v>
      </c>
      <c r="O2106" s="93">
        <v>72</v>
      </c>
      <c r="P2106" s="59">
        <v>18.616666666666667</v>
      </c>
      <c r="Q2106" s="59">
        <v>17.833333333333332</v>
      </c>
      <c r="R2106" s="59">
        <v>710</v>
      </c>
      <c r="S2106" s="93">
        <v>1150</v>
      </c>
      <c r="T2106" s="58"/>
      <c r="U2106" s="59">
        <v>2</v>
      </c>
      <c r="V2106" s="58" t="s">
        <v>1688</v>
      </c>
      <c r="Y2106" s="58" t="s">
        <v>1822</v>
      </c>
      <c r="Z2106" s="58" t="s">
        <v>1379</v>
      </c>
      <c r="AA2106" s="94">
        <v>10</v>
      </c>
      <c r="AD2106" s="94">
        <v>1.08</v>
      </c>
      <c r="AE2106" s="93">
        <v>65</v>
      </c>
      <c r="AF2106" s="93">
        <v>25</v>
      </c>
      <c r="AG2106" s="93"/>
      <c r="AH2106" s="58" t="s">
        <v>238</v>
      </c>
      <c r="AI2106" s="169">
        <v>6.25</v>
      </c>
      <c r="AJ2106" s="94">
        <v>1.1111111111111112</v>
      </c>
      <c r="AK2106" s="94"/>
      <c r="AL2106" s="58"/>
      <c r="AM2106" s="59" t="s">
        <v>1987</v>
      </c>
      <c r="AN2106" s="188" t="s">
        <v>2072</v>
      </c>
      <c r="AO2106" s="185" t="s">
        <v>5150</v>
      </c>
      <c r="AP2106" s="59"/>
      <c r="AQ2106" s="58" t="s">
        <v>610</v>
      </c>
      <c r="AR2106" s="59" t="s">
        <v>1985</v>
      </c>
      <c r="AS2106" s="55" t="s">
        <v>5133</v>
      </c>
      <c r="AT2106" s="182"/>
      <c r="AU2106" s="181" t="s">
        <v>7494</v>
      </c>
      <c r="AV2106" s="185" t="s">
        <v>176</v>
      </c>
      <c r="AW2106" s="58"/>
      <c r="AX2106" s="185" t="s">
        <v>176</v>
      </c>
      <c r="AY2106" s="58"/>
      <c r="AZ2106" s="58"/>
      <c r="BA2106" s="58"/>
      <c r="BB2106" s="58"/>
      <c r="BC2106" s="58"/>
      <c r="BD2106" s="59"/>
      <c r="BE2106" s="236"/>
      <c r="BF2106" s="58"/>
      <c r="BG2106" s="58"/>
      <c r="BH2106" s="236"/>
      <c r="BI2106" s="58"/>
      <c r="BJ2106" s="152"/>
      <c r="BK2106" s="58" t="s">
        <v>5976</v>
      </c>
      <c r="BL2106" s="58"/>
      <c r="BM2106" s="237" t="s">
        <v>119</v>
      </c>
      <c r="BN2106" s="59">
        <v>4</v>
      </c>
      <c r="BO2106" s="59">
        <v>4</v>
      </c>
      <c r="BP2106" s="59">
        <v>4</v>
      </c>
      <c r="BQ2106" s="58" t="s">
        <v>141</v>
      </c>
      <c r="BR2106" s="58"/>
      <c r="BS2106" s="58"/>
      <c r="BT2106" s="58"/>
      <c r="BU2106" s="58"/>
      <c r="BV2106" s="58"/>
      <c r="CB2106" s="153"/>
      <c r="CC2106" s="153"/>
      <c r="CD2106" s="153"/>
      <c r="CE2106" s="67"/>
      <c r="CH2106" s="94">
        <v>1.1000000000000001</v>
      </c>
      <c r="CI2106" s="94">
        <v>1.1000000000000001</v>
      </c>
      <c r="CJ2106" s="65">
        <v>0.05</v>
      </c>
      <c r="CK2106" s="65">
        <v>0.05</v>
      </c>
      <c r="GP2106" s="292" t="s">
        <v>7494</v>
      </c>
      <c r="JU2106" s="59" t="s">
        <v>2040</v>
      </c>
      <c r="JV2106" s="58"/>
    </row>
    <row r="2107" spans="1:282" x14ac:dyDescent="0.25">
      <c r="A2107" s="55">
        <v>2106</v>
      </c>
      <c r="B2107" s="12" t="s">
        <v>7067</v>
      </c>
      <c r="C2107" s="156">
        <v>95</v>
      </c>
      <c r="D2107" s="58" t="s">
        <v>4130</v>
      </c>
      <c r="E2107" s="94" t="s">
        <v>741</v>
      </c>
      <c r="F2107" s="94"/>
      <c r="G2107" s="58" t="s">
        <v>2074</v>
      </c>
      <c r="H2107" s="58">
        <v>2007</v>
      </c>
      <c r="I2107" s="58">
        <v>1998</v>
      </c>
      <c r="J2107" s="58" t="s">
        <v>1709</v>
      </c>
      <c r="K2107" s="58" t="s">
        <v>2075</v>
      </c>
      <c r="L2107" s="58" t="s">
        <v>2737</v>
      </c>
      <c r="M2107" s="94">
        <f>48+48/60</f>
        <v>48.8</v>
      </c>
      <c r="N2107" s="94">
        <f>-110-1/60</f>
        <v>-110.01666666666667</v>
      </c>
      <c r="O2107" s="94">
        <v>871.2</v>
      </c>
      <c r="P2107" s="58"/>
      <c r="Q2107" s="58"/>
      <c r="R2107" s="58"/>
      <c r="S2107" s="94"/>
      <c r="T2107" s="58"/>
      <c r="U2107" s="58" t="s">
        <v>1935</v>
      </c>
      <c r="V2107" s="58" t="s">
        <v>1694</v>
      </c>
      <c r="Y2107" s="58" t="s">
        <v>2076</v>
      </c>
      <c r="Z2107" s="58" t="s">
        <v>1346</v>
      </c>
      <c r="AA2107" s="94" t="s">
        <v>1675</v>
      </c>
      <c r="AD2107" s="94">
        <v>1.31</v>
      </c>
      <c r="AE2107" s="94">
        <v>53</v>
      </c>
      <c r="AF2107" s="94">
        <v>21</v>
      </c>
      <c r="AG2107" s="94"/>
      <c r="AH2107" s="58" t="s">
        <v>494</v>
      </c>
      <c r="AI2107" s="169">
        <v>8.3000000000000007</v>
      </c>
      <c r="AJ2107" s="94">
        <f>20.5/(100*100*0.2*AD2107)*100</f>
        <v>0.78244274809160308</v>
      </c>
      <c r="AK2107" s="94"/>
      <c r="AL2107" s="58"/>
      <c r="AM2107" s="58" t="s">
        <v>1306</v>
      </c>
      <c r="AN2107" s="186" t="s">
        <v>538</v>
      </c>
      <c r="AO2107" s="185" t="s">
        <v>5150</v>
      </c>
      <c r="AP2107" s="58"/>
      <c r="AQ2107" s="58" t="s">
        <v>553</v>
      </c>
      <c r="AR2107" s="58" t="s">
        <v>116</v>
      </c>
      <c r="AS2107" s="58" t="s">
        <v>116</v>
      </c>
      <c r="AT2107" s="182"/>
      <c r="AU2107" s="181" t="s">
        <v>7494</v>
      </c>
      <c r="AV2107" s="185" t="s">
        <v>176</v>
      </c>
      <c r="AW2107" s="58"/>
      <c r="AX2107" s="185" t="s">
        <v>176</v>
      </c>
      <c r="AY2107" s="58"/>
      <c r="AZ2107" s="58"/>
      <c r="BA2107" s="58"/>
      <c r="BB2107" s="58"/>
      <c r="BC2107" s="58"/>
      <c r="BD2107" s="58"/>
      <c r="BE2107" s="236"/>
      <c r="BF2107" s="58"/>
      <c r="BG2107" s="58"/>
      <c r="BH2107" s="236"/>
      <c r="BI2107" s="58"/>
      <c r="BJ2107" s="58"/>
      <c r="BK2107" s="58" t="s">
        <v>5976</v>
      </c>
      <c r="BL2107" s="58"/>
      <c r="BM2107" s="237" t="s">
        <v>119</v>
      </c>
      <c r="BN2107" s="58"/>
      <c r="BO2107" s="58"/>
      <c r="BP2107" s="58"/>
      <c r="BQ2107" s="58" t="s">
        <v>2077</v>
      </c>
      <c r="BR2107" s="58"/>
      <c r="BS2107" s="58"/>
      <c r="BT2107" s="58"/>
      <c r="BU2107" s="58"/>
      <c r="BV2107" s="58"/>
      <c r="BW2107" s="65">
        <v>2820</v>
      </c>
      <c r="BX2107" s="65">
        <v>5390</v>
      </c>
      <c r="CA2107" s="65" t="s">
        <v>2078</v>
      </c>
      <c r="CO2107" s="67"/>
      <c r="CP2107" s="67"/>
      <c r="CR2107" s="67"/>
      <c r="CS2107" s="67"/>
      <c r="GP2107" s="292" t="s">
        <v>7494</v>
      </c>
      <c r="JU2107" s="58"/>
      <c r="JV2107" s="58"/>
    </row>
    <row r="2108" spans="1:282" x14ac:dyDescent="0.25">
      <c r="A2108" s="55">
        <v>2107</v>
      </c>
      <c r="B2108" s="12" t="s">
        <v>7067</v>
      </c>
      <c r="C2108" s="156">
        <v>95</v>
      </c>
      <c r="D2108" s="58" t="s">
        <v>4130</v>
      </c>
      <c r="E2108" s="94" t="s">
        <v>741</v>
      </c>
      <c r="F2108" s="94"/>
      <c r="G2108" s="58" t="s">
        <v>2074</v>
      </c>
      <c r="H2108" s="58">
        <v>2007</v>
      </c>
      <c r="I2108" s="58">
        <v>1999</v>
      </c>
      <c r="J2108" s="58" t="s">
        <v>1709</v>
      </c>
      <c r="K2108" s="58" t="s">
        <v>2075</v>
      </c>
      <c r="L2108" s="58" t="s">
        <v>2737</v>
      </c>
      <c r="M2108" s="94">
        <f>48+48/60</f>
        <v>48.8</v>
      </c>
      <c r="N2108" s="94">
        <f>-110-1/60</f>
        <v>-110.01666666666667</v>
      </c>
      <c r="O2108" s="94">
        <v>871.2</v>
      </c>
      <c r="P2108" s="58"/>
      <c r="Q2108" s="58"/>
      <c r="R2108" s="58"/>
      <c r="S2108" s="94"/>
      <c r="T2108" s="58"/>
      <c r="U2108" s="58" t="s">
        <v>1805</v>
      </c>
      <c r="V2108" s="58" t="s">
        <v>1694</v>
      </c>
      <c r="Y2108" s="58" t="s">
        <v>2076</v>
      </c>
      <c r="Z2108" s="58" t="s">
        <v>1346</v>
      </c>
      <c r="AA2108" s="94" t="s">
        <v>1675</v>
      </c>
      <c r="AD2108" s="94">
        <v>1.31</v>
      </c>
      <c r="AE2108" s="94">
        <v>53</v>
      </c>
      <c r="AF2108" s="94">
        <v>21</v>
      </c>
      <c r="AG2108" s="94"/>
      <c r="AH2108" s="58" t="s">
        <v>494</v>
      </c>
      <c r="AI2108" s="169">
        <v>8.3000000000000007</v>
      </c>
      <c r="AJ2108" s="94">
        <f>20.5/(100*100*0.2*AD2108)*100</f>
        <v>0.78244274809160308</v>
      </c>
      <c r="AK2108" s="94"/>
      <c r="AL2108" s="58"/>
      <c r="AM2108" s="58" t="s">
        <v>1306</v>
      </c>
      <c r="AN2108" s="186" t="s">
        <v>538</v>
      </c>
      <c r="AO2108" s="185" t="s">
        <v>5150</v>
      </c>
      <c r="AP2108" s="58"/>
      <c r="AQ2108" s="58" t="s">
        <v>553</v>
      </c>
      <c r="AR2108" s="58" t="s">
        <v>116</v>
      </c>
      <c r="AS2108" s="58" t="s">
        <v>116</v>
      </c>
      <c r="AT2108" s="182"/>
      <c r="AU2108" s="181" t="s">
        <v>7494</v>
      </c>
      <c r="AV2108" s="185" t="s">
        <v>176</v>
      </c>
      <c r="AW2108" s="58"/>
      <c r="AX2108" s="185" t="s">
        <v>176</v>
      </c>
      <c r="AY2108" s="58"/>
      <c r="AZ2108" s="58"/>
      <c r="BA2108" s="58"/>
      <c r="BB2108" s="58"/>
      <c r="BC2108" s="58"/>
      <c r="BD2108" s="58"/>
      <c r="BE2108" s="236"/>
      <c r="BF2108" s="58"/>
      <c r="BG2108" s="58"/>
      <c r="BH2108" s="236"/>
      <c r="BI2108" s="58"/>
      <c r="BJ2108" s="58"/>
      <c r="BK2108" s="58" t="s">
        <v>5976</v>
      </c>
      <c r="BL2108" s="58"/>
      <c r="BM2108" s="237" t="s">
        <v>119</v>
      </c>
      <c r="BN2108" s="58"/>
      <c r="BO2108" s="58"/>
      <c r="BP2108" s="58"/>
      <c r="BQ2108" s="58" t="s">
        <v>2077</v>
      </c>
      <c r="BR2108" s="58"/>
      <c r="BS2108" s="58"/>
      <c r="BT2108" s="58"/>
      <c r="BU2108" s="58"/>
      <c r="BV2108" s="58"/>
      <c r="BW2108" s="65">
        <v>3060</v>
      </c>
      <c r="BX2108" s="65">
        <v>2020</v>
      </c>
      <c r="CA2108" s="65" t="s">
        <v>2078</v>
      </c>
      <c r="CO2108" s="67"/>
      <c r="CP2108" s="67"/>
      <c r="CR2108" s="67"/>
      <c r="CS2108" s="67"/>
      <c r="GP2108" s="292" t="s">
        <v>7494</v>
      </c>
      <c r="JU2108" s="58"/>
      <c r="JV2108" s="58"/>
    </row>
    <row r="2109" spans="1:282" x14ac:dyDescent="0.25">
      <c r="A2109" s="55">
        <v>2108</v>
      </c>
      <c r="B2109" s="12" t="s">
        <v>7067</v>
      </c>
      <c r="C2109" s="156">
        <v>95</v>
      </c>
      <c r="D2109" s="58" t="s">
        <v>4130</v>
      </c>
      <c r="E2109" s="94" t="s">
        <v>741</v>
      </c>
      <c r="F2109" s="94"/>
      <c r="G2109" s="58" t="s">
        <v>2074</v>
      </c>
      <c r="H2109" s="58">
        <v>2007</v>
      </c>
      <c r="I2109" s="58">
        <v>2000</v>
      </c>
      <c r="J2109" s="58" t="s">
        <v>1709</v>
      </c>
      <c r="K2109" s="58" t="s">
        <v>2075</v>
      </c>
      <c r="L2109" s="58" t="s">
        <v>2737</v>
      </c>
      <c r="M2109" s="94">
        <f>48+48/60</f>
        <v>48.8</v>
      </c>
      <c r="N2109" s="94">
        <f>-110-1/60</f>
        <v>-110.01666666666667</v>
      </c>
      <c r="O2109" s="94">
        <v>871.2</v>
      </c>
      <c r="P2109" s="58"/>
      <c r="Q2109" s="58"/>
      <c r="R2109" s="58"/>
      <c r="S2109" s="94"/>
      <c r="T2109" s="58"/>
      <c r="U2109" s="58" t="s">
        <v>1688</v>
      </c>
      <c r="V2109" s="58" t="s">
        <v>1694</v>
      </c>
      <c r="Y2109" s="58" t="s">
        <v>2076</v>
      </c>
      <c r="Z2109" s="58" t="s">
        <v>1346</v>
      </c>
      <c r="AA2109" s="94" t="s">
        <v>1675</v>
      </c>
      <c r="AD2109" s="94">
        <v>1.31</v>
      </c>
      <c r="AE2109" s="94">
        <v>53</v>
      </c>
      <c r="AF2109" s="94">
        <v>21</v>
      </c>
      <c r="AG2109" s="94"/>
      <c r="AH2109" s="58" t="s">
        <v>494</v>
      </c>
      <c r="AI2109" s="169">
        <v>8.3000000000000007</v>
      </c>
      <c r="AJ2109" s="94">
        <f>20.5/(100*100*0.2*AD2109)*100</f>
        <v>0.78244274809160308</v>
      </c>
      <c r="AK2109" s="94"/>
      <c r="AL2109" s="58"/>
      <c r="AM2109" s="58" t="s">
        <v>1306</v>
      </c>
      <c r="AN2109" s="186" t="s">
        <v>538</v>
      </c>
      <c r="AO2109" s="185" t="s">
        <v>5150</v>
      </c>
      <c r="AP2109" s="58"/>
      <c r="AQ2109" s="58" t="s">
        <v>553</v>
      </c>
      <c r="AR2109" s="58" t="s">
        <v>116</v>
      </c>
      <c r="AS2109" s="58" t="s">
        <v>116</v>
      </c>
      <c r="AT2109" s="182"/>
      <c r="AU2109" s="181" t="s">
        <v>7494</v>
      </c>
      <c r="AV2109" s="185" t="s">
        <v>176</v>
      </c>
      <c r="AW2109" s="58"/>
      <c r="AX2109" s="185" t="s">
        <v>176</v>
      </c>
      <c r="AY2109" s="58"/>
      <c r="AZ2109" s="58"/>
      <c r="BA2109" s="58"/>
      <c r="BB2109" s="58"/>
      <c r="BC2109" s="58"/>
      <c r="BD2109" s="58"/>
      <c r="BE2109" s="236"/>
      <c r="BF2109" s="58"/>
      <c r="BG2109" s="58"/>
      <c r="BH2109" s="236"/>
      <c r="BI2109" s="58"/>
      <c r="BJ2109" s="58"/>
      <c r="BK2109" s="58" t="s">
        <v>5976</v>
      </c>
      <c r="BL2109" s="58"/>
      <c r="BM2109" s="237" t="s">
        <v>119</v>
      </c>
      <c r="BN2109" s="58"/>
      <c r="BO2109" s="58"/>
      <c r="BP2109" s="58"/>
      <c r="BQ2109" s="58" t="s">
        <v>2077</v>
      </c>
      <c r="BR2109" s="58"/>
      <c r="BS2109" s="58"/>
      <c r="BT2109" s="58"/>
      <c r="BU2109" s="58"/>
      <c r="BV2109" s="58"/>
      <c r="BW2109" s="65">
        <v>1390</v>
      </c>
      <c r="BX2109" s="65">
        <v>1660</v>
      </c>
      <c r="CA2109" s="65" t="s">
        <v>2078</v>
      </c>
      <c r="CO2109" s="67"/>
      <c r="CP2109" s="67"/>
      <c r="CR2109" s="67"/>
      <c r="CS2109" s="67"/>
      <c r="GP2109" s="292" t="s">
        <v>7494</v>
      </c>
      <c r="JU2109" s="58"/>
      <c r="JV2109" s="58"/>
    </row>
    <row r="2110" spans="1:282" x14ac:dyDescent="0.25">
      <c r="A2110" s="55">
        <v>2109</v>
      </c>
      <c r="B2110" s="12" t="s">
        <v>7067</v>
      </c>
      <c r="C2110" s="156">
        <v>95</v>
      </c>
      <c r="D2110" s="58" t="s">
        <v>4130</v>
      </c>
      <c r="E2110" s="94" t="s">
        <v>741</v>
      </c>
      <c r="F2110" s="94"/>
      <c r="G2110" s="58" t="s">
        <v>2074</v>
      </c>
      <c r="H2110" s="58">
        <v>2007</v>
      </c>
      <c r="I2110" s="58">
        <v>2001</v>
      </c>
      <c r="J2110" s="58" t="s">
        <v>1709</v>
      </c>
      <c r="K2110" s="58" t="s">
        <v>2075</v>
      </c>
      <c r="L2110" s="58" t="s">
        <v>2737</v>
      </c>
      <c r="M2110" s="94">
        <f>48+48/60</f>
        <v>48.8</v>
      </c>
      <c r="N2110" s="94">
        <f>-110-1/60</f>
        <v>-110.01666666666667</v>
      </c>
      <c r="O2110" s="94">
        <v>871.2</v>
      </c>
      <c r="P2110" s="58"/>
      <c r="Q2110" s="58"/>
      <c r="R2110" s="58"/>
      <c r="S2110" s="94"/>
      <c r="T2110" s="58"/>
      <c r="U2110" s="58" t="s">
        <v>1816</v>
      </c>
      <c r="V2110" s="58" t="s">
        <v>1694</v>
      </c>
      <c r="Y2110" s="58" t="s">
        <v>2076</v>
      </c>
      <c r="Z2110" s="58" t="s">
        <v>1346</v>
      </c>
      <c r="AA2110" s="94" t="s">
        <v>1675</v>
      </c>
      <c r="AD2110" s="94">
        <v>1.31</v>
      </c>
      <c r="AE2110" s="94">
        <v>53</v>
      </c>
      <c r="AF2110" s="94">
        <v>21</v>
      </c>
      <c r="AG2110" s="94"/>
      <c r="AH2110" s="58" t="s">
        <v>494</v>
      </c>
      <c r="AI2110" s="169">
        <v>8.3000000000000007</v>
      </c>
      <c r="AJ2110" s="94">
        <f>20.5/(100*100*0.2*AD2110)*100</f>
        <v>0.78244274809160308</v>
      </c>
      <c r="AK2110" s="94"/>
      <c r="AL2110" s="58"/>
      <c r="AM2110" s="58" t="s">
        <v>1306</v>
      </c>
      <c r="AN2110" s="186" t="s">
        <v>538</v>
      </c>
      <c r="AO2110" s="185" t="s">
        <v>5150</v>
      </c>
      <c r="AP2110" s="58"/>
      <c r="AQ2110" s="58" t="s">
        <v>553</v>
      </c>
      <c r="AR2110" s="58" t="s">
        <v>116</v>
      </c>
      <c r="AS2110" s="58" t="s">
        <v>116</v>
      </c>
      <c r="AT2110" s="182"/>
      <c r="AU2110" s="181" t="s">
        <v>7494</v>
      </c>
      <c r="AV2110" s="185" t="s">
        <v>176</v>
      </c>
      <c r="AW2110" s="58"/>
      <c r="AX2110" s="185" t="s">
        <v>176</v>
      </c>
      <c r="AY2110" s="58"/>
      <c r="AZ2110" s="58"/>
      <c r="BA2110" s="58"/>
      <c r="BB2110" s="58"/>
      <c r="BC2110" s="58"/>
      <c r="BD2110" s="58"/>
      <c r="BE2110" s="236"/>
      <c r="BF2110" s="58"/>
      <c r="BG2110" s="58"/>
      <c r="BH2110" s="236"/>
      <c r="BI2110" s="58"/>
      <c r="BJ2110" s="58"/>
      <c r="BK2110" s="58" t="s">
        <v>5976</v>
      </c>
      <c r="BL2110" s="58"/>
      <c r="BM2110" s="237" t="s">
        <v>119</v>
      </c>
      <c r="BN2110" s="58"/>
      <c r="BO2110" s="58"/>
      <c r="BP2110" s="58"/>
      <c r="BQ2110" s="58" t="s">
        <v>2077</v>
      </c>
      <c r="BR2110" s="58"/>
      <c r="BS2110" s="58"/>
      <c r="BT2110" s="58"/>
      <c r="BU2110" s="58"/>
      <c r="BV2110" s="58"/>
      <c r="BW2110" s="65">
        <v>630</v>
      </c>
      <c r="BX2110" s="65">
        <v>210</v>
      </c>
      <c r="CA2110" s="65" t="s">
        <v>2078</v>
      </c>
      <c r="CO2110" s="67"/>
      <c r="CP2110" s="67"/>
      <c r="CR2110" s="67"/>
      <c r="CS2110" s="67"/>
      <c r="GP2110" s="292" t="s">
        <v>7494</v>
      </c>
      <c r="JU2110" s="58"/>
      <c r="JV2110" s="58"/>
    </row>
    <row r="2111" spans="1:282" x14ac:dyDescent="0.25">
      <c r="A2111" s="55">
        <v>2110</v>
      </c>
      <c r="B2111" s="12" t="s">
        <v>7067</v>
      </c>
      <c r="C2111" s="156">
        <v>95</v>
      </c>
      <c r="D2111" s="58" t="s">
        <v>4130</v>
      </c>
      <c r="E2111" s="94" t="s">
        <v>741</v>
      </c>
      <c r="F2111" s="94"/>
      <c r="G2111" s="58" t="s">
        <v>2074</v>
      </c>
      <c r="H2111" s="58">
        <v>2007</v>
      </c>
      <c r="I2111" s="58">
        <v>2002</v>
      </c>
      <c r="J2111" s="58" t="s">
        <v>1709</v>
      </c>
      <c r="K2111" s="58" t="s">
        <v>2075</v>
      </c>
      <c r="L2111" s="58" t="s">
        <v>2737</v>
      </c>
      <c r="M2111" s="94">
        <f>48+48/60</f>
        <v>48.8</v>
      </c>
      <c r="N2111" s="94">
        <f>-110-1/60</f>
        <v>-110.01666666666667</v>
      </c>
      <c r="O2111" s="94">
        <v>871.2</v>
      </c>
      <c r="P2111" s="58"/>
      <c r="Q2111" s="58"/>
      <c r="R2111" s="58"/>
      <c r="S2111" s="94"/>
      <c r="T2111" s="58"/>
      <c r="U2111" s="58" t="s">
        <v>1682</v>
      </c>
      <c r="V2111" s="58" t="s">
        <v>1694</v>
      </c>
      <c r="Y2111" s="58" t="s">
        <v>2076</v>
      </c>
      <c r="Z2111" s="58" t="s">
        <v>1346</v>
      </c>
      <c r="AA2111" s="94" t="s">
        <v>1675</v>
      </c>
      <c r="AD2111" s="94">
        <v>1.31</v>
      </c>
      <c r="AE2111" s="94">
        <v>53</v>
      </c>
      <c r="AF2111" s="94">
        <v>21</v>
      </c>
      <c r="AG2111" s="94"/>
      <c r="AH2111" s="58" t="s">
        <v>494</v>
      </c>
      <c r="AI2111" s="169">
        <v>8.3000000000000007</v>
      </c>
      <c r="AJ2111" s="94">
        <f>20.5/(100*100*0.2*AD2111)*100</f>
        <v>0.78244274809160308</v>
      </c>
      <c r="AK2111" s="94"/>
      <c r="AL2111" s="58"/>
      <c r="AM2111" s="58" t="s">
        <v>1306</v>
      </c>
      <c r="AN2111" s="186" t="s">
        <v>538</v>
      </c>
      <c r="AO2111" s="185" t="s">
        <v>5150</v>
      </c>
      <c r="AP2111" s="58"/>
      <c r="AQ2111" s="58" t="s">
        <v>553</v>
      </c>
      <c r="AR2111" s="58" t="s">
        <v>116</v>
      </c>
      <c r="AS2111" s="58" t="s">
        <v>116</v>
      </c>
      <c r="AT2111" s="182"/>
      <c r="AU2111" s="181" t="s">
        <v>7494</v>
      </c>
      <c r="AV2111" s="185" t="s">
        <v>176</v>
      </c>
      <c r="AW2111" s="58"/>
      <c r="AX2111" s="185" t="s">
        <v>176</v>
      </c>
      <c r="AY2111" s="58"/>
      <c r="AZ2111" s="58"/>
      <c r="BA2111" s="58"/>
      <c r="BB2111" s="58"/>
      <c r="BC2111" s="58"/>
      <c r="BD2111" s="58"/>
      <c r="BE2111" s="236"/>
      <c r="BF2111" s="58"/>
      <c r="BG2111" s="58"/>
      <c r="BH2111" s="236"/>
      <c r="BI2111" s="58"/>
      <c r="BJ2111" s="58"/>
      <c r="BK2111" s="58" t="s">
        <v>5976</v>
      </c>
      <c r="BL2111" s="58"/>
      <c r="BM2111" s="237" t="s">
        <v>119</v>
      </c>
      <c r="BN2111" s="58"/>
      <c r="BO2111" s="58"/>
      <c r="BP2111" s="58"/>
      <c r="BQ2111" s="58" t="s">
        <v>2077</v>
      </c>
      <c r="BR2111" s="58"/>
      <c r="BS2111" s="58"/>
      <c r="BT2111" s="58"/>
      <c r="BU2111" s="58"/>
      <c r="BV2111" s="58"/>
      <c r="BW2111" s="65">
        <v>1240</v>
      </c>
      <c r="BX2111" s="65">
        <v>2250</v>
      </c>
      <c r="CA2111" s="65" t="s">
        <v>2078</v>
      </c>
      <c r="CO2111" s="67"/>
      <c r="CP2111" s="67"/>
      <c r="CR2111" s="67"/>
      <c r="CS2111" s="67"/>
      <c r="GP2111" s="292" t="s">
        <v>7494</v>
      </c>
      <c r="JU2111" s="58"/>
      <c r="JV2111" s="58"/>
    </row>
    <row r="2112" spans="1:282" x14ac:dyDescent="0.25">
      <c r="A2112" s="55">
        <v>2111</v>
      </c>
      <c r="B2112" s="12" t="s">
        <v>7067</v>
      </c>
      <c r="C2112" s="156">
        <v>95</v>
      </c>
      <c r="D2112" s="58" t="s">
        <v>4130</v>
      </c>
      <c r="E2112" s="94" t="s">
        <v>741</v>
      </c>
      <c r="F2112" s="94"/>
      <c r="G2112" s="58" t="s">
        <v>2074</v>
      </c>
      <c r="H2112" s="58">
        <v>2007</v>
      </c>
      <c r="I2112" s="58">
        <v>2003</v>
      </c>
      <c r="J2112" s="58" t="s">
        <v>1709</v>
      </c>
      <c r="K2112" s="58" t="s">
        <v>2075</v>
      </c>
      <c r="L2112" s="58" t="s">
        <v>2737</v>
      </c>
      <c r="M2112" s="94">
        <f>48+48/60</f>
        <v>48.8</v>
      </c>
      <c r="N2112" s="94">
        <f>-110-1/60</f>
        <v>-110.01666666666667</v>
      </c>
      <c r="O2112" s="94">
        <v>871.2</v>
      </c>
      <c r="P2112" s="58"/>
      <c r="Q2112" s="58"/>
      <c r="R2112" s="58"/>
      <c r="S2112" s="94"/>
      <c r="T2112" s="58"/>
      <c r="U2112" s="58" t="s">
        <v>1801</v>
      </c>
      <c r="V2112" s="58" t="s">
        <v>1694</v>
      </c>
      <c r="Y2112" s="58" t="s">
        <v>2076</v>
      </c>
      <c r="Z2112" s="58" t="s">
        <v>1346</v>
      </c>
      <c r="AA2112" s="94" t="s">
        <v>1675</v>
      </c>
      <c r="AD2112" s="94">
        <v>1.31</v>
      </c>
      <c r="AE2112" s="94">
        <v>53</v>
      </c>
      <c r="AF2112" s="94">
        <v>21</v>
      </c>
      <c r="AG2112" s="94"/>
      <c r="AH2112" s="58" t="s">
        <v>494</v>
      </c>
      <c r="AI2112" s="169">
        <v>8.3000000000000007</v>
      </c>
      <c r="AJ2112" s="94">
        <f>20.5/(100*100*0.2*AD2112)*100</f>
        <v>0.78244274809160308</v>
      </c>
      <c r="AK2112" s="94"/>
      <c r="AL2112" s="58"/>
      <c r="AM2112" s="58" t="s">
        <v>1306</v>
      </c>
      <c r="AN2112" s="186" t="s">
        <v>538</v>
      </c>
      <c r="AO2112" s="185" t="s">
        <v>5150</v>
      </c>
      <c r="AP2112" s="58"/>
      <c r="AQ2112" s="58" t="s">
        <v>553</v>
      </c>
      <c r="AR2112" s="58" t="s">
        <v>116</v>
      </c>
      <c r="AS2112" s="58" t="s">
        <v>116</v>
      </c>
      <c r="AT2112" s="182"/>
      <c r="AU2112" s="181" t="s">
        <v>7494</v>
      </c>
      <c r="AV2112" s="185" t="s">
        <v>176</v>
      </c>
      <c r="AW2112" s="58"/>
      <c r="AX2112" s="185" t="s">
        <v>176</v>
      </c>
      <c r="AY2112" s="58"/>
      <c r="AZ2112" s="58"/>
      <c r="BA2112" s="58"/>
      <c r="BB2112" s="58"/>
      <c r="BC2112" s="58"/>
      <c r="BD2112" s="58"/>
      <c r="BE2112" s="236"/>
      <c r="BF2112" s="58"/>
      <c r="BG2112" s="58"/>
      <c r="BH2112" s="236"/>
      <c r="BI2112" s="58"/>
      <c r="BJ2112" s="58"/>
      <c r="BK2112" s="58" t="s">
        <v>5976</v>
      </c>
      <c r="BL2112" s="58"/>
      <c r="BM2112" s="237" t="s">
        <v>119</v>
      </c>
      <c r="BN2112" s="58"/>
      <c r="BO2112" s="58"/>
      <c r="BP2112" s="58"/>
      <c r="BQ2112" s="58" t="s">
        <v>2077</v>
      </c>
      <c r="BR2112" s="58"/>
      <c r="BS2112" s="58"/>
      <c r="BT2112" s="58"/>
      <c r="BU2112" s="58"/>
      <c r="BV2112" s="58"/>
      <c r="BW2112" s="65">
        <v>1540</v>
      </c>
      <c r="BX2112" s="65">
        <v>880</v>
      </c>
      <c r="CA2112" s="65" t="s">
        <v>2078</v>
      </c>
      <c r="CO2112" s="67"/>
      <c r="CP2112" s="67"/>
      <c r="CR2112" s="67"/>
      <c r="CS2112" s="67"/>
      <c r="GP2112" s="292" t="s">
        <v>7494</v>
      </c>
      <c r="JU2112" s="58"/>
      <c r="JV2112" s="58"/>
    </row>
    <row r="2113" spans="1:283" x14ac:dyDescent="0.25">
      <c r="A2113" s="55">
        <v>2112</v>
      </c>
      <c r="B2113" s="12" t="s">
        <v>7067</v>
      </c>
      <c r="C2113" s="156">
        <v>95</v>
      </c>
      <c r="D2113" s="58" t="s">
        <v>4131</v>
      </c>
      <c r="E2113" s="94" t="s">
        <v>741</v>
      </c>
      <c r="F2113" s="94"/>
      <c r="G2113" s="58" t="s">
        <v>2074</v>
      </c>
      <c r="H2113" s="58">
        <v>2007</v>
      </c>
      <c r="I2113" s="58">
        <v>2000</v>
      </c>
      <c r="J2113" s="58" t="s">
        <v>1709</v>
      </c>
      <c r="K2113" s="58" t="s">
        <v>2075</v>
      </c>
      <c r="L2113" s="58" t="s">
        <v>2737</v>
      </c>
      <c r="M2113" s="94">
        <f>48+48/60</f>
        <v>48.8</v>
      </c>
      <c r="N2113" s="94">
        <f>-110-1/60</f>
        <v>-110.01666666666667</v>
      </c>
      <c r="O2113" s="94">
        <v>871.2</v>
      </c>
      <c r="P2113" s="58"/>
      <c r="Q2113" s="58"/>
      <c r="R2113" s="58"/>
      <c r="S2113" s="94"/>
      <c r="T2113" s="58"/>
      <c r="U2113" s="58" t="s">
        <v>1688</v>
      </c>
      <c r="V2113" s="58" t="s">
        <v>1694</v>
      </c>
      <c r="Y2113" s="58" t="s">
        <v>2076</v>
      </c>
      <c r="Z2113" s="58" t="s">
        <v>1361</v>
      </c>
      <c r="AA2113" s="94" t="s">
        <v>1682</v>
      </c>
      <c r="AD2113" s="94">
        <v>1.31</v>
      </c>
      <c r="AE2113" s="94">
        <v>53</v>
      </c>
      <c r="AF2113" s="94">
        <v>21</v>
      </c>
      <c r="AG2113" s="94"/>
      <c r="AH2113" s="58" t="s">
        <v>494</v>
      </c>
      <c r="AI2113" s="169">
        <v>8.3000000000000007</v>
      </c>
      <c r="AJ2113" s="94">
        <f>20.5/(100*100*0.2*AD2113)*100</f>
        <v>0.78244274809160308</v>
      </c>
      <c r="AK2113" s="94"/>
      <c r="AL2113" s="58"/>
      <c r="AM2113" s="58" t="s">
        <v>1306</v>
      </c>
      <c r="AN2113" s="186" t="s">
        <v>538</v>
      </c>
      <c r="AO2113" s="185" t="s">
        <v>5150</v>
      </c>
      <c r="AP2113" s="58"/>
      <c r="AQ2113" s="58" t="s">
        <v>553</v>
      </c>
      <c r="AR2113" s="58" t="s">
        <v>116</v>
      </c>
      <c r="AS2113" s="58" t="s">
        <v>116</v>
      </c>
      <c r="AT2113" s="182"/>
      <c r="AU2113" s="181" t="s">
        <v>7494</v>
      </c>
      <c r="AV2113" s="185" t="s">
        <v>176</v>
      </c>
      <c r="AW2113" s="58"/>
      <c r="AX2113" s="185" t="s">
        <v>176</v>
      </c>
      <c r="AY2113" s="58"/>
      <c r="AZ2113" s="58" t="s">
        <v>2081</v>
      </c>
      <c r="BA2113" s="58" t="s">
        <v>2081</v>
      </c>
      <c r="BB2113" s="58" t="s">
        <v>2081</v>
      </c>
      <c r="BC2113" s="58" t="s">
        <v>2081</v>
      </c>
      <c r="BD2113" s="58" t="s">
        <v>176</v>
      </c>
      <c r="BE2113" s="236"/>
      <c r="BF2113" s="58"/>
      <c r="BG2113" s="58"/>
      <c r="BH2113" s="236"/>
      <c r="BI2113" s="58"/>
      <c r="BJ2113" s="58"/>
      <c r="BK2113" s="58" t="s">
        <v>5976</v>
      </c>
      <c r="BL2113" s="58"/>
      <c r="BM2113" s="237" t="s">
        <v>119</v>
      </c>
      <c r="BN2113" s="58"/>
      <c r="BO2113" s="58"/>
      <c r="BP2113" s="58"/>
      <c r="BQ2113" s="58" t="s">
        <v>2077</v>
      </c>
      <c r="BR2113" s="58"/>
      <c r="BS2113" s="58"/>
      <c r="BT2113" s="58"/>
      <c r="BU2113" s="58"/>
      <c r="BV2113" s="58"/>
      <c r="CO2113" s="67"/>
      <c r="CP2113" s="67"/>
      <c r="CR2113" s="67"/>
      <c r="CS2113" s="67"/>
      <c r="DB2113" s="65">
        <v>0.62</v>
      </c>
      <c r="DC2113" s="65">
        <v>0.66</v>
      </c>
      <c r="DF2113" s="65" t="s">
        <v>2080</v>
      </c>
      <c r="GP2113" s="292" t="s">
        <v>7494</v>
      </c>
      <c r="IC2113" s="65">
        <v>5.9</v>
      </c>
      <c r="ID2113" s="65">
        <v>22.2</v>
      </c>
      <c r="IG2113" s="65" t="s">
        <v>545</v>
      </c>
      <c r="JG2113" s="65">
        <f>312.5/(100*100*0.05*AD2113)*1000</f>
        <v>477.09923664122141</v>
      </c>
      <c r="JH2113" s="65">
        <f>334.87/(100*100*0.05*AD2113)*1000</f>
        <v>511.25190839694659</v>
      </c>
      <c r="JK2113" s="65" t="s">
        <v>2079</v>
      </c>
      <c r="JL2113" s="65">
        <v>37</v>
      </c>
      <c r="JM2113" s="65">
        <v>49</v>
      </c>
      <c r="JP2113" s="65" t="s">
        <v>178</v>
      </c>
      <c r="JU2113" s="58"/>
      <c r="JV2113" s="58"/>
    </row>
    <row r="2114" spans="1:283" x14ac:dyDescent="0.25">
      <c r="A2114" s="55">
        <v>2113</v>
      </c>
      <c r="B2114" s="12" t="s">
        <v>7067</v>
      </c>
      <c r="C2114" s="156">
        <v>95</v>
      </c>
      <c r="D2114" s="58" t="s">
        <v>4132</v>
      </c>
      <c r="E2114" s="94" t="s">
        <v>741</v>
      </c>
      <c r="F2114" s="94"/>
      <c r="G2114" s="58" t="s">
        <v>2074</v>
      </c>
      <c r="H2114" s="58">
        <v>2007</v>
      </c>
      <c r="I2114" s="58">
        <v>2000</v>
      </c>
      <c r="J2114" s="58" t="s">
        <v>1709</v>
      </c>
      <c r="K2114" s="58" t="s">
        <v>2075</v>
      </c>
      <c r="L2114" s="58" t="s">
        <v>2737</v>
      </c>
      <c r="M2114" s="94">
        <f>48+48/60</f>
        <v>48.8</v>
      </c>
      <c r="N2114" s="94">
        <f>-110-1/60</f>
        <v>-110.01666666666667</v>
      </c>
      <c r="O2114" s="94">
        <v>871.2</v>
      </c>
      <c r="P2114" s="58"/>
      <c r="Q2114" s="58"/>
      <c r="R2114" s="58"/>
      <c r="S2114" s="94"/>
      <c r="T2114" s="58"/>
      <c r="U2114" s="58" t="s">
        <v>1688</v>
      </c>
      <c r="V2114" s="58" t="s">
        <v>1694</v>
      </c>
      <c r="Y2114" s="58" t="s">
        <v>2076</v>
      </c>
      <c r="Z2114" s="58" t="s">
        <v>1381</v>
      </c>
      <c r="AA2114" s="94" t="s">
        <v>1677</v>
      </c>
      <c r="AD2114" s="94">
        <v>1.31</v>
      </c>
      <c r="AE2114" s="94">
        <v>53</v>
      </c>
      <c r="AF2114" s="94">
        <v>21</v>
      </c>
      <c r="AG2114" s="94"/>
      <c r="AH2114" s="58" t="s">
        <v>494</v>
      </c>
      <c r="AI2114" s="169">
        <v>8.3000000000000007</v>
      </c>
      <c r="AJ2114" s="94">
        <f>20.5/(100*100*0.2*AD2114)*100</f>
        <v>0.78244274809160308</v>
      </c>
      <c r="AK2114" s="94"/>
      <c r="AL2114" s="58"/>
      <c r="AM2114" s="58" t="s">
        <v>1306</v>
      </c>
      <c r="AN2114" s="186" t="s">
        <v>538</v>
      </c>
      <c r="AO2114" s="185" t="s">
        <v>5150</v>
      </c>
      <c r="AP2114" s="58"/>
      <c r="AQ2114" s="58" t="s">
        <v>553</v>
      </c>
      <c r="AR2114" s="58" t="s">
        <v>116</v>
      </c>
      <c r="AS2114" s="58" t="s">
        <v>116</v>
      </c>
      <c r="AT2114" s="182"/>
      <c r="AU2114" s="181" t="s">
        <v>7494</v>
      </c>
      <c r="AV2114" s="185" t="s">
        <v>176</v>
      </c>
      <c r="AW2114" s="58"/>
      <c r="AX2114" s="185" t="s">
        <v>176</v>
      </c>
      <c r="AY2114" s="58"/>
      <c r="AZ2114" s="58" t="s">
        <v>2081</v>
      </c>
      <c r="BA2114" s="58" t="s">
        <v>2081</v>
      </c>
      <c r="BB2114" s="58" t="s">
        <v>2081</v>
      </c>
      <c r="BC2114" s="58" t="s">
        <v>2081</v>
      </c>
      <c r="BD2114" s="58" t="s">
        <v>176</v>
      </c>
      <c r="BE2114" s="236"/>
      <c r="BF2114" s="58"/>
      <c r="BG2114" s="58"/>
      <c r="BH2114" s="236"/>
      <c r="BI2114" s="58"/>
      <c r="BJ2114" s="58"/>
      <c r="BK2114" s="58" t="s">
        <v>5976</v>
      </c>
      <c r="BL2114" s="58"/>
      <c r="BM2114" s="237" t="s">
        <v>119</v>
      </c>
      <c r="BN2114" s="58"/>
      <c r="BO2114" s="58"/>
      <c r="BP2114" s="58"/>
      <c r="BQ2114" s="58" t="s">
        <v>2077</v>
      </c>
      <c r="BR2114" s="58"/>
      <c r="BS2114" s="58"/>
      <c r="BT2114" s="58"/>
      <c r="BU2114" s="58"/>
      <c r="BV2114" s="58"/>
      <c r="CO2114" s="67"/>
      <c r="CP2114" s="67"/>
      <c r="CR2114" s="67"/>
      <c r="CS2114" s="67"/>
      <c r="DB2114" s="65">
        <v>1.7</v>
      </c>
      <c r="DC2114" s="65">
        <v>2.21</v>
      </c>
      <c r="DF2114" s="65" t="s">
        <v>2080</v>
      </c>
      <c r="GP2114" s="292" t="s">
        <v>7494</v>
      </c>
      <c r="IC2114" s="65">
        <v>11</v>
      </c>
      <c r="ID2114" s="65">
        <v>2.9</v>
      </c>
      <c r="IG2114" s="65" t="s">
        <v>545</v>
      </c>
      <c r="JL2114" s="65">
        <v>67.900000000000006</v>
      </c>
      <c r="JM2114" s="65">
        <v>18.5</v>
      </c>
      <c r="JP2114" s="65" t="s">
        <v>178</v>
      </c>
      <c r="JU2114" s="58"/>
      <c r="JV2114" s="58"/>
    </row>
    <row r="2115" spans="1:283" x14ac:dyDescent="0.25">
      <c r="A2115" s="55">
        <v>2114</v>
      </c>
      <c r="B2115" s="12" t="s">
        <v>7067</v>
      </c>
      <c r="C2115" s="156">
        <v>95</v>
      </c>
      <c r="D2115" s="58" t="s">
        <v>4130</v>
      </c>
      <c r="E2115" s="94" t="s">
        <v>741</v>
      </c>
      <c r="F2115" s="94"/>
      <c r="G2115" s="58" t="s">
        <v>2074</v>
      </c>
      <c r="H2115" s="58">
        <v>2007</v>
      </c>
      <c r="I2115" s="58">
        <v>2000</v>
      </c>
      <c r="J2115" s="58" t="s">
        <v>1709</v>
      </c>
      <c r="K2115" s="58" t="s">
        <v>2075</v>
      </c>
      <c r="L2115" s="58" t="s">
        <v>2737</v>
      </c>
      <c r="M2115" s="94">
        <f>48+48/60</f>
        <v>48.8</v>
      </c>
      <c r="N2115" s="94">
        <f>-110-1/60</f>
        <v>-110.01666666666667</v>
      </c>
      <c r="O2115" s="94">
        <v>871.2</v>
      </c>
      <c r="P2115" s="58"/>
      <c r="Q2115" s="58"/>
      <c r="R2115" s="58"/>
      <c r="S2115" s="94"/>
      <c r="T2115" s="58"/>
      <c r="U2115" s="58" t="s">
        <v>1688</v>
      </c>
      <c r="V2115" s="58" t="s">
        <v>1694</v>
      </c>
      <c r="Y2115" s="58" t="s">
        <v>2076</v>
      </c>
      <c r="Z2115" s="58" t="s">
        <v>1346</v>
      </c>
      <c r="AA2115" s="94" t="s">
        <v>1675</v>
      </c>
      <c r="AD2115" s="94">
        <v>1.31</v>
      </c>
      <c r="AE2115" s="94">
        <v>53</v>
      </c>
      <c r="AF2115" s="94">
        <v>21</v>
      </c>
      <c r="AG2115" s="94"/>
      <c r="AH2115" s="58" t="s">
        <v>494</v>
      </c>
      <c r="AI2115" s="169">
        <v>8.3000000000000007</v>
      </c>
      <c r="AJ2115" s="94">
        <f>20.5/(100*100*0.2*AD2115)*100</f>
        <v>0.78244274809160308</v>
      </c>
      <c r="AK2115" s="94"/>
      <c r="AL2115" s="58"/>
      <c r="AM2115" s="58" t="s">
        <v>1306</v>
      </c>
      <c r="AN2115" s="186" t="s">
        <v>538</v>
      </c>
      <c r="AO2115" s="185" t="s">
        <v>5150</v>
      </c>
      <c r="AP2115" s="58"/>
      <c r="AQ2115" s="58" t="s">
        <v>553</v>
      </c>
      <c r="AR2115" s="58" t="s">
        <v>116</v>
      </c>
      <c r="AS2115" s="58" t="s">
        <v>116</v>
      </c>
      <c r="AT2115" s="182"/>
      <c r="AU2115" s="181" t="s">
        <v>7494</v>
      </c>
      <c r="AV2115" s="185" t="s">
        <v>176</v>
      </c>
      <c r="AW2115" s="58"/>
      <c r="AX2115" s="185" t="s">
        <v>176</v>
      </c>
      <c r="AY2115" s="58"/>
      <c r="AZ2115" s="58" t="s">
        <v>2081</v>
      </c>
      <c r="BA2115" s="58" t="s">
        <v>2081</v>
      </c>
      <c r="BB2115" s="58" t="s">
        <v>2081</v>
      </c>
      <c r="BC2115" s="58" t="s">
        <v>2081</v>
      </c>
      <c r="BD2115" s="58" t="s">
        <v>176</v>
      </c>
      <c r="BE2115" s="236"/>
      <c r="BF2115" s="58"/>
      <c r="BG2115" s="58"/>
      <c r="BH2115" s="236"/>
      <c r="BI2115" s="58"/>
      <c r="BJ2115" s="58"/>
      <c r="BK2115" s="58" t="s">
        <v>5976</v>
      </c>
      <c r="BL2115" s="58"/>
      <c r="BM2115" s="237" t="s">
        <v>119</v>
      </c>
      <c r="BN2115" s="58"/>
      <c r="BO2115" s="58"/>
      <c r="BP2115" s="58"/>
      <c r="BQ2115" s="58" t="s">
        <v>2077</v>
      </c>
      <c r="BR2115" s="58"/>
      <c r="BS2115" s="58"/>
      <c r="BT2115" s="58"/>
      <c r="BU2115" s="58"/>
      <c r="BV2115" s="58"/>
      <c r="CO2115" s="67"/>
      <c r="CP2115" s="67"/>
      <c r="CR2115" s="67"/>
      <c r="CS2115" s="67"/>
      <c r="DB2115" s="65">
        <v>2.3199999999999998</v>
      </c>
      <c r="DC2115" s="65">
        <v>2.87</v>
      </c>
      <c r="DF2115" s="65" t="s">
        <v>2080</v>
      </c>
      <c r="GP2115" s="292" t="s">
        <v>7494</v>
      </c>
      <c r="IC2115" s="65">
        <v>16.899999999999999</v>
      </c>
      <c r="ID2115" s="65">
        <v>24.7</v>
      </c>
      <c r="IG2115" s="65" t="s">
        <v>545</v>
      </c>
      <c r="JL2115" s="65">
        <v>104.9</v>
      </c>
      <c r="JM2115" s="65">
        <v>67.5</v>
      </c>
      <c r="JP2115" s="65" t="s">
        <v>178</v>
      </c>
      <c r="JU2115" s="58"/>
      <c r="JV2115" s="58"/>
    </row>
    <row r="2116" spans="1:283" x14ac:dyDescent="0.25">
      <c r="A2116" s="55">
        <v>2115</v>
      </c>
      <c r="B2116" s="12" t="s">
        <v>7067</v>
      </c>
      <c r="C2116" s="156">
        <v>95</v>
      </c>
      <c r="D2116" s="58" t="s">
        <v>4131</v>
      </c>
      <c r="E2116" s="94" t="s">
        <v>741</v>
      </c>
      <c r="F2116" s="94"/>
      <c r="G2116" s="58" t="s">
        <v>2074</v>
      </c>
      <c r="H2116" s="58">
        <v>2007</v>
      </c>
      <c r="I2116" s="58">
        <v>2000</v>
      </c>
      <c r="J2116" s="58" t="s">
        <v>1709</v>
      </c>
      <c r="K2116" s="58" t="s">
        <v>2075</v>
      </c>
      <c r="L2116" s="58" t="s">
        <v>2737</v>
      </c>
      <c r="M2116" s="94">
        <f>48+48/60</f>
        <v>48.8</v>
      </c>
      <c r="N2116" s="94">
        <f>-110-1/60</f>
        <v>-110.01666666666667</v>
      </c>
      <c r="O2116" s="94">
        <v>871.2</v>
      </c>
      <c r="P2116" s="58"/>
      <c r="Q2116" s="58"/>
      <c r="R2116" s="58"/>
      <c r="S2116" s="94"/>
      <c r="T2116" s="58"/>
      <c r="U2116" s="58" t="s">
        <v>1688</v>
      </c>
      <c r="V2116" s="58" t="s">
        <v>1694</v>
      </c>
      <c r="Y2116" s="58" t="s">
        <v>2076</v>
      </c>
      <c r="Z2116" s="58" t="s">
        <v>1361</v>
      </c>
      <c r="AA2116" s="94" t="s">
        <v>1682</v>
      </c>
      <c r="AD2116" s="94">
        <v>1.31</v>
      </c>
      <c r="AE2116" s="94">
        <v>53</v>
      </c>
      <c r="AF2116" s="94">
        <v>21</v>
      </c>
      <c r="AG2116" s="94"/>
      <c r="AH2116" s="58" t="s">
        <v>494</v>
      </c>
      <c r="AI2116" s="169">
        <v>8.3000000000000007</v>
      </c>
      <c r="AJ2116" s="94">
        <f>20.5/(100*100*0.2*AD2116)*100</f>
        <v>0.78244274809160308</v>
      </c>
      <c r="AK2116" s="94"/>
      <c r="AL2116" s="58"/>
      <c r="AM2116" s="58" t="s">
        <v>1306</v>
      </c>
      <c r="AN2116" s="186" t="s">
        <v>538</v>
      </c>
      <c r="AO2116" s="185" t="s">
        <v>5150</v>
      </c>
      <c r="AP2116" s="58"/>
      <c r="AQ2116" s="58" t="s">
        <v>553</v>
      </c>
      <c r="AR2116" s="58" t="s">
        <v>116</v>
      </c>
      <c r="AS2116" s="58" t="s">
        <v>116</v>
      </c>
      <c r="AT2116" s="182"/>
      <c r="AU2116" s="181" t="s">
        <v>7494</v>
      </c>
      <c r="AV2116" s="185" t="s">
        <v>176</v>
      </c>
      <c r="AW2116" s="58"/>
      <c r="AX2116" s="185" t="s">
        <v>176</v>
      </c>
      <c r="AY2116" s="58"/>
      <c r="AZ2116" s="58" t="s">
        <v>2082</v>
      </c>
      <c r="BA2116" s="58" t="s">
        <v>2082</v>
      </c>
      <c r="BB2116" s="58" t="s">
        <v>2082</v>
      </c>
      <c r="BC2116" s="58" t="s">
        <v>2082</v>
      </c>
      <c r="BD2116" s="58" t="s">
        <v>176</v>
      </c>
      <c r="BE2116" s="236"/>
      <c r="BF2116" s="58"/>
      <c r="BG2116" s="58"/>
      <c r="BH2116" s="236"/>
      <c r="BI2116" s="58"/>
      <c r="BJ2116" s="58"/>
      <c r="BK2116" s="58" t="s">
        <v>6269</v>
      </c>
      <c r="BL2116" s="58"/>
      <c r="BM2116" s="237" t="s">
        <v>119</v>
      </c>
      <c r="BN2116" s="58"/>
      <c r="BO2116" s="58"/>
      <c r="BP2116" s="58"/>
      <c r="BQ2116" s="58" t="s">
        <v>2077</v>
      </c>
      <c r="BR2116" s="58"/>
      <c r="BS2116" s="58"/>
      <c r="BT2116" s="58"/>
      <c r="BU2116" s="58"/>
      <c r="BV2116" s="58"/>
      <c r="CO2116" s="67"/>
      <c r="CP2116" s="67"/>
      <c r="CR2116" s="67"/>
      <c r="CS2116" s="67"/>
      <c r="DB2116" s="65">
        <v>0.92</v>
      </c>
      <c r="DC2116" s="65">
        <v>0.56000000000000005</v>
      </c>
      <c r="DF2116" s="65" t="s">
        <v>2080</v>
      </c>
      <c r="GP2116" s="292" t="s">
        <v>7494</v>
      </c>
      <c r="IC2116" s="65">
        <v>4.5</v>
      </c>
      <c r="ID2116" s="65">
        <v>1.7</v>
      </c>
      <c r="IG2116" s="65" t="s">
        <v>545</v>
      </c>
      <c r="JL2116" s="65">
        <v>20</v>
      </c>
      <c r="JM2116" s="65">
        <v>22.9</v>
      </c>
      <c r="JP2116" s="65" t="s">
        <v>178</v>
      </c>
      <c r="JU2116" s="58"/>
      <c r="JV2116" s="58"/>
    </row>
    <row r="2117" spans="1:283" x14ac:dyDescent="0.25">
      <c r="A2117" s="55">
        <v>2116</v>
      </c>
      <c r="B2117" s="12" t="s">
        <v>7067</v>
      </c>
      <c r="C2117" s="156">
        <v>95</v>
      </c>
      <c r="D2117" s="58" t="s">
        <v>4132</v>
      </c>
      <c r="E2117" s="94" t="s">
        <v>741</v>
      </c>
      <c r="F2117" s="94"/>
      <c r="G2117" s="58" t="s">
        <v>2074</v>
      </c>
      <c r="H2117" s="58">
        <v>2007</v>
      </c>
      <c r="I2117" s="58">
        <v>2000</v>
      </c>
      <c r="J2117" s="58" t="s">
        <v>1709</v>
      </c>
      <c r="K2117" s="58" t="s">
        <v>2075</v>
      </c>
      <c r="L2117" s="58" t="s">
        <v>2737</v>
      </c>
      <c r="M2117" s="94">
        <f>48+48/60</f>
        <v>48.8</v>
      </c>
      <c r="N2117" s="94">
        <f>-110-1/60</f>
        <v>-110.01666666666667</v>
      </c>
      <c r="O2117" s="94">
        <v>871.2</v>
      </c>
      <c r="P2117" s="58"/>
      <c r="Q2117" s="58"/>
      <c r="R2117" s="58"/>
      <c r="S2117" s="94"/>
      <c r="T2117" s="58"/>
      <c r="U2117" s="58" t="s">
        <v>1688</v>
      </c>
      <c r="V2117" s="58" t="s">
        <v>1694</v>
      </c>
      <c r="Y2117" s="58" t="s">
        <v>2076</v>
      </c>
      <c r="Z2117" s="58" t="s">
        <v>1381</v>
      </c>
      <c r="AA2117" s="94" t="s">
        <v>1677</v>
      </c>
      <c r="AD2117" s="94">
        <v>1.31</v>
      </c>
      <c r="AE2117" s="94">
        <v>53</v>
      </c>
      <c r="AF2117" s="94">
        <v>21</v>
      </c>
      <c r="AG2117" s="94"/>
      <c r="AH2117" s="58" t="s">
        <v>494</v>
      </c>
      <c r="AI2117" s="169">
        <v>8.3000000000000007</v>
      </c>
      <c r="AJ2117" s="94">
        <f>20.5/(100*100*0.2*AD2117)*100</f>
        <v>0.78244274809160308</v>
      </c>
      <c r="AK2117" s="94"/>
      <c r="AL2117" s="58"/>
      <c r="AM2117" s="58" t="s">
        <v>1306</v>
      </c>
      <c r="AN2117" s="186" t="s">
        <v>538</v>
      </c>
      <c r="AO2117" s="185" t="s">
        <v>5150</v>
      </c>
      <c r="AP2117" s="58"/>
      <c r="AQ2117" s="58" t="s">
        <v>553</v>
      </c>
      <c r="AR2117" s="58" t="s">
        <v>116</v>
      </c>
      <c r="AS2117" s="58" t="s">
        <v>116</v>
      </c>
      <c r="AT2117" s="182"/>
      <c r="AU2117" s="181" t="s">
        <v>7494</v>
      </c>
      <c r="AV2117" s="185" t="s">
        <v>176</v>
      </c>
      <c r="AW2117" s="58"/>
      <c r="AX2117" s="185" t="s">
        <v>176</v>
      </c>
      <c r="AY2117" s="58"/>
      <c r="AZ2117" s="58" t="s">
        <v>2082</v>
      </c>
      <c r="BA2117" s="58" t="s">
        <v>2082</v>
      </c>
      <c r="BB2117" s="58" t="s">
        <v>2082</v>
      </c>
      <c r="BC2117" s="58" t="s">
        <v>2082</v>
      </c>
      <c r="BD2117" s="58" t="s">
        <v>176</v>
      </c>
      <c r="BE2117" s="236"/>
      <c r="BF2117" s="58"/>
      <c r="BG2117" s="58"/>
      <c r="BH2117" s="236"/>
      <c r="BI2117" s="58"/>
      <c r="BJ2117" s="58"/>
      <c r="BK2117" s="58" t="s">
        <v>6269</v>
      </c>
      <c r="BL2117" s="58"/>
      <c r="BM2117" s="237" t="s">
        <v>119</v>
      </c>
      <c r="BN2117" s="58"/>
      <c r="BO2117" s="58"/>
      <c r="BP2117" s="58"/>
      <c r="BQ2117" s="58" t="s">
        <v>2077</v>
      </c>
      <c r="BR2117" s="58"/>
      <c r="BS2117" s="58"/>
      <c r="BT2117" s="58"/>
      <c r="BU2117" s="58"/>
      <c r="BV2117" s="58"/>
      <c r="CO2117" s="67"/>
      <c r="CP2117" s="67"/>
      <c r="CR2117" s="67"/>
      <c r="CS2117" s="67"/>
      <c r="DB2117" s="65">
        <v>1.41</v>
      </c>
      <c r="DC2117" s="65">
        <v>1.55</v>
      </c>
      <c r="DF2117" s="65" t="s">
        <v>2080</v>
      </c>
      <c r="GP2117" s="292" t="s">
        <v>7494</v>
      </c>
      <c r="IC2117" s="65">
        <v>7.7</v>
      </c>
      <c r="ID2117" s="65">
        <v>7.8</v>
      </c>
      <c r="IG2117" s="65" t="s">
        <v>545</v>
      </c>
      <c r="JL2117" s="65">
        <v>47.4</v>
      </c>
      <c r="JM2117" s="65">
        <v>58.8</v>
      </c>
      <c r="JP2117" s="65" t="s">
        <v>178</v>
      </c>
      <c r="JU2117" s="58"/>
      <c r="JV2117" s="58"/>
    </row>
    <row r="2118" spans="1:283" x14ac:dyDescent="0.25">
      <c r="A2118" s="55">
        <v>2117</v>
      </c>
      <c r="B2118" s="12" t="s">
        <v>7067</v>
      </c>
      <c r="C2118" s="156">
        <v>95</v>
      </c>
      <c r="D2118" s="58" t="s">
        <v>4130</v>
      </c>
      <c r="E2118" s="94" t="s">
        <v>741</v>
      </c>
      <c r="F2118" s="94"/>
      <c r="G2118" s="58" t="s">
        <v>2074</v>
      </c>
      <c r="H2118" s="58">
        <v>2007</v>
      </c>
      <c r="I2118" s="58">
        <v>2000</v>
      </c>
      <c r="J2118" s="58" t="s">
        <v>1709</v>
      </c>
      <c r="K2118" s="58" t="s">
        <v>2075</v>
      </c>
      <c r="L2118" s="58" t="s">
        <v>2737</v>
      </c>
      <c r="M2118" s="94">
        <f>48+48/60</f>
        <v>48.8</v>
      </c>
      <c r="N2118" s="94">
        <f>-110-1/60</f>
        <v>-110.01666666666667</v>
      </c>
      <c r="O2118" s="94">
        <v>871.2</v>
      </c>
      <c r="P2118" s="58"/>
      <c r="Q2118" s="58"/>
      <c r="R2118" s="58"/>
      <c r="S2118" s="94"/>
      <c r="T2118" s="58"/>
      <c r="U2118" s="58" t="s">
        <v>1688</v>
      </c>
      <c r="V2118" s="58" t="s">
        <v>1694</v>
      </c>
      <c r="Y2118" s="58" t="s">
        <v>2076</v>
      </c>
      <c r="Z2118" s="58" t="s">
        <v>1346</v>
      </c>
      <c r="AA2118" s="94" t="s">
        <v>1675</v>
      </c>
      <c r="AD2118" s="94">
        <v>1.31</v>
      </c>
      <c r="AE2118" s="94">
        <v>53</v>
      </c>
      <c r="AF2118" s="94">
        <v>21</v>
      </c>
      <c r="AG2118" s="94"/>
      <c r="AH2118" s="58" t="s">
        <v>494</v>
      </c>
      <c r="AI2118" s="169">
        <v>8.3000000000000007</v>
      </c>
      <c r="AJ2118" s="94">
        <f>20.5/(100*100*0.2*AD2118)*100</f>
        <v>0.78244274809160308</v>
      </c>
      <c r="AK2118" s="94"/>
      <c r="AL2118" s="58"/>
      <c r="AM2118" s="58" t="s">
        <v>1306</v>
      </c>
      <c r="AN2118" s="186" t="s">
        <v>538</v>
      </c>
      <c r="AO2118" s="185" t="s">
        <v>5150</v>
      </c>
      <c r="AP2118" s="58"/>
      <c r="AQ2118" s="58" t="s">
        <v>553</v>
      </c>
      <c r="AR2118" s="58" t="s">
        <v>116</v>
      </c>
      <c r="AS2118" s="58" t="s">
        <v>116</v>
      </c>
      <c r="AT2118" s="182"/>
      <c r="AU2118" s="181" t="s">
        <v>7494</v>
      </c>
      <c r="AV2118" s="185" t="s">
        <v>176</v>
      </c>
      <c r="AW2118" s="58"/>
      <c r="AX2118" s="185" t="s">
        <v>176</v>
      </c>
      <c r="AY2118" s="58"/>
      <c r="AZ2118" s="58" t="s">
        <v>2082</v>
      </c>
      <c r="BA2118" s="58" t="s">
        <v>2082</v>
      </c>
      <c r="BB2118" s="58" t="s">
        <v>2082</v>
      </c>
      <c r="BC2118" s="58" t="s">
        <v>2082</v>
      </c>
      <c r="BD2118" s="58" t="s">
        <v>176</v>
      </c>
      <c r="BE2118" s="236"/>
      <c r="BF2118" s="58"/>
      <c r="BG2118" s="58"/>
      <c r="BH2118" s="236"/>
      <c r="BI2118" s="58"/>
      <c r="BJ2118" s="58"/>
      <c r="BK2118" s="58" t="s">
        <v>6269</v>
      </c>
      <c r="BL2118" s="58"/>
      <c r="BM2118" s="237" t="s">
        <v>119</v>
      </c>
      <c r="BN2118" s="58"/>
      <c r="BO2118" s="58"/>
      <c r="BP2118" s="58"/>
      <c r="BQ2118" s="58" t="s">
        <v>2077</v>
      </c>
      <c r="BR2118" s="58"/>
      <c r="BS2118" s="58"/>
      <c r="BT2118" s="58"/>
      <c r="BU2118" s="58"/>
      <c r="BV2118" s="58"/>
      <c r="CO2118" s="67"/>
      <c r="CP2118" s="67"/>
      <c r="CR2118" s="67"/>
      <c r="CS2118" s="67"/>
      <c r="DB2118" s="65">
        <v>2.33</v>
      </c>
      <c r="DC2118" s="65">
        <v>2.61</v>
      </c>
      <c r="DF2118" s="65" t="s">
        <v>2080</v>
      </c>
      <c r="GP2118" s="292" t="s">
        <v>7494</v>
      </c>
      <c r="IC2118" s="65">
        <v>12.2</v>
      </c>
      <c r="ID2118" s="65">
        <v>9.5</v>
      </c>
      <c r="IG2118" s="65" t="s">
        <v>545</v>
      </c>
      <c r="JL2118" s="65">
        <v>67.400000000000006</v>
      </c>
      <c r="JM2118" s="65">
        <v>81.7</v>
      </c>
      <c r="JP2118" s="65" t="s">
        <v>178</v>
      </c>
      <c r="JU2118" s="58"/>
      <c r="JV2118" s="58"/>
    </row>
    <row r="2119" spans="1:283" x14ac:dyDescent="0.25">
      <c r="A2119" s="55">
        <v>2118</v>
      </c>
      <c r="B2119" s="12" t="s">
        <v>7067</v>
      </c>
      <c r="C2119" s="156">
        <v>96</v>
      </c>
      <c r="D2119" s="58" t="s">
        <v>4133</v>
      </c>
      <c r="E2119" s="94" t="s">
        <v>1980</v>
      </c>
      <c r="F2119" s="94"/>
      <c r="G2119" s="58" t="s">
        <v>501</v>
      </c>
      <c r="H2119" s="58">
        <v>1990</v>
      </c>
      <c r="I2119" s="58">
        <v>1984</v>
      </c>
      <c r="J2119" s="58" t="s">
        <v>282</v>
      </c>
      <c r="K2119" s="58" t="s">
        <v>1979</v>
      </c>
      <c r="L2119" s="58" t="s">
        <v>2737</v>
      </c>
      <c r="M2119" s="94">
        <v>38.06</v>
      </c>
      <c r="N2119" s="94">
        <v>-84.59</v>
      </c>
      <c r="O2119" s="94">
        <v>294</v>
      </c>
      <c r="P2119" s="58">
        <v>12.8</v>
      </c>
      <c r="Q2119" s="58"/>
      <c r="R2119" s="58">
        <v>1148.0999999999999</v>
      </c>
      <c r="S2119" s="94"/>
      <c r="T2119" s="58"/>
      <c r="U2119" s="58">
        <v>1</v>
      </c>
      <c r="V2119" s="58" t="s">
        <v>1805</v>
      </c>
      <c r="Y2119" s="58" t="s">
        <v>2085</v>
      </c>
      <c r="Z2119" s="58" t="s">
        <v>1347</v>
      </c>
      <c r="AA2119" s="94">
        <v>7.5</v>
      </c>
      <c r="AD2119" s="94">
        <f>AVERAGE(Sheet1!CH2119:CI2119)</f>
        <v>1.252</v>
      </c>
      <c r="AE2119" s="92">
        <v>65</v>
      </c>
      <c r="AF2119" s="92">
        <v>25</v>
      </c>
      <c r="AG2119" s="92"/>
      <c r="AH2119" s="58" t="s">
        <v>6378</v>
      </c>
      <c r="AI2119" s="169"/>
      <c r="AJ2119" s="94">
        <v>1.97</v>
      </c>
      <c r="AK2119" s="94"/>
      <c r="AL2119" s="58"/>
      <c r="AM2119" s="58" t="s">
        <v>1978</v>
      </c>
      <c r="AN2119" s="186" t="s">
        <v>1982</v>
      </c>
      <c r="AO2119" s="185" t="s">
        <v>5150</v>
      </c>
      <c r="AP2119" s="58"/>
      <c r="AQ2119" s="58" t="s">
        <v>553</v>
      </c>
      <c r="AR2119" s="58" t="s">
        <v>1977</v>
      </c>
      <c r="AS2119" s="58" t="s">
        <v>132</v>
      </c>
      <c r="AT2119" s="182"/>
      <c r="AU2119" s="181" t="s">
        <v>7494</v>
      </c>
      <c r="AV2119" s="185" t="s">
        <v>176</v>
      </c>
      <c r="AW2119" s="58"/>
      <c r="AX2119" s="185" t="s">
        <v>176</v>
      </c>
      <c r="AY2119" s="58"/>
      <c r="AZ2119" s="58" t="s">
        <v>1016</v>
      </c>
      <c r="BA2119" s="58" t="s">
        <v>1016</v>
      </c>
      <c r="BB2119" s="58" t="s">
        <v>2082</v>
      </c>
      <c r="BC2119" s="58" t="s">
        <v>2082</v>
      </c>
      <c r="BD2119" s="55" t="s">
        <v>176</v>
      </c>
      <c r="BE2119" s="236" t="s">
        <v>1981</v>
      </c>
      <c r="BF2119" s="58"/>
      <c r="BG2119" s="191" t="s">
        <v>176</v>
      </c>
      <c r="BH2119" s="236" t="s">
        <v>2083</v>
      </c>
      <c r="BI2119" s="191" t="s">
        <v>479</v>
      </c>
      <c r="BJ2119" s="55" t="s">
        <v>176</v>
      </c>
      <c r="BK2119" s="58" t="s">
        <v>6269</v>
      </c>
      <c r="BL2119" s="58"/>
      <c r="BM2119" s="237"/>
      <c r="BN2119" s="61">
        <v>4</v>
      </c>
      <c r="BO2119" s="61">
        <v>4</v>
      </c>
      <c r="BP2119" s="61">
        <v>4</v>
      </c>
      <c r="BQ2119" s="58" t="s">
        <v>2077</v>
      </c>
      <c r="BR2119" s="58"/>
      <c r="BS2119" s="58">
        <v>3000</v>
      </c>
      <c r="BT2119" s="58">
        <f>BS2119/119</f>
        <v>25.210084033613445</v>
      </c>
      <c r="BU2119" s="58"/>
      <c r="BV2119" s="58"/>
      <c r="CB2119" s="68">
        <v>2750</v>
      </c>
      <c r="CC2119" s="68">
        <v>6400</v>
      </c>
      <c r="CD2119" s="68"/>
      <c r="CE2119" s="67"/>
      <c r="CH2119" s="94">
        <v>1.2659199999999999</v>
      </c>
      <c r="CI2119" s="94">
        <v>1.2380800000000001</v>
      </c>
      <c r="CM2119" s="67">
        <v>1.97</v>
      </c>
      <c r="CN2119" s="67">
        <v>2.13</v>
      </c>
      <c r="CR2119" s="67">
        <f>(CM2119/100*CH2119*AA2119/100)*10000</f>
        <v>18.703967999999996</v>
      </c>
      <c r="CS2119" s="67">
        <f>(CN2119/100*CI2119*AA2119/100)*10000</f>
        <v>19.778327999999998</v>
      </c>
      <c r="CV2119" s="65" t="s">
        <v>2052</v>
      </c>
      <c r="DA2119" s="65" t="s">
        <v>4463</v>
      </c>
      <c r="GP2119" s="292" t="s">
        <v>7494</v>
      </c>
      <c r="JU2119" s="58" t="s">
        <v>2039</v>
      </c>
      <c r="JV2119" s="58"/>
    </row>
    <row r="2120" spans="1:283" x14ac:dyDescent="0.25">
      <c r="A2120" s="55">
        <v>2119</v>
      </c>
      <c r="B2120" s="12" t="s">
        <v>7067</v>
      </c>
      <c r="C2120" s="156">
        <v>96</v>
      </c>
      <c r="D2120" s="58" t="s">
        <v>4133</v>
      </c>
      <c r="E2120" s="94" t="s">
        <v>1980</v>
      </c>
      <c r="F2120" s="94"/>
      <c r="G2120" s="58" t="s">
        <v>501</v>
      </c>
      <c r="H2120" s="58">
        <v>1990</v>
      </c>
      <c r="I2120" s="58">
        <v>1984</v>
      </c>
      <c r="J2120" s="58" t="s">
        <v>282</v>
      </c>
      <c r="K2120" s="58" t="s">
        <v>1979</v>
      </c>
      <c r="L2120" s="58" t="s">
        <v>2737</v>
      </c>
      <c r="M2120" s="94">
        <v>38.06</v>
      </c>
      <c r="N2120" s="94">
        <v>-84.59</v>
      </c>
      <c r="O2120" s="94">
        <v>294</v>
      </c>
      <c r="P2120" s="58">
        <v>12.8</v>
      </c>
      <c r="Q2120" s="58"/>
      <c r="R2120" s="58">
        <v>1148.0999999999999</v>
      </c>
      <c r="S2120" s="94"/>
      <c r="T2120" s="58"/>
      <c r="U2120" s="58">
        <v>1</v>
      </c>
      <c r="V2120" s="58" t="s">
        <v>1805</v>
      </c>
      <c r="Y2120" s="58" t="s">
        <v>2085</v>
      </c>
      <c r="Z2120" s="58" t="s">
        <v>1347</v>
      </c>
      <c r="AA2120" s="94">
        <v>7.5</v>
      </c>
      <c r="AD2120" s="94">
        <f>AVERAGE(Sheet1!CH2120:CI2120)</f>
        <v>1.196755</v>
      </c>
      <c r="AE2120" s="92">
        <v>65</v>
      </c>
      <c r="AF2120" s="92">
        <v>25</v>
      </c>
      <c r="AG2120" s="92"/>
      <c r="AH2120" s="58" t="s">
        <v>6378</v>
      </c>
      <c r="AI2120" s="169"/>
      <c r="AJ2120" s="94">
        <v>2.35</v>
      </c>
      <c r="AK2120" s="94"/>
      <c r="AL2120" s="58"/>
      <c r="AM2120" s="58" t="s">
        <v>1978</v>
      </c>
      <c r="AN2120" s="186" t="s">
        <v>1982</v>
      </c>
      <c r="AO2120" s="185" t="s">
        <v>5150</v>
      </c>
      <c r="AP2120" s="58"/>
      <c r="AQ2120" s="58" t="s">
        <v>553</v>
      </c>
      <c r="AR2120" s="58" t="s">
        <v>1977</v>
      </c>
      <c r="AS2120" s="58" t="s">
        <v>132</v>
      </c>
      <c r="AT2120" s="182"/>
      <c r="AU2120" s="181" t="s">
        <v>7494</v>
      </c>
      <c r="AV2120" s="185" t="s">
        <v>176</v>
      </c>
      <c r="AW2120" s="58"/>
      <c r="AX2120" s="185" t="s">
        <v>176</v>
      </c>
      <c r="AY2120" s="58"/>
      <c r="AZ2120" s="58" t="s">
        <v>1016</v>
      </c>
      <c r="BA2120" s="58" t="s">
        <v>1016</v>
      </c>
      <c r="BB2120" s="58" t="s">
        <v>2082</v>
      </c>
      <c r="BC2120" s="58" t="s">
        <v>2082</v>
      </c>
      <c r="BD2120" s="55" t="s">
        <v>176</v>
      </c>
      <c r="BE2120" s="236" t="s">
        <v>1975</v>
      </c>
      <c r="BF2120" s="191" t="s">
        <v>479</v>
      </c>
      <c r="BG2120" s="191" t="s">
        <v>479</v>
      </c>
      <c r="BH2120" s="236" t="s">
        <v>2084</v>
      </c>
      <c r="BI2120" s="191" t="s">
        <v>479</v>
      </c>
      <c r="BJ2120" s="55" t="s">
        <v>176</v>
      </c>
      <c r="BK2120" s="58" t="s">
        <v>6269</v>
      </c>
      <c r="BL2120" s="58"/>
      <c r="BM2120" s="237"/>
      <c r="BN2120" s="61">
        <v>4</v>
      </c>
      <c r="BO2120" s="61">
        <v>4</v>
      </c>
      <c r="BP2120" s="61">
        <v>4</v>
      </c>
      <c r="BQ2120" s="58" t="s">
        <v>2077</v>
      </c>
      <c r="BR2120" s="58"/>
      <c r="BS2120" s="58">
        <v>3300</v>
      </c>
      <c r="BT2120" s="58">
        <f>BS2120/132</f>
        <v>25</v>
      </c>
      <c r="BU2120" s="58"/>
      <c r="BV2120" s="58"/>
      <c r="CB2120" s="68">
        <v>6700</v>
      </c>
      <c r="CC2120" s="68">
        <v>8000</v>
      </c>
      <c r="CD2120" s="68"/>
      <c r="CE2120" s="67"/>
      <c r="CH2120" s="94">
        <v>1.1998</v>
      </c>
      <c r="CI2120" s="94">
        <v>1.19371</v>
      </c>
      <c r="CM2120" s="67">
        <v>2.35</v>
      </c>
      <c r="CN2120" s="67">
        <v>2.3850000000000002</v>
      </c>
      <c r="CR2120" s="67">
        <f>(CM2120/100*CH2120*AA2120/100)*10000</f>
        <v>21.146474999999999</v>
      </c>
      <c r="CS2120" s="67">
        <f>(CN2120/100*CI2120*AA2120/100)*10000</f>
        <v>21.352487625000006</v>
      </c>
      <c r="CV2120" s="65" t="s">
        <v>2052</v>
      </c>
      <c r="DA2120" s="65" t="s">
        <v>4463</v>
      </c>
      <c r="GP2120" s="292" t="s">
        <v>7494</v>
      </c>
      <c r="JU2120" s="58" t="s">
        <v>2039</v>
      </c>
      <c r="JV2120" s="58"/>
    </row>
    <row r="2121" spans="1:283" x14ac:dyDescent="0.25">
      <c r="A2121" s="55">
        <v>2120</v>
      </c>
      <c r="B2121" s="12" t="s">
        <v>7067</v>
      </c>
      <c r="C2121" s="156">
        <v>96</v>
      </c>
      <c r="D2121" s="58" t="s">
        <v>4134</v>
      </c>
      <c r="E2121" s="94" t="s">
        <v>1980</v>
      </c>
      <c r="F2121" s="94"/>
      <c r="G2121" s="58" t="s">
        <v>501</v>
      </c>
      <c r="H2121" s="58">
        <v>1990</v>
      </c>
      <c r="I2121" s="58">
        <v>1985</v>
      </c>
      <c r="J2121" s="58" t="s">
        <v>282</v>
      </c>
      <c r="K2121" s="58" t="s">
        <v>1979</v>
      </c>
      <c r="L2121" s="58" t="s">
        <v>2737</v>
      </c>
      <c r="M2121" s="94">
        <v>38.06</v>
      </c>
      <c r="N2121" s="94">
        <v>-84.59</v>
      </c>
      <c r="O2121" s="94">
        <v>294</v>
      </c>
      <c r="P2121" s="58">
        <v>12.8</v>
      </c>
      <c r="Q2121" s="58"/>
      <c r="R2121" s="58">
        <v>1148.0999999999999</v>
      </c>
      <c r="S2121" s="94"/>
      <c r="T2121" s="58"/>
      <c r="U2121" s="58">
        <v>2</v>
      </c>
      <c r="V2121" s="58" t="s">
        <v>1805</v>
      </c>
      <c r="Y2121" s="58" t="s">
        <v>2085</v>
      </c>
      <c r="Z2121" s="58" t="s">
        <v>1347</v>
      </c>
      <c r="AA2121" s="94">
        <v>7.5</v>
      </c>
      <c r="AD2121" s="94">
        <f>AVERAGE(Sheet1!CH2121:CI2121)</f>
        <v>1.320295</v>
      </c>
      <c r="AE2121" s="92">
        <v>65</v>
      </c>
      <c r="AF2121" s="92">
        <v>25</v>
      </c>
      <c r="AG2121" s="92"/>
      <c r="AH2121" s="58" t="s">
        <v>6378</v>
      </c>
      <c r="AI2121" s="169"/>
      <c r="AJ2121" s="94">
        <v>1.64</v>
      </c>
      <c r="AK2121" s="94"/>
      <c r="AL2121" s="58"/>
      <c r="AM2121" s="58" t="s">
        <v>1978</v>
      </c>
      <c r="AN2121" s="186" t="s">
        <v>1982</v>
      </c>
      <c r="AO2121" s="185" t="s">
        <v>5150</v>
      </c>
      <c r="AP2121" s="58"/>
      <c r="AQ2121" s="58" t="s">
        <v>553</v>
      </c>
      <c r="AR2121" s="58" t="s">
        <v>1977</v>
      </c>
      <c r="AS2121" s="58" t="s">
        <v>132</v>
      </c>
      <c r="AT2121" s="182"/>
      <c r="AU2121" s="181" t="s">
        <v>7494</v>
      </c>
      <c r="AV2121" s="185" t="s">
        <v>176</v>
      </c>
      <c r="AW2121" s="58"/>
      <c r="AX2121" s="185" t="s">
        <v>176</v>
      </c>
      <c r="AY2121" s="58"/>
      <c r="AZ2121" s="58" t="s">
        <v>1976</v>
      </c>
      <c r="BA2121" s="58" t="s">
        <v>1976</v>
      </c>
      <c r="BB2121" s="58" t="s">
        <v>2081</v>
      </c>
      <c r="BC2121" s="58" t="s">
        <v>2081</v>
      </c>
      <c r="BD2121" s="55" t="s">
        <v>176</v>
      </c>
      <c r="BE2121" s="236" t="s">
        <v>1981</v>
      </c>
      <c r="BF2121" s="191" t="s">
        <v>176</v>
      </c>
      <c r="BG2121" s="191" t="s">
        <v>176</v>
      </c>
      <c r="BH2121" s="236" t="s">
        <v>2083</v>
      </c>
      <c r="BI2121" s="191" t="s">
        <v>479</v>
      </c>
      <c r="BJ2121" s="55" t="s">
        <v>176</v>
      </c>
      <c r="BK2121" s="58" t="s">
        <v>5976</v>
      </c>
      <c r="BL2121" s="58"/>
      <c r="BM2121" s="237"/>
      <c r="BN2121" s="61">
        <v>4</v>
      </c>
      <c r="BO2121" s="61">
        <v>4</v>
      </c>
      <c r="BP2121" s="61">
        <v>4</v>
      </c>
      <c r="BQ2121" s="58" t="s">
        <v>2077</v>
      </c>
      <c r="BR2121" s="58"/>
      <c r="BS2121" s="58">
        <v>3500</v>
      </c>
      <c r="BT2121" s="58">
        <f>BS2121/137</f>
        <v>25.547445255474454</v>
      </c>
      <c r="BU2121" s="58"/>
      <c r="BV2121" s="58"/>
      <c r="CB2121" s="68">
        <v>4000</v>
      </c>
      <c r="CC2121" s="68">
        <v>7100</v>
      </c>
      <c r="CD2121" s="68"/>
      <c r="CE2121" s="67"/>
      <c r="CH2121" s="94">
        <v>1.32334</v>
      </c>
      <c r="CI2121" s="94">
        <v>1.31725</v>
      </c>
      <c r="CM2121" s="67">
        <v>1.64</v>
      </c>
      <c r="CN2121" s="67">
        <v>1.675</v>
      </c>
      <c r="CR2121" s="67">
        <f>(CM2121/100*CH2121*AA2121/100)*10000</f>
        <v>16.277082</v>
      </c>
      <c r="CS2121" s="67">
        <f>(CN2121/100*CI2121*AA2121/100)*10000</f>
        <v>16.547953124999999</v>
      </c>
      <c r="CV2121" s="65" t="s">
        <v>2052</v>
      </c>
      <c r="DA2121" s="65" t="s">
        <v>4463</v>
      </c>
      <c r="GP2121" s="292" t="s">
        <v>7494</v>
      </c>
      <c r="JU2121" s="58" t="s">
        <v>2039</v>
      </c>
      <c r="JV2121" s="58"/>
    </row>
    <row r="2122" spans="1:283" x14ac:dyDescent="0.25">
      <c r="A2122" s="55">
        <v>2121</v>
      </c>
      <c r="B2122" s="12" t="s">
        <v>7067</v>
      </c>
      <c r="C2122" s="156">
        <v>96</v>
      </c>
      <c r="D2122" s="58" t="s">
        <v>4134</v>
      </c>
      <c r="E2122" s="94" t="s">
        <v>1980</v>
      </c>
      <c r="F2122" s="94"/>
      <c r="G2122" s="58" t="s">
        <v>501</v>
      </c>
      <c r="H2122" s="58">
        <v>1990</v>
      </c>
      <c r="I2122" s="58">
        <v>1985</v>
      </c>
      <c r="J2122" s="58" t="s">
        <v>282</v>
      </c>
      <c r="K2122" s="58" t="s">
        <v>1979</v>
      </c>
      <c r="L2122" s="58" t="s">
        <v>2737</v>
      </c>
      <c r="M2122" s="94">
        <v>38.06</v>
      </c>
      <c r="N2122" s="94">
        <v>-84.59</v>
      </c>
      <c r="O2122" s="94">
        <v>294</v>
      </c>
      <c r="P2122" s="58">
        <v>12.8</v>
      </c>
      <c r="Q2122" s="58"/>
      <c r="R2122" s="58">
        <v>1148.0999999999999</v>
      </c>
      <c r="S2122" s="94"/>
      <c r="T2122" s="58"/>
      <c r="U2122" s="58">
        <v>2</v>
      </c>
      <c r="V2122" s="58" t="s">
        <v>1805</v>
      </c>
      <c r="Y2122" s="58" t="s">
        <v>2085</v>
      </c>
      <c r="Z2122" s="58" t="s">
        <v>1347</v>
      </c>
      <c r="AA2122" s="94">
        <v>7.5</v>
      </c>
      <c r="AD2122" s="94">
        <f>AVERAGE(Sheet1!CH2122:CI2122)</f>
        <v>1.3115950000000001</v>
      </c>
      <c r="AE2122" s="92">
        <v>65</v>
      </c>
      <c r="AF2122" s="92">
        <v>25</v>
      </c>
      <c r="AG2122" s="92"/>
      <c r="AH2122" s="58" t="s">
        <v>6378</v>
      </c>
      <c r="AI2122" s="169"/>
      <c r="AJ2122" s="94">
        <v>1.675</v>
      </c>
      <c r="AK2122" s="94"/>
      <c r="AL2122" s="58"/>
      <c r="AM2122" s="58" t="s">
        <v>1978</v>
      </c>
      <c r="AN2122" s="186" t="s">
        <v>1982</v>
      </c>
      <c r="AO2122" s="185" t="s">
        <v>5150</v>
      </c>
      <c r="AP2122" s="58"/>
      <c r="AQ2122" s="58" t="s">
        <v>553</v>
      </c>
      <c r="AR2122" s="58" t="s">
        <v>1977</v>
      </c>
      <c r="AS2122" s="58" t="s">
        <v>132</v>
      </c>
      <c r="AT2122" s="182"/>
      <c r="AU2122" s="181" t="s">
        <v>7494</v>
      </c>
      <c r="AV2122" s="185" t="s">
        <v>176</v>
      </c>
      <c r="AW2122" s="58"/>
      <c r="AX2122" s="185" t="s">
        <v>176</v>
      </c>
      <c r="AY2122" s="58"/>
      <c r="AZ2122" s="58" t="s">
        <v>1976</v>
      </c>
      <c r="BA2122" s="58" t="s">
        <v>1976</v>
      </c>
      <c r="BB2122" s="58" t="s">
        <v>2081</v>
      </c>
      <c r="BC2122" s="58" t="s">
        <v>2081</v>
      </c>
      <c r="BD2122" s="55" t="s">
        <v>176</v>
      </c>
      <c r="BE2122" s="236" t="s">
        <v>1975</v>
      </c>
      <c r="BF2122" s="191" t="s">
        <v>479</v>
      </c>
      <c r="BG2122" s="191" t="s">
        <v>479</v>
      </c>
      <c r="BH2122" s="236" t="s">
        <v>2084</v>
      </c>
      <c r="BI2122" s="191" t="s">
        <v>479</v>
      </c>
      <c r="BJ2122" s="55" t="s">
        <v>176</v>
      </c>
      <c r="BK2122" s="58" t="s">
        <v>5976</v>
      </c>
      <c r="BL2122" s="58"/>
      <c r="BM2122" s="237"/>
      <c r="BN2122" s="61">
        <v>4</v>
      </c>
      <c r="BO2122" s="61">
        <v>4</v>
      </c>
      <c r="BP2122" s="61">
        <v>4</v>
      </c>
      <c r="BQ2122" s="58" t="s">
        <v>2077</v>
      </c>
      <c r="BR2122" s="58"/>
      <c r="BS2122" s="58">
        <v>3600</v>
      </c>
      <c r="BT2122" s="58">
        <f>BS2122/139</f>
        <v>25.899280575539567</v>
      </c>
      <c r="BU2122" s="58"/>
      <c r="BV2122" s="58"/>
      <c r="CB2122" s="68">
        <v>6600</v>
      </c>
      <c r="CC2122" s="68">
        <v>7700</v>
      </c>
      <c r="CD2122" s="68"/>
      <c r="CE2122" s="67"/>
      <c r="CH2122" s="94">
        <v>1.31725</v>
      </c>
      <c r="CI2122" s="94">
        <v>1.3059400000000001</v>
      </c>
      <c r="CM2122" s="67">
        <v>1.675</v>
      </c>
      <c r="CN2122" s="67">
        <v>1.7399999999999998</v>
      </c>
      <c r="CR2122" s="67">
        <f>(CM2122/100*CH2122*AA2122/100)*10000</f>
        <v>16.547953124999999</v>
      </c>
      <c r="CS2122" s="67">
        <f>(CN2122/100*CI2122*AA2122/100)*10000</f>
        <v>17.042517</v>
      </c>
      <c r="CV2122" s="65" t="s">
        <v>2052</v>
      </c>
      <c r="DA2122" s="65" t="s">
        <v>4463</v>
      </c>
      <c r="GP2122" s="292" t="s">
        <v>7494</v>
      </c>
      <c r="JU2122" s="58" t="s">
        <v>2039</v>
      </c>
      <c r="JV2122" s="58"/>
    </row>
    <row r="2123" spans="1:283" x14ac:dyDescent="0.25">
      <c r="A2123" s="55">
        <v>2122</v>
      </c>
      <c r="B2123" s="12" t="s">
        <v>7067</v>
      </c>
      <c r="C2123" s="156">
        <v>96</v>
      </c>
      <c r="D2123" s="58" t="s">
        <v>4133</v>
      </c>
      <c r="E2123" s="94" t="s">
        <v>1980</v>
      </c>
      <c r="F2123" s="94"/>
      <c r="G2123" s="58" t="s">
        <v>501</v>
      </c>
      <c r="H2123" s="58">
        <v>1990</v>
      </c>
      <c r="I2123" s="58">
        <v>1984</v>
      </c>
      <c r="J2123" s="58" t="s">
        <v>282</v>
      </c>
      <c r="K2123" s="58" t="s">
        <v>1979</v>
      </c>
      <c r="L2123" s="58" t="s">
        <v>2737</v>
      </c>
      <c r="M2123" s="94">
        <v>38.06</v>
      </c>
      <c r="N2123" s="94">
        <v>-84.59</v>
      </c>
      <c r="O2123" s="94">
        <v>294</v>
      </c>
      <c r="P2123" s="58">
        <v>12.8</v>
      </c>
      <c r="Q2123" s="58"/>
      <c r="R2123" s="58">
        <v>1148.0999999999999</v>
      </c>
      <c r="S2123" s="94"/>
      <c r="T2123" s="58"/>
      <c r="U2123" s="58">
        <v>1</v>
      </c>
      <c r="V2123" s="58" t="s">
        <v>1805</v>
      </c>
      <c r="Y2123" s="58" t="s">
        <v>2085</v>
      </c>
      <c r="Z2123" s="58" t="s">
        <v>1347</v>
      </c>
      <c r="AA2123" s="94">
        <v>7.5</v>
      </c>
      <c r="AD2123" s="94">
        <f>AVERAGE(Sheet1!CH2123:CI2123)</f>
        <v>1.26244</v>
      </c>
      <c r="AE2123" s="92">
        <v>65</v>
      </c>
      <c r="AF2123" s="92">
        <v>25</v>
      </c>
      <c r="AG2123" s="92"/>
      <c r="AH2123" s="58" t="s">
        <v>6378</v>
      </c>
      <c r="AI2123" s="169"/>
      <c r="AJ2123" s="94">
        <v>1.97</v>
      </c>
      <c r="AK2123" s="94"/>
      <c r="AL2123" s="58"/>
      <c r="AM2123" s="58" t="s">
        <v>1978</v>
      </c>
      <c r="AN2123" s="186" t="s">
        <v>1713</v>
      </c>
      <c r="AO2123" s="185" t="s">
        <v>5150</v>
      </c>
      <c r="AP2123" s="58"/>
      <c r="AQ2123" s="58" t="s">
        <v>131</v>
      </c>
      <c r="AR2123" s="58" t="s">
        <v>1977</v>
      </c>
      <c r="AS2123" s="58" t="s">
        <v>132</v>
      </c>
      <c r="AT2123" s="182"/>
      <c r="AU2123" s="181" t="s">
        <v>7494</v>
      </c>
      <c r="AV2123" s="185" t="s">
        <v>176</v>
      </c>
      <c r="AW2123" s="58"/>
      <c r="AX2123" s="185" t="s">
        <v>176</v>
      </c>
      <c r="AY2123" s="58"/>
      <c r="AZ2123" s="58" t="s">
        <v>1016</v>
      </c>
      <c r="BA2123" s="58" t="s">
        <v>1016</v>
      </c>
      <c r="BB2123" s="58" t="s">
        <v>2082</v>
      </c>
      <c r="BC2123" s="58" t="s">
        <v>2082</v>
      </c>
      <c r="BD2123" s="55" t="s">
        <v>176</v>
      </c>
      <c r="BE2123" s="236" t="s">
        <v>1981</v>
      </c>
      <c r="BF2123" s="58"/>
      <c r="BG2123" s="191" t="s">
        <v>176</v>
      </c>
      <c r="BH2123" s="236" t="s">
        <v>2083</v>
      </c>
      <c r="BI2123" s="191" t="s">
        <v>479</v>
      </c>
      <c r="BJ2123" s="55" t="s">
        <v>176</v>
      </c>
      <c r="BK2123" s="58" t="s">
        <v>6269</v>
      </c>
      <c r="BL2123" s="58"/>
      <c r="BM2123" s="237"/>
      <c r="BN2123" s="61">
        <v>4</v>
      </c>
      <c r="BO2123" s="61">
        <v>4</v>
      </c>
      <c r="BP2123" s="61">
        <v>4</v>
      </c>
      <c r="BQ2123" s="58" t="s">
        <v>2077</v>
      </c>
      <c r="BR2123" s="58"/>
      <c r="BS2123" s="58">
        <v>1700</v>
      </c>
      <c r="BT2123" s="58">
        <f>BS2123/27</f>
        <v>62.962962962962962</v>
      </c>
      <c r="BU2123" s="58"/>
      <c r="BV2123" s="58"/>
      <c r="CB2123" s="68">
        <v>2750</v>
      </c>
      <c r="CC2123" s="68">
        <v>2850</v>
      </c>
      <c r="CD2123" s="68"/>
      <c r="CE2123" s="67"/>
      <c r="CH2123" s="94">
        <v>1.2659199999999999</v>
      </c>
      <c r="CI2123" s="94">
        <v>1.2589600000000001</v>
      </c>
      <c r="CM2123" s="67">
        <v>1.97</v>
      </c>
      <c r="CN2123" s="67">
        <v>2.0100000000000002</v>
      </c>
      <c r="CR2123" s="67">
        <f>(CM2123/100*CH2123*AA2123/100)*10000</f>
        <v>18.703967999999996</v>
      </c>
      <c r="CS2123" s="67">
        <f>(CN2123/100*CI2123*AA2123/100)*10000</f>
        <v>18.978822000000005</v>
      </c>
      <c r="CV2123" s="65" t="s">
        <v>2052</v>
      </c>
      <c r="DA2123" s="65" t="s">
        <v>4463</v>
      </c>
      <c r="GP2123" s="292" t="s">
        <v>7494</v>
      </c>
      <c r="JU2123" s="58" t="s">
        <v>2039</v>
      </c>
      <c r="JV2123" s="58"/>
    </row>
    <row r="2124" spans="1:283" x14ac:dyDescent="0.25">
      <c r="A2124" s="55">
        <v>2123</v>
      </c>
      <c r="B2124" s="12" t="s">
        <v>7067</v>
      </c>
      <c r="C2124" s="156">
        <v>96</v>
      </c>
      <c r="D2124" s="58" t="s">
        <v>4133</v>
      </c>
      <c r="E2124" s="94" t="s">
        <v>1980</v>
      </c>
      <c r="F2124" s="94"/>
      <c r="G2124" s="58" t="s">
        <v>501</v>
      </c>
      <c r="H2124" s="58">
        <v>1990</v>
      </c>
      <c r="I2124" s="58">
        <v>1984</v>
      </c>
      <c r="J2124" s="58" t="s">
        <v>282</v>
      </c>
      <c r="K2124" s="58" t="s">
        <v>1979</v>
      </c>
      <c r="L2124" s="58" t="s">
        <v>2737</v>
      </c>
      <c r="M2124" s="94">
        <v>38.06</v>
      </c>
      <c r="N2124" s="94">
        <v>-84.59</v>
      </c>
      <c r="O2124" s="94">
        <v>294</v>
      </c>
      <c r="P2124" s="58">
        <v>12.8</v>
      </c>
      <c r="Q2124" s="58"/>
      <c r="R2124" s="58">
        <v>1148.0999999999999</v>
      </c>
      <c r="S2124" s="94"/>
      <c r="T2124" s="58"/>
      <c r="U2124" s="58">
        <v>1</v>
      </c>
      <c r="V2124" s="58" t="s">
        <v>1805</v>
      </c>
      <c r="Y2124" s="58" t="s">
        <v>2085</v>
      </c>
      <c r="Z2124" s="58" t="s">
        <v>1347</v>
      </c>
      <c r="AA2124" s="94">
        <v>7.5</v>
      </c>
      <c r="AD2124" s="94">
        <f>AVERAGE(Sheet1!CH2124:CI2124)</f>
        <v>1.2089349999999999</v>
      </c>
      <c r="AE2124" s="92">
        <v>65</v>
      </c>
      <c r="AF2124" s="92">
        <v>25</v>
      </c>
      <c r="AG2124" s="92"/>
      <c r="AH2124" s="58" t="s">
        <v>6378</v>
      </c>
      <c r="AI2124" s="169"/>
      <c r="AJ2124" s="94">
        <v>2.35</v>
      </c>
      <c r="AK2124" s="94"/>
      <c r="AL2124" s="58"/>
      <c r="AM2124" s="58" t="s">
        <v>1978</v>
      </c>
      <c r="AN2124" s="186" t="s">
        <v>1713</v>
      </c>
      <c r="AO2124" s="185" t="s">
        <v>5150</v>
      </c>
      <c r="AP2124" s="58"/>
      <c r="AQ2124" s="58" t="s">
        <v>131</v>
      </c>
      <c r="AR2124" s="58" t="s">
        <v>1977</v>
      </c>
      <c r="AS2124" s="58" t="s">
        <v>132</v>
      </c>
      <c r="AT2124" s="182"/>
      <c r="AU2124" s="181" t="s">
        <v>7494</v>
      </c>
      <c r="AV2124" s="185" t="s">
        <v>176</v>
      </c>
      <c r="AW2124" s="58"/>
      <c r="AX2124" s="185" t="s">
        <v>176</v>
      </c>
      <c r="AY2124" s="58"/>
      <c r="AZ2124" s="58" t="s">
        <v>1016</v>
      </c>
      <c r="BA2124" s="58" t="s">
        <v>1016</v>
      </c>
      <c r="BB2124" s="58" t="s">
        <v>2082</v>
      </c>
      <c r="BC2124" s="58" t="s">
        <v>2082</v>
      </c>
      <c r="BD2124" s="55" t="s">
        <v>176</v>
      </c>
      <c r="BE2124" s="236" t="s">
        <v>1975</v>
      </c>
      <c r="BF2124" s="58"/>
      <c r="BG2124" s="191" t="s">
        <v>479</v>
      </c>
      <c r="BH2124" s="236" t="s">
        <v>2084</v>
      </c>
      <c r="BI2124" s="191" t="s">
        <v>479</v>
      </c>
      <c r="BJ2124" s="55" t="s">
        <v>176</v>
      </c>
      <c r="BK2124" s="58" t="s">
        <v>6269</v>
      </c>
      <c r="BL2124" s="58"/>
      <c r="BM2124" s="237"/>
      <c r="BN2124" s="61">
        <v>4</v>
      </c>
      <c r="BO2124" s="61">
        <v>4</v>
      </c>
      <c r="BP2124" s="61">
        <v>4</v>
      </c>
      <c r="BQ2124" s="58" t="s">
        <v>2077</v>
      </c>
      <c r="BR2124" s="58"/>
      <c r="BS2124" s="58">
        <v>3500</v>
      </c>
      <c r="BT2124" s="58">
        <f>BS2124/55</f>
        <v>63.636363636363633</v>
      </c>
      <c r="BU2124" s="58"/>
      <c r="BV2124" s="58"/>
      <c r="CB2124" s="68">
        <v>6700</v>
      </c>
      <c r="CC2124" s="68">
        <v>6600</v>
      </c>
      <c r="CD2124" s="68"/>
      <c r="CE2124" s="67"/>
      <c r="CH2124" s="94">
        <v>1.1998</v>
      </c>
      <c r="CI2124" s="94">
        <v>1.21807</v>
      </c>
      <c r="CM2124" s="67">
        <v>2.35</v>
      </c>
      <c r="CN2124" s="67">
        <v>2.2450000000000001</v>
      </c>
      <c r="CR2124" s="67">
        <f>(CM2124/100*CH2124*AA2124/100)*10000</f>
        <v>21.146474999999999</v>
      </c>
      <c r="CS2124" s="67">
        <f>(CN2124/100*CI2124*AA2124/100)*10000</f>
        <v>20.509253624999999</v>
      </c>
      <c r="CV2124" s="65" t="s">
        <v>2052</v>
      </c>
      <c r="DA2124" s="65" t="s">
        <v>4463</v>
      </c>
      <c r="GP2124" s="292" t="s">
        <v>7494</v>
      </c>
      <c r="JU2124" s="58" t="s">
        <v>2039</v>
      </c>
      <c r="JV2124" s="58"/>
    </row>
    <row r="2125" spans="1:283" x14ac:dyDescent="0.25">
      <c r="A2125" s="55">
        <v>2124</v>
      </c>
      <c r="B2125" s="12" t="s">
        <v>7067</v>
      </c>
      <c r="C2125" s="156">
        <v>96</v>
      </c>
      <c r="D2125" s="58" t="s">
        <v>4134</v>
      </c>
      <c r="E2125" s="94" t="s">
        <v>1980</v>
      </c>
      <c r="F2125" s="94"/>
      <c r="G2125" s="58" t="s">
        <v>501</v>
      </c>
      <c r="H2125" s="58">
        <v>1990</v>
      </c>
      <c r="I2125" s="58">
        <v>1985</v>
      </c>
      <c r="J2125" s="58" t="s">
        <v>282</v>
      </c>
      <c r="K2125" s="58" t="s">
        <v>1979</v>
      </c>
      <c r="L2125" s="58" t="s">
        <v>2737</v>
      </c>
      <c r="M2125" s="94">
        <v>38.06</v>
      </c>
      <c r="N2125" s="94">
        <v>-84.59</v>
      </c>
      <c r="O2125" s="94">
        <v>294</v>
      </c>
      <c r="P2125" s="58">
        <v>12.8</v>
      </c>
      <c r="Q2125" s="58"/>
      <c r="R2125" s="58">
        <v>1148.0999999999999</v>
      </c>
      <c r="S2125" s="94"/>
      <c r="T2125" s="58"/>
      <c r="U2125" s="58">
        <v>2</v>
      </c>
      <c r="V2125" s="58" t="s">
        <v>1805</v>
      </c>
      <c r="Y2125" s="58" t="s">
        <v>2085</v>
      </c>
      <c r="Z2125" s="58" t="s">
        <v>1347</v>
      </c>
      <c r="AA2125" s="94">
        <v>7.5</v>
      </c>
      <c r="AD2125" s="94">
        <f>AVERAGE(Sheet1!CH2125:CI2125)</f>
        <v>1.322905</v>
      </c>
      <c r="AE2125" s="92">
        <v>65</v>
      </c>
      <c r="AF2125" s="92">
        <v>25</v>
      </c>
      <c r="AG2125" s="92"/>
      <c r="AH2125" s="58" t="s">
        <v>6378</v>
      </c>
      <c r="AI2125" s="169"/>
      <c r="AJ2125" s="94">
        <v>1.64</v>
      </c>
      <c r="AK2125" s="94"/>
      <c r="AL2125" s="58"/>
      <c r="AM2125" s="58" t="s">
        <v>1978</v>
      </c>
      <c r="AN2125" s="186" t="s">
        <v>1713</v>
      </c>
      <c r="AO2125" s="185" t="s">
        <v>5150</v>
      </c>
      <c r="AP2125" s="58"/>
      <c r="AQ2125" s="58" t="s">
        <v>131</v>
      </c>
      <c r="AR2125" s="58" t="s">
        <v>1977</v>
      </c>
      <c r="AS2125" s="58" t="s">
        <v>132</v>
      </c>
      <c r="AT2125" s="182"/>
      <c r="AU2125" s="181" t="s">
        <v>7494</v>
      </c>
      <c r="AV2125" s="185" t="s">
        <v>176</v>
      </c>
      <c r="AW2125" s="58"/>
      <c r="AX2125" s="185" t="s">
        <v>176</v>
      </c>
      <c r="AY2125" s="58"/>
      <c r="AZ2125" s="58" t="s">
        <v>1976</v>
      </c>
      <c r="BA2125" s="58" t="s">
        <v>1976</v>
      </c>
      <c r="BB2125" s="58" t="s">
        <v>2081</v>
      </c>
      <c r="BC2125" s="58" t="s">
        <v>2081</v>
      </c>
      <c r="BD2125" s="55" t="s">
        <v>176</v>
      </c>
      <c r="BE2125" s="236" t="s">
        <v>1981</v>
      </c>
      <c r="BF2125" s="58"/>
      <c r="BG2125" s="58" t="s">
        <v>176</v>
      </c>
      <c r="BH2125" s="236" t="s">
        <v>2083</v>
      </c>
      <c r="BI2125" s="191" t="s">
        <v>479</v>
      </c>
      <c r="BJ2125" s="55" t="s">
        <v>176</v>
      </c>
      <c r="BK2125" s="58" t="s">
        <v>5976</v>
      </c>
      <c r="BL2125" s="58"/>
      <c r="BM2125" s="237"/>
      <c r="BN2125" s="61">
        <v>4</v>
      </c>
      <c r="BO2125" s="61">
        <v>4</v>
      </c>
      <c r="BP2125" s="61">
        <v>4</v>
      </c>
      <c r="BQ2125" s="58" t="s">
        <v>2077</v>
      </c>
      <c r="BR2125" s="58"/>
      <c r="BS2125" s="58">
        <v>2600</v>
      </c>
      <c r="BT2125" s="58">
        <f>BS2125/25</f>
        <v>104</v>
      </c>
      <c r="BU2125" s="58"/>
      <c r="BV2125" s="58"/>
      <c r="CB2125" s="68">
        <v>4000</v>
      </c>
      <c r="CC2125" s="68">
        <v>3500</v>
      </c>
      <c r="CD2125" s="68"/>
      <c r="CE2125" s="67"/>
      <c r="CH2125" s="94">
        <v>1.32334</v>
      </c>
      <c r="CI2125" s="94">
        <v>1.32247</v>
      </c>
      <c r="CM2125" s="67">
        <v>1.64</v>
      </c>
      <c r="CN2125" s="67">
        <v>1.645</v>
      </c>
      <c r="CR2125" s="67">
        <f>(CM2125/100*CH2125*AA2125/100)*10000</f>
        <v>16.277082</v>
      </c>
      <c r="CS2125" s="67">
        <f>(CN2125/100*CI2125*AA2125/100)*10000</f>
        <v>16.315973624999998</v>
      </c>
      <c r="CV2125" s="65" t="s">
        <v>2052</v>
      </c>
      <c r="DA2125" s="65" t="s">
        <v>4463</v>
      </c>
      <c r="GP2125" s="292" t="s">
        <v>7494</v>
      </c>
      <c r="JU2125" s="58" t="s">
        <v>2039</v>
      </c>
      <c r="JV2125" s="58"/>
    </row>
    <row r="2126" spans="1:283" x14ac:dyDescent="0.25">
      <c r="A2126" s="55">
        <v>2125</v>
      </c>
      <c r="B2126" s="12" t="s">
        <v>7067</v>
      </c>
      <c r="C2126" s="156">
        <v>96</v>
      </c>
      <c r="D2126" s="58" t="s">
        <v>4134</v>
      </c>
      <c r="E2126" s="94" t="s">
        <v>1980</v>
      </c>
      <c r="F2126" s="94"/>
      <c r="G2126" s="58" t="s">
        <v>501</v>
      </c>
      <c r="H2126" s="58">
        <v>1990</v>
      </c>
      <c r="I2126" s="58">
        <v>1985</v>
      </c>
      <c r="J2126" s="58" t="s">
        <v>282</v>
      </c>
      <c r="K2126" s="58" t="s">
        <v>1979</v>
      </c>
      <c r="L2126" s="58" t="s">
        <v>2737</v>
      </c>
      <c r="M2126" s="94">
        <v>38.06</v>
      </c>
      <c r="N2126" s="94">
        <v>-84.59</v>
      </c>
      <c r="O2126" s="94">
        <v>294</v>
      </c>
      <c r="P2126" s="58">
        <v>12.8</v>
      </c>
      <c r="Q2126" s="58"/>
      <c r="R2126" s="58">
        <v>1148.0999999999999</v>
      </c>
      <c r="S2126" s="94"/>
      <c r="T2126" s="58"/>
      <c r="U2126" s="58">
        <v>2</v>
      </c>
      <c r="V2126" s="58" t="s">
        <v>1805</v>
      </c>
      <c r="Y2126" s="58" t="s">
        <v>2085</v>
      </c>
      <c r="Z2126" s="58" t="s">
        <v>1347</v>
      </c>
      <c r="AA2126" s="94">
        <v>7.5</v>
      </c>
      <c r="AD2126" s="94">
        <f>AVERAGE(Sheet1!CH2126:CI2126)</f>
        <v>1.32334</v>
      </c>
      <c r="AE2126" s="92">
        <v>65</v>
      </c>
      <c r="AF2126" s="92">
        <v>25</v>
      </c>
      <c r="AG2126" s="92"/>
      <c r="AH2126" s="58" t="s">
        <v>6378</v>
      </c>
      <c r="AI2126" s="169"/>
      <c r="AJ2126" s="94">
        <v>1.675</v>
      </c>
      <c r="AK2126" s="94"/>
      <c r="AL2126" s="58"/>
      <c r="AM2126" s="58" t="s">
        <v>1978</v>
      </c>
      <c r="AN2126" s="186" t="s">
        <v>1713</v>
      </c>
      <c r="AO2126" s="185" t="s">
        <v>5150</v>
      </c>
      <c r="AP2126" s="58"/>
      <c r="AQ2126" s="58" t="s">
        <v>131</v>
      </c>
      <c r="AR2126" s="58" t="s">
        <v>1977</v>
      </c>
      <c r="AS2126" s="58" t="s">
        <v>132</v>
      </c>
      <c r="AT2126" s="182"/>
      <c r="AU2126" s="181" t="s">
        <v>7494</v>
      </c>
      <c r="AV2126" s="185" t="s">
        <v>176</v>
      </c>
      <c r="AW2126" s="58"/>
      <c r="AX2126" s="185" t="s">
        <v>176</v>
      </c>
      <c r="AY2126" s="58"/>
      <c r="AZ2126" s="58" t="s">
        <v>1976</v>
      </c>
      <c r="BA2126" s="58" t="s">
        <v>1976</v>
      </c>
      <c r="BB2126" s="58" t="s">
        <v>2081</v>
      </c>
      <c r="BC2126" s="58" t="s">
        <v>2081</v>
      </c>
      <c r="BD2126" s="55" t="s">
        <v>176</v>
      </c>
      <c r="BE2126" s="236" t="s">
        <v>1975</v>
      </c>
      <c r="BF2126" s="191" t="s">
        <v>479</v>
      </c>
      <c r="BG2126" s="58" t="s">
        <v>479</v>
      </c>
      <c r="BH2126" s="236" t="s">
        <v>2084</v>
      </c>
      <c r="BI2126" s="58" t="s">
        <v>479</v>
      </c>
      <c r="BJ2126" s="55" t="s">
        <v>176</v>
      </c>
      <c r="BK2126" s="58" t="s">
        <v>5976</v>
      </c>
      <c r="BL2126" s="58"/>
      <c r="BM2126" s="237"/>
      <c r="BN2126" s="61">
        <v>4</v>
      </c>
      <c r="BO2126" s="61">
        <v>4</v>
      </c>
      <c r="BP2126" s="61">
        <v>4</v>
      </c>
      <c r="BQ2126" s="58" t="s">
        <v>2077</v>
      </c>
      <c r="BR2126" s="58"/>
      <c r="BS2126" s="58"/>
      <c r="BT2126" s="58"/>
      <c r="BU2126" s="58"/>
      <c r="BV2126" s="58"/>
      <c r="CB2126" s="68">
        <v>6600</v>
      </c>
      <c r="CC2126" s="68">
        <v>6900</v>
      </c>
      <c r="CD2126" s="68"/>
      <c r="CE2126" s="67"/>
      <c r="CH2126" s="94">
        <v>1.31725</v>
      </c>
      <c r="CI2126" s="94">
        <v>1.3294299999999999</v>
      </c>
      <c r="CM2126" s="67">
        <v>1.675</v>
      </c>
      <c r="CN2126" s="67">
        <v>1.605</v>
      </c>
      <c r="CR2126" s="67">
        <f>(CM2126/100*CH2126*AA2126/100)*10000</f>
        <v>16.547953124999999</v>
      </c>
      <c r="CS2126" s="67">
        <f>(CN2126/100*CI2126*AA2126/100)*10000</f>
        <v>16.003013624999998</v>
      </c>
      <c r="CV2126" s="65" t="s">
        <v>2052</v>
      </c>
      <c r="DA2126" s="65" t="s">
        <v>4463</v>
      </c>
      <c r="GP2126" s="292" t="s">
        <v>7494</v>
      </c>
      <c r="JU2126" s="58" t="s">
        <v>2039</v>
      </c>
      <c r="JV2126" s="58"/>
    </row>
    <row r="2127" spans="1:283" s="23" customFormat="1" x14ac:dyDescent="0.25">
      <c r="A2127" s="55">
        <v>2126</v>
      </c>
      <c r="B2127" s="12" t="s">
        <v>7067</v>
      </c>
      <c r="C2127" s="156">
        <v>97</v>
      </c>
      <c r="D2127" s="58" t="s">
        <v>4135</v>
      </c>
      <c r="E2127" s="93" t="s">
        <v>2086</v>
      </c>
      <c r="F2127" s="93"/>
      <c r="G2127" s="58"/>
      <c r="H2127" s="59">
        <v>2000</v>
      </c>
      <c r="I2127" s="58">
        <v>1994</v>
      </c>
      <c r="J2127" s="59" t="s">
        <v>2003</v>
      </c>
      <c r="K2127" s="59" t="s">
        <v>2087</v>
      </c>
      <c r="L2127" s="59" t="s">
        <v>2738</v>
      </c>
      <c r="M2127" s="94">
        <v>46.58</v>
      </c>
      <c r="N2127" s="94">
        <v>-71.23</v>
      </c>
      <c r="O2127" s="93">
        <v>132.1</v>
      </c>
      <c r="P2127" s="59"/>
      <c r="Q2127" s="59"/>
      <c r="R2127" s="58"/>
      <c r="S2127" s="94"/>
      <c r="T2127" s="58"/>
      <c r="U2127" s="58">
        <v>2</v>
      </c>
      <c r="V2127" s="59">
        <v>4</v>
      </c>
      <c r="W2127" s="174"/>
      <c r="X2127" s="174"/>
      <c r="Y2127" s="58" t="s">
        <v>2230</v>
      </c>
      <c r="Z2127" s="59" t="s">
        <v>1346</v>
      </c>
      <c r="AA2127" s="94">
        <v>20</v>
      </c>
      <c r="AB2127" s="67"/>
      <c r="AC2127" s="67"/>
      <c r="AD2127" s="94">
        <v>1.6087</v>
      </c>
      <c r="AE2127" s="93">
        <v>27</v>
      </c>
      <c r="AF2127" s="93">
        <v>49</v>
      </c>
      <c r="AG2127" s="93"/>
      <c r="AH2127" s="58" t="s">
        <v>139</v>
      </c>
      <c r="AI2127" s="169"/>
      <c r="AJ2127" s="94"/>
      <c r="AK2127" s="94"/>
      <c r="AL2127" s="58"/>
      <c r="AM2127" s="59" t="s">
        <v>2088</v>
      </c>
      <c r="AN2127" s="188" t="s">
        <v>2089</v>
      </c>
      <c r="AO2127" s="185" t="s">
        <v>5150</v>
      </c>
      <c r="AP2127" s="59"/>
      <c r="AQ2127" s="58" t="s">
        <v>553</v>
      </c>
      <c r="AR2127" s="59" t="s">
        <v>2090</v>
      </c>
      <c r="AS2127" s="58" t="s">
        <v>116</v>
      </c>
      <c r="AT2127" s="182"/>
      <c r="AU2127" s="181" t="s">
        <v>7494</v>
      </c>
      <c r="AV2127" s="185" t="s">
        <v>176</v>
      </c>
      <c r="AW2127" s="58"/>
      <c r="AX2127" s="185" t="s">
        <v>176</v>
      </c>
      <c r="AY2127" s="58"/>
      <c r="AZ2127" s="59" t="s">
        <v>1976</v>
      </c>
      <c r="BA2127" s="59" t="s">
        <v>1976</v>
      </c>
      <c r="BB2127" s="59" t="s">
        <v>2081</v>
      </c>
      <c r="BC2127" s="59" t="s">
        <v>2081</v>
      </c>
      <c r="BD2127" s="58" t="s">
        <v>176</v>
      </c>
      <c r="BE2127" s="240" t="s">
        <v>1981</v>
      </c>
      <c r="BF2127" s="191" t="s">
        <v>176</v>
      </c>
      <c r="BG2127" s="191" t="s">
        <v>176</v>
      </c>
      <c r="BH2127" s="240" t="s">
        <v>1981</v>
      </c>
      <c r="BI2127" s="191" t="s">
        <v>176</v>
      </c>
      <c r="BJ2127" s="58" t="s">
        <v>176</v>
      </c>
      <c r="BK2127" s="58" t="s">
        <v>5976</v>
      </c>
      <c r="BL2127" s="58"/>
      <c r="BM2127" s="241" t="s">
        <v>160</v>
      </c>
      <c r="BN2127" s="58">
        <v>3</v>
      </c>
      <c r="BO2127" s="58">
        <v>3</v>
      </c>
      <c r="BP2127" s="59">
        <v>10</v>
      </c>
      <c r="BQ2127" s="58" t="s">
        <v>141</v>
      </c>
      <c r="BR2127" s="58"/>
      <c r="BS2127" s="58"/>
      <c r="BT2127" s="58"/>
      <c r="BU2127" s="58"/>
      <c r="BV2127" s="58"/>
      <c r="BW2127" s="67"/>
      <c r="BX2127" s="67"/>
      <c r="BY2127" s="67"/>
      <c r="BZ2127" s="67"/>
      <c r="CA2127" s="67"/>
      <c r="CB2127" s="153">
        <v>930.4</v>
      </c>
      <c r="CC2127" s="68">
        <v>1644</v>
      </c>
      <c r="CD2127" s="68"/>
      <c r="CE2127" s="67"/>
      <c r="CF2127" s="67"/>
      <c r="CG2127" s="67" t="s">
        <v>545</v>
      </c>
      <c r="CH2127" s="94"/>
      <c r="CI2127" s="94"/>
      <c r="CJ2127" s="67"/>
      <c r="CK2127" s="67"/>
      <c r="CL2127" s="67"/>
      <c r="CM2127" s="69">
        <f>1/1000000*1000*285</f>
        <v>0.28500000000000003</v>
      </c>
      <c r="CN2127" s="69">
        <f>1/1000000*1000*350</f>
        <v>0.35000000000000003</v>
      </c>
      <c r="CO2127" s="67">
        <f>1/1000000*1000*9.4</f>
        <v>9.4000000000000004E-3</v>
      </c>
      <c r="CP2127" s="67">
        <f>1/1000000*1000*7.8</f>
        <v>7.7999999999999996E-3</v>
      </c>
      <c r="CQ2127" s="67" t="s">
        <v>2237</v>
      </c>
      <c r="CR2127" s="69"/>
      <c r="CS2127" s="69"/>
      <c r="CT2127" s="67"/>
      <c r="CU2127" s="67"/>
      <c r="CV2127" s="67" t="s">
        <v>3041</v>
      </c>
      <c r="CW2127" s="67"/>
      <c r="CX2127" s="67"/>
      <c r="CY2127" s="67"/>
      <c r="CZ2127" s="67"/>
      <c r="DA2127" s="67" t="s">
        <v>4458</v>
      </c>
      <c r="DB2127" s="67">
        <v>28</v>
      </c>
      <c r="DC2127" s="67">
        <v>35</v>
      </c>
      <c r="DD2127" s="67">
        <v>1.3</v>
      </c>
      <c r="DE2127" s="67">
        <v>1.2</v>
      </c>
      <c r="DF2127" s="67" t="s">
        <v>2238</v>
      </c>
      <c r="DG2127" s="67">
        <v>56</v>
      </c>
      <c r="DH2127" s="67">
        <v>82</v>
      </c>
      <c r="DI2127" s="67">
        <v>1.9</v>
      </c>
      <c r="DJ2127" s="67">
        <v>1</v>
      </c>
      <c r="DK2127" s="67" t="s">
        <v>2236</v>
      </c>
      <c r="DL2127" s="67"/>
      <c r="DM2127" s="67"/>
      <c r="DN2127" s="67"/>
      <c r="DO2127" s="67"/>
      <c r="DP2127" s="67"/>
      <c r="DQ2127" s="166"/>
      <c r="DR2127" s="166"/>
      <c r="DS2127" s="163"/>
      <c r="DT2127" s="163"/>
      <c r="DU2127" s="67"/>
      <c r="DV2127" s="67"/>
      <c r="DW2127" s="67"/>
      <c r="DX2127" s="67"/>
      <c r="DY2127" s="67"/>
      <c r="DZ2127" s="67"/>
      <c r="EA2127" s="67"/>
      <c r="EB2127" s="67"/>
      <c r="EC2127" s="67"/>
      <c r="ED2127" s="67"/>
      <c r="EE2127" s="67"/>
      <c r="EF2127" s="67"/>
      <c r="EG2127" s="67"/>
      <c r="EH2127" s="67"/>
      <c r="EI2127" s="67"/>
      <c r="EJ2127" s="67"/>
      <c r="EK2127" s="94">
        <v>1.76</v>
      </c>
      <c r="EL2127" s="94">
        <v>1.88</v>
      </c>
      <c r="EM2127" s="67">
        <v>0.38</v>
      </c>
      <c r="EN2127" s="67">
        <v>0.5</v>
      </c>
      <c r="EO2127" s="67" t="s">
        <v>2235</v>
      </c>
      <c r="EP2127" s="67"/>
      <c r="EQ2127" s="67"/>
      <c r="ER2127" s="67"/>
      <c r="ES2127" s="67"/>
      <c r="ET2127" s="67"/>
      <c r="EU2127" s="67"/>
      <c r="EV2127" s="67"/>
      <c r="EW2127" s="67"/>
      <c r="EX2127" s="67"/>
      <c r="EY2127" s="67"/>
      <c r="EZ2127" s="67"/>
      <c r="FA2127" s="67"/>
      <c r="FB2127" s="67"/>
      <c r="FC2127" s="67"/>
      <c r="FD2127" s="67"/>
      <c r="FE2127" s="67"/>
      <c r="FF2127" s="67"/>
      <c r="FG2127" s="67"/>
      <c r="FH2127" s="67"/>
      <c r="FI2127" s="67"/>
      <c r="FJ2127" s="67"/>
      <c r="FK2127" s="67"/>
      <c r="FL2127" s="67"/>
      <c r="FM2127" s="67"/>
      <c r="FN2127" s="67"/>
      <c r="FO2127" s="67"/>
      <c r="FP2127" s="67"/>
      <c r="FQ2127" s="67"/>
      <c r="FR2127" s="67"/>
      <c r="FS2127" s="67"/>
      <c r="FT2127" s="67"/>
      <c r="FU2127" s="67"/>
      <c r="FV2127" s="67"/>
      <c r="FW2127" s="67"/>
      <c r="FX2127" s="67"/>
      <c r="FY2127" s="67"/>
      <c r="FZ2127" s="67"/>
      <c r="GA2127" s="67"/>
      <c r="GB2127" s="67"/>
      <c r="GC2127" s="67"/>
      <c r="GD2127" s="67"/>
      <c r="GE2127" s="67"/>
      <c r="GF2127" s="67"/>
      <c r="GG2127" s="67"/>
      <c r="GH2127" s="67"/>
      <c r="GI2127" s="67"/>
      <c r="GJ2127" s="67"/>
      <c r="GK2127" s="67"/>
      <c r="GL2127" s="67"/>
      <c r="GM2127" s="67"/>
      <c r="GN2127" s="292"/>
      <c r="GO2127" s="292"/>
      <c r="GP2127" s="292" t="s">
        <v>7494</v>
      </c>
      <c r="GQ2127" s="67"/>
      <c r="GR2127" s="67"/>
      <c r="GS2127" s="67"/>
      <c r="GT2127" s="67"/>
      <c r="GU2127" s="67"/>
      <c r="GV2127" s="67"/>
      <c r="GW2127" s="67"/>
      <c r="GX2127" s="67"/>
      <c r="GY2127" s="67"/>
      <c r="GZ2127" s="67"/>
      <c r="HA2127" s="67"/>
      <c r="HB2127" s="67"/>
      <c r="HC2127" s="67"/>
      <c r="HD2127" s="67"/>
      <c r="HE2127" s="67"/>
      <c r="HF2127" s="67"/>
      <c r="HG2127" s="67"/>
      <c r="HH2127" s="67"/>
      <c r="HI2127" s="67"/>
      <c r="HJ2127" s="67"/>
      <c r="HK2127" s="67"/>
      <c r="HL2127" s="67"/>
      <c r="HM2127" s="67"/>
      <c r="HN2127" s="67"/>
      <c r="HO2127" s="67"/>
      <c r="HP2127" s="67"/>
      <c r="HQ2127" s="67"/>
      <c r="HR2127" s="67"/>
      <c r="HS2127" s="67"/>
      <c r="HT2127" s="67"/>
      <c r="HU2127" s="67"/>
      <c r="HV2127" s="67"/>
      <c r="HW2127" s="67"/>
      <c r="HX2127" s="67"/>
      <c r="HY2127" s="67"/>
      <c r="HZ2127" s="67"/>
      <c r="IA2127" s="67"/>
      <c r="IB2127" s="67"/>
      <c r="IC2127" s="67">
        <v>130</v>
      </c>
      <c r="ID2127" s="67">
        <v>167</v>
      </c>
      <c r="IE2127" s="67">
        <v>11.9</v>
      </c>
      <c r="IF2127" s="67">
        <v>14.4</v>
      </c>
      <c r="IG2127" s="67" t="s">
        <v>2233</v>
      </c>
      <c r="IH2127" s="67"/>
      <c r="II2127" s="67"/>
      <c r="IJ2127" s="67"/>
      <c r="IK2127" s="67"/>
      <c r="IL2127" s="67"/>
      <c r="IM2127" s="67"/>
      <c r="IN2127" s="67"/>
      <c r="IO2127" s="67"/>
      <c r="IP2127" s="67"/>
      <c r="IQ2127" s="67"/>
      <c r="IR2127" s="67"/>
      <c r="IS2127" s="67"/>
      <c r="IT2127" s="67"/>
      <c r="IU2127" s="67"/>
      <c r="IV2127" s="67"/>
      <c r="IW2127" s="67"/>
      <c r="IX2127" s="67"/>
      <c r="IY2127" s="67"/>
      <c r="IZ2127" s="67"/>
      <c r="JA2127" s="67"/>
      <c r="JB2127" s="67"/>
      <c r="JC2127" s="67"/>
      <c r="JD2127" s="67"/>
      <c r="JE2127" s="67"/>
      <c r="JF2127" s="67"/>
      <c r="JG2127" s="67"/>
      <c r="JH2127" s="67"/>
      <c r="JI2127" s="67"/>
      <c r="JJ2127" s="67"/>
      <c r="JK2127" s="67"/>
      <c r="JL2127" s="67"/>
      <c r="JM2127" s="67"/>
      <c r="JN2127" s="67"/>
      <c r="JO2127" s="67"/>
      <c r="JP2127" s="67"/>
      <c r="JQ2127" s="67"/>
      <c r="JR2127" s="67"/>
      <c r="JS2127" s="67"/>
      <c r="JT2127" s="67"/>
      <c r="JU2127" s="58"/>
      <c r="JV2127" s="58"/>
      <c r="JW2127" s="58"/>
    </row>
    <row r="2128" spans="1:283" s="23" customFormat="1" x14ac:dyDescent="0.25">
      <c r="A2128" s="55">
        <v>2127</v>
      </c>
      <c r="B2128" s="12" t="s">
        <v>7067</v>
      </c>
      <c r="C2128" s="156">
        <v>97</v>
      </c>
      <c r="D2128" s="58" t="s">
        <v>4136</v>
      </c>
      <c r="E2128" s="93" t="s">
        <v>2086</v>
      </c>
      <c r="F2128" s="93"/>
      <c r="G2128" s="58"/>
      <c r="H2128" s="59">
        <v>2000</v>
      </c>
      <c r="I2128" s="58">
        <v>1994</v>
      </c>
      <c r="J2128" s="59" t="s">
        <v>2003</v>
      </c>
      <c r="K2128" s="59" t="s">
        <v>2087</v>
      </c>
      <c r="L2128" s="59" t="s">
        <v>2738</v>
      </c>
      <c r="M2128" s="94">
        <v>46.58</v>
      </c>
      <c r="N2128" s="94">
        <v>-71.23</v>
      </c>
      <c r="O2128" s="93">
        <v>132.1</v>
      </c>
      <c r="P2128" s="59"/>
      <c r="Q2128" s="59"/>
      <c r="R2128" s="58"/>
      <c r="S2128" s="94"/>
      <c r="T2128" s="58"/>
      <c r="U2128" s="58">
        <v>2</v>
      </c>
      <c r="V2128" s="59">
        <v>4</v>
      </c>
      <c r="W2128" s="174"/>
      <c r="X2128" s="174"/>
      <c r="Y2128" s="58" t="s">
        <v>2230</v>
      </c>
      <c r="Z2128" s="59" t="s">
        <v>1346</v>
      </c>
      <c r="AA2128" s="94">
        <v>20</v>
      </c>
      <c r="AB2128" s="67"/>
      <c r="AC2128" s="67"/>
      <c r="AD2128" s="94">
        <v>1.6087</v>
      </c>
      <c r="AE2128" s="93">
        <v>27</v>
      </c>
      <c r="AF2128" s="93">
        <v>49</v>
      </c>
      <c r="AG2128" s="93"/>
      <c r="AH2128" s="58" t="s">
        <v>139</v>
      </c>
      <c r="AI2128" s="169"/>
      <c r="AJ2128" s="94"/>
      <c r="AK2128" s="94"/>
      <c r="AL2128" s="58"/>
      <c r="AM2128" s="59" t="s">
        <v>2088</v>
      </c>
      <c r="AN2128" s="188" t="s">
        <v>2092</v>
      </c>
      <c r="AO2128" s="185" t="s">
        <v>5150</v>
      </c>
      <c r="AP2128" s="59"/>
      <c r="AQ2128" s="58" t="s">
        <v>1545</v>
      </c>
      <c r="AR2128" s="59" t="s">
        <v>2090</v>
      </c>
      <c r="AS2128" s="58" t="s">
        <v>116</v>
      </c>
      <c r="AT2128" s="182"/>
      <c r="AU2128" s="181" t="s">
        <v>7494</v>
      </c>
      <c r="AV2128" s="185" t="s">
        <v>176</v>
      </c>
      <c r="AW2128" s="58"/>
      <c r="AX2128" s="185" t="s">
        <v>176</v>
      </c>
      <c r="AY2128" s="58"/>
      <c r="AZ2128" s="59" t="s">
        <v>1976</v>
      </c>
      <c r="BA2128" s="59" t="s">
        <v>1976</v>
      </c>
      <c r="BB2128" s="59" t="s">
        <v>2081</v>
      </c>
      <c r="BC2128" s="59" t="s">
        <v>2081</v>
      </c>
      <c r="BD2128" s="58" t="s">
        <v>176</v>
      </c>
      <c r="BE2128" s="240" t="s">
        <v>1981</v>
      </c>
      <c r="BF2128" s="191" t="s">
        <v>176</v>
      </c>
      <c r="BG2128" s="191" t="s">
        <v>176</v>
      </c>
      <c r="BH2128" s="240" t="s">
        <v>1981</v>
      </c>
      <c r="BI2128" s="191" t="s">
        <v>176</v>
      </c>
      <c r="BJ2128" s="58" t="s">
        <v>176</v>
      </c>
      <c r="BK2128" s="58" t="s">
        <v>5976</v>
      </c>
      <c r="BL2128" s="58"/>
      <c r="BM2128" s="241" t="s">
        <v>160</v>
      </c>
      <c r="BN2128" s="58">
        <v>3</v>
      </c>
      <c r="BO2128" s="58">
        <v>3</v>
      </c>
      <c r="BP2128" s="59">
        <v>10</v>
      </c>
      <c r="BQ2128" s="58" t="s">
        <v>141</v>
      </c>
      <c r="BR2128" s="58"/>
      <c r="BS2128" s="58"/>
      <c r="BT2128" s="58"/>
      <c r="BU2128" s="58"/>
      <c r="BV2128" s="58"/>
      <c r="BW2128" s="67"/>
      <c r="BX2128" s="67"/>
      <c r="BY2128" s="67"/>
      <c r="BZ2128" s="67"/>
      <c r="CA2128" s="67"/>
      <c r="CB2128" s="153">
        <v>930.4</v>
      </c>
      <c r="CC2128" s="68">
        <v>2176</v>
      </c>
      <c r="CD2128" s="68"/>
      <c r="CE2128" s="67"/>
      <c r="CF2128" s="67"/>
      <c r="CG2128" s="67" t="s">
        <v>545</v>
      </c>
      <c r="CH2128" s="94"/>
      <c r="CI2128" s="94"/>
      <c r="CJ2128" s="67"/>
      <c r="CK2128" s="67"/>
      <c r="CL2128" s="67"/>
      <c r="CM2128" s="69">
        <f>1/1000000*1000*285</f>
        <v>0.28500000000000003</v>
      </c>
      <c r="CN2128" s="69">
        <f>1/1000000*1000*350</f>
        <v>0.35000000000000003</v>
      </c>
      <c r="CO2128" s="67">
        <f>1/1000000*1000*9.4</f>
        <v>9.4000000000000004E-3</v>
      </c>
      <c r="CP2128" s="67">
        <f>1/1000000*1000*7.8</f>
        <v>7.7999999999999996E-3</v>
      </c>
      <c r="CQ2128" s="67" t="s">
        <v>2237</v>
      </c>
      <c r="CR2128" s="69"/>
      <c r="CS2128" s="69"/>
      <c r="CT2128" s="67"/>
      <c r="CU2128" s="67"/>
      <c r="CV2128" s="67" t="s">
        <v>3041</v>
      </c>
      <c r="CW2128" s="67"/>
      <c r="CX2128" s="67"/>
      <c r="CY2128" s="67"/>
      <c r="CZ2128" s="67"/>
      <c r="DA2128" s="67" t="s">
        <v>4458</v>
      </c>
      <c r="DB2128" s="67">
        <v>28</v>
      </c>
      <c r="DC2128" s="67">
        <v>48</v>
      </c>
      <c r="DD2128" s="67">
        <v>1.3</v>
      </c>
      <c r="DE2128" s="67">
        <v>0.9</v>
      </c>
      <c r="DF2128" s="67" t="s">
        <v>2238</v>
      </c>
      <c r="DG2128" s="67">
        <v>56</v>
      </c>
      <c r="DH2128" s="67">
        <v>85</v>
      </c>
      <c r="DI2128" s="67">
        <v>1.9</v>
      </c>
      <c r="DJ2128" s="67">
        <v>2.4</v>
      </c>
      <c r="DK2128" s="67" t="s">
        <v>2236</v>
      </c>
      <c r="DL2128" s="67"/>
      <c r="DM2128" s="67"/>
      <c r="DN2128" s="67"/>
      <c r="DO2128" s="67"/>
      <c r="DP2128" s="67"/>
      <c r="DQ2128" s="166"/>
      <c r="DR2128" s="166"/>
      <c r="DS2128" s="163"/>
      <c r="DT2128" s="163"/>
      <c r="DU2128" s="67"/>
      <c r="DV2128" s="67"/>
      <c r="DW2128" s="67"/>
      <c r="DX2128" s="67"/>
      <c r="DY2128" s="67"/>
      <c r="DZ2128" s="67"/>
      <c r="EA2128" s="67"/>
      <c r="EB2128" s="67"/>
      <c r="EC2128" s="67"/>
      <c r="ED2128" s="67"/>
      <c r="EE2128" s="67"/>
      <c r="EF2128" s="67"/>
      <c r="EG2128" s="67"/>
      <c r="EH2128" s="67"/>
      <c r="EI2128" s="67"/>
      <c r="EJ2128" s="67"/>
      <c r="EK2128" s="94">
        <v>1.76</v>
      </c>
      <c r="EL2128" s="94">
        <v>2.14</v>
      </c>
      <c r="EM2128" s="67">
        <v>0.38</v>
      </c>
      <c r="EN2128" s="67">
        <v>0.77</v>
      </c>
      <c r="EO2128" s="67" t="s">
        <v>2235</v>
      </c>
      <c r="EP2128" s="67"/>
      <c r="EQ2128" s="67"/>
      <c r="ER2128" s="67"/>
      <c r="ES2128" s="67"/>
      <c r="ET2128" s="67"/>
      <c r="EU2128" s="67"/>
      <c r="EV2128" s="67"/>
      <c r="EW2128" s="67"/>
      <c r="EX2128" s="67"/>
      <c r="EY2128" s="67"/>
      <c r="EZ2128" s="67"/>
      <c r="FA2128" s="67"/>
      <c r="FB2128" s="67"/>
      <c r="FC2128" s="67"/>
      <c r="FD2128" s="67"/>
      <c r="FE2128" s="67"/>
      <c r="FF2128" s="67"/>
      <c r="FG2128" s="67"/>
      <c r="FH2128" s="67"/>
      <c r="FI2128" s="67"/>
      <c r="FJ2128" s="67"/>
      <c r="FK2128" s="67"/>
      <c r="FL2128" s="67"/>
      <c r="FM2128" s="67"/>
      <c r="FN2128" s="67"/>
      <c r="FO2128" s="67"/>
      <c r="FP2128" s="67"/>
      <c r="FQ2128" s="67"/>
      <c r="FR2128" s="67"/>
      <c r="FS2128" s="67"/>
      <c r="FT2128" s="67"/>
      <c r="FU2128" s="67"/>
      <c r="FV2128" s="67"/>
      <c r="FW2128" s="67"/>
      <c r="FX2128" s="67"/>
      <c r="FY2128" s="67"/>
      <c r="FZ2128" s="67"/>
      <c r="GA2128" s="67"/>
      <c r="GB2128" s="67"/>
      <c r="GC2128" s="67"/>
      <c r="GD2128" s="67"/>
      <c r="GE2128" s="67"/>
      <c r="GF2128" s="67"/>
      <c r="GG2128" s="67"/>
      <c r="GH2128" s="67"/>
      <c r="GI2128" s="67"/>
      <c r="GJ2128" s="67"/>
      <c r="GK2128" s="67"/>
      <c r="GL2128" s="67"/>
      <c r="GM2128" s="67"/>
      <c r="GN2128" s="292"/>
      <c r="GO2128" s="292"/>
      <c r="GP2128" s="292" t="s">
        <v>7494</v>
      </c>
      <c r="GQ2128" s="67"/>
      <c r="GR2128" s="67"/>
      <c r="GS2128" s="67"/>
      <c r="GT2128" s="67"/>
      <c r="GU2128" s="67"/>
      <c r="GV2128" s="67"/>
      <c r="GW2128" s="67"/>
      <c r="GX2128" s="67"/>
      <c r="GY2128" s="67"/>
      <c r="GZ2128" s="67"/>
      <c r="HA2128" s="67"/>
      <c r="HB2128" s="67"/>
      <c r="HC2128" s="67"/>
      <c r="HD2128" s="67"/>
      <c r="HE2128" s="67"/>
      <c r="HF2128" s="67"/>
      <c r="HG2128" s="67"/>
      <c r="HH2128" s="67"/>
      <c r="HI2128" s="67"/>
      <c r="HJ2128" s="67"/>
      <c r="HK2128" s="67"/>
      <c r="HL2128" s="67"/>
      <c r="HM2128" s="67"/>
      <c r="HN2128" s="67"/>
      <c r="HO2128" s="67"/>
      <c r="HP2128" s="67"/>
      <c r="HQ2128" s="67"/>
      <c r="HR2128" s="67"/>
      <c r="HS2128" s="67"/>
      <c r="HT2128" s="67"/>
      <c r="HU2128" s="67"/>
      <c r="HV2128" s="67"/>
      <c r="HW2128" s="67"/>
      <c r="HX2128" s="67"/>
      <c r="HY2128" s="67"/>
      <c r="HZ2128" s="67"/>
      <c r="IA2128" s="67"/>
      <c r="IB2128" s="67"/>
      <c r="IC2128" s="67">
        <v>130</v>
      </c>
      <c r="ID2128" s="67">
        <v>172</v>
      </c>
      <c r="IE2128" s="67">
        <v>11.9</v>
      </c>
      <c r="IF2128" s="67">
        <v>18.7</v>
      </c>
      <c r="IG2128" s="67" t="s">
        <v>2233</v>
      </c>
      <c r="IH2128" s="67"/>
      <c r="II2128" s="67"/>
      <c r="IJ2128" s="67"/>
      <c r="IK2128" s="67"/>
      <c r="IL2128" s="67"/>
      <c r="IM2128" s="67"/>
      <c r="IN2128" s="67"/>
      <c r="IO2128" s="67"/>
      <c r="IP2128" s="67"/>
      <c r="IQ2128" s="67"/>
      <c r="IR2128" s="67"/>
      <c r="IS2128" s="67"/>
      <c r="IT2128" s="67"/>
      <c r="IU2128" s="67"/>
      <c r="IV2128" s="67"/>
      <c r="IW2128" s="67"/>
      <c r="IX2128" s="67"/>
      <c r="IY2128" s="67"/>
      <c r="IZ2128" s="67"/>
      <c r="JA2128" s="67"/>
      <c r="JB2128" s="67"/>
      <c r="JC2128" s="67"/>
      <c r="JD2128" s="67"/>
      <c r="JE2128" s="67"/>
      <c r="JF2128" s="67"/>
      <c r="JG2128" s="67"/>
      <c r="JH2128" s="67"/>
      <c r="JI2128" s="67"/>
      <c r="JJ2128" s="67"/>
      <c r="JK2128" s="67"/>
      <c r="JL2128" s="67"/>
      <c r="JM2128" s="67"/>
      <c r="JN2128" s="67"/>
      <c r="JO2128" s="67"/>
      <c r="JP2128" s="67"/>
      <c r="JQ2128" s="67"/>
      <c r="JR2128" s="67"/>
      <c r="JS2128" s="67"/>
      <c r="JT2128" s="67"/>
      <c r="JU2128" s="58"/>
      <c r="JV2128" s="58"/>
      <c r="JW2128" s="58"/>
    </row>
    <row r="2129" spans="1:283" s="23" customFormat="1" x14ac:dyDescent="0.25">
      <c r="A2129" s="55">
        <v>2128</v>
      </c>
      <c r="B2129" s="12" t="s">
        <v>7067</v>
      </c>
      <c r="C2129" s="156">
        <v>97</v>
      </c>
      <c r="D2129" s="58" t="s">
        <v>4136</v>
      </c>
      <c r="E2129" s="93" t="s">
        <v>2086</v>
      </c>
      <c r="F2129" s="93"/>
      <c r="G2129" s="58"/>
      <c r="H2129" s="59">
        <v>2000</v>
      </c>
      <c r="I2129" s="58">
        <v>1994</v>
      </c>
      <c r="J2129" s="59" t="s">
        <v>2003</v>
      </c>
      <c r="K2129" s="59" t="s">
        <v>2087</v>
      </c>
      <c r="L2129" s="59" t="s">
        <v>2738</v>
      </c>
      <c r="M2129" s="94">
        <v>46.58</v>
      </c>
      <c r="N2129" s="94">
        <v>-71.23</v>
      </c>
      <c r="O2129" s="93">
        <v>132.1</v>
      </c>
      <c r="P2129" s="59"/>
      <c r="Q2129" s="59"/>
      <c r="R2129" s="58"/>
      <c r="S2129" s="94"/>
      <c r="T2129" s="58"/>
      <c r="U2129" s="58">
        <v>2</v>
      </c>
      <c r="V2129" s="59">
        <v>4</v>
      </c>
      <c r="W2129" s="174"/>
      <c r="X2129" s="174"/>
      <c r="Y2129" s="58" t="s">
        <v>2230</v>
      </c>
      <c r="Z2129" s="59" t="s">
        <v>1346</v>
      </c>
      <c r="AA2129" s="94">
        <v>20</v>
      </c>
      <c r="AB2129" s="67"/>
      <c r="AC2129" s="67"/>
      <c r="AD2129" s="94">
        <v>1.6087</v>
      </c>
      <c r="AE2129" s="93">
        <v>27</v>
      </c>
      <c r="AF2129" s="93">
        <v>49</v>
      </c>
      <c r="AG2129" s="93"/>
      <c r="AH2129" s="58" t="s">
        <v>139</v>
      </c>
      <c r="AI2129" s="169"/>
      <c r="AJ2129" s="94"/>
      <c r="AK2129" s="94"/>
      <c r="AL2129" s="58"/>
      <c r="AM2129" s="59" t="s">
        <v>2088</v>
      </c>
      <c r="AN2129" s="188" t="s">
        <v>2093</v>
      </c>
      <c r="AO2129" s="185" t="s">
        <v>5150</v>
      </c>
      <c r="AP2129" s="59"/>
      <c r="AQ2129" s="58" t="s">
        <v>1545</v>
      </c>
      <c r="AR2129" s="59" t="s">
        <v>2090</v>
      </c>
      <c r="AS2129" s="58" t="s">
        <v>116</v>
      </c>
      <c r="AT2129" s="182"/>
      <c r="AU2129" s="181" t="s">
        <v>7494</v>
      </c>
      <c r="AV2129" s="185" t="s">
        <v>176</v>
      </c>
      <c r="AW2129" s="58"/>
      <c r="AX2129" s="185" t="s">
        <v>176</v>
      </c>
      <c r="AY2129" s="58"/>
      <c r="AZ2129" s="59" t="s">
        <v>1976</v>
      </c>
      <c r="BA2129" s="59" t="s">
        <v>1976</v>
      </c>
      <c r="BB2129" s="59" t="s">
        <v>2081</v>
      </c>
      <c r="BC2129" s="59" t="s">
        <v>2081</v>
      </c>
      <c r="BD2129" s="58" t="s">
        <v>176</v>
      </c>
      <c r="BE2129" s="240" t="s">
        <v>1981</v>
      </c>
      <c r="BF2129" s="191" t="s">
        <v>176</v>
      </c>
      <c r="BG2129" s="191" t="s">
        <v>176</v>
      </c>
      <c r="BH2129" s="240" t="s">
        <v>1981</v>
      </c>
      <c r="BI2129" s="191" t="s">
        <v>176</v>
      </c>
      <c r="BJ2129" s="58" t="s">
        <v>176</v>
      </c>
      <c r="BK2129" s="58" t="s">
        <v>5976</v>
      </c>
      <c r="BL2129" s="58"/>
      <c r="BM2129" s="241" t="s">
        <v>160</v>
      </c>
      <c r="BN2129" s="58">
        <v>3</v>
      </c>
      <c r="BO2129" s="58">
        <v>3</v>
      </c>
      <c r="BP2129" s="59">
        <v>10</v>
      </c>
      <c r="BQ2129" s="58" t="s">
        <v>141</v>
      </c>
      <c r="BR2129" s="58"/>
      <c r="BS2129" s="58">
        <v>3681</v>
      </c>
      <c r="BT2129" s="58">
        <v>30</v>
      </c>
      <c r="BU2129" s="58"/>
      <c r="BV2129" s="58"/>
      <c r="BW2129" s="67"/>
      <c r="BX2129" s="67"/>
      <c r="BY2129" s="67"/>
      <c r="BZ2129" s="67"/>
      <c r="CA2129" s="67"/>
      <c r="CB2129" s="153">
        <v>930.4</v>
      </c>
      <c r="CC2129" s="68">
        <v>1689</v>
      </c>
      <c r="CD2129" s="68"/>
      <c r="CE2129" s="67"/>
      <c r="CF2129" s="67"/>
      <c r="CG2129" s="67" t="s">
        <v>545</v>
      </c>
      <c r="CH2129" s="94"/>
      <c r="CI2129" s="94"/>
      <c r="CJ2129" s="67"/>
      <c r="CK2129" s="67"/>
      <c r="CL2129" s="67"/>
      <c r="CM2129" s="69">
        <f>1/1000000*1000*285</f>
        <v>0.28500000000000003</v>
      </c>
      <c r="CN2129" s="69">
        <f>1/1000000*1000*350</f>
        <v>0.35000000000000003</v>
      </c>
      <c r="CO2129" s="67">
        <f>1/1000000*1000*9.4</f>
        <v>9.4000000000000004E-3</v>
      </c>
      <c r="CP2129" s="67">
        <f>1/1000000*1000*7.8</f>
        <v>7.7999999999999996E-3</v>
      </c>
      <c r="CQ2129" s="67" t="s">
        <v>2237</v>
      </c>
      <c r="CR2129" s="69"/>
      <c r="CS2129" s="69"/>
      <c r="CT2129" s="67"/>
      <c r="CU2129" s="67"/>
      <c r="CV2129" s="67" t="s">
        <v>3041</v>
      </c>
      <c r="CW2129" s="67"/>
      <c r="CX2129" s="67"/>
      <c r="CY2129" s="67"/>
      <c r="CZ2129" s="67"/>
      <c r="DA2129" s="67" t="s">
        <v>4458</v>
      </c>
      <c r="DB2129" s="67">
        <v>28</v>
      </c>
      <c r="DC2129" s="67">
        <v>37</v>
      </c>
      <c r="DD2129" s="67">
        <v>1.3</v>
      </c>
      <c r="DE2129" s="67">
        <v>1</v>
      </c>
      <c r="DF2129" s="67" t="s">
        <v>2238</v>
      </c>
      <c r="DG2129" s="67">
        <v>56</v>
      </c>
      <c r="DH2129" s="67">
        <v>76</v>
      </c>
      <c r="DI2129" s="67">
        <v>1.9</v>
      </c>
      <c r="DJ2129" s="67">
        <v>2.2000000000000002</v>
      </c>
      <c r="DK2129" s="67" t="s">
        <v>2236</v>
      </c>
      <c r="DL2129" s="67"/>
      <c r="DM2129" s="67"/>
      <c r="DN2129" s="67"/>
      <c r="DO2129" s="67"/>
      <c r="DP2129" s="67"/>
      <c r="DQ2129" s="166"/>
      <c r="DR2129" s="166"/>
      <c r="DS2129" s="163"/>
      <c r="DT2129" s="163"/>
      <c r="DU2129" s="67"/>
      <c r="DV2129" s="67"/>
      <c r="DW2129" s="67"/>
      <c r="DX2129" s="67"/>
      <c r="DY2129" s="67"/>
      <c r="DZ2129" s="67"/>
      <c r="EA2129" s="67"/>
      <c r="EB2129" s="67"/>
      <c r="EC2129" s="67"/>
      <c r="ED2129" s="67"/>
      <c r="EE2129" s="67"/>
      <c r="EF2129" s="67"/>
      <c r="EG2129" s="67"/>
      <c r="EH2129" s="67"/>
      <c r="EI2129" s="67"/>
      <c r="EJ2129" s="67"/>
      <c r="EK2129" s="94">
        <v>1.76</v>
      </c>
      <c r="EL2129" s="94">
        <v>2.13</v>
      </c>
      <c r="EM2129" s="67">
        <v>0.38</v>
      </c>
      <c r="EN2129" s="67">
        <v>0.41</v>
      </c>
      <c r="EO2129" s="67" t="s">
        <v>2235</v>
      </c>
      <c r="EP2129" s="67"/>
      <c r="EQ2129" s="67"/>
      <c r="ER2129" s="67"/>
      <c r="ES2129" s="67"/>
      <c r="ET2129" s="67"/>
      <c r="EU2129" s="67"/>
      <c r="EV2129" s="67"/>
      <c r="EW2129" s="67"/>
      <c r="EX2129" s="67"/>
      <c r="EY2129" s="67"/>
      <c r="EZ2129" s="67"/>
      <c r="FA2129" s="67"/>
      <c r="FB2129" s="67"/>
      <c r="FC2129" s="67"/>
      <c r="FD2129" s="67"/>
      <c r="FE2129" s="67"/>
      <c r="FF2129" s="67"/>
      <c r="FG2129" s="67"/>
      <c r="FH2129" s="67"/>
      <c r="FI2129" s="67"/>
      <c r="FJ2129" s="67"/>
      <c r="FK2129" s="67"/>
      <c r="FL2129" s="67"/>
      <c r="FM2129" s="67"/>
      <c r="FN2129" s="67"/>
      <c r="FO2129" s="67"/>
      <c r="FP2129" s="67"/>
      <c r="FQ2129" s="67"/>
      <c r="FR2129" s="67"/>
      <c r="FS2129" s="67"/>
      <c r="FT2129" s="67"/>
      <c r="FU2129" s="67"/>
      <c r="FV2129" s="67"/>
      <c r="FW2129" s="67"/>
      <c r="FX2129" s="67"/>
      <c r="FY2129" s="67"/>
      <c r="FZ2129" s="67"/>
      <c r="GA2129" s="67"/>
      <c r="GB2129" s="67"/>
      <c r="GC2129" s="67"/>
      <c r="GD2129" s="67"/>
      <c r="GE2129" s="67"/>
      <c r="GF2129" s="67"/>
      <c r="GG2129" s="67"/>
      <c r="GH2129" s="67"/>
      <c r="GI2129" s="67"/>
      <c r="GJ2129" s="67"/>
      <c r="GK2129" s="67"/>
      <c r="GL2129" s="67"/>
      <c r="GM2129" s="67"/>
      <c r="GN2129" s="292"/>
      <c r="GO2129" s="292"/>
      <c r="GP2129" s="292" t="s">
        <v>7494</v>
      </c>
      <c r="GQ2129" s="67"/>
      <c r="GR2129" s="67"/>
      <c r="GS2129" s="67"/>
      <c r="GT2129" s="67"/>
      <c r="GU2129" s="67"/>
      <c r="GV2129" s="67"/>
      <c r="GW2129" s="67"/>
      <c r="GX2129" s="67"/>
      <c r="GY2129" s="67"/>
      <c r="GZ2129" s="67"/>
      <c r="HA2129" s="67"/>
      <c r="HB2129" s="67"/>
      <c r="HC2129" s="67"/>
      <c r="HD2129" s="67"/>
      <c r="HE2129" s="67"/>
      <c r="HF2129" s="67"/>
      <c r="HG2129" s="67"/>
      <c r="HH2129" s="67"/>
      <c r="HI2129" s="67"/>
      <c r="HJ2129" s="67"/>
      <c r="HK2129" s="67"/>
      <c r="HL2129" s="67"/>
      <c r="HM2129" s="67"/>
      <c r="HN2129" s="67"/>
      <c r="HO2129" s="67"/>
      <c r="HP2129" s="67"/>
      <c r="HQ2129" s="67"/>
      <c r="HR2129" s="67"/>
      <c r="HS2129" s="67"/>
      <c r="HT2129" s="67"/>
      <c r="HU2129" s="67"/>
      <c r="HV2129" s="67"/>
      <c r="HW2129" s="67"/>
      <c r="HX2129" s="67"/>
      <c r="HY2129" s="67"/>
      <c r="HZ2129" s="67"/>
      <c r="IA2129" s="67"/>
      <c r="IB2129" s="67"/>
      <c r="IC2129" s="67">
        <v>130</v>
      </c>
      <c r="ID2129" s="67">
        <v>133</v>
      </c>
      <c r="IE2129" s="67">
        <v>11.9</v>
      </c>
      <c r="IF2129" s="67">
        <v>15.5</v>
      </c>
      <c r="IG2129" s="67" t="s">
        <v>2233</v>
      </c>
      <c r="IH2129" s="67"/>
      <c r="II2129" s="67"/>
      <c r="IJ2129" s="67"/>
      <c r="IK2129" s="67"/>
      <c r="IL2129" s="67"/>
      <c r="IM2129" s="67"/>
      <c r="IN2129" s="67"/>
      <c r="IO2129" s="67"/>
      <c r="IP2129" s="67"/>
      <c r="IQ2129" s="67"/>
      <c r="IR2129" s="67"/>
      <c r="IS2129" s="67"/>
      <c r="IT2129" s="67"/>
      <c r="IU2129" s="67"/>
      <c r="IV2129" s="67"/>
      <c r="IW2129" s="67"/>
      <c r="IX2129" s="67"/>
      <c r="IY2129" s="67"/>
      <c r="IZ2129" s="67"/>
      <c r="JA2129" s="67"/>
      <c r="JB2129" s="67"/>
      <c r="JC2129" s="67"/>
      <c r="JD2129" s="67"/>
      <c r="JE2129" s="67"/>
      <c r="JF2129" s="67"/>
      <c r="JG2129" s="67"/>
      <c r="JH2129" s="67"/>
      <c r="JI2129" s="67"/>
      <c r="JJ2129" s="67"/>
      <c r="JK2129" s="67"/>
      <c r="JL2129" s="67"/>
      <c r="JM2129" s="67"/>
      <c r="JN2129" s="67"/>
      <c r="JO2129" s="67"/>
      <c r="JP2129" s="67"/>
      <c r="JQ2129" s="67"/>
      <c r="JR2129" s="67"/>
      <c r="JS2129" s="67"/>
      <c r="JT2129" s="67"/>
      <c r="JU2129" s="58"/>
      <c r="JV2129" s="58"/>
      <c r="JW2129" s="58"/>
    </row>
    <row r="2130" spans="1:283" s="23" customFormat="1" x14ac:dyDescent="0.25">
      <c r="A2130" s="55">
        <v>2129</v>
      </c>
      <c r="B2130" s="12" t="s">
        <v>7067</v>
      </c>
      <c r="C2130" s="156">
        <v>97</v>
      </c>
      <c r="D2130" s="58" t="s">
        <v>4137</v>
      </c>
      <c r="E2130" s="93" t="s">
        <v>2086</v>
      </c>
      <c r="F2130" s="93"/>
      <c r="G2130" s="58"/>
      <c r="H2130" s="59">
        <v>2000</v>
      </c>
      <c r="I2130" s="58">
        <v>1994</v>
      </c>
      <c r="J2130" s="59" t="s">
        <v>2003</v>
      </c>
      <c r="K2130" s="59" t="s">
        <v>2087</v>
      </c>
      <c r="L2130" s="59" t="s">
        <v>2738</v>
      </c>
      <c r="M2130" s="94">
        <v>46.58</v>
      </c>
      <c r="N2130" s="94">
        <v>-71.23</v>
      </c>
      <c r="O2130" s="93">
        <v>132.1</v>
      </c>
      <c r="P2130" s="59"/>
      <c r="Q2130" s="59"/>
      <c r="R2130" s="58"/>
      <c r="S2130" s="94"/>
      <c r="T2130" s="58"/>
      <c r="U2130" s="58">
        <v>2</v>
      </c>
      <c r="V2130" s="59">
        <v>4</v>
      </c>
      <c r="W2130" s="174"/>
      <c r="X2130" s="174"/>
      <c r="Y2130" s="58" t="s">
        <v>2230</v>
      </c>
      <c r="Z2130" s="59" t="s">
        <v>1346</v>
      </c>
      <c r="AA2130" s="94">
        <v>20</v>
      </c>
      <c r="AB2130" s="67"/>
      <c r="AC2130" s="67"/>
      <c r="AD2130" s="94">
        <v>1.6087</v>
      </c>
      <c r="AE2130" s="93">
        <v>27</v>
      </c>
      <c r="AF2130" s="93">
        <v>49</v>
      </c>
      <c r="AG2130" s="93"/>
      <c r="AH2130" s="58" t="s">
        <v>139</v>
      </c>
      <c r="AI2130" s="169"/>
      <c r="AJ2130" s="94"/>
      <c r="AK2130" s="94"/>
      <c r="AL2130" s="58"/>
      <c r="AM2130" s="59" t="s">
        <v>2088</v>
      </c>
      <c r="AN2130" s="188" t="s">
        <v>2095</v>
      </c>
      <c r="AO2130" s="185" t="s">
        <v>5150</v>
      </c>
      <c r="AP2130" s="59"/>
      <c r="AQ2130" s="58" t="s">
        <v>1097</v>
      </c>
      <c r="AR2130" s="59" t="s">
        <v>2090</v>
      </c>
      <c r="AS2130" s="58" t="s">
        <v>116</v>
      </c>
      <c r="AT2130" s="182"/>
      <c r="AU2130" s="181" t="s">
        <v>7494</v>
      </c>
      <c r="AV2130" s="185" t="s">
        <v>176</v>
      </c>
      <c r="AW2130" s="58"/>
      <c r="AX2130" s="185" t="s">
        <v>176</v>
      </c>
      <c r="AY2130" s="58"/>
      <c r="AZ2130" s="59" t="s">
        <v>1976</v>
      </c>
      <c r="BA2130" s="59" t="s">
        <v>1976</v>
      </c>
      <c r="BB2130" s="59" t="s">
        <v>2081</v>
      </c>
      <c r="BC2130" s="59" t="s">
        <v>2081</v>
      </c>
      <c r="BD2130" s="58" t="s">
        <v>176</v>
      </c>
      <c r="BE2130" s="240" t="s">
        <v>1981</v>
      </c>
      <c r="BF2130" s="191" t="s">
        <v>176</v>
      </c>
      <c r="BG2130" s="191" t="s">
        <v>176</v>
      </c>
      <c r="BH2130" s="240" t="s">
        <v>1981</v>
      </c>
      <c r="BI2130" s="191" t="s">
        <v>176</v>
      </c>
      <c r="BJ2130" s="58" t="s">
        <v>176</v>
      </c>
      <c r="BK2130" s="58" t="s">
        <v>5976</v>
      </c>
      <c r="BL2130" s="58"/>
      <c r="BM2130" s="241" t="s">
        <v>160</v>
      </c>
      <c r="BN2130" s="58">
        <v>3</v>
      </c>
      <c r="BO2130" s="58">
        <v>3</v>
      </c>
      <c r="BP2130" s="59">
        <v>10</v>
      </c>
      <c r="BQ2130" s="58" t="s">
        <v>141</v>
      </c>
      <c r="BR2130" s="58"/>
      <c r="BS2130" s="58">
        <v>4617</v>
      </c>
      <c r="BT2130" s="58">
        <v>25</v>
      </c>
      <c r="BU2130" s="58"/>
      <c r="BV2130" s="58"/>
      <c r="BW2130" s="67"/>
      <c r="BX2130" s="67"/>
      <c r="BY2130" s="67"/>
      <c r="BZ2130" s="67"/>
      <c r="CA2130" s="67"/>
      <c r="CB2130" s="153">
        <v>930.4</v>
      </c>
      <c r="CC2130" s="68">
        <v>2720</v>
      </c>
      <c r="CD2130" s="68"/>
      <c r="CE2130" s="67"/>
      <c r="CF2130" s="67"/>
      <c r="CG2130" s="67" t="s">
        <v>545</v>
      </c>
      <c r="CH2130" s="94"/>
      <c r="CI2130" s="94"/>
      <c r="CJ2130" s="67"/>
      <c r="CK2130" s="67"/>
      <c r="CL2130" s="67"/>
      <c r="CM2130" s="69">
        <f>1/1000000*1000*285</f>
        <v>0.28500000000000003</v>
      </c>
      <c r="CN2130" s="69">
        <f>1/1000000*1000*350</f>
        <v>0.35000000000000003</v>
      </c>
      <c r="CO2130" s="67">
        <f>1/1000000*1000*9.4</f>
        <v>9.4000000000000004E-3</v>
      </c>
      <c r="CP2130" s="67">
        <f>1/1000000*1000*7.8</f>
        <v>7.7999999999999996E-3</v>
      </c>
      <c r="CQ2130" s="67" t="s">
        <v>2237</v>
      </c>
      <c r="CR2130" s="69"/>
      <c r="CS2130" s="69"/>
      <c r="CT2130" s="67"/>
      <c r="CU2130" s="67"/>
      <c r="CV2130" s="67" t="s">
        <v>3041</v>
      </c>
      <c r="CW2130" s="67"/>
      <c r="CX2130" s="67"/>
      <c r="CY2130" s="67"/>
      <c r="CZ2130" s="67"/>
      <c r="DA2130" s="67" t="s">
        <v>4458</v>
      </c>
      <c r="DB2130" s="67">
        <v>28</v>
      </c>
      <c r="DC2130" s="67">
        <v>38</v>
      </c>
      <c r="DD2130" s="67">
        <v>1.3</v>
      </c>
      <c r="DE2130" s="67">
        <v>1.4</v>
      </c>
      <c r="DF2130" s="67" t="s">
        <v>2238</v>
      </c>
      <c r="DG2130" s="67">
        <v>56</v>
      </c>
      <c r="DH2130" s="67">
        <v>98</v>
      </c>
      <c r="DI2130" s="67">
        <v>1.9</v>
      </c>
      <c r="DJ2130" s="67">
        <v>2.9</v>
      </c>
      <c r="DK2130" s="67" t="s">
        <v>2236</v>
      </c>
      <c r="DL2130" s="67"/>
      <c r="DM2130" s="67"/>
      <c r="DN2130" s="67"/>
      <c r="DO2130" s="67"/>
      <c r="DP2130" s="67"/>
      <c r="DQ2130" s="166"/>
      <c r="DR2130" s="166"/>
      <c r="DS2130" s="163"/>
      <c r="DT2130" s="163"/>
      <c r="DU2130" s="67"/>
      <c r="DV2130" s="67"/>
      <c r="DW2130" s="67"/>
      <c r="DX2130" s="67"/>
      <c r="DY2130" s="67"/>
      <c r="DZ2130" s="67"/>
      <c r="EA2130" s="67"/>
      <c r="EB2130" s="67"/>
      <c r="EC2130" s="67"/>
      <c r="ED2130" s="67"/>
      <c r="EE2130" s="67"/>
      <c r="EF2130" s="67"/>
      <c r="EG2130" s="67"/>
      <c r="EH2130" s="67"/>
      <c r="EI2130" s="67"/>
      <c r="EJ2130" s="67"/>
      <c r="EK2130" s="94">
        <v>1.76</v>
      </c>
      <c r="EL2130" s="94">
        <v>1.29</v>
      </c>
      <c r="EM2130" s="67">
        <v>0.38</v>
      </c>
      <c r="EN2130" s="67">
        <v>0.69</v>
      </c>
      <c r="EO2130" s="67" t="s">
        <v>2235</v>
      </c>
      <c r="EP2130" s="67"/>
      <c r="EQ2130" s="67"/>
      <c r="ER2130" s="67"/>
      <c r="ES2130" s="67"/>
      <c r="ET2130" s="67"/>
      <c r="EU2130" s="67"/>
      <c r="EV2130" s="67"/>
      <c r="EW2130" s="67"/>
      <c r="EX2130" s="67"/>
      <c r="EY2130" s="67"/>
      <c r="EZ2130" s="67"/>
      <c r="FA2130" s="67"/>
      <c r="FB2130" s="67"/>
      <c r="FC2130" s="67"/>
      <c r="FD2130" s="67"/>
      <c r="FE2130" s="67"/>
      <c r="FF2130" s="67"/>
      <c r="FG2130" s="67"/>
      <c r="FH2130" s="67"/>
      <c r="FI2130" s="67"/>
      <c r="FJ2130" s="67"/>
      <c r="FK2130" s="67"/>
      <c r="FL2130" s="67"/>
      <c r="FM2130" s="67"/>
      <c r="FN2130" s="67"/>
      <c r="FO2130" s="67"/>
      <c r="FP2130" s="67"/>
      <c r="FQ2130" s="67"/>
      <c r="FR2130" s="67"/>
      <c r="FS2130" s="67"/>
      <c r="FT2130" s="67"/>
      <c r="FU2130" s="67"/>
      <c r="FV2130" s="67"/>
      <c r="FW2130" s="67"/>
      <c r="FX2130" s="67"/>
      <c r="FY2130" s="67"/>
      <c r="FZ2130" s="67"/>
      <c r="GA2130" s="67"/>
      <c r="GB2130" s="67"/>
      <c r="GC2130" s="67"/>
      <c r="GD2130" s="67"/>
      <c r="GE2130" s="67"/>
      <c r="GF2130" s="67"/>
      <c r="GG2130" s="67"/>
      <c r="GH2130" s="67"/>
      <c r="GI2130" s="67"/>
      <c r="GJ2130" s="67"/>
      <c r="GK2130" s="67"/>
      <c r="GL2130" s="67"/>
      <c r="GM2130" s="67"/>
      <c r="GN2130" s="292"/>
      <c r="GO2130" s="292"/>
      <c r="GP2130" s="292" t="s">
        <v>7494</v>
      </c>
      <c r="GQ2130" s="67"/>
      <c r="GR2130" s="67"/>
      <c r="GS2130" s="67"/>
      <c r="GT2130" s="67"/>
      <c r="GU2130" s="67"/>
      <c r="GV2130" s="67"/>
      <c r="GW2130" s="67"/>
      <c r="GX2130" s="67"/>
      <c r="GY2130" s="67"/>
      <c r="GZ2130" s="67"/>
      <c r="HA2130" s="67"/>
      <c r="HB2130" s="67"/>
      <c r="HC2130" s="67"/>
      <c r="HD2130" s="67"/>
      <c r="HE2130" s="67"/>
      <c r="HF2130" s="67"/>
      <c r="HG2130" s="67"/>
      <c r="HH2130" s="67"/>
      <c r="HI2130" s="67"/>
      <c r="HJ2130" s="67"/>
      <c r="HK2130" s="67"/>
      <c r="HL2130" s="67"/>
      <c r="HM2130" s="67"/>
      <c r="HN2130" s="67"/>
      <c r="HO2130" s="67"/>
      <c r="HP2130" s="67"/>
      <c r="HQ2130" s="67"/>
      <c r="HR2130" s="67"/>
      <c r="HS2130" s="67"/>
      <c r="HT2130" s="67"/>
      <c r="HU2130" s="67"/>
      <c r="HV2130" s="67"/>
      <c r="HW2130" s="67"/>
      <c r="HX2130" s="67"/>
      <c r="HY2130" s="67"/>
      <c r="HZ2130" s="67"/>
      <c r="IA2130" s="67"/>
      <c r="IB2130" s="67"/>
      <c r="IC2130" s="67">
        <v>130</v>
      </c>
      <c r="ID2130" s="67">
        <v>173</v>
      </c>
      <c r="IE2130" s="67">
        <v>11.9</v>
      </c>
      <c r="IF2130" s="67">
        <v>20.8</v>
      </c>
      <c r="IG2130" s="67" t="s">
        <v>2233</v>
      </c>
      <c r="IH2130" s="67"/>
      <c r="II2130" s="67"/>
      <c r="IJ2130" s="67"/>
      <c r="IK2130" s="67"/>
      <c r="IL2130" s="67"/>
      <c r="IM2130" s="67"/>
      <c r="IN2130" s="67"/>
      <c r="IO2130" s="67"/>
      <c r="IP2130" s="67"/>
      <c r="IQ2130" s="67"/>
      <c r="IR2130" s="67"/>
      <c r="IS2130" s="67"/>
      <c r="IT2130" s="67"/>
      <c r="IU2130" s="67"/>
      <c r="IV2130" s="67"/>
      <c r="IW2130" s="67"/>
      <c r="IX2130" s="67"/>
      <c r="IY2130" s="67"/>
      <c r="IZ2130" s="67"/>
      <c r="JA2130" s="67"/>
      <c r="JB2130" s="67"/>
      <c r="JC2130" s="67"/>
      <c r="JD2130" s="67"/>
      <c r="JE2130" s="67"/>
      <c r="JF2130" s="67"/>
      <c r="JG2130" s="67"/>
      <c r="JH2130" s="67"/>
      <c r="JI2130" s="67"/>
      <c r="JJ2130" s="67"/>
      <c r="JK2130" s="67"/>
      <c r="JL2130" s="67"/>
      <c r="JM2130" s="67"/>
      <c r="JN2130" s="67"/>
      <c r="JO2130" s="67"/>
      <c r="JP2130" s="67"/>
      <c r="JQ2130" s="67"/>
      <c r="JR2130" s="67"/>
      <c r="JS2130" s="67"/>
      <c r="JT2130" s="67"/>
      <c r="JU2130" s="58"/>
      <c r="JV2130" s="58"/>
      <c r="JW2130" s="58"/>
    </row>
    <row r="2131" spans="1:283" s="23" customFormat="1" x14ac:dyDescent="0.25">
      <c r="A2131" s="55">
        <v>2130</v>
      </c>
      <c r="B2131" s="12" t="s">
        <v>7067</v>
      </c>
      <c r="C2131" s="156">
        <v>97</v>
      </c>
      <c r="D2131" s="58" t="s">
        <v>4137</v>
      </c>
      <c r="E2131" s="93" t="s">
        <v>2086</v>
      </c>
      <c r="F2131" s="93"/>
      <c r="G2131" s="58"/>
      <c r="H2131" s="59">
        <v>2000</v>
      </c>
      <c r="I2131" s="58">
        <v>1994</v>
      </c>
      <c r="J2131" s="59" t="s">
        <v>2003</v>
      </c>
      <c r="K2131" s="59" t="s">
        <v>2087</v>
      </c>
      <c r="L2131" s="59" t="s">
        <v>2738</v>
      </c>
      <c r="M2131" s="94">
        <v>46.58</v>
      </c>
      <c r="N2131" s="94">
        <v>-71.23</v>
      </c>
      <c r="O2131" s="93">
        <v>132.1</v>
      </c>
      <c r="P2131" s="59"/>
      <c r="Q2131" s="59"/>
      <c r="R2131" s="58"/>
      <c r="S2131" s="94"/>
      <c r="T2131" s="58"/>
      <c r="U2131" s="58">
        <v>2</v>
      </c>
      <c r="V2131" s="59">
        <v>4</v>
      </c>
      <c r="W2131" s="174"/>
      <c r="X2131" s="174"/>
      <c r="Y2131" s="58" t="s">
        <v>2230</v>
      </c>
      <c r="Z2131" s="59" t="s">
        <v>1346</v>
      </c>
      <c r="AA2131" s="94">
        <v>20</v>
      </c>
      <c r="AB2131" s="67"/>
      <c r="AC2131" s="67"/>
      <c r="AD2131" s="94">
        <v>1.6087</v>
      </c>
      <c r="AE2131" s="93">
        <v>27</v>
      </c>
      <c r="AF2131" s="93">
        <v>49</v>
      </c>
      <c r="AG2131" s="93"/>
      <c r="AH2131" s="58" t="s">
        <v>139</v>
      </c>
      <c r="AI2131" s="169"/>
      <c r="AJ2131" s="94"/>
      <c r="AK2131" s="94"/>
      <c r="AL2131" s="58"/>
      <c r="AM2131" s="59" t="s">
        <v>2088</v>
      </c>
      <c r="AN2131" s="188" t="s">
        <v>2094</v>
      </c>
      <c r="AO2131" s="185" t="s">
        <v>5150</v>
      </c>
      <c r="AP2131" s="59"/>
      <c r="AQ2131" s="58" t="s">
        <v>1097</v>
      </c>
      <c r="AR2131" s="59" t="s">
        <v>2090</v>
      </c>
      <c r="AS2131" s="58" t="s">
        <v>116</v>
      </c>
      <c r="AT2131" s="182"/>
      <c r="AU2131" s="181" t="s">
        <v>7494</v>
      </c>
      <c r="AV2131" s="185" t="s">
        <v>176</v>
      </c>
      <c r="AW2131" s="58"/>
      <c r="AX2131" s="185" t="s">
        <v>176</v>
      </c>
      <c r="AY2131" s="58"/>
      <c r="AZ2131" s="59" t="s">
        <v>1976</v>
      </c>
      <c r="BA2131" s="59" t="s">
        <v>1976</v>
      </c>
      <c r="BB2131" s="59" t="s">
        <v>2081</v>
      </c>
      <c r="BC2131" s="59" t="s">
        <v>2081</v>
      </c>
      <c r="BD2131" s="58" t="s">
        <v>176</v>
      </c>
      <c r="BE2131" s="240" t="s">
        <v>1981</v>
      </c>
      <c r="BF2131" s="191" t="s">
        <v>176</v>
      </c>
      <c r="BG2131" s="191" t="s">
        <v>176</v>
      </c>
      <c r="BH2131" s="240" t="s">
        <v>1981</v>
      </c>
      <c r="BI2131" s="191" t="s">
        <v>176</v>
      </c>
      <c r="BJ2131" s="58" t="s">
        <v>176</v>
      </c>
      <c r="BK2131" s="58" t="s">
        <v>5976</v>
      </c>
      <c r="BL2131" s="58"/>
      <c r="BM2131" s="241" t="s">
        <v>160</v>
      </c>
      <c r="BN2131" s="58">
        <v>3</v>
      </c>
      <c r="BO2131" s="58">
        <v>3</v>
      </c>
      <c r="BP2131" s="59">
        <v>10</v>
      </c>
      <c r="BQ2131" s="58" t="s">
        <v>141</v>
      </c>
      <c r="BR2131" s="58"/>
      <c r="BS2131" s="58">
        <v>3772</v>
      </c>
      <c r="BT2131" s="58">
        <v>28</v>
      </c>
      <c r="BU2131" s="58"/>
      <c r="BV2131" s="58"/>
      <c r="BW2131" s="67"/>
      <c r="BX2131" s="67"/>
      <c r="BY2131" s="67"/>
      <c r="BZ2131" s="67"/>
      <c r="CA2131" s="67"/>
      <c r="CB2131" s="153">
        <v>930.4</v>
      </c>
      <c r="CC2131" s="68">
        <v>2256</v>
      </c>
      <c r="CD2131" s="68"/>
      <c r="CE2131" s="67"/>
      <c r="CF2131" s="67"/>
      <c r="CG2131" s="67" t="s">
        <v>545</v>
      </c>
      <c r="CH2131" s="94"/>
      <c r="CI2131" s="94"/>
      <c r="CJ2131" s="67"/>
      <c r="CK2131" s="67"/>
      <c r="CL2131" s="67"/>
      <c r="CM2131" s="69">
        <f>1/1000000*1000*285</f>
        <v>0.28500000000000003</v>
      </c>
      <c r="CN2131" s="69">
        <f>1/1000000*1000*350</f>
        <v>0.35000000000000003</v>
      </c>
      <c r="CO2131" s="67">
        <f>1/1000000*1000*9.4</f>
        <v>9.4000000000000004E-3</v>
      </c>
      <c r="CP2131" s="67">
        <f>1/1000000*1000*7.8</f>
        <v>7.7999999999999996E-3</v>
      </c>
      <c r="CQ2131" s="67" t="s">
        <v>2237</v>
      </c>
      <c r="CR2131" s="69"/>
      <c r="CS2131" s="69"/>
      <c r="CT2131" s="67"/>
      <c r="CU2131" s="67"/>
      <c r="CV2131" s="67" t="s">
        <v>3041</v>
      </c>
      <c r="CW2131" s="67"/>
      <c r="CX2131" s="67"/>
      <c r="CY2131" s="67"/>
      <c r="CZ2131" s="67"/>
      <c r="DA2131" s="67" t="s">
        <v>4458</v>
      </c>
      <c r="DB2131" s="67">
        <v>28</v>
      </c>
      <c r="DC2131" s="67">
        <v>30</v>
      </c>
      <c r="DD2131" s="67">
        <v>1.3</v>
      </c>
      <c r="DE2131" s="67">
        <v>0.8</v>
      </c>
      <c r="DF2131" s="67" t="s">
        <v>2238</v>
      </c>
      <c r="DG2131" s="67">
        <v>56</v>
      </c>
      <c r="DH2131" s="67">
        <v>97</v>
      </c>
      <c r="DI2131" s="67">
        <v>1.9</v>
      </c>
      <c r="DJ2131" s="67">
        <v>1.2</v>
      </c>
      <c r="DK2131" s="67" t="s">
        <v>2236</v>
      </c>
      <c r="DL2131" s="67"/>
      <c r="DM2131" s="67"/>
      <c r="DN2131" s="67"/>
      <c r="DO2131" s="67"/>
      <c r="DP2131" s="67"/>
      <c r="DQ2131" s="166"/>
      <c r="DR2131" s="166"/>
      <c r="DS2131" s="163"/>
      <c r="DT2131" s="163"/>
      <c r="DU2131" s="67"/>
      <c r="DV2131" s="67"/>
      <c r="DW2131" s="67"/>
      <c r="DX2131" s="67"/>
      <c r="DY2131" s="67"/>
      <c r="DZ2131" s="67"/>
      <c r="EA2131" s="67"/>
      <c r="EB2131" s="67"/>
      <c r="EC2131" s="67"/>
      <c r="ED2131" s="67"/>
      <c r="EE2131" s="67"/>
      <c r="EF2131" s="67"/>
      <c r="EG2131" s="67"/>
      <c r="EH2131" s="67"/>
      <c r="EI2131" s="67"/>
      <c r="EJ2131" s="67"/>
      <c r="EK2131" s="94">
        <v>1.76</v>
      </c>
      <c r="EL2131" s="94">
        <v>1.93</v>
      </c>
      <c r="EM2131" s="67">
        <v>0.38</v>
      </c>
      <c r="EN2131" s="67">
        <v>0.4</v>
      </c>
      <c r="EO2131" s="67" t="s">
        <v>2235</v>
      </c>
      <c r="EP2131" s="67"/>
      <c r="EQ2131" s="67"/>
      <c r="ER2131" s="67"/>
      <c r="ES2131" s="67"/>
      <c r="ET2131" s="67"/>
      <c r="EU2131" s="67"/>
      <c r="EV2131" s="67"/>
      <c r="EW2131" s="67"/>
      <c r="EX2131" s="67"/>
      <c r="EY2131" s="67"/>
      <c r="EZ2131" s="67"/>
      <c r="FA2131" s="67"/>
      <c r="FB2131" s="67"/>
      <c r="FC2131" s="67"/>
      <c r="FD2131" s="67"/>
      <c r="FE2131" s="67"/>
      <c r="FF2131" s="67"/>
      <c r="FG2131" s="67"/>
      <c r="FH2131" s="67"/>
      <c r="FI2131" s="67"/>
      <c r="FJ2131" s="67"/>
      <c r="FK2131" s="67"/>
      <c r="FL2131" s="67"/>
      <c r="FM2131" s="67"/>
      <c r="FN2131" s="67"/>
      <c r="FO2131" s="67"/>
      <c r="FP2131" s="67"/>
      <c r="FQ2131" s="67"/>
      <c r="FR2131" s="67"/>
      <c r="FS2131" s="67"/>
      <c r="FT2131" s="67"/>
      <c r="FU2131" s="67"/>
      <c r="FV2131" s="67"/>
      <c r="FW2131" s="67"/>
      <c r="FX2131" s="67"/>
      <c r="FY2131" s="67"/>
      <c r="FZ2131" s="67"/>
      <c r="GA2131" s="67"/>
      <c r="GB2131" s="67"/>
      <c r="GC2131" s="67"/>
      <c r="GD2131" s="67"/>
      <c r="GE2131" s="67"/>
      <c r="GF2131" s="67"/>
      <c r="GG2131" s="67"/>
      <c r="GH2131" s="67"/>
      <c r="GI2131" s="67"/>
      <c r="GJ2131" s="67"/>
      <c r="GK2131" s="67"/>
      <c r="GL2131" s="67"/>
      <c r="GM2131" s="67"/>
      <c r="GN2131" s="292"/>
      <c r="GO2131" s="292"/>
      <c r="GP2131" s="292" t="s">
        <v>7494</v>
      </c>
      <c r="GQ2131" s="67"/>
      <c r="GR2131" s="67"/>
      <c r="GS2131" s="67"/>
      <c r="GT2131" s="67"/>
      <c r="GU2131" s="67"/>
      <c r="GV2131" s="67"/>
      <c r="GW2131" s="67"/>
      <c r="GX2131" s="67"/>
      <c r="GY2131" s="67"/>
      <c r="GZ2131" s="67"/>
      <c r="HA2131" s="67"/>
      <c r="HB2131" s="67"/>
      <c r="HC2131" s="67"/>
      <c r="HD2131" s="67"/>
      <c r="HE2131" s="67"/>
      <c r="HF2131" s="67"/>
      <c r="HG2131" s="67"/>
      <c r="HH2131" s="67"/>
      <c r="HI2131" s="67"/>
      <c r="HJ2131" s="67"/>
      <c r="HK2131" s="67"/>
      <c r="HL2131" s="67"/>
      <c r="HM2131" s="67"/>
      <c r="HN2131" s="67"/>
      <c r="HO2131" s="67"/>
      <c r="HP2131" s="67"/>
      <c r="HQ2131" s="67"/>
      <c r="HR2131" s="67"/>
      <c r="HS2131" s="67"/>
      <c r="HT2131" s="67"/>
      <c r="HU2131" s="67"/>
      <c r="HV2131" s="67"/>
      <c r="HW2131" s="67"/>
      <c r="HX2131" s="67"/>
      <c r="HY2131" s="67"/>
      <c r="HZ2131" s="67"/>
      <c r="IA2131" s="67"/>
      <c r="IB2131" s="67"/>
      <c r="IC2131" s="67">
        <v>130</v>
      </c>
      <c r="ID2131" s="67">
        <v>162</v>
      </c>
      <c r="IE2131" s="67">
        <v>11.9</v>
      </c>
      <c r="IF2131" s="67">
        <v>17.2</v>
      </c>
      <c r="IG2131" s="67" t="s">
        <v>2233</v>
      </c>
      <c r="IH2131" s="67"/>
      <c r="II2131" s="67"/>
      <c r="IJ2131" s="67"/>
      <c r="IK2131" s="67"/>
      <c r="IL2131" s="67"/>
      <c r="IM2131" s="67"/>
      <c r="IN2131" s="67"/>
      <c r="IO2131" s="67"/>
      <c r="IP2131" s="67"/>
      <c r="IQ2131" s="67"/>
      <c r="IR2131" s="67"/>
      <c r="IS2131" s="67"/>
      <c r="IT2131" s="67"/>
      <c r="IU2131" s="67"/>
      <c r="IV2131" s="67"/>
      <c r="IW2131" s="67"/>
      <c r="IX2131" s="67"/>
      <c r="IY2131" s="67"/>
      <c r="IZ2131" s="67"/>
      <c r="JA2131" s="67"/>
      <c r="JB2131" s="67"/>
      <c r="JC2131" s="67"/>
      <c r="JD2131" s="67"/>
      <c r="JE2131" s="67"/>
      <c r="JF2131" s="67"/>
      <c r="JG2131" s="67"/>
      <c r="JH2131" s="67"/>
      <c r="JI2131" s="67"/>
      <c r="JJ2131" s="67"/>
      <c r="JK2131" s="67"/>
      <c r="JL2131" s="67"/>
      <c r="JM2131" s="67"/>
      <c r="JN2131" s="67"/>
      <c r="JO2131" s="67"/>
      <c r="JP2131" s="67"/>
      <c r="JQ2131" s="67"/>
      <c r="JR2131" s="67"/>
      <c r="JS2131" s="67"/>
      <c r="JT2131" s="67"/>
      <c r="JU2131" s="58"/>
      <c r="JV2131" s="58"/>
      <c r="JW2131" s="58"/>
    </row>
    <row r="2132" spans="1:283" s="23" customFormat="1" x14ac:dyDescent="0.25">
      <c r="A2132" s="55">
        <v>2131</v>
      </c>
      <c r="B2132" s="12" t="s">
        <v>7067</v>
      </c>
      <c r="C2132" s="156">
        <v>97</v>
      </c>
      <c r="D2132" s="58" t="s">
        <v>4135</v>
      </c>
      <c r="E2132" s="93" t="s">
        <v>2086</v>
      </c>
      <c r="F2132" s="93"/>
      <c r="G2132" s="58"/>
      <c r="H2132" s="59">
        <v>2000</v>
      </c>
      <c r="I2132" s="58">
        <v>1994</v>
      </c>
      <c r="J2132" s="59" t="s">
        <v>2003</v>
      </c>
      <c r="K2132" s="59" t="s">
        <v>2087</v>
      </c>
      <c r="L2132" s="59" t="s">
        <v>2738</v>
      </c>
      <c r="M2132" s="94">
        <v>46.58</v>
      </c>
      <c r="N2132" s="94">
        <v>-71.23</v>
      </c>
      <c r="O2132" s="93">
        <v>132.1</v>
      </c>
      <c r="P2132" s="59"/>
      <c r="Q2132" s="59"/>
      <c r="R2132" s="58"/>
      <c r="S2132" s="94"/>
      <c r="T2132" s="58"/>
      <c r="U2132" s="58">
        <v>2</v>
      </c>
      <c r="V2132" s="59">
        <v>4</v>
      </c>
      <c r="W2132" s="174"/>
      <c r="X2132" s="174"/>
      <c r="Y2132" s="58" t="s">
        <v>2230</v>
      </c>
      <c r="Z2132" s="59" t="s">
        <v>1346</v>
      </c>
      <c r="AA2132" s="94">
        <v>20</v>
      </c>
      <c r="AB2132" s="67"/>
      <c r="AC2132" s="67"/>
      <c r="AD2132" s="94">
        <v>1.6087</v>
      </c>
      <c r="AE2132" s="93">
        <v>27</v>
      </c>
      <c r="AF2132" s="93">
        <v>49</v>
      </c>
      <c r="AG2132" s="93"/>
      <c r="AH2132" s="58" t="s">
        <v>139</v>
      </c>
      <c r="AI2132" s="169"/>
      <c r="AJ2132" s="94"/>
      <c r="AK2132" s="94"/>
      <c r="AL2132" s="58"/>
      <c r="AM2132" s="59" t="s">
        <v>2088</v>
      </c>
      <c r="AN2132" s="188" t="s">
        <v>2089</v>
      </c>
      <c r="AO2132" s="185" t="s">
        <v>5150</v>
      </c>
      <c r="AP2132" s="59"/>
      <c r="AQ2132" s="58" t="s">
        <v>553</v>
      </c>
      <c r="AR2132" s="59" t="s">
        <v>2090</v>
      </c>
      <c r="AS2132" s="58" t="s">
        <v>116</v>
      </c>
      <c r="AT2132" s="182"/>
      <c r="AU2132" s="181" t="s">
        <v>7494</v>
      </c>
      <c r="AV2132" s="185" t="s">
        <v>176</v>
      </c>
      <c r="AW2132" s="58"/>
      <c r="AX2132" s="185" t="s">
        <v>176</v>
      </c>
      <c r="AY2132" s="58"/>
      <c r="AZ2132" s="59" t="s">
        <v>1976</v>
      </c>
      <c r="BA2132" s="59" t="s">
        <v>1976</v>
      </c>
      <c r="BB2132" s="59" t="s">
        <v>2081</v>
      </c>
      <c r="BC2132" s="59" t="s">
        <v>2081</v>
      </c>
      <c r="BD2132" s="58" t="s">
        <v>176</v>
      </c>
      <c r="BE2132" s="240" t="s">
        <v>2231</v>
      </c>
      <c r="BF2132" s="191" t="s">
        <v>479</v>
      </c>
      <c r="BG2132" s="191" t="s">
        <v>479</v>
      </c>
      <c r="BH2132" s="240" t="s">
        <v>2231</v>
      </c>
      <c r="BI2132" s="191" t="s">
        <v>479</v>
      </c>
      <c r="BJ2132" s="58" t="s">
        <v>176</v>
      </c>
      <c r="BK2132" s="58" t="s">
        <v>5976</v>
      </c>
      <c r="BL2132" s="58"/>
      <c r="BM2132" s="241" t="s">
        <v>160</v>
      </c>
      <c r="BN2132" s="58">
        <v>3</v>
      </c>
      <c r="BO2132" s="58">
        <v>3</v>
      </c>
      <c r="BP2132" s="59">
        <v>10</v>
      </c>
      <c r="BQ2132" s="58" t="s">
        <v>141</v>
      </c>
      <c r="BR2132" s="58"/>
      <c r="BS2132" s="58"/>
      <c r="BT2132" s="58"/>
      <c r="BU2132" s="58"/>
      <c r="BV2132" s="58"/>
      <c r="BW2132" s="67"/>
      <c r="BX2132" s="67"/>
      <c r="BY2132" s="67"/>
      <c r="BZ2132" s="67"/>
      <c r="CA2132" s="67"/>
      <c r="CB2132" s="153">
        <v>1827</v>
      </c>
      <c r="CC2132" s="68">
        <v>2348</v>
      </c>
      <c r="CD2132" s="68"/>
      <c r="CE2132" s="67"/>
      <c r="CF2132" s="67"/>
      <c r="CG2132" s="67" t="s">
        <v>545</v>
      </c>
      <c r="CH2132" s="94"/>
      <c r="CI2132" s="94"/>
      <c r="CJ2132" s="67"/>
      <c r="CK2132" s="67"/>
      <c r="CL2132" s="67"/>
      <c r="CM2132" s="69"/>
      <c r="CN2132" s="69"/>
      <c r="CO2132" s="67"/>
      <c r="CP2132" s="67"/>
      <c r="CQ2132" s="67"/>
      <c r="CR2132" s="69"/>
      <c r="CS2132" s="69"/>
      <c r="CT2132" s="67"/>
      <c r="CU2132" s="67"/>
      <c r="CV2132" s="67"/>
      <c r="CW2132" s="67"/>
      <c r="CX2132" s="67"/>
      <c r="CY2132" s="67"/>
      <c r="CZ2132" s="67"/>
      <c r="DA2132" s="67"/>
      <c r="DB2132" s="67"/>
      <c r="DC2132" s="67"/>
      <c r="DD2132" s="67"/>
      <c r="DE2132" s="67"/>
      <c r="DF2132" s="67"/>
      <c r="DG2132" s="67"/>
      <c r="DH2132" s="67"/>
      <c r="DI2132" s="67"/>
      <c r="DJ2132" s="67"/>
      <c r="DK2132" s="67"/>
      <c r="DL2132" s="67"/>
      <c r="DM2132" s="67"/>
      <c r="DN2132" s="67"/>
      <c r="DO2132" s="67"/>
      <c r="DP2132" s="67"/>
      <c r="DQ2132" s="166"/>
      <c r="DR2132" s="166"/>
      <c r="DS2132" s="163"/>
      <c r="DT2132" s="163"/>
      <c r="DU2132" s="67"/>
      <c r="DV2132" s="67"/>
      <c r="DW2132" s="67"/>
      <c r="DX2132" s="67"/>
      <c r="DY2132" s="67"/>
      <c r="DZ2132" s="67"/>
      <c r="EA2132" s="67"/>
      <c r="EB2132" s="67"/>
      <c r="EC2132" s="67"/>
      <c r="ED2132" s="67"/>
      <c r="EE2132" s="67"/>
      <c r="EF2132" s="67"/>
      <c r="EG2132" s="67"/>
      <c r="EH2132" s="67"/>
      <c r="EI2132" s="67"/>
      <c r="EJ2132" s="67"/>
      <c r="EK2132" s="94"/>
      <c r="EL2132" s="94"/>
      <c r="EM2132" s="67"/>
      <c r="EN2132" s="67"/>
      <c r="EO2132" s="67"/>
      <c r="EP2132" s="67"/>
      <c r="EQ2132" s="67"/>
      <c r="ER2132" s="67"/>
      <c r="ES2132" s="67"/>
      <c r="ET2132" s="67"/>
      <c r="EU2132" s="67"/>
      <c r="EV2132" s="67"/>
      <c r="EW2132" s="67"/>
      <c r="EX2132" s="67"/>
      <c r="EY2132" s="67"/>
      <c r="EZ2132" s="67"/>
      <c r="FA2132" s="67"/>
      <c r="FB2132" s="67"/>
      <c r="FC2132" s="67"/>
      <c r="FD2132" s="67"/>
      <c r="FE2132" s="67"/>
      <c r="FF2132" s="67"/>
      <c r="FG2132" s="67"/>
      <c r="FH2132" s="67"/>
      <c r="FI2132" s="67"/>
      <c r="FJ2132" s="67"/>
      <c r="FK2132" s="67"/>
      <c r="FL2132" s="67"/>
      <c r="FM2132" s="67"/>
      <c r="FN2132" s="67"/>
      <c r="FO2132" s="67"/>
      <c r="FP2132" s="67"/>
      <c r="FQ2132" s="67"/>
      <c r="FR2132" s="67"/>
      <c r="FS2132" s="67"/>
      <c r="FT2132" s="67"/>
      <c r="FU2132" s="67"/>
      <c r="FV2132" s="67"/>
      <c r="FW2132" s="67"/>
      <c r="FX2132" s="67"/>
      <c r="FY2132" s="67"/>
      <c r="FZ2132" s="67"/>
      <c r="GA2132" s="67"/>
      <c r="GB2132" s="67"/>
      <c r="GC2132" s="67"/>
      <c r="GD2132" s="67"/>
      <c r="GE2132" s="67"/>
      <c r="GF2132" s="67"/>
      <c r="GG2132" s="67"/>
      <c r="GH2132" s="67"/>
      <c r="GI2132" s="67"/>
      <c r="GJ2132" s="67"/>
      <c r="GK2132" s="67"/>
      <c r="GL2132" s="67"/>
      <c r="GM2132" s="67"/>
      <c r="GN2132" s="292"/>
      <c r="GO2132" s="292"/>
      <c r="GP2132" s="292" t="s">
        <v>7494</v>
      </c>
      <c r="GQ2132" s="67"/>
      <c r="GR2132" s="67"/>
      <c r="GS2132" s="67"/>
      <c r="GT2132" s="67"/>
      <c r="GU2132" s="67"/>
      <c r="GV2132" s="67"/>
      <c r="GW2132" s="67"/>
      <c r="GX2132" s="67"/>
      <c r="GY2132" s="67"/>
      <c r="GZ2132" s="67"/>
      <c r="HA2132" s="67"/>
      <c r="HB2132" s="67"/>
      <c r="HC2132" s="67"/>
      <c r="HD2132" s="67"/>
      <c r="HE2132" s="67"/>
      <c r="HF2132" s="67"/>
      <c r="HG2132" s="67"/>
      <c r="HH2132" s="67"/>
      <c r="HI2132" s="67"/>
      <c r="HJ2132" s="67"/>
      <c r="HK2132" s="67"/>
      <c r="HL2132" s="67"/>
      <c r="HM2132" s="67"/>
      <c r="HN2132" s="67"/>
      <c r="HO2132" s="67"/>
      <c r="HP2132" s="67"/>
      <c r="HQ2132" s="67"/>
      <c r="HR2132" s="67"/>
      <c r="HS2132" s="67"/>
      <c r="HT2132" s="67"/>
      <c r="HU2132" s="67"/>
      <c r="HV2132" s="67"/>
      <c r="HW2132" s="67"/>
      <c r="HX2132" s="67"/>
      <c r="HY2132" s="67"/>
      <c r="HZ2132" s="67"/>
      <c r="IA2132" s="67"/>
      <c r="IB2132" s="67"/>
      <c r="IC2132" s="67">
        <v>142</v>
      </c>
      <c r="ID2132" s="67">
        <v>158</v>
      </c>
      <c r="IE2132" s="67">
        <v>9.4</v>
      </c>
      <c r="IF2132" s="67">
        <v>10.7</v>
      </c>
      <c r="IG2132" s="67" t="s">
        <v>2234</v>
      </c>
      <c r="IH2132" s="67"/>
      <c r="II2132" s="67"/>
      <c r="IJ2132" s="67"/>
      <c r="IK2132" s="67"/>
      <c r="IL2132" s="67"/>
      <c r="IM2132" s="67"/>
      <c r="IN2132" s="67"/>
      <c r="IO2132" s="67"/>
      <c r="IP2132" s="67"/>
      <c r="IQ2132" s="67"/>
      <c r="IR2132" s="67"/>
      <c r="IS2132" s="67"/>
      <c r="IT2132" s="67"/>
      <c r="IU2132" s="67"/>
      <c r="IV2132" s="67"/>
      <c r="IW2132" s="67"/>
      <c r="IX2132" s="67"/>
      <c r="IY2132" s="67"/>
      <c r="IZ2132" s="67"/>
      <c r="JA2132" s="67"/>
      <c r="JB2132" s="67"/>
      <c r="JC2132" s="67"/>
      <c r="JD2132" s="67"/>
      <c r="JE2132" s="67"/>
      <c r="JF2132" s="67"/>
      <c r="JG2132" s="67"/>
      <c r="JH2132" s="67"/>
      <c r="JI2132" s="67"/>
      <c r="JJ2132" s="67"/>
      <c r="JK2132" s="67"/>
      <c r="JL2132" s="67"/>
      <c r="JM2132" s="67"/>
      <c r="JN2132" s="67"/>
      <c r="JO2132" s="67"/>
      <c r="JP2132" s="67"/>
      <c r="JQ2132" s="67"/>
      <c r="JR2132" s="67"/>
      <c r="JS2132" s="67"/>
      <c r="JT2132" s="67"/>
      <c r="JU2132" s="58"/>
      <c r="JV2132" s="58"/>
      <c r="JW2132" s="58"/>
    </row>
    <row r="2133" spans="1:283" s="23" customFormat="1" x14ac:dyDescent="0.25">
      <c r="A2133" s="55">
        <v>2132</v>
      </c>
      <c r="B2133" s="12" t="s">
        <v>7067</v>
      </c>
      <c r="C2133" s="156">
        <v>97</v>
      </c>
      <c r="D2133" s="58" t="s">
        <v>4136</v>
      </c>
      <c r="E2133" s="93" t="s">
        <v>2086</v>
      </c>
      <c r="F2133" s="93"/>
      <c r="G2133" s="58"/>
      <c r="H2133" s="59">
        <v>2000</v>
      </c>
      <c r="I2133" s="58">
        <v>1994</v>
      </c>
      <c r="J2133" s="59" t="s">
        <v>2003</v>
      </c>
      <c r="K2133" s="59" t="s">
        <v>2087</v>
      </c>
      <c r="L2133" s="59" t="s">
        <v>2738</v>
      </c>
      <c r="M2133" s="94">
        <v>46.58</v>
      </c>
      <c r="N2133" s="94">
        <v>-71.23</v>
      </c>
      <c r="O2133" s="93">
        <v>132.1</v>
      </c>
      <c r="P2133" s="59"/>
      <c r="Q2133" s="59"/>
      <c r="R2133" s="58"/>
      <c r="S2133" s="94"/>
      <c r="T2133" s="58"/>
      <c r="U2133" s="58">
        <v>2</v>
      </c>
      <c r="V2133" s="59">
        <v>4</v>
      </c>
      <c r="W2133" s="174"/>
      <c r="X2133" s="174"/>
      <c r="Y2133" s="58" t="s">
        <v>2230</v>
      </c>
      <c r="Z2133" s="59" t="s">
        <v>1346</v>
      </c>
      <c r="AA2133" s="94">
        <v>20</v>
      </c>
      <c r="AB2133" s="67"/>
      <c r="AC2133" s="67"/>
      <c r="AD2133" s="94">
        <v>1.6087</v>
      </c>
      <c r="AE2133" s="93">
        <v>27</v>
      </c>
      <c r="AF2133" s="93">
        <v>49</v>
      </c>
      <c r="AG2133" s="93"/>
      <c r="AH2133" s="58" t="s">
        <v>139</v>
      </c>
      <c r="AI2133" s="169"/>
      <c r="AJ2133" s="94"/>
      <c r="AK2133" s="94"/>
      <c r="AL2133" s="58"/>
      <c r="AM2133" s="59" t="s">
        <v>2088</v>
      </c>
      <c r="AN2133" s="188" t="s">
        <v>2092</v>
      </c>
      <c r="AO2133" s="185" t="s">
        <v>5150</v>
      </c>
      <c r="AP2133" s="59"/>
      <c r="AQ2133" s="58" t="s">
        <v>1545</v>
      </c>
      <c r="AR2133" s="59" t="s">
        <v>2090</v>
      </c>
      <c r="AS2133" s="58" t="s">
        <v>116</v>
      </c>
      <c r="AT2133" s="182"/>
      <c r="AU2133" s="181" t="s">
        <v>7494</v>
      </c>
      <c r="AV2133" s="185" t="s">
        <v>176</v>
      </c>
      <c r="AW2133" s="58"/>
      <c r="AX2133" s="185" t="s">
        <v>176</v>
      </c>
      <c r="AY2133" s="58"/>
      <c r="AZ2133" s="59" t="s">
        <v>1976</v>
      </c>
      <c r="BA2133" s="59" t="s">
        <v>1976</v>
      </c>
      <c r="BB2133" s="59" t="s">
        <v>2081</v>
      </c>
      <c r="BC2133" s="59" t="s">
        <v>2081</v>
      </c>
      <c r="BD2133" s="58" t="s">
        <v>176</v>
      </c>
      <c r="BE2133" s="240" t="s">
        <v>2231</v>
      </c>
      <c r="BF2133" s="191" t="s">
        <v>479</v>
      </c>
      <c r="BG2133" s="191" t="s">
        <v>479</v>
      </c>
      <c r="BH2133" s="240" t="s">
        <v>2231</v>
      </c>
      <c r="BI2133" s="191" t="s">
        <v>479</v>
      </c>
      <c r="BJ2133" s="58" t="s">
        <v>176</v>
      </c>
      <c r="BK2133" s="58" t="s">
        <v>5976</v>
      </c>
      <c r="BL2133" s="58"/>
      <c r="BM2133" s="241" t="s">
        <v>160</v>
      </c>
      <c r="BN2133" s="58">
        <v>3</v>
      </c>
      <c r="BO2133" s="58">
        <v>3</v>
      </c>
      <c r="BP2133" s="59">
        <v>10</v>
      </c>
      <c r="BQ2133" s="58" t="s">
        <v>141</v>
      </c>
      <c r="BR2133" s="58"/>
      <c r="BS2133" s="58"/>
      <c r="BT2133" s="58"/>
      <c r="BU2133" s="58"/>
      <c r="BV2133" s="58"/>
      <c r="BW2133" s="67"/>
      <c r="BX2133" s="67"/>
      <c r="BY2133" s="67"/>
      <c r="BZ2133" s="67"/>
      <c r="CA2133" s="67"/>
      <c r="CB2133" s="153">
        <v>1827</v>
      </c>
      <c r="CC2133" s="68">
        <v>3050</v>
      </c>
      <c r="CD2133" s="68"/>
      <c r="CE2133" s="67"/>
      <c r="CF2133" s="67"/>
      <c r="CG2133" s="67" t="s">
        <v>545</v>
      </c>
      <c r="CH2133" s="94"/>
      <c r="CI2133" s="94"/>
      <c r="CJ2133" s="67"/>
      <c r="CK2133" s="67"/>
      <c r="CL2133" s="67"/>
      <c r="CM2133" s="69"/>
      <c r="CN2133" s="69"/>
      <c r="CO2133" s="67"/>
      <c r="CP2133" s="67"/>
      <c r="CQ2133" s="67"/>
      <c r="CR2133" s="69"/>
      <c r="CS2133" s="69"/>
      <c r="CT2133" s="67"/>
      <c r="CU2133" s="67"/>
      <c r="CV2133" s="67"/>
      <c r="CW2133" s="67"/>
      <c r="CX2133" s="67"/>
      <c r="CY2133" s="67"/>
      <c r="CZ2133" s="67"/>
      <c r="DA2133" s="67"/>
      <c r="DB2133" s="67"/>
      <c r="DC2133" s="67"/>
      <c r="DD2133" s="67"/>
      <c r="DE2133" s="67"/>
      <c r="DF2133" s="67"/>
      <c r="DG2133" s="67"/>
      <c r="DH2133" s="67"/>
      <c r="DI2133" s="67"/>
      <c r="DJ2133" s="67"/>
      <c r="DK2133" s="67"/>
      <c r="DL2133" s="67"/>
      <c r="DM2133" s="67"/>
      <c r="DN2133" s="67"/>
      <c r="DO2133" s="67"/>
      <c r="DP2133" s="67"/>
      <c r="DQ2133" s="166"/>
      <c r="DR2133" s="166"/>
      <c r="DS2133" s="163"/>
      <c r="DT2133" s="163"/>
      <c r="DU2133" s="67"/>
      <c r="DV2133" s="67"/>
      <c r="DW2133" s="67"/>
      <c r="DX2133" s="67"/>
      <c r="DY2133" s="67"/>
      <c r="DZ2133" s="67"/>
      <c r="EA2133" s="67"/>
      <c r="EB2133" s="67"/>
      <c r="EC2133" s="67"/>
      <c r="ED2133" s="67"/>
      <c r="EE2133" s="67"/>
      <c r="EF2133" s="67"/>
      <c r="EG2133" s="67"/>
      <c r="EH2133" s="67"/>
      <c r="EI2133" s="67"/>
      <c r="EJ2133" s="67"/>
      <c r="EK2133" s="94"/>
      <c r="EL2133" s="94"/>
      <c r="EM2133" s="67"/>
      <c r="EN2133" s="67"/>
      <c r="EO2133" s="67"/>
      <c r="EP2133" s="67"/>
      <c r="EQ2133" s="67"/>
      <c r="ER2133" s="67"/>
      <c r="ES2133" s="67"/>
      <c r="ET2133" s="67"/>
      <c r="EU2133" s="67"/>
      <c r="EV2133" s="67"/>
      <c r="EW2133" s="67"/>
      <c r="EX2133" s="67"/>
      <c r="EY2133" s="67"/>
      <c r="EZ2133" s="67"/>
      <c r="FA2133" s="67"/>
      <c r="FB2133" s="67"/>
      <c r="FC2133" s="67"/>
      <c r="FD2133" s="67"/>
      <c r="FE2133" s="67"/>
      <c r="FF2133" s="67"/>
      <c r="FG2133" s="67"/>
      <c r="FH2133" s="67"/>
      <c r="FI2133" s="67"/>
      <c r="FJ2133" s="67"/>
      <c r="FK2133" s="67"/>
      <c r="FL2133" s="67"/>
      <c r="FM2133" s="67"/>
      <c r="FN2133" s="67"/>
      <c r="FO2133" s="67"/>
      <c r="FP2133" s="67"/>
      <c r="FQ2133" s="67"/>
      <c r="FR2133" s="67"/>
      <c r="FS2133" s="67"/>
      <c r="FT2133" s="67"/>
      <c r="FU2133" s="67"/>
      <c r="FV2133" s="67"/>
      <c r="FW2133" s="67"/>
      <c r="FX2133" s="67"/>
      <c r="FY2133" s="67"/>
      <c r="FZ2133" s="67"/>
      <c r="GA2133" s="67"/>
      <c r="GB2133" s="67"/>
      <c r="GC2133" s="67"/>
      <c r="GD2133" s="67"/>
      <c r="GE2133" s="67"/>
      <c r="GF2133" s="67"/>
      <c r="GG2133" s="67"/>
      <c r="GH2133" s="67"/>
      <c r="GI2133" s="67"/>
      <c r="GJ2133" s="67"/>
      <c r="GK2133" s="67"/>
      <c r="GL2133" s="67"/>
      <c r="GM2133" s="67"/>
      <c r="GN2133" s="292"/>
      <c r="GO2133" s="292"/>
      <c r="GP2133" s="292" t="s">
        <v>7494</v>
      </c>
      <c r="GQ2133" s="67"/>
      <c r="GR2133" s="67"/>
      <c r="GS2133" s="67"/>
      <c r="GT2133" s="67"/>
      <c r="GU2133" s="67"/>
      <c r="GV2133" s="67"/>
      <c r="GW2133" s="67"/>
      <c r="GX2133" s="67"/>
      <c r="GY2133" s="67"/>
      <c r="GZ2133" s="67"/>
      <c r="HA2133" s="67"/>
      <c r="HB2133" s="67"/>
      <c r="HC2133" s="67"/>
      <c r="HD2133" s="67"/>
      <c r="HE2133" s="67"/>
      <c r="HF2133" s="67"/>
      <c r="HG2133" s="67"/>
      <c r="HH2133" s="67"/>
      <c r="HI2133" s="67"/>
      <c r="HJ2133" s="67"/>
      <c r="HK2133" s="67"/>
      <c r="HL2133" s="67"/>
      <c r="HM2133" s="67"/>
      <c r="HN2133" s="67"/>
      <c r="HO2133" s="67"/>
      <c r="HP2133" s="67"/>
      <c r="HQ2133" s="67"/>
      <c r="HR2133" s="67"/>
      <c r="HS2133" s="67"/>
      <c r="HT2133" s="67"/>
      <c r="HU2133" s="67"/>
      <c r="HV2133" s="67"/>
      <c r="HW2133" s="67"/>
      <c r="HX2133" s="67"/>
      <c r="HY2133" s="67"/>
      <c r="HZ2133" s="67"/>
      <c r="IA2133" s="67"/>
      <c r="IB2133" s="67"/>
      <c r="IC2133" s="67">
        <v>142</v>
      </c>
      <c r="ID2133" s="67">
        <v>170</v>
      </c>
      <c r="IE2133" s="67">
        <v>9.4</v>
      </c>
      <c r="IF2133" s="67">
        <v>13.9</v>
      </c>
      <c r="IG2133" s="67" t="s">
        <v>2234</v>
      </c>
      <c r="IH2133" s="67"/>
      <c r="II2133" s="67"/>
      <c r="IJ2133" s="67"/>
      <c r="IK2133" s="67"/>
      <c r="IL2133" s="67"/>
      <c r="IM2133" s="67"/>
      <c r="IN2133" s="67"/>
      <c r="IO2133" s="67"/>
      <c r="IP2133" s="67"/>
      <c r="IQ2133" s="67"/>
      <c r="IR2133" s="67"/>
      <c r="IS2133" s="67"/>
      <c r="IT2133" s="67"/>
      <c r="IU2133" s="67"/>
      <c r="IV2133" s="67"/>
      <c r="IW2133" s="67"/>
      <c r="IX2133" s="67"/>
      <c r="IY2133" s="67"/>
      <c r="IZ2133" s="67"/>
      <c r="JA2133" s="67"/>
      <c r="JB2133" s="67"/>
      <c r="JC2133" s="67"/>
      <c r="JD2133" s="67"/>
      <c r="JE2133" s="67"/>
      <c r="JF2133" s="67"/>
      <c r="JG2133" s="67"/>
      <c r="JH2133" s="67"/>
      <c r="JI2133" s="67"/>
      <c r="JJ2133" s="67"/>
      <c r="JK2133" s="67"/>
      <c r="JL2133" s="67"/>
      <c r="JM2133" s="67"/>
      <c r="JN2133" s="67"/>
      <c r="JO2133" s="67"/>
      <c r="JP2133" s="67"/>
      <c r="JQ2133" s="67"/>
      <c r="JR2133" s="67"/>
      <c r="JS2133" s="67"/>
      <c r="JT2133" s="67"/>
      <c r="JU2133" s="58"/>
      <c r="JV2133" s="58"/>
      <c r="JW2133" s="58"/>
    </row>
    <row r="2134" spans="1:283" s="23" customFormat="1" x14ac:dyDescent="0.25">
      <c r="A2134" s="55">
        <v>2133</v>
      </c>
      <c r="B2134" s="12" t="s">
        <v>7067</v>
      </c>
      <c r="C2134" s="156">
        <v>97</v>
      </c>
      <c r="D2134" s="58" t="s">
        <v>4136</v>
      </c>
      <c r="E2134" s="93" t="s">
        <v>2086</v>
      </c>
      <c r="F2134" s="93"/>
      <c r="G2134" s="58"/>
      <c r="H2134" s="59">
        <v>2000</v>
      </c>
      <c r="I2134" s="58">
        <v>1994</v>
      </c>
      <c r="J2134" s="59" t="s">
        <v>2003</v>
      </c>
      <c r="K2134" s="59" t="s">
        <v>2087</v>
      </c>
      <c r="L2134" s="59" t="s">
        <v>2738</v>
      </c>
      <c r="M2134" s="94">
        <v>46.58</v>
      </c>
      <c r="N2134" s="94">
        <v>-71.23</v>
      </c>
      <c r="O2134" s="93">
        <v>132.1</v>
      </c>
      <c r="P2134" s="59"/>
      <c r="Q2134" s="59"/>
      <c r="R2134" s="58"/>
      <c r="S2134" s="94"/>
      <c r="T2134" s="58"/>
      <c r="U2134" s="58">
        <v>2</v>
      </c>
      <c r="V2134" s="59">
        <v>4</v>
      </c>
      <c r="W2134" s="174"/>
      <c r="X2134" s="174"/>
      <c r="Y2134" s="58" t="s">
        <v>2230</v>
      </c>
      <c r="Z2134" s="59" t="s">
        <v>1346</v>
      </c>
      <c r="AA2134" s="94">
        <v>20</v>
      </c>
      <c r="AB2134" s="67"/>
      <c r="AC2134" s="67"/>
      <c r="AD2134" s="94">
        <v>1.6087</v>
      </c>
      <c r="AE2134" s="93">
        <v>27</v>
      </c>
      <c r="AF2134" s="93">
        <v>49</v>
      </c>
      <c r="AG2134" s="93"/>
      <c r="AH2134" s="58" t="s">
        <v>139</v>
      </c>
      <c r="AI2134" s="169"/>
      <c r="AJ2134" s="94"/>
      <c r="AK2134" s="94"/>
      <c r="AL2134" s="58"/>
      <c r="AM2134" s="59" t="s">
        <v>2088</v>
      </c>
      <c r="AN2134" s="188" t="s">
        <v>2093</v>
      </c>
      <c r="AO2134" s="185" t="s">
        <v>5150</v>
      </c>
      <c r="AP2134" s="59"/>
      <c r="AQ2134" s="58" t="s">
        <v>1545</v>
      </c>
      <c r="AR2134" s="59" t="s">
        <v>2090</v>
      </c>
      <c r="AS2134" s="58" t="s">
        <v>116</v>
      </c>
      <c r="AT2134" s="182"/>
      <c r="AU2134" s="181" t="s">
        <v>7494</v>
      </c>
      <c r="AV2134" s="185" t="s">
        <v>176</v>
      </c>
      <c r="AW2134" s="58"/>
      <c r="AX2134" s="185" t="s">
        <v>176</v>
      </c>
      <c r="AY2134" s="58"/>
      <c r="AZ2134" s="59" t="s">
        <v>1976</v>
      </c>
      <c r="BA2134" s="59" t="s">
        <v>1976</v>
      </c>
      <c r="BB2134" s="59" t="s">
        <v>2081</v>
      </c>
      <c r="BC2134" s="59" t="s">
        <v>2081</v>
      </c>
      <c r="BD2134" s="58" t="s">
        <v>176</v>
      </c>
      <c r="BE2134" s="240" t="s">
        <v>2231</v>
      </c>
      <c r="BF2134" s="191" t="s">
        <v>479</v>
      </c>
      <c r="BG2134" s="191" t="s">
        <v>479</v>
      </c>
      <c r="BH2134" s="240" t="s">
        <v>2231</v>
      </c>
      <c r="BI2134" s="191" t="s">
        <v>479</v>
      </c>
      <c r="BJ2134" s="58" t="s">
        <v>176</v>
      </c>
      <c r="BK2134" s="58" t="s">
        <v>5976</v>
      </c>
      <c r="BL2134" s="58"/>
      <c r="BM2134" s="241" t="s">
        <v>160</v>
      </c>
      <c r="BN2134" s="58">
        <v>3</v>
      </c>
      <c r="BO2134" s="58">
        <v>3</v>
      </c>
      <c r="BP2134" s="59">
        <v>10</v>
      </c>
      <c r="BQ2134" s="58" t="s">
        <v>141</v>
      </c>
      <c r="BR2134" s="58"/>
      <c r="BS2134" s="58"/>
      <c r="BT2134" s="58"/>
      <c r="BU2134" s="58"/>
      <c r="BV2134" s="58"/>
      <c r="BW2134" s="67"/>
      <c r="BX2134" s="67"/>
      <c r="BY2134" s="67"/>
      <c r="BZ2134" s="67"/>
      <c r="CA2134" s="67"/>
      <c r="CB2134" s="153">
        <v>1827</v>
      </c>
      <c r="CC2134" s="68">
        <v>3062</v>
      </c>
      <c r="CD2134" s="68"/>
      <c r="CE2134" s="67"/>
      <c r="CF2134" s="67"/>
      <c r="CG2134" s="67" t="s">
        <v>545</v>
      </c>
      <c r="CH2134" s="94"/>
      <c r="CI2134" s="94"/>
      <c r="CJ2134" s="67"/>
      <c r="CK2134" s="67"/>
      <c r="CL2134" s="67"/>
      <c r="CM2134" s="69"/>
      <c r="CN2134" s="69"/>
      <c r="CO2134" s="67"/>
      <c r="CP2134" s="67"/>
      <c r="CQ2134" s="67"/>
      <c r="CR2134" s="69"/>
      <c r="CS2134" s="69"/>
      <c r="CT2134" s="67"/>
      <c r="CU2134" s="67"/>
      <c r="CV2134" s="67"/>
      <c r="CW2134" s="67"/>
      <c r="CX2134" s="67"/>
      <c r="CY2134" s="67"/>
      <c r="CZ2134" s="67"/>
      <c r="DA2134" s="67"/>
      <c r="DB2134" s="67"/>
      <c r="DC2134" s="67"/>
      <c r="DD2134" s="67"/>
      <c r="DE2134" s="67"/>
      <c r="DF2134" s="67"/>
      <c r="DG2134" s="67"/>
      <c r="DH2134" s="67"/>
      <c r="DI2134" s="67"/>
      <c r="DJ2134" s="67"/>
      <c r="DK2134" s="67"/>
      <c r="DL2134" s="67"/>
      <c r="DM2134" s="67"/>
      <c r="DN2134" s="67"/>
      <c r="DO2134" s="67"/>
      <c r="DP2134" s="67"/>
      <c r="DQ2134" s="166"/>
      <c r="DR2134" s="166"/>
      <c r="DS2134" s="163"/>
      <c r="DT2134" s="163"/>
      <c r="DU2134" s="67"/>
      <c r="DV2134" s="67"/>
      <c r="DW2134" s="67"/>
      <c r="DX2134" s="67"/>
      <c r="DY2134" s="67"/>
      <c r="DZ2134" s="67"/>
      <c r="EA2134" s="67"/>
      <c r="EB2134" s="67"/>
      <c r="EC2134" s="67"/>
      <c r="ED2134" s="67"/>
      <c r="EE2134" s="67"/>
      <c r="EF2134" s="67"/>
      <c r="EG2134" s="67"/>
      <c r="EH2134" s="67"/>
      <c r="EI2134" s="67"/>
      <c r="EJ2134" s="67"/>
      <c r="EK2134" s="94"/>
      <c r="EL2134" s="94"/>
      <c r="EM2134" s="67"/>
      <c r="EN2134" s="67"/>
      <c r="EO2134" s="67"/>
      <c r="EP2134" s="67"/>
      <c r="EQ2134" s="67"/>
      <c r="ER2134" s="67"/>
      <c r="ES2134" s="67"/>
      <c r="ET2134" s="67"/>
      <c r="EU2134" s="67"/>
      <c r="EV2134" s="67"/>
      <c r="EW2134" s="67"/>
      <c r="EX2134" s="67"/>
      <c r="EY2134" s="67"/>
      <c r="EZ2134" s="67"/>
      <c r="FA2134" s="67"/>
      <c r="FB2134" s="67"/>
      <c r="FC2134" s="67"/>
      <c r="FD2134" s="67"/>
      <c r="FE2134" s="67"/>
      <c r="FF2134" s="67"/>
      <c r="FG2134" s="67"/>
      <c r="FH2134" s="67"/>
      <c r="FI2134" s="67"/>
      <c r="FJ2134" s="67"/>
      <c r="FK2134" s="67"/>
      <c r="FL2134" s="67"/>
      <c r="FM2134" s="67"/>
      <c r="FN2134" s="67"/>
      <c r="FO2134" s="67"/>
      <c r="FP2134" s="67"/>
      <c r="FQ2134" s="67"/>
      <c r="FR2134" s="67"/>
      <c r="FS2134" s="67"/>
      <c r="FT2134" s="67"/>
      <c r="FU2134" s="67"/>
      <c r="FV2134" s="67"/>
      <c r="FW2134" s="67"/>
      <c r="FX2134" s="67"/>
      <c r="FY2134" s="67"/>
      <c r="FZ2134" s="67"/>
      <c r="GA2134" s="67"/>
      <c r="GB2134" s="67"/>
      <c r="GC2134" s="67"/>
      <c r="GD2134" s="67"/>
      <c r="GE2134" s="67"/>
      <c r="GF2134" s="67"/>
      <c r="GG2134" s="67"/>
      <c r="GH2134" s="67"/>
      <c r="GI2134" s="67"/>
      <c r="GJ2134" s="67"/>
      <c r="GK2134" s="67"/>
      <c r="GL2134" s="67"/>
      <c r="GM2134" s="67"/>
      <c r="GN2134" s="292"/>
      <c r="GO2134" s="292"/>
      <c r="GP2134" s="292" t="s">
        <v>7494</v>
      </c>
      <c r="GQ2134" s="67"/>
      <c r="GR2134" s="67"/>
      <c r="GS2134" s="67"/>
      <c r="GT2134" s="67"/>
      <c r="GU2134" s="67"/>
      <c r="GV2134" s="67"/>
      <c r="GW2134" s="67"/>
      <c r="GX2134" s="67"/>
      <c r="GY2134" s="67"/>
      <c r="GZ2134" s="67"/>
      <c r="HA2134" s="67"/>
      <c r="HB2134" s="67"/>
      <c r="HC2134" s="67"/>
      <c r="HD2134" s="67"/>
      <c r="HE2134" s="67"/>
      <c r="HF2134" s="67"/>
      <c r="HG2134" s="67"/>
      <c r="HH2134" s="67"/>
      <c r="HI2134" s="67"/>
      <c r="HJ2134" s="67"/>
      <c r="HK2134" s="67"/>
      <c r="HL2134" s="67"/>
      <c r="HM2134" s="67"/>
      <c r="HN2134" s="67"/>
      <c r="HO2134" s="67"/>
      <c r="HP2134" s="67"/>
      <c r="HQ2134" s="67"/>
      <c r="HR2134" s="67"/>
      <c r="HS2134" s="67"/>
      <c r="HT2134" s="67"/>
      <c r="HU2134" s="67"/>
      <c r="HV2134" s="67"/>
      <c r="HW2134" s="67"/>
      <c r="HX2134" s="67"/>
      <c r="HY2134" s="67"/>
      <c r="HZ2134" s="67"/>
      <c r="IA2134" s="67"/>
      <c r="IB2134" s="67"/>
      <c r="IC2134" s="67">
        <v>142</v>
      </c>
      <c r="ID2134" s="67">
        <v>134</v>
      </c>
      <c r="IE2134" s="67">
        <v>9.4</v>
      </c>
      <c r="IF2134" s="67">
        <v>10.6</v>
      </c>
      <c r="IG2134" s="67" t="s">
        <v>2234</v>
      </c>
      <c r="IH2134" s="67"/>
      <c r="II2134" s="67"/>
      <c r="IJ2134" s="67"/>
      <c r="IK2134" s="67"/>
      <c r="IL2134" s="67"/>
      <c r="IM2134" s="67"/>
      <c r="IN2134" s="67"/>
      <c r="IO2134" s="67"/>
      <c r="IP2134" s="67"/>
      <c r="IQ2134" s="67"/>
      <c r="IR2134" s="67"/>
      <c r="IS2134" s="67"/>
      <c r="IT2134" s="67"/>
      <c r="IU2134" s="67"/>
      <c r="IV2134" s="67"/>
      <c r="IW2134" s="67"/>
      <c r="IX2134" s="67"/>
      <c r="IY2134" s="67"/>
      <c r="IZ2134" s="67"/>
      <c r="JA2134" s="67"/>
      <c r="JB2134" s="67"/>
      <c r="JC2134" s="67"/>
      <c r="JD2134" s="67"/>
      <c r="JE2134" s="67"/>
      <c r="JF2134" s="67"/>
      <c r="JG2134" s="67"/>
      <c r="JH2134" s="67"/>
      <c r="JI2134" s="67"/>
      <c r="JJ2134" s="67"/>
      <c r="JK2134" s="67"/>
      <c r="JL2134" s="67"/>
      <c r="JM2134" s="67"/>
      <c r="JN2134" s="67"/>
      <c r="JO2134" s="67"/>
      <c r="JP2134" s="67"/>
      <c r="JQ2134" s="67"/>
      <c r="JR2134" s="67"/>
      <c r="JS2134" s="67"/>
      <c r="JT2134" s="67"/>
      <c r="JU2134" s="58"/>
      <c r="JV2134" s="58"/>
      <c r="JW2134" s="58"/>
    </row>
    <row r="2135" spans="1:283" s="23" customFormat="1" x14ac:dyDescent="0.25">
      <c r="A2135" s="55">
        <v>2134</v>
      </c>
      <c r="B2135" s="12" t="s">
        <v>7067</v>
      </c>
      <c r="C2135" s="156">
        <v>97</v>
      </c>
      <c r="D2135" s="58" t="s">
        <v>4137</v>
      </c>
      <c r="E2135" s="93" t="s">
        <v>2086</v>
      </c>
      <c r="F2135" s="93"/>
      <c r="G2135" s="58"/>
      <c r="H2135" s="59">
        <v>2000</v>
      </c>
      <c r="I2135" s="58">
        <v>1994</v>
      </c>
      <c r="J2135" s="59" t="s">
        <v>2003</v>
      </c>
      <c r="K2135" s="59" t="s">
        <v>2087</v>
      </c>
      <c r="L2135" s="59" t="s">
        <v>2738</v>
      </c>
      <c r="M2135" s="94">
        <v>46.58</v>
      </c>
      <c r="N2135" s="94">
        <v>-71.23</v>
      </c>
      <c r="O2135" s="93">
        <v>132.1</v>
      </c>
      <c r="P2135" s="59"/>
      <c r="Q2135" s="59"/>
      <c r="R2135" s="58"/>
      <c r="S2135" s="94"/>
      <c r="T2135" s="58"/>
      <c r="U2135" s="58">
        <v>2</v>
      </c>
      <c r="V2135" s="59">
        <v>4</v>
      </c>
      <c r="W2135" s="174"/>
      <c r="X2135" s="174"/>
      <c r="Y2135" s="58" t="s">
        <v>2230</v>
      </c>
      <c r="Z2135" s="59" t="s">
        <v>1346</v>
      </c>
      <c r="AA2135" s="94">
        <v>20</v>
      </c>
      <c r="AB2135" s="67"/>
      <c r="AC2135" s="67"/>
      <c r="AD2135" s="94">
        <v>1.6087</v>
      </c>
      <c r="AE2135" s="93">
        <v>27</v>
      </c>
      <c r="AF2135" s="93">
        <v>49</v>
      </c>
      <c r="AG2135" s="93"/>
      <c r="AH2135" s="58" t="s">
        <v>139</v>
      </c>
      <c r="AI2135" s="169"/>
      <c r="AJ2135" s="94"/>
      <c r="AK2135" s="94"/>
      <c r="AL2135" s="58"/>
      <c r="AM2135" s="59" t="s">
        <v>2088</v>
      </c>
      <c r="AN2135" s="188" t="s">
        <v>2095</v>
      </c>
      <c r="AO2135" s="185" t="s">
        <v>5150</v>
      </c>
      <c r="AP2135" s="59"/>
      <c r="AQ2135" s="58" t="s">
        <v>1097</v>
      </c>
      <c r="AR2135" s="59" t="s">
        <v>2090</v>
      </c>
      <c r="AS2135" s="58" t="s">
        <v>116</v>
      </c>
      <c r="AT2135" s="182"/>
      <c r="AU2135" s="181" t="s">
        <v>7494</v>
      </c>
      <c r="AV2135" s="185" t="s">
        <v>176</v>
      </c>
      <c r="AW2135" s="58"/>
      <c r="AX2135" s="185" t="s">
        <v>176</v>
      </c>
      <c r="AY2135" s="58"/>
      <c r="AZ2135" s="59" t="s">
        <v>1976</v>
      </c>
      <c r="BA2135" s="59" t="s">
        <v>1976</v>
      </c>
      <c r="BB2135" s="59" t="s">
        <v>2081</v>
      </c>
      <c r="BC2135" s="59" t="s">
        <v>2081</v>
      </c>
      <c r="BD2135" s="58" t="s">
        <v>176</v>
      </c>
      <c r="BE2135" s="240" t="s">
        <v>2231</v>
      </c>
      <c r="BF2135" s="191" t="s">
        <v>479</v>
      </c>
      <c r="BG2135" s="191" t="s">
        <v>479</v>
      </c>
      <c r="BH2135" s="240" t="s">
        <v>2231</v>
      </c>
      <c r="BI2135" s="191" t="s">
        <v>479</v>
      </c>
      <c r="BJ2135" s="58" t="s">
        <v>176</v>
      </c>
      <c r="BK2135" s="58" t="s">
        <v>5976</v>
      </c>
      <c r="BL2135" s="58"/>
      <c r="BM2135" s="241" t="s">
        <v>160</v>
      </c>
      <c r="BN2135" s="58">
        <v>3</v>
      </c>
      <c r="BO2135" s="58">
        <v>3</v>
      </c>
      <c r="BP2135" s="59">
        <v>10</v>
      </c>
      <c r="BQ2135" s="58" t="s">
        <v>141</v>
      </c>
      <c r="BR2135" s="58"/>
      <c r="BS2135" s="58"/>
      <c r="BT2135" s="58"/>
      <c r="BU2135" s="58"/>
      <c r="BV2135" s="58"/>
      <c r="BW2135" s="67"/>
      <c r="BX2135" s="67"/>
      <c r="BY2135" s="67"/>
      <c r="BZ2135" s="67"/>
      <c r="CA2135" s="67"/>
      <c r="CB2135" s="153">
        <v>1827</v>
      </c>
      <c r="CC2135" s="68">
        <v>3163</v>
      </c>
      <c r="CD2135" s="68"/>
      <c r="CE2135" s="67"/>
      <c r="CF2135" s="67"/>
      <c r="CG2135" s="67" t="s">
        <v>545</v>
      </c>
      <c r="CH2135" s="94"/>
      <c r="CI2135" s="94"/>
      <c r="CJ2135" s="67"/>
      <c r="CK2135" s="67"/>
      <c r="CL2135" s="67"/>
      <c r="CM2135" s="69"/>
      <c r="CN2135" s="69"/>
      <c r="CO2135" s="67"/>
      <c r="CP2135" s="67"/>
      <c r="CQ2135" s="67"/>
      <c r="CR2135" s="69"/>
      <c r="CS2135" s="69"/>
      <c r="CT2135" s="67"/>
      <c r="CU2135" s="67"/>
      <c r="CV2135" s="67"/>
      <c r="CW2135" s="67"/>
      <c r="CX2135" s="67"/>
      <c r="CY2135" s="67"/>
      <c r="CZ2135" s="67"/>
      <c r="DA2135" s="67"/>
      <c r="DB2135" s="67"/>
      <c r="DC2135" s="67"/>
      <c r="DD2135" s="67"/>
      <c r="DE2135" s="67"/>
      <c r="DF2135" s="67"/>
      <c r="DG2135" s="67"/>
      <c r="DH2135" s="67"/>
      <c r="DI2135" s="67"/>
      <c r="DJ2135" s="67"/>
      <c r="DK2135" s="67"/>
      <c r="DL2135" s="67"/>
      <c r="DM2135" s="67"/>
      <c r="DN2135" s="67"/>
      <c r="DO2135" s="67"/>
      <c r="DP2135" s="67"/>
      <c r="DQ2135" s="166"/>
      <c r="DR2135" s="166"/>
      <c r="DS2135" s="163"/>
      <c r="DT2135" s="163"/>
      <c r="DU2135" s="67"/>
      <c r="DV2135" s="67"/>
      <c r="DW2135" s="67"/>
      <c r="DX2135" s="67"/>
      <c r="DY2135" s="67"/>
      <c r="DZ2135" s="67"/>
      <c r="EA2135" s="67"/>
      <c r="EB2135" s="67"/>
      <c r="EC2135" s="67"/>
      <c r="ED2135" s="67"/>
      <c r="EE2135" s="67"/>
      <c r="EF2135" s="67"/>
      <c r="EG2135" s="67"/>
      <c r="EH2135" s="67"/>
      <c r="EI2135" s="67"/>
      <c r="EJ2135" s="67"/>
      <c r="EK2135" s="94"/>
      <c r="EL2135" s="94"/>
      <c r="EM2135" s="67"/>
      <c r="EN2135" s="67"/>
      <c r="EO2135" s="67"/>
      <c r="EP2135" s="67"/>
      <c r="EQ2135" s="67"/>
      <c r="ER2135" s="67"/>
      <c r="ES2135" s="67"/>
      <c r="ET2135" s="67"/>
      <c r="EU2135" s="67"/>
      <c r="EV2135" s="67"/>
      <c r="EW2135" s="67"/>
      <c r="EX2135" s="67"/>
      <c r="EY2135" s="67"/>
      <c r="EZ2135" s="67"/>
      <c r="FA2135" s="67"/>
      <c r="FB2135" s="67"/>
      <c r="FC2135" s="67"/>
      <c r="FD2135" s="67"/>
      <c r="FE2135" s="67"/>
      <c r="FF2135" s="67"/>
      <c r="FG2135" s="67"/>
      <c r="FH2135" s="67"/>
      <c r="FI2135" s="67"/>
      <c r="FJ2135" s="67"/>
      <c r="FK2135" s="67"/>
      <c r="FL2135" s="67"/>
      <c r="FM2135" s="67"/>
      <c r="FN2135" s="67"/>
      <c r="FO2135" s="67"/>
      <c r="FP2135" s="67"/>
      <c r="FQ2135" s="67"/>
      <c r="FR2135" s="67"/>
      <c r="FS2135" s="67"/>
      <c r="FT2135" s="67"/>
      <c r="FU2135" s="67"/>
      <c r="FV2135" s="67"/>
      <c r="FW2135" s="67"/>
      <c r="FX2135" s="67"/>
      <c r="FY2135" s="67"/>
      <c r="FZ2135" s="67"/>
      <c r="GA2135" s="67"/>
      <c r="GB2135" s="67"/>
      <c r="GC2135" s="67"/>
      <c r="GD2135" s="67"/>
      <c r="GE2135" s="67"/>
      <c r="GF2135" s="67"/>
      <c r="GG2135" s="67"/>
      <c r="GH2135" s="67"/>
      <c r="GI2135" s="67"/>
      <c r="GJ2135" s="67"/>
      <c r="GK2135" s="67"/>
      <c r="GL2135" s="67"/>
      <c r="GM2135" s="67"/>
      <c r="GN2135" s="292"/>
      <c r="GO2135" s="292"/>
      <c r="GP2135" s="292" t="s">
        <v>7494</v>
      </c>
      <c r="GQ2135" s="67"/>
      <c r="GR2135" s="67"/>
      <c r="GS2135" s="67"/>
      <c r="GT2135" s="67"/>
      <c r="GU2135" s="67"/>
      <c r="GV2135" s="67"/>
      <c r="GW2135" s="67"/>
      <c r="GX2135" s="67"/>
      <c r="GY2135" s="67"/>
      <c r="GZ2135" s="67"/>
      <c r="HA2135" s="67"/>
      <c r="HB2135" s="67"/>
      <c r="HC2135" s="67"/>
      <c r="HD2135" s="67"/>
      <c r="HE2135" s="67"/>
      <c r="HF2135" s="67"/>
      <c r="HG2135" s="67"/>
      <c r="HH2135" s="67"/>
      <c r="HI2135" s="67"/>
      <c r="HJ2135" s="67"/>
      <c r="HK2135" s="67"/>
      <c r="HL2135" s="67"/>
      <c r="HM2135" s="67"/>
      <c r="HN2135" s="67"/>
      <c r="HO2135" s="67"/>
      <c r="HP2135" s="67"/>
      <c r="HQ2135" s="67"/>
      <c r="HR2135" s="67"/>
      <c r="HS2135" s="67"/>
      <c r="HT2135" s="67"/>
      <c r="HU2135" s="67"/>
      <c r="HV2135" s="67"/>
      <c r="HW2135" s="67"/>
      <c r="HX2135" s="67"/>
      <c r="HY2135" s="67"/>
      <c r="HZ2135" s="67"/>
      <c r="IA2135" s="67"/>
      <c r="IB2135" s="67"/>
      <c r="IC2135" s="67">
        <v>142</v>
      </c>
      <c r="ID2135" s="67">
        <v>178</v>
      </c>
      <c r="IE2135" s="67">
        <v>9.4</v>
      </c>
      <c r="IF2135" s="67">
        <v>14.1</v>
      </c>
      <c r="IG2135" s="67" t="s">
        <v>2234</v>
      </c>
      <c r="IH2135" s="67"/>
      <c r="II2135" s="67"/>
      <c r="IJ2135" s="67"/>
      <c r="IK2135" s="67"/>
      <c r="IL2135" s="67"/>
      <c r="IM2135" s="67"/>
      <c r="IN2135" s="67"/>
      <c r="IO2135" s="67"/>
      <c r="IP2135" s="67"/>
      <c r="IQ2135" s="67"/>
      <c r="IR2135" s="67"/>
      <c r="IS2135" s="67"/>
      <c r="IT2135" s="67"/>
      <c r="IU2135" s="67"/>
      <c r="IV2135" s="67"/>
      <c r="IW2135" s="67"/>
      <c r="IX2135" s="67"/>
      <c r="IY2135" s="67"/>
      <c r="IZ2135" s="67"/>
      <c r="JA2135" s="67"/>
      <c r="JB2135" s="67"/>
      <c r="JC2135" s="67"/>
      <c r="JD2135" s="67"/>
      <c r="JE2135" s="67"/>
      <c r="JF2135" s="67"/>
      <c r="JG2135" s="67"/>
      <c r="JH2135" s="67"/>
      <c r="JI2135" s="67"/>
      <c r="JJ2135" s="67"/>
      <c r="JK2135" s="67"/>
      <c r="JL2135" s="67"/>
      <c r="JM2135" s="67"/>
      <c r="JN2135" s="67"/>
      <c r="JO2135" s="67"/>
      <c r="JP2135" s="67"/>
      <c r="JQ2135" s="67"/>
      <c r="JR2135" s="67"/>
      <c r="JS2135" s="67"/>
      <c r="JT2135" s="67"/>
      <c r="JU2135" s="58"/>
      <c r="JV2135" s="58"/>
      <c r="JW2135" s="58"/>
    </row>
    <row r="2136" spans="1:283" s="23" customFormat="1" x14ac:dyDescent="0.25">
      <c r="A2136" s="55">
        <v>2135</v>
      </c>
      <c r="B2136" s="12" t="s">
        <v>7067</v>
      </c>
      <c r="C2136" s="156">
        <v>97</v>
      </c>
      <c r="D2136" s="58" t="s">
        <v>4137</v>
      </c>
      <c r="E2136" s="93" t="s">
        <v>2086</v>
      </c>
      <c r="F2136" s="93"/>
      <c r="G2136" s="58"/>
      <c r="H2136" s="59">
        <v>2000</v>
      </c>
      <c r="I2136" s="58">
        <v>1994</v>
      </c>
      <c r="J2136" s="59" t="s">
        <v>2003</v>
      </c>
      <c r="K2136" s="59" t="s">
        <v>2087</v>
      </c>
      <c r="L2136" s="59" t="s">
        <v>2738</v>
      </c>
      <c r="M2136" s="94">
        <v>46.58</v>
      </c>
      <c r="N2136" s="94">
        <v>-71.23</v>
      </c>
      <c r="O2136" s="93">
        <v>132.1</v>
      </c>
      <c r="P2136" s="59"/>
      <c r="Q2136" s="59"/>
      <c r="R2136" s="58"/>
      <c r="S2136" s="94"/>
      <c r="T2136" s="58"/>
      <c r="U2136" s="58">
        <v>2</v>
      </c>
      <c r="V2136" s="59">
        <v>4</v>
      </c>
      <c r="W2136" s="174"/>
      <c r="X2136" s="174"/>
      <c r="Y2136" s="58" t="s">
        <v>2230</v>
      </c>
      <c r="Z2136" s="59" t="s">
        <v>1346</v>
      </c>
      <c r="AA2136" s="94">
        <v>20</v>
      </c>
      <c r="AB2136" s="67"/>
      <c r="AC2136" s="67"/>
      <c r="AD2136" s="94">
        <v>1.6087</v>
      </c>
      <c r="AE2136" s="93">
        <v>27</v>
      </c>
      <c r="AF2136" s="93">
        <v>49</v>
      </c>
      <c r="AG2136" s="93"/>
      <c r="AH2136" s="58" t="s">
        <v>139</v>
      </c>
      <c r="AI2136" s="169"/>
      <c r="AJ2136" s="94"/>
      <c r="AK2136" s="94"/>
      <c r="AL2136" s="58"/>
      <c r="AM2136" s="59" t="s">
        <v>2088</v>
      </c>
      <c r="AN2136" s="188" t="s">
        <v>2094</v>
      </c>
      <c r="AO2136" s="185" t="s">
        <v>5150</v>
      </c>
      <c r="AP2136" s="59"/>
      <c r="AQ2136" s="58" t="s">
        <v>1097</v>
      </c>
      <c r="AR2136" s="59" t="s">
        <v>2090</v>
      </c>
      <c r="AS2136" s="58" t="s">
        <v>116</v>
      </c>
      <c r="AT2136" s="182"/>
      <c r="AU2136" s="181" t="s">
        <v>7494</v>
      </c>
      <c r="AV2136" s="185" t="s">
        <v>176</v>
      </c>
      <c r="AW2136" s="58"/>
      <c r="AX2136" s="185" t="s">
        <v>176</v>
      </c>
      <c r="AY2136" s="58"/>
      <c r="AZ2136" s="59" t="s">
        <v>1976</v>
      </c>
      <c r="BA2136" s="59" t="s">
        <v>1976</v>
      </c>
      <c r="BB2136" s="59" t="s">
        <v>2081</v>
      </c>
      <c r="BC2136" s="59" t="s">
        <v>2081</v>
      </c>
      <c r="BD2136" s="58" t="s">
        <v>176</v>
      </c>
      <c r="BE2136" s="240" t="s">
        <v>2231</v>
      </c>
      <c r="BF2136" s="191" t="s">
        <v>479</v>
      </c>
      <c r="BG2136" s="191" t="s">
        <v>479</v>
      </c>
      <c r="BH2136" s="240" t="s">
        <v>2231</v>
      </c>
      <c r="BI2136" s="191" t="s">
        <v>479</v>
      </c>
      <c r="BJ2136" s="58" t="s">
        <v>176</v>
      </c>
      <c r="BK2136" s="58" t="s">
        <v>5976</v>
      </c>
      <c r="BL2136" s="58"/>
      <c r="BM2136" s="241" t="s">
        <v>160</v>
      </c>
      <c r="BN2136" s="58">
        <v>3</v>
      </c>
      <c r="BO2136" s="58">
        <v>3</v>
      </c>
      <c r="BP2136" s="59">
        <v>10</v>
      </c>
      <c r="BQ2136" s="58" t="s">
        <v>141</v>
      </c>
      <c r="BR2136" s="58"/>
      <c r="BS2136" s="58"/>
      <c r="BT2136" s="58"/>
      <c r="BU2136" s="58"/>
      <c r="BV2136" s="58"/>
      <c r="BW2136" s="67"/>
      <c r="BX2136" s="67"/>
      <c r="BY2136" s="67"/>
      <c r="BZ2136" s="67"/>
      <c r="CA2136" s="67"/>
      <c r="CB2136" s="153">
        <v>1827</v>
      </c>
      <c r="CC2136" s="68">
        <v>2472</v>
      </c>
      <c r="CD2136" s="68"/>
      <c r="CE2136" s="67"/>
      <c r="CF2136" s="67"/>
      <c r="CG2136" s="67" t="s">
        <v>545</v>
      </c>
      <c r="CH2136" s="94"/>
      <c r="CI2136" s="94"/>
      <c r="CJ2136" s="67"/>
      <c r="CK2136" s="67"/>
      <c r="CL2136" s="67"/>
      <c r="CM2136" s="69"/>
      <c r="CN2136" s="69"/>
      <c r="CO2136" s="67"/>
      <c r="CP2136" s="67"/>
      <c r="CQ2136" s="67"/>
      <c r="CR2136" s="69"/>
      <c r="CS2136" s="69"/>
      <c r="CT2136" s="67"/>
      <c r="CU2136" s="67"/>
      <c r="CV2136" s="67"/>
      <c r="CW2136" s="67"/>
      <c r="CX2136" s="67"/>
      <c r="CY2136" s="67"/>
      <c r="CZ2136" s="67"/>
      <c r="DA2136" s="67"/>
      <c r="DB2136" s="67"/>
      <c r="DC2136" s="67"/>
      <c r="DD2136" s="67"/>
      <c r="DE2136" s="67"/>
      <c r="DF2136" s="67"/>
      <c r="DG2136" s="67"/>
      <c r="DH2136" s="67"/>
      <c r="DI2136" s="67"/>
      <c r="DJ2136" s="67"/>
      <c r="DK2136" s="67"/>
      <c r="DL2136" s="67"/>
      <c r="DM2136" s="67"/>
      <c r="DN2136" s="67"/>
      <c r="DO2136" s="67"/>
      <c r="DP2136" s="67"/>
      <c r="DQ2136" s="166"/>
      <c r="DR2136" s="166"/>
      <c r="DS2136" s="163"/>
      <c r="DT2136" s="163"/>
      <c r="DU2136" s="67"/>
      <c r="DV2136" s="67"/>
      <c r="DW2136" s="67"/>
      <c r="DX2136" s="67"/>
      <c r="DY2136" s="67"/>
      <c r="DZ2136" s="67"/>
      <c r="EA2136" s="67"/>
      <c r="EB2136" s="67"/>
      <c r="EC2136" s="67"/>
      <c r="ED2136" s="67"/>
      <c r="EE2136" s="67"/>
      <c r="EF2136" s="67"/>
      <c r="EG2136" s="67"/>
      <c r="EH2136" s="67"/>
      <c r="EI2136" s="67"/>
      <c r="EJ2136" s="67"/>
      <c r="EK2136" s="94"/>
      <c r="EL2136" s="94"/>
      <c r="EM2136" s="67"/>
      <c r="EN2136" s="67"/>
      <c r="EO2136" s="67"/>
      <c r="EP2136" s="67"/>
      <c r="EQ2136" s="67"/>
      <c r="ER2136" s="67"/>
      <c r="ES2136" s="67"/>
      <c r="ET2136" s="67"/>
      <c r="EU2136" s="67"/>
      <c r="EV2136" s="67"/>
      <c r="EW2136" s="67"/>
      <c r="EX2136" s="67"/>
      <c r="EY2136" s="67"/>
      <c r="EZ2136" s="67"/>
      <c r="FA2136" s="67"/>
      <c r="FB2136" s="67"/>
      <c r="FC2136" s="67"/>
      <c r="FD2136" s="67"/>
      <c r="FE2136" s="67"/>
      <c r="FF2136" s="67"/>
      <c r="FG2136" s="67"/>
      <c r="FH2136" s="67"/>
      <c r="FI2136" s="67"/>
      <c r="FJ2136" s="67"/>
      <c r="FK2136" s="67"/>
      <c r="FL2136" s="67"/>
      <c r="FM2136" s="67"/>
      <c r="FN2136" s="67"/>
      <c r="FO2136" s="67"/>
      <c r="FP2136" s="67"/>
      <c r="FQ2136" s="67"/>
      <c r="FR2136" s="67"/>
      <c r="FS2136" s="67"/>
      <c r="FT2136" s="67"/>
      <c r="FU2136" s="67"/>
      <c r="FV2136" s="67"/>
      <c r="FW2136" s="67"/>
      <c r="FX2136" s="67"/>
      <c r="FY2136" s="67"/>
      <c r="FZ2136" s="67"/>
      <c r="GA2136" s="67"/>
      <c r="GB2136" s="67"/>
      <c r="GC2136" s="67"/>
      <c r="GD2136" s="67"/>
      <c r="GE2136" s="67"/>
      <c r="GF2136" s="67"/>
      <c r="GG2136" s="67"/>
      <c r="GH2136" s="67"/>
      <c r="GI2136" s="67"/>
      <c r="GJ2136" s="67"/>
      <c r="GK2136" s="67"/>
      <c r="GL2136" s="67"/>
      <c r="GM2136" s="67"/>
      <c r="GN2136" s="292"/>
      <c r="GO2136" s="292"/>
      <c r="GP2136" s="292" t="s">
        <v>7494</v>
      </c>
      <c r="GQ2136" s="67"/>
      <c r="GR2136" s="67"/>
      <c r="GS2136" s="67"/>
      <c r="GT2136" s="67"/>
      <c r="GU2136" s="67"/>
      <c r="GV2136" s="67"/>
      <c r="GW2136" s="67"/>
      <c r="GX2136" s="67"/>
      <c r="GY2136" s="67"/>
      <c r="GZ2136" s="67"/>
      <c r="HA2136" s="67"/>
      <c r="HB2136" s="67"/>
      <c r="HC2136" s="67"/>
      <c r="HD2136" s="67"/>
      <c r="HE2136" s="67"/>
      <c r="HF2136" s="67"/>
      <c r="HG2136" s="67"/>
      <c r="HH2136" s="67"/>
      <c r="HI2136" s="67"/>
      <c r="HJ2136" s="67"/>
      <c r="HK2136" s="67"/>
      <c r="HL2136" s="67"/>
      <c r="HM2136" s="67"/>
      <c r="HN2136" s="67"/>
      <c r="HO2136" s="67"/>
      <c r="HP2136" s="67"/>
      <c r="HQ2136" s="67"/>
      <c r="HR2136" s="67"/>
      <c r="HS2136" s="67"/>
      <c r="HT2136" s="67"/>
      <c r="HU2136" s="67"/>
      <c r="HV2136" s="67"/>
      <c r="HW2136" s="67"/>
      <c r="HX2136" s="67"/>
      <c r="HY2136" s="67"/>
      <c r="HZ2136" s="67"/>
      <c r="IA2136" s="67"/>
      <c r="IB2136" s="67"/>
      <c r="IC2136" s="67">
        <v>142</v>
      </c>
      <c r="ID2136" s="67">
        <v>159</v>
      </c>
      <c r="IE2136" s="67">
        <v>9.4</v>
      </c>
      <c r="IF2136" s="67">
        <v>13.9</v>
      </c>
      <c r="IG2136" s="67" t="s">
        <v>2234</v>
      </c>
      <c r="IH2136" s="67"/>
      <c r="II2136" s="67"/>
      <c r="IJ2136" s="67"/>
      <c r="IK2136" s="67"/>
      <c r="IL2136" s="67"/>
      <c r="IM2136" s="67"/>
      <c r="IN2136" s="67"/>
      <c r="IO2136" s="67"/>
      <c r="IP2136" s="67"/>
      <c r="IQ2136" s="67"/>
      <c r="IR2136" s="67"/>
      <c r="IS2136" s="67"/>
      <c r="IT2136" s="67"/>
      <c r="IU2136" s="67"/>
      <c r="IV2136" s="67"/>
      <c r="IW2136" s="67"/>
      <c r="IX2136" s="67"/>
      <c r="IY2136" s="67"/>
      <c r="IZ2136" s="67"/>
      <c r="JA2136" s="67"/>
      <c r="JB2136" s="67"/>
      <c r="JC2136" s="67"/>
      <c r="JD2136" s="67"/>
      <c r="JE2136" s="67"/>
      <c r="JF2136" s="67"/>
      <c r="JG2136" s="67"/>
      <c r="JH2136" s="67"/>
      <c r="JI2136" s="67"/>
      <c r="JJ2136" s="67"/>
      <c r="JK2136" s="67"/>
      <c r="JL2136" s="67"/>
      <c r="JM2136" s="67"/>
      <c r="JN2136" s="67"/>
      <c r="JO2136" s="67"/>
      <c r="JP2136" s="67"/>
      <c r="JQ2136" s="67"/>
      <c r="JR2136" s="67"/>
      <c r="JS2136" s="67"/>
      <c r="JT2136" s="67"/>
      <c r="JU2136" s="58"/>
      <c r="JV2136" s="58"/>
      <c r="JW2136" s="58"/>
    </row>
    <row r="2137" spans="1:283" s="23" customFormat="1" x14ac:dyDescent="0.25">
      <c r="A2137" s="55">
        <v>2136</v>
      </c>
      <c r="B2137" s="12" t="s">
        <v>7067</v>
      </c>
      <c r="C2137" s="156">
        <v>97</v>
      </c>
      <c r="D2137" s="58" t="s">
        <v>4135</v>
      </c>
      <c r="E2137" s="93" t="s">
        <v>2086</v>
      </c>
      <c r="F2137" s="93"/>
      <c r="G2137" s="58"/>
      <c r="H2137" s="59">
        <v>2000</v>
      </c>
      <c r="I2137" s="58">
        <v>1994</v>
      </c>
      <c r="J2137" s="59" t="s">
        <v>2003</v>
      </c>
      <c r="K2137" s="59" t="s">
        <v>2087</v>
      </c>
      <c r="L2137" s="59" t="s">
        <v>2738</v>
      </c>
      <c r="M2137" s="94">
        <v>46.58</v>
      </c>
      <c r="N2137" s="94">
        <v>-71.23</v>
      </c>
      <c r="O2137" s="93">
        <v>132.1</v>
      </c>
      <c r="P2137" s="59"/>
      <c r="Q2137" s="59"/>
      <c r="R2137" s="58"/>
      <c r="S2137" s="94"/>
      <c r="T2137" s="58"/>
      <c r="U2137" s="58">
        <v>2</v>
      </c>
      <c r="V2137" s="59">
        <v>4</v>
      </c>
      <c r="W2137" s="174"/>
      <c r="X2137" s="174"/>
      <c r="Y2137" s="58" t="s">
        <v>2230</v>
      </c>
      <c r="Z2137" s="59" t="s">
        <v>1346</v>
      </c>
      <c r="AA2137" s="94">
        <v>20</v>
      </c>
      <c r="AB2137" s="67"/>
      <c r="AC2137" s="67"/>
      <c r="AD2137" s="94">
        <v>1.6087</v>
      </c>
      <c r="AE2137" s="93">
        <v>27</v>
      </c>
      <c r="AF2137" s="93">
        <v>49</v>
      </c>
      <c r="AG2137" s="93"/>
      <c r="AH2137" s="58" t="s">
        <v>139</v>
      </c>
      <c r="AI2137" s="169"/>
      <c r="AJ2137" s="94"/>
      <c r="AK2137" s="94"/>
      <c r="AL2137" s="58"/>
      <c r="AM2137" s="59" t="s">
        <v>2088</v>
      </c>
      <c r="AN2137" s="188" t="s">
        <v>2089</v>
      </c>
      <c r="AO2137" s="185" t="s">
        <v>5150</v>
      </c>
      <c r="AP2137" s="59"/>
      <c r="AQ2137" s="58" t="s">
        <v>553</v>
      </c>
      <c r="AR2137" s="59" t="s">
        <v>2090</v>
      </c>
      <c r="AS2137" s="58" t="s">
        <v>116</v>
      </c>
      <c r="AT2137" s="182"/>
      <c r="AU2137" s="181" t="s">
        <v>7494</v>
      </c>
      <c r="AV2137" s="185" t="s">
        <v>176</v>
      </c>
      <c r="AW2137" s="58"/>
      <c r="AX2137" s="185" t="s">
        <v>176</v>
      </c>
      <c r="AY2137" s="58"/>
      <c r="AZ2137" s="59" t="s">
        <v>1976</v>
      </c>
      <c r="BA2137" s="59" t="s">
        <v>1976</v>
      </c>
      <c r="BB2137" s="59" t="s">
        <v>2081</v>
      </c>
      <c r="BC2137" s="59" t="s">
        <v>2081</v>
      </c>
      <c r="BD2137" s="58" t="s">
        <v>176</v>
      </c>
      <c r="BE2137" s="240" t="s">
        <v>2106</v>
      </c>
      <c r="BF2137" s="191" t="s">
        <v>479</v>
      </c>
      <c r="BG2137" s="191" t="s">
        <v>479</v>
      </c>
      <c r="BH2137" s="240" t="s">
        <v>2106</v>
      </c>
      <c r="BI2137" s="191" t="s">
        <v>479</v>
      </c>
      <c r="BJ2137" s="58" t="s">
        <v>176</v>
      </c>
      <c r="BK2137" s="58" t="s">
        <v>5976</v>
      </c>
      <c r="BL2137" s="58"/>
      <c r="BM2137" s="241" t="s">
        <v>160</v>
      </c>
      <c r="BN2137" s="58">
        <v>3</v>
      </c>
      <c r="BO2137" s="58">
        <v>3</v>
      </c>
      <c r="BP2137" s="59">
        <v>10</v>
      </c>
      <c r="BQ2137" s="58" t="s">
        <v>141</v>
      </c>
      <c r="BR2137" s="58"/>
      <c r="BS2137" s="58"/>
      <c r="BT2137" s="58"/>
      <c r="BU2137" s="58"/>
      <c r="BV2137" s="58"/>
      <c r="BW2137" s="67"/>
      <c r="BX2137" s="67"/>
      <c r="BY2137" s="67"/>
      <c r="BZ2137" s="67"/>
      <c r="CA2137" s="67"/>
      <c r="CB2137" s="153">
        <v>2712.4</v>
      </c>
      <c r="CC2137" s="68">
        <v>2747</v>
      </c>
      <c r="CD2137" s="68"/>
      <c r="CE2137" s="67"/>
      <c r="CF2137" s="67"/>
      <c r="CG2137" s="67" t="s">
        <v>545</v>
      </c>
      <c r="CH2137" s="94"/>
      <c r="CI2137" s="94"/>
      <c r="CJ2137" s="67"/>
      <c r="CK2137" s="67"/>
      <c r="CL2137" s="67"/>
      <c r="CM2137" s="69"/>
      <c r="CN2137" s="69"/>
      <c r="CO2137" s="67"/>
      <c r="CP2137" s="67"/>
      <c r="CQ2137" s="67"/>
      <c r="CR2137" s="69"/>
      <c r="CS2137" s="69"/>
      <c r="CT2137" s="67"/>
      <c r="CU2137" s="67"/>
      <c r="CV2137" s="67"/>
      <c r="CW2137" s="67"/>
      <c r="CX2137" s="67"/>
      <c r="CY2137" s="67"/>
      <c r="CZ2137" s="67"/>
      <c r="DA2137" s="67"/>
      <c r="DB2137" s="67"/>
      <c r="DC2137" s="67"/>
      <c r="DD2137" s="67"/>
      <c r="DE2137" s="67"/>
      <c r="DF2137" s="67"/>
      <c r="DG2137" s="67"/>
      <c r="DH2137" s="67"/>
      <c r="DI2137" s="67"/>
      <c r="DJ2137" s="67"/>
      <c r="DK2137" s="67"/>
      <c r="DL2137" s="67"/>
      <c r="DM2137" s="67"/>
      <c r="DN2137" s="67"/>
      <c r="DO2137" s="67"/>
      <c r="DP2137" s="67"/>
      <c r="DQ2137" s="166"/>
      <c r="DR2137" s="166"/>
      <c r="DS2137" s="163"/>
      <c r="DT2137" s="163"/>
      <c r="DU2137" s="67"/>
      <c r="DV2137" s="67"/>
      <c r="DW2137" s="67"/>
      <c r="DX2137" s="67"/>
      <c r="DY2137" s="67"/>
      <c r="DZ2137" s="67"/>
      <c r="EA2137" s="67"/>
      <c r="EB2137" s="67"/>
      <c r="EC2137" s="67"/>
      <c r="ED2137" s="67"/>
      <c r="EE2137" s="67"/>
      <c r="EF2137" s="67"/>
      <c r="EG2137" s="67"/>
      <c r="EH2137" s="67"/>
      <c r="EI2137" s="67"/>
      <c r="EJ2137" s="67"/>
      <c r="EK2137" s="94"/>
      <c r="EL2137" s="94"/>
      <c r="EM2137" s="67"/>
      <c r="EN2137" s="67"/>
      <c r="EO2137" s="67"/>
      <c r="EP2137" s="67"/>
      <c r="EQ2137" s="67"/>
      <c r="ER2137" s="67"/>
      <c r="ES2137" s="67"/>
      <c r="ET2137" s="67"/>
      <c r="EU2137" s="67"/>
      <c r="EV2137" s="67"/>
      <c r="EW2137" s="67"/>
      <c r="EX2137" s="67"/>
      <c r="EY2137" s="67"/>
      <c r="EZ2137" s="67"/>
      <c r="FA2137" s="67"/>
      <c r="FB2137" s="67"/>
      <c r="FC2137" s="67"/>
      <c r="FD2137" s="67"/>
      <c r="FE2137" s="67"/>
      <c r="FF2137" s="67"/>
      <c r="FG2137" s="67"/>
      <c r="FH2137" s="67"/>
      <c r="FI2137" s="67"/>
      <c r="FJ2137" s="67"/>
      <c r="FK2137" s="67"/>
      <c r="FL2137" s="67"/>
      <c r="FM2137" s="67"/>
      <c r="FN2137" s="67"/>
      <c r="FO2137" s="67"/>
      <c r="FP2137" s="67"/>
      <c r="FQ2137" s="67"/>
      <c r="FR2137" s="67"/>
      <c r="FS2137" s="67"/>
      <c r="FT2137" s="67"/>
      <c r="FU2137" s="67"/>
      <c r="FV2137" s="67"/>
      <c r="FW2137" s="67"/>
      <c r="FX2137" s="67"/>
      <c r="FY2137" s="67"/>
      <c r="FZ2137" s="67"/>
      <c r="GA2137" s="67"/>
      <c r="GB2137" s="67"/>
      <c r="GC2137" s="67"/>
      <c r="GD2137" s="67"/>
      <c r="GE2137" s="67"/>
      <c r="GF2137" s="67"/>
      <c r="GG2137" s="67"/>
      <c r="GH2137" s="67"/>
      <c r="GI2137" s="67"/>
      <c r="GJ2137" s="67"/>
      <c r="GK2137" s="67"/>
      <c r="GL2137" s="67"/>
      <c r="GM2137" s="67"/>
      <c r="GN2137" s="292"/>
      <c r="GO2137" s="292"/>
      <c r="GP2137" s="292" t="s">
        <v>7494</v>
      </c>
      <c r="GQ2137" s="67"/>
      <c r="GR2137" s="67"/>
      <c r="GS2137" s="67"/>
      <c r="GT2137" s="67"/>
      <c r="GU2137" s="67"/>
      <c r="GV2137" s="67"/>
      <c r="GW2137" s="67"/>
      <c r="GX2137" s="67"/>
      <c r="GY2137" s="67"/>
      <c r="GZ2137" s="67"/>
      <c r="HA2137" s="67"/>
      <c r="HB2137" s="67"/>
      <c r="HC2137" s="67"/>
      <c r="HD2137" s="67"/>
      <c r="HE2137" s="67"/>
      <c r="HF2137" s="67"/>
      <c r="HG2137" s="67"/>
      <c r="HH2137" s="67"/>
      <c r="HI2137" s="67"/>
      <c r="HJ2137" s="67"/>
      <c r="HK2137" s="67"/>
      <c r="HL2137" s="67"/>
      <c r="HM2137" s="67"/>
      <c r="HN2137" s="67"/>
      <c r="HO2137" s="67"/>
      <c r="HP2137" s="67"/>
      <c r="HQ2137" s="67"/>
      <c r="HR2137" s="67"/>
      <c r="HS2137" s="67"/>
      <c r="HT2137" s="67"/>
      <c r="HU2137" s="67"/>
      <c r="HV2137" s="67"/>
      <c r="HW2137" s="67"/>
      <c r="HX2137" s="67"/>
      <c r="HY2137" s="67"/>
      <c r="HZ2137" s="67"/>
      <c r="IA2137" s="67"/>
      <c r="IB2137" s="67"/>
      <c r="IC2137" s="67"/>
      <c r="ID2137" s="67"/>
      <c r="IE2137" s="67"/>
      <c r="IF2137" s="67"/>
      <c r="IG2137" s="67"/>
      <c r="IH2137" s="67"/>
      <c r="II2137" s="67"/>
      <c r="IJ2137" s="67"/>
      <c r="IK2137" s="67"/>
      <c r="IL2137" s="67"/>
      <c r="IM2137" s="67"/>
      <c r="IN2137" s="67"/>
      <c r="IO2137" s="67"/>
      <c r="IP2137" s="67"/>
      <c r="IQ2137" s="67"/>
      <c r="IR2137" s="67"/>
      <c r="IS2137" s="67"/>
      <c r="IT2137" s="67"/>
      <c r="IU2137" s="67"/>
      <c r="IV2137" s="67"/>
      <c r="IW2137" s="67"/>
      <c r="IX2137" s="67"/>
      <c r="IY2137" s="67"/>
      <c r="IZ2137" s="67"/>
      <c r="JA2137" s="67"/>
      <c r="JB2137" s="67"/>
      <c r="JC2137" s="67"/>
      <c r="JD2137" s="67"/>
      <c r="JE2137" s="67"/>
      <c r="JF2137" s="67"/>
      <c r="JG2137" s="67"/>
      <c r="JH2137" s="67"/>
      <c r="JI2137" s="67"/>
      <c r="JJ2137" s="67"/>
      <c r="JK2137" s="67"/>
      <c r="JL2137" s="67"/>
      <c r="JM2137" s="67"/>
      <c r="JN2137" s="67"/>
      <c r="JO2137" s="67"/>
      <c r="JP2137" s="67"/>
      <c r="JQ2137" s="67"/>
      <c r="JR2137" s="67"/>
      <c r="JS2137" s="67"/>
      <c r="JT2137" s="67"/>
      <c r="JU2137" s="58"/>
      <c r="JV2137" s="58"/>
      <c r="JW2137" s="58"/>
    </row>
    <row r="2138" spans="1:283" s="23" customFormat="1" x14ac:dyDescent="0.25">
      <c r="A2138" s="55">
        <v>2137</v>
      </c>
      <c r="B2138" s="12" t="s">
        <v>7067</v>
      </c>
      <c r="C2138" s="156">
        <v>97</v>
      </c>
      <c r="D2138" s="58" t="s">
        <v>4136</v>
      </c>
      <c r="E2138" s="93" t="s">
        <v>2086</v>
      </c>
      <c r="F2138" s="93"/>
      <c r="G2138" s="58"/>
      <c r="H2138" s="59">
        <v>2000</v>
      </c>
      <c r="I2138" s="58">
        <v>1994</v>
      </c>
      <c r="J2138" s="59" t="s">
        <v>2003</v>
      </c>
      <c r="K2138" s="59" t="s">
        <v>2087</v>
      </c>
      <c r="L2138" s="59" t="s">
        <v>2738</v>
      </c>
      <c r="M2138" s="94">
        <v>46.58</v>
      </c>
      <c r="N2138" s="94">
        <v>-71.23</v>
      </c>
      <c r="O2138" s="93">
        <v>132.1</v>
      </c>
      <c r="P2138" s="59"/>
      <c r="Q2138" s="59"/>
      <c r="R2138" s="58"/>
      <c r="S2138" s="94"/>
      <c r="T2138" s="58"/>
      <c r="U2138" s="58">
        <v>2</v>
      </c>
      <c r="V2138" s="59">
        <v>4</v>
      </c>
      <c r="W2138" s="174"/>
      <c r="X2138" s="174"/>
      <c r="Y2138" s="58" t="s">
        <v>2230</v>
      </c>
      <c r="Z2138" s="59" t="s">
        <v>1346</v>
      </c>
      <c r="AA2138" s="94">
        <v>20</v>
      </c>
      <c r="AB2138" s="67"/>
      <c r="AC2138" s="67"/>
      <c r="AD2138" s="94">
        <v>1.6087</v>
      </c>
      <c r="AE2138" s="93">
        <v>27</v>
      </c>
      <c r="AF2138" s="93">
        <v>49</v>
      </c>
      <c r="AG2138" s="93"/>
      <c r="AH2138" s="58" t="s">
        <v>139</v>
      </c>
      <c r="AI2138" s="169"/>
      <c r="AJ2138" s="94"/>
      <c r="AK2138" s="94"/>
      <c r="AL2138" s="58"/>
      <c r="AM2138" s="59" t="s">
        <v>2088</v>
      </c>
      <c r="AN2138" s="188" t="s">
        <v>2092</v>
      </c>
      <c r="AO2138" s="185" t="s">
        <v>5150</v>
      </c>
      <c r="AP2138" s="59"/>
      <c r="AQ2138" s="58" t="s">
        <v>1545</v>
      </c>
      <c r="AR2138" s="59" t="s">
        <v>2090</v>
      </c>
      <c r="AS2138" s="58" t="s">
        <v>116</v>
      </c>
      <c r="AT2138" s="182"/>
      <c r="AU2138" s="181" t="s">
        <v>7494</v>
      </c>
      <c r="AV2138" s="185" t="s">
        <v>176</v>
      </c>
      <c r="AW2138" s="58"/>
      <c r="AX2138" s="185" t="s">
        <v>176</v>
      </c>
      <c r="AY2138" s="58"/>
      <c r="AZ2138" s="59" t="s">
        <v>1976</v>
      </c>
      <c r="BA2138" s="59" t="s">
        <v>1976</v>
      </c>
      <c r="BB2138" s="59" t="s">
        <v>2081</v>
      </c>
      <c r="BC2138" s="59" t="s">
        <v>2081</v>
      </c>
      <c r="BD2138" s="58" t="s">
        <v>176</v>
      </c>
      <c r="BE2138" s="240" t="s">
        <v>2106</v>
      </c>
      <c r="BF2138" s="191" t="s">
        <v>479</v>
      </c>
      <c r="BG2138" s="191" t="s">
        <v>479</v>
      </c>
      <c r="BH2138" s="240" t="s">
        <v>2106</v>
      </c>
      <c r="BI2138" s="191" t="s">
        <v>479</v>
      </c>
      <c r="BJ2138" s="58" t="s">
        <v>176</v>
      </c>
      <c r="BK2138" s="58" t="s">
        <v>5976</v>
      </c>
      <c r="BL2138" s="58"/>
      <c r="BM2138" s="241" t="s">
        <v>160</v>
      </c>
      <c r="BN2138" s="58">
        <v>3</v>
      </c>
      <c r="BO2138" s="58">
        <v>3</v>
      </c>
      <c r="BP2138" s="59">
        <v>10</v>
      </c>
      <c r="BQ2138" s="58" t="s">
        <v>141</v>
      </c>
      <c r="BR2138" s="58"/>
      <c r="BS2138" s="58"/>
      <c r="BT2138" s="58"/>
      <c r="BU2138" s="58"/>
      <c r="BV2138" s="58"/>
      <c r="BW2138" s="67"/>
      <c r="BX2138" s="67"/>
      <c r="BY2138" s="67"/>
      <c r="BZ2138" s="67"/>
      <c r="CA2138" s="67"/>
      <c r="CB2138" s="153">
        <v>2712.4</v>
      </c>
      <c r="CC2138" s="68">
        <v>3517</v>
      </c>
      <c r="CD2138" s="68"/>
      <c r="CE2138" s="67"/>
      <c r="CF2138" s="67"/>
      <c r="CG2138" s="67" t="s">
        <v>545</v>
      </c>
      <c r="CH2138" s="94"/>
      <c r="CI2138" s="94"/>
      <c r="CJ2138" s="67"/>
      <c r="CK2138" s="67"/>
      <c r="CL2138" s="67"/>
      <c r="CM2138" s="69"/>
      <c r="CN2138" s="69"/>
      <c r="CO2138" s="67"/>
      <c r="CP2138" s="67"/>
      <c r="CQ2138" s="67"/>
      <c r="CR2138" s="69"/>
      <c r="CS2138" s="69"/>
      <c r="CT2138" s="67"/>
      <c r="CU2138" s="67"/>
      <c r="CV2138" s="67"/>
      <c r="CW2138" s="67"/>
      <c r="CX2138" s="67"/>
      <c r="CY2138" s="67"/>
      <c r="CZ2138" s="67"/>
      <c r="DA2138" s="67"/>
      <c r="DB2138" s="67"/>
      <c r="DC2138" s="67"/>
      <c r="DD2138" s="67"/>
      <c r="DE2138" s="67"/>
      <c r="DF2138" s="67"/>
      <c r="DG2138" s="67"/>
      <c r="DH2138" s="67"/>
      <c r="DI2138" s="67"/>
      <c r="DJ2138" s="67"/>
      <c r="DK2138" s="67"/>
      <c r="DL2138" s="67"/>
      <c r="DM2138" s="67"/>
      <c r="DN2138" s="67"/>
      <c r="DO2138" s="67"/>
      <c r="DP2138" s="67"/>
      <c r="DQ2138" s="166"/>
      <c r="DR2138" s="166"/>
      <c r="DS2138" s="163"/>
      <c r="DT2138" s="163"/>
      <c r="DU2138" s="67"/>
      <c r="DV2138" s="67"/>
      <c r="DW2138" s="67"/>
      <c r="DX2138" s="67"/>
      <c r="DY2138" s="67"/>
      <c r="DZ2138" s="67"/>
      <c r="EA2138" s="67"/>
      <c r="EB2138" s="67"/>
      <c r="EC2138" s="67"/>
      <c r="ED2138" s="67"/>
      <c r="EE2138" s="67"/>
      <c r="EF2138" s="67"/>
      <c r="EG2138" s="67"/>
      <c r="EH2138" s="67"/>
      <c r="EI2138" s="67"/>
      <c r="EJ2138" s="67"/>
      <c r="EK2138" s="94"/>
      <c r="EL2138" s="94"/>
      <c r="EM2138" s="67"/>
      <c r="EN2138" s="67"/>
      <c r="EO2138" s="67"/>
      <c r="EP2138" s="67"/>
      <c r="EQ2138" s="67"/>
      <c r="ER2138" s="67"/>
      <c r="ES2138" s="67"/>
      <c r="ET2138" s="67"/>
      <c r="EU2138" s="67"/>
      <c r="EV2138" s="67"/>
      <c r="EW2138" s="67"/>
      <c r="EX2138" s="67"/>
      <c r="EY2138" s="67"/>
      <c r="EZ2138" s="67"/>
      <c r="FA2138" s="67"/>
      <c r="FB2138" s="67"/>
      <c r="FC2138" s="67"/>
      <c r="FD2138" s="67"/>
      <c r="FE2138" s="67"/>
      <c r="FF2138" s="67"/>
      <c r="FG2138" s="67"/>
      <c r="FH2138" s="67"/>
      <c r="FI2138" s="67"/>
      <c r="FJ2138" s="67"/>
      <c r="FK2138" s="67"/>
      <c r="FL2138" s="67"/>
      <c r="FM2138" s="67"/>
      <c r="FN2138" s="67"/>
      <c r="FO2138" s="67"/>
      <c r="FP2138" s="67"/>
      <c r="FQ2138" s="67"/>
      <c r="FR2138" s="67"/>
      <c r="FS2138" s="67"/>
      <c r="FT2138" s="67"/>
      <c r="FU2138" s="67"/>
      <c r="FV2138" s="67"/>
      <c r="FW2138" s="67"/>
      <c r="FX2138" s="67"/>
      <c r="FY2138" s="67"/>
      <c r="FZ2138" s="67"/>
      <c r="GA2138" s="67"/>
      <c r="GB2138" s="67"/>
      <c r="GC2138" s="67"/>
      <c r="GD2138" s="67"/>
      <c r="GE2138" s="67"/>
      <c r="GF2138" s="67"/>
      <c r="GG2138" s="67"/>
      <c r="GH2138" s="67"/>
      <c r="GI2138" s="67"/>
      <c r="GJ2138" s="67"/>
      <c r="GK2138" s="67"/>
      <c r="GL2138" s="67"/>
      <c r="GM2138" s="67"/>
      <c r="GN2138" s="292"/>
      <c r="GO2138" s="292"/>
      <c r="GP2138" s="292" t="s">
        <v>7494</v>
      </c>
      <c r="GQ2138" s="67"/>
      <c r="GR2138" s="67"/>
      <c r="GS2138" s="67"/>
      <c r="GT2138" s="67"/>
      <c r="GU2138" s="67"/>
      <c r="GV2138" s="67"/>
      <c r="GW2138" s="67"/>
      <c r="GX2138" s="67"/>
      <c r="GY2138" s="67"/>
      <c r="GZ2138" s="67"/>
      <c r="HA2138" s="67"/>
      <c r="HB2138" s="67"/>
      <c r="HC2138" s="67"/>
      <c r="HD2138" s="67"/>
      <c r="HE2138" s="67"/>
      <c r="HF2138" s="67"/>
      <c r="HG2138" s="67"/>
      <c r="HH2138" s="67"/>
      <c r="HI2138" s="67"/>
      <c r="HJ2138" s="67"/>
      <c r="HK2138" s="67"/>
      <c r="HL2138" s="67"/>
      <c r="HM2138" s="67"/>
      <c r="HN2138" s="67"/>
      <c r="HO2138" s="67"/>
      <c r="HP2138" s="67"/>
      <c r="HQ2138" s="67"/>
      <c r="HR2138" s="67"/>
      <c r="HS2138" s="67"/>
      <c r="HT2138" s="67"/>
      <c r="HU2138" s="67"/>
      <c r="HV2138" s="67"/>
      <c r="HW2138" s="67"/>
      <c r="HX2138" s="67"/>
      <c r="HY2138" s="67"/>
      <c r="HZ2138" s="67"/>
      <c r="IA2138" s="67"/>
      <c r="IB2138" s="67"/>
      <c r="IC2138" s="67"/>
      <c r="ID2138" s="67"/>
      <c r="IE2138" s="67"/>
      <c r="IF2138" s="67"/>
      <c r="IG2138" s="67"/>
      <c r="IH2138" s="67"/>
      <c r="II2138" s="67"/>
      <c r="IJ2138" s="67"/>
      <c r="IK2138" s="67"/>
      <c r="IL2138" s="67"/>
      <c r="IM2138" s="67"/>
      <c r="IN2138" s="67"/>
      <c r="IO2138" s="67"/>
      <c r="IP2138" s="67"/>
      <c r="IQ2138" s="67"/>
      <c r="IR2138" s="67"/>
      <c r="IS2138" s="67"/>
      <c r="IT2138" s="67"/>
      <c r="IU2138" s="67"/>
      <c r="IV2138" s="67"/>
      <c r="IW2138" s="67"/>
      <c r="IX2138" s="67"/>
      <c r="IY2138" s="67"/>
      <c r="IZ2138" s="67"/>
      <c r="JA2138" s="67"/>
      <c r="JB2138" s="67"/>
      <c r="JC2138" s="67"/>
      <c r="JD2138" s="67"/>
      <c r="JE2138" s="67"/>
      <c r="JF2138" s="67"/>
      <c r="JG2138" s="67"/>
      <c r="JH2138" s="67"/>
      <c r="JI2138" s="67"/>
      <c r="JJ2138" s="67"/>
      <c r="JK2138" s="67"/>
      <c r="JL2138" s="67"/>
      <c r="JM2138" s="67"/>
      <c r="JN2138" s="67"/>
      <c r="JO2138" s="67"/>
      <c r="JP2138" s="67"/>
      <c r="JQ2138" s="67"/>
      <c r="JR2138" s="67"/>
      <c r="JS2138" s="67"/>
      <c r="JT2138" s="67"/>
      <c r="JU2138" s="58"/>
      <c r="JV2138" s="58"/>
      <c r="JW2138" s="58"/>
    </row>
    <row r="2139" spans="1:283" s="23" customFormat="1" x14ac:dyDescent="0.25">
      <c r="A2139" s="55">
        <v>2138</v>
      </c>
      <c r="B2139" s="12" t="s">
        <v>7067</v>
      </c>
      <c r="C2139" s="156">
        <v>97</v>
      </c>
      <c r="D2139" s="58" t="s">
        <v>4136</v>
      </c>
      <c r="E2139" s="93" t="s">
        <v>2086</v>
      </c>
      <c r="F2139" s="93"/>
      <c r="G2139" s="58"/>
      <c r="H2139" s="59">
        <v>2000</v>
      </c>
      <c r="I2139" s="58">
        <v>1994</v>
      </c>
      <c r="J2139" s="59" t="s">
        <v>2003</v>
      </c>
      <c r="K2139" s="59" t="s">
        <v>2087</v>
      </c>
      <c r="L2139" s="59" t="s">
        <v>2738</v>
      </c>
      <c r="M2139" s="94">
        <v>46.58</v>
      </c>
      <c r="N2139" s="94">
        <v>-71.23</v>
      </c>
      <c r="O2139" s="93">
        <v>132.1</v>
      </c>
      <c r="P2139" s="59"/>
      <c r="Q2139" s="59"/>
      <c r="R2139" s="58"/>
      <c r="S2139" s="94"/>
      <c r="T2139" s="58"/>
      <c r="U2139" s="58">
        <v>2</v>
      </c>
      <c r="V2139" s="59">
        <v>4</v>
      </c>
      <c r="W2139" s="174"/>
      <c r="X2139" s="174"/>
      <c r="Y2139" s="58" t="s">
        <v>2230</v>
      </c>
      <c r="Z2139" s="59" t="s">
        <v>1346</v>
      </c>
      <c r="AA2139" s="94">
        <v>20</v>
      </c>
      <c r="AB2139" s="67"/>
      <c r="AC2139" s="67"/>
      <c r="AD2139" s="94">
        <v>1.6087</v>
      </c>
      <c r="AE2139" s="93">
        <v>27</v>
      </c>
      <c r="AF2139" s="93">
        <v>49</v>
      </c>
      <c r="AG2139" s="93"/>
      <c r="AH2139" s="58" t="s">
        <v>139</v>
      </c>
      <c r="AI2139" s="169"/>
      <c r="AJ2139" s="94"/>
      <c r="AK2139" s="94"/>
      <c r="AL2139" s="58"/>
      <c r="AM2139" s="59" t="s">
        <v>2088</v>
      </c>
      <c r="AN2139" s="188" t="s">
        <v>2093</v>
      </c>
      <c r="AO2139" s="185" t="s">
        <v>5150</v>
      </c>
      <c r="AP2139" s="59"/>
      <c r="AQ2139" s="58" t="s">
        <v>1545</v>
      </c>
      <c r="AR2139" s="59" t="s">
        <v>2090</v>
      </c>
      <c r="AS2139" s="58" t="s">
        <v>116</v>
      </c>
      <c r="AT2139" s="182"/>
      <c r="AU2139" s="181" t="s">
        <v>7494</v>
      </c>
      <c r="AV2139" s="185" t="s">
        <v>176</v>
      </c>
      <c r="AW2139" s="58"/>
      <c r="AX2139" s="185" t="s">
        <v>176</v>
      </c>
      <c r="AY2139" s="58"/>
      <c r="AZ2139" s="59" t="s">
        <v>1976</v>
      </c>
      <c r="BA2139" s="59" t="s">
        <v>1976</v>
      </c>
      <c r="BB2139" s="59" t="s">
        <v>2081</v>
      </c>
      <c r="BC2139" s="59" t="s">
        <v>2081</v>
      </c>
      <c r="BD2139" s="58" t="s">
        <v>176</v>
      </c>
      <c r="BE2139" s="240" t="s">
        <v>2106</v>
      </c>
      <c r="BF2139" s="191" t="s">
        <v>479</v>
      </c>
      <c r="BG2139" s="191" t="s">
        <v>479</v>
      </c>
      <c r="BH2139" s="240" t="s">
        <v>2106</v>
      </c>
      <c r="BI2139" s="191" t="s">
        <v>479</v>
      </c>
      <c r="BJ2139" s="58" t="s">
        <v>176</v>
      </c>
      <c r="BK2139" s="58" t="s">
        <v>5976</v>
      </c>
      <c r="BL2139" s="58"/>
      <c r="BM2139" s="241" t="s">
        <v>160</v>
      </c>
      <c r="BN2139" s="58">
        <v>3</v>
      </c>
      <c r="BO2139" s="58">
        <v>3</v>
      </c>
      <c r="BP2139" s="59">
        <v>10</v>
      </c>
      <c r="BQ2139" s="58" t="s">
        <v>141</v>
      </c>
      <c r="BR2139" s="58"/>
      <c r="BS2139" s="58"/>
      <c r="BT2139" s="58"/>
      <c r="BU2139" s="58"/>
      <c r="BV2139" s="58"/>
      <c r="BW2139" s="67"/>
      <c r="BX2139" s="67"/>
      <c r="BY2139" s="67"/>
      <c r="BZ2139" s="67"/>
      <c r="CA2139" s="67"/>
      <c r="CB2139" s="153">
        <v>2712.4</v>
      </c>
      <c r="CC2139" s="68">
        <v>3517</v>
      </c>
      <c r="CD2139" s="68"/>
      <c r="CE2139" s="67"/>
      <c r="CF2139" s="67"/>
      <c r="CG2139" s="67" t="s">
        <v>545</v>
      </c>
      <c r="CH2139" s="94"/>
      <c r="CI2139" s="94"/>
      <c r="CJ2139" s="67"/>
      <c r="CK2139" s="67"/>
      <c r="CL2139" s="67"/>
      <c r="CM2139" s="69"/>
      <c r="CN2139" s="69"/>
      <c r="CO2139" s="67"/>
      <c r="CP2139" s="67"/>
      <c r="CQ2139" s="67"/>
      <c r="CR2139" s="69"/>
      <c r="CS2139" s="69"/>
      <c r="CT2139" s="67"/>
      <c r="CU2139" s="67"/>
      <c r="CV2139" s="67"/>
      <c r="CW2139" s="67"/>
      <c r="CX2139" s="67"/>
      <c r="CY2139" s="67"/>
      <c r="CZ2139" s="67"/>
      <c r="DA2139" s="67"/>
      <c r="DB2139" s="67"/>
      <c r="DC2139" s="67"/>
      <c r="DD2139" s="67"/>
      <c r="DE2139" s="67"/>
      <c r="DF2139" s="67"/>
      <c r="DG2139" s="67"/>
      <c r="DH2139" s="67"/>
      <c r="DI2139" s="67"/>
      <c r="DJ2139" s="67"/>
      <c r="DK2139" s="67"/>
      <c r="DL2139" s="67"/>
      <c r="DM2139" s="67"/>
      <c r="DN2139" s="67"/>
      <c r="DO2139" s="67"/>
      <c r="DP2139" s="67"/>
      <c r="DQ2139" s="166"/>
      <c r="DR2139" s="166"/>
      <c r="DS2139" s="163"/>
      <c r="DT2139" s="163"/>
      <c r="DU2139" s="67"/>
      <c r="DV2139" s="67"/>
      <c r="DW2139" s="67"/>
      <c r="DX2139" s="67"/>
      <c r="DY2139" s="67"/>
      <c r="DZ2139" s="67"/>
      <c r="EA2139" s="67"/>
      <c r="EB2139" s="67"/>
      <c r="EC2139" s="67"/>
      <c r="ED2139" s="67"/>
      <c r="EE2139" s="67"/>
      <c r="EF2139" s="67"/>
      <c r="EG2139" s="67"/>
      <c r="EH2139" s="67"/>
      <c r="EI2139" s="67"/>
      <c r="EJ2139" s="67"/>
      <c r="EK2139" s="94"/>
      <c r="EL2139" s="94"/>
      <c r="EM2139" s="67"/>
      <c r="EN2139" s="67"/>
      <c r="EO2139" s="67"/>
      <c r="EP2139" s="67"/>
      <c r="EQ2139" s="67"/>
      <c r="ER2139" s="67"/>
      <c r="ES2139" s="67"/>
      <c r="ET2139" s="67"/>
      <c r="EU2139" s="67"/>
      <c r="EV2139" s="67"/>
      <c r="EW2139" s="67"/>
      <c r="EX2139" s="67"/>
      <c r="EY2139" s="67"/>
      <c r="EZ2139" s="67"/>
      <c r="FA2139" s="67"/>
      <c r="FB2139" s="67"/>
      <c r="FC2139" s="67"/>
      <c r="FD2139" s="67"/>
      <c r="FE2139" s="67"/>
      <c r="FF2139" s="67"/>
      <c r="FG2139" s="67"/>
      <c r="FH2139" s="67"/>
      <c r="FI2139" s="67"/>
      <c r="FJ2139" s="67"/>
      <c r="FK2139" s="67"/>
      <c r="FL2139" s="67"/>
      <c r="FM2139" s="67"/>
      <c r="FN2139" s="67"/>
      <c r="FO2139" s="67"/>
      <c r="FP2139" s="67"/>
      <c r="FQ2139" s="67"/>
      <c r="FR2139" s="67"/>
      <c r="FS2139" s="67"/>
      <c r="FT2139" s="67"/>
      <c r="FU2139" s="67"/>
      <c r="FV2139" s="67"/>
      <c r="FW2139" s="67"/>
      <c r="FX2139" s="67"/>
      <c r="FY2139" s="67"/>
      <c r="FZ2139" s="67"/>
      <c r="GA2139" s="67"/>
      <c r="GB2139" s="67"/>
      <c r="GC2139" s="67"/>
      <c r="GD2139" s="67"/>
      <c r="GE2139" s="67"/>
      <c r="GF2139" s="67"/>
      <c r="GG2139" s="67"/>
      <c r="GH2139" s="67"/>
      <c r="GI2139" s="67"/>
      <c r="GJ2139" s="67"/>
      <c r="GK2139" s="67"/>
      <c r="GL2139" s="67"/>
      <c r="GM2139" s="67"/>
      <c r="GN2139" s="292"/>
      <c r="GO2139" s="292"/>
      <c r="GP2139" s="292" t="s">
        <v>7494</v>
      </c>
      <c r="GQ2139" s="67"/>
      <c r="GR2139" s="67"/>
      <c r="GS2139" s="67"/>
      <c r="GT2139" s="67"/>
      <c r="GU2139" s="67"/>
      <c r="GV2139" s="67"/>
      <c r="GW2139" s="67"/>
      <c r="GX2139" s="67"/>
      <c r="GY2139" s="67"/>
      <c r="GZ2139" s="67"/>
      <c r="HA2139" s="67"/>
      <c r="HB2139" s="67"/>
      <c r="HC2139" s="67"/>
      <c r="HD2139" s="67"/>
      <c r="HE2139" s="67"/>
      <c r="HF2139" s="67"/>
      <c r="HG2139" s="67"/>
      <c r="HH2139" s="67"/>
      <c r="HI2139" s="67"/>
      <c r="HJ2139" s="67"/>
      <c r="HK2139" s="67"/>
      <c r="HL2139" s="67"/>
      <c r="HM2139" s="67"/>
      <c r="HN2139" s="67"/>
      <c r="HO2139" s="67"/>
      <c r="HP2139" s="67"/>
      <c r="HQ2139" s="67"/>
      <c r="HR2139" s="67"/>
      <c r="HS2139" s="67"/>
      <c r="HT2139" s="67"/>
      <c r="HU2139" s="67"/>
      <c r="HV2139" s="67"/>
      <c r="HW2139" s="67"/>
      <c r="HX2139" s="67"/>
      <c r="HY2139" s="67"/>
      <c r="HZ2139" s="67"/>
      <c r="IA2139" s="67"/>
      <c r="IB2139" s="67"/>
      <c r="IC2139" s="67"/>
      <c r="ID2139" s="67"/>
      <c r="IE2139" s="67"/>
      <c r="IF2139" s="67"/>
      <c r="IG2139" s="67"/>
      <c r="IH2139" s="67"/>
      <c r="II2139" s="67"/>
      <c r="IJ2139" s="67"/>
      <c r="IK2139" s="67"/>
      <c r="IL2139" s="67"/>
      <c r="IM2139" s="67"/>
      <c r="IN2139" s="67"/>
      <c r="IO2139" s="67"/>
      <c r="IP2139" s="67"/>
      <c r="IQ2139" s="67"/>
      <c r="IR2139" s="67"/>
      <c r="IS2139" s="67"/>
      <c r="IT2139" s="67"/>
      <c r="IU2139" s="67"/>
      <c r="IV2139" s="67"/>
      <c r="IW2139" s="67"/>
      <c r="IX2139" s="67"/>
      <c r="IY2139" s="67"/>
      <c r="IZ2139" s="67"/>
      <c r="JA2139" s="67"/>
      <c r="JB2139" s="67"/>
      <c r="JC2139" s="67"/>
      <c r="JD2139" s="67"/>
      <c r="JE2139" s="67"/>
      <c r="JF2139" s="67"/>
      <c r="JG2139" s="67"/>
      <c r="JH2139" s="67"/>
      <c r="JI2139" s="67"/>
      <c r="JJ2139" s="67"/>
      <c r="JK2139" s="67"/>
      <c r="JL2139" s="67"/>
      <c r="JM2139" s="67"/>
      <c r="JN2139" s="67"/>
      <c r="JO2139" s="67"/>
      <c r="JP2139" s="67"/>
      <c r="JQ2139" s="67"/>
      <c r="JR2139" s="67"/>
      <c r="JS2139" s="67"/>
      <c r="JT2139" s="67"/>
      <c r="JU2139" s="58"/>
      <c r="JV2139" s="58"/>
      <c r="JW2139" s="58"/>
    </row>
    <row r="2140" spans="1:283" s="23" customFormat="1" x14ac:dyDescent="0.25">
      <c r="A2140" s="55">
        <v>2139</v>
      </c>
      <c r="B2140" s="12" t="s">
        <v>7067</v>
      </c>
      <c r="C2140" s="156">
        <v>97</v>
      </c>
      <c r="D2140" s="58" t="s">
        <v>4137</v>
      </c>
      <c r="E2140" s="93" t="s">
        <v>2086</v>
      </c>
      <c r="F2140" s="93"/>
      <c r="G2140" s="58"/>
      <c r="H2140" s="59">
        <v>2000</v>
      </c>
      <c r="I2140" s="58">
        <v>1994</v>
      </c>
      <c r="J2140" s="59" t="s">
        <v>2003</v>
      </c>
      <c r="K2140" s="59" t="s">
        <v>2087</v>
      </c>
      <c r="L2140" s="59" t="s">
        <v>2738</v>
      </c>
      <c r="M2140" s="94">
        <v>46.58</v>
      </c>
      <c r="N2140" s="94">
        <v>-71.23</v>
      </c>
      <c r="O2140" s="93">
        <v>132.1</v>
      </c>
      <c r="P2140" s="59"/>
      <c r="Q2140" s="59"/>
      <c r="R2140" s="58"/>
      <c r="S2140" s="94"/>
      <c r="T2140" s="58"/>
      <c r="U2140" s="58">
        <v>2</v>
      </c>
      <c r="V2140" s="59">
        <v>4</v>
      </c>
      <c r="W2140" s="174"/>
      <c r="X2140" s="174"/>
      <c r="Y2140" s="58" t="s">
        <v>2230</v>
      </c>
      <c r="Z2140" s="59" t="s">
        <v>1346</v>
      </c>
      <c r="AA2140" s="94">
        <v>20</v>
      </c>
      <c r="AB2140" s="67"/>
      <c r="AC2140" s="67"/>
      <c r="AD2140" s="94">
        <v>1.6087</v>
      </c>
      <c r="AE2140" s="93">
        <v>27</v>
      </c>
      <c r="AF2140" s="93">
        <v>49</v>
      </c>
      <c r="AG2140" s="93"/>
      <c r="AH2140" s="58" t="s">
        <v>139</v>
      </c>
      <c r="AI2140" s="169"/>
      <c r="AJ2140" s="94"/>
      <c r="AK2140" s="94"/>
      <c r="AL2140" s="58"/>
      <c r="AM2140" s="59" t="s">
        <v>2088</v>
      </c>
      <c r="AN2140" s="188" t="s">
        <v>2095</v>
      </c>
      <c r="AO2140" s="185" t="s">
        <v>5150</v>
      </c>
      <c r="AP2140" s="59"/>
      <c r="AQ2140" s="58" t="s">
        <v>1097</v>
      </c>
      <c r="AR2140" s="59" t="s">
        <v>2090</v>
      </c>
      <c r="AS2140" s="58" t="s">
        <v>116</v>
      </c>
      <c r="AT2140" s="182"/>
      <c r="AU2140" s="181" t="s">
        <v>7494</v>
      </c>
      <c r="AV2140" s="185" t="s">
        <v>176</v>
      </c>
      <c r="AW2140" s="58"/>
      <c r="AX2140" s="185" t="s">
        <v>176</v>
      </c>
      <c r="AY2140" s="58"/>
      <c r="AZ2140" s="59" t="s">
        <v>1976</v>
      </c>
      <c r="BA2140" s="59" t="s">
        <v>1976</v>
      </c>
      <c r="BB2140" s="59" t="s">
        <v>2081</v>
      </c>
      <c r="BC2140" s="59" t="s">
        <v>2081</v>
      </c>
      <c r="BD2140" s="58" t="s">
        <v>176</v>
      </c>
      <c r="BE2140" s="240" t="s">
        <v>2106</v>
      </c>
      <c r="BF2140" s="191" t="s">
        <v>479</v>
      </c>
      <c r="BG2140" s="191" t="s">
        <v>479</v>
      </c>
      <c r="BH2140" s="240" t="s">
        <v>2106</v>
      </c>
      <c r="BI2140" s="191" t="s">
        <v>479</v>
      </c>
      <c r="BJ2140" s="58" t="s">
        <v>176</v>
      </c>
      <c r="BK2140" s="58" t="s">
        <v>5976</v>
      </c>
      <c r="BL2140" s="58"/>
      <c r="BM2140" s="241" t="s">
        <v>160</v>
      </c>
      <c r="BN2140" s="58">
        <v>3</v>
      </c>
      <c r="BO2140" s="58">
        <v>3</v>
      </c>
      <c r="BP2140" s="59">
        <v>10</v>
      </c>
      <c r="BQ2140" s="58" t="s">
        <v>141</v>
      </c>
      <c r="BR2140" s="58"/>
      <c r="BS2140" s="58"/>
      <c r="BT2140" s="58"/>
      <c r="BU2140" s="58"/>
      <c r="BV2140" s="58"/>
      <c r="BW2140" s="67"/>
      <c r="BX2140" s="67"/>
      <c r="BY2140" s="67"/>
      <c r="BZ2140" s="67"/>
      <c r="CA2140" s="67"/>
      <c r="CB2140" s="153">
        <v>2712.4</v>
      </c>
      <c r="CC2140" s="68">
        <v>3856</v>
      </c>
      <c r="CD2140" s="68"/>
      <c r="CE2140" s="67"/>
      <c r="CF2140" s="67"/>
      <c r="CG2140" s="67" t="s">
        <v>545</v>
      </c>
      <c r="CH2140" s="94"/>
      <c r="CI2140" s="94"/>
      <c r="CJ2140" s="67"/>
      <c r="CK2140" s="67"/>
      <c r="CL2140" s="67"/>
      <c r="CM2140" s="69"/>
      <c r="CN2140" s="69"/>
      <c r="CO2140" s="67"/>
      <c r="CP2140" s="67"/>
      <c r="CQ2140" s="67"/>
      <c r="CR2140" s="69"/>
      <c r="CS2140" s="69"/>
      <c r="CT2140" s="67"/>
      <c r="CU2140" s="67"/>
      <c r="CV2140" s="67"/>
      <c r="CW2140" s="67"/>
      <c r="CX2140" s="67"/>
      <c r="CY2140" s="67"/>
      <c r="CZ2140" s="67"/>
      <c r="DA2140" s="67"/>
      <c r="DB2140" s="67"/>
      <c r="DC2140" s="67"/>
      <c r="DD2140" s="67"/>
      <c r="DE2140" s="67"/>
      <c r="DF2140" s="67"/>
      <c r="DG2140" s="67"/>
      <c r="DH2140" s="67"/>
      <c r="DI2140" s="67"/>
      <c r="DJ2140" s="67"/>
      <c r="DK2140" s="67"/>
      <c r="DL2140" s="67"/>
      <c r="DM2140" s="67"/>
      <c r="DN2140" s="67"/>
      <c r="DO2140" s="67"/>
      <c r="DP2140" s="67"/>
      <c r="DQ2140" s="166"/>
      <c r="DR2140" s="166"/>
      <c r="DS2140" s="163"/>
      <c r="DT2140" s="163"/>
      <c r="DU2140" s="67"/>
      <c r="DV2140" s="67"/>
      <c r="DW2140" s="67"/>
      <c r="DX2140" s="67"/>
      <c r="DY2140" s="67"/>
      <c r="DZ2140" s="67"/>
      <c r="EA2140" s="67"/>
      <c r="EB2140" s="67"/>
      <c r="EC2140" s="67"/>
      <c r="ED2140" s="67"/>
      <c r="EE2140" s="67"/>
      <c r="EF2140" s="67"/>
      <c r="EG2140" s="67"/>
      <c r="EH2140" s="67"/>
      <c r="EI2140" s="67"/>
      <c r="EJ2140" s="67"/>
      <c r="EK2140" s="94"/>
      <c r="EL2140" s="94"/>
      <c r="EM2140" s="67"/>
      <c r="EN2140" s="67"/>
      <c r="EO2140" s="67"/>
      <c r="EP2140" s="67"/>
      <c r="EQ2140" s="67"/>
      <c r="ER2140" s="67"/>
      <c r="ES2140" s="67"/>
      <c r="ET2140" s="67"/>
      <c r="EU2140" s="67"/>
      <c r="EV2140" s="67"/>
      <c r="EW2140" s="67"/>
      <c r="EX2140" s="67"/>
      <c r="EY2140" s="67"/>
      <c r="EZ2140" s="67"/>
      <c r="FA2140" s="67"/>
      <c r="FB2140" s="67"/>
      <c r="FC2140" s="67"/>
      <c r="FD2140" s="67"/>
      <c r="FE2140" s="67"/>
      <c r="FF2140" s="67"/>
      <c r="FG2140" s="67"/>
      <c r="FH2140" s="67"/>
      <c r="FI2140" s="67"/>
      <c r="FJ2140" s="67"/>
      <c r="FK2140" s="67"/>
      <c r="FL2140" s="67"/>
      <c r="FM2140" s="67"/>
      <c r="FN2140" s="67"/>
      <c r="FO2140" s="67"/>
      <c r="FP2140" s="67"/>
      <c r="FQ2140" s="67"/>
      <c r="FR2140" s="67"/>
      <c r="FS2140" s="67"/>
      <c r="FT2140" s="67"/>
      <c r="FU2140" s="67"/>
      <c r="FV2140" s="67"/>
      <c r="FW2140" s="67"/>
      <c r="FX2140" s="67"/>
      <c r="FY2140" s="67"/>
      <c r="FZ2140" s="67"/>
      <c r="GA2140" s="67"/>
      <c r="GB2140" s="67"/>
      <c r="GC2140" s="67"/>
      <c r="GD2140" s="67"/>
      <c r="GE2140" s="67"/>
      <c r="GF2140" s="67"/>
      <c r="GG2140" s="67"/>
      <c r="GH2140" s="67"/>
      <c r="GI2140" s="67"/>
      <c r="GJ2140" s="67"/>
      <c r="GK2140" s="67"/>
      <c r="GL2140" s="67"/>
      <c r="GM2140" s="67"/>
      <c r="GN2140" s="292"/>
      <c r="GO2140" s="292"/>
      <c r="GP2140" s="292" t="s">
        <v>7494</v>
      </c>
      <c r="GQ2140" s="67"/>
      <c r="GR2140" s="67"/>
      <c r="GS2140" s="67"/>
      <c r="GT2140" s="67"/>
      <c r="GU2140" s="67"/>
      <c r="GV2140" s="67"/>
      <c r="GW2140" s="67"/>
      <c r="GX2140" s="67"/>
      <c r="GY2140" s="67"/>
      <c r="GZ2140" s="67"/>
      <c r="HA2140" s="67"/>
      <c r="HB2140" s="67"/>
      <c r="HC2140" s="67"/>
      <c r="HD2140" s="67"/>
      <c r="HE2140" s="67"/>
      <c r="HF2140" s="67"/>
      <c r="HG2140" s="67"/>
      <c r="HH2140" s="67"/>
      <c r="HI2140" s="67"/>
      <c r="HJ2140" s="67"/>
      <c r="HK2140" s="67"/>
      <c r="HL2140" s="67"/>
      <c r="HM2140" s="67"/>
      <c r="HN2140" s="67"/>
      <c r="HO2140" s="67"/>
      <c r="HP2140" s="67"/>
      <c r="HQ2140" s="67"/>
      <c r="HR2140" s="67"/>
      <c r="HS2140" s="67"/>
      <c r="HT2140" s="67"/>
      <c r="HU2140" s="67"/>
      <c r="HV2140" s="67"/>
      <c r="HW2140" s="67"/>
      <c r="HX2140" s="67"/>
      <c r="HY2140" s="67"/>
      <c r="HZ2140" s="67"/>
      <c r="IA2140" s="67"/>
      <c r="IB2140" s="67"/>
      <c r="IC2140" s="67"/>
      <c r="ID2140" s="67"/>
      <c r="IE2140" s="67"/>
      <c r="IF2140" s="67"/>
      <c r="IG2140" s="67"/>
      <c r="IH2140" s="67"/>
      <c r="II2140" s="67"/>
      <c r="IJ2140" s="67"/>
      <c r="IK2140" s="67"/>
      <c r="IL2140" s="67"/>
      <c r="IM2140" s="67"/>
      <c r="IN2140" s="67"/>
      <c r="IO2140" s="67"/>
      <c r="IP2140" s="67"/>
      <c r="IQ2140" s="67"/>
      <c r="IR2140" s="67"/>
      <c r="IS2140" s="67"/>
      <c r="IT2140" s="67"/>
      <c r="IU2140" s="67"/>
      <c r="IV2140" s="67"/>
      <c r="IW2140" s="67"/>
      <c r="IX2140" s="67"/>
      <c r="IY2140" s="67"/>
      <c r="IZ2140" s="67"/>
      <c r="JA2140" s="67"/>
      <c r="JB2140" s="67"/>
      <c r="JC2140" s="67"/>
      <c r="JD2140" s="67"/>
      <c r="JE2140" s="67"/>
      <c r="JF2140" s="67"/>
      <c r="JG2140" s="67"/>
      <c r="JH2140" s="67"/>
      <c r="JI2140" s="67"/>
      <c r="JJ2140" s="67"/>
      <c r="JK2140" s="67"/>
      <c r="JL2140" s="67"/>
      <c r="JM2140" s="67"/>
      <c r="JN2140" s="67"/>
      <c r="JO2140" s="67"/>
      <c r="JP2140" s="67"/>
      <c r="JQ2140" s="67"/>
      <c r="JR2140" s="67"/>
      <c r="JS2140" s="67"/>
      <c r="JT2140" s="67"/>
      <c r="JU2140" s="58"/>
      <c r="JV2140" s="58"/>
      <c r="JW2140" s="58"/>
    </row>
    <row r="2141" spans="1:283" s="23" customFormat="1" x14ac:dyDescent="0.25">
      <c r="A2141" s="55">
        <v>2140</v>
      </c>
      <c r="B2141" s="12" t="s">
        <v>7067</v>
      </c>
      <c r="C2141" s="156">
        <v>97</v>
      </c>
      <c r="D2141" s="58" t="s">
        <v>4137</v>
      </c>
      <c r="E2141" s="93" t="s">
        <v>2086</v>
      </c>
      <c r="F2141" s="93"/>
      <c r="G2141" s="58"/>
      <c r="H2141" s="59">
        <v>2000</v>
      </c>
      <c r="I2141" s="58">
        <v>1994</v>
      </c>
      <c r="J2141" s="59" t="s">
        <v>2003</v>
      </c>
      <c r="K2141" s="59" t="s">
        <v>2087</v>
      </c>
      <c r="L2141" s="59" t="s">
        <v>2738</v>
      </c>
      <c r="M2141" s="94">
        <v>46.58</v>
      </c>
      <c r="N2141" s="94">
        <v>-71.23</v>
      </c>
      <c r="O2141" s="93">
        <v>132.1</v>
      </c>
      <c r="P2141" s="59"/>
      <c r="Q2141" s="59"/>
      <c r="R2141" s="58"/>
      <c r="S2141" s="94"/>
      <c r="T2141" s="58"/>
      <c r="U2141" s="58">
        <v>2</v>
      </c>
      <c r="V2141" s="59">
        <v>4</v>
      </c>
      <c r="W2141" s="174"/>
      <c r="X2141" s="174"/>
      <c r="Y2141" s="58" t="s">
        <v>2230</v>
      </c>
      <c r="Z2141" s="59" t="s">
        <v>1346</v>
      </c>
      <c r="AA2141" s="94">
        <v>20</v>
      </c>
      <c r="AB2141" s="67"/>
      <c r="AC2141" s="67"/>
      <c r="AD2141" s="94">
        <v>1.6087</v>
      </c>
      <c r="AE2141" s="93">
        <v>27</v>
      </c>
      <c r="AF2141" s="93">
        <v>49</v>
      </c>
      <c r="AG2141" s="93"/>
      <c r="AH2141" s="58" t="s">
        <v>139</v>
      </c>
      <c r="AI2141" s="169"/>
      <c r="AJ2141" s="94"/>
      <c r="AK2141" s="94"/>
      <c r="AL2141" s="58"/>
      <c r="AM2141" s="59" t="s">
        <v>2088</v>
      </c>
      <c r="AN2141" s="188" t="s">
        <v>2094</v>
      </c>
      <c r="AO2141" s="185" t="s">
        <v>5150</v>
      </c>
      <c r="AP2141" s="59"/>
      <c r="AQ2141" s="58" t="s">
        <v>1097</v>
      </c>
      <c r="AR2141" s="59" t="s">
        <v>2090</v>
      </c>
      <c r="AS2141" s="58" t="s">
        <v>116</v>
      </c>
      <c r="AT2141" s="182"/>
      <c r="AU2141" s="181" t="s">
        <v>7494</v>
      </c>
      <c r="AV2141" s="185" t="s">
        <v>176</v>
      </c>
      <c r="AW2141" s="58"/>
      <c r="AX2141" s="185" t="s">
        <v>176</v>
      </c>
      <c r="AY2141" s="58"/>
      <c r="AZ2141" s="59" t="s">
        <v>1976</v>
      </c>
      <c r="BA2141" s="59" t="s">
        <v>1976</v>
      </c>
      <c r="BB2141" s="59" t="s">
        <v>2081</v>
      </c>
      <c r="BC2141" s="59" t="s">
        <v>2081</v>
      </c>
      <c r="BD2141" s="58" t="s">
        <v>176</v>
      </c>
      <c r="BE2141" s="240" t="s">
        <v>2106</v>
      </c>
      <c r="BF2141" s="191" t="s">
        <v>479</v>
      </c>
      <c r="BG2141" s="191" t="s">
        <v>479</v>
      </c>
      <c r="BH2141" s="240" t="s">
        <v>2106</v>
      </c>
      <c r="BI2141" s="191" t="s">
        <v>479</v>
      </c>
      <c r="BJ2141" s="58" t="s">
        <v>176</v>
      </c>
      <c r="BK2141" s="58" t="s">
        <v>5976</v>
      </c>
      <c r="BL2141" s="58"/>
      <c r="BM2141" s="241" t="s">
        <v>160</v>
      </c>
      <c r="BN2141" s="58">
        <v>3</v>
      </c>
      <c r="BO2141" s="58">
        <v>3</v>
      </c>
      <c r="BP2141" s="59">
        <v>10</v>
      </c>
      <c r="BQ2141" s="58" t="s">
        <v>141</v>
      </c>
      <c r="BR2141" s="58"/>
      <c r="BS2141" s="58"/>
      <c r="BT2141" s="58"/>
      <c r="BU2141" s="58"/>
      <c r="BV2141" s="58"/>
      <c r="BW2141" s="67"/>
      <c r="BX2141" s="67"/>
      <c r="BY2141" s="67"/>
      <c r="BZ2141" s="67"/>
      <c r="CA2141" s="67"/>
      <c r="CB2141" s="153">
        <v>2712.4</v>
      </c>
      <c r="CC2141" s="68">
        <v>3777</v>
      </c>
      <c r="CD2141" s="68"/>
      <c r="CE2141" s="67"/>
      <c r="CF2141" s="67"/>
      <c r="CG2141" s="67" t="s">
        <v>545</v>
      </c>
      <c r="CH2141" s="94"/>
      <c r="CI2141" s="94"/>
      <c r="CJ2141" s="67"/>
      <c r="CK2141" s="67"/>
      <c r="CL2141" s="67"/>
      <c r="CM2141" s="69"/>
      <c r="CN2141" s="69"/>
      <c r="CO2141" s="67"/>
      <c r="CP2141" s="67"/>
      <c r="CQ2141" s="67"/>
      <c r="CR2141" s="69"/>
      <c r="CS2141" s="69"/>
      <c r="CT2141" s="67"/>
      <c r="CU2141" s="67"/>
      <c r="CV2141" s="67"/>
      <c r="CW2141" s="67"/>
      <c r="CX2141" s="67"/>
      <c r="CY2141" s="67"/>
      <c r="CZ2141" s="67"/>
      <c r="DA2141" s="67"/>
      <c r="DB2141" s="67"/>
      <c r="DC2141" s="67"/>
      <c r="DD2141" s="67"/>
      <c r="DE2141" s="67"/>
      <c r="DF2141" s="67"/>
      <c r="DG2141" s="67"/>
      <c r="DH2141" s="67"/>
      <c r="DI2141" s="67"/>
      <c r="DJ2141" s="67"/>
      <c r="DK2141" s="67"/>
      <c r="DL2141" s="67"/>
      <c r="DM2141" s="67"/>
      <c r="DN2141" s="67"/>
      <c r="DO2141" s="67"/>
      <c r="DP2141" s="67"/>
      <c r="DQ2141" s="166"/>
      <c r="DR2141" s="166"/>
      <c r="DS2141" s="163"/>
      <c r="DT2141" s="163"/>
      <c r="DU2141" s="67"/>
      <c r="DV2141" s="67"/>
      <c r="DW2141" s="67"/>
      <c r="DX2141" s="67"/>
      <c r="DY2141" s="67"/>
      <c r="DZ2141" s="67"/>
      <c r="EA2141" s="67"/>
      <c r="EB2141" s="67"/>
      <c r="EC2141" s="67"/>
      <c r="ED2141" s="67"/>
      <c r="EE2141" s="67"/>
      <c r="EF2141" s="67"/>
      <c r="EG2141" s="67"/>
      <c r="EH2141" s="67"/>
      <c r="EI2141" s="67"/>
      <c r="EJ2141" s="67"/>
      <c r="EK2141" s="94"/>
      <c r="EL2141" s="94"/>
      <c r="EM2141" s="67"/>
      <c r="EN2141" s="67"/>
      <c r="EO2141" s="67"/>
      <c r="EP2141" s="67"/>
      <c r="EQ2141" s="67"/>
      <c r="ER2141" s="67"/>
      <c r="ES2141" s="67"/>
      <c r="ET2141" s="67"/>
      <c r="EU2141" s="67"/>
      <c r="EV2141" s="67"/>
      <c r="EW2141" s="67"/>
      <c r="EX2141" s="67"/>
      <c r="EY2141" s="67"/>
      <c r="EZ2141" s="67"/>
      <c r="FA2141" s="67"/>
      <c r="FB2141" s="67"/>
      <c r="FC2141" s="67"/>
      <c r="FD2141" s="67"/>
      <c r="FE2141" s="67"/>
      <c r="FF2141" s="67"/>
      <c r="FG2141" s="67"/>
      <c r="FH2141" s="67"/>
      <c r="FI2141" s="67"/>
      <c r="FJ2141" s="67"/>
      <c r="FK2141" s="67"/>
      <c r="FL2141" s="67"/>
      <c r="FM2141" s="67"/>
      <c r="FN2141" s="67"/>
      <c r="FO2141" s="67"/>
      <c r="FP2141" s="67"/>
      <c r="FQ2141" s="67"/>
      <c r="FR2141" s="67"/>
      <c r="FS2141" s="67"/>
      <c r="FT2141" s="67"/>
      <c r="FU2141" s="67"/>
      <c r="FV2141" s="67"/>
      <c r="FW2141" s="67"/>
      <c r="FX2141" s="67"/>
      <c r="FY2141" s="67"/>
      <c r="FZ2141" s="67"/>
      <c r="GA2141" s="67"/>
      <c r="GB2141" s="67"/>
      <c r="GC2141" s="67"/>
      <c r="GD2141" s="67"/>
      <c r="GE2141" s="67"/>
      <c r="GF2141" s="67"/>
      <c r="GG2141" s="67"/>
      <c r="GH2141" s="67"/>
      <c r="GI2141" s="67"/>
      <c r="GJ2141" s="67"/>
      <c r="GK2141" s="67"/>
      <c r="GL2141" s="67"/>
      <c r="GM2141" s="67"/>
      <c r="GN2141" s="292"/>
      <c r="GO2141" s="292"/>
      <c r="GP2141" s="292" t="s">
        <v>7494</v>
      </c>
      <c r="GQ2141" s="67"/>
      <c r="GR2141" s="67"/>
      <c r="GS2141" s="67"/>
      <c r="GT2141" s="67"/>
      <c r="GU2141" s="67"/>
      <c r="GV2141" s="67"/>
      <c r="GW2141" s="67"/>
      <c r="GX2141" s="67"/>
      <c r="GY2141" s="67"/>
      <c r="GZ2141" s="67"/>
      <c r="HA2141" s="67"/>
      <c r="HB2141" s="67"/>
      <c r="HC2141" s="67"/>
      <c r="HD2141" s="67"/>
      <c r="HE2141" s="67"/>
      <c r="HF2141" s="67"/>
      <c r="HG2141" s="67"/>
      <c r="HH2141" s="67"/>
      <c r="HI2141" s="67"/>
      <c r="HJ2141" s="67"/>
      <c r="HK2141" s="67"/>
      <c r="HL2141" s="67"/>
      <c r="HM2141" s="67"/>
      <c r="HN2141" s="67"/>
      <c r="HO2141" s="67"/>
      <c r="HP2141" s="67"/>
      <c r="HQ2141" s="67"/>
      <c r="HR2141" s="67"/>
      <c r="HS2141" s="67"/>
      <c r="HT2141" s="67"/>
      <c r="HU2141" s="67"/>
      <c r="HV2141" s="67"/>
      <c r="HW2141" s="67"/>
      <c r="HX2141" s="67"/>
      <c r="HY2141" s="67"/>
      <c r="HZ2141" s="67"/>
      <c r="IA2141" s="67"/>
      <c r="IB2141" s="67"/>
      <c r="IC2141" s="67"/>
      <c r="ID2141" s="67"/>
      <c r="IE2141" s="67"/>
      <c r="IF2141" s="67"/>
      <c r="IG2141" s="67"/>
      <c r="IH2141" s="67"/>
      <c r="II2141" s="67"/>
      <c r="IJ2141" s="67"/>
      <c r="IK2141" s="67"/>
      <c r="IL2141" s="67"/>
      <c r="IM2141" s="67"/>
      <c r="IN2141" s="67"/>
      <c r="IO2141" s="67"/>
      <c r="IP2141" s="67"/>
      <c r="IQ2141" s="67"/>
      <c r="IR2141" s="67"/>
      <c r="IS2141" s="67"/>
      <c r="IT2141" s="67"/>
      <c r="IU2141" s="67"/>
      <c r="IV2141" s="67"/>
      <c r="IW2141" s="67"/>
      <c r="IX2141" s="67"/>
      <c r="IY2141" s="67"/>
      <c r="IZ2141" s="67"/>
      <c r="JA2141" s="67"/>
      <c r="JB2141" s="67"/>
      <c r="JC2141" s="67"/>
      <c r="JD2141" s="67"/>
      <c r="JE2141" s="67"/>
      <c r="JF2141" s="67"/>
      <c r="JG2141" s="67"/>
      <c r="JH2141" s="67"/>
      <c r="JI2141" s="67"/>
      <c r="JJ2141" s="67"/>
      <c r="JK2141" s="67"/>
      <c r="JL2141" s="67"/>
      <c r="JM2141" s="67"/>
      <c r="JN2141" s="67"/>
      <c r="JO2141" s="67"/>
      <c r="JP2141" s="67"/>
      <c r="JQ2141" s="67"/>
      <c r="JR2141" s="67"/>
      <c r="JS2141" s="67"/>
      <c r="JT2141" s="67"/>
      <c r="JU2141" s="58"/>
      <c r="JV2141" s="58"/>
      <c r="JW2141" s="58"/>
    </row>
    <row r="2142" spans="1:283" s="23" customFormat="1" x14ac:dyDescent="0.25">
      <c r="A2142" s="55">
        <v>2141</v>
      </c>
      <c r="B2142" s="12" t="s">
        <v>7067</v>
      </c>
      <c r="C2142" s="156">
        <v>97</v>
      </c>
      <c r="D2142" s="58" t="s">
        <v>4135</v>
      </c>
      <c r="E2142" s="93" t="s">
        <v>2086</v>
      </c>
      <c r="F2142" s="93"/>
      <c r="G2142" s="58"/>
      <c r="H2142" s="59">
        <v>2000</v>
      </c>
      <c r="I2142" s="58">
        <v>1994</v>
      </c>
      <c r="J2142" s="59" t="s">
        <v>2003</v>
      </c>
      <c r="K2142" s="59" t="s">
        <v>2087</v>
      </c>
      <c r="L2142" s="59" t="s">
        <v>2738</v>
      </c>
      <c r="M2142" s="94">
        <v>46.58</v>
      </c>
      <c r="N2142" s="94">
        <v>-71.23</v>
      </c>
      <c r="O2142" s="93">
        <v>132.1</v>
      </c>
      <c r="P2142" s="59"/>
      <c r="Q2142" s="59"/>
      <c r="R2142" s="58"/>
      <c r="S2142" s="94"/>
      <c r="T2142" s="58"/>
      <c r="U2142" s="58">
        <v>2</v>
      </c>
      <c r="V2142" s="59">
        <v>4</v>
      </c>
      <c r="W2142" s="174"/>
      <c r="X2142" s="174"/>
      <c r="Y2142" s="58" t="s">
        <v>2230</v>
      </c>
      <c r="Z2142" s="59" t="s">
        <v>1346</v>
      </c>
      <c r="AA2142" s="94">
        <v>20</v>
      </c>
      <c r="AB2142" s="67"/>
      <c r="AC2142" s="67"/>
      <c r="AD2142" s="94">
        <v>1.6087</v>
      </c>
      <c r="AE2142" s="93">
        <v>27</v>
      </c>
      <c r="AF2142" s="93">
        <v>49</v>
      </c>
      <c r="AG2142" s="93"/>
      <c r="AH2142" s="58" t="s">
        <v>139</v>
      </c>
      <c r="AI2142" s="169"/>
      <c r="AJ2142" s="94"/>
      <c r="AK2142" s="94"/>
      <c r="AL2142" s="58"/>
      <c r="AM2142" s="59" t="s">
        <v>2088</v>
      </c>
      <c r="AN2142" s="188" t="s">
        <v>2089</v>
      </c>
      <c r="AO2142" s="185" t="s">
        <v>5150</v>
      </c>
      <c r="AP2142" s="59"/>
      <c r="AQ2142" s="58" t="s">
        <v>553</v>
      </c>
      <c r="AR2142" s="59" t="s">
        <v>2090</v>
      </c>
      <c r="AS2142" s="58" t="s">
        <v>116</v>
      </c>
      <c r="AT2142" s="182"/>
      <c r="AU2142" s="181" t="s">
        <v>7494</v>
      </c>
      <c r="AV2142" s="185" t="s">
        <v>176</v>
      </c>
      <c r="AW2142" s="58"/>
      <c r="AX2142" s="185" t="s">
        <v>176</v>
      </c>
      <c r="AY2142" s="58"/>
      <c r="AZ2142" s="59" t="s">
        <v>1976</v>
      </c>
      <c r="BA2142" s="59" t="s">
        <v>1976</v>
      </c>
      <c r="BB2142" s="59" t="s">
        <v>2081</v>
      </c>
      <c r="BC2142" s="59" t="s">
        <v>2081</v>
      </c>
      <c r="BD2142" s="58" t="s">
        <v>176</v>
      </c>
      <c r="BE2142" s="240" t="s">
        <v>2232</v>
      </c>
      <c r="BF2142" s="191" t="s">
        <v>479</v>
      </c>
      <c r="BG2142" s="191" t="s">
        <v>479</v>
      </c>
      <c r="BH2142" s="240" t="s">
        <v>2232</v>
      </c>
      <c r="BI2142" s="191" t="s">
        <v>479</v>
      </c>
      <c r="BJ2142" s="58" t="s">
        <v>176</v>
      </c>
      <c r="BK2142" s="58" t="s">
        <v>5976</v>
      </c>
      <c r="BL2142" s="58"/>
      <c r="BM2142" s="241" t="s">
        <v>160</v>
      </c>
      <c r="BN2142" s="58">
        <v>3</v>
      </c>
      <c r="BO2142" s="58">
        <v>3</v>
      </c>
      <c r="BP2142" s="59">
        <v>10</v>
      </c>
      <c r="BQ2142" s="58" t="s">
        <v>141</v>
      </c>
      <c r="BR2142" s="58"/>
      <c r="BS2142" s="58"/>
      <c r="BT2142" s="58"/>
      <c r="BU2142" s="58"/>
      <c r="BV2142" s="58"/>
      <c r="BW2142" s="67"/>
      <c r="BX2142" s="67"/>
      <c r="BY2142" s="67"/>
      <c r="BZ2142" s="67"/>
      <c r="CA2142" s="67"/>
      <c r="CB2142" s="153">
        <v>2420</v>
      </c>
      <c r="CC2142" s="68">
        <v>2816</v>
      </c>
      <c r="CD2142" s="68"/>
      <c r="CE2142" s="67"/>
      <c r="CF2142" s="67"/>
      <c r="CG2142" s="67" t="s">
        <v>545</v>
      </c>
      <c r="CH2142" s="94"/>
      <c r="CI2142" s="94"/>
      <c r="CJ2142" s="67"/>
      <c r="CK2142" s="67"/>
      <c r="CL2142" s="67"/>
      <c r="CM2142" s="69"/>
      <c r="CN2142" s="69"/>
      <c r="CO2142" s="67"/>
      <c r="CP2142" s="67"/>
      <c r="CQ2142" s="67"/>
      <c r="CR2142" s="69"/>
      <c r="CS2142" s="69"/>
      <c r="CT2142" s="67"/>
      <c r="CU2142" s="67"/>
      <c r="CV2142" s="67"/>
      <c r="CW2142" s="67"/>
      <c r="CX2142" s="67"/>
      <c r="CY2142" s="67"/>
      <c r="CZ2142" s="67"/>
      <c r="DA2142" s="67"/>
      <c r="DB2142" s="67"/>
      <c r="DC2142" s="67"/>
      <c r="DD2142" s="67"/>
      <c r="DE2142" s="67"/>
      <c r="DF2142" s="67"/>
      <c r="DG2142" s="67"/>
      <c r="DH2142" s="67"/>
      <c r="DI2142" s="67"/>
      <c r="DJ2142" s="67"/>
      <c r="DK2142" s="67"/>
      <c r="DL2142" s="67"/>
      <c r="DM2142" s="67"/>
      <c r="DN2142" s="67"/>
      <c r="DO2142" s="67"/>
      <c r="DP2142" s="67"/>
      <c r="DQ2142" s="166"/>
      <c r="DR2142" s="166"/>
      <c r="DS2142" s="163"/>
      <c r="DT2142" s="163"/>
      <c r="DU2142" s="67"/>
      <c r="DV2142" s="67"/>
      <c r="DW2142" s="67"/>
      <c r="DX2142" s="67"/>
      <c r="DY2142" s="67"/>
      <c r="DZ2142" s="67"/>
      <c r="EA2142" s="67"/>
      <c r="EB2142" s="67"/>
      <c r="EC2142" s="67"/>
      <c r="ED2142" s="67"/>
      <c r="EE2142" s="67"/>
      <c r="EF2142" s="67"/>
      <c r="EG2142" s="67"/>
      <c r="EH2142" s="67"/>
      <c r="EI2142" s="67"/>
      <c r="EJ2142" s="67"/>
      <c r="EK2142" s="94"/>
      <c r="EL2142" s="94"/>
      <c r="EM2142" s="67"/>
      <c r="EN2142" s="67"/>
      <c r="EO2142" s="67"/>
      <c r="EP2142" s="67"/>
      <c r="EQ2142" s="67"/>
      <c r="ER2142" s="67"/>
      <c r="ES2142" s="67"/>
      <c r="ET2142" s="67"/>
      <c r="EU2142" s="67"/>
      <c r="EV2142" s="67"/>
      <c r="EW2142" s="67"/>
      <c r="EX2142" s="67"/>
      <c r="EY2142" s="67"/>
      <c r="EZ2142" s="67"/>
      <c r="FA2142" s="67"/>
      <c r="FB2142" s="67"/>
      <c r="FC2142" s="67"/>
      <c r="FD2142" s="67"/>
      <c r="FE2142" s="67"/>
      <c r="FF2142" s="67"/>
      <c r="FG2142" s="67"/>
      <c r="FH2142" s="67"/>
      <c r="FI2142" s="67"/>
      <c r="FJ2142" s="67"/>
      <c r="FK2142" s="67"/>
      <c r="FL2142" s="67"/>
      <c r="FM2142" s="67"/>
      <c r="FN2142" s="67"/>
      <c r="FO2142" s="67"/>
      <c r="FP2142" s="67"/>
      <c r="FQ2142" s="67"/>
      <c r="FR2142" s="67"/>
      <c r="FS2142" s="67"/>
      <c r="FT2142" s="67"/>
      <c r="FU2142" s="67"/>
      <c r="FV2142" s="67"/>
      <c r="FW2142" s="67"/>
      <c r="FX2142" s="67"/>
      <c r="FY2142" s="67"/>
      <c r="FZ2142" s="67"/>
      <c r="GA2142" s="67"/>
      <c r="GB2142" s="67"/>
      <c r="GC2142" s="67"/>
      <c r="GD2142" s="67"/>
      <c r="GE2142" s="67"/>
      <c r="GF2142" s="67"/>
      <c r="GG2142" s="67"/>
      <c r="GH2142" s="67"/>
      <c r="GI2142" s="67"/>
      <c r="GJ2142" s="67"/>
      <c r="GK2142" s="67"/>
      <c r="GL2142" s="67"/>
      <c r="GM2142" s="67"/>
      <c r="GN2142" s="292"/>
      <c r="GO2142" s="292"/>
      <c r="GP2142" s="292" t="s">
        <v>7494</v>
      </c>
      <c r="GQ2142" s="67"/>
      <c r="GR2142" s="67"/>
      <c r="GS2142" s="67"/>
      <c r="GT2142" s="67"/>
      <c r="GU2142" s="67"/>
      <c r="GV2142" s="67"/>
      <c r="GW2142" s="67"/>
      <c r="GX2142" s="67"/>
      <c r="GY2142" s="67"/>
      <c r="GZ2142" s="67"/>
      <c r="HA2142" s="67"/>
      <c r="HB2142" s="67"/>
      <c r="HC2142" s="67"/>
      <c r="HD2142" s="67"/>
      <c r="HE2142" s="67"/>
      <c r="HF2142" s="67"/>
      <c r="HG2142" s="67"/>
      <c r="HH2142" s="67"/>
      <c r="HI2142" s="67"/>
      <c r="HJ2142" s="67"/>
      <c r="HK2142" s="67"/>
      <c r="HL2142" s="67"/>
      <c r="HM2142" s="67"/>
      <c r="HN2142" s="67"/>
      <c r="HO2142" s="67"/>
      <c r="HP2142" s="67"/>
      <c r="HQ2142" s="67"/>
      <c r="HR2142" s="67"/>
      <c r="HS2142" s="67"/>
      <c r="HT2142" s="67"/>
      <c r="HU2142" s="67"/>
      <c r="HV2142" s="67"/>
      <c r="HW2142" s="67"/>
      <c r="HX2142" s="67"/>
      <c r="HY2142" s="67"/>
      <c r="HZ2142" s="67"/>
      <c r="IA2142" s="67"/>
      <c r="IB2142" s="67"/>
      <c r="IC2142" s="67"/>
      <c r="ID2142" s="67"/>
      <c r="IE2142" s="67"/>
      <c r="IF2142" s="67"/>
      <c r="IG2142" s="67"/>
      <c r="IH2142" s="67"/>
      <c r="II2142" s="67"/>
      <c r="IJ2142" s="67"/>
      <c r="IK2142" s="67"/>
      <c r="IL2142" s="67"/>
      <c r="IM2142" s="67"/>
      <c r="IN2142" s="67"/>
      <c r="IO2142" s="67"/>
      <c r="IP2142" s="67"/>
      <c r="IQ2142" s="67"/>
      <c r="IR2142" s="67"/>
      <c r="IS2142" s="67"/>
      <c r="IT2142" s="67"/>
      <c r="IU2142" s="67"/>
      <c r="IV2142" s="67"/>
      <c r="IW2142" s="67"/>
      <c r="IX2142" s="67"/>
      <c r="IY2142" s="67"/>
      <c r="IZ2142" s="67"/>
      <c r="JA2142" s="67"/>
      <c r="JB2142" s="67"/>
      <c r="JC2142" s="67"/>
      <c r="JD2142" s="67"/>
      <c r="JE2142" s="67"/>
      <c r="JF2142" s="67"/>
      <c r="JG2142" s="67"/>
      <c r="JH2142" s="67"/>
      <c r="JI2142" s="67"/>
      <c r="JJ2142" s="67"/>
      <c r="JK2142" s="67"/>
      <c r="JL2142" s="67"/>
      <c r="JM2142" s="67"/>
      <c r="JN2142" s="67"/>
      <c r="JO2142" s="67"/>
      <c r="JP2142" s="67"/>
      <c r="JQ2142" s="67"/>
      <c r="JR2142" s="67"/>
      <c r="JS2142" s="67"/>
      <c r="JT2142" s="67"/>
      <c r="JU2142" s="58"/>
      <c r="JV2142" s="58"/>
      <c r="JW2142" s="58"/>
    </row>
    <row r="2143" spans="1:283" s="23" customFormat="1" x14ac:dyDescent="0.25">
      <c r="A2143" s="55">
        <v>2142</v>
      </c>
      <c r="B2143" s="12" t="s">
        <v>7067</v>
      </c>
      <c r="C2143" s="156">
        <v>97</v>
      </c>
      <c r="D2143" s="58" t="s">
        <v>4136</v>
      </c>
      <c r="E2143" s="93" t="s">
        <v>2086</v>
      </c>
      <c r="F2143" s="93"/>
      <c r="G2143" s="58"/>
      <c r="H2143" s="59">
        <v>2000</v>
      </c>
      <c r="I2143" s="58">
        <v>1994</v>
      </c>
      <c r="J2143" s="59" t="s">
        <v>2003</v>
      </c>
      <c r="K2143" s="59" t="s">
        <v>2087</v>
      </c>
      <c r="L2143" s="59" t="s">
        <v>2738</v>
      </c>
      <c r="M2143" s="94">
        <v>46.58</v>
      </c>
      <c r="N2143" s="94">
        <v>-71.23</v>
      </c>
      <c r="O2143" s="93">
        <v>132.1</v>
      </c>
      <c r="P2143" s="59"/>
      <c r="Q2143" s="59"/>
      <c r="R2143" s="58"/>
      <c r="S2143" s="94"/>
      <c r="T2143" s="58"/>
      <c r="U2143" s="58">
        <v>2</v>
      </c>
      <c r="V2143" s="59">
        <v>4</v>
      </c>
      <c r="W2143" s="174"/>
      <c r="X2143" s="174"/>
      <c r="Y2143" s="58" t="s">
        <v>2230</v>
      </c>
      <c r="Z2143" s="59" t="s">
        <v>1346</v>
      </c>
      <c r="AA2143" s="94">
        <v>20</v>
      </c>
      <c r="AB2143" s="67"/>
      <c r="AC2143" s="67"/>
      <c r="AD2143" s="94">
        <v>1.6087</v>
      </c>
      <c r="AE2143" s="93">
        <v>27</v>
      </c>
      <c r="AF2143" s="93">
        <v>49</v>
      </c>
      <c r="AG2143" s="93"/>
      <c r="AH2143" s="58" t="s">
        <v>139</v>
      </c>
      <c r="AI2143" s="169"/>
      <c r="AJ2143" s="94"/>
      <c r="AK2143" s="94"/>
      <c r="AL2143" s="58"/>
      <c r="AM2143" s="59" t="s">
        <v>2088</v>
      </c>
      <c r="AN2143" s="188" t="s">
        <v>2092</v>
      </c>
      <c r="AO2143" s="185" t="s">
        <v>5150</v>
      </c>
      <c r="AP2143" s="59"/>
      <c r="AQ2143" s="58" t="s">
        <v>1545</v>
      </c>
      <c r="AR2143" s="59" t="s">
        <v>2090</v>
      </c>
      <c r="AS2143" s="58" t="s">
        <v>116</v>
      </c>
      <c r="AT2143" s="182"/>
      <c r="AU2143" s="181" t="s">
        <v>7494</v>
      </c>
      <c r="AV2143" s="185" t="s">
        <v>176</v>
      </c>
      <c r="AW2143" s="58"/>
      <c r="AX2143" s="185" t="s">
        <v>176</v>
      </c>
      <c r="AY2143" s="58"/>
      <c r="AZ2143" s="59" t="s">
        <v>1976</v>
      </c>
      <c r="BA2143" s="59" t="s">
        <v>1976</v>
      </c>
      <c r="BB2143" s="59" t="s">
        <v>2081</v>
      </c>
      <c r="BC2143" s="59" t="s">
        <v>2081</v>
      </c>
      <c r="BD2143" s="58" t="s">
        <v>176</v>
      </c>
      <c r="BE2143" s="240" t="s">
        <v>2232</v>
      </c>
      <c r="BF2143" s="191" t="s">
        <v>479</v>
      </c>
      <c r="BG2143" s="191" t="s">
        <v>479</v>
      </c>
      <c r="BH2143" s="240" t="s">
        <v>2232</v>
      </c>
      <c r="BI2143" s="191" t="s">
        <v>479</v>
      </c>
      <c r="BJ2143" s="58" t="s">
        <v>176</v>
      </c>
      <c r="BK2143" s="58" t="s">
        <v>5976</v>
      </c>
      <c r="BL2143" s="58"/>
      <c r="BM2143" s="241" t="s">
        <v>160</v>
      </c>
      <c r="BN2143" s="58">
        <v>3</v>
      </c>
      <c r="BO2143" s="58">
        <v>3</v>
      </c>
      <c r="BP2143" s="59">
        <v>10</v>
      </c>
      <c r="BQ2143" s="58" t="s">
        <v>141</v>
      </c>
      <c r="BR2143" s="58"/>
      <c r="BS2143" s="58"/>
      <c r="BT2143" s="58"/>
      <c r="BU2143" s="58"/>
      <c r="BV2143" s="58"/>
      <c r="BW2143" s="67"/>
      <c r="BX2143" s="67"/>
      <c r="BY2143" s="67"/>
      <c r="BZ2143" s="67"/>
      <c r="CA2143" s="67"/>
      <c r="CB2143" s="153">
        <v>2420</v>
      </c>
      <c r="CC2143" s="68">
        <v>3043</v>
      </c>
      <c r="CD2143" s="68"/>
      <c r="CE2143" s="67"/>
      <c r="CF2143" s="67"/>
      <c r="CG2143" s="67" t="s">
        <v>545</v>
      </c>
      <c r="CH2143" s="94"/>
      <c r="CI2143" s="94"/>
      <c r="CJ2143" s="67"/>
      <c r="CK2143" s="67"/>
      <c r="CL2143" s="67"/>
      <c r="CM2143" s="69"/>
      <c r="CN2143" s="69"/>
      <c r="CO2143" s="67"/>
      <c r="CP2143" s="67"/>
      <c r="CQ2143" s="67"/>
      <c r="CR2143" s="69"/>
      <c r="CS2143" s="69"/>
      <c r="CT2143" s="67"/>
      <c r="CU2143" s="67"/>
      <c r="CV2143" s="67"/>
      <c r="CW2143" s="67"/>
      <c r="CX2143" s="67"/>
      <c r="CY2143" s="67"/>
      <c r="CZ2143" s="67"/>
      <c r="DA2143" s="67"/>
      <c r="DB2143" s="67"/>
      <c r="DC2143" s="67"/>
      <c r="DD2143" s="67"/>
      <c r="DE2143" s="67"/>
      <c r="DF2143" s="67"/>
      <c r="DG2143" s="67"/>
      <c r="DH2143" s="67"/>
      <c r="DI2143" s="67"/>
      <c r="DJ2143" s="67"/>
      <c r="DK2143" s="67"/>
      <c r="DL2143" s="67"/>
      <c r="DM2143" s="67"/>
      <c r="DN2143" s="67"/>
      <c r="DO2143" s="67"/>
      <c r="DP2143" s="67"/>
      <c r="DQ2143" s="166"/>
      <c r="DR2143" s="166"/>
      <c r="DS2143" s="163"/>
      <c r="DT2143" s="163"/>
      <c r="DU2143" s="67"/>
      <c r="DV2143" s="67"/>
      <c r="DW2143" s="67"/>
      <c r="DX2143" s="67"/>
      <c r="DY2143" s="67"/>
      <c r="DZ2143" s="67"/>
      <c r="EA2143" s="67"/>
      <c r="EB2143" s="67"/>
      <c r="EC2143" s="67"/>
      <c r="ED2143" s="67"/>
      <c r="EE2143" s="67"/>
      <c r="EF2143" s="67"/>
      <c r="EG2143" s="67"/>
      <c r="EH2143" s="67"/>
      <c r="EI2143" s="67"/>
      <c r="EJ2143" s="67"/>
      <c r="EK2143" s="94"/>
      <c r="EL2143" s="94"/>
      <c r="EM2143" s="67"/>
      <c r="EN2143" s="67"/>
      <c r="EO2143" s="67"/>
      <c r="EP2143" s="67"/>
      <c r="EQ2143" s="67"/>
      <c r="ER2143" s="67"/>
      <c r="ES2143" s="67"/>
      <c r="ET2143" s="67"/>
      <c r="EU2143" s="67"/>
      <c r="EV2143" s="67"/>
      <c r="EW2143" s="67"/>
      <c r="EX2143" s="67"/>
      <c r="EY2143" s="67"/>
      <c r="EZ2143" s="67"/>
      <c r="FA2143" s="67"/>
      <c r="FB2143" s="67"/>
      <c r="FC2143" s="67"/>
      <c r="FD2143" s="67"/>
      <c r="FE2143" s="67"/>
      <c r="FF2143" s="67"/>
      <c r="FG2143" s="67"/>
      <c r="FH2143" s="67"/>
      <c r="FI2143" s="67"/>
      <c r="FJ2143" s="67"/>
      <c r="FK2143" s="67"/>
      <c r="FL2143" s="67"/>
      <c r="FM2143" s="67"/>
      <c r="FN2143" s="67"/>
      <c r="FO2143" s="67"/>
      <c r="FP2143" s="67"/>
      <c r="FQ2143" s="67"/>
      <c r="FR2143" s="67"/>
      <c r="FS2143" s="67"/>
      <c r="FT2143" s="67"/>
      <c r="FU2143" s="67"/>
      <c r="FV2143" s="67"/>
      <c r="FW2143" s="67"/>
      <c r="FX2143" s="67"/>
      <c r="FY2143" s="67"/>
      <c r="FZ2143" s="67"/>
      <c r="GA2143" s="67"/>
      <c r="GB2143" s="67"/>
      <c r="GC2143" s="67"/>
      <c r="GD2143" s="67"/>
      <c r="GE2143" s="67"/>
      <c r="GF2143" s="67"/>
      <c r="GG2143" s="67"/>
      <c r="GH2143" s="67"/>
      <c r="GI2143" s="67"/>
      <c r="GJ2143" s="67"/>
      <c r="GK2143" s="67"/>
      <c r="GL2143" s="67"/>
      <c r="GM2143" s="67"/>
      <c r="GN2143" s="292"/>
      <c r="GO2143" s="292"/>
      <c r="GP2143" s="292" t="s">
        <v>7494</v>
      </c>
      <c r="GQ2143" s="67"/>
      <c r="GR2143" s="67"/>
      <c r="GS2143" s="67"/>
      <c r="GT2143" s="67"/>
      <c r="GU2143" s="67"/>
      <c r="GV2143" s="67"/>
      <c r="GW2143" s="67"/>
      <c r="GX2143" s="67"/>
      <c r="GY2143" s="67"/>
      <c r="GZ2143" s="67"/>
      <c r="HA2143" s="67"/>
      <c r="HB2143" s="67"/>
      <c r="HC2143" s="67"/>
      <c r="HD2143" s="67"/>
      <c r="HE2143" s="67"/>
      <c r="HF2143" s="67"/>
      <c r="HG2143" s="67"/>
      <c r="HH2143" s="67"/>
      <c r="HI2143" s="67"/>
      <c r="HJ2143" s="67"/>
      <c r="HK2143" s="67"/>
      <c r="HL2143" s="67"/>
      <c r="HM2143" s="67"/>
      <c r="HN2143" s="67"/>
      <c r="HO2143" s="67"/>
      <c r="HP2143" s="67"/>
      <c r="HQ2143" s="67"/>
      <c r="HR2143" s="67"/>
      <c r="HS2143" s="67"/>
      <c r="HT2143" s="67"/>
      <c r="HU2143" s="67"/>
      <c r="HV2143" s="67"/>
      <c r="HW2143" s="67"/>
      <c r="HX2143" s="67"/>
      <c r="HY2143" s="67"/>
      <c r="HZ2143" s="67"/>
      <c r="IA2143" s="67"/>
      <c r="IB2143" s="67"/>
      <c r="IC2143" s="67"/>
      <c r="ID2143" s="67"/>
      <c r="IE2143" s="67"/>
      <c r="IF2143" s="67"/>
      <c r="IG2143" s="67"/>
      <c r="IH2143" s="67"/>
      <c r="II2143" s="67"/>
      <c r="IJ2143" s="67"/>
      <c r="IK2143" s="67"/>
      <c r="IL2143" s="67"/>
      <c r="IM2143" s="67"/>
      <c r="IN2143" s="67"/>
      <c r="IO2143" s="67"/>
      <c r="IP2143" s="67"/>
      <c r="IQ2143" s="67"/>
      <c r="IR2143" s="67"/>
      <c r="IS2143" s="67"/>
      <c r="IT2143" s="67"/>
      <c r="IU2143" s="67"/>
      <c r="IV2143" s="67"/>
      <c r="IW2143" s="67"/>
      <c r="IX2143" s="67"/>
      <c r="IY2143" s="67"/>
      <c r="IZ2143" s="67"/>
      <c r="JA2143" s="67"/>
      <c r="JB2143" s="67"/>
      <c r="JC2143" s="67"/>
      <c r="JD2143" s="67"/>
      <c r="JE2143" s="67"/>
      <c r="JF2143" s="67"/>
      <c r="JG2143" s="67"/>
      <c r="JH2143" s="67"/>
      <c r="JI2143" s="67"/>
      <c r="JJ2143" s="67"/>
      <c r="JK2143" s="67"/>
      <c r="JL2143" s="67"/>
      <c r="JM2143" s="67"/>
      <c r="JN2143" s="67"/>
      <c r="JO2143" s="67"/>
      <c r="JP2143" s="67"/>
      <c r="JQ2143" s="67"/>
      <c r="JR2143" s="67"/>
      <c r="JS2143" s="67"/>
      <c r="JT2143" s="67"/>
      <c r="JU2143" s="58"/>
      <c r="JV2143" s="58"/>
      <c r="JW2143" s="58"/>
    </row>
    <row r="2144" spans="1:283" s="23" customFormat="1" x14ac:dyDescent="0.25">
      <c r="A2144" s="55">
        <v>2143</v>
      </c>
      <c r="B2144" s="12" t="s">
        <v>7067</v>
      </c>
      <c r="C2144" s="156">
        <v>97</v>
      </c>
      <c r="D2144" s="58" t="s">
        <v>4136</v>
      </c>
      <c r="E2144" s="93" t="s">
        <v>2086</v>
      </c>
      <c r="F2144" s="93"/>
      <c r="G2144" s="58"/>
      <c r="H2144" s="59">
        <v>2000</v>
      </c>
      <c r="I2144" s="58">
        <v>1994</v>
      </c>
      <c r="J2144" s="59" t="s">
        <v>2003</v>
      </c>
      <c r="K2144" s="59" t="s">
        <v>2087</v>
      </c>
      <c r="L2144" s="59" t="s">
        <v>2738</v>
      </c>
      <c r="M2144" s="94">
        <v>46.58</v>
      </c>
      <c r="N2144" s="94">
        <v>-71.23</v>
      </c>
      <c r="O2144" s="93">
        <v>132.1</v>
      </c>
      <c r="P2144" s="59"/>
      <c r="Q2144" s="59"/>
      <c r="R2144" s="58"/>
      <c r="S2144" s="94"/>
      <c r="T2144" s="58"/>
      <c r="U2144" s="58">
        <v>2</v>
      </c>
      <c r="V2144" s="59">
        <v>4</v>
      </c>
      <c r="W2144" s="174"/>
      <c r="X2144" s="174"/>
      <c r="Y2144" s="58" t="s">
        <v>2230</v>
      </c>
      <c r="Z2144" s="59" t="s">
        <v>1346</v>
      </c>
      <c r="AA2144" s="94">
        <v>20</v>
      </c>
      <c r="AB2144" s="67"/>
      <c r="AC2144" s="67"/>
      <c r="AD2144" s="94">
        <v>1.6087</v>
      </c>
      <c r="AE2144" s="93">
        <v>27</v>
      </c>
      <c r="AF2144" s="93">
        <v>49</v>
      </c>
      <c r="AG2144" s="93"/>
      <c r="AH2144" s="58" t="s">
        <v>139</v>
      </c>
      <c r="AI2144" s="169"/>
      <c r="AJ2144" s="94"/>
      <c r="AK2144" s="94"/>
      <c r="AL2144" s="58"/>
      <c r="AM2144" s="59" t="s">
        <v>2088</v>
      </c>
      <c r="AN2144" s="188" t="s">
        <v>2093</v>
      </c>
      <c r="AO2144" s="185" t="s">
        <v>5150</v>
      </c>
      <c r="AP2144" s="59"/>
      <c r="AQ2144" s="58" t="s">
        <v>1545</v>
      </c>
      <c r="AR2144" s="59" t="s">
        <v>2090</v>
      </c>
      <c r="AS2144" s="58" t="s">
        <v>116</v>
      </c>
      <c r="AT2144" s="182"/>
      <c r="AU2144" s="181" t="s">
        <v>7494</v>
      </c>
      <c r="AV2144" s="185" t="s">
        <v>176</v>
      </c>
      <c r="AW2144" s="58"/>
      <c r="AX2144" s="185" t="s">
        <v>176</v>
      </c>
      <c r="AY2144" s="58"/>
      <c r="AZ2144" s="59" t="s">
        <v>1976</v>
      </c>
      <c r="BA2144" s="59" t="s">
        <v>1976</v>
      </c>
      <c r="BB2144" s="59" t="s">
        <v>2081</v>
      </c>
      <c r="BC2144" s="59" t="s">
        <v>2081</v>
      </c>
      <c r="BD2144" s="58" t="s">
        <v>176</v>
      </c>
      <c r="BE2144" s="240" t="s">
        <v>2232</v>
      </c>
      <c r="BF2144" s="191" t="s">
        <v>479</v>
      </c>
      <c r="BG2144" s="191" t="s">
        <v>479</v>
      </c>
      <c r="BH2144" s="240" t="s">
        <v>2232</v>
      </c>
      <c r="BI2144" s="191" t="s">
        <v>479</v>
      </c>
      <c r="BJ2144" s="58" t="s">
        <v>176</v>
      </c>
      <c r="BK2144" s="58" t="s">
        <v>5976</v>
      </c>
      <c r="BL2144" s="58"/>
      <c r="BM2144" s="241" t="s">
        <v>160</v>
      </c>
      <c r="BN2144" s="58">
        <v>3</v>
      </c>
      <c r="BO2144" s="58">
        <v>3</v>
      </c>
      <c r="BP2144" s="59">
        <v>10</v>
      </c>
      <c r="BQ2144" s="58" t="s">
        <v>141</v>
      </c>
      <c r="BR2144" s="58"/>
      <c r="BS2144" s="58"/>
      <c r="BT2144" s="58"/>
      <c r="BU2144" s="58"/>
      <c r="BV2144" s="58"/>
      <c r="BW2144" s="67"/>
      <c r="BX2144" s="67"/>
      <c r="BY2144" s="67"/>
      <c r="BZ2144" s="67"/>
      <c r="CA2144" s="67"/>
      <c r="CB2144" s="153">
        <v>2420</v>
      </c>
      <c r="CC2144" s="68">
        <v>3564</v>
      </c>
      <c r="CD2144" s="68"/>
      <c r="CE2144" s="67"/>
      <c r="CF2144" s="67"/>
      <c r="CG2144" s="67" t="s">
        <v>545</v>
      </c>
      <c r="CH2144" s="94"/>
      <c r="CI2144" s="94"/>
      <c r="CJ2144" s="67"/>
      <c r="CK2144" s="67"/>
      <c r="CL2144" s="67"/>
      <c r="CM2144" s="69"/>
      <c r="CN2144" s="69"/>
      <c r="CO2144" s="67"/>
      <c r="CP2144" s="67"/>
      <c r="CQ2144" s="67"/>
      <c r="CR2144" s="69"/>
      <c r="CS2144" s="69"/>
      <c r="CT2144" s="67"/>
      <c r="CU2144" s="67"/>
      <c r="CV2144" s="67"/>
      <c r="CW2144" s="67"/>
      <c r="CX2144" s="67"/>
      <c r="CY2144" s="67"/>
      <c r="CZ2144" s="67"/>
      <c r="DA2144" s="67"/>
      <c r="DB2144" s="67"/>
      <c r="DC2144" s="67"/>
      <c r="DD2144" s="67"/>
      <c r="DE2144" s="67"/>
      <c r="DF2144" s="67"/>
      <c r="DG2144" s="67"/>
      <c r="DH2144" s="67"/>
      <c r="DI2144" s="67"/>
      <c r="DJ2144" s="67"/>
      <c r="DK2144" s="67"/>
      <c r="DL2144" s="67"/>
      <c r="DM2144" s="67"/>
      <c r="DN2144" s="67"/>
      <c r="DO2144" s="67"/>
      <c r="DP2144" s="67"/>
      <c r="DQ2144" s="166"/>
      <c r="DR2144" s="166"/>
      <c r="DS2144" s="163"/>
      <c r="DT2144" s="163"/>
      <c r="DU2144" s="67"/>
      <c r="DV2144" s="67"/>
      <c r="DW2144" s="67"/>
      <c r="DX2144" s="67"/>
      <c r="DY2144" s="67"/>
      <c r="DZ2144" s="67"/>
      <c r="EA2144" s="67"/>
      <c r="EB2144" s="67"/>
      <c r="EC2144" s="67"/>
      <c r="ED2144" s="67"/>
      <c r="EE2144" s="67"/>
      <c r="EF2144" s="67"/>
      <c r="EG2144" s="67"/>
      <c r="EH2144" s="67"/>
      <c r="EI2144" s="67"/>
      <c r="EJ2144" s="67"/>
      <c r="EK2144" s="94"/>
      <c r="EL2144" s="94"/>
      <c r="EM2144" s="67"/>
      <c r="EN2144" s="67"/>
      <c r="EO2144" s="67"/>
      <c r="EP2144" s="67"/>
      <c r="EQ2144" s="67"/>
      <c r="ER2144" s="67"/>
      <c r="ES2144" s="67"/>
      <c r="ET2144" s="67"/>
      <c r="EU2144" s="67"/>
      <c r="EV2144" s="67"/>
      <c r="EW2144" s="67"/>
      <c r="EX2144" s="67"/>
      <c r="EY2144" s="67"/>
      <c r="EZ2144" s="67"/>
      <c r="FA2144" s="67"/>
      <c r="FB2144" s="67"/>
      <c r="FC2144" s="67"/>
      <c r="FD2144" s="67"/>
      <c r="FE2144" s="67"/>
      <c r="FF2144" s="67"/>
      <c r="FG2144" s="67"/>
      <c r="FH2144" s="67"/>
      <c r="FI2144" s="67"/>
      <c r="FJ2144" s="67"/>
      <c r="FK2144" s="67"/>
      <c r="FL2144" s="67"/>
      <c r="FM2144" s="67"/>
      <c r="FN2144" s="67"/>
      <c r="FO2144" s="67"/>
      <c r="FP2144" s="67"/>
      <c r="FQ2144" s="67"/>
      <c r="FR2144" s="67"/>
      <c r="FS2144" s="67"/>
      <c r="FT2144" s="67"/>
      <c r="FU2144" s="67"/>
      <c r="FV2144" s="67"/>
      <c r="FW2144" s="67"/>
      <c r="FX2144" s="67"/>
      <c r="FY2144" s="67"/>
      <c r="FZ2144" s="67"/>
      <c r="GA2144" s="67"/>
      <c r="GB2144" s="67"/>
      <c r="GC2144" s="67"/>
      <c r="GD2144" s="67"/>
      <c r="GE2144" s="67"/>
      <c r="GF2144" s="67"/>
      <c r="GG2144" s="67"/>
      <c r="GH2144" s="67"/>
      <c r="GI2144" s="67"/>
      <c r="GJ2144" s="67"/>
      <c r="GK2144" s="67"/>
      <c r="GL2144" s="67"/>
      <c r="GM2144" s="67"/>
      <c r="GN2144" s="292"/>
      <c r="GO2144" s="292"/>
      <c r="GP2144" s="292" t="s">
        <v>7494</v>
      </c>
      <c r="GQ2144" s="67"/>
      <c r="GR2144" s="67"/>
      <c r="GS2144" s="67"/>
      <c r="GT2144" s="67"/>
      <c r="GU2144" s="67"/>
      <c r="GV2144" s="67"/>
      <c r="GW2144" s="67"/>
      <c r="GX2144" s="67"/>
      <c r="GY2144" s="67"/>
      <c r="GZ2144" s="67"/>
      <c r="HA2144" s="67"/>
      <c r="HB2144" s="67"/>
      <c r="HC2144" s="67"/>
      <c r="HD2144" s="67"/>
      <c r="HE2144" s="67"/>
      <c r="HF2144" s="67"/>
      <c r="HG2144" s="67"/>
      <c r="HH2144" s="67"/>
      <c r="HI2144" s="67"/>
      <c r="HJ2144" s="67"/>
      <c r="HK2144" s="67"/>
      <c r="HL2144" s="67"/>
      <c r="HM2144" s="67"/>
      <c r="HN2144" s="67"/>
      <c r="HO2144" s="67"/>
      <c r="HP2144" s="67"/>
      <c r="HQ2144" s="67"/>
      <c r="HR2144" s="67"/>
      <c r="HS2144" s="67"/>
      <c r="HT2144" s="67"/>
      <c r="HU2144" s="67"/>
      <c r="HV2144" s="67"/>
      <c r="HW2144" s="67"/>
      <c r="HX2144" s="67"/>
      <c r="HY2144" s="67"/>
      <c r="HZ2144" s="67"/>
      <c r="IA2144" s="67"/>
      <c r="IB2144" s="67"/>
      <c r="IC2144" s="67"/>
      <c r="ID2144" s="67"/>
      <c r="IE2144" s="67"/>
      <c r="IF2144" s="67"/>
      <c r="IG2144" s="67"/>
      <c r="IH2144" s="67"/>
      <c r="II2144" s="67"/>
      <c r="IJ2144" s="67"/>
      <c r="IK2144" s="67"/>
      <c r="IL2144" s="67"/>
      <c r="IM2144" s="67"/>
      <c r="IN2144" s="67"/>
      <c r="IO2144" s="67"/>
      <c r="IP2144" s="67"/>
      <c r="IQ2144" s="67"/>
      <c r="IR2144" s="67"/>
      <c r="IS2144" s="67"/>
      <c r="IT2144" s="67"/>
      <c r="IU2144" s="67"/>
      <c r="IV2144" s="67"/>
      <c r="IW2144" s="67"/>
      <c r="IX2144" s="67"/>
      <c r="IY2144" s="67"/>
      <c r="IZ2144" s="67"/>
      <c r="JA2144" s="67"/>
      <c r="JB2144" s="67"/>
      <c r="JC2144" s="67"/>
      <c r="JD2144" s="67"/>
      <c r="JE2144" s="67"/>
      <c r="JF2144" s="67"/>
      <c r="JG2144" s="67"/>
      <c r="JH2144" s="67"/>
      <c r="JI2144" s="67"/>
      <c r="JJ2144" s="67"/>
      <c r="JK2144" s="67"/>
      <c r="JL2144" s="67"/>
      <c r="JM2144" s="67"/>
      <c r="JN2144" s="67"/>
      <c r="JO2144" s="67"/>
      <c r="JP2144" s="67"/>
      <c r="JQ2144" s="67"/>
      <c r="JR2144" s="67"/>
      <c r="JS2144" s="67"/>
      <c r="JT2144" s="67"/>
      <c r="JU2144" s="58"/>
      <c r="JV2144" s="58"/>
      <c r="JW2144" s="58"/>
    </row>
    <row r="2145" spans="1:283" s="23" customFormat="1" x14ac:dyDescent="0.25">
      <c r="A2145" s="55">
        <v>2144</v>
      </c>
      <c r="B2145" s="12" t="s">
        <v>7067</v>
      </c>
      <c r="C2145" s="156">
        <v>97</v>
      </c>
      <c r="D2145" s="58" t="s">
        <v>4137</v>
      </c>
      <c r="E2145" s="93" t="s">
        <v>2086</v>
      </c>
      <c r="F2145" s="93"/>
      <c r="G2145" s="58"/>
      <c r="H2145" s="59">
        <v>2000</v>
      </c>
      <c r="I2145" s="58">
        <v>1994</v>
      </c>
      <c r="J2145" s="59" t="s">
        <v>2003</v>
      </c>
      <c r="K2145" s="59" t="s">
        <v>2087</v>
      </c>
      <c r="L2145" s="59" t="s">
        <v>2738</v>
      </c>
      <c r="M2145" s="94">
        <v>46.58</v>
      </c>
      <c r="N2145" s="94">
        <v>-71.23</v>
      </c>
      <c r="O2145" s="93">
        <v>132.1</v>
      </c>
      <c r="P2145" s="59"/>
      <c r="Q2145" s="59"/>
      <c r="R2145" s="58"/>
      <c r="S2145" s="94"/>
      <c r="T2145" s="58"/>
      <c r="U2145" s="58">
        <v>2</v>
      </c>
      <c r="V2145" s="59">
        <v>4</v>
      </c>
      <c r="W2145" s="174"/>
      <c r="X2145" s="174"/>
      <c r="Y2145" s="58" t="s">
        <v>2230</v>
      </c>
      <c r="Z2145" s="59" t="s">
        <v>1346</v>
      </c>
      <c r="AA2145" s="94">
        <v>20</v>
      </c>
      <c r="AB2145" s="67"/>
      <c r="AC2145" s="67"/>
      <c r="AD2145" s="94">
        <v>1.6087</v>
      </c>
      <c r="AE2145" s="93">
        <v>27</v>
      </c>
      <c r="AF2145" s="93">
        <v>49</v>
      </c>
      <c r="AG2145" s="93"/>
      <c r="AH2145" s="58" t="s">
        <v>139</v>
      </c>
      <c r="AI2145" s="169"/>
      <c r="AJ2145" s="94"/>
      <c r="AK2145" s="94"/>
      <c r="AL2145" s="58"/>
      <c r="AM2145" s="59" t="s">
        <v>2088</v>
      </c>
      <c r="AN2145" s="188" t="s">
        <v>2095</v>
      </c>
      <c r="AO2145" s="185" t="s">
        <v>5150</v>
      </c>
      <c r="AP2145" s="59"/>
      <c r="AQ2145" s="58" t="s">
        <v>1097</v>
      </c>
      <c r="AR2145" s="59" t="s">
        <v>2090</v>
      </c>
      <c r="AS2145" s="58" t="s">
        <v>116</v>
      </c>
      <c r="AT2145" s="182"/>
      <c r="AU2145" s="181" t="s">
        <v>7494</v>
      </c>
      <c r="AV2145" s="185" t="s">
        <v>176</v>
      </c>
      <c r="AW2145" s="58"/>
      <c r="AX2145" s="185" t="s">
        <v>176</v>
      </c>
      <c r="AY2145" s="58"/>
      <c r="AZ2145" s="59" t="s">
        <v>1976</v>
      </c>
      <c r="BA2145" s="59" t="s">
        <v>1976</v>
      </c>
      <c r="BB2145" s="59" t="s">
        <v>2081</v>
      </c>
      <c r="BC2145" s="59" t="s">
        <v>2081</v>
      </c>
      <c r="BD2145" s="58" t="s">
        <v>176</v>
      </c>
      <c r="BE2145" s="240" t="s">
        <v>2232</v>
      </c>
      <c r="BF2145" s="191" t="s">
        <v>479</v>
      </c>
      <c r="BG2145" s="191" t="s">
        <v>479</v>
      </c>
      <c r="BH2145" s="240" t="s">
        <v>2232</v>
      </c>
      <c r="BI2145" s="191" t="s">
        <v>479</v>
      </c>
      <c r="BJ2145" s="58" t="s">
        <v>176</v>
      </c>
      <c r="BK2145" s="58" t="s">
        <v>5976</v>
      </c>
      <c r="BL2145" s="58"/>
      <c r="BM2145" s="241" t="s">
        <v>160</v>
      </c>
      <c r="BN2145" s="58">
        <v>3</v>
      </c>
      <c r="BO2145" s="58">
        <v>3</v>
      </c>
      <c r="BP2145" s="59">
        <v>10</v>
      </c>
      <c r="BQ2145" s="58" t="s">
        <v>141</v>
      </c>
      <c r="BR2145" s="58"/>
      <c r="BS2145" s="58"/>
      <c r="BT2145" s="58"/>
      <c r="BU2145" s="58"/>
      <c r="BV2145" s="58"/>
      <c r="BW2145" s="67"/>
      <c r="BX2145" s="67"/>
      <c r="BY2145" s="67"/>
      <c r="BZ2145" s="67"/>
      <c r="CA2145" s="67"/>
      <c r="CB2145" s="153">
        <v>2420</v>
      </c>
      <c r="CC2145" s="68">
        <v>3541</v>
      </c>
      <c r="CD2145" s="68"/>
      <c r="CE2145" s="67"/>
      <c r="CF2145" s="67"/>
      <c r="CG2145" s="67" t="s">
        <v>545</v>
      </c>
      <c r="CH2145" s="94"/>
      <c r="CI2145" s="94"/>
      <c r="CJ2145" s="67"/>
      <c r="CK2145" s="67"/>
      <c r="CL2145" s="67"/>
      <c r="CM2145" s="69"/>
      <c r="CN2145" s="69"/>
      <c r="CO2145" s="67"/>
      <c r="CP2145" s="67"/>
      <c r="CQ2145" s="67"/>
      <c r="CR2145" s="69"/>
      <c r="CS2145" s="69"/>
      <c r="CT2145" s="67"/>
      <c r="CU2145" s="67"/>
      <c r="CV2145" s="67"/>
      <c r="CW2145" s="67"/>
      <c r="CX2145" s="67"/>
      <c r="CY2145" s="67"/>
      <c r="CZ2145" s="67"/>
      <c r="DA2145" s="67"/>
      <c r="DB2145" s="67"/>
      <c r="DC2145" s="67"/>
      <c r="DD2145" s="67"/>
      <c r="DE2145" s="67"/>
      <c r="DF2145" s="67"/>
      <c r="DG2145" s="67"/>
      <c r="DH2145" s="67"/>
      <c r="DI2145" s="67"/>
      <c r="DJ2145" s="67"/>
      <c r="DK2145" s="67"/>
      <c r="DL2145" s="67"/>
      <c r="DM2145" s="67"/>
      <c r="DN2145" s="67"/>
      <c r="DO2145" s="67"/>
      <c r="DP2145" s="67"/>
      <c r="DQ2145" s="166"/>
      <c r="DR2145" s="166"/>
      <c r="DS2145" s="163"/>
      <c r="DT2145" s="163"/>
      <c r="DU2145" s="67"/>
      <c r="DV2145" s="67"/>
      <c r="DW2145" s="67"/>
      <c r="DX2145" s="67"/>
      <c r="DY2145" s="67"/>
      <c r="DZ2145" s="67"/>
      <c r="EA2145" s="67"/>
      <c r="EB2145" s="67"/>
      <c r="EC2145" s="67"/>
      <c r="ED2145" s="67"/>
      <c r="EE2145" s="67"/>
      <c r="EF2145" s="67"/>
      <c r="EG2145" s="67"/>
      <c r="EH2145" s="67"/>
      <c r="EI2145" s="67"/>
      <c r="EJ2145" s="67"/>
      <c r="EK2145" s="94"/>
      <c r="EL2145" s="94"/>
      <c r="EM2145" s="67"/>
      <c r="EN2145" s="67"/>
      <c r="EO2145" s="67"/>
      <c r="EP2145" s="67"/>
      <c r="EQ2145" s="67"/>
      <c r="ER2145" s="67"/>
      <c r="ES2145" s="67"/>
      <c r="ET2145" s="67"/>
      <c r="EU2145" s="67"/>
      <c r="EV2145" s="67"/>
      <c r="EW2145" s="67"/>
      <c r="EX2145" s="67"/>
      <c r="EY2145" s="67"/>
      <c r="EZ2145" s="67"/>
      <c r="FA2145" s="67"/>
      <c r="FB2145" s="67"/>
      <c r="FC2145" s="67"/>
      <c r="FD2145" s="67"/>
      <c r="FE2145" s="67"/>
      <c r="FF2145" s="67"/>
      <c r="FG2145" s="67"/>
      <c r="FH2145" s="67"/>
      <c r="FI2145" s="67"/>
      <c r="FJ2145" s="67"/>
      <c r="FK2145" s="67"/>
      <c r="FL2145" s="67"/>
      <c r="FM2145" s="67"/>
      <c r="FN2145" s="67"/>
      <c r="FO2145" s="67"/>
      <c r="FP2145" s="67"/>
      <c r="FQ2145" s="67"/>
      <c r="FR2145" s="67"/>
      <c r="FS2145" s="67"/>
      <c r="FT2145" s="67"/>
      <c r="FU2145" s="67"/>
      <c r="FV2145" s="67"/>
      <c r="FW2145" s="67"/>
      <c r="FX2145" s="67"/>
      <c r="FY2145" s="67"/>
      <c r="FZ2145" s="67"/>
      <c r="GA2145" s="67"/>
      <c r="GB2145" s="67"/>
      <c r="GC2145" s="67"/>
      <c r="GD2145" s="67"/>
      <c r="GE2145" s="67"/>
      <c r="GF2145" s="67"/>
      <c r="GG2145" s="67"/>
      <c r="GH2145" s="67"/>
      <c r="GI2145" s="67"/>
      <c r="GJ2145" s="67"/>
      <c r="GK2145" s="67"/>
      <c r="GL2145" s="67"/>
      <c r="GM2145" s="67"/>
      <c r="GN2145" s="292"/>
      <c r="GO2145" s="292"/>
      <c r="GP2145" s="292" t="s">
        <v>7494</v>
      </c>
      <c r="GQ2145" s="67"/>
      <c r="GR2145" s="67"/>
      <c r="GS2145" s="67"/>
      <c r="GT2145" s="67"/>
      <c r="GU2145" s="67"/>
      <c r="GV2145" s="67"/>
      <c r="GW2145" s="67"/>
      <c r="GX2145" s="67"/>
      <c r="GY2145" s="67"/>
      <c r="GZ2145" s="67"/>
      <c r="HA2145" s="67"/>
      <c r="HB2145" s="67"/>
      <c r="HC2145" s="67"/>
      <c r="HD2145" s="67"/>
      <c r="HE2145" s="67"/>
      <c r="HF2145" s="67"/>
      <c r="HG2145" s="67"/>
      <c r="HH2145" s="67"/>
      <c r="HI2145" s="67"/>
      <c r="HJ2145" s="67"/>
      <c r="HK2145" s="67"/>
      <c r="HL2145" s="67"/>
      <c r="HM2145" s="67"/>
      <c r="HN2145" s="67"/>
      <c r="HO2145" s="67"/>
      <c r="HP2145" s="67"/>
      <c r="HQ2145" s="67"/>
      <c r="HR2145" s="67"/>
      <c r="HS2145" s="67"/>
      <c r="HT2145" s="67"/>
      <c r="HU2145" s="67"/>
      <c r="HV2145" s="67"/>
      <c r="HW2145" s="67"/>
      <c r="HX2145" s="67"/>
      <c r="HY2145" s="67"/>
      <c r="HZ2145" s="67"/>
      <c r="IA2145" s="67"/>
      <c r="IB2145" s="67"/>
      <c r="IC2145" s="67"/>
      <c r="ID2145" s="67"/>
      <c r="IE2145" s="67"/>
      <c r="IF2145" s="67"/>
      <c r="IG2145" s="67"/>
      <c r="IH2145" s="67"/>
      <c r="II2145" s="67"/>
      <c r="IJ2145" s="67"/>
      <c r="IK2145" s="67"/>
      <c r="IL2145" s="67"/>
      <c r="IM2145" s="67"/>
      <c r="IN2145" s="67"/>
      <c r="IO2145" s="67"/>
      <c r="IP2145" s="67"/>
      <c r="IQ2145" s="67"/>
      <c r="IR2145" s="67"/>
      <c r="IS2145" s="67"/>
      <c r="IT2145" s="67"/>
      <c r="IU2145" s="67"/>
      <c r="IV2145" s="67"/>
      <c r="IW2145" s="67"/>
      <c r="IX2145" s="67"/>
      <c r="IY2145" s="67"/>
      <c r="IZ2145" s="67"/>
      <c r="JA2145" s="67"/>
      <c r="JB2145" s="67"/>
      <c r="JC2145" s="67"/>
      <c r="JD2145" s="67"/>
      <c r="JE2145" s="67"/>
      <c r="JF2145" s="67"/>
      <c r="JG2145" s="67"/>
      <c r="JH2145" s="67"/>
      <c r="JI2145" s="67"/>
      <c r="JJ2145" s="67"/>
      <c r="JK2145" s="67"/>
      <c r="JL2145" s="67"/>
      <c r="JM2145" s="67"/>
      <c r="JN2145" s="67"/>
      <c r="JO2145" s="67"/>
      <c r="JP2145" s="67"/>
      <c r="JQ2145" s="67"/>
      <c r="JR2145" s="67"/>
      <c r="JS2145" s="67"/>
      <c r="JT2145" s="67"/>
      <c r="JU2145" s="58"/>
      <c r="JV2145" s="58"/>
      <c r="JW2145" s="58"/>
    </row>
    <row r="2146" spans="1:283" s="23" customFormat="1" x14ac:dyDescent="0.25">
      <c r="A2146" s="55">
        <v>2145</v>
      </c>
      <c r="B2146" s="12" t="s">
        <v>7067</v>
      </c>
      <c r="C2146" s="156">
        <v>97</v>
      </c>
      <c r="D2146" s="58" t="s">
        <v>4137</v>
      </c>
      <c r="E2146" s="93" t="s">
        <v>2086</v>
      </c>
      <c r="F2146" s="93"/>
      <c r="G2146" s="58"/>
      <c r="H2146" s="59">
        <v>2000</v>
      </c>
      <c r="I2146" s="58">
        <v>1994</v>
      </c>
      <c r="J2146" s="59" t="s">
        <v>2003</v>
      </c>
      <c r="K2146" s="59" t="s">
        <v>2087</v>
      </c>
      <c r="L2146" s="59" t="s">
        <v>2738</v>
      </c>
      <c r="M2146" s="94">
        <v>46.58</v>
      </c>
      <c r="N2146" s="94">
        <v>-71.23</v>
      </c>
      <c r="O2146" s="93">
        <v>132.1</v>
      </c>
      <c r="P2146" s="59"/>
      <c r="Q2146" s="59"/>
      <c r="R2146" s="58"/>
      <c r="S2146" s="94"/>
      <c r="T2146" s="58"/>
      <c r="U2146" s="58">
        <v>2</v>
      </c>
      <c r="V2146" s="59">
        <v>4</v>
      </c>
      <c r="W2146" s="174"/>
      <c r="X2146" s="174"/>
      <c r="Y2146" s="58" t="s">
        <v>2230</v>
      </c>
      <c r="Z2146" s="59" t="s">
        <v>1346</v>
      </c>
      <c r="AA2146" s="94">
        <v>20</v>
      </c>
      <c r="AB2146" s="67"/>
      <c r="AC2146" s="67"/>
      <c r="AD2146" s="94">
        <v>1.6087</v>
      </c>
      <c r="AE2146" s="93">
        <v>27</v>
      </c>
      <c r="AF2146" s="93">
        <v>49</v>
      </c>
      <c r="AG2146" s="93"/>
      <c r="AH2146" s="58" t="s">
        <v>139</v>
      </c>
      <c r="AI2146" s="169"/>
      <c r="AJ2146" s="94"/>
      <c r="AK2146" s="94"/>
      <c r="AL2146" s="58"/>
      <c r="AM2146" s="59" t="s">
        <v>2088</v>
      </c>
      <c r="AN2146" s="188" t="s">
        <v>2094</v>
      </c>
      <c r="AO2146" s="185" t="s">
        <v>5150</v>
      </c>
      <c r="AP2146" s="59"/>
      <c r="AQ2146" s="58" t="s">
        <v>1097</v>
      </c>
      <c r="AR2146" s="59" t="s">
        <v>2090</v>
      </c>
      <c r="AS2146" s="58" t="s">
        <v>116</v>
      </c>
      <c r="AT2146" s="182"/>
      <c r="AU2146" s="181" t="s">
        <v>7494</v>
      </c>
      <c r="AV2146" s="185" t="s">
        <v>176</v>
      </c>
      <c r="AW2146" s="58"/>
      <c r="AX2146" s="185" t="s">
        <v>176</v>
      </c>
      <c r="AY2146" s="58"/>
      <c r="AZ2146" s="59" t="s">
        <v>1976</v>
      </c>
      <c r="BA2146" s="59" t="s">
        <v>1976</v>
      </c>
      <c r="BB2146" s="59" t="s">
        <v>2081</v>
      </c>
      <c r="BC2146" s="59" t="s">
        <v>2081</v>
      </c>
      <c r="BD2146" s="58" t="s">
        <v>176</v>
      </c>
      <c r="BE2146" s="240" t="s">
        <v>2232</v>
      </c>
      <c r="BF2146" s="191" t="s">
        <v>479</v>
      </c>
      <c r="BG2146" s="191" t="s">
        <v>479</v>
      </c>
      <c r="BH2146" s="240" t="s">
        <v>2232</v>
      </c>
      <c r="BI2146" s="191" t="s">
        <v>479</v>
      </c>
      <c r="BJ2146" s="58" t="s">
        <v>176</v>
      </c>
      <c r="BK2146" s="58" t="s">
        <v>5976</v>
      </c>
      <c r="BL2146" s="58"/>
      <c r="BM2146" s="241" t="s">
        <v>160</v>
      </c>
      <c r="BN2146" s="58">
        <v>3</v>
      </c>
      <c r="BO2146" s="58">
        <v>3</v>
      </c>
      <c r="BP2146" s="59">
        <v>10</v>
      </c>
      <c r="BQ2146" s="58" t="s">
        <v>141</v>
      </c>
      <c r="BR2146" s="58"/>
      <c r="BS2146" s="58"/>
      <c r="BT2146" s="58"/>
      <c r="BU2146" s="58"/>
      <c r="BV2146" s="58"/>
      <c r="BW2146" s="67"/>
      <c r="BX2146" s="67"/>
      <c r="BY2146" s="67"/>
      <c r="BZ2146" s="67"/>
      <c r="CA2146" s="67"/>
      <c r="CB2146" s="153">
        <v>2420</v>
      </c>
      <c r="CC2146" s="68">
        <v>3088</v>
      </c>
      <c r="CD2146" s="68"/>
      <c r="CE2146" s="67"/>
      <c r="CF2146" s="67"/>
      <c r="CG2146" s="67" t="s">
        <v>545</v>
      </c>
      <c r="CH2146" s="94"/>
      <c r="CI2146" s="94"/>
      <c r="CJ2146" s="67"/>
      <c r="CK2146" s="67"/>
      <c r="CL2146" s="67"/>
      <c r="CM2146" s="69"/>
      <c r="CN2146" s="69"/>
      <c r="CO2146" s="67"/>
      <c r="CP2146" s="67"/>
      <c r="CQ2146" s="67"/>
      <c r="CR2146" s="69"/>
      <c r="CS2146" s="69"/>
      <c r="CT2146" s="67"/>
      <c r="CU2146" s="67"/>
      <c r="CV2146" s="67"/>
      <c r="CW2146" s="67"/>
      <c r="CX2146" s="67"/>
      <c r="CY2146" s="67"/>
      <c r="CZ2146" s="67"/>
      <c r="DA2146" s="67"/>
      <c r="DB2146" s="67"/>
      <c r="DC2146" s="67"/>
      <c r="DD2146" s="67"/>
      <c r="DE2146" s="67"/>
      <c r="DF2146" s="67"/>
      <c r="DG2146" s="67"/>
      <c r="DH2146" s="67"/>
      <c r="DI2146" s="67"/>
      <c r="DJ2146" s="67"/>
      <c r="DK2146" s="67"/>
      <c r="DL2146" s="67"/>
      <c r="DM2146" s="67"/>
      <c r="DN2146" s="67"/>
      <c r="DO2146" s="67"/>
      <c r="DP2146" s="67"/>
      <c r="DQ2146" s="166"/>
      <c r="DR2146" s="166"/>
      <c r="DS2146" s="163"/>
      <c r="DT2146" s="163"/>
      <c r="DU2146" s="67"/>
      <c r="DV2146" s="67"/>
      <c r="DW2146" s="67"/>
      <c r="DX2146" s="67"/>
      <c r="DY2146" s="67"/>
      <c r="DZ2146" s="67"/>
      <c r="EA2146" s="67"/>
      <c r="EB2146" s="67"/>
      <c r="EC2146" s="67"/>
      <c r="ED2146" s="67"/>
      <c r="EE2146" s="67"/>
      <c r="EF2146" s="67"/>
      <c r="EG2146" s="67"/>
      <c r="EH2146" s="67"/>
      <c r="EI2146" s="67"/>
      <c r="EJ2146" s="67"/>
      <c r="EK2146" s="94"/>
      <c r="EL2146" s="94"/>
      <c r="EM2146" s="67"/>
      <c r="EN2146" s="67"/>
      <c r="EO2146" s="67"/>
      <c r="EP2146" s="67"/>
      <c r="EQ2146" s="67"/>
      <c r="ER2146" s="67"/>
      <c r="ES2146" s="67"/>
      <c r="ET2146" s="67"/>
      <c r="EU2146" s="67"/>
      <c r="EV2146" s="67"/>
      <c r="EW2146" s="67"/>
      <c r="EX2146" s="67"/>
      <c r="EY2146" s="67"/>
      <c r="EZ2146" s="67"/>
      <c r="FA2146" s="67"/>
      <c r="FB2146" s="67"/>
      <c r="FC2146" s="67"/>
      <c r="FD2146" s="67"/>
      <c r="FE2146" s="67"/>
      <c r="FF2146" s="67"/>
      <c r="FG2146" s="67"/>
      <c r="FH2146" s="67"/>
      <c r="FI2146" s="67"/>
      <c r="FJ2146" s="67"/>
      <c r="FK2146" s="67"/>
      <c r="FL2146" s="67"/>
      <c r="FM2146" s="67"/>
      <c r="FN2146" s="67"/>
      <c r="FO2146" s="67"/>
      <c r="FP2146" s="67"/>
      <c r="FQ2146" s="67"/>
      <c r="FR2146" s="67"/>
      <c r="FS2146" s="67"/>
      <c r="FT2146" s="67"/>
      <c r="FU2146" s="67"/>
      <c r="FV2146" s="67"/>
      <c r="FW2146" s="67"/>
      <c r="FX2146" s="67"/>
      <c r="FY2146" s="67"/>
      <c r="FZ2146" s="67"/>
      <c r="GA2146" s="67"/>
      <c r="GB2146" s="67"/>
      <c r="GC2146" s="67"/>
      <c r="GD2146" s="67"/>
      <c r="GE2146" s="67"/>
      <c r="GF2146" s="67"/>
      <c r="GG2146" s="67"/>
      <c r="GH2146" s="67"/>
      <c r="GI2146" s="67"/>
      <c r="GJ2146" s="67"/>
      <c r="GK2146" s="67"/>
      <c r="GL2146" s="67"/>
      <c r="GM2146" s="67"/>
      <c r="GN2146" s="292"/>
      <c r="GO2146" s="292"/>
      <c r="GP2146" s="292" t="s">
        <v>7494</v>
      </c>
      <c r="GQ2146" s="67"/>
      <c r="GR2146" s="67"/>
      <c r="GS2146" s="67"/>
      <c r="GT2146" s="67"/>
      <c r="GU2146" s="67"/>
      <c r="GV2146" s="67"/>
      <c r="GW2146" s="67"/>
      <c r="GX2146" s="67"/>
      <c r="GY2146" s="67"/>
      <c r="GZ2146" s="67"/>
      <c r="HA2146" s="67"/>
      <c r="HB2146" s="67"/>
      <c r="HC2146" s="67"/>
      <c r="HD2146" s="67"/>
      <c r="HE2146" s="67"/>
      <c r="HF2146" s="67"/>
      <c r="HG2146" s="67"/>
      <c r="HH2146" s="67"/>
      <c r="HI2146" s="67"/>
      <c r="HJ2146" s="67"/>
      <c r="HK2146" s="67"/>
      <c r="HL2146" s="67"/>
      <c r="HM2146" s="67"/>
      <c r="HN2146" s="67"/>
      <c r="HO2146" s="67"/>
      <c r="HP2146" s="67"/>
      <c r="HQ2146" s="67"/>
      <c r="HR2146" s="67"/>
      <c r="HS2146" s="67"/>
      <c r="HT2146" s="67"/>
      <c r="HU2146" s="67"/>
      <c r="HV2146" s="67"/>
      <c r="HW2146" s="67"/>
      <c r="HX2146" s="67"/>
      <c r="HY2146" s="67"/>
      <c r="HZ2146" s="67"/>
      <c r="IA2146" s="67"/>
      <c r="IB2146" s="67"/>
      <c r="IC2146" s="67"/>
      <c r="ID2146" s="67"/>
      <c r="IE2146" s="67"/>
      <c r="IF2146" s="67"/>
      <c r="IG2146" s="67"/>
      <c r="IH2146" s="67"/>
      <c r="II2146" s="67"/>
      <c r="IJ2146" s="67"/>
      <c r="IK2146" s="67"/>
      <c r="IL2146" s="67"/>
      <c r="IM2146" s="67"/>
      <c r="IN2146" s="67"/>
      <c r="IO2146" s="67"/>
      <c r="IP2146" s="67"/>
      <c r="IQ2146" s="67"/>
      <c r="IR2146" s="67"/>
      <c r="IS2146" s="67"/>
      <c r="IT2146" s="67"/>
      <c r="IU2146" s="67"/>
      <c r="IV2146" s="67"/>
      <c r="IW2146" s="67"/>
      <c r="IX2146" s="67"/>
      <c r="IY2146" s="67"/>
      <c r="IZ2146" s="67"/>
      <c r="JA2146" s="67"/>
      <c r="JB2146" s="67"/>
      <c r="JC2146" s="67"/>
      <c r="JD2146" s="67"/>
      <c r="JE2146" s="67"/>
      <c r="JF2146" s="67"/>
      <c r="JG2146" s="67"/>
      <c r="JH2146" s="67"/>
      <c r="JI2146" s="67"/>
      <c r="JJ2146" s="67"/>
      <c r="JK2146" s="67"/>
      <c r="JL2146" s="67"/>
      <c r="JM2146" s="67"/>
      <c r="JN2146" s="67"/>
      <c r="JO2146" s="67"/>
      <c r="JP2146" s="67"/>
      <c r="JQ2146" s="67"/>
      <c r="JR2146" s="67"/>
      <c r="JS2146" s="67"/>
      <c r="JT2146" s="67"/>
      <c r="JU2146" s="58"/>
      <c r="JV2146" s="58"/>
      <c r="JW2146" s="58"/>
    </row>
    <row r="2147" spans="1:283" s="23" customFormat="1" x14ac:dyDescent="0.25">
      <c r="A2147" s="55">
        <v>2146</v>
      </c>
      <c r="B2147" s="12" t="s">
        <v>7067</v>
      </c>
      <c r="C2147" s="156">
        <v>98</v>
      </c>
      <c r="D2147" s="58" t="s">
        <v>4138</v>
      </c>
      <c r="E2147" s="93" t="s">
        <v>2096</v>
      </c>
      <c r="F2147" s="93"/>
      <c r="G2147" s="58"/>
      <c r="H2147" s="59">
        <v>2006</v>
      </c>
      <c r="I2147" s="58">
        <v>1996</v>
      </c>
      <c r="J2147" s="59" t="s">
        <v>916</v>
      </c>
      <c r="K2147" s="59" t="s">
        <v>2097</v>
      </c>
      <c r="L2147" s="59" t="s">
        <v>5334</v>
      </c>
      <c r="M2147" s="94">
        <f>-29-45/60</f>
        <v>-29.75</v>
      </c>
      <c r="N2147" s="94">
        <f>-53-42/60</f>
        <v>-53.7</v>
      </c>
      <c r="O2147" s="93">
        <v>96</v>
      </c>
      <c r="P2147" s="59">
        <v>19.7</v>
      </c>
      <c r="Q2147" s="58"/>
      <c r="R2147" s="59">
        <v>1769</v>
      </c>
      <c r="S2147" s="94"/>
      <c r="T2147" s="58"/>
      <c r="U2147" s="58">
        <v>5</v>
      </c>
      <c r="V2147" s="59">
        <v>10</v>
      </c>
      <c r="W2147" s="174"/>
      <c r="X2147" s="174"/>
      <c r="Y2147" s="58" t="s">
        <v>2187</v>
      </c>
      <c r="Z2147" s="59" t="s">
        <v>1361</v>
      </c>
      <c r="AA2147" s="93">
        <v>5</v>
      </c>
      <c r="AB2147" s="67"/>
      <c r="AC2147" s="67"/>
      <c r="AD2147" s="94">
        <v>1.2749999999999999</v>
      </c>
      <c r="AE2147" s="93">
        <v>66</v>
      </c>
      <c r="AF2147" s="93">
        <v>25.3</v>
      </c>
      <c r="AG2147" s="93"/>
      <c r="AH2147" s="58" t="s">
        <v>238</v>
      </c>
      <c r="AI2147" s="169">
        <v>4.5</v>
      </c>
      <c r="AJ2147" s="94"/>
      <c r="AK2147" s="94"/>
      <c r="AL2147" s="58"/>
      <c r="AM2147" s="59" t="s">
        <v>2098</v>
      </c>
      <c r="AN2147" s="188" t="s">
        <v>115</v>
      </c>
      <c r="AO2147" s="185" t="s">
        <v>5150</v>
      </c>
      <c r="AP2147" s="59"/>
      <c r="AQ2147" s="58" t="s">
        <v>553</v>
      </c>
      <c r="AR2147" s="59" t="s">
        <v>2099</v>
      </c>
      <c r="AS2147" s="58" t="s">
        <v>132</v>
      </c>
      <c r="AT2147" s="182"/>
      <c r="AU2147" s="181" t="s">
        <v>7494</v>
      </c>
      <c r="AV2147" s="185" t="s">
        <v>176</v>
      </c>
      <c r="AW2147" s="58"/>
      <c r="AX2147" s="185" t="s">
        <v>176</v>
      </c>
      <c r="AY2147" s="58"/>
      <c r="AZ2147" s="59" t="s">
        <v>156</v>
      </c>
      <c r="BA2147" s="59" t="s">
        <v>156</v>
      </c>
      <c r="BB2147" s="59" t="s">
        <v>2082</v>
      </c>
      <c r="BC2147" s="59" t="s">
        <v>2082</v>
      </c>
      <c r="BD2147" s="58" t="s">
        <v>176</v>
      </c>
      <c r="BE2147" s="240" t="s">
        <v>2198</v>
      </c>
      <c r="BF2147" s="191" t="s">
        <v>479</v>
      </c>
      <c r="BG2147" s="191" t="s">
        <v>479</v>
      </c>
      <c r="BH2147" s="240" t="s">
        <v>2198</v>
      </c>
      <c r="BI2147" s="191" t="s">
        <v>479</v>
      </c>
      <c r="BJ2147" s="58" t="s">
        <v>176</v>
      </c>
      <c r="BK2147" s="58" t="s">
        <v>6269</v>
      </c>
      <c r="BL2147" s="58"/>
      <c r="BM2147" s="241" t="s">
        <v>160</v>
      </c>
      <c r="BN2147" s="58">
        <v>5</v>
      </c>
      <c r="BO2147" s="58">
        <v>5</v>
      </c>
      <c r="BP2147" s="59">
        <v>3</v>
      </c>
      <c r="BQ2147" s="58" t="s">
        <v>141</v>
      </c>
      <c r="BR2147" s="58"/>
      <c r="BS2147" s="58"/>
      <c r="BT2147" s="58"/>
      <c r="BU2147" s="58"/>
      <c r="BV2147" s="58"/>
      <c r="BW2147" s="67"/>
      <c r="BX2147" s="67"/>
      <c r="BY2147" s="67"/>
      <c r="BZ2147" s="67"/>
      <c r="CA2147" s="67"/>
      <c r="CB2147" s="153"/>
      <c r="CC2147" s="68"/>
      <c r="CD2147" s="68"/>
      <c r="CE2147" s="67"/>
      <c r="CF2147" s="67"/>
      <c r="CG2147" s="67"/>
      <c r="CH2147" s="94"/>
      <c r="CI2147" s="94"/>
      <c r="CJ2147" s="67"/>
      <c r="CK2147" s="67"/>
      <c r="CL2147" s="67"/>
      <c r="CM2147" s="67">
        <f>(CR2147*1000000)/(100*100*AD2147*AA2147/100*1000000)*100</f>
        <v>1.060392156862745</v>
      </c>
      <c r="CN2147" s="67">
        <f>(CS2147*1000000)/(100*100*AD2147*AA2147/100*1000000)*100</f>
        <v>1.2894117647058825</v>
      </c>
      <c r="CO2147" s="67"/>
      <c r="CP2147" s="67"/>
      <c r="CQ2147" s="67"/>
      <c r="CR2147" s="69">
        <v>6.76</v>
      </c>
      <c r="CS2147" s="69">
        <v>8.2200000000000006</v>
      </c>
      <c r="CT2147" s="67"/>
      <c r="CU2147" s="67"/>
      <c r="CV2147" s="67" t="s">
        <v>2052</v>
      </c>
      <c r="CW2147" s="67"/>
      <c r="CX2147" s="67"/>
      <c r="CY2147" s="67"/>
      <c r="CZ2147" s="67"/>
      <c r="DA2147" s="67" t="s">
        <v>4463</v>
      </c>
      <c r="DB2147" s="67"/>
      <c r="DC2147" s="67"/>
      <c r="DD2147" s="67"/>
      <c r="DE2147" s="67"/>
      <c r="DF2147" s="67"/>
      <c r="DG2147" s="67"/>
      <c r="DH2147" s="67"/>
      <c r="DI2147" s="67"/>
      <c r="DJ2147" s="67"/>
      <c r="DK2147" s="67"/>
      <c r="DL2147" s="67"/>
      <c r="DM2147" s="67"/>
      <c r="DN2147" s="67"/>
      <c r="DO2147" s="67"/>
      <c r="DP2147" s="67"/>
      <c r="DQ2147" s="166"/>
      <c r="DR2147" s="166"/>
      <c r="DS2147" s="163"/>
      <c r="DT2147" s="163"/>
      <c r="DU2147" s="67"/>
      <c r="DV2147" s="67"/>
      <c r="DW2147" s="67"/>
      <c r="DX2147" s="67"/>
      <c r="DY2147" s="67"/>
      <c r="DZ2147" s="67"/>
      <c r="EA2147" s="67"/>
      <c r="EB2147" s="67"/>
      <c r="EC2147" s="67"/>
      <c r="ED2147" s="67"/>
      <c r="EE2147" s="67"/>
      <c r="EF2147" s="67"/>
      <c r="EG2147" s="67"/>
      <c r="EH2147" s="67"/>
      <c r="EI2147" s="67"/>
      <c r="EJ2147" s="67"/>
      <c r="EK2147" s="94"/>
      <c r="EL2147" s="94"/>
      <c r="EM2147" s="67"/>
      <c r="EN2147" s="67"/>
      <c r="EO2147" s="67"/>
      <c r="EP2147" s="67"/>
      <c r="EQ2147" s="67"/>
      <c r="ER2147" s="67"/>
      <c r="ES2147" s="67"/>
      <c r="ET2147" s="67"/>
      <c r="EU2147" s="67"/>
      <c r="EV2147" s="67"/>
      <c r="EW2147" s="67"/>
      <c r="EX2147" s="67"/>
      <c r="EY2147" s="67"/>
      <c r="EZ2147" s="67"/>
      <c r="FA2147" s="67"/>
      <c r="FB2147" s="67"/>
      <c r="FC2147" s="67"/>
      <c r="FD2147" s="67"/>
      <c r="FE2147" s="67"/>
      <c r="FF2147" s="67"/>
      <c r="FG2147" s="67"/>
      <c r="FH2147" s="67"/>
      <c r="FI2147" s="67"/>
      <c r="FJ2147" s="67"/>
      <c r="FK2147" s="67"/>
      <c r="FL2147" s="67"/>
      <c r="FM2147" s="67"/>
      <c r="FN2147" s="67"/>
      <c r="FO2147" s="67"/>
      <c r="FP2147" s="67"/>
      <c r="FQ2147" s="67"/>
      <c r="FR2147" s="67"/>
      <c r="FS2147" s="67"/>
      <c r="FT2147" s="67"/>
      <c r="FU2147" s="67"/>
      <c r="FV2147" s="67"/>
      <c r="FW2147" s="67"/>
      <c r="FX2147" s="67"/>
      <c r="FY2147" s="67"/>
      <c r="FZ2147" s="67"/>
      <c r="GA2147" s="67"/>
      <c r="GB2147" s="67"/>
      <c r="GC2147" s="67"/>
      <c r="GD2147" s="67"/>
      <c r="GE2147" s="67"/>
      <c r="GF2147" s="67"/>
      <c r="GG2147" s="67"/>
      <c r="GH2147" s="67"/>
      <c r="GI2147" s="67"/>
      <c r="GJ2147" s="67"/>
      <c r="GK2147" s="67"/>
      <c r="GL2147" s="67"/>
      <c r="GM2147" s="67"/>
      <c r="GN2147" s="292"/>
      <c r="GO2147" s="292"/>
      <c r="GP2147" s="292" t="s">
        <v>7494</v>
      </c>
      <c r="GQ2147" s="67"/>
      <c r="GR2147" s="67"/>
      <c r="GS2147" s="67"/>
      <c r="GT2147" s="67"/>
      <c r="GU2147" s="67"/>
      <c r="GV2147" s="67"/>
      <c r="GW2147" s="67"/>
      <c r="GX2147" s="67"/>
      <c r="GY2147" s="67"/>
      <c r="GZ2147" s="67"/>
      <c r="HA2147" s="67"/>
      <c r="HB2147" s="67"/>
      <c r="HC2147" s="67"/>
      <c r="HD2147" s="67"/>
      <c r="HE2147" s="67"/>
      <c r="HF2147" s="67"/>
      <c r="HG2147" s="67"/>
      <c r="HH2147" s="67"/>
      <c r="HI2147" s="67"/>
      <c r="HJ2147" s="67"/>
      <c r="HK2147" s="67"/>
      <c r="HL2147" s="67"/>
      <c r="HM2147" s="67"/>
      <c r="HN2147" s="67"/>
      <c r="HO2147" s="67"/>
      <c r="HP2147" s="67"/>
      <c r="HQ2147" s="67"/>
      <c r="HR2147" s="67"/>
      <c r="HS2147" s="67"/>
      <c r="HT2147" s="67"/>
      <c r="HU2147" s="67"/>
      <c r="HV2147" s="67"/>
      <c r="HW2147" s="67"/>
      <c r="HX2147" s="67"/>
      <c r="HY2147" s="67"/>
      <c r="HZ2147" s="67"/>
      <c r="IA2147" s="67"/>
      <c r="IB2147" s="67"/>
      <c r="IC2147" s="67"/>
      <c r="ID2147" s="67"/>
      <c r="IE2147" s="67"/>
      <c r="IF2147" s="67"/>
      <c r="IG2147" s="67"/>
      <c r="IH2147" s="67"/>
      <c r="II2147" s="67"/>
      <c r="IJ2147" s="67"/>
      <c r="IK2147" s="67"/>
      <c r="IL2147" s="67"/>
      <c r="IM2147" s="67"/>
      <c r="IN2147" s="67"/>
      <c r="IO2147" s="67"/>
      <c r="IP2147" s="67"/>
      <c r="IQ2147" s="67"/>
      <c r="IR2147" s="67"/>
      <c r="IS2147" s="67"/>
      <c r="IT2147" s="67"/>
      <c r="IU2147" s="67"/>
      <c r="IV2147" s="67"/>
      <c r="IW2147" s="67"/>
      <c r="IX2147" s="67"/>
      <c r="IY2147" s="67"/>
      <c r="IZ2147" s="67"/>
      <c r="JA2147" s="67"/>
      <c r="JB2147" s="67"/>
      <c r="JC2147" s="67"/>
      <c r="JD2147" s="67"/>
      <c r="JE2147" s="67"/>
      <c r="JF2147" s="67"/>
      <c r="JG2147" s="67"/>
      <c r="JH2147" s="67"/>
      <c r="JI2147" s="67"/>
      <c r="JJ2147" s="67"/>
      <c r="JK2147" s="67"/>
      <c r="JL2147" s="67"/>
      <c r="JM2147" s="67"/>
      <c r="JN2147" s="67"/>
      <c r="JO2147" s="67"/>
      <c r="JP2147" s="67"/>
      <c r="JQ2147" s="67"/>
      <c r="JR2147" s="67"/>
      <c r="JS2147" s="67"/>
      <c r="JT2147" s="67"/>
      <c r="JU2147" s="58"/>
      <c r="JV2147" s="58"/>
      <c r="JW2147" s="58"/>
    </row>
    <row r="2148" spans="1:283" s="23" customFormat="1" x14ac:dyDescent="0.25">
      <c r="A2148" s="55">
        <v>2147</v>
      </c>
      <c r="B2148" s="12" t="s">
        <v>7067</v>
      </c>
      <c r="C2148" s="156">
        <v>98</v>
      </c>
      <c r="D2148" s="58" t="s">
        <v>4138</v>
      </c>
      <c r="E2148" s="93" t="s">
        <v>2096</v>
      </c>
      <c r="F2148" s="93"/>
      <c r="G2148" s="58"/>
      <c r="H2148" s="59">
        <v>2006</v>
      </c>
      <c r="I2148" s="58">
        <v>1996</v>
      </c>
      <c r="J2148" s="59" t="s">
        <v>916</v>
      </c>
      <c r="K2148" s="59" t="s">
        <v>2097</v>
      </c>
      <c r="L2148" s="59" t="s">
        <v>5334</v>
      </c>
      <c r="M2148" s="94">
        <f>-29-45/60</f>
        <v>-29.75</v>
      </c>
      <c r="N2148" s="94">
        <f>-53-42/60</f>
        <v>-53.7</v>
      </c>
      <c r="O2148" s="93">
        <v>96</v>
      </c>
      <c r="P2148" s="59">
        <v>19.7</v>
      </c>
      <c r="Q2148" s="58"/>
      <c r="R2148" s="59">
        <v>1769</v>
      </c>
      <c r="S2148" s="94"/>
      <c r="T2148" s="58"/>
      <c r="U2148" s="58">
        <v>5</v>
      </c>
      <c r="V2148" s="59">
        <v>10</v>
      </c>
      <c r="W2148" s="174"/>
      <c r="X2148" s="174"/>
      <c r="Y2148" s="58" t="s">
        <v>2187</v>
      </c>
      <c r="Z2148" s="59" t="s">
        <v>1361</v>
      </c>
      <c r="AA2148" s="93">
        <v>5</v>
      </c>
      <c r="AB2148" s="67"/>
      <c r="AC2148" s="67"/>
      <c r="AD2148" s="94">
        <v>1.2749999999999999</v>
      </c>
      <c r="AE2148" s="93">
        <v>66</v>
      </c>
      <c r="AF2148" s="93">
        <v>25.3</v>
      </c>
      <c r="AG2148" s="93"/>
      <c r="AH2148" s="58" t="s">
        <v>238</v>
      </c>
      <c r="AI2148" s="169">
        <v>4.5</v>
      </c>
      <c r="AJ2148" s="94"/>
      <c r="AK2148" s="94"/>
      <c r="AL2148" s="58"/>
      <c r="AM2148" s="59" t="s">
        <v>2098</v>
      </c>
      <c r="AN2148" s="188" t="s">
        <v>2192</v>
      </c>
      <c r="AO2148" s="185" t="s">
        <v>5150</v>
      </c>
      <c r="AP2148" s="59"/>
      <c r="AQ2148" s="58" t="s">
        <v>553</v>
      </c>
      <c r="AR2148" s="59" t="s">
        <v>2099</v>
      </c>
      <c r="AS2148" s="58" t="s">
        <v>132</v>
      </c>
      <c r="AT2148" s="182"/>
      <c r="AU2148" s="181" t="s">
        <v>7494</v>
      </c>
      <c r="AV2148" s="185" t="s">
        <v>176</v>
      </c>
      <c r="AW2148" s="58"/>
      <c r="AX2148" s="185" t="s">
        <v>176</v>
      </c>
      <c r="AY2148" s="58"/>
      <c r="AZ2148" s="59" t="s">
        <v>156</v>
      </c>
      <c r="BA2148" s="59" t="s">
        <v>156</v>
      </c>
      <c r="BB2148" s="59" t="s">
        <v>2082</v>
      </c>
      <c r="BC2148" s="59" t="s">
        <v>2082</v>
      </c>
      <c r="BD2148" s="58" t="s">
        <v>176</v>
      </c>
      <c r="BE2148" s="240" t="s">
        <v>2198</v>
      </c>
      <c r="BF2148" s="191" t="s">
        <v>479</v>
      </c>
      <c r="BG2148" s="191" t="s">
        <v>479</v>
      </c>
      <c r="BH2148" s="240" t="s">
        <v>2198</v>
      </c>
      <c r="BI2148" s="191" t="s">
        <v>479</v>
      </c>
      <c r="BJ2148" s="58" t="s">
        <v>176</v>
      </c>
      <c r="BK2148" s="58" t="s">
        <v>6269</v>
      </c>
      <c r="BL2148" s="58"/>
      <c r="BM2148" s="241" t="s">
        <v>160</v>
      </c>
      <c r="BN2148" s="58">
        <v>5</v>
      </c>
      <c r="BO2148" s="58">
        <v>5</v>
      </c>
      <c r="BP2148" s="59">
        <v>3</v>
      </c>
      <c r="BQ2148" s="58" t="s">
        <v>141</v>
      </c>
      <c r="BR2148" s="58"/>
      <c r="BS2148" s="58"/>
      <c r="BT2148" s="58"/>
      <c r="BU2148" s="58"/>
      <c r="BV2148" s="58"/>
      <c r="BW2148" s="67"/>
      <c r="BX2148" s="67"/>
      <c r="BY2148" s="67"/>
      <c r="BZ2148" s="67"/>
      <c r="CA2148" s="67"/>
      <c r="CB2148" s="153"/>
      <c r="CC2148" s="68"/>
      <c r="CD2148" s="68"/>
      <c r="CE2148" s="67"/>
      <c r="CF2148" s="67"/>
      <c r="CG2148" s="67"/>
      <c r="CH2148" s="94"/>
      <c r="CI2148" s="94"/>
      <c r="CJ2148" s="67"/>
      <c r="CK2148" s="67"/>
      <c r="CL2148" s="67"/>
      <c r="CM2148" s="67">
        <f>(CR2148*1000000)/(100*100*AD2148*AA2148/100*1000000)*100</f>
        <v>1.060392156862745</v>
      </c>
      <c r="CN2148" s="67">
        <f>(CS2148*1000000)/(100*100*AD2148*AA2148/100*1000000)*100</f>
        <v>1.4776470588235293</v>
      </c>
      <c r="CO2148" s="67"/>
      <c r="CP2148" s="67"/>
      <c r="CQ2148" s="67"/>
      <c r="CR2148" s="69">
        <v>6.76</v>
      </c>
      <c r="CS2148" s="69">
        <v>9.42</v>
      </c>
      <c r="CT2148" s="67"/>
      <c r="CU2148" s="67"/>
      <c r="CV2148" s="67" t="s">
        <v>2052</v>
      </c>
      <c r="CW2148" s="67"/>
      <c r="CX2148" s="67"/>
      <c r="CY2148" s="67"/>
      <c r="CZ2148" s="67"/>
      <c r="DA2148" s="67" t="s">
        <v>4463</v>
      </c>
      <c r="DB2148" s="67"/>
      <c r="DC2148" s="67"/>
      <c r="DD2148" s="67"/>
      <c r="DE2148" s="67"/>
      <c r="DF2148" s="67"/>
      <c r="DG2148" s="67"/>
      <c r="DH2148" s="67"/>
      <c r="DI2148" s="67"/>
      <c r="DJ2148" s="67"/>
      <c r="DK2148" s="67"/>
      <c r="DL2148" s="67"/>
      <c r="DM2148" s="67"/>
      <c r="DN2148" s="67"/>
      <c r="DO2148" s="67"/>
      <c r="DP2148" s="67"/>
      <c r="DQ2148" s="166"/>
      <c r="DR2148" s="166"/>
      <c r="DS2148" s="163"/>
      <c r="DT2148" s="163"/>
      <c r="DU2148" s="67"/>
      <c r="DV2148" s="67"/>
      <c r="DW2148" s="67"/>
      <c r="DX2148" s="67"/>
      <c r="DY2148" s="67"/>
      <c r="DZ2148" s="67"/>
      <c r="EA2148" s="67"/>
      <c r="EB2148" s="67"/>
      <c r="EC2148" s="67"/>
      <c r="ED2148" s="67"/>
      <c r="EE2148" s="67"/>
      <c r="EF2148" s="67"/>
      <c r="EG2148" s="67"/>
      <c r="EH2148" s="67"/>
      <c r="EI2148" s="67"/>
      <c r="EJ2148" s="67"/>
      <c r="EK2148" s="94"/>
      <c r="EL2148" s="94"/>
      <c r="EM2148" s="67"/>
      <c r="EN2148" s="67"/>
      <c r="EO2148" s="67"/>
      <c r="EP2148" s="67"/>
      <c r="EQ2148" s="67"/>
      <c r="ER2148" s="67"/>
      <c r="ES2148" s="67"/>
      <c r="ET2148" s="67"/>
      <c r="EU2148" s="67"/>
      <c r="EV2148" s="67"/>
      <c r="EW2148" s="67"/>
      <c r="EX2148" s="67"/>
      <c r="EY2148" s="67"/>
      <c r="EZ2148" s="67"/>
      <c r="FA2148" s="67"/>
      <c r="FB2148" s="67"/>
      <c r="FC2148" s="67"/>
      <c r="FD2148" s="67"/>
      <c r="FE2148" s="67"/>
      <c r="FF2148" s="67"/>
      <c r="FG2148" s="67"/>
      <c r="FH2148" s="67"/>
      <c r="FI2148" s="67"/>
      <c r="FJ2148" s="67"/>
      <c r="FK2148" s="67"/>
      <c r="FL2148" s="67"/>
      <c r="FM2148" s="67"/>
      <c r="FN2148" s="67"/>
      <c r="FO2148" s="67"/>
      <c r="FP2148" s="67"/>
      <c r="FQ2148" s="67"/>
      <c r="FR2148" s="67"/>
      <c r="FS2148" s="67"/>
      <c r="FT2148" s="67"/>
      <c r="FU2148" s="67"/>
      <c r="FV2148" s="67"/>
      <c r="FW2148" s="67"/>
      <c r="FX2148" s="67"/>
      <c r="FY2148" s="67"/>
      <c r="FZ2148" s="67"/>
      <c r="GA2148" s="67"/>
      <c r="GB2148" s="67"/>
      <c r="GC2148" s="67"/>
      <c r="GD2148" s="67"/>
      <c r="GE2148" s="67"/>
      <c r="GF2148" s="67"/>
      <c r="GG2148" s="67"/>
      <c r="GH2148" s="67"/>
      <c r="GI2148" s="67"/>
      <c r="GJ2148" s="67"/>
      <c r="GK2148" s="67"/>
      <c r="GL2148" s="67"/>
      <c r="GM2148" s="67"/>
      <c r="GN2148" s="292"/>
      <c r="GO2148" s="292"/>
      <c r="GP2148" s="292" t="s">
        <v>7494</v>
      </c>
      <c r="GQ2148" s="67"/>
      <c r="GR2148" s="67"/>
      <c r="GS2148" s="67"/>
      <c r="GT2148" s="67"/>
      <c r="GU2148" s="67"/>
      <c r="GV2148" s="67"/>
      <c r="GW2148" s="67"/>
      <c r="GX2148" s="67"/>
      <c r="GY2148" s="67"/>
      <c r="GZ2148" s="67"/>
      <c r="HA2148" s="67"/>
      <c r="HB2148" s="67"/>
      <c r="HC2148" s="67"/>
      <c r="HD2148" s="67"/>
      <c r="HE2148" s="67"/>
      <c r="HF2148" s="67"/>
      <c r="HG2148" s="67"/>
      <c r="HH2148" s="67"/>
      <c r="HI2148" s="67"/>
      <c r="HJ2148" s="67"/>
      <c r="HK2148" s="67"/>
      <c r="HL2148" s="67"/>
      <c r="HM2148" s="67"/>
      <c r="HN2148" s="67"/>
      <c r="HO2148" s="67"/>
      <c r="HP2148" s="67"/>
      <c r="HQ2148" s="67"/>
      <c r="HR2148" s="67"/>
      <c r="HS2148" s="67"/>
      <c r="HT2148" s="67"/>
      <c r="HU2148" s="67"/>
      <c r="HV2148" s="67"/>
      <c r="HW2148" s="67"/>
      <c r="HX2148" s="67"/>
      <c r="HY2148" s="67"/>
      <c r="HZ2148" s="67"/>
      <c r="IA2148" s="67"/>
      <c r="IB2148" s="67"/>
      <c r="IC2148" s="67"/>
      <c r="ID2148" s="67"/>
      <c r="IE2148" s="67"/>
      <c r="IF2148" s="67"/>
      <c r="IG2148" s="67"/>
      <c r="IH2148" s="67"/>
      <c r="II2148" s="67"/>
      <c r="IJ2148" s="67"/>
      <c r="IK2148" s="67"/>
      <c r="IL2148" s="67"/>
      <c r="IM2148" s="67"/>
      <c r="IN2148" s="67"/>
      <c r="IO2148" s="67"/>
      <c r="IP2148" s="67"/>
      <c r="IQ2148" s="67"/>
      <c r="IR2148" s="67"/>
      <c r="IS2148" s="67"/>
      <c r="IT2148" s="67"/>
      <c r="IU2148" s="67"/>
      <c r="IV2148" s="67"/>
      <c r="IW2148" s="67"/>
      <c r="IX2148" s="67"/>
      <c r="IY2148" s="67"/>
      <c r="IZ2148" s="67"/>
      <c r="JA2148" s="67"/>
      <c r="JB2148" s="67"/>
      <c r="JC2148" s="67"/>
      <c r="JD2148" s="67"/>
      <c r="JE2148" s="67"/>
      <c r="JF2148" s="67"/>
      <c r="JG2148" s="67"/>
      <c r="JH2148" s="67"/>
      <c r="JI2148" s="67"/>
      <c r="JJ2148" s="67"/>
      <c r="JK2148" s="67"/>
      <c r="JL2148" s="67"/>
      <c r="JM2148" s="67"/>
      <c r="JN2148" s="67"/>
      <c r="JO2148" s="67"/>
      <c r="JP2148" s="67"/>
      <c r="JQ2148" s="67"/>
      <c r="JR2148" s="67"/>
      <c r="JS2148" s="67"/>
      <c r="JT2148" s="67"/>
      <c r="JU2148" s="58"/>
      <c r="JV2148" s="58"/>
      <c r="JW2148" s="58"/>
    </row>
    <row r="2149" spans="1:283" s="23" customFormat="1" x14ac:dyDescent="0.25">
      <c r="A2149" s="55">
        <v>2148</v>
      </c>
      <c r="B2149" s="12" t="s">
        <v>7067</v>
      </c>
      <c r="C2149" s="156">
        <v>98</v>
      </c>
      <c r="D2149" s="58" t="s">
        <v>4139</v>
      </c>
      <c r="E2149" s="93" t="s">
        <v>2096</v>
      </c>
      <c r="F2149" s="93"/>
      <c r="G2149" s="58"/>
      <c r="H2149" s="59">
        <v>2006</v>
      </c>
      <c r="I2149" s="58">
        <v>1996</v>
      </c>
      <c r="J2149" s="59" t="s">
        <v>916</v>
      </c>
      <c r="K2149" s="59" t="s">
        <v>2097</v>
      </c>
      <c r="L2149" s="59" t="s">
        <v>5334</v>
      </c>
      <c r="M2149" s="94">
        <f>-29-45/60</f>
        <v>-29.75</v>
      </c>
      <c r="N2149" s="94">
        <f>-53-42/60</f>
        <v>-53.7</v>
      </c>
      <c r="O2149" s="93">
        <v>96</v>
      </c>
      <c r="P2149" s="59">
        <v>19.7</v>
      </c>
      <c r="Q2149" s="58"/>
      <c r="R2149" s="59">
        <v>1769</v>
      </c>
      <c r="S2149" s="94"/>
      <c r="T2149" s="58"/>
      <c r="U2149" s="58">
        <v>5</v>
      </c>
      <c r="V2149" s="59">
        <v>10</v>
      </c>
      <c r="W2149" s="174"/>
      <c r="X2149" s="174"/>
      <c r="Y2149" s="58" t="s">
        <v>2187</v>
      </c>
      <c r="Z2149" s="59" t="s">
        <v>1346</v>
      </c>
      <c r="AA2149" s="93">
        <v>20</v>
      </c>
      <c r="AB2149" s="67"/>
      <c r="AC2149" s="67"/>
      <c r="AD2149" s="94">
        <v>0.98899999999999999</v>
      </c>
      <c r="AE2149" s="93">
        <v>66</v>
      </c>
      <c r="AF2149" s="93">
        <v>25.3</v>
      </c>
      <c r="AG2149" s="93"/>
      <c r="AH2149" s="58" t="s">
        <v>238</v>
      </c>
      <c r="AI2149" s="169">
        <v>4.5</v>
      </c>
      <c r="AJ2149" s="94"/>
      <c r="AK2149" s="94"/>
      <c r="AL2149" s="58"/>
      <c r="AM2149" s="59" t="s">
        <v>2098</v>
      </c>
      <c r="AN2149" s="188" t="s">
        <v>115</v>
      </c>
      <c r="AO2149" s="185" t="s">
        <v>5150</v>
      </c>
      <c r="AP2149" s="59"/>
      <c r="AQ2149" s="58" t="s">
        <v>553</v>
      </c>
      <c r="AR2149" s="59" t="s">
        <v>2099</v>
      </c>
      <c r="AS2149" s="58" t="s">
        <v>132</v>
      </c>
      <c r="AT2149" s="182"/>
      <c r="AU2149" s="181" t="s">
        <v>7494</v>
      </c>
      <c r="AV2149" s="185" t="s">
        <v>176</v>
      </c>
      <c r="AW2149" s="58"/>
      <c r="AX2149" s="185" t="s">
        <v>176</v>
      </c>
      <c r="AY2149" s="58"/>
      <c r="AZ2149" s="59" t="s">
        <v>156</v>
      </c>
      <c r="BA2149" s="59" t="s">
        <v>156</v>
      </c>
      <c r="BB2149" s="59" t="s">
        <v>2082</v>
      </c>
      <c r="BC2149" s="59" t="s">
        <v>2082</v>
      </c>
      <c r="BD2149" s="58" t="s">
        <v>176</v>
      </c>
      <c r="BE2149" s="240" t="s">
        <v>2198</v>
      </c>
      <c r="BF2149" s="191" t="s">
        <v>479</v>
      </c>
      <c r="BG2149" s="191" t="s">
        <v>479</v>
      </c>
      <c r="BH2149" s="240" t="s">
        <v>2198</v>
      </c>
      <c r="BI2149" s="191" t="s">
        <v>479</v>
      </c>
      <c r="BJ2149" s="58" t="s">
        <v>176</v>
      </c>
      <c r="BK2149" s="58" t="s">
        <v>6269</v>
      </c>
      <c r="BL2149" s="58"/>
      <c r="BM2149" s="241" t="s">
        <v>160</v>
      </c>
      <c r="BN2149" s="58">
        <v>5</v>
      </c>
      <c r="BO2149" s="58">
        <v>5</v>
      </c>
      <c r="BP2149" s="59">
        <v>3</v>
      </c>
      <c r="BQ2149" s="58" t="s">
        <v>141</v>
      </c>
      <c r="BR2149" s="58"/>
      <c r="BS2149" s="58"/>
      <c r="BT2149" s="58"/>
      <c r="BU2149" s="58"/>
      <c r="BV2149" s="58"/>
      <c r="BW2149" s="67"/>
      <c r="BX2149" s="67"/>
      <c r="BY2149" s="67"/>
      <c r="BZ2149" s="67"/>
      <c r="CA2149" s="67"/>
      <c r="CB2149" s="153"/>
      <c r="CC2149" s="68"/>
      <c r="CD2149" s="68"/>
      <c r="CE2149" s="67"/>
      <c r="CF2149" s="67"/>
      <c r="CG2149" s="67"/>
      <c r="CH2149" s="94">
        <v>1.2746200000000001</v>
      </c>
      <c r="CI2149" s="94">
        <v>1.1719599999999999</v>
      </c>
      <c r="CJ2149" s="67"/>
      <c r="CK2149" s="67"/>
      <c r="CL2149" s="67"/>
      <c r="CM2149" s="67">
        <f>(CR2149*1000000)/(100*100*AD2149*AA2149/100*1000000)*100</f>
        <v>0.97067745197168853</v>
      </c>
      <c r="CN2149" s="67">
        <f>(CS2149*1000000)/(100*100*AD2149*AA2149/100*1000000)*100</f>
        <v>1.0515672396359959</v>
      </c>
      <c r="CO2149" s="67"/>
      <c r="CP2149" s="67"/>
      <c r="CQ2149" s="67"/>
      <c r="CR2149" s="69">
        <v>19.2</v>
      </c>
      <c r="CS2149" s="69">
        <v>20.8</v>
      </c>
      <c r="CT2149" s="67"/>
      <c r="CU2149" s="67"/>
      <c r="CV2149" s="67" t="s">
        <v>2052</v>
      </c>
      <c r="CW2149" s="67"/>
      <c r="CX2149" s="67"/>
      <c r="CY2149" s="67"/>
      <c r="CZ2149" s="67"/>
      <c r="DA2149" s="67" t="s">
        <v>4463</v>
      </c>
      <c r="DB2149" s="67"/>
      <c r="DC2149" s="67"/>
      <c r="DD2149" s="67"/>
      <c r="DE2149" s="67"/>
      <c r="DF2149" s="67"/>
      <c r="DG2149" s="67"/>
      <c r="DH2149" s="67"/>
      <c r="DI2149" s="67"/>
      <c r="DJ2149" s="67"/>
      <c r="DK2149" s="67"/>
      <c r="DL2149" s="67"/>
      <c r="DM2149" s="67"/>
      <c r="DN2149" s="67"/>
      <c r="DO2149" s="67"/>
      <c r="DP2149" s="67"/>
      <c r="DQ2149" s="166"/>
      <c r="DR2149" s="166"/>
      <c r="DS2149" s="163"/>
      <c r="DT2149" s="163"/>
      <c r="DU2149" s="67"/>
      <c r="DV2149" s="67"/>
      <c r="DW2149" s="67"/>
      <c r="DX2149" s="67"/>
      <c r="DY2149" s="67"/>
      <c r="DZ2149" s="67"/>
      <c r="EA2149" s="67"/>
      <c r="EB2149" s="67"/>
      <c r="EC2149" s="67"/>
      <c r="ED2149" s="67"/>
      <c r="EE2149" s="67"/>
      <c r="EF2149" s="67"/>
      <c r="EG2149" s="67"/>
      <c r="EH2149" s="67"/>
      <c r="EI2149" s="67"/>
      <c r="EJ2149" s="67"/>
      <c r="EK2149" s="94"/>
      <c r="EL2149" s="94"/>
      <c r="EM2149" s="67"/>
      <c r="EN2149" s="67"/>
      <c r="EO2149" s="67"/>
      <c r="EP2149" s="67"/>
      <c r="EQ2149" s="67"/>
      <c r="ER2149" s="67"/>
      <c r="ES2149" s="67"/>
      <c r="ET2149" s="67"/>
      <c r="EU2149" s="67"/>
      <c r="EV2149" s="67"/>
      <c r="EW2149" s="67"/>
      <c r="EX2149" s="67"/>
      <c r="EY2149" s="67"/>
      <c r="EZ2149" s="67"/>
      <c r="FA2149" s="67"/>
      <c r="FB2149" s="67"/>
      <c r="FC2149" s="67"/>
      <c r="FD2149" s="67"/>
      <c r="FE2149" s="67"/>
      <c r="FF2149" s="67"/>
      <c r="FG2149" s="67"/>
      <c r="FH2149" s="67"/>
      <c r="FI2149" s="67"/>
      <c r="FJ2149" s="67"/>
      <c r="FK2149" s="67"/>
      <c r="FL2149" s="67"/>
      <c r="FM2149" s="67"/>
      <c r="FN2149" s="67"/>
      <c r="FO2149" s="67"/>
      <c r="FP2149" s="67"/>
      <c r="FQ2149" s="67"/>
      <c r="FR2149" s="67"/>
      <c r="FS2149" s="67"/>
      <c r="FT2149" s="67"/>
      <c r="FU2149" s="67"/>
      <c r="FV2149" s="67"/>
      <c r="FW2149" s="67"/>
      <c r="FX2149" s="67"/>
      <c r="FY2149" s="67"/>
      <c r="FZ2149" s="67"/>
      <c r="GA2149" s="67"/>
      <c r="GB2149" s="67"/>
      <c r="GC2149" s="67"/>
      <c r="GD2149" s="67"/>
      <c r="GE2149" s="67"/>
      <c r="GF2149" s="67"/>
      <c r="GG2149" s="67"/>
      <c r="GH2149" s="67"/>
      <c r="GI2149" s="67"/>
      <c r="GJ2149" s="67"/>
      <c r="GK2149" s="67"/>
      <c r="GL2149" s="67"/>
      <c r="GM2149" s="67"/>
      <c r="GN2149" s="292"/>
      <c r="GO2149" s="292"/>
      <c r="GP2149" s="292" t="s">
        <v>7494</v>
      </c>
      <c r="GQ2149" s="67"/>
      <c r="GR2149" s="67"/>
      <c r="GS2149" s="67"/>
      <c r="GT2149" s="67"/>
      <c r="GU2149" s="67"/>
      <c r="GV2149" s="67"/>
      <c r="GW2149" s="67"/>
      <c r="GX2149" s="67"/>
      <c r="GY2149" s="67"/>
      <c r="GZ2149" s="67"/>
      <c r="HA2149" s="67"/>
      <c r="HB2149" s="67"/>
      <c r="HC2149" s="67"/>
      <c r="HD2149" s="67"/>
      <c r="HE2149" s="67"/>
      <c r="HF2149" s="67"/>
      <c r="HG2149" s="67"/>
      <c r="HH2149" s="67"/>
      <c r="HI2149" s="67"/>
      <c r="HJ2149" s="67"/>
      <c r="HK2149" s="67"/>
      <c r="HL2149" s="67"/>
      <c r="HM2149" s="67"/>
      <c r="HN2149" s="67"/>
      <c r="HO2149" s="67"/>
      <c r="HP2149" s="67"/>
      <c r="HQ2149" s="67"/>
      <c r="HR2149" s="67"/>
      <c r="HS2149" s="67"/>
      <c r="HT2149" s="67"/>
      <c r="HU2149" s="67"/>
      <c r="HV2149" s="67"/>
      <c r="HW2149" s="67"/>
      <c r="HX2149" s="67"/>
      <c r="HY2149" s="67"/>
      <c r="HZ2149" s="67"/>
      <c r="IA2149" s="67"/>
      <c r="IB2149" s="67"/>
      <c r="IC2149" s="67"/>
      <c r="ID2149" s="67"/>
      <c r="IE2149" s="67"/>
      <c r="IF2149" s="67"/>
      <c r="IG2149" s="67"/>
      <c r="IH2149" s="67"/>
      <c r="II2149" s="67"/>
      <c r="IJ2149" s="67"/>
      <c r="IK2149" s="67"/>
      <c r="IL2149" s="67"/>
      <c r="IM2149" s="67"/>
      <c r="IN2149" s="67"/>
      <c r="IO2149" s="67"/>
      <c r="IP2149" s="67"/>
      <c r="IQ2149" s="67"/>
      <c r="IR2149" s="67"/>
      <c r="IS2149" s="67"/>
      <c r="IT2149" s="67"/>
      <c r="IU2149" s="67"/>
      <c r="IV2149" s="67"/>
      <c r="IW2149" s="67"/>
      <c r="IX2149" s="67"/>
      <c r="IY2149" s="67"/>
      <c r="IZ2149" s="67"/>
      <c r="JA2149" s="67"/>
      <c r="JB2149" s="67"/>
      <c r="JC2149" s="67"/>
      <c r="JD2149" s="67"/>
      <c r="JE2149" s="67"/>
      <c r="JF2149" s="67"/>
      <c r="JG2149" s="67"/>
      <c r="JH2149" s="67"/>
      <c r="JI2149" s="67"/>
      <c r="JJ2149" s="67"/>
      <c r="JK2149" s="67"/>
      <c r="JL2149" s="67"/>
      <c r="JM2149" s="67"/>
      <c r="JN2149" s="67"/>
      <c r="JO2149" s="67"/>
      <c r="JP2149" s="67"/>
      <c r="JQ2149" s="67"/>
      <c r="JR2149" s="67"/>
      <c r="JS2149" s="67"/>
      <c r="JT2149" s="67"/>
      <c r="JU2149" s="58"/>
      <c r="JV2149" s="58"/>
      <c r="JW2149" s="58"/>
    </row>
    <row r="2150" spans="1:283" s="23" customFormat="1" x14ac:dyDescent="0.25">
      <c r="A2150" s="55">
        <v>2149</v>
      </c>
      <c r="B2150" s="12" t="s">
        <v>7067</v>
      </c>
      <c r="C2150" s="156">
        <v>98</v>
      </c>
      <c r="D2150" s="58" t="s">
        <v>4139</v>
      </c>
      <c r="E2150" s="93" t="s">
        <v>2096</v>
      </c>
      <c r="F2150" s="93"/>
      <c r="G2150" s="58"/>
      <c r="H2150" s="59">
        <v>2006</v>
      </c>
      <c r="I2150" s="58">
        <v>1996</v>
      </c>
      <c r="J2150" s="59" t="s">
        <v>916</v>
      </c>
      <c r="K2150" s="59" t="s">
        <v>2097</v>
      </c>
      <c r="L2150" s="59" t="s">
        <v>5334</v>
      </c>
      <c r="M2150" s="94">
        <f>-29-45/60</f>
        <v>-29.75</v>
      </c>
      <c r="N2150" s="94">
        <f>-53-42/60</f>
        <v>-53.7</v>
      </c>
      <c r="O2150" s="93">
        <v>96</v>
      </c>
      <c r="P2150" s="59">
        <v>19.7</v>
      </c>
      <c r="Q2150" s="58"/>
      <c r="R2150" s="59">
        <v>1769</v>
      </c>
      <c r="S2150" s="94"/>
      <c r="T2150" s="58"/>
      <c r="U2150" s="58">
        <v>5</v>
      </c>
      <c r="V2150" s="59">
        <v>10</v>
      </c>
      <c r="W2150" s="174"/>
      <c r="X2150" s="174"/>
      <c r="Y2150" s="58" t="s">
        <v>2187</v>
      </c>
      <c r="Z2150" s="59" t="s">
        <v>1346</v>
      </c>
      <c r="AA2150" s="93">
        <v>20</v>
      </c>
      <c r="AB2150" s="67"/>
      <c r="AC2150" s="67"/>
      <c r="AD2150" s="94">
        <v>0.98899999999999999</v>
      </c>
      <c r="AE2150" s="93">
        <v>66</v>
      </c>
      <c r="AF2150" s="93">
        <v>25.3</v>
      </c>
      <c r="AG2150" s="93"/>
      <c r="AH2150" s="58" t="s">
        <v>238</v>
      </c>
      <c r="AI2150" s="169">
        <v>4.5</v>
      </c>
      <c r="AJ2150" s="94"/>
      <c r="AK2150" s="94"/>
      <c r="AL2150" s="58"/>
      <c r="AM2150" s="59" t="s">
        <v>2098</v>
      </c>
      <c r="AN2150" s="188" t="s">
        <v>2192</v>
      </c>
      <c r="AO2150" s="185" t="s">
        <v>5150</v>
      </c>
      <c r="AP2150" s="59"/>
      <c r="AQ2150" s="58" t="s">
        <v>553</v>
      </c>
      <c r="AR2150" s="59" t="s">
        <v>2099</v>
      </c>
      <c r="AS2150" s="58" t="s">
        <v>132</v>
      </c>
      <c r="AT2150" s="182"/>
      <c r="AU2150" s="181" t="s">
        <v>7494</v>
      </c>
      <c r="AV2150" s="185" t="s">
        <v>176</v>
      </c>
      <c r="AW2150" s="58"/>
      <c r="AX2150" s="185" t="s">
        <v>176</v>
      </c>
      <c r="AY2150" s="58"/>
      <c r="AZ2150" s="59" t="s">
        <v>156</v>
      </c>
      <c r="BA2150" s="59" t="s">
        <v>156</v>
      </c>
      <c r="BB2150" s="59" t="s">
        <v>2082</v>
      </c>
      <c r="BC2150" s="59" t="s">
        <v>2082</v>
      </c>
      <c r="BD2150" s="58" t="s">
        <v>176</v>
      </c>
      <c r="BE2150" s="240" t="s">
        <v>2198</v>
      </c>
      <c r="BF2150" s="191" t="s">
        <v>479</v>
      </c>
      <c r="BG2150" s="191" t="s">
        <v>479</v>
      </c>
      <c r="BH2150" s="240" t="s">
        <v>2198</v>
      </c>
      <c r="BI2150" s="191" t="s">
        <v>479</v>
      </c>
      <c r="BJ2150" s="58" t="s">
        <v>176</v>
      </c>
      <c r="BK2150" s="58" t="s">
        <v>6269</v>
      </c>
      <c r="BL2150" s="58"/>
      <c r="BM2150" s="241" t="s">
        <v>160</v>
      </c>
      <c r="BN2150" s="58">
        <v>5</v>
      </c>
      <c r="BO2150" s="58">
        <v>5</v>
      </c>
      <c r="BP2150" s="59">
        <v>3</v>
      </c>
      <c r="BQ2150" s="58" t="s">
        <v>141</v>
      </c>
      <c r="BR2150" s="58"/>
      <c r="BS2150" s="58"/>
      <c r="BT2150" s="58"/>
      <c r="BU2150" s="58"/>
      <c r="BV2150" s="58"/>
      <c r="BW2150" s="67"/>
      <c r="BX2150" s="67"/>
      <c r="BY2150" s="67"/>
      <c r="BZ2150" s="67"/>
      <c r="CA2150" s="67"/>
      <c r="CB2150" s="153"/>
      <c r="CC2150" s="68"/>
      <c r="CD2150" s="68"/>
      <c r="CE2150" s="67"/>
      <c r="CF2150" s="67"/>
      <c r="CG2150" s="67"/>
      <c r="CH2150" s="94">
        <v>1.2746200000000001</v>
      </c>
      <c r="CI2150" s="94">
        <v>1.1719599999999999</v>
      </c>
      <c r="CJ2150" s="67"/>
      <c r="CK2150" s="67"/>
      <c r="CL2150" s="67"/>
      <c r="CM2150" s="67">
        <f>(CR2150*1000000)/(100*100*AD2150*AA2150/100*1000000)*100</f>
        <v>0.97067745197168853</v>
      </c>
      <c r="CN2150" s="67">
        <f>(CS2150*1000000)/(100*100*AD2150*AA2150/100*1000000)*100</f>
        <v>1.268958543983822</v>
      </c>
      <c r="CO2150" s="67"/>
      <c r="CP2150" s="67"/>
      <c r="CQ2150" s="67"/>
      <c r="CR2150" s="69">
        <v>19.2</v>
      </c>
      <c r="CS2150" s="69">
        <v>25.1</v>
      </c>
      <c r="CT2150" s="67"/>
      <c r="CU2150" s="67"/>
      <c r="CV2150" s="67" t="s">
        <v>2052</v>
      </c>
      <c r="CW2150" s="67"/>
      <c r="CX2150" s="67"/>
      <c r="CY2150" s="67"/>
      <c r="CZ2150" s="67"/>
      <c r="DA2150" s="67" t="s">
        <v>4463</v>
      </c>
      <c r="DB2150" s="67"/>
      <c r="DC2150" s="67"/>
      <c r="DD2150" s="67"/>
      <c r="DE2150" s="67"/>
      <c r="DF2150" s="67"/>
      <c r="DG2150" s="67"/>
      <c r="DH2150" s="67"/>
      <c r="DI2150" s="67"/>
      <c r="DJ2150" s="67"/>
      <c r="DK2150" s="67"/>
      <c r="DL2150" s="67"/>
      <c r="DM2150" s="67"/>
      <c r="DN2150" s="67"/>
      <c r="DO2150" s="67"/>
      <c r="DP2150" s="67"/>
      <c r="DQ2150" s="166"/>
      <c r="DR2150" s="166"/>
      <c r="DS2150" s="163"/>
      <c r="DT2150" s="163"/>
      <c r="DU2150" s="67"/>
      <c r="DV2150" s="67"/>
      <c r="DW2150" s="67"/>
      <c r="DX2150" s="67"/>
      <c r="DY2150" s="67"/>
      <c r="DZ2150" s="67"/>
      <c r="EA2150" s="67"/>
      <c r="EB2150" s="67"/>
      <c r="EC2150" s="67"/>
      <c r="ED2150" s="67"/>
      <c r="EE2150" s="67"/>
      <c r="EF2150" s="67"/>
      <c r="EG2150" s="67"/>
      <c r="EH2150" s="67"/>
      <c r="EI2150" s="67"/>
      <c r="EJ2150" s="67"/>
      <c r="EK2150" s="94"/>
      <c r="EL2150" s="94"/>
      <c r="EM2150" s="67"/>
      <c r="EN2150" s="67"/>
      <c r="EO2150" s="67"/>
      <c r="EP2150" s="67"/>
      <c r="EQ2150" s="67"/>
      <c r="ER2150" s="67"/>
      <c r="ES2150" s="67"/>
      <c r="ET2150" s="67"/>
      <c r="EU2150" s="67"/>
      <c r="EV2150" s="67"/>
      <c r="EW2150" s="67"/>
      <c r="EX2150" s="67"/>
      <c r="EY2150" s="67"/>
      <c r="EZ2150" s="67"/>
      <c r="FA2150" s="67"/>
      <c r="FB2150" s="67"/>
      <c r="FC2150" s="67"/>
      <c r="FD2150" s="67"/>
      <c r="FE2150" s="67"/>
      <c r="FF2150" s="67"/>
      <c r="FG2150" s="67"/>
      <c r="FH2150" s="67"/>
      <c r="FI2150" s="67"/>
      <c r="FJ2150" s="67"/>
      <c r="FK2150" s="67"/>
      <c r="FL2150" s="67"/>
      <c r="FM2150" s="67"/>
      <c r="FN2150" s="67"/>
      <c r="FO2150" s="67"/>
      <c r="FP2150" s="67"/>
      <c r="FQ2150" s="67"/>
      <c r="FR2150" s="67"/>
      <c r="FS2150" s="67"/>
      <c r="FT2150" s="67"/>
      <c r="FU2150" s="67"/>
      <c r="FV2150" s="67"/>
      <c r="FW2150" s="67"/>
      <c r="FX2150" s="67"/>
      <c r="FY2150" s="67"/>
      <c r="FZ2150" s="67"/>
      <c r="GA2150" s="67"/>
      <c r="GB2150" s="67"/>
      <c r="GC2150" s="67"/>
      <c r="GD2150" s="67"/>
      <c r="GE2150" s="67"/>
      <c r="GF2150" s="67"/>
      <c r="GG2150" s="67"/>
      <c r="GH2150" s="67"/>
      <c r="GI2150" s="67"/>
      <c r="GJ2150" s="67"/>
      <c r="GK2150" s="67"/>
      <c r="GL2150" s="67"/>
      <c r="GM2150" s="67"/>
      <c r="GN2150" s="292"/>
      <c r="GO2150" s="292"/>
      <c r="GP2150" s="292" t="s">
        <v>7494</v>
      </c>
      <c r="GQ2150" s="67"/>
      <c r="GR2150" s="67"/>
      <c r="GS2150" s="67"/>
      <c r="GT2150" s="67"/>
      <c r="GU2150" s="67"/>
      <c r="GV2150" s="67"/>
      <c r="GW2150" s="67"/>
      <c r="GX2150" s="67"/>
      <c r="GY2150" s="67"/>
      <c r="GZ2150" s="67"/>
      <c r="HA2150" s="67"/>
      <c r="HB2150" s="67"/>
      <c r="HC2150" s="67"/>
      <c r="HD2150" s="67"/>
      <c r="HE2150" s="67"/>
      <c r="HF2150" s="67"/>
      <c r="HG2150" s="67"/>
      <c r="HH2150" s="67"/>
      <c r="HI2150" s="67"/>
      <c r="HJ2150" s="67"/>
      <c r="HK2150" s="67"/>
      <c r="HL2150" s="67"/>
      <c r="HM2150" s="67"/>
      <c r="HN2150" s="67"/>
      <c r="HO2150" s="67"/>
      <c r="HP2150" s="67"/>
      <c r="HQ2150" s="67"/>
      <c r="HR2150" s="67"/>
      <c r="HS2150" s="67"/>
      <c r="HT2150" s="67"/>
      <c r="HU2150" s="67"/>
      <c r="HV2150" s="67"/>
      <c r="HW2150" s="67"/>
      <c r="HX2150" s="67"/>
      <c r="HY2150" s="67"/>
      <c r="HZ2150" s="67"/>
      <c r="IA2150" s="67"/>
      <c r="IB2150" s="67"/>
      <c r="IC2150" s="67"/>
      <c r="ID2150" s="67"/>
      <c r="IE2150" s="67"/>
      <c r="IF2150" s="67"/>
      <c r="IG2150" s="67"/>
      <c r="IH2150" s="67"/>
      <c r="II2150" s="67"/>
      <c r="IJ2150" s="67"/>
      <c r="IK2150" s="67"/>
      <c r="IL2150" s="67"/>
      <c r="IM2150" s="67"/>
      <c r="IN2150" s="67"/>
      <c r="IO2150" s="67"/>
      <c r="IP2150" s="67"/>
      <c r="IQ2150" s="67"/>
      <c r="IR2150" s="67"/>
      <c r="IS2150" s="67"/>
      <c r="IT2150" s="67"/>
      <c r="IU2150" s="67"/>
      <c r="IV2150" s="67"/>
      <c r="IW2150" s="67"/>
      <c r="IX2150" s="67"/>
      <c r="IY2150" s="67"/>
      <c r="IZ2150" s="67"/>
      <c r="JA2150" s="67"/>
      <c r="JB2150" s="67"/>
      <c r="JC2150" s="67"/>
      <c r="JD2150" s="67"/>
      <c r="JE2150" s="67"/>
      <c r="JF2150" s="67"/>
      <c r="JG2150" s="67"/>
      <c r="JH2150" s="67"/>
      <c r="JI2150" s="67"/>
      <c r="JJ2150" s="67"/>
      <c r="JK2150" s="67"/>
      <c r="JL2150" s="67"/>
      <c r="JM2150" s="67"/>
      <c r="JN2150" s="67"/>
      <c r="JO2150" s="67"/>
      <c r="JP2150" s="67"/>
      <c r="JQ2150" s="67"/>
      <c r="JR2150" s="67"/>
      <c r="JS2150" s="67"/>
      <c r="JT2150" s="67"/>
      <c r="JU2150" s="58"/>
      <c r="JV2150" s="58"/>
      <c r="JW2150" s="58"/>
    </row>
    <row r="2151" spans="1:283" s="23" customFormat="1" x14ac:dyDescent="0.25">
      <c r="A2151" s="55">
        <v>2150</v>
      </c>
      <c r="B2151" s="12" t="s">
        <v>7067</v>
      </c>
      <c r="C2151" s="156">
        <v>98</v>
      </c>
      <c r="D2151" s="58" t="s">
        <v>4140</v>
      </c>
      <c r="E2151" s="93" t="s">
        <v>2096</v>
      </c>
      <c r="F2151" s="93"/>
      <c r="G2151" s="58"/>
      <c r="H2151" s="58">
        <v>2006</v>
      </c>
      <c r="I2151" s="58">
        <v>1996</v>
      </c>
      <c r="J2151" s="59" t="s">
        <v>916</v>
      </c>
      <c r="K2151" s="58" t="s">
        <v>2189</v>
      </c>
      <c r="L2151" s="59" t="s">
        <v>5334</v>
      </c>
      <c r="M2151" s="94">
        <f>-30-50/60</f>
        <v>-30.833333333333332</v>
      </c>
      <c r="N2151" s="94">
        <f>-51-38/60</f>
        <v>-51.633333333333333</v>
      </c>
      <c r="O2151" s="94">
        <v>96</v>
      </c>
      <c r="P2151" s="58">
        <v>19.399999999999999</v>
      </c>
      <c r="Q2151" s="58"/>
      <c r="R2151" s="58">
        <v>1440</v>
      </c>
      <c r="S2151" s="94"/>
      <c r="T2151" s="58"/>
      <c r="U2151" s="58">
        <v>8</v>
      </c>
      <c r="V2151" s="58">
        <v>15</v>
      </c>
      <c r="W2151" s="174"/>
      <c r="X2151" s="174"/>
      <c r="Y2151" s="58" t="s">
        <v>2188</v>
      </c>
      <c r="Z2151" s="59" t="s">
        <v>1361</v>
      </c>
      <c r="AA2151" s="94">
        <v>5</v>
      </c>
      <c r="AB2151" s="67"/>
      <c r="AC2151" s="67"/>
      <c r="AD2151" s="94">
        <v>1.2749999999999999</v>
      </c>
      <c r="AE2151" s="94">
        <v>54</v>
      </c>
      <c r="AF2151" s="94">
        <v>24</v>
      </c>
      <c r="AG2151" s="94"/>
      <c r="AH2151" s="58" t="s">
        <v>494</v>
      </c>
      <c r="AI2151" s="169">
        <v>4.5</v>
      </c>
      <c r="AJ2151" s="94"/>
      <c r="AK2151" s="94"/>
      <c r="AL2151" s="58"/>
      <c r="AM2151" s="58" t="s">
        <v>2101</v>
      </c>
      <c r="AN2151" s="186" t="s">
        <v>2194</v>
      </c>
      <c r="AO2151" s="185" t="s">
        <v>5150</v>
      </c>
      <c r="AP2151" s="58"/>
      <c r="AQ2151" s="58" t="s">
        <v>553</v>
      </c>
      <c r="AR2151" s="58" t="s">
        <v>2195</v>
      </c>
      <c r="AS2151" s="58" t="s">
        <v>1584</v>
      </c>
      <c r="AT2151" s="182"/>
      <c r="AU2151" s="181" t="s">
        <v>7494</v>
      </c>
      <c r="AV2151" s="185" t="s">
        <v>176</v>
      </c>
      <c r="AW2151" s="58"/>
      <c r="AX2151" s="185" t="s">
        <v>176</v>
      </c>
      <c r="AY2151" s="58"/>
      <c r="AZ2151" s="58" t="s">
        <v>156</v>
      </c>
      <c r="BA2151" s="58" t="s">
        <v>156</v>
      </c>
      <c r="BB2151" s="58" t="s">
        <v>2082</v>
      </c>
      <c r="BC2151" s="58" t="s">
        <v>2082</v>
      </c>
      <c r="BD2151" s="58" t="s">
        <v>176</v>
      </c>
      <c r="BE2151" s="236" t="s">
        <v>2100</v>
      </c>
      <c r="BF2151" s="191" t="s">
        <v>479</v>
      </c>
      <c r="BG2151" s="191" t="s">
        <v>479</v>
      </c>
      <c r="BH2151" s="236" t="s">
        <v>2100</v>
      </c>
      <c r="BI2151" s="191" t="s">
        <v>479</v>
      </c>
      <c r="BJ2151" s="58" t="s">
        <v>176</v>
      </c>
      <c r="BK2151" s="58" t="s">
        <v>6269</v>
      </c>
      <c r="BL2151" s="58"/>
      <c r="BM2151" s="241" t="s">
        <v>160</v>
      </c>
      <c r="BN2151" s="58">
        <v>5</v>
      </c>
      <c r="BO2151" s="58">
        <v>5</v>
      </c>
      <c r="BP2151" s="58">
        <v>3</v>
      </c>
      <c r="BQ2151" s="58" t="s">
        <v>141</v>
      </c>
      <c r="BR2151" s="58"/>
      <c r="BS2151" s="58"/>
      <c r="BT2151" s="58"/>
      <c r="BU2151" s="58"/>
      <c r="BV2151" s="58"/>
      <c r="BW2151" s="67"/>
      <c r="BX2151" s="67"/>
      <c r="BY2151" s="67"/>
      <c r="BZ2151" s="67"/>
      <c r="CA2151" s="67"/>
      <c r="CB2151" s="68"/>
      <c r="CC2151" s="68"/>
      <c r="CD2151" s="68"/>
      <c r="CE2151" s="67"/>
      <c r="CF2151" s="67"/>
      <c r="CG2151" s="67"/>
      <c r="CH2151" s="94"/>
      <c r="CI2151" s="94"/>
      <c r="CJ2151" s="67"/>
      <c r="CK2151" s="67"/>
      <c r="CL2151" s="67"/>
      <c r="CM2151" s="67">
        <f>(CR2151*1000000)/(100*100*AD2151*AA2151/100*1000000)*100</f>
        <v>1.6423529411764706</v>
      </c>
      <c r="CN2151" s="67">
        <f>(CS2151*1000000)/(100*100*AD2151*AA2151/100*1000000)*100</f>
        <v>2.2227450980392156</v>
      </c>
      <c r="CO2151" s="67"/>
      <c r="CP2151" s="67"/>
      <c r="CQ2151" s="67"/>
      <c r="CR2151" s="67">
        <v>10.47</v>
      </c>
      <c r="CS2151" s="67">
        <v>14.17</v>
      </c>
      <c r="CT2151" s="67"/>
      <c r="CU2151" s="67"/>
      <c r="CV2151" s="67" t="s">
        <v>2052</v>
      </c>
      <c r="CW2151" s="67"/>
      <c r="CX2151" s="67"/>
      <c r="CY2151" s="67"/>
      <c r="CZ2151" s="67"/>
      <c r="DA2151" s="67" t="s">
        <v>4463</v>
      </c>
      <c r="DB2151" s="67"/>
      <c r="DC2151" s="67"/>
      <c r="DD2151" s="67"/>
      <c r="DE2151" s="67"/>
      <c r="DF2151" s="67"/>
      <c r="DG2151" s="67"/>
      <c r="DH2151" s="67"/>
      <c r="DI2151" s="67"/>
      <c r="DJ2151" s="67"/>
      <c r="DK2151" s="67"/>
      <c r="DL2151" s="67"/>
      <c r="DM2151" s="67"/>
      <c r="DN2151" s="67"/>
      <c r="DO2151" s="67"/>
      <c r="DP2151" s="67"/>
      <c r="DQ2151" s="166"/>
      <c r="DR2151" s="166"/>
      <c r="DS2151" s="163"/>
      <c r="DT2151" s="163"/>
      <c r="DU2151" s="67"/>
      <c r="DV2151" s="67"/>
      <c r="DW2151" s="67"/>
      <c r="DX2151" s="67"/>
      <c r="DY2151" s="67"/>
      <c r="DZ2151" s="67"/>
      <c r="EA2151" s="67"/>
      <c r="EB2151" s="67"/>
      <c r="EC2151" s="67"/>
      <c r="ED2151" s="67"/>
      <c r="EE2151" s="67"/>
      <c r="EF2151" s="67"/>
      <c r="EG2151" s="67"/>
      <c r="EH2151" s="67"/>
      <c r="EI2151" s="67"/>
      <c r="EJ2151" s="67"/>
      <c r="EK2151" s="94"/>
      <c r="EL2151" s="94"/>
      <c r="EM2151" s="67"/>
      <c r="EN2151" s="67"/>
      <c r="EO2151" s="67"/>
      <c r="EP2151" s="67"/>
      <c r="EQ2151" s="67"/>
      <c r="ER2151" s="67"/>
      <c r="ES2151" s="67"/>
      <c r="ET2151" s="67"/>
      <c r="EU2151" s="67"/>
      <c r="EV2151" s="67"/>
      <c r="EW2151" s="67"/>
      <c r="EX2151" s="67"/>
      <c r="EY2151" s="67"/>
      <c r="EZ2151" s="67"/>
      <c r="FA2151" s="67"/>
      <c r="FB2151" s="67"/>
      <c r="FC2151" s="67"/>
      <c r="FD2151" s="67"/>
      <c r="FE2151" s="67"/>
      <c r="FF2151" s="67"/>
      <c r="FG2151" s="67"/>
      <c r="FH2151" s="67"/>
      <c r="FI2151" s="67"/>
      <c r="FJ2151" s="67"/>
      <c r="FK2151" s="67"/>
      <c r="FL2151" s="67"/>
      <c r="FM2151" s="67"/>
      <c r="FN2151" s="67"/>
      <c r="FO2151" s="67"/>
      <c r="FP2151" s="67"/>
      <c r="FQ2151" s="67"/>
      <c r="FR2151" s="67"/>
      <c r="FS2151" s="67"/>
      <c r="FT2151" s="67"/>
      <c r="FU2151" s="67"/>
      <c r="FV2151" s="67"/>
      <c r="FW2151" s="67"/>
      <c r="FX2151" s="67"/>
      <c r="FY2151" s="67"/>
      <c r="FZ2151" s="67"/>
      <c r="GA2151" s="67"/>
      <c r="GB2151" s="67"/>
      <c r="GC2151" s="67"/>
      <c r="GD2151" s="67"/>
      <c r="GE2151" s="67"/>
      <c r="GF2151" s="67"/>
      <c r="GG2151" s="67"/>
      <c r="GH2151" s="67"/>
      <c r="GI2151" s="67"/>
      <c r="GJ2151" s="67"/>
      <c r="GK2151" s="67"/>
      <c r="GL2151" s="67"/>
      <c r="GM2151" s="67"/>
      <c r="GN2151" s="292"/>
      <c r="GO2151" s="292"/>
      <c r="GP2151" s="292" t="s">
        <v>7494</v>
      </c>
      <c r="GQ2151" s="67"/>
      <c r="GR2151" s="67"/>
      <c r="GS2151" s="67"/>
      <c r="GT2151" s="67"/>
      <c r="GU2151" s="67"/>
      <c r="GV2151" s="67"/>
      <c r="GW2151" s="67"/>
      <c r="GX2151" s="67"/>
      <c r="GY2151" s="67"/>
      <c r="GZ2151" s="67"/>
      <c r="HA2151" s="67"/>
      <c r="HB2151" s="67"/>
      <c r="HC2151" s="67"/>
      <c r="HD2151" s="67"/>
      <c r="HE2151" s="67"/>
      <c r="HF2151" s="67"/>
      <c r="HG2151" s="67"/>
      <c r="HH2151" s="67"/>
      <c r="HI2151" s="67"/>
      <c r="HJ2151" s="67"/>
      <c r="HK2151" s="67"/>
      <c r="HL2151" s="67"/>
      <c r="HM2151" s="67"/>
      <c r="HN2151" s="67"/>
      <c r="HO2151" s="67"/>
      <c r="HP2151" s="67"/>
      <c r="HQ2151" s="67"/>
      <c r="HR2151" s="67"/>
      <c r="HS2151" s="67"/>
      <c r="HT2151" s="67"/>
      <c r="HU2151" s="67"/>
      <c r="HV2151" s="67"/>
      <c r="HW2151" s="67"/>
      <c r="HX2151" s="67"/>
      <c r="HY2151" s="67"/>
      <c r="HZ2151" s="67"/>
      <c r="IA2151" s="67"/>
      <c r="IB2151" s="67"/>
      <c r="IC2151" s="67"/>
      <c r="ID2151" s="67"/>
      <c r="IE2151" s="67"/>
      <c r="IF2151" s="67"/>
      <c r="IG2151" s="67"/>
      <c r="IH2151" s="67"/>
      <c r="II2151" s="67"/>
      <c r="IJ2151" s="67"/>
      <c r="IK2151" s="67"/>
      <c r="IL2151" s="67"/>
      <c r="IM2151" s="67"/>
      <c r="IN2151" s="67"/>
      <c r="IO2151" s="67"/>
      <c r="IP2151" s="67"/>
      <c r="IQ2151" s="67"/>
      <c r="IR2151" s="67"/>
      <c r="IS2151" s="67"/>
      <c r="IT2151" s="67"/>
      <c r="IU2151" s="67"/>
      <c r="IV2151" s="67"/>
      <c r="IW2151" s="67"/>
      <c r="IX2151" s="67"/>
      <c r="IY2151" s="67"/>
      <c r="IZ2151" s="67"/>
      <c r="JA2151" s="67"/>
      <c r="JB2151" s="67"/>
      <c r="JC2151" s="67"/>
      <c r="JD2151" s="67"/>
      <c r="JE2151" s="67"/>
      <c r="JF2151" s="67"/>
      <c r="JG2151" s="67"/>
      <c r="JH2151" s="67"/>
      <c r="JI2151" s="67"/>
      <c r="JJ2151" s="67"/>
      <c r="JK2151" s="67"/>
      <c r="JL2151" s="67"/>
      <c r="JM2151" s="67"/>
      <c r="JN2151" s="67"/>
      <c r="JO2151" s="67"/>
      <c r="JP2151" s="67"/>
      <c r="JQ2151" s="67"/>
      <c r="JR2151" s="67"/>
      <c r="JS2151" s="67"/>
      <c r="JT2151" s="67"/>
      <c r="JU2151" s="58"/>
      <c r="JV2151" s="58"/>
      <c r="JW2151" s="58"/>
    </row>
    <row r="2152" spans="1:283" s="23" customFormat="1" x14ac:dyDescent="0.25">
      <c r="A2152" s="55">
        <v>2151</v>
      </c>
      <c r="B2152" s="12" t="s">
        <v>7067</v>
      </c>
      <c r="C2152" s="156">
        <v>98</v>
      </c>
      <c r="D2152" s="58" t="s">
        <v>4140</v>
      </c>
      <c r="E2152" s="93" t="s">
        <v>2096</v>
      </c>
      <c r="F2152" s="93"/>
      <c r="G2152" s="58"/>
      <c r="H2152" s="58">
        <v>2006</v>
      </c>
      <c r="I2152" s="58">
        <v>1996</v>
      </c>
      <c r="J2152" s="59" t="s">
        <v>916</v>
      </c>
      <c r="K2152" s="58" t="s">
        <v>2189</v>
      </c>
      <c r="L2152" s="59" t="s">
        <v>5334</v>
      </c>
      <c r="M2152" s="94">
        <f>-30-50/60</f>
        <v>-30.833333333333332</v>
      </c>
      <c r="N2152" s="94">
        <f>-51-38/60</f>
        <v>-51.633333333333333</v>
      </c>
      <c r="O2152" s="94">
        <v>96</v>
      </c>
      <c r="P2152" s="58">
        <v>19.399999999999999</v>
      </c>
      <c r="Q2152" s="58"/>
      <c r="R2152" s="58">
        <v>1440</v>
      </c>
      <c r="S2152" s="94"/>
      <c r="T2152" s="58"/>
      <c r="U2152" s="58">
        <v>8</v>
      </c>
      <c r="V2152" s="58">
        <v>15</v>
      </c>
      <c r="W2152" s="174"/>
      <c r="X2152" s="174"/>
      <c r="Y2152" s="58" t="s">
        <v>2188</v>
      </c>
      <c r="Z2152" s="59" t="s">
        <v>1361</v>
      </c>
      <c r="AA2152" s="94">
        <v>5</v>
      </c>
      <c r="AB2152" s="67"/>
      <c r="AC2152" s="67"/>
      <c r="AD2152" s="94">
        <v>1.2749999999999999</v>
      </c>
      <c r="AE2152" s="94">
        <v>54</v>
      </c>
      <c r="AF2152" s="94">
        <v>24</v>
      </c>
      <c r="AG2152" s="94"/>
      <c r="AH2152" s="58" t="s">
        <v>494</v>
      </c>
      <c r="AI2152" s="169">
        <v>4.5</v>
      </c>
      <c r="AJ2152" s="94"/>
      <c r="AK2152" s="94"/>
      <c r="AL2152" s="58"/>
      <c r="AM2152" s="58" t="s">
        <v>2101</v>
      </c>
      <c r="AN2152" s="186" t="s">
        <v>2193</v>
      </c>
      <c r="AO2152" s="185" t="s">
        <v>5150</v>
      </c>
      <c r="AP2152" s="58"/>
      <c r="AQ2152" s="58" t="s">
        <v>553</v>
      </c>
      <c r="AR2152" s="58" t="s">
        <v>2195</v>
      </c>
      <c r="AS2152" s="58" t="s">
        <v>1584</v>
      </c>
      <c r="AT2152" s="182"/>
      <c r="AU2152" s="181" t="s">
        <v>7494</v>
      </c>
      <c r="AV2152" s="185" t="s">
        <v>176</v>
      </c>
      <c r="AW2152" s="58"/>
      <c r="AX2152" s="185" t="s">
        <v>176</v>
      </c>
      <c r="AY2152" s="58"/>
      <c r="AZ2152" s="58" t="s">
        <v>156</v>
      </c>
      <c r="BA2152" s="58" t="s">
        <v>156</v>
      </c>
      <c r="BB2152" s="58" t="s">
        <v>2082</v>
      </c>
      <c r="BC2152" s="58" t="s">
        <v>2082</v>
      </c>
      <c r="BD2152" s="58" t="s">
        <v>176</v>
      </c>
      <c r="BE2152" s="236" t="s">
        <v>2100</v>
      </c>
      <c r="BF2152" s="191" t="s">
        <v>479</v>
      </c>
      <c r="BG2152" s="191" t="s">
        <v>479</v>
      </c>
      <c r="BH2152" s="236" t="s">
        <v>2100</v>
      </c>
      <c r="BI2152" s="191" t="s">
        <v>479</v>
      </c>
      <c r="BJ2152" s="58" t="s">
        <v>176</v>
      </c>
      <c r="BK2152" s="58" t="s">
        <v>6269</v>
      </c>
      <c r="BL2152" s="58"/>
      <c r="BM2152" s="241" t="s">
        <v>160</v>
      </c>
      <c r="BN2152" s="58">
        <v>5</v>
      </c>
      <c r="BO2152" s="58">
        <v>5</v>
      </c>
      <c r="BP2152" s="58">
        <v>3</v>
      </c>
      <c r="BQ2152" s="58" t="s">
        <v>141</v>
      </c>
      <c r="BR2152" s="58"/>
      <c r="BS2152" s="58"/>
      <c r="BT2152" s="58"/>
      <c r="BU2152" s="58"/>
      <c r="BV2152" s="58"/>
      <c r="BW2152" s="67"/>
      <c r="BX2152" s="67"/>
      <c r="BY2152" s="67"/>
      <c r="BZ2152" s="67"/>
      <c r="CA2152" s="67"/>
      <c r="CB2152" s="68"/>
      <c r="CC2152" s="68"/>
      <c r="CD2152" s="68"/>
      <c r="CE2152" s="67"/>
      <c r="CF2152" s="67"/>
      <c r="CG2152" s="67"/>
      <c r="CH2152" s="94"/>
      <c r="CI2152" s="94"/>
      <c r="CJ2152" s="67"/>
      <c r="CK2152" s="67"/>
      <c r="CL2152" s="67"/>
      <c r="CM2152" s="67">
        <f>(CR2152*1000000)/(100*100*AD2152*AA2152/100*1000000)*100</f>
        <v>1.6423529411764706</v>
      </c>
      <c r="CN2152" s="67">
        <f>(CS2152*1000000)/(100*100*AD2152*AA2152/100*1000000)*100</f>
        <v>2.5882352941176472</v>
      </c>
      <c r="CO2152" s="67"/>
      <c r="CP2152" s="67"/>
      <c r="CQ2152" s="67"/>
      <c r="CR2152" s="67">
        <v>10.47</v>
      </c>
      <c r="CS2152" s="67">
        <v>16.5</v>
      </c>
      <c r="CT2152" s="67"/>
      <c r="CU2152" s="67"/>
      <c r="CV2152" s="67" t="s">
        <v>2052</v>
      </c>
      <c r="CW2152" s="67"/>
      <c r="CX2152" s="67"/>
      <c r="CY2152" s="67"/>
      <c r="CZ2152" s="67"/>
      <c r="DA2152" s="67" t="s">
        <v>4463</v>
      </c>
      <c r="DB2152" s="67"/>
      <c r="DC2152" s="67"/>
      <c r="DD2152" s="67"/>
      <c r="DE2152" s="67"/>
      <c r="DF2152" s="67"/>
      <c r="DG2152" s="67"/>
      <c r="DH2152" s="67"/>
      <c r="DI2152" s="67"/>
      <c r="DJ2152" s="67"/>
      <c r="DK2152" s="67"/>
      <c r="DL2152" s="67"/>
      <c r="DM2152" s="67"/>
      <c r="DN2152" s="67"/>
      <c r="DO2152" s="67"/>
      <c r="DP2152" s="67"/>
      <c r="DQ2152" s="166"/>
      <c r="DR2152" s="166"/>
      <c r="DS2152" s="163"/>
      <c r="DT2152" s="163"/>
      <c r="DU2152" s="67"/>
      <c r="DV2152" s="67"/>
      <c r="DW2152" s="67"/>
      <c r="DX2152" s="67"/>
      <c r="DY2152" s="67"/>
      <c r="DZ2152" s="67"/>
      <c r="EA2152" s="67"/>
      <c r="EB2152" s="67"/>
      <c r="EC2152" s="67"/>
      <c r="ED2152" s="67"/>
      <c r="EE2152" s="67"/>
      <c r="EF2152" s="67"/>
      <c r="EG2152" s="67"/>
      <c r="EH2152" s="67"/>
      <c r="EI2152" s="67"/>
      <c r="EJ2152" s="67"/>
      <c r="EK2152" s="94"/>
      <c r="EL2152" s="94"/>
      <c r="EM2152" s="67"/>
      <c r="EN2152" s="67"/>
      <c r="EO2152" s="67"/>
      <c r="EP2152" s="67"/>
      <c r="EQ2152" s="67"/>
      <c r="ER2152" s="67"/>
      <c r="ES2152" s="67"/>
      <c r="ET2152" s="67"/>
      <c r="EU2152" s="67"/>
      <c r="EV2152" s="67"/>
      <c r="EW2152" s="67"/>
      <c r="EX2152" s="67"/>
      <c r="EY2152" s="67"/>
      <c r="EZ2152" s="67"/>
      <c r="FA2152" s="67"/>
      <c r="FB2152" s="67"/>
      <c r="FC2152" s="67"/>
      <c r="FD2152" s="67"/>
      <c r="FE2152" s="67"/>
      <c r="FF2152" s="67"/>
      <c r="FG2152" s="67"/>
      <c r="FH2152" s="67"/>
      <c r="FI2152" s="67"/>
      <c r="FJ2152" s="67"/>
      <c r="FK2152" s="67"/>
      <c r="FL2152" s="67"/>
      <c r="FM2152" s="67"/>
      <c r="FN2152" s="67"/>
      <c r="FO2152" s="67"/>
      <c r="FP2152" s="67"/>
      <c r="FQ2152" s="67"/>
      <c r="FR2152" s="67"/>
      <c r="FS2152" s="67"/>
      <c r="FT2152" s="67"/>
      <c r="FU2152" s="67"/>
      <c r="FV2152" s="67"/>
      <c r="FW2152" s="67"/>
      <c r="FX2152" s="67"/>
      <c r="FY2152" s="67"/>
      <c r="FZ2152" s="67"/>
      <c r="GA2152" s="67"/>
      <c r="GB2152" s="67"/>
      <c r="GC2152" s="67"/>
      <c r="GD2152" s="67"/>
      <c r="GE2152" s="67"/>
      <c r="GF2152" s="67"/>
      <c r="GG2152" s="67"/>
      <c r="GH2152" s="67"/>
      <c r="GI2152" s="67"/>
      <c r="GJ2152" s="67"/>
      <c r="GK2152" s="67"/>
      <c r="GL2152" s="67"/>
      <c r="GM2152" s="67"/>
      <c r="GN2152" s="292"/>
      <c r="GO2152" s="292"/>
      <c r="GP2152" s="292" t="s">
        <v>7494</v>
      </c>
      <c r="GQ2152" s="67"/>
      <c r="GR2152" s="67"/>
      <c r="GS2152" s="67"/>
      <c r="GT2152" s="67"/>
      <c r="GU2152" s="67"/>
      <c r="GV2152" s="67"/>
      <c r="GW2152" s="67"/>
      <c r="GX2152" s="67"/>
      <c r="GY2152" s="67"/>
      <c r="GZ2152" s="67"/>
      <c r="HA2152" s="67"/>
      <c r="HB2152" s="67"/>
      <c r="HC2152" s="67"/>
      <c r="HD2152" s="67"/>
      <c r="HE2152" s="67"/>
      <c r="HF2152" s="67"/>
      <c r="HG2152" s="67"/>
      <c r="HH2152" s="67"/>
      <c r="HI2152" s="67"/>
      <c r="HJ2152" s="67"/>
      <c r="HK2152" s="67"/>
      <c r="HL2152" s="67"/>
      <c r="HM2152" s="67"/>
      <c r="HN2152" s="67"/>
      <c r="HO2152" s="67"/>
      <c r="HP2152" s="67"/>
      <c r="HQ2152" s="67"/>
      <c r="HR2152" s="67"/>
      <c r="HS2152" s="67"/>
      <c r="HT2152" s="67"/>
      <c r="HU2152" s="67"/>
      <c r="HV2152" s="67"/>
      <c r="HW2152" s="67"/>
      <c r="HX2152" s="67"/>
      <c r="HY2152" s="67"/>
      <c r="HZ2152" s="67"/>
      <c r="IA2152" s="67"/>
      <c r="IB2152" s="67"/>
      <c r="IC2152" s="67"/>
      <c r="ID2152" s="67"/>
      <c r="IE2152" s="67"/>
      <c r="IF2152" s="67"/>
      <c r="IG2152" s="67"/>
      <c r="IH2152" s="67"/>
      <c r="II2152" s="67"/>
      <c r="IJ2152" s="67"/>
      <c r="IK2152" s="67"/>
      <c r="IL2152" s="67"/>
      <c r="IM2152" s="67"/>
      <c r="IN2152" s="67"/>
      <c r="IO2152" s="67"/>
      <c r="IP2152" s="67"/>
      <c r="IQ2152" s="67"/>
      <c r="IR2152" s="67"/>
      <c r="IS2152" s="67"/>
      <c r="IT2152" s="67"/>
      <c r="IU2152" s="67"/>
      <c r="IV2152" s="67"/>
      <c r="IW2152" s="67"/>
      <c r="IX2152" s="67"/>
      <c r="IY2152" s="67"/>
      <c r="IZ2152" s="67"/>
      <c r="JA2152" s="67"/>
      <c r="JB2152" s="67"/>
      <c r="JC2152" s="67"/>
      <c r="JD2152" s="67"/>
      <c r="JE2152" s="67"/>
      <c r="JF2152" s="67"/>
      <c r="JG2152" s="67"/>
      <c r="JH2152" s="67"/>
      <c r="JI2152" s="67"/>
      <c r="JJ2152" s="67"/>
      <c r="JK2152" s="67"/>
      <c r="JL2152" s="67"/>
      <c r="JM2152" s="67"/>
      <c r="JN2152" s="67"/>
      <c r="JO2152" s="67"/>
      <c r="JP2152" s="67"/>
      <c r="JQ2152" s="67"/>
      <c r="JR2152" s="67"/>
      <c r="JS2152" s="67"/>
      <c r="JT2152" s="67"/>
      <c r="JU2152" s="58"/>
      <c r="JV2152" s="58"/>
      <c r="JW2152" s="58"/>
    </row>
    <row r="2153" spans="1:283" s="23" customFormat="1" x14ac:dyDescent="0.25">
      <c r="A2153" s="55">
        <v>2152</v>
      </c>
      <c r="B2153" s="12" t="s">
        <v>7067</v>
      </c>
      <c r="C2153" s="156">
        <v>98</v>
      </c>
      <c r="D2153" s="58" t="s">
        <v>4141</v>
      </c>
      <c r="E2153" s="93" t="s">
        <v>2096</v>
      </c>
      <c r="F2153" s="93"/>
      <c r="G2153" s="58"/>
      <c r="H2153" s="58">
        <v>2006</v>
      </c>
      <c r="I2153" s="58">
        <v>1996</v>
      </c>
      <c r="J2153" s="59" t="s">
        <v>916</v>
      </c>
      <c r="K2153" s="58" t="s">
        <v>2189</v>
      </c>
      <c r="L2153" s="59" t="s">
        <v>5334</v>
      </c>
      <c r="M2153" s="94">
        <f>-30-50/60</f>
        <v>-30.833333333333332</v>
      </c>
      <c r="N2153" s="94">
        <f>-51-38/60</f>
        <v>-51.633333333333333</v>
      </c>
      <c r="O2153" s="94">
        <v>96</v>
      </c>
      <c r="P2153" s="58">
        <v>19.399999999999999</v>
      </c>
      <c r="Q2153" s="58"/>
      <c r="R2153" s="58">
        <v>1440</v>
      </c>
      <c r="S2153" s="94"/>
      <c r="T2153" s="58"/>
      <c r="U2153" s="58">
        <v>8</v>
      </c>
      <c r="V2153" s="58">
        <v>15</v>
      </c>
      <c r="W2153" s="174"/>
      <c r="X2153" s="174"/>
      <c r="Y2153" s="58" t="s">
        <v>2188</v>
      </c>
      <c r="Z2153" s="59" t="s">
        <v>1346</v>
      </c>
      <c r="AA2153" s="94">
        <v>20</v>
      </c>
      <c r="AB2153" s="67"/>
      <c r="AC2153" s="67"/>
      <c r="AD2153" s="94">
        <v>0.98899999999999999</v>
      </c>
      <c r="AE2153" s="94">
        <v>54</v>
      </c>
      <c r="AF2153" s="94">
        <v>24</v>
      </c>
      <c r="AG2153" s="94"/>
      <c r="AH2153" s="58" t="s">
        <v>494</v>
      </c>
      <c r="AI2153" s="169">
        <v>4.5</v>
      </c>
      <c r="AJ2153" s="94"/>
      <c r="AK2153" s="94"/>
      <c r="AL2153" s="58"/>
      <c r="AM2153" s="58" t="s">
        <v>2101</v>
      </c>
      <c r="AN2153" s="186" t="s">
        <v>2194</v>
      </c>
      <c r="AO2153" s="185" t="s">
        <v>5150</v>
      </c>
      <c r="AP2153" s="58"/>
      <c r="AQ2153" s="58" t="s">
        <v>553</v>
      </c>
      <c r="AR2153" s="58" t="s">
        <v>2195</v>
      </c>
      <c r="AS2153" s="58" t="s">
        <v>1584</v>
      </c>
      <c r="AT2153" s="182"/>
      <c r="AU2153" s="181" t="s">
        <v>7494</v>
      </c>
      <c r="AV2153" s="185" t="s">
        <v>176</v>
      </c>
      <c r="AW2153" s="58"/>
      <c r="AX2153" s="185" t="s">
        <v>176</v>
      </c>
      <c r="AY2153" s="58"/>
      <c r="AZ2153" s="58" t="s">
        <v>156</v>
      </c>
      <c r="BA2153" s="58" t="s">
        <v>156</v>
      </c>
      <c r="BB2153" s="58" t="s">
        <v>2082</v>
      </c>
      <c r="BC2153" s="58" t="s">
        <v>2082</v>
      </c>
      <c r="BD2153" s="58" t="s">
        <v>176</v>
      </c>
      <c r="BE2153" s="236" t="s">
        <v>2100</v>
      </c>
      <c r="BF2153" s="191" t="s">
        <v>479</v>
      </c>
      <c r="BG2153" s="191" t="s">
        <v>479</v>
      </c>
      <c r="BH2153" s="236" t="s">
        <v>2100</v>
      </c>
      <c r="BI2153" s="191" t="s">
        <v>479</v>
      </c>
      <c r="BJ2153" s="58" t="s">
        <v>176</v>
      </c>
      <c r="BK2153" s="58" t="s">
        <v>6269</v>
      </c>
      <c r="BL2153" s="58"/>
      <c r="BM2153" s="241" t="s">
        <v>160</v>
      </c>
      <c r="BN2153" s="58">
        <v>5</v>
      </c>
      <c r="BO2153" s="58">
        <v>5</v>
      </c>
      <c r="BP2153" s="58">
        <v>3</v>
      </c>
      <c r="BQ2153" s="58" t="s">
        <v>141</v>
      </c>
      <c r="BR2153" s="58"/>
      <c r="BS2153" s="58"/>
      <c r="BT2153" s="58"/>
      <c r="BU2153" s="58"/>
      <c r="BV2153" s="58"/>
      <c r="BW2153" s="67"/>
      <c r="BX2153" s="67"/>
      <c r="BY2153" s="67"/>
      <c r="BZ2153" s="67"/>
      <c r="CA2153" s="67"/>
      <c r="CB2153" s="68"/>
      <c r="CC2153" s="68"/>
      <c r="CD2153" s="68"/>
      <c r="CE2153" s="67"/>
      <c r="CF2153" s="67"/>
      <c r="CG2153" s="67"/>
      <c r="CH2153" s="94">
        <v>0.98926000000000003</v>
      </c>
      <c r="CI2153" s="94">
        <v>0.89008000000000009</v>
      </c>
      <c r="CJ2153" s="67"/>
      <c r="CK2153" s="67"/>
      <c r="CL2153" s="67"/>
      <c r="CM2153" s="67">
        <f>(CR2153*1000000)/(100*100*AD2153*AA2153/100*1000000)*100</f>
        <v>1.7997977755308394</v>
      </c>
      <c r="CN2153" s="67">
        <f>(CS2153*1000000)/(100*100*AD2153*AA2153/100*1000000)*100</f>
        <v>1.9919110212335691</v>
      </c>
      <c r="CO2153" s="67"/>
      <c r="CP2153" s="67"/>
      <c r="CQ2153" s="67"/>
      <c r="CR2153" s="67">
        <v>35.6</v>
      </c>
      <c r="CS2153" s="67">
        <v>39.4</v>
      </c>
      <c r="CT2153" s="67"/>
      <c r="CU2153" s="67"/>
      <c r="CV2153" s="67" t="s">
        <v>2052</v>
      </c>
      <c r="CW2153" s="67"/>
      <c r="CX2153" s="67"/>
      <c r="CY2153" s="67"/>
      <c r="CZ2153" s="67"/>
      <c r="DA2153" s="67" t="s">
        <v>4463</v>
      </c>
      <c r="DB2153" s="67"/>
      <c r="DC2153" s="67"/>
      <c r="DD2153" s="67"/>
      <c r="DE2153" s="67"/>
      <c r="DF2153" s="67"/>
      <c r="DG2153" s="67"/>
      <c r="DH2153" s="67"/>
      <c r="DI2153" s="67"/>
      <c r="DJ2153" s="67"/>
      <c r="DK2153" s="67"/>
      <c r="DL2153" s="67"/>
      <c r="DM2153" s="67"/>
      <c r="DN2153" s="67"/>
      <c r="DO2153" s="67"/>
      <c r="DP2153" s="67"/>
      <c r="DQ2153" s="166"/>
      <c r="DR2153" s="166"/>
      <c r="DS2153" s="163"/>
      <c r="DT2153" s="163"/>
      <c r="DU2153" s="67"/>
      <c r="DV2153" s="67"/>
      <c r="DW2153" s="67"/>
      <c r="DX2153" s="67"/>
      <c r="DY2153" s="67"/>
      <c r="DZ2153" s="67"/>
      <c r="EA2153" s="67"/>
      <c r="EB2153" s="67"/>
      <c r="EC2153" s="67"/>
      <c r="ED2153" s="67"/>
      <c r="EE2153" s="67"/>
      <c r="EF2153" s="67"/>
      <c r="EG2153" s="67"/>
      <c r="EH2153" s="67"/>
      <c r="EI2153" s="67"/>
      <c r="EJ2153" s="67"/>
      <c r="EK2153" s="94"/>
      <c r="EL2153" s="94"/>
      <c r="EM2153" s="67"/>
      <c r="EN2153" s="67"/>
      <c r="EO2153" s="67"/>
      <c r="EP2153" s="67"/>
      <c r="EQ2153" s="67"/>
      <c r="ER2153" s="67"/>
      <c r="ES2153" s="67"/>
      <c r="ET2153" s="67"/>
      <c r="EU2153" s="67"/>
      <c r="EV2153" s="67"/>
      <c r="EW2153" s="67"/>
      <c r="EX2153" s="67"/>
      <c r="EY2153" s="67"/>
      <c r="EZ2153" s="67"/>
      <c r="FA2153" s="67"/>
      <c r="FB2153" s="67"/>
      <c r="FC2153" s="67"/>
      <c r="FD2153" s="67"/>
      <c r="FE2153" s="67"/>
      <c r="FF2153" s="67"/>
      <c r="FG2153" s="67"/>
      <c r="FH2153" s="67"/>
      <c r="FI2153" s="67"/>
      <c r="FJ2153" s="67"/>
      <c r="FK2153" s="67"/>
      <c r="FL2153" s="67"/>
      <c r="FM2153" s="67"/>
      <c r="FN2153" s="67"/>
      <c r="FO2153" s="67"/>
      <c r="FP2153" s="67"/>
      <c r="FQ2153" s="67"/>
      <c r="FR2153" s="67"/>
      <c r="FS2153" s="67"/>
      <c r="FT2153" s="67"/>
      <c r="FU2153" s="67"/>
      <c r="FV2153" s="67"/>
      <c r="FW2153" s="67"/>
      <c r="FX2153" s="67"/>
      <c r="FY2153" s="67"/>
      <c r="FZ2153" s="67"/>
      <c r="GA2153" s="67"/>
      <c r="GB2153" s="67"/>
      <c r="GC2153" s="67"/>
      <c r="GD2153" s="67"/>
      <c r="GE2153" s="67"/>
      <c r="GF2153" s="67"/>
      <c r="GG2153" s="67"/>
      <c r="GH2153" s="67"/>
      <c r="GI2153" s="67"/>
      <c r="GJ2153" s="67"/>
      <c r="GK2153" s="67"/>
      <c r="GL2153" s="67"/>
      <c r="GM2153" s="67"/>
      <c r="GN2153" s="292"/>
      <c r="GO2153" s="292"/>
      <c r="GP2153" s="292" t="s">
        <v>7494</v>
      </c>
      <c r="GQ2153" s="67"/>
      <c r="GR2153" s="67"/>
      <c r="GS2153" s="67"/>
      <c r="GT2153" s="67"/>
      <c r="GU2153" s="67"/>
      <c r="GV2153" s="67"/>
      <c r="GW2153" s="67"/>
      <c r="GX2153" s="67"/>
      <c r="GY2153" s="67"/>
      <c r="GZ2153" s="67"/>
      <c r="HA2153" s="67"/>
      <c r="HB2153" s="67"/>
      <c r="HC2153" s="67"/>
      <c r="HD2153" s="67"/>
      <c r="HE2153" s="67"/>
      <c r="HF2153" s="67"/>
      <c r="HG2153" s="67"/>
      <c r="HH2153" s="67"/>
      <c r="HI2153" s="67"/>
      <c r="HJ2153" s="67"/>
      <c r="HK2153" s="67"/>
      <c r="HL2153" s="67"/>
      <c r="HM2153" s="67"/>
      <c r="HN2153" s="67"/>
      <c r="HO2153" s="67"/>
      <c r="HP2153" s="67"/>
      <c r="HQ2153" s="67"/>
      <c r="HR2153" s="67"/>
      <c r="HS2153" s="67"/>
      <c r="HT2153" s="67"/>
      <c r="HU2153" s="67"/>
      <c r="HV2153" s="67"/>
      <c r="HW2153" s="67"/>
      <c r="HX2153" s="67"/>
      <c r="HY2153" s="67"/>
      <c r="HZ2153" s="67"/>
      <c r="IA2153" s="67"/>
      <c r="IB2153" s="67"/>
      <c r="IC2153" s="67"/>
      <c r="ID2153" s="67"/>
      <c r="IE2153" s="67"/>
      <c r="IF2153" s="67"/>
      <c r="IG2153" s="67"/>
      <c r="IH2153" s="67"/>
      <c r="II2153" s="67"/>
      <c r="IJ2153" s="67"/>
      <c r="IK2153" s="67"/>
      <c r="IL2153" s="67"/>
      <c r="IM2153" s="67"/>
      <c r="IN2153" s="67"/>
      <c r="IO2153" s="67"/>
      <c r="IP2153" s="67"/>
      <c r="IQ2153" s="67"/>
      <c r="IR2153" s="67"/>
      <c r="IS2153" s="67"/>
      <c r="IT2153" s="67"/>
      <c r="IU2153" s="67"/>
      <c r="IV2153" s="67"/>
      <c r="IW2153" s="67"/>
      <c r="IX2153" s="67"/>
      <c r="IY2153" s="67"/>
      <c r="IZ2153" s="67"/>
      <c r="JA2153" s="67"/>
      <c r="JB2153" s="67"/>
      <c r="JC2153" s="67"/>
      <c r="JD2153" s="67"/>
      <c r="JE2153" s="67"/>
      <c r="JF2153" s="67"/>
      <c r="JG2153" s="67"/>
      <c r="JH2153" s="67"/>
      <c r="JI2153" s="67"/>
      <c r="JJ2153" s="67"/>
      <c r="JK2153" s="67"/>
      <c r="JL2153" s="67"/>
      <c r="JM2153" s="67"/>
      <c r="JN2153" s="67"/>
      <c r="JO2153" s="67"/>
      <c r="JP2153" s="67"/>
      <c r="JQ2153" s="67"/>
      <c r="JR2153" s="67"/>
      <c r="JS2153" s="67"/>
      <c r="JT2153" s="67"/>
      <c r="JU2153" s="58"/>
      <c r="JV2153" s="58"/>
      <c r="JW2153" s="58"/>
    </row>
    <row r="2154" spans="1:283" s="23" customFormat="1" x14ac:dyDescent="0.25">
      <c r="A2154" s="55">
        <v>2153</v>
      </c>
      <c r="B2154" s="12" t="s">
        <v>7067</v>
      </c>
      <c r="C2154" s="156">
        <v>98</v>
      </c>
      <c r="D2154" s="58" t="s">
        <v>4141</v>
      </c>
      <c r="E2154" s="93" t="s">
        <v>2096</v>
      </c>
      <c r="F2154" s="93"/>
      <c r="G2154" s="58"/>
      <c r="H2154" s="58">
        <v>2006</v>
      </c>
      <c r="I2154" s="58">
        <v>1996</v>
      </c>
      <c r="J2154" s="59" t="s">
        <v>916</v>
      </c>
      <c r="K2154" s="58" t="s">
        <v>2189</v>
      </c>
      <c r="L2154" s="59" t="s">
        <v>5334</v>
      </c>
      <c r="M2154" s="94">
        <f>-30-50/60</f>
        <v>-30.833333333333332</v>
      </c>
      <c r="N2154" s="94">
        <f>-51-38/60</f>
        <v>-51.633333333333333</v>
      </c>
      <c r="O2154" s="94">
        <v>96</v>
      </c>
      <c r="P2154" s="58">
        <v>19.399999999999999</v>
      </c>
      <c r="Q2154" s="58"/>
      <c r="R2154" s="58">
        <v>1440</v>
      </c>
      <c r="S2154" s="94"/>
      <c r="T2154" s="58"/>
      <c r="U2154" s="58">
        <v>8</v>
      </c>
      <c r="V2154" s="58">
        <v>15</v>
      </c>
      <c r="W2154" s="174"/>
      <c r="X2154" s="174"/>
      <c r="Y2154" s="58" t="s">
        <v>2188</v>
      </c>
      <c r="Z2154" s="59" t="s">
        <v>1346</v>
      </c>
      <c r="AA2154" s="94">
        <v>20</v>
      </c>
      <c r="AB2154" s="67"/>
      <c r="AC2154" s="67"/>
      <c r="AD2154" s="94">
        <v>0.98899999999999999</v>
      </c>
      <c r="AE2154" s="94">
        <v>54</v>
      </c>
      <c r="AF2154" s="94">
        <v>24</v>
      </c>
      <c r="AG2154" s="94"/>
      <c r="AH2154" s="58" t="s">
        <v>494</v>
      </c>
      <c r="AI2154" s="169">
        <v>4.5</v>
      </c>
      <c r="AJ2154" s="94"/>
      <c r="AK2154" s="94"/>
      <c r="AL2154" s="58"/>
      <c r="AM2154" s="58" t="s">
        <v>2101</v>
      </c>
      <c r="AN2154" s="186" t="s">
        <v>2193</v>
      </c>
      <c r="AO2154" s="185" t="s">
        <v>5150</v>
      </c>
      <c r="AP2154" s="58"/>
      <c r="AQ2154" s="58" t="s">
        <v>553</v>
      </c>
      <c r="AR2154" s="58" t="s">
        <v>2195</v>
      </c>
      <c r="AS2154" s="58" t="s">
        <v>1584</v>
      </c>
      <c r="AT2154" s="182"/>
      <c r="AU2154" s="181" t="s">
        <v>7494</v>
      </c>
      <c r="AV2154" s="185" t="s">
        <v>176</v>
      </c>
      <c r="AW2154" s="58"/>
      <c r="AX2154" s="185" t="s">
        <v>176</v>
      </c>
      <c r="AY2154" s="58"/>
      <c r="AZ2154" s="58" t="s">
        <v>156</v>
      </c>
      <c r="BA2154" s="58" t="s">
        <v>156</v>
      </c>
      <c r="BB2154" s="58" t="s">
        <v>2082</v>
      </c>
      <c r="BC2154" s="58" t="s">
        <v>2082</v>
      </c>
      <c r="BD2154" s="58" t="s">
        <v>176</v>
      </c>
      <c r="BE2154" s="236" t="s">
        <v>2100</v>
      </c>
      <c r="BF2154" s="191" t="s">
        <v>479</v>
      </c>
      <c r="BG2154" s="191" t="s">
        <v>479</v>
      </c>
      <c r="BH2154" s="236" t="s">
        <v>2100</v>
      </c>
      <c r="BI2154" s="191" t="s">
        <v>479</v>
      </c>
      <c r="BJ2154" s="58" t="s">
        <v>176</v>
      </c>
      <c r="BK2154" s="58" t="s">
        <v>6269</v>
      </c>
      <c r="BL2154" s="58"/>
      <c r="BM2154" s="241" t="s">
        <v>160</v>
      </c>
      <c r="BN2154" s="58">
        <v>5</v>
      </c>
      <c r="BO2154" s="58">
        <v>5</v>
      </c>
      <c r="BP2154" s="58">
        <v>3</v>
      </c>
      <c r="BQ2154" s="58" t="s">
        <v>141</v>
      </c>
      <c r="BR2154" s="58"/>
      <c r="BS2154" s="58"/>
      <c r="BT2154" s="58"/>
      <c r="BU2154" s="58"/>
      <c r="BV2154" s="58"/>
      <c r="BW2154" s="67"/>
      <c r="BX2154" s="67"/>
      <c r="BY2154" s="67"/>
      <c r="BZ2154" s="67"/>
      <c r="CA2154" s="67"/>
      <c r="CB2154" s="68"/>
      <c r="CC2154" s="68"/>
      <c r="CD2154" s="68"/>
      <c r="CE2154" s="67"/>
      <c r="CF2154" s="67"/>
      <c r="CG2154" s="67"/>
      <c r="CH2154" s="94">
        <v>0.98926000000000003</v>
      </c>
      <c r="CI2154" s="94">
        <v>0.89008000000000009</v>
      </c>
      <c r="CJ2154" s="67"/>
      <c r="CK2154" s="67"/>
      <c r="CL2154" s="67"/>
      <c r="CM2154" s="67">
        <f>(CR2154*1000000)/(100*100*AD2154*AA2154/100*1000000)*100</f>
        <v>1.7997977755308394</v>
      </c>
      <c r="CN2154" s="67">
        <f>(CS2154*1000000)/(100*100*AD2154*AA2154/100*1000000)*100</f>
        <v>2.0879676440849342</v>
      </c>
      <c r="CO2154" s="67"/>
      <c r="CP2154" s="67"/>
      <c r="CQ2154" s="67"/>
      <c r="CR2154" s="67">
        <v>35.6</v>
      </c>
      <c r="CS2154" s="67">
        <v>41.3</v>
      </c>
      <c r="CT2154" s="67"/>
      <c r="CU2154" s="67"/>
      <c r="CV2154" s="67" t="s">
        <v>2052</v>
      </c>
      <c r="CW2154" s="67"/>
      <c r="CX2154" s="67"/>
      <c r="CY2154" s="67"/>
      <c r="CZ2154" s="67"/>
      <c r="DA2154" s="67" t="s">
        <v>4463</v>
      </c>
      <c r="DB2154" s="67"/>
      <c r="DC2154" s="67"/>
      <c r="DD2154" s="67"/>
      <c r="DE2154" s="67"/>
      <c r="DF2154" s="67"/>
      <c r="DG2154" s="67"/>
      <c r="DH2154" s="67"/>
      <c r="DI2154" s="67"/>
      <c r="DJ2154" s="67"/>
      <c r="DK2154" s="67"/>
      <c r="DL2154" s="67"/>
      <c r="DM2154" s="67"/>
      <c r="DN2154" s="67"/>
      <c r="DO2154" s="67"/>
      <c r="DP2154" s="67"/>
      <c r="DQ2154" s="166"/>
      <c r="DR2154" s="166"/>
      <c r="DS2154" s="163"/>
      <c r="DT2154" s="163"/>
      <c r="DU2154" s="67"/>
      <c r="DV2154" s="67"/>
      <c r="DW2154" s="67"/>
      <c r="DX2154" s="67"/>
      <c r="DY2154" s="67"/>
      <c r="DZ2154" s="67"/>
      <c r="EA2154" s="67"/>
      <c r="EB2154" s="67"/>
      <c r="EC2154" s="67"/>
      <c r="ED2154" s="67"/>
      <c r="EE2154" s="67"/>
      <c r="EF2154" s="67"/>
      <c r="EG2154" s="67"/>
      <c r="EH2154" s="67"/>
      <c r="EI2154" s="67"/>
      <c r="EJ2154" s="67"/>
      <c r="EK2154" s="94"/>
      <c r="EL2154" s="94"/>
      <c r="EM2154" s="67"/>
      <c r="EN2154" s="67"/>
      <c r="EO2154" s="67"/>
      <c r="EP2154" s="67"/>
      <c r="EQ2154" s="67"/>
      <c r="ER2154" s="67"/>
      <c r="ES2154" s="67"/>
      <c r="ET2154" s="67"/>
      <c r="EU2154" s="67"/>
      <c r="EV2154" s="67"/>
      <c r="EW2154" s="67"/>
      <c r="EX2154" s="67"/>
      <c r="EY2154" s="67"/>
      <c r="EZ2154" s="67"/>
      <c r="FA2154" s="67"/>
      <c r="FB2154" s="67"/>
      <c r="FC2154" s="67"/>
      <c r="FD2154" s="67"/>
      <c r="FE2154" s="67"/>
      <c r="FF2154" s="67"/>
      <c r="FG2154" s="67"/>
      <c r="FH2154" s="67"/>
      <c r="FI2154" s="67"/>
      <c r="FJ2154" s="67"/>
      <c r="FK2154" s="67"/>
      <c r="FL2154" s="67"/>
      <c r="FM2154" s="67"/>
      <c r="FN2154" s="67"/>
      <c r="FO2154" s="67"/>
      <c r="FP2154" s="67"/>
      <c r="FQ2154" s="67"/>
      <c r="FR2154" s="67"/>
      <c r="FS2154" s="67"/>
      <c r="FT2154" s="67"/>
      <c r="FU2154" s="67"/>
      <c r="FV2154" s="67"/>
      <c r="FW2154" s="67"/>
      <c r="FX2154" s="67"/>
      <c r="FY2154" s="67"/>
      <c r="FZ2154" s="67"/>
      <c r="GA2154" s="67"/>
      <c r="GB2154" s="67"/>
      <c r="GC2154" s="67"/>
      <c r="GD2154" s="67"/>
      <c r="GE2154" s="67"/>
      <c r="GF2154" s="67"/>
      <c r="GG2154" s="67"/>
      <c r="GH2154" s="67"/>
      <c r="GI2154" s="67"/>
      <c r="GJ2154" s="67"/>
      <c r="GK2154" s="67"/>
      <c r="GL2154" s="67"/>
      <c r="GM2154" s="67"/>
      <c r="GN2154" s="292"/>
      <c r="GO2154" s="292"/>
      <c r="GP2154" s="292" t="s">
        <v>7494</v>
      </c>
      <c r="GQ2154" s="67"/>
      <c r="GR2154" s="67"/>
      <c r="GS2154" s="67"/>
      <c r="GT2154" s="67"/>
      <c r="GU2154" s="67"/>
      <c r="GV2154" s="67"/>
      <c r="GW2154" s="67"/>
      <c r="GX2154" s="67"/>
      <c r="GY2154" s="67"/>
      <c r="GZ2154" s="67"/>
      <c r="HA2154" s="67"/>
      <c r="HB2154" s="67"/>
      <c r="HC2154" s="67"/>
      <c r="HD2154" s="67"/>
      <c r="HE2154" s="67"/>
      <c r="HF2154" s="67"/>
      <c r="HG2154" s="67"/>
      <c r="HH2154" s="67"/>
      <c r="HI2154" s="67"/>
      <c r="HJ2154" s="67"/>
      <c r="HK2154" s="67"/>
      <c r="HL2154" s="67"/>
      <c r="HM2154" s="67"/>
      <c r="HN2154" s="67"/>
      <c r="HO2154" s="67"/>
      <c r="HP2154" s="67"/>
      <c r="HQ2154" s="67"/>
      <c r="HR2154" s="67"/>
      <c r="HS2154" s="67"/>
      <c r="HT2154" s="67"/>
      <c r="HU2154" s="67"/>
      <c r="HV2154" s="67"/>
      <c r="HW2154" s="67"/>
      <c r="HX2154" s="67"/>
      <c r="HY2154" s="67"/>
      <c r="HZ2154" s="67"/>
      <c r="IA2154" s="67"/>
      <c r="IB2154" s="67"/>
      <c r="IC2154" s="67"/>
      <c r="ID2154" s="67"/>
      <c r="IE2154" s="67"/>
      <c r="IF2154" s="67"/>
      <c r="IG2154" s="67"/>
      <c r="IH2154" s="67"/>
      <c r="II2154" s="67"/>
      <c r="IJ2154" s="67"/>
      <c r="IK2154" s="67"/>
      <c r="IL2154" s="67"/>
      <c r="IM2154" s="67"/>
      <c r="IN2154" s="67"/>
      <c r="IO2154" s="67"/>
      <c r="IP2154" s="67"/>
      <c r="IQ2154" s="67"/>
      <c r="IR2154" s="67"/>
      <c r="IS2154" s="67"/>
      <c r="IT2154" s="67"/>
      <c r="IU2154" s="67"/>
      <c r="IV2154" s="67"/>
      <c r="IW2154" s="67"/>
      <c r="IX2154" s="67"/>
      <c r="IY2154" s="67"/>
      <c r="IZ2154" s="67"/>
      <c r="JA2154" s="67"/>
      <c r="JB2154" s="67"/>
      <c r="JC2154" s="67"/>
      <c r="JD2154" s="67"/>
      <c r="JE2154" s="67"/>
      <c r="JF2154" s="67"/>
      <c r="JG2154" s="67"/>
      <c r="JH2154" s="67"/>
      <c r="JI2154" s="67"/>
      <c r="JJ2154" s="67"/>
      <c r="JK2154" s="67"/>
      <c r="JL2154" s="67"/>
      <c r="JM2154" s="67"/>
      <c r="JN2154" s="67"/>
      <c r="JO2154" s="67"/>
      <c r="JP2154" s="67"/>
      <c r="JQ2154" s="67"/>
      <c r="JR2154" s="67"/>
      <c r="JS2154" s="67"/>
      <c r="JT2154" s="67"/>
      <c r="JU2154" s="58"/>
      <c r="JV2154" s="58"/>
      <c r="JW2154" s="58"/>
    </row>
    <row r="2155" spans="1:283" s="23" customFormat="1" x14ac:dyDescent="0.25">
      <c r="A2155" s="55">
        <v>2154</v>
      </c>
      <c r="B2155" s="12" t="s">
        <v>7067</v>
      </c>
      <c r="C2155" s="156">
        <v>98</v>
      </c>
      <c r="D2155" s="58" t="s">
        <v>4142</v>
      </c>
      <c r="E2155" s="93" t="s">
        <v>2096</v>
      </c>
      <c r="F2155" s="93"/>
      <c r="G2155" s="58"/>
      <c r="H2155" s="59">
        <v>2006</v>
      </c>
      <c r="I2155" s="58">
        <v>1996</v>
      </c>
      <c r="J2155" s="59" t="s">
        <v>916</v>
      </c>
      <c r="K2155" s="59" t="s">
        <v>2190</v>
      </c>
      <c r="L2155" s="59" t="s">
        <v>5334</v>
      </c>
      <c r="M2155" s="94">
        <f>-28-36/60</f>
        <v>-28.6</v>
      </c>
      <c r="N2155" s="94">
        <f>-53-40/60</f>
        <v>-53.666666666666664</v>
      </c>
      <c r="O2155" s="93">
        <v>435</v>
      </c>
      <c r="P2155" s="59">
        <v>19.2</v>
      </c>
      <c r="Q2155" s="58"/>
      <c r="R2155" s="59">
        <v>1727</v>
      </c>
      <c r="S2155" s="94"/>
      <c r="T2155" s="58"/>
      <c r="U2155" s="58">
        <v>9</v>
      </c>
      <c r="V2155" s="59">
        <v>18</v>
      </c>
      <c r="W2155" s="174"/>
      <c r="X2155" s="174"/>
      <c r="Y2155" s="58" t="s">
        <v>2191</v>
      </c>
      <c r="Z2155" s="59" t="s">
        <v>1361</v>
      </c>
      <c r="AA2155" s="93">
        <v>5</v>
      </c>
      <c r="AB2155" s="67"/>
      <c r="AC2155" s="67"/>
      <c r="AD2155" s="94">
        <v>1.2749999999999999</v>
      </c>
      <c r="AE2155" s="93">
        <v>31</v>
      </c>
      <c r="AF2155" s="93">
        <v>12</v>
      </c>
      <c r="AG2155" s="93"/>
      <c r="AH2155" s="58" t="s">
        <v>769</v>
      </c>
      <c r="AI2155" s="169">
        <v>4.5</v>
      </c>
      <c r="AJ2155" s="94"/>
      <c r="AK2155" s="94"/>
      <c r="AL2155" s="58"/>
      <c r="AM2155" s="59" t="s">
        <v>2098</v>
      </c>
      <c r="AN2155" s="188" t="s">
        <v>2197</v>
      </c>
      <c r="AO2155" s="185" t="s">
        <v>5150</v>
      </c>
      <c r="AP2155" s="59"/>
      <c r="AQ2155" s="58" t="s">
        <v>610</v>
      </c>
      <c r="AR2155" s="59" t="s">
        <v>2196</v>
      </c>
      <c r="AS2155" s="58" t="s">
        <v>1575</v>
      </c>
      <c r="AT2155" s="182"/>
      <c r="AU2155" s="181" t="s">
        <v>7494</v>
      </c>
      <c r="AV2155" s="185" t="s">
        <v>176</v>
      </c>
      <c r="AW2155" s="58"/>
      <c r="AX2155" s="185" t="s">
        <v>176</v>
      </c>
      <c r="AY2155" s="58"/>
      <c r="AZ2155" s="59" t="s">
        <v>2081</v>
      </c>
      <c r="BA2155" s="59" t="s">
        <v>2081</v>
      </c>
      <c r="BB2155" s="59" t="s">
        <v>2081</v>
      </c>
      <c r="BC2155" s="59" t="s">
        <v>2081</v>
      </c>
      <c r="BD2155" s="58" t="s">
        <v>176</v>
      </c>
      <c r="BE2155" s="240" t="s">
        <v>2199</v>
      </c>
      <c r="BF2155" s="191" t="s">
        <v>479</v>
      </c>
      <c r="BG2155" s="191" t="s">
        <v>479</v>
      </c>
      <c r="BH2155" s="240" t="s">
        <v>2200</v>
      </c>
      <c r="BI2155" s="191" t="s">
        <v>479</v>
      </c>
      <c r="BJ2155" s="58" t="s">
        <v>479</v>
      </c>
      <c r="BK2155" s="58" t="s">
        <v>5976</v>
      </c>
      <c r="BL2155" s="58"/>
      <c r="BM2155" s="241" t="s">
        <v>160</v>
      </c>
      <c r="BN2155" s="58">
        <v>5</v>
      </c>
      <c r="BO2155" s="58">
        <v>5</v>
      </c>
      <c r="BP2155" s="59">
        <v>3</v>
      </c>
      <c r="BQ2155" s="58" t="s">
        <v>141</v>
      </c>
      <c r="BR2155" s="58"/>
      <c r="BS2155" s="58"/>
      <c r="BT2155" s="58"/>
      <c r="BU2155" s="58"/>
      <c r="BV2155" s="58"/>
      <c r="BW2155" s="67"/>
      <c r="BX2155" s="67"/>
      <c r="BY2155" s="67"/>
      <c r="BZ2155" s="67"/>
      <c r="CA2155" s="67"/>
      <c r="CB2155" s="153"/>
      <c r="CC2155" s="68"/>
      <c r="CD2155" s="68"/>
      <c r="CE2155" s="67"/>
      <c r="CF2155" s="67"/>
      <c r="CG2155" s="67"/>
      <c r="CH2155" s="94"/>
      <c r="CI2155" s="94"/>
      <c r="CJ2155" s="67"/>
      <c r="CK2155" s="67"/>
      <c r="CL2155" s="67"/>
      <c r="CM2155" s="67">
        <f>(CR2155*1000000)/(100*100*AD2155*AA2155/100*1000000)*100</f>
        <v>1.9607843137254901</v>
      </c>
      <c r="CN2155" s="67">
        <f>(CS2155*1000000)/(100*100*AD2155*AA2155/100*1000000)*100</f>
        <v>2.1019607843137256</v>
      </c>
      <c r="CO2155" s="67"/>
      <c r="CP2155" s="67"/>
      <c r="CQ2155" s="67"/>
      <c r="CR2155" s="69">
        <v>12.5</v>
      </c>
      <c r="CS2155" s="69">
        <v>13.4</v>
      </c>
      <c r="CT2155" s="67"/>
      <c r="CU2155" s="67"/>
      <c r="CV2155" s="67" t="s">
        <v>2052</v>
      </c>
      <c r="CW2155" s="67"/>
      <c r="CX2155" s="67"/>
      <c r="CY2155" s="67"/>
      <c r="CZ2155" s="67"/>
      <c r="DA2155" s="67" t="s">
        <v>4463</v>
      </c>
      <c r="DB2155" s="67"/>
      <c r="DC2155" s="67"/>
      <c r="DD2155" s="67"/>
      <c r="DE2155" s="67"/>
      <c r="DF2155" s="67"/>
      <c r="DG2155" s="67"/>
      <c r="DH2155" s="67"/>
      <c r="DI2155" s="67"/>
      <c r="DJ2155" s="67"/>
      <c r="DK2155" s="67"/>
      <c r="DL2155" s="67"/>
      <c r="DM2155" s="67"/>
      <c r="DN2155" s="67"/>
      <c r="DO2155" s="67"/>
      <c r="DP2155" s="67"/>
      <c r="DQ2155" s="166"/>
      <c r="DR2155" s="166"/>
      <c r="DS2155" s="163"/>
      <c r="DT2155" s="163"/>
      <c r="DU2155" s="67"/>
      <c r="DV2155" s="67"/>
      <c r="DW2155" s="67"/>
      <c r="DX2155" s="67"/>
      <c r="DY2155" s="67"/>
      <c r="DZ2155" s="67"/>
      <c r="EA2155" s="67"/>
      <c r="EB2155" s="67"/>
      <c r="EC2155" s="67"/>
      <c r="ED2155" s="67"/>
      <c r="EE2155" s="67"/>
      <c r="EF2155" s="67"/>
      <c r="EG2155" s="67"/>
      <c r="EH2155" s="67"/>
      <c r="EI2155" s="67"/>
      <c r="EJ2155" s="67"/>
      <c r="EK2155" s="94"/>
      <c r="EL2155" s="94"/>
      <c r="EM2155" s="67"/>
      <c r="EN2155" s="67"/>
      <c r="EO2155" s="67"/>
      <c r="EP2155" s="67"/>
      <c r="EQ2155" s="67"/>
      <c r="ER2155" s="67"/>
      <c r="ES2155" s="67"/>
      <c r="ET2155" s="67"/>
      <c r="EU2155" s="67"/>
      <c r="EV2155" s="67"/>
      <c r="EW2155" s="67"/>
      <c r="EX2155" s="67"/>
      <c r="EY2155" s="67"/>
      <c r="EZ2155" s="67"/>
      <c r="FA2155" s="67"/>
      <c r="FB2155" s="67"/>
      <c r="FC2155" s="67"/>
      <c r="FD2155" s="67"/>
      <c r="FE2155" s="67"/>
      <c r="FF2155" s="67"/>
      <c r="FG2155" s="67"/>
      <c r="FH2155" s="67"/>
      <c r="FI2155" s="67"/>
      <c r="FJ2155" s="67"/>
      <c r="FK2155" s="67"/>
      <c r="FL2155" s="67"/>
      <c r="FM2155" s="67"/>
      <c r="FN2155" s="67"/>
      <c r="FO2155" s="67"/>
      <c r="FP2155" s="67"/>
      <c r="FQ2155" s="67"/>
      <c r="FR2155" s="67"/>
      <c r="FS2155" s="67"/>
      <c r="FT2155" s="67"/>
      <c r="FU2155" s="67"/>
      <c r="FV2155" s="67"/>
      <c r="FW2155" s="67"/>
      <c r="FX2155" s="67"/>
      <c r="FY2155" s="67"/>
      <c r="FZ2155" s="67"/>
      <c r="GA2155" s="67"/>
      <c r="GB2155" s="67"/>
      <c r="GC2155" s="67"/>
      <c r="GD2155" s="67"/>
      <c r="GE2155" s="67"/>
      <c r="GF2155" s="67"/>
      <c r="GG2155" s="67"/>
      <c r="GH2155" s="67"/>
      <c r="GI2155" s="67"/>
      <c r="GJ2155" s="67"/>
      <c r="GK2155" s="67"/>
      <c r="GL2155" s="67"/>
      <c r="GM2155" s="67"/>
      <c r="GN2155" s="292"/>
      <c r="GO2155" s="292"/>
      <c r="GP2155" s="292" t="s">
        <v>7494</v>
      </c>
      <c r="GQ2155" s="67"/>
      <c r="GR2155" s="67"/>
      <c r="GS2155" s="67"/>
      <c r="GT2155" s="67"/>
      <c r="GU2155" s="67"/>
      <c r="GV2155" s="67"/>
      <c r="GW2155" s="67"/>
      <c r="GX2155" s="67"/>
      <c r="GY2155" s="67"/>
      <c r="GZ2155" s="67"/>
      <c r="HA2155" s="67"/>
      <c r="HB2155" s="67"/>
      <c r="HC2155" s="67"/>
      <c r="HD2155" s="67"/>
      <c r="HE2155" s="67"/>
      <c r="HF2155" s="67"/>
      <c r="HG2155" s="67"/>
      <c r="HH2155" s="67"/>
      <c r="HI2155" s="67"/>
      <c r="HJ2155" s="67"/>
      <c r="HK2155" s="67"/>
      <c r="HL2155" s="67"/>
      <c r="HM2155" s="67"/>
      <c r="HN2155" s="67"/>
      <c r="HO2155" s="67"/>
      <c r="HP2155" s="67"/>
      <c r="HQ2155" s="67"/>
      <c r="HR2155" s="67"/>
      <c r="HS2155" s="67"/>
      <c r="HT2155" s="67"/>
      <c r="HU2155" s="67"/>
      <c r="HV2155" s="67"/>
      <c r="HW2155" s="67"/>
      <c r="HX2155" s="67"/>
      <c r="HY2155" s="67"/>
      <c r="HZ2155" s="67"/>
      <c r="IA2155" s="67"/>
      <c r="IB2155" s="67"/>
      <c r="IC2155" s="67"/>
      <c r="ID2155" s="67"/>
      <c r="IE2155" s="67"/>
      <c r="IF2155" s="67"/>
      <c r="IG2155" s="67"/>
      <c r="IH2155" s="67"/>
      <c r="II2155" s="67"/>
      <c r="IJ2155" s="67"/>
      <c r="IK2155" s="67"/>
      <c r="IL2155" s="67"/>
      <c r="IM2155" s="67"/>
      <c r="IN2155" s="67"/>
      <c r="IO2155" s="67"/>
      <c r="IP2155" s="67"/>
      <c r="IQ2155" s="67"/>
      <c r="IR2155" s="67"/>
      <c r="IS2155" s="67"/>
      <c r="IT2155" s="67"/>
      <c r="IU2155" s="67"/>
      <c r="IV2155" s="67"/>
      <c r="IW2155" s="67"/>
      <c r="IX2155" s="67"/>
      <c r="IY2155" s="67"/>
      <c r="IZ2155" s="67"/>
      <c r="JA2155" s="67"/>
      <c r="JB2155" s="67"/>
      <c r="JC2155" s="67"/>
      <c r="JD2155" s="67"/>
      <c r="JE2155" s="67"/>
      <c r="JF2155" s="67"/>
      <c r="JG2155" s="67"/>
      <c r="JH2155" s="67"/>
      <c r="JI2155" s="67"/>
      <c r="JJ2155" s="67"/>
      <c r="JK2155" s="67"/>
      <c r="JL2155" s="67"/>
      <c r="JM2155" s="67"/>
      <c r="JN2155" s="67"/>
      <c r="JO2155" s="67"/>
      <c r="JP2155" s="67"/>
      <c r="JQ2155" s="67"/>
      <c r="JR2155" s="67"/>
      <c r="JS2155" s="67"/>
      <c r="JT2155" s="67"/>
      <c r="JU2155" s="58"/>
      <c r="JV2155" s="58"/>
      <c r="JW2155" s="58"/>
    </row>
    <row r="2156" spans="1:283" s="23" customFormat="1" x14ac:dyDescent="0.25">
      <c r="A2156" s="55">
        <v>2155</v>
      </c>
      <c r="B2156" s="12" t="s">
        <v>7067</v>
      </c>
      <c r="C2156" s="156">
        <v>98</v>
      </c>
      <c r="D2156" s="58" t="s">
        <v>4142</v>
      </c>
      <c r="E2156" s="93" t="s">
        <v>2096</v>
      </c>
      <c r="F2156" s="93"/>
      <c r="G2156" s="58"/>
      <c r="H2156" s="59">
        <v>2006</v>
      </c>
      <c r="I2156" s="58">
        <v>1996</v>
      </c>
      <c r="J2156" s="59" t="s">
        <v>916</v>
      </c>
      <c r="K2156" s="59" t="s">
        <v>2190</v>
      </c>
      <c r="L2156" s="59" t="s">
        <v>5334</v>
      </c>
      <c r="M2156" s="94">
        <f>-28-36/60</f>
        <v>-28.6</v>
      </c>
      <c r="N2156" s="94">
        <f>-53-40/60</f>
        <v>-53.666666666666664</v>
      </c>
      <c r="O2156" s="93">
        <v>435</v>
      </c>
      <c r="P2156" s="59">
        <v>19.2</v>
      </c>
      <c r="Q2156" s="58"/>
      <c r="R2156" s="59">
        <v>1727</v>
      </c>
      <c r="S2156" s="94"/>
      <c r="T2156" s="58"/>
      <c r="U2156" s="58">
        <v>9</v>
      </c>
      <c r="V2156" s="59">
        <v>18</v>
      </c>
      <c r="W2156" s="174"/>
      <c r="X2156" s="174"/>
      <c r="Y2156" s="58" t="s">
        <v>2191</v>
      </c>
      <c r="Z2156" s="59" t="s">
        <v>1361</v>
      </c>
      <c r="AA2156" s="93">
        <v>5</v>
      </c>
      <c r="AB2156" s="67"/>
      <c r="AC2156" s="67"/>
      <c r="AD2156" s="94">
        <v>1.2749999999999999</v>
      </c>
      <c r="AE2156" s="93">
        <v>31</v>
      </c>
      <c r="AF2156" s="93">
        <v>12</v>
      </c>
      <c r="AG2156" s="93"/>
      <c r="AH2156" s="58" t="s">
        <v>769</v>
      </c>
      <c r="AI2156" s="169">
        <v>4.5</v>
      </c>
      <c r="AJ2156" s="94"/>
      <c r="AK2156" s="94"/>
      <c r="AL2156" s="58"/>
      <c r="AM2156" s="59" t="s">
        <v>2098</v>
      </c>
      <c r="AN2156" s="188" t="s">
        <v>2197</v>
      </c>
      <c r="AO2156" s="185" t="s">
        <v>5150</v>
      </c>
      <c r="AP2156" s="59"/>
      <c r="AQ2156" s="58" t="s">
        <v>610</v>
      </c>
      <c r="AR2156" s="59" t="s">
        <v>2196</v>
      </c>
      <c r="AS2156" s="58" t="s">
        <v>1575</v>
      </c>
      <c r="AT2156" s="182"/>
      <c r="AU2156" s="181" t="s">
        <v>7494</v>
      </c>
      <c r="AV2156" s="185" t="s">
        <v>176</v>
      </c>
      <c r="AW2156" s="58"/>
      <c r="AX2156" s="185" t="s">
        <v>176</v>
      </c>
      <c r="AY2156" s="58"/>
      <c r="AZ2156" s="59" t="s">
        <v>2081</v>
      </c>
      <c r="BA2156" s="59" t="s">
        <v>2081</v>
      </c>
      <c r="BB2156" s="59" t="s">
        <v>2081</v>
      </c>
      <c r="BC2156" s="59" t="s">
        <v>2081</v>
      </c>
      <c r="BD2156" s="58" t="s">
        <v>176</v>
      </c>
      <c r="BE2156" s="240" t="s">
        <v>2199</v>
      </c>
      <c r="BF2156" s="191" t="s">
        <v>479</v>
      </c>
      <c r="BG2156" s="191" t="s">
        <v>479</v>
      </c>
      <c r="BH2156" s="240" t="s">
        <v>2200</v>
      </c>
      <c r="BI2156" s="191" t="s">
        <v>479</v>
      </c>
      <c r="BJ2156" s="58" t="s">
        <v>479</v>
      </c>
      <c r="BK2156" s="58" t="s">
        <v>5976</v>
      </c>
      <c r="BL2156" s="58"/>
      <c r="BM2156" s="241" t="s">
        <v>160</v>
      </c>
      <c r="BN2156" s="58">
        <v>5</v>
      </c>
      <c r="BO2156" s="58">
        <v>5</v>
      </c>
      <c r="BP2156" s="59">
        <v>3</v>
      </c>
      <c r="BQ2156" s="58" t="s">
        <v>141</v>
      </c>
      <c r="BR2156" s="58"/>
      <c r="BS2156" s="58"/>
      <c r="BT2156" s="58"/>
      <c r="BU2156" s="58"/>
      <c r="BV2156" s="58"/>
      <c r="BW2156" s="67"/>
      <c r="BX2156" s="67"/>
      <c r="BY2156" s="67"/>
      <c r="BZ2156" s="67"/>
      <c r="CA2156" s="67"/>
      <c r="CB2156" s="153"/>
      <c r="CC2156" s="68"/>
      <c r="CD2156" s="68"/>
      <c r="CE2156" s="67"/>
      <c r="CF2156" s="67"/>
      <c r="CG2156" s="67"/>
      <c r="CH2156" s="94"/>
      <c r="CI2156" s="94"/>
      <c r="CJ2156" s="67"/>
      <c r="CK2156" s="67"/>
      <c r="CL2156" s="67"/>
      <c r="CM2156" s="67">
        <f>(CR2156*1000000)/(100*100*AD2156*AA2156/100*1000000)*100</f>
        <v>2.5411764705882351</v>
      </c>
      <c r="CN2156" s="67">
        <f>(CS2156*1000000)/(100*100*AD2156*AA2156/100*1000000)*100</f>
        <v>2.8235294117647061</v>
      </c>
      <c r="CO2156" s="67"/>
      <c r="CP2156" s="67"/>
      <c r="CQ2156" s="67"/>
      <c r="CR2156" s="69">
        <v>16.2</v>
      </c>
      <c r="CS2156" s="69">
        <v>18</v>
      </c>
      <c r="CT2156" s="67"/>
      <c r="CU2156" s="67"/>
      <c r="CV2156" s="67" t="s">
        <v>2052</v>
      </c>
      <c r="CW2156" s="67"/>
      <c r="CX2156" s="67"/>
      <c r="CY2156" s="67"/>
      <c r="CZ2156" s="67"/>
      <c r="DA2156" s="67" t="s">
        <v>4463</v>
      </c>
      <c r="DB2156" s="67"/>
      <c r="DC2156" s="67"/>
      <c r="DD2156" s="67"/>
      <c r="DE2156" s="67"/>
      <c r="DF2156" s="67"/>
      <c r="DG2156" s="67"/>
      <c r="DH2156" s="67"/>
      <c r="DI2156" s="67"/>
      <c r="DJ2156" s="67"/>
      <c r="DK2156" s="67"/>
      <c r="DL2156" s="67"/>
      <c r="DM2156" s="67"/>
      <c r="DN2156" s="67"/>
      <c r="DO2156" s="67"/>
      <c r="DP2156" s="67"/>
      <c r="DQ2156" s="166"/>
      <c r="DR2156" s="166"/>
      <c r="DS2156" s="163"/>
      <c r="DT2156" s="163"/>
      <c r="DU2156" s="67"/>
      <c r="DV2156" s="67"/>
      <c r="DW2156" s="67"/>
      <c r="DX2156" s="67"/>
      <c r="DY2156" s="67"/>
      <c r="DZ2156" s="67"/>
      <c r="EA2156" s="67"/>
      <c r="EB2156" s="67"/>
      <c r="EC2156" s="67"/>
      <c r="ED2156" s="67"/>
      <c r="EE2156" s="67"/>
      <c r="EF2156" s="67"/>
      <c r="EG2156" s="67"/>
      <c r="EH2156" s="67"/>
      <c r="EI2156" s="67"/>
      <c r="EJ2156" s="67"/>
      <c r="EK2156" s="94"/>
      <c r="EL2156" s="94"/>
      <c r="EM2156" s="67"/>
      <c r="EN2156" s="67"/>
      <c r="EO2156" s="67"/>
      <c r="EP2156" s="67"/>
      <c r="EQ2156" s="67"/>
      <c r="ER2156" s="67"/>
      <c r="ES2156" s="67"/>
      <c r="ET2156" s="67"/>
      <c r="EU2156" s="67"/>
      <c r="EV2156" s="67"/>
      <c r="EW2156" s="67"/>
      <c r="EX2156" s="67"/>
      <c r="EY2156" s="67"/>
      <c r="EZ2156" s="67"/>
      <c r="FA2156" s="67"/>
      <c r="FB2156" s="67"/>
      <c r="FC2156" s="67"/>
      <c r="FD2156" s="67"/>
      <c r="FE2156" s="67"/>
      <c r="FF2156" s="67"/>
      <c r="FG2156" s="67"/>
      <c r="FH2156" s="67"/>
      <c r="FI2156" s="67"/>
      <c r="FJ2156" s="67"/>
      <c r="FK2156" s="67"/>
      <c r="FL2156" s="67"/>
      <c r="FM2156" s="67"/>
      <c r="FN2156" s="67"/>
      <c r="FO2156" s="67"/>
      <c r="FP2156" s="67"/>
      <c r="FQ2156" s="67"/>
      <c r="FR2156" s="67"/>
      <c r="FS2156" s="67"/>
      <c r="FT2156" s="67"/>
      <c r="FU2156" s="67"/>
      <c r="FV2156" s="67"/>
      <c r="FW2156" s="67"/>
      <c r="FX2156" s="67"/>
      <c r="FY2156" s="67"/>
      <c r="FZ2156" s="67"/>
      <c r="GA2156" s="67"/>
      <c r="GB2156" s="67"/>
      <c r="GC2156" s="67"/>
      <c r="GD2156" s="67"/>
      <c r="GE2156" s="67"/>
      <c r="GF2156" s="67"/>
      <c r="GG2156" s="67"/>
      <c r="GH2156" s="67"/>
      <c r="GI2156" s="67"/>
      <c r="GJ2156" s="67"/>
      <c r="GK2156" s="67"/>
      <c r="GL2156" s="67"/>
      <c r="GM2156" s="67"/>
      <c r="GN2156" s="292"/>
      <c r="GO2156" s="292"/>
      <c r="GP2156" s="292" t="s">
        <v>7494</v>
      </c>
      <c r="GQ2156" s="67"/>
      <c r="GR2156" s="67"/>
      <c r="GS2156" s="67"/>
      <c r="GT2156" s="67"/>
      <c r="GU2156" s="67"/>
      <c r="GV2156" s="67"/>
      <c r="GW2156" s="67"/>
      <c r="GX2156" s="67"/>
      <c r="GY2156" s="67"/>
      <c r="GZ2156" s="67"/>
      <c r="HA2156" s="67"/>
      <c r="HB2156" s="67"/>
      <c r="HC2156" s="67"/>
      <c r="HD2156" s="67"/>
      <c r="HE2156" s="67"/>
      <c r="HF2156" s="67"/>
      <c r="HG2156" s="67"/>
      <c r="HH2156" s="67"/>
      <c r="HI2156" s="67"/>
      <c r="HJ2156" s="67"/>
      <c r="HK2156" s="67"/>
      <c r="HL2156" s="67"/>
      <c r="HM2156" s="67"/>
      <c r="HN2156" s="67"/>
      <c r="HO2156" s="67"/>
      <c r="HP2156" s="67"/>
      <c r="HQ2156" s="67"/>
      <c r="HR2156" s="67"/>
      <c r="HS2156" s="67"/>
      <c r="HT2156" s="67"/>
      <c r="HU2156" s="67"/>
      <c r="HV2156" s="67"/>
      <c r="HW2156" s="67"/>
      <c r="HX2156" s="67"/>
      <c r="HY2156" s="67"/>
      <c r="HZ2156" s="67"/>
      <c r="IA2156" s="67"/>
      <c r="IB2156" s="67"/>
      <c r="IC2156" s="67"/>
      <c r="ID2156" s="67"/>
      <c r="IE2156" s="67"/>
      <c r="IF2156" s="67"/>
      <c r="IG2156" s="67"/>
      <c r="IH2156" s="67"/>
      <c r="II2156" s="67"/>
      <c r="IJ2156" s="67"/>
      <c r="IK2156" s="67"/>
      <c r="IL2156" s="67"/>
      <c r="IM2156" s="67"/>
      <c r="IN2156" s="67"/>
      <c r="IO2156" s="67"/>
      <c r="IP2156" s="67"/>
      <c r="IQ2156" s="67"/>
      <c r="IR2156" s="67"/>
      <c r="IS2156" s="67"/>
      <c r="IT2156" s="67"/>
      <c r="IU2156" s="67"/>
      <c r="IV2156" s="67"/>
      <c r="IW2156" s="67"/>
      <c r="IX2156" s="67"/>
      <c r="IY2156" s="67"/>
      <c r="IZ2156" s="67"/>
      <c r="JA2156" s="67"/>
      <c r="JB2156" s="67"/>
      <c r="JC2156" s="67"/>
      <c r="JD2156" s="67"/>
      <c r="JE2156" s="67"/>
      <c r="JF2156" s="67"/>
      <c r="JG2156" s="67"/>
      <c r="JH2156" s="67"/>
      <c r="JI2156" s="67"/>
      <c r="JJ2156" s="67"/>
      <c r="JK2156" s="67"/>
      <c r="JL2156" s="67"/>
      <c r="JM2156" s="67"/>
      <c r="JN2156" s="67"/>
      <c r="JO2156" s="67"/>
      <c r="JP2156" s="67"/>
      <c r="JQ2156" s="67"/>
      <c r="JR2156" s="67"/>
      <c r="JS2156" s="67"/>
      <c r="JT2156" s="67"/>
      <c r="JU2156" s="58"/>
      <c r="JV2156" s="58"/>
      <c r="JW2156" s="58"/>
    </row>
    <row r="2157" spans="1:283" s="23" customFormat="1" x14ac:dyDescent="0.25">
      <c r="A2157" s="55">
        <v>2156</v>
      </c>
      <c r="B2157" s="12" t="s">
        <v>7067</v>
      </c>
      <c r="C2157" s="156">
        <v>98</v>
      </c>
      <c r="D2157" s="58" t="s">
        <v>4143</v>
      </c>
      <c r="E2157" s="93" t="s">
        <v>2096</v>
      </c>
      <c r="F2157" s="93"/>
      <c r="G2157" s="58"/>
      <c r="H2157" s="59">
        <v>2006</v>
      </c>
      <c r="I2157" s="58">
        <v>1996</v>
      </c>
      <c r="J2157" s="59" t="s">
        <v>916</v>
      </c>
      <c r="K2157" s="59" t="s">
        <v>2190</v>
      </c>
      <c r="L2157" s="59" t="s">
        <v>5334</v>
      </c>
      <c r="M2157" s="94">
        <f>-28-36/60</f>
        <v>-28.6</v>
      </c>
      <c r="N2157" s="94">
        <f>-53-40/60</f>
        <v>-53.666666666666664</v>
      </c>
      <c r="O2157" s="93">
        <v>435</v>
      </c>
      <c r="P2157" s="59">
        <v>19.2</v>
      </c>
      <c r="Q2157" s="58"/>
      <c r="R2157" s="59">
        <v>1727</v>
      </c>
      <c r="S2157" s="94"/>
      <c r="T2157" s="58"/>
      <c r="U2157" s="58">
        <v>9</v>
      </c>
      <c r="V2157" s="59">
        <v>18</v>
      </c>
      <c r="W2157" s="174"/>
      <c r="X2157" s="174"/>
      <c r="Y2157" s="58" t="s">
        <v>2191</v>
      </c>
      <c r="Z2157" s="59" t="s">
        <v>1346</v>
      </c>
      <c r="AA2157" s="93">
        <v>20</v>
      </c>
      <c r="AB2157" s="67"/>
      <c r="AC2157" s="67"/>
      <c r="AD2157" s="94">
        <v>0.98899999999999999</v>
      </c>
      <c r="AE2157" s="93">
        <v>31</v>
      </c>
      <c r="AF2157" s="93">
        <v>12</v>
      </c>
      <c r="AG2157" s="93"/>
      <c r="AH2157" s="58" t="s">
        <v>769</v>
      </c>
      <c r="AI2157" s="169">
        <v>4.5</v>
      </c>
      <c r="AJ2157" s="94"/>
      <c r="AK2157" s="94"/>
      <c r="AL2157" s="58"/>
      <c r="AM2157" s="59" t="s">
        <v>2098</v>
      </c>
      <c r="AN2157" s="188" t="s">
        <v>2197</v>
      </c>
      <c r="AO2157" s="185" t="s">
        <v>5150</v>
      </c>
      <c r="AP2157" s="59"/>
      <c r="AQ2157" s="58" t="s">
        <v>610</v>
      </c>
      <c r="AR2157" s="59" t="s">
        <v>2196</v>
      </c>
      <c r="AS2157" s="58" t="s">
        <v>1575</v>
      </c>
      <c r="AT2157" s="182"/>
      <c r="AU2157" s="181" t="s">
        <v>7494</v>
      </c>
      <c r="AV2157" s="185" t="s">
        <v>176</v>
      </c>
      <c r="AW2157" s="58"/>
      <c r="AX2157" s="185" t="s">
        <v>176</v>
      </c>
      <c r="AY2157" s="58"/>
      <c r="AZ2157" s="59" t="s">
        <v>156</v>
      </c>
      <c r="BA2157" s="59" t="s">
        <v>156</v>
      </c>
      <c r="BB2157" s="59" t="s">
        <v>2082</v>
      </c>
      <c r="BC2157" s="59" t="s">
        <v>2082</v>
      </c>
      <c r="BD2157" s="58" t="s">
        <v>176</v>
      </c>
      <c r="BE2157" s="240" t="s">
        <v>2199</v>
      </c>
      <c r="BF2157" s="191" t="s">
        <v>479</v>
      </c>
      <c r="BG2157" s="191" t="s">
        <v>479</v>
      </c>
      <c r="BH2157" s="240" t="s">
        <v>2200</v>
      </c>
      <c r="BI2157" s="191" t="s">
        <v>479</v>
      </c>
      <c r="BJ2157" s="58" t="s">
        <v>479</v>
      </c>
      <c r="BK2157" s="58" t="s">
        <v>6269</v>
      </c>
      <c r="BL2157" s="58"/>
      <c r="BM2157" s="241" t="s">
        <v>160</v>
      </c>
      <c r="BN2157" s="58">
        <v>5</v>
      </c>
      <c r="BO2157" s="58">
        <v>5</v>
      </c>
      <c r="BP2157" s="59">
        <v>3</v>
      </c>
      <c r="BQ2157" s="58" t="s">
        <v>141</v>
      </c>
      <c r="BR2157" s="58"/>
      <c r="BS2157" s="58"/>
      <c r="BT2157" s="58"/>
      <c r="BU2157" s="58"/>
      <c r="BV2157" s="58"/>
      <c r="BW2157" s="67"/>
      <c r="BX2157" s="67"/>
      <c r="BY2157" s="67"/>
      <c r="BZ2157" s="67"/>
      <c r="CA2157" s="67"/>
      <c r="CB2157" s="153"/>
      <c r="CC2157" s="68"/>
      <c r="CD2157" s="68"/>
      <c r="CE2157" s="67"/>
      <c r="CF2157" s="67"/>
      <c r="CG2157" s="67"/>
      <c r="CH2157" s="94"/>
      <c r="CI2157" s="94"/>
      <c r="CJ2157" s="67"/>
      <c r="CK2157" s="67"/>
      <c r="CL2157" s="67"/>
      <c r="CM2157" s="67">
        <f>(CR2157*1000000)/(100*100*AD2157*AA2157/100*1000000)*100</f>
        <v>2.462082912032356</v>
      </c>
      <c r="CN2157" s="67">
        <f>(CS2157*1000000)/(100*100*AD2157*AA2157/100*1000000)*100</f>
        <v>2.7098078867542972</v>
      </c>
      <c r="CO2157" s="67"/>
      <c r="CP2157" s="67"/>
      <c r="CQ2157" s="67"/>
      <c r="CR2157" s="69">
        <v>48.7</v>
      </c>
      <c r="CS2157" s="69">
        <v>53.6</v>
      </c>
      <c r="CT2157" s="67"/>
      <c r="CU2157" s="67"/>
      <c r="CV2157" s="67" t="s">
        <v>2052</v>
      </c>
      <c r="CW2157" s="67"/>
      <c r="CX2157" s="67"/>
      <c r="CY2157" s="67"/>
      <c r="CZ2157" s="67"/>
      <c r="DA2157" s="67" t="s">
        <v>4463</v>
      </c>
      <c r="DB2157" s="67"/>
      <c r="DC2157" s="67"/>
      <c r="DD2157" s="67"/>
      <c r="DE2157" s="67"/>
      <c r="DF2157" s="67"/>
      <c r="DG2157" s="67"/>
      <c r="DH2157" s="67"/>
      <c r="DI2157" s="67"/>
      <c r="DJ2157" s="67"/>
      <c r="DK2157" s="67"/>
      <c r="DL2157" s="67"/>
      <c r="DM2157" s="67"/>
      <c r="DN2157" s="67"/>
      <c r="DO2157" s="67"/>
      <c r="DP2157" s="67"/>
      <c r="DQ2157" s="166"/>
      <c r="DR2157" s="166"/>
      <c r="DS2157" s="163"/>
      <c r="DT2157" s="163"/>
      <c r="DU2157" s="67"/>
      <c r="DV2157" s="67"/>
      <c r="DW2157" s="67"/>
      <c r="DX2157" s="67"/>
      <c r="DY2157" s="67"/>
      <c r="DZ2157" s="67"/>
      <c r="EA2157" s="67"/>
      <c r="EB2157" s="67"/>
      <c r="EC2157" s="67"/>
      <c r="ED2157" s="67"/>
      <c r="EE2157" s="67"/>
      <c r="EF2157" s="67"/>
      <c r="EG2157" s="67"/>
      <c r="EH2157" s="67"/>
      <c r="EI2157" s="67"/>
      <c r="EJ2157" s="67"/>
      <c r="EK2157" s="94"/>
      <c r="EL2157" s="94"/>
      <c r="EM2157" s="67"/>
      <c r="EN2157" s="67"/>
      <c r="EO2157" s="67"/>
      <c r="EP2157" s="67"/>
      <c r="EQ2157" s="67"/>
      <c r="ER2157" s="67"/>
      <c r="ES2157" s="67"/>
      <c r="ET2157" s="67"/>
      <c r="EU2157" s="67"/>
      <c r="EV2157" s="67"/>
      <c r="EW2157" s="67"/>
      <c r="EX2157" s="67"/>
      <c r="EY2157" s="67"/>
      <c r="EZ2157" s="67"/>
      <c r="FA2157" s="67"/>
      <c r="FB2157" s="67"/>
      <c r="FC2157" s="67"/>
      <c r="FD2157" s="67"/>
      <c r="FE2157" s="67"/>
      <c r="FF2157" s="67"/>
      <c r="FG2157" s="67"/>
      <c r="FH2157" s="67"/>
      <c r="FI2157" s="67"/>
      <c r="FJ2157" s="67"/>
      <c r="FK2157" s="67"/>
      <c r="FL2157" s="67"/>
      <c r="FM2157" s="67"/>
      <c r="FN2157" s="67"/>
      <c r="FO2157" s="67"/>
      <c r="FP2157" s="67"/>
      <c r="FQ2157" s="67"/>
      <c r="FR2157" s="67"/>
      <c r="FS2157" s="67"/>
      <c r="FT2157" s="67"/>
      <c r="FU2157" s="67"/>
      <c r="FV2157" s="67"/>
      <c r="FW2157" s="67"/>
      <c r="FX2157" s="67"/>
      <c r="FY2157" s="67"/>
      <c r="FZ2157" s="67"/>
      <c r="GA2157" s="67"/>
      <c r="GB2157" s="67"/>
      <c r="GC2157" s="67"/>
      <c r="GD2157" s="67"/>
      <c r="GE2157" s="67"/>
      <c r="GF2157" s="67"/>
      <c r="GG2157" s="67"/>
      <c r="GH2157" s="67"/>
      <c r="GI2157" s="67"/>
      <c r="GJ2157" s="67"/>
      <c r="GK2157" s="67"/>
      <c r="GL2157" s="67"/>
      <c r="GM2157" s="67"/>
      <c r="GN2157" s="292"/>
      <c r="GO2157" s="292"/>
      <c r="GP2157" s="292" t="s">
        <v>7494</v>
      </c>
      <c r="GQ2157" s="67"/>
      <c r="GR2157" s="67"/>
      <c r="GS2157" s="67"/>
      <c r="GT2157" s="67"/>
      <c r="GU2157" s="67"/>
      <c r="GV2157" s="67"/>
      <c r="GW2157" s="67"/>
      <c r="GX2157" s="67"/>
      <c r="GY2157" s="67"/>
      <c r="GZ2157" s="67"/>
      <c r="HA2157" s="67"/>
      <c r="HB2157" s="67"/>
      <c r="HC2157" s="67"/>
      <c r="HD2157" s="67"/>
      <c r="HE2157" s="67"/>
      <c r="HF2157" s="67"/>
      <c r="HG2157" s="67"/>
      <c r="HH2157" s="67"/>
      <c r="HI2157" s="67"/>
      <c r="HJ2157" s="67"/>
      <c r="HK2157" s="67"/>
      <c r="HL2157" s="67"/>
      <c r="HM2157" s="67"/>
      <c r="HN2157" s="67"/>
      <c r="HO2157" s="67"/>
      <c r="HP2157" s="67"/>
      <c r="HQ2157" s="67"/>
      <c r="HR2157" s="67"/>
      <c r="HS2157" s="67"/>
      <c r="HT2157" s="67"/>
      <c r="HU2157" s="67"/>
      <c r="HV2157" s="67"/>
      <c r="HW2157" s="67"/>
      <c r="HX2157" s="67"/>
      <c r="HY2157" s="67"/>
      <c r="HZ2157" s="67"/>
      <c r="IA2157" s="67"/>
      <c r="IB2157" s="67"/>
      <c r="IC2157" s="67"/>
      <c r="ID2157" s="67"/>
      <c r="IE2157" s="67"/>
      <c r="IF2157" s="67"/>
      <c r="IG2157" s="67"/>
      <c r="IH2157" s="67"/>
      <c r="II2157" s="67"/>
      <c r="IJ2157" s="67"/>
      <c r="IK2157" s="67"/>
      <c r="IL2157" s="67"/>
      <c r="IM2157" s="67"/>
      <c r="IN2157" s="67"/>
      <c r="IO2157" s="67"/>
      <c r="IP2157" s="67"/>
      <c r="IQ2157" s="67"/>
      <c r="IR2157" s="67"/>
      <c r="IS2157" s="67"/>
      <c r="IT2157" s="67"/>
      <c r="IU2157" s="67"/>
      <c r="IV2157" s="67"/>
      <c r="IW2157" s="67"/>
      <c r="IX2157" s="67"/>
      <c r="IY2157" s="67"/>
      <c r="IZ2157" s="67"/>
      <c r="JA2157" s="67"/>
      <c r="JB2157" s="67"/>
      <c r="JC2157" s="67"/>
      <c r="JD2157" s="67"/>
      <c r="JE2157" s="67"/>
      <c r="JF2157" s="67"/>
      <c r="JG2157" s="67"/>
      <c r="JH2157" s="67"/>
      <c r="JI2157" s="67"/>
      <c r="JJ2157" s="67"/>
      <c r="JK2157" s="67"/>
      <c r="JL2157" s="67"/>
      <c r="JM2157" s="67"/>
      <c r="JN2157" s="67"/>
      <c r="JO2157" s="67"/>
      <c r="JP2157" s="67"/>
      <c r="JQ2157" s="67"/>
      <c r="JR2157" s="67"/>
      <c r="JS2157" s="67"/>
      <c r="JT2157" s="67"/>
      <c r="JU2157" s="58"/>
      <c r="JV2157" s="58"/>
      <c r="JW2157" s="58"/>
    </row>
    <row r="2158" spans="1:283" s="23" customFormat="1" x14ac:dyDescent="0.25">
      <c r="A2158" s="55">
        <v>2157</v>
      </c>
      <c r="B2158" s="12" t="s">
        <v>7067</v>
      </c>
      <c r="C2158" s="156">
        <v>98</v>
      </c>
      <c r="D2158" s="58" t="s">
        <v>4143</v>
      </c>
      <c r="E2158" s="93" t="s">
        <v>2096</v>
      </c>
      <c r="F2158" s="93"/>
      <c r="G2158" s="58"/>
      <c r="H2158" s="59">
        <v>2006</v>
      </c>
      <c r="I2158" s="58">
        <v>1996</v>
      </c>
      <c r="J2158" s="59" t="s">
        <v>916</v>
      </c>
      <c r="K2158" s="59" t="s">
        <v>2190</v>
      </c>
      <c r="L2158" s="59" t="s">
        <v>5334</v>
      </c>
      <c r="M2158" s="94">
        <f>-28-36/60</f>
        <v>-28.6</v>
      </c>
      <c r="N2158" s="94">
        <f>-53-40/60</f>
        <v>-53.666666666666664</v>
      </c>
      <c r="O2158" s="93">
        <v>435</v>
      </c>
      <c r="P2158" s="59">
        <v>19.2</v>
      </c>
      <c r="Q2158" s="58"/>
      <c r="R2158" s="59">
        <v>1727</v>
      </c>
      <c r="S2158" s="94"/>
      <c r="T2158" s="58"/>
      <c r="U2158" s="58">
        <v>9</v>
      </c>
      <c r="V2158" s="59">
        <v>18</v>
      </c>
      <c r="W2158" s="174"/>
      <c r="X2158" s="174"/>
      <c r="Y2158" s="58" t="s">
        <v>2191</v>
      </c>
      <c r="Z2158" s="59" t="s">
        <v>1346</v>
      </c>
      <c r="AA2158" s="93">
        <v>20</v>
      </c>
      <c r="AB2158" s="67"/>
      <c r="AC2158" s="67"/>
      <c r="AD2158" s="94">
        <v>0.98899999999999999</v>
      </c>
      <c r="AE2158" s="93">
        <v>31</v>
      </c>
      <c r="AF2158" s="93">
        <v>12</v>
      </c>
      <c r="AG2158" s="93"/>
      <c r="AH2158" s="58" t="s">
        <v>769</v>
      </c>
      <c r="AI2158" s="169">
        <v>4.5</v>
      </c>
      <c r="AJ2158" s="94"/>
      <c r="AK2158" s="94"/>
      <c r="AL2158" s="58"/>
      <c r="AM2158" s="59" t="s">
        <v>2098</v>
      </c>
      <c r="AN2158" s="188" t="s">
        <v>2197</v>
      </c>
      <c r="AO2158" s="185" t="s">
        <v>5150</v>
      </c>
      <c r="AP2158" s="59"/>
      <c r="AQ2158" s="58" t="s">
        <v>610</v>
      </c>
      <c r="AR2158" s="59" t="s">
        <v>2196</v>
      </c>
      <c r="AS2158" s="58" t="s">
        <v>1575</v>
      </c>
      <c r="AT2158" s="182"/>
      <c r="AU2158" s="181" t="s">
        <v>7494</v>
      </c>
      <c r="AV2158" s="185" t="s">
        <v>176</v>
      </c>
      <c r="AW2158" s="58"/>
      <c r="AX2158" s="185" t="s">
        <v>176</v>
      </c>
      <c r="AY2158" s="58"/>
      <c r="AZ2158" s="59" t="s">
        <v>156</v>
      </c>
      <c r="BA2158" s="59" t="s">
        <v>156</v>
      </c>
      <c r="BB2158" s="59" t="s">
        <v>2082</v>
      </c>
      <c r="BC2158" s="59" t="s">
        <v>2082</v>
      </c>
      <c r="BD2158" s="58" t="s">
        <v>176</v>
      </c>
      <c r="BE2158" s="240" t="s">
        <v>2199</v>
      </c>
      <c r="BF2158" s="191" t="s">
        <v>479</v>
      </c>
      <c r="BG2158" s="191" t="s">
        <v>479</v>
      </c>
      <c r="BH2158" s="240" t="s">
        <v>2200</v>
      </c>
      <c r="BI2158" s="191" t="s">
        <v>479</v>
      </c>
      <c r="BJ2158" s="58" t="s">
        <v>479</v>
      </c>
      <c r="BK2158" s="58" t="s">
        <v>6269</v>
      </c>
      <c r="BL2158" s="58"/>
      <c r="BM2158" s="241" t="s">
        <v>160</v>
      </c>
      <c r="BN2158" s="58">
        <v>5</v>
      </c>
      <c r="BO2158" s="58">
        <v>5</v>
      </c>
      <c r="BP2158" s="59">
        <v>3</v>
      </c>
      <c r="BQ2158" s="58" t="s">
        <v>141</v>
      </c>
      <c r="BR2158" s="58"/>
      <c r="BS2158" s="58"/>
      <c r="BT2158" s="58"/>
      <c r="BU2158" s="58"/>
      <c r="BV2158" s="58"/>
      <c r="BW2158" s="67"/>
      <c r="BX2158" s="67"/>
      <c r="BY2158" s="67"/>
      <c r="BZ2158" s="67"/>
      <c r="CA2158" s="67"/>
      <c r="CB2158" s="153"/>
      <c r="CC2158" s="68"/>
      <c r="CD2158" s="68"/>
      <c r="CE2158" s="67"/>
      <c r="CF2158" s="67"/>
      <c r="CG2158" s="67"/>
      <c r="CH2158" s="94"/>
      <c r="CI2158" s="94"/>
      <c r="CJ2158" s="67"/>
      <c r="CK2158" s="67"/>
      <c r="CL2158" s="67"/>
      <c r="CM2158" s="67">
        <f>(CR2158*1000000)/(100*100*AD2158*AA2158/100*1000000)*100</f>
        <v>2.6188068756319516</v>
      </c>
      <c r="CN2158" s="67">
        <f>(CS2158*1000000)/(100*100*AD2158*AA2158/100*1000000)*100</f>
        <v>2.9474216380182003</v>
      </c>
      <c r="CO2158" s="67"/>
      <c r="CP2158" s="67"/>
      <c r="CQ2158" s="67"/>
      <c r="CR2158" s="69">
        <v>51.8</v>
      </c>
      <c r="CS2158" s="69">
        <v>58.3</v>
      </c>
      <c r="CT2158" s="67"/>
      <c r="CU2158" s="67"/>
      <c r="CV2158" s="67" t="s">
        <v>2052</v>
      </c>
      <c r="CW2158" s="67"/>
      <c r="CX2158" s="67"/>
      <c r="CY2158" s="67"/>
      <c r="CZ2158" s="67"/>
      <c r="DA2158" s="67" t="s">
        <v>4463</v>
      </c>
      <c r="DB2158" s="67"/>
      <c r="DC2158" s="67"/>
      <c r="DD2158" s="67"/>
      <c r="DE2158" s="67"/>
      <c r="DF2158" s="67"/>
      <c r="DG2158" s="67"/>
      <c r="DH2158" s="67"/>
      <c r="DI2158" s="67"/>
      <c r="DJ2158" s="67"/>
      <c r="DK2158" s="67"/>
      <c r="DL2158" s="67"/>
      <c r="DM2158" s="67"/>
      <c r="DN2158" s="67"/>
      <c r="DO2158" s="67"/>
      <c r="DP2158" s="67"/>
      <c r="DQ2158" s="166"/>
      <c r="DR2158" s="166"/>
      <c r="DS2158" s="163"/>
      <c r="DT2158" s="163"/>
      <c r="DU2158" s="67"/>
      <c r="DV2158" s="67"/>
      <c r="DW2158" s="67"/>
      <c r="DX2158" s="67"/>
      <c r="DY2158" s="67"/>
      <c r="DZ2158" s="67"/>
      <c r="EA2158" s="67"/>
      <c r="EB2158" s="67"/>
      <c r="EC2158" s="67"/>
      <c r="ED2158" s="67"/>
      <c r="EE2158" s="67"/>
      <c r="EF2158" s="67"/>
      <c r="EG2158" s="67"/>
      <c r="EH2158" s="67"/>
      <c r="EI2158" s="67"/>
      <c r="EJ2158" s="67"/>
      <c r="EK2158" s="94"/>
      <c r="EL2158" s="94"/>
      <c r="EM2158" s="67"/>
      <c r="EN2158" s="67"/>
      <c r="EO2158" s="67"/>
      <c r="EP2158" s="67"/>
      <c r="EQ2158" s="67"/>
      <c r="ER2158" s="67"/>
      <c r="ES2158" s="67"/>
      <c r="ET2158" s="67"/>
      <c r="EU2158" s="67"/>
      <c r="EV2158" s="67"/>
      <c r="EW2158" s="67"/>
      <c r="EX2158" s="67"/>
      <c r="EY2158" s="67"/>
      <c r="EZ2158" s="67"/>
      <c r="FA2158" s="67"/>
      <c r="FB2158" s="67"/>
      <c r="FC2158" s="67"/>
      <c r="FD2158" s="67"/>
      <c r="FE2158" s="67"/>
      <c r="FF2158" s="67"/>
      <c r="FG2158" s="67"/>
      <c r="FH2158" s="67"/>
      <c r="FI2158" s="67"/>
      <c r="FJ2158" s="67"/>
      <c r="FK2158" s="67"/>
      <c r="FL2158" s="67"/>
      <c r="FM2158" s="67"/>
      <c r="FN2158" s="67"/>
      <c r="FO2158" s="67"/>
      <c r="FP2158" s="67"/>
      <c r="FQ2158" s="67"/>
      <c r="FR2158" s="67"/>
      <c r="FS2158" s="67"/>
      <c r="FT2158" s="67"/>
      <c r="FU2158" s="67"/>
      <c r="FV2158" s="67"/>
      <c r="FW2158" s="67"/>
      <c r="FX2158" s="67"/>
      <c r="FY2158" s="67"/>
      <c r="FZ2158" s="67"/>
      <c r="GA2158" s="67"/>
      <c r="GB2158" s="67"/>
      <c r="GC2158" s="67"/>
      <c r="GD2158" s="67"/>
      <c r="GE2158" s="67"/>
      <c r="GF2158" s="67"/>
      <c r="GG2158" s="67"/>
      <c r="GH2158" s="67"/>
      <c r="GI2158" s="67"/>
      <c r="GJ2158" s="67"/>
      <c r="GK2158" s="67"/>
      <c r="GL2158" s="67"/>
      <c r="GM2158" s="67"/>
      <c r="GN2158" s="292"/>
      <c r="GO2158" s="292"/>
      <c r="GP2158" s="292" t="s">
        <v>7494</v>
      </c>
      <c r="GQ2158" s="67"/>
      <c r="GR2158" s="67"/>
      <c r="GS2158" s="67"/>
      <c r="GT2158" s="67"/>
      <c r="GU2158" s="67"/>
      <c r="GV2158" s="67"/>
      <c r="GW2158" s="67"/>
      <c r="GX2158" s="67"/>
      <c r="GY2158" s="67"/>
      <c r="GZ2158" s="67"/>
      <c r="HA2158" s="67"/>
      <c r="HB2158" s="67"/>
      <c r="HC2158" s="67"/>
      <c r="HD2158" s="67"/>
      <c r="HE2158" s="67"/>
      <c r="HF2158" s="67"/>
      <c r="HG2158" s="67"/>
      <c r="HH2158" s="67"/>
      <c r="HI2158" s="67"/>
      <c r="HJ2158" s="67"/>
      <c r="HK2158" s="67"/>
      <c r="HL2158" s="67"/>
      <c r="HM2158" s="67"/>
      <c r="HN2158" s="67"/>
      <c r="HO2158" s="67"/>
      <c r="HP2158" s="67"/>
      <c r="HQ2158" s="67"/>
      <c r="HR2158" s="67"/>
      <c r="HS2158" s="67"/>
      <c r="HT2158" s="67"/>
      <c r="HU2158" s="67"/>
      <c r="HV2158" s="67"/>
      <c r="HW2158" s="67"/>
      <c r="HX2158" s="67"/>
      <c r="HY2158" s="67"/>
      <c r="HZ2158" s="67"/>
      <c r="IA2158" s="67"/>
      <c r="IB2158" s="67"/>
      <c r="IC2158" s="67"/>
      <c r="ID2158" s="67"/>
      <c r="IE2158" s="67"/>
      <c r="IF2158" s="67"/>
      <c r="IG2158" s="67"/>
      <c r="IH2158" s="67"/>
      <c r="II2158" s="67"/>
      <c r="IJ2158" s="67"/>
      <c r="IK2158" s="67"/>
      <c r="IL2158" s="67"/>
      <c r="IM2158" s="67"/>
      <c r="IN2158" s="67"/>
      <c r="IO2158" s="67"/>
      <c r="IP2158" s="67"/>
      <c r="IQ2158" s="67"/>
      <c r="IR2158" s="67"/>
      <c r="IS2158" s="67"/>
      <c r="IT2158" s="67"/>
      <c r="IU2158" s="67"/>
      <c r="IV2158" s="67"/>
      <c r="IW2158" s="67"/>
      <c r="IX2158" s="67"/>
      <c r="IY2158" s="67"/>
      <c r="IZ2158" s="67"/>
      <c r="JA2158" s="67"/>
      <c r="JB2158" s="67"/>
      <c r="JC2158" s="67"/>
      <c r="JD2158" s="67"/>
      <c r="JE2158" s="67"/>
      <c r="JF2158" s="67"/>
      <c r="JG2158" s="67"/>
      <c r="JH2158" s="67"/>
      <c r="JI2158" s="67"/>
      <c r="JJ2158" s="67"/>
      <c r="JK2158" s="67"/>
      <c r="JL2158" s="67"/>
      <c r="JM2158" s="67"/>
      <c r="JN2158" s="67"/>
      <c r="JO2158" s="67"/>
      <c r="JP2158" s="67"/>
      <c r="JQ2158" s="67"/>
      <c r="JR2158" s="67"/>
      <c r="JS2158" s="67"/>
      <c r="JT2158" s="67"/>
      <c r="JU2158" s="58"/>
      <c r="JV2158" s="58"/>
      <c r="JW2158" s="58"/>
    </row>
    <row r="2159" spans="1:283" s="23" customFormat="1" x14ac:dyDescent="0.25">
      <c r="A2159" s="55">
        <v>2158</v>
      </c>
      <c r="B2159" s="12" t="s">
        <v>7067</v>
      </c>
      <c r="C2159" s="156">
        <v>99</v>
      </c>
      <c r="D2159" s="58" t="s">
        <v>4144</v>
      </c>
      <c r="E2159" s="94" t="s">
        <v>2102</v>
      </c>
      <c r="F2159" s="94"/>
      <c r="G2159" s="58"/>
      <c r="H2159" s="58">
        <v>2008</v>
      </c>
      <c r="I2159" s="58"/>
      <c r="J2159" s="58" t="s">
        <v>2103</v>
      </c>
      <c r="K2159" s="58" t="s">
        <v>2104</v>
      </c>
      <c r="L2159" s="58" t="s">
        <v>1077</v>
      </c>
      <c r="M2159" s="94">
        <v>53.25</v>
      </c>
      <c r="N2159" s="94">
        <v>13.25</v>
      </c>
      <c r="O2159" s="94">
        <v>44</v>
      </c>
      <c r="P2159" s="58">
        <v>8.9</v>
      </c>
      <c r="Q2159" s="58"/>
      <c r="R2159" s="58">
        <v>495</v>
      </c>
      <c r="S2159" s="94"/>
      <c r="T2159" s="58"/>
      <c r="U2159" s="58">
        <v>5</v>
      </c>
      <c r="V2159" s="58">
        <v>10</v>
      </c>
      <c r="W2159" s="174"/>
      <c r="X2159" s="174"/>
      <c r="Y2159" s="58"/>
      <c r="Z2159" s="59" t="s">
        <v>1346</v>
      </c>
      <c r="AA2159" s="94">
        <v>20</v>
      </c>
      <c r="AB2159" s="67"/>
      <c r="AC2159" s="67"/>
      <c r="AD2159" s="94">
        <v>1.5478000000000001</v>
      </c>
      <c r="AE2159" s="92">
        <f>(72+87)/2</f>
        <v>79.5</v>
      </c>
      <c r="AF2159" s="92">
        <f>(10+25)/2</f>
        <v>17.5</v>
      </c>
      <c r="AG2159" s="92"/>
      <c r="AH2159" s="58" t="s">
        <v>174</v>
      </c>
      <c r="AI2159" s="169"/>
      <c r="AJ2159" s="94"/>
      <c r="AK2159" s="94"/>
      <c r="AL2159" s="58"/>
      <c r="AM2159" s="58" t="s">
        <v>2105</v>
      </c>
      <c r="AN2159" s="186" t="s">
        <v>2201</v>
      </c>
      <c r="AO2159" s="185" t="s">
        <v>5150</v>
      </c>
      <c r="AP2159" s="58"/>
      <c r="AQ2159" s="58" t="s">
        <v>1097</v>
      </c>
      <c r="AR2159" s="58" t="s">
        <v>2202</v>
      </c>
      <c r="AS2159" s="58" t="s">
        <v>1580</v>
      </c>
      <c r="AT2159" s="182"/>
      <c r="AU2159" s="181" t="s">
        <v>7494</v>
      </c>
      <c r="AV2159" s="185" t="s">
        <v>176</v>
      </c>
      <c r="AW2159" s="58"/>
      <c r="AX2159" s="185" t="s">
        <v>176</v>
      </c>
      <c r="AY2159" s="58"/>
      <c r="AZ2159" s="59" t="s">
        <v>2091</v>
      </c>
      <c r="BA2159" s="59" t="s">
        <v>2091</v>
      </c>
      <c r="BB2159" s="59"/>
      <c r="BC2159" s="59"/>
      <c r="BD2159" s="58"/>
      <c r="BE2159" s="236" t="s">
        <v>2020</v>
      </c>
      <c r="BF2159" s="58"/>
      <c r="BG2159" s="58" t="s">
        <v>176</v>
      </c>
      <c r="BH2159" s="236"/>
      <c r="BI2159" s="58"/>
      <c r="BJ2159" s="58"/>
      <c r="BK2159" s="58" t="s">
        <v>5976</v>
      </c>
      <c r="BL2159" s="58"/>
      <c r="BM2159" s="237" t="s">
        <v>160</v>
      </c>
      <c r="BN2159" s="58"/>
      <c r="BO2159" s="58"/>
      <c r="BP2159" s="58"/>
      <c r="BQ2159" s="58"/>
      <c r="BR2159" s="58"/>
      <c r="BS2159" s="58"/>
      <c r="BT2159" s="58"/>
      <c r="BU2159" s="58"/>
      <c r="BV2159" s="58"/>
      <c r="BW2159" s="67"/>
      <c r="BX2159" s="67"/>
      <c r="BY2159" s="67"/>
      <c r="BZ2159" s="67"/>
      <c r="CA2159" s="67"/>
      <c r="CB2159" s="68"/>
      <c r="CC2159" s="68"/>
      <c r="CD2159" s="68"/>
      <c r="CE2159" s="67"/>
      <c r="CF2159" s="67"/>
      <c r="CG2159" s="67"/>
      <c r="CH2159" s="94">
        <v>1.5478000000000001</v>
      </c>
      <c r="CI2159" s="94">
        <v>1.5350980000000001</v>
      </c>
      <c r="CJ2159" s="67"/>
      <c r="CK2159" s="67"/>
      <c r="CL2159" s="67"/>
      <c r="CM2159" s="67">
        <f>(CR2159*1000000)/(100*100*AD2159*AA2159/100*1000000)*100</f>
        <v>0.34712772968083738</v>
      </c>
      <c r="CN2159" s="67">
        <f>(CS2159*1000000)/(100*100*AD2159*AA2159/100*1000000)*100</f>
        <v>0.41952865615712631</v>
      </c>
      <c r="CO2159" s="67"/>
      <c r="CP2159" s="67"/>
      <c r="CQ2159" s="67"/>
      <c r="CR2159" s="67">
        <v>10.745686000000001</v>
      </c>
      <c r="CS2159" s="67">
        <v>12.986929080000001</v>
      </c>
      <c r="CT2159" s="67"/>
      <c r="CU2159" s="67"/>
      <c r="CV2159" s="67" t="s">
        <v>2052</v>
      </c>
      <c r="CW2159" s="67"/>
      <c r="CX2159" s="67"/>
      <c r="CY2159" s="67"/>
      <c r="CZ2159" s="67"/>
      <c r="DA2159" s="67" t="s">
        <v>4463</v>
      </c>
      <c r="DB2159" s="67"/>
      <c r="DC2159" s="67"/>
      <c r="DD2159" s="67"/>
      <c r="DE2159" s="67"/>
      <c r="DF2159" s="67"/>
      <c r="DG2159" s="67"/>
      <c r="DH2159" s="67"/>
      <c r="DI2159" s="67"/>
      <c r="DJ2159" s="67"/>
      <c r="DK2159" s="67"/>
      <c r="DL2159" s="67"/>
      <c r="DM2159" s="67"/>
      <c r="DN2159" s="67"/>
      <c r="DO2159" s="67"/>
      <c r="DP2159" s="67"/>
      <c r="DQ2159" s="166"/>
      <c r="DR2159" s="166"/>
      <c r="DS2159" s="163"/>
      <c r="DT2159" s="163"/>
      <c r="DU2159" s="67"/>
      <c r="DV2159" s="67"/>
      <c r="DW2159" s="67"/>
      <c r="DX2159" s="67"/>
      <c r="DY2159" s="67"/>
      <c r="DZ2159" s="67"/>
      <c r="EA2159" s="67"/>
      <c r="EB2159" s="67"/>
      <c r="EC2159" s="67"/>
      <c r="ED2159" s="67"/>
      <c r="EE2159" s="67"/>
      <c r="EF2159" s="67"/>
      <c r="EG2159" s="67"/>
      <c r="EH2159" s="67"/>
      <c r="EI2159" s="67"/>
      <c r="EJ2159" s="67"/>
      <c r="EK2159" s="94"/>
      <c r="EL2159" s="94"/>
      <c r="EM2159" s="67"/>
      <c r="EN2159" s="67"/>
      <c r="EO2159" s="67"/>
      <c r="EP2159" s="67"/>
      <c r="EQ2159" s="67"/>
      <c r="ER2159" s="67"/>
      <c r="ES2159" s="67"/>
      <c r="ET2159" s="67"/>
      <c r="EU2159" s="67"/>
      <c r="EV2159" s="67"/>
      <c r="EW2159" s="67"/>
      <c r="EX2159" s="67"/>
      <c r="EY2159" s="67"/>
      <c r="EZ2159" s="67"/>
      <c r="FA2159" s="67"/>
      <c r="FB2159" s="67"/>
      <c r="FC2159" s="67"/>
      <c r="FD2159" s="67"/>
      <c r="FE2159" s="67"/>
      <c r="FF2159" s="67"/>
      <c r="FG2159" s="67"/>
      <c r="FH2159" s="67"/>
      <c r="FI2159" s="67"/>
      <c r="FJ2159" s="67"/>
      <c r="FK2159" s="67"/>
      <c r="FL2159" s="67"/>
      <c r="FM2159" s="67"/>
      <c r="FN2159" s="67"/>
      <c r="FO2159" s="67"/>
      <c r="FP2159" s="67"/>
      <c r="FQ2159" s="67"/>
      <c r="FR2159" s="67"/>
      <c r="FS2159" s="67"/>
      <c r="FT2159" s="67"/>
      <c r="FU2159" s="67"/>
      <c r="FV2159" s="67"/>
      <c r="FW2159" s="67"/>
      <c r="FX2159" s="67"/>
      <c r="FY2159" s="67"/>
      <c r="FZ2159" s="67"/>
      <c r="GA2159" s="67"/>
      <c r="GB2159" s="67"/>
      <c r="GC2159" s="67"/>
      <c r="GD2159" s="67"/>
      <c r="GE2159" s="67"/>
      <c r="GF2159" s="67"/>
      <c r="GG2159" s="67"/>
      <c r="GH2159" s="67"/>
      <c r="GI2159" s="67"/>
      <c r="GJ2159" s="67"/>
      <c r="GK2159" s="67"/>
      <c r="GL2159" s="67"/>
      <c r="GM2159" s="67"/>
      <c r="GN2159" s="292"/>
      <c r="GO2159" s="292"/>
      <c r="GP2159" s="292" t="s">
        <v>7494</v>
      </c>
      <c r="GQ2159" s="67"/>
      <c r="GR2159" s="67"/>
      <c r="GS2159" s="67"/>
      <c r="GT2159" s="67"/>
      <c r="GU2159" s="67"/>
      <c r="GV2159" s="67"/>
      <c r="GW2159" s="67"/>
      <c r="GX2159" s="67"/>
      <c r="GY2159" s="67"/>
      <c r="GZ2159" s="67"/>
      <c r="HA2159" s="67"/>
      <c r="HB2159" s="67"/>
      <c r="HC2159" s="67"/>
      <c r="HD2159" s="67"/>
      <c r="HE2159" s="67"/>
      <c r="HF2159" s="67"/>
      <c r="HG2159" s="67"/>
      <c r="HH2159" s="67"/>
      <c r="HI2159" s="67"/>
      <c r="HJ2159" s="67"/>
      <c r="HK2159" s="67"/>
      <c r="HL2159" s="67"/>
      <c r="HM2159" s="67"/>
      <c r="HN2159" s="67"/>
      <c r="HO2159" s="67"/>
      <c r="HP2159" s="67"/>
      <c r="HQ2159" s="67"/>
      <c r="HR2159" s="67"/>
      <c r="HS2159" s="67"/>
      <c r="HT2159" s="67"/>
      <c r="HU2159" s="67"/>
      <c r="HV2159" s="67"/>
      <c r="HW2159" s="67"/>
      <c r="HX2159" s="67"/>
      <c r="HY2159" s="67"/>
      <c r="HZ2159" s="67"/>
      <c r="IA2159" s="67"/>
      <c r="IB2159" s="67"/>
      <c r="IC2159" s="67"/>
      <c r="ID2159" s="67"/>
      <c r="IE2159" s="67"/>
      <c r="IF2159" s="67"/>
      <c r="IG2159" s="67"/>
      <c r="IH2159" s="67"/>
      <c r="II2159" s="67"/>
      <c r="IJ2159" s="67"/>
      <c r="IK2159" s="67"/>
      <c r="IL2159" s="67"/>
      <c r="IM2159" s="67"/>
      <c r="IN2159" s="67"/>
      <c r="IO2159" s="67"/>
      <c r="IP2159" s="67"/>
      <c r="IQ2159" s="67"/>
      <c r="IR2159" s="67"/>
      <c r="IS2159" s="67"/>
      <c r="IT2159" s="67"/>
      <c r="IU2159" s="67"/>
      <c r="IV2159" s="67"/>
      <c r="IW2159" s="67"/>
      <c r="IX2159" s="67"/>
      <c r="IY2159" s="67"/>
      <c r="IZ2159" s="67"/>
      <c r="JA2159" s="67"/>
      <c r="JB2159" s="67"/>
      <c r="JC2159" s="67"/>
      <c r="JD2159" s="67"/>
      <c r="JE2159" s="67"/>
      <c r="JF2159" s="67"/>
      <c r="JG2159" s="67"/>
      <c r="JH2159" s="67"/>
      <c r="JI2159" s="67"/>
      <c r="JJ2159" s="67"/>
      <c r="JK2159" s="67"/>
      <c r="JL2159" s="67"/>
      <c r="JM2159" s="67"/>
      <c r="JN2159" s="67"/>
      <c r="JO2159" s="67"/>
      <c r="JP2159" s="67"/>
      <c r="JQ2159" s="67"/>
      <c r="JR2159" s="67"/>
      <c r="JS2159" s="67"/>
      <c r="JT2159" s="67"/>
      <c r="JU2159" s="58"/>
      <c r="JV2159" s="58"/>
      <c r="JW2159" s="58"/>
    </row>
    <row r="2160" spans="1:283" s="23" customFormat="1" x14ac:dyDescent="0.25">
      <c r="A2160" s="55">
        <v>2159</v>
      </c>
      <c r="B2160" s="12" t="s">
        <v>7067</v>
      </c>
      <c r="C2160" s="156">
        <v>99</v>
      </c>
      <c r="D2160" s="58" t="s">
        <v>4144</v>
      </c>
      <c r="E2160" s="94" t="s">
        <v>2102</v>
      </c>
      <c r="F2160" s="94"/>
      <c r="G2160" s="58"/>
      <c r="H2160" s="58">
        <v>2008</v>
      </c>
      <c r="I2160" s="58"/>
      <c r="J2160" s="58" t="s">
        <v>2103</v>
      </c>
      <c r="K2160" s="58" t="s">
        <v>2104</v>
      </c>
      <c r="L2160" s="58" t="s">
        <v>1077</v>
      </c>
      <c r="M2160" s="94">
        <v>53.25</v>
      </c>
      <c r="N2160" s="94">
        <v>13.25</v>
      </c>
      <c r="O2160" s="94">
        <v>44</v>
      </c>
      <c r="P2160" s="58">
        <v>8.9</v>
      </c>
      <c r="Q2160" s="58"/>
      <c r="R2160" s="58">
        <v>495</v>
      </c>
      <c r="S2160" s="94"/>
      <c r="T2160" s="58"/>
      <c r="U2160" s="58">
        <v>5</v>
      </c>
      <c r="V2160" s="58">
        <v>10</v>
      </c>
      <c r="W2160" s="174"/>
      <c r="X2160" s="174"/>
      <c r="Y2160" s="58"/>
      <c r="Z2160" s="59" t="s">
        <v>1346</v>
      </c>
      <c r="AA2160" s="94">
        <v>20</v>
      </c>
      <c r="AB2160" s="67"/>
      <c r="AC2160" s="67"/>
      <c r="AD2160" s="94">
        <v>1.5166539999999999</v>
      </c>
      <c r="AE2160" s="92">
        <f>(72+87)/2</f>
        <v>79.5</v>
      </c>
      <c r="AF2160" s="92">
        <f>(10+25)/2</f>
        <v>17.5</v>
      </c>
      <c r="AG2160" s="92"/>
      <c r="AH2160" s="58" t="s">
        <v>174</v>
      </c>
      <c r="AI2160" s="169"/>
      <c r="AJ2160" s="94"/>
      <c r="AK2160" s="94"/>
      <c r="AL2160" s="58"/>
      <c r="AM2160" s="58" t="s">
        <v>2105</v>
      </c>
      <c r="AN2160" s="186" t="s">
        <v>2201</v>
      </c>
      <c r="AO2160" s="185" t="s">
        <v>5150</v>
      </c>
      <c r="AP2160" s="58"/>
      <c r="AQ2160" s="58" t="s">
        <v>1097</v>
      </c>
      <c r="AR2160" s="58" t="s">
        <v>2202</v>
      </c>
      <c r="AS2160" s="58" t="s">
        <v>1580</v>
      </c>
      <c r="AT2160" s="182"/>
      <c r="AU2160" s="181" t="s">
        <v>7494</v>
      </c>
      <c r="AV2160" s="185" t="s">
        <v>176</v>
      </c>
      <c r="AW2160" s="58"/>
      <c r="AX2160" s="185" t="s">
        <v>176</v>
      </c>
      <c r="AY2160" s="58"/>
      <c r="AZ2160" s="59" t="s">
        <v>2091</v>
      </c>
      <c r="BA2160" s="59" t="s">
        <v>2091</v>
      </c>
      <c r="BB2160" s="59"/>
      <c r="BC2160" s="59"/>
      <c r="BD2160" s="58"/>
      <c r="BE2160" s="236" t="s">
        <v>2020</v>
      </c>
      <c r="BF2160" s="58"/>
      <c r="BG2160" s="58" t="s">
        <v>176</v>
      </c>
      <c r="BH2160" s="236"/>
      <c r="BI2160" s="58"/>
      <c r="BJ2160" s="58"/>
      <c r="BK2160" s="58" t="s">
        <v>5976</v>
      </c>
      <c r="BL2160" s="58"/>
      <c r="BM2160" s="237" t="s">
        <v>160</v>
      </c>
      <c r="BN2160" s="58"/>
      <c r="BO2160" s="58"/>
      <c r="BP2160" s="58"/>
      <c r="BQ2160" s="58"/>
      <c r="BR2160" s="58"/>
      <c r="BS2160" s="58"/>
      <c r="BT2160" s="58"/>
      <c r="BU2160" s="58"/>
      <c r="BV2160" s="58"/>
      <c r="BW2160" s="67"/>
      <c r="BX2160" s="67"/>
      <c r="BY2160" s="67"/>
      <c r="BZ2160" s="67"/>
      <c r="CA2160" s="67"/>
      <c r="CB2160" s="68"/>
      <c r="CC2160" s="68"/>
      <c r="CD2160" s="68"/>
      <c r="CE2160" s="67"/>
      <c r="CF2160" s="67"/>
      <c r="CG2160" s="67"/>
      <c r="CH2160" s="94">
        <v>1.5166539999999999</v>
      </c>
      <c r="CI2160" s="94">
        <v>1.502734</v>
      </c>
      <c r="CJ2160" s="67"/>
      <c r="CK2160" s="67"/>
      <c r="CL2160" s="67"/>
      <c r="CM2160" s="67">
        <f>(CR2160*1000000)/(100*100*AD2160*AA2160/100*1000000)*100</f>
        <v>0.52414478582458479</v>
      </c>
      <c r="CN2160" s="67">
        <f>(CS2160*1000000)/(100*100*AD2160*AA2160/100*1000000)*100</f>
        <v>0.60341053793416299</v>
      </c>
      <c r="CO2160" s="67"/>
      <c r="CP2160" s="67"/>
      <c r="CQ2160" s="67"/>
      <c r="CR2160" s="67">
        <v>15.898925719999999</v>
      </c>
      <c r="CS2160" s="67">
        <v>18.303300119999999</v>
      </c>
      <c r="CT2160" s="67"/>
      <c r="CU2160" s="67"/>
      <c r="CV2160" s="67" t="s">
        <v>2052</v>
      </c>
      <c r="CW2160" s="67"/>
      <c r="CX2160" s="67"/>
      <c r="CY2160" s="67"/>
      <c r="CZ2160" s="67"/>
      <c r="DA2160" s="67" t="s">
        <v>4463</v>
      </c>
      <c r="DB2160" s="67"/>
      <c r="DC2160" s="67"/>
      <c r="DD2160" s="67"/>
      <c r="DE2160" s="67"/>
      <c r="DF2160" s="67"/>
      <c r="DG2160" s="67"/>
      <c r="DH2160" s="67"/>
      <c r="DI2160" s="67"/>
      <c r="DJ2160" s="67"/>
      <c r="DK2160" s="67"/>
      <c r="DL2160" s="67"/>
      <c r="DM2160" s="67"/>
      <c r="DN2160" s="67"/>
      <c r="DO2160" s="67"/>
      <c r="DP2160" s="67"/>
      <c r="DQ2160" s="166"/>
      <c r="DR2160" s="166"/>
      <c r="DS2160" s="163"/>
      <c r="DT2160" s="163"/>
      <c r="DU2160" s="67"/>
      <c r="DV2160" s="67"/>
      <c r="DW2160" s="67"/>
      <c r="DX2160" s="67"/>
      <c r="DY2160" s="67"/>
      <c r="DZ2160" s="67"/>
      <c r="EA2160" s="67"/>
      <c r="EB2160" s="67"/>
      <c r="EC2160" s="67"/>
      <c r="ED2160" s="67"/>
      <c r="EE2160" s="67"/>
      <c r="EF2160" s="67"/>
      <c r="EG2160" s="67"/>
      <c r="EH2160" s="67"/>
      <c r="EI2160" s="67"/>
      <c r="EJ2160" s="67"/>
      <c r="EK2160" s="94"/>
      <c r="EL2160" s="94"/>
      <c r="EM2160" s="67"/>
      <c r="EN2160" s="67"/>
      <c r="EO2160" s="67"/>
      <c r="EP2160" s="67"/>
      <c r="EQ2160" s="67"/>
      <c r="ER2160" s="67"/>
      <c r="ES2160" s="67"/>
      <c r="ET2160" s="67"/>
      <c r="EU2160" s="67"/>
      <c r="EV2160" s="67"/>
      <c r="EW2160" s="67"/>
      <c r="EX2160" s="67"/>
      <c r="EY2160" s="67"/>
      <c r="EZ2160" s="67"/>
      <c r="FA2160" s="67"/>
      <c r="FB2160" s="67"/>
      <c r="FC2160" s="67"/>
      <c r="FD2160" s="67"/>
      <c r="FE2160" s="67"/>
      <c r="FF2160" s="67"/>
      <c r="FG2160" s="67"/>
      <c r="FH2160" s="67"/>
      <c r="FI2160" s="67"/>
      <c r="FJ2160" s="67"/>
      <c r="FK2160" s="67"/>
      <c r="FL2160" s="67"/>
      <c r="FM2160" s="67"/>
      <c r="FN2160" s="67"/>
      <c r="FO2160" s="67"/>
      <c r="FP2160" s="67"/>
      <c r="FQ2160" s="67"/>
      <c r="FR2160" s="67"/>
      <c r="FS2160" s="67"/>
      <c r="FT2160" s="67"/>
      <c r="FU2160" s="67"/>
      <c r="FV2160" s="67"/>
      <c r="FW2160" s="67"/>
      <c r="FX2160" s="67"/>
      <c r="FY2160" s="67"/>
      <c r="FZ2160" s="67"/>
      <c r="GA2160" s="67"/>
      <c r="GB2160" s="67"/>
      <c r="GC2160" s="67"/>
      <c r="GD2160" s="67"/>
      <c r="GE2160" s="67"/>
      <c r="GF2160" s="67"/>
      <c r="GG2160" s="67"/>
      <c r="GH2160" s="67"/>
      <c r="GI2160" s="67"/>
      <c r="GJ2160" s="67"/>
      <c r="GK2160" s="67"/>
      <c r="GL2160" s="67"/>
      <c r="GM2160" s="67"/>
      <c r="GN2160" s="292"/>
      <c r="GO2160" s="292"/>
      <c r="GP2160" s="292" t="s">
        <v>7494</v>
      </c>
      <c r="GQ2160" s="67"/>
      <c r="GR2160" s="67"/>
      <c r="GS2160" s="67"/>
      <c r="GT2160" s="67"/>
      <c r="GU2160" s="67"/>
      <c r="GV2160" s="67"/>
      <c r="GW2160" s="67"/>
      <c r="GX2160" s="67"/>
      <c r="GY2160" s="67"/>
      <c r="GZ2160" s="67"/>
      <c r="HA2160" s="67"/>
      <c r="HB2160" s="67"/>
      <c r="HC2160" s="67"/>
      <c r="HD2160" s="67"/>
      <c r="HE2160" s="67"/>
      <c r="HF2160" s="67"/>
      <c r="HG2160" s="67"/>
      <c r="HH2160" s="67"/>
      <c r="HI2160" s="67"/>
      <c r="HJ2160" s="67"/>
      <c r="HK2160" s="67"/>
      <c r="HL2160" s="67"/>
      <c r="HM2160" s="67"/>
      <c r="HN2160" s="67"/>
      <c r="HO2160" s="67"/>
      <c r="HP2160" s="67"/>
      <c r="HQ2160" s="67"/>
      <c r="HR2160" s="67"/>
      <c r="HS2160" s="67"/>
      <c r="HT2160" s="67"/>
      <c r="HU2160" s="67"/>
      <c r="HV2160" s="67"/>
      <c r="HW2160" s="67"/>
      <c r="HX2160" s="67"/>
      <c r="HY2160" s="67"/>
      <c r="HZ2160" s="67"/>
      <c r="IA2160" s="67"/>
      <c r="IB2160" s="67"/>
      <c r="IC2160" s="67"/>
      <c r="ID2160" s="67"/>
      <c r="IE2160" s="67"/>
      <c r="IF2160" s="67"/>
      <c r="IG2160" s="67"/>
      <c r="IH2160" s="67"/>
      <c r="II2160" s="67"/>
      <c r="IJ2160" s="67"/>
      <c r="IK2160" s="67"/>
      <c r="IL2160" s="67"/>
      <c r="IM2160" s="67"/>
      <c r="IN2160" s="67"/>
      <c r="IO2160" s="67"/>
      <c r="IP2160" s="67"/>
      <c r="IQ2160" s="67"/>
      <c r="IR2160" s="67"/>
      <c r="IS2160" s="67"/>
      <c r="IT2160" s="67"/>
      <c r="IU2160" s="67"/>
      <c r="IV2160" s="67"/>
      <c r="IW2160" s="67"/>
      <c r="IX2160" s="67"/>
      <c r="IY2160" s="67"/>
      <c r="IZ2160" s="67"/>
      <c r="JA2160" s="67"/>
      <c r="JB2160" s="67"/>
      <c r="JC2160" s="67"/>
      <c r="JD2160" s="67"/>
      <c r="JE2160" s="67"/>
      <c r="JF2160" s="67"/>
      <c r="JG2160" s="67"/>
      <c r="JH2160" s="67"/>
      <c r="JI2160" s="67"/>
      <c r="JJ2160" s="67"/>
      <c r="JK2160" s="67"/>
      <c r="JL2160" s="67"/>
      <c r="JM2160" s="67"/>
      <c r="JN2160" s="67"/>
      <c r="JO2160" s="67"/>
      <c r="JP2160" s="67"/>
      <c r="JQ2160" s="67"/>
      <c r="JR2160" s="67"/>
      <c r="JS2160" s="67"/>
      <c r="JT2160" s="67"/>
      <c r="JU2160" s="58"/>
      <c r="JV2160" s="58"/>
      <c r="JW2160" s="58"/>
    </row>
    <row r="2161" spans="1:283" s="23" customFormat="1" x14ac:dyDescent="0.25">
      <c r="A2161" s="55">
        <v>2160</v>
      </c>
      <c r="B2161" s="12" t="s">
        <v>7067</v>
      </c>
      <c r="C2161" s="156">
        <v>99</v>
      </c>
      <c r="D2161" s="58" t="s">
        <v>4145</v>
      </c>
      <c r="E2161" s="94" t="s">
        <v>2102</v>
      </c>
      <c r="F2161" s="94"/>
      <c r="G2161" s="58"/>
      <c r="H2161" s="58">
        <v>2008</v>
      </c>
      <c r="I2161" s="58"/>
      <c r="J2161" s="58" t="s">
        <v>2103</v>
      </c>
      <c r="K2161" s="58" t="s">
        <v>2104</v>
      </c>
      <c r="L2161" s="58" t="s">
        <v>1077</v>
      </c>
      <c r="M2161" s="94">
        <v>53.25</v>
      </c>
      <c r="N2161" s="94">
        <v>13.25</v>
      </c>
      <c r="O2161" s="94">
        <v>44</v>
      </c>
      <c r="P2161" s="58">
        <v>8.9</v>
      </c>
      <c r="Q2161" s="58"/>
      <c r="R2161" s="58">
        <v>495</v>
      </c>
      <c r="S2161" s="94"/>
      <c r="T2161" s="58"/>
      <c r="U2161" s="58">
        <v>5</v>
      </c>
      <c r="V2161" s="58">
        <v>10</v>
      </c>
      <c r="W2161" s="174"/>
      <c r="X2161" s="174"/>
      <c r="Y2161" s="58"/>
      <c r="Z2161" s="59" t="s">
        <v>1346</v>
      </c>
      <c r="AA2161" s="94">
        <v>20</v>
      </c>
      <c r="AB2161" s="67"/>
      <c r="AC2161" s="67"/>
      <c r="AD2161" s="94">
        <v>1.540144</v>
      </c>
      <c r="AE2161" s="92">
        <f>(72+87)/2</f>
        <v>79.5</v>
      </c>
      <c r="AF2161" s="92">
        <f>(10+25)/2</f>
        <v>17.5</v>
      </c>
      <c r="AG2161" s="92"/>
      <c r="AH2161" s="58" t="s">
        <v>174</v>
      </c>
      <c r="AI2161" s="169"/>
      <c r="AJ2161" s="94"/>
      <c r="AK2161" s="94"/>
      <c r="AL2161" s="58"/>
      <c r="AM2161" s="58" t="s">
        <v>2105</v>
      </c>
      <c r="AN2161" s="186" t="s">
        <v>2201</v>
      </c>
      <c r="AO2161" s="185" t="s">
        <v>5150</v>
      </c>
      <c r="AP2161" s="58"/>
      <c r="AQ2161" s="58" t="s">
        <v>1097</v>
      </c>
      <c r="AR2161" s="58" t="s">
        <v>2202</v>
      </c>
      <c r="AS2161" s="58" t="s">
        <v>1580</v>
      </c>
      <c r="AT2161" s="182"/>
      <c r="AU2161" s="181" t="s">
        <v>7494</v>
      </c>
      <c r="AV2161" s="185" t="s">
        <v>176</v>
      </c>
      <c r="AW2161" s="58"/>
      <c r="AX2161" s="185" t="s">
        <v>176</v>
      </c>
      <c r="AY2161" s="58"/>
      <c r="AZ2161" s="59" t="s">
        <v>2091</v>
      </c>
      <c r="BA2161" s="59" t="s">
        <v>2091</v>
      </c>
      <c r="BB2161" s="59"/>
      <c r="BC2161" s="59"/>
      <c r="BD2161" s="58"/>
      <c r="BE2161" s="236" t="s">
        <v>2106</v>
      </c>
      <c r="BF2161" s="58"/>
      <c r="BG2161" s="191" t="s">
        <v>479</v>
      </c>
      <c r="BH2161" s="236"/>
      <c r="BI2161" s="58"/>
      <c r="BJ2161" s="58"/>
      <c r="BK2161" s="58" t="s">
        <v>5976</v>
      </c>
      <c r="BL2161" s="58"/>
      <c r="BM2161" s="237" t="s">
        <v>160</v>
      </c>
      <c r="BN2161" s="58"/>
      <c r="BO2161" s="58"/>
      <c r="BP2161" s="58"/>
      <c r="BQ2161" s="58"/>
      <c r="BR2161" s="58"/>
      <c r="BS2161" s="58"/>
      <c r="BT2161" s="58"/>
      <c r="BU2161" s="58"/>
      <c r="BV2161" s="58"/>
      <c r="BW2161" s="67"/>
      <c r="BX2161" s="67"/>
      <c r="BY2161" s="67"/>
      <c r="BZ2161" s="67"/>
      <c r="CA2161" s="67"/>
      <c r="CB2161" s="68"/>
      <c r="CC2161" s="68"/>
      <c r="CD2161" s="68"/>
      <c r="CE2161" s="67"/>
      <c r="CF2161" s="67"/>
      <c r="CG2161" s="67"/>
      <c r="CH2161" s="94">
        <v>1.540144</v>
      </c>
      <c r="CI2161" s="94">
        <v>1.52257</v>
      </c>
      <c r="CJ2161" s="67"/>
      <c r="CK2161" s="67"/>
      <c r="CL2161" s="67"/>
      <c r="CM2161" s="67">
        <f>(CR2161*1000000)/(100*100*AD2161*AA2161/100*1000000)*100</f>
        <v>0.38950421519026796</v>
      </c>
      <c r="CN2161" s="67">
        <f>(CS2161*1000000)/(100*100*AD2161*AA2161/100*1000000)*100</f>
        <v>0.48935174243447371</v>
      </c>
      <c r="CO2161" s="67"/>
      <c r="CP2161" s="67"/>
      <c r="CQ2161" s="67"/>
      <c r="CR2161" s="67">
        <v>11.997851600000001</v>
      </c>
      <c r="CS2161" s="67">
        <v>15.073443000000001</v>
      </c>
      <c r="CT2161" s="67"/>
      <c r="CU2161" s="67"/>
      <c r="CV2161" s="67" t="s">
        <v>2052</v>
      </c>
      <c r="CW2161" s="67"/>
      <c r="CX2161" s="67"/>
      <c r="CY2161" s="67"/>
      <c r="CZ2161" s="67"/>
      <c r="DA2161" s="67" t="s">
        <v>4463</v>
      </c>
      <c r="DB2161" s="67"/>
      <c r="DC2161" s="67"/>
      <c r="DD2161" s="67"/>
      <c r="DE2161" s="67"/>
      <c r="DF2161" s="67"/>
      <c r="DG2161" s="67"/>
      <c r="DH2161" s="67"/>
      <c r="DI2161" s="67"/>
      <c r="DJ2161" s="67"/>
      <c r="DK2161" s="67"/>
      <c r="DL2161" s="67"/>
      <c r="DM2161" s="67"/>
      <c r="DN2161" s="67"/>
      <c r="DO2161" s="67"/>
      <c r="DP2161" s="67"/>
      <c r="DQ2161" s="166"/>
      <c r="DR2161" s="166"/>
      <c r="DS2161" s="163"/>
      <c r="DT2161" s="163"/>
      <c r="DU2161" s="67"/>
      <c r="DV2161" s="67"/>
      <c r="DW2161" s="67"/>
      <c r="DX2161" s="67"/>
      <c r="DY2161" s="67"/>
      <c r="DZ2161" s="67"/>
      <c r="EA2161" s="67"/>
      <c r="EB2161" s="67"/>
      <c r="EC2161" s="67"/>
      <c r="ED2161" s="67"/>
      <c r="EE2161" s="67"/>
      <c r="EF2161" s="67"/>
      <c r="EG2161" s="67"/>
      <c r="EH2161" s="67"/>
      <c r="EI2161" s="67"/>
      <c r="EJ2161" s="67"/>
      <c r="EK2161" s="94"/>
      <c r="EL2161" s="94"/>
      <c r="EM2161" s="67"/>
      <c r="EN2161" s="67"/>
      <c r="EO2161" s="67"/>
      <c r="EP2161" s="67"/>
      <c r="EQ2161" s="67"/>
      <c r="ER2161" s="67"/>
      <c r="ES2161" s="67"/>
      <c r="ET2161" s="67"/>
      <c r="EU2161" s="67"/>
      <c r="EV2161" s="67"/>
      <c r="EW2161" s="67"/>
      <c r="EX2161" s="67"/>
      <c r="EY2161" s="67"/>
      <c r="EZ2161" s="67"/>
      <c r="FA2161" s="67"/>
      <c r="FB2161" s="67"/>
      <c r="FC2161" s="67"/>
      <c r="FD2161" s="67"/>
      <c r="FE2161" s="67"/>
      <c r="FF2161" s="67"/>
      <c r="FG2161" s="67"/>
      <c r="FH2161" s="67"/>
      <c r="FI2161" s="67"/>
      <c r="FJ2161" s="67"/>
      <c r="FK2161" s="67"/>
      <c r="FL2161" s="67"/>
      <c r="FM2161" s="67"/>
      <c r="FN2161" s="67"/>
      <c r="FO2161" s="67"/>
      <c r="FP2161" s="67"/>
      <c r="FQ2161" s="67"/>
      <c r="FR2161" s="67"/>
      <c r="FS2161" s="67"/>
      <c r="FT2161" s="67"/>
      <c r="FU2161" s="67"/>
      <c r="FV2161" s="67"/>
      <c r="FW2161" s="67"/>
      <c r="FX2161" s="67"/>
      <c r="FY2161" s="67"/>
      <c r="FZ2161" s="67"/>
      <c r="GA2161" s="67"/>
      <c r="GB2161" s="67"/>
      <c r="GC2161" s="67"/>
      <c r="GD2161" s="67"/>
      <c r="GE2161" s="67"/>
      <c r="GF2161" s="67"/>
      <c r="GG2161" s="67"/>
      <c r="GH2161" s="67"/>
      <c r="GI2161" s="67"/>
      <c r="GJ2161" s="67"/>
      <c r="GK2161" s="67"/>
      <c r="GL2161" s="67"/>
      <c r="GM2161" s="67"/>
      <c r="GN2161" s="292"/>
      <c r="GO2161" s="292"/>
      <c r="GP2161" s="292" t="s">
        <v>7494</v>
      </c>
      <c r="GQ2161" s="67"/>
      <c r="GR2161" s="67"/>
      <c r="GS2161" s="67"/>
      <c r="GT2161" s="67"/>
      <c r="GU2161" s="67"/>
      <c r="GV2161" s="67"/>
      <c r="GW2161" s="67"/>
      <c r="GX2161" s="67"/>
      <c r="GY2161" s="67"/>
      <c r="GZ2161" s="67"/>
      <c r="HA2161" s="67"/>
      <c r="HB2161" s="67"/>
      <c r="HC2161" s="67"/>
      <c r="HD2161" s="67"/>
      <c r="HE2161" s="67"/>
      <c r="HF2161" s="67"/>
      <c r="HG2161" s="67"/>
      <c r="HH2161" s="67"/>
      <c r="HI2161" s="67"/>
      <c r="HJ2161" s="67"/>
      <c r="HK2161" s="67"/>
      <c r="HL2161" s="67"/>
      <c r="HM2161" s="67"/>
      <c r="HN2161" s="67"/>
      <c r="HO2161" s="67"/>
      <c r="HP2161" s="67"/>
      <c r="HQ2161" s="67"/>
      <c r="HR2161" s="67"/>
      <c r="HS2161" s="67"/>
      <c r="HT2161" s="67"/>
      <c r="HU2161" s="67"/>
      <c r="HV2161" s="67"/>
      <c r="HW2161" s="67"/>
      <c r="HX2161" s="67"/>
      <c r="HY2161" s="67"/>
      <c r="HZ2161" s="67"/>
      <c r="IA2161" s="67"/>
      <c r="IB2161" s="67"/>
      <c r="IC2161" s="67"/>
      <c r="ID2161" s="67"/>
      <c r="IE2161" s="67"/>
      <c r="IF2161" s="67"/>
      <c r="IG2161" s="67"/>
      <c r="IH2161" s="67"/>
      <c r="II2161" s="67"/>
      <c r="IJ2161" s="67"/>
      <c r="IK2161" s="67"/>
      <c r="IL2161" s="67"/>
      <c r="IM2161" s="67"/>
      <c r="IN2161" s="67"/>
      <c r="IO2161" s="67"/>
      <c r="IP2161" s="67"/>
      <c r="IQ2161" s="67"/>
      <c r="IR2161" s="67"/>
      <c r="IS2161" s="67"/>
      <c r="IT2161" s="67"/>
      <c r="IU2161" s="67"/>
      <c r="IV2161" s="67"/>
      <c r="IW2161" s="67"/>
      <c r="IX2161" s="67"/>
      <c r="IY2161" s="67"/>
      <c r="IZ2161" s="67"/>
      <c r="JA2161" s="67"/>
      <c r="JB2161" s="67"/>
      <c r="JC2161" s="67"/>
      <c r="JD2161" s="67"/>
      <c r="JE2161" s="67"/>
      <c r="JF2161" s="67"/>
      <c r="JG2161" s="67"/>
      <c r="JH2161" s="67"/>
      <c r="JI2161" s="67"/>
      <c r="JJ2161" s="67"/>
      <c r="JK2161" s="67"/>
      <c r="JL2161" s="67"/>
      <c r="JM2161" s="67"/>
      <c r="JN2161" s="67"/>
      <c r="JO2161" s="67"/>
      <c r="JP2161" s="67"/>
      <c r="JQ2161" s="67"/>
      <c r="JR2161" s="67"/>
      <c r="JS2161" s="67"/>
      <c r="JT2161" s="67"/>
      <c r="JU2161" s="58"/>
      <c r="JV2161" s="58"/>
      <c r="JW2161" s="58"/>
    </row>
    <row r="2162" spans="1:283" s="23" customFormat="1" x14ac:dyDescent="0.25">
      <c r="A2162" s="55">
        <v>2161</v>
      </c>
      <c r="B2162" s="12" t="s">
        <v>7067</v>
      </c>
      <c r="C2162" s="156">
        <v>99</v>
      </c>
      <c r="D2162" s="58" t="s">
        <v>4145</v>
      </c>
      <c r="E2162" s="94" t="s">
        <v>2102</v>
      </c>
      <c r="F2162" s="94"/>
      <c r="G2162" s="58"/>
      <c r="H2162" s="58">
        <v>2008</v>
      </c>
      <c r="I2162" s="58"/>
      <c r="J2162" s="58" t="s">
        <v>2103</v>
      </c>
      <c r="K2162" s="58" t="s">
        <v>2104</v>
      </c>
      <c r="L2162" s="58" t="s">
        <v>1077</v>
      </c>
      <c r="M2162" s="94">
        <v>53.25</v>
      </c>
      <c r="N2162" s="94">
        <v>13.25</v>
      </c>
      <c r="O2162" s="94">
        <v>44</v>
      </c>
      <c r="P2162" s="58">
        <v>8.9</v>
      </c>
      <c r="Q2162" s="58"/>
      <c r="R2162" s="58">
        <v>495</v>
      </c>
      <c r="S2162" s="94"/>
      <c r="T2162" s="58"/>
      <c r="U2162" s="58">
        <v>5</v>
      </c>
      <c r="V2162" s="58">
        <v>10</v>
      </c>
      <c r="W2162" s="174"/>
      <c r="X2162" s="174"/>
      <c r="Y2162" s="58"/>
      <c r="Z2162" s="59" t="s">
        <v>1346</v>
      </c>
      <c r="AA2162" s="94">
        <v>20</v>
      </c>
      <c r="AB2162" s="67"/>
      <c r="AC2162" s="67"/>
      <c r="AD2162" s="94">
        <v>1.50169</v>
      </c>
      <c r="AE2162" s="92">
        <f>(72+87)/2</f>
        <v>79.5</v>
      </c>
      <c r="AF2162" s="92">
        <f>(10+25)/2</f>
        <v>17.5</v>
      </c>
      <c r="AG2162" s="92"/>
      <c r="AH2162" s="58" t="s">
        <v>174</v>
      </c>
      <c r="AI2162" s="169"/>
      <c r="AJ2162" s="94"/>
      <c r="AK2162" s="94"/>
      <c r="AL2162" s="58"/>
      <c r="AM2162" s="58" t="s">
        <v>2105</v>
      </c>
      <c r="AN2162" s="186" t="s">
        <v>2201</v>
      </c>
      <c r="AO2162" s="185" t="s">
        <v>5150</v>
      </c>
      <c r="AP2162" s="58"/>
      <c r="AQ2162" s="58" t="s">
        <v>1097</v>
      </c>
      <c r="AR2162" s="58" t="s">
        <v>2202</v>
      </c>
      <c r="AS2162" s="58" t="s">
        <v>1580</v>
      </c>
      <c r="AT2162" s="182"/>
      <c r="AU2162" s="181" t="s">
        <v>7494</v>
      </c>
      <c r="AV2162" s="185" t="s">
        <v>176</v>
      </c>
      <c r="AW2162" s="58"/>
      <c r="AX2162" s="185" t="s">
        <v>176</v>
      </c>
      <c r="AY2162" s="58"/>
      <c r="AZ2162" s="59" t="s">
        <v>2091</v>
      </c>
      <c r="BA2162" s="59" t="s">
        <v>2091</v>
      </c>
      <c r="BB2162" s="59"/>
      <c r="BC2162" s="59"/>
      <c r="BD2162" s="58"/>
      <c r="BE2162" s="236" t="s">
        <v>2106</v>
      </c>
      <c r="BF2162" s="58"/>
      <c r="BG2162" s="191" t="s">
        <v>479</v>
      </c>
      <c r="BH2162" s="236"/>
      <c r="BI2162" s="58"/>
      <c r="BJ2162" s="58"/>
      <c r="BK2162" s="58" t="s">
        <v>5976</v>
      </c>
      <c r="BL2162" s="58"/>
      <c r="BM2162" s="237" t="s">
        <v>160</v>
      </c>
      <c r="BN2162" s="58"/>
      <c r="BO2162" s="58"/>
      <c r="BP2162" s="58"/>
      <c r="BQ2162" s="58"/>
      <c r="BR2162" s="58"/>
      <c r="BS2162" s="58"/>
      <c r="BT2162" s="58"/>
      <c r="BU2162" s="58"/>
      <c r="BV2162" s="58"/>
      <c r="BW2162" s="67"/>
      <c r="BX2162" s="67"/>
      <c r="BY2162" s="67"/>
      <c r="BZ2162" s="67"/>
      <c r="CA2162" s="67"/>
      <c r="CB2162" s="68"/>
      <c r="CC2162" s="68"/>
      <c r="CD2162" s="68"/>
      <c r="CE2162" s="67"/>
      <c r="CF2162" s="67"/>
      <c r="CG2162" s="67"/>
      <c r="CH2162" s="94">
        <v>1.50169</v>
      </c>
      <c r="CI2162" s="94">
        <v>1.4888140000000001</v>
      </c>
      <c r="CJ2162" s="67"/>
      <c r="CK2162" s="67"/>
      <c r="CL2162" s="67"/>
      <c r="CM2162" s="67">
        <f>(CR2162*1000000)/(100*100*AD2162*AA2162/100*1000000)*100</f>
        <v>0.60972678115989309</v>
      </c>
      <c r="CN2162" s="67">
        <f>(CS2162*1000000)/(100*100*AD2162*AA2162/100*1000000)*100</f>
        <v>0.68309228003116484</v>
      </c>
      <c r="CO2162" s="67"/>
      <c r="CP2162" s="67"/>
      <c r="CQ2162" s="67"/>
      <c r="CR2162" s="67">
        <v>18.312412200000001</v>
      </c>
      <c r="CS2162" s="67">
        <v>20.515856919999997</v>
      </c>
      <c r="CT2162" s="67"/>
      <c r="CU2162" s="67"/>
      <c r="CV2162" s="67" t="s">
        <v>2052</v>
      </c>
      <c r="CW2162" s="67"/>
      <c r="CX2162" s="67"/>
      <c r="CY2162" s="67"/>
      <c r="CZ2162" s="67"/>
      <c r="DA2162" s="67" t="s">
        <v>4463</v>
      </c>
      <c r="DB2162" s="67"/>
      <c r="DC2162" s="67"/>
      <c r="DD2162" s="67"/>
      <c r="DE2162" s="67"/>
      <c r="DF2162" s="67"/>
      <c r="DG2162" s="67"/>
      <c r="DH2162" s="67"/>
      <c r="DI2162" s="67"/>
      <c r="DJ2162" s="67"/>
      <c r="DK2162" s="67"/>
      <c r="DL2162" s="67"/>
      <c r="DM2162" s="67"/>
      <c r="DN2162" s="67"/>
      <c r="DO2162" s="67"/>
      <c r="DP2162" s="67"/>
      <c r="DQ2162" s="166"/>
      <c r="DR2162" s="166"/>
      <c r="DS2162" s="163"/>
      <c r="DT2162" s="163"/>
      <c r="DU2162" s="67"/>
      <c r="DV2162" s="67"/>
      <c r="DW2162" s="67"/>
      <c r="DX2162" s="67"/>
      <c r="DY2162" s="67"/>
      <c r="DZ2162" s="67"/>
      <c r="EA2162" s="67"/>
      <c r="EB2162" s="67"/>
      <c r="EC2162" s="67"/>
      <c r="ED2162" s="67"/>
      <c r="EE2162" s="67"/>
      <c r="EF2162" s="67"/>
      <c r="EG2162" s="67"/>
      <c r="EH2162" s="67"/>
      <c r="EI2162" s="67"/>
      <c r="EJ2162" s="67"/>
      <c r="EK2162" s="94"/>
      <c r="EL2162" s="94"/>
      <c r="EM2162" s="67"/>
      <c r="EN2162" s="67"/>
      <c r="EO2162" s="67"/>
      <c r="EP2162" s="67"/>
      <c r="EQ2162" s="67"/>
      <c r="ER2162" s="67"/>
      <c r="ES2162" s="67"/>
      <c r="ET2162" s="67"/>
      <c r="EU2162" s="67"/>
      <c r="EV2162" s="67"/>
      <c r="EW2162" s="67"/>
      <c r="EX2162" s="67"/>
      <c r="EY2162" s="67"/>
      <c r="EZ2162" s="67"/>
      <c r="FA2162" s="67"/>
      <c r="FB2162" s="67"/>
      <c r="FC2162" s="67"/>
      <c r="FD2162" s="67"/>
      <c r="FE2162" s="67"/>
      <c r="FF2162" s="67"/>
      <c r="FG2162" s="67"/>
      <c r="FH2162" s="67"/>
      <c r="FI2162" s="67"/>
      <c r="FJ2162" s="67"/>
      <c r="FK2162" s="67"/>
      <c r="FL2162" s="67"/>
      <c r="FM2162" s="67"/>
      <c r="FN2162" s="67"/>
      <c r="FO2162" s="67"/>
      <c r="FP2162" s="67"/>
      <c r="FQ2162" s="67"/>
      <c r="FR2162" s="67"/>
      <c r="FS2162" s="67"/>
      <c r="FT2162" s="67"/>
      <c r="FU2162" s="67"/>
      <c r="FV2162" s="67"/>
      <c r="FW2162" s="67"/>
      <c r="FX2162" s="67"/>
      <c r="FY2162" s="67"/>
      <c r="FZ2162" s="67"/>
      <c r="GA2162" s="67"/>
      <c r="GB2162" s="67"/>
      <c r="GC2162" s="67"/>
      <c r="GD2162" s="67"/>
      <c r="GE2162" s="67"/>
      <c r="GF2162" s="67"/>
      <c r="GG2162" s="67"/>
      <c r="GH2162" s="67"/>
      <c r="GI2162" s="67"/>
      <c r="GJ2162" s="67"/>
      <c r="GK2162" s="67"/>
      <c r="GL2162" s="67"/>
      <c r="GM2162" s="67"/>
      <c r="GN2162" s="292"/>
      <c r="GO2162" s="292"/>
      <c r="GP2162" s="292" t="s">
        <v>7494</v>
      </c>
      <c r="GQ2162" s="67"/>
      <c r="GR2162" s="67"/>
      <c r="GS2162" s="67"/>
      <c r="GT2162" s="67"/>
      <c r="GU2162" s="67"/>
      <c r="GV2162" s="67"/>
      <c r="GW2162" s="67"/>
      <c r="GX2162" s="67"/>
      <c r="GY2162" s="67"/>
      <c r="GZ2162" s="67"/>
      <c r="HA2162" s="67"/>
      <c r="HB2162" s="67"/>
      <c r="HC2162" s="67"/>
      <c r="HD2162" s="67"/>
      <c r="HE2162" s="67"/>
      <c r="HF2162" s="67"/>
      <c r="HG2162" s="67"/>
      <c r="HH2162" s="67"/>
      <c r="HI2162" s="67"/>
      <c r="HJ2162" s="67"/>
      <c r="HK2162" s="67"/>
      <c r="HL2162" s="67"/>
      <c r="HM2162" s="67"/>
      <c r="HN2162" s="67"/>
      <c r="HO2162" s="67"/>
      <c r="HP2162" s="67"/>
      <c r="HQ2162" s="67"/>
      <c r="HR2162" s="67"/>
      <c r="HS2162" s="67"/>
      <c r="HT2162" s="67"/>
      <c r="HU2162" s="67"/>
      <c r="HV2162" s="67"/>
      <c r="HW2162" s="67"/>
      <c r="HX2162" s="67"/>
      <c r="HY2162" s="67"/>
      <c r="HZ2162" s="67"/>
      <c r="IA2162" s="67"/>
      <c r="IB2162" s="67"/>
      <c r="IC2162" s="67"/>
      <c r="ID2162" s="67"/>
      <c r="IE2162" s="67"/>
      <c r="IF2162" s="67"/>
      <c r="IG2162" s="67"/>
      <c r="IH2162" s="67"/>
      <c r="II2162" s="67"/>
      <c r="IJ2162" s="67"/>
      <c r="IK2162" s="67"/>
      <c r="IL2162" s="67"/>
      <c r="IM2162" s="67"/>
      <c r="IN2162" s="67"/>
      <c r="IO2162" s="67"/>
      <c r="IP2162" s="67"/>
      <c r="IQ2162" s="67"/>
      <c r="IR2162" s="67"/>
      <c r="IS2162" s="67"/>
      <c r="IT2162" s="67"/>
      <c r="IU2162" s="67"/>
      <c r="IV2162" s="67"/>
      <c r="IW2162" s="67"/>
      <c r="IX2162" s="67"/>
      <c r="IY2162" s="67"/>
      <c r="IZ2162" s="67"/>
      <c r="JA2162" s="67"/>
      <c r="JB2162" s="67"/>
      <c r="JC2162" s="67"/>
      <c r="JD2162" s="67"/>
      <c r="JE2162" s="67"/>
      <c r="JF2162" s="67"/>
      <c r="JG2162" s="67"/>
      <c r="JH2162" s="67"/>
      <c r="JI2162" s="67"/>
      <c r="JJ2162" s="67"/>
      <c r="JK2162" s="67"/>
      <c r="JL2162" s="67"/>
      <c r="JM2162" s="67"/>
      <c r="JN2162" s="67"/>
      <c r="JO2162" s="67"/>
      <c r="JP2162" s="67"/>
      <c r="JQ2162" s="67"/>
      <c r="JR2162" s="67"/>
      <c r="JS2162" s="67"/>
      <c r="JT2162" s="67"/>
      <c r="JU2162" s="58"/>
      <c r="JV2162" s="58"/>
      <c r="JW2162" s="58"/>
    </row>
    <row r="2163" spans="1:283" s="23" customFormat="1" x14ac:dyDescent="0.25">
      <c r="A2163" s="55">
        <v>2162</v>
      </c>
      <c r="B2163" s="12" t="s">
        <v>7067</v>
      </c>
      <c r="C2163" s="156">
        <v>99</v>
      </c>
      <c r="D2163" s="58" t="s">
        <v>4146</v>
      </c>
      <c r="E2163" s="94" t="s">
        <v>2102</v>
      </c>
      <c r="F2163" s="94"/>
      <c r="G2163" s="58"/>
      <c r="H2163" s="58">
        <v>2008</v>
      </c>
      <c r="I2163" s="58"/>
      <c r="J2163" s="58" t="s">
        <v>2103</v>
      </c>
      <c r="K2163" s="58" t="s">
        <v>2104</v>
      </c>
      <c r="L2163" s="58" t="s">
        <v>1077</v>
      </c>
      <c r="M2163" s="94">
        <v>53.25</v>
      </c>
      <c r="N2163" s="94">
        <v>13.25</v>
      </c>
      <c r="O2163" s="94">
        <v>44</v>
      </c>
      <c r="P2163" s="58">
        <v>8.9</v>
      </c>
      <c r="Q2163" s="58"/>
      <c r="R2163" s="58">
        <v>495</v>
      </c>
      <c r="S2163" s="94"/>
      <c r="T2163" s="58"/>
      <c r="U2163" s="58">
        <v>5</v>
      </c>
      <c r="V2163" s="58">
        <v>10</v>
      </c>
      <c r="W2163" s="174"/>
      <c r="X2163" s="174"/>
      <c r="Y2163" s="58"/>
      <c r="Z2163" s="59" t="s">
        <v>1346</v>
      </c>
      <c r="AA2163" s="94">
        <v>20</v>
      </c>
      <c r="AB2163" s="67"/>
      <c r="AC2163" s="67"/>
      <c r="AD2163" s="94">
        <v>1.533358</v>
      </c>
      <c r="AE2163" s="92">
        <f>(72+87)/2</f>
        <v>79.5</v>
      </c>
      <c r="AF2163" s="92">
        <f>(10+25)/2</f>
        <v>17.5</v>
      </c>
      <c r="AG2163" s="92"/>
      <c r="AH2163" s="58" t="s">
        <v>174</v>
      </c>
      <c r="AI2163" s="169"/>
      <c r="AJ2163" s="94"/>
      <c r="AK2163" s="94"/>
      <c r="AL2163" s="58"/>
      <c r="AM2163" s="58" t="s">
        <v>2105</v>
      </c>
      <c r="AN2163" s="186" t="s">
        <v>2201</v>
      </c>
      <c r="AO2163" s="185" t="s">
        <v>5150</v>
      </c>
      <c r="AP2163" s="58"/>
      <c r="AQ2163" s="58" t="s">
        <v>1097</v>
      </c>
      <c r="AR2163" s="58" t="s">
        <v>2202</v>
      </c>
      <c r="AS2163" s="58" t="s">
        <v>1580</v>
      </c>
      <c r="AT2163" s="182"/>
      <c r="AU2163" s="181" t="s">
        <v>7494</v>
      </c>
      <c r="AV2163" s="185" t="s">
        <v>176</v>
      </c>
      <c r="AW2163" s="58"/>
      <c r="AX2163" s="185" t="s">
        <v>176</v>
      </c>
      <c r="AY2163" s="58"/>
      <c r="AZ2163" s="59" t="s">
        <v>2091</v>
      </c>
      <c r="BA2163" s="59" t="s">
        <v>2091</v>
      </c>
      <c r="BB2163" s="59"/>
      <c r="BC2163" s="59"/>
      <c r="BD2163" s="58"/>
      <c r="BE2163" s="236" t="s">
        <v>2107</v>
      </c>
      <c r="BF2163" s="58"/>
      <c r="BG2163" s="191" t="s">
        <v>479</v>
      </c>
      <c r="BH2163" s="236"/>
      <c r="BI2163" s="58"/>
      <c r="BJ2163" s="58"/>
      <c r="BK2163" s="58" t="s">
        <v>5976</v>
      </c>
      <c r="BL2163" s="58"/>
      <c r="BM2163" s="237" t="s">
        <v>160</v>
      </c>
      <c r="BN2163" s="58"/>
      <c r="BO2163" s="58"/>
      <c r="BP2163" s="58"/>
      <c r="BQ2163" s="58"/>
      <c r="BR2163" s="58"/>
      <c r="BS2163" s="58"/>
      <c r="BT2163" s="58"/>
      <c r="BU2163" s="58"/>
      <c r="BV2163" s="58"/>
      <c r="BW2163" s="67"/>
      <c r="BX2163" s="67"/>
      <c r="BY2163" s="67"/>
      <c r="BZ2163" s="67"/>
      <c r="CA2163" s="67"/>
      <c r="CB2163" s="68"/>
      <c r="CC2163" s="68"/>
      <c r="CD2163" s="68"/>
      <c r="CE2163" s="67"/>
      <c r="CF2163" s="67"/>
      <c r="CG2163" s="67"/>
      <c r="CH2163" s="94">
        <v>1.533358</v>
      </c>
      <c r="CI2163" s="94">
        <v>1.517698</v>
      </c>
      <c r="CJ2163" s="67"/>
      <c r="CK2163" s="67"/>
      <c r="CL2163" s="67"/>
      <c r="CM2163" s="67">
        <f>(CR2163*1000000)/(100*100*AD2163*AA2163/100*1000000)*100</f>
        <v>0.42857782331327704</v>
      </c>
      <c r="CN2163" s="67">
        <f>(CS2163*1000000)/(100*100*AD2163*AA2163/100*1000000)*100</f>
        <v>0.5176586641867067</v>
      </c>
      <c r="CO2163" s="67"/>
      <c r="CP2163" s="67"/>
      <c r="CQ2163" s="67"/>
      <c r="CR2163" s="67">
        <v>13.143264679999998</v>
      </c>
      <c r="CS2163" s="67">
        <v>15.875121080000003</v>
      </c>
      <c r="CT2163" s="67"/>
      <c r="CU2163" s="67"/>
      <c r="CV2163" s="67" t="s">
        <v>2052</v>
      </c>
      <c r="CW2163" s="67"/>
      <c r="CX2163" s="67"/>
      <c r="CY2163" s="67"/>
      <c r="CZ2163" s="67"/>
      <c r="DA2163" s="67" t="s">
        <v>4463</v>
      </c>
      <c r="DB2163" s="67"/>
      <c r="DC2163" s="67"/>
      <c r="DD2163" s="67"/>
      <c r="DE2163" s="67"/>
      <c r="DF2163" s="67"/>
      <c r="DG2163" s="67"/>
      <c r="DH2163" s="67"/>
      <c r="DI2163" s="67"/>
      <c r="DJ2163" s="67"/>
      <c r="DK2163" s="67"/>
      <c r="DL2163" s="67"/>
      <c r="DM2163" s="67"/>
      <c r="DN2163" s="67"/>
      <c r="DO2163" s="67"/>
      <c r="DP2163" s="67"/>
      <c r="DQ2163" s="166"/>
      <c r="DR2163" s="166"/>
      <c r="DS2163" s="163"/>
      <c r="DT2163" s="163"/>
      <c r="DU2163" s="67"/>
      <c r="DV2163" s="67"/>
      <c r="DW2163" s="67"/>
      <c r="DX2163" s="67"/>
      <c r="DY2163" s="67"/>
      <c r="DZ2163" s="67"/>
      <c r="EA2163" s="67"/>
      <c r="EB2163" s="67"/>
      <c r="EC2163" s="67"/>
      <c r="ED2163" s="67"/>
      <c r="EE2163" s="67"/>
      <c r="EF2163" s="67"/>
      <c r="EG2163" s="67"/>
      <c r="EH2163" s="67"/>
      <c r="EI2163" s="67"/>
      <c r="EJ2163" s="67"/>
      <c r="EK2163" s="94"/>
      <c r="EL2163" s="94"/>
      <c r="EM2163" s="67"/>
      <c r="EN2163" s="67"/>
      <c r="EO2163" s="67"/>
      <c r="EP2163" s="67"/>
      <c r="EQ2163" s="67"/>
      <c r="ER2163" s="67"/>
      <c r="ES2163" s="67"/>
      <c r="ET2163" s="67"/>
      <c r="EU2163" s="67"/>
      <c r="EV2163" s="67"/>
      <c r="EW2163" s="67"/>
      <c r="EX2163" s="67"/>
      <c r="EY2163" s="67"/>
      <c r="EZ2163" s="67"/>
      <c r="FA2163" s="67"/>
      <c r="FB2163" s="67"/>
      <c r="FC2163" s="67"/>
      <c r="FD2163" s="67"/>
      <c r="FE2163" s="67"/>
      <c r="FF2163" s="67"/>
      <c r="FG2163" s="67"/>
      <c r="FH2163" s="67"/>
      <c r="FI2163" s="67"/>
      <c r="FJ2163" s="67"/>
      <c r="FK2163" s="67"/>
      <c r="FL2163" s="67"/>
      <c r="FM2163" s="67"/>
      <c r="FN2163" s="67"/>
      <c r="FO2163" s="67"/>
      <c r="FP2163" s="67"/>
      <c r="FQ2163" s="67"/>
      <c r="FR2163" s="67"/>
      <c r="FS2163" s="67"/>
      <c r="FT2163" s="67"/>
      <c r="FU2163" s="67"/>
      <c r="FV2163" s="67"/>
      <c r="FW2163" s="67"/>
      <c r="FX2163" s="67"/>
      <c r="FY2163" s="67"/>
      <c r="FZ2163" s="67"/>
      <c r="GA2163" s="67"/>
      <c r="GB2163" s="67"/>
      <c r="GC2163" s="67"/>
      <c r="GD2163" s="67"/>
      <c r="GE2163" s="67"/>
      <c r="GF2163" s="67"/>
      <c r="GG2163" s="67"/>
      <c r="GH2163" s="67"/>
      <c r="GI2163" s="67"/>
      <c r="GJ2163" s="67"/>
      <c r="GK2163" s="67"/>
      <c r="GL2163" s="67"/>
      <c r="GM2163" s="67"/>
      <c r="GN2163" s="292"/>
      <c r="GO2163" s="292"/>
      <c r="GP2163" s="292" t="s">
        <v>7494</v>
      </c>
      <c r="GQ2163" s="67"/>
      <c r="GR2163" s="67"/>
      <c r="GS2163" s="67"/>
      <c r="GT2163" s="67"/>
      <c r="GU2163" s="67"/>
      <c r="GV2163" s="67"/>
      <c r="GW2163" s="67"/>
      <c r="GX2163" s="67"/>
      <c r="GY2163" s="67"/>
      <c r="GZ2163" s="67"/>
      <c r="HA2163" s="67"/>
      <c r="HB2163" s="67"/>
      <c r="HC2163" s="67"/>
      <c r="HD2163" s="67"/>
      <c r="HE2163" s="67"/>
      <c r="HF2163" s="67"/>
      <c r="HG2163" s="67"/>
      <c r="HH2163" s="67"/>
      <c r="HI2163" s="67"/>
      <c r="HJ2163" s="67"/>
      <c r="HK2163" s="67"/>
      <c r="HL2163" s="67"/>
      <c r="HM2163" s="67"/>
      <c r="HN2163" s="67"/>
      <c r="HO2163" s="67"/>
      <c r="HP2163" s="67"/>
      <c r="HQ2163" s="67"/>
      <c r="HR2163" s="67"/>
      <c r="HS2163" s="67"/>
      <c r="HT2163" s="67"/>
      <c r="HU2163" s="67"/>
      <c r="HV2163" s="67"/>
      <c r="HW2163" s="67"/>
      <c r="HX2163" s="67"/>
      <c r="HY2163" s="67"/>
      <c r="HZ2163" s="67"/>
      <c r="IA2163" s="67"/>
      <c r="IB2163" s="67"/>
      <c r="IC2163" s="67"/>
      <c r="ID2163" s="67"/>
      <c r="IE2163" s="67"/>
      <c r="IF2163" s="67"/>
      <c r="IG2163" s="67"/>
      <c r="IH2163" s="67"/>
      <c r="II2163" s="67"/>
      <c r="IJ2163" s="67"/>
      <c r="IK2163" s="67"/>
      <c r="IL2163" s="67"/>
      <c r="IM2163" s="67"/>
      <c r="IN2163" s="67"/>
      <c r="IO2163" s="67"/>
      <c r="IP2163" s="67"/>
      <c r="IQ2163" s="67"/>
      <c r="IR2163" s="67"/>
      <c r="IS2163" s="67"/>
      <c r="IT2163" s="67"/>
      <c r="IU2163" s="67"/>
      <c r="IV2163" s="67"/>
      <c r="IW2163" s="67"/>
      <c r="IX2163" s="67"/>
      <c r="IY2163" s="67"/>
      <c r="IZ2163" s="67"/>
      <c r="JA2163" s="67"/>
      <c r="JB2163" s="67"/>
      <c r="JC2163" s="67"/>
      <c r="JD2163" s="67"/>
      <c r="JE2163" s="67"/>
      <c r="JF2163" s="67"/>
      <c r="JG2163" s="67"/>
      <c r="JH2163" s="67"/>
      <c r="JI2163" s="67"/>
      <c r="JJ2163" s="67"/>
      <c r="JK2163" s="67"/>
      <c r="JL2163" s="67"/>
      <c r="JM2163" s="67"/>
      <c r="JN2163" s="67"/>
      <c r="JO2163" s="67"/>
      <c r="JP2163" s="67"/>
      <c r="JQ2163" s="67"/>
      <c r="JR2163" s="67"/>
      <c r="JS2163" s="67"/>
      <c r="JT2163" s="67"/>
      <c r="JU2163" s="58"/>
      <c r="JV2163" s="58"/>
      <c r="JW2163" s="58"/>
    </row>
    <row r="2164" spans="1:283" s="23" customFormat="1" x14ac:dyDescent="0.25">
      <c r="A2164" s="55">
        <v>2163</v>
      </c>
      <c r="B2164" s="12" t="s">
        <v>7067</v>
      </c>
      <c r="C2164" s="156">
        <v>99</v>
      </c>
      <c r="D2164" s="58" t="s">
        <v>4146</v>
      </c>
      <c r="E2164" s="94" t="s">
        <v>2102</v>
      </c>
      <c r="F2164" s="94"/>
      <c r="G2164" s="58"/>
      <c r="H2164" s="58">
        <v>2008</v>
      </c>
      <c r="I2164" s="58"/>
      <c r="J2164" s="58" t="s">
        <v>2103</v>
      </c>
      <c r="K2164" s="58" t="s">
        <v>2104</v>
      </c>
      <c r="L2164" s="58" t="s">
        <v>1077</v>
      </c>
      <c r="M2164" s="94">
        <v>53.25</v>
      </c>
      <c r="N2164" s="94">
        <v>13.25</v>
      </c>
      <c r="O2164" s="94">
        <v>44</v>
      </c>
      <c r="P2164" s="58">
        <v>8.9</v>
      </c>
      <c r="Q2164" s="58"/>
      <c r="R2164" s="58">
        <v>495</v>
      </c>
      <c r="S2164" s="94"/>
      <c r="T2164" s="58"/>
      <c r="U2164" s="58">
        <v>5</v>
      </c>
      <c r="V2164" s="58">
        <v>10</v>
      </c>
      <c r="W2164" s="174"/>
      <c r="X2164" s="174"/>
      <c r="Y2164" s="58"/>
      <c r="Z2164" s="59" t="s">
        <v>1346</v>
      </c>
      <c r="AA2164" s="94">
        <v>20</v>
      </c>
      <c r="AB2164" s="67"/>
      <c r="AC2164" s="67"/>
      <c r="AD2164" s="94">
        <v>1.499776</v>
      </c>
      <c r="AE2164" s="92">
        <f>(72+87)/2</f>
        <v>79.5</v>
      </c>
      <c r="AF2164" s="92">
        <f>(10+25)/2</f>
        <v>17.5</v>
      </c>
      <c r="AG2164" s="92"/>
      <c r="AH2164" s="58" t="s">
        <v>174</v>
      </c>
      <c r="AI2164" s="169"/>
      <c r="AJ2164" s="94"/>
      <c r="AK2164" s="94"/>
      <c r="AL2164" s="58"/>
      <c r="AM2164" s="58" t="s">
        <v>2105</v>
      </c>
      <c r="AN2164" s="186" t="s">
        <v>2201</v>
      </c>
      <c r="AO2164" s="185" t="s">
        <v>5150</v>
      </c>
      <c r="AP2164" s="58"/>
      <c r="AQ2164" s="58" t="s">
        <v>1097</v>
      </c>
      <c r="AR2164" s="58" t="s">
        <v>2202</v>
      </c>
      <c r="AS2164" s="58" t="s">
        <v>1580</v>
      </c>
      <c r="AT2164" s="182"/>
      <c r="AU2164" s="181" t="s">
        <v>7494</v>
      </c>
      <c r="AV2164" s="185" t="s">
        <v>176</v>
      </c>
      <c r="AW2164" s="58"/>
      <c r="AX2164" s="185" t="s">
        <v>176</v>
      </c>
      <c r="AY2164" s="58"/>
      <c r="AZ2164" s="59" t="s">
        <v>2091</v>
      </c>
      <c r="BA2164" s="59" t="s">
        <v>2091</v>
      </c>
      <c r="BB2164" s="59"/>
      <c r="BC2164" s="59"/>
      <c r="BD2164" s="58"/>
      <c r="BE2164" s="236" t="s">
        <v>2107</v>
      </c>
      <c r="BF2164" s="58"/>
      <c r="BG2164" s="191" t="s">
        <v>479</v>
      </c>
      <c r="BH2164" s="236"/>
      <c r="BI2164" s="58"/>
      <c r="BJ2164" s="58"/>
      <c r="BK2164" s="58" t="s">
        <v>5976</v>
      </c>
      <c r="BL2164" s="58"/>
      <c r="BM2164" s="237" t="s">
        <v>160</v>
      </c>
      <c r="BN2164" s="58"/>
      <c r="BO2164" s="58"/>
      <c r="BP2164" s="58"/>
      <c r="BQ2164" s="58"/>
      <c r="BR2164" s="58"/>
      <c r="BS2164" s="58"/>
      <c r="BT2164" s="58"/>
      <c r="BU2164" s="58"/>
      <c r="BV2164" s="58"/>
      <c r="BW2164" s="67"/>
      <c r="BX2164" s="67"/>
      <c r="BY2164" s="67"/>
      <c r="BZ2164" s="67"/>
      <c r="CA2164" s="67"/>
      <c r="CB2164" s="68"/>
      <c r="CC2164" s="68"/>
      <c r="CD2164" s="68"/>
      <c r="CE2164" s="67"/>
      <c r="CF2164" s="67"/>
      <c r="CG2164" s="67"/>
      <c r="CH2164" s="94">
        <v>1.499776</v>
      </c>
      <c r="CI2164" s="94">
        <v>1.4928159999999999</v>
      </c>
      <c r="CJ2164" s="67"/>
      <c r="CK2164" s="67"/>
      <c r="CL2164" s="67"/>
      <c r="CM2164" s="67">
        <f>(CR2164*1000000)/(100*100*AD2164*AA2164/100*1000000)*100</f>
        <v>0.62309492617564211</v>
      </c>
      <c r="CN2164" s="67">
        <f>(CS2164*1000000)/(100*100*AD2164*AA2164/100*1000000)*100</f>
        <v>0.66290929845523583</v>
      </c>
      <c r="CO2164" s="67"/>
      <c r="CP2164" s="67"/>
      <c r="CQ2164" s="67"/>
      <c r="CR2164" s="67">
        <v>18.690056319999997</v>
      </c>
      <c r="CS2164" s="67">
        <v>19.884309119999998</v>
      </c>
      <c r="CT2164" s="67"/>
      <c r="CU2164" s="67"/>
      <c r="CV2164" s="67" t="s">
        <v>2052</v>
      </c>
      <c r="CW2164" s="67"/>
      <c r="CX2164" s="67"/>
      <c r="CY2164" s="67"/>
      <c r="CZ2164" s="67"/>
      <c r="DA2164" s="67" t="s">
        <v>4463</v>
      </c>
      <c r="DB2164" s="67"/>
      <c r="DC2164" s="67"/>
      <c r="DD2164" s="67"/>
      <c r="DE2164" s="67"/>
      <c r="DF2164" s="67"/>
      <c r="DG2164" s="67"/>
      <c r="DH2164" s="67"/>
      <c r="DI2164" s="67"/>
      <c r="DJ2164" s="67"/>
      <c r="DK2164" s="67"/>
      <c r="DL2164" s="67"/>
      <c r="DM2164" s="67"/>
      <c r="DN2164" s="67"/>
      <c r="DO2164" s="67"/>
      <c r="DP2164" s="67"/>
      <c r="DQ2164" s="166"/>
      <c r="DR2164" s="166"/>
      <c r="DS2164" s="163"/>
      <c r="DT2164" s="163"/>
      <c r="DU2164" s="67"/>
      <c r="DV2164" s="67"/>
      <c r="DW2164" s="67"/>
      <c r="DX2164" s="67"/>
      <c r="DY2164" s="67"/>
      <c r="DZ2164" s="67"/>
      <c r="EA2164" s="67"/>
      <c r="EB2164" s="67"/>
      <c r="EC2164" s="67"/>
      <c r="ED2164" s="67"/>
      <c r="EE2164" s="67"/>
      <c r="EF2164" s="67"/>
      <c r="EG2164" s="67"/>
      <c r="EH2164" s="67"/>
      <c r="EI2164" s="67"/>
      <c r="EJ2164" s="67"/>
      <c r="EK2164" s="94"/>
      <c r="EL2164" s="94"/>
      <c r="EM2164" s="67"/>
      <c r="EN2164" s="67"/>
      <c r="EO2164" s="67"/>
      <c r="EP2164" s="67"/>
      <c r="EQ2164" s="67"/>
      <c r="ER2164" s="67"/>
      <c r="ES2164" s="67"/>
      <c r="ET2164" s="67"/>
      <c r="EU2164" s="67"/>
      <c r="EV2164" s="67"/>
      <c r="EW2164" s="67"/>
      <c r="EX2164" s="67"/>
      <c r="EY2164" s="67"/>
      <c r="EZ2164" s="67"/>
      <c r="FA2164" s="67"/>
      <c r="FB2164" s="67"/>
      <c r="FC2164" s="67"/>
      <c r="FD2164" s="67"/>
      <c r="FE2164" s="67"/>
      <c r="FF2164" s="67"/>
      <c r="FG2164" s="67"/>
      <c r="FH2164" s="67"/>
      <c r="FI2164" s="67"/>
      <c r="FJ2164" s="67"/>
      <c r="FK2164" s="67"/>
      <c r="FL2164" s="67"/>
      <c r="FM2164" s="67"/>
      <c r="FN2164" s="67"/>
      <c r="FO2164" s="67"/>
      <c r="FP2164" s="67"/>
      <c r="FQ2164" s="67"/>
      <c r="FR2164" s="67"/>
      <c r="FS2164" s="67"/>
      <c r="FT2164" s="67"/>
      <c r="FU2164" s="67"/>
      <c r="FV2164" s="67"/>
      <c r="FW2164" s="67"/>
      <c r="FX2164" s="67"/>
      <c r="FY2164" s="67"/>
      <c r="FZ2164" s="67"/>
      <c r="GA2164" s="67"/>
      <c r="GB2164" s="67"/>
      <c r="GC2164" s="67"/>
      <c r="GD2164" s="67"/>
      <c r="GE2164" s="67"/>
      <c r="GF2164" s="67"/>
      <c r="GG2164" s="67"/>
      <c r="GH2164" s="67"/>
      <c r="GI2164" s="67"/>
      <c r="GJ2164" s="67"/>
      <c r="GK2164" s="67"/>
      <c r="GL2164" s="67"/>
      <c r="GM2164" s="67"/>
      <c r="GN2164" s="292"/>
      <c r="GO2164" s="292"/>
      <c r="GP2164" s="292" t="s">
        <v>7494</v>
      </c>
      <c r="GQ2164" s="67"/>
      <c r="GR2164" s="67"/>
      <c r="GS2164" s="67"/>
      <c r="GT2164" s="67"/>
      <c r="GU2164" s="67"/>
      <c r="GV2164" s="67"/>
      <c r="GW2164" s="67"/>
      <c r="GX2164" s="67"/>
      <c r="GY2164" s="67"/>
      <c r="GZ2164" s="67"/>
      <c r="HA2164" s="67"/>
      <c r="HB2164" s="67"/>
      <c r="HC2164" s="67"/>
      <c r="HD2164" s="67"/>
      <c r="HE2164" s="67"/>
      <c r="HF2164" s="67"/>
      <c r="HG2164" s="67"/>
      <c r="HH2164" s="67"/>
      <c r="HI2164" s="67"/>
      <c r="HJ2164" s="67"/>
      <c r="HK2164" s="67"/>
      <c r="HL2164" s="67"/>
      <c r="HM2164" s="67"/>
      <c r="HN2164" s="67"/>
      <c r="HO2164" s="67"/>
      <c r="HP2164" s="67"/>
      <c r="HQ2164" s="67"/>
      <c r="HR2164" s="67"/>
      <c r="HS2164" s="67"/>
      <c r="HT2164" s="67"/>
      <c r="HU2164" s="67"/>
      <c r="HV2164" s="67"/>
      <c r="HW2164" s="67"/>
      <c r="HX2164" s="67"/>
      <c r="HY2164" s="67"/>
      <c r="HZ2164" s="67"/>
      <c r="IA2164" s="67"/>
      <c r="IB2164" s="67"/>
      <c r="IC2164" s="67"/>
      <c r="ID2164" s="67"/>
      <c r="IE2164" s="67"/>
      <c r="IF2164" s="67"/>
      <c r="IG2164" s="67"/>
      <c r="IH2164" s="67"/>
      <c r="II2164" s="67"/>
      <c r="IJ2164" s="67"/>
      <c r="IK2164" s="67"/>
      <c r="IL2164" s="67"/>
      <c r="IM2164" s="67"/>
      <c r="IN2164" s="67"/>
      <c r="IO2164" s="67"/>
      <c r="IP2164" s="67"/>
      <c r="IQ2164" s="67"/>
      <c r="IR2164" s="67"/>
      <c r="IS2164" s="67"/>
      <c r="IT2164" s="67"/>
      <c r="IU2164" s="67"/>
      <c r="IV2164" s="67"/>
      <c r="IW2164" s="67"/>
      <c r="IX2164" s="67"/>
      <c r="IY2164" s="67"/>
      <c r="IZ2164" s="67"/>
      <c r="JA2164" s="67"/>
      <c r="JB2164" s="67"/>
      <c r="JC2164" s="67"/>
      <c r="JD2164" s="67"/>
      <c r="JE2164" s="67"/>
      <c r="JF2164" s="67"/>
      <c r="JG2164" s="67"/>
      <c r="JH2164" s="67"/>
      <c r="JI2164" s="67"/>
      <c r="JJ2164" s="67"/>
      <c r="JK2164" s="67"/>
      <c r="JL2164" s="67"/>
      <c r="JM2164" s="67"/>
      <c r="JN2164" s="67"/>
      <c r="JO2164" s="67"/>
      <c r="JP2164" s="67"/>
      <c r="JQ2164" s="67"/>
      <c r="JR2164" s="67"/>
      <c r="JS2164" s="67"/>
      <c r="JT2164" s="67"/>
      <c r="JU2164" s="58"/>
      <c r="JV2164" s="58"/>
      <c r="JW2164" s="58"/>
    </row>
    <row r="2165" spans="1:283" s="23" customFormat="1" x14ac:dyDescent="0.25">
      <c r="A2165" s="55">
        <v>2164</v>
      </c>
      <c r="B2165" s="12" t="s">
        <v>7067</v>
      </c>
      <c r="C2165" s="156">
        <v>100</v>
      </c>
      <c r="D2165" s="58" t="s">
        <v>4147</v>
      </c>
      <c r="E2165" s="94" t="s">
        <v>2108</v>
      </c>
      <c r="F2165" s="94"/>
      <c r="G2165" s="58" t="s">
        <v>2203</v>
      </c>
      <c r="H2165" s="58">
        <v>2000</v>
      </c>
      <c r="I2165" s="58">
        <v>1994</v>
      </c>
      <c r="J2165" s="58" t="s">
        <v>1709</v>
      </c>
      <c r="K2165" s="58" t="s">
        <v>2109</v>
      </c>
      <c r="L2165" s="58" t="s">
        <v>5334</v>
      </c>
      <c r="M2165" s="94">
        <f>-30-51/60</f>
        <v>-30.85</v>
      </c>
      <c r="N2165" s="94">
        <f>-51-38/60</f>
        <v>-51.633333333333333</v>
      </c>
      <c r="O2165" s="94">
        <v>96</v>
      </c>
      <c r="P2165" s="58">
        <v>19.399999999999999</v>
      </c>
      <c r="Q2165" s="58"/>
      <c r="R2165" s="58">
        <v>1440</v>
      </c>
      <c r="S2165" s="94"/>
      <c r="T2165" s="58"/>
      <c r="U2165" s="58">
        <v>10</v>
      </c>
      <c r="V2165" s="58">
        <v>10</v>
      </c>
      <c r="W2165" s="174"/>
      <c r="X2165" s="174"/>
      <c r="Y2165" s="58" t="s">
        <v>2206</v>
      </c>
      <c r="Z2165" s="59" t="s">
        <v>1356</v>
      </c>
      <c r="AA2165" s="94">
        <v>30</v>
      </c>
      <c r="AB2165" s="67"/>
      <c r="AC2165" s="67"/>
      <c r="AD2165" s="94">
        <v>1.5</v>
      </c>
      <c r="AE2165" s="94">
        <v>54</v>
      </c>
      <c r="AF2165" s="94">
        <v>24</v>
      </c>
      <c r="AG2165" s="94"/>
      <c r="AH2165" s="58" t="s">
        <v>494</v>
      </c>
      <c r="AI2165" s="169"/>
      <c r="AJ2165" s="94">
        <f>44.6/(100*100*0.3*AD2165)*100</f>
        <v>0.99111111111111116</v>
      </c>
      <c r="AK2165" s="94"/>
      <c r="AL2165" s="58"/>
      <c r="AM2165" s="58" t="s">
        <v>2110</v>
      </c>
      <c r="AN2165" s="186" t="s">
        <v>2111</v>
      </c>
      <c r="AO2165" s="185" t="s">
        <v>5150</v>
      </c>
      <c r="AP2165" s="58"/>
      <c r="AQ2165" s="58" t="s">
        <v>1547</v>
      </c>
      <c r="AR2165" s="58" t="s">
        <v>2205</v>
      </c>
      <c r="AS2165" s="58" t="s">
        <v>1584</v>
      </c>
      <c r="AT2165" s="182" t="s">
        <v>2204</v>
      </c>
      <c r="AU2165" s="181" t="s">
        <v>5150</v>
      </c>
      <c r="AV2165" s="185" t="s">
        <v>479</v>
      </c>
      <c r="AW2165" s="58" t="s">
        <v>2112</v>
      </c>
      <c r="AX2165" s="185" t="s">
        <v>479</v>
      </c>
      <c r="AY2165" s="58" t="s">
        <v>176</v>
      </c>
      <c r="AZ2165" s="58" t="s">
        <v>1976</v>
      </c>
      <c r="BA2165" s="58" t="s">
        <v>1976</v>
      </c>
      <c r="BB2165" s="58" t="s">
        <v>2081</v>
      </c>
      <c r="BC2165" s="58" t="s">
        <v>2081</v>
      </c>
      <c r="BD2165" s="58" t="s">
        <v>176</v>
      </c>
      <c r="BE2165" s="236"/>
      <c r="BF2165" s="58"/>
      <c r="BG2165" s="58"/>
      <c r="BH2165" s="236"/>
      <c r="BI2165" s="58"/>
      <c r="BJ2165" s="58"/>
      <c r="BK2165" s="58" t="s">
        <v>5976</v>
      </c>
      <c r="BL2165" s="58"/>
      <c r="BM2165" s="237" t="s">
        <v>160</v>
      </c>
      <c r="BN2165" s="58">
        <v>3</v>
      </c>
      <c r="BO2165" s="58">
        <v>3</v>
      </c>
      <c r="BP2165" s="58"/>
      <c r="BQ2165" s="58" t="s">
        <v>141</v>
      </c>
      <c r="BR2165" s="58"/>
      <c r="BS2165" s="58"/>
      <c r="BT2165" s="58"/>
      <c r="BU2165" s="58"/>
      <c r="BV2165" s="58"/>
      <c r="BW2165" s="67"/>
      <c r="BX2165" s="67"/>
      <c r="BY2165" s="67"/>
      <c r="BZ2165" s="67"/>
      <c r="CA2165" s="67"/>
      <c r="CB2165" s="68"/>
      <c r="CC2165" s="68"/>
      <c r="CD2165" s="68"/>
      <c r="CE2165" s="67"/>
      <c r="CF2165" s="67"/>
      <c r="CG2165" s="67"/>
      <c r="CH2165" s="92"/>
      <c r="CI2165" s="94"/>
      <c r="CJ2165" s="67"/>
      <c r="CK2165" s="67"/>
      <c r="CL2165" s="67"/>
      <c r="CM2165" s="67">
        <f>(CR2165*1000000)/(100*100*AD2165*AA2165/100*1000000)*100</f>
        <v>0.99111111111111116</v>
      </c>
      <c r="CN2165" s="67">
        <f>(CS2165*1000000)/(100*100*AD2165*AA2165/100*1000000)*100</f>
        <v>1.1155555555555556</v>
      </c>
      <c r="CO2165" s="67"/>
      <c r="CP2165" s="67"/>
      <c r="CQ2165" s="67"/>
      <c r="CR2165" s="67">
        <v>44.6</v>
      </c>
      <c r="CS2165" s="67">
        <v>50.2</v>
      </c>
      <c r="CT2165" s="67"/>
      <c r="CU2165" s="67"/>
      <c r="CV2165" s="67" t="s">
        <v>2052</v>
      </c>
      <c r="CW2165" s="67"/>
      <c r="CX2165" s="67"/>
      <c r="CY2165" s="67"/>
      <c r="CZ2165" s="67"/>
      <c r="DA2165" s="67" t="s">
        <v>4463</v>
      </c>
      <c r="DB2165" s="67">
        <v>3765</v>
      </c>
      <c r="DC2165" s="67">
        <v>4262</v>
      </c>
      <c r="DD2165" s="67"/>
      <c r="DE2165" s="67"/>
      <c r="DF2165" s="67" t="s">
        <v>2207</v>
      </c>
      <c r="DG2165" s="67"/>
      <c r="DH2165" s="67"/>
      <c r="DI2165" s="67"/>
      <c r="DJ2165" s="67"/>
      <c r="DK2165" s="67"/>
      <c r="DL2165" s="67"/>
      <c r="DM2165" s="67"/>
      <c r="DN2165" s="67"/>
      <c r="DO2165" s="67"/>
      <c r="DP2165" s="67"/>
      <c r="DQ2165" s="166"/>
      <c r="DR2165" s="166"/>
      <c r="DS2165" s="163"/>
      <c r="DT2165" s="163"/>
      <c r="DU2165" s="67"/>
      <c r="DV2165" s="67"/>
      <c r="DW2165" s="67"/>
      <c r="DX2165" s="67"/>
      <c r="DY2165" s="67"/>
      <c r="DZ2165" s="67"/>
      <c r="EA2165" s="67"/>
      <c r="EB2165" s="67"/>
      <c r="EC2165" s="67"/>
      <c r="ED2165" s="67"/>
      <c r="EE2165" s="67"/>
      <c r="EF2165" s="67"/>
      <c r="EG2165" s="67"/>
      <c r="EH2165" s="67"/>
      <c r="EI2165" s="67"/>
      <c r="EJ2165" s="67"/>
      <c r="EK2165" s="94"/>
      <c r="EL2165" s="94"/>
      <c r="EM2165" s="67"/>
      <c r="EN2165" s="67"/>
      <c r="EO2165" s="67"/>
      <c r="EP2165" s="67"/>
      <c r="EQ2165" s="67"/>
      <c r="ER2165" s="67"/>
      <c r="ES2165" s="67"/>
      <c r="ET2165" s="67"/>
      <c r="EU2165" s="67"/>
      <c r="EV2165" s="67"/>
      <c r="EW2165" s="67"/>
      <c r="EX2165" s="67"/>
      <c r="EY2165" s="67"/>
      <c r="EZ2165" s="67"/>
      <c r="FA2165" s="67"/>
      <c r="FB2165" s="67"/>
      <c r="FC2165" s="67"/>
      <c r="FD2165" s="67"/>
      <c r="FE2165" s="67"/>
      <c r="FF2165" s="67"/>
      <c r="FG2165" s="67"/>
      <c r="FH2165" s="67"/>
      <c r="FI2165" s="67"/>
      <c r="FJ2165" s="67"/>
      <c r="FK2165" s="67"/>
      <c r="FL2165" s="67"/>
      <c r="FM2165" s="67"/>
      <c r="FN2165" s="67"/>
      <c r="FO2165" s="67"/>
      <c r="FP2165" s="67"/>
      <c r="FQ2165" s="67"/>
      <c r="FR2165" s="67"/>
      <c r="FS2165" s="67"/>
      <c r="FT2165" s="67"/>
      <c r="FU2165" s="67"/>
      <c r="FV2165" s="67"/>
      <c r="FW2165" s="67"/>
      <c r="FX2165" s="67"/>
      <c r="FY2165" s="67"/>
      <c r="FZ2165" s="67"/>
      <c r="GA2165" s="67"/>
      <c r="GB2165" s="67"/>
      <c r="GC2165" s="67"/>
      <c r="GD2165" s="67"/>
      <c r="GE2165" s="67"/>
      <c r="GF2165" s="67"/>
      <c r="GG2165" s="67"/>
      <c r="GH2165" s="67"/>
      <c r="GI2165" s="67"/>
      <c r="GJ2165" s="67"/>
      <c r="GK2165" s="67"/>
      <c r="GL2165" s="67"/>
      <c r="GM2165" s="67"/>
      <c r="GN2165" s="292"/>
      <c r="GO2165" s="292"/>
      <c r="GP2165" s="292" t="s">
        <v>7494</v>
      </c>
      <c r="GQ2165" s="67"/>
      <c r="GR2165" s="67"/>
      <c r="GS2165" s="67"/>
      <c r="GT2165" s="67"/>
      <c r="GU2165" s="67"/>
      <c r="GV2165" s="67"/>
      <c r="GW2165" s="67"/>
      <c r="GX2165" s="67"/>
      <c r="GY2165" s="67"/>
      <c r="GZ2165" s="67"/>
      <c r="HA2165" s="67"/>
      <c r="HB2165" s="67"/>
      <c r="HC2165" s="67"/>
      <c r="HD2165" s="67"/>
      <c r="HE2165" s="67"/>
      <c r="HF2165" s="67"/>
      <c r="HG2165" s="67"/>
      <c r="HH2165" s="67"/>
      <c r="HI2165" s="67"/>
      <c r="HJ2165" s="67"/>
      <c r="HK2165" s="67"/>
      <c r="HL2165" s="67"/>
      <c r="HM2165" s="67"/>
      <c r="HN2165" s="67"/>
      <c r="HO2165" s="67"/>
      <c r="HP2165" s="67"/>
      <c r="HQ2165" s="67"/>
      <c r="HR2165" s="67"/>
      <c r="HS2165" s="67"/>
      <c r="HT2165" s="67"/>
      <c r="HU2165" s="67"/>
      <c r="HV2165" s="67"/>
      <c r="HW2165" s="67"/>
      <c r="HX2165" s="67"/>
      <c r="HY2165" s="67"/>
      <c r="HZ2165" s="67"/>
      <c r="IA2165" s="67"/>
      <c r="IB2165" s="67"/>
      <c r="IC2165" s="67"/>
      <c r="ID2165" s="67"/>
      <c r="IE2165" s="67"/>
      <c r="IF2165" s="67"/>
      <c r="IG2165" s="67"/>
      <c r="IH2165" s="67"/>
      <c r="II2165" s="67"/>
      <c r="IJ2165" s="67"/>
      <c r="IK2165" s="67"/>
      <c r="IL2165" s="67"/>
      <c r="IM2165" s="67"/>
      <c r="IN2165" s="67"/>
      <c r="IO2165" s="67"/>
      <c r="IP2165" s="67"/>
      <c r="IQ2165" s="67"/>
      <c r="IR2165" s="67"/>
      <c r="IS2165" s="67"/>
      <c r="IT2165" s="67"/>
      <c r="IU2165" s="67"/>
      <c r="IV2165" s="67"/>
      <c r="IW2165" s="67"/>
      <c r="IX2165" s="67"/>
      <c r="IY2165" s="67"/>
      <c r="IZ2165" s="67"/>
      <c r="JA2165" s="67"/>
      <c r="JB2165" s="67"/>
      <c r="JC2165" s="67"/>
      <c r="JD2165" s="67"/>
      <c r="JE2165" s="67"/>
      <c r="JF2165" s="67"/>
      <c r="JG2165" s="67"/>
      <c r="JH2165" s="67"/>
      <c r="JI2165" s="67"/>
      <c r="JJ2165" s="67"/>
      <c r="JK2165" s="67"/>
      <c r="JL2165" s="67"/>
      <c r="JM2165" s="67"/>
      <c r="JN2165" s="67"/>
      <c r="JO2165" s="67"/>
      <c r="JP2165" s="67"/>
      <c r="JQ2165" s="67"/>
      <c r="JR2165" s="67"/>
      <c r="JS2165" s="67"/>
      <c r="JT2165" s="67"/>
      <c r="JU2165" s="58"/>
      <c r="JV2165" s="58"/>
      <c r="JW2165" s="58"/>
    </row>
    <row r="2166" spans="1:283" s="23" customFormat="1" x14ac:dyDescent="0.25">
      <c r="A2166" s="55">
        <v>2165</v>
      </c>
      <c r="B2166" s="12" t="s">
        <v>7067</v>
      </c>
      <c r="C2166" s="156">
        <v>100</v>
      </c>
      <c r="D2166" s="58" t="s">
        <v>4147</v>
      </c>
      <c r="E2166" s="94" t="s">
        <v>2108</v>
      </c>
      <c r="F2166" s="94"/>
      <c r="G2166" s="58" t="s">
        <v>2203</v>
      </c>
      <c r="H2166" s="58">
        <v>2000</v>
      </c>
      <c r="I2166" s="58">
        <v>1994</v>
      </c>
      <c r="J2166" s="58" t="s">
        <v>1709</v>
      </c>
      <c r="K2166" s="58" t="s">
        <v>2109</v>
      </c>
      <c r="L2166" s="58" t="s">
        <v>5334</v>
      </c>
      <c r="M2166" s="94">
        <f>-30-51/60</f>
        <v>-30.85</v>
      </c>
      <c r="N2166" s="94">
        <f>-51-38/60</f>
        <v>-51.633333333333333</v>
      </c>
      <c r="O2166" s="94">
        <v>96</v>
      </c>
      <c r="P2166" s="58">
        <v>19.399999999999999</v>
      </c>
      <c r="Q2166" s="58"/>
      <c r="R2166" s="58">
        <v>1440</v>
      </c>
      <c r="S2166" s="94"/>
      <c r="T2166" s="58"/>
      <c r="U2166" s="58">
        <v>10</v>
      </c>
      <c r="V2166" s="58">
        <v>10</v>
      </c>
      <c r="W2166" s="174"/>
      <c r="X2166" s="174"/>
      <c r="Y2166" s="58" t="s">
        <v>2206</v>
      </c>
      <c r="Z2166" s="59" t="s">
        <v>1356</v>
      </c>
      <c r="AA2166" s="94">
        <v>30</v>
      </c>
      <c r="AB2166" s="67"/>
      <c r="AC2166" s="67"/>
      <c r="AD2166" s="94">
        <v>1.45</v>
      </c>
      <c r="AE2166" s="94">
        <v>54</v>
      </c>
      <c r="AF2166" s="94">
        <v>24</v>
      </c>
      <c r="AG2166" s="94"/>
      <c r="AH2166" s="58" t="s">
        <v>494</v>
      </c>
      <c r="AI2166" s="169"/>
      <c r="AJ2166" s="94">
        <f>44.6/(100*100*0.3*AD2166)*100</f>
        <v>1.0252873563218392</v>
      </c>
      <c r="AK2166" s="94"/>
      <c r="AL2166" s="58"/>
      <c r="AM2166" s="58" t="s">
        <v>2110</v>
      </c>
      <c r="AN2166" s="186" t="s">
        <v>2111</v>
      </c>
      <c r="AO2166" s="185" t="s">
        <v>5150</v>
      </c>
      <c r="AP2166" s="58"/>
      <c r="AQ2166" s="58" t="s">
        <v>1547</v>
      </c>
      <c r="AR2166" s="58" t="s">
        <v>2205</v>
      </c>
      <c r="AS2166" s="58" t="s">
        <v>1584</v>
      </c>
      <c r="AT2166" s="182" t="s">
        <v>2204</v>
      </c>
      <c r="AU2166" s="181" t="s">
        <v>5150</v>
      </c>
      <c r="AV2166" s="185" t="s">
        <v>479</v>
      </c>
      <c r="AW2166" s="58" t="s">
        <v>2112</v>
      </c>
      <c r="AX2166" s="185" t="s">
        <v>479</v>
      </c>
      <c r="AY2166" s="58" t="s">
        <v>176</v>
      </c>
      <c r="AZ2166" s="58" t="s">
        <v>1016</v>
      </c>
      <c r="BA2166" s="58" t="s">
        <v>1016</v>
      </c>
      <c r="BB2166" s="58" t="s">
        <v>2082</v>
      </c>
      <c r="BC2166" s="58" t="s">
        <v>2082</v>
      </c>
      <c r="BD2166" s="58" t="s">
        <v>176</v>
      </c>
      <c r="BE2166" s="236"/>
      <c r="BF2166" s="58"/>
      <c r="BG2166" s="58"/>
      <c r="BH2166" s="236"/>
      <c r="BI2166" s="58"/>
      <c r="BJ2166" s="58"/>
      <c r="BK2166" s="58" t="s">
        <v>6269</v>
      </c>
      <c r="BL2166" s="58"/>
      <c r="BM2166" s="237" t="s">
        <v>160</v>
      </c>
      <c r="BN2166" s="58">
        <v>3</v>
      </c>
      <c r="BO2166" s="58">
        <v>3</v>
      </c>
      <c r="BP2166" s="58"/>
      <c r="BQ2166" s="58" t="s">
        <v>141</v>
      </c>
      <c r="BR2166" s="58"/>
      <c r="BS2166" s="58"/>
      <c r="BT2166" s="58"/>
      <c r="BU2166" s="58"/>
      <c r="BV2166" s="58"/>
      <c r="BW2166" s="67"/>
      <c r="BX2166" s="67"/>
      <c r="BY2166" s="67"/>
      <c r="BZ2166" s="67"/>
      <c r="CA2166" s="67"/>
      <c r="CB2166" s="68"/>
      <c r="CC2166" s="68"/>
      <c r="CD2166" s="68"/>
      <c r="CE2166" s="67"/>
      <c r="CF2166" s="67"/>
      <c r="CG2166" s="67"/>
      <c r="CH2166" s="92"/>
      <c r="CI2166" s="94"/>
      <c r="CJ2166" s="67"/>
      <c r="CK2166" s="67"/>
      <c r="CL2166" s="67"/>
      <c r="CM2166" s="67">
        <f>(CR2166*1000000)/(100*100*AD2166*AA2166/100*1000000)*100</f>
        <v>1.1310344827586205</v>
      </c>
      <c r="CN2166" s="67">
        <f>(CS2166*1000000)/(100*100*AD2166*AA2166/100*1000000)*100</f>
        <v>1.3011494252873563</v>
      </c>
      <c r="CO2166" s="67"/>
      <c r="CP2166" s="67"/>
      <c r="CQ2166" s="67"/>
      <c r="CR2166" s="67">
        <v>49.2</v>
      </c>
      <c r="CS2166" s="67">
        <v>56.6</v>
      </c>
      <c r="CT2166" s="67"/>
      <c r="CU2166" s="67"/>
      <c r="CV2166" s="67" t="s">
        <v>2052</v>
      </c>
      <c r="CW2166" s="67"/>
      <c r="CX2166" s="67"/>
      <c r="CY2166" s="67"/>
      <c r="CZ2166" s="67"/>
      <c r="DA2166" s="67" t="s">
        <v>4463</v>
      </c>
      <c r="DB2166" s="67">
        <v>3805</v>
      </c>
      <c r="DC2166" s="67">
        <v>4665</v>
      </c>
      <c r="DD2166" s="67"/>
      <c r="DE2166" s="67"/>
      <c r="DF2166" s="67" t="s">
        <v>2207</v>
      </c>
      <c r="DG2166" s="67"/>
      <c r="DH2166" s="67"/>
      <c r="DI2166" s="67"/>
      <c r="DJ2166" s="67"/>
      <c r="DK2166" s="67"/>
      <c r="DL2166" s="67"/>
      <c r="DM2166" s="67"/>
      <c r="DN2166" s="67"/>
      <c r="DO2166" s="67"/>
      <c r="DP2166" s="67"/>
      <c r="DQ2166" s="166"/>
      <c r="DR2166" s="166"/>
      <c r="DS2166" s="163"/>
      <c r="DT2166" s="163"/>
      <c r="DU2166" s="67"/>
      <c r="DV2166" s="67"/>
      <c r="DW2166" s="67"/>
      <c r="DX2166" s="67"/>
      <c r="DY2166" s="67"/>
      <c r="DZ2166" s="67"/>
      <c r="EA2166" s="67"/>
      <c r="EB2166" s="67"/>
      <c r="EC2166" s="67"/>
      <c r="ED2166" s="67"/>
      <c r="EE2166" s="67"/>
      <c r="EF2166" s="67"/>
      <c r="EG2166" s="67"/>
      <c r="EH2166" s="67"/>
      <c r="EI2166" s="67"/>
      <c r="EJ2166" s="67"/>
      <c r="EK2166" s="94"/>
      <c r="EL2166" s="94"/>
      <c r="EM2166" s="67"/>
      <c r="EN2166" s="67"/>
      <c r="EO2166" s="67"/>
      <c r="EP2166" s="67"/>
      <c r="EQ2166" s="67"/>
      <c r="ER2166" s="67"/>
      <c r="ES2166" s="67"/>
      <c r="ET2166" s="67"/>
      <c r="EU2166" s="67"/>
      <c r="EV2166" s="67"/>
      <c r="EW2166" s="67"/>
      <c r="EX2166" s="67"/>
      <c r="EY2166" s="67"/>
      <c r="EZ2166" s="67"/>
      <c r="FA2166" s="67"/>
      <c r="FB2166" s="67"/>
      <c r="FC2166" s="67"/>
      <c r="FD2166" s="67"/>
      <c r="FE2166" s="67"/>
      <c r="FF2166" s="67"/>
      <c r="FG2166" s="67"/>
      <c r="FH2166" s="67"/>
      <c r="FI2166" s="67"/>
      <c r="FJ2166" s="67"/>
      <c r="FK2166" s="67"/>
      <c r="FL2166" s="67"/>
      <c r="FM2166" s="67"/>
      <c r="FN2166" s="67"/>
      <c r="FO2166" s="67"/>
      <c r="FP2166" s="67"/>
      <c r="FQ2166" s="67"/>
      <c r="FR2166" s="67"/>
      <c r="FS2166" s="67"/>
      <c r="FT2166" s="67"/>
      <c r="FU2166" s="67"/>
      <c r="FV2166" s="67"/>
      <c r="FW2166" s="67"/>
      <c r="FX2166" s="67"/>
      <c r="FY2166" s="67"/>
      <c r="FZ2166" s="67"/>
      <c r="GA2166" s="67"/>
      <c r="GB2166" s="67"/>
      <c r="GC2166" s="67"/>
      <c r="GD2166" s="67"/>
      <c r="GE2166" s="67"/>
      <c r="GF2166" s="67"/>
      <c r="GG2166" s="67"/>
      <c r="GH2166" s="67"/>
      <c r="GI2166" s="67"/>
      <c r="GJ2166" s="67"/>
      <c r="GK2166" s="67"/>
      <c r="GL2166" s="67"/>
      <c r="GM2166" s="67"/>
      <c r="GN2166" s="292"/>
      <c r="GO2166" s="292"/>
      <c r="GP2166" s="292" t="s">
        <v>7494</v>
      </c>
      <c r="GQ2166" s="67"/>
      <c r="GR2166" s="67"/>
      <c r="GS2166" s="67"/>
      <c r="GT2166" s="67"/>
      <c r="GU2166" s="67"/>
      <c r="GV2166" s="67"/>
      <c r="GW2166" s="67"/>
      <c r="GX2166" s="67"/>
      <c r="GY2166" s="67"/>
      <c r="GZ2166" s="67"/>
      <c r="HA2166" s="67"/>
      <c r="HB2166" s="67"/>
      <c r="HC2166" s="67"/>
      <c r="HD2166" s="67"/>
      <c r="HE2166" s="67"/>
      <c r="HF2166" s="67"/>
      <c r="HG2166" s="67"/>
      <c r="HH2166" s="67"/>
      <c r="HI2166" s="67"/>
      <c r="HJ2166" s="67"/>
      <c r="HK2166" s="67"/>
      <c r="HL2166" s="67"/>
      <c r="HM2166" s="67"/>
      <c r="HN2166" s="67"/>
      <c r="HO2166" s="67"/>
      <c r="HP2166" s="67"/>
      <c r="HQ2166" s="67"/>
      <c r="HR2166" s="67"/>
      <c r="HS2166" s="67"/>
      <c r="HT2166" s="67"/>
      <c r="HU2166" s="67"/>
      <c r="HV2166" s="67"/>
      <c r="HW2166" s="67"/>
      <c r="HX2166" s="67"/>
      <c r="HY2166" s="67"/>
      <c r="HZ2166" s="67"/>
      <c r="IA2166" s="67"/>
      <c r="IB2166" s="67"/>
      <c r="IC2166" s="67"/>
      <c r="ID2166" s="67"/>
      <c r="IE2166" s="67"/>
      <c r="IF2166" s="67"/>
      <c r="IG2166" s="67"/>
      <c r="IH2166" s="67"/>
      <c r="II2166" s="67"/>
      <c r="IJ2166" s="67"/>
      <c r="IK2166" s="67"/>
      <c r="IL2166" s="67"/>
      <c r="IM2166" s="67"/>
      <c r="IN2166" s="67"/>
      <c r="IO2166" s="67"/>
      <c r="IP2166" s="67"/>
      <c r="IQ2166" s="67"/>
      <c r="IR2166" s="67"/>
      <c r="IS2166" s="67"/>
      <c r="IT2166" s="67"/>
      <c r="IU2166" s="67"/>
      <c r="IV2166" s="67"/>
      <c r="IW2166" s="67"/>
      <c r="IX2166" s="67"/>
      <c r="IY2166" s="67"/>
      <c r="IZ2166" s="67"/>
      <c r="JA2166" s="67"/>
      <c r="JB2166" s="67"/>
      <c r="JC2166" s="67"/>
      <c r="JD2166" s="67"/>
      <c r="JE2166" s="67"/>
      <c r="JF2166" s="67"/>
      <c r="JG2166" s="67"/>
      <c r="JH2166" s="67"/>
      <c r="JI2166" s="67"/>
      <c r="JJ2166" s="67"/>
      <c r="JK2166" s="67"/>
      <c r="JL2166" s="67"/>
      <c r="JM2166" s="67"/>
      <c r="JN2166" s="67"/>
      <c r="JO2166" s="67"/>
      <c r="JP2166" s="67"/>
      <c r="JQ2166" s="67"/>
      <c r="JR2166" s="67"/>
      <c r="JS2166" s="67"/>
      <c r="JT2166" s="67"/>
      <c r="JU2166" s="58"/>
      <c r="JV2166" s="58"/>
      <c r="JW2166" s="58"/>
    </row>
    <row r="2167" spans="1:283" s="23" customFormat="1" x14ac:dyDescent="0.25">
      <c r="A2167" s="55">
        <v>2166</v>
      </c>
      <c r="B2167" s="12" t="s">
        <v>7067</v>
      </c>
      <c r="C2167" s="156">
        <v>100</v>
      </c>
      <c r="D2167" s="58" t="s">
        <v>4148</v>
      </c>
      <c r="E2167" s="94" t="s">
        <v>2108</v>
      </c>
      <c r="F2167" s="94"/>
      <c r="G2167" s="58" t="s">
        <v>2203</v>
      </c>
      <c r="H2167" s="58">
        <v>2000</v>
      </c>
      <c r="I2167" s="58">
        <v>1994</v>
      </c>
      <c r="J2167" s="58" t="s">
        <v>1709</v>
      </c>
      <c r="K2167" s="58" t="s">
        <v>2109</v>
      </c>
      <c r="L2167" s="58" t="s">
        <v>5334</v>
      </c>
      <c r="M2167" s="94">
        <f>-30-51/60</f>
        <v>-30.85</v>
      </c>
      <c r="N2167" s="94">
        <f>-51-38/60</f>
        <v>-51.633333333333333</v>
      </c>
      <c r="O2167" s="94">
        <v>96</v>
      </c>
      <c r="P2167" s="58">
        <v>19.399999999999999</v>
      </c>
      <c r="Q2167" s="58"/>
      <c r="R2167" s="58">
        <v>1440</v>
      </c>
      <c r="S2167" s="94"/>
      <c r="T2167" s="58"/>
      <c r="U2167" s="58">
        <v>10</v>
      </c>
      <c r="V2167" s="58">
        <v>10</v>
      </c>
      <c r="W2167" s="174"/>
      <c r="X2167" s="174"/>
      <c r="Y2167" s="58" t="s">
        <v>2206</v>
      </c>
      <c r="Z2167" s="59" t="s">
        <v>2208</v>
      </c>
      <c r="AA2167" s="94">
        <v>2.5</v>
      </c>
      <c r="AB2167" s="67"/>
      <c r="AC2167" s="67"/>
      <c r="AD2167" s="94">
        <v>1.45</v>
      </c>
      <c r="AE2167" s="94">
        <v>54</v>
      </c>
      <c r="AF2167" s="94">
        <v>24</v>
      </c>
      <c r="AG2167" s="94"/>
      <c r="AH2167" s="58" t="s">
        <v>494</v>
      </c>
      <c r="AI2167" s="169"/>
      <c r="AJ2167" s="94"/>
      <c r="AK2167" s="94"/>
      <c r="AL2167" s="58"/>
      <c r="AM2167" s="58" t="s">
        <v>2110</v>
      </c>
      <c r="AN2167" s="186" t="s">
        <v>2111</v>
      </c>
      <c r="AO2167" s="185" t="s">
        <v>5150</v>
      </c>
      <c r="AP2167" s="58"/>
      <c r="AQ2167" s="58" t="s">
        <v>1547</v>
      </c>
      <c r="AR2167" s="58" t="s">
        <v>2205</v>
      </c>
      <c r="AS2167" s="58" t="s">
        <v>1584</v>
      </c>
      <c r="AT2167" s="182" t="s">
        <v>2204</v>
      </c>
      <c r="AU2167" s="181" t="s">
        <v>5150</v>
      </c>
      <c r="AV2167" s="185" t="s">
        <v>479</v>
      </c>
      <c r="AW2167" s="58" t="s">
        <v>2112</v>
      </c>
      <c r="AX2167" s="185" t="s">
        <v>479</v>
      </c>
      <c r="AY2167" s="58" t="s">
        <v>176</v>
      </c>
      <c r="AZ2167" s="58" t="s">
        <v>1976</v>
      </c>
      <c r="BA2167" s="58" t="s">
        <v>1976</v>
      </c>
      <c r="BB2167" s="58" t="s">
        <v>2081</v>
      </c>
      <c r="BC2167" s="58" t="s">
        <v>2081</v>
      </c>
      <c r="BD2167" s="58" t="s">
        <v>176</v>
      </c>
      <c r="BE2167" s="236"/>
      <c r="BF2167" s="58"/>
      <c r="BG2167" s="58"/>
      <c r="BH2167" s="236"/>
      <c r="BI2167" s="58"/>
      <c r="BJ2167" s="58"/>
      <c r="BK2167" s="58" t="s">
        <v>5976</v>
      </c>
      <c r="BL2167" s="58"/>
      <c r="BM2167" s="237" t="s">
        <v>160</v>
      </c>
      <c r="BN2167" s="58">
        <v>3</v>
      </c>
      <c r="BO2167" s="58">
        <v>3</v>
      </c>
      <c r="BP2167" s="58"/>
      <c r="BQ2167" s="58" t="s">
        <v>141</v>
      </c>
      <c r="BR2167" s="58"/>
      <c r="BS2167" s="58"/>
      <c r="BT2167" s="58"/>
      <c r="BU2167" s="58"/>
      <c r="BV2167" s="58"/>
      <c r="BW2167" s="67"/>
      <c r="BX2167" s="67"/>
      <c r="BY2167" s="67"/>
      <c r="BZ2167" s="67"/>
      <c r="CA2167" s="67"/>
      <c r="CB2167" s="68"/>
      <c r="CC2167" s="68"/>
      <c r="CD2167" s="68"/>
      <c r="CE2167" s="67"/>
      <c r="CF2167" s="67"/>
      <c r="CG2167" s="67"/>
      <c r="CH2167" s="92"/>
      <c r="CI2167" s="94"/>
      <c r="CJ2167" s="67"/>
      <c r="CK2167" s="67"/>
      <c r="CL2167" s="67"/>
      <c r="CM2167" s="67">
        <f>(CR2167*1000000)/(100*100*AD2167*AA2167/100*1000000)*100</f>
        <v>4.515862068965518</v>
      </c>
      <c r="CN2167" s="67">
        <f>(CS2167*1000000)/(100*100*AD2167*AA2167/100*1000000)*100</f>
        <v>5.009655172413793</v>
      </c>
      <c r="CO2167" s="67"/>
      <c r="CP2167" s="67"/>
      <c r="CQ2167" s="67"/>
      <c r="CR2167" s="67">
        <v>16.37</v>
      </c>
      <c r="CS2167" s="67">
        <v>18.16</v>
      </c>
      <c r="CT2167" s="67"/>
      <c r="CU2167" s="67"/>
      <c r="CV2167" s="67" t="s">
        <v>2212</v>
      </c>
      <c r="CW2167" s="67"/>
      <c r="CX2167" s="67"/>
      <c r="CY2167" s="67"/>
      <c r="CZ2167" s="67"/>
      <c r="DA2167" s="67" t="s">
        <v>4463</v>
      </c>
      <c r="DB2167" s="67">
        <v>1.3</v>
      </c>
      <c r="DC2167" s="67">
        <v>1.47</v>
      </c>
      <c r="DD2167" s="67"/>
      <c r="DE2167" s="67"/>
      <c r="DF2167" s="67" t="s">
        <v>2212</v>
      </c>
      <c r="DG2167" s="67"/>
      <c r="DH2167" s="67"/>
      <c r="DI2167" s="67"/>
      <c r="DJ2167" s="67"/>
      <c r="DK2167" s="67"/>
      <c r="DL2167" s="67"/>
      <c r="DM2167" s="67"/>
      <c r="DN2167" s="67"/>
      <c r="DO2167" s="67"/>
      <c r="DP2167" s="67"/>
      <c r="DQ2167" s="166"/>
      <c r="DR2167" s="166"/>
      <c r="DS2167" s="163"/>
      <c r="DT2167" s="163"/>
      <c r="DU2167" s="67"/>
      <c r="DV2167" s="67"/>
      <c r="DW2167" s="67"/>
      <c r="DX2167" s="67"/>
      <c r="DY2167" s="67"/>
      <c r="DZ2167" s="67"/>
      <c r="EA2167" s="67"/>
      <c r="EB2167" s="67"/>
      <c r="EC2167" s="67"/>
      <c r="ED2167" s="67"/>
      <c r="EE2167" s="67"/>
      <c r="EF2167" s="67"/>
      <c r="EG2167" s="67"/>
      <c r="EH2167" s="67"/>
      <c r="EI2167" s="67"/>
      <c r="EJ2167" s="67"/>
      <c r="EK2167" s="94"/>
      <c r="EL2167" s="94"/>
      <c r="EM2167" s="67"/>
      <c r="EN2167" s="67"/>
      <c r="EO2167" s="67"/>
      <c r="EP2167" s="67"/>
      <c r="EQ2167" s="67"/>
      <c r="ER2167" s="67"/>
      <c r="ES2167" s="67"/>
      <c r="ET2167" s="67"/>
      <c r="EU2167" s="67"/>
      <c r="EV2167" s="67"/>
      <c r="EW2167" s="67"/>
      <c r="EX2167" s="67"/>
      <c r="EY2167" s="67"/>
      <c r="EZ2167" s="67"/>
      <c r="FA2167" s="67"/>
      <c r="FB2167" s="67"/>
      <c r="FC2167" s="67"/>
      <c r="FD2167" s="67"/>
      <c r="FE2167" s="67"/>
      <c r="FF2167" s="67"/>
      <c r="FG2167" s="67"/>
      <c r="FH2167" s="67"/>
      <c r="FI2167" s="67"/>
      <c r="FJ2167" s="67"/>
      <c r="FK2167" s="67"/>
      <c r="FL2167" s="67"/>
      <c r="FM2167" s="67"/>
      <c r="FN2167" s="67"/>
      <c r="FO2167" s="67"/>
      <c r="FP2167" s="67"/>
      <c r="FQ2167" s="67"/>
      <c r="FR2167" s="67"/>
      <c r="FS2167" s="67"/>
      <c r="FT2167" s="67"/>
      <c r="FU2167" s="67"/>
      <c r="FV2167" s="67"/>
      <c r="FW2167" s="67"/>
      <c r="FX2167" s="67"/>
      <c r="FY2167" s="67"/>
      <c r="FZ2167" s="67"/>
      <c r="GA2167" s="67"/>
      <c r="GB2167" s="67"/>
      <c r="GC2167" s="67"/>
      <c r="GD2167" s="67"/>
      <c r="GE2167" s="67"/>
      <c r="GF2167" s="67"/>
      <c r="GG2167" s="67"/>
      <c r="GH2167" s="67"/>
      <c r="GI2167" s="67"/>
      <c r="GJ2167" s="67"/>
      <c r="GK2167" s="67"/>
      <c r="GL2167" s="67"/>
      <c r="GM2167" s="67"/>
      <c r="GN2167" s="292"/>
      <c r="GO2167" s="292"/>
      <c r="GP2167" s="292" t="s">
        <v>7494</v>
      </c>
      <c r="GQ2167" s="67"/>
      <c r="GR2167" s="67"/>
      <c r="GS2167" s="67"/>
      <c r="GT2167" s="67"/>
      <c r="GU2167" s="67"/>
      <c r="GV2167" s="67"/>
      <c r="GW2167" s="67"/>
      <c r="GX2167" s="67"/>
      <c r="GY2167" s="67"/>
      <c r="GZ2167" s="67"/>
      <c r="HA2167" s="67"/>
      <c r="HB2167" s="67"/>
      <c r="HC2167" s="67"/>
      <c r="HD2167" s="67"/>
      <c r="HE2167" s="67"/>
      <c r="HF2167" s="67"/>
      <c r="HG2167" s="67"/>
      <c r="HH2167" s="67"/>
      <c r="HI2167" s="67"/>
      <c r="HJ2167" s="67"/>
      <c r="HK2167" s="67"/>
      <c r="HL2167" s="67"/>
      <c r="HM2167" s="67"/>
      <c r="HN2167" s="67"/>
      <c r="HO2167" s="67"/>
      <c r="HP2167" s="67"/>
      <c r="HQ2167" s="67"/>
      <c r="HR2167" s="67"/>
      <c r="HS2167" s="67"/>
      <c r="HT2167" s="67"/>
      <c r="HU2167" s="67"/>
      <c r="HV2167" s="67"/>
      <c r="HW2167" s="67"/>
      <c r="HX2167" s="67"/>
      <c r="HY2167" s="67"/>
      <c r="HZ2167" s="67"/>
      <c r="IA2167" s="67"/>
      <c r="IB2167" s="67"/>
      <c r="IC2167" s="67"/>
      <c r="ID2167" s="67"/>
      <c r="IE2167" s="67"/>
      <c r="IF2167" s="67"/>
      <c r="IG2167" s="67"/>
      <c r="IH2167" s="67"/>
      <c r="II2167" s="67"/>
      <c r="IJ2167" s="67"/>
      <c r="IK2167" s="67"/>
      <c r="IL2167" s="67"/>
      <c r="IM2167" s="67"/>
      <c r="IN2167" s="67"/>
      <c r="IO2167" s="67"/>
      <c r="IP2167" s="67"/>
      <c r="IQ2167" s="67"/>
      <c r="IR2167" s="67"/>
      <c r="IS2167" s="67"/>
      <c r="IT2167" s="67"/>
      <c r="IU2167" s="67"/>
      <c r="IV2167" s="67"/>
      <c r="IW2167" s="67"/>
      <c r="IX2167" s="67"/>
      <c r="IY2167" s="67"/>
      <c r="IZ2167" s="67"/>
      <c r="JA2167" s="67"/>
      <c r="JB2167" s="67"/>
      <c r="JC2167" s="67"/>
      <c r="JD2167" s="67"/>
      <c r="JE2167" s="67"/>
      <c r="JF2167" s="67"/>
      <c r="JG2167" s="67"/>
      <c r="JH2167" s="67"/>
      <c r="JI2167" s="67"/>
      <c r="JJ2167" s="67"/>
      <c r="JK2167" s="67"/>
      <c r="JL2167" s="67"/>
      <c r="JM2167" s="67"/>
      <c r="JN2167" s="67"/>
      <c r="JO2167" s="67"/>
      <c r="JP2167" s="67"/>
      <c r="JQ2167" s="67"/>
      <c r="JR2167" s="67"/>
      <c r="JS2167" s="67"/>
      <c r="JT2167" s="67"/>
      <c r="JU2167" s="58"/>
      <c r="JV2167" s="58"/>
      <c r="JW2167" s="58"/>
    </row>
    <row r="2168" spans="1:283" s="23" customFormat="1" x14ac:dyDescent="0.25">
      <c r="A2168" s="55">
        <v>2167</v>
      </c>
      <c r="B2168" s="12" t="s">
        <v>7067</v>
      </c>
      <c r="C2168" s="156">
        <v>100</v>
      </c>
      <c r="D2168" s="58" t="s">
        <v>4149</v>
      </c>
      <c r="E2168" s="94" t="s">
        <v>2108</v>
      </c>
      <c r="F2168" s="94"/>
      <c r="G2168" s="58" t="s">
        <v>2203</v>
      </c>
      <c r="H2168" s="58">
        <v>2000</v>
      </c>
      <c r="I2168" s="58">
        <v>1994</v>
      </c>
      <c r="J2168" s="58" t="s">
        <v>1709</v>
      </c>
      <c r="K2168" s="58" t="s">
        <v>2109</v>
      </c>
      <c r="L2168" s="58" t="s">
        <v>5334</v>
      </c>
      <c r="M2168" s="94">
        <f>-30-51/60</f>
        <v>-30.85</v>
      </c>
      <c r="N2168" s="94">
        <f>-51-38/60</f>
        <v>-51.633333333333333</v>
      </c>
      <c r="O2168" s="94">
        <v>96</v>
      </c>
      <c r="P2168" s="58">
        <v>19.399999999999999</v>
      </c>
      <c r="Q2168" s="58"/>
      <c r="R2168" s="58">
        <v>1440</v>
      </c>
      <c r="S2168" s="94"/>
      <c r="T2168" s="58"/>
      <c r="U2168" s="58">
        <v>10</v>
      </c>
      <c r="V2168" s="58">
        <v>10</v>
      </c>
      <c r="W2168" s="174"/>
      <c r="X2168" s="174"/>
      <c r="Y2168" s="58" t="s">
        <v>2206</v>
      </c>
      <c r="Z2168" s="59" t="s">
        <v>2209</v>
      </c>
      <c r="AA2168" s="94">
        <v>2.5</v>
      </c>
      <c r="AB2168" s="67"/>
      <c r="AC2168" s="67"/>
      <c r="AD2168" s="94">
        <v>1.45</v>
      </c>
      <c r="AE2168" s="94">
        <v>54</v>
      </c>
      <c r="AF2168" s="94">
        <v>24</v>
      </c>
      <c r="AG2168" s="94"/>
      <c r="AH2168" s="58" t="s">
        <v>494</v>
      </c>
      <c r="AI2168" s="169"/>
      <c r="AJ2168" s="94"/>
      <c r="AK2168" s="94"/>
      <c r="AL2168" s="58"/>
      <c r="AM2168" s="58" t="s">
        <v>2110</v>
      </c>
      <c r="AN2168" s="186" t="s">
        <v>2111</v>
      </c>
      <c r="AO2168" s="185" t="s">
        <v>5150</v>
      </c>
      <c r="AP2168" s="58"/>
      <c r="AQ2168" s="58" t="s">
        <v>1547</v>
      </c>
      <c r="AR2168" s="58" t="s">
        <v>2205</v>
      </c>
      <c r="AS2168" s="58" t="s">
        <v>1584</v>
      </c>
      <c r="AT2168" s="182" t="s">
        <v>2204</v>
      </c>
      <c r="AU2168" s="181" t="s">
        <v>5150</v>
      </c>
      <c r="AV2168" s="185" t="s">
        <v>479</v>
      </c>
      <c r="AW2168" s="58" t="s">
        <v>2112</v>
      </c>
      <c r="AX2168" s="185" t="s">
        <v>479</v>
      </c>
      <c r="AY2168" s="58" t="s">
        <v>176</v>
      </c>
      <c r="AZ2168" s="58" t="s">
        <v>1976</v>
      </c>
      <c r="BA2168" s="58" t="s">
        <v>1976</v>
      </c>
      <c r="BB2168" s="58" t="s">
        <v>2081</v>
      </c>
      <c r="BC2168" s="58" t="s">
        <v>2081</v>
      </c>
      <c r="BD2168" s="58" t="s">
        <v>176</v>
      </c>
      <c r="BE2168" s="236"/>
      <c r="BF2168" s="58"/>
      <c r="BG2168" s="58"/>
      <c r="BH2168" s="236"/>
      <c r="BI2168" s="58"/>
      <c r="BJ2168" s="58"/>
      <c r="BK2168" s="58" t="s">
        <v>5976</v>
      </c>
      <c r="BL2168" s="58"/>
      <c r="BM2168" s="237" t="s">
        <v>160</v>
      </c>
      <c r="BN2168" s="58">
        <v>3</v>
      </c>
      <c r="BO2168" s="58">
        <v>3</v>
      </c>
      <c r="BP2168" s="58"/>
      <c r="BQ2168" s="58" t="s">
        <v>141</v>
      </c>
      <c r="BR2168" s="58"/>
      <c r="BS2168" s="58"/>
      <c r="BT2168" s="58"/>
      <c r="BU2168" s="58"/>
      <c r="BV2168" s="58"/>
      <c r="BW2168" s="67"/>
      <c r="BX2168" s="67"/>
      <c r="BY2168" s="67"/>
      <c r="BZ2168" s="67"/>
      <c r="CA2168" s="67"/>
      <c r="CB2168" s="68"/>
      <c r="CC2168" s="68"/>
      <c r="CD2168" s="68"/>
      <c r="CE2168" s="67"/>
      <c r="CF2168" s="67"/>
      <c r="CG2168" s="67"/>
      <c r="CH2168" s="92"/>
      <c r="CI2168" s="94"/>
      <c r="CJ2168" s="67"/>
      <c r="CK2168" s="67"/>
      <c r="CL2168" s="67"/>
      <c r="CM2168" s="67">
        <f>(CR2168*1000000)/(100*100*AD2168*AA2168/100*1000000)*100</f>
        <v>4.2510344827586204</v>
      </c>
      <c r="CN2168" s="67">
        <f>(CS2168*1000000)/(100*100*AD2168*AA2168/100*1000000)*100</f>
        <v>5.1227586206896554</v>
      </c>
      <c r="CO2168" s="67"/>
      <c r="CP2168" s="67"/>
      <c r="CQ2168" s="67"/>
      <c r="CR2168" s="67">
        <v>15.41</v>
      </c>
      <c r="CS2168" s="67">
        <v>18.57</v>
      </c>
      <c r="CT2168" s="67"/>
      <c r="CU2168" s="67"/>
      <c r="CV2168" s="67" t="s">
        <v>2212</v>
      </c>
      <c r="CW2168" s="67"/>
      <c r="CX2168" s="67"/>
      <c r="CY2168" s="67"/>
      <c r="CZ2168" s="67"/>
      <c r="DA2168" s="67" t="s">
        <v>4463</v>
      </c>
      <c r="DB2168" s="67">
        <v>1.2669999999999999</v>
      </c>
      <c r="DC2168" s="67">
        <v>1.54</v>
      </c>
      <c r="DD2168" s="67"/>
      <c r="DE2168" s="67"/>
      <c r="DF2168" s="67" t="s">
        <v>2212</v>
      </c>
      <c r="DG2168" s="67"/>
      <c r="DH2168" s="67"/>
      <c r="DI2168" s="67"/>
      <c r="DJ2168" s="67"/>
      <c r="DK2168" s="67"/>
      <c r="DL2168" s="67"/>
      <c r="DM2168" s="67"/>
      <c r="DN2168" s="67"/>
      <c r="DO2168" s="67"/>
      <c r="DP2168" s="67"/>
      <c r="DQ2168" s="166"/>
      <c r="DR2168" s="166"/>
      <c r="DS2168" s="163"/>
      <c r="DT2168" s="163"/>
      <c r="DU2168" s="67"/>
      <c r="DV2168" s="67"/>
      <c r="DW2168" s="67"/>
      <c r="DX2168" s="67"/>
      <c r="DY2168" s="67"/>
      <c r="DZ2168" s="67"/>
      <c r="EA2168" s="67"/>
      <c r="EB2168" s="67"/>
      <c r="EC2168" s="67"/>
      <c r="ED2168" s="67"/>
      <c r="EE2168" s="67"/>
      <c r="EF2168" s="67"/>
      <c r="EG2168" s="67"/>
      <c r="EH2168" s="67"/>
      <c r="EI2168" s="67"/>
      <c r="EJ2168" s="67"/>
      <c r="EK2168" s="94"/>
      <c r="EL2168" s="94"/>
      <c r="EM2168" s="67"/>
      <c r="EN2168" s="67"/>
      <c r="EO2168" s="67"/>
      <c r="EP2168" s="67"/>
      <c r="EQ2168" s="67"/>
      <c r="ER2168" s="67"/>
      <c r="ES2168" s="67"/>
      <c r="ET2168" s="67"/>
      <c r="EU2168" s="67"/>
      <c r="EV2168" s="67"/>
      <c r="EW2168" s="67"/>
      <c r="EX2168" s="67"/>
      <c r="EY2168" s="67"/>
      <c r="EZ2168" s="67"/>
      <c r="FA2168" s="67"/>
      <c r="FB2168" s="67"/>
      <c r="FC2168" s="67"/>
      <c r="FD2168" s="67"/>
      <c r="FE2168" s="67"/>
      <c r="FF2168" s="67"/>
      <c r="FG2168" s="67"/>
      <c r="FH2168" s="67"/>
      <c r="FI2168" s="67"/>
      <c r="FJ2168" s="67"/>
      <c r="FK2168" s="67"/>
      <c r="FL2168" s="67"/>
      <c r="FM2168" s="67"/>
      <c r="FN2168" s="67"/>
      <c r="FO2168" s="67"/>
      <c r="FP2168" s="67"/>
      <c r="FQ2168" s="67"/>
      <c r="FR2168" s="67"/>
      <c r="FS2168" s="67"/>
      <c r="FT2168" s="67"/>
      <c r="FU2168" s="67"/>
      <c r="FV2168" s="67"/>
      <c r="FW2168" s="67"/>
      <c r="FX2168" s="67"/>
      <c r="FY2168" s="67"/>
      <c r="FZ2168" s="67"/>
      <c r="GA2168" s="67"/>
      <c r="GB2168" s="67"/>
      <c r="GC2168" s="67"/>
      <c r="GD2168" s="67"/>
      <c r="GE2168" s="67"/>
      <c r="GF2168" s="67"/>
      <c r="GG2168" s="67"/>
      <c r="GH2168" s="67"/>
      <c r="GI2168" s="67"/>
      <c r="GJ2168" s="67"/>
      <c r="GK2168" s="67"/>
      <c r="GL2168" s="67"/>
      <c r="GM2168" s="67"/>
      <c r="GN2168" s="292"/>
      <c r="GO2168" s="292"/>
      <c r="GP2168" s="292" t="s">
        <v>7494</v>
      </c>
      <c r="GQ2168" s="67"/>
      <c r="GR2168" s="67"/>
      <c r="GS2168" s="67"/>
      <c r="GT2168" s="67"/>
      <c r="GU2168" s="67"/>
      <c r="GV2168" s="67"/>
      <c r="GW2168" s="67"/>
      <c r="GX2168" s="67"/>
      <c r="GY2168" s="67"/>
      <c r="GZ2168" s="67"/>
      <c r="HA2168" s="67"/>
      <c r="HB2168" s="67"/>
      <c r="HC2168" s="67"/>
      <c r="HD2168" s="67"/>
      <c r="HE2168" s="67"/>
      <c r="HF2168" s="67"/>
      <c r="HG2168" s="67"/>
      <c r="HH2168" s="67"/>
      <c r="HI2168" s="67"/>
      <c r="HJ2168" s="67"/>
      <c r="HK2168" s="67"/>
      <c r="HL2168" s="67"/>
      <c r="HM2168" s="67"/>
      <c r="HN2168" s="67"/>
      <c r="HO2168" s="67"/>
      <c r="HP2168" s="67"/>
      <c r="HQ2168" s="67"/>
      <c r="HR2168" s="67"/>
      <c r="HS2168" s="67"/>
      <c r="HT2168" s="67"/>
      <c r="HU2168" s="67"/>
      <c r="HV2168" s="67"/>
      <c r="HW2168" s="67"/>
      <c r="HX2168" s="67"/>
      <c r="HY2168" s="67"/>
      <c r="HZ2168" s="67"/>
      <c r="IA2168" s="67"/>
      <c r="IB2168" s="67"/>
      <c r="IC2168" s="67"/>
      <c r="ID2168" s="67"/>
      <c r="IE2168" s="67"/>
      <c r="IF2168" s="67"/>
      <c r="IG2168" s="67"/>
      <c r="IH2168" s="67"/>
      <c r="II2168" s="67"/>
      <c r="IJ2168" s="67"/>
      <c r="IK2168" s="67"/>
      <c r="IL2168" s="67"/>
      <c r="IM2168" s="67"/>
      <c r="IN2168" s="67"/>
      <c r="IO2168" s="67"/>
      <c r="IP2168" s="67"/>
      <c r="IQ2168" s="67"/>
      <c r="IR2168" s="67"/>
      <c r="IS2168" s="67"/>
      <c r="IT2168" s="67"/>
      <c r="IU2168" s="67"/>
      <c r="IV2168" s="67"/>
      <c r="IW2168" s="67"/>
      <c r="IX2168" s="67"/>
      <c r="IY2168" s="67"/>
      <c r="IZ2168" s="67"/>
      <c r="JA2168" s="67"/>
      <c r="JB2168" s="67"/>
      <c r="JC2168" s="67"/>
      <c r="JD2168" s="67"/>
      <c r="JE2168" s="67"/>
      <c r="JF2168" s="67"/>
      <c r="JG2168" s="67"/>
      <c r="JH2168" s="67"/>
      <c r="JI2168" s="67"/>
      <c r="JJ2168" s="67"/>
      <c r="JK2168" s="67"/>
      <c r="JL2168" s="67"/>
      <c r="JM2168" s="67"/>
      <c r="JN2168" s="67"/>
      <c r="JO2168" s="67"/>
      <c r="JP2168" s="67"/>
      <c r="JQ2168" s="67"/>
      <c r="JR2168" s="67"/>
      <c r="JS2168" s="67"/>
      <c r="JT2168" s="67"/>
      <c r="JU2168" s="58"/>
      <c r="JV2168" s="58"/>
      <c r="JW2168" s="58"/>
    </row>
    <row r="2169" spans="1:283" s="23" customFormat="1" x14ac:dyDescent="0.25">
      <c r="A2169" s="55">
        <v>2168</v>
      </c>
      <c r="B2169" s="12" t="s">
        <v>7067</v>
      </c>
      <c r="C2169" s="156">
        <v>100</v>
      </c>
      <c r="D2169" s="58" t="s">
        <v>4150</v>
      </c>
      <c r="E2169" s="94" t="s">
        <v>2108</v>
      </c>
      <c r="F2169" s="94"/>
      <c r="G2169" s="58" t="s">
        <v>2203</v>
      </c>
      <c r="H2169" s="58">
        <v>2000</v>
      </c>
      <c r="I2169" s="58">
        <v>1994</v>
      </c>
      <c r="J2169" s="58" t="s">
        <v>1709</v>
      </c>
      <c r="K2169" s="58" t="s">
        <v>2109</v>
      </c>
      <c r="L2169" s="58" t="s">
        <v>5334</v>
      </c>
      <c r="M2169" s="94">
        <f>-30-51/60</f>
        <v>-30.85</v>
      </c>
      <c r="N2169" s="94">
        <f>-51-38/60</f>
        <v>-51.633333333333333</v>
      </c>
      <c r="O2169" s="94">
        <v>96</v>
      </c>
      <c r="P2169" s="58">
        <v>19.399999999999999</v>
      </c>
      <c r="Q2169" s="58"/>
      <c r="R2169" s="58">
        <v>1440</v>
      </c>
      <c r="S2169" s="94"/>
      <c r="T2169" s="58"/>
      <c r="U2169" s="58">
        <v>10</v>
      </c>
      <c r="V2169" s="58">
        <v>10</v>
      </c>
      <c r="W2169" s="174"/>
      <c r="X2169" s="174"/>
      <c r="Y2169" s="58" t="s">
        <v>2206</v>
      </c>
      <c r="Z2169" s="59" t="s">
        <v>2210</v>
      </c>
      <c r="AA2169" s="94">
        <v>2.5</v>
      </c>
      <c r="AB2169" s="67"/>
      <c r="AC2169" s="67"/>
      <c r="AD2169" s="94">
        <v>1.45</v>
      </c>
      <c r="AE2169" s="94">
        <v>54</v>
      </c>
      <c r="AF2169" s="94">
        <v>24</v>
      </c>
      <c r="AG2169" s="94"/>
      <c r="AH2169" s="58" t="s">
        <v>494</v>
      </c>
      <c r="AI2169" s="169"/>
      <c r="AJ2169" s="94"/>
      <c r="AK2169" s="94"/>
      <c r="AL2169" s="58"/>
      <c r="AM2169" s="58" t="s">
        <v>2110</v>
      </c>
      <c r="AN2169" s="186" t="s">
        <v>2111</v>
      </c>
      <c r="AO2169" s="185" t="s">
        <v>5150</v>
      </c>
      <c r="AP2169" s="58"/>
      <c r="AQ2169" s="58" t="s">
        <v>1547</v>
      </c>
      <c r="AR2169" s="58" t="s">
        <v>2205</v>
      </c>
      <c r="AS2169" s="58" t="s">
        <v>1584</v>
      </c>
      <c r="AT2169" s="182" t="s">
        <v>2204</v>
      </c>
      <c r="AU2169" s="181" t="s">
        <v>5150</v>
      </c>
      <c r="AV2169" s="185" t="s">
        <v>479</v>
      </c>
      <c r="AW2169" s="58" t="s">
        <v>2112</v>
      </c>
      <c r="AX2169" s="185" t="s">
        <v>479</v>
      </c>
      <c r="AY2169" s="58" t="s">
        <v>176</v>
      </c>
      <c r="AZ2169" s="58" t="s">
        <v>1976</v>
      </c>
      <c r="BA2169" s="58" t="s">
        <v>1976</v>
      </c>
      <c r="BB2169" s="58" t="s">
        <v>2081</v>
      </c>
      <c r="BC2169" s="58" t="s">
        <v>2081</v>
      </c>
      <c r="BD2169" s="58" t="s">
        <v>176</v>
      </c>
      <c r="BE2169" s="236"/>
      <c r="BF2169" s="58"/>
      <c r="BG2169" s="58"/>
      <c r="BH2169" s="236"/>
      <c r="BI2169" s="58"/>
      <c r="BJ2169" s="58"/>
      <c r="BK2169" s="58" t="s">
        <v>5976</v>
      </c>
      <c r="BL2169" s="58"/>
      <c r="BM2169" s="237" t="s">
        <v>160</v>
      </c>
      <c r="BN2169" s="58">
        <v>3</v>
      </c>
      <c r="BO2169" s="58">
        <v>3</v>
      </c>
      <c r="BP2169" s="58"/>
      <c r="BQ2169" s="58" t="s">
        <v>141</v>
      </c>
      <c r="BR2169" s="58"/>
      <c r="BS2169" s="58"/>
      <c r="BT2169" s="58"/>
      <c r="BU2169" s="58"/>
      <c r="BV2169" s="58"/>
      <c r="BW2169" s="67"/>
      <c r="BX2169" s="67"/>
      <c r="BY2169" s="67"/>
      <c r="BZ2169" s="67"/>
      <c r="CA2169" s="67"/>
      <c r="CB2169" s="68"/>
      <c r="CC2169" s="68"/>
      <c r="CD2169" s="68"/>
      <c r="CE2169" s="67"/>
      <c r="CF2169" s="67"/>
      <c r="CG2169" s="67"/>
      <c r="CH2169" s="92"/>
      <c r="CI2169" s="94"/>
      <c r="CJ2169" s="67"/>
      <c r="CK2169" s="67"/>
      <c r="CL2169" s="67"/>
      <c r="CM2169" s="67">
        <f>(CR2169*1000000)/(100*100*AD2169*AA2169/100*1000000)*100</f>
        <v>4.2510344827586204</v>
      </c>
      <c r="CN2169" s="67">
        <f>(CS2169*1000000)/(100*100*AD2169*AA2169/100*1000000)*100</f>
        <v>4.7448275862068963</v>
      </c>
      <c r="CO2169" s="67"/>
      <c r="CP2169" s="67"/>
      <c r="CQ2169" s="67"/>
      <c r="CR2169" s="67">
        <v>15.41</v>
      </c>
      <c r="CS2169" s="67">
        <v>17.2</v>
      </c>
      <c r="CT2169" s="67"/>
      <c r="CU2169" s="67"/>
      <c r="CV2169" s="67" t="s">
        <v>2212</v>
      </c>
      <c r="CW2169" s="67"/>
      <c r="CX2169" s="67"/>
      <c r="CY2169" s="67"/>
      <c r="CZ2169" s="67"/>
      <c r="DA2169" s="67" t="s">
        <v>4463</v>
      </c>
      <c r="DB2169" s="67">
        <v>1.2549999999999999</v>
      </c>
      <c r="DC2169" s="67">
        <v>1.47</v>
      </c>
      <c r="DD2169" s="67"/>
      <c r="DE2169" s="67"/>
      <c r="DF2169" s="67" t="s">
        <v>2212</v>
      </c>
      <c r="DG2169" s="67"/>
      <c r="DH2169" s="67"/>
      <c r="DI2169" s="67"/>
      <c r="DJ2169" s="67"/>
      <c r="DK2169" s="67"/>
      <c r="DL2169" s="67"/>
      <c r="DM2169" s="67"/>
      <c r="DN2169" s="67"/>
      <c r="DO2169" s="67"/>
      <c r="DP2169" s="67"/>
      <c r="DQ2169" s="166"/>
      <c r="DR2169" s="166"/>
      <c r="DS2169" s="163"/>
      <c r="DT2169" s="163"/>
      <c r="DU2169" s="67"/>
      <c r="DV2169" s="67"/>
      <c r="DW2169" s="67"/>
      <c r="DX2169" s="67"/>
      <c r="DY2169" s="67"/>
      <c r="DZ2169" s="67"/>
      <c r="EA2169" s="67"/>
      <c r="EB2169" s="67"/>
      <c r="EC2169" s="67"/>
      <c r="ED2169" s="67"/>
      <c r="EE2169" s="67"/>
      <c r="EF2169" s="67"/>
      <c r="EG2169" s="67"/>
      <c r="EH2169" s="67"/>
      <c r="EI2169" s="67"/>
      <c r="EJ2169" s="67"/>
      <c r="EK2169" s="94"/>
      <c r="EL2169" s="94"/>
      <c r="EM2169" s="67"/>
      <c r="EN2169" s="67"/>
      <c r="EO2169" s="67"/>
      <c r="EP2169" s="67"/>
      <c r="EQ2169" s="67"/>
      <c r="ER2169" s="67"/>
      <c r="ES2169" s="67"/>
      <c r="ET2169" s="67"/>
      <c r="EU2169" s="67"/>
      <c r="EV2169" s="67"/>
      <c r="EW2169" s="67"/>
      <c r="EX2169" s="67"/>
      <c r="EY2169" s="67"/>
      <c r="EZ2169" s="67"/>
      <c r="FA2169" s="67"/>
      <c r="FB2169" s="67"/>
      <c r="FC2169" s="67"/>
      <c r="FD2169" s="67"/>
      <c r="FE2169" s="67"/>
      <c r="FF2169" s="67"/>
      <c r="FG2169" s="67"/>
      <c r="FH2169" s="67"/>
      <c r="FI2169" s="67"/>
      <c r="FJ2169" s="67"/>
      <c r="FK2169" s="67"/>
      <c r="FL2169" s="67"/>
      <c r="FM2169" s="67"/>
      <c r="FN2169" s="67"/>
      <c r="FO2169" s="67"/>
      <c r="FP2169" s="67"/>
      <c r="FQ2169" s="67"/>
      <c r="FR2169" s="67"/>
      <c r="FS2169" s="67"/>
      <c r="FT2169" s="67"/>
      <c r="FU2169" s="67"/>
      <c r="FV2169" s="67"/>
      <c r="FW2169" s="67"/>
      <c r="FX2169" s="67"/>
      <c r="FY2169" s="67"/>
      <c r="FZ2169" s="67"/>
      <c r="GA2169" s="67"/>
      <c r="GB2169" s="67"/>
      <c r="GC2169" s="67"/>
      <c r="GD2169" s="67"/>
      <c r="GE2169" s="67"/>
      <c r="GF2169" s="67"/>
      <c r="GG2169" s="67"/>
      <c r="GH2169" s="67"/>
      <c r="GI2169" s="67"/>
      <c r="GJ2169" s="67"/>
      <c r="GK2169" s="67"/>
      <c r="GL2169" s="67"/>
      <c r="GM2169" s="67"/>
      <c r="GN2169" s="292"/>
      <c r="GO2169" s="292"/>
      <c r="GP2169" s="292" t="s">
        <v>7494</v>
      </c>
      <c r="GQ2169" s="67"/>
      <c r="GR2169" s="67"/>
      <c r="GS2169" s="67"/>
      <c r="GT2169" s="67"/>
      <c r="GU2169" s="67"/>
      <c r="GV2169" s="67"/>
      <c r="GW2169" s="67"/>
      <c r="GX2169" s="67"/>
      <c r="GY2169" s="67"/>
      <c r="GZ2169" s="67"/>
      <c r="HA2169" s="67"/>
      <c r="HB2169" s="67"/>
      <c r="HC2169" s="67"/>
      <c r="HD2169" s="67"/>
      <c r="HE2169" s="67"/>
      <c r="HF2169" s="67"/>
      <c r="HG2169" s="67"/>
      <c r="HH2169" s="67"/>
      <c r="HI2169" s="67"/>
      <c r="HJ2169" s="67"/>
      <c r="HK2169" s="67"/>
      <c r="HL2169" s="67"/>
      <c r="HM2169" s="67"/>
      <c r="HN2169" s="67"/>
      <c r="HO2169" s="67"/>
      <c r="HP2169" s="67"/>
      <c r="HQ2169" s="67"/>
      <c r="HR2169" s="67"/>
      <c r="HS2169" s="67"/>
      <c r="HT2169" s="67"/>
      <c r="HU2169" s="67"/>
      <c r="HV2169" s="67"/>
      <c r="HW2169" s="67"/>
      <c r="HX2169" s="67"/>
      <c r="HY2169" s="67"/>
      <c r="HZ2169" s="67"/>
      <c r="IA2169" s="67"/>
      <c r="IB2169" s="67"/>
      <c r="IC2169" s="67"/>
      <c r="ID2169" s="67"/>
      <c r="IE2169" s="67"/>
      <c r="IF2169" s="67"/>
      <c r="IG2169" s="67"/>
      <c r="IH2169" s="67"/>
      <c r="II2169" s="67"/>
      <c r="IJ2169" s="67"/>
      <c r="IK2169" s="67"/>
      <c r="IL2169" s="67"/>
      <c r="IM2169" s="67"/>
      <c r="IN2169" s="67"/>
      <c r="IO2169" s="67"/>
      <c r="IP2169" s="67"/>
      <c r="IQ2169" s="67"/>
      <c r="IR2169" s="67"/>
      <c r="IS2169" s="67"/>
      <c r="IT2169" s="67"/>
      <c r="IU2169" s="67"/>
      <c r="IV2169" s="67"/>
      <c r="IW2169" s="67"/>
      <c r="IX2169" s="67"/>
      <c r="IY2169" s="67"/>
      <c r="IZ2169" s="67"/>
      <c r="JA2169" s="67"/>
      <c r="JB2169" s="67"/>
      <c r="JC2169" s="67"/>
      <c r="JD2169" s="67"/>
      <c r="JE2169" s="67"/>
      <c r="JF2169" s="67"/>
      <c r="JG2169" s="67"/>
      <c r="JH2169" s="67"/>
      <c r="JI2169" s="67"/>
      <c r="JJ2169" s="67"/>
      <c r="JK2169" s="67"/>
      <c r="JL2169" s="67"/>
      <c r="JM2169" s="67"/>
      <c r="JN2169" s="67"/>
      <c r="JO2169" s="67"/>
      <c r="JP2169" s="67"/>
      <c r="JQ2169" s="67"/>
      <c r="JR2169" s="67"/>
      <c r="JS2169" s="67"/>
      <c r="JT2169" s="67"/>
      <c r="JU2169" s="58"/>
      <c r="JV2169" s="58"/>
      <c r="JW2169" s="58"/>
    </row>
    <row r="2170" spans="1:283" s="23" customFormat="1" x14ac:dyDescent="0.25">
      <c r="A2170" s="55">
        <v>2169</v>
      </c>
      <c r="B2170" s="12" t="s">
        <v>7067</v>
      </c>
      <c r="C2170" s="156">
        <v>100</v>
      </c>
      <c r="D2170" s="58" t="s">
        <v>4151</v>
      </c>
      <c r="E2170" s="94" t="s">
        <v>2108</v>
      </c>
      <c r="F2170" s="94"/>
      <c r="G2170" s="58" t="s">
        <v>2203</v>
      </c>
      <c r="H2170" s="58">
        <v>2000</v>
      </c>
      <c r="I2170" s="58">
        <v>1994</v>
      </c>
      <c r="J2170" s="58" t="s">
        <v>1709</v>
      </c>
      <c r="K2170" s="58" t="s">
        <v>2109</v>
      </c>
      <c r="L2170" s="58" t="s">
        <v>5334</v>
      </c>
      <c r="M2170" s="94">
        <f>-30-51/60</f>
        <v>-30.85</v>
      </c>
      <c r="N2170" s="94">
        <f>-51-38/60</f>
        <v>-51.633333333333333</v>
      </c>
      <c r="O2170" s="94">
        <v>96</v>
      </c>
      <c r="P2170" s="58">
        <v>19.399999999999999</v>
      </c>
      <c r="Q2170" s="58"/>
      <c r="R2170" s="58">
        <v>1440</v>
      </c>
      <c r="S2170" s="94"/>
      <c r="T2170" s="58"/>
      <c r="U2170" s="58">
        <v>10</v>
      </c>
      <c r="V2170" s="58">
        <v>10</v>
      </c>
      <c r="W2170" s="174"/>
      <c r="X2170" s="174"/>
      <c r="Y2170" s="58" t="s">
        <v>2206</v>
      </c>
      <c r="Z2170" s="59" t="s">
        <v>2211</v>
      </c>
      <c r="AA2170" s="94">
        <v>2.5</v>
      </c>
      <c r="AB2170" s="67"/>
      <c r="AC2170" s="67"/>
      <c r="AD2170" s="94">
        <v>1.45</v>
      </c>
      <c r="AE2170" s="94">
        <v>54</v>
      </c>
      <c r="AF2170" s="94">
        <v>24</v>
      </c>
      <c r="AG2170" s="94"/>
      <c r="AH2170" s="58" t="s">
        <v>494</v>
      </c>
      <c r="AI2170" s="169"/>
      <c r="AJ2170" s="94"/>
      <c r="AK2170" s="94"/>
      <c r="AL2170" s="58"/>
      <c r="AM2170" s="58" t="s">
        <v>2110</v>
      </c>
      <c r="AN2170" s="186" t="s">
        <v>2111</v>
      </c>
      <c r="AO2170" s="185" t="s">
        <v>5150</v>
      </c>
      <c r="AP2170" s="58"/>
      <c r="AQ2170" s="58" t="s">
        <v>1547</v>
      </c>
      <c r="AR2170" s="58" t="s">
        <v>2205</v>
      </c>
      <c r="AS2170" s="58" t="s">
        <v>1584</v>
      </c>
      <c r="AT2170" s="182" t="s">
        <v>2204</v>
      </c>
      <c r="AU2170" s="181" t="s">
        <v>5150</v>
      </c>
      <c r="AV2170" s="185" t="s">
        <v>479</v>
      </c>
      <c r="AW2170" s="58" t="s">
        <v>2112</v>
      </c>
      <c r="AX2170" s="185" t="s">
        <v>479</v>
      </c>
      <c r="AY2170" s="58" t="s">
        <v>176</v>
      </c>
      <c r="AZ2170" s="58" t="s">
        <v>1976</v>
      </c>
      <c r="BA2170" s="58" t="s">
        <v>1976</v>
      </c>
      <c r="BB2170" s="58" t="s">
        <v>2081</v>
      </c>
      <c r="BC2170" s="58" t="s">
        <v>2081</v>
      </c>
      <c r="BD2170" s="58" t="s">
        <v>176</v>
      </c>
      <c r="BE2170" s="236"/>
      <c r="BF2170" s="58"/>
      <c r="BG2170" s="58"/>
      <c r="BH2170" s="236"/>
      <c r="BI2170" s="58"/>
      <c r="BJ2170" s="58"/>
      <c r="BK2170" s="58" t="s">
        <v>5976</v>
      </c>
      <c r="BL2170" s="58"/>
      <c r="BM2170" s="237" t="s">
        <v>160</v>
      </c>
      <c r="BN2170" s="58">
        <v>3</v>
      </c>
      <c r="BO2170" s="58">
        <v>3</v>
      </c>
      <c r="BP2170" s="58"/>
      <c r="BQ2170" s="58" t="s">
        <v>141</v>
      </c>
      <c r="BR2170" s="58"/>
      <c r="BS2170" s="58"/>
      <c r="BT2170" s="58"/>
      <c r="BU2170" s="58"/>
      <c r="BV2170" s="58"/>
      <c r="BW2170" s="67"/>
      <c r="BX2170" s="67"/>
      <c r="BY2170" s="67"/>
      <c r="BZ2170" s="67"/>
      <c r="CA2170" s="67"/>
      <c r="CB2170" s="68"/>
      <c r="CC2170" s="68"/>
      <c r="CD2170" s="68"/>
      <c r="CE2170" s="67"/>
      <c r="CF2170" s="67"/>
      <c r="CG2170" s="67"/>
      <c r="CH2170" s="92"/>
      <c r="CI2170" s="94"/>
      <c r="CJ2170" s="67"/>
      <c r="CK2170" s="67"/>
      <c r="CL2170" s="67"/>
      <c r="CM2170" s="67">
        <f>(CR2170*1000000)/(100*100*AD2170*AA2170/100*1000000)*100</f>
        <v>4.0248275862068965</v>
      </c>
      <c r="CN2170" s="67">
        <f>(CS2170*1000000)/(100*100*AD2170*AA2170/100*1000000)*100</f>
        <v>4.7448275862068963</v>
      </c>
      <c r="CO2170" s="67"/>
      <c r="CP2170" s="67"/>
      <c r="CQ2170" s="67"/>
      <c r="CR2170" s="67">
        <v>14.59</v>
      </c>
      <c r="CS2170" s="67">
        <v>17.2</v>
      </c>
      <c r="CT2170" s="67"/>
      <c r="CU2170" s="67"/>
      <c r="CV2170" s="67" t="s">
        <v>2212</v>
      </c>
      <c r="CW2170" s="67"/>
      <c r="CX2170" s="67"/>
      <c r="CY2170" s="67"/>
      <c r="CZ2170" s="67"/>
      <c r="DA2170" s="67" t="s">
        <v>4463</v>
      </c>
      <c r="DB2170" s="67">
        <v>1.33</v>
      </c>
      <c r="DC2170" s="67">
        <v>1.51</v>
      </c>
      <c r="DD2170" s="67"/>
      <c r="DE2170" s="67"/>
      <c r="DF2170" s="67" t="s">
        <v>2212</v>
      </c>
      <c r="DG2170" s="67"/>
      <c r="DH2170" s="67"/>
      <c r="DI2170" s="67"/>
      <c r="DJ2170" s="67"/>
      <c r="DK2170" s="67"/>
      <c r="DL2170" s="67"/>
      <c r="DM2170" s="67"/>
      <c r="DN2170" s="67"/>
      <c r="DO2170" s="67"/>
      <c r="DP2170" s="67"/>
      <c r="DQ2170" s="166"/>
      <c r="DR2170" s="166"/>
      <c r="DS2170" s="163"/>
      <c r="DT2170" s="163"/>
      <c r="DU2170" s="67"/>
      <c r="DV2170" s="67"/>
      <c r="DW2170" s="67"/>
      <c r="DX2170" s="67"/>
      <c r="DY2170" s="67"/>
      <c r="DZ2170" s="67"/>
      <c r="EA2170" s="67"/>
      <c r="EB2170" s="67"/>
      <c r="EC2170" s="67"/>
      <c r="ED2170" s="67"/>
      <c r="EE2170" s="67"/>
      <c r="EF2170" s="67"/>
      <c r="EG2170" s="67"/>
      <c r="EH2170" s="67"/>
      <c r="EI2170" s="67"/>
      <c r="EJ2170" s="67"/>
      <c r="EK2170" s="94"/>
      <c r="EL2170" s="94"/>
      <c r="EM2170" s="67"/>
      <c r="EN2170" s="67"/>
      <c r="EO2170" s="67"/>
      <c r="EP2170" s="67"/>
      <c r="EQ2170" s="67"/>
      <c r="ER2170" s="67"/>
      <c r="ES2170" s="67"/>
      <c r="ET2170" s="67"/>
      <c r="EU2170" s="67"/>
      <c r="EV2170" s="67"/>
      <c r="EW2170" s="67"/>
      <c r="EX2170" s="67"/>
      <c r="EY2170" s="67"/>
      <c r="EZ2170" s="67"/>
      <c r="FA2170" s="67"/>
      <c r="FB2170" s="67"/>
      <c r="FC2170" s="67"/>
      <c r="FD2170" s="67"/>
      <c r="FE2170" s="67"/>
      <c r="FF2170" s="67"/>
      <c r="FG2170" s="67"/>
      <c r="FH2170" s="67"/>
      <c r="FI2170" s="67"/>
      <c r="FJ2170" s="67"/>
      <c r="FK2170" s="67"/>
      <c r="FL2170" s="67"/>
      <c r="FM2170" s="67"/>
      <c r="FN2170" s="67"/>
      <c r="FO2170" s="67"/>
      <c r="FP2170" s="67"/>
      <c r="FQ2170" s="67"/>
      <c r="FR2170" s="67"/>
      <c r="FS2170" s="67"/>
      <c r="FT2170" s="67"/>
      <c r="FU2170" s="67"/>
      <c r="FV2170" s="67"/>
      <c r="FW2170" s="67"/>
      <c r="FX2170" s="67"/>
      <c r="FY2170" s="67"/>
      <c r="FZ2170" s="67"/>
      <c r="GA2170" s="67"/>
      <c r="GB2170" s="67"/>
      <c r="GC2170" s="67"/>
      <c r="GD2170" s="67"/>
      <c r="GE2170" s="67"/>
      <c r="GF2170" s="67"/>
      <c r="GG2170" s="67"/>
      <c r="GH2170" s="67"/>
      <c r="GI2170" s="67"/>
      <c r="GJ2170" s="67"/>
      <c r="GK2170" s="67"/>
      <c r="GL2170" s="67"/>
      <c r="GM2170" s="67"/>
      <c r="GN2170" s="292"/>
      <c r="GO2170" s="292"/>
      <c r="GP2170" s="292" t="s">
        <v>7494</v>
      </c>
      <c r="GQ2170" s="67"/>
      <c r="GR2170" s="67"/>
      <c r="GS2170" s="67"/>
      <c r="GT2170" s="67"/>
      <c r="GU2170" s="67"/>
      <c r="GV2170" s="67"/>
      <c r="GW2170" s="67"/>
      <c r="GX2170" s="67"/>
      <c r="GY2170" s="67"/>
      <c r="GZ2170" s="67"/>
      <c r="HA2170" s="67"/>
      <c r="HB2170" s="67"/>
      <c r="HC2170" s="67"/>
      <c r="HD2170" s="67"/>
      <c r="HE2170" s="67"/>
      <c r="HF2170" s="67"/>
      <c r="HG2170" s="67"/>
      <c r="HH2170" s="67"/>
      <c r="HI2170" s="67"/>
      <c r="HJ2170" s="67"/>
      <c r="HK2170" s="67"/>
      <c r="HL2170" s="67"/>
      <c r="HM2170" s="67"/>
      <c r="HN2170" s="67"/>
      <c r="HO2170" s="67"/>
      <c r="HP2170" s="67"/>
      <c r="HQ2170" s="67"/>
      <c r="HR2170" s="67"/>
      <c r="HS2170" s="67"/>
      <c r="HT2170" s="67"/>
      <c r="HU2170" s="67"/>
      <c r="HV2170" s="67"/>
      <c r="HW2170" s="67"/>
      <c r="HX2170" s="67"/>
      <c r="HY2170" s="67"/>
      <c r="HZ2170" s="67"/>
      <c r="IA2170" s="67"/>
      <c r="IB2170" s="67"/>
      <c r="IC2170" s="67"/>
      <c r="ID2170" s="67"/>
      <c r="IE2170" s="67"/>
      <c r="IF2170" s="67"/>
      <c r="IG2170" s="67"/>
      <c r="IH2170" s="67"/>
      <c r="II2170" s="67"/>
      <c r="IJ2170" s="67"/>
      <c r="IK2170" s="67"/>
      <c r="IL2170" s="67"/>
      <c r="IM2170" s="67"/>
      <c r="IN2170" s="67"/>
      <c r="IO2170" s="67"/>
      <c r="IP2170" s="67"/>
      <c r="IQ2170" s="67"/>
      <c r="IR2170" s="67"/>
      <c r="IS2170" s="67"/>
      <c r="IT2170" s="67"/>
      <c r="IU2170" s="67"/>
      <c r="IV2170" s="67"/>
      <c r="IW2170" s="67"/>
      <c r="IX2170" s="67"/>
      <c r="IY2170" s="67"/>
      <c r="IZ2170" s="67"/>
      <c r="JA2170" s="67"/>
      <c r="JB2170" s="67"/>
      <c r="JC2170" s="67"/>
      <c r="JD2170" s="67"/>
      <c r="JE2170" s="67"/>
      <c r="JF2170" s="67"/>
      <c r="JG2170" s="67"/>
      <c r="JH2170" s="67"/>
      <c r="JI2170" s="67"/>
      <c r="JJ2170" s="67"/>
      <c r="JK2170" s="67"/>
      <c r="JL2170" s="67"/>
      <c r="JM2170" s="67"/>
      <c r="JN2170" s="67"/>
      <c r="JO2170" s="67"/>
      <c r="JP2170" s="67"/>
      <c r="JQ2170" s="67"/>
      <c r="JR2170" s="67"/>
      <c r="JS2170" s="67"/>
      <c r="JT2170" s="67"/>
      <c r="JU2170" s="58"/>
      <c r="JV2170" s="58"/>
      <c r="JW2170" s="58"/>
    </row>
    <row r="2171" spans="1:283" s="23" customFormat="1" x14ac:dyDescent="0.25">
      <c r="A2171" s="55">
        <v>2170</v>
      </c>
      <c r="B2171" s="12" t="s">
        <v>7067</v>
      </c>
      <c r="C2171" s="156">
        <v>100</v>
      </c>
      <c r="D2171" s="58" t="s">
        <v>4152</v>
      </c>
      <c r="E2171" s="94" t="s">
        <v>2108</v>
      </c>
      <c r="F2171" s="94"/>
      <c r="G2171" s="58" t="s">
        <v>2203</v>
      </c>
      <c r="H2171" s="58">
        <v>2000</v>
      </c>
      <c r="I2171" s="58">
        <v>1994</v>
      </c>
      <c r="J2171" s="58" t="s">
        <v>1709</v>
      </c>
      <c r="K2171" s="58" t="s">
        <v>2109</v>
      </c>
      <c r="L2171" s="58" t="s">
        <v>5334</v>
      </c>
      <c r="M2171" s="94">
        <f>-30-51/60</f>
        <v>-30.85</v>
      </c>
      <c r="N2171" s="94">
        <f>-51-38/60</f>
        <v>-51.633333333333333</v>
      </c>
      <c r="O2171" s="94">
        <v>96</v>
      </c>
      <c r="P2171" s="58">
        <v>19.399999999999999</v>
      </c>
      <c r="Q2171" s="58"/>
      <c r="R2171" s="58">
        <v>1440</v>
      </c>
      <c r="S2171" s="94"/>
      <c r="T2171" s="58"/>
      <c r="U2171" s="58">
        <v>10</v>
      </c>
      <c r="V2171" s="58">
        <v>10</v>
      </c>
      <c r="W2171" s="174"/>
      <c r="X2171" s="174"/>
      <c r="Y2171" s="58" t="s">
        <v>2206</v>
      </c>
      <c r="Z2171" s="59" t="s">
        <v>1376</v>
      </c>
      <c r="AA2171" s="94">
        <v>5</v>
      </c>
      <c r="AB2171" s="67"/>
      <c r="AC2171" s="67"/>
      <c r="AD2171" s="94">
        <v>1.45</v>
      </c>
      <c r="AE2171" s="94">
        <v>54</v>
      </c>
      <c r="AF2171" s="94">
        <v>24</v>
      </c>
      <c r="AG2171" s="94"/>
      <c r="AH2171" s="58" t="s">
        <v>494</v>
      </c>
      <c r="AI2171" s="169"/>
      <c r="AJ2171" s="94"/>
      <c r="AK2171" s="94"/>
      <c r="AL2171" s="58"/>
      <c r="AM2171" s="58" t="s">
        <v>2110</v>
      </c>
      <c r="AN2171" s="186" t="s">
        <v>2111</v>
      </c>
      <c r="AO2171" s="185" t="s">
        <v>5150</v>
      </c>
      <c r="AP2171" s="58"/>
      <c r="AQ2171" s="58" t="s">
        <v>1547</v>
      </c>
      <c r="AR2171" s="58" t="s">
        <v>2205</v>
      </c>
      <c r="AS2171" s="58" t="s">
        <v>1584</v>
      </c>
      <c r="AT2171" s="182" t="s">
        <v>2204</v>
      </c>
      <c r="AU2171" s="181" t="s">
        <v>5150</v>
      </c>
      <c r="AV2171" s="185" t="s">
        <v>479</v>
      </c>
      <c r="AW2171" s="58" t="s">
        <v>2112</v>
      </c>
      <c r="AX2171" s="185" t="s">
        <v>479</v>
      </c>
      <c r="AY2171" s="58" t="s">
        <v>176</v>
      </c>
      <c r="AZ2171" s="58" t="s">
        <v>1976</v>
      </c>
      <c r="BA2171" s="58" t="s">
        <v>1976</v>
      </c>
      <c r="BB2171" s="58" t="s">
        <v>2081</v>
      </c>
      <c r="BC2171" s="58" t="s">
        <v>2081</v>
      </c>
      <c r="BD2171" s="58" t="s">
        <v>176</v>
      </c>
      <c r="BE2171" s="236"/>
      <c r="BF2171" s="58"/>
      <c r="BG2171" s="58"/>
      <c r="BH2171" s="236"/>
      <c r="BI2171" s="58"/>
      <c r="BJ2171" s="58"/>
      <c r="BK2171" s="58" t="s">
        <v>5976</v>
      </c>
      <c r="BL2171" s="58"/>
      <c r="BM2171" s="237" t="s">
        <v>160</v>
      </c>
      <c r="BN2171" s="58">
        <v>3</v>
      </c>
      <c r="BO2171" s="58">
        <v>3</v>
      </c>
      <c r="BP2171" s="58"/>
      <c r="BQ2171" s="58" t="s">
        <v>141</v>
      </c>
      <c r="BR2171" s="58"/>
      <c r="BS2171" s="58"/>
      <c r="BT2171" s="58"/>
      <c r="BU2171" s="58"/>
      <c r="BV2171" s="58"/>
      <c r="BW2171" s="67"/>
      <c r="BX2171" s="67"/>
      <c r="BY2171" s="67"/>
      <c r="BZ2171" s="67"/>
      <c r="CA2171" s="67"/>
      <c r="CB2171" s="68"/>
      <c r="CC2171" s="68"/>
      <c r="CD2171" s="68"/>
      <c r="CE2171" s="67"/>
      <c r="CF2171" s="67"/>
      <c r="CG2171" s="67"/>
      <c r="CH2171" s="92"/>
      <c r="CI2171" s="94"/>
      <c r="CJ2171" s="67"/>
      <c r="CK2171" s="67"/>
      <c r="CL2171" s="67"/>
      <c r="CM2171" s="67">
        <f>(CR2171*1000000)/(100*100*AD2171*AA2171/100*1000000)*100</f>
        <v>2.0689655172413794</v>
      </c>
      <c r="CN2171" s="67">
        <f>(CS2171*1000000)/(100*100*AD2171*AA2171/100*1000000)*100</f>
        <v>2.2399999999999998</v>
      </c>
      <c r="CO2171" s="67"/>
      <c r="CP2171" s="67"/>
      <c r="CQ2171" s="67"/>
      <c r="CR2171" s="67">
        <v>15</v>
      </c>
      <c r="CS2171" s="67">
        <v>16.239999999999998</v>
      </c>
      <c r="CT2171" s="67"/>
      <c r="CU2171" s="67"/>
      <c r="CV2171" s="67" t="s">
        <v>2212</v>
      </c>
      <c r="CW2171" s="67"/>
      <c r="CX2171" s="67"/>
      <c r="CY2171" s="67"/>
      <c r="CZ2171" s="67"/>
      <c r="DA2171" s="67" t="s">
        <v>4463</v>
      </c>
      <c r="DB2171" s="67">
        <v>1.3</v>
      </c>
      <c r="DC2171" s="67">
        <v>1.3</v>
      </c>
      <c r="DD2171" s="67"/>
      <c r="DE2171" s="67"/>
      <c r="DF2171" s="67" t="s">
        <v>2212</v>
      </c>
      <c r="DG2171" s="67"/>
      <c r="DH2171" s="67"/>
      <c r="DI2171" s="67"/>
      <c r="DJ2171" s="67"/>
      <c r="DK2171" s="67"/>
      <c r="DL2171" s="67"/>
      <c r="DM2171" s="67"/>
      <c r="DN2171" s="67"/>
      <c r="DO2171" s="67"/>
      <c r="DP2171" s="67"/>
      <c r="DQ2171" s="166"/>
      <c r="DR2171" s="166"/>
      <c r="DS2171" s="163"/>
      <c r="DT2171" s="163"/>
      <c r="DU2171" s="67"/>
      <c r="DV2171" s="67"/>
      <c r="DW2171" s="67"/>
      <c r="DX2171" s="67"/>
      <c r="DY2171" s="67"/>
      <c r="DZ2171" s="67"/>
      <c r="EA2171" s="67"/>
      <c r="EB2171" s="67"/>
      <c r="EC2171" s="67"/>
      <c r="ED2171" s="67"/>
      <c r="EE2171" s="67"/>
      <c r="EF2171" s="67"/>
      <c r="EG2171" s="67"/>
      <c r="EH2171" s="67"/>
      <c r="EI2171" s="67"/>
      <c r="EJ2171" s="67"/>
      <c r="EK2171" s="94"/>
      <c r="EL2171" s="94"/>
      <c r="EM2171" s="67"/>
      <c r="EN2171" s="67"/>
      <c r="EO2171" s="67"/>
      <c r="EP2171" s="67"/>
      <c r="EQ2171" s="67"/>
      <c r="ER2171" s="67"/>
      <c r="ES2171" s="67"/>
      <c r="ET2171" s="67"/>
      <c r="EU2171" s="67"/>
      <c r="EV2171" s="67"/>
      <c r="EW2171" s="67"/>
      <c r="EX2171" s="67"/>
      <c r="EY2171" s="67"/>
      <c r="EZ2171" s="67"/>
      <c r="FA2171" s="67"/>
      <c r="FB2171" s="67"/>
      <c r="FC2171" s="67"/>
      <c r="FD2171" s="67"/>
      <c r="FE2171" s="67"/>
      <c r="FF2171" s="67"/>
      <c r="FG2171" s="67"/>
      <c r="FH2171" s="67"/>
      <c r="FI2171" s="67"/>
      <c r="FJ2171" s="67"/>
      <c r="FK2171" s="67"/>
      <c r="FL2171" s="67"/>
      <c r="FM2171" s="67"/>
      <c r="FN2171" s="67"/>
      <c r="FO2171" s="67"/>
      <c r="FP2171" s="67"/>
      <c r="FQ2171" s="67"/>
      <c r="FR2171" s="67"/>
      <c r="FS2171" s="67"/>
      <c r="FT2171" s="67"/>
      <c r="FU2171" s="67"/>
      <c r="FV2171" s="67"/>
      <c r="FW2171" s="67"/>
      <c r="FX2171" s="67"/>
      <c r="FY2171" s="67"/>
      <c r="FZ2171" s="67"/>
      <c r="GA2171" s="67"/>
      <c r="GB2171" s="67"/>
      <c r="GC2171" s="67"/>
      <c r="GD2171" s="67"/>
      <c r="GE2171" s="67"/>
      <c r="GF2171" s="67"/>
      <c r="GG2171" s="67"/>
      <c r="GH2171" s="67"/>
      <c r="GI2171" s="67"/>
      <c r="GJ2171" s="67"/>
      <c r="GK2171" s="67"/>
      <c r="GL2171" s="67"/>
      <c r="GM2171" s="67"/>
      <c r="GN2171" s="292"/>
      <c r="GO2171" s="292"/>
      <c r="GP2171" s="292" t="s">
        <v>7494</v>
      </c>
      <c r="GQ2171" s="67"/>
      <c r="GR2171" s="67"/>
      <c r="GS2171" s="67"/>
      <c r="GT2171" s="67"/>
      <c r="GU2171" s="67"/>
      <c r="GV2171" s="67"/>
      <c r="GW2171" s="67"/>
      <c r="GX2171" s="67"/>
      <c r="GY2171" s="67"/>
      <c r="GZ2171" s="67"/>
      <c r="HA2171" s="67"/>
      <c r="HB2171" s="67"/>
      <c r="HC2171" s="67"/>
      <c r="HD2171" s="67"/>
      <c r="HE2171" s="67"/>
      <c r="HF2171" s="67"/>
      <c r="HG2171" s="67"/>
      <c r="HH2171" s="67"/>
      <c r="HI2171" s="67"/>
      <c r="HJ2171" s="67"/>
      <c r="HK2171" s="67"/>
      <c r="HL2171" s="67"/>
      <c r="HM2171" s="67"/>
      <c r="HN2171" s="67"/>
      <c r="HO2171" s="67"/>
      <c r="HP2171" s="67"/>
      <c r="HQ2171" s="67"/>
      <c r="HR2171" s="67"/>
      <c r="HS2171" s="67"/>
      <c r="HT2171" s="67"/>
      <c r="HU2171" s="67"/>
      <c r="HV2171" s="67"/>
      <c r="HW2171" s="67"/>
      <c r="HX2171" s="67"/>
      <c r="HY2171" s="67"/>
      <c r="HZ2171" s="67"/>
      <c r="IA2171" s="67"/>
      <c r="IB2171" s="67"/>
      <c r="IC2171" s="67"/>
      <c r="ID2171" s="67"/>
      <c r="IE2171" s="67"/>
      <c r="IF2171" s="67"/>
      <c r="IG2171" s="67"/>
      <c r="IH2171" s="67"/>
      <c r="II2171" s="67"/>
      <c r="IJ2171" s="67"/>
      <c r="IK2171" s="67"/>
      <c r="IL2171" s="67"/>
      <c r="IM2171" s="67"/>
      <c r="IN2171" s="67"/>
      <c r="IO2171" s="67"/>
      <c r="IP2171" s="67"/>
      <c r="IQ2171" s="67"/>
      <c r="IR2171" s="67"/>
      <c r="IS2171" s="67"/>
      <c r="IT2171" s="67"/>
      <c r="IU2171" s="67"/>
      <c r="IV2171" s="67"/>
      <c r="IW2171" s="67"/>
      <c r="IX2171" s="67"/>
      <c r="IY2171" s="67"/>
      <c r="IZ2171" s="67"/>
      <c r="JA2171" s="67"/>
      <c r="JB2171" s="67"/>
      <c r="JC2171" s="67"/>
      <c r="JD2171" s="67"/>
      <c r="JE2171" s="67"/>
      <c r="JF2171" s="67"/>
      <c r="JG2171" s="67"/>
      <c r="JH2171" s="67"/>
      <c r="JI2171" s="67"/>
      <c r="JJ2171" s="67"/>
      <c r="JK2171" s="67"/>
      <c r="JL2171" s="67"/>
      <c r="JM2171" s="67"/>
      <c r="JN2171" s="67"/>
      <c r="JO2171" s="67"/>
      <c r="JP2171" s="67"/>
      <c r="JQ2171" s="67"/>
      <c r="JR2171" s="67"/>
      <c r="JS2171" s="67"/>
      <c r="JT2171" s="67"/>
      <c r="JU2171" s="58"/>
      <c r="JV2171" s="58"/>
      <c r="JW2171" s="58"/>
    </row>
    <row r="2172" spans="1:283" s="23" customFormat="1" x14ac:dyDescent="0.25">
      <c r="A2172" s="55">
        <v>2171</v>
      </c>
      <c r="B2172" s="12" t="s">
        <v>7067</v>
      </c>
      <c r="C2172" s="156">
        <v>100</v>
      </c>
      <c r="D2172" s="58" t="s">
        <v>4153</v>
      </c>
      <c r="E2172" s="94" t="s">
        <v>2108</v>
      </c>
      <c r="F2172" s="94"/>
      <c r="G2172" s="58" t="s">
        <v>2203</v>
      </c>
      <c r="H2172" s="58">
        <v>2000</v>
      </c>
      <c r="I2172" s="58">
        <v>1994</v>
      </c>
      <c r="J2172" s="58" t="s">
        <v>1709</v>
      </c>
      <c r="K2172" s="58" t="s">
        <v>2109</v>
      </c>
      <c r="L2172" s="58" t="s">
        <v>5334</v>
      </c>
      <c r="M2172" s="94">
        <f>-30-51/60</f>
        <v>-30.85</v>
      </c>
      <c r="N2172" s="94">
        <f>-51-38/60</f>
        <v>-51.633333333333333</v>
      </c>
      <c r="O2172" s="94">
        <v>96</v>
      </c>
      <c r="P2172" s="58">
        <v>19.399999999999999</v>
      </c>
      <c r="Q2172" s="58"/>
      <c r="R2172" s="58">
        <v>1440</v>
      </c>
      <c r="S2172" s="94"/>
      <c r="T2172" s="58"/>
      <c r="U2172" s="58">
        <v>10</v>
      </c>
      <c r="V2172" s="58">
        <v>10</v>
      </c>
      <c r="W2172" s="174"/>
      <c r="X2172" s="174"/>
      <c r="Y2172" s="58" t="s">
        <v>2206</v>
      </c>
      <c r="Z2172" s="59" t="s">
        <v>1357</v>
      </c>
      <c r="AA2172" s="94">
        <v>15</v>
      </c>
      <c r="AB2172" s="67"/>
      <c r="AC2172" s="67"/>
      <c r="AD2172" s="94">
        <v>1.45</v>
      </c>
      <c r="AE2172" s="94">
        <v>54</v>
      </c>
      <c r="AF2172" s="94">
        <v>24</v>
      </c>
      <c r="AG2172" s="94"/>
      <c r="AH2172" s="58" t="s">
        <v>494</v>
      </c>
      <c r="AI2172" s="169"/>
      <c r="AJ2172" s="94"/>
      <c r="AK2172" s="94"/>
      <c r="AL2172" s="58"/>
      <c r="AM2172" s="58" t="s">
        <v>2110</v>
      </c>
      <c r="AN2172" s="186" t="s">
        <v>2111</v>
      </c>
      <c r="AO2172" s="185" t="s">
        <v>5150</v>
      </c>
      <c r="AP2172" s="58"/>
      <c r="AQ2172" s="58" t="s">
        <v>1547</v>
      </c>
      <c r="AR2172" s="58" t="s">
        <v>2205</v>
      </c>
      <c r="AS2172" s="58" t="s">
        <v>1584</v>
      </c>
      <c r="AT2172" s="182" t="s">
        <v>2204</v>
      </c>
      <c r="AU2172" s="181" t="s">
        <v>5150</v>
      </c>
      <c r="AV2172" s="185" t="s">
        <v>479</v>
      </c>
      <c r="AW2172" s="58" t="s">
        <v>2112</v>
      </c>
      <c r="AX2172" s="185" t="s">
        <v>479</v>
      </c>
      <c r="AY2172" s="58" t="s">
        <v>176</v>
      </c>
      <c r="AZ2172" s="58" t="s">
        <v>1976</v>
      </c>
      <c r="BA2172" s="58" t="s">
        <v>1976</v>
      </c>
      <c r="BB2172" s="58" t="s">
        <v>2081</v>
      </c>
      <c r="BC2172" s="58" t="s">
        <v>2081</v>
      </c>
      <c r="BD2172" s="58" t="s">
        <v>176</v>
      </c>
      <c r="BE2172" s="236"/>
      <c r="BF2172" s="58"/>
      <c r="BG2172" s="58"/>
      <c r="BH2172" s="236"/>
      <c r="BI2172" s="58"/>
      <c r="BJ2172" s="58"/>
      <c r="BK2172" s="58" t="s">
        <v>5976</v>
      </c>
      <c r="BL2172" s="58"/>
      <c r="BM2172" s="237" t="s">
        <v>160</v>
      </c>
      <c r="BN2172" s="58">
        <v>3</v>
      </c>
      <c r="BO2172" s="58">
        <v>3</v>
      </c>
      <c r="BP2172" s="58"/>
      <c r="BQ2172" s="58" t="s">
        <v>141</v>
      </c>
      <c r="BR2172" s="58"/>
      <c r="BS2172" s="58"/>
      <c r="BT2172" s="58"/>
      <c r="BU2172" s="58"/>
      <c r="BV2172" s="58"/>
      <c r="BW2172" s="67"/>
      <c r="BX2172" s="67"/>
      <c r="BY2172" s="67"/>
      <c r="BZ2172" s="67"/>
      <c r="CA2172" s="67"/>
      <c r="CB2172" s="68"/>
      <c r="CC2172" s="68"/>
      <c r="CD2172" s="68"/>
      <c r="CE2172" s="67"/>
      <c r="CF2172" s="67"/>
      <c r="CG2172" s="67"/>
      <c r="CH2172" s="92"/>
      <c r="CI2172" s="94"/>
      <c r="CJ2172" s="67"/>
      <c r="CK2172" s="67"/>
      <c r="CL2172" s="67"/>
      <c r="CM2172" s="67">
        <f>(CR2172*1000000)/(100*100*AD2172*AA2172/100*1000000)*100</f>
        <v>0.65793103448275858</v>
      </c>
      <c r="CN2172" s="67">
        <f>(CS2172*1000000)/(100*100*AD2172*AA2172/100*1000000)*100</f>
        <v>0.73379310344827586</v>
      </c>
      <c r="CO2172" s="67"/>
      <c r="CP2172" s="67"/>
      <c r="CQ2172" s="67"/>
      <c r="CR2172" s="67">
        <v>14.31</v>
      </c>
      <c r="CS2172" s="67">
        <v>15.96</v>
      </c>
      <c r="CT2172" s="67"/>
      <c r="CU2172" s="67"/>
      <c r="CV2172" s="67" t="s">
        <v>2212</v>
      </c>
      <c r="CW2172" s="67"/>
      <c r="CX2172" s="67"/>
      <c r="CY2172" s="67"/>
      <c r="CZ2172" s="67"/>
      <c r="DA2172" s="67" t="s">
        <v>4463</v>
      </c>
      <c r="DB2172" s="67">
        <v>1.19</v>
      </c>
      <c r="DC2172" s="67">
        <v>1.39</v>
      </c>
      <c r="DD2172" s="67"/>
      <c r="DE2172" s="67"/>
      <c r="DF2172" s="67" t="s">
        <v>2212</v>
      </c>
      <c r="DG2172" s="67"/>
      <c r="DH2172" s="67"/>
      <c r="DI2172" s="67"/>
      <c r="DJ2172" s="67"/>
      <c r="DK2172" s="67"/>
      <c r="DL2172" s="67"/>
      <c r="DM2172" s="67"/>
      <c r="DN2172" s="67"/>
      <c r="DO2172" s="67"/>
      <c r="DP2172" s="67"/>
      <c r="DQ2172" s="166"/>
      <c r="DR2172" s="166"/>
      <c r="DS2172" s="163"/>
      <c r="DT2172" s="163"/>
      <c r="DU2172" s="67"/>
      <c r="DV2172" s="67"/>
      <c r="DW2172" s="67"/>
      <c r="DX2172" s="67"/>
      <c r="DY2172" s="67"/>
      <c r="DZ2172" s="67"/>
      <c r="EA2172" s="67"/>
      <c r="EB2172" s="67"/>
      <c r="EC2172" s="67"/>
      <c r="ED2172" s="67"/>
      <c r="EE2172" s="67"/>
      <c r="EF2172" s="67"/>
      <c r="EG2172" s="67"/>
      <c r="EH2172" s="67"/>
      <c r="EI2172" s="67"/>
      <c r="EJ2172" s="67"/>
      <c r="EK2172" s="94"/>
      <c r="EL2172" s="94"/>
      <c r="EM2172" s="67"/>
      <c r="EN2172" s="67"/>
      <c r="EO2172" s="67"/>
      <c r="EP2172" s="67"/>
      <c r="EQ2172" s="67"/>
      <c r="ER2172" s="67"/>
      <c r="ES2172" s="67"/>
      <c r="ET2172" s="67"/>
      <c r="EU2172" s="67"/>
      <c r="EV2172" s="67"/>
      <c r="EW2172" s="67"/>
      <c r="EX2172" s="67"/>
      <c r="EY2172" s="67"/>
      <c r="EZ2172" s="67"/>
      <c r="FA2172" s="67"/>
      <c r="FB2172" s="67"/>
      <c r="FC2172" s="67"/>
      <c r="FD2172" s="67"/>
      <c r="FE2172" s="67"/>
      <c r="FF2172" s="67"/>
      <c r="FG2172" s="67"/>
      <c r="FH2172" s="67"/>
      <c r="FI2172" s="67"/>
      <c r="FJ2172" s="67"/>
      <c r="FK2172" s="67"/>
      <c r="FL2172" s="67"/>
      <c r="FM2172" s="67"/>
      <c r="FN2172" s="67"/>
      <c r="FO2172" s="67"/>
      <c r="FP2172" s="67"/>
      <c r="FQ2172" s="67"/>
      <c r="FR2172" s="67"/>
      <c r="FS2172" s="67"/>
      <c r="FT2172" s="67"/>
      <c r="FU2172" s="67"/>
      <c r="FV2172" s="67"/>
      <c r="FW2172" s="67"/>
      <c r="FX2172" s="67"/>
      <c r="FY2172" s="67"/>
      <c r="FZ2172" s="67"/>
      <c r="GA2172" s="67"/>
      <c r="GB2172" s="67"/>
      <c r="GC2172" s="67"/>
      <c r="GD2172" s="67"/>
      <c r="GE2172" s="67"/>
      <c r="GF2172" s="67"/>
      <c r="GG2172" s="67"/>
      <c r="GH2172" s="67"/>
      <c r="GI2172" s="67"/>
      <c r="GJ2172" s="67"/>
      <c r="GK2172" s="67"/>
      <c r="GL2172" s="67"/>
      <c r="GM2172" s="67"/>
      <c r="GN2172" s="292"/>
      <c r="GO2172" s="292"/>
      <c r="GP2172" s="292" t="s">
        <v>7494</v>
      </c>
      <c r="GQ2172" s="67"/>
      <c r="GR2172" s="67"/>
      <c r="GS2172" s="67"/>
      <c r="GT2172" s="67"/>
      <c r="GU2172" s="67"/>
      <c r="GV2172" s="67"/>
      <c r="GW2172" s="67"/>
      <c r="GX2172" s="67"/>
      <c r="GY2172" s="67"/>
      <c r="GZ2172" s="67"/>
      <c r="HA2172" s="67"/>
      <c r="HB2172" s="67"/>
      <c r="HC2172" s="67"/>
      <c r="HD2172" s="67"/>
      <c r="HE2172" s="67"/>
      <c r="HF2172" s="67"/>
      <c r="HG2172" s="67"/>
      <c r="HH2172" s="67"/>
      <c r="HI2172" s="67"/>
      <c r="HJ2172" s="67"/>
      <c r="HK2172" s="67"/>
      <c r="HL2172" s="67"/>
      <c r="HM2172" s="67"/>
      <c r="HN2172" s="67"/>
      <c r="HO2172" s="67"/>
      <c r="HP2172" s="67"/>
      <c r="HQ2172" s="67"/>
      <c r="HR2172" s="67"/>
      <c r="HS2172" s="67"/>
      <c r="HT2172" s="67"/>
      <c r="HU2172" s="67"/>
      <c r="HV2172" s="67"/>
      <c r="HW2172" s="67"/>
      <c r="HX2172" s="67"/>
      <c r="HY2172" s="67"/>
      <c r="HZ2172" s="67"/>
      <c r="IA2172" s="67"/>
      <c r="IB2172" s="67"/>
      <c r="IC2172" s="67"/>
      <c r="ID2172" s="67"/>
      <c r="IE2172" s="67"/>
      <c r="IF2172" s="67"/>
      <c r="IG2172" s="67"/>
      <c r="IH2172" s="67"/>
      <c r="II2172" s="67"/>
      <c r="IJ2172" s="67"/>
      <c r="IK2172" s="67"/>
      <c r="IL2172" s="67"/>
      <c r="IM2172" s="67"/>
      <c r="IN2172" s="67"/>
      <c r="IO2172" s="67"/>
      <c r="IP2172" s="67"/>
      <c r="IQ2172" s="67"/>
      <c r="IR2172" s="67"/>
      <c r="IS2172" s="67"/>
      <c r="IT2172" s="67"/>
      <c r="IU2172" s="67"/>
      <c r="IV2172" s="67"/>
      <c r="IW2172" s="67"/>
      <c r="IX2172" s="67"/>
      <c r="IY2172" s="67"/>
      <c r="IZ2172" s="67"/>
      <c r="JA2172" s="67"/>
      <c r="JB2172" s="67"/>
      <c r="JC2172" s="67"/>
      <c r="JD2172" s="67"/>
      <c r="JE2172" s="67"/>
      <c r="JF2172" s="67"/>
      <c r="JG2172" s="67"/>
      <c r="JH2172" s="67"/>
      <c r="JI2172" s="67"/>
      <c r="JJ2172" s="67"/>
      <c r="JK2172" s="67"/>
      <c r="JL2172" s="67"/>
      <c r="JM2172" s="67"/>
      <c r="JN2172" s="67"/>
      <c r="JO2172" s="67"/>
      <c r="JP2172" s="67"/>
      <c r="JQ2172" s="67"/>
      <c r="JR2172" s="67"/>
      <c r="JS2172" s="67"/>
      <c r="JT2172" s="67"/>
      <c r="JU2172" s="58"/>
      <c r="JV2172" s="58"/>
      <c r="JW2172" s="58"/>
    </row>
    <row r="2173" spans="1:283" s="23" customFormat="1" x14ac:dyDescent="0.25">
      <c r="A2173" s="55">
        <v>2172</v>
      </c>
      <c r="B2173" s="12" t="s">
        <v>7067</v>
      </c>
      <c r="C2173" s="156">
        <v>100</v>
      </c>
      <c r="D2173" s="58" t="s">
        <v>4154</v>
      </c>
      <c r="E2173" s="94" t="s">
        <v>2108</v>
      </c>
      <c r="F2173" s="94"/>
      <c r="G2173" s="58" t="s">
        <v>2203</v>
      </c>
      <c r="H2173" s="58">
        <v>2000</v>
      </c>
      <c r="I2173" s="58">
        <v>1994</v>
      </c>
      <c r="J2173" s="58" t="s">
        <v>1709</v>
      </c>
      <c r="K2173" s="58" t="s">
        <v>2109</v>
      </c>
      <c r="L2173" s="58" t="s">
        <v>5334</v>
      </c>
      <c r="M2173" s="94">
        <f>-30-51/60</f>
        <v>-30.85</v>
      </c>
      <c r="N2173" s="94">
        <f>-51-38/60</f>
        <v>-51.633333333333333</v>
      </c>
      <c r="O2173" s="94">
        <v>96</v>
      </c>
      <c r="P2173" s="58">
        <v>19.399999999999999</v>
      </c>
      <c r="Q2173" s="58"/>
      <c r="R2173" s="58">
        <v>1440</v>
      </c>
      <c r="S2173" s="94"/>
      <c r="T2173" s="58"/>
      <c r="U2173" s="58">
        <v>10</v>
      </c>
      <c r="V2173" s="58">
        <v>10</v>
      </c>
      <c r="W2173" s="174"/>
      <c r="X2173" s="174"/>
      <c r="Y2173" s="58" t="s">
        <v>2206</v>
      </c>
      <c r="Z2173" s="59" t="s">
        <v>2208</v>
      </c>
      <c r="AA2173" s="94">
        <v>2.5</v>
      </c>
      <c r="AB2173" s="67"/>
      <c r="AC2173" s="67"/>
      <c r="AD2173" s="94">
        <v>1.45</v>
      </c>
      <c r="AE2173" s="94">
        <v>54</v>
      </c>
      <c r="AF2173" s="94">
        <v>24</v>
      </c>
      <c r="AG2173" s="94"/>
      <c r="AH2173" s="58" t="s">
        <v>494</v>
      </c>
      <c r="AI2173" s="169"/>
      <c r="AJ2173" s="94"/>
      <c r="AK2173" s="94"/>
      <c r="AL2173" s="58"/>
      <c r="AM2173" s="58" t="s">
        <v>2110</v>
      </c>
      <c r="AN2173" s="186" t="s">
        <v>2111</v>
      </c>
      <c r="AO2173" s="185" t="s">
        <v>5150</v>
      </c>
      <c r="AP2173" s="58"/>
      <c r="AQ2173" s="58" t="s">
        <v>1547</v>
      </c>
      <c r="AR2173" s="58" t="s">
        <v>2205</v>
      </c>
      <c r="AS2173" s="58" t="s">
        <v>1584</v>
      </c>
      <c r="AT2173" s="182" t="s">
        <v>2204</v>
      </c>
      <c r="AU2173" s="181" t="s">
        <v>5150</v>
      </c>
      <c r="AV2173" s="185" t="s">
        <v>479</v>
      </c>
      <c r="AW2173" s="58" t="s">
        <v>2112</v>
      </c>
      <c r="AX2173" s="185" t="s">
        <v>479</v>
      </c>
      <c r="AY2173" s="58" t="s">
        <v>176</v>
      </c>
      <c r="AZ2173" s="58" t="s">
        <v>1016</v>
      </c>
      <c r="BA2173" s="58" t="s">
        <v>1016</v>
      </c>
      <c r="BB2173" s="58" t="s">
        <v>2082</v>
      </c>
      <c r="BC2173" s="58" t="s">
        <v>2082</v>
      </c>
      <c r="BD2173" s="58" t="s">
        <v>176</v>
      </c>
      <c r="BE2173" s="236"/>
      <c r="BF2173" s="58"/>
      <c r="BG2173" s="58"/>
      <c r="BH2173" s="236"/>
      <c r="BI2173" s="58"/>
      <c r="BJ2173" s="58"/>
      <c r="BK2173" s="58" t="s">
        <v>6269</v>
      </c>
      <c r="BL2173" s="58"/>
      <c r="BM2173" s="237" t="s">
        <v>160</v>
      </c>
      <c r="BN2173" s="58">
        <v>3</v>
      </c>
      <c r="BO2173" s="58">
        <v>3</v>
      </c>
      <c r="BP2173" s="58"/>
      <c r="BQ2173" s="58" t="s">
        <v>141</v>
      </c>
      <c r="BR2173" s="58"/>
      <c r="BS2173" s="58"/>
      <c r="BT2173" s="58"/>
      <c r="BU2173" s="58"/>
      <c r="BV2173" s="58"/>
      <c r="BW2173" s="67"/>
      <c r="BX2173" s="67"/>
      <c r="BY2173" s="67"/>
      <c r="BZ2173" s="67"/>
      <c r="CA2173" s="67"/>
      <c r="CB2173" s="68"/>
      <c r="CC2173" s="68"/>
      <c r="CD2173" s="68"/>
      <c r="CE2173" s="67"/>
      <c r="CF2173" s="67"/>
      <c r="CG2173" s="67"/>
      <c r="CH2173" s="92"/>
      <c r="CI2173" s="94"/>
      <c r="CJ2173" s="67"/>
      <c r="CK2173" s="67"/>
      <c r="CL2173" s="67"/>
      <c r="CM2173" s="67">
        <f>(CR2173*1000000)/(100*100*AD2173*AA2173/100*1000000)*100</f>
        <v>6.3944827586206898</v>
      </c>
      <c r="CN2173" s="67">
        <f>(CS2173*1000000)/(100*100*AD2173*AA2173/100*1000000)*100</f>
        <v>9.7627586206896559</v>
      </c>
      <c r="CO2173" s="67"/>
      <c r="CP2173" s="67"/>
      <c r="CQ2173" s="67"/>
      <c r="CR2173" s="67">
        <v>23.18</v>
      </c>
      <c r="CS2173" s="67">
        <v>35.39</v>
      </c>
      <c r="CT2173" s="67"/>
      <c r="CU2173" s="67"/>
      <c r="CV2173" s="67" t="s">
        <v>2212</v>
      </c>
      <c r="CW2173" s="67"/>
      <c r="CX2173" s="67"/>
      <c r="CY2173" s="67"/>
      <c r="CZ2173" s="67"/>
      <c r="DA2173" s="67" t="s">
        <v>4463</v>
      </c>
      <c r="DB2173" s="67">
        <v>1.65</v>
      </c>
      <c r="DC2173" s="67">
        <v>2.93</v>
      </c>
      <c r="DD2173" s="67"/>
      <c r="DE2173" s="67"/>
      <c r="DF2173" s="67" t="s">
        <v>2212</v>
      </c>
      <c r="DG2173" s="67"/>
      <c r="DH2173" s="67"/>
      <c r="DI2173" s="67"/>
      <c r="DJ2173" s="67"/>
      <c r="DK2173" s="67"/>
      <c r="DL2173" s="67"/>
      <c r="DM2173" s="67"/>
      <c r="DN2173" s="67"/>
      <c r="DO2173" s="67"/>
      <c r="DP2173" s="67"/>
      <c r="DQ2173" s="166"/>
      <c r="DR2173" s="166"/>
      <c r="DS2173" s="163"/>
      <c r="DT2173" s="163"/>
      <c r="DU2173" s="67"/>
      <c r="DV2173" s="67"/>
      <c r="DW2173" s="67"/>
      <c r="DX2173" s="67"/>
      <c r="DY2173" s="67"/>
      <c r="DZ2173" s="67"/>
      <c r="EA2173" s="67"/>
      <c r="EB2173" s="67"/>
      <c r="EC2173" s="67"/>
      <c r="ED2173" s="67"/>
      <c r="EE2173" s="67"/>
      <c r="EF2173" s="67"/>
      <c r="EG2173" s="67"/>
      <c r="EH2173" s="67"/>
      <c r="EI2173" s="67"/>
      <c r="EJ2173" s="67"/>
      <c r="EK2173" s="94"/>
      <c r="EL2173" s="94"/>
      <c r="EM2173" s="67"/>
      <c r="EN2173" s="67"/>
      <c r="EO2173" s="67"/>
      <c r="EP2173" s="67"/>
      <c r="EQ2173" s="67"/>
      <c r="ER2173" s="67"/>
      <c r="ES2173" s="67"/>
      <c r="ET2173" s="67"/>
      <c r="EU2173" s="67"/>
      <c r="EV2173" s="67"/>
      <c r="EW2173" s="67"/>
      <c r="EX2173" s="67"/>
      <c r="EY2173" s="67"/>
      <c r="EZ2173" s="67"/>
      <c r="FA2173" s="67"/>
      <c r="FB2173" s="67"/>
      <c r="FC2173" s="67"/>
      <c r="FD2173" s="67"/>
      <c r="FE2173" s="67"/>
      <c r="FF2173" s="67"/>
      <c r="FG2173" s="67"/>
      <c r="FH2173" s="67"/>
      <c r="FI2173" s="67"/>
      <c r="FJ2173" s="67"/>
      <c r="FK2173" s="67"/>
      <c r="FL2173" s="67"/>
      <c r="FM2173" s="67"/>
      <c r="FN2173" s="67"/>
      <c r="FO2173" s="67"/>
      <c r="FP2173" s="67"/>
      <c r="FQ2173" s="67"/>
      <c r="FR2173" s="67"/>
      <c r="FS2173" s="67"/>
      <c r="FT2173" s="67"/>
      <c r="FU2173" s="67"/>
      <c r="FV2173" s="67"/>
      <c r="FW2173" s="67"/>
      <c r="FX2173" s="67"/>
      <c r="FY2173" s="67"/>
      <c r="FZ2173" s="67"/>
      <c r="GA2173" s="67"/>
      <c r="GB2173" s="67"/>
      <c r="GC2173" s="67"/>
      <c r="GD2173" s="67"/>
      <c r="GE2173" s="67"/>
      <c r="GF2173" s="67"/>
      <c r="GG2173" s="67"/>
      <c r="GH2173" s="67"/>
      <c r="GI2173" s="67"/>
      <c r="GJ2173" s="67"/>
      <c r="GK2173" s="67"/>
      <c r="GL2173" s="67"/>
      <c r="GM2173" s="67"/>
      <c r="GN2173" s="292"/>
      <c r="GO2173" s="292"/>
      <c r="GP2173" s="292" t="s">
        <v>7494</v>
      </c>
      <c r="GQ2173" s="67"/>
      <c r="GR2173" s="67"/>
      <c r="GS2173" s="67"/>
      <c r="GT2173" s="67"/>
      <c r="GU2173" s="67"/>
      <c r="GV2173" s="67"/>
      <c r="GW2173" s="67"/>
      <c r="GX2173" s="67"/>
      <c r="GY2173" s="67"/>
      <c r="GZ2173" s="67"/>
      <c r="HA2173" s="67"/>
      <c r="HB2173" s="67"/>
      <c r="HC2173" s="67"/>
      <c r="HD2173" s="67"/>
      <c r="HE2173" s="67"/>
      <c r="HF2173" s="67"/>
      <c r="HG2173" s="67"/>
      <c r="HH2173" s="67"/>
      <c r="HI2173" s="67"/>
      <c r="HJ2173" s="67"/>
      <c r="HK2173" s="67"/>
      <c r="HL2173" s="67"/>
      <c r="HM2173" s="67"/>
      <c r="HN2173" s="67"/>
      <c r="HO2173" s="67"/>
      <c r="HP2173" s="67"/>
      <c r="HQ2173" s="67"/>
      <c r="HR2173" s="67"/>
      <c r="HS2173" s="67"/>
      <c r="HT2173" s="67"/>
      <c r="HU2173" s="67"/>
      <c r="HV2173" s="67"/>
      <c r="HW2173" s="67"/>
      <c r="HX2173" s="67"/>
      <c r="HY2173" s="67"/>
      <c r="HZ2173" s="67"/>
      <c r="IA2173" s="67"/>
      <c r="IB2173" s="67"/>
      <c r="IC2173" s="67"/>
      <c r="ID2173" s="67"/>
      <c r="IE2173" s="67"/>
      <c r="IF2173" s="67"/>
      <c r="IG2173" s="67"/>
      <c r="IH2173" s="67"/>
      <c r="II2173" s="67"/>
      <c r="IJ2173" s="67"/>
      <c r="IK2173" s="67"/>
      <c r="IL2173" s="67"/>
      <c r="IM2173" s="67"/>
      <c r="IN2173" s="67"/>
      <c r="IO2173" s="67"/>
      <c r="IP2173" s="67"/>
      <c r="IQ2173" s="67"/>
      <c r="IR2173" s="67"/>
      <c r="IS2173" s="67"/>
      <c r="IT2173" s="67"/>
      <c r="IU2173" s="67"/>
      <c r="IV2173" s="67"/>
      <c r="IW2173" s="67"/>
      <c r="IX2173" s="67"/>
      <c r="IY2173" s="67"/>
      <c r="IZ2173" s="67"/>
      <c r="JA2173" s="67"/>
      <c r="JB2173" s="67"/>
      <c r="JC2173" s="67"/>
      <c r="JD2173" s="67"/>
      <c r="JE2173" s="67"/>
      <c r="JF2173" s="67"/>
      <c r="JG2173" s="67"/>
      <c r="JH2173" s="67"/>
      <c r="JI2173" s="67"/>
      <c r="JJ2173" s="67"/>
      <c r="JK2173" s="67"/>
      <c r="JL2173" s="67"/>
      <c r="JM2173" s="67"/>
      <c r="JN2173" s="67"/>
      <c r="JO2173" s="67"/>
      <c r="JP2173" s="67"/>
      <c r="JQ2173" s="67"/>
      <c r="JR2173" s="67"/>
      <c r="JS2173" s="67"/>
      <c r="JT2173" s="67"/>
      <c r="JU2173" s="58"/>
      <c r="JV2173" s="58"/>
      <c r="JW2173" s="58"/>
    </row>
    <row r="2174" spans="1:283" s="23" customFormat="1" x14ac:dyDescent="0.25">
      <c r="A2174" s="55">
        <v>2173</v>
      </c>
      <c r="B2174" s="12" t="s">
        <v>7067</v>
      </c>
      <c r="C2174" s="156">
        <v>100</v>
      </c>
      <c r="D2174" s="58" t="s">
        <v>4155</v>
      </c>
      <c r="E2174" s="94" t="s">
        <v>2108</v>
      </c>
      <c r="F2174" s="94"/>
      <c r="G2174" s="58" t="s">
        <v>2203</v>
      </c>
      <c r="H2174" s="58">
        <v>2000</v>
      </c>
      <c r="I2174" s="58">
        <v>1994</v>
      </c>
      <c r="J2174" s="58" t="s">
        <v>1709</v>
      </c>
      <c r="K2174" s="58" t="s">
        <v>2109</v>
      </c>
      <c r="L2174" s="58" t="s">
        <v>5334</v>
      </c>
      <c r="M2174" s="94">
        <f>-30-51/60</f>
        <v>-30.85</v>
      </c>
      <c r="N2174" s="94">
        <f>-51-38/60</f>
        <v>-51.633333333333333</v>
      </c>
      <c r="O2174" s="94">
        <v>96</v>
      </c>
      <c r="P2174" s="58">
        <v>19.399999999999999</v>
      </c>
      <c r="Q2174" s="58"/>
      <c r="R2174" s="58">
        <v>1440</v>
      </c>
      <c r="S2174" s="94"/>
      <c r="T2174" s="58"/>
      <c r="U2174" s="58">
        <v>10</v>
      </c>
      <c r="V2174" s="58">
        <v>10</v>
      </c>
      <c r="W2174" s="174"/>
      <c r="X2174" s="174"/>
      <c r="Y2174" s="58" t="s">
        <v>2206</v>
      </c>
      <c r="Z2174" s="59" t="s">
        <v>2209</v>
      </c>
      <c r="AA2174" s="94">
        <v>2.5</v>
      </c>
      <c r="AB2174" s="67"/>
      <c r="AC2174" s="67"/>
      <c r="AD2174" s="94">
        <v>1.45</v>
      </c>
      <c r="AE2174" s="94">
        <v>54</v>
      </c>
      <c r="AF2174" s="94">
        <v>24</v>
      </c>
      <c r="AG2174" s="94"/>
      <c r="AH2174" s="58" t="s">
        <v>494</v>
      </c>
      <c r="AI2174" s="169"/>
      <c r="AJ2174" s="94"/>
      <c r="AK2174" s="94"/>
      <c r="AL2174" s="58"/>
      <c r="AM2174" s="58" t="s">
        <v>2110</v>
      </c>
      <c r="AN2174" s="186" t="s">
        <v>2111</v>
      </c>
      <c r="AO2174" s="185" t="s">
        <v>5150</v>
      </c>
      <c r="AP2174" s="58"/>
      <c r="AQ2174" s="58" t="s">
        <v>1547</v>
      </c>
      <c r="AR2174" s="58" t="s">
        <v>2205</v>
      </c>
      <c r="AS2174" s="58" t="s">
        <v>1584</v>
      </c>
      <c r="AT2174" s="182" t="s">
        <v>2204</v>
      </c>
      <c r="AU2174" s="181" t="s">
        <v>5150</v>
      </c>
      <c r="AV2174" s="185" t="s">
        <v>479</v>
      </c>
      <c r="AW2174" s="58" t="s">
        <v>2112</v>
      </c>
      <c r="AX2174" s="185" t="s">
        <v>479</v>
      </c>
      <c r="AY2174" s="58" t="s">
        <v>176</v>
      </c>
      <c r="AZ2174" s="58" t="s">
        <v>1016</v>
      </c>
      <c r="BA2174" s="58" t="s">
        <v>1016</v>
      </c>
      <c r="BB2174" s="58" t="s">
        <v>2082</v>
      </c>
      <c r="BC2174" s="58" t="s">
        <v>2082</v>
      </c>
      <c r="BD2174" s="58" t="s">
        <v>176</v>
      </c>
      <c r="BE2174" s="236"/>
      <c r="BF2174" s="58"/>
      <c r="BG2174" s="58"/>
      <c r="BH2174" s="236"/>
      <c r="BI2174" s="58"/>
      <c r="BJ2174" s="58"/>
      <c r="BK2174" s="58" t="s">
        <v>6269</v>
      </c>
      <c r="BL2174" s="58"/>
      <c r="BM2174" s="237" t="s">
        <v>160</v>
      </c>
      <c r="BN2174" s="58">
        <v>3</v>
      </c>
      <c r="BO2174" s="58">
        <v>3</v>
      </c>
      <c r="BP2174" s="58"/>
      <c r="BQ2174" s="58" t="s">
        <v>141</v>
      </c>
      <c r="BR2174" s="58"/>
      <c r="BS2174" s="58"/>
      <c r="BT2174" s="58"/>
      <c r="BU2174" s="58"/>
      <c r="BV2174" s="58"/>
      <c r="BW2174" s="67"/>
      <c r="BX2174" s="67"/>
      <c r="BY2174" s="67"/>
      <c r="BZ2174" s="67"/>
      <c r="CA2174" s="67"/>
      <c r="CB2174" s="68"/>
      <c r="CC2174" s="68"/>
      <c r="CD2174" s="68"/>
      <c r="CE2174" s="67"/>
      <c r="CF2174" s="67"/>
      <c r="CG2174" s="67"/>
      <c r="CH2174" s="92"/>
      <c r="CI2174" s="94"/>
      <c r="CJ2174" s="67"/>
      <c r="CK2174" s="67"/>
      <c r="CL2174" s="67"/>
      <c r="CM2174" s="67">
        <f>(CR2174*1000000)/(100*100*AD2174*AA2174/100*1000000)*100</f>
        <v>5.2413793103448274</v>
      </c>
      <c r="CN2174" s="67">
        <f>(CS2174*1000000)/(100*100*AD2174*AA2174/100*1000000)*100</f>
        <v>7.257931034482759</v>
      </c>
      <c r="CO2174" s="67"/>
      <c r="CP2174" s="67"/>
      <c r="CQ2174" s="67"/>
      <c r="CR2174" s="67">
        <v>19</v>
      </c>
      <c r="CS2174" s="67">
        <v>26.31</v>
      </c>
      <c r="CT2174" s="67"/>
      <c r="CU2174" s="67"/>
      <c r="CV2174" s="67" t="s">
        <v>2212</v>
      </c>
      <c r="CW2174" s="67"/>
      <c r="CX2174" s="67"/>
      <c r="CY2174" s="67"/>
      <c r="CZ2174" s="67"/>
      <c r="DA2174" s="67" t="s">
        <v>4463</v>
      </c>
      <c r="DB2174" s="67">
        <v>1.59</v>
      </c>
      <c r="DC2174" s="67">
        <v>2.2999999999999998</v>
      </c>
      <c r="DD2174" s="67"/>
      <c r="DE2174" s="67"/>
      <c r="DF2174" s="67" t="s">
        <v>2212</v>
      </c>
      <c r="DG2174" s="67"/>
      <c r="DH2174" s="67"/>
      <c r="DI2174" s="67"/>
      <c r="DJ2174" s="67"/>
      <c r="DK2174" s="67"/>
      <c r="DL2174" s="67"/>
      <c r="DM2174" s="67"/>
      <c r="DN2174" s="67"/>
      <c r="DO2174" s="67"/>
      <c r="DP2174" s="67"/>
      <c r="DQ2174" s="166"/>
      <c r="DR2174" s="166"/>
      <c r="DS2174" s="163"/>
      <c r="DT2174" s="163"/>
      <c r="DU2174" s="67"/>
      <c r="DV2174" s="67"/>
      <c r="DW2174" s="67"/>
      <c r="DX2174" s="67"/>
      <c r="DY2174" s="67"/>
      <c r="DZ2174" s="67"/>
      <c r="EA2174" s="67"/>
      <c r="EB2174" s="67"/>
      <c r="EC2174" s="67"/>
      <c r="ED2174" s="67"/>
      <c r="EE2174" s="67"/>
      <c r="EF2174" s="67"/>
      <c r="EG2174" s="67"/>
      <c r="EH2174" s="67"/>
      <c r="EI2174" s="67"/>
      <c r="EJ2174" s="67"/>
      <c r="EK2174" s="94"/>
      <c r="EL2174" s="94"/>
      <c r="EM2174" s="67"/>
      <c r="EN2174" s="67"/>
      <c r="EO2174" s="67"/>
      <c r="EP2174" s="67"/>
      <c r="EQ2174" s="67"/>
      <c r="ER2174" s="67"/>
      <c r="ES2174" s="67"/>
      <c r="ET2174" s="67"/>
      <c r="EU2174" s="67"/>
      <c r="EV2174" s="67"/>
      <c r="EW2174" s="67"/>
      <c r="EX2174" s="67"/>
      <c r="EY2174" s="67"/>
      <c r="EZ2174" s="67"/>
      <c r="FA2174" s="67"/>
      <c r="FB2174" s="67"/>
      <c r="FC2174" s="67"/>
      <c r="FD2174" s="67"/>
      <c r="FE2174" s="67"/>
      <c r="FF2174" s="67"/>
      <c r="FG2174" s="67"/>
      <c r="FH2174" s="67"/>
      <c r="FI2174" s="67"/>
      <c r="FJ2174" s="67"/>
      <c r="FK2174" s="67"/>
      <c r="FL2174" s="67"/>
      <c r="FM2174" s="67"/>
      <c r="FN2174" s="67"/>
      <c r="FO2174" s="67"/>
      <c r="FP2174" s="67"/>
      <c r="FQ2174" s="67"/>
      <c r="FR2174" s="67"/>
      <c r="FS2174" s="67"/>
      <c r="FT2174" s="67"/>
      <c r="FU2174" s="67"/>
      <c r="FV2174" s="67"/>
      <c r="FW2174" s="67"/>
      <c r="FX2174" s="67"/>
      <c r="FY2174" s="67"/>
      <c r="FZ2174" s="67"/>
      <c r="GA2174" s="67"/>
      <c r="GB2174" s="67"/>
      <c r="GC2174" s="67"/>
      <c r="GD2174" s="67"/>
      <c r="GE2174" s="67"/>
      <c r="GF2174" s="67"/>
      <c r="GG2174" s="67"/>
      <c r="GH2174" s="67"/>
      <c r="GI2174" s="67"/>
      <c r="GJ2174" s="67"/>
      <c r="GK2174" s="67"/>
      <c r="GL2174" s="67"/>
      <c r="GM2174" s="67"/>
      <c r="GN2174" s="292"/>
      <c r="GO2174" s="292"/>
      <c r="GP2174" s="292" t="s">
        <v>7494</v>
      </c>
      <c r="GQ2174" s="67"/>
      <c r="GR2174" s="67"/>
      <c r="GS2174" s="67"/>
      <c r="GT2174" s="67"/>
      <c r="GU2174" s="67"/>
      <c r="GV2174" s="67"/>
      <c r="GW2174" s="67"/>
      <c r="GX2174" s="67"/>
      <c r="GY2174" s="67"/>
      <c r="GZ2174" s="67"/>
      <c r="HA2174" s="67"/>
      <c r="HB2174" s="67"/>
      <c r="HC2174" s="67"/>
      <c r="HD2174" s="67"/>
      <c r="HE2174" s="67"/>
      <c r="HF2174" s="67"/>
      <c r="HG2174" s="67"/>
      <c r="HH2174" s="67"/>
      <c r="HI2174" s="67"/>
      <c r="HJ2174" s="67"/>
      <c r="HK2174" s="67"/>
      <c r="HL2174" s="67"/>
      <c r="HM2174" s="67"/>
      <c r="HN2174" s="67"/>
      <c r="HO2174" s="67"/>
      <c r="HP2174" s="67"/>
      <c r="HQ2174" s="67"/>
      <c r="HR2174" s="67"/>
      <c r="HS2174" s="67"/>
      <c r="HT2174" s="67"/>
      <c r="HU2174" s="67"/>
      <c r="HV2174" s="67"/>
      <c r="HW2174" s="67"/>
      <c r="HX2174" s="67"/>
      <c r="HY2174" s="67"/>
      <c r="HZ2174" s="67"/>
      <c r="IA2174" s="67"/>
      <c r="IB2174" s="67"/>
      <c r="IC2174" s="67"/>
      <c r="ID2174" s="67"/>
      <c r="IE2174" s="67"/>
      <c r="IF2174" s="67"/>
      <c r="IG2174" s="67"/>
      <c r="IH2174" s="67"/>
      <c r="II2174" s="67"/>
      <c r="IJ2174" s="67"/>
      <c r="IK2174" s="67"/>
      <c r="IL2174" s="67"/>
      <c r="IM2174" s="67"/>
      <c r="IN2174" s="67"/>
      <c r="IO2174" s="67"/>
      <c r="IP2174" s="67"/>
      <c r="IQ2174" s="67"/>
      <c r="IR2174" s="67"/>
      <c r="IS2174" s="67"/>
      <c r="IT2174" s="67"/>
      <c r="IU2174" s="67"/>
      <c r="IV2174" s="67"/>
      <c r="IW2174" s="67"/>
      <c r="IX2174" s="67"/>
      <c r="IY2174" s="67"/>
      <c r="IZ2174" s="67"/>
      <c r="JA2174" s="67"/>
      <c r="JB2174" s="67"/>
      <c r="JC2174" s="67"/>
      <c r="JD2174" s="67"/>
      <c r="JE2174" s="67"/>
      <c r="JF2174" s="67"/>
      <c r="JG2174" s="67"/>
      <c r="JH2174" s="67"/>
      <c r="JI2174" s="67"/>
      <c r="JJ2174" s="67"/>
      <c r="JK2174" s="67"/>
      <c r="JL2174" s="67"/>
      <c r="JM2174" s="67"/>
      <c r="JN2174" s="67"/>
      <c r="JO2174" s="67"/>
      <c r="JP2174" s="67"/>
      <c r="JQ2174" s="67"/>
      <c r="JR2174" s="67"/>
      <c r="JS2174" s="67"/>
      <c r="JT2174" s="67"/>
      <c r="JU2174" s="58"/>
      <c r="JV2174" s="58"/>
      <c r="JW2174" s="58"/>
    </row>
    <row r="2175" spans="1:283" s="23" customFormat="1" x14ac:dyDescent="0.25">
      <c r="A2175" s="55">
        <v>2174</v>
      </c>
      <c r="B2175" s="12" t="s">
        <v>7067</v>
      </c>
      <c r="C2175" s="156">
        <v>100</v>
      </c>
      <c r="D2175" s="58" t="s">
        <v>4156</v>
      </c>
      <c r="E2175" s="94" t="s">
        <v>2108</v>
      </c>
      <c r="F2175" s="94"/>
      <c r="G2175" s="58" t="s">
        <v>2203</v>
      </c>
      <c r="H2175" s="58">
        <v>2000</v>
      </c>
      <c r="I2175" s="58">
        <v>1994</v>
      </c>
      <c r="J2175" s="58" t="s">
        <v>1709</v>
      </c>
      <c r="K2175" s="58" t="s">
        <v>2109</v>
      </c>
      <c r="L2175" s="58" t="s">
        <v>5334</v>
      </c>
      <c r="M2175" s="94">
        <f>-30-51/60</f>
        <v>-30.85</v>
      </c>
      <c r="N2175" s="94">
        <f>-51-38/60</f>
        <v>-51.633333333333333</v>
      </c>
      <c r="O2175" s="94">
        <v>96</v>
      </c>
      <c r="P2175" s="58">
        <v>19.399999999999999</v>
      </c>
      <c r="Q2175" s="58"/>
      <c r="R2175" s="58">
        <v>1440</v>
      </c>
      <c r="S2175" s="94"/>
      <c r="T2175" s="58"/>
      <c r="U2175" s="58">
        <v>10</v>
      </c>
      <c r="V2175" s="58">
        <v>10</v>
      </c>
      <c r="W2175" s="174"/>
      <c r="X2175" s="174"/>
      <c r="Y2175" s="58" t="s">
        <v>2206</v>
      </c>
      <c r="Z2175" s="59" t="s">
        <v>2210</v>
      </c>
      <c r="AA2175" s="94">
        <v>2.5</v>
      </c>
      <c r="AB2175" s="67"/>
      <c r="AC2175" s="67"/>
      <c r="AD2175" s="94">
        <v>1.45</v>
      </c>
      <c r="AE2175" s="94">
        <v>54</v>
      </c>
      <c r="AF2175" s="94">
        <v>24</v>
      </c>
      <c r="AG2175" s="94"/>
      <c r="AH2175" s="58" t="s">
        <v>494</v>
      </c>
      <c r="AI2175" s="169"/>
      <c r="AJ2175" s="94"/>
      <c r="AK2175" s="94"/>
      <c r="AL2175" s="58"/>
      <c r="AM2175" s="58" t="s">
        <v>2110</v>
      </c>
      <c r="AN2175" s="186" t="s">
        <v>2111</v>
      </c>
      <c r="AO2175" s="185" t="s">
        <v>5150</v>
      </c>
      <c r="AP2175" s="58"/>
      <c r="AQ2175" s="58" t="s">
        <v>1547</v>
      </c>
      <c r="AR2175" s="58" t="s">
        <v>2205</v>
      </c>
      <c r="AS2175" s="58" t="s">
        <v>1584</v>
      </c>
      <c r="AT2175" s="182" t="s">
        <v>2204</v>
      </c>
      <c r="AU2175" s="181" t="s">
        <v>5150</v>
      </c>
      <c r="AV2175" s="185" t="s">
        <v>479</v>
      </c>
      <c r="AW2175" s="58" t="s">
        <v>2112</v>
      </c>
      <c r="AX2175" s="185" t="s">
        <v>479</v>
      </c>
      <c r="AY2175" s="58" t="s">
        <v>176</v>
      </c>
      <c r="AZ2175" s="58" t="s">
        <v>1016</v>
      </c>
      <c r="BA2175" s="58" t="s">
        <v>1016</v>
      </c>
      <c r="BB2175" s="58" t="s">
        <v>2082</v>
      </c>
      <c r="BC2175" s="58" t="s">
        <v>2082</v>
      </c>
      <c r="BD2175" s="58" t="s">
        <v>176</v>
      </c>
      <c r="BE2175" s="236"/>
      <c r="BF2175" s="58"/>
      <c r="BG2175" s="58"/>
      <c r="BH2175" s="236"/>
      <c r="BI2175" s="58"/>
      <c r="BJ2175" s="58"/>
      <c r="BK2175" s="58" t="s">
        <v>6269</v>
      </c>
      <c r="BL2175" s="58"/>
      <c r="BM2175" s="237" t="s">
        <v>160</v>
      </c>
      <c r="BN2175" s="58">
        <v>3</v>
      </c>
      <c r="BO2175" s="58">
        <v>3</v>
      </c>
      <c r="BP2175" s="58"/>
      <c r="BQ2175" s="58" t="s">
        <v>141</v>
      </c>
      <c r="BR2175" s="58"/>
      <c r="BS2175" s="58"/>
      <c r="BT2175" s="58"/>
      <c r="BU2175" s="58"/>
      <c r="BV2175" s="58"/>
      <c r="BW2175" s="67"/>
      <c r="BX2175" s="67"/>
      <c r="BY2175" s="67"/>
      <c r="BZ2175" s="67"/>
      <c r="CA2175" s="67"/>
      <c r="CB2175" s="68"/>
      <c r="CC2175" s="68"/>
      <c r="CD2175" s="68"/>
      <c r="CE2175" s="67"/>
      <c r="CF2175" s="67"/>
      <c r="CG2175" s="67"/>
      <c r="CH2175" s="92"/>
      <c r="CI2175" s="94"/>
      <c r="CJ2175" s="67"/>
      <c r="CK2175" s="67"/>
      <c r="CL2175" s="67"/>
      <c r="CM2175" s="67">
        <f>(CR2175*1000000)/(100*100*AD2175*AA2175/100*1000000)*100</f>
        <v>4.4937931034482759</v>
      </c>
      <c r="CN2175" s="67">
        <f>(CS2175*1000000)/(100*100*AD2175*AA2175/100*1000000)*100</f>
        <v>5.6165517241379312</v>
      </c>
      <c r="CO2175" s="67"/>
      <c r="CP2175" s="67"/>
      <c r="CQ2175" s="67"/>
      <c r="CR2175" s="67">
        <v>16.29</v>
      </c>
      <c r="CS2175" s="67">
        <v>20.36</v>
      </c>
      <c r="CT2175" s="67"/>
      <c r="CU2175" s="67"/>
      <c r="CV2175" s="67" t="s">
        <v>2212</v>
      </c>
      <c r="CW2175" s="67"/>
      <c r="CX2175" s="67"/>
      <c r="CY2175" s="67"/>
      <c r="CZ2175" s="67"/>
      <c r="DA2175" s="67" t="s">
        <v>4463</v>
      </c>
      <c r="DB2175" s="67">
        <v>1.29</v>
      </c>
      <c r="DC2175" s="67">
        <v>1.75</v>
      </c>
      <c r="DD2175" s="67"/>
      <c r="DE2175" s="67"/>
      <c r="DF2175" s="67" t="s">
        <v>2212</v>
      </c>
      <c r="DG2175" s="67"/>
      <c r="DH2175" s="67"/>
      <c r="DI2175" s="67"/>
      <c r="DJ2175" s="67"/>
      <c r="DK2175" s="67"/>
      <c r="DL2175" s="67"/>
      <c r="DM2175" s="67"/>
      <c r="DN2175" s="67"/>
      <c r="DO2175" s="67"/>
      <c r="DP2175" s="67"/>
      <c r="DQ2175" s="166"/>
      <c r="DR2175" s="166"/>
      <c r="DS2175" s="163"/>
      <c r="DT2175" s="163"/>
      <c r="DU2175" s="67"/>
      <c r="DV2175" s="67"/>
      <c r="DW2175" s="67"/>
      <c r="DX2175" s="67"/>
      <c r="DY2175" s="67"/>
      <c r="DZ2175" s="67"/>
      <c r="EA2175" s="67"/>
      <c r="EB2175" s="67"/>
      <c r="EC2175" s="67"/>
      <c r="ED2175" s="67"/>
      <c r="EE2175" s="67"/>
      <c r="EF2175" s="67"/>
      <c r="EG2175" s="67"/>
      <c r="EH2175" s="67"/>
      <c r="EI2175" s="67"/>
      <c r="EJ2175" s="67"/>
      <c r="EK2175" s="94"/>
      <c r="EL2175" s="94"/>
      <c r="EM2175" s="67"/>
      <c r="EN2175" s="67"/>
      <c r="EO2175" s="67"/>
      <c r="EP2175" s="67"/>
      <c r="EQ2175" s="67"/>
      <c r="ER2175" s="67"/>
      <c r="ES2175" s="67"/>
      <c r="ET2175" s="67"/>
      <c r="EU2175" s="67"/>
      <c r="EV2175" s="67"/>
      <c r="EW2175" s="67"/>
      <c r="EX2175" s="67"/>
      <c r="EY2175" s="67"/>
      <c r="EZ2175" s="67"/>
      <c r="FA2175" s="67"/>
      <c r="FB2175" s="67"/>
      <c r="FC2175" s="67"/>
      <c r="FD2175" s="67"/>
      <c r="FE2175" s="67"/>
      <c r="FF2175" s="67"/>
      <c r="FG2175" s="67"/>
      <c r="FH2175" s="67"/>
      <c r="FI2175" s="67"/>
      <c r="FJ2175" s="67"/>
      <c r="FK2175" s="67"/>
      <c r="FL2175" s="67"/>
      <c r="FM2175" s="67"/>
      <c r="FN2175" s="67"/>
      <c r="FO2175" s="67"/>
      <c r="FP2175" s="67"/>
      <c r="FQ2175" s="67"/>
      <c r="FR2175" s="67"/>
      <c r="FS2175" s="67"/>
      <c r="FT2175" s="67"/>
      <c r="FU2175" s="67"/>
      <c r="FV2175" s="67"/>
      <c r="FW2175" s="67"/>
      <c r="FX2175" s="67"/>
      <c r="FY2175" s="67"/>
      <c r="FZ2175" s="67"/>
      <c r="GA2175" s="67"/>
      <c r="GB2175" s="67"/>
      <c r="GC2175" s="67"/>
      <c r="GD2175" s="67"/>
      <c r="GE2175" s="67"/>
      <c r="GF2175" s="67"/>
      <c r="GG2175" s="67"/>
      <c r="GH2175" s="67"/>
      <c r="GI2175" s="67"/>
      <c r="GJ2175" s="67"/>
      <c r="GK2175" s="67"/>
      <c r="GL2175" s="67"/>
      <c r="GM2175" s="67"/>
      <c r="GN2175" s="292"/>
      <c r="GO2175" s="292"/>
      <c r="GP2175" s="292" t="s">
        <v>7494</v>
      </c>
      <c r="GQ2175" s="67"/>
      <c r="GR2175" s="67"/>
      <c r="GS2175" s="67"/>
      <c r="GT2175" s="67"/>
      <c r="GU2175" s="67"/>
      <c r="GV2175" s="67"/>
      <c r="GW2175" s="67"/>
      <c r="GX2175" s="67"/>
      <c r="GY2175" s="67"/>
      <c r="GZ2175" s="67"/>
      <c r="HA2175" s="67"/>
      <c r="HB2175" s="67"/>
      <c r="HC2175" s="67"/>
      <c r="HD2175" s="67"/>
      <c r="HE2175" s="67"/>
      <c r="HF2175" s="67"/>
      <c r="HG2175" s="67"/>
      <c r="HH2175" s="67"/>
      <c r="HI2175" s="67"/>
      <c r="HJ2175" s="67"/>
      <c r="HK2175" s="67"/>
      <c r="HL2175" s="67"/>
      <c r="HM2175" s="67"/>
      <c r="HN2175" s="67"/>
      <c r="HO2175" s="67"/>
      <c r="HP2175" s="67"/>
      <c r="HQ2175" s="67"/>
      <c r="HR2175" s="67"/>
      <c r="HS2175" s="67"/>
      <c r="HT2175" s="67"/>
      <c r="HU2175" s="67"/>
      <c r="HV2175" s="67"/>
      <c r="HW2175" s="67"/>
      <c r="HX2175" s="67"/>
      <c r="HY2175" s="67"/>
      <c r="HZ2175" s="67"/>
      <c r="IA2175" s="67"/>
      <c r="IB2175" s="67"/>
      <c r="IC2175" s="67"/>
      <c r="ID2175" s="67"/>
      <c r="IE2175" s="67"/>
      <c r="IF2175" s="67"/>
      <c r="IG2175" s="67"/>
      <c r="IH2175" s="67"/>
      <c r="II2175" s="67"/>
      <c r="IJ2175" s="67"/>
      <c r="IK2175" s="67"/>
      <c r="IL2175" s="67"/>
      <c r="IM2175" s="67"/>
      <c r="IN2175" s="67"/>
      <c r="IO2175" s="67"/>
      <c r="IP2175" s="67"/>
      <c r="IQ2175" s="67"/>
      <c r="IR2175" s="67"/>
      <c r="IS2175" s="67"/>
      <c r="IT2175" s="67"/>
      <c r="IU2175" s="67"/>
      <c r="IV2175" s="67"/>
      <c r="IW2175" s="67"/>
      <c r="IX2175" s="67"/>
      <c r="IY2175" s="67"/>
      <c r="IZ2175" s="67"/>
      <c r="JA2175" s="67"/>
      <c r="JB2175" s="67"/>
      <c r="JC2175" s="67"/>
      <c r="JD2175" s="67"/>
      <c r="JE2175" s="67"/>
      <c r="JF2175" s="67"/>
      <c r="JG2175" s="67"/>
      <c r="JH2175" s="67"/>
      <c r="JI2175" s="67"/>
      <c r="JJ2175" s="67"/>
      <c r="JK2175" s="67"/>
      <c r="JL2175" s="67"/>
      <c r="JM2175" s="67"/>
      <c r="JN2175" s="67"/>
      <c r="JO2175" s="67"/>
      <c r="JP2175" s="67"/>
      <c r="JQ2175" s="67"/>
      <c r="JR2175" s="67"/>
      <c r="JS2175" s="67"/>
      <c r="JT2175" s="67"/>
      <c r="JU2175" s="58"/>
      <c r="JV2175" s="58"/>
      <c r="JW2175" s="58"/>
    </row>
    <row r="2176" spans="1:283" s="23" customFormat="1" x14ac:dyDescent="0.25">
      <c r="A2176" s="55">
        <v>2175</v>
      </c>
      <c r="B2176" s="12" t="s">
        <v>7067</v>
      </c>
      <c r="C2176" s="156">
        <v>100</v>
      </c>
      <c r="D2176" s="58" t="s">
        <v>4157</v>
      </c>
      <c r="E2176" s="94" t="s">
        <v>2108</v>
      </c>
      <c r="F2176" s="94"/>
      <c r="G2176" s="58" t="s">
        <v>2203</v>
      </c>
      <c r="H2176" s="58">
        <v>2000</v>
      </c>
      <c r="I2176" s="58">
        <v>1994</v>
      </c>
      <c r="J2176" s="58" t="s">
        <v>1709</v>
      </c>
      <c r="K2176" s="58" t="s">
        <v>2109</v>
      </c>
      <c r="L2176" s="58" t="s">
        <v>5334</v>
      </c>
      <c r="M2176" s="94">
        <f>-30-51/60</f>
        <v>-30.85</v>
      </c>
      <c r="N2176" s="94">
        <f>-51-38/60</f>
        <v>-51.633333333333333</v>
      </c>
      <c r="O2176" s="94">
        <v>96</v>
      </c>
      <c r="P2176" s="58">
        <v>19.399999999999999</v>
      </c>
      <c r="Q2176" s="58"/>
      <c r="R2176" s="58">
        <v>1440</v>
      </c>
      <c r="S2176" s="94"/>
      <c r="T2176" s="58"/>
      <c r="U2176" s="58">
        <v>10</v>
      </c>
      <c r="V2176" s="58">
        <v>10</v>
      </c>
      <c r="W2176" s="174"/>
      <c r="X2176" s="174"/>
      <c r="Y2176" s="58" t="s">
        <v>2206</v>
      </c>
      <c r="Z2176" s="59" t="s">
        <v>2211</v>
      </c>
      <c r="AA2176" s="94">
        <v>2.5</v>
      </c>
      <c r="AB2176" s="67"/>
      <c r="AC2176" s="67"/>
      <c r="AD2176" s="94">
        <v>1.45</v>
      </c>
      <c r="AE2176" s="94">
        <v>54</v>
      </c>
      <c r="AF2176" s="94">
        <v>24</v>
      </c>
      <c r="AG2176" s="94"/>
      <c r="AH2176" s="58" t="s">
        <v>494</v>
      </c>
      <c r="AI2176" s="169"/>
      <c r="AJ2176" s="94"/>
      <c r="AK2176" s="94"/>
      <c r="AL2176" s="58"/>
      <c r="AM2176" s="58" t="s">
        <v>2110</v>
      </c>
      <c r="AN2176" s="186" t="s">
        <v>2111</v>
      </c>
      <c r="AO2176" s="185" t="s">
        <v>5150</v>
      </c>
      <c r="AP2176" s="58"/>
      <c r="AQ2176" s="58" t="s">
        <v>1547</v>
      </c>
      <c r="AR2176" s="58" t="s">
        <v>2205</v>
      </c>
      <c r="AS2176" s="58" t="s">
        <v>1584</v>
      </c>
      <c r="AT2176" s="182" t="s">
        <v>2204</v>
      </c>
      <c r="AU2176" s="181" t="s">
        <v>5150</v>
      </c>
      <c r="AV2176" s="185" t="s">
        <v>479</v>
      </c>
      <c r="AW2176" s="58" t="s">
        <v>2112</v>
      </c>
      <c r="AX2176" s="185" t="s">
        <v>479</v>
      </c>
      <c r="AY2176" s="58" t="s">
        <v>176</v>
      </c>
      <c r="AZ2176" s="58" t="s">
        <v>1016</v>
      </c>
      <c r="BA2176" s="58" t="s">
        <v>1016</v>
      </c>
      <c r="BB2176" s="58" t="s">
        <v>2082</v>
      </c>
      <c r="BC2176" s="58" t="s">
        <v>2082</v>
      </c>
      <c r="BD2176" s="58" t="s">
        <v>176</v>
      </c>
      <c r="BE2176" s="236"/>
      <c r="BF2176" s="58"/>
      <c r="BG2176" s="58"/>
      <c r="BH2176" s="236"/>
      <c r="BI2176" s="58"/>
      <c r="BJ2176" s="58"/>
      <c r="BK2176" s="58" t="s">
        <v>6269</v>
      </c>
      <c r="BL2176" s="58"/>
      <c r="BM2176" s="237" t="s">
        <v>160</v>
      </c>
      <c r="BN2176" s="58">
        <v>3</v>
      </c>
      <c r="BO2176" s="58">
        <v>3</v>
      </c>
      <c r="BP2176" s="58"/>
      <c r="BQ2176" s="58" t="s">
        <v>141</v>
      </c>
      <c r="BR2176" s="58"/>
      <c r="BS2176" s="58"/>
      <c r="BT2176" s="58"/>
      <c r="BU2176" s="58"/>
      <c r="BV2176" s="58"/>
      <c r="BW2176" s="67"/>
      <c r="BX2176" s="67"/>
      <c r="BY2176" s="67"/>
      <c r="BZ2176" s="67"/>
      <c r="CA2176" s="67"/>
      <c r="CB2176" s="68"/>
      <c r="CC2176" s="68"/>
      <c r="CD2176" s="68"/>
      <c r="CE2176" s="67"/>
      <c r="CF2176" s="67"/>
      <c r="CG2176" s="67"/>
      <c r="CH2176" s="92"/>
      <c r="CI2176" s="94"/>
      <c r="CJ2176" s="67"/>
      <c r="CK2176" s="67"/>
      <c r="CL2176" s="67"/>
      <c r="CM2176" s="67">
        <f>(CR2176*1000000)/(100*100*AD2176*AA2176/100*1000000)*100</f>
        <v>4.3117241379310345</v>
      </c>
      <c r="CN2176" s="67">
        <f>(CS2176*1000000)/(100*100*AD2176*AA2176/100*1000000)*100</f>
        <v>5.1337931034482764</v>
      </c>
      <c r="CO2176" s="67"/>
      <c r="CP2176" s="67"/>
      <c r="CQ2176" s="67"/>
      <c r="CR2176" s="67">
        <v>15.63</v>
      </c>
      <c r="CS2176" s="67">
        <v>18.61</v>
      </c>
      <c r="CT2176" s="67"/>
      <c r="CU2176" s="67"/>
      <c r="CV2176" s="67" t="s">
        <v>2212</v>
      </c>
      <c r="CW2176" s="67"/>
      <c r="CX2176" s="67"/>
      <c r="CY2176" s="67"/>
      <c r="CZ2176" s="67"/>
      <c r="DA2176" s="67" t="s">
        <v>4463</v>
      </c>
      <c r="DB2176" s="67">
        <v>1.33</v>
      </c>
      <c r="DC2176" s="67">
        <v>1.58</v>
      </c>
      <c r="DD2176" s="67"/>
      <c r="DE2176" s="67"/>
      <c r="DF2176" s="67" t="s">
        <v>2212</v>
      </c>
      <c r="DG2176" s="67"/>
      <c r="DH2176" s="67"/>
      <c r="DI2176" s="67"/>
      <c r="DJ2176" s="67"/>
      <c r="DK2176" s="67"/>
      <c r="DL2176" s="67"/>
      <c r="DM2176" s="67"/>
      <c r="DN2176" s="67"/>
      <c r="DO2176" s="67"/>
      <c r="DP2176" s="67"/>
      <c r="DQ2176" s="166"/>
      <c r="DR2176" s="166"/>
      <c r="DS2176" s="163"/>
      <c r="DT2176" s="163"/>
      <c r="DU2176" s="67"/>
      <c r="DV2176" s="67"/>
      <c r="DW2176" s="67"/>
      <c r="DX2176" s="67"/>
      <c r="DY2176" s="67"/>
      <c r="DZ2176" s="67"/>
      <c r="EA2176" s="67"/>
      <c r="EB2176" s="67"/>
      <c r="EC2176" s="67"/>
      <c r="ED2176" s="67"/>
      <c r="EE2176" s="67"/>
      <c r="EF2176" s="67"/>
      <c r="EG2176" s="67"/>
      <c r="EH2176" s="67"/>
      <c r="EI2176" s="67"/>
      <c r="EJ2176" s="67"/>
      <c r="EK2176" s="94"/>
      <c r="EL2176" s="94"/>
      <c r="EM2176" s="67"/>
      <c r="EN2176" s="67"/>
      <c r="EO2176" s="67"/>
      <c r="EP2176" s="67"/>
      <c r="EQ2176" s="67"/>
      <c r="ER2176" s="67"/>
      <c r="ES2176" s="67"/>
      <c r="ET2176" s="67"/>
      <c r="EU2176" s="67"/>
      <c r="EV2176" s="67"/>
      <c r="EW2176" s="67"/>
      <c r="EX2176" s="67"/>
      <c r="EY2176" s="67"/>
      <c r="EZ2176" s="67"/>
      <c r="FA2176" s="67"/>
      <c r="FB2176" s="67"/>
      <c r="FC2176" s="67"/>
      <c r="FD2176" s="67"/>
      <c r="FE2176" s="67"/>
      <c r="FF2176" s="67"/>
      <c r="FG2176" s="67"/>
      <c r="FH2176" s="67"/>
      <c r="FI2176" s="67"/>
      <c r="FJ2176" s="67"/>
      <c r="FK2176" s="67"/>
      <c r="FL2176" s="67"/>
      <c r="FM2176" s="67"/>
      <c r="FN2176" s="67"/>
      <c r="FO2176" s="67"/>
      <c r="FP2176" s="67"/>
      <c r="FQ2176" s="67"/>
      <c r="FR2176" s="67"/>
      <c r="FS2176" s="67"/>
      <c r="FT2176" s="67"/>
      <c r="FU2176" s="67"/>
      <c r="FV2176" s="67"/>
      <c r="FW2176" s="67"/>
      <c r="FX2176" s="67"/>
      <c r="FY2176" s="67"/>
      <c r="FZ2176" s="67"/>
      <c r="GA2176" s="67"/>
      <c r="GB2176" s="67"/>
      <c r="GC2176" s="67"/>
      <c r="GD2176" s="67"/>
      <c r="GE2176" s="67"/>
      <c r="GF2176" s="67"/>
      <c r="GG2176" s="67"/>
      <c r="GH2176" s="67"/>
      <c r="GI2176" s="67"/>
      <c r="GJ2176" s="67"/>
      <c r="GK2176" s="67"/>
      <c r="GL2176" s="67"/>
      <c r="GM2176" s="67"/>
      <c r="GN2176" s="292"/>
      <c r="GO2176" s="292"/>
      <c r="GP2176" s="292" t="s">
        <v>7494</v>
      </c>
      <c r="GQ2176" s="67"/>
      <c r="GR2176" s="67"/>
      <c r="GS2176" s="67"/>
      <c r="GT2176" s="67"/>
      <c r="GU2176" s="67"/>
      <c r="GV2176" s="67"/>
      <c r="GW2176" s="67"/>
      <c r="GX2176" s="67"/>
      <c r="GY2176" s="67"/>
      <c r="GZ2176" s="67"/>
      <c r="HA2176" s="67"/>
      <c r="HB2176" s="67"/>
      <c r="HC2176" s="67"/>
      <c r="HD2176" s="67"/>
      <c r="HE2176" s="67"/>
      <c r="HF2176" s="67"/>
      <c r="HG2176" s="67"/>
      <c r="HH2176" s="67"/>
      <c r="HI2176" s="67"/>
      <c r="HJ2176" s="67"/>
      <c r="HK2176" s="67"/>
      <c r="HL2176" s="67"/>
      <c r="HM2176" s="67"/>
      <c r="HN2176" s="67"/>
      <c r="HO2176" s="67"/>
      <c r="HP2176" s="67"/>
      <c r="HQ2176" s="67"/>
      <c r="HR2176" s="67"/>
      <c r="HS2176" s="67"/>
      <c r="HT2176" s="67"/>
      <c r="HU2176" s="67"/>
      <c r="HV2176" s="67"/>
      <c r="HW2176" s="67"/>
      <c r="HX2176" s="67"/>
      <c r="HY2176" s="67"/>
      <c r="HZ2176" s="67"/>
      <c r="IA2176" s="67"/>
      <c r="IB2176" s="67"/>
      <c r="IC2176" s="67"/>
      <c r="ID2176" s="67"/>
      <c r="IE2176" s="67"/>
      <c r="IF2176" s="67"/>
      <c r="IG2176" s="67"/>
      <c r="IH2176" s="67"/>
      <c r="II2176" s="67"/>
      <c r="IJ2176" s="67"/>
      <c r="IK2176" s="67"/>
      <c r="IL2176" s="67"/>
      <c r="IM2176" s="67"/>
      <c r="IN2176" s="67"/>
      <c r="IO2176" s="67"/>
      <c r="IP2176" s="67"/>
      <c r="IQ2176" s="67"/>
      <c r="IR2176" s="67"/>
      <c r="IS2176" s="67"/>
      <c r="IT2176" s="67"/>
      <c r="IU2176" s="67"/>
      <c r="IV2176" s="67"/>
      <c r="IW2176" s="67"/>
      <c r="IX2176" s="67"/>
      <c r="IY2176" s="67"/>
      <c r="IZ2176" s="67"/>
      <c r="JA2176" s="67"/>
      <c r="JB2176" s="67"/>
      <c r="JC2176" s="67"/>
      <c r="JD2176" s="67"/>
      <c r="JE2176" s="67"/>
      <c r="JF2176" s="67"/>
      <c r="JG2176" s="67"/>
      <c r="JH2176" s="67"/>
      <c r="JI2176" s="67"/>
      <c r="JJ2176" s="67"/>
      <c r="JK2176" s="67"/>
      <c r="JL2176" s="67"/>
      <c r="JM2176" s="67"/>
      <c r="JN2176" s="67"/>
      <c r="JO2176" s="67"/>
      <c r="JP2176" s="67"/>
      <c r="JQ2176" s="67"/>
      <c r="JR2176" s="67"/>
      <c r="JS2176" s="67"/>
      <c r="JT2176" s="67"/>
      <c r="JU2176" s="58"/>
      <c r="JV2176" s="58"/>
      <c r="JW2176" s="58"/>
    </row>
    <row r="2177" spans="1:283" s="23" customFormat="1" x14ac:dyDescent="0.25">
      <c r="A2177" s="55">
        <v>2176</v>
      </c>
      <c r="B2177" s="12" t="s">
        <v>7067</v>
      </c>
      <c r="C2177" s="156">
        <v>100</v>
      </c>
      <c r="D2177" s="58" t="s">
        <v>4158</v>
      </c>
      <c r="E2177" s="94" t="s">
        <v>2108</v>
      </c>
      <c r="F2177" s="94"/>
      <c r="G2177" s="58" t="s">
        <v>2203</v>
      </c>
      <c r="H2177" s="58">
        <v>2000</v>
      </c>
      <c r="I2177" s="58">
        <v>1994</v>
      </c>
      <c r="J2177" s="58" t="s">
        <v>1709</v>
      </c>
      <c r="K2177" s="58" t="s">
        <v>2109</v>
      </c>
      <c r="L2177" s="58" t="s">
        <v>5334</v>
      </c>
      <c r="M2177" s="94">
        <f>-30-51/60</f>
        <v>-30.85</v>
      </c>
      <c r="N2177" s="94">
        <f>-51-38/60</f>
        <v>-51.633333333333333</v>
      </c>
      <c r="O2177" s="94">
        <v>96</v>
      </c>
      <c r="P2177" s="58">
        <v>19.399999999999999</v>
      </c>
      <c r="Q2177" s="58"/>
      <c r="R2177" s="58">
        <v>1440</v>
      </c>
      <c r="S2177" s="94"/>
      <c r="T2177" s="58"/>
      <c r="U2177" s="58">
        <v>10</v>
      </c>
      <c r="V2177" s="58">
        <v>10</v>
      </c>
      <c r="W2177" s="174"/>
      <c r="X2177" s="174"/>
      <c r="Y2177" s="58" t="s">
        <v>2206</v>
      </c>
      <c r="Z2177" s="59" t="s">
        <v>1376</v>
      </c>
      <c r="AA2177" s="94">
        <v>5</v>
      </c>
      <c r="AB2177" s="67"/>
      <c r="AC2177" s="67"/>
      <c r="AD2177" s="94">
        <v>1.45</v>
      </c>
      <c r="AE2177" s="94">
        <v>54</v>
      </c>
      <c r="AF2177" s="94">
        <v>24</v>
      </c>
      <c r="AG2177" s="94"/>
      <c r="AH2177" s="58" t="s">
        <v>494</v>
      </c>
      <c r="AI2177" s="169"/>
      <c r="AJ2177" s="94"/>
      <c r="AK2177" s="94"/>
      <c r="AL2177" s="58"/>
      <c r="AM2177" s="58" t="s">
        <v>2110</v>
      </c>
      <c r="AN2177" s="186" t="s">
        <v>2111</v>
      </c>
      <c r="AO2177" s="185" t="s">
        <v>5150</v>
      </c>
      <c r="AP2177" s="58"/>
      <c r="AQ2177" s="58" t="s">
        <v>1547</v>
      </c>
      <c r="AR2177" s="58" t="s">
        <v>2205</v>
      </c>
      <c r="AS2177" s="58" t="s">
        <v>1584</v>
      </c>
      <c r="AT2177" s="182" t="s">
        <v>2204</v>
      </c>
      <c r="AU2177" s="181" t="s">
        <v>5150</v>
      </c>
      <c r="AV2177" s="185" t="s">
        <v>479</v>
      </c>
      <c r="AW2177" s="58" t="s">
        <v>2112</v>
      </c>
      <c r="AX2177" s="185" t="s">
        <v>479</v>
      </c>
      <c r="AY2177" s="58" t="s">
        <v>176</v>
      </c>
      <c r="AZ2177" s="58" t="s">
        <v>1016</v>
      </c>
      <c r="BA2177" s="58" t="s">
        <v>1016</v>
      </c>
      <c r="BB2177" s="58" t="s">
        <v>2082</v>
      </c>
      <c r="BC2177" s="58" t="s">
        <v>2082</v>
      </c>
      <c r="BD2177" s="58" t="s">
        <v>176</v>
      </c>
      <c r="BE2177" s="236"/>
      <c r="BF2177" s="58"/>
      <c r="BG2177" s="58"/>
      <c r="BH2177" s="236"/>
      <c r="BI2177" s="58"/>
      <c r="BJ2177" s="58"/>
      <c r="BK2177" s="58" t="s">
        <v>6269</v>
      </c>
      <c r="BL2177" s="58"/>
      <c r="BM2177" s="237" t="s">
        <v>160</v>
      </c>
      <c r="BN2177" s="58">
        <v>3</v>
      </c>
      <c r="BO2177" s="58">
        <v>3</v>
      </c>
      <c r="BP2177" s="58"/>
      <c r="BQ2177" s="58" t="s">
        <v>141</v>
      </c>
      <c r="BR2177" s="58"/>
      <c r="BS2177" s="58"/>
      <c r="BT2177" s="58"/>
      <c r="BU2177" s="58"/>
      <c r="BV2177" s="58"/>
      <c r="BW2177" s="67"/>
      <c r="BX2177" s="67"/>
      <c r="BY2177" s="67"/>
      <c r="BZ2177" s="67"/>
      <c r="CA2177" s="67"/>
      <c r="CB2177" s="68"/>
      <c r="CC2177" s="68"/>
      <c r="CD2177" s="68"/>
      <c r="CE2177" s="67"/>
      <c r="CF2177" s="67"/>
      <c r="CG2177" s="67"/>
      <c r="CH2177" s="92"/>
      <c r="CI2177" s="94"/>
      <c r="CJ2177" s="67"/>
      <c r="CK2177" s="67"/>
      <c r="CL2177" s="67"/>
      <c r="CM2177" s="67">
        <f>(CR2177*1000000)/(100*100*AD2177*AA2177/100*1000000)*100</f>
        <v>2.0468965517241382</v>
      </c>
      <c r="CN2177" s="67">
        <f>(CS2177*1000000)/(100*100*AD2177*AA2177/100*1000000)*100</f>
        <v>2.3089655172413792</v>
      </c>
      <c r="CO2177" s="67"/>
      <c r="CP2177" s="67"/>
      <c r="CQ2177" s="67"/>
      <c r="CR2177" s="67">
        <v>14.84</v>
      </c>
      <c r="CS2177" s="67">
        <v>16.739999999999998</v>
      </c>
      <c r="CT2177" s="67"/>
      <c r="CU2177" s="67"/>
      <c r="CV2177" s="67" t="s">
        <v>2212</v>
      </c>
      <c r="CW2177" s="67"/>
      <c r="CX2177" s="67"/>
      <c r="CY2177" s="67"/>
      <c r="CZ2177" s="67"/>
      <c r="DA2177" s="67" t="s">
        <v>4463</v>
      </c>
      <c r="DB2177" s="67">
        <v>1.28</v>
      </c>
      <c r="DC2177" s="67">
        <v>1.43</v>
      </c>
      <c r="DD2177" s="67"/>
      <c r="DE2177" s="67"/>
      <c r="DF2177" s="67" t="s">
        <v>2212</v>
      </c>
      <c r="DG2177" s="67"/>
      <c r="DH2177" s="67"/>
      <c r="DI2177" s="67"/>
      <c r="DJ2177" s="67"/>
      <c r="DK2177" s="67"/>
      <c r="DL2177" s="67"/>
      <c r="DM2177" s="67"/>
      <c r="DN2177" s="67"/>
      <c r="DO2177" s="67"/>
      <c r="DP2177" s="67"/>
      <c r="DQ2177" s="166"/>
      <c r="DR2177" s="166"/>
      <c r="DS2177" s="163"/>
      <c r="DT2177" s="163"/>
      <c r="DU2177" s="67"/>
      <c r="DV2177" s="67"/>
      <c r="DW2177" s="67"/>
      <c r="DX2177" s="67"/>
      <c r="DY2177" s="67"/>
      <c r="DZ2177" s="67"/>
      <c r="EA2177" s="67"/>
      <c r="EB2177" s="67"/>
      <c r="EC2177" s="67"/>
      <c r="ED2177" s="67"/>
      <c r="EE2177" s="67"/>
      <c r="EF2177" s="67"/>
      <c r="EG2177" s="67"/>
      <c r="EH2177" s="67"/>
      <c r="EI2177" s="67"/>
      <c r="EJ2177" s="67"/>
      <c r="EK2177" s="94"/>
      <c r="EL2177" s="94"/>
      <c r="EM2177" s="67"/>
      <c r="EN2177" s="67"/>
      <c r="EO2177" s="67"/>
      <c r="EP2177" s="67"/>
      <c r="EQ2177" s="67"/>
      <c r="ER2177" s="67"/>
      <c r="ES2177" s="67"/>
      <c r="ET2177" s="67"/>
      <c r="EU2177" s="67"/>
      <c r="EV2177" s="67"/>
      <c r="EW2177" s="67"/>
      <c r="EX2177" s="67"/>
      <c r="EY2177" s="67"/>
      <c r="EZ2177" s="67"/>
      <c r="FA2177" s="67"/>
      <c r="FB2177" s="67"/>
      <c r="FC2177" s="67"/>
      <c r="FD2177" s="67"/>
      <c r="FE2177" s="67"/>
      <c r="FF2177" s="67"/>
      <c r="FG2177" s="67"/>
      <c r="FH2177" s="67"/>
      <c r="FI2177" s="67"/>
      <c r="FJ2177" s="67"/>
      <c r="FK2177" s="67"/>
      <c r="FL2177" s="67"/>
      <c r="FM2177" s="67"/>
      <c r="FN2177" s="67"/>
      <c r="FO2177" s="67"/>
      <c r="FP2177" s="67"/>
      <c r="FQ2177" s="67"/>
      <c r="FR2177" s="67"/>
      <c r="FS2177" s="67"/>
      <c r="FT2177" s="67"/>
      <c r="FU2177" s="67"/>
      <c r="FV2177" s="67"/>
      <c r="FW2177" s="67"/>
      <c r="FX2177" s="67"/>
      <c r="FY2177" s="67"/>
      <c r="FZ2177" s="67"/>
      <c r="GA2177" s="67"/>
      <c r="GB2177" s="67"/>
      <c r="GC2177" s="67"/>
      <c r="GD2177" s="67"/>
      <c r="GE2177" s="67"/>
      <c r="GF2177" s="67"/>
      <c r="GG2177" s="67"/>
      <c r="GH2177" s="67"/>
      <c r="GI2177" s="67"/>
      <c r="GJ2177" s="67"/>
      <c r="GK2177" s="67"/>
      <c r="GL2177" s="67"/>
      <c r="GM2177" s="67"/>
      <c r="GN2177" s="292"/>
      <c r="GO2177" s="292"/>
      <c r="GP2177" s="292" t="s">
        <v>7494</v>
      </c>
      <c r="GQ2177" s="67"/>
      <c r="GR2177" s="67"/>
      <c r="GS2177" s="67"/>
      <c r="GT2177" s="67"/>
      <c r="GU2177" s="67"/>
      <c r="GV2177" s="67"/>
      <c r="GW2177" s="67"/>
      <c r="GX2177" s="67"/>
      <c r="GY2177" s="67"/>
      <c r="GZ2177" s="67"/>
      <c r="HA2177" s="67"/>
      <c r="HB2177" s="67"/>
      <c r="HC2177" s="67"/>
      <c r="HD2177" s="67"/>
      <c r="HE2177" s="67"/>
      <c r="HF2177" s="67"/>
      <c r="HG2177" s="67"/>
      <c r="HH2177" s="67"/>
      <c r="HI2177" s="67"/>
      <c r="HJ2177" s="67"/>
      <c r="HK2177" s="67"/>
      <c r="HL2177" s="67"/>
      <c r="HM2177" s="67"/>
      <c r="HN2177" s="67"/>
      <c r="HO2177" s="67"/>
      <c r="HP2177" s="67"/>
      <c r="HQ2177" s="67"/>
      <c r="HR2177" s="67"/>
      <c r="HS2177" s="67"/>
      <c r="HT2177" s="67"/>
      <c r="HU2177" s="67"/>
      <c r="HV2177" s="67"/>
      <c r="HW2177" s="67"/>
      <c r="HX2177" s="67"/>
      <c r="HY2177" s="67"/>
      <c r="HZ2177" s="67"/>
      <c r="IA2177" s="67"/>
      <c r="IB2177" s="67"/>
      <c r="IC2177" s="67"/>
      <c r="ID2177" s="67"/>
      <c r="IE2177" s="67"/>
      <c r="IF2177" s="67"/>
      <c r="IG2177" s="67"/>
      <c r="IH2177" s="67"/>
      <c r="II2177" s="67"/>
      <c r="IJ2177" s="67"/>
      <c r="IK2177" s="67"/>
      <c r="IL2177" s="67"/>
      <c r="IM2177" s="67"/>
      <c r="IN2177" s="67"/>
      <c r="IO2177" s="67"/>
      <c r="IP2177" s="67"/>
      <c r="IQ2177" s="67"/>
      <c r="IR2177" s="67"/>
      <c r="IS2177" s="67"/>
      <c r="IT2177" s="67"/>
      <c r="IU2177" s="67"/>
      <c r="IV2177" s="67"/>
      <c r="IW2177" s="67"/>
      <c r="IX2177" s="67"/>
      <c r="IY2177" s="67"/>
      <c r="IZ2177" s="67"/>
      <c r="JA2177" s="67"/>
      <c r="JB2177" s="67"/>
      <c r="JC2177" s="67"/>
      <c r="JD2177" s="67"/>
      <c r="JE2177" s="67"/>
      <c r="JF2177" s="67"/>
      <c r="JG2177" s="67"/>
      <c r="JH2177" s="67"/>
      <c r="JI2177" s="67"/>
      <c r="JJ2177" s="67"/>
      <c r="JK2177" s="67"/>
      <c r="JL2177" s="67"/>
      <c r="JM2177" s="67"/>
      <c r="JN2177" s="67"/>
      <c r="JO2177" s="67"/>
      <c r="JP2177" s="67"/>
      <c r="JQ2177" s="67"/>
      <c r="JR2177" s="67"/>
      <c r="JS2177" s="67"/>
      <c r="JT2177" s="67"/>
      <c r="JU2177" s="58"/>
      <c r="JV2177" s="58"/>
      <c r="JW2177" s="58"/>
    </row>
    <row r="2178" spans="1:283" s="23" customFormat="1" x14ac:dyDescent="0.25">
      <c r="A2178" s="55">
        <v>2177</v>
      </c>
      <c r="B2178" s="12" t="s">
        <v>7067</v>
      </c>
      <c r="C2178" s="156">
        <v>100</v>
      </c>
      <c r="D2178" s="58" t="s">
        <v>4159</v>
      </c>
      <c r="E2178" s="94" t="s">
        <v>2108</v>
      </c>
      <c r="F2178" s="94"/>
      <c r="G2178" s="58" t="s">
        <v>2203</v>
      </c>
      <c r="H2178" s="58">
        <v>2000</v>
      </c>
      <c r="I2178" s="58">
        <v>1994</v>
      </c>
      <c r="J2178" s="58" t="s">
        <v>1709</v>
      </c>
      <c r="K2178" s="58" t="s">
        <v>2109</v>
      </c>
      <c r="L2178" s="58" t="s">
        <v>5334</v>
      </c>
      <c r="M2178" s="94">
        <f>-30-51/60</f>
        <v>-30.85</v>
      </c>
      <c r="N2178" s="94">
        <f>-51-38/60</f>
        <v>-51.633333333333333</v>
      </c>
      <c r="O2178" s="94">
        <v>96</v>
      </c>
      <c r="P2178" s="58">
        <v>19.399999999999999</v>
      </c>
      <c r="Q2178" s="58"/>
      <c r="R2178" s="58">
        <v>1440</v>
      </c>
      <c r="S2178" s="94"/>
      <c r="T2178" s="58"/>
      <c r="U2178" s="58">
        <v>10</v>
      </c>
      <c r="V2178" s="58">
        <v>10</v>
      </c>
      <c r="W2178" s="174"/>
      <c r="X2178" s="174"/>
      <c r="Y2178" s="58" t="s">
        <v>2206</v>
      </c>
      <c r="Z2178" s="59" t="s">
        <v>1357</v>
      </c>
      <c r="AA2178" s="94">
        <v>15</v>
      </c>
      <c r="AB2178" s="67"/>
      <c r="AC2178" s="67"/>
      <c r="AD2178" s="94">
        <v>1.45</v>
      </c>
      <c r="AE2178" s="94">
        <v>54</v>
      </c>
      <c r="AF2178" s="94">
        <v>24</v>
      </c>
      <c r="AG2178" s="94"/>
      <c r="AH2178" s="58" t="s">
        <v>494</v>
      </c>
      <c r="AI2178" s="169"/>
      <c r="AJ2178" s="94"/>
      <c r="AK2178" s="94"/>
      <c r="AL2178" s="58"/>
      <c r="AM2178" s="58" t="s">
        <v>2110</v>
      </c>
      <c r="AN2178" s="186" t="s">
        <v>2111</v>
      </c>
      <c r="AO2178" s="185" t="s">
        <v>5150</v>
      </c>
      <c r="AP2178" s="58"/>
      <c r="AQ2178" s="58" t="s">
        <v>1547</v>
      </c>
      <c r="AR2178" s="58" t="s">
        <v>2205</v>
      </c>
      <c r="AS2178" s="58" t="s">
        <v>1584</v>
      </c>
      <c r="AT2178" s="182" t="s">
        <v>2204</v>
      </c>
      <c r="AU2178" s="181" t="s">
        <v>5150</v>
      </c>
      <c r="AV2178" s="185" t="s">
        <v>479</v>
      </c>
      <c r="AW2178" s="58" t="s">
        <v>2112</v>
      </c>
      <c r="AX2178" s="185" t="s">
        <v>479</v>
      </c>
      <c r="AY2178" s="58" t="s">
        <v>176</v>
      </c>
      <c r="AZ2178" s="58" t="s">
        <v>1016</v>
      </c>
      <c r="BA2178" s="58" t="s">
        <v>1016</v>
      </c>
      <c r="BB2178" s="58" t="s">
        <v>2082</v>
      </c>
      <c r="BC2178" s="58" t="s">
        <v>2082</v>
      </c>
      <c r="BD2178" s="58" t="s">
        <v>176</v>
      </c>
      <c r="BE2178" s="236"/>
      <c r="BF2178" s="58"/>
      <c r="BG2178" s="58"/>
      <c r="BH2178" s="236"/>
      <c r="BI2178" s="58"/>
      <c r="BJ2178" s="58"/>
      <c r="BK2178" s="58" t="s">
        <v>6269</v>
      </c>
      <c r="BL2178" s="58"/>
      <c r="BM2178" s="237" t="s">
        <v>160</v>
      </c>
      <c r="BN2178" s="58">
        <v>3</v>
      </c>
      <c r="BO2178" s="58">
        <v>3</v>
      </c>
      <c r="BP2178" s="58"/>
      <c r="BQ2178" s="58" t="s">
        <v>141</v>
      </c>
      <c r="BR2178" s="58"/>
      <c r="BS2178" s="58"/>
      <c r="BT2178" s="58"/>
      <c r="BU2178" s="58"/>
      <c r="BV2178" s="58"/>
      <c r="BW2178" s="67"/>
      <c r="BX2178" s="67"/>
      <c r="BY2178" s="67"/>
      <c r="BZ2178" s="67"/>
      <c r="CA2178" s="67"/>
      <c r="CB2178" s="68"/>
      <c r="CC2178" s="68"/>
      <c r="CD2178" s="68"/>
      <c r="CE2178" s="67"/>
      <c r="CF2178" s="67"/>
      <c r="CG2178" s="67"/>
      <c r="CH2178" s="92"/>
      <c r="CI2178" s="94"/>
      <c r="CJ2178" s="67"/>
      <c r="CK2178" s="67"/>
      <c r="CL2178" s="67"/>
      <c r="CM2178" s="67">
        <f>(CR2178*1000000)/(100*100*AD2178*AA2178/100*1000000)*100</f>
        <v>0.74022988505747134</v>
      </c>
      <c r="CN2178" s="67">
        <f>(CS2178*1000000)/(100*100*AD2178*AA2178/100*1000000)*100</f>
        <v>0.69011494252873562</v>
      </c>
      <c r="CO2178" s="67"/>
      <c r="CP2178" s="67"/>
      <c r="CQ2178" s="67"/>
      <c r="CR2178" s="67">
        <v>16.100000000000001</v>
      </c>
      <c r="CS2178" s="67">
        <v>15.01</v>
      </c>
      <c r="CT2178" s="67"/>
      <c r="CU2178" s="67"/>
      <c r="CV2178" s="67" t="s">
        <v>2212</v>
      </c>
      <c r="CW2178" s="67"/>
      <c r="CX2178" s="67"/>
      <c r="CY2178" s="67"/>
      <c r="CZ2178" s="67"/>
      <c r="DA2178" s="67" t="s">
        <v>4463</v>
      </c>
      <c r="DB2178" s="67">
        <v>1.0900000000000001</v>
      </c>
      <c r="DC2178" s="67">
        <v>1.1200000000000001</v>
      </c>
      <c r="DD2178" s="67"/>
      <c r="DE2178" s="67"/>
      <c r="DF2178" s="67" t="s">
        <v>2212</v>
      </c>
      <c r="DG2178" s="67"/>
      <c r="DH2178" s="67"/>
      <c r="DI2178" s="67"/>
      <c r="DJ2178" s="67"/>
      <c r="DK2178" s="67"/>
      <c r="DL2178" s="67"/>
      <c r="DM2178" s="67"/>
      <c r="DN2178" s="67"/>
      <c r="DO2178" s="67"/>
      <c r="DP2178" s="67"/>
      <c r="DQ2178" s="166"/>
      <c r="DR2178" s="166"/>
      <c r="DS2178" s="163"/>
      <c r="DT2178" s="163"/>
      <c r="DU2178" s="67"/>
      <c r="DV2178" s="67"/>
      <c r="DW2178" s="67"/>
      <c r="DX2178" s="67"/>
      <c r="DY2178" s="67"/>
      <c r="DZ2178" s="67"/>
      <c r="EA2178" s="67"/>
      <c r="EB2178" s="67"/>
      <c r="EC2178" s="67"/>
      <c r="ED2178" s="67"/>
      <c r="EE2178" s="67"/>
      <c r="EF2178" s="67"/>
      <c r="EG2178" s="67"/>
      <c r="EH2178" s="67"/>
      <c r="EI2178" s="67"/>
      <c r="EJ2178" s="67"/>
      <c r="EK2178" s="94"/>
      <c r="EL2178" s="94"/>
      <c r="EM2178" s="67"/>
      <c r="EN2178" s="67"/>
      <c r="EO2178" s="67"/>
      <c r="EP2178" s="67"/>
      <c r="EQ2178" s="67"/>
      <c r="ER2178" s="67"/>
      <c r="ES2178" s="67"/>
      <c r="ET2178" s="67"/>
      <c r="EU2178" s="67"/>
      <c r="EV2178" s="67"/>
      <c r="EW2178" s="67"/>
      <c r="EX2178" s="67"/>
      <c r="EY2178" s="67"/>
      <c r="EZ2178" s="67"/>
      <c r="FA2178" s="67"/>
      <c r="FB2178" s="67"/>
      <c r="FC2178" s="67"/>
      <c r="FD2178" s="67"/>
      <c r="FE2178" s="67"/>
      <c r="FF2178" s="67"/>
      <c r="FG2178" s="67"/>
      <c r="FH2178" s="67"/>
      <c r="FI2178" s="67"/>
      <c r="FJ2178" s="67"/>
      <c r="FK2178" s="67"/>
      <c r="FL2178" s="67"/>
      <c r="FM2178" s="67"/>
      <c r="FN2178" s="67"/>
      <c r="FO2178" s="67"/>
      <c r="FP2178" s="67"/>
      <c r="FQ2178" s="67"/>
      <c r="FR2178" s="67"/>
      <c r="FS2178" s="67"/>
      <c r="FT2178" s="67"/>
      <c r="FU2178" s="67"/>
      <c r="FV2178" s="67"/>
      <c r="FW2178" s="67"/>
      <c r="FX2178" s="67"/>
      <c r="FY2178" s="67"/>
      <c r="FZ2178" s="67"/>
      <c r="GA2178" s="67"/>
      <c r="GB2178" s="67"/>
      <c r="GC2178" s="67"/>
      <c r="GD2178" s="67"/>
      <c r="GE2178" s="67"/>
      <c r="GF2178" s="67"/>
      <c r="GG2178" s="67"/>
      <c r="GH2178" s="67"/>
      <c r="GI2178" s="67"/>
      <c r="GJ2178" s="67"/>
      <c r="GK2178" s="67"/>
      <c r="GL2178" s="67"/>
      <c r="GM2178" s="67"/>
      <c r="GN2178" s="292"/>
      <c r="GO2178" s="292"/>
      <c r="GP2178" s="292" t="s">
        <v>7494</v>
      </c>
      <c r="GQ2178" s="67"/>
      <c r="GR2178" s="67"/>
      <c r="GS2178" s="67"/>
      <c r="GT2178" s="67"/>
      <c r="GU2178" s="67"/>
      <c r="GV2178" s="67"/>
      <c r="GW2178" s="67"/>
      <c r="GX2178" s="67"/>
      <c r="GY2178" s="67"/>
      <c r="GZ2178" s="67"/>
      <c r="HA2178" s="67"/>
      <c r="HB2178" s="67"/>
      <c r="HC2178" s="67"/>
      <c r="HD2178" s="67"/>
      <c r="HE2178" s="67"/>
      <c r="HF2178" s="67"/>
      <c r="HG2178" s="67"/>
      <c r="HH2178" s="67"/>
      <c r="HI2178" s="67"/>
      <c r="HJ2178" s="67"/>
      <c r="HK2178" s="67"/>
      <c r="HL2178" s="67"/>
      <c r="HM2178" s="67"/>
      <c r="HN2178" s="67"/>
      <c r="HO2178" s="67"/>
      <c r="HP2178" s="67"/>
      <c r="HQ2178" s="67"/>
      <c r="HR2178" s="67"/>
      <c r="HS2178" s="67"/>
      <c r="HT2178" s="67"/>
      <c r="HU2178" s="67"/>
      <c r="HV2178" s="67"/>
      <c r="HW2178" s="67"/>
      <c r="HX2178" s="67"/>
      <c r="HY2178" s="67"/>
      <c r="HZ2178" s="67"/>
      <c r="IA2178" s="67"/>
      <c r="IB2178" s="67"/>
      <c r="IC2178" s="67"/>
      <c r="ID2178" s="67"/>
      <c r="IE2178" s="67"/>
      <c r="IF2178" s="67"/>
      <c r="IG2178" s="67"/>
      <c r="IH2178" s="67"/>
      <c r="II2178" s="67"/>
      <c r="IJ2178" s="67"/>
      <c r="IK2178" s="67"/>
      <c r="IL2178" s="67"/>
      <c r="IM2178" s="67"/>
      <c r="IN2178" s="67"/>
      <c r="IO2178" s="67"/>
      <c r="IP2178" s="67"/>
      <c r="IQ2178" s="67"/>
      <c r="IR2178" s="67"/>
      <c r="IS2178" s="67"/>
      <c r="IT2178" s="67"/>
      <c r="IU2178" s="67"/>
      <c r="IV2178" s="67"/>
      <c r="IW2178" s="67"/>
      <c r="IX2178" s="67"/>
      <c r="IY2178" s="67"/>
      <c r="IZ2178" s="67"/>
      <c r="JA2178" s="67"/>
      <c r="JB2178" s="67"/>
      <c r="JC2178" s="67"/>
      <c r="JD2178" s="67"/>
      <c r="JE2178" s="67"/>
      <c r="JF2178" s="67"/>
      <c r="JG2178" s="67"/>
      <c r="JH2178" s="67"/>
      <c r="JI2178" s="67"/>
      <c r="JJ2178" s="67"/>
      <c r="JK2178" s="67"/>
      <c r="JL2178" s="67"/>
      <c r="JM2178" s="67"/>
      <c r="JN2178" s="67"/>
      <c r="JO2178" s="67"/>
      <c r="JP2178" s="67"/>
      <c r="JQ2178" s="67"/>
      <c r="JR2178" s="67"/>
      <c r="JS2178" s="67"/>
      <c r="JT2178" s="67"/>
      <c r="JU2178" s="58"/>
      <c r="JV2178" s="58"/>
      <c r="JW2178" s="58"/>
    </row>
    <row r="2179" spans="1:283" s="23" customFormat="1" x14ac:dyDescent="0.25">
      <c r="A2179" s="55">
        <v>2178</v>
      </c>
      <c r="B2179" s="12" t="s">
        <v>7067</v>
      </c>
      <c r="C2179" s="156">
        <v>101</v>
      </c>
      <c r="D2179" s="58" t="s">
        <v>4160</v>
      </c>
      <c r="E2179" s="94" t="s">
        <v>2113</v>
      </c>
      <c r="F2179" s="94"/>
      <c r="G2179" s="58" t="s">
        <v>6354</v>
      </c>
      <c r="H2179" s="58">
        <v>2010</v>
      </c>
      <c r="I2179" s="58">
        <v>1997</v>
      </c>
      <c r="J2179" s="58" t="s">
        <v>2114</v>
      </c>
      <c r="K2179" s="58" t="s">
        <v>2115</v>
      </c>
      <c r="L2179" s="58" t="s">
        <v>2740</v>
      </c>
      <c r="M2179" s="94">
        <f>48+19/60</f>
        <v>48.31666666666667</v>
      </c>
      <c r="N2179" s="94">
        <f>2+23/60</f>
        <v>2.3833333333333333</v>
      </c>
      <c r="O2179" s="94">
        <v>512</v>
      </c>
      <c r="P2179" s="58">
        <v>11.5</v>
      </c>
      <c r="Q2179" s="58"/>
      <c r="R2179" s="58">
        <v>604</v>
      </c>
      <c r="S2179" s="94"/>
      <c r="T2179" s="58"/>
      <c r="U2179" s="58">
        <v>7</v>
      </c>
      <c r="V2179" s="58">
        <v>16</v>
      </c>
      <c r="W2179" s="174"/>
      <c r="X2179" s="174"/>
      <c r="Y2179" s="58" t="s">
        <v>1966</v>
      </c>
      <c r="Z2179" s="59" t="s">
        <v>1356</v>
      </c>
      <c r="AA2179" s="94">
        <v>30</v>
      </c>
      <c r="AB2179" s="67"/>
      <c r="AC2179" s="67"/>
      <c r="AD2179" s="94">
        <v>1.42</v>
      </c>
      <c r="AE2179" s="94"/>
      <c r="AF2179" s="94"/>
      <c r="AG2179" s="94"/>
      <c r="AH2179" s="58"/>
      <c r="AI2179" s="169"/>
      <c r="AJ2179" s="94"/>
      <c r="AK2179" s="94"/>
      <c r="AL2179" s="58"/>
      <c r="AM2179" s="58" t="s">
        <v>2116</v>
      </c>
      <c r="AN2179" s="186" t="s">
        <v>2117</v>
      </c>
      <c r="AO2179" s="185" t="s">
        <v>5150</v>
      </c>
      <c r="AP2179" s="58"/>
      <c r="AQ2179" s="58" t="s">
        <v>1097</v>
      </c>
      <c r="AR2179" s="58" t="s">
        <v>2220</v>
      </c>
      <c r="AS2179" s="58" t="s">
        <v>1577</v>
      </c>
      <c r="AT2179" s="182" t="s">
        <v>2118</v>
      </c>
      <c r="AU2179" s="181" t="s">
        <v>5150</v>
      </c>
      <c r="AV2179" s="185" t="s">
        <v>479</v>
      </c>
      <c r="AW2179" s="58" t="s">
        <v>2118</v>
      </c>
      <c r="AX2179" s="185" t="s">
        <v>479</v>
      </c>
      <c r="AY2179" s="58" t="s">
        <v>176</v>
      </c>
      <c r="AZ2179" s="58" t="s">
        <v>1976</v>
      </c>
      <c r="BA2179" s="58"/>
      <c r="BB2179" s="58" t="s">
        <v>2081</v>
      </c>
      <c r="BC2179" s="58" t="s">
        <v>2081</v>
      </c>
      <c r="BD2179" s="58"/>
      <c r="BE2179" s="236" t="s">
        <v>2119</v>
      </c>
      <c r="BF2179" s="58"/>
      <c r="BG2179" s="191" t="s">
        <v>479</v>
      </c>
      <c r="BH2179" s="236"/>
      <c r="BI2179" s="58"/>
      <c r="BJ2179" s="58"/>
      <c r="BK2179" s="58" t="s">
        <v>5976</v>
      </c>
      <c r="BL2179" s="58"/>
      <c r="BM2179" s="241" t="s">
        <v>160</v>
      </c>
      <c r="BN2179" s="58">
        <v>3</v>
      </c>
      <c r="BO2179" s="58">
        <v>3</v>
      </c>
      <c r="BP2179" s="58">
        <v>6</v>
      </c>
      <c r="BQ2179" s="58" t="s">
        <v>141</v>
      </c>
      <c r="BR2179" s="58"/>
      <c r="BS2179" s="58"/>
      <c r="BT2179" s="58"/>
      <c r="BU2179" s="58"/>
      <c r="BV2179" s="58"/>
      <c r="BW2179" s="67"/>
      <c r="BX2179" s="67"/>
      <c r="BY2179" s="67"/>
      <c r="BZ2179" s="67"/>
      <c r="CA2179" s="67"/>
      <c r="CB2179" s="68">
        <f>(15.4+12+9)/3*1000</f>
        <v>12133.333333333332</v>
      </c>
      <c r="CC2179" s="68">
        <f>(15.9+12.6+9.1)/3*1000</f>
        <v>12533.333333333334</v>
      </c>
      <c r="CD2179" s="68"/>
      <c r="CE2179" s="67"/>
      <c r="CF2179" s="67"/>
      <c r="CG2179" s="67" t="s">
        <v>2227</v>
      </c>
      <c r="CH2179" s="94"/>
      <c r="CI2179" s="94"/>
      <c r="CJ2179" s="67"/>
      <c r="CK2179" s="67"/>
      <c r="CL2179" s="67"/>
      <c r="CM2179" s="67">
        <f>(CR2179*1000000)/(100*100*AD2179*AA2179/100*1000000)*100</f>
        <v>1.0492957746478873</v>
      </c>
      <c r="CN2179" s="67">
        <f>(CS2179*1000000)/(100*100*AD2179*AA2179/100*1000000)*100</f>
        <v>1.0727699530516432</v>
      </c>
      <c r="CO2179" s="67">
        <f>CM2179*(CT2179/CR2179)</f>
        <v>5.692185752573773E-2</v>
      </c>
      <c r="CP2179" s="67">
        <f>CN2179*(CU2179/CS2179)</f>
        <v>4.4724316627365382E-2</v>
      </c>
      <c r="CQ2179" s="67"/>
      <c r="CR2179" s="67">
        <v>44.7</v>
      </c>
      <c r="CS2179" s="67">
        <v>45.7</v>
      </c>
      <c r="CT2179" s="67">
        <f>SQRT(3)*1.4</f>
        <v>2.4248711305964279</v>
      </c>
      <c r="CU2179" s="67">
        <f>SQRT(3)*1.1</f>
        <v>1.9052558883257651</v>
      </c>
      <c r="CV2179" s="67" t="s">
        <v>2052</v>
      </c>
      <c r="CW2179" s="67"/>
      <c r="CX2179" s="67"/>
      <c r="CY2179" s="67"/>
      <c r="CZ2179" s="67"/>
      <c r="DA2179" s="67" t="s">
        <v>4463</v>
      </c>
      <c r="DB2179" s="67">
        <v>4.8499999999999996</v>
      </c>
      <c r="DC2179" s="67">
        <v>5.07</v>
      </c>
      <c r="DD2179" s="67">
        <f>SQRT(3)*0.06</f>
        <v>0.10392304845413262</v>
      </c>
      <c r="DE2179" s="67">
        <f>SQRT(3)*0.1</f>
        <v>0.17320508075688773</v>
      </c>
      <c r="DF2179" s="67" t="s">
        <v>2215</v>
      </c>
      <c r="DG2179" s="67"/>
      <c r="DH2179" s="67"/>
      <c r="DI2179" s="67"/>
      <c r="DJ2179" s="67"/>
      <c r="DK2179" s="67"/>
      <c r="DL2179" s="67"/>
      <c r="DM2179" s="67"/>
      <c r="DN2179" s="67"/>
      <c r="DO2179" s="67"/>
      <c r="DP2179" s="67"/>
      <c r="DQ2179" s="166"/>
      <c r="DR2179" s="166"/>
      <c r="DS2179" s="163"/>
      <c r="DT2179" s="163"/>
      <c r="DU2179" s="67"/>
      <c r="DV2179" s="67"/>
      <c r="DW2179" s="67"/>
      <c r="DX2179" s="67"/>
      <c r="DY2179" s="67"/>
      <c r="DZ2179" s="67"/>
      <c r="EA2179" s="67"/>
      <c r="EB2179" s="67"/>
      <c r="EC2179" s="67"/>
      <c r="ED2179" s="67"/>
      <c r="EE2179" s="67"/>
      <c r="EF2179" s="67"/>
      <c r="EG2179" s="67"/>
      <c r="EH2179" s="67"/>
      <c r="EI2179" s="67"/>
      <c r="EJ2179" s="67"/>
      <c r="EK2179" s="94"/>
      <c r="EL2179" s="94"/>
      <c r="EM2179" s="67"/>
      <c r="EN2179" s="67"/>
      <c r="EO2179" s="67"/>
      <c r="EP2179" s="67"/>
      <c r="EQ2179" s="67"/>
      <c r="ER2179" s="67"/>
      <c r="ES2179" s="67"/>
      <c r="ET2179" s="67"/>
      <c r="EU2179" s="67"/>
      <c r="EV2179" s="67"/>
      <c r="EW2179" s="67"/>
      <c r="EX2179" s="67"/>
      <c r="EY2179" s="67"/>
      <c r="EZ2179" s="67"/>
      <c r="FA2179" s="67"/>
      <c r="FB2179" s="67"/>
      <c r="FC2179" s="67"/>
      <c r="FD2179" s="67"/>
      <c r="FE2179" s="67"/>
      <c r="FF2179" s="67"/>
      <c r="FG2179" s="67"/>
      <c r="FH2179" s="67"/>
      <c r="FI2179" s="67"/>
      <c r="FJ2179" s="67"/>
      <c r="FK2179" s="67"/>
      <c r="FL2179" s="67"/>
      <c r="FM2179" s="67"/>
      <c r="FN2179" s="67"/>
      <c r="FO2179" s="67">
        <f>604-143</f>
        <v>461</v>
      </c>
      <c r="FP2179" s="67">
        <f>604-140</f>
        <v>464</v>
      </c>
      <c r="FQ2179" s="67"/>
      <c r="FR2179" s="67"/>
      <c r="FS2179" s="67" t="s">
        <v>6370</v>
      </c>
      <c r="FT2179" s="67">
        <v>29</v>
      </c>
      <c r="FU2179" s="67">
        <v>18</v>
      </c>
      <c r="FV2179" s="67"/>
      <c r="FW2179" s="67"/>
      <c r="FX2179" s="67" t="s">
        <v>2229</v>
      </c>
      <c r="FY2179" s="67"/>
      <c r="FZ2179" s="67"/>
      <c r="GA2179" s="67"/>
      <c r="GB2179" s="67"/>
      <c r="GC2179" s="67"/>
      <c r="GD2179" s="67"/>
      <c r="GE2179" s="67"/>
      <c r="GF2179" s="67"/>
      <c r="GG2179" s="67"/>
      <c r="GH2179" s="67"/>
      <c r="GI2179" s="67"/>
      <c r="GJ2179" s="67"/>
      <c r="GK2179" s="67"/>
      <c r="GL2179" s="67"/>
      <c r="GM2179" s="67"/>
      <c r="GN2179" s="292"/>
      <c r="GO2179" s="292"/>
      <c r="GP2179" s="292" t="s">
        <v>7494</v>
      </c>
      <c r="GQ2179" s="67"/>
      <c r="GR2179" s="67"/>
      <c r="GS2179" s="67"/>
      <c r="GT2179" s="67"/>
      <c r="GU2179" s="67"/>
      <c r="GV2179" s="67"/>
      <c r="GW2179" s="67"/>
      <c r="GX2179" s="67"/>
      <c r="GY2179" s="67"/>
      <c r="GZ2179" s="67"/>
      <c r="HA2179" s="67"/>
      <c r="HB2179" s="67"/>
      <c r="HC2179" s="67"/>
      <c r="HD2179" s="67"/>
      <c r="HE2179" s="67"/>
      <c r="HF2179" s="67"/>
      <c r="HG2179" s="67"/>
      <c r="HH2179" s="67"/>
      <c r="HI2179" s="67"/>
      <c r="HJ2179" s="67"/>
      <c r="HK2179" s="67"/>
      <c r="HL2179" s="67"/>
      <c r="HM2179" s="67"/>
      <c r="HN2179" s="67"/>
      <c r="HO2179" s="67"/>
      <c r="HP2179" s="67"/>
      <c r="HQ2179" s="67"/>
      <c r="HR2179" s="67"/>
      <c r="HS2179" s="67"/>
      <c r="HT2179" s="67"/>
      <c r="HU2179" s="67"/>
      <c r="HV2179" s="67"/>
      <c r="HW2179" s="67"/>
      <c r="HX2179" s="67"/>
      <c r="HY2179" s="67"/>
      <c r="HZ2179" s="67"/>
      <c r="IA2179" s="67"/>
      <c r="IB2179" s="67"/>
      <c r="IC2179" s="67"/>
      <c r="ID2179" s="67"/>
      <c r="IE2179" s="67"/>
      <c r="IF2179" s="67"/>
      <c r="IG2179" s="67"/>
      <c r="IH2179" s="67"/>
      <c r="II2179" s="67"/>
      <c r="IJ2179" s="67"/>
      <c r="IK2179" s="67"/>
      <c r="IL2179" s="67"/>
      <c r="IM2179" s="67"/>
      <c r="IN2179" s="67"/>
      <c r="IO2179" s="67"/>
      <c r="IP2179" s="67"/>
      <c r="IQ2179" s="67"/>
      <c r="IR2179" s="67"/>
      <c r="IS2179" s="67"/>
      <c r="IT2179" s="67"/>
      <c r="IU2179" s="67"/>
      <c r="IV2179" s="67"/>
      <c r="IW2179" s="67"/>
      <c r="IX2179" s="67"/>
      <c r="IY2179" s="67"/>
      <c r="IZ2179" s="67"/>
      <c r="JA2179" s="67"/>
      <c r="JB2179" s="67"/>
      <c r="JC2179" s="67"/>
      <c r="JD2179" s="67"/>
      <c r="JE2179" s="67"/>
      <c r="JF2179" s="67"/>
      <c r="JG2179" s="67"/>
      <c r="JH2179" s="67"/>
      <c r="JI2179" s="67"/>
      <c r="JJ2179" s="67"/>
      <c r="JK2179" s="67"/>
      <c r="JL2179" s="67"/>
      <c r="JM2179" s="67"/>
      <c r="JN2179" s="67"/>
      <c r="JO2179" s="67"/>
      <c r="JP2179" s="67"/>
      <c r="JQ2179" s="67"/>
      <c r="JR2179" s="67"/>
      <c r="JS2179" s="67"/>
      <c r="JT2179" s="67"/>
      <c r="JU2179" s="58"/>
      <c r="JV2179" s="58"/>
      <c r="JW2179" s="58"/>
    </row>
    <row r="2180" spans="1:283" s="23" customFormat="1" x14ac:dyDescent="0.25">
      <c r="A2180" s="55">
        <v>2179</v>
      </c>
      <c r="B2180" s="12" t="s">
        <v>7067</v>
      </c>
      <c r="C2180" s="156">
        <v>101</v>
      </c>
      <c r="D2180" s="58" t="s">
        <v>4161</v>
      </c>
      <c r="E2180" s="94" t="s">
        <v>2113</v>
      </c>
      <c r="F2180" s="94"/>
      <c r="G2180" s="58" t="s">
        <v>6354</v>
      </c>
      <c r="H2180" s="58">
        <v>2010</v>
      </c>
      <c r="I2180" s="58">
        <v>1997</v>
      </c>
      <c r="J2180" s="58" t="s">
        <v>2114</v>
      </c>
      <c r="K2180" s="58" t="s">
        <v>2115</v>
      </c>
      <c r="L2180" s="58" t="s">
        <v>2740</v>
      </c>
      <c r="M2180" s="94">
        <f>48+19/60</f>
        <v>48.31666666666667</v>
      </c>
      <c r="N2180" s="94">
        <f>2+23/60</f>
        <v>2.3833333333333333</v>
      </c>
      <c r="O2180" s="94">
        <v>512</v>
      </c>
      <c r="P2180" s="58">
        <v>11.5</v>
      </c>
      <c r="Q2180" s="58"/>
      <c r="R2180" s="58">
        <v>604</v>
      </c>
      <c r="S2180" s="94"/>
      <c r="T2180" s="58"/>
      <c r="U2180" s="58">
        <v>7</v>
      </c>
      <c r="V2180" s="58">
        <v>16</v>
      </c>
      <c r="W2180" s="174"/>
      <c r="X2180" s="174"/>
      <c r="Y2180" s="58" t="s">
        <v>1966</v>
      </c>
      <c r="Z2180" s="59" t="s">
        <v>2120</v>
      </c>
      <c r="AA2180" s="94">
        <v>28</v>
      </c>
      <c r="AB2180" s="67"/>
      <c r="AC2180" s="67"/>
      <c r="AD2180" s="94">
        <v>1.52</v>
      </c>
      <c r="AE2180" s="94"/>
      <c r="AF2180" s="94"/>
      <c r="AG2180" s="94"/>
      <c r="AH2180" s="58"/>
      <c r="AI2180" s="169"/>
      <c r="AJ2180" s="94"/>
      <c r="AK2180" s="94"/>
      <c r="AL2180" s="58"/>
      <c r="AM2180" s="58" t="s">
        <v>2116</v>
      </c>
      <c r="AN2180" s="186" t="s">
        <v>2117</v>
      </c>
      <c r="AO2180" s="185" t="s">
        <v>5150</v>
      </c>
      <c r="AP2180" s="58"/>
      <c r="AQ2180" s="58" t="s">
        <v>1097</v>
      </c>
      <c r="AR2180" s="58" t="s">
        <v>2220</v>
      </c>
      <c r="AS2180" s="58" t="s">
        <v>1577</v>
      </c>
      <c r="AT2180" s="182" t="s">
        <v>2118</v>
      </c>
      <c r="AU2180" s="181" t="s">
        <v>5150</v>
      </c>
      <c r="AV2180" s="185" t="s">
        <v>479</v>
      </c>
      <c r="AW2180" s="58" t="s">
        <v>2118</v>
      </c>
      <c r="AX2180" s="185" t="s">
        <v>479</v>
      </c>
      <c r="AY2180" s="58" t="s">
        <v>176</v>
      </c>
      <c r="AZ2180" s="58" t="s">
        <v>1016</v>
      </c>
      <c r="BA2180" s="58"/>
      <c r="BB2180" s="58" t="s">
        <v>2082</v>
      </c>
      <c r="BC2180" s="58" t="s">
        <v>2082</v>
      </c>
      <c r="BD2180" s="58"/>
      <c r="BE2180" s="236" t="s">
        <v>2119</v>
      </c>
      <c r="BF2180" s="58"/>
      <c r="BG2180" s="191" t="s">
        <v>479</v>
      </c>
      <c r="BH2180" s="236"/>
      <c r="BI2180" s="58"/>
      <c r="BJ2180" s="58"/>
      <c r="BK2180" s="58" t="s">
        <v>6269</v>
      </c>
      <c r="BL2180" s="58"/>
      <c r="BM2180" s="241" t="s">
        <v>160</v>
      </c>
      <c r="BN2180" s="58">
        <v>3</v>
      </c>
      <c r="BO2180" s="58">
        <v>3</v>
      </c>
      <c r="BP2180" s="58">
        <v>6</v>
      </c>
      <c r="BQ2180" s="58" t="s">
        <v>141</v>
      </c>
      <c r="BR2180" s="58"/>
      <c r="BS2180" s="58"/>
      <c r="BT2180" s="58"/>
      <c r="BU2180" s="58"/>
      <c r="BV2180" s="58"/>
      <c r="BW2180" s="67"/>
      <c r="BX2180" s="67"/>
      <c r="BY2180" s="67"/>
      <c r="BZ2180" s="67"/>
      <c r="CA2180" s="67"/>
      <c r="CB2180" s="68">
        <f>(15.1+12.4+7.2)/3*1000</f>
        <v>11566.666666666668</v>
      </c>
      <c r="CC2180" s="68">
        <f>(15.6+12.4+6.9)/3*1000</f>
        <v>11633.333333333332</v>
      </c>
      <c r="CD2180" s="68"/>
      <c r="CE2180" s="67"/>
      <c r="CF2180" s="67"/>
      <c r="CG2180" s="67" t="s">
        <v>2227</v>
      </c>
      <c r="CH2180" s="94"/>
      <c r="CI2180" s="94"/>
      <c r="CJ2180" s="67"/>
      <c r="CK2180" s="67"/>
      <c r="CL2180" s="67"/>
      <c r="CM2180" s="67">
        <f>(CR2180*1000000)/(100*100*AD2180*AA2180/100*1000000)*100</f>
        <v>1.0385338345864663</v>
      </c>
      <c r="CN2180" s="67">
        <f>(CS2180*1000000)/(100*100*AD2180*AA2180/100*1000000)*100</f>
        <v>1.0596804511278195</v>
      </c>
      <c r="CO2180" s="67">
        <f>CM2180*(CT2180/CR2180)</f>
        <v>4.8836019010400675E-2</v>
      </c>
      <c r="CP2180" s="67">
        <f>CN2180*(CU2180/CS2180)</f>
        <v>6.9184360264734276E-2</v>
      </c>
      <c r="CQ2180" s="67"/>
      <c r="CR2180" s="67">
        <v>44.2</v>
      </c>
      <c r="CS2180" s="67">
        <v>45.1</v>
      </c>
      <c r="CT2180" s="67">
        <f>SQRT(3)*1.2</f>
        <v>2.0784609690826525</v>
      </c>
      <c r="CU2180" s="67">
        <f>SQRT(3)*1.7</f>
        <v>2.9444863728670914</v>
      </c>
      <c r="CV2180" s="67" t="s">
        <v>2052</v>
      </c>
      <c r="CW2180" s="67"/>
      <c r="CX2180" s="67"/>
      <c r="CY2180" s="67"/>
      <c r="CZ2180" s="67"/>
      <c r="DA2180" s="67" t="s">
        <v>4463</v>
      </c>
      <c r="DB2180" s="67">
        <v>4.8600000000000003</v>
      </c>
      <c r="DC2180" s="67">
        <v>5.0199999999999996</v>
      </c>
      <c r="DD2180" s="67">
        <f>SQRT(3)*0.15</f>
        <v>0.25980762113533157</v>
      </c>
      <c r="DE2180" s="67">
        <f>SQRT(3)*0.13</f>
        <v>0.22516660498395405</v>
      </c>
      <c r="DF2180" s="67" t="s">
        <v>2215</v>
      </c>
      <c r="DG2180" s="67"/>
      <c r="DH2180" s="67"/>
      <c r="DI2180" s="67"/>
      <c r="DJ2180" s="67"/>
      <c r="DK2180" s="67"/>
      <c r="DL2180" s="67"/>
      <c r="DM2180" s="67"/>
      <c r="DN2180" s="67"/>
      <c r="DO2180" s="67"/>
      <c r="DP2180" s="67"/>
      <c r="DQ2180" s="166"/>
      <c r="DR2180" s="166"/>
      <c r="DS2180" s="163"/>
      <c r="DT2180" s="163"/>
      <c r="DU2180" s="67"/>
      <c r="DV2180" s="67"/>
      <c r="DW2180" s="67"/>
      <c r="DX2180" s="67"/>
      <c r="DY2180" s="67"/>
      <c r="DZ2180" s="67"/>
      <c r="EA2180" s="67"/>
      <c r="EB2180" s="67"/>
      <c r="EC2180" s="67"/>
      <c r="ED2180" s="67"/>
      <c r="EE2180" s="67"/>
      <c r="EF2180" s="67"/>
      <c r="EG2180" s="67"/>
      <c r="EH2180" s="67"/>
      <c r="EI2180" s="67"/>
      <c r="EJ2180" s="67"/>
      <c r="EK2180" s="94"/>
      <c r="EL2180" s="94"/>
      <c r="EM2180" s="67"/>
      <c r="EN2180" s="67"/>
      <c r="EO2180" s="67"/>
      <c r="EP2180" s="67"/>
      <c r="EQ2180" s="67"/>
      <c r="ER2180" s="67"/>
      <c r="ES2180" s="67"/>
      <c r="ET2180" s="67"/>
      <c r="EU2180" s="67"/>
      <c r="EV2180" s="67"/>
      <c r="EW2180" s="67"/>
      <c r="EX2180" s="67"/>
      <c r="EY2180" s="67"/>
      <c r="EZ2180" s="67"/>
      <c r="FA2180" s="67"/>
      <c r="FB2180" s="67"/>
      <c r="FC2180" s="67"/>
      <c r="FD2180" s="67"/>
      <c r="FE2180" s="67"/>
      <c r="FF2180" s="67"/>
      <c r="FG2180" s="67"/>
      <c r="FH2180" s="67"/>
      <c r="FI2180" s="67"/>
      <c r="FJ2180" s="67"/>
      <c r="FK2180" s="67"/>
      <c r="FL2180" s="67"/>
      <c r="FM2180" s="67"/>
      <c r="FN2180" s="67"/>
      <c r="FO2180" s="67">
        <f>604-143</f>
        <v>461</v>
      </c>
      <c r="FP2180" s="67">
        <f>604-140</f>
        <v>464</v>
      </c>
      <c r="FQ2180" s="67"/>
      <c r="FR2180" s="67"/>
      <c r="FS2180" s="67" t="s">
        <v>6370</v>
      </c>
      <c r="FT2180" s="67">
        <v>21</v>
      </c>
      <c r="FU2180" s="67">
        <v>14</v>
      </c>
      <c r="FV2180" s="67"/>
      <c r="FW2180" s="67"/>
      <c r="FX2180" s="67" t="s">
        <v>2229</v>
      </c>
      <c r="FY2180" s="67"/>
      <c r="FZ2180" s="67"/>
      <c r="GA2180" s="67"/>
      <c r="GB2180" s="67"/>
      <c r="GC2180" s="67"/>
      <c r="GD2180" s="67"/>
      <c r="GE2180" s="67"/>
      <c r="GF2180" s="67"/>
      <c r="GG2180" s="67"/>
      <c r="GH2180" s="67"/>
      <c r="GI2180" s="67"/>
      <c r="GJ2180" s="67"/>
      <c r="GK2180" s="67"/>
      <c r="GL2180" s="67"/>
      <c r="GM2180" s="67"/>
      <c r="GN2180" s="292"/>
      <c r="GO2180" s="292"/>
      <c r="GP2180" s="292" t="s">
        <v>7494</v>
      </c>
      <c r="GQ2180" s="67"/>
      <c r="GR2180" s="67"/>
      <c r="GS2180" s="67"/>
      <c r="GT2180" s="67"/>
      <c r="GU2180" s="67"/>
      <c r="GV2180" s="67"/>
      <c r="GW2180" s="67"/>
      <c r="GX2180" s="67"/>
      <c r="GY2180" s="67"/>
      <c r="GZ2180" s="67"/>
      <c r="HA2180" s="67"/>
      <c r="HB2180" s="67"/>
      <c r="HC2180" s="67"/>
      <c r="HD2180" s="67"/>
      <c r="HE2180" s="67"/>
      <c r="HF2180" s="67"/>
      <c r="HG2180" s="67"/>
      <c r="HH2180" s="67"/>
      <c r="HI2180" s="67"/>
      <c r="HJ2180" s="67"/>
      <c r="HK2180" s="67"/>
      <c r="HL2180" s="67"/>
      <c r="HM2180" s="67"/>
      <c r="HN2180" s="67"/>
      <c r="HO2180" s="67"/>
      <c r="HP2180" s="67"/>
      <c r="HQ2180" s="67"/>
      <c r="HR2180" s="67"/>
      <c r="HS2180" s="67"/>
      <c r="HT2180" s="67"/>
      <c r="HU2180" s="67"/>
      <c r="HV2180" s="67"/>
      <c r="HW2180" s="67"/>
      <c r="HX2180" s="67"/>
      <c r="HY2180" s="67"/>
      <c r="HZ2180" s="67"/>
      <c r="IA2180" s="67"/>
      <c r="IB2180" s="67"/>
      <c r="IC2180" s="67"/>
      <c r="ID2180" s="67"/>
      <c r="IE2180" s="67"/>
      <c r="IF2180" s="67"/>
      <c r="IG2180" s="67"/>
      <c r="IH2180" s="67"/>
      <c r="II2180" s="67"/>
      <c r="IJ2180" s="67"/>
      <c r="IK2180" s="67"/>
      <c r="IL2180" s="67"/>
      <c r="IM2180" s="67"/>
      <c r="IN2180" s="67"/>
      <c r="IO2180" s="67"/>
      <c r="IP2180" s="67"/>
      <c r="IQ2180" s="67"/>
      <c r="IR2180" s="67"/>
      <c r="IS2180" s="67"/>
      <c r="IT2180" s="67"/>
      <c r="IU2180" s="67"/>
      <c r="IV2180" s="67"/>
      <c r="IW2180" s="67"/>
      <c r="IX2180" s="67"/>
      <c r="IY2180" s="67"/>
      <c r="IZ2180" s="67"/>
      <c r="JA2180" s="67"/>
      <c r="JB2180" s="67"/>
      <c r="JC2180" s="67"/>
      <c r="JD2180" s="67"/>
      <c r="JE2180" s="67"/>
      <c r="JF2180" s="67"/>
      <c r="JG2180" s="67"/>
      <c r="JH2180" s="67"/>
      <c r="JI2180" s="67"/>
      <c r="JJ2180" s="67"/>
      <c r="JK2180" s="67"/>
      <c r="JL2180" s="67"/>
      <c r="JM2180" s="67"/>
      <c r="JN2180" s="67"/>
      <c r="JO2180" s="67"/>
      <c r="JP2180" s="67"/>
      <c r="JQ2180" s="67"/>
      <c r="JR2180" s="67"/>
      <c r="JS2180" s="67"/>
      <c r="JT2180" s="67"/>
      <c r="JU2180" s="58"/>
      <c r="JV2180" s="58"/>
      <c r="JW2180" s="58"/>
    </row>
    <row r="2181" spans="1:283" s="23" customFormat="1" x14ac:dyDescent="0.25">
      <c r="A2181" s="55">
        <v>2180</v>
      </c>
      <c r="B2181" s="12" t="s">
        <v>7067</v>
      </c>
      <c r="C2181" s="156">
        <v>101</v>
      </c>
      <c r="D2181" s="58" t="s">
        <v>4162</v>
      </c>
      <c r="E2181" s="94" t="s">
        <v>2113</v>
      </c>
      <c r="F2181" s="94"/>
      <c r="G2181" s="58" t="s">
        <v>6354</v>
      </c>
      <c r="H2181" s="58">
        <v>2010</v>
      </c>
      <c r="I2181" s="58">
        <v>1997</v>
      </c>
      <c r="J2181" s="58" t="s">
        <v>2114</v>
      </c>
      <c r="K2181" s="58" t="s">
        <v>2121</v>
      </c>
      <c r="L2181" s="58" t="s">
        <v>2740</v>
      </c>
      <c r="M2181" s="94">
        <f>48+3/60</f>
        <v>48.05</v>
      </c>
      <c r="N2181" s="94">
        <f>-4-4/60</f>
        <v>-4.0666666666666664</v>
      </c>
      <c r="O2181" s="94">
        <v>105</v>
      </c>
      <c r="P2181" s="58">
        <v>12.1</v>
      </c>
      <c r="Q2181" s="58"/>
      <c r="R2181" s="58">
        <v>1213</v>
      </c>
      <c r="S2181" s="94"/>
      <c r="T2181" s="58"/>
      <c r="U2181" s="58">
        <v>7</v>
      </c>
      <c r="V2181" s="58">
        <v>13</v>
      </c>
      <c r="W2181" s="174"/>
      <c r="X2181" s="174"/>
      <c r="Y2181" s="58" t="s">
        <v>2214</v>
      </c>
      <c r="Z2181" s="59" t="s">
        <v>1356</v>
      </c>
      <c r="AA2181" s="94">
        <v>30</v>
      </c>
      <c r="AB2181" s="67"/>
      <c r="AC2181" s="67"/>
      <c r="AD2181" s="94">
        <v>1.26</v>
      </c>
      <c r="AE2181" s="94"/>
      <c r="AF2181" s="94"/>
      <c r="AG2181" s="94"/>
      <c r="AH2181" s="58"/>
      <c r="AI2181" s="169"/>
      <c r="AJ2181" s="94"/>
      <c r="AK2181" s="94"/>
      <c r="AL2181" s="58"/>
      <c r="AM2181" s="58" t="s">
        <v>2122</v>
      </c>
      <c r="AN2181" s="186" t="s">
        <v>2123</v>
      </c>
      <c r="AO2181" s="185" t="s">
        <v>5150</v>
      </c>
      <c r="AP2181" s="58"/>
      <c r="AQ2181" s="58" t="s">
        <v>131</v>
      </c>
      <c r="AR2181" s="58" t="s">
        <v>2217</v>
      </c>
      <c r="AS2181" s="58" t="s">
        <v>1576</v>
      </c>
      <c r="AT2181" s="182" t="s">
        <v>2216</v>
      </c>
      <c r="AU2181" s="181" t="s">
        <v>5150</v>
      </c>
      <c r="AV2181" s="185" t="s">
        <v>176</v>
      </c>
      <c r="AW2181" s="58" t="s">
        <v>2216</v>
      </c>
      <c r="AX2181" s="185" t="s">
        <v>176</v>
      </c>
      <c r="AY2181" s="58" t="s">
        <v>176</v>
      </c>
      <c r="AZ2181" s="58" t="s">
        <v>1976</v>
      </c>
      <c r="BA2181" s="58"/>
      <c r="BB2181" s="58" t="s">
        <v>2081</v>
      </c>
      <c r="BC2181" s="58" t="s">
        <v>2081</v>
      </c>
      <c r="BD2181" s="58"/>
      <c r="BE2181" s="236" t="s">
        <v>2124</v>
      </c>
      <c r="BF2181" s="58"/>
      <c r="BG2181" s="191" t="s">
        <v>479</v>
      </c>
      <c r="BH2181" s="236"/>
      <c r="BI2181" s="58"/>
      <c r="BJ2181" s="58"/>
      <c r="BK2181" s="58" t="s">
        <v>5976</v>
      </c>
      <c r="BL2181" s="58"/>
      <c r="BM2181" s="241" t="s">
        <v>160</v>
      </c>
      <c r="BN2181" s="58">
        <v>3</v>
      </c>
      <c r="BO2181" s="58">
        <v>3</v>
      </c>
      <c r="BP2181" s="58">
        <v>6</v>
      </c>
      <c r="BQ2181" s="58" t="s">
        <v>141</v>
      </c>
      <c r="BR2181" s="58"/>
      <c r="BS2181" s="58"/>
      <c r="BT2181" s="58"/>
      <c r="BU2181" s="58"/>
      <c r="BV2181" s="58"/>
      <c r="BW2181" s="67"/>
      <c r="BX2181" s="67"/>
      <c r="BY2181" s="67"/>
      <c r="BZ2181" s="67"/>
      <c r="CA2181" s="67"/>
      <c r="CB2181" s="68">
        <f>(11.9+14.4)/2*1000</f>
        <v>13150</v>
      </c>
      <c r="CC2181" s="68">
        <f>(12.2+14.7)/2*1000</f>
        <v>13450</v>
      </c>
      <c r="CD2181" s="68"/>
      <c r="CE2181" s="67"/>
      <c r="CF2181" s="67"/>
      <c r="CG2181" s="67" t="s">
        <v>2227</v>
      </c>
      <c r="CH2181" s="94"/>
      <c r="CI2181" s="94"/>
      <c r="CJ2181" s="67"/>
      <c r="CK2181" s="67"/>
      <c r="CL2181" s="67"/>
      <c r="CM2181" s="67">
        <f>(CR2181*1000000)/(100*100*AD2181*AA2181/100*1000000)*100</f>
        <v>2.6084656084656084</v>
      </c>
      <c r="CN2181" s="67">
        <f>(CS2181*1000000)/(100*100*AD2181*AA2181/100*1000000)*100</f>
        <v>2.7222222222222219</v>
      </c>
      <c r="CO2181" s="67">
        <f>CM2181*(CT2181/CR2181)</f>
        <v>0.1191357698327799</v>
      </c>
      <c r="CP2181" s="67">
        <f>CN2181*(CU2181/CS2181)</f>
        <v>0.1283000598199168</v>
      </c>
      <c r="CQ2181" s="67"/>
      <c r="CR2181" s="67">
        <v>98.6</v>
      </c>
      <c r="CS2181" s="67">
        <v>102.9</v>
      </c>
      <c r="CT2181" s="67">
        <f>SQRT(3)*2.6</f>
        <v>4.5033320996790804</v>
      </c>
      <c r="CU2181" s="67">
        <f>SQRT(3)*2.8</f>
        <v>4.8497422611928558</v>
      </c>
      <c r="CV2181" s="67" t="s">
        <v>2052</v>
      </c>
      <c r="CW2181" s="67"/>
      <c r="CX2181" s="67"/>
      <c r="CY2181" s="67"/>
      <c r="CZ2181" s="67"/>
      <c r="DA2181" s="67" t="s">
        <v>4463</v>
      </c>
      <c r="DB2181" s="67">
        <v>9.1999999999999993</v>
      </c>
      <c r="DC2181" s="67">
        <v>9.52</v>
      </c>
      <c r="DD2181" s="67">
        <f>SQRT(3)*0.23</f>
        <v>0.39837168574084175</v>
      </c>
      <c r="DE2181" s="67">
        <f>SQRT(3)*0.25</f>
        <v>0.4330127018922193</v>
      </c>
      <c r="DF2181" s="67" t="s">
        <v>2215</v>
      </c>
      <c r="DG2181" s="67"/>
      <c r="DH2181" s="67"/>
      <c r="DI2181" s="67"/>
      <c r="DJ2181" s="67"/>
      <c r="DK2181" s="67"/>
      <c r="DL2181" s="67"/>
      <c r="DM2181" s="67"/>
      <c r="DN2181" s="67"/>
      <c r="DO2181" s="67"/>
      <c r="DP2181" s="67"/>
      <c r="DQ2181" s="166"/>
      <c r="DR2181" s="166"/>
      <c r="DS2181" s="163"/>
      <c r="DT2181" s="163"/>
      <c r="DU2181" s="67"/>
      <c r="DV2181" s="67"/>
      <c r="DW2181" s="67"/>
      <c r="DX2181" s="67"/>
      <c r="DY2181" s="67"/>
      <c r="DZ2181" s="67"/>
      <c r="EA2181" s="67"/>
      <c r="EB2181" s="67"/>
      <c r="EC2181" s="67"/>
      <c r="ED2181" s="67"/>
      <c r="EE2181" s="67"/>
      <c r="EF2181" s="67"/>
      <c r="EG2181" s="67"/>
      <c r="EH2181" s="67"/>
      <c r="EI2181" s="67"/>
      <c r="EJ2181" s="67"/>
      <c r="EK2181" s="94"/>
      <c r="EL2181" s="94"/>
      <c r="EM2181" s="67"/>
      <c r="EN2181" s="67"/>
      <c r="EO2181" s="67"/>
      <c r="EP2181" s="67"/>
      <c r="EQ2181" s="67"/>
      <c r="ER2181" s="67"/>
      <c r="ES2181" s="67"/>
      <c r="ET2181" s="67"/>
      <c r="EU2181" s="67"/>
      <c r="EV2181" s="67"/>
      <c r="EW2181" s="67"/>
      <c r="EX2181" s="67"/>
      <c r="EY2181" s="67"/>
      <c r="EZ2181" s="67"/>
      <c r="FA2181" s="67"/>
      <c r="FB2181" s="67"/>
      <c r="FC2181" s="67"/>
      <c r="FD2181" s="67"/>
      <c r="FE2181" s="67"/>
      <c r="FF2181" s="67"/>
      <c r="FG2181" s="67"/>
      <c r="FH2181" s="67"/>
      <c r="FI2181" s="67"/>
      <c r="FJ2181" s="67"/>
      <c r="FK2181" s="67"/>
      <c r="FL2181" s="67"/>
      <c r="FM2181" s="67"/>
      <c r="FN2181" s="67"/>
      <c r="FO2181" s="67">
        <f>1213-593</f>
        <v>620</v>
      </c>
      <c r="FP2181" s="67">
        <f>1213-563</f>
        <v>650</v>
      </c>
      <c r="FQ2181" s="67"/>
      <c r="FR2181" s="67"/>
      <c r="FS2181" s="67" t="s">
        <v>6370</v>
      </c>
      <c r="FT2181" s="67">
        <v>71</v>
      </c>
      <c r="FU2181" s="67">
        <v>39</v>
      </c>
      <c r="FV2181" s="67"/>
      <c r="FW2181" s="67"/>
      <c r="FX2181" s="67" t="s">
        <v>2229</v>
      </c>
      <c r="FY2181" s="67"/>
      <c r="FZ2181" s="67"/>
      <c r="GA2181" s="67"/>
      <c r="GB2181" s="67"/>
      <c r="GC2181" s="67"/>
      <c r="GD2181" s="67"/>
      <c r="GE2181" s="67"/>
      <c r="GF2181" s="67"/>
      <c r="GG2181" s="67"/>
      <c r="GH2181" s="67"/>
      <c r="GI2181" s="67"/>
      <c r="GJ2181" s="67"/>
      <c r="GK2181" s="67"/>
      <c r="GL2181" s="67"/>
      <c r="GM2181" s="67"/>
      <c r="GN2181" s="292"/>
      <c r="GO2181" s="292"/>
      <c r="GP2181" s="292" t="s">
        <v>7494</v>
      </c>
      <c r="GQ2181" s="67"/>
      <c r="GR2181" s="67"/>
      <c r="GS2181" s="67"/>
      <c r="GT2181" s="67"/>
      <c r="GU2181" s="67"/>
      <c r="GV2181" s="67"/>
      <c r="GW2181" s="67"/>
      <c r="GX2181" s="67"/>
      <c r="GY2181" s="67"/>
      <c r="GZ2181" s="67"/>
      <c r="HA2181" s="67"/>
      <c r="HB2181" s="67"/>
      <c r="HC2181" s="67"/>
      <c r="HD2181" s="67"/>
      <c r="HE2181" s="67"/>
      <c r="HF2181" s="67"/>
      <c r="HG2181" s="67"/>
      <c r="HH2181" s="67"/>
      <c r="HI2181" s="67"/>
      <c r="HJ2181" s="67"/>
      <c r="HK2181" s="67"/>
      <c r="HL2181" s="67"/>
      <c r="HM2181" s="67"/>
      <c r="HN2181" s="67"/>
      <c r="HO2181" s="67"/>
      <c r="HP2181" s="67"/>
      <c r="HQ2181" s="67"/>
      <c r="HR2181" s="67"/>
      <c r="HS2181" s="67"/>
      <c r="HT2181" s="67"/>
      <c r="HU2181" s="67"/>
      <c r="HV2181" s="67"/>
      <c r="HW2181" s="67"/>
      <c r="HX2181" s="67"/>
      <c r="HY2181" s="67"/>
      <c r="HZ2181" s="67"/>
      <c r="IA2181" s="67"/>
      <c r="IB2181" s="67"/>
      <c r="IC2181" s="67"/>
      <c r="ID2181" s="67"/>
      <c r="IE2181" s="67"/>
      <c r="IF2181" s="67"/>
      <c r="IG2181" s="67"/>
      <c r="IH2181" s="67"/>
      <c r="II2181" s="67"/>
      <c r="IJ2181" s="67"/>
      <c r="IK2181" s="67"/>
      <c r="IL2181" s="67"/>
      <c r="IM2181" s="67"/>
      <c r="IN2181" s="67"/>
      <c r="IO2181" s="67"/>
      <c r="IP2181" s="67"/>
      <c r="IQ2181" s="67"/>
      <c r="IR2181" s="67"/>
      <c r="IS2181" s="67"/>
      <c r="IT2181" s="67"/>
      <c r="IU2181" s="67"/>
      <c r="IV2181" s="67"/>
      <c r="IW2181" s="67"/>
      <c r="IX2181" s="67"/>
      <c r="IY2181" s="67"/>
      <c r="IZ2181" s="67"/>
      <c r="JA2181" s="67"/>
      <c r="JB2181" s="67"/>
      <c r="JC2181" s="67"/>
      <c r="JD2181" s="67"/>
      <c r="JE2181" s="67"/>
      <c r="JF2181" s="67"/>
      <c r="JG2181" s="67"/>
      <c r="JH2181" s="67"/>
      <c r="JI2181" s="67"/>
      <c r="JJ2181" s="67"/>
      <c r="JK2181" s="67"/>
      <c r="JL2181" s="67"/>
      <c r="JM2181" s="67"/>
      <c r="JN2181" s="67"/>
      <c r="JO2181" s="67"/>
      <c r="JP2181" s="67"/>
      <c r="JQ2181" s="67"/>
      <c r="JR2181" s="67"/>
      <c r="JS2181" s="67"/>
      <c r="JT2181" s="67"/>
      <c r="JU2181" s="58"/>
      <c r="JV2181" s="58"/>
      <c r="JW2181" s="58"/>
    </row>
    <row r="2182" spans="1:283" s="23" customFormat="1" x14ac:dyDescent="0.25">
      <c r="A2182" s="55">
        <v>2181</v>
      </c>
      <c r="B2182" s="12" t="s">
        <v>7067</v>
      </c>
      <c r="C2182" s="156">
        <v>101</v>
      </c>
      <c r="D2182" s="58" t="s">
        <v>4163</v>
      </c>
      <c r="E2182" s="94" t="s">
        <v>2113</v>
      </c>
      <c r="F2182" s="94"/>
      <c r="G2182" s="58" t="s">
        <v>6354</v>
      </c>
      <c r="H2182" s="58">
        <v>2010</v>
      </c>
      <c r="I2182" s="58">
        <v>1997</v>
      </c>
      <c r="J2182" s="58" t="s">
        <v>2114</v>
      </c>
      <c r="K2182" s="58" t="s">
        <v>2125</v>
      </c>
      <c r="L2182" s="58" t="s">
        <v>2740</v>
      </c>
      <c r="M2182" s="94">
        <v>48.93</v>
      </c>
      <c r="N2182" s="94">
        <f>4+14/60</f>
        <v>4.2333333333333334</v>
      </c>
      <c r="O2182" s="94">
        <v>203</v>
      </c>
      <c r="P2182" s="58">
        <v>10.8</v>
      </c>
      <c r="Q2182" s="58"/>
      <c r="R2182" s="58">
        <v>605</v>
      </c>
      <c r="S2182" s="94"/>
      <c r="T2182" s="58"/>
      <c r="U2182" s="58">
        <v>7</v>
      </c>
      <c r="V2182" s="58">
        <v>17</v>
      </c>
      <c r="W2182" s="174"/>
      <c r="X2182" s="174"/>
      <c r="Y2182" s="58" t="s">
        <v>2213</v>
      </c>
      <c r="Z2182" s="59" t="s">
        <v>1356</v>
      </c>
      <c r="AA2182" s="94">
        <v>30</v>
      </c>
      <c r="AB2182" s="67"/>
      <c r="AC2182" s="67"/>
      <c r="AD2182" s="94">
        <v>1.4</v>
      </c>
      <c r="AE2182" s="94"/>
      <c r="AF2182" s="94"/>
      <c r="AG2182" s="94"/>
      <c r="AH2182" s="58" t="s">
        <v>139</v>
      </c>
      <c r="AI2182" s="169"/>
      <c r="AJ2182" s="94"/>
      <c r="AK2182" s="94"/>
      <c r="AL2182" s="58"/>
      <c r="AM2182" s="58" t="s">
        <v>2126</v>
      </c>
      <c r="AN2182" s="186" t="s">
        <v>2127</v>
      </c>
      <c r="AO2182" s="185" t="s">
        <v>5150</v>
      </c>
      <c r="AP2182" s="58"/>
      <c r="AQ2182" s="58" t="s">
        <v>2218</v>
      </c>
      <c r="AR2182" s="58" t="s">
        <v>2221</v>
      </c>
      <c r="AS2182" s="58" t="s">
        <v>1577</v>
      </c>
      <c r="AT2182" s="182" t="s">
        <v>2128</v>
      </c>
      <c r="AU2182" s="181" t="s">
        <v>5150</v>
      </c>
      <c r="AV2182" s="185" t="s">
        <v>479</v>
      </c>
      <c r="AW2182" s="58" t="s">
        <v>2128</v>
      </c>
      <c r="AX2182" s="185" t="s">
        <v>479</v>
      </c>
      <c r="AY2182" s="58" t="s">
        <v>176</v>
      </c>
      <c r="AZ2182" s="58" t="s">
        <v>1976</v>
      </c>
      <c r="BA2182" s="58"/>
      <c r="BB2182" s="58" t="s">
        <v>2081</v>
      </c>
      <c r="BC2182" s="58" t="s">
        <v>2081</v>
      </c>
      <c r="BD2182" s="58"/>
      <c r="BE2182" s="236" t="s">
        <v>2129</v>
      </c>
      <c r="BF2182" s="58"/>
      <c r="BG2182" s="191" t="s">
        <v>479</v>
      </c>
      <c r="BH2182" s="236"/>
      <c r="BI2182" s="58"/>
      <c r="BJ2182" s="58"/>
      <c r="BK2182" s="58" t="s">
        <v>5976</v>
      </c>
      <c r="BL2182" s="58"/>
      <c r="BM2182" s="241" t="s">
        <v>160</v>
      </c>
      <c r="BN2182" s="58">
        <v>3</v>
      </c>
      <c r="BO2182" s="58">
        <v>3</v>
      </c>
      <c r="BP2182" s="58">
        <v>6</v>
      </c>
      <c r="BQ2182" s="58" t="s">
        <v>141</v>
      </c>
      <c r="BR2182" s="58"/>
      <c r="BS2182" s="58"/>
      <c r="BT2182" s="58"/>
      <c r="BU2182" s="58"/>
      <c r="BV2182" s="58"/>
      <c r="BW2182" s="67"/>
      <c r="BX2182" s="67"/>
      <c r="BY2182" s="67"/>
      <c r="BZ2182" s="67"/>
      <c r="CA2182" s="67"/>
      <c r="CB2182" s="68">
        <f>(22.8+14.7+8.1)/3*1000</f>
        <v>15200.000000000002</v>
      </c>
      <c r="CC2182" s="68">
        <f>(21.8+13.8+8.5)/3*1000</f>
        <v>14700.000000000002</v>
      </c>
      <c r="CD2182" s="68"/>
      <c r="CE2182" s="67"/>
      <c r="CF2182" s="67"/>
      <c r="CG2182" s="67" t="s">
        <v>2227</v>
      </c>
      <c r="CH2182" s="94"/>
      <c r="CI2182" s="94"/>
      <c r="CJ2182" s="67"/>
      <c r="CK2182" s="67"/>
      <c r="CL2182" s="67"/>
      <c r="CM2182" s="67">
        <f>(CR2182*1000000)/(100*100*AD2182*AA2182/100*1000000)*100</f>
        <v>1.4214285714285715</v>
      </c>
      <c r="CN2182" s="67">
        <f>(CS2182*1000000)/(100*100*AD2182*AA2182/100*1000000)*100</f>
        <v>1.4690476190476192</v>
      </c>
      <c r="CO2182" s="67">
        <f>CM2182*(CT2182/CR2182)</f>
        <v>0.24743582965269678</v>
      </c>
      <c r="CP2182" s="67">
        <f>CN2182*(CU2182/CS2182)</f>
        <v>0.16083328927425289</v>
      </c>
      <c r="CQ2182" s="67"/>
      <c r="CR2182" s="67">
        <v>59.7</v>
      </c>
      <c r="CS2182" s="67">
        <v>61.7</v>
      </c>
      <c r="CT2182" s="67">
        <f>SQRT(3)*6</f>
        <v>10.392304845413264</v>
      </c>
      <c r="CU2182" s="67">
        <f>SQRT(3)*3.9</f>
        <v>6.7549981495186211</v>
      </c>
      <c r="CV2182" s="67" t="s">
        <v>2052</v>
      </c>
      <c r="CW2182" s="67"/>
      <c r="CX2182" s="67"/>
      <c r="CY2182" s="67"/>
      <c r="CZ2182" s="67"/>
      <c r="DA2182" s="67" t="s">
        <v>4463</v>
      </c>
      <c r="DB2182" s="67">
        <v>6.34</v>
      </c>
      <c r="DC2182" s="67">
        <v>6.72</v>
      </c>
      <c r="DD2182" s="67">
        <f>SQRT(3)*0.37</f>
        <v>0.64085879880048457</v>
      </c>
      <c r="DE2182" s="67">
        <f>SQRT(3)*0.26</f>
        <v>0.4503332099679081</v>
      </c>
      <c r="DF2182" s="67" t="s">
        <v>2215</v>
      </c>
      <c r="DG2182" s="67"/>
      <c r="DH2182" s="67"/>
      <c r="DI2182" s="67"/>
      <c r="DJ2182" s="67"/>
      <c r="DK2182" s="67"/>
      <c r="DL2182" s="67"/>
      <c r="DM2182" s="67"/>
      <c r="DN2182" s="67"/>
      <c r="DO2182" s="67"/>
      <c r="DP2182" s="67"/>
      <c r="DQ2182" s="166"/>
      <c r="DR2182" s="166"/>
      <c r="DS2182" s="163"/>
      <c r="DT2182" s="163"/>
      <c r="DU2182" s="67"/>
      <c r="DV2182" s="67"/>
      <c r="DW2182" s="67"/>
      <c r="DX2182" s="67"/>
      <c r="DY2182" s="67"/>
      <c r="DZ2182" s="67"/>
      <c r="EA2182" s="67"/>
      <c r="EB2182" s="67"/>
      <c r="EC2182" s="67"/>
      <c r="ED2182" s="67"/>
      <c r="EE2182" s="67"/>
      <c r="EF2182" s="67"/>
      <c r="EG2182" s="67"/>
      <c r="EH2182" s="67"/>
      <c r="EI2182" s="67"/>
      <c r="EJ2182" s="67"/>
      <c r="EK2182" s="94"/>
      <c r="EL2182" s="94"/>
      <c r="EM2182" s="67"/>
      <c r="EN2182" s="67"/>
      <c r="EO2182" s="67"/>
      <c r="EP2182" s="67"/>
      <c r="EQ2182" s="67"/>
      <c r="ER2182" s="67"/>
      <c r="ES2182" s="67"/>
      <c r="ET2182" s="67"/>
      <c r="EU2182" s="67"/>
      <c r="EV2182" s="67"/>
      <c r="EW2182" s="67"/>
      <c r="EX2182" s="67"/>
      <c r="EY2182" s="67"/>
      <c r="EZ2182" s="67"/>
      <c r="FA2182" s="67"/>
      <c r="FB2182" s="67"/>
      <c r="FC2182" s="67"/>
      <c r="FD2182" s="67"/>
      <c r="FE2182" s="67"/>
      <c r="FF2182" s="67"/>
      <c r="FG2182" s="67"/>
      <c r="FH2182" s="67"/>
      <c r="FI2182" s="67"/>
      <c r="FJ2182" s="67"/>
      <c r="FK2182" s="67"/>
      <c r="FL2182" s="67"/>
      <c r="FM2182" s="67"/>
      <c r="FN2182" s="67"/>
      <c r="FO2182" s="67">
        <f>605-120</f>
        <v>485</v>
      </c>
      <c r="FP2182" s="67">
        <f>605-94</f>
        <v>511</v>
      </c>
      <c r="FQ2182" s="67"/>
      <c r="FR2182" s="67"/>
      <c r="FS2182" s="67" t="s">
        <v>6370</v>
      </c>
      <c r="FT2182" s="67">
        <v>29</v>
      </c>
      <c r="FU2182" s="67">
        <v>11</v>
      </c>
      <c r="FV2182" s="67"/>
      <c r="FW2182" s="67"/>
      <c r="FX2182" s="67" t="s">
        <v>2229</v>
      </c>
      <c r="FY2182" s="67"/>
      <c r="FZ2182" s="67"/>
      <c r="GA2182" s="67"/>
      <c r="GB2182" s="67"/>
      <c r="GC2182" s="67"/>
      <c r="GD2182" s="67"/>
      <c r="GE2182" s="67"/>
      <c r="GF2182" s="67"/>
      <c r="GG2182" s="67"/>
      <c r="GH2182" s="67"/>
      <c r="GI2182" s="67"/>
      <c r="GJ2182" s="67"/>
      <c r="GK2182" s="67"/>
      <c r="GL2182" s="67"/>
      <c r="GM2182" s="67"/>
      <c r="GN2182" s="292"/>
      <c r="GO2182" s="292"/>
      <c r="GP2182" s="292" t="s">
        <v>7494</v>
      </c>
      <c r="GQ2182" s="67"/>
      <c r="GR2182" s="67"/>
      <c r="GS2182" s="67"/>
      <c r="GT2182" s="67"/>
      <c r="GU2182" s="67"/>
      <c r="GV2182" s="67"/>
      <c r="GW2182" s="67"/>
      <c r="GX2182" s="67"/>
      <c r="GY2182" s="67"/>
      <c r="GZ2182" s="67"/>
      <c r="HA2182" s="67"/>
      <c r="HB2182" s="67"/>
      <c r="HC2182" s="67"/>
      <c r="HD2182" s="67"/>
      <c r="HE2182" s="67"/>
      <c r="HF2182" s="67"/>
      <c r="HG2182" s="67"/>
      <c r="HH2182" s="67"/>
      <c r="HI2182" s="67"/>
      <c r="HJ2182" s="67"/>
      <c r="HK2182" s="67"/>
      <c r="HL2182" s="67"/>
      <c r="HM2182" s="67"/>
      <c r="HN2182" s="67"/>
      <c r="HO2182" s="67"/>
      <c r="HP2182" s="67"/>
      <c r="HQ2182" s="67"/>
      <c r="HR2182" s="67"/>
      <c r="HS2182" s="67"/>
      <c r="HT2182" s="67"/>
      <c r="HU2182" s="67"/>
      <c r="HV2182" s="67"/>
      <c r="HW2182" s="67"/>
      <c r="HX2182" s="67"/>
      <c r="HY2182" s="67"/>
      <c r="HZ2182" s="67"/>
      <c r="IA2182" s="67"/>
      <c r="IB2182" s="67"/>
      <c r="IC2182" s="67"/>
      <c r="ID2182" s="67"/>
      <c r="IE2182" s="67"/>
      <c r="IF2182" s="67"/>
      <c r="IG2182" s="67"/>
      <c r="IH2182" s="67"/>
      <c r="II2182" s="67"/>
      <c r="IJ2182" s="67"/>
      <c r="IK2182" s="67"/>
      <c r="IL2182" s="67"/>
      <c r="IM2182" s="67"/>
      <c r="IN2182" s="67"/>
      <c r="IO2182" s="67"/>
      <c r="IP2182" s="67"/>
      <c r="IQ2182" s="67"/>
      <c r="IR2182" s="67"/>
      <c r="IS2182" s="67"/>
      <c r="IT2182" s="67"/>
      <c r="IU2182" s="67"/>
      <c r="IV2182" s="67"/>
      <c r="IW2182" s="67"/>
      <c r="IX2182" s="67"/>
      <c r="IY2182" s="67"/>
      <c r="IZ2182" s="67"/>
      <c r="JA2182" s="67"/>
      <c r="JB2182" s="67"/>
      <c r="JC2182" s="67"/>
      <c r="JD2182" s="67"/>
      <c r="JE2182" s="67"/>
      <c r="JF2182" s="67"/>
      <c r="JG2182" s="67"/>
      <c r="JH2182" s="67"/>
      <c r="JI2182" s="67"/>
      <c r="JJ2182" s="67"/>
      <c r="JK2182" s="67"/>
      <c r="JL2182" s="67"/>
      <c r="JM2182" s="67"/>
      <c r="JN2182" s="67"/>
      <c r="JO2182" s="67"/>
      <c r="JP2182" s="67"/>
      <c r="JQ2182" s="67"/>
      <c r="JR2182" s="67"/>
      <c r="JS2182" s="67"/>
      <c r="JT2182" s="67"/>
      <c r="JU2182" s="58"/>
      <c r="JV2182" s="58"/>
      <c r="JW2182" s="58"/>
    </row>
    <row r="2183" spans="1:283" s="23" customFormat="1" x14ac:dyDescent="0.25">
      <c r="A2183" s="55">
        <v>2182</v>
      </c>
      <c r="B2183" s="12" t="s">
        <v>7067</v>
      </c>
      <c r="C2183" s="156">
        <v>101</v>
      </c>
      <c r="D2183" s="58" t="s">
        <v>4164</v>
      </c>
      <c r="E2183" s="94" t="s">
        <v>2113</v>
      </c>
      <c r="F2183" s="94"/>
      <c r="G2183" s="58" t="s">
        <v>6354</v>
      </c>
      <c r="H2183" s="58">
        <v>2010</v>
      </c>
      <c r="I2183" s="58">
        <v>1997</v>
      </c>
      <c r="J2183" s="58" t="s">
        <v>2114</v>
      </c>
      <c r="K2183" s="58" t="s">
        <v>2125</v>
      </c>
      <c r="L2183" s="58" t="s">
        <v>2740</v>
      </c>
      <c r="M2183" s="94">
        <v>48.93</v>
      </c>
      <c r="N2183" s="94">
        <f>4+14/60</f>
        <v>4.2333333333333334</v>
      </c>
      <c r="O2183" s="94">
        <v>203</v>
      </c>
      <c r="P2183" s="58">
        <v>10.8</v>
      </c>
      <c r="Q2183" s="58"/>
      <c r="R2183" s="58">
        <v>605</v>
      </c>
      <c r="S2183" s="94"/>
      <c r="T2183" s="58"/>
      <c r="U2183" s="58">
        <v>7</v>
      </c>
      <c r="V2183" s="58">
        <v>17</v>
      </c>
      <c r="W2183" s="174"/>
      <c r="X2183" s="174"/>
      <c r="Y2183" s="58" t="s">
        <v>2213</v>
      </c>
      <c r="Z2183" s="59" t="s">
        <v>2130</v>
      </c>
      <c r="AA2183" s="94">
        <v>23.5</v>
      </c>
      <c r="AB2183" s="67"/>
      <c r="AC2183" s="67"/>
      <c r="AD2183" s="94">
        <v>1.36</v>
      </c>
      <c r="AE2183" s="94"/>
      <c r="AF2183" s="94"/>
      <c r="AG2183" s="94"/>
      <c r="AH2183" s="58" t="s">
        <v>139</v>
      </c>
      <c r="AI2183" s="169"/>
      <c r="AJ2183" s="94"/>
      <c r="AK2183" s="94"/>
      <c r="AL2183" s="58"/>
      <c r="AM2183" s="58" t="s">
        <v>2126</v>
      </c>
      <c r="AN2183" s="186" t="s">
        <v>2127</v>
      </c>
      <c r="AO2183" s="185" t="s">
        <v>5150</v>
      </c>
      <c r="AP2183" s="58"/>
      <c r="AQ2183" s="58" t="s">
        <v>2218</v>
      </c>
      <c r="AR2183" s="58" t="s">
        <v>2221</v>
      </c>
      <c r="AS2183" s="58" t="s">
        <v>1577</v>
      </c>
      <c r="AT2183" s="182" t="s">
        <v>2131</v>
      </c>
      <c r="AU2183" s="181" t="s">
        <v>5150</v>
      </c>
      <c r="AV2183" s="185" t="s">
        <v>479</v>
      </c>
      <c r="AW2183" s="58" t="s">
        <v>2131</v>
      </c>
      <c r="AX2183" s="185" t="s">
        <v>479</v>
      </c>
      <c r="AY2183" s="58" t="s">
        <v>176</v>
      </c>
      <c r="AZ2183" s="58" t="s">
        <v>1976</v>
      </c>
      <c r="BA2183" s="58"/>
      <c r="BB2183" s="58" t="s">
        <v>2081</v>
      </c>
      <c r="BC2183" s="58" t="s">
        <v>2081</v>
      </c>
      <c r="BD2183" s="58"/>
      <c r="BE2183" s="236" t="s">
        <v>2129</v>
      </c>
      <c r="BF2183" s="58"/>
      <c r="BG2183" s="191" t="s">
        <v>479</v>
      </c>
      <c r="BH2183" s="236"/>
      <c r="BI2183" s="58"/>
      <c r="BJ2183" s="58"/>
      <c r="BK2183" s="58" t="s">
        <v>5976</v>
      </c>
      <c r="BL2183" s="58"/>
      <c r="BM2183" s="241" t="s">
        <v>160</v>
      </c>
      <c r="BN2183" s="58">
        <v>3</v>
      </c>
      <c r="BO2183" s="58">
        <v>3</v>
      </c>
      <c r="BP2183" s="58">
        <v>6</v>
      </c>
      <c r="BQ2183" s="58" t="s">
        <v>141</v>
      </c>
      <c r="BR2183" s="58"/>
      <c r="BS2183" s="58"/>
      <c r="BT2183" s="58"/>
      <c r="BU2183" s="58"/>
      <c r="BV2183" s="58"/>
      <c r="BW2183" s="67"/>
      <c r="BX2183" s="67"/>
      <c r="BY2183" s="67"/>
      <c r="BZ2183" s="67"/>
      <c r="CA2183" s="67"/>
      <c r="CB2183" s="68">
        <f>(20.5+11.8+7.6)/3*1000</f>
        <v>13299.999999999998</v>
      </c>
      <c r="CC2183" s="68">
        <f>(21.1+11.7+7.6)/3*1000</f>
        <v>13466.666666666666</v>
      </c>
      <c r="CD2183" s="68"/>
      <c r="CE2183" s="67"/>
      <c r="CF2183" s="67"/>
      <c r="CG2183" s="67" t="s">
        <v>2227</v>
      </c>
      <c r="CH2183" s="94"/>
      <c r="CI2183" s="94"/>
      <c r="CJ2183" s="67"/>
      <c r="CK2183" s="67"/>
      <c r="CL2183" s="67"/>
      <c r="CM2183" s="67">
        <f>(CR2183*1000000)/(100*100*AD2183*AA2183/100*1000000)*100</f>
        <v>1.5801001251564453</v>
      </c>
      <c r="CN2183" s="67">
        <f>(CS2183*1000000)/(100*100*AD2183*AA2183/100*1000000)*100</f>
        <v>1.6426783479349185</v>
      </c>
      <c r="CO2183" s="67">
        <f>CM2183*(CT2183/CR2183)</f>
        <v>0.21135788953437487</v>
      </c>
      <c r="CP2183" s="67">
        <f>CN2183*(CU2183/CS2183)</f>
        <v>0.14090525968958323</v>
      </c>
      <c r="CQ2183" s="67"/>
      <c r="CR2183" s="67">
        <v>50.5</v>
      </c>
      <c r="CS2183" s="67">
        <v>52.5</v>
      </c>
      <c r="CT2183" s="67">
        <f>SQRT(3)*3.9</f>
        <v>6.7549981495186211</v>
      </c>
      <c r="CU2183" s="67">
        <f>SQRT(3)*2.6</f>
        <v>4.5033320996790804</v>
      </c>
      <c r="CV2183" s="67" t="s">
        <v>2052</v>
      </c>
      <c r="CW2183" s="67"/>
      <c r="CX2183" s="67"/>
      <c r="CY2183" s="67"/>
      <c r="CZ2183" s="67"/>
      <c r="DA2183" s="67" t="s">
        <v>4463</v>
      </c>
      <c r="DB2183" s="67">
        <v>5.55</v>
      </c>
      <c r="DC2183" s="67">
        <v>5.77</v>
      </c>
      <c r="DD2183" s="67">
        <f>SQRT(3)*0.29</f>
        <v>0.50229473419497439</v>
      </c>
      <c r="DE2183" s="67">
        <f>SQRT(3)*0.11</f>
        <v>0.1905255888325765</v>
      </c>
      <c r="DF2183" s="67" t="s">
        <v>2215</v>
      </c>
      <c r="DG2183" s="67"/>
      <c r="DH2183" s="67"/>
      <c r="DI2183" s="67"/>
      <c r="DJ2183" s="67"/>
      <c r="DK2183" s="67"/>
      <c r="DL2183" s="67"/>
      <c r="DM2183" s="67"/>
      <c r="DN2183" s="67"/>
      <c r="DO2183" s="67"/>
      <c r="DP2183" s="67"/>
      <c r="DQ2183" s="166"/>
      <c r="DR2183" s="166"/>
      <c r="DS2183" s="163"/>
      <c r="DT2183" s="163"/>
      <c r="DU2183" s="67"/>
      <c r="DV2183" s="67"/>
      <c r="DW2183" s="67"/>
      <c r="DX2183" s="67"/>
      <c r="DY2183" s="67"/>
      <c r="DZ2183" s="67"/>
      <c r="EA2183" s="67"/>
      <c r="EB2183" s="67"/>
      <c r="EC2183" s="67"/>
      <c r="ED2183" s="67"/>
      <c r="EE2183" s="67"/>
      <c r="EF2183" s="67"/>
      <c r="EG2183" s="67"/>
      <c r="EH2183" s="67"/>
      <c r="EI2183" s="67"/>
      <c r="EJ2183" s="67"/>
      <c r="EK2183" s="94"/>
      <c r="EL2183" s="94"/>
      <c r="EM2183" s="67"/>
      <c r="EN2183" s="67"/>
      <c r="EO2183" s="67"/>
      <c r="EP2183" s="67"/>
      <c r="EQ2183" s="67"/>
      <c r="ER2183" s="67"/>
      <c r="ES2183" s="67"/>
      <c r="ET2183" s="67"/>
      <c r="EU2183" s="67"/>
      <c r="EV2183" s="67"/>
      <c r="EW2183" s="67"/>
      <c r="EX2183" s="67"/>
      <c r="EY2183" s="67"/>
      <c r="EZ2183" s="67"/>
      <c r="FA2183" s="67"/>
      <c r="FB2183" s="67"/>
      <c r="FC2183" s="67"/>
      <c r="FD2183" s="67"/>
      <c r="FE2183" s="67"/>
      <c r="FF2183" s="67"/>
      <c r="FG2183" s="67"/>
      <c r="FH2183" s="67"/>
      <c r="FI2183" s="67"/>
      <c r="FJ2183" s="67"/>
      <c r="FK2183" s="67"/>
      <c r="FL2183" s="67"/>
      <c r="FM2183" s="67"/>
      <c r="FN2183" s="67"/>
      <c r="FO2183" s="67">
        <f>605-144</f>
        <v>461</v>
      </c>
      <c r="FP2183" s="67">
        <f>605-123</f>
        <v>482</v>
      </c>
      <c r="FQ2183" s="67"/>
      <c r="FR2183" s="67"/>
      <c r="FS2183" s="67" t="s">
        <v>6370</v>
      </c>
      <c r="FT2183" s="67">
        <v>36</v>
      </c>
      <c r="FU2183" s="67">
        <v>15</v>
      </c>
      <c r="FV2183" s="67"/>
      <c r="FW2183" s="67"/>
      <c r="FX2183" s="67" t="s">
        <v>2229</v>
      </c>
      <c r="FY2183" s="67"/>
      <c r="FZ2183" s="67"/>
      <c r="GA2183" s="67"/>
      <c r="GB2183" s="67"/>
      <c r="GC2183" s="67"/>
      <c r="GD2183" s="67"/>
      <c r="GE2183" s="67"/>
      <c r="GF2183" s="67"/>
      <c r="GG2183" s="67"/>
      <c r="GH2183" s="67"/>
      <c r="GI2183" s="67"/>
      <c r="GJ2183" s="67"/>
      <c r="GK2183" s="67"/>
      <c r="GL2183" s="67"/>
      <c r="GM2183" s="67"/>
      <c r="GN2183" s="292"/>
      <c r="GO2183" s="292"/>
      <c r="GP2183" s="292" t="s">
        <v>7494</v>
      </c>
      <c r="GQ2183" s="67"/>
      <c r="GR2183" s="67"/>
      <c r="GS2183" s="67"/>
      <c r="GT2183" s="67"/>
      <c r="GU2183" s="67"/>
      <c r="GV2183" s="67"/>
      <c r="GW2183" s="67"/>
      <c r="GX2183" s="67"/>
      <c r="GY2183" s="67"/>
      <c r="GZ2183" s="67"/>
      <c r="HA2183" s="67"/>
      <c r="HB2183" s="67"/>
      <c r="HC2183" s="67"/>
      <c r="HD2183" s="67"/>
      <c r="HE2183" s="67"/>
      <c r="HF2183" s="67"/>
      <c r="HG2183" s="67"/>
      <c r="HH2183" s="67"/>
      <c r="HI2183" s="67"/>
      <c r="HJ2183" s="67"/>
      <c r="HK2183" s="67"/>
      <c r="HL2183" s="67"/>
      <c r="HM2183" s="67"/>
      <c r="HN2183" s="67"/>
      <c r="HO2183" s="67"/>
      <c r="HP2183" s="67"/>
      <c r="HQ2183" s="67"/>
      <c r="HR2183" s="67"/>
      <c r="HS2183" s="67"/>
      <c r="HT2183" s="67"/>
      <c r="HU2183" s="67"/>
      <c r="HV2183" s="67"/>
      <c r="HW2183" s="67"/>
      <c r="HX2183" s="67"/>
      <c r="HY2183" s="67"/>
      <c r="HZ2183" s="67"/>
      <c r="IA2183" s="67"/>
      <c r="IB2183" s="67"/>
      <c r="IC2183" s="67"/>
      <c r="ID2183" s="67"/>
      <c r="IE2183" s="67"/>
      <c r="IF2183" s="67"/>
      <c r="IG2183" s="67"/>
      <c r="IH2183" s="67"/>
      <c r="II2183" s="67"/>
      <c r="IJ2183" s="67"/>
      <c r="IK2183" s="67"/>
      <c r="IL2183" s="67"/>
      <c r="IM2183" s="67"/>
      <c r="IN2183" s="67"/>
      <c r="IO2183" s="67"/>
      <c r="IP2183" s="67"/>
      <c r="IQ2183" s="67"/>
      <c r="IR2183" s="67"/>
      <c r="IS2183" s="67"/>
      <c r="IT2183" s="67"/>
      <c r="IU2183" s="67"/>
      <c r="IV2183" s="67"/>
      <c r="IW2183" s="67"/>
      <c r="IX2183" s="67"/>
      <c r="IY2183" s="67"/>
      <c r="IZ2183" s="67"/>
      <c r="JA2183" s="67"/>
      <c r="JB2183" s="67"/>
      <c r="JC2183" s="67"/>
      <c r="JD2183" s="67"/>
      <c r="JE2183" s="67"/>
      <c r="JF2183" s="67"/>
      <c r="JG2183" s="67"/>
      <c r="JH2183" s="67"/>
      <c r="JI2183" s="67"/>
      <c r="JJ2183" s="67"/>
      <c r="JK2183" s="67"/>
      <c r="JL2183" s="67"/>
      <c r="JM2183" s="67"/>
      <c r="JN2183" s="67"/>
      <c r="JO2183" s="67"/>
      <c r="JP2183" s="67"/>
      <c r="JQ2183" s="67"/>
      <c r="JR2183" s="67"/>
      <c r="JS2183" s="67"/>
      <c r="JT2183" s="67"/>
      <c r="JU2183" s="58"/>
      <c r="JV2183" s="58"/>
      <c r="JW2183" s="58"/>
    </row>
    <row r="2184" spans="1:283" s="23" customFormat="1" x14ac:dyDescent="0.25">
      <c r="A2184" s="55">
        <v>2183</v>
      </c>
      <c r="B2184" s="12" t="s">
        <v>7067</v>
      </c>
      <c r="C2184" s="156">
        <v>101</v>
      </c>
      <c r="D2184" s="58" t="s">
        <v>4165</v>
      </c>
      <c r="E2184" s="94" t="s">
        <v>2113</v>
      </c>
      <c r="F2184" s="94"/>
      <c r="G2184" s="58" t="s">
        <v>6354</v>
      </c>
      <c r="H2184" s="58">
        <v>2010</v>
      </c>
      <c r="I2184" s="58">
        <v>1997</v>
      </c>
      <c r="J2184" s="58" t="s">
        <v>2114</v>
      </c>
      <c r="K2184" s="58" t="s">
        <v>2125</v>
      </c>
      <c r="L2184" s="58" t="s">
        <v>2740</v>
      </c>
      <c r="M2184" s="94">
        <v>48.93</v>
      </c>
      <c r="N2184" s="94">
        <f>4+14/60</f>
        <v>4.2333333333333334</v>
      </c>
      <c r="O2184" s="94">
        <v>203</v>
      </c>
      <c r="P2184" s="58">
        <v>10.8</v>
      </c>
      <c r="Q2184" s="58"/>
      <c r="R2184" s="58">
        <v>605</v>
      </c>
      <c r="S2184" s="94"/>
      <c r="T2184" s="58"/>
      <c r="U2184" s="58">
        <v>7</v>
      </c>
      <c r="V2184" s="58">
        <v>13</v>
      </c>
      <c r="W2184" s="174"/>
      <c r="X2184" s="174"/>
      <c r="Y2184" s="58" t="s">
        <v>2214</v>
      </c>
      <c r="Z2184" s="59" t="s">
        <v>2130</v>
      </c>
      <c r="AA2184" s="94">
        <v>23.5</v>
      </c>
      <c r="AB2184" s="67"/>
      <c r="AC2184" s="67"/>
      <c r="AD2184" s="94">
        <v>1.36</v>
      </c>
      <c r="AE2184" s="94"/>
      <c r="AF2184" s="94"/>
      <c r="AG2184" s="94"/>
      <c r="AH2184" s="58" t="s">
        <v>139</v>
      </c>
      <c r="AI2184" s="169"/>
      <c r="AJ2184" s="94"/>
      <c r="AK2184" s="94"/>
      <c r="AL2184" s="58"/>
      <c r="AM2184" s="58" t="s">
        <v>2126</v>
      </c>
      <c r="AN2184" s="186" t="s">
        <v>2127</v>
      </c>
      <c r="AO2184" s="185" t="s">
        <v>5150</v>
      </c>
      <c r="AP2184" s="58"/>
      <c r="AQ2184" s="58" t="s">
        <v>2218</v>
      </c>
      <c r="AR2184" s="58" t="s">
        <v>2221</v>
      </c>
      <c r="AS2184" s="58" t="s">
        <v>1577</v>
      </c>
      <c r="AT2184" s="182" t="s">
        <v>2131</v>
      </c>
      <c r="AU2184" s="181" t="s">
        <v>5150</v>
      </c>
      <c r="AV2184" s="185" t="s">
        <v>479</v>
      </c>
      <c r="AW2184" s="58" t="s">
        <v>2131</v>
      </c>
      <c r="AX2184" s="185" t="s">
        <v>479</v>
      </c>
      <c r="AY2184" s="58" t="s">
        <v>176</v>
      </c>
      <c r="AZ2184" s="58" t="s">
        <v>1976</v>
      </c>
      <c r="BA2184" s="58"/>
      <c r="BB2184" s="58" t="s">
        <v>2081</v>
      </c>
      <c r="BC2184" s="58" t="s">
        <v>2081</v>
      </c>
      <c r="BD2184" s="58"/>
      <c r="BE2184" s="236" t="s">
        <v>2132</v>
      </c>
      <c r="BF2184" s="58"/>
      <c r="BG2184" s="191" t="s">
        <v>479</v>
      </c>
      <c r="BH2184" s="236"/>
      <c r="BI2184" s="58"/>
      <c r="BJ2184" s="58"/>
      <c r="BK2184" s="58" t="s">
        <v>5976</v>
      </c>
      <c r="BL2184" s="58"/>
      <c r="BM2184" s="241" t="s">
        <v>160</v>
      </c>
      <c r="BN2184" s="58">
        <v>3</v>
      </c>
      <c r="BO2184" s="58">
        <v>3</v>
      </c>
      <c r="BP2184" s="58">
        <v>6</v>
      </c>
      <c r="BQ2184" s="58" t="s">
        <v>141</v>
      </c>
      <c r="BR2184" s="58"/>
      <c r="BS2184" s="58"/>
      <c r="BT2184" s="58"/>
      <c r="BU2184" s="58"/>
      <c r="BV2184" s="58"/>
      <c r="BW2184" s="67"/>
      <c r="BX2184" s="67"/>
      <c r="BY2184" s="67"/>
      <c r="BZ2184" s="67"/>
      <c r="CA2184" s="67"/>
      <c r="CB2184" s="68">
        <f>20.5*1000</f>
        <v>20500</v>
      </c>
      <c r="CC2184" s="68">
        <f>21.1*1000</f>
        <v>21100</v>
      </c>
      <c r="CD2184" s="68"/>
      <c r="CE2184" s="67"/>
      <c r="CF2184" s="67"/>
      <c r="CG2184" s="67" t="s">
        <v>2227</v>
      </c>
      <c r="CH2184" s="94"/>
      <c r="CI2184" s="94"/>
      <c r="CJ2184" s="67"/>
      <c r="CK2184" s="67"/>
      <c r="CL2184" s="67"/>
      <c r="CM2184" s="67">
        <f>(CR2184*1000000)/(100*100*AD2184*AA2184/100*1000000)*100</f>
        <v>1.5707133917396743</v>
      </c>
      <c r="CN2184" s="67">
        <f>(CS2184*1000000)/(100*100*AD2184*AA2184/100*1000000)*100</f>
        <v>1.6207759699624527</v>
      </c>
      <c r="CO2184" s="67">
        <f>CM2184*(CT2184/CR2184)</f>
        <v>0.17342185807948704</v>
      </c>
      <c r="CP2184" s="67">
        <f>CN2184*(CU2184/CS2184)</f>
        <v>0.10296922823469544</v>
      </c>
      <c r="CQ2184" s="67"/>
      <c r="CR2184" s="67">
        <v>50.2</v>
      </c>
      <c r="CS2184" s="67">
        <v>51.8</v>
      </c>
      <c r="CT2184" s="67">
        <f>SQRT(3)*3.2</f>
        <v>5.5425625842204074</v>
      </c>
      <c r="CU2184" s="67">
        <f>SQRT(3)*1.9</f>
        <v>3.2908965343808667</v>
      </c>
      <c r="CV2184" s="67" t="s">
        <v>2052</v>
      </c>
      <c r="CW2184" s="67"/>
      <c r="CX2184" s="67"/>
      <c r="CY2184" s="67"/>
      <c r="CZ2184" s="67"/>
      <c r="DA2184" s="67" t="s">
        <v>4463</v>
      </c>
      <c r="DB2184" s="67">
        <v>5.44</v>
      </c>
      <c r="DC2184" s="67">
        <v>5.69</v>
      </c>
      <c r="DD2184" s="67">
        <f>SQRT(3)*0.18</f>
        <v>0.31176914536239786</v>
      </c>
      <c r="DE2184" s="67">
        <f>SQRT(3)*0.14</f>
        <v>0.24248711305964282</v>
      </c>
      <c r="DF2184" s="67" t="s">
        <v>2215</v>
      </c>
      <c r="DG2184" s="67"/>
      <c r="DH2184" s="67"/>
      <c r="DI2184" s="67"/>
      <c r="DJ2184" s="67"/>
      <c r="DK2184" s="67"/>
      <c r="DL2184" s="67"/>
      <c r="DM2184" s="67"/>
      <c r="DN2184" s="67"/>
      <c r="DO2184" s="67"/>
      <c r="DP2184" s="67"/>
      <c r="DQ2184" s="166"/>
      <c r="DR2184" s="166"/>
      <c r="DS2184" s="163"/>
      <c r="DT2184" s="163"/>
      <c r="DU2184" s="67"/>
      <c r="DV2184" s="67"/>
      <c r="DW2184" s="67"/>
      <c r="DX2184" s="67"/>
      <c r="DY2184" s="67"/>
      <c r="DZ2184" s="67"/>
      <c r="EA2184" s="67"/>
      <c r="EB2184" s="67"/>
      <c r="EC2184" s="67"/>
      <c r="ED2184" s="67"/>
      <c r="EE2184" s="67"/>
      <c r="EF2184" s="67"/>
      <c r="EG2184" s="67"/>
      <c r="EH2184" s="67"/>
      <c r="EI2184" s="67"/>
      <c r="EJ2184" s="67"/>
      <c r="EK2184" s="94"/>
      <c r="EL2184" s="94"/>
      <c r="EM2184" s="67"/>
      <c r="EN2184" s="67"/>
      <c r="EO2184" s="67"/>
      <c r="EP2184" s="67"/>
      <c r="EQ2184" s="67"/>
      <c r="ER2184" s="67"/>
      <c r="ES2184" s="67"/>
      <c r="ET2184" s="67"/>
      <c r="EU2184" s="67"/>
      <c r="EV2184" s="67"/>
      <c r="EW2184" s="67"/>
      <c r="EX2184" s="67"/>
      <c r="EY2184" s="67"/>
      <c r="EZ2184" s="67"/>
      <c r="FA2184" s="67"/>
      <c r="FB2184" s="67"/>
      <c r="FC2184" s="67"/>
      <c r="FD2184" s="67"/>
      <c r="FE2184" s="67"/>
      <c r="FF2184" s="67"/>
      <c r="FG2184" s="67"/>
      <c r="FH2184" s="67"/>
      <c r="FI2184" s="67"/>
      <c r="FJ2184" s="67"/>
      <c r="FK2184" s="67"/>
      <c r="FL2184" s="67"/>
      <c r="FM2184" s="67"/>
      <c r="FN2184" s="67"/>
      <c r="FO2184" s="67">
        <f>605-144</f>
        <v>461</v>
      </c>
      <c r="FP2184" s="67">
        <f>605-123</f>
        <v>482</v>
      </c>
      <c r="FQ2184" s="67"/>
      <c r="FR2184" s="67"/>
      <c r="FS2184" s="67" t="s">
        <v>6370</v>
      </c>
      <c r="FT2184" s="67">
        <v>31</v>
      </c>
      <c r="FU2184" s="67">
        <v>13</v>
      </c>
      <c r="FV2184" s="67"/>
      <c r="FW2184" s="67"/>
      <c r="FX2184" s="67" t="s">
        <v>2229</v>
      </c>
      <c r="FY2184" s="67"/>
      <c r="FZ2184" s="67"/>
      <c r="GA2184" s="67"/>
      <c r="GB2184" s="67"/>
      <c r="GC2184" s="67"/>
      <c r="GD2184" s="67"/>
      <c r="GE2184" s="67"/>
      <c r="GF2184" s="67"/>
      <c r="GG2184" s="67"/>
      <c r="GH2184" s="67"/>
      <c r="GI2184" s="67"/>
      <c r="GJ2184" s="67"/>
      <c r="GK2184" s="67"/>
      <c r="GL2184" s="67"/>
      <c r="GM2184" s="67"/>
      <c r="GN2184" s="292"/>
      <c r="GO2184" s="292"/>
      <c r="GP2184" s="292" t="s">
        <v>7494</v>
      </c>
      <c r="GQ2184" s="67"/>
      <c r="GR2184" s="67"/>
      <c r="GS2184" s="67"/>
      <c r="GT2184" s="67"/>
      <c r="GU2184" s="67"/>
      <c r="GV2184" s="67"/>
      <c r="GW2184" s="67"/>
      <c r="GX2184" s="67"/>
      <c r="GY2184" s="67"/>
      <c r="GZ2184" s="67"/>
      <c r="HA2184" s="67"/>
      <c r="HB2184" s="67"/>
      <c r="HC2184" s="67"/>
      <c r="HD2184" s="67"/>
      <c r="HE2184" s="67"/>
      <c r="HF2184" s="67"/>
      <c r="HG2184" s="67"/>
      <c r="HH2184" s="67"/>
      <c r="HI2184" s="67"/>
      <c r="HJ2184" s="67"/>
      <c r="HK2184" s="67"/>
      <c r="HL2184" s="67"/>
      <c r="HM2184" s="67"/>
      <c r="HN2184" s="67"/>
      <c r="HO2184" s="67"/>
      <c r="HP2184" s="67"/>
      <c r="HQ2184" s="67"/>
      <c r="HR2184" s="67"/>
      <c r="HS2184" s="67"/>
      <c r="HT2184" s="67"/>
      <c r="HU2184" s="67"/>
      <c r="HV2184" s="67"/>
      <c r="HW2184" s="67"/>
      <c r="HX2184" s="67"/>
      <c r="HY2184" s="67"/>
      <c r="HZ2184" s="67"/>
      <c r="IA2184" s="67"/>
      <c r="IB2184" s="67"/>
      <c r="IC2184" s="67"/>
      <c r="ID2184" s="67"/>
      <c r="IE2184" s="67"/>
      <c r="IF2184" s="67"/>
      <c r="IG2184" s="67"/>
      <c r="IH2184" s="67"/>
      <c r="II2184" s="67"/>
      <c r="IJ2184" s="67"/>
      <c r="IK2184" s="67"/>
      <c r="IL2184" s="67"/>
      <c r="IM2184" s="67"/>
      <c r="IN2184" s="67"/>
      <c r="IO2184" s="67"/>
      <c r="IP2184" s="67"/>
      <c r="IQ2184" s="67"/>
      <c r="IR2184" s="67"/>
      <c r="IS2184" s="67"/>
      <c r="IT2184" s="67"/>
      <c r="IU2184" s="67"/>
      <c r="IV2184" s="67"/>
      <c r="IW2184" s="67"/>
      <c r="IX2184" s="67"/>
      <c r="IY2184" s="67"/>
      <c r="IZ2184" s="67"/>
      <c r="JA2184" s="67"/>
      <c r="JB2184" s="67"/>
      <c r="JC2184" s="67"/>
      <c r="JD2184" s="67"/>
      <c r="JE2184" s="67"/>
      <c r="JF2184" s="67"/>
      <c r="JG2184" s="67"/>
      <c r="JH2184" s="67"/>
      <c r="JI2184" s="67"/>
      <c r="JJ2184" s="67"/>
      <c r="JK2184" s="67"/>
      <c r="JL2184" s="67"/>
      <c r="JM2184" s="67"/>
      <c r="JN2184" s="67"/>
      <c r="JO2184" s="67"/>
      <c r="JP2184" s="67"/>
      <c r="JQ2184" s="67"/>
      <c r="JR2184" s="67"/>
      <c r="JS2184" s="67"/>
      <c r="JT2184" s="67"/>
      <c r="JU2184" s="58"/>
      <c r="JV2184" s="58"/>
      <c r="JW2184" s="58"/>
    </row>
    <row r="2185" spans="1:283" s="23" customFormat="1" x14ac:dyDescent="0.25">
      <c r="A2185" s="55">
        <v>2184</v>
      </c>
      <c r="B2185" s="12" t="s">
        <v>7067</v>
      </c>
      <c r="C2185" s="156">
        <v>101</v>
      </c>
      <c r="D2185" s="58" t="s">
        <v>4166</v>
      </c>
      <c r="E2185" s="94" t="s">
        <v>2113</v>
      </c>
      <c r="F2185" s="94"/>
      <c r="G2185" s="58" t="s">
        <v>6354</v>
      </c>
      <c r="H2185" s="58">
        <v>2010</v>
      </c>
      <c r="I2185" s="58">
        <v>2005</v>
      </c>
      <c r="J2185" s="58" t="s">
        <v>2114</v>
      </c>
      <c r="K2185" s="58" t="s">
        <v>2115</v>
      </c>
      <c r="L2185" s="58" t="s">
        <v>2740</v>
      </c>
      <c r="M2185" s="94">
        <f>48+19/60</f>
        <v>48.31666666666667</v>
      </c>
      <c r="N2185" s="94">
        <f>2+23/60</f>
        <v>2.3833333333333333</v>
      </c>
      <c r="O2185" s="94">
        <v>512</v>
      </c>
      <c r="P2185" s="58">
        <v>11.5</v>
      </c>
      <c r="Q2185" s="58"/>
      <c r="R2185" s="58">
        <v>604</v>
      </c>
      <c r="S2185" s="94"/>
      <c r="T2185" s="58"/>
      <c r="U2185" s="58">
        <v>13</v>
      </c>
      <c r="V2185" s="58">
        <v>16</v>
      </c>
      <c r="W2185" s="174"/>
      <c r="X2185" s="174"/>
      <c r="Y2185" s="58" t="s">
        <v>1966</v>
      </c>
      <c r="Z2185" s="59" t="s">
        <v>1356</v>
      </c>
      <c r="AA2185" s="94">
        <v>30</v>
      </c>
      <c r="AB2185" s="67"/>
      <c r="AC2185" s="67"/>
      <c r="AD2185" s="94"/>
      <c r="AE2185" s="94"/>
      <c r="AF2185" s="94"/>
      <c r="AG2185" s="94"/>
      <c r="AH2185" s="58"/>
      <c r="AI2185" s="169"/>
      <c r="AJ2185" s="94"/>
      <c r="AK2185" s="94"/>
      <c r="AL2185" s="58"/>
      <c r="AM2185" s="58" t="s">
        <v>2116</v>
      </c>
      <c r="AN2185" s="186" t="s">
        <v>2117</v>
      </c>
      <c r="AO2185" s="185" t="s">
        <v>5150</v>
      </c>
      <c r="AP2185" s="58"/>
      <c r="AQ2185" s="58" t="s">
        <v>1097</v>
      </c>
      <c r="AR2185" s="58" t="s">
        <v>2222</v>
      </c>
      <c r="AS2185" s="58" t="s">
        <v>116</v>
      </c>
      <c r="AT2185" s="182" t="s">
        <v>2118</v>
      </c>
      <c r="AU2185" s="181" t="s">
        <v>5150</v>
      </c>
      <c r="AV2185" s="185" t="s">
        <v>479</v>
      </c>
      <c r="AW2185" s="58" t="s">
        <v>2118</v>
      </c>
      <c r="AX2185" s="185" t="s">
        <v>479</v>
      </c>
      <c r="AY2185" s="58" t="s">
        <v>176</v>
      </c>
      <c r="AZ2185" s="58" t="s">
        <v>1976</v>
      </c>
      <c r="BA2185" s="58"/>
      <c r="BB2185" s="58" t="s">
        <v>2081</v>
      </c>
      <c r="BC2185" s="58" t="s">
        <v>2081</v>
      </c>
      <c r="BD2185" s="58"/>
      <c r="BE2185" s="236" t="s">
        <v>2119</v>
      </c>
      <c r="BF2185" s="58"/>
      <c r="BG2185" s="191" t="s">
        <v>479</v>
      </c>
      <c r="BH2185" s="236"/>
      <c r="BI2185" s="58"/>
      <c r="BJ2185" s="58"/>
      <c r="BK2185" s="58" t="s">
        <v>5976</v>
      </c>
      <c r="BL2185" s="58"/>
      <c r="BM2185" s="241" t="s">
        <v>160</v>
      </c>
      <c r="BN2185" s="58">
        <v>3</v>
      </c>
      <c r="BO2185" s="58">
        <v>3</v>
      </c>
      <c r="BP2185" s="58">
        <v>6</v>
      </c>
      <c r="BQ2185" s="58" t="s">
        <v>141</v>
      </c>
      <c r="BR2185" s="58"/>
      <c r="BS2185" s="58"/>
      <c r="BT2185" s="58"/>
      <c r="BU2185" s="58"/>
      <c r="BV2185" s="58"/>
      <c r="BW2185" s="67"/>
      <c r="BX2185" s="67"/>
      <c r="BY2185" s="67"/>
      <c r="BZ2185" s="67"/>
      <c r="CA2185" s="67"/>
      <c r="CB2185" s="68">
        <f>1000*15.7</f>
        <v>15700</v>
      </c>
      <c r="CC2185" s="68">
        <f>1000*15.6</f>
        <v>15600</v>
      </c>
      <c r="CD2185" s="68"/>
      <c r="CE2185" s="67"/>
      <c r="CF2185" s="67"/>
      <c r="CG2185" s="67" t="s">
        <v>2227</v>
      </c>
      <c r="CH2185" s="94"/>
      <c r="CI2185" s="94"/>
      <c r="CJ2185" s="67"/>
      <c r="CK2185" s="67"/>
      <c r="CL2185" s="67"/>
      <c r="CM2185" s="67"/>
      <c r="CN2185" s="67"/>
      <c r="CO2185" s="67"/>
      <c r="CP2185" s="67"/>
      <c r="CQ2185" s="67"/>
      <c r="CR2185" s="67"/>
      <c r="CS2185" s="67"/>
      <c r="CT2185" s="67"/>
      <c r="CU2185" s="67"/>
      <c r="CV2185" s="67"/>
      <c r="CW2185" s="67"/>
      <c r="CX2185" s="67"/>
      <c r="CY2185" s="67"/>
      <c r="CZ2185" s="67"/>
      <c r="DA2185" s="67"/>
      <c r="DB2185" s="67"/>
      <c r="DC2185" s="67"/>
      <c r="DD2185" s="67"/>
      <c r="DE2185" s="67"/>
      <c r="DF2185" s="67"/>
      <c r="DG2185" s="67"/>
      <c r="DH2185" s="67"/>
      <c r="DI2185" s="67"/>
      <c r="DJ2185" s="67"/>
      <c r="DK2185" s="67"/>
      <c r="DL2185" s="67"/>
      <c r="DM2185" s="67"/>
      <c r="DN2185" s="67"/>
      <c r="DO2185" s="67"/>
      <c r="DP2185" s="67"/>
      <c r="DQ2185" s="166"/>
      <c r="DR2185" s="166"/>
      <c r="DS2185" s="163"/>
      <c r="DT2185" s="163"/>
      <c r="DU2185" s="67"/>
      <c r="DV2185" s="67"/>
      <c r="DW2185" s="67"/>
      <c r="DX2185" s="67"/>
      <c r="DY2185" s="67"/>
      <c r="DZ2185" s="67"/>
      <c r="EA2185" s="67"/>
      <c r="EB2185" s="67"/>
      <c r="EC2185" s="67"/>
      <c r="ED2185" s="67"/>
      <c r="EE2185" s="67"/>
      <c r="EF2185" s="67"/>
      <c r="EG2185" s="67"/>
      <c r="EH2185" s="67"/>
      <c r="EI2185" s="67"/>
      <c r="EJ2185" s="67"/>
      <c r="EK2185" s="94"/>
      <c r="EL2185" s="94"/>
      <c r="EM2185" s="67"/>
      <c r="EN2185" s="67"/>
      <c r="EO2185" s="67"/>
      <c r="EP2185" s="67"/>
      <c r="EQ2185" s="67"/>
      <c r="ER2185" s="67"/>
      <c r="ES2185" s="67"/>
      <c r="ET2185" s="67"/>
      <c r="EU2185" s="67"/>
      <c r="EV2185" s="67"/>
      <c r="EW2185" s="67"/>
      <c r="EX2185" s="67"/>
      <c r="EY2185" s="67"/>
      <c r="EZ2185" s="67"/>
      <c r="FA2185" s="67"/>
      <c r="FB2185" s="67"/>
      <c r="FC2185" s="67"/>
      <c r="FD2185" s="67"/>
      <c r="FE2185" s="67"/>
      <c r="FF2185" s="67"/>
      <c r="FG2185" s="67"/>
      <c r="FH2185" s="67"/>
      <c r="FI2185" s="67"/>
      <c r="FJ2185" s="67"/>
      <c r="FK2185" s="67"/>
      <c r="FL2185" s="67"/>
      <c r="FM2185" s="67"/>
      <c r="FN2185" s="67"/>
      <c r="FO2185" s="67"/>
      <c r="FP2185" s="67"/>
      <c r="FQ2185" s="67"/>
      <c r="FR2185" s="67"/>
      <c r="FS2185" s="67"/>
      <c r="FT2185" s="67"/>
      <c r="FU2185" s="67"/>
      <c r="FV2185" s="67"/>
      <c r="FW2185" s="67"/>
      <c r="FX2185" s="67"/>
      <c r="FY2185" s="67"/>
      <c r="FZ2185" s="67"/>
      <c r="GA2185" s="67"/>
      <c r="GB2185" s="67"/>
      <c r="GC2185" s="67"/>
      <c r="GD2185" s="67"/>
      <c r="GE2185" s="67"/>
      <c r="GF2185" s="67"/>
      <c r="GG2185" s="67"/>
      <c r="GH2185" s="67"/>
      <c r="GI2185" s="67"/>
      <c r="GJ2185" s="67"/>
      <c r="GK2185" s="67"/>
      <c r="GL2185" s="67"/>
      <c r="GM2185" s="67"/>
      <c r="GN2185" s="292"/>
      <c r="GO2185" s="292"/>
      <c r="GP2185" s="292" t="s">
        <v>7494</v>
      </c>
      <c r="GQ2185" s="67"/>
      <c r="GR2185" s="67"/>
      <c r="GS2185" s="67"/>
      <c r="GT2185" s="67"/>
      <c r="GU2185" s="67"/>
      <c r="GV2185" s="67"/>
      <c r="GW2185" s="67"/>
      <c r="GX2185" s="67"/>
      <c r="GY2185" s="67"/>
      <c r="GZ2185" s="67"/>
      <c r="HA2185" s="67"/>
      <c r="HB2185" s="67"/>
      <c r="HC2185" s="67"/>
      <c r="HD2185" s="67"/>
      <c r="HE2185" s="67"/>
      <c r="HF2185" s="67"/>
      <c r="HG2185" s="67"/>
      <c r="HH2185" s="67"/>
      <c r="HI2185" s="67"/>
      <c r="HJ2185" s="67"/>
      <c r="HK2185" s="67"/>
      <c r="HL2185" s="67"/>
      <c r="HM2185" s="67"/>
      <c r="HN2185" s="67"/>
      <c r="HO2185" s="67"/>
      <c r="HP2185" s="67"/>
      <c r="HQ2185" s="67"/>
      <c r="HR2185" s="67"/>
      <c r="HS2185" s="67"/>
      <c r="HT2185" s="67"/>
      <c r="HU2185" s="67"/>
      <c r="HV2185" s="67"/>
      <c r="HW2185" s="67"/>
      <c r="HX2185" s="67"/>
      <c r="HY2185" s="67"/>
      <c r="HZ2185" s="67"/>
      <c r="IA2185" s="67"/>
      <c r="IB2185" s="67"/>
      <c r="IC2185" s="67"/>
      <c r="ID2185" s="67"/>
      <c r="IE2185" s="67"/>
      <c r="IF2185" s="67"/>
      <c r="IG2185" s="67"/>
      <c r="IH2185" s="67"/>
      <c r="II2185" s="67"/>
      <c r="IJ2185" s="67"/>
      <c r="IK2185" s="67"/>
      <c r="IL2185" s="67"/>
      <c r="IM2185" s="67"/>
      <c r="IN2185" s="67"/>
      <c r="IO2185" s="67"/>
      <c r="IP2185" s="67"/>
      <c r="IQ2185" s="67"/>
      <c r="IR2185" s="67"/>
      <c r="IS2185" s="67"/>
      <c r="IT2185" s="67"/>
      <c r="IU2185" s="67"/>
      <c r="IV2185" s="67"/>
      <c r="IW2185" s="67"/>
      <c r="IX2185" s="67"/>
      <c r="IY2185" s="67"/>
      <c r="IZ2185" s="67"/>
      <c r="JA2185" s="67"/>
      <c r="JB2185" s="67"/>
      <c r="JC2185" s="67"/>
      <c r="JD2185" s="67"/>
      <c r="JE2185" s="67"/>
      <c r="JF2185" s="67"/>
      <c r="JG2185" s="67"/>
      <c r="JH2185" s="67"/>
      <c r="JI2185" s="67"/>
      <c r="JJ2185" s="67"/>
      <c r="JK2185" s="67"/>
      <c r="JL2185" s="67"/>
      <c r="JM2185" s="67"/>
      <c r="JN2185" s="67"/>
      <c r="JO2185" s="67"/>
      <c r="JP2185" s="67"/>
      <c r="JQ2185" s="67"/>
      <c r="JR2185" s="67"/>
      <c r="JS2185" s="67"/>
      <c r="JT2185" s="67"/>
      <c r="JU2185" s="58"/>
      <c r="JV2185" s="58"/>
      <c r="JW2185" s="58"/>
    </row>
    <row r="2186" spans="1:283" s="23" customFormat="1" x14ac:dyDescent="0.25">
      <c r="A2186" s="55">
        <v>2185</v>
      </c>
      <c r="B2186" s="12" t="s">
        <v>7067</v>
      </c>
      <c r="C2186" s="156">
        <v>101</v>
      </c>
      <c r="D2186" s="58" t="s">
        <v>4167</v>
      </c>
      <c r="E2186" s="94" t="s">
        <v>2113</v>
      </c>
      <c r="F2186" s="94"/>
      <c r="G2186" s="58" t="s">
        <v>6354</v>
      </c>
      <c r="H2186" s="58">
        <v>2010</v>
      </c>
      <c r="I2186" s="58">
        <v>2005</v>
      </c>
      <c r="J2186" s="58" t="s">
        <v>2114</v>
      </c>
      <c r="K2186" s="58" t="s">
        <v>2115</v>
      </c>
      <c r="L2186" s="58" t="s">
        <v>2740</v>
      </c>
      <c r="M2186" s="94">
        <f>48+19/60</f>
        <v>48.31666666666667</v>
      </c>
      <c r="N2186" s="94">
        <f>2+23/60</f>
        <v>2.3833333333333333</v>
      </c>
      <c r="O2186" s="94">
        <v>512</v>
      </c>
      <c r="P2186" s="58">
        <v>11.5</v>
      </c>
      <c r="Q2186" s="58"/>
      <c r="R2186" s="58">
        <v>604</v>
      </c>
      <c r="S2186" s="94"/>
      <c r="T2186" s="58"/>
      <c r="U2186" s="58">
        <v>13</v>
      </c>
      <c r="V2186" s="58">
        <v>16</v>
      </c>
      <c r="W2186" s="174"/>
      <c r="X2186" s="174"/>
      <c r="Y2186" s="58" t="s">
        <v>1966</v>
      </c>
      <c r="Z2186" s="59" t="s">
        <v>1356</v>
      </c>
      <c r="AA2186" s="94">
        <v>30</v>
      </c>
      <c r="AB2186" s="67"/>
      <c r="AC2186" s="67"/>
      <c r="AD2186" s="94"/>
      <c r="AE2186" s="94"/>
      <c r="AF2186" s="94"/>
      <c r="AG2186" s="94"/>
      <c r="AH2186" s="58"/>
      <c r="AI2186" s="169"/>
      <c r="AJ2186" s="94"/>
      <c r="AK2186" s="94"/>
      <c r="AL2186" s="58"/>
      <c r="AM2186" s="58" t="s">
        <v>2116</v>
      </c>
      <c r="AN2186" s="186" t="s">
        <v>2117</v>
      </c>
      <c r="AO2186" s="185" t="s">
        <v>5150</v>
      </c>
      <c r="AP2186" s="58"/>
      <c r="AQ2186" s="58" t="s">
        <v>1097</v>
      </c>
      <c r="AR2186" s="58" t="s">
        <v>2223</v>
      </c>
      <c r="AS2186" s="55" t="s">
        <v>5133</v>
      </c>
      <c r="AT2186" s="182" t="s">
        <v>2118</v>
      </c>
      <c r="AU2186" s="181" t="s">
        <v>5150</v>
      </c>
      <c r="AV2186" s="185" t="s">
        <v>479</v>
      </c>
      <c r="AW2186" s="58" t="s">
        <v>2118</v>
      </c>
      <c r="AX2186" s="185" t="s">
        <v>479</v>
      </c>
      <c r="AY2186" s="58" t="s">
        <v>176</v>
      </c>
      <c r="AZ2186" s="58" t="s">
        <v>1976</v>
      </c>
      <c r="BA2186" s="58"/>
      <c r="BB2186" s="58" t="s">
        <v>2081</v>
      </c>
      <c r="BC2186" s="58" t="s">
        <v>2081</v>
      </c>
      <c r="BD2186" s="58"/>
      <c r="BE2186" s="236" t="s">
        <v>2119</v>
      </c>
      <c r="BF2186" s="58"/>
      <c r="BG2186" s="191" t="s">
        <v>479</v>
      </c>
      <c r="BH2186" s="236"/>
      <c r="BI2186" s="58"/>
      <c r="BJ2186" s="58"/>
      <c r="BK2186" s="58" t="s">
        <v>5976</v>
      </c>
      <c r="BL2186" s="58"/>
      <c r="BM2186" s="241" t="s">
        <v>160</v>
      </c>
      <c r="BN2186" s="58">
        <v>3</v>
      </c>
      <c r="BO2186" s="58">
        <v>3</v>
      </c>
      <c r="BP2186" s="58">
        <v>6</v>
      </c>
      <c r="BQ2186" s="58" t="s">
        <v>141</v>
      </c>
      <c r="BR2186" s="58"/>
      <c r="BS2186" s="58"/>
      <c r="BT2186" s="58"/>
      <c r="BU2186" s="58"/>
      <c r="BV2186" s="58"/>
      <c r="BW2186" s="67"/>
      <c r="BX2186" s="67"/>
      <c r="BY2186" s="67"/>
      <c r="BZ2186" s="67"/>
      <c r="CA2186" s="67"/>
      <c r="CB2186" s="68">
        <f>1000*11.9</f>
        <v>11900</v>
      </c>
      <c r="CC2186" s="68">
        <f>1000*12.7</f>
        <v>12700</v>
      </c>
      <c r="CD2186" s="68"/>
      <c r="CE2186" s="67"/>
      <c r="CF2186" s="67"/>
      <c r="CG2186" s="67" t="s">
        <v>2227</v>
      </c>
      <c r="CH2186" s="94"/>
      <c r="CI2186" s="94"/>
      <c r="CJ2186" s="67"/>
      <c r="CK2186" s="67"/>
      <c r="CL2186" s="67"/>
      <c r="CM2186" s="67"/>
      <c r="CN2186" s="67"/>
      <c r="CO2186" s="67"/>
      <c r="CP2186" s="67"/>
      <c r="CQ2186" s="67"/>
      <c r="CR2186" s="67"/>
      <c r="CS2186" s="67"/>
      <c r="CT2186" s="67"/>
      <c r="CU2186" s="67"/>
      <c r="CV2186" s="67"/>
      <c r="CW2186" s="67"/>
      <c r="CX2186" s="67"/>
      <c r="CY2186" s="67"/>
      <c r="CZ2186" s="67"/>
      <c r="DA2186" s="67"/>
      <c r="DB2186" s="67"/>
      <c r="DC2186" s="67"/>
      <c r="DD2186" s="67"/>
      <c r="DE2186" s="67"/>
      <c r="DF2186" s="67"/>
      <c r="DG2186" s="67"/>
      <c r="DH2186" s="67"/>
      <c r="DI2186" s="67"/>
      <c r="DJ2186" s="67"/>
      <c r="DK2186" s="67"/>
      <c r="DL2186" s="67"/>
      <c r="DM2186" s="67"/>
      <c r="DN2186" s="67"/>
      <c r="DO2186" s="67"/>
      <c r="DP2186" s="67"/>
      <c r="DQ2186" s="166"/>
      <c r="DR2186" s="166"/>
      <c r="DS2186" s="163"/>
      <c r="DT2186" s="163"/>
      <c r="DU2186" s="67"/>
      <c r="DV2186" s="67"/>
      <c r="DW2186" s="67"/>
      <c r="DX2186" s="67"/>
      <c r="DY2186" s="67"/>
      <c r="DZ2186" s="67"/>
      <c r="EA2186" s="67"/>
      <c r="EB2186" s="67"/>
      <c r="EC2186" s="67"/>
      <c r="ED2186" s="67"/>
      <c r="EE2186" s="67"/>
      <c r="EF2186" s="67"/>
      <c r="EG2186" s="67"/>
      <c r="EH2186" s="67"/>
      <c r="EI2186" s="67"/>
      <c r="EJ2186" s="67"/>
      <c r="EK2186" s="94"/>
      <c r="EL2186" s="94"/>
      <c r="EM2186" s="67"/>
      <c r="EN2186" s="67"/>
      <c r="EO2186" s="67"/>
      <c r="EP2186" s="67"/>
      <c r="EQ2186" s="67"/>
      <c r="ER2186" s="67"/>
      <c r="ES2186" s="67"/>
      <c r="ET2186" s="67"/>
      <c r="EU2186" s="67"/>
      <c r="EV2186" s="67"/>
      <c r="EW2186" s="67"/>
      <c r="EX2186" s="67"/>
      <c r="EY2186" s="67"/>
      <c r="EZ2186" s="67"/>
      <c r="FA2186" s="67"/>
      <c r="FB2186" s="67"/>
      <c r="FC2186" s="67"/>
      <c r="FD2186" s="67"/>
      <c r="FE2186" s="67"/>
      <c r="FF2186" s="67"/>
      <c r="FG2186" s="67"/>
      <c r="FH2186" s="67"/>
      <c r="FI2186" s="67"/>
      <c r="FJ2186" s="67"/>
      <c r="FK2186" s="67"/>
      <c r="FL2186" s="67"/>
      <c r="FM2186" s="67"/>
      <c r="FN2186" s="67"/>
      <c r="FO2186" s="67"/>
      <c r="FP2186" s="67"/>
      <c r="FQ2186" s="67"/>
      <c r="FR2186" s="67"/>
      <c r="FS2186" s="67"/>
      <c r="FT2186" s="67"/>
      <c r="FU2186" s="67"/>
      <c r="FV2186" s="67"/>
      <c r="FW2186" s="67"/>
      <c r="FX2186" s="67"/>
      <c r="FY2186" s="67"/>
      <c r="FZ2186" s="67"/>
      <c r="GA2186" s="67"/>
      <c r="GB2186" s="67"/>
      <c r="GC2186" s="67"/>
      <c r="GD2186" s="67"/>
      <c r="GE2186" s="67"/>
      <c r="GF2186" s="67"/>
      <c r="GG2186" s="67"/>
      <c r="GH2186" s="67"/>
      <c r="GI2186" s="67"/>
      <c r="GJ2186" s="67"/>
      <c r="GK2186" s="67"/>
      <c r="GL2186" s="67"/>
      <c r="GM2186" s="67"/>
      <c r="GN2186" s="292"/>
      <c r="GO2186" s="292"/>
      <c r="GP2186" s="292" t="s">
        <v>7494</v>
      </c>
      <c r="GQ2186" s="67"/>
      <c r="GR2186" s="67"/>
      <c r="GS2186" s="67"/>
      <c r="GT2186" s="67"/>
      <c r="GU2186" s="67"/>
      <c r="GV2186" s="67"/>
      <c r="GW2186" s="67"/>
      <c r="GX2186" s="67"/>
      <c r="GY2186" s="67"/>
      <c r="GZ2186" s="67"/>
      <c r="HA2186" s="67"/>
      <c r="HB2186" s="67"/>
      <c r="HC2186" s="67"/>
      <c r="HD2186" s="67"/>
      <c r="HE2186" s="67"/>
      <c r="HF2186" s="67"/>
      <c r="HG2186" s="67"/>
      <c r="HH2186" s="67"/>
      <c r="HI2186" s="67"/>
      <c r="HJ2186" s="67"/>
      <c r="HK2186" s="67"/>
      <c r="HL2186" s="67"/>
      <c r="HM2186" s="67"/>
      <c r="HN2186" s="67"/>
      <c r="HO2186" s="67"/>
      <c r="HP2186" s="67"/>
      <c r="HQ2186" s="67"/>
      <c r="HR2186" s="67"/>
      <c r="HS2186" s="67"/>
      <c r="HT2186" s="67"/>
      <c r="HU2186" s="67"/>
      <c r="HV2186" s="67"/>
      <c r="HW2186" s="67"/>
      <c r="HX2186" s="67"/>
      <c r="HY2186" s="67"/>
      <c r="HZ2186" s="67"/>
      <c r="IA2186" s="67"/>
      <c r="IB2186" s="67"/>
      <c r="IC2186" s="67"/>
      <c r="ID2186" s="67"/>
      <c r="IE2186" s="67"/>
      <c r="IF2186" s="67"/>
      <c r="IG2186" s="67"/>
      <c r="IH2186" s="67"/>
      <c r="II2186" s="67"/>
      <c r="IJ2186" s="67"/>
      <c r="IK2186" s="67"/>
      <c r="IL2186" s="67"/>
      <c r="IM2186" s="67"/>
      <c r="IN2186" s="67"/>
      <c r="IO2186" s="67"/>
      <c r="IP2186" s="67"/>
      <c r="IQ2186" s="67"/>
      <c r="IR2186" s="67"/>
      <c r="IS2186" s="67"/>
      <c r="IT2186" s="67"/>
      <c r="IU2186" s="67"/>
      <c r="IV2186" s="67"/>
      <c r="IW2186" s="67"/>
      <c r="IX2186" s="67"/>
      <c r="IY2186" s="67"/>
      <c r="IZ2186" s="67"/>
      <c r="JA2186" s="67"/>
      <c r="JB2186" s="67"/>
      <c r="JC2186" s="67"/>
      <c r="JD2186" s="67"/>
      <c r="JE2186" s="67"/>
      <c r="JF2186" s="67"/>
      <c r="JG2186" s="67"/>
      <c r="JH2186" s="67"/>
      <c r="JI2186" s="67"/>
      <c r="JJ2186" s="67"/>
      <c r="JK2186" s="67"/>
      <c r="JL2186" s="67"/>
      <c r="JM2186" s="67"/>
      <c r="JN2186" s="67"/>
      <c r="JO2186" s="67"/>
      <c r="JP2186" s="67"/>
      <c r="JQ2186" s="67"/>
      <c r="JR2186" s="67"/>
      <c r="JS2186" s="67"/>
      <c r="JT2186" s="67"/>
      <c r="JU2186" s="58"/>
      <c r="JV2186" s="58"/>
      <c r="JW2186" s="58"/>
    </row>
    <row r="2187" spans="1:283" s="23" customFormat="1" x14ac:dyDescent="0.25">
      <c r="A2187" s="55">
        <v>2186</v>
      </c>
      <c r="B2187" s="12" t="s">
        <v>7067</v>
      </c>
      <c r="C2187" s="156">
        <v>101</v>
      </c>
      <c r="D2187" s="58" t="s">
        <v>4168</v>
      </c>
      <c r="E2187" s="94" t="s">
        <v>2113</v>
      </c>
      <c r="F2187" s="94"/>
      <c r="G2187" s="58" t="s">
        <v>6354</v>
      </c>
      <c r="H2187" s="58">
        <v>2010</v>
      </c>
      <c r="I2187" s="58">
        <v>2005</v>
      </c>
      <c r="J2187" s="58" t="s">
        <v>2114</v>
      </c>
      <c r="K2187" s="58" t="s">
        <v>2115</v>
      </c>
      <c r="L2187" s="58" t="s">
        <v>2740</v>
      </c>
      <c r="M2187" s="94">
        <f>48+19/60</f>
        <v>48.31666666666667</v>
      </c>
      <c r="N2187" s="94">
        <f>2+23/60</f>
        <v>2.3833333333333333</v>
      </c>
      <c r="O2187" s="94">
        <v>512</v>
      </c>
      <c r="P2187" s="58">
        <v>11.5</v>
      </c>
      <c r="Q2187" s="58"/>
      <c r="R2187" s="58">
        <v>604</v>
      </c>
      <c r="S2187" s="94"/>
      <c r="T2187" s="58"/>
      <c r="U2187" s="58">
        <v>13</v>
      </c>
      <c r="V2187" s="58">
        <v>16</v>
      </c>
      <c r="W2187" s="174"/>
      <c r="X2187" s="174"/>
      <c r="Y2187" s="58" t="s">
        <v>1966</v>
      </c>
      <c r="Z2187" s="59" t="s">
        <v>1356</v>
      </c>
      <c r="AA2187" s="94">
        <v>30</v>
      </c>
      <c r="AB2187" s="67"/>
      <c r="AC2187" s="67"/>
      <c r="AD2187" s="94"/>
      <c r="AE2187" s="94"/>
      <c r="AF2187" s="94"/>
      <c r="AG2187" s="94"/>
      <c r="AH2187" s="58"/>
      <c r="AI2187" s="169"/>
      <c r="AJ2187" s="94"/>
      <c r="AK2187" s="94"/>
      <c r="AL2187" s="58"/>
      <c r="AM2187" s="58" t="s">
        <v>2116</v>
      </c>
      <c r="AN2187" s="186" t="s">
        <v>2117</v>
      </c>
      <c r="AO2187" s="185" t="s">
        <v>5150</v>
      </c>
      <c r="AP2187" s="58"/>
      <c r="AQ2187" s="58" t="s">
        <v>1097</v>
      </c>
      <c r="AR2187" s="58" t="s">
        <v>2224</v>
      </c>
      <c r="AS2187" s="58" t="s">
        <v>227</v>
      </c>
      <c r="AT2187" s="182" t="s">
        <v>2118</v>
      </c>
      <c r="AU2187" s="181" t="s">
        <v>5150</v>
      </c>
      <c r="AV2187" s="185" t="s">
        <v>479</v>
      </c>
      <c r="AW2187" s="58" t="s">
        <v>2118</v>
      </c>
      <c r="AX2187" s="185" t="s">
        <v>479</v>
      </c>
      <c r="AY2187" s="58" t="s">
        <v>176</v>
      </c>
      <c r="AZ2187" s="58" t="s">
        <v>1976</v>
      </c>
      <c r="BA2187" s="58"/>
      <c r="BB2187" s="58" t="s">
        <v>2081</v>
      </c>
      <c r="BC2187" s="58" t="s">
        <v>2081</v>
      </c>
      <c r="BD2187" s="58"/>
      <c r="BE2187" s="236" t="s">
        <v>2119</v>
      </c>
      <c r="BF2187" s="58"/>
      <c r="BG2187" s="191" t="s">
        <v>479</v>
      </c>
      <c r="BH2187" s="236"/>
      <c r="BI2187" s="58"/>
      <c r="BJ2187" s="58"/>
      <c r="BK2187" s="58" t="s">
        <v>5976</v>
      </c>
      <c r="BL2187" s="58"/>
      <c r="BM2187" s="241" t="s">
        <v>160</v>
      </c>
      <c r="BN2187" s="58">
        <v>3</v>
      </c>
      <c r="BO2187" s="58">
        <v>3</v>
      </c>
      <c r="BP2187" s="58">
        <v>6</v>
      </c>
      <c r="BQ2187" s="58" t="s">
        <v>141</v>
      </c>
      <c r="BR2187" s="58"/>
      <c r="BS2187" s="58"/>
      <c r="BT2187" s="58"/>
      <c r="BU2187" s="58"/>
      <c r="BV2187" s="58"/>
      <c r="BW2187" s="67"/>
      <c r="BX2187" s="67"/>
      <c r="BY2187" s="67"/>
      <c r="BZ2187" s="67"/>
      <c r="CA2187" s="67"/>
      <c r="CB2187" s="68">
        <f>1000*6.2</f>
        <v>6200</v>
      </c>
      <c r="CC2187" s="68">
        <f>1000*6.2</f>
        <v>6200</v>
      </c>
      <c r="CD2187" s="68"/>
      <c r="CE2187" s="67"/>
      <c r="CF2187" s="67"/>
      <c r="CG2187" s="67" t="s">
        <v>2227</v>
      </c>
      <c r="CH2187" s="94"/>
      <c r="CI2187" s="94"/>
      <c r="CJ2187" s="67"/>
      <c r="CK2187" s="67"/>
      <c r="CL2187" s="67"/>
      <c r="CM2187" s="67"/>
      <c r="CN2187" s="67"/>
      <c r="CO2187" s="67"/>
      <c r="CP2187" s="67"/>
      <c r="CQ2187" s="67"/>
      <c r="CR2187" s="67"/>
      <c r="CS2187" s="67"/>
      <c r="CT2187" s="67"/>
      <c r="CU2187" s="67"/>
      <c r="CV2187" s="67"/>
      <c r="CW2187" s="67"/>
      <c r="CX2187" s="67"/>
      <c r="CY2187" s="67"/>
      <c r="CZ2187" s="67"/>
      <c r="DA2187" s="67"/>
      <c r="DB2187" s="67"/>
      <c r="DC2187" s="67"/>
      <c r="DD2187" s="67"/>
      <c r="DE2187" s="67"/>
      <c r="DF2187" s="67"/>
      <c r="DG2187" s="67"/>
      <c r="DH2187" s="67"/>
      <c r="DI2187" s="67"/>
      <c r="DJ2187" s="67"/>
      <c r="DK2187" s="67"/>
      <c r="DL2187" s="67"/>
      <c r="DM2187" s="67"/>
      <c r="DN2187" s="67"/>
      <c r="DO2187" s="67"/>
      <c r="DP2187" s="67"/>
      <c r="DQ2187" s="166"/>
      <c r="DR2187" s="166"/>
      <c r="DS2187" s="163"/>
      <c r="DT2187" s="163"/>
      <c r="DU2187" s="67"/>
      <c r="DV2187" s="67"/>
      <c r="DW2187" s="67"/>
      <c r="DX2187" s="67"/>
      <c r="DY2187" s="67"/>
      <c r="DZ2187" s="67"/>
      <c r="EA2187" s="67"/>
      <c r="EB2187" s="67"/>
      <c r="EC2187" s="67"/>
      <c r="ED2187" s="67"/>
      <c r="EE2187" s="67"/>
      <c r="EF2187" s="67"/>
      <c r="EG2187" s="67"/>
      <c r="EH2187" s="67"/>
      <c r="EI2187" s="67"/>
      <c r="EJ2187" s="67"/>
      <c r="EK2187" s="94"/>
      <c r="EL2187" s="94"/>
      <c r="EM2187" s="67"/>
      <c r="EN2187" s="67"/>
      <c r="EO2187" s="67"/>
      <c r="EP2187" s="67"/>
      <c r="EQ2187" s="67"/>
      <c r="ER2187" s="67"/>
      <c r="ES2187" s="67"/>
      <c r="ET2187" s="67"/>
      <c r="EU2187" s="67"/>
      <c r="EV2187" s="67"/>
      <c r="EW2187" s="67"/>
      <c r="EX2187" s="67"/>
      <c r="EY2187" s="67"/>
      <c r="EZ2187" s="67"/>
      <c r="FA2187" s="67"/>
      <c r="FB2187" s="67"/>
      <c r="FC2187" s="67"/>
      <c r="FD2187" s="67"/>
      <c r="FE2187" s="67"/>
      <c r="FF2187" s="67"/>
      <c r="FG2187" s="67"/>
      <c r="FH2187" s="67"/>
      <c r="FI2187" s="67"/>
      <c r="FJ2187" s="67"/>
      <c r="FK2187" s="67"/>
      <c r="FL2187" s="67"/>
      <c r="FM2187" s="67"/>
      <c r="FN2187" s="67"/>
      <c r="FO2187" s="67"/>
      <c r="FP2187" s="67"/>
      <c r="FQ2187" s="67"/>
      <c r="FR2187" s="67"/>
      <c r="FS2187" s="67"/>
      <c r="FT2187" s="67"/>
      <c r="FU2187" s="67"/>
      <c r="FV2187" s="67"/>
      <c r="FW2187" s="67"/>
      <c r="FX2187" s="67"/>
      <c r="FY2187" s="67"/>
      <c r="FZ2187" s="67"/>
      <c r="GA2187" s="67"/>
      <c r="GB2187" s="67"/>
      <c r="GC2187" s="67"/>
      <c r="GD2187" s="67"/>
      <c r="GE2187" s="67"/>
      <c r="GF2187" s="67"/>
      <c r="GG2187" s="67"/>
      <c r="GH2187" s="67"/>
      <c r="GI2187" s="67"/>
      <c r="GJ2187" s="67"/>
      <c r="GK2187" s="67"/>
      <c r="GL2187" s="67"/>
      <c r="GM2187" s="67"/>
      <c r="GN2187" s="292"/>
      <c r="GO2187" s="292"/>
      <c r="GP2187" s="292" t="s">
        <v>7494</v>
      </c>
      <c r="GQ2187" s="67"/>
      <c r="GR2187" s="67"/>
      <c r="GS2187" s="67"/>
      <c r="GT2187" s="67"/>
      <c r="GU2187" s="67"/>
      <c r="GV2187" s="67"/>
      <c r="GW2187" s="67"/>
      <c r="GX2187" s="67"/>
      <c r="GY2187" s="67"/>
      <c r="GZ2187" s="67"/>
      <c r="HA2187" s="67"/>
      <c r="HB2187" s="67"/>
      <c r="HC2187" s="67"/>
      <c r="HD2187" s="67"/>
      <c r="HE2187" s="67"/>
      <c r="HF2187" s="67"/>
      <c r="HG2187" s="67"/>
      <c r="HH2187" s="67"/>
      <c r="HI2187" s="67"/>
      <c r="HJ2187" s="67"/>
      <c r="HK2187" s="67"/>
      <c r="HL2187" s="67"/>
      <c r="HM2187" s="67"/>
      <c r="HN2187" s="67"/>
      <c r="HO2187" s="67"/>
      <c r="HP2187" s="67"/>
      <c r="HQ2187" s="67"/>
      <c r="HR2187" s="67"/>
      <c r="HS2187" s="67"/>
      <c r="HT2187" s="67"/>
      <c r="HU2187" s="67"/>
      <c r="HV2187" s="67"/>
      <c r="HW2187" s="67"/>
      <c r="HX2187" s="67"/>
      <c r="HY2187" s="67"/>
      <c r="HZ2187" s="67"/>
      <c r="IA2187" s="67"/>
      <c r="IB2187" s="67"/>
      <c r="IC2187" s="67"/>
      <c r="ID2187" s="67"/>
      <c r="IE2187" s="67"/>
      <c r="IF2187" s="67"/>
      <c r="IG2187" s="67"/>
      <c r="IH2187" s="67"/>
      <c r="II2187" s="67"/>
      <c r="IJ2187" s="67"/>
      <c r="IK2187" s="67"/>
      <c r="IL2187" s="67"/>
      <c r="IM2187" s="67"/>
      <c r="IN2187" s="67"/>
      <c r="IO2187" s="67"/>
      <c r="IP2187" s="67"/>
      <c r="IQ2187" s="67"/>
      <c r="IR2187" s="67"/>
      <c r="IS2187" s="67"/>
      <c r="IT2187" s="67"/>
      <c r="IU2187" s="67"/>
      <c r="IV2187" s="67"/>
      <c r="IW2187" s="67"/>
      <c r="IX2187" s="67"/>
      <c r="IY2187" s="67"/>
      <c r="IZ2187" s="67"/>
      <c r="JA2187" s="67"/>
      <c r="JB2187" s="67"/>
      <c r="JC2187" s="67"/>
      <c r="JD2187" s="67"/>
      <c r="JE2187" s="67"/>
      <c r="JF2187" s="67"/>
      <c r="JG2187" s="67"/>
      <c r="JH2187" s="67"/>
      <c r="JI2187" s="67"/>
      <c r="JJ2187" s="67"/>
      <c r="JK2187" s="67"/>
      <c r="JL2187" s="67"/>
      <c r="JM2187" s="67"/>
      <c r="JN2187" s="67"/>
      <c r="JO2187" s="67"/>
      <c r="JP2187" s="67"/>
      <c r="JQ2187" s="67"/>
      <c r="JR2187" s="67"/>
      <c r="JS2187" s="67"/>
      <c r="JT2187" s="67"/>
      <c r="JU2187" s="58"/>
      <c r="JV2187" s="58"/>
      <c r="JW2187" s="58"/>
    </row>
    <row r="2188" spans="1:283" s="23" customFormat="1" x14ac:dyDescent="0.25">
      <c r="A2188" s="55">
        <v>2187</v>
      </c>
      <c r="B2188" s="12" t="s">
        <v>7067</v>
      </c>
      <c r="C2188" s="156">
        <v>101</v>
      </c>
      <c r="D2188" s="58" t="s">
        <v>4166</v>
      </c>
      <c r="E2188" s="94" t="s">
        <v>2113</v>
      </c>
      <c r="F2188" s="94"/>
      <c r="G2188" s="58" t="s">
        <v>6354</v>
      </c>
      <c r="H2188" s="58">
        <v>2010</v>
      </c>
      <c r="I2188" s="58">
        <v>2005</v>
      </c>
      <c r="J2188" s="58" t="s">
        <v>2114</v>
      </c>
      <c r="K2188" s="58" t="s">
        <v>2115</v>
      </c>
      <c r="L2188" s="58" t="s">
        <v>2740</v>
      </c>
      <c r="M2188" s="94">
        <f>48+19/60</f>
        <v>48.31666666666667</v>
      </c>
      <c r="N2188" s="94">
        <f>2+23/60</f>
        <v>2.3833333333333333</v>
      </c>
      <c r="O2188" s="94">
        <v>512</v>
      </c>
      <c r="P2188" s="58">
        <v>11.5</v>
      </c>
      <c r="Q2188" s="58"/>
      <c r="R2188" s="58">
        <v>604</v>
      </c>
      <c r="S2188" s="94"/>
      <c r="T2188" s="58"/>
      <c r="U2188" s="58">
        <v>13</v>
      </c>
      <c r="V2188" s="58">
        <v>16</v>
      </c>
      <c r="W2188" s="174"/>
      <c r="X2188" s="174"/>
      <c r="Y2188" s="58" t="s">
        <v>1966</v>
      </c>
      <c r="Z2188" s="59" t="s">
        <v>2120</v>
      </c>
      <c r="AA2188" s="94">
        <v>28</v>
      </c>
      <c r="AB2188" s="67"/>
      <c r="AC2188" s="67"/>
      <c r="AD2188" s="94"/>
      <c r="AE2188" s="94"/>
      <c r="AF2188" s="94"/>
      <c r="AG2188" s="94"/>
      <c r="AH2188" s="58"/>
      <c r="AI2188" s="169"/>
      <c r="AJ2188" s="94"/>
      <c r="AK2188" s="94"/>
      <c r="AL2188" s="58"/>
      <c r="AM2188" s="58" t="s">
        <v>2116</v>
      </c>
      <c r="AN2188" s="186" t="s">
        <v>2117</v>
      </c>
      <c r="AO2188" s="185" t="s">
        <v>5150</v>
      </c>
      <c r="AP2188" s="58"/>
      <c r="AQ2188" s="58" t="s">
        <v>1097</v>
      </c>
      <c r="AR2188" s="58" t="s">
        <v>2222</v>
      </c>
      <c r="AS2188" s="58" t="s">
        <v>116</v>
      </c>
      <c r="AT2188" s="182" t="s">
        <v>2118</v>
      </c>
      <c r="AU2188" s="181" t="s">
        <v>5150</v>
      </c>
      <c r="AV2188" s="185" t="s">
        <v>479</v>
      </c>
      <c r="AW2188" s="58" t="s">
        <v>2118</v>
      </c>
      <c r="AX2188" s="185" t="s">
        <v>479</v>
      </c>
      <c r="AY2188" s="58" t="s">
        <v>176</v>
      </c>
      <c r="AZ2188" s="58" t="s">
        <v>1016</v>
      </c>
      <c r="BA2188" s="58"/>
      <c r="BB2188" s="58" t="s">
        <v>2082</v>
      </c>
      <c r="BC2188" s="58" t="s">
        <v>2082</v>
      </c>
      <c r="BD2188" s="58"/>
      <c r="BE2188" s="236" t="s">
        <v>2119</v>
      </c>
      <c r="BF2188" s="58"/>
      <c r="BG2188" s="191" t="s">
        <v>479</v>
      </c>
      <c r="BH2188" s="236"/>
      <c r="BI2188" s="58"/>
      <c r="BJ2188" s="58"/>
      <c r="BK2188" s="58" t="s">
        <v>6269</v>
      </c>
      <c r="BL2188" s="58"/>
      <c r="BM2188" s="241" t="s">
        <v>160</v>
      </c>
      <c r="BN2188" s="58">
        <v>3</v>
      </c>
      <c r="BO2188" s="58">
        <v>3</v>
      </c>
      <c r="BP2188" s="58">
        <v>6</v>
      </c>
      <c r="BQ2188" s="58" t="s">
        <v>141</v>
      </c>
      <c r="BR2188" s="58"/>
      <c r="BS2188" s="58"/>
      <c r="BT2188" s="58"/>
      <c r="BU2188" s="58"/>
      <c r="BV2188" s="58"/>
      <c r="BW2188" s="67"/>
      <c r="BX2188" s="67"/>
      <c r="BY2188" s="67"/>
      <c r="BZ2188" s="67"/>
      <c r="CA2188" s="67"/>
      <c r="CB2188" s="68">
        <f>1000*15.4</f>
        <v>15400</v>
      </c>
      <c r="CC2188" s="68">
        <f>1000*15</f>
        <v>15000</v>
      </c>
      <c r="CD2188" s="68"/>
      <c r="CE2188" s="67"/>
      <c r="CF2188" s="67"/>
      <c r="CG2188" s="67" t="s">
        <v>2227</v>
      </c>
      <c r="CH2188" s="94"/>
      <c r="CI2188" s="94"/>
      <c r="CJ2188" s="67"/>
      <c r="CK2188" s="67"/>
      <c r="CL2188" s="67"/>
      <c r="CM2188" s="67"/>
      <c r="CN2188" s="67"/>
      <c r="CO2188" s="67"/>
      <c r="CP2188" s="67"/>
      <c r="CQ2188" s="67"/>
      <c r="CR2188" s="67"/>
      <c r="CS2188" s="67"/>
      <c r="CT2188" s="67"/>
      <c r="CU2188" s="67"/>
      <c r="CV2188" s="67"/>
      <c r="CW2188" s="67"/>
      <c r="CX2188" s="67"/>
      <c r="CY2188" s="67"/>
      <c r="CZ2188" s="67"/>
      <c r="DA2188" s="67"/>
      <c r="DB2188" s="67"/>
      <c r="DC2188" s="67"/>
      <c r="DD2188" s="67"/>
      <c r="DE2188" s="67"/>
      <c r="DF2188" s="67"/>
      <c r="DG2188" s="67"/>
      <c r="DH2188" s="67"/>
      <c r="DI2188" s="67"/>
      <c r="DJ2188" s="67"/>
      <c r="DK2188" s="67"/>
      <c r="DL2188" s="67"/>
      <c r="DM2188" s="67"/>
      <c r="DN2188" s="67"/>
      <c r="DO2188" s="67"/>
      <c r="DP2188" s="67"/>
      <c r="DQ2188" s="166"/>
      <c r="DR2188" s="166"/>
      <c r="DS2188" s="163"/>
      <c r="DT2188" s="163"/>
      <c r="DU2188" s="67"/>
      <c r="DV2188" s="67"/>
      <c r="DW2188" s="67"/>
      <c r="DX2188" s="67"/>
      <c r="DY2188" s="67"/>
      <c r="DZ2188" s="67"/>
      <c r="EA2188" s="67"/>
      <c r="EB2188" s="67"/>
      <c r="EC2188" s="67"/>
      <c r="ED2188" s="67"/>
      <c r="EE2188" s="67"/>
      <c r="EF2188" s="67"/>
      <c r="EG2188" s="67"/>
      <c r="EH2188" s="67"/>
      <c r="EI2188" s="67"/>
      <c r="EJ2188" s="67"/>
      <c r="EK2188" s="94"/>
      <c r="EL2188" s="94"/>
      <c r="EM2188" s="67"/>
      <c r="EN2188" s="67"/>
      <c r="EO2188" s="67"/>
      <c r="EP2188" s="67"/>
      <c r="EQ2188" s="67"/>
      <c r="ER2188" s="67"/>
      <c r="ES2188" s="67"/>
      <c r="ET2188" s="67"/>
      <c r="EU2188" s="67"/>
      <c r="EV2188" s="67"/>
      <c r="EW2188" s="67"/>
      <c r="EX2188" s="67"/>
      <c r="EY2188" s="67"/>
      <c r="EZ2188" s="67"/>
      <c r="FA2188" s="67"/>
      <c r="FB2188" s="67"/>
      <c r="FC2188" s="67"/>
      <c r="FD2188" s="67"/>
      <c r="FE2188" s="67"/>
      <c r="FF2188" s="67"/>
      <c r="FG2188" s="67"/>
      <c r="FH2188" s="67"/>
      <c r="FI2188" s="67"/>
      <c r="FJ2188" s="67"/>
      <c r="FK2188" s="67"/>
      <c r="FL2188" s="67"/>
      <c r="FM2188" s="67"/>
      <c r="FN2188" s="67"/>
      <c r="FO2188" s="67"/>
      <c r="FP2188" s="67"/>
      <c r="FQ2188" s="67"/>
      <c r="FR2188" s="67"/>
      <c r="FS2188" s="67"/>
      <c r="FT2188" s="67"/>
      <c r="FU2188" s="67"/>
      <c r="FV2188" s="67"/>
      <c r="FW2188" s="67"/>
      <c r="FX2188" s="67"/>
      <c r="FY2188" s="67"/>
      <c r="FZ2188" s="67"/>
      <c r="GA2188" s="67"/>
      <c r="GB2188" s="67"/>
      <c r="GC2188" s="67"/>
      <c r="GD2188" s="67"/>
      <c r="GE2188" s="67"/>
      <c r="GF2188" s="67"/>
      <c r="GG2188" s="67"/>
      <c r="GH2188" s="67"/>
      <c r="GI2188" s="67"/>
      <c r="GJ2188" s="67"/>
      <c r="GK2188" s="67"/>
      <c r="GL2188" s="67"/>
      <c r="GM2188" s="67"/>
      <c r="GN2188" s="292"/>
      <c r="GO2188" s="292"/>
      <c r="GP2188" s="292" t="s">
        <v>7494</v>
      </c>
      <c r="GQ2188" s="67"/>
      <c r="GR2188" s="67"/>
      <c r="GS2188" s="67"/>
      <c r="GT2188" s="67"/>
      <c r="GU2188" s="67"/>
      <c r="GV2188" s="67"/>
      <c r="GW2188" s="67"/>
      <c r="GX2188" s="67"/>
      <c r="GY2188" s="67"/>
      <c r="GZ2188" s="67"/>
      <c r="HA2188" s="67"/>
      <c r="HB2188" s="67"/>
      <c r="HC2188" s="67"/>
      <c r="HD2188" s="67"/>
      <c r="HE2188" s="67"/>
      <c r="HF2188" s="67"/>
      <c r="HG2188" s="67"/>
      <c r="HH2188" s="67"/>
      <c r="HI2188" s="67"/>
      <c r="HJ2188" s="67"/>
      <c r="HK2188" s="67"/>
      <c r="HL2188" s="67"/>
      <c r="HM2188" s="67"/>
      <c r="HN2188" s="67"/>
      <c r="HO2188" s="67"/>
      <c r="HP2188" s="67"/>
      <c r="HQ2188" s="67"/>
      <c r="HR2188" s="67"/>
      <c r="HS2188" s="67"/>
      <c r="HT2188" s="67"/>
      <c r="HU2188" s="67"/>
      <c r="HV2188" s="67"/>
      <c r="HW2188" s="67"/>
      <c r="HX2188" s="67"/>
      <c r="HY2188" s="67"/>
      <c r="HZ2188" s="67"/>
      <c r="IA2188" s="67"/>
      <c r="IB2188" s="67"/>
      <c r="IC2188" s="67"/>
      <c r="ID2188" s="67"/>
      <c r="IE2188" s="67"/>
      <c r="IF2188" s="67"/>
      <c r="IG2188" s="67"/>
      <c r="IH2188" s="67"/>
      <c r="II2188" s="67"/>
      <c r="IJ2188" s="67"/>
      <c r="IK2188" s="67"/>
      <c r="IL2188" s="67"/>
      <c r="IM2188" s="67"/>
      <c r="IN2188" s="67"/>
      <c r="IO2188" s="67"/>
      <c r="IP2188" s="67"/>
      <c r="IQ2188" s="67"/>
      <c r="IR2188" s="67"/>
      <c r="IS2188" s="67"/>
      <c r="IT2188" s="67"/>
      <c r="IU2188" s="67"/>
      <c r="IV2188" s="67"/>
      <c r="IW2188" s="67"/>
      <c r="IX2188" s="67"/>
      <c r="IY2188" s="67"/>
      <c r="IZ2188" s="67"/>
      <c r="JA2188" s="67"/>
      <c r="JB2188" s="67"/>
      <c r="JC2188" s="67"/>
      <c r="JD2188" s="67"/>
      <c r="JE2188" s="67"/>
      <c r="JF2188" s="67"/>
      <c r="JG2188" s="67"/>
      <c r="JH2188" s="67"/>
      <c r="JI2188" s="67"/>
      <c r="JJ2188" s="67"/>
      <c r="JK2188" s="67"/>
      <c r="JL2188" s="67"/>
      <c r="JM2188" s="67"/>
      <c r="JN2188" s="67"/>
      <c r="JO2188" s="67"/>
      <c r="JP2188" s="67"/>
      <c r="JQ2188" s="67"/>
      <c r="JR2188" s="67"/>
      <c r="JS2188" s="67"/>
      <c r="JT2188" s="67"/>
      <c r="JU2188" s="58"/>
      <c r="JV2188" s="58"/>
      <c r="JW2188" s="58"/>
    </row>
    <row r="2189" spans="1:283" s="23" customFormat="1" x14ac:dyDescent="0.25">
      <c r="A2189" s="55">
        <v>2188</v>
      </c>
      <c r="B2189" s="12" t="s">
        <v>7067</v>
      </c>
      <c r="C2189" s="156">
        <v>101</v>
      </c>
      <c r="D2189" s="58" t="s">
        <v>4167</v>
      </c>
      <c r="E2189" s="94" t="s">
        <v>2113</v>
      </c>
      <c r="F2189" s="94"/>
      <c r="G2189" s="58" t="s">
        <v>6354</v>
      </c>
      <c r="H2189" s="58">
        <v>2010</v>
      </c>
      <c r="I2189" s="58">
        <v>2005</v>
      </c>
      <c r="J2189" s="58" t="s">
        <v>2114</v>
      </c>
      <c r="K2189" s="58" t="s">
        <v>2115</v>
      </c>
      <c r="L2189" s="58" t="s">
        <v>2740</v>
      </c>
      <c r="M2189" s="94">
        <f>48+19/60</f>
        <v>48.31666666666667</v>
      </c>
      <c r="N2189" s="94">
        <f>2+23/60</f>
        <v>2.3833333333333333</v>
      </c>
      <c r="O2189" s="94">
        <v>512</v>
      </c>
      <c r="P2189" s="58">
        <v>11.5</v>
      </c>
      <c r="Q2189" s="58"/>
      <c r="R2189" s="58">
        <v>604</v>
      </c>
      <c r="S2189" s="94"/>
      <c r="T2189" s="58"/>
      <c r="U2189" s="58">
        <v>13</v>
      </c>
      <c r="V2189" s="58">
        <v>16</v>
      </c>
      <c r="W2189" s="174"/>
      <c r="X2189" s="174"/>
      <c r="Y2189" s="58" t="s">
        <v>1966</v>
      </c>
      <c r="Z2189" s="59" t="s">
        <v>2120</v>
      </c>
      <c r="AA2189" s="94">
        <v>28</v>
      </c>
      <c r="AB2189" s="67"/>
      <c r="AC2189" s="67"/>
      <c r="AD2189" s="94"/>
      <c r="AE2189" s="94"/>
      <c r="AF2189" s="94"/>
      <c r="AG2189" s="94"/>
      <c r="AH2189" s="58"/>
      <c r="AI2189" s="169"/>
      <c r="AJ2189" s="94"/>
      <c r="AK2189" s="94"/>
      <c r="AL2189" s="58"/>
      <c r="AM2189" s="58" t="s">
        <v>2116</v>
      </c>
      <c r="AN2189" s="186" t="s">
        <v>2117</v>
      </c>
      <c r="AO2189" s="185" t="s">
        <v>5150</v>
      </c>
      <c r="AP2189" s="58"/>
      <c r="AQ2189" s="58" t="s">
        <v>1097</v>
      </c>
      <c r="AR2189" s="58" t="s">
        <v>2223</v>
      </c>
      <c r="AS2189" s="55" t="s">
        <v>5133</v>
      </c>
      <c r="AT2189" s="182" t="s">
        <v>2118</v>
      </c>
      <c r="AU2189" s="181" t="s">
        <v>5150</v>
      </c>
      <c r="AV2189" s="185" t="s">
        <v>479</v>
      </c>
      <c r="AW2189" s="58" t="s">
        <v>2118</v>
      </c>
      <c r="AX2189" s="185" t="s">
        <v>479</v>
      </c>
      <c r="AY2189" s="58" t="s">
        <v>176</v>
      </c>
      <c r="AZ2189" s="58" t="s">
        <v>1016</v>
      </c>
      <c r="BA2189" s="58"/>
      <c r="BB2189" s="58" t="s">
        <v>2082</v>
      </c>
      <c r="BC2189" s="58" t="s">
        <v>2082</v>
      </c>
      <c r="BD2189" s="58"/>
      <c r="BE2189" s="236" t="s">
        <v>2119</v>
      </c>
      <c r="BF2189" s="58"/>
      <c r="BG2189" s="191" t="s">
        <v>479</v>
      </c>
      <c r="BH2189" s="236"/>
      <c r="BI2189" s="58"/>
      <c r="BJ2189" s="58"/>
      <c r="BK2189" s="58" t="s">
        <v>6269</v>
      </c>
      <c r="BL2189" s="58"/>
      <c r="BM2189" s="241" t="s">
        <v>160</v>
      </c>
      <c r="BN2189" s="58">
        <v>3</v>
      </c>
      <c r="BO2189" s="58">
        <v>3</v>
      </c>
      <c r="BP2189" s="58">
        <v>6</v>
      </c>
      <c r="BQ2189" s="58" t="s">
        <v>141</v>
      </c>
      <c r="BR2189" s="58"/>
      <c r="BS2189" s="58"/>
      <c r="BT2189" s="58"/>
      <c r="BU2189" s="58"/>
      <c r="BV2189" s="58"/>
      <c r="BW2189" s="67"/>
      <c r="BX2189" s="67"/>
      <c r="BY2189" s="67"/>
      <c r="BZ2189" s="67"/>
      <c r="CA2189" s="67"/>
      <c r="CB2189" s="68">
        <f>1000*12</f>
        <v>12000</v>
      </c>
      <c r="CC2189" s="68">
        <f>1000*12.2</f>
        <v>12200</v>
      </c>
      <c r="CD2189" s="68"/>
      <c r="CE2189" s="67"/>
      <c r="CF2189" s="67"/>
      <c r="CG2189" s="67" t="s">
        <v>2227</v>
      </c>
      <c r="CH2189" s="94"/>
      <c r="CI2189" s="94"/>
      <c r="CJ2189" s="67"/>
      <c r="CK2189" s="67"/>
      <c r="CL2189" s="67"/>
      <c r="CM2189" s="67"/>
      <c r="CN2189" s="67"/>
      <c r="CO2189" s="67"/>
      <c r="CP2189" s="67"/>
      <c r="CQ2189" s="67"/>
      <c r="CR2189" s="67"/>
      <c r="CS2189" s="67"/>
      <c r="CT2189" s="67"/>
      <c r="CU2189" s="67"/>
      <c r="CV2189" s="67"/>
      <c r="CW2189" s="67"/>
      <c r="CX2189" s="67"/>
      <c r="CY2189" s="67"/>
      <c r="CZ2189" s="67"/>
      <c r="DA2189" s="67"/>
      <c r="DB2189" s="67"/>
      <c r="DC2189" s="67"/>
      <c r="DD2189" s="67"/>
      <c r="DE2189" s="67"/>
      <c r="DF2189" s="67"/>
      <c r="DG2189" s="67"/>
      <c r="DH2189" s="67"/>
      <c r="DI2189" s="67"/>
      <c r="DJ2189" s="67"/>
      <c r="DK2189" s="67"/>
      <c r="DL2189" s="67"/>
      <c r="DM2189" s="67"/>
      <c r="DN2189" s="67"/>
      <c r="DO2189" s="67"/>
      <c r="DP2189" s="67"/>
      <c r="DQ2189" s="166"/>
      <c r="DR2189" s="166"/>
      <c r="DS2189" s="163"/>
      <c r="DT2189" s="163"/>
      <c r="DU2189" s="67"/>
      <c r="DV2189" s="67"/>
      <c r="DW2189" s="67"/>
      <c r="DX2189" s="67"/>
      <c r="DY2189" s="67"/>
      <c r="DZ2189" s="67"/>
      <c r="EA2189" s="67"/>
      <c r="EB2189" s="67"/>
      <c r="EC2189" s="67"/>
      <c r="ED2189" s="67"/>
      <c r="EE2189" s="67"/>
      <c r="EF2189" s="67"/>
      <c r="EG2189" s="67"/>
      <c r="EH2189" s="67"/>
      <c r="EI2189" s="67"/>
      <c r="EJ2189" s="67"/>
      <c r="EK2189" s="94"/>
      <c r="EL2189" s="94"/>
      <c r="EM2189" s="67"/>
      <c r="EN2189" s="67"/>
      <c r="EO2189" s="67"/>
      <c r="EP2189" s="67"/>
      <c r="EQ2189" s="67"/>
      <c r="ER2189" s="67"/>
      <c r="ES2189" s="67"/>
      <c r="ET2189" s="67"/>
      <c r="EU2189" s="67"/>
      <c r="EV2189" s="67"/>
      <c r="EW2189" s="67"/>
      <c r="EX2189" s="67"/>
      <c r="EY2189" s="67"/>
      <c r="EZ2189" s="67"/>
      <c r="FA2189" s="67"/>
      <c r="FB2189" s="67"/>
      <c r="FC2189" s="67"/>
      <c r="FD2189" s="67"/>
      <c r="FE2189" s="67"/>
      <c r="FF2189" s="67"/>
      <c r="FG2189" s="67"/>
      <c r="FH2189" s="67"/>
      <c r="FI2189" s="67"/>
      <c r="FJ2189" s="67"/>
      <c r="FK2189" s="67"/>
      <c r="FL2189" s="67"/>
      <c r="FM2189" s="67"/>
      <c r="FN2189" s="67"/>
      <c r="FO2189" s="67"/>
      <c r="FP2189" s="67"/>
      <c r="FQ2189" s="67"/>
      <c r="FR2189" s="67"/>
      <c r="FS2189" s="67"/>
      <c r="FT2189" s="67"/>
      <c r="FU2189" s="67"/>
      <c r="FV2189" s="67"/>
      <c r="FW2189" s="67"/>
      <c r="FX2189" s="67"/>
      <c r="FY2189" s="67"/>
      <c r="FZ2189" s="67"/>
      <c r="GA2189" s="67"/>
      <c r="GB2189" s="67"/>
      <c r="GC2189" s="67"/>
      <c r="GD2189" s="67"/>
      <c r="GE2189" s="67"/>
      <c r="GF2189" s="67"/>
      <c r="GG2189" s="67"/>
      <c r="GH2189" s="67"/>
      <c r="GI2189" s="67"/>
      <c r="GJ2189" s="67"/>
      <c r="GK2189" s="67"/>
      <c r="GL2189" s="67"/>
      <c r="GM2189" s="67"/>
      <c r="GN2189" s="292"/>
      <c r="GO2189" s="292"/>
      <c r="GP2189" s="292" t="s">
        <v>7494</v>
      </c>
      <c r="GQ2189" s="67"/>
      <c r="GR2189" s="67"/>
      <c r="GS2189" s="67"/>
      <c r="GT2189" s="67"/>
      <c r="GU2189" s="67"/>
      <c r="GV2189" s="67"/>
      <c r="GW2189" s="67"/>
      <c r="GX2189" s="67"/>
      <c r="GY2189" s="67"/>
      <c r="GZ2189" s="67"/>
      <c r="HA2189" s="67"/>
      <c r="HB2189" s="67"/>
      <c r="HC2189" s="67"/>
      <c r="HD2189" s="67"/>
      <c r="HE2189" s="67"/>
      <c r="HF2189" s="67"/>
      <c r="HG2189" s="67"/>
      <c r="HH2189" s="67"/>
      <c r="HI2189" s="67"/>
      <c r="HJ2189" s="67"/>
      <c r="HK2189" s="67"/>
      <c r="HL2189" s="67"/>
      <c r="HM2189" s="67"/>
      <c r="HN2189" s="67"/>
      <c r="HO2189" s="67"/>
      <c r="HP2189" s="67"/>
      <c r="HQ2189" s="67"/>
      <c r="HR2189" s="67"/>
      <c r="HS2189" s="67"/>
      <c r="HT2189" s="67"/>
      <c r="HU2189" s="67"/>
      <c r="HV2189" s="67"/>
      <c r="HW2189" s="67"/>
      <c r="HX2189" s="67"/>
      <c r="HY2189" s="67"/>
      <c r="HZ2189" s="67"/>
      <c r="IA2189" s="67"/>
      <c r="IB2189" s="67"/>
      <c r="IC2189" s="67"/>
      <c r="ID2189" s="67"/>
      <c r="IE2189" s="67"/>
      <c r="IF2189" s="67"/>
      <c r="IG2189" s="67"/>
      <c r="IH2189" s="67"/>
      <c r="II2189" s="67"/>
      <c r="IJ2189" s="67"/>
      <c r="IK2189" s="67"/>
      <c r="IL2189" s="67"/>
      <c r="IM2189" s="67"/>
      <c r="IN2189" s="67"/>
      <c r="IO2189" s="67"/>
      <c r="IP2189" s="67"/>
      <c r="IQ2189" s="67"/>
      <c r="IR2189" s="67"/>
      <c r="IS2189" s="67"/>
      <c r="IT2189" s="67"/>
      <c r="IU2189" s="67"/>
      <c r="IV2189" s="67"/>
      <c r="IW2189" s="67"/>
      <c r="IX2189" s="67"/>
      <c r="IY2189" s="67"/>
      <c r="IZ2189" s="67"/>
      <c r="JA2189" s="67"/>
      <c r="JB2189" s="67"/>
      <c r="JC2189" s="67"/>
      <c r="JD2189" s="67"/>
      <c r="JE2189" s="67"/>
      <c r="JF2189" s="67"/>
      <c r="JG2189" s="67"/>
      <c r="JH2189" s="67"/>
      <c r="JI2189" s="67"/>
      <c r="JJ2189" s="67"/>
      <c r="JK2189" s="67"/>
      <c r="JL2189" s="67"/>
      <c r="JM2189" s="67"/>
      <c r="JN2189" s="67"/>
      <c r="JO2189" s="67"/>
      <c r="JP2189" s="67"/>
      <c r="JQ2189" s="67"/>
      <c r="JR2189" s="67"/>
      <c r="JS2189" s="67"/>
      <c r="JT2189" s="67"/>
      <c r="JU2189" s="58"/>
      <c r="JV2189" s="58"/>
      <c r="JW2189" s="58"/>
    </row>
    <row r="2190" spans="1:283" s="23" customFormat="1" x14ac:dyDescent="0.25">
      <c r="A2190" s="55">
        <v>2189</v>
      </c>
      <c r="B2190" s="12" t="s">
        <v>7067</v>
      </c>
      <c r="C2190" s="156">
        <v>101</v>
      </c>
      <c r="D2190" s="58" t="s">
        <v>4168</v>
      </c>
      <c r="E2190" s="94" t="s">
        <v>2113</v>
      </c>
      <c r="F2190" s="94"/>
      <c r="G2190" s="58" t="s">
        <v>6354</v>
      </c>
      <c r="H2190" s="58">
        <v>2010</v>
      </c>
      <c r="I2190" s="58">
        <v>2005</v>
      </c>
      <c r="J2190" s="58" t="s">
        <v>2114</v>
      </c>
      <c r="K2190" s="58" t="s">
        <v>2115</v>
      </c>
      <c r="L2190" s="58" t="s">
        <v>2740</v>
      </c>
      <c r="M2190" s="94">
        <f>48+19/60</f>
        <v>48.31666666666667</v>
      </c>
      <c r="N2190" s="94">
        <f>2+23/60</f>
        <v>2.3833333333333333</v>
      </c>
      <c r="O2190" s="94">
        <v>512</v>
      </c>
      <c r="P2190" s="58">
        <v>11.5</v>
      </c>
      <c r="Q2190" s="58"/>
      <c r="R2190" s="58">
        <v>604</v>
      </c>
      <c r="S2190" s="94"/>
      <c r="T2190" s="58"/>
      <c r="U2190" s="58">
        <v>13</v>
      </c>
      <c r="V2190" s="58">
        <v>16</v>
      </c>
      <c r="W2190" s="174"/>
      <c r="X2190" s="174"/>
      <c r="Y2190" s="58" t="s">
        <v>1966</v>
      </c>
      <c r="Z2190" s="59" t="s">
        <v>2120</v>
      </c>
      <c r="AA2190" s="94">
        <v>28</v>
      </c>
      <c r="AB2190" s="67"/>
      <c r="AC2190" s="67"/>
      <c r="AD2190" s="94"/>
      <c r="AE2190" s="94"/>
      <c r="AF2190" s="94"/>
      <c r="AG2190" s="94"/>
      <c r="AH2190" s="58"/>
      <c r="AI2190" s="169"/>
      <c r="AJ2190" s="94"/>
      <c r="AK2190" s="94"/>
      <c r="AL2190" s="58"/>
      <c r="AM2190" s="58" t="s">
        <v>2116</v>
      </c>
      <c r="AN2190" s="186" t="s">
        <v>2117</v>
      </c>
      <c r="AO2190" s="185" t="s">
        <v>5150</v>
      </c>
      <c r="AP2190" s="58"/>
      <c r="AQ2190" s="58" t="s">
        <v>1097</v>
      </c>
      <c r="AR2190" s="58" t="s">
        <v>2224</v>
      </c>
      <c r="AS2190" s="58" t="s">
        <v>227</v>
      </c>
      <c r="AT2190" s="182" t="s">
        <v>2118</v>
      </c>
      <c r="AU2190" s="181" t="s">
        <v>5150</v>
      </c>
      <c r="AV2190" s="185" t="s">
        <v>479</v>
      </c>
      <c r="AW2190" s="58" t="s">
        <v>2118</v>
      </c>
      <c r="AX2190" s="185" t="s">
        <v>479</v>
      </c>
      <c r="AY2190" s="58" t="s">
        <v>176</v>
      </c>
      <c r="AZ2190" s="58" t="s">
        <v>1016</v>
      </c>
      <c r="BA2190" s="58"/>
      <c r="BB2190" s="58" t="s">
        <v>2082</v>
      </c>
      <c r="BC2190" s="58" t="s">
        <v>2082</v>
      </c>
      <c r="BD2190" s="58"/>
      <c r="BE2190" s="236" t="s">
        <v>2119</v>
      </c>
      <c r="BF2190" s="58"/>
      <c r="BG2190" s="191" t="s">
        <v>479</v>
      </c>
      <c r="BH2190" s="236"/>
      <c r="BI2190" s="58"/>
      <c r="BJ2190" s="58"/>
      <c r="BK2190" s="58" t="s">
        <v>6269</v>
      </c>
      <c r="BL2190" s="58"/>
      <c r="BM2190" s="241" t="s">
        <v>160</v>
      </c>
      <c r="BN2190" s="58">
        <v>3</v>
      </c>
      <c r="BO2190" s="58">
        <v>3</v>
      </c>
      <c r="BP2190" s="58">
        <v>6</v>
      </c>
      <c r="BQ2190" s="58" t="s">
        <v>141</v>
      </c>
      <c r="BR2190" s="58"/>
      <c r="BS2190" s="58"/>
      <c r="BT2190" s="58"/>
      <c r="BU2190" s="58"/>
      <c r="BV2190" s="58"/>
      <c r="BW2190" s="67"/>
      <c r="BX2190" s="67"/>
      <c r="BY2190" s="67"/>
      <c r="BZ2190" s="67"/>
      <c r="CA2190" s="67"/>
      <c r="CB2190" s="68">
        <f>1000*4.8</f>
        <v>4800</v>
      </c>
      <c r="CC2190" s="68">
        <f>1000*4.9</f>
        <v>4900</v>
      </c>
      <c r="CD2190" s="68"/>
      <c r="CE2190" s="67"/>
      <c r="CF2190" s="67"/>
      <c r="CG2190" s="67" t="s">
        <v>2227</v>
      </c>
      <c r="CH2190" s="94"/>
      <c r="CI2190" s="94"/>
      <c r="CJ2190" s="67"/>
      <c r="CK2190" s="67"/>
      <c r="CL2190" s="67"/>
      <c r="CM2190" s="67"/>
      <c r="CN2190" s="67"/>
      <c r="CO2190" s="67"/>
      <c r="CP2190" s="67"/>
      <c r="CQ2190" s="67"/>
      <c r="CR2190" s="67"/>
      <c r="CS2190" s="67"/>
      <c r="CT2190" s="67"/>
      <c r="CU2190" s="67"/>
      <c r="CV2190" s="67"/>
      <c r="CW2190" s="67"/>
      <c r="CX2190" s="67"/>
      <c r="CY2190" s="67"/>
      <c r="CZ2190" s="67"/>
      <c r="DA2190" s="67"/>
      <c r="DB2190" s="67"/>
      <c r="DC2190" s="67"/>
      <c r="DD2190" s="67"/>
      <c r="DE2190" s="67"/>
      <c r="DF2190" s="67"/>
      <c r="DG2190" s="67"/>
      <c r="DH2190" s="67"/>
      <c r="DI2190" s="67"/>
      <c r="DJ2190" s="67"/>
      <c r="DK2190" s="67"/>
      <c r="DL2190" s="67"/>
      <c r="DM2190" s="67"/>
      <c r="DN2190" s="67"/>
      <c r="DO2190" s="67"/>
      <c r="DP2190" s="67"/>
      <c r="DQ2190" s="166"/>
      <c r="DR2190" s="166"/>
      <c r="DS2190" s="163"/>
      <c r="DT2190" s="163"/>
      <c r="DU2190" s="67"/>
      <c r="DV2190" s="67"/>
      <c r="DW2190" s="67"/>
      <c r="DX2190" s="67"/>
      <c r="DY2190" s="67"/>
      <c r="DZ2190" s="67"/>
      <c r="EA2190" s="67"/>
      <c r="EB2190" s="67"/>
      <c r="EC2190" s="67"/>
      <c r="ED2190" s="67"/>
      <c r="EE2190" s="67"/>
      <c r="EF2190" s="67"/>
      <c r="EG2190" s="67"/>
      <c r="EH2190" s="67"/>
      <c r="EI2190" s="67"/>
      <c r="EJ2190" s="67"/>
      <c r="EK2190" s="94"/>
      <c r="EL2190" s="94"/>
      <c r="EM2190" s="67"/>
      <c r="EN2190" s="67"/>
      <c r="EO2190" s="67"/>
      <c r="EP2190" s="67"/>
      <c r="EQ2190" s="67"/>
      <c r="ER2190" s="67"/>
      <c r="ES2190" s="67"/>
      <c r="ET2190" s="67"/>
      <c r="EU2190" s="67"/>
      <c r="EV2190" s="67"/>
      <c r="EW2190" s="67"/>
      <c r="EX2190" s="67"/>
      <c r="EY2190" s="67"/>
      <c r="EZ2190" s="67"/>
      <c r="FA2190" s="67"/>
      <c r="FB2190" s="67"/>
      <c r="FC2190" s="67"/>
      <c r="FD2190" s="67"/>
      <c r="FE2190" s="67"/>
      <c r="FF2190" s="67"/>
      <c r="FG2190" s="67"/>
      <c r="FH2190" s="67"/>
      <c r="FI2190" s="67"/>
      <c r="FJ2190" s="67"/>
      <c r="FK2190" s="67"/>
      <c r="FL2190" s="67"/>
      <c r="FM2190" s="67"/>
      <c r="FN2190" s="67"/>
      <c r="FO2190" s="67"/>
      <c r="FP2190" s="67"/>
      <c r="FQ2190" s="67"/>
      <c r="FR2190" s="67"/>
      <c r="FS2190" s="67"/>
      <c r="FT2190" s="67"/>
      <c r="FU2190" s="67"/>
      <c r="FV2190" s="67"/>
      <c r="FW2190" s="67"/>
      <c r="FX2190" s="67"/>
      <c r="FY2190" s="67"/>
      <c r="FZ2190" s="67"/>
      <c r="GA2190" s="67"/>
      <c r="GB2190" s="67"/>
      <c r="GC2190" s="67"/>
      <c r="GD2190" s="67"/>
      <c r="GE2190" s="67"/>
      <c r="GF2190" s="67"/>
      <c r="GG2190" s="67"/>
      <c r="GH2190" s="67"/>
      <c r="GI2190" s="67"/>
      <c r="GJ2190" s="67"/>
      <c r="GK2190" s="67"/>
      <c r="GL2190" s="67"/>
      <c r="GM2190" s="67"/>
      <c r="GN2190" s="292"/>
      <c r="GO2190" s="292"/>
      <c r="GP2190" s="292" t="s">
        <v>7494</v>
      </c>
      <c r="GQ2190" s="67"/>
      <c r="GR2190" s="67"/>
      <c r="GS2190" s="67"/>
      <c r="GT2190" s="67"/>
      <c r="GU2190" s="67"/>
      <c r="GV2190" s="67"/>
      <c r="GW2190" s="67"/>
      <c r="GX2190" s="67"/>
      <c r="GY2190" s="67"/>
      <c r="GZ2190" s="67"/>
      <c r="HA2190" s="67"/>
      <c r="HB2190" s="67"/>
      <c r="HC2190" s="67"/>
      <c r="HD2190" s="67"/>
      <c r="HE2190" s="67"/>
      <c r="HF2190" s="67"/>
      <c r="HG2190" s="67"/>
      <c r="HH2190" s="67"/>
      <c r="HI2190" s="67"/>
      <c r="HJ2190" s="67"/>
      <c r="HK2190" s="67"/>
      <c r="HL2190" s="67"/>
      <c r="HM2190" s="67"/>
      <c r="HN2190" s="67"/>
      <c r="HO2190" s="67"/>
      <c r="HP2190" s="67"/>
      <c r="HQ2190" s="67"/>
      <c r="HR2190" s="67"/>
      <c r="HS2190" s="67"/>
      <c r="HT2190" s="67"/>
      <c r="HU2190" s="67"/>
      <c r="HV2190" s="67"/>
      <c r="HW2190" s="67"/>
      <c r="HX2190" s="67"/>
      <c r="HY2190" s="67"/>
      <c r="HZ2190" s="67"/>
      <c r="IA2190" s="67"/>
      <c r="IB2190" s="67"/>
      <c r="IC2190" s="67"/>
      <c r="ID2190" s="67"/>
      <c r="IE2190" s="67"/>
      <c r="IF2190" s="67"/>
      <c r="IG2190" s="67"/>
      <c r="IH2190" s="67"/>
      <c r="II2190" s="67"/>
      <c r="IJ2190" s="67"/>
      <c r="IK2190" s="67"/>
      <c r="IL2190" s="67"/>
      <c r="IM2190" s="67"/>
      <c r="IN2190" s="67"/>
      <c r="IO2190" s="67"/>
      <c r="IP2190" s="67"/>
      <c r="IQ2190" s="67"/>
      <c r="IR2190" s="67"/>
      <c r="IS2190" s="67"/>
      <c r="IT2190" s="67"/>
      <c r="IU2190" s="67"/>
      <c r="IV2190" s="67"/>
      <c r="IW2190" s="67"/>
      <c r="IX2190" s="67"/>
      <c r="IY2190" s="67"/>
      <c r="IZ2190" s="67"/>
      <c r="JA2190" s="67"/>
      <c r="JB2190" s="67"/>
      <c r="JC2190" s="67"/>
      <c r="JD2190" s="67"/>
      <c r="JE2190" s="67"/>
      <c r="JF2190" s="67"/>
      <c r="JG2190" s="67"/>
      <c r="JH2190" s="67"/>
      <c r="JI2190" s="67"/>
      <c r="JJ2190" s="67"/>
      <c r="JK2190" s="67"/>
      <c r="JL2190" s="67"/>
      <c r="JM2190" s="67"/>
      <c r="JN2190" s="67"/>
      <c r="JO2190" s="67"/>
      <c r="JP2190" s="67"/>
      <c r="JQ2190" s="67"/>
      <c r="JR2190" s="67"/>
      <c r="JS2190" s="67"/>
      <c r="JT2190" s="67"/>
      <c r="JU2190" s="58"/>
      <c r="JV2190" s="58"/>
      <c r="JW2190" s="58"/>
    </row>
    <row r="2191" spans="1:283" s="23" customFormat="1" x14ac:dyDescent="0.25">
      <c r="A2191" s="55">
        <v>2190</v>
      </c>
      <c r="B2191" s="12" t="s">
        <v>7067</v>
      </c>
      <c r="C2191" s="156">
        <v>101</v>
      </c>
      <c r="D2191" s="58" t="s">
        <v>4162</v>
      </c>
      <c r="E2191" s="94" t="s">
        <v>2113</v>
      </c>
      <c r="F2191" s="94"/>
      <c r="G2191" s="58" t="s">
        <v>6354</v>
      </c>
      <c r="H2191" s="58">
        <v>2010</v>
      </c>
      <c r="I2191" s="58">
        <v>2005</v>
      </c>
      <c r="J2191" s="58" t="s">
        <v>2114</v>
      </c>
      <c r="K2191" s="58" t="s">
        <v>2121</v>
      </c>
      <c r="L2191" s="58" t="s">
        <v>2740</v>
      </c>
      <c r="M2191" s="94">
        <f>48+3/60</f>
        <v>48.05</v>
      </c>
      <c r="N2191" s="94">
        <f>-4-4/60</f>
        <v>-4.0666666666666664</v>
      </c>
      <c r="O2191" s="94">
        <v>105</v>
      </c>
      <c r="P2191" s="58">
        <v>12.1</v>
      </c>
      <c r="Q2191" s="58"/>
      <c r="R2191" s="58">
        <v>1213</v>
      </c>
      <c r="S2191" s="94"/>
      <c r="T2191" s="58"/>
      <c r="U2191" s="58">
        <v>10</v>
      </c>
      <c r="V2191" s="58">
        <v>13</v>
      </c>
      <c r="W2191" s="174"/>
      <c r="X2191" s="174"/>
      <c r="Y2191" s="58" t="s">
        <v>2214</v>
      </c>
      <c r="Z2191" s="59" t="s">
        <v>1356</v>
      </c>
      <c r="AA2191" s="94">
        <v>30</v>
      </c>
      <c r="AB2191" s="67"/>
      <c r="AC2191" s="67"/>
      <c r="AD2191" s="94"/>
      <c r="AE2191" s="94"/>
      <c r="AF2191" s="94"/>
      <c r="AG2191" s="94"/>
      <c r="AH2191" s="58"/>
      <c r="AI2191" s="169"/>
      <c r="AJ2191" s="94"/>
      <c r="AK2191" s="94"/>
      <c r="AL2191" s="58"/>
      <c r="AM2191" s="58" t="s">
        <v>2122</v>
      </c>
      <c r="AN2191" s="186" t="s">
        <v>2123</v>
      </c>
      <c r="AO2191" s="185" t="s">
        <v>5150</v>
      </c>
      <c r="AP2191" s="58"/>
      <c r="AQ2191" s="58" t="s">
        <v>131</v>
      </c>
      <c r="AR2191" s="58" t="s">
        <v>2222</v>
      </c>
      <c r="AS2191" s="58" t="s">
        <v>116</v>
      </c>
      <c r="AT2191" s="182" t="s">
        <v>2216</v>
      </c>
      <c r="AU2191" s="181" t="s">
        <v>5150</v>
      </c>
      <c r="AV2191" s="185" t="s">
        <v>176</v>
      </c>
      <c r="AW2191" s="58" t="s">
        <v>2216</v>
      </c>
      <c r="AX2191" s="185" t="s">
        <v>176</v>
      </c>
      <c r="AY2191" s="58" t="s">
        <v>176</v>
      </c>
      <c r="AZ2191" s="58" t="s">
        <v>1976</v>
      </c>
      <c r="BA2191" s="58"/>
      <c r="BB2191" s="58" t="s">
        <v>2081</v>
      </c>
      <c r="BC2191" s="58" t="s">
        <v>2081</v>
      </c>
      <c r="BD2191" s="58"/>
      <c r="BE2191" s="236" t="s">
        <v>2124</v>
      </c>
      <c r="BF2191" s="58"/>
      <c r="BG2191" s="191" t="s">
        <v>479</v>
      </c>
      <c r="BH2191" s="236"/>
      <c r="BI2191" s="58"/>
      <c r="BJ2191" s="58"/>
      <c r="BK2191" s="58" t="s">
        <v>5976</v>
      </c>
      <c r="BL2191" s="58"/>
      <c r="BM2191" s="241" t="s">
        <v>160</v>
      </c>
      <c r="BN2191" s="58">
        <v>3</v>
      </c>
      <c r="BO2191" s="58">
        <v>3</v>
      </c>
      <c r="BP2191" s="58">
        <v>6</v>
      </c>
      <c r="BQ2191" s="58" t="s">
        <v>141</v>
      </c>
      <c r="BR2191" s="58"/>
      <c r="BS2191" s="58"/>
      <c r="BT2191" s="58"/>
      <c r="BU2191" s="58"/>
      <c r="BV2191" s="58"/>
      <c r="BW2191" s="67"/>
      <c r="BX2191" s="67"/>
      <c r="BY2191" s="67"/>
      <c r="BZ2191" s="67"/>
      <c r="CA2191" s="67"/>
      <c r="CB2191" s="68">
        <f>1000*10.2</f>
        <v>10200</v>
      </c>
      <c r="CC2191" s="68">
        <f>1000*10.2</f>
        <v>10200</v>
      </c>
      <c r="CD2191" s="68"/>
      <c r="CE2191" s="67"/>
      <c r="CF2191" s="67"/>
      <c r="CG2191" s="67" t="s">
        <v>2227</v>
      </c>
      <c r="CH2191" s="94"/>
      <c r="CI2191" s="94"/>
      <c r="CJ2191" s="67"/>
      <c r="CK2191" s="67"/>
      <c r="CL2191" s="67"/>
      <c r="CM2191" s="67"/>
      <c r="CN2191" s="67"/>
      <c r="CO2191" s="67"/>
      <c r="CP2191" s="67"/>
      <c r="CQ2191" s="67"/>
      <c r="CR2191" s="67"/>
      <c r="CS2191" s="67"/>
      <c r="CT2191" s="67"/>
      <c r="CU2191" s="67"/>
      <c r="CV2191" s="67"/>
      <c r="CW2191" s="67"/>
      <c r="CX2191" s="67"/>
      <c r="CY2191" s="67"/>
      <c r="CZ2191" s="67"/>
      <c r="DA2191" s="67"/>
      <c r="DB2191" s="67"/>
      <c r="DC2191" s="67"/>
      <c r="DD2191" s="67"/>
      <c r="DE2191" s="67"/>
      <c r="DF2191" s="67"/>
      <c r="DG2191" s="67"/>
      <c r="DH2191" s="67"/>
      <c r="DI2191" s="67"/>
      <c r="DJ2191" s="67"/>
      <c r="DK2191" s="67"/>
      <c r="DL2191" s="67"/>
      <c r="DM2191" s="67"/>
      <c r="DN2191" s="67"/>
      <c r="DO2191" s="67"/>
      <c r="DP2191" s="67"/>
      <c r="DQ2191" s="166"/>
      <c r="DR2191" s="166"/>
      <c r="DS2191" s="163"/>
      <c r="DT2191" s="163"/>
      <c r="DU2191" s="67"/>
      <c r="DV2191" s="67"/>
      <c r="DW2191" s="67"/>
      <c r="DX2191" s="67"/>
      <c r="DY2191" s="67"/>
      <c r="DZ2191" s="67"/>
      <c r="EA2191" s="67"/>
      <c r="EB2191" s="67"/>
      <c r="EC2191" s="67"/>
      <c r="ED2191" s="67"/>
      <c r="EE2191" s="67"/>
      <c r="EF2191" s="67"/>
      <c r="EG2191" s="67"/>
      <c r="EH2191" s="67"/>
      <c r="EI2191" s="67"/>
      <c r="EJ2191" s="67"/>
      <c r="EK2191" s="94"/>
      <c r="EL2191" s="94"/>
      <c r="EM2191" s="67"/>
      <c r="EN2191" s="67"/>
      <c r="EO2191" s="67"/>
      <c r="EP2191" s="67"/>
      <c r="EQ2191" s="67"/>
      <c r="ER2191" s="67"/>
      <c r="ES2191" s="67"/>
      <c r="ET2191" s="67"/>
      <c r="EU2191" s="67"/>
      <c r="EV2191" s="67"/>
      <c r="EW2191" s="67"/>
      <c r="EX2191" s="67"/>
      <c r="EY2191" s="67"/>
      <c r="EZ2191" s="67"/>
      <c r="FA2191" s="67"/>
      <c r="FB2191" s="67"/>
      <c r="FC2191" s="67"/>
      <c r="FD2191" s="67"/>
      <c r="FE2191" s="67"/>
      <c r="FF2191" s="67"/>
      <c r="FG2191" s="67"/>
      <c r="FH2191" s="67"/>
      <c r="FI2191" s="67"/>
      <c r="FJ2191" s="67"/>
      <c r="FK2191" s="67"/>
      <c r="FL2191" s="67"/>
      <c r="FM2191" s="67"/>
      <c r="FN2191" s="67"/>
      <c r="FO2191" s="67"/>
      <c r="FP2191" s="67"/>
      <c r="FQ2191" s="67"/>
      <c r="FR2191" s="67"/>
      <c r="FS2191" s="67"/>
      <c r="FT2191" s="67"/>
      <c r="FU2191" s="67"/>
      <c r="FV2191" s="67"/>
      <c r="FW2191" s="67"/>
      <c r="FX2191" s="67"/>
      <c r="FY2191" s="67"/>
      <c r="FZ2191" s="67"/>
      <c r="GA2191" s="67"/>
      <c r="GB2191" s="67"/>
      <c r="GC2191" s="67"/>
      <c r="GD2191" s="67"/>
      <c r="GE2191" s="67"/>
      <c r="GF2191" s="67"/>
      <c r="GG2191" s="67"/>
      <c r="GH2191" s="67"/>
      <c r="GI2191" s="67"/>
      <c r="GJ2191" s="67"/>
      <c r="GK2191" s="67"/>
      <c r="GL2191" s="67"/>
      <c r="GM2191" s="67"/>
      <c r="GN2191" s="292"/>
      <c r="GO2191" s="292"/>
      <c r="GP2191" s="292" t="s">
        <v>7494</v>
      </c>
      <c r="GQ2191" s="67"/>
      <c r="GR2191" s="67"/>
      <c r="GS2191" s="67"/>
      <c r="GT2191" s="67"/>
      <c r="GU2191" s="67"/>
      <c r="GV2191" s="67"/>
      <c r="GW2191" s="67"/>
      <c r="GX2191" s="67"/>
      <c r="GY2191" s="67"/>
      <c r="GZ2191" s="67"/>
      <c r="HA2191" s="67"/>
      <c r="HB2191" s="67"/>
      <c r="HC2191" s="67"/>
      <c r="HD2191" s="67"/>
      <c r="HE2191" s="67"/>
      <c r="HF2191" s="67"/>
      <c r="HG2191" s="67"/>
      <c r="HH2191" s="67"/>
      <c r="HI2191" s="67"/>
      <c r="HJ2191" s="67"/>
      <c r="HK2191" s="67"/>
      <c r="HL2191" s="67"/>
      <c r="HM2191" s="67"/>
      <c r="HN2191" s="67"/>
      <c r="HO2191" s="67"/>
      <c r="HP2191" s="67"/>
      <c r="HQ2191" s="67"/>
      <c r="HR2191" s="67"/>
      <c r="HS2191" s="67"/>
      <c r="HT2191" s="67"/>
      <c r="HU2191" s="67"/>
      <c r="HV2191" s="67"/>
      <c r="HW2191" s="67"/>
      <c r="HX2191" s="67"/>
      <c r="HY2191" s="67"/>
      <c r="HZ2191" s="67"/>
      <c r="IA2191" s="67"/>
      <c r="IB2191" s="67"/>
      <c r="IC2191" s="67"/>
      <c r="ID2191" s="67"/>
      <c r="IE2191" s="67"/>
      <c r="IF2191" s="67"/>
      <c r="IG2191" s="67"/>
      <c r="IH2191" s="67"/>
      <c r="II2191" s="67"/>
      <c r="IJ2191" s="67"/>
      <c r="IK2191" s="67"/>
      <c r="IL2191" s="67"/>
      <c r="IM2191" s="67"/>
      <c r="IN2191" s="67"/>
      <c r="IO2191" s="67"/>
      <c r="IP2191" s="67"/>
      <c r="IQ2191" s="67"/>
      <c r="IR2191" s="67"/>
      <c r="IS2191" s="67"/>
      <c r="IT2191" s="67"/>
      <c r="IU2191" s="67"/>
      <c r="IV2191" s="67"/>
      <c r="IW2191" s="67"/>
      <c r="IX2191" s="67"/>
      <c r="IY2191" s="67"/>
      <c r="IZ2191" s="67"/>
      <c r="JA2191" s="67"/>
      <c r="JB2191" s="67"/>
      <c r="JC2191" s="67"/>
      <c r="JD2191" s="67"/>
      <c r="JE2191" s="67"/>
      <c r="JF2191" s="67"/>
      <c r="JG2191" s="67"/>
      <c r="JH2191" s="67"/>
      <c r="JI2191" s="67"/>
      <c r="JJ2191" s="67"/>
      <c r="JK2191" s="67"/>
      <c r="JL2191" s="67"/>
      <c r="JM2191" s="67"/>
      <c r="JN2191" s="67"/>
      <c r="JO2191" s="67"/>
      <c r="JP2191" s="67"/>
      <c r="JQ2191" s="67"/>
      <c r="JR2191" s="67"/>
      <c r="JS2191" s="67"/>
      <c r="JT2191" s="67"/>
      <c r="JU2191" s="58"/>
      <c r="JV2191" s="58"/>
      <c r="JW2191" s="58"/>
    </row>
    <row r="2192" spans="1:283" s="23" customFormat="1" x14ac:dyDescent="0.25">
      <c r="A2192" s="55">
        <v>2191</v>
      </c>
      <c r="B2192" s="12" t="s">
        <v>7067</v>
      </c>
      <c r="C2192" s="156">
        <v>101</v>
      </c>
      <c r="D2192" s="58" t="s">
        <v>4162</v>
      </c>
      <c r="E2192" s="94" t="s">
        <v>2113</v>
      </c>
      <c r="F2192" s="94"/>
      <c r="G2192" s="58" t="s">
        <v>6354</v>
      </c>
      <c r="H2192" s="58">
        <v>2010</v>
      </c>
      <c r="I2192" s="58">
        <v>2005</v>
      </c>
      <c r="J2192" s="58" t="s">
        <v>2114</v>
      </c>
      <c r="K2192" s="58" t="s">
        <v>2121</v>
      </c>
      <c r="L2192" s="58" t="s">
        <v>2740</v>
      </c>
      <c r="M2192" s="94">
        <f>48+3/60</f>
        <v>48.05</v>
      </c>
      <c r="N2192" s="94">
        <f>-4-4/60</f>
        <v>-4.0666666666666664</v>
      </c>
      <c r="O2192" s="94">
        <v>105</v>
      </c>
      <c r="P2192" s="58">
        <v>12.1</v>
      </c>
      <c r="Q2192" s="58"/>
      <c r="R2192" s="58">
        <v>1213</v>
      </c>
      <c r="S2192" s="94"/>
      <c r="T2192" s="58"/>
      <c r="U2192" s="58">
        <v>10</v>
      </c>
      <c r="V2192" s="58">
        <v>13</v>
      </c>
      <c r="W2192" s="174"/>
      <c r="X2192" s="174"/>
      <c r="Y2192" s="58" t="s">
        <v>2214</v>
      </c>
      <c r="Z2192" s="59" t="s">
        <v>1356</v>
      </c>
      <c r="AA2192" s="94">
        <v>30</v>
      </c>
      <c r="AB2192" s="67"/>
      <c r="AC2192" s="67"/>
      <c r="AD2192" s="94"/>
      <c r="AE2192" s="94"/>
      <c r="AF2192" s="94"/>
      <c r="AG2192" s="94"/>
      <c r="AH2192" s="58"/>
      <c r="AI2192" s="169"/>
      <c r="AJ2192" s="94"/>
      <c r="AK2192" s="94"/>
      <c r="AL2192" s="58"/>
      <c r="AM2192" s="58" t="s">
        <v>2122</v>
      </c>
      <c r="AN2192" s="186" t="s">
        <v>2123</v>
      </c>
      <c r="AO2192" s="185" t="s">
        <v>5150</v>
      </c>
      <c r="AP2192" s="58"/>
      <c r="AQ2192" s="58" t="s">
        <v>131</v>
      </c>
      <c r="AR2192" s="58" t="s">
        <v>2225</v>
      </c>
      <c r="AS2192" s="58" t="s">
        <v>132</v>
      </c>
      <c r="AT2192" s="182" t="s">
        <v>2216</v>
      </c>
      <c r="AU2192" s="181" t="s">
        <v>5150</v>
      </c>
      <c r="AV2192" s="185" t="s">
        <v>176</v>
      </c>
      <c r="AW2192" s="58" t="s">
        <v>2216</v>
      </c>
      <c r="AX2192" s="185" t="s">
        <v>176</v>
      </c>
      <c r="AY2192" s="58" t="s">
        <v>176</v>
      </c>
      <c r="AZ2192" s="58" t="s">
        <v>1976</v>
      </c>
      <c r="BA2192" s="58"/>
      <c r="BB2192" s="58" t="s">
        <v>2081</v>
      </c>
      <c r="BC2192" s="58" t="s">
        <v>2081</v>
      </c>
      <c r="BD2192" s="58"/>
      <c r="BE2192" s="236" t="s">
        <v>2124</v>
      </c>
      <c r="BF2192" s="58"/>
      <c r="BG2192" s="191" t="s">
        <v>479</v>
      </c>
      <c r="BH2192" s="236"/>
      <c r="BI2192" s="58"/>
      <c r="BJ2192" s="58"/>
      <c r="BK2192" s="58" t="s">
        <v>5976</v>
      </c>
      <c r="BL2192" s="58"/>
      <c r="BM2192" s="241" t="s">
        <v>160</v>
      </c>
      <c r="BN2192" s="58">
        <v>3</v>
      </c>
      <c r="BO2192" s="58">
        <v>3</v>
      </c>
      <c r="BP2192" s="58">
        <v>6</v>
      </c>
      <c r="BQ2192" s="58" t="s">
        <v>141</v>
      </c>
      <c r="BR2192" s="58"/>
      <c r="BS2192" s="58"/>
      <c r="BT2192" s="58"/>
      <c r="BU2192" s="58"/>
      <c r="BV2192" s="58"/>
      <c r="BW2192" s="67"/>
      <c r="BX2192" s="67"/>
      <c r="BY2192" s="67"/>
      <c r="BZ2192" s="67"/>
      <c r="CA2192" s="67"/>
      <c r="CB2192" s="68">
        <f>1000*11.8</f>
        <v>11800</v>
      </c>
      <c r="CC2192" s="68">
        <f>1000*12.7</f>
        <v>12700</v>
      </c>
      <c r="CD2192" s="68"/>
      <c r="CE2192" s="67"/>
      <c r="CF2192" s="67"/>
      <c r="CG2192" s="67" t="s">
        <v>2227</v>
      </c>
      <c r="CH2192" s="94"/>
      <c r="CI2192" s="94"/>
      <c r="CJ2192" s="67"/>
      <c r="CK2192" s="67"/>
      <c r="CL2192" s="67"/>
      <c r="CM2192" s="67"/>
      <c r="CN2192" s="67"/>
      <c r="CO2192" s="67"/>
      <c r="CP2192" s="67"/>
      <c r="CQ2192" s="67"/>
      <c r="CR2192" s="67"/>
      <c r="CS2192" s="67"/>
      <c r="CT2192" s="67"/>
      <c r="CU2192" s="67"/>
      <c r="CV2192" s="67"/>
      <c r="CW2192" s="67"/>
      <c r="CX2192" s="67"/>
      <c r="CY2192" s="67"/>
      <c r="CZ2192" s="67"/>
      <c r="DA2192" s="67"/>
      <c r="DB2192" s="67"/>
      <c r="DC2192" s="67"/>
      <c r="DD2192" s="67"/>
      <c r="DE2192" s="67"/>
      <c r="DF2192" s="67"/>
      <c r="DG2192" s="67"/>
      <c r="DH2192" s="67"/>
      <c r="DI2192" s="67"/>
      <c r="DJ2192" s="67"/>
      <c r="DK2192" s="67"/>
      <c r="DL2192" s="67"/>
      <c r="DM2192" s="67"/>
      <c r="DN2192" s="67"/>
      <c r="DO2192" s="67"/>
      <c r="DP2192" s="67"/>
      <c r="DQ2192" s="166"/>
      <c r="DR2192" s="166"/>
      <c r="DS2192" s="163"/>
      <c r="DT2192" s="163"/>
      <c r="DU2192" s="67"/>
      <c r="DV2192" s="67"/>
      <c r="DW2192" s="67"/>
      <c r="DX2192" s="67"/>
      <c r="DY2192" s="67"/>
      <c r="DZ2192" s="67"/>
      <c r="EA2192" s="67"/>
      <c r="EB2192" s="67"/>
      <c r="EC2192" s="67"/>
      <c r="ED2192" s="67"/>
      <c r="EE2192" s="67"/>
      <c r="EF2192" s="67"/>
      <c r="EG2192" s="67"/>
      <c r="EH2192" s="67"/>
      <c r="EI2192" s="67"/>
      <c r="EJ2192" s="67"/>
      <c r="EK2192" s="94"/>
      <c r="EL2192" s="94"/>
      <c r="EM2192" s="67"/>
      <c r="EN2192" s="67"/>
      <c r="EO2192" s="67"/>
      <c r="EP2192" s="67"/>
      <c r="EQ2192" s="67"/>
      <c r="ER2192" s="67"/>
      <c r="ES2192" s="67"/>
      <c r="ET2192" s="67"/>
      <c r="EU2192" s="67"/>
      <c r="EV2192" s="67"/>
      <c r="EW2192" s="67"/>
      <c r="EX2192" s="67"/>
      <c r="EY2192" s="67"/>
      <c r="EZ2192" s="67"/>
      <c r="FA2192" s="67"/>
      <c r="FB2192" s="67"/>
      <c r="FC2192" s="67"/>
      <c r="FD2192" s="67"/>
      <c r="FE2192" s="67"/>
      <c r="FF2192" s="67"/>
      <c r="FG2192" s="67"/>
      <c r="FH2192" s="67"/>
      <c r="FI2192" s="67"/>
      <c r="FJ2192" s="67"/>
      <c r="FK2192" s="67"/>
      <c r="FL2192" s="67"/>
      <c r="FM2192" s="67"/>
      <c r="FN2192" s="67"/>
      <c r="FO2192" s="67"/>
      <c r="FP2192" s="67"/>
      <c r="FQ2192" s="67"/>
      <c r="FR2192" s="67"/>
      <c r="FS2192" s="67"/>
      <c r="FT2192" s="67"/>
      <c r="FU2192" s="67"/>
      <c r="FV2192" s="67"/>
      <c r="FW2192" s="67"/>
      <c r="FX2192" s="67"/>
      <c r="FY2192" s="67"/>
      <c r="FZ2192" s="67"/>
      <c r="GA2192" s="67"/>
      <c r="GB2192" s="67"/>
      <c r="GC2192" s="67"/>
      <c r="GD2192" s="67"/>
      <c r="GE2192" s="67"/>
      <c r="GF2192" s="67"/>
      <c r="GG2192" s="67"/>
      <c r="GH2192" s="67"/>
      <c r="GI2192" s="67"/>
      <c r="GJ2192" s="67"/>
      <c r="GK2192" s="67"/>
      <c r="GL2192" s="67"/>
      <c r="GM2192" s="67"/>
      <c r="GN2192" s="292"/>
      <c r="GO2192" s="292"/>
      <c r="GP2192" s="292" t="s">
        <v>7494</v>
      </c>
      <c r="GQ2192" s="67"/>
      <c r="GR2192" s="67"/>
      <c r="GS2192" s="67"/>
      <c r="GT2192" s="67"/>
      <c r="GU2192" s="67"/>
      <c r="GV2192" s="67"/>
      <c r="GW2192" s="67"/>
      <c r="GX2192" s="67"/>
      <c r="GY2192" s="67"/>
      <c r="GZ2192" s="67"/>
      <c r="HA2192" s="67"/>
      <c r="HB2192" s="67"/>
      <c r="HC2192" s="67"/>
      <c r="HD2192" s="67"/>
      <c r="HE2192" s="67"/>
      <c r="HF2192" s="67"/>
      <c r="HG2192" s="67"/>
      <c r="HH2192" s="67"/>
      <c r="HI2192" s="67"/>
      <c r="HJ2192" s="67"/>
      <c r="HK2192" s="67"/>
      <c r="HL2192" s="67"/>
      <c r="HM2192" s="67"/>
      <c r="HN2192" s="67"/>
      <c r="HO2192" s="67"/>
      <c r="HP2192" s="67"/>
      <c r="HQ2192" s="67"/>
      <c r="HR2192" s="67"/>
      <c r="HS2192" s="67"/>
      <c r="HT2192" s="67"/>
      <c r="HU2192" s="67"/>
      <c r="HV2192" s="67"/>
      <c r="HW2192" s="67"/>
      <c r="HX2192" s="67"/>
      <c r="HY2192" s="67"/>
      <c r="HZ2192" s="67"/>
      <c r="IA2192" s="67"/>
      <c r="IB2192" s="67"/>
      <c r="IC2192" s="67"/>
      <c r="ID2192" s="67"/>
      <c r="IE2192" s="67"/>
      <c r="IF2192" s="67"/>
      <c r="IG2192" s="67"/>
      <c r="IH2192" s="67"/>
      <c r="II2192" s="67"/>
      <c r="IJ2192" s="67"/>
      <c r="IK2192" s="67"/>
      <c r="IL2192" s="67"/>
      <c r="IM2192" s="67"/>
      <c r="IN2192" s="67"/>
      <c r="IO2192" s="67"/>
      <c r="IP2192" s="67"/>
      <c r="IQ2192" s="67"/>
      <c r="IR2192" s="67"/>
      <c r="IS2192" s="67"/>
      <c r="IT2192" s="67"/>
      <c r="IU2192" s="67"/>
      <c r="IV2192" s="67"/>
      <c r="IW2192" s="67"/>
      <c r="IX2192" s="67"/>
      <c r="IY2192" s="67"/>
      <c r="IZ2192" s="67"/>
      <c r="JA2192" s="67"/>
      <c r="JB2192" s="67"/>
      <c r="JC2192" s="67"/>
      <c r="JD2192" s="67"/>
      <c r="JE2192" s="67"/>
      <c r="JF2192" s="67"/>
      <c r="JG2192" s="67"/>
      <c r="JH2192" s="67"/>
      <c r="JI2192" s="67"/>
      <c r="JJ2192" s="67"/>
      <c r="JK2192" s="67"/>
      <c r="JL2192" s="67"/>
      <c r="JM2192" s="67"/>
      <c r="JN2192" s="67"/>
      <c r="JO2192" s="67"/>
      <c r="JP2192" s="67"/>
      <c r="JQ2192" s="67"/>
      <c r="JR2192" s="67"/>
      <c r="JS2192" s="67"/>
      <c r="JT2192" s="67"/>
      <c r="JU2192" s="58"/>
      <c r="JV2192" s="58"/>
      <c r="JW2192" s="58"/>
    </row>
    <row r="2193" spans="1:283" s="23" customFormat="1" x14ac:dyDescent="0.25">
      <c r="A2193" s="55">
        <v>2192</v>
      </c>
      <c r="B2193" s="12" t="s">
        <v>7067</v>
      </c>
      <c r="C2193" s="156">
        <v>101</v>
      </c>
      <c r="D2193" s="58" t="s">
        <v>4169</v>
      </c>
      <c r="E2193" s="94" t="s">
        <v>2113</v>
      </c>
      <c r="F2193" s="94"/>
      <c r="G2193" s="58" t="s">
        <v>6354</v>
      </c>
      <c r="H2193" s="58">
        <v>2010</v>
      </c>
      <c r="I2193" s="58">
        <v>2005</v>
      </c>
      <c r="J2193" s="58" t="s">
        <v>2114</v>
      </c>
      <c r="K2193" s="58" t="s">
        <v>2125</v>
      </c>
      <c r="L2193" s="58" t="s">
        <v>2740</v>
      </c>
      <c r="M2193" s="94">
        <v>48.93</v>
      </c>
      <c r="N2193" s="94">
        <f>4+14/60</f>
        <v>4.2333333333333334</v>
      </c>
      <c r="O2193" s="94">
        <v>203</v>
      </c>
      <c r="P2193" s="58">
        <v>10.8</v>
      </c>
      <c r="Q2193" s="58"/>
      <c r="R2193" s="58">
        <v>605</v>
      </c>
      <c r="S2193" s="94"/>
      <c r="T2193" s="58"/>
      <c r="U2193" s="58">
        <v>14</v>
      </c>
      <c r="V2193" s="58">
        <v>17</v>
      </c>
      <c r="W2193" s="174"/>
      <c r="X2193" s="174"/>
      <c r="Y2193" s="58" t="s">
        <v>2213</v>
      </c>
      <c r="Z2193" s="59" t="s">
        <v>2130</v>
      </c>
      <c r="AA2193" s="94">
        <v>23.5</v>
      </c>
      <c r="AB2193" s="67"/>
      <c r="AC2193" s="67"/>
      <c r="AD2193" s="94"/>
      <c r="AE2193" s="94"/>
      <c r="AF2193" s="94"/>
      <c r="AG2193" s="94"/>
      <c r="AH2193" s="58" t="s">
        <v>139</v>
      </c>
      <c r="AI2193" s="169"/>
      <c r="AJ2193" s="94"/>
      <c r="AK2193" s="94"/>
      <c r="AL2193" s="58"/>
      <c r="AM2193" s="58" t="s">
        <v>2126</v>
      </c>
      <c r="AN2193" s="186" t="s">
        <v>2127</v>
      </c>
      <c r="AO2193" s="185" t="s">
        <v>5150</v>
      </c>
      <c r="AP2193" s="58"/>
      <c r="AQ2193" s="58" t="s">
        <v>2218</v>
      </c>
      <c r="AR2193" s="58" t="s">
        <v>2226</v>
      </c>
      <c r="AS2193" s="58" t="s">
        <v>227</v>
      </c>
      <c r="AT2193" s="182" t="s">
        <v>2131</v>
      </c>
      <c r="AU2193" s="181" t="s">
        <v>5150</v>
      </c>
      <c r="AV2193" s="185" t="s">
        <v>479</v>
      </c>
      <c r="AW2193" s="58" t="s">
        <v>2131</v>
      </c>
      <c r="AX2193" s="185" t="s">
        <v>479</v>
      </c>
      <c r="AY2193" s="58" t="s">
        <v>176</v>
      </c>
      <c r="AZ2193" s="58" t="s">
        <v>1976</v>
      </c>
      <c r="BA2193" s="58"/>
      <c r="BB2193" s="58" t="s">
        <v>2081</v>
      </c>
      <c r="BC2193" s="58" t="s">
        <v>2081</v>
      </c>
      <c r="BD2193" s="58"/>
      <c r="BE2193" s="236" t="s">
        <v>2129</v>
      </c>
      <c r="BF2193" s="58"/>
      <c r="BG2193" s="191" t="s">
        <v>479</v>
      </c>
      <c r="BH2193" s="236"/>
      <c r="BI2193" s="58"/>
      <c r="BJ2193" s="58"/>
      <c r="BK2193" s="58" t="s">
        <v>5976</v>
      </c>
      <c r="BL2193" s="58"/>
      <c r="BM2193" s="241" t="s">
        <v>160</v>
      </c>
      <c r="BN2193" s="58">
        <v>3</v>
      </c>
      <c r="BO2193" s="58">
        <v>3</v>
      </c>
      <c r="BP2193" s="58">
        <v>6</v>
      </c>
      <c r="BQ2193" s="58" t="s">
        <v>141</v>
      </c>
      <c r="BR2193" s="58"/>
      <c r="BS2193" s="58"/>
      <c r="BT2193" s="58"/>
      <c r="BU2193" s="58"/>
      <c r="BV2193" s="58"/>
      <c r="BW2193" s="67"/>
      <c r="BX2193" s="67"/>
      <c r="BY2193" s="67"/>
      <c r="BZ2193" s="67"/>
      <c r="CA2193" s="67"/>
      <c r="CB2193" s="68">
        <f>1000*22.2</f>
        <v>22200</v>
      </c>
      <c r="CC2193" s="68">
        <f>1000*23.6</f>
        <v>23600</v>
      </c>
      <c r="CD2193" s="68"/>
      <c r="CE2193" s="67"/>
      <c r="CF2193" s="67"/>
      <c r="CG2193" s="67" t="s">
        <v>2227</v>
      </c>
      <c r="CH2193" s="94"/>
      <c r="CI2193" s="94"/>
      <c r="CJ2193" s="67"/>
      <c r="CK2193" s="67"/>
      <c r="CL2193" s="67"/>
      <c r="CM2193" s="67"/>
      <c r="CN2193" s="67"/>
      <c r="CO2193" s="67"/>
      <c r="CP2193" s="67"/>
      <c r="CQ2193" s="67"/>
      <c r="CR2193" s="67"/>
      <c r="CS2193" s="67"/>
      <c r="CT2193" s="67"/>
      <c r="CU2193" s="67"/>
      <c r="CV2193" s="67"/>
      <c r="CW2193" s="67"/>
      <c r="CX2193" s="67"/>
      <c r="CY2193" s="67"/>
      <c r="CZ2193" s="67"/>
      <c r="DA2193" s="67"/>
      <c r="DB2193" s="67"/>
      <c r="DC2193" s="67"/>
      <c r="DD2193" s="67"/>
      <c r="DE2193" s="67"/>
      <c r="DF2193" s="67"/>
      <c r="DG2193" s="67"/>
      <c r="DH2193" s="67"/>
      <c r="DI2193" s="67"/>
      <c r="DJ2193" s="67"/>
      <c r="DK2193" s="67"/>
      <c r="DL2193" s="67"/>
      <c r="DM2193" s="67"/>
      <c r="DN2193" s="67"/>
      <c r="DO2193" s="67"/>
      <c r="DP2193" s="67"/>
      <c r="DQ2193" s="166"/>
      <c r="DR2193" s="166"/>
      <c r="DS2193" s="163"/>
      <c r="DT2193" s="163"/>
      <c r="DU2193" s="67"/>
      <c r="DV2193" s="67"/>
      <c r="DW2193" s="67"/>
      <c r="DX2193" s="67"/>
      <c r="DY2193" s="67"/>
      <c r="DZ2193" s="67"/>
      <c r="EA2193" s="67"/>
      <c r="EB2193" s="67"/>
      <c r="EC2193" s="67"/>
      <c r="ED2193" s="67"/>
      <c r="EE2193" s="67"/>
      <c r="EF2193" s="67"/>
      <c r="EG2193" s="67"/>
      <c r="EH2193" s="67"/>
      <c r="EI2193" s="67"/>
      <c r="EJ2193" s="67"/>
      <c r="EK2193" s="94"/>
      <c r="EL2193" s="94"/>
      <c r="EM2193" s="67"/>
      <c r="EN2193" s="67"/>
      <c r="EO2193" s="67"/>
      <c r="EP2193" s="67"/>
      <c r="EQ2193" s="67"/>
      <c r="ER2193" s="67"/>
      <c r="ES2193" s="67"/>
      <c r="ET2193" s="67"/>
      <c r="EU2193" s="67"/>
      <c r="EV2193" s="67"/>
      <c r="EW2193" s="67"/>
      <c r="EX2193" s="67"/>
      <c r="EY2193" s="67"/>
      <c r="EZ2193" s="67"/>
      <c r="FA2193" s="67"/>
      <c r="FB2193" s="67"/>
      <c r="FC2193" s="67"/>
      <c r="FD2193" s="67"/>
      <c r="FE2193" s="67"/>
      <c r="FF2193" s="67"/>
      <c r="FG2193" s="67"/>
      <c r="FH2193" s="67"/>
      <c r="FI2193" s="67"/>
      <c r="FJ2193" s="67"/>
      <c r="FK2193" s="67"/>
      <c r="FL2193" s="67"/>
      <c r="FM2193" s="67"/>
      <c r="FN2193" s="67"/>
      <c r="FO2193" s="67"/>
      <c r="FP2193" s="67"/>
      <c r="FQ2193" s="67"/>
      <c r="FR2193" s="67"/>
      <c r="FS2193" s="67"/>
      <c r="FT2193" s="67"/>
      <c r="FU2193" s="67"/>
      <c r="FV2193" s="67"/>
      <c r="FW2193" s="67"/>
      <c r="FX2193" s="67"/>
      <c r="FY2193" s="67"/>
      <c r="FZ2193" s="67"/>
      <c r="GA2193" s="67"/>
      <c r="GB2193" s="67"/>
      <c r="GC2193" s="67"/>
      <c r="GD2193" s="67"/>
      <c r="GE2193" s="67"/>
      <c r="GF2193" s="67"/>
      <c r="GG2193" s="67"/>
      <c r="GH2193" s="67"/>
      <c r="GI2193" s="67"/>
      <c r="GJ2193" s="67"/>
      <c r="GK2193" s="67"/>
      <c r="GL2193" s="67"/>
      <c r="GM2193" s="67"/>
      <c r="GN2193" s="292"/>
      <c r="GO2193" s="292"/>
      <c r="GP2193" s="292" t="s">
        <v>7494</v>
      </c>
      <c r="GQ2193" s="67"/>
      <c r="GR2193" s="67"/>
      <c r="GS2193" s="67"/>
      <c r="GT2193" s="67"/>
      <c r="GU2193" s="67"/>
      <c r="GV2193" s="67"/>
      <c r="GW2193" s="67"/>
      <c r="GX2193" s="67"/>
      <c r="GY2193" s="67"/>
      <c r="GZ2193" s="67"/>
      <c r="HA2193" s="67"/>
      <c r="HB2193" s="67"/>
      <c r="HC2193" s="67"/>
      <c r="HD2193" s="67"/>
      <c r="HE2193" s="67"/>
      <c r="HF2193" s="67"/>
      <c r="HG2193" s="67"/>
      <c r="HH2193" s="67"/>
      <c r="HI2193" s="67"/>
      <c r="HJ2193" s="67"/>
      <c r="HK2193" s="67"/>
      <c r="HL2193" s="67"/>
      <c r="HM2193" s="67"/>
      <c r="HN2193" s="67"/>
      <c r="HO2193" s="67"/>
      <c r="HP2193" s="67"/>
      <c r="HQ2193" s="67"/>
      <c r="HR2193" s="67"/>
      <c r="HS2193" s="67"/>
      <c r="HT2193" s="67"/>
      <c r="HU2193" s="67"/>
      <c r="HV2193" s="67"/>
      <c r="HW2193" s="67"/>
      <c r="HX2193" s="67"/>
      <c r="HY2193" s="67"/>
      <c r="HZ2193" s="67"/>
      <c r="IA2193" s="67"/>
      <c r="IB2193" s="67"/>
      <c r="IC2193" s="67"/>
      <c r="ID2193" s="67"/>
      <c r="IE2193" s="67"/>
      <c r="IF2193" s="67"/>
      <c r="IG2193" s="67"/>
      <c r="IH2193" s="67"/>
      <c r="II2193" s="67"/>
      <c r="IJ2193" s="67"/>
      <c r="IK2193" s="67"/>
      <c r="IL2193" s="67"/>
      <c r="IM2193" s="67"/>
      <c r="IN2193" s="67"/>
      <c r="IO2193" s="67"/>
      <c r="IP2193" s="67"/>
      <c r="IQ2193" s="67"/>
      <c r="IR2193" s="67"/>
      <c r="IS2193" s="67"/>
      <c r="IT2193" s="67"/>
      <c r="IU2193" s="67"/>
      <c r="IV2193" s="67"/>
      <c r="IW2193" s="67"/>
      <c r="IX2193" s="67"/>
      <c r="IY2193" s="67"/>
      <c r="IZ2193" s="67"/>
      <c r="JA2193" s="67"/>
      <c r="JB2193" s="67"/>
      <c r="JC2193" s="67"/>
      <c r="JD2193" s="67"/>
      <c r="JE2193" s="67"/>
      <c r="JF2193" s="67"/>
      <c r="JG2193" s="67"/>
      <c r="JH2193" s="67"/>
      <c r="JI2193" s="67"/>
      <c r="JJ2193" s="67"/>
      <c r="JK2193" s="67"/>
      <c r="JL2193" s="67"/>
      <c r="JM2193" s="67"/>
      <c r="JN2193" s="67"/>
      <c r="JO2193" s="67"/>
      <c r="JP2193" s="67"/>
      <c r="JQ2193" s="67"/>
      <c r="JR2193" s="67"/>
      <c r="JS2193" s="67"/>
      <c r="JT2193" s="67"/>
      <c r="JU2193" s="58"/>
      <c r="JV2193" s="58"/>
      <c r="JW2193" s="58"/>
    </row>
    <row r="2194" spans="1:283" s="23" customFormat="1" x14ac:dyDescent="0.25">
      <c r="A2194" s="55">
        <v>2193</v>
      </c>
      <c r="B2194" s="12" t="s">
        <v>7067</v>
      </c>
      <c r="C2194" s="156">
        <v>101</v>
      </c>
      <c r="D2194" s="58" t="s">
        <v>4170</v>
      </c>
      <c r="E2194" s="94" t="s">
        <v>2113</v>
      </c>
      <c r="F2194" s="94"/>
      <c r="G2194" s="58" t="s">
        <v>6354</v>
      </c>
      <c r="H2194" s="58">
        <v>2010</v>
      </c>
      <c r="I2194" s="58">
        <v>2005</v>
      </c>
      <c r="J2194" s="58" t="s">
        <v>2114</v>
      </c>
      <c r="K2194" s="58" t="s">
        <v>2125</v>
      </c>
      <c r="L2194" s="58" t="s">
        <v>2740</v>
      </c>
      <c r="M2194" s="94">
        <v>48.93</v>
      </c>
      <c r="N2194" s="94">
        <f>4+14/60</f>
        <v>4.2333333333333334</v>
      </c>
      <c r="O2194" s="94">
        <v>203</v>
      </c>
      <c r="P2194" s="58">
        <v>10.8</v>
      </c>
      <c r="Q2194" s="58"/>
      <c r="R2194" s="58">
        <v>605</v>
      </c>
      <c r="S2194" s="94"/>
      <c r="T2194" s="58"/>
      <c r="U2194" s="58">
        <v>14</v>
      </c>
      <c r="V2194" s="58">
        <v>17</v>
      </c>
      <c r="W2194" s="174"/>
      <c r="X2194" s="174"/>
      <c r="Y2194" s="58" t="s">
        <v>2213</v>
      </c>
      <c r="Z2194" s="59" t="s">
        <v>2130</v>
      </c>
      <c r="AA2194" s="94">
        <v>23.5</v>
      </c>
      <c r="AB2194" s="67"/>
      <c r="AC2194" s="67"/>
      <c r="AD2194" s="94"/>
      <c r="AE2194" s="94"/>
      <c r="AF2194" s="94"/>
      <c r="AG2194" s="94"/>
      <c r="AH2194" s="58" t="s">
        <v>139</v>
      </c>
      <c r="AI2194" s="169"/>
      <c r="AJ2194" s="94"/>
      <c r="AK2194" s="94"/>
      <c r="AL2194" s="58"/>
      <c r="AM2194" s="58" t="s">
        <v>2126</v>
      </c>
      <c r="AN2194" s="186" t="s">
        <v>2127</v>
      </c>
      <c r="AO2194" s="185" t="s">
        <v>5150</v>
      </c>
      <c r="AP2194" s="58"/>
      <c r="AQ2194" s="58" t="s">
        <v>2218</v>
      </c>
      <c r="AR2194" s="58" t="s">
        <v>2222</v>
      </c>
      <c r="AS2194" s="58" t="s">
        <v>116</v>
      </c>
      <c r="AT2194" s="182" t="s">
        <v>2131</v>
      </c>
      <c r="AU2194" s="181" t="s">
        <v>5150</v>
      </c>
      <c r="AV2194" s="185" t="s">
        <v>479</v>
      </c>
      <c r="AW2194" s="58" t="s">
        <v>2131</v>
      </c>
      <c r="AX2194" s="185" t="s">
        <v>479</v>
      </c>
      <c r="AY2194" s="58" t="s">
        <v>176</v>
      </c>
      <c r="AZ2194" s="58" t="s">
        <v>1976</v>
      </c>
      <c r="BA2194" s="58"/>
      <c r="BB2194" s="58" t="s">
        <v>2081</v>
      </c>
      <c r="BC2194" s="58" t="s">
        <v>2081</v>
      </c>
      <c r="BD2194" s="58"/>
      <c r="BE2194" s="236" t="s">
        <v>2129</v>
      </c>
      <c r="BF2194" s="58"/>
      <c r="BG2194" s="191" t="s">
        <v>479</v>
      </c>
      <c r="BH2194" s="236"/>
      <c r="BI2194" s="58"/>
      <c r="BJ2194" s="58"/>
      <c r="BK2194" s="58" t="s">
        <v>5976</v>
      </c>
      <c r="BL2194" s="58"/>
      <c r="BM2194" s="241" t="s">
        <v>160</v>
      </c>
      <c r="BN2194" s="58">
        <v>3</v>
      </c>
      <c r="BO2194" s="58">
        <v>3</v>
      </c>
      <c r="BP2194" s="58">
        <v>6</v>
      </c>
      <c r="BQ2194" s="58" t="s">
        <v>141</v>
      </c>
      <c r="BR2194" s="58"/>
      <c r="BS2194" s="58"/>
      <c r="BT2194" s="58"/>
      <c r="BU2194" s="58"/>
      <c r="BV2194" s="58"/>
      <c r="BW2194" s="67"/>
      <c r="BX2194" s="67"/>
      <c r="BY2194" s="67"/>
      <c r="BZ2194" s="67"/>
      <c r="CA2194" s="67"/>
      <c r="CB2194" s="68">
        <f>1000*14.2</f>
        <v>14200</v>
      </c>
      <c r="CC2194" s="68">
        <f>1000*14.3</f>
        <v>14300</v>
      </c>
      <c r="CD2194" s="68"/>
      <c r="CE2194" s="67"/>
      <c r="CF2194" s="67"/>
      <c r="CG2194" s="67" t="s">
        <v>2227</v>
      </c>
      <c r="CH2194" s="94"/>
      <c r="CI2194" s="94"/>
      <c r="CJ2194" s="67"/>
      <c r="CK2194" s="67"/>
      <c r="CL2194" s="67"/>
      <c r="CM2194" s="67"/>
      <c r="CN2194" s="67"/>
      <c r="CO2194" s="67"/>
      <c r="CP2194" s="67"/>
      <c r="CQ2194" s="67"/>
      <c r="CR2194" s="67"/>
      <c r="CS2194" s="67"/>
      <c r="CT2194" s="67"/>
      <c r="CU2194" s="67"/>
      <c r="CV2194" s="67"/>
      <c r="CW2194" s="67"/>
      <c r="CX2194" s="67"/>
      <c r="CY2194" s="67"/>
      <c r="CZ2194" s="67"/>
      <c r="DA2194" s="67"/>
      <c r="DB2194" s="67"/>
      <c r="DC2194" s="67"/>
      <c r="DD2194" s="67"/>
      <c r="DE2194" s="67"/>
      <c r="DF2194" s="67"/>
      <c r="DG2194" s="67"/>
      <c r="DH2194" s="67"/>
      <c r="DI2194" s="67"/>
      <c r="DJ2194" s="67"/>
      <c r="DK2194" s="67"/>
      <c r="DL2194" s="67"/>
      <c r="DM2194" s="67"/>
      <c r="DN2194" s="67"/>
      <c r="DO2194" s="67"/>
      <c r="DP2194" s="67"/>
      <c r="DQ2194" s="166"/>
      <c r="DR2194" s="166"/>
      <c r="DS2194" s="163"/>
      <c r="DT2194" s="163"/>
      <c r="DU2194" s="67"/>
      <c r="DV2194" s="67"/>
      <c r="DW2194" s="67"/>
      <c r="DX2194" s="67"/>
      <c r="DY2194" s="67"/>
      <c r="DZ2194" s="67"/>
      <c r="EA2194" s="67"/>
      <c r="EB2194" s="67"/>
      <c r="EC2194" s="67"/>
      <c r="ED2194" s="67"/>
      <c r="EE2194" s="67"/>
      <c r="EF2194" s="67"/>
      <c r="EG2194" s="67"/>
      <c r="EH2194" s="67"/>
      <c r="EI2194" s="67"/>
      <c r="EJ2194" s="67"/>
      <c r="EK2194" s="94"/>
      <c r="EL2194" s="94"/>
      <c r="EM2194" s="67"/>
      <c r="EN2194" s="67"/>
      <c r="EO2194" s="67"/>
      <c r="EP2194" s="67"/>
      <c r="EQ2194" s="67"/>
      <c r="ER2194" s="67"/>
      <c r="ES2194" s="67"/>
      <c r="ET2194" s="67"/>
      <c r="EU2194" s="67"/>
      <c r="EV2194" s="67"/>
      <c r="EW2194" s="67"/>
      <c r="EX2194" s="67"/>
      <c r="EY2194" s="67"/>
      <c r="EZ2194" s="67"/>
      <c r="FA2194" s="67"/>
      <c r="FB2194" s="67"/>
      <c r="FC2194" s="67"/>
      <c r="FD2194" s="67"/>
      <c r="FE2194" s="67"/>
      <c r="FF2194" s="67"/>
      <c r="FG2194" s="67"/>
      <c r="FH2194" s="67"/>
      <c r="FI2194" s="67"/>
      <c r="FJ2194" s="67"/>
      <c r="FK2194" s="67"/>
      <c r="FL2194" s="67"/>
      <c r="FM2194" s="67"/>
      <c r="FN2194" s="67"/>
      <c r="FO2194" s="67"/>
      <c r="FP2194" s="67"/>
      <c r="FQ2194" s="67"/>
      <c r="FR2194" s="67"/>
      <c r="FS2194" s="67"/>
      <c r="FT2194" s="67"/>
      <c r="FU2194" s="67"/>
      <c r="FV2194" s="67"/>
      <c r="FW2194" s="67"/>
      <c r="FX2194" s="67"/>
      <c r="FY2194" s="67"/>
      <c r="FZ2194" s="67"/>
      <c r="GA2194" s="67"/>
      <c r="GB2194" s="67"/>
      <c r="GC2194" s="67"/>
      <c r="GD2194" s="67"/>
      <c r="GE2194" s="67"/>
      <c r="GF2194" s="67"/>
      <c r="GG2194" s="67"/>
      <c r="GH2194" s="67"/>
      <c r="GI2194" s="67"/>
      <c r="GJ2194" s="67"/>
      <c r="GK2194" s="67"/>
      <c r="GL2194" s="67"/>
      <c r="GM2194" s="67"/>
      <c r="GN2194" s="292"/>
      <c r="GO2194" s="292"/>
      <c r="GP2194" s="292" t="s">
        <v>7494</v>
      </c>
      <c r="GQ2194" s="67"/>
      <c r="GR2194" s="67"/>
      <c r="GS2194" s="67"/>
      <c r="GT2194" s="67"/>
      <c r="GU2194" s="67"/>
      <c r="GV2194" s="67"/>
      <c r="GW2194" s="67"/>
      <c r="GX2194" s="67"/>
      <c r="GY2194" s="67"/>
      <c r="GZ2194" s="67"/>
      <c r="HA2194" s="67"/>
      <c r="HB2194" s="67"/>
      <c r="HC2194" s="67"/>
      <c r="HD2194" s="67"/>
      <c r="HE2194" s="67"/>
      <c r="HF2194" s="67"/>
      <c r="HG2194" s="67"/>
      <c r="HH2194" s="67"/>
      <c r="HI2194" s="67"/>
      <c r="HJ2194" s="67"/>
      <c r="HK2194" s="67"/>
      <c r="HL2194" s="67"/>
      <c r="HM2194" s="67"/>
      <c r="HN2194" s="67"/>
      <c r="HO2194" s="67"/>
      <c r="HP2194" s="67"/>
      <c r="HQ2194" s="67"/>
      <c r="HR2194" s="67"/>
      <c r="HS2194" s="67"/>
      <c r="HT2194" s="67"/>
      <c r="HU2194" s="67"/>
      <c r="HV2194" s="67"/>
      <c r="HW2194" s="67"/>
      <c r="HX2194" s="67"/>
      <c r="HY2194" s="67"/>
      <c r="HZ2194" s="67"/>
      <c r="IA2194" s="67"/>
      <c r="IB2194" s="67"/>
      <c r="IC2194" s="67"/>
      <c r="ID2194" s="67"/>
      <c r="IE2194" s="67"/>
      <c r="IF2194" s="67"/>
      <c r="IG2194" s="67"/>
      <c r="IH2194" s="67"/>
      <c r="II2194" s="67"/>
      <c r="IJ2194" s="67"/>
      <c r="IK2194" s="67"/>
      <c r="IL2194" s="67"/>
      <c r="IM2194" s="67"/>
      <c r="IN2194" s="67"/>
      <c r="IO2194" s="67"/>
      <c r="IP2194" s="67"/>
      <c r="IQ2194" s="67"/>
      <c r="IR2194" s="67"/>
      <c r="IS2194" s="67"/>
      <c r="IT2194" s="67"/>
      <c r="IU2194" s="67"/>
      <c r="IV2194" s="67"/>
      <c r="IW2194" s="67"/>
      <c r="IX2194" s="67"/>
      <c r="IY2194" s="67"/>
      <c r="IZ2194" s="67"/>
      <c r="JA2194" s="67"/>
      <c r="JB2194" s="67"/>
      <c r="JC2194" s="67"/>
      <c r="JD2194" s="67"/>
      <c r="JE2194" s="67"/>
      <c r="JF2194" s="67"/>
      <c r="JG2194" s="67"/>
      <c r="JH2194" s="67"/>
      <c r="JI2194" s="67"/>
      <c r="JJ2194" s="67"/>
      <c r="JK2194" s="67"/>
      <c r="JL2194" s="67"/>
      <c r="JM2194" s="67"/>
      <c r="JN2194" s="67"/>
      <c r="JO2194" s="67"/>
      <c r="JP2194" s="67"/>
      <c r="JQ2194" s="67"/>
      <c r="JR2194" s="67"/>
      <c r="JS2194" s="67"/>
      <c r="JT2194" s="67"/>
      <c r="JU2194" s="58"/>
      <c r="JV2194" s="58"/>
      <c r="JW2194" s="58"/>
    </row>
    <row r="2195" spans="1:283" s="23" customFormat="1" x14ac:dyDescent="0.25">
      <c r="A2195" s="55">
        <v>2194</v>
      </c>
      <c r="B2195" s="12" t="s">
        <v>7067</v>
      </c>
      <c r="C2195" s="156">
        <v>101</v>
      </c>
      <c r="D2195" s="58" t="s">
        <v>4171</v>
      </c>
      <c r="E2195" s="94" t="s">
        <v>2113</v>
      </c>
      <c r="F2195" s="94"/>
      <c r="G2195" s="58" t="s">
        <v>6354</v>
      </c>
      <c r="H2195" s="58">
        <v>2010</v>
      </c>
      <c r="I2195" s="58">
        <v>2005</v>
      </c>
      <c r="J2195" s="58" t="s">
        <v>2114</v>
      </c>
      <c r="K2195" s="58" t="s">
        <v>2125</v>
      </c>
      <c r="L2195" s="58" t="s">
        <v>2740</v>
      </c>
      <c r="M2195" s="94">
        <v>48.93</v>
      </c>
      <c r="N2195" s="94">
        <f>4+14/60</f>
        <v>4.2333333333333334</v>
      </c>
      <c r="O2195" s="94">
        <v>203</v>
      </c>
      <c r="P2195" s="58">
        <v>10.8</v>
      </c>
      <c r="Q2195" s="58"/>
      <c r="R2195" s="58">
        <v>605</v>
      </c>
      <c r="S2195" s="94"/>
      <c r="T2195" s="58"/>
      <c r="U2195" s="58">
        <v>14</v>
      </c>
      <c r="V2195" s="58">
        <v>17</v>
      </c>
      <c r="W2195" s="174"/>
      <c r="X2195" s="174"/>
      <c r="Y2195" s="58" t="s">
        <v>2213</v>
      </c>
      <c r="Z2195" s="59" t="s">
        <v>2130</v>
      </c>
      <c r="AA2195" s="94">
        <v>23.5</v>
      </c>
      <c r="AB2195" s="67"/>
      <c r="AC2195" s="67"/>
      <c r="AD2195" s="94"/>
      <c r="AE2195" s="94"/>
      <c r="AF2195" s="94"/>
      <c r="AG2195" s="94"/>
      <c r="AH2195" s="58" t="s">
        <v>139</v>
      </c>
      <c r="AI2195" s="169"/>
      <c r="AJ2195" s="94"/>
      <c r="AK2195" s="94"/>
      <c r="AL2195" s="58"/>
      <c r="AM2195" s="58" t="s">
        <v>2126</v>
      </c>
      <c r="AN2195" s="186" t="s">
        <v>2127</v>
      </c>
      <c r="AO2195" s="185" t="s">
        <v>5150</v>
      </c>
      <c r="AP2195" s="58"/>
      <c r="AQ2195" s="58" t="s">
        <v>2218</v>
      </c>
      <c r="AR2195" s="58" t="s">
        <v>2224</v>
      </c>
      <c r="AS2195" s="58" t="s">
        <v>227</v>
      </c>
      <c r="AT2195" s="182" t="s">
        <v>2131</v>
      </c>
      <c r="AU2195" s="181" t="s">
        <v>5150</v>
      </c>
      <c r="AV2195" s="185" t="s">
        <v>479</v>
      </c>
      <c r="AW2195" s="58" t="s">
        <v>2131</v>
      </c>
      <c r="AX2195" s="185" t="s">
        <v>479</v>
      </c>
      <c r="AY2195" s="58" t="s">
        <v>176</v>
      </c>
      <c r="AZ2195" s="58" t="s">
        <v>1976</v>
      </c>
      <c r="BA2195" s="58"/>
      <c r="BB2195" s="58" t="s">
        <v>2081</v>
      </c>
      <c r="BC2195" s="58" t="s">
        <v>2081</v>
      </c>
      <c r="BD2195" s="58"/>
      <c r="BE2195" s="236" t="s">
        <v>2129</v>
      </c>
      <c r="BF2195" s="58"/>
      <c r="BG2195" s="191" t="s">
        <v>479</v>
      </c>
      <c r="BH2195" s="236"/>
      <c r="BI2195" s="58"/>
      <c r="BJ2195" s="58"/>
      <c r="BK2195" s="58" t="s">
        <v>5976</v>
      </c>
      <c r="BL2195" s="58"/>
      <c r="BM2195" s="241" t="s">
        <v>160</v>
      </c>
      <c r="BN2195" s="58">
        <v>3</v>
      </c>
      <c r="BO2195" s="58">
        <v>3</v>
      </c>
      <c r="BP2195" s="58">
        <v>6</v>
      </c>
      <c r="BQ2195" s="58" t="s">
        <v>141</v>
      </c>
      <c r="BR2195" s="58"/>
      <c r="BS2195" s="58"/>
      <c r="BT2195" s="58"/>
      <c r="BU2195" s="58"/>
      <c r="BV2195" s="58"/>
      <c r="BW2195" s="67"/>
      <c r="BX2195" s="67"/>
      <c r="BY2195" s="67"/>
      <c r="BZ2195" s="67"/>
      <c r="CA2195" s="67"/>
      <c r="CB2195" s="68">
        <f>1000*7.7</f>
        <v>7700</v>
      </c>
      <c r="CC2195" s="68">
        <f>1000*8.2</f>
        <v>8200</v>
      </c>
      <c r="CD2195" s="68"/>
      <c r="CE2195" s="67"/>
      <c r="CF2195" s="67"/>
      <c r="CG2195" s="67" t="s">
        <v>2227</v>
      </c>
      <c r="CH2195" s="94"/>
      <c r="CI2195" s="94"/>
      <c r="CJ2195" s="67"/>
      <c r="CK2195" s="67"/>
      <c r="CL2195" s="67"/>
      <c r="CM2195" s="67"/>
      <c r="CN2195" s="67"/>
      <c r="CO2195" s="67"/>
      <c r="CP2195" s="67"/>
      <c r="CQ2195" s="67"/>
      <c r="CR2195" s="67"/>
      <c r="CS2195" s="67"/>
      <c r="CT2195" s="67"/>
      <c r="CU2195" s="67"/>
      <c r="CV2195" s="67"/>
      <c r="CW2195" s="67"/>
      <c r="CX2195" s="67"/>
      <c r="CY2195" s="67"/>
      <c r="CZ2195" s="67"/>
      <c r="DA2195" s="67"/>
      <c r="DB2195" s="67"/>
      <c r="DC2195" s="67"/>
      <c r="DD2195" s="67"/>
      <c r="DE2195" s="67"/>
      <c r="DF2195" s="67"/>
      <c r="DG2195" s="67"/>
      <c r="DH2195" s="67"/>
      <c r="DI2195" s="67"/>
      <c r="DJ2195" s="67"/>
      <c r="DK2195" s="67"/>
      <c r="DL2195" s="67"/>
      <c r="DM2195" s="67"/>
      <c r="DN2195" s="67"/>
      <c r="DO2195" s="67"/>
      <c r="DP2195" s="67"/>
      <c r="DQ2195" s="166"/>
      <c r="DR2195" s="166"/>
      <c r="DS2195" s="163"/>
      <c r="DT2195" s="163"/>
      <c r="DU2195" s="67"/>
      <c r="DV2195" s="67"/>
      <c r="DW2195" s="67"/>
      <c r="DX2195" s="67"/>
      <c r="DY2195" s="67"/>
      <c r="DZ2195" s="67"/>
      <c r="EA2195" s="67"/>
      <c r="EB2195" s="67"/>
      <c r="EC2195" s="67"/>
      <c r="ED2195" s="67"/>
      <c r="EE2195" s="67"/>
      <c r="EF2195" s="67"/>
      <c r="EG2195" s="67"/>
      <c r="EH2195" s="67"/>
      <c r="EI2195" s="67"/>
      <c r="EJ2195" s="67"/>
      <c r="EK2195" s="94"/>
      <c r="EL2195" s="94"/>
      <c r="EM2195" s="67"/>
      <c r="EN2195" s="67"/>
      <c r="EO2195" s="67"/>
      <c r="EP2195" s="67"/>
      <c r="EQ2195" s="67"/>
      <c r="ER2195" s="67"/>
      <c r="ES2195" s="67"/>
      <c r="ET2195" s="67"/>
      <c r="EU2195" s="67"/>
      <c r="EV2195" s="67"/>
      <c r="EW2195" s="67"/>
      <c r="EX2195" s="67"/>
      <c r="EY2195" s="67"/>
      <c r="EZ2195" s="67"/>
      <c r="FA2195" s="67"/>
      <c r="FB2195" s="67"/>
      <c r="FC2195" s="67"/>
      <c r="FD2195" s="67"/>
      <c r="FE2195" s="67"/>
      <c r="FF2195" s="67"/>
      <c r="FG2195" s="67"/>
      <c r="FH2195" s="67"/>
      <c r="FI2195" s="67"/>
      <c r="FJ2195" s="67"/>
      <c r="FK2195" s="67"/>
      <c r="FL2195" s="67"/>
      <c r="FM2195" s="67"/>
      <c r="FN2195" s="67"/>
      <c r="FO2195" s="67"/>
      <c r="FP2195" s="67"/>
      <c r="FQ2195" s="67"/>
      <c r="FR2195" s="67"/>
      <c r="FS2195" s="67"/>
      <c r="FT2195" s="67"/>
      <c r="FU2195" s="67"/>
      <c r="FV2195" s="67"/>
      <c r="FW2195" s="67"/>
      <c r="FX2195" s="67"/>
      <c r="FY2195" s="67"/>
      <c r="FZ2195" s="67"/>
      <c r="GA2195" s="67"/>
      <c r="GB2195" s="67"/>
      <c r="GC2195" s="67"/>
      <c r="GD2195" s="67"/>
      <c r="GE2195" s="67"/>
      <c r="GF2195" s="67"/>
      <c r="GG2195" s="67"/>
      <c r="GH2195" s="67"/>
      <c r="GI2195" s="67"/>
      <c r="GJ2195" s="67"/>
      <c r="GK2195" s="67"/>
      <c r="GL2195" s="67"/>
      <c r="GM2195" s="67"/>
      <c r="GN2195" s="292"/>
      <c r="GO2195" s="292"/>
      <c r="GP2195" s="292" t="s">
        <v>7494</v>
      </c>
      <c r="GQ2195" s="67"/>
      <c r="GR2195" s="67"/>
      <c r="GS2195" s="67"/>
      <c r="GT2195" s="67"/>
      <c r="GU2195" s="67"/>
      <c r="GV2195" s="67"/>
      <c r="GW2195" s="67"/>
      <c r="GX2195" s="67"/>
      <c r="GY2195" s="67"/>
      <c r="GZ2195" s="67"/>
      <c r="HA2195" s="67"/>
      <c r="HB2195" s="67"/>
      <c r="HC2195" s="67"/>
      <c r="HD2195" s="67"/>
      <c r="HE2195" s="67"/>
      <c r="HF2195" s="67"/>
      <c r="HG2195" s="67"/>
      <c r="HH2195" s="67"/>
      <c r="HI2195" s="67"/>
      <c r="HJ2195" s="67"/>
      <c r="HK2195" s="67"/>
      <c r="HL2195" s="67"/>
      <c r="HM2195" s="67"/>
      <c r="HN2195" s="67"/>
      <c r="HO2195" s="67"/>
      <c r="HP2195" s="67"/>
      <c r="HQ2195" s="67"/>
      <c r="HR2195" s="67"/>
      <c r="HS2195" s="67"/>
      <c r="HT2195" s="67"/>
      <c r="HU2195" s="67"/>
      <c r="HV2195" s="67"/>
      <c r="HW2195" s="67"/>
      <c r="HX2195" s="67"/>
      <c r="HY2195" s="67"/>
      <c r="HZ2195" s="67"/>
      <c r="IA2195" s="67"/>
      <c r="IB2195" s="67"/>
      <c r="IC2195" s="67"/>
      <c r="ID2195" s="67"/>
      <c r="IE2195" s="67"/>
      <c r="IF2195" s="67"/>
      <c r="IG2195" s="67"/>
      <c r="IH2195" s="67"/>
      <c r="II2195" s="67"/>
      <c r="IJ2195" s="67"/>
      <c r="IK2195" s="67"/>
      <c r="IL2195" s="67"/>
      <c r="IM2195" s="67"/>
      <c r="IN2195" s="67"/>
      <c r="IO2195" s="67"/>
      <c r="IP2195" s="67"/>
      <c r="IQ2195" s="67"/>
      <c r="IR2195" s="67"/>
      <c r="IS2195" s="67"/>
      <c r="IT2195" s="67"/>
      <c r="IU2195" s="67"/>
      <c r="IV2195" s="67"/>
      <c r="IW2195" s="67"/>
      <c r="IX2195" s="67"/>
      <c r="IY2195" s="67"/>
      <c r="IZ2195" s="67"/>
      <c r="JA2195" s="67"/>
      <c r="JB2195" s="67"/>
      <c r="JC2195" s="67"/>
      <c r="JD2195" s="67"/>
      <c r="JE2195" s="67"/>
      <c r="JF2195" s="67"/>
      <c r="JG2195" s="67"/>
      <c r="JH2195" s="67"/>
      <c r="JI2195" s="67"/>
      <c r="JJ2195" s="67"/>
      <c r="JK2195" s="67"/>
      <c r="JL2195" s="67"/>
      <c r="JM2195" s="67"/>
      <c r="JN2195" s="67"/>
      <c r="JO2195" s="67"/>
      <c r="JP2195" s="67"/>
      <c r="JQ2195" s="67"/>
      <c r="JR2195" s="67"/>
      <c r="JS2195" s="67"/>
      <c r="JT2195" s="67"/>
      <c r="JU2195" s="58"/>
      <c r="JV2195" s="58"/>
      <c r="JW2195" s="58"/>
    </row>
    <row r="2196" spans="1:283" s="23" customFormat="1" x14ac:dyDescent="0.25">
      <c r="A2196" s="55">
        <v>2195</v>
      </c>
      <c r="B2196" s="12" t="s">
        <v>7067</v>
      </c>
      <c r="C2196" s="156">
        <v>101</v>
      </c>
      <c r="D2196" s="58" t="s">
        <v>4172</v>
      </c>
      <c r="E2196" s="94" t="s">
        <v>2113</v>
      </c>
      <c r="F2196" s="94"/>
      <c r="G2196" s="58" t="s">
        <v>6354</v>
      </c>
      <c r="H2196" s="58">
        <v>2010</v>
      </c>
      <c r="I2196" s="58">
        <v>2005</v>
      </c>
      <c r="J2196" s="58" t="s">
        <v>2114</v>
      </c>
      <c r="K2196" s="58" t="s">
        <v>2125</v>
      </c>
      <c r="L2196" s="58" t="s">
        <v>2740</v>
      </c>
      <c r="M2196" s="94">
        <v>48.93</v>
      </c>
      <c r="N2196" s="94">
        <f>4+14/60</f>
        <v>4.2333333333333334</v>
      </c>
      <c r="O2196" s="94">
        <v>203</v>
      </c>
      <c r="P2196" s="58">
        <v>10.8</v>
      </c>
      <c r="Q2196" s="58"/>
      <c r="R2196" s="58">
        <v>605</v>
      </c>
      <c r="S2196" s="94"/>
      <c r="T2196" s="58"/>
      <c r="U2196" s="58">
        <v>10</v>
      </c>
      <c r="V2196" s="58">
        <v>13</v>
      </c>
      <c r="W2196" s="174"/>
      <c r="X2196" s="174"/>
      <c r="Y2196" s="58" t="s">
        <v>2214</v>
      </c>
      <c r="Z2196" s="59" t="s">
        <v>2130</v>
      </c>
      <c r="AA2196" s="94">
        <v>23.5</v>
      </c>
      <c r="AB2196" s="67"/>
      <c r="AC2196" s="67"/>
      <c r="AD2196" s="94"/>
      <c r="AE2196" s="94"/>
      <c r="AF2196" s="94"/>
      <c r="AG2196" s="94"/>
      <c r="AH2196" s="58" t="s">
        <v>139</v>
      </c>
      <c r="AI2196" s="169"/>
      <c r="AJ2196" s="94"/>
      <c r="AK2196" s="94"/>
      <c r="AL2196" s="58"/>
      <c r="AM2196" s="58" t="s">
        <v>2126</v>
      </c>
      <c r="AN2196" s="186" t="s">
        <v>2127</v>
      </c>
      <c r="AO2196" s="185" t="s">
        <v>5150</v>
      </c>
      <c r="AP2196" s="58"/>
      <c r="AQ2196" s="58" t="s">
        <v>2218</v>
      </c>
      <c r="AR2196" s="58" t="s">
        <v>2226</v>
      </c>
      <c r="AS2196" s="58" t="s">
        <v>227</v>
      </c>
      <c r="AT2196" s="182" t="s">
        <v>2131</v>
      </c>
      <c r="AU2196" s="181" t="s">
        <v>5150</v>
      </c>
      <c r="AV2196" s="185" t="s">
        <v>479</v>
      </c>
      <c r="AW2196" s="58" t="s">
        <v>2131</v>
      </c>
      <c r="AX2196" s="185" t="s">
        <v>479</v>
      </c>
      <c r="AY2196" s="58" t="s">
        <v>176</v>
      </c>
      <c r="AZ2196" s="58" t="s">
        <v>1976</v>
      </c>
      <c r="BA2196" s="58"/>
      <c r="BB2196" s="58" t="s">
        <v>2081</v>
      </c>
      <c r="BC2196" s="58" t="s">
        <v>2081</v>
      </c>
      <c r="BD2196" s="58"/>
      <c r="BE2196" s="236" t="s">
        <v>2132</v>
      </c>
      <c r="BF2196" s="58"/>
      <c r="BG2196" s="191" t="s">
        <v>479</v>
      </c>
      <c r="BH2196" s="236"/>
      <c r="BI2196" s="58"/>
      <c r="BJ2196" s="58"/>
      <c r="BK2196" s="58" t="s">
        <v>5976</v>
      </c>
      <c r="BL2196" s="58"/>
      <c r="BM2196" s="241" t="s">
        <v>160</v>
      </c>
      <c r="BN2196" s="58">
        <v>3</v>
      </c>
      <c r="BO2196" s="58">
        <v>3</v>
      </c>
      <c r="BP2196" s="58">
        <v>6</v>
      </c>
      <c r="BQ2196" s="58" t="s">
        <v>141</v>
      </c>
      <c r="BR2196" s="58"/>
      <c r="BS2196" s="58"/>
      <c r="BT2196" s="58"/>
      <c r="BU2196" s="58"/>
      <c r="BV2196" s="58"/>
      <c r="BW2196" s="67"/>
      <c r="BX2196" s="67"/>
      <c r="BY2196" s="67"/>
      <c r="BZ2196" s="67"/>
      <c r="CA2196" s="67"/>
      <c r="CB2196" s="68">
        <f>1000*18.5</f>
        <v>18500</v>
      </c>
      <c r="CC2196" s="68">
        <f>1000*21.8</f>
        <v>21800</v>
      </c>
      <c r="CD2196" s="68"/>
      <c r="CE2196" s="67"/>
      <c r="CF2196" s="67"/>
      <c r="CG2196" s="67" t="s">
        <v>2227</v>
      </c>
      <c r="CH2196" s="94"/>
      <c r="CI2196" s="94"/>
      <c r="CJ2196" s="67"/>
      <c r="CK2196" s="67"/>
      <c r="CL2196" s="67"/>
      <c r="CM2196" s="67"/>
      <c r="CN2196" s="67"/>
      <c r="CO2196" s="67"/>
      <c r="CP2196" s="67"/>
      <c r="CQ2196" s="67"/>
      <c r="CR2196" s="67"/>
      <c r="CS2196" s="67"/>
      <c r="CT2196" s="67"/>
      <c r="CU2196" s="67"/>
      <c r="CV2196" s="67"/>
      <c r="CW2196" s="67"/>
      <c r="CX2196" s="67"/>
      <c r="CY2196" s="67"/>
      <c r="CZ2196" s="67"/>
      <c r="DA2196" s="67"/>
      <c r="DB2196" s="67"/>
      <c r="DC2196" s="67"/>
      <c r="DD2196" s="67"/>
      <c r="DE2196" s="67"/>
      <c r="DF2196" s="67"/>
      <c r="DG2196" s="67"/>
      <c r="DH2196" s="67"/>
      <c r="DI2196" s="67"/>
      <c r="DJ2196" s="67"/>
      <c r="DK2196" s="67"/>
      <c r="DL2196" s="67"/>
      <c r="DM2196" s="67"/>
      <c r="DN2196" s="67"/>
      <c r="DO2196" s="67"/>
      <c r="DP2196" s="67"/>
      <c r="DQ2196" s="166"/>
      <c r="DR2196" s="166"/>
      <c r="DS2196" s="163"/>
      <c r="DT2196" s="163"/>
      <c r="DU2196" s="67"/>
      <c r="DV2196" s="67"/>
      <c r="DW2196" s="67"/>
      <c r="DX2196" s="67"/>
      <c r="DY2196" s="67"/>
      <c r="DZ2196" s="67"/>
      <c r="EA2196" s="67"/>
      <c r="EB2196" s="67"/>
      <c r="EC2196" s="67"/>
      <c r="ED2196" s="67"/>
      <c r="EE2196" s="67"/>
      <c r="EF2196" s="67"/>
      <c r="EG2196" s="67"/>
      <c r="EH2196" s="67"/>
      <c r="EI2196" s="67"/>
      <c r="EJ2196" s="67"/>
      <c r="EK2196" s="94"/>
      <c r="EL2196" s="94"/>
      <c r="EM2196" s="67"/>
      <c r="EN2196" s="67"/>
      <c r="EO2196" s="67"/>
      <c r="EP2196" s="67"/>
      <c r="EQ2196" s="67"/>
      <c r="ER2196" s="67"/>
      <c r="ES2196" s="67"/>
      <c r="ET2196" s="67"/>
      <c r="EU2196" s="67"/>
      <c r="EV2196" s="67"/>
      <c r="EW2196" s="67"/>
      <c r="EX2196" s="67"/>
      <c r="EY2196" s="67"/>
      <c r="EZ2196" s="67"/>
      <c r="FA2196" s="67"/>
      <c r="FB2196" s="67"/>
      <c r="FC2196" s="67"/>
      <c r="FD2196" s="67"/>
      <c r="FE2196" s="67"/>
      <c r="FF2196" s="67"/>
      <c r="FG2196" s="67"/>
      <c r="FH2196" s="67"/>
      <c r="FI2196" s="67"/>
      <c r="FJ2196" s="67"/>
      <c r="FK2196" s="67"/>
      <c r="FL2196" s="67"/>
      <c r="FM2196" s="67"/>
      <c r="FN2196" s="67"/>
      <c r="FO2196" s="67"/>
      <c r="FP2196" s="67"/>
      <c r="FQ2196" s="67"/>
      <c r="FR2196" s="67"/>
      <c r="FS2196" s="67"/>
      <c r="FT2196" s="67"/>
      <c r="FU2196" s="67"/>
      <c r="FV2196" s="67"/>
      <c r="FW2196" s="67"/>
      <c r="FX2196" s="67"/>
      <c r="FY2196" s="67"/>
      <c r="FZ2196" s="67"/>
      <c r="GA2196" s="67"/>
      <c r="GB2196" s="67"/>
      <c r="GC2196" s="67"/>
      <c r="GD2196" s="67"/>
      <c r="GE2196" s="67"/>
      <c r="GF2196" s="67"/>
      <c r="GG2196" s="67"/>
      <c r="GH2196" s="67"/>
      <c r="GI2196" s="67"/>
      <c r="GJ2196" s="67"/>
      <c r="GK2196" s="67"/>
      <c r="GL2196" s="67"/>
      <c r="GM2196" s="67"/>
      <c r="GN2196" s="292"/>
      <c r="GO2196" s="292"/>
      <c r="GP2196" s="292" t="s">
        <v>7494</v>
      </c>
      <c r="GQ2196" s="67"/>
      <c r="GR2196" s="67"/>
      <c r="GS2196" s="67"/>
      <c r="GT2196" s="67"/>
      <c r="GU2196" s="67"/>
      <c r="GV2196" s="67"/>
      <c r="GW2196" s="67"/>
      <c r="GX2196" s="67"/>
      <c r="GY2196" s="67"/>
      <c r="GZ2196" s="67"/>
      <c r="HA2196" s="67"/>
      <c r="HB2196" s="67"/>
      <c r="HC2196" s="67"/>
      <c r="HD2196" s="67"/>
      <c r="HE2196" s="67"/>
      <c r="HF2196" s="67"/>
      <c r="HG2196" s="67"/>
      <c r="HH2196" s="67"/>
      <c r="HI2196" s="67"/>
      <c r="HJ2196" s="67"/>
      <c r="HK2196" s="67"/>
      <c r="HL2196" s="67"/>
      <c r="HM2196" s="67"/>
      <c r="HN2196" s="67"/>
      <c r="HO2196" s="67"/>
      <c r="HP2196" s="67"/>
      <c r="HQ2196" s="67"/>
      <c r="HR2196" s="67"/>
      <c r="HS2196" s="67"/>
      <c r="HT2196" s="67"/>
      <c r="HU2196" s="67"/>
      <c r="HV2196" s="67"/>
      <c r="HW2196" s="67"/>
      <c r="HX2196" s="67"/>
      <c r="HY2196" s="67"/>
      <c r="HZ2196" s="67"/>
      <c r="IA2196" s="67"/>
      <c r="IB2196" s="67"/>
      <c r="IC2196" s="67"/>
      <c r="ID2196" s="67"/>
      <c r="IE2196" s="67"/>
      <c r="IF2196" s="67"/>
      <c r="IG2196" s="67"/>
      <c r="IH2196" s="67"/>
      <c r="II2196" s="67"/>
      <c r="IJ2196" s="67"/>
      <c r="IK2196" s="67"/>
      <c r="IL2196" s="67"/>
      <c r="IM2196" s="67"/>
      <c r="IN2196" s="67"/>
      <c r="IO2196" s="67"/>
      <c r="IP2196" s="67"/>
      <c r="IQ2196" s="67"/>
      <c r="IR2196" s="67"/>
      <c r="IS2196" s="67"/>
      <c r="IT2196" s="67"/>
      <c r="IU2196" s="67"/>
      <c r="IV2196" s="67"/>
      <c r="IW2196" s="67"/>
      <c r="IX2196" s="67"/>
      <c r="IY2196" s="67"/>
      <c r="IZ2196" s="67"/>
      <c r="JA2196" s="67"/>
      <c r="JB2196" s="67"/>
      <c r="JC2196" s="67"/>
      <c r="JD2196" s="67"/>
      <c r="JE2196" s="67"/>
      <c r="JF2196" s="67"/>
      <c r="JG2196" s="67"/>
      <c r="JH2196" s="67"/>
      <c r="JI2196" s="67"/>
      <c r="JJ2196" s="67"/>
      <c r="JK2196" s="67"/>
      <c r="JL2196" s="67"/>
      <c r="JM2196" s="67"/>
      <c r="JN2196" s="67"/>
      <c r="JO2196" s="67"/>
      <c r="JP2196" s="67"/>
      <c r="JQ2196" s="67"/>
      <c r="JR2196" s="67"/>
      <c r="JS2196" s="67"/>
      <c r="JT2196" s="67"/>
      <c r="JU2196" s="58"/>
      <c r="JV2196" s="58"/>
      <c r="JW2196" s="58"/>
    </row>
    <row r="2197" spans="1:283" s="23" customFormat="1" x14ac:dyDescent="0.25">
      <c r="A2197" s="55">
        <v>2196</v>
      </c>
      <c r="B2197" s="12" t="s">
        <v>7067</v>
      </c>
      <c r="C2197" s="156">
        <v>101</v>
      </c>
      <c r="D2197" s="58" t="s">
        <v>4173</v>
      </c>
      <c r="E2197" s="94" t="s">
        <v>2113</v>
      </c>
      <c r="F2197" s="94"/>
      <c r="G2197" s="58" t="s">
        <v>6354</v>
      </c>
      <c r="H2197" s="58">
        <v>2010</v>
      </c>
      <c r="I2197" s="58">
        <v>2005</v>
      </c>
      <c r="J2197" s="58" t="s">
        <v>2114</v>
      </c>
      <c r="K2197" s="58" t="s">
        <v>2125</v>
      </c>
      <c r="L2197" s="58" t="s">
        <v>2740</v>
      </c>
      <c r="M2197" s="94">
        <v>48.93</v>
      </c>
      <c r="N2197" s="94">
        <f>4+14/60</f>
        <v>4.2333333333333334</v>
      </c>
      <c r="O2197" s="94">
        <v>203</v>
      </c>
      <c r="P2197" s="58">
        <v>10.8</v>
      </c>
      <c r="Q2197" s="58"/>
      <c r="R2197" s="58">
        <v>605</v>
      </c>
      <c r="S2197" s="94"/>
      <c r="T2197" s="58"/>
      <c r="U2197" s="58">
        <v>10</v>
      </c>
      <c r="V2197" s="58">
        <v>13</v>
      </c>
      <c r="W2197" s="174"/>
      <c r="X2197" s="174"/>
      <c r="Y2197" s="58" t="s">
        <v>2214</v>
      </c>
      <c r="Z2197" s="59" t="s">
        <v>2130</v>
      </c>
      <c r="AA2197" s="94">
        <v>23.5</v>
      </c>
      <c r="AB2197" s="67"/>
      <c r="AC2197" s="67"/>
      <c r="AD2197" s="94"/>
      <c r="AE2197" s="94"/>
      <c r="AF2197" s="94"/>
      <c r="AG2197" s="94"/>
      <c r="AH2197" s="58" t="s">
        <v>139</v>
      </c>
      <c r="AI2197" s="169"/>
      <c r="AJ2197" s="94"/>
      <c r="AK2197" s="94"/>
      <c r="AL2197" s="58"/>
      <c r="AM2197" s="58" t="s">
        <v>2126</v>
      </c>
      <c r="AN2197" s="186" t="s">
        <v>2127</v>
      </c>
      <c r="AO2197" s="185" t="s">
        <v>5150</v>
      </c>
      <c r="AP2197" s="58"/>
      <c r="AQ2197" s="58" t="s">
        <v>2218</v>
      </c>
      <c r="AR2197" s="58" t="s">
        <v>2222</v>
      </c>
      <c r="AS2197" s="58" t="s">
        <v>116</v>
      </c>
      <c r="AT2197" s="182" t="s">
        <v>2131</v>
      </c>
      <c r="AU2197" s="181" t="s">
        <v>5150</v>
      </c>
      <c r="AV2197" s="185" t="s">
        <v>479</v>
      </c>
      <c r="AW2197" s="58" t="s">
        <v>2131</v>
      </c>
      <c r="AX2197" s="185" t="s">
        <v>479</v>
      </c>
      <c r="AY2197" s="58" t="s">
        <v>176</v>
      </c>
      <c r="AZ2197" s="58" t="s">
        <v>1976</v>
      </c>
      <c r="BA2197" s="58"/>
      <c r="BB2197" s="58" t="s">
        <v>2081</v>
      </c>
      <c r="BC2197" s="58" t="s">
        <v>2081</v>
      </c>
      <c r="BD2197" s="58"/>
      <c r="BE2197" s="236" t="s">
        <v>2132</v>
      </c>
      <c r="BF2197" s="58"/>
      <c r="BG2197" s="191" t="s">
        <v>479</v>
      </c>
      <c r="BH2197" s="236"/>
      <c r="BI2197" s="58"/>
      <c r="BJ2197" s="58"/>
      <c r="BK2197" s="58" t="s">
        <v>5976</v>
      </c>
      <c r="BL2197" s="58"/>
      <c r="BM2197" s="241" t="s">
        <v>160</v>
      </c>
      <c r="BN2197" s="58">
        <v>3</v>
      </c>
      <c r="BO2197" s="58">
        <v>3</v>
      </c>
      <c r="BP2197" s="58">
        <v>6</v>
      </c>
      <c r="BQ2197" s="58" t="s">
        <v>141</v>
      </c>
      <c r="BR2197" s="58"/>
      <c r="BS2197" s="58"/>
      <c r="BT2197" s="58"/>
      <c r="BU2197" s="58"/>
      <c r="BV2197" s="58"/>
      <c r="BW2197" s="67"/>
      <c r="BX2197" s="67"/>
      <c r="BY2197" s="67"/>
      <c r="BZ2197" s="67"/>
      <c r="CA2197" s="67"/>
      <c r="CB2197" s="68">
        <f>1000*12.5</f>
        <v>12500</v>
      </c>
      <c r="CC2197" s="68">
        <f>1000*13.9</f>
        <v>13900</v>
      </c>
      <c r="CD2197" s="68"/>
      <c r="CE2197" s="67"/>
      <c r="CF2197" s="67"/>
      <c r="CG2197" s="67" t="s">
        <v>2227</v>
      </c>
      <c r="CH2197" s="94"/>
      <c r="CI2197" s="94"/>
      <c r="CJ2197" s="67"/>
      <c r="CK2197" s="67"/>
      <c r="CL2197" s="67"/>
      <c r="CM2197" s="67"/>
      <c r="CN2197" s="67"/>
      <c r="CO2197" s="67"/>
      <c r="CP2197" s="67"/>
      <c r="CQ2197" s="67"/>
      <c r="CR2197" s="67"/>
      <c r="CS2197" s="67"/>
      <c r="CT2197" s="67"/>
      <c r="CU2197" s="67"/>
      <c r="CV2197" s="67"/>
      <c r="CW2197" s="67"/>
      <c r="CX2197" s="67"/>
      <c r="CY2197" s="67"/>
      <c r="CZ2197" s="67"/>
      <c r="DA2197" s="67"/>
      <c r="DB2197" s="67"/>
      <c r="DC2197" s="67"/>
      <c r="DD2197" s="67"/>
      <c r="DE2197" s="67"/>
      <c r="DF2197" s="67"/>
      <c r="DG2197" s="67"/>
      <c r="DH2197" s="67"/>
      <c r="DI2197" s="67"/>
      <c r="DJ2197" s="67"/>
      <c r="DK2197" s="67"/>
      <c r="DL2197" s="67"/>
      <c r="DM2197" s="67"/>
      <c r="DN2197" s="67"/>
      <c r="DO2197" s="67"/>
      <c r="DP2197" s="67"/>
      <c r="DQ2197" s="166"/>
      <c r="DR2197" s="166"/>
      <c r="DS2197" s="163"/>
      <c r="DT2197" s="163"/>
      <c r="DU2197" s="67"/>
      <c r="DV2197" s="67"/>
      <c r="DW2197" s="67"/>
      <c r="DX2197" s="67"/>
      <c r="DY2197" s="67"/>
      <c r="DZ2197" s="67"/>
      <c r="EA2197" s="67"/>
      <c r="EB2197" s="67"/>
      <c r="EC2197" s="67"/>
      <c r="ED2197" s="67"/>
      <c r="EE2197" s="67"/>
      <c r="EF2197" s="67"/>
      <c r="EG2197" s="67"/>
      <c r="EH2197" s="67"/>
      <c r="EI2197" s="67"/>
      <c r="EJ2197" s="67"/>
      <c r="EK2197" s="94"/>
      <c r="EL2197" s="94"/>
      <c r="EM2197" s="67"/>
      <c r="EN2197" s="67"/>
      <c r="EO2197" s="67"/>
      <c r="EP2197" s="67"/>
      <c r="EQ2197" s="67"/>
      <c r="ER2197" s="67"/>
      <c r="ES2197" s="67"/>
      <c r="ET2197" s="67"/>
      <c r="EU2197" s="67"/>
      <c r="EV2197" s="67"/>
      <c r="EW2197" s="67"/>
      <c r="EX2197" s="67"/>
      <c r="EY2197" s="67"/>
      <c r="EZ2197" s="67"/>
      <c r="FA2197" s="67"/>
      <c r="FB2197" s="67"/>
      <c r="FC2197" s="67"/>
      <c r="FD2197" s="67"/>
      <c r="FE2197" s="67"/>
      <c r="FF2197" s="67"/>
      <c r="FG2197" s="67"/>
      <c r="FH2197" s="67"/>
      <c r="FI2197" s="67"/>
      <c r="FJ2197" s="67"/>
      <c r="FK2197" s="67"/>
      <c r="FL2197" s="67"/>
      <c r="FM2197" s="67"/>
      <c r="FN2197" s="67"/>
      <c r="FO2197" s="67"/>
      <c r="FP2197" s="67"/>
      <c r="FQ2197" s="67"/>
      <c r="FR2197" s="67"/>
      <c r="FS2197" s="67"/>
      <c r="FT2197" s="67"/>
      <c r="FU2197" s="67"/>
      <c r="FV2197" s="67"/>
      <c r="FW2197" s="67"/>
      <c r="FX2197" s="67"/>
      <c r="FY2197" s="67"/>
      <c r="FZ2197" s="67"/>
      <c r="GA2197" s="67"/>
      <c r="GB2197" s="67"/>
      <c r="GC2197" s="67"/>
      <c r="GD2197" s="67"/>
      <c r="GE2197" s="67"/>
      <c r="GF2197" s="67"/>
      <c r="GG2197" s="67"/>
      <c r="GH2197" s="67"/>
      <c r="GI2197" s="67"/>
      <c r="GJ2197" s="67"/>
      <c r="GK2197" s="67"/>
      <c r="GL2197" s="67"/>
      <c r="GM2197" s="67"/>
      <c r="GN2197" s="292"/>
      <c r="GO2197" s="292"/>
      <c r="GP2197" s="292" t="s">
        <v>7494</v>
      </c>
      <c r="GQ2197" s="67"/>
      <c r="GR2197" s="67"/>
      <c r="GS2197" s="67"/>
      <c r="GT2197" s="67"/>
      <c r="GU2197" s="67"/>
      <c r="GV2197" s="67"/>
      <c r="GW2197" s="67"/>
      <c r="GX2197" s="67"/>
      <c r="GY2197" s="67"/>
      <c r="GZ2197" s="67"/>
      <c r="HA2197" s="67"/>
      <c r="HB2197" s="67"/>
      <c r="HC2197" s="67"/>
      <c r="HD2197" s="67"/>
      <c r="HE2197" s="67"/>
      <c r="HF2197" s="67"/>
      <c r="HG2197" s="67"/>
      <c r="HH2197" s="67"/>
      <c r="HI2197" s="67"/>
      <c r="HJ2197" s="67"/>
      <c r="HK2197" s="67"/>
      <c r="HL2197" s="67"/>
      <c r="HM2197" s="67"/>
      <c r="HN2197" s="67"/>
      <c r="HO2197" s="67"/>
      <c r="HP2197" s="67"/>
      <c r="HQ2197" s="67"/>
      <c r="HR2197" s="67"/>
      <c r="HS2197" s="67"/>
      <c r="HT2197" s="67"/>
      <c r="HU2197" s="67"/>
      <c r="HV2197" s="67"/>
      <c r="HW2197" s="67"/>
      <c r="HX2197" s="67"/>
      <c r="HY2197" s="67"/>
      <c r="HZ2197" s="67"/>
      <c r="IA2197" s="67"/>
      <c r="IB2197" s="67"/>
      <c r="IC2197" s="67"/>
      <c r="ID2197" s="67"/>
      <c r="IE2197" s="67"/>
      <c r="IF2197" s="67"/>
      <c r="IG2197" s="67"/>
      <c r="IH2197" s="67"/>
      <c r="II2197" s="67"/>
      <c r="IJ2197" s="67"/>
      <c r="IK2197" s="67"/>
      <c r="IL2197" s="67"/>
      <c r="IM2197" s="67"/>
      <c r="IN2197" s="67"/>
      <c r="IO2197" s="67"/>
      <c r="IP2197" s="67"/>
      <c r="IQ2197" s="67"/>
      <c r="IR2197" s="67"/>
      <c r="IS2197" s="67"/>
      <c r="IT2197" s="67"/>
      <c r="IU2197" s="67"/>
      <c r="IV2197" s="67"/>
      <c r="IW2197" s="67"/>
      <c r="IX2197" s="67"/>
      <c r="IY2197" s="67"/>
      <c r="IZ2197" s="67"/>
      <c r="JA2197" s="67"/>
      <c r="JB2197" s="67"/>
      <c r="JC2197" s="67"/>
      <c r="JD2197" s="67"/>
      <c r="JE2197" s="67"/>
      <c r="JF2197" s="67"/>
      <c r="JG2197" s="67"/>
      <c r="JH2197" s="67"/>
      <c r="JI2197" s="67"/>
      <c r="JJ2197" s="67"/>
      <c r="JK2197" s="67"/>
      <c r="JL2197" s="67"/>
      <c r="JM2197" s="67"/>
      <c r="JN2197" s="67"/>
      <c r="JO2197" s="67"/>
      <c r="JP2197" s="67"/>
      <c r="JQ2197" s="67"/>
      <c r="JR2197" s="67"/>
      <c r="JS2197" s="67"/>
      <c r="JT2197" s="67"/>
      <c r="JU2197" s="58"/>
      <c r="JV2197" s="58"/>
      <c r="JW2197" s="58"/>
    </row>
    <row r="2198" spans="1:283" s="23" customFormat="1" x14ac:dyDescent="0.25">
      <c r="A2198" s="55">
        <v>2197</v>
      </c>
      <c r="B2198" s="12" t="s">
        <v>7067</v>
      </c>
      <c r="C2198" s="156">
        <v>101</v>
      </c>
      <c r="D2198" s="58" t="s">
        <v>4174</v>
      </c>
      <c r="E2198" s="94" t="s">
        <v>2113</v>
      </c>
      <c r="F2198" s="94"/>
      <c r="G2198" s="58" t="s">
        <v>6354</v>
      </c>
      <c r="H2198" s="58">
        <v>2010</v>
      </c>
      <c r="I2198" s="58">
        <v>2005</v>
      </c>
      <c r="J2198" s="58" t="s">
        <v>2114</v>
      </c>
      <c r="K2198" s="58" t="s">
        <v>2125</v>
      </c>
      <c r="L2198" s="58" t="s">
        <v>2740</v>
      </c>
      <c r="M2198" s="94">
        <v>48.93</v>
      </c>
      <c r="N2198" s="94">
        <f>4+14/60</f>
        <v>4.2333333333333334</v>
      </c>
      <c r="O2198" s="94">
        <v>203</v>
      </c>
      <c r="P2198" s="58">
        <v>10.8</v>
      </c>
      <c r="Q2198" s="58"/>
      <c r="R2198" s="58">
        <v>605</v>
      </c>
      <c r="S2198" s="94"/>
      <c r="T2198" s="58"/>
      <c r="U2198" s="58">
        <v>10</v>
      </c>
      <c r="V2198" s="58">
        <v>13</v>
      </c>
      <c r="W2198" s="174"/>
      <c r="X2198" s="174"/>
      <c r="Y2198" s="58" t="s">
        <v>2214</v>
      </c>
      <c r="Z2198" s="59" t="s">
        <v>2130</v>
      </c>
      <c r="AA2198" s="94">
        <v>23.5</v>
      </c>
      <c r="AB2198" s="67"/>
      <c r="AC2198" s="67"/>
      <c r="AD2198" s="94"/>
      <c r="AE2198" s="94"/>
      <c r="AF2198" s="94"/>
      <c r="AG2198" s="94"/>
      <c r="AH2198" s="58" t="s">
        <v>139</v>
      </c>
      <c r="AI2198" s="169"/>
      <c r="AJ2198" s="94"/>
      <c r="AK2198" s="94"/>
      <c r="AL2198" s="58"/>
      <c r="AM2198" s="58" t="s">
        <v>2126</v>
      </c>
      <c r="AN2198" s="186" t="s">
        <v>2127</v>
      </c>
      <c r="AO2198" s="185" t="s">
        <v>5150</v>
      </c>
      <c r="AP2198" s="58"/>
      <c r="AQ2198" s="58" t="s">
        <v>2218</v>
      </c>
      <c r="AR2198" s="58" t="s">
        <v>2224</v>
      </c>
      <c r="AS2198" s="58" t="s">
        <v>227</v>
      </c>
      <c r="AT2198" s="182" t="s">
        <v>2131</v>
      </c>
      <c r="AU2198" s="181" t="s">
        <v>5150</v>
      </c>
      <c r="AV2198" s="185" t="s">
        <v>479</v>
      </c>
      <c r="AW2198" s="58" t="s">
        <v>2131</v>
      </c>
      <c r="AX2198" s="185" t="s">
        <v>479</v>
      </c>
      <c r="AY2198" s="58" t="s">
        <v>176</v>
      </c>
      <c r="AZ2198" s="58" t="s">
        <v>1976</v>
      </c>
      <c r="BA2198" s="58"/>
      <c r="BB2198" s="58" t="s">
        <v>2081</v>
      </c>
      <c r="BC2198" s="58" t="s">
        <v>2081</v>
      </c>
      <c r="BD2198" s="58"/>
      <c r="BE2198" s="236" t="s">
        <v>2132</v>
      </c>
      <c r="BF2198" s="58"/>
      <c r="BG2198" s="191" t="s">
        <v>479</v>
      </c>
      <c r="BH2198" s="236"/>
      <c r="BI2198" s="58"/>
      <c r="BJ2198" s="58"/>
      <c r="BK2198" s="58" t="s">
        <v>5976</v>
      </c>
      <c r="BL2198" s="58"/>
      <c r="BM2198" s="241" t="s">
        <v>160</v>
      </c>
      <c r="BN2198" s="58">
        <v>3</v>
      </c>
      <c r="BO2198" s="58">
        <v>3</v>
      </c>
      <c r="BP2198" s="58">
        <v>6</v>
      </c>
      <c r="BQ2198" s="58" t="s">
        <v>141</v>
      </c>
      <c r="BR2198" s="58"/>
      <c r="BS2198" s="58"/>
      <c r="BT2198" s="58"/>
      <c r="BU2198" s="58"/>
      <c r="BV2198" s="58"/>
      <c r="BW2198" s="67"/>
      <c r="BX2198" s="67"/>
      <c r="BY2198" s="67"/>
      <c r="BZ2198" s="67"/>
      <c r="CA2198" s="67"/>
      <c r="CB2198" s="68">
        <f>1000*7.2</f>
        <v>7200</v>
      </c>
      <c r="CC2198" s="68">
        <f>1000*7.1</f>
        <v>7100</v>
      </c>
      <c r="CD2198" s="68"/>
      <c r="CE2198" s="67"/>
      <c r="CF2198" s="67"/>
      <c r="CG2198" s="67" t="s">
        <v>2227</v>
      </c>
      <c r="CH2198" s="94"/>
      <c r="CI2198" s="94"/>
      <c r="CJ2198" s="67"/>
      <c r="CK2198" s="67"/>
      <c r="CL2198" s="67"/>
      <c r="CM2198" s="67"/>
      <c r="CN2198" s="67"/>
      <c r="CO2198" s="67"/>
      <c r="CP2198" s="67"/>
      <c r="CQ2198" s="67"/>
      <c r="CR2198" s="67"/>
      <c r="CS2198" s="67"/>
      <c r="CT2198" s="67"/>
      <c r="CU2198" s="67"/>
      <c r="CV2198" s="67"/>
      <c r="CW2198" s="67"/>
      <c r="CX2198" s="67"/>
      <c r="CY2198" s="67"/>
      <c r="CZ2198" s="67"/>
      <c r="DA2198" s="67"/>
      <c r="DB2198" s="67"/>
      <c r="DC2198" s="67"/>
      <c r="DD2198" s="67"/>
      <c r="DE2198" s="67"/>
      <c r="DF2198" s="67"/>
      <c r="DG2198" s="67"/>
      <c r="DH2198" s="67"/>
      <c r="DI2198" s="67"/>
      <c r="DJ2198" s="67"/>
      <c r="DK2198" s="67"/>
      <c r="DL2198" s="67"/>
      <c r="DM2198" s="67"/>
      <c r="DN2198" s="67"/>
      <c r="DO2198" s="67"/>
      <c r="DP2198" s="67"/>
      <c r="DQ2198" s="166"/>
      <c r="DR2198" s="166"/>
      <c r="DS2198" s="163"/>
      <c r="DT2198" s="163"/>
      <c r="DU2198" s="67"/>
      <c r="DV2198" s="67"/>
      <c r="DW2198" s="67"/>
      <c r="DX2198" s="67"/>
      <c r="DY2198" s="67"/>
      <c r="DZ2198" s="67"/>
      <c r="EA2198" s="67"/>
      <c r="EB2198" s="67"/>
      <c r="EC2198" s="67"/>
      <c r="ED2198" s="67"/>
      <c r="EE2198" s="67"/>
      <c r="EF2198" s="67"/>
      <c r="EG2198" s="67"/>
      <c r="EH2198" s="67"/>
      <c r="EI2198" s="67"/>
      <c r="EJ2198" s="67"/>
      <c r="EK2198" s="94"/>
      <c r="EL2198" s="94"/>
      <c r="EM2198" s="67"/>
      <c r="EN2198" s="67"/>
      <c r="EO2198" s="67"/>
      <c r="EP2198" s="67"/>
      <c r="EQ2198" s="67"/>
      <c r="ER2198" s="67"/>
      <c r="ES2198" s="67"/>
      <c r="ET2198" s="67"/>
      <c r="EU2198" s="67"/>
      <c r="EV2198" s="67"/>
      <c r="EW2198" s="67"/>
      <c r="EX2198" s="67"/>
      <c r="EY2198" s="67"/>
      <c r="EZ2198" s="67"/>
      <c r="FA2198" s="67"/>
      <c r="FB2198" s="67"/>
      <c r="FC2198" s="67"/>
      <c r="FD2198" s="67"/>
      <c r="FE2198" s="67"/>
      <c r="FF2198" s="67"/>
      <c r="FG2198" s="67"/>
      <c r="FH2198" s="67"/>
      <c r="FI2198" s="67"/>
      <c r="FJ2198" s="67"/>
      <c r="FK2198" s="67"/>
      <c r="FL2198" s="67"/>
      <c r="FM2198" s="67"/>
      <c r="FN2198" s="67"/>
      <c r="FO2198" s="67"/>
      <c r="FP2198" s="67"/>
      <c r="FQ2198" s="67"/>
      <c r="FR2198" s="67"/>
      <c r="FS2198" s="67"/>
      <c r="FT2198" s="67"/>
      <c r="FU2198" s="67"/>
      <c r="FV2198" s="67"/>
      <c r="FW2198" s="67"/>
      <c r="FX2198" s="67"/>
      <c r="FY2198" s="67"/>
      <c r="FZ2198" s="67"/>
      <c r="GA2198" s="67"/>
      <c r="GB2198" s="67"/>
      <c r="GC2198" s="67"/>
      <c r="GD2198" s="67"/>
      <c r="GE2198" s="67"/>
      <c r="GF2198" s="67"/>
      <c r="GG2198" s="67"/>
      <c r="GH2198" s="67"/>
      <c r="GI2198" s="67"/>
      <c r="GJ2198" s="67"/>
      <c r="GK2198" s="67"/>
      <c r="GL2198" s="67"/>
      <c r="GM2198" s="67"/>
      <c r="GN2198" s="292"/>
      <c r="GO2198" s="292"/>
      <c r="GP2198" s="292" t="s">
        <v>7494</v>
      </c>
      <c r="GQ2198" s="67"/>
      <c r="GR2198" s="67"/>
      <c r="GS2198" s="67"/>
      <c r="GT2198" s="67"/>
      <c r="GU2198" s="67"/>
      <c r="GV2198" s="67"/>
      <c r="GW2198" s="67"/>
      <c r="GX2198" s="67"/>
      <c r="GY2198" s="67"/>
      <c r="GZ2198" s="67"/>
      <c r="HA2198" s="67"/>
      <c r="HB2198" s="67"/>
      <c r="HC2198" s="67"/>
      <c r="HD2198" s="67"/>
      <c r="HE2198" s="67"/>
      <c r="HF2198" s="67"/>
      <c r="HG2198" s="67"/>
      <c r="HH2198" s="67"/>
      <c r="HI2198" s="67"/>
      <c r="HJ2198" s="67"/>
      <c r="HK2198" s="67"/>
      <c r="HL2198" s="67"/>
      <c r="HM2198" s="67"/>
      <c r="HN2198" s="67"/>
      <c r="HO2198" s="67"/>
      <c r="HP2198" s="67"/>
      <c r="HQ2198" s="67"/>
      <c r="HR2198" s="67"/>
      <c r="HS2198" s="67"/>
      <c r="HT2198" s="67"/>
      <c r="HU2198" s="67"/>
      <c r="HV2198" s="67"/>
      <c r="HW2198" s="67"/>
      <c r="HX2198" s="67"/>
      <c r="HY2198" s="67"/>
      <c r="HZ2198" s="67"/>
      <c r="IA2198" s="67"/>
      <c r="IB2198" s="67"/>
      <c r="IC2198" s="67"/>
      <c r="ID2198" s="67"/>
      <c r="IE2198" s="67"/>
      <c r="IF2198" s="67"/>
      <c r="IG2198" s="67"/>
      <c r="IH2198" s="67"/>
      <c r="II2198" s="67"/>
      <c r="IJ2198" s="67"/>
      <c r="IK2198" s="67"/>
      <c r="IL2198" s="67"/>
      <c r="IM2198" s="67"/>
      <c r="IN2198" s="67"/>
      <c r="IO2198" s="67"/>
      <c r="IP2198" s="67"/>
      <c r="IQ2198" s="67"/>
      <c r="IR2198" s="67"/>
      <c r="IS2198" s="67"/>
      <c r="IT2198" s="67"/>
      <c r="IU2198" s="67"/>
      <c r="IV2198" s="67"/>
      <c r="IW2198" s="67"/>
      <c r="IX2198" s="67"/>
      <c r="IY2198" s="67"/>
      <c r="IZ2198" s="67"/>
      <c r="JA2198" s="67"/>
      <c r="JB2198" s="67"/>
      <c r="JC2198" s="67"/>
      <c r="JD2198" s="67"/>
      <c r="JE2198" s="67"/>
      <c r="JF2198" s="67"/>
      <c r="JG2198" s="67"/>
      <c r="JH2198" s="67"/>
      <c r="JI2198" s="67"/>
      <c r="JJ2198" s="67"/>
      <c r="JK2198" s="67"/>
      <c r="JL2198" s="67"/>
      <c r="JM2198" s="67"/>
      <c r="JN2198" s="67"/>
      <c r="JO2198" s="67"/>
      <c r="JP2198" s="67"/>
      <c r="JQ2198" s="67"/>
      <c r="JR2198" s="67"/>
      <c r="JS2198" s="67"/>
      <c r="JT2198" s="67"/>
      <c r="JU2198" s="58"/>
      <c r="JV2198" s="58"/>
      <c r="JW2198" s="58"/>
    </row>
    <row r="2199" spans="1:283" s="23" customFormat="1" x14ac:dyDescent="0.25">
      <c r="A2199" s="55">
        <v>2198</v>
      </c>
      <c r="B2199" s="12" t="s">
        <v>7067</v>
      </c>
      <c r="C2199" s="156">
        <v>102</v>
      </c>
      <c r="D2199" s="58" t="s">
        <v>4175</v>
      </c>
      <c r="E2199" s="94" t="s">
        <v>2133</v>
      </c>
      <c r="F2199" s="94"/>
      <c r="G2199" s="58"/>
      <c r="H2199" s="58">
        <v>2000</v>
      </c>
      <c r="I2199" s="58">
        <v>1995</v>
      </c>
      <c r="J2199" s="58" t="s">
        <v>2003</v>
      </c>
      <c r="K2199" s="58" t="s">
        <v>2134</v>
      </c>
      <c r="L2199" s="58" t="s">
        <v>2738</v>
      </c>
      <c r="M2199" s="94">
        <v>50.29</v>
      </c>
      <c r="N2199" s="94">
        <v>-107.8</v>
      </c>
      <c r="O2199" s="94">
        <v>817</v>
      </c>
      <c r="P2199" s="58">
        <v>3.3</v>
      </c>
      <c r="Q2199" s="58"/>
      <c r="R2199" s="58">
        <v>350</v>
      </c>
      <c r="S2199" s="94"/>
      <c r="T2199" s="58"/>
      <c r="U2199" s="58">
        <v>9</v>
      </c>
      <c r="V2199" s="58">
        <v>9</v>
      </c>
      <c r="W2199" s="174"/>
      <c r="X2199" s="174"/>
      <c r="Y2199" s="58" t="s">
        <v>2239</v>
      </c>
      <c r="Z2199" s="59" t="s">
        <v>1347</v>
      </c>
      <c r="AA2199" s="94">
        <v>7.5</v>
      </c>
      <c r="AB2199" s="67"/>
      <c r="AC2199" s="67"/>
      <c r="AD2199" s="94">
        <v>1.289758</v>
      </c>
      <c r="AE2199" s="94"/>
      <c r="AF2199" s="94"/>
      <c r="AG2199" s="94"/>
      <c r="AH2199" s="58" t="s">
        <v>139</v>
      </c>
      <c r="AI2199" s="169"/>
      <c r="AJ2199" s="94">
        <v>1.8</v>
      </c>
      <c r="AK2199" s="94"/>
      <c r="AL2199" s="58"/>
      <c r="AM2199" s="58" t="s">
        <v>2135</v>
      </c>
      <c r="AN2199" s="186" t="s">
        <v>2136</v>
      </c>
      <c r="AO2199" s="185" t="s">
        <v>5150</v>
      </c>
      <c r="AP2199" s="58"/>
      <c r="AQ2199" s="58" t="s">
        <v>553</v>
      </c>
      <c r="AR2199" s="58" t="s">
        <v>2137</v>
      </c>
      <c r="AS2199" s="58" t="s">
        <v>116</v>
      </c>
      <c r="AT2199" s="182"/>
      <c r="AU2199" s="181" t="s">
        <v>7494</v>
      </c>
      <c r="AV2199" s="185" t="s">
        <v>176</v>
      </c>
      <c r="AW2199" s="58"/>
      <c r="AX2199" s="185" t="s">
        <v>176</v>
      </c>
      <c r="AY2199" s="58"/>
      <c r="AZ2199" s="58" t="s">
        <v>1016</v>
      </c>
      <c r="BA2199" s="58"/>
      <c r="BB2199" s="58" t="s">
        <v>2082</v>
      </c>
      <c r="BC2199" s="58" t="s">
        <v>2082</v>
      </c>
      <c r="BD2199" s="58"/>
      <c r="BE2199" s="236" t="s">
        <v>2138</v>
      </c>
      <c r="BF2199" s="58"/>
      <c r="BG2199" s="191" t="s">
        <v>479</v>
      </c>
      <c r="BH2199" s="236"/>
      <c r="BI2199" s="58"/>
      <c r="BJ2199" s="58"/>
      <c r="BK2199" s="58" t="s">
        <v>6269</v>
      </c>
      <c r="BL2199" s="58"/>
      <c r="BM2199" s="237" t="s">
        <v>160</v>
      </c>
      <c r="BN2199" s="58">
        <v>3</v>
      </c>
      <c r="BO2199" s="58">
        <v>3</v>
      </c>
      <c r="BP2199" s="58"/>
      <c r="BQ2199" s="58" t="s">
        <v>141</v>
      </c>
      <c r="BR2199" s="58"/>
      <c r="BS2199" s="58"/>
      <c r="BT2199" s="58"/>
      <c r="BU2199" s="58"/>
      <c r="BV2199" s="58"/>
      <c r="BW2199" s="67">
        <v>6590</v>
      </c>
      <c r="BX2199" s="67">
        <v>6710</v>
      </c>
      <c r="BY2199" s="67"/>
      <c r="BZ2199" s="67"/>
      <c r="CA2199" s="67"/>
      <c r="CB2199" s="68">
        <v>3350</v>
      </c>
      <c r="CC2199" s="68">
        <v>3520</v>
      </c>
      <c r="CD2199" s="68"/>
      <c r="CE2199" s="67"/>
      <c r="CF2199" s="67"/>
      <c r="CG2199" s="67"/>
      <c r="CH2199" s="94">
        <v>1.289758</v>
      </c>
      <c r="CI2199" s="94">
        <v>1.2781</v>
      </c>
      <c r="CJ2199" s="67"/>
      <c r="CK2199" s="67"/>
      <c r="CL2199" s="67"/>
      <c r="CM2199" s="67">
        <v>1.79</v>
      </c>
      <c r="CN2199" s="67">
        <v>1.84</v>
      </c>
      <c r="CO2199" s="67"/>
      <c r="CP2199" s="67"/>
      <c r="CQ2199" s="67" t="s">
        <v>2240</v>
      </c>
      <c r="CR2199" s="67"/>
      <c r="CS2199" s="67"/>
      <c r="CT2199" s="67"/>
      <c r="CU2199" s="67"/>
      <c r="CV2199" s="67" t="s">
        <v>3039</v>
      </c>
      <c r="CW2199" s="67"/>
      <c r="CX2199" s="67"/>
      <c r="CY2199" s="67"/>
      <c r="CZ2199" s="67"/>
      <c r="DA2199" s="67" t="s">
        <v>4458</v>
      </c>
      <c r="DB2199" s="67">
        <v>1780</v>
      </c>
      <c r="DC2199" s="67">
        <v>1900</v>
      </c>
      <c r="DD2199" s="67"/>
      <c r="DE2199" s="67"/>
      <c r="DF2199" s="67" t="s">
        <v>2241</v>
      </c>
      <c r="DG2199" s="67"/>
      <c r="DH2199" s="67"/>
      <c r="DI2199" s="67"/>
      <c r="DJ2199" s="67"/>
      <c r="DK2199" s="67"/>
      <c r="DL2199" s="67"/>
      <c r="DM2199" s="67"/>
      <c r="DN2199" s="67"/>
      <c r="DO2199" s="67"/>
      <c r="DP2199" s="67"/>
      <c r="DQ2199" s="166"/>
      <c r="DR2199" s="166"/>
      <c r="DS2199" s="163"/>
      <c r="DT2199" s="163"/>
      <c r="DU2199" s="67"/>
      <c r="DV2199" s="67"/>
      <c r="DW2199" s="67"/>
      <c r="DX2199" s="67"/>
      <c r="DY2199" s="67"/>
      <c r="DZ2199" s="67"/>
      <c r="EA2199" s="67"/>
      <c r="EB2199" s="67"/>
      <c r="EC2199" s="67"/>
      <c r="ED2199" s="67"/>
      <c r="EE2199" s="67"/>
      <c r="EF2199" s="67"/>
      <c r="EG2199" s="67"/>
      <c r="EH2199" s="67"/>
      <c r="EI2199" s="67"/>
      <c r="EJ2199" s="67"/>
      <c r="EK2199" s="94"/>
      <c r="EL2199" s="94"/>
      <c r="EM2199" s="67"/>
      <c r="EN2199" s="67"/>
      <c r="EO2199" s="67"/>
      <c r="EP2199" s="67"/>
      <c r="EQ2199" s="67"/>
      <c r="ER2199" s="67"/>
      <c r="ES2199" s="67"/>
      <c r="ET2199" s="67"/>
      <c r="EU2199" s="67"/>
      <c r="EV2199" s="67"/>
      <c r="EW2199" s="67"/>
      <c r="EX2199" s="67"/>
      <c r="EY2199" s="67"/>
      <c r="EZ2199" s="67"/>
      <c r="FA2199" s="67"/>
      <c r="FB2199" s="67"/>
      <c r="FC2199" s="67"/>
      <c r="FD2199" s="67"/>
      <c r="FE2199" s="67"/>
      <c r="FF2199" s="67"/>
      <c r="FG2199" s="67"/>
      <c r="FH2199" s="67"/>
      <c r="FI2199" s="67"/>
      <c r="FJ2199" s="67"/>
      <c r="FK2199" s="67"/>
      <c r="FL2199" s="67"/>
      <c r="FM2199" s="67"/>
      <c r="FN2199" s="67"/>
      <c r="FO2199" s="67"/>
      <c r="FP2199" s="67"/>
      <c r="FQ2199" s="67"/>
      <c r="FR2199" s="67"/>
      <c r="FS2199" s="67"/>
      <c r="FT2199" s="67"/>
      <c r="FU2199" s="67"/>
      <c r="FV2199" s="67"/>
      <c r="FW2199" s="67"/>
      <c r="FX2199" s="67"/>
      <c r="FY2199" s="67"/>
      <c r="FZ2199" s="67"/>
      <c r="GA2199" s="67"/>
      <c r="GB2199" s="67"/>
      <c r="GC2199" s="67"/>
      <c r="GD2199" s="67"/>
      <c r="GE2199" s="67"/>
      <c r="GF2199" s="67"/>
      <c r="GG2199" s="67"/>
      <c r="GH2199" s="67"/>
      <c r="GI2199" s="67"/>
      <c r="GJ2199" s="67"/>
      <c r="GK2199" s="67"/>
      <c r="GL2199" s="67"/>
      <c r="GM2199" s="67"/>
      <c r="GN2199" s="292"/>
      <c r="GO2199" s="292"/>
      <c r="GP2199" s="292" t="s">
        <v>7494</v>
      </c>
      <c r="GQ2199" s="67"/>
      <c r="GR2199" s="67"/>
      <c r="GS2199" s="67"/>
      <c r="GT2199" s="67"/>
      <c r="GU2199" s="67"/>
      <c r="GV2199" s="67"/>
      <c r="GW2199" s="67"/>
      <c r="GX2199" s="67"/>
      <c r="GY2199" s="67"/>
      <c r="GZ2199" s="67"/>
      <c r="HA2199" s="67"/>
      <c r="HB2199" s="67"/>
      <c r="HC2199" s="67"/>
      <c r="HD2199" s="67"/>
      <c r="HE2199" s="67"/>
      <c r="HF2199" s="67"/>
      <c r="HG2199" s="67"/>
      <c r="HH2199" s="67"/>
      <c r="HI2199" s="67"/>
      <c r="HJ2199" s="67"/>
      <c r="HK2199" s="67"/>
      <c r="HL2199" s="67"/>
      <c r="HM2199" s="67"/>
      <c r="HN2199" s="67"/>
      <c r="HO2199" s="67"/>
      <c r="HP2199" s="67"/>
      <c r="HQ2199" s="67"/>
      <c r="HR2199" s="67"/>
      <c r="HS2199" s="67"/>
      <c r="HT2199" s="67"/>
      <c r="HU2199" s="67"/>
      <c r="HV2199" s="67"/>
      <c r="HW2199" s="67"/>
      <c r="HX2199" s="67">
        <v>192</v>
      </c>
      <c r="HY2199" s="67">
        <v>256</v>
      </c>
      <c r="HZ2199" s="67"/>
      <c r="IA2199" s="67"/>
      <c r="IB2199" s="67" t="s">
        <v>2242</v>
      </c>
      <c r="IC2199" s="67"/>
      <c r="ID2199" s="67"/>
      <c r="IE2199" s="67"/>
      <c r="IF2199" s="67"/>
      <c r="IG2199" s="67"/>
      <c r="IH2199" s="67"/>
      <c r="II2199" s="67"/>
      <c r="IJ2199" s="67"/>
      <c r="IK2199" s="67"/>
      <c r="IL2199" s="67"/>
      <c r="IM2199" s="67"/>
      <c r="IN2199" s="67"/>
      <c r="IO2199" s="67"/>
      <c r="IP2199" s="67"/>
      <c r="IQ2199" s="67"/>
      <c r="IR2199" s="67"/>
      <c r="IS2199" s="67"/>
      <c r="IT2199" s="67"/>
      <c r="IU2199" s="67"/>
      <c r="IV2199" s="67"/>
      <c r="IW2199" s="67">
        <v>2872</v>
      </c>
      <c r="IX2199" s="67">
        <v>6222</v>
      </c>
      <c r="IY2199" s="67"/>
      <c r="IZ2199" s="67"/>
      <c r="JA2199" s="67" t="s">
        <v>2243</v>
      </c>
      <c r="JB2199" s="67"/>
      <c r="JC2199" s="67"/>
      <c r="JD2199" s="67"/>
      <c r="JE2199" s="67"/>
      <c r="JF2199" s="67"/>
      <c r="JG2199" s="67"/>
      <c r="JH2199" s="67"/>
      <c r="JI2199" s="67"/>
      <c r="JJ2199" s="67"/>
      <c r="JK2199" s="67"/>
      <c r="JL2199" s="67"/>
      <c r="JM2199" s="67"/>
      <c r="JN2199" s="67"/>
      <c r="JO2199" s="67"/>
      <c r="JP2199" s="67"/>
      <c r="JQ2199" s="67"/>
      <c r="JR2199" s="67"/>
      <c r="JS2199" s="67"/>
      <c r="JT2199" s="67"/>
      <c r="JU2199" s="58"/>
      <c r="JV2199" s="58"/>
      <c r="JW2199" s="58"/>
    </row>
    <row r="2200" spans="1:283" s="23" customFormat="1" x14ac:dyDescent="0.25">
      <c r="A2200" s="55">
        <v>2199</v>
      </c>
      <c r="B2200" s="12" t="s">
        <v>7067</v>
      </c>
      <c r="C2200" s="156">
        <v>102</v>
      </c>
      <c r="D2200" s="58" t="s">
        <v>4175</v>
      </c>
      <c r="E2200" s="94" t="s">
        <v>2133</v>
      </c>
      <c r="F2200" s="94"/>
      <c r="G2200" s="58"/>
      <c r="H2200" s="58">
        <v>2000</v>
      </c>
      <c r="I2200" s="58">
        <v>1995</v>
      </c>
      <c r="J2200" s="58" t="s">
        <v>2003</v>
      </c>
      <c r="K2200" s="58" t="s">
        <v>2134</v>
      </c>
      <c r="L2200" s="58" t="s">
        <v>2738</v>
      </c>
      <c r="M2200" s="94">
        <v>50.29</v>
      </c>
      <c r="N2200" s="94">
        <v>-107.8</v>
      </c>
      <c r="O2200" s="94">
        <v>817</v>
      </c>
      <c r="P2200" s="58">
        <v>3.3</v>
      </c>
      <c r="Q2200" s="58"/>
      <c r="R2200" s="58">
        <v>350</v>
      </c>
      <c r="S2200" s="94"/>
      <c r="T2200" s="58"/>
      <c r="U2200" s="58">
        <v>9</v>
      </c>
      <c r="V2200" s="58">
        <v>9</v>
      </c>
      <c r="W2200" s="174"/>
      <c r="X2200" s="174"/>
      <c r="Y2200" s="58" t="s">
        <v>2239</v>
      </c>
      <c r="Z2200" s="59" t="s">
        <v>1347</v>
      </c>
      <c r="AA2200" s="94">
        <v>7.5</v>
      </c>
      <c r="AB2200" s="67"/>
      <c r="AC2200" s="67"/>
      <c r="AD2200" s="94">
        <v>1.289758</v>
      </c>
      <c r="AE2200" s="94"/>
      <c r="AF2200" s="94"/>
      <c r="AG2200" s="94"/>
      <c r="AH2200" s="58" t="s">
        <v>139</v>
      </c>
      <c r="AI2200" s="169"/>
      <c r="AJ2200" s="94">
        <v>1.8</v>
      </c>
      <c r="AK2200" s="94"/>
      <c r="AL2200" s="58"/>
      <c r="AM2200" s="58" t="s">
        <v>2135</v>
      </c>
      <c r="AN2200" s="186" t="s">
        <v>2136</v>
      </c>
      <c r="AO2200" s="185" t="s">
        <v>5150</v>
      </c>
      <c r="AP2200" s="58"/>
      <c r="AQ2200" s="58" t="s">
        <v>553</v>
      </c>
      <c r="AR2200" s="58" t="s">
        <v>2137</v>
      </c>
      <c r="AS2200" s="58" t="s">
        <v>116</v>
      </c>
      <c r="AT2200" s="182"/>
      <c r="AU2200" s="181" t="s">
        <v>7494</v>
      </c>
      <c r="AV2200" s="185" t="s">
        <v>176</v>
      </c>
      <c r="AW2200" s="58"/>
      <c r="AX2200" s="185" t="s">
        <v>176</v>
      </c>
      <c r="AY2200" s="58"/>
      <c r="AZ2200" s="58" t="s">
        <v>1016</v>
      </c>
      <c r="BA2200" s="58"/>
      <c r="BB2200" s="58" t="s">
        <v>2082</v>
      </c>
      <c r="BC2200" s="58" t="s">
        <v>2082</v>
      </c>
      <c r="BD2200" s="58"/>
      <c r="BE2200" s="236" t="s">
        <v>2138</v>
      </c>
      <c r="BF2200" s="58"/>
      <c r="BG2200" s="191" t="s">
        <v>479</v>
      </c>
      <c r="BH2200" s="236"/>
      <c r="BI2200" s="58"/>
      <c r="BJ2200" s="58"/>
      <c r="BK2200" s="58" t="s">
        <v>6269</v>
      </c>
      <c r="BL2200" s="58"/>
      <c r="BM2200" s="237" t="s">
        <v>160</v>
      </c>
      <c r="BN2200" s="58">
        <v>3</v>
      </c>
      <c r="BO2200" s="58">
        <v>3</v>
      </c>
      <c r="BP2200" s="58"/>
      <c r="BQ2200" s="58" t="s">
        <v>141</v>
      </c>
      <c r="BR2200" s="58"/>
      <c r="BS2200" s="58"/>
      <c r="BT2200" s="58"/>
      <c r="BU2200" s="58"/>
      <c r="BV2200" s="58"/>
      <c r="BW2200" s="67">
        <v>5090</v>
      </c>
      <c r="BX2200" s="67">
        <v>5750</v>
      </c>
      <c r="BY2200" s="67"/>
      <c r="BZ2200" s="67"/>
      <c r="CA2200" s="67"/>
      <c r="CB2200" s="68">
        <v>2870</v>
      </c>
      <c r="CC2200" s="68">
        <v>3310</v>
      </c>
      <c r="CD2200" s="68"/>
      <c r="CE2200" s="67"/>
      <c r="CF2200" s="67"/>
      <c r="CG2200" s="67"/>
      <c r="CH2200" s="94">
        <v>1.289758</v>
      </c>
      <c r="CI2200" s="94">
        <v>1.2781</v>
      </c>
      <c r="CJ2200" s="67"/>
      <c r="CK2200" s="67"/>
      <c r="CL2200" s="67"/>
      <c r="CM2200" s="67">
        <v>1.87</v>
      </c>
      <c r="CN2200" s="67">
        <v>2.06</v>
      </c>
      <c r="CO2200" s="67"/>
      <c r="CP2200" s="67"/>
      <c r="CQ2200" s="67" t="s">
        <v>2240</v>
      </c>
      <c r="CR2200" s="67"/>
      <c r="CS2200" s="67"/>
      <c r="CT2200" s="67"/>
      <c r="CU2200" s="67"/>
      <c r="CV2200" s="67" t="s">
        <v>3039</v>
      </c>
      <c r="CW2200" s="67"/>
      <c r="CX2200" s="67"/>
      <c r="CY2200" s="67"/>
      <c r="CZ2200" s="67"/>
      <c r="DA2200" s="67" t="s">
        <v>4458</v>
      </c>
      <c r="DB2200" s="67">
        <v>1840</v>
      </c>
      <c r="DC2200" s="67">
        <v>1990</v>
      </c>
      <c r="DD2200" s="67"/>
      <c r="DE2200" s="67"/>
      <c r="DF2200" s="67" t="s">
        <v>2241</v>
      </c>
      <c r="DG2200" s="67"/>
      <c r="DH2200" s="67"/>
      <c r="DI2200" s="67"/>
      <c r="DJ2200" s="67"/>
      <c r="DK2200" s="67"/>
      <c r="DL2200" s="67"/>
      <c r="DM2200" s="67"/>
      <c r="DN2200" s="67"/>
      <c r="DO2200" s="67"/>
      <c r="DP2200" s="67"/>
      <c r="DQ2200" s="166"/>
      <c r="DR2200" s="166"/>
      <c r="DS2200" s="163"/>
      <c r="DT2200" s="163"/>
      <c r="DU2200" s="67"/>
      <c r="DV2200" s="67"/>
      <c r="DW2200" s="67"/>
      <c r="DX2200" s="67"/>
      <c r="DY2200" s="67"/>
      <c r="DZ2200" s="67"/>
      <c r="EA2200" s="67"/>
      <c r="EB2200" s="67"/>
      <c r="EC2200" s="67"/>
      <c r="ED2200" s="67"/>
      <c r="EE2200" s="67"/>
      <c r="EF2200" s="67"/>
      <c r="EG2200" s="67"/>
      <c r="EH2200" s="67"/>
      <c r="EI2200" s="67"/>
      <c r="EJ2200" s="67"/>
      <c r="EK2200" s="94"/>
      <c r="EL2200" s="94"/>
      <c r="EM2200" s="67"/>
      <c r="EN2200" s="67"/>
      <c r="EO2200" s="67"/>
      <c r="EP2200" s="67"/>
      <c r="EQ2200" s="67"/>
      <c r="ER2200" s="67"/>
      <c r="ES2200" s="67"/>
      <c r="ET2200" s="67"/>
      <c r="EU2200" s="67"/>
      <c r="EV2200" s="67"/>
      <c r="EW2200" s="67"/>
      <c r="EX2200" s="67"/>
      <c r="EY2200" s="67"/>
      <c r="EZ2200" s="67"/>
      <c r="FA2200" s="67"/>
      <c r="FB2200" s="67"/>
      <c r="FC2200" s="67"/>
      <c r="FD2200" s="67"/>
      <c r="FE2200" s="67"/>
      <c r="FF2200" s="67"/>
      <c r="FG2200" s="67"/>
      <c r="FH2200" s="67"/>
      <c r="FI2200" s="67"/>
      <c r="FJ2200" s="67"/>
      <c r="FK2200" s="67"/>
      <c r="FL2200" s="67"/>
      <c r="FM2200" s="67"/>
      <c r="FN2200" s="67"/>
      <c r="FO2200" s="67"/>
      <c r="FP2200" s="67"/>
      <c r="FQ2200" s="67"/>
      <c r="FR2200" s="67"/>
      <c r="FS2200" s="67"/>
      <c r="FT2200" s="67"/>
      <c r="FU2200" s="67"/>
      <c r="FV2200" s="67"/>
      <c r="FW2200" s="67"/>
      <c r="FX2200" s="67"/>
      <c r="FY2200" s="67"/>
      <c r="FZ2200" s="67"/>
      <c r="GA2200" s="67"/>
      <c r="GB2200" s="67"/>
      <c r="GC2200" s="67"/>
      <c r="GD2200" s="67"/>
      <c r="GE2200" s="67"/>
      <c r="GF2200" s="67"/>
      <c r="GG2200" s="67"/>
      <c r="GH2200" s="67"/>
      <c r="GI2200" s="67"/>
      <c r="GJ2200" s="67"/>
      <c r="GK2200" s="67"/>
      <c r="GL2200" s="67"/>
      <c r="GM2200" s="67"/>
      <c r="GN2200" s="292"/>
      <c r="GO2200" s="292"/>
      <c r="GP2200" s="292" t="s">
        <v>7494</v>
      </c>
      <c r="GQ2200" s="67"/>
      <c r="GR2200" s="67"/>
      <c r="GS2200" s="67"/>
      <c r="GT2200" s="67"/>
      <c r="GU2200" s="67"/>
      <c r="GV2200" s="67"/>
      <c r="GW2200" s="67"/>
      <c r="GX2200" s="67"/>
      <c r="GY2200" s="67"/>
      <c r="GZ2200" s="67"/>
      <c r="HA2200" s="67"/>
      <c r="HB2200" s="67"/>
      <c r="HC2200" s="67"/>
      <c r="HD2200" s="67"/>
      <c r="HE2200" s="67"/>
      <c r="HF2200" s="67"/>
      <c r="HG2200" s="67"/>
      <c r="HH2200" s="67"/>
      <c r="HI2200" s="67"/>
      <c r="HJ2200" s="67"/>
      <c r="HK2200" s="67"/>
      <c r="HL2200" s="67"/>
      <c r="HM2200" s="67"/>
      <c r="HN2200" s="67"/>
      <c r="HO2200" s="67"/>
      <c r="HP2200" s="67"/>
      <c r="HQ2200" s="67"/>
      <c r="HR2200" s="67"/>
      <c r="HS2200" s="67"/>
      <c r="HT2200" s="67"/>
      <c r="HU2200" s="67"/>
      <c r="HV2200" s="67"/>
      <c r="HW2200" s="67"/>
      <c r="HX2200" s="67"/>
      <c r="HY2200" s="67"/>
      <c r="HZ2200" s="67"/>
      <c r="IA2200" s="67"/>
      <c r="IB2200" s="67" t="s">
        <v>2242</v>
      </c>
      <c r="IC2200" s="67"/>
      <c r="ID2200" s="67"/>
      <c r="IE2200" s="67"/>
      <c r="IF2200" s="67"/>
      <c r="IG2200" s="67"/>
      <c r="IH2200" s="67"/>
      <c r="II2200" s="67"/>
      <c r="IJ2200" s="67"/>
      <c r="IK2200" s="67"/>
      <c r="IL2200" s="67"/>
      <c r="IM2200" s="67"/>
      <c r="IN2200" s="67"/>
      <c r="IO2200" s="67"/>
      <c r="IP2200" s="67"/>
      <c r="IQ2200" s="67"/>
      <c r="IR2200" s="67"/>
      <c r="IS2200" s="67"/>
      <c r="IT2200" s="67"/>
      <c r="IU2200" s="67"/>
      <c r="IV2200" s="67"/>
      <c r="IW2200" s="67">
        <v>2171</v>
      </c>
      <c r="IX2200" s="67">
        <v>4150</v>
      </c>
      <c r="IY2200" s="67"/>
      <c r="IZ2200" s="67"/>
      <c r="JA2200" s="67" t="s">
        <v>2244</v>
      </c>
      <c r="JB2200" s="67"/>
      <c r="JC2200" s="67"/>
      <c r="JD2200" s="67"/>
      <c r="JE2200" s="67"/>
      <c r="JF2200" s="67"/>
      <c r="JG2200" s="67"/>
      <c r="JH2200" s="67"/>
      <c r="JI2200" s="67"/>
      <c r="JJ2200" s="67"/>
      <c r="JK2200" s="67"/>
      <c r="JL2200" s="67"/>
      <c r="JM2200" s="67"/>
      <c r="JN2200" s="67"/>
      <c r="JO2200" s="67"/>
      <c r="JP2200" s="67"/>
      <c r="JQ2200" s="67"/>
      <c r="JR2200" s="67"/>
      <c r="JS2200" s="67"/>
      <c r="JT2200" s="67"/>
      <c r="JU2200" s="58"/>
      <c r="JV2200" s="58"/>
      <c r="JW2200" s="58"/>
    </row>
    <row r="2201" spans="1:283" s="23" customFormat="1" x14ac:dyDescent="0.25">
      <c r="A2201" s="55">
        <v>2200</v>
      </c>
      <c r="B2201" s="12" t="s">
        <v>7067</v>
      </c>
      <c r="C2201" s="156">
        <v>102</v>
      </c>
      <c r="D2201" s="58" t="s">
        <v>4175</v>
      </c>
      <c r="E2201" s="94" t="s">
        <v>2133</v>
      </c>
      <c r="F2201" s="94"/>
      <c r="G2201" s="58"/>
      <c r="H2201" s="58">
        <v>2000</v>
      </c>
      <c r="I2201" s="58">
        <v>1995</v>
      </c>
      <c r="J2201" s="58" t="s">
        <v>2003</v>
      </c>
      <c r="K2201" s="58" t="s">
        <v>2134</v>
      </c>
      <c r="L2201" s="58" t="s">
        <v>2738</v>
      </c>
      <c r="M2201" s="94">
        <v>50.29</v>
      </c>
      <c r="N2201" s="94">
        <v>-107.8</v>
      </c>
      <c r="O2201" s="94">
        <v>817</v>
      </c>
      <c r="P2201" s="58">
        <v>3.3</v>
      </c>
      <c r="Q2201" s="58"/>
      <c r="R2201" s="58">
        <v>350</v>
      </c>
      <c r="S2201" s="94"/>
      <c r="T2201" s="58"/>
      <c r="U2201" s="58">
        <v>9</v>
      </c>
      <c r="V2201" s="58">
        <v>9</v>
      </c>
      <c r="W2201" s="174"/>
      <c r="X2201" s="174"/>
      <c r="Y2201" s="58" t="s">
        <v>2239</v>
      </c>
      <c r="Z2201" s="59" t="s">
        <v>1347</v>
      </c>
      <c r="AA2201" s="94">
        <v>7.5</v>
      </c>
      <c r="AB2201" s="67"/>
      <c r="AC2201" s="67"/>
      <c r="AD2201" s="94">
        <v>1.289758</v>
      </c>
      <c r="AE2201" s="94"/>
      <c r="AF2201" s="94"/>
      <c r="AG2201" s="94"/>
      <c r="AH2201" s="58" t="s">
        <v>139</v>
      </c>
      <c r="AI2201" s="169"/>
      <c r="AJ2201" s="94">
        <v>1.8</v>
      </c>
      <c r="AK2201" s="94"/>
      <c r="AL2201" s="58"/>
      <c r="AM2201" s="58" t="s">
        <v>2135</v>
      </c>
      <c r="AN2201" s="186" t="s">
        <v>2136</v>
      </c>
      <c r="AO2201" s="185" t="s">
        <v>5150</v>
      </c>
      <c r="AP2201" s="58"/>
      <c r="AQ2201" s="58" t="s">
        <v>553</v>
      </c>
      <c r="AR2201" s="58" t="s">
        <v>2137</v>
      </c>
      <c r="AS2201" s="58" t="s">
        <v>116</v>
      </c>
      <c r="AT2201" s="182"/>
      <c r="AU2201" s="181" t="s">
        <v>7494</v>
      </c>
      <c r="AV2201" s="185" t="s">
        <v>176</v>
      </c>
      <c r="AW2201" s="58"/>
      <c r="AX2201" s="185" t="s">
        <v>176</v>
      </c>
      <c r="AY2201" s="58"/>
      <c r="AZ2201" s="58" t="s">
        <v>1016</v>
      </c>
      <c r="BA2201" s="58"/>
      <c r="BB2201" s="58" t="s">
        <v>2082</v>
      </c>
      <c r="BC2201" s="58" t="s">
        <v>2082</v>
      </c>
      <c r="BD2201" s="58"/>
      <c r="BE2201" s="236" t="s">
        <v>2138</v>
      </c>
      <c r="BF2201" s="58"/>
      <c r="BG2201" s="191" t="s">
        <v>479</v>
      </c>
      <c r="BH2201" s="236"/>
      <c r="BI2201" s="58"/>
      <c r="BJ2201" s="58"/>
      <c r="BK2201" s="58" t="s">
        <v>6269</v>
      </c>
      <c r="BL2201" s="58"/>
      <c r="BM2201" s="237" t="s">
        <v>160</v>
      </c>
      <c r="BN2201" s="58">
        <v>3</v>
      </c>
      <c r="BO2201" s="58">
        <v>3</v>
      </c>
      <c r="BP2201" s="58"/>
      <c r="BQ2201" s="58" t="s">
        <v>141</v>
      </c>
      <c r="BR2201" s="58"/>
      <c r="BS2201" s="58"/>
      <c r="BT2201" s="58"/>
      <c r="BU2201" s="58"/>
      <c r="BV2201" s="58"/>
      <c r="BW2201" s="67">
        <v>4320</v>
      </c>
      <c r="BX2201" s="67">
        <v>4720</v>
      </c>
      <c r="BY2201" s="67"/>
      <c r="BZ2201" s="67"/>
      <c r="CA2201" s="67"/>
      <c r="CB2201" s="68">
        <v>2190</v>
      </c>
      <c r="CC2201" s="68">
        <v>2490</v>
      </c>
      <c r="CD2201" s="68"/>
      <c r="CE2201" s="67"/>
      <c r="CF2201" s="67"/>
      <c r="CG2201" s="67"/>
      <c r="CH2201" s="94">
        <v>1.289758</v>
      </c>
      <c r="CI2201" s="94">
        <v>1.2781</v>
      </c>
      <c r="CJ2201" s="67"/>
      <c r="CK2201" s="67"/>
      <c r="CL2201" s="67"/>
      <c r="CM2201" s="67">
        <v>1.85</v>
      </c>
      <c r="CN2201" s="67">
        <v>1.8</v>
      </c>
      <c r="CO2201" s="67"/>
      <c r="CP2201" s="67"/>
      <c r="CQ2201" s="67" t="s">
        <v>2240</v>
      </c>
      <c r="CR2201" s="67"/>
      <c r="CS2201" s="67"/>
      <c r="CT2201" s="67"/>
      <c r="CU2201" s="67"/>
      <c r="CV2201" s="67" t="s">
        <v>3039</v>
      </c>
      <c r="CW2201" s="67"/>
      <c r="CX2201" s="67"/>
      <c r="CY2201" s="67"/>
      <c r="CZ2201" s="67"/>
      <c r="DA2201" s="67" t="s">
        <v>4458</v>
      </c>
      <c r="DB2201" s="67">
        <v>1840</v>
      </c>
      <c r="DC2201" s="67">
        <v>1790</v>
      </c>
      <c r="DD2201" s="67"/>
      <c r="DE2201" s="67"/>
      <c r="DF2201" s="67" t="s">
        <v>2241</v>
      </c>
      <c r="DG2201" s="67"/>
      <c r="DH2201" s="67"/>
      <c r="DI2201" s="67"/>
      <c r="DJ2201" s="67"/>
      <c r="DK2201" s="67"/>
      <c r="DL2201" s="67"/>
      <c r="DM2201" s="67"/>
      <c r="DN2201" s="67"/>
      <c r="DO2201" s="67"/>
      <c r="DP2201" s="67"/>
      <c r="DQ2201" s="166"/>
      <c r="DR2201" s="166"/>
      <c r="DS2201" s="163"/>
      <c r="DT2201" s="163"/>
      <c r="DU2201" s="67"/>
      <c r="DV2201" s="67"/>
      <c r="DW2201" s="67"/>
      <c r="DX2201" s="67"/>
      <c r="DY2201" s="67"/>
      <c r="DZ2201" s="67"/>
      <c r="EA2201" s="67"/>
      <c r="EB2201" s="67"/>
      <c r="EC2201" s="67"/>
      <c r="ED2201" s="67"/>
      <c r="EE2201" s="67"/>
      <c r="EF2201" s="67"/>
      <c r="EG2201" s="67"/>
      <c r="EH2201" s="67"/>
      <c r="EI2201" s="67"/>
      <c r="EJ2201" s="67"/>
      <c r="EK2201" s="94"/>
      <c r="EL2201" s="94"/>
      <c r="EM2201" s="67"/>
      <c r="EN2201" s="67"/>
      <c r="EO2201" s="67"/>
      <c r="EP2201" s="67"/>
      <c r="EQ2201" s="67"/>
      <c r="ER2201" s="67"/>
      <c r="ES2201" s="67"/>
      <c r="ET2201" s="67"/>
      <c r="EU2201" s="67"/>
      <c r="EV2201" s="67"/>
      <c r="EW2201" s="67"/>
      <c r="EX2201" s="67"/>
      <c r="EY2201" s="67"/>
      <c r="EZ2201" s="67"/>
      <c r="FA2201" s="67"/>
      <c r="FB2201" s="67"/>
      <c r="FC2201" s="67"/>
      <c r="FD2201" s="67"/>
      <c r="FE2201" s="67"/>
      <c r="FF2201" s="67"/>
      <c r="FG2201" s="67"/>
      <c r="FH2201" s="67"/>
      <c r="FI2201" s="67"/>
      <c r="FJ2201" s="67"/>
      <c r="FK2201" s="67"/>
      <c r="FL2201" s="67"/>
      <c r="FM2201" s="67"/>
      <c r="FN2201" s="67"/>
      <c r="FO2201" s="67"/>
      <c r="FP2201" s="67"/>
      <c r="FQ2201" s="67"/>
      <c r="FR2201" s="67"/>
      <c r="FS2201" s="67"/>
      <c r="FT2201" s="67"/>
      <c r="FU2201" s="67"/>
      <c r="FV2201" s="67"/>
      <c r="FW2201" s="67"/>
      <c r="FX2201" s="67"/>
      <c r="FY2201" s="67"/>
      <c r="FZ2201" s="67"/>
      <c r="GA2201" s="67"/>
      <c r="GB2201" s="67"/>
      <c r="GC2201" s="67"/>
      <c r="GD2201" s="67"/>
      <c r="GE2201" s="67"/>
      <c r="GF2201" s="67"/>
      <c r="GG2201" s="67"/>
      <c r="GH2201" s="67"/>
      <c r="GI2201" s="67"/>
      <c r="GJ2201" s="67"/>
      <c r="GK2201" s="67"/>
      <c r="GL2201" s="67"/>
      <c r="GM2201" s="67"/>
      <c r="GN2201" s="292"/>
      <c r="GO2201" s="292"/>
      <c r="GP2201" s="292" t="s">
        <v>7494</v>
      </c>
      <c r="GQ2201" s="67"/>
      <c r="GR2201" s="67"/>
      <c r="GS2201" s="67"/>
      <c r="GT2201" s="67"/>
      <c r="GU2201" s="67"/>
      <c r="GV2201" s="67"/>
      <c r="GW2201" s="67"/>
      <c r="GX2201" s="67"/>
      <c r="GY2201" s="67"/>
      <c r="GZ2201" s="67"/>
      <c r="HA2201" s="67"/>
      <c r="HB2201" s="67"/>
      <c r="HC2201" s="67"/>
      <c r="HD2201" s="67"/>
      <c r="HE2201" s="67"/>
      <c r="HF2201" s="67"/>
      <c r="HG2201" s="67"/>
      <c r="HH2201" s="67"/>
      <c r="HI2201" s="67"/>
      <c r="HJ2201" s="67"/>
      <c r="HK2201" s="67"/>
      <c r="HL2201" s="67"/>
      <c r="HM2201" s="67"/>
      <c r="HN2201" s="67"/>
      <c r="HO2201" s="67"/>
      <c r="HP2201" s="67"/>
      <c r="HQ2201" s="67"/>
      <c r="HR2201" s="67"/>
      <c r="HS2201" s="67"/>
      <c r="HT2201" s="67"/>
      <c r="HU2201" s="67"/>
      <c r="HV2201" s="67"/>
      <c r="HW2201" s="67"/>
      <c r="HX2201" s="67">
        <v>210</v>
      </c>
      <c r="HY2201" s="67">
        <v>206</v>
      </c>
      <c r="HZ2201" s="67"/>
      <c r="IA2201" s="67"/>
      <c r="IB2201" s="67" t="s">
        <v>2242</v>
      </c>
      <c r="IC2201" s="67"/>
      <c r="ID2201" s="67"/>
      <c r="IE2201" s="67"/>
      <c r="IF2201" s="67"/>
      <c r="IG2201" s="67"/>
      <c r="IH2201" s="67"/>
      <c r="II2201" s="67"/>
      <c r="IJ2201" s="67"/>
      <c r="IK2201" s="67"/>
      <c r="IL2201" s="67"/>
      <c r="IM2201" s="67"/>
      <c r="IN2201" s="67"/>
      <c r="IO2201" s="67"/>
      <c r="IP2201" s="67"/>
      <c r="IQ2201" s="67"/>
      <c r="IR2201" s="67"/>
      <c r="IS2201" s="67"/>
      <c r="IT2201" s="67"/>
      <c r="IU2201" s="67"/>
      <c r="IV2201" s="67"/>
      <c r="IW2201" s="67"/>
      <c r="IX2201" s="67"/>
      <c r="IY2201" s="67"/>
      <c r="IZ2201" s="67"/>
      <c r="JA2201" s="67"/>
      <c r="JB2201" s="67"/>
      <c r="JC2201" s="67"/>
      <c r="JD2201" s="67"/>
      <c r="JE2201" s="67"/>
      <c r="JF2201" s="67"/>
      <c r="JG2201" s="67"/>
      <c r="JH2201" s="67"/>
      <c r="JI2201" s="67"/>
      <c r="JJ2201" s="67"/>
      <c r="JK2201" s="67"/>
      <c r="JL2201" s="67"/>
      <c r="JM2201" s="67"/>
      <c r="JN2201" s="67"/>
      <c r="JO2201" s="67"/>
      <c r="JP2201" s="67"/>
      <c r="JQ2201" s="67"/>
      <c r="JR2201" s="67"/>
      <c r="JS2201" s="67"/>
      <c r="JT2201" s="67"/>
      <c r="JU2201" s="58"/>
      <c r="JV2201" s="58"/>
      <c r="JW2201" s="58"/>
    </row>
    <row r="2202" spans="1:283" s="23" customFormat="1" x14ac:dyDescent="0.25">
      <c r="A2202" s="55">
        <v>2201</v>
      </c>
      <c r="B2202" s="12" t="s">
        <v>7067</v>
      </c>
      <c r="C2202" s="156">
        <v>102</v>
      </c>
      <c r="D2202" s="58" t="s">
        <v>4176</v>
      </c>
      <c r="E2202" s="94" t="s">
        <v>2133</v>
      </c>
      <c r="F2202" s="94"/>
      <c r="G2202" s="58"/>
      <c r="H2202" s="58">
        <v>2000</v>
      </c>
      <c r="I2202" s="58">
        <v>1995</v>
      </c>
      <c r="J2202" s="58" t="s">
        <v>2003</v>
      </c>
      <c r="K2202" s="58" t="s">
        <v>2134</v>
      </c>
      <c r="L2202" s="58" t="s">
        <v>2738</v>
      </c>
      <c r="M2202" s="94">
        <v>50.29</v>
      </c>
      <c r="N2202" s="94">
        <v>-107.8</v>
      </c>
      <c r="O2202" s="94">
        <v>817</v>
      </c>
      <c r="P2202" s="58">
        <v>3.3</v>
      </c>
      <c r="Q2202" s="58"/>
      <c r="R2202" s="58">
        <v>350</v>
      </c>
      <c r="S2202" s="94"/>
      <c r="T2202" s="58"/>
      <c r="U2202" s="58">
        <v>9</v>
      </c>
      <c r="V2202" s="58">
        <v>9</v>
      </c>
      <c r="W2202" s="174"/>
      <c r="X2202" s="174"/>
      <c r="Y2202" s="58" t="s">
        <v>2239</v>
      </c>
      <c r="Z2202" s="59" t="s">
        <v>1348</v>
      </c>
      <c r="AA2202" s="94">
        <v>7.5</v>
      </c>
      <c r="AB2202" s="67"/>
      <c r="AC2202" s="67"/>
      <c r="AD2202" s="94">
        <v>1.34596</v>
      </c>
      <c r="AE2202" s="94"/>
      <c r="AF2202" s="94"/>
      <c r="AG2202" s="94"/>
      <c r="AH2202" s="58" t="s">
        <v>139</v>
      </c>
      <c r="AI2202" s="169"/>
      <c r="AJ2202" s="94">
        <v>1.8</v>
      </c>
      <c r="AK2202" s="94"/>
      <c r="AL2202" s="58"/>
      <c r="AM2202" s="58" t="s">
        <v>2135</v>
      </c>
      <c r="AN2202" s="186" t="s">
        <v>2136</v>
      </c>
      <c r="AO2202" s="185" t="s">
        <v>5150</v>
      </c>
      <c r="AP2202" s="58"/>
      <c r="AQ2202" s="58" t="s">
        <v>553</v>
      </c>
      <c r="AR2202" s="58" t="s">
        <v>2137</v>
      </c>
      <c r="AS2202" s="58" t="s">
        <v>116</v>
      </c>
      <c r="AT2202" s="182"/>
      <c r="AU2202" s="181" t="s">
        <v>7494</v>
      </c>
      <c r="AV2202" s="185" t="s">
        <v>176</v>
      </c>
      <c r="AW2202" s="58"/>
      <c r="AX2202" s="185" t="s">
        <v>176</v>
      </c>
      <c r="AY2202" s="58"/>
      <c r="AZ2202" s="58" t="s">
        <v>1016</v>
      </c>
      <c r="BA2202" s="58"/>
      <c r="BB2202" s="58" t="s">
        <v>2082</v>
      </c>
      <c r="BC2202" s="58" t="s">
        <v>2082</v>
      </c>
      <c r="BD2202" s="58"/>
      <c r="BE2202" s="236" t="s">
        <v>2138</v>
      </c>
      <c r="BF2202" s="58"/>
      <c r="BG2202" s="191" t="s">
        <v>479</v>
      </c>
      <c r="BH2202" s="236"/>
      <c r="BI2202" s="58"/>
      <c r="BJ2202" s="58"/>
      <c r="BK2202" s="58" t="s">
        <v>6269</v>
      </c>
      <c r="BL2202" s="58"/>
      <c r="BM2202" s="237" t="s">
        <v>160</v>
      </c>
      <c r="BN2202" s="58">
        <v>3</v>
      </c>
      <c r="BO2202" s="58">
        <v>3</v>
      </c>
      <c r="BP2202" s="58"/>
      <c r="BQ2202" s="58" t="s">
        <v>141</v>
      </c>
      <c r="BR2202" s="58"/>
      <c r="BS2202" s="58"/>
      <c r="BT2202" s="58"/>
      <c r="BU2202" s="58"/>
      <c r="BV2202" s="58"/>
      <c r="BW2202" s="67">
        <v>4130</v>
      </c>
      <c r="BX2202" s="67">
        <v>3860</v>
      </c>
      <c r="BY2202" s="67"/>
      <c r="BZ2202" s="67"/>
      <c r="CA2202" s="67"/>
      <c r="CB2202" s="68">
        <v>2530</v>
      </c>
      <c r="CC2202" s="68">
        <v>2370</v>
      </c>
      <c r="CD2202" s="68"/>
      <c r="CE2202" s="67"/>
      <c r="CF2202" s="67"/>
      <c r="CG2202" s="67"/>
      <c r="CH2202" s="94">
        <v>1.34596</v>
      </c>
      <c r="CI2202" s="94">
        <v>1.3477000000000001</v>
      </c>
      <c r="CJ2202" s="67"/>
      <c r="CK2202" s="67"/>
      <c r="CL2202" s="67"/>
      <c r="CM2202" s="67">
        <v>1.27</v>
      </c>
      <c r="CN2202" s="67">
        <v>1.1499999999999999</v>
      </c>
      <c r="CO2202" s="67"/>
      <c r="CP2202" s="67"/>
      <c r="CQ2202" s="67" t="s">
        <v>2240</v>
      </c>
      <c r="CR2202" s="67"/>
      <c r="CS2202" s="67"/>
      <c r="CT2202" s="67"/>
      <c r="CU2202" s="67"/>
      <c r="CV2202" s="67" t="s">
        <v>3039</v>
      </c>
      <c r="CW2202" s="67"/>
      <c r="CX2202" s="67"/>
      <c r="CY2202" s="67"/>
      <c r="CZ2202" s="67"/>
      <c r="DA2202" s="67" t="s">
        <v>4458</v>
      </c>
      <c r="DB2202" s="67">
        <v>1330</v>
      </c>
      <c r="DC2202" s="67">
        <v>1280</v>
      </c>
      <c r="DD2202" s="67"/>
      <c r="DE2202" s="67"/>
      <c r="DF2202" s="67" t="s">
        <v>2241</v>
      </c>
      <c r="DG2202" s="67"/>
      <c r="DH2202" s="67"/>
      <c r="DI2202" s="67"/>
      <c r="DJ2202" s="67"/>
      <c r="DK2202" s="67"/>
      <c r="DL2202" s="67"/>
      <c r="DM2202" s="67"/>
      <c r="DN2202" s="67"/>
      <c r="DO2202" s="67"/>
      <c r="DP2202" s="67"/>
      <c r="DQ2202" s="166"/>
      <c r="DR2202" s="166"/>
      <c r="DS2202" s="163"/>
      <c r="DT2202" s="163"/>
      <c r="DU2202" s="67"/>
      <c r="DV2202" s="67"/>
      <c r="DW2202" s="67"/>
      <c r="DX2202" s="67"/>
      <c r="DY2202" s="67"/>
      <c r="DZ2202" s="67"/>
      <c r="EA2202" s="67"/>
      <c r="EB2202" s="67"/>
      <c r="EC2202" s="67"/>
      <c r="ED2202" s="67"/>
      <c r="EE2202" s="67"/>
      <c r="EF2202" s="67"/>
      <c r="EG2202" s="67"/>
      <c r="EH2202" s="67"/>
      <c r="EI2202" s="67"/>
      <c r="EJ2202" s="67"/>
      <c r="EK2202" s="94"/>
      <c r="EL2202" s="94"/>
      <c r="EM2202" s="67"/>
      <c r="EN2202" s="67"/>
      <c r="EO2202" s="67"/>
      <c r="EP2202" s="67"/>
      <c r="EQ2202" s="67"/>
      <c r="ER2202" s="67"/>
      <c r="ES2202" s="67"/>
      <c r="ET2202" s="67"/>
      <c r="EU2202" s="67"/>
      <c r="EV2202" s="67"/>
      <c r="EW2202" s="67"/>
      <c r="EX2202" s="67"/>
      <c r="EY2202" s="67"/>
      <c r="EZ2202" s="67"/>
      <c r="FA2202" s="67"/>
      <c r="FB2202" s="67"/>
      <c r="FC2202" s="67"/>
      <c r="FD2202" s="67"/>
      <c r="FE2202" s="67"/>
      <c r="FF2202" s="67"/>
      <c r="FG2202" s="67"/>
      <c r="FH2202" s="67"/>
      <c r="FI2202" s="67"/>
      <c r="FJ2202" s="67"/>
      <c r="FK2202" s="67"/>
      <c r="FL2202" s="67"/>
      <c r="FM2202" s="67"/>
      <c r="FN2202" s="67"/>
      <c r="FO2202" s="67"/>
      <c r="FP2202" s="67"/>
      <c r="FQ2202" s="67"/>
      <c r="FR2202" s="67"/>
      <c r="FS2202" s="67"/>
      <c r="FT2202" s="67"/>
      <c r="FU2202" s="67"/>
      <c r="FV2202" s="67"/>
      <c r="FW2202" s="67"/>
      <c r="FX2202" s="67"/>
      <c r="FY2202" s="67"/>
      <c r="FZ2202" s="67"/>
      <c r="GA2202" s="67"/>
      <c r="GB2202" s="67"/>
      <c r="GC2202" s="67"/>
      <c r="GD2202" s="67"/>
      <c r="GE2202" s="67"/>
      <c r="GF2202" s="67"/>
      <c r="GG2202" s="67"/>
      <c r="GH2202" s="67"/>
      <c r="GI2202" s="67"/>
      <c r="GJ2202" s="67"/>
      <c r="GK2202" s="67"/>
      <c r="GL2202" s="67"/>
      <c r="GM2202" s="67"/>
      <c r="GN2202" s="292"/>
      <c r="GO2202" s="292"/>
      <c r="GP2202" s="292" t="s">
        <v>7494</v>
      </c>
      <c r="GQ2202" s="67"/>
      <c r="GR2202" s="67"/>
      <c r="GS2202" s="67"/>
      <c r="GT2202" s="67"/>
      <c r="GU2202" s="67"/>
      <c r="GV2202" s="67"/>
      <c r="GW2202" s="67"/>
      <c r="GX2202" s="67"/>
      <c r="GY2202" s="67"/>
      <c r="GZ2202" s="67"/>
      <c r="HA2202" s="67"/>
      <c r="HB2202" s="67"/>
      <c r="HC2202" s="67"/>
      <c r="HD2202" s="67"/>
      <c r="HE2202" s="67"/>
      <c r="HF2202" s="67"/>
      <c r="HG2202" s="67"/>
      <c r="HH2202" s="67"/>
      <c r="HI2202" s="67"/>
      <c r="HJ2202" s="67"/>
      <c r="HK2202" s="67"/>
      <c r="HL2202" s="67"/>
      <c r="HM2202" s="67"/>
      <c r="HN2202" s="67"/>
      <c r="HO2202" s="67"/>
      <c r="HP2202" s="67"/>
      <c r="HQ2202" s="67"/>
      <c r="HR2202" s="67"/>
      <c r="HS2202" s="67"/>
      <c r="HT2202" s="67"/>
      <c r="HU2202" s="67"/>
      <c r="HV2202" s="67"/>
      <c r="HW2202" s="67"/>
      <c r="HX2202" s="67">
        <v>37</v>
      </c>
      <c r="HY2202" s="67">
        <v>67</v>
      </c>
      <c r="HZ2202" s="67"/>
      <c r="IA2202" s="67"/>
      <c r="IB2202" s="67" t="s">
        <v>2242</v>
      </c>
      <c r="IC2202" s="67"/>
      <c r="ID2202" s="67"/>
      <c r="IE2202" s="67"/>
      <c r="IF2202" s="67"/>
      <c r="IG2202" s="67"/>
      <c r="IH2202" s="67"/>
      <c r="II2202" s="67"/>
      <c r="IJ2202" s="67"/>
      <c r="IK2202" s="67"/>
      <c r="IL2202" s="67"/>
      <c r="IM2202" s="67"/>
      <c r="IN2202" s="67"/>
      <c r="IO2202" s="67"/>
      <c r="IP2202" s="67"/>
      <c r="IQ2202" s="67"/>
      <c r="IR2202" s="67"/>
      <c r="IS2202" s="67"/>
      <c r="IT2202" s="67"/>
      <c r="IU2202" s="67"/>
      <c r="IV2202" s="67"/>
      <c r="IW2202" s="67"/>
      <c r="IX2202" s="67"/>
      <c r="IY2202" s="67"/>
      <c r="IZ2202" s="67"/>
      <c r="JA2202" s="67"/>
      <c r="JB2202" s="67"/>
      <c r="JC2202" s="67"/>
      <c r="JD2202" s="67"/>
      <c r="JE2202" s="67"/>
      <c r="JF2202" s="67"/>
      <c r="JG2202" s="67"/>
      <c r="JH2202" s="67"/>
      <c r="JI2202" s="67"/>
      <c r="JJ2202" s="67"/>
      <c r="JK2202" s="67"/>
      <c r="JL2202" s="67"/>
      <c r="JM2202" s="67"/>
      <c r="JN2202" s="67"/>
      <c r="JO2202" s="67"/>
      <c r="JP2202" s="67"/>
      <c r="JQ2202" s="67"/>
      <c r="JR2202" s="67"/>
      <c r="JS2202" s="67"/>
      <c r="JT2202" s="67"/>
      <c r="JU2202" s="58"/>
      <c r="JV2202" s="58"/>
      <c r="JW2202" s="58"/>
    </row>
    <row r="2203" spans="1:283" s="23" customFormat="1" x14ac:dyDescent="0.25">
      <c r="A2203" s="55">
        <v>2202</v>
      </c>
      <c r="B2203" s="12" t="s">
        <v>7067</v>
      </c>
      <c r="C2203" s="156">
        <v>102</v>
      </c>
      <c r="D2203" s="58" t="s">
        <v>4176</v>
      </c>
      <c r="E2203" s="94" t="s">
        <v>2133</v>
      </c>
      <c r="F2203" s="94"/>
      <c r="G2203" s="58"/>
      <c r="H2203" s="58">
        <v>2000</v>
      </c>
      <c r="I2203" s="58">
        <v>1995</v>
      </c>
      <c r="J2203" s="58" t="s">
        <v>2003</v>
      </c>
      <c r="K2203" s="58" t="s">
        <v>2134</v>
      </c>
      <c r="L2203" s="58" t="s">
        <v>2738</v>
      </c>
      <c r="M2203" s="94">
        <v>50.29</v>
      </c>
      <c r="N2203" s="94">
        <v>-107.8</v>
      </c>
      <c r="O2203" s="94">
        <v>817</v>
      </c>
      <c r="P2203" s="58">
        <v>3.3</v>
      </c>
      <c r="Q2203" s="58"/>
      <c r="R2203" s="58">
        <v>350</v>
      </c>
      <c r="S2203" s="94"/>
      <c r="T2203" s="58"/>
      <c r="U2203" s="58">
        <v>9</v>
      </c>
      <c r="V2203" s="58">
        <v>9</v>
      </c>
      <c r="W2203" s="174"/>
      <c r="X2203" s="174"/>
      <c r="Y2203" s="58" t="s">
        <v>2239</v>
      </c>
      <c r="Z2203" s="59" t="s">
        <v>1348</v>
      </c>
      <c r="AA2203" s="94">
        <v>7.5</v>
      </c>
      <c r="AB2203" s="67"/>
      <c r="AC2203" s="67"/>
      <c r="AD2203" s="94">
        <v>1.34596</v>
      </c>
      <c r="AE2203" s="94"/>
      <c r="AF2203" s="94"/>
      <c r="AG2203" s="94"/>
      <c r="AH2203" s="58" t="s">
        <v>139</v>
      </c>
      <c r="AI2203" s="169"/>
      <c r="AJ2203" s="94">
        <v>1.8</v>
      </c>
      <c r="AK2203" s="94"/>
      <c r="AL2203" s="58"/>
      <c r="AM2203" s="58" t="s">
        <v>2135</v>
      </c>
      <c r="AN2203" s="186" t="s">
        <v>2136</v>
      </c>
      <c r="AO2203" s="185" t="s">
        <v>5150</v>
      </c>
      <c r="AP2203" s="58"/>
      <c r="AQ2203" s="58" t="s">
        <v>553</v>
      </c>
      <c r="AR2203" s="58" t="s">
        <v>2137</v>
      </c>
      <c r="AS2203" s="58" t="s">
        <v>116</v>
      </c>
      <c r="AT2203" s="182"/>
      <c r="AU2203" s="181" t="s">
        <v>7494</v>
      </c>
      <c r="AV2203" s="185" t="s">
        <v>176</v>
      </c>
      <c r="AW2203" s="58"/>
      <c r="AX2203" s="185" t="s">
        <v>176</v>
      </c>
      <c r="AY2203" s="58"/>
      <c r="AZ2203" s="58" t="s">
        <v>1016</v>
      </c>
      <c r="BA2203" s="58"/>
      <c r="BB2203" s="58" t="s">
        <v>2082</v>
      </c>
      <c r="BC2203" s="58" t="s">
        <v>2082</v>
      </c>
      <c r="BD2203" s="58"/>
      <c r="BE2203" s="236" t="s">
        <v>2138</v>
      </c>
      <c r="BF2203" s="58"/>
      <c r="BG2203" s="191" t="s">
        <v>479</v>
      </c>
      <c r="BH2203" s="236"/>
      <c r="BI2203" s="58"/>
      <c r="BJ2203" s="58"/>
      <c r="BK2203" s="58" t="s">
        <v>6269</v>
      </c>
      <c r="BL2203" s="58"/>
      <c r="BM2203" s="237" t="s">
        <v>160</v>
      </c>
      <c r="BN2203" s="58">
        <v>3</v>
      </c>
      <c r="BO2203" s="58">
        <v>3</v>
      </c>
      <c r="BP2203" s="58"/>
      <c r="BQ2203" s="58" t="s">
        <v>141</v>
      </c>
      <c r="BR2203" s="58"/>
      <c r="BS2203" s="58"/>
      <c r="BT2203" s="58"/>
      <c r="BU2203" s="58"/>
      <c r="BV2203" s="58"/>
      <c r="BW2203" s="67"/>
      <c r="BX2203" s="67"/>
      <c r="BY2203" s="67"/>
      <c r="BZ2203" s="67"/>
      <c r="CA2203" s="67"/>
      <c r="CB2203" s="68"/>
      <c r="CC2203" s="68"/>
      <c r="CD2203" s="68"/>
      <c r="CE2203" s="67"/>
      <c r="CF2203" s="67"/>
      <c r="CG2203" s="67"/>
      <c r="CH2203" s="94">
        <v>1.34596</v>
      </c>
      <c r="CI2203" s="94">
        <v>1.3477000000000001</v>
      </c>
      <c r="CJ2203" s="67"/>
      <c r="CK2203" s="67"/>
      <c r="CL2203" s="67"/>
      <c r="CM2203" s="67">
        <v>1.65</v>
      </c>
      <c r="CN2203" s="67">
        <v>1.65</v>
      </c>
      <c r="CO2203" s="67"/>
      <c r="CP2203" s="67"/>
      <c r="CQ2203" s="67" t="s">
        <v>2240</v>
      </c>
      <c r="CR2203" s="67"/>
      <c r="CS2203" s="67"/>
      <c r="CT2203" s="67"/>
      <c r="CU2203" s="67"/>
      <c r="CV2203" s="67" t="s">
        <v>3039</v>
      </c>
      <c r="CW2203" s="67"/>
      <c r="CX2203" s="67"/>
      <c r="CY2203" s="67"/>
      <c r="CZ2203" s="67"/>
      <c r="DA2203" s="67" t="s">
        <v>4458</v>
      </c>
      <c r="DB2203" s="67">
        <v>1670</v>
      </c>
      <c r="DC2203" s="67">
        <v>1690</v>
      </c>
      <c r="DD2203" s="67"/>
      <c r="DE2203" s="67"/>
      <c r="DF2203" s="67" t="s">
        <v>2241</v>
      </c>
      <c r="DG2203" s="67"/>
      <c r="DH2203" s="67"/>
      <c r="DI2203" s="67"/>
      <c r="DJ2203" s="67"/>
      <c r="DK2203" s="67"/>
      <c r="DL2203" s="67"/>
      <c r="DM2203" s="67"/>
      <c r="DN2203" s="67"/>
      <c r="DO2203" s="67"/>
      <c r="DP2203" s="67"/>
      <c r="DQ2203" s="166"/>
      <c r="DR2203" s="166"/>
      <c r="DS2203" s="163"/>
      <c r="DT2203" s="163"/>
      <c r="DU2203" s="67"/>
      <c r="DV2203" s="67"/>
      <c r="DW2203" s="67"/>
      <c r="DX2203" s="67"/>
      <c r="DY2203" s="67"/>
      <c r="DZ2203" s="67"/>
      <c r="EA2203" s="67"/>
      <c r="EB2203" s="67"/>
      <c r="EC2203" s="67"/>
      <c r="ED2203" s="67"/>
      <c r="EE2203" s="67"/>
      <c r="EF2203" s="67"/>
      <c r="EG2203" s="67"/>
      <c r="EH2203" s="67"/>
      <c r="EI2203" s="67"/>
      <c r="EJ2203" s="67"/>
      <c r="EK2203" s="94"/>
      <c r="EL2203" s="94"/>
      <c r="EM2203" s="67"/>
      <c r="EN2203" s="67"/>
      <c r="EO2203" s="67"/>
      <c r="EP2203" s="67"/>
      <c r="EQ2203" s="67"/>
      <c r="ER2203" s="67"/>
      <c r="ES2203" s="67"/>
      <c r="ET2203" s="67"/>
      <c r="EU2203" s="67"/>
      <c r="EV2203" s="67"/>
      <c r="EW2203" s="67"/>
      <c r="EX2203" s="67"/>
      <c r="EY2203" s="67"/>
      <c r="EZ2203" s="67"/>
      <c r="FA2203" s="67"/>
      <c r="FB2203" s="67"/>
      <c r="FC2203" s="67"/>
      <c r="FD2203" s="67"/>
      <c r="FE2203" s="67"/>
      <c r="FF2203" s="67"/>
      <c r="FG2203" s="67"/>
      <c r="FH2203" s="67"/>
      <c r="FI2203" s="67"/>
      <c r="FJ2203" s="67"/>
      <c r="FK2203" s="67"/>
      <c r="FL2203" s="67"/>
      <c r="FM2203" s="67"/>
      <c r="FN2203" s="67"/>
      <c r="FO2203" s="67"/>
      <c r="FP2203" s="67"/>
      <c r="FQ2203" s="67"/>
      <c r="FR2203" s="67"/>
      <c r="FS2203" s="67"/>
      <c r="FT2203" s="67"/>
      <c r="FU2203" s="67"/>
      <c r="FV2203" s="67"/>
      <c r="FW2203" s="67"/>
      <c r="FX2203" s="67"/>
      <c r="FY2203" s="67"/>
      <c r="FZ2203" s="67"/>
      <c r="GA2203" s="67"/>
      <c r="GB2203" s="67"/>
      <c r="GC2203" s="67"/>
      <c r="GD2203" s="67"/>
      <c r="GE2203" s="67"/>
      <c r="GF2203" s="67"/>
      <c r="GG2203" s="67"/>
      <c r="GH2203" s="67"/>
      <c r="GI2203" s="67"/>
      <c r="GJ2203" s="67"/>
      <c r="GK2203" s="67"/>
      <c r="GL2203" s="67"/>
      <c r="GM2203" s="67"/>
      <c r="GN2203" s="292"/>
      <c r="GO2203" s="292"/>
      <c r="GP2203" s="292" t="s">
        <v>7494</v>
      </c>
      <c r="GQ2203" s="67"/>
      <c r="GR2203" s="67"/>
      <c r="GS2203" s="67"/>
      <c r="GT2203" s="67"/>
      <c r="GU2203" s="67"/>
      <c r="GV2203" s="67"/>
      <c r="GW2203" s="67"/>
      <c r="GX2203" s="67"/>
      <c r="GY2203" s="67"/>
      <c r="GZ2203" s="67"/>
      <c r="HA2203" s="67"/>
      <c r="HB2203" s="67"/>
      <c r="HC2203" s="67"/>
      <c r="HD2203" s="67"/>
      <c r="HE2203" s="67"/>
      <c r="HF2203" s="67"/>
      <c r="HG2203" s="67"/>
      <c r="HH2203" s="67"/>
      <c r="HI2203" s="67"/>
      <c r="HJ2203" s="67"/>
      <c r="HK2203" s="67"/>
      <c r="HL2203" s="67"/>
      <c r="HM2203" s="67"/>
      <c r="HN2203" s="67"/>
      <c r="HO2203" s="67"/>
      <c r="HP2203" s="67"/>
      <c r="HQ2203" s="67"/>
      <c r="HR2203" s="67"/>
      <c r="HS2203" s="67"/>
      <c r="HT2203" s="67"/>
      <c r="HU2203" s="67"/>
      <c r="HV2203" s="67"/>
      <c r="HW2203" s="67"/>
      <c r="HX2203" s="67"/>
      <c r="HY2203" s="67"/>
      <c r="HZ2203" s="67"/>
      <c r="IA2203" s="67"/>
      <c r="IB2203" s="67" t="s">
        <v>2242</v>
      </c>
      <c r="IC2203" s="67"/>
      <c r="ID2203" s="67"/>
      <c r="IE2203" s="67"/>
      <c r="IF2203" s="67"/>
      <c r="IG2203" s="67"/>
      <c r="IH2203" s="67"/>
      <c r="II2203" s="67"/>
      <c r="IJ2203" s="67"/>
      <c r="IK2203" s="67"/>
      <c r="IL2203" s="67"/>
      <c r="IM2203" s="67"/>
      <c r="IN2203" s="67"/>
      <c r="IO2203" s="67"/>
      <c r="IP2203" s="67"/>
      <c r="IQ2203" s="67"/>
      <c r="IR2203" s="67"/>
      <c r="IS2203" s="67"/>
      <c r="IT2203" s="67"/>
      <c r="IU2203" s="67"/>
      <c r="IV2203" s="67"/>
      <c r="IW2203" s="67"/>
      <c r="IX2203" s="67"/>
      <c r="IY2203" s="67"/>
      <c r="IZ2203" s="67"/>
      <c r="JA2203" s="67"/>
      <c r="JB2203" s="67"/>
      <c r="JC2203" s="67"/>
      <c r="JD2203" s="67"/>
      <c r="JE2203" s="67"/>
      <c r="JF2203" s="67"/>
      <c r="JG2203" s="67"/>
      <c r="JH2203" s="67"/>
      <c r="JI2203" s="67"/>
      <c r="JJ2203" s="67"/>
      <c r="JK2203" s="67"/>
      <c r="JL2203" s="67"/>
      <c r="JM2203" s="67"/>
      <c r="JN2203" s="67"/>
      <c r="JO2203" s="67"/>
      <c r="JP2203" s="67"/>
      <c r="JQ2203" s="67"/>
      <c r="JR2203" s="67"/>
      <c r="JS2203" s="67"/>
      <c r="JT2203" s="67"/>
      <c r="JU2203" s="58"/>
      <c r="JV2203" s="58"/>
      <c r="JW2203" s="58"/>
    </row>
    <row r="2204" spans="1:283" s="23" customFormat="1" x14ac:dyDescent="0.25">
      <c r="A2204" s="55">
        <v>2203</v>
      </c>
      <c r="B2204" s="12" t="s">
        <v>7067</v>
      </c>
      <c r="C2204" s="156">
        <v>102</v>
      </c>
      <c r="D2204" s="58" t="s">
        <v>4176</v>
      </c>
      <c r="E2204" s="94" t="s">
        <v>2133</v>
      </c>
      <c r="F2204" s="94"/>
      <c r="G2204" s="58"/>
      <c r="H2204" s="58">
        <v>2000</v>
      </c>
      <c r="I2204" s="58">
        <v>1995</v>
      </c>
      <c r="J2204" s="58" t="s">
        <v>2003</v>
      </c>
      <c r="K2204" s="58" t="s">
        <v>2134</v>
      </c>
      <c r="L2204" s="58" t="s">
        <v>2738</v>
      </c>
      <c r="M2204" s="94">
        <v>50.29</v>
      </c>
      <c r="N2204" s="94">
        <v>-107.8</v>
      </c>
      <c r="O2204" s="94">
        <v>817</v>
      </c>
      <c r="P2204" s="58">
        <v>3.3</v>
      </c>
      <c r="Q2204" s="58"/>
      <c r="R2204" s="58">
        <v>350</v>
      </c>
      <c r="S2204" s="94"/>
      <c r="T2204" s="58"/>
      <c r="U2204" s="58">
        <v>9</v>
      </c>
      <c r="V2204" s="58">
        <v>9</v>
      </c>
      <c r="W2204" s="174"/>
      <c r="X2204" s="174"/>
      <c r="Y2204" s="58" t="s">
        <v>2239</v>
      </c>
      <c r="Z2204" s="59" t="s">
        <v>1348</v>
      </c>
      <c r="AA2204" s="94">
        <v>7.5</v>
      </c>
      <c r="AB2204" s="67"/>
      <c r="AC2204" s="67"/>
      <c r="AD2204" s="94">
        <v>1.34596</v>
      </c>
      <c r="AE2204" s="94"/>
      <c r="AF2204" s="94"/>
      <c r="AG2204" s="94"/>
      <c r="AH2204" s="58" t="s">
        <v>139</v>
      </c>
      <c r="AI2204" s="169"/>
      <c r="AJ2204" s="94">
        <v>1.8</v>
      </c>
      <c r="AK2204" s="94"/>
      <c r="AL2204" s="58"/>
      <c r="AM2204" s="58" t="s">
        <v>2135</v>
      </c>
      <c r="AN2204" s="186" t="s">
        <v>2136</v>
      </c>
      <c r="AO2204" s="185" t="s">
        <v>5150</v>
      </c>
      <c r="AP2204" s="58"/>
      <c r="AQ2204" s="58" t="s">
        <v>553</v>
      </c>
      <c r="AR2204" s="58" t="s">
        <v>2137</v>
      </c>
      <c r="AS2204" s="58" t="s">
        <v>116</v>
      </c>
      <c r="AT2204" s="182"/>
      <c r="AU2204" s="181" t="s">
        <v>7494</v>
      </c>
      <c r="AV2204" s="185" t="s">
        <v>176</v>
      </c>
      <c r="AW2204" s="58"/>
      <c r="AX2204" s="185" t="s">
        <v>176</v>
      </c>
      <c r="AY2204" s="58"/>
      <c r="AZ2204" s="58" t="s">
        <v>1016</v>
      </c>
      <c r="BA2204" s="58"/>
      <c r="BB2204" s="58" t="s">
        <v>2082</v>
      </c>
      <c r="BC2204" s="58" t="s">
        <v>2082</v>
      </c>
      <c r="BD2204" s="58"/>
      <c r="BE2204" s="236" t="s">
        <v>2138</v>
      </c>
      <c r="BF2204" s="58"/>
      <c r="BG2204" s="191" t="s">
        <v>479</v>
      </c>
      <c r="BH2204" s="236"/>
      <c r="BI2204" s="58"/>
      <c r="BJ2204" s="58"/>
      <c r="BK2204" s="58" t="s">
        <v>6269</v>
      </c>
      <c r="BL2204" s="58"/>
      <c r="BM2204" s="237" t="s">
        <v>160</v>
      </c>
      <c r="BN2204" s="58">
        <v>3</v>
      </c>
      <c r="BO2204" s="58">
        <v>3</v>
      </c>
      <c r="BP2204" s="58"/>
      <c r="BQ2204" s="58" t="s">
        <v>141</v>
      </c>
      <c r="BR2204" s="58"/>
      <c r="BS2204" s="58"/>
      <c r="BT2204" s="58"/>
      <c r="BU2204" s="58"/>
      <c r="BV2204" s="58"/>
      <c r="BW2204" s="67"/>
      <c r="BX2204" s="67"/>
      <c r="BY2204" s="67"/>
      <c r="BZ2204" s="67"/>
      <c r="CA2204" s="67"/>
      <c r="CB2204" s="68"/>
      <c r="CC2204" s="68"/>
      <c r="CD2204" s="68"/>
      <c r="CE2204" s="67"/>
      <c r="CF2204" s="67"/>
      <c r="CG2204" s="67"/>
      <c r="CH2204" s="94">
        <v>1.34596</v>
      </c>
      <c r="CI2204" s="94">
        <v>1.3477000000000001</v>
      </c>
      <c r="CJ2204" s="67"/>
      <c r="CK2204" s="67"/>
      <c r="CL2204" s="67"/>
      <c r="CM2204" s="67">
        <v>1.61</v>
      </c>
      <c r="CN2204" s="67">
        <v>1.7</v>
      </c>
      <c r="CO2204" s="67"/>
      <c r="CP2204" s="67"/>
      <c r="CQ2204" s="67" t="s">
        <v>2240</v>
      </c>
      <c r="CR2204" s="67"/>
      <c r="CS2204" s="67"/>
      <c r="CT2204" s="67"/>
      <c r="CU2204" s="67"/>
      <c r="CV2204" s="67" t="s">
        <v>3039</v>
      </c>
      <c r="CW2204" s="67"/>
      <c r="CX2204" s="67"/>
      <c r="CY2204" s="67"/>
      <c r="CZ2204" s="67"/>
      <c r="DA2204" s="67" t="s">
        <v>4458</v>
      </c>
      <c r="DB2204" s="67">
        <v>1670</v>
      </c>
      <c r="DC2204" s="67">
        <v>1330</v>
      </c>
      <c r="DD2204" s="67"/>
      <c r="DE2204" s="67"/>
      <c r="DF2204" s="67" t="s">
        <v>2241</v>
      </c>
      <c r="DG2204" s="67"/>
      <c r="DH2204" s="67"/>
      <c r="DI2204" s="67"/>
      <c r="DJ2204" s="67"/>
      <c r="DK2204" s="67"/>
      <c r="DL2204" s="67"/>
      <c r="DM2204" s="67"/>
      <c r="DN2204" s="67"/>
      <c r="DO2204" s="67"/>
      <c r="DP2204" s="67"/>
      <c r="DQ2204" s="166"/>
      <c r="DR2204" s="166"/>
      <c r="DS2204" s="163"/>
      <c r="DT2204" s="163"/>
      <c r="DU2204" s="67"/>
      <c r="DV2204" s="67"/>
      <c r="DW2204" s="67"/>
      <c r="DX2204" s="67"/>
      <c r="DY2204" s="67"/>
      <c r="DZ2204" s="67"/>
      <c r="EA2204" s="67"/>
      <c r="EB2204" s="67"/>
      <c r="EC2204" s="67"/>
      <c r="ED2204" s="67"/>
      <c r="EE2204" s="67"/>
      <c r="EF2204" s="67"/>
      <c r="EG2204" s="67"/>
      <c r="EH2204" s="67"/>
      <c r="EI2204" s="67"/>
      <c r="EJ2204" s="67"/>
      <c r="EK2204" s="94"/>
      <c r="EL2204" s="94"/>
      <c r="EM2204" s="67"/>
      <c r="EN2204" s="67"/>
      <c r="EO2204" s="67"/>
      <c r="EP2204" s="67"/>
      <c r="EQ2204" s="67"/>
      <c r="ER2204" s="67"/>
      <c r="ES2204" s="67"/>
      <c r="ET2204" s="67"/>
      <c r="EU2204" s="67"/>
      <c r="EV2204" s="67"/>
      <c r="EW2204" s="67"/>
      <c r="EX2204" s="67"/>
      <c r="EY2204" s="67"/>
      <c r="EZ2204" s="67"/>
      <c r="FA2204" s="67"/>
      <c r="FB2204" s="67"/>
      <c r="FC2204" s="67"/>
      <c r="FD2204" s="67"/>
      <c r="FE2204" s="67"/>
      <c r="FF2204" s="67"/>
      <c r="FG2204" s="67"/>
      <c r="FH2204" s="67"/>
      <c r="FI2204" s="67"/>
      <c r="FJ2204" s="67"/>
      <c r="FK2204" s="67"/>
      <c r="FL2204" s="67"/>
      <c r="FM2204" s="67"/>
      <c r="FN2204" s="67"/>
      <c r="FO2204" s="67"/>
      <c r="FP2204" s="67"/>
      <c r="FQ2204" s="67"/>
      <c r="FR2204" s="67"/>
      <c r="FS2204" s="67"/>
      <c r="FT2204" s="67"/>
      <c r="FU2204" s="67"/>
      <c r="FV2204" s="67"/>
      <c r="FW2204" s="67"/>
      <c r="FX2204" s="67"/>
      <c r="FY2204" s="67"/>
      <c r="FZ2204" s="67"/>
      <c r="GA2204" s="67"/>
      <c r="GB2204" s="67"/>
      <c r="GC2204" s="67"/>
      <c r="GD2204" s="67"/>
      <c r="GE2204" s="67"/>
      <c r="GF2204" s="67"/>
      <c r="GG2204" s="67"/>
      <c r="GH2204" s="67"/>
      <c r="GI2204" s="67"/>
      <c r="GJ2204" s="67"/>
      <c r="GK2204" s="67"/>
      <c r="GL2204" s="67"/>
      <c r="GM2204" s="67"/>
      <c r="GN2204" s="292"/>
      <c r="GO2204" s="292"/>
      <c r="GP2204" s="292" t="s">
        <v>7494</v>
      </c>
      <c r="GQ2204" s="67"/>
      <c r="GR2204" s="67"/>
      <c r="GS2204" s="67"/>
      <c r="GT2204" s="67"/>
      <c r="GU2204" s="67"/>
      <c r="GV2204" s="67"/>
      <c r="GW2204" s="67"/>
      <c r="GX2204" s="67"/>
      <c r="GY2204" s="67"/>
      <c r="GZ2204" s="67"/>
      <c r="HA2204" s="67"/>
      <c r="HB2204" s="67"/>
      <c r="HC2204" s="67"/>
      <c r="HD2204" s="67"/>
      <c r="HE2204" s="67"/>
      <c r="HF2204" s="67"/>
      <c r="HG2204" s="67"/>
      <c r="HH2204" s="67"/>
      <c r="HI2204" s="67"/>
      <c r="HJ2204" s="67"/>
      <c r="HK2204" s="67"/>
      <c r="HL2204" s="67"/>
      <c r="HM2204" s="67"/>
      <c r="HN2204" s="67"/>
      <c r="HO2204" s="67"/>
      <c r="HP2204" s="67"/>
      <c r="HQ2204" s="67"/>
      <c r="HR2204" s="67"/>
      <c r="HS2204" s="67"/>
      <c r="HT2204" s="67"/>
      <c r="HU2204" s="67"/>
      <c r="HV2204" s="67"/>
      <c r="HW2204" s="67"/>
      <c r="HX2204" s="67">
        <v>49</v>
      </c>
      <c r="HY2204" s="67">
        <v>39</v>
      </c>
      <c r="HZ2204" s="67"/>
      <c r="IA2204" s="67"/>
      <c r="IB2204" s="67" t="s">
        <v>2242</v>
      </c>
      <c r="IC2204" s="67"/>
      <c r="ID2204" s="67"/>
      <c r="IE2204" s="67"/>
      <c r="IF2204" s="67"/>
      <c r="IG2204" s="67"/>
      <c r="IH2204" s="67"/>
      <c r="II2204" s="67"/>
      <c r="IJ2204" s="67"/>
      <c r="IK2204" s="67"/>
      <c r="IL2204" s="67"/>
      <c r="IM2204" s="67"/>
      <c r="IN2204" s="67"/>
      <c r="IO2204" s="67"/>
      <c r="IP2204" s="67"/>
      <c r="IQ2204" s="67"/>
      <c r="IR2204" s="67"/>
      <c r="IS2204" s="67"/>
      <c r="IT2204" s="67"/>
      <c r="IU2204" s="67"/>
      <c r="IV2204" s="67"/>
      <c r="IW2204" s="67"/>
      <c r="IX2204" s="67"/>
      <c r="IY2204" s="67"/>
      <c r="IZ2204" s="67"/>
      <c r="JA2204" s="67"/>
      <c r="JB2204" s="67"/>
      <c r="JC2204" s="67"/>
      <c r="JD2204" s="67"/>
      <c r="JE2204" s="67"/>
      <c r="JF2204" s="67"/>
      <c r="JG2204" s="67"/>
      <c r="JH2204" s="67"/>
      <c r="JI2204" s="67"/>
      <c r="JJ2204" s="67"/>
      <c r="JK2204" s="67"/>
      <c r="JL2204" s="67"/>
      <c r="JM2204" s="67"/>
      <c r="JN2204" s="67"/>
      <c r="JO2204" s="67"/>
      <c r="JP2204" s="67"/>
      <c r="JQ2204" s="67"/>
      <c r="JR2204" s="67"/>
      <c r="JS2204" s="67"/>
      <c r="JT2204" s="67"/>
      <c r="JU2204" s="58"/>
      <c r="JV2204" s="58"/>
      <c r="JW2204" s="58"/>
    </row>
    <row r="2205" spans="1:283" s="23" customFormat="1" x14ac:dyDescent="0.25">
      <c r="A2205" s="55">
        <v>2204</v>
      </c>
      <c r="B2205" s="12" t="s">
        <v>7067</v>
      </c>
      <c r="C2205" s="156">
        <v>103</v>
      </c>
      <c r="D2205" s="58" t="s">
        <v>4177</v>
      </c>
      <c r="E2205" s="94" t="s">
        <v>2180</v>
      </c>
      <c r="F2205" s="94"/>
      <c r="G2205" s="58"/>
      <c r="H2205" s="58">
        <v>2009</v>
      </c>
      <c r="I2205" s="58"/>
      <c r="J2205" s="58" t="s">
        <v>2181</v>
      </c>
      <c r="K2205" s="58" t="s">
        <v>2182</v>
      </c>
      <c r="L2205" s="58" t="s">
        <v>1077</v>
      </c>
      <c r="M2205" s="94">
        <v>52.13</v>
      </c>
      <c r="N2205" s="94">
        <v>13.22</v>
      </c>
      <c r="O2205" s="94">
        <v>32</v>
      </c>
      <c r="P2205" s="58">
        <v>8</v>
      </c>
      <c r="Q2205" s="58"/>
      <c r="R2205" s="58">
        <v>586</v>
      </c>
      <c r="S2205" s="94"/>
      <c r="T2205" s="58"/>
      <c r="U2205" s="58">
        <v>44</v>
      </c>
      <c r="V2205" s="58">
        <v>44</v>
      </c>
      <c r="W2205" s="174"/>
      <c r="X2205" s="174"/>
      <c r="Y2205" s="58"/>
      <c r="Z2205" s="58" t="s">
        <v>1356</v>
      </c>
      <c r="AA2205" s="94">
        <v>30</v>
      </c>
      <c r="AB2205" s="67"/>
      <c r="AC2205" s="67"/>
      <c r="AD2205" s="94">
        <v>1.61</v>
      </c>
      <c r="AE2205" s="94"/>
      <c r="AF2205" s="94"/>
      <c r="AG2205" s="94"/>
      <c r="AH2205" s="58"/>
      <c r="AI2205" s="169"/>
      <c r="AJ2205" s="94"/>
      <c r="AK2205" s="94"/>
      <c r="AL2205" s="58"/>
      <c r="AM2205" s="58" t="s">
        <v>2183</v>
      </c>
      <c r="AN2205" s="186" t="s">
        <v>131</v>
      </c>
      <c r="AO2205" s="185" t="s">
        <v>5150</v>
      </c>
      <c r="AP2205" s="58"/>
      <c r="AQ2205" s="58" t="s">
        <v>131</v>
      </c>
      <c r="AR2205" s="58" t="s">
        <v>1607</v>
      </c>
      <c r="AS2205" s="58" t="s">
        <v>132</v>
      </c>
      <c r="AT2205" s="182" t="s">
        <v>2184</v>
      </c>
      <c r="AU2205" s="181" t="s">
        <v>5150</v>
      </c>
      <c r="AV2205" s="185" t="s">
        <v>176</v>
      </c>
      <c r="AW2205" s="58"/>
      <c r="AX2205" s="185" t="s">
        <v>176</v>
      </c>
      <c r="AY2205" s="58"/>
      <c r="AZ2205" s="58" t="s">
        <v>1976</v>
      </c>
      <c r="BA2205" s="58"/>
      <c r="BB2205" s="58" t="s">
        <v>2081</v>
      </c>
      <c r="BC2205" s="58" t="s">
        <v>2081</v>
      </c>
      <c r="BD2205" s="58"/>
      <c r="BE2205" s="236" t="s">
        <v>2185</v>
      </c>
      <c r="BF2205" s="58"/>
      <c r="BG2205" s="191" t="s">
        <v>479</v>
      </c>
      <c r="BH2205" s="236"/>
      <c r="BI2205" s="58"/>
      <c r="BJ2205" s="58"/>
      <c r="BK2205" s="58" t="s">
        <v>5976</v>
      </c>
      <c r="BL2205" s="58"/>
      <c r="BM2205" s="237" t="s">
        <v>160</v>
      </c>
      <c r="BN2205" s="58"/>
      <c r="BO2205" s="58"/>
      <c r="BP2205" s="58"/>
      <c r="BQ2205" s="58"/>
      <c r="BR2205" s="58"/>
      <c r="BS2205" s="58"/>
      <c r="BT2205" s="58"/>
      <c r="BU2205" s="58"/>
      <c r="BV2205" s="58"/>
      <c r="BW2205" s="67"/>
      <c r="BX2205" s="67"/>
      <c r="BY2205" s="67"/>
      <c r="BZ2205" s="67"/>
      <c r="CA2205" s="67"/>
      <c r="CB2205" s="68"/>
      <c r="CC2205" s="68"/>
      <c r="CD2205" s="68"/>
      <c r="CE2205" s="67"/>
      <c r="CF2205" s="67"/>
      <c r="CG2205" s="67"/>
      <c r="CH2205" s="94"/>
      <c r="CI2205" s="94"/>
      <c r="CJ2205" s="67"/>
      <c r="CK2205" s="67"/>
      <c r="CL2205" s="67"/>
      <c r="CM2205" s="67">
        <f>(CR2205*1000000)/(100*100*AD2205*AA2205/100*1000000)*100</f>
        <v>0.45548654244306408</v>
      </c>
      <c r="CN2205" s="67">
        <f>(CS2205*1000000)/(100*100*AD2205*AA2205/100*1000000)*100</f>
        <v>0.43478260869565211</v>
      </c>
      <c r="CO2205" s="67"/>
      <c r="CP2205" s="67"/>
      <c r="CQ2205" s="67"/>
      <c r="CR2205" s="67">
        <v>22</v>
      </c>
      <c r="CS2205" s="67">
        <v>21</v>
      </c>
      <c r="CT2205" s="67"/>
      <c r="CU2205" s="67"/>
      <c r="CV2205" s="67" t="s">
        <v>2052</v>
      </c>
      <c r="CW2205" s="67"/>
      <c r="CX2205" s="67"/>
      <c r="CY2205" s="67"/>
      <c r="CZ2205" s="67"/>
      <c r="DA2205" s="67" t="s">
        <v>4463</v>
      </c>
      <c r="DB2205" s="67"/>
      <c r="DC2205" s="67"/>
      <c r="DD2205" s="67"/>
      <c r="DE2205" s="67"/>
      <c r="DF2205" s="67"/>
      <c r="DG2205" s="67"/>
      <c r="DH2205" s="67"/>
      <c r="DI2205" s="67"/>
      <c r="DJ2205" s="67"/>
      <c r="DK2205" s="67"/>
      <c r="DL2205" s="67"/>
      <c r="DM2205" s="67"/>
      <c r="DN2205" s="67"/>
      <c r="DO2205" s="67"/>
      <c r="DP2205" s="67"/>
      <c r="DQ2205" s="166"/>
      <c r="DR2205" s="166"/>
      <c r="DS2205" s="163"/>
      <c r="DT2205" s="163"/>
      <c r="DU2205" s="67"/>
      <c r="DV2205" s="67"/>
      <c r="DW2205" s="67"/>
      <c r="DX2205" s="67"/>
      <c r="DY2205" s="67"/>
      <c r="DZ2205" s="67"/>
      <c r="EA2205" s="67"/>
      <c r="EB2205" s="67"/>
      <c r="EC2205" s="67"/>
      <c r="ED2205" s="67"/>
      <c r="EE2205" s="67"/>
      <c r="EF2205" s="67"/>
      <c r="EG2205" s="67"/>
      <c r="EH2205" s="67"/>
      <c r="EI2205" s="67"/>
      <c r="EJ2205" s="67"/>
      <c r="EK2205" s="94"/>
      <c r="EL2205" s="94"/>
      <c r="EM2205" s="67"/>
      <c r="EN2205" s="67"/>
      <c r="EO2205" s="67"/>
      <c r="EP2205" s="67"/>
      <c r="EQ2205" s="67"/>
      <c r="ER2205" s="67"/>
      <c r="ES2205" s="67"/>
      <c r="ET2205" s="67"/>
      <c r="EU2205" s="67"/>
      <c r="EV2205" s="67"/>
      <c r="EW2205" s="67"/>
      <c r="EX2205" s="67"/>
      <c r="EY2205" s="67"/>
      <c r="EZ2205" s="67"/>
      <c r="FA2205" s="67"/>
      <c r="FB2205" s="67"/>
      <c r="FC2205" s="67"/>
      <c r="FD2205" s="67"/>
      <c r="FE2205" s="67"/>
      <c r="FF2205" s="67"/>
      <c r="FG2205" s="67"/>
      <c r="FH2205" s="67"/>
      <c r="FI2205" s="67"/>
      <c r="FJ2205" s="67"/>
      <c r="FK2205" s="67"/>
      <c r="FL2205" s="67"/>
      <c r="FM2205" s="67"/>
      <c r="FN2205" s="67"/>
      <c r="FO2205" s="67"/>
      <c r="FP2205" s="67"/>
      <c r="FQ2205" s="67"/>
      <c r="FR2205" s="67"/>
      <c r="FS2205" s="67"/>
      <c r="FT2205" s="67"/>
      <c r="FU2205" s="67"/>
      <c r="FV2205" s="67"/>
      <c r="FW2205" s="67"/>
      <c r="FX2205" s="67"/>
      <c r="FY2205" s="67"/>
      <c r="FZ2205" s="67"/>
      <c r="GA2205" s="67"/>
      <c r="GB2205" s="67"/>
      <c r="GC2205" s="67"/>
      <c r="GD2205" s="67"/>
      <c r="GE2205" s="67"/>
      <c r="GF2205" s="67"/>
      <c r="GG2205" s="67"/>
      <c r="GH2205" s="67"/>
      <c r="GI2205" s="67"/>
      <c r="GJ2205" s="67"/>
      <c r="GK2205" s="67"/>
      <c r="GL2205" s="67"/>
      <c r="GM2205" s="67"/>
      <c r="GN2205" s="292"/>
      <c r="GO2205" s="292"/>
      <c r="GP2205" s="292" t="s">
        <v>7494</v>
      </c>
      <c r="GQ2205" s="67"/>
      <c r="GR2205" s="67"/>
      <c r="GS2205" s="67"/>
      <c r="GT2205" s="67"/>
      <c r="GU2205" s="67"/>
      <c r="GV2205" s="67"/>
      <c r="GW2205" s="67"/>
      <c r="GX2205" s="67"/>
      <c r="GY2205" s="67"/>
      <c r="GZ2205" s="67"/>
      <c r="HA2205" s="67"/>
      <c r="HB2205" s="67"/>
      <c r="HC2205" s="67"/>
      <c r="HD2205" s="67"/>
      <c r="HE2205" s="67"/>
      <c r="HF2205" s="67"/>
      <c r="HG2205" s="67"/>
      <c r="HH2205" s="67"/>
      <c r="HI2205" s="67"/>
      <c r="HJ2205" s="67"/>
      <c r="HK2205" s="67"/>
      <c r="HL2205" s="67"/>
      <c r="HM2205" s="67"/>
      <c r="HN2205" s="67"/>
      <c r="HO2205" s="67"/>
      <c r="HP2205" s="67"/>
      <c r="HQ2205" s="67"/>
      <c r="HR2205" s="67"/>
      <c r="HS2205" s="67"/>
      <c r="HT2205" s="67"/>
      <c r="HU2205" s="67"/>
      <c r="HV2205" s="67"/>
      <c r="HW2205" s="67"/>
      <c r="HX2205" s="67"/>
      <c r="HY2205" s="67"/>
      <c r="HZ2205" s="67"/>
      <c r="IA2205" s="67"/>
      <c r="IB2205" s="67"/>
      <c r="IC2205" s="67"/>
      <c r="ID2205" s="67"/>
      <c r="IE2205" s="67"/>
      <c r="IF2205" s="67"/>
      <c r="IG2205" s="67"/>
      <c r="IH2205" s="67"/>
      <c r="II2205" s="67"/>
      <c r="IJ2205" s="67"/>
      <c r="IK2205" s="67"/>
      <c r="IL2205" s="67"/>
      <c r="IM2205" s="67"/>
      <c r="IN2205" s="67"/>
      <c r="IO2205" s="67"/>
      <c r="IP2205" s="67"/>
      <c r="IQ2205" s="67"/>
      <c r="IR2205" s="67"/>
      <c r="IS2205" s="67"/>
      <c r="IT2205" s="67"/>
      <c r="IU2205" s="67"/>
      <c r="IV2205" s="67"/>
      <c r="IW2205" s="67"/>
      <c r="IX2205" s="67"/>
      <c r="IY2205" s="67"/>
      <c r="IZ2205" s="67"/>
      <c r="JA2205" s="67"/>
      <c r="JB2205" s="67"/>
      <c r="JC2205" s="67"/>
      <c r="JD2205" s="67"/>
      <c r="JE2205" s="67"/>
      <c r="JF2205" s="67"/>
      <c r="JG2205" s="67"/>
      <c r="JH2205" s="67"/>
      <c r="JI2205" s="67"/>
      <c r="JJ2205" s="67"/>
      <c r="JK2205" s="67"/>
      <c r="JL2205" s="67"/>
      <c r="JM2205" s="67"/>
      <c r="JN2205" s="67"/>
      <c r="JO2205" s="67"/>
      <c r="JP2205" s="67"/>
      <c r="JQ2205" s="67"/>
      <c r="JR2205" s="67"/>
      <c r="JS2205" s="67"/>
      <c r="JT2205" s="67"/>
      <c r="JU2205" s="58"/>
      <c r="JV2205" s="58"/>
      <c r="JW2205" s="58"/>
    </row>
    <row r="2206" spans="1:283" s="23" customFormat="1" x14ac:dyDescent="0.25">
      <c r="A2206" s="55">
        <v>2205</v>
      </c>
      <c r="B2206" s="12" t="s">
        <v>7067</v>
      </c>
      <c r="C2206" s="156">
        <v>103</v>
      </c>
      <c r="D2206" s="58" t="s">
        <v>4177</v>
      </c>
      <c r="E2206" s="94" t="s">
        <v>2180</v>
      </c>
      <c r="F2206" s="94"/>
      <c r="G2206" s="58"/>
      <c r="H2206" s="58">
        <v>2009</v>
      </c>
      <c r="I2206" s="58"/>
      <c r="J2206" s="58" t="s">
        <v>2181</v>
      </c>
      <c r="K2206" s="58" t="s">
        <v>2182</v>
      </c>
      <c r="L2206" s="58" t="s">
        <v>1077</v>
      </c>
      <c r="M2206" s="94">
        <v>52.13</v>
      </c>
      <c r="N2206" s="94">
        <v>13.22</v>
      </c>
      <c r="O2206" s="94">
        <v>32</v>
      </c>
      <c r="P2206" s="58">
        <v>8</v>
      </c>
      <c r="Q2206" s="58"/>
      <c r="R2206" s="58">
        <v>586</v>
      </c>
      <c r="S2206" s="94"/>
      <c r="T2206" s="58"/>
      <c r="U2206" s="58">
        <v>44</v>
      </c>
      <c r="V2206" s="58">
        <v>44</v>
      </c>
      <c r="W2206" s="174"/>
      <c r="X2206" s="174"/>
      <c r="Y2206" s="58"/>
      <c r="Z2206" s="58" t="s">
        <v>1356</v>
      </c>
      <c r="AA2206" s="94">
        <v>30</v>
      </c>
      <c r="AB2206" s="67"/>
      <c r="AC2206" s="67"/>
      <c r="AD2206" s="94">
        <v>1.61</v>
      </c>
      <c r="AE2206" s="94"/>
      <c r="AF2206" s="94"/>
      <c r="AG2206" s="94"/>
      <c r="AH2206" s="58"/>
      <c r="AI2206" s="169"/>
      <c r="AJ2206" s="94"/>
      <c r="AK2206" s="94"/>
      <c r="AL2206" s="58"/>
      <c r="AM2206" s="58" t="s">
        <v>2183</v>
      </c>
      <c r="AN2206" s="186" t="s">
        <v>131</v>
      </c>
      <c r="AO2206" s="185" t="s">
        <v>5150</v>
      </c>
      <c r="AP2206" s="58"/>
      <c r="AQ2206" s="58" t="s">
        <v>131</v>
      </c>
      <c r="AR2206" s="58" t="s">
        <v>1607</v>
      </c>
      <c r="AS2206" s="58" t="s">
        <v>132</v>
      </c>
      <c r="AT2206" s="182" t="s">
        <v>2184</v>
      </c>
      <c r="AU2206" s="181" t="s">
        <v>5150</v>
      </c>
      <c r="AV2206" s="185" t="s">
        <v>176</v>
      </c>
      <c r="AW2206" s="58"/>
      <c r="AX2206" s="185" t="s">
        <v>176</v>
      </c>
      <c r="AY2206" s="58"/>
      <c r="AZ2206" s="58" t="s">
        <v>1976</v>
      </c>
      <c r="BA2206" s="58"/>
      <c r="BB2206" s="58" t="s">
        <v>2081</v>
      </c>
      <c r="BC2206" s="58" t="s">
        <v>2081</v>
      </c>
      <c r="BD2206" s="58"/>
      <c r="BE2206" s="236" t="s">
        <v>2185</v>
      </c>
      <c r="BF2206" s="58"/>
      <c r="BG2206" s="191" t="s">
        <v>479</v>
      </c>
      <c r="BH2206" s="236"/>
      <c r="BI2206" s="58"/>
      <c r="BJ2206" s="58"/>
      <c r="BK2206" s="58" t="s">
        <v>5976</v>
      </c>
      <c r="BL2206" s="58"/>
      <c r="BM2206" s="237" t="s">
        <v>160</v>
      </c>
      <c r="BN2206" s="58"/>
      <c r="BO2206" s="58"/>
      <c r="BP2206" s="58"/>
      <c r="BQ2206" s="58"/>
      <c r="BR2206" s="58"/>
      <c r="BS2206" s="58"/>
      <c r="BT2206" s="58"/>
      <c r="BU2206" s="58"/>
      <c r="BV2206" s="58"/>
      <c r="BW2206" s="67"/>
      <c r="BX2206" s="67"/>
      <c r="BY2206" s="67"/>
      <c r="BZ2206" s="67"/>
      <c r="CA2206" s="67"/>
      <c r="CB2206" s="68"/>
      <c r="CC2206" s="68"/>
      <c r="CD2206" s="68"/>
      <c r="CE2206" s="67"/>
      <c r="CF2206" s="67"/>
      <c r="CG2206" s="67"/>
      <c r="CH2206" s="94"/>
      <c r="CI2206" s="94"/>
      <c r="CJ2206" s="67"/>
      <c r="CK2206" s="67"/>
      <c r="CL2206" s="67"/>
      <c r="CM2206" s="67">
        <f>(CR2206*1000000)/(100*100*AD2206*AA2206/100*1000000)*100</f>
        <v>0.47826086956521729</v>
      </c>
      <c r="CN2206" s="67">
        <f>(CS2206*1000000)/(100*100*AD2206*AA2206/100*1000000)*100</f>
        <v>0.50310559006211175</v>
      </c>
      <c r="CO2206" s="67"/>
      <c r="CP2206" s="67"/>
      <c r="CQ2206" s="67"/>
      <c r="CR2206" s="67">
        <v>23.1</v>
      </c>
      <c r="CS2206" s="67">
        <v>24.3</v>
      </c>
      <c r="CT2206" s="67"/>
      <c r="CU2206" s="67"/>
      <c r="CV2206" s="67" t="s">
        <v>2052</v>
      </c>
      <c r="CW2206" s="67"/>
      <c r="CX2206" s="67"/>
      <c r="CY2206" s="67"/>
      <c r="CZ2206" s="67"/>
      <c r="DA2206" s="67" t="s">
        <v>4463</v>
      </c>
      <c r="DB2206" s="67"/>
      <c r="DC2206" s="67"/>
      <c r="DD2206" s="67"/>
      <c r="DE2206" s="67"/>
      <c r="DF2206" s="67"/>
      <c r="DG2206" s="67"/>
      <c r="DH2206" s="67"/>
      <c r="DI2206" s="67"/>
      <c r="DJ2206" s="67"/>
      <c r="DK2206" s="67"/>
      <c r="DL2206" s="67"/>
      <c r="DM2206" s="67"/>
      <c r="DN2206" s="67"/>
      <c r="DO2206" s="67"/>
      <c r="DP2206" s="67"/>
      <c r="DQ2206" s="166"/>
      <c r="DR2206" s="166"/>
      <c r="DS2206" s="163"/>
      <c r="DT2206" s="163"/>
      <c r="DU2206" s="67"/>
      <c r="DV2206" s="67"/>
      <c r="DW2206" s="67"/>
      <c r="DX2206" s="67"/>
      <c r="DY2206" s="67"/>
      <c r="DZ2206" s="67"/>
      <c r="EA2206" s="67"/>
      <c r="EB2206" s="67"/>
      <c r="EC2206" s="67"/>
      <c r="ED2206" s="67"/>
      <c r="EE2206" s="67"/>
      <c r="EF2206" s="67"/>
      <c r="EG2206" s="67"/>
      <c r="EH2206" s="67"/>
      <c r="EI2206" s="67"/>
      <c r="EJ2206" s="67"/>
      <c r="EK2206" s="94"/>
      <c r="EL2206" s="94"/>
      <c r="EM2206" s="67"/>
      <c r="EN2206" s="67"/>
      <c r="EO2206" s="67"/>
      <c r="EP2206" s="67"/>
      <c r="EQ2206" s="67"/>
      <c r="ER2206" s="67"/>
      <c r="ES2206" s="67"/>
      <c r="ET2206" s="67"/>
      <c r="EU2206" s="67"/>
      <c r="EV2206" s="67"/>
      <c r="EW2206" s="67"/>
      <c r="EX2206" s="67"/>
      <c r="EY2206" s="67"/>
      <c r="EZ2206" s="67"/>
      <c r="FA2206" s="67"/>
      <c r="FB2206" s="67"/>
      <c r="FC2206" s="67"/>
      <c r="FD2206" s="67"/>
      <c r="FE2206" s="67"/>
      <c r="FF2206" s="67"/>
      <c r="FG2206" s="67"/>
      <c r="FH2206" s="67"/>
      <c r="FI2206" s="67"/>
      <c r="FJ2206" s="67"/>
      <c r="FK2206" s="67"/>
      <c r="FL2206" s="67"/>
      <c r="FM2206" s="67"/>
      <c r="FN2206" s="67"/>
      <c r="FO2206" s="67"/>
      <c r="FP2206" s="67"/>
      <c r="FQ2206" s="67"/>
      <c r="FR2206" s="67"/>
      <c r="FS2206" s="67"/>
      <c r="FT2206" s="67"/>
      <c r="FU2206" s="67"/>
      <c r="FV2206" s="67"/>
      <c r="FW2206" s="67"/>
      <c r="FX2206" s="67"/>
      <c r="FY2206" s="67"/>
      <c r="FZ2206" s="67"/>
      <c r="GA2206" s="67"/>
      <c r="GB2206" s="67"/>
      <c r="GC2206" s="67"/>
      <c r="GD2206" s="67"/>
      <c r="GE2206" s="67"/>
      <c r="GF2206" s="67"/>
      <c r="GG2206" s="67"/>
      <c r="GH2206" s="67"/>
      <c r="GI2206" s="67"/>
      <c r="GJ2206" s="67"/>
      <c r="GK2206" s="67"/>
      <c r="GL2206" s="67"/>
      <c r="GM2206" s="67"/>
      <c r="GN2206" s="292"/>
      <c r="GO2206" s="292"/>
      <c r="GP2206" s="292" t="s">
        <v>7494</v>
      </c>
      <c r="GQ2206" s="67"/>
      <c r="GR2206" s="67"/>
      <c r="GS2206" s="67"/>
      <c r="GT2206" s="67"/>
      <c r="GU2206" s="67"/>
      <c r="GV2206" s="67"/>
      <c r="GW2206" s="67"/>
      <c r="GX2206" s="67"/>
      <c r="GY2206" s="67"/>
      <c r="GZ2206" s="67"/>
      <c r="HA2206" s="67"/>
      <c r="HB2206" s="67"/>
      <c r="HC2206" s="67"/>
      <c r="HD2206" s="67"/>
      <c r="HE2206" s="67"/>
      <c r="HF2206" s="67"/>
      <c r="HG2206" s="67"/>
      <c r="HH2206" s="67"/>
      <c r="HI2206" s="67"/>
      <c r="HJ2206" s="67"/>
      <c r="HK2206" s="67"/>
      <c r="HL2206" s="67"/>
      <c r="HM2206" s="67"/>
      <c r="HN2206" s="67"/>
      <c r="HO2206" s="67"/>
      <c r="HP2206" s="67"/>
      <c r="HQ2206" s="67"/>
      <c r="HR2206" s="67"/>
      <c r="HS2206" s="67"/>
      <c r="HT2206" s="67"/>
      <c r="HU2206" s="67"/>
      <c r="HV2206" s="67"/>
      <c r="HW2206" s="67"/>
      <c r="HX2206" s="67"/>
      <c r="HY2206" s="67"/>
      <c r="HZ2206" s="67"/>
      <c r="IA2206" s="67"/>
      <c r="IB2206" s="67"/>
      <c r="IC2206" s="67"/>
      <c r="ID2206" s="67"/>
      <c r="IE2206" s="67"/>
      <c r="IF2206" s="67"/>
      <c r="IG2206" s="67"/>
      <c r="IH2206" s="67"/>
      <c r="II2206" s="67"/>
      <c r="IJ2206" s="67"/>
      <c r="IK2206" s="67"/>
      <c r="IL2206" s="67"/>
      <c r="IM2206" s="67"/>
      <c r="IN2206" s="67"/>
      <c r="IO2206" s="67"/>
      <c r="IP2206" s="67"/>
      <c r="IQ2206" s="67"/>
      <c r="IR2206" s="67"/>
      <c r="IS2206" s="67"/>
      <c r="IT2206" s="67"/>
      <c r="IU2206" s="67"/>
      <c r="IV2206" s="67"/>
      <c r="IW2206" s="67"/>
      <c r="IX2206" s="67"/>
      <c r="IY2206" s="67"/>
      <c r="IZ2206" s="67"/>
      <c r="JA2206" s="67"/>
      <c r="JB2206" s="67"/>
      <c r="JC2206" s="67"/>
      <c r="JD2206" s="67"/>
      <c r="JE2206" s="67"/>
      <c r="JF2206" s="67"/>
      <c r="JG2206" s="67"/>
      <c r="JH2206" s="67"/>
      <c r="JI2206" s="67"/>
      <c r="JJ2206" s="67"/>
      <c r="JK2206" s="67"/>
      <c r="JL2206" s="67"/>
      <c r="JM2206" s="67"/>
      <c r="JN2206" s="67"/>
      <c r="JO2206" s="67"/>
      <c r="JP2206" s="67"/>
      <c r="JQ2206" s="67"/>
      <c r="JR2206" s="67"/>
      <c r="JS2206" s="67"/>
      <c r="JT2206" s="67"/>
      <c r="JU2206" s="58"/>
      <c r="JV2206" s="58"/>
      <c r="JW2206" s="58"/>
    </row>
    <row r="2207" spans="1:283" s="23" customFormat="1" x14ac:dyDescent="0.25">
      <c r="A2207" s="55">
        <v>2206</v>
      </c>
      <c r="B2207" s="12" t="s">
        <v>7067</v>
      </c>
      <c r="C2207" s="156">
        <v>104</v>
      </c>
      <c r="D2207" s="58" t="s">
        <v>4178</v>
      </c>
      <c r="E2207" s="94" t="s">
        <v>2139</v>
      </c>
      <c r="F2207" s="94"/>
      <c r="G2207" s="58"/>
      <c r="H2207" s="58">
        <v>2011</v>
      </c>
      <c r="I2207" s="58">
        <v>1993</v>
      </c>
      <c r="J2207" s="58" t="s">
        <v>1709</v>
      </c>
      <c r="K2207" s="58" t="s">
        <v>2140</v>
      </c>
      <c r="L2207" s="58" t="s">
        <v>2741</v>
      </c>
      <c r="M2207" s="94">
        <v>43.68</v>
      </c>
      <c r="N2207" s="94">
        <v>10.35</v>
      </c>
      <c r="O2207" s="94">
        <v>1.7</v>
      </c>
      <c r="P2207" s="58">
        <v>14.3</v>
      </c>
      <c r="Q2207" s="58"/>
      <c r="R2207" s="58">
        <v>900</v>
      </c>
      <c r="S2207" s="94"/>
      <c r="T2207" s="58"/>
      <c r="U2207" s="58">
        <v>1</v>
      </c>
      <c r="V2207" s="58">
        <v>15</v>
      </c>
      <c r="W2207" s="174"/>
      <c r="X2207" s="174"/>
      <c r="Y2207" s="58" t="s">
        <v>1953</v>
      </c>
      <c r="Z2207" s="58" t="s">
        <v>1355</v>
      </c>
      <c r="AA2207" s="94">
        <v>10</v>
      </c>
      <c r="AB2207" s="67"/>
      <c r="AC2207" s="67"/>
      <c r="AD2207" s="94">
        <v>1.4</v>
      </c>
      <c r="AE2207" s="94">
        <v>44.3</v>
      </c>
      <c r="AF2207" s="94">
        <v>40.200000000000003</v>
      </c>
      <c r="AG2207" s="94"/>
      <c r="AH2207" s="58" t="s">
        <v>139</v>
      </c>
      <c r="AI2207" s="169">
        <v>8.1999999999999993</v>
      </c>
      <c r="AJ2207" s="94"/>
      <c r="AK2207" s="94"/>
      <c r="AL2207" s="58"/>
      <c r="AM2207" s="58" t="s">
        <v>2141</v>
      </c>
      <c r="AN2207" s="186" t="s">
        <v>1713</v>
      </c>
      <c r="AO2207" s="185" t="s">
        <v>5150</v>
      </c>
      <c r="AP2207" s="58"/>
      <c r="AQ2207" s="58" t="s">
        <v>131</v>
      </c>
      <c r="AR2207" s="58" t="s">
        <v>2142</v>
      </c>
      <c r="AS2207" s="58" t="s">
        <v>132</v>
      </c>
      <c r="AT2207" s="182" t="s">
        <v>2142</v>
      </c>
      <c r="AU2207" s="181" t="s">
        <v>5150</v>
      </c>
      <c r="AV2207" s="185" t="s">
        <v>176</v>
      </c>
      <c r="AW2207" s="58"/>
      <c r="AX2207" s="185" t="s">
        <v>176</v>
      </c>
      <c r="AY2207" s="58"/>
      <c r="AZ2207" s="61" t="s">
        <v>2143</v>
      </c>
      <c r="BA2207" s="58"/>
      <c r="BB2207" s="58" t="s">
        <v>2081</v>
      </c>
      <c r="BC2207" s="58" t="s">
        <v>2081</v>
      </c>
      <c r="BD2207" s="58"/>
      <c r="BE2207" s="236" t="s">
        <v>2144</v>
      </c>
      <c r="BF2207" s="58"/>
      <c r="BG2207" s="191" t="s">
        <v>479</v>
      </c>
      <c r="BH2207" s="236"/>
      <c r="BI2207" s="58"/>
      <c r="BJ2207" s="58"/>
      <c r="BK2207" s="58" t="s">
        <v>5976</v>
      </c>
      <c r="BL2207" s="58"/>
      <c r="BM2207" s="237" t="s">
        <v>160</v>
      </c>
      <c r="BN2207" s="58"/>
      <c r="BO2207" s="58"/>
      <c r="BP2207" s="58">
        <v>2</v>
      </c>
      <c r="BQ2207" s="58"/>
      <c r="BR2207" s="58"/>
      <c r="BS2207" s="58"/>
      <c r="BT2207" s="58"/>
      <c r="BU2207" s="58"/>
      <c r="BV2207" s="58"/>
      <c r="BW2207" s="67"/>
      <c r="BX2207" s="67"/>
      <c r="BY2207" s="67"/>
      <c r="BZ2207" s="67"/>
      <c r="CA2207" s="67"/>
      <c r="CB2207" s="68"/>
      <c r="CC2207" s="68"/>
      <c r="CD2207" s="68"/>
      <c r="CE2207" s="67"/>
      <c r="CF2207" s="67"/>
      <c r="CG2207" s="67"/>
      <c r="CH2207" s="94">
        <v>1.4</v>
      </c>
      <c r="CI2207" s="94">
        <v>1.39</v>
      </c>
      <c r="CJ2207" s="67"/>
      <c r="CK2207" s="67"/>
      <c r="CL2207" s="67"/>
      <c r="CM2207" s="67">
        <v>1.1200000000000001</v>
      </c>
      <c r="CN2207" s="67">
        <v>1.1299999999999999</v>
      </c>
      <c r="CO2207" s="67"/>
      <c r="CP2207" s="67"/>
      <c r="CQ2207" s="67" t="s">
        <v>2240</v>
      </c>
      <c r="CR2207" s="67"/>
      <c r="CS2207" s="67"/>
      <c r="CT2207" s="67"/>
      <c r="CU2207" s="67"/>
      <c r="CV2207" s="67" t="s">
        <v>3039</v>
      </c>
      <c r="CW2207" s="67"/>
      <c r="CX2207" s="67"/>
      <c r="CY2207" s="67"/>
      <c r="CZ2207" s="67"/>
      <c r="DA2207" s="67" t="s">
        <v>4458</v>
      </c>
      <c r="DB2207" s="67"/>
      <c r="DC2207" s="67"/>
      <c r="DD2207" s="67"/>
      <c r="DE2207" s="67"/>
      <c r="DF2207" s="67"/>
      <c r="DG2207" s="67"/>
      <c r="DH2207" s="67"/>
      <c r="DI2207" s="67"/>
      <c r="DJ2207" s="67"/>
      <c r="DK2207" s="67"/>
      <c r="DL2207" s="67"/>
      <c r="DM2207" s="67"/>
      <c r="DN2207" s="67"/>
      <c r="DO2207" s="67"/>
      <c r="DP2207" s="67"/>
      <c r="DQ2207" s="166"/>
      <c r="DR2207" s="166"/>
      <c r="DS2207" s="163"/>
      <c r="DT2207" s="163"/>
      <c r="DU2207" s="67"/>
      <c r="DV2207" s="67"/>
      <c r="DW2207" s="67"/>
      <c r="DX2207" s="67"/>
      <c r="DY2207" s="67"/>
      <c r="DZ2207" s="67"/>
      <c r="EA2207" s="67"/>
      <c r="EB2207" s="67"/>
      <c r="EC2207" s="67"/>
      <c r="ED2207" s="67"/>
      <c r="EE2207" s="67"/>
      <c r="EF2207" s="67"/>
      <c r="EG2207" s="67"/>
      <c r="EH2207" s="67"/>
      <c r="EI2207" s="67"/>
      <c r="EJ2207" s="67"/>
      <c r="EK2207" s="94"/>
      <c r="EL2207" s="94"/>
      <c r="EM2207" s="67"/>
      <c r="EN2207" s="67"/>
      <c r="EO2207" s="67"/>
      <c r="EP2207" s="67"/>
      <c r="EQ2207" s="67"/>
      <c r="ER2207" s="67"/>
      <c r="ES2207" s="67"/>
      <c r="ET2207" s="67"/>
      <c r="EU2207" s="67"/>
      <c r="EV2207" s="67"/>
      <c r="EW2207" s="67"/>
      <c r="EX2207" s="67"/>
      <c r="EY2207" s="67"/>
      <c r="EZ2207" s="67"/>
      <c r="FA2207" s="67"/>
      <c r="FB2207" s="67"/>
      <c r="FC2207" s="67"/>
      <c r="FD2207" s="67"/>
      <c r="FE2207" s="67"/>
      <c r="FF2207" s="67"/>
      <c r="FG2207" s="67"/>
      <c r="FH2207" s="67"/>
      <c r="FI2207" s="67"/>
      <c r="FJ2207" s="67"/>
      <c r="FK2207" s="67"/>
      <c r="FL2207" s="67"/>
      <c r="FM2207" s="67"/>
      <c r="FN2207" s="67"/>
      <c r="FO2207" s="67"/>
      <c r="FP2207" s="67"/>
      <c r="FQ2207" s="67"/>
      <c r="FR2207" s="67"/>
      <c r="FS2207" s="67"/>
      <c r="FT2207" s="67"/>
      <c r="FU2207" s="67"/>
      <c r="FV2207" s="67"/>
      <c r="FW2207" s="67"/>
      <c r="FX2207" s="67"/>
      <c r="FY2207" s="67"/>
      <c r="FZ2207" s="67"/>
      <c r="GA2207" s="67"/>
      <c r="GB2207" s="67"/>
      <c r="GC2207" s="67"/>
      <c r="GD2207" s="67"/>
      <c r="GE2207" s="67"/>
      <c r="GF2207" s="67"/>
      <c r="GG2207" s="67"/>
      <c r="GH2207" s="67"/>
      <c r="GI2207" s="67"/>
      <c r="GJ2207" s="67"/>
      <c r="GK2207" s="67"/>
      <c r="GL2207" s="67"/>
      <c r="GM2207" s="67"/>
      <c r="GN2207" s="292"/>
      <c r="GO2207" s="292"/>
      <c r="GP2207" s="292" t="s">
        <v>7494</v>
      </c>
      <c r="GQ2207" s="67"/>
      <c r="GR2207" s="67"/>
      <c r="GS2207" s="67"/>
      <c r="GT2207" s="67"/>
      <c r="GU2207" s="67"/>
      <c r="GV2207" s="67"/>
      <c r="GW2207" s="67"/>
      <c r="GX2207" s="67"/>
      <c r="GY2207" s="67"/>
      <c r="GZ2207" s="67"/>
      <c r="HA2207" s="67"/>
      <c r="HB2207" s="67"/>
      <c r="HC2207" s="67"/>
      <c r="HD2207" s="67"/>
      <c r="HE2207" s="67"/>
      <c r="HF2207" s="67"/>
      <c r="HG2207" s="67"/>
      <c r="HH2207" s="67"/>
      <c r="HI2207" s="67"/>
      <c r="HJ2207" s="67"/>
      <c r="HK2207" s="67"/>
      <c r="HL2207" s="67"/>
      <c r="HM2207" s="67"/>
      <c r="HN2207" s="67"/>
      <c r="HO2207" s="67"/>
      <c r="HP2207" s="67"/>
      <c r="HQ2207" s="67"/>
      <c r="HR2207" s="67"/>
      <c r="HS2207" s="67"/>
      <c r="HT2207" s="67"/>
      <c r="HU2207" s="67"/>
      <c r="HV2207" s="67"/>
      <c r="HW2207" s="67"/>
      <c r="HX2207" s="67"/>
      <c r="HY2207" s="67"/>
      <c r="HZ2207" s="67"/>
      <c r="IA2207" s="67"/>
      <c r="IB2207" s="67"/>
      <c r="IC2207" s="67"/>
      <c r="ID2207" s="67"/>
      <c r="IE2207" s="67"/>
      <c r="IF2207" s="67"/>
      <c r="IG2207" s="67"/>
      <c r="IH2207" s="67"/>
      <c r="II2207" s="67"/>
      <c r="IJ2207" s="67"/>
      <c r="IK2207" s="67"/>
      <c r="IL2207" s="67"/>
      <c r="IM2207" s="67"/>
      <c r="IN2207" s="67"/>
      <c r="IO2207" s="67"/>
      <c r="IP2207" s="67"/>
      <c r="IQ2207" s="67"/>
      <c r="IR2207" s="67"/>
      <c r="IS2207" s="67"/>
      <c r="IT2207" s="67"/>
      <c r="IU2207" s="67"/>
      <c r="IV2207" s="67"/>
      <c r="IW2207" s="67"/>
      <c r="IX2207" s="67"/>
      <c r="IY2207" s="67"/>
      <c r="IZ2207" s="67"/>
      <c r="JA2207" s="67"/>
      <c r="JB2207" s="67"/>
      <c r="JC2207" s="67"/>
      <c r="JD2207" s="67"/>
      <c r="JE2207" s="67"/>
      <c r="JF2207" s="67"/>
      <c r="JG2207" s="67"/>
      <c r="JH2207" s="67"/>
      <c r="JI2207" s="67"/>
      <c r="JJ2207" s="67"/>
      <c r="JK2207" s="67"/>
      <c r="JL2207" s="67"/>
      <c r="JM2207" s="67"/>
      <c r="JN2207" s="67"/>
      <c r="JO2207" s="67"/>
      <c r="JP2207" s="67"/>
      <c r="JQ2207" s="67"/>
      <c r="JR2207" s="67"/>
      <c r="JS2207" s="67"/>
      <c r="JT2207" s="67"/>
      <c r="JU2207" s="58"/>
      <c r="JV2207" s="58"/>
      <c r="JW2207" s="58"/>
    </row>
    <row r="2208" spans="1:283" s="23" customFormat="1" x14ac:dyDescent="0.25">
      <c r="A2208" s="55">
        <v>2207</v>
      </c>
      <c r="B2208" s="12" t="s">
        <v>7067</v>
      </c>
      <c r="C2208" s="156">
        <v>104</v>
      </c>
      <c r="D2208" s="58" t="s">
        <v>4178</v>
      </c>
      <c r="E2208" s="94" t="s">
        <v>2139</v>
      </c>
      <c r="F2208" s="94"/>
      <c r="G2208" s="58"/>
      <c r="H2208" s="58">
        <v>2011</v>
      </c>
      <c r="I2208" s="58">
        <v>1993</v>
      </c>
      <c r="J2208" s="58" t="s">
        <v>1709</v>
      </c>
      <c r="K2208" s="58" t="s">
        <v>2140</v>
      </c>
      <c r="L2208" s="58" t="s">
        <v>2741</v>
      </c>
      <c r="M2208" s="94">
        <v>43.68</v>
      </c>
      <c r="N2208" s="94">
        <v>10.35</v>
      </c>
      <c r="O2208" s="94">
        <v>1.7</v>
      </c>
      <c r="P2208" s="58">
        <v>14.3</v>
      </c>
      <c r="Q2208" s="58"/>
      <c r="R2208" s="58">
        <v>900</v>
      </c>
      <c r="S2208" s="94"/>
      <c r="T2208" s="58"/>
      <c r="U2208" s="58">
        <v>1</v>
      </c>
      <c r="V2208" s="58">
        <v>15</v>
      </c>
      <c r="W2208" s="174"/>
      <c r="X2208" s="174"/>
      <c r="Y2208" s="58" t="s">
        <v>1953</v>
      </c>
      <c r="Z2208" s="58" t="s">
        <v>1355</v>
      </c>
      <c r="AA2208" s="94">
        <v>10</v>
      </c>
      <c r="AB2208" s="67"/>
      <c r="AC2208" s="67"/>
      <c r="AD2208" s="94">
        <v>1.4</v>
      </c>
      <c r="AE2208" s="94">
        <v>44.3</v>
      </c>
      <c r="AF2208" s="94">
        <v>40.200000000000003</v>
      </c>
      <c r="AG2208" s="94"/>
      <c r="AH2208" s="58" t="s">
        <v>139</v>
      </c>
      <c r="AI2208" s="169">
        <v>8.1999999999999993</v>
      </c>
      <c r="AJ2208" s="94"/>
      <c r="AK2208" s="94"/>
      <c r="AL2208" s="58"/>
      <c r="AM2208" s="58" t="s">
        <v>2141</v>
      </c>
      <c r="AN2208" s="186" t="s">
        <v>1713</v>
      </c>
      <c r="AO2208" s="185" t="s">
        <v>5150</v>
      </c>
      <c r="AP2208" s="58"/>
      <c r="AQ2208" s="58" t="s">
        <v>131</v>
      </c>
      <c r="AR2208" s="58" t="s">
        <v>2142</v>
      </c>
      <c r="AS2208" s="58" t="s">
        <v>132</v>
      </c>
      <c r="AT2208" s="182" t="s">
        <v>2142</v>
      </c>
      <c r="AU2208" s="181" t="s">
        <v>5150</v>
      </c>
      <c r="AV2208" s="185" t="s">
        <v>176</v>
      </c>
      <c r="AW2208" s="58"/>
      <c r="AX2208" s="185" t="s">
        <v>176</v>
      </c>
      <c r="AY2208" s="58"/>
      <c r="AZ2208" s="61" t="s">
        <v>2143</v>
      </c>
      <c r="BA2208" s="58"/>
      <c r="BB2208" s="58" t="s">
        <v>2081</v>
      </c>
      <c r="BC2208" s="58" t="s">
        <v>2081</v>
      </c>
      <c r="BD2208" s="58"/>
      <c r="BE2208" s="236" t="s">
        <v>2144</v>
      </c>
      <c r="BF2208" s="58"/>
      <c r="BG2208" s="191" t="s">
        <v>479</v>
      </c>
      <c r="BH2208" s="236"/>
      <c r="BI2208" s="58"/>
      <c r="BJ2208" s="58"/>
      <c r="BK2208" s="58" t="s">
        <v>5976</v>
      </c>
      <c r="BL2208" s="58"/>
      <c r="BM2208" s="237" t="s">
        <v>160</v>
      </c>
      <c r="BN2208" s="58"/>
      <c r="BO2208" s="58"/>
      <c r="BP2208" s="58">
        <v>2</v>
      </c>
      <c r="BQ2208" s="58"/>
      <c r="BR2208" s="58"/>
      <c r="BS2208" s="58"/>
      <c r="BT2208" s="58"/>
      <c r="BU2208" s="58"/>
      <c r="BV2208" s="58"/>
      <c r="BW2208" s="67"/>
      <c r="BX2208" s="67"/>
      <c r="BY2208" s="67"/>
      <c r="BZ2208" s="67"/>
      <c r="CA2208" s="67"/>
      <c r="CB2208" s="68"/>
      <c r="CC2208" s="68"/>
      <c r="CD2208" s="68"/>
      <c r="CE2208" s="67"/>
      <c r="CF2208" s="67"/>
      <c r="CG2208" s="67"/>
      <c r="CH2208" s="94">
        <v>1.4</v>
      </c>
      <c r="CI2208" s="94">
        <v>1.4</v>
      </c>
      <c r="CJ2208" s="67"/>
      <c r="CK2208" s="67"/>
      <c r="CL2208" s="67"/>
      <c r="CM2208" s="67">
        <v>1.1200000000000001</v>
      </c>
      <c r="CN2208" s="67">
        <v>1.08</v>
      </c>
      <c r="CO2208" s="67"/>
      <c r="CP2208" s="67"/>
      <c r="CQ2208" s="67" t="s">
        <v>2240</v>
      </c>
      <c r="CR2208" s="67"/>
      <c r="CS2208" s="67"/>
      <c r="CT2208" s="67"/>
      <c r="CU2208" s="67"/>
      <c r="CV2208" s="67" t="s">
        <v>3039</v>
      </c>
      <c r="CW2208" s="67"/>
      <c r="CX2208" s="67"/>
      <c r="CY2208" s="67"/>
      <c r="CZ2208" s="67"/>
      <c r="DA2208" s="67" t="s">
        <v>4458</v>
      </c>
      <c r="DB2208" s="67"/>
      <c r="DC2208" s="67"/>
      <c r="DD2208" s="67"/>
      <c r="DE2208" s="67"/>
      <c r="DF2208" s="67"/>
      <c r="DG2208" s="67"/>
      <c r="DH2208" s="67"/>
      <c r="DI2208" s="67"/>
      <c r="DJ2208" s="67"/>
      <c r="DK2208" s="67"/>
      <c r="DL2208" s="67"/>
      <c r="DM2208" s="67"/>
      <c r="DN2208" s="67"/>
      <c r="DO2208" s="67"/>
      <c r="DP2208" s="67"/>
      <c r="DQ2208" s="166"/>
      <c r="DR2208" s="166"/>
      <c r="DS2208" s="163"/>
      <c r="DT2208" s="163"/>
      <c r="DU2208" s="67"/>
      <c r="DV2208" s="67"/>
      <c r="DW2208" s="67"/>
      <c r="DX2208" s="67"/>
      <c r="DY2208" s="67"/>
      <c r="DZ2208" s="67"/>
      <c r="EA2208" s="67"/>
      <c r="EB2208" s="67"/>
      <c r="EC2208" s="67"/>
      <c r="ED2208" s="67"/>
      <c r="EE2208" s="67"/>
      <c r="EF2208" s="67"/>
      <c r="EG2208" s="67"/>
      <c r="EH2208" s="67"/>
      <c r="EI2208" s="67"/>
      <c r="EJ2208" s="67"/>
      <c r="EK2208" s="94"/>
      <c r="EL2208" s="94"/>
      <c r="EM2208" s="67"/>
      <c r="EN2208" s="67"/>
      <c r="EO2208" s="67"/>
      <c r="EP2208" s="67"/>
      <c r="EQ2208" s="67"/>
      <c r="ER2208" s="67"/>
      <c r="ES2208" s="67"/>
      <c r="ET2208" s="67"/>
      <c r="EU2208" s="67"/>
      <c r="EV2208" s="67"/>
      <c r="EW2208" s="67"/>
      <c r="EX2208" s="67"/>
      <c r="EY2208" s="67"/>
      <c r="EZ2208" s="67"/>
      <c r="FA2208" s="67"/>
      <c r="FB2208" s="67"/>
      <c r="FC2208" s="67"/>
      <c r="FD2208" s="67"/>
      <c r="FE2208" s="67"/>
      <c r="FF2208" s="67"/>
      <c r="FG2208" s="67"/>
      <c r="FH2208" s="67"/>
      <c r="FI2208" s="67"/>
      <c r="FJ2208" s="67"/>
      <c r="FK2208" s="67"/>
      <c r="FL2208" s="67"/>
      <c r="FM2208" s="67"/>
      <c r="FN2208" s="67"/>
      <c r="FO2208" s="67"/>
      <c r="FP2208" s="67"/>
      <c r="FQ2208" s="67"/>
      <c r="FR2208" s="67"/>
      <c r="FS2208" s="67"/>
      <c r="FT2208" s="67"/>
      <c r="FU2208" s="67"/>
      <c r="FV2208" s="67"/>
      <c r="FW2208" s="67"/>
      <c r="FX2208" s="67"/>
      <c r="FY2208" s="67"/>
      <c r="FZ2208" s="67"/>
      <c r="GA2208" s="67"/>
      <c r="GB2208" s="67"/>
      <c r="GC2208" s="67"/>
      <c r="GD2208" s="67"/>
      <c r="GE2208" s="67"/>
      <c r="GF2208" s="67"/>
      <c r="GG2208" s="67"/>
      <c r="GH2208" s="67"/>
      <c r="GI2208" s="67"/>
      <c r="GJ2208" s="67"/>
      <c r="GK2208" s="67"/>
      <c r="GL2208" s="67"/>
      <c r="GM2208" s="67"/>
      <c r="GN2208" s="292"/>
      <c r="GO2208" s="292"/>
      <c r="GP2208" s="292" t="s">
        <v>7494</v>
      </c>
      <c r="GQ2208" s="67"/>
      <c r="GR2208" s="67"/>
      <c r="GS2208" s="67"/>
      <c r="GT2208" s="67"/>
      <c r="GU2208" s="67"/>
      <c r="GV2208" s="67"/>
      <c r="GW2208" s="67"/>
      <c r="GX2208" s="67"/>
      <c r="GY2208" s="67"/>
      <c r="GZ2208" s="67"/>
      <c r="HA2208" s="67"/>
      <c r="HB2208" s="67"/>
      <c r="HC2208" s="67"/>
      <c r="HD2208" s="67"/>
      <c r="HE2208" s="67"/>
      <c r="HF2208" s="67"/>
      <c r="HG2208" s="67"/>
      <c r="HH2208" s="67"/>
      <c r="HI2208" s="67"/>
      <c r="HJ2208" s="67"/>
      <c r="HK2208" s="67"/>
      <c r="HL2208" s="67"/>
      <c r="HM2208" s="67"/>
      <c r="HN2208" s="67"/>
      <c r="HO2208" s="67"/>
      <c r="HP2208" s="67"/>
      <c r="HQ2208" s="67"/>
      <c r="HR2208" s="67"/>
      <c r="HS2208" s="67"/>
      <c r="HT2208" s="67"/>
      <c r="HU2208" s="67"/>
      <c r="HV2208" s="67"/>
      <c r="HW2208" s="67"/>
      <c r="HX2208" s="67"/>
      <c r="HY2208" s="67"/>
      <c r="HZ2208" s="67"/>
      <c r="IA2208" s="67"/>
      <c r="IB2208" s="67"/>
      <c r="IC2208" s="67"/>
      <c r="ID2208" s="67"/>
      <c r="IE2208" s="67"/>
      <c r="IF2208" s="67"/>
      <c r="IG2208" s="67"/>
      <c r="IH2208" s="67"/>
      <c r="II2208" s="67"/>
      <c r="IJ2208" s="67"/>
      <c r="IK2208" s="67"/>
      <c r="IL2208" s="67"/>
      <c r="IM2208" s="67"/>
      <c r="IN2208" s="67"/>
      <c r="IO2208" s="67"/>
      <c r="IP2208" s="67"/>
      <c r="IQ2208" s="67"/>
      <c r="IR2208" s="67"/>
      <c r="IS2208" s="67"/>
      <c r="IT2208" s="67"/>
      <c r="IU2208" s="67"/>
      <c r="IV2208" s="67"/>
      <c r="IW2208" s="67"/>
      <c r="IX2208" s="67"/>
      <c r="IY2208" s="67"/>
      <c r="IZ2208" s="67"/>
      <c r="JA2208" s="67"/>
      <c r="JB2208" s="67"/>
      <c r="JC2208" s="67"/>
      <c r="JD2208" s="67"/>
      <c r="JE2208" s="67"/>
      <c r="JF2208" s="67"/>
      <c r="JG2208" s="67"/>
      <c r="JH2208" s="67"/>
      <c r="JI2208" s="67"/>
      <c r="JJ2208" s="67"/>
      <c r="JK2208" s="67"/>
      <c r="JL2208" s="67"/>
      <c r="JM2208" s="67"/>
      <c r="JN2208" s="67"/>
      <c r="JO2208" s="67"/>
      <c r="JP2208" s="67"/>
      <c r="JQ2208" s="67"/>
      <c r="JR2208" s="67"/>
      <c r="JS2208" s="67"/>
      <c r="JT2208" s="67"/>
      <c r="JU2208" s="58"/>
      <c r="JV2208" s="58"/>
      <c r="JW2208" s="58"/>
    </row>
    <row r="2209" spans="1:283" s="23" customFormat="1" x14ac:dyDescent="0.25">
      <c r="A2209" s="55">
        <v>2208</v>
      </c>
      <c r="B2209" s="12" t="s">
        <v>7067</v>
      </c>
      <c r="C2209" s="156">
        <v>104</v>
      </c>
      <c r="D2209" s="58" t="s">
        <v>4179</v>
      </c>
      <c r="E2209" s="94" t="s">
        <v>2139</v>
      </c>
      <c r="F2209" s="94"/>
      <c r="G2209" s="58"/>
      <c r="H2209" s="58">
        <v>2011</v>
      </c>
      <c r="I2209" s="58">
        <v>1993</v>
      </c>
      <c r="J2209" s="58" t="s">
        <v>1709</v>
      </c>
      <c r="K2209" s="58" t="s">
        <v>2140</v>
      </c>
      <c r="L2209" s="58" t="s">
        <v>2741</v>
      </c>
      <c r="M2209" s="94">
        <v>43.68</v>
      </c>
      <c r="N2209" s="94">
        <v>10.35</v>
      </c>
      <c r="O2209" s="94">
        <v>1.7</v>
      </c>
      <c r="P2209" s="58">
        <v>14.3</v>
      </c>
      <c r="Q2209" s="58"/>
      <c r="R2209" s="58">
        <v>900</v>
      </c>
      <c r="S2209" s="94"/>
      <c r="T2209" s="58"/>
      <c r="U2209" s="58">
        <v>1</v>
      </c>
      <c r="V2209" s="58">
        <v>15</v>
      </c>
      <c r="W2209" s="174"/>
      <c r="X2209" s="174"/>
      <c r="Y2209" s="58" t="s">
        <v>1953</v>
      </c>
      <c r="Z2209" s="58" t="s">
        <v>1355</v>
      </c>
      <c r="AA2209" s="94">
        <v>10</v>
      </c>
      <c r="AB2209" s="67"/>
      <c r="AC2209" s="67"/>
      <c r="AD2209" s="94">
        <v>1.4</v>
      </c>
      <c r="AE2209" s="94">
        <v>44.3</v>
      </c>
      <c r="AF2209" s="94">
        <v>40.200000000000003</v>
      </c>
      <c r="AG2209" s="94"/>
      <c r="AH2209" s="58" t="s">
        <v>139</v>
      </c>
      <c r="AI2209" s="169">
        <v>8.1999999999999993</v>
      </c>
      <c r="AJ2209" s="94"/>
      <c r="AK2209" s="94"/>
      <c r="AL2209" s="58"/>
      <c r="AM2209" s="58" t="s">
        <v>2141</v>
      </c>
      <c r="AN2209" s="186" t="s">
        <v>2145</v>
      </c>
      <c r="AO2209" s="185" t="s">
        <v>5150</v>
      </c>
      <c r="AP2209" s="58"/>
      <c r="AQ2209" s="58" t="s">
        <v>131</v>
      </c>
      <c r="AR2209" s="58" t="s">
        <v>2245</v>
      </c>
      <c r="AS2209" s="58" t="s">
        <v>1576</v>
      </c>
      <c r="AT2209" s="182" t="s">
        <v>2146</v>
      </c>
      <c r="AU2209" s="181" t="s">
        <v>5150</v>
      </c>
      <c r="AV2209" s="185" t="s">
        <v>176</v>
      </c>
      <c r="AW2209" s="58"/>
      <c r="AX2209" s="185" t="s">
        <v>176</v>
      </c>
      <c r="AY2209" s="58"/>
      <c r="AZ2209" s="61" t="s">
        <v>2143</v>
      </c>
      <c r="BA2209" s="58"/>
      <c r="BB2209" s="58" t="s">
        <v>2081</v>
      </c>
      <c r="BC2209" s="58" t="s">
        <v>2081</v>
      </c>
      <c r="BD2209" s="58"/>
      <c r="BE2209" s="236" t="s">
        <v>2144</v>
      </c>
      <c r="BF2209" s="58"/>
      <c r="BG2209" s="191" t="s">
        <v>479</v>
      </c>
      <c r="BH2209" s="236"/>
      <c r="BI2209" s="58"/>
      <c r="BJ2209" s="58"/>
      <c r="BK2209" s="58" t="s">
        <v>5976</v>
      </c>
      <c r="BL2209" s="58"/>
      <c r="BM2209" s="237" t="s">
        <v>160</v>
      </c>
      <c r="BN2209" s="58"/>
      <c r="BO2209" s="58"/>
      <c r="BP2209" s="58">
        <v>2</v>
      </c>
      <c r="BQ2209" s="58"/>
      <c r="BR2209" s="58"/>
      <c r="BS2209" s="58"/>
      <c r="BT2209" s="58"/>
      <c r="BU2209" s="58"/>
      <c r="BV2209" s="58"/>
      <c r="BW2209" s="67"/>
      <c r="BX2209" s="67"/>
      <c r="BY2209" s="67"/>
      <c r="BZ2209" s="67"/>
      <c r="CA2209" s="67"/>
      <c r="CB2209" s="68"/>
      <c r="CC2209" s="68"/>
      <c r="CD2209" s="68"/>
      <c r="CE2209" s="67"/>
      <c r="CF2209" s="67"/>
      <c r="CG2209" s="67"/>
      <c r="CH2209" s="94">
        <v>1.4</v>
      </c>
      <c r="CI2209" s="94">
        <v>1.38</v>
      </c>
      <c r="CJ2209" s="67"/>
      <c r="CK2209" s="67"/>
      <c r="CL2209" s="67"/>
      <c r="CM2209" s="67">
        <v>1.1200000000000001</v>
      </c>
      <c r="CN2209" s="67">
        <v>1.0900000000000001</v>
      </c>
      <c r="CO2209" s="67"/>
      <c r="CP2209" s="67"/>
      <c r="CQ2209" s="67" t="s">
        <v>2240</v>
      </c>
      <c r="CR2209" s="67"/>
      <c r="CS2209" s="67"/>
      <c r="CT2209" s="67"/>
      <c r="CU2209" s="67"/>
      <c r="CV2209" s="67" t="s">
        <v>3039</v>
      </c>
      <c r="CW2209" s="67"/>
      <c r="CX2209" s="67"/>
      <c r="CY2209" s="67"/>
      <c r="CZ2209" s="67"/>
      <c r="DA2209" s="67" t="s">
        <v>4458</v>
      </c>
      <c r="DB2209" s="67"/>
      <c r="DC2209" s="67"/>
      <c r="DD2209" s="67"/>
      <c r="DE2209" s="67"/>
      <c r="DF2209" s="67"/>
      <c r="DG2209" s="67"/>
      <c r="DH2209" s="67"/>
      <c r="DI2209" s="67"/>
      <c r="DJ2209" s="67"/>
      <c r="DK2209" s="67"/>
      <c r="DL2209" s="67"/>
      <c r="DM2209" s="67"/>
      <c r="DN2209" s="67"/>
      <c r="DO2209" s="67"/>
      <c r="DP2209" s="67"/>
      <c r="DQ2209" s="166"/>
      <c r="DR2209" s="166"/>
      <c r="DS2209" s="163"/>
      <c r="DT2209" s="163"/>
      <c r="DU2209" s="67"/>
      <c r="DV2209" s="67"/>
      <c r="DW2209" s="67"/>
      <c r="DX2209" s="67"/>
      <c r="DY2209" s="67"/>
      <c r="DZ2209" s="67"/>
      <c r="EA2209" s="67"/>
      <c r="EB2209" s="67"/>
      <c r="EC2209" s="67"/>
      <c r="ED2209" s="67"/>
      <c r="EE2209" s="67"/>
      <c r="EF2209" s="67"/>
      <c r="EG2209" s="67"/>
      <c r="EH2209" s="67"/>
      <c r="EI2209" s="67"/>
      <c r="EJ2209" s="67"/>
      <c r="EK2209" s="94"/>
      <c r="EL2209" s="94"/>
      <c r="EM2209" s="67"/>
      <c r="EN2209" s="67"/>
      <c r="EO2209" s="67"/>
      <c r="EP2209" s="67"/>
      <c r="EQ2209" s="67"/>
      <c r="ER2209" s="67"/>
      <c r="ES2209" s="67"/>
      <c r="ET2209" s="67"/>
      <c r="EU2209" s="67"/>
      <c r="EV2209" s="67"/>
      <c r="EW2209" s="67"/>
      <c r="EX2209" s="67"/>
      <c r="EY2209" s="67"/>
      <c r="EZ2209" s="67"/>
      <c r="FA2209" s="67"/>
      <c r="FB2209" s="67"/>
      <c r="FC2209" s="67"/>
      <c r="FD2209" s="67"/>
      <c r="FE2209" s="67"/>
      <c r="FF2209" s="67"/>
      <c r="FG2209" s="67"/>
      <c r="FH2209" s="67"/>
      <c r="FI2209" s="67"/>
      <c r="FJ2209" s="67"/>
      <c r="FK2209" s="67"/>
      <c r="FL2209" s="67"/>
      <c r="FM2209" s="67"/>
      <c r="FN2209" s="67"/>
      <c r="FO2209" s="67"/>
      <c r="FP2209" s="67"/>
      <c r="FQ2209" s="67"/>
      <c r="FR2209" s="67"/>
      <c r="FS2209" s="67"/>
      <c r="FT2209" s="67"/>
      <c r="FU2209" s="67"/>
      <c r="FV2209" s="67"/>
      <c r="FW2209" s="67"/>
      <c r="FX2209" s="67"/>
      <c r="FY2209" s="67"/>
      <c r="FZ2209" s="67"/>
      <c r="GA2209" s="67"/>
      <c r="GB2209" s="67"/>
      <c r="GC2209" s="67"/>
      <c r="GD2209" s="67"/>
      <c r="GE2209" s="67"/>
      <c r="GF2209" s="67"/>
      <c r="GG2209" s="67"/>
      <c r="GH2209" s="67"/>
      <c r="GI2209" s="67"/>
      <c r="GJ2209" s="67"/>
      <c r="GK2209" s="67"/>
      <c r="GL2209" s="67"/>
      <c r="GM2209" s="67"/>
      <c r="GN2209" s="292"/>
      <c r="GO2209" s="292"/>
      <c r="GP2209" s="292" t="s">
        <v>7494</v>
      </c>
      <c r="GQ2209" s="67"/>
      <c r="GR2209" s="67"/>
      <c r="GS2209" s="67"/>
      <c r="GT2209" s="67"/>
      <c r="GU2209" s="67"/>
      <c r="GV2209" s="67"/>
      <c r="GW2209" s="67"/>
      <c r="GX2209" s="67"/>
      <c r="GY2209" s="67"/>
      <c r="GZ2209" s="67"/>
      <c r="HA2209" s="67"/>
      <c r="HB2209" s="67"/>
      <c r="HC2209" s="67"/>
      <c r="HD2209" s="67"/>
      <c r="HE2209" s="67"/>
      <c r="HF2209" s="67"/>
      <c r="HG2209" s="67"/>
      <c r="HH2209" s="67"/>
      <c r="HI2209" s="67"/>
      <c r="HJ2209" s="67"/>
      <c r="HK2209" s="67"/>
      <c r="HL2209" s="67"/>
      <c r="HM2209" s="67"/>
      <c r="HN2209" s="67"/>
      <c r="HO2209" s="67"/>
      <c r="HP2209" s="67"/>
      <c r="HQ2209" s="67"/>
      <c r="HR2209" s="67"/>
      <c r="HS2209" s="67"/>
      <c r="HT2209" s="67"/>
      <c r="HU2209" s="67"/>
      <c r="HV2209" s="67"/>
      <c r="HW2209" s="67"/>
      <c r="HX2209" s="67"/>
      <c r="HY2209" s="67"/>
      <c r="HZ2209" s="67"/>
      <c r="IA2209" s="67"/>
      <c r="IB2209" s="67"/>
      <c r="IC2209" s="67"/>
      <c r="ID2209" s="67"/>
      <c r="IE2209" s="67"/>
      <c r="IF2209" s="67"/>
      <c r="IG2209" s="67"/>
      <c r="IH2209" s="67"/>
      <c r="II2209" s="67"/>
      <c r="IJ2209" s="67"/>
      <c r="IK2209" s="67"/>
      <c r="IL2209" s="67"/>
      <c r="IM2209" s="67"/>
      <c r="IN2209" s="67"/>
      <c r="IO2209" s="67"/>
      <c r="IP2209" s="67"/>
      <c r="IQ2209" s="67"/>
      <c r="IR2209" s="67"/>
      <c r="IS2209" s="67"/>
      <c r="IT2209" s="67"/>
      <c r="IU2209" s="67"/>
      <c r="IV2209" s="67"/>
      <c r="IW2209" s="67"/>
      <c r="IX2209" s="67"/>
      <c r="IY2209" s="67"/>
      <c r="IZ2209" s="67"/>
      <c r="JA2209" s="67"/>
      <c r="JB2209" s="67"/>
      <c r="JC2209" s="67"/>
      <c r="JD2209" s="67"/>
      <c r="JE2209" s="67"/>
      <c r="JF2209" s="67"/>
      <c r="JG2209" s="67"/>
      <c r="JH2209" s="67"/>
      <c r="JI2209" s="67"/>
      <c r="JJ2209" s="67"/>
      <c r="JK2209" s="67"/>
      <c r="JL2209" s="67"/>
      <c r="JM2209" s="67"/>
      <c r="JN2209" s="67"/>
      <c r="JO2209" s="67"/>
      <c r="JP2209" s="67"/>
      <c r="JQ2209" s="67"/>
      <c r="JR2209" s="67"/>
      <c r="JS2209" s="67"/>
      <c r="JT2209" s="67"/>
      <c r="JU2209" s="58"/>
      <c r="JV2209" s="58"/>
      <c r="JW2209" s="58"/>
    </row>
    <row r="2210" spans="1:283" s="23" customFormat="1" x14ac:dyDescent="0.25">
      <c r="A2210" s="55">
        <v>2209</v>
      </c>
      <c r="B2210" s="12" t="s">
        <v>7067</v>
      </c>
      <c r="C2210" s="156">
        <v>104</v>
      </c>
      <c r="D2210" s="58" t="s">
        <v>4178</v>
      </c>
      <c r="E2210" s="94" t="s">
        <v>2139</v>
      </c>
      <c r="F2210" s="94"/>
      <c r="G2210" s="58"/>
      <c r="H2210" s="58">
        <v>2011</v>
      </c>
      <c r="I2210" s="58">
        <v>1998</v>
      </c>
      <c r="J2210" s="58" t="s">
        <v>1709</v>
      </c>
      <c r="K2210" s="58" t="s">
        <v>2140</v>
      </c>
      <c r="L2210" s="58" t="s">
        <v>2741</v>
      </c>
      <c r="M2210" s="94">
        <v>43.68</v>
      </c>
      <c r="N2210" s="94">
        <v>10.35</v>
      </c>
      <c r="O2210" s="94">
        <v>1.7</v>
      </c>
      <c r="P2210" s="58">
        <v>14.3</v>
      </c>
      <c r="Q2210" s="58"/>
      <c r="R2210" s="58">
        <v>900</v>
      </c>
      <c r="S2210" s="94"/>
      <c r="T2210" s="58"/>
      <c r="U2210" s="58">
        <v>6</v>
      </c>
      <c r="V2210" s="58">
        <v>15</v>
      </c>
      <c r="W2210" s="174"/>
      <c r="X2210" s="174"/>
      <c r="Y2210" s="58" t="s">
        <v>1953</v>
      </c>
      <c r="Z2210" s="58" t="s">
        <v>1355</v>
      </c>
      <c r="AA2210" s="94">
        <v>10</v>
      </c>
      <c r="AB2210" s="67"/>
      <c r="AC2210" s="67"/>
      <c r="AD2210" s="94">
        <v>1.4</v>
      </c>
      <c r="AE2210" s="94">
        <v>44.3</v>
      </c>
      <c r="AF2210" s="94">
        <v>40.200000000000003</v>
      </c>
      <c r="AG2210" s="94"/>
      <c r="AH2210" s="58" t="s">
        <v>139</v>
      </c>
      <c r="AI2210" s="169">
        <v>8.1999999999999993</v>
      </c>
      <c r="AJ2210" s="94"/>
      <c r="AK2210" s="94"/>
      <c r="AL2210" s="58"/>
      <c r="AM2210" s="58" t="s">
        <v>2141</v>
      </c>
      <c r="AN2210" s="186" t="s">
        <v>2145</v>
      </c>
      <c r="AO2210" s="185" t="s">
        <v>5150</v>
      </c>
      <c r="AP2210" s="58"/>
      <c r="AQ2210" s="58" t="s">
        <v>131</v>
      </c>
      <c r="AR2210" s="58" t="s">
        <v>2245</v>
      </c>
      <c r="AS2210" s="58" t="s">
        <v>1576</v>
      </c>
      <c r="AT2210" s="182" t="s">
        <v>2146</v>
      </c>
      <c r="AU2210" s="181" t="s">
        <v>5150</v>
      </c>
      <c r="AV2210" s="185" t="s">
        <v>176</v>
      </c>
      <c r="AW2210" s="58"/>
      <c r="AX2210" s="185" t="s">
        <v>176</v>
      </c>
      <c r="AY2210" s="58"/>
      <c r="AZ2210" s="61" t="s">
        <v>2143</v>
      </c>
      <c r="BA2210" s="58"/>
      <c r="BB2210" s="58" t="s">
        <v>2081</v>
      </c>
      <c r="BC2210" s="58" t="s">
        <v>2081</v>
      </c>
      <c r="BD2210" s="58"/>
      <c r="BE2210" s="236" t="s">
        <v>2144</v>
      </c>
      <c r="BF2210" s="58"/>
      <c r="BG2210" s="191" t="s">
        <v>479</v>
      </c>
      <c r="BH2210" s="236"/>
      <c r="BI2210" s="58"/>
      <c r="BJ2210" s="58"/>
      <c r="BK2210" s="58" t="s">
        <v>5976</v>
      </c>
      <c r="BL2210" s="58"/>
      <c r="BM2210" s="237" t="s">
        <v>160</v>
      </c>
      <c r="BN2210" s="58"/>
      <c r="BO2210" s="58"/>
      <c r="BP2210" s="58">
        <v>2</v>
      </c>
      <c r="BQ2210" s="58"/>
      <c r="BR2210" s="58">
        <f>43500/15</f>
        <v>2900</v>
      </c>
      <c r="BS2210" s="58"/>
      <c r="BT2210" s="58"/>
      <c r="BU2210" s="58"/>
      <c r="BV2210" s="58"/>
      <c r="BW2210" s="67">
        <f>1/15*1000*57.9</f>
        <v>3860</v>
      </c>
      <c r="BX2210" s="67">
        <f>1/15*1000*55.8</f>
        <v>3720</v>
      </c>
      <c r="BY2210" s="67"/>
      <c r="BZ2210" s="67"/>
      <c r="CA2210" s="67" t="s">
        <v>2246</v>
      </c>
      <c r="CB2210" s="68"/>
      <c r="CC2210" s="68"/>
      <c r="CD2210" s="68"/>
      <c r="CE2210" s="67"/>
      <c r="CF2210" s="67"/>
      <c r="CG2210" s="67"/>
      <c r="CH2210" s="94">
        <v>1.4</v>
      </c>
      <c r="CI2210" s="94">
        <v>1.39</v>
      </c>
      <c r="CJ2210" s="67"/>
      <c r="CK2210" s="67"/>
      <c r="CL2210" s="67"/>
      <c r="CM2210" s="67">
        <v>1.1000000000000001</v>
      </c>
      <c r="CN2210" s="67">
        <v>1.17</v>
      </c>
      <c r="CO2210" s="67"/>
      <c r="CP2210" s="67"/>
      <c r="CQ2210" s="67" t="s">
        <v>2240</v>
      </c>
      <c r="CR2210" s="67"/>
      <c r="CS2210" s="67"/>
      <c r="CT2210" s="67"/>
      <c r="CU2210" s="67"/>
      <c r="CV2210" s="67" t="s">
        <v>3039</v>
      </c>
      <c r="CW2210" s="67"/>
      <c r="CX2210" s="67"/>
      <c r="CY2210" s="67"/>
      <c r="CZ2210" s="67"/>
      <c r="DA2210" s="67" t="s">
        <v>4458</v>
      </c>
      <c r="DB2210" s="67"/>
      <c r="DC2210" s="67"/>
      <c r="DD2210" s="67"/>
      <c r="DE2210" s="67"/>
      <c r="DF2210" s="67"/>
      <c r="DG2210" s="67"/>
      <c r="DH2210" s="67"/>
      <c r="DI2210" s="67"/>
      <c r="DJ2210" s="67"/>
      <c r="DK2210" s="67"/>
      <c r="DL2210" s="67"/>
      <c r="DM2210" s="67"/>
      <c r="DN2210" s="67"/>
      <c r="DO2210" s="67"/>
      <c r="DP2210" s="67"/>
      <c r="DQ2210" s="166"/>
      <c r="DR2210" s="166"/>
      <c r="DS2210" s="163"/>
      <c r="DT2210" s="163"/>
      <c r="DU2210" s="67"/>
      <c r="DV2210" s="67"/>
      <c r="DW2210" s="67"/>
      <c r="DX2210" s="67"/>
      <c r="DY2210" s="67"/>
      <c r="DZ2210" s="67"/>
      <c r="EA2210" s="67"/>
      <c r="EB2210" s="67"/>
      <c r="EC2210" s="67"/>
      <c r="ED2210" s="67"/>
      <c r="EE2210" s="67"/>
      <c r="EF2210" s="67"/>
      <c r="EG2210" s="67"/>
      <c r="EH2210" s="67"/>
      <c r="EI2210" s="67"/>
      <c r="EJ2210" s="67"/>
      <c r="EK2210" s="94"/>
      <c r="EL2210" s="94"/>
      <c r="EM2210" s="67"/>
      <c r="EN2210" s="67"/>
      <c r="EO2210" s="67"/>
      <c r="EP2210" s="67"/>
      <c r="EQ2210" s="67"/>
      <c r="ER2210" s="67"/>
      <c r="ES2210" s="67"/>
      <c r="ET2210" s="67"/>
      <c r="EU2210" s="67"/>
      <c r="EV2210" s="67"/>
      <c r="EW2210" s="67"/>
      <c r="EX2210" s="67"/>
      <c r="EY2210" s="67"/>
      <c r="EZ2210" s="67"/>
      <c r="FA2210" s="67"/>
      <c r="FB2210" s="67"/>
      <c r="FC2210" s="67"/>
      <c r="FD2210" s="67"/>
      <c r="FE2210" s="67"/>
      <c r="FF2210" s="67"/>
      <c r="FG2210" s="67"/>
      <c r="FH2210" s="67"/>
      <c r="FI2210" s="67"/>
      <c r="FJ2210" s="67"/>
      <c r="FK2210" s="67"/>
      <c r="FL2210" s="67"/>
      <c r="FM2210" s="67"/>
      <c r="FN2210" s="67"/>
      <c r="FO2210" s="67"/>
      <c r="FP2210" s="67"/>
      <c r="FQ2210" s="67"/>
      <c r="FR2210" s="67"/>
      <c r="FS2210" s="67"/>
      <c r="FT2210" s="67"/>
      <c r="FU2210" s="67"/>
      <c r="FV2210" s="67"/>
      <c r="FW2210" s="67"/>
      <c r="FX2210" s="67"/>
      <c r="FY2210" s="67"/>
      <c r="FZ2210" s="67"/>
      <c r="GA2210" s="67"/>
      <c r="GB2210" s="67"/>
      <c r="GC2210" s="67"/>
      <c r="GD2210" s="67"/>
      <c r="GE2210" s="67"/>
      <c r="GF2210" s="67"/>
      <c r="GG2210" s="67"/>
      <c r="GH2210" s="67"/>
      <c r="GI2210" s="67"/>
      <c r="GJ2210" s="67"/>
      <c r="GK2210" s="67"/>
      <c r="GL2210" s="67"/>
      <c r="GM2210" s="67"/>
      <c r="GN2210" s="292"/>
      <c r="GO2210" s="292"/>
      <c r="GP2210" s="292" t="s">
        <v>7494</v>
      </c>
      <c r="GQ2210" s="67"/>
      <c r="GR2210" s="67"/>
      <c r="GS2210" s="67"/>
      <c r="GT2210" s="67"/>
      <c r="GU2210" s="67"/>
      <c r="GV2210" s="67"/>
      <c r="GW2210" s="67"/>
      <c r="GX2210" s="67"/>
      <c r="GY2210" s="67"/>
      <c r="GZ2210" s="67"/>
      <c r="HA2210" s="67"/>
      <c r="HB2210" s="67"/>
      <c r="HC2210" s="67"/>
      <c r="HD2210" s="67"/>
      <c r="HE2210" s="67"/>
      <c r="HF2210" s="67"/>
      <c r="HG2210" s="67"/>
      <c r="HH2210" s="67"/>
      <c r="HI2210" s="67"/>
      <c r="HJ2210" s="67"/>
      <c r="HK2210" s="67"/>
      <c r="HL2210" s="67"/>
      <c r="HM2210" s="67"/>
      <c r="HN2210" s="67"/>
      <c r="HO2210" s="67"/>
      <c r="HP2210" s="67"/>
      <c r="HQ2210" s="67"/>
      <c r="HR2210" s="67"/>
      <c r="HS2210" s="67"/>
      <c r="HT2210" s="67"/>
      <c r="HU2210" s="67"/>
      <c r="HV2210" s="67"/>
      <c r="HW2210" s="67"/>
      <c r="HX2210" s="67"/>
      <c r="HY2210" s="67"/>
      <c r="HZ2210" s="67"/>
      <c r="IA2210" s="67"/>
      <c r="IB2210" s="67"/>
      <c r="IC2210" s="67"/>
      <c r="ID2210" s="67"/>
      <c r="IE2210" s="67"/>
      <c r="IF2210" s="67"/>
      <c r="IG2210" s="67"/>
      <c r="IH2210" s="67"/>
      <c r="II2210" s="67"/>
      <c r="IJ2210" s="67"/>
      <c r="IK2210" s="67"/>
      <c r="IL2210" s="67"/>
      <c r="IM2210" s="67"/>
      <c r="IN2210" s="67"/>
      <c r="IO2210" s="67"/>
      <c r="IP2210" s="67"/>
      <c r="IQ2210" s="67"/>
      <c r="IR2210" s="67"/>
      <c r="IS2210" s="67"/>
      <c r="IT2210" s="67"/>
      <c r="IU2210" s="67"/>
      <c r="IV2210" s="67"/>
      <c r="IW2210" s="67"/>
      <c r="IX2210" s="67"/>
      <c r="IY2210" s="67"/>
      <c r="IZ2210" s="67"/>
      <c r="JA2210" s="67"/>
      <c r="JB2210" s="67"/>
      <c r="JC2210" s="67"/>
      <c r="JD2210" s="67"/>
      <c r="JE2210" s="67"/>
      <c r="JF2210" s="67"/>
      <c r="JG2210" s="67"/>
      <c r="JH2210" s="67"/>
      <c r="JI2210" s="67"/>
      <c r="JJ2210" s="67"/>
      <c r="JK2210" s="67"/>
      <c r="JL2210" s="67"/>
      <c r="JM2210" s="67"/>
      <c r="JN2210" s="67"/>
      <c r="JO2210" s="67"/>
      <c r="JP2210" s="67"/>
      <c r="JQ2210" s="67"/>
      <c r="JR2210" s="67"/>
      <c r="JS2210" s="67"/>
      <c r="JT2210" s="67"/>
      <c r="JU2210" s="58"/>
      <c r="JV2210" s="58"/>
      <c r="JW2210" s="58"/>
    </row>
    <row r="2211" spans="1:283" s="23" customFormat="1" x14ac:dyDescent="0.25">
      <c r="A2211" s="55">
        <v>2210</v>
      </c>
      <c r="B2211" s="12" t="s">
        <v>7067</v>
      </c>
      <c r="C2211" s="156">
        <v>104</v>
      </c>
      <c r="D2211" s="58" t="s">
        <v>4180</v>
      </c>
      <c r="E2211" s="94" t="s">
        <v>2139</v>
      </c>
      <c r="F2211" s="94"/>
      <c r="G2211" s="58"/>
      <c r="H2211" s="58">
        <v>2011</v>
      </c>
      <c r="I2211" s="58">
        <v>1998</v>
      </c>
      <c r="J2211" s="58" t="s">
        <v>1709</v>
      </c>
      <c r="K2211" s="58" t="s">
        <v>2140</v>
      </c>
      <c r="L2211" s="58" t="s">
        <v>2741</v>
      </c>
      <c r="M2211" s="94">
        <v>43.68</v>
      </c>
      <c r="N2211" s="94">
        <v>10.35</v>
      </c>
      <c r="O2211" s="94">
        <v>1.7</v>
      </c>
      <c r="P2211" s="58">
        <v>14.3</v>
      </c>
      <c r="Q2211" s="58"/>
      <c r="R2211" s="58">
        <v>900</v>
      </c>
      <c r="S2211" s="94"/>
      <c r="T2211" s="58"/>
      <c r="U2211" s="58">
        <v>6</v>
      </c>
      <c r="V2211" s="58">
        <v>15</v>
      </c>
      <c r="W2211" s="174"/>
      <c r="X2211" s="174"/>
      <c r="Y2211" s="58" t="s">
        <v>1953</v>
      </c>
      <c r="Z2211" s="58" t="s">
        <v>1355</v>
      </c>
      <c r="AA2211" s="94">
        <v>10</v>
      </c>
      <c r="AB2211" s="67"/>
      <c r="AC2211" s="67"/>
      <c r="AD2211" s="94">
        <v>1.4</v>
      </c>
      <c r="AE2211" s="94">
        <v>44.3</v>
      </c>
      <c r="AF2211" s="94">
        <v>40.200000000000003</v>
      </c>
      <c r="AG2211" s="94"/>
      <c r="AH2211" s="58" t="s">
        <v>139</v>
      </c>
      <c r="AI2211" s="169">
        <v>8.1999999999999993</v>
      </c>
      <c r="AJ2211" s="94"/>
      <c r="AK2211" s="94"/>
      <c r="AL2211" s="58"/>
      <c r="AM2211" s="58" t="s">
        <v>2141</v>
      </c>
      <c r="AN2211" s="186" t="s">
        <v>2000</v>
      </c>
      <c r="AO2211" s="185" t="s">
        <v>5150</v>
      </c>
      <c r="AP2211" s="58"/>
      <c r="AQ2211" s="58" t="s">
        <v>553</v>
      </c>
      <c r="AR2211" s="58" t="s">
        <v>2142</v>
      </c>
      <c r="AS2211" s="58" t="s">
        <v>132</v>
      </c>
      <c r="AT2211" s="182" t="s">
        <v>2142</v>
      </c>
      <c r="AU2211" s="181" t="s">
        <v>5150</v>
      </c>
      <c r="AV2211" s="185" t="s">
        <v>176</v>
      </c>
      <c r="AW2211" s="58"/>
      <c r="AX2211" s="185" t="s">
        <v>176</v>
      </c>
      <c r="AY2211" s="58"/>
      <c r="AZ2211" s="61" t="s">
        <v>2143</v>
      </c>
      <c r="BA2211" s="58"/>
      <c r="BB2211" s="58" t="s">
        <v>2081</v>
      </c>
      <c r="BC2211" s="58" t="s">
        <v>2081</v>
      </c>
      <c r="BD2211" s="58"/>
      <c r="BE2211" s="236" t="s">
        <v>2144</v>
      </c>
      <c r="BF2211" s="58"/>
      <c r="BG2211" s="191" t="s">
        <v>479</v>
      </c>
      <c r="BH2211" s="236"/>
      <c r="BI2211" s="58"/>
      <c r="BJ2211" s="58"/>
      <c r="BK2211" s="58" t="s">
        <v>5976</v>
      </c>
      <c r="BL2211" s="58"/>
      <c r="BM2211" s="237" t="s">
        <v>160</v>
      </c>
      <c r="BN2211" s="58"/>
      <c r="BO2211" s="58"/>
      <c r="BP2211" s="58">
        <v>2</v>
      </c>
      <c r="BQ2211" s="58"/>
      <c r="BR2211" s="58">
        <f>36000/15</f>
        <v>2400</v>
      </c>
      <c r="BS2211" s="58"/>
      <c r="BT2211" s="58"/>
      <c r="BU2211" s="58"/>
      <c r="BV2211" s="58"/>
      <c r="BW2211" s="67">
        <f>1/15*1000*57.9</f>
        <v>3860</v>
      </c>
      <c r="BX2211" s="67">
        <f>1/15*1000*62.5</f>
        <v>4166.666666666667</v>
      </c>
      <c r="BY2211" s="67"/>
      <c r="BZ2211" s="67"/>
      <c r="CA2211" s="67" t="s">
        <v>2246</v>
      </c>
      <c r="CB2211" s="68"/>
      <c r="CC2211" s="68"/>
      <c r="CD2211" s="68"/>
      <c r="CE2211" s="67"/>
      <c r="CF2211" s="67"/>
      <c r="CG2211" s="67"/>
      <c r="CH2211" s="94">
        <v>1.4</v>
      </c>
      <c r="CI2211" s="94">
        <v>1.4</v>
      </c>
      <c r="CJ2211" s="67"/>
      <c r="CK2211" s="67"/>
      <c r="CL2211" s="67"/>
      <c r="CM2211" s="67">
        <v>1.1000000000000001</v>
      </c>
      <c r="CN2211" s="67">
        <v>1.1399999999999999</v>
      </c>
      <c r="CO2211" s="67"/>
      <c r="CP2211" s="67"/>
      <c r="CQ2211" s="67" t="s">
        <v>2240</v>
      </c>
      <c r="CR2211" s="67"/>
      <c r="CS2211" s="67"/>
      <c r="CT2211" s="67"/>
      <c r="CU2211" s="67"/>
      <c r="CV2211" s="67" t="s">
        <v>3039</v>
      </c>
      <c r="CW2211" s="67"/>
      <c r="CX2211" s="67"/>
      <c r="CY2211" s="67"/>
      <c r="CZ2211" s="67"/>
      <c r="DA2211" s="67" t="s">
        <v>4458</v>
      </c>
      <c r="DB2211" s="67"/>
      <c r="DC2211" s="67"/>
      <c r="DD2211" s="67"/>
      <c r="DE2211" s="67"/>
      <c r="DF2211" s="67"/>
      <c r="DG2211" s="67"/>
      <c r="DH2211" s="67"/>
      <c r="DI2211" s="67"/>
      <c r="DJ2211" s="67"/>
      <c r="DK2211" s="67"/>
      <c r="DL2211" s="67"/>
      <c r="DM2211" s="67"/>
      <c r="DN2211" s="67"/>
      <c r="DO2211" s="67"/>
      <c r="DP2211" s="67"/>
      <c r="DQ2211" s="166"/>
      <c r="DR2211" s="166"/>
      <c r="DS2211" s="163"/>
      <c r="DT2211" s="163"/>
      <c r="DU2211" s="67"/>
      <c r="DV2211" s="67"/>
      <c r="DW2211" s="67"/>
      <c r="DX2211" s="67"/>
      <c r="DY2211" s="67"/>
      <c r="DZ2211" s="67"/>
      <c r="EA2211" s="67"/>
      <c r="EB2211" s="67"/>
      <c r="EC2211" s="67"/>
      <c r="ED2211" s="67"/>
      <c r="EE2211" s="67"/>
      <c r="EF2211" s="67"/>
      <c r="EG2211" s="67"/>
      <c r="EH2211" s="67"/>
      <c r="EI2211" s="67"/>
      <c r="EJ2211" s="67"/>
      <c r="EK2211" s="94"/>
      <c r="EL2211" s="94"/>
      <c r="EM2211" s="67"/>
      <c r="EN2211" s="67"/>
      <c r="EO2211" s="67"/>
      <c r="EP2211" s="67"/>
      <c r="EQ2211" s="67"/>
      <c r="ER2211" s="67"/>
      <c r="ES2211" s="67"/>
      <c r="ET2211" s="67"/>
      <c r="EU2211" s="67"/>
      <c r="EV2211" s="67"/>
      <c r="EW2211" s="67"/>
      <c r="EX2211" s="67"/>
      <c r="EY2211" s="67"/>
      <c r="EZ2211" s="67"/>
      <c r="FA2211" s="67"/>
      <c r="FB2211" s="67"/>
      <c r="FC2211" s="67"/>
      <c r="FD2211" s="67"/>
      <c r="FE2211" s="67"/>
      <c r="FF2211" s="67"/>
      <c r="FG2211" s="67"/>
      <c r="FH2211" s="67"/>
      <c r="FI2211" s="67"/>
      <c r="FJ2211" s="67"/>
      <c r="FK2211" s="67"/>
      <c r="FL2211" s="67"/>
      <c r="FM2211" s="67"/>
      <c r="FN2211" s="67"/>
      <c r="FO2211" s="67"/>
      <c r="FP2211" s="67"/>
      <c r="FQ2211" s="67"/>
      <c r="FR2211" s="67"/>
      <c r="FS2211" s="67"/>
      <c r="FT2211" s="67"/>
      <c r="FU2211" s="67"/>
      <c r="FV2211" s="67"/>
      <c r="FW2211" s="67"/>
      <c r="FX2211" s="67"/>
      <c r="FY2211" s="67"/>
      <c r="FZ2211" s="67"/>
      <c r="GA2211" s="67"/>
      <c r="GB2211" s="67"/>
      <c r="GC2211" s="67"/>
      <c r="GD2211" s="67"/>
      <c r="GE2211" s="67"/>
      <c r="GF2211" s="67"/>
      <c r="GG2211" s="67"/>
      <c r="GH2211" s="67"/>
      <c r="GI2211" s="67"/>
      <c r="GJ2211" s="67"/>
      <c r="GK2211" s="67"/>
      <c r="GL2211" s="67"/>
      <c r="GM2211" s="67"/>
      <c r="GN2211" s="292"/>
      <c r="GO2211" s="292"/>
      <c r="GP2211" s="292" t="s">
        <v>7494</v>
      </c>
      <c r="GQ2211" s="67"/>
      <c r="GR2211" s="67"/>
      <c r="GS2211" s="67"/>
      <c r="GT2211" s="67"/>
      <c r="GU2211" s="67"/>
      <c r="GV2211" s="67"/>
      <c r="GW2211" s="67"/>
      <c r="GX2211" s="67"/>
      <c r="GY2211" s="67"/>
      <c r="GZ2211" s="67"/>
      <c r="HA2211" s="67"/>
      <c r="HB2211" s="67"/>
      <c r="HC2211" s="67"/>
      <c r="HD2211" s="67"/>
      <c r="HE2211" s="67"/>
      <c r="HF2211" s="67"/>
      <c r="HG2211" s="67"/>
      <c r="HH2211" s="67"/>
      <c r="HI2211" s="67"/>
      <c r="HJ2211" s="67"/>
      <c r="HK2211" s="67"/>
      <c r="HL2211" s="67"/>
      <c r="HM2211" s="67"/>
      <c r="HN2211" s="67"/>
      <c r="HO2211" s="67"/>
      <c r="HP2211" s="67"/>
      <c r="HQ2211" s="67"/>
      <c r="HR2211" s="67"/>
      <c r="HS2211" s="67"/>
      <c r="HT2211" s="67"/>
      <c r="HU2211" s="67"/>
      <c r="HV2211" s="67"/>
      <c r="HW2211" s="67"/>
      <c r="HX2211" s="67"/>
      <c r="HY2211" s="67"/>
      <c r="HZ2211" s="67"/>
      <c r="IA2211" s="67"/>
      <c r="IB2211" s="67"/>
      <c r="IC2211" s="67"/>
      <c r="ID2211" s="67"/>
      <c r="IE2211" s="67"/>
      <c r="IF2211" s="67"/>
      <c r="IG2211" s="67"/>
      <c r="IH2211" s="67"/>
      <c r="II2211" s="67"/>
      <c r="IJ2211" s="67"/>
      <c r="IK2211" s="67"/>
      <c r="IL2211" s="67"/>
      <c r="IM2211" s="67"/>
      <c r="IN2211" s="67"/>
      <c r="IO2211" s="67"/>
      <c r="IP2211" s="67"/>
      <c r="IQ2211" s="67"/>
      <c r="IR2211" s="67"/>
      <c r="IS2211" s="67"/>
      <c r="IT2211" s="67"/>
      <c r="IU2211" s="67"/>
      <c r="IV2211" s="67"/>
      <c r="IW2211" s="67"/>
      <c r="IX2211" s="67"/>
      <c r="IY2211" s="67"/>
      <c r="IZ2211" s="67"/>
      <c r="JA2211" s="67"/>
      <c r="JB2211" s="67"/>
      <c r="JC2211" s="67"/>
      <c r="JD2211" s="67"/>
      <c r="JE2211" s="67"/>
      <c r="JF2211" s="67"/>
      <c r="JG2211" s="67"/>
      <c r="JH2211" s="67"/>
      <c r="JI2211" s="67"/>
      <c r="JJ2211" s="67"/>
      <c r="JK2211" s="67"/>
      <c r="JL2211" s="67"/>
      <c r="JM2211" s="67"/>
      <c r="JN2211" s="67"/>
      <c r="JO2211" s="67"/>
      <c r="JP2211" s="67"/>
      <c r="JQ2211" s="67"/>
      <c r="JR2211" s="67"/>
      <c r="JS2211" s="67"/>
      <c r="JT2211" s="67"/>
      <c r="JU2211" s="58"/>
      <c r="JV2211" s="58"/>
      <c r="JW2211" s="58"/>
    </row>
    <row r="2212" spans="1:283" s="23" customFormat="1" x14ac:dyDescent="0.25">
      <c r="A2212" s="55">
        <v>2211</v>
      </c>
      <c r="B2212" s="12" t="s">
        <v>7067</v>
      </c>
      <c r="C2212" s="156">
        <v>104</v>
      </c>
      <c r="D2212" s="58" t="s">
        <v>4180</v>
      </c>
      <c r="E2212" s="94" t="s">
        <v>2139</v>
      </c>
      <c r="F2212" s="94"/>
      <c r="G2212" s="58"/>
      <c r="H2212" s="58">
        <v>2011</v>
      </c>
      <c r="I2212" s="58">
        <v>1998</v>
      </c>
      <c r="J2212" s="58" t="s">
        <v>1709</v>
      </c>
      <c r="K2212" s="58" t="s">
        <v>2140</v>
      </c>
      <c r="L2212" s="58" t="s">
        <v>2741</v>
      </c>
      <c r="M2212" s="94">
        <v>43.68</v>
      </c>
      <c r="N2212" s="94">
        <v>10.35</v>
      </c>
      <c r="O2212" s="94">
        <v>1.7</v>
      </c>
      <c r="P2212" s="58">
        <v>14.3</v>
      </c>
      <c r="Q2212" s="58"/>
      <c r="R2212" s="58">
        <v>900</v>
      </c>
      <c r="S2212" s="94"/>
      <c r="T2212" s="58"/>
      <c r="U2212" s="58">
        <v>6</v>
      </c>
      <c r="V2212" s="58">
        <v>15</v>
      </c>
      <c r="W2212" s="174"/>
      <c r="X2212" s="174"/>
      <c r="Y2212" s="58" t="s">
        <v>1953</v>
      </c>
      <c r="Z2212" s="58" t="s">
        <v>1355</v>
      </c>
      <c r="AA2212" s="94">
        <v>10</v>
      </c>
      <c r="AB2212" s="67"/>
      <c r="AC2212" s="67"/>
      <c r="AD2212" s="94">
        <v>1.4</v>
      </c>
      <c r="AE2212" s="94">
        <v>44.3</v>
      </c>
      <c r="AF2212" s="94">
        <v>40.200000000000003</v>
      </c>
      <c r="AG2212" s="94"/>
      <c r="AH2212" s="58" t="s">
        <v>139</v>
      </c>
      <c r="AI2212" s="169">
        <v>8.1999999999999993</v>
      </c>
      <c r="AJ2212" s="94"/>
      <c r="AK2212" s="94"/>
      <c r="AL2212" s="58"/>
      <c r="AM2212" s="58" t="s">
        <v>2141</v>
      </c>
      <c r="AN2212" s="186" t="s">
        <v>2000</v>
      </c>
      <c r="AO2212" s="185" t="s">
        <v>5150</v>
      </c>
      <c r="AP2212" s="58"/>
      <c r="AQ2212" s="58" t="s">
        <v>553</v>
      </c>
      <c r="AR2212" s="58" t="s">
        <v>2142</v>
      </c>
      <c r="AS2212" s="58" t="s">
        <v>132</v>
      </c>
      <c r="AT2212" s="182" t="s">
        <v>2142</v>
      </c>
      <c r="AU2212" s="181" t="s">
        <v>5150</v>
      </c>
      <c r="AV2212" s="185" t="s">
        <v>176</v>
      </c>
      <c r="AW2212" s="58"/>
      <c r="AX2212" s="185" t="s">
        <v>176</v>
      </c>
      <c r="AY2212" s="58"/>
      <c r="AZ2212" s="61" t="s">
        <v>2143</v>
      </c>
      <c r="BA2212" s="58"/>
      <c r="BB2212" s="58" t="s">
        <v>2081</v>
      </c>
      <c r="BC2212" s="58" t="s">
        <v>2081</v>
      </c>
      <c r="BD2212" s="58"/>
      <c r="BE2212" s="236" t="s">
        <v>2144</v>
      </c>
      <c r="BF2212" s="58"/>
      <c r="BG2212" s="191" t="s">
        <v>479</v>
      </c>
      <c r="BH2212" s="236"/>
      <c r="BI2212" s="58"/>
      <c r="BJ2212" s="58"/>
      <c r="BK2212" s="58" t="s">
        <v>5976</v>
      </c>
      <c r="BL2212" s="58"/>
      <c r="BM2212" s="237" t="s">
        <v>160</v>
      </c>
      <c r="BN2212" s="58"/>
      <c r="BO2212" s="58"/>
      <c r="BP2212" s="58">
        <v>2</v>
      </c>
      <c r="BQ2212" s="58"/>
      <c r="BR2212" s="58">
        <f>42400/15</f>
        <v>2826.6666666666665</v>
      </c>
      <c r="BS2212" s="58"/>
      <c r="BT2212" s="58"/>
      <c r="BU2212" s="58"/>
      <c r="BV2212" s="58"/>
      <c r="BW2212" s="67">
        <f>1/15*1000*57.9</f>
        <v>3860</v>
      </c>
      <c r="BX2212" s="67">
        <f>1/15*1000*65.1</f>
        <v>4340</v>
      </c>
      <c r="BY2212" s="67"/>
      <c r="BZ2212" s="67"/>
      <c r="CA2212" s="67" t="s">
        <v>2246</v>
      </c>
      <c r="CB2212" s="68"/>
      <c r="CC2212" s="68"/>
      <c r="CD2212" s="68"/>
      <c r="CE2212" s="67"/>
      <c r="CF2212" s="67"/>
      <c r="CG2212" s="67"/>
      <c r="CH2212" s="94">
        <v>1.4</v>
      </c>
      <c r="CI2212" s="94">
        <v>1.38</v>
      </c>
      <c r="CJ2212" s="67"/>
      <c r="CK2212" s="67"/>
      <c r="CL2212" s="67"/>
      <c r="CM2212" s="67">
        <v>1.1000000000000001</v>
      </c>
      <c r="CN2212" s="67">
        <v>1.2</v>
      </c>
      <c r="CO2212" s="67"/>
      <c r="CP2212" s="67"/>
      <c r="CQ2212" s="67" t="s">
        <v>2240</v>
      </c>
      <c r="CR2212" s="67"/>
      <c r="CS2212" s="67"/>
      <c r="CT2212" s="67"/>
      <c r="CU2212" s="67"/>
      <c r="CV2212" s="67" t="s">
        <v>3039</v>
      </c>
      <c r="CW2212" s="67"/>
      <c r="CX2212" s="67"/>
      <c r="CY2212" s="67"/>
      <c r="CZ2212" s="67"/>
      <c r="DA2212" s="67" t="s">
        <v>4458</v>
      </c>
      <c r="DB2212" s="67"/>
      <c r="DC2212" s="67"/>
      <c r="DD2212" s="67"/>
      <c r="DE2212" s="67"/>
      <c r="DF2212" s="67"/>
      <c r="DG2212" s="67"/>
      <c r="DH2212" s="67"/>
      <c r="DI2212" s="67"/>
      <c r="DJ2212" s="67"/>
      <c r="DK2212" s="67"/>
      <c r="DL2212" s="67"/>
      <c r="DM2212" s="67"/>
      <c r="DN2212" s="67"/>
      <c r="DO2212" s="67"/>
      <c r="DP2212" s="67"/>
      <c r="DQ2212" s="166"/>
      <c r="DR2212" s="166"/>
      <c r="DS2212" s="163"/>
      <c r="DT2212" s="163"/>
      <c r="DU2212" s="67"/>
      <c r="DV2212" s="67"/>
      <c r="DW2212" s="67"/>
      <c r="DX2212" s="67"/>
      <c r="DY2212" s="67"/>
      <c r="DZ2212" s="67"/>
      <c r="EA2212" s="67"/>
      <c r="EB2212" s="67"/>
      <c r="EC2212" s="67"/>
      <c r="ED2212" s="67"/>
      <c r="EE2212" s="67"/>
      <c r="EF2212" s="67"/>
      <c r="EG2212" s="67"/>
      <c r="EH2212" s="67"/>
      <c r="EI2212" s="67"/>
      <c r="EJ2212" s="67"/>
      <c r="EK2212" s="94"/>
      <c r="EL2212" s="94"/>
      <c r="EM2212" s="67"/>
      <c r="EN2212" s="67"/>
      <c r="EO2212" s="67"/>
      <c r="EP2212" s="67"/>
      <c r="EQ2212" s="67"/>
      <c r="ER2212" s="67"/>
      <c r="ES2212" s="67"/>
      <c r="ET2212" s="67"/>
      <c r="EU2212" s="67"/>
      <c r="EV2212" s="67"/>
      <c r="EW2212" s="67"/>
      <c r="EX2212" s="67"/>
      <c r="EY2212" s="67"/>
      <c r="EZ2212" s="67"/>
      <c r="FA2212" s="67"/>
      <c r="FB2212" s="67"/>
      <c r="FC2212" s="67"/>
      <c r="FD2212" s="67"/>
      <c r="FE2212" s="67"/>
      <c r="FF2212" s="67"/>
      <c r="FG2212" s="67"/>
      <c r="FH2212" s="67"/>
      <c r="FI2212" s="67"/>
      <c r="FJ2212" s="67"/>
      <c r="FK2212" s="67"/>
      <c r="FL2212" s="67"/>
      <c r="FM2212" s="67"/>
      <c r="FN2212" s="67"/>
      <c r="FO2212" s="67"/>
      <c r="FP2212" s="67"/>
      <c r="FQ2212" s="67"/>
      <c r="FR2212" s="67"/>
      <c r="FS2212" s="67"/>
      <c r="FT2212" s="67"/>
      <c r="FU2212" s="67"/>
      <c r="FV2212" s="67"/>
      <c r="FW2212" s="67"/>
      <c r="FX2212" s="67"/>
      <c r="FY2212" s="67"/>
      <c r="FZ2212" s="67"/>
      <c r="GA2212" s="67"/>
      <c r="GB2212" s="67"/>
      <c r="GC2212" s="67"/>
      <c r="GD2212" s="67"/>
      <c r="GE2212" s="67"/>
      <c r="GF2212" s="67"/>
      <c r="GG2212" s="67"/>
      <c r="GH2212" s="67"/>
      <c r="GI2212" s="67"/>
      <c r="GJ2212" s="67"/>
      <c r="GK2212" s="67"/>
      <c r="GL2212" s="67"/>
      <c r="GM2212" s="67"/>
      <c r="GN2212" s="292"/>
      <c r="GO2212" s="292"/>
      <c r="GP2212" s="292" t="s">
        <v>7494</v>
      </c>
      <c r="GQ2212" s="67"/>
      <c r="GR2212" s="67"/>
      <c r="GS2212" s="67"/>
      <c r="GT2212" s="67"/>
      <c r="GU2212" s="67"/>
      <c r="GV2212" s="67"/>
      <c r="GW2212" s="67"/>
      <c r="GX2212" s="67"/>
      <c r="GY2212" s="67"/>
      <c r="GZ2212" s="67"/>
      <c r="HA2212" s="67"/>
      <c r="HB2212" s="67"/>
      <c r="HC2212" s="67"/>
      <c r="HD2212" s="67"/>
      <c r="HE2212" s="67"/>
      <c r="HF2212" s="67"/>
      <c r="HG2212" s="67"/>
      <c r="HH2212" s="67"/>
      <c r="HI2212" s="67"/>
      <c r="HJ2212" s="67"/>
      <c r="HK2212" s="67"/>
      <c r="HL2212" s="67"/>
      <c r="HM2212" s="67"/>
      <c r="HN2212" s="67"/>
      <c r="HO2212" s="67"/>
      <c r="HP2212" s="67"/>
      <c r="HQ2212" s="67"/>
      <c r="HR2212" s="67"/>
      <c r="HS2212" s="67"/>
      <c r="HT2212" s="67"/>
      <c r="HU2212" s="67"/>
      <c r="HV2212" s="67"/>
      <c r="HW2212" s="67"/>
      <c r="HX2212" s="67"/>
      <c r="HY2212" s="67"/>
      <c r="HZ2212" s="67"/>
      <c r="IA2212" s="67"/>
      <c r="IB2212" s="67"/>
      <c r="IC2212" s="67"/>
      <c r="ID2212" s="67"/>
      <c r="IE2212" s="67"/>
      <c r="IF2212" s="67"/>
      <c r="IG2212" s="67"/>
      <c r="IH2212" s="67"/>
      <c r="II2212" s="67"/>
      <c r="IJ2212" s="67"/>
      <c r="IK2212" s="67"/>
      <c r="IL2212" s="67"/>
      <c r="IM2212" s="67"/>
      <c r="IN2212" s="67"/>
      <c r="IO2212" s="67"/>
      <c r="IP2212" s="67"/>
      <c r="IQ2212" s="67"/>
      <c r="IR2212" s="67"/>
      <c r="IS2212" s="67"/>
      <c r="IT2212" s="67"/>
      <c r="IU2212" s="67"/>
      <c r="IV2212" s="67"/>
      <c r="IW2212" s="67"/>
      <c r="IX2212" s="67"/>
      <c r="IY2212" s="67"/>
      <c r="IZ2212" s="67"/>
      <c r="JA2212" s="67"/>
      <c r="JB2212" s="67"/>
      <c r="JC2212" s="67"/>
      <c r="JD2212" s="67"/>
      <c r="JE2212" s="67"/>
      <c r="JF2212" s="67"/>
      <c r="JG2212" s="67"/>
      <c r="JH2212" s="67"/>
      <c r="JI2212" s="67"/>
      <c r="JJ2212" s="67"/>
      <c r="JK2212" s="67"/>
      <c r="JL2212" s="67"/>
      <c r="JM2212" s="67"/>
      <c r="JN2212" s="67"/>
      <c r="JO2212" s="67"/>
      <c r="JP2212" s="67"/>
      <c r="JQ2212" s="67"/>
      <c r="JR2212" s="67"/>
      <c r="JS2212" s="67"/>
      <c r="JT2212" s="67"/>
      <c r="JU2212" s="58"/>
      <c r="JV2212" s="58"/>
      <c r="JW2212" s="58"/>
    </row>
    <row r="2213" spans="1:283" s="23" customFormat="1" x14ac:dyDescent="0.25">
      <c r="A2213" s="55">
        <v>2212</v>
      </c>
      <c r="B2213" s="12" t="s">
        <v>7067</v>
      </c>
      <c r="C2213" s="156">
        <v>104</v>
      </c>
      <c r="D2213" s="58" t="s">
        <v>4181</v>
      </c>
      <c r="E2213" s="94" t="s">
        <v>2139</v>
      </c>
      <c r="F2213" s="94"/>
      <c r="G2213" s="58"/>
      <c r="H2213" s="58">
        <v>2011</v>
      </c>
      <c r="I2213" s="58">
        <v>2008</v>
      </c>
      <c r="J2213" s="58" t="s">
        <v>1709</v>
      </c>
      <c r="K2213" s="58" t="s">
        <v>2140</v>
      </c>
      <c r="L2213" s="58" t="s">
        <v>2741</v>
      </c>
      <c r="M2213" s="94">
        <v>43.68</v>
      </c>
      <c r="N2213" s="94">
        <v>10.35</v>
      </c>
      <c r="O2213" s="94">
        <v>1.7</v>
      </c>
      <c r="P2213" s="58">
        <v>14.3</v>
      </c>
      <c r="Q2213" s="58"/>
      <c r="R2213" s="58">
        <v>900</v>
      </c>
      <c r="S2213" s="94"/>
      <c r="T2213" s="58"/>
      <c r="U2213" s="58">
        <v>15</v>
      </c>
      <c r="V2213" s="58">
        <v>15</v>
      </c>
      <c r="W2213" s="174"/>
      <c r="X2213" s="174"/>
      <c r="Y2213" s="58" t="s">
        <v>1953</v>
      </c>
      <c r="Z2213" s="58" t="s">
        <v>1355</v>
      </c>
      <c r="AA2213" s="94">
        <v>10</v>
      </c>
      <c r="AB2213" s="67"/>
      <c r="AC2213" s="67"/>
      <c r="AD2213" s="94">
        <v>1.4</v>
      </c>
      <c r="AE2213" s="94">
        <v>44.3</v>
      </c>
      <c r="AF2213" s="94">
        <v>40.200000000000003</v>
      </c>
      <c r="AG2213" s="94"/>
      <c r="AH2213" s="58" t="s">
        <v>139</v>
      </c>
      <c r="AI2213" s="169">
        <v>8.1999999999999993</v>
      </c>
      <c r="AJ2213" s="94"/>
      <c r="AK2213" s="94"/>
      <c r="AL2213" s="58"/>
      <c r="AM2213" s="58" t="s">
        <v>2141</v>
      </c>
      <c r="AN2213" s="186" t="s">
        <v>2000</v>
      </c>
      <c r="AO2213" s="185" t="s">
        <v>5150</v>
      </c>
      <c r="AP2213" s="58"/>
      <c r="AQ2213" s="58" t="s">
        <v>553</v>
      </c>
      <c r="AR2213" s="58" t="s">
        <v>2146</v>
      </c>
      <c r="AS2213" s="58" t="s">
        <v>1576</v>
      </c>
      <c r="AT2213" s="182" t="s">
        <v>2146</v>
      </c>
      <c r="AU2213" s="181" t="s">
        <v>5150</v>
      </c>
      <c r="AV2213" s="185" t="s">
        <v>176</v>
      </c>
      <c r="AW2213" s="58"/>
      <c r="AX2213" s="185" t="s">
        <v>176</v>
      </c>
      <c r="AY2213" s="58"/>
      <c r="AZ2213" s="61" t="s">
        <v>2143</v>
      </c>
      <c r="BA2213" s="58"/>
      <c r="BB2213" s="58" t="s">
        <v>2081</v>
      </c>
      <c r="BC2213" s="58" t="s">
        <v>2081</v>
      </c>
      <c r="BD2213" s="58"/>
      <c r="BE2213" s="236" t="s">
        <v>2144</v>
      </c>
      <c r="BF2213" s="58"/>
      <c r="BG2213" s="191" t="s">
        <v>479</v>
      </c>
      <c r="BH2213" s="236"/>
      <c r="BI2213" s="58"/>
      <c r="BJ2213" s="58"/>
      <c r="BK2213" s="58" t="s">
        <v>5976</v>
      </c>
      <c r="BL2213" s="58"/>
      <c r="BM2213" s="237" t="s">
        <v>160</v>
      </c>
      <c r="BN2213" s="58"/>
      <c r="BO2213" s="58"/>
      <c r="BP2213" s="58">
        <v>2</v>
      </c>
      <c r="BQ2213" s="58"/>
      <c r="BR2213" s="58"/>
      <c r="BS2213" s="58"/>
      <c r="BT2213" s="58"/>
      <c r="BU2213" s="58"/>
      <c r="BV2213" s="58"/>
      <c r="BW2213" s="67"/>
      <c r="BX2213" s="67"/>
      <c r="BY2213" s="67"/>
      <c r="BZ2213" s="67"/>
      <c r="CA2213" s="67"/>
      <c r="CB2213" s="68"/>
      <c r="CC2213" s="68"/>
      <c r="CD2213" s="68"/>
      <c r="CE2213" s="67"/>
      <c r="CF2213" s="67"/>
      <c r="CG2213" s="67"/>
      <c r="CH2213" s="94">
        <v>1.4</v>
      </c>
      <c r="CI2213" s="94">
        <v>1.39</v>
      </c>
      <c r="CJ2213" s="67"/>
      <c r="CK2213" s="67"/>
      <c r="CL2213" s="67"/>
      <c r="CM2213" s="67">
        <v>1.24</v>
      </c>
      <c r="CN2213" s="67">
        <v>1.31</v>
      </c>
      <c r="CO2213" s="67"/>
      <c r="CP2213" s="67"/>
      <c r="CQ2213" s="67" t="s">
        <v>2240</v>
      </c>
      <c r="CR2213" s="67"/>
      <c r="CS2213" s="67"/>
      <c r="CT2213" s="67"/>
      <c r="CU2213" s="67"/>
      <c r="CV2213" s="67" t="s">
        <v>3039</v>
      </c>
      <c r="CW2213" s="67"/>
      <c r="CX2213" s="67"/>
      <c r="CY2213" s="67"/>
      <c r="CZ2213" s="67"/>
      <c r="DA2213" s="67" t="s">
        <v>4458</v>
      </c>
      <c r="DB2213" s="67"/>
      <c r="DC2213" s="67"/>
      <c r="DD2213" s="67"/>
      <c r="DE2213" s="67"/>
      <c r="DF2213" s="67"/>
      <c r="DG2213" s="67"/>
      <c r="DH2213" s="67"/>
      <c r="DI2213" s="67"/>
      <c r="DJ2213" s="67"/>
      <c r="DK2213" s="67"/>
      <c r="DL2213" s="67"/>
      <c r="DM2213" s="67"/>
      <c r="DN2213" s="67"/>
      <c r="DO2213" s="67"/>
      <c r="DP2213" s="67"/>
      <c r="DQ2213" s="166"/>
      <c r="DR2213" s="166"/>
      <c r="DS2213" s="163"/>
      <c r="DT2213" s="163"/>
      <c r="DU2213" s="67"/>
      <c r="DV2213" s="67"/>
      <c r="DW2213" s="67"/>
      <c r="DX2213" s="67"/>
      <c r="DY2213" s="67"/>
      <c r="DZ2213" s="67"/>
      <c r="EA2213" s="67"/>
      <c r="EB2213" s="67"/>
      <c r="EC2213" s="67"/>
      <c r="ED2213" s="67"/>
      <c r="EE2213" s="67"/>
      <c r="EF2213" s="67"/>
      <c r="EG2213" s="67"/>
      <c r="EH2213" s="67"/>
      <c r="EI2213" s="67"/>
      <c r="EJ2213" s="67"/>
      <c r="EK2213" s="94"/>
      <c r="EL2213" s="94"/>
      <c r="EM2213" s="67"/>
      <c r="EN2213" s="67"/>
      <c r="EO2213" s="67"/>
      <c r="EP2213" s="67"/>
      <c r="EQ2213" s="67"/>
      <c r="ER2213" s="67"/>
      <c r="ES2213" s="67"/>
      <c r="ET2213" s="67"/>
      <c r="EU2213" s="67"/>
      <c r="EV2213" s="67"/>
      <c r="EW2213" s="67"/>
      <c r="EX2213" s="67"/>
      <c r="EY2213" s="67"/>
      <c r="EZ2213" s="67"/>
      <c r="FA2213" s="67"/>
      <c r="FB2213" s="67"/>
      <c r="FC2213" s="67"/>
      <c r="FD2213" s="67"/>
      <c r="FE2213" s="67"/>
      <c r="FF2213" s="67"/>
      <c r="FG2213" s="67"/>
      <c r="FH2213" s="67"/>
      <c r="FI2213" s="67"/>
      <c r="FJ2213" s="67"/>
      <c r="FK2213" s="67"/>
      <c r="FL2213" s="67"/>
      <c r="FM2213" s="67"/>
      <c r="FN2213" s="67"/>
      <c r="FO2213" s="67"/>
      <c r="FP2213" s="67"/>
      <c r="FQ2213" s="67"/>
      <c r="FR2213" s="67"/>
      <c r="FS2213" s="67"/>
      <c r="FT2213" s="67"/>
      <c r="FU2213" s="67"/>
      <c r="FV2213" s="67"/>
      <c r="FW2213" s="67"/>
      <c r="FX2213" s="67"/>
      <c r="FY2213" s="67"/>
      <c r="FZ2213" s="67"/>
      <c r="GA2213" s="67"/>
      <c r="GB2213" s="67"/>
      <c r="GC2213" s="67"/>
      <c r="GD2213" s="67"/>
      <c r="GE2213" s="67"/>
      <c r="GF2213" s="67"/>
      <c r="GG2213" s="67"/>
      <c r="GH2213" s="67"/>
      <c r="GI2213" s="67"/>
      <c r="GJ2213" s="67"/>
      <c r="GK2213" s="67"/>
      <c r="GL2213" s="67"/>
      <c r="GM2213" s="67"/>
      <c r="GN2213" s="292"/>
      <c r="GO2213" s="292"/>
      <c r="GP2213" s="292" t="s">
        <v>7494</v>
      </c>
      <c r="GQ2213" s="67"/>
      <c r="GR2213" s="67"/>
      <c r="GS2213" s="67"/>
      <c r="GT2213" s="67"/>
      <c r="GU2213" s="67"/>
      <c r="GV2213" s="67"/>
      <c r="GW2213" s="67"/>
      <c r="GX2213" s="67"/>
      <c r="GY2213" s="67"/>
      <c r="GZ2213" s="67"/>
      <c r="HA2213" s="67"/>
      <c r="HB2213" s="67"/>
      <c r="HC2213" s="67"/>
      <c r="HD2213" s="67"/>
      <c r="HE2213" s="67"/>
      <c r="HF2213" s="67"/>
      <c r="HG2213" s="67"/>
      <c r="HH2213" s="67"/>
      <c r="HI2213" s="67"/>
      <c r="HJ2213" s="67"/>
      <c r="HK2213" s="67"/>
      <c r="HL2213" s="67"/>
      <c r="HM2213" s="67"/>
      <c r="HN2213" s="67"/>
      <c r="HO2213" s="67"/>
      <c r="HP2213" s="67"/>
      <c r="HQ2213" s="67"/>
      <c r="HR2213" s="67"/>
      <c r="HS2213" s="67"/>
      <c r="HT2213" s="67"/>
      <c r="HU2213" s="67"/>
      <c r="HV2213" s="67"/>
      <c r="HW2213" s="67"/>
      <c r="HX2213" s="67"/>
      <c r="HY2213" s="67"/>
      <c r="HZ2213" s="67"/>
      <c r="IA2213" s="67"/>
      <c r="IB2213" s="67"/>
      <c r="IC2213" s="67"/>
      <c r="ID2213" s="67"/>
      <c r="IE2213" s="67"/>
      <c r="IF2213" s="67"/>
      <c r="IG2213" s="67"/>
      <c r="IH2213" s="67"/>
      <c r="II2213" s="67"/>
      <c r="IJ2213" s="67"/>
      <c r="IK2213" s="67"/>
      <c r="IL2213" s="67"/>
      <c r="IM2213" s="67"/>
      <c r="IN2213" s="67"/>
      <c r="IO2213" s="67"/>
      <c r="IP2213" s="67"/>
      <c r="IQ2213" s="67"/>
      <c r="IR2213" s="67"/>
      <c r="IS2213" s="67"/>
      <c r="IT2213" s="67"/>
      <c r="IU2213" s="67"/>
      <c r="IV2213" s="67"/>
      <c r="IW2213" s="67"/>
      <c r="IX2213" s="67"/>
      <c r="IY2213" s="67"/>
      <c r="IZ2213" s="67"/>
      <c r="JA2213" s="67"/>
      <c r="JB2213" s="67"/>
      <c r="JC2213" s="67"/>
      <c r="JD2213" s="67"/>
      <c r="JE2213" s="67"/>
      <c r="JF2213" s="67"/>
      <c r="JG2213" s="67"/>
      <c r="JH2213" s="67"/>
      <c r="JI2213" s="67"/>
      <c r="JJ2213" s="67"/>
      <c r="JK2213" s="67"/>
      <c r="JL2213" s="67"/>
      <c r="JM2213" s="67"/>
      <c r="JN2213" s="67"/>
      <c r="JO2213" s="67"/>
      <c r="JP2213" s="67"/>
      <c r="JQ2213" s="67"/>
      <c r="JR2213" s="67"/>
      <c r="JS2213" s="67"/>
      <c r="JT2213" s="67"/>
      <c r="JU2213" s="58"/>
      <c r="JV2213" s="58"/>
      <c r="JW2213" s="58"/>
    </row>
    <row r="2214" spans="1:283" s="23" customFormat="1" x14ac:dyDescent="0.25">
      <c r="A2214" s="55">
        <v>2213</v>
      </c>
      <c r="B2214" s="12" t="s">
        <v>7067</v>
      </c>
      <c r="C2214" s="156">
        <v>104</v>
      </c>
      <c r="D2214" s="58" t="s">
        <v>4181</v>
      </c>
      <c r="E2214" s="94" t="s">
        <v>2139</v>
      </c>
      <c r="F2214" s="94"/>
      <c r="G2214" s="58"/>
      <c r="H2214" s="58">
        <v>2011</v>
      </c>
      <c r="I2214" s="58">
        <v>2008</v>
      </c>
      <c r="J2214" s="58" t="s">
        <v>1709</v>
      </c>
      <c r="K2214" s="58" t="s">
        <v>2140</v>
      </c>
      <c r="L2214" s="58" t="s">
        <v>2741</v>
      </c>
      <c r="M2214" s="94">
        <v>43.68</v>
      </c>
      <c r="N2214" s="94">
        <v>10.35</v>
      </c>
      <c r="O2214" s="94">
        <v>1.7</v>
      </c>
      <c r="P2214" s="58">
        <v>14.3</v>
      </c>
      <c r="Q2214" s="58"/>
      <c r="R2214" s="58">
        <v>900</v>
      </c>
      <c r="S2214" s="94"/>
      <c r="T2214" s="58"/>
      <c r="U2214" s="58">
        <v>15</v>
      </c>
      <c r="V2214" s="58">
        <v>15</v>
      </c>
      <c r="W2214" s="174"/>
      <c r="X2214" s="174"/>
      <c r="Y2214" s="58" t="s">
        <v>1953</v>
      </c>
      <c r="Z2214" s="58" t="s">
        <v>1355</v>
      </c>
      <c r="AA2214" s="94">
        <v>10</v>
      </c>
      <c r="AB2214" s="67"/>
      <c r="AC2214" s="67"/>
      <c r="AD2214" s="94">
        <v>1.4</v>
      </c>
      <c r="AE2214" s="94">
        <v>44.3</v>
      </c>
      <c r="AF2214" s="94">
        <v>40.200000000000003</v>
      </c>
      <c r="AG2214" s="94"/>
      <c r="AH2214" s="58" t="s">
        <v>139</v>
      </c>
      <c r="AI2214" s="169">
        <v>8.1999999999999993</v>
      </c>
      <c r="AJ2214" s="94"/>
      <c r="AK2214" s="94"/>
      <c r="AL2214" s="58"/>
      <c r="AM2214" s="58" t="s">
        <v>2141</v>
      </c>
      <c r="AN2214" s="186" t="s">
        <v>2000</v>
      </c>
      <c r="AO2214" s="185" t="s">
        <v>5150</v>
      </c>
      <c r="AP2214" s="58"/>
      <c r="AQ2214" s="58" t="s">
        <v>553</v>
      </c>
      <c r="AR2214" s="58" t="s">
        <v>2146</v>
      </c>
      <c r="AS2214" s="58" t="s">
        <v>1576</v>
      </c>
      <c r="AT2214" s="182" t="s">
        <v>2146</v>
      </c>
      <c r="AU2214" s="181" t="s">
        <v>5150</v>
      </c>
      <c r="AV2214" s="185" t="s">
        <v>176</v>
      </c>
      <c r="AW2214" s="58"/>
      <c r="AX2214" s="185" t="s">
        <v>176</v>
      </c>
      <c r="AY2214" s="58"/>
      <c r="AZ2214" s="61" t="s">
        <v>2143</v>
      </c>
      <c r="BA2214" s="58"/>
      <c r="BB2214" s="58" t="s">
        <v>2081</v>
      </c>
      <c r="BC2214" s="58" t="s">
        <v>2081</v>
      </c>
      <c r="BD2214" s="58"/>
      <c r="BE2214" s="236" t="s">
        <v>2144</v>
      </c>
      <c r="BF2214" s="58"/>
      <c r="BG2214" s="191" t="s">
        <v>479</v>
      </c>
      <c r="BH2214" s="236"/>
      <c r="BI2214" s="58"/>
      <c r="BJ2214" s="58"/>
      <c r="BK2214" s="58" t="s">
        <v>5976</v>
      </c>
      <c r="BL2214" s="58"/>
      <c r="BM2214" s="237" t="s">
        <v>160</v>
      </c>
      <c r="BN2214" s="58"/>
      <c r="BO2214" s="58"/>
      <c r="BP2214" s="58">
        <v>2</v>
      </c>
      <c r="BQ2214" s="58"/>
      <c r="BR2214" s="58"/>
      <c r="BS2214" s="58"/>
      <c r="BT2214" s="58"/>
      <c r="BU2214" s="58"/>
      <c r="BV2214" s="58"/>
      <c r="BW2214" s="67"/>
      <c r="BX2214" s="67"/>
      <c r="BY2214" s="67"/>
      <c r="BZ2214" s="67"/>
      <c r="CA2214" s="67"/>
      <c r="CB2214" s="68"/>
      <c r="CC2214" s="68"/>
      <c r="CD2214" s="68"/>
      <c r="CE2214" s="67"/>
      <c r="CF2214" s="67"/>
      <c r="CG2214" s="67"/>
      <c r="CH2214" s="94">
        <v>1.4</v>
      </c>
      <c r="CI2214" s="94">
        <v>1.4</v>
      </c>
      <c r="CJ2214" s="67"/>
      <c r="CK2214" s="67"/>
      <c r="CL2214" s="67"/>
      <c r="CM2214" s="67">
        <v>1.24</v>
      </c>
      <c r="CN2214" s="67">
        <v>1.35</v>
      </c>
      <c r="CO2214" s="67"/>
      <c r="CP2214" s="67"/>
      <c r="CQ2214" s="67" t="s">
        <v>2240</v>
      </c>
      <c r="CR2214" s="67"/>
      <c r="CS2214" s="67"/>
      <c r="CT2214" s="67"/>
      <c r="CU2214" s="67"/>
      <c r="CV2214" s="67" t="s">
        <v>3039</v>
      </c>
      <c r="CW2214" s="67"/>
      <c r="CX2214" s="67"/>
      <c r="CY2214" s="67"/>
      <c r="CZ2214" s="67"/>
      <c r="DA2214" s="67" t="s">
        <v>4458</v>
      </c>
      <c r="DB2214" s="67"/>
      <c r="DC2214" s="67"/>
      <c r="DD2214" s="67"/>
      <c r="DE2214" s="67"/>
      <c r="DF2214" s="67"/>
      <c r="DG2214" s="67"/>
      <c r="DH2214" s="67"/>
      <c r="DI2214" s="67"/>
      <c r="DJ2214" s="67"/>
      <c r="DK2214" s="67"/>
      <c r="DL2214" s="67"/>
      <c r="DM2214" s="67"/>
      <c r="DN2214" s="67"/>
      <c r="DO2214" s="67"/>
      <c r="DP2214" s="67"/>
      <c r="DQ2214" s="166"/>
      <c r="DR2214" s="166"/>
      <c r="DS2214" s="163"/>
      <c r="DT2214" s="163"/>
      <c r="DU2214" s="67"/>
      <c r="DV2214" s="67"/>
      <c r="DW2214" s="67"/>
      <c r="DX2214" s="67"/>
      <c r="DY2214" s="67"/>
      <c r="DZ2214" s="67"/>
      <c r="EA2214" s="67"/>
      <c r="EB2214" s="67"/>
      <c r="EC2214" s="67"/>
      <c r="ED2214" s="67"/>
      <c r="EE2214" s="67"/>
      <c r="EF2214" s="67"/>
      <c r="EG2214" s="67"/>
      <c r="EH2214" s="67"/>
      <c r="EI2214" s="67"/>
      <c r="EJ2214" s="67"/>
      <c r="EK2214" s="94"/>
      <c r="EL2214" s="94"/>
      <c r="EM2214" s="67"/>
      <c r="EN2214" s="67"/>
      <c r="EO2214" s="67"/>
      <c r="EP2214" s="67"/>
      <c r="EQ2214" s="67"/>
      <c r="ER2214" s="67"/>
      <c r="ES2214" s="67"/>
      <c r="ET2214" s="67"/>
      <c r="EU2214" s="67"/>
      <c r="EV2214" s="67"/>
      <c r="EW2214" s="67"/>
      <c r="EX2214" s="67"/>
      <c r="EY2214" s="67"/>
      <c r="EZ2214" s="67"/>
      <c r="FA2214" s="67"/>
      <c r="FB2214" s="67"/>
      <c r="FC2214" s="67"/>
      <c r="FD2214" s="67"/>
      <c r="FE2214" s="67"/>
      <c r="FF2214" s="67"/>
      <c r="FG2214" s="67"/>
      <c r="FH2214" s="67"/>
      <c r="FI2214" s="67"/>
      <c r="FJ2214" s="67"/>
      <c r="FK2214" s="67"/>
      <c r="FL2214" s="67"/>
      <c r="FM2214" s="67"/>
      <c r="FN2214" s="67"/>
      <c r="FO2214" s="67"/>
      <c r="FP2214" s="67"/>
      <c r="FQ2214" s="67"/>
      <c r="FR2214" s="67"/>
      <c r="FS2214" s="67"/>
      <c r="FT2214" s="67"/>
      <c r="FU2214" s="67"/>
      <c r="FV2214" s="67"/>
      <c r="FW2214" s="67"/>
      <c r="FX2214" s="67"/>
      <c r="FY2214" s="67"/>
      <c r="FZ2214" s="67"/>
      <c r="GA2214" s="67"/>
      <c r="GB2214" s="67"/>
      <c r="GC2214" s="67"/>
      <c r="GD2214" s="67"/>
      <c r="GE2214" s="67"/>
      <c r="GF2214" s="67"/>
      <c r="GG2214" s="67"/>
      <c r="GH2214" s="67"/>
      <c r="GI2214" s="67"/>
      <c r="GJ2214" s="67"/>
      <c r="GK2214" s="67"/>
      <c r="GL2214" s="67"/>
      <c r="GM2214" s="67"/>
      <c r="GN2214" s="292"/>
      <c r="GO2214" s="292"/>
      <c r="GP2214" s="292" t="s">
        <v>7494</v>
      </c>
      <c r="GQ2214" s="67"/>
      <c r="GR2214" s="67"/>
      <c r="GS2214" s="67"/>
      <c r="GT2214" s="67"/>
      <c r="GU2214" s="67"/>
      <c r="GV2214" s="67"/>
      <c r="GW2214" s="67"/>
      <c r="GX2214" s="67"/>
      <c r="GY2214" s="67"/>
      <c r="GZ2214" s="67"/>
      <c r="HA2214" s="67"/>
      <c r="HB2214" s="67"/>
      <c r="HC2214" s="67"/>
      <c r="HD2214" s="67"/>
      <c r="HE2214" s="67"/>
      <c r="HF2214" s="67"/>
      <c r="HG2214" s="67"/>
      <c r="HH2214" s="67"/>
      <c r="HI2214" s="67"/>
      <c r="HJ2214" s="67"/>
      <c r="HK2214" s="67"/>
      <c r="HL2214" s="67"/>
      <c r="HM2214" s="67"/>
      <c r="HN2214" s="67"/>
      <c r="HO2214" s="67"/>
      <c r="HP2214" s="67"/>
      <c r="HQ2214" s="67"/>
      <c r="HR2214" s="67"/>
      <c r="HS2214" s="67"/>
      <c r="HT2214" s="67"/>
      <c r="HU2214" s="67"/>
      <c r="HV2214" s="67"/>
      <c r="HW2214" s="67"/>
      <c r="HX2214" s="67"/>
      <c r="HY2214" s="67"/>
      <c r="HZ2214" s="67"/>
      <c r="IA2214" s="67"/>
      <c r="IB2214" s="67"/>
      <c r="IC2214" s="67"/>
      <c r="ID2214" s="67"/>
      <c r="IE2214" s="67"/>
      <c r="IF2214" s="67"/>
      <c r="IG2214" s="67"/>
      <c r="IH2214" s="67"/>
      <c r="II2214" s="67"/>
      <c r="IJ2214" s="67"/>
      <c r="IK2214" s="67"/>
      <c r="IL2214" s="67"/>
      <c r="IM2214" s="67"/>
      <c r="IN2214" s="67"/>
      <c r="IO2214" s="67"/>
      <c r="IP2214" s="67"/>
      <c r="IQ2214" s="67"/>
      <c r="IR2214" s="67"/>
      <c r="IS2214" s="67"/>
      <c r="IT2214" s="67"/>
      <c r="IU2214" s="67"/>
      <c r="IV2214" s="67"/>
      <c r="IW2214" s="67"/>
      <c r="IX2214" s="67"/>
      <c r="IY2214" s="67"/>
      <c r="IZ2214" s="67"/>
      <c r="JA2214" s="67"/>
      <c r="JB2214" s="67"/>
      <c r="JC2214" s="67"/>
      <c r="JD2214" s="67"/>
      <c r="JE2214" s="67"/>
      <c r="JF2214" s="67"/>
      <c r="JG2214" s="67"/>
      <c r="JH2214" s="67"/>
      <c r="JI2214" s="67"/>
      <c r="JJ2214" s="67"/>
      <c r="JK2214" s="67"/>
      <c r="JL2214" s="67"/>
      <c r="JM2214" s="67"/>
      <c r="JN2214" s="67"/>
      <c r="JO2214" s="67"/>
      <c r="JP2214" s="67"/>
      <c r="JQ2214" s="67"/>
      <c r="JR2214" s="67"/>
      <c r="JS2214" s="67"/>
      <c r="JT2214" s="67"/>
      <c r="JU2214" s="58"/>
      <c r="JV2214" s="58"/>
      <c r="JW2214" s="58"/>
    </row>
    <row r="2215" spans="1:283" s="23" customFormat="1" x14ac:dyDescent="0.25">
      <c r="A2215" s="55">
        <v>2214</v>
      </c>
      <c r="B2215" s="12" t="s">
        <v>7067</v>
      </c>
      <c r="C2215" s="156">
        <v>104</v>
      </c>
      <c r="D2215" s="58" t="s">
        <v>4180</v>
      </c>
      <c r="E2215" s="94" t="s">
        <v>2139</v>
      </c>
      <c r="F2215" s="94"/>
      <c r="G2215" s="58"/>
      <c r="H2215" s="58">
        <v>2011</v>
      </c>
      <c r="I2215" s="58">
        <v>2008</v>
      </c>
      <c r="J2215" s="58" t="s">
        <v>1709</v>
      </c>
      <c r="K2215" s="58" t="s">
        <v>2140</v>
      </c>
      <c r="L2215" s="58" t="s">
        <v>2741</v>
      </c>
      <c r="M2215" s="94">
        <v>43.68</v>
      </c>
      <c r="N2215" s="94">
        <v>10.35</v>
      </c>
      <c r="O2215" s="94">
        <v>1.7</v>
      </c>
      <c r="P2215" s="58">
        <v>14.3</v>
      </c>
      <c r="Q2215" s="58"/>
      <c r="R2215" s="58">
        <v>900</v>
      </c>
      <c r="S2215" s="94"/>
      <c r="T2215" s="58"/>
      <c r="U2215" s="58">
        <v>15</v>
      </c>
      <c r="V2215" s="58">
        <v>15</v>
      </c>
      <c r="W2215" s="174"/>
      <c r="X2215" s="174"/>
      <c r="Y2215" s="58" t="s">
        <v>1953</v>
      </c>
      <c r="Z2215" s="58" t="s">
        <v>1355</v>
      </c>
      <c r="AA2215" s="94">
        <v>10</v>
      </c>
      <c r="AB2215" s="67"/>
      <c r="AC2215" s="67"/>
      <c r="AD2215" s="94">
        <v>1.4</v>
      </c>
      <c r="AE2215" s="94">
        <v>44.3</v>
      </c>
      <c r="AF2215" s="94">
        <v>40.200000000000003</v>
      </c>
      <c r="AG2215" s="94"/>
      <c r="AH2215" s="58" t="s">
        <v>139</v>
      </c>
      <c r="AI2215" s="169">
        <v>8.1999999999999993</v>
      </c>
      <c r="AJ2215" s="94"/>
      <c r="AK2215" s="94"/>
      <c r="AL2215" s="58"/>
      <c r="AM2215" s="58" t="s">
        <v>2141</v>
      </c>
      <c r="AN2215" s="186" t="s">
        <v>2147</v>
      </c>
      <c r="AO2215" s="185" t="s">
        <v>5150</v>
      </c>
      <c r="AP2215" s="58"/>
      <c r="AQ2215" s="58" t="s">
        <v>553</v>
      </c>
      <c r="AR2215" s="58" t="s">
        <v>2142</v>
      </c>
      <c r="AS2215" s="58" t="s">
        <v>132</v>
      </c>
      <c r="AT2215" s="182" t="s">
        <v>2142</v>
      </c>
      <c r="AU2215" s="181" t="s">
        <v>5150</v>
      </c>
      <c r="AV2215" s="185" t="s">
        <v>176</v>
      </c>
      <c r="AW2215" s="58"/>
      <c r="AX2215" s="185" t="s">
        <v>176</v>
      </c>
      <c r="AY2215" s="58"/>
      <c r="AZ2215" s="61" t="s">
        <v>2143</v>
      </c>
      <c r="BA2215" s="58"/>
      <c r="BB2215" s="58" t="s">
        <v>2081</v>
      </c>
      <c r="BC2215" s="58" t="s">
        <v>2081</v>
      </c>
      <c r="BD2215" s="58"/>
      <c r="BE2215" s="236" t="s">
        <v>2144</v>
      </c>
      <c r="BF2215" s="58"/>
      <c r="BG2215" s="191" t="s">
        <v>479</v>
      </c>
      <c r="BH2215" s="236"/>
      <c r="BI2215" s="58"/>
      <c r="BJ2215" s="58"/>
      <c r="BK2215" s="58" t="s">
        <v>5976</v>
      </c>
      <c r="BL2215" s="58"/>
      <c r="BM2215" s="237" t="s">
        <v>160</v>
      </c>
      <c r="BN2215" s="58"/>
      <c r="BO2215" s="58"/>
      <c r="BP2215" s="58">
        <v>2</v>
      </c>
      <c r="BQ2215" s="58"/>
      <c r="BR2215" s="58"/>
      <c r="BS2215" s="58"/>
      <c r="BT2215" s="58"/>
      <c r="BU2215" s="58"/>
      <c r="BV2215" s="58"/>
      <c r="BW2215" s="67"/>
      <c r="BX2215" s="67"/>
      <c r="BY2215" s="67"/>
      <c r="BZ2215" s="67"/>
      <c r="CA2215" s="67"/>
      <c r="CB2215" s="68"/>
      <c r="CC2215" s="68"/>
      <c r="CD2215" s="68"/>
      <c r="CE2215" s="67"/>
      <c r="CF2215" s="67"/>
      <c r="CG2215" s="67"/>
      <c r="CH2215" s="94">
        <v>1.4</v>
      </c>
      <c r="CI2215" s="94">
        <v>1.38</v>
      </c>
      <c r="CJ2215" s="67"/>
      <c r="CK2215" s="67"/>
      <c r="CL2215" s="67"/>
      <c r="CM2215" s="67">
        <v>1.24</v>
      </c>
      <c r="CN2215" s="67">
        <v>1.37</v>
      </c>
      <c r="CO2215" s="67"/>
      <c r="CP2215" s="67"/>
      <c r="CQ2215" s="67" t="s">
        <v>2240</v>
      </c>
      <c r="CR2215" s="67"/>
      <c r="CS2215" s="67"/>
      <c r="CT2215" s="67"/>
      <c r="CU2215" s="67"/>
      <c r="CV2215" s="67" t="s">
        <v>3039</v>
      </c>
      <c r="CW2215" s="67"/>
      <c r="CX2215" s="67"/>
      <c r="CY2215" s="67"/>
      <c r="CZ2215" s="67"/>
      <c r="DA2215" s="67" t="s">
        <v>4458</v>
      </c>
      <c r="DB2215" s="67"/>
      <c r="DC2215" s="67"/>
      <c r="DD2215" s="67"/>
      <c r="DE2215" s="67"/>
      <c r="DF2215" s="67"/>
      <c r="DG2215" s="67"/>
      <c r="DH2215" s="67"/>
      <c r="DI2215" s="67"/>
      <c r="DJ2215" s="67"/>
      <c r="DK2215" s="67"/>
      <c r="DL2215" s="67"/>
      <c r="DM2215" s="67"/>
      <c r="DN2215" s="67"/>
      <c r="DO2215" s="67"/>
      <c r="DP2215" s="67"/>
      <c r="DQ2215" s="166"/>
      <c r="DR2215" s="166"/>
      <c r="DS2215" s="163"/>
      <c r="DT2215" s="163"/>
      <c r="DU2215" s="67"/>
      <c r="DV2215" s="67"/>
      <c r="DW2215" s="67"/>
      <c r="DX2215" s="67"/>
      <c r="DY2215" s="67"/>
      <c r="DZ2215" s="67"/>
      <c r="EA2215" s="67"/>
      <c r="EB2215" s="67"/>
      <c r="EC2215" s="67"/>
      <c r="ED2215" s="67"/>
      <c r="EE2215" s="67"/>
      <c r="EF2215" s="67"/>
      <c r="EG2215" s="67"/>
      <c r="EH2215" s="67"/>
      <c r="EI2215" s="67"/>
      <c r="EJ2215" s="67"/>
      <c r="EK2215" s="94"/>
      <c r="EL2215" s="94"/>
      <c r="EM2215" s="67"/>
      <c r="EN2215" s="67"/>
      <c r="EO2215" s="67"/>
      <c r="EP2215" s="67"/>
      <c r="EQ2215" s="67"/>
      <c r="ER2215" s="67"/>
      <c r="ES2215" s="67"/>
      <c r="ET2215" s="67"/>
      <c r="EU2215" s="67"/>
      <c r="EV2215" s="67"/>
      <c r="EW2215" s="67"/>
      <c r="EX2215" s="67"/>
      <c r="EY2215" s="67"/>
      <c r="EZ2215" s="67"/>
      <c r="FA2215" s="67"/>
      <c r="FB2215" s="67"/>
      <c r="FC2215" s="67"/>
      <c r="FD2215" s="67"/>
      <c r="FE2215" s="67"/>
      <c r="FF2215" s="67"/>
      <c r="FG2215" s="67"/>
      <c r="FH2215" s="67"/>
      <c r="FI2215" s="67"/>
      <c r="FJ2215" s="67"/>
      <c r="FK2215" s="67"/>
      <c r="FL2215" s="67"/>
      <c r="FM2215" s="67"/>
      <c r="FN2215" s="67"/>
      <c r="FO2215" s="67"/>
      <c r="FP2215" s="67"/>
      <c r="FQ2215" s="67"/>
      <c r="FR2215" s="67"/>
      <c r="FS2215" s="67"/>
      <c r="FT2215" s="67"/>
      <c r="FU2215" s="67"/>
      <c r="FV2215" s="67"/>
      <c r="FW2215" s="67"/>
      <c r="FX2215" s="67"/>
      <c r="FY2215" s="67"/>
      <c r="FZ2215" s="67"/>
      <c r="GA2215" s="67"/>
      <c r="GB2215" s="67"/>
      <c r="GC2215" s="67"/>
      <c r="GD2215" s="67"/>
      <c r="GE2215" s="67"/>
      <c r="GF2215" s="67"/>
      <c r="GG2215" s="67"/>
      <c r="GH2215" s="67"/>
      <c r="GI2215" s="67"/>
      <c r="GJ2215" s="67"/>
      <c r="GK2215" s="67"/>
      <c r="GL2215" s="67"/>
      <c r="GM2215" s="67"/>
      <c r="GN2215" s="292"/>
      <c r="GO2215" s="292"/>
      <c r="GP2215" s="292" t="s">
        <v>7494</v>
      </c>
      <c r="GQ2215" s="67"/>
      <c r="GR2215" s="67"/>
      <c r="GS2215" s="67"/>
      <c r="GT2215" s="67"/>
      <c r="GU2215" s="67"/>
      <c r="GV2215" s="67"/>
      <c r="GW2215" s="67"/>
      <c r="GX2215" s="67"/>
      <c r="GY2215" s="67"/>
      <c r="GZ2215" s="67"/>
      <c r="HA2215" s="67"/>
      <c r="HB2215" s="67"/>
      <c r="HC2215" s="67"/>
      <c r="HD2215" s="67"/>
      <c r="HE2215" s="67"/>
      <c r="HF2215" s="67"/>
      <c r="HG2215" s="67"/>
      <c r="HH2215" s="67"/>
      <c r="HI2215" s="67"/>
      <c r="HJ2215" s="67"/>
      <c r="HK2215" s="67"/>
      <c r="HL2215" s="67"/>
      <c r="HM2215" s="67"/>
      <c r="HN2215" s="67"/>
      <c r="HO2215" s="67"/>
      <c r="HP2215" s="67"/>
      <c r="HQ2215" s="67"/>
      <c r="HR2215" s="67"/>
      <c r="HS2215" s="67"/>
      <c r="HT2215" s="67"/>
      <c r="HU2215" s="67"/>
      <c r="HV2215" s="67"/>
      <c r="HW2215" s="67"/>
      <c r="HX2215" s="67"/>
      <c r="HY2215" s="67"/>
      <c r="HZ2215" s="67"/>
      <c r="IA2215" s="67"/>
      <c r="IB2215" s="67"/>
      <c r="IC2215" s="67"/>
      <c r="ID2215" s="67"/>
      <c r="IE2215" s="67"/>
      <c r="IF2215" s="67"/>
      <c r="IG2215" s="67"/>
      <c r="IH2215" s="67"/>
      <c r="II2215" s="67"/>
      <c r="IJ2215" s="67"/>
      <c r="IK2215" s="67"/>
      <c r="IL2215" s="67"/>
      <c r="IM2215" s="67"/>
      <c r="IN2215" s="67"/>
      <c r="IO2215" s="67"/>
      <c r="IP2215" s="67"/>
      <c r="IQ2215" s="67"/>
      <c r="IR2215" s="67"/>
      <c r="IS2215" s="67"/>
      <c r="IT2215" s="67"/>
      <c r="IU2215" s="67"/>
      <c r="IV2215" s="67"/>
      <c r="IW2215" s="67"/>
      <c r="IX2215" s="67"/>
      <c r="IY2215" s="67"/>
      <c r="IZ2215" s="67"/>
      <c r="JA2215" s="67"/>
      <c r="JB2215" s="67"/>
      <c r="JC2215" s="67"/>
      <c r="JD2215" s="67"/>
      <c r="JE2215" s="67"/>
      <c r="JF2215" s="67"/>
      <c r="JG2215" s="67"/>
      <c r="JH2215" s="67"/>
      <c r="JI2215" s="67"/>
      <c r="JJ2215" s="67"/>
      <c r="JK2215" s="67"/>
      <c r="JL2215" s="67"/>
      <c r="JM2215" s="67"/>
      <c r="JN2215" s="67"/>
      <c r="JO2215" s="67"/>
      <c r="JP2215" s="67"/>
      <c r="JQ2215" s="67"/>
      <c r="JR2215" s="67"/>
      <c r="JS2215" s="67"/>
      <c r="JT2215" s="67"/>
      <c r="JU2215" s="58"/>
      <c r="JV2215" s="58"/>
      <c r="JW2215" s="58"/>
    </row>
    <row r="2216" spans="1:283" s="23" customFormat="1" x14ac:dyDescent="0.25">
      <c r="A2216" s="55">
        <v>2215</v>
      </c>
      <c r="B2216" s="12" t="s">
        <v>7067</v>
      </c>
      <c r="C2216" s="156">
        <v>104</v>
      </c>
      <c r="D2216" s="58" t="s">
        <v>4182</v>
      </c>
      <c r="E2216" s="94" t="s">
        <v>2139</v>
      </c>
      <c r="F2216" s="94"/>
      <c r="G2216" s="58"/>
      <c r="H2216" s="58">
        <v>2011</v>
      </c>
      <c r="I2216" s="58">
        <v>1993</v>
      </c>
      <c r="J2216" s="58" t="s">
        <v>1709</v>
      </c>
      <c r="K2216" s="58" t="s">
        <v>2140</v>
      </c>
      <c r="L2216" s="58" t="s">
        <v>2741</v>
      </c>
      <c r="M2216" s="94">
        <v>43.68</v>
      </c>
      <c r="N2216" s="94">
        <v>10.35</v>
      </c>
      <c r="O2216" s="94">
        <v>1.7</v>
      </c>
      <c r="P2216" s="58">
        <v>14.3</v>
      </c>
      <c r="Q2216" s="58"/>
      <c r="R2216" s="58">
        <v>900</v>
      </c>
      <c r="S2216" s="94"/>
      <c r="T2216" s="58"/>
      <c r="U2216" s="58">
        <v>1</v>
      </c>
      <c r="V2216" s="58">
        <v>15</v>
      </c>
      <c r="W2216" s="174"/>
      <c r="X2216" s="174"/>
      <c r="Y2216" s="58" t="s">
        <v>1953</v>
      </c>
      <c r="Z2216" s="58" t="s">
        <v>1375</v>
      </c>
      <c r="AA2216" s="94">
        <v>20</v>
      </c>
      <c r="AB2216" s="67"/>
      <c r="AC2216" s="67"/>
      <c r="AD2216" s="94">
        <v>1.48</v>
      </c>
      <c r="AE2216" s="94">
        <v>44.3</v>
      </c>
      <c r="AF2216" s="94">
        <v>40.200000000000003</v>
      </c>
      <c r="AG2216" s="94"/>
      <c r="AH2216" s="58" t="s">
        <v>139</v>
      </c>
      <c r="AI2216" s="169">
        <v>8.1999999999999993</v>
      </c>
      <c r="AJ2216" s="94"/>
      <c r="AK2216" s="94"/>
      <c r="AL2216" s="58"/>
      <c r="AM2216" s="58" t="s">
        <v>2141</v>
      </c>
      <c r="AN2216" s="186" t="s">
        <v>1713</v>
      </c>
      <c r="AO2216" s="185" t="s">
        <v>5150</v>
      </c>
      <c r="AP2216" s="58"/>
      <c r="AQ2216" s="58" t="s">
        <v>131</v>
      </c>
      <c r="AR2216" s="58" t="s">
        <v>2142</v>
      </c>
      <c r="AS2216" s="58" t="s">
        <v>132</v>
      </c>
      <c r="AT2216" s="182" t="s">
        <v>2142</v>
      </c>
      <c r="AU2216" s="181" t="s">
        <v>5150</v>
      </c>
      <c r="AV2216" s="185" t="s">
        <v>176</v>
      </c>
      <c r="AW2216" s="58"/>
      <c r="AX2216" s="185" t="s">
        <v>176</v>
      </c>
      <c r="AY2216" s="58"/>
      <c r="AZ2216" s="61" t="s">
        <v>2143</v>
      </c>
      <c r="BA2216" s="58"/>
      <c r="BB2216" s="58" t="s">
        <v>2081</v>
      </c>
      <c r="BC2216" s="58" t="s">
        <v>2081</v>
      </c>
      <c r="BD2216" s="58"/>
      <c r="BE2216" s="236" t="s">
        <v>2144</v>
      </c>
      <c r="BF2216" s="58"/>
      <c r="BG2216" s="191" t="s">
        <v>479</v>
      </c>
      <c r="BH2216" s="236"/>
      <c r="BI2216" s="58"/>
      <c r="BJ2216" s="58"/>
      <c r="BK2216" s="58" t="s">
        <v>5976</v>
      </c>
      <c r="BL2216" s="58"/>
      <c r="BM2216" s="237" t="s">
        <v>160</v>
      </c>
      <c r="BN2216" s="58"/>
      <c r="BO2216" s="58"/>
      <c r="BP2216" s="58">
        <v>2</v>
      </c>
      <c r="BQ2216" s="58"/>
      <c r="BR2216" s="58"/>
      <c r="BS2216" s="58"/>
      <c r="BT2216" s="58"/>
      <c r="BU2216" s="58"/>
      <c r="BV2216" s="58"/>
      <c r="BW2216" s="67"/>
      <c r="BX2216" s="67"/>
      <c r="BY2216" s="67"/>
      <c r="BZ2216" s="67"/>
      <c r="CA2216" s="67"/>
      <c r="CB2216" s="68"/>
      <c r="CC2216" s="68"/>
      <c r="CD2216" s="68"/>
      <c r="CE2216" s="67"/>
      <c r="CF2216" s="67"/>
      <c r="CG2216" s="67"/>
      <c r="CH2216" s="94">
        <f>(1.47+1.48)/2</f>
        <v>1.4750000000000001</v>
      </c>
      <c r="CI2216" s="94">
        <f>(1.49+1.48)/2</f>
        <v>1.4849999999999999</v>
      </c>
      <c r="CJ2216" s="67"/>
      <c r="CK2216" s="67"/>
      <c r="CL2216" s="67"/>
      <c r="CM2216" s="67">
        <v>1.03</v>
      </c>
      <c r="CN2216" s="67">
        <v>1.05</v>
      </c>
      <c r="CO2216" s="67"/>
      <c r="CP2216" s="67"/>
      <c r="CQ2216" s="67" t="s">
        <v>2240</v>
      </c>
      <c r="CR2216" s="67"/>
      <c r="CS2216" s="67"/>
      <c r="CT2216" s="67"/>
      <c r="CU2216" s="67"/>
      <c r="CV2216" s="67" t="s">
        <v>3039</v>
      </c>
      <c r="CW2216" s="67"/>
      <c r="CX2216" s="67"/>
      <c r="CY2216" s="67"/>
      <c r="CZ2216" s="67"/>
      <c r="DA2216" s="67" t="s">
        <v>4458</v>
      </c>
      <c r="DB2216" s="67"/>
      <c r="DC2216" s="67"/>
      <c r="DD2216" s="67"/>
      <c r="DE2216" s="67"/>
      <c r="DF2216" s="67"/>
      <c r="DG2216" s="67"/>
      <c r="DH2216" s="67"/>
      <c r="DI2216" s="67"/>
      <c r="DJ2216" s="67"/>
      <c r="DK2216" s="67"/>
      <c r="DL2216" s="67"/>
      <c r="DM2216" s="67"/>
      <c r="DN2216" s="67"/>
      <c r="DO2216" s="67"/>
      <c r="DP2216" s="67"/>
      <c r="DQ2216" s="166"/>
      <c r="DR2216" s="166"/>
      <c r="DS2216" s="163"/>
      <c r="DT2216" s="163"/>
      <c r="DU2216" s="67"/>
      <c r="DV2216" s="67"/>
      <c r="DW2216" s="67"/>
      <c r="DX2216" s="67"/>
      <c r="DY2216" s="67"/>
      <c r="DZ2216" s="67"/>
      <c r="EA2216" s="67"/>
      <c r="EB2216" s="67"/>
      <c r="EC2216" s="67"/>
      <c r="ED2216" s="67"/>
      <c r="EE2216" s="67"/>
      <c r="EF2216" s="67"/>
      <c r="EG2216" s="67"/>
      <c r="EH2216" s="67"/>
      <c r="EI2216" s="67"/>
      <c r="EJ2216" s="67"/>
      <c r="EK2216" s="94"/>
      <c r="EL2216" s="94"/>
      <c r="EM2216" s="67"/>
      <c r="EN2216" s="67"/>
      <c r="EO2216" s="67"/>
      <c r="EP2216" s="67"/>
      <c r="EQ2216" s="67"/>
      <c r="ER2216" s="67"/>
      <c r="ES2216" s="67"/>
      <c r="ET2216" s="67"/>
      <c r="EU2216" s="67"/>
      <c r="EV2216" s="67"/>
      <c r="EW2216" s="67"/>
      <c r="EX2216" s="67"/>
      <c r="EY2216" s="67"/>
      <c r="EZ2216" s="67"/>
      <c r="FA2216" s="67"/>
      <c r="FB2216" s="67"/>
      <c r="FC2216" s="67"/>
      <c r="FD2216" s="67"/>
      <c r="FE2216" s="67"/>
      <c r="FF2216" s="67"/>
      <c r="FG2216" s="67"/>
      <c r="FH2216" s="67"/>
      <c r="FI2216" s="67"/>
      <c r="FJ2216" s="67"/>
      <c r="FK2216" s="67"/>
      <c r="FL2216" s="67"/>
      <c r="FM2216" s="67"/>
      <c r="FN2216" s="67"/>
      <c r="FO2216" s="67"/>
      <c r="FP2216" s="67"/>
      <c r="FQ2216" s="67"/>
      <c r="FR2216" s="67"/>
      <c r="FS2216" s="67"/>
      <c r="FT2216" s="67"/>
      <c r="FU2216" s="67"/>
      <c r="FV2216" s="67"/>
      <c r="FW2216" s="67"/>
      <c r="FX2216" s="67"/>
      <c r="FY2216" s="67"/>
      <c r="FZ2216" s="67"/>
      <c r="GA2216" s="67"/>
      <c r="GB2216" s="67"/>
      <c r="GC2216" s="67"/>
      <c r="GD2216" s="67"/>
      <c r="GE2216" s="67"/>
      <c r="GF2216" s="67"/>
      <c r="GG2216" s="67"/>
      <c r="GH2216" s="67"/>
      <c r="GI2216" s="67"/>
      <c r="GJ2216" s="67"/>
      <c r="GK2216" s="67"/>
      <c r="GL2216" s="67"/>
      <c r="GM2216" s="67"/>
      <c r="GN2216" s="292"/>
      <c r="GO2216" s="292"/>
      <c r="GP2216" s="292" t="s">
        <v>7494</v>
      </c>
      <c r="GQ2216" s="67"/>
      <c r="GR2216" s="67"/>
      <c r="GS2216" s="67"/>
      <c r="GT2216" s="67"/>
      <c r="GU2216" s="67"/>
      <c r="GV2216" s="67"/>
      <c r="GW2216" s="67"/>
      <c r="GX2216" s="67"/>
      <c r="GY2216" s="67"/>
      <c r="GZ2216" s="67"/>
      <c r="HA2216" s="67"/>
      <c r="HB2216" s="67"/>
      <c r="HC2216" s="67"/>
      <c r="HD2216" s="67"/>
      <c r="HE2216" s="67"/>
      <c r="HF2216" s="67"/>
      <c r="HG2216" s="67"/>
      <c r="HH2216" s="67"/>
      <c r="HI2216" s="67"/>
      <c r="HJ2216" s="67"/>
      <c r="HK2216" s="67"/>
      <c r="HL2216" s="67"/>
      <c r="HM2216" s="67"/>
      <c r="HN2216" s="67"/>
      <c r="HO2216" s="67"/>
      <c r="HP2216" s="67"/>
      <c r="HQ2216" s="67"/>
      <c r="HR2216" s="67"/>
      <c r="HS2216" s="67"/>
      <c r="HT2216" s="67"/>
      <c r="HU2216" s="67"/>
      <c r="HV2216" s="67"/>
      <c r="HW2216" s="67"/>
      <c r="HX2216" s="67"/>
      <c r="HY2216" s="67"/>
      <c r="HZ2216" s="67"/>
      <c r="IA2216" s="67"/>
      <c r="IB2216" s="67"/>
      <c r="IC2216" s="67"/>
      <c r="ID2216" s="67"/>
      <c r="IE2216" s="67"/>
      <c r="IF2216" s="67"/>
      <c r="IG2216" s="67"/>
      <c r="IH2216" s="67"/>
      <c r="II2216" s="67"/>
      <c r="IJ2216" s="67"/>
      <c r="IK2216" s="67"/>
      <c r="IL2216" s="67"/>
      <c r="IM2216" s="67"/>
      <c r="IN2216" s="67"/>
      <c r="IO2216" s="67"/>
      <c r="IP2216" s="67"/>
      <c r="IQ2216" s="67"/>
      <c r="IR2216" s="67"/>
      <c r="IS2216" s="67"/>
      <c r="IT2216" s="67"/>
      <c r="IU2216" s="67"/>
      <c r="IV2216" s="67"/>
      <c r="IW2216" s="67"/>
      <c r="IX2216" s="67"/>
      <c r="IY2216" s="67"/>
      <c r="IZ2216" s="67"/>
      <c r="JA2216" s="67"/>
      <c r="JB2216" s="67"/>
      <c r="JC2216" s="67"/>
      <c r="JD2216" s="67"/>
      <c r="JE2216" s="67"/>
      <c r="JF2216" s="67"/>
      <c r="JG2216" s="67"/>
      <c r="JH2216" s="67"/>
      <c r="JI2216" s="67"/>
      <c r="JJ2216" s="67"/>
      <c r="JK2216" s="67"/>
      <c r="JL2216" s="67"/>
      <c r="JM2216" s="67"/>
      <c r="JN2216" s="67"/>
      <c r="JO2216" s="67"/>
      <c r="JP2216" s="67"/>
      <c r="JQ2216" s="67"/>
      <c r="JR2216" s="67"/>
      <c r="JS2216" s="67"/>
      <c r="JT2216" s="67"/>
      <c r="JU2216" s="58"/>
      <c r="JV2216" s="58"/>
      <c r="JW2216" s="58"/>
    </row>
    <row r="2217" spans="1:283" s="23" customFormat="1" x14ac:dyDescent="0.25">
      <c r="A2217" s="55">
        <v>2216</v>
      </c>
      <c r="B2217" s="12" t="s">
        <v>7067</v>
      </c>
      <c r="C2217" s="156">
        <v>104</v>
      </c>
      <c r="D2217" s="58" t="s">
        <v>4182</v>
      </c>
      <c r="E2217" s="94" t="s">
        <v>2139</v>
      </c>
      <c r="F2217" s="94"/>
      <c r="G2217" s="58"/>
      <c r="H2217" s="58">
        <v>2011</v>
      </c>
      <c r="I2217" s="58">
        <v>1993</v>
      </c>
      <c r="J2217" s="58" t="s">
        <v>1709</v>
      </c>
      <c r="K2217" s="58" t="s">
        <v>2140</v>
      </c>
      <c r="L2217" s="58" t="s">
        <v>2741</v>
      </c>
      <c r="M2217" s="94">
        <v>43.68</v>
      </c>
      <c r="N2217" s="94">
        <v>10.35</v>
      </c>
      <c r="O2217" s="94">
        <v>1.7</v>
      </c>
      <c r="P2217" s="58">
        <v>14.3</v>
      </c>
      <c r="Q2217" s="58"/>
      <c r="R2217" s="58">
        <v>900</v>
      </c>
      <c r="S2217" s="94"/>
      <c r="T2217" s="58"/>
      <c r="U2217" s="58">
        <v>1</v>
      </c>
      <c r="V2217" s="58">
        <v>15</v>
      </c>
      <c r="W2217" s="174"/>
      <c r="X2217" s="174"/>
      <c r="Y2217" s="58" t="s">
        <v>1953</v>
      </c>
      <c r="Z2217" s="58" t="s">
        <v>1375</v>
      </c>
      <c r="AA2217" s="94">
        <v>20</v>
      </c>
      <c r="AB2217" s="67"/>
      <c r="AC2217" s="67"/>
      <c r="AD2217" s="94">
        <v>1.48</v>
      </c>
      <c r="AE2217" s="94">
        <v>44.3</v>
      </c>
      <c r="AF2217" s="94">
        <v>40.200000000000003</v>
      </c>
      <c r="AG2217" s="94"/>
      <c r="AH2217" s="58" t="s">
        <v>139</v>
      </c>
      <c r="AI2217" s="169">
        <v>8.1999999999999993</v>
      </c>
      <c r="AJ2217" s="94"/>
      <c r="AK2217" s="94"/>
      <c r="AL2217" s="58"/>
      <c r="AM2217" s="58" t="s">
        <v>2141</v>
      </c>
      <c r="AN2217" s="186" t="s">
        <v>1713</v>
      </c>
      <c r="AO2217" s="185" t="s">
        <v>5150</v>
      </c>
      <c r="AP2217" s="58"/>
      <c r="AQ2217" s="58" t="s">
        <v>131</v>
      </c>
      <c r="AR2217" s="58" t="s">
        <v>2142</v>
      </c>
      <c r="AS2217" s="58" t="s">
        <v>132</v>
      </c>
      <c r="AT2217" s="182" t="s">
        <v>2142</v>
      </c>
      <c r="AU2217" s="181" t="s">
        <v>5150</v>
      </c>
      <c r="AV2217" s="185" t="s">
        <v>176</v>
      </c>
      <c r="AW2217" s="58"/>
      <c r="AX2217" s="185" t="s">
        <v>176</v>
      </c>
      <c r="AY2217" s="58"/>
      <c r="AZ2217" s="61" t="s">
        <v>2143</v>
      </c>
      <c r="BA2217" s="58"/>
      <c r="BB2217" s="58" t="s">
        <v>2081</v>
      </c>
      <c r="BC2217" s="58" t="s">
        <v>2081</v>
      </c>
      <c r="BD2217" s="58"/>
      <c r="BE2217" s="236" t="s">
        <v>2144</v>
      </c>
      <c r="BF2217" s="58"/>
      <c r="BG2217" s="191" t="s">
        <v>479</v>
      </c>
      <c r="BH2217" s="236"/>
      <c r="BI2217" s="58"/>
      <c r="BJ2217" s="58"/>
      <c r="BK2217" s="58" t="s">
        <v>5976</v>
      </c>
      <c r="BL2217" s="58"/>
      <c r="BM2217" s="237" t="s">
        <v>160</v>
      </c>
      <c r="BN2217" s="58"/>
      <c r="BO2217" s="58"/>
      <c r="BP2217" s="58">
        <v>2</v>
      </c>
      <c r="BQ2217" s="58"/>
      <c r="BR2217" s="58"/>
      <c r="BS2217" s="58"/>
      <c r="BT2217" s="58"/>
      <c r="BU2217" s="58"/>
      <c r="BV2217" s="58"/>
      <c r="BW2217" s="67"/>
      <c r="BX2217" s="67"/>
      <c r="BY2217" s="67"/>
      <c r="BZ2217" s="67"/>
      <c r="CA2217" s="67"/>
      <c r="CB2217" s="68"/>
      <c r="CC2217" s="68"/>
      <c r="CD2217" s="68"/>
      <c r="CE2217" s="67"/>
      <c r="CF2217" s="67"/>
      <c r="CG2217" s="67"/>
      <c r="CH2217" s="94">
        <f>(1.47+1.48)/2</f>
        <v>1.4750000000000001</v>
      </c>
      <c r="CI2217" s="94">
        <f>(1.47+1.5)/2</f>
        <v>1.4849999999999999</v>
      </c>
      <c r="CJ2217" s="67"/>
      <c r="CK2217" s="67"/>
      <c r="CL2217" s="67"/>
      <c r="CM2217" s="67">
        <v>1.03</v>
      </c>
      <c r="CN2217" s="67">
        <v>1.02</v>
      </c>
      <c r="CO2217" s="67"/>
      <c r="CP2217" s="67"/>
      <c r="CQ2217" s="67" t="s">
        <v>2240</v>
      </c>
      <c r="CR2217" s="67"/>
      <c r="CS2217" s="67"/>
      <c r="CT2217" s="67"/>
      <c r="CU2217" s="67"/>
      <c r="CV2217" s="67" t="s">
        <v>3039</v>
      </c>
      <c r="CW2217" s="67"/>
      <c r="CX2217" s="67"/>
      <c r="CY2217" s="67"/>
      <c r="CZ2217" s="67"/>
      <c r="DA2217" s="67" t="s">
        <v>4458</v>
      </c>
      <c r="DB2217" s="67"/>
      <c r="DC2217" s="67"/>
      <c r="DD2217" s="67"/>
      <c r="DE2217" s="67"/>
      <c r="DF2217" s="67"/>
      <c r="DG2217" s="67"/>
      <c r="DH2217" s="67"/>
      <c r="DI2217" s="67"/>
      <c r="DJ2217" s="67"/>
      <c r="DK2217" s="67"/>
      <c r="DL2217" s="67"/>
      <c r="DM2217" s="67"/>
      <c r="DN2217" s="67"/>
      <c r="DO2217" s="67"/>
      <c r="DP2217" s="67"/>
      <c r="DQ2217" s="166"/>
      <c r="DR2217" s="166"/>
      <c r="DS2217" s="163"/>
      <c r="DT2217" s="163"/>
      <c r="DU2217" s="67"/>
      <c r="DV2217" s="67"/>
      <c r="DW2217" s="67"/>
      <c r="DX2217" s="67"/>
      <c r="DY2217" s="67"/>
      <c r="DZ2217" s="67"/>
      <c r="EA2217" s="67"/>
      <c r="EB2217" s="67"/>
      <c r="EC2217" s="67"/>
      <c r="ED2217" s="67"/>
      <c r="EE2217" s="67"/>
      <c r="EF2217" s="67"/>
      <c r="EG2217" s="67"/>
      <c r="EH2217" s="67"/>
      <c r="EI2217" s="67"/>
      <c r="EJ2217" s="67"/>
      <c r="EK2217" s="94"/>
      <c r="EL2217" s="94"/>
      <c r="EM2217" s="67"/>
      <c r="EN2217" s="67"/>
      <c r="EO2217" s="67"/>
      <c r="EP2217" s="67"/>
      <c r="EQ2217" s="67"/>
      <c r="ER2217" s="67"/>
      <c r="ES2217" s="67"/>
      <c r="ET2217" s="67"/>
      <c r="EU2217" s="67"/>
      <c r="EV2217" s="67"/>
      <c r="EW2217" s="67"/>
      <c r="EX2217" s="67"/>
      <c r="EY2217" s="67"/>
      <c r="EZ2217" s="67"/>
      <c r="FA2217" s="67"/>
      <c r="FB2217" s="67"/>
      <c r="FC2217" s="67"/>
      <c r="FD2217" s="67"/>
      <c r="FE2217" s="67"/>
      <c r="FF2217" s="67"/>
      <c r="FG2217" s="67"/>
      <c r="FH2217" s="67"/>
      <c r="FI2217" s="67"/>
      <c r="FJ2217" s="67"/>
      <c r="FK2217" s="67"/>
      <c r="FL2217" s="67"/>
      <c r="FM2217" s="67"/>
      <c r="FN2217" s="67"/>
      <c r="FO2217" s="67"/>
      <c r="FP2217" s="67"/>
      <c r="FQ2217" s="67"/>
      <c r="FR2217" s="67"/>
      <c r="FS2217" s="67"/>
      <c r="FT2217" s="67"/>
      <c r="FU2217" s="67"/>
      <c r="FV2217" s="67"/>
      <c r="FW2217" s="67"/>
      <c r="FX2217" s="67"/>
      <c r="FY2217" s="67"/>
      <c r="FZ2217" s="67"/>
      <c r="GA2217" s="67"/>
      <c r="GB2217" s="67"/>
      <c r="GC2217" s="67"/>
      <c r="GD2217" s="67"/>
      <c r="GE2217" s="67"/>
      <c r="GF2217" s="67"/>
      <c r="GG2217" s="67"/>
      <c r="GH2217" s="67"/>
      <c r="GI2217" s="67"/>
      <c r="GJ2217" s="67"/>
      <c r="GK2217" s="67"/>
      <c r="GL2217" s="67"/>
      <c r="GM2217" s="67"/>
      <c r="GN2217" s="292"/>
      <c r="GO2217" s="292"/>
      <c r="GP2217" s="292" t="s">
        <v>7494</v>
      </c>
      <c r="GQ2217" s="67"/>
      <c r="GR2217" s="67"/>
      <c r="GS2217" s="67"/>
      <c r="GT2217" s="67"/>
      <c r="GU2217" s="67"/>
      <c r="GV2217" s="67"/>
      <c r="GW2217" s="67"/>
      <c r="GX2217" s="67"/>
      <c r="GY2217" s="67"/>
      <c r="GZ2217" s="67"/>
      <c r="HA2217" s="67"/>
      <c r="HB2217" s="67"/>
      <c r="HC2217" s="67"/>
      <c r="HD2217" s="67"/>
      <c r="HE2217" s="67"/>
      <c r="HF2217" s="67"/>
      <c r="HG2217" s="67"/>
      <c r="HH2217" s="67"/>
      <c r="HI2217" s="67"/>
      <c r="HJ2217" s="67"/>
      <c r="HK2217" s="67"/>
      <c r="HL2217" s="67"/>
      <c r="HM2217" s="67"/>
      <c r="HN2217" s="67"/>
      <c r="HO2217" s="67"/>
      <c r="HP2217" s="67"/>
      <c r="HQ2217" s="67"/>
      <c r="HR2217" s="67"/>
      <c r="HS2217" s="67"/>
      <c r="HT2217" s="67"/>
      <c r="HU2217" s="67"/>
      <c r="HV2217" s="67"/>
      <c r="HW2217" s="67"/>
      <c r="HX2217" s="67"/>
      <c r="HY2217" s="67"/>
      <c r="HZ2217" s="67"/>
      <c r="IA2217" s="67"/>
      <c r="IB2217" s="67"/>
      <c r="IC2217" s="67"/>
      <c r="ID2217" s="67"/>
      <c r="IE2217" s="67"/>
      <c r="IF2217" s="67"/>
      <c r="IG2217" s="67"/>
      <c r="IH2217" s="67"/>
      <c r="II2217" s="67"/>
      <c r="IJ2217" s="67"/>
      <c r="IK2217" s="67"/>
      <c r="IL2217" s="67"/>
      <c r="IM2217" s="67"/>
      <c r="IN2217" s="67"/>
      <c r="IO2217" s="67"/>
      <c r="IP2217" s="67"/>
      <c r="IQ2217" s="67"/>
      <c r="IR2217" s="67"/>
      <c r="IS2217" s="67"/>
      <c r="IT2217" s="67"/>
      <c r="IU2217" s="67"/>
      <c r="IV2217" s="67"/>
      <c r="IW2217" s="67"/>
      <c r="IX2217" s="67"/>
      <c r="IY2217" s="67"/>
      <c r="IZ2217" s="67"/>
      <c r="JA2217" s="67"/>
      <c r="JB2217" s="67"/>
      <c r="JC2217" s="67"/>
      <c r="JD2217" s="67"/>
      <c r="JE2217" s="67"/>
      <c r="JF2217" s="67"/>
      <c r="JG2217" s="67"/>
      <c r="JH2217" s="67"/>
      <c r="JI2217" s="67"/>
      <c r="JJ2217" s="67"/>
      <c r="JK2217" s="67"/>
      <c r="JL2217" s="67"/>
      <c r="JM2217" s="67"/>
      <c r="JN2217" s="67"/>
      <c r="JO2217" s="67"/>
      <c r="JP2217" s="67"/>
      <c r="JQ2217" s="67"/>
      <c r="JR2217" s="67"/>
      <c r="JS2217" s="67"/>
      <c r="JT2217" s="67"/>
      <c r="JU2217" s="58"/>
      <c r="JV2217" s="58"/>
      <c r="JW2217" s="58"/>
    </row>
    <row r="2218" spans="1:283" s="23" customFormat="1" x14ac:dyDescent="0.25">
      <c r="A2218" s="55">
        <v>2217</v>
      </c>
      <c r="B2218" s="12" t="s">
        <v>7067</v>
      </c>
      <c r="C2218" s="156">
        <v>104</v>
      </c>
      <c r="D2218" s="58" t="s">
        <v>4183</v>
      </c>
      <c r="E2218" s="94" t="s">
        <v>2139</v>
      </c>
      <c r="F2218" s="94"/>
      <c r="G2218" s="58"/>
      <c r="H2218" s="58">
        <v>2011</v>
      </c>
      <c r="I2218" s="58">
        <v>1993</v>
      </c>
      <c r="J2218" s="58" t="s">
        <v>1709</v>
      </c>
      <c r="K2218" s="58" t="s">
        <v>2140</v>
      </c>
      <c r="L2218" s="58" t="s">
        <v>2741</v>
      </c>
      <c r="M2218" s="94">
        <v>43.68</v>
      </c>
      <c r="N2218" s="94">
        <v>10.35</v>
      </c>
      <c r="O2218" s="94">
        <v>1.7</v>
      </c>
      <c r="P2218" s="58">
        <v>14.3</v>
      </c>
      <c r="Q2218" s="58"/>
      <c r="R2218" s="58">
        <v>900</v>
      </c>
      <c r="S2218" s="94"/>
      <c r="T2218" s="58"/>
      <c r="U2218" s="58">
        <v>1</v>
      </c>
      <c r="V2218" s="58">
        <v>15</v>
      </c>
      <c r="W2218" s="174"/>
      <c r="X2218" s="174"/>
      <c r="Y2218" s="58" t="s">
        <v>1953</v>
      </c>
      <c r="Z2218" s="58" t="s">
        <v>1375</v>
      </c>
      <c r="AA2218" s="94">
        <v>20</v>
      </c>
      <c r="AB2218" s="67"/>
      <c r="AC2218" s="67"/>
      <c r="AD2218" s="94">
        <v>1.48</v>
      </c>
      <c r="AE2218" s="94">
        <v>44.3</v>
      </c>
      <c r="AF2218" s="94">
        <v>40.200000000000003</v>
      </c>
      <c r="AG2218" s="94"/>
      <c r="AH2218" s="58" t="s">
        <v>139</v>
      </c>
      <c r="AI2218" s="169">
        <v>8.1999999999999993</v>
      </c>
      <c r="AJ2218" s="94"/>
      <c r="AK2218" s="94"/>
      <c r="AL2218" s="58"/>
      <c r="AM2218" s="58" t="s">
        <v>2141</v>
      </c>
      <c r="AN2218" s="186" t="s">
        <v>2145</v>
      </c>
      <c r="AO2218" s="185" t="s">
        <v>5150</v>
      </c>
      <c r="AP2218" s="58"/>
      <c r="AQ2218" s="58" t="s">
        <v>131</v>
      </c>
      <c r="AR2218" s="58" t="s">
        <v>2245</v>
      </c>
      <c r="AS2218" s="58" t="s">
        <v>1576</v>
      </c>
      <c r="AT2218" s="182" t="s">
        <v>2146</v>
      </c>
      <c r="AU2218" s="181" t="s">
        <v>5150</v>
      </c>
      <c r="AV2218" s="185" t="s">
        <v>479</v>
      </c>
      <c r="AW2218" s="58"/>
      <c r="AX2218" s="185" t="s">
        <v>176</v>
      </c>
      <c r="AY2218" s="58"/>
      <c r="AZ2218" s="61" t="s">
        <v>2143</v>
      </c>
      <c r="BA2218" s="58"/>
      <c r="BB2218" s="58" t="s">
        <v>2081</v>
      </c>
      <c r="BC2218" s="58" t="s">
        <v>2081</v>
      </c>
      <c r="BD2218" s="58"/>
      <c r="BE2218" s="236" t="s">
        <v>2144</v>
      </c>
      <c r="BF2218" s="58"/>
      <c r="BG2218" s="191" t="s">
        <v>479</v>
      </c>
      <c r="BH2218" s="236"/>
      <c r="BI2218" s="58"/>
      <c r="BJ2218" s="58"/>
      <c r="BK2218" s="58" t="s">
        <v>5976</v>
      </c>
      <c r="BL2218" s="58"/>
      <c r="BM2218" s="237" t="s">
        <v>160</v>
      </c>
      <c r="BN2218" s="58"/>
      <c r="BO2218" s="58"/>
      <c r="BP2218" s="58">
        <v>2</v>
      </c>
      <c r="BQ2218" s="58"/>
      <c r="BR2218" s="58"/>
      <c r="BS2218" s="58"/>
      <c r="BT2218" s="58"/>
      <c r="BU2218" s="58"/>
      <c r="BV2218" s="58"/>
      <c r="BW2218" s="67"/>
      <c r="BX2218" s="67"/>
      <c r="BY2218" s="67"/>
      <c r="BZ2218" s="67"/>
      <c r="CA2218" s="67"/>
      <c r="CB2218" s="68"/>
      <c r="CC2218" s="68"/>
      <c r="CD2218" s="68"/>
      <c r="CE2218" s="67"/>
      <c r="CF2218" s="67"/>
      <c r="CG2218" s="67"/>
      <c r="CH2218" s="94">
        <f>(1.47+1.48)/2</f>
        <v>1.4750000000000001</v>
      </c>
      <c r="CI2218" s="94">
        <f>(1.46+1.5)/2</f>
        <v>1.48</v>
      </c>
      <c r="CJ2218" s="67"/>
      <c r="CK2218" s="67"/>
      <c r="CL2218" s="67"/>
      <c r="CM2218" s="67">
        <v>1.03</v>
      </c>
      <c r="CN2218" s="67">
        <v>1.02</v>
      </c>
      <c r="CO2218" s="67"/>
      <c r="CP2218" s="67"/>
      <c r="CQ2218" s="67" t="s">
        <v>2240</v>
      </c>
      <c r="CR2218" s="67"/>
      <c r="CS2218" s="67"/>
      <c r="CT2218" s="67"/>
      <c r="CU2218" s="67"/>
      <c r="CV2218" s="67" t="s">
        <v>3039</v>
      </c>
      <c r="CW2218" s="67"/>
      <c r="CX2218" s="67"/>
      <c r="CY2218" s="67"/>
      <c r="CZ2218" s="67"/>
      <c r="DA2218" s="67" t="s">
        <v>4458</v>
      </c>
      <c r="DB2218" s="67"/>
      <c r="DC2218" s="67"/>
      <c r="DD2218" s="67"/>
      <c r="DE2218" s="67"/>
      <c r="DF2218" s="67"/>
      <c r="DG2218" s="67"/>
      <c r="DH2218" s="67"/>
      <c r="DI2218" s="67"/>
      <c r="DJ2218" s="67"/>
      <c r="DK2218" s="67"/>
      <c r="DL2218" s="67"/>
      <c r="DM2218" s="67"/>
      <c r="DN2218" s="67"/>
      <c r="DO2218" s="67"/>
      <c r="DP2218" s="67"/>
      <c r="DQ2218" s="166"/>
      <c r="DR2218" s="166"/>
      <c r="DS2218" s="163"/>
      <c r="DT2218" s="163"/>
      <c r="DU2218" s="67"/>
      <c r="DV2218" s="67"/>
      <c r="DW2218" s="67"/>
      <c r="DX2218" s="67"/>
      <c r="DY2218" s="67"/>
      <c r="DZ2218" s="67"/>
      <c r="EA2218" s="67"/>
      <c r="EB2218" s="67"/>
      <c r="EC2218" s="67"/>
      <c r="ED2218" s="67"/>
      <c r="EE2218" s="67"/>
      <c r="EF2218" s="67"/>
      <c r="EG2218" s="67"/>
      <c r="EH2218" s="67"/>
      <c r="EI2218" s="67"/>
      <c r="EJ2218" s="67"/>
      <c r="EK2218" s="94"/>
      <c r="EL2218" s="94"/>
      <c r="EM2218" s="67"/>
      <c r="EN2218" s="67"/>
      <c r="EO2218" s="67"/>
      <c r="EP2218" s="67"/>
      <c r="EQ2218" s="67"/>
      <c r="ER2218" s="67"/>
      <c r="ES2218" s="67"/>
      <c r="ET2218" s="67"/>
      <c r="EU2218" s="67"/>
      <c r="EV2218" s="67"/>
      <c r="EW2218" s="67"/>
      <c r="EX2218" s="67"/>
      <c r="EY2218" s="67"/>
      <c r="EZ2218" s="67"/>
      <c r="FA2218" s="67"/>
      <c r="FB2218" s="67"/>
      <c r="FC2218" s="67"/>
      <c r="FD2218" s="67"/>
      <c r="FE2218" s="67"/>
      <c r="FF2218" s="67"/>
      <c r="FG2218" s="67"/>
      <c r="FH2218" s="67"/>
      <c r="FI2218" s="67"/>
      <c r="FJ2218" s="67"/>
      <c r="FK2218" s="67"/>
      <c r="FL2218" s="67"/>
      <c r="FM2218" s="67"/>
      <c r="FN2218" s="67"/>
      <c r="FO2218" s="67"/>
      <c r="FP2218" s="67"/>
      <c r="FQ2218" s="67"/>
      <c r="FR2218" s="67"/>
      <c r="FS2218" s="67"/>
      <c r="FT2218" s="67"/>
      <c r="FU2218" s="67"/>
      <c r="FV2218" s="67"/>
      <c r="FW2218" s="67"/>
      <c r="FX2218" s="67"/>
      <c r="FY2218" s="67"/>
      <c r="FZ2218" s="67"/>
      <c r="GA2218" s="67"/>
      <c r="GB2218" s="67"/>
      <c r="GC2218" s="67"/>
      <c r="GD2218" s="67"/>
      <c r="GE2218" s="67"/>
      <c r="GF2218" s="67"/>
      <c r="GG2218" s="67"/>
      <c r="GH2218" s="67"/>
      <c r="GI2218" s="67"/>
      <c r="GJ2218" s="67"/>
      <c r="GK2218" s="67"/>
      <c r="GL2218" s="67"/>
      <c r="GM2218" s="67"/>
      <c r="GN2218" s="292"/>
      <c r="GO2218" s="292"/>
      <c r="GP2218" s="292" t="s">
        <v>7494</v>
      </c>
      <c r="GQ2218" s="67"/>
      <c r="GR2218" s="67"/>
      <c r="GS2218" s="67"/>
      <c r="GT2218" s="67"/>
      <c r="GU2218" s="67"/>
      <c r="GV2218" s="67"/>
      <c r="GW2218" s="67"/>
      <c r="GX2218" s="67"/>
      <c r="GY2218" s="67"/>
      <c r="GZ2218" s="67"/>
      <c r="HA2218" s="67"/>
      <c r="HB2218" s="67"/>
      <c r="HC2218" s="67"/>
      <c r="HD2218" s="67"/>
      <c r="HE2218" s="67"/>
      <c r="HF2218" s="67"/>
      <c r="HG2218" s="67"/>
      <c r="HH2218" s="67"/>
      <c r="HI2218" s="67"/>
      <c r="HJ2218" s="67"/>
      <c r="HK2218" s="67"/>
      <c r="HL2218" s="67"/>
      <c r="HM2218" s="67"/>
      <c r="HN2218" s="67"/>
      <c r="HO2218" s="67"/>
      <c r="HP2218" s="67"/>
      <c r="HQ2218" s="67"/>
      <c r="HR2218" s="67"/>
      <c r="HS2218" s="67"/>
      <c r="HT2218" s="67"/>
      <c r="HU2218" s="67"/>
      <c r="HV2218" s="67"/>
      <c r="HW2218" s="67"/>
      <c r="HX2218" s="67"/>
      <c r="HY2218" s="67"/>
      <c r="HZ2218" s="67"/>
      <c r="IA2218" s="67"/>
      <c r="IB2218" s="67"/>
      <c r="IC2218" s="67"/>
      <c r="ID2218" s="67"/>
      <c r="IE2218" s="67"/>
      <c r="IF2218" s="67"/>
      <c r="IG2218" s="67"/>
      <c r="IH2218" s="67"/>
      <c r="II2218" s="67"/>
      <c r="IJ2218" s="67"/>
      <c r="IK2218" s="67"/>
      <c r="IL2218" s="67"/>
      <c r="IM2218" s="67"/>
      <c r="IN2218" s="67"/>
      <c r="IO2218" s="67"/>
      <c r="IP2218" s="67"/>
      <c r="IQ2218" s="67"/>
      <c r="IR2218" s="67"/>
      <c r="IS2218" s="67"/>
      <c r="IT2218" s="67"/>
      <c r="IU2218" s="67"/>
      <c r="IV2218" s="67"/>
      <c r="IW2218" s="67"/>
      <c r="IX2218" s="67"/>
      <c r="IY2218" s="67"/>
      <c r="IZ2218" s="67"/>
      <c r="JA2218" s="67"/>
      <c r="JB2218" s="67"/>
      <c r="JC2218" s="67"/>
      <c r="JD2218" s="67"/>
      <c r="JE2218" s="67"/>
      <c r="JF2218" s="67"/>
      <c r="JG2218" s="67"/>
      <c r="JH2218" s="67"/>
      <c r="JI2218" s="67"/>
      <c r="JJ2218" s="67"/>
      <c r="JK2218" s="67"/>
      <c r="JL2218" s="67"/>
      <c r="JM2218" s="67"/>
      <c r="JN2218" s="67"/>
      <c r="JO2218" s="67"/>
      <c r="JP2218" s="67"/>
      <c r="JQ2218" s="67"/>
      <c r="JR2218" s="67"/>
      <c r="JS2218" s="67"/>
      <c r="JT2218" s="67"/>
      <c r="JU2218" s="58"/>
      <c r="JV2218" s="58"/>
      <c r="JW2218" s="58"/>
    </row>
    <row r="2219" spans="1:283" s="23" customFormat="1" x14ac:dyDescent="0.25">
      <c r="A2219" s="55">
        <v>2218</v>
      </c>
      <c r="B2219" s="12" t="s">
        <v>7067</v>
      </c>
      <c r="C2219" s="156">
        <v>104</v>
      </c>
      <c r="D2219" s="58" t="s">
        <v>4183</v>
      </c>
      <c r="E2219" s="94" t="s">
        <v>2139</v>
      </c>
      <c r="F2219" s="94"/>
      <c r="G2219" s="58"/>
      <c r="H2219" s="58">
        <v>2011</v>
      </c>
      <c r="I2219" s="58">
        <v>1998</v>
      </c>
      <c r="J2219" s="58" t="s">
        <v>1709</v>
      </c>
      <c r="K2219" s="58" t="s">
        <v>2140</v>
      </c>
      <c r="L2219" s="58" t="s">
        <v>2741</v>
      </c>
      <c r="M2219" s="94">
        <v>43.68</v>
      </c>
      <c r="N2219" s="94">
        <v>10.35</v>
      </c>
      <c r="O2219" s="94">
        <v>1.7</v>
      </c>
      <c r="P2219" s="58">
        <v>14.3</v>
      </c>
      <c r="Q2219" s="58"/>
      <c r="R2219" s="58">
        <v>900</v>
      </c>
      <c r="S2219" s="94"/>
      <c r="T2219" s="58"/>
      <c r="U2219" s="58">
        <v>6</v>
      </c>
      <c r="V2219" s="58">
        <v>15</v>
      </c>
      <c r="W2219" s="174"/>
      <c r="X2219" s="174"/>
      <c r="Y2219" s="58" t="s">
        <v>1953</v>
      </c>
      <c r="Z2219" s="58" t="s">
        <v>1375</v>
      </c>
      <c r="AA2219" s="94">
        <v>20</v>
      </c>
      <c r="AB2219" s="67"/>
      <c r="AC2219" s="67"/>
      <c r="AD2219" s="94">
        <v>1.48</v>
      </c>
      <c r="AE2219" s="94">
        <v>44.3</v>
      </c>
      <c r="AF2219" s="94">
        <v>40.200000000000003</v>
      </c>
      <c r="AG2219" s="94"/>
      <c r="AH2219" s="58" t="s">
        <v>139</v>
      </c>
      <c r="AI2219" s="169">
        <v>8.1999999999999993</v>
      </c>
      <c r="AJ2219" s="94"/>
      <c r="AK2219" s="94"/>
      <c r="AL2219" s="58"/>
      <c r="AM2219" s="58" t="s">
        <v>2141</v>
      </c>
      <c r="AN2219" s="186" t="s">
        <v>2145</v>
      </c>
      <c r="AO2219" s="185" t="s">
        <v>5150</v>
      </c>
      <c r="AP2219" s="58"/>
      <c r="AQ2219" s="58" t="s">
        <v>131</v>
      </c>
      <c r="AR2219" s="58" t="s">
        <v>2245</v>
      </c>
      <c r="AS2219" s="58" t="s">
        <v>1576</v>
      </c>
      <c r="AT2219" s="182" t="s">
        <v>2146</v>
      </c>
      <c r="AU2219" s="181" t="s">
        <v>5150</v>
      </c>
      <c r="AV2219" s="185" t="s">
        <v>479</v>
      </c>
      <c r="AW2219" s="58"/>
      <c r="AX2219" s="185" t="s">
        <v>176</v>
      </c>
      <c r="AY2219" s="58"/>
      <c r="AZ2219" s="61" t="s">
        <v>2143</v>
      </c>
      <c r="BA2219" s="58"/>
      <c r="BB2219" s="58" t="s">
        <v>2081</v>
      </c>
      <c r="BC2219" s="58" t="s">
        <v>2081</v>
      </c>
      <c r="BD2219" s="58"/>
      <c r="BE2219" s="236" t="s">
        <v>2144</v>
      </c>
      <c r="BF2219" s="58"/>
      <c r="BG2219" s="191" t="s">
        <v>479</v>
      </c>
      <c r="BH2219" s="236"/>
      <c r="BI2219" s="58"/>
      <c r="BJ2219" s="58"/>
      <c r="BK2219" s="58" t="s">
        <v>5976</v>
      </c>
      <c r="BL2219" s="58"/>
      <c r="BM2219" s="237" t="s">
        <v>160</v>
      </c>
      <c r="BN2219" s="58"/>
      <c r="BO2219" s="58"/>
      <c r="BP2219" s="58">
        <v>2</v>
      </c>
      <c r="BQ2219" s="58"/>
      <c r="BR2219" s="58"/>
      <c r="BS2219" s="58"/>
      <c r="BT2219" s="58"/>
      <c r="BU2219" s="58"/>
      <c r="BV2219" s="58"/>
      <c r="BW2219" s="67"/>
      <c r="BX2219" s="67"/>
      <c r="BY2219" s="67"/>
      <c r="BZ2219" s="67"/>
      <c r="CA2219" s="67"/>
      <c r="CB2219" s="68"/>
      <c r="CC2219" s="68"/>
      <c r="CD2219" s="68"/>
      <c r="CE2219" s="67"/>
      <c r="CF2219" s="67"/>
      <c r="CG2219" s="67"/>
      <c r="CH2219" s="94">
        <f>(1.47+1.48)/2</f>
        <v>1.4750000000000001</v>
      </c>
      <c r="CI2219" s="94">
        <f>(1.49+1.48)/2</f>
        <v>1.4849999999999999</v>
      </c>
      <c r="CJ2219" s="67"/>
      <c r="CK2219" s="67"/>
      <c r="CL2219" s="67"/>
      <c r="CM2219" s="67">
        <v>1.02</v>
      </c>
      <c r="CN2219" s="67">
        <v>1.01</v>
      </c>
      <c r="CO2219" s="67"/>
      <c r="CP2219" s="67"/>
      <c r="CQ2219" s="67" t="s">
        <v>2240</v>
      </c>
      <c r="CR2219" s="67"/>
      <c r="CS2219" s="67"/>
      <c r="CT2219" s="67"/>
      <c r="CU2219" s="67"/>
      <c r="CV2219" s="67" t="s">
        <v>3039</v>
      </c>
      <c r="CW2219" s="67"/>
      <c r="CX2219" s="67"/>
      <c r="CY2219" s="67"/>
      <c r="CZ2219" s="67"/>
      <c r="DA2219" s="67" t="s">
        <v>4458</v>
      </c>
      <c r="DB2219" s="67"/>
      <c r="DC2219" s="67"/>
      <c r="DD2219" s="67"/>
      <c r="DE2219" s="67"/>
      <c r="DF2219" s="67"/>
      <c r="DG2219" s="67"/>
      <c r="DH2219" s="67"/>
      <c r="DI2219" s="67"/>
      <c r="DJ2219" s="67"/>
      <c r="DK2219" s="67"/>
      <c r="DL2219" s="67"/>
      <c r="DM2219" s="67"/>
      <c r="DN2219" s="67"/>
      <c r="DO2219" s="67"/>
      <c r="DP2219" s="67"/>
      <c r="DQ2219" s="166"/>
      <c r="DR2219" s="166"/>
      <c r="DS2219" s="163"/>
      <c r="DT2219" s="163"/>
      <c r="DU2219" s="67"/>
      <c r="DV2219" s="67"/>
      <c r="DW2219" s="67"/>
      <c r="DX2219" s="67"/>
      <c r="DY2219" s="67"/>
      <c r="DZ2219" s="67"/>
      <c r="EA2219" s="67"/>
      <c r="EB2219" s="67"/>
      <c r="EC2219" s="67"/>
      <c r="ED2219" s="67"/>
      <c r="EE2219" s="67"/>
      <c r="EF2219" s="67"/>
      <c r="EG2219" s="67"/>
      <c r="EH2219" s="67"/>
      <c r="EI2219" s="67"/>
      <c r="EJ2219" s="67"/>
      <c r="EK2219" s="94"/>
      <c r="EL2219" s="94"/>
      <c r="EM2219" s="67"/>
      <c r="EN2219" s="67"/>
      <c r="EO2219" s="67"/>
      <c r="EP2219" s="67"/>
      <c r="EQ2219" s="67"/>
      <c r="ER2219" s="67"/>
      <c r="ES2219" s="67"/>
      <c r="ET2219" s="67"/>
      <c r="EU2219" s="67"/>
      <c r="EV2219" s="67"/>
      <c r="EW2219" s="67"/>
      <c r="EX2219" s="67"/>
      <c r="EY2219" s="67"/>
      <c r="EZ2219" s="67"/>
      <c r="FA2219" s="67"/>
      <c r="FB2219" s="67"/>
      <c r="FC2219" s="67"/>
      <c r="FD2219" s="67"/>
      <c r="FE2219" s="67"/>
      <c r="FF2219" s="67"/>
      <c r="FG2219" s="67"/>
      <c r="FH2219" s="67"/>
      <c r="FI2219" s="67"/>
      <c r="FJ2219" s="67"/>
      <c r="FK2219" s="67"/>
      <c r="FL2219" s="67"/>
      <c r="FM2219" s="67"/>
      <c r="FN2219" s="67"/>
      <c r="FO2219" s="67"/>
      <c r="FP2219" s="67"/>
      <c r="FQ2219" s="67"/>
      <c r="FR2219" s="67"/>
      <c r="FS2219" s="67"/>
      <c r="FT2219" s="67"/>
      <c r="FU2219" s="67"/>
      <c r="FV2219" s="67"/>
      <c r="FW2219" s="67"/>
      <c r="FX2219" s="67"/>
      <c r="FY2219" s="67"/>
      <c r="FZ2219" s="67"/>
      <c r="GA2219" s="67"/>
      <c r="GB2219" s="67"/>
      <c r="GC2219" s="67"/>
      <c r="GD2219" s="67"/>
      <c r="GE2219" s="67"/>
      <c r="GF2219" s="67"/>
      <c r="GG2219" s="67"/>
      <c r="GH2219" s="67"/>
      <c r="GI2219" s="67"/>
      <c r="GJ2219" s="67"/>
      <c r="GK2219" s="67"/>
      <c r="GL2219" s="67"/>
      <c r="GM2219" s="67"/>
      <c r="GN2219" s="292"/>
      <c r="GO2219" s="292"/>
      <c r="GP2219" s="292" t="s">
        <v>7494</v>
      </c>
      <c r="GQ2219" s="67"/>
      <c r="GR2219" s="67"/>
      <c r="GS2219" s="67"/>
      <c r="GT2219" s="67"/>
      <c r="GU2219" s="67"/>
      <c r="GV2219" s="67"/>
      <c r="GW2219" s="67"/>
      <c r="GX2219" s="67"/>
      <c r="GY2219" s="67"/>
      <c r="GZ2219" s="67"/>
      <c r="HA2219" s="67"/>
      <c r="HB2219" s="67"/>
      <c r="HC2219" s="67"/>
      <c r="HD2219" s="67"/>
      <c r="HE2219" s="67"/>
      <c r="HF2219" s="67"/>
      <c r="HG2219" s="67"/>
      <c r="HH2219" s="67"/>
      <c r="HI2219" s="67"/>
      <c r="HJ2219" s="67"/>
      <c r="HK2219" s="67"/>
      <c r="HL2219" s="67"/>
      <c r="HM2219" s="67"/>
      <c r="HN2219" s="67"/>
      <c r="HO2219" s="67"/>
      <c r="HP2219" s="67"/>
      <c r="HQ2219" s="67"/>
      <c r="HR2219" s="67"/>
      <c r="HS2219" s="67"/>
      <c r="HT2219" s="67"/>
      <c r="HU2219" s="67"/>
      <c r="HV2219" s="67"/>
      <c r="HW2219" s="67"/>
      <c r="HX2219" s="67"/>
      <c r="HY2219" s="67"/>
      <c r="HZ2219" s="67"/>
      <c r="IA2219" s="67"/>
      <c r="IB2219" s="67"/>
      <c r="IC2219" s="67"/>
      <c r="ID2219" s="67"/>
      <c r="IE2219" s="67"/>
      <c r="IF2219" s="67"/>
      <c r="IG2219" s="67"/>
      <c r="IH2219" s="67"/>
      <c r="II2219" s="67"/>
      <c r="IJ2219" s="67"/>
      <c r="IK2219" s="67"/>
      <c r="IL2219" s="67"/>
      <c r="IM2219" s="67"/>
      <c r="IN2219" s="67"/>
      <c r="IO2219" s="67"/>
      <c r="IP2219" s="67"/>
      <c r="IQ2219" s="67"/>
      <c r="IR2219" s="67"/>
      <c r="IS2219" s="67"/>
      <c r="IT2219" s="67"/>
      <c r="IU2219" s="67"/>
      <c r="IV2219" s="67"/>
      <c r="IW2219" s="67"/>
      <c r="IX2219" s="67"/>
      <c r="IY2219" s="67"/>
      <c r="IZ2219" s="67"/>
      <c r="JA2219" s="67"/>
      <c r="JB2219" s="67"/>
      <c r="JC2219" s="67"/>
      <c r="JD2219" s="67"/>
      <c r="JE2219" s="67"/>
      <c r="JF2219" s="67"/>
      <c r="JG2219" s="67"/>
      <c r="JH2219" s="67"/>
      <c r="JI2219" s="67"/>
      <c r="JJ2219" s="67"/>
      <c r="JK2219" s="67"/>
      <c r="JL2219" s="67"/>
      <c r="JM2219" s="67"/>
      <c r="JN2219" s="67"/>
      <c r="JO2219" s="67"/>
      <c r="JP2219" s="67"/>
      <c r="JQ2219" s="67"/>
      <c r="JR2219" s="67"/>
      <c r="JS2219" s="67"/>
      <c r="JT2219" s="67"/>
      <c r="JU2219" s="58"/>
      <c r="JV2219" s="58"/>
      <c r="JW2219" s="58"/>
    </row>
    <row r="2220" spans="1:283" s="23" customFormat="1" x14ac:dyDescent="0.25">
      <c r="A2220" s="55">
        <v>2219</v>
      </c>
      <c r="B2220" s="12" t="s">
        <v>7067</v>
      </c>
      <c r="C2220" s="156">
        <v>104</v>
      </c>
      <c r="D2220" s="58" t="s">
        <v>4184</v>
      </c>
      <c r="E2220" s="94" t="s">
        <v>2139</v>
      </c>
      <c r="F2220" s="94"/>
      <c r="G2220" s="58"/>
      <c r="H2220" s="58">
        <v>2011</v>
      </c>
      <c r="I2220" s="58">
        <v>1998</v>
      </c>
      <c r="J2220" s="58" t="s">
        <v>1709</v>
      </c>
      <c r="K2220" s="58" t="s">
        <v>2140</v>
      </c>
      <c r="L2220" s="58" t="s">
        <v>2741</v>
      </c>
      <c r="M2220" s="94">
        <v>43.68</v>
      </c>
      <c r="N2220" s="94">
        <v>10.35</v>
      </c>
      <c r="O2220" s="94">
        <v>1.7</v>
      </c>
      <c r="P2220" s="58">
        <v>14.3</v>
      </c>
      <c r="Q2220" s="58"/>
      <c r="R2220" s="58">
        <v>900</v>
      </c>
      <c r="S2220" s="94"/>
      <c r="T2220" s="58"/>
      <c r="U2220" s="58">
        <v>6</v>
      </c>
      <c r="V2220" s="58">
        <v>15</v>
      </c>
      <c r="W2220" s="174"/>
      <c r="X2220" s="174"/>
      <c r="Y2220" s="58" t="s">
        <v>1953</v>
      </c>
      <c r="Z2220" s="58" t="s">
        <v>1375</v>
      </c>
      <c r="AA2220" s="94">
        <v>20</v>
      </c>
      <c r="AB2220" s="67"/>
      <c r="AC2220" s="67"/>
      <c r="AD2220" s="94">
        <v>1.48</v>
      </c>
      <c r="AE2220" s="94">
        <v>44.3</v>
      </c>
      <c r="AF2220" s="94">
        <v>40.200000000000003</v>
      </c>
      <c r="AG2220" s="94"/>
      <c r="AH2220" s="58" t="s">
        <v>139</v>
      </c>
      <c r="AI2220" s="169">
        <v>8.1999999999999993</v>
      </c>
      <c r="AJ2220" s="94"/>
      <c r="AK2220" s="94"/>
      <c r="AL2220" s="58"/>
      <c r="AM2220" s="58" t="s">
        <v>2141</v>
      </c>
      <c r="AN2220" s="186" t="s">
        <v>2000</v>
      </c>
      <c r="AO2220" s="185" t="s">
        <v>5150</v>
      </c>
      <c r="AP2220" s="58"/>
      <c r="AQ2220" s="58" t="s">
        <v>553</v>
      </c>
      <c r="AR2220" s="58" t="s">
        <v>2142</v>
      </c>
      <c r="AS2220" s="58" t="s">
        <v>132</v>
      </c>
      <c r="AT2220" s="182" t="s">
        <v>2142</v>
      </c>
      <c r="AU2220" s="181" t="s">
        <v>5150</v>
      </c>
      <c r="AV2220" s="185" t="s">
        <v>176</v>
      </c>
      <c r="AW2220" s="58"/>
      <c r="AX2220" s="185" t="s">
        <v>176</v>
      </c>
      <c r="AY2220" s="58"/>
      <c r="AZ2220" s="61" t="s">
        <v>2143</v>
      </c>
      <c r="BA2220" s="58"/>
      <c r="BB2220" s="58" t="s">
        <v>2081</v>
      </c>
      <c r="BC2220" s="58" t="s">
        <v>2081</v>
      </c>
      <c r="BD2220" s="58"/>
      <c r="BE2220" s="236" t="s">
        <v>2144</v>
      </c>
      <c r="BF2220" s="58"/>
      <c r="BG2220" s="191" t="s">
        <v>479</v>
      </c>
      <c r="BH2220" s="236"/>
      <c r="BI2220" s="58"/>
      <c r="BJ2220" s="58"/>
      <c r="BK2220" s="58" t="s">
        <v>5976</v>
      </c>
      <c r="BL2220" s="58"/>
      <c r="BM2220" s="237" t="s">
        <v>160</v>
      </c>
      <c r="BN2220" s="58"/>
      <c r="BO2220" s="58"/>
      <c r="BP2220" s="58">
        <v>2</v>
      </c>
      <c r="BQ2220" s="58"/>
      <c r="BR2220" s="58"/>
      <c r="BS2220" s="58"/>
      <c r="BT2220" s="58"/>
      <c r="BU2220" s="58"/>
      <c r="BV2220" s="58"/>
      <c r="BW2220" s="67"/>
      <c r="BX2220" s="67"/>
      <c r="BY2220" s="67"/>
      <c r="BZ2220" s="67"/>
      <c r="CA2220" s="67"/>
      <c r="CB2220" s="68"/>
      <c r="CC2220" s="68"/>
      <c r="CD2220" s="68"/>
      <c r="CE2220" s="67"/>
      <c r="CF2220" s="67"/>
      <c r="CG2220" s="67"/>
      <c r="CH2220" s="94">
        <f>(1.47+1.48)/2</f>
        <v>1.4750000000000001</v>
      </c>
      <c r="CI2220" s="94">
        <f>(1.47+1.5)/2</f>
        <v>1.4849999999999999</v>
      </c>
      <c r="CJ2220" s="67"/>
      <c r="CK2220" s="67"/>
      <c r="CL2220" s="67"/>
      <c r="CM2220" s="67">
        <v>1.02</v>
      </c>
      <c r="CN2220" s="67">
        <v>1.01</v>
      </c>
      <c r="CO2220" s="67"/>
      <c r="CP2220" s="67"/>
      <c r="CQ2220" s="67" t="s">
        <v>2240</v>
      </c>
      <c r="CR2220" s="67"/>
      <c r="CS2220" s="67"/>
      <c r="CT2220" s="67"/>
      <c r="CU2220" s="67"/>
      <c r="CV2220" s="67" t="s">
        <v>3039</v>
      </c>
      <c r="CW2220" s="67"/>
      <c r="CX2220" s="67"/>
      <c r="CY2220" s="67"/>
      <c r="CZ2220" s="67"/>
      <c r="DA2220" s="67" t="s">
        <v>4458</v>
      </c>
      <c r="DB2220" s="67"/>
      <c r="DC2220" s="67"/>
      <c r="DD2220" s="67"/>
      <c r="DE2220" s="67"/>
      <c r="DF2220" s="67"/>
      <c r="DG2220" s="67"/>
      <c r="DH2220" s="67"/>
      <c r="DI2220" s="67"/>
      <c r="DJ2220" s="67"/>
      <c r="DK2220" s="67"/>
      <c r="DL2220" s="67"/>
      <c r="DM2220" s="67"/>
      <c r="DN2220" s="67"/>
      <c r="DO2220" s="67"/>
      <c r="DP2220" s="67"/>
      <c r="DQ2220" s="166"/>
      <c r="DR2220" s="166"/>
      <c r="DS2220" s="163"/>
      <c r="DT2220" s="163"/>
      <c r="DU2220" s="67"/>
      <c r="DV2220" s="67"/>
      <c r="DW2220" s="67"/>
      <c r="DX2220" s="67"/>
      <c r="DY2220" s="67"/>
      <c r="DZ2220" s="67"/>
      <c r="EA2220" s="67"/>
      <c r="EB2220" s="67"/>
      <c r="EC2220" s="67"/>
      <c r="ED2220" s="67"/>
      <c r="EE2220" s="67"/>
      <c r="EF2220" s="67"/>
      <c r="EG2220" s="67"/>
      <c r="EH2220" s="67"/>
      <c r="EI2220" s="67"/>
      <c r="EJ2220" s="67"/>
      <c r="EK2220" s="94"/>
      <c r="EL2220" s="94"/>
      <c r="EM2220" s="67"/>
      <c r="EN2220" s="67"/>
      <c r="EO2220" s="67"/>
      <c r="EP2220" s="67"/>
      <c r="EQ2220" s="67"/>
      <c r="ER2220" s="67"/>
      <c r="ES2220" s="67"/>
      <c r="ET2220" s="67"/>
      <c r="EU2220" s="67"/>
      <c r="EV2220" s="67"/>
      <c r="EW2220" s="67"/>
      <c r="EX2220" s="67"/>
      <c r="EY2220" s="67"/>
      <c r="EZ2220" s="67"/>
      <c r="FA2220" s="67"/>
      <c r="FB2220" s="67"/>
      <c r="FC2220" s="67"/>
      <c r="FD2220" s="67"/>
      <c r="FE2220" s="67"/>
      <c r="FF2220" s="67"/>
      <c r="FG2220" s="67"/>
      <c r="FH2220" s="67"/>
      <c r="FI2220" s="67"/>
      <c r="FJ2220" s="67"/>
      <c r="FK2220" s="67"/>
      <c r="FL2220" s="67"/>
      <c r="FM2220" s="67"/>
      <c r="FN2220" s="67"/>
      <c r="FO2220" s="67"/>
      <c r="FP2220" s="67"/>
      <c r="FQ2220" s="67"/>
      <c r="FR2220" s="67"/>
      <c r="FS2220" s="67"/>
      <c r="FT2220" s="67"/>
      <c r="FU2220" s="67"/>
      <c r="FV2220" s="67"/>
      <c r="FW2220" s="67"/>
      <c r="FX2220" s="67"/>
      <c r="FY2220" s="67"/>
      <c r="FZ2220" s="67"/>
      <c r="GA2220" s="67"/>
      <c r="GB2220" s="67"/>
      <c r="GC2220" s="67"/>
      <c r="GD2220" s="67"/>
      <c r="GE2220" s="67"/>
      <c r="GF2220" s="67"/>
      <c r="GG2220" s="67"/>
      <c r="GH2220" s="67"/>
      <c r="GI2220" s="67"/>
      <c r="GJ2220" s="67"/>
      <c r="GK2220" s="67"/>
      <c r="GL2220" s="67"/>
      <c r="GM2220" s="67"/>
      <c r="GN2220" s="292"/>
      <c r="GO2220" s="292"/>
      <c r="GP2220" s="292" t="s">
        <v>7494</v>
      </c>
      <c r="GQ2220" s="67"/>
      <c r="GR2220" s="67"/>
      <c r="GS2220" s="67"/>
      <c r="GT2220" s="67"/>
      <c r="GU2220" s="67"/>
      <c r="GV2220" s="67"/>
      <c r="GW2220" s="67"/>
      <c r="GX2220" s="67"/>
      <c r="GY2220" s="67"/>
      <c r="GZ2220" s="67"/>
      <c r="HA2220" s="67"/>
      <c r="HB2220" s="67"/>
      <c r="HC2220" s="67"/>
      <c r="HD2220" s="67"/>
      <c r="HE2220" s="67"/>
      <c r="HF2220" s="67"/>
      <c r="HG2220" s="67"/>
      <c r="HH2220" s="67"/>
      <c r="HI2220" s="67"/>
      <c r="HJ2220" s="67"/>
      <c r="HK2220" s="67"/>
      <c r="HL2220" s="67"/>
      <c r="HM2220" s="67"/>
      <c r="HN2220" s="67"/>
      <c r="HO2220" s="67"/>
      <c r="HP2220" s="67"/>
      <c r="HQ2220" s="67"/>
      <c r="HR2220" s="67"/>
      <c r="HS2220" s="67"/>
      <c r="HT2220" s="67"/>
      <c r="HU2220" s="67"/>
      <c r="HV2220" s="67"/>
      <c r="HW2220" s="67"/>
      <c r="HX2220" s="67"/>
      <c r="HY2220" s="67"/>
      <c r="HZ2220" s="67"/>
      <c r="IA2220" s="67"/>
      <c r="IB2220" s="67"/>
      <c r="IC2220" s="67"/>
      <c r="ID2220" s="67"/>
      <c r="IE2220" s="67"/>
      <c r="IF2220" s="67"/>
      <c r="IG2220" s="67"/>
      <c r="IH2220" s="67"/>
      <c r="II2220" s="67"/>
      <c r="IJ2220" s="67"/>
      <c r="IK2220" s="67"/>
      <c r="IL2220" s="67"/>
      <c r="IM2220" s="67"/>
      <c r="IN2220" s="67"/>
      <c r="IO2220" s="67"/>
      <c r="IP2220" s="67"/>
      <c r="IQ2220" s="67"/>
      <c r="IR2220" s="67"/>
      <c r="IS2220" s="67"/>
      <c r="IT2220" s="67"/>
      <c r="IU2220" s="67"/>
      <c r="IV2220" s="67"/>
      <c r="IW2220" s="67"/>
      <c r="IX2220" s="67"/>
      <c r="IY2220" s="67"/>
      <c r="IZ2220" s="67"/>
      <c r="JA2220" s="67"/>
      <c r="JB2220" s="67"/>
      <c r="JC2220" s="67"/>
      <c r="JD2220" s="67"/>
      <c r="JE2220" s="67"/>
      <c r="JF2220" s="67"/>
      <c r="JG2220" s="67"/>
      <c r="JH2220" s="67"/>
      <c r="JI2220" s="67"/>
      <c r="JJ2220" s="67"/>
      <c r="JK2220" s="67"/>
      <c r="JL2220" s="67"/>
      <c r="JM2220" s="67"/>
      <c r="JN2220" s="67"/>
      <c r="JO2220" s="67"/>
      <c r="JP2220" s="67"/>
      <c r="JQ2220" s="67"/>
      <c r="JR2220" s="67"/>
      <c r="JS2220" s="67"/>
      <c r="JT2220" s="67"/>
      <c r="JU2220" s="58"/>
      <c r="JV2220" s="58"/>
      <c r="JW2220" s="58"/>
    </row>
    <row r="2221" spans="1:283" s="23" customFormat="1" x14ac:dyDescent="0.25">
      <c r="A2221" s="55">
        <v>2220</v>
      </c>
      <c r="B2221" s="12" t="s">
        <v>7067</v>
      </c>
      <c r="C2221" s="156">
        <v>104</v>
      </c>
      <c r="D2221" s="58" t="s">
        <v>4184</v>
      </c>
      <c r="E2221" s="94" t="s">
        <v>2139</v>
      </c>
      <c r="F2221" s="94"/>
      <c r="G2221" s="58"/>
      <c r="H2221" s="58">
        <v>2011</v>
      </c>
      <c r="I2221" s="58">
        <v>1998</v>
      </c>
      <c r="J2221" s="58" t="s">
        <v>1709</v>
      </c>
      <c r="K2221" s="58" t="s">
        <v>2140</v>
      </c>
      <c r="L2221" s="58" t="s">
        <v>2741</v>
      </c>
      <c r="M2221" s="94">
        <v>43.68</v>
      </c>
      <c r="N2221" s="94">
        <v>10.35</v>
      </c>
      <c r="O2221" s="94">
        <v>1.7</v>
      </c>
      <c r="P2221" s="58">
        <v>14.3</v>
      </c>
      <c r="Q2221" s="58"/>
      <c r="R2221" s="58">
        <v>900</v>
      </c>
      <c r="S2221" s="94"/>
      <c r="T2221" s="58"/>
      <c r="U2221" s="58">
        <v>6</v>
      </c>
      <c r="V2221" s="58">
        <v>15</v>
      </c>
      <c r="W2221" s="174"/>
      <c r="X2221" s="174"/>
      <c r="Y2221" s="58" t="s">
        <v>1953</v>
      </c>
      <c r="Z2221" s="58" t="s">
        <v>1375</v>
      </c>
      <c r="AA2221" s="94">
        <v>20</v>
      </c>
      <c r="AB2221" s="67"/>
      <c r="AC2221" s="67"/>
      <c r="AD2221" s="94">
        <v>1.48</v>
      </c>
      <c r="AE2221" s="94">
        <v>44.3</v>
      </c>
      <c r="AF2221" s="94">
        <v>40.200000000000003</v>
      </c>
      <c r="AG2221" s="94"/>
      <c r="AH2221" s="58" t="s">
        <v>139</v>
      </c>
      <c r="AI2221" s="169">
        <v>8.1999999999999993</v>
      </c>
      <c r="AJ2221" s="94"/>
      <c r="AK2221" s="94"/>
      <c r="AL2221" s="58"/>
      <c r="AM2221" s="58" t="s">
        <v>2141</v>
      </c>
      <c r="AN2221" s="186" t="s">
        <v>2000</v>
      </c>
      <c r="AO2221" s="185" t="s">
        <v>5150</v>
      </c>
      <c r="AP2221" s="58"/>
      <c r="AQ2221" s="58" t="s">
        <v>553</v>
      </c>
      <c r="AR2221" s="58" t="s">
        <v>2142</v>
      </c>
      <c r="AS2221" s="58" t="s">
        <v>132</v>
      </c>
      <c r="AT2221" s="182" t="s">
        <v>2142</v>
      </c>
      <c r="AU2221" s="181" t="s">
        <v>5150</v>
      </c>
      <c r="AV2221" s="185" t="s">
        <v>176</v>
      </c>
      <c r="AW2221" s="58"/>
      <c r="AX2221" s="185" t="s">
        <v>176</v>
      </c>
      <c r="AY2221" s="58"/>
      <c r="AZ2221" s="61" t="s">
        <v>2143</v>
      </c>
      <c r="BA2221" s="58"/>
      <c r="BB2221" s="58" t="s">
        <v>2081</v>
      </c>
      <c r="BC2221" s="58" t="s">
        <v>2081</v>
      </c>
      <c r="BD2221" s="58"/>
      <c r="BE2221" s="236" t="s">
        <v>2144</v>
      </c>
      <c r="BF2221" s="58"/>
      <c r="BG2221" s="191" t="s">
        <v>479</v>
      </c>
      <c r="BH2221" s="236"/>
      <c r="BI2221" s="58"/>
      <c r="BJ2221" s="58"/>
      <c r="BK2221" s="58" t="s">
        <v>5976</v>
      </c>
      <c r="BL2221" s="58"/>
      <c r="BM2221" s="237" t="s">
        <v>160</v>
      </c>
      <c r="BN2221" s="58"/>
      <c r="BO2221" s="58"/>
      <c r="BP2221" s="58">
        <v>2</v>
      </c>
      <c r="BQ2221" s="58"/>
      <c r="BR2221" s="58"/>
      <c r="BS2221" s="58"/>
      <c r="BT2221" s="58"/>
      <c r="BU2221" s="58"/>
      <c r="BV2221" s="58"/>
      <c r="BW2221" s="67"/>
      <c r="BX2221" s="67"/>
      <c r="BY2221" s="67"/>
      <c r="BZ2221" s="67"/>
      <c r="CA2221" s="67"/>
      <c r="CB2221" s="68"/>
      <c r="CC2221" s="68"/>
      <c r="CD2221" s="68"/>
      <c r="CE2221" s="67"/>
      <c r="CF2221" s="67"/>
      <c r="CG2221" s="67"/>
      <c r="CH2221" s="94">
        <f>(1.47+1.48)/2</f>
        <v>1.4750000000000001</v>
      </c>
      <c r="CI2221" s="94">
        <f>(1.46+1.5)/2</f>
        <v>1.48</v>
      </c>
      <c r="CJ2221" s="67"/>
      <c r="CK2221" s="67"/>
      <c r="CL2221" s="67"/>
      <c r="CM2221" s="67">
        <v>1.02</v>
      </c>
      <c r="CN2221" s="67">
        <v>1.02</v>
      </c>
      <c r="CO2221" s="67"/>
      <c r="CP2221" s="67"/>
      <c r="CQ2221" s="67" t="s">
        <v>2240</v>
      </c>
      <c r="CR2221" s="67"/>
      <c r="CS2221" s="67"/>
      <c r="CT2221" s="67"/>
      <c r="CU2221" s="67"/>
      <c r="CV2221" s="67" t="s">
        <v>3039</v>
      </c>
      <c r="CW2221" s="67"/>
      <c r="CX2221" s="67"/>
      <c r="CY2221" s="67"/>
      <c r="CZ2221" s="67"/>
      <c r="DA2221" s="67" t="s">
        <v>4458</v>
      </c>
      <c r="DB2221" s="67"/>
      <c r="DC2221" s="67"/>
      <c r="DD2221" s="67"/>
      <c r="DE2221" s="67"/>
      <c r="DF2221" s="67"/>
      <c r="DG2221" s="67"/>
      <c r="DH2221" s="67"/>
      <c r="DI2221" s="67"/>
      <c r="DJ2221" s="67"/>
      <c r="DK2221" s="67"/>
      <c r="DL2221" s="67"/>
      <c r="DM2221" s="67"/>
      <c r="DN2221" s="67"/>
      <c r="DO2221" s="67"/>
      <c r="DP2221" s="67"/>
      <c r="DQ2221" s="166"/>
      <c r="DR2221" s="166"/>
      <c r="DS2221" s="163"/>
      <c r="DT2221" s="163"/>
      <c r="DU2221" s="67"/>
      <c r="DV2221" s="67"/>
      <c r="DW2221" s="67"/>
      <c r="DX2221" s="67"/>
      <c r="DY2221" s="67"/>
      <c r="DZ2221" s="67"/>
      <c r="EA2221" s="67"/>
      <c r="EB2221" s="67"/>
      <c r="EC2221" s="67"/>
      <c r="ED2221" s="67"/>
      <c r="EE2221" s="67"/>
      <c r="EF2221" s="67"/>
      <c r="EG2221" s="67"/>
      <c r="EH2221" s="67"/>
      <c r="EI2221" s="67"/>
      <c r="EJ2221" s="67"/>
      <c r="EK2221" s="94"/>
      <c r="EL2221" s="94"/>
      <c r="EM2221" s="67"/>
      <c r="EN2221" s="67"/>
      <c r="EO2221" s="67"/>
      <c r="EP2221" s="67"/>
      <c r="EQ2221" s="67"/>
      <c r="ER2221" s="67"/>
      <c r="ES2221" s="67"/>
      <c r="ET2221" s="67"/>
      <c r="EU2221" s="67"/>
      <c r="EV2221" s="67"/>
      <c r="EW2221" s="67"/>
      <c r="EX2221" s="67"/>
      <c r="EY2221" s="67"/>
      <c r="EZ2221" s="67"/>
      <c r="FA2221" s="67"/>
      <c r="FB2221" s="67"/>
      <c r="FC2221" s="67"/>
      <c r="FD2221" s="67"/>
      <c r="FE2221" s="67"/>
      <c r="FF2221" s="67"/>
      <c r="FG2221" s="67"/>
      <c r="FH2221" s="67"/>
      <c r="FI2221" s="67"/>
      <c r="FJ2221" s="67"/>
      <c r="FK2221" s="67"/>
      <c r="FL2221" s="67"/>
      <c r="FM2221" s="67"/>
      <c r="FN2221" s="67"/>
      <c r="FO2221" s="67"/>
      <c r="FP2221" s="67"/>
      <c r="FQ2221" s="67"/>
      <c r="FR2221" s="67"/>
      <c r="FS2221" s="67"/>
      <c r="FT2221" s="67"/>
      <c r="FU2221" s="67"/>
      <c r="FV2221" s="67"/>
      <c r="FW2221" s="67"/>
      <c r="FX2221" s="67"/>
      <c r="FY2221" s="67"/>
      <c r="FZ2221" s="67"/>
      <c r="GA2221" s="67"/>
      <c r="GB2221" s="67"/>
      <c r="GC2221" s="67"/>
      <c r="GD2221" s="67"/>
      <c r="GE2221" s="67"/>
      <c r="GF2221" s="67"/>
      <c r="GG2221" s="67"/>
      <c r="GH2221" s="67"/>
      <c r="GI2221" s="67"/>
      <c r="GJ2221" s="67"/>
      <c r="GK2221" s="67"/>
      <c r="GL2221" s="67"/>
      <c r="GM2221" s="67"/>
      <c r="GN2221" s="292"/>
      <c r="GO2221" s="292"/>
      <c r="GP2221" s="292" t="s">
        <v>7494</v>
      </c>
      <c r="GQ2221" s="67"/>
      <c r="GR2221" s="67"/>
      <c r="GS2221" s="67"/>
      <c r="GT2221" s="67"/>
      <c r="GU2221" s="67"/>
      <c r="GV2221" s="67"/>
      <c r="GW2221" s="67"/>
      <c r="GX2221" s="67"/>
      <c r="GY2221" s="67"/>
      <c r="GZ2221" s="67"/>
      <c r="HA2221" s="67"/>
      <c r="HB2221" s="67"/>
      <c r="HC2221" s="67"/>
      <c r="HD2221" s="67"/>
      <c r="HE2221" s="67"/>
      <c r="HF2221" s="67"/>
      <c r="HG2221" s="67"/>
      <c r="HH2221" s="67"/>
      <c r="HI2221" s="67"/>
      <c r="HJ2221" s="67"/>
      <c r="HK2221" s="67"/>
      <c r="HL2221" s="67"/>
      <c r="HM2221" s="67"/>
      <c r="HN2221" s="67"/>
      <c r="HO2221" s="67"/>
      <c r="HP2221" s="67"/>
      <c r="HQ2221" s="67"/>
      <c r="HR2221" s="67"/>
      <c r="HS2221" s="67"/>
      <c r="HT2221" s="67"/>
      <c r="HU2221" s="67"/>
      <c r="HV2221" s="67"/>
      <c r="HW2221" s="67"/>
      <c r="HX2221" s="67"/>
      <c r="HY2221" s="67"/>
      <c r="HZ2221" s="67"/>
      <c r="IA2221" s="67"/>
      <c r="IB2221" s="67"/>
      <c r="IC2221" s="67"/>
      <c r="ID2221" s="67"/>
      <c r="IE2221" s="67"/>
      <c r="IF2221" s="67"/>
      <c r="IG2221" s="67"/>
      <c r="IH2221" s="67"/>
      <c r="II2221" s="67"/>
      <c r="IJ2221" s="67"/>
      <c r="IK2221" s="67"/>
      <c r="IL2221" s="67"/>
      <c r="IM2221" s="67"/>
      <c r="IN2221" s="67"/>
      <c r="IO2221" s="67"/>
      <c r="IP2221" s="67"/>
      <c r="IQ2221" s="67"/>
      <c r="IR2221" s="67"/>
      <c r="IS2221" s="67"/>
      <c r="IT2221" s="67"/>
      <c r="IU2221" s="67"/>
      <c r="IV2221" s="67"/>
      <c r="IW2221" s="67"/>
      <c r="IX2221" s="67"/>
      <c r="IY2221" s="67"/>
      <c r="IZ2221" s="67"/>
      <c r="JA2221" s="67"/>
      <c r="JB2221" s="67"/>
      <c r="JC2221" s="67"/>
      <c r="JD2221" s="67"/>
      <c r="JE2221" s="67"/>
      <c r="JF2221" s="67"/>
      <c r="JG2221" s="67"/>
      <c r="JH2221" s="67"/>
      <c r="JI2221" s="67"/>
      <c r="JJ2221" s="67"/>
      <c r="JK2221" s="67"/>
      <c r="JL2221" s="67"/>
      <c r="JM2221" s="67"/>
      <c r="JN2221" s="67"/>
      <c r="JO2221" s="67"/>
      <c r="JP2221" s="67"/>
      <c r="JQ2221" s="67"/>
      <c r="JR2221" s="67"/>
      <c r="JS2221" s="67"/>
      <c r="JT2221" s="67"/>
      <c r="JU2221" s="58"/>
      <c r="JV2221" s="58"/>
      <c r="JW2221" s="58"/>
    </row>
    <row r="2222" spans="1:283" s="23" customFormat="1" x14ac:dyDescent="0.25">
      <c r="A2222" s="55">
        <v>2221</v>
      </c>
      <c r="B2222" s="12" t="s">
        <v>7067</v>
      </c>
      <c r="C2222" s="156">
        <v>104</v>
      </c>
      <c r="D2222" s="58" t="s">
        <v>4185</v>
      </c>
      <c r="E2222" s="94" t="s">
        <v>2139</v>
      </c>
      <c r="F2222" s="94"/>
      <c r="G2222" s="58"/>
      <c r="H2222" s="58">
        <v>2011</v>
      </c>
      <c r="I2222" s="58">
        <v>2008</v>
      </c>
      <c r="J2222" s="58" t="s">
        <v>1709</v>
      </c>
      <c r="K2222" s="58" t="s">
        <v>2140</v>
      </c>
      <c r="L2222" s="58" t="s">
        <v>2741</v>
      </c>
      <c r="M2222" s="94">
        <v>43.68</v>
      </c>
      <c r="N2222" s="94">
        <v>10.35</v>
      </c>
      <c r="O2222" s="94">
        <v>1.7</v>
      </c>
      <c r="P2222" s="58">
        <v>14.3</v>
      </c>
      <c r="Q2222" s="58"/>
      <c r="R2222" s="58">
        <v>900</v>
      </c>
      <c r="S2222" s="94"/>
      <c r="T2222" s="58"/>
      <c r="U2222" s="58">
        <v>15</v>
      </c>
      <c r="V2222" s="58">
        <v>15</v>
      </c>
      <c r="W2222" s="174"/>
      <c r="X2222" s="174"/>
      <c r="Y2222" s="58" t="s">
        <v>1953</v>
      </c>
      <c r="Z2222" s="58" t="s">
        <v>1375</v>
      </c>
      <c r="AA2222" s="94">
        <v>20</v>
      </c>
      <c r="AB2222" s="67"/>
      <c r="AC2222" s="67"/>
      <c r="AD2222" s="94">
        <v>1.48</v>
      </c>
      <c r="AE2222" s="94">
        <v>44.3</v>
      </c>
      <c r="AF2222" s="94">
        <v>40.200000000000003</v>
      </c>
      <c r="AG2222" s="94"/>
      <c r="AH2222" s="58" t="s">
        <v>139</v>
      </c>
      <c r="AI2222" s="169">
        <v>8.1999999999999993</v>
      </c>
      <c r="AJ2222" s="94"/>
      <c r="AK2222" s="94"/>
      <c r="AL2222" s="58"/>
      <c r="AM2222" s="58" t="s">
        <v>2141</v>
      </c>
      <c r="AN2222" s="186" t="s">
        <v>2000</v>
      </c>
      <c r="AO2222" s="185" t="s">
        <v>5150</v>
      </c>
      <c r="AP2222" s="58"/>
      <c r="AQ2222" s="58" t="s">
        <v>553</v>
      </c>
      <c r="AR2222" s="58" t="s">
        <v>2146</v>
      </c>
      <c r="AS2222" s="58" t="s">
        <v>1576</v>
      </c>
      <c r="AT2222" s="182" t="s">
        <v>2146</v>
      </c>
      <c r="AU2222" s="181" t="s">
        <v>5150</v>
      </c>
      <c r="AV2222" s="185" t="s">
        <v>479</v>
      </c>
      <c r="AW2222" s="58"/>
      <c r="AX2222" s="185" t="s">
        <v>176</v>
      </c>
      <c r="AY2222" s="58"/>
      <c r="AZ2222" s="61" t="s">
        <v>2143</v>
      </c>
      <c r="BA2222" s="58"/>
      <c r="BB2222" s="58" t="s">
        <v>2081</v>
      </c>
      <c r="BC2222" s="58" t="s">
        <v>2081</v>
      </c>
      <c r="BD2222" s="58"/>
      <c r="BE2222" s="236" t="s">
        <v>2144</v>
      </c>
      <c r="BF2222" s="58"/>
      <c r="BG2222" s="191" t="s">
        <v>479</v>
      </c>
      <c r="BH2222" s="236"/>
      <c r="BI2222" s="58"/>
      <c r="BJ2222" s="58"/>
      <c r="BK2222" s="58" t="s">
        <v>5976</v>
      </c>
      <c r="BL2222" s="58"/>
      <c r="BM2222" s="237" t="s">
        <v>160</v>
      </c>
      <c r="BN2222" s="58"/>
      <c r="BO2222" s="58"/>
      <c r="BP2222" s="58">
        <v>2</v>
      </c>
      <c r="BQ2222" s="58"/>
      <c r="BR2222" s="58"/>
      <c r="BS2222" s="58"/>
      <c r="BT2222" s="58"/>
      <c r="BU2222" s="58"/>
      <c r="BV2222" s="58"/>
      <c r="BW2222" s="67"/>
      <c r="BX2222" s="67"/>
      <c r="BY2222" s="67"/>
      <c r="BZ2222" s="67"/>
      <c r="CA2222" s="67"/>
      <c r="CB2222" s="68"/>
      <c r="CC2222" s="68"/>
      <c r="CD2222" s="68"/>
      <c r="CE2222" s="67"/>
      <c r="CF2222" s="67"/>
      <c r="CG2222" s="67"/>
      <c r="CH2222" s="94">
        <f>(1.47+1.48)/2</f>
        <v>1.4750000000000001</v>
      </c>
      <c r="CI2222" s="94">
        <f>(1.49+1.48)/2</f>
        <v>1.4849999999999999</v>
      </c>
      <c r="CJ2222" s="67"/>
      <c r="CK2222" s="67"/>
      <c r="CL2222" s="67"/>
      <c r="CM2222" s="67">
        <v>0.99</v>
      </c>
      <c r="CN2222" s="67">
        <v>1.02</v>
      </c>
      <c r="CO2222" s="67"/>
      <c r="CP2222" s="67"/>
      <c r="CQ2222" s="67" t="s">
        <v>2240</v>
      </c>
      <c r="CR2222" s="67"/>
      <c r="CS2222" s="67"/>
      <c r="CT2222" s="67"/>
      <c r="CU2222" s="67"/>
      <c r="CV2222" s="67" t="s">
        <v>3039</v>
      </c>
      <c r="CW2222" s="67"/>
      <c r="CX2222" s="67"/>
      <c r="CY2222" s="67"/>
      <c r="CZ2222" s="67"/>
      <c r="DA2222" s="67" t="s">
        <v>4458</v>
      </c>
      <c r="DB2222" s="67"/>
      <c r="DC2222" s="67"/>
      <c r="DD2222" s="67"/>
      <c r="DE2222" s="67"/>
      <c r="DF2222" s="67"/>
      <c r="DG2222" s="67"/>
      <c r="DH2222" s="67"/>
      <c r="DI2222" s="67"/>
      <c r="DJ2222" s="67"/>
      <c r="DK2222" s="67"/>
      <c r="DL2222" s="67"/>
      <c r="DM2222" s="67"/>
      <c r="DN2222" s="67"/>
      <c r="DO2222" s="67"/>
      <c r="DP2222" s="67"/>
      <c r="DQ2222" s="166"/>
      <c r="DR2222" s="166"/>
      <c r="DS2222" s="163"/>
      <c r="DT2222" s="163"/>
      <c r="DU2222" s="67"/>
      <c r="DV2222" s="67"/>
      <c r="DW2222" s="67"/>
      <c r="DX2222" s="67"/>
      <c r="DY2222" s="67"/>
      <c r="DZ2222" s="67"/>
      <c r="EA2222" s="67"/>
      <c r="EB2222" s="67"/>
      <c r="EC2222" s="67"/>
      <c r="ED2222" s="67"/>
      <c r="EE2222" s="67"/>
      <c r="EF2222" s="67"/>
      <c r="EG2222" s="67"/>
      <c r="EH2222" s="67"/>
      <c r="EI2222" s="67"/>
      <c r="EJ2222" s="67"/>
      <c r="EK2222" s="94"/>
      <c r="EL2222" s="94"/>
      <c r="EM2222" s="67"/>
      <c r="EN2222" s="67"/>
      <c r="EO2222" s="67"/>
      <c r="EP2222" s="67"/>
      <c r="EQ2222" s="67"/>
      <c r="ER2222" s="67"/>
      <c r="ES2222" s="67"/>
      <c r="ET2222" s="67"/>
      <c r="EU2222" s="67"/>
      <c r="EV2222" s="67"/>
      <c r="EW2222" s="67"/>
      <c r="EX2222" s="67"/>
      <c r="EY2222" s="67"/>
      <c r="EZ2222" s="67"/>
      <c r="FA2222" s="67"/>
      <c r="FB2222" s="67"/>
      <c r="FC2222" s="67"/>
      <c r="FD2222" s="67"/>
      <c r="FE2222" s="67"/>
      <c r="FF2222" s="67"/>
      <c r="FG2222" s="67"/>
      <c r="FH2222" s="67"/>
      <c r="FI2222" s="67"/>
      <c r="FJ2222" s="67"/>
      <c r="FK2222" s="67"/>
      <c r="FL2222" s="67"/>
      <c r="FM2222" s="67"/>
      <c r="FN2222" s="67"/>
      <c r="FO2222" s="67"/>
      <c r="FP2222" s="67"/>
      <c r="FQ2222" s="67"/>
      <c r="FR2222" s="67"/>
      <c r="FS2222" s="67"/>
      <c r="FT2222" s="67"/>
      <c r="FU2222" s="67"/>
      <c r="FV2222" s="67"/>
      <c r="FW2222" s="67"/>
      <c r="FX2222" s="67"/>
      <c r="FY2222" s="67"/>
      <c r="FZ2222" s="67"/>
      <c r="GA2222" s="67"/>
      <c r="GB2222" s="67"/>
      <c r="GC2222" s="67"/>
      <c r="GD2222" s="67"/>
      <c r="GE2222" s="67"/>
      <c r="GF2222" s="67"/>
      <c r="GG2222" s="67"/>
      <c r="GH2222" s="67"/>
      <c r="GI2222" s="67"/>
      <c r="GJ2222" s="67"/>
      <c r="GK2222" s="67"/>
      <c r="GL2222" s="67"/>
      <c r="GM2222" s="67"/>
      <c r="GN2222" s="292"/>
      <c r="GO2222" s="292"/>
      <c r="GP2222" s="292" t="s">
        <v>7494</v>
      </c>
      <c r="GQ2222" s="67"/>
      <c r="GR2222" s="67"/>
      <c r="GS2222" s="67"/>
      <c r="GT2222" s="67"/>
      <c r="GU2222" s="67"/>
      <c r="GV2222" s="67"/>
      <c r="GW2222" s="67"/>
      <c r="GX2222" s="67"/>
      <c r="GY2222" s="67"/>
      <c r="GZ2222" s="67"/>
      <c r="HA2222" s="67"/>
      <c r="HB2222" s="67"/>
      <c r="HC2222" s="67"/>
      <c r="HD2222" s="67"/>
      <c r="HE2222" s="67"/>
      <c r="HF2222" s="67"/>
      <c r="HG2222" s="67"/>
      <c r="HH2222" s="67"/>
      <c r="HI2222" s="67"/>
      <c r="HJ2222" s="67"/>
      <c r="HK2222" s="67"/>
      <c r="HL2222" s="67"/>
      <c r="HM2222" s="67"/>
      <c r="HN2222" s="67"/>
      <c r="HO2222" s="67"/>
      <c r="HP2222" s="67"/>
      <c r="HQ2222" s="67"/>
      <c r="HR2222" s="67"/>
      <c r="HS2222" s="67"/>
      <c r="HT2222" s="67"/>
      <c r="HU2222" s="67"/>
      <c r="HV2222" s="67"/>
      <c r="HW2222" s="67"/>
      <c r="HX2222" s="67"/>
      <c r="HY2222" s="67"/>
      <c r="HZ2222" s="67"/>
      <c r="IA2222" s="67"/>
      <c r="IB2222" s="67"/>
      <c r="IC2222" s="67"/>
      <c r="ID2222" s="67"/>
      <c r="IE2222" s="67"/>
      <c r="IF2222" s="67"/>
      <c r="IG2222" s="67"/>
      <c r="IH2222" s="67"/>
      <c r="II2222" s="67"/>
      <c r="IJ2222" s="67"/>
      <c r="IK2222" s="67"/>
      <c r="IL2222" s="67"/>
      <c r="IM2222" s="67"/>
      <c r="IN2222" s="67"/>
      <c r="IO2222" s="67"/>
      <c r="IP2222" s="67"/>
      <c r="IQ2222" s="67"/>
      <c r="IR2222" s="67"/>
      <c r="IS2222" s="67"/>
      <c r="IT2222" s="67"/>
      <c r="IU2222" s="67"/>
      <c r="IV2222" s="67"/>
      <c r="IW2222" s="67"/>
      <c r="IX2222" s="67"/>
      <c r="IY2222" s="67"/>
      <c r="IZ2222" s="67"/>
      <c r="JA2222" s="67"/>
      <c r="JB2222" s="67"/>
      <c r="JC2222" s="67"/>
      <c r="JD2222" s="67"/>
      <c r="JE2222" s="67"/>
      <c r="JF2222" s="67"/>
      <c r="JG2222" s="67"/>
      <c r="JH2222" s="67"/>
      <c r="JI2222" s="67"/>
      <c r="JJ2222" s="67"/>
      <c r="JK2222" s="67"/>
      <c r="JL2222" s="67"/>
      <c r="JM2222" s="67"/>
      <c r="JN2222" s="67"/>
      <c r="JO2222" s="67"/>
      <c r="JP2222" s="67"/>
      <c r="JQ2222" s="67"/>
      <c r="JR2222" s="67"/>
      <c r="JS2222" s="67"/>
      <c r="JT2222" s="67"/>
      <c r="JU2222" s="58"/>
      <c r="JV2222" s="58"/>
      <c r="JW2222" s="58"/>
    </row>
    <row r="2223" spans="1:283" s="23" customFormat="1" x14ac:dyDescent="0.25">
      <c r="A2223" s="55">
        <v>2222</v>
      </c>
      <c r="B2223" s="12" t="s">
        <v>7067</v>
      </c>
      <c r="C2223" s="156">
        <v>104</v>
      </c>
      <c r="D2223" s="58" t="s">
        <v>4185</v>
      </c>
      <c r="E2223" s="94" t="s">
        <v>2139</v>
      </c>
      <c r="F2223" s="94"/>
      <c r="G2223" s="58"/>
      <c r="H2223" s="58">
        <v>2011</v>
      </c>
      <c r="I2223" s="58">
        <v>2008</v>
      </c>
      <c r="J2223" s="58" t="s">
        <v>1709</v>
      </c>
      <c r="K2223" s="58" t="s">
        <v>2140</v>
      </c>
      <c r="L2223" s="58" t="s">
        <v>2741</v>
      </c>
      <c r="M2223" s="94">
        <v>43.68</v>
      </c>
      <c r="N2223" s="94">
        <v>10.35</v>
      </c>
      <c r="O2223" s="94">
        <v>1.7</v>
      </c>
      <c r="P2223" s="58">
        <v>14.3</v>
      </c>
      <c r="Q2223" s="58"/>
      <c r="R2223" s="58">
        <v>900</v>
      </c>
      <c r="S2223" s="94"/>
      <c r="T2223" s="58"/>
      <c r="U2223" s="58">
        <v>15</v>
      </c>
      <c r="V2223" s="58">
        <v>15</v>
      </c>
      <c r="W2223" s="174"/>
      <c r="X2223" s="174"/>
      <c r="Y2223" s="58" t="s">
        <v>1953</v>
      </c>
      <c r="Z2223" s="58" t="s">
        <v>1375</v>
      </c>
      <c r="AA2223" s="94">
        <v>20</v>
      </c>
      <c r="AB2223" s="67"/>
      <c r="AC2223" s="67"/>
      <c r="AD2223" s="94">
        <v>1.48</v>
      </c>
      <c r="AE2223" s="94">
        <v>44.3</v>
      </c>
      <c r="AF2223" s="94">
        <v>40.200000000000003</v>
      </c>
      <c r="AG2223" s="94"/>
      <c r="AH2223" s="58" t="s">
        <v>139</v>
      </c>
      <c r="AI2223" s="169">
        <v>8.1999999999999993</v>
      </c>
      <c r="AJ2223" s="94"/>
      <c r="AK2223" s="94"/>
      <c r="AL2223" s="58"/>
      <c r="AM2223" s="58" t="s">
        <v>2141</v>
      </c>
      <c r="AN2223" s="186" t="s">
        <v>2000</v>
      </c>
      <c r="AO2223" s="185" t="s">
        <v>5150</v>
      </c>
      <c r="AP2223" s="58"/>
      <c r="AQ2223" s="58" t="s">
        <v>553</v>
      </c>
      <c r="AR2223" s="58" t="s">
        <v>2146</v>
      </c>
      <c r="AS2223" s="58" t="s">
        <v>1576</v>
      </c>
      <c r="AT2223" s="182" t="s">
        <v>2146</v>
      </c>
      <c r="AU2223" s="181" t="s">
        <v>5150</v>
      </c>
      <c r="AV2223" s="185" t="s">
        <v>479</v>
      </c>
      <c r="AW2223" s="58"/>
      <c r="AX2223" s="185" t="s">
        <v>176</v>
      </c>
      <c r="AY2223" s="58"/>
      <c r="AZ2223" s="61" t="s">
        <v>2143</v>
      </c>
      <c r="BA2223" s="58"/>
      <c r="BB2223" s="58" t="s">
        <v>2081</v>
      </c>
      <c r="BC2223" s="58" t="s">
        <v>2081</v>
      </c>
      <c r="BD2223" s="58"/>
      <c r="BE2223" s="236" t="s">
        <v>2144</v>
      </c>
      <c r="BF2223" s="58"/>
      <c r="BG2223" s="191" t="s">
        <v>479</v>
      </c>
      <c r="BH2223" s="236"/>
      <c r="BI2223" s="58"/>
      <c r="BJ2223" s="58"/>
      <c r="BK2223" s="58" t="s">
        <v>5976</v>
      </c>
      <c r="BL2223" s="58"/>
      <c r="BM2223" s="237" t="s">
        <v>160</v>
      </c>
      <c r="BN2223" s="58"/>
      <c r="BO2223" s="58"/>
      <c r="BP2223" s="58">
        <v>2</v>
      </c>
      <c r="BQ2223" s="58"/>
      <c r="BR2223" s="58"/>
      <c r="BS2223" s="58"/>
      <c r="BT2223" s="58"/>
      <c r="BU2223" s="58"/>
      <c r="BV2223" s="58"/>
      <c r="BW2223" s="67"/>
      <c r="BX2223" s="67"/>
      <c r="BY2223" s="67"/>
      <c r="BZ2223" s="67"/>
      <c r="CA2223" s="67"/>
      <c r="CB2223" s="68"/>
      <c r="CC2223" s="68"/>
      <c r="CD2223" s="68"/>
      <c r="CE2223" s="67"/>
      <c r="CF2223" s="67"/>
      <c r="CG2223" s="67"/>
      <c r="CH2223" s="94">
        <f>(1.47+1.48)/2</f>
        <v>1.4750000000000001</v>
      </c>
      <c r="CI2223" s="94">
        <f>(1.47+1.5)/2</f>
        <v>1.4849999999999999</v>
      </c>
      <c r="CJ2223" s="67"/>
      <c r="CK2223" s="67"/>
      <c r="CL2223" s="67"/>
      <c r="CM2223" s="67">
        <v>0.99</v>
      </c>
      <c r="CN2223" s="67">
        <v>1.06</v>
      </c>
      <c r="CO2223" s="67"/>
      <c r="CP2223" s="67"/>
      <c r="CQ2223" s="67" t="s">
        <v>2240</v>
      </c>
      <c r="CR2223" s="67"/>
      <c r="CS2223" s="67"/>
      <c r="CT2223" s="67"/>
      <c r="CU2223" s="67"/>
      <c r="CV2223" s="67" t="s">
        <v>3039</v>
      </c>
      <c r="CW2223" s="67"/>
      <c r="CX2223" s="67"/>
      <c r="CY2223" s="67"/>
      <c r="CZ2223" s="67"/>
      <c r="DA2223" s="67" t="s">
        <v>4458</v>
      </c>
      <c r="DB2223" s="67"/>
      <c r="DC2223" s="67"/>
      <c r="DD2223" s="67"/>
      <c r="DE2223" s="67"/>
      <c r="DF2223" s="67"/>
      <c r="DG2223" s="67"/>
      <c r="DH2223" s="67"/>
      <c r="DI2223" s="67"/>
      <c r="DJ2223" s="67"/>
      <c r="DK2223" s="67"/>
      <c r="DL2223" s="67"/>
      <c r="DM2223" s="67"/>
      <c r="DN2223" s="67"/>
      <c r="DO2223" s="67"/>
      <c r="DP2223" s="67"/>
      <c r="DQ2223" s="166"/>
      <c r="DR2223" s="166"/>
      <c r="DS2223" s="163"/>
      <c r="DT2223" s="163"/>
      <c r="DU2223" s="67"/>
      <c r="DV2223" s="67"/>
      <c r="DW2223" s="67"/>
      <c r="DX2223" s="67"/>
      <c r="DY2223" s="67"/>
      <c r="DZ2223" s="67"/>
      <c r="EA2223" s="67"/>
      <c r="EB2223" s="67"/>
      <c r="EC2223" s="67"/>
      <c r="ED2223" s="67"/>
      <c r="EE2223" s="67"/>
      <c r="EF2223" s="67"/>
      <c r="EG2223" s="67"/>
      <c r="EH2223" s="67"/>
      <c r="EI2223" s="67"/>
      <c r="EJ2223" s="67"/>
      <c r="EK2223" s="94"/>
      <c r="EL2223" s="94"/>
      <c r="EM2223" s="67"/>
      <c r="EN2223" s="67"/>
      <c r="EO2223" s="67"/>
      <c r="EP2223" s="67"/>
      <c r="EQ2223" s="67"/>
      <c r="ER2223" s="67"/>
      <c r="ES2223" s="67"/>
      <c r="ET2223" s="67"/>
      <c r="EU2223" s="67"/>
      <c r="EV2223" s="67"/>
      <c r="EW2223" s="67"/>
      <c r="EX2223" s="67"/>
      <c r="EY2223" s="67"/>
      <c r="EZ2223" s="67"/>
      <c r="FA2223" s="67"/>
      <c r="FB2223" s="67"/>
      <c r="FC2223" s="67"/>
      <c r="FD2223" s="67"/>
      <c r="FE2223" s="67"/>
      <c r="FF2223" s="67"/>
      <c r="FG2223" s="67"/>
      <c r="FH2223" s="67"/>
      <c r="FI2223" s="67"/>
      <c r="FJ2223" s="67"/>
      <c r="FK2223" s="67"/>
      <c r="FL2223" s="67"/>
      <c r="FM2223" s="67"/>
      <c r="FN2223" s="67"/>
      <c r="FO2223" s="67"/>
      <c r="FP2223" s="67"/>
      <c r="FQ2223" s="67"/>
      <c r="FR2223" s="67"/>
      <c r="FS2223" s="67"/>
      <c r="FT2223" s="67"/>
      <c r="FU2223" s="67"/>
      <c r="FV2223" s="67"/>
      <c r="FW2223" s="67"/>
      <c r="FX2223" s="67"/>
      <c r="FY2223" s="67"/>
      <c r="FZ2223" s="67"/>
      <c r="GA2223" s="67"/>
      <c r="GB2223" s="67"/>
      <c r="GC2223" s="67"/>
      <c r="GD2223" s="67"/>
      <c r="GE2223" s="67"/>
      <c r="GF2223" s="67"/>
      <c r="GG2223" s="67"/>
      <c r="GH2223" s="67"/>
      <c r="GI2223" s="67"/>
      <c r="GJ2223" s="67"/>
      <c r="GK2223" s="67"/>
      <c r="GL2223" s="67"/>
      <c r="GM2223" s="67"/>
      <c r="GN2223" s="292"/>
      <c r="GO2223" s="292"/>
      <c r="GP2223" s="292" t="s">
        <v>7494</v>
      </c>
      <c r="GQ2223" s="67"/>
      <c r="GR2223" s="67"/>
      <c r="GS2223" s="67"/>
      <c r="GT2223" s="67"/>
      <c r="GU2223" s="67"/>
      <c r="GV2223" s="67"/>
      <c r="GW2223" s="67"/>
      <c r="GX2223" s="67"/>
      <c r="GY2223" s="67"/>
      <c r="GZ2223" s="67"/>
      <c r="HA2223" s="67"/>
      <c r="HB2223" s="67"/>
      <c r="HC2223" s="67"/>
      <c r="HD2223" s="67"/>
      <c r="HE2223" s="67"/>
      <c r="HF2223" s="67"/>
      <c r="HG2223" s="67"/>
      <c r="HH2223" s="67"/>
      <c r="HI2223" s="67"/>
      <c r="HJ2223" s="67"/>
      <c r="HK2223" s="67"/>
      <c r="HL2223" s="67"/>
      <c r="HM2223" s="67"/>
      <c r="HN2223" s="67"/>
      <c r="HO2223" s="67"/>
      <c r="HP2223" s="67"/>
      <c r="HQ2223" s="67"/>
      <c r="HR2223" s="67"/>
      <c r="HS2223" s="67"/>
      <c r="HT2223" s="67"/>
      <c r="HU2223" s="67"/>
      <c r="HV2223" s="67"/>
      <c r="HW2223" s="67"/>
      <c r="HX2223" s="67"/>
      <c r="HY2223" s="67"/>
      <c r="HZ2223" s="67"/>
      <c r="IA2223" s="67"/>
      <c r="IB2223" s="67"/>
      <c r="IC2223" s="67"/>
      <c r="ID2223" s="67"/>
      <c r="IE2223" s="67"/>
      <c r="IF2223" s="67"/>
      <c r="IG2223" s="67"/>
      <c r="IH2223" s="67"/>
      <c r="II2223" s="67"/>
      <c r="IJ2223" s="67"/>
      <c r="IK2223" s="67"/>
      <c r="IL2223" s="67"/>
      <c r="IM2223" s="67"/>
      <c r="IN2223" s="67"/>
      <c r="IO2223" s="67"/>
      <c r="IP2223" s="67"/>
      <c r="IQ2223" s="67"/>
      <c r="IR2223" s="67"/>
      <c r="IS2223" s="67"/>
      <c r="IT2223" s="67"/>
      <c r="IU2223" s="67"/>
      <c r="IV2223" s="67"/>
      <c r="IW2223" s="67"/>
      <c r="IX2223" s="67"/>
      <c r="IY2223" s="67"/>
      <c r="IZ2223" s="67"/>
      <c r="JA2223" s="67"/>
      <c r="JB2223" s="67"/>
      <c r="JC2223" s="67"/>
      <c r="JD2223" s="67"/>
      <c r="JE2223" s="67"/>
      <c r="JF2223" s="67"/>
      <c r="JG2223" s="67"/>
      <c r="JH2223" s="67"/>
      <c r="JI2223" s="67"/>
      <c r="JJ2223" s="67"/>
      <c r="JK2223" s="67"/>
      <c r="JL2223" s="67"/>
      <c r="JM2223" s="67"/>
      <c r="JN2223" s="67"/>
      <c r="JO2223" s="67"/>
      <c r="JP2223" s="67"/>
      <c r="JQ2223" s="67"/>
      <c r="JR2223" s="67"/>
      <c r="JS2223" s="67"/>
      <c r="JT2223" s="67"/>
      <c r="JU2223" s="58"/>
      <c r="JV2223" s="58"/>
      <c r="JW2223" s="58"/>
    </row>
    <row r="2224" spans="1:283" s="23" customFormat="1" x14ac:dyDescent="0.25">
      <c r="A2224" s="55">
        <v>2223</v>
      </c>
      <c r="B2224" s="12" t="s">
        <v>7067</v>
      </c>
      <c r="C2224" s="156">
        <v>104</v>
      </c>
      <c r="D2224" s="58" t="s">
        <v>4184</v>
      </c>
      <c r="E2224" s="94" t="s">
        <v>2139</v>
      </c>
      <c r="F2224" s="94"/>
      <c r="G2224" s="58"/>
      <c r="H2224" s="58">
        <v>2011</v>
      </c>
      <c r="I2224" s="58">
        <v>2008</v>
      </c>
      <c r="J2224" s="58" t="s">
        <v>1709</v>
      </c>
      <c r="K2224" s="58" t="s">
        <v>2140</v>
      </c>
      <c r="L2224" s="58" t="s">
        <v>2741</v>
      </c>
      <c r="M2224" s="94">
        <v>43.68</v>
      </c>
      <c r="N2224" s="94">
        <v>10.35</v>
      </c>
      <c r="O2224" s="94">
        <v>1.7</v>
      </c>
      <c r="P2224" s="58">
        <v>14.3</v>
      </c>
      <c r="Q2224" s="58"/>
      <c r="R2224" s="58">
        <v>900</v>
      </c>
      <c r="S2224" s="94"/>
      <c r="T2224" s="58"/>
      <c r="U2224" s="58">
        <v>15</v>
      </c>
      <c r="V2224" s="58">
        <v>15</v>
      </c>
      <c r="W2224" s="174"/>
      <c r="X2224" s="174"/>
      <c r="Y2224" s="58" t="s">
        <v>1953</v>
      </c>
      <c r="Z2224" s="58" t="s">
        <v>1375</v>
      </c>
      <c r="AA2224" s="94">
        <v>20</v>
      </c>
      <c r="AB2224" s="67"/>
      <c r="AC2224" s="67"/>
      <c r="AD2224" s="94">
        <v>1.48</v>
      </c>
      <c r="AE2224" s="94">
        <v>44.3</v>
      </c>
      <c r="AF2224" s="94">
        <v>40.200000000000003</v>
      </c>
      <c r="AG2224" s="94"/>
      <c r="AH2224" s="58" t="s">
        <v>139</v>
      </c>
      <c r="AI2224" s="169">
        <v>8.1999999999999993</v>
      </c>
      <c r="AJ2224" s="94"/>
      <c r="AK2224" s="94"/>
      <c r="AL2224" s="58"/>
      <c r="AM2224" s="58" t="s">
        <v>2141</v>
      </c>
      <c r="AN2224" s="186" t="s">
        <v>2147</v>
      </c>
      <c r="AO2224" s="185" t="s">
        <v>5150</v>
      </c>
      <c r="AP2224" s="58"/>
      <c r="AQ2224" s="58" t="s">
        <v>553</v>
      </c>
      <c r="AR2224" s="58" t="s">
        <v>2142</v>
      </c>
      <c r="AS2224" s="58" t="s">
        <v>132</v>
      </c>
      <c r="AT2224" s="182" t="s">
        <v>2142</v>
      </c>
      <c r="AU2224" s="181" t="s">
        <v>5150</v>
      </c>
      <c r="AV2224" s="185" t="s">
        <v>176</v>
      </c>
      <c r="AW2224" s="58"/>
      <c r="AX2224" s="185" t="s">
        <v>176</v>
      </c>
      <c r="AY2224" s="58"/>
      <c r="AZ2224" s="61" t="s">
        <v>2143</v>
      </c>
      <c r="BA2224" s="58"/>
      <c r="BB2224" s="58" t="s">
        <v>2081</v>
      </c>
      <c r="BC2224" s="58" t="s">
        <v>2081</v>
      </c>
      <c r="BD2224" s="58"/>
      <c r="BE2224" s="236" t="s">
        <v>2144</v>
      </c>
      <c r="BF2224" s="58"/>
      <c r="BG2224" s="191" t="s">
        <v>479</v>
      </c>
      <c r="BH2224" s="236"/>
      <c r="BI2224" s="58"/>
      <c r="BJ2224" s="58"/>
      <c r="BK2224" s="58" t="s">
        <v>5976</v>
      </c>
      <c r="BL2224" s="58"/>
      <c r="BM2224" s="237" t="s">
        <v>160</v>
      </c>
      <c r="BN2224" s="58"/>
      <c r="BO2224" s="58"/>
      <c r="BP2224" s="58">
        <v>2</v>
      </c>
      <c r="BQ2224" s="58"/>
      <c r="BR2224" s="58"/>
      <c r="BS2224" s="58"/>
      <c r="BT2224" s="58"/>
      <c r="BU2224" s="58"/>
      <c r="BV2224" s="58"/>
      <c r="BW2224" s="67"/>
      <c r="BX2224" s="67"/>
      <c r="BY2224" s="67"/>
      <c r="BZ2224" s="67"/>
      <c r="CA2224" s="67"/>
      <c r="CB2224" s="68"/>
      <c r="CC2224" s="68"/>
      <c r="CD2224" s="68"/>
      <c r="CE2224" s="67"/>
      <c r="CF2224" s="67"/>
      <c r="CG2224" s="67"/>
      <c r="CH2224" s="94">
        <f>(1.47+1.48)/2</f>
        <v>1.4750000000000001</v>
      </c>
      <c r="CI2224" s="94">
        <f>(1.46+1.5)/2</f>
        <v>1.48</v>
      </c>
      <c r="CJ2224" s="67"/>
      <c r="CK2224" s="67"/>
      <c r="CL2224" s="67"/>
      <c r="CM2224" s="67">
        <v>0.99</v>
      </c>
      <c r="CN2224" s="67">
        <v>1.08</v>
      </c>
      <c r="CO2224" s="67"/>
      <c r="CP2224" s="67"/>
      <c r="CQ2224" s="67" t="s">
        <v>2240</v>
      </c>
      <c r="CR2224" s="67"/>
      <c r="CS2224" s="67"/>
      <c r="CT2224" s="67"/>
      <c r="CU2224" s="67"/>
      <c r="CV2224" s="67" t="s">
        <v>3039</v>
      </c>
      <c r="CW2224" s="67"/>
      <c r="CX2224" s="67"/>
      <c r="CY2224" s="67"/>
      <c r="CZ2224" s="67"/>
      <c r="DA2224" s="67" t="s">
        <v>4458</v>
      </c>
      <c r="DB2224" s="67"/>
      <c r="DC2224" s="67"/>
      <c r="DD2224" s="67"/>
      <c r="DE2224" s="67"/>
      <c r="DF2224" s="67"/>
      <c r="DG2224" s="67"/>
      <c r="DH2224" s="67"/>
      <c r="DI2224" s="67"/>
      <c r="DJ2224" s="67"/>
      <c r="DK2224" s="67"/>
      <c r="DL2224" s="67"/>
      <c r="DM2224" s="67"/>
      <c r="DN2224" s="67"/>
      <c r="DO2224" s="67"/>
      <c r="DP2224" s="67"/>
      <c r="DQ2224" s="166"/>
      <c r="DR2224" s="166"/>
      <c r="DS2224" s="163"/>
      <c r="DT2224" s="163"/>
      <c r="DU2224" s="67"/>
      <c r="DV2224" s="67"/>
      <c r="DW2224" s="67"/>
      <c r="DX2224" s="67"/>
      <c r="DY2224" s="67"/>
      <c r="DZ2224" s="67"/>
      <c r="EA2224" s="67"/>
      <c r="EB2224" s="67"/>
      <c r="EC2224" s="67"/>
      <c r="ED2224" s="67"/>
      <c r="EE2224" s="67"/>
      <c r="EF2224" s="67"/>
      <c r="EG2224" s="67"/>
      <c r="EH2224" s="67"/>
      <c r="EI2224" s="67"/>
      <c r="EJ2224" s="67"/>
      <c r="EK2224" s="94"/>
      <c r="EL2224" s="94"/>
      <c r="EM2224" s="67"/>
      <c r="EN2224" s="67"/>
      <c r="EO2224" s="67"/>
      <c r="EP2224" s="67"/>
      <c r="EQ2224" s="67"/>
      <c r="ER2224" s="67"/>
      <c r="ES2224" s="67"/>
      <c r="ET2224" s="67"/>
      <c r="EU2224" s="67"/>
      <c r="EV2224" s="67"/>
      <c r="EW2224" s="67"/>
      <c r="EX2224" s="67"/>
      <c r="EY2224" s="67"/>
      <c r="EZ2224" s="67"/>
      <c r="FA2224" s="67"/>
      <c r="FB2224" s="67"/>
      <c r="FC2224" s="67"/>
      <c r="FD2224" s="67"/>
      <c r="FE2224" s="67"/>
      <c r="FF2224" s="67"/>
      <c r="FG2224" s="67"/>
      <c r="FH2224" s="67"/>
      <c r="FI2224" s="67"/>
      <c r="FJ2224" s="67"/>
      <c r="FK2224" s="67"/>
      <c r="FL2224" s="67"/>
      <c r="FM2224" s="67"/>
      <c r="FN2224" s="67"/>
      <c r="FO2224" s="67"/>
      <c r="FP2224" s="67"/>
      <c r="FQ2224" s="67"/>
      <c r="FR2224" s="67"/>
      <c r="FS2224" s="67"/>
      <c r="FT2224" s="67"/>
      <c r="FU2224" s="67"/>
      <c r="FV2224" s="67"/>
      <c r="FW2224" s="67"/>
      <c r="FX2224" s="67"/>
      <c r="FY2224" s="67"/>
      <c r="FZ2224" s="67"/>
      <c r="GA2224" s="67"/>
      <c r="GB2224" s="67"/>
      <c r="GC2224" s="67"/>
      <c r="GD2224" s="67"/>
      <c r="GE2224" s="67"/>
      <c r="GF2224" s="67"/>
      <c r="GG2224" s="67"/>
      <c r="GH2224" s="67"/>
      <c r="GI2224" s="67"/>
      <c r="GJ2224" s="67"/>
      <c r="GK2224" s="67"/>
      <c r="GL2224" s="67"/>
      <c r="GM2224" s="67"/>
      <c r="GN2224" s="292"/>
      <c r="GO2224" s="292"/>
      <c r="GP2224" s="292" t="s">
        <v>7494</v>
      </c>
      <c r="GQ2224" s="67"/>
      <c r="GR2224" s="67"/>
      <c r="GS2224" s="67"/>
      <c r="GT2224" s="67"/>
      <c r="GU2224" s="67"/>
      <c r="GV2224" s="67"/>
      <c r="GW2224" s="67"/>
      <c r="GX2224" s="67"/>
      <c r="GY2224" s="67"/>
      <c r="GZ2224" s="67"/>
      <c r="HA2224" s="67"/>
      <c r="HB2224" s="67"/>
      <c r="HC2224" s="67"/>
      <c r="HD2224" s="67"/>
      <c r="HE2224" s="67"/>
      <c r="HF2224" s="67"/>
      <c r="HG2224" s="67"/>
      <c r="HH2224" s="67"/>
      <c r="HI2224" s="67"/>
      <c r="HJ2224" s="67"/>
      <c r="HK2224" s="67"/>
      <c r="HL2224" s="67"/>
      <c r="HM2224" s="67"/>
      <c r="HN2224" s="67"/>
      <c r="HO2224" s="67"/>
      <c r="HP2224" s="67"/>
      <c r="HQ2224" s="67"/>
      <c r="HR2224" s="67"/>
      <c r="HS2224" s="67"/>
      <c r="HT2224" s="67"/>
      <c r="HU2224" s="67"/>
      <c r="HV2224" s="67"/>
      <c r="HW2224" s="67"/>
      <c r="HX2224" s="67"/>
      <c r="HY2224" s="67"/>
      <c r="HZ2224" s="67"/>
      <c r="IA2224" s="67"/>
      <c r="IB2224" s="67"/>
      <c r="IC2224" s="67"/>
      <c r="ID2224" s="67"/>
      <c r="IE2224" s="67"/>
      <c r="IF2224" s="67"/>
      <c r="IG2224" s="67"/>
      <c r="IH2224" s="67"/>
      <c r="II2224" s="67"/>
      <c r="IJ2224" s="67"/>
      <c r="IK2224" s="67"/>
      <c r="IL2224" s="67"/>
      <c r="IM2224" s="67"/>
      <c r="IN2224" s="67"/>
      <c r="IO2224" s="67"/>
      <c r="IP2224" s="67"/>
      <c r="IQ2224" s="67"/>
      <c r="IR2224" s="67"/>
      <c r="IS2224" s="67"/>
      <c r="IT2224" s="67"/>
      <c r="IU2224" s="67"/>
      <c r="IV2224" s="67"/>
      <c r="IW2224" s="67"/>
      <c r="IX2224" s="67"/>
      <c r="IY2224" s="67"/>
      <c r="IZ2224" s="67"/>
      <c r="JA2224" s="67"/>
      <c r="JB2224" s="67"/>
      <c r="JC2224" s="67"/>
      <c r="JD2224" s="67"/>
      <c r="JE2224" s="67"/>
      <c r="JF2224" s="67"/>
      <c r="JG2224" s="67"/>
      <c r="JH2224" s="67"/>
      <c r="JI2224" s="67"/>
      <c r="JJ2224" s="67"/>
      <c r="JK2224" s="67"/>
      <c r="JL2224" s="67"/>
      <c r="JM2224" s="67"/>
      <c r="JN2224" s="67"/>
      <c r="JO2224" s="67"/>
      <c r="JP2224" s="67"/>
      <c r="JQ2224" s="67"/>
      <c r="JR2224" s="67"/>
      <c r="JS2224" s="67"/>
      <c r="JT2224" s="67"/>
      <c r="JU2224" s="58"/>
      <c r="JV2224" s="58"/>
      <c r="JW2224" s="58"/>
    </row>
    <row r="2225" spans="1:283" s="23" customFormat="1" x14ac:dyDescent="0.25">
      <c r="A2225" s="55">
        <v>2224</v>
      </c>
      <c r="B2225" s="12" t="s">
        <v>7067</v>
      </c>
      <c r="C2225" s="156">
        <v>104</v>
      </c>
      <c r="D2225" s="58" t="s">
        <v>4183</v>
      </c>
      <c r="E2225" s="94" t="s">
        <v>2139</v>
      </c>
      <c r="F2225" s="94"/>
      <c r="G2225" s="58"/>
      <c r="H2225" s="58">
        <v>2011</v>
      </c>
      <c r="I2225" s="58">
        <v>1993</v>
      </c>
      <c r="J2225" s="58" t="s">
        <v>1709</v>
      </c>
      <c r="K2225" s="58" t="s">
        <v>2140</v>
      </c>
      <c r="L2225" s="58" t="s">
        <v>2741</v>
      </c>
      <c r="M2225" s="94">
        <v>43.68</v>
      </c>
      <c r="N2225" s="94">
        <v>10.35</v>
      </c>
      <c r="O2225" s="94">
        <v>1.7</v>
      </c>
      <c r="P2225" s="58">
        <v>14.3</v>
      </c>
      <c r="Q2225" s="58"/>
      <c r="R2225" s="58">
        <v>900</v>
      </c>
      <c r="S2225" s="94"/>
      <c r="T2225" s="58"/>
      <c r="U2225" s="58">
        <v>1</v>
      </c>
      <c r="V2225" s="58">
        <v>15</v>
      </c>
      <c r="W2225" s="174"/>
      <c r="X2225" s="174"/>
      <c r="Y2225" s="58" t="s">
        <v>1953</v>
      </c>
      <c r="Z2225" s="58" t="s">
        <v>1356</v>
      </c>
      <c r="AA2225" s="94">
        <v>30</v>
      </c>
      <c r="AB2225" s="67"/>
      <c r="AC2225" s="67"/>
      <c r="AD2225" s="94">
        <v>1.45</v>
      </c>
      <c r="AE2225" s="94">
        <v>44.3</v>
      </c>
      <c r="AF2225" s="94">
        <v>40.200000000000003</v>
      </c>
      <c r="AG2225" s="94"/>
      <c r="AH2225" s="58" t="s">
        <v>139</v>
      </c>
      <c r="AI2225" s="169">
        <v>8.1999999999999993</v>
      </c>
      <c r="AJ2225" s="94"/>
      <c r="AK2225" s="94"/>
      <c r="AL2225" s="58"/>
      <c r="AM2225" s="58" t="s">
        <v>2141</v>
      </c>
      <c r="AN2225" s="186" t="s">
        <v>2145</v>
      </c>
      <c r="AO2225" s="185" t="s">
        <v>5150</v>
      </c>
      <c r="AP2225" s="58"/>
      <c r="AQ2225" s="58" t="s">
        <v>131</v>
      </c>
      <c r="AR2225" s="58" t="s">
        <v>2245</v>
      </c>
      <c r="AS2225" s="58" t="s">
        <v>1576</v>
      </c>
      <c r="AT2225" s="182" t="s">
        <v>2146</v>
      </c>
      <c r="AU2225" s="181" t="s">
        <v>5150</v>
      </c>
      <c r="AV2225" s="185" t="s">
        <v>479</v>
      </c>
      <c r="AW2225" s="58"/>
      <c r="AX2225" s="185" t="s">
        <v>176</v>
      </c>
      <c r="AY2225" s="58"/>
      <c r="AZ2225" s="61" t="s">
        <v>2143</v>
      </c>
      <c r="BA2225" s="58"/>
      <c r="BB2225" s="58" t="s">
        <v>2081</v>
      </c>
      <c r="BC2225" s="58" t="s">
        <v>2081</v>
      </c>
      <c r="BD2225" s="58"/>
      <c r="BE2225" s="236" t="s">
        <v>2144</v>
      </c>
      <c r="BF2225" s="58"/>
      <c r="BG2225" s="191" t="s">
        <v>479</v>
      </c>
      <c r="BH2225" s="236"/>
      <c r="BI2225" s="58"/>
      <c r="BJ2225" s="58"/>
      <c r="BK2225" s="58" t="s">
        <v>5976</v>
      </c>
      <c r="BL2225" s="58"/>
      <c r="BM2225" s="237" t="s">
        <v>160</v>
      </c>
      <c r="BN2225" s="58"/>
      <c r="BO2225" s="58"/>
      <c r="BP2225" s="58">
        <v>2</v>
      </c>
      <c r="BQ2225" s="58"/>
      <c r="BR2225" s="58"/>
      <c r="BS2225" s="58"/>
      <c r="BT2225" s="58"/>
      <c r="BU2225" s="58"/>
      <c r="BV2225" s="58"/>
      <c r="BW2225" s="67"/>
      <c r="BX2225" s="67"/>
      <c r="BY2225" s="67"/>
      <c r="BZ2225" s="67"/>
      <c r="CA2225" s="67"/>
      <c r="CB2225" s="68"/>
      <c r="CC2225" s="68"/>
      <c r="CD2225" s="68"/>
      <c r="CE2225" s="67"/>
      <c r="CF2225" s="67"/>
      <c r="CG2225" s="67"/>
      <c r="CH2225" s="94">
        <v>1.45</v>
      </c>
      <c r="CI2225" s="94">
        <v>1.46</v>
      </c>
      <c r="CJ2225" s="67"/>
      <c r="CK2225" s="67"/>
      <c r="CL2225" s="67"/>
      <c r="CM2225" s="67">
        <f>(CR2225*1000000)/(100*100*AD2225*AA2225/100*1000000)*100</f>
        <v>1.0393103448275862</v>
      </c>
      <c r="CN2225" s="67">
        <f>(CS2225*1000000)/(100*100*AD2225*AA2225/100*1000000)*100</f>
        <v>1.0560919540229885</v>
      </c>
      <c r="CO2225" s="67"/>
      <c r="CP2225" s="67"/>
      <c r="CQ2225" s="67"/>
      <c r="CR2225" s="67">
        <v>45.21</v>
      </c>
      <c r="CS2225" s="67">
        <v>45.94</v>
      </c>
      <c r="CT2225" s="67"/>
      <c r="CU2225" s="67"/>
      <c r="CV2225" s="67" t="s">
        <v>2052</v>
      </c>
      <c r="CW2225" s="67"/>
      <c r="CX2225" s="67"/>
      <c r="CY2225" s="67"/>
      <c r="CZ2225" s="67"/>
      <c r="DA2225" s="67" t="s">
        <v>4463</v>
      </c>
      <c r="DB2225" s="67">
        <v>5.43</v>
      </c>
      <c r="DC2225" s="67">
        <v>5.52</v>
      </c>
      <c r="DD2225" s="67"/>
      <c r="DE2225" s="67"/>
      <c r="DF2225" s="67" t="s">
        <v>2052</v>
      </c>
      <c r="DG2225" s="67"/>
      <c r="DH2225" s="67"/>
      <c r="DI2225" s="67"/>
      <c r="DJ2225" s="67"/>
      <c r="DK2225" s="67"/>
      <c r="DL2225" s="67"/>
      <c r="DM2225" s="67"/>
      <c r="DN2225" s="67"/>
      <c r="DO2225" s="67"/>
      <c r="DP2225" s="67"/>
      <c r="DQ2225" s="166"/>
      <c r="DR2225" s="166"/>
      <c r="DS2225" s="163"/>
      <c r="DT2225" s="163"/>
      <c r="DU2225" s="67"/>
      <c r="DV2225" s="67"/>
      <c r="DW2225" s="67"/>
      <c r="DX2225" s="67"/>
      <c r="DY2225" s="67"/>
      <c r="DZ2225" s="67"/>
      <c r="EA2225" s="67"/>
      <c r="EB2225" s="67"/>
      <c r="EC2225" s="67"/>
      <c r="ED2225" s="67"/>
      <c r="EE2225" s="67"/>
      <c r="EF2225" s="67"/>
      <c r="EG2225" s="67"/>
      <c r="EH2225" s="67"/>
      <c r="EI2225" s="67"/>
      <c r="EJ2225" s="67"/>
      <c r="EK2225" s="94"/>
      <c r="EL2225" s="94"/>
      <c r="EM2225" s="67"/>
      <c r="EN2225" s="67"/>
      <c r="EO2225" s="67"/>
      <c r="EP2225" s="67"/>
      <c r="EQ2225" s="67"/>
      <c r="ER2225" s="67"/>
      <c r="ES2225" s="67"/>
      <c r="ET2225" s="67"/>
      <c r="EU2225" s="67"/>
      <c r="EV2225" s="67"/>
      <c r="EW2225" s="67"/>
      <c r="EX2225" s="67"/>
      <c r="EY2225" s="67"/>
      <c r="EZ2225" s="67"/>
      <c r="FA2225" s="67"/>
      <c r="FB2225" s="67"/>
      <c r="FC2225" s="67"/>
      <c r="FD2225" s="67"/>
      <c r="FE2225" s="67"/>
      <c r="FF2225" s="67"/>
      <c r="FG2225" s="67"/>
      <c r="FH2225" s="67"/>
      <c r="FI2225" s="67"/>
      <c r="FJ2225" s="67"/>
      <c r="FK2225" s="67"/>
      <c r="FL2225" s="67"/>
      <c r="FM2225" s="67"/>
      <c r="FN2225" s="67"/>
      <c r="FO2225" s="67"/>
      <c r="FP2225" s="67"/>
      <c r="FQ2225" s="67"/>
      <c r="FR2225" s="67"/>
      <c r="FS2225" s="67"/>
      <c r="FT2225" s="67"/>
      <c r="FU2225" s="67"/>
      <c r="FV2225" s="67"/>
      <c r="FW2225" s="67"/>
      <c r="FX2225" s="67"/>
      <c r="FY2225" s="67"/>
      <c r="FZ2225" s="67"/>
      <c r="GA2225" s="67"/>
      <c r="GB2225" s="67"/>
      <c r="GC2225" s="67"/>
      <c r="GD2225" s="67"/>
      <c r="GE2225" s="67"/>
      <c r="GF2225" s="67"/>
      <c r="GG2225" s="67"/>
      <c r="GH2225" s="67"/>
      <c r="GI2225" s="67"/>
      <c r="GJ2225" s="67"/>
      <c r="GK2225" s="67"/>
      <c r="GL2225" s="67"/>
      <c r="GM2225" s="67"/>
      <c r="GN2225" s="292"/>
      <c r="GO2225" s="292"/>
      <c r="GP2225" s="292" t="s">
        <v>7494</v>
      </c>
      <c r="GQ2225" s="67"/>
      <c r="GR2225" s="67"/>
      <c r="GS2225" s="67"/>
      <c r="GT2225" s="67"/>
      <c r="GU2225" s="67"/>
      <c r="GV2225" s="67"/>
      <c r="GW2225" s="67"/>
      <c r="GX2225" s="67"/>
      <c r="GY2225" s="67"/>
      <c r="GZ2225" s="67"/>
      <c r="HA2225" s="67"/>
      <c r="HB2225" s="67"/>
      <c r="HC2225" s="67"/>
      <c r="HD2225" s="67"/>
      <c r="HE2225" s="67"/>
      <c r="HF2225" s="67"/>
      <c r="HG2225" s="67"/>
      <c r="HH2225" s="67"/>
      <c r="HI2225" s="67"/>
      <c r="HJ2225" s="67"/>
      <c r="HK2225" s="67"/>
      <c r="HL2225" s="67"/>
      <c r="HM2225" s="67"/>
      <c r="HN2225" s="67"/>
      <c r="HO2225" s="67"/>
      <c r="HP2225" s="67"/>
      <c r="HQ2225" s="67"/>
      <c r="HR2225" s="67"/>
      <c r="HS2225" s="67"/>
      <c r="HT2225" s="67"/>
      <c r="HU2225" s="67"/>
      <c r="HV2225" s="67"/>
      <c r="HW2225" s="67"/>
      <c r="HX2225" s="67"/>
      <c r="HY2225" s="67"/>
      <c r="HZ2225" s="67"/>
      <c r="IA2225" s="67"/>
      <c r="IB2225" s="67"/>
      <c r="IC2225" s="67"/>
      <c r="ID2225" s="67"/>
      <c r="IE2225" s="67"/>
      <c r="IF2225" s="67"/>
      <c r="IG2225" s="67"/>
      <c r="IH2225" s="67"/>
      <c r="II2225" s="67"/>
      <c r="IJ2225" s="67"/>
      <c r="IK2225" s="67"/>
      <c r="IL2225" s="67"/>
      <c r="IM2225" s="67"/>
      <c r="IN2225" s="67"/>
      <c r="IO2225" s="67"/>
      <c r="IP2225" s="67"/>
      <c r="IQ2225" s="67"/>
      <c r="IR2225" s="67"/>
      <c r="IS2225" s="67"/>
      <c r="IT2225" s="67"/>
      <c r="IU2225" s="67"/>
      <c r="IV2225" s="67"/>
      <c r="IW2225" s="67"/>
      <c r="IX2225" s="67"/>
      <c r="IY2225" s="67"/>
      <c r="IZ2225" s="67"/>
      <c r="JA2225" s="67"/>
      <c r="JB2225" s="67"/>
      <c r="JC2225" s="67"/>
      <c r="JD2225" s="67"/>
      <c r="JE2225" s="67"/>
      <c r="JF2225" s="67"/>
      <c r="JG2225" s="67"/>
      <c r="JH2225" s="67"/>
      <c r="JI2225" s="67"/>
      <c r="JJ2225" s="67"/>
      <c r="JK2225" s="67"/>
      <c r="JL2225" s="67"/>
      <c r="JM2225" s="67"/>
      <c r="JN2225" s="67"/>
      <c r="JO2225" s="67"/>
      <c r="JP2225" s="67"/>
      <c r="JQ2225" s="67"/>
      <c r="JR2225" s="67"/>
      <c r="JS2225" s="67"/>
      <c r="JT2225" s="67"/>
      <c r="JU2225" s="58"/>
      <c r="JV2225" s="58"/>
      <c r="JW2225" s="58"/>
    </row>
    <row r="2226" spans="1:283" s="23" customFormat="1" x14ac:dyDescent="0.25">
      <c r="A2226" s="55">
        <v>2225</v>
      </c>
      <c r="B2226" s="12" t="s">
        <v>7067</v>
      </c>
      <c r="C2226" s="156">
        <v>104</v>
      </c>
      <c r="D2226" s="58" t="s">
        <v>4184</v>
      </c>
      <c r="E2226" s="94" t="s">
        <v>2139</v>
      </c>
      <c r="F2226" s="94"/>
      <c r="G2226" s="58"/>
      <c r="H2226" s="58">
        <v>2011</v>
      </c>
      <c r="I2226" s="58">
        <v>1993</v>
      </c>
      <c r="J2226" s="58" t="s">
        <v>1709</v>
      </c>
      <c r="K2226" s="58" t="s">
        <v>2140</v>
      </c>
      <c r="L2226" s="58" t="s">
        <v>2741</v>
      </c>
      <c r="M2226" s="94">
        <v>43.68</v>
      </c>
      <c r="N2226" s="94">
        <v>10.35</v>
      </c>
      <c r="O2226" s="94">
        <v>1.7</v>
      </c>
      <c r="P2226" s="58">
        <v>14.3</v>
      </c>
      <c r="Q2226" s="58"/>
      <c r="R2226" s="58">
        <v>900</v>
      </c>
      <c r="S2226" s="94"/>
      <c r="T2226" s="58"/>
      <c r="U2226" s="58">
        <v>1</v>
      </c>
      <c r="V2226" s="58">
        <v>15</v>
      </c>
      <c r="W2226" s="174"/>
      <c r="X2226" s="174"/>
      <c r="Y2226" s="58" t="s">
        <v>1953</v>
      </c>
      <c r="Z2226" s="58" t="s">
        <v>1356</v>
      </c>
      <c r="AA2226" s="94">
        <v>30</v>
      </c>
      <c r="AB2226" s="67"/>
      <c r="AC2226" s="67"/>
      <c r="AD2226" s="94">
        <v>1.45</v>
      </c>
      <c r="AE2226" s="94">
        <v>44.3</v>
      </c>
      <c r="AF2226" s="94">
        <v>40.200000000000003</v>
      </c>
      <c r="AG2226" s="94"/>
      <c r="AH2226" s="58" t="s">
        <v>139</v>
      </c>
      <c r="AI2226" s="169">
        <v>8.1999999999999993</v>
      </c>
      <c r="AJ2226" s="94"/>
      <c r="AK2226" s="94"/>
      <c r="AL2226" s="58"/>
      <c r="AM2226" s="58" t="s">
        <v>2141</v>
      </c>
      <c r="AN2226" s="186" t="s">
        <v>2000</v>
      </c>
      <c r="AO2226" s="185" t="s">
        <v>5150</v>
      </c>
      <c r="AP2226" s="58"/>
      <c r="AQ2226" s="58" t="s">
        <v>553</v>
      </c>
      <c r="AR2226" s="58" t="s">
        <v>2142</v>
      </c>
      <c r="AS2226" s="58" t="s">
        <v>132</v>
      </c>
      <c r="AT2226" s="182" t="s">
        <v>2142</v>
      </c>
      <c r="AU2226" s="181" t="s">
        <v>5150</v>
      </c>
      <c r="AV2226" s="185" t="s">
        <v>176</v>
      </c>
      <c r="AW2226" s="58"/>
      <c r="AX2226" s="185" t="s">
        <v>176</v>
      </c>
      <c r="AY2226" s="58"/>
      <c r="AZ2226" s="61" t="s">
        <v>2143</v>
      </c>
      <c r="BA2226" s="58"/>
      <c r="BB2226" s="58" t="s">
        <v>2081</v>
      </c>
      <c r="BC2226" s="58" t="s">
        <v>2081</v>
      </c>
      <c r="BD2226" s="58"/>
      <c r="BE2226" s="236" t="s">
        <v>2144</v>
      </c>
      <c r="BF2226" s="58"/>
      <c r="BG2226" s="191" t="s">
        <v>479</v>
      </c>
      <c r="BH2226" s="236"/>
      <c r="BI2226" s="58"/>
      <c r="BJ2226" s="58"/>
      <c r="BK2226" s="58" t="s">
        <v>5976</v>
      </c>
      <c r="BL2226" s="58"/>
      <c r="BM2226" s="237" t="s">
        <v>160</v>
      </c>
      <c r="BN2226" s="58"/>
      <c r="BO2226" s="58"/>
      <c r="BP2226" s="58">
        <v>2</v>
      </c>
      <c r="BQ2226" s="58"/>
      <c r="BR2226" s="58"/>
      <c r="BS2226" s="58"/>
      <c r="BT2226" s="58"/>
      <c r="BU2226" s="58"/>
      <c r="BV2226" s="58"/>
      <c r="BW2226" s="67"/>
      <c r="BX2226" s="67"/>
      <c r="BY2226" s="67"/>
      <c r="BZ2226" s="67"/>
      <c r="CA2226" s="67"/>
      <c r="CB2226" s="68"/>
      <c r="CC2226" s="68"/>
      <c r="CD2226" s="68"/>
      <c r="CE2226" s="67"/>
      <c r="CF2226" s="67"/>
      <c r="CG2226" s="67"/>
      <c r="CH2226" s="94">
        <v>1.45</v>
      </c>
      <c r="CI2226" s="94">
        <v>1.46</v>
      </c>
      <c r="CJ2226" s="67"/>
      <c r="CK2226" s="67"/>
      <c r="CL2226" s="67"/>
      <c r="CM2226" s="67">
        <f>(CR2226*1000000)/(100*100*AD2226*AA2226/100*1000000)*100</f>
        <v>1.0393103448275862</v>
      </c>
      <c r="CN2226" s="67">
        <f>(CS2226*1000000)/(100*100*AD2226*AA2226/100*1000000)*100</f>
        <v>1.0213793103448277</v>
      </c>
      <c r="CO2226" s="67"/>
      <c r="CP2226" s="67"/>
      <c r="CQ2226" s="67"/>
      <c r="CR2226" s="67">
        <v>45.21</v>
      </c>
      <c r="CS2226" s="67">
        <v>44.43</v>
      </c>
      <c r="CT2226" s="67"/>
      <c r="CU2226" s="67"/>
      <c r="CV2226" s="67" t="s">
        <v>2052</v>
      </c>
      <c r="CW2226" s="67"/>
      <c r="CX2226" s="67"/>
      <c r="CY2226" s="67"/>
      <c r="CZ2226" s="67"/>
      <c r="DA2226" s="67" t="s">
        <v>4463</v>
      </c>
      <c r="DB2226" s="67">
        <v>5.43</v>
      </c>
      <c r="DC2226" s="67">
        <v>5.36</v>
      </c>
      <c r="DD2226" s="67"/>
      <c r="DE2226" s="67"/>
      <c r="DF2226" s="67" t="s">
        <v>2052</v>
      </c>
      <c r="DG2226" s="67"/>
      <c r="DH2226" s="67"/>
      <c r="DI2226" s="67"/>
      <c r="DJ2226" s="67"/>
      <c r="DK2226" s="67"/>
      <c r="DL2226" s="67"/>
      <c r="DM2226" s="67"/>
      <c r="DN2226" s="67"/>
      <c r="DO2226" s="67"/>
      <c r="DP2226" s="67"/>
      <c r="DQ2226" s="166"/>
      <c r="DR2226" s="166"/>
      <c r="DS2226" s="163"/>
      <c r="DT2226" s="163"/>
      <c r="DU2226" s="67"/>
      <c r="DV2226" s="67"/>
      <c r="DW2226" s="67"/>
      <c r="DX2226" s="67"/>
      <c r="DY2226" s="67"/>
      <c r="DZ2226" s="67"/>
      <c r="EA2226" s="67"/>
      <c r="EB2226" s="67"/>
      <c r="EC2226" s="67"/>
      <c r="ED2226" s="67"/>
      <c r="EE2226" s="67"/>
      <c r="EF2226" s="67"/>
      <c r="EG2226" s="67"/>
      <c r="EH2226" s="67"/>
      <c r="EI2226" s="67"/>
      <c r="EJ2226" s="67"/>
      <c r="EK2226" s="94"/>
      <c r="EL2226" s="94"/>
      <c r="EM2226" s="67"/>
      <c r="EN2226" s="67"/>
      <c r="EO2226" s="67"/>
      <c r="EP2226" s="67"/>
      <c r="EQ2226" s="67"/>
      <c r="ER2226" s="67"/>
      <c r="ES2226" s="67"/>
      <c r="ET2226" s="67"/>
      <c r="EU2226" s="67"/>
      <c r="EV2226" s="67"/>
      <c r="EW2226" s="67"/>
      <c r="EX2226" s="67"/>
      <c r="EY2226" s="67"/>
      <c r="EZ2226" s="67"/>
      <c r="FA2226" s="67"/>
      <c r="FB2226" s="67"/>
      <c r="FC2226" s="67"/>
      <c r="FD2226" s="67"/>
      <c r="FE2226" s="67"/>
      <c r="FF2226" s="67"/>
      <c r="FG2226" s="67"/>
      <c r="FH2226" s="67"/>
      <c r="FI2226" s="67"/>
      <c r="FJ2226" s="67"/>
      <c r="FK2226" s="67"/>
      <c r="FL2226" s="67"/>
      <c r="FM2226" s="67"/>
      <c r="FN2226" s="67"/>
      <c r="FO2226" s="67"/>
      <c r="FP2226" s="67"/>
      <c r="FQ2226" s="67"/>
      <c r="FR2226" s="67"/>
      <c r="FS2226" s="67"/>
      <c r="FT2226" s="67"/>
      <c r="FU2226" s="67"/>
      <c r="FV2226" s="67"/>
      <c r="FW2226" s="67"/>
      <c r="FX2226" s="67"/>
      <c r="FY2226" s="67"/>
      <c r="FZ2226" s="67"/>
      <c r="GA2226" s="67"/>
      <c r="GB2226" s="67"/>
      <c r="GC2226" s="67"/>
      <c r="GD2226" s="67"/>
      <c r="GE2226" s="67"/>
      <c r="GF2226" s="67"/>
      <c r="GG2226" s="67"/>
      <c r="GH2226" s="67"/>
      <c r="GI2226" s="67"/>
      <c r="GJ2226" s="67"/>
      <c r="GK2226" s="67"/>
      <c r="GL2226" s="67"/>
      <c r="GM2226" s="67"/>
      <c r="GN2226" s="292"/>
      <c r="GO2226" s="292"/>
      <c r="GP2226" s="292" t="s">
        <v>7494</v>
      </c>
      <c r="GQ2226" s="67"/>
      <c r="GR2226" s="67"/>
      <c r="GS2226" s="67"/>
      <c r="GT2226" s="67"/>
      <c r="GU2226" s="67"/>
      <c r="GV2226" s="67"/>
      <c r="GW2226" s="67"/>
      <c r="GX2226" s="67"/>
      <c r="GY2226" s="67"/>
      <c r="GZ2226" s="67"/>
      <c r="HA2226" s="67"/>
      <c r="HB2226" s="67"/>
      <c r="HC2226" s="67"/>
      <c r="HD2226" s="67"/>
      <c r="HE2226" s="67"/>
      <c r="HF2226" s="67"/>
      <c r="HG2226" s="67"/>
      <c r="HH2226" s="67"/>
      <c r="HI2226" s="67"/>
      <c r="HJ2226" s="67"/>
      <c r="HK2226" s="67"/>
      <c r="HL2226" s="67"/>
      <c r="HM2226" s="67"/>
      <c r="HN2226" s="67"/>
      <c r="HO2226" s="67"/>
      <c r="HP2226" s="67"/>
      <c r="HQ2226" s="67"/>
      <c r="HR2226" s="67"/>
      <c r="HS2226" s="67"/>
      <c r="HT2226" s="67"/>
      <c r="HU2226" s="67"/>
      <c r="HV2226" s="67"/>
      <c r="HW2226" s="67"/>
      <c r="HX2226" s="67"/>
      <c r="HY2226" s="67"/>
      <c r="HZ2226" s="67"/>
      <c r="IA2226" s="67"/>
      <c r="IB2226" s="67"/>
      <c r="IC2226" s="67"/>
      <c r="ID2226" s="67"/>
      <c r="IE2226" s="67"/>
      <c r="IF2226" s="67"/>
      <c r="IG2226" s="67"/>
      <c r="IH2226" s="67"/>
      <c r="II2226" s="67"/>
      <c r="IJ2226" s="67"/>
      <c r="IK2226" s="67"/>
      <c r="IL2226" s="67"/>
      <c r="IM2226" s="67"/>
      <c r="IN2226" s="67"/>
      <c r="IO2226" s="67"/>
      <c r="IP2226" s="67"/>
      <c r="IQ2226" s="67"/>
      <c r="IR2226" s="67"/>
      <c r="IS2226" s="67"/>
      <c r="IT2226" s="67"/>
      <c r="IU2226" s="67"/>
      <c r="IV2226" s="67"/>
      <c r="IW2226" s="67"/>
      <c r="IX2226" s="67"/>
      <c r="IY2226" s="67"/>
      <c r="IZ2226" s="67"/>
      <c r="JA2226" s="67"/>
      <c r="JB2226" s="67"/>
      <c r="JC2226" s="67"/>
      <c r="JD2226" s="67"/>
      <c r="JE2226" s="67"/>
      <c r="JF2226" s="67"/>
      <c r="JG2226" s="67"/>
      <c r="JH2226" s="67"/>
      <c r="JI2226" s="67"/>
      <c r="JJ2226" s="67"/>
      <c r="JK2226" s="67"/>
      <c r="JL2226" s="67"/>
      <c r="JM2226" s="67"/>
      <c r="JN2226" s="67"/>
      <c r="JO2226" s="67"/>
      <c r="JP2226" s="67"/>
      <c r="JQ2226" s="67"/>
      <c r="JR2226" s="67"/>
      <c r="JS2226" s="67"/>
      <c r="JT2226" s="67"/>
      <c r="JU2226" s="58"/>
      <c r="JV2226" s="58"/>
      <c r="JW2226" s="58"/>
    </row>
    <row r="2227" spans="1:283" s="23" customFormat="1" x14ac:dyDescent="0.25">
      <c r="A2227" s="55">
        <v>2226</v>
      </c>
      <c r="B2227" s="12" t="s">
        <v>7067</v>
      </c>
      <c r="C2227" s="156">
        <v>104</v>
      </c>
      <c r="D2227" s="58" t="s">
        <v>4184</v>
      </c>
      <c r="E2227" s="94" t="s">
        <v>2139</v>
      </c>
      <c r="F2227" s="94"/>
      <c r="G2227" s="58"/>
      <c r="H2227" s="58">
        <v>2011</v>
      </c>
      <c r="I2227" s="58">
        <v>1993</v>
      </c>
      <c r="J2227" s="58" t="s">
        <v>1709</v>
      </c>
      <c r="K2227" s="58" t="s">
        <v>2140</v>
      </c>
      <c r="L2227" s="58" t="s">
        <v>2741</v>
      </c>
      <c r="M2227" s="94">
        <v>43.68</v>
      </c>
      <c r="N2227" s="94">
        <v>10.35</v>
      </c>
      <c r="O2227" s="94">
        <v>1.7</v>
      </c>
      <c r="P2227" s="58">
        <v>14.3</v>
      </c>
      <c r="Q2227" s="58"/>
      <c r="R2227" s="58">
        <v>900</v>
      </c>
      <c r="S2227" s="94"/>
      <c r="T2227" s="58"/>
      <c r="U2227" s="58">
        <v>1</v>
      </c>
      <c r="V2227" s="58">
        <v>15</v>
      </c>
      <c r="W2227" s="174"/>
      <c r="X2227" s="174"/>
      <c r="Y2227" s="58" t="s">
        <v>1953</v>
      </c>
      <c r="Z2227" s="58" t="s">
        <v>1356</v>
      </c>
      <c r="AA2227" s="94">
        <v>30</v>
      </c>
      <c r="AB2227" s="67"/>
      <c r="AC2227" s="67"/>
      <c r="AD2227" s="94">
        <v>1.45</v>
      </c>
      <c r="AE2227" s="94">
        <v>44.3</v>
      </c>
      <c r="AF2227" s="94">
        <v>40.200000000000003</v>
      </c>
      <c r="AG2227" s="94"/>
      <c r="AH2227" s="58" t="s">
        <v>139</v>
      </c>
      <c r="AI2227" s="169">
        <v>8.1999999999999993</v>
      </c>
      <c r="AJ2227" s="94"/>
      <c r="AK2227" s="94"/>
      <c r="AL2227" s="58"/>
      <c r="AM2227" s="58" t="s">
        <v>2141</v>
      </c>
      <c r="AN2227" s="186" t="s">
        <v>2000</v>
      </c>
      <c r="AO2227" s="185" t="s">
        <v>5150</v>
      </c>
      <c r="AP2227" s="58"/>
      <c r="AQ2227" s="58" t="s">
        <v>553</v>
      </c>
      <c r="AR2227" s="58" t="s">
        <v>2142</v>
      </c>
      <c r="AS2227" s="58" t="s">
        <v>132</v>
      </c>
      <c r="AT2227" s="182" t="s">
        <v>2142</v>
      </c>
      <c r="AU2227" s="181" t="s">
        <v>5150</v>
      </c>
      <c r="AV2227" s="185" t="s">
        <v>176</v>
      </c>
      <c r="AW2227" s="58"/>
      <c r="AX2227" s="185" t="s">
        <v>176</v>
      </c>
      <c r="AY2227" s="58"/>
      <c r="AZ2227" s="61" t="s">
        <v>2143</v>
      </c>
      <c r="BA2227" s="58"/>
      <c r="BB2227" s="58" t="s">
        <v>2081</v>
      </c>
      <c r="BC2227" s="58" t="s">
        <v>2081</v>
      </c>
      <c r="BD2227" s="58"/>
      <c r="BE2227" s="236" t="s">
        <v>2144</v>
      </c>
      <c r="BF2227" s="58"/>
      <c r="BG2227" s="191" t="s">
        <v>479</v>
      </c>
      <c r="BH2227" s="236"/>
      <c r="BI2227" s="58"/>
      <c r="BJ2227" s="58"/>
      <c r="BK2227" s="58" t="s">
        <v>5976</v>
      </c>
      <c r="BL2227" s="58"/>
      <c r="BM2227" s="237" t="s">
        <v>160</v>
      </c>
      <c r="BN2227" s="58"/>
      <c r="BO2227" s="58"/>
      <c r="BP2227" s="58">
        <v>2</v>
      </c>
      <c r="BQ2227" s="58"/>
      <c r="BR2227" s="58"/>
      <c r="BS2227" s="58"/>
      <c r="BT2227" s="58"/>
      <c r="BU2227" s="58"/>
      <c r="BV2227" s="58"/>
      <c r="BW2227" s="67"/>
      <c r="BX2227" s="67"/>
      <c r="BY2227" s="67"/>
      <c r="BZ2227" s="67"/>
      <c r="CA2227" s="67"/>
      <c r="CB2227" s="68"/>
      <c r="CC2227" s="68"/>
      <c r="CD2227" s="68"/>
      <c r="CE2227" s="67"/>
      <c r="CF2227" s="67"/>
      <c r="CG2227" s="67"/>
      <c r="CH2227" s="94">
        <v>1.45</v>
      </c>
      <c r="CI2227" s="94">
        <v>1.46</v>
      </c>
      <c r="CJ2227" s="67"/>
      <c r="CK2227" s="67"/>
      <c r="CL2227" s="67"/>
      <c r="CM2227" s="67">
        <f>(CR2227*1000000)/(100*100*AD2227*AA2227/100*1000000)*100</f>
        <v>1.0393103448275862</v>
      </c>
      <c r="CN2227" s="67">
        <f>(CS2227*1000000)/(100*100*AD2227*AA2227/100*1000000)*100</f>
        <v>1.026896551724138</v>
      </c>
      <c r="CO2227" s="67"/>
      <c r="CP2227" s="67"/>
      <c r="CQ2227" s="67"/>
      <c r="CR2227" s="67">
        <v>45.21</v>
      </c>
      <c r="CS2227" s="67">
        <v>44.67</v>
      </c>
      <c r="CT2227" s="67"/>
      <c r="CU2227" s="67"/>
      <c r="CV2227" s="67" t="s">
        <v>2052</v>
      </c>
      <c r="CW2227" s="67"/>
      <c r="CX2227" s="67"/>
      <c r="CY2227" s="67"/>
      <c r="CZ2227" s="67"/>
      <c r="DA2227" s="67" t="s">
        <v>4463</v>
      </c>
      <c r="DB2227" s="67">
        <v>5.43</v>
      </c>
      <c r="DC2227" s="67">
        <v>5.41</v>
      </c>
      <c r="DD2227" s="67"/>
      <c r="DE2227" s="67"/>
      <c r="DF2227" s="67" t="s">
        <v>2052</v>
      </c>
      <c r="DG2227" s="67"/>
      <c r="DH2227" s="67"/>
      <c r="DI2227" s="67"/>
      <c r="DJ2227" s="67"/>
      <c r="DK2227" s="67"/>
      <c r="DL2227" s="67"/>
      <c r="DM2227" s="67"/>
      <c r="DN2227" s="67"/>
      <c r="DO2227" s="67"/>
      <c r="DP2227" s="67"/>
      <c r="DQ2227" s="166"/>
      <c r="DR2227" s="166"/>
      <c r="DS2227" s="163"/>
      <c r="DT2227" s="163"/>
      <c r="DU2227" s="67"/>
      <c r="DV2227" s="67"/>
      <c r="DW2227" s="67"/>
      <c r="DX2227" s="67"/>
      <c r="DY2227" s="67"/>
      <c r="DZ2227" s="67"/>
      <c r="EA2227" s="67"/>
      <c r="EB2227" s="67"/>
      <c r="EC2227" s="67"/>
      <c r="ED2227" s="67"/>
      <c r="EE2227" s="67"/>
      <c r="EF2227" s="67"/>
      <c r="EG2227" s="67"/>
      <c r="EH2227" s="67"/>
      <c r="EI2227" s="67"/>
      <c r="EJ2227" s="67"/>
      <c r="EK2227" s="94"/>
      <c r="EL2227" s="94"/>
      <c r="EM2227" s="67"/>
      <c r="EN2227" s="67"/>
      <c r="EO2227" s="67"/>
      <c r="EP2227" s="67"/>
      <c r="EQ2227" s="67"/>
      <c r="ER2227" s="67"/>
      <c r="ES2227" s="67"/>
      <c r="ET2227" s="67"/>
      <c r="EU2227" s="67"/>
      <c r="EV2227" s="67"/>
      <c r="EW2227" s="67"/>
      <c r="EX2227" s="67"/>
      <c r="EY2227" s="67"/>
      <c r="EZ2227" s="67"/>
      <c r="FA2227" s="67"/>
      <c r="FB2227" s="67"/>
      <c r="FC2227" s="67"/>
      <c r="FD2227" s="67"/>
      <c r="FE2227" s="67"/>
      <c r="FF2227" s="67"/>
      <c r="FG2227" s="67"/>
      <c r="FH2227" s="67"/>
      <c r="FI2227" s="67"/>
      <c r="FJ2227" s="67"/>
      <c r="FK2227" s="67"/>
      <c r="FL2227" s="67"/>
      <c r="FM2227" s="67"/>
      <c r="FN2227" s="67"/>
      <c r="FO2227" s="67"/>
      <c r="FP2227" s="67"/>
      <c r="FQ2227" s="67"/>
      <c r="FR2227" s="67"/>
      <c r="FS2227" s="67"/>
      <c r="FT2227" s="67"/>
      <c r="FU2227" s="67"/>
      <c r="FV2227" s="67"/>
      <c r="FW2227" s="67"/>
      <c r="FX2227" s="67"/>
      <c r="FY2227" s="67"/>
      <c r="FZ2227" s="67"/>
      <c r="GA2227" s="67"/>
      <c r="GB2227" s="67"/>
      <c r="GC2227" s="67"/>
      <c r="GD2227" s="67"/>
      <c r="GE2227" s="67"/>
      <c r="GF2227" s="67"/>
      <c r="GG2227" s="67"/>
      <c r="GH2227" s="67"/>
      <c r="GI2227" s="67"/>
      <c r="GJ2227" s="67"/>
      <c r="GK2227" s="67"/>
      <c r="GL2227" s="67"/>
      <c r="GM2227" s="67"/>
      <c r="GN2227" s="292"/>
      <c r="GO2227" s="292"/>
      <c r="GP2227" s="292" t="s">
        <v>7494</v>
      </c>
      <c r="GQ2227" s="67"/>
      <c r="GR2227" s="67"/>
      <c r="GS2227" s="67"/>
      <c r="GT2227" s="67"/>
      <c r="GU2227" s="67"/>
      <c r="GV2227" s="67"/>
      <c r="GW2227" s="67"/>
      <c r="GX2227" s="67"/>
      <c r="GY2227" s="67"/>
      <c r="GZ2227" s="67"/>
      <c r="HA2227" s="67"/>
      <c r="HB2227" s="67"/>
      <c r="HC2227" s="67"/>
      <c r="HD2227" s="67"/>
      <c r="HE2227" s="67"/>
      <c r="HF2227" s="67"/>
      <c r="HG2227" s="67"/>
      <c r="HH2227" s="67"/>
      <c r="HI2227" s="67"/>
      <c r="HJ2227" s="67"/>
      <c r="HK2227" s="67"/>
      <c r="HL2227" s="67"/>
      <c r="HM2227" s="67"/>
      <c r="HN2227" s="67"/>
      <c r="HO2227" s="67"/>
      <c r="HP2227" s="67"/>
      <c r="HQ2227" s="67"/>
      <c r="HR2227" s="67"/>
      <c r="HS2227" s="67"/>
      <c r="HT2227" s="67"/>
      <c r="HU2227" s="67"/>
      <c r="HV2227" s="67"/>
      <c r="HW2227" s="67"/>
      <c r="HX2227" s="67"/>
      <c r="HY2227" s="67"/>
      <c r="HZ2227" s="67"/>
      <c r="IA2227" s="67"/>
      <c r="IB2227" s="67"/>
      <c r="IC2227" s="67"/>
      <c r="ID2227" s="67"/>
      <c r="IE2227" s="67"/>
      <c r="IF2227" s="67"/>
      <c r="IG2227" s="67"/>
      <c r="IH2227" s="67"/>
      <c r="II2227" s="67"/>
      <c r="IJ2227" s="67"/>
      <c r="IK2227" s="67"/>
      <c r="IL2227" s="67"/>
      <c r="IM2227" s="67"/>
      <c r="IN2227" s="67"/>
      <c r="IO2227" s="67"/>
      <c r="IP2227" s="67"/>
      <c r="IQ2227" s="67"/>
      <c r="IR2227" s="67"/>
      <c r="IS2227" s="67"/>
      <c r="IT2227" s="67"/>
      <c r="IU2227" s="67"/>
      <c r="IV2227" s="67"/>
      <c r="IW2227" s="67"/>
      <c r="IX2227" s="67"/>
      <c r="IY2227" s="67"/>
      <c r="IZ2227" s="67"/>
      <c r="JA2227" s="67"/>
      <c r="JB2227" s="67"/>
      <c r="JC2227" s="67"/>
      <c r="JD2227" s="67"/>
      <c r="JE2227" s="67"/>
      <c r="JF2227" s="67"/>
      <c r="JG2227" s="67"/>
      <c r="JH2227" s="67"/>
      <c r="JI2227" s="67"/>
      <c r="JJ2227" s="67"/>
      <c r="JK2227" s="67"/>
      <c r="JL2227" s="67"/>
      <c r="JM2227" s="67"/>
      <c r="JN2227" s="67"/>
      <c r="JO2227" s="67"/>
      <c r="JP2227" s="67"/>
      <c r="JQ2227" s="67"/>
      <c r="JR2227" s="67"/>
      <c r="JS2227" s="67"/>
      <c r="JT2227" s="67"/>
      <c r="JU2227" s="58"/>
      <c r="JV2227" s="58"/>
      <c r="JW2227" s="58"/>
    </row>
    <row r="2228" spans="1:283" s="23" customFormat="1" x14ac:dyDescent="0.25">
      <c r="A2228" s="55">
        <v>2227</v>
      </c>
      <c r="B2228" s="12" t="s">
        <v>7067</v>
      </c>
      <c r="C2228" s="156">
        <v>104</v>
      </c>
      <c r="D2228" s="58" t="s">
        <v>4183</v>
      </c>
      <c r="E2228" s="94" t="s">
        <v>2139</v>
      </c>
      <c r="F2228" s="94"/>
      <c r="G2228" s="58"/>
      <c r="H2228" s="58">
        <v>2011</v>
      </c>
      <c r="I2228" s="58">
        <v>2008</v>
      </c>
      <c r="J2228" s="58" t="s">
        <v>1709</v>
      </c>
      <c r="K2228" s="58" t="s">
        <v>2140</v>
      </c>
      <c r="L2228" s="58" t="s">
        <v>2741</v>
      </c>
      <c r="M2228" s="94">
        <v>43.68</v>
      </c>
      <c r="N2228" s="94">
        <v>10.35</v>
      </c>
      <c r="O2228" s="94">
        <v>1.7</v>
      </c>
      <c r="P2228" s="58">
        <v>14.3</v>
      </c>
      <c r="Q2228" s="58"/>
      <c r="R2228" s="58">
        <v>900</v>
      </c>
      <c r="S2228" s="94"/>
      <c r="T2228" s="58"/>
      <c r="U2228" s="58">
        <v>15</v>
      </c>
      <c r="V2228" s="58">
        <v>15</v>
      </c>
      <c r="W2228" s="174"/>
      <c r="X2228" s="174"/>
      <c r="Y2228" s="58" t="s">
        <v>1953</v>
      </c>
      <c r="Z2228" s="58" t="s">
        <v>1356</v>
      </c>
      <c r="AA2228" s="94">
        <v>30</v>
      </c>
      <c r="AB2228" s="67"/>
      <c r="AC2228" s="67"/>
      <c r="AD2228" s="94">
        <v>1.45</v>
      </c>
      <c r="AE2228" s="94">
        <v>44.3</v>
      </c>
      <c r="AF2228" s="94">
        <v>40.200000000000003</v>
      </c>
      <c r="AG2228" s="94"/>
      <c r="AH2228" s="58" t="s">
        <v>139</v>
      </c>
      <c r="AI2228" s="169">
        <v>8.1999999999999993</v>
      </c>
      <c r="AJ2228" s="94"/>
      <c r="AK2228" s="94"/>
      <c r="AL2228" s="58"/>
      <c r="AM2228" s="58" t="s">
        <v>2141</v>
      </c>
      <c r="AN2228" s="186" t="s">
        <v>2000</v>
      </c>
      <c r="AO2228" s="185" t="s">
        <v>5150</v>
      </c>
      <c r="AP2228" s="58"/>
      <c r="AQ2228" s="58" t="s">
        <v>553</v>
      </c>
      <c r="AR2228" s="58" t="s">
        <v>2146</v>
      </c>
      <c r="AS2228" s="58" t="s">
        <v>1576</v>
      </c>
      <c r="AT2228" s="182" t="s">
        <v>2146</v>
      </c>
      <c r="AU2228" s="181" t="s">
        <v>5150</v>
      </c>
      <c r="AV2228" s="185" t="s">
        <v>479</v>
      </c>
      <c r="AW2228" s="58"/>
      <c r="AX2228" s="185" t="s">
        <v>176</v>
      </c>
      <c r="AY2228" s="58"/>
      <c r="AZ2228" s="61" t="s">
        <v>2143</v>
      </c>
      <c r="BA2228" s="58"/>
      <c r="BB2228" s="58" t="s">
        <v>2081</v>
      </c>
      <c r="BC2228" s="58" t="s">
        <v>2081</v>
      </c>
      <c r="BD2228" s="58"/>
      <c r="BE2228" s="236" t="s">
        <v>2144</v>
      </c>
      <c r="BF2228" s="58"/>
      <c r="BG2228" s="191" t="s">
        <v>479</v>
      </c>
      <c r="BH2228" s="236"/>
      <c r="BI2228" s="58"/>
      <c r="BJ2228" s="58"/>
      <c r="BK2228" s="58" t="s">
        <v>5976</v>
      </c>
      <c r="BL2228" s="58"/>
      <c r="BM2228" s="237" t="s">
        <v>160</v>
      </c>
      <c r="BN2228" s="58"/>
      <c r="BO2228" s="58"/>
      <c r="BP2228" s="58">
        <v>2</v>
      </c>
      <c r="BQ2228" s="58"/>
      <c r="BR2228" s="58"/>
      <c r="BS2228" s="58"/>
      <c r="BT2228" s="58"/>
      <c r="BU2228" s="58"/>
      <c r="BV2228" s="58"/>
      <c r="BW2228" s="67"/>
      <c r="BX2228" s="67"/>
      <c r="BY2228" s="67"/>
      <c r="BZ2228" s="67"/>
      <c r="CA2228" s="67"/>
      <c r="CB2228" s="68"/>
      <c r="CC2228" s="68"/>
      <c r="CD2228" s="68"/>
      <c r="CE2228" s="67"/>
      <c r="CF2228" s="67"/>
      <c r="CG2228" s="67"/>
      <c r="CH2228" s="94">
        <v>1.45</v>
      </c>
      <c r="CI2228" s="94">
        <v>1.46</v>
      </c>
      <c r="CJ2228" s="67"/>
      <c r="CK2228" s="67"/>
      <c r="CL2228" s="67"/>
      <c r="CM2228" s="67">
        <f>(CR2228*1000000)/(100*100*AD2228*AA2228/100*1000000)*100</f>
        <v>1.0574712643678161</v>
      </c>
      <c r="CN2228" s="67">
        <f>(CS2228*1000000)/(100*100*AD2228*AA2228/100*1000000)*100</f>
        <v>1.1151724137931034</v>
      </c>
      <c r="CO2228" s="67"/>
      <c r="CP2228" s="67"/>
      <c r="CQ2228" s="67"/>
      <c r="CR2228" s="67">
        <v>46</v>
      </c>
      <c r="CS2228" s="67">
        <v>48.51</v>
      </c>
      <c r="CT2228" s="67"/>
      <c r="CU2228" s="67"/>
      <c r="CV2228" s="67" t="s">
        <v>2052</v>
      </c>
      <c r="CW2228" s="67"/>
      <c r="CX2228" s="67"/>
      <c r="CY2228" s="67"/>
      <c r="CZ2228" s="67"/>
      <c r="DA2228" s="67" t="s">
        <v>4463</v>
      </c>
      <c r="DB2228" s="67">
        <v>5.14</v>
      </c>
      <c r="DC2228" s="67">
        <v>5.4</v>
      </c>
      <c r="DD2228" s="67"/>
      <c r="DE2228" s="67"/>
      <c r="DF2228" s="67" t="s">
        <v>2052</v>
      </c>
      <c r="DG2228" s="67"/>
      <c r="DH2228" s="67"/>
      <c r="DI2228" s="67"/>
      <c r="DJ2228" s="67"/>
      <c r="DK2228" s="67"/>
      <c r="DL2228" s="67"/>
      <c r="DM2228" s="67"/>
      <c r="DN2228" s="67"/>
      <c r="DO2228" s="67"/>
      <c r="DP2228" s="67"/>
      <c r="DQ2228" s="166"/>
      <c r="DR2228" s="166"/>
      <c r="DS2228" s="163"/>
      <c r="DT2228" s="163"/>
      <c r="DU2228" s="67"/>
      <c r="DV2228" s="67"/>
      <c r="DW2228" s="67"/>
      <c r="DX2228" s="67"/>
      <c r="DY2228" s="67"/>
      <c r="DZ2228" s="67"/>
      <c r="EA2228" s="67"/>
      <c r="EB2228" s="67"/>
      <c r="EC2228" s="67"/>
      <c r="ED2228" s="67"/>
      <c r="EE2228" s="67"/>
      <c r="EF2228" s="67"/>
      <c r="EG2228" s="67"/>
      <c r="EH2228" s="67"/>
      <c r="EI2228" s="67"/>
      <c r="EJ2228" s="67"/>
      <c r="EK2228" s="94"/>
      <c r="EL2228" s="94"/>
      <c r="EM2228" s="67"/>
      <c r="EN2228" s="67"/>
      <c r="EO2228" s="67"/>
      <c r="EP2228" s="67"/>
      <c r="EQ2228" s="67"/>
      <c r="ER2228" s="67"/>
      <c r="ES2228" s="67"/>
      <c r="ET2228" s="67"/>
      <c r="EU2228" s="67"/>
      <c r="EV2228" s="67"/>
      <c r="EW2228" s="67"/>
      <c r="EX2228" s="67"/>
      <c r="EY2228" s="67"/>
      <c r="EZ2228" s="67"/>
      <c r="FA2228" s="67"/>
      <c r="FB2228" s="67"/>
      <c r="FC2228" s="67"/>
      <c r="FD2228" s="67"/>
      <c r="FE2228" s="67"/>
      <c r="FF2228" s="67"/>
      <c r="FG2228" s="67"/>
      <c r="FH2228" s="67"/>
      <c r="FI2228" s="67"/>
      <c r="FJ2228" s="67"/>
      <c r="FK2228" s="67"/>
      <c r="FL2228" s="67"/>
      <c r="FM2228" s="67"/>
      <c r="FN2228" s="67"/>
      <c r="FO2228" s="67"/>
      <c r="FP2228" s="67"/>
      <c r="FQ2228" s="67"/>
      <c r="FR2228" s="67"/>
      <c r="FS2228" s="67"/>
      <c r="FT2228" s="67"/>
      <c r="FU2228" s="67"/>
      <c r="FV2228" s="67"/>
      <c r="FW2228" s="67"/>
      <c r="FX2228" s="67"/>
      <c r="FY2228" s="67"/>
      <c r="FZ2228" s="67"/>
      <c r="GA2228" s="67"/>
      <c r="GB2228" s="67"/>
      <c r="GC2228" s="67"/>
      <c r="GD2228" s="67"/>
      <c r="GE2228" s="67"/>
      <c r="GF2228" s="67"/>
      <c r="GG2228" s="67"/>
      <c r="GH2228" s="67"/>
      <c r="GI2228" s="67"/>
      <c r="GJ2228" s="67"/>
      <c r="GK2228" s="67"/>
      <c r="GL2228" s="67"/>
      <c r="GM2228" s="67"/>
      <c r="GN2228" s="292"/>
      <c r="GO2228" s="292"/>
      <c r="GP2228" s="292" t="s">
        <v>7494</v>
      </c>
      <c r="GQ2228" s="67"/>
      <c r="GR2228" s="67"/>
      <c r="GS2228" s="67"/>
      <c r="GT2228" s="67"/>
      <c r="GU2228" s="67"/>
      <c r="GV2228" s="67"/>
      <c r="GW2228" s="67"/>
      <c r="GX2228" s="67"/>
      <c r="GY2228" s="67"/>
      <c r="GZ2228" s="67"/>
      <c r="HA2228" s="67"/>
      <c r="HB2228" s="67"/>
      <c r="HC2228" s="67"/>
      <c r="HD2228" s="67"/>
      <c r="HE2228" s="67"/>
      <c r="HF2228" s="67"/>
      <c r="HG2228" s="67"/>
      <c r="HH2228" s="67"/>
      <c r="HI2228" s="67"/>
      <c r="HJ2228" s="67"/>
      <c r="HK2228" s="67"/>
      <c r="HL2228" s="67"/>
      <c r="HM2228" s="67"/>
      <c r="HN2228" s="67"/>
      <c r="HO2228" s="67"/>
      <c r="HP2228" s="67"/>
      <c r="HQ2228" s="67"/>
      <c r="HR2228" s="67"/>
      <c r="HS2228" s="67"/>
      <c r="HT2228" s="67"/>
      <c r="HU2228" s="67"/>
      <c r="HV2228" s="67"/>
      <c r="HW2228" s="67"/>
      <c r="HX2228" s="67"/>
      <c r="HY2228" s="67"/>
      <c r="HZ2228" s="67"/>
      <c r="IA2228" s="67"/>
      <c r="IB2228" s="67"/>
      <c r="IC2228" s="67"/>
      <c r="ID2228" s="67"/>
      <c r="IE2228" s="67"/>
      <c r="IF2228" s="67"/>
      <c r="IG2228" s="67"/>
      <c r="IH2228" s="67"/>
      <c r="II2228" s="67"/>
      <c r="IJ2228" s="67"/>
      <c r="IK2228" s="67"/>
      <c r="IL2228" s="67"/>
      <c r="IM2228" s="67"/>
      <c r="IN2228" s="67"/>
      <c r="IO2228" s="67"/>
      <c r="IP2228" s="67"/>
      <c r="IQ2228" s="67"/>
      <c r="IR2228" s="67"/>
      <c r="IS2228" s="67"/>
      <c r="IT2228" s="67"/>
      <c r="IU2228" s="67"/>
      <c r="IV2228" s="67"/>
      <c r="IW2228" s="67"/>
      <c r="IX2228" s="67"/>
      <c r="IY2228" s="67"/>
      <c r="IZ2228" s="67"/>
      <c r="JA2228" s="67"/>
      <c r="JB2228" s="67"/>
      <c r="JC2228" s="67"/>
      <c r="JD2228" s="67"/>
      <c r="JE2228" s="67"/>
      <c r="JF2228" s="67"/>
      <c r="JG2228" s="67"/>
      <c r="JH2228" s="67"/>
      <c r="JI2228" s="67"/>
      <c r="JJ2228" s="67"/>
      <c r="JK2228" s="67"/>
      <c r="JL2228" s="67"/>
      <c r="JM2228" s="67"/>
      <c r="JN2228" s="67"/>
      <c r="JO2228" s="67"/>
      <c r="JP2228" s="67"/>
      <c r="JQ2228" s="67"/>
      <c r="JR2228" s="67"/>
      <c r="JS2228" s="67"/>
      <c r="JT2228" s="67"/>
      <c r="JU2228" s="58"/>
      <c r="JV2228" s="58"/>
      <c r="JW2228" s="58"/>
    </row>
    <row r="2229" spans="1:283" s="23" customFormat="1" x14ac:dyDescent="0.25">
      <c r="A2229" s="55">
        <v>2228</v>
      </c>
      <c r="B2229" s="12" t="s">
        <v>7067</v>
      </c>
      <c r="C2229" s="156">
        <v>104</v>
      </c>
      <c r="D2229" s="58" t="s">
        <v>4183</v>
      </c>
      <c r="E2229" s="94" t="s">
        <v>2139</v>
      </c>
      <c r="F2229" s="94"/>
      <c r="G2229" s="58"/>
      <c r="H2229" s="58">
        <v>2011</v>
      </c>
      <c r="I2229" s="58">
        <v>2008</v>
      </c>
      <c r="J2229" s="58" t="s">
        <v>1709</v>
      </c>
      <c r="K2229" s="58" t="s">
        <v>2140</v>
      </c>
      <c r="L2229" s="58" t="s">
        <v>2741</v>
      </c>
      <c r="M2229" s="94">
        <v>43.68</v>
      </c>
      <c r="N2229" s="94">
        <v>10.35</v>
      </c>
      <c r="O2229" s="94">
        <v>1.7</v>
      </c>
      <c r="P2229" s="58">
        <v>14.3</v>
      </c>
      <c r="Q2229" s="58"/>
      <c r="R2229" s="58">
        <v>900</v>
      </c>
      <c r="S2229" s="94"/>
      <c r="T2229" s="58"/>
      <c r="U2229" s="58">
        <v>15</v>
      </c>
      <c r="V2229" s="58">
        <v>15</v>
      </c>
      <c r="W2229" s="174"/>
      <c r="X2229" s="174"/>
      <c r="Y2229" s="58" t="s">
        <v>1953</v>
      </c>
      <c r="Z2229" s="58" t="s">
        <v>1356</v>
      </c>
      <c r="AA2229" s="94">
        <v>30</v>
      </c>
      <c r="AB2229" s="67"/>
      <c r="AC2229" s="67"/>
      <c r="AD2229" s="94">
        <v>1.45</v>
      </c>
      <c r="AE2229" s="94">
        <v>44.3</v>
      </c>
      <c r="AF2229" s="94">
        <v>40.200000000000003</v>
      </c>
      <c r="AG2229" s="94"/>
      <c r="AH2229" s="58" t="s">
        <v>139</v>
      </c>
      <c r="AI2229" s="169">
        <v>8.1999999999999993</v>
      </c>
      <c r="AJ2229" s="94"/>
      <c r="AK2229" s="94"/>
      <c r="AL2229" s="58"/>
      <c r="AM2229" s="58" t="s">
        <v>2141</v>
      </c>
      <c r="AN2229" s="186" t="s">
        <v>2000</v>
      </c>
      <c r="AO2229" s="185" t="s">
        <v>5150</v>
      </c>
      <c r="AP2229" s="58"/>
      <c r="AQ2229" s="58" t="s">
        <v>553</v>
      </c>
      <c r="AR2229" s="58" t="s">
        <v>2146</v>
      </c>
      <c r="AS2229" s="58" t="s">
        <v>1576</v>
      </c>
      <c r="AT2229" s="182" t="s">
        <v>2146</v>
      </c>
      <c r="AU2229" s="181" t="s">
        <v>5150</v>
      </c>
      <c r="AV2229" s="185" t="s">
        <v>479</v>
      </c>
      <c r="AW2229" s="58"/>
      <c r="AX2229" s="185" t="s">
        <v>176</v>
      </c>
      <c r="AY2229" s="58"/>
      <c r="AZ2229" s="61" t="s">
        <v>2143</v>
      </c>
      <c r="BA2229" s="58"/>
      <c r="BB2229" s="58" t="s">
        <v>2081</v>
      </c>
      <c r="BC2229" s="58" t="s">
        <v>2081</v>
      </c>
      <c r="BD2229" s="58"/>
      <c r="BE2229" s="236" t="s">
        <v>2144</v>
      </c>
      <c r="BF2229" s="58"/>
      <c r="BG2229" s="191" t="s">
        <v>479</v>
      </c>
      <c r="BH2229" s="236"/>
      <c r="BI2229" s="58"/>
      <c r="BJ2229" s="58"/>
      <c r="BK2229" s="58" t="s">
        <v>5976</v>
      </c>
      <c r="BL2229" s="58"/>
      <c r="BM2229" s="237" t="s">
        <v>160</v>
      </c>
      <c r="BN2229" s="58"/>
      <c r="BO2229" s="58"/>
      <c r="BP2229" s="58">
        <v>2</v>
      </c>
      <c r="BQ2229" s="58"/>
      <c r="BR2229" s="58"/>
      <c r="BS2229" s="58"/>
      <c r="BT2229" s="58"/>
      <c r="BU2229" s="58"/>
      <c r="BV2229" s="58"/>
      <c r="BW2229" s="67"/>
      <c r="BX2229" s="67"/>
      <c r="BY2229" s="67"/>
      <c r="BZ2229" s="67"/>
      <c r="CA2229" s="67"/>
      <c r="CB2229" s="68"/>
      <c r="CC2229" s="68"/>
      <c r="CD2229" s="68"/>
      <c r="CE2229" s="67"/>
      <c r="CF2229" s="67"/>
      <c r="CG2229" s="67"/>
      <c r="CH2229" s="94">
        <v>1.45</v>
      </c>
      <c r="CI2229" s="94">
        <v>1.46</v>
      </c>
      <c r="CJ2229" s="67"/>
      <c r="CK2229" s="67"/>
      <c r="CL2229" s="67"/>
      <c r="CM2229" s="67">
        <f>(CR2229*1000000)/(100*100*AD2229*AA2229/100*1000000)*100</f>
        <v>1.0574712643678161</v>
      </c>
      <c r="CN2229" s="67">
        <f>(CS2229*1000000)/(100*100*AD2229*AA2229/100*1000000)*100</f>
        <v>1.1611494252873564</v>
      </c>
      <c r="CO2229" s="67"/>
      <c r="CP2229" s="67"/>
      <c r="CQ2229" s="67"/>
      <c r="CR2229" s="67">
        <v>46</v>
      </c>
      <c r="CS2229" s="67">
        <v>50.51</v>
      </c>
      <c r="CT2229" s="67"/>
      <c r="CU2229" s="67"/>
      <c r="CV2229" s="67" t="s">
        <v>2052</v>
      </c>
      <c r="CW2229" s="67"/>
      <c r="CX2229" s="67"/>
      <c r="CY2229" s="67"/>
      <c r="CZ2229" s="67"/>
      <c r="DA2229" s="67" t="s">
        <v>4463</v>
      </c>
      <c r="DB2229" s="67">
        <v>5.14</v>
      </c>
      <c r="DC2229" s="67">
        <v>5.5</v>
      </c>
      <c r="DD2229" s="67"/>
      <c r="DE2229" s="67"/>
      <c r="DF2229" s="67" t="s">
        <v>2052</v>
      </c>
      <c r="DG2229" s="67"/>
      <c r="DH2229" s="67"/>
      <c r="DI2229" s="67"/>
      <c r="DJ2229" s="67"/>
      <c r="DK2229" s="67"/>
      <c r="DL2229" s="67"/>
      <c r="DM2229" s="67"/>
      <c r="DN2229" s="67"/>
      <c r="DO2229" s="67"/>
      <c r="DP2229" s="67"/>
      <c r="DQ2229" s="166"/>
      <c r="DR2229" s="166"/>
      <c r="DS2229" s="163"/>
      <c r="DT2229" s="163"/>
      <c r="DU2229" s="67"/>
      <c r="DV2229" s="67"/>
      <c r="DW2229" s="67"/>
      <c r="DX2229" s="67"/>
      <c r="DY2229" s="67"/>
      <c r="DZ2229" s="67"/>
      <c r="EA2229" s="67"/>
      <c r="EB2229" s="67"/>
      <c r="EC2229" s="67"/>
      <c r="ED2229" s="67"/>
      <c r="EE2229" s="67"/>
      <c r="EF2229" s="67"/>
      <c r="EG2229" s="67"/>
      <c r="EH2229" s="67"/>
      <c r="EI2229" s="67"/>
      <c r="EJ2229" s="67"/>
      <c r="EK2229" s="94"/>
      <c r="EL2229" s="94"/>
      <c r="EM2229" s="67"/>
      <c r="EN2229" s="67"/>
      <c r="EO2229" s="67"/>
      <c r="EP2229" s="67"/>
      <c r="EQ2229" s="67"/>
      <c r="ER2229" s="67"/>
      <c r="ES2229" s="67"/>
      <c r="ET2229" s="67"/>
      <c r="EU2229" s="67"/>
      <c r="EV2229" s="67"/>
      <c r="EW2229" s="67"/>
      <c r="EX2229" s="67"/>
      <c r="EY2229" s="67"/>
      <c r="EZ2229" s="67"/>
      <c r="FA2229" s="67"/>
      <c r="FB2229" s="67"/>
      <c r="FC2229" s="67"/>
      <c r="FD2229" s="67"/>
      <c r="FE2229" s="67"/>
      <c r="FF2229" s="67"/>
      <c r="FG2229" s="67"/>
      <c r="FH2229" s="67"/>
      <c r="FI2229" s="67"/>
      <c r="FJ2229" s="67"/>
      <c r="FK2229" s="67"/>
      <c r="FL2229" s="67"/>
      <c r="FM2229" s="67"/>
      <c r="FN2229" s="67"/>
      <c r="FO2229" s="67"/>
      <c r="FP2229" s="67"/>
      <c r="FQ2229" s="67"/>
      <c r="FR2229" s="67"/>
      <c r="FS2229" s="67"/>
      <c r="FT2229" s="67"/>
      <c r="FU2229" s="67"/>
      <c r="FV2229" s="67"/>
      <c r="FW2229" s="67"/>
      <c r="FX2229" s="67"/>
      <c r="FY2229" s="67"/>
      <c r="FZ2229" s="67"/>
      <c r="GA2229" s="67"/>
      <c r="GB2229" s="67"/>
      <c r="GC2229" s="67"/>
      <c r="GD2229" s="67"/>
      <c r="GE2229" s="67"/>
      <c r="GF2229" s="67"/>
      <c r="GG2229" s="67"/>
      <c r="GH2229" s="67"/>
      <c r="GI2229" s="67"/>
      <c r="GJ2229" s="67"/>
      <c r="GK2229" s="67"/>
      <c r="GL2229" s="67"/>
      <c r="GM2229" s="67"/>
      <c r="GN2229" s="292"/>
      <c r="GO2229" s="292"/>
      <c r="GP2229" s="292" t="s">
        <v>7494</v>
      </c>
      <c r="GQ2229" s="67"/>
      <c r="GR2229" s="67"/>
      <c r="GS2229" s="67"/>
      <c r="GT2229" s="67"/>
      <c r="GU2229" s="67"/>
      <c r="GV2229" s="67"/>
      <c r="GW2229" s="67"/>
      <c r="GX2229" s="67"/>
      <c r="GY2229" s="67"/>
      <c r="GZ2229" s="67"/>
      <c r="HA2229" s="67"/>
      <c r="HB2229" s="67"/>
      <c r="HC2229" s="67"/>
      <c r="HD2229" s="67"/>
      <c r="HE2229" s="67"/>
      <c r="HF2229" s="67"/>
      <c r="HG2229" s="67"/>
      <c r="HH2229" s="67"/>
      <c r="HI2229" s="67"/>
      <c r="HJ2229" s="67"/>
      <c r="HK2229" s="67"/>
      <c r="HL2229" s="67"/>
      <c r="HM2229" s="67"/>
      <c r="HN2229" s="67"/>
      <c r="HO2229" s="67"/>
      <c r="HP2229" s="67"/>
      <c r="HQ2229" s="67"/>
      <c r="HR2229" s="67"/>
      <c r="HS2229" s="67"/>
      <c r="HT2229" s="67"/>
      <c r="HU2229" s="67"/>
      <c r="HV2229" s="67"/>
      <c r="HW2229" s="67"/>
      <c r="HX2229" s="67"/>
      <c r="HY2229" s="67"/>
      <c r="HZ2229" s="67"/>
      <c r="IA2229" s="67"/>
      <c r="IB2229" s="67"/>
      <c r="IC2229" s="67"/>
      <c r="ID2229" s="67"/>
      <c r="IE2229" s="67"/>
      <c r="IF2229" s="67"/>
      <c r="IG2229" s="67"/>
      <c r="IH2229" s="67"/>
      <c r="II2229" s="67"/>
      <c r="IJ2229" s="67"/>
      <c r="IK2229" s="67"/>
      <c r="IL2229" s="67"/>
      <c r="IM2229" s="67"/>
      <c r="IN2229" s="67"/>
      <c r="IO2229" s="67"/>
      <c r="IP2229" s="67"/>
      <c r="IQ2229" s="67"/>
      <c r="IR2229" s="67"/>
      <c r="IS2229" s="67"/>
      <c r="IT2229" s="67"/>
      <c r="IU2229" s="67"/>
      <c r="IV2229" s="67"/>
      <c r="IW2229" s="67"/>
      <c r="IX2229" s="67"/>
      <c r="IY2229" s="67"/>
      <c r="IZ2229" s="67"/>
      <c r="JA2229" s="67"/>
      <c r="JB2229" s="67"/>
      <c r="JC2229" s="67"/>
      <c r="JD2229" s="67"/>
      <c r="JE2229" s="67"/>
      <c r="JF2229" s="67"/>
      <c r="JG2229" s="67"/>
      <c r="JH2229" s="67"/>
      <c r="JI2229" s="67"/>
      <c r="JJ2229" s="67"/>
      <c r="JK2229" s="67"/>
      <c r="JL2229" s="67"/>
      <c r="JM2229" s="67"/>
      <c r="JN2229" s="67"/>
      <c r="JO2229" s="67"/>
      <c r="JP2229" s="67"/>
      <c r="JQ2229" s="67"/>
      <c r="JR2229" s="67"/>
      <c r="JS2229" s="67"/>
      <c r="JT2229" s="67"/>
      <c r="JU2229" s="58"/>
      <c r="JV2229" s="58"/>
      <c r="JW2229" s="58"/>
    </row>
    <row r="2230" spans="1:283" s="23" customFormat="1" x14ac:dyDescent="0.25">
      <c r="A2230" s="55">
        <v>2229</v>
      </c>
      <c r="B2230" s="12" t="s">
        <v>7067</v>
      </c>
      <c r="C2230" s="156">
        <v>104</v>
      </c>
      <c r="D2230" s="58" t="s">
        <v>4184</v>
      </c>
      <c r="E2230" s="94" t="s">
        <v>2139</v>
      </c>
      <c r="F2230" s="94"/>
      <c r="G2230" s="58"/>
      <c r="H2230" s="58">
        <v>2011</v>
      </c>
      <c r="I2230" s="58">
        <v>2008</v>
      </c>
      <c r="J2230" s="58" t="s">
        <v>1709</v>
      </c>
      <c r="K2230" s="58" t="s">
        <v>2140</v>
      </c>
      <c r="L2230" s="58" t="s">
        <v>2741</v>
      </c>
      <c r="M2230" s="94">
        <v>43.68</v>
      </c>
      <c r="N2230" s="94">
        <v>10.35</v>
      </c>
      <c r="O2230" s="94">
        <v>1.7</v>
      </c>
      <c r="P2230" s="58">
        <v>14.3</v>
      </c>
      <c r="Q2230" s="58"/>
      <c r="R2230" s="58">
        <v>900</v>
      </c>
      <c r="S2230" s="94"/>
      <c r="T2230" s="58"/>
      <c r="U2230" s="58">
        <v>15</v>
      </c>
      <c r="V2230" s="58">
        <v>15</v>
      </c>
      <c r="W2230" s="174"/>
      <c r="X2230" s="174"/>
      <c r="Y2230" s="58" t="s">
        <v>1953</v>
      </c>
      <c r="Z2230" s="58" t="s">
        <v>1356</v>
      </c>
      <c r="AA2230" s="94">
        <v>30</v>
      </c>
      <c r="AB2230" s="67"/>
      <c r="AC2230" s="67"/>
      <c r="AD2230" s="94">
        <v>1.45</v>
      </c>
      <c r="AE2230" s="94">
        <v>44.3</v>
      </c>
      <c r="AF2230" s="94">
        <v>40.200000000000003</v>
      </c>
      <c r="AG2230" s="94"/>
      <c r="AH2230" s="58" t="s">
        <v>139</v>
      </c>
      <c r="AI2230" s="169">
        <v>8.1999999999999993</v>
      </c>
      <c r="AJ2230" s="94"/>
      <c r="AK2230" s="94"/>
      <c r="AL2230" s="58"/>
      <c r="AM2230" s="58" t="s">
        <v>2141</v>
      </c>
      <c r="AN2230" s="186" t="s">
        <v>2147</v>
      </c>
      <c r="AO2230" s="185" t="s">
        <v>5150</v>
      </c>
      <c r="AP2230" s="58"/>
      <c r="AQ2230" s="58" t="s">
        <v>553</v>
      </c>
      <c r="AR2230" s="58" t="s">
        <v>2142</v>
      </c>
      <c r="AS2230" s="58" t="s">
        <v>132</v>
      </c>
      <c r="AT2230" s="182" t="s">
        <v>2142</v>
      </c>
      <c r="AU2230" s="181" t="s">
        <v>5150</v>
      </c>
      <c r="AV2230" s="185" t="s">
        <v>176</v>
      </c>
      <c r="AW2230" s="58"/>
      <c r="AX2230" s="185" t="s">
        <v>176</v>
      </c>
      <c r="AY2230" s="58"/>
      <c r="AZ2230" s="61" t="s">
        <v>2143</v>
      </c>
      <c r="BA2230" s="58"/>
      <c r="BB2230" s="58" t="s">
        <v>2081</v>
      </c>
      <c r="BC2230" s="58" t="s">
        <v>2081</v>
      </c>
      <c r="BD2230" s="58"/>
      <c r="BE2230" s="236" t="s">
        <v>2144</v>
      </c>
      <c r="BF2230" s="58"/>
      <c r="BG2230" s="191" t="s">
        <v>479</v>
      </c>
      <c r="BH2230" s="236"/>
      <c r="BI2230" s="58"/>
      <c r="BJ2230" s="58"/>
      <c r="BK2230" s="58" t="s">
        <v>5976</v>
      </c>
      <c r="BL2230" s="58"/>
      <c r="BM2230" s="237" t="s">
        <v>160</v>
      </c>
      <c r="BN2230" s="58"/>
      <c r="BO2230" s="58"/>
      <c r="BP2230" s="58">
        <v>2</v>
      </c>
      <c r="BQ2230" s="58"/>
      <c r="BR2230" s="58"/>
      <c r="BS2230" s="58"/>
      <c r="BT2230" s="58"/>
      <c r="BU2230" s="58"/>
      <c r="BV2230" s="58"/>
      <c r="BW2230" s="67"/>
      <c r="BX2230" s="67"/>
      <c r="BY2230" s="67"/>
      <c r="BZ2230" s="67"/>
      <c r="CA2230" s="67"/>
      <c r="CB2230" s="68"/>
      <c r="CC2230" s="68"/>
      <c r="CD2230" s="68"/>
      <c r="CE2230" s="67"/>
      <c r="CF2230" s="67"/>
      <c r="CG2230" s="67"/>
      <c r="CH2230" s="94">
        <v>1.45</v>
      </c>
      <c r="CI2230" s="94">
        <v>1.46</v>
      </c>
      <c r="CJ2230" s="67"/>
      <c r="CK2230" s="67"/>
      <c r="CL2230" s="67"/>
      <c r="CM2230" s="67">
        <f>(CR2230*1000000)/(100*100*AD2230*AA2230/100*1000000)*100</f>
        <v>1.0574712643678161</v>
      </c>
      <c r="CN2230" s="67">
        <f>(CS2230*1000000)/(100*100*AD2230*AA2230/100*1000000)*100</f>
        <v>1.1765517241379311</v>
      </c>
      <c r="CO2230" s="67"/>
      <c r="CP2230" s="67"/>
      <c r="CQ2230" s="67"/>
      <c r="CR2230" s="67">
        <v>46</v>
      </c>
      <c r="CS2230" s="67">
        <v>51.18</v>
      </c>
      <c r="CT2230" s="67"/>
      <c r="CU2230" s="67"/>
      <c r="CV2230" s="67" t="s">
        <v>2052</v>
      </c>
      <c r="CW2230" s="67"/>
      <c r="CX2230" s="67"/>
      <c r="CY2230" s="67"/>
      <c r="CZ2230" s="67"/>
      <c r="DA2230" s="67" t="s">
        <v>4463</v>
      </c>
      <c r="DB2230" s="67">
        <v>5.14</v>
      </c>
      <c r="DC2230" s="67">
        <v>5.71</v>
      </c>
      <c r="DD2230" s="67"/>
      <c r="DE2230" s="67"/>
      <c r="DF2230" s="67" t="s">
        <v>2052</v>
      </c>
      <c r="DG2230" s="67"/>
      <c r="DH2230" s="67"/>
      <c r="DI2230" s="67"/>
      <c r="DJ2230" s="67"/>
      <c r="DK2230" s="67"/>
      <c r="DL2230" s="67"/>
      <c r="DM2230" s="67"/>
      <c r="DN2230" s="67"/>
      <c r="DO2230" s="67"/>
      <c r="DP2230" s="67"/>
      <c r="DQ2230" s="166"/>
      <c r="DR2230" s="166"/>
      <c r="DS2230" s="163"/>
      <c r="DT2230" s="163"/>
      <c r="DU2230" s="67"/>
      <c r="DV2230" s="67"/>
      <c r="DW2230" s="67"/>
      <c r="DX2230" s="67"/>
      <c r="DY2230" s="67"/>
      <c r="DZ2230" s="67"/>
      <c r="EA2230" s="67"/>
      <c r="EB2230" s="67"/>
      <c r="EC2230" s="67"/>
      <c r="ED2230" s="67"/>
      <c r="EE2230" s="67"/>
      <c r="EF2230" s="67"/>
      <c r="EG2230" s="67"/>
      <c r="EH2230" s="67"/>
      <c r="EI2230" s="67"/>
      <c r="EJ2230" s="67"/>
      <c r="EK2230" s="94"/>
      <c r="EL2230" s="94"/>
      <c r="EM2230" s="67"/>
      <c r="EN2230" s="67"/>
      <c r="EO2230" s="67"/>
      <c r="EP2230" s="67"/>
      <c r="EQ2230" s="67"/>
      <c r="ER2230" s="67"/>
      <c r="ES2230" s="67"/>
      <c r="ET2230" s="67"/>
      <c r="EU2230" s="67"/>
      <c r="EV2230" s="67"/>
      <c r="EW2230" s="67"/>
      <c r="EX2230" s="67"/>
      <c r="EY2230" s="67"/>
      <c r="EZ2230" s="67"/>
      <c r="FA2230" s="67"/>
      <c r="FB2230" s="67"/>
      <c r="FC2230" s="67"/>
      <c r="FD2230" s="67"/>
      <c r="FE2230" s="67"/>
      <c r="FF2230" s="67"/>
      <c r="FG2230" s="67"/>
      <c r="FH2230" s="67"/>
      <c r="FI2230" s="67"/>
      <c r="FJ2230" s="67"/>
      <c r="FK2230" s="67"/>
      <c r="FL2230" s="67"/>
      <c r="FM2230" s="67"/>
      <c r="FN2230" s="67"/>
      <c r="FO2230" s="67"/>
      <c r="FP2230" s="67"/>
      <c r="FQ2230" s="67"/>
      <c r="FR2230" s="67"/>
      <c r="FS2230" s="67"/>
      <c r="FT2230" s="67"/>
      <c r="FU2230" s="67"/>
      <c r="FV2230" s="67"/>
      <c r="FW2230" s="67"/>
      <c r="FX2230" s="67"/>
      <c r="FY2230" s="67"/>
      <c r="FZ2230" s="67"/>
      <c r="GA2230" s="67"/>
      <c r="GB2230" s="67"/>
      <c r="GC2230" s="67"/>
      <c r="GD2230" s="67"/>
      <c r="GE2230" s="67"/>
      <c r="GF2230" s="67"/>
      <c r="GG2230" s="67"/>
      <c r="GH2230" s="67"/>
      <c r="GI2230" s="67"/>
      <c r="GJ2230" s="67"/>
      <c r="GK2230" s="67"/>
      <c r="GL2230" s="67"/>
      <c r="GM2230" s="67"/>
      <c r="GN2230" s="292"/>
      <c r="GO2230" s="292"/>
      <c r="GP2230" s="292" t="s">
        <v>7494</v>
      </c>
      <c r="GQ2230" s="67"/>
      <c r="GR2230" s="67"/>
      <c r="GS2230" s="67"/>
      <c r="GT2230" s="67"/>
      <c r="GU2230" s="67"/>
      <c r="GV2230" s="67"/>
      <c r="GW2230" s="67"/>
      <c r="GX2230" s="67"/>
      <c r="GY2230" s="67"/>
      <c r="GZ2230" s="67"/>
      <c r="HA2230" s="67"/>
      <c r="HB2230" s="67"/>
      <c r="HC2230" s="67"/>
      <c r="HD2230" s="67"/>
      <c r="HE2230" s="67"/>
      <c r="HF2230" s="67"/>
      <c r="HG2230" s="67"/>
      <c r="HH2230" s="67"/>
      <c r="HI2230" s="67"/>
      <c r="HJ2230" s="67"/>
      <c r="HK2230" s="67"/>
      <c r="HL2230" s="67"/>
      <c r="HM2230" s="67"/>
      <c r="HN2230" s="67"/>
      <c r="HO2230" s="67"/>
      <c r="HP2230" s="67"/>
      <c r="HQ2230" s="67"/>
      <c r="HR2230" s="67"/>
      <c r="HS2230" s="67"/>
      <c r="HT2230" s="67"/>
      <c r="HU2230" s="67"/>
      <c r="HV2230" s="67"/>
      <c r="HW2230" s="67"/>
      <c r="HX2230" s="67"/>
      <c r="HY2230" s="67"/>
      <c r="HZ2230" s="67"/>
      <c r="IA2230" s="67"/>
      <c r="IB2230" s="67"/>
      <c r="IC2230" s="67"/>
      <c r="ID2230" s="67"/>
      <c r="IE2230" s="67"/>
      <c r="IF2230" s="67"/>
      <c r="IG2230" s="67"/>
      <c r="IH2230" s="67"/>
      <c r="II2230" s="67"/>
      <c r="IJ2230" s="67"/>
      <c r="IK2230" s="67"/>
      <c r="IL2230" s="67"/>
      <c r="IM2230" s="67"/>
      <c r="IN2230" s="67"/>
      <c r="IO2230" s="67"/>
      <c r="IP2230" s="67"/>
      <c r="IQ2230" s="67"/>
      <c r="IR2230" s="67"/>
      <c r="IS2230" s="67"/>
      <c r="IT2230" s="67"/>
      <c r="IU2230" s="67"/>
      <c r="IV2230" s="67"/>
      <c r="IW2230" s="67"/>
      <c r="IX2230" s="67"/>
      <c r="IY2230" s="67"/>
      <c r="IZ2230" s="67"/>
      <c r="JA2230" s="67"/>
      <c r="JB2230" s="67"/>
      <c r="JC2230" s="67"/>
      <c r="JD2230" s="67"/>
      <c r="JE2230" s="67"/>
      <c r="JF2230" s="67"/>
      <c r="JG2230" s="67"/>
      <c r="JH2230" s="67"/>
      <c r="JI2230" s="67"/>
      <c r="JJ2230" s="67"/>
      <c r="JK2230" s="67"/>
      <c r="JL2230" s="67"/>
      <c r="JM2230" s="67"/>
      <c r="JN2230" s="67"/>
      <c r="JO2230" s="67"/>
      <c r="JP2230" s="67"/>
      <c r="JQ2230" s="67"/>
      <c r="JR2230" s="67"/>
      <c r="JS2230" s="67"/>
      <c r="JT2230" s="67"/>
      <c r="JU2230" s="58"/>
      <c r="JV2230" s="58"/>
      <c r="JW2230" s="58"/>
    </row>
    <row r="2231" spans="1:283" s="23" customFormat="1" x14ac:dyDescent="0.25">
      <c r="A2231" s="55">
        <v>2230</v>
      </c>
      <c r="B2231" s="12" t="s">
        <v>7067</v>
      </c>
      <c r="C2231" s="156">
        <v>105</v>
      </c>
      <c r="D2231" s="58" t="s">
        <v>4186</v>
      </c>
      <c r="E2231" s="93" t="s">
        <v>2148</v>
      </c>
      <c r="F2231" s="93"/>
      <c r="G2231" s="58"/>
      <c r="H2231" s="59">
        <v>2007</v>
      </c>
      <c r="I2231" s="58">
        <v>1998</v>
      </c>
      <c r="J2231" s="58" t="s">
        <v>1709</v>
      </c>
      <c r="K2231" s="59" t="s">
        <v>2149</v>
      </c>
      <c r="L2231" s="59" t="s">
        <v>5334</v>
      </c>
      <c r="M2231" s="94">
        <v>-16.690000000000001</v>
      </c>
      <c r="N2231" s="94">
        <v>-49.26</v>
      </c>
      <c r="O2231" s="94">
        <v>789.7</v>
      </c>
      <c r="P2231" s="58">
        <v>22.5</v>
      </c>
      <c r="Q2231" s="58"/>
      <c r="R2231" s="58">
        <v>1500</v>
      </c>
      <c r="S2231" s="94"/>
      <c r="T2231" s="58"/>
      <c r="U2231" s="58">
        <v>1</v>
      </c>
      <c r="V2231" s="58">
        <v>5</v>
      </c>
      <c r="W2231" s="174"/>
      <c r="X2231" s="174"/>
      <c r="Y2231" s="58" t="s">
        <v>1974</v>
      </c>
      <c r="Z2231" s="58" t="s">
        <v>1356</v>
      </c>
      <c r="AA2231" s="94">
        <v>30</v>
      </c>
      <c r="AB2231" s="67"/>
      <c r="AC2231" s="67"/>
      <c r="AD2231" s="94">
        <v>1.23</v>
      </c>
      <c r="AE2231" s="94">
        <v>20</v>
      </c>
      <c r="AF2231" s="94">
        <v>30</v>
      </c>
      <c r="AG2231" s="94"/>
      <c r="AH2231" s="58" t="s">
        <v>769</v>
      </c>
      <c r="AI2231" s="169"/>
      <c r="AJ2231" s="94">
        <v>1.665</v>
      </c>
      <c r="AK2231" s="94"/>
      <c r="AL2231" s="58"/>
      <c r="AM2231" s="58" t="s">
        <v>2150</v>
      </c>
      <c r="AN2231" s="186" t="s">
        <v>2247</v>
      </c>
      <c r="AO2231" s="185" t="s">
        <v>5150</v>
      </c>
      <c r="AP2231" s="58"/>
      <c r="AQ2231" s="58" t="s">
        <v>1546</v>
      </c>
      <c r="AR2231" s="58" t="s">
        <v>1096</v>
      </c>
      <c r="AS2231" s="55" t="s">
        <v>5133</v>
      </c>
      <c r="AT2231" s="182"/>
      <c r="AU2231" s="181" t="s">
        <v>7494</v>
      </c>
      <c r="AV2231" s="185" t="s">
        <v>176</v>
      </c>
      <c r="AW2231" s="58"/>
      <c r="AX2231" s="185" t="s">
        <v>176</v>
      </c>
      <c r="AY2231" s="58"/>
      <c r="AZ2231" s="58" t="s">
        <v>2248</v>
      </c>
      <c r="BA2231" s="58" t="s">
        <v>2249</v>
      </c>
      <c r="BB2231" s="58" t="s">
        <v>2081</v>
      </c>
      <c r="BC2231" s="58" t="s">
        <v>2082</v>
      </c>
      <c r="BD2231" s="58" t="s">
        <v>479</v>
      </c>
      <c r="BE2231" s="236" t="s">
        <v>2151</v>
      </c>
      <c r="BF2231" s="58"/>
      <c r="BG2231" s="191" t="s">
        <v>479</v>
      </c>
      <c r="BH2231" s="236"/>
      <c r="BI2231" s="58"/>
      <c r="BJ2231" s="58"/>
      <c r="BK2231" s="58" t="s">
        <v>6269</v>
      </c>
      <c r="BL2231" s="58"/>
      <c r="BM2231" s="237" t="s">
        <v>160</v>
      </c>
      <c r="BN2231" s="58">
        <v>6</v>
      </c>
      <c r="BO2231" s="58">
        <v>6</v>
      </c>
      <c r="BP2231" s="58">
        <v>6</v>
      </c>
      <c r="BQ2231" s="58"/>
      <c r="BR2231" s="58"/>
      <c r="BS2231" s="58"/>
      <c r="BT2231" s="58"/>
      <c r="BU2231" s="58"/>
      <c r="BV2231" s="58"/>
      <c r="BW2231" s="67"/>
      <c r="BX2231" s="67"/>
      <c r="BY2231" s="67"/>
      <c r="BZ2231" s="67"/>
      <c r="CA2231" s="67"/>
      <c r="CB2231" s="68"/>
      <c r="CC2231" s="68"/>
      <c r="CD2231" s="68"/>
      <c r="CE2231" s="67"/>
      <c r="CF2231" s="67"/>
      <c r="CG2231" s="67"/>
      <c r="CH2231" s="94">
        <v>1.23</v>
      </c>
      <c r="CI2231" s="94">
        <v>1.3</v>
      </c>
      <c r="CJ2231" s="67"/>
      <c r="CK2231" s="67"/>
      <c r="CL2231" s="67"/>
      <c r="CM2231" s="67">
        <v>2.048</v>
      </c>
      <c r="CN2231" s="67">
        <v>2.145</v>
      </c>
      <c r="CO2231" s="67"/>
      <c r="CP2231" s="67"/>
      <c r="CQ2231" s="67" t="s">
        <v>2240</v>
      </c>
      <c r="CR2231" s="67"/>
      <c r="CS2231" s="67"/>
      <c r="CT2231" s="67"/>
      <c r="CU2231" s="67"/>
      <c r="CV2231" s="67" t="s">
        <v>3039</v>
      </c>
      <c r="CW2231" s="67"/>
      <c r="CX2231" s="67"/>
      <c r="CY2231" s="67"/>
      <c r="CZ2231" s="67"/>
      <c r="DA2231" s="67" t="s">
        <v>4458</v>
      </c>
      <c r="DB2231" s="67"/>
      <c r="DC2231" s="67"/>
      <c r="DD2231" s="67"/>
      <c r="DE2231" s="67"/>
      <c r="DF2231" s="67"/>
      <c r="DG2231" s="67"/>
      <c r="DH2231" s="67"/>
      <c r="DI2231" s="67"/>
      <c r="DJ2231" s="67"/>
      <c r="DK2231" s="67"/>
      <c r="DL2231" s="67"/>
      <c r="DM2231" s="67"/>
      <c r="DN2231" s="67"/>
      <c r="DO2231" s="67"/>
      <c r="DP2231" s="67"/>
      <c r="DQ2231" s="166"/>
      <c r="DR2231" s="166"/>
      <c r="DS2231" s="163"/>
      <c r="DT2231" s="163"/>
      <c r="DU2231" s="67"/>
      <c r="DV2231" s="67"/>
      <c r="DW2231" s="67"/>
      <c r="DX2231" s="67"/>
      <c r="DY2231" s="67"/>
      <c r="DZ2231" s="67"/>
      <c r="EA2231" s="67"/>
      <c r="EB2231" s="67"/>
      <c r="EC2231" s="67"/>
      <c r="ED2231" s="67"/>
      <c r="EE2231" s="67"/>
      <c r="EF2231" s="67"/>
      <c r="EG2231" s="67"/>
      <c r="EH2231" s="67"/>
      <c r="EI2231" s="67"/>
      <c r="EJ2231" s="67"/>
      <c r="EK2231" s="94"/>
      <c r="EL2231" s="94"/>
      <c r="EM2231" s="67"/>
      <c r="EN2231" s="67"/>
      <c r="EO2231" s="67"/>
      <c r="EP2231" s="67"/>
      <c r="EQ2231" s="67"/>
      <c r="ER2231" s="67"/>
      <c r="ES2231" s="67"/>
      <c r="ET2231" s="67"/>
      <c r="EU2231" s="67"/>
      <c r="EV2231" s="67"/>
      <c r="EW2231" s="67"/>
      <c r="EX2231" s="67"/>
      <c r="EY2231" s="67"/>
      <c r="EZ2231" s="67"/>
      <c r="FA2231" s="67"/>
      <c r="FB2231" s="67"/>
      <c r="FC2231" s="67"/>
      <c r="FD2231" s="67"/>
      <c r="FE2231" s="67"/>
      <c r="FF2231" s="67"/>
      <c r="FG2231" s="67"/>
      <c r="FH2231" s="67"/>
      <c r="FI2231" s="67"/>
      <c r="FJ2231" s="67"/>
      <c r="FK2231" s="67"/>
      <c r="FL2231" s="67"/>
      <c r="FM2231" s="67"/>
      <c r="FN2231" s="67"/>
      <c r="FO2231" s="67"/>
      <c r="FP2231" s="67"/>
      <c r="FQ2231" s="67"/>
      <c r="FR2231" s="67"/>
      <c r="FS2231" s="67"/>
      <c r="FT2231" s="67"/>
      <c r="FU2231" s="67"/>
      <c r="FV2231" s="67"/>
      <c r="FW2231" s="67"/>
      <c r="FX2231" s="67"/>
      <c r="FY2231" s="67"/>
      <c r="FZ2231" s="67"/>
      <c r="GA2231" s="67"/>
      <c r="GB2231" s="67"/>
      <c r="GC2231" s="67"/>
      <c r="GD2231" s="67"/>
      <c r="GE2231" s="67"/>
      <c r="GF2231" s="67"/>
      <c r="GG2231" s="67"/>
      <c r="GH2231" s="67"/>
      <c r="GI2231" s="67"/>
      <c r="GJ2231" s="67"/>
      <c r="GK2231" s="67"/>
      <c r="GL2231" s="67"/>
      <c r="GM2231" s="67"/>
      <c r="GN2231" s="292"/>
      <c r="GO2231" s="292"/>
      <c r="GP2231" s="292" t="s">
        <v>7494</v>
      </c>
      <c r="GQ2231" s="67"/>
      <c r="GR2231" s="67"/>
      <c r="GS2231" s="67"/>
      <c r="GT2231" s="67"/>
      <c r="GU2231" s="67"/>
      <c r="GV2231" s="67"/>
      <c r="GW2231" s="67"/>
      <c r="GX2231" s="67"/>
      <c r="GY2231" s="67"/>
      <c r="GZ2231" s="67"/>
      <c r="HA2231" s="67"/>
      <c r="HB2231" s="67"/>
      <c r="HC2231" s="67"/>
      <c r="HD2231" s="67"/>
      <c r="HE2231" s="67"/>
      <c r="HF2231" s="67"/>
      <c r="HG2231" s="67"/>
      <c r="HH2231" s="67"/>
      <c r="HI2231" s="67"/>
      <c r="HJ2231" s="67"/>
      <c r="HK2231" s="67"/>
      <c r="HL2231" s="67"/>
      <c r="HM2231" s="67"/>
      <c r="HN2231" s="67"/>
      <c r="HO2231" s="67"/>
      <c r="HP2231" s="67"/>
      <c r="HQ2231" s="67"/>
      <c r="HR2231" s="67"/>
      <c r="HS2231" s="67"/>
      <c r="HT2231" s="67"/>
      <c r="HU2231" s="67"/>
      <c r="HV2231" s="67"/>
      <c r="HW2231" s="67"/>
      <c r="HX2231" s="67"/>
      <c r="HY2231" s="67"/>
      <c r="HZ2231" s="67"/>
      <c r="IA2231" s="67"/>
      <c r="IB2231" s="67"/>
      <c r="IC2231" s="67"/>
      <c r="ID2231" s="67"/>
      <c r="IE2231" s="67"/>
      <c r="IF2231" s="67"/>
      <c r="IG2231" s="67"/>
      <c r="IH2231" s="67"/>
      <c r="II2231" s="67"/>
      <c r="IJ2231" s="67"/>
      <c r="IK2231" s="67"/>
      <c r="IL2231" s="67"/>
      <c r="IM2231" s="67"/>
      <c r="IN2231" s="67"/>
      <c r="IO2231" s="67"/>
      <c r="IP2231" s="67"/>
      <c r="IQ2231" s="67"/>
      <c r="IR2231" s="67"/>
      <c r="IS2231" s="67"/>
      <c r="IT2231" s="67"/>
      <c r="IU2231" s="67"/>
      <c r="IV2231" s="67"/>
      <c r="IW2231" s="67"/>
      <c r="IX2231" s="67"/>
      <c r="IY2231" s="67"/>
      <c r="IZ2231" s="67"/>
      <c r="JA2231" s="67"/>
      <c r="JB2231" s="67"/>
      <c r="JC2231" s="67"/>
      <c r="JD2231" s="67"/>
      <c r="JE2231" s="67"/>
      <c r="JF2231" s="67"/>
      <c r="JG2231" s="67"/>
      <c r="JH2231" s="67"/>
      <c r="JI2231" s="67"/>
      <c r="JJ2231" s="67"/>
      <c r="JK2231" s="67"/>
      <c r="JL2231" s="67"/>
      <c r="JM2231" s="67"/>
      <c r="JN2231" s="67"/>
      <c r="JO2231" s="67"/>
      <c r="JP2231" s="67"/>
      <c r="JQ2231" s="67"/>
      <c r="JR2231" s="67"/>
      <c r="JS2231" s="67"/>
      <c r="JT2231" s="67"/>
      <c r="JU2231" s="58"/>
      <c r="JV2231" s="58"/>
      <c r="JW2231" s="58"/>
    </row>
    <row r="2232" spans="1:283" s="23" customFormat="1" x14ac:dyDescent="0.25">
      <c r="A2232" s="55">
        <v>2231</v>
      </c>
      <c r="B2232" s="12" t="s">
        <v>7067</v>
      </c>
      <c r="C2232" s="156">
        <v>105</v>
      </c>
      <c r="D2232" s="58" t="s">
        <v>4186</v>
      </c>
      <c r="E2232" s="93" t="s">
        <v>2148</v>
      </c>
      <c r="F2232" s="93"/>
      <c r="G2232" s="58"/>
      <c r="H2232" s="59">
        <v>2007</v>
      </c>
      <c r="I2232" s="58">
        <v>2003</v>
      </c>
      <c r="J2232" s="58" t="s">
        <v>1709</v>
      </c>
      <c r="K2232" s="59" t="s">
        <v>2149</v>
      </c>
      <c r="L2232" s="59" t="s">
        <v>5334</v>
      </c>
      <c r="M2232" s="94">
        <v>-16.690000000000001</v>
      </c>
      <c r="N2232" s="94">
        <v>-49.26</v>
      </c>
      <c r="O2232" s="94">
        <v>789.7</v>
      </c>
      <c r="P2232" s="58">
        <v>22.5</v>
      </c>
      <c r="Q2232" s="58"/>
      <c r="R2232" s="58">
        <v>1500</v>
      </c>
      <c r="S2232" s="94"/>
      <c r="T2232" s="58"/>
      <c r="U2232" s="58">
        <v>5</v>
      </c>
      <c r="V2232" s="58">
        <v>5</v>
      </c>
      <c r="W2232" s="174"/>
      <c r="X2232" s="174"/>
      <c r="Y2232" s="58" t="s">
        <v>1974</v>
      </c>
      <c r="Z2232" s="58" t="s">
        <v>1356</v>
      </c>
      <c r="AA2232" s="94">
        <v>30</v>
      </c>
      <c r="AB2232" s="67"/>
      <c r="AC2232" s="67"/>
      <c r="AD2232" s="94">
        <v>1.25</v>
      </c>
      <c r="AE2232" s="94">
        <v>20</v>
      </c>
      <c r="AF2232" s="94">
        <v>30</v>
      </c>
      <c r="AG2232" s="94"/>
      <c r="AH2232" s="58" t="s">
        <v>769</v>
      </c>
      <c r="AI2232" s="169"/>
      <c r="AJ2232" s="94">
        <v>1.595</v>
      </c>
      <c r="AK2232" s="94"/>
      <c r="AL2232" s="58"/>
      <c r="AM2232" s="58" t="s">
        <v>2150</v>
      </c>
      <c r="AN2232" s="186" t="s">
        <v>2247</v>
      </c>
      <c r="AO2232" s="185" t="s">
        <v>5150</v>
      </c>
      <c r="AP2232" s="58"/>
      <c r="AQ2232" s="58" t="s">
        <v>1546</v>
      </c>
      <c r="AR2232" s="58" t="s">
        <v>1096</v>
      </c>
      <c r="AS2232" s="55" t="s">
        <v>5133</v>
      </c>
      <c r="AT2232" s="182"/>
      <c r="AU2232" s="181" t="s">
        <v>7494</v>
      </c>
      <c r="AV2232" s="185" t="s">
        <v>176</v>
      </c>
      <c r="AW2232" s="58"/>
      <c r="AX2232" s="185" t="s">
        <v>176</v>
      </c>
      <c r="AY2232" s="58"/>
      <c r="AZ2232" s="58" t="s">
        <v>2248</v>
      </c>
      <c r="BA2232" s="58" t="s">
        <v>2249</v>
      </c>
      <c r="BB2232" s="58" t="s">
        <v>2081</v>
      </c>
      <c r="BC2232" s="58" t="s">
        <v>2082</v>
      </c>
      <c r="BD2232" s="58" t="s">
        <v>479</v>
      </c>
      <c r="BE2232" s="236" t="s">
        <v>2151</v>
      </c>
      <c r="BF2232" s="58"/>
      <c r="BG2232" s="191" t="s">
        <v>479</v>
      </c>
      <c r="BH2232" s="236"/>
      <c r="BI2232" s="58"/>
      <c r="BJ2232" s="58"/>
      <c r="BK2232" s="58" t="s">
        <v>6269</v>
      </c>
      <c r="BL2232" s="58"/>
      <c r="BM2232" s="237" t="s">
        <v>160</v>
      </c>
      <c r="BN2232" s="58">
        <v>6</v>
      </c>
      <c r="BO2232" s="58">
        <v>6</v>
      </c>
      <c r="BP2232" s="58">
        <v>6</v>
      </c>
      <c r="BQ2232" s="58"/>
      <c r="BR2232" s="58"/>
      <c r="BS2232" s="58"/>
      <c r="BT2232" s="58"/>
      <c r="BU2232" s="58"/>
      <c r="BV2232" s="58"/>
      <c r="BW2232" s="67"/>
      <c r="BX2232" s="67"/>
      <c r="BY2232" s="67"/>
      <c r="BZ2232" s="67"/>
      <c r="CA2232" s="67"/>
      <c r="CB2232" s="68"/>
      <c r="CC2232" s="68"/>
      <c r="CD2232" s="68"/>
      <c r="CE2232" s="67"/>
      <c r="CF2232" s="67"/>
      <c r="CG2232" s="67"/>
      <c r="CH2232" s="94">
        <v>1.25</v>
      </c>
      <c r="CI2232" s="94">
        <v>1.27</v>
      </c>
      <c r="CJ2232" s="67"/>
      <c r="CK2232" s="67"/>
      <c r="CL2232" s="67"/>
      <c r="CM2232" s="67">
        <v>1.994</v>
      </c>
      <c r="CN2232" s="67">
        <v>2.2290000000000001</v>
      </c>
      <c r="CO2232" s="67"/>
      <c r="CP2232" s="67"/>
      <c r="CQ2232" s="67" t="s">
        <v>2240</v>
      </c>
      <c r="CR2232" s="67"/>
      <c r="CS2232" s="67"/>
      <c r="CT2232" s="67"/>
      <c r="CU2232" s="67"/>
      <c r="CV2232" s="67" t="s">
        <v>3039</v>
      </c>
      <c r="CW2232" s="67"/>
      <c r="CX2232" s="67"/>
      <c r="CY2232" s="67"/>
      <c r="CZ2232" s="67"/>
      <c r="DA2232" s="67" t="s">
        <v>4458</v>
      </c>
      <c r="DB2232" s="67"/>
      <c r="DC2232" s="67"/>
      <c r="DD2232" s="67"/>
      <c r="DE2232" s="67"/>
      <c r="DF2232" s="67"/>
      <c r="DG2232" s="67"/>
      <c r="DH2232" s="67"/>
      <c r="DI2232" s="67"/>
      <c r="DJ2232" s="67"/>
      <c r="DK2232" s="67"/>
      <c r="DL2232" s="67"/>
      <c r="DM2232" s="67"/>
      <c r="DN2232" s="67"/>
      <c r="DO2232" s="67"/>
      <c r="DP2232" s="67"/>
      <c r="DQ2232" s="166"/>
      <c r="DR2232" s="166"/>
      <c r="DS2232" s="163"/>
      <c r="DT2232" s="163"/>
      <c r="DU2232" s="67"/>
      <c r="DV2232" s="67"/>
      <c r="DW2232" s="67"/>
      <c r="DX2232" s="67"/>
      <c r="DY2232" s="67"/>
      <c r="DZ2232" s="67"/>
      <c r="EA2232" s="67"/>
      <c r="EB2232" s="67"/>
      <c r="EC2232" s="67"/>
      <c r="ED2232" s="67"/>
      <c r="EE2232" s="67"/>
      <c r="EF2232" s="67"/>
      <c r="EG2232" s="67"/>
      <c r="EH2232" s="67"/>
      <c r="EI2232" s="67"/>
      <c r="EJ2232" s="67"/>
      <c r="EK2232" s="94"/>
      <c r="EL2232" s="94"/>
      <c r="EM2232" s="67"/>
      <c r="EN2232" s="67"/>
      <c r="EO2232" s="67"/>
      <c r="EP2232" s="67"/>
      <c r="EQ2232" s="67"/>
      <c r="ER2232" s="67"/>
      <c r="ES2232" s="67"/>
      <c r="ET2232" s="67"/>
      <c r="EU2232" s="67"/>
      <c r="EV2232" s="67"/>
      <c r="EW2232" s="67"/>
      <c r="EX2232" s="67"/>
      <c r="EY2232" s="67"/>
      <c r="EZ2232" s="67"/>
      <c r="FA2232" s="67"/>
      <c r="FB2232" s="67"/>
      <c r="FC2232" s="67"/>
      <c r="FD2232" s="67"/>
      <c r="FE2232" s="67"/>
      <c r="FF2232" s="67"/>
      <c r="FG2232" s="67"/>
      <c r="FH2232" s="67"/>
      <c r="FI2232" s="67"/>
      <c r="FJ2232" s="67"/>
      <c r="FK2232" s="67"/>
      <c r="FL2232" s="67"/>
      <c r="FM2232" s="67"/>
      <c r="FN2232" s="67"/>
      <c r="FO2232" s="67"/>
      <c r="FP2232" s="67"/>
      <c r="FQ2232" s="67"/>
      <c r="FR2232" s="67"/>
      <c r="FS2232" s="67"/>
      <c r="FT2232" s="67"/>
      <c r="FU2232" s="67"/>
      <c r="FV2232" s="67"/>
      <c r="FW2232" s="67"/>
      <c r="FX2232" s="67"/>
      <c r="FY2232" s="67"/>
      <c r="FZ2232" s="67"/>
      <c r="GA2232" s="67"/>
      <c r="GB2232" s="67"/>
      <c r="GC2232" s="67"/>
      <c r="GD2232" s="67"/>
      <c r="GE2232" s="67"/>
      <c r="GF2232" s="67"/>
      <c r="GG2232" s="67"/>
      <c r="GH2232" s="67"/>
      <c r="GI2232" s="67"/>
      <c r="GJ2232" s="67"/>
      <c r="GK2232" s="67"/>
      <c r="GL2232" s="67"/>
      <c r="GM2232" s="67"/>
      <c r="GN2232" s="292"/>
      <c r="GO2232" s="292"/>
      <c r="GP2232" s="292" t="s">
        <v>7494</v>
      </c>
      <c r="GQ2232" s="67"/>
      <c r="GR2232" s="67"/>
      <c r="GS2232" s="67"/>
      <c r="GT2232" s="67"/>
      <c r="GU2232" s="67"/>
      <c r="GV2232" s="67"/>
      <c r="GW2232" s="67"/>
      <c r="GX2232" s="67"/>
      <c r="GY2232" s="67"/>
      <c r="GZ2232" s="67"/>
      <c r="HA2232" s="67"/>
      <c r="HB2232" s="67"/>
      <c r="HC2232" s="67"/>
      <c r="HD2232" s="67"/>
      <c r="HE2232" s="67"/>
      <c r="HF2232" s="67"/>
      <c r="HG2232" s="67"/>
      <c r="HH2232" s="67"/>
      <c r="HI2232" s="67"/>
      <c r="HJ2232" s="67"/>
      <c r="HK2232" s="67"/>
      <c r="HL2232" s="67"/>
      <c r="HM2232" s="67"/>
      <c r="HN2232" s="67"/>
      <c r="HO2232" s="67"/>
      <c r="HP2232" s="67"/>
      <c r="HQ2232" s="67"/>
      <c r="HR2232" s="67"/>
      <c r="HS2232" s="67"/>
      <c r="HT2232" s="67"/>
      <c r="HU2232" s="67"/>
      <c r="HV2232" s="67"/>
      <c r="HW2232" s="67"/>
      <c r="HX2232" s="67"/>
      <c r="HY2232" s="67"/>
      <c r="HZ2232" s="67"/>
      <c r="IA2232" s="67"/>
      <c r="IB2232" s="67"/>
      <c r="IC2232" s="67"/>
      <c r="ID2232" s="67"/>
      <c r="IE2232" s="67"/>
      <c r="IF2232" s="67"/>
      <c r="IG2232" s="67"/>
      <c r="IH2232" s="67"/>
      <c r="II2232" s="67"/>
      <c r="IJ2232" s="67"/>
      <c r="IK2232" s="67"/>
      <c r="IL2232" s="67"/>
      <c r="IM2232" s="67"/>
      <c r="IN2232" s="67"/>
      <c r="IO2232" s="67"/>
      <c r="IP2232" s="67"/>
      <c r="IQ2232" s="67"/>
      <c r="IR2232" s="67"/>
      <c r="IS2232" s="67"/>
      <c r="IT2232" s="67"/>
      <c r="IU2232" s="67"/>
      <c r="IV2232" s="67"/>
      <c r="IW2232" s="67"/>
      <c r="IX2232" s="67"/>
      <c r="IY2232" s="67"/>
      <c r="IZ2232" s="67"/>
      <c r="JA2232" s="67"/>
      <c r="JB2232" s="67"/>
      <c r="JC2232" s="67"/>
      <c r="JD2232" s="67"/>
      <c r="JE2232" s="67"/>
      <c r="JF2232" s="67"/>
      <c r="JG2232" s="67"/>
      <c r="JH2232" s="67"/>
      <c r="JI2232" s="67"/>
      <c r="JJ2232" s="67"/>
      <c r="JK2232" s="67"/>
      <c r="JL2232" s="67"/>
      <c r="JM2232" s="67"/>
      <c r="JN2232" s="67"/>
      <c r="JO2232" s="67"/>
      <c r="JP2232" s="67"/>
      <c r="JQ2232" s="67"/>
      <c r="JR2232" s="67"/>
      <c r="JS2232" s="67"/>
      <c r="JT2232" s="67"/>
      <c r="JU2232" s="58"/>
      <c r="JV2232" s="58"/>
      <c r="JW2232" s="58"/>
    </row>
    <row r="2233" spans="1:283" s="23" customFormat="1" x14ac:dyDescent="0.25">
      <c r="A2233" s="55">
        <v>2232</v>
      </c>
      <c r="B2233" s="12" t="s">
        <v>7067</v>
      </c>
      <c r="C2233" s="156">
        <v>106</v>
      </c>
      <c r="D2233" s="58" t="s">
        <v>4187</v>
      </c>
      <c r="E2233" s="93" t="s">
        <v>2152</v>
      </c>
      <c r="F2233" s="93"/>
      <c r="G2233" s="58" t="s">
        <v>2251</v>
      </c>
      <c r="H2233" s="59">
        <v>2013</v>
      </c>
      <c r="I2233" s="58">
        <v>2009</v>
      </c>
      <c r="J2233" s="59" t="s">
        <v>2252</v>
      </c>
      <c r="K2233" s="59" t="s">
        <v>2253</v>
      </c>
      <c r="L2233" s="59" t="s">
        <v>5334</v>
      </c>
      <c r="M2233" s="94">
        <f>-16-27/60</f>
        <v>-16.45</v>
      </c>
      <c r="N2233" s="94">
        <f>-49-17/60</f>
        <v>-49.283333333333331</v>
      </c>
      <c r="O2233" s="93">
        <v>823</v>
      </c>
      <c r="P2233" s="59">
        <v>22.7</v>
      </c>
      <c r="Q2233" s="58"/>
      <c r="R2233" s="59">
        <v>1500</v>
      </c>
      <c r="S2233" s="94"/>
      <c r="T2233" s="58"/>
      <c r="U2233" s="58">
        <v>9</v>
      </c>
      <c r="V2233" s="59">
        <v>10</v>
      </c>
      <c r="W2233" s="174"/>
      <c r="X2233" s="174"/>
      <c r="Y2233" s="58" t="s">
        <v>2250</v>
      </c>
      <c r="Z2233" s="59" t="s">
        <v>1346</v>
      </c>
      <c r="AA2233" s="94">
        <v>20</v>
      </c>
      <c r="AB2233" s="67"/>
      <c r="AC2233" s="67"/>
      <c r="AD2233" s="94">
        <v>1.304</v>
      </c>
      <c r="AE2233" s="93">
        <v>35</v>
      </c>
      <c r="AF2233" s="93">
        <v>11</v>
      </c>
      <c r="AG2233" s="93"/>
      <c r="AH2233" s="58" t="s">
        <v>769</v>
      </c>
      <c r="AI2233" s="169">
        <v>6.2</v>
      </c>
      <c r="AJ2233" s="94">
        <v>2.41</v>
      </c>
      <c r="AK2233" s="94"/>
      <c r="AL2233" s="58"/>
      <c r="AM2233" s="59" t="s">
        <v>2254</v>
      </c>
      <c r="AN2233" s="188" t="s">
        <v>2256</v>
      </c>
      <c r="AO2233" s="185" t="s">
        <v>5150</v>
      </c>
      <c r="AP2233" s="59"/>
      <c r="AQ2233" s="58" t="s">
        <v>1545</v>
      </c>
      <c r="AR2233" s="59" t="s">
        <v>1096</v>
      </c>
      <c r="AS2233" s="55" t="s">
        <v>5133</v>
      </c>
      <c r="AT2233" s="182"/>
      <c r="AU2233" s="181" t="s">
        <v>7494</v>
      </c>
      <c r="AV2233" s="185" t="s">
        <v>176</v>
      </c>
      <c r="AW2233" s="58"/>
      <c r="AX2233" s="185" t="s">
        <v>176</v>
      </c>
      <c r="AY2233" s="58"/>
      <c r="AZ2233" s="59"/>
      <c r="BA2233" s="58"/>
      <c r="BB2233" s="58"/>
      <c r="BC2233" s="58"/>
      <c r="BD2233" s="58"/>
      <c r="BE2233" s="240"/>
      <c r="BF2233" s="59"/>
      <c r="BG2233" s="59"/>
      <c r="BH2233" s="236"/>
      <c r="BI2233" s="58"/>
      <c r="BJ2233" s="58"/>
      <c r="BK2233" s="58" t="s">
        <v>5976</v>
      </c>
      <c r="BL2233" s="58"/>
      <c r="BM2233" s="241"/>
      <c r="BN2233" s="58">
        <v>3</v>
      </c>
      <c r="BO2233" s="58">
        <v>3</v>
      </c>
      <c r="BP2233" s="59"/>
      <c r="BQ2233" s="58" t="s">
        <v>2077</v>
      </c>
      <c r="BR2233" s="58"/>
      <c r="BS2233" s="58"/>
      <c r="BT2233" s="58"/>
      <c r="BU2233" s="58"/>
      <c r="BV2233" s="58"/>
      <c r="BW2233" s="67"/>
      <c r="BX2233" s="67"/>
      <c r="BY2233" s="67"/>
      <c r="BZ2233" s="67"/>
      <c r="CA2233" s="67"/>
      <c r="CB2233" s="153">
        <v>3521</v>
      </c>
      <c r="CC2233" s="68">
        <v>3069</v>
      </c>
      <c r="CD2233" s="68"/>
      <c r="CE2233" s="67"/>
      <c r="CF2233" s="67"/>
      <c r="CG2233" s="67"/>
      <c r="CH2233" s="94">
        <v>1.3042</v>
      </c>
      <c r="CI2233" s="94">
        <v>1.29898</v>
      </c>
      <c r="CJ2233" s="67"/>
      <c r="CK2233" s="67"/>
      <c r="CL2233" s="67"/>
      <c r="CM2233" s="67">
        <f>(CR2233*1000000)/(100*100*CH2233*AA2233/100*1000000)*100</f>
        <v>0.21787446327250423</v>
      </c>
      <c r="CN2233" s="67">
        <f>(CS2233*1000000)/(100*100*CI2233*AA2233/100*1000000)*100</f>
        <v>0.2225</v>
      </c>
      <c r="CO2233" s="67"/>
      <c r="CP2233" s="67"/>
      <c r="CQ2233" s="67"/>
      <c r="CR2233" s="67">
        <v>5.6830375000000002</v>
      </c>
      <c r="CS2233" s="67">
        <v>5.7804610000000007</v>
      </c>
      <c r="CT2233" s="67"/>
      <c r="CU2233" s="67"/>
      <c r="CV2233" s="67" t="s">
        <v>2052</v>
      </c>
      <c r="CW2233" s="67"/>
      <c r="CX2233" s="67"/>
      <c r="CY2233" s="67"/>
      <c r="CZ2233" s="67"/>
      <c r="DA2233" s="67" t="s">
        <v>4463</v>
      </c>
      <c r="DB2233" s="67"/>
      <c r="DC2233" s="67"/>
      <c r="DD2233" s="67"/>
      <c r="DE2233" s="67"/>
      <c r="DF2233" s="67"/>
      <c r="DG2233" s="67"/>
      <c r="DH2233" s="67"/>
      <c r="DI2233" s="67"/>
      <c r="DJ2233" s="67"/>
      <c r="DK2233" s="67"/>
      <c r="DL2233" s="67"/>
      <c r="DM2233" s="67"/>
      <c r="DN2233" s="67"/>
      <c r="DO2233" s="67"/>
      <c r="DP2233" s="67"/>
      <c r="DQ2233" s="166"/>
      <c r="DR2233" s="166"/>
      <c r="DS2233" s="163"/>
      <c r="DT2233" s="163"/>
      <c r="DU2233" s="67"/>
      <c r="DV2233" s="67"/>
      <c r="DW2233" s="67"/>
      <c r="DX2233" s="67"/>
      <c r="DY2233" s="67"/>
      <c r="DZ2233" s="67"/>
      <c r="EA2233" s="67"/>
      <c r="EB2233" s="67"/>
      <c r="EC2233" s="67"/>
      <c r="ED2233" s="67"/>
      <c r="EE2233" s="67"/>
      <c r="EF2233" s="67"/>
      <c r="EG2233" s="67"/>
      <c r="EH2233" s="67"/>
      <c r="EI2233" s="67"/>
      <c r="EJ2233" s="67"/>
      <c r="EK2233" s="94"/>
      <c r="EL2233" s="94"/>
      <c r="EM2233" s="67"/>
      <c r="EN2233" s="67"/>
      <c r="EO2233" s="67"/>
      <c r="EP2233" s="67"/>
      <c r="EQ2233" s="67"/>
      <c r="ER2233" s="67"/>
      <c r="ES2233" s="67"/>
      <c r="ET2233" s="67"/>
      <c r="EU2233" s="67"/>
      <c r="EV2233" s="67"/>
      <c r="EW2233" s="67"/>
      <c r="EX2233" s="67"/>
      <c r="EY2233" s="67"/>
      <c r="EZ2233" s="67"/>
      <c r="FA2233" s="67"/>
      <c r="FB2233" s="67"/>
      <c r="FC2233" s="67"/>
      <c r="FD2233" s="67"/>
      <c r="FE2233" s="67"/>
      <c r="FF2233" s="67"/>
      <c r="FG2233" s="67"/>
      <c r="FH2233" s="67"/>
      <c r="FI2233" s="67"/>
      <c r="FJ2233" s="67"/>
      <c r="FK2233" s="67"/>
      <c r="FL2233" s="67"/>
      <c r="FM2233" s="67"/>
      <c r="FN2233" s="67"/>
      <c r="FO2233" s="67"/>
      <c r="FP2233" s="67"/>
      <c r="FQ2233" s="67"/>
      <c r="FR2233" s="67"/>
      <c r="FS2233" s="67"/>
      <c r="FT2233" s="67"/>
      <c r="FU2233" s="67"/>
      <c r="FV2233" s="67"/>
      <c r="FW2233" s="67"/>
      <c r="FX2233" s="67"/>
      <c r="FY2233" s="67"/>
      <c r="FZ2233" s="67"/>
      <c r="GA2233" s="67"/>
      <c r="GB2233" s="67"/>
      <c r="GC2233" s="67"/>
      <c r="GD2233" s="67"/>
      <c r="GE2233" s="67"/>
      <c r="GF2233" s="67"/>
      <c r="GG2233" s="67"/>
      <c r="GH2233" s="67"/>
      <c r="GI2233" s="67"/>
      <c r="GJ2233" s="67"/>
      <c r="GK2233" s="67"/>
      <c r="GL2233" s="67"/>
      <c r="GM2233" s="67"/>
      <c r="GN2233" s="292"/>
      <c r="GO2233" s="292"/>
      <c r="GP2233" s="292" t="s">
        <v>7494</v>
      </c>
      <c r="GQ2233" s="67"/>
      <c r="GR2233" s="67"/>
      <c r="GS2233" s="67"/>
      <c r="GT2233" s="67"/>
      <c r="GU2233" s="67"/>
      <c r="GV2233" s="67"/>
      <c r="GW2233" s="67"/>
      <c r="GX2233" s="67"/>
      <c r="GY2233" s="67"/>
      <c r="GZ2233" s="67"/>
      <c r="HA2233" s="67"/>
      <c r="HB2233" s="67"/>
      <c r="HC2233" s="67"/>
      <c r="HD2233" s="67"/>
      <c r="HE2233" s="67"/>
      <c r="HF2233" s="67"/>
      <c r="HG2233" s="67"/>
      <c r="HH2233" s="67"/>
      <c r="HI2233" s="67"/>
      <c r="HJ2233" s="67"/>
      <c r="HK2233" s="67"/>
      <c r="HL2233" s="67"/>
      <c r="HM2233" s="67"/>
      <c r="HN2233" s="67"/>
      <c r="HO2233" s="67"/>
      <c r="HP2233" s="67"/>
      <c r="HQ2233" s="67"/>
      <c r="HR2233" s="67"/>
      <c r="HS2233" s="67"/>
      <c r="HT2233" s="67"/>
      <c r="HU2233" s="67"/>
      <c r="HV2233" s="67"/>
      <c r="HW2233" s="67"/>
      <c r="HX2233" s="67"/>
      <c r="HY2233" s="67"/>
      <c r="HZ2233" s="67"/>
      <c r="IA2233" s="67"/>
      <c r="IB2233" s="67"/>
      <c r="IC2233" s="67"/>
      <c r="ID2233" s="67"/>
      <c r="IE2233" s="67"/>
      <c r="IF2233" s="67"/>
      <c r="IG2233" s="67"/>
      <c r="IH2233" s="67"/>
      <c r="II2233" s="67"/>
      <c r="IJ2233" s="67"/>
      <c r="IK2233" s="67"/>
      <c r="IL2233" s="67"/>
      <c r="IM2233" s="67"/>
      <c r="IN2233" s="67"/>
      <c r="IO2233" s="67"/>
      <c r="IP2233" s="67"/>
      <c r="IQ2233" s="67"/>
      <c r="IR2233" s="67"/>
      <c r="IS2233" s="67"/>
      <c r="IT2233" s="67"/>
      <c r="IU2233" s="67"/>
      <c r="IV2233" s="67"/>
      <c r="IW2233" s="67"/>
      <c r="IX2233" s="67"/>
      <c r="IY2233" s="67"/>
      <c r="IZ2233" s="67"/>
      <c r="JA2233" s="67"/>
      <c r="JB2233" s="67"/>
      <c r="JC2233" s="67"/>
      <c r="JD2233" s="67"/>
      <c r="JE2233" s="67"/>
      <c r="JF2233" s="67"/>
      <c r="JG2233" s="67"/>
      <c r="JH2233" s="67"/>
      <c r="JI2233" s="67"/>
      <c r="JJ2233" s="67"/>
      <c r="JK2233" s="67"/>
      <c r="JL2233" s="67"/>
      <c r="JM2233" s="67"/>
      <c r="JN2233" s="67"/>
      <c r="JO2233" s="67"/>
      <c r="JP2233" s="67"/>
      <c r="JQ2233" s="67"/>
      <c r="JR2233" s="67"/>
      <c r="JS2233" s="67"/>
      <c r="JT2233" s="67"/>
      <c r="JU2233" s="58"/>
      <c r="JV2233" s="58"/>
      <c r="JW2233" s="58"/>
    </row>
    <row r="2234" spans="1:283" s="23" customFormat="1" x14ac:dyDescent="0.25">
      <c r="A2234" s="55">
        <v>2233</v>
      </c>
      <c r="B2234" s="12" t="s">
        <v>7067</v>
      </c>
      <c r="C2234" s="156">
        <v>106</v>
      </c>
      <c r="D2234" s="58" t="s">
        <v>4187</v>
      </c>
      <c r="E2234" s="93" t="s">
        <v>2152</v>
      </c>
      <c r="F2234" s="93"/>
      <c r="G2234" s="58" t="s">
        <v>2251</v>
      </c>
      <c r="H2234" s="59">
        <v>2013</v>
      </c>
      <c r="I2234" s="58">
        <v>2009</v>
      </c>
      <c r="J2234" s="59" t="s">
        <v>2252</v>
      </c>
      <c r="K2234" s="59" t="s">
        <v>2253</v>
      </c>
      <c r="L2234" s="59" t="s">
        <v>5334</v>
      </c>
      <c r="M2234" s="94">
        <f>-16-27/60</f>
        <v>-16.45</v>
      </c>
      <c r="N2234" s="94">
        <f>-49-17/60</f>
        <v>-49.283333333333331</v>
      </c>
      <c r="O2234" s="93">
        <v>823</v>
      </c>
      <c r="P2234" s="59">
        <v>22.7</v>
      </c>
      <c r="Q2234" s="58"/>
      <c r="R2234" s="59">
        <v>1500</v>
      </c>
      <c r="S2234" s="94"/>
      <c r="T2234" s="58"/>
      <c r="U2234" s="58">
        <v>9</v>
      </c>
      <c r="V2234" s="59">
        <v>10</v>
      </c>
      <c r="W2234" s="174"/>
      <c r="X2234" s="174"/>
      <c r="Y2234" s="58" t="s">
        <v>2250</v>
      </c>
      <c r="Z2234" s="59" t="s">
        <v>1346</v>
      </c>
      <c r="AA2234" s="94">
        <v>20</v>
      </c>
      <c r="AB2234" s="67"/>
      <c r="AC2234" s="67"/>
      <c r="AD2234" s="94">
        <v>1.304</v>
      </c>
      <c r="AE2234" s="93">
        <v>35</v>
      </c>
      <c r="AF2234" s="93">
        <v>11</v>
      </c>
      <c r="AG2234" s="93"/>
      <c r="AH2234" s="58" t="s">
        <v>769</v>
      </c>
      <c r="AI2234" s="169">
        <v>6.2</v>
      </c>
      <c r="AJ2234" s="94">
        <v>2.41</v>
      </c>
      <c r="AK2234" s="94"/>
      <c r="AL2234" s="58"/>
      <c r="AM2234" s="59" t="s">
        <v>2254</v>
      </c>
      <c r="AN2234" s="188" t="s">
        <v>2255</v>
      </c>
      <c r="AO2234" s="185" t="s">
        <v>5150</v>
      </c>
      <c r="AP2234" s="59"/>
      <c r="AQ2234" s="58" t="s">
        <v>1545</v>
      </c>
      <c r="AR2234" s="59" t="s">
        <v>1096</v>
      </c>
      <c r="AS2234" s="55" t="s">
        <v>5133</v>
      </c>
      <c r="AT2234" s="182"/>
      <c r="AU2234" s="181" t="s">
        <v>7494</v>
      </c>
      <c r="AV2234" s="185" t="s">
        <v>176</v>
      </c>
      <c r="AW2234" s="58"/>
      <c r="AX2234" s="185" t="s">
        <v>176</v>
      </c>
      <c r="AY2234" s="58"/>
      <c r="AZ2234" s="59"/>
      <c r="BA2234" s="58"/>
      <c r="BB2234" s="58"/>
      <c r="BC2234" s="58"/>
      <c r="BD2234" s="58"/>
      <c r="BE2234" s="240"/>
      <c r="BF2234" s="59"/>
      <c r="BG2234" s="59"/>
      <c r="BH2234" s="236"/>
      <c r="BI2234" s="58"/>
      <c r="BJ2234" s="58"/>
      <c r="BK2234" s="58" t="s">
        <v>5976</v>
      </c>
      <c r="BL2234" s="58"/>
      <c r="BM2234" s="241"/>
      <c r="BN2234" s="58">
        <v>3</v>
      </c>
      <c r="BO2234" s="58">
        <v>3</v>
      </c>
      <c r="BP2234" s="59"/>
      <c r="BQ2234" s="58" t="s">
        <v>2077</v>
      </c>
      <c r="BR2234" s="58"/>
      <c r="BS2234" s="58"/>
      <c r="BT2234" s="58"/>
      <c r="BU2234" s="58"/>
      <c r="BV2234" s="58"/>
      <c r="BW2234" s="67"/>
      <c r="BX2234" s="67"/>
      <c r="BY2234" s="67"/>
      <c r="BZ2234" s="67"/>
      <c r="CA2234" s="67"/>
      <c r="CB2234" s="153">
        <v>3521</v>
      </c>
      <c r="CC2234" s="68">
        <v>2429</v>
      </c>
      <c r="CD2234" s="68"/>
      <c r="CE2234" s="67"/>
      <c r="CF2234" s="67"/>
      <c r="CG2234" s="67"/>
      <c r="CH2234" s="94">
        <v>1.3042</v>
      </c>
      <c r="CI2234" s="94">
        <v>1.28854</v>
      </c>
      <c r="CJ2234" s="67"/>
      <c r="CK2234" s="67"/>
      <c r="CL2234" s="67"/>
      <c r="CM2234" s="67">
        <f>(CR2234*1000000)/(100*100*CH2234*AA2234/100*1000000)*100</f>
        <v>0.21612338981751267</v>
      </c>
      <c r="CN2234" s="67">
        <f>(CS2234*1000000)/(100*100*CI2234*AA2234/100*1000000)*100</f>
        <v>0.22999999999999998</v>
      </c>
      <c r="CO2234" s="67"/>
      <c r="CP2234" s="67"/>
      <c r="CQ2234" s="67"/>
      <c r="CR2234" s="67">
        <v>5.6373625000000001</v>
      </c>
      <c r="CS2234" s="67">
        <v>5.9272840000000002</v>
      </c>
      <c r="CT2234" s="67"/>
      <c r="CU2234" s="67"/>
      <c r="CV2234" s="67" t="s">
        <v>2052</v>
      </c>
      <c r="CW2234" s="67"/>
      <c r="CX2234" s="67"/>
      <c r="CY2234" s="67"/>
      <c r="CZ2234" s="67"/>
      <c r="DA2234" s="67" t="s">
        <v>4463</v>
      </c>
      <c r="DB2234" s="67"/>
      <c r="DC2234" s="67"/>
      <c r="DD2234" s="67"/>
      <c r="DE2234" s="67"/>
      <c r="DF2234" s="67"/>
      <c r="DG2234" s="67"/>
      <c r="DH2234" s="67"/>
      <c r="DI2234" s="67"/>
      <c r="DJ2234" s="67"/>
      <c r="DK2234" s="67"/>
      <c r="DL2234" s="67"/>
      <c r="DM2234" s="67"/>
      <c r="DN2234" s="67"/>
      <c r="DO2234" s="67"/>
      <c r="DP2234" s="67"/>
      <c r="DQ2234" s="166"/>
      <c r="DR2234" s="166"/>
      <c r="DS2234" s="163"/>
      <c r="DT2234" s="163"/>
      <c r="DU2234" s="67"/>
      <c r="DV2234" s="67"/>
      <c r="DW2234" s="67"/>
      <c r="DX2234" s="67"/>
      <c r="DY2234" s="67"/>
      <c r="DZ2234" s="67"/>
      <c r="EA2234" s="67"/>
      <c r="EB2234" s="67"/>
      <c r="EC2234" s="67"/>
      <c r="ED2234" s="67"/>
      <c r="EE2234" s="67"/>
      <c r="EF2234" s="67"/>
      <c r="EG2234" s="67"/>
      <c r="EH2234" s="67"/>
      <c r="EI2234" s="67"/>
      <c r="EJ2234" s="67"/>
      <c r="EK2234" s="94"/>
      <c r="EL2234" s="94"/>
      <c r="EM2234" s="67"/>
      <c r="EN2234" s="67"/>
      <c r="EO2234" s="67"/>
      <c r="EP2234" s="67"/>
      <c r="EQ2234" s="67"/>
      <c r="ER2234" s="67"/>
      <c r="ES2234" s="67"/>
      <c r="ET2234" s="67"/>
      <c r="EU2234" s="67"/>
      <c r="EV2234" s="67"/>
      <c r="EW2234" s="67"/>
      <c r="EX2234" s="67"/>
      <c r="EY2234" s="67"/>
      <c r="EZ2234" s="67"/>
      <c r="FA2234" s="67"/>
      <c r="FB2234" s="67"/>
      <c r="FC2234" s="67"/>
      <c r="FD2234" s="67"/>
      <c r="FE2234" s="67"/>
      <c r="FF2234" s="67"/>
      <c r="FG2234" s="67"/>
      <c r="FH2234" s="67"/>
      <c r="FI2234" s="67"/>
      <c r="FJ2234" s="67"/>
      <c r="FK2234" s="67"/>
      <c r="FL2234" s="67"/>
      <c r="FM2234" s="67"/>
      <c r="FN2234" s="67"/>
      <c r="FO2234" s="67"/>
      <c r="FP2234" s="67"/>
      <c r="FQ2234" s="67"/>
      <c r="FR2234" s="67"/>
      <c r="FS2234" s="67"/>
      <c r="FT2234" s="67"/>
      <c r="FU2234" s="67"/>
      <c r="FV2234" s="67"/>
      <c r="FW2234" s="67"/>
      <c r="FX2234" s="67"/>
      <c r="FY2234" s="67"/>
      <c r="FZ2234" s="67"/>
      <c r="GA2234" s="67"/>
      <c r="GB2234" s="67"/>
      <c r="GC2234" s="67"/>
      <c r="GD2234" s="67"/>
      <c r="GE2234" s="67"/>
      <c r="GF2234" s="67"/>
      <c r="GG2234" s="67"/>
      <c r="GH2234" s="67"/>
      <c r="GI2234" s="67"/>
      <c r="GJ2234" s="67"/>
      <c r="GK2234" s="67"/>
      <c r="GL2234" s="67"/>
      <c r="GM2234" s="67"/>
      <c r="GN2234" s="292"/>
      <c r="GO2234" s="292"/>
      <c r="GP2234" s="292" t="s">
        <v>7494</v>
      </c>
      <c r="GQ2234" s="67"/>
      <c r="GR2234" s="67"/>
      <c r="GS2234" s="67"/>
      <c r="GT2234" s="67"/>
      <c r="GU2234" s="67"/>
      <c r="GV2234" s="67"/>
      <c r="GW2234" s="67"/>
      <c r="GX2234" s="67"/>
      <c r="GY2234" s="67"/>
      <c r="GZ2234" s="67"/>
      <c r="HA2234" s="67"/>
      <c r="HB2234" s="67"/>
      <c r="HC2234" s="67"/>
      <c r="HD2234" s="67"/>
      <c r="HE2234" s="67"/>
      <c r="HF2234" s="67"/>
      <c r="HG2234" s="67"/>
      <c r="HH2234" s="67"/>
      <c r="HI2234" s="67"/>
      <c r="HJ2234" s="67"/>
      <c r="HK2234" s="67"/>
      <c r="HL2234" s="67"/>
      <c r="HM2234" s="67"/>
      <c r="HN2234" s="67"/>
      <c r="HO2234" s="67"/>
      <c r="HP2234" s="67"/>
      <c r="HQ2234" s="67"/>
      <c r="HR2234" s="67"/>
      <c r="HS2234" s="67"/>
      <c r="HT2234" s="67"/>
      <c r="HU2234" s="67"/>
      <c r="HV2234" s="67"/>
      <c r="HW2234" s="67"/>
      <c r="HX2234" s="67"/>
      <c r="HY2234" s="67"/>
      <c r="HZ2234" s="67"/>
      <c r="IA2234" s="67"/>
      <c r="IB2234" s="67"/>
      <c r="IC2234" s="67"/>
      <c r="ID2234" s="67"/>
      <c r="IE2234" s="67"/>
      <c r="IF2234" s="67"/>
      <c r="IG2234" s="67"/>
      <c r="IH2234" s="67"/>
      <c r="II2234" s="67"/>
      <c r="IJ2234" s="67"/>
      <c r="IK2234" s="67"/>
      <c r="IL2234" s="67"/>
      <c r="IM2234" s="67"/>
      <c r="IN2234" s="67"/>
      <c r="IO2234" s="67"/>
      <c r="IP2234" s="67"/>
      <c r="IQ2234" s="67"/>
      <c r="IR2234" s="67"/>
      <c r="IS2234" s="67"/>
      <c r="IT2234" s="67"/>
      <c r="IU2234" s="67"/>
      <c r="IV2234" s="67"/>
      <c r="IW2234" s="67"/>
      <c r="IX2234" s="67"/>
      <c r="IY2234" s="67"/>
      <c r="IZ2234" s="67"/>
      <c r="JA2234" s="67"/>
      <c r="JB2234" s="67"/>
      <c r="JC2234" s="67"/>
      <c r="JD2234" s="67"/>
      <c r="JE2234" s="67"/>
      <c r="JF2234" s="67"/>
      <c r="JG2234" s="67"/>
      <c r="JH2234" s="67"/>
      <c r="JI2234" s="67"/>
      <c r="JJ2234" s="67"/>
      <c r="JK2234" s="67"/>
      <c r="JL2234" s="67"/>
      <c r="JM2234" s="67"/>
      <c r="JN2234" s="67"/>
      <c r="JO2234" s="67"/>
      <c r="JP2234" s="67"/>
      <c r="JQ2234" s="67"/>
      <c r="JR2234" s="67"/>
      <c r="JS2234" s="67"/>
      <c r="JT2234" s="67"/>
      <c r="JU2234" s="58"/>
      <c r="JV2234" s="58"/>
      <c r="JW2234" s="58"/>
    </row>
    <row r="2235" spans="1:283" s="23" customFormat="1" x14ac:dyDescent="0.25">
      <c r="A2235" s="55">
        <v>2234</v>
      </c>
      <c r="B2235" s="12" t="s">
        <v>7067</v>
      </c>
      <c r="C2235" s="156">
        <v>106</v>
      </c>
      <c r="D2235" s="58" t="s">
        <v>4187</v>
      </c>
      <c r="E2235" s="93" t="s">
        <v>2152</v>
      </c>
      <c r="F2235" s="93"/>
      <c r="G2235" s="58" t="s">
        <v>2251</v>
      </c>
      <c r="H2235" s="59">
        <v>2013</v>
      </c>
      <c r="I2235" s="58">
        <v>2009</v>
      </c>
      <c r="J2235" s="59" t="s">
        <v>2252</v>
      </c>
      <c r="K2235" s="59" t="s">
        <v>2253</v>
      </c>
      <c r="L2235" s="59" t="s">
        <v>5334</v>
      </c>
      <c r="M2235" s="94">
        <f>-16-27/60</f>
        <v>-16.45</v>
      </c>
      <c r="N2235" s="94">
        <f>-49-17/60</f>
        <v>-49.283333333333331</v>
      </c>
      <c r="O2235" s="93">
        <v>823</v>
      </c>
      <c r="P2235" s="59">
        <v>22.7</v>
      </c>
      <c r="Q2235" s="58"/>
      <c r="R2235" s="59">
        <v>1500</v>
      </c>
      <c r="S2235" s="94"/>
      <c r="T2235" s="58"/>
      <c r="U2235" s="58">
        <v>9</v>
      </c>
      <c r="V2235" s="59">
        <v>10</v>
      </c>
      <c r="W2235" s="174"/>
      <c r="X2235" s="174"/>
      <c r="Y2235" s="58" t="s">
        <v>2250</v>
      </c>
      <c r="Z2235" s="59" t="s">
        <v>1346</v>
      </c>
      <c r="AA2235" s="94">
        <v>20</v>
      </c>
      <c r="AB2235" s="67"/>
      <c r="AC2235" s="67"/>
      <c r="AD2235" s="94">
        <v>1.304</v>
      </c>
      <c r="AE2235" s="93">
        <v>35</v>
      </c>
      <c r="AF2235" s="93">
        <v>11</v>
      </c>
      <c r="AG2235" s="93"/>
      <c r="AH2235" s="58" t="s">
        <v>769</v>
      </c>
      <c r="AI2235" s="169">
        <v>6.2</v>
      </c>
      <c r="AJ2235" s="94">
        <v>2.41</v>
      </c>
      <c r="AK2235" s="94"/>
      <c r="AL2235" s="58"/>
      <c r="AM2235" s="59" t="s">
        <v>2254</v>
      </c>
      <c r="AN2235" s="188" t="s">
        <v>2257</v>
      </c>
      <c r="AO2235" s="185" t="s">
        <v>5150</v>
      </c>
      <c r="AP2235" s="59"/>
      <c r="AQ2235" s="58" t="s">
        <v>1545</v>
      </c>
      <c r="AR2235" s="59" t="s">
        <v>1096</v>
      </c>
      <c r="AS2235" s="55" t="s">
        <v>5133</v>
      </c>
      <c r="AT2235" s="182"/>
      <c r="AU2235" s="181" t="s">
        <v>7494</v>
      </c>
      <c r="AV2235" s="185" t="s">
        <v>176</v>
      </c>
      <c r="AW2235" s="58"/>
      <c r="AX2235" s="185" t="s">
        <v>176</v>
      </c>
      <c r="AY2235" s="58"/>
      <c r="AZ2235" s="59"/>
      <c r="BA2235" s="58"/>
      <c r="BB2235" s="58"/>
      <c r="BC2235" s="58"/>
      <c r="BD2235" s="58"/>
      <c r="BE2235" s="240"/>
      <c r="BF2235" s="59"/>
      <c r="BG2235" s="59"/>
      <c r="BH2235" s="236"/>
      <c r="BI2235" s="58"/>
      <c r="BJ2235" s="58"/>
      <c r="BK2235" s="58" t="s">
        <v>5976</v>
      </c>
      <c r="BL2235" s="58"/>
      <c r="BM2235" s="241"/>
      <c r="BN2235" s="58">
        <v>3</v>
      </c>
      <c r="BO2235" s="58">
        <v>3</v>
      </c>
      <c r="BP2235" s="59"/>
      <c r="BQ2235" s="58" t="s">
        <v>2077</v>
      </c>
      <c r="BR2235" s="58"/>
      <c r="BS2235" s="58"/>
      <c r="BT2235" s="58"/>
      <c r="BU2235" s="58"/>
      <c r="BV2235" s="58"/>
      <c r="BW2235" s="67"/>
      <c r="BX2235" s="67"/>
      <c r="BY2235" s="67"/>
      <c r="BZ2235" s="67"/>
      <c r="CA2235" s="67"/>
      <c r="CB2235" s="153">
        <v>3521</v>
      </c>
      <c r="CC2235" s="68">
        <v>1855</v>
      </c>
      <c r="CD2235" s="68"/>
      <c r="CE2235" s="67"/>
      <c r="CF2235" s="67"/>
      <c r="CG2235" s="67"/>
      <c r="CH2235" s="94">
        <v>1.3042</v>
      </c>
      <c r="CI2235" s="94">
        <v>1.29898</v>
      </c>
      <c r="CJ2235" s="67"/>
      <c r="CK2235" s="67"/>
      <c r="CL2235" s="67"/>
      <c r="CM2235" s="67">
        <f>(CR2235*1000000)/(100*100*CH2235*AA2235/100*1000000)*100</f>
        <v>0.21787446327250423</v>
      </c>
      <c r="CN2235" s="67">
        <f>(CS2235*1000000)/(100*100*CI2235*AA2235/100*1000000)*100</f>
        <v>0.2225</v>
      </c>
      <c r="CO2235" s="67"/>
      <c r="CP2235" s="67"/>
      <c r="CQ2235" s="67"/>
      <c r="CR2235" s="67">
        <v>5.6830375000000002</v>
      </c>
      <c r="CS2235" s="67">
        <v>5.7804610000000007</v>
      </c>
      <c r="CT2235" s="67"/>
      <c r="CU2235" s="67"/>
      <c r="CV2235" s="67" t="s">
        <v>2052</v>
      </c>
      <c r="CW2235" s="67"/>
      <c r="CX2235" s="67"/>
      <c r="CY2235" s="67"/>
      <c r="CZ2235" s="67"/>
      <c r="DA2235" s="67" t="s">
        <v>4463</v>
      </c>
      <c r="DB2235" s="67"/>
      <c r="DC2235" s="67"/>
      <c r="DD2235" s="67"/>
      <c r="DE2235" s="67"/>
      <c r="DF2235" s="67"/>
      <c r="DG2235" s="67"/>
      <c r="DH2235" s="67"/>
      <c r="DI2235" s="67"/>
      <c r="DJ2235" s="67"/>
      <c r="DK2235" s="67"/>
      <c r="DL2235" s="67"/>
      <c r="DM2235" s="67"/>
      <c r="DN2235" s="67"/>
      <c r="DO2235" s="67"/>
      <c r="DP2235" s="67"/>
      <c r="DQ2235" s="166"/>
      <c r="DR2235" s="166"/>
      <c r="DS2235" s="163"/>
      <c r="DT2235" s="163"/>
      <c r="DU2235" s="67"/>
      <c r="DV2235" s="67"/>
      <c r="DW2235" s="67"/>
      <c r="DX2235" s="67"/>
      <c r="DY2235" s="67"/>
      <c r="DZ2235" s="67"/>
      <c r="EA2235" s="67"/>
      <c r="EB2235" s="67"/>
      <c r="EC2235" s="67"/>
      <c r="ED2235" s="67"/>
      <c r="EE2235" s="67"/>
      <c r="EF2235" s="67"/>
      <c r="EG2235" s="67"/>
      <c r="EH2235" s="67"/>
      <c r="EI2235" s="67"/>
      <c r="EJ2235" s="67"/>
      <c r="EK2235" s="94"/>
      <c r="EL2235" s="94"/>
      <c r="EM2235" s="67"/>
      <c r="EN2235" s="67"/>
      <c r="EO2235" s="67"/>
      <c r="EP2235" s="67"/>
      <c r="EQ2235" s="67"/>
      <c r="ER2235" s="67"/>
      <c r="ES2235" s="67"/>
      <c r="ET2235" s="67"/>
      <c r="EU2235" s="67"/>
      <c r="EV2235" s="67"/>
      <c r="EW2235" s="67"/>
      <c r="EX2235" s="67"/>
      <c r="EY2235" s="67"/>
      <c r="EZ2235" s="67"/>
      <c r="FA2235" s="67"/>
      <c r="FB2235" s="67"/>
      <c r="FC2235" s="67"/>
      <c r="FD2235" s="67"/>
      <c r="FE2235" s="67"/>
      <c r="FF2235" s="67"/>
      <c r="FG2235" s="67"/>
      <c r="FH2235" s="67"/>
      <c r="FI2235" s="67"/>
      <c r="FJ2235" s="67"/>
      <c r="FK2235" s="67"/>
      <c r="FL2235" s="67"/>
      <c r="FM2235" s="67"/>
      <c r="FN2235" s="67"/>
      <c r="FO2235" s="67"/>
      <c r="FP2235" s="67"/>
      <c r="FQ2235" s="67"/>
      <c r="FR2235" s="67"/>
      <c r="FS2235" s="67"/>
      <c r="FT2235" s="67"/>
      <c r="FU2235" s="67"/>
      <c r="FV2235" s="67"/>
      <c r="FW2235" s="67"/>
      <c r="FX2235" s="67"/>
      <c r="FY2235" s="67"/>
      <c r="FZ2235" s="67"/>
      <c r="GA2235" s="67"/>
      <c r="GB2235" s="67"/>
      <c r="GC2235" s="67"/>
      <c r="GD2235" s="67"/>
      <c r="GE2235" s="67"/>
      <c r="GF2235" s="67"/>
      <c r="GG2235" s="67"/>
      <c r="GH2235" s="67"/>
      <c r="GI2235" s="67"/>
      <c r="GJ2235" s="67"/>
      <c r="GK2235" s="67"/>
      <c r="GL2235" s="67"/>
      <c r="GM2235" s="67"/>
      <c r="GN2235" s="292"/>
      <c r="GO2235" s="292"/>
      <c r="GP2235" s="292" t="s">
        <v>7494</v>
      </c>
      <c r="GQ2235" s="67"/>
      <c r="GR2235" s="67"/>
      <c r="GS2235" s="67"/>
      <c r="GT2235" s="67"/>
      <c r="GU2235" s="67"/>
      <c r="GV2235" s="67"/>
      <c r="GW2235" s="67"/>
      <c r="GX2235" s="67"/>
      <c r="GY2235" s="67"/>
      <c r="GZ2235" s="67"/>
      <c r="HA2235" s="67"/>
      <c r="HB2235" s="67"/>
      <c r="HC2235" s="67"/>
      <c r="HD2235" s="67"/>
      <c r="HE2235" s="67"/>
      <c r="HF2235" s="67"/>
      <c r="HG2235" s="67"/>
      <c r="HH2235" s="67"/>
      <c r="HI2235" s="67"/>
      <c r="HJ2235" s="67"/>
      <c r="HK2235" s="67"/>
      <c r="HL2235" s="67"/>
      <c r="HM2235" s="67"/>
      <c r="HN2235" s="67"/>
      <c r="HO2235" s="67"/>
      <c r="HP2235" s="67"/>
      <c r="HQ2235" s="67"/>
      <c r="HR2235" s="67"/>
      <c r="HS2235" s="67"/>
      <c r="HT2235" s="67"/>
      <c r="HU2235" s="67"/>
      <c r="HV2235" s="67"/>
      <c r="HW2235" s="67"/>
      <c r="HX2235" s="67"/>
      <c r="HY2235" s="67"/>
      <c r="HZ2235" s="67"/>
      <c r="IA2235" s="67"/>
      <c r="IB2235" s="67"/>
      <c r="IC2235" s="67"/>
      <c r="ID2235" s="67"/>
      <c r="IE2235" s="67"/>
      <c r="IF2235" s="67"/>
      <c r="IG2235" s="67"/>
      <c r="IH2235" s="67"/>
      <c r="II2235" s="67"/>
      <c r="IJ2235" s="67"/>
      <c r="IK2235" s="67"/>
      <c r="IL2235" s="67"/>
      <c r="IM2235" s="67"/>
      <c r="IN2235" s="67"/>
      <c r="IO2235" s="67"/>
      <c r="IP2235" s="67"/>
      <c r="IQ2235" s="67"/>
      <c r="IR2235" s="67"/>
      <c r="IS2235" s="67"/>
      <c r="IT2235" s="67"/>
      <c r="IU2235" s="67"/>
      <c r="IV2235" s="67"/>
      <c r="IW2235" s="67"/>
      <c r="IX2235" s="67"/>
      <c r="IY2235" s="67"/>
      <c r="IZ2235" s="67"/>
      <c r="JA2235" s="67"/>
      <c r="JB2235" s="67"/>
      <c r="JC2235" s="67"/>
      <c r="JD2235" s="67"/>
      <c r="JE2235" s="67"/>
      <c r="JF2235" s="67"/>
      <c r="JG2235" s="67"/>
      <c r="JH2235" s="67"/>
      <c r="JI2235" s="67"/>
      <c r="JJ2235" s="67"/>
      <c r="JK2235" s="67"/>
      <c r="JL2235" s="67"/>
      <c r="JM2235" s="67"/>
      <c r="JN2235" s="67"/>
      <c r="JO2235" s="67"/>
      <c r="JP2235" s="67"/>
      <c r="JQ2235" s="67"/>
      <c r="JR2235" s="67"/>
      <c r="JS2235" s="67"/>
      <c r="JT2235" s="67"/>
      <c r="JU2235" s="58"/>
      <c r="JV2235" s="58"/>
      <c r="JW2235" s="58"/>
    </row>
    <row r="2236" spans="1:283" s="23" customFormat="1" x14ac:dyDescent="0.25">
      <c r="A2236" s="55">
        <v>2235</v>
      </c>
      <c r="B2236" s="12" t="s">
        <v>7067</v>
      </c>
      <c r="C2236" s="156">
        <v>106</v>
      </c>
      <c r="D2236" s="58" t="s">
        <v>4187</v>
      </c>
      <c r="E2236" s="93" t="s">
        <v>2152</v>
      </c>
      <c r="F2236" s="93"/>
      <c r="G2236" s="58" t="s">
        <v>2251</v>
      </c>
      <c r="H2236" s="59">
        <v>2013</v>
      </c>
      <c r="I2236" s="58">
        <v>2009</v>
      </c>
      <c r="J2236" s="59" t="s">
        <v>2252</v>
      </c>
      <c r="K2236" s="59" t="s">
        <v>2253</v>
      </c>
      <c r="L2236" s="59" t="s">
        <v>5334</v>
      </c>
      <c r="M2236" s="94">
        <f>-16-27/60</f>
        <v>-16.45</v>
      </c>
      <c r="N2236" s="94">
        <f>-49-17/60</f>
        <v>-49.283333333333331</v>
      </c>
      <c r="O2236" s="93">
        <v>823</v>
      </c>
      <c r="P2236" s="59">
        <v>22.7</v>
      </c>
      <c r="Q2236" s="58"/>
      <c r="R2236" s="59">
        <v>1500</v>
      </c>
      <c r="S2236" s="94"/>
      <c r="T2236" s="58"/>
      <c r="U2236" s="58">
        <v>9</v>
      </c>
      <c r="V2236" s="59">
        <v>10</v>
      </c>
      <c r="W2236" s="174"/>
      <c r="X2236" s="174"/>
      <c r="Y2236" s="58" t="s">
        <v>2250</v>
      </c>
      <c r="Z2236" s="59" t="s">
        <v>1346</v>
      </c>
      <c r="AA2236" s="94">
        <v>20</v>
      </c>
      <c r="AB2236" s="67"/>
      <c r="AC2236" s="67"/>
      <c r="AD2236" s="94">
        <v>1.304</v>
      </c>
      <c r="AE2236" s="93">
        <v>35</v>
      </c>
      <c r="AF2236" s="93">
        <v>11</v>
      </c>
      <c r="AG2236" s="93"/>
      <c r="AH2236" s="58" t="s">
        <v>769</v>
      </c>
      <c r="AI2236" s="169">
        <v>6.2</v>
      </c>
      <c r="AJ2236" s="94">
        <v>2.41</v>
      </c>
      <c r="AK2236" s="94"/>
      <c r="AL2236" s="58"/>
      <c r="AM2236" s="59" t="s">
        <v>2254</v>
      </c>
      <c r="AN2236" s="188" t="s">
        <v>2258</v>
      </c>
      <c r="AO2236" s="185" t="s">
        <v>5150</v>
      </c>
      <c r="AP2236" s="59"/>
      <c r="AQ2236" s="58" t="s">
        <v>1545</v>
      </c>
      <c r="AR2236" s="59" t="s">
        <v>1096</v>
      </c>
      <c r="AS2236" s="55" t="s">
        <v>5133</v>
      </c>
      <c r="AT2236" s="182"/>
      <c r="AU2236" s="181" t="s">
        <v>7494</v>
      </c>
      <c r="AV2236" s="185" t="s">
        <v>176</v>
      </c>
      <c r="AW2236" s="58"/>
      <c r="AX2236" s="185" t="s">
        <v>176</v>
      </c>
      <c r="AY2236" s="58"/>
      <c r="AZ2236" s="59"/>
      <c r="BA2236" s="58"/>
      <c r="BB2236" s="58"/>
      <c r="BC2236" s="58"/>
      <c r="BD2236" s="58"/>
      <c r="BE2236" s="240"/>
      <c r="BF2236" s="59"/>
      <c r="BG2236" s="59"/>
      <c r="BH2236" s="236"/>
      <c r="BI2236" s="58"/>
      <c r="BJ2236" s="58"/>
      <c r="BK2236" s="58" t="s">
        <v>5976</v>
      </c>
      <c r="BL2236" s="58"/>
      <c r="BM2236" s="241"/>
      <c r="BN2236" s="58">
        <v>3</v>
      </c>
      <c r="BO2236" s="58">
        <v>3</v>
      </c>
      <c r="BP2236" s="59"/>
      <c r="BQ2236" s="58" t="s">
        <v>2077</v>
      </c>
      <c r="BR2236" s="58"/>
      <c r="BS2236" s="58"/>
      <c r="BT2236" s="58"/>
      <c r="BU2236" s="58"/>
      <c r="BV2236" s="58"/>
      <c r="BW2236" s="67"/>
      <c r="BX2236" s="67"/>
      <c r="BY2236" s="67"/>
      <c r="BZ2236" s="67"/>
      <c r="CA2236" s="67"/>
      <c r="CB2236" s="153">
        <v>3521</v>
      </c>
      <c r="CC2236" s="68">
        <v>1982</v>
      </c>
      <c r="CD2236" s="68"/>
      <c r="CE2236" s="67"/>
      <c r="CF2236" s="67"/>
      <c r="CG2236" s="67"/>
      <c r="CH2236" s="94">
        <v>1.3042</v>
      </c>
      <c r="CI2236" s="94">
        <v>1.2711399999999999</v>
      </c>
      <c r="CJ2236" s="67"/>
      <c r="CK2236" s="67"/>
      <c r="CL2236" s="67"/>
      <c r="CM2236" s="67">
        <f>(CR2236*1000000)/(100*100*CH2236*AA2236/100*1000000)*100</f>
        <v>0.21320493405919336</v>
      </c>
      <c r="CN2236" s="67">
        <f>(CS2236*1000000)/(100*100*CI2236*AA2236/100*1000000)*100</f>
        <v>0.24249999999999999</v>
      </c>
      <c r="CO2236" s="67"/>
      <c r="CP2236" s="67"/>
      <c r="CQ2236" s="67"/>
      <c r="CR2236" s="67">
        <v>5.5612374999999998</v>
      </c>
      <c r="CS2236" s="67">
        <v>6.1650289999999996</v>
      </c>
      <c r="CT2236" s="67"/>
      <c r="CU2236" s="67"/>
      <c r="CV2236" s="67" t="s">
        <v>2052</v>
      </c>
      <c r="CW2236" s="67"/>
      <c r="CX2236" s="67"/>
      <c r="CY2236" s="67"/>
      <c r="CZ2236" s="67"/>
      <c r="DA2236" s="67" t="s">
        <v>4463</v>
      </c>
      <c r="DB2236" s="67"/>
      <c r="DC2236" s="67"/>
      <c r="DD2236" s="67"/>
      <c r="DE2236" s="67"/>
      <c r="DF2236" s="67"/>
      <c r="DG2236" s="67"/>
      <c r="DH2236" s="67"/>
      <c r="DI2236" s="67"/>
      <c r="DJ2236" s="67"/>
      <c r="DK2236" s="67"/>
      <c r="DL2236" s="67"/>
      <c r="DM2236" s="67"/>
      <c r="DN2236" s="67"/>
      <c r="DO2236" s="67"/>
      <c r="DP2236" s="67"/>
      <c r="DQ2236" s="166"/>
      <c r="DR2236" s="166"/>
      <c r="DS2236" s="163"/>
      <c r="DT2236" s="163"/>
      <c r="DU2236" s="67"/>
      <c r="DV2236" s="67"/>
      <c r="DW2236" s="67"/>
      <c r="DX2236" s="67"/>
      <c r="DY2236" s="67"/>
      <c r="DZ2236" s="67"/>
      <c r="EA2236" s="67"/>
      <c r="EB2236" s="67"/>
      <c r="EC2236" s="67"/>
      <c r="ED2236" s="67"/>
      <c r="EE2236" s="67"/>
      <c r="EF2236" s="67"/>
      <c r="EG2236" s="67"/>
      <c r="EH2236" s="67"/>
      <c r="EI2236" s="67"/>
      <c r="EJ2236" s="67"/>
      <c r="EK2236" s="94"/>
      <c r="EL2236" s="94"/>
      <c r="EM2236" s="67"/>
      <c r="EN2236" s="67"/>
      <c r="EO2236" s="67"/>
      <c r="EP2236" s="67"/>
      <c r="EQ2236" s="67"/>
      <c r="ER2236" s="67"/>
      <c r="ES2236" s="67"/>
      <c r="ET2236" s="67"/>
      <c r="EU2236" s="67"/>
      <c r="EV2236" s="67"/>
      <c r="EW2236" s="67"/>
      <c r="EX2236" s="67"/>
      <c r="EY2236" s="67"/>
      <c r="EZ2236" s="67"/>
      <c r="FA2236" s="67"/>
      <c r="FB2236" s="67"/>
      <c r="FC2236" s="67"/>
      <c r="FD2236" s="67"/>
      <c r="FE2236" s="67"/>
      <c r="FF2236" s="67"/>
      <c r="FG2236" s="67"/>
      <c r="FH2236" s="67"/>
      <c r="FI2236" s="67"/>
      <c r="FJ2236" s="67"/>
      <c r="FK2236" s="67"/>
      <c r="FL2236" s="67"/>
      <c r="FM2236" s="67"/>
      <c r="FN2236" s="67"/>
      <c r="FO2236" s="67"/>
      <c r="FP2236" s="67"/>
      <c r="FQ2236" s="67"/>
      <c r="FR2236" s="67"/>
      <c r="FS2236" s="67"/>
      <c r="FT2236" s="67"/>
      <c r="FU2236" s="67"/>
      <c r="FV2236" s="67"/>
      <c r="FW2236" s="67"/>
      <c r="FX2236" s="67"/>
      <c r="FY2236" s="67"/>
      <c r="FZ2236" s="67"/>
      <c r="GA2236" s="67"/>
      <c r="GB2236" s="67"/>
      <c r="GC2236" s="67"/>
      <c r="GD2236" s="67"/>
      <c r="GE2236" s="67"/>
      <c r="GF2236" s="67"/>
      <c r="GG2236" s="67"/>
      <c r="GH2236" s="67"/>
      <c r="GI2236" s="67"/>
      <c r="GJ2236" s="67"/>
      <c r="GK2236" s="67"/>
      <c r="GL2236" s="67"/>
      <c r="GM2236" s="67"/>
      <c r="GN2236" s="292"/>
      <c r="GO2236" s="292"/>
      <c r="GP2236" s="292" t="s">
        <v>7494</v>
      </c>
      <c r="GQ2236" s="67"/>
      <c r="GR2236" s="67"/>
      <c r="GS2236" s="67"/>
      <c r="GT2236" s="67"/>
      <c r="GU2236" s="67"/>
      <c r="GV2236" s="67"/>
      <c r="GW2236" s="67"/>
      <c r="GX2236" s="67"/>
      <c r="GY2236" s="67"/>
      <c r="GZ2236" s="67"/>
      <c r="HA2236" s="67"/>
      <c r="HB2236" s="67"/>
      <c r="HC2236" s="67"/>
      <c r="HD2236" s="67"/>
      <c r="HE2236" s="67"/>
      <c r="HF2236" s="67"/>
      <c r="HG2236" s="67"/>
      <c r="HH2236" s="67"/>
      <c r="HI2236" s="67"/>
      <c r="HJ2236" s="67"/>
      <c r="HK2236" s="67"/>
      <c r="HL2236" s="67"/>
      <c r="HM2236" s="67"/>
      <c r="HN2236" s="67"/>
      <c r="HO2236" s="67"/>
      <c r="HP2236" s="67"/>
      <c r="HQ2236" s="67"/>
      <c r="HR2236" s="67"/>
      <c r="HS2236" s="67"/>
      <c r="HT2236" s="67"/>
      <c r="HU2236" s="67"/>
      <c r="HV2236" s="67"/>
      <c r="HW2236" s="67"/>
      <c r="HX2236" s="67"/>
      <c r="HY2236" s="67"/>
      <c r="HZ2236" s="67"/>
      <c r="IA2236" s="67"/>
      <c r="IB2236" s="67"/>
      <c r="IC2236" s="67"/>
      <c r="ID2236" s="67"/>
      <c r="IE2236" s="67"/>
      <c r="IF2236" s="67"/>
      <c r="IG2236" s="67"/>
      <c r="IH2236" s="67"/>
      <c r="II2236" s="67"/>
      <c r="IJ2236" s="67"/>
      <c r="IK2236" s="67"/>
      <c r="IL2236" s="67"/>
      <c r="IM2236" s="67"/>
      <c r="IN2236" s="67"/>
      <c r="IO2236" s="67"/>
      <c r="IP2236" s="67"/>
      <c r="IQ2236" s="67"/>
      <c r="IR2236" s="67"/>
      <c r="IS2236" s="67"/>
      <c r="IT2236" s="67"/>
      <c r="IU2236" s="67"/>
      <c r="IV2236" s="67"/>
      <c r="IW2236" s="67"/>
      <c r="IX2236" s="67"/>
      <c r="IY2236" s="67"/>
      <c r="IZ2236" s="67"/>
      <c r="JA2236" s="67"/>
      <c r="JB2236" s="67"/>
      <c r="JC2236" s="67"/>
      <c r="JD2236" s="67"/>
      <c r="JE2236" s="67"/>
      <c r="JF2236" s="67"/>
      <c r="JG2236" s="67"/>
      <c r="JH2236" s="67"/>
      <c r="JI2236" s="67"/>
      <c r="JJ2236" s="67"/>
      <c r="JK2236" s="67"/>
      <c r="JL2236" s="67"/>
      <c r="JM2236" s="67"/>
      <c r="JN2236" s="67"/>
      <c r="JO2236" s="67"/>
      <c r="JP2236" s="67"/>
      <c r="JQ2236" s="67"/>
      <c r="JR2236" s="67"/>
      <c r="JS2236" s="67"/>
      <c r="JT2236" s="67"/>
      <c r="JU2236" s="58"/>
      <c r="JV2236" s="58"/>
      <c r="JW2236" s="58"/>
    </row>
    <row r="2237" spans="1:283" s="23" customFormat="1" x14ac:dyDescent="0.25">
      <c r="A2237" s="55">
        <v>2236</v>
      </c>
      <c r="B2237" s="12" t="s">
        <v>7067</v>
      </c>
      <c r="C2237" s="156">
        <v>106</v>
      </c>
      <c r="D2237" s="58" t="s">
        <v>4187</v>
      </c>
      <c r="E2237" s="93" t="s">
        <v>2152</v>
      </c>
      <c r="F2237" s="93"/>
      <c r="G2237" s="58" t="s">
        <v>2251</v>
      </c>
      <c r="H2237" s="59">
        <v>2013</v>
      </c>
      <c r="I2237" s="58">
        <v>2009</v>
      </c>
      <c r="J2237" s="59" t="s">
        <v>2252</v>
      </c>
      <c r="K2237" s="59" t="s">
        <v>2253</v>
      </c>
      <c r="L2237" s="59" t="s">
        <v>5334</v>
      </c>
      <c r="M2237" s="94">
        <f>-16-27/60</f>
        <v>-16.45</v>
      </c>
      <c r="N2237" s="94">
        <f>-49-17/60</f>
        <v>-49.283333333333331</v>
      </c>
      <c r="O2237" s="93">
        <v>823</v>
      </c>
      <c r="P2237" s="59">
        <v>22.7</v>
      </c>
      <c r="Q2237" s="58"/>
      <c r="R2237" s="59">
        <v>1500</v>
      </c>
      <c r="S2237" s="94"/>
      <c r="T2237" s="58"/>
      <c r="U2237" s="58">
        <v>9</v>
      </c>
      <c r="V2237" s="59">
        <v>10</v>
      </c>
      <c r="W2237" s="174"/>
      <c r="X2237" s="174"/>
      <c r="Y2237" s="58" t="s">
        <v>2250</v>
      </c>
      <c r="Z2237" s="59" t="s">
        <v>1346</v>
      </c>
      <c r="AA2237" s="94">
        <v>20</v>
      </c>
      <c r="AB2237" s="67"/>
      <c r="AC2237" s="67"/>
      <c r="AD2237" s="94">
        <v>1.304</v>
      </c>
      <c r="AE2237" s="93">
        <v>35</v>
      </c>
      <c r="AF2237" s="93">
        <v>11</v>
      </c>
      <c r="AG2237" s="93"/>
      <c r="AH2237" s="58" t="s">
        <v>769</v>
      </c>
      <c r="AI2237" s="169">
        <v>6.2</v>
      </c>
      <c r="AJ2237" s="94">
        <v>2.41</v>
      </c>
      <c r="AK2237" s="94"/>
      <c r="AL2237" s="58"/>
      <c r="AM2237" s="59" t="s">
        <v>2254</v>
      </c>
      <c r="AN2237" s="188" t="s">
        <v>503</v>
      </c>
      <c r="AO2237" s="185" t="s">
        <v>5150</v>
      </c>
      <c r="AP2237" s="59"/>
      <c r="AQ2237" s="58" t="s">
        <v>1545</v>
      </c>
      <c r="AR2237" s="59" t="s">
        <v>1096</v>
      </c>
      <c r="AS2237" s="55" t="s">
        <v>5133</v>
      </c>
      <c r="AT2237" s="182"/>
      <c r="AU2237" s="181" t="s">
        <v>7494</v>
      </c>
      <c r="AV2237" s="185" t="s">
        <v>176</v>
      </c>
      <c r="AW2237" s="58"/>
      <c r="AX2237" s="185" t="s">
        <v>176</v>
      </c>
      <c r="AY2237" s="58"/>
      <c r="AZ2237" s="59"/>
      <c r="BA2237" s="58"/>
      <c r="BB2237" s="58"/>
      <c r="BC2237" s="58"/>
      <c r="BD2237" s="58"/>
      <c r="BE2237" s="240"/>
      <c r="BF2237" s="59"/>
      <c r="BG2237" s="59"/>
      <c r="BH2237" s="236"/>
      <c r="BI2237" s="58"/>
      <c r="BJ2237" s="58"/>
      <c r="BK2237" s="58" t="s">
        <v>5976</v>
      </c>
      <c r="BL2237" s="58"/>
      <c r="BM2237" s="241"/>
      <c r="BN2237" s="58">
        <v>3</v>
      </c>
      <c r="BO2237" s="58">
        <v>3</v>
      </c>
      <c r="BP2237" s="59"/>
      <c r="BQ2237" s="58" t="s">
        <v>2077</v>
      </c>
      <c r="BR2237" s="58"/>
      <c r="BS2237" s="58"/>
      <c r="BT2237" s="58"/>
      <c r="BU2237" s="58"/>
      <c r="BV2237" s="58"/>
      <c r="BW2237" s="67"/>
      <c r="BX2237" s="67"/>
      <c r="BY2237" s="67"/>
      <c r="BZ2237" s="67"/>
      <c r="CA2237" s="67"/>
      <c r="CB2237" s="153">
        <v>3521</v>
      </c>
      <c r="CC2237" s="68">
        <v>3648</v>
      </c>
      <c r="CD2237" s="68"/>
      <c r="CE2237" s="67"/>
      <c r="CF2237" s="67"/>
      <c r="CG2237" s="67"/>
      <c r="CH2237" s="94">
        <v>1.6087</v>
      </c>
      <c r="CI2237" s="94">
        <v>1.6087</v>
      </c>
      <c r="CJ2237" s="67"/>
      <c r="CK2237" s="67"/>
      <c r="CL2237" s="67"/>
      <c r="CM2237" s="67"/>
      <c r="CN2237" s="67"/>
      <c r="CO2237" s="67"/>
      <c r="CP2237" s="67"/>
      <c r="CQ2237" s="67"/>
      <c r="CR2237" s="67"/>
      <c r="CS2237" s="67"/>
      <c r="CT2237" s="67"/>
      <c r="CU2237" s="67"/>
      <c r="CV2237" s="67"/>
      <c r="CW2237" s="67"/>
      <c r="CX2237" s="67"/>
      <c r="CY2237" s="67"/>
      <c r="CZ2237" s="67"/>
      <c r="DA2237" s="67"/>
      <c r="DB2237" s="67"/>
      <c r="DC2237" s="67"/>
      <c r="DD2237" s="67"/>
      <c r="DE2237" s="67"/>
      <c r="DF2237" s="67"/>
      <c r="DG2237" s="67"/>
      <c r="DH2237" s="67"/>
      <c r="DI2237" s="67"/>
      <c r="DJ2237" s="67"/>
      <c r="DK2237" s="67"/>
      <c r="DL2237" s="67"/>
      <c r="DM2237" s="67"/>
      <c r="DN2237" s="67"/>
      <c r="DO2237" s="67"/>
      <c r="DP2237" s="67"/>
      <c r="DQ2237" s="166"/>
      <c r="DR2237" s="166"/>
      <c r="DS2237" s="163"/>
      <c r="DT2237" s="163"/>
      <c r="DU2237" s="67"/>
      <c r="DV2237" s="67"/>
      <c r="DW2237" s="67"/>
      <c r="DX2237" s="67"/>
      <c r="DY2237" s="67"/>
      <c r="DZ2237" s="67"/>
      <c r="EA2237" s="67"/>
      <c r="EB2237" s="67"/>
      <c r="EC2237" s="67"/>
      <c r="ED2237" s="67"/>
      <c r="EE2237" s="67"/>
      <c r="EF2237" s="67"/>
      <c r="EG2237" s="67"/>
      <c r="EH2237" s="67"/>
      <c r="EI2237" s="67"/>
      <c r="EJ2237" s="67"/>
      <c r="EK2237" s="94"/>
      <c r="EL2237" s="94"/>
      <c r="EM2237" s="67"/>
      <c r="EN2237" s="67"/>
      <c r="EO2237" s="67"/>
      <c r="EP2237" s="67"/>
      <c r="EQ2237" s="67"/>
      <c r="ER2237" s="67"/>
      <c r="ES2237" s="67"/>
      <c r="ET2237" s="67"/>
      <c r="EU2237" s="67"/>
      <c r="EV2237" s="67"/>
      <c r="EW2237" s="67"/>
      <c r="EX2237" s="67"/>
      <c r="EY2237" s="67"/>
      <c r="EZ2237" s="67"/>
      <c r="FA2237" s="67"/>
      <c r="FB2237" s="67"/>
      <c r="FC2237" s="67"/>
      <c r="FD2237" s="67"/>
      <c r="FE2237" s="67"/>
      <c r="FF2237" s="67"/>
      <c r="FG2237" s="67"/>
      <c r="FH2237" s="67"/>
      <c r="FI2237" s="67"/>
      <c r="FJ2237" s="67"/>
      <c r="FK2237" s="67"/>
      <c r="FL2237" s="67"/>
      <c r="FM2237" s="67"/>
      <c r="FN2237" s="67"/>
      <c r="FO2237" s="67"/>
      <c r="FP2237" s="67"/>
      <c r="FQ2237" s="67"/>
      <c r="FR2237" s="67"/>
      <c r="FS2237" s="67"/>
      <c r="FT2237" s="67"/>
      <c r="FU2237" s="67"/>
      <c r="FV2237" s="67"/>
      <c r="FW2237" s="67"/>
      <c r="FX2237" s="67"/>
      <c r="FY2237" s="67"/>
      <c r="FZ2237" s="67"/>
      <c r="GA2237" s="67"/>
      <c r="GB2237" s="67"/>
      <c r="GC2237" s="67"/>
      <c r="GD2237" s="67"/>
      <c r="GE2237" s="67"/>
      <c r="GF2237" s="67"/>
      <c r="GG2237" s="67"/>
      <c r="GH2237" s="67"/>
      <c r="GI2237" s="67"/>
      <c r="GJ2237" s="67"/>
      <c r="GK2237" s="67"/>
      <c r="GL2237" s="67"/>
      <c r="GM2237" s="67"/>
      <c r="GN2237" s="292"/>
      <c r="GO2237" s="292"/>
      <c r="GP2237" s="292" t="s">
        <v>7494</v>
      </c>
      <c r="GQ2237" s="67"/>
      <c r="GR2237" s="67"/>
      <c r="GS2237" s="67"/>
      <c r="GT2237" s="67"/>
      <c r="GU2237" s="67"/>
      <c r="GV2237" s="67"/>
      <c r="GW2237" s="67"/>
      <c r="GX2237" s="67"/>
      <c r="GY2237" s="67"/>
      <c r="GZ2237" s="67"/>
      <c r="HA2237" s="67"/>
      <c r="HB2237" s="67"/>
      <c r="HC2237" s="67"/>
      <c r="HD2237" s="67"/>
      <c r="HE2237" s="67"/>
      <c r="HF2237" s="67"/>
      <c r="HG2237" s="67"/>
      <c r="HH2237" s="67"/>
      <c r="HI2237" s="67"/>
      <c r="HJ2237" s="67"/>
      <c r="HK2237" s="67"/>
      <c r="HL2237" s="67"/>
      <c r="HM2237" s="67"/>
      <c r="HN2237" s="67"/>
      <c r="HO2237" s="67"/>
      <c r="HP2237" s="67"/>
      <c r="HQ2237" s="67"/>
      <c r="HR2237" s="67"/>
      <c r="HS2237" s="67"/>
      <c r="HT2237" s="67"/>
      <c r="HU2237" s="67"/>
      <c r="HV2237" s="67"/>
      <c r="HW2237" s="67"/>
      <c r="HX2237" s="67"/>
      <c r="HY2237" s="67"/>
      <c r="HZ2237" s="67"/>
      <c r="IA2237" s="67"/>
      <c r="IB2237" s="67"/>
      <c r="IC2237" s="67"/>
      <c r="ID2237" s="67"/>
      <c r="IE2237" s="67"/>
      <c r="IF2237" s="67"/>
      <c r="IG2237" s="67"/>
      <c r="IH2237" s="67"/>
      <c r="II2237" s="67"/>
      <c r="IJ2237" s="67"/>
      <c r="IK2237" s="67"/>
      <c r="IL2237" s="67"/>
      <c r="IM2237" s="67"/>
      <c r="IN2237" s="67"/>
      <c r="IO2237" s="67"/>
      <c r="IP2237" s="67"/>
      <c r="IQ2237" s="67"/>
      <c r="IR2237" s="67"/>
      <c r="IS2237" s="67"/>
      <c r="IT2237" s="67"/>
      <c r="IU2237" s="67"/>
      <c r="IV2237" s="67"/>
      <c r="IW2237" s="67"/>
      <c r="IX2237" s="67"/>
      <c r="IY2237" s="67"/>
      <c r="IZ2237" s="67"/>
      <c r="JA2237" s="67"/>
      <c r="JB2237" s="67"/>
      <c r="JC2237" s="67"/>
      <c r="JD2237" s="67"/>
      <c r="JE2237" s="67"/>
      <c r="JF2237" s="67"/>
      <c r="JG2237" s="67"/>
      <c r="JH2237" s="67"/>
      <c r="JI2237" s="67"/>
      <c r="JJ2237" s="67"/>
      <c r="JK2237" s="67"/>
      <c r="JL2237" s="67"/>
      <c r="JM2237" s="67"/>
      <c r="JN2237" s="67"/>
      <c r="JO2237" s="67"/>
      <c r="JP2237" s="67"/>
      <c r="JQ2237" s="67"/>
      <c r="JR2237" s="67"/>
      <c r="JS2237" s="67"/>
      <c r="JT2237" s="67"/>
      <c r="JU2237" s="58"/>
      <c r="JV2237" s="58"/>
      <c r="JW2237" s="58"/>
    </row>
    <row r="2238" spans="1:283" s="23" customFormat="1" x14ac:dyDescent="0.25">
      <c r="A2238" s="55">
        <v>2237</v>
      </c>
      <c r="B2238" s="12" t="s">
        <v>7067</v>
      </c>
      <c r="C2238" s="156">
        <v>107</v>
      </c>
      <c r="D2238" s="58" t="s">
        <v>4188</v>
      </c>
      <c r="E2238" s="94" t="s">
        <v>2153</v>
      </c>
      <c r="F2238" s="94"/>
      <c r="G2238" s="58"/>
      <c r="H2238" s="58">
        <v>1974</v>
      </c>
      <c r="I2238" s="58"/>
      <c r="J2238" s="58" t="s">
        <v>2154</v>
      </c>
      <c r="K2238" s="58" t="s">
        <v>2155</v>
      </c>
      <c r="L2238" s="58" t="s">
        <v>1077</v>
      </c>
      <c r="M2238" s="94">
        <v>50.76</v>
      </c>
      <c r="N2238" s="94">
        <v>8.89</v>
      </c>
      <c r="O2238" s="94">
        <v>152</v>
      </c>
      <c r="P2238" s="58">
        <v>8</v>
      </c>
      <c r="Q2238" s="58"/>
      <c r="R2238" s="58">
        <v>600</v>
      </c>
      <c r="S2238" s="94"/>
      <c r="T2238" s="58"/>
      <c r="U2238" s="58">
        <v>8</v>
      </c>
      <c r="V2238" s="58">
        <v>8</v>
      </c>
      <c r="W2238" s="174"/>
      <c r="X2238" s="174"/>
      <c r="Y2238" s="58"/>
      <c r="Z2238" s="58" t="s">
        <v>2120</v>
      </c>
      <c r="AA2238" s="94">
        <v>28</v>
      </c>
      <c r="AB2238" s="67"/>
      <c r="AC2238" s="67"/>
      <c r="AD2238" s="94">
        <v>1.4486635000000001</v>
      </c>
      <c r="AE2238" s="94"/>
      <c r="AF2238" s="94"/>
      <c r="AG2238" s="94"/>
      <c r="AH2238" s="58"/>
      <c r="AI2238" s="169"/>
      <c r="AJ2238" s="94"/>
      <c r="AK2238" s="94"/>
      <c r="AL2238" s="58"/>
      <c r="AM2238" s="58" t="s">
        <v>2156</v>
      </c>
      <c r="AN2238" s="186" t="s">
        <v>2157</v>
      </c>
      <c r="AO2238" s="185" t="s">
        <v>5150</v>
      </c>
      <c r="AP2238" s="58"/>
      <c r="AQ2238" s="58" t="s">
        <v>1097</v>
      </c>
      <c r="AR2238" s="58" t="s">
        <v>2259</v>
      </c>
      <c r="AS2238" s="58" t="s">
        <v>1583</v>
      </c>
      <c r="AT2238" s="182" t="s">
        <v>2260</v>
      </c>
      <c r="AU2238" s="181" t="s">
        <v>5150</v>
      </c>
      <c r="AV2238" s="185" t="s">
        <v>176</v>
      </c>
      <c r="AW2238" s="58"/>
      <c r="AX2238" s="185" t="s">
        <v>176</v>
      </c>
      <c r="AY2238" s="58"/>
      <c r="AZ2238" s="58" t="s">
        <v>2261</v>
      </c>
      <c r="BA2238" s="58"/>
      <c r="BB2238" s="58"/>
      <c r="BC2238" s="58"/>
      <c r="BD2238" s="58"/>
      <c r="BE2238" s="236" t="s">
        <v>2158</v>
      </c>
      <c r="BF2238" s="58"/>
      <c r="BG2238" s="191" t="s">
        <v>176</v>
      </c>
      <c r="BH2238" s="236"/>
      <c r="BI2238" s="58"/>
      <c r="BJ2238" s="58"/>
      <c r="BK2238" s="58" t="s">
        <v>5976</v>
      </c>
      <c r="BL2238" s="58"/>
      <c r="BM2238" s="237" t="s">
        <v>160</v>
      </c>
      <c r="BN2238" s="58"/>
      <c r="BO2238" s="58"/>
      <c r="BP2238" s="58">
        <v>60</v>
      </c>
      <c r="BQ2238" s="58"/>
      <c r="BR2238" s="58"/>
      <c r="BS2238" s="58"/>
      <c r="BT2238" s="58"/>
      <c r="BU2238" s="58"/>
      <c r="BV2238" s="58"/>
      <c r="BW2238" s="67"/>
      <c r="BX2238" s="67"/>
      <c r="BY2238" s="67"/>
      <c r="BZ2238" s="67"/>
      <c r="CA2238" s="67"/>
      <c r="CB2238" s="68"/>
      <c r="CC2238" s="68"/>
      <c r="CD2238" s="68"/>
      <c r="CE2238" s="67"/>
      <c r="CF2238" s="67"/>
      <c r="CG2238" s="67"/>
      <c r="CH2238" s="94">
        <v>1.4486635000000001</v>
      </c>
      <c r="CI2238" s="94">
        <v>1.4450965</v>
      </c>
      <c r="CJ2238" s="67"/>
      <c r="CK2238" s="67"/>
      <c r="CL2238" s="67"/>
      <c r="CM2238" s="67">
        <f>(CR2238*1000000)/(100*100*CH2238*AA2238/100*1000000)*100</f>
        <v>0.91748532759678114</v>
      </c>
      <c r="CN2238" s="67">
        <f>(CS2238*1000000)/(100*100*CI2238*AA2238/100*1000000)*100</f>
        <v>0.94024999999999992</v>
      </c>
      <c r="CO2238" s="67"/>
      <c r="CP2238" s="67"/>
      <c r="CQ2238" s="67"/>
      <c r="CR2238" s="67">
        <v>37.215570164499994</v>
      </c>
      <c r="CS2238" s="67">
        <v>38.045055555499999</v>
      </c>
      <c r="CT2238" s="67"/>
      <c r="CU2238" s="67"/>
      <c r="CV2238" s="67" t="s">
        <v>2052</v>
      </c>
      <c r="CW2238" s="67"/>
      <c r="CX2238" s="67"/>
      <c r="CY2238" s="67"/>
      <c r="CZ2238" s="67"/>
      <c r="DA2238" s="67" t="s">
        <v>4463</v>
      </c>
      <c r="DB2238" s="67"/>
      <c r="DC2238" s="67"/>
      <c r="DD2238" s="67"/>
      <c r="DE2238" s="67"/>
      <c r="DF2238" s="67"/>
      <c r="DG2238" s="67"/>
      <c r="DH2238" s="67"/>
      <c r="DI2238" s="67"/>
      <c r="DJ2238" s="67"/>
      <c r="DK2238" s="67"/>
      <c r="DL2238" s="67"/>
      <c r="DM2238" s="67"/>
      <c r="DN2238" s="67"/>
      <c r="DO2238" s="67"/>
      <c r="DP2238" s="67"/>
      <c r="DQ2238" s="166"/>
      <c r="DR2238" s="166"/>
      <c r="DS2238" s="163"/>
      <c r="DT2238" s="163"/>
      <c r="DU2238" s="67"/>
      <c r="DV2238" s="67"/>
      <c r="DW2238" s="67"/>
      <c r="DX2238" s="67"/>
      <c r="DY2238" s="67"/>
      <c r="DZ2238" s="67"/>
      <c r="EA2238" s="67"/>
      <c r="EB2238" s="67"/>
      <c r="EC2238" s="67"/>
      <c r="ED2238" s="67"/>
      <c r="EE2238" s="67"/>
      <c r="EF2238" s="67"/>
      <c r="EG2238" s="67"/>
      <c r="EH2238" s="67"/>
      <c r="EI2238" s="67"/>
      <c r="EJ2238" s="67"/>
      <c r="EK2238" s="94"/>
      <c r="EL2238" s="94"/>
      <c r="EM2238" s="67"/>
      <c r="EN2238" s="67"/>
      <c r="EO2238" s="67"/>
      <c r="EP2238" s="67"/>
      <c r="EQ2238" s="67"/>
      <c r="ER2238" s="67"/>
      <c r="ES2238" s="67"/>
      <c r="ET2238" s="67"/>
      <c r="EU2238" s="67"/>
      <c r="EV2238" s="67"/>
      <c r="EW2238" s="67"/>
      <c r="EX2238" s="67"/>
      <c r="EY2238" s="67"/>
      <c r="EZ2238" s="67"/>
      <c r="FA2238" s="67"/>
      <c r="FB2238" s="67"/>
      <c r="FC2238" s="67"/>
      <c r="FD2238" s="67"/>
      <c r="FE2238" s="67"/>
      <c r="FF2238" s="67"/>
      <c r="FG2238" s="67"/>
      <c r="FH2238" s="67"/>
      <c r="FI2238" s="67"/>
      <c r="FJ2238" s="67"/>
      <c r="FK2238" s="67"/>
      <c r="FL2238" s="67"/>
      <c r="FM2238" s="67"/>
      <c r="FN2238" s="67"/>
      <c r="FO2238" s="67"/>
      <c r="FP2238" s="67"/>
      <c r="FQ2238" s="67"/>
      <c r="FR2238" s="67"/>
      <c r="FS2238" s="67"/>
      <c r="FT2238" s="67"/>
      <c r="FU2238" s="67"/>
      <c r="FV2238" s="67"/>
      <c r="FW2238" s="67"/>
      <c r="FX2238" s="67"/>
      <c r="FY2238" s="67"/>
      <c r="FZ2238" s="67"/>
      <c r="GA2238" s="67"/>
      <c r="GB2238" s="67"/>
      <c r="GC2238" s="67"/>
      <c r="GD2238" s="67"/>
      <c r="GE2238" s="67"/>
      <c r="GF2238" s="67"/>
      <c r="GG2238" s="67"/>
      <c r="GH2238" s="67"/>
      <c r="GI2238" s="67"/>
      <c r="GJ2238" s="67"/>
      <c r="GK2238" s="67"/>
      <c r="GL2238" s="67"/>
      <c r="GM2238" s="67"/>
      <c r="GN2238" s="292"/>
      <c r="GO2238" s="292"/>
      <c r="GP2238" s="292" t="s">
        <v>7494</v>
      </c>
      <c r="GQ2238" s="67"/>
      <c r="GR2238" s="67"/>
      <c r="GS2238" s="67"/>
      <c r="GT2238" s="67"/>
      <c r="GU2238" s="67"/>
      <c r="GV2238" s="67"/>
      <c r="GW2238" s="67"/>
      <c r="GX2238" s="67"/>
      <c r="GY2238" s="67"/>
      <c r="GZ2238" s="67"/>
      <c r="HA2238" s="67"/>
      <c r="HB2238" s="67"/>
      <c r="HC2238" s="67"/>
      <c r="HD2238" s="67"/>
      <c r="HE2238" s="67"/>
      <c r="HF2238" s="67"/>
      <c r="HG2238" s="67"/>
      <c r="HH2238" s="67"/>
      <c r="HI2238" s="67"/>
      <c r="HJ2238" s="67"/>
      <c r="HK2238" s="67"/>
      <c r="HL2238" s="67"/>
      <c r="HM2238" s="67"/>
      <c r="HN2238" s="67"/>
      <c r="HO2238" s="67"/>
      <c r="HP2238" s="67"/>
      <c r="HQ2238" s="67"/>
      <c r="HR2238" s="67"/>
      <c r="HS2238" s="67"/>
      <c r="HT2238" s="67"/>
      <c r="HU2238" s="67"/>
      <c r="HV2238" s="67"/>
      <c r="HW2238" s="67"/>
      <c r="HX2238" s="67"/>
      <c r="HY2238" s="67"/>
      <c r="HZ2238" s="67"/>
      <c r="IA2238" s="67"/>
      <c r="IB2238" s="67"/>
      <c r="IC2238" s="67"/>
      <c r="ID2238" s="67"/>
      <c r="IE2238" s="67"/>
      <c r="IF2238" s="67"/>
      <c r="IG2238" s="67"/>
      <c r="IH2238" s="67"/>
      <c r="II2238" s="67"/>
      <c r="IJ2238" s="67"/>
      <c r="IK2238" s="67"/>
      <c r="IL2238" s="67"/>
      <c r="IM2238" s="67"/>
      <c r="IN2238" s="67"/>
      <c r="IO2238" s="67"/>
      <c r="IP2238" s="67"/>
      <c r="IQ2238" s="67"/>
      <c r="IR2238" s="67"/>
      <c r="IS2238" s="67"/>
      <c r="IT2238" s="67"/>
      <c r="IU2238" s="67"/>
      <c r="IV2238" s="67"/>
      <c r="IW2238" s="67"/>
      <c r="IX2238" s="67"/>
      <c r="IY2238" s="67"/>
      <c r="IZ2238" s="67"/>
      <c r="JA2238" s="67"/>
      <c r="JB2238" s="67"/>
      <c r="JC2238" s="67"/>
      <c r="JD2238" s="67"/>
      <c r="JE2238" s="67"/>
      <c r="JF2238" s="67"/>
      <c r="JG2238" s="67"/>
      <c r="JH2238" s="67"/>
      <c r="JI2238" s="67"/>
      <c r="JJ2238" s="67"/>
      <c r="JK2238" s="67"/>
      <c r="JL2238" s="67"/>
      <c r="JM2238" s="67"/>
      <c r="JN2238" s="67"/>
      <c r="JO2238" s="67"/>
      <c r="JP2238" s="67"/>
      <c r="JQ2238" s="67"/>
      <c r="JR2238" s="67"/>
      <c r="JS2238" s="67"/>
      <c r="JT2238" s="67"/>
      <c r="JU2238" s="58"/>
      <c r="JV2238" s="58"/>
      <c r="JW2238" s="58"/>
    </row>
    <row r="2239" spans="1:283" s="23" customFormat="1" x14ac:dyDescent="0.25">
      <c r="A2239" s="55">
        <v>2238</v>
      </c>
      <c r="B2239" s="12" t="s">
        <v>7067</v>
      </c>
      <c r="C2239" s="156">
        <v>107</v>
      </c>
      <c r="D2239" s="58" t="s">
        <v>4189</v>
      </c>
      <c r="E2239" s="94" t="s">
        <v>2153</v>
      </c>
      <c r="F2239" s="94"/>
      <c r="G2239" s="58"/>
      <c r="H2239" s="58">
        <v>1974</v>
      </c>
      <c r="I2239" s="58"/>
      <c r="J2239" s="58" t="s">
        <v>2154</v>
      </c>
      <c r="K2239" s="58" t="s">
        <v>2155</v>
      </c>
      <c r="L2239" s="58" t="s">
        <v>1077</v>
      </c>
      <c r="M2239" s="94">
        <v>50.76</v>
      </c>
      <c r="N2239" s="94">
        <v>8.89</v>
      </c>
      <c r="O2239" s="94">
        <v>152</v>
      </c>
      <c r="P2239" s="58">
        <v>8</v>
      </c>
      <c r="Q2239" s="58"/>
      <c r="R2239" s="58">
        <v>600</v>
      </c>
      <c r="S2239" s="94"/>
      <c r="T2239" s="58"/>
      <c r="U2239" s="58">
        <v>8</v>
      </c>
      <c r="V2239" s="58">
        <v>8</v>
      </c>
      <c r="W2239" s="174"/>
      <c r="X2239" s="174"/>
      <c r="Y2239" s="58"/>
      <c r="Z2239" s="58" t="s">
        <v>2120</v>
      </c>
      <c r="AA2239" s="94">
        <v>28</v>
      </c>
      <c r="AB2239" s="67"/>
      <c r="AC2239" s="67"/>
      <c r="AD2239" s="94">
        <v>1.447924</v>
      </c>
      <c r="AE2239" s="94"/>
      <c r="AF2239" s="94"/>
      <c r="AG2239" s="94"/>
      <c r="AH2239" s="58"/>
      <c r="AI2239" s="169"/>
      <c r="AJ2239" s="94"/>
      <c r="AK2239" s="94"/>
      <c r="AL2239" s="58"/>
      <c r="AM2239" s="58" t="s">
        <v>2156</v>
      </c>
      <c r="AN2239" s="186" t="s">
        <v>2157</v>
      </c>
      <c r="AO2239" s="185" t="s">
        <v>5150</v>
      </c>
      <c r="AP2239" s="58"/>
      <c r="AQ2239" s="58" t="s">
        <v>1097</v>
      </c>
      <c r="AR2239" s="58" t="s">
        <v>2259</v>
      </c>
      <c r="AS2239" s="58" t="s">
        <v>1583</v>
      </c>
      <c r="AT2239" s="182" t="s">
        <v>2260</v>
      </c>
      <c r="AU2239" s="181" t="s">
        <v>5150</v>
      </c>
      <c r="AV2239" s="185" t="s">
        <v>176</v>
      </c>
      <c r="AW2239" s="58"/>
      <c r="AX2239" s="185" t="s">
        <v>176</v>
      </c>
      <c r="AY2239" s="58"/>
      <c r="AZ2239" s="58" t="s">
        <v>2261</v>
      </c>
      <c r="BA2239" s="58"/>
      <c r="BB2239" s="58"/>
      <c r="BC2239" s="58"/>
      <c r="BD2239" s="58"/>
      <c r="BE2239" s="236" t="s">
        <v>2159</v>
      </c>
      <c r="BF2239" s="58"/>
      <c r="BG2239" s="191" t="s">
        <v>479</v>
      </c>
      <c r="BH2239" s="236"/>
      <c r="BI2239" s="58"/>
      <c r="BJ2239" s="58"/>
      <c r="BK2239" s="58" t="s">
        <v>5976</v>
      </c>
      <c r="BL2239" s="58"/>
      <c r="BM2239" s="237" t="s">
        <v>160</v>
      </c>
      <c r="BN2239" s="58"/>
      <c r="BO2239" s="58"/>
      <c r="BP2239" s="58">
        <v>60</v>
      </c>
      <c r="BQ2239" s="58"/>
      <c r="BR2239" s="58"/>
      <c r="BS2239" s="58"/>
      <c r="BT2239" s="58"/>
      <c r="BU2239" s="58"/>
      <c r="BV2239" s="58"/>
      <c r="BW2239" s="67"/>
      <c r="BX2239" s="67"/>
      <c r="BY2239" s="67"/>
      <c r="BZ2239" s="67"/>
      <c r="CA2239" s="67"/>
      <c r="CB2239" s="68"/>
      <c r="CC2239" s="68"/>
      <c r="CD2239" s="68"/>
      <c r="CE2239" s="67"/>
      <c r="CF2239" s="67"/>
      <c r="CG2239" s="67"/>
      <c r="CH2239" s="94">
        <v>1.447924</v>
      </c>
      <c r="CI2239" s="94">
        <v>1.4407682500000001</v>
      </c>
      <c r="CJ2239" s="67"/>
      <c r="CK2239" s="67"/>
      <c r="CL2239" s="67"/>
      <c r="CM2239" s="67">
        <f>(CR2239*1000000)/(100*100*CH2239*AA2239/100*1000000)*100</f>
        <v>0.91943352206331275</v>
      </c>
      <c r="CN2239" s="67">
        <f>(CS2239*1000000)/(100*100*CI2239*AA2239/100*1000000)*100</f>
        <v>0.96512499999999979</v>
      </c>
      <c r="CO2239" s="67"/>
      <c r="CP2239" s="67"/>
      <c r="CQ2239" s="67"/>
      <c r="CR2239" s="67">
        <v>37.275556164000008</v>
      </c>
      <c r="CS2239" s="67">
        <v>38.934600803875</v>
      </c>
      <c r="CT2239" s="67"/>
      <c r="CU2239" s="67"/>
      <c r="CV2239" s="67" t="s">
        <v>2052</v>
      </c>
      <c r="CW2239" s="67"/>
      <c r="CX2239" s="67"/>
      <c r="CY2239" s="67"/>
      <c r="CZ2239" s="67"/>
      <c r="DA2239" s="67" t="s">
        <v>4463</v>
      </c>
      <c r="DB2239" s="67"/>
      <c r="DC2239" s="67"/>
      <c r="DD2239" s="67"/>
      <c r="DE2239" s="67"/>
      <c r="DF2239" s="67"/>
      <c r="DG2239" s="67"/>
      <c r="DH2239" s="67"/>
      <c r="DI2239" s="67"/>
      <c r="DJ2239" s="67"/>
      <c r="DK2239" s="67"/>
      <c r="DL2239" s="67"/>
      <c r="DM2239" s="67"/>
      <c r="DN2239" s="67"/>
      <c r="DO2239" s="67"/>
      <c r="DP2239" s="67"/>
      <c r="DQ2239" s="166"/>
      <c r="DR2239" s="166"/>
      <c r="DS2239" s="163"/>
      <c r="DT2239" s="163"/>
      <c r="DU2239" s="67"/>
      <c r="DV2239" s="67"/>
      <c r="DW2239" s="67"/>
      <c r="DX2239" s="67"/>
      <c r="DY2239" s="67"/>
      <c r="DZ2239" s="67"/>
      <c r="EA2239" s="67"/>
      <c r="EB2239" s="67"/>
      <c r="EC2239" s="67"/>
      <c r="ED2239" s="67"/>
      <c r="EE2239" s="67"/>
      <c r="EF2239" s="67"/>
      <c r="EG2239" s="67"/>
      <c r="EH2239" s="67"/>
      <c r="EI2239" s="67"/>
      <c r="EJ2239" s="67"/>
      <c r="EK2239" s="94"/>
      <c r="EL2239" s="94"/>
      <c r="EM2239" s="67"/>
      <c r="EN2239" s="67"/>
      <c r="EO2239" s="67"/>
      <c r="EP2239" s="67"/>
      <c r="EQ2239" s="67"/>
      <c r="ER2239" s="67"/>
      <c r="ES2239" s="67"/>
      <c r="ET2239" s="67"/>
      <c r="EU2239" s="67"/>
      <c r="EV2239" s="67"/>
      <c r="EW2239" s="67"/>
      <c r="EX2239" s="67"/>
      <c r="EY2239" s="67"/>
      <c r="EZ2239" s="67"/>
      <c r="FA2239" s="67"/>
      <c r="FB2239" s="67"/>
      <c r="FC2239" s="67"/>
      <c r="FD2239" s="67"/>
      <c r="FE2239" s="67"/>
      <c r="FF2239" s="67"/>
      <c r="FG2239" s="67"/>
      <c r="FH2239" s="67"/>
      <c r="FI2239" s="67"/>
      <c r="FJ2239" s="67"/>
      <c r="FK2239" s="67"/>
      <c r="FL2239" s="67"/>
      <c r="FM2239" s="67"/>
      <c r="FN2239" s="67"/>
      <c r="FO2239" s="67"/>
      <c r="FP2239" s="67"/>
      <c r="FQ2239" s="67"/>
      <c r="FR2239" s="67"/>
      <c r="FS2239" s="67"/>
      <c r="FT2239" s="67"/>
      <c r="FU2239" s="67"/>
      <c r="FV2239" s="67"/>
      <c r="FW2239" s="67"/>
      <c r="FX2239" s="67"/>
      <c r="FY2239" s="67"/>
      <c r="FZ2239" s="67"/>
      <c r="GA2239" s="67"/>
      <c r="GB2239" s="67"/>
      <c r="GC2239" s="67"/>
      <c r="GD2239" s="67"/>
      <c r="GE2239" s="67"/>
      <c r="GF2239" s="67"/>
      <c r="GG2239" s="67"/>
      <c r="GH2239" s="67"/>
      <c r="GI2239" s="67"/>
      <c r="GJ2239" s="67"/>
      <c r="GK2239" s="67"/>
      <c r="GL2239" s="67"/>
      <c r="GM2239" s="67"/>
      <c r="GN2239" s="292"/>
      <c r="GO2239" s="292"/>
      <c r="GP2239" s="292" t="s">
        <v>7494</v>
      </c>
      <c r="GQ2239" s="67"/>
      <c r="GR2239" s="67"/>
      <c r="GS2239" s="67"/>
      <c r="GT2239" s="67"/>
      <c r="GU2239" s="67"/>
      <c r="GV2239" s="67"/>
      <c r="GW2239" s="67"/>
      <c r="GX2239" s="67"/>
      <c r="GY2239" s="67"/>
      <c r="GZ2239" s="67"/>
      <c r="HA2239" s="67"/>
      <c r="HB2239" s="67"/>
      <c r="HC2239" s="67"/>
      <c r="HD2239" s="67"/>
      <c r="HE2239" s="67"/>
      <c r="HF2239" s="67"/>
      <c r="HG2239" s="67"/>
      <c r="HH2239" s="67"/>
      <c r="HI2239" s="67"/>
      <c r="HJ2239" s="67"/>
      <c r="HK2239" s="67"/>
      <c r="HL2239" s="67"/>
      <c r="HM2239" s="67"/>
      <c r="HN2239" s="67"/>
      <c r="HO2239" s="67"/>
      <c r="HP2239" s="67"/>
      <c r="HQ2239" s="67"/>
      <c r="HR2239" s="67"/>
      <c r="HS2239" s="67"/>
      <c r="HT2239" s="67"/>
      <c r="HU2239" s="67"/>
      <c r="HV2239" s="67"/>
      <c r="HW2239" s="67"/>
      <c r="HX2239" s="67"/>
      <c r="HY2239" s="67"/>
      <c r="HZ2239" s="67"/>
      <c r="IA2239" s="67"/>
      <c r="IB2239" s="67"/>
      <c r="IC2239" s="67"/>
      <c r="ID2239" s="67"/>
      <c r="IE2239" s="67"/>
      <c r="IF2239" s="67"/>
      <c r="IG2239" s="67"/>
      <c r="IH2239" s="67"/>
      <c r="II2239" s="67"/>
      <c r="IJ2239" s="67"/>
      <c r="IK2239" s="67"/>
      <c r="IL2239" s="67"/>
      <c r="IM2239" s="67"/>
      <c r="IN2239" s="67"/>
      <c r="IO2239" s="67"/>
      <c r="IP2239" s="67"/>
      <c r="IQ2239" s="67"/>
      <c r="IR2239" s="67"/>
      <c r="IS2239" s="67"/>
      <c r="IT2239" s="67"/>
      <c r="IU2239" s="67"/>
      <c r="IV2239" s="67"/>
      <c r="IW2239" s="67"/>
      <c r="IX2239" s="67"/>
      <c r="IY2239" s="67"/>
      <c r="IZ2239" s="67"/>
      <c r="JA2239" s="67"/>
      <c r="JB2239" s="67"/>
      <c r="JC2239" s="67"/>
      <c r="JD2239" s="67"/>
      <c r="JE2239" s="67"/>
      <c r="JF2239" s="67"/>
      <c r="JG2239" s="67"/>
      <c r="JH2239" s="67"/>
      <c r="JI2239" s="67"/>
      <c r="JJ2239" s="67"/>
      <c r="JK2239" s="67"/>
      <c r="JL2239" s="67"/>
      <c r="JM2239" s="67"/>
      <c r="JN2239" s="67"/>
      <c r="JO2239" s="67"/>
      <c r="JP2239" s="67"/>
      <c r="JQ2239" s="67"/>
      <c r="JR2239" s="67"/>
      <c r="JS2239" s="67"/>
      <c r="JT2239" s="67"/>
      <c r="JU2239" s="58"/>
      <c r="JV2239" s="58"/>
      <c r="JW2239" s="58"/>
    </row>
    <row r="2240" spans="1:283" s="23" customFormat="1" x14ac:dyDescent="0.25">
      <c r="A2240" s="55">
        <v>2239</v>
      </c>
      <c r="B2240" s="12" t="s">
        <v>7067</v>
      </c>
      <c r="C2240" s="156">
        <v>107</v>
      </c>
      <c r="D2240" s="58" t="s">
        <v>4190</v>
      </c>
      <c r="E2240" s="94" t="s">
        <v>2153</v>
      </c>
      <c r="F2240" s="94"/>
      <c r="G2240" s="58"/>
      <c r="H2240" s="58">
        <v>1974</v>
      </c>
      <c r="I2240" s="58"/>
      <c r="J2240" s="58" t="s">
        <v>2154</v>
      </c>
      <c r="K2240" s="58" t="s">
        <v>2155</v>
      </c>
      <c r="L2240" s="58" t="s">
        <v>1077</v>
      </c>
      <c r="M2240" s="94">
        <v>50.76</v>
      </c>
      <c r="N2240" s="94">
        <v>8.89</v>
      </c>
      <c r="O2240" s="94">
        <v>152</v>
      </c>
      <c r="P2240" s="58">
        <v>8</v>
      </c>
      <c r="Q2240" s="58"/>
      <c r="R2240" s="58">
        <v>600</v>
      </c>
      <c r="S2240" s="94"/>
      <c r="T2240" s="58"/>
      <c r="U2240" s="58">
        <v>8</v>
      </c>
      <c r="V2240" s="58">
        <v>8</v>
      </c>
      <c r="W2240" s="174"/>
      <c r="X2240" s="174"/>
      <c r="Y2240" s="58"/>
      <c r="Z2240" s="58" t="s">
        <v>2120</v>
      </c>
      <c r="AA2240" s="94">
        <v>28</v>
      </c>
      <c r="AB2240" s="67"/>
      <c r="AC2240" s="67"/>
      <c r="AD2240" s="94">
        <v>1.4445527499999999</v>
      </c>
      <c r="AE2240" s="94"/>
      <c r="AF2240" s="94"/>
      <c r="AG2240" s="94"/>
      <c r="AH2240" s="58"/>
      <c r="AI2240" s="169"/>
      <c r="AJ2240" s="94"/>
      <c r="AK2240" s="94"/>
      <c r="AL2240" s="58"/>
      <c r="AM2240" s="58" t="s">
        <v>2156</v>
      </c>
      <c r="AN2240" s="186" t="s">
        <v>2157</v>
      </c>
      <c r="AO2240" s="185" t="s">
        <v>5150</v>
      </c>
      <c r="AP2240" s="58"/>
      <c r="AQ2240" s="58" t="s">
        <v>1097</v>
      </c>
      <c r="AR2240" s="58" t="s">
        <v>2259</v>
      </c>
      <c r="AS2240" s="58" t="s">
        <v>1583</v>
      </c>
      <c r="AT2240" s="182" t="s">
        <v>2260</v>
      </c>
      <c r="AU2240" s="181" t="s">
        <v>5150</v>
      </c>
      <c r="AV2240" s="185" t="s">
        <v>176</v>
      </c>
      <c r="AW2240" s="58"/>
      <c r="AX2240" s="185" t="s">
        <v>176</v>
      </c>
      <c r="AY2240" s="58"/>
      <c r="AZ2240" s="58" t="s">
        <v>2261</v>
      </c>
      <c r="BA2240" s="58"/>
      <c r="BB2240" s="58"/>
      <c r="BC2240" s="58"/>
      <c r="BD2240" s="58"/>
      <c r="BE2240" s="236" t="s">
        <v>2160</v>
      </c>
      <c r="BF2240" s="58"/>
      <c r="BG2240" s="191" t="s">
        <v>479</v>
      </c>
      <c r="BH2240" s="236"/>
      <c r="BI2240" s="58"/>
      <c r="BJ2240" s="58"/>
      <c r="BK2240" s="58" t="s">
        <v>5976</v>
      </c>
      <c r="BL2240" s="58"/>
      <c r="BM2240" s="237" t="s">
        <v>160</v>
      </c>
      <c r="BN2240" s="58"/>
      <c r="BO2240" s="58"/>
      <c r="BP2240" s="58">
        <v>60</v>
      </c>
      <c r="BQ2240" s="58"/>
      <c r="BR2240" s="58"/>
      <c r="BS2240" s="58"/>
      <c r="BT2240" s="58"/>
      <c r="BU2240" s="58"/>
      <c r="BV2240" s="58"/>
      <c r="BW2240" s="67"/>
      <c r="BX2240" s="67"/>
      <c r="BY2240" s="67"/>
      <c r="BZ2240" s="67"/>
      <c r="CA2240" s="67"/>
      <c r="CB2240" s="68"/>
      <c r="CC2240" s="68"/>
      <c r="CD2240" s="68"/>
      <c r="CE2240" s="67"/>
      <c r="CF2240" s="67"/>
      <c r="CG2240" s="67"/>
      <c r="CH2240" s="94">
        <v>1.4445527499999999</v>
      </c>
      <c r="CI2240" s="94">
        <v>1.4378755000000001</v>
      </c>
      <c r="CJ2240" s="67"/>
      <c r="CK2240" s="67"/>
      <c r="CL2240" s="67"/>
      <c r="CM2240" s="67">
        <f>(CR2240*1000000)/(100*100*CH2240*AA2240/100*1000000)*100</f>
        <v>0.93901437646531061</v>
      </c>
      <c r="CN2240" s="67">
        <f>(CS2240*1000000)/(100*100*CI2240*AA2240/100*1000000)*100</f>
        <v>0.98175000000000012</v>
      </c>
      <c r="CO2240" s="67"/>
      <c r="CP2240" s="67"/>
      <c r="CQ2240" s="67"/>
      <c r="CR2240" s="67">
        <v>37.980762394750002</v>
      </c>
      <c r="CS2240" s="67">
        <v>39.525759619500008</v>
      </c>
      <c r="CT2240" s="67"/>
      <c r="CU2240" s="67"/>
      <c r="CV2240" s="67" t="s">
        <v>2052</v>
      </c>
      <c r="CW2240" s="67"/>
      <c r="CX2240" s="67"/>
      <c r="CY2240" s="67"/>
      <c r="CZ2240" s="67"/>
      <c r="DA2240" s="67" t="s">
        <v>4463</v>
      </c>
      <c r="DB2240" s="67"/>
      <c r="DC2240" s="67"/>
      <c r="DD2240" s="67"/>
      <c r="DE2240" s="67"/>
      <c r="DF2240" s="67"/>
      <c r="DG2240" s="67"/>
      <c r="DH2240" s="67"/>
      <c r="DI2240" s="67"/>
      <c r="DJ2240" s="67"/>
      <c r="DK2240" s="67"/>
      <c r="DL2240" s="67"/>
      <c r="DM2240" s="67"/>
      <c r="DN2240" s="67"/>
      <c r="DO2240" s="67"/>
      <c r="DP2240" s="67"/>
      <c r="DQ2240" s="166"/>
      <c r="DR2240" s="166"/>
      <c r="DS2240" s="163"/>
      <c r="DT2240" s="163"/>
      <c r="DU2240" s="67"/>
      <c r="DV2240" s="67"/>
      <c r="DW2240" s="67"/>
      <c r="DX2240" s="67"/>
      <c r="DY2240" s="67"/>
      <c r="DZ2240" s="67"/>
      <c r="EA2240" s="67"/>
      <c r="EB2240" s="67"/>
      <c r="EC2240" s="67"/>
      <c r="ED2240" s="67"/>
      <c r="EE2240" s="67"/>
      <c r="EF2240" s="67"/>
      <c r="EG2240" s="67"/>
      <c r="EH2240" s="67"/>
      <c r="EI2240" s="67"/>
      <c r="EJ2240" s="67"/>
      <c r="EK2240" s="94"/>
      <c r="EL2240" s="94"/>
      <c r="EM2240" s="67"/>
      <c r="EN2240" s="67"/>
      <c r="EO2240" s="67"/>
      <c r="EP2240" s="67"/>
      <c r="EQ2240" s="67"/>
      <c r="ER2240" s="67"/>
      <c r="ES2240" s="67"/>
      <c r="ET2240" s="67"/>
      <c r="EU2240" s="67"/>
      <c r="EV2240" s="67"/>
      <c r="EW2240" s="67"/>
      <c r="EX2240" s="67"/>
      <c r="EY2240" s="67"/>
      <c r="EZ2240" s="67"/>
      <c r="FA2240" s="67"/>
      <c r="FB2240" s="67"/>
      <c r="FC2240" s="67"/>
      <c r="FD2240" s="67"/>
      <c r="FE2240" s="67"/>
      <c r="FF2240" s="67"/>
      <c r="FG2240" s="67"/>
      <c r="FH2240" s="67"/>
      <c r="FI2240" s="67"/>
      <c r="FJ2240" s="67"/>
      <c r="FK2240" s="67"/>
      <c r="FL2240" s="67"/>
      <c r="FM2240" s="67"/>
      <c r="FN2240" s="67"/>
      <c r="FO2240" s="67"/>
      <c r="FP2240" s="67"/>
      <c r="FQ2240" s="67"/>
      <c r="FR2240" s="67"/>
      <c r="FS2240" s="67"/>
      <c r="FT2240" s="67"/>
      <c r="FU2240" s="67"/>
      <c r="FV2240" s="67"/>
      <c r="FW2240" s="67"/>
      <c r="FX2240" s="67"/>
      <c r="FY2240" s="67"/>
      <c r="FZ2240" s="67"/>
      <c r="GA2240" s="67"/>
      <c r="GB2240" s="67"/>
      <c r="GC2240" s="67"/>
      <c r="GD2240" s="67"/>
      <c r="GE2240" s="67"/>
      <c r="GF2240" s="67"/>
      <c r="GG2240" s="67"/>
      <c r="GH2240" s="67"/>
      <c r="GI2240" s="67"/>
      <c r="GJ2240" s="67"/>
      <c r="GK2240" s="67"/>
      <c r="GL2240" s="67"/>
      <c r="GM2240" s="67"/>
      <c r="GN2240" s="292"/>
      <c r="GO2240" s="292"/>
      <c r="GP2240" s="292" t="s">
        <v>7494</v>
      </c>
      <c r="GQ2240" s="67"/>
      <c r="GR2240" s="67"/>
      <c r="GS2240" s="67"/>
      <c r="GT2240" s="67"/>
      <c r="GU2240" s="67"/>
      <c r="GV2240" s="67"/>
      <c r="GW2240" s="67"/>
      <c r="GX2240" s="67"/>
      <c r="GY2240" s="67"/>
      <c r="GZ2240" s="67"/>
      <c r="HA2240" s="67"/>
      <c r="HB2240" s="67"/>
      <c r="HC2240" s="67"/>
      <c r="HD2240" s="67"/>
      <c r="HE2240" s="67"/>
      <c r="HF2240" s="67"/>
      <c r="HG2240" s="67"/>
      <c r="HH2240" s="67"/>
      <c r="HI2240" s="67"/>
      <c r="HJ2240" s="67"/>
      <c r="HK2240" s="67"/>
      <c r="HL2240" s="67"/>
      <c r="HM2240" s="67"/>
      <c r="HN2240" s="67"/>
      <c r="HO2240" s="67"/>
      <c r="HP2240" s="67"/>
      <c r="HQ2240" s="67"/>
      <c r="HR2240" s="67"/>
      <c r="HS2240" s="67"/>
      <c r="HT2240" s="67"/>
      <c r="HU2240" s="67"/>
      <c r="HV2240" s="67"/>
      <c r="HW2240" s="67"/>
      <c r="HX2240" s="67"/>
      <c r="HY2240" s="67"/>
      <c r="HZ2240" s="67"/>
      <c r="IA2240" s="67"/>
      <c r="IB2240" s="67"/>
      <c r="IC2240" s="67"/>
      <c r="ID2240" s="67"/>
      <c r="IE2240" s="67"/>
      <c r="IF2240" s="67"/>
      <c r="IG2240" s="67"/>
      <c r="IH2240" s="67"/>
      <c r="II2240" s="67"/>
      <c r="IJ2240" s="67"/>
      <c r="IK2240" s="67"/>
      <c r="IL2240" s="67"/>
      <c r="IM2240" s="67"/>
      <c r="IN2240" s="67"/>
      <c r="IO2240" s="67"/>
      <c r="IP2240" s="67"/>
      <c r="IQ2240" s="67"/>
      <c r="IR2240" s="67"/>
      <c r="IS2240" s="67"/>
      <c r="IT2240" s="67"/>
      <c r="IU2240" s="67"/>
      <c r="IV2240" s="67"/>
      <c r="IW2240" s="67"/>
      <c r="IX2240" s="67"/>
      <c r="IY2240" s="67"/>
      <c r="IZ2240" s="67"/>
      <c r="JA2240" s="67"/>
      <c r="JB2240" s="67"/>
      <c r="JC2240" s="67"/>
      <c r="JD2240" s="67"/>
      <c r="JE2240" s="67"/>
      <c r="JF2240" s="67"/>
      <c r="JG2240" s="67"/>
      <c r="JH2240" s="67"/>
      <c r="JI2240" s="67"/>
      <c r="JJ2240" s="67"/>
      <c r="JK2240" s="67"/>
      <c r="JL2240" s="67"/>
      <c r="JM2240" s="67"/>
      <c r="JN2240" s="67"/>
      <c r="JO2240" s="67"/>
      <c r="JP2240" s="67"/>
      <c r="JQ2240" s="67"/>
      <c r="JR2240" s="67"/>
      <c r="JS2240" s="67"/>
      <c r="JT2240" s="67"/>
      <c r="JU2240" s="58"/>
      <c r="JV2240" s="58"/>
      <c r="JW2240" s="58"/>
    </row>
    <row r="2241" spans="1:283" s="23" customFormat="1" x14ac:dyDescent="0.25">
      <c r="A2241" s="55">
        <v>2240</v>
      </c>
      <c r="B2241" s="12" t="s">
        <v>7067</v>
      </c>
      <c r="C2241" s="156">
        <v>107</v>
      </c>
      <c r="D2241" s="58" t="s">
        <v>4191</v>
      </c>
      <c r="E2241" s="94" t="s">
        <v>2153</v>
      </c>
      <c r="F2241" s="94"/>
      <c r="G2241" s="58"/>
      <c r="H2241" s="58">
        <v>1974</v>
      </c>
      <c r="I2241" s="58"/>
      <c r="J2241" s="58" t="s">
        <v>2154</v>
      </c>
      <c r="K2241" s="58" t="s">
        <v>2155</v>
      </c>
      <c r="L2241" s="58" t="s">
        <v>1077</v>
      </c>
      <c r="M2241" s="94">
        <v>50.76</v>
      </c>
      <c r="N2241" s="94">
        <v>8.89</v>
      </c>
      <c r="O2241" s="94">
        <v>152</v>
      </c>
      <c r="P2241" s="58">
        <v>8</v>
      </c>
      <c r="Q2241" s="58"/>
      <c r="R2241" s="58">
        <v>600</v>
      </c>
      <c r="S2241" s="94"/>
      <c r="T2241" s="58"/>
      <c r="U2241" s="58">
        <v>8</v>
      </c>
      <c r="V2241" s="58">
        <v>8</v>
      </c>
      <c r="W2241" s="174"/>
      <c r="X2241" s="174"/>
      <c r="Y2241" s="58"/>
      <c r="Z2241" s="58" t="s">
        <v>2120</v>
      </c>
      <c r="AA2241" s="94">
        <v>28</v>
      </c>
      <c r="AB2241" s="67"/>
      <c r="AC2241" s="67"/>
      <c r="AD2241" s="94">
        <v>1.44298675</v>
      </c>
      <c r="AE2241" s="94"/>
      <c r="AF2241" s="94"/>
      <c r="AG2241" s="94"/>
      <c r="AH2241" s="58"/>
      <c r="AI2241" s="169"/>
      <c r="AJ2241" s="94"/>
      <c r="AK2241" s="94"/>
      <c r="AL2241" s="58"/>
      <c r="AM2241" s="58" t="s">
        <v>2156</v>
      </c>
      <c r="AN2241" s="186" t="s">
        <v>2157</v>
      </c>
      <c r="AO2241" s="185" t="s">
        <v>5150</v>
      </c>
      <c r="AP2241" s="58"/>
      <c r="AQ2241" s="58" t="s">
        <v>1097</v>
      </c>
      <c r="AR2241" s="58" t="s">
        <v>2259</v>
      </c>
      <c r="AS2241" s="58" t="s">
        <v>1583</v>
      </c>
      <c r="AT2241" s="182" t="s">
        <v>2260</v>
      </c>
      <c r="AU2241" s="181" t="s">
        <v>5150</v>
      </c>
      <c r="AV2241" s="185" t="s">
        <v>176</v>
      </c>
      <c r="AW2241" s="58"/>
      <c r="AX2241" s="185" t="s">
        <v>176</v>
      </c>
      <c r="AY2241" s="58"/>
      <c r="AZ2241" s="58" t="s">
        <v>2261</v>
      </c>
      <c r="BA2241" s="58"/>
      <c r="BB2241" s="58"/>
      <c r="BC2241" s="58"/>
      <c r="BD2241" s="58"/>
      <c r="BE2241" s="236" t="s">
        <v>2161</v>
      </c>
      <c r="BF2241" s="58"/>
      <c r="BG2241" s="191" t="s">
        <v>479</v>
      </c>
      <c r="BH2241" s="236"/>
      <c r="BI2241" s="58"/>
      <c r="BJ2241" s="58"/>
      <c r="BK2241" s="58" t="s">
        <v>5976</v>
      </c>
      <c r="BL2241" s="58"/>
      <c r="BM2241" s="237" t="s">
        <v>160</v>
      </c>
      <c r="BN2241" s="58"/>
      <c r="BO2241" s="58"/>
      <c r="BP2241" s="58">
        <v>60</v>
      </c>
      <c r="BQ2241" s="58"/>
      <c r="BR2241" s="58"/>
      <c r="BS2241" s="58"/>
      <c r="BT2241" s="58"/>
      <c r="BU2241" s="58"/>
      <c r="BV2241" s="58"/>
      <c r="BW2241" s="67"/>
      <c r="BX2241" s="67"/>
      <c r="BY2241" s="67"/>
      <c r="BZ2241" s="67"/>
      <c r="CA2241" s="67"/>
      <c r="CB2241" s="68"/>
      <c r="CC2241" s="68"/>
      <c r="CD2241" s="68"/>
      <c r="CE2241" s="67"/>
      <c r="CF2241" s="67"/>
      <c r="CG2241" s="67"/>
      <c r="CH2241" s="94">
        <v>1.44298675</v>
      </c>
      <c r="CI2241" s="94">
        <v>1.4377232500000001</v>
      </c>
      <c r="CJ2241" s="67"/>
      <c r="CK2241" s="67"/>
      <c r="CL2241" s="67"/>
      <c r="CM2241" s="67">
        <f>(CR2241*1000000)/(100*100*CH2241*AA2241/100*1000000)*100</f>
        <v>0.94890107633957832</v>
      </c>
      <c r="CN2241" s="67">
        <f>(CS2241*1000000)/(100*100*CI2241*AA2241/100*1000000)*100</f>
        <v>0.98262499999999986</v>
      </c>
      <c r="CO2241" s="67"/>
      <c r="CP2241" s="67"/>
      <c r="CQ2241" s="67"/>
      <c r="CR2241" s="67">
        <v>38.339047046125003</v>
      </c>
      <c r="CS2241" s="67">
        <v>39.556798638875001</v>
      </c>
      <c r="CT2241" s="67"/>
      <c r="CU2241" s="67"/>
      <c r="CV2241" s="67" t="s">
        <v>2052</v>
      </c>
      <c r="CW2241" s="67"/>
      <c r="CX2241" s="67"/>
      <c r="CY2241" s="67"/>
      <c r="CZ2241" s="67"/>
      <c r="DA2241" s="67" t="s">
        <v>4463</v>
      </c>
      <c r="DB2241" s="67"/>
      <c r="DC2241" s="67"/>
      <c r="DD2241" s="67"/>
      <c r="DE2241" s="67"/>
      <c r="DF2241" s="67"/>
      <c r="DG2241" s="67"/>
      <c r="DH2241" s="67"/>
      <c r="DI2241" s="67"/>
      <c r="DJ2241" s="67"/>
      <c r="DK2241" s="67"/>
      <c r="DL2241" s="67"/>
      <c r="DM2241" s="67"/>
      <c r="DN2241" s="67"/>
      <c r="DO2241" s="67"/>
      <c r="DP2241" s="67"/>
      <c r="DQ2241" s="166"/>
      <c r="DR2241" s="166"/>
      <c r="DS2241" s="163"/>
      <c r="DT2241" s="163"/>
      <c r="DU2241" s="67"/>
      <c r="DV2241" s="67"/>
      <c r="DW2241" s="67"/>
      <c r="DX2241" s="67"/>
      <c r="DY2241" s="67"/>
      <c r="DZ2241" s="67"/>
      <c r="EA2241" s="67"/>
      <c r="EB2241" s="67"/>
      <c r="EC2241" s="67"/>
      <c r="ED2241" s="67"/>
      <c r="EE2241" s="67"/>
      <c r="EF2241" s="67"/>
      <c r="EG2241" s="67"/>
      <c r="EH2241" s="67"/>
      <c r="EI2241" s="67"/>
      <c r="EJ2241" s="67"/>
      <c r="EK2241" s="94"/>
      <c r="EL2241" s="94"/>
      <c r="EM2241" s="67"/>
      <c r="EN2241" s="67"/>
      <c r="EO2241" s="67"/>
      <c r="EP2241" s="67"/>
      <c r="EQ2241" s="67"/>
      <c r="ER2241" s="67"/>
      <c r="ES2241" s="67"/>
      <c r="ET2241" s="67"/>
      <c r="EU2241" s="67"/>
      <c r="EV2241" s="67"/>
      <c r="EW2241" s="67"/>
      <c r="EX2241" s="67"/>
      <c r="EY2241" s="67"/>
      <c r="EZ2241" s="67"/>
      <c r="FA2241" s="67"/>
      <c r="FB2241" s="67"/>
      <c r="FC2241" s="67"/>
      <c r="FD2241" s="67"/>
      <c r="FE2241" s="67"/>
      <c r="FF2241" s="67"/>
      <c r="FG2241" s="67"/>
      <c r="FH2241" s="67"/>
      <c r="FI2241" s="67"/>
      <c r="FJ2241" s="67"/>
      <c r="FK2241" s="67"/>
      <c r="FL2241" s="67"/>
      <c r="FM2241" s="67"/>
      <c r="FN2241" s="67"/>
      <c r="FO2241" s="67"/>
      <c r="FP2241" s="67"/>
      <c r="FQ2241" s="67"/>
      <c r="FR2241" s="67"/>
      <c r="FS2241" s="67"/>
      <c r="FT2241" s="67"/>
      <c r="FU2241" s="67"/>
      <c r="FV2241" s="67"/>
      <c r="FW2241" s="67"/>
      <c r="FX2241" s="67"/>
      <c r="FY2241" s="67"/>
      <c r="FZ2241" s="67"/>
      <c r="GA2241" s="67"/>
      <c r="GB2241" s="67"/>
      <c r="GC2241" s="67"/>
      <c r="GD2241" s="67"/>
      <c r="GE2241" s="67"/>
      <c r="GF2241" s="67"/>
      <c r="GG2241" s="67"/>
      <c r="GH2241" s="67"/>
      <c r="GI2241" s="67"/>
      <c r="GJ2241" s="67"/>
      <c r="GK2241" s="67"/>
      <c r="GL2241" s="67"/>
      <c r="GM2241" s="67"/>
      <c r="GN2241" s="292"/>
      <c r="GO2241" s="292"/>
      <c r="GP2241" s="292" t="s">
        <v>7494</v>
      </c>
      <c r="GQ2241" s="67"/>
      <c r="GR2241" s="67"/>
      <c r="GS2241" s="67"/>
      <c r="GT2241" s="67"/>
      <c r="GU2241" s="67"/>
      <c r="GV2241" s="67"/>
      <c r="GW2241" s="67"/>
      <c r="GX2241" s="67"/>
      <c r="GY2241" s="67"/>
      <c r="GZ2241" s="67"/>
      <c r="HA2241" s="67"/>
      <c r="HB2241" s="67"/>
      <c r="HC2241" s="67"/>
      <c r="HD2241" s="67"/>
      <c r="HE2241" s="67"/>
      <c r="HF2241" s="67"/>
      <c r="HG2241" s="67"/>
      <c r="HH2241" s="67"/>
      <c r="HI2241" s="67"/>
      <c r="HJ2241" s="67"/>
      <c r="HK2241" s="67"/>
      <c r="HL2241" s="67"/>
      <c r="HM2241" s="67"/>
      <c r="HN2241" s="67"/>
      <c r="HO2241" s="67"/>
      <c r="HP2241" s="67"/>
      <c r="HQ2241" s="67"/>
      <c r="HR2241" s="67"/>
      <c r="HS2241" s="67"/>
      <c r="HT2241" s="67"/>
      <c r="HU2241" s="67"/>
      <c r="HV2241" s="67"/>
      <c r="HW2241" s="67"/>
      <c r="HX2241" s="67"/>
      <c r="HY2241" s="67"/>
      <c r="HZ2241" s="67"/>
      <c r="IA2241" s="67"/>
      <c r="IB2241" s="67"/>
      <c r="IC2241" s="67"/>
      <c r="ID2241" s="67"/>
      <c r="IE2241" s="67"/>
      <c r="IF2241" s="67"/>
      <c r="IG2241" s="67"/>
      <c r="IH2241" s="67"/>
      <c r="II2241" s="67"/>
      <c r="IJ2241" s="67"/>
      <c r="IK2241" s="67"/>
      <c r="IL2241" s="67"/>
      <c r="IM2241" s="67"/>
      <c r="IN2241" s="67"/>
      <c r="IO2241" s="67"/>
      <c r="IP2241" s="67"/>
      <c r="IQ2241" s="67"/>
      <c r="IR2241" s="67"/>
      <c r="IS2241" s="67"/>
      <c r="IT2241" s="67"/>
      <c r="IU2241" s="67"/>
      <c r="IV2241" s="67"/>
      <c r="IW2241" s="67"/>
      <c r="IX2241" s="67"/>
      <c r="IY2241" s="67"/>
      <c r="IZ2241" s="67"/>
      <c r="JA2241" s="67"/>
      <c r="JB2241" s="67"/>
      <c r="JC2241" s="67"/>
      <c r="JD2241" s="67"/>
      <c r="JE2241" s="67"/>
      <c r="JF2241" s="67"/>
      <c r="JG2241" s="67"/>
      <c r="JH2241" s="67"/>
      <c r="JI2241" s="67"/>
      <c r="JJ2241" s="67"/>
      <c r="JK2241" s="67"/>
      <c r="JL2241" s="67"/>
      <c r="JM2241" s="67"/>
      <c r="JN2241" s="67"/>
      <c r="JO2241" s="67"/>
      <c r="JP2241" s="67"/>
      <c r="JQ2241" s="67"/>
      <c r="JR2241" s="67"/>
      <c r="JS2241" s="67"/>
      <c r="JT2241" s="67"/>
      <c r="JU2241" s="58"/>
      <c r="JV2241" s="58"/>
      <c r="JW2241" s="58"/>
    </row>
    <row r="2242" spans="1:283" s="23" customFormat="1" x14ac:dyDescent="0.25">
      <c r="A2242" s="55">
        <v>2241</v>
      </c>
      <c r="B2242" s="12" t="s">
        <v>7067</v>
      </c>
      <c r="C2242" s="156">
        <v>107</v>
      </c>
      <c r="D2242" s="58" t="s">
        <v>4188</v>
      </c>
      <c r="E2242" s="94" t="s">
        <v>2153</v>
      </c>
      <c r="F2242" s="94"/>
      <c r="G2242" s="58"/>
      <c r="H2242" s="58">
        <v>1974</v>
      </c>
      <c r="I2242" s="58"/>
      <c r="J2242" s="58" t="s">
        <v>2154</v>
      </c>
      <c r="K2242" s="58" t="s">
        <v>2155</v>
      </c>
      <c r="L2242" s="58" t="s">
        <v>1077</v>
      </c>
      <c r="M2242" s="94">
        <v>50.76</v>
      </c>
      <c r="N2242" s="94">
        <v>8.89</v>
      </c>
      <c r="O2242" s="94">
        <v>152</v>
      </c>
      <c r="P2242" s="58">
        <v>8</v>
      </c>
      <c r="Q2242" s="58"/>
      <c r="R2242" s="58">
        <v>600</v>
      </c>
      <c r="S2242" s="94"/>
      <c r="T2242" s="58"/>
      <c r="U2242" s="58">
        <v>8</v>
      </c>
      <c r="V2242" s="58">
        <v>8</v>
      </c>
      <c r="W2242" s="174"/>
      <c r="X2242" s="174"/>
      <c r="Y2242" s="58"/>
      <c r="Z2242" s="58" t="s">
        <v>2120</v>
      </c>
      <c r="AA2242" s="94">
        <v>28</v>
      </c>
      <c r="AB2242" s="67"/>
      <c r="AC2242" s="67"/>
      <c r="AD2242" s="94">
        <v>1.4400722500000001</v>
      </c>
      <c r="AE2242" s="94"/>
      <c r="AF2242" s="94"/>
      <c r="AG2242" s="94"/>
      <c r="AH2242" s="58"/>
      <c r="AI2242" s="169"/>
      <c r="AJ2242" s="94"/>
      <c r="AK2242" s="94"/>
      <c r="AL2242" s="58"/>
      <c r="AM2242" s="58" t="s">
        <v>2156</v>
      </c>
      <c r="AN2242" s="186" t="s">
        <v>2157</v>
      </c>
      <c r="AO2242" s="185" t="s">
        <v>5150</v>
      </c>
      <c r="AP2242" s="58"/>
      <c r="AQ2242" s="58" t="s">
        <v>1097</v>
      </c>
      <c r="AR2242" s="58" t="s">
        <v>2259</v>
      </c>
      <c r="AS2242" s="58" t="s">
        <v>1583</v>
      </c>
      <c r="AT2242" s="182" t="s">
        <v>2260</v>
      </c>
      <c r="AU2242" s="181" t="s">
        <v>5150</v>
      </c>
      <c r="AV2242" s="185" t="s">
        <v>176</v>
      </c>
      <c r="AW2242" s="58"/>
      <c r="AX2242" s="185" t="s">
        <v>176</v>
      </c>
      <c r="AY2242" s="58"/>
      <c r="AZ2242" s="58" t="s">
        <v>2261</v>
      </c>
      <c r="BA2242" s="58"/>
      <c r="BB2242" s="58"/>
      <c r="BC2242" s="58"/>
      <c r="BD2242" s="58"/>
      <c r="BE2242" s="236" t="s">
        <v>2162</v>
      </c>
      <c r="BF2242" s="58"/>
      <c r="BG2242" s="191" t="s">
        <v>176</v>
      </c>
      <c r="BH2242" s="236"/>
      <c r="BI2242" s="58"/>
      <c r="BJ2242" s="58"/>
      <c r="BK2242" s="58" t="s">
        <v>5976</v>
      </c>
      <c r="BL2242" s="58"/>
      <c r="BM2242" s="237" t="s">
        <v>160</v>
      </c>
      <c r="BN2242" s="58"/>
      <c r="BO2242" s="58"/>
      <c r="BP2242" s="58">
        <v>60</v>
      </c>
      <c r="BQ2242" s="58"/>
      <c r="BR2242" s="58"/>
      <c r="BS2242" s="58"/>
      <c r="BT2242" s="58"/>
      <c r="BU2242" s="58"/>
      <c r="BV2242" s="58"/>
      <c r="BW2242" s="67"/>
      <c r="BX2242" s="67"/>
      <c r="BY2242" s="67"/>
      <c r="BZ2242" s="67"/>
      <c r="CA2242" s="67"/>
      <c r="CB2242" s="68"/>
      <c r="CC2242" s="68"/>
      <c r="CD2242" s="68"/>
      <c r="CE2242" s="67"/>
      <c r="CF2242" s="67"/>
      <c r="CG2242" s="67"/>
      <c r="CH2242" s="94">
        <v>1.4400722500000001</v>
      </c>
      <c r="CI2242" s="94">
        <v>1.4327860000000001</v>
      </c>
      <c r="CJ2242" s="67"/>
      <c r="CK2242" s="67"/>
      <c r="CL2242" s="67"/>
      <c r="CM2242" s="67">
        <f>(CR2242*1000000)/(100*100*CH2242*AA2242/100*1000000)*100</f>
        <v>0.96422157447308643</v>
      </c>
      <c r="CN2242" s="67">
        <f>(CS2242*1000000)/(100*100*CI2242*AA2242/100*1000000)*100</f>
        <v>1.0109999999999999</v>
      </c>
      <c r="CO2242" s="67"/>
      <c r="CP2242" s="67"/>
      <c r="CQ2242" s="67"/>
      <c r="CR2242" s="67">
        <v>38.879364503000005</v>
      </c>
      <c r="CS2242" s="67">
        <v>40.559306088</v>
      </c>
      <c r="CT2242" s="67"/>
      <c r="CU2242" s="67"/>
      <c r="CV2242" s="67" t="s">
        <v>2052</v>
      </c>
      <c r="CW2242" s="67"/>
      <c r="CX2242" s="67"/>
      <c r="CY2242" s="67"/>
      <c r="CZ2242" s="67"/>
      <c r="DA2242" s="67" t="s">
        <v>4463</v>
      </c>
      <c r="DB2242" s="67"/>
      <c r="DC2242" s="67"/>
      <c r="DD2242" s="67"/>
      <c r="DE2242" s="67"/>
      <c r="DF2242" s="67"/>
      <c r="DG2242" s="67"/>
      <c r="DH2242" s="67"/>
      <c r="DI2242" s="67"/>
      <c r="DJ2242" s="67"/>
      <c r="DK2242" s="67"/>
      <c r="DL2242" s="67"/>
      <c r="DM2242" s="67"/>
      <c r="DN2242" s="67"/>
      <c r="DO2242" s="67"/>
      <c r="DP2242" s="67"/>
      <c r="DQ2242" s="166"/>
      <c r="DR2242" s="166"/>
      <c r="DS2242" s="163"/>
      <c r="DT2242" s="163"/>
      <c r="DU2242" s="67"/>
      <c r="DV2242" s="67"/>
      <c r="DW2242" s="67"/>
      <c r="DX2242" s="67"/>
      <c r="DY2242" s="67"/>
      <c r="DZ2242" s="67"/>
      <c r="EA2242" s="67"/>
      <c r="EB2242" s="67"/>
      <c r="EC2242" s="67"/>
      <c r="ED2242" s="67"/>
      <c r="EE2242" s="67"/>
      <c r="EF2242" s="67"/>
      <c r="EG2242" s="67"/>
      <c r="EH2242" s="67"/>
      <c r="EI2242" s="67"/>
      <c r="EJ2242" s="67"/>
      <c r="EK2242" s="94"/>
      <c r="EL2242" s="94"/>
      <c r="EM2242" s="67"/>
      <c r="EN2242" s="67"/>
      <c r="EO2242" s="67"/>
      <c r="EP2242" s="67"/>
      <c r="EQ2242" s="67"/>
      <c r="ER2242" s="67"/>
      <c r="ES2242" s="67"/>
      <c r="ET2242" s="67"/>
      <c r="EU2242" s="67"/>
      <c r="EV2242" s="67"/>
      <c r="EW2242" s="67"/>
      <c r="EX2242" s="67"/>
      <c r="EY2242" s="67"/>
      <c r="EZ2242" s="67"/>
      <c r="FA2242" s="67"/>
      <c r="FB2242" s="67"/>
      <c r="FC2242" s="67"/>
      <c r="FD2242" s="67"/>
      <c r="FE2242" s="67"/>
      <c r="FF2242" s="67"/>
      <c r="FG2242" s="67"/>
      <c r="FH2242" s="67"/>
      <c r="FI2242" s="67"/>
      <c r="FJ2242" s="67"/>
      <c r="FK2242" s="67"/>
      <c r="FL2242" s="67"/>
      <c r="FM2242" s="67"/>
      <c r="FN2242" s="67"/>
      <c r="FO2242" s="67"/>
      <c r="FP2242" s="67"/>
      <c r="FQ2242" s="67"/>
      <c r="FR2242" s="67"/>
      <c r="FS2242" s="67"/>
      <c r="FT2242" s="67"/>
      <c r="FU2242" s="67"/>
      <c r="FV2242" s="67"/>
      <c r="FW2242" s="67"/>
      <c r="FX2242" s="67"/>
      <c r="FY2242" s="67"/>
      <c r="FZ2242" s="67"/>
      <c r="GA2242" s="67"/>
      <c r="GB2242" s="67"/>
      <c r="GC2242" s="67"/>
      <c r="GD2242" s="67"/>
      <c r="GE2242" s="67"/>
      <c r="GF2242" s="67"/>
      <c r="GG2242" s="67"/>
      <c r="GH2242" s="67"/>
      <c r="GI2242" s="67"/>
      <c r="GJ2242" s="67"/>
      <c r="GK2242" s="67"/>
      <c r="GL2242" s="67"/>
      <c r="GM2242" s="67"/>
      <c r="GN2242" s="292"/>
      <c r="GO2242" s="292"/>
      <c r="GP2242" s="292" t="s">
        <v>7494</v>
      </c>
      <c r="GQ2242" s="67"/>
      <c r="GR2242" s="67"/>
      <c r="GS2242" s="67"/>
      <c r="GT2242" s="67"/>
      <c r="GU2242" s="67"/>
      <c r="GV2242" s="67"/>
      <c r="GW2242" s="67"/>
      <c r="GX2242" s="67"/>
      <c r="GY2242" s="67"/>
      <c r="GZ2242" s="67"/>
      <c r="HA2242" s="67"/>
      <c r="HB2242" s="67"/>
      <c r="HC2242" s="67"/>
      <c r="HD2242" s="67"/>
      <c r="HE2242" s="67"/>
      <c r="HF2242" s="67"/>
      <c r="HG2242" s="67"/>
      <c r="HH2242" s="67"/>
      <c r="HI2242" s="67"/>
      <c r="HJ2242" s="67"/>
      <c r="HK2242" s="67"/>
      <c r="HL2242" s="67"/>
      <c r="HM2242" s="67"/>
      <c r="HN2242" s="67"/>
      <c r="HO2242" s="67"/>
      <c r="HP2242" s="67"/>
      <c r="HQ2242" s="67"/>
      <c r="HR2242" s="67"/>
      <c r="HS2242" s="67"/>
      <c r="HT2242" s="67"/>
      <c r="HU2242" s="67"/>
      <c r="HV2242" s="67"/>
      <c r="HW2242" s="67"/>
      <c r="HX2242" s="67"/>
      <c r="HY2242" s="67"/>
      <c r="HZ2242" s="67"/>
      <c r="IA2242" s="67"/>
      <c r="IB2242" s="67"/>
      <c r="IC2242" s="67"/>
      <c r="ID2242" s="67"/>
      <c r="IE2242" s="67"/>
      <c r="IF2242" s="67"/>
      <c r="IG2242" s="67"/>
      <c r="IH2242" s="67"/>
      <c r="II2242" s="67"/>
      <c r="IJ2242" s="67"/>
      <c r="IK2242" s="67"/>
      <c r="IL2242" s="67"/>
      <c r="IM2242" s="67"/>
      <c r="IN2242" s="67"/>
      <c r="IO2242" s="67"/>
      <c r="IP2242" s="67"/>
      <c r="IQ2242" s="67"/>
      <c r="IR2242" s="67"/>
      <c r="IS2242" s="67"/>
      <c r="IT2242" s="67"/>
      <c r="IU2242" s="67"/>
      <c r="IV2242" s="67"/>
      <c r="IW2242" s="67"/>
      <c r="IX2242" s="67"/>
      <c r="IY2242" s="67"/>
      <c r="IZ2242" s="67"/>
      <c r="JA2242" s="67"/>
      <c r="JB2242" s="67"/>
      <c r="JC2242" s="67"/>
      <c r="JD2242" s="67"/>
      <c r="JE2242" s="67"/>
      <c r="JF2242" s="67"/>
      <c r="JG2242" s="67"/>
      <c r="JH2242" s="67"/>
      <c r="JI2242" s="67"/>
      <c r="JJ2242" s="67"/>
      <c r="JK2242" s="67"/>
      <c r="JL2242" s="67"/>
      <c r="JM2242" s="67"/>
      <c r="JN2242" s="67"/>
      <c r="JO2242" s="67"/>
      <c r="JP2242" s="67"/>
      <c r="JQ2242" s="67"/>
      <c r="JR2242" s="67"/>
      <c r="JS2242" s="67"/>
      <c r="JT2242" s="67"/>
      <c r="JU2242" s="58"/>
      <c r="JV2242" s="58"/>
      <c r="JW2242" s="58"/>
    </row>
    <row r="2243" spans="1:283" s="23" customFormat="1" x14ac:dyDescent="0.25">
      <c r="A2243" s="55">
        <v>2242</v>
      </c>
      <c r="B2243" s="12" t="s">
        <v>7067</v>
      </c>
      <c r="C2243" s="156">
        <v>107</v>
      </c>
      <c r="D2243" s="58" t="s">
        <v>4189</v>
      </c>
      <c r="E2243" s="94" t="s">
        <v>2153</v>
      </c>
      <c r="F2243" s="94"/>
      <c r="G2243" s="58"/>
      <c r="H2243" s="58">
        <v>1974</v>
      </c>
      <c r="I2243" s="58"/>
      <c r="J2243" s="58" t="s">
        <v>2154</v>
      </c>
      <c r="K2243" s="58" t="s">
        <v>2155</v>
      </c>
      <c r="L2243" s="58" t="s">
        <v>1077</v>
      </c>
      <c r="M2243" s="94">
        <v>50.76</v>
      </c>
      <c r="N2243" s="94">
        <v>8.89</v>
      </c>
      <c r="O2243" s="94">
        <v>152</v>
      </c>
      <c r="P2243" s="58">
        <v>8</v>
      </c>
      <c r="Q2243" s="58"/>
      <c r="R2243" s="58">
        <v>600</v>
      </c>
      <c r="S2243" s="94"/>
      <c r="T2243" s="58"/>
      <c r="U2243" s="58">
        <v>8</v>
      </c>
      <c r="V2243" s="58">
        <v>8</v>
      </c>
      <c r="W2243" s="174"/>
      <c r="X2243" s="174"/>
      <c r="Y2243" s="58"/>
      <c r="Z2243" s="58" t="s">
        <v>2120</v>
      </c>
      <c r="AA2243" s="94">
        <v>28</v>
      </c>
      <c r="AB2243" s="67"/>
      <c r="AC2243" s="67"/>
      <c r="AD2243" s="94">
        <v>1.4342649999999999</v>
      </c>
      <c r="AE2243" s="94"/>
      <c r="AF2243" s="94"/>
      <c r="AG2243" s="94"/>
      <c r="AH2243" s="58"/>
      <c r="AI2243" s="169"/>
      <c r="AJ2243" s="94"/>
      <c r="AK2243" s="94"/>
      <c r="AL2243" s="58"/>
      <c r="AM2243" s="58" t="s">
        <v>2156</v>
      </c>
      <c r="AN2243" s="186" t="s">
        <v>2157</v>
      </c>
      <c r="AO2243" s="185" t="s">
        <v>5150</v>
      </c>
      <c r="AP2243" s="58"/>
      <c r="AQ2243" s="58" t="s">
        <v>1097</v>
      </c>
      <c r="AR2243" s="58" t="s">
        <v>2259</v>
      </c>
      <c r="AS2243" s="58" t="s">
        <v>1583</v>
      </c>
      <c r="AT2243" s="182" t="s">
        <v>2260</v>
      </c>
      <c r="AU2243" s="181" t="s">
        <v>5150</v>
      </c>
      <c r="AV2243" s="185" t="s">
        <v>176</v>
      </c>
      <c r="AW2243" s="58"/>
      <c r="AX2243" s="185" t="s">
        <v>176</v>
      </c>
      <c r="AY2243" s="58"/>
      <c r="AZ2243" s="58" t="s">
        <v>2261</v>
      </c>
      <c r="BA2243" s="58"/>
      <c r="BB2243" s="58"/>
      <c r="BC2243" s="58"/>
      <c r="BD2243" s="58"/>
      <c r="BE2243" s="236" t="s">
        <v>2163</v>
      </c>
      <c r="BF2243" s="58"/>
      <c r="BG2243" s="191" t="s">
        <v>479</v>
      </c>
      <c r="BH2243" s="236"/>
      <c r="BI2243" s="58"/>
      <c r="BJ2243" s="58"/>
      <c r="BK2243" s="58" t="s">
        <v>5976</v>
      </c>
      <c r="BL2243" s="58"/>
      <c r="BM2243" s="237" t="s">
        <v>160</v>
      </c>
      <c r="BN2243" s="58"/>
      <c r="BO2243" s="58"/>
      <c r="BP2243" s="58">
        <v>60</v>
      </c>
      <c r="BQ2243" s="58"/>
      <c r="BR2243" s="58"/>
      <c r="BS2243" s="58"/>
      <c r="BT2243" s="58"/>
      <c r="BU2243" s="58"/>
      <c r="BV2243" s="58"/>
      <c r="BW2243" s="67"/>
      <c r="BX2243" s="67"/>
      <c r="BY2243" s="67"/>
      <c r="BZ2243" s="67"/>
      <c r="CA2243" s="67"/>
      <c r="CB2243" s="68"/>
      <c r="CC2243" s="68"/>
      <c r="CD2243" s="68"/>
      <c r="CE2243" s="67"/>
      <c r="CF2243" s="67"/>
      <c r="CG2243" s="67"/>
      <c r="CH2243" s="94">
        <v>1.4342649999999999</v>
      </c>
      <c r="CI2243" s="94">
        <v>1.4286099999999999</v>
      </c>
      <c r="CJ2243" s="67"/>
      <c r="CK2243" s="67"/>
      <c r="CL2243" s="67"/>
      <c r="CM2243" s="67">
        <f>(CR2243*1000000)/(100*100*CH2243*AA2243/100*1000000)*100</f>
        <v>0.99854735700864194</v>
      </c>
      <c r="CN2243" s="67">
        <f>(CS2243*1000000)/(100*100*CI2243*AA2243/100*1000000)*100</f>
        <v>1.0350000000000001</v>
      </c>
      <c r="CO2243" s="67"/>
      <c r="CP2243" s="67"/>
      <c r="CQ2243" s="67"/>
      <c r="CR2243" s="67">
        <v>40.101082699999992</v>
      </c>
      <c r="CS2243" s="67">
        <v>41.401117799999994</v>
      </c>
      <c r="CT2243" s="67"/>
      <c r="CU2243" s="67"/>
      <c r="CV2243" s="67" t="s">
        <v>2052</v>
      </c>
      <c r="CW2243" s="67"/>
      <c r="CX2243" s="67"/>
      <c r="CY2243" s="67"/>
      <c r="CZ2243" s="67"/>
      <c r="DA2243" s="67" t="s">
        <v>4463</v>
      </c>
      <c r="DB2243" s="67"/>
      <c r="DC2243" s="67"/>
      <c r="DD2243" s="67"/>
      <c r="DE2243" s="67"/>
      <c r="DF2243" s="67"/>
      <c r="DG2243" s="67"/>
      <c r="DH2243" s="67"/>
      <c r="DI2243" s="67"/>
      <c r="DJ2243" s="67"/>
      <c r="DK2243" s="67"/>
      <c r="DL2243" s="67"/>
      <c r="DM2243" s="67"/>
      <c r="DN2243" s="67"/>
      <c r="DO2243" s="67"/>
      <c r="DP2243" s="67"/>
      <c r="DQ2243" s="166"/>
      <c r="DR2243" s="166"/>
      <c r="DS2243" s="163"/>
      <c r="DT2243" s="163"/>
      <c r="DU2243" s="67"/>
      <c r="DV2243" s="67"/>
      <c r="DW2243" s="67"/>
      <c r="DX2243" s="67"/>
      <c r="DY2243" s="67"/>
      <c r="DZ2243" s="67"/>
      <c r="EA2243" s="67"/>
      <c r="EB2243" s="67"/>
      <c r="EC2243" s="67"/>
      <c r="ED2243" s="67"/>
      <c r="EE2243" s="67"/>
      <c r="EF2243" s="67"/>
      <c r="EG2243" s="67"/>
      <c r="EH2243" s="67"/>
      <c r="EI2243" s="67"/>
      <c r="EJ2243" s="67"/>
      <c r="EK2243" s="94"/>
      <c r="EL2243" s="94"/>
      <c r="EM2243" s="67"/>
      <c r="EN2243" s="67"/>
      <c r="EO2243" s="67"/>
      <c r="EP2243" s="67"/>
      <c r="EQ2243" s="67"/>
      <c r="ER2243" s="67"/>
      <c r="ES2243" s="67"/>
      <c r="ET2243" s="67"/>
      <c r="EU2243" s="67"/>
      <c r="EV2243" s="67"/>
      <c r="EW2243" s="67"/>
      <c r="EX2243" s="67"/>
      <c r="EY2243" s="67"/>
      <c r="EZ2243" s="67"/>
      <c r="FA2243" s="67"/>
      <c r="FB2243" s="67"/>
      <c r="FC2243" s="67"/>
      <c r="FD2243" s="67"/>
      <c r="FE2243" s="67"/>
      <c r="FF2243" s="67"/>
      <c r="FG2243" s="67"/>
      <c r="FH2243" s="67"/>
      <c r="FI2243" s="67"/>
      <c r="FJ2243" s="67"/>
      <c r="FK2243" s="67"/>
      <c r="FL2243" s="67"/>
      <c r="FM2243" s="67"/>
      <c r="FN2243" s="67"/>
      <c r="FO2243" s="67"/>
      <c r="FP2243" s="67"/>
      <c r="FQ2243" s="67"/>
      <c r="FR2243" s="67"/>
      <c r="FS2243" s="67"/>
      <c r="FT2243" s="67"/>
      <c r="FU2243" s="67"/>
      <c r="FV2243" s="67"/>
      <c r="FW2243" s="67"/>
      <c r="FX2243" s="67"/>
      <c r="FY2243" s="67"/>
      <c r="FZ2243" s="67"/>
      <c r="GA2243" s="67"/>
      <c r="GB2243" s="67"/>
      <c r="GC2243" s="67"/>
      <c r="GD2243" s="67"/>
      <c r="GE2243" s="67"/>
      <c r="GF2243" s="67"/>
      <c r="GG2243" s="67"/>
      <c r="GH2243" s="67"/>
      <c r="GI2243" s="67"/>
      <c r="GJ2243" s="67"/>
      <c r="GK2243" s="67"/>
      <c r="GL2243" s="67"/>
      <c r="GM2243" s="67"/>
      <c r="GN2243" s="292"/>
      <c r="GO2243" s="292"/>
      <c r="GP2243" s="292" t="s">
        <v>7494</v>
      </c>
      <c r="GQ2243" s="67"/>
      <c r="GR2243" s="67"/>
      <c r="GS2243" s="67"/>
      <c r="GT2243" s="67"/>
      <c r="GU2243" s="67"/>
      <c r="GV2243" s="67"/>
      <c r="GW2243" s="67"/>
      <c r="GX2243" s="67"/>
      <c r="GY2243" s="67"/>
      <c r="GZ2243" s="67"/>
      <c r="HA2243" s="67"/>
      <c r="HB2243" s="67"/>
      <c r="HC2243" s="67"/>
      <c r="HD2243" s="67"/>
      <c r="HE2243" s="67"/>
      <c r="HF2243" s="67"/>
      <c r="HG2243" s="67"/>
      <c r="HH2243" s="67"/>
      <c r="HI2243" s="67"/>
      <c r="HJ2243" s="67"/>
      <c r="HK2243" s="67"/>
      <c r="HL2243" s="67"/>
      <c r="HM2243" s="67"/>
      <c r="HN2243" s="67"/>
      <c r="HO2243" s="67"/>
      <c r="HP2243" s="67"/>
      <c r="HQ2243" s="67"/>
      <c r="HR2243" s="67"/>
      <c r="HS2243" s="67"/>
      <c r="HT2243" s="67"/>
      <c r="HU2243" s="67"/>
      <c r="HV2243" s="67"/>
      <c r="HW2243" s="67"/>
      <c r="HX2243" s="67"/>
      <c r="HY2243" s="67"/>
      <c r="HZ2243" s="67"/>
      <c r="IA2243" s="67"/>
      <c r="IB2243" s="67"/>
      <c r="IC2243" s="67"/>
      <c r="ID2243" s="67"/>
      <c r="IE2243" s="67"/>
      <c r="IF2243" s="67"/>
      <c r="IG2243" s="67"/>
      <c r="IH2243" s="67"/>
      <c r="II2243" s="67"/>
      <c r="IJ2243" s="67"/>
      <c r="IK2243" s="67"/>
      <c r="IL2243" s="67"/>
      <c r="IM2243" s="67"/>
      <c r="IN2243" s="67"/>
      <c r="IO2243" s="67"/>
      <c r="IP2243" s="67"/>
      <c r="IQ2243" s="67"/>
      <c r="IR2243" s="67"/>
      <c r="IS2243" s="67"/>
      <c r="IT2243" s="67"/>
      <c r="IU2243" s="67"/>
      <c r="IV2243" s="67"/>
      <c r="IW2243" s="67"/>
      <c r="IX2243" s="67"/>
      <c r="IY2243" s="67"/>
      <c r="IZ2243" s="67"/>
      <c r="JA2243" s="67"/>
      <c r="JB2243" s="67"/>
      <c r="JC2243" s="67"/>
      <c r="JD2243" s="67"/>
      <c r="JE2243" s="67"/>
      <c r="JF2243" s="67"/>
      <c r="JG2243" s="67"/>
      <c r="JH2243" s="67"/>
      <c r="JI2243" s="67"/>
      <c r="JJ2243" s="67"/>
      <c r="JK2243" s="67"/>
      <c r="JL2243" s="67"/>
      <c r="JM2243" s="67"/>
      <c r="JN2243" s="67"/>
      <c r="JO2243" s="67"/>
      <c r="JP2243" s="67"/>
      <c r="JQ2243" s="67"/>
      <c r="JR2243" s="67"/>
      <c r="JS2243" s="67"/>
      <c r="JT2243" s="67"/>
      <c r="JU2243" s="58"/>
      <c r="JV2243" s="58"/>
      <c r="JW2243" s="58"/>
    </row>
    <row r="2244" spans="1:283" s="23" customFormat="1" x14ac:dyDescent="0.25">
      <c r="A2244" s="55">
        <v>2243</v>
      </c>
      <c r="B2244" s="12" t="s">
        <v>7067</v>
      </c>
      <c r="C2244" s="156">
        <v>107</v>
      </c>
      <c r="D2244" s="58" t="s">
        <v>4190</v>
      </c>
      <c r="E2244" s="94" t="s">
        <v>2153</v>
      </c>
      <c r="F2244" s="94"/>
      <c r="G2244" s="58"/>
      <c r="H2244" s="58">
        <v>1974</v>
      </c>
      <c r="I2244" s="58"/>
      <c r="J2244" s="58" t="s">
        <v>2154</v>
      </c>
      <c r="K2244" s="58" t="s">
        <v>2155</v>
      </c>
      <c r="L2244" s="58" t="s">
        <v>1077</v>
      </c>
      <c r="M2244" s="94">
        <v>50.76</v>
      </c>
      <c r="N2244" s="94">
        <v>8.89</v>
      </c>
      <c r="O2244" s="94">
        <v>152</v>
      </c>
      <c r="P2244" s="58">
        <v>8</v>
      </c>
      <c r="Q2244" s="58"/>
      <c r="R2244" s="58">
        <v>600</v>
      </c>
      <c r="S2244" s="94"/>
      <c r="T2244" s="58"/>
      <c r="U2244" s="58">
        <v>8</v>
      </c>
      <c r="V2244" s="58">
        <v>8</v>
      </c>
      <c r="W2244" s="174"/>
      <c r="X2244" s="174"/>
      <c r="Y2244" s="58"/>
      <c r="Z2244" s="58" t="s">
        <v>2120</v>
      </c>
      <c r="AA2244" s="94">
        <v>28</v>
      </c>
      <c r="AB2244" s="67"/>
      <c r="AC2244" s="67"/>
      <c r="AD2244" s="94">
        <v>1.4342649999999999</v>
      </c>
      <c r="AE2244" s="94"/>
      <c r="AF2244" s="94"/>
      <c r="AG2244" s="94"/>
      <c r="AH2244" s="58"/>
      <c r="AI2244" s="169"/>
      <c r="AJ2244" s="94"/>
      <c r="AK2244" s="94"/>
      <c r="AL2244" s="58"/>
      <c r="AM2244" s="58" t="s">
        <v>2156</v>
      </c>
      <c r="AN2244" s="186" t="s">
        <v>2157</v>
      </c>
      <c r="AO2244" s="185" t="s">
        <v>5150</v>
      </c>
      <c r="AP2244" s="58"/>
      <c r="AQ2244" s="58" t="s">
        <v>1097</v>
      </c>
      <c r="AR2244" s="58" t="s">
        <v>2259</v>
      </c>
      <c r="AS2244" s="58" t="s">
        <v>1583</v>
      </c>
      <c r="AT2244" s="182" t="s">
        <v>2260</v>
      </c>
      <c r="AU2244" s="181" t="s">
        <v>5150</v>
      </c>
      <c r="AV2244" s="185" t="s">
        <v>176</v>
      </c>
      <c r="AW2244" s="58"/>
      <c r="AX2244" s="185" t="s">
        <v>176</v>
      </c>
      <c r="AY2244" s="58"/>
      <c r="AZ2244" s="58" t="s">
        <v>2261</v>
      </c>
      <c r="BA2244" s="58"/>
      <c r="BB2244" s="58"/>
      <c r="BC2244" s="58"/>
      <c r="BD2244" s="58"/>
      <c r="BE2244" s="236" t="s">
        <v>2164</v>
      </c>
      <c r="BF2244" s="58"/>
      <c r="BG2244" s="191" t="s">
        <v>479</v>
      </c>
      <c r="BH2244" s="236"/>
      <c r="BI2244" s="58"/>
      <c r="BJ2244" s="58"/>
      <c r="BK2244" s="58" t="s">
        <v>5976</v>
      </c>
      <c r="BL2244" s="58"/>
      <c r="BM2244" s="237" t="s">
        <v>160</v>
      </c>
      <c r="BN2244" s="58"/>
      <c r="BO2244" s="58"/>
      <c r="BP2244" s="58">
        <v>60</v>
      </c>
      <c r="BQ2244" s="58"/>
      <c r="BR2244" s="58"/>
      <c r="BS2244" s="58"/>
      <c r="BT2244" s="58"/>
      <c r="BU2244" s="58"/>
      <c r="BV2244" s="58"/>
      <c r="BW2244" s="67"/>
      <c r="BX2244" s="67"/>
      <c r="BY2244" s="67"/>
      <c r="BZ2244" s="67"/>
      <c r="CA2244" s="67"/>
      <c r="CB2244" s="68"/>
      <c r="CC2244" s="68"/>
      <c r="CD2244" s="68"/>
      <c r="CE2244" s="67"/>
      <c r="CF2244" s="67"/>
      <c r="CG2244" s="67"/>
      <c r="CH2244" s="94">
        <v>1.4342649999999999</v>
      </c>
      <c r="CI2244" s="94">
        <v>1.426609</v>
      </c>
      <c r="CJ2244" s="67"/>
      <c r="CK2244" s="67"/>
      <c r="CL2244" s="67"/>
      <c r="CM2244" s="67">
        <f>(CR2244*1000000)/(100*100*CH2244*AA2244/100*1000000)*100</f>
        <v>0.9971487294886231</v>
      </c>
      <c r="CN2244" s="67">
        <f>(CS2244*1000000)/(100*100*CI2244*AA2244/100*1000000)*100</f>
        <v>1.0464999999999998</v>
      </c>
      <c r="CO2244" s="67"/>
      <c r="CP2244" s="67"/>
      <c r="CQ2244" s="67"/>
      <c r="CR2244" s="67">
        <v>40.044914630000001</v>
      </c>
      <c r="CS2244" s="67">
        <v>41.802496917999996</v>
      </c>
      <c r="CT2244" s="67"/>
      <c r="CU2244" s="67"/>
      <c r="CV2244" s="67" t="s">
        <v>2052</v>
      </c>
      <c r="CW2244" s="67"/>
      <c r="CX2244" s="67"/>
      <c r="CY2244" s="67"/>
      <c r="CZ2244" s="67"/>
      <c r="DA2244" s="67" t="s">
        <v>4463</v>
      </c>
      <c r="DB2244" s="67"/>
      <c r="DC2244" s="67"/>
      <c r="DD2244" s="67"/>
      <c r="DE2244" s="67"/>
      <c r="DF2244" s="67"/>
      <c r="DG2244" s="67"/>
      <c r="DH2244" s="67"/>
      <c r="DI2244" s="67"/>
      <c r="DJ2244" s="67"/>
      <c r="DK2244" s="67"/>
      <c r="DL2244" s="67"/>
      <c r="DM2244" s="67"/>
      <c r="DN2244" s="67"/>
      <c r="DO2244" s="67"/>
      <c r="DP2244" s="67"/>
      <c r="DQ2244" s="166"/>
      <c r="DR2244" s="166"/>
      <c r="DS2244" s="163"/>
      <c r="DT2244" s="163"/>
      <c r="DU2244" s="67"/>
      <c r="DV2244" s="67"/>
      <c r="DW2244" s="67"/>
      <c r="DX2244" s="67"/>
      <c r="DY2244" s="67"/>
      <c r="DZ2244" s="67"/>
      <c r="EA2244" s="67"/>
      <c r="EB2244" s="67"/>
      <c r="EC2244" s="67"/>
      <c r="ED2244" s="67"/>
      <c r="EE2244" s="67"/>
      <c r="EF2244" s="67"/>
      <c r="EG2244" s="67"/>
      <c r="EH2244" s="67"/>
      <c r="EI2244" s="67"/>
      <c r="EJ2244" s="67"/>
      <c r="EK2244" s="94"/>
      <c r="EL2244" s="94"/>
      <c r="EM2244" s="67"/>
      <c r="EN2244" s="67"/>
      <c r="EO2244" s="67"/>
      <c r="EP2244" s="67"/>
      <c r="EQ2244" s="67"/>
      <c r="ER2244" s="67"/>
      <c r="ES2244" s="67"/>
      <c r="ET2244" s="67"/>
      <c r="EU2244" s="67"/>
      <c r="EV2244" s="67"/>
      <c r="EW2244" s="67"/>
      <c r="EX2244" s="67"/>
      <c r="EY2244" s="67"/>
      <c r="EZ2244" s="67"/>
      <c r="FA2244" s="67"/>
      <c r="FB2244" s="67"/>
      <c r="FC2244" s="67"/>
      <c r="FD2244" s="67"/>
      <c r="FE2244" s="67"/>
      <c r="FF2244" s="67"/>
      <c r="FG2244" s="67"/>
      <c r="FH2244" s="67"/>
      <c r="FI2244" s="67"/>
      <c r="FJ2244" s="67"/>
      <c r="FK2244" s="67"/>
      <c r="FL2244" s="67"/>
      <c r="FM2244" s="67"/>
      <c r="FN2244" s="67"/>
      <c r="FO2244" s="67"/>
      <c r="FP2244" s="67"/>
      <c r="FQ2244" s="67"/>
      <c r="FR2244" s="67"/>
      <c r="FS2244" s="67"/>
      <c r="FT2244" s="67"/>
      <c r="FU2244" s="67"/>
      <c r="FV2244" s="67"/>
      <c r="FW2244" s="67"/>
      <c r="FX2244" s="67"/>
      <c r="FY2244" s="67"/>
      <c r="FZ2244" s="67"/>
      <c r="GA2244" s="67"/>
      <c r="GB2244" s="67"/>
      <c r="GC2244" s="67"/>
      <c r="GD2244" s="67"/>
      <c r="GE2244" s="67"/>
      <c r="GF2244" s="67"/>
      <c r="GG2244" s="67"/>
      <c r="GH2244" s="67"/>
      <c r="GI2244" s="67"/>
      <c r="GJ2244" s="67"/>
      <c r="GK2244" s="67"/>
      <c r="GL2244" s="67"/>
      <c r="GM2244" s="67"/>
      <c r="GN2244" s="292"/>
      <c r="GO2244" s="292"/>
      <c r="GP2244" s="292" t="s">
        <v>7494</v>
      </c>
      <c r="GQ2244" s="67"/>
      <c r="GR2244" s="67"/>
      <c r="GS2244" s="67"/>
      <c r="GT2244" s="67"/>
      <c r="GU2244" s="67"/>
      <c r="GV2244" s="67"/>
      <c r="GW2244" s="67"/>
      <c r="GX2244" s="67"/>
      <c r="GY2244" s="67"/>
      <c r="GZ2244" s="67"/>
      <c r="HA2244" s="67"/>
      <c r="HB2244" s="67"/>
      <c r="HC2244" s="67"/>
      <c r="HD2244" s="67"/>
      <c r="HE2244" s="67"/>
      <c r="HF2244" s="67"/>
      <c r="HG2244" s="67"/>
      <c r="HH2244" s="67"/>
      <c r="HI2244" s="67"/>
      <c r="HJ2244" s="67"/>
      <c r="HK2244" s="67"/>
      <c r="HL2244" s="67"/>
      <c r="HM2244" s="67"/>
      <c r="HN2244" s="67"/>
      <c r="HO2244" s="67"/>
      <c r="HP2244" s="67"/>
      <c r="HQ2244" s="67"/>
      <c r="HR2244" s="67"/>
      <c r="HS2244" s="67"/>
      <c r="HT2244" s="67"/>
      <c r="HU2244" s="67"/>
      <c r="HV2244" s="67"/>
      <c r="HW2244" s="67"/>
      <c r="HX2244" s="67"/>
      <c r="HY2244" s="67"/>
      <c r="HZ2244" s="67"/>
      <c r="IA2244" s="67"/>
      <c r="IB2244" s="67"/>
      <c r="IC2244" s="67"/>
      <c r="ID2244" s="67"/>
      <c r="IE2244" s="67"/>
      <c r="IF2244" s="67"/>
      <c r="IG2244" s="67"/>
      <c r="IH2244" s="67"/>
      <c r="II2244" s="67"/>
      <c r="IJ2244" s="67"/>
      <c r="IK2244" s="67"/>
      <c r="IL2244" s="67"/>
      <c r="IM2244" s="67"/>
      <c r="IN2244" s="67"/>
      <c r="IO2244" s="67"/>
      <c r="IP2244" s="67"/>
      <c r="IQ2244" s="67"/>
      <c r="IR2244" s="67"/>
      <c r="IS2244" s="67"/>
      <c r="IT2244" s="67"/>
      <c r="IU2244" s="67"/>
      <c r="IV2244" s="67"/>
      <c r="IW2244" s="67"/>
      <c r="IX2244" s="67"/>
      <c r="IY2244" s="67"/>
      <c r="IZ2244" s="67"/>
      <c r="JA2244" s="67"/>
      <c r="JB2244" s="67"/>
      <c r="JC2244" s="67"/>
      <c r="JD2244" s="67"/>
      <c r="JE2244" s="67"/>
      <c r="JF2244" s="67"/>
      <c r="JG2244" s="67"/>
      <c r="JH2244" s="67"/>
      <c r="JI2244" s="67"/>
      <c r="JJ2244" s="67"/>
      <c r="JK2244" s="67"/>
      <c r="JL2244" s="67"/>
      <c r="JM2244" s="67"/>
      <c r="JN2244" s="67"/>
      <c r="JO2244" s="67"/>
      <c r="JP2244" s="67"/>
      <c r="JQ2244" s="67"/>
      <c r="JR2244" s="67"/>
      <c r="JS2244" s="67"/>
      <c r="JT2244" s="67"/>
      <c r="JU2244" s="58"/>
      <c r="JV2244" s="58"/>
      <c r="JW2244" s="58"/>
    </row>
    <row r="2245" spans="1:283" s="23" customFormat="1" x14ac:dyDescent="0.25">
      <c r="A2245" s="55">
        <v>2244</v>
      </c>
      <c r="B2245" s="12" t="s">
        <v>7067</v>
      </c>
      <c r="C2245" s="156">
        <v>107</v>
      </c>
      <c r="D2245" s="58" t="s">
        <v>4191</v>
      </c>
      <c r="E2245" s="94" t="s">
        <v>2153</v>
      </c>
      <c r="F2245" s="94"/>
      <c r="G2245" s="58"/>
      <c r="H2245" s="58">
        <v>1974</v>
      </c>
      <c r="I2245" s="58"/>
      <c r="J2245" s="58" t="s">
        <v>2154</v>
      </c>
      <c r="K2245" s="58" t="s">
        <v>2155</v>
      </c>
      <c r="L2245" s="58" t="s">
        <v>1077</v>
      </c>
      <c r="M2245" s="94">
        <v>50.76</v>
      </c>
      <c r="N2245" s="94">
        <v>8.89</v>
      </c>
      <c r="O2245" s="94">
        <v>152</v>
      </c>
      <c r="P2245" s="58">
        <v>8</v>
      </c>
      <c r="Q2245" s="58"/>
      <c r="R2245" s="58">
        <v>600</v>
      </c>
      <c r="S2245" s="94"/>
      <c r="T2245" s="58"/>
      <c r="U2245" s="58">
        <v>8</v>
      </c>
      <c r="V2245" s="58">
        <v>8</v>
      </c>
      <c r="W2245" s="174"/>
      <c r="X2245" s="174"/>
      <c r="Y2245" s="58"/>
      <c r="Z2245" s="58" t="s">
        <v>2120</v>
      </c>
      <c r="AA2245" s="94">
        <v>28</v>
      </c>
      <c r="AB2245" s="67"/>
      <c r="AC2245" s="67"/>
      <c r="AD2245" s="94">
        <v>1.4342867500000001</v>
      </c>
      <c r="AE2245" s="94"/>
      <c r="AF2245" s="94"/>
      <c r="AG2245" s="94"/>
      <c r="AH2245" s="58"/>
      <c r="AI2245" s="169"/>
      <c r="AJ2245" s="94"/>
      <c r="AK2245" s="94"/>
      <c r="AL2245" s="58"/>
      <c r="AM2245" s="58" t="s">
        <v>2156</v>
      </c>
      <c r="AN2245" s="186" t="s">
        <v>2157</v>
      </c>
      <c r="AO2245" s="185" t="s">
        <v>5150</v>
      </c>
      <c r="AP2245" s="58"/>
      <c r="AQ2245" s="58" t="s">
        <v>1097</v>
      </c>
      <c r="AR2245" s="58" t="s">
        <v>2259</v>
      </c>
      <c r="AS2245" s="58" t="s">
        <v>1583</v>
      </c>
      <c r="AT2245" s="182" t="s">
        <v>2260</v>
      </c>
      <c r="AU2245" s="181" t="s">
        <v>5150</v>
      </c>
      <c r="AV2245" s="185" t="s">
        <v>176</v>
      </c>
      <c r="AW2245" s="58"/>
      <c r="AX2245" s="185" t="s">
        <v>176</v>
      </c>
      <c r="AY2245" s="58"/>
      <c r="AZ2245" s="58" t="s">
        <v>2261</v>
      </c>
      <c r="BA2245" s="58"/>
      <c r="BB2245" s="58"/>
      <c r="BC2245" s="58"/>
      <c r="BD2245" s="58"/>
      <c r="BE2245" s="236" t="s">
        <v>2165</v>
      </c>
      <c r="BF2245" s="58"/>
      <c r="BG2245" s="191" t="s">
        <v>479</v>
      </c>
      <c r="BH2245" s="236"/>
      <c r="BI2245" s="58"/>
      <c r="BJ2245" s="58"/>
      <c r="BK2245" s="58" t="s">
        <v>5976</v>
      </c>
      <c r="BL2245" s="58"/>
      <c r="BM2245" s="237" t="s">
        <v>160</v>
      </c>
      <c r="BN2245" s="58"/>
      <c r="BO2245" s="58"/>
      <c r="BP2245" s="58">
        <v>60</v>
      </c>
      <c r="BQ2245" s="58"/>
      <c r="BR2245" s="58"/>
      <c r="BS2245" s="58"/>
      <c r="BT2245" s="58"/>
      <c r="BU2245" s="58"/>
      <c r="BV2245" s="58"/>
      <c r="BW2245" s="67"/>
      <c r="BX2245" s="67"/>
      <c r="BY2245" s="67"/>
      <c r="BZ2245" s="67"/>
      <c r="CA2245" s="67"/>
      <c r="CB2245" s="68"/>
      <c r="CC2245" s="68"/>
      <c r="CD2245" s="68"/>
      <c r="CE2245" s="67"/>
      <c r="CF2245" s="67"/>
      <c r="CG2245" s="67"/>
      <c r="CH2245" s="94">
        <v>1.4342867500000001</v>
      </c>
      <c r="CI2245" s="94">
        <v>1.4248907500000001</v>
      </c>
      <c r="CJ2245" s="67"/>
      <c r="CK2245" s="67"/>
      <c r="CL2245" s="67"/>
      <c r="CM2245" s="67">
        <f>(CR2245*1000000)/(100*100*CH2245*AA2245/100*1000000)*100</f>
        <v>0.99580845011030716</v>
      </c>
      <c r="CN2245" s="67">
        <f>(CS2245*1000000)/(100*100*CI2245*AA2245/100*1000000)*100</f>
        <v>1.0563750000000001</v>
      </c>
      <c r="CO2245" s="67"/>
      <c r="CP2245" s="67"/>
      <c r="CQ2245" s="67"/>
      <c r="CR2245" s="67">
        <v>39.991696234874993</v>
      </c>
      <c r="CS2245" s="67">
        <v>42.146131048875006</v>
      </c>
      <c r="CT2245" s="67"/>
      <c r="CU2245" s="67"/>
      <c r="CV2245" s="67" t="s">
        <v>2052</v>
      </c>
      <c r="CW2245" s="67"/>
      <c r="CX2245" s="67"/>
      <c r="CY2245" s="67"/>
      <c r="CZ2245" s="67"/>
      <c r="DA2245" s="67" t="s">
        <v>4463</v>
      </c>
      <c r="DB2245" s="67"/>
      <c r="DC2245" s="67"/>
      <c r="DD2245" s="67"/>
      <c r="DE2245" s="67"/>
      <c r="DF2245" s="67"/>
      <c r="DG2245" s="67"/>
      <c r="DH2245" s="67"/>
      <c r="DI2245" s="67"/>
      <c r="DJ2245" s="67"/>
      <c r="DK2245" s="67"/>
      <c r="DL2245" s="67"/>
      <c r="DM2245" s="67"/>
      <c r="DN2245" s="67"/>
      <c r="DO2245" s="67"/>
      <c r="DP2245" s="67"/>
      <c r="DQ2245" s="166"/>
      <c r="DR2245" s="166"/>
      <c r="DS2245" s="163"/>
      <c r="DT2245" s="163"/>
      <c r="DU2245" s="67"/>
      <c r="DV2245" s="67"/>
      <c r="DW2245" s="67"/>
      <c r="DX2245" s="67"/>
      <c r="DY2245" s="67"/>
      <c r="DZ2245" s="67"/>
      <c r="EA2245" s="67"/>
      <c r="EB2245" s="67"/>
      <c r="EC2245" s="67"/>
      <c r="ED2245" s="67"/>
      <c r="EE2245" s="67"/>
      <c r="EF2245" s="67"/>
      <c r="EG2245" s="67"/>
      <c r="EH2245" s="67"/>
      <c r="EI2245" s="67"/>
      <c r="EJ2245" s="67"/>
      <c r="EK2245" s="94"/>
      <c r="EL2245" s="94"/>
      <c r="EM2245" s="67"/>
      <c r="EN2245" s="67"/>
      <c r="EO2245" s="67"/>
      <c r="EP2245" s="67"/>
      <c r="EQ2245" s="67"/>
      <c r="ER2245" s="67"/>
      <c r="ES2245" s="67"/>
      <c r="ET2245" s="67"/>
      <c r="EU2245" s="67"/>
      <c r="EV2245" s="67"/>
      <c r="EW2245" s="67"/>
      <c r="EX2245" s="67"/>
      <c r="EY2245" s="67"/>
      <c r="EZ2245" s="67"/>
      <c r="FA2245" s="67"/>
      <c r="FB2245" s="67"/>
      <c r="FC2245" s="67"/>
      <c r="FD2245" s="67"/>
      <c r="FE2245" s="67"/>
      <c r="FF2245" s="67"/>
      <c r="FG2245" s="67"/>
      <c r="FH2245" s="67"/>
      <c r="FI2245" s="67"/>
      <c r="FJ2245" s="67"/>
      <c r="FK2245" s="67"/>
      <c r="FL2245" s="67"/>
      <c r="FM2245" s="67"/>
      <c r="FN2245" s="67"/>
      <c r="FO2245" s="67"/>
      <c r="FP2245" s="67"/>
      <c r="FQ2245" s="67"/>
      <c r="FR2245" s="67"/>
      <c r="FS2245" s="67"/>
      <c r="FT2245" s="67"/>
      <c r="FU2245" s="67"/>
      <c r="FV2245" s="67"/>
      <c r="FW2245" s="67"/>
      <c r="FX2245" s="67"/>
      <c r="FY2245" s="67"/>
      <c r="FZ2245" s="67"/>
      <c r="GA2245" s="67"/>
      <c r="GB2245" s="67"/>
      <c r="GC2245" s="67"/>
      <c r="GD2245" s="67"/>
      <c r="GE2245" s="67"/>
      <c r="GF2245" s="67"/>
      <c r="GG2245" s="67"/>
      <c r="GH2245" s="67"/>
      <c r="GI2245" s="67"/>
      <c r="GJ2245" s="67"/>
      <c r="GK2245" s="67"/>
      <c r="GL2245" s="67"/>
      <c r="GM2245" s="67"/>
      <c r="GN2245" s="292"/>
      <c r="GO2245" s="292"/>
      <c r="GP2245" s="292" t="s">
        <v>7494</v>
      </c>
      <c r="GQ2245" s="67"/>
      <c r="GR2245" s="67"/>
      <c r="GS2245" s="67"/>
      <c r="GT2245" s="67"/>
      <c r="GU2245" s="67"/>
      <c r="GV2245" s="67"/>
      <c r="GW2245" s="67"/>
      <c r="GX2245" s="67"/>
      <c r="GY2245" s="67"/>
      <c r="GZ2245" s="67"/>
      <c r="HA2245" s="67"/>
      <c r="HB2245" s="67"/>
      <c r="HC2245" s="67"/>
      <c r="HD2245" s="67"/>
      <c r="HE2245" s="67"/>
      <c r="HF2245" s="67"/>
      <c r="HG2245" s="67"/>
      <c r="HH2245" s="67"/>
      <c r="HI2245" s="67"/>
      <c r="HJ2245" s="67"/>
      <c r="HK2245" s="67"/>
      <c r="HL2245" s="67"/>
      <c r="HM2245" s="67"/>
      <c r="HN2245" s="67"/>
      <c r="HO2245" s="67"/>
      <c r="HP2245" s="67"/>
      <c r="HQ2245" s="67"/>
      <c r="HR2245" s="67"/>
      <c r="HS2245" s="67"/>
      <c r="HT2245" s="67"/>
      <c r="HU2245" s="67"/>
      <c r="HV2245" s="67"/>
      <c r="HW2245" s="67"/>
      <c r="HX2245" s="67"/>
      <c r="HY2245" s="67"/>
      <c r="HZ2245" s="67"/>
      <c r="IA2245" s="67"/>
      <c r="IB2245" s="67"/>
      <c r="IC2245" s="67"/>
      <c r="ID2245" s="67"/>
      <c r="IE2245" s="67"/>
      <c r="IF2245" s="67"/>
      <c r="IG2245" s="67"/>
      <c r="IH2245" s="67"/>
      <c r="II2245" s="67"/>
      <c r="IJ2245" s="67"/>
      <c r="IK2245" s="67"/>
      <c r="IL2245" s="67"/>
      <c r="IM2245" s="67"/>
      <c r="IN2245" s="67"/>
      <c r="IO2245" s="67"/>
      <c r="IP2245" s="67"/>
      <c r="IQ2245" s="67"/>
      <c r="IR2245" s="67"/>
      <c r="IS2245" s="67"/>
      <c r="IT2245" s="67"/>
      <c r="IU2245" s="67"/>
      <c r="IV2245" s="67"/>
      <c r="IW2245" s="67"/>
      <c r="IX2245" s="67"/>
      <c r="IY2245" s="67"/>
      <c r="IZ2245" s="67"/>
      <c r="JA2245" s="67"/>
      <c r="JB2245" s="67"/>
      <c r="JC2245" s="67"/>
      <c r="JD2245" s="67"/>
      <c r="JE2245" s="67"/>
      <c r="JF2245" s="67"/>
      <c r="JG2245" s="67"/>
      <c r="JH2245" s="67"/>
      <c r="JI2245" s="67"/>
      <c r="JJ2245" s="67"/>
      <c r="JK2245" s="67"/>
      <c r="JL2245" s="67"/>
      <c r="JM2245" s="67"/>
      <c r="JN2245" s="67"/>
      <c r="JO2245" s="67"/>
      <c r="JP2245" s="67"/>
      <c r="JQ2245" s="67"/>
      <c r="JR2245" s="67"/>
      <c r="JS2245" s="67"/>
      <c r="JT2245" s="67"/>
      <c r="JU2245" s="58"/>
      <c r="JV2245" s="58"/>
      <c r="JW2245" s="58"/>
    </row>
    <row r="2246" spans="1:283" s="23" customFormat="1" x14ac:dyDescent="0.25">
      <c r="A2246" s="55">
        <v>2245</v>
      </c>
      <c r="B2246" s="12" t="s">
        <v>7067</v>
      </c>
      <c r="C2246" s="156">
        <v>108</v>
      </c>
      <c r="D2246" s="58" t="s">
        <v>4192</v>
      </c>
      <c r="E2246" s="94" t="s">
        <v>2175</v>
      </c>
      <c r="F2246" s="94"/>
      <c r="G2246" s="58"/>
      <c r="H2246" s="58">
        <v>1996</v>
      </c>
      <c r="I2246" s="58"/>
      <c r="J2246" s="58" t="s">
        <v>2176</v>
      </c>
      <c r="K2246" s="58" t="s">
        <v>2177</v>
      </c>
      <c r="L2246" s="58" t="s">
        <v>2742</v>
      </c>
      <c r="M2246" s="94">
        <v>59.81</v>
      </c>
      <c r="N2246" s="94">
        <v>17.66</v>
      </c>
      <c r="O2246" s="94">
        <v>41</v>
      </c>
      <c r="P2246" s="58">
        <v>5</v>
      </c>
      <c r="Q2246" s="58"/>
      <c r="R2246" s="58">
        <v>545</v>
      </c>
      <c r="S2246" s="94"/>
      <c r="T2246" s="58"/>
      <c r="U2246" s="58">
        <v>35</v>
      </c>
      <c r="V2246" s="58">
        <v>35</v>
      </c>
      <c r="W2246" s="174"/>
      <c r="X2246" s="174"/>
      <c r="Y2246" s="58"/>
      <c r="Z2246" s="58" t="s">
        <v>1349</v>
      </c>
      <c r="AA2246" s="94">
        <v>15</v>
      </c>
      <c r="AB2246" s="67"/>
      <c r="AC2246" s="67"/>
      <c r="AD2246" s="94">
        <v>1.36</v>
      </c>
      <c r="AE2246" s="94">
        <v>23</v>
      </c>
      <c r="AF2246" s="94">
        <v>41</v>
      </c>
      <c r="AG2246" s="94"/>
      <c r="AH2246" s="58" t="s">
        <v>645</v>
      </c>
      <c r="AI2246" s="169"/>
      <c r="AJ2246" s="94"/>
      <c r="AK2246" s="94"/>
      <c r="AL2246" s="58"/>
      <c r="AM2246" s="58" t="s">
        <v>2178</v>
      </c>
      <c r="AN2246" s="186" t="s">
        <v>2091</v>
      </c>
      <c r="AO2246" s="185" t="s">
        <v>5150</v>
      </c>
      <c r="AP2246" s="58"/>
      <c r="AQ2246" s="58" t="s">
        <v>1565</v>
      </c>
      <c r="AR2246" s="58" t="s">
        <v>1565</v>
      </c>
      <c r="AS2246" s="58" t="s">
        <v>5133</v>
      </c>
      <c r="AT2246" s="182"/>
      <c r="AU2246" s="181" t="s">
        <v>7494</v>
      </c>
      <c r="AV2246" s="185" t="s">
        <v>176</v>
      </c>
      <c r="AW2246" s="58"/>
      <c r="AX2246" s="185" t="s">
        <v>176</v>
      </c>
      <c r="AY2246" s="58"/>
      <c r="AZ2246" s="58" t="s">
        <v>2091</v>
      </c>
      <c r="BA2246" s="58"/>
      <c r="BB2246" s="58"/>
      <c r="BC2246" s="58"/>
      <c r="BD2246" s="58"/>
      <c r="BE2246" s="236" t="s">
        <v>2179</v>
      </c>
      <c r="BF2246" s="58"/>
      <c r="BG2246" s="191" t="s">
        <v>479</v>
      </c>
      <c r="BH2246" s="236"/>
      <c r="BI2246" s="58"/>
      <c r="BJ2246" s="58"/>
      <c r="BK2246" s="58" t="s">
        <v>5976</v>
      </c>
      <c r="BL2246" s="58"/>
      <c r="BM2246" s="237" t="s">
        <v>160</v>
      </c>
      <c r="BN2246" s="58"/>
      <c r="BO2246" s="58"/>
      <c r="BP2246" s="58">
        <v>5</v>
      </c>
      <c r="BQ2246" s="58"/>
      <c r="BR2246" s="58"/>
      <c r="BS2246" s="58"/>
      <c r="BT2246" s="58"/>
      <c r="BU2246" s="58"/>
      <c r="BV2246" s="58"/>
      <c r="BW2246" s="67"/>
      <c r="BX2246" s="67"/>
      <c r="BY2246" s="67"/>
      <c r="BZ2246" s="67"/>
      <c r="CA2246" s="67"/>
      <c r="CB2246" s="68"/>
      <c r="CC2246" s="68"/>
      <c r="CD2246" s="68"/>
      <c r="CE2246" s="67"/>
      <c r="CF2246" s="67"/>
      <c r="CG2246" s="67"/>
      <c r="CH2246" s="94">
        <v>1.36</v>
      </c>
      <c r="CI2246" s="94">
        <v>1.36</v>
      </c>
      <c r="CJ2246" s="67"/>
      <c r="CK2246" s="67"/>
      <c r="CL2246" s="67"/>
      <c r="CM2246" s="67">
        <f>(CR2246*1000000)/(100*100*CH2246*AA2246/100*1000000)*100</f>
        <v>1.23</v>
      </c>
      <c r="CN2246" s="67">
        <f>(CS2246*1000000)/(100*100*CI2246*AA2246/100*1000000)*100</f>
        <v>1.77</v>
      </c>
      <c r="CO2246" s="67"/>
      <c r="CP2246" s="67"/>
      <c r="CQ2246" s="67"/>
      <c r="CR2246" s="67">
        <v>25.092000000000002</v>
      </c>
      <c r="CS2246" s="67">
        <v>36.108000000000004</v>
      </c>
      <c r="CT2246" s="67"/>
      <c r="CU2246" s="67"/>
      <c r="CV2246" s="67" t="s">
        <v>2052</v>
      </c>
      <c r="CW2246" s="67"/>
      <c r="CX2246" s="67"/>
      <c r="CY2246" s="67"/>
      <c r="CZ2246" s="67"/>
      <c r="DA2246" s="67" t="s">
        <v>4463</v>
      </c>
      <c r="DB2246" s="67"/>
      <c r="DC2246" s="67"/>
      <c r="DD2246" s="67"/>
      <c r="DE2246" s="67"/>
      <c r="DF2246" s="67"/>
      <c r="DG2246" s="67"/>
      <c r="DH2246" s="67"/>
      <c r="DI2246" s="67"/>
      <c r="DJ2246" s="67"/>
      <c r="DK2246" s="67"/>
      <c r="DL2246" s="67"/>
      <c r="DM2246" s="67"/>
      <c r="DN2246" s="67"/>
      <c r="DO2246" s="67"/>
      <c r="DP2246" s="67"/>
      <c r="DQ2246" s="166"/>
      <c r="DR2246" s="166"/>
      <c r="DS2246" s="163"/>
      <c r="DT2246" s="163"/>
      <c r="DU2246" s="67"/>
      <c r="DV2246" s="67"/>
      <c r="DW2246" s="67"/>
      <c r="DX2246" s="67"/>
      <c r="DY2246" s="67"/>
      <c r="DZ2246" s="67"/>
      <c r="EA2246" s="67"/>
      <c r="EB2246" s="67"/>
      <c r="EC2246" s="67"/>
      <c r="ED2246" s="67"/>
      <c r="EE2246" s="67"/>
      <c r="EF2246" s="67"/>
      <c r="EG2246" s="67"/>
      <c r="EH2246" s="67"/>
      <c r="EI2246" s="67"/>
      <c r="EJ2246" s="67"/>
      <c r="EK2246" s="94"/>
      <c r="EL2246" s="94"/>
      <c r="EM2246" s="67"/>
      <c r="EN2246" s="67"/>
      <c r="EO2246" s="67"/>
      <c r="EP2246" s="67"/>
      <c r="EQ2246" s="67"/>
      <c r="ER2246" s="67"/>
      <c r="ES2246" s="67"/>
      <c r="ET2246" s="67"/>
      <c r="EU2246" s="67"/>
      <c r="EV2246" s="67"/>
      <c r="EW2246" s="67"/>
      <c r="EX2246" s="67"/>
      <c r="EY2246" s="67"/>
      <c r="EZ2246" s="67"/>
      <c r="FA2246" s="67"/>
      <c r="FB2246" s="67"/>
      <c r="FC2246" s="67"/>
      <c r="FD2246" s="67"/>
      <c r="FE2246" s="67"/>
      <c r="FF2246" s="67"/>
      <c r="FG2246" s="67"/>
      <c r="FH2246" s="67"/>
      <c r="FI2246" s="67"/>
      <c r="FJ2246" s="67"/>
      <c r="FK2246" s="67"/>
      <c r="FL2246" s="67"/>
      <c r="FM2246" s="67"/>
      <c r="FN2246" s="67"/>
      <c r="FO2246" s="67"/>
      <c r="FP2246" s="67"/>
      <c r="FQ2246" s="67"/>
      <c r="FR2246" s="67"/>
      <c r="FS2246" s="67"/>
      <c r="FT2246" s="67"/>
      <c r="FU2246" s="67"/>
      <c r="FV2246" s="67"/>
      <c r="FW2246" s="67"/>
      <c r="FX2246" s="67"/>
      <c r="FY2246" s="67"/>
      <c r="FZ2246" s="67"/>
      <c r="GA2246" s="67"/>
      <c r="GB2246" s="67"/>
      <c r="GC2246" s="67"/>
      <c r="GD2246" s="67"/>
      <c r="GE2246" s="67"/>
      <c r="GF2246" s="67"/>
      <c r="GG2246" s="67"/>
      <c r="GH2246" s="67"/>
      <c r="GI2246" s="67"/>
      <c r="GJ2246" s="67"/>
      <c r="GK2246" s="67"/>
      <c r="GL2246" s="67"/>
      <c r="GM2246" s="67"/>
      <c r="GN2246" s="292"/>
      <c r="GO2246" s="292"/>
      <c r="GP2246" s="292" t="s">
        <v>7494</v>
      </c>
      <c r="GQ2246" s="67"/>
      <c r="GR2246" s="67"/>
      <c r="GS2246" s="67"/>
      <c r="GT2246" s="67"/>
      <c r="GU2246" s="67"/>
      <c r="GV2246" s="67"/>
      <c r="GW2246" s="67"/>
      <c r="GX2246" s="67"/>
      <c r="GY2246" s="67"/>
      <c r="GZ2246" s="67"/>
      <c r="HA2246" s="67"/>
      <c r="HB2246" s="67"/>
      <c r="HC2246" s="67"/>
      <c r="HD2246" s="67"/>
      <c r="HE2246" s="67"/>
      <c r="HF2246" s="67"/>
      <c r="HG2246" s="67"/>
      <c r="HH2246" s="67"/>
      <c r="HI2246" s="67"/>
      <c r="HJ2246" s="67"/>
      <c r="HK2246" s="67"/>
      <c r="HL2246" s="67"/>
      <c r="HM2246" s="67"/>
      <c r="HN2246" s="67"/>
      <c r="HO2246" s="67"/>
      <c r="HP2246" s="67"/>
      <c r="HQ2246" s="67"/>
      <c r="HR2246" s="67"/>
      <c r="HS2246" s="67"/>
      <c r="HT2246" s="67"/>
      <c r="HU2246" s="67"/>
      <c r="HV2246" s="67"/>
      <c r="HW2246" s="67"/>
      <c r="HX2246" s="67"/>
      <c r="HY2246" s="67"/>
      <c r="HZ2246" s="67"/>
      <c r="IA2246" s="67"/>
      <c r="IB2246" s="67"/>
      <c r="IC2246" s="67"/>
      <c r="ID2246" s="67"/>
      <c r="IE2246" s="67"/>
      <c r="IF2246" s="67"/>
      <c r="IG2246" s="67"/>
      <c r="IH2246" s="67"/>
      <c r="II2246" s="67"/>
      <c r="IJ2246" s="67"/>
      <c r="IK2246" s="67"/>
      <c r="IL2246" s="67"/>
      <c r="IM2246" s="67"/>
      <c r="IN2246" s="67"/>
      <c r="IO2246" s="67"/>
      <c r="IP2246" s="67"/>
      <c r="IQ2246" s="67"/>
      <c r="IR2246" s="67"/>
      <c r="IS2246" s="67"/>
      <c r="IT2246" s="67"/>
      <c r="IU2246" s="67"/>
      <c r="IV2246" s="67"/>
      <c r="IW2246" s="67"/>
      <c r="IX2246" s="67"/>
      <c r="IY2246" s="67"/>
      <c r="IZ2246" s="67"/>
      <c r="JA2246" s="67"/>
      <c r="JB2246" s="67"/>
      <c r="JC2246" s="67"/>
      <c r="JD2246" s="67"/>
      <c r="JE2246" s="67"/>
      <c r="JF2246" s="67"/>
      <c r="JG2246" s="67"/>
      <c r="JH2246" s="67"/>
      <c r="JI2246" s="67"/>
      <c r="JJ2246" s="67"/>
      <c r="JK2246" s="67"/>
      <c r="JL2246" s="67"/>
      <c r="JM2246" s="67"/>
      <c r="JN2246" s="67"/>
      <c r="JO2246" s="67"/>
      <c r="JP2246" s="67"/>
      <c r="JQ2246" s="67"/>
      <c r="JR2246" s="67"/>
      <c r="JS2246" s="67"/>
      <c r="JT2246" s="67"/>
      <c r="JU2246" s="58"/>
      <c r="JV2246" s="58"/>
      <c r="JW2246" s="58"/>
    </row>
    <row r="2247" spans="1:283" s="23" customFormat="1" x14ac:dyDescent="0.25">
      <c r="A2247" s="55">
        <v>2246</v>
      </c>
      <c r="B2247" s="12" t="s">
        <v>7067</v>
      </c>
      <c r="C2247" s="156">
        <v>109</v>
      </c>
      <c r="D2247" s="58" t="s">
        <v>4193</v>
      </c>
      <c r="E2247" s="94" t="s">
        <v>2166</v>
      </c>
      <c r="F2247" s="94"/>
      <c r="G2247" s="58" t="s">
        <v>2262</v>
      </c>
      <c r="H2247" s="58">
        <v>2004</v>
      </c>
      <c r="I2247" s="58">
        <v>1999</v>
      </c>
      <c r="J2247" s="58" t="s">
        <v>2167</v>
      </c>
      <c r="K2247" s="58" t="s">
        <v>2168</v>
      </c>
      <c r="L2247" s="58" t="s">
        <v>2743</v>
      </c>
      <c r="M2247" s="94">
        <v>55.47</v>
      </c>
      <c r="N2247" s="94">
        <v>9.1</v>
      </c>
      <c r="O2247" s="94">
        <v>45</v>
      </c>
      <c r="P2247" s="58">
        <v>7.6</v>
      </c>
      <c r="Q2247" s="58"/>
      <c r="R2247" s="58">
        <v>862</v>
      </c>
      <c r="S2247" s="94"/>
      <c r="T2247" s="58"/>
      <c r="U2247" s="58">
        <v>19</v>
      </c>
      <c r="V2247" s="58">
        <v>22</v>
      </c>
      <c r="W2247" s="174"/>
      <c r="X2247" s="174"/>
      <c r="Y2247" s="58" t="s">
        <v>2263</v>
      </c>
      <c r="Z2247" s="58" t="s">
        <v>1346</v>
      </c>
      <c r="AA2247" s="94">
        <v>20</v>
      </c>
      <c r="AB2247" s="67"/>
      <c r="AC2247" s="67"/>
      <c r="AD2247" s="94">
        <v>1.4051200000000001</v>
      </c>
      <c r="AE2247" s="94">
        <v>69</v>
      </c>
      <c r="AF2247" s="94">
        <v>16</v>
      </c>
      <c r="AG2247" s="94"/>
      <c r="AH2247" s="58" t="s">
        <v>238</v>
      </c>
      <c r="AI2247" s="169"/>
      <c r="AJ2247" s="94"/>
      <c r="AK2247" s="94"/>
      <c r="AL2247" s="58"/>
      <c r="AM2247" s="58" t="s">
        <v>2169</v>
      </c>
      <c r="AN2247" s="186" t="s">
        <v>2170</v>
      </c>
      <c r="AO2247" s="185" t="s">
        <v>5150</v>
      </c>
      <c r="AP2247" s="58"/>
      <c r="AQ2247" s="58" t="s">
        <v>131</v>
      </c>
      <c r="AR2247" s="58" t="s">
        <v>2171</v>
      </c>
      <c r="AS2247" s="55" t="s">
        <v>5133</v>
      </c>
      <c r="AT2247" s="182"/>
      <c r="AU2247" s="181" t="s">
        <v>7494</v>
      </c>
      <c r="AV2247" s="185" t="s">
        <v>176</v>
      </c>
      <c r="AW2247" s="58"/>
      <c r="AX2247" s="185" t="s">
        <v>176</v>
      </c>
      <c r="AY2247" s="58"/>
      <c r="AZ2247" s="58" t="s">
        <v>2172</v>
      </c>
      <c r="BA2247" s="58"/>
      <c r="BB2247" s="58" t="s">
        <v>2081</v>
      </c>
      <c r="BC2247" s="58" t="s">
        <v>2081</v>
      </c>
      <c r="BD2247" s="58"/>
      <c r="BE2247" s="236" t="s">
        <v>2173</v>
      </c>
      <c r="BF2247" s="58"/>
      <c r="BG2247" s="191" t="s">
        <v>479</v>
      </c>
      <c r="BH2247" s="236"/>
      <c r="BI2247" s="58"/>
      <c r="BJ2247" s="58"/>
      <c r="BK2247" s="58" t="s">
        <v>5976</v>
      </c>
      <c r="BL2247" s="58"/>
      <c r="BM2247" s="237" t="s">
        <v>160</v>
      </c>
      <c r="BN2247" s="58"/>
      <c r="BO2247" s="58"/>
      <c r="BP2247" s="58"/>
      <c r="BQ2247" s="58"/>
      <c r="BR2247" s="58"/>
      <c r="BS2247" s="58"/>
      <c r="BT2247" s="58"/>
      <c r="BU2247" s="58"/>
      <c r="BV2247" s="58"/>
      <c r="BW2247" s="67"/>
      <c r="BX2247" s="67"/>
      <c r="BY2247" s="67"/>
      <c r="BZ2247" s="67"/>
      <c r="CA2247" s="67"/>
      <c r="CB2247" s="68"/>
      <c r="CC2247" s="68"/>
      <c r="CD2247" s="68"/>
      <c r="CE2247" s="67"/>
      <c r="CF2247" s="67"/>
      <c r="CG2247" s="67"/>
      <c r="CH2247" s="94">
        <v>1.4051200000000001</v>
      </c>
      <c r="CI2247" s="94">
        <v>1.3842400000000001</v>
      </c>
      <c r="CJ2247" s="67"/>
      <c r="CK2247" s="67"/>
      <c r="CL2247" s="67"/>
      <c r="CM2247" s="67">
        <f>(CR2247*1000000)/(100*100*CH2247*AA2247/100*1000000)*100</f>
        <v>1.1526138692780687</v>
      </c>
      <c r="CN2247" s="67">
        <f>(CS2247*1000000)/(100*100*CI2247*AA2247/100*1000000)*100</f>
        <v>1.2900000000000003</v>
      </c>
      <c r="CO2247" s="67"/>
      <c r="CP2247" s="67"/>
      <c r="CQ2247" s="67"/>
      <c r="CR2247" s="67">
        <v>32.391216</v>
      </c>
      <c r="CS2247" s="67">
        <v>35.713392000000006</v>
      </c>
      <c r="CT2247" s="67"/>
      <c r="CU2247" s="67"/>
      <c r="CV2247" s="67" t="s">
        <v>2052</v>
      </c>
      <c r="CW2247" s="67"/>
      <c r="CX2247" s="67"/>
      <c r="CY2247" s="67"/>
      <c r="CZ2247" s="67"/>
      <c r="DA2247" s="67" t="s">
        <v>4463</v>
      </c>
      <c r="DB2247" s="67"/>
      <c r="DC2247" s="67"/>
      <c r="DD2247" s="67"/>
      <c r="DE2247" s="67"/>
      <c r="DF2247" s="67"/>
      <c r="DG2247" s="67"/>
      <c r="DH2247" s="67"/>
      <c r="DI2247" s="67"/>
      <c r="DJ2247" s="67"/>
      <c r="DK2247" s="67"/>
      <c r="DL2247" s="67"/>
      <c r="DM2247" s="67"/>
      <c r="DN2247" s="67"/>
      <c r="DO2247" s="67"/>
      <c r="DP2247" s="67"/>
      <c r="DQ2247" s="166"/>
      <c r="DR2247" s="166"/>
      <c r="DS2247" s="163"/>
      <c r="DT2247" s="163"/>
      <c r="DU2247" s="67"/>
      <c r="DV2247" s="67"/>
      <c r="DW2247" s="67"/>
      <c r="DX2247" s="67"/>
      <c r="DY2247" s="67"/>
      <c r="DZ2247" s="67"/>
      <c r="EA2247" s="67"/>
      <c r="EB2247" s="67"/>
      <c r="EC2247" s="67"/>
      <c r="ED2247" s="67"/>
      <c r="EE2247" s="67"/>
      <c r="EF2247" s="67"/>
      <c r="EG2247" s="67"/>
      <c r="EH2247" s="67"/>
      <c r="EI2247" s="67"/>
      <c r="EJ2247" s="67"/>
      <c r="EK2247" s="94"/>
      <c r="EL2247" s="94"/>
      <c r="EM2247" s="67"/>
      <c r="EN2247" s="67"/>
      <c r="EO2247" s="67"/>
      <c r="EP2247" s="67"/>
      <c r="EQ2247" s="67"/>
      <c r="ER2247" s="67"/>
      <c r="ES2247" s="67"/>
      <c r="ET2247" s="67"/>
      <c r="EU2247" s="67"/>
      <c r="EV2247" s="67"/>
      <c r="EW2247" s="67"/>
      <c r="EX2247" s="67"/>
      <c r="EY2247" s="67"/>
      <c r="EZ2247" s="67"/>
      <c r="FA2247" s="67"/>
      <c r="FB2247" s="67"/>
      <c r="FC2247" s="67"/>
      <c r="FD2247" s="67"/>
      <c r="FE2247" s="67"/>
      <c r="FF2247" s="67"/>
      <c r="FG2247" s="67"/>
      <c r="FH2247" s="67"/>
      <c r="FI2247" s="67"/>
      <c r="FJ2247" s="67"/>
      <c r="FK2247" s="67"/>
      <c r="FL2247" s="67"/>
      <c r="FM2247" s="67"/>
      <c r="FN2247" s="67"/>
      <c r="FO2247" s="67"/>
      <c r="FP2247" s="67"/>
      <c r="FQ2247" s="67"/>
      <c r="FR2247" s="67"/>
      <c r="FS2247" s="67"/>
      <c r="FT2247" s="67"/>
      <c r="FU2247" s="67"/>
      <c r="FV2247" s="67"/>
      <c r="FW2247" s="67"/>
      <c r="FX2247" s="67"/>
      <c r="FY2247" s="67"/>
      <c r="FZ2247" s="67"/>
      <c r="GA2247" s="67"/>
      <c r="GB2247" s="67"/>
      <c r="GC2247" s="67"/>
      <c r="GD2247" s="67"/>
      <c r="GE2247" s="67"/>
      <c r="GF2247" s="67"/>
      <c r="GG2247" s="67"/>
      <c r="GH2247" s="67"/>
      <c r="GI2247" s="67"/>
      <c r="GJ2247" s="67"/>
      <c r="GK2247" s="67"/>
      <c r="GL2247" s="67"/>
      <c r="GM2247" s="67"/>
      <c r="GN2247" s="292"/>
      <c r="GO2247" s="292"/>
      <c r="GP2247" s="292" t="s">
        <v>7494</v>
      </c>
      <c r="GQ2247" s="67"/>
      <c r="GR2247" s="67"/>
      <c r="GS2247" s="67"/>
      <c r="GT2247" s="67"/>
      <c r="GU2247" s="67"/>
      <c r="GV2247" s="67"/>
      <c r="GW2247" s="67"/>
      <c r="GX2247" s="67"/>
      <c r="GY2247" s="67"/>
      <c r="GZ2247" s="67"/>
      <c r="HA2247" s="67"/>
      <c r="HB2247" s="67"/>
      <c r="HC2247" s="67"/>
      <c r="HD2247" s="67"/>
      <c r="HE2247" s="67"/>
      <c r="HF2247" s="67"/>
      <c r="HG2247" s="67"/>
      <c r="HH2247" s="67"/>
      <c r="HI2247" s="67"/>
      <c r="HJ2247" s="67"/>
      <c r="HK2247" s="67"/>
      <c r="HL2247" s="67"/>
      <c r="HM2247" s="67"/>
      <c r="HN2247" s="67"/>
      <c r="HO2247" s="67"/>
      <c r="HP2247" s="67"/>
      <c r="HQ2247" s="67"/>
      <c r="HR2247" s="67"/>
      <c r="HS2247" s="67"/>
      <c r="HT2247" s="67"/>
      <c r="HU2247" s="67"/>
      <c r="HV2247" s="67"/>
      <c r="HW2247" s="67"/>
      <c r="HX2247" s="67"/>
      <c r="HY2247" s="67"/>
      <c r="HZ2247" s="67"/>
      <c r="IA2247" s="67"/>
      <c r="IB2247" s="67"/>
      <c r="IC2247" s="67"/>
      <c r="ID2247" s="67"/>
      <c r="IE2247" s="67"/>
      <c r="IF2247" s="67"/>
      <c r="IG2247" s="67"/>
      <c r="IH2247" s="67"/>
      <c r="II2247" s="67"/>
      <c r="IJ2247" s="67"/>
      <c r="IK2247" s="67"/>
      <c r="IL2247" s="67"/>
      <c r="IM2247" s="67"/>
      <c r="IN2247" s="67"/>
      <c r="IO2247" s="67"/>
      <c r="IP2247" s="67"/>
      <c r="IQ2247" s="67"/>
      <c r="IR2247" s="67"/>
      <c r="IS2247" s="67"/>
      <c r="IT2247" s="67"/>
      <c r="IU2247" s="67"/>
      <c r="IV2247" s="67"/>
      <c r="IW2247" s="67"/>
      <c r="IX2247" s="67"/>
      <c r="IY2247" s="67"/>
      <c r="IZ2247" s="67"/>
      <c r="JA2247" s="67"/>
      <c r="JB2247" s="67"/>
      <c r="JC2247" s="67"/>
      <c r="JD2247" s="67"/>
      <c r="JE2247" s="67"/>
      <c r="JF2247" s="67"/>
      <c r="JG2247" s="67"/>
      <c r="JH2247" s="67"/>
      <c r="JI2247" s="67"/>
      <c r="JJ2247" s="67"/>
      <c r="JK2247" s="67"/>
      <c r="JL2247" s="67"/>
      <c r="JM2247" s="67"/>
      <c r="JN2247" s="67"/>
      <c r="JO2247" s="67"/>
      <c r="JP2247" s="67"/>
      <c r="JQ2247" s="67"/>
      <c r="JR2247" s="67"/>
      <c r="JS2247" s="67"/>
      <c r="JT2247" s="67"/>
      <c r="JU2247" s="58"/>
      <c r="JV2247" s="58"/>
      <c r="JW2247" s="58"/>
    </row>
    <row r="2248" spans="1:283" s="23" customFormat="1" x14ac:dyDescent="0.25">
      <c r="A2248" s="55">
        <v>2247</v>
      </c>
      <c r="B2248" s="12" t="s">
        <v>7067</v>
      </c>
      <c r="C2248" s="156">
        <v>109</v>
      </c>
      <c r="D2248" s="58" t="s">
        <v>4193</v>
      </c>
      <c r="E2248" s="94" t="s">
        <v>2166</v>
      </c>
      <c r="F2248" s="94"/>
      <c r="G2248" s="58" t="s">
        <v>2262</v>
      </c>
      <c r="H2248" s="58">
        <v>2004</v>
      </c>
      <c r="I2248" s="58">
        <v>1999</v>
      </c>
      <c r="J2248" s="58" t="s">
        <v>2167</v>
      </c>
      <c r="K2248" s="58" t="s">
        <v>2168</v>
      </c>
      <c r="L2248" s="58" t="s">
        <v>2743</v>
      </c>
      <c r="M2248" s="94">
        <v>55.47</v>
      </c>
      <c r="N2248" s="94">
        <v>9.1</v>
      </c>
      <c r="O2248" s="94">
        <v>45</v>
      </c>
      <c r="P2248" s="58">
        <v>7.6</v>
      </c>
      <c r="Q2248" s="58"/>
      <c r="R2248" s="58">
        <v>862</v>
      </c>
      <c r="S2248" s="94"/>
      <c r="T2248" s="58"/>
      <c r="U2248" s="58">
        <v>19</v>
      </c>
      <c r="V2248" s="58">
        <v>22</v>
      </c>
      <c r="W2248" s="174"/>
      <c r="X2248" s="174"/>
      <c r="Y2248" s="58" t="s">
        <v>2263</v>
      </c>
      <c r="Z2248" s="58" t="s">
        <v>1346</v>
      </c>
      <c r="AA2248" s="94">
        <v>20</v>
      </c>
      <c r="AB2248" s="67"/>
      <c r="AC2248" s="67"/>
      <c r="AD2248" s="94">
        <v>1.3772800000000001</v>
      </c>
      <c r="AE2248" s="94">
        <v>69</v>
      </c>
      <c r="AF2248" s="94">
        <v>16</v>
      </c>
      <c r="AG2248" s="94"/>
      <c r="AH2248" s="58" t="s">
        <v>238</v>
      </c>
      <c r="AI2248" s="169"/>
      <c r="AJ2248" s="94"/>
      <c r="AK2248" s="94"/>
      <c r="AL2248" s="58"/>
      <c r="AM2248" s="58" t="s">
        <v>2169</v>
      </c>
      <c r="AN2248" s="186" t="s">
        <v>2170</v>
      </c>
      <c r="AO2248" s="185" t="s">
        <v>5150</v>
      </c>
      <c r="AP2248" s="58"/>
      <c r="AQ2248" s="58" t="s">
        <v>131</v>
      </c>
      <c r="AR2248" s="58" t="s">
        <v>2171</v>
      </c>
      <c r="AS2248" s="55" t="s">
        <v>5133</v>
      </c>
      <c r="AT2248" s="182"/>
      <c r="AU2248" s="181" t="s">
        <v>7494</v>
      </c>
      <c r="AV2248" s="185" t="s">
        <v>176</v>
      </c>
      <c r="AW2248" s="58"/>
      <c r="AX2248" s="185" t="s">
        <v>176</v>
      </c>
      <c r="AY2248" s="58"/>
      <c r="AZ2248" s="58" t="s">
        <v>2172</v>
      </c>
      <c r="BA2248" s="58"/>
      <c r="BB2248" s="58" t="s">
        <v>2081</v>
      </c>
      <c r="BC2248" s="58" t="s">
        <v>2081</v>
      </c>
      <c r="BD2248" s="58"/>
      <c r="BE2248" s="236" t="s">
        <v>2173</v>
      </c>
      <c r="BF2248" s="58"/>
      <c r="BG2248" s="191" t="s">
        <v>479</v>
      </c>
      <c r="BH2248" s="236"/>
      <c r="BI2248" s="58"/>
      <c r="BJ2248" s="58"/>
      <c r="BK2248" s="58" t="s">
        <v>5976</v>
      </c>
      <c r="BL2248" s="58"/>
      <c r="BM2248" s="237" t="s">
        <v>160</v>
      </c>
      <c r="BN2248" s="58"/>
      <c r="BO2248" s="58"/>
      <c r="BP2248" s="58"/>
      <c r="BQ2248" s="58"/>
      <c r="BR2248" s="58"/>
      <c r="BS2248" s="58"/>
      <c r="BT2248" s="58"/>
      <c r="BU2248" s="58"/>
      <c r="BV2248" s="58"/>
      <c r="BW2248" s="67"/>
      <c r="BX2248" s="67"/>
      <c r="BY2248" s="67"/>
      <c r="BZ2248" s="67"/>
      <c r="CA2248" s="67"/>
      <c r="CB2248" s="68"/>
      <c r="CC2248" s="68"/>
      <c r="CD2248" s="68"/>
      <c r="CE2248" s="67"/>
      <c r="CF2248" s="67"/>
      <c r="CG2248" s="67"/>
      <c r="CH2248" s="94">
        <v>1.3772800000000001</v>
      </c>
      <c r="CI2248" s="94">
        <v>1.35466</v>
      </c>
      <c r="CJ2248" s="67"/>
      <c r="CK2248" s="67"/>
      <c r="CL2248" s="67"/>
      <c r="CM2248" s="67">
        <f>(CR2248*1000000)/(100*100*CH2248*AA2248/100*1000000)*100</f>
        <v>1.3081565113847584</v>
      </c>
      <c r="CN2248" s="67">
        <f>(CS2248*1000000)/(100*100*CI2248*AA2248/100*1000000)*100</f>
        <v>1.46</v>
      </c>
      <c r="CO2248" s="67"/>
      <c r="CP2248" s="67"/>
      <c r="CQ2248" s="67"/>
      <c r="CR2248" s="67">
        <v>36.033956000000003</v>
      </c>
      <c r="CS2248" s="67">
        <v>39.556072</v>
      </c>
      <c r="CT2248" s="67"/>
      <c r="CU2248" s="67"/>
      <c r="CV2248" s="67" t="s">
        <v>2052</v>
      </c>
      <c r="CW2248" s="67"/>
      <c r="CX2248" s="67"/>
      <c r="CY2248" s="67"/>
      <c r="CZ2248" s="67"/>
      <c r="DA2248" s="67" t="s">
        <v>4463</v>
      </c>
      <c r="DB2248" s="67"/>
      <c r="DC2248" s="67"/>
      <c r="DD2248" s="67"/>
      <c r="DE2248" s="67"/>
      <c r="DF2248" s="67"/>
      <c r="DG2248" s="67"/>
      <c r="DH2248" s="67"/>
      <c r="DI2248" s="67"/>
      <c r="DJ2248" s="67"/>
      <c r="DK2248" s="67"/>
      <c r="DL2248" s="67"/>
      <c r="DM2248" s="67"/>
      <c r="DN2248" s="67"/>
      <c r="DO2248" s="67"/>
      <c r="DP2248" s="67"/>
      <c r="DQ2248" s="166"/>
      <c r="DR2248" s="166"/>
      <c r="DS2248" s="163"/>
      <c r="DT2248" s="163"/>
      <c r="DU2248" s="67"/>
      <c r="DV2248" s="67"/>
      <c r="DW2248" s="67"/>
      <c r="DX2248" s="67"/>
      <c r="DY2248" s="67"/>
      <c r="DZ2248" s="67"/>
      <c r="EA2248" s="67"/>
      <c r="EB2248" s="67"/>
      <c r="EC2248" s="67"/>
      <c r="ED2248" s="67"/>
      <c r="EE2248" s="67"/>
      <c r="EF2248" s="67"/>
      <c r="EG2248" s="67"/>
      <c r="EH2248" s="67"/>
      <c r="EI2248" s="67"/>
      <c r="EJ2248" s="67"/>
      <c r="EK2248" s="94"/>
      <c r="EL2248" s="94"/>
      <c r="EM2248" s="67"/>
      <c r="EN2248" s="67"/>
      <c r="EO2248" s="67"/>
      <c r="EP2248" s="67"/>
      <c r="EQ2248" s="67"/>
      <c r="ER2248" s="67"/>
      <c r="ES2248" s="67"/>
      <c r="ET2248" s="67"/>
      <c r="EU2248" s="67"/>
      <c r="EV2248" s="67"/>
      <c r="EW2248" s="67"/>
      <c r="EX2248" s="67"/>
      <c r="EY2248" s="67"/>
      <c r="EZ2248" s="67"/>
      <c r="FA2248" s="67"/>
      <c r="FB2248" s="67"/>
      <c r="FC2248" s="67"/>
      <c r="FD2248" s="67"/>
      <c r="FE2248" s="67"/>
      <c r="FF2248" s="67"/>
      <c r="FG2248" s="67"/>
      <c r="FH2248" s="67"/>
      <c r="FI2248" s="67"/>
      <c r="FJ2248" s="67"/>
      <c r="FK2248" s="67"/>
      <c r="FL2248" s="67"/>
      <c r="FM2248" s="67"/>
      <c r="FN2248" s="67"/>
      <c r="FO2248" s="67"/>
      <c r="FP2248" s="67"/>
      <c r="FQ2248" s="67"/>
      <c r="FR2248" s="67"/>
      <c r="FS2248" s="67"/>
      <c r="FT2248" s="67"/>
      <c r="FU2248" s="67"/>
      <c r="FV2248" s="67"/>
      <c r="FW2248" s="67"/>
      <c r="FX2248" s="67"/>
      <c r="FY2248" s="67"/>
      <c r="FZ2248" s="67"/>
      <c r="GA2248" s="67"/>
      <c r="GB2248" s="67"/>
      <c r="GC2248" s="67"/>
      <c r="GD2248" s="67"/>
      <c r="GE2248" s="67"/>
      <c r="GF2248" s="67"/>
      <c r="GG2248" s="67"/>
      <c r="GH2248" s="67"/>
      <c r="GI2248" s="67"/>
      <c r="GJ2248" s="67"/>
      <c r="GK2248" s="67"/>
      <c r="GL2248" s="67"/>
      <c r="GM2248" s="67"/>
      <c r="GN2248" s="292"/>
      <c r="GO2248" s="292"/>
      <c r="GP2248" s="292" t="s">
        <v>7494</v>
      </c>
      <c r="GQ2248" s="67"/>
      <c r="GR2248" s="67"/>
      <c r="GS2248" s="67"/>
      <c r="GT2248" s="67"/>
      <c r="GU2248" s="67"/>
      <c r="GV2248" s="67"/>
      <c r="GW2248" s="67"/>
      <c r="GX2248" s="67"/>
      <c r="GY2248" s="67"/>
      <c r="GZ2248" s="67"/>
      <c r="HA2248" s="67"/>
      <c r="HB2248" s="67"/>
      <c r="HC2248" s="67"/>
      <c r="HD2248" s="67"/>
      <c r="HE2248" s="67"/>
      <c r="HF2248" s="67"/>
      <c r="HG2248" s="67"/>
      <c r="HH2248" s="67"/>
      <c r="HI2248" s="67"/>
      <c r="HJ2248" s="67"/>
      <c r="HK2248" s="67"/>
      <c r="HL2248" s="67"/>
      <c r="HM2248" s="67"/>
      <c r="HN2248" s="67"/>
      <c r="HO2248" s="67"/>
      <c r="HP2248" s="67"/>
      <c r="HQ2248" s="67"/>
      <c r="HR2248" s="67"/>
      <c r="HS2248" s="67"/>
      <c r="HT2248" s="67"/>
      <c r="HU2248" s="67"/>
      <c r="HV2248" s="67"/>
      <c r="HW2248" s="67"/>
      <c r="HX2248" s="67"/>
      <c r="HY2248" s="67"/>
      <c r="HZ2248" s="67"/>
      <c r="IA2248" s="67"/>
      <c r="IB2248" s="67"/>
      <c r="IC2248" s="67"/>
      <c r="ID2248" s="67"/>
      <c r="IE2248" s="67"/>
      <c r="IF2248" s="67"/>
      <c r="IG2248" s="67"/>
      <c r="IH2248" s="67"/>
      <c r="II2248" s="67"/>
      <c r="IJ2248" s="67"/>
      <c r="IK2248" s="67"/>
      <c r="IL2248" s="67"/>
      <c r="IM2248" s="67"/>
      <c r="IN2248" s="67"/>
      <c r="IO2248" s="67"/>
      <c r="IP2248" s="67"/>
      <c r="IQ2248" s="67"/>
      <c r="IR2248" s="67"/>
      <c r="IS2248" s="67"/>
      <c r="IT2248" s="67"/>
      <c r="IU2248" s="67"/>
      <c r="IV2248" s="67"/>
      <c r="IW2248" s="67"/>
      <c r="IX2248" s="67"/>
      <c r="IY2248" s="67"/>
      <c r="IZ2248" s="67"/>
      <c r="JA2248" s="67"/>
      <c r="JB2248" s="67"/>
      <c r="JC2248" s="67"/>
      <c r="JD2248" s="67"/>
      <c r="JE2248" s="67"/>
      <c r="JF2248" s="67"/>
      <c r="JG2248" s="67"/>
      <c r="JH2248" s="67"/>
      <c r="JI2248" s="67"/>
      <c r="JJ2248" s="67"/>
      <c r="JK2248" s="67"/>
      <c r="JL2248" s="67"/>
      <c r="JM2248" s="67"/>
      <c r="JN2248" s="67"/>
      <c r="JO2248" s="67"/>
      <c r="JP2248" s="67"/>
      <c r="JQ2248" s="67"/>
      <c r="JR2248" s="67"/>
      <c r="JS2248" s="67"/>
      <c r="JT2248" s="67"/>
      <c r="JU2248" s="58"/>
      <c r="JV2248" s="58"/>
      <c r="JW2248" s="58"/>
    </row>
    <row r="2249" spans="1:283" s="23" customFormat="1" x14ac:dyDescent="0.25">
      <c r="A2249" s="55">
        <v>2248</v>
      </c>
      <c r="B2249" s="12" t="s">
        <v>7067</v>
      </c>
      <c r="C2249" s="156">
        <v>109</v>
      </c>
      <c r="D2249" s="58" t="s">
        <v>4193</v>
      </c>
      <c r="E2249" s="94" t="s">
        <v>2166</v>
      </c>
      <c r="F2249" s="94"/>
      <c r="G2249" s="58" t="s">
        <v>2262</v>
      </c>
      <c r="H2249" s="58">
        <v>2004</v>
      </c>
      <c r="I2249" s="58">
        <v>1999</v>
      </c>
      <c r="J2249" s="58" t="s">
        <v>2167</v>
      </c>
      <c r="K2249" s="58" t="s">
        <v>2168</v>
      </c>
      <c r="L2249" s="58" t="s">
        <v>2743</v>
      </c>
      <c r="M2249" s="94">
        <v>55.47</v>
      </c>
      <c r="N2249" s="94">
        <v>9.1</v>
      </c>
      <c r="O2249" s="94">
        <v>45</v>
      </c>
      <c r="P2249" s="58">
        <v>7.6</v>
      </c>
      <c r="Q2249" s="58"/>
      <c r="R2249" s="58">
        <v>862</v>
      </c>
      <c r="S2249" s="94"/>
      <c r="T2249" s="58"/>
      <c r="U2249" s="58">
        <v>19</v>
      </c>
      <c r="V2249" s="58">
        <v>22</v>
      </c>
      <c r="W2249" s="174"/>
      <c r="X2249" s="174"/>
      <c r="Y2249" s="58" t="s">
        <v>2263</v>
      </c>
      <c r="Z2249" s="58" t="s">
        <v>1346</v>
      </c>
      <c r="AA2249" s="94">
        <v>20</v>
      </c>
      <c r="AB2249" s="67"/>
      <c r="AC2249" s="67"/>
      <c r="AD2249" s="94">
        <v>1.3529200000000001</v>
      </c>
      <c r="AE2249" s="94">
        <v>69</v>
      </c>
      <c r="AF2249" s="94">
        <v>16</v>
      </c>
      <c r="AG2249" s="94"/>
      <c r="AH2249" s="58" t="s">
        <v>238</v>
      </c>
      <c r="AI2249" s="169"/>
      <c r="AJ2249" s="94"/>
      <c r="AK2249" s="94"/>
      <c r="AL2249" s="58"/>
      <c r="AM2249" s="58" t="s">
        <v>2169</v>
      </c>
      <c r="AN2249" s="186" t="s">
        <v>2170</v>
      </c>
      <c r="AO2249" s="185" t="s">
        <v>5150</v>
      </c>
      <c r="AP2249" s="58"/>
      <c r="AQ2249" s="58" t="s">
        <v>131</v>
      </c>
      <c r="AR2249" s="58" t="s">
        <v>2171</v>
      </c>
      <c r="AS2249" s="55" t="s">
        <v>5133</v>
      </c>
      <c r="AT2249" s="182"/>
      <c r="AU2249" s="181" t="s">
        <v>7494</v>
      </c>
      <c r="AV2249" s="185" t="s">
        <v>176</v>
      </c>
      <c r="AW2249" s="58"/>
      <c r="AX2249" s="185" t="s">
        <v>176</v>
      </c>
      <c r="AY2249" s="58"/>
      <c r="AZ2249" s="58" t="s">
        <v>2172</v>
      </c>
      <c r="BA2249" s="58"/>
      <c r="BB2249" s="58" t="s">
        <v>2081</v>
      </c>
      <c r="BC2249" s="58" t="s">
        <v>2081</v>
      </c>
      <c r="BD2249" s="58"/>
      <c r="BE2249" s="236" t="s">
        <v>2173</v>
      </c>
      <c r="BF2249" s="58"/>
      <c r="BG2249" s="191" t="s">
        <v>479</v>
      </c>
      <c r="BH2249" s="236"/>
      <c r="BI2249" s="58"/>
      <c r="BJ2249" s="58"/>
      <c r="BK2249" s="58" t="s">
        <v>5976</v>
      </c>
      <c r="BL2249" s="58"/>
      <c r="BM2249" s="237" t="s">
        <v>160</v>
      </c>
      <c r="BN2249" s="58"/>
      <c r="BO2249" s="58"/>
      <c r="BP2249" s="58"/>
      <c r="BQ2249" s="58"/>
      <c r="BR2249" s="58"/>
      <c r="BS2249" s="58"/>
      <c r="BT2249" s="58"/>
      <c r="BU2249" s="58"/>
      <c r="BV2249" s="58"/>
      <c r="BW2249" s="67"/>
      <c r="BX2249" s="67"/>
      <c r="BY2249" s="67"/>
      <c r="BZ2249" s="67"/>
      <c r="CA2249" s="67"/>
      <c r="CB2249" s="68"/>
      <c r="CC2249" s="68"/>
      <c r="CD2249" s="68"/>
      <c r="CE2249" s="67"/>
      <c r="CF2249" s="67"/>
      <c r="CG2249" s="67"/>
      <c r="CH2249" s="94">
        <v>1.3529200000000001</v>
      </c>
      <c r="CI2249" s="94">
        <v>1.3372600000000001</v>
      </c>
      <c r="CJ2249" s="67"/>
      <c r="CK2249" s="67"/>
      <c r="CL2249" s="67"/>
      <c r="CM2249" s="67">
        <f>(CR2249*1000000)/(100*100*CH2249*AA2249/100*1000000)*100</f>
        <v>1.4529848032403985</v>
      </c>
      <c r="CN2249" s="67">
        <f>(CS2249*1000000)/(100*100*CI2249*AA2249/100*1000000)*100</f>
        <v>1.5600000000000003</v>
      </c>
      <c r="CO2249" s="67"/>
      <c r="CP2249" s="67"/>
      <c r="CQ2249" s="67"/>
      <c r="CR2249" s="67">
        <v>39.315443999999999</v>
      </c>
      <c r="CS2249" s="67">
        <v>41.722512000000009</v>
      </c>
      <c r="CT2249" s="67"/>
      <c r="CU2249" s="67"/>
      <c r="CV2249" s="67" t="s">
        <v>2052</v>
      </c>
      <c r="CW2249" s="67"/>
      <c r="CX2249" s="67"/>
      <c r="CY2249" s="67"/>
      <c r="CZ2249" s="67"/>
      <c r="DA2249" s="67" t="s">
        <v>4463</v>
      </c>
      <c r="DB2249" s="67"/>
      <c r="DC2249" s="67"/>
      <c r="DD2249" s="67"/>
      <c r="DE2249" s="67"/>
      <c r="DF2249" s="67"/>
      <c r="DG2249" s="67"/>
      <c r="DH2249" s="67"/>
      <c r="DI2249" s="67"/>
      <c r="DJ2249" s="67"/>
      <c r="DK2249" s="67"/>
      <c r="DL2249" s="67"/>
      <c r="DM2249" s="67"/>
      <c r="DN2249" s="67"/>
      <c r="DO2249" s="67"/>
      <c r="DP2249" s="67"/>
      <c r="DQ2249" s="166"/>
      <c r="DR2249" s="166"/>
      <c r="DS2249" s="163"/>
      <c r="DT2249" s="163"/>
      <c r="DU2249" s="67"/>
      <c r="DV2249" s="67"/>
      <c r="DW2249" s="67"/>
      <c r="DX2249" s="67"/>
      <c r="DY2249" s="67"/>
      <c r="DZ2249" s="67"/>
      <c r="EA2249" s="67"/>
      <c r="EB2249" s="67"/>
      <c r="EC2249" s="67"/>
      <c r="ED2249" s="67"/>
      <c r="EE2249" s="67"/>
      <c r="EF2249" s="67"/>
      <c r="EG2249" s="67"/>
      <c r="EH2249" s="67"/>
      <c r="EI2249" s="67"/>
      <c r="EJ2249" s="67"/>
      <c r="EK2249" s="94"/>
      <c r="EL2249" s="94"/>
      <c r="EM2249" s="67"/>
      <c r="EN2249" s="67"/>
      <c r="EO2249" s="67"/>
      <c r="EP2249" s="67"/>
      <c r="EQ2249" s="67"/>
      <c r="ER2249" s="67"/>
      <c r="ES2249" s="67"/>
      <c r="ET2249" s="67"/>
      <c r="EU2249" s="67"/>
      <c r="EV2249" s="67"/>
      <c r="EW2249" s="67"/>
      <c r="EX2249" s="67"/>
      <c r="EY2249" s="67"/>
      <c r="EZ2249" s="67"/>
      <c r="FA2249" s="67"/>
      <c r="FB2249" s="67"/>
      <c r="FC2249" s="67"/>
      <c r="FD2249" s="67"/>
      <c r="FE2249" s="67"/>
      <c r="FF2249" s="67"/>
      <c r="FG2249" s="67"/>
      <c r="FH2249" s="67"/>
      <c r="FI2249" s="67"/>
      <c r="FJ2249" s="67"/>
      <c r="FK2249" s="67"/>
      <c r="FL2249" s="67"/>
      <c r="FM2249" s="67"/>
      <c r="FN2249" s="67"/>
      <c r="FO2249" s="67"/>
      <c r="FP2249" s="67"/>
      <c r="FQ2249" s="67"/>
      <c r="FR2249" s="67"/>
      <c r="FS2249" s="67"/>
      <c r="FT2249" s="67"/>
      <c r="FU2249" s="67"/>
      <c r="FV2249" s="67"/>
      <c r="FW2249" s="67"/>
      <c r="FX2249" s="67"/>
      <c r="FY2249" s="67"/>
      <c r="FZ2249" s="67"/>
      <c r="GA2249" s="67"/>
      <c r="GB2249" s="67"/>
      <c r="GC2249" s="67"/>
      <c r="GD2249" s="67"/>
      <c r="GE2249" s="67"/>
      <c r="GF2249" s="67"/>
      <c r="GG2249" s="67"/>
      <c r="GH2249" s="67"/>
      <c r="GI2249" s="67"/>
      <c r="GJ2249" s="67"/>
      <c r="GK2249" s="67"/>
      <c r="GL2249" s="67"/>
      <c r="GM2249" s="67"/>
      <c r="GN2249" s="292"/>
      <c r="GO2249" s="292"/>
      <c r="GP2249" s="292" t="s">
        <v>7494</v>
      </c>
      <c r="GQ2249" s="67"/>
      <c r="GR2249" s="67"/>
      <c r="GS2249" s="67"/>
      <c r="GT2249" s="67"/>
      <c r="GU2249" s="67"/>
      <c r="GV2249" s="67"/>
      <c r="GW2249" s="67"/>
      <c r="GX2249" s="67"/>
      <c r="GY2249" s="67"/>
      <c r="GZ2249" s="67"/>
      <c r="HA2249" s="67"/>
      <c r="HB2249" s="67"/>
      <c r="HC2249" s="67"/>
      <c r="HD2249" s="67"/>
      <c r="HE2249" s="67"/>
      <c r="HF2249" s="67"/>
      <c r="HG2249" s="67"/>
      <c r="HH2249" s="67"/>
      <c r="HI2249" s="67"/>
      <c r="HJ2249" s="67"/>
      <c r="HK2249" s="67"/>
      <c r="HL2249" s="67"/>
      <c r="HM2249" s="67"/>
      <c r="HN2249" s="67"/>
      <c r="HO2249" s="67"/>
      <c r="HP2249" s="67"/>
      <c r="HQ2249" s="67"/>
      <c r="HR2249" s="67"/>
      <c r="HS2249" s="67"/>
      <c r="HT2249" s="67"/>
      <c r="HU2249" s="67"/>
      <c r="HV2249" s="67"/>
      <c r="HW2249" s="67"/>
      <c r="HX2249" s="67"/>
      <c r="HY2249" s="67"/>
      <c r="HZ2249" s="67"/>
      <c r="IA2249" s="67"/>
      <c r="IB2249" s="67"/>
      <c r="IC2249" s="67"/>
      <c r="ID2249" s="67"/>
      <c r="IE2249" s="67"/>
      <c r="IF2249" s="67"/>
      <c r="IG2249" s="67"/>
      <c r="IH2249" s="67"/>
      <c r="II2249" s="67"/>
      <c r="IJ2249" s="67"/>
      <c r="IK2249" s="67"/>
      <c r="IL2249" s="67"/>
      <c r="IM2249" s="67"/>
      <c r="IN2249" s="67"/>
      <c r="IO2249" s="67"/>
      <c r="IP2249" s="67"/>
      <c r="IQ2249" s="67"/>
      <c r="IR2249" s="67"/>
      <c r="IS2249" s="67"/>
      <c r="IT2249" s="67"/>
      <c r="IU2249" s="67"/>
      <c r="IV2249" s="67"/>
      <c r="IW2249" s="67"/>
      <c r="IX2249" s="67"/>
      <c r="IY2249" s="67"/>
      <c r="IZ2249" s="67"/>
      <c r="JA2249" s="67"/>
      <c r="JB2249" s="67"/>
      <c r="JC2249" s="67"/>
      <c r="JD2249" s="67"/>
      <c r="JE2249" s="67"/>
      <c r="JF2249" s="67"/>
      <c r="JG2249" s="67"/>
      <c r="JH2249" s="67"/>
      <c r="JI2249" s="67"/>
      <c r="JJ2249" s="67"/>
      <c r="JK2249" s="67"/>
      <c r="JL2249" s="67"/>
      <c r="JM2249" s="67"/>
      <c r="JN2249" s="67"/>
      <c r="JO2249" s="67"/>
      <c r="JP2249" s="67"/>
      <c r="JQ2249" s="67"/>
      <c r="JR2249" s="67"/>
      <c r="JS2249" s="67"/>
      <c r="JT2249" s="67"/>
      <c r="JU2249" s="58"/>
      <c r="JV2249" s="58"/>
      <c r="JW2249" s="58"/>
    </row>
    <row r="2250" spans="1:283" s="23" customFormat="1" x14ac:dyDescent="0.25">
      <c r="A2250" s="55">
        <v>2249</v>
      </c>
      <c r="B2250" s="12" t="s">
        <v>7067</v>
      </c>
      <c r="C2250" s="156">
        <v>109</v>
      </c>
      <c r="D2250" s="58" t="s">
        <v>4193</v>
      </c>
      <c r="E2250" s="94" t="s">
        <v>2166</v>
      </c>
      <c r="F2250" s="94"/>
      <c r="G2250" s="58" t="s">
        <v>2262</v>
      </c>
      <c r="H2250" s="58">
        <v>2004</v>
      </c>
      <c r="I2250" s="58">
        <v>1999</v>
      </c>
      <c r="J2250" s="58" t="s">
        <v>2167</v>
      </c>
      <c r="K2250" s="58" t="s">
        <v>2168</v>
      </c>
      <c r="L2250" s="58" t="s">
        <v>2743</v>
      </c>
      <c r="M2250" s="94">
        <v>55.47</v>
      </c>
      <c r="N2250" s="94">
        <v>9.1</v>
      </c>
      <c r="O2250" s="94">
        <v>45</v>
      </c>
      <c r="P2250" s="58">
        <v>7.6</v>
      </c>
      <c r="Q2250" s="58"/>
      <c r="R2250" s="58">
        <v>862</v>
      </c>
      <c r="S2250" s="94"/>
      <c r="T2250" s="58"/>
      <c r="U2250" s="58">
        <v>19</v>
      </c>
      <c r="V2250" s="58">
        <v>22</v>
      </c>
      <c r="W2250" s="174"/>
      <c r="X2250" s="174"/>
      <c r="Y2250" s="58" t="s">
        <v>2263</v>
      </c>
      <c r="Z2250" s="58" t="s">
        <v>1346</v>
      </c>
      <c r="AA2250" s="94">
        <v>20</v>
      </c>
      <c r="AB2250" s="67"/>
      <c r="AC2250" s="67"/>
      <c r="AD2250" s="94">
        <v>1.3303</v>
      </c>
      <c r="AE2250" s="94">
        <v>69</v>
      </c>
      <c r="AF2250" s="94">
        <v>16</v>
      </c>
      <c r="AG2250" s="94"/>
      <c r="AH2250" s="58" t="s">
        <v>238</v>
      </c>
      <c r="AI2250" s="169"/>
      <c r="AJ2250" s="94"/>
      <c r="AK2250" s="94"/>
      <c r="AL2250" s="58"/>
      <c r="AM2250" s="58" t="s">
        <v>2169</v>
      </c>
      <c r="AN2250" s="186" t="s">
        <v>2170</v>
      </c>
      <c r="AO2250" s="185" t="s">
        <v>5150</v>
      </c>
      <c r="AP2250" s="58"/>
      <c r="AQ2250" s="58" t="s">
        <v>131</v>
      </c>
      <c r="AR2250" s="58" t="s">
        <v>2171</v>
      </c>
      <c r="AS2250" s="55" t="s">
        <v>5133</v>
      </c>
      <c r="AT2250" s="182"/>
      <c r="AU2250" s="181" t="s">
        <v>7494</v>
      </c>
      <c r="AV2250" s="185" t="s">
        <v>176</v>
      </c>
      <c r="AW2250" s="58"/>
      <c r="AX2250" s="185" t="s">
        <v>176</v>
      </c>
      <c r="AY2250" s="58"/>
      <c r="AZ2250" s="58" t="s">
        <v>2172</v>
      </c>
      <c r="BA2250" s="58"/>
      <c r="BB2250" s="58" t="s">
        <v>2081</v>
      </c>
      <c r="BC2250" s="58" t="s">
        <v>2081</v>
      </c>
      <c r="BD2250" s="58"/>
      <c r="BE2250" s="236" t="s">
        <v>2173</v>
      </c>
      <c r="BF2250" s="58"/>
      <c r="BG2250" s="191" t="s">
        <v>479</v>
      </c>
      <c r="BH2250" s="236"/>
      <c r="BI2250" s="58"/>
      <c r="BJ2250" s="58"/>
      <c r="BK2250" s="58" t="s">
        <v>5976</v>
      </c>
      <c r="BL2250" s="58"/>
      <c r="BM2250" s="237" t="s">
        <v>160</v>
      </c>
      <c r="BN2250" s="58"/>
      <c r="BO2250" s="58"/>
      <c r="BP2250" s="58"/>
      <c r="BQ2250" s="58"/>
      <c r="BR2250" s="58"/>
      <c r="BS2250" s="58"/>
      <c r="BT2250" s="58"/>
      <c r="BU2250" s="58"/>
      <c r="BV2250" s="58"/>
      <c r="BW2250" s="67"/>
      <c r="BX2250" s="67"/>
      <c r="BY2250" s="67"/>
      <c r="BZ2250" s="67"/>
      <c r="CA2250" s="67"/>
      <c r="CB2250" s="68"/>
      <c r="CC2250" s="68"/>
      <c r="CD2250" s="68"/>
      <c r="CE2250" s="67"/>
      <c r="CF2250" s="67"/>
      <c r="CG2250" s="67"/>
      <c r="CH2250" s="94">
        <v>1.3303</v>
      </c>
      <c r="CI2250" s="94">
        <v>1.31812</v>
      </c>
      <c r="CJ2250" s="67"/>
      <c r="CK2250" s="67"/>
      <c r="CL2250" s="67"/>
      <c r="CM2250" s="67">
        <f>(CR2250*1000000)/(100*100*CH2250*AA2250/100*1000000)*100</f>
        <v>1.5853506727805757</v>
      </c>
      <c r="CN2250" s="67">
        <f>(CS2250*1000000)/(100*100*CI2250*AA2250/100*1000000)*100</f>
        <v>1.67</v>
      </c>
      <c r="CO2250" s="67"/>
      <c r="CP2250" s="67"/>
      <c r="CQ2250" s="67"/>
      <c r="CR2250" s="67">
        <v>42.179839999999999</v>
      </c>
      <c r="CS2250" s="67">
        <v>44.025207999999999</v>
      </c>
      <c r="CT2250" s="67"/>
      <c r="CU2250" s="67"/>
      <c r="CV2250" s="67" t="s">
        <v>2052</v>
      </c>
      <c r="CW2250" s="67"/>
      <c r="CX2250" s="67"/>
      <c r="CY2250" s="67"/>
      <c r="CZ2250" s="67"/>
      <c r="DA2250" s="67" t="s">
        <v>4463</v>
      </c>
      <c r="DB2250" s="67"/>
      <c r="DC2250" s="67"/>
      <c r="DD2250" s="67"/>
      <c r="DE2250" s="67"/>
      <c r="DF2250" s="67"/>
      <c r="DG2250" s="67"/>
      <c r="DH2250" s="67"/>
      <c r="DI2250" s="67"/>
      <c r="DJ2250" s="67"/>
      <c r="DK2250" s="67"/>
      <c r="DL2250" s="67"/>
      <c r="DM2250" s="67"/>
      <c r="DN2250" s="67"/>
      <c r="DO2250" s="67"/>
      <c r="DP2250" s="67"/>
      <c r="DQ2250" s="166"/>
      <c r="DR2250" s="166"/>
      <c r="DS2250" s="163"/>
      <c r="DT2250" s="163"/>
      <c r="DU2250" s="67"/>
      <c r="DV2250" s="67"/>
      <c r="DW2250" s="67"/>
      <c r="DX2250" s="67"/>
      <c r="DY2250" s="67"/>
      <c r="DZ2250" s="67"/>
      <c r="EA2250" s="67"/>
      <c r="EB2250" s="67"/>
      <c r="EC2250" s="67"/>
      <c r="ED2250" s="67"/>
      <c r="EE2250" s="67"/>
      <c r="EF2250" s="67"/>
      <c r="EG2250" s="67"/>
      <c r="EH2250" s="67"/>
      <c r="EI2250" s="67"/>
      <c r="EJ2250" s="67"/>
      <c r="EK2250" s="94"/>
      <c r="EL2250" s="94"/>
      <c r="EM2250" s="67"/>
      <c r="EN2250" s="67"/>
      <c r="EO2250" s="67"/>
      <c r="EP2250" s="67"/>
      <c r="EQ2250" s="67"/>
      <c r="ER2250" s="67"/>
      <c r="ES2250" s="67"/>
      <c r="ET2250" s="67"/>
      <c r="EU2250" s="67"/>
      <c r="EV2250" s="67"/>
      <c r="EW2250" s="67"/>
      <c r="EX2250" s="67"/>
      <c r="EY2250" s="67"/>
      <c r="EZ2250" s="67"/>
      <c r="FA2250" s="67"/>
      <c r="FB2250" s="67"/>
      <c r="FC2250" s="67"/>
      <c r="FD2250" s="67"/>
      <c r="FE2250" s="67"/>
      <c r="FF2250" s="67"/>
      <c r="FG2250" s="67"/>
      <c r="FH2250" s="67"/>
      <c r="FI2250" s="67"/>
      <c r="FJ2250" s="67"/>
      <c r="FK2250" s="67"/>
      <c r="FL2250" s="67"/>
      <c r="FM2250" s="67"/>
      <c r="FN2250" s="67"/>
      <c r="FO2250" s="67"/>
      <c r="FP2250" s="67"/>
      <c r="FQ2250" s="67"/>
      <c r="FR2250" s="67"/>
      <c r="FS2250" s="67"/>
      <c r="FT2250" s="67"/>
      <c r="FU2250" s="67"/>
      <c r="FV2250" s="67"/>
      <c r="FW2250" s="67"/>
      <c r="FX2250" s="67"/>
      <c r="FY2250" s="67"/>
      <c r="FZ2250" s="67"/>
      <c r="GA2250" s="67"/>
      <c r="GB2250" s="67"/>
      <c r="GC2250" s="67"/>
      <c r="GD2250" s="67"/>
      <c r="GE2250" s="67"/>
      <c r="GF2250" s="67"/>
      <c r="GG2250" s="67"/>
      <c r="GH2250" s="67"/>
      <c r="GI2250" s="67"/>
      <c r="GJ2250" s="67"/>
      <c r="GK2250" s="67"/>
      <c r="GL2250" s="67"/>
      <c r="GM2250" s="67"/>
      <c r="GN2250" s="292"/>
      <c r="GO2250" s="292"/>
      <c r="GP2250" s="292" t="s">
        <v>7494</v>
      </c>
      <c r="GQ2250" s="67"/>
      <c r="GR2250" s="67"/>
      <c r="GS2250" s="67"/>
      <c r="GT2250" s="67"/>
      <c r="GU2250" s="67"/>
      <c r="GV2250" s="67"/>
      <c r="GW2250" s="67"/>
      <c r="GX2250" s="67"/>
      <c r="GY2250" s="67"/>
      <c r="GZ2250" s="67"/>
      <c r="HA2250" s="67"/>
      <c r="HB2250" s="67"/>
      <c r="HC2250" s="67"/>
      <c r="HD2250" s="67"/>
      <c r="HE2250" s="67"/>
      <c r="HF2250" s="67"/>
      <c r="HG2250" s="67"/>
      <c r="HH2250" s="67"/>
      <c r="HI2250" s="67"/>
      <c r="HJ2250" s="67"/>
      <c r="HK2250" s="67"/>
      <c r="HL2250" s="67"/>
      <c r="HM2250" s="67"/>
      <c r="HN2250" s="67"/>
      <c r="HO2250" s="67"/>
      <c r="HP2250" s="67"/>
      <c r="HQ2250" s="67"/>
      <c r="HR2250" s="67"/>
      <c r="HS2250" s="67"/>
      <c r="HT2250" s="67"/>
      <c r="HU2250" s="67"/>
      <c r="HV2250" s="67"/>
      <c r="HW2250" s="67"/>
      <c r="HX2250" s="67"/>
      <c r="HY2250" s="67"/>
      <c r="HZ2250" s="67"/>
      <c r="IA2250" s="67"/>
      <c r="IB2250" s="67"/>
      <c r="IC2250" s="67"/>
      <c r="ID2250" s="67"/>
      <c r="IE2250" s="67"/>
      <c r="IF2250" s="67"/>
      <c r="IG2250" s="67"/>
      <c r="IH2250" s="67"/>
      <c r="II2250" s="67"/>
      <c r="IJ2250" s="67"/>
      <c r="IK2250" s="67"/>
      <c r="IL2250" s="67"/>
      <c r="IM2250" s="67"/>
      <c r="IN2250" s="67"/>
      <c r="IO2250" s="67"/>
      <c r="IP2250" s="67"/>
      <c r="IQ2250" s="67"/>
      <c r="IR2250" s="67"/>
      <c r="IS2250" s="67"/>
      <c r="IT2250" s="67"/>
      <c r="IU2250" s="67"/>
      <c r="IV2250" s="67"/>
      <c r="IW2250" s="67"/>
      <c r="IX2250" s="67"/>
      <c r="IY2250" s="67"/>
      <c r="IZ2250" s="67"/>
      <c r="JA2250" s="67"/>
      <c r="JB2250" s="67"/>
      <c r="JC2250" s="67"/>
      <c r="JD2250" s="67"/>
      <c r="JE2250" s="67"/>
      <c r="JF2250" s="67"/>
      <c r="JG2250" s="67"/>
      <c r="JH2250" s="67"/>
      <c r="JI2250" s="67"/>
      <c r="JJ2250" s="67"/>
      <c r="JK2250" s="67"/>
      <c r="JL2250" s="67"/>
      <c r="JM2250" s="67"/>
      <c r="JN2250" s="67"/>
      <c r="JO2250" s="67"/>
      <c r="JP2250" s="67"/>
      <c r="JQ2250" s="67"/>
      <c r="JR2250" s="67"/>
      <c r="JS2250" s="67"/>
      <c r="JT2250" s="67"/>
      <c r="JU2250" s="58"/>
      <c r="JV2250" s="58"/>
      <c r="JW2250" s="58"/>
    </row>
    <row r="2251" spans="1:283" s="23" customFormat="1" x14ac:dyDescent="0.25">
      <c r="A2251" s="55">
        <v>2250</v>
      </c>
      <c r="B2251" s="12" t="s">
        <v>7067</v>
      </c>
      <c r="C2251" s="156">
        <v>110</v>
      </c>
      <c r="D2251" s="58" t="s">
        <v>4194</v>
      </c>
      <c r="E2251" s="93" t="s">
        <v>2174</v>
      </c>
      <c r="F2251" s="93"/>
      <c r="G2251" s="58" t="s">
        <v>2264</v>
      </c>
      <c r="H2251" s="59">
        <v>1982</v>
      </c>
      <c r="I2251" s="58">
        <v>1978</v>
      </c>
      <c r="J2251" s="59" t="s">
        <v>1709</v>
      </c>
      <c r="K2251" s="59" t="s">
        <v>2265</v>
      </c>
      <c r="L2251" s="59" t="s">
        <v>2744</v>
      </c>
      <c r="M2251" s="94">
        <v>7.38</v>
      </c>
      <c r="N2251" s="94">
        <v>3.95</v>
      </c>
      <c r="O2251" s="93">
        <v>229.3</v>
      </c>
      <c r="P2251" s="59"/>
      <c r="Q2251" s="58"/>
      <c r="R2251" s="59"/>
      <c r="S2251" s="94"/>
      <c r="T2251" s="58"/>
      <c r="U2251" s="58">
        <v>4</v>
      </c>
      <c r="V2251" s="59">
        <v>4</v>
      </c>
      <c r="W2251" s="174"/>
      <c r="X2251" s="174"/>
      <c r="Y2251" s="58" t="s">
        <v>2266</v>
      </c>
      <c r="Z2251" s="58" t="s">
        <v>1349</v>
      </c>
      <c r="AA2251" s="94">
        <v>15</v>
      </c>
      <c r="AB2251" s="67"/>
      <c r="AC2251" s="67"/>
      <c r="AD2251" s="94">
        <v>1.31</v>
      </c>
      <c r="AE2251" s="93">
        <v>69.3</v>
      </c>
      <c r="AF2251" s="93">
        <v>9.5</v>
      </c>
      <c r="AG2251" s="93"/>
      <c r="AH2251" s="58" t="s">
        <v>238</v>
      </c>
      <c r="AI2251" s="169"/>
      <c r="AJ2251" s="94">
        <v>1.7</v>
      </c>
      <c r="AK2251" s="94"/>
      <c r="AL2251" s="58"/>
      <c r="AM2251" s="59" t="s">
        <v>2267</v>
      </c>
      <c r="AN2251" s="188" t="s">
        <v>2268</v>
      </c>
      <c r="AO2251" s="185" t="s">
        <v>5150</v>
      </c>
      <c r="AP2251" s="59"/>
      <c r="AQ2251" s="58" t="s">
        <v>1545</v>
      </c>
      <c r="AR2251" s="59" t="s">
        <v>1607</v>
      </c>
      <c r="AS2251" s="58" t="s">
        <v>132</v>
      </c>
      <c r="AT2251" s="182"/>
      <c r="AU2251" s="181" t="s">
        <v>7494</v>
      </c>
      <c r="AV2251" s="185" t="s">
        <v>176</v>
      </c>
      <c r="AW2251" s="58"/>
      <c r="AX2251" s="185" t="s">
        <v>176</v>
      </c>
      <c r="AY2251" s="58"/>
      <c r="AZ2251" s="59"/>
      <c r="BA2251" s="58"/>
      <c r="BB2251" s="58"/>
      <c r="BC2251" s="58"/>
      <c r="BD2251" s="58"/>
      <c r="BE2251" s="240"/>
      <c r="BF2251" s="59"/>
      <c r="BG2251" s="59"/>
      <c r="BH2251" s="236"/>
      <c r="BI2251" s="58"/>
      <c r="BJ2251" s="58"/>
      <c r="BK2251" s="58" t="s">
        <v>5976</v>
      </c>
      <c r="BL2251" s="58"/>
      <c r="BM2251" s="241" t="s">
        <v>160</v>
      </c>
      <c r="BN2251" s="58">
        <v>3</v>
      </c>
      <c r="BO2251" s="58">
        <v>3</v>
      </c>
      <c r="BP2251" s="59"/>
      <c r="BQ2251" s="58" t="s">
        <v>141</v>
      </c>
      <c r="BR2251" s="58"/>
      <c r="BS2251" s="58"/>
      <c r="BT2251" s="58"/>
      <c r="BU2251" s="58"/>
      <c r="BV2251" s="58"/>
      <c r="BW2251" s="67"/>
      <c r="BX2251" s="67"/>
      <c r="BY2251" s="67"/>
      <c r="BZ2251" s="67"/>
      <c r="CA2251" s="67"/>
      <c r="CB2251" s="153"/>
      <c r="CC2251" s="68"/>
      <c r="CD2251" s="68"/>
      <c r="CE2251" s="67"/>
      <c r="CF2251" s="67"/>
      <c r="CG2251" s="67"/>
      <c r="CH2251" s="94">
        <v>1.5</v>
      </c>
      <c r="CI2251" s="94">
        <v>1.33</v>
      </c>
      <c r="CJ2251" s="67"/>
      <c r="CK2251" s="67"/>
      <c r="CL2251" s="67"/>
      <c r="CM2251" s="67">
        <v>1.2</v>
      </c>
      <c r="CN2251" s="67">
        <v>1.5</v>
      </c>
      <c r="CO2251" s="67"/>
      <c r="CP2251" s="67"/>
      <c r="CQ2251" s="67" t="s">
        <v>164</v>
      </c>
      <c r="CR2251" s="67"/>
      <c r="CS2251" s="67"/>
      <c r="CT2251" s="67"/>
      <c r="CU2251" s="67"/>
      <c r="CV2251" s="67" t="s">
        <v>3039</v>
      </c>
      <c r="CW2251" s="67"/>
      <c r="CX2251" s="67"/>
      <c r="CY2251" s="67"/>
      <c r="CZ2251" s="67"/>
      <c r="DA2251" s="67" t="s">
        <v>4458</v>
      </c>
      <c r="DB2251" s="67">
        <v>0.12</v>
      </c>
      <c r="DC2251" s="67">
        <v>0.18</v>
      </c>
      <c r="DD2251" s="67"/>
      <c r="DE2251" s="67"/>
      <c r="DF2251" s="67" t="s">
        <v>164</v>
      </c>
      <c r="DG2251" s="67"/>
      <c r="DH2251" s="67"/>
      <c r="DI2251" s="67"/>
      <c r="DJ2251" s="67"/>
      <c r="DK2251" s="67"/>
      <c r="DL2251" s="67">
        <v>0.4</v>
      </c>
      <c r="DM2251" s="67">
        <v>0.9</v>
      </c>
      <c r="DN2251" s="67"/>
      <c r="DO2251" s="67"/>
      <c r="DP2251" s="67"/>
      <c r="DQ2251" s="166">
        <v>5.5</v>
      </c>
      <c r="DR2251" s="166">
        <v>5.2</v>
      </c>
      <c r="DS2251" s="163"/>
      <c r="DT2251" s="163"/>
      <c r="DU2251" s="67"/>
      <c r="DV2251" s="67">
        <f>4+0.8</f>
        <v>4.8</v>
      </c>
      <c r="DW2251" s="67">
        <f>6.2+1.3</f>
        <v>7.5</v>
      </c>
      <c r="DX2251" s="67"/>
      <c r="DY2251" s="67"/>
      <c r="DZ2251" s="67" t="s">
        <v>2270</v>
      </c>
      <c r="EA2251" s="67"/>
      <c r="EB2251" s="67"/>
      <c r="EC2251" s="67"/>
      <c r="ED2251" s="67"/>
      <c r="EE2251" s="67"/>
      <c r="EF2251" s="67"/>
      <c r="EG2251" s="67"/>
      <c r="EH2251" s="67"/>
      <c r="EI2251" s="67"/>
      <c r="EJ2251" s="67"/>
      <c r="EK2251" s="94"/>
      <c r="EL2251" s="94"/>
      <c r="EM2251" s="67"/>
      <c r="EN2251" s="67"/>
      <c r="EO2251" s="67"/>
      <c r="EP2251" s="67"/>
      <c r="EQ2251" s="67"/>
      <c r="ER2251" s="67"/>
      <c r="ES2251" s="67"/>
      <c r="ET2251" s="67"/>
      <c r="EU2251" s="67"/>
      <c r="EV2251" s="67"/>
      <c r="EW2251" s="67"/>
      <c r="EX2251" s="67"/>
      <c r="EY2251" s="67"/>
      <c r="EZ2251" s="67"/>
      <c r="FA2251" s="67"/>
      <c r="FB2251" s="67"/>
      <c r="FC2251" s="67"/>
      <c r="FD2251" s="67"/>
      <c r="FE2251" s="67"/>
      <c r="FF2251" s="67"/>
      <c r="FG2251" s="67"/>
      <c r="FH2251" s="67"/>
      <c r="FI2251" s="67"/>
      <c r="FJ2251" s="67"/>
      <c r="FK2251" s="67"/>
      <c r="FL2251" s="67"/>
      <c r="FM2251" s="67"/>
      <c r="FN2251" s="67"/>
      <c r="FO2251" s="67"/>
      <c r="FP2251" s="67"/>
      <c r="FQ2251" s="67"/>
      <c r="FR2251" s="67"/>
      <c r="FS2251" s="67"/>
      <c r="FT2251" s="67"/>
      <c r="FU2251" s="67"/>
      <c r="FV2251" s="67"/>
      <c r="FW2251" s="67"/>
      <c r="FX2251" s="67"/>
      <c r="FY2251" s="67"/>
      <c r="FZ2251" s="67"/>
      <c r="GA2251" s="67"/>
      <c r="GB2251" s="67"/>
      <c r="GC2251" s="67"/>
      <c r="GD2251" s="67"/>
      <c r="GE2251" s="67"/>
      <c r="GF2251" s="67"/>
      <c r="GG2251" s="67"/>
      <c r="GH2251" s="67"/>
      <c r="GI2251" s="67"/>
      <c r="GJ2251" s="67"/>
      <c r="GK2251" s="67"/>
      <c r="GL2251" s="67"/>
      <c r="GM2251" s="67"/>
      <c r="GN2251" s="292"/>
      <c r="GO2251" s="292"/>
      <c r="GP2251" s="292" t="s">
        <v>7494</v>
      </c>
      <c r="GQ2251" s="67"/>
      <c r="GR2251" s="67"/>
      <c r="GS2251" s="67"/>
      <c r="GT2251" s="67"/>
      <c r="GU2251" s="67"/>
      <c r="GV2251" s="67"/>
      <c r="GW2251" s="67"/>
      <c r="GX2251" s="67"/>
      <c r="GY2251" s="67"/>
      <c r="GZ2251" s="67"/>
      <c r="HA2251" s="67"/>
      <c r="HB2251" s="67"/>
      <c r="HC2251" s="67"/>
      <c r="HD2251" s="67"/>
      <c r="HE2251" s="67"/>
      <c r="HF2251" s="67"/>
      <c r="HG2251" s="67"/>
      <c r="HH2251" s="67"/>
      <c r="HI2251" s="67"/>
      <c r="HJ2251" s="67"/>
      <c r="HK2251" s="67"/>
      <c r="HL2251" s="67"/>
      <c r="HM2251" s="67"/>
      <c r="HN2251" s="67"/>
      <c r="HO2251" s="67"/>
      <c r="HP2251" s="67"/>
      <c r="HQ2251" s="67"/>
      <c r="HR2251" s="67"/>
      <c r="HS2251" s="67"/>
      <c r="HT2251" s="67"/>
      <c r="HU2251" s="67"/>
      <c r="HV2251" s="67"/>
      <c r="HW2251" s="67"/>
      <c r="HX2251" s="67"/>
      <c r="HY2251" s="67"/>
      <c r="HZ2251" s="67"/>
      <c r="IA2251" s="67"/>
      <c r="IB2251" s="67"/>
      <c r="IC2251" s="67"/>
      <c r="ID2251" s="67"/>
      <c r="IE2251" s="67"/>
      <c r="IF2251" s="67"/>
      <c r="IG2251" s="67"/>
      <c r="IH2251" s="67"/>
      <c r="II2251" s="67"/>
      <c r="IJ2251" s="67"/>
      <c r="IK2251" s="67"/>
      <c r="IL2251" s="67"/>
      <c r="IM2251" s="67"/>
      <c r="IN2251" s="67"/>
      <c r="IO2251" s="67"/>
      <c r="IP2251" s="67"/>
      <c r="IQ2251" s="67"/>
      <c r="IR2251" s="67"/>
      <c r="IS2251" s="67"/>
      <c r="IT2251" s="67"/>
      <c r="IU2251" s="67"/>
      <c r="IV2251" s="67"/>
      <c r="IW2251" s="67"/>
      <c r="IX2251" s="67"/>
      <c r="IY2251" s="67"/>
      <c r="IZ2251" s="67"/>
      <c r="JA2251" s="67"/>
      <c r="JB2251" s="67"/>
      <c r="JC2251" s="67"/>
      <c r="JD2251" s="67"/>
      <c r="JE2251" s="67"/>
      <c r="JF2251" s="67"/>
      <c r="JG2251" s="67"/>
      <c r="JH2251" s="67"/>
      <c r="JI2251" s="67"/>
      <c r="JJ2251" s="67"/>
      <c r="JK2251" s="67"/>
      <c r="JL2251" s="67"/>
      <c r="JM2251" s="67"/>
      <c r="JN2251" s="67"/>
      <c r="JO2251" s="67"/>
      <c r="JP2251" s="67"/>
      <c r="JQ2251" s="67"/>
      <c r="JR2251" s="67"/>
      <c r="JS2251" s="67"/>
      <c r="JT2251" s="67"/>
      <c r="JU2251" s="58"/>
      <c r="JV2251" s="58"/>
      <c r="JW2251" s="58"/>
    </row>
    <row r="2252" spans="1:283" s="23" customFormat="1" x14ac:dyDescent="0.25">
      <c r="A2252" s="55">
        <v>2251</v>
      </c>
      <c r="B2252" s="12" t="s">
        <v>7067</v>
      </c>
      <c r="C2252" s="156">
        <v>110</v>
      </c>
      <c r="D2252" s="58" t="s">
        <v>4194</v>
      </c>
      <c r="E2252" s="93" t="s">
        <v>2174</v>
      </c>
      <c r="F2252" s="93"/>
      <c r="G2252" s="58" t="s">
        <v>2264</v>
      </c>
      <c r="H2252" s="59">
        <v>1982</v>
      </c>
      <c r="I2252" s="58">
        <v>1978</v>
      </c>
      <c r="J2252" s="59" t="s">
        <v>1709</v>
      </c>
      <c r="K2252" s="59" t="s">
        <v>2265</v>
      </c>
      <c r="L2252" s="59" t="s">
        <v>2744</v>
      </c>
      <c r="M2252" s="94">
        <v>7.38</v>
      </c>
      <c r="N2252" s="94">
        <v>3.95</v>
      </c>
      <c r="O2252" s="93">
        <v>229.3</v>
      </c>
      <c r="P2252" s="59"/>
      <c r="Q2252" s="58"/>
      <c r="R2252" s="59"/>
      <c r="S2252" s="94"/>
      <c r="T2252" s="58"/>
      <c r="U2252" s="58">
        <v>4</v>
      </c>
      <c r="V2252" s="59">
        <v>4</v>
      </c>
      <c r="W2252" s="174"/>
      <c r="X2252" s="174"/>
      <c r="Y2252" s="58" t="s">
        <v>2266</v>
      </c>
      <c r="Z2252" s="58" t="s">
        <v>1349</v>
      </c>
      <c r="AA2252" s="94">
        <v>15</v>
      </c>
      <c r="AB2252" s="67"/>
      <c r="AC2252" s="67"/>
      <c r="AD2252" s="94">
        <v>1.31</v>
      </c>
      <c r="AE2252" s="93">
        <v>69.3</v>
      </c>
      <c r="AF2252" s="93">
        <v>9.5</v>
      </c>
      <c r="AG2252" s="93"/>
      <c r="AH2252" s="58" t="s">
        <v>238</v>
      </c>
      <c r="AI2252" s="169"/>
      <c r="AJ2252" s="94">
        <v>1.7</v>
      </c>
      <c r="AK2252" s="94"/>
      <c r="AL2252" s="58"/>
      <c r="AM2252" s="59" t="s">
        <v>2267</v>
      </c>
      <c r="AN2252" s="188" t="s">
        <v>2269</v>
      </c>
      <c r="AO2252" s="185" t="s">
        <v>5150</v>
      </c>
      <c r="AP2252" s="59"/>
      <c r="AQ2252" s="58" t="s">
        <v>553</v>
      </c>
      <c r="AR2252" s="59" t="s">
        <v>1607</v>
      </c>
      <c r="AS2252" s="58" t="s">
        <v>132</v>
      </c>
      <c r="AT2252" s="182"/>
      <c r="AU2252" s="181" t="s">
        <v>7494</v>
      </c>
      <c r="AV2252" s="185" t="s">
        <v>176</v>
      </c>
      <c r="AW2252" s="58"/>
      <c r="AX2252" s="185" t="s">
        <v>176</v>
      </c>
      <c r="AY2252" s="58"/>
      <c r="AZ2252" s="59"/>
      <c r="BA2252" s="58"/>
      <c r="BB2252" s="58"/>
      <c r="BC2252" s="58"/>
      <c r="BD2252" s="58"/>
      <c r="BE2252" s="240"/>
      <c r="BF2252" s="59"/>
      <c r="BG2252" s="59"/>
      <c r="BH2252" s="236"/>
      <c r="BI2252" s="58"/>
      <c r="BJ2252" s="58"/>
      <c r="BK2252" s="58" t="s">
        <v>5976</v>
      </c>
      <c r="BL2252" s="58"/>
      <c r="BM2252" s="241" t="s">
        <v>160</v>
      </c>
      <c r="BN2252" s="58">
        <v>3</v>
      </c>
      <c r="BO2252" s="58">
        <v>3</v>
      </c>
      <c r="BP2252" s="59"/>
      <c r="BQ2252" s="58" t="s">
        <v>141</v>
      </c>
      <c r="BR2252" s="58"/>
      <c r="BS2252" s="58"/>
      <c r="BT2252" s="58"/>
      <c r="BU2252" s="58"/>
      <c r="BV2252" s="58"/>
      <c r="BW2252" s="67"/>
      <c r="BX2252" s="67"/>
      <c r="BY2252" s="67"/>
      <c r="BZ2252" s="67"/>
      <c r="CA2252" s="67"/>
      <c r="CB2252" s="153"/>
      <c r="CC2252" s="68"/>
      <c r="CD2252" s="68"/>
      <c r="CE2252" s="67"/>
      <c r="CF2252" s="67"/>
      <c r="CG2252" s="67"/>
      <c r="CH2252" s="94">
        <v>1.5</v>
      </c>
      <c r="CI2252" s="94">
        <v>1.29</v>
      </c>
      <c r="CJ2252" s="67"/>
      <c r="CK2252" s="67"/>
      <c r="CL2252" s="67"/>
      <c r="CM2252" s="67">
        <v>1.2</v>
      </c>
      <c r="CN2252" s="67">
        <v>1.6</v>
      </c>
      <c r="CO2252" s="67"/>
      <c r="CP2252" s="67"/>
      <c r="CQ2252" s="67" t="s">
        <v>164</v>
      </c>
      <c r="CR2252" s="67"/>
      <c r="CS2252" s="67"/>
      <c r="CT2252" s="67"/>
      <c r="CU2252" s="67"/>
      <c r="CV2252" s="67" t="s">
        <v>3039</v>
      </c>
      <c r="CW2252" s="67"/>
      <c r="CX2252" s="67"/>
      <c r="CY2252" s="67"/>
      <c r="CZ2252" s="67"/>
      <c r="DA2252" s="67" t="s">
        <v>4458</v>
      </c>
      <c r="DB2252" s="67">
        <v>0.12</v>
      </c>
      <c r="DC2252" s="67">
        <v>0.2</v>
      </c>
      <c r="DD2252" s="67"/>
      <c r="DE2252" s="67"/>
      <c r="DF2252" s="67" t="s">
        <v>164</v>
      </c>
      <c r="DG2252" s="67"/>
      <c r="DH2252" s="67"/>
      <c r="DI2252" s="67"/>
      <c r="DJ2252" s="67"/>
      <c r="DK2252" s="67"/>
      <c r="DL2252" s="67">
        <v>0.4</v>
      </c>
      <c r="DM2252" s="67">
        <v>0.9</v>
      </c>
      <c r="DN2252" s="67"/>
      <c r="DO2252" s="67"/>
      <c r="DP2252" s="67"/>
      <c r="DQ2252" s="166">
        <v>5.5</v>
      </c>
      <c r="DR2252" s="166">
        <v>5.6</v>
      </c>
      <c r="DS2252" s="163"/>
      <c r="DT2252" s="163"/>
      <c r="DU2252" s="67"/>
      <c r="DV2252" s="67">
        <f>4+0.8</f>
        <v>4.8</v>
      </c>
      <c r="DW2252" s="67">
        <f>6.7+1.6</f>
        <v>8.3000000000000007</v>
      </c>
      <c r="DX2252" s="67"/>
      <c r="DY2252" s="67"/>
      <c r="DZ2252" s="67" t="s">
        <v>2270</v>
      </c>
      <c r="EA2252" s="67"/>
      <c r="EB2252" s="67"/>
      <c r="EC2252" s="67"/>
      <c r="ED2252" s="67"/>
      <c r="EE2252" s="67"/>
      <c r="EF2252" s="67"/>
      <c r="EG2252" s="67"/>
      <c r="EH2252" s="67"/>
      <c r="EI2252" s="67"/>
      <c r="EJ2252" s="67"/>
      <c r="EK2252" s="94"/>
      <c r="EL2252" s="94"/>
      <c r="EM2252" s="67"/>
      <c r="EN2252" s="67"/>
      <c r="EO2252" s="67"/>
      <c r="EP2252" s="67"/>
      <c r="EQ2252" s="67"/>
      <c r="ER2252" s="67"/>
      <c r="ES2252" s="67"/>
      <c r="ET2252" s="67"/>
      <c r="EU2252" s="67"/>
      <c r="EV2252" s="67"/>
      <c r="EW2252" s="67"/>
      <c r="EX2252" s="67"/>
      <c r="EY2252" s="67"/>
      <c r="EZ2252" s="67"/>
      <c r="FA2252" s="67"/>
      <c r="FB2252" s="67"/>
      <c r="FC2252" s="67"/>
      <c r="FD2252" s="67"/>
      <c r="FE2252" s="67"/>
      <c r="FF2252" s="67"/>
      <c r="FG2252" s="67"/>
      <c r="FH2252" s="67"/>
      <c r="FI2252" s="67"/>
      <c r="FJ2252" s="67"/>
      <c r="FK2252" s="67"/>
      <c r="FL2252" s="67"/>
      <c r="FM2252" s="67"/>
      <c r="FN2252" s="67"/>
      <c r="FO2252" s="67"/>
      <c r="FP2252" s="67"/>
      <c r="FQ2252" s="67"/>
      <c r="FR2252" s="67"/>
      <c r="FS2252" s="67"/>
      <c r="FT2252" s="67"/>
      <c r="FU2252" s="67"/>
      <c r="FV2252" s="67"/>
      <c r="FW2252" s="67"/>
      <c r="FX2252" s="67"/>
      <c r="FY2252" s="67"/>
      <c r="FZ2252" s="67"/>
      <c r="GA2252" s="67"/>
      <c r="GB2252" s="67"/>
      <c r="GC2252" s="67"/>
      <c r="GD2252" s="67"/>
      <c r="GE2252" s="67"/>
      <c r="GF2252" s="67"/>
      <c r="GG2252" s="67"/>
      <c r="GH2252" s="67"/>
      <c r="GI2252" s="67"/>
      <c r="GJ2252" s="67"/>
      <c r="GK2252" s="67"/>
      <c r="GL2252" s="67"/>
      <c r="GM2252" s="67"/>
      <c r="GN2252" s="292"/>
      <c r="GO2252" s="292"/>
      <c r="GP2252" s="292" t="s">
        <v>7494</v>
      </c>
      <c r="GQ2252" s="67"/>
      <c r="GR2252" s="67"/>
      <c r="GS2252" s="67"/>
      <c r="GT2252" s="67"/>
      <c r="GU2252" s="67"/>
      <c r="GV2252" s="67"/>
      <c r="GW2252" s="67"/>
      <c r="GX2252" s="67"/>
      <c r="GY2252" s="67"/>
      <c r="GZ2252" s="67"/>
      <c r="HA2252" s="67"/>
      <c r="HB2252" s="67"/>
      <c r="HC2252" s="67"/>
      <c r="HD2252" s="67"/>
      <c r="HE2252" s="67"/>
      <c r="HF2252" s="67"/>
      <c r="HG2252" s="67"/>
      <c r="HH2252" s="67"/>
      <c r="HI2252" s="67"/>
      <c r="HJ2252" s="67"/>
      <c r="HK2252" s="67"/>
      <c r="HL2252" s="67"/>
      <c r="HM2252" s="67"/>
      <c r="HN2252" s="67"/>
      <c r="HO2252" s="67"/>
      <c r="HP2252" s="67"/>
      <c r="HQ2252" s="67"/>
      <c r="HR2252" s="67"/>
      <c r="HS2252" s="67"/>
      <c r="HT2252" s="67"/>
      <c r="HU2252" s="67"/>
      <c r="HV2252" s="67"/>
      <c r="HW2252" s="67"/>
      <c r="HX2252" s="67"/>
      <c r="HY2252" s="67"/>
      <c r="HZ2252" s="67"/>
      <c r="IA2252" s="67"/>
      <c r="IB2252" s="67"/>
      <c r="IC2252" s="67"/>
      <c r="ID2252" s="67"/>
      <c r="IE2252" s="67"/>
      <c r="IF2252" s="67"/>
      <c r="IG2252" s="67"/>
      <c r="IH2252" s="67"/>
      <c r="II2252" s="67"/>
      <c r="IJ2252" s="67"/>
      <c r="IK2252" s="67"/>
      <c r="IL2252" s="67"/>
      <c r="IM2252" s="67"/>
      <c r="IN2252" s="67"/>
      <c r="IO2252" s="67"/>
      <c r="IP2252" s="67"/>
      <c r="IQ2252" s="67"/>
      <c r="IR2252" s="67"/>
      <c r="IS2252" s="67"/>
      <c r="IT2252" s="67"/>
      <c r="IU2252" s="67"/>
      <c r="IV2252" s="67"/>
      <c r="IW2252" s="67"/>
      <c r="IX2252" s="67"/>
      <c r="IY2252" s="67"/>
      <c r="IZ2252" s="67"/>
      <c r="JA2252" s="67"/>
      <c r="JB2252" s="67"/>
      <c r="JC2252" s="67"/>
      <c r="JD2252" s="67"/>
      <c r="JE2252" s="67"/>
      <c r="JF2252" s="67"/>
      <c r="JG2252" s="67"/>
      <c r="JH2252" s="67"/>
      <c r="JI2252" s="67"/>
      <c r="JJ2252" s="67"/>
      <c r="JK2252" s="67"/>
      <c r="JL2252" s="67"/>
      <c r="JM2252" s="67"/>
      <c r="JN2252" s="67"/>
      <c r="JO2252" s="67"/>
      <c r="JP2252" s="67"/>
      <c r="JQ2252" s="67"/>
      <c r="JR2252" s="67"/>
      <c r="JS2252" s="67"/>
      <c r="JT2252" s="67"/>
      <c r="JU2252" s="58"/>
      <c r="JV2252" s="58"/>
      <c r="JW2252" s="58"/>
    </row>
    <row r="2253" spans="1:283" s="23" customFormat="1" x14ac:dyDescent="0.25">
      <c r="A2253" s="55">
        <v>2252</v>
      </c>
      <c r="B2253" s="12" t="s">
        <v>7067</v>
      </c>
      <c r="C2253" s="156">
        <v>110</v>
      </c>
      <c r="D2253" s="58" t="s">
        <v>4195</v>
      </c>
      <c r="E2253" s="93" t="s">
        <v>2174</v>
      </c>
      <c r="F2253" s="93"/>
      <c r="G2253" s="58" t="s">
        <v>2264</v>
      </c>
      <c r="H2253" s="59">
        <v>1982</v>
      </c>
      <c r="I2253" s="58">
        <v>1978</v>
      </c>
      <c r="J2253" s="59" t="s">
        <v>1709</v>
      </c>
      <c r="K2253" s="59" t="s">
        <v>2265</v>
      </c>
      <c r="L2253" s="59" t="s">
        <v>2744</v>
      </c>
      <c r="M2253" s="94">
        <v>7.38</v>
      </c>
      <c r="N2253" s="94">
        <v>3.95</v>
      </c>
      <c r="O2253" s="93">
        <v>229.3</v>
      </c>
      <c r="P2253" s="59"/>
      <c r="Q2253" s="58"/>
      <c r="R2253" s="59"/>
      <c r="S2253" s="94"/>
      <c r="T2253" s="58"/>
      <c r="U2253" s="58">
        <v>4</v>
      </c>
      <c r="V2253" s="59">
        <v>4</v>
      </c>
      <c r="W2253" s="174"/>
      <c r="X2253" s="174"/>
      <c r="Y2253" s="58" t="s">
        <v>2266</v>
      </c>
      <c r="Z2253" s="58" t="s">
        <v>1355</v>
      </c>
      <c r="AA2253" s="94">
        <v>10</v>
      </c>
      <c r="AB2253" s="67"/>
      <c r="AC2253" s="67"/>
      <c r="AD2253" s="94">
        <v>1.31</v>
      </c>
      <c r="AE2253" s="93">
        <v>69.3</v>
      </c>
      <c r="AF2253" s="93">
        <v>9.5</v>
      </c>
      <c r="AG2253" s="93"/>
      <c r="AH2253" s="58" t="s">
        <v>238</v>
      </c>
      <c r="AI2253" s="169"/>
      <c r="AJ2253" s="94">
        <v>1.7</v>
      </c>
      <c r="AK2253" s="94"/>
      <c r="AL2253" s="58"/>
      <c r="AM2253" s="59" t="s">
        <v>2267</v>
      </c>
      <c r="AN2253" s="188" t="s">
        <v>2271</v>
      </c>
      <c r="AO2253" s="185" t="s">
        <v>5150</v>
      </c>
      <c r="AP2253" s="59"/>
      <c r="AQ2253" s="58" t="s">
        <v>1545</v>
      </c>
      <c r="AR2253" s="59" t="s">
        <v>1607</v>
      </c>
      <c r="AS2253" s="58" t="s">
        <v>132</v>
      </c>
      <c r="AT2253" s="182"/>
      <c r="AU2253" s="181" t="s">
        <v>7494</v>
      </c>
      <c r="AV2253" s="185" t="s">
        <v>176</v>
      </c>
      <c r="AW2253" s="58"/>
      <c r="AX2253" s="185" t="s">
        <v>176</v>
      </c>
      <c r="AY2253" s="58"/>
      <c r="AZ2253" s="59"/>
      <c r="BA2253" s="58"/>
      <c r="BB2253" s="58"/>
      <c r="BC2253" s="58"/>
      <c r="BD2253" s="58"/>
      <c r="BE2253" s="240"/>
      <c r="BF2253" s="59"/>
      <c r="BG2253" s="59"/>
      <c r="BH2253" s="236"/>
      <c r="BI2253" s="58"/>
      <c r="BJ2253" s="58"/>
      <c r="BK2253" s="58" t="s">
        <v>5976</v>
      </c>
      <c r="BL2253" s="58"/>
      <c r="BM2253" s="241" t="s">
        <v>160</v>
      </c>
      <c r="BN2253" s="58">
        <v>3</v>
      </c>
      <c r="BO2253" s="58">
        <v>3</v>
      </c>
      <c r="BP2253" s="59"/>
      <c r="BQ2253" s="58" t="s">
        <v>141</v>
      </c>
      <c r="BR2253" s="58"/>
      <c r="BS2253" s="58"/>
      <c r="BT2253" s="58"/>
      <c r="BU2253" s="58" t="s">
        <v>2279</v>
      </c>
      <c r="BV2253" s="58"/>
      <c r="BW2253" s="67"/>
      <c r="BX2253" s="67"/>
      <c r="BY2253" s="67"/>
      <c r="BZ2253" s="67"/>
      <c r="CA2253" s="67"/>
      <c r="CB2253" s="153"/>
      <c r="CC2253" s="68"/>
      <c r="CD2253" s="68"/>
      <c r="CE2253" s="67"/>
      <c r="CF2253" s="67"/>
      <c r="CG2253" s="67"/>
      <c r="CH2253" s="94">
        <v>1.39</v>
      </c>
      <c r="CI2253" s="94">
        <v>1.5</v>
      </c>
      <c r="CJ2253" s="67">
        <f>0.07*SQRT(3)</f>
        <v>0.12124355652982141</v>
      </c>
      <c r="CK2253" s="67">
        <f>SQRT(3)*0.07</f>
        <v>0.12124355652982141</v>
      </c>
      <c r="CL2253" s="67"/>
      <c r="CM2253" s="67"/>
      <c r="CN2253" s="67"/>
      <c r="CO2253" s="67"/>
      <c r="CP2253" s="67"/>
      <c r="CQ2253" s="67"/>
      <c r="CR2253" s="67"/>
      <c r="CS2253" s="67"/>
      <c r="CT2253" s="67"/>
      <c r="CU2253" s="67"/>
      <c r="CV2253" s="67"/>
      <c r="CW2253" s="67"/>
      <c r="CX2253" s="67"/>
      <c r="CY2253" s="67"/>
      <c r="CZ2253" s="67"/>
      <c r="DA2253" s="67"/>
      <c r="DB2253" s="67"/>
      <c r="DC2253" s="67"/>
      <c r="DD2253" s="67"/>
      <c r="DE2253" s="67"/>
      <c r="DF2253" s="67"/>
      <c r="DG2253" s="67"/>
      <c r="DH2253" s="67"/>
      <c r="DI2253" s="67"/>
      <c r="DJ2253" s="67"/>
      <c r="DK2253" s="67"/>
      <c r="DL2253" s="67"/>
      <c r="DM2253" s="67"/>
      <c r="DN2253" s="67"/>
      <c r="DO2253" s="67"/>
      <c r="DP2253" s="67"/>
      <c r="DQ2253" s="166"/>
      <c r="DR2253" s="166"/>
      <c r="DS2253" s="163"/>
      <c r="DT2253" s="163"/>
      <c r="DU2253" s="67"/>
      <c r="DV2253" s="67"/>
      <c r="DW2253" s="67"/>
      <c r="DX2253" s="67"/>
      <c r="DY2253" s="67"/>
      <c r="DZ2253" s="67"/>
      <c r="EA2253" s="67"/>
      <c r="EB2253" s="67"/>
      <c r="EC2253" s="67"/>
      <c r="ED2253" s="67"/>
      <c r="EE2253" s="67"/>
      <c r="EF2253" s="67"/>
      <c r="EG2253" s="67"/>
      <c r="EH2253" s="67"/>
      <c r="EI2253" s="67"/>
      <c r="EJ2253" s="67"/>
      <c r="EK2253" s="94"/>
      <c r="EL2253" s="94"/>
      <c r="EM2253" s="67"/>
      <c r="EN2253" s="67"/>
      <c r="EO2253" s="67"/>
      <c r="EP2253" s="67"/>
      <c r="EQ2253" s="67"/>
      <c r="ER2253" s="67">
        <v>44.4</v>
      </c>
      <c r="ES2253" s="67">
        <v>46.4</v>
      </c>
      <c r="ET2253" s="67" t="s">
        <v>987</v>
      </c>
      <c r="EU2253" s="67"/>
      <c r="EV2253" s="67"/>
      <c r="EW2253" s="67"/>
      <c r="EX2253" s="67"/>
      <c r="EY2253" s="67"/>
      <c r="EZ2253" s="67">
        <v>45.58</v>
      </c>
      <c r="FA2253" s="67">
        <v>59.625</v>
      </c>
      <c r="FB2253" s="67"/>
      <c r="FC2253" s="67"/>
      <c r="FD2253" s="67"/>
      <c r="FE2253" s="67"/>
      <c r="FF2253" s="67"/>
      <c r="FG2253" s="67"/>
      <c r="FH2253" s="67"/>
      <c r="FI2253" s="67"/>
      <c r="FJ2253" s="67"/>
      <c r="FK2253" s="67"/>
      <c r="FL2253" s="67"/>
      <c r="FM2253" s="67"/>
      <c r="FN2253" s="67"/>
      <c r="FO2253" s="67"/>
      <c r="FP2253" s="67"/>
      <c r="FQ2253" s="67"/>
      <c r="FR2253" s="67"/>
      <c r="FS2253" s="67"/>
      <c r="FT2253" s="67"/>
      <c r="FU2253" s="67"/>
      <c r="FV2253" s="67"/>
      <c r="FW2253" s="67"/>
      <c r="FX2253" s="67"/>
      <c r="FY2253" s="67"/>
      <c r="FZ2253" s="67"/>
      <c r="GA2253" s="67"/>
      <c r="GB2253" s="67"/>
      <c r="GC2253" s="67"/>
      <c r="GD2253" s="67">
        <v>12</v>
      </c>
      <c r="GE2253" s="67">
        <v>11.2</v>
      </c>
      <c r="GF2253" s="67"/>
      <c r="GG2253" s="67"/>
      <c r="GH2253" s="67"/>
      <c r="GI2253" s="67"/>
      <c r="GJ2253" s="67"/>
      <c r="GK2253" s="67"/>
      <c r="GL2253" s="67"/>
      <c r="GM2253" s="67"/>
      <c r="GN2253" s="292"/>
      <c r="GO2253" s="292"/>
      <c r="GP2253" s="292" t="s">
        <v>7494</v>
      </c>
      <c r="GQ2253" s="67"/>
      <c r="GR2253" s="67"/>
      <c r="GS2253" s="67"/>
      <c r="GT2253" s="67"/>
      <c r="GU2253" s="67"/>
      <c r="GV2253" s="67"/>
      <c r="GW2253" s="67"/>
      <c r="GX2253" s="67"/>
      <c r="GY2253" s="67"/>
      <c r="GZ2253" s="67"/>
      <c r="HA2253" s="67"/>
      <c r="HB2253" s="67"/>
      <c r="HC2253" s="67"/>
      <c r="HD2253" s="67"/>
      <c r="HE2253" s="67"/>
      <c r="HF2253" s="67"/>
      <c r="HG2253" s="67"/>
      <c r="HH2253" s="67"/>
      <c r="HI2253" s="67"/>
      <c r="HJ2253" s="67"/>
      <c r="HK2253" s="67"/>
      <c r="HL2253" s="67"/>
      <c r="HM2253" s="67"/>
      <c r="HN2253" s="67"/>
      <c r="HO2253" s="67"/>
      <c r="HP2253" s="67"/>
      <c r="HQ2253" s="67"/>
      <c r="HR2253" s="67"/>
      <c r="HS2253" s="67"/>
      <c r="HT2253" s="67"/>
      <c r="HU2253" s="67"/>
      <c r="HV2253" s="67"/>
      <c r="HW2253" s="67"/>
      <c r="HX2253" s="67"/>
      <c r="HY2253" s="67"/>
      <c r="HZ2253" s="67"/>
      <c r="IA2253" s="67"/>
      <c r="IB2253" s="67"/>
      <c r="IC2253" s="67"/>
      <c r="ID2253" s="67"/>
      <c r="IE2253" s="67"/>
      <c r="IF2253" s="67"/>
      <c r="IG2253" s="67"/>
      <c r="IH2253" s="67"/>
      <c r="II2253" s="67"/>
      <c r="IJ2253" s="67"/>
      <c r="IK2253" s="67"/>
      <c r="IL2253" s="67"/>
      <c r="IM2253" s="67"/>
      <c r="IN2253" s="67"/>
      <c r="IO2253" s="67"/>
      <c r="IP2253" s="67"/>
      <c r="IQ2253" s="67"/>
      <c r="IR2253" s="67"/>
      <c r="IS2253" s="67"/>
      <c r="IT2253" s="67"/>
      <c r="IU2253" s="67"/>
      <c r="IV2253" s="67"/>
      <c r="IW2253" s="67"/>
      <c r="IX2253" s="67"/>
      <c r="IY2253" s="67"/>
      <c r="IZ2253" s="67"/>
      <c r="JA2253" s="67"/>
      <c r="JB2253" s="67"/>
      <c r="JC2253" s="67"/>
      <c r="JD2253" s="67"/>
      <c r="JE2253" s="67"/>
      <c r="JF2253" s="67"/>
      <c r="JG2253" s="67"/>
      <c r="JH2253" s="67"/>
      <c r="JI2253" s="67"/>
      <c r="JJ2253" s="67"/>
      <c r="JK2253" s="67"/>
      <c r="JL2253" s="67"/>
      <c r="JM2253" s="67"/>
      <c r="JN2253" s="67"/>
      <c r="JO2253" s="67"/>
      <c r="JP2253" s="67"/>
      <c r="JQ2253" s="67"/>
      <c r="JR2253" s="67"/>
      <c r="JS2253" s="67"/>
      <c r="JT2253" s="67"/>
      <c r="JU2253" s="58" t="s">
        <v>2279</v>
      </c>
      <c r="JV2253" s="58"/>
      <c r="JW2253" s="58"/>
    </row>
    <row r="2254" spans="1:283" s="23" customFormat="1" x14ac:dyDescent="0.25">
      <c r="A2254" s="55">
        <v>2253</v>
      </c>
      <c r="B2254" s="12" t="s">
        <v>7067</v>
      </c>
      <c r="C2254" s="156">
        <v>110</v>
      </c>
      <c r="D2254" s="58" t="s">
        <v>4195</v>
      </c>
      <c r="E2254" s="93" t="s">
        <v>2174</v>
      </c>
      <c r="F2254" s="93"/>
      <c r="G2254" s="58" t="s">
        <v>2264</v>
      </c>
      <c r="H2254" s="59">
        <v>1982</v>
      </c>
      <c r="I2254" s="58">
        <v>1978</v>
      </c>
      <c r="J2254" s="59" t="s">
        <v>1709</v>
      </c>
      <c r="K2254" s="59" t="s">
        <v>2265</v>
      </c>
      <c r="L2254" s="59" t="s">
        <v>2744</v>
      </c>
      <c r="M2254" s="94">
        <v>7.38</v>
      </c>
      <c r="N2254" s="94">
        <v>3.95</v>
      </c>
      <c r="O2254" s="93">
        <v>229.3</v>
      </c>
      <c r="P2254" s="59"/>
      <c r="Q2254" s="58"/>
      <c r="R2254" s="59"/>
      <c r="S2254" s="94"/>
      <c r="T2254" s="58"/>
      <c r="U2254" s="58">
        <v>4</v>
      </c>
      <c r="V2254" s="59">
        <v>4</v>
      </c>
      <c r="W2254" s="174"/>
      <c r="X2254" s="174"/>
      <c r="Y2254" s="58" t="s">
        <v>2266</v>
      </c>
      <c r="Z2254" s="58" t="s">
        <v>1355</v>
      </c>
      <c r="AA2254" s="94">
        <v>10</v>
      </c>
      <c r="AB2254" s="67"/>
      <c r="AC2254" s="67"/>
      <c r="AD2254" s="94">
        <v>1.31</v>
      </c>
      <c r="AE2254" s="93">
        <v>69.3</v>
      </c>
      <c r="AF2254" s="93">
        <v>9.5</v>
      </c>
      <c r="AG2254" s="93"/>
      <c r="AH2254" s="58" t="s">
        <v>238</v>
      </c>
      <c r="AI2254" s="169"/>
      <c r="AJ2254" s="94">
        <v>1.7</v>
      </c>
      <c r="AK2254" s="94"/>
      <c r="AL2254" s="58"/>
      <c r="AM2254" s="59" t="s">
        <v>2267</v>
      </c>
      <c r="AN2254" s="188" t="s">
        <v>2272</v>
      </c>
      <c r="AO2254" s="185" t="s">
        <v>5150</v>
      </c>
      <c r="AP2254" s="59"/>
      <c r="AQ2254" s="58" t="s">
        <v>1545</v>
      </c>
      <c r="AR2254" s="59" t="s">
        <v>1607</v>
      </c>
      <c r="AS2254" s="58" t="s">
        <v>132</v>
      </c>
      <c r="AT2254" s="182"/>
      <c r="AU2254" s="181" t="s">
        <v>7494</v>
      </c>
      <c r="AV2254" s="185" t="s">
        <v>176</v>
      </c>
      <c r="AW2254" s="58"/>
      <c r="AX2254" s="185" t="s">
        <v>176</v>
      </c>
      <c r="AY2254" s="58"/>
      <c r="AZ2254" s="59"/>
      <c r="BA2254" s="58"/>
      <c r="BB2254" s="58"/>
      <c r="BC2254" s="58"/>
      <c r="BD2254" s="58"/>
      <c r="BE2254" s="240"/>
      <c r="BF2254" s="59"/>
      <c r="BG2254" s="59"/>
      <c r="BH2254" s="236"/>
      <c r="BI2254" s="58"/>
      <c r="BJ2254" s="58"/>
      <c r="BK2254" s="58" t="s">
        <v>5976</v>
      </c>
      <c r="BL2254" s="58"/>
      <c r="BM2254" s="241" t="s">
        <v>160</v>
      </c>
      <c r="BN2254" s="58">
        <v>3</v>
      </c>
      <c r="BO2254" s="58">
        <v>3</v>
      </c>
      <c r="BP2254" s="59"/>
      <c r="BQ2254" s="58" t="s">
        <v>141</v>
      </c>
      <c r="BR2254" s="58"/>
      <c r="BS2254" s="58"/>
      <c r="BT2254" s="58"/>
      <c r="BU2254" s="58" t="s">
        <v>2279</v>
      </c>
      <c r="BV2254" s="58"/>
      <c r="BW2254" s="67"/>
      <c r="BX2254" s="67"/>
      <c r="BY2254" s="67"/>
      <c r="BZ2254" s="67"/>
      <c r="CA2254" s="67"/>
      <c r="CB2254" s="153"/>
      <c r="CC2254" s="68"/>
      <c r="CD2254" s="68"/>
      <c r="CE2254" s="67"/>
      <c r="CF2254" s="67"/>
      <c r="CG2254" s="67"/>
      <c r="CH2254" s="94">
        <v>1.39</v>
      </c>
      <c r="CI2254" s="94">
        <v>1.49</v>
      </c>
      <c r="CJ2254" s="67">
        <f>0.07*SQRT(3)</f>
        <v>0.12124355652982141</v>
      </c>
      <c r="CK2254" s="67">
        <f>SQRT(3)*0.08</f>
        <v>0.13856406460551018</v>
      </c>
      <c r="CL2254" s="67"/>
      <c r="CM2254" s="67"/>
      <c r="CN2254" s="67"/>
      <c r="CO2254" s="67"/>
      <c r="CP2254" s="67"/>
      <c r="CQ2254" s="67"/>
      <c r="CR2254" s="67"/>
      <c r="CS2254" s="67"/>
      <c r="CT2254" s="67"/>
      <c r="CU2254" s="67"/>
      <c r="CV2254" s="67"/>
      <c r="CW2254" s="67"/>
      <c r="CX2254" s="67"/>
      <c r="CY2254" s="67"/>
      <c r="CZ2254" s="67"/>
      <c r="DA2254" s="67"/>
      <c r="DB2254" s="67"/>
      <c r="DC2254" s="67"/>
      <c r="DD2254" s="67"/>
      <c r="DE2254" s="67"/>
      <c r="DF2254" s="67"/>
      <c r="DG2254" s="67"/>
      <c r="DH2254" s="67"/>
      <c r="DI2254" s="67"/>
      <c r="DJ2254" s="67"/>
      <c r="DK2254" s="67"/>
      <c r="DL2254" s="67"/>
      <c r="DM2254" s="67"/>
      <c r="DN2254" s="67"/>
      <c r="DO2254" s="67"/>
      <c r="DP2254" s="67"/>
      <c r="DQ2254" s="166"/>
      <c r="DR2254" s="166"/>
      <c r="DS2254" s="163"/>
      <c r="DT2254" s="163"/>
      <c r="DU2254" s="67"/>
      <c r="DV2254" s="67"/>
      <c r="DW2254" s="67"/>
      <c r="DX2254" s="67"/>
      <c r="DY2254" s="67"/>
      <c r="DZ2254" s="67"/>
      <c r="EA2254" s="67"/>
      <c r="EB2254" s="67"/>
      <c r="EC2254" s="67"/>
      <c r="ED2254" s="67"/>
      <c r="EE2254" s="67"/>
      <c r="EF2254" s="67"/>
      <c r="EG2254" s="67"/>
      <c r="EH2254" s="67"/>
      <c r="EI2254" s="67"/>
      <c r="EJ2254" s="67"/>
      <c r="EK2254" s="94"/>
      <c r="EL2254" s="94"/>
      <c r="EM2254" s="67"/>
      <c r="EN2254" s="67"/>
      <c r="EO2254" s="67"/>
      <c r="EP2254" s="67"/>
      <c r="EQ2254" s="67"/>
      <c r="ER2254" s="67">
        <v>44.4</v>
      </c>
      <c r="ES2254" s="67">
        <v>51.8</v>
      </c>
      <c r="ET2254" s="67" t="s">
        <v>987</v>
      </c>
      <c r="EU2254" s="67"/>
      <c r="EV2254" s="67"/>
      <c r="EW2254" s="67"/>
      <c r="EX2254" s="67"/>
      <c r="EY2254" s="67"/>
      <c r="EZ2254" s="67">
        <v>45.58</v>
      </c>
      <c r="FA2254" s="67">
        <v>63.75</v>
      </c>
      <c r="FB2254" s="67"/>
      <c r="FC2254" s="67"/>
      <c r="FD2254" s="67"/>
      <c r="FE2254" s="67"/>
      <c r="FF2254" s="67"/>
      <c r="FG2254" s="67"/>
      <c r="FH2254" s="67"/>
      <c r="FI2254" s="67"/>
      <c r="FJ2254" s="67"/>
      <c r="FK2254" s="67"/>
      <c r="FL2254" s="67"/>
      <c r="FM2254" s="67"/>
      <c r="FN2254" s="67"/>
      <c r="FO2254" s="67"/>
      <c r="FP2254" s="67"/>
      <c r="FQ2254" s="67"/>
      <c r="FR2254" s="67"/>
      <c r="FS2254" s="67"/>
      <c r="FT2254" s="67"/>
      <c r="FU2254" s="67"/>
      <c r="FV2254" s="67"/>
      <c r="FW2254" s="67"/>
      <c r="FX2254" s="67"/>
      <c r="FY2254" s="67"/>
      <c r="FZ2254" s="67"/>
      <c r="GA2254" s="67"/>
      <c r="GB2254" s="67"/>
      <c r="GC2254" s="67"/>
      <c r="GD2254" s="67">
        <v>12</v>
      </c>
      <c r="GE2254" s="67">
        <v>13</v>
      </c>
      <c r="GF2254" s="67"/>
      <c r="GG2254" s="67"/>
      <c r="GH2254" s="67"/>
      <c r="GI2254" s="67"/>
      <c r="GJ2254" s="67"/>
      <c r="GK2254" s="67"/>
      <c r="GL2254" s="67"/>
      <c r="GM2254" s="67"/>
      <c r="GN2254" s="292"/>
      <c r="GO2254" s="292"/>
      <c r="GP2254" s="292" t="s">
        <v>7494</v>
      </c>
      <c r="GQ2254" s="67"/>
      <c r="GR2254" s="67"/>
      <c r="GS2254" s="67"/>
      <c r="GT2254" s="67"/>
      <c r="GU2254" s="67"/>
      <c r="GV2254" s="67"/>
      <c r="GW2254" s="67"/>
      <c r="GX2254" s="67"/>
      <c r="GY2254" s="67"/>
      <c r="GZ2254" s="67"/>
      <c r="HA2254" s="67"/>
      <c r="HB2254" s="67"/>
      <c r="HC2254" s="67"/>
      <c r="HD2254" s="67"/>
      <c r="HE2254" s="67"/>
      <c r="HF2254" s="67"/>
      <c r="HG2254" s="67"/>
      <c r="HH2254" s="67"/>
      <c r="HI2254" s="67"/>
      <c r="HJ2254" s="67"/>
      <c r="HK2254" s="67"/>
      <c r="HL2254" s="67"/>
      <c r="HM2254" s="67"/>
      <c r="HN2254" s="67"/>
      <c r="HO2254" s="67"/>
      <c r="HP2254" s="67"/>
      <c r="HQ2254" s="67"/>
      <c r="HR2254" s="67"/>
      <c r="HS2254" s="67"/>
      <c r="HT2254" s="67"/>
      <c r="HU2254" s="67"/>
      <c r="HV2254" s="67"/>
      <c r="HW2254" s="67"/>
      <c r="HX2254" s="67"/>
      <c r="HY2254" s="67"/>
      <c r="HZ2254" s="67"/>
      <c r="IA2254" s="67"/>
      <c r="IB2254" s="67"/>
      <c r="IC2254" s="67"/>
      <c r="ID2254" s="67"/>
      <c r="IE2254" s="67"/>
      <c r="IF2254" s="67"/>
      <c r="IG2254" s="67"/>
      <c r="IH2254" s="67"/>
      <c r="II2254" s="67"/>
      <c r="IJ2254" s="67"/>
      <c r="IK2254" s="67"/>
      <c r="IL2254" s="67"/>
      <c r="IM2254" s="67"/>
      <c r="IN2254" s="67"/>
      <c r="IO2254" s="67"/>
      <c r="IP2254" s="67"/>
      <c r="IQ2254" s="67"/>
      <c r="IR2254" s="67"/>
      <c r="IS2254" s="67"/>
      <c r="IT2254" s="67"/>
      <c r="IU2254" s="67"/>
      <c r="IV2254" s="67"/>
      <c r="IW2254" s="67"/>
      <c r="IX2254" s="67"/>
      <c r="IY2254" s="67"/>
      <c r="IZ2254" s="67"/>
      <c r="JA2254" s="67"/>
      <c r="JB2254" s="67"/>
      <c r="JC2254" s="67"/>
      <c r="JD2254" s="67"/>
      <c r="JE2254" s="67"/>
      <c r="JF2254" s="67"/>
      <c r="JG2254" s="67"/>
      <c r="JH2254" s="67"/>
      <c r="JI2254" s="67"/>
      <c r="JJ2254" s="67"/>
      <c r="JK2254" s="67"/>
      <c r="JL2254" s="67"/>
      <c r="JM2254" s="67"/>
      <c r="JN2254" s="67"/>
      <c r="JO2254" s="67"/>
      <c r="JP2254" s="67"/>
      <c r="JQ2254" s="67"/>
      <c r="JR2254" s="67"/>
      <c r="JS2254" s="67"/>
      <c r="JT2254" s="67"/>
      <c r="JU2254" s="58" t="s">
        <v>2279</v>
      </c>
      <c r="JV2254" s="58"/>
      <c r="JW2254" s="58"/>
    </row>
    <row r="2255" spans="1:283" s="23" customFormat="1" x14ac:dyDescent="0.25">
      <c r="A2255" s="55">
        <v>2254</v>
      </c>
      <c r="B2255" s="12" t="s">
        <v>7067</v>
      </c>
      <c r="C2255" s="156">
        <v>110</v>
      </c>
      <c r="D2255" s="58" t="s">
        <v>4195</v>
      </c>
      <c r="E2255" s="93" t="s">
        <v>2174</v>
      </c>
      <c r="F2255" s="93"/>
      <c r="G2255" s="58" t="s">
        <v>2264</v>
      </c>
      <c r="H2255" s="59">
        <v>1982</v>
      </c>
      <c r="I2255" s="58">
        <v>1978</v>
      </c>
      <c r="J2255" s="59" t="s">
        <v>1709</v>
      </c>
      <c r="K2255" s="59" t="s">
        <v>2265</v>
      </c>
      <c r="L2255" s="59" t="s">
        <v>2744</v>
      </c>
      <c r="M2255" s="94">
        <v>7.38</v>
      </c>
      <c r="N2255" s="94">
        <v>3.95</v>
      </c>
      <c r="O2255" s="93">
        <v>229.3</v>
      </c>
      <c r="P2255" s="59"/>
      <c r="Q2255" s="58"/>
      <c r="R2255" s="59"/>
      <c r="S2255" s="94"/>
      <c r="T2255" s="58"/>
      <c r="U2255" s="58">
        <v>4</v>
      </c>
      <c r="V2255" s="59">
        <v>4</v>
      </c>
      <c r="W2255" s="174"/>
      <c r="X2255" s="174"/>
      <c r="Y2255" s="58" t="s">
        <v>2266</v>
      </c>
      <c r="Z2255" s="58" t="s">
        <v>1355</v>
      </c>
      <c r="AA2255" s="94">
        <v>10</v>
      </c>
      <c r="AB2255" s="67"/>
      <c r="AC2255" s="67"/>
      <c r="AD2255" s="94">
        <v>1.31</v>
      </c>
      <c r="AE2255" s="93">
        <v>69.3</v>
      </c>
      <c r="AF2255" s="93">
        <v>9.5</v>
      </c>
      <c r="AG2255" s="93"/>
      <c r="AH2255" s="58" t="s">
        <v>238</v>
      </c>
      <c r="AI2255" s="169"/>
      <c r="AJ2255" s="94">
        <v>1.7</v>
      </c>
      <c r="AK2255" s="94"/>
      <c r="AL2255" s="58"/>
      <c r="AM2255" s="59" t="s">
        <v>2267</v>
      </c>
      <c r="AN2255" s="188" t="s">
        <v>2273</v>
      </c>
      <c r="AO2255" s="185" t="s">
        <v>5150</v>
      </c>
      <c r="AP2255" s="59"/>
      <c r="AQ2255" s="58" t="s">
        <v>1545</v>
      </c>
      <c r="AR2255" s="59" t="s">
        <v>1607</v>
      </c>
      <c r="AS2255" s="58" t="s">
        <v>132</v>
      </c>
      <c r="AT2255" s="182"/>
      <c r="AU2255" s="181" t="s">
        <v>7494</v>
      </c>
      <c r="AV2255" s="185" t="s">
        <v>176</v>
      </c>
      <c r="AW2255" s="58"/>
      <c r="AX2255" s="185" t="s">
        <v>176</v>
      </c>
      <c r="AY2255" s="58"/>
      <c r="AZ2255" s="59"/>
      <c r="BA2255" s="58"/>
      <c r="BB2255" s="58"/>
      <c r="BC2255" s="58"/>
      <c r="BD2255" s="58"/>
      <c r="BE2255" s="240"/>
      <c r="BF2255" s="59"/>
      <c r="BG2255" s="59"/>
      <c r="BH2255" s="236"/>
      <c r="BI2255" s="58"/>
      <c r="BJ2255" s="58"/>
      <c r="BK2255" s="58" t="s">
        <v>5976</v>
      </c>
      <c r="BL2255" s="58"/>
      <c r="BM2255" s="241" t="s">
        <v>160</v>
      </c>
      <c r="BN2255" s="58">
        <v>3</v>
      </c>
      <c r="BO2255" s="58">
        <v>3</v>
      </c>
      <c r="BP2255" s="59"/>
      <c r="BQ2255" s="58" t="s">
        <v>141</v>
      </c>
      <c r="BR2255" s="58"/>
      <c r="BS2255" s="58"/>
      <c r="BT2255" s="58"/>
      <c r="BU2255" s="58" t="s">
        <v>2279</v>
      </c>
      <c r="BV2255" s="58"/>
      <c r="BW2255" s="67"/>
      <c r="BX2255" s="67"/>
      <c r="BY2255" s="67"/>
      <c r="BZ2255" s="67"/>
      <c r="CA2255" s="67"/>
      <c r="CB2255" s="153"/>
      <c r="CC2255" s="68"/>
      <c r="CD2255" s="68"/>
      <c r="CE2255" s="67"/>
      <c r="CF2255" s="67"/>
      <c r="CG2255" s="67"/>
      <c r="CH2255" s="94">
        <v>1.39</v>
      </c>
      <c r="CI2255" s="94">
        <v>1.41</v>
      </c>
      <c r="CJ2255" s="67">
        <f>0.07*SQRT(3)</f>
        <v>0.12124355652982141</v>
      </c>
      <c r="CK2255" s="67">
        <f>SQRT(3)*0.06</f>
        <v>0.10392304845413262</v>
      </c>
      <c r="CL2255" s="67"/>
      <c r="CM2255" s="67"/>
      <c r="CN2255" s="67"/>
      <c r="CO2255" s="67"/>
      <c r="CP2255" s="67"/>
      <c r="CQ2255" s="67"/>
      <c r="CR2255" s="67"/>
      <c r="CS2255" s="67"/>
      <c r="CT2255" s="67"/>
      <c r="CU2255" s="67"/>
      <c r="CV2255" s="67"/>
      <c r="CW2255" s="67"/>
      <c r="CX2255" s="67"/>
      <c r="CY2255" s="67"/>
      <c r="CZ2255" s="67"/>
      <c r="DA2255" s="67"/>
      <c r="DB2255" s="67"/>
      <c r="DC2255" s="67"/>
      <c r="DD2255" s="67"/>
      <c r="DE2255" s="67"/>
      <c r="DF2255" s="67"/>
      <c r="DG2255" s="67"/>
      <c r="DH2255" s="67"/>
      <c r="DI2255" s="67"/>
      <c r="DJ2255" s="67"/>
      <c r="DK2255" s="67"/>
      <c r="DL2255" s="67"/>
      <c r="DM2255" s="67"/>
      <c r="DN2255" s="67"/>
      <c r="DO2255" s="67"/>
      <c r="DP2255" s="67"/>
      <c r="DQ2255" s="166"/>
      <c r="DR2255" s="166"/>
      <c r="DS2255" s="163"/>
      <c r="DT2255" s="163"/>
      <c r="DU2255" s="67"/>
      <c r="DV2255" s="67"/>
      <c r="DW2255" s="67"/>
      <c r="DX2255" s="67"/>
      <c r="DY2255" s="67"/>
      <c r="DZ2255" s="67"/>
      <c r="EA2255" s="67"/>
      <c r="EB2255" s="67"/>
      <c r="EC2255" s="67"/>
      <c r="ED2255" s="67"/>
      <c r="EE2255" s="67"/>
      <c r="EF2255" s="67"/>
      <c r="EG2255" s="67"/>
      <c r="EH2255" s="67"/>
      <c r="EI2255" s="67"/>
      <c r="EJ2255" s="67"/>
      <c r="EK2255" s="94"/>
      <c r="EL2255" s="94"/>
      <c r="EM2255" s="67"/>
      <c r="EN2255" s="67"/>
      <c r="EO2255" s="67"/>
      <c r="EP2255" s="67"/>
      <c r="EQ2255" s="67"/>
      <c r="ER2255" s="67">
        <v>44.4</v>
      </c>
      <c r="ES2255" s="67">
        <v>52.3</v>
      </c>
      <c r="ET2255" s="67" t="s">
        <v>987</v>
      </c>
      <c r="EU2255" s="67"/>
      <c r="EV2255" s="67"/>
      <c r="EW2255" s="67"/>
      <c r="EX2255" s="67"/>
      <c r="EY2255" s="67"/>
      <c r="EZ2255" s="67">
        <v>45.58</v>
      </c>
      <c r="FA2255" s="67">
        <v>55.51</v>
      </c>
      <c r="FB2255" s="67"/>
      <c r="FC2255" s="67"/>
      <c r="FD2255" s="67"/>
      <c r="FE2255" s="67"/>
      <c r="FF2255" s="67"/>
      <c r="FG2255" s="67"/>
      <c r="FH2255" s="67"/>
      <c r="FI2255" s="67"/>
      <c r="FJ2255" s="67"/>
      <c r="FK2255" s="67"/>
      <c r="FL2255" s="67"/>
      <c r="FM2255" s="67"/>
      <c r="FN2255" s="67"/>
      <c r="FO2255" s="67"/>
      <c r="FP2255" s="67"/>
      <c r="FQ2255" s="67"/>
      <c r="FR2255" s="67"/>
      <c r="FS2255" s="67"/>
      <c r="FT2255" s="67"/>
      <c r="FU2255" s="67"/>
      <c r="FV2255" s="67"/>
      <c r="FW2255" s="67"/>
      <c r="FX2255" s="67"/>
      <c r="FY2255" s="67"/>
      <c r="FZ2255" s="67"/>
      <c r="GA2255" s="67"/>
      <c r="GB2255" s="67"/>
      <c r="GC2255" s="67"/>
      <c r="GD2255" s="67">
        <v>12</v>
      </c>
      <c r="GE2255" s="67">
        <v>13.6</v>
      </c>
      <c r="GF2255" s="67"/>
      <c r="GG2255" s="67"/>
      <c r="GH2255" s="67"/>
      <c r="GI2255" s="67"/>
      <c r="GJ2255" s="67"/>
      <c r="GK2255" s="67"/>
      <c r="GL2255" s="67"/>
      <c r="GM2255" s="67"/>
      <c r="GN2255" s="292"/>
      <c r="GO2255" s="292"/>
      <c r="GP2255" s="292" t="s">
        <v>7494</v>
      </c>
      <c r="GQ2255" s="67"/>
      <c r="GR2255" s="67"/>
      <c r="GS2255" s="67"/>
      <c r="GT2255" s="67"/>
      <c r="GU2255" s="67"/>
      <c r="GV2255" s="67"/>
      <c r="GW2255" s="67"/>
      <c r="GX2255" s="67"/>
      <c r="GY2255" s="67"/>
      <c r="GZ2255" s="67"/>
      <c r="HA2255" s="67"/>
      <c r="HB2255" s="67"/>
      <c r="HC2255" s="67"/>
      <c r="HD2255" s="67"/>
      <c r="HE2255" s="67"/>
      <c r="HF2255" s="67"/>
      <c r="HG2255" s="67"/>
      <c r="HH2255" s="67"/>
      <c r="HI2255" s="67"/>
      <c r="HJ2255" s="67"/>
      <c r="HK2255" s="67"/>
      <c r="HL2255" s="67"/>
      <c r="HM2255" s="67"/>
      <c r="HN2255" s="67"/>
      <c r="HO2255" s="67"/>
      <c r="HP2255" s="67"/>
      <c r="HQ2255" s="67"/>
      <c r="HR2255" s="67"/>
      <c r="HS2255" s="67"/>
      <c r="HT2255" s="67"/>
      <c r="HU2255" s="67"/>
      <c r="HV2255" s="67"/>
      <c r="HW2255" s="67"/>
      <c r="HX2255" s="67"/>
      <c r="HY2255" s="67"/>
      <c r="HZ2255" s="67"/>
      <c r="IA2255" s="67"/>
      <c r="IB2255" s="67"/>
      <c r="IC2255" s="67"/>
      <c r="ID2255" s="67"/>
      <c r="IE2255" s="67"/>
      <c r="IF2255" s="67"/>
      <c r="IG2255" s="67"/>
      <c r="IH2255" s="67"/>
      <c r="II2255" s="67"/>
      <c r="IJ2255" s="67"/>
      <c r="IK2255" s="67"/>
      <c r="IL2255" s="67"/>
      <c r="IM2255" s="67"/>
      <c r="IN2255" s="67"/>
      <c r="IO2255" s="67"/>
      <c r="IP2255" s="67"/>
      <c r="IQ2255" s="67"/>
      <c r="IR2255" s="67"/>
      <c r="IS2255" s="67"/>
      <c r="IT2255" s="67"/>
      <c r="IU2255" s="67"/>
      <c r="IV2255" s="67"/>
      <c r="IW2255" s="67"/>
      <c r="IX2255" s="67"/>
      <c r="IY2255" s="67"/>
      <c r="IZ2255" s="67"/>
      <c r="JA2255" s="67"/>
      <c r="JB2255" s="67"/>
      <c r="JC2255" s="67"/>
      <c r="JD2255" s="67"/>
      <c r="JE2255" s="67"/>
      <c r="JF2255" s="67"/>
      <c r="JG2255" s="67"/>
      <c r="JH2255" s="67"/>
      <c r="JI2255" s="67"/>
      <c r="JJ2255" s="67"/>
      <c r="JK2255" s="67"/>
      <c r="JL2255" s="67"/>
      <c r="JM2255" s="67"/>
      <c r="JN2255" s="67"/>
      <c r="JO2255" s="67"/>
      <c r="JP2255" s="67"/>
      <c r="JQ2255" s="67"/>
      <c r="JR2255" s="67"/>
      <c r="JS2255" s="67"/>
      <c r="JT2255" s="67"/>
      <c r="JU2255" s="58" t="s">
        <v>2279</v>
      </c>
      <c r="JV2255" s="58"/>
      <c r="JW2255" s="58"/>
    </row>
    <row r="2256" spans="1:283" s="23" customFormat="1" x14ac:dyDescent="0.25">
      <c r="A2256" s="55">
        <v>2255</v>
      </c>
      <c r="B2256" s="12" t="s">
        <v>7067</v>
      </c>
      <c r="C2256" s="156">
        <v>110</v>
      </c>
      <c r="D2256" s="58" t="s">
        <v>4196</v>
      </c>
      <c r="E2256" s="93" t="s">
        <v>2174</v>
      </c>
      <c r="F2256" s="93"/>
      <c r="G2256" s="58" t="s">
        <v>2264</v>
      </c>
      <c r="H2256" s="59">
        <v>1982</v>
      </c>
      <c r="I2256" s="58">
        <v>1978</v>
      </c>
      <c r="J2256" s="59" t="s">
        <v>1709</v>
      </c>
      <c r="K2256" s="59" t="s">
        <v>2265</v>
      </c>
      <c r="L2256" s="59" t="s">
        <v>2744</v>
      </c>
      <c r="M2256" s="94">
        <v>7.38</v>
      </c>
      <c r="N2256" s="94">
        <v>3.95</v>
      </c>
      <c r="O2256" s="93">
        <v>229.3</v>
      </c>
      <c r="P2256" s="59"/>
      <c r="Q2256" s="58"/>
      <c r="R2256" s="59"/>
      <c r="S2256" s="94"/>
      <c r="T2256" s="58"/>
      <c r="U2256" s="58">
        <v>4</v>
      </c>
      <c r="V2256" s="59">
        <v>4</v>
      </c>
      <c r="W2256" s="174"/>
      <c r="X2256" s="174"/>
      <c r="Y2256" s="58" t="s">
        <v>2266</v>
      </c>
      <c r="Z2256" s="58" t="s">
        <v>1355</v>
      </c>
      <c r="AA2256" s="94">
        <v>10</v>
      </c>
      <c r="AB2256" s="67"/>
      <c r="AC2256" s="67"/>
      <c r="AD2256" s="94">
        <v>1.31</v>
      </c>
      <c r="AE2256" s="93">
        <v>69.3</v>
      </c>
      <c r="AF2256" s="93">
        <v>9.5</v>
      </c>
      <c r="AG2256" s="93"/>
      <c r="AH2256" s="58" t="s">
        <v>238</v>
      </c>
      <c r="AI2256" s="169"/>
      <c r="AJ2256" s="94">
        <v>1.7</v>
      </c>
      <c r="AK2256" s="94"/>
      <c r="AL2256" s="58"/>
      <c r="AM2256" s="59" t="s">
        <v>2267</v>
      </c>
      <c r="AN2256" s="188" t="s">
        <v>2274</v>
      </c>
      <c r="AO2256" s="185" t="s">
        <v>5150</v>
      </c>
      <c r="AP2256" s="59"/>
      <c r="AQ2256" s="58" t="s">
        <v>553</v>
      </c>
      <c r="AR2256" s="59" t="s">
        <v>1607</v>
      </c>
      <c r="AS2256" s="58" t="s">
        <v>132</v>
      </c>
      <c r="AT2256" s="182"/>
      <c r="AU2256" s="181" t="s">
        <v>7494</v>
      </c>
      <c r="AV2256" s="185" t="s">
        <v>176</v>
      </c>
      <c r="AW2256" s="58"/>
      <c r="AX2256" s="185" t="s">
        <v>176</v>
      </c>
      <c r="AY2256" s="58"/>
      <c r="AZ2256" s="59"/>
      <c r="BA2256" s="58"/>
      <c r="BB2256" s="58"/>
      <c r="BC2256" s="58"/>
      <c r="BD2256" s="58"/>
      <c r="BE2256" s="240"/>
      <c r="BF2256" s="59"/>
      <c r="BG2256" s="59"/>
      <c r="BH2256" s="236"/>
      <c r="BI2256" s="58"/>
      <c r="BJ2256" s="58"/>
      <c r="BK2256" s="58" t="s">
        <v>5976</v>
      </c>
      <c r="BL2256" s="58"/>
      <c r="BM2256" s="241" t="s">
        <v>160</v>
      </c>
      <c r="BN2256" s="58">
        <v>3</v>
      </c>
      <c r="BO2256" s="58">
        <v>3</v>
      </c>
      <c r="BP2256" s="59"/>
      <c r="BQ2256" s="58" t="s">
        <v>141</v>
      </c>
      <c r="BR2256" s="58"/>
      <c r="BS2256" s="58"/>
      <c r="BT2256" s="58"/>
      <c r="BU2256" s="58" t="s">
        <v>2279</v>
      </c>
      <c r="BV2256" s="58"/>
      <c r="BW2256" s="67"/>
      <c r="BX2256" s="67"/>
      <c r="BY2256" s="67"/>
      <c r="BZ2256" s="67"/>
      <c r="CA2256" s="67"/>
      <c r="CB2256" s="153"/>
      <c r="CC2256" s="68"/>
      <c r="CD2256" s="68"/>
      <c r="CE2256" s="67"/>
      <c r="CF2256" s="67"/>
      <c r="CG2256" s="67"/>
      <c r="CH2256" s="94">
        <v>1.39</v>
      </c>
      <c r="CI2256" s="94">
        <v>1.44</v>
      </c>
      <c r="CJ2256" s="67">
        <f>0.07*SQRT(3)</f>
        <v>0.12124355652982141</v>
      </c>
      <c r="CK2256" s="67">
        <f>SQRT(3)*0.07</f>
        <v>0.12124355652982141</v>
      </c>
      <c r="CL2256" s="67"/>
      <c r="CM2256" s="67"/>
      <c r="CN2256" s="67"/>
      <c r="CO2256" s="67"/>
      <c r="CP2256" s="67"/>
      <c r="CQ2256" s="67"/>
      <c r="CR2256" s="67"/>
      <c r="CS2256" s="67"/>
      <c r="CT2256" s="67"/>
      <c r="CU2256" s="67"/>
      <c r="CV2256" s="67"/>
      <c r="CW2256" s="67"/>
      <c r="CX2256" s="67"/>
      <c r="CY2256" s="67"/>
      <c r="CZ2256" s="67"/>
      <c r="DA2256" s="67"/>
      <c r="DB2256" s="67"/>
      <c r="DC2256" s="67"/>
      <c r="DD2256" s="67"/>
      <c r="DE2256" s="67"/>
      <c r="DF2256" s="67"/>
      <c r="DG2256" s="67"/>
      <c r="DH2256" s="67"/>
      <c r="DI2256" s="67"/>
      <c r="DJ2256" s="67"/>
      <c r="DK2256" s="67"/>
      <c r="DL2256" s="67"/>
      <c r="DM2256" s="67"/>
      <c r="DN2256" s="67"/>
      <c r="DO2256" s="67"/>
      <c r="DP2256" s="67"/>
      <c r="DQ2256" s="166"/>
      <c r="DR2256" s="166"/>
      <c r="DS2256" s="163"/>
      <c r="DT2256" s="163"/>
      <c r="DU2256" s="67"/>
      <c r="DV2256" s="67"/>
      <c r="DW2256" s="67"/>
      <c r="DX2256" s="67"/>
      <c r="DY2256" s="67"/>
      <c r="DZ2256" s="67"/>
      <c r="EA2256" s="67"/>
      <c r="EB2256" s="67"/>
      <c r="EC2256" s="67"/>
      <c r="ED2256" s="67"/>
      <c r="EE2256" s="67"/>
      <c r="EF2256" s="67"/>
      <c r="EG2256" s="67"/>
      <c r="EH2256" s="67"/>
      <c r="EI2256" s="67"/>
      <c r="EJ2256" s="67"/>
      <c r="EK2256" s="94"/>
      <c r="EL2256" s="94"/>
      <c r="EM2256" s="67"/>
      <c r="EN2256" s="67"/>
      <c r="EO2256" s="67"/>
      <c r="EP2256" s="67"/>
      <c r="EQ2256" s="67"/>
      <c r="ER2256" s="67">
        <v>44.4</v>
      </c>
      <c r="ES2256" s="67">
        <v>46</v>
      </c>
      <c r="ET2256" s="67" t="s">
        <v>987</v>
      </c>
      <c r="EU2256" s="67"/>
      <c r="EV2256" s="67"/>
      <c r="EW2256" s="67"/>
      <c r="EX2256" s="67"/>
      <c r="EY2256" s="67"/>
      <c r="EZ2256" s="67">
        <v>45.58</v>
      </c>
      <c r="FA2256" s="67">
        <v>77.41</v>
      </c>
      <c r="FB2256" s="67"/>
      <c r="FC2256" s="67"/>
      <c r="FD2256" s="67"/>
      <c r="FE2256" s="67"/>
      <c r="FF2256" s="67"/>
      <c r="FG2256" s="67"/>
      <c r="FH2256" s="67"/>
      <c r="FI2256" s="67"/>
      <c r="FJ2256" s="67"/>
      <c r="FK2256" s="67"/>
      <c r="FL2256" s="67"/>
      <c r="FM2256" s="67"/>
      <c r="FN2256" s="67"/>
      <c r="FO2256" s="67"/>
      <c r="FP2256" s="67"/>
      <c r="FQ2256" s="67"/>
      <c r="FR2256" s="67"/>
      <c r="FS2256" s="67"/>
      <c r="FT2256" s="67"/>
      <c r="FU2256" s="67"/>
      <c r="FV2256" s="67"/>
      <c r="FW2256" s="67"/>
      <c r="FX2256" s="67"/>
      <c r="FY2256" s="67"/>
      <c r="FZ2256" s="67"/>
      <c r="GA2256" s="67"/>
      <c r="GB2256" s="67"/>
      <c r="GC2256" s="67"/>
      <c r="GD2256" s="67">
        <v>12</v>
      </c>
      <c r="GE2256" s="67">
        <v>12.5</v>
      </c>
      <c r="GF2256" s="67"/>
      <c r="GG2256" s="67"/>
      <c r="GH2256" s="67"/>
      <c r="GI2256" s="67"/>
      <c r="GJ2256" s="67"/>
      <c r="GK2256" s="67"/>
      <c r="GL2256" s="67"/>
      <c r="GM2256" s="67"/>
      <c r="GN2256" s="292"/>
      <c r="GO2256" s="292"/>
      <c r="GP2256" s="292" t="s">
        <v>7494</v>
      </c>
      <c r="GQ2256" s="67"/>
      <c r="GR2256" s="67"/>
      <c r="GS2256" s="67"/>
      <c r="GT2256" s="67"/>
      <c r="GU2256" s="67"/>
      <c r="GV2256" s="67"/>
      <c r="GW2256" s="67"/>
      <c r="GX2256" s="67"/>
      <c r="GY2256" s="67"/>
      <c r="GZ2256" s="67"/>
      <c r="HA2256" s="67"/>
      <c r="HB2256" s="67"/>
      <c r="HC2256" s="67"/>
      <c r="HD2256" s="67"/>
      <c r="HE2256" s="67"/>
      <c r="HF2256" s="67"/>
      <c r="HG2256" s="67"/>
      <c r="HH2256" s="67"/>
      <c r="HI2256" s="67"/>
      <c r="HJ2256" s="67"/>
      <c r="HK2256" s="67"/>
      <c r="HL2256" s="67"/>
      <c r="HM2256" s="67"/>
      <c r="HN2256" s="67"/>
      <c r="HO2256" s="67"/>
      <c r="HP2256" s="67"/>
      <c r="HQ2256" s="67"/>
      <c r="HR2256" s="67"/>
      <c r="HS2256" s="67"/>
      <c r="HT2256" s="67"/>
      <c r="HU2256" s="67"/>
      <c r="HV2256" s="67"/>
      <c r="HW2256" s="67"/>
      <c r="HX2256" s="67"/>
      <c r="HY2256" s="67"/>
      <c r="HZ2256" s="67"/>
      <c r="IA2256" s="67"/>
      <c r="IB2256" s="67"/>
      <c r="IC2256" s="67"/>
      <c r="ID2256" s="67"/>
      <c r="IE2256" s="67"/>
      <c r="IF2256" s="67"/>
      <c r="IG2256" s="67"/>
      <c r="IH2256" s="67"/>
      <c r="II2256" s="67"/>
      <c r="IJ2256" s="67"/>
      <c r="IK2256" s="67"/>
      <c r="IL2256" s="67"/>
      <c r="IM2256" s="67"/>
      <c r="IN2256" s="67"/>
      <c r="IO2256" s="67"/>
      <c r="IP2256" s="67"/>
      <c r="IQ2256" s="67"/>
      <c r="IR2256" s="67"/>
      <c r="IS2256" s="67"/>
      <c r="IT2256" s="67"/>
      <c r="IU2256" s="67"/>
      <c r="IV2256" s="67"/>
      <c r="IW2256" s="67"/>
      <c r="IX2256" s="67"/>
      <c r="IY2256" s="67"/>
      <c r="IZ2256" s="67"/>
      <c r="JA2256" s="67"/>
      <c r="JB2256" s="67"/>
      <c r="JC2256" s="67"/>
      <c r="JD2256" s="67"/>
      <c r="JE2256" s="67"/>
      <c r="JF2256" s="67"/>
      <c r="JG2256" s="67"/>
      <c r="JH2256" s="67"/>
      <c r="JI2256" s="67"/>
      <c r="JJ2256" s="67"/>
      <c r="JK2256" s="67"/>
      <c r="JL2256" s="67"/>
      <c r="JM2256" s="67"/>
      <c r="JN2256" s="67"/>
      <c r="JO2256" s="67"/>
      <c r="JP2256" s="67"/>
      <c r="JQ2256" s="67"/>
      <c r="JR2256" s="67"/>
      <c r="JS2256" s="67"/>
      <c r="JT2256" s="67"/>
      <c r="JU2256" s="58" t="s">
        <v>2279</v>
      </c>
      <c r="JV2256" s="58"/>
      <c r="JW2256" s="58"/>
    </row>
    <row r="2257" spans="1:283" s="23" customFormat="1" x14ac:dyDescent="0.25">
      <c r="A2257" s="55">
        <v>2256</v>
      </c>
      <c r="B2257" s="12" t="s">
        <v>7067</v>
      </c>
      <c r="C2257" s="156">
        <v>110</v>
      </c>
      <c r="D2257" s="58" t="s">
        <v>4196</v>
      </c>
      <c r="E2257" s="93" t="s">
        <v>2174</v>
      </c>
      <c r="F2257" s="93"/>
      <c r="G2257" s="58" t="s">
        <v>2264</v>
      </c>
      <c r="H2257" s="59">
        <v>1982</v>
      </c>
      <c r="I2257" s="58">
        <v>1978</v>
      </c>
      <c r="J2257" s="59" t="s">
        <v>1709</v>
      </c>
      <c r="K2257" s="59" t="s">
        <v>2265</v>
      </c>
      <c r="L2257" s="59" t="s">
        <v>2744</v>
      </c>
      <c r="M2257" s="94">
        <v>7.38</v>
      </c>
      <c r="N2257" s="94">
        <v>3.95</v>
      </c>
      <c r="O2257" s="93">
        <v>229.3</v>
      </c>
      <c r="P2257" s="59"/>
      <c r="Q2257" s="58"/>
      <c r="R2257" s="59"/>
      <c r="S2257" s="94"/>
      <c r="T2257" s="58"/>
      <c r="U2257" s="58">
        <v>4</v>
      </c>
      <c r="V2257" s="59">
        <v>4</v>
      </c>
      <c r="W2257" s="174"/>
      <c r="X2257" s="174"/>
      <c r="Y2257" s="58" t="s">
        <v>2266</v>
      </c>
      <c r="Z2257" s="58" t="s">
        <v>1355</v>
      </c>
      <c r="AA2257" s="94">
        <v>10</v>
      </c>
      <c r="AB2257" s="67"/>
      <c r="AC2257" s="67"/>
      <c r="AD2257" s="94">
        <v>1.31</v>
      </c>
      <c r="AE2257" s="93">
        <v>69.3</v>
      </c>
      <c r="AF2257" s="93">
        <v>9.5</v>
      </c>
      <c r="AG2257" s="93"/>
      <c r="AH2257" s="58" t="s">
        <v>238</v>
      </c>
      <c r="AI2257" s="169"/>
      <c r="AJ2257" s="94">
        <v>1.7</v>
      </c>
      <c r="AK2257" s="94"/>
      <c r="AL2257" s="58"/>
      <c r="AM2257" s="59" t="s">
        <v>2267</v>
      </c>
      <c r="AN2257" s="188" t="s">
        <v>2275</v>
      </c>
      <c r="AO2257" s="185" t="s">
        <v>5150</v>
      </c>
      <c r="AP2257" s="59"/>
      <c r="AQ2257" s="58" t="s">
        <v>553</v>
      </c>
      <c r="AR2257" s="59" t="s">
        <v>1607</v>
      </c>
      <c r="AS2257" s="58" t="s">
        <v>132</v>
      </c>
      <c r="AT2257" s="182"/>
      <c r="AU2257" s="181" t="s">
        <v>7494</v>
      </c>
      <c r="AV2257" s="185" t="s">
        <v>176</v>
      </c>
      <c r="AW2257" s="58"/>
      <c r="AX2257" s="185" t="s">
        <v>176</v>
      </c>
      <c r="AY2257" s="58"/>
      <c r="AZ2257" s="59"/>
      <c r="BA2257" s="58"/>
      <c r="BB2257" s="58"/>
      <c r="BC2257" s="58"/>
      <c r="BD2257" s="58"/>
      <c r="BE2257" s="240"/>
      <c r="BF2257" s="59"/>
      <c r="BG2257" s="59"/>
      <c r="BH2257" s="236"/>
      <c r="BI2257" s="58"/>
      <c r="BJ2257" s="58"/>
      <c r="BK2257" s="58" t="s">
        <v>5976</v>
      </c>
      <c r="BL2257" s="58"/>
      <c r="BM2257" s="241" t="s">
        <v>160</v>
      </c>
      <c r="BN2257" s="58">
        <v>3</v>
      </c>
      <c r="BO2257" s="58">
        <v>3</v>
      </c>
      <c r="BP2257" s="59"/>
      <c r="BQ2257" s="58" t="s">
        <v>141</v>
      </c>
      <c r="BR2257" s="58"/>
      <c r="BS2257" s="58"/>
      <c r="BT2257" s="58"/>
      <c r="BU2257" s="58" t="s">
        <v>2279</v>
      </c>
      <c r="BV2257" s="58"/>
      <c r="BW2257" s="67"/>
      <c r="BX2257" s="67"/>
      <c r="BY2257" s="67"/>
      <c r="BZ2257" s="67"/>
      <c r="CA2257" s="67"/>
      <c r="CB2257" s="153"/>
      <c r="CC2257" s="68"/>
      <c r="CD2257" s="68"/>
      <c r="CE2257" s="67"/>
      <c r="CF2257" s="67"/>
      <c r="CG2257" s="67"/>
      <c r="CH2257" s="94">
        <v>1.39</v>
      </c>
      <c r="CI2257" s="94">
        <v>1.45</v>
      </c>
      <c r="CJ2257" s="67">
        <f>0.07*SQRT(3)</f>
        <v>0.12124355652982141</v>
      </c>
      <c r="CK2257" s="67">
        <f>SQRT(3)*0.06</f>
        <v>0.10392304845413262</v>
      </c>
      <c r="CL2257" s="67"/>
      <c r="CM2257" s="67"/>
      <c r="CN2257" s="67"/>
      <c r="CO2257" s="67"/>
      <c r="CP2257" s="67"/>
      <c r="CQ2257" s="67"/>
      <c r="CR2257" s="67"/>
      <c r="CS2257" s="67"/>
      <c r="CT2257" s="67"/>
      <c r="CU2257" s="67"/>
      <c r="CV2257" s="67"/>
      <c r="CW2257" s="67"/>
      <c r="CX2257" s="67"/>
      <c r="CY2257" s="67"/>
      <c r="CZ2257" s="67"/>
      <c r="DA2257" s="67"/>
      <c r="DB2257" s="67"/>
      <c r="DC2257" s="67"/>
      <c r="DD2257" s="67"/>
      <c r="DE2257" s="67"/>
      <c r="DF2257" s="67"/>
      <c r="DG2257" s="67"/>
      <c r="DH2257" s="67"/>
      <c r="DI2257" s="67"/>
      <c r="DJ2257" s="67"/>
      <c r="DK2257" s="67"/>
      <c r="DL2257" s="67"/>
      <c r="DM2257" s="67"/>
      <c r="DN2257" s="67"/>
      <c r="DO2257" s="67"/>
      <c r="DP2257" s="67"/>
      <c r="DQ2257" s="166"/>
      <c r="DR2257" s="166"/>
      <c r="DS2257" s="163"/>
      <c r="DT2257" s="163"/>
      <c r="DU2257" s="67"/>
      <c r="DV2257" s="67"/>
      <c r="DW2257" s="67"/>
      <c r="DX2257" s="67"/>
      <c r="DY2257" s="67"/>
      <c r="DZ2257" s="67"/>
      <c r="EA2257" s="67"/>
      <c r="EB2257" s="67"/>
      <c r="EC2257" s="67"/>
      <c r="ED2257" s="67"/>
      <c r="EE2257" s="67"/>
      <c r="EF2257" s="67"/>
      <c r="EG2257" s="67"/>
      <c r="EH2257" s="67"/>
      <c r="EI2257" s="67"/>
      <c r="EJ2257" s="67"/>
      <c r="EK2257" s="94"/>
      <c r="EL2257" s="94"/>
      <c r="EM2257" s="67"/>
      <c r="EN2257" s="67"/>
      <c r="EO2257" s="67"/>
      <c r="EP2257" s="67"/>
      <c r="EQ2257" s="67"/>
      <c r="ER2257" s="67">
        <v>44.4</v>
      </c>
      <c r="ES2257" s="67">
        <v>45.7</v>
      </c>
      <c r="ET2257" s="67" t="s">
        <v>987</v>
      </c>
      <c r="EU2257" s="67"/>
      <c r="EV2257" s="67"/>
      <c r="EW2257" s="67"/>
      <c r="EX2257" s="67"/>
      <c r="EY2257" s="67"/>
      <c r="EZ2257" s="67">
        <v>45.58</v>
      </c>
      <c r="FA2257" s="67">
        <v>72.73</v>
      </c>
      <c r="FB2257" s="67"/>
      <c r="FC2257" s="67"/>
      <c r="FD2257" s="67"/>
      <c r="FE2257" s="67"/>
      <c r="FF2257" s="67"/>
      <c r="FG2257" s="67"/>
      <c r="FH2257" s="67"/>
      <c r="FI2257" s="67"/>
      <c r="FJ2257" s="67"/>
      <c r="FK2257" s="67"/>
      <c r="FL2257" s="67"/>
      <c r="FM2257" s="67"/>
      <c r="FN2257" s="67"/>
      <c r="FO2257" s="67"/>
      <c r="FP2257" s="67"/>
      <c r="FQ2257" s="67"/>
      <c r="FR2257" s="67"/>
      <c r="FS2257" s="67"/>
      <c r="FT2257" s="67"/>
      <c r="FU2257" s="67"/>
      <c r="FV2257" s="67"/>
      <c r="FW2257" s="67"/>
      <c r="FX2257" s="67"/>
      <c r="FY2257" s="67"/>
      <c r="FZ2257" s="67"/>
      <c r="GA2257" s="67"/>
      <c r="GB2257" s="67"/>
      <c r="GC2257" s="67"/>
      <c r="GD2257" s="67">
        <v>12</v>
      </c>
      <c r="GE2257" s="67">
        <v>12.6</v>
      </c>
      <c r="GF2257" s="67"/>
      <c r="GG2257" s="67"/>
      <c r="GH2257" s="67"/>
      <c r="GI2257" s="67"/>
      <c r="GJ2257" s="67"/>
      <c r="GK2257" s="67"/>
      <c r="GL2257" s="67"/>
      <c r="GM2257" s="67"/>
      <c r="GN2257" s="292"/>
      <c r="GO2257" s="292"/>
      <c r="GP2257" s="292" t="s">
        <v>7494</v>
      </c>
      <c r="GQ2257" s="67"/>
      <c r="GR2257" s="67"/>
      <c r="GS2257" s="67"/>
      <c r="GT2257" s="67"/>
      <c r="GU2257" s="67"/>
      <c r="GV2257" s="67"/>
      <c r="GW2257" s="67"/>
      <c r="GX2257" s="67"/>
      <c r="GY2257" s="67"/>
      <c r="GZ2257" s="67"/>
      <c r="HA2257" s="67"/>
      <c r="HB2257" s="67"/>
      <c r="HC2257" s="67"/>
      <c r="HD2257" s="67"/>
      <c r="HE2257" s="67"/>
      <c r="HF2257" s="67"/>
      <c r="HG2257" s="67"/>
      <c r="HH2257" s="67"/>
      <c r="HI2257" s="67"/>
      <c r="HJ2257" s="67"/>
      <c r="HK2257" s="67"/>
      <c r="HL2257" s="67"/>
      <c r="HM2257" s="67"/>
      <c r="HN2257" s="67"/>
      <c r="HO2257" s="67"/>
      <c r="HP2257" s="67"/>
      <c r="HQ2257" s="67"/>
      <c r="HR2257" s="67"/>
      <c r="HS2257" s="67"/>
      <c r="HT2257" s="67"/>
      <c r="HU2257" s="67"/>
      <c r="HV2257" s="67"/>
      <c r="HW2257" s="67"/>
      <c r="HX2257" s="67"/>
      <c r="HY2257" s="67"/>
      <c r="HZ2257" s="67"/>
      <c r="IA2257" s="67"/>
      <c r="IB2257" s="67"/>
      <c r="IC2257" s="67"/>
      <c r="ID2257" s="67"/>
      <c r="IE2257" s="67"/>
      <c r="IF2257" s="67"/>
      <c r="IG2257" s="67"/>
      <c r="IH2257" s="67"/>
      <c r="II2257" s="67"/>
      <c r="IJ2257" s="67"/>
      <c r="IK2257" s="67"/>
      <c r="IL2257" s="67"/>
      <c r="IM2257" s="67"/>
      <c r="IN2257" s="67"/>
      <c r="IO2257" s="67"/>
      <c r="IP2257" s="67"/>
      <c r="IQ2257" s="67"/>
      <c r="IR2257" s="67"/>
      <c r="IS2257" s="67"/>
      <c r="IT2257" s="67"/>
      <c r="IU2257" s="67"/>
      <c r="IV2257" s="67"/>
      <c r="IW2257" s="67"/>
      <c r="IX2257" s="67"/>
      <c r="IY2257" s="67"/>
      <c r="IZ2257" s="67"/>
      <c r="JA2257" s="67"/>
      <c r="JB2257" s="67"/>
      <c r="JC2257" s="67"/>
      <c r="JD2257" s="67"/>
      <c r="JE2257" s="67"/>
      <c r="JF2257" s="67"/>
      <c r="JG2257" s="67"/>
      <c r="JH2257" s="67"/>
      <c r="JI2257" s="67"/>
      <c r="JJ2257" s="67"/>
      <c r="JK2257" s="67"/>
      <c r="JL2257" s="67"/>
      <c r="JM2257" s="67"/>
      <c r="JN2257" s="67"/>
      <c r="JO2257" s="67"/>
      <c r="JP2257" s="67"/>
      <c r="JQ2257" s="67"/>
      <c r="JR2257" s="67"/>
      <c r="JS2257" s="67"/>
      <c r="JT2257" s="67"/>
      <c r="JU2257" s="58" t="s">
        <v>2279</v>
      </c>
      <c r="JV2257" s="58"/>
      <c r="JW2257" s="58"/>
    </row>
    <row r="2258" spans="1:283" s="23" customFormat="1" x14ac:dyDescent="0.25">
      <c r="A2258" s="55">
        <v>2257</v>
      </c>
      <c r="B2258" s="12" t="s">
        <v>7067</v>
      </c>
      <c r="C2258" s="156">
        <v>110</v>
      </c>
      <c r="D2258" s="58" t="s">
        <v>4196</v>
      </c>
      <c r="E2258" s="93" t="s">
        <v>2174</v>
      </c>
      <c r="F2258" s="93"/>
      <c r="G2258" s="58" t="s">
        <v>2264</v>
      </c>
      <c r="H2258" s="59">
        <v>1982</v>
      </c>
      <c r="I2258" s="58">
        <v>1978</v>
      </c>
      <c r="J2258" s="59" t="s">
        <v>1709</v>
      </c>
      <c r="K2258" s="59" t="s">
        <v>2265</v>
      </c>
      <c r="L2258" s="59" t="s">
        <v>2744</v>
      </c>
      <c r="M2258" s="94">
        <v>7.38</v>
      </c>
      <c r="N2258" s="94">
        <v>3.95</v>
      </c>
      <c r="O2258" s="93">
        <v>229.3</v>
      </c>
      <c r="P2258" s="59"/>
      <c r="Q2258" s="58"/>
      <c r="R2258" s="59"/>
      <c r="S2258" s="94"/>
      <c r="T2258" s="58"/>
      <c r="U2258" s="58">
        <v>4</v>
      </c>
      <c r="V2258" s="59">
        <v>4</v>
      </c>
      <c r="W2258" s="174"/>
      <c r="X2258" s="174"/>
      <c r="Y2258" s="58" t="s">
        <v>2266</v>
      </c>
      <c r="Z2258" s="58" t="s">
        <v>1355</v>
      </c>
      <c r="AA2258" s="94">
        <v>10</v>
      </c>
      <c r="AB2258" s="67"/>
      <c r="AC2258" s="67"/>
      <c r="AD2258" s="94">
        <v>1.31</v>
      </c>
      <c r="AE2258" s="93">
        <v>69.3</v>
      </c>
      <c r="AF2258" s="93">
        <v>9.5</v>
      </c>
      <c r="AG2258" s="93"/>
      <c r="AH2258" s="58" t="s">
        <v>238</v>
      </c>
      <c r="AI2258" s="169"/>
      <c r="AJ2258" s="94">
        <v>1.7</v>
      </c>
      <c r="AK2258" s="94"/>
      <c r="AL2258" s="58"/>
      <c r="AM2258" s="59" t="s">
        <v>2267</v>
      </c>
      <c r="AN2258" s="188" t="s">
        <v>2276</v>
      </c>
      <c r="AO2258" s="185" t="s">
        <v>5150</v>
      </c>
      <c r="AP2258" s="59"/>
      <c r="AQ2258" s="58" t="s">
        <v>553</v>
      </c>
      <c r="AR2258" s="59" t="s">
        <v>1607</v>
      </c>
      <c r="AS2258" s="58" t="s">
        <v>132</v>
      </c>
      <c r="AT2258" s="182"/>
      <c r="AU2258" s="181" t="s">
        <v>7494</v>
      </c>
      <c r="AV2258" s="185" t="s">
        <v>176</v>
      </c>
      <c r="AW2258" s="58"/>
      <c r="AX2258" s="185" t="s">
        <v>176</v>
      </c>
      <c r="AY2258" s="58"/>
      <c r="AZ2258" s="59"/>
      <c r="BA2258" s="58"/>
      <c r="BB2258" s="58"/>
      <c r="BC2258" s="58"/>
      <c r="BD2258" s="58"/>
      <c r="BE2258" s="240"/>
      <c r="BF2258" s="59"/>
      <c r="BG2258" s="59"/>
      <c r="BH2258" s="236"/>
      <c r="BI2258" s="58"/>
      <c r="BJ2258" s="58"/>
      <c r="BK2258" s="58" t="s">
        <v>5976</v>
      </c>
      <c r="BL2258" s="58"/>
      <c r="BM2258" s="241" t="s">
        <v>160</v>
      </c>
      <c r="BN2258" s="58">
        <v>3</v>
      </c>
      <c r="BO2258" s="58">
        <v>3</v>
      </c>
      <c r="BP2258" s="59"/>
      <c r="BQ2258" s="58" t="s">
        <v>141</v>
      </c>
      <c r="BR2258" s="58"/>
      <c r="BS2258" s="58"/>
      <c r="BT2258" s="58"/>
      <c r="BU2258" s="58" t="s">
        <v>2279</v>
      </c>
      <c r="BV2258" s="58"/>
      <c r="BW2258" s="67"/>
      <c r="BX2258" s="67"/>
      <c r="BY2258" s="67"/>
      <c r="BZ2258" s="67"/>
      <c r="CA2258" s="67"/>
      <c r="CB2258" s="153"/>
      <c r="CC2258" s="68"/>
      <c r="CD2258" s="68"/>
      <c r="CE2258" s="67"/>
      <c r="CF2258" s="67"/>
      <c r="CG2258" s="67"/>
      <c r="CH2258" s="94">
        <v>1.39</v>
      </c>
      <c r="CI2258" s="94">
        <v>1.46</v>
      </c>
      <c r="CJ2258" s="67">
        <f>0.07*SQRT(3)</f>
        <v>0.12124355652982141</v>
      </c>
      <c r="CK2258" s="67">
        <f>SQRT(3)*0.04</f>
        <v>6.9282032302755092E-2</v>
      </c>
      <c r="CL2258" s="67"/>
      <c r="CM2258" s="67"/>
      <c r="CN2258" s="67"/>
      <c r="CO2258" s="67"/>
      <c r="CP2258" s="67"/>
      <c r="CQ2258" s="67"/>
      <c r="CR2258" s="67"/>
      <c r="CS2258" s="67"/>
      <c r="CT2258" s="67"/>
      <c r="CU2258" s="67"/>
      <c r="CV2258" s="67"/>
      <c r="CW2258" s="67"/>
      <c r="CX2258" s="67"/>
      <c r="CY2258" s="67"/>
      <c r="CZ2258" s="67"/>
      <c r="DA2258" s="67"/>
      <c r="DB2258" s="67"/>
      <c r="DC2258" s="67"/>
      <c r="DD2258" s="67"/>
      <c r="DE2258" s="67"/>
      <c r="DF2258" s="67"/>
      <c r="DG2258" s="67"/>
      <c r="DH2258" s="67"/>
      <c r="DI2258" s="67"/>
      <c r="DJ2258" s="67"/>
      <c r="DK2258" s="67"/>
      <c r="DL2258" s="67"/>
      <c r="DM2258" s="67"/>
      <c r="DN2258" s="67"/>
      <c r="DO2258" s="67"/>
      <c r="DP2258" s="67"/>
      <c r="DQ2258" s="166"/>
      <c r="DR2258" s="166"/>
      <c r="DS2258" s="163"/>
      <c r="DT2258" s="163"/>
      <c r="DU2258" s="67"/>
      <c r="DV2258" s="67"/>
      <c r="DW2258" s="67"/>
      <c r="DX2258" s="67"/>
      <c r="DY2258" s="67"/>
      <c r="DZ2258" s="67"/>
      <c r="EA2258" s="67"/>
      <c r="EB2258" s="67"/>
      <c r="EC2258" s="67"/>
      <c r="ED2258" s="67"/>
      <c r="EE2258" s="67"/>
      <c r="EF2258" s="67"/>
      <c r="EG2258" s="67"/>
      <c r="EH2258" s="67"/>
      <c r="EI2258" s="67"/>
      <c r="EJ2258" s="67"/>
      <c r="EK2258" s="94"/>
      <c r="EL2258" s="94"/>
      <c r="EM2258" s="67"/>
      <c r="EN2258" s="67"/>
      <c r="EO2258" s="67"/>
      <c r="EP2258" s="67"/>
      <c r="EQ2258" s="67"/>
      <c r="ER2258" s="67">
        <v>44.4</v>
      </c>
      <c r="ES2258" s="67">
        <v>47.7</v>
      </c>
      <c r="ET2258" s="67" t="s">
        <v>987</v>
      </c>
      <c r="EU2258" s="67"/>
      <c r="EV2258" s="67"/>
      <c r="EW2258" s="67"/>
      <c r="EX2258" s="67"/>
      <c r="EY2258" s="67"/>
      <c r="EZ2258" s="67">
        <v>45.58</v>
      </c>
      <c r="FA2258" s="67">
        <v>76.290000000000006</v>
      </c>
      <c r="FB2258" s="67"/>
      <c r="FC2258" s="67"/>
      <c r="FD2258" s="67"/>
      <c r="FE2258" s="67"/>
      <c r="FF2258" s="67"/>
      <c r="FG2258" s="67"/>
      <c r="FH2258" s="67"/>
      <c r="FI2258" s="67"/>
      <c r="FJ2258" s="67"/>
      <c r="FK2258" s="67"/>
      <c r="FL2258" s="67"/>
      <c r="FM2258" s="67"/>
      <c r="FN2258" s="67"/>
      <c r="FO2258" s="67"/>
      <c r="FP2258" s="67"/>
      <c r="FQ2258" s="67"/>
      <c r="FR2258" s="67"/>
      <c r="FS2258" s="67"/>
      <c r="FT2258" s="67"/>
      <c r="FU2258" s="67"/>
      <c r="FV2258" s="67"/>
      <c r="FW2258" s="67"/>
      <c r="FX2258" s="67"/>
      <c r="FY2258" s="67"/>
      <c r="FZ2258" s="67"/>
      <c r="GA2258" s="67"/>
      <c r="GB2258" s="67"/>
      <c r="GC2258" s="67"/>
      <c r="GD2258" s="67">
        <v>12</v>
      </c>
      <c r="GE2258" s="67">
        <v>13</v>
      </c>
      <c r="GF2258" s="67"/>
      <c r="GG2258" s="67"/>
      <c r="GH2258" s="67"/>
      <c r="GI2258" s="67"/>
      <c r="GJ2258" s="67"/>
      <c r="GK2258" s="67"/>
      <c r="GL2258" s="67"/>
      <c r="GM2258" s="67"/>
      <c r="GN2258" s="292"/>
      <c r="GO2258" s="292"/>
      <c r="GP2258" s="292" t="s">
        <v>7494</v>
      </c>
      <c r="GQ2258" s="67"/>
      <c r="GR2258" s="67"/>
      <c r="GS2258" s="67"/>
      <c r="GT2258" s="67"/>
      <c r="GU2258" s="67"/>
      <c r="GV2258" s="67"/>
      <c r="GW2258" s="67"/>
      <c r="GX2258" s="67"/>
      <c r="GY2258" s="67"/>
      <c r="GZ2258" s="67"/>
      <c r="HA2258" s="67"/>
      <c r="HB2258" s="67"/>
      <c r="HC2258" s="67"/>
      <c r="HD2258" s="67"/>
      <c r="HE2258" s="67"/>
      <c r="HF2258" s="67"/>
      <c r="HG2258" s="67"/>
      <c r="HH2258" s="67"/>
      <c r="HI2258" s="67"/>
      <c r="HJ2258" s="67"/>
      <c r="HK2258" s="67"/>
      <c r="HL2258" s="67"/>
      <c r="HM2258" s="67"/>
      <c r="HN2258" s="67"/>
      <c r="HO2258" s="67"/>
      <c r="HP2258" s="67"/>
      <c r="HQ2258" s="67"/>
      <c r="HR2258" s="67"/>
      <c r="HS2258" s="67"/>
      <c r="HT2258" s="67"/>
      <c r="HU2258" s="67"/>
      <c r="HV2258" s="67"/>
      <c r="HW2258" s="67"/>
      <c r="HX2258" s="67"/>
      <c r="HY2258" s="67"/>
      <c r="HZ2258" s="67"/>
      <c r="IA2258" s="67"/>
      <c r="IB2258" s="67"/>
      <c r="IC2258" s="67"/>
      <c r="ID2258" s="67"/>
      <c r="IE2258" s="67"/>
      <c r="IF2258" s="67"/>
      <c r="IG2258" s="67"/>
      <c r="IH2258" s="67"/>
      <c r="II2258" s="67"/>
      <c r="IJ2258" s="67"/>
      <c r="IK2258" s="67"/>
      <c r="IL2258" s="67"/>
      <c r="IM2258" s="67"/>
      <c r="IN2258" s="67"/>
      <c r="IO2258" s="67"/>
      <c r="IP2258" s="67"/>
      <c r="IQ2258" s="67"/>
      <c r="IR2258" s="67"/>
      <c r="IS2258" s="67"/>
      <c r="IT2258" s="67"/>
      <c r="IU2258" s="67"/>
      <c r="IV2258" s="67"/>
      <c r="IW2258" s="67"/>
      <c r="IX2258" s="67"/>
      <c r="IY2258" s="67"/>
      <c r="IZ2258" s="67"/>
      <c r="JA2258" s="67"/>
      <c r="JB2258" s="67"/>
      <c r="JC2258" s="67"/>
      <c r="JD2258" s="67"/>
      <c r="JE2258" s="67"/>
      <c r="JF2258" s="67"/>
      <c r="JG2258" s="67"/>
      <c r="JH2258" s="67"/>
      <c r="JI2258" s="67"/>
      <c r="JJ2258" s="67"/>
      <c r="JK2258" s="67"/>
      <c r="JL2258" s="67"/>
      <c r="JM2258" s="67"/>
      <c r="JN2258" s="67"/>
      <c r="JO2258" s="67"/>
      <c r="JP2258" s="67"/>
      <c r="JQ2258" s="67"/>
      <c r="JR2258" s="67"/>
      <c r="JS2258" s="67"/>
      <c r="JT2258" s="67"/>
      <c r="JU2258" s="58" t="s">
        <v>2279</v>
      </c>
      <c r="JV2258" s="58"/>
      <c r="JW2258" s="58"/>
    </row>
    <row r="2259" spans="1:283" s="23" customFormat="1" x14ac:dyDescent="0.25">
      <c r="A2259" s="55">
        <v>2258</v>
      </c>
      <c r="B2259" s="12" t="s">
        <v>7067</v>
      </c>
      <c r="C2259" s="156">
        <v>110</v>
      </c>
      <c r="D2259" s="58" t="s">
        <v>4196</v>
      </c>
      <c r="E2259" s="93" t="s">
        <v>2174</v>
      </c>
      <c r="F2259" s="93"/>
      <c r="G2259" s="58" t="s">
        <v>2264</v>
      </c>
      <c r="H2259" s="59">
        <v>1982</v>
      </c>
      <c r="I2259" s="58">
        <v>1978</v>
      </c>
      <c r="J2259" s="59" t="s">
        <v>1709</v>
      </c>
      <c r="K2259" s="59" t="s">
        <v>2265</v>
      </c>
      <c r="L2259" s="59" t="s">
        <v>2744</v>
      </c>
      <c r="M2259" s="94">
        <v>7.38</v>
      </c>
      <c r="N2259" s="94">
        <v>3.95</v>
      </c>
      <c r="O2259" s="93">
        <v>229.3</v>
      </c>
      <c r="P2259" s="59"/>
      <c r="Q2259" s="58"/>
      <c r="R2259" s="59"/>
      <c r="S2259" s="94"/>
      <c r="T2259" s="58"/>
      <c r="U2259" s="58">
        <v>4</v>
      </c>
      <c r="V2259" s="59">
        <v>4</v>
      </c>
      <c r="W2259" s="174"/>
      <c r="X2259" s="174"/>
      <c r="Y2259" s="58" t="s">
        <v>2266</v>
      </c>
      <c r="Z2259" s="58" t="s">
        <v>1355</v>
      </c>
      <c r="AA2259" s="94">
        <v>10</v>
      </c>
      <c r="AB2259" s="67"/>
      <c r="AC2259" s="67"/>
      <c r="AD2259" s="94">
        <v>1.31</v>
      </c>
      <c r="AE2259" s="93">
        <v>69.3</v>
      </c>
      <c r="AF2259" s="93">
        <v>9.5</v>
      </c>
      <c r="AG2259" s="93"/>
      <c r="AH2259" s="58" t="s">
        <v>238</v>
      </c>
      <c r="AI2259" s="169"/>
      <c r="AJ2259" s="94">
        <v>1.7</v>
      </c>
      <c r="AK2259" s="94"/>
      <c r="AL2259" s="58"/>
      <c r="AM2259" s="59" t="s">
        <v>2267</v>
      </c>
      <c r="AN2259" s="188" t="s">
        <v>2277</v>
      </c>
      <c r="AO2259" s="185" t="s">
        <v>5150</v>
      </c>
      <c r="AP2259" s="59"/>
      <c r="AQ2259" s="58" t="s">
        <v>553</v>
      </c>
      <c r="AR2259" s="59" t="s">
        <v>1607</v>
      </c>
      <c r="AS2259" s="58" t="s">
        <v>132</v>
      </c>
      <c r="AT2259" s="182"/>
      <c r="AU2259" s="181" t="s">
        <v>7494</v>
      </c>
      <c r="AV2259" s="185" t="s">
        <v>176</v>
      </c>
      <c r="AW2259" s="58"/>
      <c r="AX2259" s="185" t="s">
        <v>176</v>
      </c>
      <c r="AY2259" s="58"/>
      <c r="AZ2259" s="59"/>
      <c r="BA2259" s="58"/>
      <c r="BB2259" s="58"/>
      <c r="BC2259" s="58"/>
      <c r="BD2259" s="58"/>
      <c r="BE2259" s="240"/>
      <c r="BF2259" s="59"/>
      <c r="BG2259" s="59"/>
      <c r="BH2259" s="236"/>
      <c r="BI2259" s="58"/>
      <c r="BJ2259" s="58"/>
      <c r="BK2259" s="58" t="s">
        <v>5976</v>
      </c>
      <c r="BL2259" s="58"/>
      <c r="BM2259" s="241" t="s">
        <v>160</v>
      </c>
      <c r="BN2259" s="58">
        <v>3</v>
      </c>
      <c r="BO2259" s="58">
        <v>3</v>
      </c>
      <c r="BP2259" s="59"/>
      <c r="BQ2259" s="58" t="s">
        <v>141</v>
      </c>
      <c r="BR2259" s="58"/>
      <c r="BS2259" s="58"/>
      <c r="BT2259" s="58"/>
      <c r="BU2259" s="58" t="s">
        <v>2279</v>
      </c>
      <c r="BV2259" s="58"/>
      <c r="BW2259" s="67"/>
      <c r="BX2259" s="67"/>
      <c r="BY2259" s="67"/>
      <c r="BZ2259" s="67"/>
      <c r="CA2259" s="67"/>
      <c r="CB2259" s="153"/>
      <c r="CC2259" s="68"/>
      <c r="CD2259" s="68"/>
      <c r="CE2259" s="67"/>
      <c r="CF2259" s="67"/>
      <c r="CG2259" s="67"/>
      <c r="CH2259" s="94">
        <v>1.39</v>
      </c>
      <c r="CI2259" s="94">
        <v>1.42</v>
      </c>
      <c r="CJ2259" s="67">
        <f>0.07*SQRT(3)</f>
        <v>0.12124355652982141</v>
      </c>
      <c r="CK2259" s="67">
        <f>SQRT(3)*0.08</f>
        <v>0.13856406460551018</v>
      </c>
      <c r="CL2259" s="67"/>
      <c r="CM2259" s="67"/>
      <c r="CN2259" s="67"/>
      <c r="CO2259" s="67"/>
      <c r="CP2259" s="67"/>
      <c r="CQ2259" s="67"/>
      <c r="CR2259" s="67"/>
      <c r="CS2259" s="67"/>
      <c r="CT2259" s="67"/>
      <c r="CU2259" s="67"/>
      <c r="CV2259" s="67"/>
      <c r="CW2259" s="67"/>
      <c r="CX2259" s="67"/>
      <c r="CY2259" s="67"/>
      <c r="CZ2259" s="67"/>
      <c r="DA2259" s="67"/>
      <c r="DB2259" s="67"/>
      <c r="DC2259" s="67"/>
      <c r="DD2259" s="67"/>
      <c r="DE2259" s="67"/>
      <c r="DF2259" s="67"/>
      <c r="DG2259" s="67"/>
      <c r="DH2259" s="67"/>
      <c r="DI2259" s="67"/>
      <c r="DJ2259" s="67"/>
      <c r="DK2259" s="67"/>
      <c r="DL2259" s="67"/>
      <c r="DM2259" s="67"/>
      <c r="DN2259" s="67"/>
      <c r="DO2259" s="67"/>
      <c r="DP2259" s="67"/>
      <c r="DQ2259" s="166"/>
      <c r="DR2259" s="166"/>
      <c r="DS2259" s="163"/>
      <c r="DT2259" s="163"/>
      <c r="DU2259" s="67"/>
      <c r="DV2259" s="67"/>
      <c r="DW2259" s="67"/>
      <c r="DX2259" s="67"/>
      <c r="DY2259" s="67"/>
      <c r="DZ2259" s="67"/>
      <c r="EA2259" s="67"/>
      <c r="EB2259" s="67"/>
      <c r="EC2259" s="67"/>
      <c r="ED2259" s="67"/>
      <c r="EE2259" s="67"/>
      <c r="EF2259" s="67"/>
      <c r="EG2259" s="67"/>
      <c r="EH2259" s="67"/>
      <c r="EI2259" s="67"/>
      <c r="EJ2259" s="67"/>
      <c r="EK2259" s="94"/>
      <c r="EL2259" s="94"/>
      <c r="EM2259" s="67"/>
      <c r="EN2259" s="67"/>
      <c r="EO2259" s="67"/>
      <c r="EP2259" s="67"/>
      <c r="EQ2259" s="67"/>
      <c r="ER2259" s="67">
        <v>44.4</v>
      </c>
      <c r="ES2259" s="67">
        <v>49.6</v>
      </c>
      <c r="ET2259" s="67" t="s">
        <v>987</v>
      </c>
      <c r="EU2259" s="67"/>
      <c r="EV2259" s="67"/>
      <c r="EW2259" s="67"/>
      <c r="EX2259" s="67"/>
      <c r="EY2259" s="67"/>
      <c r="EZ2259" s="67">
        <v>45.58</v>
      </c>
      <c r="FA2259" s="67">
        <v>122.71</v>
      </c>
      <c r="FB2259" s="67"/>
      <c r="FC2259" s="67"/>
      <c r="FD2259" s="67"/>
      <c r="FE2259" s="67"/>
      <c r="FF2259" s="67"/>
      <c r="FG2259" s="67"/>
      <c r="FH2259" s="67"/>
      <c r="FI2259" s="67"/>
      <c r="FJ2259" s="67"/>
      <c r="FK2259" s="67"/>
      <c r="FL2259" s="67"/>
      <c r="FM2259" s="67"/>
      <c r="FN2259" s="67"/>
      <c r="FO2259" s="67"/>
      <c r="FP2259" s="67"/>
      <c r="FQ2259" s="67"/>
      <c r="FR2259" s="67"/>
      <c r="FS2259" s="67"/>
      <c r="FT2259" s="67"/>
      <c r="FU2259" s="67"/>
      <c r="FV2259" s="67"/>
      <c r="FW2259" s="67"/>
      <c r="FX2259" s="67"/>
      <c r="FY2259" s="67"/>
      <c r="FZ2259" s="67"/>
      <c r="GA2259" s="67"/>
      <c r="GB2259" s="67"/>
      <c r="GC2259" s="67"/>
      <c r="GD2259" s="67">
        <v>12</v>
      </c>
      <c r="GE2259" s="67">
        <v>13.5</v>
      </c>
      <c r="GF2259" s="67"/>
      <c r="GG2259" s="67"/>
      <c r="GH2259" s="67"/>
      <c r="GI2259" s="67"/>
      <c r="GJ2259" s="67"/>
      <c r="GK2259" s="67"/>
      <c r="GL2259" s="67"/>
      <c r="GM2259" s="67"/>
      <c r="GN2259" s="292"/>
      <c r="GO2259" s="292"/>
      <c r="GP2259" s="292" t="s">
        <v>7494</v>
      </c>
      <c r="GQ2259" s="67"/>
      <c r="GR2259" s="67"/>
      <c r="GS2259" s="67"/>
      <c r="GT2259" s="67"/>
      <c r="GU2259" s="67"/>
      <c r="GV2259" s="67"/>
      <c r="GW2259" s="67"/>
      <c r="GX2259" s="67"/>
      <c r="GY2259" s="67"/>
      <c r="GZ2259" s="67"/>
      <c r="HA2259" s="67"/>
      <c r="HB2259" s="67"/>
      <c r="HC2259" s="67"/>
      <c r="HD2259" s="67"/>
      <c r="HE2259" s="67"/>
      <c r="HF2259" s="67"/>
      <c r="HG2259" s="67"/>
      <c r="HH2259" s="67"/>
      <c r="HI2259" s="67"/>
      <c r="HJ2259" s="67"/>
      <c r="HK2259" s="67"/>
      <c r="HL2259" s="67"/>
      <c r="HM2259" s="67"/>
      <c r="HN2259" s="67"/>
      <c r="HO2259" s="67"/>
      <c r="HP2259" s="67"/>
      <c r="HQ2259" s="67"/>
      <c r="HR2259" s="67"/>
      <c r="HS2259" s="67"/>
      <c r="HT2259" s="67"/>
      <c r="HU2259" s="67"/>
      <c r="HV2259" s="67"/>
      <c r="HW2259" s="67"/>
      <c r="HX2259" s="67"/>
      <c r="HY2259" s="67"/>
      <c r="HZ2259" s="67"/>
      <c r="IA2259" s="67"/>
      <c r="IB2259" s="67"/>
      <c r="IC2259" s="67"/>
      <c r="ID2259" s="67"/>
      <c r="IE2259" s="67"/>
      <c r="IF2259" s="67"/>
      <c r="IG2259" s="67"/>
      <c r="IH2259" s="67"/>
      <c r="II2259" s="67"/>
      <c r="IJ2259" s="67"/>
      <c r="IK2259" s="67"/>
      <c r="IL2259" s="67"/>
      <c r="IM2259" s="67"/>
      <c r="IN2259" s="67"/>
      <c r="IO2259" s="67"/>
      <c r="IP2259" s="67"/>
      <c r="IQ2259" s="67"/>
      <c r="IR2259" s="67"/>
      <c r="IS2259" s="67"/>
      <c r="IT2259" s="67"/>
      <c r="IU2259" s="67"/>
      <c r="IV2259" s="67"/>
      <c r="IW2259" s="67"/>
      <c r="IX2259" s="67"/>
      <c r="IY2259" s="67"/>
      <c r="IZ2259" s="67"/>
      <c r="JA2259" s="67"/>
      <c r="JB2259" s="67"/>
      <c r="JC2259" s="67"/>
      <c r="JD2259" s="67"/>
      <c r="JE2259" s="67"/>
      <c r="JF2259" s="67"/>
      <c r="JG2259" s="67"/>
      <c r="JH2259" s="67"/>
      <c r="JI2259" s="67"/>
      <c r="JJ2259" s="67"/>
      <c r="JK2259" s="67"/>
      <c r="JL2259" s="67"/>
      <c r="JM2259" s="67"/>
      <c r="JN2259" s="67"/>
      <c r="JO2259" s="67"/>
      <c r="JP2259" s="67"/>
      <c r="JQ2259" s="67"/>
      <c r="JR2259" s="67"/>
      <c r="JS2259" s="67"/>
      <c r="JT2259" s="67"/>
      <c r="JU2259" s="58" t="s">
        <v>2279</v>
      </c>
      <c r="JV2259" s="58"/>
      <c r="JW2259" s="58"/>
    </row>
    <row r="2260" spans="1:283" s="23" customFormat="1" x14ac:dyDescent="0.25">
      <c r="A2260" s="55">
        <v>2259</v>
      </c>
      <c r="B2260" s="12" t="s">
        <v>7067</v>
      </c>
      <c r="C2260" s="156">
        <v>110</v>
      </c>
      <c r="D2260" s="58" t="s">
        <v>4196</v>
      </c>
      <c r="E2260" s="93" t="s">
        <v>2174</v>
      </c>
      <c r="F2260" s="93"/>
      <c r="G2260" s="58" t="s">
        <v>2264</v>
      </c>
      <c r="H2260" s="59">
        <v>1982</v>
      </c>
      <c r="I2260" s="58">
        <v>1978</v>
      </c>
      <c r="J2260" s="59" t="s">
        <v>1709</v>
      </c>
      <c r="K2260" s="59" t="s">
        <v>2265</v>
      </c>
      <c r="L2260" s="59" t="s">
        <v>2744</v>
      </c>
      <c r="M2260" s="94">
        <v>7.38</v>
      </c>
      <c r="N2260" s="94">
        <v>3.95</v>
      </c>
      <c r="O2260" s="93">
        <v>229.3</v>
      </c>
      <c r="P2260" s="59"/>
      <c r="Q2260" s="58"/>
      <c r="R2260" s="59"/>
      <c r="S2260" s="94"/>
      <c r="T2260" s="58"/>
      <c r="U2260" s="58">
        <v>4</v>
      </c>
      <c r="V2260" s="59">
        <v>4</v>
      </c>
      <c r="W2260" s="174"/>
      <c r="X2260" s="174"/>
      <c r="Y2260" s="58" t="s">
        <v>2266</v>
      </c>
      <c r="Z2260" s="58" t="s">
        <v>1355</v>
      </c>
      <c r="AA2260" s="94">
        <v>10</v>
      </c>
      <c r="AB2260" s="67"/>
      <c r="AC2260" s="67"/>
      <c r="AD2260" s="94">
        <v>1.31</v>
      </c>
      <c r="AE2260" s="93">
        <v>69.3</v>
      </c>
      <c r="AF2260" s="93">
        <v>9.5</v>
      </c>
      <c r="AG2260" s="93"/>
      <c r="AH2260" s="58" t="s">
        <v>238</v>
      </c>
      <c r="AI2260" s="169"/>
      <c r="AJ2260" s="94">
        <v>1.7</v>
      </c>
      <c r="AK2260" s="94"/>
      <c r="AL2260" s="58"/>
      <c r="AM2260" s="59" t="s">
        <v>2267</v>
      </c>
      <c r="AN2260" s="188" t="s">
        <v>2278</v>
      </c>
      <c r="AO2260" s="185" t="s">
        <v>5150</v>
      </c>
      <c r="AP2260" s="59"/>
      <c r="AQ2260" s="58" t="s">
        <v>553</v>
      </c>
      <c r="AR2260" s="59" t="s">
        <v>1607</v>
      </c>
      <c r="AS2260" s="58" t="s">
        <v>132</v>
      </c>
      <c r="AT2260" s="182"/>
      <c r="AU2260" s="181" t="s">
        <v>7494</v>
      </c>
      <c r="AV2260" s="185" t="s">
        <v>176</v>
      </c>
      <c r="AW2260" s="58"/>
      <c r="AX2260" s="185" t="s">
        <v>176</v>
      </c>
      <c r="AY2260" s="58"/>
      <c r="AZ2260" s="59"/>
      <c r="BA2260" s="58"/>
      <c r="BB2260" s="58"/>
      <c r="BC2260" s="58"/>
      <c r="BD2260" s="58"/>
      <c r="BE2260" s="240"/>
      <c r="BF2260" s="59"/>
      <c r="BG2260" s="59"/>
      <c r="BH2260" s="236"/>
      <c r="BI2260" s="58"/>
      <c r="BJ2260" s="58"/>
      <c r="BK2260" s="58" t="s">
        <v>5976</v>
      </c>
      <c r="BL2260" s="58"/>
      <c r="BM2260" s="241" t="s">
        <v>160</v>
      </c>
      <c r="BN2260" s="58">
        <v>3</v>
      </c>
      <c r="BO2260" s="58">
        <v>3</v>
      </c>
      <c r="BP2260" s="59"/>
      <c r="BQ2260" s="58" t="s">
        <v>141</v>
      </c>
      <c r="BR2260" s="58"/>
      <c r="BS2260" s="58"/>
      <c r="BT2260" s="58"/>
      <c r="BU2260" s="58" t="s">
        <v>2279</v>
      </c>
      <c r="BV2260" s="58"/>
      <c r="BW2260" s="67"/>
      <c r="BX2260" s="67"/>
      <c r="BY2260" s="67"/>
      <c r="BZ2260" s="67"/>
      <c r="CA2260" s="67"/>
      <c r="CB2260" s="153"/>
      <c r="CC2260" s="68"/>
      <c r="CD2260" s="68"/>
      <c r="CE2260" s="67"/>
      <c r="CF2260" s="67"/>
      <c r="CG2260" s="67"/>
      <c r="CH2260" s="94">
        <v>1.39</v>
      </c>
      <c r="CI2260" s="94">
        <v>1.44</v>
      </c>
      <c r="CJ2260" s="67">
        <f>0.07*SQRT(3)</f>
        <v>0.12124355652982141</v>
      </c>
      <c r="CK2260" s="67">
        <f>SQRT(3)*0.07</f>
        <v>0.12124355652982141</v>
      </c>
      <c r="CL2260" s="67"/>
      <c r="CM2260" s="67"/>
      <c r="CN2260" s="67"/>
      <c r="CO2260" s="67"/>
      <c r="CP2260" s="67"/>
      <c r="CQ2260" s="67"/>
      <c r="CR2260" s="67"/>
      <c r="CS2260" s="67"/>
      <c r="CT2260" s="67"/>
      <c r="CU2260" s="67"/>
      <c r="CV2260" s="67"/>
      <c r="CW2260" s="67"/>
      <c r="CX2260" s="67"/>
      <c r="CY2260" s="67"/>
      <c r="CZ2260" s="67"/>
      <c r="DA2260" s="67"/>
      <c r="DB2260" s="67"/>
      <c r="DC2260" s="67"/>
      <c r="DD2260" s="67"/>
      <c r="DE2260" s="67"/>
      <c r="DF2260" s="67"/>
      <c r="DG2260" s="67"/>
      <c r="DH2260" s="67"/>
      <c r="DI2260" s="67"/>
      <c r="DJ2260" s="67"/>
      <c r="DK2260" s="67"/>
      <c r="DL2260" s="67"/>
      <c r="DM2260" s="67"/>
      <c r="DN2260" s="67"/>
      <c r="DO2260" s="67"/>
      <c r="DP2260" s="67"/>
      <c r="DQ2260" s="166"/>
      <c r="DR2260" s="166"/>
      <c r="DS2260" s="163"/>
      <c r="DT2260" s="163"/>
      <c r="DU2260" s="67"/>
      <c r="DV2260" s="67"/>
      <c r="DW2260" s="67"/>
      <c r="DX2260" s="67"/>
      <c r="DY2260" s="67"/>
      <c r="DZ2260" s="67"/>
      <c r="EA2260" s="67"/>
      <c r="EB2260" s="67"/>
      <c r="EC2260" s="67"/>
      <c r="ED2260" s="67"/>
      <c r="EE2260" s="67"/>
      <c r="EF2260" s="67"/>
      <c r="EG2260" s="67"/>
      <c r="EH2260" s="67"/>
      <c r="EI2260" s="67"/>
      <c r="EJ2260" s="67"/>
      <c r="EK2260" s="94"/>
      <c r="EL2260" s="94"/>
      <c r="EM2260" s="67"/>
      <c r="EN2260" s="67"/>
      <c r="EO2260" s="67"/>
      <c r="EP2260" s="67"/>
      <c r="EQ2260" s="67"/>
      <c r="ER2260" s="67">
        <v>44.4</v>
      </c>
      <c r="ES2260" s="67">
        <v>49.4</v>
      </c>
      <c r="ET2260" s="67" t="s">
        <v>987</v>
      </c>
      <c r="EU2260" s="67"/>
      <c r="EV2260" s="67"/>
      <c r="EW2260" s="67"/>
      <c r="EX2260" s="67"/>
      <c r="EY2260" s="67"/>
      <c r="EZ2260" s="67">
        <v>45.58</v>
      </c>
      <c r="FA2260" s="67">
        <v>101.185</v>
      </c>
      <c r="FB2260" s="67"/>
      <c r="FC2260" s="67"/>
      <c r="FD2260" s="67"/>
      <c r="FE2260" s="67"/>
      <c r="FF2260" s="67"/>
      <c r="FG2260" s="67"/>
      <c r="FH2260" s="67"/>
      <c r="FI2260" s="67"/>
      <c r="FJ2260" s="67"/>
      <c r="FK2260" s="67"/>
      <c r="FL2260" s="67"/>
      <c r="FM2260" s="67"/>
      <c r="FN2260" s="67"/>
      <c r="FO2260" s="67"/>
      <c r="FP2260" s="67"/>
      <c r="FQ2260" s="67"/>
      <c r="FR2260" s="67"/>
      <c r="FS2260" s="67"/>
      <c r="FT2260" s="67"/>
      <c r="FU2260" s="67"/>
      <c r="FV2260" s="67"/>
      <c r="FW2260" s="67"/>
      <c r="FX2260" s="67"/>
      <c r="FY2260" s="67"/>
      <c r="FZ2260" s="67"/>
      <c r="GA2260" s="67"/>
      <c r="GB2260" s="67"/>
      <c r="GC2260" s="67"/>
      <c r="GD2260" s="67">
        <v>12</v>
      </c>
      <c r="GE2260" s="67">
        <v>13.2</v>
      </c>
      <c r="GF2260" s="67"/>
      <c r="GG2260" s="67"/>
      <c r="GH2260" s="67"/>
      <c r="GI2260" s="67"/>
      <c r="GJ2260" s="67"/>
      <c r="GK2260" s="67"/>
      <c r="GL2260" s="67"/>
      <c r="GM2260" s="67"/>
      <c r="GN2260" s="292"/>
      <c r="GO2260" s="292"/>
      <c r="GP2260" s="292" t="s">
        <v>7494</v>
      </c>
      <c r="GQ2260" s="67"/>
      <c r="GR2260" s="67"/>
      <c r="GS2260" s="67"/>
      <c r="GT2260" s="67"/>
      <c r="GU2260" s="67"/>
      <c r="GV2260" s="67"/>
      <c r="GW2260" s="67"/>
      <c r="GX2260" s="67"/>
      <c r="GY2260" s="67"/>
      <c r="GZ2260" s="67"/>
      <c r="HA2260" s="67"/>
      <c r="HB2260" s="67"/>
      <c r="HC2260" s="67"/>
      <c r="HD2260" s="67"/>
      <c r="HE2260" s="67"/>
      <c r="HF2260" s="67"/>
      <c r="HG2260" s="67"/>
      <c r="HH2260" s="67"/>
      <c r="HI2260" s="67"/>
      <c r="HJ2260" s="67"/>
      <c r="HK2260" s="67"/>
      <c r="HL2260" s="67"/>
      <c r="HM2260" s="67"/>
      <c r="HN2260" s="67"/>
      <c r="HO2260" s="67"/>
      <c r="HP2260" s="67"/>
      <c r="HQ2260" s="67"/>
      <c r="HR2260" s="67"/>
      <c r="HS2260" s="67"/>
      <c r="HT2260" s="67"/>
      <c r="HU2260" s="67"/>
      <c r="HV2260" s="67"/>
      <c r="HW2260" s="67"/>
      <c r="HX2260" s="67"/>
      <c r="HY2260" s="67"/>
      <c r="HZ2260" s="67"/>
      <c r="IA2260" s="67"/>
      <c r="IB2260" s="67"/>
      <c r="IC2260" s="67"/>
      <c r="ID2260" s="67"/>
      <c r="IE2260" s="67"/>
      <c r="IF2260" s="67"/>
      <c r="IG2260" s="67"/>
      <c r="IH2260" s="67"/>
      <c r="II2260" s="67"/>
      <c r="IJ2260" s="67"/>
      <c r="IK2260" s="67"/>
      <c r="IL2260" s="67"/>
      <c r="IM2260" s="67"/>
      <c r="IN2260" s="67"/>
      <c r="IO2260" s="67"/>
      <c r="IP2260" s="67"/>
      <c r="IQ2260" s="67"/>
      <c r="IR2260" s="67"/>
      <c r="IS2260" s="67"/>
      <c r="IT2260" s="67"/>
      <c r="IU2260" s="67"/>
      <c r="IV2260" s="67"/>
      <c r="IW2260" s="67"/>
      <c r="IX2260" s="67"/>
      <c r="IY2260" s="67"/>
      <c r="IZ2260" s="67"/>
      <c r="JA2260" s="67"/>
      <c r="JB2260" s="67"/>
      <c r="JC2260" s="67"/>
      <c r="JD2260" s="67"/>
      <c r="JE2260" s="67"/>
      <c r="JF2260" s="67"/>
      <c r="JG2260" s="67"/>
      <c r="JH2260" s="67"/>
      <c r="JI2260" s="67"/>
      <c r="JJ2260" s="67"/>
      <c r="JK2260" s="67"/>
      <c r="JL2260" s="67"/>
      <c r="JM2260" s="67"/>
      <c r="JN2260" s="67"/>
      <c r="JO2260" s="67"/>
      <c r="JP2260" s="67"/>
      <c r="JQ2260" s="67"/>
      <c r="JR2260" s="67"/>
      <c r="JS2260" s="67"/>
      <c r="JT2260" s="67"/>
      <c r="JU2260" s="58" t="s">
        <v>2279</v>
      </c>
      <c r="JV2260" s="58"/>
      <c r="JW2260" s="58"/>
    </row>
    <row r="2261" spans="1:283" s="23" customFormat="1" x14ac:dyDescent="0.25">
      <c r="A2261" s="55">
        <v>2260</v>
      </c>
      <c r="B2261" s="12" t="s">
        <v>7067</v>
      </c>
      <c r="C2261" s="156">
        <v>110</v>
      </c>
      <c r="D2261" s="58" t="s">
        <v>4196</v>
      </c>
      <c r="E2261" s="93" t="s">
        <v>2174</v>
      </c>
      <c r="F2261" s="93"/>
      <c r="G2261" s="58" t="s">
        <v>2264</v>
      </c>
      <c r="H2261" s="59">
        <v>1982</v>
      </c>
      <c r="I2261" s="58">
        <v>1978</v>
      </c>
      <c r="J2261" s="59" t="s">
        <v>1709</v>
      </c>
      <c r="K2261" s="59" t="s">
        <v>2265</v>
      </c>
      <c r="L2261" s="59" t="s">
        <v>2744</v>
      </c>
      <c r="M2261" s="94">
        <v>7.38</v>
      </c>
      <c r="N2261" s="94">
        <v>3.95</v>
      </c>
      <c r="O2261" s="93">
        <v>229.3</v>
      </c>
      <c r="P2261" s="59"/>
      <c r="Q2261" s="58"/>
      <c r="R2261" s="59"/>
      <c r="S2261" s="94"/>
      <c r="T2261" s="58"/>
      <c r="U2261" s="58">
        <v>4</v>
      </c>
      <c r="V2261" s="59">
        <v>4</v>
      </c>
      <c r="W2261" s="174"/>
      <c r="X2261" s="174"/>
      <c r="Y2261" s="58" t="s">
        <v>2266</v>
      </c>
      <c r="Z2261" s="58" t="s">
        <v>1355</v>
      </c>
      <c r="AA2261" s="94">
        <v>10</v>
      </c>
      <c r="AB2261" s="67"/>
      <c r="AC2261" s="67"/>
      <c r="AD2261" s="94">
        <v>1.31</v>
      </c>
      <c r="AE2261" s="93">
        <v>69.3</v>
      </c>
      <c r="AF2261" s="93">
        <v>9.5</v>
      </c>
      <c r="AG2261" s="93"/>
      <c r="AH2261" s="58" t="s">
        <v>238</v>
      </c>
      <c r="AI2261" s="169"/>
      <c r="AJ2261" s="94">
        <v>1.7</v>
      </c>
      <c r="AK2261" s="94"/>
      <c r="AL2261" s="58"/>
      <c r="AM2261" s="59" t="s">
        <v>2267</v>
      </c>
      <c r="AN2261" s="188" t="s">
        <v>2271</v>
      </c>
      <c r="AO2261" s="185" t="s">
        <v>5150</v>
      </c>
      <c r="AP2261" s="59"/>
      <c r="AQ2261" s="58" t="s">
        <v>1545</v>
      </c>
      <c r="AR2261" s="59" t="s">
        <v>1607</v>
      </c>
      <c r="AS2261" s="58" t="s">
        <v>132</v>
      </c>
      <c r="AT2261" s="182"/>
      <c r="AU2261" s="181" t="s">
        <v>7494</v>
      </c>
      <c r="AV2261" s="185" t="s">
        <v>176</v>
      </c>
      <c r="AW2261" s="58"/>
      <c r="AX2261" s="185" t="s">
        <v>176</v>
      </c>
      <c r="AY2261" s="58"/>
      <c r="AZ2261" s="59"/>
      <c r="BA2261" s="58"/>
      <c r="BB2261" s="58"/>
      <c r="BC2261" s="58"/>
      <c r="BD2261" s="58"/>
      <c r="BE2261" s="240"/>
      <c r="BF2261" s="59"/>
      <c r="BG2261" s="59"/>
      <c r="BH2261" s="236"/>
      <c r="BI2261" s="58"/>
      <c r="BJ2261" s="58"/>
      <c r="BK2261" s="58" t="s">
        <v>5976</v>
      </c>
      <c r="BL2261" s="58"/>
      <c r="BM2261" s="241" t="s">
        <v>160</v>
      </c>
      <c r="BN2261" s="58">
        <v>3</v>
      </c>
      <c r="BO2261" s="58">
        <v>3</v>
      </c>
      <c r="BP2261" s="59"/>
      <c r="BQ2261" s="58" t="s">
        <v>141</v>
      </c>
      <c r="BR2261" s="58"/>
      <c r="BS2261" s="58"/>
      <c r="BT2261" s="58"/>
      <c r="BU2261" s="58" t="s">
        <v>2280</v>
      </c>
      <c r="BV2261" s="58"/>
      <c r="BW2261" s="67"/>
      <c r="BX2261" s="67"/>
      <c r="BY2261" s="67"/>
      <c r="BZ2261" s="67"/>
      <c r="CA2261" s="67"/>
      <c r="CB2261" s="153"/>
      <c r="CC2261" s="68"/>
      <c r="CD2261" s="68"/>
      <c r="CE2261" s="67"/>
      <c r="CF2261" s="67"/>
      <c r="CG2261" s="67"/>
      <c r="CH2261" s="94">
        <v>1.38</v>
      </c>
      <c r="CI2261" s="94">
        <v>1.48</v>
      </c>
      <c r="CJ2261" s="67">
        <f>SQRT(3)*0.1</f>
        <v>0.17320508075688773</v>
      </c>
      <c r="CK2261" s="67">
        <f>SQRT(3)*0.1</f>
        <v>0.17320508075688773</v>
      </c>
      <c r="CL2261" s="67"/>
      <c r="CM2261" s="67"/>
      <c r="CN2261" s="67"/>
      <c r="CO2261" s="67"/>
      <c r="CP2261" s="67"/>
      <c r="CQ2261" s="67"/>
      <c r="CR2261" s="67"/>
      <c r="CS2261" s="67"/>
      <c r="CT2261" s="67"/>
      <c r="CU2261" s="67"/>
      <c r="CV2261" s="67"/>
      <c r="CW2261" s="67"/>
      <c r="CX2261" s="67"/>
      <c r="CY2261" s="67"/>
      <c r="CZ2261" s="67"/>
      <c r="DA2261" s="67"/>
      <c r="DB2261" s="67"/>
      <c r="DC2261" s="67"/>
      <c r="DD2261" s="67"/>
      <c r="DE2261" s="67"/>
      <c r="DF2261" s="67"/>
      <c r="DG2261" s="67"/>
      <c r="DH2261" s="67"/>
      <c r="DI2261" s="67"/>
      <c r="DJ2261" s="67"/>
      <c r="DK2261" s="67"/>
      <c r="DL2261" s="67"/>
      <c r="DM2261" s="67"/>
      <c r="DN2261" s="67"/>
      <c r="DO2261" s="67"/>
      <c r="DP2261" s="67"/>
      <c r="DQ2261" s="166"/>
      <c r="DR2261" s="166"/>
      <c r="DS2261" s="163"/>
      <c r="DT2261" s="163"/>
      <c r="DU2261" s="67"/>
      <c r="DV2261" s="67"/>
      <c r="DW2261" s="67"/>
      <c r="DX2261" s="67"/>
      <c r="DY2261" s="67"/>
      <c r="DZ2261" s="67"/>
      <c r="EA2261" s="67"/>
      <c r="EB2261" s="67"/>
      <c r="EC2261" s="67"/>
      <c r="ED2261" s="67"/>
      <c r="EE2261" s="67"/>
      <c r="EF2261" s="67"/>
      <c r="EG2261" s="67"/>
      <c r="EH2261" s="67"/>
      <c r="EI2261" s="67"/>
      <c r="EJ2261" s="67"/>
      <c r="EK2261" s="94"/>
      <c r="EL2261" s="94"/>
      <c r="EM2261" s="67"/>
      <c r="EN2261" s="67"/>
      <c r="EO2261" s="67"/>
      <c r="EP2261" s="67"/>
      <c r="EQ2261" s="67"/>
      <c r="ER2261" s="67">
        <v>53.3</v>
      </c>
      <c r="ES2261" s="67">
        <v>50.2</v>
      </c>
      <c r="ET2261" s="67" t="s">
        <v>987</v>
      </c>
      <c r="EU2261" s="67"/>
      <c r="EV2261" s="67"/>
      <c r="EW2261" s="67"/>
      <c r="EX2261" s="67"/>
      <c r="EY2261" s="67"/>
      <c r="EZ2261" s="67"/>
      <c r="FA2261" s="67"/>
      <c r="FB2261" s="67"/>
      <c r="FC2261" s="67"/>
      <c r="FD2261" s="67"/>
      <c r="FE2261" s="67"/>
      <c r="FF2261" s="67"/>
      <c r="FG2261" s="67"/>
      <c r="FH2261" s="67"/>
      <c r="FI2261" s="67"/>
      <c r="FJ2261" s="67"/>
      <c r="FK2261" s="67"/>
      <c r="FL2261" s="67"/>
      <c r="FM2261" s="67"/>
      <c r="FN2261" s="67"/>
      <c r="FO2261" s="67"/>
      <c r="FP2261" s="67"/>
      <c r="FQ2261" s="67"/>
      <c r="FR2261" s="67"/>
      <c r="FS2261" s="67"/>
      <c r="FT2261" s="67"/>
      <c r="FU2261" s="67"/>
      <c r="FV2261" s="67"/>
      <c r="FW2261" s="67"/>
      <c r="FX2261" s="67"/>
      <c r="FY2261" s="67"/>
      <c r="FZ2261" s="67"/>
      <c r="GA2261" s="67"/>
      <c r="GB2261" s="67"/>
      <c r="GC2261" s="67"/>
      <c r="GD2261" s="67"/>
      <c r="GE2261" s="67"/>
      <c r="GF2261" s="67"/>
      <c r="GG2261" s="67"/>
      <c r="GH2261" s="67"/>
      <c r="GI2261" s="67"/>
      <c r="GJ2261" s="67"/>
      <c r="GK2261" s="67"/>
      <c r="GL2261" s="67"/>
      <c r="GM2261" s="67"/>
      <c r="GN2261" s="292"/>
      <c r="GO2261" s="292"/>
      <c r="GP2261" s="292" t="s">
        <v>7494</v>
      </c>
      <c r="GQ2261" s="67"/>
      <c r="GR2261" s="67"/>
      <c r="GS2261" s="67"/>
      <c r="GT2261" s="67"/>
      <c r="GU2261" s="67"/>
      <c r="GV2261" s="67"/>
      <c r="GW2261" s="67"/>
      <c r="GX2261" s="67"/>
      <c r="GY2261" s="67"/>
      <c r="GZ2261" s="67"/>
      <c r="HA2261" s="67"/>
      <c r="HB2261" s="67"/>
      <c r="HC2261" s="67"/>
      <c r="HD2261" s="67"/>
      <c r="HE2261" s="67"/>
      <c r="HF2261" s="67"/>
      <c r="HG2261" s="67"/>
      <c r="HH2261" s="67"/>
      <c r="HI2261" s="67"/>
      <c r="HJ2261" s="67"/>
      <c r="HK2261" s="67"/>
      <c r="HL2261" s="67"/>
      <c r="HM2261" s="67"/>
      <c r="HN2261" s="67"/>
      <c r="HO2261" s="67"/>
      <c r="HP2261" s="67"/>
      <c r="HQ2261" s="67"/>
      <c r="HR2261" s="67"/>
      <c r="HS2261" s="67"/>
      <c r="HT2261" s="67"/>
      <c r="HU2261" s="67"/>
      <c r="HV2261" s="67"/>
      <c r="HW2261" s="67"/>
      <c r="HX2261" s="67"/>
      <c r="HY2261" s="67"/>
      <c r="HZ2261" s="67"/>
      <c r="IA2261" s="67"/>
      <c r="IB2261" s="67"/>
      <c r="IC2261" s="67"/>
      <c r="ID2261" s="67"/>
      <c r="IE2261" s="67"/>
      <c r="IF2261" s="67"/>
      <c r="IG2261" s="67"/>
      <c r="IH2261" s="67"/>
      <c r="II2261" s="67"/>
      <c r="IJ2261" s="67"/>
      <c r="IK2261" s="67"/>
      <c r="IL2261" s="67"/>
      <c r="IM2261" s="67"/>
      <c r="IN2261" s="67"/>
      <c r="IO2261" s="67"/>
      <c r="IP2261" s="67"/>
      <c r="IQ2261" s="67"/>
      <c r="IR2261" s="67"/>
      <c r="IS2261" s="67"/>
      <c r="IT2261" s="67"/>
      <c r="IU2261" s="67"/>
      <c r="IV2261" s="67"/>
      <c r="IW2261" s="67"/>
      <c r="IX2261" s="67"/>
      <c r="IY2261" s="67"/>
      <c r="IZ2261" s="67"/>
      <c r="JA2261" s="67"/>
      <c r="JB2261" s="67"/>
      <c r="JC2261" s="67"/>
      <c r="JD2261" s="67"/>
      <c r="JE2261" s="67"/>
      <c r="JF2261" s="67"/>
      <c r="JG2261" s="67"/>
      <c r="JH2261" s="67"/>
      <c r="JI2261" s="67"/>
      <c r="JJ2261" s="67"/>
      <c r="JK2261" s="67"/>
      <c r="JL2261" s="67"/>
      <c r="JM2261" s="67"/>
      <c r="JN2261" s="67"/>
      <c r="JO2261" s="67"/>
      <c r="JP2261" s="67"/>
      <c r="JQ2261" s="67"/>
      <c r="JR2261" s="67"/>
      <c r="JS2261" s="67"/>
      <c r="JT2261" s="67"/>
      <c r="JU2261" s="58" t="s">
        <v>2280</v>
      </c>
      <c r="JV2261" s="58"/>
      <c r="JW2261" s="58"/>
    </row>
    <row r="2262" spans="1:283" s="23" customFormat="1" x14ac:dyDescent="0.25">
      <c r="A2262" s="55">
        <v>2261</v>
      </c>
      <c r="B2262" s="12" t="s">
        <v>7067</v>
      </c>
      <c r="C2262" s="156">
        <v>110</v>
      </c>
      <c r="D2262" s="58" t="s">
        <v>4196</v>
      </c>
      <c r="E2262" s="93" t="s">
        <v>2174</v>
      </c>
      <c r="F2262" s="93"/>
      <c r="G2262" s="58" t="s">
        <v>2264</v>
      </c>
      <c r="H2262" s="59">
        <v>1982</v>
      </c>
      <c r="I2262" s="58">
        <v>1978</v>
      </c>
      <c r="J2262" s="59" t="s">
        <v>1709</v>
      </c>
      <c r="K2262" s="59" t="s">
        <v>2265</v>
      </c>
      <c r="L2262" s="59" t="s">
        <v>2744</v>
      </c>
      <c r="M2262" s="94">
        <v>7.38</v>
      </c>
      <c r="N2262" s="94">
        <v>3.95</v>
      </c>
      <c r="O2262" s="93">
        <v>229.3</v>
      </c>
      <c r="P2262" s="59"/>
      <c r="Q2262" s="58"/>
      <c r="R2262" s="59"/>
      <c r="S2262" s="94"/>
      <c r="T2262" s="58"/>
      <c r="U2262" s="58">
        <v>4</v>
      </c>
      <c r="V2262" s="59">
        <v>4</v>
      </c>
      <c r="W2262" s="174"/>
      <c r="X2262" s="174"/>
      <c r="Y2262" s="58" t="s">
        <v>2266</v>
      </c>
      <c r="Z2262" s="58" t="s">
        <v>1355</v>
      </c>
      <c r="AA2262" s="94">
        <v>10</v>
      </c>
      <c r="AB2262" s="67"/>
      <c r="AC2262" s="67"/>
      <c r="AD2262" s="94">
        <v>1.31</v>
      </c>
      <c r="AE2262" s="93">
        <v>69.3</v>
      </c>
      <c r="AF2262" s="93">
        <v>9.5</v>
      </c>
      <c r="AG2262" s="93"/>
      <c r="AH2262" s="58" t="s">
        <v>238</v>
      </c>
      <c r="AI2262" s="169"/>
      <c r="AJ2262" s="94">
        <v>1.7</v>
      </c>
      <c r="AK2262" s="94"/>
      <c r="AL2262" s="58"/>
      <c r="AM2262" s="59" t="s">
        <v>2267</v>
      </c>
      <c r="AN2262" s="188" t="s">
        <v>2272</v>
      </c>
      <c r="AO2262" s="185" t="s">
        <v>5150</v>
      </c>
      <c r="AP2262" s="59"/>
      <c r="AQ2262" s="58" t="s">
        <v>1545</v>
      </c>
      <c r="AR2262" s="59" t="s">
        <v>1607</v>
      </c>
      <c r="AS2262" s="58" t="s">
        <v>132</v>
      </c>
      <c r="AT2262" s="182"/>
      <c r="AU2262" s="181" t="s">
        <v>7494</v>
      </c>
      <c r="AV2262" s="185" t="s">
        <v>176</v>
      </c>
      <c r="AW2262" s="58"/>
      <c r="AX2262" s="185" t="s">
        <v>176</v>
      </c>
      <c r="AY2262" s="58"/>
      <c r="AZ2262" s="59"/>
      <c r="BA2262" s="58"/>
      <c r="BB2262" s="58"/>
      <c r="BC2262" s="58"/>
      <c r="BD2262" s="58"/>
      <c r="BE2262" s="240"/>
      <c r="BF2262" s="59"/>
      <c r="BG2262" s="59"/>
      <c r="BH2262" s="236"/>
      <c r="BI2262" s="58"/>
      <c r="BJ2262" s="58"/>
      <c r="BK2262" s="58" t="s">
        <v>5976</v>
      </c>
      <c r="BL2262" s="58"/>
      <c r="BM2262" s="241" t="s">
        <v>160</v>
      </c>
      <c r="BN2262" s="58">
        <v>3</v>
      </c>
      <c r="BO2262" s="58">
        <v>3</v>
      </c>
      <c r="BP2262" s="59"/>
      <c r="BQ2262" s="58" t="s">
        <v>141</v>
      </c>
      <c r="BR2262" s="58"/>
      <c r="BS2262" s="58"/>
      <c r="BT2262" s="58"/>
      <c r="BU2262" s="58" t="s">
        <v>2280</v>
      </c>
      <c r="BV2262" s="58"/>
      <c r="BW2262" s="67"/>
      <c r="BX2262" s="67"/>
      <c r="BY2262" s="67"/>
      <c r="BZ2262" s="67"/>
      <c r="CA2262" s="67"/>
      <c r="CB2262" s="153"/>
      <c r="CC2262" s="68"/>
      <c r="CD2262" s="68"/>
      <c r="CE2262" s="67"/>
      <c r="CF2262" s="67"/>
      <c r="CG2262" s="67"/>
      <c r="CH2262" s="94">
        <v>1.38</v>
      </c>
      <c r="CI2262" s="94">
        <v>1.49</v>
      </c>
      <c r="CJ2262" s="67">
        <f>SQRT(3)*0.1</f>
        <v>0.17320508075688773</v>
      </c>
      <c r="CK2262" s="67">
        <f>SQRT(3)*0.1</f>
        <v>0.17320508075688773</v>
      </c>
      <c r="CL2262" s="67"/>
      <c r="CM2262" s="67"/>
      <c r="CN2262" s="67"/>
      <c r="CO2262" s="67"/>
      <c r="CP2262" s="67"/>
      <c r="CQ2262" s="67"/>
      <c r="CR2262" s="67"/>
      <c r="CS2262" s="67"/>
      <c r="CT2262" s="67"/>
      <c r="CU2262" s="67"/>
      <c r="CV2262" s="67"/>
      <c r="CW2262" s="67"/>
      <c r="CX2262" s="67"/>
      <c r="CY2262" s="67"/>
      <c r="CZ2262" s="67"/>
      <c r="DA2262" s="67"/>
      <c r="DB2262" s="67"/>
      <c r="DC2262" s="67"/>
      <c r="DD2262" s="67"/>
      <c r="DE2262" s="67"/>
      <c r="DF2262" s="67"/>
      <c r="DG2262" s="67"/>
      <c r="DH2262" s="67"/>
      <c r="DI2262" s="67"/>
      <c r="DJ2262" s="67"/>
      <c r="DK2262" s="67"/>
      <c r="DL2262" s="67"/>
      <c r="DM2262" s="67"/>
      <c r="DN2262" s="67"/>
      <c r="DO2262" s="67"/>
      <c r="DP2262" s="67"/>
      <c r="DQ2262" s="166"/>
      <c r="DR2262" s="166"/>
      <c r="DS2262" s="163"/>
      <c r="DT2262" s="163"/>
      <c r="DU2262" s="67"/>
      <c r="DV2262" s="67"/>
      <c r="DW2262" s="67"/>
      <c r="DX2262" s="67"/>
      <c r="DY2262" s="67"/>
      <c r="DZ2262" s="67"/>
      <c r="EA2262" s="67"/>
      <c r="EB2262" s="67"/>
      <c r="EC2262" s="67"/>
      <c r="ED2262" s="67"/>
      <c r="EE2262" s="67"/>
      <c r="EF2262" s="67"/>
      <c r="EG2262" s="67"/>
      <c r="EH2262" s="67"/>
      <c r="EI2262" s="67"/>
      <c r="EJ2262" s="67"/>
      <c r="EK2262" s="94"/>
      <c r="EL2262" s="94"/>
      <c r="EM2262" s="67"/>
      <c r="EN2262" s="67"/>
      <c r="EO2262" s="67"/>
      <c r="EP2262" s="67"/>
      <c r="EQ2262" s="67"/>
      <c r="ER2262" s="67">
        <v>53.3</v>
      </c>
      <c r="ES2262" s="67">
        <v>55.2</v>
      </c>
      <c r="ET2262" s="67" t="s">
        <v>987</v>
      </c>
      <c r="EU2262" s="67"/>
      <c r="EV2262" s="67"/>
      <c r="EW2262" s="67"/>
      <c r="EX2262" s="67"/>
      <c r="EY2262" s="67"/>
      <c r="EZ2262" s="67"/>
      <c r="FA2262" s="67"/>
      <c r="FB2262" s="67"/>
      <c r="FC2262" s="67"/>
      <c r="FD2262" s="67"/>
      <c r="FE2262" s="67"/>
      <c r="FF2262" s="67"/>
      <c r="FG2262" s="67"/>
      <c r="FH2262" s="67"/>
      <c r="FI2262" s="67"/>
      <c r="FJ2262" s="67"/>
      <c r="FK2262" s="67"/>
      <c r="FL2262" s="67"/>
      <c r="FM2262" s="67"/>
      <c r="FN2262" s="67"/>
      <c r="FO2262" s="67"/>
      <c r="FP2262" s="67"/>
      <c r="FQ2262" s="67"/>
      <c r="FR2262" s="67"/>
      <c r="FS2262" s="67"/>
      <c r="FT2262" s="67"/>
      <c r="FU2262" s="67"/>
      <c r="FV2262" s="67"/>
      <c r="FW2262" s="67"/>
      <c r="FX2262" s="67"/>
      <c r="FY2262" s="67"/>
      <c r="FZ2262" s="67"/>
      <c r="GA2262" s="67"/>
      <c r="GB2262" s="67"/>
      <c r="GC2262" s="67"/>
      <c r="GD2262" s="67"/>
      <c r="GE2262" s="67"/>
      <c r="GF2262" s="67"/>
      <c r="GG2262" s="67"/>
      <c r="GH2262" s="67"/>
      <c r="GI2262" s="67"/>
      <c r="GJ2262" s="67"/>
      <c r="GK2262" s="67"/>
      <c r="GL2262" s="67"/>
      <c r="GM2262" s="67"/>
      <c r="GN2262" s="292"/>
      <c r="GO2262" s="292"/>
      <c r="GP2262" s="292" t="s">
        <v>7494</v>
      </c>
      <c r="GQ2262" s="67"/>
      <c r="GR2262" s="67"/>
      <c r="GS2262" s="67"/>
      <c r="GT2262" s="67"/>
      <c r="GU2262" s="67"/>
      <c r="GV2262" s="67"/>
      <c r="GW2262" s="67"/>
      <c r="GX2262" s="67"/>
      <c r="GY2262" s="67"/>
      <c r="GZ2262" s="67"/>
      <c r="HA2262" s="67"/>
      <c r="HB2262" s="67"/>
      <c r="HC2262" s="67"/>
      <c r="HD2262" s="67"/>
      <c r="HE2262" s="67"/>
      <c r="HF2262" s="67"/>
      <c r="HG2262" s="67"/>
      <c r="HH2262" s="67"/>
      <c r="HI2262" s="67"/>
      <c r="HJ2262" s="67"/>
      <c r="HK2262" s="67"/>
      <c r="HL2262" s="67"/>
      <c r="HM2262" s="67"/>
      <c r="HN2262" s="67"/>
      <c r="HO2262" s="67"/>
      <c r="HP2262" s="67"/>
      <c r="HQ2262" s="67"/>
      <c r="HR2262" s="67"/>
      <c r="HS2262" s="67"/>
      <c r="HT2262" s="67"/>
      <c r="HU2262" s="67"/>
      <c r="HV2262" s="67"/>
      <c r="HW2262" s="67"/>
      <c r="HX2262" s="67"/>
      <c r="HY2262" s="67"/>
      <c r="HZ2262" s="67"/>
      <c r="IA2262" s="67"/>
      <c r="IB2262" s="67"/>
      <c r="IC2262" s="67"/>
      <c r="ID2262" s="67"/>
      <c r="IE2262" s="67"/>
      <c r="IF2262" s="67"/>
      <c r="IG2262" s="67"/>
      <c r="IH2262" s="67"/>
      <c r="II2262" s="67"/>
      <c r="IJ2262" s="67"/>
      <c r="IK2262" s="67"/>
      <c r="IL2262" s="67"/>
      <c r="IM2262" s="67"/>
      <c r="IN2262" s="67"/>
      <c r="IO2262" s="67"/>
      <c r="IP2262" s="67"/>
      <c r="IQ2262" s="67"/>
      <c r="IR2262" s="67"/>
      <c r="IS2262" s="67"/>
      <c r="IT2262" s="67"/>
      <c r="IU2262" s="67"/>
      <c r="IV2262" s="67"/>
      <c r="IW2262" s="67"/>
      <c r="IX2262" s="67"/>
      <c r="IY2262" s="67"/>
      <c r="IZ2262" s="67"/>
      <c r="JA2262" s="67"/>
      <c r="JB2262" s="67"/>
      <c r="JC2262" s="67"/>
      <c r="JD2262" s="67"/>
      <c r="JE2262" s="67"/>
      <c r="JF2262" s="67"/>
      <c r="JG2262" s="67"/>
      <c r="JH2262" s="67"/>
      <c r="JI2262" s="67"/>
      <c r="JJ2262" s="67"/>
      <c r="JK2262" s="67"/>
      <c r="JL2262" s="67"/>
      <c r="JM2262" s="67"/>
      <c r="JN2262" s="67"/>
      <c r="JO2262" s="67"/>
      <c r="JP2262" s="67"/>
      <c r="JQ2262" s="67"/>
      <c r="JR2262" s="67"/>
      <c r="JS2262" s="67"/>
      <c r="JT2262" s="67"/>
      <c r="JU2262" s="58" t="s">
        <v>2280</v>
      </c>
      <c r="JV2262" s="58"/>
      <c r="JW2262" s="58"/>
    </row>
    <row r="2263" spans="1:283" s="23" customFormat="1" x14ac:dyDescent="0.25">
      <c r="A2263" s="55">
        <v>2262</v>
      </c>
      <c r="B2263" s="12" t="s">
        <v>7067</v>
      </c>
      <c r="C2263" s="156">
        <v>110</v>
      </c>
      <c r="D2263" s="58" t="s">
        <v>4196</v>
      </c>
      <c r="E2263" s="93" t="s">
        <v>2174</v>
      </c>
      <c r="F2263" s="93"/>
      <c r="G2263" s="58" t="s">
        <v>2264</v>
      </c>
      <c r="H2263" s="59">
        <v>1982</v>
      </c>
      <c r="I2263" s="58">
        <v>1978</v>
      </c>
      <c r="J2263" s="59" t="s">
        <v>1709</v>
      </c>
      <c r="K2263" s="59" t="s">
        <v>2265</v>
      </c>
      <c r="L2263" s="59" t="s">
        <v>2744</v>
      </c>
      <c r="M2263" s="94">
        <v>7.38</v>
      </c>
      <c r="N2263" s="94">
        <v>3.95</v>
      </c>
      <c r="O2263" s="93">
        <v>229.3</v>
      </c>
      <c r="P2263" s="59"/>
      <c r="Q2263" s="58"/>
      <c r="R2263" s="59"/>
      <c r="S2263" s="94"/>
      <c r="T2263" s="58"/>
      <c r="U2263" s="58">
        <v>4</v>
      </c>
      <c r="V2263" s="59">
        <v>4</v>
      </c>
      <c r="W2263" s="174"/>
      <c r="X2263" s="174"/>
      <c r="Y2263" s="58" t="s">
        <v>2266</v>
      </c>
      <c r="Z2263" s="58" t="s">
        <v>1355</v>
      </c>
      <c r="AA2263" s="94">
        <v>10</v>
      </c>
      <c r="AB2263" s="67"/>
      <c r="AC2263" s="67"/>
      <c r="AD2263" s="94">
        <v>1.31</v>
      </c>
      <c r="AE2263" s="93">
        <v>69.3</v>
      </c>
      <c r="AF2263" s="93">
        <v>9.5</v>
      </c>
      <c r="AG2263" s="93"/>
      <c r="AH2263" s="58" t="s">
        <v>238</v>
      </c>
      <c r="AI2263" s="169"/>
      <c r="AJ2263" s="94">
        <v>1.7</v>
      </c>
      <c r="AK2263" s="94"/>
      <c r="AL2263" s="58"/>
      <c r="AM2263" s="59" t="s">
        <v>2267</v>
      </c>
      <c r="AN2263" s="188" t="s">
        <v>2273</v>
      </c>
      <c r="AO2263" s="185" t="s">
        <v>5150</v>
      </c>
      <c r="AP2263" s="59"/>
      <c r="AQ2263" s="58" t="s">
        <v>1545</v>
      </c>
      <c r="AR2263" s="59" t="s">
        <v>1607</v>
      </c>
      <c r="AS2263" s="58" t="s">
        <v>132</v>
      </c>
      <c r="AT2263" s="182"/>
      <c r="AU2263" s="181" t="s">
        <v>7494</v>
      </c>
      <c r="AV2263" s="185" t="s">
        <v>176</v>
      </c>
      <c r="AW2263" s="58"/>
      <c r="AX2263" s="185" t="s">
        <v>176</v>
      </c>
      <c r="AY2263" s="58"/>
      <c r="AZ2263" s="59"/>
      <c r="BA2263" s="58"/>
      <c r="BB2263" s="58"/>
      <c r="BC2263" s="58"/>
      <c r="BD2263" s="58"/>
      <c r="BE2263" s="240"/>
      <c r="BF2263" s="59"/>
      <c r="BG2263" s="59"/>
      <c r="BH2263" s="236"/>
      <c r="BI2263" s="58"/>
      <c r="BJ2263" s="58"/>
      <c r="BK2263" s="58" t="s">
        <v>5976</v>
      </c>
      <c r="BL2263" s="58"/>
      <c r="BM2263" s="241" t="s">
        <v>160</v>
      </c>
      <c r="BN2263" s="58">
        <v>3</v>
      </c>
      <c r="BO2263" s="58">
        <v>3</v>
      </c>
      <c r="BP2263" s="59"/>
      <c r="BQ2263" s="58" t="s">
        <v>141</v>
      </c>
      <c r="BR2263" s="58"/>
      <c r="BS2263" s="58"/>
      <c r="BT2263" s="58"/>
      <c r="BU2263" s="58" t="s">
        <v>2280</v>
      </c>
      <c r="BV2263" s="58"/>
      <c r="BW2263" s="67"/>
      <c r="BX2263" s="67"/>
      <c r="BY2263" s="67"/>
      <c r="BZ2263" s="67"/>
      <c r="CA2263" s="67"/>
      <c r="CB2263" s="153"/>
      <c r="CC2263" s="68"/>
      <c r="CD2263" s="68"/>
      <c r="CE2263" s="67"/>
      <c r="CF2263" s="67"/>
      <c r="CG2263" s="67"/>
      <c r="CH2263" s="94">
        <v>1.38</v>
      </c>
      <c r="CI2263" s="94">
        <v>1.43</v>
      </c>
      <c r="CJ2263" s="67">
        <f>SQRT(3)*0.1</f>
        <v>0.17320508075688773</v>
      </c>
      <c r="CK2263" s="67">
        <f>SQRT(3)*0.08</f>
        <v>0.13856406460551018</v>
      </c>
      <c r="CL2263" s="67"/>
      <c r="CM2263" s="67"/>
      <c r="CN2263" s="67"/>
      <c r="CO2263" s="67"/>
      <c r="CP2263" s="67"/>
      <c r="CQ2263" s="67"/>
      <c r="CR2263" s="67"/>
      <c r="CS2263" s="67"/>
      <c r="CT2263" s="67"/>
      <c r="CU2263" s="67"/>
      <c r="CV2263" s="67"/>
      <c r="CW2263" s="67"/>
      <c r="CX2263" s="67"/>
      <c r="CY2263" s="67"/>
      <c r="CZ2263" s="67"/>
      <c r="DA2263" s="67"/>
      <c r="DB2263" s="67"/>
      <c r="DC2263" s="67"/>
      <c r="DD2263" s="67"/>
      <c r="DE2263" s="67"/>
      <c r="DF2263" s="67"/>
      <c r="DG2263" s="67"/>
      <c r="DH2263" s="67"/>
      <c r="DI2263" s="67"/>
      <c r="DJ2263" s="67"/>
      <c r="DK2263" s="67"/>
      <c r="DL2263" s="67"/>
      <c r="DM2263" s="67"/>
      <c r="DN2263" s="67"/>
      <c r="DO2263" s="67"/>
      <c r="DP2263" s="67"/>
      <c r="DQ2263" s="166"/>
      <c r="DR2263" s="166"/>
      <c r="DS2263" s="163"/>
      <c r="DT2263" s="163"/>
      <c r="DU2263" s="67"/>
      <c r="DV2263" s="67"/>
      <c r="DW2263" s="67"/>
      <c r="DX2263" s="67"/>
      <c r="DY2263" s="67"/>
      <c r="DZ2263" s="67"/>
      <c r="EA2263" s="67"/>
      <c r="EB2263" s="67"/>
      <c r="EC2263" s="67"/>
      <c r="ED2263" s="67"/>
      <c r="EE2263" s="67"/>
      <c r="EF2263" s="67"/>
      <c r="EG2263" s="67"/>
      <c r="EH2263" s="67"/>
      <c r="EI2263" s="67"/>
      <c r="EJ2263" s="67"/>
      <c r="EK2263" s="94"/>
      <c r="EL2263" s="94"/>
      <c r="EM2263" s="67"/>
      <c r="EN2263" s="67"/>
      <c r="EO2263" s="67"/>
      <c r="EP2263" s="67"/>
      <c r="EQ2263" s="67"/>
      <c r="ER2263" s="67">
        <v>53.3</v>
      </c>
      <c r="ES2263" s="67">
        <v>53.7</v>
      </c>
      <c r="ET2263" s="67" t="s">
        <v>987</v>
      </c>
      <c r="EU2263" s="67"/>
      <c r="EV2263" s="67"/>
      <c r="EW2263" s="67"/>
      <c r="EX2263" s="67"/>
      <c r="EY2263" s="67"/>
      <c r="EZ2263" s="67"/>
      <c r="FA2263" s="67"/>
      <c r="FB2263" s="67"/>
      <c r="FC2263" s="67"/>
      <c r="FD2263" s="67"/>
      <c r="FE2263" s="67"/>
      <c r="FF2263" s="67"/>
      <c r="FG2263" s="67"/>
      <c r="FH2263" s="67"/>
      <c r="FI2263" s="67"/>
      <c r="FJ2263" s="67"/>
      <c r="FK2263" s="67"/>
      <c r="FL2263" s="67"/>
      <c r="FM2263" s="67"/>
      <c r="FN2263" s="67"/>
      <c r="FO2263" s="67"/>
      <c r="FP2263" s="67"/>
      <c r="FQ2263" s="67"/>
      <c r="FR2263" s="67"/>
      <c r="FS2263" s="67"/>
      <c r="FT2263" s="67"/>
      <c r="FU2263" s="67"/>
      <c r="FV2263" s="67"/>
      <c r="FW2263" s="67"/>
      <c r="FX2263" s="67"/>
      <c r="FY2263" s="67"/>
      <c r="FZ2263" s="67"/>
      <c r="GA2263" s="67"/>
      <c r="GB2263" s="67"/>
      <c r="GC2263" s="67"/>
      <c r="GD2263" s="67"/>
      <c r="GE2263" s="67"/>
      <c r="GF2263" s="67"/>
      <c r="GG2263" s="67"/>
      <c r="GH2263" s="67"/>
      <c r="GI2263" s="67"/>
      <c r="GJ2263" s="67"/>
      <c r="GK2263" s="67"/>
      <c r="GL2263" s="67"/>
      <c r="GM2263" s="67"/>
      <c r="GN2263" s="292"/>
      <c r="GO2263" s="292"/>
      <c r="GP2263" s="292" t="s">
        <v>7494</v>
      </c>
      <c r="GQ2263" s="67"/>
      <c r="GR2263" s="67"/>
      <c r="GS2263" s="67"/>
      <c r="GT2263" s="67"/>
      <c r="GU2263" s="67"/>
      <c r="GV2263" s="67"/>
      <c r="GW2263" s="67"/>
      <c r="GX2263" s="67"/>
      <c r="GY2263" s="67"/>
      <c r="GZ2263" s="67"/>
      <c r="HA2263" s="67"/>
      <c r="HB2263" s="67"/>
      <c r="HC2263" s="67"/>
      <c r="HD2263" s="67"/>
      <c r="HE2263" s="67"/>
      <c r="HF2263" s="67"/>
      <c r="HG2263" s="67"/>
      <c r="HH2263" s="67"/>
      <c r="HI2263" s="67"/>
      <c r="HJ2263" s="67"/>
      <c r="HK2263" s="67"/>
      <c r="HL2263" s="67"/>
      <c r="HM2263" s="67"/>
      <c r="HN2263" s="67"/>
      <c r="HO2263" s="67"/>
      <c r="HP2263" s="67"/>
      <c r="HQ2263" s="67"/>
      <c r="HR2263" s="67"/>
      <c r="HS2263" s="67"/>
      <c r="HT2263" s="67"/>
      <c r="HU2263" s="67"/>
      <c r="HV2263" s="67"/>
      <c r="HW2263" s="67"/>
      <c r="HX2263" s="67"/>
      <c r="HY2263" s="67"/>
      <c r="HZ2263" s="67"/>
      <c r="IA2263" s="67"/>
      <c r="IB2263" s="67"/>
      <c r="IC2263" s="67"/>
      <c r="ID2263" s="67"/>
      <c r="IE2263" s="67"/>
      <c r="IF2263" s="67"/>
      <c r="IG2263" s="67"/>
      <c r="IH2263" s="67"/>
      <c r="II2263" s="67"/>
      <c r="IJ2263" s="67"/>
      <c r="IK2263" s="67"/>
      <c r="IL2263" s="67"/>
      <c r="IM2263" s="67"/>
      <c r="IN2263" s="67"/>
      <c r="IO2263" s="67"/>
      <c r="IP2263" s="67"/>
      <c r="IQ2263" s="67"/>
      <c r="IR2263" s="67"/>
      <c r="IS2263" s="67"/>
      <c r="IT2263" s="67"/>
      <c r="IU2263" s="67"/>
      <c r="IV2263" s="67"/>
      <c r="IW2263" s="67"/>
      <c r="IX2263" s="67"/>
      <c r="IY2263" s="67"/>
      <c r="IZ2263" s="67"/>
      <c r="JA2263" s="67"/>
      <c r="JB2263" s="67"/>
      <c r="JC2263" s="67"/>
      <c r="JD2263" s="67"/>
      <c r="JE2263" s="67"/>
      <c r="JF2263" s="67"/>
      <c r="JG2263" s="67"/>
      <c r="JH2263" s="67"/>
      <c r="JI2263" s="67"/>
      <c r="JJ2263" s="67"/>
      <c r="JK2263" s="67"/>
      <c r="JL2263" s="67"/>
      <c r="JM2263" s="67"/>
      <c r="JN2263" s="67"/>
      <c r="JO2263" s="67"/>
      <c r="JP2263" s="67"/>
      <c r="JQ2263" s="67"/>
      <c r="JR2263" s="67"/>
      <c r="JS2263" s="67"/>
      <c r="JT2263" s="67"/>
      <c r="JU2263" s="58" t="s">
        <v>2280</v>
      </c>
      <c r="JV2263" s="58"/>
      <c r="JW2263" s="58"/>
    </row>
    <row r="2264" spans="1:283" s="23" customFormat="1" x14ac:dyDescent="0.25">
      <c r="A2264" s="55">
        <v>2263</v>
      </c>
      <c r="B2264" s="12" t="s">
        <v>7067</v>
      </c>
      <c r="C2264" s="156">
        <v>110</v>
      </c>
      <c r="D2264" s="58" t="s">
        <v>4196</v>
      </c>
      <c r="E2264" s="93" t="s">
        <v>2174</v>
      </c>
      <c r="F2264" s="93"/>
      <c r="G2264" s="58" t="s">
        <v>2264</v>
      </c>
      <c r="H2264" s="59">
        <v>1982</v>
      </c>
      <c r="I2264" s="58">
        <v>1978</v>
      </c>
      <c r="J2264" s="59" t="s">
        <v>1709</v>
      </c>
      <c r="K2264" s="59" t="s">
        <v>2265</v>
      </c>
      <c r="L2264" s="59" t="s">
        <v>2744</v>
      </c>
      <c r="M2264" s="94">
        <v>7.38</v>
      </c>
      <c r="N2264" s="94">
        <v>3.95</v>
      </c>
      <c r="O2264" s="93">
        <v>229.3</v>
      </c>
      <c r="P2264" s="59"/>
      <c r="Q2264" s="58"/>
      <c r="R2264" s="59"/>
      <c r="S2264" s="94"/>
      <c r="T2264" s="58"/>
      <c r="U2264" s="58">
        <v>4</v>
      </c>
      <c r="V2264" s="59">
        <v>4</v>
      </c>
      <c r="W2264" s="174"/>
      <c r="X2264" s="174"/>
      <c r="Y2264" s="58" t="s">
        <v>2266</v>
      </c>
      <c r="Z2264" s="58" t="s">
        <v>1355</v>
      </c>
      <c r="AA2264" s="94">
        <v>10</v>
      </c>
      <c r="AB2264" s="67"/>
      <c r="AC2264" s="67"/>
      <c r="AD2264" s="94">
        <v>1.31</v>
      </c>
      <c r="AE2264" s="93">
        <v>69.3</v>
      </c>
      <c r="AF2264" s="93">
        <v>9.5</v>
      </c>
      <c r="AG2264" s="93"/>
      <c r="AH2264" s="58" t="s">
        <v>238</v>
      </c>
      <c r="AI2264" s="169"/>
      <c r="AJ2264" s="94">
        <v>1.7</v>
      </c>
      <c r="AK2264" s="94"/>
      <c r="AL2264" s="58"/>
      <c r="AM2264" s="59" t="s">
        <v>2267</v>
      </c>
      <c r="AN2264" s="188" t="s">
        <v>2274</v>
      </c>
      <c r="AO2264" s="185" t="s">
        <v>5150</v>
      </c>
      <c r="AP2264" s="59"/>
      <c r="AQ2264" s="58" t="s">
        <v>553</v>
      </c>
      <c r="AR2264" s="59" t="s">
        <v>1607</v>
      </c>
      <c r="AS2264" s="58" t="s">
        <v>132</v>
      </c>
      <c r="AT2264" s="182"/>
      <c r="AU2264" s="181" t="s">
        <v>7494</v>
      </c>
      <c r="AV2264" s="185" t="s">
        <v>176</v>
      </c>
      <c r="AW2264" s="58"/>
      <c r="AX2264" s="185" t="s">
        <v>176</v>
      </c>
      <c r="AY2264" s="58"/>
      <c r="AZ2264" s="59"/>
      <c r="BA2264" s="58"/>
      <c r="BB2264" s="58"/>
      <c r="BC2264" s="58"/>
      <c r="BD2264" s="58"/>
      <c r="BE2264" s="240"/>
      <c r="BF2264" s="59"/>
      <c r="BG2264" s="59"/>
      <c r="BH2264" s="236"/>
      <c r="BI2264" s="58"/>
      <c r="BJ2264" s="58"/>
      <c r="BK2264" s="58" t="s">
        <v>5976</v>
      </c>
      <c r="BL2264" s="58"/>
      <c r="BM2264" s="241" t="s">
        <v>160</v>
      </c>
      <c r="BN2264" s="58">
        <v>3</v>
      </c>
      <c r="BO2264" s="58">
        <v>3</v>
      </c>
      <c r="BP2264" s="59"/>
      <c r="BQ2264" s="58" t="s">
        <v>141</v>
      </c>
      <c r="BR2264" s="58"/>
      <c r="BS2264" s="58"/>
      <c r="BT2264" s="58"/>
      <c r="BU2264" s="58" t="s">
        <v>2280</v>
      </c>
      <c r="BV2264" s="58"/>
      <c r="BW2264" s="67"/>
      <c r="BX2264" s="67"/>
      <c r="BY2264" s="67"/>
      <c r="BZ2264" s="67"/>
      <c r="CA2264" s="67"/>
      <c r="CB2264" s="153"/>
      <c r="CC2264" s="68"/>
      <c r="CD2264" s="68"/>
      <c r="CE2264" s="67"/>
      <c r="CF2264" s="67"/>
      <c r="CG2264" s="67"/>
      <c r="CH2264" s="94">
        <v>1.38</v>
      </c>
      <c r="CI2264" s="94">
        <v>1.45</v>
      </c>
      <c r="CJ2264" s="67">
        <f>SQRT(3)*0.1</f>
        <v>0.17320508075688773</v>
      </c>
      <c r="CK2264" s="67">
        <f>SQRT(3)*0.06</f>
        <v>0.10392304845413262</v>
      </c>
      <c r="CL2264" s="67"/>
      <c r="CM2264" s="67"/>
      <c r="CN2264" s="67"/>
      <c r="CO2264" s="67"/>
      <c r="CP2264" s="67"/>
      <c r="CQ2264" s="67"/>
      <c r="CR2264" s="67"/>
      <c r="CS2264" s="67"/>
      <c r="CT2264" s="67"/>
      <c r="CU2264" s="67"/>
      <c r="CV2264" s="67"/>
      <c r="CW2264" s="67"/>
      <c r="CX2264" s="67"/>
      <c r="CY2264" s="67"/>
      <c r="CZ2264" s="67"/>
      <c r="DA2264" s="67"/>
      <c r="DB2264" s="67"/>
      <c r="DC2264" s="67"/>
      <c r="DD2264" s="67"/>
      <c r="DE2264" s="67"/>
      <c r="DF2264" s="67"/>
      <c r="DG2264" s="67"/>
      <c r="DH2264" s="67"/>
      <c r="DI2264" s="67"/>
      <c r="DJ2264" s="67"/>
      <c r="DK2264" s="67"/>
      <c r="DL2264" s="67"/>
      <c r="DM2264" s="67"/>
      <c r="DN2264" s="67"/>
      <c r="DO2264" s="67"/>
      <c r="DP2264" s="67"/>
      <c r="DQ2264" s="166"/>
      <c r="DR2264" s="166"/>
      <c r="DS2264" s="163"/>
      <c r="DT2264" s="163"/>
      <c r="DU2264" s="67"/>
      <c r="DV2264" s="67"/>
      <c r="DW2264" s="67"/>
      <c r="DX2264" s="67"/>
      <c r="DY2264" s="67"/>
      <c r="DZ2264" s="67"/>
      <c r="EA2264" s="67"/>
      <c r="EB2264" s="67"/>
      <c r="EC2264" s="67"/>
      <c r="ED2264" s="67"/>
      <c r="EE2264" s="67"/>
      <c r="EF2264" s="67"/>
      <c r="EG2264" s="67"/>
      <c r="EH2264" s="67"/>
      <c r="EI2264" s="67"/>
      <c r="EJ2264" s="67"/>
      <c r="EK2264" s="94"/>
      <c r="EL2264" s="94"/>
      <c r="EM2264" s="67"/>
      <c r="EN2264" s="67"/>
      <c r="EO2264" s="67"/>
      <c r="EP2264" s="67"/>
      <c r="EQ2264" s="67"/>
      <c r="ER2264" s="67">
        <v>53.3</v>
      </c>
      <c r="ES2264" s="67">
        <v>52.4</v>
      </c>
      <c r="ET2264" s="67" t="s">
        <v>987</v>
      </c>
      <c r="EU2264" s="67"/>
      <c r="EV2264" s="67"/>
      <c r="EW2264" s="67"/>
      <c r="EX2264" s="67"/>
      <c r="EY2264" s="67"/>
      <c r="EZ2264" s="67"/>
      <c r="FA2264" s="67"/>
      <c r="FB2264" s="67"/>
      <c r="FC2264" s="67"/>
      <c r="FD2264" s="67"/>
      <c r="FE2264" s="67"/>
      <c r="FF2264" s="67"/>
      <c r="FG2264" s="67"/>
      <c r="FH2264" s="67"/>
      <c r="FI2264" s="67"/>
      <c r="FJ2264" s="67"/>
      <c r="FK2264" s="67"/>
      <c r="FL2264" s="67"/>
      <c r="FM2264" s="67"/>
      <c r="FN2264" s="67"/>
      <c r="FO2264" s="67"/>
      <c r="FP2264" s="67"/>
      <c r="FQ2264" s="67"/>
      <c r="FR2264" s="67"/>
      <c r="FS2264" s="67"/>
      <c r="FT2264" s="67"/>
      <c r="FU2264" s="67"/>
      <c r="FV2264" s="67"/>
      <c r="FW2264" s="67"/>
      <c r="FX2264" s="67"/>
      <c r="FY2264" s="67"/>
      <c r="FZ2264" s="67"/>
      <c r="GA2264" s="67"/>
      <c r="GB2264" s="67"/>
      <c r="GC2264" s="67"/>
      <c r="GD2264" s="67"/>
      <c r="GE2264" s="67"/>
      <c r="GF2264" s="67"/>
      <c r="GG2264" s="67"/>
      <c r="GH2264" s="67"/>
      <c r="GI2264" s="67"/>
      <c r="GJ2264" s="67"/>
      <c r="GK2264" s="67"/>
      <c r="GL2264" s="67"/>
      <c r="GM2264" s="67"/>
      <c r="GN2264" s="292"/>
      <c r="GO2264" s="292"/>
      <c r="GP2264" s="292" t="s">
        <v>7494</v>
      </c>
      <c r="GQ2264" s="67"/>
      <c r="GR2264" s="67"/>
      <c r="GS2264" s="67"/>
      <c r="GT2264" s="67"/>
      <c r="GU2264" s="67"/>
      <c r="GV2264" s="67"/>
      <c r="GW2264" s="67"/>
      <c r="GX2264" s="67"/>
      <c r="GY2264" s="67"/>
      <c r="GZ2264" s="67"/>
      <c r="HA2264" s="67"/>
      <c r="HB2264" s="67"/>
      <c r="HC2264" s="67"/>
      <c r="HD2264" s="67"/>
      <c r="HE2264" s="67"/>
      <c r="HF2264" s="67"/>
      <c r="HG2264" s="67"/>
      <c r="HH2264" s="67"/>
      <c r="HI2264" s="67"/>
      <c r="HJ2264" s="67"/>
      <c r="HK2264" s="67"/>
      <c r="HL2264" s="67"/>
      <c r="HM2264" s="67"/>
      <c r="HN2264" s="67"/>
      <c r="HO2264" s="67"/>
      <c r="HP2264" s="67"/>
      <c r="HQ2264" s="67"/>
      <c r="HR2264" s="67"/>
      <c r="HS2264" s="67"/>
      <c r="HT2264" s="67"/>
      <c r="HU2264" s="67"/>
      <c r="HV2264" s="67"/>
      <c r="HW2264" s="67"/>
      <c r="HX2264" s="67"/>
      <c r="HY2264" s="67"/>
      <c r="HZ2264" s="67"/>
      <c r="IA2264" s="67"/>
      <c r="IB2264" s="67"/>
      <c r="IC2264" s="67"/>
      <c r="ID2264" s="67"/>
      <c r="IE2264" s="67"/>
      <c r="IF2264" s="67"/>
      <c r="IG2264" s="67"/>
      <c r="IH2264" s="67"/>
      <c r="II2264" s="67"/>
      <c r="IJ2264" s="67"/>
      <c r="IK2264" s="67"/>
      <c r="IL2264" s="67"/>
      <c r="IM2264" s="67"/>
      <c r="IN2264" s="67"/>
      <c r="IO2264" s="67"/>
      <c r="IP2264" s="67"/>
      <c r="IQ2264" s="67"/>
      <c r="IR2264" s="67"/>
      <c r="IS2264" s="67"/>
      <c r="IT2264" s="67"/>
      <c r="IU2264" s="67"/>
      <c r="IV2264" s="67"/>
      <c r="IW2264" s="67"/>
      <c r="IX2264" s="67"/>
      <c r="IY2264" s="67"/>
      <c r="IZ2264" s="67"/>
      <c r="JA2264" s="67"/>
      <c r="JB2264" s="67"/>
      <c r="JC2264" s="67"/>
      <c r="JD2264" s="67"/>
      <c r="JE2264" s="67"/>
      <c r="JF2264" s="67"/>
      <c r="JG2264" s="67"/>
      <c r="JH2264" s="67"/>
      <c r="JI2264" s="67"/>
      <c r="JJ2264" s="67"/>
      <c r="JK2264" s="67"/>
      <c r="JL2264" s="67"/>
      <c r="JM2264" s="67"/>
      <c r="JN2264" s="67"/>
      <c r="JO2264" s="67"/>
      <c r="JP2264" s="67"/>
      <c r="JQ2264" s="67"/>
      <c r="JR2264" s="67"/>
      <c r="JS2264" s="67"/>
      <c r="JT2264" s="67"/>
      <c r="JU2264" s="58" t="s">
        <v>2280</v>
      </c>
      <c r="JV2264" s="58"/>
      <c r="JW2264" s="58"/>
    </row>
    <row r="2265" spans="1:283" s="23" customFormat="1" x14ac:dyDescent="0.25">
      <c r="A2265" s="55">
        <v>2264</v>
      </c>
      <c r="B2265" s="12" t="s">
        <v>7067</v>
      </c>
      <c r="C2265" s="156">
        <v>110</v>
      </c>
      <c r="D2265" s="58" t="s">
        <v>4196</v>
      </c>
      <c r="E2265" s="93" t="s">
        <v>2174</v>
      </c>
      <c r="F2265" s="93"/>
      <c r="G2265" s="58" t="s">
        <v>2264</v>
      </c>
      <c r="H2265" s="59">
        <v>1982</v>
      </c>
      <c r="I2265" s="58">
        <v>1978</v>
      </c>
      <c r="J2265" s="59" t="s">
        <v>1709</v>
      </c>
      <c r="K2265" s="59" t="s">
        <v>2265</v>
      </c>
      <c r="L2265" s="59" t="s">
        <v>2744</v>
      </c>
      <c r="M2265" s="94">
        <v>7.38</v>
      </c>
      <c r="N2265" s="94">
        <v>3.95</v>
      </c>
      <c r="O2265" s="93">
        <v>229.3</v>
      </c>
      <c r="P2265" s="59"/>
      <c r="Q2265" s="58"/>
      <c r="R2265" s="59"/>
      <c r="S2265" s="94"/>
      <c r="T2265" s="58"/>
      <c r="U2265" s="58">
        <v>4</v>
      </c>
      <c r="V2265" s="59">
        <v>4</v>
      </c>
      <c r="W2265" s="174"/>
      <c r="X2265" s="174"/>
      <c r="Y2265" s="58" t="s">
        <v>2266</v>
      </c>
      <c r="Z2265" s="58" t="s">
        <v>1355</v>
      </c>
      <c r="AA2265" s="94">
        <v>10</v>
      </c>
      <c r="AB2265" s="67"/>
      <c r="AC2265" s="67"/>
      <c r="AD2265" s="94">
        <v>1.31</v>
      </c>
      <c r="AE2265" s="93">
        <v>69.3</v>
      </c>
      <c r="AF2265" s="93">
        <v>9.5</v>
      </c>
      <c r="AG2265" s="93"/>
      <c r="AH2265" s="58" t="s">
        <v>238</v>
      </c>
      <c r="AI2265" s="169"/>
      <c r="AJ2265" s="94">
        <v>1.7</v>
      </c>
      <c r="AK2265" s="94"/>
      <c r="AL2265" s="58"/>
      <c r="AM2265" s="59" t="s">
        <v>2267</v>
      </c>
      <c r="AN2265" s="188" t="s">
        <v>2275</v>
      </c>
      <c r="AO2265" s="185" t="s">
        <v>5150</v>
      </c>
      <c r="AP2265" s="59"/>
      <c r="AQ2265" s="58" t="s">
        <v>553</v>
      </c>
      <c r="AR2265" s="59" t="s">
        <v>1607</v>
      </c>
      <c r="AS2265" s="58" t="s">
        <v>132</v>
      </c>
      <c r="AT2265" s="182"/>
      <c r="AU2265" s="181" t="s">
        <v>7494</v>
      </c>
      <c r="AV2265" s="185" t="s">
        <v>176</v>
      </c>
      <c r="AW2265" s="58"/>
      <c r="AX2265" s="185" t="s">
        <v>176</v>
      </c>
      <c r="AY2265" s="58"/>
      <c r="AZ2265" s="59"/>
      <c r="BA2265" s="58"/>
      <c r="BB2265" s="58"/>
      <c r="BC2265" s="58"/>
      <c r="BD2265" s="58"/>
      <c r="BE2265" s="240"/>
      <c r="BF2265" s="59"/>
      <c r="BG2265" s="59"/>
      <c r="BH2265" s="236"/>
      <c r="BI2265" s="58"/>
      <c r="BJ2265" s="58"/>
      <c r="BK2265" s="58" t="s">
        <v>5976</v>
      </c>
      <c r="BL2265" s="58"/>
      <c r="BM2265" s="241" t="s">
        <v>160</v>
      </c>
      <c r="BN2265" s="58">
        <v>3</v>
      </c>
      <c r="BO2265" s="58">
        <v>3</v>
      </c>
      <c r="BP2265" s="59"/>
      <c r="BQ2265" s="58" t="s">
        <v>141</v>
      </c>
      <c r="BR2265" s="58"/>
      <c r="BS2265" s="58"/>
      <c r="BT2265" s="58"/>
      <c r="BU2265" s="58" t="s">
        <v>2280</v>
      </c>
      <c r="BV2265" s="58"/>
      <c r="BW2265" s="67"/>
      <c r="BX2265" s="67"/>
      <c r="BY2265" s="67"/>
      <c r="BZ2265" s="67"/>
      <c r="CA2265" s="67"/>
      <c r="CB2265" s="153"/>
      <c r="CC2265" s="68"/>
      <c r="CD2265" s="68"/>
      <c r="CE2265" s="67"/>
      <c r="CF2265" s="67"/>
      <c r="CG2265" s="67"/>
      <c r="CH2265" s="94">
        <v>1.38</v>
      </c>
      <c r="CI2265" s="94">
        <v>1.46</v>
      </c>
      <c r="CJ2265" s="67">
        <f>SQRT(3)*0.1</f>
        <v>0.17320508075688773</v>
      </c>
      <c r="CK2265" s="67">
        <f>SQRT(3)*0.09</f>
        <v>0.15588457268119893</v>
      </c>
      <c r="CL2265" s="67"/>
      <c r="CM2265" s="67"/>
      <c r="CN2265" s="67"/>
      <c r="CO2265" s="67"/>
      <c r="CP2265" s="67"/>
      <c r="CQ2265" s="67"/>
      <c r="CR2265" s="67"/>
      <c r="CS2265" s="67"/>
      <c r="CT2265" s="67"/>
      <c r="CU2265" s="67"/>
      <c r="CV2265" s="67"/>
      <c r="CW2265" s="67"/>
      <c r="CX2265" s="67"/>
      <c r="CY2265" s="67"/>
      <c r="CZ2265" s="67"/>
      <c r="DA2265" s="67"/>
      <c r="DB2265" s="67"/>
      <c r="DC2265" s="67"/>
      <c r="DD2265" s="67"/>
      <c r="DE2265" s="67"/>
      <c r="DF2265" s="67"/>
      <c r="DG2265" s="67"/>
      <c r="DH2265" s="67"/>
      <c r="DI2265" s="67"/>
      <c r="DJ2265" s="67"/>
      <c r="DK2265" s="67"/>
      <c r="DL2265" s="67"/>
      <c r="DM2265" s="67"/>
      <c r="DN2265" s="67"/>
      <c r="DO2265" s="67"/>
      <c r="DP2265" s="67"/>
      <c r="DQ2265" s="166"/>
      <c r="DR2265" s="166"/>
      <c r="DS2265" s="163"/>
      <c r="DT2265" s="163"/>
      <c r="DU2265" s="67"/>
      <c r="DV2265" s="67"/>
      <c r="DW2265" s="67"/>
      <c r="DX2265" s="67"/>
      <c r="DY2265" s="67"/>
      <c r="DZ2265" s="67"/>
      <c r="EA2265" s="67"/>
      <c r="EB2265" s="67"/>
      <c r="EC2265" s="67"/>
      <c r="ED2265" s="67"/>
      <c r="EE2265" s="67"/>
      <c r="EF2265" s="67"/>
      <c r="EG2265" s="67"/>
      <c r="EH2265" s="67"/>
      <c r="EI2265" s="67"/>
      <c r="EJ2265" s="67"/>
      <c r="EK2265" s="94"/>
      <c r="EL2265" s="94"/>
      <c r="EM2265" s="67"/>
      <c r="EN2265" s="67"/>
      <c r="EO2265" s="67"/>
      <c r="EP2265" s="67"/>
      <c r="EQ2265" s="67"/>
      <c r="ER2265" s="67">
        <v>53.3</v>
      </c>
      <c r="ES2265" s="67">
        <v>53.6</v>
      </c>
      <c r="ET2265" s="67" t="s">
        <v>987</v>
      </c>
      <c r="EU2265" s="67"/>
      <c r="EV2265" s="67"/>
      <c r="EW2265" s="67"/>
      <c r="EX2265" s="67"/>
      <c r="EY2265" s="67"/>
      <c r="EZ2265" s="67"/>
      <c r="FA2265" s="67"/>
      <c r="FB2265" s="67"/>
      <c r="FC2265" s="67"/>
      <c r="FD2265" s="67"/>
      <c r="FE2265" s="67"/>
      <c r="FF2265" s="67"/>
      <c r="FG2265" s="67"/>
      <c r="FH2265" s="67"/>
      <c r="FI2265" s="67"/>
      <c r="FJ2265" s="67"/>
      <c r="FK2265" s="67"/>
      <c r="FL2265" s="67"/>
      <c r="FM2265" s="67"/>
      <c r="FN2265" s="67"/>
      <c r="FO2265" s="67"/>
      <c r="FP2265" s="67"/>
      <c r="FQ2265" s="67"/>
      <c r="FR2265" s="67"/>
      <c r="FS2265" s="67"/>
      <c r="FT2265" s="67"/>
      <c r="FU2265" s="67"/>
      <c r="FV2265" s="67"/>
      <c r="FW2265" s="67"/>
      <c r="FX2265" s="67"/>
      <c r="FY2265" s="67"/>
      <c r="FZ2265" s="67"/>
      <c r="GA2265" s="67"/>
      <c r="GB2265" s="67"/>
      <c r="GC2265" s="67"/>
      <c r="GD2265" s="67"/>
      <c r="GE2265" s="67"/>
      <c r="GF2265" s="67"/>
      <c r="GG2265" s="67"/>
      <c r="GH2265" s="67"/>
      <c r="GI2265" s="67"/>
      <c r="GJ2265" s="67"/>
      <c r="GK2265" s="67"/>
      <c r="GL2265" s="67"/>
      <c r="GM2265" s="67"/>
      <c r="GN2265" s="292"/>
      <c r="GO2265" s="292"/>
      <c r="GP2265" s="292" t="s">
        <v>7494</v>
      </c>
      <c r="GQ2265" s="67"/>
      <c r="GR2265" s="67"/>
      <c r="GS2265" s="67"/>
      <c r="GT2265" s="67"/>
      <c r="GU2265" s="67"/>
      <c r="GV2265" s="67"/>
      <c r="GW2265" s="67"/>
      <c r="GX2265" s="67"/>
      <c r="GY2265" s="67"/>
      <c r="GZ2265" s="67"/>
      <c r="HA2265" s="67"/>
      <c r="HB2265" s="67"/>
      <c r="HC2265" s="67"/>
      <c r="HD2265" s="67"/>
      <c r="HE2265" s="67"/>
      <c r="HF2265" s="67"/>
      <c r="HG2265" s="67"/>
      <c r="HH2265" s="67"/>
      <c r="HI2265" s="67"/>
      <c r="HJ2265" s="67"/>
      <c r="HK2265" s="67"/>
      <c r="HL2265" s="67"/>
      <c r="HM2265" s="67"/>
      <c r="HN2265" s="67"/>
      <c r="HO2265" s="67"/>
      <c r="HP2265" s="67"/>
      <c r="HQ2265" s="67"/>
      <c r="HR2265" s="67"/>
      <c r="HS2265" s="67"/>
      <c r="HT2265" s="67"/>
      <c r="HU2265" s="67"/>
      <c r="HV2265" s="67"/>
      <c r="HW2265" s="67"/>
      <c r="HX2265" s="67"/>
      <c r="HY2265" s="67"/>
      <c r="HZ2265" s="67"/>
      <c r="IA2265" s="67"/>
      <c r="IB2265" s="67"/>
      <c r="IC2265" s="67"/>
      <c r="ID2265" s="67"/>
      <c r="IE2265" s="67"/>
      <c r="IF2265" s="67"/>
      <c r="IG2265" s="67"/>
      <c r="IH2265" s="67"/>
      <c r="II2265" s="67"/>
      <c r="IJ2265" s="67"/>
      <c r="IK2265" s="67"/>
      <c r="IL2265" s="67"/>
      <c r="IM2265" s="67"/>
      <c r="IN2265" s="67"/>
      <c r="IO2265" s="67"/>
      <c r="IP2265" s="67"/>
      <c r="IQ2265" s="67"/>
      <c r="IR2265" s="67"/>
      <c r="IS2265" s="67"/>
      <c r="IT2265" s="67"/>
      <c r="IU2265" s="67"/>
      <c r="IV2265" s="67"/>
      <c r="IW2265" s="67"/>
      <c r="IX2265" s="67"/>
      <c r="IY2265" s="67"/>
      <c r="IZ2265" s="67"/>
      <c r="JA2265" s="67"/>
      <c r="JB2265" s="67"/>
      <c r="JC2265" s="67"/>
      <c r="JD2265" s="67"/>
      <c r="JE2265" s="67"/>
      <c r="JF2265" s="67"/>
      <c r="JG2265" s="67"/>
      <c r="JH2265" s="67"/>
      <c r="JI2265" s="67"/>
      <c r="JJ2265" s="67"/>
      <c r="JK2265" s="67"/>
      <c r="JL2265" s="67"/>
      <c r="JM2265" s="67"/>
      <c r="JN2265" s="67"/>
      <c r="JO2265" s="67"/>
      <c r="JP2265" s="67"/>
      <c r="JQ2265" s="67"/>
      <c r="JR2265" s="67"/>
      <c r="JS2265" s="67"/>
      <c r="JT2265" s="67"/>
      <c r="JU2265" s="58" t="s">
        <v>2280</v>
      </c>
      <c r="JV2265" s="58"/>
      <c r="JW2265" s="58"/>
    </row>
    <row r="2266" spans="1:283" s="23" customFormat="1" x14ac:dyDescent="0.25">
      <c r="A2266" s="55">
        <v>2265</v>
      </c>
      <c r="B2266" s="12" t="s">
        <v>7067</v>
      </c>
      <c r="C2266" s="156">
        <v>110</v>
      </c>
      <c r="D2266" s="58" t="s">
        <v>4196</v>
      </c>
      <c r="E2266" s="93" t="s">
        <v>2174</v>
      </c>
      <c r="F2266" s="93"/>
      <c r="G2266" s="58" t="s">
        <v>2264</v>
      </c>
      <c r="H2266" s="59">
        <v>1982</v>
      </c>
      <c r="I2266" s="58">
        <v>1978</v>
      </c>
      <c r="J2266" s="59" t="s">
        <v>1709</v>
      </c>
      <c r="K2266" s="59" t="s">
        <v>2265</v>
      </c>
      <c r="L2266" s="59" t="s">
        <v>2744</v>
      </c>
      <c r="M2266" s="94">
        <v>7.38</v>
      </c>
      <c r="N2266" s="94">
        <v>3.95</v>
      </c>
      <c r="O2266" s="93">
        <v>229.3</v>
      </c>
      <c r="P2266" s="59"/>
      <c r="Q2266" s="58"/>
      <c r="R2266" s="59"/>
      <c r="S2266" s="94"/>
      <c r="T2266" s="58"/>
      <c r="U2266" s="58">
        <v>4</v>
      </c>
      <c r="V2266" s="59">
        <v>4</v>
      </c>
      <c r="W2266" s="174"/>
      <c r="X2266" s="174"/>
      <c r="Y2266" s="58" t="s">
        <v>2266</v>
      </c>
      <c r="Z2266" s="58" t="s">
        <v>1355</v>
      </c>
      <c r="AA2266" s="94">
        <v>10</v>
      </c>
      <c r="AB2266" s="67"/>
      <c r="AC2266" s="67"/>
      <c r="AD2266" s="94">
        <v>1.31</v>
      </c>
      <c r="AE2266" s="93">
        <v>69.3</v>
      </c>
      <c r="AF2266" s="93">
        <v>9.5</v>
      </c>
      <c r="AG2266" s="93"/>
      <c r="AH2266" s="58" t="s">
        <v>238</v>
      </c>
      <c r="AI2266" s="169"/>
      <c r="AJ2266" s="94">
        <v>1.7</v>
      </c>
      <c r="AK2266" s="94"/>
      <c r="AL2266" s="58"/>
      <c r="AM2266" s="59" t="s">
        <v>2267</v>
      </c>
      <c r="AN2266" s="188" t="s">
        <v>2276</v>
      </c>
      <c r="AO2266" s="185" t="s">
        <v>5150</v>
      </c>
      <c r="AP2266" s="59"/>
      <c r="AQ2266" s="58" t="s">
        <v>553</v>
      </c>
      <c r="AR2266" s="59" t="s">
        <v>1607</v>
      </c>
      <c r="AS2266" s="58" t="s">
        <v>132</v>
      </c>
      <c r="AT2266" s="182"/>
      <c r="AU2266" s="181" t="s">
        <v>7494</v>
      </c>
      <c r="AV2266" s="185" t="s">
        <v>176</v>
      </c>
      <c r="AW2266" s="58"/>
      <c r="AX2266" s="185" t="s">
        <v>176</v>
      </c>
      <c r="AY2266" s="58"/>
      <c r="AZ2266" s="59"/>
      <c r="BA2266" s="58"/>
      <c r="BB2266" s="58"/>
      <c r="BC2266" s="58"/>
      <c r="BD2266" s="58"/>
      <c r="BE2266" s="240"/>
      <c r="BF2266" s="59"/>
      <c r="BG2266" s="59"/>
      <c r="BH2266" s="236"/>
      <c r="BI2266" s="58"/>
      <c r="BJ2266" s="58"/>
      <c r="BK2266" s="58" t="s">
        <v>5976</v>
      </c>
      <c r="BL2266" s="58"/>
      <c r="BM2266" s="241" t="s">
        <v>160</v>
      </c>
      <c r="BN2266" s="58">
        <v>3</v>
      </c>
      <c r="BO2266" s="58">
        <v>3</v>
      </c>
      <c r="BP2266" s="59"/>
      <c r="BQ2266" s="58" t="s">
        <v>141</v>
      </c>
      <c r="BR2266" s="58"/>
      <c r="BS2266" s="58"/>
      <c r="BT2266" s="58"/>
      <c r="BU2266" s="58" t="s">
        <v>2280</v>
      </c>
      <c r="BV2266" s="58"/>
      <c r="BW2266" s="67"/>
      <c r="BX2266" s="67"/>
      <c r="BY2266" s="67"/>
      <c r="BZ2266" s="67"/>
      <c r="CA2266" s="67"/>
      <c r="CB2266" s="153"/>
      <c r="CC2266" s="68"/>
      <c r="CD2266" s="68"/>
      <c r="CE2266" s="67"/>
      <c r="CF2266" s="67"/>
      <c r="CG2266" s="67"/>
      <c r="CH2266" s="94">
        <v>1.38</v>
      </c>
      <c r="CI2266" s="94">
        <v>1.45</v>
      </c>
      <c r="CJ2266" s="67">
        <f>SQRT(3)*0.1</f>
        <v>0.17320508075688773</v>
      </c>
      <c r="CK2266" s="67">
        <f>SQRT(3)*0.08</f>
        <v>0.13856406460551018</v>
      </c>
      <c r="CL2266" s="67"/>
      <c r="CM2266" s="67"/>
      <c r="CN2266" s="67"/>
      <c r="CO2266" s="67"/>
      <c r="CP2266" s="67"/>
      <c r="CQ2266" s="67"/>
      <c r="CR2266" s="67"/>
      <c r="CS2266" s="67"/>
      <c r="CT2266" s="67"/>
      <c r="CU2266" s="67"/>
      <c r="CV2266" s="67"/>
      <c r="CW2266" s="67"/>
      <c r="CX2266" s="67"/>
      <c r="CY2266" s="67"/>
      <c r="CZ2266" s="67"/>
      <c r="DA2266" s="67"/>
      <c r="DB2266" s="67"/>
      <c r="DC2266" s="67"/>
      <c r="DD2266" s="67"/>
      <c r="DE2266" s="67"/>
      <c r="DF2266" s="67"/>
      <c r="DG2266" s="67"/>
      <c r="DH2266" s="67"/>
      <c r="DI2266" s="67"/>
      <c r="DJ2266" s="67"/>
      <c r="DK2266" s="67"/>
      <c r="DL2266" s="67"/>
      <c r="DM2266" s="67"/>
      <c r="DN2266" s="67"/>
      <c r="DO2266" s="67"/>
      <c r="DP2266" s="67"/>
      <c r="DQ2266" s="166"/>
      <c r="DR2266" s="166"/>
      <c r="DS2266" s="163"/>
      <c r="DT2266" s="163"/>
      <c r="DU2266" s="67"/>
      <c r="DV2266" s="67"/>
      <c r="DW2266" s="67"/>
      <c r="DX2266" s="67"/>
      <c r="DY2266" s="67"/>
      <c r="DZ2266" s="67"/>
      <c r="EA2266" s="67"/>
      <c r="EB2266" s="67"/>
      <c r="EC2266" s="67"/>
      <c r="ED2266" s="67"/>
      <c r="EE2266" s="67"/>
      <c r="EF2266" s="67"/>
      <c r="EG2266" s="67"/>
      <c r="EH2266" s="67"/>
      <c r="EI2266" s="67"/>
      <c r="EJ2266" s="67"/>
      <c r="EK2266" s="94"/>
      <c r="EL2266" s="94"/>
      <c r="EM2266" s="67"/>
      <c r="EN2266" s="67"/>
      <c r="EO2266" s="67"/>
      <c r="EP2266" s="67"/>
      <c r="EQ2266" s="67"/>
      <c r="ER2266" s="67">
        <v>53.3</v>
      </c>
      <c r="ES2266" s="67">
        <v>53.5</v>
      </c>
      <c r="ET2266" s="67" t="s">
        <v>987</v>
      </c>
      <c r="EU2266" s="67"/>
      <c r="EV2266" s="67"/>
      <c r="EW2266" s="67"/>
      <c r="EX2266" s="67"/>
      <c r="EY2266" s="67"/>
      <c r="EZ2266" s="67"/>
      <c r="FA2266" s="67"/>
      <c r="FB2266" s="67"/>
      <c r="FC2266" s="67"/>
      <c r="FD2266" s="67"/>
      <c r="FE2266" s="67"/>
      <c r="FF2266" s="67"/>
      <c r="FG2266" s="67"/>
      <c r="FH2266" s="67"/>
      <c r="FI2266" s="67"/>
      <c r="FJ2266" s="67"/>
      <c r="FK2266" s="67"/>
      <c r="FL2266" s="67"/>
      <c r="FM2266" s="67"/>
      <c r="FN2266" s="67"/>
      <c r="FO2266" s="67"/>
      <c r="FP2266" s="67"/>
      <c r="FQ2266" s="67"/>
      <c r="FR2266" s="67"/>
      <c r="FS2266" s="67"/>
      <c r="FT2266" s="67"/>
      <c r="FU2266" s="67"/>
      <c r="FV2266" s="67"/>
      <c r="FW2266" s="67"/>
      <c r="FX2266" s="67"/>
      <c r="FY2266" s="67"/>
      <c r="FZ2266" s="67"/>
      <c r="GA2266" s="67"/>
      <c r="GB2266" s="67"/>
      <c r="GC2266" s="67"/>
      <c r="GD2266" s="67"/>
      <c r="GE2266" s="67"/>
      <c r="GF2266" s="67"/>
      <c r="GG2266" s="67"/>
      <c r="GH2266" s="67"/>
      <c r="GI2266" s="67"/>
      <c r="GJ2266" s="67"/>
      <c r="GK2266" s="67"/>
      <c r="GL2266" s="67"/>
      <c r="GM2266" s="67"/>
      <c r="GN2266" s="292"/>
      <c r="GO2266" s="292"/>
      <c r="GP2266" s="292" t="s">
        <v>7494</v>
      </c>
      <c r="GQ2266" s="67"/>
      <c r="GR2266" s="67"/>
      <c r="GS2266" s="67"/>
      <c r="GT2266" s="67"/>
      <c r="GU2266" s="67"/>
      <c r="GV2266" s="67"/>
      <c r="GW2266" s="67"/>
      <c r="GX2266" s="67"/>
      <c r="GY2266" s="67"/>
      <c r="GZ2266" s="67"/>
      <c r="HA2266" s="67"/>
      <c r="HB2266" s="67"/>
      <c r="HC2266" s="67"/>
      <c r="HD2266" s="67"/>
      <c r="HE2266" s="67"/>
      <c r="HF2266" s="67"/>
      <c r="HG2266" s="67"/>
      <c r="HH2266" s="67"/>
      <c r="HI2266" s="67"/>
      <c r="HJ2266" s="67"/>
      <c r="HK2266" s="67"/>
      <c r="HL2266" s="67"/>
      <c r="HM2266" s="67"/>
      <c r="HN2266" s="67"/>
      <c r="HO2266" s="67"/>
      <c r="HP2266" s="67"/>
      <c r="HQ2266" s="67"/>
      <c r="HR2266" s="67"/>
      <c r="HS2266" s="67"/>
      <c r="HT2266" s="67"/>
      <c r="HU2266" s="67"/>
      <c r="HV2266" s="67"/>
      <c r="HW2266" s="67"/>
      <c r="HX2266" s="67"/>
      <c r="HY2266" s="67"/>
      <c r="HZ2266" s="67"/>
      <c r="IA2266" s="67"/>
      <c r="IB2266" s="67"/>
      <c r="IC2266" s="67"/>
      <c r="ID2266" s="67"/>
      <c r="IE2266" s="67"/>
      <c r="IF2266" s="67"/>
      <c r="IG2266" s="67"/>
      <c r="IH2266" s="67"/>
      <c r="II2266" s="67"/>
      <c r="IJ2266" s="67"/>
      <c r="IK2266" s="67"/>
      <c r="IL2266" s="67"/>
      <c r="IM2266" s="67"/>
      <c r="IN2266" s="67"/>
      <c r="IO2266" s="67"/>
      <c r="IP2266" s="67"/>
      <c r="IQ2266" s="67"/>
      <c r="IR2266" s="67"/>
      <c r="IS2266" s="67"/>
      <c r="IT2266" s="67"/>
      <c r="IU2266" s="67"/>
      <c r="IV2266" s="67"/>
      <c r="IW2266" s="67"/>
      <c r="IX2266" s="67"/>
      <c r="IY2266" s="67"/>
      <c r="IZ2266" s="67"/>
      <c r="JA2266" s="67"/>
      <c r="JB2266" s="67"/>
      <c r="JC2266" s="67"/>
      <c r="JD2266" s="67"/>
      <c r="JE2266" s="67"/>
      <c r="JF2266" s="67"/>
      <c r="JG2266" s="67"/>
      <c r="JH2266" s="67"/>
      <c r="JI2266" s="67"/>
      <c r="JJ2266" s="67"/>
      <c r="JK2266" s="67"/>
      <c r="JL2266" s="67"/>
      <c r="JM2266" s="67"/>
      <c r="JN2266" s="67"/>
      <c r="JO2266" s="67"/>
      <c r="JP2266" s="67"/>
      <c r="JQ2266" s="67"/>
      <c r="JR2266" s="67"/>
      <c r="JS2266" s="67"/>
      <c r="JT2266" s="67"/>
      <c r="JU2266" s="58" t="s">
        <v>2280</v>
      </c>
      <c r="JV2266" s="58"/>
      <c r="JW2266" s="58"/>
    </row>
    <row r="2267" spans="1:283" s="23" customFormat="1" x14ac:dyDescent="0.25">
      <c r="A2267" s="55">
        <v>2266</v>
      </c>
      <c r="B2267" s="12" t="s">
        <v>7067</v>
      </c>
      <c r="C2267" s="156">
        <v>110</v>
      </c>
      <c r="D2267" s="58" t="s">
        <v>4196</v>
      </c>
      <c r="E2267" s="93" t="s">
        <v>2174</v>
      </c>
      <c r="F2267" s="93"/>
      <c r="G2267" s="58" t="s">
        <v>2264</v>
      </c>
      <c r="H2267" s="59">
        <v>1982</v>
      </c>
      <c r="I2267" s="58">
        <v>1978</v>
      </c>
      <c r="J2267" s="59" t="s">
        <v>1709</v>
      </c>
      <c r="K2267" s="59" t="s">
        <v>2265</v>
      </c>
      <c r="L2267" s="59" t="s">
        <v>2744</v>
      </c>
      <c r="M2267" s="94">
        <v>7.38</v>
      </c>
      <c r="N2267" s="94">
        <v>3.95</v>
      </c>
      <c r="O2267" s="93">
        <v>229.3</v>
      </c>
      <c r="P2267" s="59"/>
      <c r="Q2267" s="58"/>
      <c r="R2267" s="59"/>
      <c r="S2267" s="94"/>
      <c r="T2267" s="58"/>
      <c r="U2267" s="58">
        <v>4</v>
      </c>
      <c r="V2267" s="59">
        <v>4</v>
      </c>
      <c r="W2267" s="174"/>
      <c r="X2267" s="174"/>
      <c r="Y2267" s="58" t="s">
        <v>2266</v>
      </c>
      <c r="Z2267" s="58" t="s">
        <v>1355</v>
      </c>
      <c r="AA2267" s="94">
        <v>10</v>
      </c>
      <c r="AB2267" s="67"/>
      <c r="AC2267" s="67"/>
      <c r="AD2267" s="94">
        <v>1.31</v>
      </c>
      <c r="AE2267" s="93">
        <v>69.3</v>
      </c>
      <c r="AF2267" s="93">
        <v>9.5</v>
      </c>
      <c r="AG2267" s="93"/>
      <c r="AH2267" s="58" t="s">
        <v>238</v>
      </c>
      <c r="AI2267" s="169"/>
      <c r="AJ2267" s="94">
        <v>1.7</v>
      </c>
      <c r="AK2267" s="94"/>
      <c r="AL2267" s="58"/>
      <c r="AM2267" s="59" t="s">
        <v>2267</v>
      </c>
      <c r="AN2267" s="188" t="s">
        <v>2277</v>
      </c>
      <c r="AO2267" s="185" t="s">
        <v>5150</v>
      </c>
      <c r="AP2267" s="59"/>
      <c r="AQ2267" s="58" t="s">
        <v>553</v>
      </c>
      <c r="AR2267" s="59" t="s">
        <v>1607</v>
      </c>
      <c r="AS2267" s="58" t="s">
        <v>132</v>
      </c>
      <c r="AT2267" s="182"/>
      <c r="AU2267" s="181" t="s">
        <v>7494</v>
      </c>
      <c r="AV2267" s="185" t="s">
        <v>176</v>
      </c>
      <c r="AW2267" s="58"/>
      <c r="AX2267" s="185" t="s">
        <v>176</v>
      </c>
      <c r="AY2267" s="58"/>
      <c r="AZ2267" s="59"/>
      <c r="BA2267" s="58"/>
      <c r="BB2267" s="58"/>
      <c r="BC2267" s="58"/>
      <c r="BD2267" s="58"/>
      <c r="BE2267" s="240"/>
      <c r="BF2267" s="59"/>
      <c r="BG2267" s="59"/>
      <c r="BH2267" s="236"/>
      <c r="BI2267" s="58"/>
      <c r="BJ2267" s="58"/>
      <c r="BK2267" s="58" t="s">
        <v>5976</v>
      </c>
      <c r="BL2267" s="58"/>
      <c r="BM2267" s="241" t="s">
        <v>160</v>
      </c>
      <c r="BN2267" s="58">
        <v>3</v>
      </c>
      <c r="BO2267" s="58">
        <v>3</v>
      </c>
      <c r="BP2267" s="59"/>
      <c r="BQ2267" s="58" t="s">
        <v>141</v>
      </c>
      <c r="BR2267" s="58"/>
      <c r="BS2267" s="58"/>
      <c r="BT2267" s="58"/>
      <c r="BU2267" s="58" t="s">
        <v>2280</v>
      </c>
      <c r="BV2267" s="58"/>
      <c r="BW2267" s="67"/>
      <c r="BX2267" s="67"/>
      <c r="BY2267" s="67"/>
      <c r="BZ2267" s="67"/>
      <c r="CA2267" s="67"/>
      <c r="CB2267" s="153"/>
      <c r="CC2267" s="68"/>
      <c r="CD2267" s="68"/>
      <c r="CE2267" s="67"/>
      <c r="CF2267" s="67"/>
      <c r="CG2267" s="67"/>
      <c r="CH2267" s="94">
        <v>1.38</v>
      </c>
      <c r="CI2267" s="94">
        <v>1.46</v>
      </c>
      <c r="CJ2267" s="67">
        <f>SQRT(3)*0.1</f>
        <v>0.17320508075688773</v>
      </c>
      <c r="CK2267" s="67">
        <f>SQRT(3)*0.07</f>
        <v>0.12124355652982141</v>
      </c>
      <c r="CL2267" s="67"/>
      <c r="CM2267" s="67"/>
      <c r="CN2267" s="67"/>
      <c r="CO2267" s="67"/>
      <c r="CP2267" s="67"/>
      <c r="CQ2267" s="67"/>
      <c r="CR2267" s="67"/>
      <c r="CS2267" s="67"/>
      <c r="CT2267" s="67"/>
      <c r="CU2267" s="67"/>
      <c r="CV2267" s="67"/>
      <c r="CW2267" s="67"/>
      <c r="CX2267" s="67"/>
      <c r="CY2267" s="67"/>
      <c r="CZ2267" s="67"/>
      <c r="DA2267" s="67"/>
      <c r="DB2267" s="67"/>
      <c r="DC2267" s="67"/>
      <c r="DD2267" s="67"/>
      <c r="DE2267" s="67"/>
      <c r="DF2267" s="67"/>
      <c r="DG2267" s="67"/>
      <c r="DH2267" s="67"/>
      <c r="DI2267" s="67"/>
      <c r="DJ2267" s="67"/>
      <c r="DK2267" s="67"/>
      <c r="DL2267" s="67"/>
      <c r="DM2267" s="67"/>
      <c r="DN2267" s="67"/>
      <c r="DO2267" s="67"/>
      <c r="DP2267" s="67"/>
      <c r="DQ2267" s="166"/>
      <c r="DR2267" s="166"/>
      <c r="DS2267" s="163"/>
      <c r="DT2267" s="163"/>
      <c r="DU2267" s="67"/>
      <c r="DV2267" s="67"/>
      <c r="DW2267" s="67"/>
      <c r="DX2267" s="67"/>
      <c r="DY2267" s="67"/>
      <c r="DZ2267" s="67"/>
      <c r="EA2267" s="67"/>
      <c r="EB2267" s="67"/>
      <c r="EC2267" s="67"/>
      <c r="ED2267" s="67"/>
      <c r="EE2267" s="67"/>
      <c r="EF2267" s="67"/>
      <c r="EG2267" s="67"/>
      <c r="EH2267" s="67"/>
      <c r="EI2267" s="67"/>
      <c r="EJ2267" s="67"/>
      <c r="EK2267" s="94"/>
      <c r="EL2267" s="94"/>
      <c r="EM2267" s="67"/>
      <c r="EN2267" s="67"/>
      <c r="EO2267" s="67"/>
      <c r="EP2267" s="67"/>
      <c r="EQ2267" s="67"/>
      <c r="ER2267" s="67">
        <v>53.3</v>
      </c>
      <c r="ES2267" s="67">
        <v>51.3</v>
      </c>
      <c r="ET2267" s="67" t="s">
        <v>987</v>
      </c>
      <c r="EU2267" s="67"/>
      <c r="EV2267" s="67"/>
      <c r="EW2267" s="67"/>
      <c r="EX2267" s="67"/>
      <c r="EY2267" s="67"/>
      <c r="EZ2267" s="67"/>
      <c r="FA2267" s="67"/>
      <c r="FB2267" s="67"/>
      <c r="FC2267" s="67"/>
      <c r="FD2267" s="67"/>
      <c r="FE2267" s="67"/>
      <c r="FF2267" s="67"/>
      <c r="FG2267" s="67"/>
      <c r="FH2267" s="67"/>
      <c r="FI2267" s="67"/>
      <c r="FJ2267" s="67"/>
      <c r="FK2267" s="67"/>
      <c r="FL2267" s="67"/>
      <c r="FM2267" s="67"/>
      <c r="FN2267" s="67"/>
      <c r="FO2267" s="67"/>
      <c r="FP2267" s="67"/>
      <c r="FQ2267" s="67"/>
      <c r="FR2267" s="67"/>
      <c r="FS2267" s="67"/>
      <c r="FT2267" s="67"/>
      <c r="FU2267" s="67"/>
      <c r="FV2267" s="67"/>
      <c r="FW2267" s="67"/>
      <c r="FX2267" s="67"/>
      <c r="FY2267" s="67"/>
      <c r="FZ2267" s="67"/>
      <c r="GA2267" s="67"/>
      <c r="GB2267" s="67"/>
      <c r="GC2267" s="67"/>
      <c r="GD2267" s="67"/>
      <c r="GE2267" s="67"/>
      <c r="GF2267" s="67"/>
      <c r="GG2267" s="67"/>
      <c r="GH2267" s="67"/>
      <c r="GI2267" s="67"/>
      <c r="GJ2267" s="67"/>
      <c r="GK2267" s="67"/>
      <c r="GL2267" s="67"/>
      <c r="GM2267" s="67"/>
      <c r="GN2267" s="292"/>
      <c r="GO2267" s="292"/>
      <c r="GP2267" s="292" t="s">
        <v>7494</v>
      </c>
      <c r="GQ2267" s="67"/>
      <c r="GR2267" s="67"/>
      <c r="GS2267" s="67"/>
      <c r="GT2267" s="67"/>
      <c r="GU2267" s="67"/>
      <c r="GV2267" s="67"/>
      <c r="GW2267" s="67"/>
      <c r="GX2267" s="67"/>
      <c r="GY2267" s="67"/>
      <c r="GZ2267" s="67"/>
      <c r="HA2267" s="67"/>
      <c r="HB2267" s="67"/>
      <c r="HC2267" s="67"/>
      <c r="HD2267" s="67"/>
      <c r="HE2267" s="67"/>
      <c r="HF2267" s="67"/>
      <c r="HG2267" s="67"/>
      <c r="HH2267" s="67"/>
      <c r="HI2267" s="67"/>
      <c r="HJ2267" s="67"/>
      <c r="HK2267" s="67"/>
      <c r="HL2267" s="67"/>
      <c r="HM2267" s="67"/>
      <c r="HN2267" s="67"/>
      <c r="HO2267" s="67"/>
      <c r="HP2267" s="67"/>
      <c r="HQ2267" s="67"/>
      <c r="HR2267" s="67"/>
      <c r="HS2267" s="67"/>
      <c r="HT2267" s="67"/>
      <c r="HU2267" s="67"/>
      <c r="HV2267" s="67"/>
      <c r="HW2267" s="67"/>
      <c r="HX2267" s="67"/>
      <c r="HY2267" s="67"/>
      <c r="HZ2267" s="67"/>
      <c r="IA2267" s="67"/>
      <c r="IB2267" s="67"/>
      <c r="IC2267" s="67"/>
      <c r="ID2267" s="67"/>
      <c r="IE2267" s="67"/>
      <c r="IF2267" s="67"/>
      <c r="IG2267" s="67"/>
      <c r="IH2267" s="67"/>
      <c r="II2267" s="67"/>
      <c r="IJ2267" s="67"/>
      <c r="IK2267" s="67"/>
      <c r="IL2267" s="67"/>
      <c r="IM2267" s="67"/>
      <c r="IN2267" s="67"/>
      <c r="IO2267" s="67"/>
      <c r="IP2267" s="67"/>
      <c r="IQ2267" s="67"/>
      <c r="IR2267" s="67"/>
      <c r="IS2267" s="67"/>
      <c r="IT2267" s="67"/>
      <c r="IU2267" s="67"/>
      <c r="IV2267" s="67"/>
      <c r="IW2267" s="67"/>
      <c r="IX2267" s="67"/>
      <c r="IY2267" s="67"/>
      <c r="IZ2267" s="67"/>
      <c r="JA2267" s="67"/>
      <c r="JB2267" s="67"/>
      <c r="JC2267" s="67"/>
      <c r="JD2267" s="67"/>
      <c r="JE2267" s="67"/>
      <c r="JF2267" s="67"/>
      <c r="JG2267" s="67"/>
      <c r="JH2267" s="67"/>
      <c r="JI2267" s="67"/>
      <c r="JJ2267" s="67"/>
      <c r="JK2267" s="67"/>
      <c r="JL2267" s="67"/>
      <c r="JM2267" s="67"/>
      <c r="JN2267" s="67"/>
      <c r="JO2267" s="67"/>
      <c r="JP2267" s="67"/>
      <c r="JQ2267" s="67"/>
      <c r="JR2267" s="67"/>
      <c r="JS2267" s="67"/>
      <c r="JT2267" s="67"/>
      <c r="JU2267" s="58" t="s">
        <v>2280</v>
      </c>
      <c r="JV2267" s="58"/>
      <c r="JW2267" s="58"/>
    </row>
    <row r="2268" spans="1:283" s="23" customFormat="1" x14ac:dyDescent="0.25">
      <c r="A2268" s="55">
        <v>2267</v>
      </c>
      <c r="B2268" s="12" t="s">
        <v>7067</v>
      </c>
      <c r="C2268" s="156">
        <v>110</v>
      </c>
      <c r="D2268" s="58" t="s">
        <v>4196</v>
      </c>
      <c r="E2268" s="93" t="s">
        <v>2174</v>
      </c>
      <c r="F2268" s="93"/>
      <c r="G2268" s="58" t="s">
        <v>2264</v>
      </c>
      <c r="H2268" s="59">
        <v>1982</v>
      </c>
      <c r="I2268" s="58">
        <v>1978</v>
      </c>
      <c r="J2268" s="59" t="s">
        <v>1709</v>
      </c>
      <c r="K2268" s="59" t="s">
        <v>2265</v>
      </c>
      <c r="L2268" s="59" t="s">
        <v>2744</v>
      </c>
      <c r="M2268" s="94">
        <v>7.38</v>
      </c>
      <c r="N2268" s="94">
        <v>3.95</v>
      </c>
      <c r="O2268" s="93">
        <v>229.3</v>
      </c>
      <c r="P2268" s="59"/>
      <c r="Q2268" s="58"/>
      <c r="R2268" s="59"/>
      <c r="S2268" s="94"/>
      <c r="T2268" s="58"/>
      <c r="U2268" s="58">
        <v>4</v>
      </c>
      <c r="V2268" s="59">
        <v>4</v>
      </c>
      <c r="W2268" s="174"/>
      <c r="X2268" s="174"/>
      <c r="Y2268" s="58" t="s">
        <v>2266</v>
      </c>
      <c r="Z2268" s="58" t="s">
        <v>1355</v>
      </c>
      <c r="AA2268" s="94">
        <v>10</v>
      </c>
      <c r="AB2268" s="67"/>
      <c r="AC2268" s="67"/>
      <c r="AD2268" s="94">
        <v>1.31</v>
      </c>
      <c r="AE2268" s="93">
        <v>69.3</v>
      </c>
      <c r="AF2268" s="93">
        <v>9.5</v>
      </c>
      <c r="AG2268" s="93"/>
      <c r="AH2268" s="58" t="s">
        <v>238</v>
      </c>
      <c r="AI2268" s="169"/>
      <c r="AJ2268" s="94">
        <v>1.7</v>
      </c>
      <c r="AK2268" s="94"/>
      <c r="AL2268" s="58"/>
      <c r="AM2268" s="59" t="s">
        <v>2267</v>
      </c>
      <c r="AN2268" s="188" t="s">
        <v>2278</v>
      </c>
      <c r="AO2268" s="185" t="s">
        <v>5150</v>
      </c>
      <c r="AP2268" s="59"/>
      <c r="AQ2268" s="58" t="s">
        <v>553</v>
      </c>
      <c r="AR2268" s="59" t="s">
        <v>1607</v>
      </c>
      <c r="AS2268" s="58" t="s">
        <v>132</v>
      </c>
      <c r="AT2268" s="182"/>
      <c r="AU2268" s="181" t="s">
        <v>7494</v>
      </c>
      <c r="AV2268" s="185" t="s">
        <v>176</v>
      </c>
      <c r="AW2268" s="58"/>
      <c r="AX2268" s="185" t="s">
        <v>176</v>
      </c>
      <c r="AY2268" s="58"/>
      <c r="AZ2268" s="59"/>
      <c r="BA2268" s="58"/>
      <c r="BB2268" s="58"/>
      <c r="BC2268" s="58"/>
      <c r="BD2268" s="58"/>
      <c r="BE2268" s="240"/>
      <c r="BF2268" s="59"/>
      <c r="BG2268" s="59"/>
      <c r="BH2268" s="236"/>
      <c r="BI2268" s="58"/>
      <c r="BJ2268" s="58"/>
      <c r="BK2268" s="58" t="s">
        <v>5976</v>
      </c>
      <c r="BL2268" s="58"/>
      <c r="BM2268" s="241" t="s">
        <v>160</v>
      </c>
      <c r="BN2268" s="58">
        <v>3</v>
      </c>
      <c r="BO2268" s="58">
        <v>3</v>
      </c>
      <c r="BP2268" s="59"/>
      <c r="BQ2268" s="58" t="s">
        <v>141</v>
      </c>
      <c r="BR2268" s="58"/>
      <c r="BS2268" s="58"/>
      <c r="BT2268" s="58"/>
      <c r="BU2268" s="58" t="s">
        <v>2280</v>
      </c>
      <c r="BV2268" s="58"/>
      <c r="BW2268" s="67"/>
      <c r="BX2268" s="67"/>
      <c r="BY2268" s="67"/>
      <c r="BZ2268" s="67"/>
      <c r="CA2268" s="67"/>
      <c r="CB2268" s="153"/>
      <c r="CC2268" s="68"/>
      <c r="CD2268" s="68"/>
      <c r="CE2268" s="67"/>
      <c r="CF2268" s="67"/>
      <c r="CG2268" s="67"/>
      <c r="CH2268" s="94">
        <v>1.38</v>
      </c>
      <c r="CI2268" s="94">
        <v>1.47</v>
      </c>
      <c r="CJ2268" s="67">
        <f>SQRT(3)*0.1</f>
        <v>0.17320508075688773</v>
      </c>
      <c r="CK2268" s="67">
        <f>SQRT(3)*0.06</f>
        <v>0.10392304845413262</v>
      </c>
      <c r="CL2268" s="67"/>
      <c r="CM2268" s="67"/>
      <c r="CN2268" s="67"/>
      <c r="CO2268" s="67"/>
      <c r="CP2268" s="67"/>
      <c r="CQ2268" s="67"/>
      <c r="CR2268" s="67"/>
      <c r="CS2268" s="67"/>
      <c r="CT2268" s="67"/>
      <c r="CU2268" s="67"/>
      <c r="CV2268" s="67"/>
      <c r="CW2268" s="67"/>
      <c r="CX2268" s="67"/>
      <c r="CY2268" s="67"/>
      <c r="CZ2268" s="67"/>
      <c r="DA2268" s="67"/>
      <c r="DB2268" s="67"/>
      <c r="DC2268" s="67"/>
      <c r="DD2268" s="67"/>
      <c r="DE2268" s="67"/>
      <c r="DF2268" s="67"/>
      <c r="DG2268" s="67"/>
      <c r="DH2268" s="67"/>
      <c r="DI2268" s="67"/>
      <c r="DJ2268" s="67"/>
      <c r="DK2268" s="67"/>
      <c r="DL2268" s="67"/>
      <c r="DM2268" s="67"/>
      <c r="DN2268" s="67"/>
      <c r="DO2268" s="67"/>
      <c r="DP2268" s="67"/>
      <c r="DQ2268" s="166"/>
      <c r="DR2268" s="166"/>
      <c r="DS2268" s="163"/>
      <c r="DT2268" s="163"/>
      <c r="DU2268" s="67"/>
      <c r="DV2268" s="67"/>
      <c r="DW2268" s="67"/>
      <c r="DX2268" s="67"/>
      <c r="DY2268" s="67"/>
      <c r="DZ2268" s="67"/>
      <c r="EA2268" s="67"/>
      <c r="EB2268" s="67"/>
      <c r="EC2268" s="67"/>
      <c r="ED2268" s="67"/>
      <c r="EE2268" s="67"/>
      <c r="EF2268" s="67"/>
      <c r="EG2268" s="67"/>
      <c r="EH2268" s="67"/>
      <c r="EI2268" s="67"/>
      <c r="EJ2268" s="67"/>
      <c r="EK2268" s="94"/>
      <c r="EL2268" s="94"/>
      <c r="EM2268" s="67"/>
      <c r="EN2268" s="67"/>
      <c r="EO2268" s="67"/>
      <c r="EP2268" s="67"/>
      <c r="EQ2268" s="67"/>
      <c r="ER2268" s="67">
        <v>53.3</v>
      </c>
      <c r="ES2268" s="67">
        <v>50.7</v>
      </c>
      <c r="ET2268" s="67" t="s">
        <v>987</v>
      </c>
      <c r="EU2268" s="67"/>
      <c r="EV2268" s="67"/>
      <c r="EW2268" s="67"/>
      <c r="EX2268" s="67"/>
      <c r="EY2268" s="67"/>
      <c r="EZ2268" s="67"/>
      <c r="FA2268" s="67"/>
      <c r="FB2268" s="67"/>
      <c r="FC2268" s="67"/>
      <c r="FD2268" s="67"/>
      <c r="FE2268" s="67"/>
      <c r="FF2268" s="67"/>
      <c r="FG2268" s="67"/>
      <c r="FH2268" s="67"/>
      <c r="FI2268" s="67"/>
      <c r="FJ2268" s="67"/>
      <c r="FK2268" s="67"/>
      <c r="FL2268" s="67"/>
      <c r="FM2268" s="67"/>
      <c r="FN2268" s="67"/>
      <c r="FO2268" s="67"/>
      <c r="FP2268" s="67"/>
      <c r="FQ2268" s="67"/>
      <c r="FR2268" s="67"/>
      <c r="FS2268" s="67"/>
      <c r="FT2268" s="67"/>
      <c r="FU2268" s="67"/>
      <c r="FV2268" s="67"/>
      <c r="FW2268" s="67"/>
      <c r="FX2268" s="67"/>
      <c r="FY2268" s="67"/>
      <c r="FZ2268" s="67"/>
      <c r="GA2268" s="67"/>
      <c r="GB2268" s="67"/>
      <c r="GC2268" s="67"/>
      <c r="GD2268" s="67"/>
      <c r="GE2268" s="67"/>
      <c r="GF2268" s="67"/>
      <c r="GG2268" s="67"/>
      <c r="GH2268" s="67"/>
      <c r="GI2268" s="67"/>
      <c r="GJ2268" s="67"/>
      <c r="GK2268" s="67"/>
      <c r="GL2268" s="67"/>
      <c r="GM2268" s="67"/>
      <c r="GN2268" s="292"/>
      <c r="GO2268" s="292"/>
      <c r="GP2268" s="292" t="s">
        <v>7494</v>
      </c>
      <c r="GQ2268" s="67"/>
      <c r="GR2268" s="67"/>
      <c r="GS2268" s="67"/>
      <c r="GT2268" s="67"/>
      <c r="GU2268" s="67"/>
      <c r="GV2268" s="67"/>
      <c r="GW2268" s="67"/>
      <c r="GX2268" s="67"/>
      <c r="GY2268" s="67"/>
      <c r="GZ2268" s="67"/>
      <c r="HA2268" s="67"/>
      <c r="HB2268" s="67"/>
      <c r="HC2268" s="67"/>
      <c r="HD2268" s="67"/>
      <c r="HE2268" s="67"/>
      <c r="HF2268" s="67"/>
      <c r="HG2268" s="67"/>
      <c r="HH2268" s="67"/>
      <c r="HI2268" s="67"/>
      <c r="HJ2268" s="67"/>
      <c r="HK2268" s="67"/>
      <c r="HL2268" s="67"/>
      <c r="HM2268" s="67"/>
      <c r="HN2268" s="67"/>
      <c r="HO2268" s="67"/>
      <c r="HP2268" s="67"/>
      <c r="HQ2268" s="67"/>
      <c r="HR2268" s="67"/>
      <c r="HS2268" s="67"/>
      <c r="HT2268" s="67"/>
      <c r="HU2268" s="67"/>
      <c r="HV2268" s="67"/>
      <c r="HW2268" s="67"/>
      <c r="HX2268" s="67"/>
      <c r="HY2268" s="67"/>
      <c r="HZ2268" s="67"/>
      <c r="IA2268" s="67"/>
      <c r="IB2268" s="67"/>
      <c r="IC2268" s="67"/>
      <c r="ID2268" s="67"/>
      <c r="IE2268" s="67"/>
      <c r="IF2268" s="67"/>
      <c r="IG2268" s="67"/>
      <c r="IH2268" s="67"/>
      <c r="II2268" s="67"/>
      <c r="IJ2268" s="67"/>
      <c r="IK2268" s="67"/>
      <c r="IL2268" s="67"/>
      <c r="IM2268" s="67"/>
      <c r="IN2268" s="67"/>
      <c r="IO2268" s="67"/>
      <c r="IP2268" s="67"/>
      <c r="IQ2268" s="67"/>
      <c r="IR2268" s="67"/>
      <c r="IS2268" s="67"/>
      <c r="IT2268" s="67"/>
      <c r="IU2268" s="67"/>
      <c r="IV2268" s="67"/>
      <c r="IW2268" s="67"/>
      <c r="IX2268" s="67"/>
      <c r="IY2268" s="67"/>
      <c r="IZ2268" s="67"/>
      <c r="JA2268" s="67"/>
      <c r="JB2268" s="67"/>
      <c r="JC2268" s="67"/>
      <c r="JD2268" s="67"/>
      <c r="JE2268" s="67"/>
      <c r="JF2268" s="67"/>
      <c r="JG2268" s="67"/>
      <c r="JH2268" s="67"/>
      <c r="JI2268" s="67"/>
      <c r="JJ2268" s="67"/>
      <c r="JK2268" s="67"/>
      <c r="JL2268" s="67"/>
      <c r="JM2268" s="67"/>
      <c r="JN2268" s="67"/>
      <c r="JO2268" s="67"/>
      <c r="JP2268" s="67"/>
      <c r="JQ2268" s="67"/>
      <c r="JR2268" s="67"/>
      <c r="JS2268" s="67"/>
      <c r="JT2268" s="67"/>
      <c r="JU2268" s="58" t="s">
        <v>2280</v>
      </c>
      <c r="JV2268" s="58"/>
      <c r="JW2268" s="58"/>
    </row>
    <row r="2269" spans="1:283" s="23" customFormat="1" x14ac:dyDescent="0.25">
      <c r="A2269" s="55">
        <v>2268</v>
      </c>
      <c r="B2269" s="12" t="s">
        <v>7067</v>
      </c>
      <c r="C2269" s="156">
        <v>110</v>
      </c>
      <c r="D2269" s="58" t="s">
        <v>4196</v>
      </c>
      <c r="E2269" s="93" t="s">
        <v>2174</v>
      </c>
      <c r="F2269" s="93"/>
      <c r="G2269" s="58" t="s">
        <v>2264</v>
      </c>
      <c r="H2269" s="59">
        <v>1982</v>
      </c>
      <c r="I2269" s="58">
        <v>1976</v>
      </c>
      <c r="J2269" s="59" t="s">
        <v>1709</v>
      </c>
      <c r="K2269" s="59" t="s">
        <v>2265</v>
      </c>
      <c r="L2269" s="59" t="s">
        <v>2744</v>
      </c>
      <c r="M2269" s="94">
        <v>7.38</v>
      </c>
      <c r="N2269" s="94">
        <v>3.95</v>
      </c>
      <c r="O2269" s="93">
        <v>229.3</v>
      </c>
      <c r="P2269" s="59"/>
      <c r="Q2269" s="58"/>
      <c r="R2269" s="59"/>
      <c r="S2269" s="94"/>
      <c r="T2269" s="58"/>
      <c r="U2269" s="58">
        <v>2</v>
      </c>
      <c r="V2269" s="59">
        <v>4</v>
      </c>
      <c r="W2269" s="174"/>
      <c r="X2269" s="174"/>
      <c r="Y2269" s="58" t="s">
        <v>2266</v>
      </c>
      <c r="Z2269" s="58" t="s">
        <v>1355</v>
      </c>
      <c r="AA2269" s="94">
        <v>10</v>
      </c>
      <c r="AB2269" s="67"/>
      <c r="AC2269" s="67"/>
      <c r="AD2269" s="94">
        <v>1.31</v>
      </c>
      <c r="AE2269" s="93">
        <v>69.3</v>
      </c>
      <c r="AF2269" s="93">
        <v>9.5</v>
      </c>
      <c r="AG2269" s="93"/>
      <c r="AH2269" s="58" t="s">
        <v>238</v>
      </c>
      <c r="AI2269" s="169"/>
      <c r="AJ2269" s="94">
        <v>1.7</v>
      </c>
      <c r="AK2269" s="94"/>
      <c r="AL2269" s="58"/>
      <c r="AM2269" s="59" t="s">
        <v>2267</v>
      </c>
      <c r="AN2269" s="188" t="s">
        <v>2271</v>
      </c>
      <c r="AO2269" s="185" t="s">
        <v>5150</v>
      </c>
      <c r="AP2269" s="59"/>
      <c r="AQ2269" s="58" t="s">
        <v>1545</v>
      </c>
      <c r="AR2269" s="59" t="s">
        <v>1607</v>
      </c>
      <c r="AS2269" s="58" t="s">
        <v>132</v>
      </c>
      <c r="AT2269" s="182"/>
      <c r="AU2269" s="181" t="s">
        <v>7494</v>
      </c>
      <c r="AV2269" s="185" t="s">
        <v>176</v>
      </c>
      <c r="AW2269" s="58"/>
      <c r="AX2269" s="185" t="s">
        <v>176</v>
      </c>
      <c r="AY2269" s="58"/>
      <c r="AZ2269" s="59"/>
      <c r="BA2269" s="58"/>
      <c r="BB2269" s="58"/>
      <c r="BC2269" s="58"/>
      <c r="BD2269" s="58"/>
      <c r="BE2269" s="240"/>
      <c r="BF2269" s="59"/>
      <c r="BG2269" s="59"/>
      <c r="BH2269" s="236"/>
      <c r="BI2269" s="58"/>
      <c r="BJ2269" s="58"/>
      <c r="BK2269" s="58" t="s">
        <v>5976</v>
      </c>
      <c r="BL2269" s="58"/>
      <c r="BM2269" s="241" t="s">
        <v>160</v>
      </c>
      <c r="BN2269" s="58">
        <v>3</v>
      </c>
      <c r="BO2269" s="58">
        <v>3</v>
      </c>
      <c r="BP2269" s="59"/>
      <c r="BQ2269" s="58" t="s">
        <v>141</v>
      </c>
      <c r="BR2269" s="58"/>
      <c r="BS2269" s="58"/>
      <c r="BT2269" s="58"/>
      <c r="BU2269" s="58" t="s">
        <v>2279</v>
      </c>
      <c r="BV2269" s="58"/>
      <c r="BW2269" s="67">
        <v>5300</v>
      </c>
      <c r="BX2269" s="67">
        <v>5800</v>
      </c>
      <c r="BY2269" s="67"/>
      <c r="BZ2269" s="67"/>
      <c r="CA2269" s="67" t="s">
        <v>2281</v>
      </c>
      <c r="CB2269" s="153">
        <v>1800</v>
      </c>
      <c r="CC2269" s="68">
        <v>300</v>
      </c>
      <c r="CD2269" s="68"/>
      <c r="CE2269" s="67"/>
      <c r="CF2269" s="67"/>
      <c r="CG2269" s="67"/>
      <c r="CH2269" s="94"/>
      <c r="CI2269" s="94"/>
      <c r="CJ2269" s="67"/>
      <c r="CK2269" s="67"/>
      <c r="CL2269" s="67"/>
      <c r="CM2269" s="67"/>
      <c r="CN2269" s="67"/>
      <c r="CO2269" s="67"/>
      <c r="CP2269" s="67"/>
      <c r="CQ2269" s="67"/>
      <c r="CR2269" s="67"/>
      <c r="CS2269" s="67"/>
      <c r="CT2269" s="67"/>
      <c r="CU2269" s="67"/>
      <c r="CV2269" s="67"/>
      <c r="CW2269" s="67"/>
      <c r="CX2269" s="67"/>
      <c r="CY2269" s="67"/>
      <c r="CZ2269" s="67"/>
      <c r="DA2269" s="67"/>
      <c r="DB2269" s="67"/>
      <c r="DC2269" s="67"/>
      <c r="DD2269" s="67"/>
      <c r="DE2269" s="67"/>
      <c r="DF2269" s="67"/>
      <c r="DG2269" s="67"/>
      <c r="DH2269" s="67"/>
      <c r="DI2269" s="67"/>
      <c r="DJ2269" s="67"/>
      <c r="DK2269" s="67"/>
      <c r="DL2269" s="67"/>
      <c r="DM2269" s="67"/>
      <c r="DN2269" s="67"/>
      <c r="DO2269" s="67"/>
      <c r="DP2269" s="67"/>
      <c r="DQ2269" s="166"/>
      <c r="DR2269" s="166"/>
      <c r="DS2269" s="163"/>
      <c r="DT2269" s="163"/>
      <c r="DU2269" s="67"/>
      <c r="DV2269" s="67"/>
      <c r="DW2269" s="67"/>
      <c r="DX2269" s="67"/>
      <c r="DY2269" s="67"/>
      <c r="DZ2269" s="67"/>
      <c r="EA2269" s="67"/>
      <c r="EB2269" s="67"/>
      <c r="EC2269" s="67"/>
      <c r="ED2269" s="67"/>
      <c r="EE2269" s="67"/>
      <c r="EF2269" s="67"/>
      <c r="EG2269" s="67"/>
      <c r="EH2269" s="67"/>
      <c r="EI2269" s="67"/>
      <c r="EJ2269" s="67"/>
      <c r="EK2269" s="94"/>
      <c r="EL2269" s="94"/>
      <c r="EM2269" s="67"/>
      <c r="EN2269" s="67"/>
      <c r="EO2269" s="67"/>
      <c r="EP2269" s="67"/>
      <c r="EQ2269" s="67"/>
      <c r="ER2269" s="67"/>
      <c r="ES2269" s="67"/>
      <c r="ET2269" s="67"/>
      <c r="EU2269" s="67"/>
      <c r="EV2269" s="67"/>
      <c r="EW2269" s="67"/>
      <c r="EX2269" s="67"/>
      <c r="EY2269" s="67"/>
      <c r="EZ2269" s="67"/>
      <c r="FA2269" s="67"/>
      <c r="FB2269" s="67"/>
      <c r="FC2269" s="67"/>
      <c r="FD2269" s="67"/>
      <c r="FE2269" s="67"/>
      <c r="FF2269" s="67"/>
      <c r="FG2269" s="67"/>
      <c r="FH2269" s="67"/>
      <c r="FI2269" s="67"/>
      <c r="FJ2269" s="67"/>
      <c r="FK2269" s="67"/>
      <c r="FL2269" s="67"/>
      <c r="FM2269" s="67"/>
      <c r="FN2269" s="67"/>
      <c r="FO2269" s="67"/>
      <c r="FP2269" s="67"/>
      <c r="FQ2269" s="67"/>
      <c r="FR2269" s="67"/>
      <c r="FS2269" s="67"/>
      <c r="FT2269" s="67"/>
      <c r="FU2269" s="67"/>
      <c r="FV2269" s="67"/>
      <c r="FW2269" s="67"/>
      <c r="FX2269" s="67"/>
      <c r="FY2269" s="67"/>
      <c r="FZ2269" s="67"/>
      <c r="GA2269" s="67"/>
      <c r="GB2269" s="67"/>
      <c r="GC2269" s="67"/>
      <c r="GD2269" s="67"/>
      <c r="GE2269" s="67"/>
      <c r="GF2269" s="67"/>
      <c r="GG2269" s="67"/>
      <c r="GH2269" s="67"/>
      <c r="GI2269" s="67"/>
      <c r="GJ2269" s="67"/>
      <c r="GK2269" s="67"/>
      <c r="GL2269" s="67"/>
      <c r="GM2269" s="67"/>
      <c r="GN2269" s="292"/>
      <c r="GO2269" s="292"/>
      <c r="GP2269" s="292" t="s">
        <v>7494</v>
      </c>
      <c r="GQ2269" s="67"/>
      <c r="GR2269" s="67"/>
      <c r="GS2269" s="67"/>
      <c r="GT2269" s="67"/>
      <c r="GU2269" s="67"/>
      <c r="GV2269" s="67"/>
      <c r="GW2269" s="67"/>
      <c r="GX2269" s="67"/>
      <c r="GY2269" s="67"/>
      <c r="GZ2269" s="67"/>
      <c r="HA2269" s="67"/>
      <c r="HB2269" s="67"/>
      <c r="HC2269" s="67"/>
      <c r="HD2269" s="67"/>
      <c r="HE2269" s="67"/>
      <c r="HF2269" s="67"/>
      <c r="HG2269" s="67"/>
      <c r="HH2269" s="67"/>
      <c r="HI2269" s="67"/>
      <c r="HJ2269" s="67"/>
      <c r="HK2269" s="67"/>
      <c r="HL2269" s="67"/>
      <c r="HM2269" s="67"/>
      <c r="HN2269" s="67"/>
      <c r="HO2269" s="67"/>
      <c r="HP2269" s="67"/>
      <c r="HQ2269" s="67"/>
      <c r="HR2269" s="67"/>
      <c r="HS2269" s="67"/>
      <c r="HT2269" s="67"/>
      <c r="HU2269" s="67"/>
      <c r="HV2269" s="67"/>
      <c r="HW2269" s="67"/>
      <c r="HX2269" s="67"/>
      <c r="HY2269" s="67"/>
      <c r="HZ2269" s="67"/>
      <c r="IA2269" s="67"/>
      <c r="IB2269" s="67"/>
      <c r="IC2269" s="67"/>
      <c r="ID2269" s="67"/>
      <c r="IE2269" s="67"/>
      <c r="IF2269" s="67"/>
      <c r="IG2269" s="67"/>
      <c r="IH2269" s="67"/>
      <c r="II2269" s="67"/>
      <c r="IJ2269" s="67"/>
      <c r="IK2269" s="67"/>
      <c r="IL2269" s="67"/>
      <c r="IM2269" s="67"/>
      <c r="IN2269" s="67"/>
      <c r="IO2269" s="67"/>
      <c r="IP2269" s="67"/>
      <c r="IQ2269" s="67"/>
      <c r="IR2269" s="67"/>
      <c r="IS2269" s="67"/>
      <c r="IT2269" s="67"/>
      <c r="IU2269" s="67"/>
      <c r="IV2269" s="67"/>
      <c r="IW2269" s="67"/>
      <c r="IX2269" s="67"/>
      <c r="IY2269" s="67"/>
      <c r="IZ2269" s="67"/>
      <c r="JA2269" s="67"/>
      <c r="JB2269" s="67"/>
      <c r="JC2269" s="67"/>
      <c r="JD2269" s="67"/>
      <c r="JE2269" s="67"/>
      <c r="JF2269" s="67"/>
      <c r="JG2269" s="67"/>
      <c r="JH2269" s="67"/>
      <c r="JI2269" s="67"/>
      <c r="JJ2269" s="67"/>
      <c r="JK2269" s="67"/>
      <c r="JL2269" s="67"/>
      <c r="JM2269" s="67"/>
      <c r="JN2269" s="67"/>
      <c r="JO2269" s="67"/>
      <c r="JP2269" s="67"/>
      <c r="JQ2269" s="67"/>
      <c r="JR2269" s="67"/>
      <c r="JS2269" s="67"/>
      <c r="JT2269" s="67"/>
      <c r="JU2269" s="58"/>
      <c r="JV2269" s="58"/>
      <c r="JW2269" s="58"/>
    </row>
    <row r="2270" spans="1:283" s="23" customFormat="1" x14ac:dyDescent="0.25">
      <c r="A2270" s="55">
        <v>2269</v>
      </c>
      <c r="B2270" s="12" t="s">
        <v>7067</v>
      </c>
      <c r="C2270" s="156">
        <v>110</v>
      </c>
      <c r="D2270" s="58" t="s">
        <v>4196</v>
      </c>
      <c r="E2270" s="93" t="s">
        <v>2174</v>
      </c>
      <c r="F2270" s="93"/>
      <c r="G2270" s="58" t="s">
        <v>2264</v>
      </c>
      <c r="H2270" s="59">
        <v>1982</v>
      </c>
      <c r="I2270" s="58">
        <v>1976</v>
      </c>
      <c r="J2270" s="59" t="s">
        <v>1709</v>
      </c>
      <c r="K2270" s="59" t="s">
        <v>2265</v>
      </c>
      <c r="L2270" s="59" t="s">
        <v>2744</v>
      </c>
      <c r="M2270" s="94">
        <v>7.38</v>
      </c>
      <c r="N2270" s="94">
        <v>3.95</v>
      </c>
      <c r="O2270" s="93">
        <v>229.3</v>
      </c>
      <c r="P2270" s="59"/>
      <c r="Q2270" s="58"/>
      <c r="R2270" s="59"/>
      <c r="S2270" s="94"/>
      <c r="T2270" s="58"/>
      <c r="U2270" s="58">
        <v>2</v>
      </c>
      <c r="V2270" s="59">
        <v>4</v>
      </c>
      <c r="W2270" s="174"/>
      <c r="X2270" s="174"/>
      <c r="Y2270" s="58" t="s">
        <v>2266</v>
      </c>
      <c r="Z2270" s="58" t="s">
        <v>1355</v>
      </c>
      <c r="AA2270" s="94">
        <v>10</v>
      </c>
      <c r="AB2270" s="67"/>
      <c r="AC2270" s="67"/>
      <c r="AD2270" s="94">
        <v>1.31</v>
      </c>
      <c r="AE2270" s="93">
        <v>69.3</v>
      </c>
      <c r="AF2270" s="93">
        <v>9.5</v>
      </c>
      <c r="AG2270" s="93"/>
      <c r="AH2270" s="58" t="s">
        <v>238</v>
      </c>
      <c r="AI2270" s="169"/>
      <c r="AJ2270" s="94">
        <v>1.7</v>
      </c>
      <c r="AK2270" s="94"/>
      <c r="AL2270" s="58"/>
      <c r="AM2270" s="59" t="s">
        <v>2267</v>
      </c>
      <c r="AN2270" s="188" t="s">
        <v>2272</v>
      </c>
      <c r="AO2270" s="185" t="s">
        <v>5150</v>
      </c>
      <c r="AP2270" s="59"/>
      <c r="AQ2270" s="58" t="s">
        <v>1545</v>
      </c>
      <c r="AR2270" s="59" t="s">
        <v>1607</v>
      </c>
      <c r="AS2270" s="58" t="s">
        <v>132</v>
      </c>
      <c r="AT2270" s="182"/>
      <c r="AU2270" s="181" t="s">
        <v>7494</v>
      </c>
      <c r="AV2270" s="185" t="s">
        <v>176</v>
      </c>
      <c r="AW2270" s="58"/>
      <c r="AX2270" s="185" t="s">
        <v>176</v>
      </c>
      <c r="AY2270" s="58"/>
      <c r="AZ2270" s="59"/>
      <c r="BA2270" s="58"/>
      <c r="BB2270" s="58"/>
      <c r="BC2270" s="58"/>
      <c r="BD2270" s="58"/>
      <c r="BE2270" s="240"/>
      <c r="BF2270" s="59"/>
      <c r="BG2270" s="59"/>
      <c r="BH2270" s="236"/>
      <c r="BI2270" s="58"/>
      <c r="BJ2270" s="58"/>
      <c r="BK2270" s="58" t="s">
        <v>5976</v>
      </c>
      <c r="BL2270" s="58"/>
      <c r="BM2270" s="241" t="s">
        <v>160</v>
      </c>
      <c r="BN2270" s="58">
        <v>3</v>
      </c>
      <c r="BO2270" s="58">
        <v>3</v>
      </c>
      <c r="BP2270" s="59"/>
      <c r="BQ2270" s="58" t="s">
        <v>141</v>
      </c>
      <c r="BR2270" s="58"/>
      <c r="BS2270" s="58"/>
      <c r="BT2270" s="58"/>
      <c r="BU2270" s="58" t="s">
        <v>2279</v>
      </c>
      <c r="BV2270" s="58"/>
      <c r="BW2270" s="67">
        <v>5300</v>
      </c>
      <c r="BX2270" s="67">
        <v>800</v>
      </c>
      <c r="BY2270" s="67"/>
      <c r="BZ2270" s="67"/>
      <c r="CA2270" s="67" t="s">
        <v>2281</v>
      </c>
      <c r="CB2270" s="153">
        <v>1800</v>
      </c>
      <c r="CC2270" s="68">
        <v>100</v>
      </c>
      <c r="CD2270" s="68"/>
      <c r="CE2270" s="67"/>
      <c r="CF2270" s="67"/>
      <c r="CG2270" s="67"/>
      <c r="CH2270" s="94"/>
      <c r="CI2270" s="94"/>
      <c r="CJ2270" s="67"/>
      <c r="CK2270" s="67"/>
      <c r="CL2270" s="67"/>
      <c r="CM2270" s="67"/>
      <c r="CN2270" s="67"/>
      <c r="CO2270" s="67"/>
      <c r="CP2270" s="67"/>
      <c r="CQ2270" s="67"/>
      <c r="CR2270" s="67"/>
      <c r="CS2270" s="67"/>
      <c r="CT2270" s="67"/>
      <c r="CU2270" s="67"/>
      <c r="CV2270" s="67"/>
      <c r="CW2270" s="67"/>
      <c r="CX2270" s="67"/>
      <c r="CY2270" s="67"/>
      <c r="CZ2270" s="67"/>
      <c r="DA2270" s="67"/>
      <c r="DB2270" s="67"/>
      <c r="DC2270" s="67"/>
      <c r="DD2270" s="67"/>
      <c r="DE2270" s="67"/>
      <c r="DF2270" s="67"/>
      <c r="DG2270" s="67"/>
      <c r="DH2270" s="67"/>
      <c r="DI2270" s="67"/>
      <c r="DJ2270" s="67"/>
      <c r="DK2270" s="67"/>
      <c r="DL2270" s="67"/>
      <c r="DM2270" s="67"/>
      <c r="DN2270" s="67"/>
      <c r="DO2270" s="67"/>
      <c r="DP2270" s="67"/>
      <c r="DQ2270" s="166"/>
      <c r="DR2270" s="166"/>
      <c r="DS2270" s="163"/>
      <c r="DT2270" s="163"/>
      <c r="DU2270" s="67"/>
      <c r="DV2270" s="67"/>
      <c r="DW2270" s="67"/>
      <c r="DX2270" s="67"/>
      <c r="DY2270" s="67"/>
      <c r="DZ2270" s="67"/>
      <c r="EA2270" s="67"/>
      <c r="EB2270" s="67"/>
      <c r="EC2270" s="67"/>
      <c r="ED2270" s="67"/>
      <c r="EE2270" s="67"/>
      <c r="EF2270" s="67"/>
      <c r="EG2270" s="67"/>
      <c r="EH2270" s="67"/>
      <c r="EI2270" s="67"/>
      <c r="EJ2270" s="67"/>
      <c r="EK2270" s="94"/>
      <c r="EL2270" s="94"/>
      <c r="EM2270" s="67"/>
      <c r="EN2270" s="67"/>
      <c r="EO2270" s="67"/>
      <c r="EP2270" s="67"/>
      <c r="EQ2270" s="67"/>
      <c r="ER2270" s="67"/>
      <c r="ES2270" s="67"/>
      <c r="ET2270" s="67"/>
      <c r="EU2270" s="67"/>
      <c r="EV2270" s="67"/>
      <c r="EW2270" s="67"/>
      <c r="EX2270" s="67"/>
      <c r="EY2270" s="67"/>
      <c r="EZ2270" s="67"/>
      <c r="FA2270" s="67"/>
      <c r="FB2270" s="67"/>
      <c r="FC2270" s="67"/>
      <c r="FD2270" s="67"/>
      <c r="FE2270" s="67"/>
      <c r="FF2270" s="67"/>
      <c r="FG2270" s="67"/>
      <c r="FH2270" s="67"/>
      <c r="FI2270" s="67"/>
      <c r="FJ2270" s="67"/>
      <c r="FK2270" s="67"/>
      <c r="FL2270" s="67"/>
      <c r="FM2270" s="67"/>
      <c r="FN2270" s="67"/>
      <c r="FO2270" s="67"/>
      <c r="FP2270" s="67"/>
      <c r="FQ2270" s="67"/>
      <c r="FR2270" s="67"/>
      <c r="FS2270" s="67"/>
      <c r="FT2270" s="67"/>
      <c r="FU2270" s="67"/>
      <c r="FV2270" s="67"/>
      <c r="FW2270" s="67"/>
      <c r="FX2270" s="67"/>
      <c r="FY2270" s="67"/>
      <c r="FZ2270" s="67"/>
      <c r="GA2270" s="67"/>
      <c r="GB2270" s="67"/>
      <c r="GC2270" s="67"/>
      <c r="GD2270" s="67"/>
      <c r="GE2270" s="67"/>
      <c r="GF2270" s="67"/>
      <c r="GG2270" s="67"/>
      <c r="GH2270" s="67"/>
      <c r="GI2270" s="67"/>
      <c r="GJ2270" s="67"/>
      <c r="GK2270" s="67"/>
      <c r="GL2270" s="67"/>
      <c r="GM2270" s="67"/>
      <c r="GN2270" s="292"/>
      <c r="GO2270" s="292"/>
      <c r="GP2270" s="292" t="s">
        <v>7494</v>
      </c>
      <c r="GQ2270" s="67"/>
      <c r="GR2270" s="67"/>
      <c r="GS2270" s="67"/>
      <c r="GT2270" s="67"/>
      <c r="GU2270" s="67"/>
      <c r="GV2270" s="67"/>
      <c r="GW2270" s="67"/>
      <c r="GX2270" s="67"/>
      <c r="GY2270" s="67"/>
      <c r="GZ2270" s="67"/>
      <c r="HA2270" s="67"/>
      <c r="HB2270" s="67"/>
      <c r="HC2270" s="67"/>
      <c r="HD2270" s="67"/>
      <c r="HE2270" s="67"/>
      <c r="HF2270" s="67"/>
      <c r="HG2270" s="67"/>
      <c r="HH2270" s="67"/>
      <c r="HI2270" s="67"/>
      <c r="HJ2270" s="67"/>
      <c r="HK2270" s="67"/>
      <c r="HL2270" s="67"/>
      <c r="HM2270" s="67"/>
      <c r="HN2270" s="67"/>
      <c r="HO2270" s="67"/>
      <c r="HP2270" s="67"/>
      <c r="HQ2270" s="67"/>
      <c r="HR2270" s="67"/>
      <c r="HS2270" s="67"/>
      <c r="HT2270" s="67"/>
      <c r="HU2270" s="67"/>
      <c r="HV2270" s="67"/>
      <c r="HW2270" s="67"/>
      <c r="HX2270" s="67"/>
      <c r="HY2270" s="67"/>
      <c r="HZ2270" s="67"/>
      <c r="IA2270" s="67"/>
      <c r="IB2270" s="67"/>
      <c r="IC2270" s="67"/>
      <c r="ID2270" s="67"/>
      <c r="IE2270" s="67"/>
      <c r="IF2270" s="67"/>
      <c r="IG2270" s="67"/>
      <c r="IH2270" s="67"/>
      <c r="II2270" s="67"/>
      <c r="IJ2270" s="67"/>
      <c r="IK2270" s="67"/>
      <c r="IL2270" s="67"/>
      <c r="IM2270" s="67"/>
      <c r="IN2270" s="67"/>
      <c r="IO2270" s="67"/>
      <c r="IP2270" s="67"/>
      <c r="IQ2270" s="67"/>
      <c r="IR2270" s="67"/>
      <c r="IS2270" s="67"/>
      <c r="IT2270" s="67"/>
      <c r="IU2270" s="67"/>
      <c r="IV2270" s="67"/>
      <c r="IW2270" s="67"/>
      <c r="IX2270" s="67"/>
      <c r="IY2270" s="67"/>
      <c r="IZ2270" s="67"/>
      <c r="JA2270" s="67"/>
      <c r="JB2270" s="67"/>
      <c r="JC2270" s="67"/>
      <c r="JD2270" s="67"/>
      <c r="JE2270" s="67"/>
      <c r="JF2270" s="67"/>
      <c r="JG2270" s="67"/>
      <c r="JH2270" s="67"/>
      <c r="JI2270" s="67"/>
      <c r="JJ2270" s="67"/>
      <c r="JK2270" s="67"/>
      <c r="JL2270" s="67"/>
      <c r="JM2270" s="67"/>
      <c r="JN2270" s="67"/>
      <c r="JO2270" s="67"/>
      <c r="JP2270" s="67"/>
      <c r="JQ2270" s="67"/>
      <c r="JR2270" s="67"/>
      <c r="JS2270" s="67"/>
      <c r="JT2270" s="67"/>
      <c r="JU2270" s="58"/>
      <c r="JV2270" s="58"/>
      <c r="JW2270" s="58"/>
    </row>
    <row r="2271" spans="1:283" s="23" customFormat="1" x14ac:dyDescent="0.25">
      <c r="A2271" s="55">
        <v>2270</v>
      </c>
      <c r="B2271" s="12" t="s">
        <v>7067</v>
      </c>
      <c r="C2271" s="156">
        <v>110</v>
      </c>
      <c r="D2271" s="58" t="s">
        <v>4196</v>
      </c>
      <c r="E2271" s="93" t="s">
        <v>2174</v>
      </c>
      <c r="F2271" s="93"/>
      <c r="G2271" s="58" t="s">
        <v>2264</v>
      </c>
      <c r="H2271" s="59">
        <v>1982</v>
      </c>
      <c r="I2271" s="58">
        <v>1976</v>
      </c>
      <c r="J2271" s="59" t="s">
        <v>1709</v>
      </c>
      <c r="K2271" s="59" t="s">
        <v>2265</v>
      </c>
      <c r="L2271" s="59" t="s">
        <v>2744</v>
      </c>
      <c r="M2271" s="94">
        <v>7.38</v>
      </c>
      <c r="N2271" s="94">
        <v>3.95</v>
      </c>
      <c r="O2271" s="93">
        <v>229.3</v>
      </c>
      <c r="P2271" s="59"/>
      <c r="Q2271" s="58"/>
      <c r="R2271" s="59"/>
      <c r="S2271" s="94"/>
      <c r="T2271" s="58"/>
      <c r="U2271" s="58">
        <v>2</v>
      </c>
      <c r="V2271" s="59">
        <v>4</v>
      </c>
      <c r="W2271" s="174"/>
      <c r="X2271" s="174"/>
      <c r="Y2271" s="58" t="s">
        <v>2266</v>
      </c>
      <c r="Z2271" s="58" t="s">
        <v>1355</v>
      </c>
      <c r="AA2271" s="94">
        <v>10</v>
      </c>
      <c r="AB2271" s="67"/>
      <c r="AC2271" s="67"/>
      <c r="AD2271" s="94">
        <v>1.31</v>
      </c>
      <c r="AE2271" s="93">
        <v>69.3</v>
      </c>
      <c r="AF2271" s="93">
        <v>9.5</v>
      </c>
      <c r="AG2271" s="93"/>
      <c r="AH2271" s="58" t="s">
        <v>238</v>
      </c>
      <c r="AI2271" s="169"/>
      <c r="AJ2271" s="94">
        <v>1.7</v>
      </c>
      <c r="AK2271" s="94"/>
      <c r="AL2271" s="58"/>
      <c r="AM2271" s="59" t="s">
        <v>2267</v>
      </c>
      <c r="AN2271" s="188" t="s">
        <v>2273</v>
      </c>
      <c r="AO2271" s="185" t="s">
        <v>5150</v>
      </c>
      <c r="AP2271" s="59"/>
      <c r="AQ2271" s="58" t="s">
        <v>1545</v>
      </c>
      <c r="AR2271" s="59" t="s">
        <v>1607</v>
      </c>
      <c r="AS2271" s="58" t="s">
        <v>132</v>
      </c>
      <c r="AT2271" s="182"/>
      <c r="AU2271" s="181" t="s">
        <v>7494</v>
      </c>
      <c r="AV2271" s="185" t="s">
        <v>176</v>
      </c>
      <c r="AW2271" s="58"/>
      <c r="AX2271" s="185" t="s">
        <v>176</v>
      </c>
      <c r="AY2271" s="58"/>
      <c r="AZ2271" s="59"/>
      <c r="BA2271" s="58"/>
      <c r="BB2271" s="58"/>
      <c r="BC2271" s="58"/>
      <c r="BD2271" s="58"/>
      <c r="BE2271" s="240"/>
      <c r="BF2271" s="59"/>
      <c r="BG2271" s="59"/>
      <c r="BH2271" s="236"/>
      <c r="BI2271" s="58"/>
      <c r="BJ2271" s="58"/>
      <c r="BK2271" s="58" t="s">
        <v>5976</v>
      </c>
      <c r="BL2271" s="58"/>
      <c r="BM2271" s="241" t="s">
        <v>160</v>
      </c>
      <c r="BN2271" s="58">
        <v>3</v>
      </c>
      <c r="BO2271" s="58">
        <v>3</v>
      </c>
      <c r="BP2271" s="59"/>
      <c r="BQ2271" s="58" t="s">
        <v>141</v>
      </c>
      <c r="BR2271" s="58"/>
      <c r="BS2271" s="58"/>
      <c r="BT2271" s="58"/>
      <c r="BU2271" s="58" t="s">
        <v>2279</v>
      </c>
      <c r="BV2271" s="58"/>
      <c r="BW2271" s="67"/>
      <c r="BX2271" s="67"/>
      <c r="BY2271" s="67"/>
      <c r="BZ2271" s="67"/>
      <c r="CA2271" s="67" t="s">
        <v>2281</v>
      </c>
      <c r="CB2271" s="153">
        <v>1800</v>
      </c>
      <c r="CC2271" s="68">
        <v>100</v>
      </c>
      <c r="CD2271" s="68"/>
      <c r="CE2271" s="67"/>
      <c r="CF2271" s="67"/>
      <c r="CG2271" s="67"/>
      <c r="CH2271" s="94"/>
      <c r="CI2271" s="94"/>
      <c r="CJ2271" s="67"/>
      <c r="CK2271" s="67"/>
      <c r="CL2271" s="67"/>
      <c r="CM2271" s="67"/>
      <c r="CN2271" s="67"/>
      <c r="CO2271" s="67"/>
      <c r="CP2271" s="67"/>
      <c r="CQ2271" s="67"/>
      <c r="CR2271" s="67"/>
      <c r="CS2271" s="67"/>
      <c r="CT2271" s="67"/>
      <c r="CU2271" s="67"/>
      <c r="CV2271" s="67"/>
      <c r="CW2271" s="67"/>
      <c r="CX2271" s="67"/>
      <c r="CY2271" s="67"/>
      <c r="CZ2271" s="67"/>
      <c r="DA2271" s="67"/>
      <c r="DB2271" s="67"/>
      <c r="DC2271" s="67"/>
      <c r="DD2271" s="67"/>
      <c r="DE2271" s="67"/>
      <c r="DF2271" s="67"/>
      <c r="DG2271" s="67"/>
      <c r="DH2271" s="67"/>
      <c r="DI2271" s="67"/>
      <c r="DJ2271" s="67"/>
      <c r="DK2271" s="67"/>
      <c r="DL2271" s="67"/>
      <c r="DM2271" s="67"/>
      <c r="DN2271" s="67"/>
      <c r="DO2271" s="67"/>
      <c r="DP2271" s="67"/>
      <c r="DQ2271" s="166"/>
      <c r="DR2271" s="166"/>
      <c r="DS2271" s="163"/>
      <c r="DT2271" s="163"/>
      <c r="DU2271" s="67"/>
      <c r="DV2271" s="67"/>
      <c r="DW2271" s="67"/>
      <c r="DX2271" s="67"/>
      <c r="DY2271" s="67"/>
      <c r="DZ2271" s="67"/>
      <c r="EA2271" s="67"/>
      <c r="EB2271" s="67"/>
      <c r="EC2271" s="67"/>
      <c r="ED2271" s="67"/>
      <c r="EE2271" s="67"/>
      <c r="EF2271" s="67"/>
      <c r="EG2271" s="67"/>
      <c r="EH2271" s="67"/>
      <c r="EI2271" s="67"/>
      <c r="EJ2271" s="67"/>
      <c r="EK2271" s="94"/>
      <c r="EL2271" s="94"/>
      <c r="EM2271" s="67"/>
      <c r="EN2271" s="67"/>
      <c r="EO2271" s="67"/>
      <c r="EP2271" s="67"/>
      <c r="EQ2271" s="67"/>
      <c r="ER2271" s="67"/>
      <c r="ES2271" s="67"/>
      <c r="ET2271" s="67"/>
      <c r="EU2271" s="67"/>
      <c r="EV2271" s="67"/>
      <c r="EW2271" s="67"/>
      <c r="EX2271" s="67"/>
      <c r="EY2271" s="67"/>
      <c r="EZ2271" s="67"/>
      <c r="FA2271" s="67"/>
      <c r="FB2271" s="67"/>
      <c r="FC2271" s="67"/>
      <c r="FD2271" s="67"/>
      <c r="FE2271" s="67"/>
      <c r="FF2271" s="67"/>
      <c r="FG2271" s="67"/>
      <c r="FH2271" s="67"/>
      <c r="FI2271" s="67"/>
      <c r="FJ2271" s="67"/>
      <c r="FK2271" s="67"/>
      <c r="FL2271" s="67"/>
      <c r="FM2271" s="67"/>
      <c r="FN2271" s="67"/>
      <c r="FO2271" s="67"/>
      <c r="FP2271" s="67"/>
      <c r="FQ2271" s="67"/>
      <c r="FR2271" s="67"/>
      <c r="FS2271" s="67"/>
      <c r="FT2271" s="67"/>
      <c r="FU2271" s="67"/>
      <c r="FV2271" s="67"/>
      <c r="FW2271" s="67"/>
      <c r="FX2271" s="67"/>
      <c r="FY2271" s="67"/>
      <c r="FZ2271" s="67"/>
      <c r="GA2271" s="67"/>
      <c r="GB2271" s="67"/>
      <c r="GC2271" s="67"/>
      <c r="GD2271" s="67"/>
      <c r="GE2271" s="67"/>
      <c r="GF2271" s="67"/>
      <c r="GG2271" s="67"/>
      <c r="GH2271" s="67"/>
      <c r="GI2271" s="67"/>
      <c r="GJ2271" s="67"/>
      <c r="GK2271" s="67"/>
      <c r="GL2271" s="67"/>
      <c r="GM2271" s="67"/>
      <c r="GN2271" s="292"/>
      <c r="GO2271" s="292"/>
      <c r="GP2271" s="292" t="s">
        <v>7494</v>
      </c>
      <c r="GQ2271" s="67"/>
      <c r="GR2271" s="67"/>
      <c r="GS2271" s="67"/>
      <c r="GT2271" s="67"/>
      <c r="GU2271" s="67"/>
      <c r="GV2271" s="67"/>
      <c r="GW2271" s="67"/>
      <c r="GX2271" s="67"/>
      <c r="GY2271" s="67"/>
      <c r="GZ2271" s="67"/>
      <c r="HA2271" s="67"/>
      <c r="HB2271" s="67"/>
      <c r="HC2271" s="67"/>
      <c r="HD2271" s="67"/>
      <c r="HE2271" s="67"/>
      <c r="HF2271" s="67"/>
      <c r="HG2271" s="67"/>
      <c r="HH2271" s="67"/>
      <c r="HI2271" s="67"/>
      <c r="HJ2271" s="67"/>
      <c r="HK2271" s="67"/>
      <c r="HL2271" s="67"/>
      <c r="HM2271" s="67"/>
      <c r="HN2271" s="67"/>
      <c r="HO2271" s="67"/>
      <c r="HP2271" s="67"/>
      <c r="HQ2271" s="67"/>
      <c r="HR2271" s="67"/>
      <c r="HS2271" s="67"/>
      <c r="HT2271" s="67"/>
      <c r="HU2271" s="67"/>
      <c r="HV2271" s="67"/>
      <c r="HW2271" s="67"/>
      <c r="HX2271" s="67"/>
      <c r="HY2271" s="67"/>
      <c r="HZ2271" s="67"/>
      <c r="IA2271" s="67"/>
      <c r="IB2271" s="67"/>
      <c r="IC2271" s="67"/>
      <c r="ID2271" s="67"/>
      <c r="IE2271" s="67"/>
      <c r="IF2271" s="67"/>
      <c r="IG2271" s="67"/>
      <c r="IH2271" s="67"/>
      <c r="II2271" s="67"/>
      <c r="IJ2271" s="67"/>
      <c r="IK2271" s="67"/>
      <c r="IL2271" s="67"/>
      <c r="IM2271" s="67"/>
      <c r="IN2271" s="67"/>
      <c r="IO2271" s="67"/>
      <c r="IP2271" s="67"/>
      <c r="IQ2271" s="67"/>
      <c r="IR2271" s="67"/>
      <c r="IS2271" s="67"/>
      <c r="IT2271" s="67"/>
      <c r="IU2271" s="67"/>
      <c r="IV2271" s="67"/>
      <c r="IW2271" s="67"/>
      <c r="IX2271" s="67"/>
      <c r="IY2271" s="67"/>
      <c r="IZ2271" s="67"/>
      <c r="JA2271" s="67"/>
      <c r="JB2271" s="67"/>
      <c r="JC2271" s="67"/>
      <c r="JD2271" s="67"/>
      <c r="JE2271" s="67"/>
      <c r="JF2271" s="67"/>
      <c r="JG2271" s="67"/>
      <c r="JH2271" s="67"/>
      <c r="JI2271" s="67"/>
      <c r="JJ2271" s="67"/>
      <c r="JK2271" s="67"/>
      <c r="JL2271" s="67"/>
      <c r="JM2271" s="67"/>
      <c r="JN2271" s="67"/>
      <c r="JO2271" s="67"/>
      <c r="JP2271" s="67"/>
      <c r="JQ2271" s="67"/>
      <c r="JR2271" s="67"/>
      <c r="JS2271" s="67"/>
      <c r="JT2271" s="67"/>
      <c r="JU2271" s="58"/>
      <c r="JV2271" s="58"/>
      <c r="JW2271" s="58"/>
    </row>
    <row r="2272" spans="1:283" s="23" customFormat="1" x14ac:dyDescent="0.25">
      <c r="A2272" s="55">
        <v>2271</v>
      </c>
      <c r="B2272" s="12" t="s">
        <v>7067</v>
      </c>
      <c r="C2272" s="156">
        <v>110</v>
      </c>
      <c r="D2272" s="58" t="s">
        <v>4196</v>
      </c>
      <c r="E2272" s="93" t="s">
        <v>2174</v>
      </c>
      <c r="F2272" s="93"/>
      <c r="G2272" s="58" t="s">
        <v>2264</v>
      </c>
      <c r="H2272" s="59">
        <v>1982</v>
      </c>
      <c r="I2272" s="58">
        <v>1976</v>
      </c>
      <c r="J2272" s="59" t="s">
        <v>1709</v>
      </c>
      <c r="K2272" s="59" t="s">
        <v>2265</v>
      </c>
      <c r="L2272" s="59" t="s">
        <v>2744</v>
      </c>
      <c r="M2272" s="94">
        <v>7.38</v>
      </c>
      <c r="N2272" s="94">
        <v>3.95</v>
      </c>
      <c r="O2272" s="93">
        <v>229.3</v>
      </c>
      <c r="P2272" s="59"/>
      <c r="Q2272" s="58"/>
      <c r="R2272" s="59"/>
      <c r="S2272" s="94"/>
      <c r="T2272" s="58"/>
      <c r="U2272" s="58">
        <v>2</v>
      </c>
      <c r="V2272" s="59">
        <v>4</v>
      </c>
      <c r="W2272" s="174"/>
      <c r="X2272" s="174"/>
      <c r="Y2272" s="58" t="s">
        <v>2266</v>
      </c>
      <c r="Z2272" s="58" t="s">
        <v>1355</v>
      </c>
      <c r="AA2272" s="94">
        <v>10</v>
      </c>
      <c r="AB2272" s="67"/>
      <c r="AC2272" s="67"/>
      <c r="AD2272" s="94">
        <v>1.31</v>
      </c>
      <c r="AE2272" s="93">
        <v>69.3</v>
      </c>
      <c r="AF2272" s="93">
        <v>9.5</v>
      </c>
      <c r="AG2272" s="93"/>
      <c r="AH2272" s="58" t="s">
        <v>238</v>
      </c>
      <c r="AI2272" s="169"/>
      <c r="AJ2272" s="94">
        <v>1.7</v>
      </c>
      <c r="AK2272" s="94"/>
      <c r="AL2272" s="58"/>
      <c r="AM2272" s="59" t="s">
        <v>2267</v>
      </c>
      <c r="AN2272" s="188" t="s">
        <v>2274</v>
      </c>
      <c r="AO2272" s="185" t="s">
        <v>5150</v>
      </c>
      <c r="AP2272" s="59"/>
      <c r="AQ2272" s="58" t="s">
        <v>553</v>
      </c>
      <c r="AR2272" s="59" t="s">
        <v>1607</v>
      </c>
      <c r="AS2272" s="58" t="s">
        <v>132</v>
      </c>
      <c r="AT2272" s="182"/>
      <c r="AU2272" s="181" t="s">
        <v>7494</v>
      </c>
      <c r="AV2272" s="185" t="s">
        <v>176</v>
      </c>
      <c r="AW2272" s="58"/>
      <c r="AX2272" s="185" t="s">
        <v>176</v>
      </c>
      <c r="AY2272" s="58"/>
      <c r="AZ2272" s="59"/>
      <c r="BA2272" s="58"/>
      <c r="BB2272" s="58"/>
      <c r="BC2272" s="58"/>
      <c r="BD2272" s="58"/>
      <c r="BE2272" s="240"/>
      <c r="BF2272" s="59"/>
      <c r="BG2272" s="59"/>
      <c r="BH2272" s="236"/>
      <c r="BI2272" s="58"/>
      <c r="BJ2272" s="58"/>
      <c r="BK2272" s="58" t="s">
        <v>5976</v>
      </c>
      <c r="BL2272" s="58"/>
      <c r="BM2272" s="241" t="s">
        <v>160</v>
      </c>
      <c r="BN2272" s="58">
        <v>3</v>
      </c>
      <c r="BO2272" s="58">
        <v>3</v>
      </c>
      <c r="BP2272" s="59"/>
      <c r="BQ2272" s="58" t="s">
        <v>141</v>
      </c>
      <c r="BR2272" s="58"/>
      <c r="BS2272" s="58"/>
      <c r="BT2272" s="58"/>
      <c r="BU2272" s="58" t="s">
        <v>2279</v>
      </c>
      <c r="BV2272" s="58"/>
      <c r="BW2272" s="67">
        <v>5300</v>
      </c>
      <c r="BX2272" s="67">
        <v>7900</v>
      </c>
      <c r="BY2272" s="67"/>
      <c r="BZ2272" s="67"/>
      <c r="CA2272" s="67" t="s">
        <v>2281</v>
      </c>
      <c r="CB2272" s="153">
        <v>1800</v>
      </c>
      <c r="CC2272" s="68">
        <v>3200</v>
      </c>
      <c r="CD2272" s="68"/>
      <c r="CE2272" s="67"/>
      <c r="CF2272" s="67"/>
      <c r="CG2272" s="67"/>
      <c r="CH2272" s="94"/>
      <c r="CI2272" s="94"/>
      <c r="CJ2272" s="67"/>
      <c r="CK2272" s="67"/>
      <c r="CL2272" s="67"/>
      <c r="CM2272" s="67"/>
      <c r="CN2272" s="67"/>
      <c r="CO2272" s="67"/>
      <c r="CP2272" s="67"/>
      <c r="CQ2272" s="67"/>
      <c r="CR2272" s="67"/>
      <c r="CS2272" s="67"/>
      <c r="CT2272" s="67"/>
      <c r="CU2272" s="67"/>
      <c r="CV2272" s="67"/>
      <c r="CW2272" s="67"/>
      <c r="CX2272" s="67"/>
      <c r="CY2272" s="67"/>
      <c r="CZ2272" s="67"/>
      <c r="DA2272" s="67"/>
      <c r="DB2272" s="67"/>
      <c r="DC2272" s="67"/>
      <c r="DD2272" s="67"/>
      <c r="DE2272" s="67"/>
      <c r="DF2272" s="67"/>
      <c r="DG2272" s="67"/>
      <c r="DH2272" s="67"/>
      <c r="DI2272" s="67"/>
      <c r="DJ2272" s="67"/>
      <c r="DK2272" s="67"/>
      <c r="DL2272" s="67"/>
      <c r="DM2272" s="67"/>
      <c r="DN2272" s="67"/>
      <c r="DO2272" s="67"/>
      <c r="DP2272" s="67"/>
      <c r="DQ2272" s="166"/>
      <c r="DR2272" s="166"/>
      <c r="DS2272" s="163"/>
      <c r="DT2272" s="163"/>
      <c r="DU2272" s="67"/>
      <c r="DV2272" s="67"/>
      <c r="DW2272" s="67"/>
      <c r="DX2272" s="67"/>
      <c r="DY2272" s="67"/>
      <c r="DZ2272" s="67"/>
      <c r="EA2272" s="67"/>
      <c r="EB2272" s="67"/>
      <c r="EC2272" s="67"/>
      <c r="ED2272" s="67"/>
      <c r="EE2272" s="67"/>
      <c r="EF2272" s="67"/>
      <c r="EG2272" s="67"/>
      <c r="EH2272" s="67"/>
      <c r="EI2272" s="67"/>
      <c r="EJ2272" s="67"/>
      <c r="EK2272" s="94"/>
      <c r="EL2272" s="94"/>
      <c r="EM2272" s="67"/>
      <c r="EN2272" s="67"/>
      <c r="EO2272" s="67"/>
      <c r="EP2272" s="67"/>
      <c r="EQ2272" s="67"/>
      <c r="ER2272" s="67"/>
      <c r="ES2272" s="67"/>
      <c r="ET2272" s="67"/>
      <c r="EU2272" s="67"/>
      <c r="EV2272" s="67"/>
      <c r="EW2272" s="67"/>
      <c r="EX2272" s="67"/>
      <c r="EY2272" s="67"/>
      <c r="EZ2272" s="67"/>
      <c r="FA2272" s="67"/>
      <c r="FB2272" s="67"/>
      <c r="FC2272" s="67"/>
      <c r="FD2272" s="67"/>
      <c r="FE2272" s="67"/>
      <c r="FF2272" s="67"/>
      <c r="FG2272" s="67"/>
      <c r="FH2272" s="67"/>
      <c r="FI2272" s="67"/>
      <c r="FJ2272" s="67"/>
      <c r="FK2272" s="67"/>
      <c r="FL2272" s="67"/>
      <c r="FM2272" s="67"/>
      <c r="FN2272" s="67"/>
      <c r="FO2272" s="67"/>
      <c r="FP2272" s="67"/>
      <c r="FQ2272" s="67"/>
      <c r="FR2272" s="67"/>
      <c r="FS2272" s="67"/>
      <c r="FT2272" s="67"/>
      <c r="FU2272" s="67"/>
      <c r="FV2272" s="67"/>
      <c r="FW2272" s="67"/>
      <c r="FX2272" s="67"/>
      <c r="FY2272" s="67"/>
      <c r="FZ2272" s="67"/>
      <c r="GA2272" s="67"/>
      <c r="GB2272" s="67"/>
      <c r="GC2272" s="67"/>
      <c r="GD2272" s="67"/>
      <c r="GE2272" s="67"/>
      <c r="GF2272" s="67"/>
      <c r="GG2272" s="67"/>
      <c r="GH2272" s="67"/>
      <c r="GI2272" s="67"/>
      <c r="GJ2272" s="67"/>
      <c r="GK2272" s="67"/>
      <c r="GL2272" s="67"/>
      <c r="GM2272" s="67"/>
      <c r="GN2272" s="292"/>
      <c r="GO2272" s="292"/>
      <c r="GP2272" s="292" t="s">
        <v>7494</v>
      </c>
      <c r="GQ2272" s="67"/>
      <c r="GR2272" s="67"/>
      <c r="GS2272" s="67"/>
      <c r="GT2272" s="67"/>
      <c r="GU2272" s="67"/>
      <c r="GV2272" s="67"/>
      <c r="GW2272" s="67"/>
      <c r="GX2272" s="67"/>
      <c r="GY2272" s="67"/>
      <c r="GZ2272" s="67"/>
      <c r="HA2272" s="67"/>
      <c r="HB2272" s="67"/>
      <c r="HC2272" s="67"/>
      <c r="HD2272" s="67"/>
      <c r="HE2272" s="67"/>
      <c r="HF2272" s="67"/>
      <c r="HG2272" s="67"/>
      <c r="HH2272" s="67"/>
      <c r="HI2272" s="67"/>
      <c r="HJ2272" s="67"/>
      <c r="HK2272" s="67"/>
      <c r="HL2272" s="67"/>
      <c r="HM2272" s="67"/>
      <c r="HN2272" s="67"/>
      <c r="HO2272" s="67"/>
      <c r="HP2272" s="67"/>
      <c r="HQ2272" s="67"/>
      <c r="HR2272" s="67"/>
      <c r="HS2272" s="67"/>
      <c r="HT2272" s="67"/>
      <c r="HU2272" s="67"/>
      <c r="HV2272" s="67"/>
      <c r="HW2272" s="67"/>
      <c r="HX2272" s="67"/>
      <c r="HY2272" s="67"/>
      <c r="HZ2272" s="67"/>
      <c r="IA2272" s="67"/>
      <c r="IB2272" s="67"/>
      <c r="IC2272" s="67"/>
      <c r="ID2272" s="67"/>
      <c r="IE2272" s="67"/>
      <c r="IF2272" s="67"/>
      <c r="IG2272" s="67"/>
      <c r="IH2272" s="67"/>
      <c r="II2272" s="67"/>
      <c r="IJ2272" s="67"/>
      <c r="IK2272" s="67"/>
      <c r="IL2272" s="67"/>
      <c r="IM2272" s="67"/>
      <c r="IN2272" s="67"/>
      <c r="IO2272" s="67"/>
      <c r="IP2272" s="67"/>
      <c r="IQ2272" s="67"/>
      <c r="IR2272" s="67"/>
      <c r="IS2272" s="67"/>
      <c r="IT2272" s="67"/>
      <c r="IU2272" s="67"/>
      <c r="IV2272" s="67"/>
      <c r="IW2272" s="67"/>
      <c r="IX2272" s="67"/>
      <c r="IY2272" s="67"/>
      <c r="IZ2272" s="67"/>
      <c r="JA2272" s="67"/>
      <c r="JB2272" s="67"/>
      <c r="JC2272" s="67"/>
      <c r="JD2272" s="67"/>
      <c r="JE2272" s="67"/>
      <c r="JF2272" s="67"/>
      <c r="JG2272" s="67"/>
      <c r="JH2272" s="67"/>
      <c r="JI2272" s="67"/>
      <c r="JJ2272" s="67"/>
      <c r="JK2272" s="67"/>
      <c r="JL2272" s="67"/>
      <c r="JM2272" s="67"/>
      <c r="JN2272" s="67"/>
      <c r="JO2272" s="67"/>
      <c r="JP2272" s="67"/>
      <c r="JQ2272" s="67"/>
      <c r="JR2272" s="67"/>
      <c r="JS2272" s="67"/>
      <c r="JT2272" s="67"/>
      <c r="JU2272" s="58"/>
      <c r="JV2272" s="58"/>
      <c r="JW2272" s="58"/>
    </row>
    <row r="2273" spans="1:283" s="23" customFormat="1" x14ac:dyDescent="0.25">
      <c r="A2273" s="55">
        <v>2272</v>
      </c>
      <c r="B2273" s="12" t="s">
        <v>7067</v>
      </c>
      <c r="C2273" s="156">
        <v>110</v>
      </c>
      <c r="D2273" s="58" t="s">
        <v>4196</v>
      </c>
      <c r="E2273" s="93" t="s">
        <v>2174</v>
      </c>
      <c r="F2273" s="93"/>
      <c r="G2273" s="58" t="s">
        <v>2264</v>
      </c>
      <c r="H2273" s="59">
        <v>1982</v>
      </c>
      <c r="I2273" s="58">
        <v>1976</v>
      </c>
      <c r="J2273" s="59" t="s">
        <v>1709</v>
      </c>
      <c r="K2273" s="59" t="s">
        <v>2265</v>
      </c>
      <c r="L2273" s="59" t="s">
        <v>2744</v>
      </c>
      <c r="M2273" s="94">
        <v>7.38</v>
      </c>
      <c r="N2273" s="94">
        <v>3.95</v>
      </c>
      <c r="O2273" s="93">
        <v>229.3</v>
      </c>
      <c r="P2273" s="59"/>
      <c r="Q2273" s="58"/>
      <c r="R2273" s="59"/>
      <c r="S2273" s="94"/>
      <c r="T2273" s="58"/>
      <c r="U2273" s="58">
        <v>2</v>
      </c>
      <c r="V2273" s="59">
        <v>4</v>
      </c>
      <c r="W2273" s="174"/>
      <c r="X2273" s="174"/>
      <c r="Y2273" s="58" t="s">
        <v>2266</v>
      </c>
      <c r="Z2273" s="58" t="s">
        <v>1355</v>
      </c>
      <c r="AA2273" s="94">
        <v>10</v>
      </c>
      <c r="AB2273" s="67"/>
      <c r="AC2273" s="67"/>
      <c r="AD2273" s="94">
        <v>1.31</v>
      </c>
      <c r="AE2273" s="93">
        <v>69.3</v>
      </c>
      <c r="AF2273" s="93">
        <v>9.5</v>
      </c>
      <c r="AG2273" s="93"/>
      <c r="AH2273" s="58" t="s">
        <v>238</v>
      </c>
      <c r="AI2273" s="169"/>
      <c r="AJ2273" s="94">
        <v>1.7</v>
      </c>
      <c r="AK2273" s="94"/>
      <c r="AL2273" s="58"/>
      <c r="AM2273" s="59" t="s">
        <v>2267</v>
      </c>
      <c r="AN2273" s="188" t="s">
        <v>2275</v>
      </c>
      <c r="AO2273" s="185" t="s">
        <v>5150</v>
      </c>
      <c r="AP2273" s="59"/>
      <c r="AQ2273" s="58" t="s">
        <v>553</v>
      </c>
      <c r="AR2273" s="59" t="s">
        <v>1607</v>
      </c>
      <c r="AS2273" s="58" t="s">
        <v>132</v>
      </c>
      <c r="AT2273" s="182"/>
      <c r="AU2273" s="181" t="s">
        <v>7494</v>
      </c>
      <c r="AV2273" s="185" t="s">
        <v>176</v>
      </c>
      <c r="AW2273" s="58"/>
      <c r="AX2273" s="185" t="s">
        <v>176</v>
      </c>
      <c r="AY2273" s="58"/>
      <c r="AZ2273" s="59"/>
      <c r="BA2273" s="58"/>
      <c r="BB2273" s="58"/>
      <c r="BC2273" s="58"/>
      <c r="BD2273" s="58"/>
      <c r="BE2273" s="240"/>
      <c r="BF2273" s="59"/>
      <c r="BG2273" s="59"/>
      <c r="BH2273" s="236"/>
      <c r="BI2273" s="58"/>
      <c r="BJ2273" s="58"/>
      <c r="BK2273" s="58" t="s">
        <v>5976</v>
      </c>
      <c r="BL2273" s="58"/>
      <c r="BM2273" s="241" t="s">
        <v>160</v>
      </c>
      <c r="BN2273" s="58">
        <v>3</v>
      </c>
      <c r="BO2273" s="58">
        <v>3</v>
      </c>
      <c r="BP2273" s="59"/>
      <c r="BQ2273" s="58" t="s">
        <v>141</v>
      </c>
      <c r="BR2273" s="58"/>
      <c r="BS2273" s="58"/>
      <c r="BT2273" s="58"/>
      <c r="BU2273" s="58" t="s">
        <v>2279</v>
      </c>
      <c r="BV2273" s="58"/>
      <c r="BW2273" s="67">
        <v>5300</v>
      </c>
      <c r="BX2273" s="67">
        <v>8400</v>
      </c>
      <c r="BY2273" s="67"/>
      <c r="BZ2273" s="67"/>
      <c r="CA2273" s="67" t="s">
        <v>2281</v>
      </c>
      <c r="CB2273" s="153">
        <v>1800</v>
      </c>
      <c r="CC2273" s="68">
        <v>3100</v>
      </c>
      <c r="CD2273" s="68"/>
      <c r="CE2273" s="67"/>
      <c r="CF2273" s="67"/>
      <c r="CG2273" s="67"/>
      <c r="CH2273" s="94"/>
      <c r="CI2273" s="94"/>
      <c r="CJ2273" s="67"/>
      <c r="CK2273" s="67"/>
      <c r="CL2273" s="67"/>
      <c r="CM2273" s="67"/>
      <c r="CN2273" s="67"/>
      <c r="CO2273" s="67"/>
      <c r="CP2273" s="67"/>
      <c r="CQ2273" s="67"/>
      <c r="CR2273" s="67"/>
      <c r="CS2273" s="67"/>
      <c r="CT2273" s="67"/>
      <c r="CU2273" s="67"/>
      <c r="CV2273" s="67"/>
      <c r="CW2273" s="67"/>
      <c r="CX2273" s="67"/>
      <c r="CY2273" s="67"/>
      <c r="CZ2273" s="67"/>
      <c r="DA2273" s="67"/>
      <c r="DB2273" s="67"/>
      <c r="DC2273" s="67"/>
      <c r="DD2273" s="67"/>
      <c r="DE2273" s="67"/>
      <c r="DF2273" s="67"/>
      <c r="DG2273" s="67"/>
      <c r="DH2273" s="67"/>
      <c r="DI2273" s="67"/>
      <c r="DJ2273" s="67"/>
      <c r="DK2273" s="67"/>
      <c r="DL2273" s="67"/>
      <c r="DM2273" s="67"/>
      <c r="DN2273" s="67"/>
      <c r="DO2273" s="67"/>
      <c r="DP2273" s="67"/>
      <c r="DQ2273" s="166"/>
      <c r="DR2273" s="166"/>
      <c r="DS2273" s="163"/>
      <c r="DT2273" s="163"/>
      <c r="DU2273" s="67"/>
      <c r="DV2273" s="67"/>
      <c r="DW2273" s="67"/>
      <c r="DX2273" s="67"/>
      <c r="DY2273" s="67"/>
      <c r="DZ2273" s="67"/>
      <c r="EA2273" s="67"/>
      <c r="EB2273" s="67"/>
      <c r="EC2273" s="67"/>
      <c r="ED2273" s="67"/>
      <c r="EE2273" s="67"/>
      <c r="EF2273" s="67"/>
      <c r="EG2273" s="67"/>
      <c r="EH2273" s="67"/>
      <c r="EI2273" s="67"/>
      <c r="EJ2273" s="67"/>
      <c r="EK2273" s="94"/>
      <c r="EL2273" s="94"/>
      <c r="EM2273" s="67"/>
      <c r="EN2273" s="67"/>
      <c r="EO2273" s="67"/>
      <c r="EP2273" s="67"/>
      <c r="EQ2273" s="67"/>
      <c r="ER2273" s="67"/>
      <c r="ES2273" s="67"/>
      <c r="ET2273" s="67"/>
      <c r="EU2273" s="67"/>
      <c r="EV2273" s="67"/>
      <c r="EW2273" s="67"/>
      <c r="EX2273" s="67"/>
      <c r="EY2273" s="67"/>
      <c r="EZ2273" s="67"/>
      <c r="FA2273" s="67"/>
      <c r="FB2273" s="67"/>
      <c r="FC2273" s="67"/>
      <c r="FD2273" s="67"/>
      <c r="FE2273" s="67"/>
      <c r="FF2273" s="67"/>
      <c r="FG2273" s="67"/>
      <c r="FH2273" s="67"/>
      <c r="FI2273" s="67"/>
      <c r="FJ2273" s="67"/>
      <c r="FK2273" s="67"/>
      <c r="FL2273" s="67"/>
      <c r="FM2273" s="67"/>
      <c r="FN2273" s="67"/>
      <c r="FO2273" s="67"/>
      <c r="FP2273" s="67"/>
      <c r="FQ2273" s="67"/>
      <c r="FR2273" s="67"/>
      <c r="FS2273" s="67"/>
      <c r="FT2273" s="67"/>
      <c r="FU2273" s="67"/>
      <c r="FV2273" s="67"/>
      <c r="FW2273" s="67"/>
      <c r="FX2273" s="67"/>
      <c r="FY2273" s="67"/>
      <c r="FZ2273" s="67"/>
      <c r="GA2273" s="67"/>
      <c r="GB2273" s="67"/>
      <c r="GC2273" s="67"/>
      <c r="GD2273" s="67"/>
      <c r="GE2273" s="67"/>
      <c r="GF2273" s="67"/>
      <c r="GG2273" s="67"/>
      <c r="GH2273" s="67"/>
      <c r="GI2273" s="67"/>
      <c r="GJ2273" s="67"/>
      <c r="GK2273" s="67"/>
      <c r="GL2273" s="67"/>
      <c r="GM2273" s="67"/>
      <c r="GN2273" s="292"/>
      <c r="GO2273" s="292"/>
      <c r="GP2273" s="292" t="s">
        <v>7494</v>
      </c>
      <c r="GQ2273" s="67"/>
      <c r="GR2273" s="67"/>
      <c r="GS2273" s="67"/>
      <c r="GT2273" s="67"/>
      <c r="GU2273" s="67"/>
      <c r="GV2273" s="67"/>
      <c r="GW2273" s="67"/>
      <c r="GX2273" s="67"/>
      <c r="GY2273" s="67"/>
      <c r="GZ2273" s="67"/>
      <c r="HA2273" s="67"/>
      <c r="HB2273" s="67"/>
      <c r="HC2273" s="67"/>
      <c r="HD2273" s="67"/>
      <c r="HE2273" s="67"/>
      <c r="HF2273" s="67"/>
      <c r="HG2273" s="67"/>
      <c r="HH2273" s="67"/>
      <c r="HI2273" s="67"/>
      <c r="HJ2273" s="67"/>
      <c r="HK2273" s="67"/>
      <c r="HL2273" s="67"/>
      <c r="HM2273" s="67"/>
      <c r="HN2273" s="67"/>
      <c r="HO2273" s="67"/>
      <c r="HP2273" s="67"/>
      <c r="HQ2273" s="67"/>
      <c r="HR2273" s="67"/>
      <c r="HS2273" s="67"/>
      <c r="HT2273" s="67"/>
      <c r="HU2273" s="67"/>
      <c r="HV2273" s="67"/>
      <c r="HW2273" s="67"/>
      <c r="HX2273" s="67"/>
      <c r="HY2273" s="67"/>
      <c r="HZ2273" s="67"/>
      <c r="IA2273" s="67"/>
      <c r="IB2273" s="67"/>
      <c r="IC2273" s="67"/>
      <c r="ID2273" s="67"/>
      <c r="IE2273" s="67"/>
      <c r="IF2273" s="67"/>
      <c r="IG2273" s="67"/>
      <c r="IH2273" s="67"/>
      <c r="II2273" s="67"/>
      <c r="IJ2273" s="67"/>
      <c r="IK2273" s="67"/>
      <c r="IL2273" s="67"/>
      <c r="IM2273" s="67"/>
      <c r="IN2273" s="67"/>
      <c r="IO2273" s="67"/>
      <c r="IP2273" s="67"/>
      <c r="IQ2273" s="67"/>
      <c r="IR2273" s="67"/>
      <c r="IS2273" s="67"/>
      <c r="IT2273" s="67"/>
      <c r="IU2273" s="67"/>
      <c r="IV2273" s="67"/>
      <c r="IW2273" s="67"/>
      <c r="IX2273" s="67"/>
      <c r="IY2273" s="67"/>
      <c r="IZ2273" s="67"/>
      <c r="JA2273" s="67"/>
      <c r="JB2273" s="67"/>
      <c r="JC2273" s="67"/>
      <c r="JD2273" s="67"/>
      <c r="JE2273" s="67"/>
      <c r="JF2273" s="67"/>
      <c r="JG2273" s="67"/>
      <c r="JH2273" s="67"/>
      <c r="JI2273" s="67"/>
      <c r="JJ2273" s="67"/>
      <c r="JK2273" s="67"/>
      <c r="JL2273" s="67"/>
      <c r="JM2273" s="67"/>
      <c r="JN2273" s="67"/>
      <c r="JO2273" s="67"/>
      <c r="JP2273" s="67"/>
      <c r="JQ2273" s="67"/>
      <c r="JR2273" s="67"/>
      <c r="JS2273" s="67"/>
      <c r="JT2273" s="67"/>
      <c r="JU2273" s="58"/>
      <c r="JV2273" s="58"/>
      <c r="JW2273" s="58"/>
    </row>
    <row r="2274" spans="1:283" s="23" customFormat="1" x14ac:dyDescent="0.25">
      <c r="A2274" s="55">
        <v>2273</v>
      </c>
      <c r="B2274" s="12" t="s">
        <v>7067</v>
      </c>
      <c r="C2274" s="156">
        <v>110</v>
      </c>
      <c r="D2274" s="58" t="s">
        <v>4196</v>
      </c>
      <c r="E2274" s="93" t="s">
        <v>2174</v>
      </c>
      <c r="F2274" s="93"/>
      <c r="G2274" s="58" t="s">
        <v>2264</v>
      </c>
      <c r="H2274" s="59">
        <v>1982</v>
      </c>
      <c r="I2274" s="58">
        <v>1976</v>
      </c>
      <c r="J2274" s="59" t="s">
        <v>1709</v>
      </c>
      <c r="K2274" s="59" t="s">
        <v>2265</v>
      </c>
      <c r="L2274" s="59" t="s">
        <v>2744</v>
      </c>
      <c r="M2274" s="94">
        <v>7.38</v>
      </c>
      <c r="N2274" s="94">
        <v>3.95</v>
      </c>
      <c r="O2274" s="93">
        <v>229.3</v>
      </c>
      <c r="P2274" s="59"/>
      <c r="Q2274" s="58"/>
      <c r="R2274" s="59"/>
      <c r="S2274" s="94"/>
      <c r="T2274" s="58"/>
      <c r="U2274" s="58">
        <v>2</v>
      </c>
      <c r="V2274" s="59">
        <v>4</v>
      </c>
      <c r="W2274" s="174"/>
      <c r="X2274" s="174"/>
      <c r="Y2274" s="58" t="s">
        <v>2266</v>
      </c>
      <c r="Z2274" s="58" t="s">
        <v>1355</v>
      </c>
      <c r="AA2274" s="94">
        <v>10</v>
      </c>
      <c r="AB2274" s="67"/>
      <c r="AC2274" s="67"/>
      <c r="AD2274" s="94">
        <v>1.31</v>
      </c>
      <c r="AE2274" s="93">
        <v>69.3</v>
      </c>
      <c r="AF2274" s="93">
        <v>9.5</v>
      </c>
      <c r="AG2274" s="93"/>
      <c r="AH2274" s="58" t="s">
        <v>238</v>
      </c>
      <c r="AI2274" s="169"/>
      <c r="AJ2274" s="94">
        <v>1.7</v>
      </c>
      <c r="AK2274" s="94"/>
      <c r="AL2274" s="58"/>
      <c r="AM2274" s="59" t="s">
        <v>2267</v>
      </c>
      <c r="AN2274" s="188" t="s">
        <v>2276</v>
      </c>
      <c r="AO2274" s="185" t="s">
        <v>5150</v>
      </c>
      <c r="AP2274" s="59"/>
      <c r="AQ2274" s="58" t="s">
        <v>553</v>
      </c>
      <c r="AR2274" s="59" t="s">
        <v>1607</v>
      </c>
      <c r="AS2274" s="58" t="s">
        <v>132</v>
      </c>
      <c r="AT2274" s="182"/>
      <c r="AU2274" s="181" t="s">
        <v>7494</v>
      </c>
      <c r="AV2274" s="185" t="s">
        <v>176</v>
      </c>
      <c r="AW2274" s="58"/>
      <c r="AX2274" s="185" t="s">
        <v>176</v>
      </c>
      <c r="AY2274" s="58"/>
      <c r="AZ2274" s="59"/>
      <c r="BA2274" s="58"/>
      <c r="BB2274" s="58"/>
      <c r="BC2274" s="58"/>
      <c r="BD2274" s="58"/>
      <c r="BE2274" s="240"/>
      <c r="BF2274" s="59"/>
      <c r="BG2274" s="59"/>
      <c r="BH2274" s="236"/>
      <c r="BI2274" s="58"/>
      <c r="BJ2274" s="58"/>
      <c r="BK2274" s="58" t="s">
        <v>5976</v>
      </c>
      <c r="BL2274" s="58"/>
      <c r="BM2274" s="241" t="s">
        <v>160</v>
      </c>
      <c r="BN2274" s="58">
        <v>3</v>
      </c>
      <c r="BO2274" s="58">
        <v>3</v>
      </c>
      <c r="BP2274" s="59"/>
      <c r="BQ2274" s="58" t="s">
        <v>141</v>
      </c>
      <c r="BR2274" s="58"/>
      <c r="BS2274" s="58"/>
      <c r="BT2274" s="58"/>
      <c r="BU2274" s="58" t="s">
        <v>2279</v>
      </c>
      <c r="BV2274" s="58"/>
      <c r="BW2274" s="67">
        <v>5300</v>
      </c>
      <c r="BX2274" s="67">
        <v>3400</v>
      </c>
      <c r="BY2274" s="67"/>
      <c r="BZ2274" s="67"/>
      <c r="CA2274" s="67" t="s">
        <v>2281</v>
      </c>
      <c r="CB2274" s="153">
        <v>1800</v>
      </c>
      <c r="CC2274" s="68">
        <v>2100</v>
      </c>
      <c r="CD2274" s="68"/>
      <c r="CE2274" s="67"/>
      <c r="CF2274" s="67"/>
      <c r="CG2274" s="67"/>
      <c r="CH2274" s="94"/>
      <c r="CI2274" s="94"/>
      <c r="CJ2274" s="67"/>
      <c r="CK2274" s="67"/>
      <c r="CL2274" s="67"/>
      <c r="CM2274" s="67"/>
      <c r="CN2274" s="67"/>
      <c r="CO2274" s="67"/>
      <c r="CP2274" s="67"/>
      <c r="CQ2274" s="67"/>
      <c r="CR2274" s="67"/>
      <c r="CS2274" s="67"/>
      <c r="CT2274" s="67"/>
      <c r="CU2274" s="67"/>
      <c r="CV2274" s="67"/>
      <c r="CW2274" s="67"/>
      <c r="CX2274" s="67"/>
      <c r="CY2274" s="67"/>
      <c r="CZ2274" s="67"/>
      <c r="DA2274" s="67"/>
      <c r="DB2274" s="67"/>
      <c r="DC2274" s="67"/>
      <c r="DD2274" s="67"/>
      <c r="DE2274" s="67"/>
      <c r="DF2274" s="67"/>
      <c r="DG2274" s="67"/>
      <c r="DH2274" s="67"/>
      <c r="DI2274" s="67"/>
      <c r="DJ2274" s="67"/>
      <c r="DK2274" s="67"/>
      <c r="DL2274" s="67"/>
      <c r="DM2274" s="67"/>
      <c r="DN2274" s="67"/>
      <c r="DO2274" s="67"/>
      <c r="DP2274" s="67"/>
      <c r="DQ2274" s="166"/>
      <c r="DR2274" s="166"/>
      <c r="DS2274" s="163"/>
      <c r="DT2274" s="163"/>
      <c r="DU2274" s="67"/>
      <c r="DV2274" s="67"/>
      <c r="DW2274" s="67"/>
      <c r="DX2274" s="67"/>
      <c r="DY2274" s="67"/>
      <c r="DZ2274" s="67"/>
      <c r="EA2274" s="67"/>
      <c r="EB2274" s="67"/>
      <c r="EC2274" s="67"/>
      <c r="ED2274" s="67"/>
      <c r="EE2274" s="67"/>
      <c r="EF2274" s="67"/>
      <c r="EG2274" s="67"/>
      <c r="EH2274" s="67"/>
      <c r="EI2274" s="67"/>
      <c r="EJ2274" s="67"/>
      <c r="EK2274" s="94"/>
      <c r="EL2274" s="94"/>
      <c r="EM2274" s="67"/>
      <c r="EN2274" s="67"/>
      <c r="EO2274" s="67"/>
      <c r="EP2274" s="67"/>
      <c r="EQ2274" s="67"/>
      <c r="ER2274" s="67"/>
      <c r="ES2274" s="67"/>
      <c r="ET2274" s="67"/>
      <c r="EU2274" s="67"/>
      <c r="EV2274" s="67"/>
      <c r="EW2274" s="67"/>
      <c r="EX2274" s="67"/>
      <c r="EY2274" s="67"/>
      <c r="EZ2274" s="67"/>
      <c r="FA2274" s="67"/>
      <c r="FB2274" s="67"/>
      <c r="FC2274" s="67"/>
      <c r="FD2274" s="67"/>
      <c r="FE2274" s="67"/>
      <c r="FF2274" s="67"/>
      <c r="FG2274" s="67"/>
      <c r="FH2274" s="67"/>
      <c r="FI2274" s="67"/>
      <c r="FJ2274" s="67"/>
      <c r="FK2274" s="67"/>
      <c r="FL2274" s="67"/>
      <c r="FM2274" s="67"/>
      <c r="FN2274" s="67"/>
      <c r="FO2274" s="67"/>
      <c r="FP2274" s="67"/>
      <c r="FQ2274" s="67"/>
      <c r="FR2274" s="67"/>
      <c r="FS2274" s="67"/>
      <c r="FT2274" s="67"/>
      <c r="FU2274" s="67"/>
      <c r="FV2274" s="67"/>
      <c r="FW2274" s="67"/>
      <c r="FX2274" s="67"/>
      <c r="FY2274" s="67"/>
      <c r="FZ2274" s="67"/>
      <c r="GA2274" s="67"/>
      <c r="GB2274" s="67"/>
      <c r="GC2274" s="67"/>
      <c r="GD2274" s="67"/>
      <c r="GE2274" s="67"/>
      <c r="GF2274" s="67"/>
      <c r="GG2274" s="67"/>
      <c r="GH2274" s="67"/>
      <c r="GI2274" s="67"/>
      <c r="GJ2274" s="67"/>
      <c r="GK2274" s="67"/>
      <c r="GL2274" s="67"/>
      <c r="GM2274" s="67"/>
      <c r="GN2274" s="292"/>
      <c r="GO2274" s="292"/>
      <c r="GP2274" s="292" t="s">
        <v>7494</v>
      </c>
      <c r="GQ2274" s="67"/>
      <c r="GR2274" s="67"/>
      <c r="GS2274" s="67"/>
      <c r="GT2274" s="67"/>
      <c r="GU2274" s="67"/>
      <c r="GV2274" s="67"/>
      <c r="GW2274" s="67"/>
      <c r="GX2274" s="67"/>
      <c r="GY2274" s="67"/>
      <c r="GZ2274" s="67"/>
      <c r="HA2274" s="67"/>
      <c r="HB2274" s="67"/>
      <c r="HC2274" s="67"/>
      <c r="HD2274" s="67"/>
      <c r="HE2274" s="67"/>
      <c r="HF2274" s="67"/>
      <c r="HG2274" s="67"/>
      <c r="HH2274" s="67"/>
      <c r="HI2274" s="67"/>
      <c r="HJ2274" s="67"/>
      <c r="HK2274" s="67"/>
      <c r="HL2274" s="67"/>
      <c r="HM2274" s="67"/>
      <c r="HN2274" s="67"/>
      <c r="HO2274" s="67"/>
      <c r="HP2274" s="67"/>
      <c r="HQ2274" s="67"/>
      <c r="HR2274" s="67"/>
      <c r="HS2274" s="67"/>
      <c r="HT2274" s="67"/>
      <c r="HU2274" s="67"/>
      <c r="HV2274" s="67"/>
      <c r="HW2274" s="67"/>
      <c r="HX2274" s="67"/>
      <c r="HY2274" s="67"/>
      <c r="HZ2274" s="67"/>
      <c r="IA2274" s="67"/>
      <c r="IB2274" s="67"/>
      <c r="IC2274" s="67"/>
      <c r="ID2274" s="67"/>
      <c r="IE2274" s="67"/>
      <c r="IF2274" s="67"/>
      <c r="IG2274" s="67"/>
      <c r="IH2274" s="67"/>
      <c r="II2274" s="67"/>
      <c r="IJ2274" s="67"/>
      <c r="IK2274" s="67"/>
      <c r="IL2274" s="67"/>
      <c r="IM2274" s="67"/>
      <c r="IN2274" s="67"/>
      <c r="IO2274" s="67"/>
      <c r="IP2274" s="67"/>
      <c r="IQ2274" s="67"/>
      <c r="IR2274" s="67"/>
      <c r="IS2274" s="67"/>
      <c r="IT2274" s="67"/>
      <c r="IU2274" s="67"/>
      <c r="IV2274" s="67"/>
      <c r="IW2274" s="67"/>
      <c r="IX2274" s="67"/>
      <c r="IY2274" s="67"/>
      <c r="IZ2274" s="67"/>
      <c r="JA2274" s="67"/>
      <c r="JB2274" s="67"/>
      <c r="JC2274" s="67"/>
      <c r="JD2274" s="67"/>
      <c r="JE2274" s="67"/>
      <c r="JF2274" s="67"/>
      <c r="JG2274" s="67"/>
      <c r="JH2274" s="67"/>
      <c r="JI2274" s="67"/>
      <c r="JJ2274" s="67"/>
      <c r="JK2274" s="67"/>
      <c r="JL2274" s="67"/>
      <c r="JM2274" s="67"/>
      <c r="JN2274" s="67"/>
      <c r="JO2274" s="67"/>
      <c r="JP2274" s="67"/>
      <c r="JQ2274" s="67"/>
      <c r="JR2274" s="67"/>
      <c r="JS2274" s="67"/>
      <c r="JT2274" s="67"/>
      <c r="JU2274" s="58"/>
      <c r="JV2274" s="58"/>
      <c r="JW2274" s="58"/>
    </row>
    <row r="2275" spans="1:283" s="23" customFormat="1" x14ac:dyDescent="0.25">
      <c r="A2275" s="55">
        <v>2274</v>
      </c>
      <c r="B2275" s="12" t="s">
        <v>7067</v>
      </c>
      <c r="C2275" s="156">
        <v>110</v>
      </c>
      <c r="D2275" s="58" t="s">
        <v>4196</v>
      </c>
      <c r="E2275" s="93" t="s">
        <v>2174</v>
      </c>
      <c r="F2275" s="93"/>
      <c r="G2275" s="58" t="s">
        <v>2264</v>
      </c>
      <c r="H2275" s="59">
        <v>1982</v>
      </c>
      <c r="I2275" s="58">
        <v>1976</v>
      </c>
      <c r="J2275" s="59" t="s">
        <v>1709</v>
      </c>
      <c r="K2275" s="59" t="s">
        <v>2265</v>
      </c>
      <c r="L2275" s="59" t="s">
        <v>2744</v>
      </c>
      <c r="M2275" s="94">
        <v>7.38</v>
      </c>
      <c r="N2275" s="94">
        <v>3.95</v>
      </c>
      <c r="O2275" s="93">
        <v>229.3</v>
      </c>
      <c r="P2275" s="59"/>
      <c r="Q2275" s="58"/>
      <c r="R2275" s="59"/>
      <c r="S2275" s="94"/>
      <c r="T2275" s="58"/>
      <c r="U2275" s="58">
        <v>2</v>
      </c>
      <c r="V2275" s="59">
        <v>4</v>
      </c>
      <c r="W2275" s="174"/>
      <c r="X2275" s="174"/>
      <c r="Y2275" s="58" t="s">
        <v>2266</v>
      </c>
      <c r="Z2275" s="58" t="s">
        <v>1355</v>
      </c>
      <c r="AA2275" s="94">
        <v>10</v>
      </c>
      <c r="AB2275" s="67"/>
      <c r="AC2275" s="67"/>
      <c r="AD2275" s="94">
        <v>1.31</v>
      </c>
      <c r="AE2275" s="93">
        <v>69.3</v>
      </c>
      <c r="AF2275" s="93">
        <v>9.5</v>
      </c>
      <c r="AG2275" s="93"/>
      <c r="AH2275" s="58" t="s">
        <v>238</v>
      </c>
      <c r="AI2275" s="169"/>
      <c r="AJ2275" s="94">
        <v>1.7</v>
      </c>
      <c r="AK2275" s="94"/>
      <c r="AL2275" s="58"/>
      <c r="AM2275" s="59" t="s">
        <v>2267</v>
      </c>
      <c r="AN2275" s="188" t="s">
        <v>2277</v>
      </c>
      <c r="AO2275" s="185" t="s">
        <v>5150</v>
      </c>
      <c r="AP2275" s="59"/>
      <c r="AQ2275" s="58" t="s">
        <v>553</v>
      </c>
      <c r="AR2275" s="59" t="s">
        <v>1607</v>
      </c>
      <c r="AS2275" s="58" t="s">
        <v>132</v>
      </c>
      <c r="AT2275" s="182"/>
      <c r="AU2275" s="181" t="s">
        <v>7494</v>
      </c>
      <c r="AV2275" s="185" t="s">
        <v>176</v>
      </c>
      <c r="AW2275" s="58"/>
      <c r="AX2275" s="185" t="s">
        <v>176</v>
      </c>
      <c r="AY2275" s="58"/>
      <c r="AZ2275" s="59"/>
      <c r="BA2275" s="58"/>
      <c r="BB2275" s="58"/>
      <c r="BC2275" s="58"/>
      <c r="BD2275" s="58"/>
      <c r="BE2275" s="240"/>
      <c r="BF2275" s="59"/>
      <c r="BG2275" s="59"/>
      <c r="BH2275" s="236"/>
      <c r="BI2275" s="58"/>
      <c r="BJ2275" s="58"/>
      <c r="BK2275" s="58" t="s">
        <v>5976</v>
      </c>
      <c r="BL2275" s="58"/>
      <c r="BM2275" s="241" t="s">
        <v>160</v>
      </c>
      <c r="BN2275" s="58">
        <v>3</v>
      </c>
      <c r="BO2275" s="58">
        <v>3</v>
      </c>
      <c r="BP2275" s="59"/>
      <c r="BQ2275" s="58" t="s">
        <v>141</v>
      </c>
      <c r="BR2275" s="58"/>
      <c r="BS2275" s="58"/>
      <c r="BT2275" s="58"/>
      <c r="BU2275" s="58" t="s">
        <v>2279</v>
      </c>
      <c r="BV2275" s="58"/>
      <c r="BW2275" s="67">
        <v>5300</v>
      </c>
      <c r="BX2275" s="67">
        <v>7800</v>
      </c>
      <c r="BY2275" s="67"/>
      <c r="BZ2275" s="67"/>
      <c r="CA2275" s="67" t="s">
        <v>2281</v>
      </c>
      <c r="CB2275" s="153">
        <v>1800</v>
      </c>
      <c r="CC2275" s="68">
        <v>3600</v>
      </c>
      <c r="CD2275" s="68"/>
      <c r="CE2275" s="67"/>
      <c r="CF2275" s="67"/>
      <c r="CG2275" s="67"/>
      <c r="CH2275" s="94"/>
      <c r="CI2275" s="94"/>
      <c r="CJ2275" s="67"/>
      <c r="CK2275" s="67"/>
      <c r="CL2275" s="67"/>
      <c r="CM2275" s="67"/>
      <c r="CN2275" s="67"/>
      <c r="CO2275" s="67"/>
      <c r="CP2275" s="67"/>
      <c r="CQ2275" s="67"/>
      <c r="CR2275" s="67"/>
      <c r="CS2275" s="67"/>
      <c r="CT2275" s="67"/>
      <c r="CU2275" s="67"/>
      <c r="CV2275" s="67"/>
      <c r="CW2275" s="67"/>
      <c r="CX2275" s="67"/>
      <c r="CY2275" s="67"/>
      <c r="CZ2275" s="67"/>
      <c r="DA2275" s="67"/>
      <c r="DB2275" s="67"/>
      <c r="DC2275" s="67"/>
      <c r="DD2275" s="67"/>
      <c r="DE2275" s="67"/>
      <c r="DF2275" s="67"/>
      <c r="DG2275" s="67"/>
      <c r="DH2275" s="67"/>
      <c r="DI2275" s="67"/>
      <c r="DJ2275" s="67"/>
      <c r="DK2275" s="67"/>
      <c r="DL2275" s="67"/>
      <c r="DM2275" s="67"/>
      <c r="DN2275" s="67"/>
      <c r="DO2275" s="67"/>
      <c r="DP2275" s="67"/>
      <c r="DQ2275" s="166"/>
      <c r="DR2275" s="166"/>
      <c r="DS2275" s="163"/>
      <c r="DT2275" s="163"/>
      <c r="DU2275" s="67"/>
      <c r="DV2275" s="67"/>
      <c r="DW2275" s="67"/>
      <c r="DX2275" s="67"/>
      <c r="DY2275" s="67"/>
      <c r="DZ2275" s="67"/>
      <c r="EA2275" s="67"/>
      <c r="EB2275" s="67"/>
      <c r="EC2275" s="67"/>
      <c r="ED2275" s="67"/>
      <c r="EE2275" s="67"/>
      <c r="EF2275" s="67"/>
      <c r="EG2275" s="67"/>
      <c r="EH2275" s="67"/>
      <c r="EI2275" s="67"/>
      <c r="EJ2275" s="67"/>
      <c r="EK2275" s="94"/>
      <c r="EL2275" s="94"/>
      <c r="EM2275" s="67"/>
      <c r="EN2275" s="67"/>
      <c r="EO2275" s="67"/>
      <c r="EP2275" s="67"/>
      <c r="EQ2275" s="67"/>
      <c r="ER2275" s="67"/>
      <c r="ES2275" s="67"/>
      <c r="ET2275" s="67"/>
      <c r="EU2275" s="67"/>
      <c r="EV2275" s="67"/>
      <c r="EW2275" s="67"/>
      <c r="EX2275" s="67"/>
      <c r="EY2275" s="67"/>
      <c r="EZ2275" s="67"/>
      <c r="FA2275" s="67"/>
      <c r="FB2275" s="67"/>
      <c r="FC2275" s="67"/>
      <c r="FD2275" s="67"/>
      <c r="FE2275" s="67"/>
      <c r="FF2275" s="67"/>
      <c r="FG2275" s="67"/>
      <c r="FH2275" s="67"/>
      <c r="FI2275" s="67"/>
      <c r="FJ2275" s="67"/>
      <c r="FK2275" s="67"/>
      <c r="FL2275" s="67"/>
      <c r="FM2275" s="67"/>
      <c r="FN2275" s="67"/>
      <c r="FO2275" s="67"/>
      <c r="FP2275" s="67"/>
      <c r="FQ2275" s="67"/>
      <c r="FR2275" s="67"/>
      <c r="FS2275" s="67"/>
      <c r="FT2275" s="67"/>
      <c r="FU2275" s="67"/>
      <c r="FV2275" s="67"/>
      <c r="FW2275" s="67"/>
      <c r="FX2275" s="67"/>
      <c r="FY2275" s="67"/>
      <c r="FZ2275" s="67"/>
      <c r="GA2275" s="67"/>
      <c r="GB2275" s="67"/>
      <c r="GC2275" s="67"/>
      <c r="GD2275" s="67"/>
      <c r="GE2275" s="67"/>
      <c r="GF2275" s="67"/>
      <c r="GG2275" s="67"/>
      <c r="GH2275" s="67"/>
      <c r="GI2275" s="67"/>
      <c r="GJ2275" s="67"/>
      <c r="GK2275" s="67"/>
      <c r="GL2275" s="67"/>
      <c r="GM2275" s="67"/>
      <c r="GN2275" s="292"/>
      <c r="GO2275" s="292"/>
      <c r="GP2275" s="292" t="s">
        <v>7494</v>
      </c>
      <c r="GQ2275" s="67"/>
      <c r="GR2275" s="67"/>
      <c r="GS2275" s="67"/>
      <c r="GT2275" s="67"/>
      <c r="GU2275" s="67"/>
      <c r="GV2275" s="67"/>
      <c r="GW2275" s="67"/>
      <c r="GX2275" s="67"/>
      <c r="GY2275" s="67"/>
      <c r="GZ2275" s="67"/>
      <c r="HA2275" s="67"/>
      <c r="HB2275" s="67"/>
      <c r="HC2275" s="67"/>
      <c r="HD2275" s="67"/>
      <c r="HE2275" s="67"/>
      <c r="HF2275" s="67"/>
      <c r="HG2275" s="67"/>
      <c r="HH2275" s="67"/>
      <c r="HI2275" s="67"/>
      <c r="HJ2275" s="67"/>
      <c r="HK2275" s="67"/>
      <c r="HL2275" s="67"/>
      <c r="HM2275" s="67"/>
      <c r="HN2275" s="67"/>
      <c r="HO2275" s="67"/>
      <c r="HP2275" s="67"/>
      <c r="HQ2275" s="67"/>
      <c r="HR2275" s="67"/>
      <c r="HS2275" s="67"/>
      <c r="HT2275" s="67"/>
      <c r="HU2275" s="67"/>
      <c r="HV2275" s="67"/>
      <c r="HW2275" s="67"/>
      <c r="HX2275" s="67"/>
      <c r="HY2275" s="67"/>
      <c r="HZ2275" s="67"/>
      <c r="IA2275" s="67"/>
      <c r="IB2275" s="67"/>
      <c r="IC2275" s="67"/>
      <c r="ID2275" s="67"/>
      <c r="IE2275" s="67"/>
      <c r="IF2275" s="67"/>
      <c r="IG2275" s="67"/>
      <c r="IH2275" s="67"/>
      <c r="II2275" s="67"/>
      <c r="IJ2275" s="67"/>
      <c r="IK2275" s="67"/>
      <c r="IL2275" s="67"/>
      <c r="IM2275" s="67"/>
      <c r="IN2275" s="67"/>
      <c r="IO2275" s="67"/>
      <c r="IP2275" s="67"/>
      <c r="IQ2275" s="67"/>
      <c r="IR2275" s="67"/>
      <c r="IS2275" s="67"/>
      <c r="IT2275" s="67"/>
      <c r="IU2275" s="67"/>
      <c r="IV2275" s="67"/>
      <c r="IW2275" s="67"/>
      <c r="IX2275" s="67"/>
      <c r="IY2275" s="67"/>
      <c r="IZ2275" s="67"/>
      <c r="JA2275" s="67"/>
      <c r="JB2275" s="67"/>
      <c r="JC2275" s="67"/>
      <c r="JD2275" s="67"/>
      <c r="JE2275" s="67"/>
      <c r="JF2275" s="67"/>
      <c r="JG2275" s="67"/>
      <c r="JH2275" s="67"/>
      <c r="JI2275" s="67"/>
      <c r="JJ2275" s="67"/>
      <c r="JK2275" s="67"/>
      <c r="JL2275" s="67"/>
      <c r="JM2275" s="67"/>
      <c r="JN2275" s="67"/>
      <c r="JO2275" s="67"/>
      <c r="JP2275" s="67"/>
      <c r="JQ2275" s="67"/>
      <c r="JR2275" s="67"/>
      <c r="JS2275" s="67"/>
      <c r="JT2275" s="67"/>
      <c r="JU2275" s="58"/>
      <c r="JV2275" s="58"/>
      <c r="JW2275" s="58"/>
    </row>
    <row r="2276" spans="1:283" s="23" customFormat="1" x14ac:dyDescent="0.25">
      <c r="A2276" s="55">
        <v>2275</v>
      </c>
      <c r="B2276" s="12" t="s">
        <v>7067</v>
      </c>
      <c r="C2276" s="156">
        <v>110</v>
      </c>
      <c r="D2276" s="58" t="s">
        <v>4196</v>
      </c>
      <c r="E2276" s="93" t="s">
        <v>2174</v>
      </c>
      <c r="F2276" s="93"/>
      <c r="G2276" s="58" t="s">
        <v>2264</v>
      </c>
      <c r="H2276" s="59">
        <v>1982</v>
      </c>
      <c r="I2276" s="58">
        <v>1976</v>
      </c>
      <c r="J2276" s="59" t="s">
        <v>1709</v>
      </c>
      <c r="K2276" s="59" t="s">
        <v>2265</v>
      </c>
      <c r="L2276" s="59" t="s">
        <v>2744</v>
      </c>
      <c r="M2276" s="94">
        <v>7.38</v>
      </c>
      <c r="N2276" s="94">
        <v>3.95</v>
      </c>
      <c r="O2276" s="93">
        <v>229.3</v>
      </c>
      <c r="P2276" s="59"/>
      <c r="Q2276" s="58"/>
      <c r="R2276" s="59"/>
      <c r="S2276" s="94"/>
      <c r="T2276" s="58"/>
      <c r="U2276" s="58">
        <v>2</v>
      </c>
      <c r="V2276" s="59">
        <v>4</v>
      </c>
      <c r="W2276" s="174"/>
      <c r="X2276" s="174"/>
      <c r="Y2276" s="58" t="s">
        <v>2266</v>
      </c>
      <c r="Z2276" s="58" t="s">
        <v>1355</v>
      </c>
      <c r="AA2276" s="94">
        <v>10</v>
      </c>
      <c r="AB2276" s="67"/>
      <c r="AC2276" s="67"/>
      <c r="AD2276" s="94">
        <v>1.31</v>
      </c>
      <c r="AE2276" s="93">
        <v>69.3</v>
      </c>
      <c r="AF2276" s="93">
        <v>9.5</v>
      </c>
      <c r="AG2276" s="93"/>
      <c r="AH2276" s="58" t="s">
        <v>238</v>
      </c>
      <c r="AI2276" s="169"/>
      <c r="AJ2276" s="94">
        <v>1.7</v>
      </c>
      <c r="AK2276" s="94"/>
      <c r="AL2276" s="58"/>
      <c r="AM2276" s="59" t="s">
        <v>2267</v>
      </c>
      <c r="AN2276" s="188" t="s">
        <v>2278</v>
      </c>
      <c r="AO2276" s="185" t="s">
        <v>5150</v>
      </c>
      <c r="AP2276" s="59"/>
      <c r="AQ2276" s="58" t="s">
        <v>553</v>
      </c>
      <c r="AR2276" s="59" t="s">
        <v>1607</v>
      </c>
      <c r="AS2276" s="58" t="s">
        <v>132</v>
      </c>
      <c r="AT2276" s="182"/>
      <c r="AU2276" s="181" t="s">
        <v>7494</v>
      </c>
      <c r="AV2276" s="185" t="s">
        <v>176</v>
      </c>
      <c r="AW2276" s="58"/>
      <c r="AX2276" s="185" t="s">
        <v>176</v>
      </c>
      <c r="AY2276" s="58"/>
      <c r="AZ2276" s="59"/>
      <c r="BA2276" s="58"/>
      <c r="BB2276" s="58"/>
      <c r="BC2276" s="58"/>
      <c r="BD2276" s="58"/>
      <c r="BE2276" s="240"/>
      <c r="BF2276" s="59"/>
      <c r="BG2276" s="59"/>
      <c r="BH2276" s="236"/>
      <c r="BI2276" s="58"/>
      <c r="BJ2276" s="58"/>
      <c r="BK2276" s="58" t="s">
        <v>5976</v>
      </c>
      <c r="BL2276" s="58"/>
      <c r="BM2276" s="241" t="s">
        <v>160</v>
      </c>
      <c r="BN2276" s="58">
        <v>3</v>
      </c>
      <c r="BO2276" s="58">
        <v>3</v>
      </c>
      <c r="BP2276" s="59"/>
      <c r="BQ2276" s="58" t="s">
        <v>141</v>
      </c>
      <c r="BR2276" s="58"/>
      <c r="BS2276" s="58"/>
      <c r="BT2276" s="58"/>
      <c r="BU2276" s="58" t="s">
        <v>2279</v>
      </c>
      <c r="BV2276" s="58"/>
      <c r="BW2276" s="67">
        <v>5300</v>
      </c>
      <c r="BX2276" s="67">
        <v>8700</v>
      </c>
      <c r="BY2276" s="67"/>
      <c r="BZ2276" s="67"/>
      <c r="CA2276" s="67" t="s">
        <v>2281</v>
      </c>
      <c r="CB2276" s="153">
        <v>1800</v>
      </c>
      <c r="CC2276" s="68">
        <v>2200</v>
      </c>
      <c r="CD2276" s="68"/>
      <c r="CE2276" s="67"/>
      <c r="CF2276" s="67"/>
      <c r="CG2276" s="67"/>
      <c r="CH2276" s="94"/>
      <c r="CI2276" s="94"/>
      <c r="CJ2276" s="67"/>
      <c r="CK2276" s="67"/>
      <c r="CL2276" s="67"/>
      <c r="CM2276" s="67"/>
      <c r="CN2276" s="67"/>
      <c r="CO2276" s="67"/>
      <c r="CP2276" s="67"/>
      <c r="CQ2276" s="67"/>
      <c r="CR2276" s="67"/>
      <c r="CS2276" s="67"/>
      <c r="CT2276" s="67"/>
      <c r="CU2276" s="67"/>
      <c r="CV2276" s="67"/>
      <c r="CW2276" s="67"/>
      <c r="CX2276" s="67"/>
      <c r="CY2276" s="67"/>
      <c r="CZ2276" s="67"/>
      <c r="DA2276" s="67"/>
      <c r="DB2276" s="67"/>
      <c r="DC2276" s="67"/>
      <c r="DD2276" s="67"/>
      <c r="DE2276" s="67"/>
      <c r="DF2276" s="67"/>
      <c r="DG2276" s="67"/>
      <c r="DH2276" s="67"/>
      <c r="DI2276" s="67"/>
      <c r="DJ2276" s="67"/>
      <c r="DK2276" s="67"/>
      <c r="DL2276" s="67"/>
      <c r="DM2276" s="67"/>
      <c r="DN2276" s="67"/>
      <c r="DO2276" s="67"/>
      <c r="DP2276" s="67"/>
      <c r="DQ2276" s="166"/>
      <c r="DR2276" s="166"/>
      <c r="DS2276" s="163"/>
      <c r="DT2276" s="163"/>
      <c r="DU2276" s="67"/>
      <c r="DV2276" s="67"/>
      <c r="DW2276" s="67"/>
      <c r="DX2276" s="67"/>
      <c r="DY2276" s="67"/>
      <c r="DZ2276" s="67"/>
      <c r="EA2276" s="67"/>
      <c r="EB2276" s="67"/>
      <c r="EC2276" s="67"/>
      <c r="ED2276" s="67"/>
      <c r="EE2276" s="67"/>
      <c r="EF2276" s="67"/>
      <c r="EG2276" s="67"/>
      <c r="EH2276" s="67"/>
      <c r="EI2276" s="67"/>
      <c r="EJ2276" s="67"/>
      <c r="EK2276" s="94"/>
      <c r="EL2276" s="94"/>
      <c r="EM2276" s="67"/>
      <c r="EN2276" s="67"/>
      <c r="EO2276" s="67"/>
      <c r="EP2276" s="67"/>
      <c r="EQ2276" s="67"/>
      <c r="ER2276" s="67"/>
      <c r="ES2276" s="67"/>
      <c r="ET2276" s="67"/>
      <c r="EU2276" s="67"/>
      <c r="EV2276" s="67"/>
      <c r="EW2276" s="67"/>
      <c r="EX2276" s="67"/>
      <c r="EY2276" s="67"/>
      <c r="EZ2276" s="67"/>
      <c r="FA2276" s="67"/>
      <c r="FB2276" s="67"/>
      <c r="FC2276" s="67"/>
      <c r="FD2276" s="67"/>
      <c r="FE2276" s="67"/>
      <c r="FF2276" s="67"/>
      <c r="FG2276" s="67"/>
      <c r="FH2276" s="67"/>
      <c r="FI2276" s="67"/>
      <c r="FJ2276" s="67"/>
      <c r="FK2276" s="67"/>
      <c r="FL2276" s="67"/>
      <c r="FM2276" s="67"/>
      <c r="FN2276" s="67"/>
      <c r="FO2276" s="67"/>
      <c r="FP2276" s="67"/>
      <c r="FQ2276" s="67"/>
      <c r="FR2276" s="67"/>
      <c r="FS2276" s="67"/>
      <c r="FT2276" s="67"/>
      <c r="FU2276" s="67"/>
      <c r="FV2276" s="67"/>
      <c r="FW2276" s="67"/>
      <c r="FX2276" s="67"/>
      <c r="FY2276" s="67"/>
      <c r="FZ2276" s="67"/>
      <c r="GA2276" s="67"/>
      <c r="GB2276" s="67"/>
      <c r="GC2276" s="67"/>
      <c r="GD2276" s="67"/>
      <c r="GE2276" s="67"/>
      <c r="GF2276" s="67"/>
      <c r="GG2276" s="67"/>
      <c r="GH2276" s="67"/>
      <c r="GI2276" s="67"/>
      <c r="GJ2276" s="67"/>
      <c r="GK2276" s="67"/>
      <c r="GL2276" s="67"/>
      <c r="GM2276" s="67"/>
      <c r="GN2276" s="292"/>
      <c r="GO2276" s="292"/>
      <c r="GP2276" s="292" t="s">
        <v>7494</v>
      </c>
      <c r="GQ2276" s="67"/>
      <c r="GR2276" s="67"/>
      <c r="GS2276" s="67"/>
      <c r="GT2276" s="67"/>
      <c r="GU2276" s="67"/>
      <c r="GV2276" s="67"/>
      <c r="GW2276" s="67"/>
      <c r="GX2276" s="67"/>
      <c r="GY2276" s="67"/>
      <c r="GZ2276" s="67"/>
      <c r="HA2276" s="67"/>
      <c r="HB2276" s="67"/>
      <c r="HC2276" s="67"/>
      <c r="HD2276" s="67"/>
      <c r="HE2276" s="67"/>
      <c r="HF2276" s="67"/>
      <c r="HG2276" s="67"/>
      <c r="HH2276" s="67"/>
      <c r="HI2276" s="67"/>
      <c r="HJ2276" s="67"/>
      <c r="HK2276" s="67"/>
      <c r="HL2276" s="67"/>
      <c r="HM2276" s="67"/>
      <c r="HN2276" s="67"/>
      <c r="HO2276" s="67"/>
      <c r="HP2276" s="67"/>
      <c r="HQ2276" s="67"/>
      <c r="HR2276" s="67"/>
      <c r="HS2276" s="67"/>
      <c r="HT2276" s="67"/>
      <c r="HU2276" s="67"/>
      <c r="HV2276" s="67"/>
      <c r="HW2276" s="67"/>
      <c r="HX2276" s="67"/>
      <c r="HY2276" s="67"/>
      <c r="HZ2276" s="67"/>
      <c r="IA2276" s="67"/>
      <c r="IB2276" s="67"/>
      <c r="IC2276" s="67"/>
      <c r="ID2276" s="67"/>
      <c r="IE2276" s="67"/>
      <c r="IF2276" s="67"/>
      <c r="IG2276" s="67"/>
      <c r="IH2276" s="67"/>
      <c r="II2276" s="67"/>
      <c r="IJ2276" s="67"/>
      <c r="IK2276" s="67"/>
      <c r="IL2276" s="67"/>
      <c r="IM2276" s="67"/>
      <c r="IN2276" s="67"/>
      <c r="IO2276" s="67"/>
      <c r="IP2276" s="67"/>
      <c r="IQ2276" s="67"/>
      <c r="IR2276" s="67"/>
      <c r="IS2276" s="67"/>
      <c r="IT2276" s="67"/>
      <c r="IU2276" s="67"/>
      <c r="IV2276" s="67"/>
      <c r="IW2276" s="67"/>
      <c r="IX2276" s="67"/>
      <c r="IY2276" s="67"/>
      <c r="IZ2276" s="67"/>
      <c r="JA2276" s="67"/>
      <c r="JB2276" s="67"/>
      <c r="JC2276" s="67"/>
      <c r="JD2276" s="67"/>
      <c r="JE2276" s="67"/>
      <c r="JF2276" s="67"/>
      <c r="JG2276" s="67"/>
      <c r="JH2276" s="67"/>
      <c r="JI2276" s="67"/>
      <c r="JJ2276" s="67"/>
      <c r="JK2276" s="67"/>
      <c r="JL2276" s="67"/>
      <c r="JM2276" s="67"/>
      <c r="JN2276" s="67"/>
      <c r="JO2276" s="67"/>
      <c r="JP2276" s="67"/>
      <c r="JQ2276" s="67"/>
      <c r="JR2276" s="67"/>
      <c r="JS2276" s="67"/>
      <c r="JT2276" s="67"/>
      <c r="JU2276" s="58"/>
      <c r="JV2276" s="58"/>
      <c r="JW2276" s="58"/>
    </row>
    <row r="2277" spans="1:283" s="23" customFormat="1" x14ac:dyDescent="0.25">
      <c r="A2277" s="55">
        <v>2276</v>
      </c>
      <c r="B2277" s="12" t="s">
        <v>7067</v>
      </c>
      <c r="C2277" s="156">
        <v>110</v>
      </c>
      <c r="D2277" s="58" t="s">
        <v>4196</v>
      </c>
      <c r="E2277" s="93" t="s">
        <v>2174</v>
      </c>
      <c r="F2277" s="93"/>
      <c r="G2277" s="58" t="s">
        <v>2264</v>
      </c>
      <c r="H2277" s="59">
        <v>1982</v>
      </c>
      <c r="I2277" s="58">
        <v>1977</v>
      </c>
      <c r="J2277" s="59" t="s">
        <v>1709</v>
      </c>
      <c r="K2277" s="59" t="s">
        <v>2265</v>
      </c>
      <c r="L2277" s="59" t="s">
        <v>2744</v>
      </c>
      <c r="M2277" s="94">
        <v>7.38</v>
      </c>
      <c r="N2277" s="94">
        <v>3.95</v>
      </c>
      <c r="O2277" s="93">
        <v>229.3</v>
      </c>
      <c r="P2277" s="59"/>
      <c r="Q2277" s="58"/>
      <c r="R2277" s="59"/>
      <c r="S2277" s="94"/>
      <c r="T2277" s="58"/>
      <c r="U2277" s="58">
        <v>3</v>
      </c>
      <c r="V2277" s="59">
        <v>4</v>
      </c>
      <c r="W2277" s="174"/>
      <c r="X2277" s="174"/>
      <c r="Y2277" s="58" t="s">
        <v>2266</v>
      </c>
      <c r="Z2277" s="58" t="s">
        <v>1355</v>
      </c>
      <c r="AA2277" s="94">
        <v>10</v>
      </c>
      <c r="AB2277" s="67"/>
      <c r="AC2277" s="67"/>
      <c r="AD2277" s="94">
        <v>1.31</v>
      </c>
      <c r="AE2277" s="93">
        <v>69.3</v>
      </c>
      <c r="AF2277" s="93">
        <v>9.5</v>
      </c>
      <c r="AG2277" s="93"/>
      <c r="AH2277" s="58" t="s">
        <v>238</v>
      </c>
      <c r="AI2277" s="169"/>
      <c r="AJ2277" s="94">
        <v>1.7</v>
      </c>
      <c r="AK2277" s="94"/>
      <c r="AL2277" s="58"/>
      <c r="AM2277" s="59" t="s">
        <v>2267</v>
      </c>
      <c r="AN2277" s="188" t="s">
        <v>2271</v>
      </c>
      <c r="AO2277" s="185" t="s">
        <v>5150</v>
      </c>
      <c r="AP2277" s="59"/>
      <c r="AQ2277" s="58" t="s">
        <v>1545</v>
      </c>
      <c r="AR2277" s="59" t="s">
        <v>1607</v>
      </c>
      <c r="AS2277" s="58" t="s">
        <v>132</v>
      </c>
      <c r="AT2277" s="182"/>
      <c r="AU2277" s="181" t="s">
        <v>7494</v>
      </c>
      <c r="AV2277" s="185" t="s">
        <v>176</v>
      </c>
      <c r="AW2277" s="58"/>
      <c r="AX2277" s="185" t="s">
        <v>176</v>
      </c>
      <c r="AY2277" s="58"/>
      <c r="AZ2277" s="59"/>
      <c r="BA2277" s="58"/>
      <c r="BB2277" s="58"/>
      <c r="BC2277" s="58"/>
      <c r="BD2277" s="58"/>
      <c r="BE2277" s="240"/>
      <c r="BF2277" s="59"/>
      <c r="BG2277" s="59"/>
      <c r="BH2277" s="236"/>
      <c r="BI2277" s="58"/>
      <c r="BJ2277" s="58"/>
      <c r="BK2277" s="58" t="s">
        <v>5976</v>
      </c>
      <c r="BL2277" s="58"/>
      <c r="BM2277" s="241" t="s">
        <v>160</v>
      </c>
      <c r="BN2277" s="58">
        <v>3</v>
      </c>
      <c r="BO2277" s="58">
        <v>3</v>
      </c>
      <c r="BP2277" s="59"/>
      <c r="BQ2277" s="58" t="s">
        <v>141</v>
      </c>
      <c r="BR2277" s="58"/>
      <c r="BS2277" s="58"/>
      <c r="BT2277" s="58"/>
      <c r="BU2277" s="58" t="s">
        <v>2279</v>
      </c>
      <c r="BV2277" s="58"/>
      <c r="BW2277" s="67">
        <v>1300</v>
      </c>
      <c r="BX2277" s="67">
        <v>1000</v>
      </c>
      <c r="BY2277" s="67"/>
      <c r="BZ2277" s="67"/>
      <c r="CA2277" s="67" t="s">
        <v>2281</v>
      </c>
      <c r="CB2277" s="153">
        <v>1300</v>
      </c>
      <c r="CC2277" s="68">
        <v>2000</v>
      </c>
      <c r="CD2277" s="68"/>
      <c r="CE2277" s="67"/>
      <c r="CF2277" s="67"/>
      <c r="CG2277" s="67"/>
      <c r="CH2277" s="94"/>
      <c r="CI2277" s="94"/>
      <c r="CJ2277" s="67"/>
      <c r="CK2277" s="67"/>
      <c r="CL2277" s="67"/>
      <c r="CM2277" s="67"/>
      <c r="CN2277" s="67"/>
      <c r="CO2277" s="67"/>
      <c r="CP2277" s="67"/>
      <c r="CQ2277" s="67"/>
      <c r="CR2277" s="67"/>
      <c r="CS2277" s="67"/>
      <c r="CT2277" s="67"/>
      <c r="CU2277" s="67"/>
      <c r="CV2277" s="67"/>
      <c r="CW2277" s="67"/>
      <c r="CX2277" s="67"/>
      <c r="CY2277" s="67"/>
      <c r="CZ2277" s="67"/>
      <c r="DA2277" s="67"/>
      <c r="DB2277" s="67"/>
      <c r="DC2277" s="67"/>
      <c r="DD2277" s="67"/>
      <c r="DE2277" s="67"/>
      <c r="DF2277" s="67"/>
      <c r="DG2277" s="67"/>
      <c r="DH2277" s="67"/>
      <c r="DI2277" s="67"/>
      <c r="DJ2277" s="67"/>
      <c r="DK2277" s="67"/>
      <c r="DL2277" s="67"/>
      <c r="DM2277" s="67"/>
      <c r="DN2277" s="67"/>
      <c r="DO2277" s="67"/>
      <c r="DP2277" s="67"/>
      <c r="DQ2277" s="166"/>
      <c r="DR2277" s="166"/>
      <c r="DS2277" s="163"/>
      <c r="DT2277" s="163"/>
      <c r="DU2277" s="67"/>
      <c r="DV2277" s="67"/>
      <c r="DW2277" s="67"/>
      <c r="DX2277" s="67"/>
      <c r="DY2277" s="67"/>
      <c r="DZ2277" s="67"/>
      <c r="EA2277" s="67"/>
      <c r="EB2277" s="67"/>
      <c r="EC2277" s="67"/>
      <c r="ED2277" s="67"/>
      <c r="EE2277" s="67"/>
      <c r="EF2277" s="67"/>
      <c r="EG2277" s="67"/>
      <c r="EH2277" s="67"/>
      <c r="EI2277" s="67"/>
      <c r="EJ2277" s="67"/>
      <c r="EK2277" s="94"/>
      <c r="EL2277" s="94"/>
      <c r="EM2277" s="67"/>
      <c r="EN2277" s="67"/>
      <c r="EO2277" s="67"/>
      <c r="EP2277" s="67"/>
      <c r="EQ2277" s="67"/>
      <c r="ER2277" s="67"/>
      <c r="ES2277" s="67"/>
      <c r="ET2277" s="67"/>
      <c r="EU2277" s="67"/>
      <c r="EV2277" s="67"/>
      <c r="EW2277" s="67"/>
      <c r="EX2277" s="67"/>
      <c r="EY2277" s="67"/>
      <c r="EZ2277" s="67"/>
      <c r="FA2277" s="67"/>
      <c r="FB2277" s="67"/>
      <c r="FC2277" s="67"/>
      <c r="FD2277" s="67"/>
      <c r="FE2277" s="67"/>
      <c r="FF2277" s="67"/>
      <c r="FG2277" s="67"/>
      <c r="FH2277" s="67"/>
      <c r="FI2277" s="67"/>
      <c r="FJ2277" s="67"/>
      <c r="FK2277" s="67"/>
      <c r="FL2277" s="67"/>
      <c r="FM2277" s="67"/>
      <c r="FN2277" s="67"/>
      <c r="FO2277" s="67"/>
      <c r="FP2277" s="67"/>
      <c r="FQ2277" s="67"/>
      <c r="FR2277" s="67"/>
      <c r="FS2277" s="67"/>
      <c r="FT2277" s="67"/>
      <c r="FU2277" s="67"/>
      <c r="FV2277" s="67"/>
      <c r="FW2277" s="67"/>
      <c r="FX2277" s="67"/>
      <c r="FY2277" s="67"/>
      <c r="FZ2277" s="67"/>
      <c r="GA2277" s="67"/>
      <c r="GB2277" s="67"/>
      <c r="GC2277" s="67"/>
      <c r="GD2277" s="67"/>
      <c r="GE2277" s="67"/>
      <c r="GF2277" s="67"/>
      <c r="GG2277" s="67"/>
      <c r="GH2277" s="67"/>
      <c r="GI2277" s="67"/>
      <c r="GJ2277" s="67"/>
      <c r="GK2277" s="67"/>
      <c r="GL2277" s="67"/>
      <c r="GM2277" s="67"/>
      <c r="GN2277" s="292"/>
      <c r="GO2277" s="292"/>
      <c r="GP2277" s="292" t="s">
        <v>7494</v>
      </c>
      <c r="GQ2277" s="67"/>
      <c r="GR2277" s="67"/>
      <c r="GS2277" s="67"/>
      <c r="GT2277" s="67"/>
      <c r="GU2277" s="67"/>
      <c r="GV2277" s="67"/>
      <c r="GW2277" s="67"/>
      <c r="GX2277" s="67"/>
      <c r="GY2277" s="67"/>
      <c r="GZ2277" s="67"/>
      <c r="HA2277" s="67"/>
      <c r="HB2277" s="67"/>
      <c r="HC2277" s="67"/>
      <c r="HD2277" s="67"/>
      <c r="HE2277" s="67"/>
      <c r="HF2277" s="67"/>
      <c r="HG2277" s="67"/>
      <c r="HH2277" s="67"/>
      <c r="HI2277" s="67"/>
      <c r="HJ2277" s="67"/>
      <c r="HK2277" s="67"/>
      <c r="HL2277" s="67"/>
      <c r="HM2277" s="67"/>
      <c r="HN2277" s="67"/>
      <c r="HO2277" s="67"/>
      <c r="HP2277" s="67"/>
      <c r="HQ2277" s="67"/>
      <c r="HR2277" s="67"/>
      <c r="HS2277" s="67"/>
      <c r="HT2277" s="67"/>
      <c r="HU2277" s="67"/>
      <c r="HV2277" s="67"/>
      <c r="HW2277" s="67"/>
      <c r="HX2277" s="67"/>
      <c r="HY2277" s="67"/>
      <c r="HZ2277" s="67"/>
      <c r="IA2277" s="67"/>
      <c r="IB2277" s="67"/>
      <c r="IC2277" s="67"/>
      <c r="ID2277" s="67"/>
      <c r="IE2277" s="67"/>
      <c r="IF2277" s="67"/>
      <c r="IG2277" s="67"/>
      <c r="IH2277" s="67"/>
      <c r="II2277" s="67"/>
      <c r="IJ2277" s="67"/>
      <c r="IK2277" s="67"/>
      <c r="IL2277" s="67"/>
      <c r="IM2277" s="67"/>
      <c r="IN2277" s="67"/>
      <c r="IO2277" s="67"/>
      <c r="IP2277" s="67"/>
      <c r="IQ2277" s="67"/>
      <c r="IR2277" s="67"/>
      <c r="IS2277" s="67"/>
      <c r="IT2277" s="67"/>
      <c r="IU2277" s="67"/>
      <c r="IV2277" s="67"/>
      <c r="IW2277" s="67"/>
      <c r="IX2277" s="67"/>
      <c r="IY2277" s="67"/>
      <c r="IZ2277" s="67"/>
      <c r="JA2277" s="67"/>
      <c r="JB2277" s="67"/>
      <c r="JC2277" s="67"/>
      <c r="JD2277" s="67"/>
      <c r="JE2277" s="67"/>
      <c r="JF2277" s="67"/>
      <c r="JG2277" s="67"/>
      <c r="JH2277" s="67"/>
      <c r="JI2277" s="67"/>
      <c r="JJ2277" s="67"/>
      <c r="JK2277" s="67"/>
      <c r="JL2277" s="67"/>
      <c r="JM2277" s="67"/>
      <c r="JN2277" s="67"/>
      <c r="JO2277" s="67"/>
      <c r="JP2277" s="67"/>
      <c r="JQ2277" s="67"/>
      <c r="JR2277" s="67"/>
      <c r="JS2277" s="67"/>
      <c r="JT2277" s="67"/>
      <c r="JU2277" s="58"/>
      <c r="JV2277" s="58"/>
      <c r="JW2277" s="58"/>
    </row>
    <row r="2278" spans="1:283" s="23" customFormat="1" x14ac:dyDescent="0.25">
      <c r="A2278" s="55">
        <v>2277</v>
      </c>
      <c r="B2278" s="12" t="s">
        <v>7067</v>
      </c>
      <c r="C2278" s="156">
        <v>110</v>
      </c>
      <c r="D2278" s="58" t="s">
        <v>4196</v>
      </c>
      <c r="E2278" s="93" t="s">
        <v>2174</v>
      </c>
      <c r="F2278" s="93"/>
      <c r="G2278" s="58" t="s">
        <v>2264</v>
      </c>
      <c r="H2278" s="59">
        <v>1982</v>
      </c>
      <c r="I2278" s="58">
        <v>1977</v>
      </c>
      <c r="J2278" s="59" t="s">
        <v>1709</v>
      </c>
      <c r="K2278" s="59" t="s">
        <v>2265</v>
      </c>
      <c r="L2278" s="59" t="s">
        <v>2744</v>
      </c>
      <c r="M2278" s="94">
        <v>7.38</v>
      </c>
      <c r="N2278" s="94">
        <v>3.95</v>
      </c>
      <c r="O2278" s="93">
        <v>229.3</v>
      </c>
      <c r="P2278" s="59"/>
      <c r="Q2278" s="58"/>
      <c r="R2278" s="59"/>
      <c r="S2278" s="94"/>
      <c r="T2278" s="58"/>
      <c r="U2278" s="58">
        <v>3</v>
      </c>
      <c r="V2278" s="59">
        <v>4</v>
      </c>
      <c r="W2278" s="174"/>
      <c r="X2278" s="174"/>
      <c r="Y2278" s="58" t="s">
        <v>2266</v>
      </c>
      <c r="Z2278" s="58" t="s">
        <v>1355</v>
      </c>
      <c r="AA2278" s="94">
        <v>10</v>
      </c>
      <c r="AB2278" s="67"/>
      <c r="AC2278" s="67"/>
      <c r="AD2278" s="94">
        <v>1.31</v>
      </c>
      <c r="AE2278" s="93">
        <v>69.3</v>
      </c>
      <c r="AF2278" s="93">
        <v>9.5</v>
      </c>
      <c r="AG2278" s="93"/>
      <c r="AH2278" s="58" t="s">
        <v>238</v>
      </c>
      <c r="AI2278" s="169"/>
      <c r="AJ2278" s="94">
        <v>1.7</v>
      </c>
      <c r="AK2278" s="94"/>
      <c r="AL2278" s="58"/>
      <c r="AM2278" s="59" t="s">
        <v>2267</v>
      </c>
      <c r="AN2278" s="188" t="s">
        <v>2272</v>
      </c>
      <c r="AO2278" s="185" t="s">
        <v>5150</v>
      </c>
      <c r="AP2278" s="59"/>
      <c r="AQ2278" s="58" t="s">
        <v>1545</v>
      </c>
      <c r="AR2278" s="59" t="s">
        <v>1607</v>
      </c>
      <c r="AS2278" s="58" t="s">
        <v>132</v>
      </c>
      <c r="AT2278" s="182"/>
      <c r="AU2278" s="181" t="s">
        <v>7494</v>
      </c>
      <c r="AV2278" s="185" t="s">
        <v>176</v>
      </c>
      <c r="AW2278" s="58"/>
      <c r="AX2278" s="185" t="s">
        <v>176</v>
      </c>
      <c r="AY2278" s="58"/>
      <c r="AZ2278" s="59"/>
      <c r="BA2278" s="58"/>
      <c r="BB2278" s="58"/>
      <c r="BC2278" s="58"/>
      <c r="BD2278" s="58"/>
      <c r="BE2278" s="240"/>
      <c r="BF2278" s="59"/>
      <c r="BG2278" s="59"/>
      <c r="BH2278" s="236"/>
      <c r="BI2278" s="58"/>
      <c r="BJ2278" s="58"/>
      <c r="BK2278" s="58" t="s">
        <v>5976</v>
      </c>
      <c r="BL2278" s="58"/>
      <c r="BM2278" s="241" t="s">
        <v>160</v>
      </c>
      <c r="BN2278" s="58">
        <v>3</v>
      </c>
      <c r="BO2278" s="58">
        <v>3</v>
      </c>
      <c r="BP2278" s="59"/>
      <c r="BQ2278" s="58" t="s">
        <v>141</v>
      </c>
      <c r="BR2278" s="58"/>
      <c r="BS2278" s="58"/>
      <c r="BT2278" s="58"/>
      <c r="BU2278" s="58" t="s">
        <v>2279</v>
      </c>
      <c r="BV2278" s="58"/>
      <c r="BW2278" s="67">
        <v>1300</v>
      </c>
      <c r="BX2278" s="67">
        <v>800</v>
      </c>
      <c r="BY2278" s="67"/>
      <c r="BZ2278" s="67"/>
      <c r="CA2278" s="67" t="s">
        <v>2281</v>
      </c>
      <c r="CB2278" s="153">
        <v>1300</v>
      </c>
      <c r="CC2278" s="68">
        <v>200</v>
      </c>
      <c r="CD2278" s="68"/>
      <c r="CE2278" s="67"/>
      <c r="CF2278" s="67"/>
      <c r="CG2278" s="67"/>
      <c r="CH2278" s="94"/>
      <c r="CI2278" s="94"/>
      <c r="CJ2278" s="67"/>
      <c r="CK2278" s="67"/>
      <c r="CL2278" s="67"/>
      <c r="CM2278" s="67"/>
      <c r="CN2278" s="67"/>
      <c r="CO2278" s="67"/>
      <c r="CP2278" s="67"/>
      <c r="CQ2278" s="67"/>
      <c r="CR2278" s="67"/>
      <c r="CS2278" s="67"/>
      <c r="CT2278" s="67"/>
      <c r="CU2278" s="67"/>
      <c r="CV2278" s="67"/>
      <c r="CW2278" s="67"/>
      <c r="CX2278" s="67"/>
      <c r="CY2278" s="67"/>
      <c r="CZ2278" s="67"/>
      <c r="DA2278" s="67"/>
      <c r="DB2278" s="67"/>
      <c r="DC2278" s="67"/>
      <c r="DD2278" s="67"/>
      <c r="DE2278" s="67"/>
      <c r="DF2278" s="67"/>
      <c r="DG2278" s="67"/>
      <c r="DH2278" s="67"/>
      <c r="DI2278" s="67"/>
      <c r="DJ2278" s="67"/>
      <c r="DK2278" s="67"/>
      <c r="DL2278" s="67"/>
      <c r="DM2278" s="67"/>
      <c r="DN2278" s="67"/>
      <c r="DO2278" s="67"/>
      <c r="DP2278" s="67"/>
      <c r="DQ2278" s="166"/>
      <c r="DR2278" s="166"/>
      <c r="DS2278" s="163"/>
      <c r="DT2278" s="163"/>
      <c r="DU2278" s="67"/>
      <c r="DV2278" s="67"/>
      <c r="DW2278" s="67"/>
      <c r="DX2278" s="67"/>
      <c r="DY2278" s="67"/>
      <c r="DZ2278" s="67"/>
      <c r="EA2278" s="67"/>
      <c r="EB2278" s="67"/>
      <c r="EC2278" s="67"/>
      <c r="ED2278" s="67"/>
      <c r="EE2278" s="67"/>
      <c r="EF2278" s="67"/>
      <c r="EG2278" s="67"/>
      <c r="EH2278" s="67"/>
      <c r="EI2278" s="67"/>
      <c r="EJ2278" s="67"/>
      <c r="EK2278" s="94"/>
      <c r="EL2278" s="94"/>
      <c r="EM2278" s="67"/>
      <c r="EN2278" s="67"/>
      <c r="EO2278" s="67"/>
      <c r="EP2278" s="67"/>
      <c r="EQ2278" s="67"/>
      <c r="ER2278" s="67"/>
      <c r="ES2278" s="67"/>
      <c r="ET2278" s="67"/>
      <c r="EU2278" s="67"/>
      <c r="EV2278" s="67"/>
      <c r="EW2278" s="67"/>
      <c r="EX2278" s="67"/>
      <c r="EY2278" s="67"/>
      <c r="EZ2278" s="67"/>
      <c r="FA2278" s="67"/>
      <c r="FB2278" s="67"/>
      <c r="FC2278" s="67"/>
      <c r="FD2278" s="67"/>
      <c r="FE2278" s="67"/>
      <c r="FF2278" s="67"/>
      <c r="FG2278" s="67"/>
      <c r="FH2278" s="67"/>
      <c r="FI2278" s="67"/>
      <c r="FJ2278" s="67"/>
      <c r="FK2278" s="67"/>
      <c r="FL2278" s="67"/>
      <c r="FM2278" s="67"/>
      <c r="FN2278" s="67"/>
      <c r="FO2278" s="67"/>
      <c r="FP2278" s="67"/>
      <c r="FQ2278" s="67"/>
      <c r="FR2278" s="67"/>
      <c r="FS2278" s="67"/>
      <c r="FT2278" s="67"/>
      <c r="FU2278" s="67"/>
      <c r="FV2278" s="67"/>
      <c r="FW2278" s="67"/>
      <c r="FX2278" s="67"/>
      <c r="FY2278" s="67"/>
      <c r="FZ2278" s="67"/>
      <c r="GA2278" s="67"/>
      <c r="GB2278" s="67"/>
      <c r="GC2278" s="67"/>
      <c r="GD2278" s="67"/>
      <c r="GE2278" s="67"/>
      <c r="GF2278" s="67"/>
      <c r="GG2278" s="67"/>
      <c r="GH2278" s="67"/>
      <c r="GI2278" s="67"/>
      <c r="GJ2278" s="67"/>
      <c r="GK2278" s="67"/>
      <c r="GL2278" s="67"/>
      <c r="GM2278" s="67"/>
      <c r="GN2278" s="292"/>
      <c r="GO2278" s="292"/>
      <c r="GP2278" s="292" t="s">
        <v>7494</v>
      </c>
      <c r="GQ2278" s="67"/>
      <c r="GR2278" s="67"/>
      <c r="GS2278" s="67"/>
      <c r="GT2278" s="67"/>
      <c r="GU2278" s="67"/>
      <c r="GV2278" s="67"/>
      <c r="GW2278" s="67"/>
      <c r="GX2278" s="67"/>
      <c r="GY2278" s="67"/>
      <c r="GZ2278" s="67"/>
      <c r="HA2278" s="67"/>
      <c r="HB2278" s="67"/>
      <c r="HC2278" s="67"/>
      <c r="HD2278" s="67"/>
      <c r="HE2278" s="67"/>
      <c r="HF2278" s="67"/>
      <c r="HG2278" s="67"/>
      <c r="HH2278" s="67"/>
      <c r="HI2278" s="67"/>
      <c r="HJ2278" s="67"/>
      <c r="HK2278" s="67"/>
      <c r="HL2278" s="67"/>
      <c r="HM2278" s="67"/>
      <c r="HN2278" s="67"/>
      <c r="HO2278" s="67"/>
      <c r="HP2278" s="67"/>
      <c r="HQ2278" s="67"/>
      <c r="HR2278" s="67"/>
      <c r="HS2278" s="67"/>
      <c r="HT2278" s="67"/>
      <c r="HU2278" s="67"/>
      <c r="HV2278" s="67"/>
      <c r="HW2278" s="67"/>
      <c r="HX2278" s="67"/>
      <c r="HY2278" s="67"/>
      <c r="HZ2278" s="67"/>
      <c r="IA2278" s="67"/>
      <c r="IB2278" s="67"/>
      <c r="IC2278" s="67"/>
      <c r="ID2278" s="67"/>
      <c r="IE2278" s="67"/>
      <c r="IF2278" s="67"/>
      <c r="IG2278" s="67"/>
      <c r="IH2278" s="67"/>
      <c r="II2278" s="67"/>
      <c r="IJ2278" s="67"/>
      <c r="IK2278" s="67"/>
      <c r="IL2278" s="67"/>
      <c r="IM2278" s="67"/>
      <c r="IN2278" s="67"/>
      <c r="IO2278" s="67"/>
      <c r="IP2278" s="67"/>
      <c r="IQ2278" s="67"/>
      <c r="IR2278" s="67"/>
      <c r="IS2278" s="67"/>
      <c r="IT2278" s="67"/>
      <c r="IU2278" s="67"/>
      <c r="IV2278" s="67"/>
      <c r="IW2278" s="67"/>
      <c r="IX2278" s="67"/>
      <c r="IY2278" s="67"/>
      <c r="IZ2278" s="67"/>
      <c r="JA2278" s="67"/>
      <c r="JB2278" s="67"/>
      <c r="JC2278" s="67"/>
      <c r="JD2278" s="67"/>
      <c r="JE2278" s="67"/>
      <c r="JF2278" s="67"/>
      <c r="JG2278" s="67"/>
      <c r="JH2278" s="67"/>
      <c r="JI2278" s="67"/>
      <c r="JJ2278" s="67"/>
      <c r="JK2278" s="67"/>
      <c r="JL2278" s="67"/>
      <c r="JM2278" s="67"/>
      <c r="JN2278" s="67"/>
      <c r="JO2278" s="67"/>
      <c r="JP2278" s="67"/>
      <c r="JQ2278" s="67"/>
      <c r="JR2278" s="67"/>
      <c r="JS2278" s="67"/>
      <c r="JT2278" s="67"/>
      <c r="JU2278" s="58"/>
      <c r="JV2278" s="58"/>
      <c r="JW2278" s="58"/>
    </row>
    <row r="2279" spans="1:283" s="23" customFormat="1" x14ac:dyDescent="0.25">
      <c r="A2279" s="55">
        <v>2278</v>
      </c>
      <c r="B2279" s="12" t="s">
        <v>7067</v>
      </c>
      <c r="C2279" s="156">
        <v>110</v>
      </c>
      <c r="D2279" s="58" t="s">
        <v>4196</v>
      </c>
      <c r="E2279" s="93" t="s">
        <v>2174</v>
      </c>
      <c r="F2279" s="93"/>
      <c r="G2279" s="58" t="s">
        <v>2264</v>
      </c>
      <c r="H2279" s="59">
        <v>1982</v>
      </c>
      <c r="I2279" s="58">
        <v>1977</v>
      </c>
      <c r="J2279" s="59" t="s">
        <v>1709</v>
      </c>
      <c r="K2279" s="59" t="s">
        <v>2265</v>
      </c>
      <c r="L2279" s="59" t="s">
        <v>2744</v>
      </c>
      <c r="M2279" s="94">
        <v>7.38</v>
      </c>
      <c r="N2279" s="94">
        <v>3.95</v>
      </c>
      <c r="O2279" s="93">
        <v>229.3</v>
      </c>
      <c r="P2279" s="59"/>
      <c r="Q2279" s="58"/>
      <c r="R2279" s="59"/>
      <c r="S2279" s="94"/>
      <c r="T2279" s="58"/>
      <c r="U2279" s="58">
        <v>3</v>
      </c>
      <c r="V2279" s="59">
        <v>4</v>
      </c>
      <c r="W2279" s="174"/>
      <c r="X2279" s="174"/>
      <c r="Y2279" s="58" t="s">
        <v>2266</v>
      </c>
      <c r="Z2279" s="58" t="s">
        <v>1355</v>
      </c>
      <c r="AA2279" s="94">
        <v>10</v>
      </c>
      <c r="AB2279" s="67"/>
      <c r="AC2279" s="67"/>
      <c r="AD2279" s="94">
        <v>1.31</v>
      </c>
      <c r="AE2279" s="93">
        <v>69.3</v>
      </c>
      <c r="AF2279" s="93">
        <v>9.5</v>
      </c>
      <c r="AG2279" s="93"/>
      <c r="AH2279" s="58" t="s">
        <v>238</v>
      </c>
      <c r="AI2279" s="169"/>
      <c r="AJ2279" s="94">
        <v>1.7</v>
      </c>
      <c r="AK2279" s="94"/>
      <c r="AL2279" s="58"/>
      <c r="AM2279" s="59" t="s">
        <v>2267</v>
      </c>
      <c r="AN2279" s="188" t="s">
        <v>2273</v>
      </c>
      <c r="AO2279" s="185" t="s">
        <v>5150</v>
      </c>
      <c r="AP2279" s="59"/>
      <c r="AQ2279" s="58" t="s">
        <v>1545</v>
      </c>
      <c r="AR2279" s="59" t="s">
        <v>1607</v>
      </c>
      <c r="AS2279" s="58" t="s">
        <v>132</v>
      </c>
      <c r="AT2279" s="182"/>
      <c r="AU2279" s="181" t="s">
        <v>7494</v>
      </c>
      <c r="AV2279" s="185" t="s">
        <v>176</v>
      </c>
      <c r="AW2279" s="58"/>
      <c r="AX2279" s="185" t="s">
        <v>176</v>
      </c>
      <c r="AY2279" s="58"/>
      <c r="AZ2279" s="59"/>
      <c r="BA2279" s="58"/>
      <c r="BB2279" s="58"/>
      <c r="BC2279" s="58"/>
      <c r="BD2279" s="58"/>
      <c r="BE2279" s="240"/>
      <c r="BF2279" s="59"/>
      <c r="BG2279" s="59"/>
      <c r="BH2279" s="236"/>
      <c r="BI2279" s="58"/>
      <c r="BJ2279" s="58"/>
      <c r="BK2279" s="58" t="s">
        <v>5976</v>
      </c>
      <c r="BL2279" s="58"/>
      <c r="BM2279" s="241" t="s">
        <v>160</v>
      </c>
      <c r="BN2279" s="58">
        <v>3</v>
      </c>
      <c r="BO2279" s="58">
        <v>3</v>
      </c>
      <c r="BP2279" s="59"/>
      <c r="BQ2279" s="58" t="s">
        <v>141</v>
      </c>
      <c r="BR2279" s="58"/>
      <c r="BS2279" s="58"/>
      <c r="BT2279" s="58"/>
      <c r="BU2279" s="58" t="s">
        <v>2279</v>
      </c>
      <c r="BV2279" s="58"/>
      <c r="BW2279" s="67"/>
      <c r="BX2279" s="67"/>
      <c r="BY2279" s="67"/>
      <c r="BZ2279" s="67"/>
      <c r="CA2279" s="67" t="s">
        <v>2281</v>
      </c>
      <c r="CB2279" s="153"/>
      <c r="CC2279" s="68"/>
      <c r="CD2279" s="68"/>
      <c r="CE2279" s="67"/>
      <c r="CF2279" s="67"/>
      <c r="CG2279" s="67"/>
      <c r="CH2279" s="94"/>
      <c r="CI2279" s="94"/>
      <c r="CJ2279" s="67"/>
      <c r="CK2279" s="67"/>
      <c r="CL2279" s="67"/>
      <c r="CM2279" s="67"/>
      <c r="CN2279" s="67"/>
      <c r="CO2279" s="67"/>
      <c r="CP2279" s="67"/>
      <c r="CQ2279" s="67"/>
      <c r="CR2279" s="67"/>
      <c r="CS2279" s="67"/>
      <c r="CT2279" s="67"/>
      <c r="CU2279" s="67"/>
      <c r="CV2279" s="67"/>
      <c r="CW2279" s="67"/>
      <c r="CX2279" s="67"/>
      <c r="CY2279" s="67"/>
      <c r="CZ2279" s="67"/>
      <c r="DA2279" s="67"/>
      <c r="DB2279" s="67"/>
      <c r="DC2279" s="67"/>
      <c r="DD2279" s="67"/>
      <c r="DE2279" s="67"/>
      <c r="DF2279" s="67"/>
      <c r="DG2279" s="67"/>
      <c r="DH2279" s="67"/>
      <c r="DI2279" s="67"/>
      <c r="DJ2279" s="67"/>
      <c r="DK2279" s="67"/>
      <c r="DL2279" s="67"/>
      <c r="DM2279" s="67"/>
      <c r="DN2279" s="67"/>
      <c r="DO2279" s="67"/>
      <c r="DP2279" s="67"/>
      <c r="DQ2279" s="166"/>
      <c r="DR2279" s="166"/>
      <c r="DS2279" s="163"/>
      <c r="DT2279" s="163"/>
      <c r="DU2279" s="67"/>
      <c r="DV2279" s="67"/>
      <c r="DW2279" s="67"/>
      <c r="DX2279" s="67"/>
      <c r="DY2279" s="67"/>
      <c r="DZ2279" s="67"/>
      <c r="EA2279" s="67"/>
      <c r="EB2279" s="67"/>
      <c r="EC2279" s="67"/>
      <c r="ED2279" s="67"/>
      <c r="EE2279" s="67"/>
      <c r="EF2279" s="67"/>
      <c r="EG2279" s="67"/>
      <c r="EH2279" s="67"/>
      <c r="EI2279" s="67"/>
      <c r="EJ2279" s="67"/>
      <c r="EK2279" s="94"/>
      <c r="EL2279" s="94"/>
      <c r="EM2279" s="67"/>
      <c r="EN2279" s="67"/>
      <c r="EO2279" s="67"/>
      <c r="EP2279" s="67"/>
      <c r="EQ2279" s="67"/>
      <c r="ER2279" s="67"/>
      <c r="ES2279" s="67"/>
      <c r="ET2279" s="67"/>
      <c r="EU2279" s="67"/>
      <c r="EV2279" s="67"/>
      <c r="EW2279" s="67"/>
      <c r="EX2279" s="67"/>
      <c r="EY2279" s="67"/>
      <c r="EZ2279" s="67"/>
      <c r="FA2279" s="67"/>
      <c r="FB2279" s="67"/>
      <c r="FC2279" s="67"/>
      <c r="FD2279" s="67"/>
      <c r="FE2279" s="67"/>
      <c r="FF2279" s="67"/>
      <c r="FG2279" s="67"/>
      <c r="FH2279" s="67"/>
      <c r="FI2279" s="67"/>
      <c r="FJ2279" s="67"/>
      <c r="FK2279" s="67"/>
      <c r="FL2279" s="67"/>
      <c r="FM2279" s="67"/>
      <c r="FN2279" s="67"/>
      <c r="FO2279" s="67"/>
      <c r="FP2279" s="67"/>
      <c r="FQ2279" s="67"/>
      <c r="FR2279" s="67"/>
      <c r="FS2279" s="67"/>
      <c r="FT2279" s="67"/>
      <c r="FU2279" s="67"/>
      <c r="FV2279" s="67"/>
      <c r="FW2279" s="67"/>
      <c r="FX2279" s="67"/>
      <c r="FY2279" s="67"/>
      <c r="FZ2279" s="67"/>
      <c r="GA2279" s="67"/>
      <c r="GB2279" s="67"/>
      <c r="GC2279" s="67"/>
      <c r="GD2279" s="67"/>
      <c r="GE2279" s="67"/>
      <c r="GF2279" s="67"/>
      <c r="GG2279" s="67"/>
      <c r="GH2279" s="67"/>
      <c r="GI2279" s="67"/>
      <c r="GJ2279" s="67"/>
      <c r="GK2279" s="67"/>
      <c r="GL2279" s="67"/>
      <c r="GM2279" s="67"/>
      <c r="GN2279" s="292"/>
      <c r="GO2279" s="292"/>
      <c r="GP2279" s="292" t="s">
        <v>7494</v>
      </c>
      <c r="GQ2279" s="67"/>
      <c r="GR2279" s="67"/>
      <c r="GS2279" s="67"/>
      <c r="GT2279" s="67"/>
      <c r="GU2279" s="67"/>
      <c r="GV2279" s="67"/>
      <c r="GW2279" s="67"/>
      <c r="GX2279" s="67"/>
      <c r="GY2279" s="67"/>
      <c r="GZ2279" s="67"/>
      <c r="HA2279" s="67"/>
      <c r="HB2279" s="67"/>
      <c r="HC2279" s="67"/>
      <c r="HD2279" s="67"/>
      <c r="HE2279" s="67"/>
      <c r="HF2279" s="67"/>
      <c r="HG2279" s="67"/>
      <c r="HH2279" s="67"/>
      <c r="HI2279" s="67"/>
      <c r="HJ2279" s="67"/>
      <c r="HK2279" s="67"/>
      <c r="HL2279" s="67"/>
      <c r="HM2279" s="67"/>
      <c r="HN2279" s="67"/>
      <c r="HO2279" s="67"/>
      <c r="HP2279" s="67"/>
      <c r="HQ2279" s="67"/>
      <c r="HR2279" s="67"/>
      <c r="HS2279" s="67"/>
      <c r="HT2279" s="67"/>
      <c r="HU2279" s="67"/>
      <c r="HV2279" s="67"/>
      <c r="HW2279" s="67"/>
      <c r="HX2279" s="67"/>
      <c r="HY2279" s="67"/>
      <c r="HZ2279" s="67"/>
      <c r="IA2279" s="67"/>
      <c r="IB2279" s="67"/>
      <c r="IC2279" s="67"/>
      <c r="ID2279" s="67"/>
      <c r="IE2279" s="67"/>
      <c r="IF2279" s="67"/>
      <c r="IG2279" s="67"/>
      <c r="IH2279" s="67"/>
      <c r="II2279" s="67"/>
      <c r="IJ2279" s="67"/>
      <c r="IK2279" s="67"/>
      <c r="IL2279" s="67"/>
      <c r="IM2279" s="67"/>
      <c r="IN2279" s="67"/>
      <c r="IO2279" s="67"/>
      <c r="IP2279" s="67"/>
      <c r="IQ2279" s="67"/>
      <c r="IR2279" s="67"/>
      <c r="IS2279" s="67"/>
      <c r="IT2279" s="67"/>
      <c r="IU2279" s="67"/>
      <c r="IV2279" s="67"/>
      <c r="IW2279" s="67"/>
      <c r="IX2279" s="67"/>
      <c r="IY2279" s="67"/>
      <c r="IZ2279" s="67"/>
      <c r="JA2279" s="67"/>
      <c r="JB2279" s="67"/>
      <c r="JC2279" s="67"/>
      <c r="JD2279" s="67"/>
      <c r="JE2279" s="67"/>
      <c r="JF2279" s="67"/>
      <c r="JG2279" s="67"/>
      <c r="JH2279" s="67"/>
      <c r="JI2279" s="67"/>
      <c r="JJ2279" s="67"/>
      <c r="JK2279" s="67"/>
      <c r="JL2279" s="67"/>
      <c r="JM2279" s="67"/>
      <c r="JN2279" s="67"/>
      <c r="JO2279" s="67"/>
      <c r="JP2279" s="67"/>
      <c r="JQ2279" s="67"/>
      <c r="JR2279" s="67"/>
      <c r="JS2279" s="67"/>
      <c r="JT2279" s="67"/>
      <c r="JU2279" s="58"/>
      <c r="JV2279" s="58"/>
      <c r="JW2279" s="58"/>
    </row>
    <row r="2280" spans="1:283" s="23" customFormat="1" x14ac:dyDescent="0.25">
      <c r="A2280" s="55">
        <v>2279</v>
      </c>
      <c r="B2280" s="12" t="s">
        <v>7067</v>
      </c>
      <c r="C2280" s="156">
        <v>110</v>
      </c>
      <c r="D2280" s="58" t="s">
        <v>4196</v>
      </c>
      <c r="E2280" s="93" t="s">
        <v>2174</v>
      </c>
      <c r="F2280" s="93"/>
      <c r="G2280" s="58" t="s">
        <v>2264</v>
      </c>
      <c r="H2280" s="59">
        <v>1982</v>
      </c>
      <c r="I2280" s="58">
        <v>1977</v>
      </c>
      <c r="J2280" s="59" t="s">
        <v>1709</v>
      </c>
      <c r="K2280" s="59" t="s">
        <v>2265</v>
      </c>
      <c r="L2280" s="59" t="s">
        <v>2744</v>
      </c>
      <c r="M2280" s="94">
        <v>7.38</v>
      </c>
      <c r="N2280" s="94">
        <v>3.95</v>
      </c>
      <c r="O2280" s="93">
        <v>229.3</v>
      </c>
      <c r="P2280" s="59"/>
      <c r="Q2280" s="58"/>
      <c r="R2280" s="59"/>
      <c r="S2280" s="94"/>
      <c r="T2280" s="58"/>
      <c r="U2280" s="58">
        <v>3</v>
      </c>
      <c r="V2280" s="59">
        <v>4</v>
      </c>
      <c r="W2280" s="174"/>
      <c r="X2280" s="174"/>
      <c r="Y2280" s="58" t="s">
        <v>2266</v>
      </c>
      <c r="Z2280" s="58" t="s">
        <v>1355</v>
      </c>
      <c r="AA2280" s="94">
        <v>10</v>
      </c>
      <c r="AB2280" s="67"/>
      <c r="AC2280" s="67"/>
      <c r="AD2280" s="94">
        <v>1.31</v>
      </c>
      <c r="AE2280" s="93">
        <v>69.3</v>
      </c>
      <c r="AF2280" s="93">
        <v>9.5</v>
      </c>
      <c r="AG2280" s="93"/>
      <c r="AH2280" s="58" t="s">
        <v>238</v>
      </c>
      <c r="AI2280" s="169"/>
      <c r="AJ2280" s="94">
        <v>1.7</v>
      </c>
      <c r="AK2280" s="94"/>
      <c r="AL2280" s="58"/>
      <c r="AM2280" s="59" t="s">
        <v>2267</v>
      </c>
      <c r="AN2280" s="188" t="s">
        <v>2274</v>
      </c>
      <c r="AO2280" s="185" t="s">
        <v>5150</v>
      </c>
      <c r="AP2280" s="59"/>
      <c r="AQ2280" s="58" t="s">
        <v>553</v>
      </c>
      <c r="AR2280" s="59" t="s">
        <v>1607</v>
      </c>
      <c r="AS2280" s="58" t="s">
        <v>132</v>
      </c>
      <c r="AT2280" s="182"/>
      <c r="AU2280" s="181" t="s">
        <v>7494</v>
      </c>
      <c r="AV2280" s="185" t="s">
        <v>176</v>
      </c>
      <c r="AW2280" s="58"/>
      <c r="AX2280" s="185" t="s">
        <v>176</v>
      </c>
      <c r="AY2280" s="58"/>
      <c r="AZ2280" s="59"/>
      <c r="BA2280" s="58"/>
      <c r="BB2280" s="58"/>
      <c r="BC2280" s="58"/>
      <c r="BD2280" s="58"/>
      <c r="BE2280" s="240"/>
      <c r="BF2280" s="59"/>
      <c r="BG2280" s="59"/>
      <c r="BH2280" s="236"/>
      <c r="BI2280" s="58"/>
      <c r="BJ2280" s="58"/>
      <c r="BK2280" s="58" t="s">
        <v>5976</v>
      </c>
      <c r="BL2280" s="58"/>
      <c r="BM2280" s="241" t="s">
        <v>160</v>
      </c>
      <c r="BN2280" s="58">
        <v>3</v>
      </c>
      <c r="BO2280" s="58">
        <v>3</v>
      </c>
      <c r="BP2280" s="59"/>
      <c r="BQ2280" s="58" t="s">
        <v>141</v>
      </c>
      <c r="BR2280" s="58"/>
      <c r="BS2280" s="58"/>
      <c r="BT2280" s="58"/>
      <c r="BU2280" s="58" t="s">
        <v>2279</v>
      </c>
      <c r="BV2280" s="58"/>
      <c r="BW2280" s="67">
        <v>1300</v>
      </c>
      <c r="BX2280" s="67">
        <v>6000</v>
      </c>
      <c r="BY2280" s="67"/>
      <c r="BZ2280" s="67"/>
      <c r="CA2280" s="67" t="s">
        <v>2281</v>
      </c>
      <c r="CB2280" s="153">
        <v>1300</v>
      </c>
      <c r="CC2280" s="68">
        <v>1900</v>
      </c>
      <c r="CD2280" s="68"/>
      <c r="CE2280" s="67"/>
      <c r="CF2280" s="67"/>
      <c r="CG2280" s="67"/>
      <c r="CH2280" s="94"/>
      <c r="CI2280" s="94"/>
      <c r="CJ2280" s="67"/>
      <c r="CK2280" s="67"/>
      <c r="CL2280" s="67"/>
      <c r="CM2280" s="67"/>
      <c r="CN2280" s="67"/>
      <c r="CO2280" s="67"/>
      <c r="CP2280" s="67"/>
      <c r="CQ2280" s="67"/>
      <c r="CR2280" s="67"/>
      <c r="CS2280" s="67"/>
      <c r="CT2280" s="67"/>
      <c r="CU2280" s="67"/>
      <c r="CV2280" s="67"/>
      <c r="CW2280" s="67"/>
      <c r="CX2280" s="67"/>
      <c r="CY2280" s="67"/>
      <c r="CZ2280" s="67"/>
      <c r="DA2280" s="67"/>
      <c r="DB2280" s="67"/>
      <c r="DC2280" s="67"/>
      <c r="DD2280" s="67"/>
      <c r="DE2280" s="67"/>
      <c r="DF2280" s="67"/>
      <c r="DG2280" s="67"/>
      <c r="DH2280" s="67"/>
      <c r="DI2280" s="67"/>
      <c r="DJ2280" s="67"/>
      <c r="DK2280" s="67"/>
      <c r="DL2280" s="67"/>
      <c r="DM2280" s="67"/>
      <c r="DN2280" s="67"/>
      <c r="DO2280" s="67"/>
      <c r="DP2280" s="67"/>
      <c r="DQ2280" s="166"/>
      <c r="DR2280" s="166"/>
      <c r="DS2280" s="163"/>
      <c r="DT2280" s="163"/>
      <c r="DU2280" s="67"/>
      <c r="DV2280" s="67"/>
      <c r="DW2280" s="67"/>
      <c r="DX2280" s="67"/>
      <c r="DY2280" s="67"/>
      <c r="DZ2280" s="67"/>
      <c r="EA2280" s="67"/>
      <c r="EB2280" s="67"/>
      <c r="EC2280" s="67"/>
      <c r="ED2280" s="67"/>
      <c r="EE2280" s="67"/>
      <c r="EF2280" s="67"/>
      <c r="EG2280" s="67"/>
      <c r="EH2280" s="67"/>
      <c r="EI2280" s="67"/>
      <c r="EJ2280" s="67"/>
      <c r="EK2280" s="94"/>
      <c r="EL2280" s="94"/>
      <c r="EM2280" s="67"/>
      <c r="EN2280" s="67"/>
      <c r="EO2280" s="67"/>
      <c r="EP2280" s="67"/>
      <c r="EQ2280" s="67"/>
      <c r="ER2280" s="67"/>
      <c r="ES2280" s="67"/>
      <c r="ET2280" s="67"/>
      <c r="EU2280" s="67"/>
      <c r="EV2280" s="67"/>
      <c r="EW2280" s="67"/>
      <c r="EX2280" s="67"/>
      <c r="EY2280" s="67"/>
      <c r="EZ2280" s="67"/>
      <c r="FA2280" s="67"/>
      <c r="FB2280" s="67"/>
      <c r="FC2280" s="67"/>
      <c r="FD2280" s="67"/>
      <c r="FE2280" s="67"/>
      <c r="FF2280" s="67"/>
      <c r="FG2280" s="67"/>
      <c r="FH2280" s="67"/>
      <c r="FI2280" s="67"/>
      <c r="FJ2280" s="67"/>
      <c r="FK2280" s="67"/>
      <c r="FL2280" s="67"/>
      <c r="FM2280" s="67"/>
      <c r="FN2280" s="67"/>
      <c r="FO2280" s="67"/>
      <c r="FP2280" s="67"/>
      <c r="FQ2280" s="67"/>
      <c r="FR2280" s="67"/>
      <c r="FS2280" s="67"/>
      <c r="FT2280" s="67"/>
      <c r="FU2280" s="67"/>
      <c r="FV2280" s="67"/>
      <c r="FW2280" s="67"/>
      <c r="FX2280" s="67"/>
      <c r="FY2280" s="67"/>
      <c r="FZ2280" s="67"/>
      <c r="GA2280" s="67"/>
      <c r="GB2280" s="67"/>
      <c r="GC2280" s="67"/>
      <c r="GD2280" s="67"/>
      <c r="GE2280" s="67"/>
      <c r="GF2280" s="67"/>
      <c r="GG2280" s="67"/>
      <c r="GH2280" s="67"/>
      <c r="GI2280" s="67"/>
      <c r="GJ2280" s="67"/>
      <c r="GK2280" s="67"/>
      <c r="GL2280" s="67"/>
      <c r="GM2280" s="67"/>
      <c r="GN2280" s="292"/>
      <c r="GO2280" s="292"/>
      <c r="GP2280" s="292" t="s">
        <v>7494</v>
      </c>
      <c r="GQ2280" s="67"/>
      <c r="GR2280" s="67"/>
      <c r="GS2280" s="67"/>
      <c r="GT2280" s="67"/>
      <c r="GU2280" s="67"/>
      <c r="GV2280" s="67"/>
      <c r="GW2280" s="67"/>
      <c r="GX2280" s="67"/>
      <c r="GY2280" s="67"/>
      <c r="GZ2280" s="67"/>
      <c r="HA2280" s="67"/>
      <c r="HB2280" s="67"/>
      <c r="HC2280" s="67"/>
      <c r="HD2280" s="67"/>
      <c r="HE2280" s="67"/>
      <c r="HF2280" s="67"/>
      <c r="HG2280" s="67"/>
      <c r="HH2280" s="67"/>
      <c r="HI2280" s="67"/>
      <c r="HJ2280" s="67"/>
      <c r="HK2280" s="67"/>
      <c r="HL2280" s="67"/>
      <c r="HM2280" s="67"/>
      <c r="HN2280" s="67"/>
      <c r="HO2280" s="67"/>
      <c r="HP2280" s="67"/>
      <c r="HQ2280" s="67"/>
      <c r="HR2280" s="67"/>
      <c r="HS2280" s="67"/>
      <c r="HT2280" s="67"/>
      <c r="HU2280" s="67"/>
      <c r="HV2280" s="67"/>
      <c r="HW2280" s="67"/>
      <c r="HX2280" s="67"/>
      <c r="HY2280" s="67"/>
      <c r="HZ2280" s="67"/>
      <c r="IA2280" s="67"/>
      <c r="IB2280" s="67"/>
      <c r="IC2280" s="67"/>
      <c r="ID2280" s="67"/>
      <c r="IE2280" s="67"/>
      <c r="IF2280" s="67"/>
      <c r="IG2280" s="67"/>
      <c r="IH2280" s="67"/>
      <c r="II2280" s="67"/>
      <c r="IJ2280" s="67"/>
      <c r="IK2280" s="67"/>
      <c r="IL2280" s="67"/>
      <c r="IM2280" s="67"/>
      <c r="IN2280" s="67"/>
      <c r="IO2280" s="67"/>
      <c r="IP2280" s="67"/>
      <c r="IQ2280" s="67"/>
      <c r="IR2280" s="67"/>
      <c r="IS2280" s="67"/>
      <c r="IT2280" s="67"/>
      <c r="IU2280" s="67"/>
      <c r="IV2280" s="67"/>
      <c r="IW2280" s="67"/>
      <c r="IX2280" s="67"/>
      <c r="IY2280" s="67"/>
      <c r="IZ2280" s="67"/>
      <c r="JA2280" s="67"/>
      <c r="JB2280" s="67"/>
      <c r="JC2280" s="67"/>
      <c r="JD2280" s="67"/>
      <c r="JE2280" s="67"/>
      <c r="JF2280" s="67"/>
      <c r="JG2280" s="67"/>
      <c r="JH2280" s="67"/>
      <c r="JI2280" s="67"/>
      <c r="JJ2280" s="67"/>
      <c r="JK2280" s="67"/>
      <c r="JL2280" s="67"/>
      <c r="JM2280" s="67"/>
      <c r="JN2280" s="67"/>
      <c r="JO2280" s="67"/>
      <c r="JP2280" s="67"/>
      <c r="JQ2280" s="67"/>
      <c r="JR2280" s="67"/>
      <c r="JS2280" s="67"/>
      <c r="JT2280" s="67"/>
      <c r="JU2280" s="58"/>
      <c r="JV2280" s="58"/>
      <c r="JW2280" s="58"/>
    </row>
    <row r="2281" spans="1:283" s="23" customFormat="1" x14ac:dyDescent="0.25">
      <c r="A2281" s="55">
        <v>2280</v>
      </c>
      <c r="B2281" s="12" t="s">
        <v>7067</v>
      </c>
      <c r="C2281" s="156">
        <v>110</v>
      </c>
      <c r="D2281" s="58" t="s">
        <v>4196</v>
      </c>
      <c r="E2281" s="93" t="s">
        <v>2174</v>
      </c>
      <c r="F2281" s="93"/>
      <c r="G2281" s="58" t="s">
        <v>2264</v>
      </c>
      <c r="H2281" s="59">
        <v>1982</v>
      </c>
      <c r="I2281" s="58">
        <v>1977</v>
      </c>
      <c r="J2281" s="59" t="s">
        <v>1709</v>
      </c>
      <c r="K2281" s="59" t="s">
        <v>2265</v>
      </c>
      <c r="L2281" s="59" t="s">
        <v>2744</v>
      </c>
      <c r="M2281" s="94">
        <v>7.38</v>
      </c>
      <c r="N2281" s="94">
        <v>3.95</v>
      </c>
      <c r="O2281" s="93">
        <v>229.3</v>
      </c>
      <c r="P2281" s="59"/>
      <c r="Q2281" s="58"/>
      <c r="R2281" s="59"/>
      <c r="S2281" s="94"/>
      <c r="T2281" s="58"/>
      <c r="U2281" s="58">
        <v>3</v>
      </c>
      <c r="V2281" s="59">
        <v>4</v>
      </c>
      <c r="W2281" s="174"/>
      <c r="X2281" s="174"/>
      <c r="Y2281" s="58" t="s">
        <v>2266</v>
      </c>
      <c r="Z2281" s="58" t="s">
        <v>1355</v>
      </c>
      <c r="AA2281" s="94">
        <v>10</v>
      </c>
      <c r="AB2281" s="67"/>
      <c r="AC2281" s="67"/>
      <c r="AD2281" s="94">
        <v>1.31</v>
      </c>
      <c r="AE2281" s="93">
        <v>69.3</v>
      </c>
      <c r="AF2281" s="93">
        <v>9.5</v>
      </c>
      <c r="AG2281" s="93"/>
      <c r="AH2281" s="58" t="s">
        <v>238</v>
      </c>
      <c r="AI2281" s="169"/>
      <c r="AJ2281" s="94">
        <v>1.7</v>
      </c>
      <c r="AK2281" s="94"/>
      <c r="AL2281" s="58"/>
      <c r="AM2281" s="59" t="s">
        <v>2267</v>
      </c>
      <c r="AN2281" s="188" t="s">
        <v>2275</v>
      </c>
      <c r="AO2281" s="185" t="s">
        <v>5150</v>
      </c>
      <c r="AP2281" s="59"/>
      <c r="AQ2281" s="58" t="s">
        <v>553</v>
      </c>
      <c r="AR2281" s="59" t="s">
        <v>1607</v>
      </c>
      <c r="AS2281" s="58" t="s">
        <v>132</v>
      </c>
      <c r="AT2281" s="182"/>
      <c r="AU2281" s="181" t="s">
        <v>7494</v>
      </c>
      <c r="AV2281" s="185" t="s">
        <v>176</v>
      </c>
      <c r="AW2281" s="58"/>
      <c r="AX2281" s="185" t="s">
        <v>176</v>
      </c>
      <c r="AY2281" s="58"/>
      <c r="AZ2281" s="59"/>
      <c r="BA2281" s="58"/>
      <c r="BB2281" s="58"/>
      <c r="BC2281" s="58"/>
      <c r="BD2281" s="58"/>
      <c r="BE2281" s="240"/>
      <c r="BF2281" s="59"/>
      <c r="BG2281" s="59"/>
      <c r="BH2281" s="236"/>
      <c r="BI2281" s="58"/>
      <c r="BJ2281" s="58"/>
      <c r="BK2281" s="58" t="s">
        <v>5976</v>
      </c>
      <c r="BL2281" s="58"/>
      <c r="BM2281" s="241" t="s">
        <v>160</v>
      </c>
      <c r="BN2281" s="58">
        <v>3</v>
      </c>
      <c r="BO2281" s="58">
        <v>3</v>
      </c>
      <c r="BP2281" s="59"/>
      <c r="BQ2281" s="58" t="s">
        <v>141</v>
      </c>
      <c r="BR2281" s="58"/>
      <c r="BS2281" s="58"/>
      <c r="BT2281" s="58"/>
      <c r="BU2281" s="58" t="s">
        <v>2279</v>
      </c>
      <c r="BV2281" s="58"/>
      <c r="BW2281" s="67">
        <v>1300</v>
      </c>
      <c r="BX2281" s="67">
        <v>6900</v>
      </c>
      <c r="BY2281" s="67"/>
      <c r="BZ2281" s="67"/>
      <c r="CA2281" s="67" t="s">
        <v>2281</v>
      </c>
      <c r="CB2281" s="153">
        <v>1300</v>
      </c>
      <c r="CC2281" s="68">
        <v>2800</v>
      </c>
      <c r="CD2281" s="68"/>
      <c r="CE2281" s="67"/>
      <c r="CF2281" s="67"/>
      <c r="CG2281" s="67"/>
      <c r="CH2281" s="94"/>
      <c r="CI2281" s="94"/>
      <c r="CJ2281" s="67"/>
      <c r="CK2281" s="67"/>
      <c r="CL2281" s="67"/>
      <c r="CM2281" s="67"/>
      <c r="CN2281" s="67"/>
      <c r="CO2281" s="67"/>
      <c r="CP2281" s="67"/>
      <c r="CQ2281" s="67"/>
      <c r="CR2281" s="67"/>
      <c r="CS2281" s="67"/>
      <c r="CT2281" s="67"/>
      <c r="CU2281" s="67"/>
      <c r="CV2281" s="67"/>
      <c r="CW2281" s="67"/>
      <c r="CX2281" s="67"/>
      <c r="CY2281" s="67"/>
      <c r="CZ2281" s="67"/>
      <c r="DA2281" s="67"/>
      <c r="DB2281" s="67"/>
      <c r="DC2281" s="67"/>
      <c r="DD2281" s="67"/>
      <c r="DE2281" s="67"/>
      <c r="DF2281" s="67"/>
      <c r="DG2281" s="67"/>
      <c r="DH2281" s="67"/>
      <c r="DI2281" s="67"/>
      <c r="DJ2281" s="67"/>
      <c r="DK2281" s="67"/>
      <c r="DL2281" s="67"/>
      <c r="DM2281" s="67"/>
      <c r="DN2281" s="67"/>
      <c r="DO2281" s="67"/>
      <c r="DP2281" s="67"/>
      <c r="DQ2281" s="166"/>
      <c r="DR2281" s="166"/>
      <c r="DS2281" s="163"/>
      <c r="DT2281" s="163"/>
      <c r="DU2281" s="67"/>
      <c r="DV2281" s="67"/>
      <c r="DW2281" s="67"/>
      <c r="DX2281" s="67"/>
      <c r="DY2281" s="67"/>
      <c r="DZ2281" s="67"/>
      <c r="EA2281" s="67"/>
      <c r="EB2281" s="67"/>
      <c r="EC2281" s="67"/>
      <c r="ED2281" s="67"/>
      <c r="EE2281" s="67"/>
      <c r="EF2281" s="67"/>
      <c r="EG2281" s="67"/>
      <c r="EH2281" s="67"/>
      <c r="EI2281" s="67"/>
      <c r="EJ2281" s="67"/>
      <c r="EK2281" s="94"/>
      <c r="EL2281" s="94"/>
      <c r="EM2281" s="67"/>
      <c r="EN2281" s="67"/>
      <c r="EO2281" s="67"/>
      <c r="EP2281" s="67"/>
      <c r="EQ2281" s="67"/>
      <c r="ER2281" s="67"/>
      <c r="ES2281" s="67"/>
      <c r="ET2281" s="67"/>
      <c r="EU2281" s="67"/>
      <c r="EV2281" s="67"/>
      <c r="EW2281" s="67"/>
      <c r="EX2281" s="67"/>
      <c r="EY2281" s="67"/>
      <c r="EZ2281" s="67"/>
      <c r="FA2281" s="67"/>
      <c r="FB2281" s="67"/>
      <c r="FC2281" s="67"/>
      <c r="FD2281" s="67"/>
      <c r="FE2281" s="67"/>
      <c r="FF2281" s="67"/>
      <c r="FG2281" s="67"/>
      <c r="FH2281" s="67"/>
      <c r="FI2281" s="67"/>
      <c r="FJ2281" s="67"/>
      <c r="FK2281" s="67"/>
      <c r="FL2281" s="67"/>
      <c r="FM2281" s="67"/>
      <c r="FN2281" s="67"/>
      <c r="FO2281" s="67"/>
      <c r="FP2281" s="67"/>
      <c r="FQ2281" s="67"/>
      <c r="FR2281" s="67"/>
      <c r="FS2281" s="67"/>
      <c r="FT2281" s="67"/>
      <c r="FU2281" s="67"/>
      <c r="FV2281" s="67"/>
      <c r="FW2281" s="67"/>
      <c r="FX2281" s="67"/>
      <c r="FY2281" s="67"/>
      <c r="FZ2281" s="67"/>
      <c r="GA2281" s="67"/>
      <c r="GB2281" s="67"/>
      <c r="GC2281" s="67"/>
      <c r="GD2281" s="67"/>
      <c r="GE2281" s="67"/>
      <c r="GF2281" s="67"/>
      <c r="GG2281" s="67"/>
      <c r="GH2281" s="67"/>
      <c r="GI2281" s="67"/>
      <c r="GJ2281" s="67"/>
      <c r="GK2281" s="67"/>
      <c r="GL2281" s="67"/>
      <c r="GM2281" s="67"/>
      <c r="GN2281" s="292"/>
      <c r="GO2281" s="292"/>
      <c r="GP2281" s="292" t="s">
        <v>7494</v>
      </c>
      <c r="GQ2281" s="67"/>
      <c r="GR2281" s="67"/>
      <c r="GS2281" s="67"/>
      <c r="GT2281" s="67"/>
      <c r="GU2281" s="67"/>
      <c r="GV2281" s="67"/>
      <c r="GW2281" s="67"/>
      <c r="GX2281" s="67"/>
      <c r="GY2281" s="67"/>
      <c r="GZ2281" s="67"/>
      <c r="HA2281" s="67"/>
      <c r="HB2281" s="67"/>
      <c r="HC2281" s="67"/>
      <c r="HD2281" s="67"/>
      <c r="HE2281" s="67"/>
      <c r="HF2281" s="67"/>
      <c r="HG2281" s="67"/>
      <c r="HH2281" s="67"/>
      <c r="HI2281" s="67"/>
      <c r="HJ2281" s="67"/>
      <c r="HK2281" s="67"/>
      <c r="HL2281" s="67"/>
      <c r="HM2281" s="67"/>
      <c r="HN2281" s="67"/>
      <c r="HO2281" s="67"/>
      <c r="HP2281" s="67"/>
      <c r="HQ2281" s="67"/>
      <c r="HR2281" s="67"/>
      <c r="HS2281" s="67"/>
      <c r="HT2281" s="67"/>
      <c r="HU2281" s="67"/>
      <c r="HV2281" s="67"/>
      <c r="HW2281" s="67"/>
      <c r="HX2281" s="67"/>
      <c r="HY2281" s="67"/>
      <c r="HZ2281" s="67"/>
      <c r="IA2281" s="67"/>
      <c r="IB2281" s="67"/>
      <c r="IC2281" s="67"/>
      <c r="ID2281" s="67"/>
      <c r="IE2281" s="67"/>
      <c r="IF2281" s="67"/>
      <c r="IG2281" s="67"/>
      <c r="IH2281" s="67"/>
      <c r="II2281" s="67"/>
      <c r="IJ2281" s="67"/>
      <c r="IK2281" s="67"/>
      <c r="IL2281" s="67"/>
      <c r="IM2281" s="67"/>
      <c r="IN2281" s="67"/>
      <c r="IO2281" s="67"/>
      <c r="IP2281" s="67"/>
      <c r="IQ2281" s="67"/>
      <c r="IR2281" s="67"/>
      <c r="IS2281" s="67"/>
      <c r="IT2281" s="67"/>
      <c r="IU2281" s="67"/>
      <c r="IV2281" s="67"/>
      <c r="IW2281" s="67"/>
      <c r="IX2281" s="67"/>
      <c r="IY2281" s="67"/>
      <c r="IZ2281" s="67"/>
      <c r="JA2281" s="67"/>
      <c r="JB2281" s="67"/>
      <c r="JC2281" s="67"/>
      <c r="JD2281" s="67"/>
      <c r="JE2281" s="67"/>
      <c r="JF2281" s="67"/>
      <c r="JG2281" s="67"/>
      <c r="JH2281" s="67"/>
      <c r="JI2281" s="67"/>
      <c r="JJ2281" s="67"/>
      <c r="JK2281" s="67"/>
      <c r="JL2281" s="67"/>
      <c r="JM2281" s="67"/>
      <c r="JN2281" s="67"/>
      <c r="JO2281" s="67"/>
      <c r="JP2281" s="67"/>
      <c r="JQ2281" s="67"/>
      <c r="JR2281" s="67"/>
      <c r="JS2281" s="67"/>
      <c r="JT2281" s="67"/>
      <c r="JU2281" s="58"/>
      <c r="JV2281" s="58"/>
      <c r="JW2281" s="58"/>
    </row>
    <row r="2282" spans="1:283" s="23" customFormat="1" x14ac:dyDescent="0.25">
      <c r="A2282" s="55">
        <v>2281</v>
      </c>
      <c r="B2282" s="12" t="s">
        <v>7067</v>
      </c>
      <c r="C2282" s="156">
        <v>110</v>
      </c>
      <c r="D2282" s="58" t="s">
        <v>4196</v>
      </c>
      <c r="E2282" s="93" t="s">
        <v>2174</v>
      </c>
      <c r="F2282" s="93"/>
      <c r="G2282" s="58" t="s">
        <v>2264</v>
      </c>
      <c r="H2282" s="59">
        <v>1982</v>
      </c>
      <c r="I2282" s="58">
        <v>1977</v>
      </c>
      <c r="J2282" s="59" t="s">
        <v>1709</v>
      </c>
      <c r="K2282" s="59" t="s">
        <v>2265</v>
      </c>
      <c r="L2282" s="59" t="s">
        <v>2744</v>
      </c>
      <c r="M2282" s="94">
        <v>7.38</v>
      </c>
      <c r="N2282" s="94">
        <v>3.95</v>
      </c>
      <c r="O2282" s="93">
        <v>229.3</v>
      </c>
      <c r="P2282" s="59"/>
      <c r="Q2282" s="58"/>
      <c r="R2282" s="59"/>
      <c r="S2282" s="94"/>
      <c r="T2282" s="58"/>
      <c r="U2282" s="58">
        <v>3</v>
      </c>
      <c r="V2282" s="59">
        <v>4</v>
      </c>
      <c r="W2282" s="174"/>
      <c r="X2282" s="174"/>
      <c r="Y2282" s="58" t="s">
        <v>2266</v>
      </c>
      <c r="Z2282" s="58" t="s">
        <v>1355</v>
      </c>
      <c r="AA2282" s="94">
        <v>10</v>
      </c>
      <c r="AB2282" s="67"/>
      <c r="AC2282" s="67"/>
      <c r="AD2282" s="94">
        <v>1.31</v>
      </c>
      <c r="AE2282" s="93">
        <v>69.3</v>
      </c>
      <c r="AF2282" s="93">
        <v>9.5</v>
      </c>
      <c r="AG2282" s="93"/>
      <c r="AH2282" s="58" t="s">
        <v>238</v>
      </c>
      <c r="AI2282" s="169"/>
      <c r="AJ2282" s="94">
        <v>1.7</v>
      </c>
      <c r="AK2282" s="94"/>
      <c r="AL2282" s="58"/>
      <c r="AM2282" s="59" t="s">
        <v>2267</v>
      </c>
      <c r="AN2282" s="188" t="s">
        <v>2276</v>
      </c>
      <c r="AO2282" s="185" t="s">
        <v>5150</v>
      </c>
      <c r="AP2282" s="59"/>
      <c r="AQ2282" s="58" t="s">
        <v>553</v>
      </c>
      <c r="AR2282" s="59" t="s">
        <v>1607</v>
      </c>
      <c r="AS2282" s="58" t="s">
        <v>132</v>
      </c>
      <c r="AT2282" s="182"/>
      <c r="AU2282" s="181" t="s">
        <v>7494</v>
      </c>
      <c r="AV2282" s="185" t="s">
        <v>176</v>
      </c>
      <c r="AW2282" s="58"/>
      <c r="AX2282" s="185" t="s">
        <v>176</v>
      </c>
      <c r="AY2282" s="58"/>
      <c r="AZ2282" s="59"/>
      <c r="BA2282" s="58"/>
      <c r="BB2282" s="58"/>
      <c r="BC2282" s="58"/>
      <c r="BD2282" s="58"/>
      <c r="BE2282" s="240"/>
      <c r="BF2282" s="59"/>
      <c r="BG2282" s="59"/>
      <c r="BH2282" s="236"/>
      <c r="BI2282" s="58"/>
      <c r="BJ2282" s="58"/>
      <c r="BK2282" s="58" t="s">
        <v>5976</v>
      </c>
      <c r="BL2282" s="58"/>
      <c r="BM2282" s="241" t="s">
        <v>160</v>
      </c>
      <c r="BN2282" s="58">
        <v>3</v>
      </c>
      <c r="BO2282" s="58">
        <v>3</v>
      </c>
      <c r="BP2282" s="59"/>
      <c r="BQ2282" s="58" t="s">
        <v>141</v>
      </c>
      <c r="BR2282" s="58"/>
      <c r="BS2282" s="58"/>
      <c r="BT2282" s="58"/>
      <c r="BU2282" s="58" t="s">
        <v>2279</v>
      </c>
      <c r="BV2282" s="58"/>
      <c r="BW2282" s="67">
        <v>1300</v>
      </c>
      <c r="BX2282" s="67">
        <v>2300</v>
      </c>
      <c r="BY2282" s="67"/>
      <c r="BZ2282" s="67"/>
      <c r="CA2282" s="67" t="s">
        <v>2281</v>
      </c>
      <c r="CB2282" s="153">
        <v>1300</v>
      </c>
      <c r="CC2282" s="68">
        <v>900</v>
      </c>
      <c r="CD2282" s="68"/>
      <c r="CE2282" s="67"/>
      <c r="CF2282" s="67"/>
      <c r="CG2282" s="67"/>
      <c r="CH2282" s="94"/>
      <c r="CI2282" s="94"/>
      <c r="CJ2282" s="67"/>
      <c r="CK2282" s="67"/>
      <c r="CL2282" s="67"/>
      <c r="CM2282" s="67"/>
      <c r="CN2282" s="67"/>
      <c r="CO2282" s="67"/>
      <c r="CP2282" s="67"/>
      <c r="CQ2282" s="67"/>
      <c r="CR2282" s="67"/>
      <c r="CS2282" s="67"/>
      <c r="CT2282" s="67"/>
      <c r="CU2282" s="67"/>
      <c r="CV2282" s="67"/>
      <c r="CW2282" s="67"/>
      <c r="CX2282" s="67"/>
      <c r="CY2282" s="67"/>
      <c r="CZ2282" s="67"/>
      <c r="DA2282" s="67"/>
      <c r="DB2282" s="67"/>
      <c r="DC2282" s="67"/>
      <c r="DD2282" s="67"/>
      <c r="DE2282" s="67"/>
      <c r="DF2282" s="67"/>
      <c r="DG2282" s="67"/>
      <c r="DH2282" s="67"/>
      <c r="DI2282" s="67"/>
      <c r="DJ2282" s="67"/>
      <c r="DK2282" s="67"/>
      <c r="DL2282" s="67"/>
      <c r="DM2282" s="67"/>
      <c r="DN2282" s="67"/>
      <c r="DO2282" s="67"/>
      <c r="DP2282" s="67"/>
      <c r="DQ2282" s="166"/>
      <c r="DR2282" s="166"/>
      <c r="DS2282" s="163"/>
      <c r="DT2282" s="163"/>
      <c r="DU2282" s="67"/>
      <c r="DV2282" s="67"/>
      <c r="DW2282" s="67"/>
      <c r="DX2282" s="67"/>
      <c r="DY2282" s="67"/>
      <c r="DZ2282" s="67"/>
      <c r="EA2282" s="67"/>
      <c r="EB2282" s="67"/>
      <c r="EC2282" s="67"/>
      <c r="ED2282" s="67"/>
      <c r="EE2282" s="67"/>
      <c r="EF2282" s="67"/>
      <c r="EG2282" s="67"/>
      <c r="EH2282" s="67"/>
      <c r="EI2282" s="67"/>
      <c r="EJ2282" s="67"/>
      <c r="EK2282" s="94"/>
      <c r="EL2282" s="94"/>
      <c r="EM2282" s="67"/>
      <c r="EN2282" s="67"/>
      <c r="EO2282" s="67"/>
      <c r="EP2282" s="67"/>
      <c r="EQ2282" s="67"/>
      <c r="ER2282" s="67"/>
      <c r="ES2282" s="67"/>
      <c r="ET2282" s="67"/>
      <c r="EU2282" s="67"/>
      <c r="EV2282" s="67"/>
      <c r="EW2282" s="67"/>
      <c r="EX2282" s="67"/>
      <c r="EY2282" s="67"/>
      <c r="EZ2282" s="67"/>
      <c r="FA2282" s="67"/>
      <c r="FB2282" s="67"/>
      <c r="FC2282" s="67"/>
      <c r="FD2282" s="67"/>
      <c r="FE2282" s="67"/>
      <c r="FF2282" s="67"/>
      <c r="FG2282" s="67"/>
      <c r="FH2282" s="67"/>
      <c r="FI2282" s="67"/>
      <c r="FJ2282" s="67"/>
      <c r="FK2282" s="67"/>
      <c r="FL2282" s="67"/>
      <c r="FM2282" s="67"/>
      <c r="FN2282" s="67"/>
      <c r="FO2282" s="67"/>
      <c r="FP2282" s="67"/>
      <c r="FQ2282" s="67"/>
      <c r="FR2282" s="67"/>
      <c r="FS2282" s="67"/>
      <c r="FT2282" s="67"/>
      <c r="FU2282" s="67"/>
      <c r="FV2282" s="67"/>
      <c r="FW2282" s="67"/>
      <c r="FX2282" s="67"/>
      <c r="FY2282" s="67"/>
      <c r="FZ2282" s="67"/>
      <c r="GA2282" s="67"/>
      <c r="GB2282" s="67"/>
      <c r="GC2282" s="67"/>
      <c r="GD2282" s="67"/>
      <c r="GE2282" s="67"/>
      <c r="GF2282" s="67"/>
      <c r="GG2282" s="67"/>
      <c r="GH2282" s="67"/>
      <c r="GI2282" s="67"/>
      <c r="GJ2282" s="67"/>
      <c r="GK2282" s="67"/>
      <c r="GL2282" s="67"/>
      <c r="GM2282" s="67"/>
      <c r="GN2282" s="292"/>
      <c r="GO2282" s="292"/>
      <c r="GP2282" s="292" t="s">
        <v>7494</v>
      </c>
      <c r="GQ2282" s="67"/>
      <c r="GR2282" s="67"/>
      <c r="GS2282" s="67"/>
      <c r="GT2282" s="67"/>
      <c r="GU2282" s="67"/>
      <c r="GV2282" s="67"/>
      <c r="GW2282" s="67"/>
      <c r="GX2282" s="67"/>
      <c r="GY2282" s="67"/>
      <c r="GZ2282" s="67"/>
      <c r="HA2282" s="67"/>
      <c r="HB2282" s="67"/>
      <c r="HC2282" s="67"/>
      <c r="HD2282" s="67"/>
      <c r="HE2282" s="67"/>
      <c r="HF2282" s="67"/>
      <c r="HG2282" s="67"/>
      <c r="HH2282" s="67"/>
      <c r="HI2282" s="67"/>
      <c r="HJ2282" s="67"/>
      <c r="HK2282" s="67"/>
      <c r="HL2282" s="67"/>
      <c r="HM2282" s="67"/>
      <c r="HN2282" s="67"/>
      <c r="HO2282" s="67"/>
      <c r="HP2282" s="67"/>
      <c r="HQ2282" s="67"/>
      <c r="HR2282" s="67"/>
      <c r="HS2282" s="67"/>
      <c r="HT2282" s="67"/>
      <c r="HU2282" s="67"/>
      <c r="HV2282" s="67"/>
      <c r="HW2282" s="67"/>
      <c r="HX2282" s="67"/>
      <c r="HY2282" s="67"/>
      <c r="HZ2282" s="67"/>
      <c r="IA2282" s="67"/>
      <c r="IB2282" s="67"/>
      <c r="IC2282" s="67"/>
      <c r="ID2282" s="67"/>
      <c r="IE2282" s="67"/>
      <c r="IF2282" s="67"/>
      <c r="IG2282" s="67"/>
      <c r="IH2282" s="67"/>
      <c r="II2282" s="67"/>
      <c r="IJ2282" s="67"/>
      <c r="IK2282" s="67"/>
      <c r="IL2282" s="67"/>
      <c r="IM2282" s="67"/>
      <c r="IN2282" s="67"/>
      <c r="IO2282" s="67"/>
      <c r="IP2282" s="67"/>
      <c r="IQ2282" s="67"/>
      <c r="IR2282" s="67"/>
      <c r="IS2282" s="67"/>
      <c r="IT2282" s="67"/>
      <c r="IU2282" s="67"/>
      <c r="IV2282" s="67"/>
      <c r="IW2282" s="67"/>
      <c r="IX2282" s="67"/>
      <c r="IY2282" s="67"/>
      <c r="IZ2282" s="67"/>
      <c r="JA2282" s="67"/>
      <c r="JB2282" s="67"/>
      <c r="JC2282" s="67"/>
      <c r="JD2282" s="67"/>
      <c r="JE2282" s="67"/>
      <c r="JF2282" s="67"/>
      <c r="JG2282" s="67"/>
      <c r="JH2282" s="67"/>
      <c r="JI2282" s="67"/>
      <c r="JJ2282" s="67"/>
      <c r="JK2282" s="67"/>
      <c r="JL2282" s="67"/>
      <c r="JM2282" s="67"/>
      <c r="JN2282" s="67"/>
      <c r="JO2282" s="67"/>
      <c r="JP2282" s="67"/>
      <c r="JQ2282" s="67"/>
      <c r="JR2282" s="67"/>
      <c r="JS2282" s="67"/>
      <c r="JT2282" s="67"/>
      <c r="JU2282" s="58"/>
      <c r="JV2282" s="58"/>
      <c r="JW2282" s="58"/>
    </row>
    <row r="2283" spans="1:283" s="23" customFormat="1" x14ac:dyDescent="0.25">
      <c r="A2283" s="55">
        <v>2282</v>
      </c>
      <c r="B2283" s="12" t="s">
        <v>7067</v>
      </c>
      <c r="C2283" s="156">
        <v>110</v>
      </c>
      <c r="D2283" s="58" t="s">
        <v>4196</v>
      </c>
      <c r="E2283" s="93" t="s">
        <v>2174</v>
      </c>
      <c r="F2283" s="93"/>
      <c r="G2283" s="58" t="s">
        <v>2264</v>
      </c>
      <c r="H2283" s="59">
        <v>1982</v>
      </c>
      <c r="I2283" s="58">
        <v>1977</v>
      </c>
      <c r="J2283" s="59" t="s">
        <v>1709</v>
      </c>
      <c r="K2283" s="59" t="s">
        <v>2265</v>
      </c>
      <c r="L2283" s="59" t="s">
        <v>2744</v>
      </c>
      <c r="M2283" s="94">
        <v>7.38</v>
      </c>
      <c r="N2283" s="94">
        <v>3.95</v>
      </c>
      <c r="O2283" s="93">
        <v>229.3</v>
      </c>
      <c r="P2283" s="59"/>
      <c r="Q2283" s="58"/>
      <c r="R2283" s="59"/>
      <c r="S2283" s="94"/>
      <c r="T2283" s="58"/>
      <c r="U2283" s="58">
        <v>3</v>
      </c>
      <c r="V2283" s="59">
        <v>4</v>
      </c>
      <c r="W2283" s="174"/>
      <c r="X2283" s="174"/>
      <c r="Y2283" s="58" t="s">
        <v>2266</v>
      </c>
      <c r="Z2283" s="58" t="s">
        <v>1355</v>
      </c>
      <c r="AA2283" s="94">
        <v>10</v>
      </c>
      <c r="AB2283" s="67"/>
      <c r="AC2283" s="67"/>
      <c r="AD2283" s="94">
        <v>1.31</v>
      </c>
      <c r="AE2283" s="93">
        <v>69.3</v>
      </c>
      <c r="AF2283" s="93">
        <v>9.5</v>
      </c>
      <c r="AG2283" s="93"/>
      <c r="AH2283" s="58" t="s">
        <v>238</v>
      </c>
      <c r="AI2283" s="169"/>
      <c r="AJ2283" s="94">
        <v>1.7</v>
      </c>
      <c r="AK2283" s="94"/>
      <c r="AL2283" s="58"/>
      <c r="AM2283" s="59" t="s">
        <v>2267</v>
      </c>
      <c r="AN2283" s="188" t="s">
        <v>2277</v>
      </c>
      <c r="AO2283" s="185" t="s">
        <v>5150</v>
      </c>
      <c r="AP2283" s="59"/>
      <c r="AQ2283" s="58" t="s">
        <v>553</v>
      </c>
      <c r="AR2283" s="59" t="s">
        <v>1607</v>
      </c>
      <c r="AS2283" s="58" t="s">
        <v>132</v>
      </c>
      <c r="AT2283" s="182"/>
      <c r="AU2283" s="181" t="s">
        <v>7494</v>
      </c>
      <c r="AV2283" s="185" t="s">
        <v>176</v>
      </c>
      <c r="AW2283" s="58"/>
      <c r="AX2283" s="185" t="s">
        <v>176</v>
      </c>
      <c r="AY2283" s="58"/>
      <c r="AZ2283" s="59"/>
      <c r="BA2283" s="58"/>
      <c r="BB2283" s="58"/>
      <c r="BC2283" s="58"/>
      <c r="BD2283" s="58"/>
      <c r="BE2283" s="240"/>
      <c r="BF2283" s="59"/>
      <c r="BG2283" s="59"/>
      <c r="BH2283" s="236"/>
      <c r="BI2283" s="58"/>
      <c r="BJ2283" s="58"/>
      <c r="BK2283" s="58" t="s">
        <v>5976</v>
      </c>
      <c r="BL2283" s="58"/>
      <c r="BM2283" s="241" t="s">
        <v>160</v>
      </c>
      <c r="BN2283" s="58">
        <v>3</v>
      </c>
      <c r="BO2283" s="58">
        <v>3</v>
      </c>
      <c r="BP2283" s="59"/>
      <c r="BQ2283" s="58" t="s">
        <v>141</v>
      </c>
      <c r="BR2283" s="58"/>
      <c r="BS2283" s="58"/>
      <c r="BT2283" s="58"/>
      <c r="BU2283" s="58" t="s">
        <v>2279</v>
      </c>
      <c r="BV2283" s="58"/>
      <c r="BW2283" s="67">
        <v>1300</v>
      </c>
      <c r="BX2283" s="67">
        <v>5000</v>
      </c>
      <c r="BY2283" s="67"/>
      <c r="BZ2283" s="67"/>
      <c r="CA2283" s="67" t="s">
        <v>2281</v>
      </c>
      <c r="CB2283" s="153">
        <v>1300</v>
      </c>
      <c r="CC2283" s="68">
        <v>2200</v>
      </c>
      <c r="CD2283" s="68"/>
      <c r="CE2283" s="67"/>
      <c r="CF2283" s="67"/>
      <c r="CG2283" s="67"/>
      <c r="CH2283" s="94"/>
      <c r="CI2283" s="94"/>
      <c r="CJ2283" s="67"/>
      <c r="CK2283" s="67"/>
      <c r="CL2283" s="67"/>
      <c r="CM2283" s="67"/>
      <c r="CN2283" s="67"/>
      <c r="CO2283" s="67"/>
      <c r="CP2283" s="67"/>
      <c r="CQ2283" s="67"/>
      <c r="CR2283" s="67"/>
      <c r="CS2283" s="67"/>
      <c r="CT2283" s="67"/>
      <c r="CU2283" s="67"/>
      <c r="CV2283" s="67"/>
      <c r="CW2283" s="67"/>
      <c r="CX2283" s="67"/>
      <c r="CY2283" s="67"/>
      <c r="CZ2283" s="67"/>
      <c r="DA2283" s="67"/>
      <c r="DB2283" s="67"/>
      <c r="DC2283" s="67"/>
      <c r="DD2283" s="67"/>
      <c r="DE2283" s="67"/>
      <c r="DF2283" s="67"/>
      <c r="DG2283" s="67"/>
      <c r="DH2283" s="67"/>
      <c r="DI2283" s="67"/>
      <c r="DJ2283" s="67"/>
      <c r="DK2283" s="67"/>
      <c r="DL2283" s="67"/>
      <c r="DM2283" s="67"/>
      <c r="DN2283" s="67"/>
      <c r="DO2283" s="67"/>
      <c r="DP2283" s="67"/>
      <c r="DQ2283" s="166"/>
      <c r="DR2283" s="166"/>
      <c r="DS2283" s="163"/>
      <c r="DT2283" s="163"/>
      <c r="DU2283" s="67"/>
      <c r="DV2283" s="67"/>
      <c r="DW2283" s="67"/>
      <c r="DX2283" s="67"/>
      <c r="DY2283" s="67"/>
      <c r="DZ2283" s="67"/>
      <c r="EA2283" s="67"/>
      <c r="EB2283" s="67"/>
      <c r="EC2283" s="67"/>
      <c r="ED2283" s="67"/>
      <c r="EE2283" s="67"/>
      <c r="EF2283" s="67"/>
      <c r="EG2283" s="67"/>
      <c r="EH2283" s="67"/>
      <c r="EI2283" s="67"/>
      <c r="EJ2283" s="67"/>
      <c r="EK2283" s="94"/>
      <c r="EL2283" s="94"/>
      <c r="EM2283" s="67"/>
      <c r="EN2283" s="67"/>
      <c r="EO2283" s="67"/>
      <c r="EP2283" s="67"/>
      <c r="EQ2283" s="67"/>
      <c r="ER2283" s="67"/>
      <c r="ES2283" s="67"/>
      <c r="ET2283" s="67"/>
      <c r="EU2283" s="67"/>
      <c r="EV2283" s="67"/>
      <c r="EW2283" s="67"/>
      <c r="EX2283" s="67"/>
      <c r="EY2283" s="67"/>
      <c r="EZ2283" s="67"/>
      <c r="FA2283" s="67"/>
      <c r="FB2283" s="67"/>
      <c r="FC2283" s="67"/>
      <c r="FD2283" s="67"/>
      <c r="FE2283" s="67"/>
      <c r="FF2283" s="67"/>
      <c r="FG2283" s="67"/>
      <c r="FH2283" s="67"/>
      <c r="FI2283" s="67"/>
      <c r="FJ2283" s="67"/>
      <c r="FK2283" s="67"/>
      <c r="FL2283" s="67"/>
      <c r="FM2283" s="67"/>
      <c r="FN2283" s="67"/>
      <c r="FO2283" s="67"/>
      <c r="FP2283" s="67"/>
      <c r="FQ2283" s="67"/>
      <c r="FR2283" s="67"/>
      <c r="FS2283" s="67"/>
      <c r="FT2283" s="67"/>
      <c r="FU2283" s="67"/>
      <c r="FV2283" s="67"/>
      <c r="FW2283" s="67"/>
      <c r="FX2283" s="67"/>
      <c r="FY2283" s="67"/>
      <c r="FZ2283" s="67"/>
      <c r="GA2283" s="67"/>
      <c r="GB2283" s="67"/>
      <c r="GC2283" s="67"/>
      <c r="GD2283" s="67"/>
      <c r="GE2283" s="67"/>
      <c r="GF2283" s="67"/>
      <c r="GG2283" s="67"/>
      <c r="GH2283" s="67"/>
      <c r="GI2283" s="67"/>
      <c r="GJ2283" s="67"/>
      <c r="GK2283" s="67"/>
      <c r="GL2283" s="67"/>
      <c r="GM2283" s="67"/>
      <c r="GN2283" s="292"/>
      <c r="GO2283" s="292"/>
      <c r="GP2283" s="292" t="s">
        <v>7494</v>
      </c>
      <c r="GQ2283" s="67"/>
      <c r="GR2283" s="67"/>
      <c r="GS2283" s="67"/>
      <c r="GT2283" s="67"/>
      <c r="GU2283" s="67"/>
      <c r="GV2283" s="67"/>
      <c r="GW2283" s="67"/>
      <c r="GX2283" s="67"/>
      <c r="GY2283" s="67"/>
      <c r="GZ2283" s="67"/>
      <c r="HA2283" s="67"/>
      <c r="HB2283" s="67"/>
      <c r="HC2283" s="67"/>
      <c r="HD2283" s="67"/>
      <c r="HE2283" s="67"/>
      <c r="HF2283" s="67"/>
      <c r="HG2283" s="67"/>
      <c r="HH2283" s="67"/>
      <c r="HI2283" s="67"/>
      <c r="HJ2283" s="67"/>
      <c r="HK2283" s="67"/>
      <c r="HL2283" s="67"/>
      <c r="HM2283" s="67"/>
      <c r="HN2283" s="67"/>
      <c r="HO2283" s="67"/>
      <c r="HP2283" s="67"/>
      <c r="HQ2283" s="67"/>
      <c r="HR2283" s="67"/>
      <c r="HS2283" s="67"/>
      <c r="HT2283" s="67"/>
      <c r="HU2283" s="67"/>
      <c r="HV2283" s="67"/>
      <c r="HW2283" s="67"/>
      <c r="HX2283" s="67"/>
      <c r="HY2283" s="67"/>
      <c r="HZ2283" s="67"/>
      <c r="IA2283" s="67"/>
      <c r="IB2283" s="67"/>
      <c r="IC2283" s="67"/>
      <c r="ID2283" s="67"/>
      <c r="IE2283" s="67"/>
      <c r="IF2283" s="67"/>
      <c r="IG2283" s="67"/>
      <c r="IH2283" s="67"/>
      <c r="II2283" s="67"/>
      <c r="IJ2283" s="67"/>
      <c r="IK2283" s="67"/>
      <c r="IL2283" s="67"/>
      <c r="IM2283" s="67"/>
      <c r="IN2283" s="67"/>
      <c r="IO2283" s="67"/>
      <c r="IP2283" s="67"/>
      <c r="IQ2283" s="67"/>
      <c r="IR2283" s="67"/>
      <c r="IS2283" s="67"/>
      <c r="IT2283" s="67"/>
      <c r="IU2283" s="67"/>
      <c r="IV2283" s="67"/>
      <c r="IW2283" s="67"/>
      <c r="IX2283" s="67"/>
      <c r="IY2283" s="67"/>
      <c r="IZ2283" s="67"/>
      <c r="JA2283" s="67"/>
      <c r="JB2283" s="67"/>
      <c r="JC2283" s="67"/>
      <c r="JD2283" s="67"/>
      <c r="JE2283" s="67"/>
      <c r="JF2283" s="67"/>
      <c r="JG2283" s="67"/>
      <c r="JH2283" s="67"/>
      <c r="JI2283" s="67"/>
      <c r="JJ2283" s="67"/>
      <c r="JK2283" s="67"/>
      <c r="JL2283" s="67"/>
      <c r="JM2283" s="67"/>
      <c r="JN2283" s="67"/>
      <c r="JO2283" s="67"/>
      <c r="JP2283" s="67"/>
      <c r="JQ2283" s="67"/>
      <c r="JR2283" s="67"/>
      <c r="JS2283" s="67"/>
      <c r="JT2283" s="67"/>
      <c r="JU2283" s="58"/>
      <c r="JV2283" s="58"/>
      <c r="JW2283" s="58"/>
    </row>
    <row r="2284" spans="1:283" s="23" customFormat="1" x14ac:dyDescent="0.25">
      <c r="A2284" s="55">
        <v>2283</v>
      </c>
      <c r="B2284" s="12" t="s">
        <v>7067</v>
      </c>
      <c r="C2284" s="156">
        <v>110</v>
      </c>
      <c r="D2284" s="58" t="s">
        <v>4196</v>
      </c>
      <c r="E2284" s="93" t="s">
        <v>2174</v>
      </c>
      <c r="F2284" s="93"/>
      <c r="G2284" s="58" t="s">
        <v>2264</v>
      </c>
      <c r="H2284" s="59">
        <v>1982</v>
      </c>
      <c r="I2284" s="58">
        <v>1977</v>
      </c>
      <c r="J2284" s="59" t="s">
        <v>1709</v>
      </c>
      <c r="K2284" s="59" t="s">
        <v>2265</v>
      </c>
      <c r="L2284" s="59" t="s">
        <v>2744</v>
      </c>
      <c r="M2284" s="94">
        <v>7.38</v>
      </c>
      <c r="N2284" s="94">
        <v>3.95</v>
      </c>
      <c r="O2284" s="93">
        <v>229.3</v>
      </c>
      <c r="P2284" s="59"/>
      <c r="Q2284" s="58"/>
      <c r="R2284" s="59"/>
      <c r="S2284" s="94"/>
      <c r="T2284" s="58"/>
      <c r="U2284" s="58">
        <v>3</v>
      </c>
      <c r="V2284" s="59">
        <v>4</v>
      </c>
      <c r="W2284" s="174"/>
      <c r="X2284" s="174"/>
      <c r="Y2284" s="58" t="s">
        <v>2266</v>
      </c>
      <c r="Z2284" s="58" t="s">
        <v>1355</v>
      </c>
      <c r="AA2284" s="94">
        <v>10</v>
      </c>
      <c r="AB2284" s="67"/>
      <c r="AC2284" s="67"/>
      <c r="AD2284" s="94">
        <v>1.31</v>
      </c>
      <c r="AE2284" s="93">
        <v>69.3</v>
      </c>
      <c r="AF2284" s="93">
        <v>9.5</v>
      </c>
      <c r="AG2284" s="93"/>
      <c r="AH2284" s="58" t="s">
        <v>238</v>
      </c>
      <c r="AI2284" s="169"/>
      <c r="AJ2284" s="94">
        <v>1.7</v>
      </c>
      <c r="AK2284" s="94"/>
      <c r="AL2284" s="58"/>
      <c r="AM2284" s="59" t="s">
        <v>2267</v>
      </c>
      <c r="AN2284" s="188" t="s">
        <v>2278</v>
      </c>
      <c r="AO2284" s="185" t="s">
        <v>5150</v>
      </c>
      <c r="AP2284" s="59"/>
      <c r="AQ2284" s="58" t="s">
        <v>553</v>
      </c>
      <c r="AR2284" s="59" t="s">
        <v>1607</v>
      </c>
      <c r="AS2284" s="58" t="s">
        <v>132</v>
      </c>
      <c r="AT2284" s="182"/>
      <c r="AU2284" s="181" t="s">
        <v>7494</v>
      </c>
      <c r="AV2284" s="185" t="s">
        <v>176</v>
      </c>
      <c r="AW2284" s="58"/>
      <c r="AX2284" s="185" t="s">
        <v>176</v>
      </c>
      <c r="AY2284" s="58"/>
      <c r="AZ2284" s="59"/>
      <c r="BA2284" s="58"/>
      <c r="BB2284" s="58"/>
      <c r="BC2284" s="58"/>
      <c r="BD2284" s="58"/>
      <c r="BE2284" s="240"/>
      <c r="BF2284" s="59"/>
      <c r="BG2284" s="59"/>
      <c r="BH2284" s="236"/>
      <c r="BI2284" s="58"/>
      <c r="BJ2284" s="58"/>
      <c r="BK2284" s="58" t="s">
        <v>5976</v>
      </c>
      <c r="BL2284" s="58"/>
      <c r="BM2284" s="241" t="s">
        <v>160</v>
      </c>
      <c r="BN2284" s="58">
        <v>3</v>
      </c>
      <c r="BO2284" s="58">
        <v>3</v>
      </c>
      <c r="BP2284" s="59"/>
      <c r="BQ2284" s="58" t="s">
        <v>141</v>
      </c>
      <c r="BR2284" s="58"/>
      <c r="BS2284" s="58"/>
      <c r="BT2284" s="58"/>
      <c r="BU2284" s="58" t="s">
        <v>2279</v>
      </c>
      <c r="BV2284" s="58"/>
      <c r="BW2284" s="67">
        <v>1300</v>
      </c>
      <c r="BX2284" s="67">
        <v>3600</v>
      </c>
      <c r="BY2284" s="67"/>
      <c r="BZ2284" s="67"/>
      <c r="CA2284" s="67" t="s">
        <v>2281</v>
      </c>
      <c r="CB2284" s="153">
        <v>1300</v>
      </c>
      <c r="CC2284" s="68">
        <v>1800</v>
      </c>
      <c r="CD2284" s="68"/>
      <c r="CE2284" s="67"/>
      <c r="CF2284" s="67"/>
      <c r="CG2284" s="67"/>
      <c r="CH2284" s="94"/>
      <c r="CI2284" s="94"/>
      <c r="CJ2284" s="67"/>
      <c r="CK2284" s="67"/>
      <c r="CL2284" s="67"/>
      <c r="CM2284" s="67"/>
      <c r="CN2284" s="67"/>
      <c r="CO2284" s="67"/>
      <c r="CP2284" s="67"/>
      <c r="CQ2284" s="67"/>
      <c r="CR2284" s="67"/>
      <c r="CS2284" s="67"/>
      <c r="CT2284" s="67"/>
      <c r="CU2284" s="67"/>
      <c r="CV2284" s="67"/>
      <c r="CW2284" s="67"/>
      <c r="CX2284" s="67"/>
      <c r="CY2284" s="67"/>
      <c r="CZ2284" s="67"/>
      <c r="DA2284" s="67"/>
      <c r="DB2284" s="67"/>
      <c r="DC2284" s="67"/>
      <c r="DD2284" s="67"/>
      <c r="DE2284" s="67"/>
      <c r="DF2284" s="67"/>
      <c r="DG2284" s="67"/>
      <c r="DH2284" s="67"/>
      <c r="DI2284" s="67"/>
      <c r="DJ2284" s="67"/>
      <c r="DK2284" s="67"/>
      <c r="DL2284" s="67"/>
      <c r="DM2284" s="67"/>
      <c r="DN2284" s="67"/>
      <c r="DO2284" s="67"/>
      <c r="DP2284" s="67"/>
      <c r="DQ2284" s="166"/>
      <c r="DR2284" s="166"/>
      <c r="DS2284" s="163"/>
      <c r="DT2284" s="163"/>
      <c r="DU2284" s="67"/>
      <c r="DV2284" s="67"/>
      <c r="DW2284" s="67"/>
      <c r="DX2284" s="67"/>
      <c r="DY2284" s="67"/>
      <c r="DZ2284" s="67"/>
      <c r="EA2284" s="67"/>
      <c r="EB2284" s="67"/>
      <c r="EC2284" s="67"/>
      <c r="ED2284" s="67"/>
      <c r="EE2284" s="67"/>
      <c r="EF2284" s="67"/>
      <c r="EG2284" s="67"/>
      <c r="EH2284" s="67"/>
      <c r="EI2284" s="67"/>
      <c r="EJ2284" s="67"/>
      <c r="EK2284" s="94"/>
      <c r="EL2284" s="94"/>
      <c r="EM2284" s="67"/>
      <c r="EN2284" s="67"/>
      <c r="EO2284" s="67"/>
      <c r="EP2284" s="67"/>
      <c r="EQ2284" s="67"/>
      <c r="ER2284" s="67"/>
      <c r="ES2284" s="67"/>
      <c r="ET2284" s="67"/>
      <c r="EU2284" s="67"/>
      <c r="EV2284" s="67"/>
      <c r="EW2284" s="67"/>
      <c r="EX2284" s="67"/>
      <c r="EY2284" s="67"/>
      <c r="EZ2284" s="67"/>
      <c r="FA2284" s="67"/>
      <c r="FB2284" s="67"/>
      <c r="FC2284" s="67"/>
      <c r="FD2284" s="67"/>
      <c r="FE2284" s="67"/>
      <c r="FF2284" s="67"/>
      <c r="FG2284" s="67"/>
      <c r="FH2284" s="67"/>
      <c r="FI2284" s="67"/>
      <c r="FJ2284" s="67"/>
      <c r="FK2284" s="67"/>
      <c r="FL2284" s="67"/>
      <c r="FM2284" s="67"/>
      <c r="FN2284" s="67"/>
      <c r="FO2284" s="67"/>
      <c r="FP2284" s="67"/>
      <c r="FQ2284" s="67"/>
      <c r="FR2284" s="67"/>
      <c r="FS2284" s="67"/>
      <c r="FT2284" s="67"/>
      <c r="FU2284" s="67"/>
      <c r="FV2284" s="67"/>
      <c r="FW2284" s="67"/>
      <c r="FX2284" s="67"/>
      <c r="FY2284" s="67"/>
      <c r="FZ2284" s="67"/>
      <c r="GA2284" s="67"/>
      <c r="GB2284" s="67"/>
      <c r="GC2284" s="67"/>
      <c r="GD2284" s="67"/>
      <c r="GE2284" s="67"/>
      <c r="GF2284" s="67"/>
      <c r="GG2284" s="67"/>
      <c r="GH2284" s="67"/>
      <c r="GI2284" s="67"/>
      <c r="GJ2284" s="67"/>
      <c r="GK2284" s="67"/>
      <c r="GL2284" s="67"/>
      <c r="GM2284" s="67"/>
      <c r="GN2284" s="292"/>
      <c r="GO2284" s="292"/>
      <c r="GP2284" s="292" t="s">
        <v>7494</v>
      </c>
      <c r="GQ2284" s="67"/>
      <c r="GR2284" s="67"/>
      <c r="GS2284" s="67"/>
      <c r="GT2284" s="67"/>
      <c r="GU2284" s="67"/>
      <c r="GV2284" s="67"/>
      <c r="GW2284" s="67"/>
      <c r="GX2284" s="67"/>
      <c r="GY2284" s="67"/>
      <c r="GZ2284" s="67"/>
      <c r="HA2284" s="67"/>
      <c r="HB2284" s="67"/>
      <c r="HC2284" s="67"/>
      <c r="HD2284" s="67"/>
      <c r="HE2284" s="67"/>
      <c r="HF2284" s="67"/>
      <c r="HG2284" s="67"/>
      <c r="HH2284" s="67"/>
      <c r="HI2284" s="67"/>
      <c r="HJ2284" s="67"/>
      <c r="HK2284" s="67"/>
      <c r="HL2284" s="67"/>
      <c r="HM2284" s="67"/>
      <c r="HN2284" s="67"/>
      <c r="HO2284" s="67"/>
      <c r="HP2284" s="67"/>
      <c r="HQ2284" s="67"/>
      <c r="HR2284" s="67"/>
      <c r="HS2284" s="67"/>
      <c r="HT2284" s="67"/>
      <c r="HU2284" s="67"/>
      <c r="HV2284" s="67"/>
      <c r="HW2284" s="67"/>
      <c r="HX2284" s="67"/>
      <c r="HY2284" s="67"/>
      <c r="HZ2284" s="67"/>
      <c r="IA2284" s="67"/>
      <c r="IB2284" s="67"/>
      <c r="IC2284" s="67"/>
      <c r="ID2284" s="67"/>
      <c r="IE2284" s="67"/>
      <c r="IF2284" s="67"/>
      <c r="IG2284" s="67"/>
      <c r="IH2284" s="67"/>
      <c r="II2284" s="67"/>
      <c r="IJ2284" s="67"/>
      <c r="IK2284" s="67"/>
      <c r="IL2284" s="67"/>
      <c r="IM2284" s="67"/>
      <c r="IN2284" s="67"/>
      <c r="IO2284" s="67"/>
      <c r="IP2284" s="67"/>
      <c r="IQ2284" s="67"/>
      <c r="IR2284" s="67"/>
      <c r="IS2284" s="67"/>
      <c r="IT2284" s="67"/>
      <c r="IU2284" s="67"/>
      <c r="IV2284" s="67"/>
      <c r="IW2284" s="67"/>
      <c r="IX2284" s="67"/>
      <c r="IY2284" s="67"/>
      <c r="IZ2284" s="67"/>
      <c r="JA2284" s="67"/>
      <c r="JB2284" s="67"/>
      <c r="JC2284" s="67"/>
      <c r="JD2284" s="67"/>
      <c r="JE2284" s="67"/>
      <c r="JF2284" s="67"/>
      <c r="JG2284" s="67"/>
      <c r="JH2284" s="67"/>
      <c r="JI2284" s="67"/>
      <c r="JJ2284" s="67"/>
      <c r="JK2284" s="67"/>
      <c r="JL2284" s="67"/>
      <c r="JM2284" s="67"/>
      <c r="JN2284" s="67"/>
      <c r="JO2284" s="67"/>
      <c r="JP2284" s="67"/>
      <c r="JQ2284" s="67"/>
      <c r="JR2284" s="67"/>
      <c r="JS2284" s="67"/>
      <c r="JT2284" s="67"/>
      <c r="JU2284" s="58"/>
      <c r="JV2284" s="58"/>
      <c r="JW2284" s="58"/>
    </row>
    <row r="2285" spans="1:283" s="23" customFormat="1" x14ac:dyDescent="0.25">
      <c r="A2285" s="55">
        <v>2284</v>
      </c>
      <c r="B2285" s="12" t="s">
        <v>7067</v>
      </c>
      <c r="C2285" s="156">
        <v>110</v>
      </c>
      <c r="D2285" s="58" t="s">
        <v>4197</v>
      </c>
      <c r="E2285" s="93" t="s">
        <v>2174</v>
      </c>
      <c r="F2285" s="93"/>
      <c r="G2285" s="58" t="s">
        <v>2264</v>
      </c>
      <c r="H2285" s="59">
        <v>1982</v>
      </c>
      <c r="I2285" s="58">
        <v>1977</v>
      </c>
      <c r="J2285" s="59" t="s">
        <v>1709</v>
      </c>
      <c r="K2285" s="59" t="s">
        <v>2265</v>
      </c>
      <c r="L2285" s="59" t="s">
        <v>2744</v>
      </c>
      <c r="M2285" s="94">
        <v>7.38</v>
      </c>
      <c r="N2285" s="94">
        <v>3.95</v>
      </c>
      <c r="O2285" s="93">
        <v>229.3</v>
      </c>
      <c r="P2285" s="59"/>
      <c r="Q2285" s="58"/>
      <c r="R2285" s="59"/>
      <c r="S2285" s="94"/>
      <c r="T2285" s="58"/>
      <c r="U2285" s="58">
        <v>3</v>
      </c>
      <c r="V2285" s="59">
        <v>4</v>
      </c>
      <c r="W2285" s="174"/>
      <c r="X2285" s="174"/>
      <c r="Y2285" s="58" t="s">
        <v>2266</v>
      </c>
      <c r="Z2285" s="58" t="s">
        <v>1355</v>
      </c>
      <c r="AA2285" s="94">
        <v>10</v>
      </c>
      <c r="AB2285" s="67"/>
      <c r="AC2285" s="67"/>
      <c r="AD2285" s="94">
        <v>1.31</v>
      </c>
      <c r="AE2285" s="93">
        <v>69.3</v>
      </c>
      <c r="AF2285" s="93">
        <v>9.5</v>
      </c>
      <c r="AG2285" s="93"/>
      <c r="AH2285" s="58" t="s">
        <v>238</v>
      </c>
      <c r="AI2285" s="169"/>
      <c r="AJ2285" s="94">
        <v>1.7</v>
      </c>
      <c r="AK2285" s="94"/>
      <c r="AL2285" s="58"/>
      <c r="AM2285" s="59" t="s">
        <v>2267</v>
      </c>
      <c r="AN2285" s="188" t="s">
        <v>2271</v>
      </c>
      <c r="AO2285" s="185" t="s">
        <v>5150</v>
      </c>
      <c r="AP2285" s="59"/>
      <c r="AQ2285" s="58" t="s">
        <v>1545</v>
      </c>
      <c r="AR2285" s="59" t="s">
        <v>2282</v>
      </c>
      <c r="AS2285" s="58" t="s">
        <v>227</v>
      </c>
      <c r="AT2285" s="182"/>
      <c r="AU2285" s="181" t="s">
        <v>7494</v>
      </c>
      <c r="AV2285" s="185" t="s">
        <v>176</v>
      </c>
      <c r="AW2285" s="58"/>
      <c r="AX2285" s="185" t="s">
        <v>176</v>
      </c>
      <c r="AY2285" s="58"/>
      <c r="AZ2285" s="59"/>
      <c r="BA2285" s="58"/>
      <c r="BB2285" s="58"/>
      <c r="BC2285" s="58"/>
      <c r="BD2285" s="58"/>
      <c r="BE2285" s="240"/>
      <c r="BF2285" s="59"/>
      <c r="BG2285" s="59"/>
      <c r="BH2285" s="236"/>
      <c r="BI2285" s="58"/>
      <c r="BJ2285" s="58"/>
      <c r="BK2285" s="58" t="s">
        <v>5976</v>
      </c>
      <c r="BL2285" s="58"/>
      <c r="BM2285" s="241" t="s">
        <v>160</v>
      </c>
      <c r="BN2285" s="58">
        <v>3</v>
      </c>
      <c r="BO2285" s="58">
        <v>3</v>
      </c>
      <c r="BP2285" s="59"/>
      <c r="BQ2285" s="58" t="s">
        <v>141</v>
      </c>
      <c r="BR2285" s="58"/>
      <c r="BS2285" s="58"/>
      <c r="BT2285" s="58"/>
      <c r="BU2285" s="58" t="s">
        <v>2279</v>
      </c>
      <c r="BV2285" s="58"/>
      <c r="BW2285" s="67"/>
      <c r="BX2285" s="67"/>
      <c r="BY2285" s="67"/>
      <c r="BZ2285" s="67"/>
      <c r="CA2285" s="67"/>
      <c r="CB2285" s="153">
        <v>174</v>
      </c>
      <c r="CC2285" s="68">
        <v>821</v>
      </c>
      <c r="CD2285" s="68"/>
      <c r="CE2285" s="67"/>
      <c r="CF2285" s="67"/>
      <c r="CG2285" s="67" t="s">
        <v>2285</v>
      </c>
      <c r="CH2285" s="94"/>
      <c r="CI2285" s="94"/>
      <c r="CJ2285" s="67"/>
      <c r="CK2285" s="67"/>
      <c r="CL2285" s="67"/>
      <c r="CM2285" s="67"/>
      <c r="CN2285" s="67"/>
      <c r="CO2285" s="67"/>
      <c r="CP2285" s="67"/>
      <c r="CQ2285" s="67"/>
      <c r="CR2285" s="67"/>
      <c r="CS2285" s="67"/>
      <c r="CT2285" s="67"/>
      <c r="CU2285" s="67"/>
      <c r="CV2285" s="67"/>
      <c r="CW2285" s="67"/>
      <c r="CX2285" s="67"/>
      <c r="CY2285" s="67"/>
      <c r="CZ2285" s="67"/>
      <c r="DA2285" s="67"/>
      <c r="DB2285" s="67"/>
      <c r="DC2285" s="67"/>
      <c r="DD2285" s="67"/>
      <c r="DE2285" s="67"/>
      <c r="DF2285" s="67"/>
      <c r="DG2285" s="67"/>
      <c r="DH2285" s="67"/>
      <c r="DI2285" s="67"/>
      <c r="DJ2285" s="67"/>
      <c r="DK2285" s="67"/>
      <c r="DL2285" s="67"/>
      <c r="DM2285" s="67"/>
      <c r="DN2285" s="67"/>
      <c r="DO2285" s="67"/>
      <c r="DP2285" s="67"/>
      <c r="DQ2285" s="166"/>
      <c r="DR2285" s="166"/>
      <c r="DS2285" s="163"/>
      <c r="DT2285" s="163"/>
      <c r="DU2285" s="67"/>
      <c r="DV2285" s="67"/>
      <c r="DW2285" s="67"/>
      <c r="DX2285" s="67"/>
      <c r="DY2285" s="67"/>
      <c r="DZ2285" s="67"/>
      <c r="EA2285" s="67"/>
      <c r="EB2285" s="67"/>
      <c r="EC2285" s="67"/>
      <c r="ED2285" s="67"/>
      <c r="EE2285" s="67"/>
      <c r="EF2285" s="67"/>
      <c r="EG2285" s="67"/>
      <c r="EH2285" s="67"/>
      <c r="EI2285" s="67"/>
      <c r="EJ2285" s="67"/>
      <c r="EK2285" s="94"/>
      <c r="EL2285" s="94"/>
      <c r="EM2285" s="67"/>
      <c r="EN2285" s="67"/>
      <c r="EO2285" s="67"/>
      <c r="EP2285" s="67"/>
      <c r="EQ2285" s="67"/>
      <c r="ER2285" s="67"/>
      <c r="ES2285" s="67"/>
      <c r="ET2285" s="67"/>
      <c r="EU2285" s="67"/>
      <c r="EV2285" s="67"/>
      <c r="EW2285" s="67"/>
      <c r="EX2285" s="67"/>
      <c r="EY2285" s="67"/>
      <c r="EZ2285" s="67"/>
      <c r="FA2285" s="67"/>
      <c r="FB2285" s="67"/>
      <c r="FC2285" s="67"/>
      <c r="FD2285" s="67"/>
      <c r="FE2285" s="67"/>
      <c r="FF2285" s="67"/>
      <c r="FG2285" s="67"/>
      <c r="FH2285" s="67"/>
      <c r="FI2285" s="67"/>
      <c r="FJ2285" s="67"/>
      <c r="FK2285" s="67"/>
      <c r="FL2285" s="67"/>
      <c r="FM2285" s="67"/>
      <c r="FN2285" s="67"/>
      <c r="FO2285" s="67"/>
      <c r="FP2285" s="67"/>
      <c r="FQ2285" s="67"/>
      <c r="FR2285" s="67"/>
      <c r="FS2285" s="67"/>
      <c r="FT2285" s="67"/>
      <c r="FU2285" s="67"/>
      <c r="FV2285" s="67"/>
      <c r="FW2285" s="67"/>
      <c r="FX2285" s="67"/>
      <c r="FY2285" s="67"/>
      <c r="FZ2285" s="67"/>
      <c r="GA2285" s="67"/>
      <c r="GB2285" s="67"/>
      <c r="GC2285" s="67"/>
      <c r="GD2285" s="67"/>
      <c r="GE2285" s="67"/>
      <c r="GF2285" s="67"/>
      <c r="GG2285" s="67"/>
      <c r="GH2285" s="67"/>
      <c r="GI2285" s="67"/>
      <c r="GJ2285" s="67"/>
      <c r="GK2285" s="67"/>
      <c r="GL2285" s="67"/>
      <c r="GM2285" s="67"/>
      <c r="GN2285" s="292"/>
      <c r="GO2285" s="292"/>
      <c r="GP2285" s="292" t="s">
        <v>7494</v>
      </c>
      <c r="GQ2285" s="67"/>
      <c r="GR2285" s="67"/>
      <c r="GS2285" s="67"/>
      <c r="GT2285" s="67"/>
      <c r="GU2285" s="67"/>
      <c r="GV2285" s="67"/>
      <c r="GW2285" s="67"/>
      <c r="GX2285" s="67"/>
      <c r="GY2285" s="67"/>
      <c r="GZ2285" s="67"/>
      <c r="HA2285" s="67"/>
      <c r="HB2285" s="67"/>
      <c r="HC2285" s="67"/>
      <c r="HD2285" s="67"/>
      <c r="HE2285" s="67"/>
      <c r="HF2285" s="67"/>
      <c r="HG2285" s="67"/>
      <c r="HH2285" s="67"/>
      <c r="HI2285" s="67"/>
      <c r="HJ2285" s="67"/>
      <c r="HK2285" s="67"/>
      <c r="HL2285" s="67"/>
      <c r="HM2285" s="67"/>
      <c r="HN2285" s="67"/>
      <c r="HO2285" s="67"/>
      <c r="HP2285" s="67"/>
      <c r="HQ2285" s="67"/>
      <c r="HR2285" s="67"/>
      <c r="HS2285" s="67"/>
      <c r="HT2285" s="67"/>
      <c r="HU2285" s="67"/>
      <c r="HV2285" s="67"/>
      <c r="HW2285" s="67"/>
      <c r="HX2285" s="67"/>
      <c r="HY2285" s="67"/>
      <c r="HZ2285" s="67"/>
      <c r="IA2285" s="67"/>
      <c r="IB2285" s="67"/>
      <c r="IC2285" s="67"/>
      <c r="ID2285" s="67"/>
      <c r="IE2285" s="67"/>
      <c r="IF2285" s="67"/>
      <c r="IG2285" s="67"/>
      <c r="IH2285" s="67"/>
      <c r="II2285" s="67"/>
      <c r="IJ2285" s="67"/>
      <c r="IK2285" s="67"/>
      <c r="IL2285" s="67"/>
      <c r="IM2285" s="67"/>
      <c r="IN2285" s="67"/>
      <c r="IO2285" s="67"/>
      <c r="IP2285" s="67"/>
      <c r="IQ2285" s="67"/>
      <c r="IR2285" s="67"/>
      <c r="IS2285" s="67"/>
      <c r="IT2285" s="67"/>
      <c r="IU2285" s="67"/>
      <c r="IV2285" s="67"/>
      <c r="IW2285" s="67"/>
      <c r="IX2285" s="67"/>
      <c r="IY2285" s="67"/>
      <c r="IZ2285" s="67"/>
      <c r="JA2285" s="67"/>
      <c r="JB2285" s="67"/>
      <c r="JC2285" s="67"/>
      <c r="JD2285" s="67"/>
      <c r="JE2285" s="67"/>
      <c r="JF2285" s="67"/>
      <c r="JG2285" s="67"/>
      <c r="JH2285" s="67"/>
      <c r="JI2285" s="67"/>
      <c r="JJ2285" s="67"/>
      <c r="JK2285" s="67"/>
      <c r="JL2285" s="67"/>
      <c r="JM2285" s="67"/>
      <c r="JN2285" s="67"/>
      <c r="JO2285" s="67"/>
      <c r="JP2285" s="67"/>
      <c r="JQ2285" s="67"/>
      <c r="JR2285" s="67"/>
      <c r="JS2285" s="67"/>
      <c r="JT2285" s="67"/>
      <c r="JU2285" s="58"/>
      <c r="JV2285" s="58"/>
      <c r="JW2285" s="58"/>
    </row>
    <row r="2286" spans="1:283" s="23" customFormat="1" x14ac:dyDescent="0.25">
      <c r="A2286" s="55">
        <v>2285</v>
      </c>
      <c r="B2286" s="12" t="s">
        <v>7067</v>
      </c>
      <c r="C2286" s="156">
        <v>110</v>
      </c>
      <c r="D2286" s="58" t="s">
        <v>4197</v>
      </c>
      <c r="E2286" s="93" t="s">
        <v>2174</v>
      </c>
      <c r="F2286" s="93"/>
      <c r="G2286" s="58" t="s">
        <v>2264</v>
      </c>
      <c r="H2286" s="59">
        <v>1982</v>
      </c>
      <c r="I2286" s="58">
        <v>1977</v>
      </c>
      <c r="J2286" s="59" t="s">
        <v>1709</v>
      </c>
      <c r="K2286" s="59" t="s">
        <v>2265</v>
      </c>
      <c r="L2286" s="59" t="s">
        <v>2744</v>
      </c>
      <c r="M2286" s="94">
        <v>7.38</v>
      </c>
      <c r="N2286" s="94">
        <v>3.95</v>
      </c>
      <c r="O2286" s="93">
        <v>229.3</v>
      </c>
      <c r="P2286" s="59"/>
      <c r="Q2286" s="58"/>
      <c r="R2286" s="59"/>
      <c r="S2286" s="94"/>
      <c r="T2286" s="58"/>
      <c r="U2286" s="58">
        <v>3</v>
      </c>
      <c r="V2286" s="59">
        <v>4</v>
      </c>
      <c r="W2286" s="174"/>
      <c r="X2286" s="174"/>
      <c r="Y2286" s="58" t="s">
        <v>2266</v>
      </c>
      <c r="Z2286" s="58" t="s">
        <v>1355</v>
      </c>
      <c r="AA2286" s="94">
        <v>10</v>
      </c>
      <c r="AB2286" s="67"/>
      <c r="AC2286" s="67"/>
      <c r="AD2286" s="94">
        <v>1.31</v>
      </c>
      <c r="AE2286" s="93">
        <v>69.3</v>
      </c>
      <c r="AF2286" s="93">
        <v>9.5</v>
      </c>
      <c r="AG2286" s="93"/>
      <c r="AH2286" s="58" t="s">
        <v>238</v>
      </c>
      <c r="AI2286" s="169"/>
      <c r="AJ2286" s="94">
        <v>1.7</v>
      </c>
      <c r="AK2286" s="94"/>
      <c r="AL2286" s="58"/>
      <c r="AM2286" s="59" t="s">
        <v>2267</v>
      </c>
      <c r="AN2286" s="188" t="s">
        <v>2272</v>
      </c>
      <c r="AO2286" s="185" t="s">
        <v>5150</v>
      </c>
      <c r="AP2286" s="59"/>
      <c r="AQ2286" s="58" t="s">
        <v>1545</v>
      </c>
      <c r="AR2286" s="59" t="s">
        <v>2282</v>
      </c>
      <c r="AS2286" s="58" t="s">
        <v>227</v>
      </c>
      <c r="AT2286" s="182"/>
      <c r="AU2286" s="181" t="s">
        <v>7494</v>
      </c>
      <c r="AV2286" s="185" t="s">
        <v>176</v>
      </c>
      <c r="AW2286" s="58"/>
      <c r="AX2286" s="185" t="s">
        <v>176</v>
      </c>
      <c r="AY2286" s="58"/>
      <c r="AZ2286" s="59"/>
      <c r="BA2286" s="58"/>
      <c r="BB2286" s="58"/>
      <c r="BC2286" s="58"/>
      <c r="BD2286" s="58"/>
      <c r="BE2286" s="240"/>
      <c r="BF2286" s="59"/>
      <c r="BG2286" s="59"/>
      <c r="BH2286" s="236"/>
      <c r="BI2286" s="58"/>
      <c r="BJ2286" s="58"/>
      <c r="BK2286" s="58" t="s">
        <v>5976</v>
      </c>
      <c r="BL2286" s="58"/>
      <c r="BM2286" s="241" t="s">
        <v>160</v>
      </c>
      <c r="BN2286" s="58">
        <v>3</v>
      </c>
      <c r="BO2286" s="58">
        <v>3</v>
      </c>
      <c r="BP2286" s="59"/>
      <c r="BQ2286" s="58" t="s">
        <v>141</v>
      </c>
      <c r="BR2286" s="58"/>
      <c r="BS2286" s="58"/>
      <c r="BT2286" s="58"/>
      <c r="BU2286" s="58" t="s">
        <v>2279</v>
      </c>
      <c r="BV2286" s="58"/>
      <c r="BW2286" s="67"/>
      <c r="BX2286" s="67"/>
      <c r="BY2286" s="67"/>
      <c r="BZ2286" s="67"/>
      <c r="CA2286" s="67"/>
      <c r="CB2286" s="153">
        <v>174</v>
      </c>
      <c r="CC2286" s="68">
        <v>96</v>
      </c>
      <c r="CD2286" s="68"/>
      <c r="CE2286" s="67"/>
      <c r="CF2286" s="67"/>
      <c r="CG2286" s="67" t="s">
        <v>2285</v>
      </c>
      <c r="CH2286" s="94"/>
      <c r="CI2286" s="94"/>
      <c r="CJ2286" s="67"/>
      <c r="CK2286" s="67"/>
      <c r="CL2286" s="67"/>
      <c r="CM2286" s="67"/>
      <c r="CN2286" s="67"/>
      <c r="CO2286" s="67"/>
      <c r="CP2286" s="67"/>
      <c r="CQ2286" s="67"/>
      <c r="CR2286" s="67"/>
      <c r="CS2286" s="67"/>
      <c r="CT2286" s="67"/>
      <c r="CU2286" s="67"/>
      <c r="CV2286" s="67"/>
      <c r="CW2286" s="67"/>
      <c r="CX2286" s="67"/>
      <c r="CY2286" s="67"/>
      <c r="CZ2286" s="67"/>
      <c r="DA2286" s="67"/>
      <c r="DB2286" s="67"/>
      <c r="DC2286" s="67"/>
      <c r="DD2286" s="67"/>
      <c r="DE2286" s="67"/>
      <c r="DF2286" s="67"/>
      <c r="DG2286" s="67"/>
      <c r="DH2286" s="67"/>
      <c r="DI2286" s="67"/>
      <c r="DJ2286" s="67"/>
      <c r="DK2286" s="67"/>
      <c r="DL2286" s="67"/>
      <c r="DM2286" s="67"/>
      <c r="DN2286" s="67"/>
      <c r="DO2286" s="67"/>
      <c r="DP2286" s="67"/>
      <c r="DQ2286" s="166"/>
      <c r="DR2286" s="166"/>
      <c r="DS2286" s="163"/>
      <c r="DT2286" s="163"/>
      <c r="DU2286" s="67"/>
      <c r="DV2286" s="67"/>
      <c r="DW2286" s="67"/>
      <c r="DX2286" s="67"/>
      <c r="DY2286" s="67"/>
      <c r="DZ2286" s="67"/>
      <c r="EA2286" s="67"/>
      <c r="EB2286" s="67"/>
      <c r="EC2286" s="67"/>
      <c r="ED2286" s="67"/>
      <c r="EE2286" s="67"/>
      <c r="EF2286" s="67"/>
      <c r="EG2286" s="67"/>
      <c r="EH2286" s="67"/>
      <c r="EI2286" s="67"/>
      <c r="EJ2286" s="67"/>
      <c r="EK2286" s="94"/>
      <c r="EL2286" s="94"/>
      <c r="EM2286" s="67"/>
      <c r="EN2286" s="67"/>
      <c r="EO2286" s="67"/>
      <c r="EP2286" s="67"/>
      <c r="EQ2286" s="67"/>
      <c r="ER2286" s="67"/>
      <c r="ES2286" s="67"/>
      <c r="ET2286" s="67"/>
      <c r="EU2286" s="67"/>
      <c r="EV2286" s="67"/>
      <c r="EW2286" s="67"/>
      <c r="EX2286" s="67"/>
      <c r="EY2286" s="67"/>
      <c r="EZ2286" s="67"/>
      <c r="FA2286" s="67"/>
      <c r="FB2286" s="67"/>
      <c r="FC2286" s="67"/>
      <c r="FD2286" s="67"/>
      <c r="FE2286" s="67"/>
      <c r="FF2286" s="67"/>
      <c r="FG2286" s="67"/>
      <c r="FH2286" s="67"/>
      <c r="FI2286" s="67"/>
      <c r="FJ2286" s="67"/>
      <c r="FK2286" s="67"/>
      <c r="FL2286" s="67"/>
      <c r="FM2286" s="67"/>
      <c r="FN2286" s="67"/>
      <c r="FO2286" s="67"/>
      <c r="FP2286" s="67"/>
      <c r="FQ2286" s="67"/>
      <c r="FR2286" s="67"/>
      <c r="FS2286" s="67"/>
      <c r="FT2286" s="67"/>
      <c r="FU2286" s="67"/>
      <c r="FV2286" s="67"/>
      <c r="FW2286" s="67"/>
      <c r="FX2286" s="67"/>
      <c r="FY2286" s="67"/>
      <c r="FZ2286" s="67"/>
      <c r="GA2286" s="67"/>
      <c r="GB2286" s="67"/>
      <c r="GC2286" s="67"/>
      <c r="GD2286" s="67"/>
      <c r="GE2286" s="67"/>
      <c r="GF2286" s="67"/>
      <c r="GG2286" s="67"/>
      <c r="GH2286" s="67"/>
      <c r="GI2286" s="67"/>
      <c r="GJ2286" s="67"/>
      <c r="GK2286" s="67"/>
      <c r="GL2286" s="67"/>
      <c r="GM2286" s="67"/>
      <c r="GN2286" s="292"/>
      <c r="GO2286" s="292"/>
      <c r="GP2286" s="292" t="s">
        <v>7494</v>
      </c>
      <c r="GQ2286" s="67"/>
      <c r="GR2286" s="67"/>
      <c r="GS2286" s="67"/>
      <c r="GT2286" s="67"/>
      <c r="GU2286" s="67"/>
      <c r="GV2286" s="67"/>
      <c r="GW2286" s="67"/>
      <c r="GX2286" s="67"/>
      <c r="GY2286" s="67"/>
      <c r="GZ2286" s="67"/>
      <c r="HA2286" s="67"/>
      <c r="HB2286" s="67"/>
      <c r="HC2286" s="67"/>
      <c r="HD2286" s="67"/>
      <c r="HE2286" s="67"/>
      <c r="HF2286" s="67"/>
      <c r="HG2286" s="67"/>
      <c r="HH2286" s="67"/>
      <c r="HI2286" s="67"/>
      <c r="HJ2286" s="67"/>
      <c r="HK2286" s="67"/>
      <c r="HL2286" s="67"/>
      <c r="HM2286" s="67"/>
      <c r="HN2286" s="67"/>
      <c r="HO2286" s="67"/>
      <c r="HP2286" s="67"/>
      <c r="HQ2286" s="67"/>
      <c r="HR2286" s="67"/>
      <c r="HS2286" s="67"/>
      <c r="HT2286" s="67"/>
      <c r="HU2286" s="67"/>
      <c r="HV2286" s="67"/>
      <c r="HW2286" s="67"/>
      <c r="HX2286" s="67"/>
      <c r="HY2286" s="67"/>
      <c r="HZ2286" s="67"/>
      <c r="IA2286" s="67"/>
      <c r="IB2286" s="67"/>
      <c r="IC2286" s="67"/>
      <c r="ID2286" s="67"/>
      <c r="IE2286" s="67"/>
      <c r="IF2286" s="67"/>
      <c r="IG2286" s="67"/>
      <c r="IH2286" s="67"/>
      <c r="II2286" s="67"/>
      <c r="IJ2286" s="67"/>
      <c r="IK2286" s="67"/>
      <c r="IL2286" s="67"/>
      <c r="IM2286" s="67"/>
      <c r="IN2286" s="67"/>
      <c r="IO2286" s="67"/>
      <c r="IP2286" s="67"/>
      <c r="IQ2286" s="67"/>
      <c r="IR2286" s="67"/>
      <c r="IS2286" s="67"/>
      <c r="IT2286" s="67"/>
      <c r="IU2286" s="67"/>
      <c r="IV2286" s="67"/>
      <c r="IW2286" s="67"/>
      <c r="IX2286" s="67"/>
      <c r="IY2286" s="67"/>
      <c r="IZ2286" s="67"/>
      <c r="JA2286" s="67"/>
      <c r="JB2286" s="67"/>
      <c r="JC2286" s="67"/>
      <c r="JD2286" s="67"/>
      <c r="JE2286" s="67"/>
      <c r="JF2286" s="67"/>
      <c r="JG2286" s="67"/>
      <c r="JH2286" s="67"/>
      <c r="JI2286" s="67"/>
      <c r="JJ2286" s="67"/>
      <c r="JK2286" s="67"/>
      <c r="JL2286" s="67"/>
      <c r="JM2286" s="67"/>
      <c r="JN2286" s="67"/>
      <c r="JO2286" s="67"/>
      <c r="JP2286" s="67"/>
      <c r="JQ2286" s="67"/>
      <c r="JR2286" s="67"/>
      <c r="JS2286" s="67"/>
      <c r="JT2286" s="67"/>
      <c r="JU2286" s="58"/>
      <c r="JV2286" s="58"/>
      <c r="JW2286" s="58"/>
    </row>
    <row r="2287" spans="1:283" s="23" customFormat="1" x14ac:dyDescent="0.25">
      <c r="A2287" s="55">
        <v>2286</v>
      </c>
      <c r="B2287" s="12" t="s">
        <v>7067</v>
      </c>
      <c r="C2287" s="156">
        <v>110</v>
      </c>
      <c r="D2287" s="58" t="s">
        <v>4197</v>
      </c>
      <c r="E2287" s="93" t="s">
        <v>2174</v>
      </c>
      <c r="F2287" s="93"/>
      <c r="G2287" s="58" t="s">
        <v>2264</v>
      </c>
      <c r="H2287" s="59">
        <v>1982</v>
      </c>
      <c r="I2287" s="58">
        <v>1977</v>
      </c>
      <c r="J2287" s="59" t="s">
        <v>1709</v>
      </c>
      <c r="K2287" s="59" t="s">
        <v>2265</v>
      </c>
      <c r="L2287" s="59" t="s">
        <v>2744</v>
      </c>
      <c r="M2287" s="94">
        <v>7.38</v>
      </c>
      <c r="N2287" s="94">
        <v>3.95</v>
      </c>
      <c r="O2287" s="93">
        <v>229.3</v>
      </c>
      <c r="P2287" s="59"/>
      <c r="Q2287" s="58"/>
      <c r="R2287" s="59"/>
      <c r="S2287" s="94"/>
      <c r="T2287" s="58"/>
      <c r="U2287" s="58">
        <v>3</v>
      </c>
      <c r="V2287" s="59">
        <v>4</v>
      </c>
      <c r="W2287" s="174"/>
      <c r="X2287" s="174"/>
      <c r="Y2287" s="58" t="s">
        <v>2266</v>
      </c>
      <c r="Z2287" s="58" t="s">
        <v>1355</v>
      </c>
      <c r="AA2287" s="94">
        <v>10</v>
      </c>
      <c r="AB2287" s="67"/>
      <c r="AC2287" s="67"/>
      <c r="AD2287" s="94">
        <v>1.31</v>
      </c>
      <c r="AE2287" s="93">
        <v>69.3</v>
      </c>
      <c r="AF2287" s="93">
        <v>9.5</v>
      </c>
      <c r="AG2287" s="93"/>
      <c r="AH2287" s="58" t="s">
        <v>238</v>
      </c>
      <c r="AI2287" s="169"/>
      <c r="AJ2287" s="94">
        <v>1.7</v>
      </c>
      <c r="AK2287" s="94"/>
      <c r="AL2287" s="58"/>
      <c r="AM2287" s="59" t="s">
        <v>2267</v>
      </c>
      <c r="AN2287" s="188" t="s">
        <v>2273</v>
      </c>
      <c r="AO2287" s="185" t="s">
        <v>5150</v>
      </c>
      <c r="AP2287" s="59"/>
      <c r="AQ2287" s="58" t="s">
        <v>1545</v>
      </c>
      <c r="AR2287" s="59" t="s">
        <v>2282</v>
      </c>
      <c r="AS2287" s="58" t="s">
        <v>227</v>
      </c>
      <c r="AT2287" s="182"/>
      <c r="AU2287" s="181" t="s">
        <v>7494</v>
      </c>
      <c r="AV2287" s="185" t="s">
        <v>176</v>
      </c>
      <c r="AW2287" s="58"/>
      <c r="AX2287" s="185" t="s">
        <v>176</v>
      </c>
      <c r="AY2287" s="58"/>
      <c r="AZ2287" s="59"/>
      <c r="BA2287" s="58"/>
      <c r="BB2287" s="58"/>
      <c r="BC2287" s="58"/>
      <c r="BD2287" s="58"/>
      <c r="BE2287" s="240"/>
      <c r="BF2287" s="59"/>
      <c r="BG2287" s="59"/>
      <c r="BH2287" s="236"/>
      <c r="BI2287" s="58"/>
      <c r="BJ2287" s="58"/>
      <c r="BK2287" s="58" t="s">
        <v>5976</v>
      </c>
      <c r="BL2287" s="58"/>
      <c r="BM2287" s="241" t="s">
        <v>160</v>
      </c>
      <c r="BN2287" s="58">
        <v>3</v>
      </c>
      <c r="BO2287" s="58">
        <v>3</v>
      </c>
      <c r="BP2287" s="59"/>
      <c r="BQ2287" s="58" t="s">
        <v>141</v>
      </c>
      <c r="BR2287" s="58"/>
      <c r="BS2287" s="58"/>
      <c r="BT2287" s="58"/>
      <c r="BU2287" s="58" t="s">
        <v>2279</v>
      </c>
      <c r="BV2287" s="58"/>
      <c r="BW2287" s="67"/>
      <c r="BX2287" s="67"/>
      <c r="BY2287" s="67"/>
      <c r="BZ2287" s="67"/>
      <c r="CA2287" s="67"/>
      <c r="CB2287" s="153"/>
      <c r="CC2287" s="68"/>
      <c r="CD2287" s="68"/>
      <c r="CE2287" s="67"/>
      <c r="CF2287" s="67"/>
      <c r="CG2287" s="67" t="s">
        <v>2285</v>
      </c>
      <c r="CH2287" s="94"/>
      <c r="CI2287" s="94"/>
      <c r="CJ2287" s="67"/>
      <c r="CK2287" s="67"/>
      <c r="CL2287" s="67"/>
      <c r="CM2287" s="67"/>
      <c r="CN2287" s="67"/>
      <c r="CO2287" s="67"/>
      <c r="CP2287" s="67"/>
      <c r="CQ2287" s="67"/>
      <c r="CR2287" s="67"/>
      <c r="CS2287" s="67"/>
      <c r="CT2287" s="67"/>
      <c r="CU2287" s="67"/>
      <c r="CV2287" s="67"/>
      <c r="CW2287" s="67"/>
      <c r="CX2287" s="67"/>
      <c r="CY2287" s="67"/>
      <c r="CZ2287" s="67"/>
      <c r="DA2287" s="67"/>
      <c r="DB2287" s="67"/>
      <c r="DC2287" s="67"/>
      <c r="DD2287" s="67"/>
      <c r="DE2287" s="67"/>
      <c r="DF2287" s="67"/>
      <c r="DG2287" s="67"/>
      <c r="DH2287" s="67"/>
      <c r="DI2287" s="67"/>
      <c r="DJ2287" s="67"/>
      <c r="DK2287" s="67"/>
      <c r="DL2287" s="67"/>
      <c r="DM2287" s="67"/>
      <c r="DN2287" s="67"/>
      <c r="DO2287" s="67"/>
      <c r="DP2287" s="67"/>
      <c r="DQ2287" s="166"/>
      <c r="DR2287" s="166"/>
      <c r="DS2287" s="163"/>
      <c r="DT2287" s="163"/>
      <c r="DU2287" s="67"/>
      <c r="DV2287" s="67"/>
      <c r="DW2287" s="67"/>
      <c r="DX2287" s="67"/>
      <c r="DY2287" s="67"/>
      <c r="DZ2287" s="67"/>
      <c r="EA2287" s="67"/>
      <c r="EB2287" s="67"/>
      <c r="EC2287" s="67"/>
      <c r="ED2287" s="67"/>
      <c r="EE2287" s="67"/>
      <c r="EF2287" s="67"/>
      <c r="EG2287" s="67"/>
      <c r="EH2287" s="67"/>
      <c r="EI2287" s="67"/>
      <c r="EJ2287" s="67"/>
      <c r="EK2287" s="94"/>
      <c r="EL2287" s="94"/>
      <c r="EM2287" s="67"/>
      <c r="EN2287" s="67"/>
      <c r="EO2287" s="67"/>
      <c r="EP2287" s="67"/>
      <c r="EQ2287" s="67"/>
      <c r="ER2287" s="67"/>
      <c r="ES2287" s="67"/>
      <c r="ET2287" s="67"/>
      <c r="EU2287" s="67"/>
      <c r="EV2287" s="67"/>
      <c r="EW2287" s="67"/>
      <c r="EX2287" s="67"/>
      <c r="EY2287" s="67"/>
      <c r="EZ2287" s="67"/>
      <c r="FA2287" s="67"/>
      <c r="FB2287" s="67"/>
      <c r="FC2287" s="67"/>
      <c r="FD2287" s="67"/>
      <c r="FE2287" s="67"/>
      <c r="FF2287" s="67"/>
      <c r="FG2287" s="67"/>
      <c r="FH2287" s="67"/>
      <c r="FI2287" s="67"/>
      <c r="FJ2287" s="67"/>
      <c r="FK2287" s="67"/>
      <c r="FL2287" s="67"/>
      <c r="FM2287" s="67"/>
      <c r="FN2287" s="67"/>
      <c r="FO2287" s="67"/>
      <c r="FP2287" s="67"/>
      <c r="FQ2287" s="67"/>
      <c r="FR2287" s="67"/>
      <c r="FS2287" s="67"/>
      <c r="FT2287" s="67"/>
      <c r="FU2287" s="67"/>
      <c r="FV2287" s="67"/>
      <c r="FW2287" s="67"/>
      <c r="FX2287" s="67"/>
      <c r="FY2287" s="67"/>
      <c r="FZ2287" s="67"/>
      <c r="GA2287" s="67"/>
      <c r="GB2287" s="67"/>
      <c r="GC2287" s="67"/>
      <c r="GD2287" s="67"/>
      <c r="GE2287" s="67"/>
      <c r="GF2287" s="67"/>
      <c r="GG2287" s="67"/>
      <c r="GH2287" s="67"/>
      <c r="GI2287" s="67"/>
      <c r="GJ2287" s="67"/>
      <c r="GK2287" s="67"/>
      <c r="GL2287" s="67"/>
      <c r="GM2287" s="67"/>
      <c r="GN2287" s="292"/>
      <c r="GO2287" s="292"/>
      <c r="GP2287" s="292" t="s">
        <v>7494</v>
      </c>
      <c r="GQ2287" s="67"/>
      <c r="GR2287" s="67"/>
      <c r="GS2287" s="67"/>
      <c r="GT2287" s="67"/>
      <c r="GU2287" s="67"/>
      <c r="GV2287" s="67"/>
      <c r="GW2287" s="67"/>
      <c r="GX2287" s="67"/>
      <c r="GY2287" s="67"/>
      <c r="GZ2287" s="67"/>
      <c r="HA2287" s="67"/>
      <c r="HB2287" s="67"/>
      <c r="HC2287" s="67"/>
      <c r="HD2287" s="67"/>
      <c r="HE2287" s="67"/>
      <c r="HF2287" s="67"/>
      <c r="HG2287" s="67"/>
      <c r="HH2287" s="67"/>
      <c r="HI2287" s="67"/>
      <c r="HJ2287" s="67"/>
      <c r="HK2287" s="67"/>
      <c r="HL2287" s="67"/>
      <c r="HM2287" s="67"/>
      <c r="HN2287" s="67"/>
      <c r="HO2287" s="67"/>
      <c r="HP2287" s="67"/>
      <c r="HQ2287" s="67"/>
      <c r="HR2287" s="67"/>
      <c r="HS2287" s="67"/>
      <c r="HT2287" s="67"/>
      <c r="HU2287" s="67"/>
      <c r="HV2287" s="67"/>
      <c r="HW2287" s="67"/>
      <c r="HX2287" s="67"/>
      <c r="HY2287" s="67"/>
      <c r="HZ2287" s="67"/>
      <c r="IA2287" s="67"/>
      <c r="IB2287" s="67"/>
      <c r="IC2287" s="67"/>
      <c r="ID2287" s="67"/>
      <c r="IE2287" s="67"/>
      <c r="IF2287" s="67"/>
      <c r="IG2287" s="67"/>
      <c r="IH2287" s="67"/>
      <c r="II2287" s="67"/>
      <c r="IJ2287" s="67"/>
      <c r="IK2287" s="67"/>
      <c r="IL2287" s="67"/>
      <c r="IM2287" s="67"/>
      <c r="IN2287" s="67"/>
      <c r="IO2287" s="67"/>
      <c r="IP2287" s="67"/>
      <c r="IQ2287" s="67"/>
      <c r="IR2287" s="67"/>
      <c r="IS2287" s="67"/>
      <c r="IT2287" s="67"/>
      <c r="IU2287" s="67"/>
      <c r="IV2287" s="67"/>
      <c r="IW2287" s="67"/>
      <c r="IX2287" s="67"/>
      <c r="IY2287" s="67"/>
      <c r="IZ2287" s="67"/>
      <c r="JA2287" s="67"/>
      <c r="JB2287" s="67"/>
      <c r="JC2287" s="67"/>
      <c r="JD2287" s="67"/>
      <c r="JE2287" s="67"/>
      <c r="JF2287" s="67"/>
      <c r="JG2287" s="67"/>
      <c r="JH2287" s="67"/>
      <c r="JI2287" s="67"/>
      <c r="JJ2287" s="67"/>
      <c r="JK2287" s="67"/>
      <c r="JL2287" s="67"/>
      <c r="JM2287" s="67"/>
      <c r="JN2287" s="67"/>
      <c r="JO2287" s="67"/>
      <c r="JP2287" s="67"/>
      <c r="JQ2287" s="67"/>
      <c r="JR2287" s="67"/>
      <c r="JS2287" s="67"/>
      <c r="JT2287" s="67"/>
      <c r="JU2287" s="58"/>
      <c r="JV2287" s="58"/>
      <c r="JW2287" s="58"/>
    </row>
    <row r="2288" spans="1:283" s="23" customFormat="1" x14ac:dyDescent="0.25">
      <c r="A2288" s="55">
        <v>2287</v>
      </c>
      <c r="B2288" s="12" t="s">
        <v>7067</v>
      </c>
      <c r="C2288" s="156">
        <v>110</v>
      </c>
      <c r="D2288" s="58" t="s">
        <v>4198</v>
      </c>
      <c r="E2288" s="93" t="s">
        <v>2174</v>
      </c>
      <c r="F2288" s="93"/>
      <c r="G2288" s="58" t="s">
        <v>2264</v>
      </c>
      <c r="H2288" s="59">
        <v>1982</v>
      </c>
      <c r="I2288" s="58">
        <v>1977</v>
      </c>
      <c r="J2288" s="59" t="s">
        <v>1709</v>
      </c>
      <c r="K2288" s="59" t="s">
        <v>2265</v>
      </c>
      <c r="L2288" s="59" t="s">
        <v>2744</v>
      </c>
      <c r="M2288" s="94">
        <v>7.38</v>
      </c>
      <c r="N2288" s="94">
        <v>3.95</v>
      </c>
      <c r="O2288" s="93">
        <v>229.3</v>
      </c>
      <c r="P2288" s="59"/>
      <c r="Q2288" s="58"/>
      <c r="R2288" s="59"/>
      <c r="S2288" s="94"/>
      <c r="T2288" s="58"/>
      <c r="U2288" s="58">
        <v>3</v>
      </c>
      <c r="V2288" s="59">
        <v>4</v>
      </c>
      <c r="W2288" s="174"/>
      <c r="X2288" s="174"/>
      <c r="Y2288" s="58" t="s">
        <v>2266</v>
      </c>
      <c r="Z2288" s="58" t="s">
        <v>1355</v>
      </c>
      <c r="AA2288" s="94">
        <v>10</v>
      </c>
      <c r="AB2288" s="67"/>
      <c r="AC2288" s="67"/>
      <c r="AD2288" s="94">
        <v>1.31</v>
      </c>
      <c r="AE2288" s="93">
        <v>69.3</v>
      </c>
      <c r="AF2288" s="93">
        <v>9.5</v>
      </c>
      <c r="AG2288" s="93"/>
      <c r="AH2288" s="58" t="s">
        <v>238</v>
      </c>
      <c r="AI2288" s="169"/>
      <c r="AJ2288" s="94">
        <v>1.7</v>
      </c>
      <c r="AK2288" s="94"/>
      <c r="AL2288" s="58"/>
      <c r="AM2288" s="59" t="s">
        <v>2267</v>
      </c>
      <c r="AN2288" s="188" t="s">
        <v>2274</v>
      </c>
      <c r="AO2288" s="185" t="s">
        <v>5150</v>
      </c>
      <c r="AP2288" s="59"/>
      <c r="AQ2288" s="58" t="s">
        <v>553</v>
      </c>
      <c r="AR2288" s="59" t="s">
        <v>2282</v>
      </c>
      <c r="AS2288" s="58" t="s">
        <v>227</v>
      </c>
      <c r="AT2288" s="182"/>
      <c r="AU2288" s="181" t="s">
        <v>7494</v>
      </c>
      <c r="AV2288" s="185" t="s">
        <v>176</v>
      </c>
      <c r="AW2288" s="58"/>
      <c r="AX2288" s="185" t="s">
        <v>176</v>
      </c>
      <c r="AY2288" s="58"/>
      <c r="AZ2288" s="59"/>
      <c r="BA2288" s="58"/>
      <c r="BB2288" s="58"/>
      <c r="BC2288" s="58"/>
      <c r="BD2288" s="58"/>
      <c r="BE2288" s="240"/>
      <c r="BF2288" s="59"/>
      <c r="BG2288" s="59"/>
      <c r="BH2288" s="236"/>
      <c r="BI2288" s="58"/>
      <c r="BJ2288" s="58"/>
      <c r="BK2288" s="58" t="s">
        <v>5976</v>
      </c>
      <c r="BL2288" s="58"/>
      <c r="BM2288" s="241" t="s">
        <v>160</v>
      </c>
      <c r="BN2288" s="58">
        <v>3</v>
      </c>
      <c r="BO2288" s="58">
        <v>3</v>
      </c>
      <c r="BP2288" s="59"/>
      <c r="BQ2288" s="58" t="s">
        <v>141</v>
      </c>
      <c r="BR2288" s="58"/>
      <c r="BS2288" s="58"/>
      <c r="BT2288" s="58"/>
      <c r="BU2288" s="58" t="s">
        <v>2279</v>
      </c>
      <c r="BV2288" s="58"/>
      <c r="BW2288" s="67"/>
      <c r="BX2288" s="67"/>
      <c r="BY2288" s="67"/>
      <c r="BZ2288" s="67"/>
      <c r="CA2288" s="67"/>
      <c r="CB2288" s="153">
        <v>174</v>
      </c>
      <c r="CC2288" s="68">
        <v>359</v>
      </c>
      <c r="CD2288" s="68"/>
      <c r="CE2288" s="67"/>
      <c r="CF2288" s="67"/>
      <c r="CG2288" s="67" t="s">
        <v>2285</v>
      </c>
      <c r="CH2288" s="94"/>
      <c r="CI2288" s="94"/>
      <c r="CJ2288" s="67"/>
      <c r="CK2288" s="67"/>
      <c r="CL2288" s="67"/>
      <c r="CM2288" s="67"/>
      <c r="CN2288" s="67"/>
      <c r="CO2288" s="67"/>
      <c r="CP2288" s="67"/>
      <c r="CQ2288" s="67"/>
      <c r="CR2288" s="67"/>
      <c r="CS2288" s="67"/>
      <c r="CT2288" s="67"/>
      <c r="CU2288" s="67"/>
      <c r="CV2288" s="67"/>
      <c r="CW2288" s="67"/>
      <c r="CX2288" s="67"/>
      <c r="CY2288" s="67"/>
      <c r="CZ2288" s="67"/>
      <c r="DA2288" s="67"/>
      <c r="DB2288" s="67"/>
      <c r="DC2288" s="67"/>
      <c r="DD2288" s="67"/>
      <c r="DE2288" s="67"/>
      <c r="DF2288" s="67"/>
      <c r="DG2288" s="67"/>
      <c r="DH2288" s="67"/>
      <c r="DI2288" s="67"/>
      <c r="DJ2288" s="67"/>
      <c r="DK2288" s="67"/>
      <c r="DL2288" s="67"/>
      <c r="DM2288" s="67"/>
      <c r="DN2288" s="67"/>
      <c r="DO2288" s="67"/>
      <c r="DP2288" s="67"/>
      <c r="DQ2288" s="166"/>
      <c r="DR2288" s="166"/>
      <c r="DS2288" s="163"/>
      <c r="DT2288" s="163"/>
      <c r="DU2288" s="67"/>
      <c r="DV2288" s="67"/>
      <c r="DW2288" s="67"/>
      <c r="DX2288" s="67"/>
      <c r="DY2288" s="67"/>
      <c r="DZ2288" s="67"/>
      <c r="EA2288" s="67"/>
      <c r="EB2288" s="67"/>
      <c r="EC2288" s="67"/>
      <c r="ED2288" s="67"/>
      <c r="EE2288" s="67"/>
      <c r="EF2288" s="67"/>
      <c r="EG2288" s="67"/>
      <c r="EH2288" s="67"/>
      <c r="EI2288" s="67"/>
      <c r="EJ2288" s="67"/>
      <c r="EK2288" s="94"/>
      <c r="EL2288" s="94"/>
      <c r="EM2288" s="67"/>
      <c r="EN2288" s="67"/>
      <c r="EO2288" s="67"/>
      <c r="EP2288" s="67"/>
      <c r="EQ2288" s="67"/>
      <c r="ER2288" s="67"/>
      <c r="ES2288" s="67"/>
      <c r="ET2288" s="67"/>
      <c r="EU2288" s="67"/>
      <c r="EV2288" s="67"/>
      <c r="EW2288" s="67"/>
      <c r="EX2288" s="67"/>
      <c r="EY2288" s="67"/>
      <c r="EZ2288" s="67"/>
      <c r="FA2288" s="67"/>
      <c r="FB2288" s="67"/>
      <c r="FC2288" s="67"/>
      <c r="FD2288" s="67"/>
      <c r="FE2288" s="67"/>
      <c r="FF2288" s="67"/>
      <c r="FG2288" s="67"/>
      <c r="FH2288" s="67"/>
      <c r="FI2288" s="67"/>
      <c r="FJ2288" s="67"/>
      <c r="FK2288" s="67"/>
      <c r="FL2288" s="67"/>
      <c r="FM2288" s="67"/>
      <c r="FN2288" s="67"/>
      <c r="FO2288" s="67"/>
      <c r="FP2288" s="67"/>
      <c r="FQ2288" s="67"/>
      <c r="FR2288" s="67"/>
      <c r="FS2288" s="67"/>
      <c r="FT2288" s="67"/>
      <c r="FU2288" s="67"/>
      <c r="FV2288" s="67"/>
      <c r="FW2288" s="67"/>
      <c r="FX2288" s="67"/>
      <c r="FY2288" s="67"/>
      <c r="FZ2288" s="67"/>
      <c r="GA2288" s="67"/>
      <c r="GB2288" s="67"/>
      <c r="GC2288" s="67"/>
      <c r="GD2288" s="67"/>
      <c r="GE2288" s="67"/>
      <c r="GF2288" s="67"/>
      <c r="GG2288" s="67"/>
      <c r="GH2288" s="67"/>
      <c r="GI2288" s="67"/>
      <c r="GJ2288" s="67"/>
      <c r="GK2288" s="67"/>
      <c r="GL2288" s="67"/>
      <c r="GM2288" s="67"/>
      <c r="GN2288" s="292"/>
      <c r="GO2288" s="292"/>
      <c r="GP2288" s="292" t="s">
        <v>7494</v>
      </c>
      <c r="GQ2288" s="67"/>
      <c r="GR2288" s="67"/>
      <c r="GS2288" s="67"/>
      <c r="GT2288" s="67"/>
      <c r="GU2288" s="67"/>
      <c r="GV2288" s="67"/>
      <c r="GW2288" s="67"/>
      <c r="GX2288" s="67"/>
      <c r="GY2288" s="67"/>
      <c r="GZ2288" s="67"/>
      <c r="HA2288" s="67"/>
      <c r="HB2288" s="67"/>
      <c r="HC2288" s="67"/>
      <c r="HD2288" s="67"/>
      <c r="HE2288" s="67"/>
      <c r="HF2288" s="67"/>
      <c r="HG2288" s="67"/>
      <c r="HH2288" s="67"/>
      <c r="HI2288" s="67"/>
      <c r="HJ2288" s="67"/>
      <c r="HK2288" s="67"/>
      <c r="HL2288" s="67"/>
      <c r="HM2288" s="67"/>
      <c r="HN2288" s="67"/>
      <c r="HO2288" s="67"/>
      <c r="HP2288" s="67"/>
      <c r="HQ2288" s="67"/>
      <c r="HR2288" s="67"/>
      <c r="HS2288" s="67"/>
      <c r="HT2288" s="67"/>
      <c r="HU2288" s="67"/>
      <c r="HV2288" s="67"/>
      <c r="HW2288" s="67"/>
      <c r="HX2288" s="67"/>
      <c r="HY2288" s="67"/>
      <c r="HZ2288" s="67"/>
      <c r="IA2288" s="67"/>
      <c r="IB2288" s="67"/>
      <c r="IC2288" s="67"/>
      <c r="ID2288" s="67"/>
      <c r="IE2288" s="67"/>
      <c r="IF2288" s="67"/>
      <c r="IG2288" s="67"/>
      <c r="IH2288" s="67"/>
      <c r="II2288" s="67"/>
      <c r="IJ2288" s="67"/>
      <c r="IK2288" s="67"/>
      <c r="IL2288" s="67"/>
      <c r="IM2288" s="67"/>
      <c r="IN2288" s="67"/>
      <c r="IO2288" s="67"/>
      <c r="IP2288" s="67"/>
      <c r="IQ2288" s="67"/>
      <c r="IR2288" s="67"/>
      <c r="IS2288" s="67"/>
      <c r="IT2288" s="67"/>
      <c r="IU2288" s="67"/>
      <c r="IV2288" s="67"/>
      <c r="IW2288" s="67"/>
      <c r="IX2288" s="67"/>
      <c r="IY2288" s="67"/>
      <c r="IZ2288" s="67"/>
      <c r="JA2288" s="67"/>
      <c r="JB2288" s="67"/>
      <c r="JC2288" s="67"/>
      <c r="JD2288" s="67"/>
      <c r="JE2288" s="67"/>
      <c r="JF2288" s="67"/>
      <c r="JG2288" s="67"/>
      <c r="JH2288" s="67"/>
      <c r="JI2288" s="67"/>
      <c r="JJ2288" s="67"/>
      <c r="JK2288" s="67"/>
      <c r="JL2288" s="67"/>
      <c r="JM2288" s="67"/>
      <c r="JN2288" s="67"/>
      <c r="JO2288" s="67"/>
      <c r="JP2288" s="67"/>
      <c r="JQ2288" s="67"/>
      <c r="JR2288" s="67"/>
      <c r="JS2288" s="67"/>
      <c r="JT2288" s="67"/>
      <c r="JU2288" s="58"/>
      <c r="JV2288" s="58"/>
      <c r="JW2288" s="58"/>
    </row>
    <row r="2289" spans="1:283" s="23" customFormat="1" x14ac:dyDescent="0.25">
      <c r="A2289" s="55">
        <v>2288</v>
      </c>
      <c r="B2289" s="12" t="s">
        <v>7067</v>
      </c>
      <c r="C2289" s="156">
        <v>110</v>
      </c>
      <c r="D2289" s="58" t="s">
        <v>4198</v>
      </c>
      <c r="E2289" s="93" t="s">
        <v>2174</v>
      </c>
      <c r="F2289" s="93"/>
      <c r="G2289" s="58" t="s">
        <v>2264</v>
      </c>
      <c r="H2289" s="59">
        <v>1982</v>
      </c>
      <c r="I2289" s="58">
        <v>1977</v>
      </c>
      <c r="J2289" s="59" t="s">
        <v>1709</v>
      </c>
      <c r="K2289" s="59" t="s">
        <v>2265</v>
      </c>
      <c r="L2289" s="59" t="s">
        <v>2744</v>
      </c>
      <c r="M2289" s="94">
        <v>7.38</v>
      </c>
      <c r="N2289" s="94">
        <v>3.95</v>
      </c>
      <c r="O2289" s="93">
        <v>229.3</v>
      </c>
      <c r="P2289" s="59"/>
      <c r="Q2289" s="58"/>
      <c r="R2289" s="59"/>
      <c r="S2289" s="94"/>
      <c r="T2289" s="58"/>
      <c r="U2289" s="58">
        <v>3</v>
      </c>
      <c r="V2289" s="59">
        <v>4</v>
      </c>
      <c r="W2289" s="174"/>
      <c r="X2289" s="174"/>
      <c r="Y2289" s="58" t="s">
        <v>2266</v>
      </c>
      <c r="Z2289" s="58" t="s">
        <v>1355</v>
      </c>
      <c r="AA2289" s="94">
        <v>10</v>
      </c>
      <c r="AB2289" s="67"/>
      <c r="AC2289" s="67"/>
      <c r="AD2289" s="94">
        <v>1.31</v>
      </c>
      <c r="AE2289" s="93">
        <v>69.3</v>
      </c>
      <c r="AF2289" s="93">
        <v>9.5</v>
      </c>
      <c r="AG2289" s="93"/>
      <c r="AH2289" s="58" t="s">
        <v>238</v>
      </c>
      <c r="AI2289" s="169"/>
      <c r="AJ2289" s="94">
        <v>1.7</v>
      </c>
      <c r="AK2289" s="94"/>
      <c r="AL2289" s="58"/>
      <c r="AM2289" s="59" t="s">
        <v>2267</v>
      </c>
      <c r="AN2289" s="188" t="s">
        <v>2275</v>
      </c>
      <c r="AO2289" s="185" t="s">
        <v>5150</v>
      </c>
      <c r="AP2289" s="59"/>
      <c r="AQ2289" s="58" t="s">
        <v>553</v>
      </c>
      <c r="AR2289" s="59" t="s">
        <v>2282</v>
      </c>
      <c r="AS2289" s="58" t="s">
        <v>227</v>
      </c>
      <c r="AT2289" s="182"/>
      <c r="AU2289" s="181" t="s">
        <v>7494</v>
      </c>
      <c r="AV2289" s="185" t="s">
        <v>176</v>
      </c>
      <c r="AW2289" s="58"/>
      <c r="AX2289" s="185" t="s">
        <v>176</v>
      </c>
      <c r="AY2289" s="58"/>
      <c r="AZ2289" s="59"/>
      <c r="BA2289" s="58"/>
      <c r="BB2289" s="58"/>
      <c r="BC2289" s="58"/>
      <c r="BD2289" s="58"/>
      <c r="BE2289" s="240"/>
      <c r="BF2289" s="59"/>
      <c r="BG2289" s="59"/>
      <c r="BH2289" s="236"/>
      <c r="BI2289" s="58"/>
      <c r="BJ2289" s="58"/>
      <c r="BK2289" s="58" t="s">
        <v>5976</v>
      </c>
      <c r="BL2289" s="58"/>
      <c r="BM2289" s="241" t="s">
        <v>160</v>
      </c>
      <c r="BN2289" s="58">
        <v>3</v>
      </c>
      <c r="BO2289" s="58">
        <v>3</v>
      </c>
      <c r="BP2289" s="59"/>
      <c r="BQ2289" s="58" t="s">
        <v>141</v>
      </c>
      <c r="BR2289" s="58"/>
      <c r="BS2289" s="58"/>
      <c r="BT2289" s="58"/>
      <c r="BU2289" s="58" t="s">
        <v>2279</v>
      </c>
      <c r="BV2289" s="58"/>
      <c r="BW2289" s="67"/>
      <c r="BX2289" s="67"/>
      <c r="BY2289" s="67"/>
      <c r="BZ2289" s="67"/>
      <c r="CA2289" s="67"/>
      <c r="CB2289" s="153">
        <v>174</v>
      </c>
      <c r="CC2289" s="68">
        <v>629</v>
      </c>
      <c r="CD2289" s="68"/>
      <c r="CE2289" s="67"/>
      <c r="CF2289" s="67"/>
      <c r="CG2289" s="67" t="s">
        <v>2285</v>
      </c>
      <c r="CH2289" s="94"/>
      <c r="CI2289" s="94"/>
      <c r="CJ2289" s="67"/>
      <c r="CK2289" s="67"/>
      <c r="CL2289" s="67"/>
      <c r="CM2289" s="67"/>
      <c r="CN2289" s="67"/>
      <c r="CO2289" s="67"/>
      <c r="CP2289" s="67"/>
      <c r="CQ2289" s="67"/>
      <c r="CR2289" s="67"/>
      <c r="CS2289" s="67"/>
      <c r="CT2289" s="67"/>
      <c r="CU2289" s="67"/>
      <c r="CV2289" s="67"/>
      <c r="CW2289" s="67"/>
      <c r="CX2289" s="67"/>
      <c r="CY2289" s="67"/>
      <c r="CZ2289" s="67"/>
      <c r="DA2289" s="67"/>
      <c r="DB2289" s="67"/>
      <c r="DC2289" s="67"/>
      <c r="DD2289" s="67"/>
      <c r="DE2289" s="67"/>
      <c r="DF2289" s="67"/>
      <c r="DG2289" s="67"/>
      <c r="DH2289" s="67"/>
      <c r="DI2289" s="67"/>
      <c r="DJ2289" s="67"/>
      <c r="DK2289" s="67"/>
      <c r="DL2289" s="67"/>
      <c r="DM2289" s="67"/>
      <c r="DN2289" s="67"/>
      <c r="DO2289" s="67"/>
      <c r="DP2289" s="67"/>
      <c r="DQ2289" s="166"/>
      <c r="DR2289" s="166"/>
      <c r="DS2289" s="163"/>
      <c r="DT2289" s="163"/>
      <c r="DU2289" s="67"/>
      <c r="DV2289" s="67"/>
      <c r="DW2289" s="67"/>
      <c r="DX2289" s="67"/>
      <c r="DY2289" s="67"/>
      <c r="DZ2289" s="67"/>
      <c r="EA2289" s="67"/>
      <c r="EB2289" s="67"/>
      <c r="EC2289" s="67"/>
      <c r="ED2289" s="67"/>
      <c r="EE2289" s="67"/>
      <c r="EF2289" s="67"/>
      <c r="EG2289" s="67"/>
      <c r="EH2289" s="67"/>
      <c r="EI2289" s="67"/>
      <c r="EJ2289" s="67"/>
      <c r="EK2289" s="94"/>
      <c r="EL2289" s="94"/>
      <c r="EM2289" s="67"/>
      <c r="EN2289" s="67"/>
      <c r="EO2289" s="67"/>
      <c r="EP2289" s="67"/>
      <c r="EQ2289" s="67"/>
      <c r="ER2289" s="67"/>
      <c r="ES2289" s="67"/>
      <c r="ET2289" s="67"/>
      <c r="EU2289" s="67"/>
      <c r="EV2289" s="67"/>
      <c r="EW2289" s="67"/>
      <c r="EX2289" s="67"/>
      <c r="EY2289" s="67"/>
      <c r="EZ2289" s="67"/>
      <c r="FA2289" s="67"/>
      <c r="FB2289" s="67"/>
      <c r="FC2289" s="67"/>
      <c r="FD2289" s="67"/>
      <c r="FE2289" s="67"/>
      <c r="FF2289" s="67"/>
      <c r="FG2289" s="67"/>
      <c r="FH2289" s="67"/>
      <c r="FI2289" s="67"/>
      <c r="FJ2289" s="67"/>
      <c r="FK2289" s="67"/>
      <c r="FL2289" s="67"/>
      <c r="FM2289" s="67"/>
      <c r="FN2289" s="67"/>
      <c r="FO2289" s="67"/>
      <c r="FP2289" s="67"/>
      <c r="FQ2289" s="67"/>
      <c r="FR2289" s="67"/>
      <c r="FS2289" s="67"/>
      <c r="FT2289" s="67"/>
      <c r="FU2289" s="67"/>
      <c r="FV2289" s="67"/>
      <c r="FW2289" s="67"/>
      <c r="FX2289" s="67"/>
      <c r="FY2289" s="67"/>
      <c r="FZ2289" s="67"/>
      <c r="GA2289" s="67"/>
      <c r="GB2289" s="67"/>
      <c r="GC2289" s="67"/>
      <c r="GD2289" s="67"/>
      <c r="GE2289" s="67"/>
      <c r="GF2289" s="67"/>
      <c r="GG2289" s="67"/>
      <c r="GH2289" s="67"/>
      <c r="GI2289" s="67"/>
      <c r="GJ2289" s="67"/>
      <c r="GK2289" s="67"/>
      <c r="GL2289" s="67"/>
      <c r="GM2289" s="67"/>
      <c r="GN2289" s="292"/>
      <c r="GO2289" s="292"/>
      <c r="GP2289" s="292" t="s">
        <v>7494</v>
      </c>
      <c r="GQ2289" s="67"/>
      <c r="GR2289" s="67"/>
      <c r="GS2289" s="67"/>
      <c r="GT2289" s="67"/>
      <c r="GU2289" s="67"/>
      <c r="GV2289" s="67"/>
      <c r="GW2289" s="67"/>
      <c r="GX2289" s="67"/>
      <c r="GY2289" s="67"/>
      <c r="GZ2289" s="67"/>
      <c r="HA2289" s="67"/>
      <c r="HB2289" s="67"/>
      <c r="HC2289" s="67"/>
      <c r="HD2289" s="67"/>
      <c r="HE2289" s="67"/>
      <c r="HF2289" s="67"/>
      <c r="HG2289" s="67"/>
      <c r="HH2289" s="67"/>
      <c r="HI2289" s="67"/>
      <c r="HJ2289" s="67"/>
      <c r="HK2289" s="67"/>
      <c r="HL2289" s="67"/>
      <c r="HM2289" s="67"/>
      <c r="HN2289" s="67"/>
      <c r="HO2289" s="67"/>
      <c r="HP2289" s="67"/>
      <c r="HQ2289" s="67"/>
      <c r="HR2289" s="67"/>
      <c r="HS2289" s="67"/>
      <c r="HT2289" s="67"/>
      <c r="HU2289" s="67"/>
      <c r="HV2289" s="67"/>
      <c r="HW2289" s="67"/>
      <c r="HX2289" s="67"/>
      <c r="HY2289" s="67"/>
      <c r="HZ2289" s="67"/>
      <c r="IA2289" s="67"/>
      <c r="IB2289" s="67"/>
      <c r="IC2289" s="67"/>
      <c r="ID2289" s="67"/>
      <c r="IE2289" s="67"/>
      <c r="IF2289" s="67"/>
      <c r="IG2289" s="67"/>
      <c r="IH2289" s="67"/>
      <c r="II2289" s="67"/>
      <c r="IJ2289" s="67"/>
      <c r="IK2289" s="67"/>
      <c r="IL2289" s="67"/>
      <c r="IM2289" s="67"/>
      <c r="IN2289" s="67"/>
      <c r="IO2289" s="67"/>
      <c r="IP2289" s="67"/>
      <c r="IQ2289" s="67"/>
      <c r="IR2289" s="67"/>
      <c r="IS2289" s="67"/>
      <c r="IT2289" s="67"/>
      <c r="IU2289" s="67"/>
      <c r="IV2289" s="67"/>
      <c r="IW2289" s="67"/>
      <c r="IX2289" s="67"/>
      <c r="IY2289" s="67"/>
      <c r="IZ2289" s="67"/>
      <c r="JA2289" s="67"/>
      <c r="JB2289" s="67"/>
      <c r="JC2289" s="67"/>
      <c r="JD2289" s="67"/>
      <c r="JE2289" s="67"/>
      <c r="JF2289" s="67"/>
      <c r="JG2289" s="67"/>
      <c r="JH2289" s="67"/>
      <c r="JI2289" s="67"/>
      <c r="JJ2289" s="67"/>
      <c r="JK2289" s="67"/>
      <c r="JL2289" s="67"/>
      <c r="JM2289" s="67"/>
      <c r="JN2289" s="67"/>
      <c r="JO2289" s="67"/>
      <c r="JP2289" s="67"/>
      <c r="JQ2289" s="67"/>
      <c r="JR2289" s="67"/>
      <c r="JS2289" s="67"/>
      <c r="JT2289" s="67"/>
      <c r="JU2289" s="58"/>
      <c r="JV2289" s="58"/>
      <c r="JW2289" s="58"/>
    </row>
    <row r="2290" spans="1:283" s="23" customFormat="1" x14ac:dyDescent="0.25">
      <c r="A2290" s="55">
        <v>2289</v>
      </c>
      <c r="B2290" s="12" t="s">
        <v>7067</v>
      </c>
      <c r="C2290" s="156">
        <v>110</v>
      </c>
      <c r="D2290" s="58" t="s">
        <v>4198</v>
      </c>
      <c r="E2290" s="93" t="s">
        <v>2174</v>
      </c>
      <c r="F2290" s="93"/>
      <c r="G2290" s="58" t="s">
        <v>2264</v>
      </c>
      <c r="H2290" s="59">
        <v>1982</v>
      </c>
      <c r="I2290" s="58">
        <v>1977</v>
      </c>
      <c r="J2290" s="59" t="s">
        <v>1709</v>
      </c>
      <c r="K2290" s="59" t="s">
        <v>2265</v>
      </c>
      <c r="L2290" s="59" t="s">
        <v>2744</v>
      </c>
      <c r="M2290" s="94">
        <v>7.38</v>
      </c>
      <c r="N2290" s="94">
        <v>3.95</v>
      </c>
      <c r="O2290" s="93">
        <v>229.3</v>
      </c>
      <c r="P2290" s="59"/>
      <c r="Q2290" s="58"/>
      <c r="R2290" s="59"/>
      <c r="S2290" s="94"/>
      <c r="T2290" s="58"/>
      <c r="U2290" s="58">
        <v>3</v>
      </c>
      <c r="V2290" s="59">
        <v>4</v>
      </c>
      <c r="W2290" s="174"/>
      <c r="X2290" s="174"/>
      <c r="Y2290" s="58" t="s">
        <v>2266</v>
      </c>
      <c r="Z2290" s="58" t="s">
        <v>1355</v>
      </c>
      <c r="AA2290" s="94">
        <v>10</v>
      </c>
      <c r="AB2290" s="67"/>
      <c r="AC2290" s="67"/>
      <c r="AD2290" s="94">
        <v>1.31</v>
      </c>
      <c r="AE2290" s="93">
        <v>69.3</v>
      </c>
      <c r="AF2290" s="93">
        <v>9.5</v>
      </c>
      <c r="AG2290" s="93"/>
      <c r="AH2290" s="58" t="s">
        <v>238</v>
      </c>
      <c r="AI2290" s="169"/>
      <c r="AJ2290" s="94">
        <v>1.7</v>
      </c>
      <c r="AK2290" s="94"/>
      <c r="AL2290" s="58"/>
      <c r="AM2290" s="59" t="s">
        <v>2267</v>
      </c>
      <c r="AN2290" s="188" t="s">
        <v>2276</v>
      </c>
      <c r="AO2290" s="185" t="s">
        <v>5150</v>
      </c>
      <c r="AP2290" s="59"/>
      <c r="AQ2290" s="58" t="s">
        <v>553</v>
      </c>
      <c r="AR2290" s="59" t="s">
        <v>2282</v>
      </c>
      <c r="AS2290" s="58" t="s">
        <v>227</v>
      </c>
      <c r="AT2290" s="182"/>
      <c r="AU2290" s="181" t="s">
        <v>7494</v>
      </c>
      <c r="AV2290" s="185" t="s">
        <v>176</v>
      </c>
      <c r="AW2290" s="58"/>
      <c r="AX2290" s="185" t="s">
        <v>176</v>
      </c>
      <c r="AY2290" s="58"/>
      <c r="AZ2290" s="59"/>
      <c r="BA2290" s="58"/>
      <c r="BB2290" s="58"/>
      <c r="BC2290" s="58"/>
      <c r="BD2290" s="58"/>
      <c r="BE2290" s="240"/>
      <c r="BF2290" s="59"/>
      <c r="BG2290" s="59"/>
      <c r="BH2290" s="236"/>
      <c r="BI2290" s="58"/>
      <c r="BJ2290" s="58"/>
      <c r="BK2290" s="58" t="s">
        <v>5976</v>
      </c>
      <c r="BL2290" s="58"/>
      <c r="BM2290" s="241" t="s">
        <v>160</v>
      </c>
      <c r="BN2290" s="58">
        <v>3</v>
      </c>
      <c r="BO2290" s="58">
        <v>3</v>
      </c>
      <c r="BP2290" s="59"/>
      <c r="BQ2290" s="58" t="s">
        <v>141</v>
      </c>
      <c r="BR2290" s="58"/>
      <c r="BS2290" s="58"/>
      <c r="BT2290" s="58"/>
      <c r="BU2290" s="58" t="s">
        <v>2279</v>
      </c>
      <c r="BV2290" s="58"/>
      <c r="BW2290" s="67"/>
      <c r="BX2290" s="67"/>
      <c r="BY2290" s="67"/>
      <c r="BZ2290" s="67"/>
      <c r="CA2290" s="67"/>
      <c r="CB2290" s="153">
        <v>174</v>
      </c>
      <c r="CC2290" s="68">
        <v>457</v>
      </c>
      <c r="CD2290" s="68"/>
      <c r="CE2290" s="67"/>
      <c r="CF2290" s="67"/>
      <c r="CG2290" s="67" t="s">
        <v>2285</v>
      </c>
      <c r="CH2290" s="94"/>
      <c r="CI2290" s="94"/>
      <c r="CJ2290" s="67"/>
      <c r="CK2290" s="67"/>
      <c r="CL2290" s="67"/>
      <c r="CM2290" s="67"/>
      <c r="CN2290" s="67"/>
      <c r="CO2290" s="67"/>
      <c r="CP2290" s="67"/>
      <c r="CQ2290" s="67"/>
      <c r="CR2290" s="67"/>
      <c r="CS2290" s="67"/>
      <c r="CT2290" s="67"/>
      <c r="CU2290" s="67"/>
      <c r="CV2290" s="67"/>
      <c r="CW2290" s="67"/>
      <c r="CX2290" s="67"/>
      <c r="CY2290" s="67"/>
      <c r="CZ2290" s="67"/>
      <c r="DA2290" s="67"/>
      <c r="DB2290" s="67"/>
      <c r="DC2290" s="67"/>
      <c r="DD2290" s="67"/>
      <c r="DE2290" s="67"/>
      <c r="DF2290" s="67"/>
      <c r="DG2290" s="67"/>
      <c r="DH2290" s="67"/>
      <c r="DI2290" s="67"/>
      <c r="DJ2290" s="67"/>
      <c r="DK2290" s="67"/>
      <c r="DL2290" s="67"/>
      <c r="DM2290" s="67"/>
      <c r="DN2290" s="67"/>
      <c r="DO2290" s="67"/>
      <c r="DP2290" s="67"/>
      <c r="DQ2290" s="166"/>
      <c r="DR2290" s="166"/>
      <c r="DS2290" s="163"/>
      <c r="DT2290" s="163"/>
      <c r="DU2290" s="67"/>
      <c r="DV2290" s="67"/>
      <c r="DW2290" s="67"/>
      <c r="DX2290" s="67"/>
      <c r="DY2290" s="67"/>
      <c r="DZ2290" s="67"/>
      <c r="EA2290" s="67"/>
      <c r="EB2290" s="67"/>
      <c r="EC2290" s="67"/>
      <c r="ED2290" s="67"/>
      <c r="EE2290" s="67"/>
      <c r="EF2290" s="67"/>
      <c r="EG2290" s="67"/>
      <c r="EH2290" s="67"/>
      <c r="EI2290" s="67"/>
      <c r="EJ2290" s="67"/>
      <c r="EK2290" s="94"/>
      <c r="EL2290" s="94"/>
      <c r="EM2290" s="67"/>
      <c r="EN2290" s="67"/>
      <c r="EO2290" s="67"/>
      <c r="EP2290" s="67"/>
      <c r="EQ2290" s="67"/>
      <c r="ER2290" s="67"/>
      <c r="ES2290" s="67"/>
      <c r="ET2290" s="67"/>
      <c r="EU2290" s="67"/>
      <c r="EV2290" s="67"/>
      <c r="EW2290" s="67"/>
      <c r="EX2290" s="67"/>
      <c r="EY2290" s="67"/>
      <c r="EZ2290" s="67"/>
      <c r="FA2290" s="67"/>
      <c r="FB2290" s="67"/>
      <c r="FC2290" s="67"/>
      <c r="FD2290" s="67"/>
      <c r="FE2290" s="67"/>
      <c r="FF2290" s="67"/>
      <c r="FG2290" s="67"/>
      <c r="FH2290" s="67"/>
      <c r="FI2290" s="67"/>
      <c r="FJ2290" s="67"/>
      <c r="FK2290" s="67"/>
      <c r="FL2290" s="67"/>
      <c r="FM2290" s="67"/>
      <c r="FN2290" s="67"/>
      <c r="FO2290" s="67"/>
      <c r="FP2290" s="67"/>
      <c r="FQ2290" s="67"/>
      <c r="FR2290" s="67"/>
      <c r="FS2290" s="67"/>
      <c r="FT2290" s="67"/>
      <c r="FU2290" s="67"/>
      <c r="FV2290" s="67"/>
      <c r="FW2290" s="67"/>
      <c r="FX2290" s="67"/>
      <c r="FY2290" s="67"/>
      <c r="FZ2290" s="67"/>
      <c r="GA2290" s="67"/>
      <c r="GB2290" s="67"/>
      <c r="GC2290" s="67"/>
      <c r="GD2290" s="67"/>
      <c r="GE2290" s="67"/>
      <c r="GF2290" s="67"/>
      <c r="GG2290" s="67"/>
      <c r="GH2290" s="67"/>
      <c r="GI2290" s="67"/>
      <c r="GJ2290" s="67"/>
      <c r="GK2290" s="67"/>
      <c r="GL2290" s="67"/>
      <c r="GM2290" s="67"/>
      <c r="GN2290" s="292"/>
      <c r="GO2290" s="292"/>
      <c r="GP2290" s="292" t="s">
        <v>7494</v>
      </c>
      <c r="GQ2290" s="67"/>
      <c r="GR2290" s="67"/>
      <c r="GS2290" s="67"/>
      <c r="GT2290" s="67"/>
      <c r="GU2290" s="67"/>
      <c r="GV2290" s="67"/>
      <c r="GW2290" s="67"/>
      <c r="GX2290" s="67"/>
      <c r="GY2290" s="67"/>
      <c r="GZ2290" s="67"/>
      <c r="HA2290" s="67"/>
      <c r="HB2290" s="67"/>
      <c r="HC2290" s="67"/>
      <c r="HD2290" s="67"/>
      <c r="HE2290" s="67"/>
      <c r="HF2290" s="67"/>
      <c r="HG2290" s="67"/>
      <c r="HH2290" s="67"/>
      <c r="HI2290" s="67"/>
      <c r="HJ2290" s="67"/>
      <c r="HK2290" s="67"/>
      <c r="HL2290" s="67"/>
      <c r="HM2290" s="67"/>
      <c r="HN2290" s="67"/>
      <c r="HO2290" s="67"/>
      <c r="HP2290" s="67"/>
      <c r="HQ2290" s="67"/>
      <c r="HR2290" s="67"/>
      <c r="HS2290" s="67"/>
      <c r="HT2290" s="67"/>
      <c r="HU2290" s="67"/>
      <c r="HV2290" s="67"/>
      <c r="HW2290" s="67"/>
      <c r="HX2290" s="67"/>
      <c r="HY2290" s="67"/>
      <c r="HZ2290" s="67"/>
      <c r="IA2290" s="67"/>
      <c r="IB2290" s="67"/>
      <c r="IC2290" s="67"/>
      <c r="ID2290" s="67"/>
      <c r="IE2290" s="67"/>
      <c r="IF2290" s="67"/>
      <c r="IG2290" s="67"/>
      <c r="IH2290" s="67"/>
      <c r="II2290" s="67"/>
      <c r="IJ2290" s="67"/>
      <c r="IK2290" s="67"/>
      <c r="IL2290" s="67"/>
      <c r="IM2290" s="67"/>
      <c r="IN2290" s="67"/>
      <c r="IO2290" s="67"/>
      <c r="IP2290" s="67"/>
      <c r="IQ2290" s="67"/>
      <c r="IR2290" s="67"/>
      <c r="IS2290" s="67"/>
      <c r="IT2290" s="67"/>
      <c r="IU2290" s="67"/>
      <c r="IV2290" s="67"/>
      <c r="IW2290" s="67"/>
      <c r="IX2290" s="67"/>
      <c r="IY2290" s="67"/>
      <c r="IZ2290" s="67"/>
      <c r="JA2290" s="67"/>
      <c r="JB2290" s="67"/>
      <c r="JC2290" s="67"/>
      <c r="JD2290" s="67"/>
      <c r="JE2290" s="67"/>
      <c r="JF2290" s="67"/>
      <c r="JG2290" s="67"/>
      <c r="JH2290" s="67"/>
      <c r="JI2290" s="67"/>
      <c r="JJ2290" s="67"/>
      <c r="JK2290" s="67"/>
      <c r="JL2290" s="67"/>
      <c r="JM2290" s="67"/>
      <c r="JN2290" s="67"/>
      <c r="JO2290" s="67"/>
      <c r="JP2290" s="67"/>
      <c r="JQ2290" s="67"/>
      <c r="JR2290" s="67"/>
      <c r="JS2290" s="67"/>
      <c r="JT2290" s="67"/>
      <c r="JU2290" s="58"/>
      <c r="JV2290" s="58"/>
      <c r="JW2290" s="58"/>
    </row>
    <row r="2291" spans="1:283" s="23" customFormat="1" x14ac:dyDescent="0.25">
      <c r="A2291" s="55">
        <v>2290</v>
      </c>
      <c r="B2291" s="12" t="s">
        <v>7067</v>
      </c>
      <c r="C2291" s="156">
        <v>110</v>
      </c>
      <c r="D2291" s="58" t="s">
        <v>4198</v>
      </c>
      <c r="E2291" s="93" t="s">
        <v>2174</v>
      </c>
      <c r="F2291" s="93"/>
      <c r="G2291" s="58" t="s">
        <v>2264</v>
      </c>
      <c r="H2291" s="59">
        <v>1982</v>
      </c>
      <c r="I2291" s="58">
        <v>1977</v>
      </c>
      <c r="J2291" s="59" t="s">
        <v>1709</v>
      </c>
      <c r="K2291" s="59" t="s">
        <v>2265</v>
      </c>
      <c r="L2291" s="59" t="s">
        <v>2744</v>
      </c>
      <c r="M2291" s="94">
        <v>7.38</v>
      </c>
      <c r="N2291" s="94">
        <v>3.95</v>
      </c>
      <c r="O2291" s="93">
        <v>229.3</v>
      </c>
      <c r="P2291" s="59"/>
      <c r="Q2291" s="58"/>
      <c r="R2291" s="59"/>
      <c r="S2291" s="94"/>
      <c r="T2291" s="58"/>
      <c r="U2291" s="58">
        <v>3</v>
      </c>
      <c r="V2291" s="59">
        <v>4</v>
      </c>
      <c r="W2291" s="174"/>
      <c r="X2291" s="174"/>
      <c r="Y2291" s="58" t="s">
        <v>2266</v>
      </c>
      <c r="Z2291" s="58" t="s">
        <v>1355</v>
      </c>
      <c r="AA2291" s="94">
        <v>10</v>
      </c>
      <c r="AB2291" s="67"/>
      <c r="AC2291" s="67"/>
      <c r="AD2291" s="94">
        <v>1.31</v>
      </c>
      <c r="AE2291" s="93">
        <v>69.3</v>
      </c>
      <c r="AF2291" s="93">
        <v>9.5</v>
      </c>
      <c r="AG2291" s="93"/>
      <c r="AH2291" s="58" t="s">
        <v>238</v>
      </c>
      <c r="AI2291" s="169"/>
      <c r="AJ2291" s="94">
        <v>1.7</v>
      </c>
      <c r="AK2291" s="94"/>
      <c r="AL2291" s="58"/>
      <c r="AM2291" s="59" t="s">
        <v>2267</v>
      </c>
      <c r="AN2291" s="188" t="s">
        <v>2277</v>
      </c>
      <c r="AO2291" s="185" t="s">
        <v>5150</v>
      </c>
      <c r="AP2291" s="59"/>
      <c r="AQ2291" s="58" t="s">
        <v>553</v>
      </c>
      <c r="AR2291" s="59" t="s">
        <v>2282</v>
      </c>
      <c r="AS2291" s="58" t="s">
        <v>227</v>
      </c>
      <c r="AT2291" s="182"/>
      <c r="AU2291" s="181" t="s">
        <v>7494</v>
      </c>
      <c r="AV2291" s="185" t="s">
        <v>176</v>
      </c>
      <c r="AW2291" s="58"/>
      <c r="AX2291" s="185" t="s">
        <v>176</v>
      </c>
      <c r="AY2291" s="58"/>
      <c r="AZ2291" s="59"/>
      <c r="BA2291" s="58"/>
      <c r="BB2291" s="58"/>
      <c r="BC2291" s="58"/>
      <c r="BD2291" s="58"/>
      <c r="BE2291" s="240"/>
      <c r="BF2291" s="59"/>
      <c r="BG2291" s="59"/>
      <c r="BH2291" s="236"/>
      <c r="BI2291" s="58"/>
      <c r="BJ2291" s="58"/>
      <c r="BK2291" s="58" t="s">
        <v>5976</v>
      </c>
      <c r="BL2291" s="58"/>
      <c r="BM2291" s="241" t="s">
        <v>160</v>
      </c>
      <c r="BN2291" s="58">
        <v>3</v>
      </c>
      <c r="BO2291" s="58">
        <v>3</v>
      </c>
      <c r="BP2291" s="59"/>
      <c r="BQ2291" s="58" t="s">
        <v>141</v>
      </c>
      <c r="BR2291" s="58"/>
      <c r="BS2291" s="58"/>
      <c r="BT2291" s="58"/>
      <c r="BU2291" s="58" t="s">
        <v>2279</v>
      </c>
      <c r="BV2291" s="58"/>
      <c r="BW2291" s="67"/>
      <c r="BX2291" s="67"/>
      <c r="BY2291" s="67"/>
      <c r="BZ2291" s="67"/>
      <c r="CA2291" s="67"/>
      <c r="CB2291" s="153">
        <v>174</v>
      </c>
      <c r="CC2291" s="68">
        <v>711</v>
      </c>
      <c r="CD2291" s="68"/>
      <c r="CE2291" s="67"/>
      <c r="CF2291" s="67"/>
      <c r="CG2291" s="67" t="s">
        <v>2285</v>
      </c>
      <c r="CH2291" s="94"/>
      <c r="CI2291" s="94"/>
      <c r="CJ2291" s="67"/>
      <c r="CK2291" s="67"/>
      <c r="CL2291" s="67"/>
      <c r="CM2291" s="67"/>
      <c r="CN2291" s="67"/>
      <c r="CO2291" s="67"/>
      <c r="CP2291" s="67"/>
      <c r="CQ2291" s="67"/>
      <c r="CR2291" s="67"/>
      <c r="CS2291" s="67"/>
      <c r="CT2291" s="67"/>
      <c r="CU2291" s="67"/>
      <c r="CV2291" s="67"/>
      <c r="CW2291" s="67"/>
      <c r="CX2291" s="67"/>
      <c r="CY2291" s="67"/>
      <c r="CZ2291" s="67"/>
      <c r="DA2291" s="67"/>
      <c r="DB2291" s="67"/>
      <c r="DC2291" s="67"/>
      <c r="DD2291" s="67"/>
      <c r="DE2291" s="67"/>
      <c r="DF2291" s="67"/>
      <c r="DG2291" s="67"/>
      <c r="DH2291" s="67"/>
      <c r="DI2291" s="67"/>
      <c r="DJ2291" s="67"/>
      <c r="DK2291" s="67"/>
      <c r="DL2291" s="67"/>
      <c r="DM2291" s="67"/>
      <c r="DN2291" s="67"/>
      <c r="DO2291" s="67"/>
      <c r="DP2291" s="67"/>
      <c r="DQ2291" s="166"/>
      <c r="DR2291" s="166"/>
      <c r="DS2291" s="163"/>
      <c r="DT2291" s="163"/>
      <c r="DU2291" s="67"/>
      <c r="DV2291" s="67"/>
      <c r="DW2291" s="67"/>
      <c r="DX2291" s="67"/>
      <c r="DY2291" s="67"/>
      <c r="DZ2291" s="67"/>
      <c r="EA2291" s="67"/>
      <c r="EB2291" s="67"/>
      <c r="EC2291" s="67"/>
      <c r="ED2291" s="67"/>
      <c r="EE2291" s="67"/>
      <c r="EF2291" s="67"/>
      <c r="EG2291" s="67"/>
      <c r="EH2291" s="67"/>
      <c r="EI2291" s="67"/>
      <c r="EJ2291" s="67"/>
      <c r="EK2291" s="94"/>
      <c r="EL2291" s="94"/>
      <c r="EM2291" s="67"/>
      <c r="EN2291" s="67"/>
      <c r="EO2291" s="67"/>
      <c r="EP2291" s="67"/>
      <c r="EQ2291" s="67"/>
      <c r="ER2291" s="67"/>
      <c r="ES2291" s="67"/>
      <c r="ET2291" s="67"/>
      <c r="EU2291" s="67"/>
      <c r="EV2291" s="67"/>
      <c r="EW2291" s="67"/>
      <c r="EX2291" s="67"/>
      <c r="EY2291" s="67"/>
      <c r="EZ2291" s="67"/>
      <c r="FA2291" s="67"/>
      <c r="FB2291" s="67"/>
      <c r="FC2291" s="67"/>
      <c r="FD2291" s="67"/>
      <c r="FE2291" s="67"/>
      <c r="FF2291" s="67"/>
      <c r="FG2291" s="67"/>
      <c r="FH2291" s="67"/>
      <c r="FI2291" s="67"/>
      <c r="FJ2291" s="67"/>
      <c r="FK2291" s="67"/>
      <c r="FL2291" s="67"/>
      <c r="FM2291" s="67"/>
      <c r="FN2291" s="67"/>
      <c r="FO2291" s="67"/>
      <c r="FP2291" s="67"/>
      <c r="FQ2291" s="67"/>
      <c r="FR2291" s="67"/>
      <c r="FS2291" s="67"/>
      <c r="FT2291" s="67"/>
      <c r="FU2291" s="67"/>
      <c r="FV2291" s="67"/>
      <c r="FW2291" s="67"/>
      <c r="FX2291" s="67"/>
      <c r="FY2291" s="67"/>
      <c r="FZ2291" s="67"/>
      <c r="GA2291" s="67"/>
      <c r="GB2291" s="67"/>
      <c r="GC2291" s="67"/>
      <c r="GD2291" s="67"/>
      <c r="GE2291" s="67"/>
      <c r="GF2291" s="67"/>
      <c r="GG2291" s="67"/>
      <c r="GH2291" s="67"/>
      <c r="GI2291" s="67"/>
      <c r="GJ2291" s="67"/>
      <c r="GK2291" s="67"/>
      <c r="GL2291" s="67"/>
      <c r="GM2291" s="67"/>
      <c r="GN2291" s="292"/>
      <c r="GO2291" s="292"/>
      <c r="GP2291" s="292" t="s">
        <v>7494</v>
      </c>
      <c r="GQ2291" s="67"/>
      <c r="GR2291" s="67"/>
      <c r="GS2291" s="67"/>
      <c r="GT2291" s="67"/>
      <c r="GU2291" s="67"/>
      <c r="GV2291" s="67"/>
      <c r="GW2291" s="67"/>
      <c r="GX2291" s="67"/>
      <c r="GY2291" s="67"/>
      <c r="GZ2291" s="67"/>
      <c r="HA2291" s="67"/>
      <c r="HB2291" s="67"/>
      <c r="HC2291" s="67"/>
      <c r="HD2291" s="67"/>
      <c r="HE2291" s="67"/>
      <c r="HF2291" s="67"/>
      <c r="HG2291" s="67"/>
      <c r="HH2291" s="67"/>
      <c r="HI2291" s="67"/>
      <c r="HJ2291" s="67"/>
      <c r="HK2291" s="67"/>
      <c r="HL2291" s="67"/>
      <c r="HM2291" s="67"/>
      <c r="HN2291" s="67"/>
      <c r="HO2291" s="67"/>
      <c r="HP2291" s="67"/>
      <c r="HQ2291" s="67"/>
      <c r="HR2291" s="67"/>
      <c r="HS2291" s="67"/>
      <c r="HT2291" s="67"/>
      <c r="HU2291" s="67"/>
      <c r="HV2291" s="67"/>
      <c r="HW2291" s="67"/>
      <c r="HX2291" s="67"/>
      <c r="HY2291" s="67"/>
      <c r="HZ2291" s="67"/>
      <c r="IA2291" s="67"/>
      <c r="IB2291" s="67"/>
      <c r="IC2291" s="67"/>
      <c r="ID2291" s="67"/>
      <c r="IE2291" s="67"/>
      <c r="IF2291" s="67"/>
      <c r="IG2291" s="67"/>
      <c r="IH2291" s="67"/>
      <c r="II2291" s="67"/>
      <c r="IJ2291" s="67"/>
      <c r="IK2291" s="67"/>
      <c r="IL2291" s="67"/>
      <c r="IM2291" s="67"/>
      <c r="IN2291" s="67"/>
      <c r="IO2291" s="67"/>
      <c r="IP2291" s="67"/>
      <c r="IQ2291" s="67"/>
      <c r="IR2291" s="67"/>
      <c r="IS2291" s="67"/>
      <c r="IT2291" s="67"/>
      <c r="IU2291" s="67"/>
      <c r="IV2291" s="67"/>
      <c r="IW2291" s="67"/>
      <c r="IX2291" s="67"/>
      <c r="IY2291" s="67"/>
      <c r="IZ2291" s="67"/>
      <c r="JA2291" s="67"/>
      <c r="JB2291" s="67"/>
      <c r="JC2291" s="67"/>
      <c r="JD2291" s="67"/>
      <c r="JE2291" s="67"/>
      <c r="JF2291" s="67"/>
      <c r="JG2291" s="67"/>
      <c r="JH2291" s="67"/>
      <c r="JI2291" s="67"/>
      <c r="JJ2291" s="67"/>
      <c r="JK2291" s="67"/>
      <c r="JL2291" s="67"/>
      <c r="JM2291" s="67"/>
      <c r="JN2291" s="67"/>
      <c r="JO2291" s="67"/>
      <c r="JP2291" s="67"/>
      <c r="JQ2291" s="67"/>
      <c r="JR2291" s="67"/>
      <c r="JS2291" s="67"/>
      <c r="JT2291" s="67"/>
      <c r="JU2291" s="58"/>
      <c r="JV2291" s="58"/>
      <c r="JW2291" s="58"/>
    </row>
    <row r="2292" spans="1:283" s="23" customFormat="1" x14ac:dyDescent="0.25">
      <c r="A2292" s="55">
        <v>2291</v>
      </c>
      <c r="B2292" s="12" t="s">
        <v>7067</v>
      </c>
      <c r="C2292" s="156">
        <v>110</v>
      </c>
      <c r="D2292" s="58" t="s">
        <v>4198</v>
      </c>
      <c r="E2292" s="93" t="s">
        <v>2174</v>
      </c>
      <c r="F2292" s="93"/>
      <c r="G2292" s="58" t="s">
        <v>2264</v>
      </c>
      <c r="H2292" s="59">
        <v>1982</v>
      </c>
      <c r="I2292" s="58">
        <v>1977</v>
      </c>
      <c r="J2292" s="59" t="s">
        <v>1709</v>
      </c>
      <c r="K2292" s="59" t="s">
        <v>2265</v>
      </c>
      <c r="L2292" s="59" t="s">
        <v>2744</v>
      </c>
      <c r="M2292" s="94">
        <v>7.38</v>
      </c>
      <c r="N2292" s="94">
        <v>3.95</v>
      </c>
      <c r="O2292" s="93">
        <v>229.3</v>
      </c>
      <c r="P2292" s="59"/>
      <c r="Q2292" s="58"/>
      <c r="R2292" s="59"/>
      <c r="S2292" s="94"/>
      <c r="T2292" s="58"/>
      <c r="U2292" s="58">
        <v>3</v>
      </c>
      <c r="V2292" s="59">
        <v>4</v>
      </c>
      <c r="W2292" s="174"/>
      <c r="X2292" s="174"/>
      <c r="Y2292" s="58" t="s">
        <v>2266</v>
      </c>
      <c r="Z2292" s="58" t="s">
        <v>1355</v>
      </c>
      <c r="AA2292" s="94">
        <v>10</v>
      </c>
      <c r="AB2292" s="67"/>
      <c r="AC2292" s="67"/>
      <c r="AD2292" s="94">
        <v>1.31</v>
      </c>
      <c r="AE2292" s="93">
        <v>69.3</v>
      </c>
      <c r="AF2292" s="93">
        <v>9.5</v>
      </c>
      <c r="AG2292" s="93"/>
      <c r="AH2292" s="58" t="s">
        <v>238</v>
      </c>
      <c r="AI2292" s="169"/>
      <c r="AJ2292" s="94">
        <v>1.7</v>
      </c>
      <c r="AK2292" s="94"/>
      <c r="AL2292" s="58"/>
      <c r="AM2292" s="59" t="s">
        <v>2267</v>
      </c>
      <c r="AN2292" s="188" t="s">
        <v>2278</v>
      </c>
      <c r="AO2292" s="185" t="s">
        <v>5150</v>
      </c>
      <c r="AP2292" s="59"/>
      <c r="AQ2292" s="58" t="s">
        <v>553</v>
      </c>
      <c r="AR2292" s="59" t="s">
        <v>2282</v>
      </c>
      <c r="AS2292" s="58" t="s">
        <v>227</v>
      </c>
      <c r="AT2292" s="182"/>
      <c r="AU2292" s="181" t="s">
        <v>7494</v>
      </c>
      <c r="AV2292" s="185" t="s">
        <v>176</v>
      </c>
      <c r="AW2292" s="58"/>
      <c r="AX2292" s="185" t="s">
        <v>176</v>
      </c>
      <c r="AY2292" s="58"/>
      <c r="AZ2292" s="59"/>
      <c r="BA2292" s="58"/>
      <c r="BB2292" s="58"/>
      <c r="BC2292" s="58"/>
      <c r="BD2292" s="58"/>
      <c r="BE2292" s="240"/>
      <c r="BF2292" s="59"/>
      <c r="BG2292" s="59"/>
      <c r="BH2292" s="236"/>
      <c r="BI2292" s="58"/>
      <c r="BJ2292" s="58"/>
      <c r="BK2292" s="58" t="s">
        <v>5976</v>
      </c>
      <c r="BL2292" s="58"/>
      <c r="BM2292" s="241" t="s">
        <v>160</v>
      </c>
      <c r="BN2292" s="58">
        <v>3</v>
      </c>
      <c r="BO2292" s="58">
        <v>3</v>
      </c>
      <c r="BP2292" s="59"/>
      <c r="BQ2292" s="58" t="s">
        <v>141</v>
      </c>
      <c r="BR2292" s="58"/>
      <c r="BS2292" s="58"/>
      <c r="BT2292" s="58"/>
      <c r="BU2292" s="58" t="s">
        <v>2279</v>
      </c>
      <c r="BV2292" s="58"/>
      <c r="BW2292" s="67"/>
      <c r="BX2292" s="67"/>
      <c r="BY2292" s="67"/>
      <c r="BZ2292" s="67"/>
      <c r="CA2292" s="67"/>
      <c r="CB2292" s="153">
        <v>174</v>
      </c>
      <c r="CC2292" s="68">
        <v>761</v>
      </c>
      <c r="CD2292" s="68"/>
      <c r="CE2292" s="67"/>
      <c r="CF2292" s="67"/>
      <c r="CG2292" s="67" t="s">
        <v>2285</v>
      </c>
      <c r="CH2292" s="94"/>
      <c r="CI2292" s="94"/>
      <c r="CJ2292" s="67"/>
      <c r="CK2292" s="67"/>
      <c r="CL2292" s="67"/>
      <c r="CM2292" s="67"/>
      <c r="CN2292" s="67"/>
      <c r="CO2292" s="67"/>
      <c r="CP2292" s="67"/>
      <c r="CQ2292" s="67"/>
      <c r="CR2292" s="67"/>
      <c r="CS2292" s="67"/>
      <c r="CT2292" s="67"/>
      <c r="CU2292" s="67"/>
      <c r="CV2292" s="67"/>
      <c r="CW2292" s="67"/>
      <c r="CX2292" s="67"/>
      <c r="CY2292" s="67"/>
      <c r="CZ2292" s="67"/>
      <c r="DA2292" s="67"/>
      <c r="DB2292" s="67"/>
      <c r="DC2292" s="67"/>
      <c r="DD2292" s="67"/>
      <c r="DE2292" s="67"/>
      <c r="DF2292" s="67"/>
      <c r="DG2292" s="67"/>
      <c r="DH2292" s="67"/>
      <c r="DI2292" s="67"/>
      <c r="DJ2292" s="67"/>
      <c r="DK2292" s="67"/>
      <c r="DL2292" s="67"/>
      <c r="DM2292" s="67"/>
      <c r="DN2292" s="67"/>
      <c r="DO2292" s="67"/>
      <c r="DP2292" s="67"/>
      <c r="DQ2292" s="166"/>
      <c r="DR2292" s="166"/>
      <c r="DS2292" s="163"/>
      <c r="DT2292" s="163"/>
      <c r="DU2292" s="67"/>
      <c r="DV2292" s="67"/>
      <c r="DW2292" s="67"/>
      <c r="DX2292" s="67"/>
      <c r="DY2292" s="67"/>
      <c r="DZ2292" s="67"/>
      <c r="EA2292" s="67"/>
      <c r="EB2292" s="67"/>
      <c r="EC2292" s="67"/>
      <c r="ED2292" s="67"/>
      <c r="EE2292" s="67"/>
      <c r="EF2292" s="67"/>
      <c r="EG2292" s="67"/>
      <c r="EH2292" s="67"/>
      <c r="EI2292" s="67"/>
      <c r="EJ2292" s="67"/>
      <c r="EK2292" s="94"/>
      <c r="EL2292" s="94"/>
      <c r="EM2292" s="67"/>
      <c r="EN2292" s="67"/>
      <c r="EO2292" s="67"/>
      <c r="EP2292" s="67"/>
      <c r="EQ2292" s="67"/>
      <c r="ER2292" s="67"/>
      <c r="ES2292" s="67"/>
      <c r="ET2292" s="67"/>
      <c r="EU2292" s="67"/>
      <c r="EV2292" s="67"/>
      <c r="EW2292" s="67"/>
      <c r="EX2292" s="67"/>
      <c r="EY2292" s="67"/>
      <c r="EZ2292" s="67"/>
      <c r="FA2292" s="67"/>
      <c r="FB2292" s="67"/>
      <c r="FC2292" s="67"/>
      <c r="FD2292" s="67"/>
      <c r="FE2292" s="67"/>
      <c r="FF2292" s="67"/>
      <c r="FG2292" s="67"/>
      <c r="FH2292" s="67"/>
      <c r="FI2292" s="67"/>
      <c r="FJ2292" s="67"/>
      <c r="FK2292" s="67"/>
      <c r="FL2292" s="67"/>
      <c r="FM2292" s="67"/>
      <c r="FN2292" s="67"/>
      <c r="FO2292" s="67"/>
      <c r="FP2292" s="67"/>
      <c r="FQ2292" s="67"/>
      <c r="FR2292" s="67"/>
      <c r="FS2292" s="67"/>
      <c r="FT2292" s="67"/>
      <c r="FU2292" s="67"/>
      <c r="FV2292" s="67"/>
      <c r="FW2292" s="67"/>
      <c r="FX2292" s="67"/>
      <c r="FY2292" s="67"/>
      <c r="FZ2292" s="67"/>
      <c r="GA2292" s="67"/>
      <c r="GB2292" s="67"/>
      <c r="GC2292" s="67"/>
      <c r="GD2292" s="67"/>
      <c r="GE2292" s="67"/>
      <c r="GF2292" s="67"/>
      <c r="GG2292" s="67"/>
      <c r="GH2292" s="67"/>
      <c r="GI2292" s="67"/>
      <c r="GJ2292" s="67"/>
      <c r="GK2292" s="67"/>
      <c r="GL2292" s="67"/>
      <c r="GM2292" s="67"/>
      <c r="GN2292" s="292"/>
      <c r="GO2292" s="292"/>
      <c r="GP2292" s="292" t="s">
        <v>7494</v>
      </c>
      <c r="GQ2292" s="67"/>
      <c r="GR2292" s="67"/>
      <c r="GS2292" s="67"/>
      <c r="GT2292" s="67"/>
      <c r="GU2292" s="67"/>
      <c r="GV2292" s="67"/>
      <c r="GW2292" s="67"/>
      <c r="GX2292" s="67"/>
      <c r="GY2292" s="67"/>
      <c r="GZ2292" s="67"/>
      <c r="HA2292" s="67"/>
      <c r="HB2292" s="67"/>
      <c r="HC2292" s="67"/>
      <c r="HD2292" s="67"/>
      <c r="HE2292" s="67"/>
      <c r="HF2292" s="67"/>
      <c r="HG2292" s="67"/>
      <c r="HH2292" s="67"/>
      <c r="HI2292" s="67"/>
      <c r="HJ2292" s="67"/>
      <c r="HK2292" s="67"/>
      <c r="HL2292" s="67"/>
      <c r="HM2292" s="67"/>
      <c r="HN2292" s="67"/>
      <c r="HO2292" s="67"/>
      <c r="HP2292" s="67"/>
      <c r="HQ2292" s="67"/>
      <c r="HR2292" s="67"/>
      <c r="HS2292" s="67"/>
      <c r="HT2292" s="67"/>
      <c r="HU2292" s="67"/>
      <c r="HV2292" s="67"/>
      <c r="HW2292" s="67"/>
      <c r="HX2292" s="67"/>
      <c r="HY2292" s="67"/>
      <c r="HZ2292" s="67"/>
      <c r="IA2292" s="67"/>
      <c r="IB2292" s="67"/>
      <c r="IC2292" s="67"/>
      <c r="ID2292" s="67"/>
      <c r="IE2292" s="67"/>
      <c r="IF2292" s="67"/>
      <c r="IG2292" s="67"/>
      <c r="IH2292" s="67"/>
      <c r="II2292" s="67"/>
      <c r="IJ2292" s="67"/>
      <c r="IK2292" s="67"/>
      <c r="IL2292" s="67"/>
      <c r="IM2292" s="67"/>
      <c r="IN2292" s="67"/>
      <c r="IO2292" s="67"/>
      <c r="IP2292" s="67"/>
      <c r="IQ2292" s="67"/>
      <c r="IR2292" s="67"/>
      <c r="IS2292" s="67"/>
      <c r="IT2292" s="67"/>
      <c r="IU2292" s="67"/>
      <c r="IV2292" s="67"/>
      <c r="IW2292" s="67"/>
      <c r="IX2292" s="67"/>
      <c r="IY2292" s="67"/>
      <c r="IZ2292" s="67"/>
      <c r="JA2292" s="67"/>
      <c r="JB2292" s="67"/>
      <c r="JC2292" s="67"/>
      <c r="JD2292" s="67"/>
      <c r="JE2292" s="67"/>
      <c r="JF2292" s="67"/>
      <c r="JG2292" s="67"/>
      <c r="JH2292" s="67"/>
      <c r="JI2292" s="67"/>
      <c r="JJ2292" s="67"/>
      <c r="JK2292" s="67"/>
      <c r="JL2292" s="67"/>
      <c r="JM2292" s="67"/>
      <c r="JN2292" s="67"/>
      <c r="JO2292" s="67"/>
      <c r="JP2292" s="67"/>
      <c r="JQ2292" s="67"/>
      <c r="JR2292" s="67"/>
      <c r="JS2292" s="67"/>
      <c r="JT2292" s="67"/>
      <c r="JU2292" s="58"/>
      <c r="JV2292" s="58"/>
      <c r="JW2292" s="58"/>
    </row>
    <row r="2293" spans="1:283" s="23" customFormat="1" x14ac:dyDescent="0.25">
      <c r="A2293" s="55">
        <v>2292</v>
      </c>
      <c r="B2293" s="12" t="s">
        <v>7067</v>
      </c>
      <c r="C2293" s="156">
        <v>110</v>
      </c>
      <c r="D2293" s="58" t="s">
        <v>4197</v>
      </c>
      <c r="E2293" s="93" t="s">
        <v>2174</v>
      </c>
      <c r="F2293" s="93"/>
      <c r="G2293" s="58" t="s">
        <v>2264</v>
      </c>
      <c r="H2293" s="59">
        <v>1982</v>
      </c>
      <c r="I2293" s="58">
        <v>1977</v>
      </c>
      <c r="J2293" s="59" t="s">
        <v>1709</v>
      </c>
      <c r="K2293" s="59" t="s">
        <v>2265</v>
      </c>
      <c r="L2293" s="59" t="s">
        <v>2744</v>
      </c>
      <c r="M2293" s="94">
        <v>7.38</v>
      </c>
      <c r="N2293" s="94">
        <v>3.95</v>
      </c>
      <c r="O2293" s="93">
        <v>229.3</v>
      </c>
      <c r="P2293" s="59"/>
      <c r="Q2293" s="58"/>
      <c r="R2293" s="59"/>
      <c r="S2293" s="94"/>
      <c r="T2293" s="58"/>
      <c r="U2293" s="58">
        <v>3</v>
      </c>
      <c r="V2293" s="59">
        <v>4</v>
      </c>
      <c r="W2293" s="174"/>
      <c r="X2293" s="174"/>
      <c r="Y2293" s="58" t="s">
        <v>2266</v>
      </c>
      <c r="Z2293" s="58" t="s">
        <v>1355</v>
      </c>
      <c r="AA2293" s="94">
        <v>10</v>
      </c>
      <c r="AB2293" s="67"/>
      <c r="AC2293" s="67"/>
      <c r="AD2293" s="94">
        <v>1.31</v>
      </c>
      <c r="AE2293" s="93">
        <v>69.3</v>
      </c>
      <c r="AF2293" s="93">
        <v>9.5</v>
      </c>
      <c r="AG2293" s="93"/>
      <c r="AH2293" s="58" t="s">
        <v>238</v>
      </c>
      <c r="AI2293" s="169"/>
      <c r="AJ2293" s="94">
        <v>1.7</v>
      </c>
      <c r="AK2293" s="94"/>
      <c r="AL2293" s="58"/>
      <c r="AM2293" s="59" t="s">
        <v>2267</v>
      </c>
      <c r="AN2293" s="188" t="s">
        <v>2271</v>
      </c>
      <c r="AO2293" s="185" t="s">
        <v>5150</v>
      </c>
      <c r="AP2293" s="59"/>
      <c r="AQ2293" s="58" t="s">
        <v>1545</v>
      </c>
      <c r="AR2293" s="59" t="s">
        <v>2282</v>
      </c>
      <c r="AS2293" s="58" t="s">
        <v>227</v>
      </c>
      <c r="AT2293" s="182"/>
      <c r="AU2293" s="181" t="s">
        <v>7494</v>
      </c>
      <c r="AV2293" s="185" t="s">
        <v>176</v>
      </c>
      <c r="AW2293" s="58"/>
      <c r="AX2293" s="185" t="s">
        <v>176</v>
      </c>
      <c r="AY2293" s="58"/>
      <c r="AZ2293" s="59"/>
      <c r="BA2293" s="58"/>
      <c r="BB2293" s="58"/>
      <c r="BC2293" s="58"/>
      <c r="BD2293" s="58"/>
      <c r="BE2293" s="240"/>
      <c r="BF2293" s="59"/>
      <c r="BG2293" s="59"/>
      <c r="BH2293" s="236"/>
      <c r="BI2293" s="58"/>
      <c r="BJ2293" s="58"/>
      <c r="BK2293" s="58" t="s">
        <v>5976</v>
      </c>
      <c r="BL2293" s="58"/>
      <c r="BM2293" s="241" t="s">
        <v>160</v>
      </c>
      <c r="BN2293" s="58">
        <v>3</v>
      </c>
      <c r="BO2293" s="58">
        <v>3</v>
      </c>
      <c r="BP2293" s="59"/>
      <c r="BQ2293" s="58" t="s">
        <v>141</v>
      </c>
      <c r="BR2293" s="58"/>
      <c r="BS2293" s="58"/>
      <c r="BT2293" s="58"/>
      <c r="BU2293" s="58" t="s">
        <v>2280</v>
      </c>
      <c r="BV2293" s="58"/>
      <c r="BW2293" s="67"/>
      <c r="BX2293" s="67"/>
      <c r="BY2293" s="67"/>
      <c r="BZ2293" s="67"/>
      <c r="CA2293" s="67"/>
      <c r="CB2293" s="153">
        <v>221</v>
      </c>
      <c r="CC2293" s="68">
        <v>236</v>
      </c>
      <c r="CD2293" s="68"/>
      <c r="CE2293" s="67"/>
      <c r="CF2293" s="67"/>
      <c r="CG2293" s="67" t="s">
        <v>2285</v>
      </c>
      <c r="CH2293" s="94"/>
      <c r="CI2293" s="94"/>
      <c r="CJ2293" s="67"/>
      <c r="CK2293" s="67"/>
      <c r="CL2293" s="67"/>
      <c r="CM2293" s="67"/>
      <c r="CN2293" s="67"/>
      <c r="CO2293" s="67"/>
      <c r="CP2293" s="67"/>
      <c r="CQ2293" s="67"/>
      <c r="CR2293" s="67"/>
      <c r="CS2293" s="67"/>
      <c r="CT2293" s="67"/>
      <c r="CU2293" s="67"/>
      <c r="CV2293" s="67"/>
      <c r="CW2293" s="67"/>
      <c r="CX2293" s="67"/>
      <c r="CY2293" s="67"/>
      <c r="CZ2293" s="67"/>
      <c r="DA2293" s="67"/>
      <c r="DB2293" s="67"/>
      <c r="DC2293" s="67"/>
      <c r="DD2293" s="67"/>
      <c r="DE2293" s="67"/>
      <c r="DF2293" s="67"/>
      <c r="DG2293" s="67"/>
      <c r="DH2293" s="67"/>
      <c r="DI2293" s="67"/>
      <c r="DJ2293" s="67"/>
      <c r="DK2293" s="67"/>
      <c r="DL2293" s="67"/>
      <c r="DM2293" s="67"/>
      <c r="DN2293" s="67"/>
      <c r="DO2293" s="67"/>
      <c r="DP2293" s="67"/>
      <c r="DQ2293" s="166"/>
      <c r="DR2293" s="166"/>
      <c r="DS2293" s="163"/>
      <c r="DT2293" s="163"/>
      <c r="DU2293" s="67"/>
      <c r="DV2293" s="67"/>
      <c r="DW2293" s="67"/>
      <c r="DX2293" s="67"/>
      <c r="DY2293" s="67"/>
      <c r="DZ2293" s="67"/>
      <c r="EA2293" s="67"/>
      <c r="EB2293" s="67"/>
      <c r="EC2293" s="67"/>
      <c r="ED2293" s="67"/>
      <c r="EE2293" s="67"/>
      <c r="EF2293" s="67"/>
      <c r="EG2293" s="67"/>
      <c r="EH2293" s="67"/>
      <c r="EI2293" s="67"/>
      <c r="EJ2293" s="67"/>
      <c r="EK2293" s="94"/>
      <c r="EL2293" s="94"/>
      <c r="EM2293" s="67"/>
      <c r="EN2293" s="67"/>
      <c r="EO2293" s="67"/>
      <c r="EP2293" s="67"/>
      <c r="EQ2293" s="67"/>
      <c r="ER2293" s="67"/>
      <c r="ES2293" s="67"/>
      <c r="ET2293" s="67"/>
      <c r="EU2293" s="67"/>
      <c r="EV2293" s="67"/>
      <c r="EW2293" s="67"/>
      <c r="EX2293" s="67"/>
      <c r="EY2293" s="67"/>
      <c r="EZ2293" s="67"/>
      <c r="FA2293" s="67"/>
      <c r="FB2293" s="67"/>
      <c r="FC2293" s="67"/>
      <c r="FD2293" s="67"/>
      <c r="FE2293" s="67"/>
      <c r="FF2293" s="67"/>
      <c r="FG2293" s="67"/>
      <c r="FH2293" s="67"/>
      <c r="FI2293" s="67"/>
      <c r="FJ2293" s="67"/>
      <c r="FK2293" s="67"/>
      <c r="FL2293" s="67"/>
      <c r="FM2293" s="67"/>
      <c r="FN2293" s="67"/>
      <c r="FO2293" s="67"/>
      <c r="FP2293" s="67"/>
      <c r="FQ2293" s="67"/>
      <c r="FR2293" s="67"/>
      <c r="FS2293" s="67"/>
      <c r="FT2293" s="67"/>
      <c r="FU2293" s="67"/>
      <c r="FV2293" s="67"/>
      <c r="FW2293" s="67"/>
      <c r="FX2293" s="67"/>
      <c r="FY2293" s="67"/>
      <c r="FZ2293" s="67"/>
      <c r="GA2293" s="67"/>
      <c r="GB2293" s="67"/>
      <c r="GC2293" s="67"/>
      <c r="GD2293" s="67"/>
      <c r="GE2293" s="67"/>
      <c r="GF2293" s="67"/>
      <c r="GG2293" s="67"/>
      <c r="GH2293" s="67"/>
      <c r="GI2293" s="67"/>
      <c r="GJ2293" s="67"/>
      <c r="GK2293" s="67"/>
      <c r="GL2293" s="67"/>
      <c r="GM2293" s="67"/>
      <c r="GN2293" s="292"/>
      <c r="GO2293" s="292"/>
      <c r="GP2293" s="292" t="s">
        <v>7494</v>
      </c>
      <c r="GQ2293" s="67"/>
      <c r="GR2293" s="67"/>
      <c r="GS2293" s="67"/>
      <c r="GT2293" s="67"/>
      <c r="GU2293" s="67"/>
      <c r="GV2293" s="67"/>
      <c r="GW2293" s="67"/>
      <c r="GX2293" s="67"/>
      <c r="GY2293" s="67"/>
      <c r="GZ2293" s="67"/>
      <c r="HA2293" s="67"/>
      <c r="HB2293" s="67"/>
      <c r="HC2293" s="67"/>
      <c r="HD2293" s="67"/>
      <c r="HE2293" s="67"/>
      <c r="HF2293" s="67"/>
      <c r="HG2293" s="67"/>
      <c r="HH2293" s="67"/>
      <c r="HI2293" s="67"/>
      <c r="HJ2293" s="67"/>
      <c r="HK2293" s="67"/>
      <c r="HL2293" s="67"/>
      <c r="HM2293" s="67"/>
      <c r="HN2293" s="67"/>
      <c r="HO2293" s="67"/>
      <c r="HP2293" s="67"/>
      <c r="HQ2293" s="67"/>
      <c r="HR2293" s="67"/>
      <c r="HS2293" s="67"/>
      <c r="HT2293" s="67"/>
      <c r="HU2293" s="67"/>
      <c r="HV2293" s="67"/>
      <c r="HW2293" s="67"/>
      <c r="HX2293" s="67"/>
      <c r="HY2293" s="67"/>
      <c r="HZ2293" s="67"/>
      <c r="IA2293" s="67"/>
      <c r="IB2293" s="67"/>
      <c r="IC2293" s="67"/>
      <c r="ID2293" s="67"/>
      <c r="IE2293" s="67"/>
      <c r="IF2293" s="67"/>
      <c r="IG2293" s="67"/>
      <c r="IH2293" s="67"/>
      <c r="II2293" s="67"/>
      <c r="IJ2293" s="67"/>
      <c r="IK2293" s="67"/>
      <c r="IL2293" s="67"/>
      <c r="IM2293" s="67"/>
      <c r="IN2293" s="67"/>
      <c r="IO2293" s="67"/>
      <c r="IP2293" s="67"/>
      <c r="IQ2293" s="67"/>
      <c r="IR2293" s="67"/>
      <c r="IS2293" s="67"/>
      <c r="IT2293" s="67"/>
      <c r="IU2293" s="67"/>
      <c r="IV2293" s="67"/>
      <c r="IW2293" s="67"/>
      <c r="IX2293" s="67"/>
      <c r="IY2293" s="67"/>
      <c r="IZ2293" s="67"/>
      <c r="JA2293" s="67"/>
      <c r="JB2293" s="67"/>
      <c r="JC2293" s="67"/>
      <c r="JD2293" s="67"/>
      <c r="JE2293" s="67"/>
      <c r="JF2293" s="67"/>
      <c r="JG2293" s="67"/>
      <c r="JH2293" s="67"/>
      <c r="JI2293" s="67"/>
      <c r="JJ2293" s="67"/>
      <c r="JK2293" s="67"/>
      <c r="JL2293" s="67"/>
      <c r="JM2293" s="67"/>
      <c r="JN2293" s="67"/>
      <c r="JO2293" s="67"/>
      <c r="JP2293" s="67"/>
      <c r="JQ2293" s="67"/>
      <c r="JR2293" s="67"/>
      <c r="JS2293" s="67"/>
      <c r="JT2293" s="67"/>
      <c r="JU2293" s="58"/>
      <c r="JV2293" s="58"/>
      <c r="JW2293" s="58"/>
    </row>
    <row r="2294" spans="1:283" s="23" customFormat="1" x14ac:dyDescent="0.25">
      <c r="A2294" s="55">
        <v>2293</v>
      </c>
      <c r="B2294" s="12" t="s">
        <v>7067</v>
      </c>
      <c r="C2294" s="156">
        <v>110</v>
      </c>
      <c r="D2294" s="58" t="s">
        <v>4197</v>
      </c>
      <c r="E2294" s="93" t="s">
        <v>2174</v>
      </c>
      <c r="F2294" s="93"/>
      <c r="G2294" s="58" t="s">
        <v>2264</v>
      </c>
      <c r="H2294" s="59">
        <v>1982</v>
      </c>
      <c r="I2294" s="58">
        <v>1977</v>
      </c>
      <c r="J2294" s="59" t="s">
        <v>1709</v>
      </c>
      <c r="K2294" s="59" t="s">
        <v>2265</v>
      </c>
      <c r="L2294" s="59" t="s">
        <v>2744</v>
      </c>
      <c r="M2294" s="94">
        <v>7.38</v>
      </c>
      <c r="N2294" s="94">
        <v>3.95</v>
      </c>
      <c r="O2294" s="93">
        <v>229.3</v>
      </c>
      <c r="P2294" s="59"/>
      <c r="Q2294" s="58"/>
      <c r="R2294" s="59"/>
      <c r="S2294" s="94"/>
      <c r="T2294" s="58"/>
      <c r="U2294" s="58">
        <v>3</v>
      </c>
      <c r="V2294" s="59">
        <v>4</v>
      </c>
      <c r="W2294" s="174"/>
      <c r="X2294" s="174"/>
      <c r="Y2294" s="58" t="s">
        <v>2266</v>
      </c>
      <c r="Z2294" s="58" t="s">
        <v>1355</v>
      </c>
      <c r="AA2294" s="94">
        <v>10</v>
      </c>
      <c r="AB2294" s="67"/>
      <c r="AC2294" s="67"/>
      <c r="AD2294" s="94">
        <v>1.31</v>
      </c>
      <c r="AE2294" s="93">
        <v>69.3</v>
      </c>
      <c r="AF2294" s="93">
        <v>9.5</v>
      </c>
      <c r="AG2294" s="93"/>
      <c r="AH2294" s="58" t="s">
        <v>238</v>
      </c>
      <c r="AI2294" s="169"/>
      <c r="AJ2294" s="94">
        <v>1.7</v>
      </c>
      <c r="AK2294" s="94"/>
      <c r="AL2294" s="58"/>
      <c r="AM2294" s="59" t="s">
        <v>2267</v>
      </c>
      <c r="AN2294" s="188" t="s">
        <v>2272</v>
      </c>
      <c r="AO2294" s="185" t="s">
        <v>5150</v>
      </c>
      <c r="AP2294" s="59"/>
      <c r="AQ2294" s="58" t="s">
        <v>1545</v>
      </c>
      <c r="AR2294" s="59" t="s">
        <v>2282</v>
      </c>
      <c r="AS2294" s="58" t="s">
        <v>227</v>
      </c>
      <c r="AT2294" s="182"/>
      <c r="AU2294" s="181" t="s">
        <v>7494</v>
      </c>
      <c r="AV2294" s="185" t="s">
        <v>176</v>
      </c>
      <c r="AW2294" s="58"/>
      <c r="AX2294" s="185" t="s">
        <v>176</v>
      </c>
      <c r="AY2294" s="58"/>
      <c r="AZ2294" s="59"/>
      <c r="BA2294" s="58"/>
      <c r="BB2294" s="58"/>
      <c r="BC2294" s="58"/>
      <c r="BD2294" s="58"/>
      <c r="BE2294" s="240"/>
      <c r="BF2294" s="59"/>
      <c r="BG2294" s="59"/>
      <c r="BH2294" s="236"/>
      <c r="BI2294" s="58"/>
      <c r="BJ2294" s="58"/>
      <c r="BK2294" s="58" t="s">
        <v>5976</v>
      </c>
      <c r="BL2294" s="58"/>
      <c r="BM2294" s="241" t="s">
        <v>160</v>
      </c>
      <c r="BN2294" s="58">
        <v>3</v>
      </c>
      <c r="BO2294" s="58">
        <v>3</v>
      </c>
      <c r="BP2294" s="59"/>
      <c r="BQ2294" s="58" t="s">
        <v>141</v>
      </c>
      <c r="BR2294" s="58"/>
      <c r="BS2294" s="58"/>
      <c r="BT2294" s="58"/>
      <c r="BU2294" s="58" t="s">
        <v>2280</v>
      </c>
      <c r="BV2294" s="58"/>
      <c r="BW2294" s="67"/>
      <c r="BX2294" s="67"/>
      <c r="BY2294" s="67"/>
      <c r="BZ2294" s="67"/>
      <c r="CA2294" s="67"/>
      <c r="CB2294" s="153">
        <v>221</v>
      </c>
      <c r="CC2294" s="68">
        <v>118</v>
      </c>
      <c r="CD2294" s="68"/>
      <c r="CE2294" s="67"/>
      <c r="CF2294" s="67"/>
      <c r="CG2294" s="67" t="s">
        <v>2285</v>
      </c>
      <c r="CH2294" s="94"/>
      <c r="CI2294" s="94"/>
      <c r="CJ2294" s="67"/>
      <c r="CK2294" s="67"/>
      <c r="CL2294" s="67"/>
      <c r="CM2294" s="67"/>
      <c r="CN2294" s="67"/>
      <c r="CO2294" s="67"/>
      <c r="CP2294" s="67"/>
      <c r="CQ2294" s="67"/>
      <c r="CR2294" s="67"/>
      <c r="CS2294" s="67"/>
      <c r="CT2294" s="67"/>
      <c r="CU2294" s="67"/>
      <c r="CV2294" s="67"/>
      <c r="CW2294" s="67"/>
      <c r="CX2294" s="67"/>
      <c r="CY2294" s="67"/>
      <c r="CZ2294" s="67"/>
      <c r="DA2294" s="67"/>
      <c r="DB2294" s="67"/>
      <c r="DC2294" s="67"/>
      <c r="DD2294" s="67"/>
      <c r="DE2294" s="67"/>
      <c r="DF2294" s="67"/>
      <c r="DG2294" s="67"/>
      <c r="DH2294" s="67"/>
      <c r="DI2294" s="67"/>
      <c r="DJ2294" s="67"/>
      <c r="DK2294" s="67"/>
      <c r="DL2294" s="67"/>
      <c r="DM2294" s="67"/>
      <c r="DN2294" s="67"/>
      <c r="DO2294" s="67"/>
      <c r="DP2294" s="67"/>
      <c r="DQ2294" s="166"/>
      <c r="DR2294" s="166"/>
      <c r="DS2294" s="163"/>
      <c r="DT2294" s="163"/>
      <c r="DU2294" s="67"/>
      <c r="DV2294" s="67"/>
      <c r="DW2294" s="67"/>
      <c r="DX2294" s="67"/>
      <c r="DY2294" s="67"/>
      <c r="DZ2294" s="67"/>
      <c r="EA2294" s="67"/>
      <c r="EB2294" s="67"/>
      <c r="EC2294" s="67"/>
      <c r="ED2294" s="67"/>
      <c r="EE2294" s="67"/>
      <c r="EF2294" s="67"/>
      <c r="EG2294" s="67"/>
      <c r="EH2294" s="67"/>
      <c r="EI2294" s="67"/>
      <c r="EJ2294" s="67"/>
      <c r="EK2294" s="94"/>
      <c r="EL2294" s="94"/>
      <c r="EM2294" s="67"/>
      <c r="EN2294" s="67"/>
      <c r="EO2294" s="67"/>
      <c r="EP2294" s="67"/>
      <c r="EQ2294" s="67"/>
      <c r="ER2294" s="67"/>
      <c r="ES2294" s="67"/>
      <c r="ET2294" s="67"/>
      <c r="EU2294" s="67"/>
      <c r="EV2294" s="67"/>
      <c r="EW2294" s="67"/>
      <c r="EX2294" s="67"/>
      <c r="EY2294" s="67"/>
      <c r="EZ2294" s="67"/>
      <c r="FA2294" s="67"/>
      <c r="FB2294" s="67"/>
      <c r="FC2294" s="67"/>
      <c r="FD2294" s="67"/>
      <c r="FE2294" s="67"/>
      <c r="FF2294" s="67"/>
      <c r="FG2294" s="67"/>
      <c r="FH2294" s="67"/>
      <c r="FI2294" s="67"/>
      <c r="FJ2294" s="67"/>
      <c r="FK2294" s="67"/>
      <c r="FL2294" s="67"/>
      <c r="FM2294" s="67"/>
      <c r="FN2294" s="67"/>
      <c r="FO2294" s="67"/>
      <c r="FP2294" s="67"/>
      <c r="FQ2294" s="67"/>
      <c r="FR2294" s="67"/>
      <c r="FS2294" s="67"/>
      <c r="FT2294" s="67"/>
      <c r="FU2294" s="67"/>
      <c r="FV2294" s="67"/>
      <c r="FW2294" s="67"/>
      <c r="FX2294" s="67"/>
      <c r="FY2294" s="67"/>
      <c r="FZ2294" s="67"/>
      <c r="GA2294" s="67"/>
      <c r="GB2294" s="67"/>
      <c r="GC2294" s="67"/>
      <c r="GD2294" s="67"/>
      <c r="GE2294" s="67"/>
      <c r="GF2294" s="67"/>
      <c r="GG2294" s="67"/>
      <c r="GH2294" s="67"/>
      <c r="GI2294" s="67"/>
      <c r="GJ2294" s="67"/>
      <c r="GK2294" s="67"/>
      <c r="GL2294" s="67"/>
      <c r="GM2294" s="67"/>
      <c r="GN2294" s="292"/>
      <c r="GO2294" s="292"/>
      <c r="GP2294" s="292" t="s">
        <v>7494</v>
      </c>
      <c r="GQ2294" s="67"/>
      <c r="GR2294" s="67"/>
      <c r="GS2294" s="67"/>
      <c r="GT2294" s="67"/>
      <c r="GU2294" s="67"/>
      <c r="GV2294" s="67"/>
      <c r="GW2294" s="67"/>
      <c r="GX2294" s="67"/>
      <c r="GY2294" s="67"/>
      <c r="GZ2294" s="67"/>
      <c r="HA2294" s="67"/>
      <c r="HB2294" s="67"/>
      <c r="HC2294" s="67"/>
      <c r="HD2294" s="67"/>
      <c r="HE2294" s="67"/>
      <c r="HF2294" s="67"/>
      <c r="HG2294" s="67"/>
      <c r="HH2294" s="67"/>
      <c r="HI2294" s="67"/>
      <c r="HJ2294" s="67"/>
      <c r="HK2294" s="67"/>
      <c r="HL2294" s="67"/>
      <c r="HM2294" s="67"/>
      <c r="HN2294" s="67"/>
      <c r="HO2294" s="67"/>
      <c r="HP2294" s="67"/>
      <c r="HQ2294" s="67"/>
      <c r="HR2294" s="67"/>
      <c r="HS2294" s="67"/>
      <c r="HT2294" s="67"/>
      <c r="HU2294" s="67"/>
      <c r="HV2294" s="67"/>
      <c r="HW2294" s="67"/>
      <c r="HX2294" s="67"/>
      <c r="HY2294" s="67"/>
      <c r="HZ2294" s="67"/>
      <c r="IA2294" s="67"/>
      <c r="IB2294" s="67"/>
      <c r="IC2294" s="67"/>
      <c r="ID2294" s="67"/>
      <c r="IE2294" s="67"/>
      <c r="IF2294" s="67"/>
      <c r="IG2294" s="67"/>
      <c r="IH2294" s="67"/>
      <c r="II2294" s="67"/>
      <c r="IJ2294" s="67"/>
      <c r="IK2294" s="67"/>
      <c r="IL2294" s="67"/>
      <c r="IM2294" s="67"/>
      <c r="IN2294" s="67"/>
      <c r="IO2294" s="67"/>
      <c r="IP2294" s="67"/>
      <c r="IQ2294" s="67"/>
      <c r="IR2294" s="67"/>
      <c r="IS2294" s="67"/>
      <c r="IT2294" s="67"/>
      <c r="IU2294" s="67"/>
      <c r="IV2294" s="67"/>
      <c r="IW2294" s="67"/>
      <c r="IX2294" s="67"/>
      <c r="IY2294" s="67"/>
      <c r="IZ2294" s="67"/>
      <c r="JA2294" s="67"/>
      <c r="JB2294" s="67"/>
      <c r="JC2294" s="67"/>
      <c r="JD2294" s="67"/>
      <c r="JE2294" s="67"/>
      <c r="JF2294" s="67"/>
      <c r="JG2294" s="67"/>
      <c r="JH2294" s="67"/>
      <c r="JI2294" s="67"/>
      <c r="JJ2294" s="67"/>
      <c r="JK2294" s="67"/>
      <c r="JL2294" s="67"/>
      <c r="JM2294" s="67"/>
      <c r="JN2294" s="67"/>
      <c r="JO2294" s="67"/>
      <c r="JP2294" s="67"/>
      <c r="JQ2294" s="67"/>
      <c r="JR2294" s="67"/>
      <c r="JS2294" s="67"/>
      <c r="JT2294" s="67"/>
      <c r="JU2294" s="58"/>
      <c r="JV2294" s="58"/>
      <c r="JW2294" s="58"/>
    </row>
    <row r="2295" spans="1:283" s="23" customFormat="1" x14ac:dyDescent="0.25">
      <c r="A2295" s="55">
        <v>2294</v>
      </c>
      <c r="B2295" s="12" t="s">
        <v>7067</v>
      </c>
      <c r="C2295" s="156">
        <v>110</v>
      </c>
      <c r="D2295" s="58" t="s">
        <v>4197</v>
      </c>
      <c r="E2295" s="93" t="s">
        <v>2174</v>
      </c>
      <c r="F2295" s="93"/>
      <c r="G2295" s="58" t="s">
        <v>2264</v>
      </c>
      <c r="H2295" s="59">
        <v>1982</v>
      </c>
      <c r="I2295" s="58">
        <v>1977</v>
      </c>
      <c r="J2295" s="59" t="s">
        <v>1709</v>
      </c>
      <c r="K2295" s="59" t="s">
        <v>2265</v>
      </c>
      <c r="L2295" s="59" t="s">
        <v>2744</v>
      </c>
      <c r="M2295" s="94">
        <v>7.38</v>
      </c>
      <c r="N2295" s="94">
        <v>3.95</v>
      </c>
      <c r="O2295" s="93">
        <v>229.3</v>
      </c>
      <c r="P2295" s="59"/>
      <c r="Q2295" s="58"/>
      <c r="R2295" s="59"/>
      <c r="S2295" s="94"/>
      <c r="T2295" s="58"/>
      <c r="U2295" s="58">
        <v>3</v>
      </c>
      <c r="V2295" s="59">
        <v>4</v>
      </c>
      <c r="W2295" s="174"/>
      <c r="X2295" s="174"/>
      <c r="Y2295" s="58" t="s">
        <v>2266</v>
      </c>
      <c r="Z2295" s="58" t="s">
        <v>1355</v>
      </c>
      <c r="AA2295" s="94">
        <v>10</v>
      </c>
      <c r="AB2295" s="67"/>
      <c r="AC2295" s="67"/>
      <c r="AD2295" s="94">
        <v>1.31</v>
      </c>
      <c r="AE2295" s="93">
        <v>69.3</v>
      </c>
      <c r="AF2295" s="93">
        <v>9.5</v>
      </c>
      <c r="AG2295" s="93"/>
      <c r="AH2295" s="58" t="s">
        <v>238</v>
      </c>
      <c r="AI2295" s="169"/>
      <c r="AJ2295" s="94">
        <v>1.7</v>
      </c>
      <c r="AK2295" s="94"/>
      <c r="AL2295" s="58"/>
      <c r="AM2295" s="59" t="s">
        <v>2267</v>
      </c>
      <c r="AN2295" s="188" t="s">
        <v>2273</v>
      </c>
      <c r="AO2295" s="185" t="s">
        <v>5150</v>
      </c>
      <c r="AP2295" s="59"/>
      <c r="AQ2295" s="58" t="s">
        <v>1545</v>
      </c>
      <c r="AR2295" s="59" t="s">
        <v>2282</v>
      </c>
      <c r="AS2295" s="58" t="s">
        <v>227</v>
      </c>
      <c r="AT2295" s="182"/>
      <c r="AU2295" s="181" t="s">
        <v>7494</v>
      </c>
      <c r="AV2295" s="185" t="s">
        <v>176</v>
      </c>
      <c r="AW2295" s="58"/>
      <c r="AX2295" s="185" t="s">
        <v>176</v>
      </c>
      <c r="AY2295" s="58"/>
      <c r="AZ2295" s="59"/>
      <c r="BA2295" s="58"/>
      <c r="BB2295" s="58"/>
      <c r="BC2295" s="58"/>
      <c r="BD2295" s="58"/>
      <c r="BE2295" s="240"/>
      <c r="BF2295" s="59"/>
      <c r="BG2295" s="59"/>
      <c r="BH2295" s="236"/>
      <c r="BI2295" s="58"/>
      <c r="BJ2295" s="58"/>
      <c r="BK2295" s="58" t="s">
        <v>5976</v>
      </c>
      <c r="BL2295" s="58"/>
      <c r="BM2295" s="241" t="s">
        <v>160</v>
      </c>
      <c r="BN2295" s="58">
        <v>3</v>
      </c>
      <c r="BO2295" s="58">
        <v>3</v>
      </c>
      <c r="BP2295" s="59"/>
      <c r="BQ2295" s="58" t="s">
        <v>141</v>
      </c>
      <c r="BR2295" s="58"/>
      <c r="BS2295" s="58"/>
      <c r="BT2295" s="58"/>
      <c r="BU2295" s="58" t="s">
        <v>2280</v>
      </c>
      <c r="BV2295" s="58"/>
      <c r="BW2295" s="67"/>
      <c r="BX2295" s="67"/>
      <c r="BY2295" s="67"/>
      <c r="BZ2295" s="67"/>
      <c r="CA2295" s="67"/>
      <c r="CB2295" s="153">
        <v>221</v>
      </c>
      <c r="CC2295" s="68">
        <v>10</v>
      </c>
      <c r="CD2295" s="68"/>
      <c r="CE2295" s="67"/>
      <c r="CF2295" s="67"/>
      <c r="CG2295" s="67" t="s">
        <v>2285</v>
      </c>
      <c r="CH2295" s="94"/>
      <c r="CI2295" s="94"/>
      <c r="CJ2295" s="67"/>
      <c r="CK2295" s="67"/>
      <c r="CL2295" s="67"/>
      <c r="CM2295" s="67"/>
      <c r="CN2295" s="67"/>
      <c r="CO2295" s="67"/>
      <c r="CP2295" s="67"/>
      <c r="CQ2295" s="67"/>
      <c r="CR2295" s="67"/>
      <c r="CS2295" s="67"/>
      <c r="CT2295" s="67"/>
      <c r="CU2295" s="67"/>
      <c r="CV2295" s="67"/>
      <c r="CW2295" s="67"/>
      <c r="CX2295" s="67"/>
      <c r="CY2295" s="67"/>
      <c r="CZ2295" s="67"/>
      <c r="DA2295" s="67"/>
      <c r="DB2295" s="67"/>
      <c r="DC2295" s="67"/>
      <c r="DD2295" s="67"/>
      <c r="DE2295" s="67"/>
      <c r="DF2295" s="67"/>
      <c r="DG2295" s="67"/>
      <c r="DH2295" s="67"/>
      <c r="DI2295" s="67"/>
      <c r="DJ2295" s="67"/>
      <c r="DK2295" s="67"/>
      <c r="DL2295" s="67"/>
      <c r="DM2295" s="67"/>
      <c r="DN2295" s="67"/>
      <c r="DO2295" s="67"/>
      <c r="DP2295" s="67"/>
      <c r="DQ2295" s="166"/>
      <c r="DR2295" s="166"/>
      <c r="DS2295" s="163"/>
      <c r="DT2295" s="163"/>
      <c r="DU2295" s="67"/>
      <c r="DV2295" s="67"/>
      <c r="DW2295" s="67"/>
      <c r="DX2295" s="67"/>
      <c r="DY2295" s="67"/>
      <c r="DZ2295" s="67"/>
      <c r="EA2295" s="67"/>
      <c r="EB2295" s="67"/>
      <c r="EC2295" s="67"/>
      <c r="ED2295" s="67"/>
      <c r="EE2295" s="67"/>
      <c r="EF2295" s="67"/>
      <c r="EG2295" s="67"/>
      <c r="EH2295" s="67"/>
      <c r="EI2295" s="67"/>
      <c r="EJ2295" s="67"/>
      <c r="EK2295" s="94"/>
      <c r="EL2295" s="94"/>
      <c r="EM2295" s="67"/>
      <c r="EN2295" s="67"/>
      <c r="EO2295" s="67"/>
      <c r="EP2295" s="67"/>
      <c r="EQ2295" s="67"/>
      <c r="ER2295" s="67"/>
      <c r="ES2295" s="67"/>
      <c r="ET2295" s="67"/>
      <c r="EU2295" s="67"/>
      <c r="EV2295" s="67"/>
      <c r="EW2295" s="67"/>
      <c r="EX2295" s="67"/>
      <c r="EY2295" s="67"/>
      <c r="EZ2295" s="67"/>
      <c r="FA2295" s="67"/>
      <c r="FB2295" s="67"/>
      <c r="FC2295" s="67"/>
      <c r="FD2295" s="67"/>
      <c r="FE2295" s="67"/>
      <c r="FF2295" s="67"/>
      <c r="FG2295" s="67"/>
      <c r="FH2295" s="67"/>
      <c r="FI2295" s="67"/>
      <c r="FJ2295" s="67"/>
      <c r="FK2295" s="67"/>
      <c r="FL2295" s="67"/>
      <c r="FM2295" s="67"/>
      <c r="FN2295" s="67"/>
      <c r="FO2295" s="67"/>
      <c r="FP2295" s="67"/>
      <c r="FQ2295" s="67"/>
      <c r="FR2295" s="67"/>
      <c r="FS2295" s="67"/>
      <c r="FT2295" s="67"/>
      <c r="FU2295" s="67"/>
      <c r="FV2295" s="67"/>
      <c r="FW2295" s="67"/>
      <c r="FX2295" s="67"/>
      <c r="FY2295" s="67"/>
      <c r="FZ2295" s="67"/>
      <c r="GA2295" s="67"/>
      <c r="GB2295" s="67"/>
      <c r="GC2295" s="67"/>
      <c r="GD2295" s="67"/>
      <c r="GE2295" s="67"/>
      <c r="GF2295" s="67"/>
      <c r="GG2295" s="67"/>
      <c r="GH2295" s="67"/>
      <c r="GI2295" s="67"/>
      <c r="GJ2295" s="67"/>
      <c r="GK2295" s="67"/>
      <c r="GL2295" s="67"/>
      <c r="GM2295" s="67"/>
      <c r="GN2295" s="292"/>
      <c r="GO2295" s="292"/>
      <c r="GP2295" s="292" t="s">
        <v>7494</v>
      </c>
      <c r="GQ2295" s="67"/>
      <c r="GR2295" s="67"/>
      <c r="GS2295" s="67"/>
      <c r="GT2295" s="67"/>
      <c r="GU2295" s="67"/>
      <c r="GV2295" s="67"/>
      <c r="GW2295" s="67"/>
      <c r="GX2295" s="67"/>
      <c r="GY2295" s="67"/>
      <c r="GZ2295" s="67"/>
      <c r="HA2295" s="67"/>
      <c r="HB2295" s="67"/>
      <c r="HC2295" s="67"/>
      <c r="HD2295" s="67"/>
      <c r="HE2295" s="67"/>
      <c r="HF2295" s="67"/>
      <c r="HG2295" s="67"/>
      <c r="HH2295" s="67"/>
      <c r="HI2295" s="67"/>
      <c r="HJ2295" s="67"/>
      <c r="HK2295" s="67"/>
      <c r="HL2295" s="67"/>
      <c r="HM2295" s="67"/>
      <c r="HN2295" s="67"/>
      <c r="HO2295" s="67"/>
      <c r="HP2295" s="67"/>
      <c r="HQ2295" s="67"/>
      <c r="HR2295" s="67"/>
      <c r="HS2295" s="67"/>
      <c r="HT2295" s="67"/>
      <c r="HU2295" s="67"/>
      <c r="HV2295" s="67"/>
      <c r="HW2295" s="67"/>
      <c r="HX2295" s="67"/>
      <c r="HY2295" s="67"/>
      <c r="HZ2295" s="67"/>
      <c r="IA2295" s="67"/>
      <c r="IB2295" s="67"/>
      <c r="IC2295" s="67"/>
      <c r="ID2295" s="67"/>
      <c r="IE2295" s="67"/>
      <c r="IF2295" s="67"/>
      <c r="IG2295" s="67"/>
      <c r="IH2295" s="67"/>
      <c r="II2295" s="67"/>
      <c r="IJ2295" s="67"/>
      <c r="IK2295" s="67"/>
      <c r="IL2295" s="67"/>
      <c r="IM2295" s="67"/>
      <c r="IN2295" s="67"/>
      <c r="IO2295" s="67"/>
      <c r="IP2295" s="67"/>
      <c r="IQ2295" s="67"/>
      <c r="IR2295" s="67"/>
      <c r="IS2295" s="67"/>
      <c r="IT2295" s="67"/>
      <c r="IU2295" s="67"/>
      <c r="IV2295" s="67"/>
      <c r="IW2295" s="67"/>
      <c r="IX2295" s="67"/>
      <c r="IY2295" s="67"/>
      <c r="IZ2295" s="67"/>
      <c r="JA2295" s="67"/>
      <c r="JB2295" s="67"/>
      <c r="JC2295" s="67"/>
      <c r="JD2295" s="67"/>
      <c r="JE2295" s="67"/>
      <c r="JF2295" s="67"/>
      <c r="JG2295" s="67"/>
      <c r="JH2295" s="67"/>
      <c r="JI2295" s="67"/>
      <c r="JJ2295" s="67"/>
      <c r="JK2295" s="67"/>
      <c r="JL2295" s="67"/>
      <c r="JM2295" s="67"/>
      <c r="JN2295" s="67"/>
      <c r="JO2295" s="67"/>
      <c r="JP2295" s="67"/>
      <c r="JQ2295" s="67"/>
      <c r="JR2295" s="67"/>
      <c r="JS2295" s="67"/>
      <c r="JT2295" s="67"/>
      <c r="JU2295" s="58"/>
      <c r="JV2295" s="58"/>
      <c r="JW2295" s="58"/>
    </row>
    <row r="2296" spans="1:283" s="23" customFormat="1" x14ac:dyDescent="0.25">
      <c r="A2296" s="55">
        <v>2295</v>
      </c>
      <c r="B2296" s="12" t="s">
        <v>7067</v>
      </c>
      <c r="C2296" s="156">
        <v>110</v>
      </c>
      <c r="D2296" s="58" t="s">
        <v>4198</v>
      </c>
      <c r="E2296" s="93" t="s">
        <v>2174</v>
      </c>
      <c r="F2296" s="93"/>
      <c r="G2296" s="58" t="s">
        <v>2264</v>
      </c>
      <c r="H2296" s="59">
        <v>1982</v>
      </c>
      <c r="I2296" s="58">
        <v>1977</v>
      </c>
      <c r="J2296" s="59" t="s">
        <v>1709</v>
      </c>
      <c r="K2296" s="59" t="s">
        <v>2265</v>
      </c>
      <c r="L2296" s="59" t="s">
        <v>2744</v>
      </c>
      <c r="M2296" s="94">
        <v>7.38</v>
      </c>
      <c r="N2296" s="94">
        <v>3.95</v>
      </c>
      <c r="O2296" s="93">
        <v>229.3</v>
      </c>
      <c r="P2296" s="59"/>
      <c r="Q2296" s="58"/>
      <c r="R2296" s="59"/>
      <c r="S2296" s="94"/>
      <c r="T2296" s="58"/>
      <c r="U2296" s="58">
        <v>3</v>
      </c>
      <c r="V2296" s="59">
        <v>4</v>
      </c>
      <c r="W2296" s="174"/>
      <c r="X2296" s="174"/>
      <c r="Y2296" s="58" t="s">
        <v>2266</v>
      </c>
      <c r="Z2296" s="58" t="s">
        <v>1355</v>
      </c>
      <c r="AA2296" s="94">
        <v>10</v>
      </c>
      <c r="AB2296" s="67"/>
      <c r="AC2296" s="67"/>
      <c r="AD2296" s="94">
        <v>1.31</v>
      </c>
      <c r="AE2296" s="93">
        <v>69.3</v>
      </c>
      <c r="AF2296" s="93">
        <v>9.5</v>
      </c>
      <c r="AG2296" s="93"/>
      <c r="AH2296" s="58" t="s">
        <v>238</v>
      </c>
      <c r="AI2296" s="169"/>
      <c r="AJ2296" s="94">
        <v>1.7</v>
      </c>
      <c r="AK2296" s="94"/>
      <c r="AL2296" s="58"/>
      <c r="AM2296" s="59" t="s">
        <v>2267</v>
      </c>
      <c r="AN2296" s="188" t="s">
        <v>2274</v>
      </c>
      <c r="AO2296" s="185" t="s">
        <v>5150</v>
      </c>
      <c r="AP2296" s="59"/>
      <c r="AQ2296" s="58" t="s">
        <v>553</v>
      </c>
      <c r="AR2296" s="59" t="s">
        <v>2282</v>
      </c>
      <c r="AS2296" s="58" t="s">
        <v>227</v>
      </c>
      <c r="AT2296" s="182"/>
      <c r="AU2296" s="181" t="s">
        <v>7494</v>
      </c>
      <c r="AV2296" s="185" t="s">
        <v>176</v>
      </c>
      <c r="AW2296" s="58"/>
      <c r="AX2296" s="185" t="s">
        <v>176</v>
      </c>
      <c r="AY2296" s="58"/>
      <c r="AZ2296" s="59"/>
      <c r="BA2296" s="58"/>
      <c r="BB2296" s="58"/>
      <c r="BC2296" s="58"/>
      <c r="BD2296" s="58"/>
      <c r="BE2296" s="240"/>
      <c r="BF2296" s="59"/>
      <c r="BG2296" s="59"/>
      <c r="BH2296" s="236"/>
      <c r="BI2296" s="58"/>
      <c r="BJ2296" s="58"/>
      <c r="BK2296" s="58" t="s">
        <v>5976</v>
      </c>
      <c r="BL2296" s="58"/>
      <c r="BM2296" s="241" t="s">
        <v>160</v>
      </c>
      <c r="BN2296" s="58">
        <v>3</v>
      </c>
      <c r="BO2296" s="58">
        <v>3</v>
      </c>
      <c r="BP2296" s="59"/>
      <c r="BQ2296" s="58" t="s">
        <v>141</v>
      </c>
      <c r="BR2296" s="58"/>
      <c r="BS2296" s="58"/>
      <c r="BT2296" s="58"/>
      <c r="BU2296" s="58" t="s">
        <v>2280</v>
      </c>
      <c r="BV2296" s="58"/>
      <c r="BW2296" s="67"/>
      <c r="BX2296" s="67"/>
      <c r="BY2296" s="67"/>
      <c r="BZ2296" s="67"/>
      <c r="CA2296" s="67"/>
      <c r="CB2296" s="153">
        <v>221</v>
      </c>
      <c r="CC2296" s="68">
        <v>395</v>
      </c>
      <c r="CD2296" s="68"/>
      <c r="CE2296" s="67"/>
      <c r="CF2296" s="67"/>
      <c r="CG2296" s="67" t="s">
        <v>2285</v>
      </c>
      <c r="CH2296" s="94"/>
      <c r="CI2296" s="94"/>
      <c r="CJ2296" s="67"/>
      <c r="CK2296" s="67"/>
      <c r="CL2296" s="67"/>
      <c r="CM2296" s="67"/>
      <c r="CN2296" s="67"/>
      <c r="CO2296" s="67"/>
      <c r="CP2296" s="67"/>
      <c r="CQ2296" s="67"/>
      <c r="CR2296" s="67"/>
      <c r="CS2296" s="67"/>
      <c r="CT2296" s="67"/>
      <c r="CU2296" s="67"/>
      <c r="CV2296" s="67"/>
      <c r="CW2296" s="67"/>
      <c r="CX2296" s="67"/>
      <c r="CY2296" s="67"/>
      <c r="CZ2296" s="67"/>
      <c r="DA2296" s="67"/>
      <c r="DB2296" s="67"/>
      <c r="DC2296" s="67"/>
      <c r="DD2296" s="67"/>
      <c r="DE2296" s="67"/>
      <c r="DF2296" s="67"/>
      <c r="DG2296" s="67"/>
      <c r="DH2296" s="67"/>
      <c r="DI2296" s="67"/>
      <c r="DJ2296" s="67"/>
      <c r="DK2296" s="67"/>
      <c r="DL2296" s="67"/>
      <c r="DM2296" s="67"/>
      <c r="DN2296" s="67"/>
      <c r="DO2296" s="67"/>
      <c r="DP2296" s="67"/>
      <c r="DQ2296" s="166"/>
      <c r="DR2296" s="166"/>
      <c r="DS2296" s="163"/>
      <c r="DT2296" s="163"/>
      <c r="DU2296" s="67"/>
      <c r="DV2296" s="67"/>
      <c r="DW2296" s="67"/>
      <c r="DX2296" s="67"/>
      <c r="DY2296" s="67"/>
      <c r="DZ2296" s="67"/>
      <c r="EA2296" s="67"/>
      <c r="EB2296" s="67"/>
      <c r="EC2296" s="67"/>
      <c r="ED2296" s="67"/>
      <c r="EE2296" s="67"/>
      <c r="EF2296" s="67"/>
      <c r="EG2296" s="67"/>
      <c r="EH2296" s="67"/>
      <c r="EI2296" s="67"/>
      <c r="EJ2296" s="67"/>
      <c r="EK2296" s="94"/>
      <c r="EL2296" s="94"/>
      <c r="EM2296" s="67"/>
      <c r="EN2296" s="67"/>
      <c r="EO2296" s="67"/>
      <c r="EP2296" s="67"/>
      <c r="EQ2296" s="67"/>
      <c r="ER2296" s="67"/>
      <c r="ES2296" s="67"/>
      <c r="ET2296" s="67"/>
      <c r="EU2296" s="67"/>
      <c r="EV2296" s="67"/>
      <c r="EW2296" s="67"/>
      <c r="EX2296" s="67"/>
      <c r="EY2296" s="67"/>
      <c r="EZ2296" s="67"/>
      <c r="FA2296" s="67"/>
      <c r="FB2296" s="67"/>
      <c r="FC2296" s="67"/>
      <c r="FD2296" s="67"/>
      <c r="FE2296" s="67"/>
      <c r="FF2296" s="67"/>
      <c r="FG2296" s="67"/>
      <c r="FH2296" s="67"/>
      <c r="FI2296" s="67"/>
      <c r="FJ2296" s="67"/>
      <c r="FK2296" s="67"/>
      <c r="FL2296" s="67"/>
      <c r="FM2296" s="67"/>
      <c r="FN2296" s="67"/>
      <c r="FO2296" s="67"/>
      <c r="FP2296" s="67"/>
      <c r="FQ2296" s="67"/>
      <c r="FR2296" s="67"/>
      <c r="FS2296" s="67"/>
      <c r="FT2296" s="67"/>
      <c r="FU2296" s="67"/>
      <c r="FV2296" s="67"/>
      <c r="FW2296" s="67"/>
      <c r="FX2296" s="67"/>
      <c r="FY2296" s="67"/>
      <c r="FZ2296" s="67"/>
      <c r="GA2296" s="67"/>
      <c r="GB2296" s="67"/>
      <c r="GC2296" s="67"/>
      <c r="GD2296" s="67"/>
      <c r="GE2296" s="67"/>
      <c r="GF2296" s="67"/>
      <c r="GG2296" s="67"/>
      <c r="GH2296" s="67"/>
      <c r="GI2296" s="67"/>
      <c r="GJ2296" s="67"/>
      <c r="GK2296" s="67"/>
      <c r="GL2296" s="67"/>
      <c r="GM2296" s="67"/>
      <c r="GN2296" s="292"/>
      <c r="GO2296" s="292"/>
      <c r="GP2296" s="292" t="s">
        <v>7494</v>
      </c>
      <c r="GQ2296" s="67"/>
      <c r="GR2296" s="67"/>
      <c r="GS2296" s="67"/>
      <c r="GT2296" s="67"/>
      <c r="GU2296" s="67"/>
      <c r="GV2296" s="67"/>
      <c r="GW2296" s="67"/>
      <c r="GX2296" s="67"/>
      <c r="GY2296" s="67"/>
      <c r="GZ2296" s="67"/>
      <c r="HA2296" s="67"/>
      <c r="HB2296" s="67"/>
      <c r="HC2296" s="67"/>
      <c r="HD2296" s="67"/>
      <c r="HE2296" s="67"/>
      <c r="HF2296" s="67"/>
      <c r="HG2296" s="67"/>
      <c r="HH2296" s="67"/>
      <c r="HI2296" s="67"/>
      <c r="HJ2296" s="67"/>
      <c r="HK2296" s="67"/>
      <c r="HL2296" s="67"/>
      <c r="HM2296" s="67"/>
      <c r="HN2296" s="67"/>
      <c r="HO2296" s="67"/>
      <c r="HP2296" s="67"/>
      <c r="HQ2296" s="67"/>
      <c r="HR2296" s="67"/>
      <c r="HS2296" s="67"/>
      <c r="HT2296" s="67"/>
      <c r="HU2296" s="67"/>
      <c r="HV2296" s="67"/>
      <c r="HW2296" s="67"/>
      <c r="HX2296" s="67"/>
      <c r="HY2296" s="67"/>
      <c r="HZ2296" s="67"/>
      <c r="IA2296" s="67"/>
      <c r="IB2296" s="67"/>
      <c r="IC2296" s="67"/>
      <c r="ID2296" s="67"/>
      <c r="IE2296" s="67"/>
      <c r="IF2296" s="67"/>
      <c r="IG2296" s="67"/>
      <c r="IH2296" s="67"/>
      <c r="II2296" s="67"/>
      <c r="IJ2296" s="67"/>
      <c r="IK2296" s="67"/>
      <c r="IL2296" s="67"/>
      <c r="IM2296" s="67"/>
      <c r="IN2296" s="67"/>
      <c r="IO2296" s="67"/>
      <c r="IP2296" s="67"/>
      <c r="IQ2296" s="67"/>
      <c r="IR2296" s="67"/>
      <c r="IS2296" s="67"/>
      <c r="IT2296" s="67"/>
      <c r="IU2296" s="67"/>
      <c r="IV2296" s="67"/>
      <c r="IW2296" s="67"/>
      <c r="IX2296" s="67"/>
      <c r="IY2296" s="67"/>
      <c r="IZ2296" s="67"/>
      <c r="JA2296" s="67"/>
      <c r="JB2296" s="67"/>
      <c r="JC2296" s="67"/>
      <c r="JD2296" s="67"/>
      <c r="JE2296" s="67"/>
      <c r="JF2296" s="67"/>
      <c r="JG2296" s="67"/>
      <c r="JH2296" s="67"/>
      <c r="JI2296" s="67"/>
      <c r="JJ2296" s="67"/>
      <c r="JK2296" s="67"/>
      <c r="JL2296" s="67"/>
      <c r="JM2296" s="67"/>
      <c r="JN2296" s="67"/>
      <c r="JO2296" s="67"/>
      <c r="JP2296" s="67"/>
      <c r="JQ2296" s="67"/>
      <c r="JR2296" s="67"/>
      <c r="JS2296" s="67"/>
      <c r="JT2296" s="67"/>
      <c r="JU2296" s="58"/>
      <c r="JV2296" s="58"/>
      <c r="JW2296" s="58"/>
    </row>
    <row r="2297" spans="1:283" s="23" customFormat="1" x14ac:dyDescent="0.25">
      <c r="A2297" s="55">
        <v>2296</v>
      </c>
      <c r="B2297" s="12" t="s">
        <v>7067</v>
      </c>
      <c r="C2297" s="156">
        <v>110</v>
      </c>
      <c r="D2297" s="58" t="s">
        <v>4198</v>
      </c>
      <c r="E2297" s="93" t="s">
        <v>2174</v>
      </c>
      <c r="F2297" s="93"/>
      <c r="G2297" s="58" t="s">
        <v>2264</v>
      </c>
      <c r="H2297" s="59">
        <v>1982</v>
      </c>
      <c r="I2297" s="58">
        <v>1977</v>
      </c>
      <c r="J2297" s="59" t="s">
        <v>1709</v>
      </c>
      <c r="K2297" s="59" t="s">
        <v>2265</v>
      </c>
      <c r="L2297" s="59" t="s">
        <v>2744</v>
      </c>
      <c r="M2297" s="94">
        <v>7.38</v>
      </c>
      <c r="N2297" s="94">
        <v>3.95</v>
      </c>
      <c r="O2297" s="93">
        <v>229.3</v>
      </c>
      <c r="P2297" s="59"/>
      <c r="Q2297" s="58"/>
      <c r="R2297" s="59"/>
      <c r="S2297" s="94"/>
      <c r="T2297" s="58"/>
      <c r="U2297" s="58">
        <v>3</v>
      </c>
      <c r="V2297" s="59">
        <v>4</v>
      </c>
      <c r="W2297" s="174"/>
      <c r="X2297" s="174"/>
      <c r="Y2297" s="58" t="s">
        <v>2266</v>
      </c>
      <c r="Z2297" s="58" t="s">
        <v>1355</v>
      </c>
      <c r="AA2297" s="94">
        <v>10</v>
      </c>
      <c r="AB2297" s="67"/>
      <c r="AC2297" s="67"/>
      <c r="AD2297" s="94">
        <v>1.31</v>
      </c>
      <c r="AE2297" s="93">
        <v>69.3</v>
      </c>
      <c r="AF2297" s="93">
        <v>9.5</v>
      </c>
      <c r="AG2297" s="93"/>
      <c r="AH2297" s="58" t="s">
        <v>238</v>
      </c>
      <c r="AI2297" s="169"/>
      <c r="AJ2297" s="94">
        <v>1.7</v>
      </c>
      <c r="AK2297" s="94"/>
      <c r="AL2297" s="58"/>
      <c r="AM2297" s="59" t="s">
        <v>2267</v>
      </c>
      <c r="AN2297" s="188" t="s">
        <v>2275</v>
      </c>
      <c r="AO2297" s="185" t="s">
        <v>5150</v>
      </c>
      <c r="AP2297" s="59"/>
      <c r="AQ2297" s="58" t="s">
        <v>553</v>
      </c>
      <c r="AR2297" s="59" t="s">
        <v>2282</v>
      </c>
      <c r="AS2297" s="58" t="s">
        <v>227</v>
      </c>
      <c r="AT2297" s="182"/>
      <c r="AU2297" s="181" t="s">
        <v>7494</v>
      </c>
      <c r="AV2297" s="185" t="s">
        <v>176</v>
      </c>
      <c r="AW2297" s="58"/>
      <c r="AX2297" s="185" t="s">
        <v>176</v>
      </c>
      <c r="AY2297" s="58"/>
      <c r="AZ2297" s="59"/>
      <c r="BA2297" s="58"/>
      <c r="BB2297" s="58"/>
      <c r="BC2297" s="58"/>
      <c r="BD2297" s="58"/>
      <c r="BE2297" s="240"/>
      <c r="BF2297" s="59"/>
      <c r="BG2297" s="59"/>
      <c r="BH2297" s="236"/>
      <c r="BI2297" s="58"/>
      <c r="BJ2297" s="58"/>
      <c r="BK2297" s="58" t="s">
        <v>5976</v>
      </c>
      <c r="BL2297" s="58"/>
      <c r="BM2297" s="241" t="s">
        <v>160</v>
      </c>
      <c r="BN2297" s="58">
        <v>3</v>
      </c>
      <c r="BO2297" s="58">
        <v>3</v>
      </c>
      <c r="BP2297" s="59"/>
      <c r="BQ2297" s="58" t="s">
        <v>141</v>
      </c>
      <c r="BR2297" s="58"/>
      <c r="BS2297" s="58"/>
      <c r="BT2297" s="58"/>
      <c r="BU2297" s="58" t="s">
        <v>2280</v>
      </c>
      <c r="BV2297" s="58"/>
      <c r="BW2297" s="67"/>
      <c r="BX2297" s="67"/>
      <c r="BY2297" s="67"/>
      <c r="BZ2297" s="67"/>
      <c r="CA2297" s="67"/>
      <c r="CB2297" s="153">
        <v>221</v>
      </c>
      <c r="CC2297" s="68">
        <v>416</v>
      </c>
      <c r="CD2297" s="68"/>
      <c r="CE2297" s="67"/>
      <c r="CF2297" s="67"/>
      <c r="CG2297" s="67" t="s">
        <v>2285</v>
      </c>
      <c r="CH2297" s="94"/>
      <c r="CI2297" s="94"/>
      <c r="CJ2297" s="67"/>
      <c r="CK2297" s="67"/>
      <c r="CL2297" s="67"/>
      <c r="CM2297" s="67"/>
      <c r="CN2297" s="67"/>
      <c r="CO2297" s="67"/>
      <c r="CP2297" s="67"/>
      <c r="CQ2297" s="67"/>
      <c r="CR2297" s="67"/>
      <c r="CS2297" s="67"/>
      <c r="CT2297" s="67"/>
      <c r="CU2297" s="67"/>
      <c r="CV2297" s="67"/>
      <c r="CW2297" s="67"/>
      <c r="CX2297" s="67"/>
      <c r="CY2297" s="67"/>
      <c r="CZ2297" s="67"/>
      <c r="DA2297" s="67"/>
      <c r="DB2297" s="67"/>
      <c r="DC2297" s="67"/>
      <c r="DD2297" s="67"/>
      <c r="DE2297" s="67"/>
      <c r="DF2297" s="67"/>
      <c r="DG2297" s="67"/>
      <c r="DH2297" s="67"/>
      <c r="DI2297" s="67"/>
      <c r="DJ2297" s="67"/>
      <c r="DK2297" s="67"/>
      <c r="DL2297" s="67"/>
      <c r="DM2297" s="67"/>
      <c r="DN2297" s="67"/>
      <c r="DO2297" s="67"/>
      <c r="DP2297" s="67"/>
      <c r="DQ2297" s="166"/>
      <c r="DR2297" s="166"/>
      <c r="DS2297" s="163"/>
      <c r="DT2297" s="163"/>
      <c r="DU2297" s="67"/>
      <c r="DV2297" s="67"/>
      <c r="DW2297" s="67"/>
      <c r="DX2297" s="67"/>
      <c r="DY2297" s="67"/>
      <c r="DZ2297" s="67"/>
      <c r="EA2297" s="67"/>
      <c r="EB2297" s="67"/>
      <c r="EC2297" s="67"/>
      <c r="ED2297" s="67"/>
      <c r="EE2297" s="67"/>
      <c r="EF2297" s="67"/>
      <c r="EG2297" s="67"/>
      <c r="EH2297" s="67"/>
      <c r="EI2297" s="67"/>
      <c r="EJ2297" s="67"/>
      <c r="EK2297" s="94"/>
      <c r="EL2297" s="94"/>
      <c r="EM2297" s="67"/>
      <c r="EN2297" s="67"/>
      <c r="EO2297" s="67"/>
      <c r="EP2297" s="67"/>
      <c r="EQ2297" s="67"/>
      <c r="ER2297" s="67"/>
      <c r="ES2297" s="67"/>
      <c r="ET2297" s="67"/>
      <c r="EU2297" s="67"/>
      <c r="EV2297" s="67"/>
      <c r="EW2297" s="67"/>
      <c r="EX2297" s="67"/>
      <c r="EY2297" s="67"/>
      <c r="EZ2297" s="67"/>
      <c r="FA2297" s="67"/>
      <c r="FB2297" s="67"/>
      <c r="FC2297" s="67"/>
      <c r="FD2297" s="67"/>
      <c r="FE2297" s="67"/>
      <c r="FF2297" s="67"/>
      <c r="FG2297" s="67"/>
      <c r="FH2297" s="67"/>
      <c r="FI2297" s="67"/>
      <c r="FJ2297" s="67"/>
      <c r="FK2297" s="67"/>
      <c r="FL2297" s="67"/>
      <c r="FM2297" s="67"/>
      <c r="FN2297" s="67"/>
      <c r="FO2297" s="67"/>
      <c r="FP2297" s="67"/>
      <c r="FQ2297" s="67"/>
      <c r="FR2297" s="67"/>
      <c r="FS2297" s="67"/>
      <c r="FT2297" s="67"/>
      <c r="FU2297" s="67"/>
      <c r="FV2297" s="67"/>
      <c r="FW2297" s="67"/>
      <c r="FX2297" s="67"/>
      <c r="FY2297" s="67"/>
      <c r="FZ2297" s="67"/>
      <c r="GA2297" s="67"/>
      <c r="GB2297" s="67"/>
      <c r="GC2297" s="67"/>
      <c r="GD2297" s="67"/>
      <c r="GE2297" s="67"/>
      <c r="GF2297" s="67"/>
      <c r="GG2297" s="67"/>
      <c r="GH2297" s="67"/>
      <c r="GI2297" s="67"/>
      <c r="GJ2297" s="67"/>
      <c r="GK2297" s="67"/>
      <c r="GL2297" s="67"/>
      <c r="GM2297" s="67"/>
      <c r="GN2297" s="292"/>
      <c r="GO2297" s="292"/>
      <c r="GP2297" s="292" t="s">
        <v>7494</v>
      </c>
      <c r="GQ2297" s="67"/>
      <c r="GR2297" s="67"/>
      <c r="GS2297" s="67"/>
      <c r="GT2297" s="67"/>
      <c r="GU2297" s="67"/>
      <c r="GV2297" s="67"/>
      <c r="GW2297" s="67"/>
      <c r="GX2297" s="67"/>
      <c r="GY2297" s="67"/>
      <c r="GZ2297" s="67"/>
      <c r="HA2297" s="67"/>
      <c r="HB2297" s="67"/>
      <c r="HC2297" s="67"/>
      <c r="HD2297" s="67"/>
      <c r="HE2297" s="67"/>
      <c r="HF2297" s="67"/>
      <c r="HG2297" s="67"/>
      <c r="HH2297" s="67"/>
      <c r="HI2297" s="67"/>
      <c r="HJ2297" s="67"/>
      <c r="HK2297" s="67"/>
      <c r="HL2297" s="67"/>
      <c r="HM2297" s="67"/>
      <c r="HN2297" s="67"/>
      <c r="HO2297" s="67"/>
      <c r="HP2297" s="67"/>
      <c r="HQ2297" s="67"/>
      <c r="HR2297" s="67"/>
      <c r="HS2297" s="67"/>
      <c r="HT2297" s="67"/>
      <c r="HU2297" s="67"/>
      <c r="HV2297" s="67"/>
      <c r="HW2297" s="67"/>
      <c r="HX2297" s="67"/>
      <c r="HY2297" s="67"/>
      <c r="HZ2297" s="67"/>
      <c r="IA2297" s="67"/>
      <c r="IB2297" s="67"/>
      <c r="IC2297" s="67"/>
      <c r="ID2297" s="67"/>
      <c r="IE2297" s="67"/>
      <c r="IF2297" s="67"/>
      <c r="IG2297" s="67"/>
      <c r="IH2297" s="67"/>
      <c r="II2297" s="67"/>
      <c r="IJ2297" s="67"/>
      <c r="IK2297" s="67"/>
      <c r="IL2297" s="67"/>
      <c r="IM2297" s="67"/>
      <c r="IN2297" s="67"/>
      <c r="IO2297" s="67"/>
      <c r="IP2297" s="67"/>
      <c r="IQ2297" s="67"/>
      <c r="IR2297" s="67"/>
      <c r="IS2297" s="67"/>
      <c r="IT2297" s="67"/>
      <c r="IU2297" s="67"/>
      <c r="IV2297" s="67"/>
      <c r="IW2297" s="67"/>
      <c r="IX2297" s="67"/>
      <c r="IY2297" s="67"/>
      <c r="IZ2297" s="67"/>
      <c r="JA2297" s="67"/>
      <c r="JB2297" s="67"/>
      <c r="JC2297" s="67"/>
      <c r="JD2297" s="67"/>
      <c r="JE2297" s="67"/>
      <c r="JF2297" s="67"/>
      <c r="JG2297" s="67"/>
      <c r="JH2297" s="67"/>
      <c r="JI2297" s="67"/>
      <c r="JJ2297" s="67"/>
      <c r="JK2297" s="67"/>
      <c r="JL2297" s="67"/>
      <c r="JM2297" s="67"/>
      <c r="JN2297" s="67"/>
      <c r="JO2297" s="67"/>
      <c r="JP2297" s="67"/>
      <c r="JQ2297" s="67"/>
      <c r="JR2297" s="67"/>
      <c r="JS2297" s="67"/>
      <c r="JT2297" s="67"/>
      <c r="JU2297" s="58"/>
      <c r="JV2297" s="58"/>
      <c r="JW2297" s="58"/>
    </row>
    <row r="2298" spans="1:283" s="23" customFormat="1" x14ac:dyDescent="0.25">
      <c r="A2298" s="55">
        <v>2297</v>
      </c>
      <c r="B2298" s="12" t="s">
        <v>7067</v>
      </c>
      <c r="C2298" s="156">
        <v>110</v>
      </c>
      <c r="D2298" s="58" t="s">
        <v>4198</v>
      </c>
      <c r="E2298" s="93" t="s">
        <v>2174</v>
      </c>
      <c r="F2298" s="93"/>
      <c r="G2298" s="58" t="s">
        <v>2264</v>
      </c>
      <c r="H2298" s="59">
        <v>1982</v>
      </c>
      <c r="I2298" s="58">
        <v>1977</v>
      </c>
      <c r="J2298" s="59" t="s">
        <v>1709</v>
      </c>
      <c r="K2298" s="59" t="s">
        <v>2265</v>
      </c>
      <c r="L2298" s="59" t="s">
        <v>2744</v>
      </c>
      <c r="M2298" s="94">
        <v>7.38</v>
      </c>
      <c r="N2298" s="94">
        <v>3.95</v>
      </c>
      <c r="O2298" s="93">
        <v>229.3</v>
      </c>
      <c r="P2298" s="59"/>
      <c r="Q2298" s="58"/>
      <c r="R2298" s="59"/>
      <c r="S2298" s="94"/>
      <c r="T2298" s="58"/>
      <c r="U2298" s="58">
        <v>3</v>
      </c>
      <c r="V2298" s="59">
        <v>4</v>
      </c>
      <c r="W2298" s="174"/>
      <c r="X2298" s="174"/>
      <c r="Y2298" s="58" t="s">
        <v>2266</v>
      </c>
      <c r="Z2298" s="58" t="s">
        <v>1355</v>
      </c>
      <c r="AA2298" s="94">
        <v>10</v>
      </c>
      <c r="AB2298" s="67"/>
      <c r="AC2298" s="67"/>
      <c r="AD2298" s="94">
        <v>1.31</v>
      </c>
      <c r="AE2298" s="93">
        <v>69.3</v>
      </c>
      <c r="AF2298" s="93">
        <v>9.5</v>
      </c>
      <c r="AG2298" s="93"/>
      <c r="AH2298" s="58" t="s">
        <v>238</v>
      </c>
      <c r="AI2298" s="169"/>
      <c r="AJ2298" s="94">
        <v>1.7</v>
      </c>
      <c r="AK2298" s="94"/>
      <c r="AL2298" s="58"/>
      <c r="AM2298" s="59" t="s">
        <v>2267</v>
      </c>
      <c r="AN2298" s="188" t="s">
        <v>2276</v>
      </c>
      <c r="AO2298" s="185" t="s">
        <v>5150</v>
      </c>
      <c r="AP2298" s="59"/>
      <c r="AQ2298" s="58" t="s">
        <v>553</v>
      </c>
      <c r="AR2298" s="59" t="s">
        <v>2282</v>
      </c>
      <c r="AS2298" s="58" t="s">
        <v>227</v>
      </c>
      <c r="AT2298" s="182"/>
      <c r="AU2298" s="181" t="s">
        <v>7494</v>
      </c>
      <c r="AV2298" s="185" t="s">
        <v>176</v>
      </c>
      <c r="AW2298" s="58"/>
      <c r="AX2298" s="185" t="s">
        <v>176</v>
      </c>
      <c r="AY2298" s="58"/>
      <c r="AZ2298" s="59"/>
      <c r="BA2298" s="58"/>
      <c r="BB2298" s="58"/>
      <c r="BC2298" s="58"/>
      <c r="BD2298" s="58"/>
      <c r="BE2298" s="240"/>
      <c r="BF2298" s="59"/>
      <c r="BG2298" s="59"/>
      <c r="BH2298" s="236"/>
      <c r="BI2298" s="58"/>
      <c r="BJ2298" s="58"/>
      <c r="BK2298" s="58" t="s">
        <v>5976</v>
      </c>
      <c r="BL2298" s="58"/>
      <c r="BM2298" s="241" t="s">
        <v>160</v>
      </c>
      <c r="BN2298" s="58">
        <v>3</v>
      </c>
      <c r="BO2298" s="58">
        <v>3</v>
      </c>
      <c r="BP2298" s="59"/>
      <c r="BQ2298" s="58" t="s">
        <v>141</v>
      </c>
      <c r="BR2298" s="58"/>
      <c r="BS2298" s="58"/>
      <c r="BT2298" s="58"/>
      <c r="BU2298" s="58" t="s">
        <v>2280</v>
      </c>
      <c r="BV2298" s="58"/>
      <c r="BW2298" s="67"/>
      <c r="BX2298" s="67"/>
      <c r="BY2298" s="67"/>
      <c r="BZ2298" s="67"/>
      <c r="CA2298" s="67"/>
      <c r="CB2298" s="153">
        <v>221</v>
      </c>
      <c r="CC2298" s="68">
        <v>356</v>
      </c>
      <c r="CD2298" s="68"/>
      <c r="CE2298" s="67"/>
      <c r="CF2298" s="67"/>
      <c r="CG2298" s="67" t="s">
        <v>2285</v>
      </c>
      <c r="CH2298" s="94"/>
      <c r="CI2298" s="94"/>
      <c r="CJ2298" s="67"/>
      <c r="CK2298" s="67"/>
      <c r="CL2298" s="67"/>
      <c r="CM2298" s="67"/>
      <c r="CN2298" s="67"/>
      <c r="CO2298" s="67"/>
      <c r="CP2298" s="67"/>
      <c r="CQ2298" s="67"/>
      <c r="CR2298" s="67"/>
      <c r="CS2298" s="67"/>
      <c r="CT2298" s="67"/>
      <c r="CU2298" s="67"/>
      <c r="CV2298" s="67"/>
      <c r="CW2298" s="67"/>
      <c r="CX2298" s="67"/>
      <c r="CY2298" s="67"/>
      <c r="CZ2298" s="67"/>
      <c r="DA2298" s="67"/>
      <c r="DB2298" s="67"/>
      <c r="DC2298" s="67"/>
      <c r="DD2298" s="67"/>
      <c r="DE2298" s="67"/>
      <c r="DF2298" s="67"/>
      <c r="DG2298" s="67"/>
      <c r="DH2298" s="67"/>
      <c r="DI2298" s="67"/>
      <c r="DJ2298" s="67"/>
      <c r="DK2298" s="67"/>
      <c r="DL2298" s="67"/>
      <c r="DM2298" s="67"/>
      <c r="DN2298" s="67"/>
      <c r="DO2298" s="67"/>
      <c r="DP2298" s="67"/>
      <c r="DQ2298" s="166"/>
      <c r="DR2298" s="166"/>
      <c r="DS2298" s="163"/>
      <c r="DT2298" s="163"/>
      <c r="DU2298" s="67"/>
      <c r="DV2298" s="67"/>
      <c r="DW2298" s="67"/>
      <c r="DX2298" s="67"/>
      <c r="DY2298" s="67"/>
      <c r="DZ2298" s="67"/>
      <c r="EA2298" s="67"/>
      <c r="EB2298" s="67"/>
      <c r="EC2298" s="67"/>
      <c r="ED2298" s="67"/>
      <c r="EE2298" s="67"/>
      <c r="EF2298" s="67"/>
      <c r="EG2298" s="67"/>
      <c r="EH2298" s="67"/>
      <c r="EI2298" s="67"/>
      <c r="EJ2298" s="67"/>
      <c r="EK2298" s="94"/>
      <c r="EL2298" s="94"/>
      <c r="EM2298" s="67"/>
      <c r="EN2298" s="67"/>
      <c r="EO2298" s="67"/>
      <c r="EP2298" s="67"/>
      <c r="EQ2298" s="67"/>
      <c r="ER2298" s="67"/>
      <c r="ES2298" s="67"/>
      <c r="ET2298" s="67"/>
      <c r="EU2298" s="67"/>
      <c r="EV2298" s="67"/>
      <c r="EW2298" s="67"/>
      <c r="EX2298" s="67"/>
      <c r="EY2298" s="67"/>
      <c r="EZ2298" s="67"/>
      <c r="FA2298" s="67"/>
      <c r="FB2298" s="67"/>
      <c r="FC2298" s="67"/>
      <c r="FD2298" s="67"/>
      <c r="FE2298" s="67"/>
      <c r="FF2298" s="67"/>
      <c r="FG2298" s="67"/>
      <c r="FH2298" s="67"/>
      <c r="FI2298" s="67"/>
      <c r="FJ2298" s="67"/>
      <c r="FK2298" s="67"/>
      <c r="FL2298" s="67"/>
      <c r="FM2298" s="67"/>
      <c r="FN2298" s="67"/>
      <c r="FO2298" s="67"/>
      <c r="FP2298" s="67"/>
      <c r="FQ2298" s="67"/>
      <c r="FR2298" s="67"/>
      <c r="FS2298" s="67"/>
      <c r="FT2298" s="67"/>
      <c r="FU2298" s="67"/>
      <c r="FV2298" s="67"/>
      <c r="FW2298" s="67"/>
      <c r="FX2298" s="67"/>
      <c r="FY2298" s="67"/>
      <c r="FZ2298" s="67"/>
      <c r="GA2298" s="67"/>
      <c r="GB2298" s="67"/>
      <c r="GC2298" s="67"/>
      <c r="GD2298" s="67"/>
      <c r="GE2298" s="67"/>
      <c r="GF2298" s="67"/>
      <c r="GG2298" s="67"/>
      <c r="GH2298" s="67"/>
      <c r="GI2298" s="67"/>
      <c r="GJ2298" s="67"/>
      <c r="GK2298" s="67"/>
      <c r="GL2298" s="67"/>
      <c r="GM2298" s="67"/>
      <c r="GN2298" s="292"/>
      <c r="GO2298" s="292"/>
      <c r="GP2298" s="292" t="s">
        <v>7494</v>
      </c>
      <c r="GQ2298" s="67"/>
      <c r="GR2298" s="67"/>
      <c r="GS2298" s="67"/>
      <c r="GT2298" s="67"/>
      <c r="GU2298" s="67"/>
      <c r="GV2298" s="67"/>
      <c r="GW2298" s="67"/>
      <c r="GX2298" s="67"/>
      <c r="GY2298" s="67"/>
      <c r="GZ2298" s="67"/>
      <c r="HA2298" s="67"/>
      <c r="HB2298" s="67"/>
      <c r="HC2298" s="67"/>
      <c r="HD2298" s="67"/>
      <c r="HE2298" s="67"/>
      <c r="HF2298" s="67"/>
      <c r="HG2298" s="67"/>
      <c r="HH2298" s="67"/>
      <c r="HI2298" s="67"/>
      <c r="HJ2298" s="67"/>
      <c r="HK2298" s="67"/>
      <c r="HL2298" s="67"/>
      <c r="HM2298" s="67"/>
      <c r="HN2298" s="67"/>
      <c r="HO2298" s="67"/>
      <c r="HP2298" s="67"/>
      <c r="HQ2298" s="67"/>
      <c r="HR2298" s="67"/>
      <c r="HS2298" s="67"/>
      <c r="HT2298" s="67"/>
      <c r="HU2298" s="67"/>
      <c r="HV2298" s="67"/>
      <c r="HW2298" s="67"/>
      <c r="HX2298" s="67"/>
      <c r="HY2298" s="67"/>
      <c r="HZ2298" s="67"/>
      <c r="IA2298" s="67"/>
      <c r="IB2298" s="67"/>
      <c r="IC2298" s="67"/>
      <c r="ID2298" s="67"/>
      <c r="IE2298" s="67"/>
      <c r="IF2298" s="67"/>
      <c r="IG2298" s="67"/>
      <c r="IH2298" s="67"/>
      <c r="II2298" s="67"/>
      <c r="IJ2298" s="67"/>
      <c r="IK2298" s="67"/>
      <c r="IL2298" s="67"/>
      <c r="IM2298" s="67"/>
      <c r="IN2298" s="67"/>
      <c r="IO2298" s="67"/>
      <c r="IP2298" s="67"/>
      <c r="IQ2298" s="67"/>
      <c r="IR2298" s="67"/>
      <c r="IS2298" s="67"/>
      <c r="IT2298" s="67"/>
      <c r="IU2298" s="67"/>
      <c r="IV2298" s="67"/>
      <c r="IW2298" s="67"/>
      <c r="IX2298" s="67"/>
      <c r="IY2298" s="67"/>
      <c r="IZ2298" s="67"/>
      <c r="JA2298" s="67"/>
      <c r="JB2298" s="67"/>
      <c r="JC2298" s="67"/>
      <c r="JD2298" s="67"/>
      <c r="JE2298" s="67"/>
      <c r="JF2298" s="67"/>
      <c r="JG2298" s="67"/>
      <c r="JH2298" s="67"/>
      <c r="JI2298" s="67"/>
      <c r="JJ2298" s="67"/>
      <c r="JK2298" s="67"/>
      <c r="JL2298" s="67"/>
      <c r="JM2298" s="67"/>
      <c r="JN2298" s="67"/>
      <c r="JO2298" s="67"/>
      <c r="JP2298" s="67"/>
      <c r="JQ2298" s="67"/>
      <c r="JR2298" s="67"/>
      <c r="JS2298" s="67"/>
      <c r="JT2298" s="67"/>
      <c r="JU2298" s="58"/>
      <c r="JV2298" s="58"/>
      <c r="JW2298" s="58"/>
    </row>
    <row r="2299" spans="1:283" s="23" customFormat="1" x14ac:dyDescent="0.25">
      <c r="A2299" s="55">
        <v>2298</v>
      </c>
      <c r="B2299" s="12" t="s">
        <v>7067</v>
      </c>
      <c r="C2299" s="156">
        <v>110</v>
      </c>
      <c r="D2299" s="58" t="s">
        <v>4198</v>
      </c>
      <c r="E2299" s="93" t="s">
        <v>2174</v>
      </c>
      <c r="F2299" s="93"/>
      <c r="G2299" s="58" t="s">
        <v>2264</v>
      </c>
      <c r="H2299" s="59">
        <v>1982</v>
      </c>
      <c r="I2299" s="58">
        <v>1977</v>
      </c>
      <c r="J2299" s="59" t="s">
        <v>1709</v>
      </c>
      <c r="K2299" s="59" t="s">
        <v>2265</v>
      </c>
      <c r="L2299" s="59" t="s">
        <v>2744</v>
      </c>
      <c r="M2299" s="94">
        <v>7.38</v>
      </c>
      <c r="N2299" s="94">
        <v>3.95</v>
      </c>
      <c r="O2299" s="93">
        <v>229.3</v>
      </c>
      <c r="P2299" s="59"/>
      <c r="Q2299" s="58"/>
      <c r="R2299" s="59"/>
      <c r="S2299" s="94"/>
      <c r="T2299" s="58"/>
      <c r="U2299" s="58">
        <v>3</v>
      </c>
      <c r="V2299" s="59">
        <v>4</v>
      </c>
      <c r="W2299" s="174"/>
      <c r="X2299" s="174"/>
      <c r="Y2299" s="58" t="s">
        <v>2266</v>
      </c>
      <c r="Z2299" s="58" t="s">
        <v>1355</v>
      </c>
      <c r="AA2299" s="94">
        <v>10</v>
      </c>
      <c r="AB2299" s="67"/>
      <c r="AC2299" s="67"/>
      <c r="AD2299" s="94">
        <v>1.31</v>
      </c>
      <c r="AE2299" s="93">
        <v>69.3</v>
      </c>
      <c r="AF2299" s="93">
        <v>9.5</v>
      </c>
      <c r="AG2299" s="93"/>
      <c r="AH2299" s="58" t="s">
        <v>238</v>
      </c>
      <c r="AI2299" s="169"/>
      <c r="AJ2299" s="94">
        <v>1.7</v>
      </c>
      <c r="AK2299" s="94"/>
      <c r="AL2299" s="58"/>
      <c r="AM2299" s="59" t="s">
        <v>2267</v>
      </c>
      <c r="AN2299" s="188" t="s">
        <v>2277</v>
      </c>
      <c r="AO2299" s="185" t="s">
        <v>5150</v>
      </c>
      <c r="AP2299" s="59"/>
      <c r="AQ2299" s="58" t="s">
        <v>553</v>
      </c>
      <c r="AR2299" s="59" t="s">
        <v>2282</v>
      </c>
      <c r="AS2299" s="58" t="s">
        <v>227</v>
      </c>
      <c r="AT2299" s="182"/>
      <c r="AU2299" s="181" t="s">
        <v>7494</v>
      </c>
      <c r="AV2299" s="185" t="s">
        <v>176</v>
      </c>
      <c r="AW2299" s="58"/>
      <c r="AX2299" s="185" t="s">
        <v>176</v>
      </c>
      <c r="AY2299" s="58"/>
      <c r="AZ2299" s="59"/>
      <c r="BA2299" s="58"/>
      <c r="BB2299" s="58"/>
      <c r="BC2299" s="58"/>
      <c r="BD2299" s="58"/>
      <c r="BE2299" s="240"/>
      <c r="BF2299" s="59"/>
      <c r="BG2299" s="59"/>
      <c r="BH2299" s="236"/>
      <c r="BI2299" s="58"/>
      <c r="BJ2299" s="58"/>
      <c r="BK2299" s="58" t="s">
        <v>5976</v>
      </c>
      <c r="BL2299" s="58"/>
      <c r="BM2299" s="241" t="s">
        <v>160</v>
      </c>
      <c r="BN2299" s="58">
        <v>3</v>
      </c>
      <c r="BO2299" s="58">
        <v>3</v>
      </c>
      <c r="BP2299" s="59"/>
      <c r="BQ2299" s="58" t="s">
        <v>141</v>
      </c>
      <c r="BR2299" s="58"/>
      <c r="BS2299" s="58"/>
      <c r="BT2299" s="58"/>
      <c r="BU2299" s="58" t="s">
        <v>2280</v>
      </c>
      <c r="BV2299" s="58"/>
      <c r="BW2299" s="67"/>
      <c r="BX2299" s="67"/>
      <c r="BY2299" s="67"/>
      <c r="BZ2299" s="67"/>
      <c r="CA2299" s="67"/>
      <c r="CB2299" s="153">
        <v>221</v>
      </c>
      <c r="CC2299" s="68">
        <v>716</v>
      </c>
      <c r="CD2299" s="68"/>
      <c r="CE2299" s="67"/>
      <c r="CF2299" s="67"/>
      <c r="CG2299" s="67" t="s">
        <v>2285</v>
      </c>
      <c r="CH2299" s="94"/>
      <c r="CI2299" s="94"/>
      <c r="CJ2299" s="67"/>
      <c r="CK2299" s="67"/>
      <c r="CL2299" s="67"/>
      <c r="CM2299" s="67"/>
      <c r="CN2299" s="67"/>
      <c r="CO2299" s="67"/>
      <c r="CP2299" s="67"/>
      <c r="CQ2299" s="67"/>
      <c r="CR2299" s="67"/>
      <c r="CS2299" s="67"/>
      <c r="CT2299" s="67"/>
      <c r="CU2299" s="67"/>
      <c r="CV2299" s="67"/>
      <c r="CW2299" s="67"/>
      <c r="CX2299" s="67"/>
      <c r="CY2299" s="67"/>
      <c r="CZ2299" s="67"/>
      <c r="DA2299" s="67"/>
      <c r="DB2299" s="67"/>
      <c r="DC2299" s="67"/>
      <c r="DD2299" s="67"/>
      <c r="DE2299" s="67"/>
      <c r="DF2299" s="67"/>
      <c r="DG2299" s="67"/>
      <c r="DH2299" s="67"/>
      <c r="DI2299" s="67"/>
      <c r="DJ2299" s="67"/>
      <c r="DK2299" s="67"/>
      <c r="DL2299" s="67"/>
      <c r="DM2299" s="67"/>
      <c r="DN2299" s="67"/>
      <c r="DO2299" s="67"/>
      <c r="DP2299" s="67"/>
      <c r="DQ2299" s="166"/>
      <c r="DR2299" s="166"/>
      <c r="DS2299" s="163"/>
      <c r="DT2299" s="163"/>
      <c r="DU2299" s="67"/>
      <c r="DV2299" s="67"/>
      <c r="DW2299" s="67"/>
      <c r="DX2299" s="67"/>
      <c r="DY2299" s="67"/>
      <c r="DZ2299" s="67"/>
      <c r="EA2299" s="67"/>
      <c r="EB2299" s="67"/>
      <c r="EC2299" s="67"/>
      <c r="ED2299" s="67"/>
      <c r="EE2299" s="67"/>
      <c r="EF2299" s="67"/>
      <c r="EG2299" s="67"/>
      <c r="EH2299" s="67"/>
      <c r="EI2299" s="67"/>
      <c r="EJ2299" s="67"/>
      <c r="EK2299" s="94"/>
      <c r="EL2299" s="94"/>
      <c r="EM2299" s="67"/>
      <c r="EN2299" s="67"/>
      <c r="EO2299" s="67"/>
      <c r="EP2299" s="67"/>
      <c r="EQ2299" s="67"/>
      <c r="ER2299" s="67"/>
      <c r="ES2299" s="67"/>
      <c r="ET2299" s="67"/>
      <c r="EU2299" s="67"/>
      <c r="EV2299" s="67"/>
      <c r="EW2299" s="67"/>
      <c r="EX2299" s="67"/>
      <c r="EY2299" s="67"/>
      <c r="EZ2299" s="67"/>
      <c r="FA2299" s="67"/>
      <c r="FB2299" s="67"/>
      <c r="FC2299" s="67"/>
      <c r="FD2299" s="67"/>
      <c r="FE2299" s="67"/>
      <c r="FF2299" s="67"/>
      <c r="FG2299" s="67"/>
      <c r="FH2299" s="67"/>
      <c r="FI2299" s="67"/>
      <c r="FJ2299" s="67"/>
      <c r="FK2299" s="67"/>
      <c r="FL2299" s="67"/>
      <c r="FM2299" s="67"/>
      <c r="FN2299" s="67"/>
      <c r="FO2299" s="67"/>
      <c r="FP2299" s="67"/>
      <c r="FQ2299" s="67"/>
      <c r="FR2299" s="67"/>
      <c r="FS2299" s="67"/>
      <c r="FT2299" s="67"/>
      <c r="FU2299" s="67"/>
      <c r="FV2299" s="67"/>
      <c r="FW2299" s="67"/>
      <c r="FX2299" s="67"/>
      <c r="FY2299" s="67"/>
      <c r="FZ2299" s="67"/>
      <c r="GA2299" s="67"/>
      <c r="GB2299" s="67"/>
      <c r="GC2299" s="67"/>
      <c r="GD2299" s="67"/>
      <c r="GE2299" s="67"/>
      <c r="GF2299" s="67"/>
      <c r="GG2299" s="67"/>
      <c r="GH2299" s="67"/>
      <c r="GI2299" s="67"/>
      <c r="GJ2299" s="67"/>
      <c r="GK2299" s="67"/>
      <c r="GL2299" s="67"/>
      <c r="GM2299" s="67"/>
      <c r="GN2299" s="292"/>
      <c r="GO2299" s="292"/>
      <c r="GP2299" s="292" t="s">
        <v>7494</v>
      </c>
      <c r="GQ2299" s="67"/>
      <c r="GR2299" s="67"/>
      <c r="GS2299" s="67"/>
      <c r="GT2299" s="67"/>
      <c r="GU2299" s="67"/>
      <c r="GV2299" s="67"/>
      <c r="GW2299" s="67"/>
      <c r="GX2299" s="67"/>
      <c r="GY2299" s="67"/>
      <c r="GZ2299" s="67"/>
      <c r="HA2299" s="67"/>
      <c r="HB2299" s="67"/>
      <c r="HC2299" s="67"/>
      <c r="HD2299" s="67"/>
      <c r="HE2299" s="67"/>
      <c r="HF2299" s="67"/>
      <c r="HG2299" s="67"/>
      <c r="HH2299" s="67"/>
      <c r="HI2299" s="67"/>
      <c r="HJ2299" s="67"/>
      <c r="HK2299" s="67"/>
      <c r="HL2299" s="67"/>
      <c r="HM2299" s="67"/>
      <c r="HN2299" s="67"/>
      <c r="HO2299" s="67"/>
      <c r="HP2299" s="67"/>
      <c r="HQ2299" s="67"/>
      <c r="HR2299" s="67"/>
      <c r="HS2299" s="67"/>
      <c r="HT2299" s="67"/>
      <c r="HU2299" s="67"/>
      <c r="HV2299" s="67"/>
      <c r="HW2299" s="67"/>
      <c r="HX2299" s="67"/>
      <c r="HY2299" s="67"/>
      <c r="HZ2299" s="67"/>
      <c r="IA2299" s="67"/>
      <c r="IB2299" s="67"/>
      <c r="IC2299" s="67"/>
      <c r="ID2299" s="67"/>
      <c r="IE2299" s="67"/>
      <c r="IF2299" s="67"/>
      <c r="IG2299" s="67"/>
      <c r="IH2299" s="67"/>
      <c r="II2299" s="67"/>
      <c r="IJ2299" s="67"/>
      <c r="IK2299" s="67"/>
      <c r="IL2299" s="67"/>
      <c r="IM2299" s="67"/>
      <c r="IN2299" s="67"/>
      <c r="IO2299" s="67"/>
      <c r="IP2299" s="67"/>
      <c r="IQ2299" s="67"/>
      <c r="IR2299" s="67"/>
      <c r="IS2299" s="67"/>
      <c r="IT2299" s="67"/>
      <c r="IU2299" s="67"/>
      <c r="IV2299" s="67"/>
      <c r="IW2299" s="67"/>
      <c r="IX2299" s="67"/>
      <c r="IY2299" s="67"/>
      <c r="IZ2299" s="67"/>
      <c r="JA2299" s="67"/>
      <c r="JB2299" s="67"/>
      <c r="JC2299" s="67"/>
      <c r="JD2299" s="67"/>
      <c r="JE2299" s="67"/>
      <c r="JF2299" s="67"/>
      <c r="JG2299" s="67"/>
      <c r="JH2299" s="67"/>
      <c r="JI2299" s="67"/>
      <c r="JJ2299" s="67"/>
      <c r="JK2299" s="67"/>
      <c r="JL2299" s="67"/>
      <c r="JM2299" s="67"/>
      <c r="JN2299" s="67"/>
      <c r="JO2299" s="67"/>
      <c r="JP2299" s="67"/>
      <c r="JQ2299" s="67"/>
      <c r="JR2299" s="67"/>
      <c r="JS2299" s="67"/>
      <c r="JT2299" s="67"/>
      <c r="JU2299" s="58"/>
      <c r="JV2299" s="58"/>
      <c r="JW2299" s="58"/>
    </row>
    <row r="2300" spans="1:283" s="23" customFormat="1" x14ac:dyDescent="0.25">
      <c r="A2300" s="55">
        <v>2299</v>
      </c>
      <c r="B2300" s="12" t="s">
        <v>7067</v>
      </c>
      <c r="C2300" s="156">
        <v>110</v>
      </c>
      <c r="D2300" s="58" t="s">
        <v>4198</v>
      </c>
      <c r="E2300" s="93" t="s">
        <v>2174</v>
      </c>
      <c r="F2300" s="93"/>
      <c r="G2300" s="58" t="s">
        <v>2264</v>
      </c>
      <c r="H2300" s="59">
        <v>1982</v>
      </c>
      <c r="I2300" s="58">
        <v>1977</v>
      </c>
      <c r="J2300" s="59" t="s">
        <v>1709</v>
      </c>
      <c r="K2300" s="59" t="s">
        <v>2265</v>
      </c>
      <c r="L2300" s="59" t="s">
        <v>2744</v>
      </c>
      <c r="M2300" s="94">
        <v>7.38</v>
      </c>
      <c r="N2300" s="94">
        <v>3.95</v>
      </c>
      <c r="O2300" s="93">
        <v>229.3</v>
      </c>
      <c r="P2300" s="59"/>
      <c r="Q2300" s="58"/>
      <c r="R2300" s="59"/>
      <c r="S2300" s="94"/>
      <c r="T2300" s="58"/>
      <c r="U2300" s="58">
        <v>3</v>
      </c>
      <c r="V2300" s="59">
        <v>4</v>
      </c>
      <c r="W2300" s="174"/>
      <c r="X2300" s="174"/>
      <c r="Y2300" s="58" t="s">
        <v>2266</v>
      </c>
      <c r="Z2300" s="58" t="s">
        <v>1355</v>
      </c>
      <c r="AA2300" s="94">
        <v>10</v>
      </c>
      <c r="AB2300" s="67"/>
      <c r="AC2300" s="67"/>
      <c r="AD2300" s="94">
        <v>1.31</v>
      </c>
      <c r="AE2300" s="93">
        <v>69.3</v>
      </c>
      <c r="AF2300" s="93">
        <v>9.5</v>
      </c>
      <c r="AG2300" s="93"/>
      <c r="AH2300" s="58" t="s">
        <v>238</v>
      </c>
      <c r="AI2300" s="169"/>
      <c r="AJ2300" s="94">
        <v>1.7</v>
      </c>
      <c r="AK2300" s="94"/>
      <c r="AL2300" s="58"/>
      <c r="AM2300" s="59" t="s">
        <v>2267</v>
      </c>
      <c r="AN2300" s="188" t="s">
        <v>2278</v>
      </c>
      <c r="AO2300" s="185" t="s">
        <v>5150</v>
      </c>
      <c r="AP2300" s="59"/>
      <c r="AQ2300" s="58" t="s">
        <v>553</v>
      </c>
      <c r="AR2300" s="59" t="s">
        <v>2282</v>
      </c>
      <c r="AS2300" s="58" t="s">
        <v>227</v>
      </c>
      <c r="AT2300" s="182"/>
      <c r="AU2300" s="181" t="s">
        <v>7494</v>
      </c>
      <c r="AV2300" s="185" t="s">
        <v>176</v>
      </c>
      <c r="AW2300" s="58"/>
      <c r="AX2300" s="185" t="s">
        <v>176</v>
      </c>
      <c r="AY2300" s="58"/>
      <c r="AZ2300" s="59"/>
      <c r="BA2300" s="58"/>
      <c r="BB2300" s="58"/>
      <c r="BC2300" s="58"/>
      <c r="BD2300" s="58"/>
      <c r="BE2300" s="240"/>
      <c r="BF2300" s="59"/>
      <c r="BG2300" s="59"/>
      <c r="BH2300" s="236"/>
      <c r="BI2300" s="58"/>
      <c r="BJ2300" s="58"/>
      <c r="BK2300" s="58" t="s">
        <v>5976</v>
      </c>
      <c r="BL2300" s="58"/>
      <c r="BM2300" s="241" t="s">
        <v>160</v>
      </c>
      <c r="BN2300" s="58">
        <v>3</v>
      </c>
      <c r="BO2300" s="58">
        <v>3</v>
      </c>
      <c r="BP2300" s="59"/>
      <c r="BQ2300" s="58" t="s">
        <v>141</v>
      </c>
      <c r="BR2300" s="58"/>
      <c r="BS2300" s="58"/>
      <c r="BT2300" s="58"/>
      <c r="BU2300" s="58" t="s">
        <v>2280</v>
      </c>
      <c r="BV2300" s="58"/>
      <c r="BW2300" s="67"/>
      <c r="BX2300" s="67"/>
      <c r="BY2300" s="67"/>
      <c r="BZ2300" s="67"/>
      <c r="CA2300" s="67"/>
      <c r="CB2300" s="153">
        <v>221</v>
      </c>
      <c r="CC2300" s="68">
        <v>639</v>
      </c>
      <c r="CD2300" s="68"/>
      <c r="CE2300" s="67"/>
      <c r="CF2300" s="67"/>
      <c r="CG2300" s="67" t="s">
        <v>2285</v>
      </c>
      <c r="CH2300" s="94"/>
      <c r="CI2300" s="94"/>
      <c r="CJ2300" s="67"/>
      <c r="CK2300" s="67"/>
      <c r="CL2300" s="67"/>
      <c r="CM2300" s="67"/>
      <c r="CN2300" s="67"/>
      <c r="CO2300" s="67"/>
      <c r="CP2300" s="67"/>
      <c r="CQ2300" s="67"/>
      <c r="CR2300" s="67"/>
      <c r="CS2300" s="67"/>
      <c r="CT2300" s="67"/>
      <c r="CU2300" s="67"/>
      <c r="CV2300" s="67"/>
      <c r="CW2300" s="67"/>
      <c r="CX2300" s="67"/>
      <c r="CY2300" s="67"/>
      <c r="CZ2300" s="67"/>
      <c r="DA2300" s="67"/>
      <c r="DB2300" s="67"/>
      <c r="DC2300" s="67"/>
      <c r="DD2300" s="67"/>
      <c r="DE2300" s="67"/>
      <c r="DF2300" s="67"/>
      <c r="DG2300" s="67"/>
      <c r="DH2300" s="67"/>
      <c r="DI2300" s="67"/>
      <c r="DJ2300" s="67"/>
      <c r="DK2300" s="67"/>
      <c r="DL2300" s="67"/>
      <c r="DM2300" s="67"/>
      <c r="DN2300" s="67"/>
      <c r="DO2300" s="67"/>
      <c r="DP2300" s="67"/>
      <c r="DQ2300" s="166"/>
      <c r="DR2300" s="166"/>
      <c r="DS2300" s="163"/>
      <c r="DT2300" s="163"/>
      <c r="DU2300" s="67"/>
      <c r="DV2300" s="67"/>
      <c r="DW2300" s="67"/>
      <c r="DX2300" s="67"/>
      <c r="DY2300" s="67"/>
      <c r="DZ2300" s="67"/>
      <c r="EA2300" s="67"/>
      <c r="EB2300" s="67"/>
      <c r="EC2300" s="67"/>
      <c r="ED2300" s="67"/>
      <c r="EE2300" s="67"/>
      <c r="EF2300" s="67"/>
      <c r="EG2300" s="67"/>
      <c r="EH2300" s="67"/>
      <c r="EI2300" s="67"/>
      <c r="EJ2300" s="67"/>
      <c r="EK2300" s="94"/>
      <c r="EL2300" s="94"/>
      <c r="EM2300" s="67"/>
      <c r="EN2300" s="67"/>
      <c r="EO2300" s="67"/>
      <c r="EP2300" s="67"/>
      <c r="EQ2300" s="67"/>
      <c r="ER2300" s="67"/>
      <c r="ES2300" s="67"/>
      <c r="ET2300" s="67"/>
      <c r="EU2300" s="67"/>
      <c r="EV2300" s="67"/>
      <c r="EW2300" s="67"/>
      <c r="EX2300" s="67"/>
      <c r="EY2300" s="67"/>
      <c r="EZ2300" s="67"/>
      <c r="FA2300" s="67"/>
      <c r="FB2300" s="67"/>
      <c r="FC2300" s="67"/>
      <c r="FD2300" s="67"/>
      <c r="FE2300" s="67"/>
      <c r="FF2300" s="67"/>
      <c r="FG2300" s="67"/>
      <c r="FH2300" s="67"/>
      <c r="FI2300" s="67"/>
      <c r="FJ2300" s="67"/>
      <c r="FK2300" s="67"/>
      <c r="FL2300" s="67"/>
      <c r="FM2300" s="67"/>
      <c r="FN2300" s="67"/>
      <c r="FO2300" s="67"/>
      <c r="FP2300" s="67"/>
      <c r="FQ2300" s="67"/>
      <c r="FR2300" s="67"/>
      <c r="FS2300" s="67"/>
      <c r="FT2300" s="67"/>
      <c r="FU2300" s="67"/>
      <c r="FV2300" s="67"/>
      <c r="FW2300" s="67"/>
      <c r="FX2300" s="67"/>
      <c r="FY2300" s="67"/>
      <c r="FZ2300" s="67"/>
      <c r="GA2300" s="67"/>
      <c r="GB2300" s="67"/>
      <c r="GC2300" s="67"/>
      <c r="GD2300" s="67"/>
      <c r="GE2300" s="67"/>
      <c r="GF2300" s="67"/>
      <c r="GG2300" s="67"/>
      <c r="GH2300" s="67"/>
      <c r="GI2300" s="67"/>
      <c r="GJ2300" s="67"/>
      <c r="GK2300" s="67"/>
      <c r="GL2300" s="67"/>
      <c r="GM2300" s="67"/>
      <c r="GN2300" s="292"/>
      <c r="GO2300" s="292"/>
      <c r="GP2300" s="292" t="s">
        <v>7494</v>
      </c>
      <c r="GQ2300" s="67"/>
      <c r="GR2300" s="67"/>
      <c r="GS2300" s="67"/>
      <c r="GT2300" s="67"/>
      <c r="GU2300" s="67"/>
      <c r="GV2300" s="67"/>
      <c r="GW2300" s="67"/>
      <c r="GX2300" s="67"/>
      <c r="GY2300" s="67"/>
      <c r="GZ2300" s="67"/>
      <c r="HA2300" s="67"/>
      <c r="HB2300" s="67"/>
      <c r="HC2300" s="67"/>
      <c r="HD2300" s="67"/>
      <c r="HE2300" s="67"/>
      <c r="HF2300" s="67"/>
      <c r="HG2300" s="67"/>
      <c r="HH2300" s="67"/>
      <c r="HI2300" s="67"/>
      <c r="HJ2300" s="67"/>
      <c r="HK2300" s="67"/>
      <c r="HL2300" s="67"/>
      <c r="HM2300" s="67"/>
      <c r="HN2300" s="67"/>
      <c r="HO2300" s="67"/>
      <c r="HP2300" s="67"/>
      <c r="HQ2300" s="67"/>
      <c r="HR2300" s="67"/>
      <c r="HS2300" s="67"/>
      <c r="HT2300" s="67"/>
      <c r="HU2300" s="67"/>
      <c r="HV2300" s="67"/>
      <c r="HW2300" s="67"/>
      <c r="HX2300" s="67"/>
      <c r="HY2300" s="67"/>
      <c r="HZ2300" s="67"/>
      <c r="IA2300" s="67"/>
      <c r="IB2300" s="67"/>
      <c r="IC2300" s="67"/>
      <c r="ID2300" s="67"/>
      <c r="IE2300" s="67"/>
      <c r="IF2300" s="67"/>
      <c r="IG2300" s="67"/>
      <c r="IH2300" s="67"/>
      <c r="II2300" s="67"/>
      <c r="IJ2300" s="67"/>
      <c r="IK2300" s="67"/>
      <c r="IL2300" s="67"/>
      <c r="IM2300" s="67"/>
      <c r="IN2300" s="67"/>
      <c r="IO2300" s="67"/>
      <c r="IP2300" s="67"/>
      <c r="IQ2300" s="67"/>
      <c r="IR2300" s="67"/>
      <c r="IS2300" s="67"/>
      <c r="IT2300" s="67"/>
      <c r="IU2300" s="67"/>
      <c r="IV2300" s="67"/>
      <c r="IW2300" s="67"/>
      <c r="IX2300" s="67"/>
      <c r="IY2300" s="67"/>
      <c r="IZ2300" s="67"/>
      <c r="JA2300" s="67"/>
      <c r="JB2300" s="67"/>
      <c r="JC2300" s="67"/>
      <c r="JD2300" s="67"/>
      <c r="JE2300" s="67"/>
      <c r="JF2300" s="67"/>
      <c r="JG2300" s="67"/>
      <c r="JH2300" s="67"/>
      <c r="JI2300" s="67"/>
      <c r="JJ2300" s="67"/>
      <c r="JK2300" s="67"/>
      <c r="JL2300" s="67"/>
      <c r="JM2300" s="67"/>
      <c r="JN2300" s="67"/>
      <c r="JO2300" s="67"/>
      <c r="JP2300" s="67"/>
      <c r="JQ2300" s="67"/>
      <c r="JR2300" s="67"/>
      <c r="JS2300" s="67"/>
      <c r="JT2300" s="67"/>
      <c r="JU2300" s="58"/>
      <c r="JV2300" s="58"/>
      <c r="JW2300" s="58"/>
    </row>
    <row r="2301" spans="1:283" s="23" customFormat="1" x14ac:dyDescent="0.25">
      <c r="A2301" s="55">
        <v>2300</v>
      </c>
      <c r="B2301" s="12" t="s">
        <v>7067</v>
      </c>
      <c r="C2301" s="156">
        <v>110</v>
      </c>
      <c r="D2301" s="58" t="s">
        <v>4197</v>
      </c>
      <c r="E2301" s="93" t="s">
        <v>2174</v>
      </c>
      <c r="F2301" s="93"/>
      <c r="G2301" s="58" t="s">
        <v>2264</v>
      </c>
      <c r="H2301" s="59">
        <v>1982</v>
      </c>
      <c r="I2301" s="58">
        <v>1977</v>
      </c>
      <c r="J2301" s="59" t="s">
        <v>1709</v>
      </c>
      <c r="K2301" s="59" t="s">
        <v>2265</v>
      </c>
      <c r="L2301" s="59" t="s">
        <v>2744</v>
      </c>
      <c r="M2301" s="94">
        <v>7.38</v>
      </c>
      <c r="N2301" s="94">
        <v>3.95</v>
      </c>
      <c r="O2301" s="93">
        <v>229.3</v>
      </c>
      <c r="P2301" s="59"/>
      <c r="Q2301" s="58"/>
      <c r="R2301" s="59"/>
      <c r="S2301" s="94"/>
      <c r="T2301" s="58"/>
      <c r="U2301" s="58">
        <v>3</v>
      </c>
      <c r="V2301" s="59">
        <v>4</v>
      </c>
      <c r="W2301" s="174"/>
      <c r="X2301" s="174"/>
      <c r="Y2301" s="58" t="s">
        <v>2266</v>
      </c>
      <c r="Z2301" s="58" t="s">
        <v>1355</v>
      </c>
      <c r="AA2301" s="94">
        <v>10</v>
      </c>
      <c r="AB2301" s="67"/>
      <c r="AC2301" s="67"/>
      <c r="AD2301" s="94">
        <v>1.31</v>
      </c>
      <c r="AE2301" s="93">
        <v>69.3</v>
      </c>
      <c r="AF2301" s="93">
        <v>9.5</v>
      </c>
      <c r="AG2301" s="93"/>
      <c r="AH2301" s="58" t="s">
        <v>238</v>
      </c>
      <c r="AI2301" s="169"/>
      <c r="AJ2301" s="94">
        <v>1.7</v>
      </c>
      <c r="AK2301" s="94"/>
      <c r="AL2301" s="58"/>
      <c r="AM2301" s="59" t="s">
        <v>2267</v>
      </c>
      <c r="AN2301" s="188" t="s">
        <v>2271</v>
      </c>
      <c r="AO2301" s="185" t="s">
        <v>5150</v>
      </c>
      <c r="AP2301" s="59"/>
      <c r="AQ2301" s="58" t="s">
        <v>1545</v>
      </c>
      <c r="AR2301" s="59" t="s">
        <v>2283</v>
      </c>
      <c r="AS2301" s="58" t="s">
        <v>227</v>
      </c>
      <c r="AT2301" s="182"/>
      <c r="AU2301" s="181" t="s">
        <v>7494</v>
      </c>
      <c r="AV2301" s="185" t="s">
        <v>176</v>
      </c>
      <c r="AW2301" s="58"/>
      <c r="AX2301" s="185" t="s">
        <v>176</v>
      </c>
      <c r="AY2301" s="58"/>
      <c r="AZ2301" s="59"/>
      <c r="BA2301" s="58"/>
      <c r="BB2301" s="58"/>
      <c r="BC2301" s="58"/>
      <c r="BD2301" s="58"/>
      <c r="BE2301" s="240"/>
      <c r="BF2301" s="59"/>
      <c r="BG2301" s="59"/>
      <c r="BH2301" s="236"/>
      <c r="BI2301" s="58"/>
      <c r="BJ2301" s="58"/>
      <c r="BK2301" s="58" t="s">
        <v>5976</v>
      </c>
      <c r="BL2301" s="58"/>
      <c r="BM2301" s="241" t="s">
        <v>160</v>
      </c>
      <c r="BN2301" s="58">
        <v>3</v>
      </c>
      <c r="BO2301" s="58">
        <v>3</v>
      </c>
      <c r="BP2301" s="59"/>
      <c r="BQ2301" s="58" t="s">
        <v>141</v>
      </c>
      <c r="BR2301" s="58"/>
      <c r="BS2301" s="58"/>
      <c r="BT2301" s="58"/>
      <c r="BU2301" s="58" t="s">
        <v>2279</v>
      </c>
      <c r="BV2301" s="58"/>
      <c r="BW2301" s="67"/>
      <c r="BX2301" s="67"/>
      <c r="BY2301" s="67"/>
      <c r="BZ2301" s="67"/>
      <c r="CA2301" s="67"/>
      <c r="CB2301" s="153">
        <v>390</v>
      </c>
      <c r="CC2301" s="68">
        <v>1190</v>
      </c>
      <c r="CD2301" s="68"/>
      <c r="CE2301" s="67"/>
      <c r="CF2301" s="67"/>
      <c r="CG2301" s="67" t="s">
        <v>2284</v>
      </c>
      <c r="CH2301" s="94"/>
      <c r="CI2301" s="94"/>
      <c r="CJ2301" s="67"/>
      <c r="CK2301" s="67"/>
      <c r="CL2301" s="67"/>
      <c r="CM2301" s="67"/>
      <c r="CN2301" s="67"/>
      <c r="CO2301" s="67"/>
      <c r="CP2301" s="67"/>
      <c r="CQ2301" s="67"/>
      <c r="CR2301" s="67"/>
      <c r="CS2301" s="67"/>
      <c r="CT2301" s="67"/>
      <c r="CU2301" s="67"/>
      <c r="CV2301" s="67"/>
      <c r="CW2301" s="67"/>
      <c r="CX2301" s="67"/>
      <c r="CY2301" s="67"/>
      <c r="CZ2301" s="67"/>
      <c r="DA2301" s="67"/>
      <c r="DB2301" s="67"/>
      <c r="DC2301" s="67"/>
      <c r="DD2301" s="67"/>
      <c r="DE2301" s="67"/>
      <c r="DF2301" s="67"/>
      <c r="DG2301" s="67"/>
      <c r="DH2301" s="67"/>
      <c r="DI2301" s="67"/>
      <c r="DJ2301" s="67"/>
      <c r="DK2301" s="67"/>
      <c r="DL2301" s="67"/>
      <c r="DM2301" s="67"/>
      <c r="DN2301" s="67"/>
      <c r="DO2301" s="67"/>
      <c r="DP2301" s="67"/>
      <c r="DQ2301" s="166"/>
      <c r="DR2301" s="166"/>
      <c r="DS2301" s="163"/>
      <c r="DT2301" s="163"/>
      <c r="DU2301" s="67"/>
      <c r="DV2301" s="67"/>
      <c r="DW2301" s="67"/>
      <c r="DX2301" s="67"/>
      <c r="DY2301" s="67"/>
      <c r="DZ2301" s="67"/>
      <c r="EA2301" s="67"/>
      <c r="EB2301" s="67"/>
      <c r="EC2301" s="67"/>
      <c r="ED2301" s="67"/>
      <c r="EE2301" s="67"/>
      <c r="EF2301" s="67"/>
      <c r="EG2301" s="67"/>
      <c r="EH2301" s="67"/>
      <c r="EI2301" s="67"/>
      <c r="EJ2301" s="67"/>
      <c r="EK2301" s="94"/>
      <c r="EL2301" s="94"/>
      <c r="EM2301" s="67"/>
      <c r="EN2301" s="67"/>
      <c r="EO2301" s="67"/>
      <c r="EP2301" s="67"/>
      <c r="EQ2301" s="67"/>
      <c r="ER2301" s="67"/>
      <c r="ES2301" s="67"/>
      <c r="ET2301" s="67"/>
      <c r="EU2301" s="67"/>
      <c r="EV2301" s="67"/>
      <c r="EW2301" s="67"/>
      <c r="EX2301" s="67"/>
      <c r="EY2301" s="67"/>
      <c r="EZ2301" s="67"/>
      <c r="FA2301" s="67"/>
      <c r="FB2301" s="67"/>
      <c r="FC2301" s="67"/>
      <c r="FD2301" s="67"/>
      <c r="FE2301" s="67"/>
      <c r="FF2301" s="67"/>
      <c r="FG2301" s="67"/>
      <c r="FH2301" s="67"/>
      <c r="FI2301" s="67"/>
      <c r="FJ2301" s="67"/>
      <c r="FK2301" s="67"/>
      <c r="FL2301" s="67"/>
      <c r="FM2301" s="67"/>
      <c r="FN2301" s="67"/>
      <c r="FO2301" s="67"/>
      <c r="FP2301" s="67"/>
      <c r="FQ2301" s="67"/>
      <c r="FR2301" s="67"/>
      <c r="FS2301" s="67"/>
      <c r="FT2301" s="67"/>
      <c r="FU2301" s="67"/>
      <c r="FV2301" s="67"/>
      <c r="FW2301" s="67"/>
      <c r="FX2301" s="67"/>
      <c r="FY2301" s="67"/>
      <c r="FZ2301" s="67"/>
      <c r="GA2301" s="67"/>
      <c r="GB2301" s="67"/>
      <c r="GC2301" s="67"/>
      <c r="GD2301" s="67"/>
      <c r="GE2301" s="67"/>
      <c r="GF2301" s="67"/>
      <c r="GG2301" s="67"/>
      <c r="GH2301" s="67"/>
      <c r="GI2301" s="67"/>
      <c r="GJ2301" s="67"/>
      <c r="GK2301" s="67"/>
      <c r="GL2301" s="67"/>
      <c r="GM2301" s="67"/>
      <c r="GN2301" s="292"/>
      <c r="GO2301" s="292"/>
      <c r="GP2301" s="292" t="s">
        <v>7494</v>
      </c>
      <c r="GQ2301" s="67"/>
      <c r="GR2301" s="67"/>
      <c r="GS2301" s="67"/>
      <c r="GT2301" s="67"/>
      <c r="GU2301" s="67"/>
      <c r="GV2301" s="67"/>
      <c r="GW2301" s="67"/>
      <c r="GX2301" s="67"/>
      <c r="GY2301" s="67"/>
      <c r="GZ2301" s="67"/>
      <c r="HA2301" s="67"/>
      <c r="HB2301" s="67"/>
      <c r="HC2301" s="67"/>
      <c r="HD2301" s="67"/>
      <c r="HE2301" s="67"/>
      <c r="HF2301" s="67"/>
      <c r="HG2301" s="67"/>
      <c r="HH2301" s="67"/>
      <c r="HI2301" s="67"/>
      <c r="HJ2301" s="67"/>
      <c r="HK2301" s="67"/>
      <c r="HL2301" s="67"/>
      <c r="HM2301" s="67"/>
      <c r="HN2301" s="67"/>
      <c r="HO2301" s="67"/>
      <c r="HP2301" s="67"/>
      <c r="HQ2301" s="67"/>
      <c r="HR2301" s="67"/>
      <c r="HS2301" s="67"/>
      <c r="HT2301" s="67"/>
      <c r="HU2301" s="67"/>
      <c r="HV2301" s="67"/>
      <c r="HW2301" s="67"/>
      <c r="HX2301" s="67"/>
      <c r="HY2301" s="67"/>
      <c r="HZ2301" s="67"/>
      <c r="IA2301" s="67"/>
      <c r="IB2301" s="67"/>
      <c r="IC2301" s="67"/>
      <c r="ID2301" s="67"/>
      <c r="IE2301" s="67"/>
      <c r="IF2301" s="67"/>
      <c r="IG2301" s="67"/>
      <c r="IH2301" s="67"/>
      <c r="II2301" s="67"/>
      <c r="IJ2301" s="67"/>
      <c r="IK2301" s="67"/>
      <c r="IL2301" s="67"/>
      <c r="IM2301" s="67"/>
      <c r="IN2301" s="67"/>
      <c r="IO2301" s="67"/>
      <c r="IP2301" s="67"/>
      <c r="IQ2301" s="67"/>
      <c r="IR2301" s="67"/>
      <c r="IS2301" s="67"/>
      <c r="IT2301" s="67"/>
      <c r="IU2301" s="67"/>
      <c r="IV2301" s="67"/>
      <c r="IW2301" s="67"/>
      <c r="IX2301" s="67"/>
      <c r="IY2301" s="67"/>
      <c r="IZ2301" s="67"/>
      <c r="JA2301" s="67"/>
      <c r="JB2301" s="67"/>
      <c r="JC2301" s="67"/>
      <c r="JD2301" s="67"/>
      <c r="JE2301" s="67"/>
      <c r="JF2301" s="67"/>
      <c r="JG2301" s="67"/>
      <c r="JH2301" s="67"/>
      <c r="JI2301" s="67"/>
      <c r="JJ2301" s="67"/>
      <c r="JK2301" s="67"/>
      <c r="JL2301" s="67"/>
      <c r="JM2301" s="67"/>
      <c r="JN2301" s="67"/>
      <c r="JO2301" s="67"/>
      <c r="JP2301" s="67"/>
      <c r="JQ2301" s="67"/>
      <c r="JR2301" s="67"/>
      <c r="JS2301" s="67"/>
      <c r="JT2301" s="67"/>
      <c r="JU2301" s="58"/>
      <c r="JV2301" s="58"/>
      <c r="JW2301" s="58"/>
    </row>
    <row r="2302" spans="1:283" s="23" customFormat="1" x14ac:dyDescent="0.25">
      <c r="A2302" s="55">
        <v>2301</v>
      </c>
      <c r="B2302" s="12" t="s">
        <v>7067</v>
      </c>
      <c r="C2302" s="156">
        <v>110</v>
      </c>
      <c r="D2302" s="58" t="s">
        <v>4197</v>
      </c>
      <c r="E2302" s="93" t="s">
        <v>2174</v>
      </c>
      <c r="F2302" s="93"/>
      <c r="G2302" s="58" t="s">
        <v>2264</v>
      </c>
      <c r="H2302" s="59">
        <v>1982</v>
      </c>
      <c r="I2302" s="58">
        <v>1977</v>
      </c>
      <c r="J2302" s="59" t="s">
        <v>1709</v>
      </c>
      <c r="K2302" s="59" t="s">
        <v>2265</v>
      </c>
      <c r="L2302" s="59" t="s">
        <v>2744</v>
      </c>
      <c r="M2302" s="94">
        <v>7.38</v>
      </c>
      <c r="N2302" s="94">
        <v>3.95</v>
      </c>
      <c r="O2302" s="93">
        <v>229.3</v>
      </c>
      <c r="P2302" s="59"/>
      <c r="Q2302" s="58"/>
      <c r="R2302" s="59"/>
      <c r="S2302" s="94"/>
      <c r="T2302" s="58"/>
      <c r="U2302" s="58">
        <v>3</v>
      </c>
      <c r="V2302" s="59">
        <v>4</v>
      </c>
      <c r="W2302" s="174"/>
      <c r="X2302" s="174"/>
      <c r="Y2302" s="58" t="s">
        <v>2266</v>
      </c>
      <c r="Z2302" s="58" t="s">
        <v>1355</v>
      </c>
      <c r="AA2302" s="94">
        <v>10</v>
      </c>
      <c r="AB2302" s="67"/>
      <c r="AC2302" s="67"/>
      <c r="AD2302" s="94">
        <v>1.31</v>
      </c>
      <c r="AE2302" s="93">
        <v>69.3</v>
      </c>
      <c r="AF2302" s="93">
        <v>9.5</v>
      </c>
      <c r="AG2302" s="93"/>
      <c r="AH2302" s="58" t="s">
        <v>238</v>
      </c>
      <c r="AI2302" s="169"/>
      <c r="AJ2302" s="94">
        <v>1.7</v>
      </c>
      <c r="AK2302" s="94"/>
      <c r="AL2302" s="58"/>
      <c r="AM2302" s="59" t="s">
        <v>2267</v>
      </c>
      <c r="AN2302" s="188" t="s">
        <v>2272</v>
      </c>
      <c r="AO2302" s="185" t="s">
        <v>5150</v>
      </c>
      <c r="AP2302" s="59"/>
      <c r="AQ2302" s="58" t="s">
        <v>1545</v>
      </c>
      <c r="AR2302" s="59" t="s">
        <v>2283</v>
      </c>
      <c r="AS2302" s="58" t="s">
        <v>227</v>
      </c>
      <c r="AT2302" s="182"/>
      <c r="AU2302" s="181" t="s">
        <v>7494</v>
      </c>
      <c r="AV2302" s="185" t="s">
        <v>176</v>
      </c>
      <c r="AW2302" s="58"/>
      <c r="AX2302" s="185" t="s">
        <v>176</v>
      </c>
      <c r="AY2302" s="58"/>
      <c r="AZ2302" s="59"/>
      <c r="BA2302" s="58"/>
      <c r="BB2302" s="58"/>
      <c r="BC2302" s="58"/>
      <c r="BD2302" s="58"/>
      <c r="BE2302" s="240"/>
      <c r="BF2302" s="59"/>
      <c r="BG2302" s="59"/>
      <c r="BH2302" s="236"/>
      <c r="BI2302" s="58"/>
      <c r="BJ2302" s="58"/>
      <c r="BK2302" s="58" t="s">
        <v>5976</v>
      </c>
      <c r="BL2302" s="58"/>
      <c r="BM2302" s="241" t="s">
        <v>160</v>
      </c>
      <c r="BN2302" s="58">
        <v>3</v>
      </c>
      <c r="BO2302" s="58">
        <v>3</v>
      </c>
      <c r="BP2302" s="59"/>
      <c r="BQ2302" s="58" t="s">
        <v>141</v>
      </c>
      <c r="BR2302" s="58"/>
      <c r="BS2302" s="58"/>
      <c r="BT2302" s="58"/>
      <c r="BU2302" s="58" t="s">
        <v>2279</v>
      </c>
      <c r="BV2302" s="58"/>
      <c r="BW2302" s="67"/>
      <c r="BX2302" s="67"/>
      <c r="BY2302" s="67"/>
      <c r="BZ2302" s="67"/>
      <c r="CA2302" s="67"/>
      <c r="CB2302" s="153">
        <v>390</v>
      </c>
      <c r="CC2302" s="68">
        <v>140</v>
      </c>
      <c r="CD2302" s="68"/>
      <c r="CE2302" s="67"/>
      <c r="CF2302" s="67"/>
      <c r="CG2302" s="67" t="s">
        <v>2284</v>
      </c>
      <c r="CH2302" s="94"/>
      <c r="CI2302" s="94"/>
      <c r="CJ2302" s="67"/>
      <c r="CK2302" s="67"/>
      <c r="CL2302" s="67"/>
      <c r="CM2302" s="67"/>
      <c r="CN2302" s="67"/>
      <c r="CO2302" s="67"/>
      <c r="CP2302" s="67"/>
      <c r="CQ2302" s="67"/>
      <c r="CR2302" s="67"/>
      <c r="CS2302" s="67"/>
      <c r="CT2302" s="67"/>
      <c r="CU2302" s="67"/>
      <c r="CV2302" s="67"/>
      <c r="CW2302" s="67"/>
      <c r="CX2302" s="67"/>
      <c r="CY2302" s="67"/>
      <c r="CZ2302" s="67"/>
      <c r="DA2302" s="67"/>
      <c r="DB2302" s="67"/>
      <c r="DC2302" s="67"/>
      <c r="DD2302" s="67"/>
      <c r="DE2302" s="67"/>
      <c r="DF2302" s="67"/>
      <c r="DG2302" s="67"/>
      <c r="DH2302" s="67"/>
      <c r="DI2302" s="67"/>
      <c r="DJ2302" s="67"/>
      <c r="DK2302" s="67"/>
      <c r="DL2302" s="67"/>
      <c r="DM2302" s="67"/>
      <c r="DN2302" s="67"/>
      <c r="DO2302" s="67"/>
      <c r="DP2302" s="67"/>
      <c r="DQ2302" s="166"/>
      <c r="DR2302" s="166"/>
      <c r="DS2302" s="163"/>
      <c r="DT2302" s="163"/>
      <c r="DU2302" s="67"/>
      <c r="DV2302" s="67"/>
      <c r="DW2302" s="67"/>
      <c r="DX2302" s="67"/>
      <c r="DY2302" s="67"/>
      <c r="DZ2302" s="67"/>
      <c r="EA2302" s="67"/>
      <c r="EB2302" s="67"/>
      <c r="EC2302" s="67"/>
      <c r="ED2302" s="67"/>
      <c r="EE2302" s="67"/>
      <c r="EF2302" s="67"/>
      <c r="EG2302" s="67"/>
      <c r="EH2302" s="67"/>
      <c r="EI2302" s="67"/>
      <c r="EJ2302" s="67"/>
      <c r="EK2302" s="94"/>
      <c r="EL2302" s="94"/>
      <c r="EM2302" s="67"/>
      <c r="EN2302" s="67"/>
      <c r="EO2302" s="67"/>
      <c r="EP2302" s="67"/>
      <c r="EQ2302" s="67"/>
      <c r="ER2302" s="67"/>
      <c r="ES2302" s="67"/>
      <c r="ET2302" s="67"/>
      <c r="EU2302" s="67"/>
      <c r="EV2302" s="67"/>
      <c r="EW2302" s="67"/>
      <c r="EX2302" s="67"/>
      <c r="EY2302" s="67"/>
      <c r="EZ2302" s="67"/>
      <c r="FA2302" s="67"/>
      <c r="FB2302" s="67"/>
      <c r="FC2302" s="67"/>
      <c r="FD2302" s="67"/>
      <c r="FE2302" s="67"/>
      <c r="FF2302" s="67"/>
      <c r="FG2302" s="67"/>
      <c r="FH2302" s="67"/>
      <c r="FI2302" s="67"/>
      <c r="FJ2302" s="67"/>
      <c r="FK2302" s="67"/>
      <c r="FL2302" s="67"/>
      <c r="FM2302" s="67"/>
      <c r="FN2302" s="67"/>
      <c r="FO2302" s="67"/>
      <c r="FP2302" s="67"/>
      <c r="FQ2302" s="67"/>
      <c r="FR2302" s="67"/>
      <c r="FS2302" s="67"/>
      <c r="FT2302" s="67"/>
      <c r="FU2302" s="67"/>
      <c r="FV2302" s="67"/>
      <c r="FW2302" s="67"/>
      <c r="FX2302" s="67"/>
      <c r="FY2302" s="67"/>
      <c r="FZ2302" s="67"/>
      <c r="GA2302" s="67"/>
      <c r="GB2302" s="67"/>
      <c r="GC2302" s="67"/>
      <c r="GD2302" s="67"/>
      <c r="GE2302" s="67"/>
      <c r="GF2302" s="67"/>
      <c r="GG2302" s="67"/>
      <c r="GH2302" s="67"/>
      <c r="GI2302" s="67"/>
      <c r="GJ2302" s="67"/>
      <c r="GK2302" s="67"/>
      <c r="GL2302" s="67"/>
      <c r="GM2302" s="67"/>
      <c r="GN2302" s="292"/>
      <c r="GO2302" s="292"/>
      <c r="GP2302" s="292" t="s">
        <v>7494</v>
      </c>
      <c r="GQ2302" s="67"/>
      <c r="GR2302" s="67"/>
      <c r="GS2302" s="67"/>
      <c r="GT2302" s="67"/>
      <c r="GU2302" s="67"/>
      <c r="GV2302" s="67"/>
      <c r="GW2302" s="67"/>
      <c r="GX2302" s="67"/>
      <c r="GY2302" s="67"/>
      <c r="GZ2302" s="67"/>
      <c r="HA2302" s="67"/>
      <c r="HB2302" s="67"/>
      <c r="HC2302" s="67"/>
      <c r="HD2302" s="67"/>
      <c r="HE2302" s="67"/>
      <c r="HF2302" s="67"/>
      <c r="HG2302" s="67"/>
      <c r="HH2302" s="67"/>
      <c r="HI2302" s="67"/>
      <c r="HJ2302" s="67"/>
      <c r="HK2302" s="67"/>
      <c r="HL2302" s="67"/>
      <c r="HM2302" s="67"/>
      <c r="HN2302" s="67"/>
      <c r="HO2302" s="67"/>
      <c r="HP2302" s="67"/>
      <c r="HQ2302" s="67"/>
      <c r="HR2302" s="67"/>
      <c r="HS2302" s="67"/>
      <c r="HT2302" s="67"/>
      <c r="HU2302" s="67"/>
      <c r="HV2302" s="67"/>
      <c r="HW2302" s="67"/>
      <c r="HX2302" s="67"/>
      <c r="HY2302" s="67"/>
      <c r="HZ2302" s="67"/>
      <c r="IA2302" s="67"/>
      <c r="IB2302" s="67"/>
      <c r="IC2302" s="67"/>
      <c r="ID2302" s="67"/>
      <c r="IE2302" s="67"/>
      <c r="IF2302" s="67"/>
      <c r="IG2302" s="67"/>
      <c r="IH2302" s="67"/>
      <c r="II2302" s="67"/>
      <c r="IJ2302" s="67"/>
      <c r="IK2302" s="67"/>
      <c r="IL2302" s="67"/>
      <c r="IM2302" s="67"/>
      <c r="IN2302" s="67"/>
      <c r="IO2302" s="67"/>
      <c r="IP2302" s="67"/>
      <c r="IQ2302" s="67"/>
      <c r="IR2302" s="67"/>
      <c r="IS2302" s="67"/>
      <c r="IT2302" s="67"/>
      <c r="IU2302" s="67"/>
      <c r="IV2302" s="67"/>
      <c r="IW2302" s="67"/>
      <c r="IX2302" s="67"/>
      <c r="IY2302" s="67"/>
      <c r="IZ2302" s="67"/>
      <c r="JA2302" s="67"/>
      <c r="JB2302" s="67"/>
      <c r="JC2302" s="67"/>
      <c r="JD2302" s="67"/>
      <c r="JE2302" s="67"/>
      <c r="JF2302" s="67"/>
      <c r="JG2302" s="67"/>
      <c r="JH2302" s="67"/>
      <c r="JI2302" s="67"/>
      <c r="JJ2302" s="67"/>
      <c r="JK2302" s="67"/>
      <c r="JL2302" s="67"/>
      <c r="JM2302" s="67"/>
      <c r="JN2302" s="67"/>
      <c r="JO2302" s="67"/>
      <c r="JP2302" s="67"/>
      <c r="JQ2302" s="67"/>
      <c r="JR2302" s="67"/>
      <c r="JS2302" s="67"/>
      <c r="JT2302" s="67"/>
      <c r="JU2302" s="58"/>
      <c r="JV2302" s="58"/>
      <c r="JW2302" s="58"/>
    </row>
    <row r="2303" spans="1:283" s="23" customFormat="1" x14ac:dyDescent="0.25">
      <c r="A2303" s="55">
        <v>2302</v>
      </c>
      <c r="B2303" s="12" t="s">
        <v>7067</v>
      </c>
      <c r="C2303" s="156">
        <v>110</v>
      </c>
      <c r="D2303" s="58" t="s">
        <v>4197</v>
      </c>
      <c r="E2303" s="93" t="s">
        <v>2174</v>
      </c>
      <c r="F2303" s="93"/>
      <c r="G2303" s="58" t="s">
        <v>2264</v>
      </c>
      <c r="H2303" s="59">
        <v>1982</v>
      </c>
      <c r="I2303" s="58">
        <v>1977</v>
      </c>
      <c r="J2303" s="59" t="s">
        <v>1709</v>
      </c>
      <c r="K2303" s="59" t="s">
        <v>2265</v>
      </c>
      <c r="L2303" s="59" t="s">
        <v>2744</v>
      </c>
      <c r="M2303" s="94">
        <v>7.38</v>
      </c>
      <c r="N2303" s="94">
        <v>3.95</v>
      </c>
      <c r="O2303" s="93">
        <v>229.3</v>
      </c>
      <c r="P2303" s="59"/>
      <c r="Q2303" s="58"/>
      <c r="R2303" s="59"/>
      <c r="S2303" s="94"/>
      <c r="T2303" s="58"/>
      <c r="U2303" s="58">
        <v>3</v>
      </c>
      <c r="V2303" s="59">
        <v>4</v>
      </c>
      <c r="W2303" s="174"/>
      <c r="X2303" s="174"/>
      <c r="Y2303" s="58" t="s">
        <v>2266</v>
      </c>
      <c r="Z2303" s="58" t="s">
        <v>1355</v>
      </c>
      <c r="AA2303" s="94">
        <v>10</v>
      </c>
      <c r="AB2303" s="67"/>
      <c r="AC2303" s="67"/>
      <c r="AD2303" s="94">
        <v>1.31</v>
      </c>
      <c r="AE2303" s="93">
        <v>69.3</v>
      </c>
      <c r="AF2303" s="93">
        <v>9.5</v>
      </c>
      <c r="AG2303" s="93"/>
      <c r="AH2303" s="58" t="s">
        <v>238</v>
      </c>
      <c r="AI2303" s="169"/>
      <c r="AJ2303" s="94">
        <v>1.7</v>
      </c>
      <c r="AK2303" s="94"/>
      <c r="AL2303" s="58"/>
      <c r="AM2303" s="59" t="s">
        <v>2267</v>
      </c>
      <c r="AN2303" s="188" t="s">
        <v>2273</v>
      </c>
      <c r="AO2303" s="185" t="s">
        <v>5150</v>
      </c>
      <c r="AP2303" s="59"/>
      <c r="AQ2303" s="58" t="s">
        <v>1545</v>
      </c>
      <c r="AR2303" s="59" t="s">
        <v>2283</v>
      </c>
      <c r="AS2303" s="58" t="s">
        <v>227</v>
      </c>
      <c r="AT2303" s="182"/>
      <c r="AU2303" s="181" t="s">
        <v>7494</v>
      </c>
      <c r="AV2303" s="185" t="s">
        <v>176</v>
      </c>
      <c r="AW2303" s="58"/>
      <c r="AX2303" s="185" t="s">
        <v>176</v>
      </c>
      <c r="AY2303" s="58"/>
      <c r="AZ2303" s="59"/>
      <c r="BA2303" s="58"/>
      <c r="BB2303" s="58"/>
      <c r="BC2303" s="58"/>
      <c r="BD2303" s="58"/>
      <c r="BE2303" s="240"/>
      <c r="BF2303" s="59"/>
      <c r="BG2303" s="59"/>
      <c r="BH2303" s="236"/>
      <c r="BI2303" s="58"/>
      <c r="BJ2303" s="58"/>
      <c r="BK2303" s="58" t="s">
        <v>5976</v>
      </c>
      <c r="BL2303" s="58"/>
      <c r="BM2303" s="241" t="s">
        <v>160</v>
      </c>
      <c r="BN2303" s="58">
        <v>3</v>
      </c>
      <c r="BO2303" s="58">
        <v>3</v>
      </c>
      <c r="BP2303" s="59"/>
      <c r="BQ2303" s="58" t="s">
        <v>141</v>
      </c>
      <c r="BR2303" s="58"/>
      <c r="BS2303" s="58"/>
      <c r="BT2303" s="58"/>
      <c r="BU2303" s="58" t="s">
        <v>2279</v>
      </c>
      <c r="BV2303" s="58"/>
      <c r="BW2303" s="67"/>
      <c r="BX2303" s="67"/>
      <c r="BY2303" s="67"/>
      <c r="BZ2303" s="67"/>
      <c r="CA2303" s="67"/>
      <c r="CB2303" s="153">
        <v>390</v>
      </c>
      <c r="CC2303" s="68">
        <v>80</v>
      </c>
      <c r="CD2303" s="68"/>
      <c r="CE2303" s="67"/>
      <c r="CF2303" s="67"/>
      <c r="CG2303" s="67" t="s">
        <v>2284</v>
      </c>
      <c r="CH2303" s="94"/>
      <c r="CI2303" s="94"/>
      <c r="CJ2303" s="67"/>
      <c r="CK2303" s="67"/>
      <c r="CL2303" s="67"/>
      <c r="CM2303" s="67"/>
      <c r="CN2303" s="67"/>
      <c r="CO2303" s="67"/>
      <c r="CP2303" s="67"/>
      <c r="CQ2303" s="67"/>
      <c r="CR2303" s="67"/>
      <c r="CS2303" s="67"/>
      <c r="CT2303" s="67"/>
      <c r="CU2303" s="67"/>
      <c r="CV2303" s="67"/>
      <c r="CW2303" s="67"/>
      <c r="CX2303" s="67"/>
      <c r="CY2303" s="67"/>
      <c r="CZ2303" s="67"/>
      <c r="DA2303" s="67"/>
      <c r="DB2303" s="67"/>
      <c r="DC2303" s="67"/>
      <c r="DD2303" s="67"/>
      <c r="DE2303" s="67"/>
      <c r="DF2303" s="67"/>
      <c r="DG2303" s="67"/>
      <c r="DH2303" s="67"/>
      <c r="DI2303" s="67"/>
      <c r="DJ2303" s="67"/>
      <c r="DK2303" s="67"/>
      <c r="DL2303" s="67"/>
      <c r="DM2303" s="67"/>
      <c r="DN2303" s="67"/>
      <c r="DO2303" s="67"/>
      <c r="DP2303" s="67"/>
      <c r="DQ2303" s="166"/>
      <c r="DR2303" s="166"/>
      <c r="DS2303" s="163"/>
      <c r="DT2303" s="163"/>
      <c r="DU2303" s="67"/>
      <c r="DV2303" s="67"/>
      <c r="DW2303" s="67"/>
      <c r="DX2303" s="67"/>
      <c r="DY2303" s="67"/>
      <c r="DZ2303" s="67"/>
      <c r="EA2303" s="67"/>
      <c r="EB2303" s="67"/>
      <c r="EC2303" s="67"/>
      <c r="ED2303" s="67"/>
      <c r="EE2303" s="67"/>
      <c r="EF2303" s="67"/>
      <c r="EG2303" s="67"/>
      <c r="EH2303" s="67"/>
      <c r="EI2303" s="67"/>
      <c r="EJ2303" s="67"/>
      <c r="EK2303" s="94"/>
      <c r="EL2303" s="94"/>
      <c r="EM2303" s="67"/>
      <c r="EN2303" s="67"/>
      <c r="EO2303" s="67"/>
      <c r="EP2303" s="67"/>
      <c r="EQ2303" s="67"/>
      <c r="ER2303" s="67"/>
      <c r="ES2303" s="67"/>
      <c r="ET2303" s="67"/>
      <c r="EU2303" s="67"/>
      <c r="EV2303" s="67"/>
      <c r="EW2303" s="67"/>
      <c r="EX2303" s="67"/>
      <c r="EY2303" s="67"/>
      <c r="EZ2303" s="67"/>
      <c r="FA2303" s="67"/>
      <c r="FB2303" s="67"/>
      <c r="FC2303" s="67"/>
      <c r="FD2303" s="67"/>
      <c r="FE2303" s="67"/>
      <c r="FF2303" s="67"/>
      <c r="FG2303" s="67"/>
      <c r="FH2303" s="67"/>
      <c r="FI2303" s="67"/>
      <c r="FJ2303" s="67"/>
      <c r="FK2303" s="67"/>
      <c r="FL2303" s="67"/>
      <c r="FM2303" s="67"/>
      <c r="FN2303" s="67"/>
      <c r="FO2303" s="67"/>
      <c r="FP2303" s="67"/>
      <c r="FQ2303" s="67"/>
      <c r="FR2303" s="67"/>
      <c r="FS2303" s="67"/>
      <c r="FT2303" s="67"/>
      <c r="FU2303" s="67"/>
      <c r="FV2303" s="67"/>
      <c r="FW2303" s="67"/>
      <c r="FX2303" s="67"/>
      <c r="FY2303" s="67"/>
      <c r="FZ2303" s="67"/>
      <c r="GA2303" s="67"/>
      <c r="GB2303" s="67"/>
      <c r="GC2303" s="67"/>
      <c r="GD2303" s="67"/>
      <c r="GE2303" s="67"/>
      <c r="GF2303" s="67"/>
      <c r="GG2303" s="67"/>
      <c r="GH2303" s="67"/>
      <c r="GI2303" s="67"/>
      <c r="GJ2303" s="67"/>
      <c r="GK2303" s="67"/>
      <c r="GL2303" s="67"/>
      <c r="GM2303" s="67"/>
      <c r="GN2303" s="292"/>
      <c r="GO2303" s="292"/>
      <c r="GP2303" s="292" t="s">
        <v>7494</v>
      </c>
      <c r="GQ2303" s="67"/>
      <c r="GR2303" s="67"/>
      <c r="GS2303" s="67"/>
      <c r="GT2303" s="67"/>
      <c r="GU2303" s="67"/>
      <c r="GV2303" s="67"/>
      <c r="GW2303" s="67"/>
      <c r="GX2303" s="67"/>
      <c r="GY2303" s="67"/>
      <c r="GZ2303" s="67"/>
      <c r="HA2303" s="67"/>
      <c r="HB2303" s="67"/>
      <c r="HC2303" s="67"/>
      <c r="HD2303" s="67"/>
      <c r="HE2303" s="67"/>
      <c r="HF2303" s="67"/>
      <c r="HG2303" s="67"/>
      <c r="HH2303" s="67"/>
      <c r="HI2303" s="67"/>
      <c r="HJ2303" s="67"/>
      <c r="HK2303" s="67"/>
      <c r="HL2303" s="67"/>
      <c r="HM2303" s="67"/>
      <c r="HN2303" s="67"/>
      <c r="HO2303" s="67"/>
      <c r="HP2303" s="67"/>
      <c r="HQ2303" s="67"/>
      <c r="HR2303" s="67"/>
      <c r="HS2303" s="67"/>
      <c r="HT2303" s="67"/>
      <c r="HU2303" s="67"/>
      <c r="HV2303" s="67"/>
      <c r="HW2303" s="67"/>
      <c r="HX2303" s="67"/>
      <c r="HY2303" s="67"/>
      <c r="HZ2303" s="67"/>
      <c r="IA2303" s="67"/>
      <c r="IB2303" s="67"/>
      <c r="IC2303" s="67"/>
      <c r="ID2303" s="67"/>
      <c r="IE2303" s="67"/>
      <c r="IF2303" s="67"/>
      <c r="IG2303" s="67"/>
      <c r="IH2303" s="67"/>
      <c r="II2303" s="67"/>
      <c r="IJ2303" s="67"/>
      <c r="IK2303" s="67"/>
      <c r="IL2303" s="67"/>
      <c r="IM2303" s="67"/>
      <c r="IN2303" s="67"/>
      <c r="IO2303" s="67"/>
      <c r="IP2303" s="67"/>
      <c r="IQ2303" s="67"/>
      <c r="IR2303" s="67"/>
      <c r="IS2303" s="67"/>
      <c r="IT2303" s="67"/>
      <c r="IU2303" s="67"/>
      <c r="IV2303" s="67"/>
      <c r="IW2303" s="67"/>
      <c r="IX2303" s="67"/>
      <c r="IY2303" s="67"/>
      <c r="IZ2303" s="67"/>
      <c r="JA2303" s="67"/>
      <c r="JB2303" s="67"/>
      <c r="JC2303" s="67"/>
      <c r="JD2303" s="67"/>
      <c r="JE2303" s="67"/>
      <c r="JF2303" s="67"/>
      <c r="JG2303" s="67"/>
      <c r="JH2303" s="67"/>
      <c r="JI2303" s="67"/>
      <c r="JJ2303" s="67"/>
      <c r="JK2303" s="67"/>
      <c r="JL2303" s="67"/>
      <c r="JM2303" s="67"/>
      <c r="JN2303" s="67"/>
      <c r="JO2303" s="67"/>
      <c r="JP2303" s="67"/>
      <c r="JQ2303" s="67"/>
      <c r="JR2303" s="67"/>
      <c r="JS2303" s="67"/>
      <c r="JT2303" s="67"/>
      <c r="JU2303" s="58"/>
      <c r="JV2303" s="58"/>
      <c r="JW2303" s="58"/>
    </row>
    <row r="2304" spans="1:283" s="23" customFormat="1" x14ac:dyDescent="0.25">
      <c r="A2304" s="55">
        <v>2303</v>
      </c>
      <c r="B2304" s="12" t="s">
        <v>7067</v>
      </c>
      <c r="C2304" s="156">
        <v>110</v>
      </c>
      <c r="D2304" s="58" t="s">
        <v>4198</v>
      </c>
      <c r="E2304" s="93" t="s">
        <v>2174</v>
      </c>
      <c r="F2304" s="93"/>
      <c r="G2304" s="58" t="s">
        <v>2264</v>
      </c>
      <c r="H2304" s="59">
        <v>1982</v>
      </c>
      <c r="I2304" s="58">
        <v>1977</v>
      </c>
      <c r="J2304" s="59" t="s">
        <v>1709</v>
      </c>
      <c r="K2304" s="59" t="s">
        <v>2265</v>
      </c>
      <c r="L2304" s="59" t="s">
        <v>2744</v>
      </c>
      <c r="M2304" s="94">
        <v>7.38</v>
      </c>
      <c r="N2304" s="94">
        <v>3.95</v>
      </c>
      <c r="O2304" s="93">
        <v>229.3</v>
      </c>
      <c r="P2304" s="59"/>
      <c r="Q2304" s="58"/>
      <c r="R2304" s="59"/>
      <c r="S2304" s="94"/>
      <c r="T2304" s="58"/>
      <c r="U2304" s="58">
        <v>3</v>
      </c>
      <c r="V2304" s="59">
        <v>4</v>
      </c>
      <c r="W2304" s="174"/>
      <c r="X2304" s="174"/>
      <c r="Y2304" s="58" t="s">
        <v>2266</v>
      </c>
      <c r="Z2304" s="58" t="s">
        <v>1355</v>
      </c>
      <c r="AA2304" s="94">
        <v>10</v>
      </c>
      <c r="AB2304" s="67"/>
      <c r="AC2304" s="67"/>
      <c r="AD2304" s="94">
        <v>1.31</v>
      </c>
      <c r="AE2304" s="93">
        <v>69.3</v>
      </c>
      <c r="AF2304" s="93">
        <v>9.5</v>
      </c>
      <c r="AG2304" s="93"/>
      <c r="AH2304" s="58" t="s">
        <v>238</v>
      </c>
      <c r="AI2304" s="169"/>
      <c r="AJ2304" s="94">
        <v>1.7</v>
      </c>
      <c r="AK2304" s="94"/>
      <c r="AL2304" s="58"/>
      <c r="AM2304" s="59" t="s">
        <v>2267</v>
      </c>
      <c r="AN2304" s="188" t="s">
        <v>2274</v>
      </c>
      <c r="AO2304" s="185" t="s">
        <v>5150</v>
      </c>
      <c r="AP2304" s="59"/>
      <c r="AQ2304" s="58" t="s">
        <v>553</v>
      </c>
      <c r="AR2304" s="59" t="s">
        <v>2283</v>
      </c>
      <c r="AS2304" s="58" t="s">
        <v>227</v>
      </c>
      <c r="AT2304" s="182"/>
      <c r="AU2304" s="181" t="s">
        <v>7494</v>
      </c>
      <c r="AV2304" s="185" t="s">
        <v>176</v>
      </c>
      <c r="AW2304" s="58"/>
      <c r="AX2304" s="185" t="s">
        <v>176</v>
      </c>
      <c r="AY2304" s="58"/>
      <c r="AZ2304" s="59"/>
      <c r="BA2304" s="58"/>
      <c r="BB2304" s="58"/>
      <c r="BC2304" s="58"/>
      <c r="BD2304" s="58"/>
      <c r="BE2304" s="240"/>
      <c r="BF2304" s="59"/>
      <c r="BG2304" s="59"/>
      <c r="BH2304" s="236"/>
      <c r="BI2304" s="58"/>
      <c r="BJ2304" s="58"/>
      <c r="BK2304" s="58" t="s">
        <v>5976</v>
      </c>
      <c r="BL2304" s="58"/>
      <c r="BM2304" s="241" t="s">
        <v>160</v>
      </c>
      <c r="BN2304" s="58">
        <v>3</v>
      </c>
      <c r="BO2304" s="58">
        <v>3</v>
      </c>
      <c r="BP2304" s="59"/>
      <c r="BQ2304" s="58" t="s">
        <v>141</v>
      </c>
      <c r="BR2304" s="58"/>
      <c r="BS2304" s="58"/>
      <c r="BT2304" s="58"/>
      <c r="BU2304" s="58" t="s">
        <v>2279</v>
      </c>
      <c r="BV2304" s="58"/>
      <c r="BW2304" s="67"/>
      <c r="BX2304" s="67"/>
      <c r="BY2304" s="67"/>
      <c r="BZ2304" s="67"/>
      <c r="CA2304" s="67"/>
      <c r="CB2304" s="153">
        <v>390</v>
      </c>
      <c r="CC2304" s="68">
        <v>170</v>
      </c>
      <c r="CD2304" s="68"/>
      <c r="CE2304" s="67"/>
      <c r="CF2304" s="67"/>
      <c r="CG2304" s="67" t="s">
        <v>2284</v>
      </c>
      <c r="CH2304" s="94"/>
      <c r="CI2304" s="94"/>
      <c r="CJ2304" s="67"/>
      <c r="CK2304" s="67"/>
      <c r="CL2304" s="67"/>
      <c r="CM2304" s="67"/>
      <c r="CN2304" s="67"/>
      <c r="CO2304" s="67"/>
      <c r="CP2304" s="67"/>
      <c r="CQ2304" s="67"/>
      <c r="CR2304" s="67"/>
      <c r="CS2304" s="67"/>
      <c r="CT2304" s="67"/>
      <c r="CU2304" s="67"/>
      <c r="CV2304" s="67"/>
      <c r="CW2304" s="67"/>
      <c r="CX2304" s="67"/>
      <c r="CY2304" s="67"/>
      <c r="CZ2304" s="67"/>
      <c r="DA2304" s="67"/>
      <c r="DB2304" s="67"/>
      <c r="DC2304" s="67"/>
      <c r="DD2304" s="67"/>
      <c r="DE2304" s="67"/>
      <c r="DF2304" s="67"/>
      <c r="DG2304" s="67"/>
      <c r="DH2304" s="67"/>
      <c r="DI2304" s="67"/>
      <c r="DJ2304" s="67"/>
      <c r="DK2304" s="67"/>
      <c r="DL2304" s="67"/>
      <c r="DM2304" s="67"/>
      <c r="DN2304" s="67"/>
      <c r="DO2304" s="67"/>
      <c r="DP2304" s="67"/>
      <c r="DQ2304" s="166"/>
      <c r="DR2304" s="166"/>
      <c r="DS2304" s="163"/>
      <c r="DT2304" s="163"/>
      <c r="DU2304" s="67"/>
      <c r="DV2304" s="67"/>
      <c r="DW2304" s="67"/>
      <c r="DX2304" s="67"/>
      <c r="DY2304" s="67"/>
      <c r="DZ2304" s="67"/>
      <c r="EA2304" s="67"/>
      <c r="EB2304" s="67"/>
      <c r="EC2304" s="67"/>
      <c r="ED2304" s="67"/>
      <c r="EE2304" s="67"/>
      <c r="EF2304" s="67"/>
      <c r="EG2304" s="67"/>
      <c r="EH2304" s="67"/>
      <c r="EI2304" s="67"/>
      <c r="EJ2304" s="67"/>
      <c r="EK2304" s="94"/>
      <c r="EL2304" s="94"/>
      <c r="EM2304" s="67"/>
      <c r="EN2304" s="67"/>
      <c r="EO2304" s="67"/>
      <c r="EP2304" s="67"/>
      <c r="EQ2304" s="67"/>
      <c r="ER2304" s="67"/>
      <c r="ES2304" s="67"/>
      <c r="ET2304" s="67"/>
      <c r="EU2304" s="67"/>
      <c r="EV2304" s="67"/>
      <c r="EW2304" s="67"/>
      <c r="EX2304" s="67"/>
      <c r="EY2304" s="67"/>
      <c r="EZ2304" s="67"/>
      <c r="FA2304" s="67"/>
      <c r="FB2304" s="67"/>
      <c r="FC2304" s="67"/>
      <c r="FD2304" s="67"/>
      <c r="FE2304" s="67"/>
      <c r="FF2304" s="67"/>
      <c r="FG2304" s="67"/>
      <c r="FH2304" s="67"/>
      <c r="FI2304" s="67"/>
      <c r="FJ2304" s="67"/>
      <c r="FK2304" s="67"/>
      <c r="FL2304" s="67"/>
      <c r="FM2304" s="67"/>
      <c r="FN2304" s="67"/>
      <c r="FO2304" s="67"/>
      <c r="FP2304" s="67"/>
      <c r="FQ2304" s="67"/>
      <c r="FR2304" s="67"/>
      <c r="FS2304" s="67"/>
      <c r="FT2304" s="67"/>
      <c r="FU2304" s="67"/>
      <c r="FV2304" s="67"/>
      <c r="FW2304" s="67"/>
      <c r="FX2304" s="67"/>
      <c r="FY2304" s="67"/>
      <c r="FZ2304" s="67"/>
      <c r="GA2304" s="67"/>
      <c r="GB2304" s="67"/>
      <c r="GC2304" s="67"/>
      <c r="GD2304" s="67"/>
      <c r="GE2304" s="67"/>
      <c r="GF2304" s="67"/>
      <c r="GG2304" s="67"/>
      <c r="GH2304" s="67"/>
      <c r="GI2304" s="67"/>
      <c r="GJ2304" s="67"/>
      <c r="GK2304" s="67"/>
      <c r="GL2304" s="67"/>
      <c r="GM2304" s="67"/>
      <c r="GN2304" s="292"/>
      <c r="GO2304" s="292"/>
      <c r="GP2304" s="292" t="s">
        <v>7494</v>
      </c>
      <c r="GQ2304" s="67"/>
      <c r="GR2304" s="67"/>
      <c r="GS2304" s="67"/>
      <c r="GT2304" s="67"/>
      <c r="GU2304" s="67"/>
      <c r="GV2304" s="67"/>
      <c r="GW2304" s="67"/>
      <c r="GX2304" s="67"/>
      <c r="GY2304" s="67"/>
      <c r="GZ2304" s="67"/>
      <c r="HA2304" s="67"/>
      <c r="HB2304" s="67"/>
      <c r="HC2304" s="67"/>
      <c r="HD2304" s="67"/>
      <c r="HE2304" s="67"/>
      <c r="HF2304" s="67"/>
      <c r="HG2304" s="67"/>
      <c r="HH2304" s="67"/>
      <c r="HI2304" s="67"/>
      <c r="HJ2304" s="67"/>
      <c r="HK2304" s="67"/>
      <c r="HL2304" s="67"/>
      <c r="HM2304" s="67"/>
      <c r="HN2304" s="67"/>
      <c r="HO2304" s="67"/>
      <c r="HP2304" s="67"/>
      <c r="HQ2304" s="67"/>
      <c r="HR2304" s="67"/>
      <c r="HS2304" s="67"/>
      <c r="HT2304" s="67"/>
      <c r="HU2304" s="67"/>
      <c r="HV2304" s="67"/>
      <c r="HW2304" s="67"/>
      <c r="HX2304" s="67"/>
      <c r="HY2304" s="67"/>
      <c r="HZ2304" s="67"/>
      <c r="IA2304" s="67"/>
      <c r="IB2304" s="67"/>
      <c r="IC2304" s="67"/>
      <c r="ID2304" s="67"/>
      <c r="IE2304" s="67"/>
      <c r="IF2304" s="67"/>
      <c r="IG2304" s="67"/>
      <c r="IH2304" s="67"/>
      <c r="II2304" s="67"/>
      <c r="IJ2304" s="67"/>
      <c r="IK2304" s="67"/>
      <c r="IL2304" s="67"/>
      <c r="IM2304" s="67"/>
      <c r="IN2304" s="67"/>
      <c r="IO2304" s="67"/>
      <c r="IP2304" s="67"/>
      <c r="IQ2304" s="67"/>
      <c r="IR2304" s="67"/>
      <c r="IS2304" s="67"/>
      <c r="IT2304" s="67"/>
      <c r="IU2304" s="67"/>
      <c r="IV2304" s="67"/>
      <c r="IW2304" s="67"/>
      <c r="IX2304" s="67"/>
      <c r="IY2304" s="67"/>
      <c r="IZ2304" s="67"/>
      <c r="JA2304" s="67"/>
      <c r="JB2304" s="67"/>
      <c r="JC2304" s="67"/>
      <c r="JD2304" s="67"/>
      <c r="JE2304" s="67"/>
      <c r="JF2304" s="67"/>
      <c r="JG2304" s="67"/>
      <c r="JH2304" s="67"/>
      <c r="JI2304" s="67"/>
      <c r="JJ2304" s="67"/>
      <c r="JK2304" s="67"/>
      <c r="JL2304" s="67"/>
      <c r="JM2304" s="67"/>
      <c r="JN2304" s="67"/>
      <c r="JO2304" s="67"/>
      <c r="JP2304" s="67"/>
      <c r="JQ2304" s="67"/>
      <c r="JR2304" s="67"/>
      <c r="JS2304" s="67"/>
      <c r="JT2304" s="67"/>
      <c r="JU2304" s="58"/>
      <c r="JV2304" s="58"/>
      <c r="JW2304" s="58"/>
    </row>
    <row r="2305" spans="1:283" s="23" customFormat="1" x14ac:dyDescent="0.25">
      <c r="A2305" s="55">
        <v>2304</v>
      </c>
      <c r="B2305" s="12" t="s">
        <v>7067</v>
      </c>
      <c r="C2305" s="156">
        <v>110</v>
      </c>
      <c r="D2305" s="58" t="s">
        <v>4198</v>
      </c>
      <c r="E2305" s="93" t="s">
        <v>2174</v>
      </c>
      <c r="F2305" s="93"/>
      <c r="G2305" s="58" t="s">
        <v>2264</v>
      </c>
      <c r="H2305" s="59">
        <v>1982</v>
      </c>
      <c r="I2305" s="58">
        <v>1977</v>
      </c>
      <c r="J2305" s="59" t="s">
        <v>1709</v>
      </c>
      <c r="K2305" s="59" t="s">
        <v>2265</v>
      </c>
      <c r="L2305" s="59" t="s">
        <v>2744</v>
      </c>
      <c r="M2305" s="94">
        <v>7.38</v>
      </c>
      <c r="N2305" s="94">
        <v>3.95</v>
      </c>
      <c r="O2305" s="93">
        <v>229.3</v>
      </c>
      <c r="P2305" s="59"/>
      <c r="Q2305" s="58"/>
      <c r="R2305" s="59"/>
      <c r="S2305" s="94"/>
      <c r="T2305" s="58"/>
      <c r="U2305" s="58">
        <v>3</v>
      </c>
      <c r="V2305" s="59">
        <v>4</v>
      </c>
      <c r="W2305" s="174"/>
      <c r="X2305" s="174"/>
      <c r="Y2305" s="58" t="s">
        <v>2266</v>
      </c>
      <c r="Z2305" s="58" t="s">
        <v>1355</v>
      </c>
      <c r="AA2305" s="94">
        <v>10</v>
      </c>
      <c r="AB2305" s="67"/>
      <c r="AC2305" s="67"/>
      <c r="AD2305" s="94">
        <v>1.31</v>
      </c>
      <c r="AE2305" s="93">
        <v>69.3</v>
      </c>
      <c r="AF2305" s="93">
        <v>9.5</v>
      </c>
      <c r="AG2305" s="93"/>
      <c r="AH2305" s="58" t="s">
        <v>238</v>
      </c>
      <c r="AI2305" s="169"/>
      <c r="AJ2305" s="94">
        <v>1.7</v>
      </c>
      <c r="AK2305" s="94"/>
      <c r="AL2305" s="58"/>
      <c r="AM2305" s="59" t="s">
        <v>2267</v>
      </c>
      <c r="AN2305" s="188" t="s">
        <v>2275</v>
      </c>
      <c r="AO2305" s="185" t="s">
        <v>5150</v>
      </c>
      <c r="AP2305" s="59"/>
      <c r="AQ2305" s="58" t="s">
        <v>553</v>
      </c>
      <c r="AR2305" s="59" t="s">
        <v>2283</v>
      </c>
      <c r="AS2305" s="58" t="s">
        <v>227</v>
      </c>
      <c r="AT2305" s="182"/>
      <c r="AU2305" s="181" t="s">
        <v>7494</v>
      </c>
      <c r="AV2305" s="185" t="s">
        <v>176</v>
      </c>
      <c r="AW2305" s="58"/>
      <c r="AX2305" s="185" t="s">
        <v>176</v>
      </c>
      <c r="AY2305" s="58"/>
      <c r="AZ2305" s="59"/>
      <c r="BA2305" s="58"/>
      <c r="BB2305" s="58"/>
      <c r="BC2305" s="58"/>
      <c r="BD2305" s="58"/>
      <c r="BE2305" s="240"/>
      <c r="BF2305" s="59"/>
      <c r="BG2305" s="59"/>
      <c r="BH2305" s="236"/>
      <c r="BI2305" s="58"/>
      <c r="BJ2305" s="58"/>
      <c r="BK2305" s="58" t="s">
        <v>5976</v>
      </c>
      <c r="BL2305" s="58"/>
      <c r="BM2305" s="241" t="s">
        <v>160</v>
      </c>
      <c r="BN2305" s="58">
        <v>3</v>
      </c>
      <c r="BO2305" s="58">
        <v>3</v>
      </c>
      <c r="BP2305" s="59"/>
      <c r="BQ2305" s="58" t="s">
        <v>141</v>
      </c>
      <c r="BR2305" s="58"/>
      <c r="BS2305" s="58"/>
      <c r="BT2305" s="58"/>
      <c r="BU2305" s="58" t="s">
        <v>2279</v>
      </c>
      <c r="BV2305" s="58"/>
      <c r="BW2305" s="67"/>
      <c r="BX2305" s="67"/>
      <c r="BY2305" s="67"/>
      <c r="BZ2305" s="67"/>
      <c r="CA2305" s="67"/>
      <c r="CB2305" s="153">
        <v>390</v>
      </c>
      <c r="CC2305" s="68">
        <v>140</v>
      </c>
      <c r="CD2305" s="68"/>
      <c r="CE2305" s="67"/>
      <c r="CF2305" s="67"/>
      <c r="CG2305" s="67" t="s">
        <v>2284</v>
      </c>
      <c r="CH2305" s="94"/>
      <c r="CI2305" s="94"/>
      <c r="CJ2305" s="67"/>
      <c r="CK2305" s="67"/>
      <c r="CL2305" s="67"/>
      <c r="CM2305" s="67"/>
      <c r="CN2305" s="67"/>
      <c r="CO2305" s="67"/>
      <c r="CP2305" s="67"/>
      <c r="CQ2305" s="67"/>
      <c r="CR2305" s="67"/>
      <c r="CS2305" s="67"/>
      <c r="CT2305" s="67"/>
      <c r="CU2305" s="67"/>
      <c r="CV2305" s="67"/>
      <c r="CW2305" s="67"/>
      <c r="CX2305" s="67"/>
      <c r="CY2305" s="67"/>
      <c r="CZ2305" s="67"/>
      <c r="DA2305" s="67"/>
      <c r="DB2305" s="67"/>
      <c r="DC2305" s="67"/>
      <c r="DD2305" s="67"/>
      <c r="DE2305" s="67"/>
      <c r="DF2305" s="67"/>
      <c r="DG2305" s="67"/>
      <c r="DH2305" s="67"/>
      <c r="DI2305" s="67"/>
      <c r="DJ2305" s="67"/>
      <c r="DK2305" s="67"/>
      <c r="DL2305" s="67"/>
      <c r="DM2305" s="67"/>
      <c r="DN2305" s="67"/>
      <c r="DO2305" s="67"/>
      <c r="DP2305" s="67"/>
      <c r="DQ2305" s="166"/>
      <c r="DR2305" s="166"/>
      <c r="DS2305" s="163"/>
      <c r="DT2305" s="163"/>
      <c r="DU2305" s="67"/>
      <c r="DV2305" s="67"/>
      <c r="DW2305" s="67"/>
      <c r="DX2305" s="67"/>
      <c r="DY2305" s="67"/>
      <c r="DZ2305" s="67"/>
      <c r="EA2305" s="67"/>
      <c r="EB2305" s="67"/>
      <c r="EC2305" s="67"/>
      <c r="ED2305" s="67"/>
      <c r="EE2305" s="67"/>
      <c r="EF2305" s="67"/>
      <c r="EG2305" s="67"/>
      <c r="EH2305" s="67"/>
      <c r="EI2305" s="67"/>
      <c r="EJ2305" s="67"/>
      <c r="EK2305" s="94"/>
      <c r="EL2305" s="94"/>
      <c r="EM2305" s="67"/>
      <c r="EN2305" s="67"/>
      <c r="EO2305" s="67"/>
      <c r="EP2305" s="67"/>
      <c r="EQ2305" s="67"/>
      <c r="ER2305" s="67"/>
      <c r="ES2305" s="67"/>
      <c r="ET2305" s="67"/>
      <c r="EU2305" s="67"/>
      <c r="EV2305" s="67"/>
      <c r="EW2305" s="67"/>
      <c r="EX2305" s="67"/>
      <c r="EY2305" s="67"/>
      <c r="EZ2305" s="67"/>
      <c r="FA2305" s="67"/>
      <c r="FB2305" s="67"/>
      <c r="FC2305" s="67"/>
      <c r="FD2305" s="67"/>
      <c r="FE2305" s="67"/>
      <c r="FF2305" s="67"/>
      <c r="FG2305" s="67"/>
      <c r="FH2305" s="67"/>
      <c r="FI2305" s="67"/>
      <c r="FJ2305" s="67"/>
      <c r="FK2305" s="67"/>
      <c r="FL2305" s="67"/>
      <c r="FM2305" s="67"/>
      <c r="FN2305" s="67"/>
      <c r="FO2305" s="67"/>
      <c r="FP2305" s="67"/>
      <c r="FQ2305" s="67"/>
      <c r="FR2305" s="67"/>
      <c r="FS2305" s="67"/>
      <c r="FT2305" s="67"/>
      <c r="FU2305" s="67"/>
      <c r="FV2305" s="67"/>
      <c r="FW2305" s="67"/>
      <c r="FX2305" s="67"/>
      <c r="FY2305" s="67"/>
      <c r="FZ2305" s="67"/>
      <c r="GA2305" s="67"/>
      <c r="GB2305" s="67"/>
      <c r="GC2305" s="67"/>
      <c r="GD2305" s="67"/>
      <c r="GE2305" s="67"/>
      <c r="GF2305" s="67"/>
      <c r="GG2305" s="67"/>
      <c r="GH2305" s="67"/>
      <c r="GI2305" s="67"/>
      <c r="GJ2305" s="67"/>
      <c r="GK2305" s="67"/>
      <c r="GL2305" s="67"/>
      <c r="GM2305" s="67"/>
      <c r="GN2305" s="292"/>
      <c r="GO2305" s="292"/>
      <c r="GP2305" s="292" t="s">
        <v>7494</v>
      </c>
      <c r="GQ2305" s="67"/>
      <c r="GR2305" s="67"/>
      <c r="GS2305" s="67"/>
      <c r="GT2305" s="67"/>
      <c r="GU2305" s="67"/>
      <c r="GV2305" s="67"/>
      <c r="GW2305" s="67"/>
      <c r="GX2305" s="67"/>
      <c r="GY2305" s="67"/>
      <c r="GZ2305" s="67"/>
      <c r="HA2305" s="67"/>
      <c r="HB2305" s="67"/>
      <c r="HC2305" s="67"/>
      <c r="HD2305" s="67"/>
      <c r="HE2305" s="67"/>
      <c r="HF2305" s="67"/>
      <c r="HG2305" s="67"/>
      <c r="HH2305" s="67"/>
      <c r="HI2305" s="67"/>
      <c r="HJ2305" s="67"/>
      <c r="HK2305" s="67"/>
      <c r="HL2305" s="67"/>
      <c r="HM2305" s="67"/>
      <c r="HN2305" s="67"/>
      <c r="HO2305" s="67"/>
      <c r="HP2305" s="67"/>
      <c r="HQ2305" s="67"/>
      <c r="HR2305" s="67"/>
      <c r="HS2305" s="67"/>
      <c r="HT2305" s="67"/>
      <c r="HU2305" s="67"/>
      <c r="HV2305" s="67"/>
      <c r="HW2305" s="67"/>
      <c r="HX2305" s="67"/>
      <c r="HY2305" s="67"/>
      <c r="HZ2305" s="67"/>
      <c r="IA2305" s="67"/>
      <c r="IB2305" s="67"/>
      <c r="IC2305" s="67"/>
      <c r="ID2305" s="67"/>
      <c r="IE2305" s="67"/>
      <c r="IF2305" s="67"/>
      <c r="IG2305" s="67"/>
      <c r="IH2305" s="67"/>
      <c r="II2305" s="67"/>
      <c r="IJ2305" s="67"/>
      <c r="IK2305" s="67"/>
      <c r="IL2305" s="67"/>
      <c r="IM2305" s="67"/>
      <c r="IN2305" s="67"/>
      <c r="IO2305" s="67"/>
      <c r="IP2305" s="67"/>
      <c r="IQ2305" s="67"/>
      <c r="IR2305" s="67"/>
      <c r="IS2305" s="67"/>
      <c r="IT2305" s="67"/>
      <c r="IU2305" s="67"/>
      <c r="IV2305" s="67"/>
      <c r="IW2305" s="67"/>
      <c r="IX2305" s="67"/>
      <c r="IY2305" s="67"/>
      <c r="IZ2305" s="67"/>
      <c r="JA2305" s="67"/>
      <c r="JB2305" s="67"/>
      <c r="JC2305" s="67"/>
      <c r="JD2305" s="67"/>
      <c r="JE2305" s="67"/>
      <c r="JF2305" s="67"/>
      <c r="JG2305" s="67"/>
      <c r="JH2305" s="67"/>
      <c r="JI2305" s="67"/>
      <c r="JJ2305" s="67"/>
      <c r="JK2305" s="67"/>
      <c r="JL2305" s="67"/>
      <c r="JM2305" s="67"/>
      <c r="JN2305" s="67"/>
      <c r="JO2305" s="67"/>
      <c r="JP2305" s="67"/>
      <c r="JQ2305" s="67"/>
      <c r="JR2305" s="67"/>
      <c r="JS2305" s="67"/>
      <c r="JT2305" s="67"/>
      <c r="JU2305" s="58"/>
      <c r="JV2305" s="58"/>
      <c r="JW2305" s="58"/>
    </row>
    <row r="2306" spans="1:283" s="23" customFormat="1" x14ac:dyDescent="0.25">
      <c r="A2306" s="55">
        <v>2305</v>
      </c>
      <c r="B2306" s="12" t="s">
        <v>7067</v>
      </c>
      <c r="C2306" s="156">
        <v>110</v>
      </c>
      <c r="D2306" s="58" t="s">
        <v>4198</v>
      </c>
      <c r="E2306" s="93" t="s">
        <v>2174</v>
      </c>
      <c r="F2306" s="93"/>
      <c r="G2306" s="58" t="s">
        <v>2264</v>
      </c>
      <c r="H2306" s="59">
        <v>1982</v>
      </c>
      <c r="I2306" s="58">
        <v>1977</v>
      </c>
      <c r="J2306" s="59" t="s">
        <v>1709</v>
      </c>
      <c r="K2306" s="59" t="s">
        <v>2265</v>
      </c>
      <c r="L2306" s="59" t="s">
        <v>2744</v>
      </c>
      <c r="M2306" s="94">
        <v>7.38</v>
      </c>
      <c r="N2306" s="94">
        <v>3.95</v>
      </c>
      <c r="O2306" s="93">
        <v>229.3</v>
      </c>
      <c r="P2306" s="59"/>
      <c r="Q2306" s="58"/>
      <c r="R2306" s="59"/>
      <c r="S2306" s="94"/>
      <c r="T2306" s="58"/>
      <c r="U2306" s="58">
        <v>3</v>
      </c>
      <c r="V2306" s="59">
        <v>4</v>
      </c>
      <c r="W2306" s="174"/>
      <c r="X2306" s="174"/>
      <c r="Y2306" s="58" t="s">
        <v>2266</v>
      </c>
      <c r="Z2306" s="58" t="s">
        <v>1355</v>
      </c>
      <c r="AA2306" s="94">
        <v>10</v>
      </c>
      <c r="AB2306" s="67"/>
      <c r="AC2306" s="67"/>
      <c r="AD2306" s="94">
        <v>1.31</v>
      </c>
      <c r="AE2306" s="93">
        <v>69.3</v>
      </c>
      <c r="AF2306" s="93">
        <v>9.5</v>
      </c>
      <c r="AG2306" s="93"/>
      <c r="AH2306" s="58" t="s">
        <v>238</v>
      </c>
      <c r="AI2306" s="169"/>
      <c r="AJ2306" s="94">
        <v>1.7</v>
      </c>
      <c r="AK2306" s="94"/>
      <c r="AL2306" s="58"/>
      <c r="AM2306" s="59" t="s">
        <v>2267</v>
      </c>
      <c r="AN2306" s="188" t="s">
        <v>2276</v>
      </c>
      <c r="AO2306" s="185" t="s">
        <v>5150</v>
      </c>
      <c r="AP2306" s="59"/>
      <c r="AQ2306" s="58" t="s">
        <v>553</v>
      </c>
      <c r="AR2306" s="59" t="s">
        <v>2283</v>
      </c>
      <c r="AS2306" s="58" t="s">
        <v>227</v>
      </c>
      <c r="AT2306" s="182"/>
      <c r="AU2306" s="181" t="s">
        <v>7494</v>
      </c>
      <c r="AV2306" s="185" t="s">
        <v>176</v>
      </c>
      <c r="AW2306" s="58"/>
      <c r="AX2306" s="185" t="s">
        <v>176</v>
      </c>
      <c r="AY2306" s="58"/>
      <c r="AZ2306" s="59"/>
      <c r="BA2306" s="58"/>
      <c r="BB2306" s="58"/>
      <c r="BC2306" s="58"/>
      <c r="BD2306" s="58"/>
      <c r="BE2306" s="240"/>
      <c r="BF2306" s="59"/>
      <c r="BG2306" s="59"/>
      <c r="BH2306" s="236"/>
      <c r="BI2306" s="58"/>
      <c r="BJ2306" s="58"/>
      <c r="BK2306" s="58" t="s">
        <v>5976</v>
      </c>
      <c r="BL2306" s="58"/>
      <c r="BM2306" s="241" t="s">
        <v>160</v>
      </c>
      <c r="BN2306" s="58">
        <v>3</v>
      </c>
      <c r="BO2306" s="58">
        <v>3</v>
      </c>
      <c r="BP2306" s="59"/>
      <c r="BQ2306" s="58" t="s">
        <v>141</v>
      </c>
      <c r="BR2306" s="58"/>
      <c r="BS2306" s="58"/>
      <c r="BT2306" s="58"/>
      <c r="BU2306" s="58" t="s">
        <v>2279</v>
      </c>
      <c r="BV2306" s="58"/>
      <c r="BW2306" s="67"/>
      <c r="BX2306" s="67"/>
      <c r="BY2306" s="67"/>
      <c r="BZ2306" s="67"/>
      <c r="CA2306" s="67"/>
      <c r="CB2306" s="153">
        <v>390</v>
      </c>
      <c r="CC2306" s="68">
        <v>140</v>
      </c>
      <c r="CD2306" s="68"/>
      <c r="CE2306" s="67"/>
      <c r="CF2306" s="67"/>
      <c r="CG2306" s="67" t="s">
        <v>2284</v>
      </c>
      <c r="CH2306" s="94"/>
      <c r="CI2306" s="94"/>
      <c r="CJ2306" s="67"/>
      <c r="CK2306" s="67"/>
      <c r="CL2306" s="67"/>
      <c r="CM2306" s="67"/>
      <c r="CN2306" s="67"/>
      <c r="CO2306" s="67"/>
      <c r="CP2306" s="67"/>
      <c r="CQ2306" s="67"/>
      <c r="CR2306" s="67"/>
      <c r="CS2306" s="67"/>
      <c r="CT2306" s="67"/>
      <c r="CU2306" s="67"/>
      <c r="CV2306" s="67"/>
      <c r="CW2306" s="67"/>
      <c r="CX2306" s="67"/>
      <c r="CY2306" s="67"/>
      <c r="CZ2306" s="67"/>
      <c r="DA2306" s="67"/>
      <c r="DB2306" s="67"/>
      <c r="DC2306" s="67"/>
      <c r="DD2306" s="67"/>
      <c r="DE2306" s="67"/>
      <c r="DF2306" s="67"/>
      <c r="DG2306" s="67"/>
      <c r="DH2306" s="67"/>
      <c r="DI2306" s="67"/>
      <c r="DJ2306" s="67"/>
      <c r="DK2306" s="67"/>
      <c r="DL2306" s="67"/>
      <c r="DM2306" s="67"/>
      <c r="DN2306" s="67"/>
      <c r="DO2306" s="67"/>
      <c r="DP2306" s="67"/>
      <c r="DQ2306" s="166"/>
      <c r="DR2306" s="166"/>
      <c r="DS2306" s="163"/>
      <c r="DT2306" s="163"/>
      <c r="DU2306" s="67"/>
      <c r="DV2306" s="67"/>
      <c r="DW2306" s="67"/>
      <c r="DX2306" s="67"/>
      <c r="DY2306" s="67"/>
      <c r="DZ2306" s="67"/>
      <c r="EA2306" s="67"/>
      <c r="EB2306" s="67"/>
      <c r="EC2306" s="67"/>
      <c r="ED2306" s="67"/>
      <c r="EE2306" s="67"/>
      <c r="EF2306" s="67"/>
      <c r="EG2306" s="67"/>
      <c r="EH2306" s="67"/>
      <c r="EI2306" s="67"/>
      <c r="EJ2306" s="67"/>
      <c r="EK2306" s="94"/>
      <c r="EL2306" s="94"/>
      <c r="EM2306" s="67"/>
      <c r="EN2306" s="67"/>
      <c r="EO2306" s="67"/>
      <c r="EP2306" s="67"/>
      <c r="EQ2306" s="67"/>
      <c r="ER2306" s="67"/>
      <c r="ES2306" s="67"/>
      <c r="ET2306" s="67"/>
      <c r="EU2306" s="67"/>
      <c r="EV2306" s="67"/>
      <c r="EW2306" s="67"/>
      <c r="EX2306" s="67"/>
      <c r="EY2306" s="67"/>
      <c r="EZ2306" s="67"/>
      <c r="FA2306" s="67"/>
      <c r="FB2306" s="67"/>
      <c r="FC2306" s="67"/>
      <c r="FD2306" s="67"/>
      <c r="FE2306" s="67"/>
      <c r="FF2306" s="67"/>
      <c r="FG2306" s="67"/>
      <c r="FH2306" s="67"/>
      <c r="FI2306" s="67"/>
      <c r="FJ2306" s="67"/>
      <c r="FK2306" s="67"/>
      <c r="FL2306" s="67"/>
      <c r="FM2306" s="67"/>
      <c r="FN2306" s="67"/>
      <c r="FO2306" s="67"/>
      <c r="FP2306" s="67"/>
      <c r="FQ2306" s="67"/>
      <c r="FR2306" s="67"/>
      <c r="FS2306" s="67"/>
      <c r="FT2306" s="67"/>
      <c r="FU2306" s="67"/>
      <c r="FV2306" s="67"/>
      <c r="FW2306" s="67"/>
      <c r="FX2306" s="67"/>
      <c r="FY2306" s="67"/>
      <c r="FZ2306" s="67"/>
      <c r="GA2306" s="67"/>
      <c r="GB2306" s="67"/>
      <c r="GC2306" s="67"/>
      <c r="GD2306" s="67"/>
      <c r="GE2306" s="67"/>
      <c r="GF2306" s="67"/>
      <c r="GG2306" s="67"/>
      <c r="GH2306" s="67"/>
      <c r="GI2306" s="67"/>
      <c r="GJ2306" s="67"/>
      <c r="GK2306" s="67"/>
      <c r="GL2306" s="67"/>
      <c r="GM2306" s="67"/>
      <c r="GN2306" s="292"/>
      <c r="GO2306" s="292"/>
      <c r="GP2306" s="292" t="s">
        <v>7494</v>
      </c>
      <c r="GQ2306" s="67"/>
      <c r="GR2306" s="67"/>
      <c r="GS2306" s="67"/>
      <c r="GT2306" s="67"/>
      <c r="GU2306" s="67"/>
      <c r="GV2306" s="67"/>
      <c r="GW2306" s="67"/>
      <c r="GX2306" s="67"/>
      <c r="GY2306" s="67"/>
      <c r="GZ2306" s="67"/>
      <c r="HA2306" s="67"/>
      <c r="HB2306" s="67"/>
      <c r="HC2306" s="67"/>
      <c r="HD2306" s="67"/>
      <c r="HE2306" s="67"/>
      <c r="HF2306" s="67"/>
      <c r="HG2306" s="67"/>
      <c r="HH2306" s="67"/>
      <c r="HI2306" s="67"/>
      <c r="HJ2306" s="67"/>
      <c r="HK2306" s="67"/>
      <c r="HL2306" s="67"/>
      <c r="HM2306" s="67"/>
      <c r="HN2306" s="67"/>
      <c r="HO2306" s="67"/>
      <c r="HP2306" s="67"/>
      <c r="HQ2306" s="67"/>
      <c r="HR2306" s="67"/>
      <c r="HS2306" s="67"/>
      <c r="HT2306" s="67"/>
      <c r="HU2306" s="67"/>
      <c r="HV2306" s="67"/>
      <c r="HW2306" s="67"/>
      <c r="HX2306" s="67"/>
      <c r="HY2306" s="67"/>
      <c r="HZ2306" s="67"/>
      <c r="IA2306" s="67"/>
      <c r="IB2306" s="67"/>
      <c r="IC2306" s="67"/>
      <c r="ID2306" s="67"/>
      <c r="IE2306" s="67"/>
      <c r="IF2306" s="67"/>
      <c r="IG2306" s="67"/>
      <c r="IH2306" s="67"/>
      <c r="II2306" s="67"/>
      <c r="IJ2306" s="67"/>
      <c r="IK2306" s="67"/>
      <c r="IL2306" s="67"/>
      <c r="IM2306" s="67"/>
      <c r="IN2306" s="67"/>
      <c r="IO2306" s="67"/>
      <c r="IP2306" s="67"/>
      <c r="IQ2306" s="67"/>
      <c r="IR2306" s="67"/>
      <c r="IS2306" s="67"/>
      <c r="IT2306" s="67"/>
      <c r="IU2306" s="67"/>
      <c r="IV2306" s="67"/>
      <c r="IW2306" s="67"/>
      <c r="IX2306" s="67"/>
      <c r="IY2306" s="67"/>
      <c r="IZ2306" s="67"/>
      <c r="JA2306" s="67"/>
      <c r="JB2306" s="67"/>
      <c r="JC2306" s="67"/>
      <c r="JD2306" s="67"/>
      <c r="JE2306" s="67"/>
      <c r="JF2306" s="67"/>
      <c r="JG2306" s="67"/>
      <c r="JH2306" s="67"/>
      <c r="JI2306" s="67"/>
      <c r="JJ2306" s="67"/>
      <c r="JK2306" s="67"/>
      <c r="JL2306" s="67"/>
      <c r="JM2306" s="67"/>
      <c r="JN2306" s="67"/>
      <c r="JO2306" s="67"/>
      <c r="JP2306" s="67"/>
      <c r="JQ2306" s="67"/>
      <c r="JR2306" s="67"/>
      <c r="JS2306" s="67"/>
      <c r="JT2306" s="67"/>
      <c r="JU2306" s="58"/>
      <c r="JV2306" s="58"/>
      <c r="JW2306" s="58"/>
    </row>
    <row r="2307" spans="1:283" s="23" customFormat="1" x14ac:dyDescent="0.25">
      <c r="A2307" s="55">
        <v>2306</v>
      </c>
      <c r="B2307" s="12" t="s">
        <v>7067</v>
      </c>
      <c r="C2307" s="156">
        <v>110</v>
      </c>
      <c r="D2307" s="58" t="s">
        <v>4198</v>
      </c>
      <c r="E2307" s="93" t="s">
        <v>2174</v>
      </c>
      <c r="F2307" s="93"/>
      <c r="G2307" s="58" t="s">
        <v>2264</v>
      </c>
      <c r="H2307" s="59">
        <v>1982</v>
      </c>
      <c r="I2307" s="58">
        <v>1977</v>
      </c>
      <c r="J2307" s="59" t="s">
        <v>1709</v>
      </c>
      <c r="K2307" s="59" t="s">
        <v>2265</v>
      </c>
      <c r="L2307" s="59" t="s">
        <v>2744</v>
      </c>
      <c r="M2307" s="94">
        <v>7.38</v>
      </c>
      <c r="N2307" s="94">
        <v>3.95</v>
      </c>
      <c r="O2307" s="93">
        <v>229.3</v>
      </c>
      <c r="P2307" s="59"/>
      <c r="Q2307" s="58"/>
      <c r="R2307" s="59"/>
      <c r="S2307" s="94"/>
      <c r="T2307" s="58"/>
      <c r="U2307" s="58">
        <v>3</v>
      </c>
      <c r="V2307" s="59">
        <v>4</v>
      </c>
      <c r="W2307" s="174"/>
      <c r="X2307" s="174"/>
      <c r="Y2307" s="58" t="s">
        <v>2266</v>
      </c>
      <c r="Z2307" s="58" t="s">
        <v>1355</v>
      </c>
      <c r="AA2307" s="94">
        <v>10</v>
      </c>
      <c r="AB2307" s="67"/>
      <c r="AC2307" s="67"/>
      <c r="AD2307" s="94">
        <v>1.31</v>
      </c>
      <c r="AE2307" s="93">
        <v>69.3</v>
      </c>
      <c r="AF2307" s="93">
        <v>9.5</v>
      </c>
      <c r="AG2307" s="93"/>
      <c r="AH2307" s="58" t="s">
        <v>238</v>
      </c>
      <c r="AI2307" s="169"/>
      <c r="AJ2307" s="94">
        <v>1.7</v>
      </c>
      <c r="AK2307" s="94"/>
      <c r="AL2307" s="58"/>
      <c r="AM2307" s="59" t="s">
        <v>2267</v>
      </c>
      <c r="AN2307" s="188" t="s">
        <v>2277</v>
      </c>
      <c r="AO2307" s="185" t="s">
        <v>5150</v>
      </c>
      <c r="AP2307" s="59"/>
      <c r="AQ2307" s="58" t="s">
        <v>553</v>
      </c>
      <c r="AR2307" s="59" t="s">
        <v>2283</v>
      </c>
      <c r="AS2307" s="58" t="s">
        <v>227</v>
      </c>
      <c r="AT2307" s="182"/>
      <c r="AU2307" s="181" t="s">
        <v>7494</v>
      </c>
      <c r="AV2307" s="185" t="s">
        <v>176</v>
      </c>
      <c r="AW2307" s="58"/>
      <c r="AX2307" s="185" t="s">
        <v>176</v>
      </c>
      <c r="AY2307" s="58"/>
      <c r="AZ2307" s="59"/>
      <c r="BA2307" s="58"/>
      <c r="BB2307" s="58"/>
      <c r="BC2307" s="58"/>
      <c r="BD2307" s="58"/>
      <c r="BE2307" s="240"/>
      <c r="BF2307" s="59"/>
      <c r="BG2307" s="59"/>
      <c r="BH2307" s="236"/>
      <c r="BI2307" s="58"/>
      <c r="BJ2307" s="58"/>
      <c r="BK2307" s="58" t="s">
        <v>5976</v>
      </c>
      <c r="BL2307" s="58"/>
      <c r="BM2307" s="241" t="s">
        <v>160</v>
      </c>
      <c r="BN2307" s="58">
        <v>3</v>
      </c>
      <c r="BO2307" s="58">
        <v>3</v>
      </c>
      <c r="BP2307" s="59"/>
      <c r="BQ2307" s="58" t="s">
        <v>141</v>
      </c>
      <c r="BR2307" s="58"/>
      <c r="BS2307" s="58"/>
      <c r="BT2307" s="58"/>
      <c r="BU2307" s="58" t="s">
        <v>2279</v>
      </c>
      <c r="BV2307" s="58"/>
      <c r="BW2307" s="67"/>
      <c r="BX2307" s="67"/>
      <c r="BY2307" s="67"/>
      <c r="BZ2307" s="67"/>
      <c r="CA2307" s="67"/>
      <c r="CB2307" s="153">
        <v>390</v>
      </c>
      <c r="CC2307" s="68">
        <v>580</v>
      </c>
      <c r="CD2307" s="68"/>
      <c r="CE2307" s="67"/>
      <c r="CF2307" s="67"/>
      <c r="CG2307" s="67" t="s">
        <v>2284</v>
      </c>
      <c r="CH2307" s="94"/>
      <c r="CI2307" s="94"/>
      <c r="CJ2307" s="67"/>
      <c r="CK2307" s="67"/>
      <c r="CL2307" s="67"/>
      <c r="CM2307" s="67"/>
      <c r="CN2307" s="67"/>
      <c r="CO2307" s="67"/>
      <c r="CP2307" s="67"/>
      <c r="CQ2307" s="67"/>
      <c r="CR2307" s="67"/>
      <c r="CS2307" s="67"/>
      <c r="CT2307" s="67"/>
      <c r="CU2307" s="67"/>
      <c r="CV2307" s="67"/>
      <c r="CW2307" s="67"/>
      <c r="CX2307" s="67"/>
      <c r="CY2307" s="67"/>
      <c r="CZ2307" s="67"/>
      <c r="DA2307" s="67"/>
      <c r="DB2307" s="67"/>
      <c r="DC2307" s="67"/>
      <c r="DD2307" s="67"/>
      <c r="DE2307" s="67"/>
      <c r="DF2307" s="67"/>
      <c r="DG2307" s="67"/>
      <c r="DH2307" s="67"/>
      <c r="DI2307" s="67"/>
      <c r="DJ2307" s="67"/>
      <c r="DK2307" s="67"/>
      <c r="DL2307" s="67"/>
      <c r="DM2307" s="67"/>
      <c r="DN2307" s="67"/>
      <c r="DO2307" s="67"/>
      <c r="DP2307" s="67"/>
      <c r="DQ2307" s="166"/>
      <c r="DR2307" s="166"/>
      <c r="DS2307" s="163"/>
      <c r="DT2307" s="163"/>
      <c r="DU2307" s="67"/>
      <c r="DV2307" s="67"/>
      <c r="DW2307" s="67"/>
      <c r="DX2307" s="67"/>
      <c r="DY2307" s="67"/>
      <c r="DZ2307" s="67"/>
      <c r="EA2307" s="67"/>
      <c r="EB2307" s="67"/>
      <c r="EC2307" s="67"/>
      <c r="ED2307" s="67"/>
      <c r="EE2307" s="67"/>
      <c r="EF2307" s="67"/>
      <c r="EG2307" s="67"/>
      <c r="EH2307" s="67"/>
      <c r="EI2307" s="67"/>
      <c r="EJ2307" s="67"/>
      <c r="EK2307" s="94"/>
      <c r="EL2307" s="94"/>
      <c r="EM2307" s="67"/>
      <c r="EN2307" s="67"/>
      <c r="EO2307" s="67"/>
      <c r="EP2307" s="67"/>
      <c r="EQ2307" s="67"/>
      <c r="ER2307" s="67"/>
      <c r="ES2307" s="67"/>
      <c r="ET2307" s="67"/>
      <c r="EU2307" s="67"/>
      <c r="EV2307" s="67"/>
      <c r="EW2307" s="67"/>
      <c r="EX2307" s="67"/>
      <c r="EY2307" s="67"/>
      <c r="EZ2307" s="67"/>
      <c r="FA2307" s="67"/>
      <c r="FB2307" s="67"/>
      <c r="FC2307" s="67"/>
      <c r="FD2307" s="67"/>
      <c r="FE2307" s="67"/>
      <c r="FF2307" s="67"/>
      <c r="FG2307" s="67"/>
      <c r="FH2307" s="67"/>
      <c r="FI2307" s="67"/>
      <c r="FJ2307" s="67"/>
      <c r="FK2307" s="67"/>
      <c r="FL2307" s="67"/>
      <c r="FM2307" s="67"/>
      <c r="FN2307" s="67"/>
      <c r="FO2307" s="67"/>
      <c r="FP2307" s="67"/>
      <c r="FQ2307" s="67"/>
      <c r="FR2307" s="67"/>
      <c r="FS2307" s="67"/>
      <c r="FT2307" s="67"/>
      <c r="FU2307" s="67"/>
      <c r="FV2307" s="67"/>
      <c r="FW2307" s="67"/>
      <c r="FX2307" s="67"/>
      <c r="FY2307" s="67"/>
      <c r="FZ2307" s="67"/>
      <c r="GA2307" s="67"/>
      <c r="GB2307" s="67"/>
      <c r="GC2307" s="67"/>
      <c r="GD2307" s="67"/>
      <c r="GE2307" s="67"/>
      <c r="GF2307" s="67"/>
      <c r="GG2307" s="67"/>
      <c r="GH2307" s="67"/>
      <c r="GI2307" s="67"/>
      <c r="GJ2307" s="67"/>
      <c r="GK2307" s="67"/>
      <c r="GL2307" s="67"/>
      <c r="GM2307" s="67"/>
      <c r="GN2307" s="292"/>
      <c r="GO2307" s="292"/>
      <c r="GP2307" s="292" t="s">
        <v>7494</v>
      </c>
      <c r="GQ2307" s="67"/>
      <c r="GR2307" s="67"/>
      <c r="GS2307" s="67"/>
      <c r="GT2307" s="67"/>
      <c r="GU2307" s="67"/>
      <c r="GV2307" s="67"/>
      <c r="GW2307" s="67"/>
      <c r="GX2307" s="67"/>
      <c r="GY2307" s="67"/>
      <c r="GZ2307" s="67"/>
      <c r="HA2307" s="67"/>
      <c r="HB2307" s="67"/>
      <c r="HC2307" s="67"/>
      <c r="HD2307" s="67"/>
      <c r="HE2307" s="67"/>
      <c r="HF2307" s="67"/>
      <c r="HG2307" s="67"/>
      <c r="HH2307" s="67"/>
      <c r="HI2307" s="67"/>
      <c r="HJ2307" s="67"/>
      <c r="HK2307" s="67"/>
      <c r="HL2307" s="67"/>
      <c r="HM2307" s="67"/>
      <c r="HN2307" s="67"/>
      <c r="HO2307" s="67"/>
      <c r="HP2307" s="67"/>
      <c r="HQ2307" s="67"/>
      <c r="HR2307" s="67"/>
      <c r="HS2307" s="67"/>
      <c r="HT2307" s="67"/>
      <c r="HU2307" s="67"/>
      <c r="HV2307" s="67"/>
      <c r="HW2307" s="67"/>
      <c r="HX2307" s="67"/>
      <c r="HY2307" s="67"/>
      <c r="HZ2307" s="67"/>
      <c r="IA2307" s="67"/>
      <c r="IB2307" s="67"/>
      <c r="IC2307" s="67"/>
      <c r="ID2307" s="67"/>
      <c r="IE2307" s="67"/>
      <c r="IF2307" s="67"/>
      <c r="IG2307" s="67"/>
      <c r="IH2307" s="67"/>
      <c r="II2307" s="67"/>
      <c r="IJ2307" s="67"/>
      <c r="IK2307" s="67"/>
      <c r="IL2307" s="67"/>
      <c r="IM2307" s="67"/>
      <c r="IN2307" s="67"/>
      <c r="IO2307" s="67"/>
      <c r="IP2307" s="67"/>
      <c r="IQ2307" s="67"/>
      <c r="IR2307" s="67"/>
      <c r="IS2307" s="67"/>
      <c r="IT2307" s="67"/>
      <c r="IU2307" s="67"/>
      <c r="IV2307" s="67"/>
      <c r="IW2307" s="67"/>
      <c r="IX2307" s="67"/>
      <c r="IY2307" s="67"/>
      <c r="IZ2307" s="67"/>
      <c r="JA2307" s="67"/>
      <c r="JB2307" s="67"/>
      <c r="JC2307" s="67"/>
      <c r="JD2307" s="67"/>
      <c r="JE2307" s="67"/>
      <c r="JF2307" s="67"/>
      <c r="JG2307" s="67"/>
      <c r="JH2307" s="67"/>
      <c r="JI2307" s="67"/>
      <c r="JJ2307" s="67"/>
      <c r="JK2307" s="67"/>
      <c r="JL2307" s="67"/>
      <c r="JM2307" s="67"/>
      <c r="JN2307" s="67"/>
      <c r="JO2307" s="67"/>
      <c r="JP2307" s="67"/>
      <c r="JQ2307" s="67"/>
      <c r="JR2307" s="67"/>
      <c r="JS2307" s="67"/>
      <c r="JT2307" s="67"/>
      <c r="JU2307" s="58"/>
      <c r="JV2307" s="58"/>
      <c r="JW2307" s="58"/>
    </row>
    <row r="2308" spans="1:283" s="23" customFormat="1" x14ac:dyDescent="0.25">
      <c r="A2308" s="55">
        <v>2307</v>
      </c>
      <c r="B2308" s="12" t="s">
        <v>7067</v>
      </c>
      <c r="C2308" s="156">
        <v>110</v>
      </c>
      <c r="D2308" s="58" t="s">
        <v>4198</v>
      </c>
      <c r="E2308" s="93" t="s">
        <v>2174</v>
      </c>
      <c r="F2308" s="93"/>
      <c r="G2308" s="58" t="s">
        <v>2264</v>
      </c>
      <c r="H2308" s="59">
        <v>1982</v>
      </c>
      <c r="I2308" s="58">
        <v>1977</v>
      </c>
      <c r="J2308" s="59" t="s">
        <v>1709</v>
      </c>
      <c r="K2308" s="59" t="s">
        <v>2265</v>
      </c>
      <c r="L2308" s="59" t="s">
        <v>2744</v>
      </c>
      <c r="M2308" s="94">
        <v>7.38</v>
      </c>
      <c r="N2308" s="94">
        <v>3.95</v>
      </c>
      <c r="O2308" s="93">
        <v>229.3</v>
      </c>
      <c r="P2308" s="59"/>
      <c r="Q2308" s="58"/>
      <c r="R2308" s="59"/>
      <c r="S2308" s="94"/>
      <c r="T2308" s="58"/>
      <c r="U2308" s="58">
        <v>3</v>
      </c>
      <c r="V2308" s="59">
        <v>4</v>
      </c>
      <c r="W2308" s="174"/>
      <c r="X2308" s="174"/>
      <c r="Y2308" s="58" t="s">
        <v>2266</v>
      </c>
      <c r="Z2308" s="58" t="s">
        <v>1355</v>
      </c>
      <c r="AA2308" s="94">
        <v>10</v>
      </c>
      <c r="AB2308" s="67"/>
      <c r="AC2308" s="67"/>
      <c r="AD2308" s="94">
        <v>1.31</v>
      </c>
      <c r="AE2308" s="93">
        <v>69.3</v>
      </c>
      <c r="AF2308" s="93">
        <v>9.5</v>
      </c>
      <c r="AG2308" s="93"/>
      <c r="AH2308" s="58" t="s">
        <v>238</v>
      </c>
      <c r="AI2308" s="169"/>
      <c r="AJ2308" s="94">
        <v>1.7</v>
      </c>
      <c r="AK2308" s="94"/>
      <c r="AL2308" s="58"/>
      <c r="AM2308" s="59" t="s">
        <v>2267</v>
      </c>
      <c r="AN2308" s="188" t="s">
        <v>2278</v>
      </c>
      <c r="AO2308" s="185" t="s">
        <v>5150</v>
      </c>
      <c r="AP2308" s="59"/>
      <c r="AQ2308" s="58" t="s">
        <v>553</v>
      </c>
      <c r="AR2308" s="59" t="s">
        <v>2283</v>
      </c>
      <c r="AS2308" s="58" t="s">
        <v>227</v>
      </c>
      <c r="AT2308" s="182"/>
      <c r="AU2308" s="181" t="s">
        <v>7494</v>
      </c>
      <c r="AV2308" s="185" t="s">
        <v>176</v>
      </c>
      <c r="AW2308" s="58"/>
      <c r="AX2308" s="185" t="s">
        <v>176</v>
      </c>
      <c r="AY2308" s="58"/>
      <c r="AZ2308" s="59"/>
      <c r="BA2308" s="58"/>
      <c r="BB2308" s="58"/>
      <c r="BC2308" s="58"/>
      <c r="BD2308" s="58"/>
      <c r="BE2308" s="240"/>
      <c r="BF2308" s="59"/>
      <c r="BG2308" s="59"/>
      <c r="BH2308" s="236"/>
      <c r="BI2308" s="58"/>
      <c r="BJ2308" s="58"/>
      <c r="BK2308" s="58" t="s">
        <v>5976</v>
      </c>
      <c r="BL2308" s="58"/>
      <c r="BM2308" s="241" t="s">
        <v>160</v>
      </c>
      <c r="BN2308" s="58">
        <v>3</v>
      </c>
      <c r="BO2308" s="58">
        <v>3</v>
      </c>
      <c r="BP2308" s="59"/>
      <c r="BQ2308" s="58" t="s">
        <v>141</v>
      </c>
      <c r="BR2308" s="58"/>
      <c r="BS2308" s="58"/>
      <c r="BT2308" s="58"/>
      <c r="BU2308" s="58" t="s">
        <v>2279</v>
      </c>
      <c r="BV2308" s="58"/>
      <c r="BW2308" s="67"/>
      <c r="BX2308" s="67"/>
      <c r="BY2308" s="67"/>
      <c r="BZ2308" s="67"/>
      <c r="CA2308" s="67"/>
      <c r="CB2308" s="153">
        <v>390</v>
      </c>
      <c r="CC2308" s="68">
        <v>1360</v>
      </c>
      <c r="CD2308" s="68"/>
      <c r="CE2308" s="67"/>
      <c r="CF2308" s="67"/>
      <c r="CG2308" s="67" t="s">
        <v>2284</v>
      </c>
      <c r="CH2308" s="94"/>
      <c r="CI2308" s="94"/>
      <c r="CJ2308" s="67"/>
      <c r="CK2308" s="67"/>
      <c r="CL2308" s="67"/>
      <c r="CM2308" s="67"/>
      <c r="CN2308" s="67"/>
      <c r="CO2308" s="67"/>
      <c r="CP2308" s="67"/>
      <c r="CQ2308" s="67"/>
      <c r="CR2308" s="67"/>
      <c r="CS2308" s="67"/>
      <c r="CT2308" s="67"/>
      <c r="CU2308" s="67"/>
      <c r="CV2308" s="67"/>
      <c r="CW2308" s="67"/>
      <c r="CX2308" s="67"/>
      <c r="CY2308" s="67"/>
      <c r="CZ2308" s="67"/>
      <c r="DA2308" s="67"/>
      <c r="DB2308" s="67"/>
      <c r="DC2308" s="67"/>
      <c r="DD2308" s="67"/>
      <c r="DE2308" s="67"/>
      <c r="DF2308" s="67"/>
      <c r="DG2308" s="67"/>
      <c r="DH2308" s="67"/>
      <c r="DI2308" s="67"/>
      <c r="DJ2308" s="67"/>
      <c r="DK2308" s="67"/>
      <c r="DL2308" s="67"/>
      <c r="DM2308" s="67"/>
      <c r="DN2308" s="67"/>
      <c r="DO2308" s="67"/>
      <c r="DP2308" s="67"/>
      <c r="DQ2308" s="166"/>
      <c r="DR2308" s="166"/>
      <c r="DS2308" s="163"/>
      <c r="DT2308" s="163"/>
      <c r="DU2308" s="67"/>
      <c r="DV2308" s="67"/>
      <c r="DW2308" s="67"/>
      <c r="DX2308" s="67"/>
      <c r="DY2308" s="67"/>
      <c r="DZ2308" s="67"/>
      <c r="EA2308" s="67"/>
      <c r="EB2308" s="67"/>
      <c r="EC2308" s="67"/>
      <c r="ED2308" s="67"/>
      <c r="EE2308" s="67"/>
      <c r="EF2308" s="67"/>
      <c r="EG2308" s="67"/>
      <c r="EH2308" s="67"/>
      <c r="EI2308" s="67"/>
      <c r="EJ2308" s="67"/>
      <c r="EK2308" s="94"/>
      <c r="EL2308" s="94"/>
      <c r="EM2308" s="67"/>
      <c r="EN2308" s="67"/>
      <c r="EO2308" s="67"/>
      <c r="EP2308" s="67"/>
      <c r="EQ2308" s="67"/>
      <c r="ER2308" s="67"/>
      <c r="ES2308" s="67"/>
      <c r="ET2308" s="67"/>
      <c r="EU2308" s="67"/>
      <c r="EV2308" s="67"/>
      <c r="EW2308" s="67"/>
      <c r="EX2308" s="67"/>
      <c r="EY2308" s="67"/>
      <c r="EZ2308" s="67"/>
      <c r="FA2308" s="67"/>
      <c r="FB2308" s="67"/>
      <c r="FC2308" s="67"/>
      <c r="FD2308" s="67"/>
      <c r="FE2308" s="67"/>
      <c r="FF2308" s="67"/>
      <c r="FG2308" s="67"/>
      <c r="FH2308" s="67"/>
      <c r="FI2308" s="67"/>
      <c r="FJ2308" s="67"/>
      <c r="FK2308" s="67"/>
      <c r="FL2308" s="67"/>
      <c r="FM2308" s="67"/>
      <c r="FN2308" s="67"/>
      <c r="FO2308" s="67"/>
      <c r="FP2308" s="67"/>
      <c r="FQ2308" s="67"/>
      <c r="FR2308" s="67"/>
      <c r="FS2308" s="67"/>
      <c r="FT2308" s="67"/>
      <c r="FU2308" s="67"/>
      <c r="FV2308" s="67"/>
      <c r="FW2308" s="67"/>
      <c r="FX2308" s="67"/>
      <c r="FY2308" s="67"/>
      <c r="FZ2308" s="67"/>
      <c r="GA2308" s="67"/>
      <c r="GB2308" s="67"/>
      <c r="GC2308" s="67"/>
      <c r="GD2308" s="67"/>
      <c r="GE2308" s="67"/>
      <c r="GF2308" s="67"/>
      <c r="GG2308" s="67"/>
      <c r="GH2308" s="67"/>
      <c r="GI2308" s="67"/>
      <c r="GJ2308" s="67"/>
      <c r="GK2308" s="67"/>
      <c r="GL2308" s="67"/>
      <c r="GM2308" s="67"/>
      <c r="GN2308" s="292"/>
      <c r="GO2308" s="292"/>
      <c r="GP2308" s="292" t="s">
        <v>7494</v>
      </c>
      <c r="GQ2308" s="67"/>
      <c r="GR2308" s="67"/>
      <c r="GS2308" s="67"/>
      <c r="GT2308" s="67"/>
      <c r="GU2308" s="67"/>
      <c r="GV2308" s="67"/>
      <c r="GW2308" s="67"/>
      <c r="GX2308" s="67"/>
      <c r="GY2308" s="67"/>
      <c r="GZ2308" s="67"/>
      <c r="HA2308" s="67"/>
      <c r="HB2308" s="67"/>
      <c r="HC2308" s="67"/>
      <c r="HD2308" s="67"/>
      <c r="HE2308" s="67"/>
      <c r="HF2308" s="67"/>
      <c r="HG2308" s="67"/>
      <c r="HH2308" s="67"/>
      <c r="HI2308" s="67"/>
      <c r="HJ2308" s="67"/>
      <c r="HK2308" s="67"/>
      <c r="HL2308" s="67"/>
      <c r="HM2308" s="67"/>
      <c r="HN2308" s="67"/>
      <c r="HO2308" s="67"/>
      <c r="HP2308" s="67"/>
      <c r="HQ2308" s="67"/>
      <c r="HR2308" s="67"/>
      <c r="HS2308" s="67"/>
      <c r="HT2308" s="67"/>
      <c r="HU2308" s="67"/>
      <c r="HV2308" s="67"/>
      <c r="HW2308" s="67"/>
      <c r="HX2308" s="67"/>
      <c r="HY2308" s="67"/>
      <c r="HZ2308" s="67"/>
      <c r="IA2308" s="67"/>
      <c r="IB2308" s="67"/>
      <c r="IC2308" s="67"/>
      <c r="ID2308" s="67"/>
      <c r="IE2308" s="67"/>
      <c r="IF2308" s="67"/>
      <c r="IG2308" s="67"/>
      <c r="IH2308" s="67"/>
      <c r="II2308" s="67"/>
      <c r="IJ2308" s="67"/>
      <c r="IK2308" s="67"/>
      <c r="IL2308" s="67"/>
      <c r="IM2308" s="67"/>
      <c r="IN2308" s="67"/>
      <c r="IO2308" s="67"/>
      <c r="IP2308" s="67"/>
      <c r="IQ2308" s="67"/>
      <c r="IR2308" s="67"/>
      <c r="IS2308" s="67"/>
      <c r="IT2308" s="67"/>
      <c r="IU2308" s="67"/>
      <c r="IV2308" s="67"/>
      <c r="IW2308" s="67"/>
      <c r="IX2308" s="67"/>
      <c r="IY2308" s="67"/>
      <c r="IZ2308" s="67"/>
      <c r="JA2308" s="67"/>
      <c r="JB2308" s="67"/>
      <c r="JC2308" s="67"/>
      <c r="JD2308" s="67"/>
      <c r="JE2308" s="67"/>
      <c r="JF2308" s="67"/>
      <c r="JG2308" s="67"/>
      <c r="JH2308" s="67"/>
      <c r="JI2308" s="67"/>
      <c r="JJ2308" s="67"/>
      <c r="JK2308" s="67"/>
      <c r="JL2308" s="67"/>
      <c r="JM2308" s="67"/>
      <c r="JN2308" s="67"/>
      <c r="JO2308" s="67"/>
      <c r="JP2308" s="67"/>
      <c r="JQ2308" s="67"/>
      <c r="JR2308" s="67"/>
      <c r="JS2308" s="67"/>
      <c r="JT2308" s="67"/>
      <c r="JU2308" s="58"/>
      <c r="JV2308" s="58"/>
      <c r="JW2308" s="58"/>
    </row>
    <row r="2309" spans="1:283" s="23" customFormat="1" x14ac:dyDescent="0.25">
      <c r="A2309" s="55">
        <v>2308</v>
      </c>
      <c r="B2309" s="12" t="s">
        <v>7067</v>
      </c>
      <c r="C2309" s="156">
        <v>110</v>
      </c>
      <c r="D2309" s="58" t="s">
        <v>4197</v>
      </c>
      <c r="E2309" s="93" t="s">
        <v>2174</v>
      </c>
      <c r="F2309" s="93"/>
      <c r="G2309" s="58" t="s">
        <v>2264</v>
      </c>
      <c r="H2309" s="59">
        <v>1982</v>
      </c>
      <c r="I2309" s="58">
        <v>1977</v>
      </c>
      <c r="J2309" s="59" t="s">
        <v>1709</v>
      </c>
      <c r="K2309" s="59" t="s">
        <v>2265</v>
      </c>
      <c r="L2309" s="59" t="s">
        <v>2744</v>
      </c>
      <c r="M2309" s="94">
        <v>7.38</v>
      </c>
      <c r="N2309" s="94">
        <v>3.95</v>
      </c>
      <c r="O2309" s="93">
        <v>229.3</v>
      </c>
      <c r="P2309" s="59"/>
      <c r="Q2309" s="58"/>
      <c r="R2309" s="59"/>
      <c r="S2309" s="94"/>
      <c r="T2309" s="58"/>
      <c r="U2309" s="58">
        <v>3</v>
      </c>
      <c r="V2309" s="59">
        <v>4</v>
      </c>
      <c r="W2309" s="174"/>
      <c r="X2309" s="174"/>
      <c r="Y2309" s="58" t="s">
        <v>2266</v>
      </c>
      <c r="Z2309" s="58" t="s">
        <v>1355</v>
      </c>
      <c r="AA2309" s="94">
        <v>10</v>
      </c>
      <c r="AB2309" s="67"/>
      <c r="AC2309" s="67"/>
      <c r="AD2309" s="94">
        <v>1.31</v>
      </c>
      <c r="AE2309" s="93">
        <v>69.3</v>
      </c>
      <c r="AF2309" s="93">
        <v>9.5</v>
      </c>
      <c r="AG2309" s="93"/>
      <c r="AH2309" s="58" t="s">
        <v>238</v>
      </c>
      <c r="AI2309" s="169"/>
      <c r="AJ2309" s="94">
        <v>1.7</v>
      </c>
      <c r="AK2309" s="94"/>
      <c r="AL2309" s="58"/>
      <c r="AM2309" s="59" t="s">
        <v>2267</v>
      </c>
      <c r="AN2309" s="188" t="s">
        <v>2271</v>
      </c>
      <c r="AO2309" s="185" t="s">
        <v>5150</v>
      </c>
      <c r="AP2309" s="59"/>
      <c r="AQ2309" s="58" t="s">
        <v>1545</v>
      </c>
      <c r="AR2309" s="59" t="s">
        <v>2283</v>
      </c>
      <c r="AS2309" s="58" t="s">
        <v>227</v>
      </c>
      <c r="AT2309" s="182"/>
      <c r="AU2309" s="181" t="s">
        <v>7494</v>
      </c>
      <c r="AV2309" s="185" t="s">
        <v>176</v>
      </c>
      <c r="AW2309" s="58"/>
      <c r="AX2309" s="185" t="s">
        <v>176</v>
      </c>
      <c r="AY2309" s="58"/>
      <c r="AZ2309" s="59"/>
      <c r="BA2309" s="58"/>
      <c r="BB2309" s="58"/>
      <c r="BC2309" s="58"/>
      <c r="BD2309" s="58"/>
      <c r="BE2309" s="240"/>
      <c r="BF2309" s="59"/>
      <c r="BG2309" s="59"/>
      <c r="BH2309" s="236"/>
      <c r="BI2309" s="58"/>
      <c r="BJ2309" s="58"/>
      <c r="BK2309" s="58" t="s">
        <v>5976</v>
      </c>
      <c r="BL2309" s="58"/>
      <c r="BM2309" s="241" t="s">
        <v>160</v>
      </c>
      <c r="BN2309" s="58">
        <v>3</v>
      </c>
      <c r="BO2309" s="58">
        <v>3</v>
      </c>
      <c r="BP2309" s="59"/>
      <c r="BQ2309" s="58" t="s">
        <v>141</v>
      </c>
      <c r="BR2309" s="58"/>
      <c r="BS2309" s="58"/>
      <c r="BT2309" s="58"/>
      <c r="BU2309" s="58" t="s">
        <v>2279</v>
      </c>
      <c r="BV2309" s="58"/>
      <c r="BW2309" s="67"/>
      <c r="BX2309" s="67"/>
      <c r="BY2309" s="67"/>
      <c r="BZ2309" s="67"/>
      <c r="CA2309" s="67"/>
      <c r="CB2309" s="153">
        <v>310</v>
      </c>
      <c r="CC2309" s="68">
        <v>80</v>
      </c>
      <c r="CD2309" s="68"/>
      <c r="CE2309" s="67"/>
      <c r="CF2309" s="67"/>
      <c r="CG2309" s="67" t="s">
        <v>2284</v>
      </c>
      <c r="CH2309" s="94"/>
      <c r="CI2309" s="94"/>
      <c r="CJ2309" s="67"/>
      <c r="CK2309" s="67"/>
      <c r="CL2309" s="67"/>
      <c r="CM2309" s="67"/>
      <c r="CN2309" s="67"/>
      <c r="CO2309" s="67"/>
      <c r="CP2309" s="67"/>
      <c r="CQ2309" s="67"/>
      <c r="CR2309" s="67"/>
      <c r="CS2309" s="67"/>
      <c r="CT2309" s="67"/>
      <c r="CU2309" s="67"/>
      <c r="CV2309" s="67"/>
      <c r="CW2309" s="67"/>
      <c r="CX2309" s="67"/>
      <c r="CY2309" s="67"/>
      <c r="CZ2309" s="67"/>
      <c r="DA2309" s="67"/>
      <c r="DB2309" s="67"/>
      <c r="DC2309" s="67"/>
      <c r="DD2309" s="67"/>
      <c r="DE2309" s="67"/>
      <c r="DF2309" s="67"/>
      <c r="DG2309" s="67"/>
      <c r="DH2309" s="67"/>
      <c r="DI2309" s="67"/>
      <c r="DJ2309" s="67"/>
      <c r="DK2309" s="67"/>
      <c r="DL2309" s="67"/>
      <c r="DM2309" s="67"/>
      <c r="DN2309" s="67"/>
      <c r="DO2309" s="67"/>
      <c r="DP2309" s="67"/>
      <c r="DQ2309" s="166"/>
      <c r="DR2309" s="166"/>
      <c r="DS2309" s="163"/>
      <c r="DT2309" s="163"/>
      <c r="DU2309" s="67"/>
      <c r="DV2309" s="67"/>
      <c r="DW2309" s="67"/>
      <c r="DX2309" s="67"/>
      <c r="DY2309" s="67"/>
      <c r="DZ2309" s="67"/>
      <c r="EA2309" s="67"/>
      <c r="EB2309" s="67"/>
      <c r="EC2309" s="67"/>
      <c r="ED2309" s="67"/>
      <c r="EE2309" s="67"/>
      <c r="EF2309" s="67"/>
      <c r="EG2309" s="67"/>
      <c r="EH2309" s="67"/>
      <c r="EI2309" s="67"/>
      <c r="EJ2309" s="67"/>
      <c r="EK2309" s="94"/>
      <c r="EL2309" s="94"/>
      <c r="EM2309" s="67"/>
      <c r="EN2309" s="67"/>
      <c r="EO2309" s="67"/>
      <c r="EP2309" s="67"/>
      <c r="EQ2309" s="67"/>
      <c r="ER2309" s="67"/>
      <c r="ES2309" s="67"/>
      <c r="ET2309" s="67"/>
      <c r="EU2309" s="67"/>
      <c r="EV2309" s="67"/>
      <c r="EW2309" s="67"/>
      <c r="EX2309" s="67"/>
      <c r="EY2309" s="67"/>
      <c r="EZ2309" s="67"/>
      <c r="FA2309" s="67"/>
      <c r="FB2309" s="67"/>
      <c r="FC2309" s="67"/>
      <c r="FD2309" s="67"/>
      <c r="FE2309" s="67"/>
      <c r="FF2309" s="67"/>
      <c r="FG2309" s="67"/>
      <c r="FH2309" s="67"/>
      <c r="FI2309" s="67"/>
      <c r="FJ2309" s="67"/>
      <c r="FK2309" s="67"/>
      <c r="FL2309" s="67"/>
      <c r="FM2309" s="67"/>
      <c r="FN2309" s="67"/>
      <c r="FO2309" s="67"/>
      <c r="FP2309" s="67"/>
      <c r="FQ2309" s="67"/>
      <c r="FR2309" s="67"/>
      <c r="FS2309" s="67"/>
      <c r="FT2309" s="67"/>
      <c r="FU2309" s="67"/>
      <c r="FV2309" s="67"/>
      <c r="FW2309" s="67"/>
      <c r="FX2309" s="67"/>
      <c r="FY2309" s="67"/>
      <c r="FZ2309" s="67"/>
      <c r="GA2309" s="67"/>
      <c r="GB2309" s="67"/>
      <c r="GC2309" s="67"/>
      <c r="GD2309" s="67"/>
      <c r="GE2309" s="67"/>
      <c r="GF2309" s="67"/>
      <c r="GG2309" s="67"/>
      <c r="GH2309" s="67"/>
      <c r="GI2309" s="67"/>
      <c r="GJ2309" s="67"/>
      <c r="GK2309" s="67"/>
      <c r="GL2309" s="67"/>
      <c r="GM2309" s="67"/>
      <c r="GN2309" s="292"/>
      <c r="GO2309" s="292"/>
      <c r="GP2309" s="292" t="s">
        <v>7494</v>
      </c>
      <c r="GQ2309" s="67"/>
      <c r="GR2309" s="67"/>
      <c r="GS2309" s="67"/>
      <c r="GT2309" s="67"/>
      <c r="GU2309" s="67"/>
      <c r="GV2309" s="67"/>
      <c r="GW2309" s="67"/>
      <c r="GX2309" s="67"/>
      <c r="GY2309" s="67"/>
      <c r="GZ2309" s="67"/>
      <c r="HA2309" s="67"/>
      <c r="HB2309" s="67"/>
      <c r="HC2309" s="67"/>
      <c r="HD2309" s="67"/>
      <c r="HE2309" s="67"/>
      <c r="HF2309" s="67"/>
      <c r="HG2309" s="67"/>
      <c r="HH2309" s="67"/>
      <c r="HI2309" s="67"/>
      <c r="HJ2309" s="67"/>
      <c r="HK2309" s="67"/>
      <c r="HL2309" s="67"/>
      <c r="HM2309" s="67"/>
      <c r="HN2309" s="67"/>
      <c r="HO2309" s="67"/>
      <c r="HP2309" s="67"/>
      <c r="HQ2309" s="67"/>
      <c r="HR2309" s="67"/>
      <c r="HS2309" s="67"/>
      <c r="HT2309" s="67"/>
      <c r="HU2309" s="67"/>
      <c r="HV2309" s="67"/>
      <c r="HW2309" s="67"/>
      <c r="HX2309" s="67"/>
      <c r="HY2309" s="67"/>
      <c r="HZ2309" s="67"/>
      <c r="IA2309" s="67"/>
      <c r="IB2309" s="67"/>
      <c r="IC2309" s="67"/>
      <c r="ID2309" s="67"/>
      <c r="IE2309" s="67"/>
      <c r="IF2309" s="67"/>
      <c r="IG2309" s="67"/>
      <c r="IH2309" s="67"/>
      <c r="II2309" s="67"/>
      <c r="IJ2309" s="67"/>
      <c r="IK2309" s="67"/>
      <c r="IL2309" s="67"/>
      <c r="IM2309" s="67"/>
      <c r="IN2309" s="67"/>
      <c r="IO2309" s="67"/>
      <c r="IP2309" s="67"/>
      <c r="IQ2309" s="67"/>
      <c r="IR2309" s="67"/>
      <c r="IS2309" s="67"/>
      <c r="IT2309" s="67"/>
      <c r="IU2309" s="67"/>
      <c r="IV2309" s="67"/>
      <c r="IW2309" s="67"/>
      <c r="IX2309" s="67"/>
      <c r="IY2309" s="67"/>
      <c r="IZ2309" s="67"/>
      <c r="JA2309" s="67"/>
      <c r="JB2309" s="67"/>
      <c r="JC2309" s="67"/>
      <c r="JD2309" s="67"/>
      <c r="JE2309" s="67"/>
      <c r="JF2309" s="67"/>
      <c r="JG2309" s="67"/>
      <c r="JH2309" s="67"/>
      <c r="JI2309" s="67"/>
      <c r="JJ2309" s="67"/>
      <c r="JK2309" s="67"/>
      <c r="JL2309" s="67"/>
      <c r="JM2309" s="67"/>
      <c r="JN2309" s="67"/>
      <c r="JO2309" s="67"/>
      <c r="JP2309" s="67"/>
      <c r="JQ2309" s="67"/>
      <c r="JR2309" s="67"/>
      <c r="JS2309" s="67"/>
      <c r="JT2309" s="67"/>
      <c r="JU2309" s="58"/>
      <c r="JV2309" s="58"/>
      <c r="JW2309" s="58"/>
    </row>
    <row r="2310" spans="1:283" s="23" customFormat="1" x14ac:dyDescent="0.25">
      <c r="A2310" s="55">
        <v>2309</v>
      </c>
      <c r="B2310" s="12" t="s">
        <v>7067</v>
      </c>
      <c r="C2310" s="156">
        <v>110</v>
      </c>
      <c r="D2310" s="58" t="s">
        <v>4197</v>
      </c>
      <c r="E2310" s="93" t="s">
        <v>2174</v>
      </c>
      <c r="F2310" s="93"/>
      <c r="G2310" s="58" t="s">
        <v>2264</v>
      </c>
      <c r="H2310" s="59">
        <v>1982</v>
      </c>
      <c r="I2310" s="58">
        <v>1977</v>
      </c>
      <c r="J2310" s="59" t="s">
        <v>1709</v>
      </c>
      <c r="K2310" s="59" t="s">
        <v>2265</v>
      </c>
      <c r="L2310" s="59" t="s">
        <v>2744</v>
      </c>
      <c r="M2310" s="94">
        <v>7.38</v>
      </c>
      <c r="N2310" s="94">
        <v>3.95</v>
      </c>
      <c r="O2310" s="93">
        <v>229.3</v>
      </c>
      <c r="P2310" s="59"/>
      <c r="Q2310" s="58"/>
      <c r="R2310" s="59"/>
      <c r="S2310" s="94"/>
      <c r="T2310" s="58"/>
      <c r="U2310" s="58">
        <v>3</v>
      </c>
      <c r="V2310" s="59">
        <v>4</v>
      </c>
      <c r="W2310" s="174"/>
      <c r="X2310" s="174"/>
      <c r="Y2310" s="58" t="s">
        <v>2266</v>
      </c>
      <c r="Z2310" s="58" t="s">
        <v>1355</v>
      </c>
      <c r="AA2310" s="94">
        <v>10</v>
      </c>
      <c r="AB2310" s="67"/>
      <c r="AC2310" s="67"/>
      <c r="AD2310" s="94">
        <v>1.31</v>
      </c>
      <c r="AE2310" s="93">
        <v>69.3</v>
      </c>
      <c r="AF2310" s="93">
        <v>9.5</v>
      </c>
      <c r="AG2310" s="93"/>
      <c r="AH2310" s="58" t="s">
        <v>238</v>
      </c>
      <c r="AI2310" s="169"/>
      <c r="AJ2310" s="94">
        <v>1.7</v>
      </c>
      <c r="AK2310" s="94"/>
      <c r="AL2310" s="58"/>
      <c r="AM2310" s="59" t="s">
        <v>2267</v>
      </c>
      <c r="AN2310" s="188" t="s">
        <v>2272</v>
      </c>
      <c r="AO2310" s="185" t="s">
        <v>5150</v>
      </c>
      <c r="AP2310" s="59"/>
      <c r="AQ2310" s="58" t="s">
        <v>1545</v>
      </c>
      <c r="AR2310" s="59" t="s">
        <v>2283</v>
      </c>
      <c r="AS2310" s="58" t="s">
        <v>227</v>
      </c>
      <c r="AT2310" s="182"/>
      <c r="AU2310" s="181" t="s">
        <v>7494</v>
      </c>
      <c r="AV2310" s="185" t="s">
        <v>176</v>
      </c>
      <c r="AW2310" s="58"/>
      <c r="AX2310" s="185" t="s">
        <v>176</v>
      </c>
      <c r="AY2310" s="58"/>
      <c r="AZ2310" s="59"/>
      <c r="BA2310" s="58"/>
      <c r="BB2310" s="58"/>
      <c r="BC2310" s="58"/>
      <c r="BD2310" s="58"/>
      <c r="BE2310" s="240"/>
      <c r="BF2310" s="59"/>
      <c r="BG2310" s="59"/>
      <c r="BH2310" s="236"/>
      <c r="BI2310" s="58"/>
      <c r="BJ2310" s="58"/>
      <c r="BK2310" s="58" t="s">
        <v>5976</v>
      </c>
      <c r="BL2310" s="58"/>
      <c r="BM2310" s="241" t="s">
        <v>160</v>
      </c>
      <c r="BN2310" s="58">
        <v>3</v>
      </c>
      <c r="BO2310" s="58">
        <v>3</v>
      </c>
      <c r="BP2310" s="59"/>
      <c r="BQ2310" s="58" t="s">
        <v>141</v>
      </c>
      <c r="BR2310" s="58"/>
      <c r="BS2310" s="58"/>
      <c r="BT2310" s="58"/>
      <c r="BU2310" s="58" t="s">
        <v>2279</v>
      </c>
      <c r="BV2310" s="58"/>
      <c r="BW2310" s="67"/>
      <c r="BX2310" s="67"/>
      <c r="BY2310" s="67"/>
      <c r="BZ2310" s="67"/>
      <c r="CA2310" s="67"/>
      <c r="CB2310" s="153">
        <v>310</v>
      </c>
      <c r="CC2310" s="68">
        <v>890</v>
      </c>
      <c r="CD2310" s="68"/>
      <c r="CE2310" s="67"/>
      <c r="CF2310" s="67"/>
      <c r="CG2310" s="67" t="s">
        <v>2284</v>
      </c>
      <c r="CH2310" s="94"/>
      <c r="CI2310" s="94"/>
      <c r="CJ2310" s="67"/>
      <c r="CK2310" s="67"/>
      <c r="CL2310" s="67"/>
      <c r="CM2310" s="67"/>
      <c r="CN2310" s="67"/>
      <c r="CO2310" s="67"/>
      <c r="CP2310" s="67"/>
      <c r="CQ2310" s="67"/>
      <c r="CR2310" s="67"/>
      <c r="CS2310" s="67"/>
      <c r="CT2310" s="67"/>
      <c r="CU2310" s="67"/>
      <c r="CV2310" s="67"/>
      <c r="CW2310" s="67"/>
      <c r="CX2310" s="67"/>
      <c r="CY2310" s="67"/>
      <c r="CZ2310" s="67"/>
      <c r="DA2310" s="67"/>
      <c r="DB2310" s="67"/>
      <c r="DC2310" s="67"/>
      <c r="DD2310" s="67"/>
      <c r="DE2310" s="67"/>
      <c r="DF2310" s="67"/>
      <c r="DG2310" s="67"/>
      <c r="DH2310" s="67"/>
      <c r="DI2310" s="67"/>
      <c r="DJ2310" s="67"/>
      <c r="DK2310" s="67"/>
      <c r="DL2310" s="67"/>
      <c r="DM2310" s="67"/>
      <c r="DN2310" s="67"/>
      <c r="DO2310" s="67"/>
      <c r="DP2310" s="67"/>
      <c r="DQ2310" s="166"/>
      <c r="DR2310" s="166"/>
      <c r="DS2310" s="163"/>
      <c r="DT2310" s="163"/>
      <c r="DU2310" s="67"/>
      <c r="DV2310" s="67"/>
      <c r="DW2310" s="67"/>
      <c r="DX2310" s="67"/>
      <c r="DY2310" s="67"/>
      <c r="DZ2310" s="67"/>
      <c r="EA2310" s="67"/>
      <c r="EB2310" s="67"/>
      <c r="EC2310" s="67"/>
      <c r="ED2310" s="67"/>
      <c r="EE2310" s="67"/>
      <c r="EF2310" s="67"/>
      <c r="EG2310" s="67"/>
      <c r="EH2310" s="67"/>
      <c r="EI2310" s="67"/>
      <c r="EJ2310" s="67"/>
      <c r="EK2310" s="94"/>
      <c r="EL2310" s="94"/>
      <c r="EM2310" s="67"/>
      <c r="EN2310" s="67"/>
      <c r="EO2310" s="67"/>
      <c r="EP2310" s="67"/>
      <c r="EQ2310" s="67"/>
      <c r="ER2310" s="67"/>
      <c r="ES2310" s="67"/>
      <c r="ET2310" s="67"/>
      <c r="EU2310" s="67"/>
      <c r="EV2310" s="67"/>
      <c r="EW2310" s="67"/>
      <c r="EX2310" s="67"/>
      <c r="EY2310" s="67"/>
      <c r="EZ2310" s="67"/>
      <c r="FA2310" s="67"/>
      <c r="FB2310" s="67"/>
      <c r="FC2310" s="67"/>
      <c r="FD2310" s="67"/>
      <c r="FE2310" s="67"/>
      <c r="FF2310" s="67"/>
      <c r="FG2310" s="67"/>
      <c r="FH2310" s="67"/>
      <c r="FI2310" s="67"/>
      <c r="FJ2310" s="67"/>
      <c r="FK2310" s="67"/>
      <c r="FL2310" s="67"/>
      <c r="FM2310" s="67"/>
      <c r="FN2310" s="67"/>
      <c r="FO2310" s="67"/>
      <c r="FP2310" s="67"/>
      <c r="FQ2310" s="67"/>
      <c r="FR2310" s="67"/>
      <c r="FS2310" s="67"/>
      <c r="FT2310" s="67"/>
      <c r="FU2310" s="67"/>
      <c r="FV2310" s="67"/>
      <c r="FW2310" s="67"/>
      <c r="FX2310" s="67"/>
      <c r="FY2310" s="67"/>
      <c r="FZ2310" s="67"/>
      <c r="GA2310" s="67"/>
      <c r="GB2310" s="67"/>
      <c r="GC2310" s="67"/>
      <c r="GD2310" s="67"/>
      <c r="GE2310" s="67"/>
      <c r="GF2310" s="67"/>
      <c r="GG2310" s="67"/>
      <c r="GH2310" s="67"/>
      <c r="GI2310" s="67"/>
      <c r="GJ2310" s="67"/>
      <c r="GK2310" s="67"/>
      <c r="GL2310" s="67"/>
      <c r="GM2310" s="67"/>
      <c r="GN2310" s="292"/>
      <c r="GO2310" s="292"/>
      <c r="GP2310" s="292" t="s">
        <v>7494</v>
      </c>
      <c r="GQ2310" s="67"/>
      <c r="GR2310" s="67"/>
      <c r="GS2310" s="67"/>
      <c r="GT2310" s="67"/>
      <c r="GU2310" s="67"/>
      <c r="GV2310" s="67"/>
      <c r="GW2310" s="67"/>
      <c r="GX2310" s="67"/>
      <c r="GY2310" s="67"/>
      <c r="GZ2310" s="67"/>
      <c r="HA2310" s="67"/>
      <c r="HB2310" s="67"/>
      <c r="HC2310" s="67"/>
      <c r="HD2310" s="67"/>
      <c r="HE2310" s="67"/>
      <c r="HF2310" s="67"/>
      <c r="HG2310" s="67"/>
      <c r="HH2310" s="67"/>
      <c r="HI2310" s="67"/>
      <c r="HJ2310" s="67"/>
      <c r="HK2310" s="67"/>
      <c r="HL2310" s="67"/>
      <c r="HM2310" s="67"/>
      <c r="HN2310" s="67"/>
      <c r="HO2310" s="67"/>
      <c r="HP2310" s="67"/>
      <c r="HQ2310" s="67"/>
      <c r="HR2310" s="67"/>
      <c r="HS2310" s="67"/>
      <c r="HT2310" s="67"/>
      <c r="HU2310" s="67"/>
      <c r="HV2310" s="67"/>
      <c r="HW2310" s="67"/>
      <c r="HX2310" s="67"/>
      <c r="HY2310" s="67"/>
      <c r="HZ2310" s="67"/>
      <c r="IA2310" s="67"/>
      <c r="IB2310" s="67"/>
      <c r="IC2310" s="67"/>
      <c r="ID2310" s="67"/>
      <c r="IE2310" s="67"/>
      <c r="IF2310" s="67"/>
      <c r="IG2310" s="67"/>
      <c r="IH2310" s="67"/>
      <c r="II2310" s="67"/>
      <c r="IJ2310" s="67"/>
      <c r="IK2310" s="67"/>
      <c r="IL2310" s="67"/>
      <c r="IM2310" s="67"/>
      <c r="IN2310" s="67"/>
      <c r="IO2310" s="67"/>
      <c r="IP2310" s="67"/>
      <c r="IQ2310" s="67"/>
      <c r="IR2310" s="67"/>
      <c r="IS2310" s="67"/>
      <c r="IT2310" s="67"/>
      <c r="IU2310" s="67"/>
      <c r="IV2310" s="67"/>
      <c r="IW2310" s="67"/>
      <c r="IX2310" s="67"/>
      <c r="IY2310" s="67"/>
      <c r="IZ2310" s="67"/>
      <c r="JA2310" s="67"/>
      <c r="JB2310" s="67"/>
      <c r="JC2310" s="67"/>
      <c r="JD2310" s="67"/>
      <c r="JE2310" s="67"/>
      <c r="JF2310" s="67"/>
      <c r="JG2310" s="67"/>
      <c r="JH2310" s="67"/>
      <c r="JI2310" s="67"/>
      <c r="JJ2310" s="67"/>
      <c r="JK2310" s="67"/>
      <c r="JL2310" s="67"/>
      <c r="JM2310" s="67"/>
      <c r="JN2310" s="67"/>
      <c r="JO2310" s="67"/>
      <c r="JP2310" s="67"/>
      <c r="JQ2310" s="67"/>
      <c r="JR2310" s="67"/>
      <c r="JS2310" s="67"/>
      <c r="JT2310" s="67"/>
      <c r="JU2310" s="58"/>
      <c r="JV2310" s="58"/>
      <c r="JW2310" s="58"/>
    </row>
    <row r="2311" spans="1:283" s="23" customFormat="1" x14ac:dyDescent="0.25">
      <c r="A2311" s="55">
        <v>2310</v>
      </c>
      <c r="B2311" s="12" t="s">
        <v>7067</v>
      </c>
      <c r="C2311" s="156">
        <v>110</v>
      </c>
      <c r="D2311" s="58" t="s">
        <v>4197</v>
      </c>
      <c r="E2311" s="93" t="s">
        <v>2174</v>
      </c>
      <c r="F2311" s="93"/>
      <c r="G2311" s="58" t="s">
        <v>2264</v>
      </c>
      <c r="H2311" s="59">
        <v>1982</v>
      </c>
      <c r="I2311" s="58">
        <v>1977</v>
      </c>
      <c r="J2311" s="59" t="s">
        <v>1709</v>
      </c>
      <c r="K2311" s="59" t="s">
        <v>2265</v>
      </c>
      <c r="L2311" s="59" t="s">
        <v>2744</v>
      </c>
      <c r="M2311" s="94">
        <v>7.38</v>
      </c>
      <c r="N2311" s="94">
        <v>3.95</v>
      </c>
      <c r="O2311" s="93">
        <v>229.3</v>
      </c>
      <c r="P2311" s="59"/>
      <c r="Q2311" s="58"/>
      <c r="R2311" s="59"/>
      <c r="S2311" s="94"/>
      <c r="T2311" s="58"/>
      <c r="U2311" s="58">
        <v>3</v>
      </c>
      <c r="V2311" s="59">
        <v>4</v>
      </c>
      <c r="W2311" s="174"/>
      <c r="X2311" s="174"/>
      <c r="Y2311" s="58" t="s">
        <v>2266</v>
      </c>
      <c r="Z2311" s="58" t="s">
        <v>1355</v>
      </c>
      <c r="AA2311" s="94">
        <v>10</v>
      </c>
      <c r="AB2311" s="67"/>
      <c r="AC2311" s="67"/>
      <c r="AD2311" s="94">
        <v>1.31</v>
      </c>
      <c r="AE2311" s="93">
        <v>69.3</v>
      </c>
      <c r="AF2311" s="93">
        <v>9.5</v>
      </c>
      <c r="AG2311" s="93"/>
      <c r="AH2311" s="58" t="s">
        <v>238</v>
      </c>
      <c r="AI2311" s="169"/>
      <c r="AJ2311" s="94">
        <v>1.7</v>
      </c>
      <c r="AK2311" s="94"/>
      <c r="AL2311" s="58"/>
      <c r="AM2311" s="59" t="s">
        <v>2267</v>
      </c>
      <c r="AN2311" s="188" t="s">
        <v>2273</v>
      </c>
      <c r="AO2311" s="185" t="s">
        <v>5150</v>
      </c>
      <c r="AP2311" s="59"/>
      <c r="AQ2311" s="58" t="s">
        <v>1545</v>
      </c>
      <c r="AR2311" s="59" t="s">
        <v>2283</v>
      </c>
      <c r="AS2311" s="58" t="s">
        <v>227</v>
      </c>
      <c r="AT2311" s="182"/>
      <c r="AU2311" s="181" t="s">
        <v>7494</v>
      </c>
      <c r="AV2311" s="185" t="s">
        <v>176</v>
      </c>
      <c r="AW2311" s="58"/>
      <c r="AX2311" s="185" t="s">
        <v>176</v>
      </c>
      <c r="AY2311" s="58"/>
      <c r="AZ2311" s="59"/>
      <c r="BA2311" s="58"/>
      <c r="BB2311" s="58"/>
      <c r="BC2311" s="58"/>
      <c r="BD2311" s="58"/>
      <c r="BE2311" s="240"/>
      <c r="BF2311" s="59"/>
      <c r="BG2311" s="59"/>
      <c r="BH2311" s="236"/>
      <c r="BI2311" s="58"/>
      <c r="BJ2311" s="58"/>
      <c r="BK2311" s="58" t="s">
        <v>5976</v>
      </c>
      <c r="BL2311" s="58"/>
      <c r="BM2311" s="241" t="s">
        <v>160</v>
      </c>
      <c r="BN2311" s="58">
        <v>3</v>
      </c>
      <c r="BO2311" s="58">
        <v>3</v>
      </c>
      <c r="BP2311" s="59"/>
      <c r="BQ2311" s="58" t="s">
        <v>141</v>
      </c>
      <c r="BR2311" s="58"/>
      <c r="BS2311" s="58"/>
      <c r="BT2311" s="58"/>
      <c r="BU2311" s="58" t="s">
        <v>2279</v>
      </c>
      <c r="BV2311" s="58"/>
      <c r="BW2311" s="67"/>
      <c r="BX2311" s="67"/>
      <c r="BY2311" s="67"/>
      <c r="BZ2311" s="67"/>
      <c r="CA2311" s="67"/>
      <c r="CB2311" s="153">
        <v>310</v>
      </c>
      <c r="CC2311" s="68">
        <v>70</v>
      </c>
      <c r="CD2311" s="68"/>
      <c r="CE2311" s="67"/>
      <c r="CF2311" s="67"/>
      <c r="CG2311" s="67" t="s">
        <v>2284</v>
      </c>
      <c r="CH2311" s="94"/>
      <c r="CI2311" s="94"/>
      <c r="CJ2311" s="67"/>
      <c r="CK2311" s="67"/>
      <c r="CL2311" s="67"/>
      <c r="CM2311" s="67"/>
      <c r="CN2311" s="67"/>
      <c r="CO2311" s="67"/>
      <c r="CP2311" s="67"/>
      <c r="CQ2311" s="67"/>
      <c r="CR2311" s="67"/>
      <c r="CS2311" s="67"/>
      <c r="CT2311" s="67"/>
      <c r="CU2311" s="67"/>
      <c r="CV2311" s="67"/>
      <c r="CW2311" s="67"/>
      <c r="CX2311" s="67"/>
      <c r="CY2311" s="67"/>
      <c r="CZ2311" s="67"/>
      <c r="DA2311" s="67"/>
      <c r="DB2311" s="67"/>
      <c r="DC2311" s="67"/>
      <c r="DD2311" s="67"/>
      <c r="DE2311" s="67"/>
      <c r="DF2311" s="67"/>
      <c r="DG2311" s="67"/>
      <c r="DH2311" s="67"/>
      <c r="DI2311" s="67"/>
      <c r="DJ2311" s="67"/>
      <c r="DK2311" s="67"/>
      <c r="DL2311" s="67"/>
      <c r="DM2311" s="67"/>
      <c r="DN2311" s="67"/>
      <c r="DO2311" s="67"/>
      <c r="DP2311" s="67"/>
      <c r="DQ2311" s="166"/>
      <c r="DR2311" s="166"/>
      <c r="DS2311" s="163"/>
      <c r="DT2311" s="163"/>
      <c r="DU2311" s="67"/>
      <c r="DV2311" s="67"/>
      <c r="DW2311" s="67"/>
      <c r="DX2311" s="67"/>
      <c r="DY2311" s="67"/>
      <c r="DZ2311" s="67"/>
      <c r="EA2311" s="67"/>
      <c r="EB2311" s="67"/>
      <c r="EC2311" s="67"/>
      <c r="ED2311" s="67"/>
      <c r="EE2311" s="67"/>
      <c r="EF2311" s="67"/>
      <c r="EG2311" s="67"/>
      <c r="EH2311" s="67"/>
      <c r="EI2311" s="67"/>
      <c r="EJ2311" s="67"/>
      <c r="EK2311" s="94"/>
      <c r="EL2311" s="94"/>
      <c r="EM2311" s="67"/>
      <c r="EN2311" s="67"/>
      <c r="EO2311" s="67"/>
      <c r="EP2311" s="67"/>
      <c r="EQ2311" s="67"/>
      <c r="ER2311" s="67"/>
      <c r="ES2311" s="67"/>
      <c r="ET2311" s="67"/>
      <c r="EU2311" s="67"/>
      <c r="EV2311" s="67"/>
      <c r="EW2311" s="67"/>
      <c r="EX2311" s="67"/>
      <c r="EY2311" s="67"/>
      <c r="EZ2311" s="67"/>
      <c r="FA2311" s="67"/>
      <c r="FB2311" s="67"/>
      <c r="FC2311" s="67"/>
      <c r="FD2311" s="67"/>
      <c r="FE2311" s="67"/>
      <c r="FF2311" s="67"/>
      <c r="FG2311" s="67"/>
      <c r="FH2311" s="67"/>
      <c r="FI2311" s="67"/>
      <c r="FJ2311" s="67"/>
      <c r="FK2311" s="67"/>
      <c r="FL2311" s="67"/>
      <c r="FM2311" s="67"/>
      <c r="FN2311" s="67"/>
      <c r="FO2311" s="67"/>
      <c r="FP2311" s="67"/>
      <c r="FQ2311" s="67"/>
      <c r="FR2311" s="67"/>
      <c r="FS2311" s="67"/>
      <c r="FT2311" s="67"/>
      <c r="FU2311" s="67"/>
      <c r="FV2311" s="67"/>
      <c r="FW2311" s="67"/>
      <c r="FX2311" s="67"/>
      <c r="FY2311" s="67"/>
      <c r="FZ2311" s="67"/>
      <c r="GA2311" s="67"/>
      <c r="GB2311" s="67"/>
      <c r="GC2311" s="67"/>
      <c r="GD2311" s="67"/>
      <c r="GE2311" s="67"/>
      <c r="GF2311" s="67"/>
      <c r="GG2311" s="67"/>
      <c r="GH2311" s="67"/>
      <c r="GI2311" s="67"/>
      <c r="GJ2311" s="67"/>
      <c r="GK2311" s="67"/>
      <c r="GL2311" s="67"/>
      <c r="GM2311" s="67"/>
      <c r="GN2311" s="292"/>
      <c r="GO2311" s="292"/>
      <c r="GP2311" s="292" t="s">
        <v>7494</v>
      </c>
      <c r="GQ2311" s="67"/>
      <c r="GR2311" s="67"/>
      <c r="GS2311" s="67"/>
      <c r="GT2311" s="67"/>
      <c r="GU2311" s="67"/>
      <c r="GV2311" s="67"/>
      <c r="GW2311" s="67"/>
      <c r="GX2311" s="67"/>
      <c r="GY2311" s="67"/>
      <c r="GZ2311" s="67"/>
      <c r="HA2311" s="67"/>
      <c r="HB2311" s="67"/>
      <c r="HC2311" s="67"/>
      <c r="HD2311" s="67"/>
      <c r="HE2311" s="67"/>
      <c r="HF2311" s="67"/>
      <c r="HG2311" s="67"/>
      <c r="HH2311" s="67"/>
      <c r="HI2311" s="67"/>
      <c r="HJ2311" s="67"/>
      <c r="HK2311" s="67"/>
      <c r="HL2311" s="67"/>
      <c r="HM2311" s="67"/>
      <c r="HN2311" s="67"/>
      <c r="HO2311" s="67"/>
      <c r="HP2311" s="67"/>
      <c r="HQ2311" s="67"/>
      <c r="HR2311" s="67"/>
      <c r="HS2311" s="67"/>
      <c r="HT2311" s="67"/>
      <c r="HU2311" s="67"/>
      <c r="HV2311" s="67"/>
      <c r="HW2311" s="67"/>
      <c r="HX2311" s="67"/>
      <c r="HY2311" s="67"/>
      <c r="HZ2311" s="67"/>
      <c r="IA2311" s="67"/>
      <c r="IB2311" s="67"/>
      <c r="IC2311" s="67"/>
      <c r="ID2311" s="67"/>
      <c r="IE2311" s="67"/>
      <c r="IF2311" s="67"/>
      <c r="IG2311" s="67"/>
      <c r="IH2311" s="67"/>
      <c r="II2311" s="67"/>
      <c r="IJ2311" s="67"/>
      <c r="IK2311" s="67"/>
      <c r="IL2311" s="67"/>
      <c r="IM2311" s="67"/>
      <c r="IN2311" s="67"/>
      <c r="IO2311" s="67"/>
      <c r="IP2311" s="67"/>
      <c r="IQ2311" s="67"/>
      <c r="IR2311" s="67"/>
      <c r="IS2311" s="67"/>
      <c r="IT2311" s="67"/>
      <c r="IU2311" s="67"/>
      <c r="IV2311" s="67"/>
      <c r="IW2311" s="67"/>
      <c r="IX2311" s="67"/>
      <c r="IY2311" s="67"/>
      <c r="IZ2311" s="67"/>
      <c r="JA2311" s="67"/>
      <c r="JB2311" s="67"/>
      <c r="JC2311" s="67"/>
      <c r="JD2311" s="67"/>
      <c r="JE2311" s="67"/>
      <c r="JF2311" s="67"/>
      <c r="JG2311" s="67"/>
      <c r="JH2311" s="67"/>
      <c r="JI2311" s="67"/>
      <c r="JJ2311" s="67"/>
      <c r="JK2311" s="67"/>
      <c r="JL2311" s="67"/>
      <c r="JM2311" s="67"/>
      <c r="JN2311" s="67"/>
      <c r="JO2311" s="67"/>
      <c r="JP2311" s="67"/>
      <c r="JQ2311" s="67"/>
      <c r="JR2311" s="67"/>
      <c r="JS2311" s="67"/>
      <c r="JT2311" s="67"/>
      <c r="JU2311" s="58"/>
      <c r="JV2311" s="58"/>
      <c r="JW2311" s="58"/>
    </row>
    <row r="2312" spans="1:283" s="23" customFormat="1" x14ac:dyDescent="0.25">
      <c r="A2312" s="55">
        <v>2311</v>
      </c>
      <c r="B2312" s="12" t="s">
        <v>7067</v>
      </c>
      <c r="C2312" s="156">
        <v>110</v>
      </c>
      <c r="D2312" s="58" t="s">
        <v>4198</v>
      </c>
      <c r="E2312" s="93" t="s">
        <v>2174</v>
      </c>
      <c r="F2312" s="93"/>
      <c r="G2312" s="58" t="s">
        <v>2264</v>
      </c>
      <c r="H2312" s="59">
        <v>1982</v>
      </c>
      <c r="I2312" s="58">
        <v>1977</v>
      </c>
      <c r="J2312" s="59" t="s">
        <v>1709</v>
      </c>
      <c r="K2312" s="59" t="s">
        <v>2265</v>
      </c>
      <c r="L2312" s="59" t="s">
        <v>2744</v>
      </c>
      <c r="M2312" s="94">
        <v>7.38</v>
      </c>
      <c r="N2312" s="94">
        <v>3.95</v>
      </c>
      <c r="O2312" s="93">
        <v>229.3</v>
      </c>
      <c r="P2312" s="59"/>
      <c r="Q2312" s="58"/>
      <c r="R2312" s="59"/>
      <c r="S2312" s="94"/>
      <c r="T2312" s="58"/>
      <c r="U2312" s="58">
        <v>3</v>
      </c>
      <c r="V2312" s="59">
        <v>4</v>
      </c>
      <c r="W2312" s="174"/>
      <c r="X2312" s="174"/>
      <c r="Y2312" s="58" t="s">
        <v>2266</v>
      </c>
      <c r="Z2312" s="58" t="s">
        <v>1355</v>
      </c>
      <c r="AA2312" s="94">
        <v>10</v>
      </c>
      <c r="AB2312" s="67"/>
      <c r="AC2312" s="67"/>
      <c r="AD2312" s="94">
        <v>1.31</v>
      </c>
      <c r="AE2312" s="93">
        <v>69.3</v>
      </c>
      <c r="AF2312" s="93">
        <v>9.5</v>
      </c>
      <c r="AG2312" s="93"/>
      <c r="AH2312" s="58" t="s">
        <v>238</v>
      </c>
      <c r="AI2312" s="169"/>
      <c r="AJ2312" s="94">
        <v>1.7</v>
      </c>
      <c r="AK2312" s="94"/>
      <c r="AL2312" s="58"/>
      <c r="AM2312" s="59" t="s">
        <v>2267</v>
      </c>
      <c r="AN2312" s="188" t="s">
        <v>2274</v>
      </c>
      <c r="AO2312" s="185" t="s">
        <v>5150</v>
      </c>
      <c r="AP2312" s="59"/>
      <c r="AQ2312" s="58" t="s">
        <v>553</v>
      </c>
      <c r="AR2312" s="59" t="s">
        <v>2283</v>
      </c>
      <c r="AS2312" s="58" t="s">
        <v>227</v>
      </c>
      <c r="AT2312" s="182"/>
      <c r="AU2312" s="181" t="s">
        <v>7494</v>
      </c>
      <c r="AV2312" s="185" t="s">
        <v>176</v>
      </c>
      <c r="AW2312" s="58"/>
      <c r="AX2312" s="185" t="s">
        <v>176</v>
      </c>
      <c r="AY2312" s="58"/>
      <c r="AZ2312" s="59"/>
      <c r="BA2312" s="58"/>
      <c r="BB2312" s="58"/>
      <c r="BC2312" s="58"/>
      <c r="BD2312" s="58"/>
      <c r="BE2312" s="240"/>
      <c r="BF2312" s="59"/>
      <c r="BG2312" s="59"/>
      <c r="BH2312" s="236"/>
      <c r="BI2312" s="58"/>
      <c r="BJ2312" s="58"/>
      <c r="BK2312" s="58" t="s">
        <v>5976</v>
      </c>
      <c r="BL2312" s="58"/>
      <c r="BM2312" s="241" t="s">
        <v>160</v>
      </c>
      <c r="BN2312" s="58">
        <v>3</v>
      </c>
      <c r="BO2312" s="58">
        <v>3</v>
      </c>
      <c r="BP2312" s="59"/>
      <c r="BQ2312" s="58" t="s">
        <v>141</v>
      </c>
      <c r="BR2312" s="58"/>
      <c r="BS2312" s="58"/>
      <c r="BT2312" s="58"/>
      <c r="BU2312" s="58" t="s">
        <v>2279</v>
      </c>
      <c r="BV2312" s="58"/>
      <c r="BW2312" s="67"/>
      <c r="BX2312" s="67"/>
      <c r="BY2312" s="67"/>
      <c r="BZ2312" s="67"/>
      <c r="CA2312" s="67"/>
      <c r="CB2312" s="153">
        <v>310</v>
      </c>
      <c r="CC2312" s="68">
        <v>690</v>
      </c>
      <c r="CD2312" s="68"/>
      <c r="CE2312" s="67"/>
      <c r="CF2312" s="67"/>
      <c r="CG2312" s="67" t="s">
        <v>2284</v>
      </c>
      <c r="CH2312" s="94"/>
      <c r="CI2312" s="94"/>
      <c r="CJ2312" s="67"/>
      <c r="CK2312" s="67"/>
      <c r="CL2312" s="67"/>
      <c r="CM2312" s="67"/>
      <c r="CN2312" s="67"/>
      <c r="CO2312" s="67"/>
      <c r="CP2312" s="67"/>
      <c r="CQ2312" s="67"/>
      <c r="CR2312" s="67"/>
      <c r="CS2312" s="67"/>
      <c r="CT2312" s="67"/>
      <c r="CU2312" s="67"/>
      <c r="CV2312" s="67"/>
      <c r="CW2312" s="67"/>
      <c r="CX2312" s="67"/>
      <c r="CY2312" s="67"/>
      <c r="CZ2312" s="67"/>
      <c r="DA2312" s="67"/>
      <c r="DB2312" s="67"/>
      <c r="DC2312" s="67"/>
      <c r="DD2312" s="67"/>
      <c r="DE2312" s="67"/>
      <c r="DF2312" s="67"/>
      <c r="DG2312" s="67"/>
      <c r="DH2312" s="67"/>
      <c r="DI2312" s="67"/>
      <c r="DJ2312" s="67"/>
      <c r="DK2312" s="67"/>
      <c r="DL2312" s="67"/>
      <c r="DM2312" s="67"/>
      <c r="DN2312" s="67"/>
      <c r="DO2312" s="67"/>
      <c r="DP2312" s="67"/>
      <c r="DQ2312" s="166"/>
      <c r="DR2312" s="166"/>
      <c r="DS2312" s="163"/>
      <c r="DT2312" s="163"/>
      <c r="DU2312" s="67"/>
      <c r="DV2312" s="67"/>
      <c r="DW2312" s="67"/>
      <c r="DX2312" s="67"/>
      <c r="DY2312" s="67"/>
      <c r="DZ2312" s="67"/>
      <c r="EA2312" s="67"/>
      <c r="EB2312" s="67"/>
      <c r="EC2312" s="67"/>
      <c r="ED2312" s="67"/>
      <c r="EE2312" s="67"/>
      <c r="EF2312" s="67"/>
      <c r="EG2312" s="67"/>
      <c r="EH2312" s="67"/>
      <c r="EI2312" s="67"/>
      <c r="EJ2312" s="67"/>
      <c r="EK2312" s="94"/>
      <c r="EL2312" s="94"/>
      <c r="EM2312" s="67"/>
      <c r="EN2312" s="67"/>
      <c r="EO2312" s="67"/>
      <c r="EP2312" s="67"/>
      <c r="EQ2312" s="67"/>
      <c r="ER2312" s="67"/>
      <c r="ES2312" s="67"/>
      <c r="ET2312" s="67"/>
      <c r="EU2312" s="67"/>
      <c r="EV2312" s="67"/>
      <c r="EW2312" s="67"/>
      <c r="EX2312" s="67"/>
      <c r="EY2312" s="67"/>
      <c r="EZ2312" s="67"/>
      <c r="FA2312" s="67"/>
      <c r="FB2312" s="67"/>
      <c r="FC2312" s="67"/>
      <c r="FD2312" s="67"/>
      <c r="FE2312" s="67"/>
      <c r="FF2312" s="67"/>
      <c r="FG2312" s="67"/>
      <c r="FH2312" s="67"/>
      <c r="FI2312" s="67"/>
      <c r="FJ2312" s="67"/>
      <c r="FK2312" s="67"/>
      <c r="FL2312" s="67"/>
      <c r="FM2312" s="67"/>
      <c r="FN2312" s="67"/>
      <c r="FO2312" s="67"/>
      <c r="FP2312" s="67"/>
      <c r="FQ2312" s="67"/>
      <c r="FR2312" s="67"/>
      <c r="FS2312" s="67"/>
      <c r="FT2312" s="67"/>
      <c r="FU2312" s="67"/>
      <c r="FV2312" s="67"/>
      <c r="FW2312" s="67"/>
      <c r="FX2312" s="67"/>
      <c r="FY2312" s="67"/>
      <c r="FZ2312" s="67"/>
      <c r="GA2312" s="67"/>
      <c r="GB2312" s="67"/>
      <c r="GC2312" s="67"/>
      <c r="GD2312" s="67"/>
      <c r="GE2312" s="67"/>
      <c r="GF2312" s="67"/>
      <c r="GG2312" s="67"/>
      <c r="GH2312" s="67"/>
      <c r="GI2312" s="67"/>
      <c r="GJ2312" s="67"/>
      <c r="GK2312" s="67"/>
      <c r="GL2312" s="67"/>
      <c r="GM2312" s="67"/>
      <c r="GN2312" s="292"/>
      <c r="GO2312" s="292"/>
      <c r="GP2312" s="292" t="s">
        <v>7494</v>
      </c>
      <c r="GQ2312" s="67"/>
      <c r="GR2312" s="67"/>
      <c r="GS2312" s="67"/>
      <c r="GT2312" s="67"/>
      <c r="GU2312" s="67"/>
      <c r="GV2312" s="67"/>
      <c r="GW2312" s="67"/>
      <c r="GX2312" s="67"/>
      <c r="GY2312" s="67"/>
      <c r="GZ2312" s="67"/>
      <c r="HA2312" s="67"/>
      <c r="HB2312" s="67"/>
      <c r="HC2312" s="67"/>
      <c r="HD2312" s="67"/>
      <c r="HE2312" s="67"/>
      <c r="HF2312" s="67"/>
      <c r="HG2312" s="67"/>
      <c r="HH2312" s="67"/>
      <c r="HI2312" s="67"/>
      <c r="HJ2312" s="67"/>
      <c r="HK2312" s="67"/>
      <c r="HL2312" s="67"/>
      <c r="HM2312" s="67"/>
      <c r="HN2312" s="67"/>
      <c r="HO2312" s="67"/>
      <c r="HP2312" s="67"/>
      <c r="HQ2312" s="67"/>
      <c r="HR2312" s="67"/>
      <c r="HS2312" s="67"/>
      <c r="HT2312" s="67"/>
      <c r="HU2312" s="67"/>
      <c r="HV2312" s="67"/>
      <c r="HW2312" s="67"/>
      <c r="HX2312" s="67"/>
      <c r="HY2312" s="67"/>
      <c r="HZ2312" s="67"/>
      <c r="IA2312" s="67"/>
      <c r="IB2312" s="67"/>
      <c r="IC2312" s="67"/>
      <c r="ID2312" s="67"/>
      <c r="IE2312" s="67"/>
      <c r="IF2312" s="67"/>
      <c r="IG2312" s="67"/>
      <c r="IH2312" s="67"/>
      <c r="II2312" s="67"/>
      <c r="IJ2312" s="67"/>
      <c r="IK2312" s="67"/>
      <c r="IL2312" s="67"/>
      <c r="IM2312" s="67"/>
      <c r="IN2312" s="67"/>
      <c r="IO2312" s="67"/>
      <c r="IP2312" s="67"/>
      <c r="IQ2312" s="67"/>
      <c r="IR2312" s="67"/>
      <c r="IS2312" s="67"/>
      <c r="IT2312" s="67"/>
      <c r="IU2312" s="67"/>
      <c r="IV2312" s="67"/>
      <c r="IW2312" s="67"/>
      <c r="IX2312" s="67"/>
      <c r="IY2312" s="67"/>
      <c r="IZ2312" s="67"/>
      <c r="JA2312" s="67"/>
      <c r="JB2312" s="67"/>
      <c r="JC2312" s="67"/>
      <c r="JD2312" s="67"/>
      <c r="JE2312" s="67"/>
      <c r="JF2312" s="67"/>
      <c r="JG2312" s="67"/>
      <c r="JH2312" s="67"/>
      <c r="JI2312" s="67"/>
      <c r="JJ2312" s="67"/>
      <c r="JK2312" s="67"/>
      <c r="JL2312" s="67"/>
      <c r="JM2312" s="67"/>
      <c r="JN2312" s="67"/>
      <c r="JO2312" s="67"/>
      <c r="JP2312" s="67"/>
      <c r="JQ2312" s="67"/>
      <c r="JR2312" s="67"/>
      <c r="JS2312" s="67"/>
      <c r="JT2312" s="67"/>
      <c r="JU2312" s="58"/>
      <c r="JV2312" s="58"/>
      <c r="JW2312" s="58"/>
    </row>
    <row r="2313" spans="1:283" s="23" customFormat="1" x14ac:dyDescent="0.25">
      <c r="A2313" s="55">
        <v>2312</v>
      </c>
      <c r="B2313" s="12" t="s">
        <v>7067</v>
      </c>
      <c r="C2313" s="156">
        <v>110</v>
      </c>
      <c r="D2313" s="58" t="s">
        <v>4198</v>
      </c>
      <c r="E2313" s="93" t="s">
        <v>2174</v>
      </c>
      <c r="F2313" s="93"/>
      <c r="G2313" s="58" t="s">
        <v>2264</v>
      </c>
      <c r="H2313" s="59">
        <v>1982</v>
      </c>
      <c r="I2313" s="58">
        <v>1977</v>
      </c>
      <c r="J2313" s="59" t="s">
        <v>1709</v>
      </c>
      <c r="K2313" s="59" t="s">
        <v>2265</v>
      </c>
      <c r="L2313" s="59" t="s">
        <v>2744</v>
      </c>
      <c r="M2313" s="94">
        <v>7.38</v>
      </c>
      <c r="N2313" s="94">
        <v>3.95</v>
      </c>
      <c r="O2313" s="93">
        <v>229.3</v>
      </c>
      <c r="P2313" s="59"/>
      <c r="Q2313" s="58"/>
      <c r="R2313" s="59"/>
      <c r="S2313" s="94"/>
      <c r="T2313" s="58"/>
      <c r="U2313" s="58">
        <v>3</v>
      </c>
      <c r="V2313" s="59">
        <v>4</v>
      </c>
      <c r="W2313" s="174"/>
      <c r="X2313" s="174"/>
      <c r="Y2313" s="58" t="s">
        <v>2266</v>
      </c>
      <c r="Z2313" s="58" t="s">
        <v>1355</v>
      </c>
      <c r="AA2313" s="94">
        <v>10</v>
      </c>
      <c r="AB2313" s="67"/>
      <c r="AC2313" s="67"/>
      <c r="AD2313" s="94">
        <v>1.31</v>
      </c>
      <c r="AE2313" s="93">
        <v>69.3</v>
      </c>
      <c r="AF2313" s="93">
        <v>9.5</v>
      </c>
      <c r="AG2313" s="93"/>
      <c r="AH2313" s="58" t="s">
        <v>238</v>
      </c>
      <c r="AI2313" s="169"/>
      <c r="AJ2313" s="94">
        <v>1.7</v>
      </c>
      <c r="AK2313" s="94"/>
      <c r="AL2313" s="58"/>
      <c r="AM2313" s="59" t="s">
        <v>2267</v>
      </c>
      <c r="AN2313" s="188" t="s">
        <v>2275</v>
      </c>
      <c r="AO2313" s="185" t="s">
        <v>5150</v>
      </c>
      <c r="AP2313" s="59"/>
      <c r="AQ2313" s="58" t="s">
        <v>553</v>
      </c>
      <c r="AR2313" s="59" t="s">
        <v>2283</v>
      </c>
      <c r="AS2313" s="58" t="s">
        <v>227</v>
      </c>
      <c r="AT2313" s="182"/>
      <c r="AU2313" s="181" t="s">
        <v>7494</v>
      </c>
      <c r="AV2313" s="185" t="s">
        <v>176</v>
      </c>
      <c r="AW2313" s="58"/>
      <c r="AX2313" s="185" t="s">
        <v>176</v>
      </c>
      <c r="AY2313" s="58"/>
      <c r="AZ2313" s="59"/>
      <c r="BA2313" s="58"/>
      <c r="BB2313" s="58"/>
      <c r="BC2313" s="58"/>
      <c r="BD2313" s="58"/>
      <c r="BE2313" s="240"/>
      <c r="BF2313" s="59"/>
      <c r="BG2313" s="59"/>
      <c r="BH2313" s="236"/>
      <c r="BI2313" s="58"/>
      <c r="BJ2313" s="58"/>
      <c r="BK2313" s="58" t="s">
        <v>5976</v>
      </c>
      <c r="BL2313" s="58"/>
      <c r="BM2313" s="241" t="s">
        <v>160</v>
      </c>
      <c r="BN2313" s="58">
        <v>3</v>
      </c>
      <c r="BO2313" s="58">
        <v>3</v>
      </c>
      <c r="BP2313" s="59"/>
      <c r="BQ2313" s="58" t="s">
        <v>141</v>
      </c>
      <c r="BR2313" s="58"/>
      <c r="BS2313" s="58"/>
      <c r="BT2313" s="58"/>
      <c r="BU2313" s="58" t="s">
        <v>2279</v>
      </c>
      <c r="BV2313" s="58"/>
      <c r="BW2313" s="67"/>
      <c r="BX2313" s="67"/>
      <c r="BY2313" s="67"/>
      <c r="BZ2313" s="67"/>
      <c r="CA2313" s="67"/>
      <c r="CB2313" s="153">
        <v>310</v>
      </c>
      <c r="CC2313" s="68">
        <v>1610</v>
      </c>
      <c r="CD2313" s="68"/>
      <c r="CE2313" s="67"/>
      <c r="CF2313" s="67"/>
      <c r="CG2313" s="67" t="s">
        <v>2284</v>
      </c>
      <c r="CH2313" s="94"/>
      <c r="CI2313" s="94"/>
      <c r="CJ2313" s="67"/>
      <c r="CK2313" s="67"/>
      <c r="CL2313" s="67"/>
      <c r="CM2313" s="67"/>
      <c r="CN2313" s="67"/>
      <c r="CO2313" s="67"/>
      <c r="CP2313" s="67"/>
      <c r="CQ2313" s="67"/>
      <c r="CR2313" s="67"/>
      <c r="CS2313" s="67"/>
      <c r="CT2313" s="67"/>
      <c r="CU2313" s="67"/>
      <c r="CV2313" s="67"/>
      <c r="CW2313" s="67"/>
      <c r="CX2313" s="67"/>
      <c r="CY2313" s="67"/>
      <c r="CZ2313" s="67"/>
      <c r="DA2313" s="67"/>
      <c r="DB2313" s="67"/>
      <c r="DC2313" s="67"/>
      <c r="DD2313" s="67"/>
      <c r="DE2313" s="67"/>
      <c r="DF2313" s="67"/>
      <c r="DG2313" s="67"/>
      <c r="DH2313" s="67"/>
      <c r="DI2313" s="67"/>
      <c r="DJ2313" s="67"/>
      <c r="DK2313" s="67"/>
      <c r="DL2313" s="67"/>
      <c r="DM2313" s="67"/>
      <c r="DN2313" s="67"/>
      <c r="DO2313" s="67"/>
      <c r="DP2313" s="67"/>
      <c r="DQ2313" s="166"/>
      <c r="DR2313" s="166"/>
      <c r="DS2313" s="163"/>
      <c r="DT2313" s="163"/>
      <c r="DU2313" s="67"/>
      <c r="DV2313" s="67"/>
      <c r="DW2313" s="67"/>
      <c r="DX2313" s="67"/>
      <c r="DY2313" s="67"/>
      <c r="DZ2313" s="67"/>
      <c r="EA2313" s="67"/>
      <c r="EB2313" s="67"/>
      <c r="EC2313" s="67"/>
      <c r="ED2313" s="67"/>
      <c r="EE2313" s="67"/>
      <c r="EF2313" s="67"/>
      <c r="EG2313" s="67"/>
      <c r="EH2313" s="67"/>
      <c r="EI2313" s="67"/>
      <c r="EJ2313" s="67"/>
      <c r="EK2313" s="94"/>
      <c r="EL2313" s="94"/>
      <c r="EM2313" s="67"/>
      <c r="EN2313" s="67"/>
      <c r="EO2313" s="67"/>
      <c r="EP2313" s="67"/>
      <c r="EQ2313" s="67"/>
      <c r="ER2313" s="67"/>
      <c r="ES2313" s="67"/>
      <c r="ET2313" s="67"/>
      <c r="EU2313" s="67"/>
      <c r="EV2313" s="67"/>
      <c r="EW2313" s="67"/>
      <c r="EX2313" s="67"/>
      <c r="EY2313" s="67"/>
      <c r="EZ2313" s="67"/>
      <c r="FA2313" s="67"/>
      <c r="FB2313" s="67"/>
      <c r="FC2313" s="67"/>
      <c r="FD2313" s="67"/>
      <c r="FE2313" s="67"/>
      <c r="FF2313" s="67"/>
      <c r="FG2313" s="67"/>
      <c r="FH2313" s="67"/>
      <c r="FI2313" s="67"/>
      <c r="FJ2313" s="67"/>
      <c r="FK2313" s="67"/>
      <c r="FL2313" s="67"/>
      <c r="FM2313" s="67"/>
      <c r="FN2313" s="67"/>
      <c r="FO2313" s="67"/>
      <c r="FP2313" s="67"/>
      <c r="FQ2313" s="67"/>
      <c r="FR2313" s="67"/>
      <c r="FS2313" s="67"/>
      <c r="FT2313" s="67"/>
      <c r="FU2313" s="67"/>
      <c r="FV2313" s="67"/>
      <c r="FW2313" s="67"/>
      <c r="FX2313" s="67"/>
      <c r="FY2313" s="67"/>
      <c r="FZ2313" s="67"/>
      <c r="GA2313" s="67"/>
      <c r="GB2313" s="67"/>
      <c r="GC2313" s="67"/>
      <c r="GD2313" s="67"/>
      <c r="GE2313" s="67"/>
      <c r="GF2313" s="67"/>
      <c r="GG2313" s="67"/>
      <c r="GH2313" s="67"/>
      <c r="GI2313" s="67"/>
      <c r="GJ2313" s="67"/>
      <c r="GK2313" s="67"/>
      <c r="GL2313" s="67"/>
      <c r="GM2313" s="67"/>
      <c r="GN2313" s="292"/>
      <c r="GO2313" s="292"/>
      <c r="GP2313" s="292" t="s">
        <v>7494</v>
      </c>
      <c r="GQ2313" s="67"/>
      <c r="GR2313" s="67"/>
      <c r="GS2313" s="67"/>
      <c r="GT2313" s="67"/>
      <c r="GU2313" s="67"/>
      <c r="GV2313" s="67"/>
      <c r="GW2313" s="67"/>
      <c r="GX2313" s="67"/>
      <c r="GY2313" s="67"/>
      <c r="GZ2313" s="67"/>
      <c r="HA2313" s="67"/>
      <c r="HB2313" s="67"/>
      <c r="HC2313" s="67"/>
      <c r="HD2313" s="67"/>
      <c r="HE2313" s="67"/>
      <c r="HF2313" s="67"/>
      <c r="HG2313" s="67"/>
      <c r="HH2313" s="67"/>
      <c r="HI2313" s="67"/>
      <c r="HJ2313" s="67"/>
      <c r="HK2313" s="67"/>
      <c r="HL2313" s="67"/>
      <c r="HM2313" s="67"/>
      <c r="HN2313" s="67"/>
      <c r="HO2313" s="67"/>
      <c r="HP2313" s="67"/>
      <c r="HQ2313" s="67"/>
      <c r="HR2313" s="67"/>
      <c r="HS2313" s="67"/>
      <c r="HT2313" s="67"/>
      <c r="HU2313" s="67"/>
      <c r="HV2313" s="67"/>
      <c r="HW2313" s="67"/>
      <c r="HX2313" s="67"/>
      <c r="HY2313" s="67"/>
      <c r="HZ2313" s="67"/>
      <c r="IA2313" s="67"/>
      <c r="IB2313" s="67"/>
      <c r="IC2313" s="67"/>
      <c r="ID2313" s="67"/>
      <c r="IE2313" s="67"/>
      <c r="IF2313" s="67"/>
      <c r="IG2313" s="67"/>
      <c r="IH2313" s="67"/>
      <c r="II2313" s="67"/>
      <c r="IJ2313" s="67"/>
      <c r="IK2313" s="67"/>
      <c r="IL2313" s="67"/>
      <c r="IM2313" s="67"/>
      <c r="IN2313" s="67"/>
      <c r="IO2313" s="67"/>
      <c r="IP2313" s="67"/>
      <c r="IQ2313" s="67"/>
      <c r="IR2313" s="67"/>
      <c r="IS2313" s="67"/>
      <c r="IT2313" s="67"/>
      <c r="IU2313" s="67"/>
      <c r="IV2313" s="67"/>
      <c r="IW2313" s="67"/>
      <c r="IX2313" s="67"/>
      <c r="IY2313" s="67"/>
      <c r="IZ2313" s="67"/>
      <c r="JA2313" s="67"/>
      <c r="JB2313" s="67"/>
      <c r="JC2313" s="67"/>
      <c r="JD2313" s="67"/>
      <c r="JE2313" s="67"/>
      <c r="JF2313" s="67"/>
      <c r="JG2313" s="67"/>
      <c r="JH2313" s="67"/>
      <c r="JI2313" s="67"/>
      <c r="JJ2313" s="67"/>
      <c r="JK2313" s="67"/>
      <c r="JL2313" s="67"/>
      <c r="JM2313" s="67"/>
      <c r="JN2313" s="67"/>
      <c r="JO2313" s="67"/>
      <c r="JP2313" s="67"/>
      <c r="JQ2313" s="67"/>
      <c r="JR2313" s="67"/>
      <c r="JS2313" s="67"/>
      <c r="JT2313" s="67"/>
      <c r="JU2313" s="58"/>
      <c r="JV2313" s="58"/>
      <c r="JW2313" s="58"/>
    </row>
    <row r="2314" spans="1:283" s="23" customFormat="1" x14ac:dyDescent="0.25">
      <c r="A2314" s="55">
        <v>2313</v>
      </c>
      <c r="B2314" s="12" t="s">
        <v>7067</v>
      </c>
      <c r="C2314" s="156">
        <v>110</v>
      </c>
      <c r="D2314" s="58" t="s">
        <v>4198</v>
      </c>
      <c r="E2314" s="93" t="s">
        <v>2174</v>
      </c>
      <c r="F2314" s="93"/>
      <c r="G2314" s="58" t="s">
        <v>2264</v>
      </c>
      <c r="H2314" s="59">
        <v>1982</v>
      </c>
      <c r="I2314" s="58">
        <v>1977</v>
      </c>
      <c r="J2314" s="59" t="s">
        <v>1709</v>
      </c>
      <c r="K2314" s="59" t="s">
        <v>2265</v>
      </c>
      <c r="L2314" s="59" t="s">
        <v>2744</v>
      </c>
      <c r="M2314" s="94">
        <v>7.38</v>
      </c>
      <c r="N2314" s="94">
        <v>3.95</v>
      </c>
      <c r="O2314" s="93">
        <v>229.3</v>
      </c>
      <c r="P2314" s="59"/>
      <c r="Q2314" s="58"/>
      <c r="R2314" s="59"/>
      <c r="S2314" s="94"/>
      <c r="T2314" s="58"/>
      <c r="U2314" s="58">
        <v>3</v>
      </c>
      <c r="V2314" s="59">
        <v>4</v>
      </c>
      <c r="W2314" s="174"/>
      <c r="X2314" s="174"/>
      <c r="Y2314" s="58" t="s">
        <v>2266</v>
      </c>
      <c r="Z2314" s="58" t="s">
        <v>1355</v>
      </c>
      <c r="AA2314" s="94">
        <v>10</v>
      </c>
      <c r="AB2314" s="67"/>
      <c r="AC2314" s="67"/>
      <c r="AD2314" s="94">
        <v>1.31</v>
      </c>
      <c r="AE2314" s="93">
        <v>69.3</v>
      </c>
      <c r="AF2314" s="93">
        <v>9.5</v>
      </c>
      <c r="AG2314" s="93"/>
      <c r="AH2314" s="58" t="s">
        <v>238</v>
      </c>
      <c r="AI2314" s="169"/>
      <c r="AJ2314" s="94">
        <v>1.7</v>
      </c>
      <c r="AK2314" s="94"/>
      <c r="AL2314" s="58"/>
      <c r="AM2314" s="59" t="s">
        <v>2267</v>
      </c>
      <c r="AN2314" s="188" t="s">
        <v>2276</v>
      </c>
      <c r="AO2314" s="185" t="s">
        <v>5150</v>
      </c>
      <c r="AP2314" s="59"/>
      <c r="AQ2314" s="58" t="s">
        <v>553</v>
      </c>
      <c r="AR2314" s="59" t="s">
        <v>2283</v>
      </c>
      <c r="AS2314" s="58" t="s">
        <v>227</v>
      </c>
      <c r="AT2314" s="182"/>
      <c r="AU2314" s="181" t="s">
        <v>7494</v>
      </c>
      <c r="AV2314" s="185" t="s">
        <v>176</v>
      </c>
      <c r="AW2314" s="58"/>
      <c r="AX2314" s="185" t="s">
        <v>176</v>
      </c>
      <c r="AY2314" s="58"/>
      <c r="AZ2314" s="59"/>
      <c r="BA2314" s="58"/>
      <c r="BB2314" s="58"/>
      <c r="BC2314" s="58"/>
      <c r="BD2314" s="58"/>
      <c r="BE2314" s="240"/>
      <c r="BF2314" s="59"/>
      <c r="BG2314" s="59"/>
      <c r="BH2314" s="236"/>
      <c r="BI2314" s="58"/>
      <c r="BJ2314" s="58"/>
      <c r="BK2314" s="58" t="s">
        <v>5976</v>
      </c>
      <c r="BL2314" s="58"/>
      <c r="BM2314" s="241" t="s">
        <v>160</v>
      </c>
      <c r="BN2314" s="58">
        <v>3</v>
      </c>
      <c r="BO2314" s="58">
        <v>3</v>
      </c>
      <c r="BP2314" s="59"/>
      <c r="BQ2314" s="58" t="s">
        <v>141</v>
      </c>
      <c r="BR2314" s="58"/>
      <c r="BS2314" s="58"/>
      <c r="BT2314" s="58"/>
      <c r="BU2314" s="58" t="s">
        <v>2279</v>
      </c>
      <c r="BV2314" s="58"/>
      <c r="BW2314" s="67"/>
      <c r="BX2314" s="67"/>
      <c r="BY2314" s="67"/>
      <c r="BZ2314" s="67"/>
      <c r="CA2314" s="67"/>
      <c r="CB2314" s="153">
        <v>310</v>
      </c>
      <c r="CC2314" s="68">
        <v>580</v>
      </c>
      <c r="CD2314" s="68"/>
      <c r="CE2314" s="67"/>
      <c r="CF2314" s="67"/>
      <c r="CG2314" s="67" t="s">
        <v>2284</v>
      </c>
      <c r="CH2314" s="94"/>
      <c r="CI2314" s="94"/>
      <c r="CJ2314" s="67"/>
      <c r="CK2314" s="67"/>
      <c r="CL2314" s="67"/>
      <c r="CM2314" s="67"/>
      <c r="CN2314" s="67"/>
      <c r="CO2314" s="67"/>
      <c r="CP2314" s="67"/>
      <c r="CQ2314" s="67"/>
      <c r="CR2314" s="67"/>
      <c r="CS2314" s="67"/>
      <c r="CT2314" s="67"/>
      <c r="CU2314" s="67"/>
      <c r="CV2314" s="67"/>
      <c r="CW2314" s="67"/>
      <c r="CX2314" s="67"/>
      <c r="CY2314" s="67"/>
      <c r="CZ2314" s="67"/>
      <c r="DA2314" s="67"/>
      <c r="DB2314" s="67"/>
      <c r="DC2314" s="67"/>
      <c r="DD2314" s="67"/>
      <c r="DE2314" s="67"/>
      <c r="DF2314" s="67"/>
      <c r="DG2314" s="67"/>
      <c r="DH2314" s="67"/>
      <c r="DI2314" s="67"/>
      <c r="DJ2314" s="67"/>
      <c r="DK2314" s="67"/>
      <c r="DL2314" s="67"/>
      <c r="DM2314" s="67"/>
      <c r="DN2314" s="67"/>
      <c r="DO2314" s="67"/>
      <c r="DP2314" s="67"/>
      <c r="DQ2314" s="166"/>
      <c r="DR2314" s="166"/>
      <c r="DS2314" s="163"/>
      <c r="DT2314" s="163"/>
      <c r="DU2314" s="67"/>
      <c r="DV2314" s="67"/>
      <c r="DW2314" s="67"/>
      <c r="DX2314" s="67"/>
      <c r="DY2314" s="67"/>
      <c r="DZ2314" s="67"/>
      <c r="EA2314" s="67"/>
      <c r="EB2314" s="67"/>
      <c r="EC2314" s="67"/>
      <c r="ED2314" s="67"/>
      <c r="EE2314" s="67"/>
      <c r="EF2314" s="67"/>
      <c r="EG2314" s="67"/>
      <c r="EH2314" s="67"/>
      <c r="EI2314" s="67"/>
      <c r="EJ2314" s="67"/>
      <c r="EK2314" s="94"/>
      <c r="EL2314" s="94"/>
      <c r="EM2314" s="67"/>
      <c r="EN2314" s="67"/>
      <c r="EO2314" s="67"/>
      <c r="EP2314" s="67"/>
      <c r="EQ2314" s="67"/>
      <c r="ER2314" s="67"/>
      <c r="ES2314" s="67"/>
      <c r="ET2314" s="67"/>
      <c r="EU2314" s="67"/>
      <c r="EV2314" s="67"/>
      <c r="EW2314" s="67"/>
      <c r="EX2314" s="67"/>
      <c r="EY2314" s="67"/>
      <c r="EZ2314" s="67"/>
      <c r="FA2314" s="67"/>
      <c r="FB2314" s="67"/>
      <c r="FC2314" s="67"/>
      <c r="FD2314" s="67"/>
      <c r="FE2314" s="67"/>
      <c r="FF2314" s="67"/>
      <c r="FG2314" s="67"/>
      <c r="FH2314" s="67"/>
      <c r="FI2314" s="67"/>
      <c r="FJ2314" s="67"/>
      <c r="FK2314" s="67"/>
      <c r="FL2314" s="67"/>
      <c r="FM2314" s="67"/>
      <c r="FN2314" s="67"/>
      <c r="FO2314" s="67"/>
      <c r="FP2314" s="67"/>
      <c r="FQ2314" s="67"/>
      <c r="FR2314" s="67"/>
      <c r="FS2314" s="67"/>
      <c r="FT2314" s="67"/>
      <c r="FU2314" s="67"/>
      <c r="FV2314" s="67"/>
      <c r="FW2314" s="67"/>
      <c r="FX2314" s="67"/>
      <c r="FY2314" s="67"/>
      <c r="FZ2314" s="67"/>
      <c r="GA2314" s="67"/>
      <c r="GB2314" s="67"/>
      <c r="GC2314" s="67"/>
      <c r="GD2314" s="67"/>
      <c r="GE2314" s="67"/>
      <c r="GF2314" s="67"/>
      <c r="GG2314" s="67"/>
      <c r="GH2314" s="67"/>
      <c r="GI2314" s="67"/>
      <c r="GJ2314" s="67"/>
      <c r="GK2314" s="67"/>
      <c r="GL2314" s="67"/>
      <c r="GM2314" s="67"/>
      <c r="GN2314" s="292"/>
      <c r="GO2314" s="292"/>
      <c r="GP2314" s="292" t="s">
        <v>7494</v>
      </c>
      <c r="GQ2314" s="67"/>
      <c r="GR2314" s="67"/>
      <c r="GS2314" s="67"/>
      <c r="GT2314" s="67"/>
      <c r="GU2314" s="67"/>
      <c r="GV2314" s="67"/>
      <c r="GW2314" s="67"/>
      <c r="GX2314" s="67"/>
      <c r="GY2314" s="67"/>
      <c r="GZ2314" s="67"/>
      <c r="HA2314" s="67"/>
      <c r="HB2314" s="67"/>
      <c r="HC2314" s="67"/>
      <c r="HD2314" s="67"/>
      <c r="HE2314" s="67"/>
      <c r="HF2314" s="67"/>
      <c r="HG2314" s="67"/>
      <c r="HH2314" s="67"/>
      <c r="HI2314" s="67"/>
      <c r="HJ2314" s="67"/>
      <c r="HK2314" s="67"/>
      <c r="HL2314" s="67"/>
      <c r="HM2314" s="67"/>
      <c r="HN2314" s="67"/>
      <c r="HO2314" s="67"/>
      <c r="HP2314" s="67"/>
      <c r="HQ2314" s="67"/>
      <c r="HR2314" s="67"/>
      <c r="HS2314" s="67"/>
      <c r="HT2314" s="67"/>
      <c r="HU2314" s="67"/>
      <c r="HV2314" s="67"/>
      <c r="HW2314" s="67"/>
      <c r="HX2314" s="67"/>
      <c r="HY2314" s="67"/>
      <c r="HZ2314" s="67"/>
      <c r="IA2314" s="67"/>
      <c r="IB2314" s="67"/>
      <c r="IC2314" s="67"/>
      <c r="ID2314" s="67"/>
      <c r="IE2314" s="67"/>
      <c r="IF2314" s="67"/>
      <c r="IG2314" s="67"/>
      <c r="IH2314" s="67"/>
      <c r="II2314" s="67"/>
      <c r="IJ2314" s="67"/>
      <c r="IK2314" s="67"/>
      <c r="IL2314" s="67"/>
      <c r="IM2314" s="67"/>
      <c r="IN2314" s="67"/>
      <c r="IO2314" s="67"/>
      <c r="IP2314" s="67"/>
      <c r="IQ2314" s="67"/>
      <c r="IR2314" s="67"/>
      <c r="IS2314" s="67"/>
      <c r="IT2314" s="67"/>
      <c r="IU2314" s="67"/>
      <c r="IV2314" s="67"/>
      <c r="IW2314" s="67"/>
      <c r="IX2314" s="67"/>
      <c r="IY2314" s="67"/>
      <c r="IZ2314" s="67"/>
      <c r="JA2314" s="67"/>
      <c r="JB2314" s="67"/>
      <c r="JC2314" s="67"/>
      <c r="JD2314" s="67"/>
      <c r="JE2314" s="67"/>
      <c r="JF2314" s="67"/>
      <c r="JG2314" s="67"/>
      <c r="JH2314" s="67"/>
      <c r="JI2314" s="67"/>
      <c r="JJ2314" s="67"/>
      <c r="JK2314" s="67"/>
      <c r="JL2314" s="67"/>
      <c r="JM2314" s="67"/>
      <c r="JN2314" s="67"/>
      <c r="JO2314" s="67"/>
      <c r="JP2314" s="67"/>
      <c r="JQ2314" s="67"/>
      <c r="JR2314" s="67"/>
      <c r="JS2314" s="67"/>
      <c r="JT2314" s="67"/>
      <c r="JU2314" s="58"/>
      <c r="JV2314" s="58"/>
      <c r="JW2314" s="58"/>
    </row>
    <row r="2315" spans="1:283" s="23" customFormat="1" x14ac:dyDescent="0.25">
      <c r="A2315" s="55">
        <v>2314</v>
      </c>
      <c r="B2315" s="12" t="s">
        <v>7067</v>
      </c>
      <c r="C2315" s="156">
        <v>110</v>
      </c>
      <c r="D2315" s="58" t="s">
        <v>4198</v>
      </c>
      <c r="E2315" s="93" t="s">
        <v>2174</v>
      </c>
      <c r="F2315" s="93"/>
      <c r="G2315" s="58" t="s">
        <v>2264</v>
      </c>
      <c r="H2315" s="59">
        <v>1982</v>
      </c>
      <c r="I2315" s="58">
        <v>1977</v>
      </c>
      <c r="J2315" s="59" t="s">
        <v>1709</v>
      </c>
      <c r="K2315" s="59" t="s">
        <v>2265</v>
      </c>
      <c r="L2315" s="59" t="s">
        <v>2744</v>
      </c>
      <c r="M2315" s="94">
        <v>7.38</v>
      </c>
      <c r="N2315" s="94">
        <v>3.95</v>
      </c>
      <c r="O2315" s="93">
        <v>229.3</v>
      </c>
      <c r="P2315" s="59"/>
      <c r="Q2315" s="58"/>
      <c r="R2315" s="59"/>
      <c r="S2315" s="94"/>
      <c r="T2315" s="58"/>
      <c r="U2315" s="58">
        <v>3</v>
      </c>
      <c r="V2315" s="59">
        <v>4</v>
      </c>
      <c r="W2315" s="174"/>
      <c r="X2315" s="174"/>
      <c r="Y2315" s="58" t="s">
        <v>2266</v>
      </c>
      <c r="Z2315" s="58" t="s">
        <v>1355</v>
      </c>
      <c r="AA2315" s="94">
        <v>10</v>
      </c>
      <c r="AB2315" s="67"/>
      <c r="AC2315" s="67"/>
      <c r="AD2315" s="94">
        <v>1.31</v>
      </c>
      <c r="AE2315" s="93">
        <v>69.3</v>
      </c>
      <c r="AF2315" s="93">
        <v>9.5</v>
      </c>
      <c r="AG2315" s="93"/>
      <c r="AH2315" s="58" t="s">
        <v>238</v>
      </c>
      <c r="AI2315" s="169"/>
      <c r="AJ2315" s="94">
        <v>1.7</v>
      </c>
      <c r="AK2315" s="94"/>
      <c r="AL2315" s="58"/>
      <c r="AM2315" s="59" t="s">
        <v>2267</v>
      </c>
      <c r="AN2315" s="188" t="s">
        <v>2277</v>
      </c>
      <c r="AO2315" s="185" t="s">
        <v>5150</v>
      </c>
      <c r="AP2315" s="59"/>
      <c r="AQ2315" s="58" t="s">
        <v>553</v>
      </c>
      <c r="AR2315" s="59" t="s">
        <v>2283</v>
      </c>
      <c r="AS2315" s="58" t="s">
        <v>227</v>
      </c>
      <c r="AT2315" s="182"/>
      <c r="AU2315" s="181" t="s">
        <v>7494</v>
      </c>
      <c r="AV2315" s="185" t="s">
        <v>176</v>
      </c>
      <c r="AW2315" s="58"/>
      <c r="AX2315" s="185" t="s">
        <v>176</v>
      </c>
      <c r="AY2315" s="58"/>
      <c r="AZ2315" s="59"/>
      <c r="BA2315" s="58"/>
      <c r="BB2315" s="58"/>
      <c r="BC2315" s="58"/>
      <c r="BD2315" s="58"/>
      <c r="BE2315" s="240"/>
      <c r="BF2315" s="59"/>
      <c r="BG2315" s="59"/>
      <c r="BH2315" s="236"/>
      <c r="BI2315" s="58"/>
      <c r="BJ2315" s="58"/>
      <c r="BK2315" s="58" t="s">
        <v>5976</v>
      </c>
      <c r="BL2315" s="58"/>
      <c r="BM2315" s="241" t="s">
        <v>160</v>
      </c>
      <c r="BN2315" s="58">
        <v>3</v>
      </c>
      <c r="BO2315" s="58">
        <v>3</v>
      </c>
      <c r="BP2315" s="59"/>
      <c r="BQ2315" s="58" t="s">
        <v>141</v>
      </c>
      <c r="BR2315" s="58"/>
      <c r="BS2315" s="58"/>
      <c r="BT2315" s="58"/>
      <c r="BU2315" s="58" t="s">
        <v>2279</v>
      </c>
      <c r="BV2315" s="58"/>
      <c r="BW2315" s="67"/>
      <c r="BX2315" s="67"/>
      <c r="BY2315" s="67"/>
      <c r="BZ2315" s="67"/>
      <c r="CA2315" s="67"/>
      <c r="CB2315" s="153">
        <v>310</v>
      </c>
      <c r="CC2315" s="68">
        <v>1250</v>
      </c>
      <c r="CD2315" s="68"/>
      <c r="CE2315" s="67"/>
      <c r="CF2315" s="67"/>
      <c r="CG2315" s="67" t="s">
        <v>2284</v>
      </c>
      <c r="CH2315" s="94"/>
      <c r="CI2315" s="94"/>
      <c r="CJ2315" s="67"/>
      <c r="CK2315" s="67"/>
      <c r="CL2315" s="67"/>
      <c r="CM2315" s="67"/>
      <c r="CN2315" s="67"/>
      <c r="CO2315" s="67"/>
      <c r="CP2315" s="67"/>
      <c r="CQ2315" s="67"/>
      <c r="CR2315" s="67"/>
      <c r="CS2315" s="67"/>
      <c r="CT2315" s="67"/>
      <c r="CU2315" s="67"/>
      <c r="CV2315" s="67"/>
      <c r="CW2315" s="67"/>
      <c r="CX2315" s="67"/>
      <c r="CY2315" s="67"/>
      <c r="CZ2315" s="67"/>
      <c r="DA2315" s="67"/>
      <c r="DB2315" s="67"/>
      <c r="DC2315" s="67"/>
      <c r="DD2315" s="67"/>
      <c r="DE2315" s="67"/>
      <c r="DF2315" s="67"/>
      <c r="DG2315" s="67"/>
      <c r="DH2315" s="67"/>
      <c r="DI2315" s="67"/>
      <c r="DJ2315" s="67"/>
      <c r="DK2315" s="67"/>
      <c r="DL2315" s="67"/>
      <c r="DM2315" s="67"/>
      <c r="DN2315" s="67"/>
      <c r="DO2315" s="67"/>
      <c r="DP2315" s="67"/>
      <c r="DQ2315" s="166"/>
      <c r="DR2315" s="166"/>
      <c r="DS2315" s="163"/>
      <c r="DT2315" s="163"/>
      <c r="DU2315" s="67"/>
      <c r="DV2315" s="67"/>
      <c r="DW2315" s="67"/>
      <c r="DX2315" s="67"/>
      <c r="DY2315" s="67"/>
      <c r="DZ2315" s="67"/>
      <c r="EA2315" s="67"/>
      <c r="EB2315" s="67"/>
      <c r="EC2315" s="67"/>
      <c r="ED2315" s="67"/>
      <c r="EE2315" s="67"/>
      <c r="EF2315" s="67"/>
      <c r="EG2315" s="67"/>
      <c r="EH2315" s="67"/>
      <c r="EI2315" s="67"/>
      <c r="EJ2315" s="67"/>
      <c r="EK2315" s="94"/>
      <c r="EL2315" s="94"/>
      <c r="EM2315" s="67"/>
      <c r="EN2315" s="67"/>
      <c r="EO2315" s="67"/>
      <c r="EP2315" s="67"/>
      <c r="EQ2315" s="67"/>
      <c r="ER2315" s="67"/>
      <c r="ES2315" s="67"/>
      <c r="ET2315" s="67"/>
      <c r="EU2315" s="67"/>
      <c r="EV2315" s="67"/>
      <c r="EW2315" s="67"/>
      <c r="EX2315" s="67"/>
      <c r="EY2315" s="67"/>
      <c r="EZ2315" s="67"/>
      <c r="FA2315" s="67"/>
      <c r="FB2315" s="67"/>
      <c r="FC2315" s="67"/>
      <c r="FD2315" s="67"/>
      <c r="FE2315" s="67"/>
      <c r="FF2315" s="67"/>
      <c r="FG2315" s="67"/>
      <c r="FH2315" s="67"/>
      <c r="FI2315" s="67"/>
      <c r="FJ2315" s="67"/>
      <c r="FK2315" s="67"/>
      <c r="FL2315" s="67"/>
      <c r="FM2315" s="67"/>
      <c r="FN2315" s="67"/>
      <c r="FO2315" s="67"/>
      <c r="FP2315" s="67"/>
      <c r="FQ2315" s="67"/>
      <c r="FR2315" s="67"/>
      <c r="FS2315" s="67"/>
      <c r="FT2315" s="67"/>
      <c r="FU2315" s="67"/>
      <c r="FV2315" s="67"/>
      <c r="FW2315" s="67"/>
      <c r="FX2315" s="67"/>
      <c r="FY2315" s="67"/>
      <c r="FZ2315" s="67"/>
      <c r="GA2315" s="67"/>
      <c r="GB2315" s="67"/>
      <c r="GC2315" s="67"/>
      <c r="GD2315" s="67"/>
      <c r="GE2315" s="67"/>
      <c r="GF2315" s="67"/>
      <c r="GG2315" s="67"/>
      <c r="GH2315" s="67"/>
      <c r="GI2315" s="67"/>
      <c r="GJ2315" s="67"/>
      <c r="GK2315" s="67"/>
      <c r="GL2315" s="67"/>
      <c r="GM2315" s="67"/>
      <c r="GN2315" s="292"/>
      <c r="GO2315" s="292"/>
      <c r="GP2315" s="292" t="s">
        <v>7494</v>
      </c>
      <c r="GQ2315" s="67"/>
      <c r="GR2315" s="67"/>
      <c r="GS2315" s="67"/>
      <c r="GT2315" s="67"/>
      <c r="GU2315" s="67"/>
      <c r="GV2315" s="67"/>
      <c r="GW2315" s="67"/>
      <c r="GX2315" s="67"/>
      <c r="GY2315" s="67"/>
      <c r="GZ2315" s="67"/>
      <c r="HA2315" s="67"/>
      <c r="HB2315" s="67"/>
      <c r="HC2315" s="67"/>
      <c r="HD2315" s="67"/>
      <c r="HE2315" s="67"/>
      <c r="HF2315" s="67"/>
      <c r="HG2315" s="67"/>
      <c r="HH2315" s="67"/>
      <c r="HI2315" s="67"/>
      <c r="HJ2315" s="67"/>
      <c r="HK2315" s="67"/>
      <c r="HL2315" s="67"/>
      <c r="HM2315" s="67"/>
      <c r="HN2315" s="67"/>
      <c r="HO2315" s="67"/>
      <c r="HP2315" s="67"/>
      <c r="HQ2315" s="67"/>
      <c r="HR2315" s="67"/>
      <c r="HS2315" s="67"/>
      <c r="HT2315" s="67"/>
      <c r="HU2315" s="67"/>
      <c r="HV2315" s="67"/>
      <c r="HW2315" s="67"/>
      <c r="HX2315" s="67"/>
      <c r="HY2315" s="67"/>
      <c r="HZ2315" s="67"/>
      <c r="IA2315" s="67"/>
      <c r="IB2315" s="67"/>
      <c r="IC2315" s="67"/>
      <c r="ID2315" s="67"/>
      <c r="IE2315" s="67"/>
      <c r="IF2315" s="67"/>
      <c r="IG2315" s="67"/>
      <c r="IH2315" s="67"/>
      <c r="II2315" s="67"/>
      <c r="IJ2315" s="67"/>
      <c r="IK2315" s="67"/>
      <c r="IL2315" s="67"/>
      <c r="IM2315" s="67"/>
      <c r="IN2315" s="67"/>
      <c r="IO2315" s="67"/>
      <c r="IP2315" s="67"/>
      <c r="IQ2315" s="67"/>
      <c r="IR2315" s="67"/>
      <c r="IS2315" s="67"/>
      <c r="IT2315" s="67"/>
      <c r="IU2315" s="67"/>
      <c r="IV2315" s="67"/>
      <c r="IW2315" s="67"/>
      <c r="IX2315" s="67"/>
      <c r="IY2315" s="67"/>
      <c r="IZ2315" s="67"/>
      <c r="JA2315" s="67"/>
      <c r="JB2315" s="67"/>
      <c r="JC2315" s="67"/>
      <c r="JD2315" s="67"/>
      <c r="JE2315" s="67"/>
      <c r="JF2315" s="67"/>
      <c r="JG2315" s="67"/>
      <c r="JH2315" s="67"/>
      <c r="JI2315" s="67"/>
      <c r="JJ2315" s="67"/>
      <c r="JK2315" s="67"/>
      <c r="JL2315" s="67"/>
      <c r="JM2315" s="67"/>
      <c r="JN2315" s="67"/>
      <c r="JO2315" s="67"/>
      <c r="JP2315" s="67"/>
      <c r="JQ2315" s="67"/>
      <c r="JR2315" s="67"/>
      <c r="JS2315" s="67"/>
      <c r="JT2315" s="67"/>
      <c r="JU2315" s="58"/>
      <c r="JV2315" s="58"/>
      <c r="JW2315" s="58"/>
    </row>
    <row r="2316" spans="1:283" s="23" customFormat="1" x14ac:dyDescent="0.25">
      <c r="A2316" s="55">
        <v>2315</v>
      </c>
      <c r="B2316" s="12" t="s">
        <v>7067</v>
      </c>
      <c r="C2316" s="156">
        <v>110</v>
      </c>
      <c r="D2316" s="58" t="s">
        <v>4198</v>
      </c>
      <c r="E2316" s="93" t="s">
        <v>2174</v>
      </c>
      <c r="F2316" s="93"/>
      <c r="G2316" s="58" t="s">
        <v>2264</v>
      </c>
      <c r="H2316" s="59">
        <v>1982</v>
      </c>
      <c r="I2316" s="58">
        <v>1977</v>
      </c>
      <c r="J2316" s="59" t="s">
        <v>1709</v>
      </c>
      <c r="K2316" s="59" t="s">
        <v>2265</v>
      </c>
      <c r="L2316" s="59" t="s">
        <v>2744</v>
      </c>
      <c r="M2316" s="94">
        <v>7.38</v>
      </c>
      <c r="N2316" s="94">
        <v>3.95</v>
      </c>
      <c r="O2316" s="93">
        <v>229.3</v>
      </c>
      <c r="P2316" s="59"/>
      <c r="Q2316" s="58"/>
      <c r="R2316" s="59"/>
      <c r="S2316" s="94"/>
      <c r="T2316" s="58"/>
      <c r="U2316" s="58">
        <v>3</v>
      </c>
      <c r="V2316" s="59">
        <v>4</v>
      </c>
      <c r="W2316" s="174"/>
      <c r="X2316" s="174"/>
      <c r="Y2316" s="58" t="s">
        <v>2266</v>
      </c>
      <c r="Z2316" s="58" t="s">
        <v>1355</v>
      </c>
      <c r="AA2316" s="94">
        <v>10</v>
      </c>
      <c r="AB2316" s="67"/>
      <c r="AC2316" s="67"/>
      <c r="AD2316" s="94">
        <v>1.31</v>
      </c>
      <c r="AE2316" s="93">
        <v>69.3</v>
      </c>
      <c r="AF2316" s="93">
        <v>9.5</v>
      </c>
      <c r="AG2316" s="93"/>
      <c r="AH2316" s="58" t="s">
        <v>238</v>
      </c>
      <c r="AI2316" s="169"/>
      <c r="AJ2316" s="94">
        <v>1.7</v>
      </c>
      <c r="AK2316" s="94"/>
      <c r="AL2316" s="58"/>
      <c r="AM2316" s="59" t="s">
        <v>2267</v>
      </c>
      <c r="AN2316" s="188" t="s">
        <v>2278</v>
      </c>
      <c r="AO2316" s="185" t="s">
        <v>5150</v>
      </c>
      <c r="AP2316" s="59"/>
      <c r="AQ2316" s="58" t="s">
        <v>553</v>
      </c>
      <c r="AR2316" s="59" t="s">
        <v>2283</v>
      </c>
      <c r="AS2316" s="58" t="s">
        <v>227</v>
      </c>
      <c r="AT2316" s="182"/>
      <c r="AU2316" s="181" t="s">
        <v>7494</v>
      </c>
      <c r="AV2316" s="185" t="s">
        <v>176</v>
      </c>
      <c r="AW2316" s="58"/>
      <c r="AX2316" s="185" t="s">
        <v>176</v>
      </c>
      <c r="AY2316" s="58"/>
      <c r="AZ2316" s="59"/>
      <c r="BA2316" s="58"/>
      <c r="BB2316" s="58"/>
      <c r="BC2316" s="58"/>
      <c r="BD2316" s="58"/>
      <c r="BE2316" s="240"/>
      <c r="BF2316" s="59"/>
      <c r="BG2316" s="59"/>
      <c r="BH2316" s="236"/>
      <c r="BI2316" s="58"/>
      <c r="BJ2316" s="58"/>
      <c r="BK2316" s="58" t="s">
        <v>5976</v>
      </c>
      <c r="BL2316" s="58"/>
      <c r="BM2316" s="241" t="s">
        <v>160</v>
      </c>
      <c r="BN2316" s="58">
        <v>3</v>
      </c>
      <c r="BO2316" s="58">
        <v>3</v>
      </c>
      <c r="BP2316" s="59"/>
      <c r="BQ2316" s="58" t="s">
        <v>141</v>
      </c>
      <c r="BR2316" s="58"/>
      <c r="BS2316" s="58"/>
      <c r="BT2316" s="58"/>
      <c r="BU2316" s="58" t="s">
        <v>2279</v>
      </c>
      <c r="BV2316" s="58"/>
      <c r="BW2316" s="67"/>
      <c r="BX2316" s="67"/>
      <c r="BY2316" s="67"/>
      <c r="BZ2316" s="67"/>
      <c r="CA2316" s="67"/>
      <c r="CB2316" s="153">
        <v>310</v>
      </c>
      <c r="CC2316" s="68">
        <v>530</v>
      </c>
      <c r="CD2316" s="68"/>
      <c r="CE2316" s="67"/>
      <c r="CF2316" s="67"/>
      <c r="CG2316" s="67" t="s">
        <v>2284</v>
      </c>
      <c r="CH2316" s="94"/>
      <c r="CI2316" s="94"/>
      <c r="CJ2316" s="67"/>
      <c r="CK2316" s="67"/>
      <c r="CL2316" s="67"/>
      <c r="CM2316" s="67"/>
      <c r="CN2316" s="67"/>
      <c r="CO2316" s="67"/>
      <c r="CP2316" s="67"/>
      <c r="CQ2316" s="67"/>
      <c r="CR2316" s="67"/>
      <c r="CS2316" s="67"/>
      <c r="CT2316" s="67"/>
      <c r="CU2316" s="67"/>
      <c r="CV2316" s="67"/>
      <c r="CW2316" s="67"/>
      <c r="CX2316" s="67"/>
      <c r="CY2316" s="67"/>
      <c r="CZ2316" s="67"/>
      <c r="DA2316" s="67"/>
      <c r="DB2316" s="67"/>
      <c r="DC2316" s="67"/>
      <c r="DD2316" s="67"/>
      <c r="DE2316" s="67"/>
      <c r="DF2316" s="67"/>
      <c r="DG2316" s="67"/>
      <c r="DH2316" s="67"/>
      <c r="DI2316" s="67"/>
      <c r="DJ2316" s="67"/>
      <c r="DK2316" s="67"/>
      <c r="DL2316" s="67"/>
      <c r="DM2316" s="67"/>
      <c r="DN2316" s="67"/>
      <c r="DO2316" s="67"/>
      <c r="DP2316" s="67"/>
      <c r="DQ2316" s="166"/>
      <c r="DR2316" s="166"/>
      <c r="DS2316" s="163"/>
      <c r="DT2316" s="163"/>
      <c r="DU2316" s="67"/>
      <c r="DV2316" s="67"/>
      <c r="DW2316" s="67"/>
      <c r="DX2316" s="67"/>
      <c r="DY2316" s="67"/>
      <c r="DZ2316" s="67"/>
      <c r="EA2316" s="67"/>
      <c r="EB2316" s="67"/>
      <c r="EC2316" s="67"/>
      <c r="ED2316" s="67"/>
      <c r="EE2316" s="67"/>
      <c r="EF2316" s="67"/>
      <c r="EG2316" s="67"/>
      <c r="EH2316" s="67"/>
      <c r="EI2316" s="67"/>
      <c r="EJ2316" s="67"/>
      <c r="EK2316" s="94"/>
      <c r="EL2316" s="94"/>
      <c r="EM2316" s="67"/>
      <c r="EN2316" s="67"/>
      <c r="EO2316" s="67"/>
      <c r="EP2316" s="67"/>
      <c r="EQ2316" s="67"/>
      <c r="ER2316" s="67"/>
      <c r="ES2316" s="67"/>
      <c r="ET2316" s="67"/>
      <c r="EU2316" s="67"/>
      <c r="EV2316" s="67"/>
      <c r="EW2316" s="67"/>
      <c r="EX2316" s="67"/>
      <c r="EY2316" s="67"/>
      <c r="EZ2316" s="67"/>
      <c r="FA2316" s="67"/>
      <c r="FB2316" s="67"/>
      <c r="FC2316" s="67"/>
      <c r="FD2316" s="67"/>
      <c r="FE2316" s="67"/>
      <c r="FF2316" s="67"/>
      <c r="FG2316" s="67"/>
      <c r="FH2316" s="67"/>
      <c r="FI2316" s="67"/>
      <c r="FJ2316" s="67"/>
      <c r="FK2316" s="67"/>
      <c r="FL2316" s="67"/>
      <c r="FM2316" s="67"/>
      <c r="FN2316" s="67"/>
      <c r="FO2316" s="67"/>
      <c r="FP2316" s="67"/>
      <c r="FQ2316" s="67"/>
      <c r="FR2316" s="67"/>
      <c r="FS2316" s="67"/>
      <c r="FT2316" s="67"/>
      <c r="FU2316" s="67"/>
      <c r="FV2316" s="67"/>
      <c r="FW2316" s="67"/>
      <c r="FX2316" s="67"/>
      <c r="FY2316" s="67"/>
      <c r="FZ2316" s="67"/>
      <c r="GA2316" s="67"/>
      <c r="GB2316" s="67"/>
      <c r="GC2316" s="67"/>
      <c r="GD2316" s="67"/>
      <c r="GE2316" s="67"/>
      <c r="GF2316" s="67"/>
      <c r="GG2316" s="67"/>
      <c r="GH2316" s="67"/>
      <c r="GI2316" s="67"/>
      <c r="GJ2316" s="67"/>
      <c r="GK2316" s="67"/>
      <c r="GL2316" s="67"/>
      <c r="GM2316" s="67"/>
      <c r="GN2316" s="292"/>
      <c r="GO2316" s="292"/>
      <c r="GP2316" s="292" t="s">
        <v>7494</v>
      </c>
      <c r="GQ2316" s="67"/>
      <c r="GR2316" s="67"/>
      <c r="GS2316" s="67"/>
      <c r="GT2316" s="67"/>
      <c r="GU2316" s="67"/>
      <c r="GV2316" s="67"/>
      <c r="GW2316" s="67"/>
      <c r="GX2316" s="67"/>
      <c r="GY2316" s="67"/>
      <c r="GZ2316" s="67"/>
      <c r="HA2316" s="67"/>
      <c r="HB2316" s="67"/>
      <c r="HC2316" s="67"/>
      <c r="HD2316" s="67"/>
      <c r="HE2316" s="67"/>
      <c r="HF2316" s="67"/>
      <c r="HG2316" s="67"/>
      <c r="HH2316" s="67"/>
      <c r="HI2316" s="67"/>
      <c r="HJ2316" s="67"/>
      <c r="HK2316" s="67"/>
      <c r="HL2316" s="67"/>
      <c r="HM2316" s="67"/>
      <c r="HN2316" s="67"/>
      <c r="HO2316" s="67"/>
      <c r="HP2316" s="67"/>
      <c r="HQ2316" s="67"/>
      <c r="HR2316" s="67"/>
      <c r="HS2316" s="67"/>
      <c r="HT2316" s="67"/>
      <c r="HU2316" s="67"/>
      <c r="HV2316" s="67"/>
      <c r="HW2316" s="67"/>
      <c r="HX2316" s="67"/>
      <c r="HY2316" s="67"/>
      <c r="HZ2316" s="67"/>
      <c r="IA2316" s="67"/>
      <c r="IB2316" s="67"/>
      <c r="IC2316" s="67"/>
      <c r="ID2316" s="67"/>
      <c r="IE2316" s="67"/>
      <c r="IF2316" s="67"/>
      <c r="IG2316" s="67"/>
      <c r="IH2316" s="67"/>
      <c r="II2316" s="67"/>
      <c r="IJ2316" s="67"/>
      <c r="IK2316" s="67"/>
      <c r="IL2316" s="67"/>
      <c r="IM2316" s="67"/>
      <c r="IN2316" s="67"/>
      <c r="IO2316" s="67"/>
      <c r="IP2316" s="67"/>
      <c r="IQ2316" s="67"/>
      <c r="IR2316" s="67"/>
      <c r="IS2316" s="67"/>
      <c r="IT2316" s="67"/>
      <c r="IU2316" s="67"/>
      <c r="IV2316" s="67"/>
      <c r="IW2316" s="67"/>
      <c r="IX2316" s="67"/>
      <c r="IY2316" s="67"/>
      <c r="IZ2316" s="67"/>
      <c r="JA2316" s="67"/>
      <c r="JB2316" s="67"/>
      <c r="JC2316" s="67"/>
      <c r="JD2316" s="67"/>
      <c r="JE2316" s="67"/>
      <c r="JF2316" s="67"/>
      <c r="JG2316" s="67"/>
      <c r="JH2316" s="67"/>
      <c r="JI2316" s="67"/>
      <c r="JJ2316" s="67"/>
      <c r="JK2316" s="67"/>
      <c r="JL2316" s="67"/>
      <c r="JM2316" s="67"/>
      <c r="JN2316" s="67"/>
      <c r="JO2316" s="67"/>
      <c r="JP2316" s="67"/>
      <c r="JQ2316" s="67"/>
      <c r="JR2316" s="67"/>
      <c r="JS2316" s="67"/>
      <c r="JT2316" s="67"/>
      <c r="JU2316" s="58"/>
      <c r="JV2316" s="58"/>
      <c r="JW2316" s="58"/>
    </row>
    <row r="2317" spans="1:283" s="23" customFormat="1" x14ac:dyDescent="0.25">
      <c r="A2317" s="55">
        <v>2316</v>
      </c>
      <c r="B2317" s="12" t="s">
        <v>7067</v>
      </c>
      <c r="C2317" s="156">
        <v>110</v>
      </c>
      <c r="D2317" s="58" t="s">
        <v>4197</v>
      </c>
      <c r="E2317" s="93" t="s">
        <v>2174</v>
      </c>
      <c r="F2317" s="93"/>
      <c r="G2317" s="58" t="s">
        <v>2264</v>
      </c>
      <c r="H2317" s="59">
        <v>1982</v>
      </c>
      <c r="I2317" s="58">
        <v>1977</v>
      </c>
      <c r="J2317" s="59" t="s">
        <v>1709</v>
      </c>
      <c r="K2317" s="59" t="s">
        <v>2265</v>
      </c>
      <c r="L2317" s="59" t="s">
        <v>2744</v>
      </c>
      <c r="M2317" s="94">
        <v>7.38</v>
      </c>
      <c r="N2317" s="94">
        <v>3.95</v>
      </c>
      <c r="O2317" s="93">
        <v>229.3</v>
      </c>
      <c r="P2317" s="59"/>
      <c r="Q2317" s="58"/>
      <c r="R2317" s="59"/>
      <c r="S2317" s="94"/>
      <c r="T2317" s="58"/>
      <c r="U2317" s="58">
        <v>4</v>
      </c>
      <c r="V2317" s="59">
        <v>4</v>
      </c>
      <c r="W2317" s="174"/>
      <c r="X2317" s="174"/>
      <c r="Y2317" s="58" t="s">
        <v>2266</v>
      </c>
      <c r="Z2317" s="58" t="s">
        <v>1355</v>
      </c>
      <c r="AA2317" s="94">
        <v>10</v>
      </c>
      <c r="AB2317" s="67"/>
      <c r="AC2317" s="67"/>
      <c r="AD2317" s="94">
        <v>1.31</v>
      </c>
      <c r="AE2317" s="93">
        <v>69.3</v>
      </c>
      <c r="AF2317" s="93">
        <v>9.5</v>
      </c>
      <c r="AG2317" s="93"/>
      <c r="AH2317" s="58" t="s">
        <v>238</v>
      </c>
      <c r="AI2317" s="169"/>
      <c r="AJ2317" s="94">
        <v>1.7</v>
      </c>
      <c r="AK2317" s="94"/>
      <c r="AL2317" s="58"/>
      <c r="AM2317" s="59" t="s">
        <v>2267</v>
      </c>
      <c r="AN2317" s="188" t="s">
        <v>2271</v>
      </c>
      <c r="AO2317" s="185" t="s">
        <v>5150</v>
      </c>
      <c r="AP2317" s="59"/>
      <c r="AQ2317" s="58" t="s">
        <v>1545</v>
      </c>
      <c r="AR2317" s="59" t="s">
        <v>2283</v>
      </c>
      <c r="AS2317" s="58" t="s">
        <v>227</v>
      </c>
      <c r="AT2317" s="182"/>
      <c r="AU2317" s="181" t="s">
        <v>7494</v>
      </c>
      <c r="AV2317" s="185" t="s">
        <v>176</v>
      </c>
      <c r="AW2317" s="58"/>
      <c r="AX2317" s="185" t="s">
        <v>176</v>
      </c>
      <c r="AY2317" s="58"/>
      <c r="AZ2317" s="59"/>
      <c r="BA2317" s="58"/>
      <c r="BB2317" s="58"/>
      <c r="BC2317" s="58"/>
      <c r="BD2317" s="58"/>
      <c r="BE2317" s="240"/>
      <c r="BF2317" s="59"/>
      <c r="BG2317" s="59"/>
      <c r="BH2317" s="236"/>
      <c r="BI2317" s="58"/>
      <c r="BJ2317" s="58"/>
      <c r="BK2317" s="58" t="s">
        <v>5976</v>
      </c>
      <c r="BL2317" s="58"/>
      <c r="BM2317" s="241" t="s">
        <v>160</v>
      </c>
      <c r="BN2317" s="58">
        <v>3</v>
      </c>
      <c r="BO2317" s="58">
        <v>3</v>
      </c>
      <c r="BP2317" s="59"/>
      <c r="BQ2317" s="58" t="s">
        <v>141</v>
      </c>
      <c r="BR2317" s="58"/>
      <c r="BS2317" s="58"/>
      <c r="BT2317" s="58"/>
      <c r="BU2317" s="58" t="s">
        <v>2280</v>
      </c>
      <c r="BV2317" s="58"/>
      <c r="BW2317" s="67"/>
      <c r="BX2317" s="67"/>
      <c r="BY2317" s="67"/>
      <c r="BZ2317" s="67"/>
      <c r="CA2317" s="67"/>
      <c r="CB2317" s="153">
        <v>1440</v>
      </c>
      <c r="CC2317" s="68">
        <v>1490</v>
      </c>
      <c r="CD2317" s="68"/>
      <c r="CE2317" s="67"/>
      <c r="CF2317" s="67"/>
      <c r="CG2317" s="67" t="s">
        <v>2284</v>
      </c>
      <c r="CH2317" s="94"/>
      <c r="CI2317" s="94"/>
      <c r="CJ2317" s="67"/>
      <c r="CK2317" s="67"/>
      <c r="CL2317" s="67"/>
      <c r="CM2317" s="67"/>
      <c r="CN2317" s="67"/>
      <c r="CO2317" s="67"/>
      <c r="CP2317" s="67"/>
      <c r="CQ2317" s="67"/>
      <c r="CR2317" s="67"/>
      <c r="CS2317" s="67"/>
      <c r="CT2317" s="67"/>
      <c r="CU2317" s="67"/>
      <c r="CV2317" s="67"/>
      <c r="CW2317" s="67"/>
      <c r="CX2317" s="67"/>
      <c r="CY2317" s="67"/>
      <c r="CZ2317" s="67"/>
      <c r="DA2317" s="67"/>
      <c r="DB2317" s="67"/>
      <c r="DC2317" s="67"/>
      <c r="DD2317" s="67"/>
      <c r="DE2317" s="67"/>
      <c r="DF2317" s="67"/>
      <c r="DG2317" s="67"/>
      <c r="DH2317" s="67"/>
      <c r="DI2317" s="67"/>
      <c r="DJ2317" s="67"/>
      <c r="DK2317" s="67"/>
      <c r="DL2317" s="67"/>
      <c r="DM2317" s="67"/>
      <c r="DN2317" s="67"/>
      <c r="DO2317" s="67"/>
      <c r="DP2317" s="67"/>
      <c r="DQ2317" s="166"/>
      <c r="DR2317" s="166"/>
      <c r="DS2317" s="163"/>
      <c r="DT2317" s="163"/>
      <c r="DU2317" s="67"/>
      <c r="DV2317" s="67"/>
      <c r="DW2317" s="67"/>
      <c r="DX2317" s="67"/>
      <c r="DY2317" s="67"/>
      <c r="DZ2317" s="67"/>
      <c r="EA2317" s="67"/>
      <c r="EB2317" s="67"/>
      <c r="EC2317" s="67"/>
      <c r="ED2317" s="67"/>
      <c r="EE2317" s="67"/>
      <c r="EF2317" s="67"/>
      <c r="EG2317" s="67"/>
      <c r="EH2317" s="67"/>
      <c r="EI2317" s="67"/>
      <c r="EJ2317" s="67"/>
      <c r="EK2317" s="94"/>
      <c r="EL2317" s="94"/>
      <c r="EM2317" s="67"/>
      <c r="EN2317" s="67"/>
      <c r="EO2317" s="67"/>
      <c r="EP2317" s="67"/>
      <c r="EQ2317" s="67"/>
      <c r="ER2317" s="67"/>
      <c r="ES2317" s="67"/>
      <c r="ET2317" s="67"/>
      <c r="EU2317" s="67"/>
      <c r="EV2317" s="67"/>
      <c r="EW2317" s="67"/>
      <c r="EX2317" s="67"/>
      <c r="EY2317" s="67"/>
      <c r="EZ2317" s="67"/>
      <c r="FA2317" s="67"/>
      <c r="FB2317" s="67"/>
      <c r="FC2317" s="67"/>
      <c r="FD2317" s="67"/>
      <c r="FE2317" s="67"/>
      <c r="FF2317" s="67"/>
      <c r="FG2317" s="67"/>
      <c r="FH2317" s="67"/>
      <c r="FI2317" s="67"/>
      <c r="FJ2317" s="67"/>
      <c r="FK2317" s="67"/>
      <c r="FL2317" s="67"/>
      <c r="FM2317" s="67"/>
      <c r="FN2317" s="67"/>
      <c r="FO2317" s="67"/>
      <c r="FP2317" s="67"/>
      <c r="FQ2317" s="67"/>
      <c r="FR2317" s="67"/>
      <c r="FS2317" s="67"/>
      <c r="FT2317" s="67"/>
      <c r="FU2317" s="67"/>
      <c r="FV2317" s="67"/>
      <c r="FW2317" s="67"/>
      <c r="FX2317" s="67"/>
      <c r="FY2317" s="67"/>
      <c r="FZ2317" s="67"/>
      <c r="GA2317" s="67"/>
      <c r="GB2317" s="67"/>
      <c r="GC2317" s="67"/>
      <c r="GD2317" s="67"/>
      <c r="GE2317" s="67"/>
      <c r="GF2317" s="67"/>
      <c r="GG2317" s="67"/>
      <c r="GH2317" s="67"/>
      <c r="GI2317" s="67"/>
      <c r="GJ2317" s="67"/>
      <c r="GK2317" s="67"/>
      <c r="GL2317" s="67"/>
      <c r="GM2317" s="67"/>
      <c r="GN2317" s="292"/>
      <c r="GO2317" s="292"/>
      <c r="GP2317" s="292" t="s">
        <v>7494</v>
      </c>
      <c r="GQ2317" s="67"/>
      <c r="GR2317" s="67"/>
      <c r="GS2317" s="67"/>
      <c r="GT2317" s="67"/>
      <c r="GU2317" s="67"/>
      <c r="GV2317" s="67"/>
      <c r="GW2317" s="67"/>
      <c r="GX2317" s="67"/>
      <c r="GY2317" s="67"/>
      <c r="GZ2317" s="67"/>
      <c r="HA2317" s="67"/>
      <c r="HB2317" s="67"/>
      <c r="HC2317" s="67"/>
      <c r="HD2317" s="67"/>
      <c r="HE2317" s="67"/>
      <c r="HF2317" s="67"/>
      <c r="HG2317" s="67"/>
      <c r="HH2317" s="67"/>
      <c r="HI2317" s="67"/>
      <c r="HJ2317" s="67"/>
      <c r="HK2317" s="67"/>
      <c r="HL2317" s="67"/>
      <c r="HM2317" s="67"/>
      <c r="HN2317" s="67"/>
      <c r="HO2317" s="67"/>
      <c r="HP2317" s="67"/>
      <c r="HQ2317" s="67"/>
      <c r="HR2317" s="67"/>
      <c r="HS2317" s="67"/>
      <c r="HT2317" s="67"/>
      <c r="HU2317" s="67"/>
      <c r="HV2317" s="67"/>
      <c r="HW2317" s="67"/>
      <c r="HX2317" s="67"/>
      <c r="HY2317" s="67"/>
      <c r="HZ2317" s="67"/>
      <c r="IA2317" s="67"/>
      <c r="IB2317" s="67"/>
      <c r="IC2317" s="67"/>
      <c r="ID2317" s="67"/>
      <c r="IE2317" s="67"/>
      <c r="IF2317" s="67"/>
      <c r="IG2317" s="67"/>
      <c r="IH2317" s="67"/>
      <c r="II2317" s="67"/>
      <c r="IJ2317" s="67"/>
      <c r="IK2317" s="67"/>
      <c r="IL2317" s="67"/>
      <c r="IM2317" s="67"/>
      <c r="IN2317" s="67"/>
      <c r="IO2317" s="67"/>
      <c r="IP2317" s="67"/>
      <c r="IQ2317" s="67"/>
      <c r="IR2317" s="67"/>
      <c r="IS2317" s="67"/>
      <c r="IT2317" s="67"/>
      <c r="IU2317" s="67"/>
      <c r="IV2317" s="67"/>
      <c r="IW2317" s="67"/>
      <c r="IX2317" s="67"/>
      <c r="IY2317" s="67"/>
      <c r="IZ2317" s="67"/>
      <c r="JA2317" s="67"/>
      <c r="JB2317" s="67"/>
      <c r="JC2317" s="67"/>
      <c r="JD2317" s="67"/>
      <c r="JE2317" s="67"/>
      <c r="JF2317" s="67"/>
      <c r="JG2317" s="67"/>
      <c r="JH2317" s="67"/>
      <c r="JI2317" s="67"/>
      <c r="JJ2317" s="67"/>
      <c r="JK2317" s="67"/>
      <c r="JL2317" s="67"/>
      <c r="JM2317" s="67"/>
      <c r="JN2317" s="67"/>
      <c r="JO2317" s="67"/>
      <c r="JP2317" s="67"/>
      <c r="JQ2317" s="67"/>
      <c r="JR2317" s="67"/>
      <c r="JS2317" s="67"/>
      <c r="JT2317" s="67"/>
      <c r="JU2317" s="58"/>
      <c r="JV2317" s="58"/>
      <c r="JW2317" s="58"/>
    </row>
    <row r="2318" spans="1:283" s="23" customFormat="1" x14ac:dyDescent="0.25">
      <c r="A2318" s="55">
        <v>2317</v>
      </c>
      <c r="B2318" s="12" t="s">
        <v>7067</v>
      </c>
      <c r="C2318" s="156">
        <v>110</v>
      </c>
      <c r="D2318" s="58" t="s">
        <v>4197</v>
      </c>
      <c r="E2318" s="93" t="s">
        <v>2174</v>
      </c>
      <c r="F2318" s="93"/>
      <c r="G2318" s="58" t="s">
        <v>2264</v>
      </c>
      <c r="H2318" s="59">
        <v>1982</v>
      </c>
      <c r="I2318" s="58">
        <v>1977</v>
      </c>
      <c r="J2318" s="59" t="s">
        <v>1709</v>
      </c>
      <c r="K2318" s="59" t="s">
        <v>2265</v>
      </c>
      <c r="L2318" s="59" t="s">
        <v>2744</v>
      </c>
      <c r="M2318" s="94">
        <v>7.38</v>
      </c>
      <c r="N2318" s="94">
        <v>3.95</v>
      </c>
      <c r="O2318" s="93">
        <v>229.3</v>
      </c>
      <c r="P2318" s="59"/>
      <c r="Q2318" s="58"/>
      <c r="R2318" s="59"/>
      <c r="S2318" s="94"/>
      <c r="T2318" s="58"/>
      <c r="U2318" s="58">
        <v>4</v>
      </c>
      <c r="V2318" s="59">
        <v>4</v>
      </c>
      <c r="W2318" s="174"/>
      <c r="X2318" s="174"/>
      <c r="Y2318" s="58" t="s">
        <v>2266</v>
      </c>
      <c r="Z2318" s="58" t="s">
        <v>1355</v>
      </c>
      <c r="AA2318" s="94">
        <v>10</v>
      </c>
      <c r="AB2318" s="67"/>
      <c r="AC2318" s="67"/>
      <c r="AD2318" s="94">
        <v>1.31</v>
      </c>
      <c r="AE2318" s="93">
        <v>69.3</v>
      </c>
      <c r="AF2318" s="93">
        <v>9.5</v>
      </c>
      <c r="AG2318" s="93"/>
      <c r="AH2318" s="58" t="s">
        <v>238</v>
      </c>
      <c r="AI2318" s="169"/>
      <c r="AJ2318" s="94">
        <v>1.7</v>
      </c>
      <c r="AK2318" s="94"/>
      <c r="AL2318" s="58"/>
      <c r="AM2318" s="59" t="s">
        <v>2267</v>
      </c>
      <c r="AN2318" s="188" t="s">
        <v>2272</v>
      </c>
      <c r="AO2318" s="185" t="s">
        <v>5150</v>
      </c>
      <c r="AP2318" s="59"/>
      <c r="AQ2318" s="58" t="s">
        <v>1545</v>
      </c>
      <c r="AR2318" s="59" t="s">
        <v>2283</v>
      </c>
      <c r="AS2318" s="58" t="s">
        <v>227</v>
      </c>
      <c r="AT2318" s="182"/>
      <c r="AU2318" s="181" t="s">
        <v>7494</v>
      </c>
      <c r="AV2318" s="185" t="s">
        <v>176</v>
      </c>
      <c r="AW2318" s="58"/>
      <c r="AX2318" s="185" t="s">
        <v>176</v>
      </c>
      <c r="AY2318" s="58"/>
      <c r="AZ2318" s="59"/>
      <c r="BA2318" s="58"/>
      <c r="BB2318" s="58"/>
      <c r="BC2318" s="58"/>
      <c r="BD2318" s="58"/>
      <c r="BE2318" s="240"/>
      <c r="BF2318" s="59"/>
      <c r="BG2318" s="59"/>
      <c r="BH2318" s="236"/>
      <c r="BI2318" s="58"/>
      <c r="BJ2318" s="58"/>
      <c r="BK2318" s="58" t="s">
        <v>5976</v>
      </c>
      <c r="BL2318" s="58"/>
      <c r="BM2318" s="241" t="s">
        <v>160</v>
      </c>
      <c r="BN2318" s="58">
        <v>3</v>
      </c>
      <c r="BO2318" s="58">
        <v>3</v>
      </c>
      <c r="BP2318" s="59"/>
      <c r="BQ2318" s="58" t="s">
        <v>141</v>
      </c>
      <c r="BR2318" s="58"/>
      <c r="BS2318" s="58"/>
      <c r="BT2318" s="58"/>
      <c r="BU2318" s="58" t="s">
        <v>2280</v>
      </c>
      <c r="BV2318" s="58"/>
      <c r="BW2318" s="67"/>
      <c r="BX2318" s="67"/>
      <c r="BY2318" s="67"/>
      <c r="BZ2318" s="67"/>
      <c r="CA2318" s="67"/>
      <c r="CB2318" s="153">
        <v>1440</v>
      </c>
      <c r="CC2318" s="68">
        <v>140</v>
      </c>
      <c r="CD2318" s="68"/>
      <c r="CE2318" s="67"/>
      <c r="CF2318" s="67"/>
      <c r="CG2318" s="67" t="s">
        <v>2284</v>
      </c>
      <c r="CH2318" s="94"/>
      <c r="CI2318" s="94"/>
      <c r="CJ2318" s="67"/>
      <c r="CK2318" s="67"/>
      <c r="CL2318" s="67"/>
      <c r="CM2318" s="67"/>
      <c r="CN2318" s="67"/>
      <c r="CO2318" s="67"/>
      <c r="CP2318" s="67"/>
      <c r="CQ2318" s="67"/>
      <c r="CR2318" s="67"/>
      <c r="CS2318" s="67"/>
      <c r="CT2318" s="67"/>
      <c r="CU2318" s="67"/>
      <c r="CV2318" s="67"/>
      <c r="CW2318" s="67"/>
      <c r="CX2318" s="67"/>
      <c r="CY2318" s="67"/>
      <c r="CZ2318" s="67"/>
      <c r="DA2318" s="67"/>
      <c r="DB2318" s="67"/>
      <c r="DC2318" s="67"/>
      <c r="DD2318" s="67"/>
      <c r="DE2318" s="67"/>
      <c r="DF2318" s="67"/>
      <c r="DG2318" s="67"/>
      <c r="DH2318" s="67"/>
      <c r="DI2318" s="67"/>
      <c r="DJ2318" s="67"/>
      <c r="DK2318" s="67"/>
      <c r="DL2318" s="67"/>
      <c r="DM2318" s="67"/>
      <c r="DN2318" s="67"/>
      <c r="DO2318" s="67"/>
      <c r="DP2318" s="67"/>
      <c r="DQ2318" s="166"/>
      <c r="DR2318" s="166"/>
      <c r="DS2318" s="163"/>
      <c r="DT2318" s="163"/>
      <c r="DU2318" s="67"/>
      <c r="DV2318" s="67"/>
      <c r="DW2318" s="67"/>
      <c r="DX2318" s="67"/>
      <c r="DY2318" s="67"/>
      <c r="DZ2318" s="67"/>
      <c r="EA2318" s="67"/>
      <c r="EB2318" s="67"/>
      <c r="EC2318" s="67"/>
      <c r="ED2318" s="67"/>
      <c r="EE2318" s="67"/>
      <c r="EF2318" s="67"/>
      <c r="EG2318" s="67"/>
      <c r="EH2318" s="67"/>
      <c r="EI2318" s="67"/>
      <c r="EJ2318" s="67"/>
      <c r="EK2318" s="94"/>
      <c r="EL2318" s="94"/>
      <c r="EM2318" s="67"/>
      <c r="EN2318" s="67"/>
      <c r="EO2318" s="67"/>
      <c r="EP2318" s="67"/>
      <c r="EQ2318" s="67"/>
      <c r="ER2318" s="67"/>
      <c r="ES2318" s="67"/>
      <c r="ET2318" s="67"/>
      <c r="EU2318" s="67"/>
      <c r="EV2318" s="67"/>
      <c r="EW2318" s="67"/>
      <c r="EX2318" s="67"/>
      <c r="EY2318" s="67"/>
      <c r="EZ2318" s="67"/>
      <c r="FA2318" s="67"/>
      <c r="FB2318" s="67"/>
      <c r="FC2318" s="67"/>
      <c r="FD2318" s="67"/>
      <c r="FE2318" s="67"/>
      <c r="FF2318" s="67"/>
      <c r="FG2318" s="67"/>
      <c r="FH2318" s="67"/>
      <c r="FI2318" s="67"/>
      <c r="FJ2318" s="67"/>
      <c r="FK2318" s="67"/>
      <c r="FL2318" s="67"/>
      <c r="FM2318" s="67"/>
      <c r="FN2318" s="67"/>
      <c r="FO2318" s="67"/>
      <c r="FP2318" s="67"/>
      <c r="FQ2318" s="67"/>
      <c r="FR2318" s="67"/>
      <c r="FS2318" s="67"/>
      <c r="FT2318" s="67"/>
      <c r="FU2318" s="67"/>
      <c r="FV2318" s="67"/>
      <c r="FW2318" s="67"/>
      <c r="FX2318" s="67"/>
      <c r="FY2318" s="67"/>
      <c r="FZ2318" s="67"/>
      <c r="GA2318" s="67"/>
      <c r="GB2318" s="67"/>
      <c r="GC2318" s="67"/>
      <c r="GD2318" s="67"/>
      <c r="GE2318" s="67"/>
      <c r="GF2318" s="67"/>
      <c r="GG2318" s="67"/>
      <c r="GH2318" s="67"/>
      <c r="GI2318" s="67"/>
      <c r="GJ2318" s="67"/>
      <c r="GK2318" s="67"/>
      <c r="GL2318" s="67"/>
      <c r="GM2318" s="67"/>
      <c r="GN2318" s="292"/>
      <c r="GO2318" s="292"/>
      <c r="GP2318" s="292" t="s">
        <v>7494</v>
      </c>
      <c r="GQ2318" s="67"/>
      <c r="GR2318" s="67"/>
      <c r="GS2318" s="67"/>
      <c r="GT2318" s="67"/>
      <c r="GU2318" s="67"/>
      <c r="GV2318" s="67"/>
      <c r="GW2318" s="67"/>
      <c r="GX2318" s="67"/>
      <c r="GY2318" s="67"/>
      <c r="GZ2318" s="67"/>
      <c r="HA2318" s="67"/>
      <c r="HB2318" s="67"/>
      <c r="HC2318" s="67"/>
      <c r="HD2318" s="67"/>
      <c r="HE2318" s="67"/>
      <c r="HF2318" s="67"/>
      <c r="HG2318" s="67"/>
      <c r="HH2318" s="67"/>
      <c r="HI2318" s="67"/>
      <c r="HJ2318" s="67"/>
      <c r="HK2318" s="67"/>
      <c r="HL2318" s="67"/>
      <c r="HM2318" s="67"/>
      <c r="HN2318" s="67"/>
      <c r="HO2318" s="67"/>
      <c r="HP2318" s="67"/>
      <c r="HQ2318" s="67"/>
      <c r="HR2318" s="67"/>
      <c r="HS2318" s="67"/>
      <c r="HT2318" s="67"/>
      <c r="HU2318" s="67"/>
      <c r="HV2318" s="67"/>
      <c r="HW2318" s="67"/>
      <c r="HX2318" s="67"/>
      <c r="HY2318" s="67"/>
      <c r="HZ2318" s="67"/>
      <c r="IA2318" s="67"/>
      <c r="IB2318" s="67"/>
      <c r="IC2318" s="67"/>
      <c r="ID2318" s="67"/>
      <c r="IE2318" s="67"/>
      <c r="IF2318" s="67"/>
      <c r="IG2318" s="67"/>
      <c r="IH2318" s="67"/>
      <c r="II2318" s="67"/>
      <c r="IJ2318" s="67"/>
      <c r="IK2318" s="67"/>
      <c r="IL2318" s="67"/>
      <c r="IM2318" s="67"/>
      <c r="IN2318" s="67"/>
      <c r="IO2318" s="67"/>
      <c r="IP2318" s="67"/>
      <c r="IQ2318" s="67"/>
      <c r="IR2318" s="67"/>
      <c r="IS2318" s="67"/>
      <c r="IT2318" s="67"/>
      <c r="IU2318" s="67"/>
      <c r="IV2318" s="67"/>
      <c r="IW2318" s="67"/>
      <c r="IX2318" s="67"/>
      <c r="IY2318" s="67"/>
      <c r="IZ2318" s="67"/>
      <c r="JA2318" s="67"/>
      <c r="JB2318" s="67"/>
      <c r="JC2318" s="67"/>
      <c r="JD2318" s="67"/>
      <c r="JE2318" s="67"/>
      <c r="JF2318" s="67"/>
      <c r="JG2318" s="67"/>
      <c r="JH2318" s="67"/>
      <c r="JI2318" s="67"/>
      <c r="JJ2318" s="67"/>
      <c r="JK2318" s="67"/>
      <c r="JL2318" s="67"/>
      <c r="JM2318" s="67"/>
      <c r="JN2318" s="67"/>
      <c r="JO2318" s="67"/>
      <c r="JP2318" s="67"/>
      <c r="JQ2318" s="67"/>
      <c r="JR2318" s="67"/>
      <c r="JS2318" s="67"/>
      <c r="JT2318" s="67"/>
      <c r="JU2318" s="58"/>
      <c r="JV2318" s="58"/>
      <c r="JW2318" s="58"/>
    </row>
    <row r="2319" spans="1:283" s="23" customFormat="1" x14ac:dyDescent="0.25">
      <c r="A2319" s="55">
        <v>2318</v>
      </c>
      <c r="B2319" s="12" t="s">
        <v>7067</v>
      </c>
      <c r="C2319" s="156">
        <v>110</v>
      </c>
      <c r="D2319" s="58" t="s">
        <v>4197</v>
      </c>
      <c r="E2319" s="93" t="s">
        <v>2174</v>
      </c>
      <c r="F2319" s="93"/>
      <c r="G2319" s="58" t="s">
        <v>2264</v>
      </c>
      <c r="H2319" s="59">
        <v>1982</v>
      </c>
      <c r="I2319" s="58">
        <v>1977</v>
      </c>
      <c r="J2319" s="59" t="s">
        <v>1709</v>
      </c>
      <c r="K2319" s="59" t="s">
        <v>2265</v>
      </c>
      <c r="L2319" s="59" t="s">
        <v>2744</v>
      </c>
      <c r="M2319" s="94">
        <v>7.38</v>
      </c>
      <c r="N2319" s="94">
        <v>3.95</v>
      </c>
      <c r="O2319" s="93">
        <v>229.3</v>
      </c>
      <c r="P2319" s="59"/>
      <c r="Q2319" s="58"/>
      <c r="R2319" s="59"/>
      <c r="S2319" s="94"/>
      <c r="T2319" s="58"/>
      <c r="U2319" s="58">
        <v>4</v>
      </c>
      <c r="V2319" s="59">
        <v>4</v>
      </c>
      <c r="W2319" s="174"/>
      <c r="X2319" s="174"/>
      <c r="Y2319" s="58" t="s">
        <v>2266</v>
      </c>
      <c r="Z2319" s="58" t="s">
        <v>1355</v>
      </c>
      <c r="AA2319" s="94">
        <v>10</v>
      </c>
      <c r="AB2319" s="67"/>
      <c r="AC2319" s="67"/>
      <c r="AD2319" s="94">
        <v>1.31</v>
      </c>
      <c r="AE2319" s="93">
        <v>69.3</v>
      </c>
      <c r="AF2319" s="93">
        <v>9.5</v>
      </c>
      <c r="AG2319" s="93"/>
      <c r="AH2319" s="58" t="s">
        <v>238</v>
      </c>
      <c r="AI2319" s="169"/>
      <c r="AJ2319" s="94">
        <v>1.7</v>
      </c>
      <c r="AK2319" s="94"/>
      <c r="AL2319" s="58"/>
      <c r="AM2319" s="59" t="s">
        <v>2267</v>
      </c>
      <c r="AN2319" s="188" t="s">
        <v>2273</v>
      </c>
      <c r="AO2319" s="185" t="s">
        <v>5150</v>
      </c>
      <c r="AP2319" s="59"/>
      <c r="AQ2319" s="58" t="s">
        <v>1545</v>
      </c>
      <c r="AR2319" s="59" t="s">
        <v>2283</v>
      </c>
      <c r="AS2319" s="58" t="s">
        <v>227</v>
      </c>
      <c r="AT2319" s="182"/>
      <c r="AU2319" s="181" t="s">
        <v>7494</v>
      </c>
      <c r="AV2319" s="185" t="s">
        <v>176</v>
      </c>
      <c r="AW2319" s="58"/>
      <c r="AX2319" s="185" t="s">
        <v>176</v>
      </c>
      <c r="AY2319" s="58"/>
      <c r="AZ2319" s="59"/>
      <c r="BA2319" s="58"/>
      <c r="BB2319" s="58"/>
      <c r="BC2319" s="58"/>
      <c r="BD2319" s="58"/>
      <c r="BE2319" s="240"/>
      <c r="BF2319" s="59"/>
      <c r="BG2319" s="59"/>
      <c r="BH2319" s="236"/>
      <c r="BI2319" s="58"/>
      <c r="BJ2319" s="58"/>
      <c r="BK2319" s="58" t="s">
        <v>5976</v>
      </c>
      <c r="BL2319" s="58"/>
      <c r="BM2319" s="241" t="s">
        <v>160</v>
      </c>
      <c r="BN2319" s="58">
        <v>3</v>
      </c>
      <c r="BO2319" s="58">
        <v>3</v>
      </c>
      <c r="BP2319" s="59"/>
      <c r="BQ2319" s="58" t="s">
        <v>141</v>
      </c>
      <c r="BR2319" s="58"/>
      <c r="BS2319" s="58"/>
      <c r="BT2319" s="58"/>
      <c r="BU2319" s="58" t="s">
        <v>2280</v>
      </c>
      <c r="BV2319" s="58"/>
      <c r="BW2319" s="67"/>
      <c r="BX2319" s="67"/>
      <c r="BY2319" s="67"/>
      <c r="BZ2319" s="67"/>
      <c r="CA2319" s="67"/>
      <c r="CB2319" s="153"/>
      <c r="CC2319" s="68"/>
      <c r="CD2319" s="68"/>
      <c r="CE2319" s="67"/>
      <c r="CF2319" s="67"/>
      <c r="CG2319" s="67" t="s">
        <v>2284</v>
      </c>
      <c r="CH2319" s="94"/>
      <c r="CI2319" s="94"/>
      <c r="CJ2319" s="67"/>
      <c r="CK2319" s="67"/>
      <c r="CL2319" s="67"/>
      <c r="CM2319" s="67"/>
      <c r="CN2319" s="67"/>
      <c r="CO2319" s="67"/>
      <c r="CP2319" s="67"/>
      <c r="CQ2319" s="67"/>
      <c r="CR2319" s="67"/>
      <c r="CS2319" s="67"/>
      <c r="CT2319" s="67"/>
      <c r="CU2319" s="67"/>
      <c r="CV2319" s="67"/>
      <c r="CW2319" s="67"/>
      <c r="CX2319" s="67"/>
      <c r="CY2319" s="67"/>
      <c r="CZ2319" s="67"/>
      <c r="DA2319" s="67"/>
      <c r="DB2319" s="67"/>
      <c r="DC2319" s="67"/>
      <c r="DD2319" s="67"/>
      <c r="DE2319" s="67"/>
      <c r="DF2319" s="67"/>
      <c r="DG2319" s="67"/>
      <c r="DH2319" s="67"/>
      <c r="DI2319" s="67"/>
      <c r="DJ2319" s="67"/>
      <c r="DK2319" s="67"/>
      <c r="DL2319" s="67"/>
      <c r="DM2319" s="67"/>
      <c r="DN2319" s="67"/>
      <c r="DO2319" s="67"/>
      <c r="DP2319" s="67"/>
      <c r="DQ2319" s="166"/>
      <c r="DR2319" s="166"/>
      <c r="DS2319" s="163"/>
      <c r="DT2319" s="163"/>
      <c r="DU2319" s="67"/>
      <c r="DV2319" s="67"/>
      <c r="DW2319" s="67"/>
      <c r="DX2319" s="67"/>
      <c r="DY2319" s="67"/>
      <c r="DZ2319" s="67"/>
      <c r="EA2319" s="67"/>
      <c r="EB2319" s="67"/>
      <c r="EC2319" s="67"/>
      <c r="ED2319" s="67"/>
      <c r="EE2319" s="67"/>
      <c r="EF2319" s="67"/>
      <c r="EG2319" s="67"/>
      <c r="EH2319" s="67"/>
      <c r="EI2319" s="67"/>
      <c r="EJ2319" s="67"/>
      <c r="EK2319" s="94"/>
      <c r="EL2319" s="94"/>
      <c r="EM2319" s="67"/>
      <c r="EN2319" s="67"/>
      <c r="EO2319" s="67"/>
      <c r="EP2319" s="67"/>
      <c r="EQ2319" s="67"/>
      <c r="ER2319" s="67"/>
      <c r="ES2319" s="67"/>
      <c r="ET2319" s="67"/>
      <c r="EU2319" s="67"/>
      <c r="EV2319" s="67"/>
      <c r="EW2319" s="67"/>
      <c r="EX2319" s="67"/>
      <c r="EY2319" s="67"/>
      <c r="EZ2319" s="67"/>
      <c r="FA2319" s="67"/>
      <c r="FB2319" s="67"/>
      <c r="FC2319" s="67"/>
      <c r="FD2319" s="67"/>
      <c r="FE2319" s="67"/>
      <c r="FF2319" s="67"/>
      <c r="FG2319" s="67"/>
      <c r="FH2319" s="67"/>
      <c r="FI2319" s="67"/>
      <c r="FJ2319" s="67"/>
      <c r="FK2319" s="67"/>
      <c r="FL2319" s="67"/>
      <c r="FM2319" s="67"/>
      <c r="FN2319" s="67"/>
      <c r="FO2319" s="67"/>
      <c r="FP2319" s="67"/>
      <c r="FQ2319" s="67"/>
      <c r="FR2319" s="67"/>
      <c r="FS2319" s="67"/>
      <c r="FT2319" s="67"/>
      <c r="FU2319" s="67"/>
      <c r="FV2319" s="67"/>
      <c r="FW2319" s="67"/>
      <c r="FX2319" s="67"/>
      <c r="FY2319" s="67"/>
      <c r="FZ2319" s="67"/>
      <c r="GA2319" s="67"/>
      <c r="GB2319" s="67"/>
      <c r="GC2319" s="67"/>
      <c r="GD2319" s="67"/>
      <c r="GE2319" s="67"/>
      <c r="GF2319" s="67"/>
      <c r="GG2319" s="67"/>
      <c r="GH2319" s="67"/>
      <c r="GI2319" s="67"/>
      <c r="GJ2319" s="67"/>
      <c r="GK2319" s="67"/>
      <c r="GL2319" s="67"/>
      <c r="GM2319" s="67"/>
      <c r="GN2319" s="292"/>
      <c r="GO2319" s="292"/>
      <c r="GP2319" s="292" t="s">
        <v>7494</v>
      </c>
      <c r="GQ2319" s="67"/>
      <c r="GR2319" s="67"/>
      <c r="GS2319" s="67"/>
      <c r="GT2319" s="67"/>
      <c r="GU2319" s="67"/>
      <c r="GV2319" s="67"/>
      <c r="GW2319" s="67"/>
      <c r="GX2319" s="67"/>
      <c r="GY2319" s="67"/>
      <c r="GZ2319" s="67"/>
      <c r="HA2319" s="67"/>
      <c r="HB2319" s="67"/>
      <c r="HC2319" s="67"/>
      <c r="HD2319" s="67"/>
      <c r="HE2319" s="67"/>
      <c r="HF2319" s="67"/>
      <c r="HG2319" s="67"/>
      <c r="HH2319" s="67"/>
      <c r="HI2319" s="67"/>
      <c r="HJ2319" s="67"/>
      <c r="HK2319" s="67"/>
      <c r="HL2319" s="67"/>
      <c r="HM2319" s="67"/>
      <c r="HN2319" s="67"/>
      <c r="HO2319" s="67"/>
      <c r="HP2319" s="67"/>
      <c r="HQ2319" s="67"/>
      <c r="HR2319" s="67"/>
      <c r="HS2319" s="67"/>
      <c r="HT2319" s="67"/>
      <c r="HU2319" s="67"/>
      <c r="HV2319" s="67"/>
      <c r="HW2319" s="67"/>
      <c r="HX2319" s="67"/>
      <c r="HY2319" s="67"/>
      <c r="HZ2319" s="67"/>
      <c r="IA2319" s="67"/>
      <c r="IB2319" s="67"/>
      <c r="IC2319" s="67"/>
      <c r="ID2319" s="67"/>
      <c r="IE2319" s="67"/>
      <c r="IF2319" s="67"/>
      <c r="IG2319" s="67"/>
      <c r="IH2319" s="67"/>
      <c r="II2319" s="67"/>
      <c r="IJ2319" s="67"/>
      <c r="IK2319" s="67"/>
      <c r="IL2319" s="67"/>
      <c r="IM2319" s="67"/>
      <c r="IN2319" s="67"/>
      <c r="IO2319" s="67"/>
      <c r="IP2319" s="67"/>
      <c r="IQ2319" s="67"/>
      <c r="IR2319" s="67"/>
      <c r="IS2319" s="67"/>
      <c r="IT2319" s="67"/>
      <c r="IU2319" s="67"/>
      <c r="IV2319" s="67"/>
      <c r="IW2319" s="67"/>
      <c r="IX2319" s="67"/>
      <c r="IY2319" s="67"/>
      <c r="IZ2319" s="67"/>
      <c r="JA2319" s="67"/>
      <c r="JB2319" s="67"/>
      <c r="JC2319" s="67"/>
      <c r="JD2319" s="67"/>
      <c r="JE2319" s="67"/>
      <c r="JF2319" s="67"/>
      <c r="JG2319" s="67"/>
      <c r="JH2319" s="67"/>
      <c r="JI2319" s="67"/>
      <c r="JJ2319" s="67"/>
      <c r="JK2319" s="67"/>
      <c r="JL2319" s="67"/>
      <c r="JM2319" s="67"/>
      <c r="JN2319" s="67"/>
      <c r="JO2319" s="67"/>
      <c r="JP2319" s="67"/>
      <c r="JQ2319" s="67"/>
      <c r="JR2319" s="67"/>
      <c r="JS2319" s="67"/>
      <c r="JT2319" s="67"/>
      <c r="JU2319" s="58"/>
      <c r="JV2319" s="58"/>
      <c r="JW2319" s="58"/>
    </row>
    <row r="2320" spans="1:283" s="23" customFormat="1" x14ac:dyDescent="0.25">
      <c r="A2320" s="55">
        <v>2319</v>
      </c>
      <c r="B2320" s="12" t="s">
        <v>7067</v>
      </c>
      <c r="C2320" s="156">
        <v>110</v>
      </c>
      <c r="D2320" s="58" t="s">
        <v>4198</v>
      </c>
      <c r="E2320" s="93" t="s">
        <v>2174</v>
      </c>
      <c r="F2320" s="93"/>
      <c r="G2320" s="58" t="s">
        <v>2264</v>
      </c>
      <c r="H2320" s="59">
        <v>1982</v>
      </c>
      <c r="I2320" s="58">
        <v>1977</v>
      </c>
      <c r="J2320" s="59" t="s">
        <v>1709</v>
      </c>
      <c r="K2320" s="59" t="s">
        <v>2265</v>
      </c>
      <c r="L2320" s="59" t="s">
        <v>2744</v>
      </c>
      <c r="M2320" s="94">
        <v>7.38</v>
      </c>
      <c r="N2320" s="94">
        <v>3.95</v>
      </c>
      <c r="O2320" s="93">
        <v>229.3</v>
      </c>
      <c r="P2320" s="59"/>
      <c r="Q2320" s="58"/>
      <c r="R2320" s="59"/>
      <c r="S2320" s="94"/>
      <c r="T2320" s="58"/>
      <c r="U2320" s="58">
        <v>4</v>
      </c>
      <c r="V2320" s="59">
        <v>4</v>
      </c>
      <c r="W2320" s="174"/>
      <c r="X2320" s="174"/>
      <c r="Y2320" s="58" t="s">
        <v>2266</v>
      </c>
      <c r="Z2320" s="58" t="s">
        <v>1355</v>
      </c>
      <c r="AA2320" s="94">
        <v>10</v>
      </c>
      <c r="AB2320" s="67"/>
      <c r="AC2320" s="67"/>
      <c r="AD2320" s="94">
        <v>1.31</v>
      </c>
      <c r="AE2320" s="93">
        <v>69.3</v>
      </c>
      <c r="AF2320" s="93">
        <v>9.5</v>
      </c>
      <c r="AG2320" s="93"/>
      <c r="AH2320" s="58" t="s">
        <v>238</v>
      </c>
      <c r="AI2320" s="169"/>
      <c r="AJ2320" s="94">
        <v>1.7</v>
      </c>
      <c r="AK2320" s="94"/>
      <c r="AL2320" s="58"/>
      <c r="AM2320" s="59" t="s">
        <v>2267</v>
      </c>
      <c r="AN2320" s="188" t="s">
        <v>2274</v>
      </c>
      <c r="AO2320" s="185" t="s">
        <v>5150</v>
      </c>
      <c r="AP2320" s="59"/>
      <c r="AQ2320" s="58" t="s">
        <v>553</v>
      </c>
      <c r="AR2320" s="59" t="s">
        <v>2283</v>
      </c>
      <c r="AS2320" s="58" t="s">
        <v>227</v>
      </c>
      <c r="AT2320" s="182"/>
      <c r="AU2320" s="181" t="s">
        <v>7494</v>
      </c>
      <c r="AV2320" s="185" t="s">
        <v>176</v>
      </c>
      <c r="AW2320" s="58"/>
      <c r="AX2320" s="185" t="s">
        <v>176</v>
      </c>
      <c r="AY2320" s="58"/>
      <c r="AZ2320" s="59"/>
      <c r="BA2320" s="58"/>
      <c r="BB2320" s="58"/>
      <c r="BC2320" s="58"/>
      <c r="BD2320" s="58"/>
      <c r="BE2320" s="240"/>
      <c r="BF2320" s="59"/>
      <c r="BG2320" s="59"/>
      <c r="BH2320" s="236"/>
      <c r="BI2320" s="58"/>
      <c r="BJ2320" s="58"/>
      <c r="BK2320" s="58" t="s">
        <v>5976</v>
      </c>
      <c r="BL2320" s="58"/>
      <c r="BM2320" s="241" t="s">
        <v>160</v>
      </c>
      <c r="BN2320" s="58">
        <v>3</v>
      </c>
      <c r="BO2320" s="58">
        <v>3</v>
      </c>
      <c r="BP2320" s="59"/>
      <c r="BQ2320" s="58" t="s">
        <v>141</v>
      </c>
      <c r="BR2320" s="58"/>
      <c r="BS2320" s="58"/>
      <c r="BT2320" s="58"/>
      <c r="BU2320" s="58" t="s">
        <v>2280</v>
      </c>
      <c r="BV2320" s="58"/>
      <c r="BW2320" s="67"/>
      <c r="BX2320" s="67"/>
      <c r="BY2320" s="67"/>
      <c r="BZ2320" s="67"/>
      <c r="CA2320" s="67"/>
      <c r="CB2320" s="153">
        <v>1440</v>
      </c>
      <c r="CC2320" s="68">
        <v>580</v>
      </c>
      <c r="CD2320" s="68"/>
      <c r="CE2320" s="67"/>
      <c r="CF2320" s="67"/>
      <c r="CG2320" s="67" t="s">
        <v>2284</v>
      </c>
      <c r="CH2320" s="94"/>
      <c r="CI2320" s="94"/>
      <c r="CJ2320" s="67"/>
      <c r="CK2320" s="67"/>
      <c r="CL2320" s="67"/>
      <c r="CM2320" s="67"/>
      <c r="CN2320" s="67"/>
      <c r="CO2320" s="67"/>
      <c r="CP2320" s="67"/>
      <c r="CQ2320" s="67"/>
      <c r="CR2320" s="67"/>
      <c r="CS2320" s="67"/>
      <c r="CT2320" s="67"/>
      <c r="CU2320" s="67"/>
      <c r="CV2320" s="67"/>
      <c r="CW2320" s="67"/>
      <c r="CX2320" s="67"/>
      <c r="CY2320" s="67"/>
      <c r="CZ2320" s="67"/>
      <c r="DA2320" s="67"/>
      <c r="DB2320" s="67"/>
      <c r="DC2320" s="67"/>
      <c r="DD2320" s="67"/>
      <c r="DE2320" s="67"/>
      <c r="DF2320" s="67"/>
      <c r="DG2320" s="67"/>
      <c r="DH2320" s="67"/>
      <c r="DI2320" s="67"/>
      <c r="DJ2320" s="67"/>
      <c r="DK2320" s="67"/>
      <c r="DL2320" s="67"/>
      <c r="DM2320" s="67"/>
      <c r="DN2320" s="67"/>
      <c r="DO2320" s="67"/>
      <c r="DP2320" s="67"/>
      <c r="DQ2320" s="166"/>
      <c r="DR2320" s="166"/>
      <c r="DS2320" s="163"/>
      <c r="DT2320" s="163"/>
      <c r="DU2320" s="67"/>
      <c r="DV2320" s="67"/>
      <c r="DW2320" s="67"/>
      <c r="DX2320" s="67"/>
      <c r="DY2320" s="67"/>
      <c r="DZ2320" s="67"/>
      <c r="EA2320" s="67"/>
      <c r="EB2320" s="67"/>
      <c r="EC2320" s="67"/>
      <c r="ED2320" s="67"/>
      <c r="EE2320" s="67"/>
      <c r="EF2320" s="67"/>
      <c r="EG2320" s="67"/>
      <c r="EH2320" s="67"/>
      <c r="EI2320" s="67"/>
      <c r="EJ2320" s="67"/>
      <c r="EK2320" s="94"/>
      <c r="EL2320" s="94"/>
      <c r="EM2320" s="67"/>
      <c r="EN2320" s="67"/>
      <c r="EO2320" s="67"/>
      <c r="EP2320" s="67"/>
      <c r="EQ2320" s="67"/>
      <c r="ER2320" s="67"/>
      <c r="ES2320" s="67"/>
      <c r="ET2320" s="67"/>
      <c r="EU2320" s="67"/>
      <c r="EV2320" s="67"/>
      <c r="EW2320" s="67"/>
      <c r="EX2320" s="67"/>
      <c r="EY2320" s="67"/>
      <c r="EZ2320" s="67"/>
      <c r="FA2320" s="67"/>
      <c r="FB2320" s="67"/>
      <c r="FC2320" s="67"/>
      <c r="FD2320" s="67"/>
      <c r="FE2320" s="67"/>
      <c r="FF2320" s="67"/>
      <c r="FG2320" s="67"/>
      <c r="FH2320" s="67"/>
      <c r="FI2320" s="67"/>
      <c r="FJ2320" s="67"/>
      <c r="FK2320" s="67"/>
      <c r="FL2320" s="67"/>
      <c r="FM2320" s="67"/>
      <c r="FN2320" s="67"/>
      <c r="FO2320" s="67"/>
      <c r="FP2320" s="67"/>
      <c r="FQ2320" s="67"/>
      <c r="FR2320" s="67"/>
      <c r="FS2320" s="67"/>
      <c r="FT2320" s="67"/>
      <c r="FU2320" s="67"/>
      <c r="FV2320" s="67"/>
      <c r="FW2320" s="67"/>
      <c r="FX2320" s="67"/>
      <c r="FY2320" s="67"/>
      <c r="FZ2320" s="67"/>
      <c r="GA2320" s="67"/>
      <c r="GB2320" s="67"/>
      <c r="GC2320" s="67"/>
      <c r="GD2320" s="67"/>
      <c r="GE2320" s="67"/>
      <c r="GF2320" s="67"/>
      <c r="GG2320" s="67"/>
      <c r="GH2320" s="67"/>
      <c r="GI2320" s="67"/>
      <c r="GJ2320" s="67"/>
      <c r="GK2320" s="67"/>
      <c r="GL2320" s="67"/>
      <c r="GM2320" s="67"/>
      <c r="GN2320" s="292"/>
      <c r="GO2320" s="292"/>
      <c r="GP2320" s="292" t="s">
        <v>7494</v>
      </c>
      <c r="GQ2320" s="67"/>
      <c r="GR2320" s="67"/>
      <c r="GS2320" s="67"/>
      <c r="GT2320" s="67"/>
      <c r="GU2320" s="67"/>
      <c r="GV2320" s="67"/>
      <c r="GW2320" s="67"/>
      <c r="GX2320" s="67"/>
      <c r="GY2320" s="67"/>
      <c r="GZ2320" s="67"/>
      <c r="HA2320" s="67"/>
      <c r="HB2320" s="67"/>
      <c r="HC2320" s="67"/>
      <c r="HD2320" s="67"/>
      <c r="HE2320" s="67"/>
      <c r="HF2320" s="67"/>
      <c r="HG2320" s="67"/>
      <c r="HH2320" s="67"/>
      <c r="HI2320" s="67"/>
      <c r="HJ2320" s="67"/>
      <c r="HK2320" s="67"/>
      <c r="HL2320" s="67"/>
      <c r="HM2320" s="67"/>
      <c r="HN2320" s="67"/>
      <c r="HO2320" s="67"/>
      <c r="HP2320" s="67"/>
      <c r="HQ2320" s="67"/>
      <c r="HR2320" s="67"/>
      <c r="HS2320" s="67"/>
      <c r="HT2320" s="67"/>
      <c r="HU2320" s="67"/>
      <c r="HV2320" s="67"/>
      <c r="HW2320" s="67"/>
      <c r="HX2320" s="67"/>
      <c r="HY2320" s="67"/>
      <c r="HZ2320" s="67"/>
      <c r="IA2320" s="67"/>
      <c r="IB2320" s="67"/>
      <c r="IC2320" s="67"/>
      <c r="ID2320" s="67"/>
      <c r="IE2320" s="67"/>
      <c r="IF2320" s="67"/>
      <c r="IG2320" s="67"/>
      <c r="IH2320" s="67"/>
      <c r="II2320" s="67"/>
      <c r="IJ2320" s="67"/>
      <c r="IK2320" s="67"/>
      <c r="IL2320" s="67"/>
      <c r="IM2320" s="67"/>
      <c r="IN2320" s="67"/>
      <c r="IO2320" s="67"/>
      <c r="IP2320" s="67"/>
      <c r="IQ2320" s="67"/>
      <c r="IR2320" s="67"/>
      <c r="IS2320" s="67"/>
      <c r="IT2320" s="67"/>
      <c r="IU2320" s="67"/>
      <c r="IV2320" s="67"/>
      <c r="IW2320" s="67"/>
      <c r="IX2320" s="67"/>
      <c r="IY2320" s="67"/>
      <c r="IZ2320" s="67"/>
      <c r="JA2320" s="67"/>
      <c r="JB2320" s="67"/>
      <c r="JC2320" s="67"/>
      <c r="JD2320" s="67"/>
      <c r="JE2320" s="67"/>
      <c r="JF2320" s="67"/>
      <c r="JG2320" s="67"/>
      <c r="JH2320" s="67"/>
      <c r="JI2320" s="67"/>
      <c r="JJ2320" s="67"/>
      <c r="JK2320" s="67"/>
      <c r="JL2320" s="67"/>
      <c r="JM2320" s="67"/>
      <c r="JN2320" s="67"/>
      <c r="JO2320" s="67"/>
      <c r="JP2320" s="67"/>
      <c r="JQ2320" s="67"/>
      <c r="JR2320" s="67"/>
      <c r="JS2320" s="67"/>
      <c r="JT2320" s="67"/>
      <c r="JU2320" s="58"/>
      <c r="JV2320" s="58"/>
      <c r="JW2320" s="58"/>
    </row>
    <row r="2321" spans="1:283" s="23" customFormat="1" x14ac:dyDescent="0.25">
      <c r="A2321" s="55">
        <v>2320</v>
      </c>
      <c r="B2321" s="12" t="s">
        <v>7067</v>
      </c>
      <c r="C2321" s="156">
        <v>110</v>
      </c>
      <c r="D2321" s="58" t="s">
        <v>4198</v>
      </c>
      <c r="E2321" s="93" t="s">
        <v>2174</v>
      </c>
      <c r="F2321" s="93"/>
      <c r="G2321" s="58" t="s">
        <v>2264</v>
      </c>
      <c r="H2321" s="59">
        <v>1982</v>
      </c>
      <c r="I2321" s="58">
        <v>1977</v>
      </c>
      <c r="J2321" s="59" t="s">
        <v>1709</v>
      </c>
      <c r="K2321" s="59" t="s">
        <v>2265</v>
      </c>
      <c r="L2321" s="59" t="s">
        <v>2744</v>
      </c>
      <c r="M2321" s="94">
        <v>7.38</v>
      </c>
      <c r="N2321" s="94">
        <v>3.95</v>
      </c>
      <c r="O2321" s="93">
        <v>229.3</v>
      </c>
      <c r="P2321" s="59"/>
      <c r="Q2321" s="58"/>
      <c r="R2321" s="59"/>
      <c r="S2321" s="94"/>
      <c r="T2321" s="58"/>
      <c r="U2321" s="58">
        <v>4</v>
      </c>
      <c r="V2321" s="59">
        <v>4</v>
      </c>
      <c r="W2321" s="174"/>
      <c r="X2321" s="174"/>
      <c r="Y2321" s="58" t="s">
        <v>2266</v>
      </c>
      <c r="Z2321" s="58" t="s">
        <v>1355</v>
      </c>
      <c r="AA2321" s="94">
        <v>10</v>
      </c>
      <c r="AB2321" s="67"/>
      <c r="AC2321" s="67"/>
      <c r="AD2321" s="94">
        <v>1.31</v>
      </c>
      <c r="AE2321" s="93">
        <v>69.3</v>
      </c>
      <c r="AF2321" s="93">
        <v>9.5</v>
      </c>
      <c r="AG2321" s="93"/>
      <c r="AH2321" s="58" t="s">
        <v>238</v>
      </c>
      <c r="AI2321" s="169"/>
      <c r="AJ2321" s="94">
        <v>1.7</v>
      </c>
      <c r="AK2321" s="94"/>
      <c r="AL2321" s="58"/>
      <c r="AM2321" s="59" t="s">
        <v>2267</v>
      </c>
      <c r="AN2321" s="188" t="s">
        <v>2275</v>
      </c>
      <c r="AO2321" s="185" t="s">
        <v>5150</v>
      </c>
      <c r="AP2321" s="59"/>
      <c r="AQ2321" s="58" t="s">
        <v>553</v>
      </c>
      <c r="AR2321" s="59" t="s">
        <v>2283</v>
      </c>
      <c r="AS2321" s="58" t="s">
        <v>227</v>
      </c>
      <c r="AT2321" s="182"/>
      <c r="AU2321" s="181" t="s">
        <v>7494</v>
      </c>
      <c r="AV2321" s="185" t="s">
        <v>176</v>
      </c>
      <c r="AW2321" s="58"/>
      <c r="AX2321" s="185" t="s">
        <v>176</v>
      </c>
      <c r="AY2321" s="58"/>
      <c r="AZ2321" s="59"/>
      <c r="BA2321" s="58"/>
      <c r="BB2321" s="58"/>
      <c r="BC2321" s="58"/>
      <c r="BD2321" s="58"/>
      <c r="BE2321" s="240"/>
      <c r="BF2321" s="59"/>
      <c r="BG2321" s="59"/>
      <c r="BH2321" s="236"/>
      <c r="BI2321" s="58"/>
      <c r="BJ2321" s="58"/>
      <c r="BK2321" s="58" t="s">
        <v>5976</v>
      </c>
      <c r="BL2321" s="58"/>
      <c r="BM2321" s="241" t="s">
        <v>160</v>
      </c>
      <c r="BN2321" s="58">
        <v>3</v>
      </c>
      <c r="BO2321" s="58">
        <v>3</v>
      </c>
      <c r="BP2321" s="59"/>
      <c r="BQ2321" s="58" t="s">
        <v>141</v>
      </c>
      <c r="BR2321" s="58"/>
      <c r="BS2321" s="58"/>
      <c r="BT2321" s="58"/>
      <c r="BU2321" s="58" t="s">
        <v>2280</v>
      </c>
      <c r="BV2321" s="58"/>
      <c r="BW2321" s="67"/>
      <c r="BX2321" s="67"/>
      <c r="BY2321" s="67"/>
      <c r="BZ2321" s="67"/>
      <c r="CA2321" s="67"/>
      <c r="CB2321" s="153">
        <v>1440</v>
      </c>
      <c r="CC2321" s="68">
        <v>2440</v>
      </c>
      <c r="CD2321" s="68"/>
      <c r="CE2321" s="67"/>
      <c r="CF2321" s="67"/>
      <c r="CG2321" s="67" t="s">
        <v>2284</v>
      </c>
      <c r="CH2321" s="94"/>
      <c r="CI2321" s="94"/>
      <c r="CJ2321" s="67"/>
      <c r="CK2321" s="67"/>
      <c r="CL2321" s="67"/>
      <c r="CM2321" s="67"/>
      <c r="CN2321" s="67"/>
      <c r="CO2321" s="67"/>
      <c r="CP2321" s="67"/>
      <c r="CQ2321" s="67"/>
      <c r="CR2321" s="67"/>
      <c r="CS2321" s="67"/>
      <c r="CT2321" s="67"/>
      <c r="CU2321" s="67"/>
      <c r="CV2321" s="67"/>
      <c r="CW2321" s="67"/>
      <c r="CX2321" s="67"/>
      <c r="CY2321" s="67"/>
      <c r="CZ2321" s="67"/>
      <c r="DA2321" s="67"/>
      <c r="DB2321" s="67"/>
      <c r="DC2321" s="67"/>
      <c r="DD2321" s="67"/>
      <c r="DE2321" s="67"/>
      <c r="DF2321" s="67"/>
      <c r="DG2321" s="67"/>
      <c r="DH2321" s="67"/>
      <c r="DI2321" s="67"/>
      <c r="DJ2321" s="67"/>
      <c r="DK2321" s="67"/>
      <c r="DL2321" s="67"/>
      <c r="DM2321" s="67"/>
      <c r="DN2321" s="67"/>
      <c r="DO2321" s="67"/>
      <c r="DP2321" s="67"/>
      <c r="DQ2321" s="166"/>
      <c r="DR2321" s="166"/>
      <c r="DS2321" s="163"/>
      <c r="DT2321" s="163"/>
      <c r="DU2321" s="67"/>
      <c r="DV2321" s="67"/>
      <c r="DW2321" s="67"/>
      <c r="DX2321" s="67"/>
      <c r="DY2321" s="67"/>
      <c r="DZ2321" s="67"/>
      <c r="EA2321" s="67"/>
      <c r="EB2321" s="67"/>
      <c r="EC2321" s="67"/>
      <c r="ED2321" s="67"/>
      <c r="EE2321" s="67"/>
      <c r="EF2321" s="67"/>
      <c r="EG2321" s="67"/>
      <c r="EH2321" s="67"/>
      <c r="EI2321" s="67"/>
      <c r="EJ2321" s="67"/>
      <c r="EK2321" s="94"/>
      <c r="EL2321" s="94"/>
      <c r="EM2321" s="67"/>
      <c r="EN2321" s="67"/>
      <c r="EO2321" s="67"/>
      <c r="EP2321" s="67"/>
      <c r="EQ2321" s="67"/>
      <c r="ER2321" s="67"/>
      <c r="ES2321" s="67"/>
      <c r="ET2321" s="67"/>
      <c r="EU2321" s="67"/>
      <c r="EV2321" s="67"/>
      <c r="EW2321" s="67"/>
      <c r="EX2321" s="67"/>
      <c r="EY2321" s="67"/>
      <c r="EZ2321" s="67"/>
      <c r="FA2321" s="67"/>
      <c r="FB2321" s="67"/>
      <c r="FC2321" s="67"/>
      <c r="FD2321" s="67"/>
      <c r="FE2321" s="67"/>
      <c r="FF2321" s="67"/>
      <c r="FG2321" s="67"/>
      <c r="FH2321" s="67"/>
      <c r="FI2321" s="67"/>
      <c r="FJ2321" s="67"/>
      <c r="FK2321" s="67"/>
      <c r="FL2321" s="67"/>
      <c r="FM2321" s="67"/>
      <c r="FN2321" s="67"/>
      <c r="FO2321" s="67"/>
      <c r="FP2321" s="67"/>
      <c r="FQ2321" s="67"/>
      <c r="FR2321" s="67"/>
      <c r="FS2321" s="67"/>
      <c r="FT2321" s="67"/>
      <c r="FU2321" s="67"/>
      <c r="FV2321" s="67"/>
      <c r="FW2321" s="67"/>
      <c r="FX2321" s="67"/>
      <c r="FY2321" s="67"/>
      <c r="FZ2321" s="67"/>
      <c r="GA2321" s="67"/>
      <c r="GB2321" s="67"/>
      <c r="GC2321" s="67"/>
      <c r="GD2321" s="67"/>
      <c r="GE2321" s="67"/>
      <c r="GF2321" s="67"/>
      <c r="GG2321" s="67"/>
      <c r="GH2321" s="67"/>
      <c r="GI2321" s="67"/>
      <c r="GJ2321" s="67"/>
      <c r="GK2321" s="67"/>
      <c r="GL2321" s="67"/>
      <c r="GM2321" s="67"/>
      <c r="GN2321" s="292"/>
      <c r="GO2321" s="292"/>
      <c r="GP2321" s="292" t="s">
        <v>7494</v>
      </c>
      <c r="GQ2321" s="67"/>
      <c r="GR2321" s="67"/>
      <c r="GS2321" s="67"/>
      <c r="GT2321" s="67"/>
      <c r="GU2321" s="67"/>
      <c r="GV2321" s="67"/>
      <c r="GW2321" s="67"/>
      <c r="GX2321" s="67"/>
      <c r="GY2321" s="67"/>
      <c r="GZ2321" s="67"/>
      <c r="HA2321" s="67"/>
      <c r="HB2321" s="67"/>
      <c r="HC2321" s="67"/>
      <c r="HD2321" s="67"/>
      <c r="HE2321" s="67"/>
      <c r="HF2321" s="67"/>
      <c r="HG2321" s="67"/>
      <c r="HH2321" s="67"/>
      <c r="HI2321" s="67"/>
      <c r="HJ2321" s="67"/>
      <c r="HK2321" s="67"/>
      <c r="HL2321" s="67"/>
      <c r="HM2321" s="67"/>
      <c r="HN2321" s="67"/>
      <c r="HO2321" s="67"/>
      <c r="HP2321" s="67"/>
      <c r="HQ2321" s="67"/>
      <c r="HR2321" s="67"/>
      <c r="HS2321" s="67"/>
      <c r="HT2321" s="67"/>
      <c r="HU2321" s="67"/>
      <c r="HV2321" s="67"/>
      <c r="HW2321" s="67"/>
      <c r="HX2321" s="67"/>
      <c r="HY2321" s="67"/>
      <c r="HZ2321" s="67"/>
      <c r="IA2321" s="67"/>
      <c r="IB2321" s="67"/>
      <c r="IC2321" s="67"/>
      <c r="ID2321" s="67"/>
      <c r="IE2321" s="67"/>
      <c r="IF2321" s="67"/>
      <c r="IG2321" s="67"/>
      <c r="IH2321" s="67"/>
      <c r="II2321" s="67"/>
      <c r="IJ2321" s="67"/>
      <c r="IK2321" s="67"/>
      <c r="IL2321" s="67"/>
      <c r="IM2321" s="67"/>
      <c r="IN2321" s="67"/>
      <c r="IO2321" s="67"/>
      <c r="IP2321" s="67"/>
      <c r="IQ2321" s="67"/>
      <c r="IR2321" s="67"/>
      <c r="IS2321" s="67"/>
      <c r="IT2321" s="67"/>
      <c r="IU2321" s="67"/>
      <c r="IV2321" s="67"/>
      <c r="IW2321" s="67"/>
      <c r="IX2321" s="67"/>
      <c r="IY2321" s="67"/>
      <c r="IZ2321" s="67"/>
      <c r="JA2321" s="67"/>
      <c r="JB2321" s="67"/>
      <c r="JC2321" s="67"/>
      <c r="JD2321" s="67"/>
      <c r="JE2321" s="67"/>
      <c r="JF2321" s="67"/>
      <c r="JG2321" s="67"/>
      <c r="JH2321" s="67"/>
      <c r="JI2321" s="67"/>
      <c r="JJ2321" s="67"/>
      <c r="JK2321" s="67"/>
      <c r="JL2321" s="67"/>
      <c r="JM2321" s="67"/>
      <c r="JN2321" s="67"/>
      <c r="JO2321" s="67"/>
      <c r="JP2321" s="67"/>
      <c r="JQ2321" s="67"/>
      <c r="JR2321" s="67"/>
      <c r="JS2321" s="67"/>
      <c r="JT2321" s="67"/>
      <c r="JU2321" s="58"/>
      <c r="JV2321" s="58"/>
      <c r="JW2321" s="58"/>
    </row>
    <row r="2322" spans="1:283" s="23" customFormat="1" x14ac:dyDescent="0.25">
      <c r="A2322" s="55">
        <v>2321</v>
      </c>
      <c r="B2322" s="12" t="s">
        <v>7067</v>
      </c>
      <c r="C2322" s="156">
        <v>110</v>
      </c>
      <c r="D2322" s="58" t="s">
        <v>4198</v>
      </c>
      <c r="E2322" s="93" t="s">
        <v>2174</v>
      </c>
      <c r="F2322" s="93"/>
      <c r="G2322" s="58" t="s">
        <v>2264</v>
      </c>
      <c r="H2322" s="59">
        <v>1982</v>
      </c>
      <c r="I2322" s="58">
        <v>1977</v>
      </c>
      <c r="J2322" s="59" t="s">
        <v>1709</v>
      </c>
      <c r="K2322" s="59" t="s">
        <v>2265</v>
      </c>
      <c r="L2322" s="59" t="s">
        <v>2744</v>
      </c>
      <c r="M2322" s="94">
        <v>7.38</v>
      </c>
      <c r="N2322" s="94">
        <v>3.95</v>
      </c>
      <c r="O2322" s="93">
        <v>229.3</v>
      </c>
      <c r="P2322" s="59"/>
      <c r="Q2322" s="58"/>
      <c r="R2322" s="59"/>
      <c r="S2322" s="94"/>
      <c r="T2322" s="58"/>
      <c r="U2322" s="58">
        <v>4</v>
      </c>
      <c r="V2322" s="59">
        <v>4</v>
      </c>
      <c r="W2322" s="174"/>
      <c r="X2322" s="174"/>
      <c r="Y2322" s="58" t="s">
        <v>2266</v>
      </c>
      <c r="Z2322" s="58" t="s">
        <v>1355</v>
      </c>
      <c r="AA2322" s="94">
        <v>10</v>
      </c>
      <c r="AB2322" s="67"/>
      <c r="AC2322" s="67"/>
      <c r="AD2322" s="94">
        <v>1.31</v>
      </c>
      <c r="AE2322" s="93">
        <v>69.3</v>
      </c>
      <c r="AF2322" s="93">
        <v>9.5</v>
      </c>
      <c r="AG2322" s="93"/>
      <c r="AH2322" s="58" t="s">
        <v>238</v>
      </c>
      <c r="AI2322" s="169"/>
      <c r="AJ2322" s="94">
        <v>1.7</v>
      </c>
      <c r="AK2322" s="94"/>
      <c r="AL2322" s="58"/>
      <c r="AM2322" s="59" t="s">
        <v>2267</v>
      </c>
      <c r="AN2322" s="188" t="s">
        <v>2276</v>
      </c>
      <c r="AO2322" s="185" t="s">
        <v>5150</v>
      </c>
      <c r="AP2322" s="59"/>
      <c r="AQ2322" s="58" t="s">
        <v>553</v>
      </c>
      <c r="AR2322" s="59" t="s">
        <v>2283</v>
      </c>
      <c r="AS2322" s="58" t="s">
        <v>227</v>
      </c>
      <c r="AT2322" s="182"/>
      <c r="AU2322" s="181" t="s">
        <v>7494</v>
      </c>
      <c r="AV2322" s="185" t="s">
        <v>176</v>
      </c>
      <c r="AW2322" s="58"/>
      <c r="AX2322" s="185" t="s">
        <v>176</v>
      </c>
      <c r="AY2322" s="58"/>
      <c r="AZ2322" s="59"/>
      <c r="BA2322" s="58"/>
      <c r="BB2322" s="58"/>
      <c r="BC2322" s="58"/>
      <c r="BD2322" s="58"/>
      <c r="BE2322" s="240"/>
      <c r="BF2322" s="59"/>
      <c r="BG2322" s="59"/>
      <c r="BH2322" s="236"/>
      <c r="BI2322" s="58"/>
      <c r="BJ2322" s="58"/>
      <c r="BK2322" s="58" t="s">
        <v>5976</v>
      </c>
      <c r="BL2322" s="58"/>
      <c r="BM2322" s="241" t="s">
        <v>160</v>
      </c>
      <c r="BN2322" s="58">
        <v>3</v>
      </c>
      <c r="BO2322" s="58">
        <v>3</v>
      </c>
      <c r="BP2322" s="59"/>
      <c r="BQ2322" s="58" t="s">
        <v>141</v>
      </c>
      <c r="BR2322" s="58"/>
      <c r="BS2322" s="58"/>
      <c r="BT2322" s="58"/>
      <c r="BU2322" s="58" t="s">
        <v>2280</v>
      </c>
      <c r="BV2322" s="58"/>
      <c r="BW2322" s="67"/>
      <c r="BX2322" s="67"/>
      <c r="BY2322" s="67"/>
      <c r="BZ2322" s="67"/>
      <c r="CA2322" s="67"/>
      <c r="CB2322" s="153">
        <v>1440</v>
      </c>
      <c r="CC2322" s="68">
        <v>2310</v>
      </c>
      <c r="CD2322" s="68"/>
      <c r="CE2322" s="67"/>
      <c r="CF2322" s="67"/>
      <c r="CG2322" s="67" t="s">
        <v>2284</v>
      </c>
      <c r="CH2322" s="94"/>
      <c r="CI2322" s="94"/>
      <c r="CJ2322" s="67"/>
      <c r="CK2322" s="67"/>
      <c r="CL2322" s="67"/>
      <c r="CM2322" s="67"/>
      <c r="CN2322" s="67"/>
      <c r="CO2322" s="67"/>
      <c r="CP2322" s="67"/>
      <c r="CQ2322" s="67"/>
      <c r="CR2322" s="67"/>
      <c r="CS2322" s="67"/>
      <c r="CT2322" s="67"/>
      <c r="CU2322" s="67"/>
      <c r="CV2322" s="67"/>
      <c r="CW2322" s="67"/>
      <c r="CX2322" s="67"/>
      <c r="CY2322" s="67"/>
      <c r="CZ2322" s="67"/>
      <c r="DA2322" s="67"/>
      <c r="DB2322" s="67"/>
      <c r="DC2322" s="67"/>
      <c r="DD2322" s="67"/>
      <c r="DE2322" s="67"/>
      <c r="DF2322" s="67"/>
      <c r="DG2322" s="67"/>
      <c r="DH2322" s="67"/>
      <c r="DI2322" s="67"/>
      <c r="DJ2322" s="67"/>
      <c r="DK2322" s="67"/>
      <c r="DL2322" s="67"/>
      <c r="DM2322" s="67"/>
      <c r="DN2322" s="67"/>
      <c r="DO2322" s="67"/>
      <c r="DP2322" s="67"/>
      <c r="DQ2322" s="166"/>
      <c r="DR2322" s="166"/>
      <c r="DS2322" s="163"/>
      <c r="DT2322" s="163"/>
      <c r="DU2322" s="67"/>
      <c r="DV2322" s="67"/>
      <c r="DW2322" s="67"/>
      <c r="DX2322" s="67"/>
      <c r="DY2322" s="67"/>
      <c r="DZ2322" s="67"/>
      <c r="EA2322" s="67"/>
      <c r="EB2322" s="67"/>
      <c r="EC2322" s="67"/>
      <c r="ED2322" s="67"/>
      <c r="EE2322" s="67"/>
      <c r="EF2322" s="67"/>
      <c r="EG2322" s="67"/>
      <c r="EH2322" s="67"/>
      <c r="EI2322" s="67"/>
      <c r="EJ2322" s="67"/>
      <c r="EK2322" s="94"/>
      <c r="EL2322" s="94"/>
      <c r="EM2322" s="67"/>
      <c r="EN2322" s="67"/>
      <c r="EO2322" s="67"/>
      <c r="EP2322" s="67"/>
      <c r="EQ2322" s="67"/>
      <c r="ER2322" s="67"/>
      <c r="ES2322" s="67"/>
      <c r="ET2322" s="67"/>
      <c r="EU2322" s="67"/>
      <c r="EV2322" s="67"/>
      <c r="EW2322" s="67"/>
      <c r="EX2322" s="67"/>
      <c r="EY2322" s="67"/>
      <c r="EZ2322" s="67"/>
      <c r="FA2322" s="67"/>
      <c r="FB2322" s="67"/>
      <c r="FC2322" s="67"/>
      <c r="FD2322" s="67"/>
      <c r="FE2322" s="67"/>
      <c r="FF2322" s="67"/>
      <c r="FG2322" s="67"/>
      <c r="FH2322" s="67"/>
      <c r="FI2322" s="67"/>
      <c r="FJ2322" s="67"/>
      <c r="FK2322" s="67"/>
      <c r="FL2322" s="67"/>
      <c r="FM2322" s="67"/>
      <c r="FN2322" s="67"/>
      <c r="FO2322" s="67"/>
      <c r="FP2322" s="67"/>
      <c r="FQ2322" s="67"/>
      <c r="FR2322" s="67"/>
      <c r="FS2322" s="67"/>
      <c r="FT2322" s="67"/>
      <c r="FU2322" s="67"/>
      <c r="FV2322" s="67"/>
      <c r="FW2322" s="67"/>
      <c r="FX2322" s="67"/>
      <c r="FY2322" s="67"/>
      <c r="FZ2322" s="67"/>
      <c r="GA2322" s="67"/>
      <c r="GB2322" s="67"/>
      <c r="GC2322" s="67"/>
      <c r="GD2322" s="67"/>
      <c r="GE2322" s="67"/>
      <c r="GF2322" s="67"/>
      <c r="GG2322" s="67"/>
      <c r="GH2322" s="67"/>
      <c r="GI2322" s="67"/>
      <c r="GJ2322" s="67"/>
      <c r="GK2322" s="67"/>
      <c r="GL2322" s="67"/>
      <c r="GM2322" s="67"/>
      <c r="GN2322" s="292"/>
      <c r="GO2322" s="292"/>
      <c r="GP2322" s="292" t="s">
        <v>7494</v>
      </c>
      <c r="GQ2322" s="67"/>
      <c r="GR2322" s="67"/>
      <c r="GS2322" s="67"/>
      <c r="GT2322" s="67"/>
      <c r="GU2322" s="67"/>
      <c r="GV2322" s="67"/>
      <c r="GW2322" s="67"/>
      <c r="GX2322" s="67"/>
      <c r="GY2322" s="67"/>
      <c r="GZ2322" s="67"/>
      <c r="HA2322" s="67"/>
      <c r="HB2322" s="67"/>
      <c r="HC2322" s="67"/>
      <c r="HD2322" s="67"/>
      <c r="HE2322" s="67"/>
      <c r="HF2322" s="67"/>
      <c r="HG2322" s="67"/>
      <c r="HH2322" s="67"/>
      <c r="HI2322" s="67"/>
      <c r="HJ2322" s="67"/>
      <c r="HK2322" s="67"/>
      <c r="HL2322" s="67"/>
      <c r="HM2322" s="67"/>
      <c r="HN2322" s="67"/>
      <c r="HO2322" s="67"/>
      <c r="HP2322" s="67"/>
      <c r="HQ2322" s="67"/>
      <c r="HR2322" s="67"/>
      <c r="HS2322" s="67"/>
      <c r="HT2322" s="67"/>
      <c r="HU2322" s="67"/>
      <c r="HV2322" s="67"/>
      <c r="HW2322" s="67"/>
      <c r="HX2322" s="67"/>
      <c r="HY2322" s="67"/>
      <c r="HZ2322" s="67"/>
      <c r="IA2322" s="67"/>
      <c r="IB2322" s="67"/>
      <c r="IC2322" s="67"/>
      <c r="ID2322" s="67"/>
      <c r="IE2322" s="67"/>
      <c r="IF2322" s="67"/>
      <c r="IG2322" s="67"/>
      <c r="IH2322" s="67"/>
      <c r="II2322" s="67"/>
      <c r="IJ2322" s="67"/>
      <c r="IK2322" s="67"/>
      <c r="IL2322" s="67"/>
      <c r="IM2322" s="67"/>
      <c r="IN2322" s="67"/>
      <c r="IO2322" s="67"/>
      <c r="IP2322" s="67"/>
      <c r="IQ2322" s="67"/>
      <c r="IR2322" s="67"/>
      <c r="IS2322" s="67"/>
      <c r="IT2322" s="67"/>
      <c r="IU2322" s="67"/>
      <c r="IV2322" s="67"/>
      <c r="IW2322" s="67"/>
      <c r="IX2322" s="67"/>
      <c r="IY2322" s="67"/>
      <c r="IZ2322" s="67"/>
      <c r="JA2322" s="67"/>
      <c r="JB2322" s="67"/>
      <c r="JC2322" s="67"/>
      <c r="JD2322" s="67"/>
      <c r="JE2322" s="67"/>
      <c r="JF2322" s="67"/>
      <c r="JG2322" s="67"/>
      <c r="JH2322" s="67"/>
      <c r="JI2322" s="67"/>
      <c r="JJ2322" s="67"/>
      <c r="JK2322" s="67"/>
      <c r="JL2322" s="67"/>
      <c r="JM2322" s="67"/>
      <c r="JN2322" s="67"/>
      <c r="JO2322" s="67"/>
      <c r="JP2322" s="67"/>
      <c r="JQ2322" s="67"/>
      <c r="JR2322" s="67"/>
      <c r="JS2322" s="67"/>
      <c r="JT2322" s="67"/>
      <c r="JU2322" s="58"/>
      <c r="JV2322" s="58"/>
      <c r="JW2322" s="58"/>
    </row>
    <row r="2323" spans="1:283" s="23" customFormat="1" x14ac:dyDescent="0.25">
      <c r="A2323" s="55">
        <v>2322</v>
      </c>
      <c r="B2323" s="12" t="s">
        <v>7067</v>
      </c>
      <c r="C2323" s="156">
        <v>110</v>
      </c>
      <c r="D2323" s="58" t="s">
        <v>4198</v>
      </c>
      <c r="E2323" s="93" t="s">
        <v>2174</v>
      </c>
      <c r="F2323" s="93"/>
      <c r="G2323" s="58" t="s">
        <v>2264</v>
      </c>
      <c r="H2323" s="59">
        <v>1982</v>
      </c>
      <c r="I2323" s="58">
        <v>1977</v>
      </c>
      <c r="J2323" s="59" t="s">
        <v>1709</v>
      </c>
      <c r="K2323" s="59" t="s">
        <v>2265</v>
      </c>
      <c r="L2323" s="59" t="s">
        <v>2744</v>
      </c>
      <c r="M2323" s="94">
        <v>7.38</v>
      </c>
      <c r="N2323" s="94">
        <v>3.95</v>
      </c>
      <c r="O2323" s="93">
        <v>229.3</v>
      </c>
      <c r="P2323" s="59"/>
      <c r="Q2323" s="58"/>
      <c r="R2323" s="59"/>
      <c r="S2323" s="94"/>
      <c r="T2323" s="58"/>
      <c r="U2323" s="58">
        <v>4</v>
      </c>
      <c r="V2323" s="59">
        <v>4</v>
      </c>
      <c r="W2323" s="174"/>
      <c r="X2323" s="174"/>
      <c r="Y2323" s="58" t="s">
        <v>2266</v>
      </c>
      <c r="Z2323" s="58" t="s">
        <v>1355</v>
      </c>
      <c r="AA2323" s="94">
        <v>10</v>
      </c>
      <c r="AB2323" s="67"/>
      <c r="AC2323" s="67"/>
      <c r="AD2323" s="94">
        <v>1.31</v>
      </c>
      <c r="AE2323" s="93">
        <v>69.3</v>
      </c>
      <c r="AF2323" s="93">
        <v>9.5</v>
      </c>
      <c r="AG2323" s="93"/>
      <c r="AH2323" s="58" t="s">
        <v>238</v>
      </c>
      <c r="AI2323" s="169"/>
      <c r="AJ2323" s="94">
        <v>1.7</v>
      </c>
      <c r="AK2323" s="94"/>
      <c r="AL2323" s="58"/>
      <c r="AM2323" s="59" t="s">
        <v>2267</v>
      </c>
      <c r="AN2323" s="188" t="s">
        <v>2277</v>
      </c>
      <c r="AO2323" s="185" t="s">
        <v>5150</v>
      </c>
      <c r="AP2323" s="59"/>
      <c r="AQ2323" s="58" t="s">
        <v>553</v>
      </c>
      <c r="AR2323" s="59" t="s">
        <v>2283</v>
      </c>
      <c r="AS2323" s="58" t="s">
        <v>227</v>
      </c>
      <c r="AT2323" s="182"/>
      <c r="AU2323" s="181" t="s">
        <v>7494</v>
      </c>
      <c r="AV2323" s="185" t="s">
        <v>176</v>
      </c>
      <c r="AW2323" s="58"/>
      <c r="AX2323" s="185" t="s">
        <v>176</v>
      </c>
      <c r="AY2323" s="58"/>
      <c r="AZ2323" s="59"/>
      <c r="BA2323" s="58"/>
      <c r="BB2323" s="58"/>
      <c r="BC2323" s="58"/>
      <c r="BD2323" s="58"/>
      <c r="BE2323" s="240"/>
      <c r="BF2323" s="59"/>
      <c r="BG2323" s="59"/>
      <c r="BH2323" s="236"/>
      <c r="BI2323" s="58"/>
      <c r="BJ2323" s="58"/>
      <c r="BK2323" s="58" t="s">
        <v>5976</v>
      </c>
      <c r="BL2323" s="58"/>
      <c r="BM2323" s="241" t="s">
        <v>160</v>
      </c>
      <c r="BN2323" s="58">
        <v>3</v>
      </c>
      <c r="BO2323" s="58">
        <v>3</v>
      </c>
      <c r="BP2323" s="59"/>
      <c r="BQ2323" s="58" t="s">
        <v>141</v>
      </c>
      <c r="BR2323" s="58"/>
      <c r="BS2323" s="58"/>
      <c r="BT2323" s="58"/>
      <c r="BU2323" s="58" t="s">
        <v>2280</v>
      </c>
      <c r="BV2323" s="58"/>
      <c r="BW2323" s="67"/>
      <c r="BX2323" s="67"/>
      <c r="BY2323" s="67"/>
      <c r="BZ2323" s="67"/>
      <c r="CA2323" s="67"/>
      <c r="CB2323" s="153">
        <v>1440</v>
      </c>
      <c r="CC2323" s="68">
        <v>1360</v>
      </c>
      <c r="CD2323" s="68"/>
      <c r="CE2323" s="67"/>
      <c r="CF2323" s="67"/>
      <c r="CG2323" s="67" t="s">
        <v>2284</v>
      </c>
      <c r="CH2323" s="94"/>
      <c r="CI2323" s="94"/>
      <c r="CJ2323" s="67"/>
      <c r="CK2323" s="67"/>
      <c r="CL2323" s="67"/>
      <c r="CM2323" s="67"/>
      <c r="CN2323" s="67"/>
      <c r="CO2323" s="67"/>
      <c r="CP2323" s="67"/>
      <c r="CQ2323" s="67"/>
      <c r="CR2323" s="67"/>
      <c r="CS2323" s="67"/>
      <c r="CT2323" s="67"/>
      <c r="CU2323" s="67"/>
      <c r="CV2323" s="67"/>
      <c r="CW2323" s="67"/>
      <c r="CX2323" s="67"/>
      <c r="CY2323" s="67"/>
      <c r="CZ2323" s="67"/>
      <c r="DA2323" s="67"/>
      <c r="DB2323" s="67"/>
      <c r="DC2323" s="67"/>
      <c r="DD2323" s="67"/>
      <c r="DE2323" s="67"/>
      <c r="DF2323" s="67"/>
      <c r="DG2323" s="67"/>
      <c r="DH2323" s="67"/>
      <c r="DI2323" s="67"/>
      <c r="DJ2323" s="67"/>
      <c r="DK2323" s="67"/>
      <c r="DL2323" s="67"/>
      <c r="DM2323" s="67"/>
      <c r="DN2323" s="67"/>
      <c r="DO2323" s="67"/>
      <c r="DP2323" s="67"/>
      <c r="DQ2323" s="166"/>
      <c r="DR2323" s="166"/>
      <c r="DS2323" s="163"/>
      <c r="DT2323" s="163"/>
      <c r="DU2323" s="67"/>
      <c r="DV2323" s="67"/>
      <c r="DW2323" s="67"/>
      <c r="DX2323" s="67"/>
      <c r="DY2323" s="67"/>
      <c r="DZ2323" s="67"/>
      <c r="EA2323" s="67"/>
      <c r="EB2323" s="67"/>
      <c r="EC2323" s="67"/>
      <c r="ED2323" s="67"/>
      <c r="EE2323" s="67"/>
      <c r="EF2323" s="67"/>
      <c r="EG2323" s="67"/>
      <c r="EH2323" s="67"/>
      <c r="EI2323" s="67"/>
      <c r="EJ2323" s="67"/>
      <c r="EK2323" s="94"/>
      <c r="EL2323" s="94"/>
      <c r="EM2323" s="67"/>
      <c r="EN2323" s="67"/>
      <c r="EO2323" s="67"/>
      <c r="EP2323" s="67"/>
      <c r="EQ2323" s="67"/>
      <c r="ER2323" s="67"/>
      <c r="ES2323" s="67"/>
      <c r="ET2323" s="67"/>
      <c r="EU2323" s="67"/>
      <c r="EV2323" s="67"/>
      <c r="EW2323" s="67"/>
      <c r="EX2323" s="67"/>
      <c r="EY2323" s="67"/>
      <c r="EZ2323" s="67"/>
      <c r="FA2323" s="67"/>
      <c r="FB2323" s="67"/>
      <c r="FC2323" s="67"/>
      <c r="FD2323" s="67"/>
      <c r="FE2323" s="67"/>
      <c r="FF2323" s="67"/>
      <c r="FG2323" s="67"/>
      <c r="FH2323" s="67"/>
      <c r="FI2323" s="67"/>
      <c r="FJ2323" s="67"/>
      <c r="FK2323" s="67"/>
      <c r="FL2323" s="67"/>
      <c r="FM2323" s="67"/>
      <c r="FN2323" s="67"/>
      <c r="FO2323" s="67"/>
      <c r="FP2323" s="67"/>
      <c r="FQ2323" s="67"/>
      <c r="FR2323" s="67"/>
      <c r="FS2323" s="67"/>
      <c r="FT2323" s="67"/>
      <c r="FU2323" s="67"/>
      <c r="FV2323" s="67"/>
      <c r="FW2323" s="67"/>
      <c r="FX2323" s="67"/>
      <c r="FY2323" s="67"/>
      <c r="FZ2323" s="67"/>
      <c r="GA2323" s="67"/>
      <c r="GB2323" s="67"/>
      <c r="GC2323" s="67"/>
      <c r="GD2323" s="67"/>
      <c r="GE2323" s="67"/>
      <c r="GF2323" s="67"/>
      <c r="GG2323" s="67"/>
      <c r="GH2323" s="67"/>
      <c r="GI2323" s="67"/>
      <c r="GJ2323" s="67"/>
      <c r="GK2323" s="67"/>
      <c r="GL2323" s="67"/>
      <c r="GM2323" s="67"/>
      <c r="GN2323" s="292"/>
      <c r="GO2323" s="292"/>
      <c r="GP2323" s="292" t="s">
        <v>7494</v>
      </c>
      <c r="GQ2323" s="67"/>
      <c r="GR2323" s="67"/>
      <c r="GS2323" s="67"/>
      <c r="GT2323" s="67"/>
      <c r="GU2323" s="67"/>
      <c r="GV2323" s="67"/>
      <c r="GW2323" s="67"/>
      <c r="GX2323" s="67"/>
      <c r="GY2323" s="67"/>
      <c r="GZ2323" s="67"/>
      <c r="HA2323" s="67"/>
      <c r="HB2323" s="67"/>
      <c r="HC2323" s="67"/>
      <c r="HD2323" s="67"/>
      <c r="HE2323" s="67"/>
      <c r="HF2323" s="67"/>
      <c r="HG2323" s="67"/>
      <c r="HH2323" s="67"/>
      <c r="HI2323" s="67"/>
      <c r="HJ2323" s="67"/>
      <c r="HK2323" s="67"/>
      <c r="HL2323" s="67"/>
      <c r="HM2323" s="67"/>
      <c r="HN2323" s="67"/>
      <c r="HO2323" s="67"/>
      <c r="HP2323" s="67"/>
      <c r="HQ2323" s="67"/>
      <c r="HR2323" s="67"/>
      <c r="HS2323" s="67"/>
      <c r="HT2323" s="67"/>
      <c r="HU2323" s="67"/>
      <c r="HV2323" s="67"/>
      <c r="HW2323" s="67"/>
      <c r="HX2323" s="67"/>
      <c r="HY2323" s="67"/>
      <c r="HZ2323" s="67"/>
      <c r="IA2323" s="67"/>
      <c r="IB2323" s="67"/>
      <c r="IC2323" s="67"/>
      <c r="ID2323" s="67"/>
      <c r="IE2323" s="67"/>
      <c r="IF2323" s="67"/>
      <c r="IG2323" s="67"/>
      <c r="IH2323" s="67"/>
      <c r="II2323" s="67"/>
      <c r="IJ2323" s="67"/>
      <c r="IK2323" s="67"/>
      <c r="IL2323" s="67"/>
      <c r="IM2323" s="67"/>
      <c r="IN2323" s="67"/>
      <c r="IO2323" s="67"/>
      <c r="IP2323" s="67"/>
      <c r="IQ2323" s="67"/>
      <c r="IR2323" s="67"/>
      <c r="IS2323" s="67"/>
      <c r="IT2323" s="67"/>
      <c r="IU2323" s="67"/>
      <c r="IV2323" s="67"/>
      <c r="IW2323" s="67"/>
      <c r="IX2323" s="67"/>
      <c r="IY2323" s="67"/>
      <c r="IZ2323" s="67"/>
      <c r="JA2323" s="67"/>
      <c r="JB2323" s="67"/>
      <c r="JC2323" s="67"/>
      <c r="JD2323" s="67"/>
      <c r="JE2323" s="67"/>
      <c r="JF2323" s="67"/>
      <c r="JG2323" s="67"/>
      <c r="JH2323" s="67"/>
      <c r="JI2323" s="67"/>
      <c r="JJ2323" s="67"/>
      <c r="JK2323" s="67"/>
      <c r="JL2323" s="67"/>
      <c r="JM2323" s="67"/>
      <c r="JN2323" s="67"/>
      <c r="JO2323" s="67"/>
      <c r="JP2323" s="67"/>
      <c r="JQ2323" s="67"/>
      <c r="JR2323" s="67"/>
      <c r="JS2323" s="67"/>
      <c r="JT2323" s="67"/>
      <c r="JU2323" s="58"/>
      <c r="JV2323" s="58"/>
      <c r="JW2323" s="58"/>
    </row>
    <row r="2324" spans="1:283" s="23" customFormat="1" x14ac:dyDescent="0.25">
      <c r="A2324" s="55">
        <v>2323</v>
      </c>
      <c r="B2324" s="12" t="s">
        <v>7067</v>
      </c>
      <c r="C2324" s="156">
        <v>110</v>
      </c>
      <c r="D2324" s="58" t="s">
        <v>4198</v>
      </c>
      <c r="E2324" s="93" t="s">
        <v>2174</v>
      </c>
      <c r="F2324" s="93"/>
      <c r="G2324" s="58" t="s">
        <v>2264</v>
      </c>
      <c r="H2324" s="59">
        <v>1982</v>
      </c>
      <c r="I2324" s="58">
        <v>1977</v>
      </c>
      <c r="J2324" s="59" t="s">
        <v>1709</v>
      </c>
      <c r="K2324" s="59" t="s">
        <v>2265</v>
      </c>
      <c r="L2324" s="59" t="s">
        <v>2744</v>
      </c>
      <c r="M2324" s="94">
        <v>7.38</v>
      </c>
      <c r="N2324" s="94">
        <v>3.95</v>
      </c>
      <c r="O2324" s="93">
        <v>229.3</v>
      </c>
      <c r="P2324" s="59"/>
      <c r="Q2324" s="58"/>
      <c r="R2324" s="59"/>
      <c r="S2324" s="94"/>
      <c r="T2324" s="58"/>
      <c r="U2324" s="58">
        <v>4</v>
      </c>
      <c r="V2324" s="59">
        <v>4</v>
      </c>
      <c r="W2324" s="174"/>
      <c r="X2324" s="174"/>
      <c r="Y2324" s="58" t="s">
        <v>2266</v>
      </c>
      <c r="Z2324" s="58" t="s">
        <v>1355</v>
      </c>
      <c r="AA2324" s="94">
        <v>10</v>
      </c>
      <c r="AB2324" s="67"/>
      <c r="AC2324" s="67"/>
      <c r="AD2324" s="94">
        <v>1.31</v>
      </c>
      <c r="AE2324" s="93">
        <v>69.3</v>
      </c>
      <c r="AF2324" s="93">
        <v>9.5</v>
      </c>
      <c r="AG2324" s="93"/>
      <c r="AH2324" s="58" t="s">
        <v>238</v>
      </c>
      <c r="AI2324" s="169"/>
      <c r="AJ2324" s="94">
        <v>1.7</v>
      </c>
      <c r="AK2324" s="94"/>
      <c r="AL2324" s="58"/>
      <c r="AM2324" s="59" t="s">
        <v>2267</v>
      </c>
      <c r="AN2324" s="188" t="s">
        <v>2278</v>
      </c>
      <c r="AO2324" s="185" t="s">
        <v>5150</v>
      </c>
      <c r="AP2324" s="59"/>
      <c r="AQ2324" s="58" t="s">
        <v>553</v>
      </c>
      <c r="AR2324" s="59" t="s">
        <v>2283</v>
      </c>
      <c r="AS2324" s="58" t="s">
        <v>227</v>
      </c>
      <c r="AT2324" s="182"/>
      <c r="AU2324" s="181" t="s">
        <v>7494</v>
      </c>
      <c r="AV2324" s="185" t="s">
        <v>176</v>
      </c>
      <c r="AW2324" s="58"/>
      <c r="AX2324" s="185" t="s">
        <v>176</v>
      </c>
      <c r="AY2324" s="58"/>
      <c r="AZ2324" s="59"/>
      <c r="BA2324" s="58"/>
      <c r="BB2324" s="58"/>
      <c r="BC2324" s="58"/>
      <c r="BD2324" s="58"/>
      <c r="BE2324" s="240"/>
      <c r="BF2324" s="59"/>
      <c r="BG2324" s="59"/>
      <c r="BH2324" s="236"/>
      <c r="BI2324" s="58"/>
      <c r="BJ2324" s="58"/>
      <c r="BK2324" s="58" t="s">
        <v>5976</v>
      </c>
      <c r="BL2324" s="58"/>
      <c r="BM2324" s="241" t="s">
        <v>160</v>
      </c>
      <c r="BN2324" s="58">
        <v>3</v>
      </c>
      <c r="BO2324" s="58">
        <v>3</v>
      </c>
      <c r="BP2324" s="59"/>
      <c r="BQ2324" s="58" t="s">
        <v>141</v>
      </c>
      <c r="BR2324" s="58"/>
      <c r="BS2324" s="58"/>
      <c r="BT2324" s="58"/>
      <c r="BU2324" s="58" t="s">
        <v>2280</v>
      </c>
      <c r="BV2324" s="58"/>
      <c r="BW2324" s="67"/>
      <c r="BX2324" s="67"/>
      <c r="BY2324" s="67"/>
      <c r="BZ2324" s="67"/>
      <c r="CA2324" s="67"/>
      <c r="CB2324" s="153">
        <v>1440</v>
      </c>
      <c r="CC2324" s="68">
        <v>970</v>
      </c>
      <c r="CD2324" s="68"/>
      <c r="CE2324" s="67"/>
      <c r="CF2324" s="67"/>
      <c r="CG2324" s="67" t="s">
        <v>2284</v>
      </c>
      <c r="CH2324" s="94"/>
      <c r="CI2324" s="94"/>
      <c r="CJ2324" s="67"/>
      <c r="CK2324" s="67"/>
      <c r="CL2324" s="67"/>
      <c r="CM2324" s="67"/>
      <c r="CN2324" s="67"/>
      <c r="CO2324" s="67"/>
      <c r="CP2324" s="67"/>
      <c r="CQ2324" s="67"/>
      <c r="CR2324" s="67"/>
      <c r="CS2324" s="67"/>
      <c r="CT2324" s="67"/>
      <c r="CU2324" s="67"/>
      <c r="CV2324" s="67"/>
      <c r="CW2324" s="67"/>
      <c r="CX2324" s="67"/>
      <c r="CY2324" s="67"/>
      <c r="CZ2324" s="67"/>
      <c r="DA2324" s="67"/>
      <c r="DB2324" s="67"/>
      <c r="DC2324" s="67"/>
      <c r="DD2324" s="67"/>
      <c r="DE2324" s="67"/>
      <c r="DF2324" s="67"/>
      <c r="DG2324" s="67"/>
      <c r="DH2324" s="67"/>
      <c r="DI2324" s="67"/>
      <c r="DJ2324" s="67"/>
      <c r="DK2324" s="67"/>
      <c r="DL2324" s="67"/>
      <c r="DM2324" s="67"/>
      <c r="DN2324" s="67"/>
      <c r="DO2324" s="67"/>
      <c r="DP2324" s="67"/>
      <c r="DQ2324" s="166"/>
      <c r="DR2324" s="166"/>
      <c r="DS2324" s="163"/>
      <c r="DT2324" s="163"/>
      <c r="DU2324" s="67"/>
      <c r="DV2324" s="67"/>
      <c r="DW2324" s="67"/>
      <c r="DX2324" s="67"/>
      <c r="DY2324" s="67"/>
      <c r="DZ2324" s="67"/>
      <c r="EA2324" s="67"/>
      <c r="EB2324" s="67"/>
      <c r="EC2324" s="67"/>
      <c r="ED2324" s="67"/>
      <c r="EE2324" s="67"/>
      <c r="EF2324" s="67"/>
      <c r="EG2324" s="67"/>
      <c r="EH2324" s="67"/>
      <c r="EI2324" s="67"/>
      <c r="EJ2324" s="67"/>
      <c r="EK2324" s="94"/>
      <c r="EL2324" s="94"/>
      <c r="EM2324" s="67"/>
      <c r="EN2324" s="67"/>
      <c r="EO2324" s="67"/>
      <c r="EP2324" s="67"/>
      <c r="EQ2324" s="67"/>
      <c r="ER2324" s="67"/>
      <c r="ES2324" s="67"/>
      <c r="ET2324" s="67"/>
      <c r="EU2324" s="67"/>
      <c r="EV2324" s="67"/>
      <c r="EW2324" s="67"/>
      <c r="EX2324" s="67"/>
      <c r="EY2324" s="67"/>
      <c r="EZ2324" s="67"/>
      <c r="FA2324" s="67"/>
      <c r="FB2324" s="67"/>
      <c r="FC2324" s="67"/>
      <c r="FD2324" s="67"/>
      <c r="FE2324" s="67"/>
      <c r="FF2324" s="67"/>
      <c r="FG2324" s="67"/>
      <c r="FH2324" s="67"/>
      <c r="FI2324" s="67"/>
      <c r="FJ2324" s="67"/>
      <c r="FK2324" s="67"/>
      <c r="FL2324" s="67"/>
      <c r="FM2324" s="67"/>
      <c r="FN2324" s="67"/>
      <c r="FO2324" s="67"/>
      <c r="FP2324" s="67"/>
      <c r="FQ2324" s="67"/>
      <c r="FR2324" s="67"/>
      <c r="FS2324" s="67"/>
      <c r="FT2324" s="67"/>
      <c r="FU2324" s="67"/>
      <c r="FV2324" s="67"/>
      <c r="FW2324" s="67"/>
      <c r="FX2324" s="67"/>
      <c r="FY2324" s="67"/>
      <c r="FZ2324" s="67"/>
      <c r="GA2324" s="67"/>
      <c r="GB2324" s="67"/>
      <c r="GC2324" s="67"/>
      <c r="GD2324" s="67"/>
      <c r="GE2324" s="67"/>
      <c r="GF2324" s="67"/>
      <c r="GG2324" s="67"/>
      <c r="GH2324" s="67"/>
      <c r="GI2324" s="67"/>
      <c r="GJ2324" s="67"/>
      <c r="GK2324" s="67"/>
      <c r="GL2324" s="67"/>
      <c r="GM2324" s="67"/>
      <c r="GN2324" s="292"/>
      <c r="GO2324" s="292"/>
      <c r="GP2324" s="292" t="s">
        <v>7494</v>
      </c>
      <c r="GQ2324" s="67"/>
      <c r="GR2324" s="67"/>
      <c r="GS2324" s="67"/>
      <c r="GT2324" s="67"/>
      <c r="GU2324" s="67"/>
      <c r="GV2324" s="67"/>
      <c r="GW2324" s="67"/>
      <c r="GX2324" s="67"/>
      <c r="GY2324" s="67"/>
      <c r="GZ2324" s="67"/>
      <c r="HA2324" s="67"/>
      <c r="HB2324" s="67"/>
      <c r="HC2324" s="67"/>
      <c r="HD2324" s="67"/>
      <c r="HE2324" s="67"/>
      <c r="HF2324" s="67"/>
      <c r="HG2324" s="67"/>
      <c r="HH2324" s="67"/>
      <c r="HI2324" s="67"/>
      <c r="HJ2324" s="67"/>
      <c r="HK2324" s="67"/>
      <c r="HL2324" s="67"/>
      <c r="HM2324" s="67"/>
      <c r="HN2324" s="67"/>
      <c r="HO2324" s="67"/>
      <c r="HP2324" s="67"/>
      <c r="HQ2324" s="67"/>
      <c r="HR2324" s="67"/>
      <c r="HS2324" s="67"/>
      <c r="HT2324" s="67"/>
      <c r="HU2324" s="67"/>
      <c r="HV2324" s="67"/>
      <c r="HW2324" s="67"/>
      <c r="HX2324" s="67"/>
      <c r="HY2324" s="67"/>
      <c r="HZ2324" s="67"/>
      <c r="IA2324" s="67"/>
      <c r="IB2324" s="67"/>
      <c r="IC2324" s="67"/>
      <c r="ID2324" s="67"/>
      <c r="IE2324" s="67"/>
      <c r="IF2324" s="67"/>
      <c r="IG2324" s="67"/>
      <c r="IH2324" s="67"/>
      <c r="II2324" s="67"/>
      <c r="IJ2324" s="67"/>
      <c r="IK2324" s="67"/>
      <c r="IL2324" s="67"/>
      <c r="IM2324" s="67"/>
      <c r="IN2324" s="67"/>
      <c r="IO2324" s="67"/>
      <c r="IP2324" s="67"/>
      <c r="IQ2324" s="67"/>
      <c r="IR2324" s="67"/>
      <c r="IS2324" s="67"/>
      <c r="IT2324" s="67"/>
      <c r="IU2324" s="67"/>
      <c r="IV2324" s="67"/>
      <c r="IW2324" s="67"/>
      <c r="IX2324" s="67"/>
      <c r="IY2324" s="67"/>
      <c r="IZ2324" s="67"/>
      <c r="JA2324" s="67"/>
      <c r="JB2324" s="67"/>
      <c r="JC2324" s="67"/>
      <c r="JD2324" s="67"/>
      <c r="JE2324" s="67"/>
      <c r="JF2324" s="67"/>
      <c r="JG2324" s="67"/>
      <c r="JH2324" s="67"/>
      <c r="JI2324" s="67"/>
      <c r="JJ2324" s="67"/>
      <c r="JK2324" s="67"/>
      <c r="JL2324" s="67"/>
      <c r="JM2324" s="67"/>
      <c r="JN2324" s="67"/>
      <c r="JO2324" s="67"/>
      <c r="JP2324" s="67"/>
      <c r="JQ2324" s="67"/>
      <c r="JR2324" s="67"/>
      <c r="JS2324" s="67"/>
      <c r="JT2324" s="67"/>
      <c r="JU2324" s="58"/>
      <c r="JV2324" s="58"/>
      <c r="JW2324" s="58"/>
    </row>
    <row r="2325" spans="1:283" s="23" customFormat="1" x14ac:dyDescent="0.25">
      <c r="A2325" s="55">
        <v>2324</v>
      </c>
      <c r="B2325" s="12" t="s">
        <v>7067</v>
      </c>
      <c r="C2325" s="156">
        <v>110</v>
      </c>
      <c r="D2325" s="58" t="s">
        <v>4197</v>
      </c>
      <c r="E2325" s="93" t="s">
        <v>2174</v>
      </c>
      <c r="F2325" s="93"/>
      <c r="G2325" s="58" t="s">
        <v>2264</v>
      </c>
      <c r="H2325" s="59">
        <v>1982</v>
      </c>
      <c r="I2325" s="58">
        <v>1977</v>
      </c>
      <c r="J2325" s="59" t="s">
        <v>1709</v>
      </c>
      <c r="K2325" s="59" t="s">
        <v>2265</v>
      </c>
      <c r="L2325" s="59" t="s">
        <v>2744</v>
      </c>
      <c r="M2325" s="94">
        <v>7.38</v>
      </c>
      <c r="N2325" s="94">
        <v>3.95</v>
      </c>
      <c r="O2325" s="93">
        <v>229.3</v>
      </c>
      <c r="P2325" s="59"/>
      <c r="Q2325" s="58"/>
      <c r="R2325" s="59"/>
      <c r="S2325" s="94"/>
      <c r="T2325" s="58"/>
      <c r="U2325" s="58">
        <v>4</v>
      </c>
      <c r="V2325" s="59">
        <v>4</v>
      </c>
      <c r="W2325" s="174"/>
      <c r="X2325" s="174"/>
      <c r="Y2325" s="58" t="s">
        <v>2266</v>
      </c>
      <c r="Z2325" s="58" t="s">
        <v>1355</v>
      </c>
      <c r="AA2325" s="94">
        <v>10</v>
      </c>
      <c r="AB2325" s="67"/>
      <c r="AC2325" s="67"/>
      <c r="AD2325" s="94">
        <v>1.31</v>
      </c>
      <c r="AE2325" s="93">
        <v>69.3</v>
      </c>
      <c r="AF2325" s="93">
        <v>9.5</v>
      </c>
      <c r="AG2325" s="93"/>
      <c r="AH2325" s="58" t="s">
        <v>238</v>
      </c>
      <c r="AI2325" s="169"/>
      <c r="AJ2325" s="94">
        <v>1.7</v>
      </c>
      <c r="AK2325" s="94"/>
      <c r="AL2325" s="58"/>
      <c r="AM2325" s="59" t="s">
        <v>2267</v>
      </c>
      <c r="AN2325" s="188" t="s">
        <v>2271</v>
      </c>
      <c r="AO2325" s="185" t="s">
        <v>5150</v>
      </c>
      <c r="AP2325" s="59"/>
      <c r="AQ2325" s="58" t="s">
        <v>1545</v>
      </c>
      <c r="AR2325" s="59" t="s">
        <v>2283</v>
      </c>
      <c r="AS2325" s="58" t="s">
        <v>227</v>
      </c>
      <c r="AT2325" s="182"/>
      <c r="AU2325" s="181" t="s">
        <v>7494</v>
      </c>
      <c r="AV2325" s="185" t="s">
        <v>176</v>
      </c>
      <c r="AW2325" s="58"/>
      <c r="AX2325" s="185" t="s">
        <v>176</v>
      </c>
      <c r="AY2325" s="58"/>
      <c r="AZ2325" s="59"/>
      <c r="BA2325" s="58"/>
      <c r="BB2325" s="58"/>
      <c r="BC2325" s="58"/>
      <c r="BD2325" s="58"/>
      <c r="BE2325" s="240"/>
      <c r="BF2325" s="59"/>
      <c r="BG2325" s="59"/>
      <c r="BH2325" s="236"/>
      <c r="BI2325" s="58"/>
      <c r="BJ2325" s="58"/>
      <c r="BK2325" s="58" t="s">
        <v>5976</v>
      </c>
      <c r="BL2325" s="58"/>
      <c r="BM2325" s="241" t="s">
        <v>160</v>
      </c>
      <c r="BN2325" s="58">
        <v>3</v>
      </c>
      <c r="BO2325" s="58">
        <v>3</v>
      </c>
      <c r="BP2325" s="59"/>
      <c r="BQ2325" s="58" t="s">
        <v>141</v>
      </c>
      <c r="BR2325" s="58"/>
      <c r="BS2325" s="58"/>
      <c r="BT2325" s="58"/>
      <c r="BU2325" s="58" t="s">
        <v>2280</v>
      </c>
      <c r="BV2325" s="58"/>
      <c r="BW2325" s="67"/>
      <c r="BX2325" s="67"/>
      <c r="BY2325" s="67"/>
      <c r="BZ2325" s="67"/>
      <c r="CA2325" s="67"/>
      <c r="CB2325" s="153">
        <v>280</v>
      </c>
      <c r="CC2325" s="68">
        <v>280</v>
      </c>
      <c r="CD2325" s="68"/>
      <c r="CE2325" s="67"/>
      <c r="CF2325" s="67"/>
      <c r="CG2325" s="67" t="s">
        <v>2284</v>
      </c>
      <c r="CH2325" s="94"/>
      <c r="CI2325" s="94"/>
      <c r="CJ2325" s="67"/>
      <c r="CK2325" s="67"/>
      <c r="CL2325" s="67"/>
      <c r="CM2325" s="67"/>
      <c r="CN2325" s="67"/>
      <c r="CO2325" s="67"/>
      <c r="CP2325" s="67"/>
      <c r="CQ2325" s="67"/>
      <c r="CR2325" s="67"/>
      <c r="CS2325" s="67"/>
      <c r="CT2325" s="67"/>
      <c r="CU2325" s="67"/>
      <c r="CV2325" s="67"/>
      <c r="CW2325" s="67"/>
      <c r="CX2325" s="67"/>
      <c r="CY2325" s="67"/>
      <c r="CZ2325" s="67"/>
      <c r="DA2325" s="67"/>
      <c r="DB2325" s="67"/>
      <c r="DC2325" s="67"/>
      <c r="DD2325" s="67"/>
      <c r="DE2325" s="67"/>
      <c r="DF2325" s="67"/>
      <c r="DG2325" s="67"/>
      <c r="DH2325" s="67"/>
      <c r="DI2325" s="67"/>
      <c r="DJ2325" s="67"/>
      <c r="DK2325" s="67"/>
      <c r="DL2325" s="67"/>
      <c r="DM2325" s="67"/>
      <c r="DN2325" s="67"/>
      <c r="DO2325" s="67"/>
      <c r="DP2325" s="67"/>
      <c r="DQ2325" s="166"/>
      <c r="DR2325" s="166"/>
      <c r="DS2325" s="163"/>
      <c r="DT2325" s="163"/>
      <c r="DU2325" s="67"/>
      <c r="DV2325" s="67"/>
      <c r="DW2325" s="67"/>
      <c r="DX2325" s="67"/>
      <c r="DY2325" s="67"/>
      <c r="DZ2325" s="67"/>
      <c r="EA2325" s="67"/>
      <c r="EB2325" s="67"/>
      <c r="EC2325" s="67"/>
      <c r="ED2325" s="67"/>
      <c r="EE2325" s="67"/>
      <c r="EF2325" s="67"/>
      <c r="EG2325" s="67"/>
      <c r="EH2325" s="67"/>
      <c r="EI2325" s="67"/>
      <c r="EJ2325" s="67"/>
      <c r="EK2325" s="94"/>
      <c r="EL2325" s="94"/>
      <c r="EM2325" s="67"/>
      <c r="EN2325" s="67"/>
      <c r="EO2325" s="67"/>
      <c r="EP2325" s="67"/>
      <c r="EQ2325" s="67"/>
      <c r="ER2325" s="67"/>
      <c r="ES2325" s="67"/>
      <c r="ET2325" s="67"/>
      <c r="EU2325" s="67"/>
      <c r="EV2325" s="67"/>
      <c r="EW2325" s="67"/>
      <c r="EX2325" s="67"/>
      <c r="EY2325" s="67"/>
      <c r="EZ2325" s="67"/>
      <c r="FA2325" s="67"/>
      <c r="FB2325" s="67"/>
      <c r="FC2325" s="67"/>
      <c r="FD2325" s="67"/>
      <c r="FE2325" s="67"/>
      <c r="FF2325" s="67"/>
      <c r="FG2325" s="67"/>
      <c r="FH2325" s="67"/>
      <c r="FI2325" s="67"/>
      <c r="FJ2325" s="67"/>
      <c r="FK2325" s="67"/>
      <c r="FL2325" s="67"/>
      <c r="FM2325" s="67"/>
      <c r="FN2325" s="67"/>
      <c r="FO2325" s="67"/>
      <c r="FP2325" s="67"/>
      <c r="FQ2325" s="67"/>
      <c r="FR2325" s="67"/>
      <c r="FS2325" s="67"/>
      <c r="FT2325" s="67"/>
      <c r="FU2325" s="67"/>
      <c r="FV2325" s="67"/>
      <c r="FW2325" s="67"/>
      <c r="FX2325" s="67"/>
      <c r="FY2325" s="67"/>
      <c r="FZ2325" s="67"/>
      <c r="GA2325" s="67"/>
      <c r="GB2325" s="67"/>
      <c r="GC2325" s="67"/>
      <c r="GD2325" s="67"/>
      <c r="GE2325" s="67"/>
      <c r="GF2325" s="67"/>
      <c r="GG2325" s="67"/>
      <c r="GH2325" s="67"/>
      <c r="GI2325" s="67"/>
      <c r="GJ2325" s="67"/>
      <c r="GK2325" s="67"/>
      <c r="GL2325" s="67"/>
      <c r="GM2325" s="67"/>
      <c r="GN2325" s="292"/>
      <c r="GO2325" s="292"/>
      <c r="GP2325" s="292" t="s">
        <v>7494</v>
      </c>
      <c r="GQ2325" s="67"/>
      <c r="GR2325" s="67"/>
      <c r="GS2325" s="67"/>
      <c r="GT2325" s="67"/>
      <c r="GU2325" s="67"/>
      <c r="GV2325" s="67"/>
      <c r="GW2325" s="67"/>
      <c r="GX2325" s="67"/>
      <c r="GY2325" s="67"/>
      <c r="GZ2325" s="67"/>
      <c r="HA2325" s="67"/>
      <c r="HB2325" s="67"/>
      <c r="HC2325" s="67"/>
      <c r="HD2325" s="67"/>
      <c r="HE2325" s="67"/>
      <c r="HF2325" s="67"/>
      <c r="HG2325" s="67"/>
      <c r="HH2325" s="67"/>
      <c r="HI2325" s="67"/>
      <c r="HJ2325" s="67"/>
      <c r="HK2325" s="67"/>
      <c r="HL2325" s="67"/>
      <c r="HM2325" s="67"/>
      <c r="HN2325" s="67"/>
      <c r="HO2325" s="67"/>
      <c r="HP2325" s="67"/>
      <c r="HQ2325" s="67"/>
      <c r="HR2325" s="67"/>
      <c r="HS2325" s="67"/>
      <c r="HT2325" s="67"/>
      <c r="HU2325" s="67"/>
      <c r="HV2325" s="67"/>
      <c r="HW2325" s="67"/>
      <c r="HX2325" s="67"/>
      <c r="HY2325" s="67"/>
      <c r="HZ2325" s="67"/>
      <c r="IA2325" s="67"/>
      <c r="IB2325" s="67"/>
      <c r="IC2325" s="67"/>
      <c r="ID2325" s="67"/>
      <c r="IE2325" s="67"/>
      <c r="IF2325" s="67"/>
      <c r="IG2325" s="67"/>
      <c r="IH2325" s="67"/>
      <c r="II2325" s="67"/>
      <c r="IJ2325" s="67"/>
      <c r="IK2325" s="67"/>
      <c r="IL2325" s="67"/>
      <c r="IM2325" s="67"/>
      <c r="IN2325" s="67"/>
      <c r="IO2325" s="67"/>
      <c r="IP2325" s="67"/>
      <c r="IQ2325" s="67"/>
      <c r="IR2325" s="67"/>
      <c r="IS2325" s="67"/>
      <c r="IT2325" s="67"/>
      <c r="IU2325" s="67"/>
      <c r="IV2325" s="67"/>
      <c r="IW2325" s="67"/>
      <c r="IX2325" s="67"/>
      <c r="IY2325" s="67"/>
      <c r="IZ2325" s="67"/>
      <c r="JA2325" s="67"/>
      <c r="JB2325" s="67"/>
      <c r="JC2325" s="67"/>
      <c r="JD2325" s="67"/>
      <c r="JE2325" s="67"/>
      <c r="JF2325" s="67"/>
      <c r="JG2325" s="67"/>
      <c r="JH2325" s="67"/>
      <c r="JI2325" s="67"/>
      <c r="JJ2325" s="67"/>
      <c r="JK2325" s="67"/>
      <c r="JL2325" s="67"/>
      <c r="JM2325" s="67"/>
      <c r="JN2325" s="67"/>
      <c r="JO2325" s="67"/>
      <c r="JP2325" s="67"/>
      <c r="JQ2325" s="67"/>
      <c r="JR2325" s="67"/>
      <c r="JS2325" s="67"/>
      <c r="JT2325" s="67"/>
      <c r="JU2325" s="58"/>
      <c r="JV2325" s="58"/>
      <c r="JW2325" s="58"/>
    </row>
    <row r="2326" spans="1:283" s="23" customFormat="1" x14ac:dyDescent="0.25">
      <c r="A2326" s="55">
        <v>2325</v>
      </c>
      <c r="B2326" s="12" t="s">
        <v>7067</v>
      </c>
      <c r="C2326" s="156">
        <v>110</v>
      </c>
      <c r="D2326" s="58" t="s">
        <v>4197</v>
      </c>
      <c r="E2326" s="93" t="s">
        <v>2174</v>
      </c>
      <c r="F2326" s="93"/>
      <c r="G2326" s="58" t="s">
        <v>2264</v>
      </c>
      <c r="H2326" s="59">
        <v>1982</v>
      </c>
      <c r="I2326" s="58">
        <v>1977</v>
      </c>
      <c r="J2326" s="59" t="s">
        <v>1709</v>
      </c>
      <c r="K2326" s="59" t="s">
        <v>2265</v>
      </c>
      <c r="L2326" s="59" t="s">
        <v>2744</v>
      </c>
      <c r="M2326" s="94">
        <v>7.38</v>
      </c>
      <c r="N2326" s="94">
        <v>3.95</v>
      </c>
      <c r="O2326" s="93">
        <v>229.3</v>
      </c>
      <c r="P2326" s="59"/>
      <c r="Q2326" s="58"/>
      <c r="R2326" s="59"/>
      <c r="S2326" s="94"/>
      <c r="T2326" s="58"/>
      <c r="U2326" s="58">
        <v>4</v>
      </c>
      <c r="V2326" s="59">
        <v>4</v>
      </c>
      <c r="W2326" s="174"/>
      <c r="X2326" s="174"/>
      <c r="Y2326" s="58" t="s">
        <v>2266</v>
      </c>
      <c r="Z2326" s="58" t="s">
        <v>1355</v>
      </c>
      <c r="AA2326" s="94">
        <v>10</v>
      </c>
      <c r="AB2326" s="67"/>
      <c r="AC2326" s="67"/>
      <c r="AD2326" s="94">
        <v>1.31</v>
      </c>
      <c r="AE2326" s="93">
        <v>69.3</v>
      </c>
      <c r="AF2326" s="93">
        <v>9.5</v>
      </c>
      <c r="AG2326" s="93"/>
      <c r="AH2326" s="58" t="s">
        <v>238</v>
      </c>
      <c r="AI2326" s="169"/>
      <c r="AJ2326" s="94">
        <v>1.7</v>
      </c>
      <c r="AK2326" s="94"/>
      <c r="AL2326" s="58"/>
      <c r="AM2326" s="59" t="s">
        <v>2267</v>
      </c>
      <c r="AN2326" s="188" t="s">
        <v>2272</v>
      </c>
      <c r="AO2326" s="185" t="s">
        <v>5150</v>
      </c>
      <c r="AP2326" s="59"/>
      <c r="AQ2326" s="58" t="s">
        <v>1545</v>
      </c>
      <c r="AR2326" s="59" t="s">
        <v>2283</v>
      </c>
      <c r="AS2326" s="58" t="s">
        <v>227</v>
      </c>
      <c r="AT2326" s="182"/>
      <c r="AU2326" s="181" t="s">
        <v>7494</v>
      </c>
      <c r="AV2326" s="185" t="s">
        <v>176</v>
      </c>
      <c r="AW2326" s="58"/>
      <c r="AX2326" s="185" t="s">
        <v>176</v>
      </c>
      <c r="AY2326" s="58"/>
      <c r="AZ2326" s="59"/>
      <c r="BA2326" s="58"/>
      <c r="BB2326" s="58"/>
      <c r="BC2326" s="58"/>
      <c r="BD2326" s="58"/>
      <c r="BE2326" s="240"/>
      <c r="BF2326" s="59"/>
      <c r="BG2326" s="59"/>
      <c r="BH2326" s="236"/>
      <c r="BI2326" s="58"/>
      <c r="BJ2326" s="58"/>
      <c r="BK2326" s="58" t="s">
        <v>5976</v>
      </c>
      <c r="BL2326" s="58"/>
      <c r="BM2326" s="241" t="s">
        <v>160</v>
      </c>
      <c r="BN2326" s="58">
        <v>3</v>
      </c>
      <c r="BO2326" s="58">
        <v>3</v>
      </c>
      <c r="BP2326" s="59"/>
      <c r="BQ2326" s="58" t="s">
        <v>141</v>
      </c>
      <c r="BR2326" s="58"/>
      <c r="BS2326" s="58"/>
      <c r="BT2326" s="58"/>
      <c r="BU2326" s="58" t="s">
        <v>2280</v>
      </c>
      <c r="BV2326" s="58"/>
      <c r="BW2326" s="67"/>
      <c r="BX2326" s="67"/>
      <c r="BY2326" s="67"/>
      <c r="BZ2326" s="67"/>
      <c r="CA2326" s="67"/>
      <c r="CB2326" s="153"/>
      <c r="CC2326" s="68"/>
      <c r="CD2326" s="68"/>
      <c r="CE2326" s="67"/>
      <c r="CF2326" s="67"/>
      <c r="CG2326" s="67" t="s">
        <v>2284</v>
      </c>
      <c r="CH2326" s="94"/>
      <c r="CI2326" s="94"/>
      <c r="CJ2326" s="67"/>
      <c r="CK2326" s="67"/>
      <c r="CL2326" s="67"/>
      <c r="CM2326" s="67"/>
      <c r="CN2326" s="67"/>
      <c r="CO2326" s="67"/>
      <c r="CP2326" s="67"/>
      <c r="CQ2326" s="67"/>
      <c r="CR2326" s="67"/>
      <c r="CS2326" s="67"/>
      <c r="CT2326" s="67"/>
      <c r="CU2326" s="67"/>
      <c r="CV2326" s="67"/>
      <c r="CW2326" s="67"/>
      <c r="CX2326" s="67"/>
      <c r="CY2326" s="67"/>
      <c r="CZ2326" s="67"/>
      <c r="DA2326" s="67"/>
      <c r="DB2326" s="67"/>
      <c r="DC2326" s="67"/>
      <c r="DD2326" s="67"/>
      <c r="DE2326" s="67"/>
      <c r="DF2326" s="67"/>
      <c r="DG2326" s="67"/>
      <c r="DH2326" s="67"/>
      <c r="DI2326" s="67"/>
      <c r="DJ2326" s="67"/>
      <c r="DK2326" s="67"/>
      <c r="DL2326" s="67"/>
      <c r="DM2326" s="67"/>
      <c r="DN2326" s="67"/>
      <c r="DO2326" s="67"/>
      <c r="DP2326" s="67"/>
      <c r="DQ2326" s="166"/>
      <c r="DR2326" s="166"/>
      <c r="DS2326" s="163"/>
      <c r="DT2326" s="163"/>
      <c r="DU2326" s="67"/>
      <c r="DV2326" s="67"/>
      <c r="DW2326" s="67"/>
      <c r="DX2326" s="67"/>
      <c r="DY2326" s="67"/>
      <c r="DZ2326" s="67"/>
      <c r="EA2326" s="67"/>
      <c r="EB2326" s="67"/>
      <c r="EC2326" s="67"/>
      <c r="ED2326" s="67"/>
      <c r="EE2326" s="67"/>
      <c r="EF2326" s="67"/>
      <c r="EG2326" s="67"/>
      <c r="EH2326" s="67"/>
      <c r="EI2326" s="67"/>
      <c r="EJ2326" s="67"/>
      <c r="EK2326" s="94"/>
      <c r="EL2326" s="94"/>
      <c r="EM2326" s="67"/>
      <c r="EN2326" s="67"/>
      <c r="EO2326" s="67"/>
      <c r="EP2326" s="67"/>
      <c r="EQ2326" s="67"/>
      <c r="ER2326" s="67"/>
      <c r="ES2326" s="67"/>
      <c r="ET2326" s="67"/>
      <c r="EU2326" s="67"/>
      <c r="EV2326" s="67"/>
      <c r="EW2326" s="67"/>
      <c r="EX2326" s="67"/>
      <c r="EY2326" s="67"/>
      <c r="EZ2326" s="67"/>
      <c r="FA2326" s="67"/>
      <c r="FB2326" s="67"/>
      <c r="FC2326" s="67"/>
      <c r="FD2326" s="67"/>
      <c r="FE2326" s="67"/>
      <c r="FF2326" s="67"/>
      <c r="FG2326" s="67"/>
      <c r="FH2326" s="67"/>
      <c r="FI2326" s="67"/>
      <c r="FJ2326" s="67"/>
      <c r="FK2326" s="67"/>
      <c r="FL2326" s="67"/>
      <c r="FM2326" s="67"/>
      <c r="FN2326" s="67"/>
      <c r="FO2326" s="67"/>
      <c r="FP2326" s="67"/>
      <c r="FQ2326" s="67"/>
      <c r="FR2326" s="67"/>
      <c r="FS2326" s="67"/>
      <c r="FT2326" s="67"/>
      <c r="FU2326" s="67"/>
      <c r="FV2326" s="67"/>
      <c r="FW2326" s="67"/>
      <c r="FX2326" s="67"/>
      <c r="FY2326" s="67"/>
      <c r="FZ2326" s="67"/>
      <c r="GA2326" s="67"/>
      <c r="GB2326" s="67"/>
      <c r="GC2326" s="67"/>
      <c r="GD2326" s="67"/>
      <c r="GE2326" s="67"/>
      <c r="GF2326" s="67"/>
      <c r="GG2326" s="67"/>
      <c r="GH2326" s="67"/>
      <c r="GI2326" s="67"/>
      <c r="GJ2326" s="67"/>
      <c r="GK2326" s="67"/>
      <c r="GL2326" s="67"/>
      <c r="GM2326" s="67"/>
      <c r="GN2326" s="292"/>
      <c r="GO2326" s="292"/>
      <c r="GP2326" s="292" t="s">
        <v>7494</v>
      </c>
      <c r="GQ2326" s="67"/>
      <c r="GR2326" s="67"/>
      <c r="GS2326" s="67"/>
      <c r="GT2326" s="67"/>
      <c r="GU2326" s="67"/>
      <c r="GV2326" s="67"/>
      <c r="GW2326" s="67"/>
      <c r="GX2326" s="67"/>
      <c r="GY2326" s="67"/>
      <c r="GZ2326" s="67"/>
      <c r="HA2326" s="67"/>
      <c r="HB2326" s="67"/>
      <c r="HC2326" s="67"/>
      <c r="HD2326" s="67"/>
      <c r="HE2326" s="67"/>
      <c r="HF2326" s="67"/>
      <c r="HG2326" s="67"/>
      <c r="HH2326" s="67"/>
      <c r="HI2326" s="67"/>
      <c r="HJ2326" s="67"/>
      <c r="HK2326" s="67"/>
      <c r="HL2326" s="67"/>
      <c r="HM2326" s="67"/>
      <c r="HN2326" s="67"/>
      <c r="HO2326" s="67"/>
      <c r="HP2326" s="67"/>
      <c r="HQ2326" s="67"/>
      <c r="HR2326" s="67"/>
      <c r="HS2326" s="67"/>
      <c r="HT2326" s="67"/>
      <c r="HU2326" s="67"/>
      <c r="HV2326" s="67"/>
      <c r="HW2326" s="67"/>
      <c r="HX2326" s="67"/>
      <c r="HY2326" s="67"/>
      <c r="HZ2326" s="67"/>
      <c r="IA2326" s="67"/>
      <c r="IB2326" s="67"/>
      <c r="IC2326" s="67"/>
      <c r="ID2326" s="67"/>
      <c r="IE2326" s="67"/>
      <c r="IF2326" s="67"/>
      <c r="IG2326" s="67"/>
      <c r="IH2326" s="67"/>
      <c r="II2326" s="67"/>
      <c r="IJ2326" s="67"/>
      <c r="IK2326" s="67"/>
      <c r="IL2326" s="67"/>
      <c r="IM2326" s="67"/>
      <c r="IN2326" s="67"/>
      <c r="IO2326" s="67"/>
      <c r="IP2326" s="67"/>
      <c r="IQ2326" s="67"/>
      <c r="IR2326" s="67"/>
      <c r="IS2326" s="67"/>
      <c r="IT2326" s="67"/>
      <c r="IU2326" s="67"/>
      <c r="IV2326" s="67"/>
      <c r="IW2326" s="67"/>
      <c r="IX2326" s="67"/>
      <c r="IY2326" s="67"/>
      <c r="IZ2326" s="67"/>
      <c r="JA2326" s="67"/>
      <c r="JB2326" s="67"/>
      <c r="JC2326" s="67"/>
      <c r="JD2326" s="67"/>
      <c r="JE2326" s="67"/>
      <c r="JF2326" s="67"/>
      <c r="JG2326" s="67"/>
      <c r="JH2326" s="67"/>
      <c r="JI2326" s="67"/>
      <c r="JJ2326" s="67"/>
      <c r="JK2326" s="67"/>
      <c r="JL2326" s="67"/>
      <c r="JM2326" s="67"/>
      <c r="JN2326" s="67"/>
      <c r="JO2326" s="67"/>
      <c r="JP2326" s="67"/>
      <c r="JQ2326" s="67"/>
      <c r="JR2326" s="67"/>
      <c r="JS2326" s="67"/>
      <c r="JT2326" s="67"/>
      <c r="JU2326" s="58"/>
      <c r="JV2326" s="58"/>
      <c r="JW2326" s="58"/>
    </row>
    <row r="2327" spans="1:283" s="23" customFormat="1" x14ac:dyDescent="0.25">
      <c r="A2327" s="55">
        <v>2326</v>
      </c>
      <c r="B2327" s="12" t="s">
        <v>7067</v>
      </c>
      <c r="C2327" s="156">
        <v>110</v>
      </c>
      <c r="D2327" s="58" t="s">
        <v>4197</v>
      </c>
      <c r="E2327" s="93" t="s">
        <v>2174</v>
      </c>
      <c r="F2327" s="93"/>
      <c r="G2327" s="58" t="s">
        <v>2264</v>
      </c>
      <c r="H2327" s="59">
        <v>1982</v>
      </c>
      <c r="I2327" s="58">
        <v>1977</v>
      </c>
      <c r="J2327" s="59" t="s">
        <v>1709</v>
      </c>
      <c r="K2327" s="59" t="s">
        <v>2265</v>
      </c>
      <c r="L2327" s="59" t="s">
        <v>2744</v>
      </c>
      <c r="M2327" s="94">
        <v>7.38</v>
      </c>
      <c r="N2327" s="94">
        <v>3.95</v>
      </c>
      <c r="O2327" s="93">
        <v>229.3</v>
      </c>
      <c r="P2327" s="59"/>
      <c r="Q2327" s="58"/>
      <c r="R2327" s="59"/>
      <c r="S2327" s="94"/>
      <c r="T2327" s="58"/>
      <c r="U2327" s="58">
        <v>4</v>
      </c>
      <c r="V2327" s="59">
        <v>4</v>
      </c>
      <c r="W2327" s="174"/>
      <c r="X2327" s="174"/>
      <c r="Y2327" s="58" t="s">
        <v>2266</v>
      </c>
      <c r="Z2327" s="58" t="s">
        <v>1355</v>
      </c>
      <c r="AA2327" s="94">
        <v>10</v>
      </c>
      <c r="AB2327" s="67"/>
      <c r="AC2327" s="67"/>
      <c r="AD2327" s="94">
        <v>1.31</v>
      </c>
      <c r="AE2327" s="93">
        <v>69.3</v>
      </c>
      <c r="AF2327" s="93">
        <v>9.5</v>
      </c>
      <c r="AG2327" s="93"/>
      <c r="AH2327" s="58" t="s">
        <v>238</v>
      </c>
      <c r="AI2327" s="169"/>
      <c r="AJ2327" s="94">
        <v>1.7</v>
      </c>
      <c r="AK2327" s="94"/>
      <c r="AL2327" s="58"/>
      <c r="AM2327" s="59" t="s">
        <v>2267</v>
      </c>
      <c r="AN2327" s="188" t="s">
        <v>2273</v>
      </c>
      <c r="AO2327" s="185" t="s">
        <v>5150</v>
      </c>
      <c r="AP2327" s="59"/>
      <c r="AQ2327" s="58" t="s">
        <v>1545</v>
      </c>
      <c r="AR2327" s="59" t="s">
        <v>2283</v>
      </c>
      <c r="AS2327" s="58" t="s">
        <v>227</v>
      </c>
      <c r="AT2327" s="182"/>
      <c r="AU2327" s="181" t="s">
        <v>7494</v>
      </c>
      <c r="AV2327" s="185" t="s">
        <v>176</v>
      </c>
      <c r="AW2327" s="58"/>
      <c r="AX2327" s="185" t="s">
        <v>176</v>
      </c>
      <c r="AY2327" s="58"/>
      <c r="AZ2327" s="59"/>
      <c r="BA2327" s="58"/>
      <c r="BB2327" s="58"/>
      <c r="BC2327" s="58"/>
      <c r="BD2327" s="58"/>
      <c r="BE2327" s="240"/>
      <c r="BF2327" s="59"/>
      <c r="BG2327" s="59"/>
      <c r="BH2327" s="236"/>
      <c r="BI2327" s="58"/>
      <c r="BJ2327" s="58"/>
      <c r="BK2327" s="58" t="s">
        <v>5976</v>
      </c>
      <c r="BL2327" s="58"/>
      <c r="BM2327" s="241" t="s">
        <v>160</v>
      </c>
      <c r="BN2327" s="58">
        <v>3</v>
      </c>
      <c r="BO2327" s="58">
        <v>3</v>
      </c>
      <c r="BP2327" s="59"/>
      <c r="BQ2327" s="58" t="s">
        <v>141</v>
      </c>
      <c r="BR2327" s="58"/>
      <c r="BS2327" s="58"/>
      <c r="BT2327" s="58"/>
      <c r="BU2327" s="58" t="s">
        <v>2280</v>
      </c>
      <c r="BV2327" s="58"/>
      <c r="BW2327" s="67"/>
      <c r="BX2327" s="67"/>
      <c r="BY2327" s="67"/>
      <c r="BZ2327" s="67"/>
      <c r="CA2327" s="67"/>
      <c r="CB2327" s="153"/>
      <c r="CC2327" s="68"/>
      <c r="CD2327" s="68"/>
      <c r="CE2327" s="67"/>
      <c r="CF2327" s="67"/>
      <c r="CG2327" s="67" t="s">
        <v>2284</v>
      </c>
      <c r="CH2327" s="94"/>
      <c r="CI2327" s="94"/>
      <c r="CJ2327" s="67"/>
      <c r="CK2327" s="67"/>
      <c r="CL2327" s="67"/>
      <c r="CM2327" s="67"/>
      <c r="CN2327" s="67"/>
      <c r="CO2327" s="67"/>
      <c r="CP2327" s="67"/>
      <c r="CQ2327" s="67"/>
      <c r="CR2327" s="67"/>
      <c r="CS2327" s="67"/>
      <c r="CT2327" s="67"/>
      <c r="CU2327" s="67"/>
      <c r="CV2327" s="67"/>
      <c r="CW2327" s="67"/>
      <c r="CX2327" s="67"/>
      <c r="CY2327" s="67"/>
      <c r="CZ2327" s="67"/>
      <c r="DA2327" s="67"/>
      <c r="DB2327" s="67"/>
      <c r="DC2327" s="67"/>
      <c r="DD2327" s="67"/>
      <c r="DE2327" s="67"/>
      <c r="DF2327" s="67"/>
      <c r="DG2327" s="67"/>
      <c r="DH2327" s="67"/>
      <c r="DI2327" s="67"/>
      <c r="DJ2327" s="67"/>
      <c r="DK2327" s="67"/>
      <c r="DL2327" s="67"/>
      <c r="DM2327" s="67"/>
      <c r="DN2327" s="67"/>
      <c r="DO2327" s="67"/>
      <c r="DP2327" s="67"/>
      <c r="DQ2327" s="166"/>
      <c r="DR2327" s="166"/>
      <c r="DS2327" s="163"/>
      <c r="DT2327" s="163"/>
      <c r="DU2327" s="67"/>
      <c r="DV2327" s="67"/>
      <c r="DW2327" s="67"/>
      <c r="DX2327" s="67"/>
      <c r="DY2327" s="67"/>
      <c r="DZ2327" s="67"/>
      <c r="EA2327" s="67"/>
      <c r="EB2327" s="67"/>
      <c r="EC2327" s="67"/>
      <c r="ED2327" s="67"/>
      <c r="EE2327" s="67"/>
      <c r="EF2327" s="67"/>
      <c r="EG2327" s="67"/>
      <c r="EH2327" s="67"/>
      <c r="EI2327" s="67"/>
      <c r="EJ2327" s="67"/>
      <c r="EK2327" s="94"/>
      <c r="EL2327" s="94"/>
      <c r="EM2327" s="67"/>
      <c r="EN2327" s="67"/>
      <c r="EO2327" s="67"/>
      <c r="EP2327" s="67"/>
      <c r="EQ2327" s="67"/>
      <c r="ER2327" s="67"/>
      <c r="ES2327" s="67"/>
      <c r="ET2327" s="67"/>
      <c r="EU2327" s="67"/>
      <c r="EV2327" s="67"/>
      <c r="EW2327" s="67"/>
      <c r="EX2327" s="67"/>
      <c r="EY2327" s="67"/>
      <c r="EZ2327" s="67"/>
      <c r="FA2327" s="67"/>
      <c r="FB2327" s="67"/>
      <c r="FC2327" s="67"/>
      <c r="FD2327" s="67"/>
      <c r="FE2327" s="67"/>
      <c r="FF2327" s="67"/>
      <c r="FG2327" s="67"/>
      <c r="FH2327" s="67"/>
      <c r="FI2327" s="67"/>
      <c r="FJ2327" s="67"/>
      <c r="FK2327" s="67"/>
      <c r="FL2327" s="67"/>
      <c r="FM2327" s="67"/>
      <c r="FN2327" s="67"/>
      <c r="FO2327" s="67"/>
      <c r="FP2327" s="67"/>
      <c r="FQ2327" s="67"/>
      <c r="FR2327" s="67"/>
      <c r="FS2327" s="67"/>
      <c r="FT2327" s="67"/>
      <c r="FU2327" s="67"/>
      <c r="FV2327" s="67"/>
      <c r="FW2327" s="67"/>
      <c r="FX2327" s="67"/>
      <c r="FY2327" s="67"/>
      <c r="FZ2327" s="67"/>
      <c r="GA2327" s="67"/>
      <c r="GB2327" s="67"/>
      <c r="GC2327" s="67"/>
      <c r="GD2327" s="67"/>
      <c r="GE2327" s="67"/>
      <c r="GF2327" s="67"/>
      <c r="GG2327" s="67"/>
      <c r="GH2327" s="67"/>
      <c r="GI2327" s="67"/>
      <c r="GJ2327" s="67"/>
      <c r="GK2327" s="67"/>
      <c r="GL2327" s="67"/>
      <c r="GM2327" s="67"/>
      <c r="GN2327" s="292"/>
      <c r="GO2327" s="292"/>
      <c r="GP2327" s="292" t="s">
        <v>7494</v>
      </c>
      <c r="GQ2327" s="67"/>
      <c r="GR2327" s="67"/>
      <c r="GS2327" s="67"/>
      <c r="GT2327" s="67"/>
      <c r="GU2327" s="67"/>
      <c r="GV2327" s="67"/>
      <c r="GW2327" s="67"/>
      <c r="GX2327" s="67"/>
      <c r="GY2327" s="67"/>
      <c r="GZ2327" s="67"/>
      <c r="HA2327" s="67"/>
      <c r="HB2327" s="67"/>
      <c r="HC2327" s="67"/>
      <c r="HD2327" s="67"/>
      <c r="HE2327" s="67"/>
      <c r="HF2327" s="67"/>
      <c r="HG2327" s="67"/>
      <c r="HH2327" s="67"/>
      <c r="HI2327" s="67"/>
      <c r="HJ2327" s="67"/>
      <c r="HK2327" s="67"/>
      <c r="HL2327" s="67"/>
      <c r="HM2327" s="67"/>
      <c r="HN2327" s="67"/>
      <c r="HO2327" s="67"/>
      <c r="HP2327" s="67"/>
      <c r="HQ2327" s="67"/>
      <c r="HR2327" s="67"/>
      <c r="HS2327" s="67"/>
      <c r="HT2327" s="67"/>
      <c r="HU2327" s="67"/>
      <c r="HV2327" s="67"/>
      <c r="HW2327" s="67"/>
      <c r="HX2327" s="67"/>
      <c r="HY2327" s="67"/>
      <c r="HZ2327" s="67"/>
      <c r="IA2327" s="67"/>
      <c r="IB2327" s="67"/>
      <c r="IC2327" s="67"/>
      <c r="ID2327" s="67"/>
      <c r="IE2327" s="67"/>
      <c r="IF2327" s="67"/>
      <c r="IG2327" s="67"/>
      <c r="IH2327" s="67"/>
      <c r="II2327" s="67"/>
      <c r="IJ2327" s="67"/>
      <c r="IK2327" s="67"/>
      <c r="IL2327" s="67"/>
      <c r="IM2327" s="67"/>
      <c r="IN2327" s="67"/>
      <c r="IO2327" s="67"/>
      <c r="IP2327" s="67"/>
      <c r="IQ2327" s="67"/>
      <c r="IR2327" s="67"/>
      <c r="IS2327" s="67"/>
      <c r="IT2327" s="67"/>
      <c r="IU2327" s="67"/>
      <c r="IV2327" s="67"/>
      <c r="IW2327" s="67"/>
      <c r="IX2327" s="67"/>
      <c r="IY2327" s="67"/>
      <c r="IZ2327" s="67"/>
      <c r="JA2327" s="67"/>
      <c r="JB2327" s="67"/>
      <c r="JC2327" s="67"/>
      <c r="JD2327" s="67"/>
      <c r="JE2327" s="67"/>
      <c r="JF2327" s="67"/>
      <c r="JG2327" s="67"/>
      <c r="JH2327" s="67"/>
      <c r="JI2327" s="67"/>
      <c r="JJ2327" s="67"/>
      <c r="JK2327" s="67"/>
      <c r="JL2327" s="67"/>
      <c r="JM2327" s="67"/>
      <c r="JN2327" s="67"/>
      <c r="JO2327" s="67"/>
      <c r="JP2327" s="67"/>
      <c r="JQ2327" s="67"/>
      <c r="JR2327" s="67"/>
      <c r="JS2327" s="67"/>
      <c r="JT2327" s="67"/>
      <c r="JU2327" s="58"/>
      <c r="JV2327" s="58"/>
      <c r="JW2327" s="58"/>
    </row>
    <row r="2328" spans="1:283" s="23" customFormat="1" x14ac:dyDescent="0.25">
      <c r="A2328" s="55">
        <v>2327</v>
      </c>
      <c r="B2328" s="12" t="s">
        <v>7067</v>
      </c>
      <c r="C2328" s="156">
        <v>110</v>
      </c>
      <c r="D2328" s="58" t="s">
        <v>4198</v>
      </c>
      <c r="E2328" s="93" t="s">
        <v>2174</v>
      </c>
      <c r="F2328" s="93"/>
      <c r="G2328" s="58" t="s">
        <v>2264</v>
      </c>
      <c r="H2328" s="59">
        <v>1982</v>
      </c>
      <c r="I2328" s="58">
        <v>1977</v>
      </c>
      <c r="J2328" s="59" t="s">
        <v>1709</v>
      </c>
      <c r="K2328" s="59" t="s">
        <v>2265</v>
      </c>
      <c r="L2328" s="59" t="s">
        <v>2744</v>
      </c>
      <c r="M2328" s="94">
        <v>7.38</v>
      </c>
      <c r="N2328" s="94">
        <v>3.95</v>
      </c>
      <c r="O2328" s="93">
        <v>229.3</v>
      </c>
      <c r="P2328" s="59"/>
      <c r="Q2328" s="58"/>
      <c r="R2328" s="59"/>
      <c r="S2328" s="94"/>
      <c r="T2328" s="58"/>
      <c r="U2328" s="58">
        <v>4</v>
      </c>
      <c r="V2328" s="59">
        <v>4</v>
      </c>
      <c r="W2328" s="174"/>
      <c r="X2328" s="174"/>
      <c r="Y2328" s="58" t="s">
        <v>2266</v>
      </c>
      <c r="Z2328" s="58" t="s">
        <v>1355</v>
      </c>
      <c r="AA2328" s="94">
        <v>10</v>
      </c>
      <c r="AB2328" s="67"/>
      <c r="AC2328" s="67"/>
      <c r="AD2328" s="94">
        <v>1.31</v>
      </c>
      <c r="AE2328" s="93">
        <v>69.3</v>
      </c>
      <c r="AF2328" s="93">
        <v>9.5</v>
      </c>
      <c r="AG2328" s="93"/>
      <c r="AH2328" s="58" t="s">
        <v>238</v>
      </c>
      <c r="AI2328" s="169"/>
      <c r="AJ2328" s="94">
        <v>1.7</v>
      </c>
      <c r="AK2328" s="94"/>
      <c r="AL2328" s="58"/>
      <c r="AM2328" s="59" t="s">
        <v>2267</v>
      </c>
      <c r="AN2328" s="188" t="s">
        <v>2274</v>
      </c>
      <c r="AO2328" s="185" t="s">
        <v>5150</v>
      </c>
      <c r="AP2328" s="59"/>
      <c r="AQ2328" s="58" t="s">
        <v>553</v>
      </c>
      <c r="AR2328" s="59" t="s">
        <v>2283</v>
      </c>
      <c r="AS2328" s="58" t="s">
        <v>227</v>
      </c>
      <c r="AT2328" s="182"/>
      <c r="AU2328" s="181" t="s">
        <v>7494</v>
      </c>
      <c r="AV2328" s="185" t="s">
        <v>176</v>
      </c>
      <c r="AW2328" s="58"/>
      <c r="AX2328" s="185" t="s">
        <v>176</v>
      </c>
      <c r="AY2328" s="58"/>
      <c r="AZ2328" s="59"/>
      <c r="BA2328" s="58"/>
      <c r="BB2328" s="58"/>
      <c r="BC2328" s="58"/>
      <c r="BD2328" s="58"/>
      <c r="BE2328" s="240"/>
      <c r="BF2328" s="59"/>
      <c r="BG2328" s="59"/>
      <c r="BH2328" s="236"/>
      <c r="BI2328" s="58"/>
      <c r="BJ2328" s="58"/>
      <c r="BK2328" s="58" t="s">
        <v>5976</v>
      </c>
      <c r="BL2328" s="58"/>
      <c r="BM2328" s="241" t="s">
        <v>160</v>
      </c>
      <c r="BN2328" s="58">
        <v>3</v>
      </c>
      <c r="BO2328" s="58">
        <v>3</v>
      </c>
      <c r="BP2328" s="59"/>
      <c r="BQ2328" s="58" t="s">
        <v>141</v>
      </c>
      <c r="BR2328" s="58"/>
      <c r="BS2328" s="58"/>
      <c r="BT2328" s="58"/>
      <c r="BU2328" s="58" t="s">
        <v>2280</v>
      </c>
      <c r="BV2328" s="58"/>
      <c r="BW2328" s="67"/>
      <c r="BX2328" s="67"/>
      <c r="BY2328" s="67"/>
      <c r="BZ2328" s="67"/>
      <c r="CA2328" s="67"/>
      <c r="CB2328" s="153">
        <v>280</v>
      </c>
      <c r="CC2328" s="68">
        <v>2440</v>
      </c>
      <c r="CD2328" s="68"/>
      <c r="CE2328" s="67"/>
      <c r="CF2328" s="67"/>
      <c r="CG2328" s="67" t="s">
        <v>2284</v>
      </c>
      <c r="CH2328" s="94"/>
      <c r="CI2328" s="94"/>
      <c r="CJ2328" s="67"/>
      <c r="CK2328" s="67"/>
      <c r="CL2328" s="67"/>
      <c r="CM2328" s="67"/>
      <c r="CN2328" s="67"/>
      <c r="CO2328" s="67"/>
      <c r="CP2328" s="67"/>
      <c r="CQ2328" s="67"/>
      <c r="CR2328" s="67"/>
      <c r="CS2328" s="67"/>
      <c r="CT2328" s="67"/>
      <c r="CU2328" s="67"/>
      <c r="CV2328" s="67"/>
      <c r="CW2328" s="67"/>
      <c r="CX2328" s="67"/>
      <c r="CY2328" s="67"/>
      <c r="CZ2328" s="67"/>
      <c r="DA2328" s="67"/>
      <c r="DB2328" s="67"/>
      <c r="DC2328" s="67"/>
      <c r="DD2328" s="67"/>
      <c r="DE2328" s="67"/>
      <c r="DF2328" s="67"/>
      <c r="DG2328" s="67"/>
      <c r="DH2328" s="67"/>
      <c r="DI2328" s="67"/>
      <c r="DJ2328" s="67"/>
      <c r="DK2328" s="67"/>
      <c r="DL2328" s="67"/>
      <c r="DM2328" s="67"/>
      <c r="DN2328" s="67"/>
      <c r="DO2328" s="67"/>
      <c r="DP2328" s="67"/>
      <c r="DQ2328" s="166"/>
      <c r="DR2328" s="166"/>
      <c r="DS2328" s="163"/>
      <c r="DT2328" s="163"/>
      <c r="DU2328" s="67"/>
      <c r="DV2328" s="67"/>
      <c r="DW2328" s="67"/>
      <c r="DX2328" s="67"/>
      <c r="DY2328" s="67"/>
      <c r="DZ2328" s="67"/>
      <c r="EA2328" s="67"/>
      <c r="EB2328" s="67"/>
      <c r="EC2328" s="67"/>
      <c r="ED2328" s="67"/>
      <c r="EE2328" s="67"/>
      <c r="EF2328" s="67"/>
      <c r="EG2328" s="67"/>
      <c r="EH2328" s="67"/>
      <c r="EI2328" s="67"/>
      <c r="EJ2328" s="67"/>
      <c r="EK2328" s="94"/>
      <c r="EL2328" s="94"/>
      <c r="EM2328" s="67"/>
      <c r="EN2328" s="67"/>
      <c r="EO2328" s="67"/>
      <c r="EP2328" s="67"/>
      <c r="EQ2328" s="67"/>
      <c r="ER2328" s="67"/>
      <c r="ES2328" s="67"/>
      <c r="ET2328" s="67"/>
      <c r="EU2328" s="67"/>
      <c r="EV2328" s="67"/>
      <c r="EW2328" s="67"/>
      <c r="EX2328" s="67"/>
      <c r="EY2328" s="67"/>
      <c r="EZ2328" s="67"/>
      <c r="FA2328" s="67"/>
      <c r="FB2328" s="67"/>
      <c r="FC2328" s="67"/>
      <c r="FD2328" s="67"/>
      <c r="FE2328" s="67"/>
      <c r="FF2328" s="67"/>
      <c r="FG2328" s="67"/>
      <c r="FH2328" s="67"/>
      <c r="FI2328" s="67"/>
      <c r="FJ2328" s="67"/>
      <c r="FK2328" s="67"/>
      <c r="FL2328" s="67"/>
      <c r="FM2328" s="67"/>
      <c r="FN2328" s="67"/>
      <c r="FO2328" s="67"/>
      <c r="FP2328" s="67"/>
      <c r="FQ2328" s="67"/>
      <c r="FR2328" s="67"/>
      <c r="FS2328" s="67"/>
      <c r="FT2328" s="67"/>
      <c r="FU2328" s="67"/>
      <c r="FV2328" s="67"/>
      <c r="FW2328" s="67"/>
      <c r="FX2328" s="67"/>
      <c r="FY2328" s="67"/>
      <c r="FZ2328" s="67"/>
      <c r="GA2328" s="67"/>
      <c r="GB2328" s="67"/>
      <c r="GC2328" s="67"/>
      <c r="GD2328" s="67"/>
      <c r="GE2328" s="67"/>
      <c r="GF2328" s="67"/>
      <c r="GG2328" s="67"/>
      <c r="GH2328" s="67"/>
      <c r="GI2328" s="67"/>
      <c r="GJ2328" s="67"/>
      <c r="GK2328" s="67"/>
      <c r="GL2328" s="67"/>
      <c r="GM2328" s="67"/>
      <c r="GN2328" s="292"/>
      <c r="GO2328" s="292"/>
      <c r="GP2328" s="292" t="s">
        <v>7494</v>
      </c>
      <c r="GQ2328" s="67"/>
      <c r="GR2328" s="67"/>
      <c r="GS2328" s="67"/>
      <c r="GT2328" s="67"/>
      <c r="GU2328" s="67"/>
      <c r="GV2328" s="67"/>
      <c r="GW2328" s="67"/>
      <c r="GX2328" s="67"/>
      <c r="GY2328" s="67"/>
      <c r="GZ2328" s="67"/>
      <c r="HA2328" s="67"/>
      <c r="HB2328" s="67"/>
      <c r="HC2328" s="67"/>
      <c r="HD2328" s="67"/>
      <c r="HE2328" s="67"/>
      <c r="HF2328" s="67"/>
      <c r="HG2328" s="67"/>
      <c r="HH2328" s="67"/>
      <c r="HI2328" s="67"/>
      <c r="HJ2328" s="67"/>
      <c r="HK2328" s="67"/>
      <c r="HL2328" s="67"/>
      <c r="HM2328" s="67"/>
      <c r="HN2328" s="67"/>
      <c r="HO2328" s="67"/>
      <c r="HP2328" s="67"/>
      <c r="HQ2328" s="67"/>
      <c r="HR2328" s="67"/>
      <c r="HS2328" s="67"/>
      <c r="HT2328" s="67"/>
      <c r="HU2328" s="67"/>
      <c r="HV2328" s="67"/>
      <c r="HW2328" s="67"/>
      <c r="HX2328" s="67"/>
      <c r="HY2328" s="67"/>
      <c r="HZ2328" s="67"/>
      <c r="IA2328" s="67"/>
      <c r="IB2328" s="67"/>
      <c r="IC2328" s="67"/>
      <c r="ID2328" s="67"/>
      <c r="IE2328" s="67"/>
      <c r="IF2328" s="67"/>
      <c r="IG2328" s="67"/>
      <c r="IH2328" s="67"/>
      <c r="II2328" s="67"/>
      <c r="IJ2328" s="67"/>
      <c r="IK2328" s="67"/>
      <c r="IL2328" s="67"/>
      <c r="IM2328" s="67"/>
      <c r="IN2328" s="67"/>
      <c r="IO2328" s="67"/>
      <c r="IP2328" s="67"/>
      <c r="IQ2328" s="67"/>
      <c r="IR2328" s="67"/>
      <c r="IS2328" s="67"/>
      <c r="IT2328" s="67"/>
      <c r="IU2328" s="67"/>
      <c r="IV2328" s="67"/>
      <c r="IW2328" s="67"/>
      <c r="IX2328" s="67"/>
      <c r="IY2328" s="67"/>
      <c r="IZ2328" s="67"/>
      <c r="JA2328" s="67"/>
      <c r="JB2328" s="67"/>
      <c r="JC2328" s="67"/>
      <c r="JD2328" s="67"/>
      <c r="JE2328" s="67"/>
      <c r="JF2328" s="67"/>
      <c r="JG2328" s="67"/>
      <c r="JH2328" s="67"/>
      <c r="JI2328" s="67"/>
      <c r="JJ2328" s="67"/>
      <c r="JK2328" s="67"/>
      <c r="JL2328" s="67"/>
      <c r="JM2328" s="67"/>
      <c r="JN2328" s="67"/>
      <c r="JO2328" s="67"/>
      <c r="JP2328" s="67"/>
      <c r="JQ2328" s="67"/>
      <c r="JR2328" s="67"/>
      <c r="JS2328" s="67"/>
      <c r="JT2328" s="67"/>
      <c r="JU2328" s="58"/>
      <c r="JV2328" s="58"/>
      <c r="JW2328" s="58"/>
    </row>
    <row r="2329" spans="1:283" s="23" customFormat="1" x14ac:dyDescent="0.25">
      <c r="A2329" s="55">
        <v>2328</v>
      </c>
      <c r="B2329" s="12" t="s">
        <v>7067</v>
      </c>
      <c r="C2329" s="156">
        <v>110</v>
      </c>
      <c r="D2329" s="58" t="s">
        <v>4198</v>
      </c>
      <c r="E2329" s="93" t="s">
        <v>2174</v>
      </c>
      <c r="F2329" s="93"/>
      <c r="G2329" s="58" t="s">
        <v>2264</v>
      </c>
      <c r="H2329" s="59">
        <v>1982</v>
      </c>
      <c r="I2329" s="58">
        <v>1977</v>
      </c>
      <c r="J2329" s="59" t="s">
        <v>1709</v>
      </c>
      <c r="K2329" s="59" t="s">
        <v>2265</v>
      </c>
      <c r="L2329" s="59" t="s">
        <v>2744</v>
      </c>
      <c r="M2329" s="94">
        <v>7.38</v>
      </c>
      <c r="N2329" s="94">
        <v>3.95</v>
      </c>
      <c r="O2329" s="93">
        <v>229.3</v>
      </c>
      <c r="P2329" s="59"/>
      <c r="Q2329" s="58"/>
      <c r="R2329" s="59"/>
      <c r="S2329" s="94"/>
      <c r="T2329" s="58"/>
      <c r="U2329" s="58">
        <v>4</v>
      </c>
      <c r="V2329" s="59">
        <v>4</v>
      </c>
      <c r="W2329" s="174"/>
      <c r="X2329" s="174"/>
      <c r="Y2329" s="58" t="s">
        <v>2266</v>
      </c>
      <c r="Z2329" s="58" t="s">
        <v>1355</v>
      </c>
      <c r="AA2329" s="94">
        <v>10</v>
      </c>
      <c r="AB2329" s="67"/>
      <c r="AC2329" s="67"/>
      <c r="AD2329" s="94">
        <v>1.31</v>
      </c>
      <c r="AE2329" s="93">
        <v>69.3</v>
      </c>
      <c r="AF2329" s="93">
        <v>9.5</v>
      </c>
      <c r="AG2329" s="93"/>
      <c r="AH2329" s="58" t="s">
        <v>238</v>
      </c>
      <c r="AI2329" s="169"/>
      <c r="AJ2329" s="94">
        <v>1.7</v>
      </c>
      <c r="AK2329" s="94"/>
      <c r="AL2329" s="58"/>
      <c r="AM2329" s="59" t="s">
        <v>2267</v>
      </c>
      <c r="AN2329" s="188" t="s">
        <v>2275</v>
      </c>
      <c r="AO2329" s="185" t="s">
        <v>5150</v>
      </c>
      <c r="AP2329" s="59"/>
      <c r="AQ2329" s="58" t="s">
        <v>553</v>
      </c>
      <c r="AR2329" s="59" t="s">
        <v>2283</v>
      </c>
      <c r="AS2329" s="58" t="s">
        <v>227</v>
      </c>
      <c r="AT2329" s="182"/>
      <c r="AU2329" s="181" t="s">
        <v>7494</v>
      </c>
      <c r="AV2329" s="185" t="s">
        <v>176</v>
      </c>
      <c r="AW2329" s="58"/>
      <c r="AX2329" s="185" t="s">
        <v>176</v>
      </c>
      <c r="AY2329" s="58"/>
      <c r="AZ2329" s="59"/>
      <c r="BA2329" s="58"/>
      <c r="BB2329" s="58"/>
      <c r="BC2329" s="58"/>
      <c r="BD2329" s="58"/>
      <c r="BE2329" s="240"/>
      <c r="BF2329" s="59"/>
      <c r="BG2329" s="59"/>
      <c r="BH2329" s="236"/>
      <c r="BI2329" s="58"/>
      <c r="BJ2329" s="58"/>
      <c r="BK2329" s="58" t="s">
        <v>5976</v>
      </c>
      <c r="BL2329" s="58"/>
      <c r="BM2329" s="241" t="s">
        <v>160</v>
      </c>
      <c r="BN2329" s="58">
        <v>3</v>
      </c>
      <c r="BO2329" s="58">
        <v>3</v>
      </c>
      <c r="BP2329" s="59"/>
      <c r="BQ2329" s="58" t="s">
        <v>141</v>
      </c>
      <c r="BR2329" s="58"/>
      <c r="BS2329" s="58"/>
      <c r="BT2329" s="58"/>
      <c r="BU2329" s="58" t="s">
        <v>2280</v>
      </c>
      <c r="BV2329" s="58"/>
      <c r="BW2329" s="67"/>
      <c r="BX2329" s="67"/>
      <c r="BY2329" s="67"/>
      <c r="BZ2329" s="67"/>
      <c r="CA2329" s="67"/>
      <c r="CB2329" s="153">
        <v>280</v>
      </c>
      <c r="CC2329" s="68">
        <v>3060</v>
      </c>
      <c r="CD2329" s="68"/>
      <c r="CE2329" s="67"/>
      <c r="CF2329" s="67"/>
      <c r="CG2329" s="67" t="s">
        <v>2284</v>
      </c>
      <c r="CH2329" s="94"/>
      <c r="CI2329" s="94"/>
      <c r="CJ2329" s="67"/>
      <c r="CK2329" s="67"/>
      <c r="CL2329" s="67"/>
      <c r="CM2329" s="67"/>
      <c r="CN2329" s="67"/>
      <c r="CO2329" s="67"/>
      <c r="CP2329" s="67"/>
      <c r="CQ2329" s="67"/>
      <c r="CR2329" s="67"/>
      <c r="CS2329" s="67"/>
      <c r="CT2329" s="67"/>
      <c r="CU2329" s="67"/>
      <c r="CV2329" s="67"/>
      <c r="CW2329" s="67"/>
      <c r="CX2329" s="67"/>
      <c r="CY2329" s="67"/>
      <c r="CZ2329" s="67"/>
      <c r="DA2329" s="67"/>
      <c r="DB2329" s="67"/>
      <c r="DC2329" s="67"/>
      <c r="DD2329" s="67"/>
      <c r="DE2329" s="67"/>
      <c r="DF2329" s="67"/>
      <c r="DG2329" s="67"/>
      <c r="DH2329" s="67"/>
      <c r="DI2329" s="67"/>
      <c r="DJ2329" s="67"/>
      <c r="DK2329" s="67"/>
      <c r="DL2329" s="67"/>
      <c r="DM2329" s="67"/>
      <c r="DN2329" s="67"/>
      <c r="DO2329" s="67"/>
      <c r="DP2329" s="67"/>
      <c r="DQ2329" s="166"/>
      <c r="DR2329" s="166"/>
      <c r="DS2329" s="163"/>
      <c r="DT2329" s="163"/>
      <c r="DU2329" s="67"/>
      <c r="DV2329" s="67"/>
      <c r="DW2329" s="67"/>
      <c r="DX2329" s="67"/>
      <c r="DY2329" s="67"/>
      <c r="DZ2329" s="67"/>
      <c r="EA2329" s="67"/>
      <c r="EB2329" s="67"/>
      <c r="EC2329" s="67"/>
      <c r="ED2329" s="67"/>
      <c r="EE2329" s="67"/>
      <c r="EF2329" s="67"/>
      <c r="EG2329" s="67"/>
      <c r="EH2329" s="67"/>
      <c r="EI2329" s="67"/>
      <c r="EJ2329" s="67"/>
      <c r="EK2329" s="94"/>
      <c r="EL2329" s="94"/>
      <c r="EM2329" s="67"/>
      <c r="EN2329" s="67"/>
      <c r="EO2329" s="67"/>
      <c r="EP2329" s="67"/>
      <c r="EQ2329" s="67"/>
      <c r="ER2329" s="67"/>
      <c r="ES2329" s="67"/>
      <c r="ET2329" s="67"/>
      <c r="EU2329" s="67"/>
      <c r="EV2329" s="67"/>
      <c r="EW2329" s="67"/>
      <c r="EX2329" s="67"/>
      <c r="EY2329" s="67"/>
      <c r="EZ2329" s="67"/>
      <c r="FA2329" s="67"/>
      <c r="FB2329" s="67"/>
      <c r="FC2329" s="67"/>
      <c r="FD2329" s="67"/>
      <c r="FE2329" s="67"/>
      <c r="FF2329" s="67"/>
      <c r="FG2329" s="67"/>
      <c r="FH2329" s="67"/>
      <c r="FI2329" s="67"/>
      <c r="FJ2329" s="67"/>
      <c r="FK2329" s="67"/>
      <c r="FL2329" s="67"/>
      <c r="FM2329" s="67"/>
      <c r="FN2329" s="67"/>
      <c r="FO2329" s="67"/>
      <c r="FP2329" s="67"/>
      <c r="FQ2329" s="67"/>
      <c r="FR2329" s="67"/>
      <c r="FS2329" s="67"/>
      <c r="FT2329" s="67"/>
      <c r="FU2329" s="67"/>
      <c r="FV2329" s="67"/>
      <c r="FW2329" s="67"/>
      <c r="FX2329" s="67"/>
      <c r="FY2329" s="67"/>
      <c r="FZ2329" s="67"/>
      <c r="GA2329" s="67"/>
      <c r="GB2329" s="67"/>
      <c r="GC2329" s="67"/>
      <c r="GD2329" s="67"/>
      <c r="GE2329" s="67"/>
      <c r="GF2329" s="67"/>
      <c r="GG2329" s="67"/>
      <c r="GH2329" s="67"/>
      <c r="GI2329" s="67"/>
      <c r="GJ2329" s="67"/>
      <c r="GK2329" s="67"/>
      <c r="GL2329" s="67"/>
      <c r="GM2329" s="67"/>
      <c r="GN2329" s="292"/>
      <c r="GO2329" s="292"/>
      <c r="GP2329" s="292" t="s">
        <v>7494</v>
      </c>
      <c r="GQ2329" s="67"/>
      <c r="GR2329" s="67"/>
      <c r="GS2329" s="67"/>
      <c r="GT2329" s="67"/>
      <c r="GU2329" s="67"/>
      <c r="GV2329" s="67"/>
      <c r="GW2329" s="67"/>
      <c r="GX2329" s="67"/>
      <c r="GY2329" s="67"/>
      <c r="GZ2329" s="67"/>
      <c r="HA2329" s="67"/>
      <c r="HB2329" s="67"/>
      <c r="HC2329" s="67"/>
      <c r="HD2329" s="67"/>
      <c r="HE2329" s="67"/>
      <c r="HF2329" s="67"/>
      <c r="HG2329" s="67"/>
      <c r="HH2329" s="67"/>
      <c r="HI2329" s="67"/>
      <c r="HJ2329" s="67"/>
      <c r="HK2329" s="67"/>
      <c r="HL2329" s="67"/>
      <c r="HM2329" s="67"/>
      <c r="HN2329" s="67"/>
      <c r="HO2329" s="67"/>
      <c r="HP2329" s="67"/>
      <c r="HQ2329" s="67"/>
      <c r="HR2329" s="67"/>
      <c r="HS2329" s="67"/>
      <c r="HT2329" s="67"/>
      <c r="HU2329" s="67"/>
      <c r="HV2329" s="67"/>
      <c r="HW2329" s="67"/>
      <c r="HX2329" s="67"/>
      <c r="HY2329" s="67"/>
      <c r="HZ2329" s="67"/>
      <c r="IA2329" s="67"/>
      <c r="IB2329" s="67"/>
      <c r="IC2329" s="67"/>
      <c r="ID2329" s="67"/>
      <c r="IE2329" s="67"/>
      <c r="IF2329" s="67"/>
      <c r="IG2329" s="67"/>
      <c r="IH2329" s="67"/>
      <c r="II2329" s="67"/>
      <c r="IJ2329" s="67"/>
      <c r="IK2329" s="67"/>
      <c r="IL2329" s="67"/>
      <c r="IM2329" s="67"/>
      <c r="IN2329" s="67"/>
      <c r="IO2329" s="67"/>
      <c r="IP2329" s="67"/>
      <c r="IQ2329" s="67"/>
      <c r="IR2329" s="67"/>
      <c r="IS2329" s="67"/>
      <c r="IT2329" s="67"/>
      <c r="IU2329" s="67"/>
      <c r="IV2329" s="67"/>
      <c r="IW2329" s="67"/>
      <c r="IX2329" s="67"/>
      <c r="IY2329" s="67"/>
      <c r="IZ2329" s="67"/>
      <c r="JA2329" s="67"/>
      <c r="JB2329" s="67"/>
      <c r="JC2329" s="67"/>
      <c r="JD2329" s="67"/>
      <c r="JE2329" s="67"/>
      <c r="JF2329" s="67"/>
      <c r="JG2329" s="67"/>
      <c r="JH2329" s="67"/>
      <c r="JI2329" s="67"/>
      <c r="JJ2329" s="67"/>
      <c r="JK2329" s="67"/>
      <c r="JL2329" s="67"/>
      <c r="JM2329" s="67"/>
      <c r="JN2329" s="67"/>
      <c r="JO2329" s="67"/>
      <c r="JP2329" s="67"/>
      <c r="JQ2329" s="67"/>
      <c r="JR2329" s="67"/>
      <c r="JS2329" s="67"/>
      <c r="JT2329" s="67"/>
      <c r="JU2329" s="58"/>
      <c r="JV2329" s="58"/>
      <c r="JW2329" s="58"/>
    </row>
    <row r="2330" spans="1:283" s="23" customFormat="1" x14ac:dyDescent="0.25">
      <c r="A2330" s="55">
        <v>2329</v>
      </c>
      <c r="B2330" s="12" t="s">
        <v>7067</v>
      </c>
      <c r="C2330" s="156">
        <v>110</v>
      </c>
      <c r="D2330" s="58" t="s">
        <v>4198</v>
      </c>
      <c r="E2330" s="93" t="s">
        <v>2174</v>
      </c>
      <c r="F2330" s="93"/>
      <c r="G2330" s="58" t="s">
        <v>2264</v>
      </c>
      <c r="H2330" s="59">
        <v>1982</v>
      </c>
      <c r="I2330" s="58">
        <v>1977</v>
      </c>
      <c r="J2330" s="59" t="s">
        <v>1709</v>
      </c>
      <c r="K2330" s="59" t="s">
        <v>2265</v>
      </c>
      <c r="L2330" s="59" t="s">
        <v>2744</v>
      </c>
      <c r="M2330" s="94">
        <v>7.38</v>
      </c>
      <c r="N2330" s="94">
        <v>3.95</v>
      </c>
      <c r="O2330" s="93">
        <v>229.3</v>
      </c>
      <c r="P2330" s="59"/>
      <c r="Q2330" s="58"/>
      <c r="R2330" s="59"/>
      <c r="S2330" s="94"/>
      <c r="T2330" s="58"/>
      <c r="U2330" s="58">
        <v>4</v>
      </c>
      <c r="V2330" s="59">
        <v>4</v>
      </c>
      <c r="W2330" s="174"/>
      <c r="X2330" s="174"/>
      <c r="Y2330" s="58" t="s">
        <v>2266</v>
      </c>
      <c r="Z2330" s="58" t="s">
        <v>1355</v>
      </c>
      <c r="AA2330" s="94">
        <v>10</v>
      </c>
      <c r="AB2330" s="67"/>
      <c r="AC2330" s="67"/>
      <c r="AD2330" s="94">
        <v>1.31</v>
      </c>
      <c r="AE2330" s="93">
        <v>69.3</v>
      </c>
      <c r="AF2330" s="93">
        <v>9.5</v>
      </c>
      <c r="AG2330" s="93"/>
      <c r="AH2330" s="58" t="s">
        <v>238</v>
      </c>
      <c r="AI2330" s="169"/>
      <c r="AJ2330" s="94">
        <v>1.7</v>
      </c>
      <c r="AK2330" s="94"/>
      <c r="AL2330" s="58"/>
      <c r="AM2330" s="59" t="s">
        <v>2267</v>
      </c>
      <c r="AN2330" s="188" t="s">
        <v>2276</v>
      </c>
      <c r="AO2330" s="185" t="s">
        <v>5150</v>
      </c>
      <c r="AP2330" s="59"/>
      <c r="AQ2330" s="58" t="s">
        <v>553</v>
      </c>
      <c r="AR2330" s="59" t="s">
        <v>2283</v>
      </c>
      <c r="AS2330" s="58" t="s">
        <v>227</v>
      </c>
      <c r="AT2330" s="182"/>
      <c r="AU2330" s="181" t="s">
        <v>7494</v>
      </c>
      <c r="AV2330" s="185" t="s">
        <v>176</v>
      </c>
      <c r="AW2330" s="58"/>
      <c r="AX2330" s="185" t="s">
        <v>176</v>
      </c>
      <c r="AY2330" s="58"/>
      <c r="AZ2330" s="59"/>
      <c r="BA2330" s="58"/>
      <c r="BB2330" s="58"/>
      <c r="BC2330" s="58"/>
      <c r="BD2330" s="58"/>
      <c r="BE2330" s="240"/>
      <c r="BF2330" s="59"/>
      <c r="BG2330" s="59"/>
      <c r="BH2330" s="236"/>
      <c r="BI2330" s="58"/>
      <c r="BJ2330" s="58"/>
      <c r="BK2330" s="58" t="s">
        <v>5976</v>
      </c>
      <c r="BL2330" s="58"/>
      <c r="BM2330" s="241" t="s">
        <v>160</v>
      </c>
      <c r="BN2330" s="58">
        <v>3</v>
      </c>
      <c r="BO2330" s="58">
        <v>3</v>
      </c>
      <c r="BP2330" s="59"/>
      <c r="BQ2330" s="58" t="s">
        <v>141</v>
      </c>
      <c r="BR2330" s="58"/>
      <c r="BS2330" s="58"/>
      <c r="BT2330" s="58"/>
      <c r="BU2330" s="58" t="s">
        <v>2280</v>
      </c>
      <c r="BV2330" s="58"/>
      <c r="BW2330" s="67"/>
      <c r="BX2330" s="67"/>
      <c r="BY2330" s="67"/>
      <c r="BZ2330" s="67"/>
      <c r="CA2330" s="67"/>
      <c r="CB2330" s="153">
        <v>280</v>
      </c>
      <c r="CC2330" s="68">
        <v>1310</v>
      </c>
      <c r="CD2330" s="68"/>
      <c r="CE2330" s="67"/>
      <c r="CF2330" s="67"/>
      <c r="CG2330" s="67" t="s">
        <v>2284</v>
      </c>
      <c r="CH2330" s="94"/>
      <c r="CI2330" s="94"/>
      <c r="CJ2330" s="67"/>
      <c r="CK2330" s="67"/>
      <c r="CL2330" s="67"/>
      <c r="CM2330" s="67"/>
      <c r="CN2330" s="67"/>
      <c r="CO2330" s="67"/>
      <c r="CP2330" s="67"/>
      <c r="CQ2330" s="67"/>
      <c r="CR2330" s="67"/>
      <c r="CS2330" s="67"/>
      <c r="CT2330" s="67"/>
      <c r="CU2330" s="67"/>
      <c r="CV2330" s="67"/>
      <c r="CW2330" s="67"/>
      <c r="CX2330" s="67"/>
      <c r="CY2330" s="67"/>
      <c r="CZ2330" s="67"/>
      <c r="DA2330" s="67"/>
      <c r="DB2330" s="67"/>
      <c r="DC2330" s="67"/>
      <c r="DD2330" s="67"/>
      <c r="DE2330" s="67"/>
      <c r="DF2330" s="67"/>
      <c r="DG2330" s="67"/>
      <c r="DH2330" s="67"/>
      <c r="DI2330" s="67"/>
      <c r="DJ2330" s="67"/>
      <c r="DK2330" s="67"/>
      <c r="DL2330" s="67"/>
      <c r="DM2330" s="67"/>
      <c r="DN2330" s="67"/>
      <c r="DO2330" s="67"/>
      <c r="DP2330" s="67"/>
      <c r="DQ2330" s="166"/>
      <c r="DR2330" s="166"/>
      <c r="DS2330" s="163"/>
      <c r="DT2330" s="163"/>
      <c r="DU2330" s="67"/>
      <c r="DV2330" s="67"/>
      <c r="DW2330" s="67"/>
      <c r="DX2330" s="67"/>
      <c r="DY2330" s="67"/>
      <c r="DZ2330" s="67"/>
      <c r="EA2330" s="67"/>
      <c r="EB2330" s="67"/>
      <c r="EC2330" s="67"/>
      <c r="ED2330" s="67"/>
      <c r="EE2330" s="67"/>
      <c r="EF2330" s="67"/>
      <c r="EG2330" s="67"/>
      <c r="EH2330" s="67"/>
      <c r="EI2330" s="67"/>
      <c r="EJ2330" s="67"/>
      <c r="EK2330" s="94"/>
      <c r="EL2330" s="94"/>
      <c r="EM2330" s="67"/>
      <c r="EN2330" s="67"/>
      <c r="EO2330" s="67"/>
      <c r="EP2330" s="67"/>
      <c r="EQ2330" s="67"/>
      <c r="ER2330" s="67"/>
      <c r="ES2330" s="67"/>
      <c r="ET2330" s="67"/>
      <c r="EU2330" s="67"/>
      <c r="EV2330" s="67"/>
      <c r="EW2330" s="67"/>
      <c r="EX2330" s="67"/>
      <c r="EY2330" s="67"/>
      <c r="EZ2330" s="67"/>
      <c r="FA2330" s="67"/>
      <c r="FB2330" s="67"/>
      <c r="FC2330" s="67"/>
      <c r="FD2330" s="67"/>
      <c r="FE2330" s="67"/>
      <c r="FF2330" s="67"/>
      <c r="FG2330" s="67"/>
      <c r="FH2330" s="67"/>
      <c r="FI2330" s="67"/>
      <c r="FJ2330" s="67"/>
      <c r="FK2330" s="67"/>
      <c r="FL2330" s="67"/>
      <c r="FM2330" s="67"/>
      <c r="FN2330" s="67"/>
      <c r="FO2330" s="67"/>
      <c r="FP2330" s="67"/>
      <c r="FQ2330" s="67"/>
      <c r="FR2330" s="67"/>
      <c r="FS2330" s="67"/>
      <c r="FT2330" s="67"/>
      <c r="FU2330" s="67"/>
      <c r="FV2330" s="67"/>
      <c r="FW2330" s="67"/>
      <c r="FX2330" s="67"/>
      <c r="FY2330" s="67"/>
      <c r="FZ2330" s="67"/>
      <c r="GA2330" s="67"/>
      <c r="GB2330" s="67"/>
      <c r="GC2330" s="67"/>
      <c r="GD2330" s="67"/>
      <c r="GE2330" s="67"/>
      <c r="GF2330" s="67"/>
      <c r="GG2330" s="67"/>
      <c r="GH2330" s="67"/>
      <c r="GI2330" s="67"/>
      <c r="GJ2330" s="67"/>
      <c r="GK2330" s="67"/>
      <c r="GL2330" s="67"/>
      <c r="GM2330" s="67"/>
      <c r="GN2330" s="292"/>
      <c r="GO2330" s="292"/>
      <c r="GP2330" s="292" t="s">
        <v>7494</v>
      </c>
      <c r="GQ2330" s="67"/>
      <c r="GR2330" s="67"/>
      <c r="GS2330" s="67"/>
      <c r="GT2330" s="67"/>
      <c r="GU2330" s="67"/>
      <c r="GV2330" s="67"/>
      <c r="GW2330" s="67"/>
      <c r="GX2330" s="67"/>
      <c r="GY2330" s="67"/>
      <c r="GZ2330" s="67"/>
      <c r="HA2330" s="67"/>
      <c r="HB2330" s="67"/>
      <c r="HC2330" s="67"/>
      <c r="HD2330" s="67"/>
      <c r="HE2330" s="67"/>
      <c r="HF2330" s="67"/>
      <c r="HG2330" s="67"/>
      <c r="HH2330" s="67"/>
      <c r="HI2330" s="67"/>
      <c r="HJ2330" s="67"/>
      <c r="HK2330" s="67"/>
      <c r="HL2330" s="67"/>
      <c r="HM2330" s="67"/>
      <c r="HN2330" s="67"/>
      <c r="HO2330" s="67"/>
      <c r="HP2330" s="67"/>
      <c r="HQ2330" s="67"/>
      <c r="HR2330" s="67"/>
      <c r="HS2330" s="67"/>
      <c r="HT2330" s="67"/>
      <c r="HU2330" s="67"/>
      <c r="HV2330" s="67"/>
      <c r="HW2330" s="67"/>
      <c r="HX2330" s="67"/>
      <c r="HY2330" s="67"/>
      <c r="HZ2330" s="67"/>
      <c r="IA2330" s="67"/>
      <c r="IB2330" s="67"/>
      <c r="IC2330" s="67"/>
      <c r="ID2330" s="67"/>
      <c r="IE2330" s="67"/>
      <c r="IF2330" s="67"/>
      <c r="IG2330" s="67"/>
      <c r="IH2330" s="67"/>
      <c r="II2330" s="67"/>
      <c r="IJ2330" s="67"/>
      <c r="IK2330" s="67"/>
      <c r="IL2330" s="67"/>
      <c r="IM2330" s="67"/>
      <c r="IN2330" s="67"/>
      <c r="IO2330" s="67"/>
      <c r="IP2330" s="67"/>
      <c r="IQ2330" s="67"/>
      <c r="IR2330" s="67"/>
      <c r="IS2330" s="67"/>
      <c r="IT2330" s="67"/>
      <c r="IU2330" s="67"/>
      <c r="IV2330" s="67"/>
      <c r="IW2330" s="67"/>
      <c r="IX2330" s="67"/>
      <c r="IY2330" s="67"/>
      <c r="IZ2330" s="67"/>
      <c r="JA2330" s="67"/>
      <c r="JB2330" s="67"/>
      <c r="JC2330" s="67"/>
      <c r="JD2330" s="67"/>
      <c r="JE2330" s="67"/>
      <c r="JF2330" s="67"/>
      <c r="JG2330" s="67"/>
      <c r="JH2330" s="67"/>
      <c r="JI2330" s="67"/>
      <c r="JJ2330" s="67"/>
      <c r="JK2330" s="67"/>
      <c r="JL2330" s="67"/>
      <c r="JM2330" s="67"/>
      <c r="JN2330" s="67"/>
      <c r="JO2330" s="67"/>
      <c r="JP2330" s="67"/>
      <c r="JQ2330" s="67"/>
      <c r="JR2330" s="67"/>
      <c r="JS2330" s="67"/>
      <c r="JT2330" s="67"/>
      <c r="JU2330" s="58"/>
      <c r="JV2330" s="58"/>
      <c r="JW2330" s="58"/>
    </row>
    <row r="2331" spans="1:283" s="23" customFormat="1" x14ac:dyDescent="0.25">
      <c r="A2331" s="55">
        <v>2330</v>
      </c>
      <c r="B2331" s="12" t="s">
        <v>7067</v>
      </c>
      <c r="C2331" s="156">
        <v>110</v>
      </c>
      <c r="D2331" s="58" t="s">
        <v>4198</v>
      </c>
      <c r="E2331" s="93" t="s">
        <v>2174</v>
      </c>
      <c r="F2331" s="93"/>
      <c r="G2331" s="58" t="s">
        <v>2264</v>
      </c>
      <c r="H2331" s="59">
        <v>1982</v>
      </c>
      <c r="I2331" s="58">
        <v>1977</v>
      </c>
      <c r="J2331" s="59" t="s">
        <v>1709</v>
      </c>
      <c r="K2331" s="59" t="s">
        <v>2265</v>
      </c>
      <c r="L2331" s="59" t="s">
        <v>2744</v>
      </c>
      <c r="M2331" s="94">
        <v>7.38</v>
      </c>
      <c r="N2331" s="94">
        <v>3.95</v>
      </c>
      <c r="O2331" s="93">
        <v>229.3</v>
      </c>
      <c r="P2331" s="59"/>
      <c r="Q2331" s="58"/>
      <c r="R2331" s="59"/>
      <c r="S2331" s="94"/>
      <c r="T2331" s="58"/>
      <c r="U2331" s="58">
        <v>4</v>
      </c>
      <c r="V2331" s="59">
        <v>4</v>
      </c>
      <c r="W2331" s="174"/>
      <c r="X2331" s="174"/>
      <c r="Y2331" s="58" t="s">
        <v>2266</v>
      </c>
      <c r="Z2331" s="58" t="s">
        <v>1355</v>
      </c>
      <c r="AA2331" s="94">
        <v>10</v>
      </c>
      <c r="AB2331" s="67"/>
      <c r="AC2331" s="67"/>
      <c r="AD2331" s="94">
        <v>1.31</v>
      </c>
      <c r="AE2331" s="93">
        <v>69.3</v>
      </c>
      <c r="AF2331" s="93">
        <v>9.5</v>
      </c>
      <c r="AG2331" s="93"/>
      <c r="AH2331" s="58" t="s">
        <v>238</v>
      </c>
      <c r="AI2331" s="169"/>
      <c r="AJ2331" s="94">
        <v>1.7</v>
      </c>
      <c r="AK2331" s="94"/>
      <c r="AL2331" s="58"/>
      <c r="AM2331" s="59" t="s">
        <v>2267</v>
      </c>
      <c r="AN2331" s="188" t="s">
        <v>2277</v>
      </c>
      <c r="AO2331" s="185" t="s">
        <v>5150</v>
      </c>
      <c r="AP2331" s="59"/>
      <c r="AQ2331" s="58" t="s">
        <v>553</v>
      </c>
      <c r="AR2331" s="59" t="s">
        <v>2283</v>
      </c>
      <c r="AS2331" s="58" t="s">
        <v>227</v>
      </c>
      <c r="AT2331" s="182"/>
      <c r="AU2331" s="181" t="s">
        <v>7494</v>
      </c>
      <c r="AV2331" s="185" t="s">
        <v>176</v>
      </c>
      <c r="AW2331" s="58"/>
      <c r="AX2331" s="185" t="s">
        <v>176</v>
      </c>
      <c r="AY2331" s="58"/>
      <c r="AZ2331" s="59"/>
      <c r="BA2331" s="58"/>
      <c r="BB2331" s="58"/>
      <c r="BC2331" s="58"/>
      <c r="BD2331" s="58"/>
      <c r="BE2331" s="240"/>
      <c r="BF2331" s="59"/>
      <c r="BG2331" s="59"/>
      <c r="BH2331" s="236"/>
      <c r="BI2331" s="58"/>
      <c r="BJ2331" s="58"/>
      <c r="BK2331" s="58" t="s">
        <v>5976</v>
      </c>
      <c r="BL2331" s="58"/>
      <c r="BM2331" s="241" t="s">
        <v>160</v>
      </c>
      <c r="BN2331" s="58">
        <v>3</v>
      </c>
      <c r="BO2331" s="58">
        <v>3</v>
      </c>
      <c r="BP2331" s="59"/>
      <c r="BQ2331" s="58" t="s">
        <v>141</v>
      </c>
      <c r="BR2331" s="58"/>
      <c r="BS2331" s="58"/>
      <c r="BT2331" s="58"/>
      <c r="BU2331" s="58" t="s">
        <v>2280</v>
      </c>
      <c r="BV2331" s="58"/>
      <c r="BW2331" s="67"/>
      <c r="BX2331" s="67"/>
      <c r="BY2331" s="67"/>
      <c r="BZ2331" s="67"/>
      <c r="CA2331" s="67"/>
      <c r="CB2331" s="153">
        <v>280</v>
      </c>
      <c r="CC2331" s="68">
        <v>1610</v>
      </c>
      <c r="CD2331" s="68"/>
      <c r="CE2331" s="67"/>
      <c r="CF2331" s="67"/>
      <c r="CG2331" s="67" t="s">
        <v>2284</v>
      </c>
      <c r="CH2331" s="94"/>
      <c r="CI2331" s="94"/>
      <c r="CJ2331" s="67"/>
      <c r="CK2331" s="67"/>
      <c r="CL2331" s="67"/>
      <c r="CM2331" s="67"/>
      <c r="CN2331" s="67"/>
      <c r="CO2331" s="67"/>
      <c r="CP2331" s="67"/>
      <c r="CQ2331" s="67"/>
      <c r="CR2331" s="67"/>
      <c r="CS2331" s="67"/>
      <c r="CT2331" s="67"/>
      <c r="CU2331" s="67"/>
      <c r="CV2331" s="67"/>
      <c r="CW2331" s="67"/>
      <c r="CX2331" s="67"/>
      <c r="CY2331" s="67"/>
      <c r="CZ2331" s="67"/>
      <c r="DA2331" s="67"/>
      <c r="DB2331" s="67"/>
      <c r="DC2331" s="67"/>
      <c r="DD2331" s="67"/>
      <c r="DE2331" s="67"/>
      <c r="DF2331" s="67"/>
      <c r="DG2331" s="67"/>
      <c r="DH2331" s="67"/>
      <c r="DI2331" s="67"/>
      <c r="DJ2331" s="67"/>
      <c r="DK2331" s="67"/>
      <c r="DL2331" s="67"/>
      <c r="DM2331" s="67"/>
      <c r="DN2331" s="67"/>
      <c r="DO2331" s="67"/>
      <c r="DP2331" s="67"/>
      <c r="DQ2331" s="166"/>
      <c r="DR2331" s="166"/>
      <c r="DS2331" s="163"/>
      <c r="DT2331" s="163"/>
      <c r="DU2331" s="67"/>
      <c r="DV2331" s="67"/>
      <c r="DW2331" s="67"/>
      <c r="DX2331" s="67"/>
      <c r="DY2331" s="67"/>
      <c r="DZ2331" s="67"/>
      <c r="EA2331" s="67"/>
      <c r="EB2331" s="67"/>
      <c r="EC2331" s="67"/>
      <c r="ED2331" s="67"/>
      <c r="EE2331" s="67"/>
      <c r="EF2331" s="67"/>
      <c r="EG2331" s="67"/>
      <c r="EH2331" s="67"/>
      <c r="EI2331" s="67"/>
      <c r="EJ2331" s="67"/>
      <c r="EK2331" s="94"/>
      <c r="EL2331" s="94"/>
      <c r="EM2331" s="67"/>
      <c r="EN2331" s="67"/>
      <c r="EO2331" s="67"/>
      <c r="EP2331" s="67"/>
      <c r="EQ2331" s="67"/>
      <c r="ER2331" s="67"/>
      <c r="ES2331" s="67"/>
      <c r="ET2331" s="67"/>
      <c r="EU2331" s="67"/>
      <c r="EV2331" s="67"/>
      <c r="EW2331" s="67"/>
      <c r="EX2331" s="67"/>
      <c r="EY2331" s="67"/>
      <c r="EZ2331" s="67"/>
      <c r="FA2331" s="67"/>
      <c r="FB2331" s="67"/>
      <c r="FC2331" s="67"/>
      <c r="FD2331" s="67"/>
      <c r="FE2331" s="67"/>
      <c r="FF2331" s="67"/>
      <c r="FG2331" s="67"/>
      <c r="FH2331" s="67"/>
      <c r="FI2331" s="67"/>
      <c r="FJ2331" s="67"/>
      <c r="FK2331" s="67"/>
      <c r="FL2331" s="67"/>
      <c r="FM2331" s="67"/>
      <c r="FN2331" s="67"/>
      <c r="FO2331" s="67"/>
      <c r="FP2331" s="67"/>
      <c r="FQ2331" s="67"/>
      <c r="FR2331" s="67"/>
      <c r="FS2331" s="67"/>
      <c r="FT2331" s="67"/>
      <c r="FU2331" s="67"/>
      <c r="FV2331" s="67"/>
      <c r="FW2331" s="67"/>
      <c r="FX2331" s="67"/>
      <c r="FY2331" s="67"/>
      <c r="FZ2331" s="67"/>
      <c r="GA2331" s="67"/>
      <c r="GB2331" s="67"/>
      <c r="GC2331" s="67"/>
      <c r="GD2331" s="67"/>
      <c r="GE2331" s="67"/>
      <c r="GF2331" s="67"/>
      <c r="GG2331" s="67"/>
      <c r="GH2331" s="67"/>
      <c r="GI2331" s="67"/>
      <c r="GJ2331" s="67"/>
      <c r="GK2331" s="67"/>
      <c r="GL2331" s="67"/>
      <c r="GM2331" s="67"/>
      <c r="GN2331" s="292"/>
      <c r="GO2331" s="292"/>
      <c r="GP2331" s="292" t="s">
        <v>7494</v>
      </c>
      <c r="GQ2331" s="67"/>
      <c r="GR2331" s="67"/>
      <c r="GS2331" s="67"/>
      <c r="GT2331" s="67"/>
      <c r="GU2331" s="67"/>
      <c r="GV2331" s="67"/>
      <c r="GW2331" s="67"/>
      <c r="GX2331" s="67"/>
      <c r="GY2331" s="67"/>
      <c r="GZ2331" s="67"/>
      <c r="HA2331" s="67"/>
      <c r="HB2331" s="67"/>
      <c r="HC2331" s="67"/>
      <c r="HD2331" s="67"/>
      <c r="HE2331" s="67"/>
      <c r="HF2331" s="67"/>
      <c r="HG2331" s="67"/>
      <c r="HH2331" s="67"/>
      <c r="HI2331" s="67"/>
      <c r="HJ2331" s="67"/>
      <c r="HK2331" s="67"/>
      <c r="HL2331" s="67"/>
      <c r="HM2331" s="67"/>
      <c r="HN2331" s="67"/>
      <c r="HO2331" s="67"/>
      <c r="HP2331" s="67"/>
      <c r="HQ2331" s="67"/>
      <c r="HR2331" s="67"/>
      <c r="HS2331" s="67"/>
      <c r="HT2331" s="67"/>
      <c r="HU2331" s="67"/>
      <c r="HV2331" s="67"/>
      <c r="HW2331" s="67"/>
      <c r="HX2331" s="67"/>
      <c r="HY2331" s="67"/>
      <c r="HZ2331" s="67"/>
      <c r="IA2331" s="67"/>
      <c r="IB2331" s="67"/>
      <c r="IC2331" s="67"/>
      <c r="ID2331" s="67"/>
      <c r="IE2331" s="67"/>
      <c r="IF2331" s="67"/>
      <c r="IG2331" s="67"/>
      <c r="IH2331" s="67"/>
      <c r="II2331" s="67"/>
      <c r="IJ2331" s="67"/>
      <c r="IK2331" s="67"/>
      <c r="IL2331" s="67"/>
      <c r="IM2331" s="67"/>
      <c r="IN2331" s="67"/>
      <c r="IO2331" s="67"/>
      <c r="IP2331" s="67"/>
      <c r="IQ2331" s="67"/>
      <c r="IR2331" s="67"/>
      <c r="IS2331" s="67"/>
      <c r="IT2331" s="67"/>
      <c r="IU2331" s="67"/>
      <c r="IV2331" s="67"/>
      <c r="IW2331" s="67"/>
      <c r="IX2331" s="67"/>
      <c r="IY2331" s="67"/>
      <c r="IZ2331" s="67"/>
      <c r="JA2331" s="67"/>
      <c r="JB2331" s="67"/>
      <c r="JC2331" s="67"/>
      <c r="JD2331" s="67"/>
      <c r="JE2331" s="67"/>
      <c r="JF2331" s="67"/>
      <c r="JG2331" s="67"/>
      <c r="JH2331" s="67"/>
      <c r="JI2331" s="67"/>
      <c r="JJ2331" s="67"/>
      <c r="JK2331" s="67"/>
      <c r="JL2331" s="67"/>
      <c r="JM2331" s="67"/>
      <c r="JN2331" s="67"/>
      <c r="JO2331" s="67"/>
      <c r="JP2331" s="67"/>
      <c r="JQ2331" s="67"/>
      <c r="JR2331" s="67"/>
      <c r="JS2331" s="67"/>
      <c r="JT2331" s="67"/>
      <c r="JU2331" s="58"/>
      <c r="JV2331" s="58"/>
      <c r="JW2331" s="58"/>
    </row>
    <row r="2332" spans="1:283" s="23" customFormat="1" x14ac:dyDescent="0.25">
      <c r="A2332" s="55">
        <v>2331</v>
      </c>
      <c r="B2332" s="12" t="s">
        <v>7067</v>
      </c>
      <c r="C2332" s="156">
        <v>110</v>
      </c>
      <c r="D2332" s="58" t="s">
        <v>4198</v>
      </c>
      <c r="E2332" s="93" t="s">
        <v>2174</v>
      </c>
      <c r="F2332" s="93"/>
      <c r="G2332" s="58" t="s">
        <v>2264</v>
      </c>
      <c r="H2332" s="59">
        <v>1982</v>
      </c>
      <c r="I2332" s="58">
        <v>1977</v>
      </c>
      <c r="J2332" s="59" t="s">
        <v>1709</v>
      </c>
      <c r="K2332" s="59" t="s">
        <v>2265</v>
      </c>
      <c r="L2332" s="59" t="s">
        <v>2744</v>
      </c>
      <c r="M2332" s="94">
        <v>7.38</v>
      </c>
      <c r="N2332" s="94">
        <v>3.95</v>
      </c>
      <c r="O2332" s="93">
        <v>229.3</v>
      </c>
      <c r="P2332" s="59"/>
      <c r="Q2332" s="58"/>
      <c r="R2332" s="59"/>
      <c r="S2332" s="94"/>
      <c r="T2332" s="58"/>
      <c r="U2332" s="58">
        <v>4</v>
      </c>
      <c r="V2332" s="59">
        <v>4</v>
      </c>
      <c r="W2332" s="174"/>
      <c r="X2332" s="174"/>
      <c r="Y2332" s="58" t="s">
        <v>2266</v>
      </c>
      <c r="Z2332" s="58" t="s">
        <v>1355</v>
      </c>
      <c r="AA2332" s="94">
        <v>10</v>
      </c>
      <c r="AB2332" s="67"/>
      <c r="AC2332" s="67"/>
      <c r="AD2332" s="94">
        <v>1.31</v>
      </c>
      <c r="AE2332" s="93">
        <v>69.3</v>
      </c>
      <c r="AF2332" s="93">
        <v>9.5</v>
      </c>
      <c r="AG2332" s="93"/>
      <c r="AH2332" s="58" t="s">
        <v>238</v>
      </c>
      <c r="AI2332" s="169"/>
      <c r="AJ2332" s="94">
        <v>1.7</v>
      </c>
      <c r="AK2332" s="94"/>
      <c r="AL2332" s="58"/>
      <c r="AM2332" s="59" t="s">
        <v>2267</v>
      </c>
      <c r="AN2332" s="188" t="s">
        <v>2278</v>
      </c>
      <c r="AO2332" s="185" t="s">
        <v>5150</v>
      </c>
      <c r="AP2332" s="59"/>
      <c r="AQ2332" s="58" t="s">
        <v>553</v>
      </c>
      <c r="AR2332" s="59" t="s">
        <v>2283</v>
      </c>
      <c r="AS2332" s="58" t="s">
        <v>227</v>
      </c>
      <c r="AT2332" s="182"/>
      <c r="AU2332" s="181" t="s">
        <v>7494</v>
      </c>
      <c r="AV2332" s="185" t="s">
        <v>176</v>
      </c>
      <c r="AW2332" s="58"/>
      <c r="AX2332" s="185" t="s">
        <v>176</v>
      </c>
      <c r="AY2332" s="58"/>
      <c r="AZ2332" s="59"/>
      <c r="BA2332" s="58"/>
      <c r="BB2332" s="58"/>
      <c r="BC2332" s="58"/>
      <c r="BD2332" s="58"/>
      <c r="BE2332" s="240"/>
      <c r="BF2332" s="59"/>
      <c r="BG2332" s="59"/>
      <c r="BH2332" s="236"/>
      <c r="BI2332" s="58"/>
      <c r="BJ2332" s="58"/>
      <c r="BK2332" s="58" t="s">
        <v>5976</v>
      </c>
      <c r="BL2332" s="58"/>
      <c r="BM2332" s="241" t="s">
        <v>160</v>
      </c>
      <c r="BN2332" s="58">
        <v>3</v>
      </c>
      <c r="BO2332" s="58">
        <v>3</v>
      </c>
      <c r="BP2332" s="59"/>
      <c r="BQ2332" s="58" t="s">
        <v>141</v>
      </c>
      <c r="BR2332" s="58"/>
      <c r="BS2332" s="58"/>
      <c r="BT2332" s="58"/>
      <c r="BU2332" s="58" t="s">
        <v>2280</v>
      </c>
      <c r="BV2332" s="58"/>
      <c r="BW2332" s="67"/>
      <c r="BX2332" s="67"/>
      <c r="BY2332" s="67"/>
      <c r="BZ2332" s="67"/>
      <c r="CA2332" s="67"/>
      <c r="CB2332" s="153">
        <v>280</v>
      </c>
      <c r="CC2332" s="68">
        <v>390</v>
      </c>
      <c r="CD2332" s="68"/>
      <c r="CE2332" s="67"/>
      <c r="CF2332" s="67"/>
      <c r="CG2332" s="67" t="s">
        <v>2284</v>
      </c>
      <c r="CH2332" s="94"/>
      <c r="CI2332" s="94"/>
      <c r="CJ2332" s="67"/>
      <c r="CK2332" s="67"/>
      <c r="CL2332" s="67"/>
      <c r="CM2332" s="67"/>
      <c r="CN2332" s="67"/>
      <c r="CO2332" s="67"/>
      <c r="CP2332" s="67"/>
      <c r="CQ2332" s="67"/>
      <c r="CR2332" s="67"/>
      <c r="CS2332" s="67"/>
      <c r="CT2332" s="67"/>
      <c r="CU2332" s="67"/>
      <c r="CV2332" s="67"/>
      <c r="CW2332" s="67"/>
      <c r="CX2332" s="67"/>
      <c r="CY2332" s="67"/>
      <c r="CZ2332" s="67"/>
      <c r="DA2332" s="67"/>
      <c r="DB2332" s="67"/>
      <c r="DC2332" s="67"/>
      <c r="DD2332" s="67"/>
      <c r="DE2332" s="67"/>
      <c r="DF2332" s="67"/>
      <c r="DG2332" s="67"/>
      <c r="DH2332" s="67"/>
      <c r="DI2332" s="67"/>
      <c r="DJ2332" s="67"/>
      <c r="DK2332" s="67"/>
      <c r="DL2332" s="67"/>
      <c r="DM2332" s="67"/>
      <c r="DN2332" s="67"/>
      <c r="DO2332" s="67"/>
      <c r="DP2332" s="67"/>
      <c r="DQ2332" s="166"/>
      <c r="DR2332" s="166"/>
      <c r="DS2332" s="163"/>
      <c r="DT2332" s="163"/>
      <c r="DU2332" s="67"/>
      <c r="DV2332" s="67"/>
      <c r="DW2332" s="67"/>
      <c r="DX2332" s="67"/>
      <c r="DY2332" s="67"/>
      <c r="DZ2332" s="67"/>
      <c r="EA2332" s="67"/>
      <c r="EB2332" s="67"/>
      <c r="EC2332" s="67"/>
      <c r="ED2332" s="67"/>
      <c r="EE2332" s="67"/>
      <c r="EF2332" s="67"/>
      <c r="EG2332" s="67"/>
      <c r="EH2332" s="67"/>
      <c r="EI2332" s="67"/>
      <c r="EJ2332" s="67"/>
      <c r="EK2332" s="94"/>
      <c r="EL2332" s="94"/>
      <c r="EM2332" s="67"/>
      <c r="EN2332" s="67"/>
      <c r="EO2332" s="67"/>
      <c r="EP2332" s="67"/>
      <c r="EQ2332" s="67"/>
      <c r="ER2332" s="67"/>
      <c r="ES2332" s="67"/>
      <c r="ET2332" s="67"/>
      <c r="EU2332" s="67"/>
      <c r="EV2332" s="67"/>
      <c r="EW2332" s="67"/>
      <c r="EX2332" s="67"/>
      <c r="EY2332" s="67"/>
      <c r="EZ2332" s="67"/>
      <c r="FA2332" s="67"/>
      <c r="FB2332" s="67"/>
      <c r="FC2332" s="67"/>
      <c r="FD2332" s="67"/>
      <c r="FE2332" s="67"/>
      <c r="FF2332" s="67"/>
      <c r="FG2332" s="67"/>
      <c r="FH2332" s="67"/>
      <c r="FI2332" s="67"/>
      <c r="FJ2332" s="67"/>
      <c r="FK2332" s="67"/>
      <c r="FL2332" s="67"/>
      <c r="FM2332" s="67"/>
      <c r="FN2332" s="67"/>
      <c r="FO2332" s="67"/>
      <c r="FP2332" s="67"/>
      <c r="FQ2332" s="67"/>
      <c r="FR2332" s="67"/>
      <c r="FS2332" s="67"/>
      <c r="FT2332" s="67"/>
      <c r="FU2332" s="67"/>
      <c r="FV2332" s="67"/>
      <c r="FW2332" s="67"/>
      <c r="FX2332" s="67"/>
      <c r="FY2332" s="67"/>
      <c r="FZ2332" s="67"/>
      <c r="GA2332" s="67"/>
      <c r="GB2332" s="67"/>
      <c r="GC2332" s="67"/>
      <c r="GD2332" s="67"/>
      <c r="GE2332" s="67"/>
      <c r="GF2332" s="67"/>
      <c r="GG2332" s="67"/>
      <c r="GH2332" s="67"/>
      <c r="GI2332" s="67"/>
      <c r="GJ2332" s="67"/>
      <c r="GK2332" s="67"/>
      <c r="GL2332" s="67"/>
      <c r="GM2332" s="67"/>
      <c r="GN2332" s="292"/>
      <c r="GO2332" s="292"/>
      <c r="GP2332" s="292" t="s">
        <v>7494</v>
      </c>
      <c r="GQ2332" s="67"/>
      <c r="GR2332" s="67"/>
      <c r="GS2332" s="67"/>
      <c r="GT2332" s="67"/>
      <c r="GU2332" s="67"/>
      <c r="GV2332" s="67"/>
      <c r="GW2332" s="67"/>
      <c r="GX2332" s="67"/>
      <c r="GY2332" s="67"/>
      <c r="GZ2332" s="67"/>
      <c r="HA2332" s="67"/>
      <c r="HB2332" s="67"/>
      <c r="HC2332" s="67"/>
      <c r="HD2332" s="67"/>
      <c r="HE2332" s="67"/>
      <c r="HF2332" s="67"/>
      <c r="HG2332" s="67"/>
      <c r="HH2332" s="67"/>
      <c r="HI2332" s="67"/>
      <c r="HJ2332" s="67"/>
      <c r="HK2332" s="67"/>
      <c r="HL2332" s="67"/>
      <c r="HM2332" s="67"/>
      <c r="HN2332" s="67"/>
      <c r="HO2332" s="67"/>
      <c r="HP2332" s="67"/>
      <c r="HQ2332" s="67"/>
      <c r="HR2332" s="67"/>
      <c r="HS2332" s="67"/>
      <c r="HT2332" s="67"/>
      <c r="HU2332" s="67"/>
      <c r="HV2332" s="67"/>
      <c r="HW2332" s="67"/>
      <c r="HX2332" s="67"/>
      <c r="HY2332" s="67"/>
      <c r="HZ2332" s="67"/>
      <c r="IA2332" s="67"/>
      <c r="IB2332" s="67"/>
      <c r="IC2332" s="67"/>
      <c r="ID2332" s="67"/>
      <c r="IE2332" s="67"/>
      <c r="IF2332" s="67"/>
      <c r="IG2332" s="67"/>
      <c r="IH2332" s="67"/>
      <c r="II2332" s="67"/>
      <c r="IJ2332" s="67"/>
      <c r="IK2332" s="67"/>
      <c r="IL2332" s="67"/>
      <c r="IM2332" s="67"/>
      <c r="IN2332" s="67"/>
      <c r="IO2332" s="67"/>
      <c r="IP2332" s="67"/>
      <c r="IQ2332" s="67"/>
      <c r="IR2332" s="67"/>
      <c r="IS2332" s="67"/>
      <c r="IT2332" s="67"/>
      <c r="IU2332" s="67"/>
      <c r="IV2332" s="67"/>
      <c r="IW2332" s="67"/>
      <c r="IX2332" s="67"/>
      <c r="IY2332" s="67"/>
      <c r="IZ2332" s="67"/>
      <c r="JA2332" s="67"/>
      <c r="JB2332" s="67"/>
      <c r="JC2332" s="67"/>
      <c r="JD2332" s="67"/>
      <c r="JE2332" s="67"/>
      <c r="JF2332" s="67"/>
      <c r="JG2332" s="67"/>
      <c r="JH2332" s="67"/>
      <c r="JI2332" s="67"/>
      <c r="JJ2332" s="67"/>
      <c r="JK2332" s="67"/>
      <c r="JL2332" s="67"/>
      <c r="JM2332" s="67"/>
      <c r="JN2332" s="67"/>
      <c r="JO2332" s="67"/>
      <c r="JP2332" s="67"/>
      <c r="JQ2332" s="67"/>
      <c r="JR2332" s="67"/>
      <c r="JS2332" s="67"/>
      <c r="JT2332" s="67"/>
      <c r="JU2332" s="58"/>
      <c r="JV2332" s="58"/>
      <c r="JW2332" s="58"/>
    </row>
    <row r="2333" spans="1:283" x14ac:dyDescent="0.25">
      <c r="A2333" s="55">
        <v>2332</v>
      </c>
      <c r="B2333" s="12" t="s">
        <v>7067</v>
      </c>
      <c r="C2333" s="155">
        <v>111</v>
      </c>
      <c r="D2333" s="55" t="s">
        <v>4199</v>
      </c>
      <c r="E2333" s="90" t="s">
        <v>2324</v>
      </c>
      <c r="H2333" s="55">
        <v>2013</v>
      </c>
      <c r="I2333" s="55">
        <v>2011</v>
      </c>
      <c r="J2333" s="12"/>
      <c r="K2333" s="55" t="s">
        <v>2286</v>
      </c>
      <c r="L2333" s="55" t="s">
        <v>2745</v>
      </c>
      <c r="M2333" s="90">
        <v>-36.245922</v>
      </c>
      <c r="N2333" s="90">
        <v>-62.569674999999997</v>
      </c>
      <c r="O2333" s="90">
        <v>99.4</v>
      </c>
      <c r="Q2333" s="55">
        <v>18</v>
      </c>
      <c r="S2333" s="90">
        <v>805</v>
      </c>
      <c r="U2333" s="55" t="s">
        <v>1682</v>
      </c>
      <c r="V2333" s="55" t="s">
        <v>1801</v>
      </c>
      <c r="Z2333" s="55" t="s">
        <v>1346</v>
      </c>
      <c r="AA2333" s="90" t="s">
        <v>1675</v>
      </c>
      <c r="AH2333" s="55" t="s">
        <v>238</v>
      </c>
      <c r="AM2333" s="55" t="s">
        <v>1319</v>
      </c>
      <c r="AN2333" s="185" t="s">
        <v>2288</v>
      </c>
      <c r="AO2333" s="185" t="s">
        <v>5150</v>
      </c>
      <c r="AQ2333" s="55" t="s">
        <v>1546</v>
      </c>
      <c r="AR2333" s="55" t="s">
        <v>132</v>
      </c>
      <c r="AS2333" s="55" t="s">
        <v>132</v>
      </c>
      <c r="AT2333" s="181" t="s">
        <v>912</v>
      </c>
      <c r="AU2333" s="181" t="s">
        <v>5150</v>
      </c>
      <c r="AV2333" s="185" t="s">
        <v>176</v>
      </c>
      <c r="AW2333" s="55" t="s">
        <v>912</v>
      </c>
      <c r="AX2333" s="185" t="s">
        <v>176</v>
      </c>
      <c r="BK2333" s="55" t="s">
        <v>5976</v>
      </c>
      <c r="BN2333" s="55">
        <v>3</v>
      </c>
      <c r="BO2333" s="55">
        <v>3</v>
      </c>
      <c r="BU2333" s="55" t="s">
        <v>2289</v>
      </c>
      <c r="BV2333" s="55" t="s">
        <v>2758</v>
      </c>
      <c r="CM2333" s="65">
        <f>CR2333*0.0414</f>
        <v>1.77606</v>
      </c>
      <c r="CN2333" s="65">
        <f>CS2333*0.0414</f>
        <v>1.9043999999999999</v>
      </c>
      <c r="CR2333" s="65">
        <v>42.9</v>
      </c>
      <c r="CS2333" s="65">
        <v>46</v>
      </c>
      <c r="CV2333" s="65" t="s">
        <v>2052</v>
      </c>
      <c r="DA2333" s="65" t="s">
        <v>4463</v>
      </c>
      <c r="GP2333" s="292" t="s">
        <v>7494</v>
      </c>
      <c r="JU2333" s="55">
        <v>2</v>
      </c>
    </row>
    <row r="2334" spans="1:283" x14ac:dyDescent="0.25">
      <c r="A2334" s="55">
        <v>2333</v>
      </c>
      <c r="B2334" s="12" t="s">
        <v>7067</v>
      </c>
      <c r="C2334" s="155">
        <v>111</v>
      </c>
      <c r="D2334" s="55" t="s">
        <v>4199</v>
      </c>
      <c r="E2334" s="90" t="s">
        <v>2324</v>
      </c>
      <c r="H2334" s="55">
        <v>2013</v>
      </c>
      <c r="I2334" s="55">
        <v>2011</v>
      </c>
      <c r="J2334" s="12"/>
      <c r="K2334" s="55" t="s">
        <v>2286</v>
      </c>
      <c r="L2334" s="55" t="s">
        <v>2745</v>
      </c>
      <c r="M2334" s="90">
        <v>-36.245922</v>
      </c>
      <c r="N2334" s="90">
        <v>-62.569674999999997</v>
      </c>
      <c r="O2334" s="90">
        <v>99.4</v>
      </c>
      <c r="Q2334" s="55">
        <v>18</v>
      </c>
      <c r="S2334" s="90">
        <v>805</v>
      </c>
      <c r="U2334" s="55" t="s">
        <v>1682</v>
      </c>
      <c r="V2334" s="55" t="s">
        <v>1801</v>
      </c>
      <c r="Z2334" s="55" t="s">
        <v>1346</v>
      </c>
      <c r="AA2334" s="90" t="s">
        <v>1675</v>
      </c>
      <c r="AH2334" s="55" t="s">
        <v>238</v>
      </c>
      <c r="AM2334" s="55" t="s">
        <v>1319</v>
      </c>
      <c r="AN2334" s="185" t="s">
        <v>2288</v>
      </c>
      <c r="AO2334" s="185" t="s">
        <v>5150</v>
      </c>
      <c r="AQ2334" s="55" t="s">
        <v>1546</v>
      </c>
      <c r="AR2334" s="55" t="s">
        <v>158</v>
      </c>
      <c r="AS2334" s="55" t="s">
        <v>158</v>
      </c>
      <c r="AT2334" s="181" t="s">
        <v>2290</v>
      </c>
      <c r="AU2334" s="181" t="s">
        <v>5150</v>
      </c>
      <c r="AV2334" s="185" t="s">
        <v>176</v>
      </c>
      <c r="AW2334" s="55" t="s">
        <v>2290</v>
      </c>
      <c r="AX2334" s="185" t="s">
        <v>176</v>
      </c>
      <c r="BK2334" s="55" t="s">
        <v>5976</v>
      </c>
      <c r="BN2334" s="55">
        <v>3</v>
      </c>
      <c r="BO2334" s="55">
        <v>3</v>
      </c>
      <c r="BU2334" s="55" t="s">
        <v>2289</v>
      </c>
      <c r="BV2334" s="55" t="s">
        <v>2758</v>
      </c>
      <c r="CM2334" s="65">
        <f>CR2334*0.0414</f>
        <v>1.47384</v>
      </c>
      <c r="CN2334" s="65">
        <f>CS2334*0.0414</f>
        <v>1.7677800000000001</v>
      </c>
      <c r="CR2334" s="65">
        <v>35.6</v>
      </c>
      <c r="CS2334" s="65">
        <v>42.7</v>
      </c>
      <c r="CV2334" s="65" t="s">
        <v>2052</v>
      </c>
      <c r="DA2334" s="65" t="s">
        <v>4463</v>
      </c>
      <c r="GP2334" s="292" t="s">
        <v>7494</v>
      </c>
      <c r="JU2334" s="55">
        <v>2</v>
      </c>
    </row>
    <row r="2335" spans="1:283" x14ac:dyDescent="0.25">
      <c r="A2335" s="55">
        <v>2334</v>
      </c>
      <c r="B2335" s="12" t="s">
        <v>7067</v>
      </c>
      <c r="C2335" s="155">
        <v>111</v>
      </c>
      <c r="D2335" s="55" t="s">
        <v>4200</v>
      </c>
      <c r="E2335" s="90" t="s">
        <v>2325</v>
      </c>
      <c r="H2335" s="55">
        <v>2008</v>
      </c>
      <c r="I2335" s="55">
        <v>2006</v>
      </c>
      <c r="J2335" s="12"/>
      <c r="K2335" s="55" t="s">
        <v>2286</v>
      </c>
      <c r="L2335" s="55" t="s">
        <v>2745</v>
      </c>
      <c r="M2335" s="90">
        <v>-37.419421999999997</v>
      </c>
      <c r="N2335" s="90">
        <v>-62.009036000000002</v>
      </c>
      <c r="O2335" s="90">
        <v>227</v>
      </c>
      <c r="Q2335" s="55">
        <v>16.3</v>
      </c>
      <c r="S2335" s="90">
        <v>859</v>
      </c>
      <c r="U2335" s="55" t="s">
        <v>1816</v>
      </c>
      <c r="V2335" s="55" t="s">
        <v>1694</v>
      </c>
      <c r="Z2335" s="55" t="s">
        <v>1346</v>
      </c>
      <c r="AA2335" s="90" t="s">
        <v>1675</v>
      </c>
      <c r="AD2335" s="90">
        <v>1.35</v>
      </c>
      <c r="AH2335" s="55" t="s">
        <v>2291</v>
      </c>
      <c r="AM2335" s="55" t="s">
        <v>2343</v>
      </c>
      <c r="AN2335" s="185" t="s">
        <v>2292</v>
      </c>
      <c r="AO2335" s="185" t="s">
        <v>5150</v>
      </c>
      <c r="AQ2335" s="55" t="s">
        <v>1545</v>
      </c>
      <c r="AR2335" s="55" t="s">
        <v>158</v>
      </c>
      <c r="AS2335" s="55" t="s">
        <v>158</v>
      </c>
      <c r="AT2335" s="181" t="s">
        <v>2290</v>
      </c>
      <c r="AU2335" s="181" t="s">
        <v>5150</v>
      </c>
      <c r="AV2335" s="185" t="s">
        <v>176</v>
      </c>
      <c r="AW2335" s="55" t="s">
        <v>2290</v>
      </c>
      <c r="AX2335" s="185" t="s">
        <v>176</v>
      </c>
      <c r="BK2335" s="55" t="s">
        <v>5976</v>
      </c>
      <c r="BN2335" s="55">
        <v>3</v>
      </c>
      <c r="BO2335" s="55">
        <v>3</v>
      </c>
      <c r="BU2335" s="55" t="s">
        <v>2293</v>
      </c>
      <c r="BV2335" s="55" t="s">
        <v>2758</v>
      </c>
      <c r="CH2335" s="90">
        <v>1.35</v>
      </c>
      <c r="CI2335" s="90">
        <v>1.31833333333333</v>
      </c>
      <c r="CM2335" s="65">
        <f>(CR2335*1000000)/(100*100*CH2335*AA2335/100*1000000)*100</f>
        <v>2.1333333333333333</v>
      </c>
      <c r="CN2335" s="65">
        <f>(CS2335*1000000)/(100*100*CI2335*AA2335/100*1000000)*100</f>
        <v>2.2945638432364155</v>
      </c>
      <c r="CR2335" s="65">
        <v>57.6</v>
      </c>
      <c r="CS2335" s="65">
        <v>60.5</v>
      </c>
      <c r="CV2335" s="65" t="s">
        <v>2052</v>
      </c>
      <c r="DA2335" s="65" t="s">
        <v>4463</v>
      </c>
      <c r="GP2335" s="292" t="s">
        <v>7494</v>
      </c>
      <c r="JU2335" s="55" t="s">
        <v>2337</v>
      </c>
    </row>
    <row r="2336" spans="1:283" x14ac:dyDescent="0.25">
      <c r="A2336" s="55">
        <v>2335</v>
      </c>
      <c r="B2336" s="12" t="s">
        <v>7067</v>
      </c>
      <c r="C2336" s="155">
        <v>111</v>
      </c>
      <c r="D2336" s="55" t="s">
        <v>4200</v>
      </c>
      <c r="E2336" s="90" t="s">
        <v>2325</v>
      </c>
      <c r="H2336" s="55">
        <v>2008</v>
      </c>
      <c r="I2336" s="55">
        <v>2006</v>
      </c>
      <c r="J2336" s="12"/>
      <c r="K2336" s="55" t="s">
        <v>2286</v>
      </c>
      <c r="L2336" s="55" t="s">
        <v>2745</v>
      </c>
      <c r="M2336" s="90">
        <v>-37.419421999999997</v>
      </c>
      <c r="N2336" s="90">
        <v>-62.009036000000002</v>
      </c>
      <c r="O2336" s="90">
        <v>227</v>
      </c>
      <c r="Q2336" s="55">
        <v>16.3</v>
      </c>
      <c r="S2336" s="90">
        <v>859</v>
      </c>
      <c r="U2336" s="55" t="s">
        <v>1816</v>
      </c>
      <c r="V2336" s="55" t="s">
        <v>1694</v>
      </c>
      <c r="Z2336" s="55" t="s">
        <v>1346</v>
      </c>
      <c r="AA2336" s="90" t="s">
        <v>1675</v>
      </c>
      <c r="AD2336" s="90">
        <v>1.35</v>
      </c>
      <c r="AH2336" s="55" t="s">
        <v>2291</v>
      </c>
      <c r="AM2336" s="55" t="s">
        <v>2343</v>
      </c>
      <c r="AN2336" s="185" t="s">
        <v>2292</v>
      </c>
      <c r="AO2336" s="185" t="s">
        <v>5150</v>
      </c>
      <c r="AQ2336" s="55" t="s">
        <v>1545</v>
      </c>
      <c r="AR2336" s="55" t="s">
        <v>158</v>
      </c>
      <c r="AS2336" s="55" t="s">
        <v>158</v>
      </c>
      <c r="AT2336" s="181" t="s">
        <v>2290</v>
      </c>
      <c r="AU2336" s="181" t="s">
        <v>5150</v>
      </c>
      <c r="AV2336" s="185" t="s">
        <v>176</v>
      </c>
      <c r="AW2336" s="55" t="s">
        <v>2290</v>
      </c>
      <c r="AX2336" s="185" t="s">
        <v>176</v>
      </c>
      <c r="BK2336" s="55" t="s">
        <v>5976</v>
      </c>
      <c r="BN2336" s="55">
        <v>3</v>
      </c>
      <c r="BO2336" s="55">
        <v>3</v>
      </c>
      <c r="BU2336" s="55" t="s">
        <v>2294</v>
      </c>
      <c r="BV2336" s="55" t="s">
        <v>2758</v>
      </c>
      <c r="CH2336" s="90">
        <v>1.35</v>
      </c>
      <c r="CI2336" s="90">
        <v>1.31833333333333</v>
      </c>
      <c r="CM2336" s="65">
        <f>(CR2336*1000000)/(100*100*CH2336*AA2336/100*1000000)*100</f>
        <v>2.1333333333333333</v>
      </c>
      <c r="CN2336" s="65">
        <f>(CS2336*1000000)/(100*100*CI2336*AA2336/100*1000000)*100</f>
        <v>2.4159292035398297</v>
      </c>
      <c r="CR2336" s="65">
        <v>57.6</v>
      </c>
      <c r="CS2336" s="65">
        <v>63.7</v>
      </c>
      <c r="CV2336" s="65" t="s">
        <v>2052</v>
      </c>
      <c r="DA2336" s="65" t="s">
        <v>4463</v>
      </c>
      <c r="GP2336" s="292" t="s">
        <v>7494</v>
      </c>
      <c r="JU2336" s="55" t="s">
        <v>2337</v>
      </c>
    </row>
    <row r="2337" spans="1:281" x14ac:dyDescent="0.25">
      <c r="A2337" s="55">
        <v>2336</v>
      </c>
      <c r="B2337" s="12" t="s">
        <v>7067</v>
      </c>
      <c r="C2337" s="155">
        <v>111</v>
      </c>
      <c r="D2337" s="55" t="s">
        <v>4200</v>
      </c>
      <c r="E2337" s="90" t="s">
        <v>2325</v>
      </c>
      <c r="H2337" s="55">
        <v>2008</v>
      </c>
      <c r="I2337" s="55">
        <v>2006</v>
      </c>
      <c r="J2337" s="12"/>
      <c r="K2337" s="55" t="s">
        <v>2286</v>
      </c>
      <c r="L2337" s="55" t="s">
        <v>2745</v>
      </c>
      <c r="M2337" s="90">
        <v>-37.419421999999997</v>
      </c>
      <c r="N2337" s="90">
        <v>-62.009036000000002</v>
      </c>
      <c r="O2337" s="90">
        <v>227</v>
      </c>
      <c r="Q2337" s="55">
        <v>16.3</v>
      </c>
      <c r="S2337" s="90">
        <v>859</v>
      </c>
      <c r="U2337" s="55" t="s">
        <v>1816</v>
      </c>
      <c r="V2337" s="55" t="s">
        <v>1694</v>
      </c>
      <c r="Z2337" s="55" t="s">
        <v>1346</v>
      </c>
      <c r="AA2337" s="90" t="s">
        <v>1675</v>
      </c>
      <c r="AD2337" s="90">
        <v>1.35</v>
      </c>
      <c r="AH2337" s="55" t="s">
        <v>2291</v>
      </c>
      <c r="AM2337" s="55" t="s">
        <v>2343</v>
      </c>
      <c r="AN2337" s="185" t="s">
        <v>2292</v>
      </c>
      <c r="AO2337" s="185" t="s">
        <v>5150</v>
      </c>
      <c r="AQ2337" s="55" t="s">
        <v>1545</v>
      </c>
      <c r="AR2337" s="55" t="s">
        <v>158</v>
      </c>
      <c r="AS2337" s="55" t="s">
        <v>158</v>
      </c>
      <c r="AT2337" s="181" t="s">
        <v>2290</v>
      </c>
      <c r="AU2337" s="181" t="s">
        <v>5150</v>
      </c>
      <c r="AV2337" s="185" t="s">
        <v>176</v>
      </c>
      <c r="AW2337" s="55" t="s">
        <v>2290</v>
      </c>
      <c r="AX2337" s="185" t="s">
        <v>176</v>
      </c>
      <c r="BK2337" s="55" t="s">
        <v>5976</v>
      </c>
      <c r="BN2337" s="55">
        <v>3</v>
      </c>
      <c r="BO2337" s="55">
        <v>3</v>
      </c>
      <c r="BU2337" s="55" t="s">
        <v>2295</v>
      </c>
      <c r="BV2337" s="55" t="s">
        <v>2758</v>
      </c>
      <c r="CH2337" s="90">
        <v>1.35</v>
      </c>
      <c r="CI2337" s="90">
        <v>1.31833333333333</v>
      </c>
      <c r="CM2337" s="65">
        <f>(CR2337*1000000)/(100*100*CH2337*AA2337/100*1000000)*100</f>
        <v>2.1333333333333333</v>
      </c>
      <c r="CN2337" s="65">
        <f>(CS2337*1000000)/(100*100*CI2337*AA2337/100*1000000)*100</f>
        <v>2.2831858407079708</v>
      </c>
      <c r="CR2337" s="65">
        <v>57.6</v>
      </c>
      <c r="CS2337" s="65">
        <v>60.2</v>
      </c>
      <c r="CV2337" s="65" t="s">
        <v>2052</v>
      </c>
      <c r="DA2337" s="65" t="s">
        <v>4463</v>
      </c>
      <c r="GP2337" s="292" t="s">
        <v>7494</v>
      </c>
      <c r="JU2337" s="55" t="s">
        <v>2337</v>
      </c>
    </row>
    <row r="2338" spans="1:281" x14ac:dyDescent="0.25">
      <c r="A2338" s="55">
        <v>2337</v>
      </c>
      <c r="B2338" s="12" t="s">
        <v>7067</v>
      </c>
      <c r="C2338" s="155">
        <v>111</v>
      </c>
      <c r="D2338" s="55" t="s">
        <v>4201</v>
      </c>
      <c r="E2338" s="90" t="s">
        <v>2325</v>
      </c>
      <c r="H2338" s="55">
        <v>2014</v>
      </c>
      <c r="I2338" s="55">
        <v>2012</v>
      </c>
      <c r="J2338" s="12"/>
      <c r="K2338" s="55" t="s">
        <v>2286</v>
      </c>
      <c r="L2338" s="55" t="s">
        <v>2745</v>
      </c>
      <c r="M2338" s="90">
        <v>-35.389347222222199</v>
      </c>
      <c r="N2338" s="90">
        <v>-60.883994444444397</v>
      </c>
      <c r="O2338" s="90">
        <v>71.8</v>
      </c>
      <c r="Q2338" s="55">
        <v>17.5</v>
      </c>
      <c r="S2338" s="90">
        <v>818</v>
      </c>
      <c r="U2338" s="55" t="s">
        <v>1677</v>
      </c>
      <c r="V2338" s="55" t="s">
        <v>1677</v>
      </c>
      <c r="Z2338" s="55" t="s">
        <v>1346</v>
      </c>
      <c r="AA2338" s="90" t="s">
        <v>1675</v>
      </c>
      <c r="AE2338" s="90">
        <v>14.6</v>
      </c>
      <c r="AF2338" s="90">
        <v>68.7</v>
      </c>
      <c r="AH2338" s="55" t="s">
        <v>6378</v>
      </c>
      <c r="AM2338" s="55" t="s">
        <v>2344</v>
      </c>
      <c r="AN2338" s="185" t="s">
        <v>2292</v>
      </c>
      <c r="AO2338" s="185" t="s">
        <v>5150</v>
      </c>
      <c r="AQ2338" s="55" t="s">
        <v>1545</v>
      </c>
      <c r="AR2338" s="55" t="s">
        <v>132</v>
      </c>
      <c r="AS2338" s="55" t="s">
        <v>132</v>
      </c>
      <c r="AT2338" s="181" t="s">
        <v>912</v>
      </c>
      <c r="AU2338" s="181" t="s">
        <v>5150</v>
      </c>
      <c r="AV2338" s="185" t="s">
        <v>176</v>
      </c>
      <c r="AW2338" s="55" t="s">
        <v>912</v>
      </c>
      <c r="AX2338" s="185" t="s">
        <v>176</v>
      </c>
      <c r="BK2338" s="55" t="s">
        <v>5976</v>
      </c>
      <c r="BN2338" s="55">
        <v>3</v>
      </c>
      <c r="BO2338" s="55">
        <v>3</v>
      </c>
      <c r="BU2338" s="55" t="s">
        <v>2294</v>
      </c>
      <c r="BV2338" s="55" t="s">
        <v>2758</v>
      </c>
      <c r="CM2338" s="65">
        <f>CR2338*0.0414</f>
        <v>1.3041</v>
      </c>
      <c r="CN2338" s="65">
        <f>CS2338*0.0414</f>
        <v>1.4034599999999999</v>
      </c>
      <c r="CR2338" s="65">
        <v>31.5</v>
      </c>
      <c r="CS2338" s="65">
        <v>33.9</v>
      </c>
      <c r="CV2338" s="65" t="s">
        <v>2052</v>
      </c>
      <c r="DA2338" s="65" t="s">
        <v>4463</v>
      </c>
      <c r="GP2338" s="292" t="s">
        <v>7494</v>
      </c>
      <c r="JU2338" s="55" t="s">
        <v>2338</v>
      </c>
    </row>
    <row r="2339" spans="1:281" x14ac:dyDescent="0.25">
      <c r="A2339" s="55">
        <v>2338</v>
      </c>
      <c r="B2339" s="12" t="s">
        <v>7067</v>
      </c>
      <c r="C2339" s="155">
        <v>111</v>
      </c>
      <c r="D2339" s="55" t="s">
        <v>4201</v>
      </c>
      <c r="E2339" s="90" t="s">
        <v>2325</v>
      </c>
      <c r="H2339" s="55">
        <v>2014</v>
      </c>
      <c r="I2339" s="55">
        <v>2012</v>
      </c>
      <c r="J2339" s="12"/>
      <c r="K2339" s="55" t="s">
        <v>2286</v>
      </c>
      <c r="L2339" s="55" t="s">
        <v>2745</v>
      </c>
      <c r="M2339" s="90">
        <v>-35.389347222222199</v>
      </c>
      <c r="N2339" s="90">
        <v>-60.883994444444397</v>
      </c>
      <c r="O2339" s="90">
        <v>71.8</v>
      </c>
      <c r="Q2339" s="55">
        <v>17.5</v>
      </c>
      <c r="S2339" s="90">
        <v>818</v>
      </c>
      <c r="U2339" s="55" t="s">
        <v>1677</v>
      </c>
      <c r="V2339" s="55" t="s">
        <v>1677</v>
      </c>
      <c r="Z2339" s="55" t="s">
        <v>1346</v>
      </c>
      <c r="AA2339" s="90" t="s">
        <v>1675</v>
      </c>
      <c r="AE2339" s="90">
        <v>14.6</v>
      </c>
      <c r="AF2339" s="90">
        <v>68.7</v>
      </c>
      <c r="AH2339" s="55" t="s">
        <v>6378</v>
      </c>
      <c r="AM2339" s="55" t="s">
        <v>2344</v>
      </c>
      <c r="AN2339" s="185" t="s">
        <v>2292</v>
      </c>
      <c r="AO2339" s="185" t="s">
        <v>5150</v>
      </c>
      <c r="AQ2339" s="55" t="s">
        <v>1545</v>
      </c>
      <c r="AR2339" s="55" t="s">
        <v>158</v>
      </c>
      <c r="AS2339" s="55" t="s">
        <v>158</v>
      </c>
      <c r="AT2339" s="181" t="s">
        <v>2290</v>
      </c>
      <c r="AU2339" s="181" t="s">
        <v>5150</v>
      </c>
      <c r="AV2339" s="185" t="s">
        <v>176</v>
      </c>
      <c r="AW2339" s="55" t="s">
        <v>2290</v>
      </c>
      <c r="AX2339" s="185" t="s">
        <v>176</v>
      </c>
      <c r="BK2339" s="55" t="s">
        <v>5976</v>
      </c>
      <c r="BN2339" s="55">
        <v>3</v>
      </c>
      <c r="BO2339" s="55">
        <v>3</v>
      </c>
      <c r="BU2339" s="55" t="s">
        <v>2294</v>
      </c>
      <c r="BV2339" s="55" t="s">
        <v>2758</v>
      </c>
      <c r="CM2339" s="65">
        <f>CR2339*0.0414</f>
        <v>1.23786</v>
      </c>
      <c r="CN2339" s="65">
        <f>CS2339*0.0414</f>
        <v>1.3165199999999999</v>
      </c>
      <c r="CR2339" s="65">
        <v>29.9</v>
      </c>
      <c r="CS2339" s="65">
        <v>31.8</v>
      </c>
      <c r="CV2339" s="65" t="s">
        <v>2052</v>
      </c>
      <c r="DA2339" s="65" t="s">
        <v>4463</v>
      </c>
      <c r="GP2339" s="292" t="s">
        <v>7494</v>
      </c>
      <c r="JU2339" s="55" t="s">
        <v>2338</v>
      </c>
    </row>
    <row r="2340" spans="1:281" x14ac:dyDescent="0.25">
      <c r="A2340" s="55">
        <v>2339</v>
      </c>
      <c r="B2340" s="12" t="s">
        <v>7067</v>
      </c>
      <c r="C2340" s="155">
        <v>111</v>
      </c>
      <c r="D2340" s="55" t="s">
        <v>4202</v>
      </c>
      <c r="E2340" s="90" t="s">
        <v>2325</v>
      </c>
      <c r="H2340" s="55">
        <v>2016</v>
      </c>
      <c r="I2340" s="55">
        <v>2014</v>
      </c>
      <c r="J2340" s="12"/>
      <c r="K2340" s="55" t="s">
        <v>2286</v>
      </c>
      <c r="L2340" s="55" t="s">
        <v>2745</v>
      </c>
      <c r="M2340" s="90">
        <v>-37.572446999999997</v>
      </c>
      <c r="N2340" s="90">
        <v>-62.033836000000001</v>
      </c>
      <c r="O2340" s="90">
        <v>271.7</v>
      </c>
      <c r="Q2340" s="55">
        <v>16.2</v>
      </c>
      <c r="S2340" s="90">
        <v>970</v>
      </c>
      <c r="U2340" s="55" t="s">
        <v>1682</v>
      </c>
      <c r="V2340" s="55" t="s">
        <v>1682</v>
      </c>
      <c r="Z2340" s="55" t="s">
        <v>1346</v>
      </c>
      <c r="AA2340" s="90" t="s">
        <v>1675</v>
      </c>
      <c r="AD2340" s="90">
        <v>1.33</v>
      </c>
      <c r="AH2340" s="55" t="s">
        <v>2296</v>
      </c>
      <c r="AM2340" s="55" t="s">
        <v>2344</v>
      </c>
      <c r="AN2340" s="185" t="s">
        <v>2297</v>
      </c>
      <c r="AO2340" s="185" t="s">
        <v>5150</v>
      </c>
      <c r="AQ2340" s="55" t="s">
        <v>2336</v>
      </c>
      <c r="AR2340" s="55" t="s">
        <v>158</v>
      </c>
      <c r="AS2340" s="55" t="s">
        <v>158</v>
      </c>
      <c r="AT2340" s="181" t="s">
        <v>2290</v>
      </c>
      <c r="AU2340" s="181" t="s">
        <v>5150</v>
      </c>
      <c r="AV2340" s="185" t="s">
        <v>176</v>
      </c>
      <c r="AW2340" s="55" t="s">
        <v>2290</v>
      </c>
      <c r="AX2340" s="185" t="s">
        <v>176</v>
      </c>
      <c r="BK2340" s="55" t="s">
        <v>5976</v>
      </c>
      <c r="BN2340" s="55">
        <v>3</v>
      </c>
      <c r="BO2340" s="55">
        <v>3</v>
      </c>
      <c r="BV2340" s="55" t="s">
        <v>2758</v>
      </c>
      <c r="CH2340" s="90">
        <v>1.33</v>
      </c>
      <c r="CI2340" s="90">
        <v>1.2450000000000001</v>
      </c>
      <c r="CM2340" s="65">
        <f>(CR2340*1000000)/(100*100*CH2340*AA2340/100*1000000)*100</f>
        <v>0.9699248120300753</v>
      </c>
      <c r="CN2340" s="65">
        <f>(CS2340*1000000)/(100*100*CI2340*AA2340/100*1000000)*100</f>
        <v>1.0441767068273089</v>
      </c>
      <c r="CR2340" s="65">
        <v>25.8</v>
      </c>
      <c r="CS2340" s="65">
        <v>26</v>
      </c>
      <c r="CV2340" s="65" t="s">
        <v>2052</v>
      </c>
      <c r="DA2340" s="65" t="s">
        <v>4463</v>
      </c>
      <c r="GP2340" s="292" t="s">
        <v>7494</v>
      </c>
      <c r="JU2340" s="55">
        <v>6</v>
      </c>
    </row>
    <row r="2341" spans="1:281" x14ac:dyDescent="0.25">
      <c r="A2341" s="55">
        <v>2340</v>
      </c>
      <c r="B2341" s="12" t="s">
        <v>7067</v>
      </c>
      <c r="C2341" s="155">
        <v>111</v>
      </c>
      <c r="D2341" s="55" t="s">
        <v>4203</v>
      </c>
      <c r="E2341" s="90" t="s">
        <v>2325</v>
      </c>
      <c r="H2341" s="55">
        <v>2016</v>
      </c>
      <c r="I2341" s="55">
        <v>2014</v>
      </c>
      <c r="J2341" s="12"/>
      <c r="K2341" s="55" t="s">
        <v>2286</v>
      </c>
      <c r="L2341" s="55" t="s">
        <v>2745</v>
      </c>
      <c r="M2341" s="90">
        <v>-37.401972000000001</v>
      </c>
      <c r="N2341" s="90">
        <v>-61.700510999999999</v>
      </c>
      <c r="O2341" s="90">
        <v>213.1</v>
      </c>
      <c r="Q2341" s="55">
        <v>16</v>
      </c>
      <c r="S2341" s="90">
        <v>702</v>
      </c>
      <c r="U2341" s="55" t="s">
        <v>1935</v>
      </c>
      <c r="V2341" s="55" t="s">
        <v>1935</v>
      </c>
      <c r="Z2341" s="55" t="s">
        <v>1346</v>
      </c>
      <c r="AA2341" s="90" t="s">
        <v>1675</v>
      </c>
      <c r="AH2341" s="55" t="s">
        <v>2298</v>
      </c>
      <c r="AM2341" s="55" t="s">
        <v>2345</v>
      </c>
      <c r="AN2341" s="185" t="s">
        <v>2299</v>
      </c>
      <c r="AO2341" s="185" t="s">
        <v>5150</v>
      </c>
      <c r="AQ2341" s="55" t="s">
        <v>131</v>
      </c>
      <c r="AR2341" s="55" t="s">
        <v>132</v>
      </c>
      <c r="AS2341" s="55" t="s">
        <v>132</v>
      </c>
      <c r="AT2341" s="181" t="s">
        <v>912</v>
      </c>
      <c r="AU2341" s="181" t="s">
        <v>5150</v>
      </c>
      <c r="AV2341" s="185" t="s">
        <v>176</v>
      </c>
      <c r="AW2341" s="55" t="s">
        <v>912</v>
      </c>
      <c r="AX2341" s="185" t="s">
        <v>176</v>
      </c>
      <c r="BK2341" s="55" t="s">
        <v>5976</v>
      </c>
      <c r="BN2341" s="55">
        <v>3</v>
      </c>
      <c r="BO2341" s="55">
        <v>3</v>
      </c>
      <c r="BV2341" s="55" t="s">
        <v>2758</v>
      </c>
      <c r="CM2341" s="65">
        <f>CR2341*0.0414</f>
        <v>0.41399999999999998</v>
      </c>
      <c r="CN2341" s="65">
        <f>CS2341*0.0414</f>
        <v>0.66239999999999999</v>
      </c>
      <c r="CR2341" s="65">
        <v>10</v>
      </c>
      <c r="CS2341" s="65">
        <v>16</v>
      </c>
      <c r="CV2341" s="65" t="s">
        <v>2052</v>
      </c>
      <c r="DA2341" s="65" t="s">
        <v>4463</v>
      </c>
      <c r="GP2341" s="292" t="s">
        <v>7494</v>
      </c>
      <c r="JU2341" s="55">
        <v>6</v>
      </c>
    </row>
    <row r="2342" spans="1:281" x14ac:dyDescent="0.25">
      <c r="A2342" s="55">
        <v>2341</v>
      </c>
      <c r="B2342" s="12" t="s">
        <v>7067</v>
      </c>
      <c r="C2342" s="155">
        <v>111</v>
      </c>
      <c r="D2342" s="55" t="s">
        <v>4204</v>
      </c>
      <c r="E2342" s="90" t="s">
        <v>2326</v>
      </c>
      <c r="H2342" s="55">
        <v>2016</v>
      </c>
      <c r="I2342" s="55">
        <v>2014</v>
      </c>
      <c r="J2342" s="12"/>
      <c r="K2342" s="55" t="s">
        <v>2286</v>
      </c>
      <c r="L2342" s="55" t="s">
        <v>2745</v>
      </c>
      <c r="M2342" s="90">
        <v>-34.9985</v>
      </c>
      <c r="N2342" s="90">
        <v>-62.904797000000002</v>
      </c>
      <c r="O2342" s="90">
        <v>115.6</v>
      </c>
      <c r="Q2342" s="55">
        <v>16.3</v>
      </c>
      <c r="S2342" s="90">
        <v>859</v>
      </c>
      <c r="U2342" s="55" t="s">
        <v>1933</v>
      </c>
      <c r="V2342" s="55" t="s">
        <v>1933</v>
      </c>
      <c r="Z2342" s="55" t="s">
        <v>1346</v>
      </c>
      <c r="AA2342" s="90" t="s">
        <v>1675</v>
      </c>
      <c r="AH2342" s="55" t="s">
        <v>2291</v>
      </c>
      <c r="AM2342" s="55" t="s">
        <v>2343</v>
      </c>
      <c r="AN2342" s="185" t="s">
        <v>2299</v>
      </c>
      <c r="AO2342" s="185" t="s">
        <v>5150</v>
      </c>
      <c r="AQ2342" s="55" t="s">
        <v>131</v>
      </c>
      <c r="AR2342" s="55" t="s">
        <v>158</v>
      </c>
      <c r="AS2342" s="55" t="s">
        <v>158</v>
      </c>
      <c r="AT2342" s="181" t="s">
        <v>2290</v>
      </c>
      <c r="AU2342" s="181" t="s">
        <v>5150</v>
      </c>
      <c r="AV2342" s="185" t="s">
        <v>176</v>
      </c>
      <c r="AW2342" s="55" t="s">
        <v>2290</v>
      </c>
      <c r="AX2342" s="185" t="s">
        <v>176</v>
      </c>
      <c r="BE2342" s="226" t="s">
        <v>2301</v>
      </c>
      <c r="BG2342" s="191" t="s">
        <v>176</v>
      </c>
      <c r="BH2342" s="226" t="s">
        <v>2301</v>
      </c>
      <c r="BK2342" s="55" t="s">
        <v>5976</v>
      </c>
      <c r="BN2342" s="55">
        <v>3</v>
      </c>
      <c r="BO2342" s="55">
        <v>3</v>
      </c>
      <c r="BU2342" s="55" t="s">
        <v>2300</v>
      </c>
      <c r="BV2342" s="55" t="s">
        <v>2758</v>
      </c>
      <c r="CM2342" s="65">
        <f>CR2342*0.0414</f>
        <v>1.7056800000000001</v>
      </c>
      <c r="CN2342" s="65">
        <f>CS2342*0.0414</f>
        <v>1.8257399999999999</v>
      </c>
      <c r="CR2342" s="65">
        <v>41.2</v>
      </c>
      <c r="CS2342" s="65">
        <v>44.1</v>
      </c>
      <c r="CV2342" s="65" t="s">
        <v>2052</v>
      </c>
      <c r="DA2342" s="65" t="s">
        <v>4463</v>
      </c>
      <c r="GP2342" s="292" t="s">
        <v>7494</v>
      </c>
      <c r="JU2342" s="55">
        <v>9</v>
      </c>
    </row>
    <row r="2343" spans="1:281" x14ac:dyDescent="0.25">
      <c r="A2343" s="55">
        <v>2342</v>
      </c>
      <c r="B2343" s="12" t="s">
        <v>7067</v>
      </c>
      <c r="C2343" s="155">
        <v>111</v>
      </c>
      <c r="D2343" s="55" t="s">
        <v>4204</v>
      </c>
      <c r="E2343" s="90" t="s">
        <v>2326</v>
      </c>
      <c r="H2343" s="55">
        <v>2016</v>
      </c>
      <c r="I2343" s="55">
        <v>2014</v>
      </c>
      <c r="J2343" s="12"/>
      <c r="K2343" s="55" t="s">
        <v>2286</v>
      </c>
      <c r="L2343" s="55" t="s">
        <v>2745</v>
      </c>
      <c r="M2343" s="90">
        <v>-34.9985</v>
      </c>
      <c r="N2343" s="90">
        <v>-62.904797000000002</v>
      </c>
      <c r="O2343" s="90">
        <v>115.6</v>
      </c>
      <c r="Q2343" s="55">
        <v>16.3</v>
      </c>
      <c r="S2343" s="90">
        <v>859</v>
      </c>
      <c r="U2343" s="55" t="s">
        <v>1933</v>
      </c>
      <c r="V2343" s="55" t="s">
        <v>1933</v>
      </c>
      <c r="Z2343" s="55" t="s">
        <v>1346</v>
      </c>
      <c r="AA2343" s="90" t="s">
        <v>1675</v>
      </c>
      <c r="AH2343" s="55" t="s">
        <v>2291</v>
      </c>
      <c r="AM2343" s="55" t="s">
        <v>2343</v>
      </c>
      <c r="AN2343" s="185" t="s">
        <v>2299</v>
      </c>
      <c r="AO2343" s="185" t="s">
        <v>5150</v>
      </c>
      <c r="AQ2343" s="55" t="s">
        <v>131</v>
      </c>
      <c r="AR2343" s="55" t="s">
        <v>158</v>
      </c>
      <c r="AS2343" s="55" t="s">
        <v>158</v>
      </c>
      <c r="AT2343" s="181" t="s">
        <v>2290</v>
      </c>
      <c r="AU2343" s="181" t="s">
        <v>5150</v>
      </c>
      <c r="AV2343" s="185" t="s">
        <v>176</v>
      </c>
      <c r="AW2343" s="55" t="s">
        <v>2290</v>
      </c>
      <c r="AX2343" s="185" t="s">
        <v>176</v>
      </c>
      <c r="BH2343" s="226" t="s">
        <v>2302</v>
      </c>
      <c r="BK2343" s="55" t="s">
        <v>5976</v>
      </c>
      <c r="BN2343" s="55">
        <v>3</v>
      </c>
      <c r="BO2343" s="55">
        <v>3</v>
      </c>
      <c r="BU2343" s="55" t="s">
        <v>2300</v>
      </c>
      <c r="BV2343" s="55" t="s">
        <v>2758</v>
      </c>
      <c r="CM2343" s="65">
        <f>CR2343*0.0414</f>
        <v>1.5731999999999999</v>
      </c>
      <c r="CN2343" s="65">
        <f>CS2343*0.0414</f>
        <v>1.9002599999999998</v>
      </c>
      <c r="CR2343" s="65">
        <v>38</v>
      </c>
      <c r="CS2343" s="65">
        <v>45.9</v>
      </c>
      <c r="CV2343" s="65" t="s">
        <v>2052</v>
      </c>
      <c r="DA2343" s="65" t="s">
        <v>4463</v>
      </c>
      <c r="GP2343" s="292" t="s">
        <v>7494</v>
      </c>
      <c r="JU2343" s="55">
        <v>9</v>
      </c>
    </row>
    <row r="2344" spans="1:281" x14ac:dyDescent="0.25">
      <c r="A2344" s="55">
        <v>2343</v>
      </c>
      <c r="B2344" s="12" t="s">
        <v>7067</v>
      </c>
      <c r="C2344" s="155">
        <v>111</v>
      </c>
      <c r="D2344" s="55" t="s">
        <v>4205</v>
      </c>
      <c r="E2344" s="90" t="s">
        <v>2327</v>
      </c>
      <c r="H2344" s="55">
        <v>2014</v>
      </c>
      <c r="I2344" s="55">
        <v>2012</v>
      </c>
      <c r="J2344" s="12"/>
      <c r="K2344" s="55" t="s">
        <v>2286</v>
      </c>
      <c r="L2344" s="55" t="s">
        <v>2745</v>
      </c>
      <c r="M2344" s="90">
        <v>-34.837381000000001</v>
      </c>
      <c r="N2344" s="90">
        <v>-63.127822000000002</v>
      </c>
      <c r="O2344" s="90">
        <v>123.4</v>
      </c>
      <c r="Q2344" s="55">
        <v>16.3</v>
      </c>
      <c r="S2344" s="90">
        <v>859</v>
      </c>
      <c r="U2344" s="55" t="s">
        <v>1694</v>
      </c>
      <c r="V2344" s="55" t="s">
        <v>1940</v>
      </c>
      <c r="Z2344" s="55" t="s">
        <v>1346</v>
      </c>
      <c r="AA2344" s="90" t="s">
        <v>1675</v>
      </c>
      <c r="AH2344" s="55" t="s">
        <v>2291</v>
      </c>
      <c r="AM2344" s="55" t="s">
        <v>2343</v>
      </c>
      <c r="AN2344" s="185" t="s">
        <v>2299</v>
      </c>
      <c r="AO2344" s="185" t="s">
        <v>5150</v>
      </c>
      <c r="AQ2344" s="55" t="s">
        <v>131</v>
      </c>
      <c r="AR2344" s="55" t="s">
        <v>132</v>
      </c>
      <c r="AS2344" s="55" t="s">
        <v>132</v>
      </c>
      <c r="AT2344" s="181" t="s">
        <v>612</v>
      </c>
      <c r="AU2344" s="181" t="s">
        <v>5150</v>
      </c>
      <c r="AV2344" s="185" t="s">
        <v>176</v>
      </c>
      <c r="AW2344" s="55" t="s">
        <v>612</v>
      </c>
      <c r="AX2344" s="185" t="s">
        <v>176</v>
      </c>
      <c r="BE2344" s="226">
        <v>46</v>
      </c>
      <c r="BG2344" s="191" t="s">
        <v>479</v>
      </c>
      <c r="BK2344" s="55" t="s">
        <v>5976</v>
      </c>
      <c r="BN2344" s="55">
        <v>3</v>
      </c>
      <c r="BO2344" s="55">
        <v>3</v>
      </c>
      <c r="BV2344" s="55" t="s">
        <v>2758</v>
      </c>
      <c r="CM2344" s="65">
        <f>CR2344*0.0414</f>
        <v>1.0515599999999998</v>
      </c>
      <c r="CN2344" s="65">
        <f>CS2344*0.0414</f>
        <v>1.1385000000000001</v>
      </c>
      <c r="CR2344" s="65">
        <v>25.4</v>
      </c>
      <c r="CS2344" s="65">
        <v>27.5</v>
      </c>
      <c r="CV2344" s="65" t="s">
        <v>2052</v>
      </c>
      <c r="DA2344" s="65" t="s">
        <v>4463</v>
      </c>
      <c r="GP2344" s="292" t="s">
        <v>7494</v>
      </c>
      <c r="JU2344" s="55">
        <v>11</v>
      </c>
    </row>
    <row r="2345" spans="1:281" x14ac:dyDescent="0.25">
      <c r="A2345" s="55">
        <v>2344</v>
      </c>
      <c r="B2345" s="12" t="s">
        <v>7067</v>
      </c>
      <c r="C2345" s="155">
        <v>111</v>
      </c>
      <c r="D2345" s="55" t="s">
        <v>4205</v>
      </c>
      <c r="E2345" s="90" t="s">
        <v>2327</v>
      </c>
      <c r="H2345" s="55">
        <v>2014</v>
      </c>
      <c r="I2345" s="55">
        <v>2012</v>
      </c>
      <c r="J2345" s="12"/>
      <c r="K2345" s="55" t="s">
        <v>2286</v>
      </c>
      <c r="L2345" s="55" t="s">
        <v>2745</v>
      </c>
      <c r="M2345" s="90">
        <v>-34.837381000000001</v>
      </c>
      <c r="N2345" s="90">
        <v>-63.127822000000002</v>
      </c>
      <c r="O2345" s="90">
        <v>123.4</v>
      </c>
      <c r="Q2345" s="55">
        <v>16.3</v>
      </c>
      <c r="S2345" s="90">
        <v>859</v>
      </c>
      <c r="U2345" s="55" t="s">
        <v>1940</v>
      </c>
      <c r="V2345" s="55" t="s">
        <v>1940</v>
      </c>
      <c r="Z2345" s="55" t="s">
        <v>1346</v>
      </c>
      <c r="AA2345" s="90" t="s">
        <v>1675</v>
      </c>
      <c r="AH2345" s="55" t="s">
        <v>2291</v>
      </c>
      <c r="AM2345" s="55" t="s">
        <v>2343</v>
      </c>
      <c r="AN2345" s="185" t="s">
        <v>2299</v>
      </c>
      <c r="AO2345" s="185" t="s">
        <v>5150</v>
      </c>
      <c r="AQ2345" s="55" t="s">
        <v>131</v>
      </c>
      <c r="AR2345" s="55" t="s">
        <v>132</v>
      </c>
      <c r="AS2345" s="55" t="s">
        <v>132</v>
      </c>
      <c r="AT2345" s="181" t="s">
        <v>612</v>
      </c>
      <c r="AU2345" s="181" t="s">
        <v>5150</v>
      </c>
      <c r="AV2345" s="185" t="s">
        <v>176</v>
      </c>
      <c r="AW2345" s="55" t="s">
        <v>612</v>
      </c>
      <c r="AX2345" s="185" t="s">
        <v>176</v>
      </c>
      <c r="BE2345" s="226">
        <v>46</v>
      </c>
      <c r="BG2345" s="191" t="s">
        <v>479</v>
      </c>
      <c r="BK2345" s="55" t="s">
        <v>5976</v>
      </c>
      <c r="BN2345" s="55">
        <v>3</v>
      </c>
      <c r="BO2345" s="55">
        <v>3</v>
      </c>
      <c r="BV2345" s="55" t="s">
        <v>2758</v>
      </c>
      <c r="CM2345" s="65">
        <f>CR2345*0.0414</f>
        <v>1.18404</v>
      </c>
      <c r="CN2345" s="65">
        <f>CS2345*0.0414</f>
        <v>1.26684</v>
      </c>
      <c r="CR2345" s="65">
        <v>28.6</v>
      </c>
      <c r="CS2345" s="65">
        <v>30.6</v>
      </c>
      <c r="CV2345" s="65" t="s">
        <v>2052</v>
      </c>
      <c r="DA2345" s="65" t="s">
        <v>4463</v>
      </c>
      <c r="GP2345" s="292" t="s">
        <v>7494</v>
      </c>
      <c r="JU2345" s="55">
        <v>11</v>
      </c>
    </row>
    <row r="2346" spans="1:281" x14ac:dyDescent="0.25">
      <c r="A2346" s="55">
        <v>2345</v>
      </c>
      <c r="B2346" s="12" t="s">
        <v>7067</v>
      </c>
      <c r="C2346" s="155">
        <v>111</v>
      </c>
      <c r="D2346" s="55" t="s">
        <v>4205</v>
      </c>
      <c r="E2346" s="90" t="s">
        <v>2327</v>
      </c>
      <c r="H2346" s="55">
        <v>2014</v>
      </c>
      <c r="I2346" s="55">
        <v>2012</v>
      </c>
      <c r="J2346" s="12"/>
      <c r="K2346" s="55" t="s">
        <v>2286</v>
      </c>
      <c r="L2346" s="55" t="s">
        <v>2745</v>
      </c>
      <c r="M2346" s="90">
        <v>-34.837381000000001</v>
      </c>
      <c r="N2346" s="90">
        <v>-63.127822000000002</v>
      </c>
      <c r="O2346" s="90">
        <v>123.4</v>
      </c>
      <c r="Q2346" s="55">
        <v>16.3</v>
      </c>
      <c r="S2346" s="90">
        <v>859</v>
      </c>
      <c r="U2346" s="55" t="s">
        <v>1933</v>
      </c>
      <c r="V2346" s="55" t="s">
        <v>1940</v>
      </c>
      <c r="Z2346" s="55" t="s">
        <v>1346</v>
      </c>
      <c r="AA2346" s="90" t="s">
        <v>1675</v>
      </c>
      <c r="AH2346" s="55" t="s">
        <v>2291</v>
      </c>
      <c r="AM2346" s="55" t="s">
        <v>2343</v>
      </c>
      <c r="AN2346" s="185" t="s">
        <v>2299</v>
      </c>
      <c r="AO2346" s="185" t="s">
        <v>5150</v>
      </c>
      <c r="AQ2346" s="55" t="s">
        <v>131</v>
      </c>
      <c r="AR2346" s="55" t="s">
        <v>132</v>
      </c>
      <c r="AS2346" s="55" t="s">
        <v>132</v>
      </c>
      <c r="AT2346" s="181" t="s">
        <v>612</v>
      </c>
      <c r="AU2346" s="181" t="s">
        <v>5150</v>
      </c>
      <c r="AV2346" s="185" t="s">
        <v>176</v>
      </c>
      <c r="AW2346" s="55" t="s">
        <v>612</v>
      </c>
      <c r="AX2346" s="185" t="s">
        <v>176</v>
      </c>
      <c r="BE2346" s="226">
        <v>46</v>
      </c>
      <c r="BG2346" s="191" t="s">
        <v>479</v>
      </c>
      <c r="BK2346" s="55" t="s">
        <v>5976</v>
      </c>
      <c r="BN2346" s="55">
        <v>3</v>
      </c>
      <c r="BO2346" s="55">
        <v>3</v>
      </c>
      <c r="BV2346" s="55" t="s">
        <v>2758</v>
      </c>
      <c r="CM2346" s="65">
        <f>CR2346*0.0414</f>
        <v>0.76590000000000003</v>
      </c>
      <c r="CN2346" s="65">
        <f>CS2346*0.0414</f>
        <v>1.06812</v>
      </c>
      <c r="CR2346" s="65">
        <v>18.5</v>
      </c>
      <c r="CS2346" s="65">
        <v>25.8</v>
      </c>
      <c r="CV2346" s="65" t="s">
        <v>2052</v>
      </c>
      <c r="DA2346" s="65" t="s">
        <v>4463</v>
      </c>
      <c r="GP2346" s="292" t="s">
        <v>7494</v>
      </c>
      <c r="JU2346" s="55">
        <v>11</v>
      </c>
    </row>
    <row r="2347" spans="1:281" x14ac:dyDescent="0.25">
      <c r="A2347" s="55">
        <v>2346</v>
      </c>
      <c r="B2347" s="12" t="s">
        <v>7067</v>
      </c>
      <c r="C2347" s="155">
        <v>111</v>
      </c>
      <c r="D2347" s="55" t="s">
        <v>4205</v>
      </c>
      <c r="E2347" s="90" t="s">
        <v>2327</v>
      </c>
      <c r="H2347" s="55">
        <v>2014</v>
      </c>
      <c r="I2347" s="55">
        <v>2012</v>
      </c>
      <c r="J2347" s="12"/>
      <c r="K2347" s="55" t="s">
        <v>2286</v>
      </c>
      <c r="L2347" s="55" t="s">
        <v>2745</v>
      </c>
      <c r="M2347" s="90">
        <v>-34.837381000000001</v>
      </c>
      <c r="N2347" s="90">
        <v>-63.127822000000002</v>
      </c>
      <c r="O2347" s="90">
        <v>123.4</v>
      </c>
      <c r="Q2347" s="55">
        <v>16.3</v>
      </c>
      <c r="S2347" s="90">
        <v>859</v>
      </c>
      <c r="U2347" s="55" t="s">
        <v>1694</v>
      </c>
      <c r="V2347" s="55" t="s">
        <v>1940</v>
      </c>
      <c r="Z2347" s="55" t="s">
        <v>1346</v>
      </c>
      <c r="AA2347" s="90" t="s">
        <v>1675</v>
      </c>
      <c r="AH2347" s="55" t="s">
        <v>2291</v>
      </c>
      <c r="AM2347" s="55" t="s">
        <v>2343</v>
      </c>
      <c r="AN2347" s="185" t="s">
        <v>2299</v>
      </c>
      <c r="AO2347" s="185" t="s">
        <v>5150</v>
      </c>
      <c r="AQ2347" s="55" t="s">
        <v>131</v>
      </c>
      <c r="AR2347" s="55" t="s">
        <v>132</v>
      </c>
      <c r="AS2347" s="55" t="s">
        <v>132</v>
      </c>
      <c r="AT2347" s="181" t="s">
        <v>612</v>
      </c>
      <c r="AU2347" s="181" t="s">
        <v>5150</v>
      </c>
      <c r="AV2347" s="185" t="s">
        <v>176</v>
      </c>
      <c r="AW2347" s="55" t="s">
        <v>612</v>
      </c>
      <c r="AX2347" s="185" t="s">
        <v>176</v>
      </c>
      <c r="BE2347" s="226">
        <v>0</v>
      </c>
      <c r="BG2347" s="191" t="s">
        <v>176</v>
      </c>
      <c r="BK2347" s="55" t="s">
        <v>5976</v>
      </c>
      <c r="BN2347" s="55">
        <v>3</v>
      </c>
      <c r="BO2347" s="55">
        <v>3</v>
      </c>
      <c r="BV2347" s="55" t="s">
        <v>2758</v>
      </c>
      <c r="CM2347" s="65">
        <f>CR2347*0.0414</f>
        <v>1.0515599999999998</v>
      </c>
      <c r="CN2347" s="65">
        <f>CS2347*0.0414</f>
        <v>1.1095200000000001</v>
      </c>
      <c r="CR2347" s="65">
        <v>25.4</v>
      </c>
      <c r="CS2347" s="65">
        <v>26.8</v>
      </c>
      <c r="CV2347" s="65" t="s">
        <v>2052</v>
      </c>
      <c r="DA2347" s="65" t="s">
        <v>4463</v>
      </c>
      <c r="GP2347" s="292" t="s">
        <v>7494</v>
      </c>
      <c r="JU2347" s="55">
        <v>11</v>
      </c>
    </row>
    <row r="2348" spans="1:281" x14ac:dyDescent="0.25">
      <c r="A2348" s="55">
        <v>2347</v>
      </c>
      <c r="B2348" s="12" t="s">
        <v>7067</v>
      </c>
      <c r="C2348" s="155">
        <v>111</v>
      </c>
      <c r="D2348" s="55" t="s">
        <v>4205</v>
      </c>
      <c r="E2348" s="90" t="s">
        <v>2327</v>
      </c>
      <c r="H2348" s="55">
        <v>2014</v>
      </c>
      <c r="I2348" s="55">
        <v>2012</v>
      </c>
      <c r="J2348" s="12"/>
      <c r="K2348" s="55" t="s">
        <v>2286</v>
      </c>
      <c r="L2348" s="55" t="s">
        <v>2745</v>
      </c>
      <c r="M2348" s="90">
        <v>-34.837381000000001</v>
      </c>
      <c r="N2348" s="90">
        <v>-63.127822000000002</v>
      </c>
      <c r="O2348" s="90">
        <v>123.4</v>
      </c>
      <c r="Q2348" s="55">
        <v>16.3</v>
      </c>
      <c r="S2348" s="90">
        <v>859</v>
      </c>
      <c r="U2348" s="55" t="s">
        <v>1940</v>
      </c>
      <c r="V2348" s="55" t="s">
        <v>1940</v>
      </c>
      <c r="Z2348" s="55" t="s">
        <v>1346</v>
      </c>
      <c r="AA2348" s="90" t="s">
        <v>1675</v>
      </c>
      <c r="AH2348" s="55" t="s">
        <v>2291</v>
      </c>
      <c r="AM2348" s="55" t="s">
        <v>2343</v>
      </c>
      <c r="AN2348" s="185" t="s">
        <v>2299</v>
      </c>
      <c r="AO2348" s="185" t="s">
        <v>5150</v>
      </c>
      <c r="AQ2348" s="55" t="s">
        <v>131</v>
      </c>
      <c r="AR2348" s="55" t="s">
        <v>132</v>
      </c>
      <c r="AS2348" s="55" t="s">
        <v>132</v>
      </c>
      <c r="AT2348" s="181" t="s">
        <v>612</v>
      </c>
      <c r="AU2348" s="181" t="s">
        <v>5150</v>
      </c>
      <c r="AV2348" s="185" t="s">
        <v>176</v>
      </c>
      <c r="AW2348" s="55" t="s">
        <v>612</v>
      </c>
      <c r="AX2348" s="185" t="s">
        <v>176</v>
      </c>
      <c r="BE2348" s="226">
        <v>0</v>
      </c>
      <c r="BG2348" s="191" t="s">
        <v>176</v>
      </c>
      <c r="BK2348" s="55" t="s">
        <v>5976</v>
      </c>
      <c r="BN2348" s="55">
        <v>3</v>
      </c>
      <c r="BO2348" s="55">
        <v>3</v>
      </c>
      <c r="BV2348" s="55" t="s">
        <v>2758</v>
      </c>
      <c r="CM2348" s="65">
        <f>CR2348*0.0414</f>
        <v>1.18404</v>
      </c>
      <c r="CN2348" s="65">
        <f>CS2348*0.0414</f>
        <v>1.27512</v>
      </c>
      <c r="CR2348" s="65">
        <v>28.6</v>
      </c>
      <c r="CS2348" s="65">
        <v>30.8</v>
      </c>
      <c r="CV2348" s="65" t="s">
        <v>2052</v>
      </c>
      <c r="DA2348" s="65" t="s">
        <v>4463</v>
      </c>
      <c r="GP2348" s="292" t="s">
        <v>7494</v>
      </c>
      <c r="JU2348" s="55">
        <v>11</v>
      </c>
    </row>
    <row r="2349" spans="1:281" x14ac:dyDescent="0.25">
      <c r="A2349" s="55">
        <v>2348</v>
      </c>
      <c r="B2349" s="12" t="s">
        <v>7067</v>
      </c>
      <c r="C2349" s="155">
        <v>111</v>
      </c>
      <c r="D2349" s="55" t="s">
        <v>4205</v>
      </c>
      <c r="E2349" s="90" t="s">
        <v>2327</v>
      </c>
      <c r="H2349" s="55">
        <v>2014</v>
      </c>
      <c r="I2349" s="55">
        <v>2012</v>
      </c>
      <c r="J2349" s="12"/>
      <c r="K2349" s="55" t="s">
        <v>2286</v>
      </c>
      <c r="L2349" s="55" t="s">
        <v>2745</v>
      </c>
      <c r="M2349" s="90">
        <v>-34.837381000000001</v>
      </c>
      <c r="N2349" s="90">
        <v>-63.127822000000002</v>
      </c>
      <c r="O2349" s="90">
        <v>123.4</v>
      </c>
      <c r="Q2349" s="55">
        <v>16.3</v>
      </c>
      <c r="S2349" s="90">
        <v>859</v>
      </c>
      <c r="U2349" s="55" t="s">
        <v>1933</v>
      </c>
      <c r="V2349" s="55" t="s">
        <v>1940</v>
      </c>
      <c r="Z2349" s="55" t="s">
        <v>1346</v>
      </c>
      <c r="AA2349" s="90" t="s">
        <v>1675</v>
      </c>
      <c r="AH2349" s="55" t="s">
        <v>2291</v>
      </c>
      <c r="AM2349" s="55" t="s">
        <v>2343</v>
      </c>
      <c r="AN2349" s="185" t="s">
        <v>2299</v>
      </c>
      <c r="AO2349" s="185" t="s">
        <v>5150</v>
      </c>
      <c r="AQ2349" s="55" t="s">
        <v>131</v>
      </c>
      <c r="AR2349" s="55" t="s">
        <v>132</v>
      </c>
      <c r="AS2349" s="55" t="s">
        <v>132</v>
      </c>
      <c r="AT2349" s="181" t="s">
        <v>612</v>
      </c>
      <c r="AU2349" s="181" t="s">
        <v>5150</v>
      </c>
      <c r="AV2349" s="185" t="s">
        <v>176</v>
      </c>
      <c r="AW2349" s="55" t="s">
        <v>612</v>
      </c>
      <c r="AX2349" s="185" t="s">
        <v>176</v>
      </c>
      <c r="BE2349" s="226">
        <v>0</v>
      </c>
      <c r="BG2349" s="191" t="s">
        <v>176</v>
      </c>
      <c r="BK2349" s="55" t="s">
        <v>5976</v>
      </c>
      <c r="BN2349" s="55">
        <v>3</v>
      </c>
      <c r="BO2349" s="55">
        <v>3</v>
      </c>
      <c r="BV2349" s="55" t="s">
        <v>2758</v>
      </c>
      <c r="CM2349" s="65">
        <f>CR2349*0.0414</f>
        <v>0.76590000000000003</v>
      </c>
      <c r="CN2349" s="65">
        <f>CS2349*0.0414</f>
        <v>1.0018799999999999</v>
      </c>
      <c r="CR2349" s="65">
        <v>18.5</v>
      </c>
      <c r="CS2349" s="65">
        <v>24.2</v>
      </c>
      <c r="CV2349" s="65" t="s">
        <v>2052</v>
      </c>
      <c r="DA2349" s="65" t="s">
        <v>4463</v>
      </c>
      <c r="GP2349" s="292" t="s">
        <v>7494</v>
      </c>
      <c r="JU2349" s="55">
        <v>11</v>
      </c>
    </row>
    <row r="2350" spans="1:281" x14ac:dyDescent="0.25">
      <c r="A2350" s="55">
        <v>2349</v>
      </c>
      <c r="B2350" s="12" t="s">
        <v>7067</v>
      </c>
      <c r="C2350" s="155">
        <v>111</v>
      </c>
      <c r="D2350" s="55" t="s">
        <v>4205</v>
      </c>
      <c r="E2350" s="90" t="s">
        <v>2327</v>
      </c>
      <c r="H2350" s="55">
        <v>2014</v>
      </c>
      <c r="I2350" s="55">
        <v>2012</v>
      </c>
      <c r="J2350" s="12"/>
      <c r="K2350" s="55" t="s">
        <v>2286</v>
      </c>
      <c r="L2350" s="55" t="s">
        <v>2745</v>
      </c>
      <c r="M2350" s="90">
        <v>-34.837381000000001</v>
      </c>
      <c r="N2350" s="90">
        <v>-63.127822000000002</v>
      </c>
      <c r="O2350" s="90">
        <v>123.4</v>
      </c>
      <c r="Q2350" s="55">
        <v>16.3</v>
      </c>
      <c r="S2350" s="90">
        <v>859</v>
      </c>
      <c r="U2350" s="55" t="s">
        <v>1694</v>
      </c>
      <c r="V2350" s="55" t="s">
        <v>1940</v>
      </c>
      <c r="Z2350" s="55" t="s">
        <v>1346</v>
      </c>
      <c r="AA2350" s="90" t="s">
        <v>1675</v>
      </c>
      <c r="AH2350" s="55" t="s">
        <v>2291</v>
      </c>
      <c r="AM2350" s="55" t="s">
        <v>2343</v>
      </c>
      <c r="AN2350" s="185" t="s">
        <v>2299</v>
      </c>
      <c r="AO2350" s="185" t="s">
        <v>5150</v>
      </c>
      <c r="AQ2350" s="55" t="s">
        <v>131</v>
      </c>
      <c r="AR2350" s="55" t="s">
        <v>132</v>
      </c>
      <c r="AS2350" s="55" t="s">
        <v>132</v>
      </c>
      <c r="AT2350" s="181" t="s">
        <v>912</v>
      </c>
      <c r="AU2350" s="181" t="s">
        <v>5150</v>
      </c>
      <c r="AV2350" s="185" t="s">
        <v>176</v>
      </c>
      <c r="AW2350" s="55" t="s">
        <v>912</v>
      </c>
      <c r="AX2350" s="185" t="s">
        <v>176</v>
      </c>
      <c r="BE2350" s="226">
        <v>46</v>
      </c>
      <c r="BG2350" s="191" t="s">
        <v>479</v>
      </c>
      <c r="BK2350" s="55" t="s">
        <v>5976</v>
      </c>
      <c r="BN2350" s="55">
        <v>3</v>
      </c>
      <c r="BO2350" s="55">
        <v>3</v>
      </c>
      <c r="BV2350" s="55" t="s">
        <v>2758</v>
      </c>
      <c r="CM2350" s="65">
        <f>CR2350*0.0414</f>
        <v>1.0639799999999999</v>
      </c>
      <c r="CN2350" s="65">
        <f>CS2350*0.0414</f>
        <v>1.1509199999999999</v>
      </c>
      <c r="CR2350" s="65">
        <v>25.7</v>
      </c>
      <c r="CS2350" s="65">
        <v>27.8</v>
      </c>
      <c r="CV2350" s="65" t="s">
        <v>2052</v>
      </c>
      <c r="DA2350" s="65" t="s">
        <v>4463</v>
      </c>
      <c r="GP2350" s="292" t="s">
        <v>7494</v>
      </c>
      <c r="JU2350" s="55">
        <v>11</v>
      </c>
    </row>
    <row r="2351" spans="1:281" x14ac:dyDescent="0.25">
      <c r="A2351" s="55">
        <v>2350</v>
      </c>
      <c r="B2351" s="12" t="s">
        <v>7067</v>
      </c>
      <c r="C2351" s="155">
        <v>111</v>
      </c>
      <c r="D2351" s="55" t="s">
        <v>4205</v>
      </c>
      <c r="E2351" s="90" t="s">
        <v>2327</v>
      </c>
      <c r="H2351" s="55">
        <v>2014</v>
      </c>
      <c r="I2351" s="55">
        <v>2012</v>
      </c>
      <c r="J2351" s="12"/>
      <c r="K2351" s="55" t="s">
        <v>2286</v>
      </c>
      <c r="L2351" s="55" t="s">
        <v>2745</v>
      </c>
      <c r="M2351" s="90">
        <v>-34.837381000000001</v>
      </c>
      <c r="N2351" s="90">
        <v>-63.127822000000002</v>
      </c>
      <c r="O2351" s="90">
        <v>123.4</v>
      </c>
      <c r="Q2351" s="55">
        <v>16.3</v>
      </c>
      <c r="S2351" s="90">
        <v>859</v>
      </c>
      <c r="U2351" s="55" t="s">
        <v>1940</v>
      </c>
      <c r="V2351" s="55" t="s">
        <v>1940</v>
      </c>
      <c r="Z2351" s="55" t="s">
        <v>1346</v>
      </c>
      <c r="AA2351" s="90" t="s">
        <v>1675</v>
      </c>
      <c r="AH2351" s="55" t="s">
        <v>2291</v>
      </c>
      <c r="AM2351" s="55" t="s">
        <v>2343</v>
      </c>
      <c r="AN2351" s="185" t="s">
        <v>2299</v>
      </c>
      <c r="AO2351" s="185" t="s">
        <v>5150</v>
      </c>
      <c r="AQ2351" s="55" t="s">
        <v>131</v>
      </c>
      <c r="AR2351" s="55" t="s">
        <v>132</v>
      </c>
      <c r="AS2351" s="55" t="s">
        <v>132</v>
      </c>
      <c r="AT2351" s="181" t="s">
        <v>912</v>
      </c>
      <c r="AU2351" s="181" t="s">
        <v>5150</v>
      </c>
      <c r="AV2351" s="185" t="s">
        <v>176</v>
      </c>
      <c r="AW2351" s="55" t="s">
        <v>912</v>
      </c>
      <c r="AX2351" s="185" t="s">
        <v>176</v>
      </c>
      <c r="BE2351" s="226">
        <v>46</v>
      </c>
      <c r="BG2351" s="191" t="s">
        <v>479</v>
      </c>
      <c r="BK2351" s="55" t="s">
        <v>5976</v>
      </c>
      <c r="BN2351" s="55">
        <v>3</v>
      </c>
      <c r="BO2351" s="55">
        <v>3</v>
      </c>
      <c r="BV2351" s="55" t="s">
        <v>2758</v>
      </c>
      <c r="CM2351" s="65">
        <f>CR2351*0.0414</f>
        <v>1.21302</v>
      </c>
      <c r="CN2351" s="65">
        <f>CS2351*0.0414</f>
        <v>1.18404</v>
      </c>
      <c r="CR2351" s="65">
        <v>29.3</v>
      </c>
      <c r="CS2351" s="65">
        <v>28.6</v>
      </c>
      <c r="CV2351" s="65" t="s">
        <v>2052</v>
      </c>
      <c r="DA2351" s="65" t="s">
        <v>4463</v>
      </c>
      <c r="GP2351" s="292" t="s">
        <v>7494</v>
      </c>
      <c r="JU2351" s="55">
        <v>11</v>
      </c>
    </row>
    <row r="2352" spans="1:281" x14ac:dyDescent="0.25">
      <c r="A2352" s="55">
        <v>2351</v>
      </c>
      <c r="B2352" s="12" t="s">
        <v>7067</v>
      </c>
      <c r="C2352" s="155">
        <v>111</v>
      </c>
      <c r="D2352" s="55" t="s">
        <v>4205</v>
      </c>
      <c r="E2352" s="90" t="s">
        <v>2327</v>
      </c>
      <c r="H2352" s="55">
        <v>2014</v>
      </c>
      <c r="I2352" s="55">
        <v>2012</v>
      </c>
      <c r="J2352" s="12"/>
      <c r="K2352" s="55" t="s">
        <v>2286</v>
      </c>
      <c r="L2352" s="55" t="s">
        <v>2745</v>
      </c>
      <c r="M2352" s="90">
        <v>-34.837381000000001</v>
      </c>
      <c r="N2352" s="90">
        <v>-63.127822000000002</v>
      </c>
      <c r="O2352" s="90">
        <v>123.4</v>
      </c>
      <c r="Q2352" s="55">
        <v>16.3</v>
      </c>
      <c r="S2352" s="90">
        <v>859</v>
      </c>
      <c r="U2352" s="55" t="s">
        <v>1933</v>
      </c>
      <c r="V2352" s="55" t="s">
        <v>1940</v>
      </c>
      <c r="Z2352" s="55" t="s">
        <v>1346</v>
      </c>
      <c r="AA2352" s="90" t="s">
        <v>1675</v>
      </c>
      <c r="AH2352" s="55" t="s">
        <v>2291</v>
      </c>
      <c r="AM2352" s="55" t="s">
        <v>2343</v>
      </c>
      <c r="AN2352" s="185" t="s">
        <v>2299</v>
      </c>
      <c r="AO2352" s="185" t="s">
        <v>5150</v>
      </c>
      <c r="AQ2352" s="55" t="s">
        <v>131</v>
      </c>
      <c r="AR2352" s="55" t="s">
        <v>132</v>
      </c>
      <c r="AS2352" s="55" t="s">
        <v>132</v>
      </c>
      <c r="AT2352" s="181" t="s">
        <v>912</v>
      </c>
      <c r="AU2352" s="181" t="s">
        <v>5150</v>
      </c>
      <c r="AV2352" s="185" t="s">
        <v>176</v>
      </c>
      <c r="AW2352" s="55" t="s">
        <v>912</v>
      </c>
      <c r="AX2352" s="185" t="s">
        <v>176</v>
      </c>
      <c r="BE2352" s="226">
        <v>46</v>
      </c>
      <c r="BG2352" s="191" t="s">
        <v>479</v>
      </c>
      <c r="BK2352" s="55" t="s">
        <v>5976</v>
      </c>
      <c r="BN2352" s="55">
        <v>3</v>
      </c>
      <c r="BO2352" s="55">
        <v>3</v>
      </c>
      <c r="BV2352" s="55" t="s">
        <v>2758</v>
      </c>
      <c r="CM2352" s="65">
        <f>CR2352*0.0414</f>
        <v>0.97289999999999999</v>
      </c>
      <c r="CN2352" s="65">
        <f>CS2352*0.0414</f>
        <v>0.87354000000000009</v>
      </c>
      <c r="CR2352" s="65">
        <v>23.5</v>
      </c>
      <c r="CS2352" s="65">
        <v>21.1</v>
      </c>
      <c r="CV2352" s="65" t="s">
        <v>2052</v>
      </c>
      <c r="DA2352" s="65" t="s">
        <v>4463</v>
      </c>
      <c r="GP2352" s="292" t="s">
        <v>7494</v>
      </c>
      <c r="JU2352" s="55">
        <v>11</v>
      </c>
    </row>
    <row r="2353" spans="1:281" x14ac:dyDescent="0.25">
      <c r="A2353" s="55">
        <v>2352</v>
      </c>
      <c r="B2353" s="12" t="s">
        <v>7067</v>
      </c>
      <c r="C2353" s="155">
        <v>111</v>
      </c>
      <c r="D2353" s="55" t="s">
        <v>4205</v>
      </c>
      <c r="E2353" s="90" t="s">
        <v>2327</v>
      </c>
      <c r="H2353" s="55">
        <v>2014</v>
      </c>
      <c r="I2353" s="55">
        <v>2012</v>
      </c>
      <c r="J2353" s="12"/>
      <c r="K2353" s="55" t="s">
        <v>2286</v>
      </c>
      <c r="L2353" s="55" t="s">
        <v>2745</v>
      </c>
      <c r="M2353" s="90">
        <v>-34.837381000000001</v>
      </c>
      <c r="N2353" s="90">
        <v>-63.127822000000002</v>
      </c>
      <c r="O2353" s="90">
        <v>123.4</v>
      </c>
      <c r="Q2353" s="55">
        <v>16.3</v>
      </c>
      <c r="S2353" s="90">
        <v>859</v>
      </c>
      <c r="U2353" s="55" t="s">
        <v>1694</v>
      </c>
      <c r="V2353" s="55" t="s">
        <v>1940</v>
      </c>
      <c r="Z2353" s="55" t="s">
        <v>1346</v>
      </c>
      <c r="AA2353" s="90" t="s">
        <v>1675</v>
      </c>
      <c r="AH2353" s="55" t="s">
        <v>2291</v>
      </c>
      <c r="AM2353" s="55" t="s">
        <v>2343</v>
      </c>
      <c r="AN2353" s="185" t="s">
        <v>2299</v>
      </c>
      <c r="AO2353" s="185" t="s">
        <v>5150</v>
      </c>
      <c r="AQ2353" s="55" t="s">
        <v>131</v>
      </c>
      <c r="AR2353" s="55" t="s">
        <v>132</v>
      </c>
      <c r="AS2353" s="55" t="s">
        <v>132</v>
      </c>
      <c r="AT2353" s="181" t="s">
        <v>912</v>
      </c>
      <c r="AU2353" s="181" t="s">
        <v>5150</v>
      </c>
      <c r="AV2353" s="185" t="s">
        <v>176</v>
      </c>
      <c r="AW2353" s="55" t="s">
        <v>912</v>
      </c>
      <c r="AX2353" s="185" t="s">
        <v>176</v>
      </c>
      <c r="BE2353" s="226">
        <v>0</v>
      </c>
      <c r="BG2353" s="191" t="s">
        <v>176</v>
      </c>
      <c r="BK2353" s="55" t="s">
        <v>5976</v>
      </c>
      <c r="BN2353" s="55">
        <v>3</v>
      </c>
      <c r="BO2353" s="55">
        <v>3</v>
      </c>
      <c r="BV2353" s="55" t="s">
        <v>2758</v>
      </c>
      <c r="CM2353" s="65">
        <f>CR2353*0.0414</f>
        <v>1.0639799999999999</v>
      </c>
      <c r="CN2353" s="65">
        <f>CS2353*0.0414</f>
        <v>1.0846799999999999</v>
      </c>
      <c r="CR2353" s="65">
        <v>25.7</v>
      </c>
      <c r="CS2353" s="65">
        <v>26.2</v>
      </c>
      <c r="CV2353" s="65" t="s">
        <v>2052</v>
      </c>
      <c r="DA2353" s="65" t="s">
        <v>4463</v>
      </c>
      <c r="GP2353" s="292" t="s">
        <v>7494</v>
      </c>
      <c r="JU2353" s="55">
        <v>11</v>
      </c>
    </row>
    <row r="2354" spans="1:281" x14ac:dyDescent="0.25">
      <c r="A2354" s="55">
        <v>2353</v>
      </c>
      <c r="B2354" s="12" t="s">
        <v>7067</v>
      </c>
      <c r="C2354" s="155">
        <v>111</v>
      </c>
      <c r="D2354" s="55" t="s">
        <v>4205</v>
      </c>
      <c r="E2354" s="90" t="s">
        <v>2327</v>
      </c>
      <c r="H2354" s="55">
        <v>2014</v>
      </c>
      <c r="I2354" s="55">
        <v>2012</v>
      </c>
      <c r="J2354" s="12"/>
      <c r="K2354" s="55" t="s">
        <v>2286</v>
      </c>
      <c r="L2354" s="55" t="s">
        <v>2745</v>
      </c>
      <c r="M2354" s="90">
        <v>-34.837381000000001</v>
      </c>
      <c r="N2354" s="90">
        <v>-63.127822000000002</v>
      </c>
      <c r="O2354" s="90">
        <v>123.4</v>
      </c>
      <c r="Q2354" s="55">
        <v>16.3</v>
      </c>
      <c r="S2354" s="90">
        <v>859</v>
      </c>
      <c r="U2354" s="55" t="s">
        <v>1940</v>
      </c>
      <c r="V2354" s="55" t="s">
        <v>1940</v>
      </c>
      <c r="Z2354" s="55" t="s">
        <v>1346</v>
      </c>
      <c r="AA2354" s="90" t="s">
        <v>1675</v>
      </c>
      <c r="AH2354" s="55" t="s">
        <v>2291</v>
      </c>
      <c r="AM2354" s="55" t="s">
        <v>2343</v>
      </c>
      <c r="AN2354" s="185" t="s">
        <v>2299</v>
      </c>
      <c r="AO2354" s="185" t="s">
        <v>5150</v>
      </c>
      <c r="AQ2354" s="55" t="s">
        <v>131</v>
      </c>
      <c r="AR2354" s="55" t="s">
        <v>132</v>
      </c>
      <c r="AS2354" s="55" t="s">
        <v>132</v>
      </c>
      <c r="AT2354" s="181" t="s">
        <v>912</v>
      </c>
      <c r="AU2354" s="181" t="s">
        <v>5150</v>
      </c>
      <c r="AV2354" s="185" t="s">
        <v>176</v>
      </c>
      <c r="AW2354" s="55" t="s">
        <v>912</v>
      </c>
      <c r="AX2354" s="185" t="s">
        <v>176</v>
      </c>
      <c r="BE2354" s="226">
        <v>0</v>
      </c>
      <c r="BG2354" s="191" t="s">
        <v>176</v>
      </c>
      <c r="BK2354" s="55" t="s">
        <v>5976</v>
      </c>
      <c r="BN2354" s="55">
        <v>3</v>
      </c>
      <c r="BO2354" s="55">
        <v>3</v>
      </c>
      <c r="BV2354" s="55" t="s">
        <v>2758</v>
      </c>
      <c r="CM2354" s="65">
        <f>CR2354*0.0414</f>
        <v>1.21302</v>
      </c>
      <c r="CN2354" s="65">
        <f>CS2354*0.0414</f>
        <v>1.32894</v>
      </c>
      <c r="CR2354" s="65">
        <v>29.3</v>
      </c>
      <c r="CS2354" s="65">
        <v>32.1</v>
      </c>
      <c r="CV2354" s="65" t="s">
        <v>2052</v>
      </c>
      <c r="DA2354" s="65" t="s">
        <v>4463</v>
      </c>
      <c r="GP2354" s="292" t="s">
        <v>7494</v>
      </c>
      <c r="JU2354" s="55">
        <v>11</v>
      </c>
    </row>
    <row r="2355" spans="1:281" x14ac:dyDescent="0.25">
      <c r="A2355" s="55">
        <v>2354</v>
      </c>
      <c r="B2355" s="12" t="s">
        <v>7067</v>
      </c>
      <c r="C2355" s="155">
        <v>111</v>
      </c>
      <c r="D2355" s="55" t="s">
        <v>4205</v>
      </c>
      <c r="E2355" s="90" t="s">
        <v>2327</v>
      </c>
      <c r="H2355" s="55">
        <v>2014</v>
      </c>
      <c r="I2355" s="55">
        <v>2012</v>
      </c>
      <c r="J2355" s="12"/>
      <c r="K2355" s="55" t="s">
        <v>2286</v>
      </c>
      <c r="L2355" s="55" t="s">
        <v>2745</v>
      </c>
      <c r="M2355" s="90">
        <v>-34.837381000000001</v>
      </c>
      <c r="N2355" s="90">
        <v>-63.127822000000002</v>
      </c>
      <c r="O2355" s="90">
        <v>123.4</v>
      </c>
      <c r="Q2355" s="55">
        <v>16.3</v>
      </c>
      <c r="S2355" s="90">
        <v>859</v>
      </c>
      <c r="U2355" s="55" t="s">
        <v>1933</v>
      </c>
      <c r="V2355" s="55" t="s">
        <v>1940</v>
      </c>
      <c r="Z2355" s="55" t="s">
        <v>1346</v>
      </c>
      <c r="AA2355" s="90" t="s">
        <v>1675</v>
      </c>
      <c r="AH2355" s="55" t="s">
        <v>2291</v>
      </c>
      <c r="AM2355" s="55" t="s">
        <v>2343</v>
      </c>
      <c r="AN2355" s="185" t="s">
        <v>2299</v>
      </c>
      <c r="AO2355" s="185" t="s">
        <v>5150</v>
      </c>
      <c r="AQ2355" s="55" t="s">
        <v>131</v>
      </c>
      <c r="AR2355" s="55" t="s">
        <v>132</v>
      </c>
      <c r="AS2355" s="55" t="s">
        <v>132</v>
      </c>
      <c r="AT2355" s="181" t="s">
        <v>912</v>
      </c>
      <c r="AU2355" s="181" t="s">
        <v>5150</v>
      </c>
      <c r="AV2355" s="185" t="s">
        <v>176</v>
      </c>
      <c r="AW2355" s="55" t="s">
        <v>912</v>
      </c>
      <c r="AX2355" s="185" t="s">
        <v>176</v>
      </c>
      <c r="BE2355" s="226">
        <v>0</v>
      </c>
      <c r="BG2355" s="191" t="s">
        <v>176</v>
      </c>
      <c r="BK2355" s="55" t="s">
        <v>5976</v>
      </c>
      <c r="BN2355" s="55">
        <v>3</v>
      </c>
      <c r="BO2355" s="55">
        <v>3</v>
      </c>
      <c r="BV2355" s="55" t="s">
        <v>2758</v>
      </c>
      <c r="CM2355" s="65">
        <f>CR2355*0.0414</f>
        <v>0.97289999999999999</v>
      </c>
      <c r="CN2355" s="65">
        <f>CS2355*0.0414</f>
        <v>0.9894599999999999</v>
      </c>
      <c r="CR2355" s="65">
        <v>23.5</v>
      </c>
      <c r="CS2355" s="65">
        <v>23.9</v>
      </c>
      <c r="CV2355" s="65" t="s">
        <v>2052</v>
      </c>
      <c r="DA2355" s="65" t="s">
        <v>4463</v>
      </c>
      <c r="GP2355" s="292" t="s">
        <v>7494</v>
      </c>
      <c r="JU2355" s="55">
        <v>11</v>
      </c>
    </row>
    <row r="2356" spans="1:281" x14ac:dyDescent="0.25">
      <c r="A2356" s="55">
        <v>2355</v>
      </c>
      <c r="B2356" s="12" t="s">
        <v>7067</v>
      </c>
      <c r="C2356" s="155">
        <v>111</v>
      </c>
      <c r="D2356" s="55" t="s">
        <v>4205</v>
      </c>
      <c r="E2356" s="90" t="s">
        <v>2327</v>
      </c>
      <c r="H2356" s="55">
        <v>2014</v>
      </c>
      <c r="I2356" s="55">
        <v>2012</v>
      </c>
      <c r="J2356" s="12"/>
      <c r="K2356" s="55" t="s">
        <v>2286</v>
      </c>
      <c r="L2356" s="55" t="s">
        <v>2745</v>
      </c>
      <c r="M2356" s="90">
        <v>-34.837381000000001</v>
      </c>
      <c r="N2356" s="90">
        <v>-63.127822000000002</v>
      </c>
      <c r="O2356" s="90">
        <v>123.4</v>
      </c>
      <c r="Q2356" s="55">
        <v>16.3</v>
      </c>
      <c r="S2356" s="90">
        <v>859</v>
      </c>
      <c r="U2356" s="55" t="s">
        <v>1694</v>
      </c>
      <c r="V2356" s="55" t="s">
        <v>1940</v>
      </c>
      <c r="Z2356" s="55" t="s">
        <v>1346</v>
      </c>
      <c r="AA2356" s="90" t="s">
        <v>1675</v>
      </c>
      <c r="AH2356" s="55" t="s">
        <v>2291</v>
      </c>
      <c r="AM2356" s="55" t="s">
        <v>2343</v>
      </c>
      <c r="AN2356" s="185" t="s">
        <v>2299</v>
      </c>
      <c r="AO2356" s="185" t="s">
        <v>5150</v>
      </c>
      <c r="AQ2356" s="55" t="s">
        <v>131</v>
      </c>
      <c r="AR2356" s="55" t="s">
        <v>158</v>
      </c>
      <c r="AS2356" s="55" t="s">
        <v>158</v>
      </c>
      <c r="AT2356" s="181" t="s">
        <v>2290</v>
      </c>
      <c r="AU2356" s="181" t="s">
        <v>5150</v>
      </c>
      <c r="AV2356" s="185" t="s">
        <v>176</v>
      </c>
      <c r="AW2356" s="55" t="s">
        <v>2290</v>
      </c>
      <c r="AX2356" s="185" t="s">
        <v>176</v>
      </c>
      <c r="BE2356" s="226">
        <v>46</v>
      </c>
      <c r="BG2356" s="191" t="s">
        <v>479</v>
      </c>
      <c r="BK2356" s="55" t="s">
        <v>5976</v>
      </c>
      <c r="BN2356" s="55">
        <v>3</v>
      </c>
      <c r="BO2356" s="55">
        <v>3</v>
      </c>
      <c r="BV2356" s="55" t="s">
        <v>2758</v>
      </c>
      <c r="CM2356" s="65">
        <f>CR2356*0.0414</f>
        <v>1.0515599999999998</v>
      </c>
      <c r="CN2356" s="65">
        <f>CS2356*0.0414</f>
        <v>1.07226</v>
      </c>
      <c r="CR2356" s="65">
        <v>25.4</v>
      </c>
      <c r="CS2356" s="65">
        <v>25.9</v>
      </c>
      <c r="CV2356" s="65" t="s">
        <v>2052</v>
      </c>
      <c r="DA2356" s="65" t="s">
        <v>4463</v>
      </c>
      <c r="GP2356" s="292" t="s">
        <v>7494</v>
      </c>
      <c r="JU2356" s="55">
        <v>11</v>
      </c>
    </row>
    <row r="2357" spans="1:281" x14ac:dyDescent="0.25">
      <c r="A2357" s="55">
        <v>2356</v>
      </c>
      <c r="B2357" s="12" t="s">
        <v>7067</v>
      </c>
      <c r="C2357" s="155">
        <v>111</v>
      </c>
      <c r="D2357" s="55" t="s">
        <v>4205</v>
      </c>
      <c r="E2357" s="90" t="s">
        <v>2327</v>
      </c>
      <c r="H2357" s="55">
        <v>2014</v>
      </c>
      <c r="I2357" s="55">
        <v>2012</v>
      </c>
      <c r="J2357" s="12"/>
      <c r="K2357" s="55" t="s">
        <v>2286</v>
      </c>
      <c r="L2357" s="55" t="s">
        <v>2745</v>
      </c>
      <c r="M2357" s="90">
        <v>-34.837381000000001</v>
      </c>
      <c r="N2357" s="90">
        <v>-63.127822000000002</v>
      </c>
      <c r="O2357" s="90">
        <v>123.4</v>
      </c>
      <c r="Q2357" s="55">
        <v>16.3</v>
      </c>
      <c r="S2357" s="90">
        <v>859</v>
      </c>
      <c r="U2357" s="55" t="s">
        <v>1940</v>
      </c>
      <c r="V2357" s="55" t="s">
        <v>1940</v>
      </c>
      <c r="Z2357" s="55" t="s">
        <v>1346</v>
      </c>
      <c r="AA2357" s="90" t="s">
        <v>1675</v>
      </c>
      <c r="AH2357" s="55" t="s">
        <v>2291</v>
      </c>
      <c r="AM2357" s="55" t="s">
        <v>2343</v>
      </c>
      <c r="AN2357" s="185" t="s">
        <v>2299</v>
      </c>
      <c r="AO2357" s="185" t="s">
        <v>5150</v>
      </c>
      <c r="AQ2357" s="55" t="s">
        <v>131</v>
      </c>
      <c r="AR2357" s="55" t="s">
        <v>158</v>
      </c>
      <c r="AS2357" s="55" t="s">
        <v>158</v>
      </c>
      <c r="AT2357" s="181" t="s">
        <v>2290</v>
      </c>
      <c r="AU2357" s="181" t="s">
        <v>5150</v>
      </c>
      <c r="AV2357" s="185" t="s">
        <v>176</v>
      </c>
      <c r="AW2357" s="55" t="s">
        <v>2290</v>
      </c>
      <c r="AX2357" s="185" t="s">
        <v>176</v>
      </c>
      <c r="BE2357" s="226">
        <v>46</v>
      </c>
      <c r="BG2357" s="191" t="s">
        <v>479</v>
      </c>
      <c r="BK2357" s="55" t="s">
        <v>5976</v>
      </c>
      <c r="BN2357" s="55">
        <v>3</v>
      </c>
      <c r="BO2357" s="55">
        <v>3</v>
      </c>
      <c r="BV2357" s="55" t="s">
        <v>2758</v>
      </c>
      <c r="CM2357" s="65">
        <f>CR2357*0.0414</f>
        <v>1.1716200000000001</v>
      </c>
      <c r="CN2357" s="65">
        <f>CS2357*0.0414</f>
        <v>1.23786</v>
      </c>
      <c r="CR2357" s="65">
        <v>28.3</v>
      </c>
      <c r="CS2357" s="65">
        <v>29.9</v>
      </c>
      <c r="CV2357" s="65" t="s">
        <v>2052</v>
      </c>
      <c r="DA2357" s="65" t="s">
        <v>4463</v>
      </c>
      <c r="GP2357" s="292" t="s">
        <v>7494</v>
      </c>
      <c r="JU2357" s="55">
        <v>11</v>
      </c>
    </row>
    <row r="2358" spans="1:281" x14ac:dyDescent="0.25">
      <c r="A2358" s="55">
        <v>2357</v>
      </c>
      <c r="B2358" s="12" t="s">
        <v>7067</v>
      </c>
      <c r="C2358" s="155">
        <v>111</v>
      </c>
      <c r="D2358" s="55" t="s">
        <v>4205</v>
      </c>
      <c r="E2358" s="90" t="s">
        <v>2327</v>
      </c>
      <c r="H2358" s="55">
        <v>2014</v>
      </c>
      <c r="I2358" s="55">
        <v>2012</v>
      </c>
      <c r="J2358" s="12"/>
      <c r="K2358" s="55" t="s">
        <v>2286</v>
      </c>
      <c r="L2358" s="55" t="s">
        <v>2745</v>
      </c>
      <c r="M2358" s="90">
        <v>-34.837381000000001</v>
      </c>
      <c r="N2358" s="90">
        <v>-63.127822000000002</v>
      </c>
      <c r="O2358" s="90">
        <v>123.4</v>
      </c>
      <c r="Q2358" s="55">
        <v>16.3</v>
      </c>
      <c r="S2358" s="90">
        <v>859</v>
      </c>
      <c r="U2358" s="55" t="s">
        <v>1933</v>
      </c>
      <c r="V2358" s="55" t="s">
        <v>1940</v>
      </c>
      <c r="Z2358" s="55" t="s">
        <v>1346</v>
      </c>
      <c r="AA2358" s="90" t="s">
        <v>1675</v>
      </c>
      <c r="AH2358" s="55" t="s">
        <v>2291</v>
      </c>
      <c r="AM2358" s="55" t="s">
        <v>2343</v>
      </c>
      <c r="AN2358" s="185" t="s">
        <v>2299</v>
      </c>
      <c r="AO2358" s="185" t="s">
        <v>5150</v>
      </c>
      <c r="AQ2358" s="55" t="s">
        <v>131</v>
      </c>
      <c r="AR2358" s="55" t="s">
        <v>158</v>
      </c>
      <c r="AS2358" s="55" t="s">
        <v>158</v>
      </c>
      <c r="AT2358" s="181" t="s">
        <v>2290</v>
      </c>
      <c r="AU2358" s="181" t="s">
        <v>5150</v>
      </c>
      <c r="AV2358" s="185" t="s">
        <v>176</v>
      </c>
      <c r="AW2358" s="55" t="s">
        <v>2290</v>
      </c>
      <c r="AX2358" s="185" t="s">
        <v>176</v>
      </c>
      <c r="BE2358" s="226">
        <v>46</v>
      </c>
      <c r="BG2358" s="191" t="s">
        <v>479</v>
      </c>
      <c r="BK2358" s="55" t="s">
        <v>5976</v>
      </c>
      <c r="BN2358" s="55">
        <v>3</v>
      </c>
      <c r="BO2358" s="55">
        <v>3</v>
      </c>
      <c r="BV2358" s="55" t="s">
        <v>2758</v>
      </c>
      <c r="CM2358" s="65">
        <f>CR2358*0.0414</f>
        <v>1.0267200000000001</v>
      </c>
      <c r="CN2358" s="65">
        <f>CS2358*0.0414</f>
        <v>0.90251999999999999</v>
      </c>
      <c r="CR2358" s="65">
        <v>24.8</v>
      </c>
      <c r="CS2358" s="65">
        <v>21.8</v>
      </c>
      <c r="CV2358" s="65" t="s">
        <v>2052</v>
      </c>
      <c r="DA2358" s="65" t="s">
        <v>4463</v>
      </c>
      <c r="GP2358" s="292" t="s">
        <v>7494</v>
      </c>
      <c r="JU2358" s="55">
        <v>11</v>
      </c>
    </row>
    <row r="2359" spans="1:281" x14ac:dyDescent="0.25">
      <c r="A2359" s="55">
        <v>2358</v>
      </c>
      <c r="B2359" s="12" t="s">
        <v>7067</v>
      </c>
      <c r="C2359" s="155">
        <v>111</v>
      </c>
      <c r="D2359" s="55" t="s">
        <v>4205</v>
      </c>
      <c r="E2359" s="90" t="s">
        <v>2327</v>
      </c>
      <c r="H2359" s="55">
        <v>2014</v>
      </c>
      <c r="I2359" s="55">
        <v>2012</v>
      </c>
      <c r="J2359" s="12"/>
      <c r="K2359" s="55" t="s">
        <v>2286</v>
      </c>
      <c r="L2359" s="55" t="s">
        <v>2745</v>
      </c>
      <c r="M2359" s="90">
        <v>-34.837381000000001</v>
      </c>
      <c r="N2359" s="90">
        <v>-63.127822000000002</v>
      </c>
      <c r="O2359" s="90">
        <v>123.4</v>
      </c>
      <c r="Q2359" s="55">
        <v>16.3</v>
      </c>
      <c r="S2359" s="90">
        <v>859</v>
      </c>
      <c r="U2359" s="55" t="s">
        <v>1694</v>
      </c>
      <c r="V2359" s="55" t="s">
        <v>1940</v>
      </c>
      <c r="Z2359" s="55" t="s">
        <v>1346</v>
      </c>
      <c r="AA2359" s="90" t="s">
        <v>1675</v>
      </c>
      <c r="AH2359" s="55" t="s">
        <v>2291</v>
      </c>
      <c r="AM2359" s="55" t="s">
        <v>2343</v>
      </c>
      <c r="AN2359" s="185" t="s">
        <v>2299</v>
      </c>
      <c r="AO2359" s="185" t="s">
        <v>5150</v>
      </c>
      <c r="AQ2359" s="55" t="s">
        <v>131</v>
      </c>
      <c r="AR2359" s="55" t="s">
        <v>158</v>
      </c>
      <c r="AS2359" s="55" t="s">
        <v>158</v>
      </c>
      <c r="AT2359" s="181" t="s">
        <v>2290</v>
      </c>
      <c r="AU2359" s="181" t="s">
        <v>5150</v>
      </c>
      <c r="AV2359" s="185" t="s">
        <v>176</v>
      </c>
      <c r="AW2359" s="55" t="s">
        <v>2290</v>
      </c>
      <c r="AX2359" s="185" t="s">
        <v>176</v>
      </c>
      <c r="BE2359" s="226">
        <v>0</v>
      </c>
      <c r="BG2359" s="191" t="s">
        <v>176</v>
      </c>
      <c r="BK2359" s="55" t="s">
        <v>5976</v>
      </c>
      <c r="BN2359" s="55">
        <v>3</v>
      </c>
      <c r="BO2359" s="55">
        <v>3</v>
      </c>
      <c r="BV2359" s="55" t="s">
        <v>2758</v>
      </c>
      <c r="CM2359" s="65">
        <f>CR2359*0.0414</f>
        <v>1.0515599999999998</v>
      </c>
      <c r="CN2359" s="65">
        <f>CS2359*0.0414</f>
        <v>1.1757599999999999</v>
      </c>
      <c r="CR2359" s="65">
        <v>25.4</v>
      </c>
      <c r="CS2359" s="65">
        <v>28.4</v>
      </c>
      <c r="CV2359" s="65" t="s">
        <v>2052</v>
      </c>
      <c r="DA2359" s="65" t="s">
        <v>4463</v>
      </c>
      <c r="GP2359" s="292" t="s">
        <v>7494</v>
      </c>
      <c r="JU2359" s="55">
        <v>11</v>
      </c>
    </row>
    <row r="2360" spans="1:281" x14ac:dyDescent="0.25">
      <c r="A2360" s="55">
        <v>2359</v>
      </c>
      <c r="B2360" s="12" t="s">
        <v>7067</v>
      </c>
      <c r="C2360" s="155">
        <v>111</v>
      </c>
      <c r="D2360" s="55" t="s">
        <v>4205</v>
      </c>
      <c r="E2360" s="90" t="s">
        <v>2327</v>
      </c>
      <c r="H2360" s="55">
        <v>2014</v>
      </c>
      <c r="I2360" s="55">
        <v>2012</v>
      </c>
      <c r="J2360" s="12"/>
      <c r="K2360" s="55" t="s">
        <v>2286</v>
      </c>
      <c r="L2360" s="55" t="s">
        <v>2745</v>
      </c>
      <c r="M2360" s="90">
        <v>-34.837381000000001</v>
      </c>
      <c r="N2360" s="90">
        <v>-63.127822000000002</v>
      </c>
      <c r="O2360" s="90">
        <v>123.4</v>
      </c>
      <c r="Q2360" s="55">
        <v>16.3</v>
      </c>
      <c r="S2360" s="90">
        <v>859</v>
      </c>
      <c r="U2360" s="55" t="s">
        <v>1940</v>
      </c>
      <c r="V2360" s="55" t="s">
        <v>1940</v>
      </c>
      <c r="Z2360" s="55" t="s">
        <v>1346</v>
      </c>
      <c r="AA2360" s="90" t="s">
        <v>1675</v>
      </c>
      <c r="AH2360" s="55" t="s">
        <v>2291</v>
      </c>
      <c r="AM2360" s="55" t="s">
        <v>2343</v>
      </c>
      <c r="AN2360" s="185" t="s">
        <v>2299</v>
      </c>
      <c r="AO2360" s="185" t="s">
        <v>5150</v>
      </c>
      <c r="AQ2360" s="55" t="s">
        <v>131</v>
      </c>
      <c r="AR2360" s="55" t="s">
        <v>158</v>
      </c>
      <c r="AS2360" s="55" t="s">
        <v>158</v>
      </c>
      <c r="AT2360" s="181" t="s">
        <v>2290</v>
      </c>
      <c r="AU2360" s="181" t="s">
        <v>5150</v>
      </c>
      <c r="AV2360" s="185" t="s">
        <v>176</v>
      </c>
      <c r="AW2360" s="55" t="s">
        <v>2290</v>
      </c>
      <c r="AX2360" s="185" t="s">
        <v>176</v>
      </c>
      <c r="BE2360" s="226">
        <v>0</v>
      </c>
      <c r="BG2360" s="191" t="s">
        <v>176</v>
      </c>
      <c r="BK2360" s="55" t="s">
        <v>5976</v>
      </c>
      <c r="BN2360" s="55">
        <v>3</v>
      </c>
      <c r="BO2360" s="55">
        <v>3</v>
      </c>
      <c r="BV2360" s="55" t="s">
        <v>2758</v>
      </c>
      <c r="CM2360" s="65">
        <f>CR2360*0.0414</f>
        <v>1.1716200000000001</v>
      </c>
      <c r="CN2360" s="65">
        <f>CS2360*0.0414</f>
        <v>1.3206599999999999</v>
      </c>
      <c r="CR2360" s="65">
        <v>28.3</v>
      </c>
      <c r="CS2360" s="65">
        <v>31.9</v>
      </c>
      <c r="CV2360" s="65" t="s">
        <v>2052</v>
      </c>
      <c r="DA2360" s="65" t="s">
        <v>4463</v>
      </c>
      <c r="GP2360" s="292" t="s">
        <v>7494</v>
      </c>
      <c r="JU2360" s="55">
        <v>11</v>
      </c>
    </row>
    <row r="2361" spans="1:281" x14ac:dyDescent="0.25">
      <c r="A2361" s="55">
        <v>2360</v>
      </c>
      <c r="B2361" s="12" t="s">
        <v>7067</v>
      </c>
      <c r="C2361" s="155">
        <v>111</v>
      </c>
      <c r="D2361" s="55" t="s">
        <v>4205</v>
      </c>
      <c r="E2361" s="90" t="s">
        <v>2327</v>
      </c>
      <c r="H2361" s="55">
        <v>2014</v>
      </c>
      <c r="I2361" s="55">
        <v>2012</v>
      </c>
      <c r="J2361" s="12"/>
      <c r="K2361" s="55" t="s">
        <v>2286</v>
      </c>
      <c r="L2361" s="55" t="s">
        <v>2745</v>
      </c>
      <c r="M2361" s="90">
        <v>-34.837381000000001</v>
      </c>
      <c r="N2361" s="90">
        <v>-63.127822000000002</v>
      </c>
      <c r="O2361" s="90">
        <v>123.4</v>
      </c>
      <c r="Q2361" s="55">
        <v>16.3</v>
      </c>
      <c r="S2361" s="90">
        <v>859</v>
      </c>
      <c r="U2361" s="55" t="s">
        <v>1933</v>
      </c>
      <c r="V2361" s="55" t="s">
        <v>1940</v>
      </c>
      <c r="Z2361" s="55" t="s">
        <v>1346</v>
      </c>
      <c r="AA2361" s="90" t="s">
        <v>1675</v>
      </c>
      <c r="AH2361" s="55" t="s">
        <v>2291</v>
      </c>
      <c r="AM2361" s="55" t="s">
        <v>2343</v>
      </c>
      <c r="AN2361" s="185" t="s">
        <v>2299</v>
      </c>
      <c r="AO2361" s="185" t="s">
        <v>5150</v>
      </c>
      <c r="AQ2361" s="55" t="s">
        <v>131</v>
      </c>
      <c r="AR2361" s="55" t="s">
        <v>158</v>
      </c>
      <c r="AS2361" s="55" t="s">
        <v>158</v>
      </c>
      <c r="AT2361" s="181" t="s">
        <v>2290</v>
      </c>
      <c r="AU2361" s="181" t="s">
        <v>5150</v>
      </c>
      <c r="AV2361" s="185" t="s">
        <v>176</v>
      </c>
      <c r="AW2361" s="55" t="s">
        <v>2290</v>
      </c>
      <c r="AX2361" s="185" t="s">
        <v>176</v>
      </c>
      <c r="BE2361" s="226">
        <v>0</v>
      </c>
      <c r="BG2361" s="191" t="s">
        <v>176</v>
      </c>
      <c r="BK2361" s="55" t="s">
        <v>5976</v>
      </c>
      <c r="BN2361" s="55">
        <v>3</v>
      </c>
      <c r="BO2361" s="55">
        <v>3</v>
      </c>
      <c r="BV2361" s="55" t="s">
        <v>2758</v>
      </c>
      <c r="CM2361" s="65">
        <f>CR2361*0.0414</f>
        <v>1.0267200000000001</v>
      </c>
      <c r="CN2361" s="65">
        <f>CS2361*0.0414</f>
        <v>0.90665999999999991</v>
      </c>
      <c r="CR2361" s="65">
        <v>24.8</v>
      </c>
      <c r="CS2361" s="65">
        <v>21.9</v>
      </c>
      <c r="CV2361" s="65" t="s">
        <v>2052</v>
      </c>
      <c r="DA2361" s="65" t="s">
        <v>4463</v>
      </c>
      <c r="GP2361" s="292" t="s">
        <v>7494</v>
      </c>
      <c r="JU2361" s="55">
        <v>11</v>
      </c>
    </row>
    <row r="2362" spans="1:281" x14ac:dyDescent="0.25">
      <c r="A2362" s="55">
        <v>2361</v>
      </c>
      <c r="B2362" s="12" t="s">
        <v>7067</v>
      </c>
      <c r="C2362" s="155">
        <v>111</v>
      </c>
      <c r="D2362" s="55" t="s">
        <v>4206</v>
      </c>
      <c r="E2362" s="90" t="s">
        <v>2328</v>
      </c>
      <c r="H2362" s="55">
        <v>2012</v>
      </c>
      <c r="I2362" s="55">
        <v>2010</v>
      </c>
      <c r="J2362" s="12"/>
      <c r="K2362" s="55" t="s">
        <v>2286</v>
      </c>
      <c r="L2362" s="55" t="s">
        <v>2745</v>
      </c>
      <c r="M2362" s="90">
        <v>-34.924981000000002</v>
      </c>
      <c r="N2362" s="90">
        <v>-62.646369</v>
      </c>
      <c r="O2362" s="90">
        <v>110.6</v>
      </c>
      <c r="Q2362" s="55">
        <v>16</v>
      </c>
      <c r="S2362" s="90">
        <v>892</v>
      </c>
      <c r="U2362" s="55" t="s">
        <v>1816</v>
      </c>
      <c r="V2362" s="55" t="s">
        <v>1816</v>
      </c>
      <c r="Z2362" s="55" t="s">
        <v>1346</v>
      </c>
      <c r="AA2362" s="90" t="s">
        <v>1675</v>
      </c>
      <c r="AD2362" s="90">
        <v>1.1399999999999999</v>
      </c>
      <c r="AH2362" s="55" t="s">
        <v>2291</v>
      </c>
      <c r="AM2362" s="55" t="s">
        <v>2343</v>
      </c>
      <c r="AN2362" s="185" t="s">
        <v>496</v>
      </c>
      <c r="AO2362" s="185" t="s">
        <v>5150</v>
      </c>
      <c r="AQ2362" s="55" t="s">
        <v>1545</v>
      </c>
      <c r="AR2362" s="55" t="s">
        <v>158</v>
      </c>
      <c r="AS2362" s="55" t="s">
        <v>158</v>
      </c>
      <c r="AT2362" s="181" t="s">
        <v>2290</v>
      </c>
      <c r="AU2362" s="181" t="s">
        <v>5150</v>
      </c>
      <c r="AV2362" s="185" t="s">
        <v>176</v>
      </c>
      <c r="AW2362" s="55" t="s">
        <v>2290</v>
      </c>
      <c r="AX2362" s="185" t="s">
        <v>176</v>
      </c>
      <c r="BE2362" s="226">
        <v>0</v>
      </c>
      <c r="BG2362" s="191" t="s">
        <v>176</v>
      </c>
      <c r="BK2362" s="55" t="s">
        <v>5976</v>
      </c>
      <c r="BN2362" s="55">
        <v>3</v>
      </c>
      <c r="BO2362" s="55">
        <v>3</v>
      </c>
      <c r="BU2362" s="55" t="s">
        <v>224</v>
      </c>
      <c r="BV2362" s="55" t="s">
        <v>2758</v>
      </c>
      <c r="CH2362" s="90">
        <v>1.1399999999999999</v>
      </c>
      <c r="CI2362" s="90">
        <v>1.1666666666666701</v>
      </c>
      <c r="CM2362" s="65">
        <f>(CR2362*1000000)/(100*100*CH2362*AA2362/100*1000000)*100</f>
        <v>1.4912280701754388</v>
      </c>
      <c r="CN2362" s="65">
        <f>(CS2362*1000000)/(100*100*CI2362*AA2362/100*1000000)*100</f>
        <v>1.4957142857142813</v>
      </c>
      <c r="CR2362" s="65">
        <v>34</v>
      </c>
      <c r="CS2362" s="65">
        <v>34.9</v>
      </c>
      <c r="CV2362" s="65" t="s">
        <v>2052</v>
      </c>
      <c r="DA2362" s="65" t="s">
        <v>4463</v>
      </c>
      <c r="GP2362" s="292" t="s">
        <v>7494</v>
      </c>
      <c r="JU2362" s="55" t="s">
        <v>2339</v>
      </c>
    </row>
    <row r="2363" spans="1:281" x14ac:dyDescent="0.25">
      <c r="A2363" s="55">
        <v>2362</v>
      </c>
      <c r="B2363" s="12" t="s">
        <v>7067</v>
      </c>
      <c r="C2363" s="155">
        <v>111</v>
      </c>
      <c r="D2363" s="55" t="s">
        <v>4206</v>
      </c>
      <c r="E2363" s="90" t="s">
        <v>2328</v>
      </c>
      <c r="H2363" s="55">
        <v>2012</v>
      </c>
      <c r="I2363" s="55">
        <v>2010</v>
      </c>
      <c r="J2363" s="12"/>
      <c r="K2363" s="55" t="s">
        <v>2286</v>
      </c>
      <c r="L2363" s="55" t="s">
        <v>2745</v>
      </c>
      <c r="M2363" s="90">
        <v>-34.924981000000002</v>
      </c>
      <c r="N2363" s="90">
        <v>-62.646369</v>
      </c>
      <c r="O2363" s="90">
        <v>110.6</v>
      </c>
      <c r="Q2363" s="55">
        <v>16</v>
      </c>
      <c r="S2363" s="90">
        <v>892</v>
      </c>
      <c r="U2363" s="55" t="s">
        <v>1816</v>
      </c>
      <c r="V2363" s="55" t="s">
        <v>1816</v>
      </c>
      <c r="Z2363" s="55" t="s">
        <v>1346</v>
      </c>
      <c r="AA2363" s="90" t="s">
        <v>1675</v>
      </c>
      <c r="AD2363" s="90">
        <v>1.1399999999999999</v>
      </c>
      <c r="AH2363" s="55" t="s">
        <v>2291</v>
      </c>
      <c r="AM2363" s="55" t="s">
        <v>2343</v>
      </c>
      <c r="AN2363" s="185" t="s">
        <v>496</v>
      </c>
      <c r="AO2363" s="185" t="s">
        <v>5150</v>
      </c>
      <c r="AQ2363" s="55" t="s">
        <v>1545</v>
      </c>
      <c r="AR2363" s="55" t="s">
        <v>158</v>
      </c>
      <c r="AS2363" s="55" t="s">
        <v>158</v>
      </c>
      <c r="AT2363" s="181" t="s">
        <v>2290</v>
      </c>
      <c r="AU2363" s="181" t="s">
        <v>5150</v>
      </c>
      <c r="AV2363" s="185" t="s">
        <v>176</v>
      </c>
      <c r="AW2363" s="55" t="s">
        <v>2290</v>
      </c>
      <c r="AX2363" s="185" t="s">
        <v>176</v>
      </c>
      <c r="BE2363" s="226">
        <v>0</v>
      </c>
      <c r="BG2363" s="191" t="s">
        <v>176</v>
      </c>
      <c r="BK2363" s="55" t="s">
        <v>5976</v>
      </c>
      <c r="BN2363" s="55">
        <v>3</v>
      </c>
      <c r="BO2363" s="55">
        <v>3</v>
      </c>
      <c r="BU2363" s="55" t="s">
        <v>225</v>
      </c>
      <c r="BV2363" s="55" t="s">
        <v>2758</v>
      </c>
      <c r="CH2363" s="90">
        <v>1.1399999999999999</v>
      </c>
      <c r="CI2363" s="90">
        <v>1.1666666666666701</v>
      </c>
      <c r="CM2363" s="65">
        <f>(CR2363*1000000)/(100*100*CH2363*AA2363/100*1000000)*100</f>
        <v>1.4912280701754388</v>
      </c>
      <c r="CN2363" s="65">
        <f>(CS2363*1000000)/(100*100*CI2363*AA2363/100*1000000)*100</f>
        <v>1.581428571428567</v>
      </c>
      <c r="CR2363" s="65">
        <v>34</v>
      </c>
      <c r="CS2363" s="65">
        <v>36.9</v>
      </c>
      <c r="CV2363" s="65" t="s">
        <v>2052</v>
      </c>
      <c r="DA2363" s="65" t="s">
        <v>4463</v>
      </c>
      <c r="GP2363" s="292" t="s">
        <v>7494</v>
      </c>
      <c r="JU2363" s="55" t="s">
        <v>2339</v>
      </c>
    </row>
    <row r="2364" spans="1:281" x14ac:dyDescent="0.25">
      <c r="A2364" s="55">
        <v>2363</v>
      </c>
      <c r="B2364" s="12" t="s">
        <v>7067</v>
      </c>
      <c r="C2364" s="155">
        <v>111</v>
      </c>
      <c r="D2364" s="55" t="s">
        <v>4206</v>
      </c>
      <c r="E2364" s="90" t="s">
        <v>2328</v>
      </c>
      <c r="H2364" s="55">
        <v>2012</v>
      </c>
      <c r="I2364" s="55">
        <v>2010</v>
      </c>
      <c r="J2364" s="12"/>
      <c r="K2364" s="55" t="s">
        <v>2286</v>
      </c>
      <c r="L2364" s="55" t="s">
        <v>2745</v>
      </c>
      <c r="M2364" s="90">
        <v>-34.924981000000002</v>
      </c>
      <c r="N2364" s="90">
        <v>-62.646369</v>
      </c>
      <c r="O2364" s="90">
        <v>110.6</v>
      </c>
      <c r="Q2364" s="55">
        <v>16</v>
      </c>
      <c r="S2364" s="90">
        <v>892</v>
      </c>
      <c r="U2364" s="55" t="s">
        <v>1816</v>
      </c>
      <c r="V2364" s="55" t="s">
        <v>1816</v>
      </c>
      <c r="Z2364" s="55" t="s">
        <v>1346</v>
      </c>
      <c r="AA2364" s="90" t="s">
        <v>1675</v>
      </c>
      <c r="AD2364" s="90">
        <v>1.1399999999999999</v>
      </c>
      <c r="AH2364" s="55" t="s">
        <v>2291</v>
      </c>
      <c r="AM2364" s="55" t="s">
        <v>2343</v>
      </c>
      <c r="AN2364" s="185" t="s">
        <v>496</v>
      </c>
      <c r="AO2364" s="185" t="s">
        <v>5150</v>
      </c>
      <c r="AQ2364" s="55" t="s">
        <v>1545</v>
      </c>
      <c r="AR2364" s="55" t="s">
        <v>158</v>
      </c>
      <c r="AS2364" s="55" t="s">
        <v>158</v>
      </c>
      <c r="AT2364" s="181" t="s">
        <v>2290</v>
      </c>
      <c r="AU2364" s="181" t="s">
        <v>5150</v>
      </c>
      <c r="AV2364" s="185" t="s">
        <v>176</v>
      </c>
      <c r="AW2364" s="55" t="s">
        <v>2290</v>
      </c>
      <c r="AX2364" s="185" t="s">
        <v>176</v>
      </c>
      <c r="BE2364" s="226">
        <v>0</v>
      </c>
      <c r="BG2364" s="191" t="s">
        <v>176</v>
      </c>
      <c r="BK2364" s="55" t="s">
        <v>5976</v>
      </c>
      <c r="BN2364" s="55">
        <v>3</v>
      </c>
      <c r="BO2364" s="55">
        <v>3</v>
      </c>
      <c r="BU2364" s="55" t="s">
        <v>2303</v>
      </c>
      <c r="BV2364" s="55" t="s">
        <v>2758</v>
      </c>
      <c r="CH2364" s="90">
        <v>1.1399999999999999</v>
      </c>
      <c r="CI2364" s="90">
        <v>1.1666666666666701</v>
      </c>
      <c r="CM2364" s="65">
        <f>(CR2364*1000000)/(100*100*CH2364*AA2364/100*1000000)*100</f>
        <v>1.4912280701754388</v>
      </c>
      <c r="CN2364" s="65">
        <f>(CS2364*1000000)/(100*100*CI2364*AA2364/100*1000000)*100</f>
        <v>1.6414285714285666</v>
      </c>
      <c r="CR2364" s="65">
        <v>34</v>
      </c>
      <c r="CS2364" s="65">
        <v>38.299999999999997</v>
      </c>
      <c r="CV2364" s="65" t="s">
        <v>2052</v>
      </c>
      <c r="DA2364" s="65" t="s">
        <v>4463</v>
      </c>
      <c r="GP2364" s="292" t="s">
        <v>7494</v>
      </c>
      <c r="JU2364" s="55" t="s">
        <v>2339</v>
      </c>
    </row>
    <row r="2365" spans="1:281" x14ac:dyDescent="0.25">
      <c r="A2365" s="55">
        <v>2364</v>
      </c>
      <c r="B2365" s="12" t="s">
        <v>7067</v>
      </c>
      <c r="C2365" s="155">
        <v>111</v>
      </c>
      <c r="D2365" s="55" t="s">
        <v>4206</v>
      </c>
      <c r="E2365" s="90" t="s">
        <v>2328</v>
      </c>
      <c r="H2365" s="55">
        <v>2012</v>
      </c>
      <c r="I2365" s="55">
        <v>2010</v>
      </c>
      <c r="J2365" s="12"/>
      <c r="K2365" s="55" t="s">
        <v>2286</v>
      </c>
      <c r="L2365" s="55" t="s">
        <v>2745</v>
      </c>
      <c r="M2365" s="90">
        <v>-34.924981000000002</v>
      </c>
      <c r="N2365" s="90">
        <v>-62.646369</v>
      </c>
      <c r="O2365" s="90">
        <v>110.6</v>
      </c>
      <c r="Q2365" s="55">
        <v>16</v>
      </c>
      <c r="S2365" s="90">
        <v>892</v>
      </c>
      <c r="U2365" s="55" t="s">
        <v>1816</v>
      </c>
      <c r="V2365" s="55" t="s">
        <v>1816</v>
      </c>
      <c r="Z2365" s="55" t="s">
        <v>1346</v>
      </c>
      <c r="AA2365" s="90" t="s">
        <v>1675</v>
      </c>
      <c r="AD2365" s="90">
        <v>1.1399999999999999</v>
      </c>
      <c r="AH2365" s="55" t="s">
        <v>2291</v>
      </c>
      <c r="AM2365" s="55" t="s">
        <v>2343</v>
      </c>
      <c r="AN2365" s="185" t="s">
        <v>496</v>
      </c>
      <c r="AO2365" s="185" t="s">
        <v>5150</v>
      </c>
      <c r="AQ2365" s="55" t="s">
        <v>1545</v>
      </c>
      <c r="AR2365" s="55" t="s">
        <v>158</v>
      </c>
      <c r="AS2365" s="55" t="s">
        <v>158</v>
      </c>
      <c r="AT2365" s="181" t="s">
        <v>2290</v>
      </c>
      <c r="AU2365" s="181" t="s">
        <v>5150</v>
      </c>
      <c r="AV2365" s="185" t="s">
        <v>176</v>
      </c>
      <c r="AW2365" s="55" t="s">
        <v>2290</v>
      </c>
      <c r="AX2365" s="185" t="s">
        <v>176</v>
      </c>
      <c r="BE2365" s="226">
        <v>46</v>
      </c>
      <c r="BG2365" s="191" t="s">
        <v>479</v>
      </c>
      <c r="BK2365" s="55" t="s">
        <v>5976</v>
      </c>
      <c r="BN2365" s="55">
        <v>3</v>
      </c>
      <c r="BO2365" s="55">
        <v>3</v>
      </c>
      <c r="BU2365" s="55" t="s">
        <v>224</v>
      </c>
      <c r="BV2365" s="55" t="s">
        <v>2758</v>
      </c>
      <c r="CH2365" s="90">
        <v>1.1399999999999999</v>
      </c>
      <c r="CI2365" s="90">
        <v>1.1666666666666701</v>
      </c>
      <c r="CM2365" s="65">
        <f>(CR2365*1000000)/(100*100*CH2365*AA2365/100*1000000)*100</f>
        <v>1.504385964912281</v>
      </c>
      <c r="CN2365" s="65">
        <f>(CS2365*1000000)/(100*100*CI2365*AA2365/100*1000000)*100</f>
        <v>1.5299999999999956</v>
      </c>
      <c r="CR2365" s="65">
        <v>34.299999999999997</v>
      </c>
      <c r="CS2365" s="65">
        <v>35.700000000000003</v>
      </c>
      <c r="CV2365" s="65" t="s">
        <v>2052</v>
      </c>
      <c r="DA2365" s="65" t="s">
        <v>4463</v>
      </c>
      <c r="GP2365" s="292" t="s">
        <v>7494</v>
      </c>
      <c r="JU2365" s="55" t="s">
        <v>2339</v>
      </c>
    </row>
    <row r="2366" spans="1:281" x14ac:dyDescent="0.25">
      <c r="A2366" s="55">
        <v>2365</v>
      </c>
      <c r="B2366" s="12" t="s">
        <v>7067</v>
      </c>
      <c r="C2366" s="155">
        <v>111</v>
      </c>
      <c r="D2366" s="55" t="s">
        <v>4206</v>
      </c>
      <c r="E2366" s="90" t="s">
        <v>2328</v>
      </c>
      <c r="H2366" s="55">
        <v>2012</v>
      </c>
      <c r="I2366" s="55">
        <v>2010</v>
      </c>
      <c r="J2366" s="12"/>
      <c r="K2366" s="55" t="s">
        <v>2286</v>
      </c>
      <c r="L2366" s="55" t="s">
        <v>2745</v>
      </c>
      <c r="M2366" s="90">
        <v>-34.924981000000002</v>
      </c>
      <c r="N2366" s="90">
        <v>-62.646369</v>
      </c>
      <c r="O2366" s="90">
        <v>110.6</v>
      </c>
      <c r="Q2366" s="55">
        <v>16</v>
      </c>
      <c r="S2366" s="90">
        <v>892</v>
      </c>
      <c r="U2366" s="55" t="s">
        <v>1816</v>
      </c>
      <c r="V2366" s="55" t="s">
        <v>1816</v>
      </c>
      <c r="Z2366" s="55" t="s">
        <v>1346</v>
      </c>
      <c r="AA2366" s="90" t="s">
        <v>1675</v>
      </c>
      <c r="AD2366" s="90">
        <v>1.1399999999999999</v>
      </c>
      <c r="AH2366" s="55" t="s">
        <v>2291</v>
      </c>
      <c r="AM2366" s="55" t="s">
        <v>2343</v>
      </c>
      <c r="AN2366" s="185" t="s">
        <v>496</v>
      </c>
      <c r="AO2366" s="185" t="s">
        <v>5150</v>
      </c>
      <c r="AQ2366" s="55" t="s">
        <v>1545</v>
      </c>
      <c r="AR2366" s="55" t="s">
        <v>158</v>
      </c>
      <c r="AS2366" s="55" t="s">
        <v>158</v>
      </c>
      <c r="AT2366" s="181" t="s">
        <v>2290</v>
      </c>
      <c r="AU2366" s="181" t="s">
        <v>5150</v>
      </c>
      <c r="AV2366" s="185" t="s">
        <v>176</v>
      </c>
      <c r="AW2366" s="55" t="s">
        <v>2290</v>
      </c>
      <c r="AX2366" s="185" t="s">
        <v>176</v>
      </c>
      <c r="BE2366" s="226">
        <v>46</v>
      </c>
      <c r="BG2366" s="191" t="s">
        <v>479</v>
      </c>
      <c r="BK2366" s="55" t="s">
        <v>5976</v>
      </c>
      <c r="BN2366" s="55">
        <v>3</v>
      </c>
      <c r="BO2366" s="55">
        <v>3</v>
      </c>
      <c r="BU2366" s="55" t="s">
        <v>225</v>
      </c>
      <c r="BV2366" s="55" t="s">
        <v>2758</v>
      </c>
      <c r="CH2366" s="90">
        <v>1.1399999999999999</v>
      </c>
      <c r="CI2366" s="90">
        <v>1.1666666666666701</v>
      </c>
      <c r="CM2366" s="65">
        <f>(CR2366*1000000)/(100*100*CH2366*AA2366/100*1000000)*100</f>
        <v>1.504385964912281</v>
      </c>
      <c r="CN2366" s="65">
        <f>(CS2366*1000000)/(100*100*CI2366*AA2366/100*1000000)*100</f>
        <v>1.6371428571428523</v>
      </c>
      <c r="CR2366" s="65">
        <v>34.299999999999997</v>
      </c>
      <c r="CS2366" s="65">
        <v>38.200000000000003</v>
      </c>
      <c r="CV2366" s="65" t="s">
        <v>2052</v>
      </c>
      <c r="DA2366" s="65" t="s">
        <v>4463</v>
      </c>
      <c r="GP2366" s="292" t="s">
        <v>7494</v>
      </c>
      <c r="JU2366" s="55" t="s">
        <v>2339</v>
      </c>
    </row>
    <row r="2367" spans="1:281" x14ac:dyDescent="0.25">
      <c r="A2367" s="55">
        <v>2366</v>
      </c>
      <c r="B2367" s="12" t="s">
        <v>7067</v>
      </c>
      <c r="C2367" s="155">
        <v>111</v>
      </c>
      <c r="D2367" s="55" t="s">
        <v>4206</v>
      </c>
      <c r="E2367" s="90" t="s">
        <v>2328</v>
      </c>
      <c r="H2367" s="55">
        <v>2012</v>
      </c>
      <c r="I2367" s="55">
        <v>2010</v>
      </c>
      <c r="J2367" s="12"/>
      <c r="K2367" s="55" t="s">
        <v>2286</v>
      </c>
      <c r="L2367" s="55" t="s">
        <v>2745</v>
      </c>
      <c r="M2367" s="90">
        <v>-34.924981000000002</v>
      </c>
      <c r="N2367" s="90">
        <v>-62.646369</v>
      </c>
      <c r="O2367" s="90">
        <v>110.6</v>
      </c>
      <c r="Q2367" s="55">
        <v>16</v>
      </c>
      <c r="S2367" s="90">
        <v>892</v>
      </c>
      <c r="U2367" s="55" t="s">
        <v>1816</v>
      </c>
      <c r="V2367" s="55" t="s">
        <v>1816</v>
      </c>
      <c r="Z2367" s="55" t="s">
        <v>1346</v>
      </c>
      <c r="AA2367" s="90" t="s">
        <v>1675</v>
      </c>
      <c r="AD2367" s="90">
        <v>1.1399999999999999</v>
      </c>
      <c r="AH2367" s="55" t="s">
        <v>2291</v>
      </c>
      <c r="AM2367" s="55" t="s">
        <v>2343</v>
      </c>
      <c r="AN2367" s="185" t="s">
        <v>496</v>
      </c>
      <c r="AO2367" s="185" t="s">
        <v>5150</v>
      </c>
      <c r="AQ2367" s="55" t="s">
        <v>1545</v>
      </c>
      <c r="AR2367" s="55" t="s">
        <v>158</v>
      </c>
      <c r="AS2367" s="55" t="s">
        <v>158</v>
      </c>
      <c r="AT2367" s="181" t="s">
        <v>2290</v>
      </c>
      <c r="AU2367" s="181" t="s">
        <v>5150</v>
      </c>
      <c r="AV2367" s="185" t="s">
        <v>176</v>
      </c>
      <c r="AW2367" s="55" t="s">
        <v>2290</v>
      </c>
      <c r="AX2367" s="185" t="s">
        <v>176</v>
      </c>
      <c r="BE2367" s="226">
        <v>46</v>
      </c>
      <c r="BG2367" s="191" t="s">
        <v>479</v>
      </c>
      <c r="BK2367" s="55" t="s">
        <v>5976</v>
      </c>
      <c r="BN2367" s="55">
        <v>3</v>
      </c>
      <c r="BO2367" s="55">
        <v>3</v>
      </c>
      <c r="BU2367" s="55" t="s">
        <v>2303</v>
      </c>
      <c r="BV2367" s="55" t="s">
        <v>2758</v>
      </c>
      <c r="CH2367" s="90">
        <v>1.1399999999999999</v>
      </c>
      <c r="CI2367" s="90">
        <v>1.1666666666666701</v>
      </c>
      <c r="CM2367" s="65">
        <f>(CR2367*1000000)/(100*100*CH2367*AA2367/100*1000000)*100</f>
        <v>1.504385964912281</v>
      </c>
      <c r="CN2367" s="65">
        <f>(CS2367*1000000)/(100*100*CI2367*AA2367/100*1000000)*100</f>
        <v>1.6671428571428522</v>
      </c>
      <c r="CR2367" s="65">
        <v>34.299999999999997</v>
      </c>
      <c r="CS2367" s="65">
        <v>38.9</v>
      </c>
      <c r="CV2367" s="65" t="s">
        <v>2052</v>
      </c>
      <c r="DA2367" s="65" t="s">
        <v>4463</v>
      </c>
      <c r="GP2367" s="292" t="s">
        <v>7494</v>
      </c>
      <c r="JU2367" s="55" t="s">
        <v>2339</v>
      </c>
    </row>
    <row r="2368" spans="1:281" x14ac:dyDescent="0.25">
      <c r="A2368" s="55">
        <v>2367</v>
      </c>
      <c r="B2368" s="12" t="s">
        <v>7067</v>
      </c>
      <c r="C2368" s="155">
        <v>111</v>
      </c>
      <c r="D2368" s="55" t="s">
        <v>4206</v>
      </c>
      <c r="E2368" s="90" t="s">
        <v>2328</v>
      </c>
      <c r="H2368" s="55">
        <v>2012</v>
      </c>
      <c r="I2368" s="55">
        <v>2010</v>
      </c>
      <c r="J2368" s="12"/>
      <c r="K2368" s="55" t="s">
        <v>2286</v>
      </c>
      <c r="L2368" s="55" t="s">
        <v>2745</v>
      </c>
      <c r="M2368" s="90">
        <v>-34.924981000000002</v>
      </c>
      <c r="N2368" s="90">
        <v>-62.646369</v>
      </c>
      <c r="O2368" s="90">
        <v>110.6</v>
      </c>
      <c r="Q2368" s="55">
        <v>16</v>
      </c>
      <c r="S2368" s="90">
        <v>892</v>
      </c>
      <c r="U2368" s="55" t="s">
        <v>1816</v>
      </c>
      <c r="V2368" s="55" t="s">
        <v>1816</v>
      </c>
      <c r="Z2368" s="55" t="s">
        <v>1346</v>
      </c>
      <c r="AA2368" s="90" t="s">
        <v>1675</v>
      </c>
      <c r="AD2368" s="90">
        <v>1.1399999999999999</v>
      </c>
      <c r="AH2368" s="55" t="s">
        <v>2291</v>
      </c>
      <c r="AM2368" s="55" t="s">
        <v>2343</v>
      </c>
      <c r="AN2368" s="185" t="s">
        <v>2299</v>
      </c>
      <c r="AO2368" s="185" t="s">
        <v>5150</v>
      </c>
      <c r="AQ2368" s="55" t="s">
        <v>131</v>
      </c>
      <c r="AR2368" s="55" t="s">
        <v>158</v>
      </c>
      <c r="AS2368" s="55" t="s">
        <v>158</v>
      </c>
      <c r="AT2368" s="181" t="s">
        <v>2290</v>
      </c>
      <c r="AU2368" s="181" t="s">
        <v>5150</v>
      </c>
      <c r="AV2368" s="185" t="s">
        <v>176</v>
      </c>
      <c r="AW2368" s="55" t="s">
        <v>2290</v>
      </c>
      <c r="AX2368" s="185" t="s">
        <v>176</v>
      </c>
      <c r="BE2368" s="226">
        <v>0</v>
      </c>
      <c r="BG2368" s="191" t="s">
        <v>176</v>
      </c>
      <c r="BK2368" s="55" t="s">
        <v>5976</v>
      </c>
      <c r="BN2368" s="55">
        <v>3</v>
      </c>
      <c r="BO2368" s="55">
        <v>3</v>
      </c>
      <c r="BU2368" s="55" t="s">
        <v>224</v>
      </c>
      <c r="BV2368" s="55" t="s">
        <v>2758</v>
      </c>
      <c r="CH2368" s="90">
        <v>1.1399999999999999</v>
      </c>
      <c r="CI2368" s="90">
        <v>1.1666666666666701</v>
      </c>
      <c r="CM2368" s="65">
        <f>(CR2368*1000000)/(100*100*CH2368*AA2368/100*1000000)*100</f>
        <v>1.4912280701754388</v>
      </c>
      <c r="CN2368" s="65">
        <f>(CS2368*1000000)/(100*100*CI2368*AA2368/100*1000000)*100</f>
        <v>1.4828571428571387</v>
      </c>
      <c r="CR2368" s="65">
        <v>34</v>
      </c>
      <c r="CS2368" s="65">
        <v>34.6</v>
      </c>
      <c r="CV2368" s="65" t="s">
        <v>2052</v>
      </c>
      <c r="DA2368" s="65" t="s">
        <v>4463</v>
      </c>
      <c r="GP2368" s="292" t="s">
        <v>7494</v>
      </c>
      <c r="JU2368" s="55" t="s">
        <v>2339</v>
      </c>
    </row>
    <row r="2369" spans="1:281" x14ac:dyDescent="0.25">
      <c r="A2369" s="55">
        <v>2368</v>
      </c>
      <c r="B2369" s="12" t="s">
        <v>7067</v>
      </c>
      <c r="C2369" s="155">
        <v>111</v>
      </c>
      <c r="D2369" s="55" t="s">
        <v>4206</v>
      </c>
      <c r="E2369" s="90" t="s">
        <v>2328</v>
      </c>
      <c r="H2369" s="55">
        <v>2012</v>
      </c>
      <c r="I2369" s="55">
        <v>2010</v>
      </c>
      <c r="J2369" s="12"/>
      <c r="K2369" s="55" t="s">
        <v>2286</v>
      </c>
      <c r="L2369" s="55" t="s">
        <v>2745</v>
      </c>
      <c r="M2369" s="90">
        <v>-34.924981000000002</v>
      </c>
      <c r="N2369" s="90">
        <v>-62.646369</v>
      </c>
      <c r="O2369" s="90">
        <v>110.6</v>
      </c>
      <c r="Q2369" s="55">
        <v>16</v>
      </c>
      <c r="S2369" s="90">
        <v>892</v>
      </c>
      <c r="U2369" s="55" t="s">
        <v>1816</v>
      </c>
      <c r="V2369" s="55" t="s">
        <v>1816</v>
      </c>
      <c r="Z2369" s="55" t="s">
        <v>1346</v>
      </c>
      <c r="AA2369" s="90" t="s">
        <v>1675</v>
      </c>
      <c r="AD2369" s="90">
        <v>1.1399999999999999</v>
      </c>
      <c r="AH2369" s="55" t="s">
        <v>2291</v>
      </c>
      <c r="AM2369" s="55" t="s">
        <v>2343</v>
      </c>
      <c r="AN2369" s="185" t="s">
        <v>2299</v>
      </c>
      <c r="AO2369" s="185" t="s">
        <v>5150</v>
      </c>
      <c r="AQ2369" s="55" t="s">
        <v>131</v>
      </c>
      <c r="AR2369" s="55" t="s">
        <v>158</v>
      </c>
      <c r="AS2369" s="55" t="s">
        <v>158</v>
      </c>
      <c r="AT2369" s="181" t="s">
        <v>2290</v>
      </c>
      <c r="AU2369" s="181" t="s">
        <v>5150</v>
      </c>
      <c r="AV2369" s="185" t="s">
        <v>176</v>
      </c>
      <c r="AW2369" s="55" t="s">
        <v>2290</v>
      </c>
      <c r="AX2369" s="185" t="s">
        <v>176</v>
      </c>
      <c r="BE2369" s="226">
        <v>0</v>
      </c>
      <c r="BG2369" s="191" t="s">
        <v>176</v>
      </c>
      <c r="BK2369" s="55" t="s">
        <v>5976</v>
      </c>
      <c r="BN2369" s="55">
        <v>3</v>
      </c>
      <c r="BO2369" s="55">
        <v>3</v>
      </c>
      <c r="BU2369" s="55" t="s">
        <v>225</v>
      </c>
      <c r="BV2369" s="55" t="s">
        <v>2758</v>
      </c>
      <c r="CH2369" s="90">
        <v>1.1399999999999999</v>
      </c>
      <c r="CI2369" s="90">
        <v>1.1666666666666701</v>
      </c>
      <c r="CM2369" s="65">
        <f>(CR2369*1000000)/(100*100*CH2369*AA2369/100*1000000)*100</f>
        <v>1.4912280701754388</v>
      </c>
      <c r="CN2369" s="65">
        <f>(CS2369*1000000)/(100*100*CI2369*AA2369/100*1000000)*100</f>
        <v>1.6585714285714239</v>
      </c>
      <c r="CR2369" s="65">
        <v>34</v>
      </c>
      <c r="CS2369" s="65">
        <v>38.700000000000003</v>
      </c>
      <c r="CV2369" s="65" t="s">
        <v>2052</v>
      </c>
      <c r="DA2369" s="65" t="s">
        <v>4463</v>
      </c>
      <c r="GP2369" s="292" t="s">
        <v>7494</v>
      </c>
      <c r="JU2369" s="55" t="s">
        <v>2339</v>
      </c>
    </row>
    <row r="2370" spans="1:281" x14ac:dyDescent="0.25">
      <c r="A2370" s="55">
        <v>2369</v>
      </c>
      <c r="B2370" s="12" t="s">
        <v>7067</v>
      </c>
      <c r="C2370" s="155">
        <v>111</v>
      </c>
      <c r="D2370" s="55" t="s">
        <v>4206</v>
      </c>
      <c r="E2370" s="90" t="s">
        <v>2328</v>
      </c>
      <c r="H2370" s="55">
        <v>2012</v>
      </c>
      <c r="I2370" s="55">
        <v>2010</v>
      </c>
      <c r="J2370" s="12"/>
      <c r="K2370" s="55" t="s">
        <v>2286</v>
      </c>
      <c r="L2370" s="55" t="s">
        <v>2745</v>
      </c>
      <c r="M2370" s="90">
        <v>-34.924981000000002</v>
      </c>
      <c r="N2370" s="90">
        <v>-62.646369</v>
      </c>
      <c r="O2370" s="90">
        <v>110.6</v>
      </c>
      <c r="Q2370" s="55">
        <v>16</v>
      </c>
      <c r="S2370" s="90">
        <v>892</v>
      </c>
      <c r="U2370" s="55" t="s">
        <v>1816</v>
      </c>
      <c r="V2370" s="55" t="s">
        <v>1816</v>
      </c>
      <c r="Z2370" s="55" t="s">
        <v>1346</v>
      </c>
      <c r="AA2370" s="90" t="s">
        <v>1675</v>
      </c>
      <c r="AD2370" s="90">
        <v>1.1399999999999999</v>
      </c>
      <c r="AH2370" s="55" t="s">
        <v>2291</v>
      </c>
      <c r="AM2370" s="55" t="s">
        <v>2343</v>
      </c>
      <c r="AN2370" s="185" t="s">
        <v>2299</v>
      </c>
      <c r="AO2370" s="185" t="s">
        <v>5150</v>
      </c>
      <c r="AQ2370" s="55" t="s">
        <v>131</v>
      </c>
      <c r="AR2370" s="55" t="s">
        <v>158</v>
      </c>
      <c r="AS2370" s="55" t="s">
        <v>158</v>
      </c>
      <c r="AT2370" s="181" t="s">
        <v>2290</v>
      </c>
      <c r="AU2370" s="181" t="s">
        <v>5150</v>
      </c>
      <c r="AV2370" s="185" t="s">
        <v>176</v>
      </c>
      <c r="AW2370" s="55" t="s">
        <v>2290</v>
      </c>
      <c r="AX2370" s="185" t="s">
        <v>176</v>
      </c>
      <c r="BE2370" s="226">
        <v>0</v>
      </c>
      <c r="BG2370" s="191" t="s">
        <v>176</v>
      </c>
      <c r="BK2370" s="55" t="s">
        <v>5976</v>
      </c>
      <c r="BN2370" s="55">
        <v>3</v>
      </c>
      <c r="BO2370" s="55">
        <v>3</v>
      </c>
      <c r="BU2370" s="55" t="s">
        <v>2303</v>
      </c>
      <c r="BV2370" s="55" t="s">
        <v>2758</v>
      </c>
      <c r="CH2370" s="90">
        <v>1.1399999999999999</v>
      </c>
      <c r="CI2370" s="90">
        <v>1.1666666666666701</v>
      </c>
      <c r="CM2370" s="65">
        <f>(CR2370*1000000)/(100*100*CH2370*AA2370/100*1000000)*100</f>
        <v>1.4912280701754388</v>
      </c>
      <c r="CN2370" s="65">
        <f>(CS2370*1000000)/(100*100*CI2370*AA2370/100*1000000)*100</f>
        <v>1.6414285714285666</v>
      </c>
      <c r="CR2370" s="65">
        <v>34</v>
      </c>
      <c r="CS2370" s="65">
        <v>38.299999999999997</v>
      </c>
      <c r="CV2370" s="65" t="s">
        <v>2052</v>
      </c>
      <c r="DA2370" s="65" t="s">
        <v>4463</v>
      </c>
      <c r="GP2370" s="292" t="s">
        <v>7494</v>
      </c>
      <c r="JU2370" s="55" t="s">
        <v>2339</v>
      </c>
    </row>
    <row r="2371" spans="1:281" x14ac:dyDescent="0.25">
      <c r="A2371" s="55">
        <v>2370</v>
      </c>
      <c r="B2371" s="12" t="s">
        <v>7067</v>
      </c>
      <c r="C2371" s="155">
        <v>111</v>
      </c>
      <c r="D2371" s="55" t="s">
        <v>4206</v>
      </c>
      <c r="E2371" s="90" t="s">
        <v>2328</v>
      </c>
      <c r="H2371" s="55">
        <v>2012</v>
      </c>
      <c r="I2371" s="55">
        <v>2010</v>
      </c>
      <c r="J2371" s="12"/>
      <c r="K2371" s="55" t="s">
        <v>2286</v>
      </c>
      <c r="L2371" s="55" t="s">
        <v>2745</v>
      </c>
      <c r="M2371" s="90">
        <v>-34.924981000000002</v>
      </c>
      <c r="N2371" s="90">
        <v>-62.646369</v>
      </c>
      <c r="O2371" s="90">
        <v>110.6</v>
      </c>
      <c r="Q2371" s="55">
        <v>16</v>
      </c>
      <c r="S2371" s="90">
        <v>892</v>
      </c>
      <c r="U2371" s="55" t="s">
        <v>1816</v>
      </c>
      <c r="V2371" s="55" t="s">
        <v>1816</v>
      </c>
      <c r="Z2371" s="55" t="s">
        <v>1346</v>
      </c>
      <c r="AA2371" s="90" t="s">
        <v>1675</v>
      </c>
      <c r="AD2371" s="90">
        <v>1.1399999999999999</v>
      </c>
      <c r="AH2371" s="55" t="s">
        <v>2291</v>
      </c>
      <c r="AM2371" s="55" t="s">
        <v>2343</v>
      </c>
      <c r="AN2371" s="185" t="s">
        <v>2299</v>
      </c>
      <c r="AO2371" s="185" t="s">
        <v>5150</v>
      </c>
      <c r="AQ2371" s="55" t="s">
        <v>131</v>
      </c>
      <c r="AR2371" s="55" t="s">
        <v>158</v>
      </c>
      <c r="AS2371" s="55" t="s">
        <v>158</v>
      </c>
      <c r="AT2371" s="181" t="s">
        <v>2290</v>
      </c>
      <c r="AU2371" s="181" t="s">
        <v>5150</v>
      </c>
      <c r="AV2371" s="185" t="s">
        <v>176</v>
      </c>
      <c r="AW2371" s="55" t="s">
        <v>2290</v>
      </c>
      <c r="AX2371" s="185" t="s">
        <v>176</v>
      </c>
      <c r="BE2371" s="226">
        <v>46</v>
      </c>
      <c r="BG2371" s="191" t="s">
        <v>479</v>
      </c>
      <c r="BK2371" s="55" t="s">
        <v>5976</v>
      </c>
      <c r="BN2371" s="55">
        <v>3</v>
      </c>
      <c r="BO2371" s="55">
        <v>3</v>
      </c>
      <c r="BU2371" s="55" t="s">
        <v>224</v>
      </c>
      <c r="BV2371" s="55" t="s">
        <v>2758</v>
      </c>
      <c r="CH2371" s="90">
        <v>1.1399999999999999</v>
      </c>
      <c r="CI2371" s="90">
        <v>1.1666666666666701</v>
      </c>
      <c r="CM2371" s="65">
        <f>(CR2371*1000000)/(100*100*CH2371*AA2371/100*1000000)*100</f>
        <v>1.504385964912281</v>
      </c>
      <c r="CN2371" s="65">
        <f>(CS2371*1000000)/(100*100*CI2371*AA2371/100*1000000)*100</f>
        <v>1.5685714285714241</v>
      </c>
      <c r="CR2371" s="65">
        <v>34.299999999999997</v>
      </c>
      <c r="CS2371" s="65">
        <v>36.6</v>
      </c>
      <c r="CV2371" s="65" t="s">
        <v>2052</v>
      </c>
      <c r="DA2371" s="65" t="s">
        <v>4463</v>
      </c>
      <c r="GP2371" s="292" t="s">
        <v>7494</v>
      </c>
      <c r="JU2371" s="55" t="s">
        <v>2339</v>
      </c>
    </row>
    <row r="2372" spans="1:281" x14ac:dyDescent="0.25">
      <c r="A2372" s="55">
        <v>2371</v>
      </c>
      <c r="B2372" s="12" t="s">
        <v>7067</v>
      </c>
      <c r="C2372" s="155">
        <v>111</v>
      </c>
      <c r="D2372" s="55" t="s">
        <v>4206</v>
      </c>
      <c r="E2372" s="90" t="s">
        <v>2328</v>
      </c>
      <c r="H2372" s="55">
        <v>2012</v>
      </c>
      <c r="I2372" s="55">
        <v>2010</v>
      </c>
      <c r="J2372" s="12"/>
      <c r="K2372" s="55" t="s">
        <v>2286</v>
      </c>
      <c r="L2372" s="55" t="s">
        <v>2745</v>
      </c>
      <c r="M2372" s="90">
        <v>-34.924981000000002</v>
      </c>
      <c r="N2372" s="90">
        <v>-62.646369</v>
      </c>
      <c r="O2372" s="90">
        <v>110.6</v>
      </c>
      <c r="Q2372" s="55">
        <v>16</v>
      </c>
      <c r="S2372" s="90">
        <v>892</v>
      </c>
      <c r="U2372" s="55" t="s">
        <v>1816</v>
      </c>
      <c r="V2372" s="55" t="s">
        <v>1816</v>
      </c>
      <c r="Z2372" s="55" t="s">
        <v>1346</v>
      </c>
      <c r="AA2372" s="90" t="s">
        <v>1675</v>
      </c>
      <c r="AD2372" s="90">
        <v>1.1399999999999999</v>
      </c>
      <c r="AH2372" s="55" t="s">
        <v>2291</v>
      </c>
      <c r="AM2372" s="55" t="s">
        <v>2343</v>
      </c>
      <c r="AN2372" s="185" t="s">
        <v>2299</v>
      </c>
      <c r="AO2372" s="185" t="s">
        <v>5150</v>
      </c>
      <c r="AQ2372" s="55" t="s">
        <v>131</v>
      </c>
      <c r="AR2372" s="55" t="s">
        <v>158</v>
      </c>
      <c r="AS2372" s="55" t="s">
        <v>158</v>
      </c>
      <c r="AT2372" s="181" t="s">
        <v>2290</v>
      </c>
      <c r="AU2372" s="181" t="s">
        <v>5150</v>
      </c>
      <c r="AV2372" s="185" t="s">
        <v>176</v>
      </c>
      <c r="AW2372" s="55" t="s">
        <v>2290</v>
      </c>
      <c r="AX2372" s="185" t="s">
        <v>176</v>
      </c>
      <c r="BE2372" s="226">
        <v>46</v>
      </c>
      <c r="BG2372" s="191" t="s">
        <v>479</v>
      </c>
      <c r="BK2372" s="55" t="s">
        <v>5976</v>
      </c>
      <c r="BN2372" s="55">
        <v>3</v>
      </c>
      <c r="BO2372" s="55">
        <v>3</v>
      </c>
      <c r="BU2372" s="55" t="s">
        <v>225</v>
      </c>
      <c r="BV2372" s="55" t="s">
        <v>2758</v>
      </c>
      <c r="CH2372" s="90">
        <v>1.1399999999999999</v>
      </c>
      <c r="CI2372" s="90">
        <v>1.1666666666666701</v>
      </c>
      <c r="CM2372" s="65">
        <f>(CR2372*1000000)/(100*100*CH2372*AA2372/100*1000000)*100</f>
        <v>1.504385964912281</v>
      </c>
      <c r="CN2372" s="65">
        <f>(CS2372*1000000)/(100*100*CI2372*AA2372/100*1000000)*100</f>
        <v>1.645714285714281</v>
      </c>
      <c r="CR2372" s="65">
        <v>34.299999999999997</v>
      </c>
      <c r="CS2372" s="65">
        <v>38.4</v>
      </c>
      <c r="CV2372" s="65" t="s">
        <v>2052</v>
      </c>
      <c r="DA2372" s="65" t="s">
        <v>4463</v>
      </c>
      <c r="GP2372" s="292" t="s">
        <v>7494</v>
      </c>
      <c r="JU2372" s="55" t="s">
        <v>2339</v>
      </c>
    </row>
    <row r="2373" spans="1:281" x14ac:dyDescent="0.25">
      <c r="A2373" s="55">
        <v>2372</v>
      </c>
      <c r="B2373" s="12" t="s">
        <v>7067</v>
      </c>
      <c r="C2373" s="155">
        <v>111</v>
      </c>
      <c r="D2373" s="55" t="s">
        <v>4206</v>
      </c>
      <c r="E2373" s="90" t="s">
        <v>2328</v>
      </c>
      <c r="H2373" s="55">
        <v>2012</v>
      </c>
      <c r="I2373" s="55">
        <v>2010</v>
      </c>
      <c r="J2373" s="12"/>
      <c r="K2373" s="55" t="s">
        <v>2286</v>
      </c>
      <c r="L2373" s="55" t="s">
        <v>2745</v>
      </c>
      <c r="M2373" s="90">
        <v>-34.924981000000002</v>
      </c>
      <c r="N2373" s="90">
        <v>-62.646369</v>
      </c>
      <c r="O2373" s="90">
        <v>110.6</v>
      </c>
      <c r="Q2373" s="55">
        <v>16</v>
      </c>
      <c r="S2373" s="90">
        <v>892</v>
      </c>
      <c r="U2373" s="55" t="s">
        <v>1816</v>
      </c>
      <c r="V2373" s="55" t="s">
        <v>1816</v>
      </c>
      <c r="Z2373" s="55" t="s">
        <v>1346</v>
      </c>
      <c r="AA2373" s="90" t="s">
        <v>1675</v>
      </c>
      <c r="AD2373" s="90">
        <v>1.1399999999999999</v>
      </c>
      <c r="AH2373" s="55" t="s">
        <v>2291</v>
      </c>
      <c r="AM2373" s="55" t="s">
        <v>2343</v>
      </c>
      <c r="AN2373" s="185" t="s">
        <v>2299</v>
      </c>
      <c r="AO2373" s="185" t="s">
        <v>5150</v>
      </c>
      <c r="AQ2373" s="55" t="s">
        <v>131</v>
      </c>
      <c r="AR2373" s="55" t="s">
        <v>158</v>
      </c>
      <c r="AS2373" s="55" t="s">
        <v>158</v>
      </c>
      <c r="AT2373" s="181" t="s">
        <v>2290</v>
      </c>
      <c r="AU2373" s="181" t="s">
        <v>5150</v>
      </c>
      <c r="AV2373" s="185" t="s">
        <v>176</v>
      </c>
      <c r="AW2373" s="55" t="s">
        <v>2290</v>
      </c>
      <c r="AX2373" s="185" t="s">
        <v>176</v>
      </c>
      <c r="BE2373" s="226">
        <v>46</v>
      </c>
      <c r="BG2373" s="191" t="s">
        <v>479</v>
      </c>
      <c r="BK2373" s="55" t="s">
        <v>5976</v>
      </c>
      <c r="BN2373" s="55">
        <v>3</v>
      </c>
      <c r="BO2373" s="55">
        <v>3</v>
      </c>
      <c r="BU2373" s="55" t="s">
        <v>2303</v>
      </c>
      <c r="BV2373" s="55" t="s">
        <v>2758</v>
      </c>
      <c r="CH2373" s="90">
        <v>1.1399999999999999</v>
      </c>
      <c r="CI2373" s="90">
        <v>1.1666666666666701</v>
      </c>
      <c r="CM2373" s="65">
        <f>(CR2373*1000000)/(100*100*CH2373*AA2373/100*1000000)*100</f>
        <v>1.504385964912281</v>
      </c>
      <c r="CN2373" s="65">
        <f>(CS2373*1000000)/(100*100*CI2373*AA2373/100*1000000)*100</f>
        <v>1.8257142857142805</v>
      </c>
      <c r="CR2373" s="65">
        <v>34.299999999999997</v>
      </c>
      <c r="CS2373" s="65">
        <v>42.6</v>
      </c>
      <c r="CV2373" s="65" t="s">
        <v>2052</v>
      </c>
      <c r="DA2373" s="65" t="s">
        <v>4463</v>
      </c>
      <c r="GP2373" s="292" t="s">
        <v>7494</v>
      </c>
      <c r="JU2373" s="55" t="s">
        <v>2339</v>
      </c>
    </row>
    <row r="2374" spans="1:281" x14ac:dyDescent="0.25">
      <c r="A2374" s="55">
        <v>2373</v>
      </c>
      <c r="B2374" s="12" t="s">
        <v>7067</v>
      </c>
      <c r="C2374" s="155">
        <v>111</v>
      </c>
      <c r="D2374" s="55" t="s">
        <v>4206</v>
      </c>
      <c r="E2374" s="90" t="s">
        <v>2328</v>
      </c>
      <c r="H2374" s="55">
        <v>2012</v>
      </c>
      <c r="I2374" s="55">
        <v>2010</v>
      </c>
      <c r="J2374" s="12"/>
      <c r="K2374" s="55" t="s">
        <v>2286</v>
      </c>
      <c r="L2374" s="55" t="s">
        <v>2745</v>
      </c>
      <c r="M2374" s="90">
        <v>-34.924981000000002</v>
      </c>
      <c r="N2374" s="90">
        <v>-62.646369</v>
      </c>
      <c r="O2374" s="90">
        <v>110.6</v>
      </c>
      <c r="Q2374" s="55">
        <v>16</v>
      </c>
      <c r="S2374" s="90">
        <v>892</v>
      </c>
      <c r="U2374" s="55" t="s">
        <v>1816</v>
      </c>
      <c r="V2374" s="55" t="s">
        <v>1816</v>
      </c>
      <c r="Z2374" s="55" t="s">
        <v>1346</v>
      </c>
      <c r="AA2374" s="90" t="s">
        <v>1675</v>
      </c>
      <c r="AD2374" s="90">
        <v>1.1399999999999999</v>
      </c>
      <c r="AH2374" s="55" t="s">
        <v>2291</v>
      </c>
      <c r="AM2374" s="55" t="s">
        <v>2343</v>
      </c>
      <c r="AN2374" s="185" t="s">
        <v>2304</v>
      </c>
      <c r="AO2374" s="185" t="s">
        <v>5150</v>
      </c>
      <c r="AQ2374" s="55" t="s">
        <v>131</v>
      </c>
      <c r="AR2374" s="55" t="s">
        <v>158</v>
      </c>
      <c r="AS2374" s="55" t="s">
        <v>158</v>
      </c>
      <c r="AT2374" s="181" t="s">
        <v>2290</v>
      </c>
      <c r="AU2374" s="181" t="s">
        <v>5150</v>
      </c>
      <c r="AV2374" s="185" t="s">
        <v>176</v>
      </c>
      <c r="AW2374" s="55" t="s">
        <v>2290</v>
      </c>
      <c r="AX2374" s="185" t="s">
        <v>176</v>
      </c>
      <c r="BE2374" s="226">
        <v>0</v>
      </c>
      <c r="BG2374" s="191" t="s">
        <v>176</v>
      </c>
      <c r="BK2374" s="55" t="s">
        <v>5976</v>
      </c>
      <c r="BN2374" s="55">
        <v>3</v>
      </c>
      <c r="BO2374" s="55">
        <v>3</v>
      </c>
      <c r="BU2374" s="55" t="s">
        <v>224</v>
      </c>
      <c r="BV2374" s="55" t="s">
        <v>2758</v>
      </c>
      <c r="CH2374" s="90">
        <v>1.1399999999999999</v>
      </c>
      <c r="CI2374" s="90">
        <v>1.1666666666666701</v>
      </c>
      <c r="CM2374" s="65">
        <f>(CR2374*1000000)/(100*100*CH2374*AA2374/100*1000000)*100</f>
        <v>1.4912280701754388</v>
      </c>
      <c r="CN2374" s="65">
        <f>(CS2374*1000000)/(100*100*CI2374*AA2374/100*1000000)*100</f>
        <v>1.5514285714285667</v>
      </c>
      <c r="CR2374" s="65">
        <v>34</v>
      </c>
      <c r="CS2374" s="65">
        <v>36.200000000000003</v>
      </c>
      <c r="CV2374" s="65" t="s">
        <v>2052</v>
      </c>
      <c r="DA2374" s="65" t="s">
        <v>4463</v>
      </c>
      <c r="GP2374" s="292" t="s">
        <v>7494</v>
      </c>
      <c r="JU2374" s="55" t="s">
        <v>2339</v>
      </c>
    </row>
    <row r="2375" spans="1:281" x14ac:dyDescent="0.25">
      <c r="A2375" s="55">
        <v>2374</v>
      </c>
      <c r="B2375" s="12" t="s">
        <v>7067</v>
      </c>
      <c r="C2375" s="155">
        <v>111</v>
      </c>
      <c r="D2375" s="55" t="s">
        <v>4206</v>
      </c>
      <c r="E2375" s="90" t="s">
        <v>2328</v>
      </c>
      <c r="H2375" s="55">
        <v>2012</v>
      </c>
      <c r="I2375" s="55">
        <v>2010</v>
      </c>
      <c r="J2375" s="12"/>
      <c r="K2375" s="55" t="s">
        <v>2286</v>
      </c>
      <c r="L2375" s="55" t="s">
        <v>2745</v>
      </c>
      <c r="M2375" s="90">
        <v>-34.924981000000002</v>
      </c>
      <c r="N2375" s="90">
        <v>-62.646369</v>
      </c>
      <c r="O2375" s="90">
        <v>110.6</v>
      </c>
      <c r="Q2375" s="55">
        <v>16</v>
      </c>
      <c r="S2375" s="90">
        <v>892</v>
      </c>
      <c r="U2375" s="55" t="s">
        <v>1816</v>
      </c>
      <c r="V2375" s="55" t="s">
        <v>1816</v>
      </c>
      <c r="Z2375" s="55" t="s">
        <v>1346</v>
      </c>
      <c r="AA2375" s="90" t="s">
        <v>1675</v>
      </c>
      <c r="AD2375" s="90">
        <v>1.1399999999999999</v>
      </c>
      <c r="AH2375" s="55" t="s">
        <v>2291</v>
      </c>
      <c r="AM2375" s="55" t="s">
        <v>2343</v>
      </c>
      <c r="AN2375" s="185" t="s">
        <v>2304</v>
      </c>
      <c r="AO2375" s="185" t="s">
        <v>5150</v>
      </c>
      <c r="AQ2375" s="55" t="s">
        <v>131</v>
      </c>
      <c r="AR2375" s="55" t="s">
        <v>158</v>
      </c>
      <c r="AS2375" s="55" t="s">
        <v>158</v>
      </c>
      <c r="AT2375" s="181" t="s">
        <v>2290</v>
      </c>
      <c r="AU2375" s="181" t="s">
        <v>5150</v>
      </c>
      <c r="AV2375" s="185" t="s">
        <v>176</v>
      </c>
      <c r="AW2375" s="55" t="s">
        <v>2290</v>
      </c>
      <c r="AX2375" s="185" t="s">
        <v>176</v>
      </c>
      <c r="BE2375" s="226">
        <v>0</v>
      </c>
      <c r="BG2375" s="191" t="s">
        <v>176</v>
      </c>
      <c r="BK2375" s="55" t="s">
        <v>5976</v>
      </c>
      <c r="BN2375" s="55">
        <v>3</v>
      </c>
      <c r="BO2375" s="55">
        <v>3</v>
      </c>
      <c r="BU2375" s="55" t="s">
        <v>225</v>
      </c>
      <c r="BV2375" s="55" t="s">
        <v>2758</v>
      </c>
      <c r="CH2375" s="90">
        <v>1.1399999999999999</v>
      </c>
      <c r="CI2375" s="90">
        <v>1.1666666666666701</v>
      </c>
      <c r="CM2375" s="65">
        <f>(CR2375*1000000)/(100*100*CH2375*AA2375/100*1000000)*100</f>
        <v>1.4912280701754388</v>
      </c>
      <c r="CN2375" s="65">
        <f>(CS2375*1000000)/(100*100*CI2375*AA2375/100*1000000)*100</f>
        <v>1.6328571428571379</v>
      </c>
      <c r="CR2375" s="65">
        <v>34</v>
      </c>
      <c r="CS2375" s="65">
        <v>38.1</v>
      </c>
      <c r="CV2375" s="65" t="s">
        <v>2052</v>
      </c>
      <c r="DA2375" s="65" t="s">
        <v>4463</v>
      </c>
      <c r="GP2375" s="292" t="s">
        <v>7494</v>
      </c>
      <c r="JU2375" s="55" t="s">
        <v>2339</v>
      </c>
    </row>
    <row r="2376" spans="1:281" x14ac:dyDescent="0.25">
      <c r="A2376" s="55">
        <v>2375</v>
      </c>
      <c r="B2376" s="12" t="s">
        <v>7067</v>
      </c>
      <c r="C2376" s="155">
        <v>111</v>
      </c>
      <c r="D2376" s="55" t="s">
        <v>4206</v>
      </c>
      <c r="E2376" s="90" t="s">
        <v>2328</v>
      </c>
      <c r="H2376" s="55">
        <v>2012</v>
      </c>
      <c r="I2376" s="55">
        <v>2010</v>
      </c>
      <c r="J2376" s="12"/>
      <c r="K2376" s="55" t="s">
        <v>2286</v>
      </c>
      <c r="L2376" s="55" t="s">
        <v>2745</v>
      </c>
      <c r="M2376" s="90">
        <v>-34.924981000000002</v>
      </c>
      <c r="N2376" s="90">
        <v>-62.646369</v>
      </c>
      <c r="O2376" s="90">
        <v>110.6</v>
      </c>
      <c r="Q2376" s="55">
        <v>16</v>
      </c>
      <c r="S2376" s="90">
        <v>892</v>
      </c>
      <c r="U2376" s="55" t="s">
        <v>1816</v>
      </c>
      <c r="V2376" s="55" t="s">
        <v>1816</v>
      </c>
      <c r="Z2376" s="55" t="s">
        <v>1346</v>
      </c>
      <c r="AA2376" s="90" t="s">
        <v>1675</v>
      </c>
      <c r="AD2376" s="90">
        <v>1.1399999999999999</v>
      </c>
      <c r="AH2376" s="55" t="s">
        <v>2291</v>
      </c>
      <c r="AM2376" s="55" t="s">
        <v>2343</v>
      </c>
      <c r="AN2376" s="185" t="s">
        <v>2304</v>
      </c>
      <c r="AO2376" s="185" t="s">
        <v>5150</v>
      </c>
      <c r="AQ2376" s="55" t="s">
        <v>131</v>
      </c>
      <c r="AR2376" s="55" t="s">
        <v>158</v>
      </c>
      <c r="AS2376" s="55" t="s">
        <v>158</v>
      </c>
      <c r="AT2376" s="181" t="s">
        <v>2290</v>
      </c>
      <c r="AU2376" s="181" t="s">
        <v>5150</v>
      </c>
      <c r="AV2376" s="185" t="s">
        <v>176</v>
      </c>
      <c r="AW2376" s="55" t="s">
        <v>2290</v>
      </c>
      <c r="AX2376" s="185" t="s">
        <v>176</v>
      </c>
      <c r="BE2376" s="226">
        <v>0</v>
      </c>
      <c r="BG2376" s="191" t="s">
        <v>176</v>
      </c>
      <c r="BK2376" s="55" t="s">
        <v>5976</v>
      </c>
      <c r="BN2376" s="55">
        <v>3</v>
      </c>
      <c r="BO2376" s="55">
        <v>3</v>
      </c>
      <c r="BU2376" s="55" t="s">
        <v>2303</v>
      </c>
      <c r="BV2376" s="55" t="s">
        <v>2758</v>
      </c>
      <c r="CH2376" s="90">
        <v>1.1399999999999999</v>
      </c>
      <c r="CI2376" s="90">
        <v>1.1666666666666701</v>
      </c>
      <c r="CM2376" s="65">
        <f>(CR2376*1000000)/(100*100*CH2376*AA2376/100*1000000)*100</f>
        <v>1.4912280701754388</v>
      </c>
      <c r="CN2376" s="65">
        <f>(CS2376*1000000)/(100*100*CI2376*AA2376/100*1000000)*100</f>
        <v>1.6114285714285668</v>
      </c>
      <c r="CR2376" s="65">
        <v>34</v>
      </c>
      <c r="CS2376" s="65">
        <v>37.6</v>
      </c>
      <c r="CV2376" s="65" t="s">
        <v>2052</v>
      </c>
      <c r="DA2376" s="65" t="s">
        <v>4463</v>
      </c>
      <c r="GP2376" s="292" t="s">
        <v>7494</v>
      </c>
      <c r="JU2376" s="55" t="s">
        <v>2339</v>
      </c>
    </row>
    <row r="2377" spans="1:281" x14ac:dyDescent="0.25">
      <c r="A2377" s="55">
        <v>2376</v>
      </c>
      <c r="B2377" s="12" t="s">
        <v>7067</v>
      </c>
      <c r="C2377" s="155">
        <v>111</v>
      </c>
      <c r="D2377" s="55" t="s">
        <v>4206</v>
      </c>
      <c r="E2377" s="90" t="s">
        <v>2328</v>
      </c>
      <c r="H2377" s="55">
        <v>2012</v>
      </c>
      <c r="I2377" s="55">
        <v>2010</v>
      </c>
      <c r="J2377" s="12"/>
      <c r="K2377" s="55" t="s">
        <v>2286</v>
      </c>
      <c r="L2377" s="55" t="s">
        <v>2745</v>
      </c>
      <c r="M2377" s="90">
        <v>-34.924981000000002</v>
      </c>
      <c r="N2377" s="90">
        <v>-62.646369</v>
      </c>
      <c r="O2377" s="90">
        <v>110.6</v>
      </c>
      <c r="Q2377" s="55">
        <v>16</v>
      </c>
      <c r="S2377" s="90">
        <v>892</v>
      </c>
      <c r="U2377" s="55" t="s">
        <v>1816</v>
      </c>
      <c r="V2377" s="55" t="s">
        <v>1816</v>
      </c>
      <c r="Z2377" s="55" t="s">
        <v>1346</v>
      </c>
      <c r="AA2377" s="90" t="s">
        <v>1675</v>
      </c>
      <c r="AD2377" s="90">
        <v>1.1399999999999999</v>
      </c>
      <c r="AH2377" s="55" t="s">
        <v>2291</v>
      </c>
      <c r="AM2377" s="55" t="s">
        <v>2343</v>
      </c>
      <c r="AN2377" s="185" t="s">
        <v>2304</v>
      </c>
      <c r="AO2377" s="185" t="s">
        <v>5150</v>
      </c>
      <c r="AQ2377" s="55" t="s">
        <v>131</v>
      </c>
      <c r="AR2377" s="55" t="s">
        <v>158</v>
      </c>
      <c r="AS2377" s="55" t="s">
        <v>158</v>
      </c>
      <c r="AT2377" s="181" t="s">
        <v>2290</v>
      </c>
      <c r="AU2377" s="181" t="s">
        <v>5150</v>
      </c>
      <c r="AV2377" s="185" t="s">
        <v>176</v>
      </c>
      <c r="AW2377" s="55" t="s">
        <v>2290</v>
      </c>
      <c r="AX2377" s="185" t="s">
        <v>176</v>
      </c>
      <c r="BE2377" s="226">
        <v>46</v>
      </c>
      <c r="BG2377" s="191" t="s">
        <v>479</v>
      </c>
      <c r="BK2377" s="55" t="s">
        <v>5976</v>
      </c>
      <c r="BN2377" s="55">
        <v>3</v>
      </c>
      <c r="BO2377" s="55">
        <v>3</v>
      </c>
      <c r="BU2377" s="55" t="s">
        <v>224</v>
      </c>
      <c r="BV2377" s="55" t="s">
        <v>2758</v>
      </c>
      <c r="CH2377" s="90">
        <v>1.1399999999999999</v>
      </c>
      <c r="CI2377" s="90">
        <v>1.1666666666666701</v>
      </c>
      <c r="CM2377" s="65">
        <f>(CR2377*1000000)/(100*100*CH2377*AA2377/100*1000000)*100</f>
        <v>1.504385964912281</v>
      </c>
      <c r="CN2377" s="65">
        <f>(CS2377*1000000)/(100*100*CI2377*AA2377/100*1000000)*100</f>
        <v>1.6671428571428522</v>
      </c>
      <c r="CR2377" s="65">
        <v>34.299999999999997</v>
      </c>
      <c r="CS2377" s="65">
        <v>38.9</v>
      </c>
      <c r="CV2377" s="65" t="s">
        <v>2052</v>
      </c>
      <c r="DA2377" s="65" t="s">
        <v>4463</v>
      </c>
      <c r="GP2377" s="292" t="s">
        <v>7494</v>
      </c>
      <c r="JU2377" s="55" t="s">
        <v>2339</v>
      </c>
    </row>
    <row r="2378" spans="1:281" x14ac:dyDescent="0.25">
      <c r="A2378" s="55">
        <v>2377</v>
      </c>
      <c r="B2378" s="12" t="s">
        <v>7067</v>
      </c>
      <c r="C2378" s="155">
        <v>111</v>
      </c>
      <c r="D2378" s="55" t="s">
        <v>4206</v>
      </c>
      <c r="E2378" s="90" t="s">
        <v>2328</v>
      </c>
      <c r="H2378" s="55">
        <v>2012</v>
      </c>
      <c r="I2378" s="55">
        <v>2010</v>
      </c>
      <c r="J2378" s="12"/>
      <c r="K2378" s="55" t="s">
        <v>2286</v>
      </c>
      <c r="L2378" s="55" t="s">
        <v>2745</v>
      </c>
      <c r="M2378" s="90">
        <v>-34.924981000000002</v>
      </c>
      <c r="N2378" s="90">
        <v>-62.646369</v>
      </c>
      <c r="O2378" s="90">
        <v>110.6</v>
      </c>
      <c r="Q2378" s="55">
        <v>16</v>
      </c>
      <c r="S2378" s="90">
        <v>892</v>
      </c>
      <c r="U2378" s="55" t="s">
        <v>1816</v>
      </c>
      <c r="V2378" s="55" t="s">
        <v>1816</v>
      </c>
      <c r="Z2378" s="55" t="s">
        <v>1346</v>
      </c>
      <c r="AA2378" s="90" t="s">
        <v>1675</v>
      </c>
      <c r="AD2378" s="90">
        <v>1.1399999999999999</v>
      </c>
      <c r="AH2378" s="55" t="s">
        <v>2291</v>
      </c>
      <c r="AM2378" s="55" t="s">
        <v>2343</v>
      </c>
      <c r="AN2378" s="185" t="s">
        <v>2304</v>
      </c>
      <c r="AO2378" s="185" t="s">
        <v>5150</v>
      </c>
      <c r="AQ2378" s="55" t="s">
        <v>131</v>
      </c>
      <c r="AR2378" s="55" t="s">
        <v>158</v>
      </c>
      <c r="AS2378" s="55" t="s">
        <v>158</v>
      </c>
      <c r="AT2378" s="181" t="s">
        <v>2290</v>
      </c>
      <c r="AU2378" s="181" t="s">
        <v>5150</v>
      </c>
      <c r="AV2378" s="185" t="s">
        <v>176</v>
      </c>
      <c r="AW2378" s="55" t="s">
        <v>2290</v>
      </c>
      <c r="AX2378" s="185" t="s">
        <v>176</v>
      </c>
      <c r="BE2378" s="226">
        <v>46</v>
      </c>
      <c r="BG2378" s="191" t="s">
        <v>479</v>
      </c>
      <c r="BK2378" s="55" t="s">
        <v>5976</v>
      </c>
      <c r="BN2378" s="55">
        <v>3</v>
      </c>
      <c r="BO2378" s="55">
        <v>3</v>
      </c>
      <c r="BU2378" s="55" t="s">
        <v>225</v>
      </c>
      <c r="BV2378" s="55" t="s">
        <v>2758</v>
      </c>
      <c r="CH2378" s="90">
        <v>1.1399999999999999</v>
      </c>
      <c r="CI2378" s="90">
        <v>1.1666666666666701</v>
      </c>
      <c r="CM2378" s="65">
        <f>(CR2378*1000000)/(100*100*CH2378*AA2378/100*1000000)*100</f>
        <v>1.504385964912281</v>
      </c>
      <c r="CN2378" s="65">
        <f>(CS2378*1000000)/(100*100*CI2378*AA2378/100*1000000)*100</f>
        <v>1.5342857142857098</v>
      </c>
      <c r="CR2378" s="65">
        <v>34.299999999999997</v>
      </c>
      <c r="CS2378" s="65">
        <v>35.799999999999997</v>
      </c>
      <c r="CV2378" s="65" t="s">
        <v>2052</v>
      </c>
      <c r="DA2378" s="65" t="s">
        <v>4463</v>
      </c>
      <c r="GP2378" s="292" t="s">
        <v>7494</v>
      </c>
      <c r="JU2378" s="55" t="s">
        <v>2339</v>
      </c>
    </row>
    <row r="2379" spans="1:281" x14ac:dyDescent="0.25">
      <c r="A2379" s="55">
        <v>2378</v>
      </c>
      <c r="B2379" s="12" t="s">
        <v>7067</v>
      </c>
      <c r="C2379" s="155">
        <v>111</v>
      </c>
      <c r="D2379" s="55" t="s">
        <v>4206</v>
      </c>
      <c r="E2379" s="90" t="s">
        <v>2328</v>
      </c>
      <c r="H2379" s="55">
        <v>2012</v>
      </c>
      <c r="I2379" s="55">
        <v>2010</v>
      </c>
      <c r="J2379" s="12"/>
      <c r="K2379" s="55" t="s">
        <v>2286</v>
      </c>
      <c r="L2379" s="55" t="s">
        <v>2745</v>
      </c>
      <c r="M2379" s="90">
        <v>-34.924981000000002</v>
      </c>
      <c r="N2379" s="90">
        <v>-62.646369</v>
      </c>
      <c r="O2379" s="90">
        <v>110.6</v>
      </c>
      <c r="Q2379" s="55">
        <v>16</v>
      </c>
      <c r="S2379" s="90">
        <v>892</v>
      </c>
      <c r="U2379" s="55" t="s">
        <v>1816</v>
      </c>
      <c r="V2379" s="55" t="s">
        <v>1816</v>
      </c>
      <c r="Z2379" s="55" t="s">
        <v>1346</v>
      </c>
      <c r="AA2379" s="90" t="s">
        <v>1675</v>
      </c>
      <c r="AD2379" s="90">
        <v>1.1399999999999999</v>
      </c>
      <c r="AH2379" s="55" t="s">
        <v>2291</v>
      </c>
      <c r="AM2379" s="55" t="s">
        <v>2343</v>
      </c>
      <c r="AN2379" s="185" t="s">
        <v>2304</v>
      </c>
      <c r="AO2379" s="185" t="s">
        <v>5150</v>
      </c>
      <c r="AQ2379" s="55" t="s">
        <v>131</v>
      </c>
      <c r="AR2379" s="55" t="s">
        <v>158</v>
      </c>
      <c r="AS2379" s="55" t="s">
        <v>158</v>
      </c>
      <c r="AT2379" s="181" t="s">
        <v>2290</v>
      </c>
      <c r="AU2379" s="181" t="s">
        <v>5150</v>
      </c>
      <c r="AV2379" s="185" t="s">
        <v>176</v>
      </c>
      <c r="AW2379" s="55" t="s">
        <v>2290</v>
      </c>
      <c r="AX2379" s="185" t="s">
        <v>176</v>
      </c>
      <c r="BE2379" s="226">
        <v>46</v>
      </c>
      <c r="BG2379" s="191" t="s">
        <v>479</v>
      </c>
      <c r="BK2379" s="55" t="s">
        <v>5976</v>
      </c>
      <c r="BN2379" s="55">
        <v>3</v>
      </c>
      <c r="BO2379" s="55">
        <v>3</v>
      </c>
      <c r="BU2379" s="55" t="s">
        <v>2303</v>
      </c>
      <c r="BV2379" s="55" t="s">
        <v>2758</v>
      </c>
      <c r="CH2379" s="90">
        <v>1.1399999999999999</v>
      </c>
      <c r="CI2379" s="90">
        <v>1.1666666666666701</v>
      </c>
      <c r="CM2379" s="65">
        <f>(CR2379*1000000)/(100*100*CH2379*AA2379/100*1000000)*100</f>
        <v>1.504385964912281</v>
      </c>
      <c r="CN2379" s="65">
        <f>(CS2379*1000000)/(100*100*CI2379*AA2379/100*1000000)*100</f>
        <v>1.6542857142857095</v>
      </c>
      <c r="CR2379" s="65">
        <v>34.299999999999997</v>
      </c>
      <c r="CS2379" s="65">
        <v>38.6</v>
      </c>
      <c r="CV2379" s="65" t="s">
        <v>2052</v>
      </c>
      <c r="DA2379" s="65" t="s">
        <v>4463</v>
      </c>
      <c r="GP2379" s="292" t="s">
        <v>7494</v>
      </c>
      <c r="JU2379" s="55" t="s">
        <v>2339</v>
      </c>
    </row>
    <row r="2380" spans="1:281" x14ac:dyDescent="0.25">
      <c r="A2380" s="55">
        <v>2379</v>
      </c>
      <c r="B2380" s="12" t="s">
        <v>7067</v>
      </c>
      <c r="C2380" s="155">
        <v>111</v>
      </c>
      <c r="D2380" s="55" t="s">
        <v>4207</v>
      </c>
      <c r="E2380" s="90" t="s">
        <v>2329</v>
      </c>
      <c r="H2380" s="55">
        <v>2010</v>
      </c>
      <c r="I2380" s="55">
        <v>2008</v>
      </c>
      <c r="J2380" s="12"/>
      <c r="K2380" s="55" t="s">
        <v>2286</v>
      </c>
      <c r="L2380" s="55" t="s">
        <v>2745</v>
      </c>
      <c r="M2380" s="90">
        <v>-34.967044000000001</v>
      </c>
      <c r="N2380" s="90">
        <v>-63.277233000000003</v>
      </c>
      <c r="O2380" s="90">
        <v>118.7</v>
      </c>
      <c r="Q2380" s="55">
        <v>17.399999999999999</v>
      </c>
      <c r="S2380" s="90">
        <v>915</v>
      </c>
      <c r="U2380" s="55" t="s">
        <v>1935</v>
      </c>
      <c r="V2380" s="55" t="s">
        <v>1677</v>
      </c>
      <c r="Z2380" s="55" t="s">
        <v>1346</v>
      </c>
      <c r="AA2380" s="90" t="s">
        <v>1675</v>
      </c>
      <c r="AD2380" s="90">
        <v>1.1299999999999999</v>
      </c>
      <c r="AH2380" s="55" t="s">
        <v>2287</v>
      </c>
      <c r="AM2380" s="55" t="s">
        <v>1319</v>
      </c>
      <c r="AO2380" s="185" t="s">
        <v>7494</v>
      </c>
      <c r="AQ2380" s="55" t="s">
        <v>1577</v>
      </c>
      <c r="AR2380" s="55" t="s">
        <v>1565</v>
      </c>
      <c r="AS2380" s="55" t="s">
        <v>5133</v>
      </c>
      <c r="AT2380" s="181" t="s">
        <v>2305</v>
      </c>
      <c r="AU2380" s="181" t="s">
        <v>5150</v>
      </c>
      <c r="AV2380" s="185" t="s">
        <v>479</v>
      </c>
      <c r="AW2380" s="55" t="s">
        <v>2305</v>
      </c>
      <c r="AX2380" s="185" t="s">
        <v>479</v>
      </c>
      <c r="BK2380" s="55" t="s">
        <v>5976</v>
      </c>
      <c r="BN2380" s="55">
        <v>3</v>
      </c>
      <c r="BO2380" s="55">
        <v>3</v>
      </c>
      <c r="BV2380" s="55" t="s">
        <v>2758</v>
      </c>
      <c r="CH2380" s="90">
        <v>1.1299999999999999</v>
      </c>
      <c r="CI2380" s="90">
        <v>1.06</v>
      </c>
      <c r="CM2380" s="65">
        <f>(CR2380*1000000)/(100*100*CH2380*AA2380/100*1000000)*100</f>
        <v>1.5929203539823011</v>
      </c>
      <c r="CN2380" s="65">
        <f>(CS2380*1000000)/(100*100*CI2380*AA2380/100*1000000)*100</f>
        <v>1.7877358490566038</v>
      </c>
      <c r="CR2380" s="65">
        <v>36</v>
      </c>
      <c r="CS2380" s="65">
        <v>37.9</v>
      </c>
      <c r="CV2380" s="65" t="s">
        <v>2052</v>
      </c>
      <c r="DA2380" s="65" t="s">
        <v>4463</v>
      </c>
      <c r="GP2380" s="292" t="s">
        <v>7494</v>
      </c>
      <c r="JU2380" s="55" t="s">
        <v>2340</v>
      </c>
    </row>
    <row r="2381" spans="1:281" x14ac:dyDescent="0.25">
      <c r="A2381" s="55">
        <v>2380</v>
      </c>
      <c r="B2381" s="12" t="s">
        <v>7067</v>
      </c>
      <c r="C2381" s="155">
        <v>111</v>
      </c>
      <c r="D2381" s="55" t="s">
        <v>4208</v>
      </c>
      <c r="E2381" s="90" t="s">
        <v>2330</v>
      </c>
      <c r="H2381" s="55">
        <v>2014</v>
      </c>
      <c r="I2381" s="55">
        <v>2012</v>
      </c>
      <c r="J2381" s="12"/>
      <c r="K2381" s="55" t="s">
        <v>2286</v>
      </c>
      <c r="L2381" s="55" t="s">
        <v>2745</v>
      </c>
      <c r="M2381" s="90">
        <v>-34.558522000000004</v>
      </c>
      <c r="N2381" s="90">
        <v>-59.142755999999999</v>
      </c>
      <c r="O2381" s="90">
        <v>31.1</v>
      </c>
      <c r="Q2381" s="55">
        <v>16.3</v>
      </c>
      <c r="S2381" s="90">
        <v>859</v>
      </c>
      <c r="U2381" s="55" t="s">
        <v>1801</v>
      </c>
      <c r="V2381" s="55" t="s">
        <v>1940</v>
      </c>
      <c r="Z2381" s="55" t="s">
        <v>1346</v>
      </c>
      <c r="AA2381" s="90" t="s">
        <v>1675</v>
      </c>
      <c r="AD2381" s="90">
        <v>1.46</v>
      </c>
      <c r="AH2381" s="55" t="s">
        <v>238</v>
      </c>
      <c r="AI2381" s="168">
        <v>6</v>
      </c>
      <c r="AJ2381" s="90">
        <v>2.2999999999999998</v>
      </c>
      <c r="AM2381" s="55" t="s">
        <v>2346</v>
      </c>
      <c r="AN2381" s="185" t="s">
        <v>496</v>
      </c>
      <c r="AO2381" s="185" t="s">
        <v>5150</v>
      </c>
      <c r="AQ2381" s="55" t="s">
        <v>1545</v>
      </c>
      <c r="AR2381" s="55" t="s">
        <v>158</v>
      </c>
      <c r="AS2381" s="55" t="s">
        <v>158</v>
      </c>
      <c r="AT2381" s="181" t="s">
        <v>2290</v>
      </c>
      <c r="AU2381" s="181" t="s">
        <v>5150</v>
      </c>
      <c r="AV2381" s="185" t="s">
        <v>176</v>
      </c>
      <c r="AW2381" s="55" t="s">
        <v>2290</v>
      </c>
      <c r="AX2381" s="185" t="s">
        <v>176</v>
      </c>
      <c r="BK2381" s="55" t="s">
        <v>5976</v>
      </c>
      <c r="BN2381" s="55">
        <v>3</v>
      </c>
      <c r="BO2381" s="55">
        <v>3</v>
      </c>
      <c r="BQ2381" s="55" t="s">
        <v>141</v>
      </c>
      <c r="BU2381" s="55" t="s">
        <v>2306</v>
      </c>
      <c r="BV2381" s="55" t="s">
        <v>2758</v>
      </c>
      <c r="CH2381" s="90">
        <v>1.46</v>
      </c>
      <c r="CI2381" s="90">
        <v>1.4566666666666701</v>
      </c>
      <c r="CM2381" s="65">
        <f>(CR2381*1000000)/(100*100*CH2381*AA2381/100*1000000)*100</f>
        <v>1.2671232876712328</v>
      </c>
      <c r="CN2381" s="65">
        <f>(CS2381*1000000)/(100*100*CI2381*AA2381/100*1000000)*100</f>
        <v>1.4588100686498822</v>
      </c>
      <c r="CR2381" s="65">
        <v>37</v>
      </c>
      <c r="CS2381" s="65">
        <v>42.5</v>
      </c>
      <c r="CV2381" s="65" t="s">
        <v>2052</v>
      </c>
      <c r="DA2381" s="65" t="s">
        <v>4463</v>
      </c>
      <c r="GP2381" s="292" t="s">
        <v>7494</v>
      </c>
      <c r="JU2381" s="55" t="s">
        <v>2341</v>
      </c>
    </row>
    <row r="2382" spans="1:281" x14ac:dyDescent="0.25">
      <c r="A2382" s="55">
        <v>2381</v>
      </c>
      <c r="B2382" s="12" t="s">
        <v>7067</v>
      </c>
      <c r="C2382" s="155">
        <v>111</v>
      </c>
      <c r="D2382" s="55" t="s">
        <v>4208</v>
      </c>
      <c r="E2382" s="90" t="s">
        <v>2330</v>
      </c>
      <c r="H2382" s="55">
        <v>2014</v>
      </c>
      <c r="I2382" s="55">
        <v>2012</v>
      </c>
      <c r="J2382" s="12"/>
      <c r="K2382" s="55" t="s">
        <v>2286</v>
      </c>
      <c r="L2382" s="55" t="s">
        <v>2745</v>
      </c>
      <c r="M2382" s="90">
        <v>-34.558522000000004</v>
      </c>
      <c r="N2382" s="90">
        <v>-59.142755999999999</v>
      </c>
      <c r="O2382" s="90">
        <v>31.1</v>
      </c>
      <c r="Q2382" s="55">
        <v>16.3</v>
      </c>
      <c r="S2382" s="90">
        <v>859</v>
      </c>
      <c r="U2382" s="55" t="s">
        <v>1801</v>
      </c>
      <c r="V2382" s="55" t="s">
        <v>1940</v>
      </c>
      <c r="Z2382" s="55" t="s">
        <v>1346</v>
      </c>
      <c r="AA2382" s="90" t="s">
        <v>1675</v>
      </c>
      <c r="AD2382" s="90">
        <v>1.46</v>
      </c>
      <c r="AH2382" s="55" t="s">
        <v>238</v>
      </c>
      <c r="AI2382" s="168">
        <v>6</v>
      </c>
      <c r="AJ2382" s="90">
        <v>2.2999999999999998</v>
      </c>
      <c r="AM2382" s="55" t="s">
        <v>2346</v>
      </c>
      <c r="AN2382" s="185" t="s">
        <v>2299</v>
      </c>
      <c r="AO2382" s="185" t="s">
        <v>5150</v>
      </c>
      <c r="AQ2382" s="55" t="s">
        <v>131</v>
      </c>
      <c r="AR2382" s="55" t="s">
        <v>158</v>
      </c>
      <c r="AS2382" s="55" t="s">
        <v>158</v>
      </c>
      <c r="AT2382" s="181" t="s">
        <v>2290</v>
      </c>
      <c r="AU2382" s="181" t="s">
        <v>5150</v>
      </c>
      <c r="AV2382" s="185" t="s">
        <v>176</v>
      </c>
      <c r="AW2382" s="55" t="s">
        <v>2290</v>
      </c>
      <c r="AX2382" s="185" t="s">
        <v>176</v>
      </c>
      <c r="BK2382" s="55" t="s">
        <v>5976</v>
      </c>
      <c r="BN2382" s="55">
        <v>3</v>
      </c>
      <c r="BO2382" s="55">
        <v>3</v>
      </c>
      <c r="BQ2382" s="55" t="s">
        <v>141</v>
      </c>
      <c r="BU2382" s="55" t="s">
        <v>2306</v>
      </c>
      <c r="BV2382" s="55" t="s">
        <v>2758</v>
      </c>
      <c r="CH2382" s="90">
        <v>1.46</v>
      </c>
      <c r="CI2382" s="90">
        <v>1.4566666666666701</v>
      </c>
      <c r="CM2382" s="65">
        <f>(CR2382*1000000)/(100*100*CH2382*AA2382/100*1000000)*100</f>
        <v>1.2671232876712328</v>
      </c>
      <c r="CN2382" s="65">
        <f>(CS2382*1000000)/(100*100*CI2382*AA2382/100*1000000)*100</f>
        <v>1.3901601830663584</v>
      </c>
      <c r="CR2382" s="65">
        <v>37</v>
      </c>
      <c r="CS2382" s="65">
        <v>40.5</v>
      </c>
      <c r="CV2382" s="65" t="s">
        <v>2052</v>
      </c>
      <c r="DA2382" s="65" t="s">
        <v>4463</v>
      </c>
      <c r="GP2382" s="292" t="s">
        <v>7494</v>
      </c>
      <c r="JU2382" s="55" t="s">
        <v>2341</v>
      </c>
    </row>
    <row r="2383" spans="1:281" x14ac:dyDescent="0.25">
      <c r="A2383" s="55">
        <v>2382</v>
      </c>
      <c r="B2383" s="12" t="s">
        <v>7067</v>
      </c>
      <c r="C2383" s="155">
        <v>111</v>
      </c>
      <c r="D2383" s="55" t="s">
        <v>4208</v>
      </c>
      <c r="E2383" s="90" t="s">
        <v>2330</v>
      </c>
      <c r="H2383" s="55">
        <v>2014</v>
      </c>
      <c r="I2383" s="55">
        <v>2012</v>
      </c>
      <c r="J2383" s="12"/>
      <c r="K2383" s="55" t="s">
        <v>2286</v>
      </c>
      <c r="L2383" s="55" t="s">
        <v>2745</v>
      </c>
      <c r="M2383" s="90">
        <v>-34.558522000000004</v>
      </c>
      <c r="N2383" s="90">
        <v>-59.142755999999999</v>
      </c>
      <c r="O2383" s="90">
        <v>31.1</v>
      </c>
      <c r="Q2383" s="55">
        <v>16.3</v>
      </c>
      <c r="S2383" s="90">
        <v>859</v>
      </c>
      <c r="U2383" s="55" t="s">
        <v>1801</v>
      </c>
      <c r="V2383" s="55" t="s">
        <v>1940</v>
      </c>
      <c r="Z2383" s="55" t="s">
        <v>1346</v>
      </c>
      <c r="AA2383" s="90" t="s">
        <v>1675</v>
      </c>
      <c r="AD2383" s="90">
        <v>1.46</v>
      </c>
      <c r="AH2383" s="55" t="s">
        <v>238</v>
      </c>
      <c r="AI2383" s="168">
        <v>6</v>
      </c>
      <c r="AJ2383" s="90">
        <v>2.2999999999999998</v>
      </c>
      <c r="AM2383" s="55" t="s">
        <v>2346</v>
      </c>
      <c r="AN2383" s="185" t="s">
        <v>2304</v>
      </c>
      <c r="AO2383" s="185" t="s">
        <v>5150</v>
      </c>
      <c r="AQ2383" s="55" t="s">
        <v>131</v>
      </c>
      <c r="AR2383" s="55" t="s">
        <v>158</v>
      </c>
      <c r="AS2383" s="55" t="s">
        <v>158</v>
      </c>
      <c r="AT2383" s="181" t="s">
        <v>2290</v>
      </c>
      <c r="AU2383" s="181" t="s">
        <v>5150</v>
      </c>
      <c r="AV2383" s="185" t="s">
        <v>176</v>
      </c>
      <c r="AW2383" s="55" t="s">
        <v>2290</v>
      </c>
      <c r="AX2383" s="185" t="s">
        <v>176</v>
      </c>
      <c r="BK2383" s="55" t="s">
        <v>5976</v>
      </c>
      <c r="BN2383" s="55">
        <v>3</v>
      </c>
      <c r="BO2383" s="55">
        <v>3</v>
      </c>
      <c r="BQ2383" s="55" t="s">
        <v>141</v>
      </c>
      <c r="BU2383" s="55" t="s">
        <v>2306</v>
      </c>
      <c r="BV2383" s="55" t="s">
        <v>2758</v>
      </c>
      <c r="CH2383" s="90">
        <v>1.46</v>
      </c>
      <c r="CI2383" s="90">
        <v>1.4566666666666701</v>
      </c>
      <c r="CM2383" s="65">
        <f>(CR2383*1000000)/(100*100*CH2383*AA2383/100*1000000)*100</f>
        <v>1.2671232876712328</v>
      </c>
      <c r="CN2383" s="65">
        <f>(CS2383*1000000)/(100*100*CI2383*AA2383/100*1000000)*100</f>
        <v>1.366132723112125</v>
      </c>
      <c r="CR2383" s="65">
        <v>37</v>
      </c>
      <c r="CS2383" s="65">
        <v>39.799999999999997</v>
      </c>
      <c r="CV2383" s="65" t="s">
        <v>2052</v>
      </c>
      <c r="DA2383" s="65" t="s">
        <v>4463</v>
      </c>
      <c r="GP2383" s="292" t="s">
        <v>7494</v>
      </c>
      <c r="JU2383" s="55" t="s">
        <v>2341</v>
      </c>
    </row>
    <row r="2384" spans="1:281" x14ac:dyDescent="0.25">
      <c r="A2384" s="55">
        <v>2383</v>
      </c>
      <c r="B2384" s="12" t="s">
        <v>7067</v>
      </c>
      <c r="C2384" s="155">
        <v>111</v>
      </c>
      <c r="D2384" s="55" t="s">
        <v>4200</v>
      </c>
      <c r="E2384" s="90" t="s">
        <v>2331</v>
      </c>
      <c r="H2384" s="55">
        <v>2012</v>
      </c>
      <c r="I2384" s="55">
        <v>2010</v>
      </c>
      <c r="J2384" s="12"/>
      <c r="K2384" s="55" t="s">
        <v>2286</v>
      </c>
      <c r="L2384" s="55" t="s">
        <v>2745</v>
      </c>
      <c r="M2384" s="90">
        <v>-37.419421999999997</v>
      </c>
      <c r="N2384" s="90">
        <v>-62.009036000000002</v>
      </c>
      <c r="O2384" s="90">
        <v>227</v>
      </c>
      <c r="Q2384" s="55">
        <v>16.3</v>
      </c>
      <c r="S2384" s="90">
        <v>859</v>
      </c>
      <c r="U2384" s="55" t="s">
        <v>1940</v>
      </c>
      <c r="V2384" s="55" t="s">
        <v>1694</v>
      </c>
      <c r="Z2384" s="55" t="s">
        <v>1346</v>
      </c>
      <c r="AA2384" s="90" t="s">
        <v>1675</v>
      </c>
      <c r="AD2384" s="90">
        <v>1.35</v>
      </c>
      <c r="AH2384" s="55" t="s">
        <v>2291</v>
      </c>
      <c r="AM2384" s="55" t="s">
        <v>2343</v>
      </c>
      <c r="AN2384" s="185" t="s">
        <v>2292</v>
      </c>
      <c r="AO2384" s="185" t="s">
        <v>5150</v>
      </c>
      <c r="AQ2384" s="55" t="s">
        <v>1545</v>
      </c>
      <c r="AR2384" s="55" t="s">
        <v>158</v>
      </c>
      <c r="AS2384" s="55" t="s">
        <v>158</v>
      </c>
      <c r="AT2384" s="181" t="s">
        <v>2290</v>
      </c>
      <c r="AU2384" s="181" t="s">
        <v>5150</v>
      </c>
      <c r="AV2384" s="185" t="s">
        <v>176</v>
      </c>
      <c r="AW2384" s="55" t="s">
        <v>2290</v>
      </c>
      <c r="AX2384" s="185" t="s">
        <v>176</v>
      </c>
      <c r="BE2384" s="226">
        <v>46</v>
      </c>
      <c r="BG2384" s="191" t="s">
        <v>479</v>
      </c>
      <c r="BK2384" s="55" t="s">
        <v>5976</v>
      </c>
      <c r="BN2384" s="55">
        <v>3</v>
      </c>
      <c r="BO2384" s="55">
        <v>3</v>
      </c>
      <c r="BU2384" s="55" t="s">
        <v>2293</v>
      </c>
      <c r="BV2384" s="55" t="s">
        <v>2758</v>
      </c>
      <c r="CH2384" s="90">
        <v>1.35</v>
      </c>
      <c r="CI2384" s="90">
        <v>1.31833333333333</v>
      </c>
      <c r="CM2384" s="65">
        <f>(CR2384*1000000)/(100*100*CH2384*AA2384/100*1000000)*100</f>
        <v>2.1111111111111112</v>
      </c>
      <c r="CN2384" s="65">
        <f>(CS2384*1000000)/(100*100*CI2384*AA2384/100*1000000)*100</f>
        <v>2.4841972187104995</v>
      </c>
      <c r="CR2384" s="65">
        <v>57</v>
      </c>
      <c r="CS2384" s="65">
        <v>65.5</v>
      </c>
      <c r="CV2384" s="65" t="s">
        <v>2052</v>
      </c>
      <c r="DA2384" s="65" t="s">
        <v>4463</v>
      </c>
      <c r="GP2384" s="292" t="s">
        <v>7494</v>
      </c>
      <c r="JU2384" s="55" t="s">
        <v>2337</v>
      </c>
    </row>
    <row r="2385" spans="1:281" x14ac:dyDescent="0.25">
      <c r="A2385" s="55">
        <v>2384</v>
      </c>
      <c r="B2385" s="12" t="s">
        <v>7067</v>
      </c>
      <c r="C2385" s="155">
        <v>111</v>
      </c>
      <c r="D2385" s="55" t="s">
        <v>4200</v>
      </c>
      <c r="E2385" s="90" t="s">
        <v>2331</v>
      </c>
      <c r="H2385" s="55">
        <v>2012</v>
      </c>
      <c r="I2385" s="55">
        <v>2010</v>
      </c>
      <c r="J2385" s="12"/>
      <c r="K2385" s="55" t="s">
        <v>2286</v>
      </c>
      <c r="L2385" s="55" t="s">
        <v>2745</v>
      </c>
      <c r="M2385" s="90">
        <v>-37.419421999999997</v>
      </c>
      <c r="N2385" s="90">
        <v>-62.009036000000002</v>
      </c>
      <c r="O2385" s="90">
        <v>227</v>
      </c>
      <c r="Q2385" s="55">
        <v>16.3</v>
      </c>
      <c r="S2385" s="90">
        <v>859</v>
      </c>
      <c r="U2385" s="55" t="s">
        <v>1940</v>
      </c>
      <c r="V2385" s="55" t="s">
        <v>1694</v>
      </c>
      <c r="Z2385" s="55" t="s">
        <v>1346</v>
      </c>
      <c r="AA2385" s="90" t="s">
        <v>1675</v>
      </c>
      <c r="AD2385" s="90">
        <v>1.35</v>
      </c>
      <c r="AH2385" s="55" t="s">
        <v>2291</v>
      </c>
      <c r="AM2385" s="55" t="s">
        <v>2343</v>
      </c>
      <c r="AN2385" s="185" t="s">
        <v>2292</v>
      </c>
      <c r="AO2385" s="185" t="s">
        <v>5150</v>
      </c>
      <c r="AQ2385" s="55" t="s">
        <v>1545</v>
      </c>
      <c r="AR2385" s="55" t="s">
        <v>158</v>
      </c>
      <c r="AS2385" s="55" t="s">
        <v>158</v>
      </c>
      <c r="AT2385" s="181" t="s">
        <v>2290</v>
      </c>
      <c r="AU2385" s="181" t="s">
        <v>5150</v>
      </c>
      <c r="AV2385" s="185" t="s">
        <v>176</v>
      </c>
      <c r="AW2385" s="55" t="s">
        <v>2290</v>
      </c>
      <c r="AX2385" s="185" t="s">
        <v>176</v>
      </c>
      <c r="BE2385" s="226">
        <v>46</v>
      </c>
      <c r="BG2385" s="191" t="s">
        <v>479</v>
      </c>
      <c r="BK2385" s="55" t="s">
        <v>5976</v>
      </c>
      <c r="BN2385" s="55">
        <v>3</v>
      </c>
      <c r="BO2385" s="55">
        <v>3</v>
      </c>
      <c r="BU2385" s="55" t="s">
        <v>2294</v>
      </c>
      <c r="BV2385" s="55" t="s">
        <v>2758</v>
      </c>
      <c r="CH2385" s="90">
        <v>1.35</v>
      </c>
      <c r="CI2385" s="90">
        <v>1.31833333333333</v>
      </c>
      <c r="CM2385" s="65">
        <f>(CR2385*1000000)/(100*100*CH2385*AA2385/100*1000000)*100</f>
        <v>2.1111111111111112</v>
      </c>
      <c r="CN2385" s="65">
        <f>(CS2385*1000000)/(100*100*CI2385*AA2385/100*1000000)*100</f>
        <v>2.4993678887484263</v>
      </c>
      <c r="CR2385" s="65">
        <v>57</v>
      </c>
      <c r="CS2385" s="65">
        <v>65.900000000000006</v>
      </c>
      <c r="CV2385" s="65" t="s">
        <v>2052</v>
      </c>
      <c r="DA2385" s="65" t="s">
        <v>4463</v>
      </c>
      <c r="GP2385" s="292" t="s">
        <v>7494</v>
      </c>
      <c r="JU2385" s="55" t="s">
        <v>2337</v>
      </c>
    </row>
    <row r="2386" spans="1:281" x14ac:dyDescent="0.25">
      <c r="A2386" s="55">
        <v>2385</v>
      </c>
      <c r="B2386" s="12" t="s">
        <v>7067</v>
      </c>
      <c r="C2386" s="155">
        <v>111</v>
      </c>
      <c r="D2386" s="55" t="s">
        <v>4200</v>
      </c>
      <c r="E2386" s="90" t="s">
        <v>2331</v>
      </c>
      <c r="H2386" s="55">
        <v>2012</v>
      </c>
      <c r="I2386" s="55">
        <v>2010</v>
      </c>
      <c r="J2386" s="12"/>
      <c r="K2386" s="55" t="s">
        <v>2286</v>
      </c>
      <c r="L2386" s="55" t="s">
        <v>2745</v>
      </c>
      <c r="M2386" s="90">
        <v>-37.419421999999997</v>
      </c>
      <c r="N2386" s="90">
        <v>-62.009036000000002</v>
      </c>
      <c r="O2386" s="90">
        <v>227</v>
      </c>
      <c r="Q2386" s="55">
        <v>16.3</v>
      </c>
      <c r="S2386" s="90">
        <v>859</v>
      </c>
      <c r="U2386" s="55" t="s">
        <v>1940</v>
      </c>
      <c r="V2386" s="55" t="s">
        <v>1694</v>
      </c>
      <c r="Z2386" s="55" t="s">
        <v>1346</v>
      </c>
      <c r="AA2386" s="90" t="s">
        <v>1675</v>
      </c>
      <c r="AD2386" s="90">
        <v>1.35</v>
      </c>
      <c r="AH2386" s="55" t="s">
        <v>2291</v>
      </c>
      <c r="AM2386" s="55" t="s">
        <v>2343</v>
      </c>
      <c r="AN2386" s="185" t="s">
        <v>2292</v>
      </c>
      <c r="AO2386" s="185" t="s">
        <v>5150</v>
      </c>
      <c r="AQ2386" s="55" t="s">
        <v>1545</v>
      </c>
      <c r="AR2386" s="55" t="s">
        <v>158</v>
      </c>
      <c r="AS2386" s="55" t="s">
        <v>158</v>
      </c>
      <c r="AT2386" s="181" t="s">
        <v>2290</v>
      </c>
      <c r="AU2386" s="181" t="s">
        <v>5150</v>
      </c>
      <c r="AV2386" s="185" t="s">
        <v>176</v>
      </c>
      <c r="AW2386" s="55" t="s">
        <v>2290</v>
      </c>
      <c r="AX2386" s="185" t="s">
        <v>176</v>
      </c>
      <c r="BE2386" s="226">
        <v>46</v>
      </c>
      <c r="BG2386" s="191" t="s">
        <v>479</v>
      </c>
      <c r="BK2386" s="55" t="s">
        <v>5976</v>
      </c>
      <c r="BN2386" s="55">
        <v>3</v>
      </c>
      <c r="BO2386" s="55">
        <v>3</v>
      </c>
      <c r="BU2386" s="55" t="s">
        <v>2295</v>
      </c>
      <c r="BV2386" s="55" t="s">
        <v>2758</v>
      </c>
      <c r="CH2386" s="90">
        <v>1.35</v>
      </c>
      <c r="CI2386" s="90">
        <v>1.31833333333333</v>
      </c>
      <c r="CM2386" s="65">
        <f>(CR2386*1000000)/(100*100*CH2386*AA2386/100*1000000)*100</f>
        <v>2.1111111111111112</v>
      </c>
      <c r="CN2386" s="65">
        <f>(CS2386*1000000)/(100*100*CI2386*AA2386/100*1000000)*100</f>
        <v>2.4121365360303475</v>
      </c>
      <c r="CR2386" s="65">
        <v>57</v>
      </c>
      <c r="CS2386" s="65">
        <v>63.6</v>
      </c>
      <c r="CV2386" s="65" t="s">
        <v>2052</v>
      </c>
      <c r="DA2386" s="65" t="s">
        <v>4463</v>
      </c>
      <c r="GP2386" s="292" t="s">
        <v>7494</v>
      </c>
      <c r="JU2386" s="55" t="s">
        <v>2337</v>
      </c>
    </row>
    <row r="2387" spans="1:281" x14ac:dyDescent="0.25">
      <c r="A2387" s="55">
        <v>2386</v>
      </c>
      <c r="B2387" s="12" t="s">
        <v>7067</v>
      </c>
      <c r="C2387" s="155">
        <v>111</v>
      </c>
      <c r="D2387" s="55" t="s">
        <v>4209</v>
      </c>
      <c r="E2387" s="90" t="s">
        <v>2332</v>
      </c>
      <c r="H2387" s="55">
        <v>2012</v>
      </c>
      <c r="I2387" s="55">
        <v>2010</v>
      </c>
      <c r="J2387" s="12"/>
      <c r="K2387" s="55" t="s">
        <v>2307</v>
      </c>
      <c r="L2387" s="55" t="s">
        <v>2745</v>
      </c>
      <c r="M2387" s="90">
        <v>-34.115667000000002</v>
      </c>
      <c r="N2387" s="90">
        <v>-63.366039000000001</v>
      </c>
      <c r="O2387" s="90">
        <v>138.6</v>
      </c>
      <c r="Q2387" s="55">
        <v>16.8</v>
      </c>
      <c r="S2387" s="90">
        <v>1022</v>
      </c>
      <c r="U2387" s="55" t="s">
        <v>1935</v>
      </c>
      <c r="V2387" s="55" t="s">
        <v>1682</v>
      </c>
      <c r="Y2387" s="55" t="s">
        <v>2310</v>
      </c>
      <c r="Z2387" s="55" t="s">
        <v>1346</v>
      </c>
      <c r="AA2387" s="90" t="s">
        <v>1675</v>
      </c>
      <c r="AD2387" s="90">
        <v>1.18333333333333</v>
      </c>
      <c r="AH2387" s="55" t="s">
        <v>6378</v>
      </c>
      <c r="AM2387" s="55" t="s">
        <v>1319</v>
      </c>
      <c r="AN2387" s="185" t="s">
        <v>496</v>
      </c>
      <c r="AO2387" s="185" t="s">
        <v>5150</v>
      </c>
      <c r="AQ2387" s="55" t="s">
        <v>1545</v>
      </c>
      <c r="AR2387" s="55" t="s">
        <v>132</v>
      </c>
      <c r="AS2387" s="55" t="s">
        <v>132</v>
      </c>
      <c r="AT2387" s="181" t="s">
        <v>2308</v>
      </c>
      <c r="AU2387" s="181" t="s">
        <v>5150</v>
      </c>
      <c r="AV2387" s="185" t="s">
        <v>176</v>
      </c>
      <c r="AW2387" s="55" t="s">
        <v>2308</v>
      </c>
      <c r="AX2387" s="185" t="s">
        <v>176</v>
      </c>
      <c r="BH2387" s="226">
        <v>32</v>
      </c>
      <c r="BI2387" s="191" t="s">
        <v>479</v>
      </c>
      <c r="BK2387" s="55" t="s">
        <v>5976</v>
      </c>
      <c r="BN2387" s="55">
        <v>3</v>
      </c>
      <c r="BO2387" s="55">
        <v>3</v>
      </c>
      <c r="BU2387" s="55" t="s">
        <v>2309</v>
      </c>
      <c r="BV2387" s="55" t="s">
        <v>2758</v>
      </c>
      <c r="CH2387" s="90">
        <v>1.18333333333333</v>
      </c>
      <c r="CI2387" s="90">
        <v>1.1825000000000001</v>
      </c>
      <c r="CM2387" s="65">
        <f>(CR2387*1000000)/(100*100*CH2387*AA2387/100*1000000)*100</f>
        <v>1.6774647887323992</v>
      </c>
      <c r="CN2387" s="65">
        <f>(CS2387*1000000)/(100*100*CI2387*AA2387/100*1000000)*100</f>
        <v>1.7801268498942913</v>
      </c>
      <c r="CR2387" s="65">
        <v>39.700000000000003</v>
      </c>
      <c r="CS2387" s="65">
        <v>42.1</v>
      </c>
      <c r="CV2387" s="65" t="s">
        <v>2052</v>
      </c>
      <c r="DA2387" s="65" t="s">
        <v>4463</v>
      </c>
      <c r="GP2387" s="292" t="s">
        <v>7494</v>
      </c>
      <c r="JU2387" s="55" t="s">
        <v>2342</v>
      </c>
    </row>
    <row r="2388" spans="1:281" x14ac:dyDescent="0.25">
      <c r="A2388" s="55">
        <v>2387</v>
      </c>
      <c r="B2388" s="12" t="s">
        <v>7067</v>
      </c>
      <c r="C2388" s="155">
        <v>111</v>
      </c>
      <c r="D2388" s="55" t="s">
        <v>4209</v>
      </c>
      <c r="E2388" s="90" t="s">
        <v>2332</v>
      </c>
      <c r="H2388" s="55">
        <v>2012</v>
      </c>
      <c r="I2388" s="55">
        <v>2010</v>
      </c>
      <c r="J2388" s="12"/>
      <c r="K2388" s="55" t="s">
        <v>2307</v>
      </c>
      <c r="L2388" s="55" t="s">
        <v>2745</v>
      </c>
      <c r="M2388" s="90">
        <v>-34.115667000000002</v>
      </c>
      <c r="N2388" s="90">
        <v>-63.366039000000001</v>
      </c>
      <c r="O2388" s="90">
        <v>138.6</v>
      </c>
      <c r="Q2388" s="55">
        <v>16.8</v>
      </c>
      <c r="S2388" s="90">
        <v>1022</v>
      </c>
      <c r="U2388" s="55" t="s">
        <v>1935</v>
      </c>
      <c r="V2388" s="55" t="s">
        <v>1682</v>
      </c>
      <c r="Y2388" s="55" t="s">
        <v>2311</v>
      </c>
      <c r="Z2388" s="55" t="s">
        <v>1346</v>
      </c>
      <c r="AA2388" s="90" t="s">
        <v>1675</v>
      </c>
      <c r="AD2388" s="90">
        <v>1.18333333333333</v>
      </c>
      <c r="AH2388" s="55" t="s">
        <v>6378</v>
      </c>
      <c r="AM2388" s="55" t="s">
        <v>1319</v>
      </c>
      <c r="AN2388" s="185" t="s">
        <v>496</v>
      </c>
      <c r="AO2388" s="185" t="s">
        <v>5150</v>
      </c>
      <c r="AQ2388" s="55" t="s">
        <v>1545</v>
      </c>
      <c r="AR2388" s="55" t="s">
        <v>132</v>
      </c>
      <c r="AS2388" s="55" t="s">
        <v>132</v>
      </c>
      <c r="AT2388" s="181" t="s">
        <v>2308</v>
      </c>
      <c r="AU2388" s="181" t="s">
        <v>5150</v>
      </c>
      <c r="AV2388" s="185" t="s">
        <v>176</v>
      </c>
      <c r="AW2388" s="55" t="s">
        <v>2308</v>
      </c>
      <c r="AX2388" s="185" t="s">
        <v>176</v>
      </c>
      <c r="BH2388" s="226">
        <v>32</v>
      </c>
      <c r="BI2388" s="191" t="s">
        <v>479</v>
      </c>
      <c r="BK2388" s="55" t="s">
        <v>5976</v>
      </c>
      <c r="BN2388" s="55">
        <v>3</v>
      </c>
      <c r="BO2388" s="55">
        <v>3</v>
      </c>
      <c r="BU2388" s="55" t="s">
        <v>2309</v>
      </c>
      <c r="BV2388" s="55" t="s">
        <v>2758</v>
      </c>
      <c r="CH2388" s="90">
        <v>1.18333333333333</v>
      </c>
      <c r="CI2388" s="90">
        <v>1.1825000000000001</v>
      </c>
      <c r="CM2388" s="65">
        <f>(CR2388*1000000)/(100*100*CH2388*AA2388/100*1000000)*100</f>
        <v>1.7746478873239486</v>
      </c>
      <c r="CN2388" s="65">
        <f>(CS2388*1000000)/(100*100*CI2388*AA2388/100*1000000)*100</f>
        <v>1.8266384778012683</v>
      </c>
      <c r="CR2388" s="65">
        <v>42</v>
      </c>
      <c r="CS2388" s="65">
        <v>43.2</v>
      </c>
      <c r="CV2388" s="65" t="s">
        <v>2052</v>
      </c>
      <c r="DA2388" s="65" t="s">
        <v>4463</v>
      </c>
      <c r="GP2388" s="292" t="s">
        <v>7494</v>
      </c>
      <c r="JU2388" s="55" t="s">
        <v>2342</v>
      </c>
    </row>
    <row r="2389" spans="1:281" x14ac:dyDescent="0.25">
      <c r="A2389" s="55">
        <v>2388</v>
      </c>
      <c r="B2389" s="12" t="s">
        <v>7067</v>
      </c>
      <c r="C2389" s="155">
        <v>111</v>
      </c>
      <c r="D2389" s="55" t="s">
        <v>4209</v>
      </c>
      <c r="E2389" s="90" t="s">
        <v>2332</v>
      </c>
      <c r="H2389" s="55">
        <v>2012</v>
      </c>
      <c r="I2389" s="55">
        <v>2010</v>
      </c>
      <c r="J2389" s="12"/>
      <c r="K2389" s="55" t="s">
        <v>2307</v>
      </c>
      <c r="L2389" s="55" t="s">
        <v>2745</v>
      </c>
      <c r="M2389" s="90">
        <v>-34.115667000000002</v>
      </c>
      <c r="N2389" s="90">
        <v>-63.366039000000001</v>
      </c>
      <c r="O2389" s="90">
        <v>138.6</v>
      </c>
      <c r="Q2389" s="55">
        <v>16.8</v>
      </c>
      <c r="S2389" s="90">
        <v>1022</v>
      </c>
      <c r="U2389" s="55" t="s">
        <v>1805</v>
      </c>
      <c r="V2389" s="55" t="s">
        <v>1682</v>
      </c>
      <c r="Y2389" s="55" t="s">
        <v>2310</v>
      </c>
      <c r="Z2389" s="55" t="s">
        <v>1346</v>
      </c>
      <c r="AA2389" s="90" t="s">
        <v>1675</v>
      </c>
      <c r="AD2389" s="90">
        <v>1.18333333333333</v>
      </c>
      <c r="AH2389" s="55" t="s">
        <v>6378</v>
      </c>
      <c r="AM2389" s="55" t="s">
        <v>1319</v>
      </c>
      <c r="AN2389" s="185" t="s">
        <v>496</v>
      </c>
      <c r="AO2389" s="185" t="s">
        <v>5150</v>
      </c>
      <c r="AQ2389" s="55" t="s">
        <v>1545</v>
      </c>
      <c r="AR2389" s="55" t="s">
        <v>158</v>
      </c>
      <c r="AS2389" s="55" t="s">
        <v>158</v>
      </c>
      <c r="AT2389" s="181" t="s">
        <v>2308</v>
      </c>
      <c r="AU2389" s="181" t="s">
        <v>5150</v>
      </c>
      <c r="AV2389" s="185" t="s">
        <v>176</v>
      </c>
      <c r="AW2389" s="55" t="s">
        <v>2308</v>
      </c>
      <c r="AX2389" s="185" t="s">
        <v>176</v>
      </c>
      <c r="BK2389" s="55" t="s">
        <v>5976</v>
      </c>
      <c r="BN2389" s="55">
        <v>3</v>
      </c>
      <c r="BO2389" s="55">
        <v>3</v>
      </c>
      <c r="BU2389" s="55" t="s">
        <v>2312</v>
      </c>
      <c r="BV2389" s="55" t="s">
        <v>2758</v>
      </c>
      <c r="CH2389" s="90">
        <v>1.18333333333333</v>
      </c>
      <c r="CI2389" s="90">
        <v>1.1825000000000001</v>
      </c>
      <c r="CM2389" s="65">
        <f>(CR2389*1000000)/(100*100*CH2389*AA2389/100*1000000)*100</f>
        <v>1.6521126760563429</v>
      </c>
      <c r="CN2389" s="65">
        <f>(CS2389*1000000)/(100*100*CI2389*AA2389/100*1000000)*100</f>
        <v>1.7082452431289636</v>
      </c>
      <c r="CR2389" s="65">
        <v>39.1</v>
      </c>
      <c r="CS2389" s="65">
        <v>40.4</v>
      </c>
      <c r="CV2389" s="65" t="s">
        <v>2052</v>
      </c>
      <c r="DA2389" s="65" t="s">
        <v>4463</v>
      </c>
      <c r="GP2389" s="292" t="s">
        <v>7494</v>
      </c>
      <c r="JU2389" s="55" t="s">
        <v>2342</v>
      </c>
    </row>
    <row r="2390" spans="1:281" x14ac:dyDescent="0.25">
      <c r="A2390" s="55">
        <v>2389</v>
      </c>
      <c r="B2390" s="12" t="s">
        <v>7067</v>
      </c>
      <c r="C2390" s="155">
        <v>111</v>
      </c>
      <c r="D2390" s="55" t="s">
        <v>4209</v>
      </c>
      <c r="E2390" s="90" t="s">
        <v>2332</v>
      </c>
      <c r="H2390" s="55">
        <v>2011</v>
      </c>
      <c r="I2390" s="55">
        <v>2009</v>
      </c>
      <c r="J2390" s="12"/>
      <c r="K2390" s="55" t="s">
        <v>2307</v>
      </c>
      <c r="L2390" s="55" t="s">
        <v>2745</v>
      </c>
      <c r="M2390" s="90">
        <v>-34.115667000000002</v>
      </c>
      <c r="N2390" s="90">
        <v>-63.366039000000001</v>
      </c>
      <c r="O2390" s="90">
        <v>138.6</v>
      </c>
      <c r="Q2390" s="55">
        <v>16.8</v>
      </c>
      <c r="S2390" s="90">
        <v>1022</v>
      </c>
      <c r="U2390" s="55" t="s">
        <v>1805</v>
      </c>
      <c r="V2390" s="55" t="s">
        <v>1682</v>
      </c>
      <c r="Y2390" s="55" t="s">
        <v>2313</v>
      </c>
      <c r="Z2390" s="55" t="s">
        <v>1346</v>
      </c>
      <c r="AA2390" s="90" t="s">
        <v>1675</v>
      </c>
      <c r="AD2390" s="90">
        <v>1.18333333333333</v>
      </c>
      <c r="AH2390" s="55" t="s">
        <v>6378</v>
      </c>
      <c r="AM2390" s="55" t="s">
        <v>1319</v>
      </c>
      <c r="AN2390" s="185" t="s">
        <v>496</v>
      </c>
      <c r="AO2390" s="185" t="s">
        <v>5150</v>
      </c>
      <c r="AQ2390" s="55" t="s">
        <v>1545</v>
      </c>
      <c r="AR2390" s="55" t="s">
        <v>158</v>
      </c>
      <c r="AS2390" s="55" t="s">
        <v>158</v>
      </c>
      <c r="AT2390" s="181" t="s">
        <v>2308</v>
      </c>
      <c r="AU2390" s="181" t="s">
        <v>5150</v>
      </c>
      <c r="AV2390" s="185" t="s">
        <v>176</v>
      </c>
      <c r="AW2390" s="55" t="s">
        <v>2308</v>
      </c>
      <c r="AX2390" s="185" t="s">
        <v>176</v>
      </c>
      <c r="BK2390" s="55" t="s">
        <v>5976</v>
      </c>
      <c r="BN2390" s="55">
        <v>3</v>
      </c>
      <c r="BO2390" s="55">
        <v>3</v>
      </c>
      <c r="BU2390" s="55" t="s">
        <v>2312</v>
      </c>
      <c r="BV2390" s="55" t="s">
        <v>2758</v>
      </c>
      <c r="CH2390" s="90">
        <v>1.18333333333333</v>
      </c>
      <c r="CI2390" s="90">
        <v>1.1825000000000001</v>
      </c>
      <c r="CM2390" s="65">
        <f>(CR2390*1000000)/(100*100*CH2390*AA2390/100*1000000)*100</f>
        <v>1.6859154929577513</v>
      </c>
      <c r="CN2390" s="65">
        <f>(CS2390*1000000)/(100*100*CI2390*AA2390/100*1000000)*100</f>
        <v>1.7716701902748413</v>
      </c>
      <c r="CR2390" s="65">
        <v>39.9</v>
      </c>
      <c r="CS2390" s="65">
        <v>41.9</v>
      </c>
      <c r="CV2390" s="65" t="s">
        <v>2052</v>
      </c>
      <c r="DA2390" s="65" t="s">
        <v>4463</v>
      </c>
      <c r="GP2390" s="292" t="s">
        <v>7494</v>
      </c>
      <c r="JU2390" s="55" t="s">
        <v>2342</v>
      </c>
    </row>
    <row r="2391" spans="1:281" x14ac:dyDescent="0.25">
      <c r="A2391" s="55">
        <v>2390</v>
      </c>
      <c r="B2391" s="12" t="s">
        <v>7067</v>
      </c>
      <c r="C2391" s="155">
        <v>111</v>
      </c>
      <c r="D2391" s="55" t="s">
        <v>4209</v>
      </c>
      <c r="E2391" s="90" t="s">
        <v>2332</v>
      </c>
      <c r="H2391" s="55">
        <v>2011</v>
      </c>
      <c r="I2391" s="55">
        <v>2009</v>
      </c>
      <c r="J2391" s="12"/>
      <c r="K2391" s="55" t="s">
        <v>2307</v>
      </c>
      <c r="L2391" s="55" t="s">
        <v>2745</v>
      </c>
      <c r="M2391" s="90">
        <v>-34.115667000000002</v>
      </c>
      <c r="N2391" s="90">
        <v>-63.366039000000001</v>
      </c>
      <c r="O2391" s="90">
        <v>138.6</v>
      </c>
      <c r="Q2391" s="55">
        <v>16.8</v>
      </c>
      <c r="S2391" s="90">
        <v>1022</v>
      </c>
      <c r="U2391" s="55" t="s">
        <v>1935</v>
      </c>
      <c r="V2391" s="55" t="s">
        <v>1682</v>
      </c>
      <c r="Y2391" s="55" t="s">
        <v>2310</v>
      </c>
      <c r="Z2391" s="55" t="s">
        <v>1346</v>
      </c>
      <c r="AA2391" s="90" t="s">
        <v>1675</v>
      </c>
      <c r="AD2391" s="90">
        <v>1.18333333333333</v>
      </c>
      <c r="AH2391" s="55" t="s">
        <v>6378</v>
      </c>
      <c r="AM2391" s="55" t="s">
        <v>1319</v>
      </c>
      <c r="AN2391" s="185" t="s">
        <v>2314</v>
      </c>
      <c r="AO2391" s="185" t="s">
        <v>5150</v>
      </c>
      <c r="AQ2391" s="55" t="s">
        <v>1546</v>
      </c>
      <c r="AR2391" s="55" t="s">
        <v>132</v>
      </c>
      <c r="AS2391" s="55" t="s">
        <v>132</v>
      </c>
      <c r="AT2391" s="181" t="s">
        <v>2308</v>
      </c>
      <c r="AU2391" s="181" t="s">
        <v>5150</v>
      </c>
      <c r="AV2391" s="185" t="s">
        <v>176</v>
      </c>
      <c r="AW2391" s="55" t="s">
        <v>2308</v>
      </c>
      <c r="AX2391" s="185" t="s">
        <v>176</v>
      </c>
      <c r="BH2391" s="226">
        <v>32</v>
      </c>
      <c r="BI2391" s="191" t="s">
        <v>479</v>
      </c>
      <c r="BK2391" s="55" t="s">
        <v>5976</v>
      </c>
      <c r="BN2391" s="55">
        <v>3</v>
      </c>
      <c r="BO2391" s="55">
        <v>3</v>
      </c>
      <c r="BU2391" s="55" t="s">
        <v>2309</v>
      </c>
      <c r="BV2391" s="55" t="s">
        <v>2758</v>
      </c>
      <c r="CH2391" s="90">
        <v>1.18333333333333</v>
      </c>
      <c r="CI2391" s="90">
        <v>1.1825000000000001</v>
      </c>
      <c r="CM2391" s="65">
        <f>(CR2391*1000000)/(100*100*CH2391*AA2391/100*1000000)*100</f>
        <v>1.6774647887323992</v>
      </c>
      <c r="CN2391" s="65">
        <f>(CS2391*1000000)/(100*100*CI2391*AA2391/100*1000000)*100</f>
        <v>1.7970401691331919</v>
      </c>
      <c r="CR2391" s="65">
        <v>39.700000000000003</v>
      </c>
      <c r="CS2391" s="65">
        <v>42.5</v>
      </c>
      <c r="CV2391" s="65" t="s">
        <v>2052</v>
      </c>
      <c r="DA2391" s="65" t="s">
        <v>4463</v>
      </c>
      <c r="GP2391" s="292" t="s">
        <v>7494</v>
      </c>
      <c r="JU2391" s="55" t="s">
        <v>2342</v>
      </c>
    </row>
    <row r="2392" spans="1:281" x14ac:dyDescent="0.25">
      <c r="A2392" s="55">
        <v>2391</v>
      </c>
      <c r="B2392" s="12" t="s">
        <v>7067</v>
      </c>
      <c r="C2392" s="155">
        <v>111</v>
      </c>
      <c r="D2392" s="55" t="s">
        <v>4209</v>
      </c>
      <c r="E2392" s="90" t="s">
        <v>2332</v>
      </c>
      <c r="H2392" s="55">
        <v>2011</v>
      </c>
      <c r="I2392" s="55">
        <v>2009</v>
      </c>
      <c r="J2392" s="12"/>
      <c r="K2392" s="55" t="s">
        <v>2307</v>
      </c>
      <c r="L2392" s="55" t="s">
        <v>2745</v>
      </c>
      <c r="M2392" s="90">
        <v>-34.115667000000002</v>
      </c>
      <c r="N2392" s="90">
        <v>-63.366039000000001</v>
      </c>
      <c r="O2392" s="90">
        <v>138.6</v>
      </c>
      <c r="Q2392" s="55">
        <v>16.8</v>
      </c>
      <c r="S2392" s="90">
        <v>1022</v>
      </c>
      <c r="U2392" s="55" t="s">
        <v>1935</v>
      </c>
      <c r="V2392" s="55" t="s">
        <v>1682</v>
      </c>
      <c r="Y2392" s="55" t="s">
        <v>2311</v>
      </c>
      <c r="Z2392" s="55" t="s">
        <v>1346</v>
      </c>
      <c r="AA2392" s="90" t="s">
        <v>1675</v>
      </c>
      <c r="AD2392" s="90">
        <v>1.18333333333333</v>
      </c>
      <c r="AH2392" s="55" t="s">
        <v>6378</v>
      </c>
      <c r="AM2392" s="55" t="s">
        <v>1319</v>
      </c>
      <c r="AN2392" s="185" t="s">
        <v>2314</v>
      </c>
      <c r="AO2392" s="185" t="s">
        <v>5150</v>
      </c>
      <c r="AQ2392" s="55" t="s">
        <v>1546</v>
      </c>
      <c r="AR2392" s="55" t="s">
        <v>132</v>
      </c>
      <c r="AS2392" s="55" t="s">
        <v>132</v>
      </c>
      <c r="AT2392" s="181" t="s">
        <v>2308</v>
      </c>
      <c r="AU2392" s="181" t="s">
        <v>5150</v>
      </c>
      <c r="AV2392" s="185" t="s">
        <v>176</v>
      </c>
      <c r="AW2392" s="55" t="s">
        <v>2308</v>
      </c>
      <c r="AX2392" s="185" t="s">
        <v>176</v>
      </c>
      <c r="BH2392" s="226">
        <v>32</v>
      </c>
      <c r="BI2392" s="191" t="s">
        <v>479</v>
      </c>
      <c r="BK2392" s="55" t="s">
        <v>5976</v>
      </c>
      <c r="BN2392" s="55">
        <v>3</v>
      </c>
      <c r="BO2392" s="55">
        <v>3</v>
      </c>
      <c r="BU2392" s="55" t="s">
        <v>2309</v>
      </c>
      <c r="BV2392" s="55" t="s">
        <v>2758</v>
      </c>
      <c r="CH2392" s="90">
        <v>1.18333333333333</v>
      </c>
      <c r="CI2392" s="90">
        <v>1.1825000000000001</v>
      </c>
      <c r="CM2392" s="65">
        <f>(CR2392*1000000)/(100*100*CH2392*AA2392/100*1000000)*100</f>
        <v>1.7746478873239486</v>
      </c>
      <c r="CN2392" s="65">
        <f>(CS2392*1000000)/(100*100*CI2392*AA2392/100*1000000)*100</f>
        <v>1.8435517970401687</v>
      </c>
      <c r="CR2392" s="65">
        <v>42</v>
      </c>
      <c r="CS2392" s="65">
        <v>43.6</v>
      </c>
      <c r="CV2392" s="65" t="s">
        <v>2052</v>
      </c>
      <c r="DA2392" s="65" t="s">
        <v>4463</v>
      </c>
      <c r="GP2392" s="292" t="s">
        <v>7494</v>
      </c>
      <c r="JU2392" s="55" t="s">
        <v>2342</v>
      </c>
    </row>
    <row r="2393" spans="1:281" x14ac:dyDescent="0.25">
      <c r="A2393" s="55">
        <v>2392</v>
      </c>
      <c r="B2393" s="12" t="s">
        <v>7067</v>
      </c>
      <c r="C2393" s="155">
        <v>111</v>
      </c>
      <c r="D2393" s="55" t="s">
        <v>4209</v>
      </c>
      <c r="E2393" s="90" t="s">
        <v>2332</v>
      </c>
      <c r="H2393" s="55">
        <v>2011</v>
      </c>
      <c r="I2393" s="55">
        <v>2009</v>
      </c>
      <c r="J2393" s="12"/>
      <c r="K2393" s="55" t="s">
        <v>2307</v>
      </c>
      <c r="L2393" s="55" t="s">
        <v>2745</v>
      </c>
      <c r="M2393" s="90">
        <v>-34.115667000000002</v>
      </c>
      <c r="N2393" s="90">
        <v>-63.366039000000001</v>
      </c>
      <c r="O2393" s="90">
        <v>138.6</v>
      </c>
      <c r="Q2393" s="55">
        <v>16.8</v>
      </c>
      <c r="S2393" s="90">
        <v>1022</v>
      </c>
      <c r="U2393" s="55" t="s">
        <v>1805</v>
      </c>
      <c r="V2393" s="55" t="s">
        <v>1682</v>
      </c>
      <c r="Y2393" s="55" t="s">
        <v>2310</v>
      </c>
      <c r="Z2393" s="55" t="s">
        <v>1346</v>
      </c>
      <c r="AA2393" s="90" t="s">
        <v>1675</v>
      </c>
      <c r="AD2393" s="90">
        <v>1.18333333333333</v>
      </c>
      <c r="AH2393" s="55" t="s">
        <v>6378</v>
      </c>
      <c r="AM2393" s="55" t="s">
        <v>1319</v>
      </c>
      <c r="AN2393" s="185" t="s">
        <v>2314</v>
      </c>
      <c r="AO2393" s="185" t="s">
        <v>5150</v>
      </c>
      <c r="AQ2393" s="55" t="s">
        <v>1546</v>
      </c>
      <c r="AR2393" s="55" t="s">
        <v>158</v>
      </c>
      <c r="AS2393" s="55" t="s">
        <v>158</v>
      </c>
      <c r="AT2393" s="181" t="s">
        <v>2315</v>
      </c>
      <c r="AU2393" s="181" t="s">
        <v>5150</v>
      </c>
      <c r="AV2393" s="185" t="s">
        <v>479</v>
      </c>
      <c r="AW2393" s="55" t="s">
        <v>2315</v>
      </c>
      <c r="AX2393" s="185" t="s">
        <v>479</v>
      </c>
      <c r="BK2393" s="55" t="s">
        <v>5976</v>
      </c>
      <c r="BN2393" s="55">
        <v>3</v>
      </c>
      <c r="BO2393" s="55">
        <v>3</v>
      </c>
      <c r="BU2393" s="55" t="s">
        <v>2312</v>
      </c>
      <c r="BV2393" s="55" t="s">
        <v>2758</v>
      </c>
      <c r="CH2393" s="90">
        <v>1.18333333333333</v>
      </c>
      <c r="CI2393" s="90">
        <v>1.1825000000000001</v>
      </c>
      <c r="CM2393" s="65">
        <f>(CR2393*1000000)/(100*100*CH2393*AA2393/100*1000000)*100</f>
        <v>1.6521126760563429</v>
      </c>
      <c r="CN2393" s="65">
        <f>(CS2393*1000000)/(100*100*CI2393*AA2393/100*1000000)*100</f>
        <v>1.720930232558139</v>
      </c>
      <c r="CR2393" s="65">
        <v>39.1</v>
      </c>
      <c r="CS2393" s="65">
        <v>40.700000000000003</v>
      </c>
      <c r="CV2393" s="65" t="s">
        <v>2052</v>
      </c>
      <c r="DA2393" s="65" t="s">
        <v>4463</v>
      </c>
      <c r="GP2393" s="292" t="s">
        <v>7494</v>
      </c>
      <c r="JU2393" s="55" t="s">
        <v>2342</v>
      </c>
    </row>
    <row r="2394" spans="1:281" x14ac:dyDescent="0.25">
      <c r="A2394" s="55">
        <v>2393</v>
      </c>
      <c r="B2394" s="12" t="s">
        <v>7067</v>
      </c>
      <c r="C2394" s="155">
        <v>111</v>
      </c>
      <c r="D2394" s="55" t="s">
        <v>4209</v>
      </c>
      <c r="E2394" s="90" t="s">
        <v>2332</v>
      </c>
      <c r="H2394" s="55">
        <v>2011</v>
      </c>
      <c r="I2394" s="55">
        <v>2009</v>
      </c>
      <c r="J2394" s="12"/>
      <c r="K2394" s="55" t="s">
        <v>2307</v>
      </c>
      <c r="L2394" s="55" t="s">
        <v>2745</v>
      </c>
      <c r="M2394" s="90">
        <v>-34.115667000000002</v>
      </c>
      <c r="N2394" s="90">
        <v>-63.366039000000001</v>
      </c>
      <c r="O2394" s="90">
        <v>138.6</v>
      </c>
      <c r="Q2394" s="55">
        <v>16.8</v>
      </c>
      <c r="S2394" s="90">
        <v>1022</v>
      </c>
      <c r="U2394" s="55" t="s">
        <v>1805</v>
      </c>
      <c r="V2394" s="55" t="s">
        <v>1682</v>
      </c>
      <c r="Y2394" s="55" t="s">
        <v>2313</v>
      </c>
      <c r="Z2394" s="55" t="s">
        <v>1346</v>
      </c>
      <c r="AA2394" s="90" t="s">
        <v>1675</v>
      </c>
      <c r="AD2394" s="90">
        <v>1.18333333333333</v>
      </c>
      <c r="AH2394" s="55" t="s">
        <v>6378</v>
      </c>
      <c r="AM2394" s="55" t="s">
        <v>1319</v>
      </c>
      <c r="AN2394" s="185" t="s">
        <v>2314</v>
      </c>
      <c r="AO2394" s="185" t="s">
        <v>5150</v>
      </c>
      <c r="AQ2394" s="55" t="s">
        <v>1546</v>
      </c>
      <c r="AR2394" s="55" t="s">
        <v>158</v>
      </c>
      <c r="AS2394" s="55" t="s">
        <v>158</v>
      </c>
      <c r="AT2394" s="181" t="s">
        <v>2315</v>
      </c>
      <c r="AU2394" s="181" t="s">
        <v>5150</v>
      </c>
      <c r="AV2394" s="185" t="s">
        <v>479</v>
      </c>
      <c r="AW2394" s="55" t="s">
        <v>2315</v>
      </c>
      <c r="AX2394" s="185" t="s">
        <v>479</v>
      </c>
      <c r="BK2394" s="55" t="s">
        <v>5976</v>
      </c>
      <c r="BN2394" s="55">
        <v>3</v>
      </c>
      <c r="BO2394" s="55">
        <v>3</v>
      </c>
      <c r="BU2394" s="55" t="s">
        <v>2312</v>
      </c>
      <c r="BV2394" s="55" t="s">
        <v>2758</v>
      </c>
      <c r="CH2394" s="90">
        <v>1.18333333333333</v>
      </c>
      <c r="CI2394" s="90">
        <v>1.1825000000000001</v>
      </c>
      <c r="CM2394" s="65">
        <f>(CR2394*1000000)/(100*100*CH2394*AA2394/100*1000000)*100</f>
        <v>1.6859154929577513</v>
      </c>
      <c r="CN2394" s="65">
        <f>(CS2394*1000000)/(100*100*CI2394*AA2394/100*1000000)*100</f>
        <v>1.6786469344608874</v>
      </c>
      <c r="CR2394" s="65">
        <v>39.9</v>
      </c>
      <c r="CS2394" s="65">
        <v>39.700000000000003</v>
      </c>
      <c r="CV2394" s="65" t="s">
        <v>2052</v>
      </c>
      <c r="DA2394" s="65" t="s">
        <v>4463</v>
      </c>
      <c r="GP2394" s="292" t="s">
        <v>7494</v>
      </c>
      <c r="JU2394" s="55" t="s">
        <v>2342</v>
      </c>
    </row>
    <row r="2395" spans="1:281" x14ac:dyDescent="0.25">
      <c r="A2395" s="55">
        <v>2394</v>
      </c>
      <c r="B2395" s="12" t="s">
        <v>7067</v>
      </c>
      <c r="C2395" s="155">
        <v>111</v>
      </c>
      <c r="D2395" s="55" t="s">
        <v>4209</v>
      </c>
      <c r="E2395" s="90" t="s">
        <v>2332</v>
      </c>
      <c r="H2395" s="55">
        <v>2011</v>
      </c>
      <c r="I2395" s="55">
        <v>2009</v>
      </c>
      <c r="J2395" s="12"/>
      <c r="K2395" s="55" t="s">
        <v>2307</v>
      </c>
      <c r="L2395" s="55" t="s">
        <v>2745</v>
      </c>
      <c r="M2395" s="90">
        <v>-34.115667000000002</v>
      </c>
      <c r="N2395" s="90">
        <v>-63.366039000000001</v>
      </c>
      <c r="O2395" s="90">
        <v>138.6</v>
      </c>
      <c r="Q2395" s="55">
        <v>16.8</v>
      </c>
      <c r="S2395" s="90">
        <v>1022</v>
      </c>
      <c r="U2395" s="55" t="s">
        <v>1935</v>
      </c>
      <c r="V2395" s="55" t="s">
        <v>1682</v>
      </c>
      <c r="Y2395" s="55" t="s">
        <v>2310</v>
      </c>
      <c r="Z2395" s="55" t="s">
        <v>1346</v>
      </c>
      <c r="AA2395" s="90" t="s">
        <v>1675</v>
      </c>
      <c r="AD2395" s="90">
        <v>1.18333333333333</v>
      </c>
      <c r="AH2395" s="55" t="s">
        <v>6378</v>
      </c>
      <c r="AM2395" s="55" t="s">
        <v>1319</v>
      </c>
      <c r="AN2395" s="185" t="s">
        <v>4465</v>
      </c>
      <c r="AO2395" s="185" t="s">
        <v>5150</v>
      </c>
      <c r="AQ2395" s="55" t="s">
        <v>1545</v>
      </c>
      <c r="AR2395" s="55" t="s">
        <v>132</v>
      </c>
      <c r="AS2395" s="55" t="s">
        <v>132</v>
      </c>
      <c r="AT2395" s="181" t="s">
        <v>2315</v>
      </c>
      <c r="AU2395" s="181" t="s">
        <v>5150</v>
      </c>
      <c r="AV2395" s="185" t="s">
        <v>479</v>
      </c>
      <c r="AW2395" s="55" t="s">
        <v>2315</v>
      </c>
      <c r="AX2395" s="185" t="s">
        <v>479</v>
      </c>
      <c r="BH2395" s="226">
        <v>32</v>
      </c>
      <c r="BI2395" s="191" t="s">
        <v>479</v>
      </c>
      <c r="BK2395" s="55" t="s">
        <v>5976</v>
      </c>
      <c r="BN2395" s="55">
        <v>3</v>
      </c>
      <c r="BO2395" s="55">
        <v>3</v>
      </c>
      <c r="BU2395" s="55" t="s">
        <v>2309</v>
      </c>
      <c r="BV2395" s="55" t="s">
        <v>2758</v>
      </c>
      <c r="CH2395" s="90">
        <v>1.18333333333333</v>
      </c>
      <c r="CI2395" s="90">
        <v>1.1825000000000001</v>
      </c>
      <c r="CM2395" s="65">
        <f>(CR2395*1000000)/(100*100*CH2395*AA2395/100*1000000)*100</f>
        <v>1.6774647887323992</v>
      </c>
      <c r="CN2395" s="65">
        <f>(CS2395*1000000)/(100*100*CI2395*AA2395/100*1000000)*100</f>
        <v>1.9196617336152215</v>
      </c>
      <c r="CR2395" s="65">
        <v>39.700000000000003</v>
      </c>
      <c r="CS2395" s="65">
        <v>45.4</v>
      </c>
      <c r="CV2395" s="65" t="s">
        <v>2052</v>
      </c>
      <c r="DA2395" s="65" t="s">
        <v>4463</v>
      </c>
      <c r="GP2395" s="292" t="s">
        <v>7494</v>
      </c>
      <c r="JU2395" s="55" t="s">
        <v>2342</v>
      </c>
    </row>
    <row r="2396" spans="1:281" x14ac:dyDescent="0.25">
      <c r="A2396" s="55">
        <v>2395</v>
      </c>
      <c r="B2396" s="12" t="s">
        <v>7067</v>
      </c>
      <c r="C2396" s="155">
        <v>111</v>
      </c>
      <c r="D2396" s="55" t="s">
        <v>4209</v>
      </c>
      <c r="E2396" s="90" t="s">
        <v>2332</v>
      </c>
      <c r="H2396" s="55">
        <v>2011</v>
      </c>
      <c r="I2396" s="55">
        <v>2009</v>
      </c>
      <c r="J2396" s="12"/>
      <c r="K2396" s="55" t="s">
        <v>2307</v>
      </c>
      <c r="L2396" s="55" t="s">
        <v>2745</v>
      </c>
      <c r="M2396" s="90">
        <v>-34.115667000000002</v>
      </c>
      <c r="N2396" s="90">
        <v>-63.366039000000001</v>
      </c>
      <c r="O2396" s="90">
        <v>138.6</v>
      </c>
      <c r="Q2396" s="55">
        <v>16.8</v>
      </c>
      <c r="S2396" s="90">
        <v>1022</v>
      </c>
      <c r="U2396" s="55" t="s">
        <v>1935</v>
      </c>
      <c r="V2396" s="55" t="s">
        <v>1682</v>
      </c>
      <c r="Y2396" s="55" t="s">
        <v>2311</v>
      </c>
      <c r="Z2396" s="55" t="s">
        <v>1346</v>
      </c>
      <c r="AA2396" s="90" t="s">
        <v>1675</v>
      </c>
      <c r="AD2396" s="90">
        <v>1.18333333333333</v>
      </c>
      <c r="AH2396" s="55" t="s">
        <v>6378</v>
      </c>
      <c r="AM2396" s="55" t="s">
        <v>1319</v>
      </c>
      <c r="AN2396" s="185" t="s">
        <v>4465</v>
      </c>
      <c r="AO2396" s="185" t="s">
        <v>5150</v>
      </c>
      <c r="AQ2396" s="55" t="s">
        <v>1545</v>
      </c>
      <c r="AR2396" s="55" t="s">
        <v>132</v>
      </c>
      <c r="AS2396" s="55" t="s">
        <v>132</v>
      </c>
      <c r="AT2396" s="181" t="s">
        <v>2315</v>
      </c>
      <c r="AU2396" s="181" t="s">
        <v>5150</v>
      </c>
      <c r="AV2396" s="185" t="s">
        <v>479</v>
      </c>
      <c r="AW2396" s="55" t="s">
        <v>2315</v>
      </c>
      <c r="AX2396" s="185" t="s">
        <v>479</v>
      </c>
      <c r="BH2396" s="226">
        <v>32</v>
      </c>
      <c r="BI2396" s="191" t="s">
        <v>479</v>
      </c>
      <c r="BK2396" s="55" t="s">
        <v>5976</v>
      </c>
      <c r="BN2396" s="55">
        <v>3</v>
      </c>
      <c r="BO2396" s="55">
        <v>3</v>
      </c>
      <c r="BU2396" s="55" t="s">
        <v>2309</v>
      </c>
      <c r="BV2396" s="55" t="s">
        <v>2758</v>
      </c>
      <c r="CH2396" s="90">
        <v>1.18333333333333</v>
      </c>
      <c r="CI2396" s="90">
        <v>1.1825000000000001</v>
      </c>
      <c r="CM2396" s="65">
        <f>(CR2396*1000000)/(100*100*CH2396*AA2396/100*1000000)*100</f>
        <v>1.7746478873239486</v>
      </c>
      <c r="CN2396" s="65">
        <f>(CS2396*1000000)/(100*100*CI2396*AA2396/100*1000000)*100</f>
        <v>1.9323467230443969</v>
      </c>
      <c r="CR2396" s="65">
        <v>42</v>
      </c>
      <c r="CS2396" s="65">
        <v>45.7</v>
      </c>
      <c r="CV2396" s="65" t="s">
        <v>2052</v>
      </c>
      <c r="DA2396" s="65" t="s">
        <v>4463</v>
      </c>
      <c r="GP2396" s="292" t="s">
        <v>7494</v>
      </c>
      <c r="JU2396" s="55" t="s">
        <v>2342</v>
      </c>
    </row>
    <row r="2397" spans="1:281" x14ac:dyDescent="0.25">
      <c r="A2397" s="55">
        <v>2396</v>
      </c>
      <c r="B2397" s="12" t="s">
        <v>7067</v>
      </c>
      <c r="C2397" s="155">
        <v>111</v>
      </c>
      <c r="D2397" s="55" t="s">
        <v>4209</v>
      </c>
      <c r="E2397" s="90" t="s">
        <v>2332</v>
      </c>
      <c r="H2397" s="55">
        <v>2011</v>
      </c>
      <c r="I2397" s="55">
        <v>2009</v>
      </c>
      <c r="J2397" s="12"/>
      <c r="K2397" s="55" t="s">
        <v>2307</v>
      </c>
      <c r="L2397" s="55" t="s">
        <v>2745</v>
      </c>
      <c r="M2397" s="90">
        <v>-34.115667000000002</v>
      </c>
      <c r="N2397" s="90">
        <v>-63.366039000000001</v>
      </c>
      <c r="O2397" s="90">
        <v>138.6</v>
      </c>
      <c r="Q2397" s="55">
        <v>16.8</v>
      </c>
      <c r="S2397" s="90">
        <v>1022</v>
      </c>
      <c r="U2397" s="55" t="s">
        <v>1805</v>
      </c>
      <c r="V2397" s="55" t="s">
        <v>1682</v>
      </c>
      <c r="Y2397" s="55" t="s">
        <v>2310</v>
      </c>
      <c r="Z2397" s="55" t="s">
        <v>1346</v>
      </c>
      <c r="AA2397" s="90" t="s">
        <v>1675</v>
      </c>
      <c r="AD2397" s="90">
        <v>1.18333333333333</v>
      </c>
      <c r="AH2397" s="55" t="s">
        <v>6378</v>
      </c>
      <c r="AM2397" s="55" t="s">
        <v>1319</v>
      </c>
      <c r="AN2397" s="185" t="s">
        <v>4465</v>
      </c>
      <c r="AO2397" s="185" t="s">
        <v>5150</v>
      </c>
      <c r="AQ2397" s="55" t="s">
        <v>1545</v>
      </c>
      <c r="AR2397" s="55" t="s">
        <v>158</v>
      </c>
      <c r="AS2397" s="55" t="s">
        <v>158</v>
      </c>
      <c r="AT2397" s="181" t="s">
        <v>2315</v>
      </c>
      <c r="AU2397" s="181" t="s">
        <v>5150</v>
      </c>
      <c r="AV2397" s="185" t="s">
        <v>479</v>
      </c>
      <c r="AW2397" s="55" t="s">
        <v>2315</v>
      </c>
      <c r="AX2397" s="185" t="s">
        <v>479</v>
      </c>
      <c r="BK2397" s="55" t="s">
        <v>5976</v>
      </c>
      <c r="BN2397" s="55">
        <v>3</v>
      </c>
      <c r="BO2397" s="55">
        <v>3</v>
      </c>
      <c r="BU2397" s="55" t="s">
        <v>2312</v>
      </c>
      <c r="BV2397" s="55" t="s">
        <v>2758</v>
      </c>
      <c r="CH2397" s="90">
        <v>1.18333333333333</v>
      </c>
      <c r="CI2397" s="90">
        <v>1.1825000000000001</v>
      </c>
      <c r="CM2397" s="65">
        <f>(CR2397*1000000)/(100*100*CH2397*AA2397/100*1000000)*100</f>
        <v>1.6521126760563429</v>
      </c>
      <c r="CN2397" s="65">
        <f>(CS2397*1000000)/(100*100*CI2397*AA2397/100*1000000)*100</f>
        <v>1.8520084566596189</v>
      </c>
      <c r="CR2397" s="65">
        <v>39.1</v>
      </c>
      <c r="CS2397" s="65">
        <v>43.8</v>
      </c>
      <c r="CV2397" s="65" t="s">
        <v>2052</v>
      </c>
      <c r="DA2397" s="65" t="s">
        <v>4463</v>
      </c>
      <c r="GP2397" s="292" t="s">
        <v>7494</v>
      </c>
      <c r="JU2397" s="55" t="s">
        <v>2342</v>
      </c>
    </row>
    <row r="2398" spans="1:281" x14ac:dyDescent="0.25">
      <c r="A2398" s="55">
        <v>2397</v>
      </c>
      <c r="B2398" s="12" t="s">
        <v>7067</v>
      </c>
      <c r="C2398" s="155">
        <v>111</v>
      </c>
      <c r="D2398" s="55" t="s">
        <v>4209</v>
      </c>
      <c r="E2398" s="90" t="s">
        <v>2332</v>
      </c>
      <c r="H2398" s="55">
        <v>2011</v>
      </c>
      <c r="I2398" s="55">
        <v>2009</v>
      </c>
      <c r="J2398" s="12"/>
      <c r="K2398" s="55" t="s">
        <v>2307</v>
      </c>
      <c r="L2398" s="55" t="s">
        <v>2745</v>
      </c>
      <c r="M2398" s="90">
        <v>-34.115667000000002</v>
      </c>
      <c r="N2398" s="90">
        <v>-63.366039000000001</v>
      </c>
      <c r="O2398" s="90">
        <v>138.6</v>
      </c>
      <c r="Q2398" s="55">
        <v>16.8</v>
      </c>
      <c r="S2398" s="90">
        <v>1022</v>
      </c>
      <c r="U2398" s="55" t="s">
        <v>1805</v>
      </c>
      <c r="V2398" s="55" t="s">
        <v>1682</v>
      </c>
      <c r="Y2398" s="55" t="s">
        <v>2313</v>
      </c>
      <c r="Z2398" s="55" t="s">
        <v>1346</v>
      </c>
      <c r="AA2398" s="90" t="s">
        <v>1675</v>
      </c>
      <c r="AD2398" s="90">
        <v>1.18333333333333</v>
      </c>
      <c r="AH2398" s="55" t="s">
        <v>6378</v>
      </c>
      <c r="AM2398" s="55" t="s">
        <v>1319</v>
      </c>
      <c r="AN2398" s="185" t="s">
        <v>4465</v>
      </c>
      <c r="AO2398" s="185" t="s">
        <v>5150</v>
      </c>
      <c r="AQ2398" s="55" t="s">
        <v>1545</v>
      </c>
      <c r="AR2398" s="55" t="s">
        <v>158</v>
      </c>
      <c r="AS2398" s="55" t="s">
        <v>158</v>
      </c>
      <c r="AT2398" s="181" t="s">
        <v>2315</v>
      </c>
      <c r="AU2398" s="181" t="s">
        <v>5150</v>
      </c>
      <c r="AV2398" s="185" t="s">
        <v>479</v>
      </c>
      <c r="AW2398" s="55" t="s">
        <v>2315</v>
      </c>
      <c r="AX2398" s="185" t="s">
        <v>479</v>
      </c>
      <c r="BK2398" s="55" t="s">
        <v>5976</v>
      </c>
      <c r="BN2398" s="55">
        <v>3</v>
      </c>
      <c r="BO2398" s="55">
        <v>3</v>
      </c>
      <c r="BU2398" s="55" t="s">
        <v>2312</v>
      </c>
      <c r="BV2398" s="55" t="s">
        <v>2758</v>
      </c>
      <c r="CH2398" s="90">
        <v>1.18333333333333</v>
      </c>
      <c r="CI2398" s="90">
        <v>1.1825000000000001</v>
      </c>
      <c r="CM2398" s="65">
        <f>(CR2398*1000000)/(100*100*CH2398*AA2398/100*1000000)*100</f>
        <v>1.6859154929577513</v>
      </c>
      <c r="CN2398" s="65">
        <f>(CS2398*1000000)/(100*100*CI2398*AA2398/100*1000000)*100</f>
        <v>1.7505285412262155</v>
      </c>
      <c r="CR2398" s="65">
        <v>39.9</v>
      </c>
      <c r="CS2398" s="65">
        <v>41.4</v>
      </c>
      <c r="CV2398" s="65" t="s">
        <v>2052</v>
      </c>
      <c r="DA2398" s="65" t="s">
        <v>4463</v>
      </c>
      <c r="GP2398" s="292" t="s">
        <v>7494</v>
      </c>
      <c r="JU2398" s="55" t="s">
        <v>2342</v>
      </c>
    </row>
    <row r="2399" spans="1:281" x14ac:dyDescent="0.25">
      <c r="A2399" s="55">
        <v>2398</v>
      </c>
      <c r="B2399" s="12" t="s">
        <v>7067</v>
      </c>
      <c r="C2399" s="155">
        <v>111</v>
      </c>
      <c r="D2399" s="55" t="s">
        <v>4209</v>
      </c>
      <c r="E2399" s="90" t="s">
        <v>2332</v>
      </c>
      <c r="H2399" s="55">
        <v>2011</v>
      </c>
      <c r="I2399" s="55">
        <v>2009</v>
      </c>
      <c r="J2399" s="12"/>
      <c r="K2399" s="55" t="s">
        <v>2307</v>
      </c>
      <c r="L2399" s="55" t="s">
        <v>2745</v>
      </c>
      <c r="M2399" s="90">
        <v>-34.115667000000002</v>
      </c>
      <c r="N2399" s="90">
        <v>-63.366039000000001</v>
      </c>
      <c r="O2399" s="90">
        <v>138.6</v>
      </c>
      <c r="Q2399" s="55">
        <v>16.8</v>
      </c>
      <c r="S2399" s="90">
        <v>1022</v>
      </c>
      <c r="U2399" s="55" t="s">
        <v>1935</v>
      </c>
      <c r="V2399" s="55" t="s">
        <v>1682</v>
      </c>
      <c r="Y2399" s="55" t="s">
        <v>2310</v>
      </c>
      <c r="Z2399" s="55" t="s">
        <v>1346</v>
      </c>
      <c r="AA2399" s="90" t="s">
        <v>1675</v>
      </c>
      <c r="AD2399" s="90">
        <v>1.18333333333333</v>
      </c>
      <c r="AH2399" s="55" t="s">
        <v>6378</v>
      </c>
      <c r="AM2399" s="55" t="s">
        <v>1319</v>
      </c>
      <c r="AN2399" s="185" t="s">
        <v>2316</v>
      </c>
      <c r="AO2399" s="185" t="s">
        <v>5150</v>
      </c>
      <c r="AQ2399" s="55" t="s">
        <v>1545</v>
      </c>
      <c r="AR2399" s="55" t="s">
        <v>132</v>
      </c>
      <c r="AS2399" s="55" t="s">
        <v>132</v>
      </c>
      <c r="AT2399" s="181" t="s">
        <v>2315</v>
      </c>
      <c r="AU2399" s="181" t="s">
        <v>5150</v>
      </c>
      <c r="AV2399" s="185" t="s">
        <v>479</v>
      </c>
      <c r="AW2399" s="55" t="s">
        <v>2315</v>
      </c>
      <c r="AX2399" s="185" t="s">
        <v>479</v>
      </c>
      <c r="BH2399" s="226">
        <v>32</v>
      </c>
      <c r="BI2399" s="191" t="s">
        <v>479</v>
      </c>
      <c r="BK2399" s="55" t="s">
        <v>5976</v>
      </c>
      <c r="BN2399" s="55">
        <v>3</v>
      </c>
      <c r="BO2399" s="55">
        <v>3</v>
      </c>
      <c r="BU2399" s="55" t="s">
        <v>2309</v>
      </c>
      <c r="BV2399" s="55" t="s">
        <v>2758</v>
      </c>
      <c r="CH2399" s="90">
        <v>1.18333333333333</v>
      </c>
      <c r="CI2399" s="90">
        <v>1.1825000000000001</v>
      </c>
      <c r="CM2399" s="65">
        <f>(CR2399*1000000)/(100*100*CH2399*AA2399/100*1000000)*100</f>
        <v>1.6774647887323992</v>
      </c>
      <c r="CN2399" s="65">
        <f>(CS2399*1000000)/(100*100*CI2399*AA2399/100*1000000)*100</f>
        <v>1.7547568710359407</v>
      </c>
      <c r="CR2399" s="65">
        <v>39.700000000000003</v>
      </c>
      <c r="CS2399" s="65">
        <v>41.5</v>
      </c>
      <c r="CV2399" s="65" t="s">
        <v>2052</v>
      </c>
      <c r="DA2399" s="65" t="s">
        <v>4463</v>
      </c>
      <c r="GP2399" s="292" t="s">
        <v>7494</v>
      </c>
      <c r="JU2399" s="55" t="s">
        <v>2342</v>
      </c>
    </row>
    <row r="2400" spans="1:281" x14ac:dyDescent="0.25">
      <c r="A2400" s="55">
        <v>2399</v>
      </c>
      <c r="B2400" s="12" t="s">
        <v>7067</v>
      </c>
      <c r="C2400" s="155">
        <v>111</v>
      </c>
      <c r="D2400" s="55" t="s">
        <v>4209</v>
      </c>
      <c r="E2400" s="90" t="s">
        <v>2332</v>
      </c>
      <c r="H2400" s="55">
        <v>2011</v>
      </c>
      <c r="I2400" s="55">
        <v>2009</v>
      </c>
      <c r="J2400" s="12"/>
      <c r="K2400" s="55" t="s">
        <v>2307</v>
      </c>
      <c r="L2400" s="55" t="s">
        <v>2745</v>
      </c>
      <c r="M2400" s="90">
        <v>-34.115667000000002</v>
      </c>
      <c r="N2400" s="90">
        <v>-63.366039000000001</v>
      </c>
      <c r="O2400" s="90">
        <v>138.6</v>
      </c>
      <c r="Q2400" s="55">
        <v>16.8</v>
      </c>
      <c r="S2400" s="90">
        <v>1022</v>
      </c>
      <c r="U2400" s="55" t="s">
        <v>1935</v>
      </c>
      <c r="V2400" s="55" t="s">
        <v>1682</v>
      </c>
      <c r="Y2400" s="55" t="s">
        <v>2311</v>
      </c>
      <c r="Z2400" s="55" t="s">
        <v>1346</v>
      </c>
      <c r="AA2400" s="90" t="s">
        <v>1675</v>
      </c>
      <c r="AD2400" s="90">
        <v>1.18333333333333</v>
      </c>
      <c r="AH2400" s="55" t="s">
        <v>6378</v>
      </c>
      <c r="AM2400" s="55" t="s">
        <v>1319</v>
      </c>
      <c r="AN2400" s="185" t="s">
        <v>2316</v>
      </c>
      <c r="AO2400" s="185" t="s">
        <v>5150</v>
      </c>
      <c r="AQ2400" s="55" t="s">
        <v>1545</v>
      </c>
      <c r="AR2400" s="55" t="s">
        <v>132</v>
      </c>
      <c r="AS2400" s="55" t="s">
        <v>132</v>
      </c>
      <c r="AT2400" s="181" t="s">
        <v>2315</v>
      </c>
      <c r="AU2400" s="181" t="s">
        <v>5150</v>
      </c>
      <c r="AV2400" s="185" t="s">
        <v>479</v>
      </c>
      <c r="AW2400" s="55" t="s">
        <v>2315</v>
      </c>
      <c r="AX2400" s="185" t="s">
        <v>479</v>
      </c>
      <c r="BH2400" s="226">
        <v>32</v>
      </c>
      <c r="BI2400" s="191" t="s">
        <v>479</v>
      </c>
      <c r="BK2400" s="55" t="s">
        <v>5976</v>
      </c>
      <c r="BN2400" s="55">
        <v>3</v>
      </c>
      <c r="BO2400" s="55">
        <v>3</v>
      </c>
      <c r="BU2400" s="55" t="s">
        <v>2309</v>
      </c>
      <c r="BV2400" s="55" t="s">
        <v>2758</v>
      </c>
      <c r="CH2400" s="90">
        <v>1.18333333333333</v>
      </c>
      <c r="CI2400" s="90">
        <v>1.1825000000000001</v>
      </c>
      <c r="CM2400" s="65">
        <f>(CR2400*1000000)/(100*100*CH2400*AA2400/100*1000000)*100</f>
        <v>1.7746478873239486</v>
      </c>
      <c r="CN2400" s="65">
        <f>(CS2400*1000000)/(100*100*CI2400*AA2400/100*1000000)*100</f>
        <v>1.9069767441860463</v>
      </c>
      <c r="CR2400" s="65">
        <v>42</v>
      </c>
      <c r="CS2400" s="65">
        <v>45.1</v>
      </c>
      <c r="CV2400" s="65" t="s">
        <v>2052</v>
      </c>
      <c r="DA2400" s="65" t="s">
        <v>4463</v>
      </c>
      <c r="GP2400" s="292" t="s">
        <v>7494</v>
      </c>
      <c r="JU2400" s="55" t="s">
        <v>2342</v>
      </c>
    </row>
    <row r="2401" spans="1:281" x14ac:dyDescent="0.25">
      <c r="A2401" s="55">
        <v>2400</v>
      </c>
      <c r="B2401" s="12" t="s">
        <v>7067</v>
      </c>
      <c r="C2401" s="155">
        <v>111</v>
      </c>
      <c r="D2401" s="55" t="s">
        <v>4209</v>
      </c>
      <c r="E2401" s="90" t="s">
        <v>2332</v>
      </c>
      <c r="H2401" s="55">
        <v>2011</v>
      </c>
      <c r="I2401" s="55">
        <v>2009</v>
      </c>
      <c r="J2401" s="12"/>
      <c r="K2401" s="55" t="s">
        <v>2307</v>
      </c>
      <c r="L2401" s="55" t="s">
        <v>2745</v>
      </c>
      <c r="M2401" s="90">
        <v>-34.115667000000002</v>
      </c>
      <c r="N2401" s="90">
        <v>-63.366039000000001</v>
      </c>
      <c r="O2401" s="90">
        <v>138.6</v>
      </c>
      <c r="Q2401" s="55">
        <v>16.8</v>
      </c>
      <c r="S2401" s="90">
        <v>1022</v>
      </c>
      <c r="U2401" s="55" t="s">
        <v>1805</v>
      </c>
      <c r="V2401" s="55" t="s">
        <v>1682</v>
      </c>
      <c r="Y2401" s="55" t="s">
        <v>2310</v>
      </c>
      <c r="Z2401" s="55" t="s">
        <v>1346</v>
      </c>
      <c r="AA2401" s="90" t="s">
        <v>1675</v>
      </c>
      <c r="AD2401" s="90">
        <v>1.18333333333333</v>
      </c>
      <c r="AH2401" s="55" t="s">
        <v>6378</v>
      </c>
      <c r="AM2401" s="55" t="s">
        <v>1319</v>
      </c>
      <c r="AN2401" s="185" t="s">
        <v>2316</v>
      </c>
      <c r="AO2401" s="185" t="s">
        <v>5150</v>
      </c>
      <c r="AQ2401" s="55" t="s">
        <v>1545</v>
      </c>
      <c r="AR2401" s="55" t="s">
        <v>158</v>
      </c>
      <c r="AS2401" s="55" t="s">
        <v>158</v>
      </c>
      <c r="AT2401" s="181" t="s">
        <v>2315</v>
      </c>
      <c r="AU2401" s="181" t="s">
        <v>5150</v>
      </c>
      <c r="AV2401" s="185" t="s">
        <v>479</v>
      </c>
      <c r="AW2401" s="55" t="s">
        <v>2315</v>
      </c>
      <c r="AX2401" s="185" t="s">
        <v>479</v>
      </c>
      <c r="BK2401" s="55" t="s">
        <v>5976</v>
      </c>
      <c r="BN2401" s="55">
        <v>3</v>
      </c>
      <c r="BO2401" s="55">
        <v>3</v>
      </c>
      <c r="BU2401" s="55" t="s">
        <v>2312</v>
      </c>
      <c r="BV2401" s="55" t="s">
        <v>2758</v>
      </c>
      <c r="CH2401" s="90">
        <v>1.18333333333333</v>
      </c>
      <c r="CI2401" s="90">
        <v>1.1825000000000001</v>
      </c>
      <c r="CM2401" s="65">
        <f>(CR2401*1000000)/(100*100*CH2401*AA2401/100*1000000)*100</f>
        <v>1.6521126760563429</v>
      </c>
      <c r="CN2401" s="65">
        <f>(CS2401*1000000)/(100*100*CI2401*AA2401/100*1000000)*100</f>
        <v>1.7293868921775895</v>
      </c>
      <c r="CR2401" s="65">
        <v>39.1</v>
      </c>
      <c r="CS2401" s="65">
        <v>40.9</v>
      </c>
      <c r="CV2401" s="65" t="s">
        <v>2052</v>
      </c>
      <c r="DA2401" s="65" t="s">
        <v>4463</v>
      </c>
      <c r="GP2401" s="292" t="s">
        <v>7494</v>
      </c>
      <c r="JU2401" s="55" t="s">
        <v>2342</v>
      </c>
    </row>
    <row r="2402" spans="1:281" x14ac:dyDescent="0.25">
      <c r="A2402" s="55">
        <v>2401</v>
      </c>
      <c r="B2402" s="12" t="s">
        <v>7067</v>
      </c>
      <c r="C2402" s="155">
        <v>111</v>
      </c>
      <c r="D2402" s="55" t="s">
        <v>4209</v>
      </c>
      <c r="E2402" s="90" t="s">
        <v>2332</v>
      </c>
      <c r="H2402" s="55">
        <v>2011</v>
      </c>
      <c r="I2402" s="55">
        <v>2009</v>
      </c>
      <c r="J2402" s="12"/>
      <c r="K2402" s="55" t="s">
        <v>2307</v>
      </c>
      <c r="L2402" s="55" t="s">
        <v>2745</v>
      </c>
      <c r="M2402" s="90">
        <v>-34.115667000000002</v>
      </c>
      <c r="N2402" s="90">
        <v>-63.366039000000001</v>
      </c>
      <c r="O2402" s="90">
        <v>138.6</v>
      </c>
      <c r="Q2402" s="55">
        <v>16.8</v>
      </c>
      <c r="S2402" s="90">
        <v>1022</v>
      </c>
      <c r="U2402" s="55" t="s">
        <v>1805</v>
      </c>
      <c r="V2402" s="55" t="s">
        <v>1682</v>
      </c>
      <c r="Y2402" s="55" t="s">
        <v>2313</v>
      </c>
      <c r="Z2402" s="55" t="s">
        <v>1346</v>
      </c>
      <c r="AA2402" s="90" t="s">
        <v>1675</v>
      </c>
      <c r="AD2402" s="90">
        <v>1.18333333333333</v>
      </c>
      <c r="AH2402" s="55" t="s">
        <v>6378</v>
      </c>
      <c r="AM2402" s="55" t="s">
        <v>1319</v>
      </c>
      <c r="AN2402" s="185" t="s">
        <v>2316</v>
      </c>
      <c r="AO2402" s="185" t="s">
        <v>5150</v>
      </c>
      <c r="AQ2402" s="55" t="s">
        <v>1545</v>
      </c>
      <c r="AR2402" s="55" t="s">
        <v>158</v>
      </c>
      <c r="AS2402" s="55" t="s">
        <v>158</v>
      </c>
      <c r="AT2402" s="181" t="s">
        <v>2315</v>
      </c>
      <c r="AU2402" s="181" t="s">
        <v>5150</v>
      </c>
      <c r="AV2402" s="185" t="s">
        <v>479</v>
      </c>
      <c r="AW2402" s="55" t="s">
        <v>2315</v>
      </c>
      <c r="AX2402" s="185" t="s">
        <v>479</v>
      </c>
      <c r="BK2402" s="55" t="s">
        <v>5976</v>
      </c>
      <c r="BN2402" s="55">
        <v>3</v>
      </c>
      <c r="BO2402" s="55">
        <v>3</v>
      </c>
      <c r="BU2402" s="55" t="s">
        <v>2312</v>
      </c>
      <c r="BV2402" s="55" t="s">
        <v>2758</v>
      </c>
      <c r="CH2402" s="90">
        <v>1.18333333333333</v>
      </c>
      <c r="CI2402" s="90">
        <v>1.1825000000000001</v>
      </c>
      <c r="CM2402" s="65">
        <f>(CR2402*1000000)/(100*100*CH2402*AA2402/100*1000000)*100</f>
        <v>1.6859154929577513</v>
      </c>
      <c r="CN2402" s="65">
        <f>(CS2402*1000000)/(100*100*CI2402*AA2402/100*1000000)*100</f>
        <v>1.720930232558139</v>
      </c>
      <c r="CR2402" s="65">
        <v>39.9</v>
      </c>
      <c r="CS2402" s="65">
        <v>40.700000000000003</v>
      </c>
      <c r="CV2402" s="65" t="s">
        <v>2052</v>
      </c>
      <c r="DA2402" s="65" t="s">
        <v>4463</v>
      </c>
      <c r="GP2402" s="292" t="s">
        <v>7494</v>
      </c>
      <c r="JU2402" s="55" t="s">
        <v>2342</v>
      </c>
    </row>
    <row r="2403" spans="1:281" x14ac:dyDescent="0.25">
      <c r="A2403" s="55">
        <v>2402</v>
      </c>
      <c r="B2403" s="12" t="s">
        <v>7067</v>
      </c>
      <c r="C2403" s="155">
        <v>111</v>
      </c>
      <c r="D2403" s="55" t="s">
        <v>4209</v>
      </c>
      <c r="E2403" s="90" t="s">
        <v>2332</v>
      </c>
      <c r="H2403" s="55">
        <v>2011</v>
      </c>
      <c r="I2403" s="55">
        <v>2009</v>
      </c>
      <c r="J2403" s="12"/>
      <c r="K2403" s="55" t="s">
        <v>2307</v>
      </c>
      <c r="L2403" s="55" t="s">
        <v>2745</v>
      </c>
      <c r="M2403" s="90">
        <v>-34.115667000000002</v>
      </c>
      <c r="N2403" s="90">
        <v>-63.366039000000001</v>
      </c>
      <c r="O2403" s="90">
        <v>138.6</v>
      </c>
      <c r="Q2403" s="55">
        <v>16.8</v>
      </c>
      <c r="S2403" s="90">
        <v>1022</v>
      </c>
      <c r="U2403" s="55" t="s">
        <v>1935</v>
      </c>
      <c r="V2403" s="55" t="s">
        <v>1682</v>
      </c>
      <c r="Y2403" s="55" t="s">
        <v>2310</v>
      </c>
      <c r="Z2403" s="55" t="s">
        <v>1346</v>
      </c>
      <c r="AA2403" s="90" t="s">
        <v>1675</v>
      </c>
      <c r="AD2403" s="90">
        <v>1.18333333333333</v>
      </c>
      <c r="AH2403" s="55" t="s">
        <v>6378</v>
      </c>
      <c r="AM2403" s="55" t="s">
        <v>1319</v>
      </c>
      <c r="AN2403" s="185" t="s">
        <v>2186</v>
      </c>
      <c r="AO2403" s="185" t="s">
        <v>5150</v>
      </c>
      <c r="AQ2403" s="55" t="s">
        <v>1097</v>
      </c>
      <c r="AR2403" s="55" t="s">
        <v>132</v>
      </c>
      <c r="AS2403" s="55" t="s">
        <v>132</v>
      </c>
      <c r="AT2403" s="181" t="s">
        <v>2315</v>
      </c>
      <c r="AU2403" s="181" t="s">
        <v>5150</v>
      </c>
      <c r="AV2403" s="185" t="s">
        <v>479</v>
      </c>
      <c r="AW2403" s="55" t="s">
        <v>2315</v>
      </c>
      <c r="AX2403" s="185" t="s">
        <v>479</v>
      </c>
      <c r="BH2403" s="226">
        <v>32</v>
      </c>
      <c r="BI2403" s="191" t="s">
        <v>479</v>
      </c>
      <c r="BK2403" s="55" t="s">
        <v>5976</v>
      </c>
      <c r="BN2403" s="55">
        <v>3</v>
      </c>
      <c r="BO2403" s="55">
        <v>3</v>
      </c>
      <c r="BU2403" s="55" t="s">
        <v>2309</v>
      </c>
      <c r="BV2403" s="55" t="s">
        <v>2758</v>
      </c>
      <c r="CH2403" s="90">
        <v>1.18333333333333</v>
      </c>
      <c r="CI2403" s="90">
        <v>1.1825000000000001</v>
      </c>
      <c r="CM2403" s="65">
        <f>(CR2403*1000000)/(100*100*CH2403*AA2403/100*1000000)*100</f>
        <v>1.6774647887323992</v>
      </c>
      <c r="CN2403" s="65">
        <f>(CS2403*1000000)/(100*100*CI2403*AA2403/100*1000000)*100</f>
        <v>1.7547568710359407</v>
      </c>
      <c r="CR2403" s="65">
        <v>39.700000000000003</v>
      </c>
      <c r="CS2403" s="65">
        <v>41.5</v>
      </c>
      <c r="CV2403" s="65" t="s">
        <v>2052</v>
      </c>
      <c r="DA2403" s="65" t="s">
        <v>4463</v>
      </c>
      <c r="GP2403" s="292" t="s">
        <v>7494</v>
      </c>
      <c r="JU2403" s="55" t="s">
        <v>2342</v>
      </c>
    </row>
    <row r="2404" spans="1:281" x14ac:dyDescent="0.25">
      <c r="A2404" s="55">
        <v>2403</v>
      </c>
      <c r="B2404" s="12" t="s">
        <v>7067</v>
      </c>
      <c r="C2404" s="155">
        <v>111</v>
      </c>
      <c r="D2404" s="55" t="s">
        <v>4209</v>
      </c>
      <c r="E2404" s="90" t="s">
        <v>2332</v>
      </c>
      <c r="H2404" s="55">
        <v>2011</v>
      </c>
      <c r="I2404" s="55">
        <v>2009</v>
      </c>
      <c r="J2404" s="12"/>
      <c r="K2404" s="55" t="s">
        <v>2307</v>
      </c>
      <c r="L2404" s="55" t="s">
        <v>2745</v>
      </c>
      <c r="M2404" s="90">
        <v>-34.115667000000002</v>
      </c>
      <c r="N2404" s="90">
        <v>-63.366039000000001</v>
      </c>
      <c r="O2404" s="90">
        <v>138.6</v>
      </c>
      <c r="Q2404" s="55">
        <v>16.8</v>
      </c>
      <c r="S2404" s="90">
        <v>1022</v>
      </c>
      <c r="U2404" s="55" t="s">
        <v>1935</v>
      </c>
      <c r="V2404" s="55" t="s">
        <v>1682</v>
      </c>
      <c r="Y2404" s="55" t="s">
        <v>2311</v>
      </c>
      <c r="Z2404" s="55" t="s">
        <v>1346</v>
      </c>
      <c r="AA2404" s="90" t="s">
        <v>1675</v>
      </c>
      <c r="AD2404" s="90">
        <v>1.18333333333333</v>
      </c>
      <c r="AH2404" s="55" t="s">
        <v>6378</v>
      </c>
      <c r="AM2404" s="55" t="s">
        <v>1319</v>
      </c>
      <c r="AN2404" s="185" t="s">
        <v>2186</v>
      </c>
      <c r="AO2404" s="185" t="s">
        <v>5150</v>
      </c>
      <c r="AQ2404" s="55" t="s">
        <v>1097</v>
      </c>
      <c r="AR2404" s="55" t="s">
        <v>132</v>
      </c>
      <c r="AS2404" s="55" t="s">
        <v>132</v>
      </c>
      <c r="AT2404" s="181" t="s">
        <v>2315</v>
      </c>
      <c r="AU2404" s="181" t="s">
        <v>5150</v>
      </c>
      <c r="AV2404" s="185" t="s">
        <v>479</v>
      </c>
      <c r="AW2404" s="55" t="s">
        <v>2315</v>
      </c>
      <c r="AX2404" s="185" t="s">
        <v>479</v>
      </c>
      <c r="BH2404" s="226">
        <v>32</v>
      </c>
      <c r="BI2404" s="191" t="s">
        <v>479</v>
      </c>
      <c r="BK2404" s="55" t="s">
        <v>5976</v>
      </c>
      <c r="BN2404" s="55">
        <v>3</v>
      </c>
      <c r="BO2404" s="55">
        <v>3</v>
      </c>
      <c r="BU2404" s="55" t="s">
        <v>2309</v>
      </c>
      <c r="BV2404" s="55" t="s">
        <v>2758</v>
      </c>
      <c r="CH2404" s="90">
        <v>1.18333333333333</v>
      </c>
      <c r="CI2404" s="90">
        <v>1.1825000000000001</v>
      </c>
      <c r="CM2404" s="65">
        <f>(CR2404*1000000)/(100*100*CH2404*AA2404/100*1000000)*100</f>
        <v>1.7746478873239486</v>
      </c>
      <c r="CN2404" s="65">
        <f>(CS2404*1000000)/(100*100*CI2404*AA2404/100*1000000)*100</f>
        <v>1.8097251585623677</v>
      </c>
      <c r="CR2404" s="65">
        <v>42</v>
      </c>
      <c r="CS2404" s="65">
        <v>42.8</v>
      </c>
      <c r="CV2404" s="65" t="s">
        <v>2052</v>
      </c>
      <c r="DA2404" s="65" t="s">
        <v>4463</v>
      </c>
      <c r="GP2404" s="292" t="s">
        <v>7494</v>
      </c>
      <c r="JU2404" s="55" t="s">
        <v>2342</v>
      </c>
    </row>
    <row r="2405" spans="1:281" x14ac:dyDescent="0.25">
      <c r="A2405" s="55">
        <v>2404</v>
      </c>
      <c r="B2405" s="12" t="s">
        <v>7067</v>
      </c>
      <c r="C2405" s="155">
        <v>111</v>
      </c>
      <c r="D2405" s="55" t="s">
        <v>4209</v>
      </c>
      <c r="E2405" s="90" t="s">
        <v>2332</v>
      </c>
      <c r="H2405" s="55">
        <v>2011</v>
      </c>
      <c r="I2405" s="55">
        <v>2009</v>
      </c>
      <c r="J2405" s="12"/>
      <c r="K2405" s="55" t="s">
        <v>2307</v>
      </c>
      <c r="L2405" s="55" t="s">
        <v>2745</v>
      </c>
      <c r="M2405" s="90">
        <v>-34.115667000000002</v>
      </c>
      <c r="N2405" s="90">
        <v>-63.366039000000001</v>
      </c>
      <c r="O2405" s="90">
        <v>138.6</v>
      </c>
      <c r="Q2405" s="55">
        <v>16.8</v>
      </c>
      <c r="S2405" s="90">
        <v>1022</v>
      </c>
      <c r="U2405" s="55" t="s">
        <v>1805</v>
      </c>
      <c r="V2405" s="55" t="s">
        <v>1682</v>
      </c>
      <c r="Y2405" s="55" t="s">
        <v>2310</v>
      </c>
      <c r="Z2405" s="55" t="s">
        <v>1346</v>
      </c>
      <c r="AA2405" s="90" t="s">
        <v>1675</v>
      </c>
      <c r="AD2405" s="90">
        <v>1.18333333333333</v>
      </c>
      <c r="AH2405" s="55" t="s">
        <v>6378</v>
      </c>
      <c r="AM2405" s="55" t="s">
        <v>1319</v>
      </c>
      <c r="AN2405" s="185" t="s">
        <v>2186</v>
      </c>
      <c r="AO2405" s="185" t="s">
        <v>5150</v>
      </c>
      <c r="AQ2405" s="55" t="s">
        <v>1097</v>
      </c>
      <c r="AR2405" s="55" t="s">
        <v>158</v>
      </c>
      <c r="AS2405" s="55" t="s">
        <v>158</v>
      </c>
      <c r="AT2405" s="181" t="s">
        <v>2315</v>
      </c>
      <c r="AU2405" s="181" t="s">
        <v>5150</v>
      </c>
      <c r="AV2405" s="185" t="s">
        <v>479</v>
      </c>
      <c r="AW2405" s="55" t="s">
        <v>2315</v>
      </c>
      <c r="AX2405" s="185" t="s">
        <v>479</v>
      </c>
      <c r="BK2405" s="55" t="s">
        <v>5976</v>
      </c>
      <c r="BN2405" s="55">
        <v>3</v>
      </c>
      <c r="BO2405" s="55">
        <v>3</v>
      </c>
      <c r="BU2405" s="55" t="s">
        <v>2312</v>
      </c>
      <c r="BV2405" s="55" t="s">
        <v>2758</v>
      </c>
      <c r="CH2405" s="90">
        <v>1.18333333333333</v>
      </c>
      <c r="CI2405" s="90">
        <v>1.1825000000000001</v>
      </c>
      <c r="CM2405" s="65">
        <f>(CR2405*1000000)/(100*100*CH2405*AA2405/100*1000000)*100</f>
        <v>1.6521126760563429</v>
      </c>
      <c r="CN2405" s="65">
        <f>(CS2405*1000000)/(100*100*CI2405*AA2405/100*1000000)*100</f>
        <v>1.691331923890063</v>
      </c>
      <c r="CR2405" s="65">
        <v>39.1</v>
      </c>
      <c r="CS2405" s="65">
        <v>40</v>
      </c>
      <c r="CV2405" s="65" t="s">
        <v>2052</v>
      </c>
      <c r="DA2405" s="65" t="s">
        <v>4463</v>
      </c>
      <c r="GP2405" s="292" t="s">
        <v>7494</v>
      </c>
      <c r="JU2405" s="55" t="s">
        <v>2342</v>
      </c>
    </row>
    <row r="2406" spans="1:281" x14ac:dyDescent="0.25">
      <c r="A2406" s="55">
        <v>2405</v>
      </c>
      <c r="B2406" s="12" t="s">
        <v>7067</v>
      </c>
      <c r="C2406" s="155">
        <v>111</v>
      </c>
      <c r="D2406" s="55" t="s">
        <v>4209</v>
      </c>
      <c r="E2406" s="90" t="s">
        <v>2332</v>
      </c>
      <c r="H2406" s="55">
        <v>2011</v>
      </c>
      <c r="I2406" s="55">
        <v>2009</v>
      </c>
      <c r="J2406" s="12"/>
      <c r="K2406" s="55" t="s">
        <v>2307</v>
      </c>
      <c r="L2406" s="55" t="s">
        <v>2745</v>
      </c>
      <c r="M2406" s="90">
        <v>-34.115667000000002</v>
      </c>
      <c r="N2406" s="90">
        <v>-63.366039000000001</v>
      </c>
      <c r="O2406" s="90">
        <v>138.6</v>
      </c>
      <c r="Q2406" s="55">
        <v>16.8</v>
      </c>
      <c r="S2406" s="90">
        <v>1022</v>
      </c>
      <c r="U2406" s="55" t="s">
        <v>1805</v>
      </c>
      <c r="V2406" s="55" t="s">
        <v>1682</v>
      </c>
      <c r="Y2406" s="55" t="s">
        <v>2313</v>
      </c>
      <c r="Z2406" s="55" t="s">
        <v>1346</v>
      </c>
      <c r="AA2406" s="90" t="s">
        <v>1675</v>
      </c>
      <c r="AD2406" s="90">
        <v>1.18333333333333</v>
      </c>
      <c r="AH2406" s="55" t="s">
        <v>6378</v>
      </c>
      <c r="AM2406" s="55" t="s">
        <v>1319</v>
      </c>
      <c r="AN2406" s="185" t="s">
        <v>2186</v>
      </c>
      <c r="AO2406" s="185" t="s">
        <v>5150</v>
      </c>
      <c r="AQ2406" s="55" t="s">
        <v>1097</v>
      </c>
      <c r="AR2406" s="55" t="s">
        <v>158</v>
      </c>
      <c r="AS2406" s="55" t="s">
        <v>158</v>
      </c>
      <c r="AT2406" s="181" t="s">
        <v>2315</v>
      </c>
      <c r="AU2406" s="181" t="s">
        <v>5150</v>
      </c>
      <c r="AV2406" s="185" t="s">
        <v>479</v>
      </c>
      <c r="AW2406" s="55" t="s">
        <v>2315</v>
      </c>
      <c r="AX2406" s="185" t="s">
        <v>479</v>
      </c>
      <c r="BK2406" s="55" t="s">
        <v>5976</v>
      </c>
      <c r="BN2406" s="55">
        <v>3</v>
      </c>
      <c r="BO2406" s="55">
        <v>3</v>
      </c>
      <c r="BU2406" s="55" t="s">
        <v>2312</v>
      </c>
      <c r="BV2406" s="55" t="s">
        <v>2758</v>
      </c>
      <c r="CH2406" s="90">
        <v>1.18333333333333</v>
      </c>
      <c r="CI2406" s="90">
        <v>1.1825000000000001</v>
      </c>
      <c r="CM2406" s="65">
        <f>(CR2406*1000000)/(100*100*CH2406*AA2406/100*1000000)*100</f>
        <v>1.6859154929577513</v>
      </c>
      <c r="CN2406" s="65">
        <f>(CS2406*1000000)/(100*100*CI2406*AA2406/100*1000000)*100</f>
        <v>1.7040169133192384</v>
      </c>
      <c r="CR2406" s="65">
        <v>39.9</v>
      </c>
      <c r="CS2406" s="65">
        <v>40.299999999999997</v>
      </c>
      <c r="CV2406" s="65" t="s">
        <v>2052</v>
      </c>
      <c r="DA2406" s="65" t="s">
        <v>4463</v>
      </c>
      <c r="GP2406" s="292" t="s">
        <v>7494</v>
      </c>
      <c r="JU2406" s="55" t="s">
        <v>2342</v>
      </c>
    </row>
    <row r="2407" spans="1:281" x14ac:dyDescent="0.25">
      <c r="A2407" s="55">
        <v>2406</v>
      </c>
      <c r="B2407" s="12" t="s">
        <v>7067</v>
      </c>
      <c r="C2407" s="155">
        <v>111</v>
      </c>
      <c r="D2407" s="55" t="s">
        <v>4209</v>
      </c>
      <c r="E2407" s="90" t="s">
        <v>2332</v>
      </c>
      <c r="H2407" s="55">
        <v>2011</v>
      </c>
      <c r="I2407" s="55">
        <v>2009</v>
      </c>
      <c r="J2407" s="12"/>
      <c r="K2407" s="55" t="s">
        <v>2307</v>
      </c>
      <c r="L2407" s="55" t="s">
        <v>2745</v>
      </c>
      <c r="M2407" s="90">
        <v>-34.115667000000002</v>
      </c>
      <c r="N2407" s="90">
        <v>-63.366039000000001</v>
      </c>
      <c r="O2407" s="90">
        <v>138.6</v>
      </c>
      <c r="Q2407" s="55">
        <v>16.8</v>
      </c>
      <c r="S2407" s="90">
        <v>1022</v>
      </c>
      <c r="U2407" s="55" t="s">
        <v>1935</v>
      </c>
      <c r="V2407" s="55" t="s">
        <v>1682</v>
      </c>
      <c r="Y2407" s="55" t="s">
        <v>2310</v>
      </c>
      <c r="Z2407" s="55" t="s">
        <v>1346</v>
      </c>
      <c r="AA2407" s="90" t="s">
        <v>1675</v>
      </c>
      <c r="AD2407" s="90">
        <v>1.18333333333333</v>
      </c>
      <c r="AH2407" s="55" t="s">
        <v>6378</v>
      </c>
      <c r="AM2407" s="55" t="s">
        <v>1319</v>
      </c>
      <c r="AN2407" s="185" t="s">
        <v>4466</v>
      </c>
      <c r="AO2407" s="185" t="s">
        <v>5150</v>
      </c>
      <c r="AQ2407" s="55" t="s">
        <v>1097</v>
      </c>
      <c r="AR2407" s="55" t="s">
        <v>132</v>
      </c>
      <c r="AS2407" s="55" t="s">
        <v>132</v>
      </c>
      <c r="AT2407" s="181" t="s">
        <v>2315</v>
      </c>
      <c r="AU2407" s="181" t="s">
        <v>5150</v>
      </c>
      <c r="AV2407" s="185" t="s">
        <v>479</v>
      </c>
      <c r="AW2407" s="55" t="s">
        <v>2315</v>
      </c>
      <c r="AX2407" s="185" t="s">
        <v>479</v>
      </c>
      <c r="BH2407" s="226">
        <v>32</v>
      </c>
      <c r="BI2407" s="191" t="s">
        <v>479</v>
      </c>
      <c r="BK2407" s="55" t="s">
        <v>5976</v>
      </c>
      <c r="BN2407" s="55">
        <v>3</v>
      </c>
      <c r="BO2407" s="55">
        <v>3</v>
      </c>
      <c r="BU2407" s="55" t="s">
        <v>2309</v>
      </c>
      <c r="BV2407" s="55" t="s">
        <v>2758</v>
      </c>
      <c r="CH2407" s="90">
        <v>1.18333333333333</v>
      </c>
      <c r="CI2407" s="90">
        <v>1.1825000000000001</v>
      </c>
      <c r="CM2407" s="65">
        <f>(CR2407*1000000)/(100*100*CH2407*AA2407/100*1000000)*100</f>
        <v>1.6774647887323992</v>
      </c>
      <c r="CN2407" s="65">
        <f>(CS2407*1000000)/(100*100*CI2407*AA2407/100*1000000)*100</f>
        <v>1.8224101479915429</v>
      </c>
      <c r="CR2407" s="65">
        <v>39.700000000000003</v>
      </c>
      <c r="CS2407" s="65">
        <v>43.1</v>
      </c>
      <c r="CV2407" s="65" t="s">
        <v>2052</v>
      </c>
      <c r="DA2407" s="65" t="s">
        <v>4463</v>
      </c>
      <c r="GP2407" s="292" t="s">
        <v>7494</v>
      </c>
      <c r="JU2407" s="55" t="s">
        <v>2342</v>
      </c>
    </row>
    <row r="2408" spans="1:281" x14ac:dyDescent="0.25">
      <c r="A2408" s="55">
        <v>2407</v>
      </c>
      <c r="B2408" s="12" t="s">
        <v>7067</v>
      </c>
      <c r="C2408" s="155">
        <v>111</v>
      </c>
      <c r="D2408" s="55" t="s">
        <v>4209</v>
      </c>
      <c r="E2408" s="90" t="s">
        <v>2332</v>
      </c>
      <c r="H2408" s="55">
        <v>2011</v>
      </c>
      <c r="I2408" s="55">
        <v>2009</v>
      </c>
      <c r="J2408" s="12"/>
      <c r="K2408" s="55" t="s">
        <v>2307</v>
      </c>
      <c r="L2408" s="55" t="s">
        <v>2745</v>
      </c>
      <c r="M2408" s="90">
        <v>-34.115667000000002</v>
      </c>
      <c r="N2408" s="90">
        <v>-63.366039000000001</v>
      </c>
      <c r="O2408" s="90">
        <v>138.6</v>
      </c>
      <c r="Q2408" s="55">
        <v>16.8</v>
      </c>
      <c r="S2408" s="90">
        <v>1022</v>
      </c>
      <c r="U2408" s="55" t="s">
        <v>1935</v>
      </c>
      <c r="V2408" s="55" t="s">
        <v>1682</v>
      </c>
      <c r="Y2408" s="55" t="s">
        <v>2311</v>
      </c>
      <c r="Z2408" s="55" t="s">
        <v>1346</v>
      </c>
      <c r="AA2408" s="90" t="s">
        <v>1675</v>
      </c>
      <c r="AD2408" s="90">
        <v>1.18333333333333</v>
      </c>
      <c r="AH2408" s="55" t="s">
        <v>6378</v>
      </c>
      <c r="AM2408" s="55" t="s">
        <v>1319</v>
      </c>
      <c r="AN2408" s="185" t="s">
        <v>4466</v>
      </c>
      <c r="AO2408" s="185" t="s">
        <v>5150</v>
      </c>
      <c r="AQ2408" s="55" t="s">
        <v>1097</v>
      </c>
      <c r="AR2408" s="55" t="s">
        <v>132</v>
      </c>
      <c r="AS2408" s="55" t="s">
        <v>132</v>
      </c>
      <c r="AT2408" s="181" t="s">
        <v>2315</v>
      </c>
      <c r="AU2408" s="181" t="s">
        <v>5150</v>
      </c>
      <c r="AV2408" s="185" t="s">
        <v>479</v>
      </c>
      <c r="AW2408" s="55" t="s">
        <v>2315</v>
      </c>
      <c r="AX2408" s="185" t="s">
        <v>479</v>
      </c>
      <c r="BH2408" s="226">
        <v>32</v>
      </c>
      <c r="BI2408" s="191" t="s">
        <v>479</v>
      </c>
      <c r="BK2408" s="55" t="s">
        <v>5976</v>
      </c>
      <c r="BN2408" s="55">
        <v>3</v>
      </c>
      <c r="BO2408" s="55">
        <v>3</v>
      </c>
      <c r="BU2408" s="55" t="s">
        <v>2309</v>
      </c>
      <c r="BV2408" s="55" t="s">
        <v>2758</v>
      </c>
      <c r="CH2408" s="90">
        <v>1.18333333333333</v>
      </c>
      <c r="CI2408" s="90">
        <v>1.1825000000000001</v>
      </c>
      <c r="CM2408" s="65">
        <f>(CR2408*1000000)/(100*100*CH2408*AA2408/100*1000000)*100</f>
        <v>1.7746478873239486</v>
      </c>
      <c r="CN2408" s="65">
        <f>(CS2408*1000000)/(100*100*CI2408*AA2408/100*1000000)*100</f>
        <v>1.7885835095137419</v>
      </c>
      <c r="CR2408" s="65">
        <v>42</v>
      </c>
      <c r="CS2408" s="65">
        <v>42.3</v>
      </c>
      <c r="CV2408" s="65" t="s">
        <v>2052</v>
      </c>
      <c r="DA2408" s="65" t="s">
        <v>4463</v>
      </c>
      <c r="GP2408" s="292" t="s">
        <v>7494</v>
      </c>
      <c r="JU2408" s="55" t="s">
        <v>2342</v>
      </c>
    </row>
    <row r="2409" spans="1:281" x14ac:dyDescent="0.25">
      <c r="A2409" s="55">
        <v>2408</v>
      </c>
      <c r="B2409" s="12" t="s">
        <v>7067</v>
      </c>
      <c r="C2409" s="155">
        <v>111</v>
      </c>
      <c r="D2409" s="55" t="s">
        <v>4209</v>
      </c>
      <c r="E2409" s="90" t="s">
        <v>2332</v>
      </c>
      <c r="H2409" s="55">
        <v>2011</v>
      </c>
      <c r="I2409" s="55">
        <v>2009</v>
      </c>
      <c r="J2409" s="12"/>
      <c r="K2409" s="55" t="s">
        <v>2307</v>
      </c>
      <c r="L2409" s="55" t="s">
        <v>2745</v>
      </c>
      <c r="M2409" s="90">
        <v>-34.115667000000002</v>
      </c>
      <c r="N2409" s="90">
        <v>-63.366039000000001</v>
      </c>
      <c r="O2409" s="90">
        <v>138.6</v>
      </c>
      <c r="Q2409" s="55">
        <v>16.8</v>
      </c>
      <c r="S2409" s="90">
        <v>1022</v>
      </c>
      <c r="U2409" s="55" t="s">
        <v>1805</v>
      </c>
      <c r="V2409" s="55" t="s">
        <v>1682</v>
      </c>
      <c r="Y2409" s="55" t="s">
        <v>2310</v>
      </c>
      <c r="Z2409" s="55" t="s">
        <v>1346</v>
      </c>
      <c r="AA2409" s="90" t="s">
        <v>1675</v>
      </c>
      <c r="AD2409" s="90">
        <v>1.18333333333333</v>
      </c>
      <c r="AH2409" s="55" t="s">
        <v>6378</v>
      </c>
      <c r="AM2409" s="55" t="s">
        <v>1319</v>
      </c>
      <c r="AN2409" s="185" t="s">
        <v>4466</v>
      </c>
      <c r="AO2409" s="185" t="s">
        <v>5150</v>
      </c>
      <c r="AQ2409" s="55" t="s">
        <v>1097</v>
      </c>
      <c r="AR2409" s="55" t="s">
        <v>158</v>
      </c>
      <c r="AS2409" s="55" t="s">
        <v>158</v>
      </c>
      <c r="AT2409" s="181" t="s">
        <v>2315</v>
      </c>
      <c r="AU2409" s="181" t="s">
        <v>5150</v>
      </c>
      <c r="AV2409" s="185" t="s">
        <v>479</v>
      </c>
      <c r="AW2409" s="55" t="s">
        <v>2315</v>
      </c>
      <c r="AX2409" s="185" t="s">
        <v>479</v>
      </c>
      <c r="BK2409" s="55" t="s">
        <v>5976</v>
      </c>
      <c r="BN2409" s="55">
        <v>3</v>
      </c>
      <c r="BO2409" s="55">
        <v>3</v>
      </c>
      <c r="BU2409" s="55" t="s">
        <v>2312</v>
      </c>
      <c r="BV2409" s="55" t="s">
        <v>2758</v>
      </c>
      <c r="CH2409" s="90">
        <v>1.18333333333333</v>
      </c>
      <c r="CI2409" s="90">
        <v>1.1825000000000001</v>
      </c>
      <c r="CM2409" s="65">
        <f>(CR2409*1000000)/(100*100*CH2409*AA2409/100*1000000)*100</f>
        <v>1.6521126760563429</v>
      </c>
      <c r="CN2409" s="65">
        <f>(CS2409*1000000)/(100*100*CI2409*AA2409/100*1000000)*100</f>
        <v>1.6490486257928114</v>
      </c>
      <c r="CR2409" s="65">
        <v>39.1</v>
      </c>
      <c r="CS2409" s="65">
        <v>39</v>
      </c>
      <c r="CV2409" s="65" t="s">
        <v>2052</v>
      </c>
      <c r="DA2409" s="65" t="s">
        <v>4463</v>
      </c>
      <c r="GP2409" s="292" t="s">
        <v>7494</v>
      </c>
      <c r="JU2409" s="55" t="s">
        <v>2342</v>
      </c>
    </row>
    <row r="2410" spans="1:281" x14ac:dyDescent="0.25">
      <c r="A2410" s="55">
        <v>2409</v>
      </c>
      <c r="B2410" s="12" t="s">
        <v>7067</v>
      </c>
      <c r="C2410" s="155">
        <v>111</v>
      </c>
      <c r="D2410" s="55" t="s">
        <v>4209</v>
      </c>
      <c r="E2410" s="90" t="s">
        <v>2332</v>
      </c>
      <c r="H2410" s="55">
        <v>2011</v>
      </c>
      <c r="I2410" s="55">
        <v>2009</v>
      </c>
      <c r="J2410" s="12"/>
      <c r="K2410" s="55" t="s">
        <v>2307</v>
      </c>
      <c r="L2410" s="55" t="s">
        <v>2745</v>
      </c>
      <c r="M2410" s="90">
        <v>-34.115667000000002</v>
      </c>
      <c r="N2410" s="90">
        <v>-63.366039000000001</v>
      </c>
      <c r="O2410" s="90">
        <v>138.6</v>
      </c>
      <c r="Q2410" s="55">
        <v>16.8</v>
      </c>
      <c r="S2410" s="90">
        <v>1022</v>
      </c>
      <c r="U2410" s="55" t="s">
        <v>1805</v>
      </c>
      <c r="V2410" s="55" t="s">
        <v>1682</v>
      </c>
      <c r="Y2410" s="55" t="s">
        <v>2313</v>
      </c>
      <c r="Z2410" s="55" t="s">
        <v>1346</v>
      </c>
      <c r="AA2410" s="90" t="s">
        <v>1675</v>
      </c>
      <c r="AD2410" s="90">
        <v>1.18333333333333</v>
      </c>
      <c r="AH2410" s="55" t="s">
        <v>6378</v>
      </c>
      <c r="AM2410" s="55" t="s">
        <v>1319</v>
      </c>
      <c r="AN2410" s="185" t="s">
        <v>4466</v>
      </c>
      <c r="AO2410" s="185" t="s">
        <v>5150</v>
      </c>
      <c r="AQ2410" s="55" t="s">
        <v>1097</v>
      </c>
      <c r="AR2410" s="55" t="s">
        <v>158</v>
      </c>
      <c r="AS2410" s="55" t="s">
        <v>158</v>
      </c>
      <c r="AT2410" s="181" t="s">
        <v>2315</v>
      </c>
      <c r="AU2410" s="181" t="s">
        <v>5150</v>
      </c>
      <c r="AV2410" s="185" t="s">
        <v>479</v>
      </c>
      <c r="AW2410" s="55" t="s">
        <v>2315</v>
      </c>
      <c r="AX2410" s="185" t="s">
        <v>479</v>
      </c>
      <c r="BK2410" s="55" t="s">
        <v>5976</v>
      </c>
      <c r="BN2410" s="55">
        <v>3</v>
      </c>
      <c r="BO2410" s="55">
        <v>3</v>
      </c>
      <c r="BU2410" s="55" t="s">
        <v>2312</v>
      </c>
      <c r="BV2410" s="55" t="s">
        <v>2758</v>
      </c>
      <c r="CH2410" s="90">
        <v>1.18333333333333</v>
      </c>
      <c r="CI2410" s="90">
        <v>1.1825000000000001</v>
      </c>
      <c r="CM2410" s="65">
        <f>(CR2410*1000000)/(100*100*CH2410*AA2410/100*1000000)*100</f>
        <v>1.6859154929577513</v>
      </c>
      <c r="CN2410" s="65">
        <f>(CS2410*1000000)/(100*100*CI2410*AA2410/100*1000000)*100</f>
        <v>1.7040169133192384</v>
      </c>
      <c r="CR2410" s="65">
        <v>39.9</v>
      </c>
      <c r="CS2410" s="65">
        <v>40.299999999999997</v>
      </c>
      <c r="CV2410" s="65" t="s">
        <v>2052</v>
      </c>
      <c r="DA2410" s="65" t="s">
        <v>4463</v>
      </c>
      <c r="GP2410" s="292" t="s">
        <v>7494</v>
      </c>
      <c r="JU2410" s="55" t="s">
        <v>2342</v>
      </c>
    </row>
    <row r="2411" spans="1:281" x14ac:dyDescent="0.25">
      <c r="A2411" s="55">
        <v>2410</v>
      </c>
      <c r="B2411" s="12" t="s">
        <v>7067</v>
      </c>
      <c r="C2411" s="155">
        <v>111</v>
      </c>
      <c r="D2411" s="55" t="s">
        <v>4209</v>
      </c>
      <c r="E2411" s="90" t="s">
        <v>2332</v>
      </c>
      <c r="H2411" s="55">
        <v>2011</v>
      </c>
      <c r="I2411" s="55">
        <v>2009</v>
      </c>
      <c r="J2411" s="12"/>
      <c r="K2411" s="55" t="s">
        <v>2307</v>
      </c>
      <c r="L2411" s="55" t="s">
        <v>2745</v>
      </c>
      <c r="M2411" s="90">
        <v>-34.115667000000002</v>
      </c>
      <c r="N2411" s="90">
        <v>-63.366039000000001</v>
      </c>
      <c r="O2411" s="90">
        <v>138.6</v>
      </c>
      <c r="Q2411" s="55">
        <v>16.8</v>
      </c>
      <c r="S2411" s="90">
        <v>1022</v>
      </c>
      <c r="U2411" s="55" t="s">
        <v>1935</v>
      </c>
      <c r="V2411" s="55" t="s">
        <v>1682</v>
      </c>
      <c r="Y2411" s="55" t="s">
        <v>2310</v>
      </c>
      <c r="Z2411" s="55" t="s">
        <v>1346</v>
      </c>
      <c r="AA2411" s="90" t="s">
        <v>1675</v>
      </c>
      <c r="AD2411" s="90">
        <v>1.18333333333333</v>
      </c>
      <c r="AH2411" s="55" t="s">
        <v>6378</v>
      </c>
      <c r="AM2411" s="55" t="s">
        <v>1319</v>
      </c>
      <c r="AN2411" s="185" t="s">
        <v>2304</v>
      </c>
      <c r="AO2411" s="185" t="s">
        <v>5150</v>
      </c>
      <c r="AQ2411" s="55" t="s">
        <v>131</v>
      </c>
      <c r="AR2411" s="55" t="s">
        <v>132</v>
      </c>
      <c r="AS2411" s="55" t="s">
        <v>132</v>
      </c>
      <c r="AT2411" s="181" t="s">
        <v>2315</v>
      </c>
      <c r="AU2411" s="181" t="s">
        <v>5150</v>
      </c>
      <c r="AV2411" s="185" t="s">
        <v>479</v>
      </c>
      <c r="AW2411" s="55" t="s">
        <v>2315</v>
      </c>
      <c r="AX2411" s="185" t="s">
        <v>479</v>
      </c>
      <c r="BH2411" s="226">
        <v>32</v>
      </c>
      <c r="BI2411" s="191" t="s">
        <v>479</v>
      </c>
      <c r="BK2411" s="55" t="s">
        <v>5976</v>
      </c>
      <c r="BN2411" s="55">
        <v>3</v>
      </c>
      <c r="BO2411" s="55">
        <v>3</v>
      </c>
      <c r="BU2411" s="55" t="s">
        <v>2309</v>
      </c>
      <c r="BV2411" s="55" t="s">
        <v>2758</v>
      </c>
      <c r="CH2411" s="90">
        <v>1.18333333333333</v>
      </c>
      <c r="CI2411" s="90">
        <v>1.1825000000000001</v>
      </c>
      <c r="CM2411" s="65">
        <f>(CR2411*1000000)/(100*100*CH2411*AA2411/100*1000000)*100</f>
        <v>1.6774647887323992</v>
      </c>
      <c r="CN2411" s="65">
        <f>(CS2411*1000000)/(100*100*CI2411*AA2411/100*1000000)*100</f>
        <v>1.7758985200845661</v>
      </c>
      <c r="CR2411" s="65">
        <v>39.700000000000003</v>
      </c>
      <c r="CS2411" s="65">
        <v>42</v>
      </c>
      <c r="CV2411" s="65" t="s">
        <v>2052</v>
      </c>
      <c r="DA2411" s="65" t="s">
        <v>4463</v>
      </c>
      <c r="GP2411" s="292" t="s">
        <v>7494</v>
      </c>
      <c r="JU2411" s="55" t="s">
        <v>2342</v>
      </c>
    </row>
    <row r="2412" spans="1:281" x14ac:dyDescent="0.25">
      <c r="A2412" s="55">
        <v>2411</v>
      </c>
      <c r="B2412" s="12" t="s">
        <v>7067</v>
      </c>
      <c r="C2412" s="155">
        <v>111</v>
      </c>
      <c r="D2412" s="55" t="s">
        <v>4209</v>
      </c>
      <c r="E2412" s="90" t="s">
        <v>2332</v>
      </c>
      <c r="H2412" s="55">
        <v>2011</v>
      </c>
      <c r="I2412" s="55">
        <v>2009</v>
      </c>
      <c r="J2412" s="12"/>
      <c r="K2412" s="55" t="s">
        <v>2307</v>
      </c>
      <c r="L2412" s="55" t="s">
        <v>2745</v>
      </c>
      <c r="M2412" s="90">
        <v>-34.115667000000002</v>
      </c>
      <c r="N2412" s="90">
        <v>-63.366039000000001</v>
      </c>
      <c r="O2412" s="90">
        <v>138.6</v>
      </c>
      <c r="Q2412" s="55">
        <v>16.8</v>
      </c>
      <c r="S2412" s="90">
        <v>1022</v>
      </c>
      <c r="U2412" s="55" t="s">
        <v>1935</v>
      </c>
      <c r="V2412" s="55" t="s">
        <v>1682</v>
      </c>
      <c r="Y2412" s="55" t="s">
        <v>2311</v>
      </c>
      <c r="Z2412" s="55" t="s">
        <v>1346</v>
      </c>
      <c r="AA2412" s="90" t="s">
        <v>1675</v>
      </c>
      <c r="AD2412" s="90">
        <v>1.18333333333333</v>
      </c>
      <c r="AH2412" s="55" t="s">
        <v>6378</v>
      </c>
      <c r="AM2412" s="55" t="s">
        <v>1319</v>
      </c>
      <c r="AN2412" s="185" t="s">
        <v>2304</v>
      </c>
      <c r="AO2412" s="185" t="s">
        <v>5150</v>
      </c>
      <c r="AQ2412" s="55" t="s">
        <v>131</v>
      </c>
      <c r="AR2412" s="55" t="s">
        <v>132</v>
      </c>
      <c r="AS2412" s="55" t="s">
        <v>132</v>
      </c>
      <c r="AT2412" s="181" t="s">
        <v>2315</v>
      </c>
      <c r="AU2412" s="181" t="s">
        <v>5150</v>
      </c>
      <c r="AV2412" s="185" t="s">
        <v>479</v>
      </c>
      <c r="AW2412" s="55" t="s">
        <v>2315</v>
      </c>
      <c r="AX2412" s="185" t="s">
        <v>479</v>
      </c>
      <c r="BH2412" s="226">
        <v>32</v>
      </c>
      <c r="BI2412" s="191" t="s">
        <v>479</v>
      </c>
      <c r="BK2412" s="55" t="s">
        <v>5976</v>
      </c>
      <c r="BN2412" s="55">
        <v>3</v>
      </c>
      <c r="BO2412" s="55">
        <v>3</v>
      </c>
      <c r="BU2412" s="55" t="s">
        <v>2309</v>
      </c>
      <c r="BV2412" s="55" t="s">
        <v>2758</v>
      </c>
      <c r="CH2412" s="90">
        <v>1.18333333333333</v>
      </c>
      <c r="CI2412" s="90">
        <v>1.1825000000000001</v>
      </c>
      <c r="CM2412" s="65">
        <f>(CR2412*1000000)/(100*100*CH2412*AA2412/100*1000000)*100</f>
        <v>1.7746478873239486</v>
      </c>
      <c r="CN2412" s="65">
        <f>(CS2412*1000000)/(100*100*CI2412*AA2412/100*1000000)*100</f>
        <v>1.7167019027484138</v>
      </c>
      <c r="CR2412" s="65">
        <v>42</v>
      </c>
      <c r="CS2412" s="65">
        <v>40.6</v>
      </c>
      <c r="CV2412" s="65" t="s">
        <v>2052</v>
      </c>
      <c r="DA2412" s="65" t="s">
        <v>4463</v>
      </c>
      <c r="GP2412" s="292" t="s">
        <v>7494</v>
      </c>
      <c r="JU2412" s="55" t="s">
        <v>2342</v>
      </c>
    </row>
    <row r="2413" spans="1:281" x14ac:dyDescent="0.25">
      <c r="A2413" s="55">
        <v>2412</v>
      </c>
      <c r="B2413" s="12" t="s">
        <v>7067</v>
      </c>
      <c r="C2413" s="155">
        <v>111</v>
      </c>
      <c r="D2413" s="55" t="s">
        <v>4209</v>
      </c>
      <c r="E2413" s="90" t="s">
        <v>2332</v>
      </c>
      <c r="H2413" s="55">
        <v>2011</v>
      </c>
      <c r="I2413" s="55">
        <v>2009</v>
      </c>
      <c r="J2413" s="12"/>
      <c r="K2413" s="55" t="s">
        <v>2307</v>
      </c>
      <c r="L2413" s="55" t="s">
        <v>2745</v>
      </c>
      <c r="M2413" s="90">
        <v>-34.115667000000002</v>
      </c>
      <c r="N2413" s="90">
        <v>-63.366039000000001</v>
      </c>
      <c r="O2413" s="90">
        <v>138.6</v>
      </c>
      <c r="Q2413" s="55">
        <v>16.8</v>
      </c>
      <c r="S2413" s="90">
        <v>1022</v>
      </c>
      <c r="U2413" s="55" t="s">
        <v>1805</v>
      </c>
      <c r="V2413" s="55" t="s">
        <v>1682</v>
      </c>
      <c r="Y2413" s="55" t="s">
        <v>2310</v>
      </c>
      <c r="Z2413" s="55" t="s">
        <v>1346</v>
      </c>
      <c r="AA2413" s="90" t="s">
        <v>1675</v>
      </c>
      <c r="AD2413" s="90">
        <v>1.18333333333333</v>
      </c>
      <c r="AH2413" s="55" t="s">
        <v>6378</v>
      </c>
      <c r="AM2413" s="55" t="s">
        <v>1319</v>
      </c>
      <c r="AN2413" s="185" t="s">
        <v>2304</v>
      </c>
      <c r="AO2413" s="185" t="s">
        <v>5150</v>
      </c>
      <c r="AQ2413" s="55" t="s">
        <v>131</v>
      </c>
      <c r="AR2413" s="55" t="s">
        <v>158</v>
      </c>
      <c r="AS2413" s="55" t="s">
        <v>158</v>
      </c>
      <c r="AT2413" s="181" t="s">
        <v>2315</v>
      </c>
      <c r="AU2413" s="181" t="s">
        <v>5150</v>
      </c>
      <c r="AV2413" s="185" t="s">
        <v>479</v>
      </c>
      <c r="AW2413" s="55" t="s">
        <v>2315</v>
      </c>
      <c r="AX2413" s="185" t="s">
        <v>479</v>
      </c>
      <c r="BK2413" s="55" t="s">
        <v>5976</v>
      </c>
      <c r="BN2413" s="55">
        <v>3</v>
      </c>
      <c r="BO2413" s="55">
        <v>3</v>
      </c>
      <c r="BU2413" s="55" t="s">
        <v>2312</v>
      </c>
      <c r="BV2413" s="55" t="s">
        <v>2758</v>
      </c>
      <c r="CH2413" s="90">
        <v>1.18333333333333</v>
      </c>
      <c r="CI2413" s="90">
        <v>1.1825000000000001</v>
      </c>
      <c r="CM2413" s="65">
        <f>(CR2413*1000000)/(100*100*CH2413*AA2413/100*1000000)*100</f>
        <v>1.6521126760563429</v>
      </c>
      <c r="CN2413" s="65">
        <f>(CS2413*1000000)/(100*100*CI2413*AA2413/100*1000000)*100</f>
        <v>1.7293868921775895</v>
      </c>
      <c r="CR2413" s="65">
        <v>39.1</v>
      </c>
      <c r="CS2413" s="65">
        <v>40.9</v>
      </c>
      <c r="CV2413" s="65" t="s">
        <v>2052</v>
      </c>
      <c r="DA2413" s="65" t="s">
        <v>4463</v>
      </c>
      <c r="GP2413" s="292" t="s">
        <v>7494</v>
      </c>
      <c r="JU2413" s="55" t="s">
        <v>2342</v>
      </c>
    </row>
    <row r="2414" spans="1:281" x14ac:dyDescent="0.25">
      <c r="A2414" s="55">
        <v>2413</v>
      </c>
      <c r="B2414" s="12" t="s">
        <v>7067</v>
      </c>
      <c r="C2414" s="155">
        <v>111</v>
      </c>
      <c r="D2414" s="55" t="s">
        <v>4209</v>
      </c>
      <c r="E2414" s="90" t="s">
        <v>2332</v>
      </c>
      <c r="H2414" s="55">
        <v>2011</v>
      </c>
      <c r="I2414" s="55">
        <v>2009</v>
      </c>
      <c r="J2414" s="12"/>
      <c r="K2414" s="55" t="s">
        <v>2307</v>
      </c>
      <c r="L2414" s="55" t="s">
        <v>2745</v>
      </c>
      <c r="M2414" s="90">
        <v>-34.115667000000002</v>
      </c>
      <c r="N2414" s="90">
        <v>-63.366039000000001</v>
      </c>
      <c r="O2414" s="90">
        <v>138.6</v>
      </c>
      <c r="Q2414" s="55">
        <v>16.8</v>
      </c>
      <c r="S2414" s="90">
        <v>1022</v>
      </c>
      <c r="U2414" s="55" t="s">
        <v>1805</v>
      </c>
      <c r="V2414" s="55" t="s">
        <v>1682</v>
      </c>
      <c r="Y2414" s="55" t="s">
        <v>2313</v>
      </c>
      <c r="Z2414" s="55" t="s">
        <v>1346</v>
      </c>
      <c r="AA2414" s="90" t="s">
        <v>1675</v>
      </c>
      <c r="AD2414" s="90">
        <v>1.18333333333333</v>
      </c>
      <c r="AH2414" s="55" t="s">
        <v>6378</v>
      </c>
      <c r="AM2414" s="55" t="s">
        <v>1319</v>
      </c>
      <c r="AN2414" s="185" t="s">
        <v>2304</v>
      </c>
      <c r="AO2414" s="185" t="s">
        <v>5150</v>
      </c>
      <c r="AQ2414" s="55" t="s">
        <v>131</v>
      </c>
      <c r="AR2414" s="55" t="s">
        <v>158</v>
      </c>
      <c r="AS2414" s="55" t="s">
        <v>158</v>
      </c>
      <c r="AT2414" s="181" t="s">
        <v>2315</v>
      </c>
      <c r="AU2414" s="181" t="s">
        <v>5150</v>
      </c>
      <c r="AV2414" s="185" t="s">
        <v>479</v>
      </c>
      <c r="AW2414" s="55" t="s">
        <v>2315</v>
      </c>
      <c r="AX2414" s="185" t="s">
        <v>479</v>
      </c>
      <c r="BK2414" s="55" t="s">
        <v>5976</v>
      </c>
      <c r="BN2414" s="55">
        <v>3</v>
      </c>
      <c r="BO2414" s="55">
        <v>3</v>
      </c>
      <c r="BU2414" s="55" t="s">
        <v>2312</v>
      </c>
      <c r="BV2414" s="55" t="s">
        <v>2758</v>
      </c>
      <c r="CH2414" s="90">
        <v>1.18333333333333</v>
      </c>
      <c r="CI2414" s="90">
        <v>1.1825000000000001</v>
      </c>
      <c r="CM2414" s="65">
        <f>(CR2414*1000000)/(100*100*CH2414*AA2414/100*1000000)*100</f>
        <v>1.6859154929577513</v>
      </c>
      <c r="CN2414" s="65">
        <f>(CS2414*1000000)/(100*100*CI2414*AA2414/100*1000000)*100</f>
        <v>1.7758985200845661</v>
      </c>
      <c r="CR2414" s="65">
        <v>39.9</v>
      </c>
      <c r="CS2414" s="65">
        <v>42</v>
      </c>
      <c r="CV2414" s="65" t="s">
        <v>2052</v>
      </c>
      <c r="DA2414" s="65" t="s">
        <v>4463</v>
      </c>
      <c r="GP2414" s="292" t="s">
        <v>7494</v>
      </c>
      <c r="JU2414" s="55" t="s">
        <v>2342</v>
      </c>
    </row>
    <row r="2415" spans="1:281" x14ac:dyDescent="0.25">
      <c r="A2415" s="55">
        <v>2414</v>
      </c>
      <c r="B2415" s="12" t="s">
        <v>7067</v>
      </c>
      <c r="C2415" s="155">
        <v>111</v>
      </c>
      <c r="D2415" s="55" t="s">
        <v>4209</v>
      </c>
      <c r="E2415" s="90" t="s">
        <v>2332</v>
      </c>
      <c r="H2415" s="55">
        <v>2011</v>
      </c>
      <c r="I2415" s="55">
        <v>2009</v>
      </c>
      <c r="J2415" s="12"/>
      <c r="K2415" s="55" t="s">
        <v>2307</v>
      </c>
      <c r="L2415" s="55" t="s">
        <v>2745</v>
      </c>
      <c r="M2415" s="90">
        <v>-34.115667000000002</v>
      </c>
      <c r="N2415" s="90">
        <v>-63.366039000000001</v>
      </c>
      <c r="O2415" s="90">
        <v>138.6</v>
      </c>
      <c r="Q2415" s="55">
        <v>16.8</v>
      </c>
      <c r="S2415" s="90">
        <v>1022</v>
      </c>
      <c r="U2415" s="55" t="s">
        <v>1935</v>
      </c>
      <c r="V2415" s="55" t="s">
        <v>1682</v>
      </c>
      <c r="Y2415" s="55" t="s">
        <v>2310</v>
      </c>
      <c r="Z2415" s="55" t="s">
        <v>1346</v>
      </c>
      <c r="AA2415" s="90" t="s">
        <v>1675</v>
      </c>
      <c r="AD2415" s="90">
        <v>1.18333333333333</v>
      </c>
      <c r="AH2415" s="55" t="s">
        <v>6378</v>
      </c>
      <c r="AM2415" s="55" t="s">
        <v>1319</v>
      </c>
      <c r="AN2415" s="185" t="s">
        <v>2317</v>
      </c>
      <c r="AO2415" s="185" t="s">
        <v>5150</v>
      </c>
      <c r="AQ2415" s="55" t="s">
        <v>553</v>
      </c>
      <c r="AR2415" s="55" t="s">
        <v>132</v>
      </c>
      <c r="AS2415" s="55" t="s">
        <v>132</v>
      </c>
      <c r="AT2415" s="181" t="s">
        <v>2315</v>
      </c>
      <c r="AU2415" s="181" t="s">
        <v>5150</v>
      </c>
      <c r="AV2415" s="185" t="s">
        <v>479</v>
      </c>
      <c r="AW2415" s="55" t="s">
        <v>2315</v>
      </c>
      <c r="AX2415" s="185" t="s">
        <v>479</v>
      </c>
      <c r="BH2415" s="226">
        <v>32</v>
      </c>
      <c r="BI2415" s="191" t="s">
        <v>479</v>
      </c>
      <c r="BK2415" s="55" t="s">
        <v>5976</v>
      </c>
      <c r="BN2415" s="55">
        <v>3</v>
      </c>
      <c r="BO2415" s="55">
        <v>3</v>
      </c>
      <c r="BU2415" s="55" t="s">
        <v>2309</v>
      </c>
      <c r="BV2415" s="55" t="s">
        <v>2758</v>
      </c>
      <c r="CH2415" s="90">
        <v>1.18333333333333</v>
      </c>
      <c r="CI2415" s="90">
        <v>1.1825000000000001</v>
      </c>
      <c r="CM2415" s="65">
        <f>(CR2415*1000000)/(100*100*CH2415*AA2415/100*1000000)*100</f>
        <v>1.6774647887323992</v>
      </c>
      <c r="CN2415" s="65">
        <f>(CS2415*1000000)/(100*100*CI2415*AA2415/100*1000000)*100</f>
        <v>1.8900634249471453</v>
      </c>
      <c r="CR2415" s="65">
        <v>39.700000000000003</v>
      </c>
      <c r="CS2415" s="65">
        <v>44.7</v>
      </c>
      <c r="CV2415" s="65" t="s">
        <v>2052</v>
      </c>
      <c r="DA2415" s="65" t="s">
        <v>4463</v>
      </c>
      <c r="GP2415" s="292" t="s">
        <v>7494</v>
      </c>
      <c r="JU2415" s="55" t="s">
        <v>2342</v>
      </c>
    </row>
    <row r="2416" spans="1:281" x14ac:dyDescent="0.25">
      <c r="A2416" s="55">
        <v>2415</v>
      </c>
      <c r="B2416" s="12" t="s">
        <v>7067</v>
      </c>
      <c r="C2416" s="155">
        <v>111</v>
      </c>
      <c r="D2416" s="55" t="s">
        <v>4209</v>
      </c>
      <c r="E2416" s="90" t="s">
        <v>2332</v>
      </c>
      <c r="H2416" s="55">
        <v>2011</v>
      </c>
      <c r="I2416" s="55">
        <v>2009</v>
      </c>
      <c r="J2416" s="12"/>
      <c r="K2416" s="55" t="s">
        <v>2307</v>
      </c>
      <c r="L2416" s="55" t="s">
        <v>2745</v>
      </c>
      <c r="M2416" s="90">
        <v>-34.115667000000002</v>
      </c>
      <c r="N2416" s="90">
        <v>-63.366039000000001</v>
      </c>
      <c r="O2416" s="90">
        <v>138.6</v>
      </c>
      <c r="Q2416" s="55">
        <v>16.8</v>
      </c>
      <c r="S2416" s="90">
        <v>1022</v>
      </c>
      <c r="U2416" s="55" t="s">
        <v>1935</v>
      </c>
      <c r="V2416" s="55" t="s">
        <v>1682</v>
      </c>
      <c r="Y2416" s="55" t="s">
        <v>2311</v>
      </c>
      <c r="Z2416" s="55" t="s">
        <v>1346</v>
      </c>
      <c r="AA2416" s="90" t="s">
        <v>1675</v>
      </c>
      <c r="AD2416" s="90">
        <v>1.18333333333333</v>
      </c>
      <c r="AH2416" s="55" t="s">
        <v>6378</v>
      </c>
      <c r="AM2416" s="55" t="s">
        <v>1319</v>
      </c>
      <c r="AN2416" s="185" t="s">
        <v>2317</v>
      </c>
      <c r="AO2416" s="185" t="s">
        <v>5150</v>
      </c>
      <c r="AQ2416" s="55" t="s">
        <v>553</v>
      </c>
      <c r="AR2416" s="55" t="s">
        <v>132</v>
      </c>
      <c r="AS2416" s="55" t="s">
        <v>132</v>
      </c>
      <c r="AT2416" s="181" t="s">
        <v>2315</v>
      </c>
      <c r="AU2416" s="181" t="s">
        <v>5150</v>
      </c>
      <c r="AV2416" s="185" t="s">
        <v>479</v>
      </c>
      <c r="AW2416" s="55" t="s">
        <v>2315</v>
      </c>
      <c r="AX2416" s="185" t="s">
        <v>479</v>
      </c>
      <c r="BH2416" s="226">
        <v>32</v>
      </c>
      <c r="BI2416" s="191" t="s">
        <v>479</v>
      </c>
      <c r="BK2416" s="55" t="s">
        <v>5976</v>
      </c>
      <c r="BN2416" s="55">
        <v>3</v>
      </c>
      <c r="BO2416" s="55">
        <v>3</v>
      </c>
      <c r="BU2416" s="55" t="s">
        <v>2309</v>
      </c>
      <c r="BV2416" s="55" t="s">
        <v>2758</v>
      </c>
      <c r="CH2416" s="90">
        <v>1.18333333333333</v>
      </c>
      <c r="CI2416" s="90">
        <v>1.1825000000000001</v>
      </c>
      <c r="CM2416" s="65">
        <f>(CR2416*1000000)/(100*100*CH2416*AA2416/100*1000000)*100</f>
        <v>1.7746478873239486</v>
      </c>
      <c r="CN2416" s="65">
        <f>(CS2416*1000000)/(100*100*CI2416*AA2416/100*1000000)*100</f>
        <v>1.7082452431289636</v>
      </c>
      <c r="CR2416" s="65">
        <v>42</v>
      </c>
      <c r="CS2416" s="65">
        <v>40.4</v>
      </c>
      <c r="CV2416" s="65" t="s">
        <v>2052</v>
      </c>
      <c r="DA2416" s="65" t="s">
        <v>4463</v>
      </c>
      <c r="GP2416" s="292" t="s">
        <v>7494</v>
      </c>
      <c r="JU2416" s="55" t="s">
        <v>2342</v>
      </c>
    </row>
    <row r="2417" spans="1:281" x14ac:dyDescent="0.25">
      <c r="A2417" s="55">
        <v>2416</v>
      </c>
      <c r="B2417" s="12" t="s">
        <v>7067</v>
      </c>
      <c r="C2417" s="155">
        <v>111</v>
      </c>
      <c r="D2417" s="55" t="s">
        <v>4209</v>
      </c>
      <c r="E2417" s="90" t="s">
        <v>2332</v>
      </c>
      <c r="H2417" s="55">
        <v>2011</v>
      </c>
      <c r="I2417" s="55">
        <v>2009</v>
      </c>
      <c r="J2417" s="12"/>
      <c r="K2417" s="55" t="s">
        <v>2307</v>
      </c>
      <c r="L2417" s="55" t="s">
        <v>2745</v>
      </c>
      <c r="M2417" s="90">
        <v>-34.115667000000002</v>
      </c>
      <c r="N2417" s="90">
        <v>-63.366039000000001</v>
      </c>
      <c r="O2417" s="90">
        <v>138.6</v>
      </c>
      <c r="Q2417" s="55">
        <v>16.8</v>
      </c>
      <c r="S2417" s="90">
        <v>1022</v>
      </c>
      <c r="U2417" s="55" t="s">
        <v>1805</v>
      </c>
      <c r="V2417" s="55" t="s">
        <v>1682</v>
      </c>
      <c r="Y2417" s="55" t="s">
        <v>2310</v>
      </c>
      <c r="Z2417" s="55" t="s">
        <v>1346</v>
      </c>
      <c r="AA2417" s="90" t="s">
        <v>1675</v>
      </c>
      <c r="AD2417" s="90">
        <v>1.18333333333333</v>
      </c>
      <c r="AH2417" s="55" t="s">
        <v>6378</v>
      </c>
      <c r="AM2417" s="55" t="s">
        <v>1319</v>
      </c>
      <c r="AN2417" s="185" t="s">
        <v>2317</v>
      </c>
      <c r="AO2417" s="185" t="s">
        <v>5150</v>
      </c>
      <c r="AQ2417" s="55" t="s">
        <v>553</v>
      </c>
      <c r="AR2417" s="55" t="s">
        <v>158</v>
      </c>
      <c r="AS2417" s="55" t="s">
        <v>158</v>
      </c>
      <c r="AT2417" s="181" t="s">
        <v>2315</v>
      </c>
      <c r="AU2417" s="181" t="s">
        <v>5150</v>
      </c>
      <c r="AV2417" s="185" t="s">
        <v>479</v>
      </c>
      <c r="AW2417" s="55" t="s">
        <v>2315</v>
      </c>
      <c r="AX2417" s="185" t="s">
        <v>479</v>
      </c>
      <c r="BK2417" s="55" t="s">
        <v>5976</v>
      </c>
      <c r="BN2417" s="55">
        <v>3</v>
      </c>
      <c r="BO2417" s="55">
        <v>3</v>
      </c>
      <c r="BU2417" s="55" t="s">
        <v>2312</v>
      </c>
      <c r="BV2417" s="55" t="s">
        <v>2758</v>
      </c>
      <c r="CH2417" s="90">
        <v>1.18333333333333</v>
      </c>
      <c r="CI2417" s="90">
        <v>1.1825000000000001</v>
      </c>
      <c r="CM2417" s="65">
        <f>(CR2417*1000000)/(100*100*CH2417*AA2417/100*1000000)*100</f>
        <v>1.6521126760563429</v>
      </c>
      <c r="CN2417" s="65">
        <f>(CS2417*1000000)/(100*100*CI2417*AA2417/100*1000000)*100</f>
        <v>1.6871035940803378</v>
      </c>
      <c r="CR2417" s="65">
        <v>39.1</v>
      </c>
      <c r="CS2417" s="65">
        <v>39.9</v>
      </c>
      <c r="CV2417" s="65" t="s">
        <v>2052</v>
      </c>
      <c r="DA2417" s="65" t="s">
        <v>4463</v>
      </c>
      <c r="GP2417" s="292" t="s">
        <v>7494</v>
      </c>
      <c r="JU2417" s="55" t="s">
        <v>2342</v>
      </c>
    </row>
    <row r="2418" spans="1:281" x14ac:dyDescent="0.25">
      <c r="A2418" s="55">
        <v>2417</v>
      </c>
      <c r="B2418" s="12" t="s">
        <v>7067</v>
      </c>
      <c r="C2418" s="155">
        <v>111</v>
      </c>
      <c r="D2418" s="55" t="s">
        <v>4209</v>
      </c>
      <c r="E2418" s="90" t="s">
        <v>2332</v>
      </c>
      <c r="H2418" s="55">
        <v>2011</v>
      </c>
      <c r="I2418" s="55">
        <v>2009</v>
      </c>
      <c r="J2418" s="12"/>
      <c r="K2418" s="55" t="s">
        <v>2307</v>
      </c>
      <c r="L2418" s="55" t="s">
        <v>2745</v>
      </c>
      <c r="M2418" s="90">
        <v>-34.115667000000002</v>
      </c>
      <c r="N2418" s="90">
        <v>-63.366039000000001</v>
      </c>
      <c r="O2418" s="90">
        <v>138.6</v>
      </c>
      <c r="Q2418" s="55">
        <v>16.8</v>
      </c>
      <c r="S2418" s="90">
        <v>1022</v>
      </c>
      <c r="U2418" s="55" t="s">
        <v>1805</v>
      </c>
      <c r="V2418" s="55" t="s">
        <v>1682</v>
      </c>
      <c r="Y2418" s="55" t="s">
        <v>2313</v>
      </c>
      <c r="Z2418" s="55" t="s">
        <v>1346</v>
      </c>
      <c r="AA2418" s="90" t="s">
        <v>1675</v>
      </c>
      <c r="AD2418" s="90">
        <v>1.18333333333333</v>
      </c>
      <c r="AH2418" s="55" t="s">
        <v>6378</v>
      </c>
      <c r="AM2418" s="55" t="s">
        <v>1319</v>
      </c>
      <c r="AN2418" s="185" t="s">
        <v>2317</v>
      </c>
      <c r="AO2418" s="185" t="s">
        <v>5150</v>
      </c>
      <c r="AQ2418" s="55" t="s">
        <v>553</v>
      </c>
      <c r="AR2418" s="55" t="s">
        <v>158</v>
      </c>
      <c r="AS2418" s="55" t="s">
        <v>158</v>
      </c>
      <c r="AT2418" s="181" t="s">
        <v>2315</v>
      </c>
      <c r="AU2418" s="181" t="s">
        <v>5150</v>
      </c>
      <c r="AV2418" s="185" t="s">
        <v>479</v>
      </c>
      <c r="AW2418" s="55" t="s">
        <v>2315</v>
      </c>
      <c r="AX2418" s="185" t="s">
        <v>479</v>
      </c>
      <c r="BK2418" s="55" t="s">
        <v>5976</v>
      </c>
      <c r="BN2418" s="55">
        <v>3</v>
      </c>
      <c r="BO2418" s="55">
        <v>3</v>
      </c>
      <c r="BU2418" s="55" t="s">
        <v>2312</v>
      </c>
      <c r="BV2418" s="55" t="s">
        <v>2758</v>
      </c>
      <c r="CH2418" s="90">
        <v>1.18333333333333</v>
      </c>
      <c r="CI2418" s="90">
        <v>1.1825000000000001</v>
      </c>
      <c r="CM2418" s="65">
        <f>(CR2418*1000000)/(100*100*CH2418*AA2418/100*1000000)*100</f>
        <v>1.6859154929577513</v>
      </c>
      <c r="CN2418" s="65">
        <f>(CS2418*1000000)/(100*100*CI2418*AA2418/100*1000000)*100</f>
        <v>1.7336152219873149</v>
      </c>
      <c r="CR2418" s="65">
        <v>39.9</v>
      </c>
      <c r="CS2418" s="65">
        <v>41</v>
      </c>
      <c r="CV2418" s="65" t="s">
        <v>2052</v>
      </c>
      <c r="DA2418" s="65" t="s">
        <v>4463</v>
      </c>
      <c r="GP2418" s="292" t="s">
        <v>7494</v>
      </c>
      <c r="JU2418" s="55" t="s">
        <v>2342</v>
      </c>
    </row>
    <row r="2419" spans="1:281" x14ac:dyDescent="0.25">
      <c r="A2419" s="55">
        <v>2418</v>
      </c>
      <c r="B2419" s="12" t="s">
        <v>7067</v>
      </c>
      <c r="C2419" s="155">
        <v>111</v>
      </c>
      <c r="D2419" s="55" t="s">
        <v>4210</v>
      </c>
      <c r="E2419" s="90" t="s">
        <v>2333</v>
      </c>
      <c r="H2419" s="55">
        <v>2013</v>
      </c>
      <c r="I2419" s="55">
        <v>2011</v>
      </c>
      <c r="J2419" s="12"/>
      <c r="K2419" s="55" t="s">
        <v>2307</v>
      </c>
      <c r="L2419" s="55" t="s">
        <v>2745</v>
      </c>
      <c r="M2419" s="90">
        <v>-32.514592</v>
      </c>
      <c r="N2419" s="90">
        <v>-62.124814000000001</v>
      </c>
      <c r="O2419" s="90">
        <v>112.2</v>
      </c>
      <c r="Q2419" s="55">
        <v>16</v>
      </c>
      <c r="S2419" s="90">
        <v>987</v>
      </c>
      <c r="U2419" s="55" t="s">
        <v>1682</v>
      </c>
      <c r="V2419" s="55" t="s">
        <v>1682</v>
      </c>
      <c r="Y2419" s="55" t="s">
        <v>2759</v>
      </c>
      <c r="Z2419" s="55" t="s">
        <v>1346</v>
      </c>
      <c r="AA2419" s="90" t="s">
        <v>1675</v>
      </c>
      <c r="AH2419" s="55" t="s">
        <v>2318</v>
      </c>
      <c r="AJ2419" s="90">
        <v>2.46</v>
      </c>
      <c r="AM2419" s="55" t="s">
        <v>2347</v>
      </c>
      <c r="AN2419" s="185" t="s">
        <v>496</v>
      </c>
      <c r="AO2419" s="185" t="s">
        <v>5150</v>
      </c>
      <c r="AQ2419" s="55" t="s">
        <v>1545</v>
      </c>
      <c r="AR2419" s="55" t="s">
        <v>158</v>
      </c>
      <c r="AS2419" s="55" t="s">
        <v>158</v>
      </c>
      <c r="AT2419" s="181" t="s">
        <v>2290</v>
      </c>
      <c r="AU2419" s="181" t="s">
        <v>5150</v>
      </c>
      <c r="AV2419" s="185" t="s">
        <v>176</v>
      </c>
      <c r="AW2419" s="55" t="s">
        <v>2290</v>
      </c>
      <c r="AX2419" s="185" t="s">
        <v>176</v>
      </c>
      <c r="BK2419" s="55" t="s">
        <v>5976</v>
      </c>
      <c r="BN2419" s="55">
        <v>3</v>
      </c>
      <c r="BO2419" s="55">
        <v>3</v>
      </c>
      <c r="BQ2419" s="55" t="s">
        <v>141</v>
      </c>
      <c r="BU2419" s="55" t="s">
        <v>2294</v>
      </c>
      <c r="BV2419" s="55" t="s">
        <v>2758</v>
      </c>
      <c r="CM2419" s="65">
        <f>CR2419*0.0414</f>
        <v>1.6270199999999999</v>
      </c>
      <c r="CN2419" s="65">
        <f>CS2419*0.0414</f>
        <v>1.5400800000000001</v>
      </c>
      <c r="CR2419" s="65">
        <v>39.299999999999997</v>
      </c>
      <c r="CS2419" s="65">
        <v>37.200000000000003</v>
      </c>
      <c r="CV2419" s="65" t="s">
        <v>2052</v>
      </c>
      <c r="DA2419" s="65" t="s">
        <v>4463</v>
      </c>
      <c r="GP2419" s="292" t="s">
        <v>7494</v>
      </c>
      <c r="JU2419" s="55">
        <v>43</v>
      </c>
    </row>
    <row r="2420" spans="1:281" x14ac:dyDescent="0.25">
      <c r="A2420" s="55">
        <v>2419</v>
      </c>
      <c r="B2420" s="12" t="s">
        <v>7067</v>
      </c>
      <c r="C2420" s="155">
        <v>111</v>
      </c>
      <c r="D2420" s="55" t="s">
        <v>4210</v>
      </c>
      <c r="E2420" s="90" t="s">
        <v>2333</v>
      </c>
      <c r="H2420" s="55">
        <v>2013</v>
      </c>
      <c r="I2420" s="55">
        <v>2011</v>
      </c>
      <c r="J2420" s="12"/>
      <c r="K2420" s="55" t="s">
        <v>2307</v>
      </c>
      <c r="L2420" s="55" t="s">
        <v>2745</v>
      </c>
      <c r="M2420" s="90">
        <v>-32.514592</v>
      </c>
      <c r="N2420" s="90">
        <v>-62.124814000000001</v>
      </c>
      <c r="O2420" s="90">
        <v>112.2</v>
      </c>
      <c r="Q2420" s="55">
        <v>16</v>
      </c>
      <c r="S2420" s="90">
        <v>987</v>
      </c>
      <c r="U2420" s="55" t="s">
        <v>1682</v>
      </c>
      <c r="V2420" s="55" t="s">
        <v>1682</v>
      </c>
      <c r="Y2420" s="55" t="s">
        <v>2759</v>
      </c>
      <c r="Z2420" s="55" t="s">
        <v>1346</v>
      </c>
      <c r="AA2420" s="90" t="s">
        <v>1675</v>
      </c>
      <c r="AH2420" s="55" t="s">
        <v>2318</v>
      </c>
      <c r="AJ2420" s="90">
        <v>2.46</v>
      </c>
      <c r="AM2420" s="55" t="s">
        <v>2347</v>
      </c>
      <c r="AN2420" s="185" t="s">
        <v>2304</v>
      </c>
      <c r="AO2420" s="185" t="s">
        <v>5150</v>
      </c>
      <c r="AQ2420" s="55" t="s">
        <v>131</v>
      </c>
      <c r="AR2420" s="55" t="s">
        <v>158</v>
      </c>
      <c r="AS2420" s="55" t="s">
        <v>158</v>
      </c>
      <c r="AT2420" s="181" t="s">
        <v>2290</v>
      </c>
      <c r="AU2420" s="181" t="s">
        <v>5150</v>
      </c>
      <c r="AV2420" s="185" t="s">
        <v>176</v>
      </c>
      <c r="AW2420" s="55" t="s">
        <v>2290</v>
      </c>
      <c r="AX2420" s="185" t="s">
        <v>176</v>
      </c>
      <c r="BK2420" s="55" t="s">
        <v>5976</v>
      </c>
      <c r="BN2420" s="55">
        <v>3</v>
      </c>
      <c r="BO2420" s="55">
        <v>3</v>
      </c>
      <c r="BQ2420" s="55" t="s">
        <v>141</v>
      </c>
      <c r="BU2420" s="55" t="s">
        <v>2294</v>
      </c>
      <c r="BV2420" s="55" t="s">
        <v>2758</v>
      </c>
      <c r="CM2420" s="65">
        <f>CR2420*0.0414</f>
        <v>1.6270199999999999</v>
      </c>
      <c r="CN2420" s="65">
        <f>CS2420*0.0414</f>
        <v>1.64358</v>
      </c>
      <c r="CR2420" s="65">
        <v>39.299999999999997</v>
      </c>
      <c r="CS2420" s="65">
        <v>39.700000000000003</v>
      </c>
      <c r="CV2420" s="65" t="s">
        <v>2052</v>
      </c>
      <c r="DA2420" s="65" t="s">
        <v>4463</v>
      </c>
      <c r="GP2420" s="292" t="s">
        <v>7494</v>
      </c>
      <c r="JU2420" s="55">
        <v>43</v>
      </c>
    </row>
    <row r="2421" spans="1:281" x14ac:dyDescent="0.25">
      <c r="A2421" s="55">
        <v>2420</v>
      </c>
      <c r="B2421" s="12" t="s">
        <v>7067</v>
      </c>
      <c r="C2421" s="155">
        <v>111</v>
      </c>
      <c r="D2421" s="55" t="s">
        <v>4211</v>
      </c>
      <c r="E2421" s="90" t="s">
        <v>2334</v>
      </c>
      <c r="H2421" s="55">
        <v>2013</v>
      </c>
      <c r="I2421" s="55">
        <v>2011</v>
      </c>
      <c r="J2421" s="12"/>
      <c r="K2421" s="55" t="s">
        <v>2319</v>
      </c>
      <c r="L2421" s="55" t="s">
        <v>2745</v>
      </c>
      <c r="M2421" s="90">
        <v>-35.352843999999997</v>
      </c>
      <c r="N2421" s="90">
        <v>-63.630094</v>
      </c>
      <c r="O2421" s="90">
        <v>125</v>
      </c>
      <c r="Q2421" s="55">
        <v>17.7</v>
      </c>
      <c r="S2421" s="90">
        <v>993</v>
      </c>
      <c r="U2421" s="55" t="s">
        <v>1688</v>
      </c>
      <c r="V2421" s="55" t="s">
        <v>1688</v>
      </c>
      <c r="Z2421" s="55" t="s">
        <v>1346</v>
      </c>
      <c r="AA2421" s="90" t="s">
        <v>1675</v>
      </c>
      <c r="AH2421" s="55" t="s">
        <v>2287</v>
      </c>
      <c r="AM2421" s="55" t="s">
        <v>1319</v>
      </c>
      <c r="AN2421" s="185" t="s">
        <v>2320</v>
      </c>
      <c r="AO2421" s="185" t="s">
        <v>5150</v>
      </c>
      <c r="AQ2421" s="55" t="s">
        <v>1545</v>
      </c>
      <c r="AR2421" s="55" t="s">
        <v>158</v>
      </c>
      <c r="AS2421" s="55" t="s">
        <v>158</v>
      </c>
      <c r="AT2421" s="181" t="s">
        <v>2321</v>
      </c>
      <c r="AU2421" s="181" t="s">
        <v>5150</v>
      </c>
      <c r="AV2421" s="185" t="s">
        <v>479</v>
      </c>
      <c r="AW2421" s="55" t="s">
        <v>2321</v>
      </c>
      <c r="AX2421" s="185" t="s">
        <v>479</v>
      </c>
      <c r="BK2421" s="55" t="s">
        <v>5976</v>
      </c>
      <c r="BN2421" s="55">
        <v>3</v>
      </c>
      <c r="BO2421" s="55">
        <v>3</v>
      </c>
      <c r="BU2421" s="55" t="s">
        <v>2322</v>
      </c>
      <c r="BV2421" s="55" t="s">
        <v>2758</v>
      </c>
      <c r="CM2421" s="65">
        <f>CR2421*0.0414</f>
        <v>2.1610800000000001</v>
      </c>
      <c r="CN2421" s="65">
        <f>CS2421*0.0414</f>
        <v>2.2149000000000001</v>
      </c>
      <c r="CR2421" s="65">
        <v>52.2</v>
      </c>
      <c r="CS2421" s="65">
        <v>53.5</v>
      </c>
      <c r="CV2421" s="65" t="s">
        <v>2052</v>
      </c>
      <c r="DA2421" s="65" t="s">
        <v>4463</v>
      </c>
      <c r="GP2421" s="292" t="s">
        <v>7494</v>
      </c>
      <c r="JU2421" s="55">
        <v>50</v>
      </c>
    </row>
    <row r="2422" spans="1:281" x14ac:dyDescent="0.25">
      <c r="A2422" s="55">
        <v>2421</v>
      </c>
      <c r="B2422" s="12" t="s">
        <v>7067</v>
      </c>
      <c r="C2422" s="155">
        <v>111</v>
      </c>
      <c r="D2422" s="55" t="s">
        <v>4211</v>
      </c>
      <c r="E2422" s="90" t="s">
        <v>2334</v>
      </c>
      <c r="H2422" s="55">
        <v>2013</v>
      </c>
      <c r="I2422" s="55">
        <v>2011</v>
      </c>
      <c r="J2422" s="12"/>
      <c r="K2422" s="55" t="s">
        <v>2319</v>
      </c>
      <c r="L2422" s="55" t="s">
        <v>2745</v>
      </c>
      <c r="M2422" s="90">
        <v>-35.352843999999997</v>
      </c>
      <c r="N2422" s="90">
        <v>-63.630094</v>
      </c>
      <c r="O2422" s="90">
        <v>125</v>
      </c>
      <c r="Q2422" s="55">
        <v>17.7</v>
      </c>
      <c r="S2422" s="90">
        <v>993</v>
      </c>
      <c r="U2422" s="55" t="s">
        <v>1688</v>
      </c>
      <c r="V2422" s="55" t="s">
        <v>1688</v>
      </c>
      <c r="Z2422" s="55" t="s">
        <v>1346</v>
      </c>
      <c r="AA2422" s="90" t="s">
        <v>1675</v>
      </c>
      <c r="AH2422" s="55" t="s">
        <v>2287</v>
      </c>
      <c r="AM2422" s="55" t="s">
        <v>1319</v>
      </c>
      <c r="AN2422" s="185" t="s">
        <v>2320</v>
      </c>
      <c r="AO2422" s="185" t="s">
        <v>5150</v>
      </c>
      <c r="AQ2422" s="55" t="s">
        <v>1545</v>
      </c>
      <c r="AR2422" s="55" t="s">
        <v>158</v>
      </c>
      <c r="AS2422" s="55" t="s">
        <v>158</v>
      </c>
      <c r="AT2422" s="181" t="s">
        <v>2290</v>
      </c>
      <c r="AU2422" s="181" t="s">
        <v>5150</v>
      </c>
      <c r="AV2422" s="185" t="s">
        <v>176</v>
      </c>
      <c r="AW2422" s="55" t="s">
        <v>2290</v>
      </c>
      <c r="AX2422" s="185" t="s">
        <v>176</v>
      </c>
      <c r="BK2422" s="55" t="s">
        <v>5976</v>
      </c>
      <c r="BN2422" s="55">
        <v>3</v>
      </c>
      <c r="BO2422" s="55">
        <v>3</v>
      </c>
      <c r="BU2422" s="55" t="s">
        <v>2323</v>
      </c>
      <c r="BV2422" s="55" t="s">
        <v>2758</v>
      </c>
      <c r="CM2422" s="65">
        <f>CR2422*0.0414</f>
        <v>2.0451600000000001</v>
      </c>
      <c r="CN2422" s="65">
        <f>CS2422*0.0414</f>
        <v>2.0989800000000001</v>
      </c>
      <c r="CR2422" s="65">
        <v>49.4</v>
      </c>
      <c r="CS2422" s="65">
        <v>50.7</v>
      </c>
      <c r="CV2422" s="65" t="s">
        <v>2052</v>
      </c>
      <c r="DA2422" s="65" t="s">
        <v>4463</v>
      </c>
      <c r="GP2422" s="292" t="s">
        <v>7494</v>
      </c>
      <c r="JU2422" s="55">
        <v>50</v>
      </c>
    </row>
    <row r="2423" spans="1:281" x14ac:dyDescent="0.25">
      <c r="A2423" s="55">
        <v>2422</v>
      </c>
      <c r="B2423" s="12" t="s">
        <v>7067</v>
      </c>
      <c r="C2423" s="155">
        <v>111</v>
      </c>
      <c r="D2423" s="55" t="s">
        <v>4208</v>
      </c>
      <c r="E2423" s="90" t="s">
        <v>2335</v>
      </c>
      <c r="H2423" s="55">
        <v>2013</v>
      </c>
      <c r="I2423" s="55">
        <v>2011</v>
      </c>
      <c r="J2423" s="12"/>
      <c r="K2423" s="55" t="s">
        <v>2286</v>
      </c>
      <c r="L2423" s="55" t="s">
        <v>2745</v>
      </c>
      <c r="M2423" s="90">
        <v>-34.558522000000004</v>
      </c>
      <c r="N2423" s="90">
        <v>-59.142755999999999</v>
      </c>
      <c r="O2423" s="90">
        <v>31.1</v>
      </c>
      <c r="Q2423" s="55">
        <v>16.3</v>
      </c>
      <c r="S2423" s="90">
        <v>859</v>
      </c>
      <c r="U2423" s="55" t="s">
        <v>1816</v>
      </c>
      <c r="V2423" s="55" t="s">
        <v>1940</v>
      </c>
      <c r="Y2423" s="55" t="s">
        <v>2760</v>
      </c>
      <c r="Z2423" s="55" t="s">
        <v>1346</v>
      </c>
      <c r="AA2423" s="90" t="s">
        <v>1675</v>
      </c>
      <c r="AD2423" s="90">
        <v>1.46</v>
      </c>
      <c r="AH2423" s="55" t="s">
        <v>238</v>
      </c>
      <c r="AI2423" s="168">
        <v>6</v>
      </c>
      <c r="AJ2423" s="90">
        <v>2.8</v>
      </c>
      <c r="AM2423" s="55" t="s">
        <v>2346</v>
      </c>
      <c r="AN2423" s="185" t="s">
        <v>496</v>
      </c>
      <c r="AO2423" s="185" t="s">
        <v>5150</v>
      </c>
      <c r="AQ2423" s="55" t="s">
        <v>1545</v>
      </c>
      <c r="AR2423" s="55" t="s">
        <v>158</v>
      </c>
      <c r="AS2423" s="55" t="s">
        <v>158</v>
      </c>
      <c r="AT2423" s="181" t="s">
        <v>2290</v>
      </c>
      <c r="AU2423" s="181" t="s">
        <v>5150</v>
      </c>
      <c r="AV2423" s="185" t="s">
        <v>176</v>
      </c>
      <c r="AW2423" s="55" t="s">
        <v>2290</v>
      </c>
      <c r="AX2423" s="185" t="s">
        <v>176</v>
      </c>
      <c r="BK2423" s="55" t="s">
        <v>5976</v>
      </c>
      <c r="BN2423" s="55">
        <v>4</v>
      </c>
      <c r="BO2423" s="55">
        <v>4</v>
      </c>
      <c r="BU2423" s="55" t="s">
        <v>2306</v>
      </c>
      <c r="BV2423" s="55" t="s">
        <v>2758</v>
      </c>
      <c r="CH2423" s="90">
        <v>1.46</v>
      </c>
      <c r="CI2423" s="90">
        <v>1.4566666666666701</v>
      </c>
      <c r="CM2423" s="65">
        <f>(CR2423*1000000)/(100*100*CH2423*AA2423/100*1000000)*100</f>
        <v>1.3150684931506851</v>
      </c>
      <c r="CN2423" s="65">
        <f>(CS2423*1000000)/(100*100*CI2423*AA2423/100*1000000)*100</f>
        <v>1.4794050343249394</v>
      </c>
      <c r="CR2423" s="65">
        <v>38.4</v>
      </c>
      <c r="CS2423" s="65">
        <v>43.1</v>
      </c>
      <c r="CV2423" s="65" t="s">
        <v>2052</v>
      </c>
      <c r="DA2423" s="65" t="s">
        <v>4463</v>
      </c>
      <c r="GP2423" s="292" t="s">
        <v>7494</v>
      </c>
      <c r="JU2423" s="55" t="s">
        <v>2341</v>
      </c>
    </row>
    <row r="2424" spans="1:281" x14ac:dyDescent="0.25">
      <c r="A2424" s="55">
        <v>2423</v>
      </c>
      <c r="B2424" s="12" t="s">
        <v>7067</v>
      </c>
      <c r="C2424" s="155">
        <v>111</v>
      </c>
      <c r="D2424" s="55" t="s">
        <v>4208</v>
      </c>
      <c r="E2424" s="90" t="s">
        <v>2335</v>
      </c>
      <c r="H2424" s="55">
        <v>2013</v>
      </c>
      <c r="I2424" s="55">
        <v>2011</v>
      </c>
      <c r="J2424" s="12"/>
      <c r="K2424" s="55" t="s">
        <v>2286</v>
      </c>
      <c r="L2424" s="55" t="s">
        <v>2745</v>
      </c>
      <c r="M2424" s="90">
        <v>-34.558522000000004</v>
      </c>
      <c r="N2424" s="90">
        <v>-59.142755999999999</v>
      </c>
      <c r="O2424" s="90">
        <v>31.1</v>
      </c>
      <c r="Q2424" s="55">
        <v>16.3</v>
      </c>
      <c r="S2424" s="90">
        <v>859</v>
      </c>
      <c r="U2424" s="55" t="s">
        <v>1816</v>
      </c>
      <c r="V2424" s="55" t="s">
        <v>1940</v>
      </c>
      <c r="Y2424" s="55" t="s">
        <v>2760</v>
      </c>
      <c r="Z2424" s="55" t="s">
        <v>1346</v>
      </c>
      <c r="AA2424" s="90" t="s">
        <v>1675</v>
      </c>
      <c r="AD2424" s="90">
        <v>1.46</v>
      </c>
      <c r="AH2424" s="55" t="s">
        <v>238</v>
      </c>
      <c r="AI2424" s="168">
        <v>6</v>
      </c>
      <c r="AJ2424" s="90">
        <v>2.8</v>
      </c>
      <c r="AM2424" s="55" t="s">
        <v>2346</v>
      </c>
      <c r="AN2424" s="185" t="s">
        <v>2299</v>
      </c>
      <c r="AO2424" s="185" t="s">
        <v>5150</v>
      </c>
      <c r="AQ2424" s="55" t="s">
        <v>131</v>
      </c>
      <c r="AR2424" s="55" t="s">
        <v>158</v>
      </c>
      <c r="AS2424" s="55" t="s">
        <v>158</v>
      </c>
      <c r="AT2424" s="181" t="s">
        <v>2290</v>
      </c>
      <c r="AU2424" s="181" t="s">
        <v>5150</v>
      </c>
      <c r="AV2424" s="185" t="s">
        <v>176</v>
      </c>
      <c r="AW2424" s="55" t="s">
        <v>2290</v>
      </c>
      <c r="AX2424" s="185" t="s">
        <v>176</v>
      </c>
      <c r="BK2424" s="55" t="s">
        <v>5976</v>
      </c>
      <c r="BN2424" s="55">
        <v>4</v>
      </c>
      <c r="BO2424" s="55">
        <v>4</v>
      </c>
      <c r="BU2424" s="55" t="s">
        <v>2306</v>
      </c>
      <c r="BV2424" s="55" t="s">
        <v>2758</v>
      </c>
      <c r="CH2424" s="90">
        <v>1.46</v>
      </c>
      <c r="CI2424" s="90">
        <v>1.4566666666666701</v>
      </c>
      <c r="CM2424" s="65">
        <f>(CR2424*1000000)/(100*100*CH2424*AA2424/100*1000000)*100</f>
        <v>1.3150684931506851</v>
      </c>
      <c r="CN2424" s="65">
        <f>(CS2424*1000000)/(100*100*CI2424*AA2424/100*1000000)*100</f>
        <v>1.455377574370706</v>
      </c>
      <c r="CR2424" s="65">
        <v>38.4</v>
      </c>
      <c r="CS2424" s="65">
        <v>42.4</v>
      </c>
      <c r="CV2424" s="65" t="s">
        <v>2052</v>
      </c>
      <c r="DA2424" s="65" t="s">
        <v>4463</v>
      </c>
      <c r="GP2424" s="292" t="s">
        <v>7494</v>
      </c>
      <c r="JU2424" s="55" t="s">
        <v>2341</v>
      </c>
    </row>
    <row r="2425" spans="1:281" x14ac:dyDescent="0.25">
      <c r="A2425" s="55">
        <v>2424</v>
      </c>
      <c r="B2425" s="12" t="s">
        <v>7067</v>
      </c>
      <c r="C2425" s="155">
        <v>111</v>
      </c>
      <c r="D2425" s="55" t="s">
        <v>4208</v>
      </c>
      <c r="E2425" s="90" t="s">
        <v>2335</v>
      </c>
      <c r="H2425" s="55">
        <v>2013</v>
      </c>
      <c r="I2425" s="55">
        <v>2011</v>
      </c>
      <c r="J2425" s="12"/>
      <c r="K2425" s="55" t="s">
        <v>2286</v>
      </c>
      <c r="L2425" s="55" t="s">
        <v>2745</v>
      </c>
      <c r="M2425" s="90">
        <v>-34.558522000000004</v>
      </c>
      <c r="N2425" s="90">
        <v>-59.142755999999999</v>
      </c>
      <c r="O2425" s="90">
        <v>31.1</v>
      </c>
      <c r="Q2425" s="55">
        <v>16.3</v>
      </c>
      <c r="S2425" s="90">
        <v>859</v>
      </c>
      <c r="U2425" s="55" t="s">
        <v>1816</v>
      </c>
      <c r="V2425" s="55" t="s">
        <v>1940</v>
      </c>
      <c r="Y2425" s="55" t="s">
        <v>2760</v>
      </c>
      <c r="Z2425" s="55" t="s">
        <v>1346</v>
      </c>
      <c r="AA2425" s="90" t="s">
        <v>1675</v>
      </c>
      <c r="AD2425" s="90">
        <v>1.46</v>
      </c>
      <c r="AH2425" s="55" t="s">
        <v>238</v>
      </c>
      <c r="AI2425" s="168">
        <v>6</v>
      </c>
      <c r="AJ2425" s="90">
        <v>2.8</v>
      </c>
      <c r="AM2425" s="55" t="s">
        <v>2346</v>
      </c>
      <c r="AN2425" s="185" t="s">
        <v>2304</v>
      </c>
      <c r="AO2425" s="185" t="s">
        <v>5150</v>
      </c>
      <c r="AQ2425" s="55" t="s">
        <v>131</v>
      </c>
      <c r="AR2425" s="55" t="s">
        <v>158</v>
      </c>
      <c r="AS2425" s="55" t="s">
        <v>158</v>
      </c>
      <c r="AT2425" s="181" t="s">
        <v>2290</v>
      </c>
      <c r="AU2425" s="181" t="s">
        <v>5150</v>
      </c>
      <c r="AV2425" s="185" t="s">
        <v>176</v>
      </c>
      <c r="AW2425" s="55" t="s">
        <v>2290</v>
      </c>
      <c r="AX2425" s="185" t="s">
        <v>176</v>
      </c>
      <c r="BK2425" s="55" t="s">
        <v>5976</v>
      </c>
      <c r="BN2425" s="55">
        <v>4</v>
      </c>
      <c r="BO2425" s="55">
        <v>4</v>
      </c>
      <c r="BU2425" s="55" t="s">
        <v>2306</v>
      </c>
      <c r="BV2425" s="55" t="s">
        <v>2758</v>
      </c>
      <c r="CH2425" s="90">
        <v>1.46</v>
      </c>
      <c r="CI2425" s="90">
        <v>1.4566666666666701</v>
      </c>
      <c r="CM2425" s="65">
        <f>(CR2425*1000000)/(100*100*CH2425*AA2425/100*1000000)*100</f>
        <v>1.3150684931506851</v>
      </c>
      <c r="CN2425" s="65">
        <f>(CS2425*1000000)/(100*100*CI2425*AA2425/100*1000000)*100</f>
        <v>1.3558352402745963</v>
      </c>
      <c r="CR2425" s="65">
        <v>38.4</v>
      </c>
      <c r="CS2425" s="65">
        <v>39.5</v>
      </c>
      <c r="CV2425" s="65" t="s">
        <v>2052</v>
      </c>
      <c r="DA2425" s="65" t="s">
        <v>4463</v>
      </c>
      <c r="GP2425" s="292" t="s">
        <v>7494</v>
      </c>
      <c r="JU2425" s="55" t="s">
        <v>2341</v>
      </c>
    </row>
    <row r="2426" spans="1:281" x14ac:dyDescent="0.25">
      <c r="A2426" s="55">
        <v>2425</v>
      </c>
      <c r="B2426" s="12" t="s">
        <v>7067</v>
      </c>
      <c r="C2426" s="155">
        <v>112</v>
      </c>
      <c r="D2426" s="55" t="s">
        <v>4212</v>
      </c>
      <c r="E2426" s="90" t="s">
        <v>2348</v>
      </c>
      <c r="G2426" s="55" t="s">
        <v>2349</v>
      </c>
      <c r="H2426" s="55">
        <v>2013</v>
      </c>
      <c r="I2426" s="55">
        <v>2012</v>
      </c>
      <c r="J2426" s="55" t="s">
        <v>151</v>
      </c>
      <c r="K2426" s="55" t="s">
        <v>2350</v>
      </c>
      <c r="L2426" s="55" t="s">
        <v>2743</v>
      </c>
      <c r="M2426" s="90">
        <f>56.5</f>
        <v>56.5</v>
      </c>
      <c r="N2426" s="90">
        <f>9+35/60</f>
        <v>9.5833333333333339</v>
      </c>
      <c r="O2426" s="90">
        <v>34.200000000000003</v>
      </c>
      <c r="Q2426" s="55">
        <v>7.3</v>
      </c>
      <c r="S2426" s="90">
        <v>626</v>
      </c>
      <c r="U2426" s="55" t="s">
        <v>1801</v>
      </c>
      <c r="V2426" s="55" t="s">
        <v>1801</v>
      </c>
      <c r="Y2426" s="55" t="s">
        <v>1804</v>
      </c>
      <c r="Z2426" s="55" t="s">
        <v>1346</v>
      </c>
      <c r="AA2426" s="90" t="s">
        <v>1675</v>
      </c>
      <c r="AE2426" s="90">
        <v>75</v>
      </c>
      <c r="AF2426" s="90">
        <v>13</v>
      </c>
      <c r="AH2426" s="55" t="s">
        <v>238</v>
      </c>
      <c r="AJ2426" s="90">
        <v>3.1</v>
      </c>
      <c r="AM2426" s="55" t="s">
        <v>2351</v>
      </c>
      <c r="AN2426" s="185" t="s">
        <v>2357</v>
      </c>
      <c r="AO2426" s="185" t="s">
        <v>5150</v>
      </c>
      <c r="AQ2426" s="55" t="s">
        <v>1097</v>
      </c>
      <c r="AR2426" s="55" t="s">
        <v>1023</v>
      </c>
      <c r="AS2426" s="55" t="s">
        <v>5133</v>
      </c>
      <c r="AT2426" s="181" t="s">
        <v>176</v>
      </c>
      <c r="AU2426" s="181" t="s">
        <v>5150</v>
      </c>
      <c r="AV2426" s="185" t="s">
        <v>176</v>
      </c>
      <c r="AW2426" s="55" t="s">
        <v>176</v>
      </c>
      <c r="AX2426" s="185" t="s">
        <v>176</v>
      </c>
      <c r="AY2426" s="55" t="s">
        <v>176</v>
      </c>
      <c r="AZ2426" s="55" t="s">
        <v>2353</v>
      </c>
      <c r="BA2426" s="55" t="s">
        <v>2353</v>
      </c>
      <c r="BB2426" s="55" t="s">
        <v>2081</v>
      </c>
      <c r="BC2426" s="55" t="s">
        <v>2081</v>
      </c>
      <c r="BD2426" s="55" t="s">
        <v>176</v>
      </c>
      <c r="BK2426" s="55" t="s">
        <v>5976</v>
      </c>
      <c r="BM2426" s="192" t="s">
        <v>160</v>
      </c>
      <c r="BN2426" s="55">
        <v>3</v>
      </c>
      <c r="BO2426" s="55">
        <v>3</v>
      </c>
      <c r="BP2426" s="55">
        <f>72/3/2</f>
        <v>12</v>
      </c>
      <c r="BQ2426" s="55" t="s">
        <v>2352</v>
      </c>
      <c r="EK2426" s="90">
        <v>8.49</v>
      </c>
      <c r="EL2426" s="90">
        <v>7.84</v>
      </c>
      <c r="EM2426" s="65">
        <f>(8.994-EK2426)*SQRT(3)</f>
        <v>0.87295360701471336</v>
      </c>
      <c r="EN2426" s="65">
        <f>(8.383-EL2426)*SQRT(3)</f>
        <v>0.94050358850989901</v>
      </c>
      <c r="EO2426" s="65" t="s">
        <v>900</v>
      </c>
      <c r="GP2426" s="292" t="s">
        <v>7494</v>
      </c>
      <c r="JU2426" s="55" t="s">
        <v>2358</v>
      </c>
    </row>
    <row r="2427" spans="1:281" x14ac:dyDescent="0.25">
      <c r="A2427" s="55">
        <v>2426</v>
      </c>
      <c r="B2427" s="12" t="s">
        <v>7067</v>
      </c>
      <c r="C2427" s="155">
        <v>112</v>
      </c>
      <c r="D2427" s="55" t="s">
        <v>4212</v>
      </c>
      <c r="E2427" s="90" t="s">
        <v>2348</v>
      </c>
      <c r="G2427" s="55" t="s">
        <v>2349</v>
      </c>
      <c r="H2427" s="55">
        <v>2013</v>
      </c>
      <c r="I2427" s="55">
        <v>2012</v>
      </c>
      <c r="J2427" s="55" t="s">
        <v>151</v>
      </c>
      <c r="K2427" s="55" t="s">
        <v>2350</v>
      </c>
      <c r="L2427" s="55" t="s">
        <v>2743</v>
      </c>
      <c r="M2427" s="90">
        <f>56.5</f>
        <v>56.5</v>
      </c>
      <c r="N2427" s="90">
        <f>9+35/60</f>
        <v>9.5833333333333339</v>
      </c>
      <c r="O2427" s="90">
        <v>34.200000000000003</v>
      </c>
      <c r="Q2427" s="55">
        <v>7.3</v>
      </c>
      <c r="S2427" s="90">
        <v>626</v>
      </c>
      <c r="U2427" s="55" t="s">
        <v>1801</v>
      </c>
      <c r="V2427" s="55" t="s">
        <v>1801</v>
      </c>
      <c r="Y2427" s="55" t="s">
        <v>1804</v>
      </c>
      <c r="Z2427" s="55" t="s">
        <v>1346</v>
      </c>
      <c r="AA2427" s="90" t="s">
        <v>1675</v>
      </c>
      <c r="AE2427" s="90">
        <v>75</v>
      </c>
      <c r="AF2427" s="90">
        <v>13</v>
      </c>
      <c r="AH2427" s="55" t="s">
        <v>238</v>
      </c>
      <c r="AJ2427" s="90">
        <v>3.1</v>
      </c>
      <c r="AM2427" s="55" t="s">
        <v>2351</v>
      </c>
      <c r="AN2427" s="185" t="s">
        <v>2357</v>
      </c>
      <c r="AO2427" s="185" t="s">
        <v>5150</v>
      </c>
      <c r="AQ2427" s="55" t="s">
        <v>1097</v>
      </c>
      <c r="AR2427" s="55" t="s">
        <v>1023</v>
      </c>
      <c r="AS2427" s="55" t="s">
        <v>5133</v>
      </c>
      <c r="AT2427" s="181" t="s">
        <v>176</v>
      </c>
      <c r="AU2427" s="181" t="s">
        <v>5150</v>
      </c>
      <c r="AV2427" s="185" t="s">
        <v>176</v>
      </c>
      <c r="AW2427" s="55" t="s">
        <v>176</v>
      </c>
      <c r="AX2427" s="185" t="s">
        <v>176</v>
      </c>
      <c r="AY2427" s="55" t="s">
        <v>176</v>
      </c>
      <c r="AZ2427" s="55" t="s">
        <v>2261</v>
      </c>
      <c r="BA2427" s="55" t="s">
        <v>2261</v>
      </c>
      <c r="BB2427" s="55" t="s">
        <v>2081</v>
      </c>
      <c r="BC2427" s="55" t="s">
        <v>2081</v>
      </c>
      <c r="BD2427" s="55" t="s">
        <v>176</v>
      </c>
      <c r="BK2427" s="55" t="s">
        <v>5976</v>
      </c>
      <c r="BM2427" s="192" t="s">
        <v>160</v>
      </c>
      <c r="BN2427" s="55">
        <v>3</v>
      </c>
      <c r="BO2427" s="55">
        <v>3</v>
      </c>
      <c r="BP2427" s="55">
        <f>72/3/2</f>
        <v>12</v>
      </c>
      <c r="BQ2427" s="55" t="s">
        <v>2352</v>
      </c>
      <c r="EK2427" s="90">
        <v>8.01</v>
      </c>
      <c r="EL2427" s="90">
        <v>9.39</v>
      </c>
      <c r="EM2427" s="65">
        <f>(8.52-EK2427)*SQRT(3)</f>
        <v>0.88334591186012701</v>
      </c>
      <c r="EN2427" s="65">
        <f>(9.9-EL2427)*SQRT(3)</f>
        <v>0.88334591186012701</v>
      </c>
      <c r="EO2427" s="65" t="s">
        <v>900</v>
      </c>
      <c r="GP2427" s="292" t="s">
        <v>7494</v>
      </c>
      <c r="JU2427" s="55" t="s">
        <v>2358</v>
      </c>
    </row>
    <row r="2428" spans="1:281" x14ac:dyDescent="0.25">
      <c r="A2428" s="55">
        <v>2427</v>
      </c>
      <c r="B2428" s="12" t="s">
        <v>7067</v>
      </c>
      <c r="C2428" s="155">
        <v>112</v>
      </c>
      <c r="D2428" s="55" t="s">
        <v>4212</v>
      </c>
      <c r="E2428" s="90" t="s">
        <v>2348</v>
      </c>
      <c r="G2428" s="55" t="s">
        <v>2349</v>
      </c>
      <c r="H2428" s="55">
        <v>2013</v>
      </c>
      <c r="I2428" s="55">
        <v>2012</v>
      </c>
      <c r="J2428" s="55" t="s">
        <v>151</v>
      </c>
      <c r="K2428" s="55" t="s">
        <v>2350</v>
      </c>
      <c r="L2428" s="55" t="s">
        <v>2743</v>
      </c>
      <c r="M2428" s="90">
        <f>56.5</f>
        <v>56.5</v>
      </c>
      <c r="N2428" s="90">
        <f>9+35/60</f>
        <v>9.5833333333333339</v>
      </c>
      <c r="O2428" s="90">
        <v>34.200000000000003</v>
      </c>
      <c r="Q2428" s="55">
        <v>7.3</v>
      </c>
      <c r="S2428" s="90">
        <v>626</v>
      </c>
      <c r="U2428" s="55" t="s">
        <v>1801</v>
      </c>
      <c r="V2428" s="55" t="s">
        <v>1801</v>
      </c>
      <c r="Y2428" s="55" t="s">
        <v>1804</v>
      </c>
      <c r="Z2428" s="55" t="s">
        <v>1346</v>
      </c>
      <c r="AA2428" s="90" t="s">
        <v>1675</v>
      </c>
      <c r="AE2428" s="90">
        <v>75</v>
      </c>
      <c r="AF2428" s="90">
        <v>13</v>
      </c>
      <c r="AH2428" s="55" t="s">
        <v>238</v>
      </c>
      <c r="AJ2428" s="90">
        <v>3.1</v>
      </c>
      <c r="AM2428" s="55" t="s">
        <v>2351</v>
      </c>
      <c r="AN2428" s="185" t="s">
        <v>2357</v>
      </c>
      <c r="AO2428" s="185" t="s">
        <v>5150</v>
      </c>
      <c r="AQ2428" s="55" t="s">
        <v>1097</v>
      </c>
      <c r="AR2428" s="55" t="s">
        <v>1023</v>
      </c>
      <c r="AS2428" s="55" t="s">
        <v>5133</v>
      </c>
      <c r="AT2428" s="181" t="s">
        <v>176</v>
      </c>
      <c r="AU2428" s="181" t="s">
        <v>5150</v>
      </c>
      <c r="AV2428" s="185" t="s">
        <v>176</v>
      </c>
      <c r="AW2428" s="55" t="s">
        <v>176</v>
      </c>
      <c r="AX2428" s="185" t="s">
        <v>176</v>
      </c>
      <c r="AY2428" s="55" t="s">
        <v>176</v>
      </c>
      <c r="AZ2428" s="55" t="s">
        <v>2354</v>
      </c>
      <c r="BA2428" s="55" t="s">
        <v>2354</v>
      </c>
      <c r="BB2428" s="55" t="s">
        <v>2081</v>
      </c>
      <c r="BC2428" s="55" t="s">
        <v>2081</v>
      </c>
      <c r="BD2428" s="55" t="s">
        <v>176</v>
      </c>
      <c r="BK2428" s="55" t="s">
        <v>5976</v>
      </c>
      <c r="BM2428" s="192" t="s">
        <v>160</v>
      </c>
      <c r="BN2428" s="55">
        <v>3</v>
      </c>
      <c r="BO2428" s="55">
        <v>3</v>
      </c>
      <c r="BP2428" s="55">
        <f>72/3/2</f>
        <v>12</v>
      </c>
      <c r="BQ2428" s="55" t="s">
        <v>2352</v>
      </c>
      <c r="EK2428" s="90">
        <v>5.8</v>
      </c>
      <c r="EL2428" s="90">
        <v>6.24</v>
      </c>
      <c r="EM2428" s="65">
        <f>(6.383-EK2428)*SQRT(3)</f>
        <v>1.0097856208126557</v>
      </c>
      <c r="EN2428" s="65">
        <f>(6.83-EL2428)*SQRT(3)</f>
        <v>1.0219099764656372</v>
      </c>
      <c r="EO2428" s="65" t="s">
        <v>900</v>
      </c>
      <c r="GP2428" s="292" t="s">
        <v>7494</v>
      </c>
      <c r="JU2428" s="55" t="s">
        <v>2358</v>
      </c>
    </row>
    <row r="2429" spans="1:281" x14ac:dyDescent="0.25">
      <c r="A2429" s="55">
        <v>2428</v>
      </c>
      <c r="B2429" s="12" t="s">
        <v>7067</v>
      </c>
      <c r="C2429" s="155">
        <v>112</v>
      </c>
      <c r="D2429" s="55" t="s">
        <v>4213</v>
      </c>
      <c r="E2429" s="90" t="s">
        <v>2348</v>
      </c>
      <c r="G2429" s="55" t="s">
        <v>2349</v>
      </c>
      <c r="H2429" s="55">
        <v>2013</v>
      </c>
      <c r="I2429" s="55">
        <v>2012</v>
      </c>
      <c r="J2429" s="55" t="s">
        <v>151</v>
      </c>
      <c r="K2429" s="55" t="s">
        <v>2350</v>
      </c>
      <c r="L2429" s="55" t="s">
        <v>2743</v>
      </c>
      <c r="M2429" s="90">
        <f>56.5</f>
        <v>56.5</v>
      </c>
      <c r="N2429" s="90">
        <f>9+35/60</f>
        <v>9.5833333333333339</v>
      </c>
      <c r="O2429" s="90">
        <v>34.200000000000003</v>
      </c>
      <c r="Q2429" s="55">
        <v>7.3</v>
      </c>
      <c r="S2429" s="90">
        <v>626</v>
      </c>
      <c r="U2429" s="55" t="s">
        <v>1801</v>
      </c>
      <c r="V2429" s="55" t="s">
        <v>1801</v>
      </c>
      <c r="Y2429" s="55" t="s">
        <v>1804</v>
      </c>
      <c r="Z2429" s="55" t="s">
        <v>1355</v>
      </c>
      <c r="AA2429" s="90" t="s">
        <v>1679</v>
      </c>
      <c r="AE2429" s="90">
        <v>75</v>
      </c>
      <c r="AF2429" s="90">
        <v>13</v>
      </c>
      <c r="AH2429" s="55" t="s">
        <v>238</v>
      </c>
      <c r="AJ2429" s="90">
        <v>3.1</v>
      </c>
      <c r="AM2429" s="55" t="s">
        <v>2351</v>
      </c>
      <c r="AN2429" s="185" t="s">
        <v>2357</v>
      </c>
      <c r="AO2429" s="185" t="s">
        <v>5150</v>
      </c>
      <c r="AQ2429" s="55" t="s">
        <v>1097</v>
      </c>
      <c r="AR2429" s="55" t="s">
        <v>1023</v>
      </c>
      <c r="AS2429" s="55" t="s">
        <v>5133</v>
      </c>
      <c r="AT2429" s="181" t="s">
        <v>176</v>
      </c>
      <c r="AU2429" s="181" t="s">
        <v>5150</v>
      </c>
      <c r="AV2429" s="185" t="s">
        <v>176</v>
      </c>
      <c r="AW2429" s="55" t="s">
        <v>176</v>
      </c>
      <c r="AX2429" s="185" t="s">
        <v>176</v>
      </c>
      <c r="AY2429" s="55" t="s">
        <v>176</v>
      </c>
      <c r="AZ2429" s="55" t="s">
        <v>2359</v>
      </c>
      <c r="BA2429" s="55" t="s">
        <v>2359</v>
      </c>
      <c r="BB2429" s="55" t="s">
        <v>2081</v>
      </c>
      <c r="BC2429" s="55" t="s">
        <v>2081</v>
      </c>
      <c r="BD2429" s="55" t="s">
        <v>176</v>
      </c>
      <c r="BK2429" s="55" t="s">
        <v>5976</v>
      </c>
      <c r="BM2429" s="192" t="s">
        <v>160</v>
      </c>
      <c r="BN2429" s="55">
        <v>3</v>
      </c>
      <c r="BO2429" s="55">
        <v>3</v>
      </c>
      <c r="BP2429" s="55">
        <f>72/3/2</f>
        <v>12</v>
      </c>
      <c r="BQ2429" s="55" t="s">
        <v>2352</v>
      </c>
      <c r="CM2429" s="65">
        <f>22.3/10</f>
        <v>2.23</v>
      </c>
      <c r="CN2429" s="65">
        <f>21.4/10</f>
        <v>2.1399999999999997</v>
      </c>
      <c r="CQ2429" s="65" t="s">
        <v>2361</v>
      </c>
      <c r="CV2429" s="65" t="s">
        <v>3039</v>
      </c>
      <c r="DA2429" s="65" t="s">
        <v>4454</v>
      </c>
      <c r="DB2429" s="65">
        <f>1.94*1000</f>
        <v>1940</v>
      </c>
      <c r="DC2429" s="65">
        <f>1.84*1000</f>
        <v>1840</v>
      </c>
      <c r="DF2429" s="65" t="s">
        <v>2364</v>
      </c>
      <c r="DG2429" s="65">
        <f>41000</f>
        <v>41000</v>
      </c>
      <c r="DH2429" s="65">
        <v>39900</v>
      </c>
      <c r="DK2429" s="65" t="s">
        <v>2240</v>
      </c>
      <c r="DL2429" s="65">
        <f>260*1000</f>
        <v>260000</v>
      </c>
      <c r="DM2429" s="65">
        <f>299*1000</f>
        <v>299000</v>
      </c>
      <c r="DP2429" s="65" t="s">
        <v>2240</v>
      </c>
      <c r="DQ2429" s="165">
        <v>5.97</v>
      </c>
      <c r="DR2429" s="165">
        <v>5.87</v>
      </c>
      <c r="EU2429" s="65">
        <v>0.48</v>
      </c>
      <c r="EV2429" s="65">
        <v>0.46</v>
      </c>
      <c r="EY2429" s="65" t="s">
        <v>2367</v>
      </c>
      <c r="GP2429" s="292" t="s">
        <v>7494</v>
      </c>
      <c r="JG2429" s="65">
        <f>0.415*1000</f>
        <v>415</v>
      </c>
      <c r="JH2429" s="65">
        <f>0.434*1000</f>
        <v>434</v>
      </c>
      <c r="JK2429" s="65" t="s">
        <v>2365</v>
      </c>
      <c r="JU2429" s="55" t="s">
        <v>2358</v>
      </c>
    </row>
    <row r="2430" spans="1:281" x14ac:dyDescent="0.25">
      <c r="A2430" s="55">
        <v>2429</v>
      </c>
      <c r="B2430" s="12" t="s">
        <v>7067</v>
      </c>
      <c r="C2430" s="155">
        <v>112</v>
      </c>
      <c r="D2430" s="55" t="s">
        <v>4214</v>
      </c>
      <c r="E2430" s="90" t="s">
        <v>2348</v>
      </c>
      <c r="G2430" s="55" t="s">
        <v>2349</v>
      </c>
      <c r="H2430" s="55">
        <v>2013</v>
      </c>
      <c r="I2430" s="55">
        <v>2012</v>
      </c>
      <c r="J2430" s="55" t="s">
        <v>151</v>
      </c>
      <c r="K2430" s="55" t="s">
        <v>2350</v>
      </c>
      <c r="L2430" s="55" t="s">
        <v>2743</v>
      </c>
      <c r="M2430" s="90">
        <f>56.5</f>
        <v>56.5</v>
      </c>
      <c r="N2430" s="90">
        <f>9+35/60</f>
        <v>9.5833333333333339</v>
      </c>
      <c r="O2430" s="90">
        <v>34.200000000000003</v>
      </c>
      <c r="Q2430" s="55">
        <v>7.3</v>
      </c>
      <c r="S2430" s="90">
        <v>626</v>
      </c>
      <c r="U2430" s="55" t="s">
        <v>1801</v>
      </c>
      <c r="V2430" s="55" t="s">
        <v>1801</v>
      </c>
      <c r="Y2430" s="55" t="s">
        <v>1804</v>
      </c>
      <c r="Z2430" s="55" t="s">
        <v>1359</v>
      </c>
      <c r="AA2430" s="90" t="s">
        <v>1679</v>
      </c>
      <c r="AE2430" s="90">
        <v>75</v>
      </c>
      <c r="AF2430" s="90">
        <v>13</v>
      </c>
      <c r="AH2430" s="55" t="s">
        <v>238</v>
      </c>
      <c r="AJ2430" s="90">
        <v>3.1</v>
      </c>
      <c r="AM2430" s="55" t="s">
        <v>2351</v>
      </c>
      <c r="AN2430" s="185" t="s">
        <v>2357</v>
      </c>
      <c r="AO2430" s="185" t="s">
        <v>5150</v>
      </c>
      <c r="AQ2430" s="55" t="s">
        <v>1097</v>
      </c>
      <c r="AR2430" s="55" t="s">
        <v>1023</v>
      </c>
      <c r="AS2430" s="55" t="s">
        <v>5133</v>
      </c>
      <c r="AT2430" s="181" t="s">
        <v>176</v>
      </c>
      <c r="AU2430" s="181" t="s">
        <v>5150</v>
      </c>
      <c r="AV2430" s="185" t="s">
        <v>176</v>
      </c>
      <c r="AW2430" s="55" t="s">
        <v>176</v>
      </c>
      <c r="AX2430" s="185" t="s">
        <v>176</v>
      </c>
      <c r="AY2430" s="55" t="s">
        <v>176</v>
      </c>
      <c r="AZ2430" s="55" t="s">
        <v>2359</v>
      </c>
      <c r="BA2430" s="55" t="s">
        <v>2359</v>
      </c>
      <c r="BB2430" s="55" t="s">
        <v>2081</v>
      </c>
      <c r="BC2430" s="55" t="s">
        <v>2081</v>
      </c>
      <c r="BD2430" s="55" t="s">
        <v>176</v>
      </c>
      <c r="BK2430" s="55" t="s">
        <v>5976</v>
      </c>
      <c r="BM2430" s="192" t="s">
        <v>160</v>
      </c>
      <c r="BN2430" s="55">
        <v>3</v>
      </c>
      <c r="BO2430" s="55">
        <v>3</v>
      </c>
      <c r="BP2430" s="55">
        <f>72/3/2</f>
        <v>12</v>
      </c>
      <c r="BQ2430" s="55" t="s">
        <v>2352</v>
      </c>
      <c r="CM2430" s="65">
        <v>1.99</v>
      </c>
      <c r="CN2430" s="65">
        <v>1.94</v>
      </c>
      <c r="CQ2430" s="65" t="s">
        <v>2361</v>
      </c>
      <c r="CV2430" s="65" t="s">
        <v>3039</v>
      </c>
      <c r="DA2430" s="65" t="s">
        <v>4454</v>
      </c>
      <c r="DB2430" s="65">
        <f>1.71*1000</f>
        <v>1710</v>
      </c>
      <c r="DC2430" s="65">
        <f>1.64*1000</f>
        <v>1640</v>
      </c>
      <c r="DF2430" s="65" t="s">
        <v>2364</v>
      </c>
      <c r="DG2430" s="65">
        <v>33100</v>
      </c>
      <c r="DH2430" s="65">
        <v>31600</v>
      </c>
      <c r="DK2430" s="65" t="s">
        <v>2240</v>
      </c>
      <c r="DL2430" s="65">
        <f>163*1000</f>
        <v>163000</v>
      </c>
      <c r="DM2430" s="65">
        <f>174*1000</f>
        <v>174000</v>
      </c>
      <c r="DP2430" s="65" t="s">
        <v>2240</v>
      </c>
      <c r="DQ2430" s="165">
        <v>6.22</v>
      </c>
      <c r="DR2430" s="165">
        <v>6.17</v>
      </c>
      <c r="EU2430" s="65">
        <v>0.87</v>
      </c>
      <c r="EV2430" s="65">
        <v>0.8</v>
      </c>
      <c r="EY2430" s="65" t="s">
        <v>2366</v>
      </c>
      <c r="GP2430" s="292" t="s">
        <v>7494</v>
      </c>
      <c r="JG2430" s="65">
        <f>0.372*1000</f>
        <v>372</v>
      </c>
      <c r="JH2430" s="65">
        <f>0.404*1000</f>
        <v>404</v>
      </c>
      <c r="JK2430" s="65" t="s">
        <v>2365</v>
      </c>
      <c r="JU2430" s="55" t="s">
        <v>2358</v>
      </c>
    </row>
    <row r="2431" spans="1:281" x14ac:dyDescent="0.25">
      <c r="A2431" s="55">
        <v>2430</v>
      </c>
      <c r="B2431" s="12" t="s">
        <v>7067</v>
      </c>
      <c r="C2431" s="155">
        <v>112</v>
      </c>
      <c r="D2431" s="55" t="s">
        <v>4215</v>
      </c>
      <c r="E2431" s="90" t="s">
        <v>2348</v>
      </c>
      <c r="G2431" s="55" t="s">
        <v>2349</v>
      </c>
      <c r="H2431" s="55">
        <v>2013</v>
      </c>
      <c r="I2431" s="55">
        <v>2012</v>
      </c>
      <c r="J2431" s="55" t="s">
        <v>151</v>
      </c>
      <c r="K2431" s="55" t="s">
        <v>2350</v>
      </c>
      <c r="L2431" s="55" t="s">
        <v>2743</v>
      </c>
      <c r="M2431" s="90">
        <f>56.5</f>
        <v>56.5</v>
      </c>
      <c r="N2431" s="90">
        <f>9+35/60</f>
        <v>9.5833333333333339</v>
      </c>
      <c r="O2431" s="90">
        <v>34.200000000000003</v>
      </c>
      <c r="Q2431" s="55">
        <v>7.3</v>
      </c>
      <c r="S2431" s="90">
        <v>626</v>
      </c>
      <c r="U2431" s="55" t="s">
        <v>1801</v>
      </c>
      <c r="V2431" s="55" t="s">
        <v>1801</v>
      </c>
      <c r="Y2431" s="55" t="s">
        <v>1804</v>
      </c>
      <c r="Z2431" s="55" t="s">
        <v>1350</v>
      </c>
      <c r="AA2431" s="90" t="s">
        <v>1675</v>
      </c>
      <c r="AE2431" s="90">
        <v>75</v>
      </c>
      <c r="AF2431" s="90">
        <v>13</v>
      </c>
      <c r="AH2431" s="55" t="s">
        <v>238</v>
      </c>
      <c r="AJ2431" s="90">
        <v>3.1</v>
      </c>
      <c r="AM2431" s="55" t="s">
        <v>2351</v>
      </c>
      <c r="AN2431" s="185" t="s">
        <v>2357</v>
      </c>
      <c r="AO2431" s="185" t="s">
        <v>5150</v>
      </c>
      <c r="AQ2431" s="55" t="s">
        <v>1097</v>
      </c>
      <c r="AR2431" s="55" t="s">
        <v>1023</v>
      </c>
      <c r="AS2431" s="55" t="s">
        <v>5133</v>
      </c>
      <c r="AT2431" s="181" t="s">
        <v>176</v>
      </c>
      <c r="AU2431" s="181" t="s">
        <v>5150</v>
      </c>
      <c r="AV2431" s="185" t="s">
        <v>176</v>
      </c>
      <c r="AW2431" s="55" t="s">
        <v>176</v>
      </c>
      <c r="AX2431" s="185" t="s">
        <v>176</v>
      </c>
      <c r="AY2431" s="55" t="s">
        <v>176</v>
      </c>
      <c r="AZ2431" s="55" t="s">
        <v>2359</v>
      </c>
      <c r="BA2431" s="55" t="s">
        <v>2359</v>
      </c>
      <c r="BB2431" s="55" t="s">
        <v>2081</v>
      </c>
      <c r="BC2431" s="55" t="s">
        <v>2081</v>
      </c>
      <c r="BD2431" s="55" t="s">
        <v>176</v>
      </c>
      <c r="BK2431" s="55" t="s">
        <v>5976</v>
      </c>
      <c r="BM2431" s="192" t="s">
        <v>160</v>
      </c>
      <c r="BN2431" s="55">
        <v>3</v>
      </c>
      <c r="BO2431" s="55">
        <v>3</v>
      </c>
      <c r="BP2431" s="55">
        <f>72/3/2</f>
        <v>12</v>
      </c>
      <c r="BQ2431" s="55" t="s">
        <v>2352</v>
      </c>
      <c r="EU2431" s="65">
        <v>2.02</v>
      </c>
      <c r="EV2431" s="65">
        <v>1.75</v>
      </c>
      <c r="EY2431" s="65" t="s">
        <v>2367</v>
      </c>
      <c r="GP2431" s="292" t="s">
        <v>7494</v>
      </c>
      <c r="JG2431" s="65">
        <f>0.415*1000</f>
        <v>415</v>
      </c>
      <c r="JH2431" s="65">
        <f>0.434*1000</f>
        <v>434</v>
      </c>
      <c r="JK2431" s="65" t="s">
        <v>2365</v>
      </c>
      <c r="JU2431" s="55" t="s">
        <v>2358</v>
      </c>
    </row>
    <row r="2432" spans="1:281" x14ac:dyDescent="0.25">
      <c r="A2432" s="55">
        <v>2431</v>
      </c>
      <c r="B2432" s="12" t="s">
        <v>7067</v>
      </c>
      <c r="C2432" s="155">
        <v>112</v>
      </c>
      <c r="D2432" s="55" t="s">
        <v>4216</v>
      </c>
      <c r="E2432" s="90" t="s">
        <v>2348</v>
      </c>
      <c r="G2432" s="55" t="s">
        <v>2349</v>
      </c>
      <c r="H2432" s="55">
        <v>2013</v>
      </c>
      <c r="I2432" s="55">
        <v>2012</v>
      </c>
      <c r="J2432" s="55" t="s">
        <v>151</v>
      </c>
      <c r="K2432" s="55" t="s">
        <v>2350</v>
      </c>
      <c r="L2432" s="55" t="s">
        <v>2743</v>
      </c>
      <c r="M2432" s="90">
        <f>56.5</f>
        <v>56.5</v>
      </c>
      <c r="N2432" s="90">
        <f>9+35/60</f>
        <v>9.5833333333333339</v>
      </c>
      <c r="O2432" s="90">
        <v>34.200000000000003</v>
      </c>
      <c r="Q2432" s="55">
        <v>7.3</v>
      </c>
      <c r="S2432" s="90">
        <v>626</v>
      </c>
      <c r="U2432" s="55" t="s">
        <v>1801</v>
      </c>
      <c r="V2432" s="55" t="s">
        <v>1801</v>
      </c>
      <c r="Y2432" s="55" t="s">
        <v>1804</v>
      </c>
      <c r="Z2432" s="55" t="s">
        <v>1351</v>
      </c>
      <c r="AA2432" s="90" t="s">
        <v>1675</v>
      </c>
      <c r="AE2432" s="90">
        <v>75</v>
      </c>
      <c r="AF2432" s="90">
        <v>13</v>
      </c>
      <c r="AH2432" s="55" t="s">
        <v>238</v>
      </c>
      <c r="AJ2432" s="90">
        <v>3.1</v>
      </c>
      <c r="AM2432" s="55" t="s">
        <v>2351</v>
      </c>
      <c r="AN2432" s="185" t="s">
        <v>2357</v>
      </c>
      <c r="AO2432" s="185" t="s">
        <v>5150</v>
      </c>
      <c r="AQ2432" s="55" t="s">
        <v>1097</v>
      </c>
      <c r="AR2432" s="55" t="s">
        <v>1023</v>
      </c>
      <c r="AS2432" s="55" t="s">
        <v>5133</v>
      </c>
      <c r="AT2432" s="181" t="s">
        <v>176</v>
      </c>
      <c r="AU2432" s="181" t="s">
        <v>5150</v>
      </c>
      <c r="AV2432" s="185" t="s">
        <v>176</v>
      </c>
      <c r="AW2432" s="55" t="s">
        <v>176</v>
      </c>
      <c r="AX2432" s="185" t="s">
        <v>176</v>
      </c>
      <c r="AY2432" s="55" t="s">
        <v>176</v>
      </c>
      <c r="AZ2432" s="55" t="s">
        <v>2359</v>
      </c>
      <c r="BA2432" s="55" t="s">
        <v>2359</v>
      </c>
      <c r="BB2432" s="55" t="s">
        <v>2081</v>
      </c>
      <c r="BC2432" s="55" t="s">
        <v>2081</v>
      </c>
      <c r="BD2432" s="55" t="s">
        <v>176</v>
      </c>
      <c r="BK2432" s="55" t="s">
        <v>5976</v>
      </c>
      <c r="BM2432" s="192" t="s">
        <v>160</v>
      </c>
      <c r="BN2432" s="55">
        <v>3</v>
      </c>
      <c r="BO2432" s="55">
        <v>3</v>
      </c>
      <c r="BP2432" s="55">
        <f>72/3/2</f>
        <v>12</v>
      </c>
      <c r="BQ2432" s="55" t="s">
        <v>2352</v>
      </c>
      <c r="EU2432" s="65">
        <v>1.68</v>
      </c>
      <c r="EV2432" s="65">
        <v>1.5</v>
      </c>
      <c r="EY2432" s="65" t="s">
        <v>2366</v>
      </c>
      <c r="GP2432" s="292" t="s">
        <v>7494</v>
      </c>
      <c r="JG2432" s="65">
        <f>0.372*1000</f>
        <v>372</v>
      </c>
      <c r="JH2432" s="65">
        <f>0.404*1000</f>
        <v>404</v>
      </c>
      <c r="JK2432" s="65" t="s">
        <v>2365</v>
      </c>
      <c r="JU2432" s="55" t="s">
        <v>2358</v>
      </c>
    </row>
    <row r="2433" spans="1:198" x14ac:dyDescent="0.25">
      <c r="A2433" s="55">
        <v>2432</v>
      </c>
      <c r="B2433" s="12" t="s">
        <v>7067</v>
      </c>
      <c r="C2433" s="155">
        <v>113</v>
      </c>
      <c r="D2433" s="55" t="s">
        <v>4217</v>
      </c>
      <c r="E2433" s="90" t="s">
        <v>2348</v>
      </c>
      <c r="G2433" s="55" t="s">
        <v>2349</v>
      </c>
      <c r="H2433" s="55">
        <v>2013</v>
      </c>
      <c r="I2433" s="55">
        <v>2012</v>
      </c>
      <c r="J2433" s="55" t="s">
        <v>151</v>
      </c>
      <c r="K2433" s="55" t="s">
        <v>2350</v>
      </c>
      <c r="L2433" s="55" t="s">
        <v>2743</v>
      </c>
      <c r="M2433" s="90">
        <f>56.5</f>
        <v>56.5</v>
      </c>
      <c r="N2433" s="90">
        <f>9+35/60</f>
        <v>9.5833333333333339</v>
      </c>
      <c r="O2433" s="90">
        <v>34.200000000000003</v>
      </c>
      <c r="Q2433" s="55">
        <v>7.3</v>
      </c>
      <c r="S2433" s="90">
        <v>626</v>
      </c>
      <c r="U2433" s="55" t="s">
        <v>1801</v>
      </c>
      <c r="V2433" s="55" t="s">
        <v>1801</v>
      </c>
      <c r="Y2433" s="55" t="s">
        <v>1804</v>
      </c>
      <c r="Z2433" s="55" t="s">
        <v>1361</v>
      </c>
      <c r="AA2433" s="90" t="s">
        <v>1682</v>
      </c>
      <c r="AE2433" s="90">
        <v>75</v>
      </c>
      <c r="AF2433" s="90">
        <v>13</v>
      </c>
      <c r="AH2433" s="55" t="s">
        <v>238</v>
      </c>
      <c r="AJ2433" s="90">
        <v>3.1</v>
      </c>
      <c r="AM2433" s="55" t="s">
        <v>2351</v>
      </c>
      <c r="AN2433" s="185" t="s">
        <v>2357</v>
      </c>
      <c r="AO2433" s="185" t="s">
        <v>5150</v>
      </c>
      <c r="AQ2433" s="55" t="s">
        <v>1097</v>
      </c>
      <c r="AR2433" s="55" t="s">
        <v>1023</v>
      </c>
      <c r="AS2433" s="55" t="s">
        <v>5133</v>
      </c>
      <c r="AT2433" s="181" t="s">
        <v>176</v>
      </c>
      <c r="AU2433" s="181" t="s">
        <v>5150</v>
      </c>
      <c r="AV2433" s="185" t="s">
        <v>176</v>
      </c>
      <c r="AW2433" s="55" t="s">
        <v>176</v>
      </c>
      <c r="AX2433" s="185" t="s">
        <v>176</v>
      </c>
      <c r="AY2433" s="55" t="s">
        <v>176</v>
      </c>
      <c r="AZ2433" s="55" t="s">
        <v>2353</v>
      </c>
      <c r="BA2433" s="55" t="s">
        <v>2353</v>
      </c>
      <c r="BB2433" s="55" t="s">
        <v>2081</v>
      </c>
      <c r="BC2433" s="55" t="s">
        <v>2081</v>
      </c>
      <c r="BD2433" s="55" t="s">
        <v>176</v>
      </c>
      <c r="BK2433" s="55" t="s">
        <v>5976</v>
      </c>
      <c r="BM2433" s="192" t="s">
        <v>160</v>
      </c>
      <c r="BN2433" s="55">
        <v>3</v>
      </c>
      <c r="BO2433" s="55">
        <v>3</v>
      </c>
      <c r="BP2433" s="55">
        <f>72/3/2</f>
        <v>12</v>
      </c>
      <c r="BQ2433" s="55" t="s">
        <v>2352</v>
      </c>
      <c r="EP2433" s="65">
        <v>0.51</v>
      </c>
      <c r="EQ2433" s="65">
        <v>0.52</v>
      </c>
      <c r="ET2433" s="65" t="s">
        <v>987</v>
      </c>
      <c r="EZ2433" s="65">
        <v>171</v>
      </c>
      <c r="FA2433" s="65">
        <v>170</v>
      </c>
      <c r="FD2433" s="65" t="s">
        <v>2370</v>
      </c>
      <c r="GP2433" s="292" t="s">
        <v>7494</v>
      </c>
    </row>
    <row r="2434" spans="1:198" x14ac:dyDescent="0.25">
      <c r="A2434" s="55">
        <v>2433</v>
      </c>
      <c r="B2434" s="12" t="s">
        <v>7067</v>
      </c>
      <c r="C2434" s="155">
        <v>113</v>
      </c>
      <c r="D2434" s="55" t="s">
        <v>4218</v>
      </c>
      <c r="E2434" s="90" t="s">
        <v>2348</v>
      </c>
      <c r="G2434" s="55" t="s">
        <v>2349</v>
      </c>
      <c r="H2434" s="55">
        <v>2013</v>
      </c>
      <c r="I2434" s="55">
        <v>2012</v>
      </c>
      <c r="J2434" s="55" t="s">
        <v>151</v>
      </c>
      <c r="K2434" s="55" t="s">
        <v>2350</v>
      </c>
      <c r="L2434" s="55" t="s">
        <v>2743</v>
      </c>
      <c r="M2434" s="90">
        <f>56.5</f>
        <v>56.5</v>
      </c>
      <c r="N2434" s="90">
        <f>9+35/60</f>
        <v>9.5833333333333339</v>
      </c>
      <c r="O2434" s="90">
        <v>34.200000000000003</v>
      </c>
      <c r="Q2434" s="55">
        <v>7.3</v>
      </c>
      <c r="S2434" s="90">
        <v>626</v>
      </c>
      <c r="U2434" s="55" t="s">
        <v>1801</v>
      </c>
      <c r="V2434" s="55" t="s">
        <v>1801</v>
      </c>
      <c r="Y2434" s="55" t="s">
        <v>1804</v>
      </c>
      <c r="Z2434" s="55" t="s">
        <v>1379</v>
      </c>
      <c r="AA2434" s="90" t="s">
        <v>1679</v>
      </c>
      <c r="AE2434" s="90">
        <v>75</v>
      </c>
      <c r="AF2434" s="90">
        <v>13</v>
      </c>
      <c r="AH2434" s="55" t="s">
        <v>238</v>
      </c>
      <c r="AJ2434" s="90">
        <v>3.1</v>
      </c>
      <c r="AM2434" s="55" t="s">
        <v>2351</v>
      </c>
      <c r="AN2434" s="185" t="s">
        <v>2357</v>
      </c>
      <c r="AO2434" s="185" t="s">
        <v>5150</v>
      </c>
      <c r="AQ2434" s="55" t="s">
        <v>1097</v>
      </c>
      <c r="AR2434" s="55" t="s">
        <v>1023</v>
      </c>
      <c r="AS2434" s="55" t="s">
        <v>5133</v>
      </c>
      <c r="AT2434" s="181" t="s">
        <v>176</v>
      </c>
      <c r="AU2434" s="181" t="s">
        <v>5150</v>
      </c>
      <c r="AV2434" s="185" t="s">
        <v>176</v>
      </c>
      <c r="AW2434" s="55" t="s">
        <v>176</v>
      </c>
      <c r="AX2434" s="185" t="s">
        <v>176</v>
      </c>
      <c r="AY2434" s="55" t="s">
        <v>176</v>
      </c>
      <c r="AZ2434" s="55" t="s">
        <v>2353</v>
      </c>
      <c r="BA2434" s="55" t="s">
        <v>2353</v>
      </c>
      <c r="BB2434" s="55" t="s">
        <v>2081</v>
      </c>
      <c r="BC2434" s="55" t="s">
        <v>2081</v>
      </c>
      <c r="BD2434" s="55" t="s">
        <v>176</v>
      </c>
      <c r="BK2434" s="55" t="s">
        <v>5976</v>
      </c>
      <c r="BM2434" s="192" t="s">
        <v>160</v>
      </c>
      <c r="BN2434" s="55">
        <v>3</v>
      </c>
      <c r="BO2434" s="55">
        <v>3</v>
      </c>
      <c r="BP2434" s="55">
        <f>72/3/2</f>
        <v>12</v>
      </c>
      <c r="BQ2434" s="55" t="s">
        <v>2352</v>
      </c>
      <c r="EP2434" s="65">
        <v>0.48</v>
      </c>
      <c r="EQ2434" s="65">
        <v>0.49</v>
      </c>
      <c r="ET2434" s="65" t="s">
        <v>987</v>
      </c>
      <c r="GP2434" s="292" t="s">
        <v>7494</v>
      </c>
    </row>
    <row r="2435" spans="1:198" x14ac:dyDescent="0.25">
      <c r="A2435" s="55">
        <v>2434</v>
      </c>
      <c r="B2435" s="12" t="s">
        <v>7067</v>
      </c>
      <c r="C2435" s="155">
        <v>113</v>
      </c>
      <c r="D2435" s="55" t="s">
        <v>4219</v>
      </c>
      <c r="E2435" s="90" t="s">
        <v>2348</v>
      </c>
      <c r="G2435" s="55" t="s">
        <v>2349</v>
      </c>
      <c r="H2435" s="55">
        <v>2013</v>
      </c>
      <c r="I2435" s="55">
        <v>2012</v>
      </c>
      <c r="J2435" s="55" t="s">
        <v>151</v>
      </c>
      <c r="K2435" s="55" t="s">
        <v>2350</v>
      </c>
      <c r="L2435" s="55" t="s">
        <v>2743</v>
      </c>
      <c r="M2435" s="90">
        <f>56.5</f>
        <v>56.5</v>
      </c>
      <c r="N2435" s="90">
        <f>9+35/60</f>
        <v>9.5833333333333339</v>
      </c>
      <c r="O2435" s="90">
        <v>34.200000000000003</v>
      </c>
      <c r="Q2435" s="55">
        <v>7.3</v>
      </c>
      <c r="S2435" s="90">
        <v>626</v>
      </c>
      <c r="U2435" s="55" t="s">
        <v>1801</v>
      </c>
      <c r="V2435" s="55" t="s">
        <v>1801</v>
      </c>
      <c r="Y2435" s="55" t="s">
        <v>1804</v>
      </c>
      <c r="Z2435" s="55" t="s">
        <v>2369</v>
      </c>
      <c r="AA2435" s="90" t="s">
        <v>1682</v>
      </c>
      <c r="AE2435" s="90">
        <v>75</v>
      </c>
      <c r="AF2435" s="90">
        <v>13</v>
      </c>
      <c r="AH2435" s="55" t="s">
        <v>238</v>
      </c>
      <c r="AJ2435" s="90">
        <v>3.1</v>
      </c>
      <c r="AM2435" s="55" t="s">
        <v>2351</v>
      </c>
      <c r="AN2435" s="185" t="s">
        <v>2357</v>
      </c>
      <c r="AO2435" s="185" t="s">
        <v>5150</v>
      </c>
      <c r="AQ2435" s="55" t="s">
        <v>1097</v>
      </c>
      <c r="AR2435" s="55" t="s">
        <v>1023</v>
      </c>
      <c r="AS2435" s="55" t="s">
        <v>5133</v>
      </c>
      <c r="AT2435" s="181" t="s">
        <v>176</v>
      </c>
      <c r="AU2435" s="181" t="s">
        <v>5150</v>
      </c>
      <c r="AV2435" s="185" t="s">
        <v>176</v>
      </c>
      <c r="AW2435" s="55" t="s">
        <v>176</v>
      </c>
      <c r="AX2435" s="185" t="s">
        <v>176</v>
      </c>
      <c r="AY2435" s="55" t="s">
        <v>176</v>
      </c>
      <c r="AZ2435" s="55" t="s">
        <v>2353</v>
      </c>
      <c r="BA2435" s="55" t="s">
        <v>2353</v>
      </c>
      <c r="BB2435" s="55" t="s">
        <v>2081</v>
      </c>
      <c r="BC2435" s="55" t="s">
        <v>2081</v>
      </c>
      <c r="BD2435" s="55" t="s">
        <v>176</v>
      </c>
      <c r="BK2435" s="55" t="s">
        <v>5976</v>
      </c>
      <c r="BM2435" s="192" t="s">
        <v>160</v>
      </c>
      <c r="BN2435" s="55">
        <v>3</v>
      </c>
      <c r="BO2435" s="55">
        <v>3</v>
      </c>
      <c r="BP2435" s="55">
        <f>72/3/2</f>
        <v>12</v>
      </c>
      <c r="BQ2435" s="55" t="s">
        <v>2352</v>
      </c>
      <c r="EP2435" s="65">
        <v>0.47</v>
      </c>
      <c r="EQ2435" s="65">
        <v>0.48</v>
      </c>
      <c r="ET2435" s="65" t="s">
        <v>987</v>
      </c>
      <c r="GP2435" s="292" t="s">
        <v>7494</v>
      </c>
    </row>
    <row r="2436" spans="1:198" x14ac:dyDescent="0.25">
      <c r="A2436" s="55">
        <v>2435</v>
      </c>
      <c r="B2436" s="12" t="s">
        <v>7067</v>
      </c>
      <c r="C2436" s="155">
        <v>113</v>
      </c>
      <c r="D2436" s="55" t="s">
        <v>4220</v>
      </c>
      <c r="E2436" s="90" t="s">
        <v>2348</v>
      </c>
      <c r="G2436" s="55" t="s">
        <v>2349</v>
      </c>
      <c r="H2436" s="55">
        <v>2013</v>
      </c>
      <c r="I2436" s="55">
        <v>2012</v>
      </c>
      <c r="J2436" s="55" t="s">
        <v>151</v>
      </c>
      <c r="K2436" s="55" t="s">
        <v>2350</v>
      </c>
      <c r="L2436" s="55" t="s">
        <v>2743</v>
      </c>
      <c r="M2436" s="90">
        <f>56.5</f>
        <v>56.5</v>
      </c>
      <c r="N2436" s="90">
        <f>9+35/60</f>
        <v>9.5833333333333339</v>
      </c>
      <c r="O2436" s="90">
        <v>34.200000000000003</v>
      </c>
      <c r="Q2436" s="55">
        <v>7.3</v>
      </c>
      <c r="S2436" s="90">
        <v>626</v>
      </c>
      <c r="U2436" s="55" t="s">
        <v>1801</v>
      </c>
      <c r="V2436" s="55" t="s">
        <v>1801</v>
      </c>
      <c r="Y2436" s="55" t="s">
        <v>1804</v>
      </c>
      <c r="Z2436" s="55" t="s">
        <v>2371</v>
      </c>
      <c r="AA2436" s="90" t="s">
        <v>1816</v>
      </c>
      <c r="AE2436" s="90">
        <v>75</v>
      </c>
      <c r="AF2436" s="90">
        <v>13</v>
      </c>
      <c r="AH2436" s="55" t="s">
        <v>238</v>
      </c>
      <c r="AJ2436" s="90">
        <v>3.1</v>
      </c>
      <c r="AM2436" s="55" t="s">
        <v>2351</v>
      </c>
      <c r="AN2436" s="185" t="s">
        <v>2357</v>
      </c>
      <c r="AO2436" s="185" t="s">
        <v>5150</v>
      </c>
      <c r="AQ2436" s="55" t="s">
        <v>1097</v>
      </c>
      <c r="AR2436" s="55" t="s">
        <v>1023</v>
      </c>
      <c r="AS2436" s="55" t="s">
        <v>5133</v>
      </c>
      <c r="AT2436" s="181" t="s">
        <v>176</v>
      </c>
      <c r="AU2436" s="181" t="s">
        <v>5150</v>
      </c>
      <c r="AV2436" s="185" t="s">
        <v>176</v>
      </c>
      <c r="AW2436" s="55" t="s">
        <v>176</v>
      </c>
      <c r="AX2436" s="185" t="s">
        <v>176</v>
      </c>
      <c r="AY2436" s="55" t="s">
        <v>176</v>
      </c>
      <c r="AZ2436" s="55" t="s">
        <v>2353</v>
      </c>
      <c r="BA2436" s="55" t="s">
        <v>2353</v>
      </c>
      <c r="BB2436" s="55" t="s">
        <v>2081</v>
      </c>
      <c r="BC2436" s="55" t="s">
        <v>2081</v>
      </c>
      <c r="BD2436" s="55" t="s">
        <v>176</v>
      </c>
      <c r="BK2436" s="55" t="s">
        <v>5976</v>
      </c>
      <c r="BM2436" s="192" t="s">
        <v>160</v>
      </c>
      <c r="BN2436" s="55">
        <v>3</v>
      </c>
      <c r="BO2436" s="55">
        <v>3</v>
      </c>
      <c r="BP2436" s="55">
        <f>72/3/2</f>
        <v>12</v>
      </c>
      <c r="BQ2436" s="55" t="s">
        <v>2352</v>
      </c>
      <c r="EP2436" s="65">
        <v>7.5</v>
      </c>
      <c r="EQ2436" s="65">
        <v>12.6</v>
      </c>
      <c r="ET2436" s="65" t="s">
        <v>2374</v>
      </c>
      <c r="GP2436" s="292" t="s">
        <v>7494</v>
      </c>
    </row>
    <row r="2437" spans="1:198" x14ac:dyDescent="0.25">
      <c r="A2437" s="55">
        <v>2436</v>
      </c>
      <c r="B2437" s="12" t="s">
        <v>7067</v>
      </c>
      <c r="C2437" s="155">
        <v>113</v>
      </c>
      <c r="D2437" s="55" t="s">
        <v>4221</v>
      </c>
      <c r="E2437" s="90" t="s">
        <v>2348</v>
      </c>
      <c r="G2437" s="55" t="s">
        <v>2349</v>
      </c>
      <c r="H2437" s="55">
        <v>2013</v>
      </c>
      <c r="I2437" s="55">
        <v>2012</v>
      </c>
      <c r="J2437" s="55" t="s">
        <v>151</v>
      </c>
      <c r="K2437" s="55" t="s">
        <v>2350</v>
      </c>
      <c r="L2437" s="55" t="s">
        <v>2743</v>
      </c>
      <c r="M2437" s="90">
        <f>56.5</f>
        <v>56.5</v>
      </c>
      <c r="N2437" s="90">
        <f>9+35/60</f>
        <v>9.5833333333333339</v>
      </c>
      <c r="O2437" s="90">
        <v>34.200000000000003</v>
      </c>
      <c r="Q2437" s="55">
        <v>7.3</v>
      </c>
      <c r="S2437" s="90">
        <v>626</v>
      </c>
      <c r="U2437" s="55" t="s">
        <v>1801</v>
      </c>
      <c r="V2437" s="55" t="s">
        <v>1801</v>
      </c>
      <c r="Y2437" s="55" t="s">
        <v>1804</v>
      </c>
      <c r="Z2437" s="55" t="s">
        <v>2372</v>
      </c>
      <c r="AA2437" s="90" t="s">
        <v>1816</v>
      </c>
      <c r="AE2437" s="90">
        <v>75</v>
      </c>
      <c r="AF2437" s="90">
        <v>13</v>
      </c>
      <c r="AH2437" s="55" t="s">
        <v>238</v>
      </c>
      <c r="AJ2437" s="90">
        <v>3.1</v>
      </c>
      <c r="AM2437" s="55" t="s">
        <v>2351</v>
      </c>
      <c r="AN2437" s="185" t="s">
        <v>2357</v>
      </c>
      <c r="AO2437" s="185" t="s">
        <v>5150</v>
      </c>
      <c r="AQ2437" s="55" t="s">
        <v>1097</v>
      </c>
      <c r="AR2437" s="55" t="s">
        <v>1023</v>
      </c>
      <c r="AS2437" s="55" t="s">
        <v>5133</v>
      </c>
      <c r="AT2437" s="181" t="s">
        <v>176</v>
      </c>
      <c r="AU2437" s="181" t="s">
        <v>5150</v>
      </c>
      <c r="AV2437" s="185" t="s">
        <v>176</v>
      </c>
      <c r="AW2437" s="55" t="s">
        <v>176</v>
      </c>
      <c r="AX2437" s="185" t="s">
        <v>176</v>
      </c>
      <c r="AY2437" s="55" t="s">
        <v>176</v>
      </c>
      <c r="AZ2437" s="55" t="s">
        <v>2353</v>
      </c>
      <c r="BA2437" s="55" t="s">
        <v>2353</v>
      </c>
      <c r="BB2437" s="55" t="s">
        <v>2081</v>
      </c>
      <c r="BC2437" s="55" t="s">
        <v>2081</v>
      </c>
      <c r="BD2437" s="55" t="s">
        <v>176</v>
      </c>
      <c r="BK2437" s="55" t="s">
        <v>5976</v>
      </c>
      <c r="BM2437" s="192" t="s">
        <v>160</v>
      </c>
      <c r="BN2437" s="55">
        <v>3</v>
      </c>
      <c r="BO2437" s="55">
        <v>3</v>
      </c>
      <c r="BP2437" s="55">
        <f>72/3/2</f>
        <v>12</v>
      </c>
      <c r="BQ2437" s="55" t="s">
        <v>2352</v>
      </c>
      <c r="EP2437" s="65">
        <v>8.3000000000000007</v>
      </c>
      <c r="EQ2437" s="65">
        <v>20</v>
      </c>
      <c r="ET2437" s="65" t="s">
        <v>2375</v>
      </c>
      <c r="GP2437" s="292" t="s">
        <v>7494</v>
      </c>
    </row>
    <row r="2438" spans="1:198" x14ac:dyDescent="0.25">
      <c r="A2438" s="55">
        <v>2437</v>
      </c>
      <c r="B2438" s="12" t="s">
        <v>7067</v>
      </c>
      <c r="C2438" s="155">
        <v>113</v>
      </c>
      <c r="D2438" s="55" t="s">
        <v>4222</v>
      </c>
      <c r="E2438" s="90" t="s">
        <v>2348</v>
      </c>
      <c r="G2438" s="55" t="s">
        <v>2349</v>
      </c>
      <c r="H2438" s="55">
        <v>2013</v>
      </c>
      <c r="I2438" s="55">
        <v>2012</v>
      </c>
      <c r="J2438" s="55" t="s">
        <v>151</v>
      </c>
      <c r="K2438" s="55" t="s">
        <v>2350</v>
      </c>
      <c r="L2438" s="55" t="s">
        <v>2743</v>
      </c>
      <c r="M2438" s="90">
        <f>56.5</f>
        <v>56.5</v>
      </c>
      <c r="N2438" s="90">
        <f>9+35/60</f>
        <v>9.5833333333333339</v>
      </c>
      <c r="O2438" s="90">
        <v>34.200000000000003</v>
      </c>
      <c r="Q2438" s="55">
        <v>7.3</v>
      </c>
      <c r="S2438" s="90">
        <v>626</v>
      </c>
      <c r="U2438" s="55" t="s">
        <v>1801</v>
      </c>
      <c r="V2438" s="55" t="s">
        <v>1801</v>
      </c>
      <c r="Y2438" s="55" t="s">
        <v>1804</v>
      </c>
      <c r="Z2438" s="55" t="s">
        <v>2373</v>
      </c>
      <c r="AA2438" s="90" t="s">
        <v>1679</v>
      </c>
      <c r="AE2438" s="90">
        <v>75</v>
      </c>
      <c r="AF2438" s="90">
        <v>13</v>
      </c>
      <c r="AH2438" s="55" t="s">
        <v>238</v>
      </c>
      <c r="AJ2438" s="90">
        <v>3.1</v>
      </c>
      <c r="AM2438" s="55" t="s">
        <v>2351</v>
      </c>
      <c r="AN2438" s="185" t="s">
        <v>2357</v>
      </c>
      <c r="AO2438" s="185" t="s">
        <v>5150</v>
      </c>
      <c r="AQ2438" s="55" t="s">
        <v>1097</v>
      </c>
      <c r="AR2438" s="55" t="s">
        <v>1023</v>
      </c>
      <c r="AS2438" s="55" t="s">
        <v>5133</v>
      </c>
      <c r="AT2438" s="181" t="s">
        <v>176</v>
      </c>
      <c r="AU2438" s="181" t="s">
        <v>5150</v>
      </c>
      <c r="AV2438" s="185" t="s">
        <v>176</v>
      </c>
      <c r="AW2438" s="55" t="s">
        <v>176</v>
      </c>
      <c r="AX2438" s="185" t="s">
        <v>176</v>
      </c>
      <c r="AY2438" s="55" t="s">
        <v>176</v>
      </c>
      <c r="AZ2438" s="55" t="s">
        <v>2353</v>
      </c>
      <c r="BA2438" s="55" t="s">
        <v>2353</v>
      </c>
      <c r="BB2438" s="55" t="s">
        <v>2081</v>
      </c>
      <c r="BC2438" s="55" t="s">
        <v>2081</v>
      </c>
      <c r="BD2438" s="55" t="s">
        <v>176</v>
      </c>
      <c r="BK2438" s="55" t="s">
        <v>5976</v>
      </c>
      <c r="BM2438" s="192" t="s">
        <v>160</v>
      </c>
      <c r="BN2438" s="55">
        <v>3</v>
      </c>
      <c r="BO2438" s="55">
        <v>3</v>
      </c>
      <c r="BP2438" s="55">
        <f>72/3/2</f>
        <v>12</v>
      </c>
      <c r="BQ2438" s="55" t="s">
        <v>2352</v>
      </c>
      <c r="EP2438" s="65">
        <v>5.8</v>
      </c>
      <c r="EQ2438" s="65">
        <v>14.6</v>
      </c>
      <c r="ET2438" s="65" t="s">
        <v>2376</v>
      </c>
      <c r="GP2438" s="292" t="s">
        <v>7494</v>
      </c>
    </row>
    <row r="2439" spans="1:198" x14ac:dyDescent="0.25">
      <c r="A2439" s="55">
        <v>2438</v>
      </c>
      <c r="B2439" s="12" t="s">
        <v>7067</v>
      </c>
      <c r="C2439" s="155">
        <v>114</v>
      </c>
      <c r="D2439" s="55" t="s">
        <v>4223</v>
      </c>
      <c r="E2439" s="90" t="s">
        <v>2378</v>
      </c>
      <c r="G2439" s="55" t="s">
        <v>2379</v>
      </c>
      <c r="H2439" s="55">
        <v>2012</v>
      </c>
      <c r="I2439" s="55">
        <v>2007</v>
      </c>
      <c r="J2439" s="55" t="s">
        <v>2380</v>
      </c>
      <c r="K2439" s="55" t="s">
        <v>2383</v>
      </c>
      <c r="L2439" s="55" t="s">
        <v>2746</v>
      </c>
      <c r="M2439" s="90">
        <f>-28-56/60</f>
        <v>-28.933333333333334</v>
      </c>
      <c r="N2439" s="90">
        <f>115+17/60</f>
        <v>115.28333333333333</v>
      </c>
      <c r="O2439" s="90">
        <v>271</v>
      </c>
      <c r="S2439" s="90">
        <v>360</v>
      </c>
      <c r="U2439" s="55" t="s">
        <v>1935</v>
      </c>
      <c r="V2439" s="55" t="s">
        <v>1688</v>
      </c>
      <c r="Y2439" s="55" t="s">
        <v>2381</v>
      </c>
      <c r="Z2439" s="55" t="s">
        <v>1346</v>
      </c>
      <c r="AA2439" s="90" t="s">
        <v>1675</v>
      </c>
      <c r="AE2439" s="90">
        <v>95</v>
      </c>
      <c r="AF2439" s="90">
        <v>10</v>
      </c>
      <c r="AH2439" s="55" t="s">
        <v>201</v>
      </c>
      <c r="AI2439" s="168">
        <v>5.4</v>
      </c>
      <c r="AJ2439" s="90">
        <v>0.6</v>
      </c>
      <c r="AN2439" s="185" t="s">
        <v>2384</v>
      </c>
      <c r="AO2439" s="185" t="s">
        <v>5150</v>
      </c>
      <c r="AQ2439" s="55" t="s">
        <v>1545</v>
      </c>
      <c r="AR2439" s="55" t="s">
        <v>116</v>
      </c>
      <c r="AS2439" s="55" t="s">
        <v>116</v>
      </c>
      <c r="AT2439" s="181" t="s">
        <v>2387</v>
      </c>
      <c r="AU2439" s="181" t="s">
        <v>5150</v>
      </c>
      <c r="AV2439" s="185" t="s">
        <v>176</v>
      </c>
      <c r="AW2439" s="55" t="s">
        <v>2387</v>
      </c>
      <c r="AX2439" s="185" t="s">
        <v>176</v>
      </c>
      <c r="AY2439" s="55" t="s">
        <v>176</v>
      </c>
      <c r="BK2439" s="55" t="s">
        <v>5976</v>
      </c>
      <c r="BM2439" s="192" t="s">
        <v>160</v>
      </c>
      <c r="BN2439" s="55">
        <v>3</v>
      </c>
      <c r="BO2439" s="55">
        <v>3</v>
      </c>
      <c r="BQ2439" s="55" t="s">
        <v>141</v>
      </c>
      <c r="FT2439" s="65">
        <v>26</v>
      </c>
      <c r="FU2439" s="65">
        <v>22</v>
      </c>
      <c r="FX2439" s="65" t="s">
        <v>2389</v>
      </c>
      <c r="GP2439" s="292" t="s">
        <v>7494</v>
      </c>
    </row>
    <row r="2440" spans="1:198" x14ac:dyDescent="0.25">
      <c r="A2440" s="55">
        <v>2439</v>
      </c>
      <c r="B2440" s="12" t="s">
        <v>7067</v>
      </c>
      <c r="C2440" s="155">
        <v>114</v>
      </c>
      <c r="D2440" s="55" t="s">
        <v>4223</v>
      </c>
      <c r="E2440" s="90" t="s">
        <v>2378</v>
      </c>
      <c r="G2440" s="55" t="s">
        <v>2379</v>
      </c>
      <c r="H2440" s="55">
        <v>2012</v>
      </c>
      <c r="I2440" s="55">
        <v>2007</v>
      </c>
      <c r="J2440" s="55" t="s">
        <v>2380</v>
      </c>
      <c r="K2440" s="55" t="s">
        <v>2383</v>
      </c>
      <c r="L2440" s="55" t="s">
        <v>2746</v>
      </c>
      <c r="M2440" s="90">
        <f>-28-56/60</f>
        <v>-28.933333333333334</v>
      </c>
      <c r="N2440" s="90">
        <f>115+17/60</f>
        <v>115.28333333333333</v>
      </c>
      <c r="O2440" s="90">
        <v>271</v>
      </c>
      <c r="S2440" s="90">
        <v>360</v>
      </c>
      <c r="U2440" s="55" t="s">
        <v>1935</v>
      </c>
      <c r="V2440" s="55" t="s">
        <v>1688</v>
      </c>
      <c r="Y2440" s="55" t="s">
        <v>2381</v>
      </c>
      <c r="Z2440" s="55" t="s">
        <v>1346</v>
      </c>
      <c r="AA2440" s="90" t="s">
        <v>1675</v>
      </c>
      <c r="AE2440" s="90">
        <v>95</v>
      </c>
      <c r="AF2440" s="90">
        <v>10</v>
      </c>
      <c r="AH2440" s="55" t="s">
        <v>201</v>
      </c>
      <c r="AI2440" s="168">
        <v>5.4</v>
      </c>
      <c r="AJ2440" s="90">
        <v>0.6</v>
      </c>
      <c r="AN2440" s="185" t="s">
        <v>2385</v>
      </c>
      <c r="AO2440" s="185" t="s">
        <v>5150</v>
      </c>
      <c r="AQ2440" s="55" t="s">
        <v>1097</v>
      </c>
      <c r="AR2440" s="55" t="s">
        <v>116</v>
      </c>
      <c r="AS2440" s="55" t="s">
        <v>116</v>
      </c>
      <c r="AT2440" s="181" t="s">
        <v>2388</v>
      </c>
      <c r="AU2440" s="181" t="s">
        <v>5150</v>
      </c>
      <c r="AV2440" s="185" t="s">
        <v>176</v>
      </c>
      <c r="AW2440" s="55" t="s">
        <v>2388</v>
      </c>
      <c r="AX2440" s="185" t="s">
        <v>176</v>
      </c>
      <c r="AY2440" s="55" t="s">
        <v>176</v>
      </c>
      <c r="BK2440" s="55" t="s">
        <v>5976</v>
      </c>
      <c r="BM2440" s="192" t="s">
        <v>160</v>
      </c>
      <c r="BN2440" s="55">
        <v>3</v>
      </c>
      <c r="BO2440" s="55">
        <v>3</v>
      </c>
      <c r="BQ2440" s="55" t="s">
        <v>141</v>
      </c>
      <c r="FT2440" s="65">
        <v>26</v>
      </c>
      <c r="FU2440" s="65">
        <v>26</v>
      </c>
      <c r="FX2440" s="65" t="s">
        <v>2389</v>
      </c>
      <c r="GP2440" s="292" t="s">
        <v>7494</v>
      </c>
    </row>
    <row r="2441" spans="1:198" x14ac:dyDescent="0.25">
      <c r="A2441" s="55">
        <v>2440</v>
      </c>
      <c r="B2441" s="12" t="s">
        <v>7067</v>
      </c>
      <c r="C2441" s="155">
        <v>114</v>
      </c>
      <c r="D2441" s="55" t="s">
        <v>4224</v>
      </c>
      <c r="E2441" s="90" t="s">
        <v>2378</v>
      </c>
      <c r="G2441" s="55" t="s">
        <v>2379</v>
      </c>
      <c r="H2441" s="55">
        <v>2012</v>
      </c>
      <c r="I2441" s="55">
        <v>2007</v>
      </c>
      <c r="J2441" s="55" t="s">
        <v>2380</v>
      </c>
      <c r="K2441" s="55" t="s">
        <v>2382</v>
      </c>
      <c r="L2441" s="55" t="s">
        <v>2746</v>
      </c>
      <c r="M2441" s="90">
        <f>-31-38/60</f>
        <v>-31.633333333333333</v>
      </c>
      <c r="N2441" s="90">
        <f>117+14/60</f>
        <v>117.23333333333333</v>
      </c>
      <c r="O2441" s="90">
        <v>220</v>
      </c>
      <c r="S2441" s="90">
        <v>360</v>
      </c>
      <c r="U2441" s="55" t="s">
        <v>1935</v>
      </c>
      <c r="V2441" s="55" t="s">
        <v>1688</v>
      </c>
      <c r="Y2441" s="55" t="s">
        <v>2381</v>
      </c>
      <c r="Z2441" s="55" t="s">
        <v>1346</v>
      </c>
      <c r="AA2441" s="90" t="s">
        <v>1675</v>
      </c>
      <c r="AE2441" s="90">
        <v>60</v>
      </c>
      <c r="AF2441" s="90">
        <f>100-60-22</f>
        <v>18</v>
      </c>
      <c r="AH2441" s="55" t="s">
        <v>494</v>
      </c>
      <c r="AI2441" s="168">
        <v>6.6</v>
      </c>
      <c r="AJ2441" s="90">
        <v>1</v>
      </c>
      <c r="AN2441" s="185" t="s">
        <v>2384</v>
      </c>
      <c r="AO2441" s="185" t="s">
        <v>5150</v>
      </c>
      <c r="AQ2441" s="55" t="s">
        <v>1545</v>
      </c>
      <c r="AR2441" s="55" t="s">
        <v>116</v>
      </c>
      <c r="AS2441" s="55" t="s">
        <v>116</v>
      </c>
      <c r="AT2441" s="181" t="s">
        <v>2387</v>
      </c>
      <c r="AU2441" s="181" t="s">
        <v>5150</v>
      </c>
      <c r="AV2441" s="185" t="s">
        <v>176</v>
      </c>
      <c r="AW2441" s="55" t="s">
        <v>2387</v>
      </c>
      <c r="AX2441" s="185" t="s">
        <v>176</v>
      </c>
      <c r="AY2441" s="55" t="s">
        <v>176</v>
      </c>
      <c r="BK2441" s="55" t="s">
        <v>5976</v>
      </c>
      <c r="BM2441" s="192" t="s">
        <v>160</v>
      </c>
      <c r="BN2441" s="55">
        <v>3</v>
      </c>
      <c r="BO2441" s="55">
        <v>3</v>
      </c>
      <c r="BQ2441" s="55" t="s">
        <v>141</v>
      </c>
      <c r="FT2441" s="65">
        <v>12</v>
      </c>
      <c r="FU2441" s="65">
        <v>7</v>
      </c>
      <c r="FX2441" s="65" t="s">
        <v>2389</v>
      </c>
      <c r="GP2441" s="292" t="s">
        <v>7494</v>
      </c>
    </row>
    <row r="2442" spans="1:198" x14ac:dyDescent="0.25">
      <c r="A2442" s="55">
        <v>2441</v>
      </c>
      <c r="B2442" s="12" t="s">
        <v>7067</v>
      </c>
      <c r="C2442" s="155">
        <v>114</v>
      </c>
      <c r="D2442" s="55" t="s">
        <v>4224</v>
      </c>
      <c r="E2442" s="90" t="s">
        <v>2378</v>
      </c>
      <c r="G2442" s="55" t="s">
        <v>2379</v>
      </c>
      <c r="H2442" s="55">
        <v>2012</v>
      </c>
      <c r="I2442" s="55">
        <v>2007</v>
      </c>
      <c r="J2442" s="55" t="s">
        <v>2380</v>
      </c>
      <c r="K2442" s="55" t="s">
        <v>2382</v>
      </c>
      <c r="L2442" s="55" t="s">
        <v>2746</v>
      </c>
      <c r="M2442" s="90">
        <f>-31-38/60</f>
        <v>-31.633333333333333</v>
      </c>
      <c r="N2442" s="90">
        <f>117+14/60</f>
        <v>117.23333333333333</v>
      </c>
      <c r="O2442" s="90">
        <v>220</v>
      </c>
      <c r="S2442" s="90">
        <v>360</v>
      </c>
      <c r="U2442" s="55" t="s">
        <v>1935</v>
      </c>
      <c r="V2442" s="55" t="s">
        <v>1688</v>
      </c>
      <c r="Y2442" s="55" t="s">
        <v>2381</v>
      </c>
      <c r="Z2442" s="55" t="s">
        <v>1346</v>
      </c>
      <c r="AA2442" s="90" t="s">
        <v>1675</v>
      </c>
      <c r="AE2442" s="90">
        <v>61</v>
      </c>
      <c r="AF2442" s="90">
        <f>100-60-22</f>
        <v>18</v>
      </c>
      <c r="AH2442" s="55" t="s">
        <v>494</v>
      </c>
      <c r="AI2442" s="168">
        <v>6.6</v>
      </c>
      <c r="AJ2442" s="90">
        <v>1</v>
      </c>
      <c r="AN2442" s="185" t="s">
        <v>2385</v>
      </c>
      <c r="AO2442" s="185" t="s">
        <v>5150</v>
      </c>
      <c r="AQ2442" s="55" t="s">
        <v>1097</v>
      </c>
      <c r="AR2442" s="55" t="s">
        <v>116</v>
      </c>
      <c r="AS2442" s="55" t="s">
        <v>116</v>
      </c>
      <c r="AT2442" s="181" t="s">
        <v>2388</v>
      </c>
      <c r="AU2442" s="181" t="s">
        <v>5150</v>
      </c>
      <c r="AV2442" s="185" t="s">
        <v>176</v>
      </c>
      <c r="AW2442" s="55" t="s">
        <v>2388</v>
      </c>
      <c r="AX2442" s="185" t="s">
        <v>176</v>
      </c>
      <c r="AY2442" s="55" t="s">
        <v>176</v>
      </c>
      <c r="BK2442" s="55" t="s">
        <v>5976</v>
      </c>
      <c r="BM2442" s="192" t="s">
        <v>160</v>
      </c>
      <c r="BN2442" s="55">
        <v>3</v>
      </c>
      <c r="BO2442" s="55">
        <v>3</v>
      </c>
      <c r="BQ2442" s="55" t="s">
        <v>141</v>
      </c>
      <c r="FT2442" s="65">
        <v>12</v>
      </c>
      <c r="FU2442" s="65">
        <v>3</v>
      </c>
      <c r="FX2442" s="65" t="s">
        <v>2389</v>
      </c>
      <c r="GP2442" s="292" t="s">
        <v>7494</v>
      </c>
    </row>
    <row r="2443" spans="1:198" x14ac:dyDescent="0.25">
      <c r="A2443" s="55">
        <v>2442</v>
      </c>
      <c r="B2443" s="12" t="s">
        <v>7067</v>
      </c>
      <c r="C2443" s="155">
        <v>115</v>
      </c>
      <c r="D2443" s="55" t="s">
        <v>4225</v>
      </c>
      <c r="E2443" s="90" t="s">
        <v>2542</v>
      </c>
      <c r="G2443" s="55" t="s">
        <v>2541</v>
      </c>
      <c r="H2443" s="55">
        <v>2009</v>
      </c>
      <c r="I2443" s="55">
        <v>2005</v>
      </c>
      <c r="J2443" s="55" t="s">
        <v>2545</v>
      </c>
      <c r="K2443" s="55" t="s">
        <v>2544</v>
      </c>
      <c r="L2443" s="55" t="s">
        <v>2746</v>
      </c>
      <c r="M2443" s="90">
        <v>-28.95</v>
      </c>
      <c r="N2443" s="90">
        <v>151.94</v>
      </c>
      <c r="O2443" s="90">
        <v>836.8</v>
      </c>
      <c r="U2443" s="55" t="s">
        <v>1805</v>
      </c>
      <c r="V2443" s="55" t="s">
        <v>1688</v>
      </c>
      <c r="Y2443" s="55" t="s">
        <v>2543</v>
      </c>
      <c r="Z2443" s="55" t="s">
        <v>1378</v>
      </c>
      <c r="AA2443" s="90" t="s">
        <v>1689</v>
      </c>
      <c r="AN2443" s="185" t="s">
        <v>503</v>
      </c>
      <c r="AO2443" s="185" t="s">
        <v>5150</v>
      </c>
      <c r="AQ2443" s="55" t="s">
        <v>1545</v>
      </c>
      <c r="AR2443" s="55" t="s">
        <v>116</v>
      </c>
      <c r="AS2443" s="55" t="s">
        <v>116</v>
      </c>
      <c r="AU2443" s="181" t="s">
        <v>7494</v>
      </c>
      <c r="AV2443" s="185" t="s">
        <v>176</v>
      </c>
      <c r="AX2443" s="185" t="s">
        <v>176</v>
      </c>
      <c r="BK2443" s="55" t="s">
        <v>5976</v>
      </c>
      <c r="BM2443" s="192" t="s">
        <v>160</v>
      </c>
      <c r="BN2443" s="55">
        <f>ROUND(AVERAGE(8,11,12),0)</f>
        <v>10</v>
      </c>
      <c r="BO2443" s="55">
        <v>10</v>
      </c>
      <c r="BP2443" s="55">
        <v>2</v>
      </c>
      <c r="BQ2443" s="55" t="s">
        <v>141</v>
      </c>
      <c r="BV2443" s="55" t="s">
        <v>2546</v>
      </c>
      <c r="CB2443" s="66">
        <f>2.32*1000</f>
        <v>2320</v>
      </c>
      <c r="CC2443" s="66">
        <v>2720</v>
      </c>
      <c r="CE2443" s="65">
        <v>1170</v>
      </c>
      <c r="CF2443" s="65">
        <v>1200</v>
      </c>
      <c r="GI2443" s="65">
        <f>AVERAGE(166.67,157.97,173.91,163.77,155.07)</f>
        <v>163.47799999999998</v>
      </c>
      <c r="GJ2443" s="65">
        <f>AVERAGE(152.52,122.3,145.3,165.47,147.76)</f>
        <v>146.67000000000002</v>
      </c>
      <c r="GM2443" s="65" t="s">
        <v>2549</v>
      </c>
      <c r="GP2443" s="292" t="s">
        <v>7494</v>
      </c>
    </row>
    <row r="2444" spans="1:198" x14ac:dyDescent="0.25">
      <c r="A2444" s="55">
        <v>2443</v>
      </c>
      <c r="B2444" s="12" t="s">
        <v>7067</v>
      </c>
      <c r="C2444" s="155">
        <v>115</v>
      </c>
      <c r="D2444" s="55" t="s">
        <v>4225</v>
      </c>
      <c r="E2444" s="90" t="s">
        <v>2542</v>
      </c>
      <c r="G2444" s="55" t="s">
        <v>2541</v>
      </c>
      <c r="H2444" s="55">
        <v>2009</v>
      </c>
      <c r="I2444" s="55">
        <v>2005</v>
      </c>
      <c r="J2444" s="55" t="s">
        <v>2545</v>
      </c>
      <c r="K2444" s="55" t="s">
        <v>2544</v>
      </c>
      <c r="L2444" s="55" t="s">
        <v>2746</v>
      </c>
      <c r="M2444" s="90">
        <v>-28.95</v>
      </c>
      <c r="N2444" s="90">
        <v>151.94</v>
      </c>
      <c r="O2444" s="90">
        <v>836.8</v>
      </c>
      <c r="U2444" s="55" t="s">
        <v>1805</v>
      </c>
      <c r="V2444" s="55" t="s">
        <v>1688</v>
      </c>
      <c r="Y2444" s="55" t="s">
        <v>2543</v>
      </c>
      <c r="Z2444" s="55" t="s">
        <v>1378</v>
      </c>
      <c r="AA2444" s="90" t="s">
        <v>1689</v>
      </c>
      <c r="AN2444" s="185" t="s">
        <v>503</v>
      </c>
      <c r="AO2444" s="185" t="s">
        <v>5150</v>
      </c>
      <c r="AQ2444" s="55" t="s">
        <v>1545</v>
      </c>
      <c r="AR2444" s="55" t="s">
        <v>116</v>
      </c>
      <c r="AS2444" s="55" t="s">
        <v>116</v>
      </c>
      <c r="AU2444" s="181" t="s">
        <v>7494</v>
      </c>
      <c r="AV2444" s="185" t="s">
        <v>176</v>
      </c>
      <c r="AX2444" s="185" t="s">
        <v>176</v>
      </c>
      <c r="BK2444" s="55" t="s">
        <v>5976</v>
      </c>
      <c r="BM2444" s="192" t="s">
        <v>160</v>
      </c>
      <c r="BN2444" s="55">
        <f>ROUND(AVERAGE(8,11,12),0)</f>
        <v>10</v>
      </c>
      <c r="BO2444" s="55">
        <v>10</v>
      </c>
      <c r="BP2444" s="55">
        <v>2</v>
      </c>
      <c r="BQ2444" s="55" t="s">
        <v>141</v>
      </c>
      <c r="BV2444" s="55" t="s">
        <v>2547</v>
      </c>
      <c r="CB2444" s="66">
        <v>2330</v>
      </c>
      <c r="CC2444" s="66">
        <v>2390</v>
      </c>
      <c r="CE2444" s="65">
        <v>760</v>
      </c>
      <c r="CF2444" s="65">
        <v>800</v>
      </c>
      <c r="GI2444" s="65">
        <f>AVERAGE(166.67,157.97,173.91,163.77,155.07)</f>
        <v>163.47799999999998</v>
      </c>
      <c r="GJ2444" s="65">
        <f>AVERAGE(171,95.65,117.39,97.1,117.39)</f>
        <v>119.70599999999999</v>
      </c>
      <c r="GM2444" s="65" t="s">
        <v>2549</v>
      </c>
      <c r="GP2444" s="292" t="s">
        <v>7494</v>
      </c>
    </row>
    <row r="2445" spans="1:198" x14ac:dyDescent="0.25">
      <c r="A2445" s="55">
        <v>2444</v>
      </c>
      <c r="B2445" s="12" t="s">
        <v>7067</v>
      </c>
      <c r="C2445" s="155">
        <v>115</v>
      </c>
      <c r="D2445" s="55" t="s">
        <v>4225</v>
      </c>
      <c r="E2445" s="90" t="s">
        <v>2542</v>
      </c>
      <c r="G2445" s="55" t="s">
        <v>2541</v>
      </c>
      <c r="H2445" s="55">
        <v>2009</v>
      </c>
      <c r="I2445" s="55">
        <v>2005</v>
      </c>
      <c r="J2445" s="55" t="s">
        <v>2545</v>
      </c>
      <c r="K2445" s="55" t="s">
        <v>2544</v>
      </c>
      <c r="L2445" s="55" t="s">
        <v>2746</v>
      </c>
      <c r="M2445" s="90">
        <v>-28.95</v>
      </c>
      <c r="N2445" s="90">
        <v>151.94</v>
      </c>
      <c r="O2445" s="90">
        <v>836.8</v>
      </c>
      <c r="U2445" s="55" t="s">
        <v>1805</v>
      </c>
      <c r="V2445" s="55" t="s">
        <v>1688</v>
      </c>
      <c r="Y2445" s="55" t="s">
        <v>2543</v>
      </c>
      <c r="Z2445" s="55" t="s">
        <v>1378</v>
      </c>
      <c r="AA2445" s="90" t="s">
        <v>1689</v>
      </c>
      <c r="AN2445" s="185" t="s">
        <v>503</v>
      </c>
      <c r="AO2445" s="185" t="s">
        <v>5150</v>
      </c>
      <c r="AQ2445" s="55" t="s">
        <v>1545</v>
      </c>
      <c r="AR2445" s="55" t="s">
        <v>116</v>
      </c>
      <c r="AS2445" s="55" t="s">
        <v>116</v>
      </c>
      <c r="AU2445" s="181" t="s">
        <v>7494</v>
      </c>
      <c r="AV2445" s="185" t="s">
        <v>176</v>
      </c>
      <c r="AX2445" s="185" t="s">
        <v>176</v>
      </c>
      <c r="BK2445" s="55" t="s">
        <v>5976</v>
      </c>
      <c r="BM2445" s="192" t="s">
        <v>160</v>
      </c>
      <c r="BN2445" s="55">
        <f>ROUND(AVERAGE(8,11,12),0)</f>
        <v>10</v>
      </c>
      <c r="BO2445" s="55">
        <v>10</v>
      </c>
      <c r="BP2445" s="55">
        <v>2</v>
      </c>
      <c r="BQ2445" s="55" t="s">
        <v>141</v>
      </c>
      <c r="BV2445" s="55" t="s">
        <v>2548</v>
      </c>
      <c r="CB2445" s="66">
        <v>2290</v>
      </c>
      <c r="CC2445" s="66">
        <v>2460</v>
      </c>
      <c r="CE2445" s="65">
        <v>930</v>
      </c>
      <c r="CF2445" s="65">
        <v>840</v>
      </c>
      <c r="GI2445" s="65">
        <f>AVERAGE(166.67,157.97,173.91,163.77,155.07)</f>
        <v>163.47799999999998</v>
      </c>
      <c r="GJ2445" s="65">
        <f>AVERAGE(160.23,94.69,76.15,111.56,113.87)</f>
        <v>111.3</v>
      </c>
      <c r="GM2445" s="65" t="s">
        <v>2549</v>
      </c>
      <c r="GP2445" s="292" t="s">
        <v>7494</v>
      </c>
    </row>
    <row r="2446" spans="1:198" x14ac:dyDescent="0.25">
      <c r="A2446" s="55">
        <v>2445</v>
      </c>
      <c r="B2446" s="12" t="s">
        <v>7067</v>
      </c>
      <c r="C2446" s="155">
        <v>116</v>
      </c>
      <c r="D2446" s="55" t="s">
        <v>4226</v>
      </c>
      <c r="E2446" s="90" t="s">
        <v>2550</v>
      </c>
      <c r="G2446" s="55" t="s">
        <v>2551</v>
      </c>
      <c r="H2446" s="55">
        <v>2005</v>
      </c>
      <c r="I2446" s="55">
        <v>1997</v>
      </c>
      <c r="J2446" s="55" t="s">
        <v>2552</v>
      </c>
      <c r="K2446" s="55" t="s">
        <v>2553</v>
      </c>
      <c r="L2446" s="55" t="s">
        <v>2747</v>
      </c>
      <c r="M2446" s="90">
        <f>9+25/60</f>
        <v>9.4166666666666661</v>
      </c>
      <c r="N2446" s="90">
        <f>0-58/60</f>
        <v>-0.96666666666666667</v>
      </c>
      <c r="O2446" s="90">
        <v>183</v>
      </c>
      <c r="U2446" s="55" t="s">
        <v>1935</v>
      </c>
      <c r="V2446" s="55" t="s">
        <v>1816</v>
      </c>
      <c r="Y2446" s="55" t="s">
        <v>2554</v>
      </c>
      <c r="Z2446" s="55" t="s">
        <v>1346</v>
      </c>
      <c r="AA2446" s="90" t="s">
        <v>1675</v>
      </c>
      <c r="AB2446" s="65">
        <v>3.35</v>
      </c>
      <c r="AC2446" s="65" t="s">
        <v>7001</v>
      </c>
      <c r="AE2446" s="90">
        <v>65.5</v>
      </c>
      <c r="AF2446" s="90">
        <v>22.02</v>
      </c>
      <c r="AH2446" s="55" t="s">
        <v>238</v>
      </c>
      <c r="AI2446" s="168">
        <v>5.26</v>
      </c>
      <c r="AJ2446" s="90">
        <v>0.64</v>
      </c>
      <c r="AM2446" s="55" t="s">
        <v>2598</v>
      </c>
      <c r="AN2446" s="185" t="s">
        <v>2599</v>
      </c>
      <c r="AO2446" s="185" t="s">
        <v>5150</v>
      </c>
      <c r="AQ2446" s="55" t="s">
        <v>553</v>
      </c>
      <c r="AR2446" s="55" t="s">
        <v>1607</v>
      </c>
      <c r="AS2446" s="55" t="s">
        <v>132</v>
      </c>
      <c r="AU2446" s="181" t="s">
        <v>7494</v>
      </c>
      <c r="AV2446" s="185" t="s">
        <v>176</v>
      </c>
      <c r="AX2446" s="185" t="s">
        <v>176</v>
      </c>
      <c r="BE2446" s="226" t="s">
        <v>176</v>
      </c>
      <c r="BG2446" s="191" t="s">
        <v>176</v>
      </c>
      <c r="BH2446" s="226" t="s">
        <v>176</v>
      </c>
      <c r="BI2446" s="191" t="s">
        <v>176</v>
      </c>
      <c r="BJ2446" s="55" t="s">
        <v>176</v>
      </c>
      <c r="BK2446" s="55" t="s">
        <v>5976</v>
      </c>
      <c r="BM2446" s="192" t="s">
        <v>119</v>
      </c>
      <c r="BN2446" s="55">
        <v>3</v>
      </c>
      <c r="BO2446" s="55">
        <v>3</v>
      </c>
      <c r="BQ2446" s="55" t="s">
        <v>141</v>
      </c>
      <c r="BV2446" s="55" t="s">
        <v>2596</v>
      </c>
      <c r="CB2446" s="66">
        <v>430</v>
      </c>
      <c r="CC2446" s="66">
        <v>1750</v>
      </c>
      <c r="CG2446" s="65" t="s">
        <v>2600</v>
      </c>
      <c r="CM2446" s="65">
        <v>0.60299999999999998</v>
      </c>
      <c r="CN2446" s="65">
        <v>0.87</v>
      </c>
      <c r="CV2446" s="65" t="s">
        <v>3039</v>
      </c>
      <c r="DA2446" s="65" t="s">
        <v>4458</v>
      </c>
      <c r="DB2446" s="65">
        <f>0.054*10000</f>
        <v>540</v>
      </c>
      <c r="DC2446" s="65">
        <v>1040</v>
      </c>
      <c r="DF2446" s="65" t="s">
        <v>2603</v>
      </c>
      <c r="DG2446" s="65">
        <v>9.67</v>
      </c>
      <c r="DH2446" s="65">
        <v>7.16</v>
      </c>
      <c r="DL2446" s="65">
        <v>53.3</v>
      </c>
      <c r="DM2446" s="65">
        <v>50.4</v>
      </c>
      <c r="DQ2446" s="165">
        <v>5.04</v>
      </c>
      <c r="DR2446" s="165">
        <v>5.33</v>
      </c>
      <c r="DV2446" s="65">
        <v>3.35</v>
      </c>
      <c r="DW2446" s="65">
        <v>4.04</v>
      </c>
      <c r="DZ2446" s="65" t="s">
        <v>2604</v>
      </c>
      <c r="GP2446" s="292" t="s">
        <v>7494</v>
      </c>
    </row>
    <row r="2447" spans="1:198" x14ac:dyDescent="0.25">
      <c r="A2447" s="55">
        <v>2446</v>
      </c>
      <c r="B2447" s="12" t="s">
        <v>7067</v>
      </c>
      <c r="C2447" s="155">
        <v>116</v>
      </c>
      <c r="D2447" s="55" t="s">
        <v>4227</v>
      </c>
      <c r="E2447" s="90" t="s">
        <v>2550</v>
      </c>
      <c r="G2447" s="55" t="s">
        <v>2551</v>
      </c>
      <c r="H2447" s="55">
        <v>2005</v>
      </c>
      <c r="I2447" s="55">
        <v>1997</v>
      </c>
      <c r="J2447" s="55" t="s">
        <v>2552</v>
      </c>
      <c r="K2447" s="55" t="s">
        <v>2553</v>
      </c>
      <c r="L2447" s="55" t="s">
        <v>2747</v>
      </c>
      <c r="M2447" s="90">
        <f>9+25/60</f>
        <v>9.4166666666666661</v>
      </c>
      <c r="N2447" s="90">
        <f>0-58/60</f>
        <v>-0.96666666666666667</v>
      </c>
      <c r="O2447" s="90">
        <v>183</v>
      </c>
      <c r="U2447" s="55" t="s">
        <v>1935</v>
      </c>
      <c r="V2447" s="55" t="s">
        <v>1816</v>
      </c>
      <c r="Y2447" s="55" t="s">
        <v>2554</v>
      </c>
      <c r="Z2447" s="55" t="s">
        <v>1346</v>
      </c>
      <c r="AA2447" s="90" t="s">
        <v>1675</v>
      </c>
      <c r="AB2447" s="65">
        <v>3.35</v>
      </c>
      <c r="AC2447" s="65" t="s">
        <v>7001</v>
      </c>
      <c r="AE2447" s="90">
        <v>65.5</v>
      </c>
      <c r="AF2447" s="90">
        <v>22.02</v>
      </c>
      <c r="AH2447" s="55" t="s">
        <v>238</v>
      </c>
      <c r="AI2447" s="168">
        <v>5.26</v>
      </c>
      <c r="AJ2447" s="90">
        <v>0.64</v>
      </c>
      <c r="AM2447" s="55" t="s">
        <v>2598</v>
      </c>
      <c r="AN2447" s="185" t="s">
        <v>2599</v>
      </c>
      <c r="AO2447" s="185" t="s">
        <v>5150</v>
      </c>
      <c r="AQ2447" s="55" t="s">
        <v>553</v>
      </c>
      <c r="AR2447" s="55" t="s">
        <v>1607</v>
      </c>
      <c r="AS2447" s="55" t="s">
        <v>132</v>
      </c>
      <c r="AU2447" s="181" t="s">
        <v>7494</v>
      </c>
      <c r="AV2447" s="185" t="s">
        <v>176</v>
      </c>
      <c r="AX2447" s="185" t="s">
        <v>176</v>
      </c>
      <c r="BE2447" s="226" t="s">
        <v>2605</v>
      </c>
      <c r="BG2447" s="191" t="s">
        <v>479</v>
      </c>
      <c r="BH2447" s="226" t="s">
        <v>1400</v>
      </c>
      <c r="BI2447" s="191" t="s">
        <v>176</v>
      </c>
      <c r="BJ2447" s="55" t="s">
        <v>479</v>
      </c>
      <c r="BK2447" s="55" t="s">
        <v>5976</v>
      </c>
      <c r="BM2447" s="192" t="s">
        <v>119</v>
      </c>
      <c r="BN2447" s="55">
        <v>3</v>
      </c>
      <c r="BO2447" s="55">
        <v>3</v>
      </c>
      <c r="BQ2447" s="55" t="s">
        <v>141</v>
      </c>
      <c r="BV2447" s="55" t="s">
        <v>2596</v>
      </c>
      <c r="CB2447" s="66">
        <v>430</v>
      </c>
      <c r="CC2447" s="66">
        <v>2390</v>
      </c>
      <c r="CG2447" s="65" t="s">
        <v>2601</v>
      </c>
      <c r="CM2447" s="65">
        <v>0.60299999999999998</v>
      </c>
      <c r="CN2447" s="65">
        <v>0.85699999999999998</v>
      </c>
      <c r="CV2447" s="65" t="s">
        <v>3039</v>
      </c>
      <c r="DA2447" s="65" t="s">
        <v>4458</v>
      </c>
      <c r="DB2447" s="65">
        <f>0.054*10000</f>
        <v>540</v>
      </c>
      <c r="DC2447" s="65">
        <v>790</v>
      </c>
      <c r="DF2447" s="65" t="s">
        <v>2603</v>
      </c>
      <c r="DG2447" s="65">
        <v>9.67</v>
      </c>
      <c r="DH2447" s="65">
        <v>5.98</v>
      </c>
      <c r="DL2447" s="65">
        <v>53.3</v>
      </c>
      <c r="DM2447" s="65">
        <v>47.8</v>
      </c>
      <c r="DQ2447" s="165">
        <v>5.04</v>
      </c>
      <c r="DR2447" s="165">
        <v>5.0599999999999996</v>
      </c>
      <c r="DV2447" s="65">
        <v>3.35</v>
      </c>
      <c r="DW2447" s="65">
        <v>4</v>
      </c>
      <c r="DZ2447" s="65" t="s">
        <v>2604</v>
      </c>
      <c r="GP2447" s="292" t="s">
        <v>7494</v>
      </c>
    </row>
    <row r="2448" spans="1:198" x14ac:dyDescent="0.25">
      <c r="A2448" s="55">
        <v>2447</v>
      </c>
      <c r="B2448" s="12" t="s">
        <v>7067</v>
      </c>
      <c r="C2448" s="155">
        <v>116</v>
      </c>
      <c r="D2448" s="55" t="s">
        <v>4228</v>
      </c>
      <c r="E2448" s="90" t="s">
        <v>2550</v>
      </c>
      <c r="G2448" s="55" t="s">
        <v>2551</v>
      </c>
      <c r="H2448" s="55">
        <v>2005</v>
      </c>
      <c r="I2448" s="55">
        <v>1997</v>
      </c>
      <c r="J2448" s="55" t="s">
        <v>2552</v>
      </c>
      <c r="K2448" s="55" t="s">
        <v>2553</v>
      </c>
      <c r="L2448" s="55" t="s">
        <v>2747</v>
      </c>
      <c r="M2448" s="90">
        <f>9+25/60</f>
        <v>9.4166666666666661</v>
      </c>
      <c r="N2448" s="90">
        <f>0-58/60</f>
        <v>-0.96666666666666667</v>
      </c>
      <c r="O2448" s="90">
        <v>183</v>
      </c>
      <c r="U2448" s="55" t="s">
        <v>1935</v>
      </c>
      <c r="V2448" s="55" t="s">
        <v>1816</v>
      </c>
      <c r="Y2448" s="55" t="s">
        <v>2554</v>
      </c>
      <c r="Z2448" s="55" t="s">
        <v>1346</v>
      </c>
      <c r="AA2448" s="90" t="s">
        <v>1675</v>
      </c>
      <c r="AB2448" s="65">
        <v>3.35</v>
      </c>
      <c r="AC2448" s="65" t="s">
        <v>7001</v>
      </c>
      <c r="AE2448" s="90">
        <v>65.5</v>
      </c>
      <c r="AF2448" s="90">
        <v>22.02</v>
      </c>
      <c r="AH2448" s="55" t="s">
        <v>238</v>
      </c>
      <c r="AI2448" s="168">
        <v>5.26</v>
      </c>
      <c r="AJ2448" s="90">
        <v>0.64</v>
      </c>
      <c r="AM2448" s="55" t="s">
        <v>2598</v>
      </c>
      <c r="AN2448" s="185" t="s">
        <v>2599</v>
      </c>
      <c r="AO2448" s="185" t="s">
        <v>5150</v>
      </c>
      <c r="AQ2448" s="55" t="s">
        <v>553</v>
      </c>
      <c r="AR2448" s="55" t="s">
        <v>1607</v>
      </c>
      <c r="AS2448" s="55" t="s">
        <v>132</v>
      </c>
      <c r="AU2448" s="181" t="s">
        <v>7494</v>
      </c>
      <c r="AV2448" s="185" t="s">
        <v>176</v>
      </c>
      <c r="AX2448" s="185" t="s">
        <v>176</v>
      </c>
      <c r="BE2448" s="226" t="s">
        <v>176</v>
      </c>
      <c r="BG2448" s="191" t="s">
        <v>479</v>
      </c>
      <c r="BH2448" s="226" t="s">
        <v>176</v>
      </c>
      <c r="BI2448" s="191" t="s">
        <v>176</v>
      </c>
      <c r="BJ2448" s="55" t="s">
        <v>176</v>
      </c>
      <c r="BK2448" s="55" t="s">
        <v>5976</v>
      </c>
      <c r="BM2448" s="192" t="s">
        <v>119</v>
      </c>
      <c r="BN2448" s="55">
        <v>3</v>
      </c>
      <c r="BO2448" s="55">
        <v>3</v>
      </c>
      <c r="BQ2448" s="55" t="s">
        <v>141</v>
      </c>
      <c r="BV2448" s="55" t="s">
        <v>2596</v>
      </c>
      <c r="CB2448" s="66">
        <v>430</v>
      </c>
      <c r="CC2448" s="66">
        <v>1450</v>
      </c>
      <c r="CG2448" s="65" t="s">
        <v>2602</v>
      </c>
      <c r="CM2448" s="65">
        <v>0.60299999999999998</v>
      </c>
      <c r="CN2448" s="65">
        <v>0.86699999999999999</v>
      </c>
      <c r="CV2448" s="65" t="s">
        <v>3039</v>
      </c>
      <c r="DA2448" s="65" t="s">
        <v>4458</v>
      </c>
      <c r="DB2448" s="65">
        <f>0.054*10000</f>
        <v>540</v>
      </c>
      <c r="DC2448" s="65">
        <v>1020</v>
      </c>
      <c r="DF2448" s="65" t="s">
        <v>2603</v>
      </c>
      <c r="DG2448" s="65">
        <v>9.67</v>
      </c>
      <c r="DH2448" s="65">
        <v>7.86</v>
      </c>
      <c r="DL2448" s="65">
        <v>53.3</v>
      </c>
      <c r="DM2448" s="65">
        <v>60.8</v>
      </c>
      <c r="DQ2448" s="165">
        <v>5.04</v>
      </c>
      <c r="DR2448" s="165">
        <v>5.1100000000000003</v>
      </c>
      <c r="DV2448" s="65">
        <v>3.35</v>
      </c>
      <c r="DW2448" s="65">
        <v>4.0199999999999996</v>
      </c>
      <c r="DZ2448" s="65" t="s">
        <v>2604</v>
      </c>
      <c r="GP2448" s="292" t="s">
        <v>7494</v>
      </c>
    </row>
    <row r="2449" spans="1:198" x14ac:dyDescent="0.25">
      <c r="A2449" s="55">
        <v>2448</v>
      </c>
      <c r="B2449" s="12" t="s">
        <v>7067</v>
      </c>
      <c r="C2449" s="155">
        <v>116</v>
      </c>
      <c r="D2449" s="55" t="s">
        <v>4226</v>
      </c>
      <c r="E2449" s="90" t="s">
        <v>2550</v>
      </c>
      <c r="G2449" s="55" t="s">
        <v>2551</v>
      </c>
      <c r="H2449" s="55">
        <v>2005</v>
      </c>
      <c r="I2449" s="55">
        <v>1998</v>
      </c>
      <c r="J2449" s="55" t="s">
        <v>2552</v>
      </c>
      <c r="K2449" s="55" t="s">
        <v>2553</v>
      </c>
      <c r="L2449" s="55" t="s">
        <v>2747</v>
      </c>
      <c r="M2449" s="90">
        <f>9+25/60</f>
        <v>9.4166666666666661</v>
      </c>
      <c r="N2449" s="90">
        <f>0-58/60</f>
        <v>-0.96666666666666667</v>
      </c>
      <c r="O2449" s="90">
        <v>183</v>
      </c>
      <c r="U2449" s="55" t="s">
        <v>1805</v>
      </c>
      <c r="V2449" s="55" t="s">
        <v>1816</v>
      </c>
      <c r="Y2449" s="55" t="s">
        <v>2554</v>
      </c>
      <c r="Z2449" s="55" t="s">
        <v>1346</v>
      </c>
      <c r="AA2449" s="90" t="s">
        <v>1675</v>
      </c>
      <c r="AE2449" s="90">
        <v>65.5</v>
      </c>
      <c r="AF2449" s="90">
        <v>22.02</v>
      </c>
      <c r="AH2449" s="55" t="s">
        <v>238</v>
      </c>
      <c r="AI2449" s="168">
        <v>5.26</v>
      </c>
      <c r="AJ2449" s="90">
        <v>0.64</v>
      </c>
      <c r="AM2449" s="55" t="s">
        <v>2598</v>
      </c>
      <c r="AN2449" s="185" t="s">
        <v>2599</v>
      </c>
      <c r="AO2449" s="185" t="s">
        <v>5150</v>
      </c>
      <c r="AQ2449" s="55" t="s">
        <v>553</v>
      </c>
      <c r="AR2449" s="55" t="s">
        <v>1607</v>
      </c>
      <c r="AS2449" s="55" t="s">
        <v>132</v>
      </c>
      <c r="AU2449" s="181" t="s">
        <v>7494</v>
      </c>
      <c r="AV2449" s="185" t="s">
        <v>176</v>
      </c>
      <c r="AX2449" s="185" t="s">
        <v>176</v>
      </c>
      <c r="BE2449" s="226" t="s">
        <v>176</v>
      </c>
      <c r="BG2449" s="191" t="s">
        <v>479</v>
      </c>
      <c r="BH2449" s="226" t="s">
        <v>176</v>
      </c>
      <c r="BI2449" s="191" t="s">
        <v>176</v>
      </c>
      <c r="BJ2449" s="55" t="s">
        <v>176</v>
      </c>
      <c r="BK2449" s="55" t="s">
        <v>5976</v>
      </c>
      <c r="BM2449" s="192" t="s">
        <v>119</v>
      </c>
      <c r="BN2449" s="55">
        <v>3</v>
      </c>
      <c r="BO2449" s="55">
        <v>3</v>
      </c>
      <c r="BQ2449" s="55" t="s">
        <v>141</v>
      </c>
      <c r="BV2449" s="55" t="s">
        <v>2596</v>
      </c>
      <c r="CB2449" s="66">
        <v>390</v>
      </c>
      <c r="CC2449" s="66">
        <v>910</v>
      </c>
      <c r="CG2449" s="65" t="s">
        <v>2600</v>
      </c>
      <c r="GP2449" s="292" t="s">
        <v>7494</v>
      </c>
    </row>
    <row r="2450" spans="1:198" x14ac:dyDescent="0.25">
      <c r="A2450" s="55">
        <v>2449</v>
      </c>
      <c r="B2450" s="12" t="s">
        <v>7067</v>
      </c>
      <c r="C2450" s="155">
        <v>116</v>
      </c>
      <c r="D2450" s="55" t="s">
        <v>4227</v>
      </c>
      <c r="E2450" s="90" t="s">
        <v>2550</v>
      </c>
      <c r="G2450" s="55" t="s">
        <v>2551</v>
      </c>
      <c r="H2450" s="55">
        <v>2005</v>
      </c>
      <c r="I2450" s="55">
        <v>1998</v>
      </c>
      <c r="J2450" s="55" t="s">
        <v>2552</v>
      </c>
      <c r="K2450" s="55" t="s">
        <v>2553</v>
      </c>
      <c r="L2450" s="55" t="s">
        <v>2747</v>
      </c>
      <c r="M2450" s="90">
        <f>9+25/60</f>
        <v>9.4166666666666661</v>
      </c>
      <c r="N2450" s="90">
        <f>0-58/60</f>
        <v>-0.96666666666666667</v>
      </c>
      <c r="O2450" s="90">
        <v>183</v>
      </c>
      <c r="U2450" s="55" t="s">
        <v>1805</v>
      </c>
      <c r="V2450" s="55" t="s">
        <v>1816</v>
      </c>
      <c r="Y2450" s="55" t="s">
        <v>2554</v>
      </c>
      <c r="Z2450" s="55" t="s">
        <v>1346</v>
      </c>
      <c r="AA2450" s="90" t="s">
        <v>1675</v>
      </c>
      <c r="AE2450" s="90">
        <v>65.5</v>
      </c>
      <c r="AF2450" s="90">
        <v>22.02</v>
      </c>
      <c r="AH2450" s="55" t="s">
        <v>238</v>
      </c>
      <c r="AI2450" s="168">
        <v>5.26</v>
      </c>
      <c r="AJ2450" s="90">
        <v>0.64</v>
      </c>
      <c r="AM2450" s="55" t="s">
        <v>2598</v>
      </c>
      <c r="AN2450" s="185" t="s">
        <v>2599</v>
      </c>
      <c r="AO2450" s="185" t="s">
        <v>5150</v>
      </c>
      <c r="AQ2450" s="55" t="s">
        <v>553</v>
      </c>
      <c r="AR2450" s="55" t="s">
        <v>1607</v>
      </c>
      <c r="AS2450" s="55" t="s">
        <v>132</v>
      </c>
      <c r="AU2450" s="181" t="s">
        <v>7494</v>
      </c>
      <c r="AV2450" s="185" t="s">
        <v>176</v>
      </c>
      <c r="AX2450" s="185" t="s">
        <v>176</v>
      </c>
      <c r="BE2450" s="226" t="s">
        <v>2605</v>
      </c>
      <c r="BG2450" s="191" t="s">
        <v>479</v>
      </c>
      <c r="BH2450" s="226" t="s">
        <v>1400</v>
      </c>
      <c r="BI2450" s="191" t="s">
        <v>176</v>
      </c>
      <c r="BJ2450" s="55" t="s">
        <v>479</v>
      </c>
      <c r="BK2450" s="55" t="s">
        <v>5976</v>
      </c>
      <c r="BM2450" s="192" t="s">
        <v>119</v>
      </c>
      <c r="BN2450" s="55">
        <v>3</v>
      </c>
      <c r="BO2450" s="55">
        <v>3</v>
      </c>
      <c r="BQ2450" s="55" t="s">
        <v>141</v>
      </c>
      <c r="BV2450" s="55" t="s">
        <v>2596</v>
      </c>
      <c r="CB2450" s="66">
        <v>390</v>
      </c>
      <c r="CC2450" s="66">
        <v>1190</v>
      </c>
      <c r="CG2450" s="65" t="s">
        <v>2601</v>
      </c>
      <c r="GP2450" s="292" t="s">
        <v>7494</v>
      </c>
    </row>
    <row r="2451" spans="1:198" x14ac:dyDescent="0.25">
      <c r="A2451" s="55">
        <v>2450</v>
      </c>
      <c r="B2451" s="12" t="s">
        <v>7067</v>
      </c>
      <c r="C2451" s="155">
        <v>116</v>
      </c>
      <c r="D2451" s="55" t="s">
        <v>4228</v>
      </c>
      <c r="E2451" s="90" t="s">
        <v>2550</v>
      </c>
      <c r="G2451" s="55" t="s">
        <v>2551</v>
      </c>
      <c r="H2451" s="55">
        <v>2005</v>
      </c>
      <c r="I2451" s="55">
        <v>1998</v>
      </c>
      <c r="J2451" s="55" t="s">
        <v>2552</v>
      </c>
      <c r="K2451" s="55" t="s">
        <v>2553</v>
      </c>
      <c r="L2451" s="55" t="s">
        <v>2747</v>
      </c>
      <c r="M2451" s="90">
        <f>9+25/60</f>
        <v>9.4166666666666661</v>
      </c>
      <c r="N2451" s="90">
        <f>0-58/60</f>
        <v>-0.96666666666666667</v>
      </c>
      <c r="O2451" s="90">
        <v>183</v>
      </c>
      <c r="U2451" s="55" t="s">
        <v>1805</v>
      </c>
      <c r="V2451" s="55" t="s">
        <v>1816</v>
      </c>
      <c r="Y2451" s="55" t="s">
        <v>2554</v>
      </c>
      <c r="Z2451" s="55" t="s">
        <v>1346</v>
      </c>
      <c r="AA2451" s="90" t="s">
        <v>1675</v>
      </c>
      <c r="AE2451" s="90">
        <v>65.5</v>
      </c>
      <c r="AF2451" s="90">
        <v>22.02</v>
      </c>
      <c r="AH2451" s="55" t="s">
        <v>238</v>
      </c>
      <c r="AI2451" s="168">
        <v>5.26</v>
      </c>
      <c r="AJ2451" s="90">
        <v>0.64</v>
      </c>
      <c r="AM2451" s="55" t="s">
        <v>2598</v>
      </c>
      <c r="AN2451" s="185" t="s">
        <v>2599</v>
      </c>
      <c r="AO2451" s="185" t="s">
        <v>5150</v>
      </c>
      <c r="AQ2451" s="55" t="s">
        <v>553</v>
      </c>
      <c r="AR2451" s="55" t="s">
        <v>1607</v>
      </c>
      <c r="AS2451" s="55" t="s">
        <v>132</v>
      </c>
      <c r="AU2451" s="181" t="s">
        <v>7494</v>
      </c>
      <c r="AV2451" s="185" t="s">
        <v>176</v>
      </c>
      <c r="AX2451" s="185" t="s">
        <v>176</v>
      </c>
      <c r="BE2451" s="226" t="s">
        <v>176</v>
      </c>
      <c r="BG2451" s="191" t="s">
        <v>176</v>
      </c>
      <c r="BH2451" s="226" t="s">
        <v>176</v>
      </c>
      <c r="BI2451" s="191" t="s">
        <v>176</v>
      </c>
      <c r="BJ2451" s="55" t="s">
        <v>176</v>
      </c>
      <c r="BK2451" s="55" t="s">
        <v>5976</v>
      </c>
      <c r="BM2451" s="192" t="s">
        <v>119</v>
      </c>
      <c r="BN2451" s="55">
        <v>3</v>
      </c>
      <c r="BO2451" s="55">
        <v>3</v>
      </c>
      <c r="BQ2451" s="55" t="s">
        <v>141</v>
      </c>
      <c r="BV2451" s="55" t="s">
        <v>2596</v>
      </c>
      <c r="CB2451" s="66">
        <v>390</v>
      </c>
      <c r="CC2451" s="66">
        <v>890</v>
      </c>
      <c r="CG2451" s="65" t="s">
        <v>2602</v>
      </c>
      <c r="GP2451" s="292" t="s">
        <v>7494</v>
      </c>
    </row>
    <row r="2452" spans="1:198" x14ac:dyDescent="0.25">
      <c r="A2452" s="55">
        <v>2451</v>
      </c>
      <c r="B2452" s="12" t="s">
        <v>7067</v>
      </c>
      <c r="C2452" s="155">
        <v>116</v>
      </c>
      <c r="D2452" s="55" t="s">
        <v>4229</v>
      </c>
      <c r="E2452" s="90" t="s">
        <v>2550</v>
      </c>
      <c r="G2452" s="55" t="s">
        <v>2551</v>
      </c>
      <c r="H2452" s="55">
        <v>2005</v>
      </c>
      <c r="I2452" s="55">
        <v>1997</v>
      </c>
      <c r="J2452" s="55" t="s">
        <v>2552</v>
      </c>
      <c r="K2452" s="55" t="s">
        <v>2553</v>
      </c>
      <c r="L2452" s="55" t="s">
        <v>2747</v>
      </c>
      <c r="M2452" s="90">
        <f>9+25/60</f>
        <v>9.4166666666666661</v>
      </c>
      <c r="N2452" s="90">
        <f>0-58/60</f>
        <v>-0.96666666666666667</v>
      </c>
      <c r="O2452" s="90">
        <v>183</v>
      </c>
      <c r="U2452" s="55" t="s">
        <v>1935</v>
      </c>
      <c r="V2452" s="55" t="s">
        <v>1816</v>
      </c>
      <c r="Y2452" s="55" t="s">
        <v>2554</v>
      </c>
      <c r="Z2452" s="55" t="s">
        <v>1346</v>
      </c>
      <c r="AA2452" s="90" t="s">
        <v>1675</v>
      </c>
      <c r="AB2452" s="65">
        <v>3.66</v>
      </c>
      <c r="AC2452" s="65" t="s">
        <v>7001</v>
      </c>
      <c r="AE2452" s="90">
        <v>76.25</v>
      </c>
      <c r="AF2452" s="90">
        <v>13.1</v>
      </c>
      <c r="AH2452" s="55" t="s">
        <v>174</v>
      </c>
      <c r="AI2452" s="168">
        <v>4.7699999999999996</v>
      </c>
      <c r="AJ2452" s="90">
        <v>0.52</v>
      </c>
      <c r="AM2452" s="55" t="s">
        <v>2597</v>
      </c>
      <c r="AN2452" s="185" t="s">
        <v>2599</v>
      </c>
      <c r="AO2452" s="185" t="s">
        <v>5150</v>
      </c>
      <c r="AQ2452" s="55" t="s">
        <v>553</v>
      </c>
      <c r="AR2452" s="55" t="s">
        <v>1607</v>
      </c>
      <c r="AS2452" s="55" t="s">
        <v>132</v>
      </c>
      <c r="AU2452" s="181" t="s">
        <v>7494</v>
      </c>
      <c r="AV2452" s="185" t="s">
        <v>176</v>
      </c>
      <c r="AX2452" s="185" t="s">
        <v>176</v>
      </c>
      <c r="BE2452" s="226" t="s">
        <v>176</v>
      </c>
      <c r="BG2452" s="191" t="s">
        <v>176</v>
      </c>
      <c r="BH2452" s="226" t="s">
        <v>176</v>
      </c>
      <c r="BI2452" s="191" t="s">
        <v>176</v>
      </c>
      <c r="BJ2452" s="55" t="s">
        <v>176</v>
      </c>
      <c r="BK2452" s="55" t="s">
        <v>5976</v>
      </c>
      <c r="BM2452" s="192" t="s">
        <v>119</v>
      </c>
      <c r="BN2452" s="55">
        <v>3</v>
      </c>
      <c r="BO2452" s="55">
        <v>3</v>
      </c>
      <c r="BQ2452" s="55" t="s">
        <v>141</v>
      </c>
      <c r="BV2452" s="55" t="s">
        <v>2595</v>
      </c>
      <c r="CB2452" s="66">
        <v>440</v>
      </c>
      <c r="CC2452" s="66">
        <v>1510</v>
      </c>
      <c r="CG2452" s="65" t="s">
        <v>2600</v>
      </c>
      <c r="CM2452" s="65">
        <v>0.53</v>
      </c>
      <c r="CN2452" s="65">
        <v>0.753</v>
      </c>
      <c r="CV2452" s="65" t="s">
        <v>3039</v>
      </c>
      <c r="DA2452" s="65" t="s">
        <v>4458</v>
      </c>
      <c r="DB2452" s="65">
        <v>450</v>
      </c>
      <c r="DC2452" s="65">
        <v>880</v>
      </c>
      <c r="DF2452" s="65" t="s">
        <v>2603</v>
      </c>
      <c r="DG2452" s="65">
        <v>10.14</v>
      </c>
      <c r="DH2452" s="65">
        <v>10.8</v>
      </c>
      <c r="DL2452" s="65">
        <v>52.8</v>
      </c>
      <c r="DM2452" s="65">
        <v>57</v>
      </c>
      <c r="DQ2452" s="165">
        <v>4.91</v>
      </c>
      <c r="DR2452" s="165">
        <v>5.0599999999999996</v>
      </c>
      <c r="DV2452" s="65">
        <v>3.66</v>
      </c>
      <c r="DW2452" s="65">
        <v>4.49</v>
      </c>
      <c r="DZ2452" s="65" t="s">
        <v>2604</v>
      </c>
      <c r="GP2452" s="292" t="s">
        <v>7494</v>
      </c>
    </row>
    <row r="2453" spans="1:198" x14ac:dyDescent="0.25">
      <c r="A2453" s="55">
        <v>2452</v>
      </c>
      <c r="B2453" s="12" t="s">
        <v>7067</v>
      </c>
      <c r="C2453" s="155">
        <v>116</v>
      </c>
      <c r="D2453" s="55" t="s">
        <v>4230</v>
      </c>
      <c r="E2453" s="90" t="s">
        <v>2550</v>
      </c>
      <c r="G2453" s="55" t="s">
        <v>2551</v>
      </c>
      <c r="H2453" s="55">
        <v>2005</v>
      </c>
      <c r="I2453" s="55">
        <v>1997</v>
      </c>
      <c r="J2453" s="55" t="s">
        <v>2552</v>
      </c>
      <c r="K2453" s="55" t="s">
        <v>2553</v>
      </c>
      <c r="L2453" s="55" t="s">
        <v>2747</v>
      </c>
      <c r="M2453" s="90">
        <f>9+25/60</f>
        <v>9.4166666666666661</v>
      </c>
      <c r="N2453" s="90">
        <f>0-58/60</f>
        <v>-0.96666666666666667</v>
      </c>
      <c r="O2453" s="90">
        <v>183</v>
      </c>
      <c r="U2453" s="55" t="s">
        <v>1935</v>
      </c>
      <c r="V2453" s="55" t="s">
        <v>1816</v>
      </c>
      <c r="Y2453" s="55" t="s">
        <v>2554</v>
      </c>
      <c r="Z2453" s="55" t="s">
        <v>1346</v>
      </c>
      <c r="AA2453" s="90" t="s">
        <v>1675</v>
      </c>
      <c r="AB2453" s="65">
        <v>3.66</v>
      </c>
      <c r="AC2453" s="65" t="s">
        <v>7001</v>
      </c>
      <c r="AE2453" s="90">
        <v>76.25</v>
      </c>
      <c r="AF2453" s="90">
        <v>13.1</v>
      </c>
      <c r="AH2453" s="55" t="s">
        <v>174</v>
      </c>
      <c r="AI2453" s="168">
        <v>4.7699999999999996</v>
      </c>
      <c r="AJ2453" s="90">
        <v>0.52</v>
      </c>
      <c r="AM2453" s="55" t="s">
        <v>2597</v>
      </c>
      <c r="AN2453" s="185" t="s">
        <v>2599</v>
      </c>
      <c r="AO2453" s="185" t="s">
        <v>5150</v>
      </c>
      <c r="AQ2453" s="55" t="s">
        <v>553</v>
      </c>
      <c r="AR2453" s="55" t="s">
        <v>1607</v>
      </c>
      <c r="AS2453" s="55" t="s">
        <v>132</v>
      </c>
      <c r="AU2453" s="181" t="s">
        <v>7494</v>
      </c>
      <c r="AV2453" s="185" t="s">
        <v>176</v>
      </c>
      <c r="AX2453" s="185" t="s">
        <v>176</v>
      </c>
      <c r="BE2453" s="226" t="s">
        <v>2605</v>
      </c>
      <c r="BG2453" s="55" t="s">
        <v>479</v>
      </c>
      <c r="BH2453" s="226" t="s">
        <v>1400</v>
      </c>
      <c r="BI2453" s="191" t="s">
        <v>176</v>
      </c>
      <c r="BJ2453" s="55" t="s">
        <v>479</v>
      </c>
      <c r="BK2453" s="55" t="s">
        <v>5976</v>
      </c>
      <c r="BM2453" s="192" t="s">
        <v>119</v>
      </c>
      <c r="BN2453" s="55">
        <v>3</v>
      </c>
      <c r="BO2453" s="55">
        <v>3</v>
      </c>
      <c r="BQ2453" s="55" t="s">
        <v>141</v>
      </c>
      <c r="BV2453" s="55" t="s">
        <v>2595</v>
      </c>
      <c r="CB2453" s="66">
        <v>440</v>
      </c>
      <c r="CC2453" s="66">
        <v>2020</v>
      </c>
      <c r="CG2453" s="65" t="s">
        <v>2601</v>
      </c>
      <c r="CM2453" s="65">
        <v>0.53</v>
      </c>
      <c r="CN2453" s="65">
        <v>0.68</v>
      </c>
      <c r="CV2453" s="65" t="s">
        <v>3039</v>
      </c>
      <c r="DA2453" s="65" t="s">
        <v>4458</v>
      </c>
      <c r="DB2453" s="65">
        <v>450</v>
      </c>
      <c r="DC2453" s="65">
        <v>800</v>
      </c>
      <c r="DF2453" s="65" t="s">
        <v>2603</v>
      </c>
      <c r="DG2453" s="65">
        <v>10.14</v>
      </c>
      <c r="DH2453" s="65">
        <v>8.33</v>
      </c>
      <c r="DL2453" s="65">
        <v>52.8</v>
      </c>
      <c r="DM2453" s="65">
        <v>46.2</v>
      </c>
      <c r="DQ2453" s="165">
        <v>4.91</v>
      </c>
      <c r="DR2453" s="165">
        <v>4.8600000000000003</v>
      </c>
      <c r="DV2453" s="65">
        <v>3.66</v>
      </c>
      <c r="DW2453" s="65">
        <v>4.21</v>
      </c>
      <c r="DZ2453" s="65" t="s">
        <v>2604</v>
      </c>
      <c r="GP2453" s="292" t="s">
        <v>7494</v>
      </c>
    </row>
    <row r="2454" spans="1:198" x14ac:dyDescent="0.25">
      <c r="A2454" s="55">
        <v>2453</v>
      </c>
      <c r="B2454" s="12" t="s">
        <v>7067</v>
      </c>
      <c r="C2454" s="155">
        <v>116</v>
      </c>
      <c r="D2454" s="55" t="s">
        <v>4231</v>
      </c>
      <c r="E2454" s="90" t="s">
        <v>2550</v>
      </c>
      <c r="G2454" s="55" t="s">
        <v>2551</v>
      </c>
      <c r="H2454" s="55">
        <v>2005</v>
      </c>
      <c r="I2454" s="55">
        <v>1997</v>
      </c>
      <c r="J2454" s="55" t="s">
        <v>2552</v>
      </c>
      <c r="K2454" s="55" t="s">
        <v>2553</v>
      </c>
      <c r="L2454" s="55" t="s">
        <v>2747</v>
      </c>
      <c r="M2454" s="90">
        <f>9+25/60</f>
        <v>9.4166666666666661</v>
      </c>
      <c r="N2454" s="90">
        <f>0-58/60</f>
        <v>-0.96666666666666667</v>
      </c>
      <c r="O2454" s="90">
        <v>183</v>
      </c>
      <c r="U2454" s="55" t="s">
        <v>1935</v>
      </c>
      <c r="V2454" s="55" t="s">
        <v>1816</v>
      </c>
      <c r="Y2454" s="55" t="s">
        <v>2554</v>
      </c>
      <c r="Z2454" s="55" t="s">
        <v>1346</v>
      </c>
      <c r="AA2454" s="90" t="s">
        <v>1675</v>
      </c>
      <c r="AB2454" s="65">
        <v>3.66</v>
      </c>
      <c r="AC2454" s="65" t="s">
        <v>7001</v>
      </c>
      <c r="AE2454" s="90">
        <v>76.25</v>
      </c>
      <c r="AF2454" s="90">
        <v>13.1</v>
      </c>
      <c r="AH2454" s="55" t="s">
        <v>174</v>
      </c>
      <c r="AI2454" s="168">
        <v>4.7699999999999996</v>
      </c>
      <c r="AJ2454" s="90">
        <v>0.52</v>
      </c>
      <c r="AM2454" s="55" t="s">
        <v>2597</v>
      </c>
      <c r="AN2454" s="185" t="s">
        <v>2599</v>
      </c>
      <c r="AO2454" s="185" t="s">
        <v>5150</v>
      </c>
      <c r="AQ2454" s="55" t="s">
        <v>553</v>
      </c>
      <c r="AR2454" s="55" t="s">
        <v>1607</v>
      </c>
      <c r="AS2454" s="55" t="s">
        <v>132</v>
      </c>
      <c r="AU2454" s="181" t="s">
        <v>7494</v>
      </c>
      <c r="AV2454" s="185" t="s">
        <v>176</v>
      </c>
      <c r="AX2454" s="185" t="s">
        <v>176</v>
      </c>
      <c r="BE2454" s="226" t="s">
        <v>176</v>
      </c>
      <c r="BG2454" s="55" t="s">
        <v>176</v>
      </c>
      <c r="BH2454" s="226" t="s">
        <v>176</v>
      </c>
      <c r="BI2454" s="191" t="s">
        <v>176</v>
      </c>
      <c r="BJ2454" s="55" t="s">
        <v>176</v>
      </c>
      <c r="BK2454" s="55" t="s">
        <v>5976</v>
      </c>
      <c r="BM2454" s="192" t="s">
        <v>119</v>
      </c>
      <c r="BN2454" s="55">
        <v>3</v>
      </c>
      <c r="BO2454" s="55">
        <v>3</v>
      </c>
      <c r="BQ2454" s="55" t="s">
        <v>141</v>
      </c>
      <c r="BV2454" s="55" t="s">
        <v>2595</v>
      </c>
      <c r="CB2454" s="66">
        <v>440</v>
      </c>
      <c r="CC2454" s="66">
        <v>1420</v>
      </c>
      <c r="CG2454" s="65" t="s">
        <v>2602</v>
      </c>
      <c r="CM2454" s="65">
        <v>0.53</v>
      </c>
      <c r="CN2454" s="65">
        <v>0.68300000000000005</v>
      </c>
      <c r="CV2454" s="65" t="s">
        <v>3039</v>
      </c>
      <c r="DA2454" s="65" t="s">
        <v>4458</v>
      </c>
      <c r="DB2454" s="65">
        <v>450</v>
      </c>
      <c r="DC2454" s="65">
        <v>750</v>
      </c>
      <c r="DF2454" s="65" t="s">
        <v>2603</v>
      </c>
      <c r="DG2454" s="65">
        <v>10.14</v>
      </c>
      <c r="DH2454" s="65">
        <v>10.02</v>
      </c>
      <c r="DL2454" s="65">
        <v>52.8</v>
      </c>
      <c r="DM2454" s="65">
        <v>43.8</v>
      </c>
      <c r="DQ2454" s="165">
        <v>4.91</v>
      </c>
      <c r="DR2454" s="165">
        <v>5.09</v>
      </c>
      <c r="DV2454" s="65">
        <v>3.66</v>
      </c>
      <c r="DW2454" s="65">
        <v>4.34</v>
      </c>
      <c r="DZ2454" s="65" t="s">
        <v>2604</v>
      </c>
      <c r="GP2454" s="292" t="s">
        <v>7494</v>
      </c>
    </row>
    <row r="2455" spans="1:198" x14ac:dyDescent="0.25">
      <c r="A2455" s="55">
        <v>2454</v>
      </c>
      <c r="B2455" s="12" t="s">
        <v>7067</v>
      </c>
      <c r="C2455" s="155">
        <v>116</v>
      </c>
      <c r="D2455" s="55" t="s">
        <v>4229</v>
      </c>
      <c r="E2455" s="90" t="s">
        <v>2550</v>
      </c>
      <c r="G2455" s="55" t="s">
        <v>2551</v>
      </c>
      <c r="H2455" s="55">
        <v>2005</v>
      </c>
      <c r="I2455" s="55">
        <v>1998</v>
      </c>
      <c r="J2455" s="55" t="s">
        <v>2552</v>
      </c>
      <c r="K2455" s="55" t="s">
        <v>2553</v>
      </c>
      <c r="L2455" s="55" t="s">
        <v>2747</v>
      </c>
      <c r="M2455" s="90">
        <f>9+25/60</f>
        <v>9.4166666666666661</v>
      </c>
      <c r="N2455" s="90">
        <f>0-58/60</f>
        <v>-0.96666666666666667</v>
      </c>
      <c r="O2455" s="90">
        <v>183</v>
      </c>
      <c r="U2455" s="55" t="s">
        <v>1805</v>
      </c>
      <c r="V2455" s="55" t="s">
        <v>1816</v>
      </c>
      <c r="Y2455" s="55" t="s">
        <v>2554</v>
      </c>
      <c r="Z2455" s="55" t="s">
        <v>1346</v>
      </c>
      <c r="AA2455" s="90" t="s">
        <v>1675</v>
      </c>
      <c r="AE2455" s="90">
        <v>76.25</v>
      </c>
      <c r="AF2455" s="90">
        <v>13.1</v>
      </c>
      <c r="AH2455" s="55" t="s">
        <v>174</v>
      </c>
      <c r="AI2455" s="168">
        <v>4.7699999999999996</v>
      </c>
      <c r="AJ2455" s="90">
        <v>0.52</v>
      </c>
      <c r="AM2455" s="55" t="s">
        <v>2597</v>
      </c>
      <c r="AN2455" s="185" t="s">
        <v>2599</v>
      </c>
      <c r="AO2455" s="185" t="s">
        <v>5150</v>
      </c>
      <c r="AQ2455" s="55" t="s">
        <v>553</v>
      </c>
      <c r="AR2455" s="55" t="s">
        <v>1607</v>
      </c>
      <c r="AS2455" s="55" t="s">
        <v>132</v>
      </c>
      <c r="AU2455" s="181" t="s">
        <v>7494</v>
      </c>
      <c r="AV2455" s="185" t="s">
        <v>176</v>
      </c>
      <c r="AX2455" s="185" t="s">
        <v>176</v>
      </c>
      <c r="BE2455" s="226" t="s">
        <v>176</v>
      </c>
      <c r="BG2455" s="55" t="s">
        <v>176</v>
      </c>
      <c r="BH2455" s="226" t="s">
        <v>176</v>
      </c>
      <c r="BI2455" s="191" t="s">
        <v>176</v>
      </c>
      <c r="BJ2455" s="55" t="s">
        <v>176</v>
      </c>
      <c r="BK2455" s="55" t="s">
        <v>5976</v>
      </c>
      <c r="BM2455" s="192" t="s">
        <v>119</v>
      </c>
      <c r="BN2455" s="55">
        <v>3</v>
      </c>
      <c r="BO2455" s="55">
        <v>3</v>
      </c>
      <c r="BQ2455" s="55" t="s">
        <v>141</v>
      </c>
      <c r="BV2455" s="55" t="s">
        <v>2595</v>
      </c>
      <c r="CB2455" s="66">
        <v>410</v>
      </c>
      <c r="CC2455" s="66">
        <v>1020</v>
      </c>
      <c r="CG2455" s="65" t="s">
        <v>2600</v>
      </c>
      <c r="GP2455" s="292" t="s">
        <v>7494</v>
      </c>
    </row>
    <row r="2456" spans="1:198" x14ac:dyDescent="0.25">
      <c r="A2456" s="55">
        <v>2455</v>
      </c>
      <c r="B2456" s="12" t="s">
        <v>7067</v>
      </c>
      <c r="C2456" s="155">
        <v>116</v>
      </c>
      <c r="D2456" s="55" t="s">
        <v>4230</v>
      </c>
      <c r="E2456" s="90" t="s">
        <v>2550</v>
      </c>
      <c r="G2456" s="55" t="s">
        <v>2551</v>
      </c>
      <c r="H2456" s="55">
        <v>2005</v>
      </c>
      <c r="I2456" s="55">
        <v>1998</v>
      </c>
      <c r="J2456" s="55" t="s">
        <v>2552</v>
      </c>
      <c r="K2456" s="55" t="s">
        <v>2553</v>
      </c>
      <c r="L2456" s="55" t="s">
        <v>2747</v>
      </c>
      <c r="M2456" s="90">
        <f>9+25/60</f>
        <v>9.4166666666666661</v>
      </c>
      <c r="N2456" s="90">
        <f>0-58/60</f>
        <v>-0.96666666666666667</v>
      </c>
      <c r="O2456" s="90">
        <v>183</v>
      </c>
      <c r="U2456" s="55" t="s">
        <v>1805</v>
      </c>
      <c r="V2456" s="55" t="s">
        <v>1816</v>
      </c>
      <c r="Y2456" s="55" t="s">
        <v>2554</v>
      </c>
      <c r="Z2456" s="55" t="s">
        <v>1346</v>
      </c>
      <c r="AA2456" s="90" t="s">
        <v>1675</v>
      </c>
      <c r="AE2456" s="90">
        <v>76.25</v>
      </c>
      <c r="AF2456" s="90">
        <v>13.1</v>
      </c>
      <c r="AH2456" s="55" t="s">
        <v>174</v>
      </c>
      <c r="AI2456" s="168">
        <v>4.7699999999999996</v>
      </c>
      <c r="AJ2456" s="90">
        <v>0.52</v>
      </c>
      <c r="AM2456" s="55" t="s">
        <v>2597</v>
      </c>
      <c r="AN2456" s="185" t="s">
        <v>2599</v>
      </c>
      <c r="AO2456" s="185" t="s">
        <v>5150</v>
      </c>
      <c r="AQ2456" s="55" t="s">
        <v>553</v>
      </c>
      <c r="AR2456" s="55" t="s">
        <v>1607</v>
      </c>
      <c r="AS2456" s="55" t="s">
        <v>132</v>
      </c>
      <c r="AU2456" s="181" t="s">
        <v>7494</v>
      </c>
      <c r="AV2456" s="185" t="s">
        <v>176</v>
      </c>
      <c r="AX2456" s="185" t="s">
        <v>176</v>
      </c>
      <c r="BE2456" s="226" t="s">
        <v>2605</v>
      </c>
      <c r="BG2456" s="55" t="s">
        <v>479</v>
      </c>
      <c r="BH2456" s="226" t="s">
        <v>1400</v>
      </c>
      <c r="BI2456" s="191" t="s">
        <v>176</v>
      </c>
      <c r="BJ2456" s="55" t="s">
        <v>479</v>
      </c>
      <c r="BK2456" s="55" t="s">
        <v>5976</v>
      </c>
      <c r="BM2456" s="192" t="s">
        <v>119</v>
      </c>
      <c r="BN2456" s="55">
        <v>3</v>
      </c>
      <c r="BO2456" s="55">
        <v>3</v>
      </c>
      <c r="BQ2456" s="55" t="s">
        <v>141</v>
      </c>
      <c r="BV2456" s="55" t="s">
        <v>2595</v>
      </c>
      <c r="CB2456" s="66">
        <v>410</v>
      </c>
      <c r="CC2456" s="66">
        <v>1160</v>
      </c>
      <c r="CG2456" s="65" t="s">
        <v>2601</v>
      </c>
      <c r="GP2456" s="292" t="s">
        <v>7494</v>
      </c>
    </row>
    <row r="2457" spans="1:198" x14ac:dyDescent="0.25">
      <c r="A2457" s="55">
        <v>2456</v>
      </c>
      <c r="B2457" s="12" t="s">
        <v>7067</v>
      </c>
      <c r="C2457" s="155">
        <v>116</v>
      </c>
      <c r="D2457" s="55" t="s">
        <v>4231</v>
      </c>
      <c r="E2457" s="90" t="s">
        <v>2550</v>
      </c>
      <c r="G2457" s="55" t="s">
        <v>2551</v>
      </c>
      <c r="H2457" s="55">
        <v>2005</v>
      </c>
      <c r="I2457" s="55">
        <v>1998</v>
      </c>
      <c r="J2457" s="55" t="s">
        <v>2552</v>
      </c>
      <c r="K2457" s="55" t="s">
        <v>2553</v>
      </c>
      <c r="L2457" s="55" t="s">
        <v>2747</v>
      </c>
      <c r="M2457" s="90">
        <f>9+25/60</f>
        <v>9.4166666666666661</v>
      </c>
      <c r="N2457" s="90">
        <f>0-58/60</f>
        <v>-0.96666666666666667</v>
      </c>
      <c r="O2457" s="90">
        <v>183</v>
      </c>
      <c r="U2457" s="55" t="s">
        <v>1805</v>
      </c>
      <c r="V2457" s="55" t="s">
        <v>1816</v>
      </c>
      <c r="Y2457" s="55" t="s">
        <v>2554</v>
      </c>
      <c r="Z2457" s="55" t="s">
        <v>1346</v>
      </c>
      <c r="AA2457" s="90" t="s">
        <v>1675</v>
      </c>
      <c r="AE2457" s="90">
        <v>76.25</v>
      </c>
      <c r="AF2457" s="90">
        <v>13.1</v>
      </c>
      <c r="AH2457" s="55" t="s">
        <v>174</v>
      </c>
      <c r="AI2457" s="168">
        <v>4.7699999999999996</v>
      </c>
      <c r="AJ2457" s="90">
        <v>0.52</v>
      </c>
      <c r="AM2457" s="55" t="s">
        <v>2597</v>
      </c>
      <c r="AN2457" s="185" t="s">
        <v>2599</v>
      </c>
      <c r="AO2457" s="185" t="s">
        <v>5150</v>
      </c>
      <c r="AQ2457" s="55" t="s">
        <v>553</v>
      </c>
      <c r="AR2457" s="55" t="s">
        <v>1607</v>
      </c>
      <c r="AS2457" s="55" t="s">
        <v>132</v>
      </c>
      <c r="AU2457" s="181" t="s">
        <v>7494</v>
      </c>
      <c r="AV2457" s="185" t="s">
        <v>176</v>
      </c>
      <c r="AX2457" s="185" t="s">
        <v>176</v>
      </c>
      <c r="BE2457" s="226" t="s">
        <v>176</v>
      </c>
      <c r="BG2457" s="55" t="s">
        <v>176</v>
      </c>
      <c r="BH2457" s="226" t="s">
        <v>176</v>
      </c>
      <c r="BI2457" s="191" t="s">
        <v>176</v>
      </c>
      <c r="BJ2457" s="55" t="s">
        <v>176</v>
      </c>
      <c r="BK2457" s="55" t="s">
        <v>5976</v>
      </c>
      <c r="BM2457" s="192" t="s">
        <v>119</v>
      </c>
      <c r="BN2457" s="55">
        <v>3</v>
      </c>
      <c r="BO2457" s="55">
        <v>3</v>
      </c>
      <c r="BQ2457" s="55" t="s">
        <v>141</v>
      </c>
      <c r="BV2457" s="55" t="s">
        <v>2595</v>
      </c>
      <c r="CB2457" s="66">
        <v>410</v>
      </c>
      <c r="CC2457" s="66">
        <v>1170</v>
      </c>
      <c r="CG2457" s="65" t="s">
        <v>2602</v>
      </c>
      <c r="GP2457" s="292" t="s">
        <v>7494</v>
      </c>
    </row>
    <row r="2458" spans="1:198" x14ac:dyDescent="0.25">
      <c r="A2458" s="55">
        <v>2457</v>
      </c>
      <c r="B2458" s="12" t="s">
        <v>7067</v>
      </c>
      <c r="C2458" s="155">
        <v>117</v>
      </c>
      <c r="D2458" s="55" t="s">
        <v>4232</v>
      </c>
      <c r="E2458" s="90" t="s">
        <v>2550</v>
      </c>
      <c r="G2458" s="55" t="s">
        <v>2551</v>
      </c>
      <c r="H2458" s="55">
        <v>2005</v>
      </c>
      <c r="I2458" s="55">
        <v>1998</v>
      </c>
      <c r="J2458" s="55" t="s">
        <v>2552</v>
      </c>
      <c r="K2458" s="55" t="s">
        <v>2553</v>
      </c>
      <c r="L2458" s="55" t="s">
        <v>2747</v>
      </c>
      <c r="M2458" s="90">
        <f>9+25/60</f>
        <v>9.4166666666666661</v>
      </c>
      <c r="N2458" s="90">
        <f>0-58/60</f>
        <v>-0.96666666666666667</v>
      </c>
      <c r="O2458" s="90">
        <v>183</v>
      </c>
      <c r="S2458" s="90">
        <v>1000</v>
      </c>
      <c r="U2458" s="55" t="s">
        <v>1805</v>
      </c>
      <c r="V2458" s="55" t="s">
        <v>1816</v>
      </c>
      <c r="Y2458" s="55" t="s">
        <v>2554</v>
      </c>
      <c r="Z2458" s="55" t="s">
        <v>1346</v>
      </c>
      <c r="AA2458" s="90" t="s">
        <v>1675</v>
      </c>
      <c r="AE2458" s="90">
        <v>76.25</v>
      </c>
      <c r="AF2458" s="90">
        <v>13.1</v>
      </c>
      <c r="AH2458" s="55" t="s">
        <v>174</v>
      </c>
      <c r="AI2458" s="168">
        <v>4.7699999999999996</v>
      </c>
      <c r="AJ2458" s="90">
        <v>0.52</v>
      </c>
      <c r="AM2458" s="55" t="s">
        <v>2597</v>
      </c>
      <c r="AN2458" s="185" t="s">
        <v>2599</v>
      </c>
      <c r="AO2458" s="185" t="s">
        <v>5150</v>
      </c>
      <c r="AQ2458" s="55" t="s">
        <v>553</v>
      </c>
      <c r="AR2458" s="55" t="s">
        <v>1607</v>
      </c>
      <c r="AS2458" s="55" t="s">
        <v>132</v>
      </c>
      <c r="AU2458" s="181" t="s">
        <v>7494</v>
      </c>
      <c r="AV2458" s="185" t="s">
        <v>176</v>
      </c>
      <c r="AX2458" s="185" t="s">
        <v>176</v>
      </c>
      <c r="BE2458" s="226" t="s">
        <v>176</v>
      </c>
      <c r="BG2458" s="55" t="s">
        <v>176</v>
      </c>
      <c r="BH2458" s="226" t="s">
        <v>176</v>
      </c>
      <c r="BI2458" s="191" t="s">
        <v>176</v>
      </c>
      <c r="BJ2458" s="55" t="s">
        <v>176</v>
      </c>
      <c r="BK2458" s="55" t="s">
        <v>5976</v>
      </c>
      <c r="BM2458" s="192" t="s">
        <v>119</v>
      </c>
      <c r="BN2458" s="55">
        <v>3</v>
      </c>
      <c r="BO2458" s="55">
        <v>3</v>
      </c>
      <c r="BQ2458" s="55" t="s">
        <v>141</v>
      </c>
      <c r="BV2458" s="55" t="s">
        <v>2606</v>
      </c>
      <c r="CB2458" s="66">
        <v>1540</v>
      </c>
      <c r="CC2458" s="66">
        <v>3320</v>
      </c>
      <c r="CM2458" s="65">
        <v>0.55000000000000004</v>
      </c>
      <c r="CN2458" s="65">
        <v>0.52</v>
      </c>
      <c r="CQ2458" s="65" t="s">
        <v>2610</v>
      </c>
      <c r="CV2458" s="65" t="s">
        <v>3039</v>
      </c>
      <c r="DA2458" s="65" t="s">
        <v>4458</v>
      </c>
      <c r="DB2458" s="65">
        <v>340</v>
      </c>
      <c r="DC2458" s="65">
        <v>370</v>
      </c>
      <c r="DF2458" s="65" t="s">
        <v>2611</v>
      </c>
      <c r="DG2458" s="65">
        <v>5.1100000000000003</v>
      </c>
      <c r="DH2458" s="65">
        <v>3.66</v>
      </c>
      <c r="DL2458" s="65">
        <v>76.7</v>
      </c>
      <c r="DM2458" s="65">
        <v>77.2</v>
      </c>
      <c r="DQ2458" s="165">
        <v>5</v>
      </c>
      <c r="DR2458" s="165">
        <v>5</v>
      </c>
      <c r="GP2458" s="292" t="s">
        <v>7494</v>
      </c>
    </row>
    <row r="2459" spans="1:198" x14ac:dyDescent="0.25">
      <c r="A2459" s="55">
        <v>2458</v>
      </c>
      <c r="B2459" s="12" t="s">
        <v>7067</v>
      </c>
      <c r="C2459" s="155">
        <v>117</v>
      </c>
      <c r="D2459" s="55" t="s">
        <v>4232</v>
      </c>
      <c r="E2459" s="90" t="s">
        <v>2550</v>
      </c>
      <c r="G2459" s="55" t="s">
        <v>2551</v>
      </c>
      <c r="H2459" s="55">
        <v>2005</v>
      </c>
      <c r="I2459" s="55">
        <v>1998</v>
      </c>
      <c r="J2459" s="55" t="s">
        <v>2552</v>
      </c>
      <c r="K2459" s="55" t="s">
        <v>2553</v>
      </c>
      <c r="L2459" s="55" t="s">
        <v>2747</v>
      </c>
      <c r="M2459" s="90">
        <f>9+25/60</f>
        <v>9.4166666666666661</v>
      </c>
      <c r="N2459" s="90">
        <f>0-58/60</f>
        <v>-0.96666666666666667</v>
      </c>
      <c r="O2459" s="90">
        <v>183</v>
      </c>
      <c r="S2459" s="90">
        <v>1000</v>
      </c>
      <c r="U2459" s="55" t="s">
        <v>1805</v>
      </c>
      <c r="V2459" s="55" t="s">
        <v>1816</v>
      </c>
      <c r="Y2459" s="55" t="s">
        <v>2554</v>
      </c>
      <c r="Z2459" s="55" t="s">
        <v>1346</v>
      </c>
      <c r="AA2459" s="90" t="s">
        <v>1675</v>
      </c>
      <c r="AE2459" s="90">
        <v>76.25</v>
      </c>
      <c r="AF2459" s="90">
        <v>13.1</v>
      </c>
      <c r="AH2459" s="55" t="s">
        <v>174</v>
      </c>
      <c r="AI2459" s="168">
        <v>4.7699999999999996</v>
      </c>
      <c r="AJ2459" s="90">
        <v>0.52</v>
      </c>
      <c r="AM2459" s="55" t="s">
        <v>2597</v>
      </c>
      <c r="AN2459" s="185" t="s">
        <v>2599</v>
      </c>
      <c r="AO2459" s="185" t="s">
        <v>5150</v>
      </c>
      <c r="AQ2459" s="55" t="s">
        <v>553</v>
      </c>
      <c r="AR2459" s="55" t="s">
        <v>1607</v>
      </c>
      <c r="AS2459" s="55" t="s">
        <v>132</v>
      </c>
      <c r="AU2459" s="181" t="s">
        <v>7494</v>
      </c>
      <c r="AV2459" s="185" t="s">
        <v>176</v>
      </c>
      <c r="AX2459" s="185" t="s">
        <v>176</v>
      </c>
      <c r="BE2459" s="226" t="s">
        <v>176</v>
      </c>
      <c r="BG2459" s="55" t="s">
        <v>176</v>
      </c>
      <c r="BH2459" s="226" t="s">
        <v>176</v>
      </c>
      <c r="BI2459" s="191" t="s">
        <v>176</v>
      </c>
      <c r="BJ2459" s="55" t="s">
        <v>176</v>
      </c>
      <c r="BK2459" s="55" t="s">
        <v>5976</v>
      </c>
      <c r="BM2459" s="192" t="s">
        <v>119</v>
      </c>
      <c r="BN2459" s="55">
        <v>3</v>
      </c>
      <c r="BO2459" s="55">
        <v>3</v>
      </c>
      <c r="BQ2459" s="55" t="s">
        <v>141</v>
      </c>
      <c r="BV2459" s="55" t="s">
        <v>2607</v>
      </c>
      <c r="CB2459" s="66">
        <v>1540</v>
      </c>
      <c r="CC2459" s="66">
        <v>3410</v>
      </c>
      <c r="CM2459" s="65">
        <v>0.55000000000000004</v>
      </c>
      <c r="CN2459" s="65">
        <v>0.51</v>
      </c>
      <c r="CQ2459" s="65" t="s">
        <v>2610</v>
      </c>
      <c r="CV2459" s="65" t="s">
        <v>3039</v>
      </c>
      <c r="DA2459" s="65" t="s">
        <v>4458</v>
      </c>
      <c r="DB2459" s="65">
        <v>340</v>
      </c>
      <c r="DC2459" s="65">
        <v>350</v>
      </c>
      <c r="DF2459" s="65" t="s">
        <v>2611</v>
      </c>
      <c r="DG2459" s="65">
        <v>5.1100000000000003</v>
      </c>
      <c r="DH2459" s="65">
        <v>3.85</v>
      </c>
      <c r="DL2459" s="65">
        <v>76.7</v>
      </c>
      <c r="DM2459" s="65">
        <v>85.7</v>
      </c>
      <c r="DQ2459" s="165">
        <v>5</v>
      </c>
      <c r="DR2459" s="165">
        <v>5.3</v>
      </c>
      <c r="GP2459" s="292" t="s">
        <v>7494</v>
      </c>
    </row>
    <row r="2460" spans="1:198" x14ac:dyDescent="0.25">
      <c r="A2460" s="55">
        <v>2459</v>
      </c>
      <c r="B2460" s="12" t="s">
        <v>7067</v>
      </c>
      <c r="C2460" s="155">
        <v>117</v>
      </c>
      <c r="D2460" s="55" t="s">
        <v>4232</v>
      </c>
      <c r="E2460" s="90" t="s">
        <v>2550</v>
      </c>
      <c r="G2460" s="55" t="s">
        <v>2551</v>
      </c>
      <c r="H2460" s="55">
        <v>2005</v>
      </c>
      <c r="I2460" s="55">
        <v>1998</v>
      </c>
      <c r="J2460" s="55" t="s">
        <v>2552</v>
      </c>
      <c r="K2460" s="55" t="s">
        <v>2553</v>
      </c>
      <c r="L2460" s="55" t="s">
        <v>2747</v>
      </c>
      <c r="M2460" s="90">
        <f>9+25/60</f>
        <v>9.4166666666666661</v>
      </c>
      <c r="N2460" s="90">
        <f>0-58/60</f>
        <v>-0.96666666666666667</v>
      </c>
      <c r="O2460" s="90">
        <v>183</v>
      </c>
      <c r="S2460" s="90">
        <v>1000</v>
      </c>
      <c r="U2460" s="55" t="s">
        <v>1805</v>
      </c>
      <c r="V2460" s="55" t="s">
        <v>1816</v>
      </c>
      <c r="Y2460" s="55" t="s">
        <v>2554</v>
      </c>
      <c r="Z2460" s="55" t="s">
        <v>1346</v>
      </c>
      <c r="AA2460" s="90" t="s">
        <v>1675</v>
      </c>
      <c r="AE2460" s="90">
        <v>76.25</v>
      </c>
      <c r="AF2460" s="90">
        <v>13.1</v>
      </c>
      <c r="AH2460" s="55" t="s">
        <v>174</v>
      </c>
      <c r="AI2460" s="168">
        <v>4.7699999999999996</v>
      </c>
      <c r="AJ2460" s="90">
        <v>0.52</v>
      </c>
      <c r="AM2460" s="55" t="s">
        <v>2597</v>
      </c>
      <c r="AN2460" s="185" t="s">
        <v>2599</v>
      </c>
      <c r="AO2460" s="185" t="s">
        <v>5150</v>
      </c>
      <c r="AQ2460" s="55" t="s">
        <v>553</v>
      </c>
      <c r="AR2460" s="55" t="s">
        <v>1607</v>
      </c>
      <c r="AS2460" s="55" t="s">
        <v>132</v>
      </c>
      <c r="AU2460" s="181" t="s">
        <v>7494</v>
      </c>
      <c r="AV2460" s="185" t="s">
        <v>176</v>
      </c>
      <c r="AX2460" s="185" t="s">
        <v>176</v>
      </c>
      <c r="BE2460" s="226" t="s">
        <v>176</v>
      </c>
      <c r="BG2460" s="55" t="s">
        <v>176</v>
      </c>
      <c r="BH2460" s="226" t="s">
        <v>176</v>
      </c>
      <c r="BI2460" s="191" t="s">
        <v>176</v>
      </c>
      <c r="BJ2460" s="55" t="s">
        <v>176</v>
      </c>
      <c r="BK2460" s="55" t="s">
        <v>5976</v>
      </c>
      <c r="BM2460" s="192" t="s">
        <v>119</v>
      </c>
      <c r="BN2460" s="55">
        <v>3</v>
      </c>
      <c r="BO2460" s="55">
        <v>3</v>
      </c>
      <c r="BQ2460" s="55" t="s">
        <v>141</v>
      </c>
      <c r="BV2460" s="55" t="s">
        <v>2608</v>
      </c>
      <c r="CB2460" s="66">
        <v>1540</v>
      </c>
      <c r="CC2460" s="66">
        <v>2800</v>
      </c>
      <c r="CM2460" s="65">
        <v>0.55000000000000004</v>
      </c>
      <c r="CN2460" s="65">
        <v>0.62</v>
      </c>
      <c r="CQ2460" s="65" t="s">
        <v>2610</v>
      </c>
      <c r="CV2460" s="65" t="s">
        <v>3039</v>
      </c>
      <c r="DA2460" s="65" t="s">
        <v>4458</v>
      </c>
      <c r="DB2460" s="65">
        <v>340</v>
      </c>
      <c r="DC2460" s="65">
        <v>340</v>
      </c>
      <c r="DF2460" s="65" t="s">
        <v>2611</v>
      </c>
      <c r="DG2460" s="65">
        <v>5.1100000000000003</v>
      </c>
      <c r="DH2460" s="65">
        <v>3.52</v>
      </c>
      <c r="DL2460" s="65">
        <v>76.7</v>
      </c>
      <c r="DM2460" s="65">
        <v>100.6</v>
      </c>
      <c r="DQ2460" s="165">
        <v>5</v>
      </c>
      <c r="DR2460" s="165">
        <v>5.0999999999999996</v>
      </c>
      <c r="GP2460" s="292" t="s">
        <v>7494</v>
      </c>
    </row>
    <row r="2461" spans="1:198" x14ac:dyDescent="0.25">
      <c r="A2461" s="55">
        <v>2460</v>
      </c>
      <c r="B2461" s="12" t="s">
        <v>7067</v>
      </c>
      <c r="C2461" s="155">
        <v>117</v>
      </c>
      <c r="D2461" s="55" t="s">
        <v>4232</v>
      </c>
      <c r="E2461" s="90" t="s">
        <v>2550</v>
      </c>
      <c r="G2461" s="55" t="s">
        <v>2551</v>
      </c>
      <c r="H2461" s="55">
        <v>2005</v>
      </c>
      <c r="I2461" s="55">
        <v>1998</v>
      </c>
      <c r="J2461" s="55" t="s">
        <v>2552</v>
      </c>
      <c r="K2461" s="55" t="s">
        <v>2553</v>
      </c>
      <c r="L2461" s="55" t="s">
        <v>2747</v>
      </c>
      <c r="M2461" s="90">
        <f>9+25/60</f>
        <v>9.4166666666666661</v>
      </c>
      <c r="N2461" s="90">
        <f>0-58/60</f>
        <v>-0.96666666666666667</v>
      </c>
      <c r="O2461" s="90">
        <v>183</v>
      </c>
      <c r="S2461" s="90">
        <v>1000</v>
      </c>
      <c r="U2461" s="55" t="s">
        <v>1805</v>
      </c>
      <c r="V2461" s="55" t="s">
        <v>1816</v>
      </c>
      <c r="Y2461" s="55" t="s">
        <v>2554</v>
      </c>
      <c r="Z2461" s="55" t="s">
        <v>1346</v>
      </c>
      <c r="AA2461" s="90" t="s">
        <v>1675</v>
      </c>
      <c r="AE2461" s="90">
        <v>76.25</v>
      </c>
      <c r="AF2461" s="90">
        <v>13.1</v>
      </c>
      <c r="AH2461" s="55" t="s">
        <v>174</v>
      </c>
      <c r="AI2461" s="168">
        <v>4.7699999999999996</v>
      </c>
      <c r="AJ2461" s="90">
        <v>0.52</v>
      </c>
      <c r="AM2461" s="55" t="s">
        <v>2597</v>
      </c>
      <c r="AN2461" s="185" t="s">
        <v>2599</v>
      </c>
      <c r="AO2461" s="185" t="s">
        <v>5150</v>
      </c>
      <c r="AQ2461" s="55" t="s">
        <v>553</v>
      </c>
      <c r="AR2461" s="55" t="s">
        <v>1607</v>
      </c>
      <c r="AS2461" s="55" t="s">
        <v>132</v>
      </c>
      <c r="AU2461" s="181" t="s">
        <v>7494</v>
      </c>
      <c r="AV2461" s="185" t="s">
        <v>176</v>
      </c>
      <c r="AX2461" s="185" t="s">
        <v>176</v>
      </c>
      <c r="BE2461" s="226" t="s">
        <v>176</v>
      </c>
      <c r="BG2461" s="55" t="s">
        <v>176</v>
      </c>
      <c r="BH2461" s="226" t="s">
        <v>176</v>
      </c>
      <c r="BI2461" s="191" t="s">
        <v>176</v>
      </c>
      <c r="BJ2461" s="55" t="s">
        <v>176</v>
      </c>
      <c r="BK2461" s="55" t="s">
        <v>5976</v>
      </c>
      <c r="BM2461" s="192" t="s">
        <v>119</v>
      </c>
      <c r="BN2461" s="55">
        <v>3</v>
      </c>
      <c r="BO2461" s="55">
        <v>3</v>
      </c>
      <c r="BQ2461" s="55" t="s">
        <v>141</v>
      </c>
      <c r="BV2461" s="55" t="s">
        <v>2609</v>
      </c>
      <c r="CB2461" s="66">
        <v>1540</v>
      </c>
      <c r="CC2461" s="66">
        <v>2530</v>
      </c>
      <c r="CM2461" s="65">
        <v>0.55000000000000004</v>
      </c>
      <c r="CN2461" s="65">
        <v>0.56999999999999995</v>
      </c>
      <c r="CQ2461" s="65" t="s">
        <v>2610</v>
      </c>
      <c r="CV2461" s="65" t="s">
        <v>3039</v>
      </c>
      <c r="DA2461" s="65" t="s">
        <v>4458</v>
      </c>
      <c r="DB2461" s="65">
        <v>340</v>
      </c>
      <c r="DC2461" s="65">
        <v>340</v>
      </c>
      <c r="DF2461" s="65" t="s">
        <v>2611</v>
      </c>
      <c r="DG2461" s="65">
        <v>5.1100000000000003</v>
      </c>
      <c r="DH2461" s="65">
        <v>4.0599999999999996</v>
      </c>
      <c r="DL2461" s="65">
        <v>76.7</v>
      </c>
      <c r="DM2461" s="65">
        <v>90.8</v>
      </c>
      <c r="DQ2461" s="165">
        <v>5</v>
      </c>
      <c r="DR2461" s="165">
        <v>5.0999999999999996</v>
      </c>
      <c r="GP2461" s="292" t="s">
        <v>7494</v>
      </c>
    </row>
    <row r="2462" spans="1:198" x14ac:dyDescent="0.25">
      <c r="A2462" s="55">
        <v>2461</v>
      </c>
      <c r="B2462" s="12" t="s">
        <v>7067</v>
      </c>
      <c r="C2462" s="155">
        <v>117</v>
      </c>
      <c r="D2462" s="55" t="s">
        <v>4232</v>
      </c>
      <c r="E2462" s="90" t="s">
        <v>2550</v>
      </c>
      <c r="G2462" s="55" t="s">
        <v>2551</v>
      </c>
      <c r="H2462" s="55">
        <v>2005</v>
      </c>
      <c r="I2462" s="55">
        <v>1999</v>
      </c>
      <c r="J2462" s="55" t="s">
        <v>2552</v>
      </c>
      <c r="K2462" s="55" t="s">
        <v>2553</v>
      </c>
      <c r="L2462" s="55" t="s">
        <v>2747</v>
      </c>
      <c r="M2462" s="90">
        <f>9+25/60</f>
        <v>9.4166666666666661</v>
      </c>
      <c r="N2462" s="90">
        <f>0-58/60</f>
        <v>-0.96666666666666667</v>
      </c>
      <c r="O2462" s="90">
        <v>183</v>
      </c>
      <c r="S2462" s="90">
        <v>1000</v>
      </c>
      <c r="U2462" s="55" t="s">
        <v>1688</v>
      </c>
      <c r="V2462" s="55" t="s">
        <v>1816</v>
      </c>
      <c r="Y2462" s="55" t="s">
        <v>2554</v>
      </c>
      <c r="Z2462" s="55" t="s">
        <v>1346</v>
      </c>
      <c r="AA2462" s="90" t="s">
        <v>1675</v>
      </c>
      <c r="AE2462" s="90">
        <v>76.25</v>
      </c>
      <c r="AF2462" s="90">
        <v>13.1</v>
      </c>
      <c r="AH2462" s="55" t="s">
        <v>174</v>
      </c>
      <c r="AI2462" s="168">
        <v>4.7699999999999996</v>
      </c>
      <c r="AJ2462" s="90">
        <v>0.52</v>
      </c>
      <c r="AM2462" s="55" t="s">
        <v>2597</v>
      </c>
      <c r="AN2462" s="185" t="s">
        <v>2599</v>
      </c>
      <c r="AO2462" s="185" t="s">
        <v>5150</v>
      </c>
      <c r="AQ2462" s="55" t="s">
        <v>553</v>
      </c>
      <c r="AR2462" s="55" t="s">
        <v>1607</v>
      </c>
      <c r="AS2462" s="55" t="s">
        <v>132</v>
      </c>
      <c r="AU2462" s="181" t="s">
        <v>7494</v>
      </c>
      <c r="AV2462" s="185" t="s">
        <v>176</v>
      </c>
      <c r="AX2462" s="185" t="s">
        <v>176</v>
      </c>
      <c r="BE2462" s="226" t="s">
        <v>176</v>
      </c>
      <c r="BG2462" s="55" t="s">
        <v>176</v>
      </c>
      <c r="BH2462" s="226" t="s">
        <v>176</v>
      </c>
      <c r="BI2462" s="191" t="s">
        <v>176</v>
      </c>
      <c r="BJ2462" s="55" t="s">
        <v>176</v>
      </c>
      <c r="BK2462" s="55" t="s">
        <v>5976</v>
      </c>
      <c r="BM2462" s="192" t="s">
        <v>119</v>
      </c>
      <c r="BN2462" s="55">
        <v>3</v>
      </c>
      <c r="BO2462" s="55">
        <v>3</v>
      </c>
      <c r="BQ2462" s="55" t="s">
        <v>141</v>
      </c>
      <c r="BV2462" s="55" t="s">
        <v>2606</v>
      </c>
      <c r="CB2462" s="66">
        <v>510</v>
      </c>
      <c r="CC2462" s="66">
        <v>1160</v>
      </c>
      <c r="GP2462" s="292" t="s">
        <v>7494</v>
      </c>
    </row>
    <row r="2463" spans="1:198" x14ac:dyDescent="0.25">
      <c r="A2463" s="55">
        <v>2462</v>
      </c>
      <c r="B2463" s="12" t="s">
        <v>7067</v>
      </c>
      <c r="C2463" s="155">
        <v>117</v>
      </c>
      <c r="D2463" s="55" t="s">
        <v>4232</v>
      </c>
      <c r="E2463" s="90" t="s">
        <v>2550</v>
      </c>
      <c r="G2463" s="55" t="s">
        <v>2551</v>
      </c>
      <c r="H2463" s="55">
        <v>2005</v>
      </c>
      <c r="I2463" s="55">
        <v>1999</v>
      </c>
      <c r="J2463" s="55" t="s">
        <v>2552</v>
      </c>
      <c r="K2463" s="55" t="s">
        <v>2553</v>
      </c>
      <c r="L2463" s="55" t="s">
        <v>2747</v>
      </c>
      <c r="M2463" s="90">
        <f>9+25/60</f>
        <v>9.4166666666666661</v>
      </c>
      <c r="N2463" s="90">
        <f>0-58/60</f>
        <v>-0.96666666666666667</v>
      </c>
      <c r="O2463" s="90">
        <v>183</v>
      </c>
      <c r="S2463" s="90">
        <v>1000</v>
      </c>
      <c r="U2463" s="55" t="s">
        <v>1688</v>
      </c>
      <c r="V2463" s="55" t="s">
        <v>1816</v>
      </c>
      <c r="Y2463" s="55" t="s">
        <v>2554</v>
      </c>
      <c r="Z2463" s="55" t="s">
        <v>1346</v>
      </c>
      <c r="AA2463" s="90" t="s">
        <v>1675</v>
      </c>
      <c r="AE2463" s="90">
        <v>76.25</v>
      </c>
      <c r="AF2463" s="90">
        <v>13.1</v>
      </c>
      <c r="AH2463" s="55" t="s">
        <v>174</v>
      </c>
      <c r="AI2463" s="168">
        <v>4.7699999999999996</v>
      </c>
      <c r="AJ2463" s="90">
        <v>0.52</v>
      </c>
      <c r="AM2463" s="55" t="s">
        <v>2597</v>
      </c>
      <c r="AN2463" s="185" t="s">
        <v>2599</v>
      </c>
      <c r="AO2463" s="185" t="s">
        <v>5150</v>
      </c>
      <c r="AQ2463" s="55" t="s">
        <v>553</v>
      </c>
      <c r="AR2463" s="55" t="s">
        <v>1607</v>
      </c>
      <c r="AS2463" s="55" t="s">
        <v>132</v>
      </c>
      <c r="AU2463" s="181" t="s">
        <v>7494</v>
      </c>
      <c r="AV2463" s="185" t="s">
        <v>176</v>
      </c>
      <c r="AX2463" s="185" t="s">
        <v>176</v>
      </c>
      <c r="BE2463" s="226" t="s">
        <v>176</v>
      </c>
      <c r="BG2463" s="55" t="s">
        <v>176</v>
      </c>
      <c r="BH2463" s="226" t="s">
        <v>176</v>
      </c>
      <c r="BI2463" s="191" t="s">
        <v>176</v>
      </c>
      <c r="BJ2463" s="55" t="s">
        <v>176</v>
      </c>
      <c r="BK2463" s="55" t="s">
        <v>5976</v>
      </c>
      <c r="BM2463" s="192" t="s">
        <v>119</v>
      </c>
      <c r="BN2463" s="55">
        <v>3</v>
      </c>
      <c r="BO2463" s="55">
        <v>3</v>
      </c>
      <c r="BQ2463" s="55" t="s">
        <v>141</v>
      </c>
      <c r="BV2463" s="55" t="s">
        <v>2607</v>
      </c>
      <c r="CB2463" s="66">
        <v>510</v>
      </c>
      <c r="CC2463" s="66">
        <v>690</v>
      </c>
      <c r="GP2463" s="292" t="s">
        <v>7494</v>
      </c>
    </row>
    <row r="2464" spans="1:198" x14ac:dyDescent="0.25">
      <c r="A2464" s="55">
        <v>2463</v>
      </c>
      <c r="B2464" s="12" t="s">
        <v>7067</v>
      </c>
      <c r="C2464" s="155">
        <v>117</v>
      </c>
      <c r="D2464" s="55" t="s">
        <v>4232</v>
      </c>
      <c r="E2464" s="90" t="s">
        <v>2550</v>
      </c>
      <c r="G2464" s="55" t="s">
        <v>2551</v>
      </c>
      <c r="H2464" s="55">
        <v>2005</v>
      </c>
      <c r="I2464" s="55">
        <v>1999</v>
      </c>
      <c r="J2464" s="55" t="s">
        <v>2552</v>
      </c>
      <c r="K2464" s="55" t="s">
        <v>2553</v>
      </c>
      <c r="L2464" s="55" t="s">
        <v>2747</v>
      </c>
      <c r="M2464" s="90">
        <f>9+25/60</f>
        <v>9.4166666666666661</v>
      </c>
      <c r="N2464" s="90">
        <f>0-58/60</f>
        <v>-0.96666666666666667</v>
      </c>
      <c r="O2464" s="90">
        <v>183</v>
      </c>
      <c r="S2464" s="90">
        <v>1000</v>
      </c>
      <c r="U2464" s="55" t="s">
        <v>1688</v>
      </c>
      <c r="V2464" s="55" t="s">
        <v>1816</v>
      </c>
      <c r="Y2464" s="55" t="s">
        <v>2554</v>
      </c>
      <c r="Z2464" s="55" t="s">
        <v>1346</v>
      </c>
      <c r="AA2464" s="90" t="s">
        <v>1675</v>
      </c>
      <c r="AE2464" s="90">
        <v>76.25</v>
      </c>
      <c r="AF2464" s="90">
        <v>13.1</v>
      </c>
      <c r="AH2464" s="55" t="s">
        <v>174</v>
      </c>
      <c r="AI2464" s="168">
        <v>4.7699999999999996</v>
      </c>
      <c r="AJ2464" s="90">
        <v>0.52</v>
      </c>
      <c r="AM2464" s="55" t="s">
        <v>2597</v>
      </c>
      <c r="AN2464" s="185" t="s">
        <v>2599</v>
      </c>
      <c r="AO2464" s="185" t="s">
        <v>5150</v>
      </c>
      <c r="AQ2464" s="55" t="s">
        <v>553</v>
      </c>
      <c r="AR2464" s="55" t="s">
        <v>1607</v>
      </c>
      <c r="AS2464" s="55" t="s">
        <v>132</v>
      </c>
      <c r="AU2464" s="181" t="s">
        <v>7494</v>
      </c>
      <c r="AV2464" s="185" t="s">
        <v>176</v>
      </c>
      <c r="AX2464" s="185" t="s">
        <v>176</v>
      </c>
      <c r="BE2464" s="226" t="s">
        <v>176</v>
      </c>
      <c r="BG2464" s="55" t="s">
        <v>176</v>
      </c>
      <c r="BH2464" s="226" t="s">
        <v>176</v>
      </c>
      <c r="BI2464" s="191" t="s">
        <v>176</v>
      </c>
      <c r="BJ2464" s="55" t="s">
        <v>176</v>
      </c>
      <c r="BK2464" s="55" t="s">
        <v>5976</v>
      </c>
      <c r="BM2464" s="192" t="s">
        <v>119</v>
      </c>
      <c r="BN2464" s="55">
        <v>3</v>
      </c>
      <c r="BO2464" s="55">
        <v>3</v>
      </c>
      <c r="BQ2464" s="55" t="s">
        <v>141</v>
      </c>
      <c r="BV2464" s="55" t="s">
        <v>2608</v>
      </c>
      <c r="CB2464" s="66">
        <v>510</v>
      </c>
      <c r="CC2464" s="66">
        <v>930</v>
      </c>
      <c r="GP2464" s="292" t="s">
        <v>7494</v>
      </c>
    </row>
    <row r="2465" spans="1:198" x14ac:dyDescent="0.25">
      <c r="A2465" s="55">
        <v>2464</v>
      </c>
      <c r="B2465" s="12" t="s">
        <v>7067</v>
      </c>
      <c r="C2465" s="155">
        <v>117</v>
      </c>
      <c r="D2465" s="55" t="s">
        <v>4232</v>
      </c>
      <c r="E2465" s="90" t="s">
        <v>2550</v>
      </c>
      <c r="G2465" s="55" t="s">
        <v>2551</v>
      </c>
      <c r="H2465" s="55">
        <v>2005</v>
      </c>
      <c r="I2465" s="55">
        <v>1999</v>
      </c>
      <c r="J2465" s="55" t="s">
        <v>2552</v>
      </c>
      <c r="K2465" s="55" t="s">
        <v>2553</v>
      </c>
      <c r="L2465" s="55" t="s">
        <v>2747</v>
      </c>
      <c r="M2465" s="90">
        <f>9+25/60</f>
        <v>9.4166666666666661</v>
      </c>
      <c r="N2465" s="90">
        <f>0-58/60</f>
        <v>-0.96666666666666667</v>
      </c>
      <c r="O2465" s="90">
        <v>183</v>
      </c>
      <c r="S2465" s="90">
        <v>1000</v>
      </c>
      <c r="U2465" s="55" t="s">
        <v>1688</v>
      </c>
      <c r="V2465" s="55" t="s">
        <v>1816</v>
      </c>
      <c r="Y2465" s="55" t="s">
        <v>2554</v>
      </c>
      <c r="Z2465" s="55" t="s">
        <v>1346</v>
      </c>
      <c r="AA2465" s="90" t="s">
        <v>1675</v>
      </c>
      <c r="AE2465" s="90">
        <v>76.25</v>
      </c>
      <c r="AF2465" s="90">
        <v>13.1</v>
      </c>
      <c r="AH2465" s="55" t="s">
        <v>174</v>
      </c>
      <c r="AI2465" s="168">
        <v>4.7699999999999996</v>
      </c>
      <c r="AJ2465" s="90">
        <v>0.52</v>
      </c>
      <c r="AM2465" s="55" t="s">
        <v>2597</v>
      </c>
      <c r="AN2465" s="185" t="s">
        <v>2599</v>
      </c>
      <c r="AO2465" s="185" t="s">
        <v>5150</v>
      </c>
      <c r="AQ2465" s="55" t="s">
        <v>553</v>
      </c>
      <c r="AR2465" s="55" t="s">
        <v>1607</v>
      </c>
      <c r="AS2465" s="55" t="s">
        <v>132</v>
      </c>
      <c r="AU2465" s="181" t="s">
        <v>7494</v>
      </c>
      <c r="AV2465" s="185" t="s">
        <v>176</v>
      </c>
      <c r="AX2465" s="185" t="s">
        <v>176</v>
      </c>
      <c r="BE2465" s="226" t="s">
        <v>176</v>
      </c>
      <c r="BG2465" s="55" t="s">
        <v>176</v>
      </c>
      <c r="BH2465" s="226" t="s">
        <v>176</v>
      </c>
      <c r="BI2465" s="191" t="s">
        <v>176</v>
      </c>
      <c r="BJ2465" s="55" t="s">
        <v>176</v>
      </c>
      <c r="BK2465" s="55" t="s">
        <v>5976</v>
      </c>
      <c r="BM2465" s="192" t="s">
        <v>119</v>
      </c>
      <c r="BN2465" s="55">
        <v>3</v>
      </c>
      <c r="BO2465" s="55">
        <v>3</v>
      </c>
      <c r="BQ2465" s="55" t="s">
        <v>141</v>
      </c>
      <c r="BV2465" s="55" t="s">
        <v>2609</v>
      </c>
      <c r="CB2465" s="66">
        <v>510</v>
      </c>
      <c r="CC2465" s="66">
        <v>930</v>
      </c>
      <c r="GP2465" s="292" t="s">
        <v>7494</v>
      </c>
    </row>
    <row r="2466" spans="1:198" x14ac:dyDescent="0.25">
      <c r="A2466" s="55">
        <v>2465</v>
      </c>
      <c r="B2466" s="12" t="s">
        <v>7067</v>
      </c>
      <c r="C2466" s="155">
        <v>118</v>
      </c>
      <c r="D2466" s="55" t="s">
        <v>4234</v>
      </c>
      <c r="E2466" s="90" t="s">
        <v>2612</v>
      </c>
      <c r="G2466" s="55" t="s">
        <v>2613</v>
      </c>
      <c r="H2466" s="55">
        <v>1992</v>
      </c>
      <c r="I2466" s="55">
        <v>2006</v>
      </c>
      <c r="J2466" s="55" t="s">
        <v>2619</v>
      </c>
      <c r="K2466" s="55" t="s">
        <v>2616</v>
      </c>
      <c r="L2466" s="55" t="s">
        <v>2748</v>
      </c>
      <c r="M2466" s="90">
        <f>-15.5</f>
        <v>-15.5</v>
      </c>
      <c r="N2466" s="90">
        <f>35+15/60</f>
        <v>35.25</v>
      </c>
      <c r="O2466" s="90">
        <v>1030</v>
      </c>
      <c r="R2466" s="55">
        <v>1000</v>
      </c>
      <c r="S2466" s="90">
        <v>1024</v>
      </c>
      <c r="U2466" s="55" t="s">
        <v>1805</v>
      </c>
      <c r="V2466" s="55" t="s">
        <v>1889</v>
      </c>
      <c r="Y2466" s="55" t="s">
        <v>2614</v>
      </c>
      <c r="Z2466" s="55" t="s">
        <v>1346</v>
      </c>
      <c r="AA2466" s="90" t="s">
        <v>1675</v>
      </c>
      <c r="AE2466" s="90">
        <v>46</v>
      </c>
      <c r="AF2466" s="90">
        <v>8</v>
      </c>
      <c r="AH2466" s="55" t="s">
        <v>2618</v>
      </c>
      <c r="AI2466" s="168">
        <v>5.9</v>
      </c>
      <c r="AJ2466" s="90">
        <v>0.88</v>
      </c>
      <c r="AM2466" s="55" t="s">
        <v>2617</v>
      </c>
      <c r="AN2466" s="185" t="s">
        <v>2620</v>
      </c>
      <c r="AO2466" s="185" t="s">
        <v>5150</v>
      </c>
      <c r="AQ2466" s="55" t="s">
        <v>4233</v>
      </c>
      <c r="AR2466" s="55" t="s">
        <v>1607</v>
      </c>
      <c r="AS2466" s="55" t="s">
        <v>132</v>
      </c>
      <c r="AT2466" s="181" t="s">
        <v>176</v>
      </c>
      <c r="AU2466" s="181" t="s">
        <v>5150</v>
      </c>
      <c r="AV2466" s="185" t="s">
        <v>176</v>
      </c>
      <c r="AW2466" s="55" t="s">
        <v>176</v>
      </c>
      <c r="AX2466" s="185" t="s">
        <v>176</v>
      </c>
      <c r="AY2466" s="55" t="s">
        <v>176</v>
      </c>
      <c r="BE2466" s="226" t="s">
        <v>161</v>
      </c>
      <c r="BF2466" s="191" t="s">
        <v>176</v>
      </c>
      <c r="BG2466" s="55" t="s">
        <v>176</v>
      </c>
      <c r="BH2466" s="226" t="s">
        <v>161</v>
      </c>
      <c r="BI2466" s="191" t="s">
        <v>176</v>
      </c>
      <c r="BJ2466" s="55" t="s">
        <v>176</v>
      </c>
      <c r="BK2466" s="55" t="s">
        <v>6333</v>
      </c>
      <c r="BM2466" s="192" t="s">
        <v>160</v>
      </c>
      <c r="BN2466" s="55">
        <v>3</v>
      </c>
      <c r="BO2466" s="55">
        <v>3</v>
      </c>
      <c r="BP2466" s="55">
        <v>3</v>
      </c>
      <c r="BQ2466" s="55" t="s">
        <v>2615</v>
      </c>
      <c r="CM2466" s="65">
        <f>7.6/10</f>
        <v>0.76</v>
      </c>
      <c r="CN2466" s="65">
        <v>0.89</v>
      </c>
      <c r="CQ2466" s="65" t="s">
        <v>2240</v>
      </c>
      <c r="CV2466" s="65" t="s">
        <v>3039</v>
      </c>
      <c r="DA2466" s="65" t="s">
        <v>4458</v>
      </c>
      <c r="DG2466" s="65">
        <v>20</v>
      </c>
      <c r="DH2466" s="65">
        <v>31</v>
      </c>
      <c r="DL2466" s="65">
        <v>0.11</v>
      </c>
      <c r="DM2466" s="65">
        <v>0.37</v>
      </c>
      <c r="DQ2466" s="165">
        <v>5.9</v>
      </c>
      <c r="DR2466" s="165">
        <v>6</v>
      </c>
      <c r="DV2466" s="65">
        <f>4.1+0.8+0.11</f>
        <v>5.01</v>
      </c>
      <c r="DW2466" s="65">
        <f>4.3+2.3+0.37</f>
        <v>6.97</v>
      </c>
      <c r="DZ2466" s="65" t="s">
        <v>2623</v>
      </c>
      <c r="GP2466" s="292" t="s">
        <v>7494</v>
      </c>
    </row>
    <row r="2467" spans="1:198" x14ac:dyDescent="0.25">
      <c r="A2467" s="55">
        <v>2466</v>
      </c>
      <c r="B2467" s="12" t="s">
        <v>7067</v>
      </c>
      <c r="C2467" s="155">
        <v>118</v>
      </c>
      <c r="D2467" s="55" t="s">
        <v>4235</v>
      </c>
      <c r="E2467" s="90" t="s">
        <v>2612</v>
      </c>
      <c r="G2467" s="55" t="s">
        <v>2613</v>
      </c>
      <c r="H2467" s="55">
        <v>1992</v>
      </c>
      <c r="I2467" s="55">
        <v>2006</v>
      </c>
      <c r="J2467" s="55" t="s">
        <v>2619</v>
      </c>
      <c r="K2467" s="55" t="s">
        <v>2616</v>
      </c>
      <c r="L2467" s="55" t="s">
        <v>2748</v>
      </c>
      <c r="M2467" s="90">
        <f>-15.5</f>
        <v>-15.5</v>
      </c>
      <c r="N2467" s="90">
        <f>35+15/60</f>
        <v>35.25</v>
      </c>
      <c r="O2467" s="90">
        <v>1030</v>
      </c>
      <c r="R2467" s="55">
        <v>1000</v>
      </c>
      <c r="S2467" s="90">
        <v>1024</v>
      </c>
      <c r="U2467" s="55" t="s">
        <v>1805</v>
      </c>
      <c r="V2467" s="55" t="s">
        <v>1889</v>
      </c>
      <c r="Y2467" s="55" t="s">
        <v>2614</v>
      </c>
      <c r="Z2467" s="55" t="s">
        <v>1346</v>
      </c>
      <c r="AA2467" s="90" t="s">
        <v>1675</v>
      </c>
      <c r="AE2467" s="90">
        <v>46</v>
      </c>
      <c r="AF2467" s="90">
        <v>8</v>
      </c>
      <c r="AH2467" s="55" t="s">
        <v>2618</v>
      </c>
      <c r="AI2467" s="168">
        <v>5.9</v>
      </c>
      <c r="AJ2467" s="90">
        <v>0.88</v>
      </c>
      <c r="AM2467" s="55" t="s">
        <v>2617</v>
      </c>
      <c r="AN2467" s="185" t="s">
        <v>2620</v>
      </c>
      <c r="AO2467" s="185" t="s">
        <v>5150</v>
      </c>
      <c r="AQ2467" s="55" t="s">
        <v>4233</v>
      </c>
      <c r="AR2467" s="55" t="s">
        <v>1607</v>
      </c>
      <c r="AS2467" s="55" t="s">
        <v>132</v>
      </c>
      <c r="AT2467" s="181" t="s">
        <v>176</v>
      </c>
      <c r="AU2467" s="181" t="s">
        <v>5150</v>
      </c>
      <c r="AV2467" s="185" t="s">
        <v>176</v>
      </c>
      <c r="AW2467" s="55" t="s">
        <v>176</v>
      </c>
      <c r="AX2467" s="185" t="s">
        <v>176</v>
      </c>
      <c r="AY2467" s="55" t="s">
        <v>176</v>
      </c>
      <c r="BE2467" s="226" t="s">
        <v>2621</v>
      </c>
      <c r="BF2467" s="191" t="s">
        <v>479</v>
      </c>
      <c r="BG2467" s="55" t="s">
        <v>479</v>
      </c>
      <c r="BH2467" s="226" t="s">
        <v>2621</v>
      </c>
      <c r="BI2467" s="55" t="s">
        <v>479</v>
      </c>
      <c r="BJ2467" s="55" t="s">
        <v>176</v>
      </c>
      <c r="BK2467" s="55" t="s">
        <v>6333</v>
      </c>
      <c r="BM2467" s="192" t="s">
        <v>160</v>
      </c>
      <c r="BN2467" s="55">
        <v>3</v>
      </c>
      <c r="BO2467" s="55">
        <v>3</v>
      </c>
      <c r="BP2467" s="55">
        <v>3</v>
      </c>
      <c r="BQ2467" s="55" t="s">
        <v>2615</v>
      </c>
      <c r="CM2467" s="65">
        <f>7/10</f>
        <v>0.7</v>
      </c>
      <c r="CN2467" s="65">
        <v>0.87</v>
      </c>
      <c r="CQ2467" s="65" t="s">
        <v>2240</v>
      </c>
      <c r="CV2467" s="65" t="s">
        <v>3039</v>
      </c>
      <c r="DA2467" s="65" t="s">
        <v>4458</v>
      </c>
      <c r="DG2467" s="65">
        <v>21</v>
      </c>
      <c r="DH2467" s="65">
        <v>33</v>
      </c>
      <c r="DL2467" s="65">
        <v>0.16</v>
      </c>
      <c r="DM2467" s="65">
        <v>0.52</v>
      </c>
      <c r="DQ2467" s="165">
        <v>5.8</v>
      </c>
      <c r="DR2467" s="165">
        <v>6.1</v>
      </c>
      <c r="DV2467" s="65">
        <f>4+1.1+0.16</f>
        <v>5.26</v>
      </c>
      <c r="DW2467" s="65">
        <f>4.3+2.1+0.52</f>
        <v>6.92</v>
      </c>
      <c r="DZ2467" s="65" t="s">
        <v>2623</v>
      </c>
      <c r="GP2467" s="292" t="s">
        <v>7494</v>
      </c>
    </row>
    <row r="2468" spans="1:198" x14ac:dyDescent="0.25">
      <c r="A2468" s="55">
        <v>2467</v>
      </c>
      <c r="B2468" s="12" t="s">
        <v>7067</v>
      </c>
      <c r="C2468" s="155">
        <v>118</v>
      </c>
      <c r="D2468" s="55" t="s">
        <v>4236</v>
      </c>
      <c r="E2468" s="90" t="s">
        <v>2612</v>
      </c>
      <c r="G2468" s="55" t="s">
        <v>2613</v>
      </c>
      <c r="H2468" s="55">
        <v>1992</v>
      </c>
      <c r="I2468" s="55">
        <v>2006</v>
      </c>
      <c r="J2468" s="55" t="s">
        <v>2619</v>
      </c>
      <c r="K2468" s="55" t="s">
        <v>2616</v>
      </c>
      <c r="L2468" s="55" t="s">
        <v>2748</v>
      </c>
      <c r="M2468" s="90">
        <f>-15.5</f>
        <v>-15.5</v>
      </c>
      <c r="N2468" s="90">
        <f>35+15/60</f>
        <v>35.25</v>
      </c>
      <c r="O2468" s="90">
        <v>1030</v>
      </c>
      <c r="R2468" s="55">
        <v>1000</v>
      </c>
      <c r="S2468" s="90">
        <v>1024</v>
      </c>
      <c r="U2468" s="55" t="s">
        <v>1805</v>
      </c>
      <c r="V2468" s="55" t="s">
        <v>1889</v>
      </c>
      <c r="Y2468" s="55" t="s">
        <v>2614</v>
      </c>
      <c r="Z2468" s="55" t="s">
        <v>1346</v>
      </c>
      <c r="AA2468" s="90" t="s">
        <v>1675</v>
      </c>
      <c r="AE2468" s="90">
        <v>46</v>
      </c>
      <c r="AF2468" s="90">
        <v>8</v>
      </c>
      <c r="AH2468" s="55" t="s">
        <v>2618</v>
      </c>
      <c r="AI2468" s="168">
        <v>5.9</v>
      </c>
      <c r="AJ2468" s="90">
        <v>0.88</v>
      </c>
      <c r="AM2468" s="55" t="s">
        <v>2617</v>
      </c>
      <c r="AN2468" s="185" t="s">
        <v>2620</v>
      </c>
      <c r="AO2468" s="185" t="s">
        <v>5150</v>
      </c>
      <c r="AQ2468" s="55" t="s">
        <v>4233</v>
      </c>
      <c r="AR2468" s="55" t="s">
        <v>1607</v>
      </c>
      <c r="AS2468" s="55" t="s">
        <v>132</v>
      </c>
      <c r="AT2468" s="181" t="s">
        <v>176</v>
      </c>
      <c r="AU2468" s="181" t="s">
        <v>5150</v>
      </c>
      <c r="AV2468" s="185" t="s">
        <v>176</v>
      </c>
      <c r="AW2468" s="55" t="s">
        <v>176</v>
      </c>
      <c r="AX2468" s="185" t="s">
        <v>176</v>
      </c>
      <c r="AY2468" s="55" t="s">
        <v>176</v>
      </c>
      <c r="BE2468" s="226" t="s">
        <v>2622</v>
      </c>
      <c r="BF2468" s="191" t="s">
        <v>479</v>
      </c>
      <c r="BG2468" s="55" t="s">
        <v>479</v>
      </c>
      <c r="BH2468" s="226" t="s">
        <v>2622</v>
      </c>
      <c r="BI2468" s="55" t="s">
        <v>479</v>
      </c>
      <c r="BJ2468" s="55" t="s">
        <v>176</v>
      </c>
      <c r="BK2468" s="55" t="s">
        <v>6333</v>
      </c>
      <c r="BM2468" s="192" t="s">
        <v>160</v>
      </c>
      <c r="BN2468" s="55">
        <v>3</v>
      </c>
      <c r="BO2468" s="55">
        <v>3</v>
      </c>
      <c r="BP2468" s="55">
        <v>3</v>
      </c>
      <c r="BQ2468" s="55" t="s">
        <v>2615</v>
      </c>
      <c r="CM2468" s="65">
        <v>0.76</v>
      </c>
      <c r="CN2468" s="65">
        <v>0.89</v>
      </c>
      <c r="CQ2468" s="65" t="s">
        <v>2240</v>
      </c>
      <c r="CV2468" s="65" t="s">
        <v>3039</v>
      </c>
      <c r="DA2468" s="65" t="s">
        <v>4458</v>
      </c>
      <c r="DG2468" s="65">
        <v>22</v>
      </c>
      <c r="DH2468" s="65">
        <v>33</v>
      </c>
      <c r="DL2468" s="65">
        <v>0.13</v>
      </c>
      <c r="DM2468" s="65">
        <v>0.48</v>
      </c>
      <c r="DQ2468" s="165">
        <v>5.8</v>
      </c>
      <c r="DR2468" s="165">
        <v>6.1</v>
      </c>
      <c r="DV2468" s="65">
        <f>3.9+1+0.13</f>
        <v>5.03</v>
      </c>
      <c r="DW2468" s="65">
        <f>4.4+2.3+0.48</f>
        <v>7.18</v>
      </c>
      <c r="DZ2468" s="65" t="s">
        <v>2623</v>
      </c>
      <c r="GP2468" s="292" t="s">
        <v>7494</v>
      </c>
    </row>
    <row r="2469" spans="1:198" x14ac:dyDescent="0.25">
      <c r="A2469" s="55">
        <v>2468</v>
      </c>
      <c r="B2469" s="12" t="s">
        <v>7067</v>
      </c>
      <c r="C2469" s="155">
        <v>118</v>
      </c>
      <c r="D2469" s="55" t="s">
        <v>4234</v>
      </c>
      <c r="E2469" s="90" t="s">
        <v>2612</v>
      </c>
      <c r="G2469" s="55" t="s">
        <v>2613</v>
      </c>
      <c r="H2469" s="55">
        <v>1993</v>
      </c>
      <c r="I2469" s="55">
        <v>2006</v>
      </c>
      <c r="J2469" s="55" t="s">
        <v>2619</v>
      </c>
      <c r="K2469" s="55" t="s">
        <v>2616</v>
      </c>
      <c r="L2469" s="55" t="s">
        <v>2748</v>
      </c>
      <c r="M2469" s="90">
        <f>-15.5</f>
        <v>-15.5</v>
      </c>
      <c r="N2469" s="90">
        <f>35+15/60</f>
        <v>35.25</v>
      </c>
      <c r="O2469" s="90">
        <v>1030</v>
      </c>
      <c r="R2469" s="55">
        <v>970</v>
      </c>
      <c r="S2469" s="90">
        <v>1024</v>
      </c>
      <c r="U2469" s="55" t="s">
        <v>1688</v>
      </c>
      <c r="V2469" s="55" t="s">
        <v>1889</v>
      </c>
      <c r="Y2469" s="55" t="s">
        <v>2614</v>
      </c>
      <c r="Z2469" s="55" t="s">
        <v>1346</v>
      </c>
      <c r="AA2469" s="90" t="s">
        <v>1675</v>
      </c>
      <c r="AE2469" s="90">
        <v>46</v>
      </c>
      <c r="AF2469" s="90">
        <v>8</v>
      </c>
      <c r="AH2469" s="55" t="s">
        <v>2618</v>
      </c>
      <c r="AI2469" s="168">
        <v>5.9</v>
      </c>
      <c r="AJ2469" s="90">
        <v>0.88</v>
      </c>
      <c r="AM2469" s="55" t="s">
        <v>2617</v>
      </c>
      <c r="AN2469" s="185" t="s">
        <v>2620</v>
      </c>
      <c r="AO2469" s="185" t="s">
        <v>5150</v>
      </c>
      <c r="AQ2469" s="55" t="s">
        <v>4233</v>
      </c>
      <c r="AR2469" s="55" t="s">
        <v>1607</v>
      </c>
      <c r="AS2469" s="55" t="s">
        <v>132</v>
      </c>
      <c r="AT2469" s="181" t="s">
        <v>176</v>
      </c>
      <c r="AU2469" s="181" t="s">
        <v>5150</v>
      </c>
      <c r="AV2469" s="185" t="s">
        <v>176</v>
      </c>
      <c r="AW2469" s="55" t="s">
        <v>176</v>
      </c>
      <c r="AX2469" s="185" t="s">
        <v>176</v>
      </c>
      <c r="AY2469" s="55" t="s">
        <v>176</v>
      </c>
      <c r="BE2469" s="226" t="s">
        <v>161</v>
      </c>
      <c r="BF2469" s="191" t="s">
        <v>176</v>
      </c>
      <c r="BG2469" s="191" t="s">
        <v>176</v>
      </c>
      <c r="BH2469" s="226" t="s">
        <v>161</v>
      </c>
      <c r="BI2469" s="191" t="s">
        <v>176</v>
      </c>
      <c r="BJ2469" s="55" t="s">
        <v>176</v>
      </c>
      <c r="BK2469" s="55" t="s">
        <v>6333</v>
      </c>
      <c r="BM2469" s="192" t="s">
        <v>160</v>
      </c>
      <c r="BN2469" s="55">
        <v>3</v>
      </c>
      <c r="BO2469" s="55">
        <v>3</v>
      </c>
      <c r="BP2469" s="55">
        <v>3</v>
      </c>
      <c r="BQ2469" s="55" t="s">
        <v>2615</v>
      </c>
      <c r="BS2469" s="55">
        <f>2601.8+1528</f>
        <v>4129.8</v>
      </c>
      <c r="CB2469" s="66">
        <v>1994</v>
      </c>
      <c r="CC2469" s="66">
        <v>1657</v>
      </c>
      <c r="GP2469" s="292" t="s">
        <v>7494</v>
      </c>
    </row>
    <row r="2470" spans="1:198" x14ac:dyDescent="0.25">
      <c r="A2470" s="55">
        <v>2469</v>
      </c>
      <c r="B2470" s="12" t="s">
        <v>7067</v>
      </c>
      <c r="C2470" s="155">
        <v>118</v>
      </c>
      <c r="D2470" s="55" t="s">
        <v>4234</v>
      </c>
      <c r="E2470" s="90" t="s">
        <v>2612</v>
      </c>
      <c r="G2470" s="55" t="s">
        <v>2613</v>
      </c>
      <c r="H2470" s="55">
        <v>1994</v>
      </c>
      <c r="I2470" s="55">
        <v>2006</v>
      </c>
      <c r="J2470" s="55" t="s">
        <v>2619</v>
      </c>
      <c r="K2470" s="55" t="s">
        <v>2616</v>
      </c>
      <c r="L2470" s="55" t="s">
        <v>2748</v>
      </c>
      <c r="M2470" s="90">
        <f>-15.5</f>
        <v>-15.5</v>
      </c>
      <c r="N2470" s="90">
        <f>35+15/60</f>
        <v>35.25</v>
      </c>
      <c r="O2470" s="90">
        <v>1030</v>
      </c>
      <c r="R2470" s="55">
        <v>540</v>
      </c>
      <c r="S2470" s="90">
        <v>1024</v>
      </c>
      <c r="U2470" s="55" t="s">
        <v>1816</v>
      </c>
      <c r="V2470" s="55" t="s">
        <v>1889</v>
      </c>
      <c r="Y2470" s="55" t="s">
        <v>2614</v>
      </c>
      <c r="Z2470" s="55" t="s">
        <v>1346</v>
      </c>
      <c r="AA2470" s="90" t="s">
        <v>1675</v>
      </c>
      <c r="AE2470" s="90">
        <v>46</v>
      </c>
      <c r="AF2470" s="90">
        <v>8</v>
      </c>
      <c r="AH2470" s="55" t="s">
        <v>2618</v>
      </c>
      <c r="AI2470" s="168">
        <v>5.9</v>
      </c>
      <c r="AJ2470" s="90">
        <v>0.88</v>
      </c>
      <c r="AM2470" s="55" t="s">
        <v>2617</v>
      </c>
      <c r="AN2470" s="185" t="s">
        <v>2620</v>
      </c>
      <c r="AO2470" s="185" t="s">
        <v>5150</v>
      </c>
      <c r="AQ2470" s="55" t="s">
        <v>4233</v>
      </c>
      <c r="AR2470" s="55" t="s">
        <v>1607</v>
      </c>
      <c r="AS2470" s="55" t="s">
        <v>132</v>
      </c>
      <c r="AT2470" s="181" t="s">
        <v>176</v>
      </c>
      <c r="AU2470" s="181" t="s">
        <v>5150</v>
      </c>
      <c r="AV2470" s="185" t="s">
        <v>176</v>
      </c>
      <c r="AW2470" s="55" t="s">
        <v>176</v>
      </c>
      <c r="AX2470" s="185" t="s">
        <v>176</v>
      </c>
      <c r="AY2470" s="55" t="s">
        <v>176</v>
      </c>
      <c r="BE2470" s="226" t="s">
        <v>161</v>
      </c>
      <c r="BF2470" s="191" t="s">
        <v>176</v>
      </c>
      <c r="BG2470" s="191" t="s">
        <v>176</v>
      </c>
      <c r="BH2470" s="226" t="s">
        <v>161</v>
      </c>
      <c r="BI2470" s="191" t="s">
        <v>176</v>
      </c>
      <c r="BJ2470" s="55" t="s">
        <v>176</v>
      </c>
      <c r="BK2470" s="55" t="s">
        <v>6333</v>
      </c>
      <c r="BM2470" s="192" t="s">
        <v>160</v>
      </c>
      <c r="BN2470" s="55">
        <v>3</v>
      </c>
      <c r="BO2470" s="55">
        <v>3</v>
      </c>
      <c r="BP2470" s="55">
        <v>3</v>
      </c>
      <c r="BQ2470" s="55" t="s">
        <v>2615</v>
      </c>
      <c r="BS2470" s="55">
        <f>3724+2400</f>
        <v>6124</v>
      </c>
      <c r="CB2470" s="66">
        <v>1501</v>
      </c>
      <c r="CC2470" s="66">
        <v>3922</v>
      </c>
      <c r="GP2470" s="292" t="s">
        <v>7494</v>
      </c>
    </row>
    <row r="2471" spans="1:198" x14ac:dyDescent="0.25">
      <c r="A2471" s="55">
        <v>2470</v>
      </c>
      <c r="B2471" s="12" t="s">
        <v>7067</v>
      </c>
      <c r="C2471" s="155">
        <v>118</v>
      </c>
      <c r="D2471" s="55" t="s">
        <v>4234</v>
      </c>
      <c r="E2471" s="90" t="s">
        <v>2612</v>
      </c>
      <c r="G2471" s="55" t="s">
        <v>2613</v>
      </c>
      <c r="H2471" s="55">
        <v>1995</v>
      </c>
      <c r="I2471" s="55">
        <v>2006</v>
      </c>
      <c r="J2471" s="55" t="s">
        <v>2619</v>
      </c>
      <c r="K2471" s="55" t="s">
        <v>2616</v>
      </c>
      <c r="L2471" s="55" t="s">
        <v>2748</v>
      </c>
      <c r="M2471" s="90">
        <f>-15.5</f>
        <v>-15.5</v>
      </c>
      <c r="N2471" s="90">
        <f>35+15/60</f>
        <v>35.25</v>
      </c>
      <c r="O2471" s="90">
        <v>1030</v>
      </c>
      <c r="R2471" s="55">
        <v>551</v>
      </c>
      <c r="S2471" s="90">
        <v>1024</v>
      </c>
      <c r="U2471" s="55" t="s">
        <v>1682</v>
      </c>
      <c r="V2471" s="55" t="s">
        <v>1889</v>
      </c>
      <c r="Y2471" s="55" t="s">
        <v>2614</v>
      </c>
      <c r="Z2471" s="55" t="s">
        <v>1346</v>
      </c>
      <c r="AA2471" s="90" t="s">
        <v>1675</v>
      </c>
      <c r="AE2471" s="90">
        <v>46</v>
      </c>
      <c r="AF2471" s="90">
        <v>8</v>
      </c>
      <c r="AH2471" s="55" t="s">
        <v>2618</v>
      </c>
      <c r="AI2471" s="168">
        <v>5.9</v>
      </c>
      <c r="AJ2471" s="90">
        <v>0.88</v>
      </c>
      <c r="AM2471" s="55" t="s">
        <v>2617</v>
      </c>
      <c r="AN2471" s="185" t="s">
        <v>2620</v>
      </c>
      <c r="AO2471" s="185" t="s">
        <v>5150</v>
      </c>
      <c r="AQ2471" s="55" t="s">
        <v>4233</v>
      </c>
      <c r="AR2471" s="55" t="s">
        <v>1607</v>
      </c>
      <c r="AS2471" s="55" t="s">
        <v>132</v>
      </c>
      <c r="AT2471" s="181" t="s">
        <v>176</v>
      </c>
      <c r="AU2471" s="181" t="s">
        <v>5150</v>
      </c>
      <c r="AV2471" s="185" t="s">
        <v>176</v>
      </c>
      <c r="AW2471" s="55" t="s">
        <v>176</v>
      </c>
      <c r="AX2471" s="185" t="s">
        <v>176</v>
      </c>
      <c r="AY2471" s="55" t="s">
        <v>176</v>
      </c>
      <c r="BE2471" s="226" t="s">
        <v>161</v>
      </c>
      <c r="BF2471" s="191" t="s">
        <v>176</v>
      </c>
      <c r="BG2471" s="191" t="s">
        <v>176</v>
      </c>
      <c r="BH2471" s="226" t="s">
        <v>161</v>
      </c>
      <c r="BI2471" s="191" t="s">
        <v>176</v>
      </c>
      <c r="BJ2471" s="55" t="s">
        <v>176</v>
      </c>
      <c r="BK2471" s="55" t="s">
        <v>6333</v>
      </c>
      <c r="BM2471" s="192" t="s">
        <v>160</v>
      </c>
      <c r="BN2471" s="55">
        <v>3</v>
      </c>
      <c r="BO2471" s="55">
        <v>3</v>
      </c>
      <c r="BP2471" s="55">
        <v>3</v>
      </c>
      <c r="BQ2471" s="55" t="s">
        <v>2615</v>
      </c>
      <c r="BS2471" s="55">
        <f>3606.7+1421</f>
        <v>5027.7</v>
      </c>
      <c r="CB2471" s="66">
        <v>1490</v>
      </c>
      <c r="CC2471" s="66">
        <v>2984</v>
      </c>
      <c r="GP2471" s="292" t="s">
        <v>7494</v>
      </c>
    </row>
    <row r="2472" spans="1:198" x14ac:dyDescent="0.25">
      <c r="A2472" s="55">
        <v>2471</v>
      </c>
      <c r="B2472" s="12" t="s">
        <v>7067</v>
      </c>
      <c r="C2472" s="155">
        <v>118</v>
      </c>
      <c r="D2472" s="55" t="s">
        <v>4234</v>
      </c>
      <c r="E2472" s="90" t="s">
        <v>2612</v>
      </c>
      <c r="G2472" s="55" t="s">
        <v>2613</v>
      </c>
      <c r="H2472" s="55">
        <v>1996</v>
      </c>
      <c r="I2472" s="55">
        <v>2006</v>
      </c>
      <c r="J2472" s="55" t="s">
        <v>2619</v>
      </c>
      <c r="K2472" s="55" t="s">
        <v>2616</v>
      </c>
      <c r="L2472" s="55" t="s">
        <v>2748</v>
      </c>
      <c r="M2472" s="90">
        <f>-15.5</f>
        <v>-15.5</v>
      </c>
      <c r="N2472" s="90">
        <f>35+15/60</f>
        <v>35.25</v>
      </c>
      <c r="O2472" s="90">
        <v>1030</v>
      </c>
      <c r="R2472" s="55">
        <v>970</v>
      </c>
      <c r="S2472" s="90">
        <v>1024</v>
      </c>
      <c r="U2472" s="55" t="s">
        <v>1801</v>
      </c>
      <c r="V2472" s="55" t="s">
        <v>1889</v>
      </c>
      <c r="Y2472" s="55" t="s">
        <v>2614</v>
      </c>
      <c r="Z2472" s="55" t="s">
        <v>1346</v>
      </c>
      <c r="AA2472" s="90" t="s">
        <v>1675</v>
      </c>
      <c r="AE2472" s="90">
        <v>46</v>
      </c>
      <c r="AF2472" s="90">
        <v>8</v>
      </c>
      <c r="AH2472" s="55" t="s">
        <v>2618</v>
      </c>
      <c r="AI2472" s="168">
        <v>5.9</v>
      </c>
      <c r="AJ2472" s="90">
        <v>0.88</v>
      </c>
      <c r="AM2472" s="55" t="s">
        <v>2617</v>
      </c>
      <c r="AN2472" s="185" t="s">
        <v>2620</v>
      </c>
      <c r="AO2472" s="185" t="s">
        <v>5150</v>
      </c>
      <c r="AQ2472" s="55" t="s">
        <v>4233</v>
      </c>
      <c r="AR2472" s="55" t="s">
        <v>1607</v>
      </c>
      <c r="AS2472" s="55" t="s">
        <v>132</v>
      </c>
      <c r="AT2472" s="181" t="s">
        <v>176</v>
      </c>
      <c r="AU2472" s="181" t="s">
        <v>5150</v>
      </c>
      <c r="AV2472" s="185" t="s">
        <v>176</v>
      </c>
      <c r="AW2472" s="55" t="s">
        <v>176</v>
      </c>
      <c r="AX2472" s="185" t="s">
        <v>176</v>
      </c>
      <c r="AY2472" s="55" t="s">
        <v>176</v>
      </c>
      <c r="BE2472" s="226" t="s">
        <v>161</v>
      </c>
      <c r="BF2472" s="191" t="s">
        <v>176</v>
      </c>
      <c r="BG2472" s="191" t="s">
        <v>176</v>
      </c>
      <c r="BH2472" s="226" t="s">
        <v>161</v>
      </c>
      <c r="BI2472" s="191" t="s">
        <v>176</v>
      </c>
      <c r="BJ2472" s="55" t="s">
        <v>176</v>
      </c>
      <c r="BK2472" s="55" t="s">
        <v>6333</v>
      </c>
      <c r="BM2472" s="192" t="s">
        <v>160</v>
      </c>
      <c r="BN2472" s="55">
        <v>3</v>
      </c>
      <c r="BO2472" s="55">
        <v>3</v>
      </c>
      <c r="BP2472" s="55">
        <v>3</v>
      </c>
      <c r="BQ2472" s="55" t="s">
        <v>2615</v>
      </c>
      <c r="BS2472" s="55">
        <f>4723+1394</f>
        <v>6117</v>
      </c>
      <c r="CB2472" s="66">
        <v>1200</v>
      </c>
      <c r="CC2472" s="66">
        <v>5302</v>
      </c>
      <c r="GP2472" s="292" t="s">
        <v>7494</v>
      </c>
    </row>
    <row r="2473" spans="1:198" x14ac:dyDescent="0.25">
      <c r="A2473" s="55">
        <v>2472</v>
      </c>
      <c r="B2473" s="12" t="s">
        <v>7067</v>
      </c>
      <c r="C2473" s="155">
        <v>118</v>
      </c>
      <c r="D2473" s="55" t="s">
        <v>4234</v>
      </c>
      <c r="E2473" s="90" t="s">
        <v>2612</v>
      </c>
      <c r="G2473" s="55" t="s">
        <v>2613</v>
      </c>
      <c r="H2473" s="55">
        <v>1997</v>
      </c>
      <c r="I2473" s="55">
        <v>2006</v>
      </c>
      <c r="J2473" s="55" t="s">
        <v>2619</v>
      </c>
      <c r="K2473" s="55" t="s">
        <v>2616</v>
      </c>
      <c r="L2473" s="55" t="s">
        <v>2748</v>
      </c>
      <c r="M2473" s="90">
        <f>-15.5</f>
        <v>-15.5</v>
      </c>
      <c r="N2473" s="90">
        <f>35+15/60</f>
        <v>35.25</v>
      </c>
      <c r="O2473" s="90">
        <v>1030</v>
      </c>
      <c r="R2473" s="55">
        <v>1612</v>
      </c>
      <c r="S2473" s="90">
        <v>1024</v>
      </c>
      <c r="U2473" s="55" t="s">
        <v>1694</v>
      </c>
      <c r="V2473" s="55" t="s">
        <v>1889</v>
      </c>
      <c r="Y2473" s="55" t="s">
        <v>2614</v>
      </c>
      <c r="Z2473" s="55" t="s">
        <v>1346</v>
      </c>
      <c r="AA2473" s="90" t="s">
        <v>1675</v>
      </c>
      <c r="AE2473" s="90">
        <v>46</v>
      </c>
      <c r="AF2473" s="90">
        <v>8</v>
      </c>
      <c r="AH2473" s="55" t="s">
        <v>2618</v>
      </c>
      <c r="AI2473" s="168">
        <v>5.9</v>
      </c>
      <c r="AJ2473" s="90">
        <v>0.88</v>
      </c>
      <c r="AM2473" s="55" t="s">
        <v>2617</v>
      </c>
      <c r="AN2473" s="185" t="s">
        <v>2620</v>
      </c>
      <c r="AO2473" s="185" t="s">
        <v>5150</v>
      </c>
      <c r="AQ2473" s="55" t="s">
        <v>4233</v>
      </c>
      <c r="AR2473" s="55" t="s">
        <v>1607</v>
      </c>
      <c r="AS2473" s="55" t="s">
        <v>132</v>
      </c>
      <c r="AT2473" s="181" t="s">
        <v>176</v>
      </c>
      <c r="AU2473" s="181" t="s">
        <v>5150</v>
      </c>
      <c r="AV2473" s="185" t="s">
        <v>176</v>
      </c>
      <c r="AW2473" s="55" t="s">
        <v>176</v>
      </c>
      <c r="AX2473" s="185" t="s">
        <v>176</v>
      </c>
      <c r="AY2473" s="55" t="s">
        <v>176</v>
      </c>
      <c r="BE2473" s="226" t="s">
        <v>161</v>
      </c>
      <c r="BF2473" s="191" t="s">
        <v>176</v>
      </c>
      <c r="BG2473" s="191" t="s">
        <v>176</v>
      </c>
      <c r="BH2473" s="226" t="s">
        <v>161</v>
      </c>
      <c r="BI2473" s="191" t="s">
        <v>176</v>
      </c>
      <c r="BJ2473" s="55" t="s">
        <v>176</v>
      </c>
      <c r="BK2473" s="55" t="s">
        <v>6333</v>
      </c>
      <c r="BM2473" s="192" t="s">
        <v>160</v>
      </c>
      <c r="BN2473" s="55">
        <v>3</v>
      </c>
      <c r="BO2473" s="55">
        <v>3</v>
      </c>
      <c r="BP2473" s="55">
        <v>3</v>
      </c>
      <c r="BQ2473" s="55" t="s">
        <v>2615</v>
      </c>
      <c r="BS2473" s="55">
        <f>5698+1406.7</f>
        <v>7104.7</v>
      </c>
      <c r="BT2473" s="55">
        <f>BS2473/(302+281+293)*3</f>
        <v>24.331164383561642</v>
      </c>
      <c r="CB2473" s="66">
        <v>529</v>
      </c>
      <c r="CC2473" s="66">
        <v>3356</v>
      </c>
      <c r="GP2473" s="292" t="s">
        <v>7494</v>
      </c>
    </row>
    <row r="2474" spans="1:198" x14ac:dyDescent="0.25">
      <c r="A2474" s="55">
        <v>2473</v>
      </c>
      <c r="B2474" s="12" t="s">
        <v>7067</v>
      </c>
      <c r="C2474" s="155">
        <v>118</v>
      </c>
      <c r="D2474" s="55" t="s">
        <v>4234</v>
      </c>
      <c r="E2474" s="90" t="s">
        <v>2612</v>
      </c>
      <c r="G2474" s="55" t="s">
        <v>2613</v>
      </c>
      <c r="H2474" s="55">
        <v>1998</v>
      </c>
      <c r="I2474" s="55">
        <v>2006</v>
      </c>
      <c r="J2474" s="55" t="s">
        <v>2619</v>
      </c>
      <c r="K2474" s="55" t="s">
        <v>2616</v>
      </c>
      <c r="L2474" s="55" t="s">
        <v>2748</v>
      </c>
      <c r="M2474" s="90">
        <f>-15.5</f>
        <v>-15.5</v>
      </c>
      <c r="N2474" s="90">
        <f>35+15/60</f>
        <v>35.25</v>
      </c>
      <c r="O2474" s="90">
        <v>1030</v>
      </c>
      <c r="R2474" s="55">
        <v>1015</v>
      </c>
      <c r="S2474" s="90">
        <v>1024</v>
      </c>
      <c r="U2474" s="55" t="s">
        <v>1940</v>
      </c>
      <c r="V2474" s="55" t="s">
        <v>1889</v>
      </c>
      <c r="Y2474" s="55" t="s">
        <v>2614</v>
      </c>
      <c r="Z2474" s="55" t="s">
        <v>1346</v>
      </c>
      <c r="AA2474" s="90" t="s">
        <v>1675</v>
      </c>
      <c r="AE2474" s="90">
        <v>46</v>
      </c>
      <c r="AF2474" s="90">
        <v>8</v>
      </c>
      <c r="AH2474" s="55" t="s">
        <v>2618</v>
      </c>
      <c r="AI2474" s="168">
        <v>5.9</v>
      </c>
      <c r="AJ2474" s="90">
        <v>0.88</v>
      </c>
      <c r="AM2474" s="55" t="s">
        <v>2617</v>
      </c>
      <c r="AN2474" s="185" t="s">
        <v>2620</v>
      </c>
      <c r="AO2474" s="185" t="s">
        <v>5150</v>
      </c>
      <c r="AQ2474" s="55" t="s">
        <v>4233</v>
      </c>
      <c r="AR2474" s="55" t="s">
        <v>1607</v>
      </c>
      <c r="AS2474" s="55" t="s">
        <v>132</v>
      </c>
      <c r="AT2474" s="181" t="s">
        <v>176</v>
      </c>
      <c r="AU2474" s="181" t="s">
        <v>5150</v>
      </c>
      <c r="AV2474" s="185" t="s">
        <v>176</v>
      </c>
      <c r="AW2474" s="55" t="s">
        <v>176</v>
      </c>
      <c r="AX2474" s="185" t="s">
        <v>176</v>
      </c>
      <c r="AY2474" s="55" t="s">
        <v>176</v>
      </c>
      <c r="BE2474" s="226" t="s">
        <v>161</v>
      </c>
      <c r="BF2474" s="191" t="s">
        <v>176</v>
      </c>
      <c r="BG2474" s="191" t="s">
        <v>176</v>
      </c>
      <c r="BH2474" s="226" t="s">
        <v>161</v>
      </c>
      <c r="BI2474" s="191" t="s">
        <v>176</v>
      </c>
      <c r="BJ2474" s="55" t="s">
        <v>176</v>
      </c>
      <c r="BK2474" s="55" t="s">
        <v>6333</v>
      </c>
      <c r="BM2474" s="192" t="s">
        <v>160</v>
      </c>
      <c r="BN2474" s="55">
        <v>3</v>
      </c>
      <c r="BO2474" s="55">
        <v>3</v>
      </c>
      <c r="BP2474" s="55">
        <v>3</v>
      </c>
      <c r="BQ2474" s="55" t="s">
        <v>2615</v>
      </c>
      <c r="BS2474" s="55">
        <f>6904+2110</f>
        <v>9014</v>
      </c>
      <c r="BT2474" s="55">
        <f>BS2474/(293+281+191)*3</f>
        <v>35.34901960784314</v>
      </c>
      <c r="CB2474" s="66">
        <v>1073</v>
      </c>
      <c r="CC2474" s="66">
        <v>4322</v>
      </c>
      <c r="GP2474" s="292" t="s">
        <v>7494</v>
      </c>
    </row>
    <row r="2475" spans="1:198" x14ac:dyDescent="0.25">
      <c r="A2475" s="55">
        <v>2474</v>
      </c>
      <c r="B2475" s="12" t="s">
        <v>7067</v>
      </c>
      <c r="C2475" s="155">
        <v>118</v>
      </c>
      <c r="D2475" s="55" t="s">
        <v>4234</v>
      </c>
      <c r="E2475" s="90" t="s">
        <v>2612</v>
      </c>
      <c r="G2475" s="55" t="s">
        <v>2613</v>
      </c>
      <c r="H2475" s="55">
        <v>1999</v>
      </c>
      <c r="I2475" s="55">
        <v>2006</v>
      </c>
      <c r="J2475" s="55" t="s">
        <v>2619</v>
      </c>
      <c r="K2475" s="55" t="s">
        <v>2616</v>
      </c>
      <c r="L2475" s="55" t="s">
        <v>2748</v>
      </c>
      <c r="M2475" s="90">
        <f>-15.5</f>
        <v>-15.5</v>
      </c>
      <c r="N2475" s="90">
        <f>35+15/60</f>
        <v>35.25</v>
      </c>
      <c r="O2475" s="90">
        <v>1030</v>
      </c>
      <c r="R2475" s="55">
        <v>1194</v>
      </c>
      <c r="S2475" s="90">
        <v>1024</v>
      </c>
      <c r="U2475" s="55" t="s">
        <v>1933</v>
      </c>
      <c r="V2475" s="55" t="s">
        <v>1889</v>
      </c>
      <c r="Y2475" s="55" t="s">
        <v>2614</v>
      </c>
      <c r="Z2475" s="55" t="s">
        <v>1346</v>
      </c>
      <c r="AA2475" s="90" t="s">
        <v>1675</v>
      </c>
      <c r="AE2475" s="90">
        <v>46</v>
      </c>
      <c r="AF2475" s="90">
        <v>8</v>
      </c>
      <c r="AH2475" s="55" t="s">
        <v>2618</v>
      </c>
      <c r="AI2475" s="168">
        <v>5.9</v>
      </c>
      <c r="AJ2475" s="90">
        <v>0.88</v>
      </c>
      <c r="AM2475" s="55" t="s">
        <v>2617</v>
      </c>
      <c r="AN2475" s="185" t="s">
        <v>2620</v>
      </c>
      <c r="AO2475" s="185" t="s">
        <v>5150</v>
      </c>
      <c r="AQ2475" s="55" t="s">
        <v>4233</v>
      </c>
      <c r="AR2475" s="55" t="s">
        <v>1607</v>
      </c>
      <c r="AS2475" s="55" t="s">
        <v>132</v>
      </c>
      <c r="AT2475" s="181" t="s">
        <v>176</v>
      </c>
      <c r="AU2475" s="181" t="s">
        <v>5150</v>
      </c>
      <c r="AV2475" s="185" t="s">
        <v>176</v>
      </c>
      <c r="AW2475" s="55" t="s">
        <v>176</v>
      </c>
      <c r="AX2475" s="185" t="s">
        <v>176</v>
      </c>
      <c r="AY2475" s="55" t="s">
        <v>176</v>
      </c>
      <c r="BE2475" s="226" t="s">
        <v>161</v>
      </c>
      <c r="BF2475" s="191" t="s">
        <v>176</v>
      </c>
      <c r="BG2475" s="191" t="s">
        <v>176</v>
      </c>
      <c r="BH2475" s="226" t="s">
        <v>161</v>
      </c>
      <c r="BI2475" s="191" t="s">
        <v>176</v>
      </c>
      <c r="BJ2475" s="55" t="s">
        <v>176</v>
      </c>
      <c r="BK2475" s="55" t="s">
        <v>6333</v>
      </c>
      <c r="BM2475" s="192" t="s">
        <v>160</v>
      </c>
      <c r="BN2475" s="55">
        <v>3</v>
      </c>
      <c r="BO2475" s="55">
        <v>3</v>
      </c>
      <c r="BP2475" s="55">
        <v>3</v>
      </c>
      <c r="BQ2475" s="55" t="s">
        <v>2615</v>
      </c>
      <c r="BS2475" s="55">
        <f>5681+3354</f>
        <v>9035</v>
      </c>
      <c r="CB2475" s="66">
        <v>1015</v>
      </c>
      <c r="CC2475" s="66">
        <v>4487</v>
      </c>
      <c r="GP2475" s="292" t="s">
        <v>7494</v>
      </c>
    </row>
    <row r="2476" spans="1:198" x14ac:dyDescent="0.25">
      <c r="A2476" s="55">
        <v>2475</v>
      </c>
      <c r="B2476" s="12" t="s">
        <v>7067</v>
      </c>
      <c r="C2476" s="155">
        <v>118</v>
      </c>
      <c r="D2476" s="55" t="s">
        <v>4234</v>
      </c>
      <c r="E2476" s="90" t="s">
        <v>2612</v>
      </c>
      <c r="G2476" s="55" t="s">
        <v>2613</v>
      </c>
      <c r="H2476" s="55">
        <v>2000</v>
      </c>
      <c r="I2476" s="55">
        <v>2006</v>
      </c>
      <c r="J2476" s="55" t="s">
        <v>2619</v>
      </c>
      <c r="K2476" s="55" t="s">
        <v>2616</v>
      </c>
      <c r="L2476" s="55" t="s">
        <v>2748</v>
      </c>
      <c r="M2476" s="90">
        <f>-15.5</f>
        <v>-15.5</v>
      </c>
      <c r="N2476" s="90">
        <f>35+15/60</f>
        <v>35.25</v>
      </c>
      <c r="O2476" s="90">
        <v>1030</v>
      </c>
      <c r="R2476" s="55">
        <v>786</v>
      </c>
      <c r="S2476" s="90">
        <v>1024</v>
      </c>
      <c r="U2476" s="55" t="s">
        <v>1679</v>
      </c>
      <c r="V2476" s="55" t="s">
        <v>1889</v>
      </c>
      <c r="Y2476" s="55" t="s">
        <v>2614</v>
      </c>
      <c r="Z2476" s="55" t="s">
        <v>1346</v>
      </c>
      <c r="AA2476" s="90" t="s">
        <v>1675</v>
      </c>
      <c r="AE2476" s="90">
        <v>46</v>
      </c>
      <c r="AF2476" s="90">
        <v>8</v>
      </c>
      <c r="AH2476" s="55" t="s">
        <v>2618</v>
      </c>
      <c r="AI2476" s="168">
        <v>5.9</v>
      </c>
      <c r="AJ2476" s="90">
        <v>0.88</v>
      </c>
      <c r="AM2476" s="55" t="s">
        <v>2617</v>
      </c>
      <c r="AN2476" s="185" t="s">
        <v>2620</v>
      </c>
      <c r="AO2476" s="185" t="s">
        <v>5150</v>
      </c>
      <c r="AQ2476" s="55" t="s">
        <v>4233</v>
      </c>
      <c r="AR2476" s="55" t="s">
        <v>1607</v>
      </c>
      <c r="AS2476" s="55" t="s">
        <v>132</v>
      </c>
      <c r="AT2476" s="181" t="s">
        <v>176</v>
      </c>
      <c r="AU2476" s="181" t="s">
        <v>5150</v>
      </c>
      <c r="AV2476" s="185" t="s">
        <v>176</v>
      </c>
      <c r="AW2476" s="55" t="s">
        <v>176</v>
      </c>
      <c r="AX2476" s="185" t="s">
        <v>176</v>
      </c>
      <c r="AY2476" s="55" t="s">
        <v>176</v>
      </c>
      <c r="BE2476" s="226" t="s">
        <v>161</v>
      </c>
      <c r="BF2476" s="191" t="s">
        <v>176</v>
      </c>
      <c r="BG2476" s="191" t="s">
        <v>176</v>
      </c>
      <c r="BH2476" s="226" t="s">
        <v>161</v>
      </c>
      <c r="BI2476" s="191" t="s">
        <v>176</v>
      </c>
      <c r="BJ2476" s="55" t="s">
        <v>176</v>
      </c>
      <c r="BK2476" s="55" t="s">
        <v>6333</v>
      </c>
      <c r="BM2476" s="192" t="s">
        <v>160</v>
      </c>
      <c r="BN2476" s="55">
        <v>3</v>
      </c>
      <c r="BO2476" s="55">
        <v>3</v>
      </c>
      <c r="BP2476" s="55">
        <v>3</v>
      </c>
      <c r="BQ2476" s="55" t="s">
        <v>2615</v>
      </c>
      <c r="BS2476" s="55">
        <f>4227+3365</f>
        <v>7592</v>
      </c>
      <c r="CB2476" s="66">
        <v>804</v>
      </c>
      <c r="CC2476" s="66">
        <v>2309</v>
      </c>
      <c r="GP2476" s="292" t="s">
        <v>7494</v>
      </c>
    </row>
    <row r="2477" spans="1:198" x14ac:dyDescent="0.25">
      <c r="A2477" s="55">
        <v>2476</v>
      </c>
      <c r="B2477" s="12" t="s">
        <v>7067</v>
      </c>
      <c r="C2477" s="155">
        <v>118</v>
      </c>
      <c r="D2477" s="55" t="s">
        <v>4234</v>
      </c>
      <c r="E2477" s="90" t="s">
        <v>2612</v>
      </c>
      <c r="G2477" s="55" t="s">
        <v>2613</v>
      </c>
      <c r="H2477" s="55">
        <v>2001</v>
      </c>
      <c r="I2477" s="55">
        <v>2006</v>
      </c>
      <c r="J2477" s="55" t="s">
        <v>2619</v>
      </c>
      <c r="K2477" s="55" t="s">
        <v>2616</v>
      </c>
      <c r="L2477" s="55" t="s">
        <v>2748</v>
      </c>
      <c r="M2477" s="90">
        <f>-15.5</f>
        <v>-15.5</v>
      </c>
      <c r="N2477" s="90">
        <f>35+15/60</f>
        <v>35.25</v>
      </c>
      <c r="O2477" s="90">
        <v>1030</v>
      </c>
      <c r="R2477" s="55">
        <v>1225</v>
      </c>
      <c r="S2477" s="90">
        <v>1024</v>
      </c>
      <c r="U2477" s="55" t="s">
        <v>1818</v>
      </c>
      <c r="V2477" s="55" t="s">
        <v>1889</v>
      </c>
      <c r="Y2477" s="55" t="s">
        <v>2614</v>
      </c>
      <c r="Z2477" s="55" t="s">
        <v>1346</v>
      </c>
      <c r="AA2477" s="90" t="s">
        <v>1675</v>
      </c>
      <c r="AE2477" s="90">
        <v>46</v>
      </c>
      <c r="AF2477" s="90">
        <v>8</v>
      </c>
      <c r="AH2477" s="55" t="s">
        <v>2618</v>
      </c>
      <c r="AI2477" s="168">
        <v>5.9</v>
      </c>
      <c r="AJ2477" s="90">
        <v>0.88</v>
      </c>
      <c r="AM2477" s="55" t="s">
        <v>2617</v>
      </c>
      <c r="AN2477" s="185" t="s">
        <v>2620</v>
      </c>
      <c r="AO2477" s="185" t="s">
        <v>5150</v>
      </c>
      <c r="AQ2477" s="55" t="s">
        <v>4233</v>
      </c>
      <c r="AR2477" s="55" t="s">
        <v>1607</v>
      </c>
      <c r="AS2477" s="55" t="s">
        <v>132</v>
      </c>
      <c r="AT2477" s="181" t="s">
        <v>176</v>
      </c>
      <c r="AU2477" s="181" t="s">
        <v>5150</v>
      </c>
      <c r="AV2477" s="185" t="s">
        <v>176</v>
      </c>
      <c r="AW2477" s="55" t="s">
        <v>176</v>
      </c>
      <c r="AX2477" s="185" t="s">
        <v>176</v>
      </c>
      <c r="AY2477" s="55" t="s">
        <v>176</v>
      </c>
      <c r="BE2477" s="226" t="s">
        <v>161</v>
      </c>
      <c r="BF2477" s="191" t="s">
        <v>176</v>
      </c>
      <c r="BG2477" s="191" t="s">
        <v>176</v>
      </c>
      <c r="BH2477" s="226" t="s">
        <v>161</v>
      </c>
      <c r="BI2477" s="191" t="s">
        <v>176</v>
      </c>
      <c r="BJ2477" s="55" t="s">
        <v>176</v>
      </c>
      <c r="BK2477" s="55" t="s">
        <v>6333</v>
      </c>
      <c r="BM2477" s="192" t="s">
        <v>160</v>
      </c>
      <c r="BN2477" s="55">
        <v>3</v>
      </c>
      <c r="BO2477" s="55">
        <v>3</v>
      </c>
      <c r="BP2477" s="55">
        <v>3</v>
      </c>
      <c r="BQ2477" s="55" t="s">
        <v>2615</v>
      </c>
      <c r="BS2477" s="55">
        <f>5600+4494</f>
        <v>10094</v>
      </c>
      <c r="CB2477" s="66">
        <v>857</v>
      </c>
      <c r="CC2477" s="66">
        <v>5059</v>
      </c>
      <c r="GP2477" s="292" t="s">
        <v>7494</v>
      </c>
    </row>
    <row r="2478" spans="1:198" x14ac:dyDescent="0.25">
      <c r="A2478" s="55">
        <v>2477</v>
      </c>
      <c r="B2478" s="12" t="s">
        <v>7067</v>
      </c>
      <c r="C2478" s="155">
        <v>118</v>
      </c>
      <c r="D2478" s="55" t="s">
        <v>4234</v>
      </c>
      <c r="E2478" s="90" t="s">
        <v>2612</v>
      </c>
      <c r="G2478" s="55" t="s">
        <v>2613</v>
      </c>
      <c r="H2478" s="55">
        <v>2002</v>
      </c>
      <c r="I2478" s="55">
        <v>2006</v>
      </c>
      <c r="J2478" s="55" t="s">
        <v>2619</v>
      </c>
      <c r="K2478" s="55" t="s">
        <v>2616</v>
      </c>
      <c r="L2478" s="55" t="s">
        <v>2748</v>
      </c>
      <c r="M2478" s="90">
        <f>-15.5</f>
        <v>-15.5</v>
      </c>
      <c r="N2478" s="90">
        <f>35+15/60</f>
        <v>35.25</v>
      </c>
      <c r="O2478" s="90">
        <v>1030</v>
      </c>
      <c r="R2478" s="55">
        <v>820</v>
      </c>
      <c r="S2478" s="90">
        <v>1024</v>
      </c>
      <c r="U2478" s="55" t="s">
        <v>1889</v>
      </c>
      <c r="V2478" s="55" t="s">
        <v>1889</v>
      </c>
      <c r="Y2478" s="55" t="s">
        <v>2614</v>
      </c>
      <c r="Z2478" s="55" t="s">
        <v>1346</v>
      </c>
      <c r="AA2478" s="90" t="s">
        <v>1675</v>
      </c>
      <c r="AE2478" s="90">
        <v>46</v>
      </c>
      <c r="AF2478" s="90">
        <v>8</v>
      </c>
      <c r="AH2478" s="55" t="s">
        <v>2618</v>
      </c>
      <c r="AI2478" s="168">
        <v>5.9</v>
      </c>
      <c r="AJ2478" s="90">
        <v>0.88</v>
      </c>
      <c r="AM2478" s="55" t="s">
        <v>2617</v>
      </c>
      <c r="AN2478" s="185" t="s">
        <v>2620</v>
      </c>
      <c r="AO2478" s="185" t="s">
        <v>5150</v>
      </c>
      <c r="AQ2478" s="55" t="s">
        <v>4233</v>
      </c>
      <c r="AR2478" s="55" t="s">
        <v>1607</v>
      </c>
      <c r="AS2478" s="55" t="s">
        <v>132</v>
      </c>
      <c r="AT2478" s="181" t="s">
        <v>176</v>
      </c>
      <c r="AU2478" s="181" t="s">
        <v>5150</v>
      </c>
      <c r="AV2478" s="185" t="s">
        <v>176</v>
      </c>
      <c r="AW2478" s="55" t="s">
        <v>176</v>
      </c>
      <c r="AX2478" s="185" t="s">
        <v>176</v>
      </c>
      <c r="AY2478" s="55" t="s">
        <v>176</v>
      </c>
      <c r="BE2478" s="226" t="s">
        <v>161</v>
      </c>
      <c r="BF2478" s="191" t="s">
        <v>176</v>
      </c>
      <c r="BG2478" s="191" t="s">
        <v>176</v>
      </c>
      <c r="BH2478" s="226" t="s">
        <v>161</v>
      </c>
      <c r="BI2478" s="191" t="s">
        <v>176</v>
      </c>
      <c r="BJ2478" s="55" t="s">
        <v>176</v>
      </c>
      <c r="BK2478" s="55" t="s">
        <v>6333</v>
      </c>
      <c r="BM2478" s="192" t="s">
        <v>160</v>
      </c>
      <c r="BN2478" s="55">
        <v>3</v>
      </c>
      <c r="BO2478" s="55">
        <v>3</v>
      </c>
      <c r="BP2478" s="55">
        <v>3</v>
      </c>
      <c r="BQ2478" s="55" t="s">
        <v>2615</v>
      </c>
      <c r="BS2478" s="55">
        <f>4891+3991</f>
        <v>8882</v>
      </c>
      <c r="CB2478" s="66">
        <v>1000</v>
      </c>
      <c r="CC2478" s="66">
        <v>4150</v>
      </c>
      <c r="GP2478" s="292" t="s">
        <v>7494</v>
      </c>
    </row>
    <row r="2479" spans="1:198" x14ac:dyDescent="0.25">
      <c r="A2479" s="55">
        <v>2478</v>
      </c>
      <c r="B2479" s="12" t="s">
        <v>7067</v>
      </c>
      <c r="C2479" s="155">
        <v>118</v>
      </c>
      <c r="D2479" s="55" t="s">
        <v>4235</v>
      </c>
      <c r="E2479" s="90" t="s">
        <v>2612</v>
      </c>
      <c r="G2479" s="55" t="s">
        <v>2613</v>
      </c>
      <c r="H2479" s="55">
        <v>1993</v>
      </c>
      <c r="I2479" s="55">
        <v>2006</v>
      </c>
      <c r="J2479" s="55" t="s">
        <v>2619</v>
      </c>
      <c r="K2479" s="55" t="s">
        <v>2616</v>
      </c>
      <c r="L2479" s="55" t="s">
        <v>2748</v>
      </c>
      <c r="M2479" s="90">
        <f>-15.5</f>
        <v>-15.5</v>
      </c>
      <c r="N2479" s="90">
        <f>35+15/60</f>
        <v>35.25</v>
      </c>
      <c r="O2479" s="90">
        <v>1030</v>
      </c>
      <c r="R2479" s="55">
        <v>970</v>
      </c>
      <c r="S2479" s="90">
        <v>1024</v>
      </c>
      <c r="U2479" s="55" t="s">
        <v>1688</v>
      </c>
      <c r="V2479" s="55" t="s">
        <v>1889</v>
      </c>
      <c r="Y2479" s="55" t="s">
        <v>2614</v>
      </c>
      <c r="Z2479" s="55" t="s">
        <v>1346</v>
      </c>
      <c r="AA2479" s="90" t="s">
        <v>1675</v>
      </c>
      <c r="AE2479" s="90">
        <v>46</v>
      </c>
      <c r="AF2479" s="90">
        <v>8</v>
      </c>
      <c r="AH2479" s="55" t="s">
        <v>2618</v>
      </c>
      <c r="AI2479" s="168">
        <v>5.9</v>
      </c>
      <c r="AJ2479" s="90">
        <v>0.88</v>
      </c>
      <c r="AM2479" s="55" t="s">
        <v>2617</v>
      </c>
      <c r="AN2479" s="185" t="s">
        <v>2620</v>
      </c>
      <c r="AO2479" s="185" t="s">
        <v>5150</v>
      </c>
      <c r="AQ2479" s="55" t="s">
        <v>4233</v>
      </c>
      <c r="AR2479" s="55" t="s">
        <v>1607</v>
      </c>
      <c r="AS2479" s="55" t="s">
        <v>132</v>
      </c>
      <c r="AT2479" s="181" t="s">
        <v>176</v>
      </c>
      <c r="AU2479" s="181" t="s">
        <v>5150</v>
      </c>
      <c r="AV2479" s="185" t="s">
        <v>176</v>
      </c>
      <c r="AW2479" s="55" t="s">
        <v>176</v>
      </c>
      <c r="AX2479" s="185" t="s">
        <v>176</v>
      </c>
      <c r="AY2479" s="55" t="s">
        <v>176</v>
      </c>
      <c r="BE2479" s="226" t="s">
        <v>2621</v>
      </c>
      <c r="BF2479" s="191" t="s">
        <v>479</v>
      </c>
      <c r="BG2479" s="55" t="s">
        <v>479</v>
      </c>
      <c r="BH2479" s="226" t="s">
        <v>2621</v>
      </c>
      <c r="BI2479" s="55" t="s">
        <v>479</v>
      </c>
      <c r="BJ2479" s="55" t="s">
        <v>176</v>
      </c>
      <c r="BK2479" s="55" t="s">
        <v>6333</v>
      </c>
      <c r="BM2479" s="192" t="s">
        <v>160</v>
      </c>
      <c r="BN2479" s="55">
        <v>3</v>
      </c>
      <c r="BO2479" s="55">
        <v>3</v>
      </c>
      <c r="BP2479" s="55">
        <v>3</v>
      </c>
      <c r="BQ2479" s="55" t="s">
        <v>2615</v>
      </c>
      <c r="BS2479" s="55">
        <v>4129.8</v>
      </c>
      <c r="CB2479" s="66">
        <v>3418</v>
      </c>
      <c r="CC2479" s="66">
        <v>2982</v>
      </c>
      <c r="GP2479" s="292" t="s">
        <v>7494</v>
      </c>
    </row>
    <row r="2480" spans="1:198" x14ac:dyDescent="0.25">
      <c r="A2480" s="55">
        <v>2479</v>
      </c>
      <c r="B2480" s="12" t="s">
        <v>7067</v>
      </c>
      <c r="C2480" s="155">
        <v>118</v>
      </c>
      <c r="D2480" s="55" t="s">
        <v>4235</v>
      </c>
      <c r="E2480" s="90" t="s">
        <v>2612</v>
      </c>
      <c r="G2480" s="55" t="s">
        <v>2613</v>
      </c>
      <c r="H2480" s="55">
        <v>1994</v>
      </c>
      <c r="I2480" s="55">
        <v>2006</v>
      </c>
      <c r="J2480" s="55" t="s">
        <v>2619</v>
      </c>
      <c r="K2480" s="55" t="s">
        <v>2616</v>
      </c>
      <c r="L2480" s="55" t="s">
        <v>2748</v>
      </c>
      <c r="M2480" s="90">
        <f>-15.5</f>
        <v>-15.5</v>
      </c>
      <c r="N2480" s="90">
        <f>35+15/60</f>
        <v>35.25</v>
      </c>
      <c r="O2480" s="90">
        <v>1030</v>
      </c>
      <c r="R2480" s="55">
        <v>540</v>
      </c>
      <c r="S2480" s="90">
        <v>1024</v>
      </c>
      <c r="U2480" s="55" t="s">
        <v>1816</v>
      </c>
      <c r="V2480" s="55" t="s">
        <v>1889</v>
      </c>
      <c r="Y2480" s="55" t="s">
        <v>2614</v>
      </c>
      <c r="Z2480" s="55" t="s">
        <v>1346</v>
      </c>
      <c r="AA2480" s="90" t="s">
        <v>1675</v>
      </c>
      <c r="AE2480" s="90">
        <v>46</v>
      </c>
      <c r="AF2480" s="90">
        <v>8</v>
      </c>
      <c r="AH2480" s="55" t="s">
        <v>2618</v>
      </c>
      <c r="AI2480" s="168">
        <v>5.9</v>
      </c>
      <c r="AJ2480" s="90">
        <v>0.88</v>
      </c>
      <c r="AM2480" s="55" t="s">
        <v>2617</v>
      </c>
      <c r="AN2480" s="185" t="s">
        <v>2620</v>
      </c>
      <c r="AO2480" s="185" t="s">
        <v>5150</v>
      </c>
      <c r="AQ2480" s="55" t="s">
        <v>4233</v>
      </c>
      <c r="AR2480" s="55" t="s">
        <v>1607</v>
      </c>
      <c r="AS2480" s="55" t="s">
        <v>132</v>
      </c>
      <c r="AT2480" s="181" t="s">
        <v>176</v>
      </c>
      <c r="AU2480" s="181" t="s">
        <v>5150</v>
      </c>
      <c r="AV2480" s="185" t="s">
        <v>176</v>
      </c>
      <c r="AW2480" s="55" t="s">
        <v>176</v>
      </c>
      <c r="AX2480" s="185" t="s">
        <v>176</v>
      </c>
      <c r="AY2480" s="55" t="s">
        <v>176</v>
      </c>
      <c r="BE2480" s="226" t="s">
        <v>2621</v>
      </c>
      <c r="BF2480" s="191" t="s">
        <v>479</v>
      </c>
      <c r="BG2480" s="55" t="s">
        <v>479</v>
      </c>
      <c r="BH2480" s="226" t="s">
        <v>2621</v>
      </c>
      <c r="BI2480" s="55" t="s">
        <v>479</v>
      </c>
      <c r="BJ2480" s="55" t="s">
        <v>176</v>
      </c>
      <c r="BK2480" s="55" t="s">
        <v>6333</v>
      </c>
      <c r="BM2480" s="192" t="s">
        <v>160</v>
      </c>
      <c r="BN2480" s="55">
        <v>3</v>
      </c>
      <c r="BO2480" s="55">
        <v>3</v>
      </c>
      <c r="BP2480" s="55">
        <v>3</v>
      </c>
      <c r="BQ2480" s="55" t="s">
        <v>2615</v>
      </c>
      <c r="BS2480" s="55">
        <v>6124</v>
      </c>
      <c r="CB2480" s="66">
        <v>2111</v>
      </c>
      <c r="CC2480" s="66">
        <v>4446</v>
      </c>
      <c r="GP2480" s="292" t="s">
        <v>7494</v>
      </c>
    </row>
    <row r="2481" spans="1:198" x14ac:dyDescent="0.25">
      <c r="A2481" s="55">
        <v>2480</v>
      </c>
      <c r="B2481" s="12" t="s">
        <v>7067</v>
      </c>
      <c r="C2481" s="155">
        <v>118</v>
      </c>
      <c r="D2481" s="55" t="s">
        <v>4235</v>
      </c>
      <c r="E2481" s="90" t="s">
        <v>2612</v>
      </c>
      <c r="G2481" s="55" t="s">
        <v>2613</v>
      </c>
      <c r="H2481" s="55">
        <v>1995</v>
      </c>
      <c r="I2481" s="55">
        <v>2006</v>
      </c>
      <c r="J2481" s="55" t="s">
        <v>2619</v>
      </c>
      <c r="K2481" s="55" t="s">
        <v>2616</v>
      </c>
      <c r="L2481" s="55" t="s">
        <v>2748</v>
      </c>
      <c r="M2481" s="90">
        <f>-15.5</f>
        <v>-15.5</v>
      </c>
      <c r="N2481" s="90">
        <f>35+15/60</f>
        <v>35.25</v>
      </c>
      <c r="O2481" s="90">
        <v>1030</v>
      </c>
      <c r="R2481" s="55">
        <v>551</v>
      </c>
      <c r="S2481" s="90">
        <v>1024</v>
      </c>
      <c r="U2481" s="55" t="s">
        <v>1682</v>
      </c>
      <c r="V2481" s="55" t="s">
        <v>1889</v>
      </c>
      <c r="Y2481" s="55" t="s">
        <v>2614</v>
      </c>
      <c r="Z2481" s="55" t="s">
        <v>1346</v>
      </c>
      <c r="AA2481" s="90" t="s">
        <v>1675</v>
      </c>
      <c r="AE2481" s="90">
        <v>46</v>
      </c>
      <c r="AF2481" s="90">
        <v>8</v>
      </c>
      <c r="AH2481" s="55" t="s">
        <v>2618</v>
      </c>
      <c r="AI2481" s="168">
        <v>5.9</v>
      </c>
      <c r="AJ2481" s="90">
        <v>0.88</v>
      </c>
      <c r="AM2481" s="55" t="s">
        <v>2617</v>
      </c>
      <c r="AN2481" s="185" t="s">
        <v>2620</v>
      </c>
      <c r="AO2481" s="185" t="s">
        <v>5150</v>
      </c>
      <c r="AQ2481" s="55" t="s">
        <v>4233</v>
      </c>
      <c r="AR2481" s="55" t="s">
        <v>1607</v>
      </c>
      <c r="AS2481" s="55" t="s">
        <v>132</v>
      </c>
      <c r="AT2481" s="181" t="s">
        <v>176</v>
      </c>
      <c r="AU2481" s="181" t="s">
        <v>5150</v>
      </c>
      <c r="AV2481" s="185" t="s">
        <v>176</v>
      </c>
      <c r="AW2481" s="55" t="s">
        <v>176</v>
      </c>
      <c r="AX2481" s="185" t="s">
        <v>176</v>
      </c>
      <c r="AY2481" s="55" t="s">
        <v>176</v>
      </c>
      <c r="BE2481" s="226" t="s">
        <v>2621</v>
      </c>
      <c r="BF2481" s="191" t="s">
        <v>479</v>
      </c>
      <c r="BG2481" s="55" t="s">
        <v>479</v>
      </c>
      <c r="BH2481" s="226" t="s">
        <v>2621</v>
      </c>
      <c r="BI2481" s="55" t="s">
        <v>479</v>
      </c>
      <c r="BJ2481" s="55" t="s">
        <v>176</v>
      </c>
      <c r="BK2481" s="55" t="s">
        <v>6333</v>
      </c>
      <c r="BM2481" s="192" t="s">
        <v>160</v>
      </c>
      <c r="BN2481" s="55">
        <v>3</v>
      </c>
      <c r="BO2481" s="55">
        <v>3</v>
      </c>
      <c r="BP2481" s="55">
        <v>3</v>
      </c>
      <c r="BQ2481" s="55" t="s">
        <v>2615</v>
      </c>
      <c r="BS2481" s="55">
        <v>5027.7</v>
      </c>
      <c r="CB2481" s="66">
        <v>3108</v>
      </c>
      <c r="CC2481" s="66">
        <v>4092</v>
      </c>
      <c r="GP2481" s="292" t="s">
        <v>7494</v>
      </c>
    </row>
    <row r="2482" spans="1:198" x14ac:dyDescent="0.25">
      <c r="A2482" s="55">
        <v>2481</v>
      </c>
      <c r="B2482" s="12" t="s">
        <v>7067</v>
      </c>
      <c r="C2482" s="155">
        <v>118</v>
      </c>
      <c r="D2482" s="55" t="s">
        <v>4235</v>
      </c>
      <c r="E2482" s="90" t="s">
        <v>2612</v>
      </c>
      <c r="G2482" s="55" t="s">
        <v>2613</v>
      </c>
      <c r="H2482" s="55">
        <v>1996</v>
      </c>
      <c r="I2482" s="55">
        <v>2006</v>
      </c>
      <c r="J2482" s="55" t="s">
        <v>2619</v>
      </c>
      <c r="K2482" s="55" t="s">
        <v>2616</v>
      </c>
      <c r="L2482" s="55" t="s">
        <v>2748</v>
      </c>
      <c r="M2482" s="90">
        <f>-15.5</f>
        <v>-15.5</v>
      </c>
      <c r="N2482" s="90">
        <f>35+15/60</f>
        <v>35.25</v>
      </c>
      <c r="O2482" s="90">
        <v>1030</v>
      </c>
      <c r="R2482" s="55">
        <v>970</v>
      </c>
      <c r="S2482" s="90">
        <v>1024</v>
      </c>
      <c r="U2482" s="55" t="s">
        <v>1801</v>
      </c>
      <c r="V2482" s="55" t="s">
        <v>1889</v>
      </c>
      <c r="Y2482" s="55" t="s">
        <v>2614</v>
      </c>
      <c r="Z2482" s="55" t="s">
        <v>1346</v>
      </c>
      <c r="AA2482" s="90" t="s">
        <v>1675</v>
      </c>
      <c r="AE2482" s="90">
        <v>46</v>
      </c>
      <c r="AF2482" s="90">
        <v>8</v>
      </c>
      <c r="AH2482" s="55" t="s">
        <v>2618</v>
      </c>
      <c r="AI2482" s="168">
        <v>5.9</v>
      </c>
      <c r="AJ2482" s="90">
        <v>0.88</v>
      </c>
      <c r="AM2482" s="55" t="s">
        <v>2617</v>
      </c>
      <c r="AN2482" s="185" t="s">
        <v>2620</v>
      </c>
      <c r="AO2482" s="185" t="s">
        <v>5150</v>
      </c>
      <c r="AQ2482" s="55" t="s">
        <v>4233</v>
      </c>
      <c r="AR2482" s="55" t="s">
        <v>1607</v>
      </c>
      <c r="AS2482" s="55" t="s">
        <v>132</v>
      </c>
      <c r="AT2482" s="181" t="s">
        <v>176</v>
      </c>
      <c r="AU2482" s="181" t="s">
        <v>5150</v>
      </c>
      <c r="AV2482" s="185" t="s">
        <v>176</v>
      </c>
      <c r="AW2482" s="55" t="s">
        <v>176</v>
      </c>
      <c r="AX2482" s="185" t="s">
        <v>176</v>
      </c>
      <c r="AY2482" s="55" t="s">
        <v>176</v>
      </c>
      <c r="BE2482" s="226" t="s">
        <v>2621</v>
      </c>
      <c r="BF2482" s="191" t="s">
        <v>479</v>
      </c>
      <c r="BG2482" s="55" t="s">
        <v>479</v>
      </c>
      <c r="BH2482" s="226" t="s">
        <v>2621</v>
      </c>
      <c r="BI2482" s="55" t="s">
        <v>479</v>
      </c>
      <c r="BJ2482" s="55" t="s">
        <v>176</v>
      </c>
      <c r="BK2482" s="55" t="s">
        <v>6333</v>
      </c>
      <c r="BM2482" s="192" t="s">
        <v>160</v>
      </c>
      <c r="BN2482" s="55">
        <v>3</v>
      </c>
      <c r="BO2482" s="55">
        <v>3</v>
      </c>
      <c r="BP2482" s="55">
        <v>3</v>
      </c>
      <c r="BQ2482" s="55" t="s">
        <v>2615</v>
      </c>
      <c r="BS2482" s="55">
        <v>6117</v>
      </c>
      <c r="CB2482" s="66">
        <v>3917</v>
      </c>
      <c r="CC2482" s="66">
        <v>7117</v>
      </c>
      <c r="GP2482" s="292" t="s">
        <v>7494</v>
      </c>
    </row>
    <row r="2483" spans="1:198" x14ac:dyDescent="0.25">
      <c r="A2483" s="55">
        <v>2482</v>
      </c>
      <c r="B2483" s="12" t="s">
        <v>7067</v>
      </c>
      <c r="C2483" s="155">
        <v>118</v>
      </c>
      <c r="D2483" s="55" t="s">
        <v>4235</v>
      </c>
      <c r="E2483" s="90" t="s">
        <v>2612</v>
      </c>
      <c r="G2483" s="55" t="s">
        <v>2613</v>
      </c>
      <c r="H2483" s="55">
        <v>1997</v>
      </c>
      <c r="I2483" s="55">
        <v>2006</v>
      </c>
      <c r="J2483" s="55" t="s">
        <v>2619</v>
      </c>
      <c r="K2483" s="55" t="s">
        <v>2616</v>
      </c>
      <c r="L2483" s="55" t="s">
        <v>2748</v>
      </c>
      <c r="M2483" s="90">
        <f>-15.5</f>
        <v>-15.5</v>
      </c>
      <c r="N2483" s="90">
        <f>35+15/60</f>
        <v>35.25</v>
      </c>
      <c r="O2483" s="90">
        <v>1030</v>
      </c>
      <c r="R2483" s="55">
        <v>1612</v>
      </c>
      <c r="S2483" s="90">
        <v>1024</v>
      </c>
      <c r="U2483" s="55" t="s">
        <v>1694</v>
      </c>
      <c r="V2483" s="55" t="s">
        <v>1889</v>
      </c>
      <c r="Y2483" s="55" t="s">
        <v>2614</v>
      </c>
      <c r="Z2483" s="55" t="s">
        <v>1346</v>
      </c>
      <c r="AA2483" s="90" t="s">
        <v>1675</v>
      </c>
      <c r="AE2483" s="90">
        <v>46</v>
      </c>
      <c r="AF2483" s="90">
        <v>8</v>
      </c>
      <c r="AH2483" s="55" t="s">
        <v>2618</v>
      </c>
      <c r="AI2483" s="168">
        <v>5.9</v>
      </c>
      <c r="AJ2483" s="90">
        <v>0.88</v>
      </c>
      <c r="AM2483" s="55" t="s">
        <v>2617</v>
      </c>
      <c r="AN2483" s="185" t="s">
        <v>2620</v>
      </c>
      <c r="AO2483" s="185" t="s">
        <v>5150</v>
      </c>
      <c r="AQ2483" s="55" t="s">
        <v>4233</v>
      </c>
      <c r="AR2483" s="55" t="s">
        <v>1607</v>
      </c>
      <c r="AS2483" s="55" t="s">
        <v>132</v>
      </c>
      <c r="AT2483" s="181" t="s">
        <v>176</v>
      </c>
      <c r="AU2483" s="181" t="s">
        <v>5150</v>
      </c>
      <c r="AV2483" s="185" t="s">
        <v>176</v>
      </c>
      <c r="AW2483" s="55" t="s">
        <v>176</v>
      </c>
      <c r="AX2483" s="185" t="s">
        <v>176</v>
      </c>
      <c r="AY2483" s="55" t="s">
        <v>176</v>
      </c>
      <c r="BE2483" s="226" t="s">
        <v>2621</v>
      </c>
      <c r="BF2483" s="191" t="s">
        <v>479</v>
      </c>
      <c r="BG2483" s="55" t="s">
        <v>479</v>
      </c>
      <c r="BH2483" s="226" t="s">
        <v>2621</v>
      </c>
      <c r="BI2483" s="55" t="s">
        <v>479</v>
      </c>
      <c r="BJ2483" s="55" t="s">
        <v>176</v>
      </c>
      <c r="BK2483" s="55" t="s">
        <v>6333</v>
      </c>
      <c r="BM2483" s="192" t="s">
        <v>160</v>
      </c>
      <c r="BN2483" s="55">
        <v>3</v>
      </c>
      <c r="BO2483" s="55">
        <v>3</v>
      </c>
      <c r="BP2483" s="55">
        <v>3</v>
      </c>
      <c r="BQ2483" s="55" t="s">
        <v>2615</v>
      </c>
      <c r="BS2483" s="55">
        <v>7104.7</v>
      </c>
      <c r="BT2483" s="55">
        <v>24.331164383561642</v>
      </c>
      <c r="CB2483" s="66">
        <v>1987</v>
      </c>
      <c r="CC2483" s="66">
        <v>4160</v>
      </c>
      <c r="GP2483" s="292" t="s">
        <v>7494</v>
      </c>
    </row>
    <row r="2484" spans="1:198" x14ac:dyDescent="0.25">
      <c r="A2484" s="55">
        <v>2483</v>
      </c>
      <c r="B2484" s="12" t="s">
        <v>7067</v>
      </c>
      <c r="C2484" s="155">
        <v>118</v>
      </c>
      <c r="D2484" s="55" t="s">
        <v>4235</v>
      </c>
      <c r="E2484" s="90" t="s">
        <v>2612</v>
      </c>
      <c r="G2484" s="55" t="s">
        <v>2613</v>
      </c>
      <c r="H2484" s="55">
        <v>1998</v>
      </c>
      <c r="I2484" s="55">
        <v>2006</v>
      </c>
      <c r="J2484" s="55" t="s">
        <v>2619</v>
      </c>
      <c r="K2484" s="55" t="s">
        <v>2616</v>
      </c>
      <c r="L2484" s="55" t="s">
        <v>2748</v>
      </c>
      <c r="M2484" s="90">
        <f>-15.5</f>
        <v>-15.5</v>
      </c>
      <c r="N2484" s="90">
        <f>35+15/60</f>
        <v>35.25</v>
      </c>
      <c r="O2484" s="90">
        <v>1030</v>
      </c>
      <c r="R2484" s="55">
        <v>1015</v>
      </c>
      <c r="S2484" s="90">
        <v>1024</v>
      </c>
      <c r="U2484" s="55" t="s">
        <v>1940</v>
      </c>
      <c r="V2484" s="55" t="s">
        <v>1889</v>
      </c>
      <c r="Y2484" s="55" t="s">
        <v>2614</v>
      </c>
      <c r="Z2484" s="55" t="s">
        <v>1346</v>
      </c>
      <c r="AA2484" s="90" t="s">
        <v>1675</v>
      </c>
      <c r="AE2484" s="90">
        <v>46</v>
      </c>
      <c r="AF2484" s="90">
        <v>8</v>
      </c>
      <c r="AH2484" s="55" t="s">
        <v>2618</v>
      </c>
      <c r="AI2484" s="168">
        <v>5.9</v>
      </c>
      <c r="AJ2484" s="90">
        <v>0.88</v>
      </c>
      <c r="AM2484" s="55" t="s">
        <v>2617</v>
      </c>
      <c r="AN2484" s="185" t="s">
        <v>2620</v>
      </c>
      <c r="AO2484" s="185" t="s">
        <v>5150</v>
      </c>
      <c r="AQ2484" s="55" t="s">
        <v>4233</v>
      </c>
      <c r="AR2484" s="55" t="s">
        <v>1607</v>
      </c>
      <c r="AS2484" s="55" t="s">
        <v>132</v>
      </c>
      <c r="AT2484" s="181" t="s">
        <v>176</v>
      </c>
      <c r="AU2484" s="181" t="s">
        <v>5150</v>
      </c>
      <c r="AV2484" s="185" t="s">
        <v>176</v>
      </c>
      <c r="AW2484" s="55" t="s">
        <v>176</v>
      </c>
      <c r="AX2484" s="185" t="s">
        <v>176</v>
      </c>
      <c r="AY2484" s="55" t="s">
        <v>176</v>
      </c>
      <c r="BE2484" s="226" t="s">
        <v>2621</v>
      </c>
      <c r="BF2484" s="191" t="s">
        <v>479</v>
      </c>
      <c r="BG2484" s="55" t="s">
        <v>479</v>
      </c>
      <c r="BH2484" s="226" t="s">
        <v>2621</v>
      </c>
      <c r="BI2484" s="55" t="s">
        <v>479</v>
      </c>
      <c r="BJ2484" s="55" t="s">
        <v>176</v>
      </c>
      <c r="BK2484" s="55" t="s">
        <v>6333</v>
      </c>
      <c r="BM2484" s="192" t="s">
        <v>160</v>
      </c>
      <c r="BN2484" s="55">
        <v>3</v>
      </c>
      <c r="BO2484" s="55">
        <v>3</v>
      </c>
      <c r="BP2484" s="55">
        <v>3</v>
      </c>
      <c r="BQ2484" s="55" t="s">
        <v>2615</v>
      </c>
      <c r="BS2484" s="55">
        <v>9014</v>
      </c>
      <c r="BT2484" s="55">
        <v>35.34901960784314</v>
      </c>
      <c r="CB2484" s="66">
        <v>2593</v>
      </c>
      <c r="CC2484" s="66">
        <v>5997</v>
      </c>
      <c r="GP2484" s="292" t="s">
        <v>7494</v>
      </c>
    </row>
    <row r="2485" spans="1:198" x14ac:dyDescent="0.25">
      <c r="A2485" s="55">
        <v>2484</v>
      </c>
      <c r="B2485" s="12" t="s">
        <v>7067</v>
      </c>
      <c r="C2485" s="155">
        <v>118</v>
      </c>
      <c r="D2485" s="55" t="s">
        <v>4235</v>
      </c>
      <c r="E2485" s="90" t="s">
        <v>2612</v>
      </c>
      <c r="G2485" s="55" t="s">
        <v>2613</v>
      </c>
      <c r="H2485" s="55">
        <v>1999</v>
      </c>
      <c r="I2485" s="55">
        <v>2006</v>
      </c>
      <c r="J2485" s="55" t="s">
        <v>2619</v>
      </c>
      <c r="K2485" s="55" t="s">
        <v>2616</v>
      </c>
      <c r="L2485" s="55" t="s">
        <v>2748</v>
      </c>
      <c r="M2485" s="90">
        <f>-15.5</f>
        <v>-15.5</v>
      </c>
      <c r="N2485" s="90">
        <f>35+15/60</f>
        <v>35.25</v>
      </c>
      <c r="O2485" s="90">
        <v>1030</v>
      </c>
      <c r="R2485" s="55">
        <v>1194</v>
      </c>
      <c r="S2485" s="90">
        <v>1024</v>
      </c>
      <c r="U2485" s="55" t="s">
        <v>1933</v>
      </c>
      <c r="V2485" s="55" t="s">
        <v>1889</v>
      </c>
      <c r="Y2485" s="55" t="s">
        <v>2614</v>
      </c>
      <c r="Z2485" s="55" t="s">
        <v>1346</v>
      </c>
      <c r="AA2485" s="90" t="s">
        <v>1675</v>
      </c>
      <c r="AE2485" s="90">
        <v>46</v>
      </c>
      <c r="AF2485" s="90">
        <v>8</v>
      </c>
      <c r="AH2485" s="55" t="s">
        <v>2618</v>
      </c>
      <c r="AI2485" s="168">
        <v>5.9</v>
      </c>
      <c r="AJ2485" s="90">
        <v>0.88</v>
      </c>
      <c r="AM2485" s="55" t="s">
        <v>2617</v>
      </c>
      <c r="AN2485" s="185" t="s">
        <v>2620</v>
      </c>
      <c r="AO2485" s="185" t="s">
        <v>5150</v>
      </c>
      <c r="AQ2485" s="55" t="s">
        <v>4233</v>
      </c>
      <c r="AR2485" s="55" t="s">
        <v>1607</v>
      </c>
      <c r="AS2485" s="55" t="s">
        <v>132</v>
      </c>
      <c r="AT2485" s="181" t="s">
        <v>176</v>
      </c>
      <c r="AU2485" s="181" t="s">
        <v>5150</v>
      </c>
      <c r="AV2485" s="185" t="s">
        <v>176</v>
      </c>
      <c r="AW2485" s="55" t="s">
        <v>176</v>
      </c>
      <c r="AX2485" s="185" t="s">
        <v>176</v>
      </c>
      <c r="AY2485" s="55" t="s">
        <v>176</v>
      </c>
      <c r="BE2485" s="226" t="s">
        <v>2621</v>
      </c>
      <c r="BF2485" s="191" t="s">
        <v>479</v>
      </c>
      <c r="BG2485" s="55" t="s">
        <v>479</v>
      </c>
      <c r="BH2485" s="226" t="s">
        <v>2621</v>
      </c>
      <c r="BI2485" s="55" t="s">
        <v>479</v>
      </c>
      <c r="BJ2485" s="55" t="s">
        <v>176</v>
      </c>
      <c r="BK2485" s="55" t="s">
        <v>6333</v>
      </c>
      <c r="BM2485" s="192" t="s">
        <v>160</v>
      </c>
      <c r="BN2485" s="55">
        <v>3</v>
      </c>
      <c r="BO2485" s="55">
        <v>3</v>
      </c>
      <c r="BP2485" s="55">
        <v>3</v>
      </c>
      <c r="BQ2485" s="55" t="s">
        <v>2615</v>
      </c>
      <c r="BS2485" s="55">
        <v>9035</v>
      </c>
      <c r="CB2485" s="66">
        <v>2646</v>
      </c>
      <c r="CC2485" s="66">
        <v>5926</v>
      </c>
      <c r="GP2485" s="292" t="s">
        <v>7494</v>
      </c>
    </row>
    <row r="2486" spans="1:198" x14ac:dyDescent="0.25">
      <c r="A2486" s="55">
        <v>2485</v>
      </c>
      <c r="B2486" s="12" t="s">
        <v>7067</v>
      </c>
      <c r="C2486" s="155">
        <v>118</v>
      </c>
      <c r="D2486" s="55" t="s">
        <v>4235</v>
      </c>
      <c r="E2486" s="90" t="s">
        <v>2612</v>
      </c>
      <c r="G2486" s="55" t="s">
        <v>2613</v>
      </c>
      <c r="H2486" s="55">
        <v>2000</v>
      </c>
      <c r="I2486" s="55">
        <v>2006</v>
      </c>
      <c r="J2486" s="55" t="s">
        <v>2619</v>
      </c>
      <c r="K2486" s="55" t="s">
        <v>2616</v>
      </c>
      <c r="L2486" s="55" t="s">
        <v>2748</v>
      </c>
      <c r="M2486" s="90">
        <f>-15.5</f>
        <v>-15.5</v>
      </c>
      <c r="N2486" s="90">
        <f>35+15/60</f>
        <v>35.25</v>
      </c>
      <c r="O2486" s="90">
        <v>1030</v>
      </c>
      <c r="R2486" s="55">
        <v>786</v>
      </c>
      <c r="S2486" s="90">
        <v>1024</v>
      </c>
      <c r="U2486" s="55" t="s">
        <v>1679</v>
      </c>
      <c r="V2486" s="55" t="s">
        <v>1889</v>
      </c>
      <c r="Y2486" s="55" t="s">
        <v>2614</v>
      </c>
      <c r="Z2486" s="55" t="s">
        <v>1346</v>
      </c>
      <c r="AA2486" s="90" t="s">
        <v>1675</v>
      </c>
      <c r="AE2486" s="90">
        <v>46</v>
      </c>
      <c r="AF2486" s="90">
        <v>8</v>
      </c>
      <c r="AH2486" s="55" t="s">
        <v>2618</v>
      </c>
      <c r="AI2486" s="168">
        <v>5.9</v>
      </c>
      <c r="AJ2486" s="90">
        <v>0.88</v>
      </c>
      <c r="AM2486" s="55" t="s">
        <v>2617</v>
      </c>
      <c r="AN2486" s="185" t="s">
        <v>2620</v>
      </c>
      <c r="AO2486" s="185" t="s">
        <v>5150</v>
      </c>
      <c r="AQ2486" s="55" t="s">
        <v>4233</v>
      </c>
      <c r="AR2486" s="55" t="s">
        <v>1607</v>
      </c>
      <c r="AS2486" s="55" t="s">
        <v>132</v>
      </c>
      <c r="AT2486" s="181" t="s">
        <v>176</v>
      </c>
      <c r="AU2486" s="181" t="s">
        <v>5150</v>
      </c>
      <c r="AV2486" s="185" t="s">
        <v>176</v>
      </c>
      <c r="AW2486" s="55" t="s">
        <v>176</v>
      </c>
      <c r="AX2486" s="185" t="s">
        <v>176</v>
      </c>
      <c r="AY2486" s="55" t="s">
        <v>176</v>
      </c>
      <c r="BE2486" s="226" t="s">
        <v>2621</v>
      </c>
      <c r="BF2486" s="191" t="s">
        <v>479</v>
      </c>
      <c r="BG2486" s="55" t="s">
        <v>479</v>
      </c>
      <c r="BH2486" s="226" t="s">
        <v>2621</v>
      </c>
      <c r="BI2486" s="55" t="s">
        <v>479</v>
      </c>
      <c r="BJ2486" s="55" t="s">
        <v>176</v>
      </c>
      <c r="BK2486" s="55" t="s">
        <v>6333</v>
      </c>
      <c r="BM2486" s="192" t="s">
        <v>160</v>
      </c>
      <c r="BN2486" s="55">
        <v>3</v>
      </c>
      <c r="BO2486" s="55">
        <v>3</v>
      </c>
      <c r="BP2486" s="55">
        <v>3</v>
      </c>
      <c r="BQ2486" s="55" t="s">
        <v>2615</v>
      </c>
      <c r="BS2486" s="55">
        <v>7592</v>
      </c>
      <c r="CB2486" s="66">
        <v>1708</v>
      </c>
      <c r="CC2486" s="66">
        <v>2947</v>
      </c>
      <c r="GP2486" s="292" t="s">
        <v>7494</v>
      </c>
    </row>
    <row r="2487" spans="1:198" x14ac:dyDescent="0.25">
      <c r="A2487" s="55">
        <v>2486</v>
      </c>
      <c r="B2487" s="12" t="s">
        <v>7067</v>
      </c>
      <c r="C2487" s="155">
        <v>118</v>
      </c>
      <c r="D2487" s="55" t="s">
        <v>4235</v>
      </c>
      <c r="E2487" s="90" t="s">
        <v>2612</v>
      </c>
      <c r="G2487" s="55" t="s">
        <v>2613</v>
      </c>
      <c r="H2487" s="55">
        <v>2001</v>
      </c>
      <c r="I2487" s="55">
        <v>2006</v>
      </c>
      <c r="J2487" s="55" t="s">
        <v>2619</v>
      </c>
      <c r="K2487" s="55" t="s">
        <v>2616</v>
      </c>
      <c r="L2487" s="55" t="s">
        <v>2748</v>
      </c>
      <c r="M2487" s="90">
        <f>-15.5</f>
        <v>-15.5</v>
      </c>
      <c r="N2487" s="90">
        <f>35+15/60</f>
        <v>35.25</v>
      </c>
      <c r="O2487" s="90">
        <v>1030</v>
      </c>
      <c r="R2487" s="55">
        <v>1225</v>
      </c>
      <c r="S2487" s="90">
        <v>1024</v>
      </c>
      <c r="U2487" s="55" t="s">
        <v>1818</v>
      </c>
      <c r="V2487" s="55" t="s">
        <v>1889</v>
      </c>
      <c r="Y2487" s="55" t="s">
        <v>2614</v>
      </c>
      <c r="Z2487" s="55" t="s">
        <v>1346</v>
      </c>
      <c r="AA2487" s="90" t="s">
        <v>1675</v>
      </c>
      <c r="AE2487" s="90">
        <v>46</v>
      </c>
      <c r="AF2487" s="90">
        <v>8</v>
      </c>
      <c r="AH2487" s="55" t="s">
        <v>2618</v>
      </c>
      <c r="AI2487" s="168">
        <v>5.9</v>
      </c>
      <c r="AJ2487" s="90">
        <v>0.88</v>
      </c>
      <c r="AM2487" s="55" t="s">
        <v>2617</v>
      </c>
      <c r="AN2487" s="185" t="s">
        <v>2620</v>
      </c>
      <c r="AO2487" s="185" t="s">
        <v>5150</v>
      </c>
      <c r="AQ2487" s="55" t="s">
        <v>4233</v>
      </c>
      <c r="AR2487" s="55" t="s">
        <v>1607</v>
      </c>
      <c r="AS2487" s="55" t="s">
        <v>132</v>
      </c>
      <c r="AT2487" s="181" t="s">
        <v>176</v>
      </c>
      <c r="AU2487" s="181" t="s">
        <v>5150</v>
      </c>
      <c r="AV2487" s="185" t="s">
        <v>176</v>
      </c>
      <c r="AW2487" s="55" t="s">
        <v>176</v>
      </c>
      <c r="AX2487" s="185" t="s">
        <v>176</v>
      </c>
      <c r="AY2487" s="55" t="s">
        <v>176</v>
      </c>
      <c r="BE2487" s="226" t="s">
        <v>2621</v>
      </c>
      <c r="BF2487" s="191" t="s">
        <v>479</v>
      </c>
      <c r="BG2487" s="55" t="s">
        <v>479</v>
      </c>
      <c r="BH2487" s="226" t="s">
        <v>2621</v>
      </c>
      <c r="BI2487" s="55" t="s">
        <v>479</v>
      </c>
      <c r="BJ2487" s="55" t="s">
        <v>176</v>
      </c>
      <c r="BK2487" s="55" t="s">
        <v>6333</v>
      </c>
      <c r="BM2487" s="192" t="s">
        <v>160</v>
      </c>
      <c r="BN2487" s="55">
        <v>3</v>
      </c>
      <c r="BO2487" s="55">
        <v>3</v>
      </c>
      <c r="BP2487" s="55">
        <v>3</v>
      </c>
      <c r="BQ2487" s="55" t="s">
        <v>2615</v>
      </c>
      <c r="BS2487" s="55">
        <v>10094</v>
      </c>
      <c r="CB2487" s="66">
        <v>2640</v>
      </c>
      <c r="CC2487" s="66">
        <v>5830</v>
      </c>
      <c r="GP2487" s="292" t="s">
        <v>7494</v>
      </c>
    </row>
    <row r="2488" spans="1:198" x14ac:dyDescent="0.25">
      <c r="A2488" s="55">
        <v>2487</v>
      </c>
      <c r="B2488" s="12" t="s">
        <v>7067</v>
      </c>
      <c r="C2488" s="155">
        <v>118</v>
      </c>
      <c r="D2488" s="55" t="s">
        <v>4235</v>
      </c>
      <c r="E2488" s="90" t="s">
        <v>2612</v>
      </c>
      <c r="G2488" s="55" t="s">
        <v>2613</v>
      </c>
      <c r="H2488" s="55">
        <v>2002</v>
      </c>
      <c r="I2488" s="55">
        <v>2006</v>
      </c>
      <c r="J2488" s="55" t="s">
        <v>2619</v>
      </c>
      <c r="K2488" s="55" t="s">
        <v>2616</v>
      </c>
      <c r="L2488" s="55" t="s">
        <v>2748</v>
      </c>
      <c r="M2488" s="90">
        <f>-15.5</f>
        <v>-15.5</v>
      </c>
      <c r="N2488" s="90">
        <f>35+15/60</f>
        <v>35.25</v>
      </c>
      <c r="O2488" s="90">
        <v>1030</v>
      </c>
      <c r="R2488" s="55">
        <v>820</v>
      </c>
      <c r="S2488" s="90">
        <v>1024</v>
      </c>
      <c r="U2488" s="55" t="s">
        <v>1889</v>
      </c>
      <c r="V2488" s="55" t="s">
        <v>1889</v>
      </c>
      <c r="Y2488" s="55" t="s">
        <v>2614</v>
      </c>
      <c r="Z2488" s="55" t="s">
        <v>1346</v>
      </c>
      <c r="AA2488" s="90" t="s">
        <v>1675</v>
      </c>
      <c r="AE2488" s="90">
        <v>46</v>
      </c>
      <c r="AF2488" s="90">
        <v>8</v>
      </c>
      <c r="AH2488" s="55" t="s">
        <v>2618</v>
      </c>
      <c r="AI2488" s="168">
        <v>5.9</v>
      </c>
      <c r="AJ2488" s="90">
        <v>0.88</v>
      </c>
      <c r="AM2488" s="55" t="s">
        <v>2617</v>
      </c>
      <c r="AN2488" s="185" t="s">
        <v>2620</v>
      </c>
      <c r="AO2488" s="185" t="s">
        <v>5150</v>
      </c>
      <c r="AQ2488" s="55" t="s">
        <v>4233</v>
      </c>
      <c r="AR2488" s="55" t="s">
        <v>1607</v>
      </c>
      <c r="AS2488" s="55" t="s">
        <v>132</v>
      </c>
      <c r="AT2488" s="181" t="s">
        <v>176</v>
      </c>
      <c r="AU2488" s="181" t="s">
        <v>5150</v>
      </c>
      <c r="AV2488" s="185" t="s">
        <v>176</v>
      </c>
      <c r="AW2488" s="55" t="s">
        <v>176</v>
      </c>
      <c r="AX2488" s="185" t="s">
        <v>176</v>
      </c>
      <c r="AY2488" s="55" t="s">
        <v>176</v>
      </c>
      <c r="BE2488" s="226" t="s">
        <v>2621</v>
      </c>
      <c r="BF2488" s="191" t="s">
        <v>479</v>
      </c>
      <c r="BG2488" s="55" t="s">
        <v>479</v>
      </c>
      <c r="BH2488" s="226" t="s">
        <v>2621</v>
      </c>
      <c r="BI2488" s="55" t="s">
        <v>479</v>
      </c>
      <c r="BJ2488" s="55" t="s">
        <v>176</v>
      </c>
      <c r="BK2488" s="55" t="s">
        <v>6333</v>
      </c>
      <c r="BM2488" s="192" t="s">
        <v>160</v>
      </c>
      <c r="BN2488" s="55">
        <v>3</v>
      </c>
      <c r="BO2488" s="55">
        <v>3</v>
      </c>
      <c r="BP2488" s="55">
        <v>3</v>
      </c>
      <c r="BQ2488" s="55" t="s">
        <v>2615</v>
      </c>
      <c r="BS2488" s="55">
        <v>8882</v>
      </c>
      <c r="CB2488" s="66">
        <v>2890</v>
      </c>
      <c r="CC2488" s="66">
        <v>5290</v>
      </c>
      <c r="GP2488" s="292" t="s">
        <v>7494</v>
      </c>
    </row>
    <row r="2489" spans="1:198" x14ac:dyDescent="0.25">
      <c r="A2489" s="55">
        <v>2488</v>
      </c>
      <c r="B2489" s="12" t="s">
        <v>7067</v>
      </c>
      <c r="C2489" s="155">
        <v>118</v>
      </c>
      <c r="D2489" s="55" t="s">
        <v>4236</v>
      </c>
      <c r="E2489" s="90" t="s">
        <v>2612</v>
      </c>
      <c r="G2489" s="55" t="s">
        <v>2613</v>
      </c>
      <c r="H2489" s="55">
        <v>1993</v>
      </c>
      <c r="I2489" s="55">
        <v>2006</v>
      </c>
      <c r="J2489" s="55" t="s">
        <v>2619</v>
      </c>
      <c r="K2489" s="55" t="s">
        <v>2616</v>
      </c>
      <c r="L2489" s="55" t="s">
        <v>2748</v>
      </c>
      <c r="M2489" s="90">
        <f>-15.5</f>
        <v>-15.5</v>
      </c>
      <c r="N2489" s="90">
        <f>35+15/60</f>
        <v>35.25</v>
      </c>
      <c r="O2489" s="90">
        <v>1030</v>
      </c>
      <c r="R2489" s="55">
        <v>970</v>
      </c>
      <c r="S2489" s="90">
        <v>1024</v>
      </c>
      <c r="U2489" s="55" t="s">
        <v>1688</v>
      </c>
      <c r="V2489" s="55" t="s">
        <v>1889</v>
      </c>
      <c r="Y2489" s="55" t="s">
        <v>2614</v>
      </c>
      <c r="Z2489" s="55" t="s">
        <v>1346</v>
      </c>
      <c r="AA2489" s="90" t="s">
        <v>1675</v>
      </c>
      <c r="AE2489" s="90">
        <v>46</v>
      </c>
      <c r="AF2489" s="90">
        <v>8</v>
      </c>
      <c r="AH2489" s="55" t="s">
        <v>2618</v>
      </c>
      <c r="AI2489" s="168">
        <v>5.9</v>
      </c>
      <c r="AJ2489" s="90">
        <v>0.88</v>
      </c>
      <c r="AM2489" s="55" t="s">
        <v>2617</v>
      </c>
      <c r="AN2489" s="185" t="s">
        <v>2620</v>
      </c>
      <c r="AO2489" s="185" t="s">
        <v>5150</v>
      </c>
      <c r="AQ2489" s="55" t="s">
        <v>4233</v>
      </c>
      <c r="AR2489" s="55" t="s">
        <v>1607</v>
      </c>
      <c r="AS2489" s="55" t="s">
        <v>132</v>
      </c>
      <c r="AT2489" s="181" t="s">
        <v>176</v>
      </c>
      <c r="AU2489" s="181" t="s">
        <v>5150</v>
      </c>
      <c r="AV2489" s="185" t="s">
        <v>176</v>
      </c>
      <c r="AW2489" s="55" t="s">
        <v>176</v>
      </c>
      <c r="AX2489" s="185" t="s">
        <v>176</v>
      </c>
      <c r="AY2489" s="55" t="s">
        <v>176</v>
      </c>
      <c r="BE2489" s="226" t="s">
        <v>2622</v>
      </c>
      <c r="BF2489" s="191" t="s">
        <v>479</v>
      </c>
      <c r="BG2489" s="55" t="s">
        <v>479</v>
      </c>
      <c r="BH2489" s="226" t="s">
        <v>2622</v>
      </c>
      <c r="BI2489" s="55" t="s">
        <v>479</v>
      </c>
      <c r="BJ2489" s="55" t="s">
        <v>176</v>
      </c>
      <c r="BK2489" s="55" t="s">
        <v>6333</v>
      </c>
      <c r="BM2489" s="192" t="s">
        <v>160</v>
      </c>
      <c r="BN2489" s="55">
        <v>3</v>
      </c>
      <c r="BO2489" s="55">
        <v>3</v>
      </c>
      <c r="BP2489" s="55">
        <v>3</v>
      </c>
      <c r="BQ2489" s="55" t="s">
        <v>2615</v>
      </c>
      <c r="BS2489" s="55">
        <v>4129.8</v>
      </c>
      <c r="CB2489" s="66">
        <v>4147</v>
      </c>
      <c r="CC2489" s="66">
        <v>4013</v>
      </c>
      <c r="GP2489" s="292" t="s">
        <v>7494</v>
      </c>
    </row>
    <row r="2490" spans="1:198" x14ac:dyDescent="0.25">
      <c r="A2490" s="55">
        <v>2489</v>
      </c>
      <c r="B2490" s="12" t="s">
        <v>7067</v>
      </c>
      <c r="C2490" s="155">
        <v>118</v>
      </c>
      <c r="D2490" s="55" t="s">
        <v>4236</v>
      </c>
      <c r="E2490" s="90" t="s">
        <v>2612</v>
      </c>
      <c r="G2490" s="55" t="s">
        <v>2613</v>
      </c>
      <c r="H2490" s="55">
        <v>1994</v>
      </c>
      <c r="I2490" s="55">
        <v>2006</v>
      </c>
      <c r="J2490" s="55" t="s">
        <v>2619</v>
      </c>
      <c r="K2490" s="55" t="s">
        <v>2616</v>
      </c>
      <c r="L2490" s="55" t="s">
        <v>2748</v>
      </c>
      <c r="M2490" s="90">
        <f>-15.5</f>
        <v>-15.5</v>
      </c>
      <c r="N2490" s="90">
        <f>35+15/60</f>
        <v>35.25</v>
      </c>
      <c r="O2490" s="90">
        <v>1030</v>
      </c>
      <c r="R2490" s="55">
        <v>540</v>
      </c>
      <c r="S2490" s="90">
        <v>1024</v>
      </c>
      <c r="U2490" s="55" t="s">
        <v>1816</v>
      </c>
      <c r="V2490" s="55" t="s">
        <v>1889</v>
      </c>
      <c r="Y2490" s="55" t="s">
        <v>2614</v>
      </c>
      <c r="Z2490" s="55" t="s">
        <v>1346</v>
      </c>
      <c r="AA2490" s="90" t="s">
        <v>1675</v>
      </c>
      <c r="AE2490" s="90">
        <v>46</v>
      </c>
      <c r="AF2490" s="90">
        <v>8</v>
      </c>
      <c r="AH2490" s="55" t="s">
        <v>2618</v>
      </c>
      <c r="AI2490" s="168">
        <v>5.9</v>
      </c>
      <c r="AJ2490" s="90">
        <v>0.88</v>
      </c>
      <c r="AM2490" s="55" t="s">
        <v>2617</v>
      </c>
      <c r="AN2490" s="185" t="s">
        <v>2620</v>
      </c>
      <c r="AO2490" s="185" t="s">
        <v>5150</v>
      </c>
      <c r="AQ2490" s="55" t="s">
        <v>4233</v>
      </c>
      <c r="AR2490" s="55" t="s">
        <v>1607</v>
      </c>
      <c r="AS2490" s="55" t="s">
        <v>132</v>
      </c>
      <c r="AT2490" s="181" t="s">
        <v>176</v>
      </c>
      <c r="AU2490" s="181" t="s">
        <v>5150</v>
      </c>
      <c r="AV2490" s="185" t="s">
        <v>176</v>
      </c>
      <c r="AW2490" s="55" t="s">
        <v>176</v>
      </c>
      <c r="AX2490" s="185" t="s">
        <v>176</v>
      </c>
      <c r="AY2490" s="55" t="s">
        <v>176</v>
      </c>
      <c r="BE2490" s="226" t="s">
        <v>2622</v>
      </c>
      <c r="BF2490" s="191" t="s">
        <v>479</v>
      </c>
      <c r="BG2490" s="55" t="s">
        <v>479</v>
      </c>
      <c r="BH2490" s="226" t="s">
        <v>2622</v>
      </c>
      <c r="BI2490" s="55" t="s">
        <v>479</v>
      </c>
      <c r="BJ2490" s="55" t="s">
        <v>176</v>
      </c>
      <c r="BK2490" s="55" t="s">
        <v>6333</v>
      </c>
      <c r="BM2490" s="192" t="s">
        <v>160</v>
      </c>
      <c r="BN2490" s="55">
        <v>3</v>
      </c>
      <c r="BO2490" s="55">
        <v>3</v>
      </c>
      <c r="BP2490" s="55">
        <v>3</v>
      </c>
      <c r="BQ2490" s="55" t="s">
        <v>2615</v>
      </c>
      <c r="BS2490" s="55">
        <v>6124</v>
      </c>
      <c r="CB2490" s="66">
        <v>3155</v>
      </c>
      <c r="CC2490" s="66">
        <v>4545</v>
      </c>
      <c r="GP2490" s="292" t="s">
        <v>7494</v>
      </c>
    </row>
    <row r="2491" spans="1:198" x14ac:dyDescent="0.25">
      <c r="A2491" s="55">
        <v>2490</v>
      </c>
      <c r="B2491" s="12" t="s">
        <v>7067</v>
      </c>
      <c r="C2491" s="155">
        <v>118</v>
      </c>
      <c r="D2491" s="55" t="s">
        <v>4236</v>
      </c>
      <c r="E2491" s="90" t="s">
        <v>2612</v>
      </c>
      <c r="G2491" s="55" t="s">
        <v>2613</v>
      </c>
      <c r="H2491" s="55">
        <v>1995</v>
      </c>
      <c r="I2491" s="55">
        <v>2006</v>
      </c>
      <c r="J2491" s="55" t="s">
        <v>2619</v>
      </c>
      <c r="K2491" s="55" t="s">
        <v>2616</v>
      </c>
      <c r="L2491" s="55" t="s">
        <v>2748</v>
      </c>
      <c r="M2491" s="90">
        <f>-15.5</f>
        <v>-15.5</v>
      </c>
      <c r="N2491" s="90">
        <f>35+15/60</f>
        <v>35.25</v>
      </c>
      <c r="O2491" s="90">
        <v>1030</v>
      </c>
      <c r="R2491" s="55">
        <v>551</v>
      </c>
      <c r="S2491" s="90">
        <v>1024</v>
      </c>
      <c r="U2491" s="55" t="s">
        <v>1682</v>
      </c>
      <c r="V2491" s="55" t="s">
        <v>1889</v>
      </c>
      <c r="Y2491" s="55" t="s">
        <v>2614</v>
      </c>
      <c r="Z2491" s="55" t="s">
        <v>1346</v>
      </c>
      <c r="AA2491" s="90" t="s">
        <v>1675</v>
      </c>
      <c r="AE2491" s="90">
        <v>46</v>
      </c>
      <c r="AF2491" s="90">
        <v>8</v>
      </c>
      <c r="AH2491" s="55" t="s">
        <v>2618</v>
      </c>
      <c r="AI2491" s="168">
        <v>5.9</v>
      </c>
      <c r="AJ2491" s="90">
        <v>0.88</v>
      </c>
      <c r="AM2491" s="55" t="s">
        <v>2617</v>
      </c>
      <c r="AN2491" s="185" t="s">
        <v>2620</v>
      </c>
      <c r="AO2491" s="185" t="s">
        <v>5150</v>
      </c>
      <c r="AQ2491" s="55" t="s">
        <v>4233</v>
      </c>
      <c r="AR2491" s="55" t="s">
        <v>1607</v>
      </c>
      <c r="AS2491" s="55" t="s">
        <v>132</v>
      </c>
      <c r="AT2491" s="181" t="s">
        <v>176</v>
      </c>
      <c r="AU2491" s="181" t="s">
        <v>5150</v>
      </c>
      <c r="AV2491" s="185" t="s">
        <v>176</v>
      </c>
      <c r="AW2491" s="55" t="s">
        <v>176</v>
      </c>
      <c r="AX2491" s="185" t="s">
        <v>176</v>
      </c>
      <c r="AY2491" s="55" t="s">
        <v>176</v>
      </c>
      <c r="BE2491" s="226" t="s">
        <v>2622</v>
      </c>
      <c r="BF2491" s="191" t="s">
        <v>479</v>
      </c>
      <c r="BG2491" s="55" t="s">
        <v>479</v>
      </c>
      <c r="BH2491" s="226" t="s">
        <v>2622</v>
      </c>
      <c r="BI2491" s="55" t="s">
        <v>479</v>
      </c>
      <c r="BJ2491" s="55" t="s">
        <v>176</v>
      </c>
      <c r="BK2491" s="55" t="s">
        <v>6333</v>
      </c>
      <c r="BM2491" s="192" t="s">
        <v>160</v>
      </c>
      <c r="BN2491" s="55">
        <v>3</v>
      </c>
      <c r="BO2491" s="55">
        <v>3</v>
      </c>
      <c r="BP2491" s="55">
        <v>3</v>
      </c>
      <c r="BQ2491" s="55" t="s">
        <v>2615</v>
      </c>
      <c r="BS2491" s="55">
        <v>5027.7</v>
      </c>
      <c r="CB2491" s="66">
        <v>3320</v>
      </c>
      <c r="CC2491" s="66">
        <v>3730</v>
      </c>
      <c r="GP2491" s="292" t="s">
        <v>7494</v>
      </c>
    </row>
    <row r="2492" spans="1:198" x14ac:dyDescent="0.25">
      <c r="A2492" s="55">
        <v>2491</v>
      </c>
      <c r="B2492" s="12" t="s">
        <v>7067</v>
      </c>
      <c r="C2492" s="155">
        <v>118</v>
      </c>
      <c r="D2492" s="55" t="s">
        <v>4236</v>
      </c>
      <c r="E2492" s="90" t="s">
        <v>2612</v>
      </c>
      <c r="G2492" s="55" t="s">
        <v>2613</v>
      </c>
      <c r="H2492" s="55">
        <v>1996</v>
      </c>
      <c r="I2492" s="55">
        <v>2006</v>
      </c>
      <c r="J2492" s="55" t="s">
        <v>2619</v>
      </c>
      <c r="K2492" s="55" t="s">
        <v>2616</v>
      </c>
      <c r="L2492" s="55" t="s">
        <v>2748</v>
      </c>
      <c r="M2492" s="90">
        <f>-15.5</f>
        <v>-15.5</v>
      </c>
      <c r="N2492" s="90">
        <f>35+15/60</f>
        <v>35.25</v>
      </c>
      <c r="O2492" s="90">
        <v>1030</v>
      </c>
      <c r="R2492" s="55">
        <v>970</v>
      </c>
      <c r="S2492" s="90">
        <v>1024</v>
      </c>
      <c r="U2492" s="55" t="s">
        <v>1801</v>
      </c>
      <c r="V2492" s="55" t="s">
        <v>1889</v>
      </c>
      <c r="Y2492" s="55" t="s">
        <v>2614</v>
      </c>
      <c r="Z2492" s="55" t="s">
        <v>1346</v>
      </c>
      <c r="AA2492" s="90" t="s">
        <v>1675</v>
      </c>
      <c r="AE2492" s="90">
        <v>46</v>
      </c>
      <c r="AF2492" s="90">
        <v>8</v>
      </c>
      <c r="AH2492" s="55" t="s">
        <v>2618</v>
      </c>
      <c r="AI2492" s="168">
        <v>5.9</v>
      </c>
      <c r="AJ2492" s="90">
        <v>0.88</v>
      </c>
      <c r="AM2492" s="55" t="s">
        <v>2617</v>
      </c>
      <c r="AN2492" s="185" t="s">
        <v>2620</v>
      </c>
      <c r="AO2492" s="185" t="s">
        <v>5150</v>
      </c>
      <c r="AQ2492" s="55" t="s">
        <v>4233</v>
      </c>
      <c r="AR2492" s="55" t="s">
        <v>1607</v>
      </c>
      <c r="AS2492" s="55" t="s">
        <v>132</v>
      </c>
      <c r="AT2492" s="181" t="s">
        <v>176</v>
      </c>
      <c r="AU2492" s="181" t="s">
        <v>5150</v>
      </c>
      <c r="AV2492" s="185" t="s">
        <v>176</v>
      </c>
      <c r="AW2492" s="55" t="s">
        <v>176</v>
      </c>
      <c r="AX2492" s="185" t="s">
        <v>176</v>
      </c>
      <c r="AY2492" s="55" t="s">
        <v>176</v>
      </c>
      <c r="BE2492" s="226" t="s">
        <v>2622</v>
      </c>
      <c r="BF2492" s="191" t="s">
        <v>479</v>
      </c>
      <c r="BG2492" s="55" t="s">
        <v>479</v>
      </c>
      <c r="BH2492" s="226" t="s">
        <v>2622</v>
      </c>
      <c r="BI2492" s="55" t="s">
        <v>479</v>
      </c>
      <c r="BJ2492" s="55" t="s">
        <v>176</v>
      </c>
      <c r="BK2492" s="55" t="s">
        <v>6333</v>
      </c>
      <c r="BM2492" s="192" t="s">
        <v>160</v>
      </c>
      <c r="BN2492" s="55">
        <v>3</v>
      </c>
      <c r="BO2492" s="55">
        <v>3</v>
      </c>
      <c r="BP2492" s="55">
        <v>3</v>
      </c>
      <c r="BQ2492" s="55" t="s">
        <v>2615</v>
      </c>
      <c r="BS2492" s="55">
        <v>6117</v>
      </c>
      <c r="CB2492" s="66">
        <v>4750</v>
      </c>
      <c r="CC2492" s="66">
        <v>7523</v>
      </c>
      <c r="GP2492" s="292" t="s">
        <v>7494</v>
      </c>
    </row>
    <row r="2493" spans="1:198" x14ac:dyDescent="0.25">
      <c r="A2493" s="55">
        <v>2492</v>
      </c>
      <c r="B2493" s="12" t="s">
        <v>7067</v>
      </c>
      <c r="C2493" s="155">
        <v>118</v>
      </c>
      <c r="D2493" s="55" t="s">
        <v>4236</v>
      </c>
      <c r="E2493" s="90" t="s">
        <v>2612</v>
      </c>
      <c r="G2493" s="55" t="s">
        <v>2613</v>
      </c>
      <c r="H2493" s="55">
        <v>1997</v>
      </c>
      <c r="I2493" s="55">
        <v>2006</v>
      </c>
      <c r="J2493" s="55" t="s">
        <v>2619</v>
      </c>
      <c r="K2493" s="55" t="s">
        <v>2616</v>
      </c>
      <c r="L2493" s="55" t="s">
        <v>2748</v>
      </c>
      <c r="M2493" s="90">
        <f>-15.5</f>
        <v>-15.5</v>
      </c>
      <c r="N2493" s="90">
        <f>35+15/60</f>
        <v>35.25</v>
      </c>
      <c r="O2493" s="90">
        <v>1030</v>
      </c>
      <c r="R2493" s="55">
        <v>1612</v>
      </c>
      <c r="S2493" s="90">
        <v>1024</v>
      </c>
      <c r="U2493" s="55" t="s">
        <v>1694</v>
      </c>
      <c r="V2493" s="55" t="s">
        <v>1889</v>
      </c>
      <c r="Y2493" s="55" t="s">
        <v>2614</v>
      </c>
      <c r="Z2493" s="55" t="s">
        <v>1346</v>
      </c>
      <c r="AA2493" s="90" t="s">
        <v>1675</v>
      </c>
      <c r="AE2493" s="90">
        <v>46</v>
      </c>
      <c r="AF2493" s="90">
        <v>8</v>
      </c>
      <c r="AH2493" s="55" t="s">
        <v>2618</v>
      </c>
      <c r="AI2493" s="168">
        <v>5.9</v>
      </c>
      <c r="AJ2493" s="90">
        <v>0.88</v>
      </c>
      <c r="AM2493" s="55" t="s">
        <v>2617</v>
      </c>
      <c r="AN2493" s="185" t="s">
        <v>2620</v>
      </c>
      <c r="AO2493" s="185" t="s">
        <v>5150</v>
      </c>
      <c r="AQ2493" s="55" t="s">
        <v>4233</v>
      </c>
      <c r="AR2493" s="55" t="s">
        <v>1607</v>
      </c>
      <c r="AS2493" s="55" t="s">
        <v>132</v>
      </c>
      <c r="AT2493" s="181" t="s">
        <v>176</v>
      </c>
      <c r="AU2493" s="181" t="s">
        <v>5150</v>
      </c>
      <c r="AV2493" s="185" t="s">
        <v>176</v>
      </c>
      <c r="AW2493" s="55" t="s">
        <v>176</v>
      </c>
      <c r="AX2493" s="185" t="s">
        <v>176</v>
      </c>
      <c r="AY2493" s="55" t="s">
        <v>176</v>
      </c>
      <c r="BE2493" s="226" t="s">
        <v>2622</v>
      </c>
      <c r="BF2493" s="191" t="s">
        <v>479</v>
      </c>
      <c r="BG2493" s="55" t="s">
        <v>479</v>
      </c>
      <c r="BH2493" s="226" t="s">
        <v>2622</v>
      </c>
      <c r="BI2493" s="55" t="s">
        <v>479</v>
      </c>
      <c r="BJ2493" s="55" t="s">
        <v>176</v>
      </c>
      <c r="BK2493" s="55" t="s">
        <v>6333</v>
      </c>
      <c r="BM2493" s="192" t="s">
        <v>160</v>
      </c>
      <c r="BN2493" s="55">
        <v>3</v>
      </c>
      <c r="BO2493" s="55">
        <v>3</v>
      </c>
      <c r="BP2493" s="55">
        <v>3</v>
      </c>
      <c r="BQ2493" s="55" t="s">
        <v>2615</v>
      </c>
      <c r="BS2493" s="55">
        <v>7104.7</v>
      </c>
      <c r="BT2493" s="55">
        <v>24.331164383561642</v>
      </c>
      <c r="CB2493" s="66">
        <v>1931</v>
      </c>
      <c r="CC2493" s="66">
        <v>4469</v>
      </c>
      <c r="GP2493" s="292" t="s">
        <v>7494</v>
      </c>
    </row>
    <row r="2494" spans="1:198" x14ac:dyDescent="0.25">
      <c r="A2494" s="55">
        <v>2493</v>
      </c>
      <c r="B2494" s="12" t="s">
        <v>7067</v>
      </c>
      <c r="C2494" s="155">
        <v>118</v>
      </c>
      <c r="D2494" s="55" t="s">
        <v>4236</v>
      </c>
      <c r="E2494" s="90" t="s">
        <v>2612</v>
      </c>
      <c r="G2494" s="55" t="s">
        <v>2613</v>
      </c>
      <c r="H2494" s="55">
        <v>1998</v>
      </c>
      <c r="I2494" s="55">
        <v>2006</v>
      </c>
      <c r="J2494" s="55" t="s">
        <v>2619</v>
      </c>
      <c r="K2494" s="55" t="s">
        <v>2616</v>
      </c>
      <c r="L2494" s="55" t="s">
        <v>2748</v>
      </c>
      <c r="M2494" s="90">
        <f>-15.5</f>
        <v>-15.5</v>
      </c>
      <c r="N2494" s="90">
        <f>35+15/60</f>
        <v>35.25</v>
      </c>
      <c r="O2494" s="90">
        <v>1030</v>
      </c>
      <c r="R2494" s="55">
        <v>1015</v>
      </c>
      <c r="S2494" s="90">
        <v>1024</v>
      </c>
      <c r="U2494" s="55" t="s">
        <v>1940</v>
      </c>
      <c r="V2494" s="55" t="s">
        <v>1889</v>
      </c>
      <c r="Y2494" s="55" t="s">
        <v>2614</v>
      </c>
      <c r="Z2494" s="55" t="s">
        <v>1346</v>
      </c>
      <c r="AA2494" s="90" t="s">
        <v>1675</v>
      </c>
      <c r="AE2494" s="90">
        <v>46</v>
      </c>
      <c r="AF2494" s="90">
        <v>8</v>
      </c>
      <c r="AH2494" s="55" t="s">
        <v>2618</v>
      </c>
      <c r="AI2494" s="168">
        <v>5.9</v>
      </c>
      <c r="AJ2494" s="90">
        <v>0.88</v>
      </c>
      <c r="AM2494" s="55" t="s">
        <v>2617</v>
      </c>
      <c r="AN2494" s="185" t="s">
        <v>2620</v>
      </c>
      <c r="AO2494" s="185" t="s">
        <v>5150</v>
      </c>
      <c r="AQ2494" s="55" t="s">
        <v>4233</v>
      </c>
      <c r="AR2494" s="55" t="s">
        <v>1607</v>
      </c>
      <c r="AS2494" s="55" t="s">
        <v>132</v>
      </c>
      <c r="AT2494" s="181" t="s">
        <v>176</v>
      </c>
      <c r="AU2494" s="181" t="s">
        <v>5150</v>
      </c>
      <c r="AV2494" s="185" t="s">
        <v>176</v>
      </c>
      <c r="AW2494" s="55" t="s">
        <v>176</v>
      </c>
      <c r="AX2494" s="185" t="s">
        <v>176</v>
      </c>
      <c r="AY2494" s="55" t="s">
        <v>176</v>
      </c>
      <c r="BE2494" s="226" t="s">
        <v>2622</v>
      </c>
      <c r="BF2494" s="191" t="s">
        <v>479</v>
      </c>
      <c r="BG2494" s="55" t="s">
        <v>479</v>
      </c>
      <c r="BH2494" s="226" t="s">
        <v>2622</v>
      </c>
      <c r="BI2494" s="55" t="s">
        <v>479</v>
      </c>
      <c r="BJ2494" s="55" t="s">
        <v>176</v>
      </c>
      <c r="BK2494" s="55" t="s">
        <v>6333</v>
      </c>
      <c r="BM2494" s="192" t="s">
        <v>160</v>
      </c>
      <c r="BN2494" s="55">
        <v>3</v>
      </c>
      <c r="BO2494" s="55">
        <v>3</v>
      </c>
      <c r="BP2494" s="55">
        <v>3</v>
      </c>
      <c r="BQ2494" s="55" t="s">
        <v>2615</v>
      </c>
      <c r="BS2494" s="55">
        <v>9014</v>
      </c>
      <c r="BT2494" s="55">
        <v>35.34901960784314</v>
      </c>
      <c r="CB2494" s="66">
        <v>4000</v>
      </c>
      <c r="CC2494" s="66">
        <v>5815</v>
      </c>
      <c r="GP2494" s="292" t="s">
        <v>7494</v>
      </c>
    </row>
    <row r="2495" spans="1:198" x14ac:dyDescent="0.25">
      <c r="A2495" s="55">
        <v>2494</v>
      </c>
      <c r="B2495" s="12" t="s">
        <v>7067</v>
      </c>
      <c r="C2495" s="155">
        <v>118</v>
      </c>
      <c r="D2495" s="55" t="s">
        <v>4236</v>
      </c>
      <c r="E2495" s="90" t="s">
        <v>2612</v>
      </c>
      <c r="G2495" s="55" t="s">
        <v>2613</v>
      </c>
      <c r="H2495" s="55">
        <v>1999</v>
      </c>
      <c r="I2495" s="55">
        <v>2006</v>
      </c>
      <c r="J2495" s="55" t="s">
        <v>2619</v>
      </c>
      <c r="K2495" s="55" t="s">
        <v>2616</v>
      </c>
      <c r="L2495" s="55" t="s">
        <v>2748</v>
      </c>
      <c r="M2495" s="90">
        <f>-15.5</f>
        <v>-15.5</v>
      </c>
      <c r="N2495" s="90">
        <f>35+15/60</f>
        <v>35.25</v>
      </c>
      <c r="O2495" s="90">
        <v>1030</v>
      </c>
      <c r="R2495" s="55">
        <v>1194</v>
      </c>
      <c r="S2495" s="90">
        <v>1024</v>
      </c>
      <c r="U2495" s="55" t="s">
        <v>1933</v>
      </c>
      <c r="V2495" s="55" t="s">
        <v>1889</v>
      </c>
      <c r="Y2495" s="55" t="s">
        <v>2614</v>
      </c>
      <c r="Z2495" s="55" t="s">
        <v>1346</v>
      </c>
      <c r="AA2495" s="90" t="s">
        <v>1675</v>
      </c>
      <c r="AE2495" s="90">
        <v>46</v>
      </c>
      <c r="AF2495" s="90">
        <v>8</v>
      </c>
      <c r="AH2495" s="55" t="s">
        <v>2618</v>
      </c>
      <c r="AI2495" s="168">
        <v>5.9</v>
      </c>
      <c r="AJ2495" s="90">
        <v>0.88</v>
      </c>
      <c r="AM2495" s="55" t="s">
        <v>2617</v>
      </c>
      <c r="AN2495" s="185" t="s">
        <v>2620</v>
      </c>
      <c r="AO2495" s="185" t="s">
        <v>5150</v>
      </c>
      <c r="AQ2495" s="55" t="s">
        <v>4233</v>
      </c>
      <c r="AR2495" s="55" t="s">
        <v>1607</v>
      </c>
      <c r="AS2495" s="55" t="s">
        <v>132</v>
      </c>
      <c r="AT2495" s="181" t="s">
        <v>176</v>
      </c>
      <c r="AU2495" s="181" t="s">
        <v>5150</v>
      </c>
      <c r="AV2495" s="185" t="s">
        <v>176</v>
      </c>
      <c r="AW2495" s="55" t="s">
        <v>176</v>
      </c>
      <c r="AX2495" s="185" t="s">
        <v>176</v>
      </c>
      <c r="AY2495" s="55" t="s">
        <v>176</v>
      </c>
      <c r="BE2495" s="226" t="s">
        <v>2622</v>
      </c>
      <c r="BF2495" s="191" t="s">
        <v>479</v>
      </c>
      <c r="BG2495" s="55" t="s">
        <v>479</v>
      </c>
      <c r="BH2495" s="226" t="s">
        <v>2622</v>
      </c>
      <c r="BI2495" s="55" t="s">
        <v>479</v>
      </c>
      <c r="BJ2495" s="55" t="s">
        <v>176</v>
      </c>
      <c r="BK2495" s="55" t="s">
        <v>6333</v>
      </c>
      <c r="BM2495" s="192" t="s">
        <v>160</v>
      </c>
      <c r="BN2495" s="55">
        <v>3</v>
      </c>
      <c r="BO2495" s="55">
        <v>3</v>
      </c>
      <c r="BP2495" s="55">
        <v>3</v>
      </c>
      <c r="BQ2495" s="55" t="s">
        <v>2615</v>
      </c>
      <c r="BS2495" s="55">
        <v>9035</v>
      </c>
      <c r="CB2495" s="66">
        <v>3844</v>
      </c>
      <c r="CC2495" s="66">
        <v>6455</v>
      </c>
      <c r="GP2495" s="292" t="s">
        <v>7494</v>
      </c>
    </row>
    <row r="2496" spans="1:198" x14ac:dyDescent="0.25">
      <c r="A2496" s="55">
        <v>2495</v>
      </c>
      <c r="B2496" s="12" t="s">
        <v>7067</v>
      </c>
      <c r="C2496" s="155">
        <v>118</v>
      </c>
      <c r="D2496" s="55" t="s">
        <v>4236</v>
      </c>
      <c r="E2496" s="90" t="s">
        <v>2612</v>
      </c>
      <c r="G2496" s="55" t="s">
        <v>2613</v>
      </c>
      <c r="H2496" s="55">
        <v>2000</v>
      </c>
      <c r="I2496" s="55">
        <v>2006</v>
      </c>
      <c r="J2496" s="55" t="s">
        <v>2619</v>
      </c>
      <c r="K2496" s="55" t="s">
        <v>2616</v>
      </c>
      <c r="L2496" s="55" t="s">
        <v>2748</v>
      </c>
      <c r="M2496" s="90">
        <f>-15.5</f>
        <v>-15.5</v>
      </c>
      <c r="N2496" s="90">
        <f>35+15/60</f>
        <v>35.25</v>
      </c>
      <c r="O2496" s="90">
        <v>1030</v>
      </c>
      <c r="R2496" s="55">
        <v>786</v>
      </c>
      <c r="S2496" s="90">
        <v>1024</v>
      </c>
      <c r="U2496" s="55" t="s">
        <v>1679</v>
      </c>
      <c r="V2496" s="55" t="s">
        <v>1889</v>
      </c>
      <c r="Y2496" s="55" t="s">
        <v>2614</v>
      </c>
      <c r="Z2496" s="55" t="s">
        <v>1346</v>
      </c>
      <c r="AA2496" s="90" t="s">
        <v>1675</v>
      </c>
      <c r="AE2496" s="90">
        <v>46</v>
      </c>
      <c r="AF2496" s="90">
        <v>8</v>
      </c>
      <c r="AH2496" s="55" t="s">
        <v>2618</v>
      </c>
      <c r="AI2496" s="168">
        <v>5.9</v>
      </c>
      <c r="AJ2496" s="90">
        <v>0.88</v>
      </c>
      <c r="AM2496" s="55" t="s">
        <v>2617</v>
      </c>
      <c r="AN2496" s="185" t="s">
        <v>2620</v>
      </c>
      <c r="AO2496" s="185" t="s">
        <v>5150</v>
      </c>
      <c r="AQ2496" s="55" t="s">
        <v>4233</v>
      </c>
      <c r="AR2496" s="55" t="s">
        <v>1607</v>
      </c>
      <c r="AS2496" s="55" t="s">
        <v>132</v>
      </c>
      <c r="AT2496" s="181" t="s">
        <v>176</v>
      </c>
      <c r="AU2496" s="181" t="s">
        <v>5150</v>
      </c>
      <c r="AV2496" s="185" t="s">
        <v>176</v>
      </c>
      <c r="AW2496" s="55" t="s">
        <v>176</v>
      </c>
      <c r="AX2496" s="185" t="s">
        <v>176</v>
      </c>
      <c r="AY2496" s="55" t="s">
        <v>176</v>
      </c>
      <c r="BE2496" s="226" t="s">
        <v>2622</v>
      </c>
      <c r="BF2496" s="191" t="s">
        <v>479</v>
      </c>
      <c r="BG2496" s="55" t="s">
        <v>479</v>
      </c>
      <c r="BH2496" s="226" t="s">
        <v>2622</v>
      </c>
      <c r="BI2496" s="55" t="s">
        <v>479</v>
      </c>
      <c r="BJ2496" s="55" t="s">
        <v>176</v>
      </c>
      <c r="BK2496" s="55" t="s">
        <v>6333</v>
      </c>
      <c r="BM2496" s="192" t="s">
        <v>160</v>
      </c>
      <c r="BN2496" s="55">
        <v>3</v>
      </c>
      <c r="BO2496" s="55">
        <v>3</v>
      </c>
      <c r="BP2496" s="55">
        <v>3</v>
      </c>
      <c r="BQ2496" s="55" t="s">
        <v>2615</v>
      </c>
      <c r="BS2496" s="55">
        <v>7592</v>
      </c>
      <c r="CB2496" s="66">
        <v>2076</v>
      </c>
      <c r="CC2496" s="66">
        <v>3519</v>
      </c>
      <c r="GP2496" s="292" t="s">
        <v>7494</v>
      </c>
    </row>
    <row r="2497" spans="1:198" x14ac:dyDescent="0.25">
      <c r="A2497" s="55">
        <v>2496</v>
      </c>
      <c r="B2497" s="12" t="s">
        <v>7067</v>
      </c>
      <c r="C2497" s="155">
        <v>118</v>
      </c>
      <c r="D2497" s="55" t="s">
        <v>4236</v>
      </c>
      <c r="E2497" s="90" t="s">
        <v>2612</v>
      </c>
      <c r="G2497" s="55" t="s">
        <v>2613</v>
      </c>
      <c r="H2497" s="55">
        <v>2001</v>
      </c>
      <c r="I2497" s="55">
        <v>2006</v>
      </c>
      <c r="J2497" s="55" t="s">
        <v>2619</v>
      </c>
      <c r="K2497" s="55" t="s">
        <v>2616</v>
      </c>
      <c r="L2497" s="55" t="s">
        <v>2748</v>
      </c>
      <c r="M2497" s="90">
        <f>-15.5</f>
        <v>-15.5</v>
      </c>
      <c r="N2497" s="90">
        <f>35+15/60</f>
        <v>35.25</v>
      </c>
      <c r="O2497" s="90">
        <v>1030</v>
      </c>
      <c r="R2497" s="55">
        <v>1225</v>
      </c>
      <c r="S2497" s="90">
        <v>1024</v>
      </c>
      <c r="U2497" s="55" t="s">
        <v>1818</v>
      </c>
      <c r="V2497" s="55" t="s">
        <v>1889</v>
      </c>
      <c r="Y2497" s="55" t="s">
        <v>2614</v>
      </c>
      <c r="Z2497" s="55" t="s">
        <v>1346</v>
      </c>
      <c r="AA2497" s="90" t="s">
        <v>1675</v>
      </c>
      <c r="AE2497" s="90">
        <v>46</v>
      </c>
      <c r="AF2497" s="90">
        <v>8</v>
      </c>
      <c r="AH2497" s="55" t="s">
        <v>2618</v>
      </c>
      <c r="AI2497" s="168">
        <v>5.9</v>
      </c>
      <c r="AJ2497" s="90">
        <v>0.88</v>
      </c>
      <c r="AM2497" s="55" t="s">
        <v>2617</v>
      </c>
      <c r="AN2497" s="185" t="s">
        <v>2620</v>
      </c>
      <c r="AO2497" s="185" t="s">
        <v>5150</v>
      </c>
      <c r="AQ2497" s="55" t="s">
        <v>4233</v>
      </c>
      <c r="AR2497" s="55" t="s">
        <v>1607</v>
      </c>
      <c r="AS2497" s="55" t="s">
        <v>132</v>
      </c>
      <c r="AT2497" s="181" t="s">
        <v>176</v>
      </c>
      <c r="AU2497" s="181" t="s">
        <v>5150</v>
      </c>
      <c r="AV2497" s="185" t="s">
        <v>176</v>
      </c>
      <c r="AW2497" s="55" t="s">
        <v>176</v>
      </c>
      <c r="AX2497" s="185" t="s">
        <v>176</v>
      </c>
      <c r="AY2497" s="55" t="s">
        <v>176</v>
      </c>
      <c r="BE2497" s="226" t="s">
        <v>2622</v>
      </c>
      <c r="BF2497" s="191" t="s">
        <v>479</v>
      </c>
      <c r="BG2497" s="55" t="s">
        <v>479</v>
      </c>
      <c r="BH2497" s="226" t="s">
        <v>2622</v>
      </c>
      <c r="BI2497" s="55" t="s">
        <v>479</v>
      </c>
      <c r="BJ2497" s="55" t="s">
        <v>176</v>
      </c>
      <c r="BK2497" s="55" t="s">
        <v>6333</v>
      </c>
      <c r="BM2497" s="192" t="s">
        <v>160</v>
      </c>
      <c r="BN2497" s="55">
        <v>3</v>
      </c>
      <c r="BO2497" s="55">
        <v>3</v>
      </c>
      <c r="BP2497" s="55">
        <v>3</v>
      </c>
      <c r="BQ2497" s="55" t="s">
        <v>2615</v>
      </c>
      <c r="BS2497" s="55">
        <v>10094</v>
      </c>
      <c r="CB2497" s="66">
        <v>3018</v>
      </c>
      <c r="CC2497" s="66">
        <v>6344</v>
      </c>
      <c r="GP2497" s="292" t="s">
        <v>7494</v>
      </c>
    </row>
    <row r="2498" spans="1:198" x14ac:dyDescent="0.25">
      <c r="A2498" s="55">
        <v>2497</v>
      </c>
      <c r="B2498" s="12" t="s">
        <v>7067</v>
      </c>
      <c r="C2498" s="155">
        <v>118</v>
      </c>
      <c r="D2498" s="55" t="s">
        <v>4236</v>
      </c>
      <c r="E2498" s="90" t="s">
        <v>2612</v>
      </c>
      <c r="G2498" s="55" t="s">
        <v>2613</v>
      </c>
      <c r="H2498" s="55">
        <v>2002</v>
      </c>
      <c r="I2498" s="55">
        <v>2006</v>
      </c>
      <c r="J2498" s="55" t="s">
        <v>2619</v>
      </c>
      <c r="K2498" s="55" t="s">
        <v>2616</v>
      </c>
      <c r="L2498" s="55" t="s">
        <v>2748</v>
      </c>
      <c r="M2498" s="90">
        <f>-15.5</f>
        <v>-15.5</v>
      </c>
      <c r="N2498" s="90">
        <f>35+15/60</f>
        <v>35.25</v>
      </c>
      <c r="O2498" s="90">
        <v>1030</v>
      </c>
      <c r="R2498" s="55">
        <v>820</v>
      </c>
      <c r="S2498" s="90">
        <v>1024</v>
      </c>
      <c r="U2498" s="55" t="s">
        <v>1889</v>
      </c>
      <c r="V2498" s="55" t="s">
        <v>1889</v>
      </c>
      <c r="Y2498" s="55" t="s">
        <v>2614</v>
      </c>
      <c r="Z2498" s="55" t="s">
        <v>1346</v>
      </c>
      <c r="AA2498" s="90" t="s">
        <v>1675</v>
      </c>
      <c r="AE2498" s="90">
        <v>46</v>
      </c>
      <c r="AF2498" s="90">
        <v>8</v>
      </c>
      <c r="AH2498" s="55" t="s">
        <v>2618</v>
      </c>
      <c r="AI2498" s="168">
        <v>5.9</v>
      </c>
      <c r="AJ2498" s="90">
        <v>0.88</v>
      </c>
      <c r="AM2498" s="55" t="s">
        <v>2617</v>
      </c>
      <c r="AN2498" s="185" t="s">
        <v>2620</v>
      </c>
      <c r="AO2498" s="185" t="s">
        <v>5150</v>
      </c>
      <c r="AQ2498" s="55" t="s">
        <v>4233</v>
      </c>
      <c r="AR2498" s="55" t="s">
        <v>1607</v>
      </c>
      <c r="AS2498" s="55" t="s">
        <v>132</v>
      </c>
      <c r="AT2498" s="181" t="s">
        <v>176</v>
      </c>
      <c r="AU2498" s="181" t="s">
        <v>5150</v>
      </c>
      <c r="AV2498" s="185" t="s">
        <v>176</v>
      </c>
      <c r="AW2498" s="55" t="s">
        <v>176</v>
      </c>
      <c r="AX2498" s="185" t="s">
        <v>176</v>
      </c>
      <c r="AY2498" s="55" t="s">
        <v>176</v>
      </c>
      <c r="BE2498" s="226" t="s">
        <v>2622</v>
      </c>
      <c r="BF2498" s="191" t="s">
        <v>479</v>
      </c>
      <c r="BG2498" s="55" t="s">
        <v>479</v>
      </c>
      <c r="BH2498" s="226" t="s">
        <v>2622</v>
      </c>
      <c r="BI2498" s="55" t="s">
        <v>479</v>
      </c>
      <c r="BJ2498" s="55" t="s">
        <v>176</v>
      </c>
      <c r="BK2498" s="55" t="s">
        <v>6333</v>
      </c>
      <c r="BM2498" s="192" t="s">
        <v>160</v>
      </c>
      <c r="BN2498" s="55">
        <v>3</v>
      </c>
      <c r="BO2498" s="55">
        <v>3</v>
      </c>
      <c r="BP2498" s="55">
        <v>3</v>
      </c>
      <c r="BQ2498" s="55" t="s">
        <v>2615</v>
      </c>
      <c r="BS2498" s="55">
        <v>8882</v>
      </c>
      <c r="CB2498" s="66">
        <v>3620</v>
      </c>
      <c r="CC2498" s="66">
        <v>5120</v>
      </c>
      <c r="GP2498" s="292" t="s">
        <v>7494</v>
      </c>
    </row>
    <row r="2499" spans="1:198" x14ac:dyDescent="0.25">
      <c r="A2499" s="55">
        <v>2498</v>
      </c>
      <c r="B2499" s="12" t="s">
        <v>7067</v>
      </c>
      <c r="C2499" s="155">
        <v>118</v>
      </c>
      <c r="D2499" s="55" t="s">
        <v>4237</v>
      </c>
      <c r="E2499" s="90" t="s">
        <v>2612</v>
      </c>
      <c r="G2499" s="55" t="s">
        <v>2613</v>
      </c>
      <c r="H2499" s="55">
        <v>1998</v>
      </c>
      <c r="I2499" s="55">
        <v>2006</v>
      </c>
      <c r="J2499" s="55" t="s">
        <v>2619</v>
      </c>
      <c r="K2499" s="55" t="s">
        <v>2616</v>
      </c>
      <c r="L2499" s="55" t="s">
        <v>2748</v>
      </c>
      <c r="M2499" s="90">
        <f>-15.5</f>
        <v>-15.5</v>
      </c>
      <c r="N2499" s="90">
        <f>35+15/60</f>
        <v>35.25</v>
      </c>
      <c r="O2499" s="90">
        <v>1030</v>
      </c>
      <c r="R2499" s="55">
        <v>1015</v>
      </c>
      <c r="S2499" s="90">
        <v>1024</v>
      </c>
      <c r="U2499" s="55" t="s">
        <v>1940</v>
      </c>
      <c r="V2499" s="55" t="s">
        <v>1889</v>
      </c>
      <c r="Y2499" s="55" t="s">
        <v>2614</v>
      </c>
      <c r="Z2499" s="55" t="s">
        <v>1346</v>
      </c>
      <c r="AA2499" s="90" t="s">
        <v>1675</v>
      </c>
      <c r="AE2499" s="90">
        <v>46</v>
      </c>
      <c r="AF2499" s="90">
        <v>8</v>
      </c>
      <c r="AH2499" s="55" t="s">
        <v>2618</v>
      </c>
      <c r="AI2499" s="168">
        <v>5.9</v>
      </c>
      <c r="AJ2499" s="90">
        <v>0.88</v>
      </c>
      <c r="AM2499" s="55" t="s">
        <v>2617</v>
      </c>
      <c r="AN2499" s="185" t="s">
        <v>2620</v>
      </c>
      <c r="AO2499" s="185" t="s">
        <v>5150</v>
      </c>
      <c r="AQ2499" s="55" t="s">
        <v>4233</v>
      </c>
      <c r="AR2499" s="55" t="s">
        <v>1607</v>
      </c>
      <c r="AS2499" s="55" t="s">
        <v>132</v>
      </c>
      <c r="AT2499" s="181" t="s">
        <v>176</v>
      </c>
      <c r="AU2499" s="181" t="s">
        <v>5150</v>
      </c>
      <c r="AV2499" s="185" t="s">
        <v>176</v>
      </c>
      <c r="AW2499" s="55" t="s">
        <v>176</v>
      </c>
      <c r="AX2499" s="185" t="s">
        <v>176</v>
      </c>
      <c r="AY2499" s="55" t="s">
        <v>176</v>
      </c>
      <c r="BE2499" s="226" t="s">
        <v>2624</v>
      </c>
      <c r="BF2499" s="191" t="s">
        <v>176</v>
      </c>
      <c r="BG2499" s="191" t="s">
        <v>176</v>
      </c>
      <c r="BH2499" s="226" t="s">
        <v>2624</v>
      </c>
      <c r="BI2499" s="191" t="s">
        <v>176</v>
      </c>
      <c r="BJ2499" s="55" t="s">
        <v>176</v>
      </c>
      <c r="BK2499" s="55" t="s">
        <v>6333</v>
      </c>
      <c r="BM2499" s="192" t="s">
        <v>160</v>
      </c>
      <c r="BN2499" s="55">
        <v>3</v>
      </c>
      <c r="BO2499" s="55">
        <v>3</v>
      </c>
      <c r="BP2499" s="55">
        <v>3</v>
      </c>
      <c r="BQ2499" s="55" t="s">
        <v>2615</v>
      </c>
      <c r="CB2499" s="66">
        <v>700</v>
      </c>
      <c r="CC2499" s="66">
        <v>3779</v>
      </c>
      <c r="GP2499" s="292" t="s">
        <v>7494</v>
      </c>
    </row>
    <row r="2500" spans="1:198" x14ac:dyDescent="0.25">
      <c r="A2500" s="55">
        <v>2499</v>
      </c>
      <c r="B2500" s="12" t="s">
        <v>7067</v>
      </c>
      <c r="C2500" s="155">
        <v>118</v>
      </c>
      <c r="D2500" s="55" t="s">
        <v>4237</v>
      </c>
      <c r="E2500" s="90" t="s">
        <v>2612</v>
      </c>
      <c r="G2500" s="55" t="s">
        <v>2613</v>
      </c>
      <c r="H2500" s="55">
        <v>1998</v>
      </c>
      <c r="I2500" s="55">
        <v>2006</v>
      </c>
      <c r="J2500" s="55" t="s">
        <v>2619</v>
      </c>
      <c r="K2500" s="55" t="s">
        <v>2616</v>
      </c>
      <c r="L2500" s="55" t="s">
        <v>2748</v>
      </c>
      <c r="M2500" s="90">
        <f>-15.5</f>
        <v>-15.5</v>
      </c>
      <c r="N2500" s="90">
        <f>35+15/60</f>
        <v>35.25</v>
      </c>
      <c r="O2500" s="90">
        <v>1030</v>
      </c>
      <c r="R2500" s="55">
        <v>1015</v>
      </c>
      <c r="S2500" s="90">
        <v>1024</v>
      </c>
      <c r="U2500" s="55" t="s">
        <v>1940</v>
      </c>
      <c r="V2500" s="55" t="s">
        <v>1889</v>
      </c>
      <c r="Y2500" s="55" t="s">
        <v>2614</v>
      </c>
      <c r="Z2500" s="55" t="s">
        <v>1346</v>
      </c>
      <c r="AA2500" s="90" t="s">
        <v>1675</v>
      </c>
      <c r="AE2500" s="90">
        <v>46</v>
      </c>
      <c r="AF2500" s="90">
        <v>8</v>
      </c>
      <c r="AH2500" s="55" t="s">
        <v>2618</v>
      </c>
      <c r="AI2500" s="168">
        <v>5.9</v>
      </c>
      <c r="AJ2500" s="90">
        <v>0.88</v>
      </c>
      <c r="AM2500" s="55" t="s">
        <v>2617</v>
      </c>
      <c r="AN2500" s="185" t="s">
        <v>2620</v>
      </c>
      <c r="AO2500" s="185" t="s">
        <v>5150</v>
      </c>
      <c r="AQ2500" s="55" t="s">
        <v>4233</v>
      </c>
      <c r="AR2500" s="55" t="s">
        <v>1607</v>
      </c>
      <c r="AS2500" s="55" t="s">
        <v>132</v>
      </c>
      <c r="AT2500" s="181" t="s">
        <v>176</v>
      </c>
      <c r="AU2500" s="181" t="s">
        <v>5150</v>
      </c>
      <c r="AV2500" s="185" t="s">
        <v>176</v>
      </c>
      <c r="AW2500" s="55" t="s">
        <v>176</v>
      </c>
      <c r="AX2500" s="185" t="s">
        <v>176</v>
      </c>
      <c r="AY2500" s="55" t="s">
        <v>176</v>
      </c>
      <c r="BE2500" s="226" t="s">
        <v>2625</v>
      </c>
      <c r="BF2500" s="191" t="s">
        <v>176</v>
      </c>
      <c r="BG2500" s="191" t="s">
        <v>176</v>
      </c>
      <c r="BH2500" s="226" t="s">
        <v>2625</v>
      </c>
      <c r="BI2500" s="191" t="s">
        <v>176</v>
      </c>
      <c r="BJ2500" s="55" t="s">
        <v>176</v>
      </c>
      <c r="BK2500" s="55" t="s">
        <v>6333</v>
      </c>
      <c r="BM2500" s="192" t="s">
        <v>160</v>
      </c>
      <c r="BN2500" s="55">
        <v>3</v>
      </c>
      <c r="BO2500" s="55">
        <v>3</v>
      </c>
      <c r="BP2500" s="55">
        <v>3</v>
      </c>
      <c r="BQ2500" s="55" t="s">
        <v>2615</v>
      </c>
      <c r="CB2500" s="66">
        <v>1101</v>
      </c>
      <c r="CC2500" s="66">
        <v>3794</v>
      </c>
      <c r="GP2500" s="292" t="s">
        <v>7494</v>
      </c>
    </row>
    <row r="2501" spans="1:198" x14ac:dyDescent="0.25">
      <c r="A2501" s="55">
        <v>2500</v>
      </c>
      <c r="B2501" s="12" t="s">
        <v>7067</v>
      </c>
      <c r="C2501" s="155">
        <v>118</v>
      </c>
      <c r="D2501" s="55" t="s">
        <v>4237</v>
      </c>
      <c r="E2501" s="90" t="s">
        <v>2612</v>
      </c>
      <c r="G2501" s="55" t="s">
        <v>2613</v>
      </c>
      <c r="H2501" s="55">
        <v>1998</v>
      </c>
      <c r="I2501" s="55">
        <v>2006</v>
      </c>
      <c r="J2501" s="55" t="s">
        <v>2619</v>
      </c>
      <c r="K2501" s="55" t="s">
        <v>2616</v>
      </c>
      <c r="L2501" s="55" t="s">
        <v>2748</v>
      </c>
      <c r="M2501" s="90">
        <f>-15.5</f>
        <v>-15.5</v>
      </c>
      <c r="N2501" s="90">
        <f>35+15/60</f>
        <v>35.25</v>
      </c>
      <c r="O2501" s="90">
        <v>1030</v>
      </c>
      <c r="R2501" s="55">
        <v>1015</v>
      </c>
      <c r="S2501" s="90">
        <v>1024</v>
      </c>
      <c r="U2501" s="55" t="s">
        <v>1940</v>
      </c>
      <c r="V2501" s="55" t="s">
        <v>1889</v>
      </c>
      <c r="Y2501" s="55" t="s">
        <v>2614</v>
      </c>
      <c r="Z2501" s="55" t="s">
        <v>1346</v>
      </c>
      <c r="AA2501" s="90" t="s">
        <v>1675</v>
      </c>
      <c r="AE2501" s="90">
        <v>46</v>
      </c>
      <c r="AF2501" s="90">
        <v>8</v>
      </c>
      <c r="AH2501" s="55" t="s">
        <v>2618</v>
      </c>
      <c r="AI2501" s="168">
        <v>5.9</v>
      </c>
      <c r="AJ2501" s="90">
        <v>0.88</v>
      </c>
      <c r="AM2501" s="55" t="s">
        <v>2617</v>
      </c>
      <c r="AN2501" s="185" t="s">
        <v>2620</v>
      </c>
      <c r="AO2501" s="185" t="s">
        <v>5150</v>
      </c>
      <c r="AQ2501" s="55" t="s">
        <v>4233</v>
      </c>
      <c r="AR2501" s="55" t="s">
        <v>1607</v>
      </c>
      <c r="AS2501" s="55" t="s">
        <v>132</v>
      </c>
      <c r="AT2501" s="181" t="s">
        <v>176</v>
      </c>
      <c r="AU2501" s="181" t="s">
        <v>5150</v>
      </c>
      <c r="AV2501" s="185" t="s">
        <v>176</v>
      </c>
      <c r="AW2501" s="55" t="s">
        <v>176</v>
      </c>
      <c r="AX2501" s="185" t="s">
        <v>176</v>
      </c>
      <c r="AY2501" s="55" t="s">
        <v>176</v>
      </c>
      <c r="BE2501" s="226" t="s">
        <v>2626</v>
      </c>
      <c r="BF2501" s="191" t="s">
        <v>176</v>
      </c>
      <c r="BG2501" s="191" t="s">
        <v>176</v>
      </c>
      <c r="BH2501" s="226" t="s">
        <v>2626</v>
      </c>
      <c r="BI2501" s="191" t="s">
        <v>176</v>
      </c>
      <c r="BJ2501" s="55" t="s">
        <v>176</v>
      </c>
      <c r="BK2501" s="55" t="s">
        <v>6333</v>
      </c>
      <c r="BM2501" s="192" t="s">
        <v>160</v>
      </c>
      <c r="BN2501" s="55">
        <v>3</v>
      </c>
      <c r="BO2501" s="55">
        <v>3</v>
      </c>
      <c r="BP2501" s="55">
        <v>3</v>
      </c>
      <c r="BQ2501" s="55" t="s">
        <v>2615</v>
      </c>
      <c r="CB2501" s="66">
        <v>937</v>
      </c>
      <c r="CC2501" s="66">
        <v>3591</v>
      </c>
      <c r="GP2501" s="292" t="s">
        <v>7494</v>
      </c>
    </row>
    <row r="2502" spans="1:198" x14ac:dyDescent="0.25">
      <c r="A2502" s="55">
        <v>2501</v>
      </c>
      <c r="B2502" s="12" t="s">
        <v>7067</v>
      </c>
      <c r="C2502" s="155">
        <v>118</v>
      </c>
      <c r="D2502" s="55" t="s">
        <v>4238</v>
      </c>
      <c r="E2502" s="90" t="s">
        <v>2612</v>
      </c>
      <c r="G2502" s="55" t="s">
        <v>2613</v>
      </c>
      <c r="H2502" s="55">
        <v>1998</v>
      </c>
      <c r="I2502" s="55">
        <v>2006</v>
      </c>
      <c r="J2502" s="55" t="s">
        <v>2619</v>
      </c>
      <c r="K2502" s="55" t="s">
        <v>2616</v>
      </c>
      <c r="L2502" s="55" t="s">
        <v>2748</v>
      </c>
      <c r="M2502" s="90">
        <f>-15.5</f>
        <v>-15.5</v>
      </c>
      <c r="N2502" s="90">
        <f>35+15/60</f>
        <v>35.25</v>
      </c>
      <c r="O2502" s="90">
        <v>1030</v>
      </c>
      <c r="R2502" s="55">
        <v>1015</v>
      </c>
      <c r="S2502" s="90">
        <v>1024</v>
      </c>
      <c r="U2502" s="55" t="s">
        <v>1940</v>
      </c>
      <c r="V2502" s="55" t="s">
        <v>1889</v>
      </c>
      <c r="Y2502" s="55" t="s">
        <v>2614</v>
      </c>
      <c r="Z2502" s="55" t="s">
        <v>1346</v>
      </c>
      <c r="AA2502" s="90" t="s">
        <v>1675</v>
      </c>
      <c r="AE2502" s="90">
        <v>46</v>
      </c>
      <c r="AF2502" s="90">
        <v>8</v>
      </c>
      <c r="AH2502" s="55" t="s">
        <v>2618</v>
      </c>
      <c r="AI2502" s="168">
        <v>5.9</v>
      </c>
      <c r="AJ2502" s="90">
        <v>0.88</v>
      </c>
      <c r="AM2502" s="55" t="s">
        <v>2617</v>
      </c>
      <c r="AN2502" s="185" t="s">
        <v>2620</v>
      </c>
      <c r="AO2502" s="185" t="s">
        <v>5150</v>
      </c>
      <c r="AQ2502" s="55" t="s">
        <v>4233</v>
      </c>
      <c r="AR2502" s="55" t="s">
        <v>1607</v>
      </c>
      <c r="AS2502" s="55" t="s">
        <v>132</v>
      </c>
      <c r="AT2502" s="181" t="s">
        <v>176</v>
      </c>
      <c r="AU2502" s="181" t="s">
        <v>5150</v>
      </c>
      <c r="AV2502" s="185" t="s">
        <v>176</v>
      </c>
      <c r="AW2502" s="55" t="s">
        <v>176</v>
      </c>
      <c r="AX2502" s="185" t="s">
        <v>176</v>
      </c>
      <c r="AY2502" s="55" t="s">
        <v>176</v>
      </c>
      <c r="BE2502" s="226" t="s">
        <v>2627</v>
      </c>
      <c r="BF2502" s="191" t="s">
        <v>479</v>
      </c>
      <c r="BG2502" s="191" t="s">
        <v>479</v>
      </c>
      <c r="BH2502" s="226" t="s">
        <v>2627</v>
      </c>
      <c r="BI2502" s="191" t="s">
        <v>479</v>
      </c>
      <c r="BJ2502" s="55" t="s">
        <v>176</v>
      </c>
      <c r="BK2502" s="55" t="s">
        <v>6333</v>
      </c>
      <c r="BM2502" s="192" t="s">
        <v>160</v>
      </c>
      <c r="BN2502" s="55">
        <v>3</v>
      </c>
      <c r="BO2502" s="55">
        <v>3</v>
      </c>
      <c r="BP2502" s="55">
        <v>3</v>
      </c>
      <c r="BQ2502" s="55" t="s">
        <v>2615</v>
      </c>
      <c r="CB2502" s="66">
        <v>1487</v>
      </c>
      <c r="CC2502" s="66">
        <v>4892</v>
      </c>
      <c r="GP2502" s="292" t="s">
        <v>7494</v>
      </c>
    </row>
    <row r="2503" spans="1:198" x14ac:dyDescent="0.25">
      <c r="A2503" s="55">
        <v>2502</v>
      </c>
      <c r="B2503" s="12" t="s">
        <v>7067</v>
      </c>
      <c r="C2503" s="155">
        <v>118</v>
      </c>
      <c r="D2503" s="55" t="s">
        <v>4238</v>
      </c>
      <c r="E2503" s="90" t="s">
        <v>2612</v>
      </c>
      <c r="G2503" s="55" t="s">
        <v>2613</v>
      </c>
      <c r="H2503" s="55">
        <v>1998</v>
      </c>
      <c r="I2503" s="55">
        <v>2006</v>
      </c>
      <c r="J2503" s="55" t="s">
        <v>2619</v>
      </c>
      <c r="K2503" s="55" t="s">
        <v>2616</v>
      </c>
      <c r="L2503" s="55" t="s">
        <v>2748</v>
      </c>
      <c r="M2503" s="90">
        <f>-15.5</f>
        <v>-15.5</v>
      </c>
      <c r="N2503" s="90">
        <f>35+15/60</f>
        <v>35.25</v>
      </c>
      <c r="O2503" s="90">
        <v>1030</v>
      </c>
      <c r="R2503" s="55">
        <v>1015</v>
      </c>
      <c r="S2503" s="90">
        <v>1024</v>
      </c>
      <c r="U2503" s="55" t="s">
        <v>1940</v>
      </c>
      <c r="V2503" s="55" t="s">
        <v>1889</v>
      </c>
      <c r="Y2503" s="55" t="s">
        <v>2614</v>
      </c>
      <c r="Z2503" s="55" t="s">
        <v>1346</v>
      </c>
      <c r="AA2503" s="90" t="s">
        <v>1675</v>
      </c>
      <c r="AE2503" s="90">
        <v>46</v>
      </c>
      <c r="AF2503" s="90">
        <v>8</v>
      </c>
      <c r="AH2503" s="55" t="s">
        <v>2618</v>
      </c>
      <c r="AI2503" s="168">
        <v>5.9</v>
      </c>
      <c r="AJ2503" s="90">
        <v>0.88</v>
      </c>
      <c r="AM2503" s="55" t="s">
        <v>2617</v>
      </c>
      <c r="AN2503" s="185" t="s">
        <v>2620</v>
      </c>
      <c r="AO2503" s="185" t="s">
        <v>5150</v>
      </c>
      <c r="AQ2503" s="55" t="s">
        <v>4233</v>
      </c>
      <c r="AR2503" s="55" t="s">
        <v>1607</v>
      </c>
      <c r="AS2503" s="55" t="s">
        <v>132</v>
      </c>
      <c r="AT2503" s="181" t="s">
        <v>176</v>
      </c>
      <c r="AU2503" s="181" t="s">
        <v>5150</v>
      </c>
      <c r="AV2503" s="185" t="s">
        <v>176</v>
      </c>
      <c r="AW2503" s="55" t="s">
        <v>176</v>
      </c>
      <c r="AX2503" s="185" t="s">
        <v>176</v>
      </c>
      <c r="AY2503" s="55" t="s">
        <v>176</v>
      </c>
      <c r="BE2503" s="226" t="s">
        <v>2629</v>
      </c>
      <c r="BF2503" s="191" t="s">
        <v>479</v>
      </c>
      <c r="BG2503" s="191" t="s">
        <v>479</v>
      </c>
      <c r="BH2503" s="226" t="s">
        <v>2629</v>
      </c>
      <c r="BI2503" s="191" t="s">
        <v>479</v>
      </c>
      <c r="BJ2503" s="55" t="s">
        <v>176</v>
      </c>
      <c r="BK2503" s="55" t="s">
        <v>6333</v>
      </c>
      <c r="BM2503" s="192" t="s">
        <v>160</v>
      </c>
      <c r="BN2503" s="55">
        <v>3</v>
      </c>
      <c r="BO2503" s="55">
        <v>3</v>
      </c>
      <c r="BP2503" s="55">
        <v>3</v>
      </c>
      <c r="BQ2503" s="55" t="s">
        <v>2615</v>
      </c>
      <c r="CB2503" s="66">
        <v>2035</v>
      </c>
      <c r="CC2503" s="66">
        <v>3605</v>
      </c>
      <c r="GP2503" s="292" t="s">
        <v>7494</v>
      </c>
    </row>
    <row r="2504" spans="1:198" x14ac:dyDescent="0.25">
      <c r="A2504" s="55">
        <v>2503</v>
      </c>
      <c r="B2504" s="12" t="s">
        <v>7067</v>
      </c>
      <c r="C2504" s="155">
        <v>118</v>
      </c>
      <c r="D2504" s="55" t="s">
        <v>4238</v>
      </c>
      <c r="E2504" s="90" t="s">
        <v>2612</v>
      </c>
      <c r="G2504" s="55" t="s">
        <v>2613</v>
      </c>
      <c r="H2504" s="55">
        <v>1998</v>
      </c>
      <c r="I2504" s="55">
        <v>2006</v>
      </c>
      <c r="J2504" s="55" t="s">
        <v>2619</v>
      </c>
      <c r="K2504" s="55" t="s">
        <v>2616</v>
      </c>
      <c r="L2504" s="55" t="s">
        <v>2748</v>
      </c>
      <c r="M2504" s="90">
        <f>-15.5</f>
        <v>-15.5</v>
      </c>
      <c r="N2504" s="90">
        <f>35+15/60</f>
        <v>35.25</v>
      </c>
      <c r="O2504" s="90">
        <v>1030</v>
      </c>
      <c r="R2504" s="55">
        <v>1015</v>
      </c>
      <c r="S2504" s="90">
        <v>1024</v>
      </c>
      <c r="U2504" s="55" t="s">
        <v>1940</v>
      </c>
      <c r="V2504" s="55" t="s">
        <v>1889</v>
      </c>
      <c r="Y2504" s="55" t="s">
        <v>2614</v>
      </c>
      <c r="Z2504" s="55" t="s">
        <v>1346</v>
      </c>
      <c r="AA2504" s="90" t="s">
        <v>1675</v>
      </c>
      <c r="AE2504" s="90">
        <v>46</v>
      </c>
      <c r="AF2504" s="90">
        <v>8</v>
      </c>
      <c r="AH2504" s="55" t="s">
        <v>2618</v>
      </c>
      <c r="AI2504" s="168">
        <v>5.9</v>
      </c>
      <c r="AJ2504" s="90">
        <v>0.88</v>
      </c>
      <c r="AM2504" s="55" t="s">
        <v>2617</v>
      </c>
      <c r="AN2504" s="185" t="s">
        <v>2620</v>
      </c>
      <c r="AO2504" s="185" t="s">
        <v>5150</v>
      </c>
      <c r="AQ2504" s="55" t="s">
        <v>4233</v>
      </c>
      <c r="AR2504" s="55" t="s">
        <v>1607</v>
      </c>
      <c r="AS2504" s="55" t="s">
        <v>132</v>
      </c>
      <c r="AT2504" s="181" t="s">
        <v>176</v>
      </c>
      <c r="AU2504" s="181" t="s">
        <v>5150</v>
      </c>
      <c r="AV2504" s="185" t="s">
        <v>176</v>
      </c>
      <c r="AW2504" s="55" t="s">
        <v>176</v>
      </c>
      <c r="AX2504" s="185" t="s">
        <v>176</v>
      </c>
      <c r="AY2504" s="55" t="s">
        <v>176</v>
      </c>
      <c r="BE2504" s="226" t="s">
        <v>2630</v>
      </c>
      <c r="BF2504" s="191" t="s">
        <v>479</v>
      </c>
      <c r="BG2504" s="191" t="s">
        <v>479</v>
      </c>
      <c r="BH2504" s="226" t="s">
        <v>2630</v>
      </c>
      <c r="BI2504" s="191" t="s">
        <v>479</v>
      </c>
      <c r="BJ2504" s="55" t="s">
        <v>176</v>
      </c>
      <c r="BK2504" s="55" t="s">
        <v>6333</v>
      </c>
      <c r="BM2504" s="192" t="s">
        <v>160</v>
      </c>
      <c r="BN2504" s="55">
        <v>3</v>
      </c>
      <c r="BO2504" s="55">
        <v>3</v>
      </c>
      <c r="BP2504" s="55">
        <v>3</v>
      </c>
      <c r="BQ2504" s="55" t="s">
        <v>2615</v>
      </c>
      <c r="CB2504" s="66">
        <v>2359</v>
      </c>
      <c r="CC2504" s="66">
        <v>3285</v>
      </c>
      <c r="GP2504" s="292" t="s">
        <v>7494</v>
      </c>
    </row>
    <row r="2505" spans="1:198" x14ac:dyDescent="0.25">
      <c r="A2505" s="55">
        <v>2504</v>
      </c>
      <c r="B2505" s="12" t="s">
        <v>7067</v>
      </c>
      <c r="C2505" s="155">
        <v>118</v>
      </c>
      <c r="D2505" s="55" t="s">
        <v>4239</v>
      </c>
      <c r="E2505" s="90" t="s">
        <v>2612</v>
      </c>
      <c r="G2505" s="55" t="s">
        <v>2613</v>
      </c>
      <c r="H2505" s="55">
        <v>1998</v>
      </c>
      <c r="I2505" s="55">
        <v>2006</v>
      </c>
      <c r="J2505" s="55" t="s">
        <v>2619</v>
      </c>
      <c r="K2505" s="55" t="s">
        <v>2616</v>
      </c>
      <c r="L2505" s="55" t="s">
        <v>2748</v>
      </c>
      <c r="M2505" s="90">
        <f>-15.5</f>
        <v>-15.5</v>
      </c>
      <c r="N2505" s="90">
        <f>35+15/60</f>
        <v>35.25</v>
      </c>
      <c r="O2505" s="90">
        <v>1030</v>
      </c>
      <c r="R2505" s="55">
        <v>1015</v>
      </c>
      <c r="S2505" s="90">
        <v>1024</v>
      </c>
      <c r="U2505" s="55" t="s">
        <v>1940</v>
      </c>
      <c r="V2505" s="55" t="s">
        <v>1889</v>
      </c>
      <c r="Y2505" s="55" t="s">
        <v>2614</v>
      </c>
      <c r="Z2505" s="55" t="s">
        <v>1346</v>
      </c>
      <c r="AA2505" s="90" t="s">
        <v>1675</v>
      </c>
      <c r="AE2505" s="90">
        <v>46</v>
      </c>
      <c r="AF2505" s="90">
        <v>8</v>
      </c>
      <c r="AH2505" s="55" t="s">
        <v>2618</v>
      </c>
      <c r="AI2505" s="168">
        <v>5.9</v>
      </c>
      <c r="AJ2505" s="90">
        <v>0.88</v>
      </c>
      <c r="AM2505" s="55" t="s">
        <v>2617</v>
      </c>
      <c r="AN2505" s="185" t="s">
        <v>2620</v>
      </c>
      <c r="AO2505" s="185" t="s">
        <v>5150</v>
      </c>
      <c r="AQ2505" s="55" t="s">
        <v>4233</v>
      </c>
      <c r="AR2505" s="55" t="s">
        <v>1607</v>
      </c>
      <c r="AS2505" s="55" t="s">
        <v>132</v>
      </c>
      <c r="AT2505" s="181" t="s">
        <v>176</v>
      </c>
      <c r="AU2505" s="181" t="s">
        <v>5150</v>
      </c>
      <c r="AV2505" s="185" t="s">
        <v>176</v>
      </c>
      <c r="AW2505" s="55" t="s">
        <v>176</v>
      </c>
      <c r="AX2505" s="185" t="s">
        <v>176</v>
      </c>
      <c r="AY2505" s="55" t="s">
        <v>176</v>
      </c>
      <c r="BE2505" s="226" t="s">
        <v>2628</v>
      </c>
      <c r="BF2505" s="191" t="s">
        <v>479</v>
      </c>
      <c r="BG2505" s="191" t="s">
        <v>479</v>
      </c>
      <c r="BH2505" s="226" t="s">
        <v>2628</v>
      </c>
      <c r="BI2505" s="191" t="s">
        <v>479</v>
      </c>
      <c r="BJ2505" s="55" t="s">
        <v>176</v>
      </c>
      <c r="BK2505" s="55" t="s">
        <v>6333</v>
      </c>
      <c r="BM2505" s="192" t="s">
        <v>160</v>
      </c>
      <c r="BN2505" s="55">
        <v>3</v>
      </c>
      <c r="BO2505" s="55">
        <v>3</v>
      </c>
      <c r="BP2505" s="55">
        <v>3</v>
      </c>
      <c r="BQ2505" s="55" t="s">
        <v>2615</v>
      </c>
      <c r="CB2505" s="66">
        <v>2354</v>
      </c>
      <c r="CC2505" s="66">
        <v>4279</v>
      </c>
      <c r="GP2505" s="292" t="s">
        <v>7494</v>
      </c>
    </row>
    <row r="2506" spans="1:198" x14ac:dyDescent="0.25">
      <c r="A2506" s="55">
        <v>2505</v>
      </c>
      <c r="B2506" s="12" t="s">
        <v>7067</v>
      </c>
      <c r="C2506" s="155">
        <v>118</v>
      </c>
      <c r="D2506" s="55" t="s">
        <v>4239</v>
      </c>
      <c r="E2506" s="90" t="s">
        <v>2612</v>
      </c>
      <c r="G2506" s="55" t="s">
        <v>2613</v>
      </c>
      <c r="H2506" s="55">
        <v>1998</v>
      </c>
      <c r="I2506" s="55">
        <v>2006</v>
      </c>
      <c r="J2506" s="55" t="s">
        <v>2619</v>
      </c>
      <c r="K2506" s="55" t="s">
        <v>2616</v>
      </c>
      <c r="L2506" s="55" t="s">
        <v>2748</v>
      </c>
      <c r="M2506" s="90">
        <f>-15.5</f>
        <v>-15.5</v>
      </c>
      <c r="N2506" s="90">
        <f>35+15/60</f>
        <v>35.25</v>
      </c>
      <c r="O2506" s="90">
        <v>1030</v>
      </c>
      <c r="R2506" s="55">
        <v>1015</v>
      </c>
      <c r="S2506" s="90">
        <v>1024</v>
      </c>
      <c r="U2506" s="55" t="s">
        <v>1940</v>
      </c>
      <c r="V2506" s="55" t="s">
        <v>1889</v>
      </c>
      <c r="Y2506" s="55" t="s">
        <v>2614</v>
      </c>
      <c r="Z2506" s="55" t="s">
        <v>1346</v>
      </c>
      <c r="AA2506" s="90" t="s">
        <v>1675</v>
      </c>
      <c r="AE2506" s="90">
        <v>46</v>
      </c>
      <c r="AF2506" s="90">
        <v>8</v>
      </c>
      <c r="AH2506" s="55" t="s">
        <v>2618</v>
      </c>
      <c r="AI2506" s="168">
        <v>5.9</v>
      </c>
      <c r="AJ2506" s="90">
        <v>0.88</v>
      </c>
      <c r="AM2506" s="55" t="s">
        <v>2617</v>
      </c>
      <c r="AN2506" s="185" t="s">
        <v>2620</v>
      </c>
      <c r="AO2506" s="185" t="s">
        <v>5150</v>
      </c>
      <c r="AQ2506" s="55" t="s">
        <v>4233</v>
      </c>
      <c r="AR2506" s="55" t="s">
        <v>1607</v>
      </c>
      <c r="AS2506" s="55" t="s">
        <v>132</v>
      </c>
      <c r="AT2506" s="181" t="s">
        <v>176</v>
      </c>
      <c r="AU2506" s="181" t="s">
        <v>5150</v>
      </c>
      <c r="AV2506" s="185" t="s">
        <v>176</v>
      </c>
      <c r="AW2506" s="55" t="s">
        <v>176</v>
      </c>
      <c r="AX2506" s="185" t="s">
        <v>176</v>
      </c>
      <c r="AY2506" s="55" t="s">
        <v>176</v>
      </c>
      <c r="BE2506" s="226" t="s">
        <v>2631</v>
      </c>
      <c r="BF2506" s="191" t="s">
        <v>479</v>
      </c>
      <c r="BG2506" s="191" t="s">
        <v>479</v>
      </c>
      <c r="BH2506" s="226" t="s">
        <v>2631</v>
      </c>
      <c r="BI2506" s="191" t="s">
        <v>479</v>
      </c>
      <c r="BJ2506" s="55" t="s">
        <v>176</v>
      </c>
      <c r="BK2506" s="55" t="s">
        <v>6333</v>
      </c>
      <c r="BM2506" s="192" t="s">
        <v>160</v>
      </c>
      <c r="BN2506" s="55">
        <v>3</v>
      </c>
      <c r="BO2506" s="55">
        <v>3</v>
      </c>
      <c r="BP2506" s="55">
        <v>3</v>
      </c>
      <c r="BQ2506" s="55" t="s">
        <v>2615</v>
      </c>
      <c r="CB2506" s="66">
        <v>2797</v>
      </c>
      <c r="CC2506" s="66">
        <v>3912</v>
      </c>
      <c r="GP2506" s="292" t="s">
        <v>7494</v>
      </c>
    </row>
    <row r="2507" spans="1:198" x14ac:dyDescent="0.25">
      <c r="A2507" s="55">
        <v>2506</v>
      </c>
      <c r="B2507" s="12" t="s">
        <v>7067</v>
      </c>
      <c r="C2507" s="155">
        <v>118</v>
      </c>
      <c r="D2507" s="55" t="s">
        <v>4239</v>
      </c>
      <c r="E2507" s="90" t="s">
        <v>2612</v>
      </c>
      <c r="G2507" s="55" t="s">
        <v>2613</v>
      </c>
      <c r="H2507" s="55">
        <v>1998</v>
      </c>
      <c r="I2507" s="55">
        <v>2006</v>
      </c>
      <c r="J2507" s="55" t="s">
        <v>2619</v>
      </c>
      <c r="K2507" s="55" t="s">
        <v>2616</v>
      </c>
      <c r="L2507" s="55" t="s">
        <v>2748</v>
      </c>
      <c r="M2507" s="90">
        <f>-15.5</f>
        <v>-15.5</v>
      </c>
      <c r="N2507" s="90">
        <f>35+15/60</f>
        <v>35.25</v>
      </c>
      <c r="O2507" s="90">
        <v>1030</v>
      </c>
      <c r="R2507" s="55">
        <v>1015</v>
      </c>
      <c r="S2507" s="90">
        <v>1024</v>
      </c>
      <c r="U2507" s="55" t="s">
        <v>1940</v>
      </c>
      <c r="V2507" s="55" t="s">
        <v>1889</v>
      </c>
      <c r="Y2507" s="55" t="s">
        <v>2614</v>
      </c>
      <c r="Z2507" s="55" t="s">
        <v>1346</v>
      </c>
      <c r="AA2507" s="90" t="s">
        <v>1675</v>
      </c>
      <c r="AE2507" s="90">
        <v>46</v>
      </c>
      <c r="AF2507" s="90">
        <v>8</v>
      </c>
      <c r="AH2507" s="55" t="s">
        <v>2618</v>
      </c>
      <c r="AI2507" s="168">
        <v>5.9</v>
      </c>
      <c r="AJ2507" s="90">
        <v>0.88</v>
      </c>
      <c r="AM2507" s="55" t="s">
        <v>2617</v>
      </c>
      <c r="AN2507" s="185" t="s">
        <v>2620</v>
      </c>
      <c r="AO2507" s="185" t="s">
        <v>5150</v>
      </c>
      <c r="AQ2507" s="55" t="s">
        <v>4233</v>
      </c>
      <c r="AR2507" s="55" t="s">
        <v>1607</v>
      </c>
      <c r="AS2507" s="55" t="s">
        <v>132</v>
      </c>
      <c r="AT2507" s="181" t="s">
        <v>176</v>
      </c>
      <c r="AU2507" s="181" t="s">
        <v>5150</v>
      </c>
      <c r="AV2507" s="185" t="s">
        <v>176</v>
      </c>
      <c r="AW2507" s="55" t="s">
        <v>176</v>
      </c>
      <c r="AX2507" s="185" t="s">
        <v>176</v>
      </c>
      <c r="AY2507" s="55" t="s">
        <v>176</v>
      </c>
      <c r="BE2507" s="226" t="s">
        <v>2632</v>
      </c>
      <c r="BF2507" s="191" t="s">
        <v>479</v>
      </c>
      <c r="BG2507" s="191" t="s">
        <v>479</v>
      </c>
      <c r="BH2507" s="226" t="s">
        <v>2632</v>
      </c>
      <c r="BI2507" s="191" t="s">
        <v>479</v>
      </c>
      <c r="BJ2507" s="55" t="s">
        <v>176</v>
      </c>
      <c r="BK2507" s="55" t="s">
        <v>6333</v>
      </c>
      <c r="BM2507" s="192" t="s">
        <v>160</v>
      </c>
      <c r="BN2507" s="55">
        <v>3</v>
      </c>
      <c r="BO2507" s="55">
        <v>3</v>
      </c>
      <c r="BP2507" s="55">
        <v>3</v>
      </c>
      <c r="BQ2507" s="55" t="s">
        <v>2615</v>
      </c>
      <c r="CB2507" s="66">
        <v>3241</v>
      </c>
      <c r="CC2507" s="66">
        <v>3727</v>
      </c>
      <c r="GP2507" s="292" t="s">
        <v>7494</v>
      </c>
    </row>
    <row r="2508" spans="1:198" x14ac:dyDescent="0.25">
      <c r="A2508" s="55">
        <v>2507</v>
      </c>
      <c r="B2508" s="12" t="s">
        <v>7067</v>
      </c>
      <c r="C2508" s="155">
        <v>118</v>
      </c>
      <c r="D2508" s="55" t="s">
        <v>4237</v>
      </c>
      <c r="E2508" s="90" t="s">
        <v>2612</v>
      </c>
      <c r="G2508" s="55" t="s">
        <v>2613</v>
      </c>
      <c r="H2508" s="55">
        <v>1999</v>
      </c>
      <c r="I2508" s="55">
        <v>2006</v>
      </c>
      <c r="J2508" s="55" t="s">
        <v>2619</v>
      </c>
      <c r="K2508" s="55" t="s">
        <v>2616</v>
      </c>
      <c r="L2508" s="55" t="s">
        <v>2748</v>
      </c>
      <c r="M2508" s="90">
        <f>-15.5</f>
        <v>-15.5</v>
      </c>
      <c r="N2508" s="90">
        <f>35+15/60</f>
        <v>35.25</v>
      </c>
      <c r="O2508" s="90">
        <v>1030</v>
      </c>
      <c r="R2508" s="55">
        <v>1194</v>
      </c>
      <c r="S2508" s="90">
        <v>1024</v>
      </c>
      <c r="U2508" s="55" t="s">
        <v>1933</v>
      </c>
      <c r="V2508" s="55" t="s">
        <v>1889</v>
      </c>
      <c r="Y2508" s="55" t="s">
        <v>2614</v>
      </c>
      <c r="Z2508" s="55" t="s">
        <v>1346</v>
      </c>
      <c r="AA2508" s="90" t="s">
        <v>1675</v>
      </c>
      <c r="AE2508" s="90">
        <v>46</v>
      </c>
      <c r="AF2508" s="90">
        <v>8</v>
      </c>
      <c r="AH2508" s="55" t="s">
        <v>2618</v>
      </c>
      <c r="AI2508" s="168">
        <v>5.9</v>
      </c>
      <c r="AJ2508" s="90">
        <v>0.88</v>
      </c>
      <c r="AM2508" s="55" t="s">
        <v>2617</v>
      </c>
      <c r="AN2508" s="185" t="s">
        <v>2620</v>
      </c>
      <c r="AO2508" s="185" t="s">
        <v>5150</v>
      </c>
      <c r="AQ2508" s="55" t="s">
        <v>4233</v>
      </c>
      <c r="AR2508" s="55" t="s">
        <v>1607</v>
      </c>
      <c r="AS2508" s="55" t="s">
        <v>132</v>
      </c>
      <c r="AT2508" s="181" t="s">
        <v>176</v>
      </c>
      <c r="AU2508" s="181" t="s">
        <v>5150</v>
      </c>
      <c r="AV2508" s="185" t="s">
        <v>176</v>
      </c>
      <c r="AW2508" s="55" t="s">
        <v>176</v>
      </c>
      <c r="AX2508" s="185" t="s">
        <v>176</v>
      </c>
      <c r="AY2508" s="55" t="s">
        <v>176</v>
      </c>
      <c r="BE2508" s="226" t="s">
        <v>2624</v>
      </c>
      <c r="BF2508" s="191" t="s">
        <v>176</v>
      </c>
      <c r="BG2508" s="191" t="s">
        <v>176</v>
      </c>
      <c r="BH2508" s="226" t="s">
        <v>2624</v>
      </c>
      <c r="BI2508" s="191" t="s">
        <v>176</v>
      </c>
      <c r="BJ2508" s="55" t="s">
        <v>176</v>
      </c>
      <c r="BK2508" s="55" t="s">
        <v>6333</v>
      </c>
      <c r="BM2508" s="192" t="s">
        <v>160</v>
      </c>
      <c r="BN2508" s="55">
        <v>3</v>
      </c>
      <c r="BO2508" s="55">
        <v>3</v>
      </c>
      <c r="BP2508" s="55">
        <v>3</v>
      </c>
      <c r="BQ2508" s="55" t="s">
        <v>2615</v>
      </c>
      <c r="CB2508" s="66">
        <v>653</v>
      </c>
      <c r="CC2508" s="66">
        <v>3802</v>
      </c>
      <c r="GP2508" s="292" t="s">
        <v>7494</v>
      </c>
    </row>
    <row r="2509" spans="1:198" x14ac:dyDescent="0.25">
      <c r="A2509" s="55">
        <v>2508</v>
      </c>
      <c r="B2509" s="12" t="s">
        <v>7067</v>
      </c>
      <c r="C2509" s="155">
        <v>118</v>
      </c>
      <c r="D2509" s="55" t="s">
        <v>4237</v>
      </c>
      <c r="E2509" s="90" t="s">
        <v>2612</v>
      </c>
      <c r="G2509" s="55" t="s">
        <v>2613</v>
      </c>
      <c r="H2509" s="55">
        <v>1999</v>
      </c>
      <c r="I2509" s="55">
        <v>2006</v>
      </c>
      <c r="J2509" s="55" t="s">
        <v>2619</v>
      </c>
      <c r="K2509" s="55" t="s">
        <v>2616</v>
      </c>
      <c r="L2509" s="55" t="s">
        <v>2748</v>
      </c>
      <c r="M2509" s="90">
        <f>-15.5</f>
        <v>-15.5</v>
      </c>
      <c r="N2509" s="90">
        <f>35+15/60</f>
        <v>35.25</v>
      </c>
      <c r="O2509" s="90">
        <v>1030</v>
      </c>
      <c r="R2509" s="55">
        <v>1194</v>
      </c>
      <c r="S2509" s="90">
        <v>1024</v>
      </c>
      <c r="U2509" s="55" t="s">
        <v>1933</v>
      </c>
      <c r="V2509" s="55" t="s">
        <v>1889</v>
      </c>
      <c r="Y2509" s="55" t="s">
        <v>2614</v>
      </c>
      <c r="Z2509" s="55" t="s">
        <v>1346</v>
      </c>
      <c r="AA2509" s="90" t="s">
        <v>1675</v>
      </c>
      <c r="AE2509" s="90">
        <v>46</v>
      </c>
      <c r="AF2509" s="90">
        <v>8</v>
      </c>
      <c r="AH2509" s="55" t="s">
        <v>2618</v>
      </c>
      <c r="AI2509" s="168">
        <v>5.9</v>
      </c>
      <c r="AJ2509" s="90">
        <v>0.88</v>
      </c>
      <c r="AM2509" s="55" t="s">
        <v>2617</v>
      </c>
      <c r="AN2509" s="185" t="s">
        <v>2620</v>
      </c>
      <c r="AO2509" s="185" t="s">
        <v>5150</v>
      </c>
      <c r="AQ2509" s="55" t="s">
        <v>4233</v>
      </c>
      <c r="AR2509" s="55" t="s">
        <v>1607</v>
      </c>
      <c r="AS2509" s="55" t="s">
        <v>132</v>
      </c>
      <c r="AT2509" s="181" t="s">
        <v>176</v>
      </c>
      <c r="AU2509" s="181" t="s">
        <v>5150</v>
      </c>
      <c r="AV2509" s="185" t="s">
        <v>176</v>
      </c>
      <c r="AW2509" s="55" t="s">
        <v>176</v>
      </c>
      <c r="AX2509" s="185" t="s">
        <v>176</v>
      </c>
      <c r="AY2509" s="55" t="s">
        <v>176</v>
      </c>
      <c r="BE2509" s="226" t="s">
        <v>2625</v>
      </c>
      <c r="BF2509" s="191" t="s">
        <v>176</v>
      </c>
      <c r="BG2509" s="191" t="s">
        <v>176</v>
      </c>
      <c r="BH2509" s="226" t="s">
        <v>2625</v>
      </c>
      <c r="BI2509" s="191" t="s">
        <v>176</v>
      </c>
      <c r="BJ2509" s="55" t="s">
        <v>176</v>
      </c>
      <c r="BK2509" s="55" t="s">
        <v>6333</v>
      </c>
      <c r="BM2509" s="192" t="s">
        <v>160</v>
      </c>
      <c r="BN2509" s="55">
        <v>3</v>
      </c>
      <c r="BO2509" s="55">
        <v>3</v>
      </c>
      <c r="BP2509" s="55">
        <v>3</v>
      </c>
      <c r="BQ2509" s="55" t="s">
        <v>2615</v>
      </c>
      <c r="CB2509" s="66">
        <v>1053</v>
      </c>
      <c r="CC2509" s="66">
        <v>3818</v>
      </c>
      <c r="GP2509" s="292" t="s">
        <v>7494</v>
      </c>
    </row>
    <row r="2510" spans="1:198" x14ac:dyDescent="0.25">
      <c r="A2510" s="55">
        <v>2509</v>
      </c>
      <c r="B2510" s="12" t="s">
        <v>7067</v>
      </c>
      <c r="C2510" s="155">
        <v>118</v>
      </c>
      <c r="D2510" s="55" t="s">
        <v>4237</v>
      </c>
      <c r="E2510" s="90" t="s">
        <v>2612</v>
      </c>
      <c r="G2510" s="55" t="s">
        <v>2613</v>
      </c>
      <c r="H2510" s="55">
        <v>1999</v>
      </c>
      <c r="I2510" s="55">
        <v>2006</v>
      </c>
      <c r="J2510" s="55" t="s">
        <v>2619</v>
      </c>
      <c r="K2510" s="55" t="s">
        <v>2616</v>
      </c>
      <c r="L2510" s="55" t="s">
        <v>2748</v>
      </c>
      <c r="M2510" s="90">
        <f>-15.5</f>
        <v>-15.5</v>
      </c>
      <c r="N2510" s="90">
        <f>35+15/60</f>
        <v>35.25</v>
      </c>
      <c r="O2510" s="90">
        <v>1030</v>
      </c>
      <c r="R2510" s="55">
        <v>1194</v>
      </c>
      <c r="S2510" s="90">
        <v>1024</v>
      </c>
      <c r="U2510" s="55" t="s">
        <v>1933</v>
      </c>
      <c r="V2510" s="55" t="s">
        <v>1889</v>
      </c>
      <c r="Y2510" s="55" t="s">
        <v>2614</v>
      </c>
      <c r="Z2510" s="55" t="s">
        <v>1346</v>
      </c>
      <c r="AA2510" s="90" t="s">
        <v>1675</v>
      </c>
      <c r="AE2510" s="90">
        <v>46</v>
      </c>
      <c r="AF2510" s="90">
        <v>8</v>
      </c>
      <c r="AH2510" s="55" t="s">
        <v>2618</v>
      </c>
      <c r="AI2510" s="168">
        <v>5.9</v>
      </c>
      <c r="AJ2510" s="90">
        <v>0.88</v>
      </c>
      <c r="AM2510" s="55" t="s">
        <v>2617</v>
      </c>
      <c r="AN2510" s="185" t="s">
        <v>2620</v>
      </c>
      <c r="AO2510" s="185" t="s">
        <v>5150</v>
      </c>
      <c r="AQ2510" s="55" t="s">
        <v>4233</v>
      </c>
      <c r="AR2510" s="55" t="s">
        <v>1607</v>
      </c>
      <c r="AS2510" s="55" t="s">
        <v>132</v>
      </c>
      <c r="AT2510" s="181" t="s">
        <v>176</v>
      </c>
      <c r="AU2510" s="181" t="s">
        <v>5150</v>
      </c>
      <c r="AV2510" s="185" t="s">
        <v>176</v>
      </c>
      <c r="AW2510" s="55" t="s">
        <v>176</v>
      </c>
      <c r="AX2510" s="185" t="s">
        <v>176</v>
      </c>
      <c r="AY2510" s="55" t="s">
        <v>176</v>
      </c>
      <c r="BE2510" s="226" t="s">
        <v>2626</v>
      </c>
      <c r="BF2510" s="191" t="s">
        <v>176</v>
      </c>
      <c r="BG2510" s="191" t="s">
        <v>176</v>
      </c>
      <c r="BH2510" s="226" t="s">
        <v>2626</v>
      </c>
      <c r="BI2510" s="191" t="s">
        <v>176</v>
      </c>
      <c r="BJ2510" s="55" t="s">
        <v>176</v>
      </c>
      <c r="BK2510" s="55" t="s">
        <v>6333</v>
      </c>
      <c r="BM2510" s="192" t="s">
        <v>160</v>
      </c>
      <c r="BN2510" s="55">
        <v>3</v>
      </c>
      <c r="BO2510" s="55">
        <v>3</v>
      </c>
      <c r="BP2510" s="55">
        <v>3</v>
      </c>
      <c r="BQ2510" s="55" t="s">
        <v>2615</v>
      </c>
      <c r="CB2510" s="66">
        <v>889</v>
      </c>
      <c r="CC2510" s="66">
        <v>3614</v>
      </c>
      <c r="GP2510" s="292" t="s">
        <v>7494</v>
      </c>
    </row>
    <row r="2511" spans="1:198" x14ac:dyDescent="0.25">
      <c r="A2511" s="55">
        <v>2510</v>
      </c>
      <c r="B2511" s="12" t="s">
        <v>7067</v>
      </c>
      <c r="C2511" s="155">
        <v>118</v>
      </c>
      <c r="D2511" s="55" t="s">
        <v>4238</v>
      </c>
      <c r="E2511" s="90" t="s">
        <v>2612</v>
      </c>
      <c r="G2511" s="55" t="s">
        <v>2613</v>
      </c>
      <c r="H2511" s="55">
        <v>1999</v>
      </c>
      <c r="I2511" s="55">
        <v>2006</v>
      </c>
      <c r="J2511" s="55" t="s">
        <v>2619</v>
      </c>
      <c r="K2511" s="55" t="s">
        <v>2616</v>
      </c>
      <c r="L2511" s="55" t="s">
        <v>2748</v>
      </c>
      <c r="M2511" s="90">
        <f>-15.5</f>
        <v>-15.5</v>
      </c>
      <c r="N2511" s="90">
        <f>35+15/60</f>
        <v>35.25</v>
      </c>
      <c r="O2511" s="90">
        <v>1030</v>
      </c>
      <c r="R2511" s="55">
        <v>1194</v>
      </c>
      <c r="S2511" s="90">
        <v>1024</v>
      </c>
      <c r="U2511" s="55" t="s">
        <v>1933</v>
      </c>
      <c r="V2511" s="55" t="s">
        <v>1889</v>
      </c>
      <c r="Y2511" s="55" t="s">
        <v>2614</v>
      </c>
      <c r="Z2511" s="55" t="s">
        <v>1346</v>
      </c>
      <c r="AA2511" s="90" t="s">
        <v>1675</v>
      </c>
      <c r="AE2511" s="90">
        <v>46</v>
      </c>
      <c r="AF2511" s="90">
        <v>8</v>
      </c>
      <c r="AH2511" s="55" t="s">
        <v>2618</v>
      </c>
      <c r="AI2511" s="168">
        <v>5.9</v>
      </c>
      <c r="AJ2511" s="90">
        <v>0.88</v>
      </c>
      <c r="AM2511" s="55" t="s">
        <v>2617</v>
      </c>
      <c r="AN2511" s="185" t="s">
        <v>2620</v>
      </c>
      <c r="AO2511" s="185" t="s">
        <v>5150</v>
      </c>
      <c r="AQ2511" s="55" t="s">
        <v>4233</v>
      </c>
      <c r="AR2511" s="55" t="s">
        <v>1607</v>
      </c>
      <c r="AS2511" s="55" t="s">
        <v>132</v>
      </c>
      <c r="AT2511" s="181" t="s">
        <v>176</v>
      </c>
      <c r="AU2511" s="181" t="s">
        <v>5150</v>
      </c>
      <c r="AV2511" s="185" t="s">
        <v>176</v>
      </c>
      <c r="AW2511" s="55" t="s">
        <v>176</v>
      </c>
      <c r="AX2511" s="185" t="s">
        <v>176</v>
      </c>
      <c r="AY2511" s="55" t="s">
        <v>176</v>
      </c>
      <c r="BE2511" s="226" t="s">
        <v>2627</v>
      </c>
      <c r="BF2511" s="191" t="s">
        <v>479</v>
      </c>
      <c r="BG2511" s="191" t="s">
        <v>479</v>
      </c>
      <c r="BH2511" s="226" t="s">
        <v>2627</v>
      </c>
      <c r="BI2511" s="191" t="s">
        <v>479</v>
      </c>
      <c r="BJ2511" s="55" t="s">
        <v>176</v>
      </c>
      <c r="BK2511" s="55" t="s">
        <v>6333</v>
      </c>
      <c r="BM2511" s="192" t="s">
        <v>160</v>
      </c>
      <c r="BN2511" s="55">
        <v>3</v>
      </c>
      <c r="BO2511" s="55">
        <v>3</v>
      </c>
      <c r="BP2511" s="55">
        <v>3</v>
      </c>
      <c r="BQ2511" s="55" t="s">
        <v>2615</v>
      </c>
      <c r="CB2511" s="66">
        <v>1439</v>
      </c>
      <c r="CC2511" s="66">
        <v>4916</v>
      </c>
      <c r="GP2511" s="292" t="s">
        <v>7494</v>
      </c>
    </row>
    <row r="2512" spans="1:198" x14ac:dyDescent="0.25">
      <c r="A2512" s="55">
        <v>2511</v>
      </c>
      <c r="B2512" s="12" t="s">
        <v>7067</v>
      </c>
      <c r="C2512" s="155">
        <v>118</v>
      </c>
      <c r="D2512" s="55" t="s">
        <v>4238</v>
      </c>
      <c r="E2512" s="90" t="s">
        <v>2612</v>
      </c>
      <c r="G2512" s="55" t="s">
        <v>2613</v>
      </c>
      <c r="H2512" s="55">
        <v>1999</v>
      </c>
      <c r="I2512" s="55">
        <v>2006</v>
      </c>
      <c r="J2512" s="55" t="s">
        <v>2619</v>
      </c>
      <c r="K2512" s="55" t="s">
        <v>2616</v>
      </c>
      <c r="L2512" s="55" t="s">
        <v>2748</v>
      </c>
      <c r="M2512" s="90">
        <f>-15.5</f>
        <v>-15.5</v>
      </c>
      <c r="N2512" s="90">
        <f>35+15/60</f>
        <v>35.25</v>
      </c>
      <c r="O2512" s="90">
        <v>1030</v>
      </c>
      <c r="R2512" s="55">
        <v>1194</v>
      </c>
      <c r="S2512" s="90">
        <v>1024</v>
      </c>
      <c r="U2512" s="55" t="s">
        <v>1933</v>
      </c>
      <c r="V2512" s="55" t="s">
        <v>1889</v>
      </c>
      <c r="Y2512" s="55" t="s">
        <v>2614</v>
      </c>
      <c r="Z2512" s="55" t="s">
        <v>1346</v>
      </c>
      <c r="AA2512" s="90" t="s">
        <v>1675</v>
      </c>
      <c r="AE2512" s="90">
        <v>46</v>
      </c>
      <c r="AF2512" s="90">
        <v>8</v>
      </c>
      <c r="AH2512" s="55" t="s">
        <v>2618</v>
      </c>
      <c r="AI2512" s="168">
        <v>5.9</v>
      </c>
      <c r="AJ2512" s="90">
        <v>0.88</v>
      </c>
      <c r="AM2512" s="55" t="s">
        <v>2617</v>
      </c>
      <c r="AN2512" s="185" t="s">
        <v>2620</v>
      </c>
      <c r="AO2512" s="185" t="s">
        <v>5150</v>
      </c>
      <c r="AQ2512" s="55" t="s">
        <v>4233</v>
      </c>
      <c r="AR2512" s="55" t="s">
        <v>1607</v>
      </c>
      <c r="AS2512" s="55" t="s">
        <v>132</v>
      </c>
      <c r="AT2512" s="181" t="s">
        <v>176</v>
      </c>
      <c r="AU2512" s="181" t="s">
        <v>5150</v>
      </c>
      <c r="AV2512" s="185" t="s">
        <v>176</v>
      </c>
      <c r="AW2512" s="55" t="s">
        <v>176</v>
      </c>
      <c r="AX2512" s="185" t="s">
        <v>176</v>
      </c>
      <c r="AY2512" s="55" t="s">
        <v>176</v>
      </c>
      <c r="BE2512" s="226" t="s">
        <v>2629</v>
      </c>
      <c r="BF2512" s="191" t="s">
        <v>479</v>
      </c>
      <c r="BG2512" s="191" t="s">
        <v>479</v>
      </c>
      <c r="BH2512" s="226" t="s">
        <v>2629</v>
      </c>
      <c r="BI2512" s="191" t="s">
        <v>479</v>
      </c>
      <c r="BJ2512" s="55" t="s">
        <v>176</v>
      </c>
      <c r="BK2512" s="55" t="s">
        <v>6333</v>
      </c>
      <c r="BM2512" s="192" t="s">
        <v>160</v>
      </c>
      <c r="BN2512" s="55">
        <v>3</v>
      </c>
      <c r="BO2512" s="55">
        <v>3</v>
      </c>
      <c r="BP2512" s="55">
        <v>3</v>
      </c>
      <c r="BQ2512" s="55" t="s">
        <v>2615</v>
      </c>
      <c r="CB2512" s="66">
        <v>1987</v>
      </c>
      <c r="CC2512" s="66">
        <v>3629</v>
      </c>
      <c r="GP2512" s="292" t="s">
        <v>7494</v>
      </c>
    </row>
    <row r="2513" spans="1:281" x14ac:dyDescent="0.25">
      <c r="A2513" s="55">
        <v>2512</v>
      </c>
      <c r="B2513" s="12" t="s">
        <v>7067</v>
      </c>
      <c r="C2513" s="155">
        <v>118</v>
      </c>
      <c r="D2513" s="55" t="s">
        <v>4238</v>
      </c>
      <c r="E2513" s="90" t="s">
        <v>2612</v>
      </c>
      <c r="G2513" s="55" t="s">
        <v>2613</v>
      </c>
      <c r="H2513" s="55">
        <v>1999</v>
      </c>
      <c r="I2513" s="55">
        <v>2006</v>
      </c>
      <c r="J2513" s="55" t="s">
        <v>2619</v>
      </c>
      <c r="K2513" s="55" t="s">
        <v>2616</v>
      </c>
      <c r="L2513" s="55" t="s">
        <v>2748</v>
      </c>
      <c r="M2513" s="90">
        <f>-15.5</f>
        <v>-15.5</v>
      </c>
      <c r="N2513" s="90">
        <f>35+15/60</f>
        <v>35.25</v>
      </c>
      <c r="O2513" s="90">
        <v>1030</v>
      </c>
      <c r="R2513" s="55">
        <v>1194</v>
      </c>
      <c r="S2513" s="90">
        <v>1024</v>
      </c>
      <c r="U2513" s="55" t="s">
        <v>1933</v>
      </c>
      <c r="V2513" s="55" t="s">
        <v>1889</v>
      </c>
      <c r="Y2513" s="55" t="s">
        <v>2614</v>
      </c>
      <c r="Z2513" s="55" t="s">
        <v>1346</v>
      </c>
      <c r="AA2513" s="90" t="s">
        <v>1675</v>
      </c>
      <c r="AE2513" s="90">
        <v>46</v>
      </c>
      <c r="AF2513" s="90">
        <v>8</v>
      </c>
      <c r="AH2513" s="55" t="s">
        <v>2618</v>
      </c>
      <c r="AI2513" s="168">
        <v>5.9</v>
      </c>
      <c r="AJ2513" s="90">
        <v>0.88</v>
      </c>
      <c r="AM2513" s="55" t="s">
        <v>2617</v>
      </c>
      <c r="AN2513" s="185" t="s">
        <v>2620</v>
      </c>
      <c r="AO2513" s="185" t="s">
        <v>5150</v>
      </c>
      <c r="AQ2513" s="55" t="s">
        <v>4233</v>
      </c>
      <c r="AR2513" s="55" t="s">
        <v>1607</v>
      </c>
      <c r="AS2513" s="55" t="s">
        <v>132</v>
      </c>
      <c r="AT2513" s="181" t="s">
        <v>176</v>
      </c>
      <c r="AU2513" s="181" t="s">
        <v>5150</v>
      </c>
      <c r="AV2513" s="185" t="s">
        <v>176</v>
      </c>
      <c r="AW2513" s="55" t="s">
        <v>176</v>
      </c>
      <c r="AX2513" s="185" t="s">
        <v>176</v>
      </c>
      <c r="AY2513" s="55" t="s">
        <v>176</v>
      </c>
      <c r="BE2513" s="226" t="s">
        <v>2630</v>
      </c>
      <c r="BF2513" s="191" t="s">
        <v>479</v>
      </c>
      <c r="BG2513" s="191" t="s">
        <v>479</v>
      </c>
      <c r="BH2513" s="226" t="s">
        <v>2630</v>
      </c>
      <c r="BI2513" s="191" t="s">
        <v>479</v>
      </c>
      <c r="BJ2513" s="55" t="s">
        <v>176</v>
      </c>
      <c r="BK2513" s="55" t="s">
        <v>6333</v>
      </c>
      <c r="BM2513" s="192" t="s">
        <v>160</v>
      </c>
      <c r="BN2513" s="55">
        <v>3</v>
      </c>
      <c r="BO2513" s="55">
        <v>3</v>
      </c>
      <c r="BP2513" s="55">
        <v>3</v>
      </c>
      <c r="BQ2513" s="55" t="s">
        <v>2615</v>
      </c>
      <c r="CB2513" s="66">
        <v>2312</v>
      </c>
      <c r="CC2513" s="66">
        <v>3308</v>
      </c>
      <c r="GP2513" s="292" t="s">
        <v>7494</v>
      </c>
    </row>
    <row r="2514" spans="1:281" x14ac:dyDescent="0.25">
      <c r="A2514" s="55">
        <v>2513</v>
      </c>
      <c r="B2514" s="12" t="s">
        <v>7067</v>
      </c>
      <c r="C2514" s="155">
        <v>118</v>
      </c>
      <c r="D2514" s="55" t="s">
        <v>4239</v>
      </c>
      <c r="E2514" s="90" t="s">
        <v>2612</v>
      </c>
      <c r="G2514" s="55" t="s">
        <v>2613</v>
      </c>
      <c r="H2514" s="55">
        <v>1999</v>
      </c>
      <c r="I2514" s="55">
        <v>2006</v>
      </c>
      <c r="J2514" s="55" t="s">
        <v>2619</v>
      </c>
      <c r="K2514" s="55" t="s">
        <v>2616</v>
      </c>
      <c r="L2514" s="55" t="s">
        <v>2748</v>
      </c>
      <c r="M2514" s="90">
        <f>-15.5</f>
        <v>-15.5</v>
      </c>
      <c r="N2514" s="90">
        <f>35+15/60</f>
        <v>35.25</v>
      </c>
      <c r="O2514" s="90">
        <v>1030</v>
      </c>
      <c r="R2514" s="55">
        <v>1194</v>
      </c>
      <c r="S2514" s="90">
        <v>1024</v>
      </c>
      <c r="U2514" s="55" t="s">
        <v>1933</v>
      </c>
      <c r="V2514" s="55" t="s">
        <v>1889</v>
      </c>
      <c r="Y2514" s="55" t="s">
        <v>2614</v>
      </c>
      <c r="Z2514" s="55" t="s">
        <v>1346</v>
      </c>
      <c r="AA2514" s="90" t="s">
        <v>1675</v>
      </c>
      <c r="AE2514" s="90">
        <v>46</v>
      </c>
      <c r="AF2514" s="90">
        <v>8</v>
      </c>
      <c r="AH2514" s="55" t="s">
        <v>2618</v>
      </c>
      <c r="AI2514" s="168">
        <v>5.9</v>
      </c>
      <c r="AJ2514" s="90">
        <v>0.88</v>
      </c>
      <c r="AM2514" s="55" t="s">
        <v>2617</v>
      </c>
      <c r="AN2514" s="185" t="s">
        <v>2620</v>
      </c>
      <c r="AO2514" s="185" t="s">
        <v>5150</v>
      </c>
      <c r="AQ2514" s="55" t="s">
        <v>4233</v>
      </c>
      <c r="AR2514" s="55" t="s">
        <v>1607</v>
      </c>
      <c r="AS2514" s="55" t="s">
        <v>132</v>
      </c>
      <c r="AT2514" s="181" t="s">
        <v>176</v>
      </c>
      <c r="AU2514" s="181" t="s">
        <v>5150</v>
      </c>
      <c r="AV2514" s="185" t="s">
        <v>176</v>
      </c>
      <c r="AW2514" s="55" t="s">
        <v>176</v>
      </c>
      <c r="AX2514" s="185" t="s">
        <v>176</v>
      </c>
      <c r="AY2514" s="55" t="s">
        <v>176</v>
      </c>
      <c r="BE2514" s="226" t="s">
        <v>2628</v>
      </c>
      <c r="BF2514" s="191" t="s">
        <v>479</v>
      </c>
      <c r="BG2514" s="191" t="s">
        <v>479</v>
      </c>
      <c r="BH2514" s="226" t="s">
        <v>2628</v>
      </c>
      <c r="BI2514" s="191" t="s">
        <v>479</v>
      </c>
      <c r="BJ2514" s="55" t="s">
        <v>176</v>
      </c>
      <c r="BK2514" s="55" t="s">
        <v>6333</v>
      </c>
      <c r="BM2514" s="192" t="s">
        <v>160</v>
      </c>
      <c r="BN2514" s="55">
        <v>3</v>
      </c>
      <c r="BO2514" s="55">
        <v>3</v>
      </c>
      <c r="BP2514" s="55">
        <v>3</v>
      </c>
      <c r="BQ2514" s="55" t="s">
        <v>2615</v>
      </c>
      <c r="CB2514" s="66">
        <v>2307</v>
      </c>
      <c r="CC2514" s="66">
        <v>4303</v>
      </c>
      <c r="GP2514" s="292" t="s">
        <v>7494</v>
      </c>
    </row>
    <row r="2515" spans="1:281" x14ac:dyDescent="0.25">
      <c r="A2515" s="55">
        <v>2514</v>
      </c>
      <c r="B2515" s="12" t="s">
        <v>7067</v>
      </c>
      <c r="C2515" s="155">
        <v>118</v>
      </c>
      <c r="D2515" s="55" t="s">
        <v>4239</v>
      </c>
      <c r="E2515" s="90" t="s">
        <v>2612</v>
      </c>
      <c r="G2515" s="55" t="s">
        <v>2613</v>
      </c>
      <c r="H2515" s="55">
        <v>1999</v>
      </c>
      <c r="I2515" s="55">
        <v>2006</v>
      </c>
      <c r="J2515" s="55" t="s">
        <v>2619</v>
      </c>
      <c r="K2515" s="55" t="s">
        <v>2616</v>
      </c>
      <c r="L2515" s="55" t="s">
        <v>2748</v>
      </c>
      <c r="M2515" s="90">
        <f>-15.5</f>
        <v>-15.5</v>
      </c>
      <c r="N2515" s="90">
        <f>35+15/60</f>
        <v>35.25</v>
      </c>
      <c r="O2515" s="90">
        <v>1030</v>
      </c>
      <c r="R2515" s="55">
        <v>1194</v>
      </c>
      <c r="S2515" s="90">
        <v>1024</v>
      </c>
      <c r="U2515" s="55" t="s">
        <v>1933</v>
      </c>
      <c r="V2515" s="55" t="s">
        <v>1889</v>
      </c>
      <c r="Y2515" s="55" t="s">
        <v>2614</v>
      </c>
      <c r="Z2515" s="55" t="s">
        <v>1346</v>
      </c>
      <c r="AA2515" s="90" t="s">
        <v>1675</v>
      </c>
      <c r="AE2515" s="90">
        <v>46</v>
      </c>
      <c r="AF2515" s="90">
        <v>8</v>
      </c>
      <c r="AH2515" s="55" t="s">
        <v>2618</v>
      </c>
      <c r="AI2515" s="168">
        <v>5.9</v>
      </c>
      <c r="AJ2515" s="90">
        <v>0.88</v>
      </c>
      <c r="AM2515" s="55" t="s">
        <v>2617</v>
      </c>
      <c r="AN2515" s="185" t="s">
        <v>2620</v>
      </c>
      <c r="AO2515" s="185" t="s">
        <v>5150</v>
      </c>
      <c r="AQ2515" s="55" t="s">
        <v>4233</v>
      </c>
      <c r="AR2515" s="55" t="s">
        <v>1607</v>
      </c>
      <c r="AS2515" s="55" t="s">
        <v>132</v>
      </c>
      <c r="AT2515" s="181" t="s">
        <v>176</v>
      </c>
      <c r="AU2515" s="181" t="s">
        <v>5150</v>
      </c>
      <c r="AV2515" s="185" t="s">
        <v>176</v>
      </c>
      <c r="AW2515" s="55" t="s">
        <v>176</v>
      </c>
      <c r="AX2515" s="185" t="s">
        <v>176</v>
      </c>
      <c r="AY2515" s="55" t="s">
        <v>176</v>
      </c>
      <c r="BE2515" s="226" t="s">
        <v>2631</v>
      </c>
      <c r="BF2515" s="191" t="s">
        <v>479</v>
      </c>
      <c r="BG2515" s="191" t="s">
        <v>479</v>
      </c>
      <c r="BH2515" s="226" t="s">
        <v>2631</v>
      </c>
      <c r="BI2515" s="191" t="s">
        <v>479</v>
      </c>
      <c r="BJ2515" s="55" t="s">
        <v>176</v>
      </c>
      <c r="BK2515" s="55" t="s">
        <v>6333</v>
      </c>
      <c r="BM2515" s="192" t="s">
        <v>160</v>
      </c>
      <c r="BN2515" s="55">
        <v>3</v>
      </c>
      <c r="BO2515" s="55">
        <v>3</v>
      </c>
      <c r="BP2515" s="55">
        <v>3</v>
      </c>
      <c r="BQ2515" s="55" t="s">
        <v>2615</v>
      </c>
      <c r="CB2515" s="66">
        <v>2749</v>
      </c>
      <c r="CC2515" s="66">
        <v>3936</v>
      </c>
      <c r="GP2515" s="292" t="s">
        <v>7494</v>
      </c>
    </row>
    <row r="2516" spans="1:281" x14ac:dyDescent="0.25">
      <c r="A2516" s="55">
        <v>2515</v>
      </c>
      <c r="B2516" s="12" t="s">
        <v>7067</v>
      </c>
      <c r="C2516" s="155">
        <v>118</v>
      </c>
      <c r="D2516" s="55" t="s">
        <v>4239</v>
      </c>
      <c r="E2516" s="90" t="s">
        <v>2612</v>
      </c>
      <c r="G2516" s="55" t="s">
        <v>2613</v>
      </c>
      <c r="H2516" s="55">
        <v>1999</v>
      </c>
      <c r="I2516" s="55">
        <v>2006</v>
      </c>
      <c r="J2516" s="55" t="s">
        <v>2619</v>
      </c>
      <c r="K2516" s="55" t="s">
        <v>2616</v>
      </c>
      <c r="L2516" s="55" t="s">
        <v>2748</v>
      </c>
      <c r="M2516" s="90">
        <f>-15.5</f>
        <v>-15.5</v>
      </c>
      <c r="N2516" s="90">
        <f>35+15/60</f>
        <v>35.25</v>
      </c>
      <c r="O2516" s="90">
        <v>1030</v>
      </c>
      <c r="R2516" s="55">
        <v>1194</v>
      </c>
      <c r="S2516" s="90">
        <v>1024</v>
      </c>
      <c r="U2516" s="55" t="s">
        <v>1933</v>
      </c>
      <c r="V2516" s="55" t="s">
        <v>1889</v>
      </c>
      <c r="Y2516" s="55" t="s">
        <v>2614</v>
      </c>
      <c r="Z2516" s="55" t="s">
        <v>1346</v>
      </c>
      <c r="AA2516" s="90" t="s">
        <v>1675</v>
      </c>
      <c r="AE2516" s="90">
        <v>46</v>
      </c>
      <c r="AF2516" s="90">
        <v>8</v>
      </c>
      <c r="AH2516" s="55" t="s">
        <v>2618</v>
      </c>
      <c r="AI2516" s="168">
        <v>5.9</v>
      </c>
      <c r="AJ2516" s="90">
        <v>0.88</v>
      </c>
      <c r="AM2516" s="55" t="s">
        <v>2617</v>
      </c>
      <c r="AN2516" s="185" t="s">
        <v>2620</v>
      </c>
      <c r="AO2516" s="185" t="s">
        <v>5150</v>
      </c>
      <c r="AQ2516" s="55" t="s">
        <v>4233</v>
      </c>
      <c r="AR2516" s="55" t="s">
        <v>1607</v>
      </c>
      <c r="AS2516" s="55" t="s">
        <v>132</v>
      </c>
      <c r="AT2516" s="181" t="s">
        <v>176</v>
      </c>
      <c r="AU2516" s="181" t="s">
        <v>5150</v>
      </c>
      <c r="AV2516" s="185" t="s">
        <v>176</v>
      </c>
      <c r="AW2516" s="55" t="s">
        <v>176</v>
      </c>
      <c r="AX2516" s="185" t="s">
        <v>176</v>
      </c>
      <c r="AY2516" s="55" t="s">
        <v>176</v>
      </c>
      <c r="BE2516" s="226" t="s">
        <v>2632</v>
      </c>
      <c r="BF2516" s="191" t="s">
        <v>479</v>
      </c>
      <c r="BG2516" s="191" t="s">
        <v>479</v>
      </c>
      <c r="BH2516" s="226" t="s">
        <v>2632</v>
      </c>
      <c r="BI2516" s="191" t="s">
        <v>479</v>
      </c>
      <c r="BJ2516" s="55" t="s">
        <v>176</v>
      </c>
      <c r="BK2516" s="55" t="s">
        <v>6333</v>
      </c>
      <c r="BM2516" s="192" t="s">
        <v>160</v>
      </c>
      <c r="BN2516" s="55">
        <v>3</v>
      </c>
      <c r="BO2516" s="55">
        <v>3</v>
      </c>
      <c r="BP2516" s="55">
        <v>3</v>
      </c>
      <c r="BQ2516" s="55" t="s">
        <v>2615</v>
      </c>
      <c r="CB2516" s="66">
        <v>3193</v>
      </c>
      <c r="CC2516" s="66">
        <v>3751</v>
      </c>
      <c r="GP2516" s="292" t="s">
        <v>7494</v>
      </c>
    </row>
    <row r="2517" spans="1:281" x14ac:dyDescent="0.25">
      <c r="A2517" s="55">
        <v>2516</v>
      </c>
      <c r="B2517" s="12" t="s">
        <v>7067</v>
      </c>
      <c r="C2517" s="155">
        <v>119</v>
      </c>
      <c r="D2517" s="55" t="s">
        <v>4240</v>
      </c>
      <c r="E2517" s="90" t="s">
        <v>2633</v>
      </c>
      <c r="G2517" s="55" t="s">
        <v>2634</v>
      </c>
      <c r="H2517" s="55">
        <v>2002</v>
      </c>
      <c r="I2517" s="55">
        <v>2007</v>
      </c>
      <c r="J2517" s="55" t="s">
        <v>2635</v>
      </c>
      <c r="K2517" s="55" t="s">
        <v>2616</v>
      </c>
      <c r="L2517" s="55" t="s">
        <v>2748</v>
      </c>
      <c r="M2517" s="90">
        <v>-15.5</v>
      </c>
      <c r="N2517" s="90">
        <v>35.25</v>
      </c>
      <c r="O2517" s="90">
        <v>1030</v>
      </c>
      <c r="R2517" s="55">
        <v>860</v>
      </c>
      <c r="S2517" s="90">
        <v>1024</v>
      </c>
      <c r="U2517" s="55" t="s">
        <v>1889</v>
      </c>
      <c r="V2517" s="55" t="s">
        <v>1887</v>
      </c>
      <c r="Y2517" s="55" t="s">
        <v>2647</v>
      </c>
      <c r="Z2517" s="55" t="s">
        <v>1346</v>
      </c>
      <c r="AA2517" s="90" t="s">
        <v>1675</v>
      </c>
      <c r="AE2517" s="90">
        <v>46</v>
      </c>
      <c r="AF2517" s="90">
        <v>8</v>
      </c>
      <c r="AH2517" s="55" t="s">
        <v>2618</v>
      </c>
      <c r="AI2517" s="168">
        <v>5.9</v>
      </c>
      <c r="AJ2517" s="90">
        <v>0.88</v>
      </c>
      <c r="AM2517" s="55" t="s">
        <v>2617</v>
      </c>
      <c r="AN2517" s="185" t="s">
        <v>2620</v>
      </c>
      <c r="AO2517" s="185" t="s">
        <v>5150</v>
      </c>
      <c r="AQ2517" s="55" t="s">
        <v>553</v>
      </c>
      <c r="AR2517" s="55" t="s">
        <v>1607</v>
      </c>
      <c r="AS2517" s="55" t="s">
        <v>132</v>
      </c>
      <c r="AT2517" s="181" t="s">
        <v>176</v>
      </c>
      <c r="AU2517" s="181" t="s">
        <v>5150</v>
      </c>
      <c r="AV2517" s="185" t="s">
        <v>176</v>
      </c>
      <c r="AW2517" s="55" t="s">
        <v>176</v>
      </c>
      <c r="AX2517" s="185" t="s">
        <v>176</v>
      </c>
      <c r="AY2517" s="55" t="s">
        <v>176</v>
      </c>
      <c r="BE2517" s="226" t="s">
        <v>2624</v>
      </c>
      <c r="BF2517" s="191" t="s">
        <v>176</v>
      </c>
      <c r="BG2517" s="191" t="s">
        <v>176</v>
      </c>
      <c r="BH2517" s="226" t="s">
        <v>2624</v>
      </c>
      <c r="BI2517" s="191" t="s">
        <v>176</v>
      </c>
      <c r="BJ2517" s="55" t="s">
        <v>176</v>
      </c>
      <c r="BK2517" s="55" t="s">
        <v>6333</v>
      </c>
      <c r="BM2517" s="192" t="s">
        <v>160</v>
      </c>
      <c r="BN2517" s="55">
        <v>3</v>
      </c>
      <c r="BO2517" s="55">
        <v>3</v>
      </c>
      <c r="BP2517" s="55">
        <v>3</v>
      </c>
      <c r="BQ2517" s="55" t="s">
        <v>2615</v>
      </c>
      <c r="BW2517" s="65">
        <v>1906</v>
      </c>
      <c r="BX2517" s="65">
        <v>5113</v>
      </c>
      <c r="CA2517" s="65" t="s">
        <v>2646</v>
      </c>
      <c r="CB2517" s="66">
        <v>1272</v>
      </c>
      <c r="CC2517" s="66">
        <v>5013</v>
      </c>
      <c r="CM2517" s="65">
        <v>0.43</v>
      </c>
      <c r="CN2517" s="65">
        <v>0.66</v>
      </c>
      <c r="CV2517" s="65" t="s">
        <v>3039</v>
      </c>
      <c r="DA2517" s="65" t="s">
        <v>4458</v>
      </c>
      <c r="DG2517" s="65">
        <v>26.2</v>
      </c>
      <c r="DH2517" s="65">
        <v>22.1</v>
      </c>
      <c r="DK2517" s="65" t="s">
        <v>2645</v>
      </c>
      <c r="DL2517" s="65">
        <v>0.47</v>
      </c>
      <c r="DM2517" s="65">
        <v>0.74</v>
      </c>
      <c r="DQ2517" s="165">
        <v>6</v>
      </c>
      <c r="DR2517" s="165">
        <v>6.3</v>
      </c>
      <c r="DV2517" s="65">
        <f>1.4+3.5+0.47</f>
        <v>5.37</v>
      </c>
      <c r="DW2517" s="65">
        <f>DM2517+1.4+3.9</f>
        <v>6.0399999999999991</v>
      </c>
      <c r="DZ2517" s="65" t="s">
        <v>2644</v>
      </c>
      <c r="GP2517" s="292" t="s">
        <v>7494</v>
      </c>
      <c r="JU2517" s="55" t="s">
        <v>2648</v>
      </c>
    </row>
    <row r="2518" spans="1:281" x14ac:dyDescent="0.25">
      <c r="A2518" s="55">
        <v>2517</v>
      </c>
      <c r="B2518" s="12" t="s">
        <v>7067</v>
      </c>
      <c r="C2518" s="155">
        <v>119</v>
      </c>
      <c r="D2518" s="55" t="s">
        <v>4240</v>
      </c>
      <c r="E2518" s="90" t="s">
        <v>2633</v>
      </c>
      <c r="G2518" s="55" t="s">
        <v>2634</v>
      </c>
      <c r="H2518" s="55">
        <v>2002</v>
      </c>
      <c r="I2518" s="55">
        <v>2007</v>
      </c>
      <c r="J2518" s="55" t="s">
        <v>2635</v>
      </c>
      <c r="K2518" s="55" t="s">
        <v>2616</v>
      </c>
      <c r="L2518" s="55" t="s">
        <v>2748</v>
      </c>
      <c r="M2518" s="90">
        <v>-15.5</v>
      </c>
      <c r="N2518" s="90">
        <v>35.25</v>
      </c>
      <c r="O2518" s="90">
        <v>1030</v>
      </c>
      <c r="R2518" s="55">
        <v>860</v>
      </c>
      <c r="S2518" s="90">
        <v>1024</v>
      </c>
      <c r="U2518" s="55" t="s">
        <v>1889</v>
      </c>
      <c r="V2518" s="55" t="s">
        <v>1887</v>
      </c>
      <c r="Y2518" s="55" t="s">
        <v>2647</v>
      </c>
      <c r="Z2518" s="55" t="s">
        <v>1346</v>
      </c>
      <c r="AA2518" s="90" t="s">
        <v>1675</v>
      </c>
      <c r="AE2518" s="90">
        <v>46</v>
      </c>
      <c r="AF2518" s="90">
        <v>8</v>
      </c>
      <c r="AH2518" s="55" t="s">
        <v>2618</v>
      </c>
      <c r="AI2518" s="168">
        <v>5.9</v>
      </c>
      <c r="AJ2518" s="90">
        <v>0.88</v>
      </c>
      <c r="AM2518" s="55" t="s">
        <v>2617</v>
      </c>
      <c r="AN2518" s="185" t="s">
        <v>2620</v>
      </c>
      <c r="AO2518" s="185" t="s">
        <v>5150</v>
      </c>
      <c r="AQ2518" s="55" t="s">
        <v>553</v>
      </c>
      <c r="AR2518" s="55" t="s">
        <v>1607</v>
      </c>
      <c r="AS2518" s="55" t="s">
        <v>132</v>
      </c>
      <c r="AT2518" s="181" t="s">
        <v>176</v>
      </c>
      <c r="AU2518" s="181" t="s">
        <v>5150</v>
      </c>
      <c r="AV2518" s="185" t="s">
        <v>176</v>
      </c>
      <c r="AW2518" s="55" t="s">
        <v>176</v>
      </c>
      <c r="AX2518" s="185" t="s">
        <v>176</v>
      </c>
      <c r="AY2518" s="55" t="s">
        <v>176</v>
      </c>
      <c r="BE2518" s="226" t="s">
        <v>2636</v>
      </c>
      <c r="BF2518" s="191" t="s">
        <v>176</v>
      </c>
      <c r="BG2518" s="191" t="s">
        <v>176</v>
      </c>
      <c r="BH2518" s="226" t="s">
        <v>2636</v>
      </c>
      <c r="BI2518" s="191" t="s">
        <v>176</v>
      </c>
      <c r="BJ2518" s="55" t="s">
        <v>176</v>
      </c>
      <c r="BK2518" s="55" t="s">
        <v>6333</v>
      </c>
      <c r="BM2518" s="192" t="s">
        <v>160</v>
      </c>
      <c r="BN2518" s="55">
        <v>3</v>
      </c>
      <c r="BO2518" s="55">
        <v>3</v>
      </c>
      <c r="BP2518" s="55">
        <v>3</v>
      </c>
      <c r="BQ2518" s="55" t="s">
        <v>2615</v>
      </c>
      <c r="BW2518" s="65">
        <v>1703</v>
      </c>
      <c r="BX2518" s="65">
        <v>4525</v>
      </c>
      <c r="CA2518" s="65" t="s">
        <v>2646</v>
      </c>
      <c r="CB2518" s="66">
        <v>1395</v>
      </c>
      <c r="CC2518" s="66">
        <v>4486</v>
      </c>
      <c r="CM2518" s="65">
        <v>0.6</v>
      </c>
      <c r="CN2518" s="65">
        <v>1.33</v>
      </c>
      <c r="CV2518" s="65" t="s">
        <v>3039</v>
      </c>
      <c r="DA2518" s="65" t="s">
        <v>4458</v>
      </c>
      <c r="DG2518" s="65">
        <v>36.6</v>
      </c>
      <c r="DH2518" s="65">
        <v>38.6</v>
      </c>
      <c r="DK2518" s="65" t="s">
        <v>2645</v>
      </c>
      <c r="DL2518" s="65">
        <v>0.42</v>
      </c>
      <c r="DM2518" s="65">
        <v>0.81</v>
      </c>
      <c r="DQ2518" s="165">
        <v>6.2</v>
      </c>
      <c r="DR2518" s="165">
        <v>6.3</v>
      </c>
      <c r="DV2518" s="65">
        <f>1.3+3.5+0.42</f>
        <v>5.22</v>
      </c>
      <c r="DW2518" s="65">
        <f>DM2518+1.4+3.9</f>
        <v>6.1099999999999994</v>
      </c>
      <c r="DZ2518" s="65" t="s">
        <v>2644</v>
      </c>
      <c r="GP2518" s="292" t="s">
        <v>7494</v>
      </c>
      <c r="JU2518" s="55" t="s">
        <v>2648</v>
      </c>
    </row>
    <row r="2519" spans="1:281" x14ac:dyDescent="0.25">
      <c r="A2519" s="55">
        <v>2518</v>
      </c>
      <c r="B2519" s="12" t="s">
        <v>7067</v>
      </c>
      <c r="C2519" s="155">
        <v>119</v>
      </c>
      <c r="D2519" s="55" t="s">
        <v>4240</v>
      </c>
      <c r="E2519" s="90" t="s">
        <v>2633</v>
      </c>
      <c r="G2519" s="55" t="s">
        <v>2634</v>
      </c>
      <c r="H2519" s="55">
        <v>2002</v>
      </c>
      <c r="I2519" s="55">
        <v>2007</v>
      </c>
      <c r="J2519" s="55" t="s">
        <v>2635</v>
      </c>
      <c r="K2519" s="55" t="s">
        <v>2616</v>
      </c>
      <c r="L2519" s="55" t="s">
        <v>2748</v>
      </c>
      <c r="M2519" s="90">
        <v>-15.5</v>
      </c>
      <c r="N2519" s="90">
        <v>35.25</v>
      </c>
      <c r="O2519" s="90">
        <v>1030</v>
      </c>
      <c r="R2519" s="55">
        <v>860</v>
      </c>
      <c r="S2519" s="90">
        <v>1024</v>
      </c>
      <c r="U2519" s="55" t="s">
        <v>1889</v>
      </c>
      <c r="V2519" s="55" t="s">
        <v>1887</v>
      </c>
      <c r="Y2519" s="55" t="s">
        <v>2647</v>
      </c>
      <c r="Z2519" s="55" t="s">
        <v>1346</v>
      </c>
      <c r="AA2519" s="90" t="s">
        <v>1675</v>
      </c>
      <c r="AE2519" s="90">
        <v>46</v>
      </c>
      <c r="AF2519" s="90">
        <v>8</v>
      </c>
      <c r="AH2519" s="55" t="s">
        <v>2618</v>
      </c>
      <c r="AI2519" s="168">
        <v>5.9</v>
      </c>
      <c r="AJ2519" s="90">
        <v>0.88</v>
      </c>
      <c r="AM2519" s="55" t="s">
        <v>2617</v>
      </c>
      <c r="AN2519" s="185" t="s">
        <v>2620</v>
      </c>
      <c r="AO2519" s="185" t="s">
        <v>5150</v>
      </c>
      <c r="AQ2519" s="55" t="s">
        <v>553</v>
      </c>
      <c r="AR2519" s="55" t="s">
        <v>1607</v>
      </c>
      <c r="AS2519" s="55" t="s">
        <v>132</v>
      </c>
      <c r="AT2519" s="181" t="s">
        <v>176</v>
      </c>
      <c r="AU2519" s="181" t="s">
        <v>5150</v>
      </c>
      <c r="AV2519" s="185" t="s">
        <v>176</v>
      </c>
      <c r="AW2519" s="55" t="s">
        <v>176</v>
      </c>
      <c r="AX2519" s="185" t="s">
        <v>176</v>
      </c>
      <c r="AY2519" s="55" t="s">
        <v>176</v>
      </c>
      <c r="BE2519" s="226" t="s">
        <v>2637</v>
      </c>
      <c r="BF2519" s="191" t="s">
        <v>176</v>
      </c>
      <c r="BG2519" s="191" t="s">
        <v>176</v>
      </c>
      <c r="BH2519" s="226" t="s">
        <v>2637</v>
      </c>
      <c r="BI2519" s="191" t="s">
        <v>176</v>
      </c>
      <c r="BJ2519" s="55" t="s">
        <v>176</v>
      </c>
      <c r="BK2519" s="55" t="s">
        <v>6333</v>
      </c>
      <c r="BM2519" s="192" t="s">
        <v>160</v>
      </c>
      <c r="BN2519" s="55">
        <v>3</v>
      </c>
      <c r="BO2519" s="55">
        <v>3</v>
      </c>
      <c r="BP2519" s="55">
        <v>3</v>
      </c>
      <c r="BQ2519" s="55" t="s">
        <v>2615</v>
      </c>
      <c r="BW2519" s="65">
        <v>1460</v>
      </c>
      <c r="BX2519" s="65">
        <v>4829</v>
      </c>
      <c r="CA2519" s="65" t="s">
        <v>2646</v>
      </c>
      <c r="CB2519" s="66">
        <v>1490</v>
      </c>
      <c r="CC2519" s="66">
        <v>4865</v>
      </c>
      <c r="CM2519" s="65">
        <v>0.63</v>
      </c>
      <c r="CN2519" s="65">
        <v>1.02</v>
      </c>
      <c r="CV2519" s="65" t="s">
        <v>3039</v>
      </c>
      <c r="DA2519" s="65" t="s">
        <v>4458</v>
      </c>
      <c r="DG2519" s="65">
        <v>44.7</v>
      </c>
      <c r="DH2519" s="65">
        <v>40.9</v>
      </c>
      <c r="DK2519" s="65" t="s">
        <v>2645</v>
      </c>
      <c r="DL2519" s="65">
        <v>0.46</v>
      </c>
      <c r="DM2519" s="65">
        <v>0.69</v>
      </c>
      <c r="DQ2519" s="165">
        <v>5.9</v>
      </c>
      <c r="DR2519" s="165">
        <v>6.2</v>
      </c>
      <c r="DV2519" s="65">
        <f>1.3+3.41+0.46</f>
        <v>5.17</v>
      </c>
      <c r="DW2519" s="65">
        <f>DM2519+1.4+3.9</f>
        <v>5.99</v>
      </c>
      <c r="DZ2519" s="65" t="s">
        <v>2644</v>
      </c>
      <c r="GP2519" s="292" t="s">
        <v>7494</v>
      </c>
      <c r="JU2519" s="55" t="s">
        <v>2648</v>
      </c>
    </row>
    <row r="2520" spans="1:281" x14ac:dyDescent="0.25">
      <c r="A2520" s="55">
        <v>2519</v>
      </c>
      <c r="B2520" s="12" t="s">
        <v>7067</v>
      </c>
      <c r="C2520" s="155">
        <v>119</v>
      </c>
      <c r="D2520" s="55" t="s">
        <v>4241</v>
      </c>
      <c r="E2520" s="90" t="s">
        <v>2633</v>
      </c>
      <c r="G2520" s="55" t="s">
        <v>2634</v>
      </c>
      <c r="H2520" s="55">
        <v>2002</v>
      </c>
      <c r="I2520" s="55">
        <v>2007</v>
      </c>
      <c r="J2520" s="55" t="s">
        <v>2635</v>
      </c>
      <c r="K2520" s="55" t="s">
        <v>2616</v>
      </c>
      <c r="L2520" s="55" t="s">
        <v>2748</v>
      </c>
      <c r="M2520" s="90">
        <v>-15.5</v>
      </c>
      <c r="N2520" s="90">
        <v>35.25</v>
      </c>
      <c r="O2520" s="90">
        <v>1030</v>
      </c>
      <c r="R2520" s="55">
        <v>860</v>
      </c>
      <c r="S2520" s="90">
        <v>1024</v>
      </c>
      <c r="U2520" s="55" t="s">
        <v>1889</v>
      </c>
      <c r="V2520" s="55" t="s">
        <v>1887</v>
      </c>
      <c r="Y2520" s="55" t="s">
        <v>2647</v>
      </c>
      <c r="Z2520" s="55" t="s">
        <v>1346</v>
      </c>
      <c r="AA2520" s="90" t="s">
        <v>1675</v>
      </c>
      <c r="AE2520" s="90">
        <v>46</v>
      </c>
      <c r="AF2520" s="90">
        <v>8</v>
      </c>
      <c r="AH2520" s="55" t="s">
        <v>2618</v>
      </c>
      <c r="AI2520" s="168">
        <v>5.9</v>
      </c>
      <c r="AJ2520" s="90">
        <v>0.88</v>
      </c>
      <c r="AM2520" s="55" t="s">
        <v>2617</v>
      </c>
      <c r="AN2520" s="185" t="s">
        <v>2620</v>
      </c>
      <c r="AO2520" s="185" t="s">
        <v>5150</v>
      </c>
      <c r="AQ2520" s="55" t="s">
        <v>553</v>
      </c>
      <c r="AR2520" s="55" t="s">
        <v>1607</v>
      </c>
      <c r="AS2520" s="55" t="s">
        <v>132</v>
      </c>
      <c r="AT2520" s="181" t="s">
        <v>176</v>
      </c>
      <c r="AU2520" s="181" t="s">
        <v>5150</v>
      </c>
      <c r="AV2520" s="185" t="s">
        <v>176</v>
      </c>
      <c r="AW2520" s="55" t="s">
        <v>176</v>
      </c>
      <c r="AX2520" s="185" t="s">
        <v>176</v>
      </c>
      <c r="AY2520" s="55" t="s">
        <v>176</v>
      </c>
      <c r="BE2520" s="226" t="s">
        <v>2638</v>
      </c>
      <c r="BF2520" s="191" t="s">
        <v>479</v>
      </c>
      <c r="BG2520" s="191" t="s">
        <v>479</v>
      </c>
      <c r="BH2520" s="226" t="s">
        <v>2638</v>
      </c>
      <c r="BI2520" s="191" t="s">
        <v>479</v>
      </c>
      <c r="BJ2520" s="55" t="s">
        <v>176</v>
      </c>
      <c r="BK2520" s="55" t="s">
        <v>6333</v>
      </c>
      <c r="BM2520" s="192" t="s">
        <v>160</v>
      </c>
      <c r="BN2520" s="55">
        <v>3</v>
      </c>
      <c r="BO2520" s="55">
        <v>3</v>
      </c>
      <c r="BP2520" s="55">
        <v>3</v>
      </c>
      <c r="BQ2520" s="55" t="s">
        <v>2615</v>
      </c>
      <c r="BW2520" s="65">
        <v>3190</v>
      </c>
      <c r="BX2520" s="65">
        <v>4816</v>
      </c>
      <c r="CA2520" s="65" t="s">
        <v>2646</v>
      </c>
      <c r="CB2520" s="66">
        <v>2525</v>
      </c>
      <c r="CC2520" s="66">
        <v>4784</v>
      </c>
      <c r="CM2520" s="65">
        <v>0.67</v>
      </c>
      <c r="CN2520" s="65">
        <v>1.42</v>
      </c>
      <c r="CV2520" s="65" t="s">
        <v>3039</v>
      </c>
      <c r="DA2520" s="65" t="s">
        <v>4458</v>
      </c>
      <c r="DG2520" s="65">
        <v>25.5</v>
      </c>
      <c r="DH2520" s="65">
        <v>26</v>
      </c>
      <c r="DK2520" s="65" t="s">
        <v>2645</v>
      </c>
      <c r="DL2520" s="65">
        <v>0.49</v>
      </c>
      <c r="DM2520" s="65">
        <v>0.91</v>
      </c>
      <c r="DQ2520" s="165">
        <v>5.7</v>
      </c>
      <c r="DR2520" s="165">
        <v>6.1</v>
      </c>
      <c r="DV2520" s="65">
        <f>1.4+3.7+0.49</f>
        <v>5.59</v>
      </c>
      <c r="DW2520" s="65">
        <f>DM2520+1.4+4.1</f>
        <v>6.41</v>
      </c>
      <c r="DZ2520" s="65" t="s">
        <v>2644</v>
      </c>
      <c r="GP2520" s="292" t="s">
        <v>7494</v>
      </c>
      <c r="JU2520" s="55" t="s">
        <v>2648</v>
      </c>
    </row>
    <row r="2521" spans="1:281" x14ac:dyDescent="0.25">
      <c r="A2521" s="55">
        <v>2520</v>
      </c>
      <c r="B2521" s="12" t="s">
        <v>7067</v>
      </c>
      <c r="C2521" s="155">
        <v>119</v>
      </c>
      <c r="D2521" s="55" t="s">
        <v>4241</v>
      </c>
      <c r="E2521" s="90" t="s">
        <v>2633</v>
      </c>
      <c r="G2521" s="55" t="s">
        <v>2634</v>
      </c>
      <c r="H2521" s="55">
        <v>2002</v>
      </c>
      <c r="I2521" s="55">
        <v>2007</v>
      </c>
      <c r="J2521" s="55" t="s">
        <v>2635</v>
      </c>
      <c r="K2521" s="55" t="s">
        <v>2616</v>
      </c>
      <c r="L2521" s="55" t="s">
        <v>2748</v>
      </c>
      <c r="M2521" s="90">
        <v>-15.5</v>
      </c>
      <c r="N2521" s="90">
        <v>35.25</v>
      </c>
      <c r="O2521" s="90">
        <v>1030</v>
      </c>
      <c r="R2521" s="55">
        <v>860</v>
      </c>
      <c r="S2521" s="90">
        <v>1024</v>
      </c>
      <c r="U2521" s="55" t="s">
        <v>1889</v>
      </c>
      <c r="V2521" s="55" t="s">
        <v>1887</v>
      </c>
      <c r="Y2521" s="55" t="s">
        <v>2647</v>
      </c>
      <c r="Z2521" s="55" t="s">
        <v>1346</v>
      </c>
      <c r="AA2521" s="90" t="s">
        <v>1675</v>
      </c>
      <c r="AE2521" s="90">
        <v>46</v>
      </c>
      <c r="AF2521" s="90">
        <v>8</v>
      </c>
      <c r="AH2521" s="55" t="s">
        <v>2618</v>
      </c>
      <c r="AI2521" s="168">
        <v>5.9</v>
      </c>
      <c r="AJ2521" s="90">
        <v>0.88</v>
      </c>
      <c r="AM2521" s="55" t="s">
        <v>2617</v>
      </c>
      <c r="AN2521" s="185" t="s">
        <v>2620</v>
      </c>
      <c r="AO2521" s="185" t="s">
        <v>5150</v>
      </c>
      <c r="AQ2521" s="55" t="s">
        <v>553</v>
      </c>
      <c r="AR2521" s="55" t="s">
        <v>1607</v>
      </c>
      <c r="AS2521" s="55" t="s">
        <v>132</v>
      </c>
      <c r="AT2521" s="181" t="s">
        <v>176</v>
      </c>
      <c r="AU2521" s="181" t="s">
        <v>5150</v>
      </c>
      <c r="AV2521" s="185" t="s">
        <v>176</v>
      </c>
      <c r="AW2521" s="55" t="s">
        <v>176</v>
      </c>
      <c r="AX2521" s="185" t="s">
        <v>176</v>
      </c>
      <c r="AY2521" s="55" t="s">
        <v>176</v>
      </c>
      <c r="BE2521" s="226" t="s">
        <v>2639</v>
      </c>
      <c r="BF2521" s="191" t="s">
        <v>479</v>
      </c>
      <c r="BG2521" s="191" t="s">
        <v>479</v>
      </c>
      <c r="BH2521" s="226" t="s">
        <v>2639</v>
      </c>
      <c r="BI2521" s="191" t="s">
        <v>479</v>
      </c>
      <c r="BJ2521" s="55" t="s">
        <v>176</v>
      </c>
      <c r="BK2521" s="55" t="s">
        <v>6333</v>
      </c>
      <c r="BM2521" s="192" t="s">
        <v>160</v>
      </c>
      <c r="BN2521" s="55">
        <v>3</v>
      </c>
      <c r="BO2521" s="55">
        <v>3</v>
      </c>
      <c r="BP2521" s="55">
        <v>3</v>
      </c>
      <c r="BQ2521" s="55" t="s">
        <v>2615</v>
      </c>
      <c r="BW2521" s="65">
        <v>3839</v>
      </c>
      <c r="BX2521" s="65">
        <v>4633</v>
      </c>
      <c r="CA2521" s="65" t="s">
        <v>2646</v>
      </c>
      <c r="CB2521" s="66">
        <v>3154</v>
      </c>
      <c r="CC2521" s="66">
        <v>4973</v>
      </c>
      <c r="CM2521" s="65">
        <v>0.72</v>
      </c>
      <c r="CN2521" s="65">
        <v>1.1200000000000001</v>
      </c>
      <c r="CV2521" s="65" t="s">
        <v>3039</v>
      </c>
      <c r="DA2521" s="65" t="s">
        <v>4458</v>
      </c>
      <c r="DG2521" s="65">
        <v>31</v>
      </c>
      <c r="DH2521" s="65">
        <v>29.7</v>
      </c>
      <c r="DK2521" s="65" t="s">
        <v>2645</v>
      </c>
      <c r="DL2521" s="65">
        <v>0.43</v>
      </c>
      <c r="DM2521" s="65">
        <v>0.78</v>
      </c>
      <c r="DQ2521" s="165">
        <v>5.8</v>
      </c>
      <c r="DR2521" s="165">
        <v>6.1</v>
      </c>
      <c r="DV2521" s="65">
        <f>1.4+3.6+0.43</f>
        <v>5.43</v>
      </c>
      <c r="DW2521" s="65">
        <f>DM2521+1.4+4.1</f>
        <v>6.2799999999999994</v>
      </c>
      <c r="DZ2521" s="65" t="s">
        <v>2644</v>
      </c>
      <c r="GP2521" s="292" t="s">
        <v>7494</v>
      </c>
      <c r="JU2521" s="55" t="s">
        <v>2648</v>
      </c>
    </row>
    <row r="2522" spans="1:281" x14ac:dyDescent="0.25">
      <c r="A2522" s="55">
        <v>2521</v>
      </c>
      <c r="B2522" s="12" t="s">
        <v>7067</v>
      </c>
      <c r="C2522" s="155">
        <v>119</v>
      </c>
      <c r="D2522" s="55" t="s">
        <v>4241</v>
      </c>
      <c r="E2522" s="90" t="s">
        <v>2633</v>
      </c>
      <c r="G2522" s="55" t="s">
        <v>2634</v>
      </c>
      <c r="H2522" s="55">
        <v>2002</v>
      </c>
      <c r="I2522" s="55">
        <v>2007</v>
      </c>
      <c r="J2522" s="55" t="s">
        <v>2635</v>
      </c>
      <c r="K2522" s="55" t="s">
        <v>2616</v>
      </c>
      <c r="L2522" s="55" t="s">
        <v>2748</v>
      </c>
      <c r="M2522" s="90">
        <v>-15.5</v>
      </c>
      <c r="N2522" s="90">
        <v>35.25</v>
      </c>
      <c r="O2522" s="90">
        <v>1030</v>
      </c>
      <c r="R2522" s="55">
        <v>860</v>
      </c>
      <c r="S2522" s="90">
        <v>1024</v>
      </c>
      <c r="U2522" s="55" t="s">
        <v>1889</v>
      </c>
      <c r="V2522" s="55" t="s">
        <v>1887</v>
      </c>
      <c r="Y2522" s="55" t="s">
        <v>2647</v>
      </c>
      <c r="Z2522" s="55" t="s">
        <v>1346</v>
      </c>
      <c r="AA2522" s="90" t="s">
        <v>1675</v>
      </c>
      <c r="AE2522" s="90">
        <v>46</v>
      </c>
      <c r="AF2522" s="90">
        <v>8</v>
      </c>
      <c r="AH2522" s="55" t="s">
        <v>2618</v>
      </c>
      <c r="AI2522" s="168">
        <v>5.9</v>
      </c>
      <c r="AJ2522" s="90">
        <v>0.88</v>
      </c>
      <c r="AM2522" s="55" t="s">
        <v>2617</v>
      </c>
      <c r="AN2522" s="185" t="s">
        <v>2620</v>
      </c>
      <c r="AO2522" s="185" t="s">
        <v>5150</v>
      </c>
      <c r="AQ2522" s="55" t="s">
        <v>553</v>
      </c>
      <c r="AR2522" s="55" t="s">
        <v>1607</v>
      </c>
      <c r="AS2522" s="55" t="s">
        <v>132</v>
      </c>
      <c r="AT2522" s="181" t="s">
        <v>176</v>
      </c>
      <c r="AU2522" s="181" t="s">
        <v>5150</v>
      </c>
      <c r="AV2522" s="185" t="s">
        <v>176</v>
      </c>
      <c r="AW2522" s="55" t="s">
        <v>176</v>
      </c>
      <c r="AX2522" s="185" t="s">
        <v>176</v>
      </c>
      <c r="AY2522" s="55" t="s">
        <v>176</v>
      </c>
      <c r="BE2522" s="226" t="s">
        <v>2640</v>
      </c>
      <c r="BF2522" s="191" t="s">
        <v>479</v>
      </c>
      <c r="BG2522" s="191" t="s">
        <v>479</v>
      </c>
      <c r="BH2522" s="226" t="s">
        <v>2640</v>
      </c>
      <c r="BI2522" s="191" t="s">
        <v>479</v>
      </c>
      <c r="BJ2522" s="55" t="s">
        <v>176</v>
      </c>
      <c r="BK2522" s="55" t="s">
        <v>6333</v>
      </c>
      <c r="BM2522" s="192" t="s">
        <v>160</v>
      </c>
      <c r="BN2522" s="55">
        <v>3</v>
      </c>
      <c r="BO2522" s="55">
        <v>3</v>
      </c>
      <c r="BP2522" s="55">
        <v>3</v>
      </c>
      <c r="BQ2522" s="55" t="s">
        <v>2615</v>
      </c>
      <c r="BW2522" s="65">
        <v>3717</v>
      </c>
      <c r="BX2522" s="65">
        <v>5727</v>
      </c>
      <c r="CA2522" s="65" t="s">
        <v>2646</v>
      </c>
      <c r="CB2522" s="66">
        <v>3291</v>
      </c>
      <c r="CC2522" s="66">
        <v>5622</v>
      </c>
      <c r="CM2522" s="65">
        <v>0.7</v>
      </c>
      <c r="CN2522" s="65">
        <v>1.69</v>
      </c>
      <c r="CV2522" s="65" t="s">
        <v>3039</v>
      </c>
      <c r="DA2522" s="65" t="s">
        <v>4458</v>
      </c>
      <c r="DG2522" s="65">
        <v>37.799999999999997</v>
      </c>
      <c r="DH2522" s="65">
        <v>33.1</v>
      </c>
      <c r="DK2522" s="65" t="s">
        <v>2645</v>
      </c>
      <c r="DL2522" s="65">
        <v>0.36</v>
      </c>
      <c r="DM2522" s="65">
        <v>0.86</v>
      </c>
      <c r="DQ2522" s="165">
        <v>6</v>
      </c>
      <c r="DR2522" s="165">
        <v>6.3</v>
      </c>
      <c r="DV2522" s="65">
        <f>1.4+3.7+0.36</f>
        <v>5.46</v>
      </c>
      <c r="DW2522" s="65">
        <f>DM2522+1.4+3.9</f>
        <v>6.16</v>
      </c>
      <c r="DZ2522" s="65" t="s">
        <v>2644</v>
      </c>
      <c r="GP2522" s="292" t="s">
        <v>7494</v>
      </c>
      <c r="JU2522" s="55" t="s">
        <v>2648</v>
      </c>
    </row>
    <row r="2523" spans="1:281" x14ac:dyDescent="0.25">
      <c r="A2523" s="55">
        <v>2522</v>
      </c>
      <c r="B2523" s="12" t="s">
        <v>7067</v>
      </c>
      <c r="C2523" s="155">
        <v>119</v>
      </c>
      <c r="D2523" s="55" t="s">
        <v>4242</v>
      </c>
      <c r="E2523" s="90" t="s">
        <v>2633</v>
      </c>
      <c r="G2523" s="55" t="s">
        <v>2634</v>
      </c>
      <c r="H2523" s="55">
        <v>2002</v>
      </c>
      <c r="I2523" s="55">
        <v>2007</v>
      </c>
      <c r="J2523" s="55" t="s">
        <v>2635</v>
      </c>
      <c r="K2523" s="55" t="s">
        <v>2616</v>
      </c>
      <c r="L2523" s="55" t="s">
        <v>2748</v>
      </c>
      <c r="M2523" s="90">
        <v>-15.5</v>
      </c>
      <c r="N2523" s="90">
        <v>35.25</v>
      </c>
      <c r="O2523" s="90">
        <v>1030</v>
      </c>
      <c r="R2523" s="55">
        <v>860</v>
      </c>
      <c r="S2523" s="90">
        <v>1024</v>
      </c>
      <c r="U2523" s="55" t="s">
        <v>1889</v>
      </c>
      <c r="V2523" s="55" t="s">
        <v>1887</v>
      </c>
      <c r="Y2523" s="55" t="s">
        <v>2647</v>
      </c>
      <c r="Z2523" s="55" t="s">
        <v>1346</v>
      </c>
      <c r="AA2523" s="90" t="s">
        <v>1675</v>
      </c>
      <c r="AE2523" s="90">
        <v>46</v>
      </c>
      <c r="AF2523" s="90">
        <v>8</v>
      </c>
      <c r="AH2523" s="55" t="s">
        <v>2618</v>
      </c>
      <c r="AI2523" s="168">
        <v>5.9</v>
      </c>
      <c r="AJ2523" s="90">
        <v>0.88</v>
      </c>
      <c r="AM2523" s="55" t="s">
        <v>2617</v>
      </c>
      <c r="AN2523" s="185" t="s">
        <v>2620</v>
      </c>
      <c r="AO2523" s="185" t="s">
        <v>5150</v>
      </c>
      <c r="AQ2523" s="55" t="s">
        <v>553</v>
      </c>
      <c r="AR2523" s="55" t="s">
        <v>1607</v>
      </c>
      <c r="AS2523" s="55" t="s">
        <v>132</v>
      </c>
      <c r="AT2523" s="181" t="s">
        <v>176</v>
      </c>
      <c r="AU2523" s="181" t="s">
        <v>5150</v>
      </c>
      <c r="AV2523" s="185" t="s">
        <v>176</v>
      </c>
      <c r="AW2523" s="55" t="s">
        <v>176</v>
      </c>
      <c r="AX2523" s="185" t="s">
        <v>176</v>
      </c>
      <c r="AY2523" s="55" t="s">
        <v>176</v>
      </c>
      <c r="BE2523" s="226" t="s">
        <v>2641</v>
      </c>
      <c r="BF2523" s="191" t="s">
        <v>479</v>
      </c>
      <c r="BG2523" s="191" t="s">
        <v>479</v>
      </c>
      <c r="BH2523" s="226" t="s">
        <v>2641</v>
      </c>
      <c r="BI2523" s="191" t="s">
        <v>479</v>
      </c>
      <c r="BJ2523" s="55" t="s">
        <v>176</v>
      </c>
      <c r="BK2523" s="55" t="s">
        <v>6333</v>
      </c>
      <c r="BM2523" s="192" t="s">
        <v>160</v>
      </c>
      <c r="BN2523" s="55">
        <v>3</v>
      </c>
      <c r="BO2523" s="55">
        <v>3</v>
      </c>
      <c r="BP2523" s="55">
        <v>3</v>
      </c>
      <c r="BQ2523" s="55" t="s">
        <v>2615</v>
      </c>
      <c r="BW2523" s="65">
        <v>3117</v>
      </c>
      <c r="BX2523" s="65">
        <v>4862</v>
      </c>
      <c r="CA2523" s="65" t="s">
        <v>2646</v>
      </c>
      <c r="CB2523" s="66">
        <v>2903</v>
      </c>
      <c r="CC2523" s="66">
        <v>4919</v>
      </c>
      <c r="CM2523" s="65">
        <v>0.82</v>
      </c>
      <c r="CN2523" s="65">
        <v>1</v>
      </c>
      <c r="CV2523" s="65" t="s">
        <v>3039</v>
      </c>
      <c r="DA2523" s="65" t="s">
        <v>4458</v>
      </c>
      <c r="DG2523" s="65">
        <v>24.6</v>
      </c>
      <c r="DH2523" s="65">
        <v>25.9</v>
      </c>
      <c r="DK2523" s="65" t="s">
        <v>2645</v>
      </c>
      <c r="DL2523" s="65">
        <v>0.36</v>
      </c>
      <c r="DM2523" s="65">
        <v>0.81</v>
      </c>
      <c r="DQ2523" s="165">
        <v>5.7</v>
      </c>
      <c r="DR2523" s="165">
        <v>6.1</v>
      </c>
      <c r="DV2523" s="65">
        <f>1.4+3.4+0.36</f>
        <v>5.16</v>
      </c>
      <c r="DW2523" s="65">
        <f>DM2523+1.3+3.8</f>
        <v>5.91</v>
      </c>
      <c r="DZ2523" s="65" t="s">
        <v>2644</v>
      </c>
      <c r="GP2523" s="292" t="s">
        <v>7494</v>
      </c>
      <c r="JU2523" s="55" t="s">
        <v>2648</v>
      </c>
    </row>
    <row r="2524" spans="1:281" x14ac:dyDescent="0.25">
      <c r="A2524" s="55">
        <v>2523</v>
      </c>
      <c r="B2524" s="12" t="s">
        <v>7067</v>
      </c>
      <c r="C2524" s="155">
        <v>119</v>
      </c>
      <c r="D2524" s="55" t="s">
        <v>4242</v>
      </c>
      <c r="E2524" s="90" t="s">
        <v>2633</v>
      </c>
      <c r="G2524" s="55" t="s">
        <v>2634</v>
      </c>
      <c r="H2524" s="55">
        <v>2002</v>
      </c>
      <c r="I2524" s="55">
        <v>2007</v>
      </c>
      <c r="J2524" s="55" t="s">
        <v>2635</v>
      </c>
      <c r="K2524" s="55" t="s">
        <v>2616</v>
      </c>
      <c r="L2524" s="55" t="s">
        <v>2748</v>
      </c>
      <c r="M2524" s="90">
        <v>-15.5</v>
      </c>
      <c r="N2524" s="90">
        <v>35.25</v>
      </c>
      <c r="O2524" s="90">
        <v>1030</v>
      </c>
      <c r="R2524" s="55">
        <v>860</v>
      </c>
      <c r="S2524" s="90">
        <v>1024</v>
      </c>
      <c r="U2524" s="55" t="s">
        <v>1889</v>
      </c>
      <c r="V2524" s="55" t="s">
        <v>1887</v>
      </c>
      <c r="Y2524" s="55" t="s">
        <v>2647</v>
      </c>
      <c r="Z2524" s="55" t="s">
        <v>1346</v>
      </c>
      <c r="AA2524" s="90" t="s">
        <v>1675</v>
      </c>
      <c r="AE2524" s="90">
        <v>46</v>
      </c>
      <c r="AF2524" s="90">
        <v>8</v>
      </c>
      <c r="AH2524" s="55" t="s">
        <v>2618</v>
      </c>
      <c r="AI2524" s="168">
        <v>5.9</v>
      </c>
      <c r="AJ2524" s="90">
        <v>0.88</v>
      </c>
      <c r="AM2524" s="55" t="s">
        <v>2617</v>
      </c>
      <c r="AN2524" s="185" t="s">
        <v>2620</v>
      </c>
      <c r="AO2524" s="185" t="s">
        <v>5150</v>
      </c>
      <c r="AQ2524" s="55" t="s">
        <v>553</v>
      </c>
      <c r="AR2524" s="55" t="s">
        <v>1607</v>
      </c>
      <c r="AS2524" s="55" t="s">
        <v>132</v>
      </c>
      <c r="AT2524" s="181" t="s">
        <v>176</v>
      </c>
      <c r="AU2524" s="181" t="s">
        <v>5150</v>
      </c>
      <c r="AV2524" s="185" t="s">
        <v>176</v>
      </c>
      <c r="AW2524" s="55" t="s">
        <v>176</v>
      </c>
      <c r="AX2524" s="185" t="s">
        <v>176</v>
      </c>
      <c r="AY2524" s="55" t="s">
        <v>176</v>
      </c>
      <c r="BE2524" s="226" t="s">
        <v>2642</v>
      </c>
      <c r="BF2524" s="191" t="s">
        <v>479</v>
      </c>
      <c r="BG2524" s="191" t="s">
        <v>479</v>
      </c>
      <c r="BH2524" s="226" t="s">
        <v>2642</v>
      </c>
      <c r="BI2524" s="191" t="s">
        <v>479</v>
      </c>
      <c r="BJ2524" s="55" t="s">
        <v>176</v>
      </c>
      <c r="BK2524" s="55" t="s">
        <v>6333</v>
      </c>
      <c r="BM2524" s="192" t="s">
        <v>160</v>
      </c>
      <c r="BN2524" s="55">
        <v>3</v>
      </c>
      <c r="BO2524" s="55">
        <v>3</v>
      </c>
      <c r="BP2524" s="55">
        <v>3</v>
      </c>
      <c r="BQ2524" s="55" t="s">
        <v>2615</v>
      </c>
      <c r="BW2524" s="65">
        <v>3664</v>
      </c>
      <c r="BX2524" s="65">
        <v>6018</v>
      </c>
      <c r="CA2524" s="65" t="s">
        <v>2646</v>
      </c>
      <c r="CB2524" s="66">
        <v>3396</v>
      </c>
      <c r="CC2524" s="66">
        <v>4973</v>
      </c>
      <c r="CM2524" s="65">
        <v>0.55000000000000004</v>
      </c>
      <c r="CN2524" s="65">
        <v>1.01</v>
      </c>
      <c r="CV2524" s="65" t="s">
        <v>3039</v>
      </c>
      <c r="DA2524" s="65" t="s">
        <v>4458</v>
      </c>
      <c r="DG2524" s="65">
        <v>35.799999999999997</v>
      </c>
      <c r="DH2524" s="65">
        <v>28.7</v>
      </c>
      <c r="DK2524" s="65" t="s">
        <v>2645</v>
      </c>
      <c r="DL2524" s="65">
        <v>0.28000000000000003</v>
      </c>
      <c r="DM2524" s="65">
        <v>0.77</v>
      </c>
      <c r="DQ2524" s="165">
        <v>5.7</v>
      </c>
      <c r="DR2524" s="165">
        <v>5.9</v>
      </c>
      <c r="DV2524" s="65">
        <f>1.3+3.1+0.28</f>
        <v>4.6800000000000006</v>
      </c>
      <c r="DW2524" s="65">
        <f>DM2524+1.4+3.7</f>
        <v>5.87</v>
      </c>
      <c r="DZ2524" s="65" t="s">
        <v>2644</v>
      </c>
      <c r="GP2524" s="292" t="s">
        <v>7494</v>
      </c>
      <c r="JU2524" s="55" t="s">
        <v>2648</v>
      </c>
    </row>
    <row r="2525" spans="1:281" x14ac:dyDescent="0.25">
      <c r="A2525" s="55">
        <v>2524</v>
      </c>
      <c r="B2525" s="12" t="s">
        <v>7067</v>
      </c>
      <c r="C2525" s="155">
        <v>119</v>
      </c>
      <c r="D2525" s="55" t="s">
        <v>4242</v>
      </c>
      <c r="E2525" s="90" t="s">
        <v>2633</v>
      </c>
      <c r="G2525" s="55" t="s">
        <v>2634</v>
      </c>
      <c r="H2525" s="55">
        <v>2002</v>
      </c>
      <c r="I2525" s="55">
        <v>2007</v>
      </c>
      <c r="J2525" s="55" t="s">
        <v>2635</v>
      </c>
      <c r="K2525" s="55" t="s">
        <v>2616</v>
      </c>
      <c r="L2525" s="55" t="s">
        <v>2748</v>
      </c>
      <c r="M2525" s="90">
        <v>-15.5</v>
      </c>
      <c r="N2525" s="90">
        <v>35.25</v>
      </c>
      <c r="O2525" s="90">
        <v>1030</v>
      </c>
      <c r="R2525" s="55">
        <v>860</v>
      </c>
      <c r="S2525" s="90">
        <v>1024</v>
      </c>
      <c r="U2525" s="55" t="s">
        <v>1889</v>
      </c>
      <c r="V2525" s="55" t="s">
        <v>1887</v>
      </c>
      <c r="Y2525" s="55" t="s">
        <v>2647</v>
      </c>
      <c r="Z2525" s="55" t="s">
        <v>1346</v>
      </c>
      <c r="AA2525" s="90" t="s">
        <v>1675</v>
      </c>
      <c r="AE2525" s="90">
        <v>46</v>
      </c>
      <c r="AF2525" s="90">
        <v>8</v>
      </c>
      <c r="AH2525" s="55" t="s">
        <v>2618</v>
      </c>
      <c r="AI2525" s="168">
        <v>5.9</v>
      </c>
      <c r="AJ2525" s="90">
        <v>0.88</v>
      </c>
      <c r="AM2525" s="55" t="s">
        <v>2617</v>
      </c>
      <c r="AN2525" s="185" t="s">
        <v>2620</v>
      </c>
      <c r="AO2525" s="185" t="s">
        <v>5150</v>
      </c>
      <c r="AQ2525" s="55" t="s">
        <v>553</v>
      </c>
      <c r="AR2525" s="55" t="s">
        <v>1607</v>
      </c>
      <c r="AS2525" s="55" t="s">
        <v>132</v>
      </c>
      <c r="AT2525" s="181" t="s">
        <v>176</v>
      </c>
      <c r="AU2525" s="181" t="s">
        <v>5150</v>
      </c>
      <c r="AV2525" s="185" t="s">
        <v>176</v>
      </c>
      <c r="AW2525" s="55" t="s">
        <v>176</v>
      </c>
      <c r="AX2525" s="185" t="s">
        <v>176</v>
      </c>
      <c r="AY2525" s="55" t="s">
        <v>176</v>
      </c>
      <c r="BE2525" s="226" t="s">
        <v>2643</v>
      </c>
      <c r="BF2525" s="191" t="s">
        <v>479</v>
      </c>
      <c r="BG2525" s="191" t="s">
        <v>479</v>
      </c>
      <c r="BH2525" s="226" t="s">
        <v>2643</v>
      </c>
      <c r="BI2525" s="191" t="s">
        <v>479</v>
      </c>
      <c r="BJ2525" s="55" t="s">
        <v>176</v>
      </c>
      <c r="BK2525" s="55" t="s">
        <v>6333</v>
      </c>
      <c r="BM2525" s="192" t="s">
        <v>160</v>
      </c>
      <c r="BN2525" s="55">
        <v>3</v>
      </c>
      <c r="BO2525" s="55">
        <v>3</v>
      </c>
      <c r="BP2525" s="55">
        <v>3</v>
      </c>
      <c r="BQ2525" s="55" t="s">
        <v>2615</v>
      </c>
      <c r="BW2525" s="65">
        <v>2894</v>
      </c>
      <c r="BX2525" s="65">
        <v>5653</v>
      </c>
      <c r="CA2525" s="65" t="s">
        <v>2646</v>
      </c>
      <c r="CB2525" s="66">
        <v>3491</v>
      </c>
      <c r="CC2525" s="66">
        <v>5622</v>
      </c>
      <c r="CM2525" s="65">
        <v>0.79</v>
      </c>
      <c r="CN2525" s="65">
        <v>1.1599999999999999</v>
      </c>
      <c r="CV2525" s="65" t="s">
        <v>3039</v>
      </c>
      <c r="DA2525" s="65" t="s">
        <v>4458</v>
      </c>
      <c r="DG2525" s="65">
        <v>37.200000000000003</v>
      </c>
      <c r="DH2525" s="65">
        <v>30.8</v>
      </c>
      <c r="DK2525" s="65" t="s">
        <v>2645</v>
      </c>
      <c r="DL2525" s="65">
        <v>0.28000000000000003</v>
      </c>
      <c r="DM2525" s="65">
        <v>0.55000000000000004</v>
      </c>
      <c r="DQ2525" s="165">
        <v>5.9</v>
      </c>
      <c r="DR2525" s="165">
        <v>5.9</v>
      </c>
      <c r="DV2525" s="65">
        <f>1.3+3.2+0.28</f>
        <v>4.78</v>
      </c>
      <c r="DW2525" s="65">
        <f>DM2525+1.4+3.7</f>
        <v>5.65</v>
      </c>
      <c r="DZ2525" s="65" t="s">
        <v>2644</v>
      </c>
      <c r="GP2525" s="292" t="s">
        <v>7494</v>
      </c>
      <c r="JU2525" s="55" t="s">
        <v>2648</v>
      </c>
    </row>
    <row r="2526" spans="1:281" x14ac:dyDescent="0.25">
      <c r="A2526" s="55">
        <v>2525</v>
      </c>
      <c r="B2526" s="12" t="s">
        <v>7067</v>
      </c>
      <c r="C2526" s="155">
        <v>119</v>
      </c>
      <c r="D2526" s="55" t="s">
        <v>4240</v>
      </c>
      <c r="E2526" s="90" t="s">
        <v>2633</v>
      </c>
      <c r="G2526" s="55" t="s">
        <v>2634</v>
      </c>
      <c r="H2526" s="55">
        <v>2003</v>
      </c>
      <c r="I2526" s="55">
        <v>2007</v>
      </c>
      <c r="J2526" s="55" t="s">
        <v>2635</v>
      </c>
      <c r="K2526" s="55" t="s">
        <v>2616</v>
      </c>
      <c r="L2526" s="55" t="s">
        <v>2748</v>
      </c>
      <c r="M2526" s="90">
        <v>-15.5</v>
      </c>
      <c r="N2526" s="90">
        <v>35.25</v>
      </c>
      <c r="O2526" s="90">
        <v>1030</v>
      </c>
      <c r="R2526" s="55">
        <v>1400</v>
      </c>
      <c r="S2526" s="90">
        <v>1024</v>
      </c>
      <c r="U2526" s="55" t="s">
        <v>1875</v>
      </c>
      <c r="V2526" s="55" t="s">
        <v>1887</v>
      </c>
      <c r="Y2526" s="55" t="s">
        <v>2647</v>
      </c>
      <c r="Z2526" s="55" t="s">
        <v>1346</v>
      </c>
      <c r="AA2526" s="90" t="s">
        <v>1675</v>
      </c>
      <c r="AE2526" s="90">
        <v>46</v>
      </c>
      <c r="AF2526" s="90">
        <v>8</v>
      </c>
      <c r="AH2526" s="55" t="s">
        <v>2618</v>
      </c>
      <c r="AI2526" s="168">
        <v>5.9</v>
      </c>
      <c r="AJ2526" s="90">
        <v>0.88</v>
      </c>
      <c r="AM2526" s="55" t="s">
        <v>2617</v>
      </c>
      <c r="AN2526" s="185" t="s">
        <v>2620</v>
      </c>
      <c r="AO2526" s="185" t="s">
        <v>5150</v>
      </c>
      <c r="AQ2526" s="55" t="s">
        <v>553</v>
      </c>
      <c r="AR2526" s="55" t="s">
        <v>1607</v>
      </c>
      <c r="AS2526" s="55" t="s">
        <v>132</v>
      </c>
      <c r="AT2526" s="181" t="s">
        <v>176</v>
      </c>
      <c r="AU2526" s="181" t="s">
        <v>5150</v>
      </c>
      <c r="AV2526" s="185" t="s">
        <v>176</v>
      </c>
      <c r="AW2526" s="55" t="s">
        <v>176</v>
      </c>
      <c r="AX2526" s="185" t="s">
        <v>176</v>
      </c>
      <c r="AY2526" s="55" t="s">
        <v>176</v>
      </c>
      <c r="BE2526" s="226" t="s">
        <v>2624</v>
      </c>
      <c r="BF2526" s="191" t="s">
        <v>176</v>
      </c>
      <c r="BG2526" s="191" t="s">
        <v>176</v>
      </c>
      <c r="BH2526" s="226" t="s">
        <v>2624</v>
      </c>
      <c r="BI2526" s="191" t="s">
        <v>176</v>
      </c>
      <c r="BJ2526" s="55" t="s">
        <v>176</v>
      </c>
      <c r="BK2526" s="55" t="s">
        <v>6333</v>
      </c>
      <c r="BM2526" s="192" t="s">
        <v>160</v>
      </c>
      <c r="BN2526" s="55">
        <v>3</v>
      </c>
      <c r="BO2526" s="55">
        <v>3</v>
      </c>
      <c r="BP2526" s="55">
        <v>3</v>
      </c>
      <c r="BQ2526" s="55" t="s">
        <v>2615</v>
      </c>
      <c r="BW2526" s="65">
        <v>1745</v>
      </c>
      <c r="BX2526" s="65">
        <v>4729</v>
      </c>
      <c r="CA2526" s="65" t="s">
        <v>2646</v>
      </c>
      <c r="CB2526" s="66">
        <v>1230</v>
      </c>
      <c r="CC2526" s="66">
        <v>4419</v>
      </c>
      <c r="GP2526" s="292" t="s">
        <v>7494</v>
      </c>
      <c r="JU2526" s="55" t="s">
        <v>2648</v>
      </c>
    </row>
    <row r="2527" spans="1:281" x14ac:dyDescent="0.25">
      <c r="A2527" s="55">
        <v>2526</v>
      </c>
      <c r="B2527" s="12" t="s">
        <v>7067</v>
      </c>
      <c r="C2527" s="155">
        <v>119</v>
      </c>
      <c r="D2527" s="55" t="s">
        <v>4240</v>
      </c>
      <c r="E2527" s="90" t="s">
        <v>2633</v>
      </c>
      <c r="G2527" s="55" t="s">
        <v>2634</v>
      </c>
      <c r="H2527" s="55">
        <v>2003</v>
      </c>
      <c r="I2527" s="55">
        <v>2007</v>
      </c>
      <c r="J2527" s="55" t="s">
        <v>2635</v>
      </c>
      <c r="K2527" s="55" t="s">
        <v>2616</v>
      </c>
      <c r="L2527" s="55" t="s">
        <v>2748</v>
      </c>
      <c r="M2527" s="90">
        <v>-15.5</v>
      </c>
      <c r="N2527" s="90">
        <v>35.25</v>
      </c>
      <c r="O2527" s="90">
        <v>1030</v>
      </c>
      <c r="R2527" s="55">
        <v>1400</v>
      </c>
      <c r="S2527" s="90">
        <v>1024</v>
      </c>
      <c r="U2527" s="55" t="s">
        <v>1875</v>
      </c>
      <c r="V2527" s="55" t="s">
        <v>1887</v>
      </c>
      <c r="Y2527" s="55" t="s">
        <v>2647</v>
      </c>
      <c r="Z2527" s="55" t="s">
        <v>1346</v>
      </c>
      <c r="AA2527" s="90" t="s">
        <v>1675</v>
      </c>
      <c r="AE2527" s="90">
        <v>46</v>
      </c>
      <c r="AF2527" s="90">
        <v>8</v>
      </c>
      <c r="AH2527" s="55" t="s">
        <v>2618</v>
      </c>
      <c r="AI2527" s="168">
        <v>5.9</v>
      </c>
      <c r="AJ2527" s="90">
        <v>0.88</v>
      </c>
      <c r="AM2527" s="55" t="s">
        <v>2617</v>
      </c>
      <c r="AN2527" s="185" t="s">
        <v>2620</v>
      </c>
      <c r="AO2527" s="185" t="s">
        <v>5150</v>
      </c>
      <c r="AQ2527" s="55" t="s">
        <v>553</v>
      </c>
      <c r="AR2527" s="55" t="s">
        <v>1607</v>
      </c>
      <c r="AS2527" s="55" t="s">
        <v>132</v>
      </c>
      <c r="AT2527" s="181" t="s">
        <v>176</v>
      </c>
      <c r="AU2527" s="181" t="s">
        <v>5150</v>
      </c>
      <c r="AV2527" s="185" t="s">
        <v>176</v>
      </c>
      <c r="AW2527" s="55" t="s">
        <v>176</v>
      </c>
      <c r="AX2527" s="185" t="s">
        <v>176</v>
      </c>
      <c r="AY2527" s="55" t="s">
        <v>176</v>
      </c>
      <c r="BE2527" s="226" t="s">
        <v>2636</v>
      </c>
      <c r="BF2527" s="191" t="s">
        <v>176</v>
      </c>
      <c r="BG2527" s="191" t="s">
        <v>176</v>
      </c>
      <c r="BH2527" s="226" t="s">
        <v>2636</v>
      </c>
      <c r="BI2527" s="191" t="s">
        <v>176</v>
      </c>
      <c r="BJ2527" s="55" t="s">
        <v>176</v>
      </c>
      <c r="BK2527" s="55" t="s">
        <v>6333</v>
      </c>
      <c r="BM2527" s="192" t="s">
        <v>160</v>
      </c>
      <c r="BN2527" s="55">
        <v>3</v>
      </c>
      <c r="BO2527" s="55">
        <v>3</v>
      </c>
      <c r="BP2527" s="55">
        <v>3</v>
      </c>
      <c r="BQ2527" s="55" t="s">
        <v>2615</v>
      </c>
      <c r="BW2527" s="65">
        <v>1562</v>
      </c>
      <c r="BX2527" s="65">
        <v>3716</v>
      </c>
      <c r="CA2527" s="65" t="s">
        <v>2646</v>
      </c>
      <c r="CB2527" s="66">
        <v>1025</v>
      </c>
      <c r="CC2527" s="66">
        <v>3392</v>
      </c>
      <c r="GP2527" s="292" t="s">
        <v>7494</v>
      </c>
      <c r="JU2527" s="55" t="s">
        <v>2648</v>
      </c>
    </row>
    <row r="2528" spans="1:281" x14ac:dyDescent="0.25">
      <c r="A2528" s="55">
        <v>2527</v>
      </c>
      <c r="B2528" s="12" t="s">
        <v>7067</v>
      </c>
      <c r="C2528" s="155">
        <v>119</v>
      </c>
      <c r="D2528" s="55" t="s">
        <v>4240</v>
      </c>
      <c r="E2528" s="90" t="s">
        <v>2633</v>
      </c>
      <c r="G2528" s="55" t="s">
        <v>2634</v>
      </c>
      <c r="H2528" s="55">
        <v>2003</v>
      </c>
      <c r="I2528" s="55">
        <v>2007</v>
      </c>
      <c r="J2528" s="55" t="s">
        <v>2635</v>
      </c>
      <c r="K2528" s="55" t="s">
        <v>2616</v>
      </c>
      <c r="L2528" s="55" t="s">
        <v>2748</v>
      </c>
      <c r="M2528" s="90">
        <v>-15.5</v>
      </c>
      <c r="N2528" s="90">
        <v>35.25</v>
      </c>
      <c r="O2528" s="90">
        <v>1030</v>
      </c>
      <c r="R2528" s="55">
        <v>1400</v>
      </c>
      <c r="S2528" s="90">
        <v>1024</v>
      </c>
      <c r="U2528" s="55" t="s">
        <v>1875</v>
      </c>
      <c r="V2528" s="55" t="s">
        <v>1887</v>
      </c>
      <c r="Y2528" s="55" t="s">
        <v>2647</v>
      </c>
      <c r="Z2528" s="55" t="s">
        <v>1346</v>
      </c>
      <c r="AA2528" s="90" t="s">
        <v>1675</v>
      </c>
      <c r="AE2528" s="90">
        <v>46</v>
      </c>
      <c r="AF2528" s="90">
        <v>8</v>
      </c>
      <c r="AH2528" s="55" t="s">
        <v>2618</v>
      </c>
      <c r="AI2528" s="168">
        <v>5.9</v>
      </c>
      <c r="AJ2528" s="90">
        <v>0.88</v>
      </c>
      <c r="AM2528" s="55" t="s">
        <v>2617</v>
      </c>
      <c r="AN2528" s="185" t="s">
        <v>2620</v>
      </c>
      <c r="AO2528" s="185" t="s">
        <v>5150</v>
      </c>
      <c r="AQ2528" s="55" t="s">
        <v>553</v>
      </c>
      <c r="AR2528" s="55" t="s">
        <v>1607</v>
      </c>
      <c r="AS2528" s="55" t="s">
        <v>132</v>
      </c>
      <c r="AT2528" s="181" t="s">
        <v>176</v>
      </c>
      <c r="AU2528" s="181" t="s">
        <v>5150</v>
      </c>
      <c r="AV2528" s="185" t="s">
        <v>176</v>
      </c>
      <c r="AW2528" s="55" t="s">
        <v>176</v>
      </c>
      <c r="AX2528" s="185" t="s">
        <v>176</v>
      </c>
      <c r="AY2528" s="55" t="s">
        <v>176</v>
      </c>
      <c r="BE2528" s="226" t="s">
        <v>2637</v>
      </c>
      <c r="BF2528" s="191" t="s">
        <v>176</v>
      </c>
      <c r="BG2528" s="191" t="s">
        <v>176</v>
      </c>
      <c r="BH2528" s="226" t="s">
        <v>2637</v>
      </c>
      <c r="BI2528" s="191" t="s">
        <v>176</v>
      </c>
      <c r="BJ2528" s="55" t="s">
        <v>176</v>
      </c>
      <c r="BK2528" s="55" t="s">
        <v>6333</v>
      </c>
      <c r="BM2528" s="192" t="s">
        <v>160</v>
      </c>
      <c r="BN2528" s="55">
        <v>3</v>
      </c>
      <c r="BO2528" s="55">
        <v>3</v>
      </c>
      <c r="BP2528" s="55">
        <v>3</v>
      </c>
      <c r="BQ2528" s="55" t="s">
        <v>2615</v>
      </c>
      <c r="BW2528" s="65">
        <v>1563</v>
      </c>
      <c r="BX2528" s="65">
        <v>5135</v>
      </c>
      <c r="CA2528" s="65" t="s">
        <v>2646</v>
      </c>
      <c r="CB2528" s="66">
        <v>1038</v>
      </c>
      <c r="CC2528" s="66">
        <v>4000</v>
      </c>
      <c r="GP2528" s="292" t="s">
        <v>7494</v>
      </c>
      <c r="JU2528" s="55" t="s">
        <v>2648</v>
      </c>
    </row>
    <row r="2529" spans="1:281" x14ac:dyDescent="0.25">
      <c r="A2529" s="55">
        <v>2528</v>
      </c>
      <c r="B2529" s="12" t="s">
        <v>7067</v>
      </c>
      <c r="C2529" s="155">
        <v>119</v>
      </c>
      <c r="D2529" s="55" t="s">
        <v>4241</v>
      </c>
      <c r="E2529" s="90" t="s">
        <v>2633</v>
      </c>
      <c r="G2529" s="55" t="s">
        <v>2634</v>
      </c>
      <c r="H2529" s="55">
        <v>2003</v>
      </c>
      <c r="I2529" s="55">
        <v>2007</v>
      </c>
      <c r="J2529" s="55" t="s">
        <v>2635</v>
      </c>
      <c r="K2529" s="55" t="s">
        <v>2616</v>
      </c>
      <c r="L2529" s="55" t="s">
        <v>2748</v>
      </c>
      <c r="M2529" s="90">
        <v>-15.5</v>
      </c>
      <c r="N2529" s="90">
        <v>35.25</v>
      </c>
      <c r="O2529" s="90">
        <v>1030</v>
      </c>
      <c r="R2529" s="55">
        <v>1400</v>
      </c>
      <c r="S2529" s="90">
        <v>1024</v>
      </c>
      <c r="U2529" s="55" t="s">
        <v>1875</v>
      </c>
      <c r="V2529" s="55" t="s">
        <v>1887</v>
      </c>
      <c r="Y2529" s="55" t="s">
        <v>2647</v>
      </c>
      <c r="Z2529" s="55" t="s">
        <v>1346</v>
      </c>
      <c r="AA2529" s="90" t="s">
        <v>1675</v>
      </c>
      <c r="AE2529" s="90">
        <v>46</v>
      </c>
      <c r="AF2529" s="90">
        <v>8</v>
      </c>
      <c r="AH2529" s="55" t="s">
        <v>2618</v>
      </c>
      <c r="AI2529" s="168">
        <v>5.9</v>
      </c>
      <c r="AJ2529" s="90">
        <v>0.88</v>
      </c>
      <c r="AM2529" s="55" t="s">
        <v>2617</v>
      </c>
      <c r="AN2529" s="185" t="s">
        <v>2620</v>
      </c>
      <c r="AO2529" s="185" t="s">
        <v>5150</v>
      </c>
      <c r="AQ2529" s="55" t="s">
        <v>553</v>
      </c>
      <c r="AR2529" s="55" t="s">
        <v>1607</v>
      </c>
      <c r="AS2529" s="55" t="s">
        <v>132</v>
      </c>
      <c r="AT2529" s="181" t="s">
        <v>176</v>
      </c>
      <c r="AU2529" s="181" t="s">
        <v>5150</v>
      </c>
      <c r="AV2529" s="185" t="s">
        <v>176</v>
      </c>
      <c r="AW2529" s="55" t="s">
        <v>176</v>
      </c>
      <c r="AX2529" s="185" t="s">
        <v>176</v>
      </c>
      <c r="AY2529" s="55" t="s">
        <v>176</v>
      </c>
      <c r="BE2529" s="226" t="s">
        <v>2638</v>
      </c>
      <c r="BF2529" s="191" t="s">
        <v>479</v>
      </c>
      <c r="BG2529" s="191" t="s">
        <v>479</v>
      </c>
      <c r="BH2529" s="226" t="s">
        <v>2638</v>
      </c>
      <c r="BI2529" s="191" t="s">
        <v>479</v>
      </c>
      <c r="BJ2529" s="55" t="s">
        <v>176</v>
      </c>
      <c r="BK2529" s="55" t="s">
        <v>6333</v>
      </c>
      <c r="BM2529" s="192" t="s">
        <v>160</v>
      </c>
      <c r="BN2529" s="55">
        <v>3</v>
      </c>
      <c r="BO2529" s="55">
        <v>3</v>
      </c>
      <c r="BP2529" s="55">
        <v>3</v>
      </c>
      <c r="BQ2529" s="55" t="s">
        <v>2615</v>
      </c>
      <c r="BW2529" s="65">
        <v>1813</v>
      </c>
      <c r="BX2529" s="65">
        <v>4249</v>
      </c>
      <c r="CA2529" s="65" t="s">
        <v>2646</v>
      </c>
      <c r="CB2529" s="66">
        <v>2004</v>
      </c>
      <c r="CC2529" s="66">
        <v>3973</v>
      </c>
      <c r="GP2529" s="292" t="s">
        <v>7494</v>
      </c>
      <c r="JU2529" s="55" t="s">
        <v>2648</v>
      </c>
    </row>
    <row r="2530" spans="1:281" x14ac:dyDescent="0.25">
      <c r="A2530" s="55">
        <v>2529</v>
      </c>
      <c r="B2530" s="12" t="s">
        <v>7067</v>
      </c>
      <c r="C2530" s="155">
        <v>119</v>
      </c>
      <c r="D2530" s="55" t="s">
        <v>4241</v>
      </c>
      <c r="E2530" s="90" t="s">
        <v>2633</v>
      </c>
      <c r="G2530" s="55" t="s">
        <v>2634</v>
      </c>
      <c r="H2530" s="55">
        <v>2003</v>
      </c>
      <c r="I2530" s="55">
        <v>2007</v>
      </c>
      <c r="J2530" s="55" t="s">
        <v>2635</v>
      </c>
      <c r="K2530" s="55" t="s">
        <v>2616</v>
      </c>
      <c r="L2530" s="55" t="s">
        <v>2748</v>
      </c>
      <c r="M2530" s="90">
        <v>-15.5</v>
      </c>
      <c r="N2530" s="90">
        <v>35.25</v>
      </c>
      <c r="O2530" s="90">
        <v>1030</v>
      </c>
      <c r="R2530" s="55">
        <v>1400</v>
      </c>
      <c r="S2530" s="90">
        <v>1024</v>
      </c>
      <c r="U2530" s="55" t="s">
        <v>1875</v>
      </c>
      <c r="V2530" s="55" t="s">
        <v>1887</v>
      </c>
      <c r="Y2530" s="55" t="s">
        <v>2647</v>
      </c>
      <c r="Z2530" s="55" t="s">
        <v>1346</v>
      </c>
      <c r="AA2530" s="90" t="s">
        <v>1675</v>
      </c>
      <c r="AE2530" s="90">
        <v>46</v>
      </c>
      <c r="AF2530" s="90">
        <v>8</v>
      </c>
      <c r="AH2530" s="55" t="s">
        <v>2618</v>
      </c>
      <c r="AI2530" s="168">
        <v>5.9</v>
      </c>
      <c r="AJ2530" s="90">
        <v>0.88</v>
      </c>
      <c r="AM2530" s="55" t="s">
        <v>2617</v>
      </c>
      <c r="AN2530" s="185" t="s">
        <v>2620</v>
      </c>
      <c r="AO2530" s="185" t="s">
        <v>5150</v>
      </c>
      <c r="AQ2530" s="55" t="s">
        <v>553</v>
      </c>
      <c r="AR2530" s="55" t="s">
        <v>1607</v>
      </c>
      <c r="AS2530" s="55" t="s">
        <v>132</v>
      </c>
      <c r="AT2530" s="181" t="s">
        <v>176</v>
      </c>
      <c r="AU2530" s="181" t="s">
        <v>5150</v>
      </c>
      <c r="AV2530" s="185" t="s">
        <v>176</v>
      </c>
      <c r="AW2530" s="55" t="s">
        <v>176</v>
      </c>
      <c r="AX2530" s="185" t="s">
        <v>176</v>
      </c>
      <c r="AY2530" s="55" t="s">
        <v>176</v>
      </c>
      <c r="BE2530" s="226" t="s">
        <v>2639</v>
      </c>
      <c r="BF2530" s="191" t="s">
        <v>479</v>
      </c>
      <c r="BG2530" s="191" t="s">
        <v>479</v>
      </c>
      <c r="BH2530" s="226" t="s">
        <v>2639</v>
      </c>
      <c r="BI2530" s="191" t="s">
        <v>479</v>
      </c>
      <c r="BJ2530" s="55" t="s">
        <v>176</v>
      </c>
      <c r="BK2530" s="55" t="s">
        <v>6333</v>
      </c>
      <c r="BM2530" s="192" t="s">
        <v>160</v>
      </c>
      <c r="BN2530" s="55">
        <v>3</v>
      </c>
      <c r="BO2530" s="55">
        <v>3</v>
      </c>
      <c r="BP2530" s="55">
        <v>3</v>
      </c>
      <c r="BQ2530" s="55" t="s">
        <v>2615</v>
      </c>
      <c r="BW2530" s="65">
        <v>2726</v>
      </c>
      <c r="BX2530" s="65">
        <v>4655</v>
      </c>
      <c r="CA2530" s="65" t="s">
        <v>2646</v>
      </c>
      <c r="CB2530" s="66">
        <v>3358</v>
      </c>
      <c r="CC2530" s="66">
        <v>4365</v>
      </c>
      <c r="GP2530" s="292" t="s">
        <v>7494</v>
      </c>
      <c r="JU2530" s="55" t="s">
        <v>2648</v>
      </c>
    </row>
    <row r="2531" spans="1:281" x14ac:dyDescent="0.25">
      <c r="A2531" s="55">
        <v>2530</v>
      </c>
      <c r="B2531" s="12" t="s">
        <v>7067</v>
      </c>
      <c r="C2531" s="155">
        <v>119</v>
      </c>
      <c r="D2531" s="55" t="s">
        <v>4241</v>
      </c>
      <c r="E2531" s="90" t="s">
        <v>2633</v>
      </c>
      <c r="G2531" s="55" t="s">
        <v>2634</v>
      </c>
      <c r="H2531" s="55">
        <v>2003</v>
      </c>
      <c r="I2531" s="55">
        <v>2007</v>
      </c>
      <c r="J2531" s="55" t="s">
        <v>2635</v>
      </c>
      <c r="K2531" s="55" t="s">
        <v>2616</v>
      </c>
      <c r="L2531" s="55" t="s">
        <v>2748</v>
      </c>
      <c r="M2531" s="90">
        <v>-15.5</v>
      </c>
      <c r="N2531" s="90">
        <v>35.25</v>
      </c>
      <c r="O2531" s="90">
        <v>1030</v>
      </c>
      <c r="R2531" s="55">
        <v>1400</v>
      </c>
      <c r="S2531" s="90">
        <v>1024</v>
      </c>
      <c r="U2531" s="55" t="s">
        <v>1875</v>
      </c>
      <c r="V2531" s="55" t="s">
        <v>1887</v>
      </c>
      <c r="Y2531" s="55" t="s">
        <v>2647</v>
      </c>
      <c r="Z2531" s="55" t="s">
        <v>1346</v>
      </c>
      <c r="AA2531" s="90" t="s">
        <v>1675</v>
      </c>
      <c r="AE2531" s="90">
        <v>46</v>
      </c>
      <c r="AF2531" s="90">
        <v>8</v>
      </c>
      <c r="AH2531" s="55" t="s">
        <v>2618</v>
      </c>
      <c r="AI2531" s="168">
        <v>5.9</v>
      </c>
      <c r="AJ2531" s="90">
        <v>0.88</v>
      </c>
      <c r="AM2531" s="55" t="s">
        <v>2617</v>
      </c>
      <c r="AN2531" s="185" t="s">
        <v>2620</v>
      </c>
      <c r="AO2531" s="185" t="s">
        <v>5150</v>
      </c>
      <c r="AQ2531" s="55" t="s">
        <v>553</v>
      </c>
      <c r="AR2531" s="55" t="s">
        <v>1607</v>
      </c>
      <c r="AS2531" s="55" t="s">
        <v>132</v>
      </c>
      <c r="AT2531" s="181" t="s">
        <v>176</v>
      </c>
      <c r="AU2531" s="181" t="s">
        <v>5150</v>
      </c>
      <c r="AV2531" s="185" t="s">
        <v>176</v>
      </c>
      <c r="AW2531" s="55" t="s">
        <v>176</v>
      </c>
      <c r="AX2531" s="185" t="s">
        <v>176</v>
      </c>
      <c r="AY2531" s="55" t="s">
        <v>176</v>
      </c>
      <c r="BE2531" s="226" t="s">
        <v>2640</v>
      </c>
      <c r="BF2531" s="191" t="s">
        <v>479</v>
      </c>
      <c r="BG2531" s="191" t="s">
        <v>479</v>
      </c>
      <c r="BH2531" s="226" t="s">
        <v>2640</v>
      </c>
      <c r="BI2531" s="191" t="s">
        <v>479</v>
      </c>
      <c r="BJ2531" s="55" t="s">
        <v>176</v>
      </c>
      <c r="BK2531" s="55" t="s">
        <v>6333</v>
      </c>
      <c r="BM2531" s="192" t="s">
        <v>160</v>
      </c>
      <c r="BN2531" s="55">
        <v>3</v>
      </c>
      <c r="BO2531" s="55">
        <v>3</v>
      </c>
      <c r="BP2531" s="55">
        <v>3</v>
      </c>
      <c r="BQ2531" s="55" t="s">
        <v>2615</v>
      </c>
      <c r="BW2531" s="65">
        <v>3009</v>
      </c>
      <c r="BX2531" s="65">
        <v>5729</v>
      </c>
      <c r="CA2531" s="65" t="s">
        <v>2646</v>
      </c>
      <c r="CB2531" s="66">
        <v>3167</v>
      </c>
      <c r="CC2531" s="66">
        <v>5135</v>
      </c>
      <c r="GP2531" s="292" t="s">
        <v>7494</v>
      </c>
      <c r="JU2531" s="55" t="s">
        <v>2648</v>
      </c>
    </row>
    <row r="2532" spans="1:281" x14ac:dyDescent="0.25">
      <c r="A2532" s="55">
        <v>2531</v>
      </c>
      <c r="B2532" s="12" t="s">
        <v>7067</v>
      </c>
      <c r="C2532" s="155">
        <v>119</v>
      </c>
      <c r="D2532" s="55" t="s">
        <v>4242</v>
      </c>
      <c r="E2532" s="90" t="s">
        <v>2633</v>
      </c>
      <c r="G2532" s="55" t="s">
        <v>2634</v>
      </c>
      <c r="H2532" s="55">
        <v>2003</v>
      </c>
      <c r="I2532" s="55">
        <v>2007</v>
      </c>
      <c r="J2532" s="55" t="s">
        <v>2635</v>
      </c>
      <c r="K2532" s="55" t="s">
        <v>2616</v>
      </c>
      <c r="L2532" s="55" t="s">
        <v>2748</v>
      </c>
      <c r="M2532" s="90">
        <v>-15.5</v>
      </c>
      <c r="N2532" s="90">
        <v>35.25</v>
      </c>
      <c r="O2532" s="90">
        <v>1030</v>
      </c>
      <c r="R2532" s="55">
        <v>1400</v>
      </c>
      <c r="S2532" s="90">
        <v>1024</v>
      </c>
      <c r="U2532" s="55" t="s">
        <v>1875</v>
      </c>
      <c r="V2532" s="55" t="s">
        <v>1887</v>
      </c>
      <c r="Y2532" s="55" t="s">
        <v>2647</v>
      </c>
      <c r="Z2532" s="55" t="s">
        <v>1346</v>
      </c>
      <c r="AA2532" s="90" t="s">
        <v>1675</v>
      </c>
      <c r="AE2532" s="90">
        <v>46</v>
      </c>
      <c r="AF2532" s="90">
        <v>8</v>
      </c>
      <c r="AH2532" s="55" t="s">
        <v>2618</v>
      </c>
      <c r="AI2532" s="168">
        <v>5.9</v>
      </c>
      <c r="AJ2532" s="90">
        <v>0.88</v>
      </c>
      <c r="AM2532" s="55" t="s">
        <v>2617</v>
      </c>
      <c r="AN2532" s="185" t="s">
        <v>2620</v>
      </c>
      <c r="AO2532" s="185" t="s">
        <v>5150</v>
      </c>
      <c r="AQ2532" s="55" t="s">
        <v>553</v>
      </c>
      <c r="AR2532" s="55" t="s">
        <v>1607</v>
      </c>
      <c r="AS2532" s="55" t="s">
        <v>132</v>
      </c>
      <c r="AT2532" s="181" t="s">
        <v>176</v>
      </c>
      <c r="AU2532" s="181" t="s">
        <v>5150</v>
      </c>
      <c r="AV2532" s="185" t="s">
        <v>176</v>
      </c>
      <c r="AW2532" s="55" t="s">
        <v>176</v>
      </c>
      <c r="AX2532" s="185" t="s">
        <v>176</v>
      </c>
      <c r="AY2532" s="55" t="s">
        <v>176</v>
      </c>
      <c r="BE2532" s="226" t="s">
        <v>2641</v>
      </c>
      <c r="BF2532" s="191" t="s">
        <v>479</v>
      </c>
      <c r="BG2532" s="191" t="s">
        <v>479</v>
      </c>
      <c r="BH2532" s="226" t="s">
        <v>2641</v>
      </c>
      <c r="BI2532" s="191" t="s">
        <v>479</v>
      </c>
      <c r="BJ2532" s="55" t="s">
        <v>176</v>
      </c>
      <c r="BK2532" s="55" t="s">
        <v>6333</v>
      </c>
      <c r="BM2532" s="192" t="s">
        <v>160</v>
      </c>
      <c r="BN2532" s="55">
        <v>3</v>
      </c>
      <c r="BO2532" s="55">
        <v>3</v>
      </c>
      <c r="BP2532" s="55">
        <v>3</v>
      </c>
      <c r="BQ2532" s="55" t="s">
        <v>2615</v>
      </c>
      <c r="BW2532" s="65">
        <v>1436</v>
      </c>
      <c r="BX2532" s="65">
        <v>3749</v>
      </c>
      <c r="CA2532" s="65" t="s">
        <v>2646</v>
      </c>
      <c r="CB2532" s="66">
        <v>2136</v>
      </c>
      <c r="CC2532" s="66">
        <v>3486</v>
      </c>
      <c r="GP2532" s="292" t="s">
        <v>7494</v>
      </c>
      <c r="JU2532" s="55" t="s">
        <v>2648</v>
      </c>
    </row>
    <row r="2533" spans="1:281" x14ac:dyDescent="0.25">
      <c r="A2533" s="55">
        <v>2532</v>
      </c>
      <c r="B2533" s="12" t="s">
        <v>7067</v>
      </c>
      <c r="C2533" s="155">
        <v>119</v>
      </c>
      <c r="D2533" s="55" t="s">
        <v>4242</v>
      </c>
      <c r="E2533" s="90" t="s">
        <v>2633</v>
      </c>
      <c r="G2533" s="55" t="s">
        <v>2634</v>
      </c>
      <c r="H2533" s="55">
        <v>2003</v>
      </c>
      <c r="I2533" s="55">
        <v>2007</v>
      </c>
      <c r="J2533" s="55" t="s">
        <v>2635</v>
      </c>
      <c r="K2533" s="55" t="s">
        <v>2616</v>
      </c>
      <c r="L2533" s="55" t="s">
        <v>2748</v>
      </c>
      <c r="M2533" s="90">
        <v>-15.5</v>
      </c>
      <c r="N2533" s="90">
        <v>35.25</v>
      </c>
      <c r="O2533" s="90">
        <v>1030</v>
      </c>
      <c r="R2533" s="55">
        <v>1400</v>
      </c>
      <c r="S2533" s="90">
        <v>1024</v>
      </c>
      <c r="U2533" s="55" t="s">
        <v>1875</v>
      </c>
      <c r="V2533" s="55" t="s">
        <v>1887</v>
      </c>
      <c r="Y2533" s="55" t="s">
        <v>2647</v>
      </c>
      <c r="Z2533" s="55" t="s">
        <v>1346</v>
      </c>
      <c r="AA2533" s="90" t="s">
        <v>1675</v>
      </c>
      <c r="AE2533" s="90">
        <v>46</v>
      </c>
      <c r="AF2533" s="90">
        <v>8</v>
      </c>
      <c r="AH2533" s="55" t="s">
        <v>2618</v>
      </c>
      <c r="AI2533" s="168">
        <v>5.9</v>
      </c>
      <c r="AJ2533" s="90">
        <v>0.88</v>
      </c>
      <c r="AM2533" s="55" t="s">
        <v>2617</v>
      </c>
      <c r="AN2533" s="185" t="s">
        <v>2620</v>
      </c>
      <c r="AO2533" s="185" t="s">
        <v>5150</v>
      </c>
      <c r="AQ2533" s="55" t="s">
        <v>553</v>
      </c>
      <c r="AR2533" s="55" t="s">
        <v>1607</v>
      </c>
      <c r="AS2533" s="55" t="s">
        <v>132</v>
      </c>
      <c r="AT2533" s="181" t="s">
        <v>176</v>
      </c>
      <c r="AU2533" s="181" t="s">
        <v>5150</v>
      </c>
      <c r="AV2533" s="185" t="s">
        <v>176</v>
      </c>
      <c r="AW2533" s="55" t="s">
        <v>176</v>
      </c>
      <c r="AX2533" s="185" t="s">
        <v>176</v>
      </c>
      <c r="AY2533" s="55" t="s">
        <v>176</v>
      </c>
      <c r="BE2533" s="226" t="s">
        <v>2642</v>
      </c>
      <c r="BF2533" s="191" t="s">
        <v>479</v>
      </c>
      <c r="BG2533" s="191" t="s">
        <v>479</v>
      </c>
      <c r="BH2533" s="226" t="s">
        <v>2642</v>
      </c>
      <c r="BI2533" s="191" t="s">
        <v>479</v>
      </c>
      <c r="BJ2533" s="55" t="s">
        <v>176</v>
      </c>
      <c r="BK2533" s="55" t="s">
        <v>6333</v>
      </c>
      <c r="BM2533" s="192" t="s">
        <v>160</v>
      </c>
      <c r="BN2533" s="55">
        <v>3</v>
      </c>
      <c r="BO2533" s="55">
        <v>3</v>
      </c>
      <c r="BP2533" s="55">
        <v>3</v>
      </c>
      <c r="BQ2533" s="55" t="s">
        <v>2615</v>
      </c>
      <c r="BW2533" s="65">
        <v>2490</v>
      </c>
      <c r="BX2533" s="65">
        <v>4655</v>
      </c>
      <c r="CA2533" s="65" t="s">
        <v>2646</v>
      </c>
      <c r="CB2533" s="66">
        <v>2519</v>
      </c>
      <c r="CC2533" s="66">
        <v>5095</v>
      </c>
      <c r="GP2533" s="292" t="s">
        <v>7494</v>
      </c>
      <c r="JU2533" s="55" t="s">
        <v>2648</v>
      </c>
    </row>
    <row r="2534" spans="1:281" x14ac:dyDescent="0.25">
      <c r="A2534" s="55">
        <v>2533</v>
      </c>
      <c r="B2534" s="12" t="s">
        <v>7067</v>
      </c>
      <c r="C2534" s="155">
        <v>119</v>
      </c>
      <c r="D2534" s="55" t="s">
        <v>4242</v>
      </c>
      <c r="E2534" s="90" t="s">
        <v>2633</v>
      </c>
      <c r="G2534" s="55" t="s">
        <v>2634</v>
      </c>
      <c r="H2534" s="55">
        <v>2003</v>
      </c>
      <c r="I2534" s="55">
        <v>2007</v>
      </c>
      <c r="J2534" s="55" t="s">
        <v>2635</v>
      </c>
      <c r="K2534" s="55" t="s">
        <v>2616</v>
      </c>
      <c r="L2534" s="55" t="s">
        <v>2748</v>
      </c>
      <c r="M2534" s="90">
        <v>-15.5</v>
      </c>
      <c r="N2534" s="90">
        <v>35.25</v>
      </c>
      <c r="O2534" s="90">
        <v>1030</v>
      </c>
      <c r="R2534" s="55">
        <v>1400</v>
      </c>
      <c r="S2534" s="90">
        <v>1024</v>
      </c>
      <c r="U2534" s="55" t="s">
        <v>1875</v>
      </c>
      <c r="V2534" s="55" t="s">
        <v>1887</v>
      </c>
      <c r="Y2534" s="55" t="s">
        <v>2647</v>
      </c>
      <c r="Z2534" s="55" t="s">
        <v>1346</v>
      </c>
      <c r="AA2534" s="90" t="s">
        <v>1675</v>
      </c>
      <c r="AE2534" s="90">
        <v>46</v>
      </c>
      <c r="AF2534" s="90">
        <v>8</v>
      </c>
      <c r="AH2534" s="55" t="s">
        <v>2618</v>
      </c>
      <c r="AI2534" s="168">
        <v>5.9</v>
      </c>
      <c r="AJ2534" s="90">
        <v>0.88</v>
      </c>
      <c r="AM2534" s="55" t="s">
        <v>2617</v>
      </c>
      <c r="AN2534" s="185" t="s">
        <v>2620</v>
      </c>
      <c r="AO2534" s="185" t="s">
        <v>5150</v>
      </c>
      <c r="AQ2534" s="55" t="s">
        <v>553</v>
      </c>
      <c r="AR2534" s="55" t="s">
        <v>1607</v>
      </c>
      <c r="AS2534" s="55" t="s">
        <v>132</v>
      </c>
      <c r="AT2534" s="181" t="s">
        <v>176</v>
      </c>
      <c r="AU2534" s="181" t="s">
        <v>5150</v>
      </c>
      <c r="AV2534" s="185" t="s">
        <v>176</v>
      </c>
      <c r="AW2534" s="55" t="s">
        <v>176</v>
      </c>
      <c r="AX2534" s="185" t="s">
        <v>176</v>
      </c>
      <c r="AY2534" s="55" t="s">
        <v>176</v>
      </c>
      <c r="BE2534" s="226" t="s">
        <v>2643</v>
      </c>
      <c r="BF2534" s="191" t="s">
        <v>479</v>
      </c>
      <c r="BG2534" s="191" t="s">
        <v>479</v>
      </c>
      <c r="BH2534" s="226" t="s">
        <v>2643</v>
      </c>
      <c r="BI2534" s="191" t="s">
        <v>479</v>
      </c>
      <c r="BJ2534" s="55" t="s">
        <v>176</v>
      </c>
      <c r="BK2534" s="55" t="s">
        <v>6333</v>
      </c>
      <c r="BM2534" s="192" t="s">
        <v>160</v>
      </c>
      <c r="BN2534" s="55">
        <v>3</v>
      </c>
      <c r="BO2534" s="55">
        <v>3</v>
      </c>
      <c r="BP2534" s="55">
        <v>3</v>
      </c>
      <c r="BQ2534" s="55" t="s">
        <v>2615</v>
      </c>
      <c r="BW2534" s="65">
        <v>2509</v>
      </c>
      <c r="BX2534" s="65">
        <v>5729</v>
      </c>
      <c r="CA2534" s="65" t="s">
        <v>2646</v>
      </c>
      <c r="CB2534" s="66">
        <v>2834</v>
      </c>
      <c r="CC2534" s="66">
        <v>4081</v>
      </c>
      <c r="GP2534" s="292" t="s">
        <v>7494</v>
      </c>
      <c r="JU2534" s="55" t="s">
        <v>2648</v>
      </c>
    </row>
    <row r="2535" spans="1:281" x14ac:dyDescent="0.25">
      <c r="A2535" s="55">
        <v>2534</v>
      </c>
      <c r="B2535" s="12" t="s">
        <v>7067</v>
      </c>
      <c r="C2535" s="155">
        <v>119</v>
      </c>
      <c r="D2535" s="55" t="s">
        <v>4240</v>
      </c>
      <c r="E2535" s="90" t="s">
        <v>2633</v>
      </c>
      <c r="G2535" s="55" t="s">
        <v>2634</v>
      </c>
      <c r="H2535" s="55">
        <v>2004</v>
      </c>
      <c r="I2535" s="55">
        <v>2007</v>
      </c>
      <c r="J2535" s="55" t="s">
        <v>2635</v>
      </c>
      <c r="K2535" s="55" t="s">
        <v>2616</v>
      </c>
      <c r="L2535" s="55" t="s">
        <v>2748</v>
      </c>
      <c r="M2535" s="90">
        <v>-15.5</v>
      </c>
      <c r="N2535" s="90">
        <v>35.25</v>
      </c>
      <c r="O2535" s="90">
        <v>1030</v>
      </c>
      <c r="R2535" s="55">
        <v>700</v>
      </c>
      <c r="S2535" s="90">
        <v>1024</v>
      </c>
      <c r="U2535" s="55" t="s">
        <v>1912</v>
      </c>
      <c r="V2535" s="55" t="s">
        <v>1887</v>
      </c>
      <c r="Y2535" s="55" t="s">
        <v>2647</v>
      </c>
      <c r="Z2535" s="55" t="s">
        <v>1346</v>
      </c>
      <c r="AA2535" s="90" t="s">
        <v>1675</v>
      </c>
      <c r="AE2535" s="90">
        <v>46</v>
      </c>
      <c r="AF2535" s="90">
        <v>8</v>
      </c>
      <c r="AH2535" s="55" t="s">
        <v>2618</v>
      </c>
      <c r="AI2535" s="168">
        <v>5.9</v>
      </c>
      <c r="AJ2535" s="90">
        <v>0.88</v>
      </c>
      <c r="AM2535" s="55" t="s">
        <v>2617</v>
      </c>
      <c r="AN2535" s="185" t="s">
        <v>2620</v>
      </c>
      <c r="AO2535" s="185" t="s">
        <v>5150</v>
      </c>
      <c r="AQ2535" s="55" t="s">
        <v>553</v>
      </c>
      <c r="AR2535" s="55" t="s">
        <v>1607</v>
      </c>
      <c r="AS2535" s="55" t="s">
        <v>132</v>
      </c>
      <c r="AT2535" s="181" t="s">
        <v>176</v>
      </c>
      <c r="AU2535" s="181" t="s">
        <v>5150</v>
      </c>
      <c r="AV2535" s="185" t="s">
        <v>176</v>
      </c>
      <c r="AW2535" s="55" t="s">
        <v>176</v>
      </c>
      <c r="AX2535" s="185" t="s">
        <v>176</v>
      </c>
      <c r="AY2535" s="55" t="s">
        <v>176</v>
      </c>
      <c r="BE2535" s="226" t="s">
        <v>2624</v>
      </c>
      <c r="BF2535" s="191" t="s">
        <v>176</v>
      </c>
      <c r="BG2535" s="191" t="s">
        <v>176</v>
      </c>
      <c r="BH2535" s="226" t="s">
        <v>2624</v>
      </c>
      <c r="BI2535" s="191" t="s">
        <v>176</v>
      </c>
      <c r="BJ2535" s="55" t="s">
        <v>176</v>
      </c>
      <c r="BK2535" s="55" t="s">
        <v>6333</v>
      </c>
      <c r="BM2535" s="192" t="s">
        <v>160</v>
      </c>
      <c r="BN2535" s="55">
        <v>3</v>
      </c>
      <c r="BO2535" s="55">
        <v>3</v>
      </c>
      <c r="BP2535" s="55">
        <v>3</v>
      </c>
      <c r="BQ2535" s="55" t="s">
        <v>2615</v>
      </c>
      <c r="BW2535" s="65">
        <v>3308</v>
      </c>
      <c r="BX2535" s="65">
        <v>7284</v>
      </c>
      <c r="CA2535" s="65" t="s">
        <v>2646</v>
      </c>
      <c r="CB2535" s="66">
        <v>586</v>
      </c>
      <c r="CC2535" s="66">
        <v>3905</v>
      </c>
      <c r="GP2535" s="292" t="s">
        <v>7494</v>
      </c>
      <c r="JU2535" s="55" t="s">
        <v>2648</v>
      </c>
    </row>
    <row r="2536" spans="1:281" x14ac:dyDescent="0.25">
      <c r="A2536" s="55">
        <v>2535</v>
      </c>
      <c r="B2536" s="12" t="s">
        <v>7067</v>
      </c>
      <c r="C2536" s="155">
        <v>119</v>
      </c>
      <c r="D2536" s="55" t="s">
        <v>4240</v>
      </c>
      <c r="E2536" s="90" t="s">
        <v>2633</v>
      </c>
      <c r="G2536" s="55" t="s">
        <v>2634</v>
      </c>
      <c r="H2536" s="55">
        <v>2004</v>
      </c>
      <c r="I2536" s="55">
        <v>2007</v>
      </c>
      <c r="J2536" s="55" t="s">
        <v>2635</v>
      </c>
      <c r="K2536" s="55" t="s">
        <v>2616</v>
      </c>
      <c r="L2536" s="55" t="s">
        <v>2748</v>
      </c>
      <c r="M2536" s="90">
        <v>-15.5</v>
      </c>
      <c r="N2536" s="90">
        <v>35.25</v>
      </c>
      <c r="O2536" s="90">
        <v>1030</v>
      </c>
      <c r="R2536" s="55">
        <v>700</v>
      </c>
      <c r="S2536" s="90">
        <v>1024</v>
      </c>
      <c r="U2536" s="55" t="s">
        <v>1912</v>
      </c>
      <c r="V2536" s="55" t="s">
        <v>1887</v>
      </c>
      <c r="Y2536" s="55" t="s">
        <v>2647</v>
      </c>
      <c r="Z2536" s="55" t="s">
        <v>1346</v>
      </c>
      <c r="AA2536" s="90" t="s">
        <v>1675</v>
      </c>
      <c r="AE2536" s="90">
        <v>46</v>
      </c>
      <c r="AF2536" s="90">
        <v>8</v>
      </c>
      <c r="AH2536" s="55" t="s">
        <v>2618</v>
      </c>
      <c r="AI2536" s="168">
        <v>5.9</v>
      </c>
      <c r="AJ2536" s="90">
        <v>0.88</v>
      </c>
      <c r="AM2536" s="55" t="s">
        <v>2617</v>
      </c>
      <c r="AN2536" s="185" t="s">
        <v>2620</v>
      </c>
      <c r="AO2536" s="185" t="s">
        <v>5150</v>
      </c>
      <c r="AQ2536" s="55" t="s">
        <v>553</v>
      </c>
      <c r="AR2536" s="55" t="s">
        <v>1607</v>
      </c>
      <c r="AS2536" s="55" t="s">
        <v>132</v>
      </c>
      <c r="AT2536" s="181" t="s">
        <v>176</v>
      </c>
      <c r="AU2536" s="181" t="s">
        <v>5150</v>
      </c>
      <c r="AV2536" s="185" t="s">
        <v>176</v>
      </c>
      <c r="AW2536" s="55" t="s">
        <v>176</v>
      </c>
      <c r="AX2536" s="185" t="s">
        <v>176</v>
      </c>
      <c r="AY2536" s="55" t="s">
        <v>176</v>
      </c>
      <c r="BE2536" s="226" t="s">
        <v>2636</v>
      </c>
      <c r="BF2536" s="191" t="s">
        <v>176</v>
      </c>
      <c r="BG2536" s="191" t="s">
        <v>176</v>
      </c>
      <c r="BH2536" s="226" t="s">
        <v>2636</v>
      </c>
      <c r="BI2536" s="191" t="s">
        <v>176</v>
      </c>
      <c r="BJ2536" s="55" t="s">
        <v>176</v>
      </c>
      <c r="BK2536" s="55" t="s">
        <v>6333</v>
      </c>
      <c r="BM2536" s="192" t="s">
        <v>160</v>
      </c>
      <c r="BN2536" s="55">
        <v>3</v>
      </c>
      <c r="BO2536" s="55">
        <v>3</v>
      </c>
      <c r="BP2536" s="55">
        <v>3</v>
      </c>
      <c r="BQ2536" s="55" t="s">
        <v>2615</v>
      </c>
      <c r="BW2536" s="65">
        <v>2375</v>
      </c>
      <c r="BX2536" s="65">
        <v>7001</v>
      </c>
      <c r="CA2536" s="65" t="s">
        <v>2646</v>
      </c>
      <c r="CB2536" s="66">
        <v>791</v>
      </c>
      <c r="CC2536" s="66">
        <v>3622</v>
      </c>
      <c r="GP2536" s="292" t="s">
        <v>7494</v>
      </c>
      <c r="JU2536" s="55" t="s">
        <v>2648</v>
      </c>
    </row>
    <row r="2537" spans="1:281" x14ac:dyDescent="0.25">
      <c r="A2537" s="55">
        <v>2536</v>
      </c>
      <c r="B2537" s="12" t="s">
        <v>7067</v>
      </c>
      <c r="C2537" s="155">
        <v>119</v>
      </c>
      <c r="D2537" s="55" t="s">
        <v>4240</v>
      </c>
      <c r="E2537" s="90" t="s">
        <v>2633</v>
      </c>
      <c r="G2537" s="55" t="s">
        <v>2634</v>
      </c>
      <c r="H2537" s="55">
        <v>2004</v>
      </c>
      <c r="I2537" s="55">
        <v>2007</v>
      </c>
      <c r="J2537" s="55" t="s">
        <v>2635</v>
      </c>
      <c r="K2537" s="55" t="s">
        <v>2616</v>
      </c>
      <c r="L2537" s="55" t="s">
        <v>2748</v>
      </c>
      <c r="M2537" s="90">
        <v>-15.5</v>
      </c>
      <c r="N2537" s="90">
        <v>35.25</v>
      </c>
      <c r="O2537" s="90">
        <v>1030</v>
      </c>
      <c r="R2537" s="55">
        <v>700</v>
      </c>
      <c r="S2537" s="90">
        <v>1024</v>
      </c>
      <c r="U2537" s="55" t="s">
        <v>1912</v>
      </c>
      <c r="V2537" s="55" t="s">
        <v>1887</v>
      </c>
      <c r="Y2537" s="55" t="s">
        <v>2647</v>
      </c>
      <c r="Z2537" s="55" t="s">
        <v>1346</v>
      </c>
      <c r="AA2537" s="90" t="s">
        <v>1675</v>
      </c>
      <c r="AE2537" s="90">
        <v>46</v>
      </c>
      <c r="AF2537" s="90">
        <v>8</v>
      </c>
      <c r="AH2537" s="55" t="s">
        <v>2618</v>
      </c>
      <c r="AI2537" s="168">
        <v>5.9</v>
      </c>
      <c r="AJ2537" s="90">
        <v>0.88</v>
      </c>
      <c r="AM2537" s="55" t="s">
        <v>2617</v>
      </c>
      <c r="AN2537" s="185" t="s">
        <v>2620</v>
      </c>
      <c r="AO2537" s="185" t="s">
        <v>5150</v>
      </c>
      <c r="AQ2537" s="55" t="s">
        <v>553</v>
      </c>
      <c r="AR2537" s="55" t="s">
        <v>1607</v>
      </c>
      <c r="AS2537" s="55" t="s">
        <v>132</v>
      </c>
      <c r="AT2537" s="181" t="s">
        <v>176</v>
      </c>
      <c r="AU2537" s="181" t="s">
        <v>5150</v>
      </c>
      <c r="AV2537" s="185" t="s">
        <v>176</v>
      </c>
      <c r="AW2537" s="55" t="s">
        <v>176</v>
      </c>
      <c r="AX2537" s="185" t="s">
        <v>176</v>
      </c>
      <c r="AY2537" s="55" t="s">
        <v>176</v>
      </c>
      <c r="BE2537" s="226" t="s">
        <v>2637</v>
      </c>
      <c r="BF2537" s="191" t="s">
        <v>176</v>
      </c>
      <c r="BG2537" s="191" t="s">
        <v>176</v>
      </c>
      <c r="BH2537" s="226" t="s">
        <v>2637</v>
      </c>
      <c r="BI2537" s="191" t="s">
        <v>176</v>
      </c>
      <c r="BJ2537" s="55" t="s">
        <v>176</v>
      </c>
      <c r="BK2537" s="55" t="s">
        <v>6333</v>
      </c>
      <c r="BM2537" s="192" t="s">
        <v>160</v>
      </c>
      <c r="BN2537" s="55">
        <v>3</v>
      </c>
      <c r="BO2537" s="55">
        <v>3</v>
      </c>
      <c r="BP2537" s="55">
        <v>3</v>
      </c>
      <c r="BQ2537" s="55" t="s">
        <v>2615</v>
      </c>
      <c r="BW2537" s="65">
        <v>2375</v>
      </c>
      <c r="BX2537" s="65">
        <v>6089</v>
      </c>
      <c r="CA2537" s="65" t="s">
        <v>2646</v>
      </c>
      <c r="CB2537" s="66">
        <v>709</v>
      </c>
      <c r="CC2537" s="66">
        <v>3514</v>
      </c>
      <c r="GP2537" s="292" t="s">
        <v>7494</v>
      </c>
      <c r="JU2537" s="55" t="s">
        <v>2648</v>
      </c>
    </row>
    <row r="2538" spans="1:281" x14ac:dyDescent="0.25">
      <c r="A2538" s="55">
        <v>2537</v>
      </c>
      <c r="B2538" s="12" t="s">
        <v>7067</v>
      </c>
      <c r="C2538" s="155">
        <v>119</v>
      </c>
      <c r="D2538" s="55" t="s">
        <v>4241</v>
      </c>
      <c r="E2538" s="90" t="s">
        <v>2633</v>
      </c>
      <c r="G2538" s="55" t="s">
        <v>2634</v>
      </c>
      <c r="H2538" s="55">
        <v>2004</v>
      </c>
      <c r="I2538" s="55">
        <v>2007</v>
      </c>
      <c r="J2538" s="55" t="s">
        <v>2635</v>
      </c>
      <c r="K2538" s="55" t="s">
        <v>2616</v>
      </c>
      <c r="L2538" s="55" t="s">
        <v>2748</v>
      </c>
      <c r="M2538" s="90">
        <v>-15.5</v>
      </c>
      <c r="N2538" s="90">
        <v>35.25</v>
      </c>
      <c r="O2538" s="90">
        <v>1030</v>
      </c>
      <c r="R2538" s="55">
        <v>700</v>
      </c>
      <c r="S2538" s="90">
        <v>1024</v>
      </c>
      <c r="U2538" s="55" t="s">
        <v>1912</v>
      </c>
      <c r="V2538" s="55" t="s">
        <v>1887</v>
      </c>
      <c r="Y2538" s="55" t="s">
        <v>2647</v>
      </c>
      <c r="Z2538" s="55" t="s">
        <v>1346</v>
      </c>
      <c r="AA2538" s="90" t="s">
        <v>1675</v>
      </c>
      <c r="AE2538" s="90">
        <v>46</v>
      </c>
      <c r="AF2538" s="90">
        <v>8</v>
      </c>
      <c r="AH2538" s="55" t="s">
        <v>2618</v>
      </c>
      <c r="AI2538" s="168">
        <v>5.9</v>
      </c>
      <c r="AJ2538" s="90">
        <v>0.88</v>
      </c>
      <c r="AM2538" s="55" t="s">
        <v>2617</v>
      </c>
      <c r="AN2538" s="185" t="s">
        <v>2620</v>
      </c>
      <c r="AO2538" s="185" t="s">
        <v>5150</v>
      </c>
      <c r="AQ2538" s="55" t="s">
        <v>553</v>
      </c>
      <c r="AR2538" s="55" t="s">
        <v>1607</v>
      </c>
      <c r="AS2538" s="55" t="s">
        <v>132</v>
      </c>
      <c r="AT2538" s="181" t="s">
        <v>176</v>
      </c>
      <c r="AU2538" s="181" t="s">
        <v>5150</v>
      </c>
      <c r="AV2538" s="185" t="s">
        <v>176</v>
      </c>
      <c r="AW2538" s="55" t="s">
        <v>176</v>
      </c>
      <c r="AX2538" s="185" t="s">
        <v>176</v>
      </c>
      <c r="AY2538" s="55" t="s">
        <v>176</v>
      </c>
      <c r="BE2538" s="226" t="s">
        <v>2638</v>
      </c>
      <c r="BF2538" s="191" t="s">
        <v>479</v>
      </c>
      <c r="BG2538" s="191" t="s">
        <v>479</v>
      </c>
      <c r="BH2538" s="226" t="s">
        <v>2638</v>
      </c>
      <c r="BI2538" s="191" t="s">
        <v>479</v>
      </c>
      <c r="BJ2538" s="55" t="s">
        <v>176</v>
      </c>
      <c r="BK2538" s="55" t="s">
        <v>6333</v>
      </c>
      <c r="BM2538" s="192" t="s">
        <v>160</v>
      </c>
      <c r="BN2538" s="55">
        <v>3</v>
      </c>
      <c r="BO2538" s="55">
        <v>3</v>
      </c>
      <c r="BP2538" s="55">
        <v>3</v>
      </c>
      <c r="BQ2538" s="55" t="s">
        <v>2615</v>
      </c>
      <c r="BW2538" s="65">
        <v>4977</v>
      </c>
      <c r="BX2538" s="65">
        <v>6359</v>
      </c>
      <c r="CA2538" s="65" t="s">
        <v>2646</v>
      </c>
      <c r="CB2538" s="66">
        <v>3098</v>
      </c>
      <c r="CC2538" s="66">
        <v>4243</v>
      </c>
      <c r="GP2538" s="292" t="s">
        <v>7494</v>
      </c>
      <c r="JU2538" s="55" t="s">
        <v>2648</v>
      </c>
    </row>
    <row r="2539" spans="1:281" x14ac:dyDescent="0.25">
      <c r="A2539" s="55">
        <v>2538</v>
      </c>
      <c r="B2539" s="12" t="s">
        <v>7067</v>
      </c>
      <c r="C2539" s="155">
        <v>119</v>
      </c>
      <c r="D2539" s="55" t="s">
        <v>4241</v>
      </c>
      <c r="E2539" s="90" t="s">
        <v>2633</v>
      </c>
      <c r="G2539" s="55" t="s">
        <v>2634</v>
      </c>
      <c r="H2539" s="55">
        <v>2004</v>
      </c>
      <c r="I2539" s="55">
        <v>2007</v>
      </c>
      <c r="J2539" s="55" t="s">
        <v>2635</v>
      </c>
      <c r="K2539" s="55" t="s">
        <v>2616</v>
      </c>
      <c r="L2539" s="55" t="s">
        <v>2748</v>
      </c>
      <c r="M2539" s="90">
        <v>-15.5</v>
      </c>
      <c r="N2539" s="90">
        <v>35.25</v>
      </c>
      <c r="O2539" s="90">
        <v>1030</v>
      </c>
      <c r="R2539" s="55">
        <v>700</v>
      </c>
      <c r="S2539" s="90">
        <v>1024</v>
      </c>
      <c r="U2539" s="55" t="s">
        <v>1912</v>
      </c>
      <c r="V2539" s="55" t="s">
        <v>1887</v>
      </c>
      <c r="Y2539" s="55" t="s">
        <v>2647</v>
      </c>
      <c r="Z2539" s="55" t="s">
        <v>1346</v>
      </c>
      <c r="AA2539" s="90" t="s">
        <v>1675</v>
      </c>
      <c r="AE2539" s="90">
        <v>46</v>
      </c>
      <c r="AF2539" s="90">
        <v>8</v>
      </c>
      <c r="AH2539" s="55" t="s">
        <v>2618</v>
      </c>
      <c r="AI2539" s="168">
        <v>5.9</v>
      </c>
      <c r="AJ2539" s="90">
        <v>0.88</v>
      </c>
      <c r="AM2539" s="55" t="s">
        <v>2617</v>
      </c>
      <c r="AN2539" s="185" t="s">
        <v>2620</v>
      </c>
      <c r="AO2539" s="185" t="s">
        <v>5150</v>
      </c>
      <c r="AQ2539" s="55" t="s">
        <v>553</v>
      </c>
      <c r="AR2539" s="55" t="s">
        <v>1607</v>
      </c>
      <c r="AS2539" s="55" t="s">
        <v>132</v>
      </c>
      <c r="AT2539" s="181" t="s">
        <v>176</v>
      </c>
      <c r="AU2539" s="181" t="s">
        <v>5150</v>
      </c>
      <c r="AV2539" s="185" t="s">
        <v>176</v>
      </c>
      <c r="AW2539" s="55" t="s">
        <v>176</v>
      </c>
      <c r="AX2539" s="185" t="s">
        <v>176</v>
      </c>
      <c r="AY2539" s="55" t="s">
        <v>176</v>
      </c>
      <c r="BE2539" s="226" t="s">
        <v>2639</v>
      </c>
      <c r="BF2539" s="191" t="s">
        <v>479</v>
      </c>
      <c r="BG2539" s="191" t="s">
        <v>479</v>
      </c>
      <c r="BH2539" s="226" t="s">
        <v>2639</v>
      </c>
      <c r="BI2539" s="191" t="s">
        <v>479</v>
      </c>
      <c r="BJ2539" s="55" t="s">
        <v>176</v>
      </c>
      <c r="BK2539" s="55" t="s">
        <v>6333</v>
      </c>
      <c r="BM2539" s="192" t="s">
        <v>160</v>
      </c>
      <c r="BN2539" s="55">
        <v>3</v>
      </c>
      <c r="BO2539" s="55">
        <v>3</v>
      </c>
      <c r="BP2539" s="55">
        <v>3</v>
      </c>
      <c r="BQ2539" s="55" t="s">
        <v>2615</v>
      </c>
      <c r="BW2539" s="65">
        <v>6072</v>
      </c>
      <c r="BX2539" s="65">
        <v>6804</v>
      </c>
      <c r="CA2539" s="65" t="s">
        <v>2646</v>
      </c>
      <c r="CB2539" s="66">
        <v>4479</v>
      </c>
      <c r="CC2539" s="66">
        <v>4892</v>
      </c>
      <c r="GP2539" s="292" t="s">
        <v>7494</v>
      </c>
      <c r="JU2539" s="55" t="s">
        <v>2648</v>
      </c>
    </row>
    <row r="2540" spans="1:281" x14ac:dyDescent="0.25">
      <c r="A2540" s="55">
        <v>2539</v>
      </c>
      <c r="B2540" s="12" t="s">
        <v>7067</v>
      </c>
      <c r="C2540" s="155">
        <v>119</v>
      </c>
      <c r="D2540" s="55" t="s">
        <v>4241</v>
      </c>
      <c r="E2540" s="90" t="s">
        <v>2633</v>
      </c>
      <c r="G2540" s="55" t="s">
        <v>2634</v>
      </c>
      <c r="H2540" s="55">
        <v>2004</v>
      </c>
      <c r="I2540" s="55">
        <v>2007</v>
      </c>
      <c r="J2540" s="55" t="s">
        <v>2635</v>
      </c>
      <c r="K2540" s="55" t="s">
        <v>2616</v>
      </c>
      <c r="L2540" s="55" t="s">
        <v>2748</v>
      </c>
      <c r="M2540" s="90">
        <v>-15.5</v>
      </c>
      <c r="N2540" s="90">
        <v>35.25</v>
      </c>
      <c r="O2540" s="90">
        <v>1030</v>
      </c>
      <c r="R2540" s="55">
        <v>700</v>
      </c>
      <c r="S2540" s="90">
        <v>1024</v>
      </c>
      <c r="U2540" s="55" t="s">
        <v>1912</v>
      </c>
      <c r="V2540" s="55" t="s">
        <v>1887</v>
      </c>
      <c r="Y2540" s="55" t="s">
        <v>2647</v>
      </c>
      <c r="Z2540" s="55" t="s">
        <v>1346</v>
      </c>
      <c r="AA2540" s="90" t="s">
        <v>1675</v>
      </c>
      <c r="AE2540" s="90">
        <v>46</v>
      </c>
      <c r="AF2540" s="90">
        <v>8</v>
      </c>
      <c r="AH2540" s="55" t="s">
        <v>2618</v>
      </c>
      <c r="AI2540" s="168">
        <v>5.9</v>
      </c>
      <c r="AJ2540" s="90">
        <v>0.88</v>
      </c>
      <c r="AM2540" s="55" t="s">
        <v>2617</v>
      </c>
      <c r="AN2540" s="185" t="s">
        <v>2620</v>
      </c>
      <c r="AO2540" s="185" t="s">
        <v>5150</v>
      </c>
      <c r="AQ2540" s="55" t="s">
        <v>553</v>
      </c>
      <c r="AR2540" s="55" t="s">
        <v>1607</v>
      </c>
      <c r="AS2540" s="55" t="s">
        <v>132</v>
      </c>
      <c r="AT2540" s="181" t="s">
        <v>176</v>
      </c>
      <c r="AU2540" s="181" t="s">
        <v>5150</v>
      </c>
      <c r="AV2540" s="185" t="s">
        <v>176</v>
      </c>
      <c r="AW2540" s="55" t="s">
        <v>176</v>
      </c>
      <c r="AX2540" s="185" t="s">
        <v>176</v>
      </c>
      <c r="AY2540" s="55" t="s">
        <v>176</v>
      </c>
      <c r="BE2540" s="226" t="s">
        <v>2640</v>
      </c>
      <c r="BF2540" s="191" t="s">
        <v>479</v>
      </c>
      <c r="BG2540" s="191" t="s">
        <v>479</v>
      </c>
      <c r="BH2540" s="226" t="s">
        <v>2640</v>
      </c>
      <c r="BI2540" s="191" t="s">
        <v>479</v>
      </c>
      <c r="BJ2540" s="55" t="s">
        <v>176</v>
      </c>
      <c r="BK2540" s="55" t="s">
        <v>6333</v>
      </c>
      <c r="BM2540" s="192" t="s">
        <v>160</v>
      </c>
      <c r="BN2540" s="55">
        <v>3</v>
      </c>
      <c r="BO2540" s="55">
        <v>3</v>
      </c>
      <c r="BP2540" s="55">
        <v>3</v>
      </c>
      <c r="BQ2540" s="55" t="s">
        <v>2615</v>
      </c>
      <c r="BW2540" s="65">
        <v>6396</v>
      </c>
      <c r="BX2540" s="65">
        <v>8285</v>
      </c>
      <c r="CA2540" s="65" t="s">
        <v>2646</v>
      </c>
      <c r="CB2540" s="66">
        <v>4493</v>
      </c>
      <c r="CC2540" s="66">
        <v>6405</v>
      </c>
      <c r="GP2540" s="292" t="s">
        <v>7494</v>
      </c>
      <c r="JU2540" s="55" t="s">
        <v>2648</v>
      </c>
    </row>
    <row r="2541" spans="1:281" x14ac:dyDescent="0.25">
      <c r="A2541" s="55">
        <v>2540</v>
      </c>
      <c r="B2541" s="12" t="s">
        <v>7067</v>
      </c>
      <c r="C2541" s="155">
        <v>119</v>
      </c>
      <c r="D2541" s="55" t="s">
        <v>4242</v>
      </c>
      <c r="E2541" s="90" t="s">
        <v>2633</v>
      </c>
      <c r="G2541" s="55" t="s">
        <v>2634</v>
      </c>
      <c r="H2541" s="55">
        <v>2004</v>
      </c>
      <c r="I2541" s="55">
        <v>2007</v>
      </c>
      <c r="J2541" s="55" t="s">
        <v>2635</v>
      </c>
      <c r="K2541" s="55" t="s">
        <v>2616</v>
      </c>
      <c r="L2541" s="55" t="s">
        <v>2748</v>
      </c>
      <c r="M2541" s="90">
        <v>-15.5</v>
      </c>
      <c r="N2541" s="90">
        <v>35.25</v>
      </c>
      <c r="O2541" s="90">
        <v>1030</v>
      </c>
      <c r="R2541" s="55">
        <v>700</v>
      </c>
      <c r="S2541" s="90">
        <v>1024</v>
      </c>
      <c r="U2541" s="55" t="s">
        <v>1912</v>
      </c>
      <c r="V2541" s="55" t="s">
        <v>1887</v>
      </c>
      <c r="Y2541" s="55" t="s">
        <v>2647</v>
      </c>
      <c r="Z2541" s="55" t="s">
        <v>1346</v>
      </c>
      <c r="AA2541" s="90" t="s">
        <v>1675</v>
      </c>
      <c r="AE2541" s="90">
        <v>46</v>
      </c>
      <c r="AF2541" s="90">
        <v>8</v>
      </c>
      <c r="AH2541" s="55" t="s">
        <v>2618</v>
      </c>
      <c r="AI2541" s="168">
        <v>5.9</v>
      </c>
      <c r="AJ2541" s="90">
        <v>0.88</v>
      </c>
      <c r="AM2541" s="55" t="s">
        <v>2617</v>
      </c>
      <c r="AN2541" s="185" t="s">
        <v>2620</v>
      </c>
      <c r="AO2541" s="185" t="s">
        <v>5150</v>
      </c>
      <c r="AQ2541" s="55" t="s">
        <v>553</v>
      </c>
      <c r="AR2541" s="55" t="s">
        <v>1607</v>
      </c>
      <c r="AS2541" s="55" t="s">
        <v>132</v>
      </c>
      <c r="AT2541" s="181" t="s">
        <v>176</v>
      </c>
      <c r="AU2541" s="181" t="s">
        <v>5150</v>
      </c>
      <c r="AV2541" s="185" t="s">
        <v>176</v>
      </c>
      <c r="AW2541" s="55" t="s">
        <v>176</v>
      </c>
      <c r="AX2541" s="185" t="s">
        <v>176</v>
      </c>
      <c r="AY2541" s="55" t="s">
        <v>176</v>
      </c>
      <c r="BE2541" s="226" t="s">
        <v>2641</v>
      </c>
      <c r="BF2541" s="191" t="s">
        <v>479</v>
      </c>
      <c r="BG2541" s="191" t="s">
        <v>479</v>
      </c>
      <c r="BH2541" s="226" t="s">
        <v>2641</v>
      </c>
      <c r="BI2541" s="191" t="s">
        <v>479</v>
      </c>
      <c r="BJ2541" s="55" t="s">
        <v>176</v>
      </c>
      <c r="BK2541" s="55" t="s">
        <v>6333</v>
      </c>
      <c r="BM2541" s="192" t="s">
        <v>160</v>
      </c>
      <c r="BN2541" s="55">
        <v>3</v>
      </c>
      <c r="BO2541" s="55">
        <v>3</v>
      </c>
      <c r="BP2541" s="55">
        <v>3</v>
      </c>
      <c r="BQ2541" s="55" t="s">
        <v>2615</v>
      </c>
      <c r="BW2541" s="65">
        <v>5126</v>
      </c>
      <c r="BX2541" s="65">
        <v>8028</v>
      </c>
      <c r="CA2541" s="65" t="s">
        <v>2646</v>
      </c>
      <c r="CB2541" s="66">
        <v>3640</v>
      </c>
      <c r="CC2541" s="66">
        <v>5568</v>
      </c>
      <c r="GP2541" s="292" t="s">
        <v>7494</v>
      </c>
      <c r="JU2541" s="55" t="s">
        <v>2648</v>
      </c>
    </row>
    <row r="2542" spans="1:281" x14ac:dyDescent="0.25">
      <c r="A2542" s="55">
        <v>2541</v>
      </c>
      <c r="B2542" s="12" t="s">
        <v>7067</v>
      </c>
      <c r="C2542" s="155">
        <v>119</v>
      </c>
      <c r="D2542" s="55" t="s">
        <v>4242</v>
      </c>
      <c r="E2542" s="90" t="s">
        <v>2633</v>
      </c>
      <c r="G2542" s="55" t="s">
        <v>2634</v>
      </c>
      <c r="H2542" s="55">
        <v>2004</v>
      </c>
      <c r="I2542" s="55">
        <v>2007</v>
      </c>
      <c r="J2542" s="55" t="s">
        <v>2635</v>
      </c>
      <c r="K2542" s="55" t="s">
        <v>2616</v>
      </c>
      <c r="L2542" s="55" t="s">
        <v>2748</v>
      </c>
      <c r="M2542" s="90">
        <v>-15.5</v>
      </c>
      <c r="N2542" s="90">
        <v>35.25</v>
      </c>
      <c r="O2542" s="90">
        <v>1030</v>
      </c>
      <c r="R2542" s="55">
        <v>700</v>
      </c>
      <c r="S2542" s="90">
        <v>1024</v>
      </c>
      <c r="U2542" s="55" t="s">
        <v>1912</v>
      </c>
      <c r="V2542" s="55" t="s">
        <v>1887</v>
      </c>
      <c r="Y2542" s="55" t="s">
        <v>2647</v>
      </c>
      <c r="Z2542" s="55" t="s">
        <v>1346</v>
      </c>
      <c r="AA2542" s="90" t="s">
        <v>1675</v>
      </c>
      <c r="AE2542" s="90">
        <v>46</v>
      </c>
      <c r="AF2542" s="90">
        <v>8</v>
      </c>
      <c r="AH2542" s="55" t="s">
        <v>2618</v>
      </c>
      <c r="AI2542" s="168">
        <v>5.9</v>
      </c>
      <c r="AJ2542" s="90">
        <v>0.88</v>
      </c>
      <c r="AM2542" s="55" t="s">
        <v>2617</v>
      </c>
      <c r="AN2542" s="185" t="s">
        <v>2620</v>
      </c>
      <c r="AO2542" s="185" t="s">
        <v>5150</v>
      </c>
      <c r="AQ2542" s="55" t="s">
        <v>553</v>
      </c>
      <c r="AR2542" s="55" t="s">
        <v>1607</v>
      </c>
      <c r="AS2542" s="55" t="s">
        <v>132</v>
      </c>
      <c r="AT2542" s="181" t="s">
        <v>176</v>
      </c>
      <c r="AU2542" s="181" t="s">
        <v>5150</v>
      </c>
      <c r="AV2542" s="185" t="s">
        <v>176</v>
      </c>
      <c r="AW2542" s="55" t="s">
        <v>176</v>
      </c>
      <c r="AX2542" s="185" t="s">
        <v>176</v>
      </c>
      <c r="AY2542" s="55" t="s">
        <v>176</v>
      </c>
      <c r="BE2542" s="226" t="s">
        <v>2642</v>
      </c>
      <c r="BF2542" s="191" t="s">
        <v>479</v>
      </c>
      <c r="BG2542" s="191" t="s">
        <v>479</v>
      </c>
      <c r="BH2542" s="226" t="s">
        <v>2642</v>
      </c>
      <c r="BI2542" s="191" t="s">
        <v>479</v>
      </c>
      <c r="BJ2542" s="55" t="s">
        <v>176</v>
      </c>
      <c r="BK2542" s="55" t="s">
        <v>6333</v>
      </c>
      <c r="BM2542" s="192" t="s">
        <v>160</v>
      </c>
      <c r="BN2542" s="55">
        <v>3</v>
      </c>
      <c r="BO2542" s="55">
        <v>3</v>
      </c>
      <c r="BP2542" s="55">
        <v>3</v>
      </c>
      <c r="BQ2542" s="55" t="s">
        <v>2615</v>
      </c>
      <c r="BW2542" s="65">
        <v>5674</v>
      </c>
      <c r="BX2542" s="65">
        <v>7703</v>
      </c>
      <c r="CA2542" s="65" t="s">
        <v>2646</v>
      </c>
      <c r="CB2542" s="66">
        <v>3954</v>
      </c>
      <c r="CC2542" s="66">
        <v>5202</v>
      </c>
      <c r="GP2542" s="292" t="s">
        <v>7494</v>
      </c>
      <c r="JU2542" s="55" t="s">
        <v>2648</v>
      </c>
    </row>
    <row r="2543" spans="1:281" x14ac:dyDescent="0.25">
      <c r="A2543" s="55">
        <v>2542</v>
      </c>
      <c r="B2543" s="12" t="s">
        <v>7067</v>
      </c>
      <c r="C2543" s="155">
        <v>119</v>
      </c>
      <c r="D2543" s="55" t="s">
        <v>4242</v>
      </c>
      <c r="E2543" s="90" t="s">
        <v>2633</v>
      </c>
      <c r="G2543" s="55" t="s">
        <v>2634</v>
      </c>
      <c r="H2543" s="55">
        <v>2004</v>
      </c>
      <c r="I2543" s="55">
        <v>2007</v>
      </c>
      <c r="J2543" s="55" t="s">
        <v>2635</v>
      </c>
      <c r="K2543" s="55" t="s">
        <v>2616</v>
      </c>
      <c r="L2543" s="55" t="s">
        <v>2748</v>
      </c>
      <c r="M2543" s="90">
        <v>-15.5</v>
      </c>
      <c r="N2543" s="90">
        <v>35.25</v>
      </c>
      <c r="O2543" s="90">
        <v>1030</v>
      </c>
      <c r="R2543" s="55">
        <v>700</v>
      </c>
      <c r="S2543" s="90">
        <v>1024</v>
      </c>
      <c r="U2543" s="55" t="s">
        <v>1912</v>
      </c>
      <c r="V2543" s="55" t="s">
        <v>1887</v>
      </c>
      <c r="Y2543" s="55" t="s">
        <v>2647</v>
      </c>
      <c r="Z2543" s="55" t="s">
        <v>1346</v>
      </c>
      <c r="AA2543" s="90" t="s">
        <v>1675</v>
      </c>
      <c r="AE2543" s="90">
        <v>46</v>
      </c>
      <c r="AF2543" s="90">
        <v>8</v>
      </c>
      <c r="AH2543" s="55" t="s">
        <v>2618</v>
      </c>
      <c r="AI2543" s="168">
        <v>5.9</v>
      </c>
      <c r="AJ2543" s="90">
        <v>0.88</v>
      </c>
      <c r="AM2543" s="55" t="s">
        <v>2617</v>
      </c>
      <c r="AN2543" s="185" t="s">
        <v>2620</v>
      </c>
      <c r="AO2543" s="185" t="s">
        <v>5150</v>
      </c>
      <c r="AQ2543" s="55" t="s">
        <v>553</v>
      </c>
      <c r="AR2543" s="55" t="s">
        <v>1607</v>
      </c>
      <c r="AS2543" s="55" t="s">
        <v>132</v>
      </c>
      <c r="AT2543" s="181" t="s">
        <v>176</v>
      </c>
      <c r="AU2543" s="181" t="s">
        <v>5150</v>
      </c>
      <c r="AV2543" s="185" t="s">
        <v>176</v>
      </c>
      <c r="AW2543" s="55" t="s">
        <v>176</v>
      </c>
      <c r="AX2543" s="185" t="s">
        <v>176</v>
      </c>
      <c r="AY2543" s="55" t="s">
        <v>176</v>
      </c>
      <c r="BE2543" s="226" t="s">
        <v>2643</v>
      </c>
      <c r="BF2543" s="191" t="s">
        <v>479</v>
      </c>
      <c r="BG2543" s="191" t="s">
        <v>479</v>
      </c>
      <c r="BH2543" s="226" t="s">
        <v>2643</v>
      </c>
      <c r="BI2543" s="191" t="s">
        <v>479</v>
      </c>
      <c r="BJ2543" s="55" t="s">
        <v>176</v>
      </c>
      <c r="BK2543" s="55" t="s">
        <v>6333</v>
      </c>
      <c r="BM2543" s="192" t="s">
        <v>160</v>
      </c>
      <c r="BN2543" s="55">
        <v>3</v>
      </c>
      <c r="BO2543" s="55">
        <v>3</v>
      </c>
      <c r="BP2543" s="55">
        <v>3</v>
      </c>
      <c r="BQ2543" s="55" t="s">
        <v>2615</v>
      </c>
      <c r="BW2543" s="65">
        <v>6261</v>
      </c>
      <c r="BX2543" s="65">
        <v>7379</v>
      </c>
      <c r="CA2543" s="65" t="s">
        <v>2646</v>
      </c>
      <c r="CB2543" s="66">
        <v>3462</v>
      </c>
      <c r="CC2543" s="66">
        <v>5216</v>
      </c>
      <c r="GP2543" s="292" t="s">
        <v>7494</v>
      </c>
      <c r="JU2543" s="55" t="s">
        <v>2648</v>
      </c>
    </row>
    <row r="2544" spans="1:281" x14ac:dyDescent="0.25">
      <c r="A2544" s="55">
        <v>2543</v>
      </c>
      <c r="B2544" s="12" t="s">
        <v>7067</v>
      </c>
      <c r="C2544" s="155">
        <v>119</v>
      </c>
      <c r="D2544" s="55" t="s">
        <v>4240</v>
      </c>
      <c r="E2544" s="90" t="s">
        <v>2633</v>
      </c>
      <c r="G2544" s="55" t="s">
        <v>2634</v>
      </c>
      <c r="H2544" s="55">
        <v>2005</v>
      </c>
      <c r="I2544" s="55">
        <v>2007</v>
      </c>
      <c r="J2544" s="55" t="s">
        <v>2635</v>
      </c>
      <c r="K2544" s="55" t="s">
        <v>2616</v>
      </c>
      <c r="L2544" s="55" t="s">
        <v>2748</v>
      </c>
      <c r="M2544" s="90">
        <v>-15.5</v>
      </c>
      <c r="N2544" s="90">
        <v>35.25</v>
      </c>
      <c r="O2544" s="90">
        <v>1030</v>
      </c>
      <c r="R2544" s="55">
        <v>1160</v>
      </c>
      <c r="S2544" s="90">
        <v>1024</v>
      </c>
      <c r="U2544" s="55" t="s">
        <v>1677</v>
      </c>
      <c r="V2544" s="55" t="s">
        <v>1887</v>
      </c>
      <c r="Y2544" s="55" t="s">
        <v>2647</v>
      </c>
      <c r="Z2544" s="55" t="s">
        <v>1346</v>
      </c>
      <c r="AA2544" s="90" t="s">
        <v>1675</v>
      </c>
      <c r="AE2544" s="90">
        <v>46</v>
      </c>
      <c r="AF2544" s="90">
        <v>8</v>
      </c>
      <c r="AH2544" s="55" t="s">
        <v>2618</v>
      </c>
      <c r="AI2544" s="168">
        <v>5.9</v>
      </c>
      <c r="AJ2544" s="90">
        <v>0.88</v>
      </c>
      <c r="AM2544" s="55" t="s">
        <v>2617</v>
      </c>
      <c r="AN2544" s="185" t="s">
        <v>2620</v>
      </c>
      <c r="AO2544" s="185" t="s">
        <v>5150</v>
      </c>
      <c r="AQ2544" s="55" t="s">
        <v>553</v>
      </c>
      <c r="AR2544" s="55" t="s">
        <v>1607</v>
      </c>
      <c r="AS2544" s="55" t="s">
        <v>132</v>
      </c>
      <c r="AT2544" s="181" t="s">
        <v>176</v>
      </c>
      <c r="AU2544" s="181" t="s">
        <v>5150</v>
      </c>
      <c r="AV2544" s="185" t="s">
        <v>176</v>
      </c>
      <c r="AW2544" s="55" t="s">
        <v>176</v>
      </c>
      <c r="AX2544" s="185" t="s">
        <v>176</v>
      </c>
      <c r="AY2544" s="55" t="s">
        <v>176</v>
      </c>
      <c r="BE2544" s="226" t="s">
        <v>2624</v>
      </c>
      <c r="BF2544" s="191" t="s">
        <v>176</v>
      </c>
      <c r="BG2544" s="191" t="s">
        <v>176</v>
      </c>
      <c r="BH2544" s="226" t="s">
        <v>2624</v>
      </c>
      <c r="BI2544" s="191" t="s">
        <v>176</v>
      </c>
      <c r="BJ2544" s="55" t="s">
        <v>176</v>
      </c>
      <c r="BK2544" s="55" t="s">
        <v>6333</v>
      </c>
      <c r="BM2544" s="192" t="s">
        <v>160</v>
      </c>
      <c r="BN2544" s="55">
        <v>3</v>
      </c>
      <c r="BO2544" s="55">
        <v>3</v>
      </c>
      <c r="BP2544" s="55">
        <v>3</v>
      </c>
      <c r="BQ2544" s="55" t="s">
        <v>2615</v>
      </c>
      <c r="BW2544" s="65">
        <v>3694</v>
      </c>
      <c r="BX2544" s="65">
        <v>4549</v>
      </c>
      <c r="CA2544" s="65" t="s">
        <v>2646</v>
      </c>
      <c r="CB2544" s="66">
        <v>503</v>
      </c>
      <c r="CC2544" s="66">
        <v>3365</v>
      </c>
      <c r="GP2544" s="292" t="s">
        <v>7494</v>
      </c>
      <c r="JU2544" s="55" t="s">
        <v>2648</v>
      </c>
    </row>
    <row r="2545" spans="1:286" x14ac:dyDescent="0.25">
      <c r="A2545" s="55">
        <v>2544</v>
      </c>
      <c r="B2545" s="12" t="s">
        <v>7067</v>
      </c>
      <c r="C2545" s="155">
        <v>119</v>
      </c>
      <c r="D2545" s="55" t="s">
        <v>4240</v>
      </c>
      <c r="E2545" s="90" t="s">
        <v>2633</v>
      </c>
      <c r="G2545" s="55" t="s">
        <v>2634</v>
      </c>
      <c r="H2545" s="55">
        <v>2005</v>
      </c>
      <c r="I2545" s="55">
        <v>2007</v>
      </c>
      <c r="J2545" s="55" t="s">
        <v>2635</v>
      </c>
      <c r="K2545" s="55" t="s">
        <v>2616</v>
      </c>
      <c r="L2545" s="55" t="s">
        <v>2748</v>
      </c>
      <c r="M2545" s="90">
        <v>-15.5</v>
      </c>
      <c r="N2545" s="90">
        <v>35.25</v>
      </c>
      <c r="O2545" s="90">
        <v>1030</v>
      </c>
      <c r="R2545" s="55">
        <v>1160</v>
      </c>
      <c r="S2545" s="90">
        <v>1024</v>
      </c>
      <c r="U2545" s="55" t="s">
        <v>1677</v>
      </c>
      <c r="V2545" s="55" t="s">
        <v>1887</v>
      </c>
      <c r="Y2545" s="55" t="s">
        <v>2647</v>
      </c>
      <c r="Z2545" s="55" t="s">
        <v>1346</v>
      </c>
      <c r="AA2545" s="90" t="s">
        <v>1675</v>
      </c>
      <c r="AE2545" s="90">
        <v>46</v>
      </c>
      <c r="AF2545" s="90">
        <v>8</v>
      </c>
      <c r="AH2545" s="55" t="s">
        <v>2618</v>
      </c>
      <c r="AI2545" s="168">
        <v>5.9</v>
      </c>
      <c r="AJ2545" s="90">
        <v>0.88</v>
      </c>
      <c r="AM2545" s="55" t="s">
        <v>2617</v>
      </c>
      <c r="AN2545" s="185" t="s">
        <v>2620</v>
      </c>
      <c r="AO2545" s="185" t="s">
        <v>5150</v>
      </c>
      <c r="AQ2545" s="55" t="s">
        <v>553</v>
      </c>
      <c r="AR2545" s="55" t="s">
        <v>1607</v>
      </c>
      <c r="AS2545" s="55" t="s">
        <v>132</v>
      </c>
      <c r="AT2545" s="181" t="s">
        <v>176</v>
      </c>
      <c r="AU2545" s="181" t="s">
        <v>5150</v>
      </c>
      <c r="AV2545" s="185" t="s">
        <v>176</v>
      </c>
      <c r="AW2545" s="55" t="s">
        <v>176</v>
      </c>
      <c r="AX2545" s="185" t="s">
        <v>176</v>
      </c>
      <c r="AY2545" s="55" t="s">
        <v>176</v>
      </c>
      <c r="BE2545" s="226" t="s">
        <v>2636</v>
      </c>
      <c r="BF2545" s="191" t="s">
        <v>176</v>
      </c>
      <c r="BG2545" s="191" t="s">
        <v>176</v>
      </c>
      <c r="BH2545" s="226" t="s">
        <v>2636</v>
      </c>
      <c r="BI2545" s="191" t="s">
        <v>176</v>
      </c>
      <c r="BJ2545" s="55" t="s">
        <v>176</v>
      </c>
      <c r="BK2545" s="55" t="s">
        <v>6333</v>
      </c>
      <c r="BM2545" s="192" t="s">
        <v>160</v>
      </c>
      <c r="BN2545" s="55">
        <v>3</v>
      </c>
      <c r="BO2545" s="55">
        <v>3</v>
      </c>
      <c r="BP2545" s="55">
        <v>3</v>
      </c>
      <c r="BQ2545" s="55" t="s">
        <v>2615</v>
      </c>
      <c r="BW2545" s="65">
        <v>3309</v>
      </c>
      <c r="BX2545" s="65">
        <v>5522</v>
      </c>
      <c r="CA2545" s="65" t="s">
        <v>2646</v>
      </c>
      <c r="CB2545" s="66">
        <v>530</v>
      </c>
      <c r="CC2545" s="66">
        <v>3364</v>
      </c>
      <c r="GP2545" s="292" t="s">
        <v>7494</v>
      </c>
      <c r="JU2545" s="55" t="s">
        <v>2648</v>
      </c>
    </row>
    <row r="2546" spans="1:286" x14ac:dyDescent="0.25">
      <c r="A2546" s="55">
        <v>2545</v>
      </c>
      <c r="B2546" s="12" t="s">
        <v>7067</v>
      </c>
      <c r="C2546" s="155">
        <v>119</v>
      </c>
      <c r="D2546" s="55" t="s">
        <v>4240</v>
      </c>
      <c r="E2546" s="90" t="s">
        <v>2633</v>
      </c>
      <c r="G2546" s="55" t="s">
        <v>2634</v>
      </c>
      <c r="H2546" s="55">
        <v>2005</v>
      </c>
      <c r="I2546" s="55">
        <v>2007</v>
      </c>
      <c r="J2546" s="55" t="s">
        <v>2635</v>
      </c>
      <c r="K2546" s="55" t="s">
        <v>2616</v>
      </c>
      <c r="L2546" s="55" t="s">
        <v>2748</v>
      </c>
      <c r="M2546" s="90">
        <v>-15.5</v>
      </c>
      <c r="N2546" s="90">
        <v>35.25</v>
      </c>
      <c r="O2546" s="90">
        <v>1030</v>
      </c>
      <c r="R2546" s="55">
        <v>1160</v>
      </c>
      <c r="S2546" s="90">
        <v>1024</v>
      </c>
      <c r="U2546" s="55" t="s">
        <v>1677</v>
      </c>
      <c r="V2546" s="55" t="s">
        <v>1887</v>
      </c>
      <c r="Y2546" s="55" t="s">
        <v>2647</v>
      </c>
      <c r="Z2546" s="55" t="s">
        <v>1346</v>
      </c>
      <c r="AA2546" s="90" t="s">
        <v>1675</v>
      </c>
      <c r="AE2546" s="90">
        <v>46</v>
      </c>
      <c r="AF2546" s="90">
        <v>8</v>
      </c>
      <c r="AH2546" s="55" t="s">
        <v>2618</v>
      </c>
      <c r="AI2546" s="168">
        <v>5.9</v>
      </c>
      <c r="AJ2546" s="90">
        <v>0.88</v>
      </c>
      <c r="AM2546" s="55" t="s">
        <v>2617</v>
      </c>
      <c r="AN2546" s="185" t="s">
        <v>2620</v>
      </c>
      <c r="AO2546" s="185" t="s">
        <v>5150</v>
      </c>
      <c r="AQ2546" s="55" t="s">
        <v>553</v>
      </c>
      <c r="AR2546" s="55" t="s">
        <v>1607</v>
      </c>
      <c r="AS2546" s="55" t="s">
        <v>132</v>
      </c>
      <c r="AT2546" s="181" t="s">
        <v>176</v>
      </c>
      <c r="AU2546" s="181" t="s">
        <v>5150</v>
      </c>
      <c r="AV2546" s="185" t="s">
        <v>176</v>
      </c>
      <c r="AW2546" s="55" t="s">
        <v>176</v>
      </c>
      <c r="AX2546" s="185" t="s">
        <v>176</v>
      </c>
      <c r="AY2546" s="55" t="s">
        <v>176</v>
      </c>
      <c r="BE2546" s="226" t="s">
        <v>2637</v>
      </c>
      <c r="BF2546" s="191" t="s">
        <v>176</v>
      </c>
      <c r="BG2546" s="191" t="s">
        <v>176</v>
      </c>
      <c r="BH2546" s="226" t="s">
        <v>2637</v>
      </c>
      <c r="BI2546" s="191" t="s">
        <v>176</v>
      </c>
      <c r="BJ2546" s="55" t="s">
        <v>176</v>
      </c>
      <c r="BK2546" s="55" t="s">
        <v>6333</v>
      </c>
      <c r="BM2546" s="192" t="s">
        <v>160</v>
      </c>
      <c r="BN2546" s="55">
        <v>3</v>
      </c>
      <c r="BO2546" s="55">
        <v>3</v>
      </c>
      <c r="BP2546" s="55">
        <v>3</v>
      </c>
      <c r="BQ2546" s="55" t="s">
        <v>2615</v>
      </c>
      <c r="BW2546" s="65">
        <v>3552</v>
      </c>
      <c r="BX2546" s="65">
        <v>5036</v>
      </c>
      <c r="CA2546" s="65" t="s">
        <v>2646</v>
      </c>
      <c r="CB2546" s="66">
        <v>680</v>
      </c>
      <c r="CC2546" s="66">
        <v>3730</v>
      </c>
      <c r="GP2546" s="292" t="s">
        <v>7494</v>
      </c>
      <c r="JU2546" s="55" t="s">
        <v>2648</v>
      </c>
    </row>
    <row r="2547" spans="1:286" x14ac:dyDescent="0.25">
      <c r="A2547" s="55">
        <v>2546</v>
      </c>
      <c r="B2547" s="12" t="s">
        <v>7067</v>
      </c>
      <c r="C2547" s="155">
        <v>119</v>
      </c>
      <c r="D2547" s="55" t="s">
        <v>4241</v>
      </c>
      <c r="E2547" s="90" t="s">
        <v>2633</v>
      </c>
      <c r="G2547" s="55" t="s">
        <v>2634</v>
      </c>
      <c r="H2547" s="55">
        <v>2005</v>
      </c>
      <c r="I2547" s="55">
        <v>2007</v>
      </c>
      <c r="J2547" s="55" t="s">
        <v>2635</v>
      </c>
      <c r="K2547" s="55" t="s">
        <v>2616</v>
      </c>
      <c r="L2547" s="55" t="s">
        <v>2748</v>
      </c>
      <c r="M2547" s="90">
        <v>-15.5</v>
      </c>
      <c r="N2547" s="90">
        <v>35.25</v>
      </c>
      <c r="O2547" s="90">
        <v>1030</v>
      </c>
      <c r="R2547" s="55">
        <v>1160</v>
      </c>
      <c r="S2547" s="90">
        <v>1024</v>
      </c>
      <c r="U2547" s="55" t="s">
        <v>1677</v>
      </c>
      <c r="V2547" s="55" t="s">
        <v>1887</v>
      </c>
      <c r="Y2547" s="55" t="s">
        <v>2647</v>
      </c>
      <c r="Z2547" s="55" t="s">
        <v>1346</v>
      </c>
      <c r="AA2547" s="90" t="s">
        <v>1675</v>
      </c>
      <c r="AE2547" s="90">
        <v>46</v>
      </c>
      <c r="AF2547" s="90">
        <v>8</v>
      </c>
      <c r="AH2547" s="55" t="s">
        <v>2618</v>
      </c>
      <c r="AI2547" s="168">
        <v>5.9</v>
      </c>
      <c r="AJ2547" s="90">
        <v>0.88</v>
      </c>
      <c r="AM2547" s="55" t="s">
        <v>2617</v>
      </c>
      <c r="AN2547" s="185" t="s">
        <v>2620</v>
      </c>
      <c r="AO2547" s="185" t="s">
        <v>5150</v>
      </c>
      <c r="AQ2547" s="55" t="s">
        <v>553</v>
      </c>
      <c r="AR2547" s="55" t="s">
        <v>1607</v>
      </c>
      <c r="AS2547" s="55" t="s">
        <v>132</v>
      </c>
      <c r="AT2547" s="181" t="s">
        <v>176</v>
      </c>
      <c r="AU2547" s="181" t="s">
        <v>5150</v>
      </c>
      <c r="AV2547" s="185" t="s">
        <v>176</v>
      </c>
      <c r="AW2547" s="55" t="s">
        <v>176</v>
      </c>
      <c r="AX2547" s="185" t="s">
        <v>176</v>
      </c>
      <c r="AY2547" s="55" t="s">
        <v>176</v>
      </c>
      <c r="BE2547" s="226" t="s">
        <v>2638</v>
      </c>
      <c r="BF2547" s="191" t="s">
        <v>479</v>
      </c>
      <c r="BG2547" s="191" t="s">
        <v>479</v>
      </c>
      <c r="BH2547" s="226" t="s">
        <v>2638</v>
      </c>
      <c r="BI2547" s="191" t="s">
        <v>479</v>
      </c>
      <c r="BJ2547" s="55" t="s">
        <v>176</v>
      </c>
      <c r="BK2547" s="55" t="s">
        <v>6333</v>
      </c>
      <c r="BM2547" s="192" t="s">
        <v>160</v>
      </c>
      <c r="BN2547" s="55">
        <v>3</v>
      </c>
      <c r="BO2547" s="55">
        <v>3</v>
      </c>
      <c r="BP2547" s="55">
        <v>3</v>
      </c>
      <c r="BQ2547" s="55" t="s">
        <v>2615</v>
      </c>
      <c r="BW2547" s="65">
        <v>4999</v>
      </c>
      <c r="BX2547" s="65">
        <v>4009</v>
      </c>
      <c r="CA2547" s="65" t="s">
        <v>2646</v>
      </c>
      <c r="CB2547" s="66">
        <v>2549</v>
      </c>
      <c r="CC2547" s="66">
        <v>3919</v>
      </c>
      <c r="GP2547" s="292" t="s">
        <v>7494</v>
      </c>
      <c r="JU2547" s="55" t="s">
        <v>2648</v>
      </c>
    </row>
    <row r="2548" spans="1:286" x14ac:dyDescent="0.25">
      <c r="A2548" s="55">
        <v>2547</v>
      </c>
      <c r="B2548" s="12" t="s">
        <v>7067</v>
      </c>
      <c r="C2548" s="155">
        <v>119</v>
      </c>
      <c r="D2548" s="55" t="s">
        <v>4241</v>
      </c>
      <c r="E2548" s="90" t="s">
        <v>2633</v>
      </c>
      <c r="G2548" s="55" t="s">
        <v>2634</v>
      </c>
      <c r="H2548" s="55">
        <v>2005</v>
      </c>
      <c r="I2548" s="55">
        <v>2007</v>
      </c>
      <c r="J2548" s="55" t="s">
        <v>2635</v>
      </c>
      <c r="K2548" s="55" t="s">
        <v>2616</v>
      </c>
      <c r="L2548" s="55" t="s">
        <v>2748</v>
      </c>
      <c r="M2548" s="90">
        <v>-15.5</v>
      </c>
      <c r="N2548" s="90">
        <v>35.25</v>
      </c>
      <c r="O2548" s="90">
        <v>1030</v>
      </c>
      <c r="R2548" s="55">
        <v>1160</v>
      </c>
      <c r="S2548" s="90">
        <v>1024</v>
      </c>
      <c r="U2548" s="55" t="s">
        <v>1677</v>
      </c>
      <c r="V2548" s="55" t="s">
        <v>1887</v>
      </c>
      <c r="Y2548" s="55" t="s">
        <v>2647</v>
      </c>
      <c r="Z2548" s="55" t="s">
        <v>1346</v>
      </c>
      <c r="AA2548" s="90" t="s">
        <v>1675</v>
      </c>
      <c r="AE2548" s="90">
        <v>46</v>
      </c>
      <c r="AF2548" s="90">
        <v>8</v>
      </c>
      <c r="AH2548" s="55" t="s">
        <v>2618</v>
      </c>
      <c r="AI2548" s="168">
        <v>5.9</v>
      </c>
      <c r="AJ2548" s="90">
        <v>0.88</v>
      </c>
      <c r="AM2548" s="55" t="s">
        <v>2617</v>
      </c>
      <c r="AN2548" s="185" t="s">
        <v>2620</v>
      </c>
      <c r="AO2548" s="185" t="s">
        <v>5150</v>
      </c>
      <c r="AQ2548" s="55" t="s">
        <v>553</v>
      </c>
      <c r="AR2548" s="55" t="s">
        <v>1607</v>
      </c>
      <c r="AS2548" s="55" t="s">
        <v>132</v>
      </c>
      <c r="AT2548" s="181" t="s">
        <v>176</v>
      </c>
      <c r="AU2548" s="181" t="s">
        <v>5150</v>
      </c>
      <c r="AV2548" s="185" t="s">
        <v>176</v>
      </c>
      <c r="AW2548" s="55" t="s">
        <v>176</v>
      </c>
      <c r="AX2548" s="185" t="s">
        <v>176</v>
      </c>
      <c r="AY2548" s="55" t="s">
        <v>176</v>
      </c>
      <c r="BE2548" s="226" t="s">
        <v>2639</v>
      </c>
      <c r="BF2548" s="191" t="s">
        <v>479</v>
      </c>
      <c r="BG2548" s="191" t="s">
        <v>479</v>
      </c>
      <c r="BH2548" s="226" t="s">
        <v>2639</v>
      </c>
      <c r="BI2548" s="191" t="s">
        <v>479</v>
      </c>
      <c r="BJ2548" s="55" t="s">
        <v>176</v>
      </c>
      <c r="BK2548" s="55" t="s">
        <v>6333</v>
      </c>
      <c r="BM2548" s="192" t="s">
        <v>160</v>
      </c>
      <c r="BN2548" s="55">
        <v>3</v>
      </c>
      <c r="BO2548" s="55">
        <v>3</v>
      </c>
      <c r="BP2548" s="55">
        <v>3</v>
      </c>
      <c r="BQ2548" s="55" t="s">
        <v>2615</v>
      </c>
      <c r="BW2548" s="65">
        <v>3235</v>
      </c>
      <c r="BX2548" s="65">
        <v>3563</v>
      </c>
      <c r="CA2548" s="65" t="s">
        <v>2646</v>
      </c>
      <c r="CB2548" s="66">
        <v>3411</v>
      </c>
      <c r="CC2548" s="66">
        <v>4838</v>
      </c>
      <c r="GP2548" s="292" t="s">
        <v>7494</v>
      </c>
      <c r="JU2548" s="55" t="s">
        <v>2648</v>
      </c>
    </row>
    <row r="2549" spans="1:286" x14ac:dyDescent="0.25">
      <c r="A2549" s="55">
        <v>2548</v>
      </c>
      <c r="B2549" s="12" t="s">
        <v>7067</v>
      </c>
      <c r="C2549" s="155">
        <v>119</v>
      </c>
      <c r="D2549" s="55" t="s">
        <v>4241</v>
      </c>
      <c r="E2549" s="90" t="s">
        <v>2633</v>
      </c>
      <c r="G2549" s="55" t="s">
        <v>2634</v>
      </c>
      <c r="H2549" s="55">
        <v>2005</v>
      </c>
      <c r="I2549" s="55">
        <v>2007</v>
      </c>
      <c r="J2549" s="55" t="s">
        <v>2635</v>
      </c>
      <c r="K2549" s="55" t="s">
        <v>2616</v>
      </c>
      <c r="L2549" s="55" t="s">
        <v>2748</v>
      </c>
      <c r="M2549" s="90">
        <v>-15.5</v>
      </c>
      <c r="N2549" s="90">
        <v>35.25</v>
      </c>
      <c r="O2549" s="90">
        <v>1030</v>
      </c>
      <c r="R2549" s="55">
        <v>1160</v>
      </c>
      <c r="S2549" s="90">
        <v>1024</v>
      </c>
      <c r="U2549" s="55" t="s">
        <v>1677</v>
      </c>
      <c r="V2549" s="55" t="s">
        <v>1887</v>
      </c>
      <c r="Y2549" s="55" t="s">
        <v>2647</v>
      </c>
      <c r="Z2549" s="55" t="s">
        <v>1346</v>
      </c>
      <c r="AA2549" s="90" t="s">
        <v>1675</v>
      </c>
      <c r="AE2549" s="90">
        <v>46</v>
      </c>
      <c r="AF2549" s="90">
        <v>8</v>
      </c>
      <c r="AH2549" s="55" t="s">
        <v>2618</v>
      </c>
      <c r="AI2549" s="168">
        <v>5.9</v>
      </c>
      <c r="AJ2549" s="90">
        <v>0.88</v>
      </c>
      <c r="AM2549" s="55" t="s">
        <v>2617</v>
      </c>
      <c r="AN2549" s="185" t="s">
        <v>2620</v>
      </c>
      <c r="AO2549" s="185" t="s">
        <v>5150</v>
      </c>
      <c r="AQ2549" s="55" t="s">
        <v>553</v>
      </c>
      <c r="AR2549" s="55" t="s">
        <v>1607</v>
      </c>
      <c r="AS2549" s="55" t="s">
        <v>132</v>
      </c>
      <c r="AT2549" s="181" t="s">
        <v>176</v>
      </c>
      <c r="AU2549" s="181" t="s">
        <v>5150</v>
      </c>
      <c r="AV2549" s="185" t="s">
        <v>176</v>
      </c>
      <c r="AW2549" s="55" t="s">
        <v>176</v>
      </c>
      <c r="AX2549" s="185" t="s">
        <v>176</v>
      </c>
      <c r="AY2549" s="55" t="s">
        <v>176</v>
      </c>
      <c r="BE2549" s="226" t="s">
        <v>2640</v>
      </c>
      <c r="BF2549" s="191" t="s">
        <v>479</v>
      </c>
      <c r="BG2549" s="191" t="s">
        <v>479</v>
      </c>
      <c r="BH2549" s="226" t="s">
        <v>2640</v>
      </c>
      <c r="BI2549" s="191" t="s">
        <v>479</v>
      </c>
      <c r="BJ2549" s="55" t="s">
        <v>176</v>
      </c>
      <c r="BK2549" s="55" t="s">
        <v>6333</v>
      </c>
      <c r="BM2549" s="192" t="s">
        <v>160</v>
      </c>
      <c r="BN2549" s="55">
        <v>3</v>
      </c>
      <c r="BO2549" s="55">
        <v>3</v>
      </c>
      <c r="BP2549" s="55">
        <v>3</v>
      </c>
      <c r="BQ2549" s="55" t="s">
        <v>2615</v>
      </c>
      <c r="BW2549" s="65">
        <v>4026</v>
      </c>
      <c r="BX2549" s="65">
        <v>4373</v>
      </c>
      <c r="CA2549" s="65" t="s">
        <v>2646</v>
      </c>
      <c r="CB2549" s="66">
        <v>3794</v>
      </c>
      <c r="CC2549" s="66">
        <v>5797</v>
      </c>
      <c r="GP2549" s="292" t="s">
        <v>7494</v>
      </c>
      <c r="JU2549" s="55" t="s">
        <v>2648</v>
      </c>
    </row>
    <row r="2550" spans="1:286" x14ac:dyDescent="0.25">
      <c r="A2550" s="55">
        <v>2549</v>
      </c>
      <c r="B2550" s="12" t="s">
        <v>7067</v>
      </c>
      <c r="C2550" s="155">
        <v>119</v>
      </c>
      <c r="D2550" s="55" t="s">
        <v>4242</v>
      </c>
      <c r="E2550" s="90" t="s">
        <v>2633</v>
      </c>
      <c r="G2550" s="55" t="s">
        <v>2634</v>
      </c>
      <c r="H2550" s="55">
        <v>2005</v>
      </c>
      <c r="I2550" s="55">
        <v>2007</v>
      </c>
      <c r="J2550" s="55" t="s">
        <v>2635</v>
      </c>
      <c r="K2550" s="55" t="s">
        <v>2616</v>
      </c>
      <c r="L2550" s="55" t="s">
        <v>2748</v>
      </c>
      <c r="M2550" s="90">
        <v>-15.5</v>
      </c>
      <c r="N2550" s="90">
        <v>35.25</v>
      </c>
      <c r="O2550" s="90">
        <v>1030</v>
      </c>
      <c r="R2550" s="55">
        <v>1160</v>
      </c>
      <c r="S2550" s="90">
        <v>1024</v>
      </c>
      <c r="U2550" s="55" t="s">
        <v>1677</v>
      </c>
      <c r="V2550" s="55" t="s">
        <v>1887</v>
      </c>
      <c r="Y2550" s="55" t="s">
        <v>2647</v>
      </c>
      <c r="Z2550" s="55" t="s">
        <v>1346</v>
      </c>
      <c r="AA2550" s="90" t="s">
        <v>1675</v>
      </c>
      <c r="AE2550" s="90">
        <v>46</v>
      </c>
      <c r="AF2550" s="90">
        <v>8</v>
      </c>
      <c r="AH2550" s="55" t="s">
        <v>2618</v>
      </c>
      <c r="AI2550" s="168">
        <v>5.9</v>
      </c>
      <c r="AJ2550" s="90">
        <v>0.88</v>
      </c>
      <c r="AM2550" s="55" t="s">
        <v>2617</v>
      </c>
      <c r="AN2550" s="185" t="s">
        <v>2620</v>
      </c>
      <c r="AO2550" s="185" t="s">
        <v>5150</v>
      </c>
      <c r="AQ2550" s="55" t="s">
        <v>553</v>
      </c>
      <c r="AR2550" s="55" t="s">
        <v>1607</v>
      </c>
      <c r="AS2550" s="55" t="s">
        <v>132</v>
      </c>
      <c r="AT2550" s="181" t="s">
        <v>176</v>
      </c>
      <c r="AU2550" s="181" t="s">
        <v>5150</v>
      </c>
      <c r="AV2550" s="185" t="s">
        <v>176</v>
      </c>
      <c r="AW2550" s="55" t="s">
        <v>176</v>
      </c>
      <c r="AX2550" s="185" t="s">
        <v>176</v>
      </c>
      <c r="AY2550" s="55" t="s">
        <v>176</v>
      </c>
      <c r="BE2550" s="226" t="s">
        <v>2641</v>
      </c>
      <c r="BF2550" s="191" t="s">
        <v>479</v>
      </c>
      <c r="BG2550" s="191" t="s">
        <v>479</v>
      </c>
      <c r="BH2550" s="226" t="s">
        <v>2641</v>
      </c>
      <c r="BI2550" s="191" t="s">
        <v>479</v>
      </c>
      <c r="BJ2550" s="55" t="s">
        <v>176</v>
      </c>
      <c r="BK2550" s="55" t="s">
        <v>6333</v>
      </c>
      <c r="BM2550" s="192" t="s">
        <v>160</v>
      </c>
      <c r="BN2550" s="55">
        <v>3</v>
      </c>
      <c r="BO2550" s="55">
        <v>3</v>
      </c>
      <c r="BP2550" s="55">
        <v>3</v>
      </c>
      <c r="BQ2550" s="55" t="s">
        <v>2615</v>
      </c>
      <c r="BW2550" s="65">
        <v>5736</v>
      </c>
      <c r="BX2550" s="65">
        <v>3833</v>
      </c>
      <c r="CA2550" s="65" t="s">
        <v>2646</v>
      </c>
      <c r="CB2550" s="66">
        <v>5061</v>
      </c>
      <c r="CC2550" s="66">
        <v>6311</v>
      </c>
      <c r="GP2550" s="292" t="s">
        <v>7494</v>
      </c>
      <c r="JU2550" s="55" t="s">
        <v>2648</v>
      </c>
    </row>
    <row r="2551" spans="1:286" x14ac:dyDescent="0.25">
      <c r="A2551" s="55">
        <v>2550</v>
      </c>
      <c r="B2551" s="12" t="s">
        <v>7067</v>
      </c>
      <c r="C2551" s="155">
        <v>119</v>
      </c>
      <c r="D2551" s="55" t="s">
        <v>4242</v>
      </c>
      <c r="E2551" s="90" t="s">
        <v>2633</v>
      </c>
      <c r="G2551" s="55" t="s">
        <v>2634</v>
      </c>
      <c r="H2551" s="55">
        <v>2005</v>
      </c>
      <c r="I2551" s="55">
        <v>2007</v>
      </c>
      <c r="J2551" s="55" t="s">
        <v>2635</v>
      </c>
      <c r="K2551" s="55" t="s">
        <v>2616</v>
      </c>
      <c r="L2551" s="55" t="s">
        <v>2748</v>
      </c>
      <c r="M2551" s="90">
        <v>-15.5</v>
      </c>
      <c r="N2551" s="90">
        <v>35.25</v>
      </c>
      <c r="O2551" s="90">
        <v>1030</v>
      </c>
      <c r="R2551" s="55">
        <v>1160</v>
      </c>
      <c r="S2551" s="90">
        <v>1024</v>
      </c>
      <c r="U2551" s="55" t="s">
        <v>1677</v>
      </c>
      <c r="V2551" s="55" t="s">
        <v>1887</v>
      </c>
      <c r="Y2551" s="55" t="s">
        <v>2647</v>
      </c>
      <c r="Z2551" s="55" t="s">
        <v>1346</v>
      </c>
      <c r="AA2551" s="90" t="s">
        <v>1675</v>
      </c>
      <c r="AE2551" s="90">
        <v>46</v>
      </c>
      <c r="AF2551" s="90">
        <v>8</v>
      </c>
      <c r="AH2551" s="55" t="s">
        <v>2618</v>
      </c>
      <c r="AI2551" s="168">
        <v>5.9</v>
      </c>
      <c r="AJ2551" s="90">
        <v>0.88</v>
      </c>
      <c r="AM2551" s="55" t="s">
        <v>2617</v>
      </c>
      <c r="AN2551" s="185" t="s">
        <v>2620</v>
      </c>
      <c r="AO2551" s="185" t="s">
        <v>5150</v>
      </c>
      <c r="AQ2551" s="55" t="s">
        <v>553</v>
      </c>
      <c r="AR2551" s="55" t="s">
        <v>1607</v>
      </c>
      <c r="AS2551" s="55" t="s">
        <v>132</v>
      </c>
      <c r="AT2551" s="181" t="s">
        <v>176</v>
      </c>
      <c r="AU2551" s="181" t="s">
        <v>5150</v>
      </c>
      <c r="AV2551" s="185" t="s">
        <v>176</v>
      </c>
      <c r="AW2551" s="55" t="s">
        <v>176</v>
      </c>
      <c r="AX2551" s="185" t="s">
        <v>176</v>
      </c>
      <c r="AY2551" s="55" t="s">
        <v>176</v>
      </c>
      <c r="BE2551" s="226" t="s">
        <v>2642</v>
      </c>
      <c r="BF2551" s="191" t="s">
        <v>479</v>
      </c>
      <c r="BG2551" s="191" t="s">
        <v>479</v>
      </c>
      <c r="BH2551" s="226" t="s">
        <v>2642</v>
      </c>
      <c r="BI2551" s="191" t="s">
        <v>479</v>
      </c>
      <c r="BJ2551" s="55" t="s">
        <v>176</v>
      </c>
      <c r="BK2551" s="55" t="s">
        <v>6333</v>
      </c>
      <c r="BM2551" s="192" t="s">
        <v>160</v>
      </c>
      <c r="BN2551" s="55">
        <v>3</v>
      </c>
      <c r="BO2551" s="55">
        <v>3</v>
      </c>
      <c r="BP2551" s="55">
        <v>3</v>
      </c>
      <c r="BQ2551" s="55" t="s">
        <v>2615</v>
      </c>
      <c r="BW2551" s="65">
        <v>3283</v>
      </c>
      <c r="BX2551" s="65">
        <v>3448</v>
      </c>
      <c r="CA2551" s="65" t="s">
        <v>2646</v>
      </c>
      <c r="CB2551" s="66">
        <v>5239</v>
      </c>
      <c r="CC2551" s="66">
        <v>5338</v>
      </c>
      <c r="GP2551" s="292" t="s">
        <v>7494</v>
      </c>
      <c r="JU2551" s="55" t="s">
        <v>2648</v>
      </c>
    </row>
    <row r="2552" spans="1:286" x14ac:dyDescent="0.25">
      <c r="A2552" s="55">
        <v>2551</v>
      </c>
      <c r="B2552" s="12" t="s">
        <v>7067</v>
      </c>
      <c r="C2552" s="155">
        <v>119</v>
      </c>
      <c r="D2552" s="55" t="s">
        <v>4242</v>
      </c>
      <c r="E2552" s="90" t="s">
        <v>2633</v>
      </c>
      <c r="G2552" s="55" t="s">
        <v>2634</v>
      </c>
      <c r="H2552" s="55">
        <v>2005</v>
      </c>
      <c r="I2552" s="55">
        <v>2007</v>
      </c>
      <c r="J2552" s="55" t="s">
        <v>2635</v>
      </c>
      <c r="K2552" s="55" t="s">
        <v>2616</v>
      </c>
      <c r="L2552" s="55" t="s">
        <v>2748</v>
      </c>
      <c r="M2552" s="90">
        <v>-15.5</v>
      </c>
      <c r="N2552" s="90">
        <v>35.25</v>
      </c>
      <c r="O2552" s="90">
        <v>1030</v>
      </c>
      <c r="R2552" s="55">
        <v>1160</v>
      </c>
      <c r="S2552" s="90">
        <v>1024</v>
      </c>
      <c r="U2552" s="55" t="s">
        <v>1677</v>
      </c>
      <c r="V2552" s="55" t="s">
        <v>1887</v>
      </c>
      <c r="Y2552" s="55" t="s">
        <v>2647</v>
      </c>
      <c r="Z2552" s="55" t="s">
        <v>1346</v>
      </c>
      <c r="AA2552" s="90" t="s">
        <v>1675</v>
      </c>
      <c r="AE2552" s="90">
        <v>46</v>
      </c>
      <c r="AF2552" s="90">
        <v>8</v>
      </c>
      <c r="AH2552" s="55" t="s">
        <v>2618</v>
      </c>
      <c r="AI2552" s="168">
        <v>5.9</v>
      </c>
      <c r="AJ2552" s="90">
        <v>0.88</v>
      </c>
      <c r="AM2552" s="55" t="s">
        <v>2617</v>
      </c>
      <c r="AN2552" s="185" t="s">
        <v>2620</v>
      </c>
      <c r="AO2552" s="185" t="s">
        <v>5150</v>
      </c>
      <c r="AQ2552" s="55" t="s">
        <v>553</v>
      </c>
      <c r="AR2552" s="55" t="s">
        <v>1607</v>
      </c>
      <c r="AS2552" s="55" t="s">
        <v>132</v>
      </c>
      <c r="AT2552" s="181" t="s">
        <v>176</v>
      </c>
      <c r="AU2552" s="181" t="s">
        <v>5150</v>
      </c>
      <c r="AV2552" s="185" t="s">
        <v>176</v>
      </c>
      <c r="AW2552" s="55" t="s">
        <v>176</v>
      </c>
      <c r="AX2552" s="185" t="s">
        <v>176</v>
      </c>
      <c r="AY2552" s="55" t="s">
        <v>176</v>
      </c>
      <c r="BE2552" s="226" t="s">
        <v>2643</v>
      </c>
      <c r="BF2552" s="191" t="s">
        <v>479</v>
      </c>
      <c r="BG2552" s="191" t="s">
        <v>479</v>
      </c>
      <c r="BH2552" s="226" t="s">
        <v>2643</v>
      </c>
      <c r="BI2552" s="191" t="s">
        <v>479</v>
      </c>
      <c r="BJ2552" s="55" t="s">
        <v>176</v>
      </c>
      <c r="BK2552" s="55" t="s">
        <v>6333</v>
      </c>
      <c r="BM2552" s="192" t="s">
        <v>160</v>
      </c>
      <c r="BN2552" s="55">
        <v>3</v>
      </c>
      <c r="BO2552" s="55">
        <v>3</v>
      </c>
      <c r="BP2552" s="55">
        <v>3</v>
      </c>
      <c r="BQ2552" s="55" t="s">
        <v>2615</v>
      </c>
      <c r="BW2552" s="65">
        <v>6222</v>
      </c>
      <c r="BX2552" s="65">
        <v>4725</v>
      </c>
      <c r="CA2552" s="65" t="s">
        <v>2646</v>
      </c>
      <c r="CB2552" s="66">
        <v>4842</v>
      </c>
      <c r="CC2552" s="66">
        <v>6014</v>
      </c>
      <c r="GP2552" s="292" t="s">
        <v>7494</v>
      </c>
      <c r="JU2552" s="55" t="s">
        <v>2648</v>
      </c>
    </row>
    <row r="2553" spans="1:286" x14ac:dyDescent="0.25">
      <c r="A2553" s="55">
        <v>2552</v>
      </c>
      <c r="B2553" s="12" t="s">
        <v>7067</v>
      </c>
      <c r="C2553" s="155">
        <v>120</v>
      </c>
      <c r="D2553" s="55" t="s">
        <v>4243</v>
      </c>
      <c r="E2553" s="90" t="s">
        <v>2650</v>
      </c>
      <c r="G2553" s="55" t="s">
        <v>2651</v>
      </c>
      <c r="H2553" s="55">
        <v>1997</v>
      </c>
      <c r="I2553" s="55">
        <v>1991</v>
      </c>
      <c r="J2553" s="55" t="s">
        <v>2619</v>
      </c>
      <c r="K2553" s="55" t="s">
        <v>2652</v>
      </c>
      <c r="L2553" s="55" t="s">
        <v>2749</v>
      </c>
      <c r="M2553" s="90">
        <f>6+27/60</f>
        <v>6.45</v>
      </c>
      <c r="N2553" s="90">
        <v>2</v>
      </c>
      <c r="O2553" s="90">
        <v>41.3</v>
      </c>
      <c r="Q2553" s="55">
        <v>28.7</v>
      </c>
      <c r="S2553" s="90">
        <v>1244</v>
      </c>
      <c r="U2553" s="55" t="s">
        <v>1935</v>
      </c>
      <c r="V2553" s="55" t="s">
        <v>1688</v>
      </c>
      <c r="Y2553" s="55" t="s">
        <v>2649</v>
      </c>
      <c r="Z2553" s="55" t="s">
        <v>1344</v>
      </c>
      <c r="AA2553" s="90" t="s">
        <v>1344</v>
      </c>
      <c r="AI2553" s="168">
        <v>4.9000000000000004</v>
      </c>
      <c r="AM2553" s="55" t="s">
        <v>2654</v>
      </c>
      <c r="AN2553" s="185" t="s">
        <v>2656</v>
      </c>
      <c r="AO2553" s="185" t="s">
        <v>5150</v>
      </c>
      <c r="AQ2553" s="55" t="s">
        <v>553</v>
      </c>
      <c r="AR2553" s="55" t="s">
        <v>1607</v>
      </c>
      <c r="AS2553" s="55" t="s">
        <v>132</v>
      </c>
      <c r="AU2553" s="181" t="s">
        <v>7494</v>
      </c>
      <c r="AV2553" s="185" t="s">
        <v>176</v>
      </c>
      <c r="AX2553" s="185" t="s">
        <v>176</v>
      </c>
      <c r="BK2553" s="55" t="s">
        <v>5976</v>
      </c>
      <c r="BM2553" s="192" t="s">
        <v>160</v>
      </c>
      <c r="BN2553" s="55">
        <v>4</v>
      </c>
      <c r="BO2553" s="55">
        <v>4</v>
      </c>
      <c r="BQ2553" s="55" t="s">
        <v>141</v>
      </c>
      <c r="BS2553" s="55">
        <f>AVERAGE(197,188,235)*10</f>
        <v>2066.6666666666665</v>
      </c>
      <c r="CB2553" s="66">
        <f>74.8*10</f>
        <v>748</v>
      </c>
      <c r="CC2553" s="66">
        <v>522</v>
      </c>
      <c r="CG2553" s="65" t="s">
        <v>2657</v>
      </c>
      <c r="GP2553" s="292" t="s">
        <v>7494</v>
      </c>
    </row>
    <row r="2554" spans="1:286" x14ac:dyDescent="0.25">
      <c r="A2554" s="55">
        <v>2553</v>
      </c>
      <c r="B2554" s="12" t="s">
        <v>7067</v>
      </c>
      <c r="C2554" s="155">
        <v>120</v>
      </c>
      <c r="D2554" s="55" t="s">
        <v>4243</v>
      </c>
      <c r="E2554" s="90" t="s">
        <v>2650</v>
      </c>
      <c r="G2554" s="55" t="s">
        <v>2651</v>
      </c>
      <c r="H2554" s="55">
        <v>1997</v>
      </c>
      <c r="I2554" s="55">
        <v>1992</v>
      </c>
      <c r="J2554" s="55" t="s">
        <v>2619</v>
      </c>
      <c r="K2554" s="55" t="s">
        <v>2652</v>
      </c>
      <c r="L2554" s="55" t="s">
        <v>2749</v>
      </c>
      <c r="M2554" s="90">
        <f>6+27/60</f>
        <v>6.45</v>
      </c>
      <c r="N2554" s="90">
        <v>2</v>
      </c>
      <c r="O2554" s="90">
        <v>41.3</v>
      </c>
      <c r="Q2554" s="55">
        <v>28.7</v>
      </c>
      <c r="S2554" s="90">
        <v>1244</v>
      </c>
      <c r="U2554" s="55" t="s">
        <v>1805</v>
      </c>
      <c r="V2554" s="55" t="s">
        <v>1688</v>
      </c>
      <c r="Y2554" s="55" t="s">
        <v>2649</v>
      </c>
      <c r="Z2554" s="55" t="s">
        <v>1344</v>
      </c>
      <c r="AA2554" s="90" t="s">
        <v>1344</v>
      </c>
      <c r="AI2554" s="168">
        <v>4.9000000000000004</v>
      </c>
      <c r="AM2554" s="55" t="s">
        <v>2654</v>
      </c>
      <c r="AN2554" s="185" t="s">
        <v>2656</v>
      </c>
      <c r="AO2554" s="185" t="s">
        <v>5150</v>
      </c>
      <c r="AQ2554" s="55" t="s">
        <v>553</v>
      </c>
      <c r="AR2554" s="55" t="s">
        <v>1607</v>
      </c>
      <c r="AS2554" s="55" t="s">
        <v>132</v>
      </c>
      <c r="AU2554" s="181" t="s">
        <v>7494</v>
      </c>
      <c r="AV2554" s="185" t="s">
        <v>176</v>
      </c>
      <c r="AX2554" s="185" t="s">
        <v>176</v>
      </c>
      <c r="BK2554" s="55" t="s">
        <v>5976</v>
      </c>
      <c r="BM2554" s="192" t="s">
        <v>160</v>
      </c>
      <c r="BN2554" s="55">
        <v>4</v>
      </c>
      <c r="BO2554" s="55">
        <v>4</v>
      </c>
      <c r="BQ2554" s="55" t="s">
        <v>141</v>
      </c>
      <c r="BS2554" s="55">
        <f>AVERAGE(1192,593,997)*10</f>
        <v>9273.3333333333339</v>
      </c>
      <c r="CB2554" s="66">
        <v>1287</v>
      </c>
      <c r="CC2554" s="66">
        <v>1305</v>
      </c>
      <c r="CG2554" s="65" t="s">
        <v>2657</v>
      </c>
      <c r="GP2554" s="292" t="s">
        <v>7494</v>
      </c>
    </row>
    <row r="2555" spans="1:286" x14ac:dyDescent="0.25">
      <c r="A2555" s="55">
        <v>2554</v>
      </c>
      <c r="B2555" s="12" t="s">
        <v>7067</v>
      </c>
      <c r="C2555" s="155">
        <v>120</v>
      </c>
      <c r="D2555" s="55" t="s">
        <v>4244</v>
      </c>
      <c r="E2555" s="90" t="s">
        <v>2650</v>
      </c>
      <c r="G2555" s="55" t="s">
        <v>2651</v>
      </c>
      <c r="H2555" s="55">
        <v>1997</v>
      </c>
      <c r="I2555" s="55">
        <v>1991</v>
      </c>
      <c r="J2555" s="55" t="s">
        <v>2619</v>
      </c>
      <c r="K2555" s="55" t="s">
        <v>2653</v>
      </c>
      <c r="L2555" s="55" t="s">
        <v>2749</v>
      </c>
      <c r="M2555" s="90">
        <f>7+58/60</f>
        <v>7.9666666666666668</v>
      </c>
      <c r="N2555" s="90">
        <v>3</v>
      </c>
      <c r="O2555" s="90">
        <v>200</v>
      </c>
      <c r="Q2555" s="55">
        <v>28.7</v>
      </c>
      <c r="S2555" s="90">
        <v>1156</v>
      </c>
      <c r="U2555" s="55" t="s">
        <v>1935</v>
      </c>
      <c r="V2555" s="55" t="s">
        <v>1688</v>
      </c>
      <c r="Y2555" s="55" t="s">
        <v>2649</v>
      </c>
      <c r="Z2555" s="55" t="s">
        <v>1344</v>
      </c>
      <c r="AA2555" s="90" t="s">
        <v>1344</v>
      </c>
      <c r="AI2555" s="168">
        <v>5.6</v>
      </c>
      <c r="AM2555" s="55" t="s">
        <v>2655</v>
      </c>
      <c r="AN2555" s="185" t="s">
        <v>2656</v>
      </c>
      <c r="AO2555" s="185" t="s">
        <v>5150</v>
      </c>
      <c r="AQ2555" s="55" t="s">
        <v>553</v>
      </c>
      <c r="AR2555" s="55" t="s">
        <v>2283</v>
      </c>
      <c r="AS2555" s="55" t="s">
        <v>227</v>
      </c>
      <c r="AU2555" s="181" t="s">
        <v>7494</v>
      </c>
      <c r="AV2555" s="185" t="s">
        <v>176</v>
      </c>
      <c r="AX2555" s="185" t="s">
        <v>176</v>
      </c>
      <c r="BK2555" s="55" t="s">
        <v>5976</v>
      </c>
      <c r="BM2555" s="192" t="s">
        <v>160</v>
      </c>
      <c r="BN2555" s="55">
        <v>4</v>
      </c>
      <c r="BO2555" s="55">
        <v>4</v>
      </c>
      <c r="BQ2555" s="55" t="s">
        <v>141</v>
      </c>
      <c r="BS2555" s="55">
        <f>AVERAGE(197,188,235)*10</f>
        <v>2066.6666666666665</v>
      </c>
      <c r="CB2555" s="66">
        <v>3184</v>
      </c>
      <c r="CC2555" s="66">
        <v>2362</v>
      </c>
      <c r="CG2555" s="65" t="s">
        <v>2657</v>
      </c>
      <c r="GP2555" s="292" t="s">
        <v>7494</v>
      </c>
    </row>
    <row r="2556" spans="1:286" x14ac:dyDescent="0.25">
      <c r="A2556" s="55">
        <v>2555</v>
      </c>
      <c r="B2556" s="12" t="s">
        <v>7067</v>
      </c>
      <c r="C2556" s="155">
        <v>120</v>
      </c>
      <c r="D2556" s="55" t="s">
        <v>4244</v>
      </c>
      <c r="E2556" s="90" t="s">
        <v>2650</v>
      </c>
      <c r="G2556" s="55" t="s">
        <v>2651</v>
      </c>
      <c r="H2556" s="55">
        <v>1997</v>
      </c>
      <c r="I2556" s="55">
        <v>1992</v>
      </c>
      <c r="J2556" s="55" t="s">
        <v>2619</v>
      </c>
      <c r="K2556" s="55" t="s">
        <v>2653</v>
      </c>
      <c r="L2556" s="55" t="s">
        <v>2749</v>
      </c>
      <c r="M2556" s="90">
        <f>7+58/60</f>
        <v>7.9666666666666668</v>
      </c>
      <c r="N2556" s="90">
        <v>3</v>
      </c>
      <c r="O2556" s="90">
        <v>200</v>
      </c>
      <c r="Q2556" s="55">
        <v>28.7</v>
      </c>
      <c r="S2556" s="90">
        <v>1156</v>
      </c>
      <c r="U2556" s="55" t="s">
        <v>1805</v>
      </c>
      <c r="V2556" s="55" t="s">
        <v>1688</v>
      </c>
      <c r="Y2556" s="55" t="s">
        <v>2649</v>
      </c>
      <c r="Z2556" s="55" t="s">
        <v>1344</v>
      </c>
      <c r="AA2556" s="90" t="s">
        <v>1344</v>
      </c>
      <c r="AI2556" s="168">
        <v>5.6</v>
      </c>
      <c r="AM2556" s="55" t="s">
        <v>2655</v>
      </c>
      <c r="AN2556" s="185" t="s">
        <v>2656</v>
      </c>
      <c r="AO2556" s="185" t="s">
        <v>5150</v>
      </c>
      <c r="AQ2556" s="55" t="s">
        <v>553</v>
      </c>
      <c r="AR2556" s="55" t="s">
        <v>2283</v>
      </c>
      <c r="AS2556" s="55" t="s">
        <v>227</v>
      </c>
      <c r="AU2556" s="181" t="s">
        <v>7494</v>
      </c>
      <c r="AV2556" s="185" t="s">
        <v>176</v>
      </c>
      <c r="AX2556" s="185" t="s">
        <v>176</v>
      </c>
      <c r="BK2556" s="55" t="s">
        <v>5976</v>
      </c>
      <c r="BM2556" s="192" t="s">
        <v>160</v>
      </c>
      <c r="BN2556" s="55">
        <v>4</v>
      </c>
      <c r="BO2556" s="55">
        <v>4</v>
      </c>
      <c r="BQ2556" s="55" t="s">
        <v>141</v>
      </c>
      <c r="BS2556" s="55">
        <f>AVERAGE(1192,593,997)*10</f>
        <v>9273.3333333333339</v>
      </c>
      <c r="CB2556" s="66">
        <v>3077</v>
      </c>
      <c r="CC2556" s="66">
        <v>3923</v>
      </c>
      <c r="CG2556" s="65" t="s">
        <v>2657</v>
      </c>
      <c r="GP2556" s="292" t="s">
        <v>7494</v>
      </c>
    </row>
    <row r="2557" spans="1:286" s="13" customFormat="1" x14ac:dyDescent="0.25">
      <c r="A2557" s="57">
        <v>2556</v>
      </c>
      <c r="B2557" s="13" t="s">
        <v>7067</v>
      </c>
      <c r="C2557" s="154">
        <v>121</v>
      </c>
      <c r="D2557" s="57" t="s">
        <v>4245</v>
      </c>
      <c r="E2557" s="91" t="s">
        <v>2659</v>
      </c>
      <c r="F2557" s="91"/>
      <c r="G2557" s="57" t="s">
        <v>2658</v>
      </c>
      <c r="H2557" s="57">
        <v>1999</v>
      </c>
      <c r="I2557" s="57">
        <v>1995</v>
      </c>
      <c r="J2557" s="57" t="s">
        <v>2660</v>
      </c>
      <c r="K2557" s="57" t="s">
        <v>2661</v>
      </c>
      <c r="L2557" s="57" t="s">
        <v>2744</v>
      </c>
      <c r="M2557" s="91">
        <f>10+24/60</f>
        <v>10.4</v>
      </c>
      <c r="N2557" s="91">
        <f>7+42/60</f>
        <v>7.7</v>
      </c>
      <c r="O2557" s="91">
        <v>656</v>
      </c>
      <c r="P2557" s="57"/>
      <c r="Q2557" s="57"/>
      <c r="R2557" s="57"/>
      <c r="S2557" s="91">
        <v>1350</v>
      </c>
      <c r="T2557" s="57"/>
      <c r="U2557" s="57" t="s">
        <v>1935</v>
      </c>
      <c r="V2557" s="57" t="s">
        <v>1805</v>
      </c>
      <c r="W2557" s="172"/>
      <c r="X2557" s="172"/>
      <c r="Y2557" s="57" t="s">
        <v>1911</v>
      </c>
      <c r="Z2557" s="57" t="s">
        <v>1349</v>
      </c>
      <c r="AA2557" s="91" t="s">
        <v>1677</v>
      </c>
      <c r="AB2557" s="66"/>
      <c r="AC2557" s="66"/>
      <c r="AD2557" s="91"/>
      <c r="AE2557" s="91">
        <v>47.5</v>
      </c>
      <c r="AF2557" s="91">
        <f>100-AE2557-30</f>
        <v>22.5</v>
      </c>
      <c r="AG2557" s="91"/>
      <c r="AH2557" s="57" t="s">
        <v>494</v>
      </c>
      <c r="AI2557" s="167">
        <v>6.5</v>
      </c>
      <c r="AJ2557" s="91">
        <v>0.7</v>
      </c>
      <c r="AK2557" s="91"/>
      <c r="AL2557" s="57"/>
      <c r="AM2557" s="57"/>
      <c r="AN2557" s="184" t="s">
        <v>2664</v>
      </c>
      <c r="AO2557" s="185" t="s">
        <v>5150</v>
      </c>
      <c r="AP2557" s="57"/>
      <c r="AQ2557" s="57" t="s">
        <v>553</v>
      </c>
      <c r="AR2557" s="57" t="s">
        <v>1607</v>
      </c>
      <c r="AS2557" s="57" t="s">
        <v>132</v>
      </c>
      <c r="AT2557" s="180"/>
      <c r="AU2557" s="181" t="s">
        <v>7494</v>
      </c>
      <c r="AV2557" s="184" t="s">
        <v>176</v>
      </c>
      <c r="AW2557" s="57"/>
      <c r="AX2557" s="184" t="s">
        <v>176</v>
      </c>
      <c r="AY2557" s="57"/>
      <c r="AZ2557" s="57"/>
      <c r="BA2557" s="57"/>
      <c r="BB2557" s="57"/>
      <c r="BC2557" s="57"/>
      <c r="BD2557" s="57"/>
      <c r="BE2557" s="251"/>
      <c r="BF2557" s="57"/>
      <c r="BG2557" s="57"/>
      <c r="BH2557" s="251"/>
      <c r="BI2557" s="57"/>
      <c r="BJ2557" s="57"/>
      <c r="BK2557" s="57" t="s">
        <v>5976</v>
      </c>
      <c r="BL2557" s="57"/>
      <c r="BM2557" s="253" t="s">
        <v>2663</v>
      </c>
      <c r="BN2557" s="57">
        <v>4</v>
      </c>
      <c r="BO2557" s="57">
        <v>4</v>
      </c>
      <c r="BP2557" s="57"/>
      <c r="BQ2557" s="57" t="s">
        <v>141</v>
      </c>
      <c r="BR2557" s="57"/>
      <c r="BS2557" s="57"/>
      <c r="BT2557" s="57"/>
      <c r="BU2557" s="57"/>
      <c r="BV2557" s="57"/>
      <c r="BW2557" s="66">
        <v>5.4</v>
      </c>
      <c r="BX2557" s="66">
        <v>7</v>
      </c>
      <c r="BY2557" s="66">
        <v>1.75</v>
      </c>
      <c r="BZ2557" s="66">
        <v>1.75</v>
      </c>
      <c r="CA2557" s="66" t="s">
        <v>2670</v>
      </c>
      <c r="CB2557" s="66">
        <v>2300</v>
      </c>
      <c r="CC2557" s="66">
        <v>3980</v>
      </c>
      <c r="CD2557" s="66">
        <f>(CC2557-CB2557)/CB2557</f>
        <v>0.73043478260869565</v>
      </c>
      <c r="CE2557" s="66"/>
      <c r="CF2557" s="66"/>
      <c r="CG2557" s="66" t="s">
        <v>2667</v>
      </c>
      <c r="CH2557" s="91"/>
      <c r="CI2557" s="91"/>
      <c r="CJ2557" s="66"/>
      <c r="CK2557" s="66"/>
      <c r="CL2557" s="66"/>
      <c r="CM2557" s="66"/>
      <c r="CN2557" s="66"/>
      <c r="CO2557" s="66"/>
      <c r="CP2557" s="66"/>
      <c r="CQ2557" s="66"/>
      <c r="CR2557" s="66"/>
      <c r="CS2557" s="66"/>
      <c r="CT2557" s="66"/>
      <c r="CU2557" s="66"/>
      <c r="CV2557" s="66"/>
      <c r="CW2557" s="66"/>
      <c r="CX2557" s="66"/>
      <c r="CY2557" s="66"/>
      <c r="CZ2557" s="66"/>
      <c r="DA2557" s="66"/>
      <c r="DB2557" s="66">
        <f>0.055*10000</f>
        <v>550</v>
      </c>
      <c r="DC2557" s="66">
        <v>620</v>
      </c>
      <c r="DD2557" s="66">
        <v>53</v>
      </c>
      <c r="DE2557" s="66">
        <v>53</v>
      </c>
      <c r="DF2557" s="66" t="s">
        <v>2603</v>
      </c>
      <c r="DG2557" s="66"/>
      <c r="DH2557" s="66"/>
      <c r="DI2557" s="66"/>
      <c r="DJ2557" s="66"/>
      <c r="DK2557" s="66"/>
      <c r="DL2557" s="66"/>
      <c r="DM2557" s="66"/>
      <c r="DN2557" s="66"/>
      <c r="DO2557" s="66"/>
      <c r="DP2557" s="66"/>
      <c r="DQ2557" s="164"/>
      <c r="DR2557" s="164"/>
      <c r="DS2557" s="161"/>
      <c r="DT2557" s="161"/>
      <c r="DU2557" s="66"/>
      <c r="DV2557" s="66"/>
      <c r="DW2557" s="66"/>
      <c r="DX2557" s="66"/>
      <c r="DY2557" s="66"/>
      <c r="DZ2557" s="66"/>
      <c r="EA2557" s="66"/>
      <c r="EB2557" s="66"/>
      <c r="EC2557" s="66"/>
      <c r="ED2557" s="66"/>
      <c r="EE2557" s="66"/>
      <c r="EF2557" s="66"/>
      <c r="EG2557" s="66"/>
      <c r="EH2557" s="66"/>
      <c r="EI2557" s="66"/>
      <c r="EJ2557" s="66"/>
      <c r="EK2557" s="91"/>
      <c r="EL2557" s="91"/>
      <c r="EM2557" s="66"/>
      <c r="EN2557" s="66"/>
      <c r="EO2557" s="66"/>
      <c r="EP2557" s="66"/>
      <c r="EQ2557" s="66"/>
      <c r="ER2557" s="66"/>
      <c r="ES2557" s="66"/>
      <c r="ET2557" s="66"/>
      <c r="EU2557" s="66"/>
      <c r="EV2557" s="66"/>
      <c r="EW2557" s="66"/>
      <c r="EX2557" s="66"/>
      <c r="EY2557" s="66"/>
      <c r="EZ2557" s="66"/>
      <c r="FA2557" s="66"/>
      <c r="FB2557" s="66"/>
      <c r="FC2557" s="66"/>
      <c r="FD2557" s="66"/>
      <c r="FE2557" s="66"/>
      <c r="FF2557" s="66"/>
      <c r="FG2557" s="66"/>
      <c r="FH2557" s="66"/>
      <c r="FI2557" s="66"/>
      <c r="FJ2557" s="66"/>
      <c r="FK2557" s="66"/>
      <c r="FL2557" s="66"/>
      <c r="FM2557" s="66"/>
      <c r="FN2557" s="66"/>
      <c r="FO2557" s="66"/>
      <c r="FP2557" s="66"/>
      <c r="FQ2557" s="66"/>
      <c r="FR2557" s="66"/>
      <c r="FS2557" s="66"/>
      <c r="FT2557" s="66"/>
      <c r="FU2557" s="66"/>
      <c r="FV2557" s="66"/>
      <c r="FW2557" s="66"/>
      <c r="FX2557" s="66"/>
      <c r="FY2557" s="66"/>
      <c r="FZ2557" s="66"/>
      <c r="GA2557" s="66"/>
      <c r="GB2557" s="66"/>
      <c r="GC2557" s="66"/>
      <c r="GD2557" s="66"/>
      <c r="GE2557" s="66"/>
      <c r="GF2557" s="66"/>
      <c r="GG2557" s="66"/>
      <c r="GH2557" s="66"/>
      <c r="GI2557" s="66"/>
      <c r="GJ2557" s="66"/>
      <c r="GK2557" s="66"/>
      <c r="GL2557" s="66"/>
      <c r="GM2557" s="66"/>
      <c r="GN2557" s="293"/>
      <c r="GO2557" s="293"/>
      <c r="GP2557" s="292" t="s">
        <v>7494</v>
      </c>
      <c r="GQ2557" s="66"/>
      <c r="GR2557" s="66"/>
      <c r="GS2557" s="66"/>
      <c r="GT2557" s="66"/>
      <c r="GU2557" s="66"/>
      <c r="GV2557" s="66"/>
      <c r="GW2557" s="66"/>
      <c r="GX2557" s="66"/>
      <c r="GY2557" s="66"/>
      <c r="GZ2557" s="66"/>
      <c r="HA2557" s="66"/>
      <c r="HB2557" s="66"/>
      <c r="HC2557" s="66"/>
      <c r="HD2557" s="66"/>
      <c r="HE2557" s="66"/>
      <c r="HF2557" s="66"/>
      <c r="HG2557" s="66"/>
      <c r="HH2557" s="66"/>
      <c r="HI2557" s="66"/>
      <c r="HJ2557" s="66"/>
      <c r="HK2557" s="66"/>
      <c r="HL2557" s="66"/>
      <c r="HM2557" s="66"/>
      <c r="HN2557" s="66"/>
      <c r="HO2557" s="66"/>
      <c r="HP2557" s="66"/>
      <c r="HQ2557" s="66"/>
      <c r="HR2557" s="66"/>
      <c r="HS2557" s="66"/>
      <c r="HT2557" s="66"/>
      <c r="HU2557" s="66"/>
      <c r="HV2557" s="66"/>
      <c r="HW2557" s="66"/>
      <c r="HX2557" s="66"/>
      <c r="HY2557" s="66"/>
      <c r="HZ2557" s="66"/>
      <c r="IA2557" s="66"/>
      <c r="IB2557" s="66"/>
      <c r="IC2557" s="66"/>
      <c r="ID2557" s="66"/>
      <c r="IE2557" s="66"/>
      <c r="IF2557" s="66"/>
      <c r="IG2557" s="66"/>
      <c r="IH2557" s="66"/>
      <c r="II2557" s="66"/>
      <c r="IJ2557" s="66"/>
      <c r="IK2557" s="66"/>
      <c r="IL2557" s="66"/>
      <c r="IM2557" s="66"/>
      <c r="IN2557" s="66"/>
      <c r="IO2557" s="66"/>
      <c r="IP2557" s="66"/>
      <c r="IQ2557" s="66"/>
      <c r="IR2557" s="66"/>
      <c r="IS2557" s="66"/>
      <c r="IT2557" s="66"/>
      <c r="IU2557" s="66"/>
      <c r="IV2557" s="66"/>
      <c r="IW2557" s="66"/>
      <c r="IX2557" s="66"/>
      <c r="IY2557" s="66"/>
      <c r="IZ2557" s="66"/>
      <c r="JA2557" s="66"/>
      <c r="JB2557" s="66"/>
      <c r="JC2557" s="66"/>
      <c r="JD2557" s="66"/>
      <c r="JE2557" s="66"/>
      <c r="JF2557" s="66"/>
      <c r="JG2557" s="66"/>
      <c r="JH2557" s="66"/>
      <c r="JI2557" s="66"/>
      <c r="JJ2557" s="66"/>
      <c r="JK2557" s="66"/>
      <c r="JL2557" s="66"/>
      <c r="JM2557" s="66"/>
      <c r="JN2557" s="66"/>
      <c r="JO2557" s="66"/>
      <c r="JP2557" s="66"/>
      <c r="JQ2557" s="66"/>
      <c r="JR2557" s="66"/>
      <c r="JS2557" s="66"/>
      <c r="JT2557" s="66"/>
      <c r="JU2557" s="57"/>
      <c r="JV2557" s="57"/>
      <c r="JW2557" s="57"/>
    </row>
    <row r="2558" spans="1:286" s="13" customFormat="1" x14ac:dyDescent="0.25">
      <c r="A2558" s="57">
        <v>2557</v>
      </c>
      <c r="B2558" s="13" t="s">
        <v>7067</v>
      </c>
      <c r="C2558" s="154">
        <v>121</v>
      </c>
      <c r="D2558" s="57" t="s">
        <v>4245</v>
      </c>
      <c r="E2558" s="91" t="s">
        <v>2659</v>
      </c>
      <c r="F2558" s="91"/>
      <c r="G2558" s="57" t="s">
        <v>2658</v>
      </c>
      <c r="H2558" s="57">
        <v>1999</v>
      </c>
      <c r="I2558" s="57">
        <v>1995</v>
      </c>
      <c r="J2558" s="57" t="s">
        <v>2660</v>
      </c>
      <c r="K2558" s="57" t="s">
        <v>2661</v>
      </c>
      <c r="L2558" s="57" t="s">
        <v>2744</v>
      </c>
      <c r="M2558" s="91">
        <f>10+24/60</f>
        <v>10.4</v>
      </c>
      <c r="N2558" s="91">
        <f>7+42/60</f>
        <v>7.7</v>
      </c>
      <c r="O2558" s="91">
        <v>656</v>
      </c>
      <c r="P2558" s="57"/>
      <c r="Q2558" s="57"/>
      <c r="R2558" s="57"/>
      <c r="S2558" s="91">
        <v>1350</v>
      </c>
      <c r="T2558" s="57"/>
      <c r="U2558" s="57" t="s">
        <v>1935</v>
      </c>
      <c r="V2558" s="57" t="s">
        <v>1805</v>
      </c>
      <c r="W2558" s="172"/>
      <c r="X2558" s="172"/>
      <c r="Y2558" s="57" t="s">
        <v>1911</v>
      </c>
      <c r="Z2558" s="57" t="s">
        <v>1349</v>
      </c>
      <c r="AA2558" s="91" t="s">
        <v>1677</v>
      </c>
      <c r="AB2558" s="66"/>
      <c r="AC2558" s="66"/>
      <c r="AD2558" s="91"/>
      <c r="AE2558" s="91">
        <v>47.5</v>
      </c>
      <c r="AF2558" s="91">
        <f>100-AE2558-30</f>
        <v>22.5</v>
      </c>
      <c r="AG2558" s="91"/>
      <c r="AH2558" s="57" t="s">
        <v>494</v>
      </c>
      <c r="AI2558" s="167">
        <v>6.5</v>
      </c>
      <c r="AJ2558" s="91">
        <v>0.7</v>
      </c>
      <c r="AK2558" s="91"/>
      <c r="AL2558" s="57"/>
      <c r="AM2558" s="57"/>
      <c r="AN2558" s="184" t="s">
        <v>2665</v>
      </c>
      <c r="AO2558" s="185" t="s">
        <v>5150</v>
      </c>
      <c r="AP2558" s="57"/>
      <c r="AQ2558" s="57" t="s">
        <v>553</v>
      </c>
      <c r="AR2558" s="57" t="s">
        <v>1607</v>
      </c>
      <c r="AS2558" s="57" t="s">
        <v>132</v>
      </c>
      <c r="AT2558" s="180"/>
      <c r="AU2558" s="181" t="s">
        <v>7494</v>
      </c>
      <c r="AV2558" s="184" t="s">
        <v>176</v>
      </c>
      <c r="AW2558" s="57"/>
      <c r="AX2558" s="184" t="s">
        <v>176</v>
      </c>
      <c r="AY2558" s="57"/>
      <c r="AZ2558" s="57"/>
      <c r="BA2558" s="57"/>
      <c r="BB2558" s="57"/>
      <c r="BC2558" s="57"/>
      <c r="BD2558" s="57"/>
      <c r="BE2558" s="251"/>
      <c r="BF2558" s="57"/>
      <c r="BG2558" s="57"/>
      <c r="BH2558" s="251"/>
      <c r="BI2558" s="57"/>
      <c r="BJ2558" s="57"/>
      <c r="BK2558" s="57" t="s">
        <v>5976</v>
      </c>
      <c r="BL2558" s="57"/>
      <c r="BM2558" s="253" t="s">
        <v>2663</v>
      </c>
      <c r="BN2558" s="57">
        <v>4</v>
      </c>
      <c r="BO2558" s="57">
        <v>4</v>
      </c>
      <c r="BP2558" s="57"/>
      <c r="BQ2558" s="57" t="s">
        <v>141</v>
      </c>
      <c r="BR2558" s="57"/>
      <c r="BS2558" s="57"/>
      <c r="BT2558" s="57"/>
      <c r="BU2558" s="57"/>
      <c r="BV2558" s="57"/>
      <c r="BW2558" s="66">
        <v>5.4</v>
      </c>
      <c r="BX2558" s="66">
        <v>11.2</v>
      </c>
      <c r="BY2558" s="66"/>
      <c r="BZ2558" s="66"/>
      <c r="CA2558" s="66" t="s">
        <v>2670</v>
      </c>
      <c r="CB2558" s="66">
        <v>2300</v>
      </c>
      <c r="CC2558" s="66">
        <v>1860</v>
      </c>
      <c r="CD2558" s="66">
        <f>(CC2558-CB2558)/CB2558</f>
        <v>-0.19130434782608696</v>
      </c>
      <c r="CE2558" s="66"/>
      <c r="CF2558" s="66"/>
      <c r="CG2558" s="66" t="s">
        <v>2667</v>
      </c>
      <c r="CH2558" s="91"/>
      <c r="CI2558" s="91"/>
      <c r="CJ2558" s="66"/>
      <c r="CK2558" s="66"/>
      <c r="CL2558" s="66"/>
      <c r="CM2558" s="66"/>
      <c r="CN2558" s="66"/>
      <c r="CO2558" s="66"/>
      <c r="CP2558" s="66"/>
      <c r="CQ2558" s="66"/>
      <c r="CR2558" s="66"/>
      <c r="CS2558" s="66"/>
      <c r="CT2558" s="66"/>
      <c r="CU2558" s="66"/>
      <c r="CV2558" s="66"/>
      <c r="CW2558" s="66"/>
      <c r="CX2558" s="66"/>
      <c r="CY2558" s="66"/>
      <c r="CZ2558" s="66"/>
      <c r="DA2558" s="66"/>
      <c r="DB2558" s="66">
        <f>0.055*10000</f>
        <v>550</v>
      </c>
      <c r="DC2558" s="66">
        <v>600</v>
      </c>
      <c r="DD2558" s="66"/>
      <c r="DE2558" s="66"/>
      <c r="DF2558" s="66" t="s">
        <v>2603</v>
      </c>
      <c r="DG2558" s="66"/>
      <c r="DH2558" s="66"/>
      <c r="DI2558" s="66"/>
      <c r="DJ2558" s="66"/>
      <c r="DK2558" s="66"/>
      <c r="DL2558" s="66"/>
      <c r="DM2558" s="66"/>
      <c r="DN2558" s="66"/>
      <c r="DO2558" s="66"/>
      <c r="DP2558" s="66"/>
      <c r="DQ2558" s="164"/>
      <c r="DR2558" s="164"/>
      <c r="DS2558" s="161"/>
      <c r="DT2558" s="161"/>
      <c r="DU2558" s="66"/>
      <c r="DV2558" s="66"/>
      <c r="DW2558" s="66"/>
      <c r="DX2558" s="66"/>
      <c r="DY2558" s="66"/>
      <c r="DZ2558" s="66"/>
      <c r="EA2558" s="66"/>
      <c r="EB2558" s="66"/>
      <c r="EC2558" s="66"/>
      <c r="ED2558" s="66"/>
      <c r="EE2558" s="66"/>
      <c r="EF2558" s="66"/>
      <c r="EG2558" s="66"/>
      <c r="EH2558" s="66"/>
      <c r="EI2558" s="66"/>
      <c r="EJ2558" s="66"/>
      <c r="EK2558" s="91"/>
      <c r="EL2558" s="91"/>
      <c r="EM2558" s="66"/>
      <c r="EN2558" s="66"/>
      <c r="EO2558" s="66"/>
      <c r="EP2558" s="66"/>
      <c r="EQ2558" s="66"/>
      <c r="ER2558" s="66"/>
      <c r="ES2558" s="66"/>
      <c r="ET2558" s="66"/>
      <c r="EU2558" s="66"/>
      <c r="EV2558" s="66"/>
      <c r="EW2558" s="66"/>
      <c r="EX2558" s="66"/>
      <c r="EY2558" s="66"/>
      <c r="EZ2558" s="66"/>
      <c r="FA2558" s="66"/>
      <c r="FB2558" s="66"/>
      <c r="FC2558" s="66"/>
      <c r="FD2558" s="66"/>
      <c r="FE2558" s="66"/>
      <c r="FF2558" s="66"/>
      <c r="FG2558" s="66"/>
      <c r="FH2558" s="66"/>
      <c r="FI2558" s="66"/>
      <c r="FJ2558" s="66"/>
      <c r="FK2558" s="66"/>
      <c r="FL2558" s="66"/>
      <c r="FM2558" s="66"/>
      <c r="FN2558" s="66"/>
      <c r="FO2558" s="66"/>
      <c r="FP2558" s="66"/>
      <c r="FQ2558" s="66"/>
      <c r="FR2558" s="66"/>
      <c r="FS2558" s="66"/>
      <c r="FT2558" s="66"/>
      <c r="FU2558" s="66"/>
      <c r="FV2558" s="66"/>
      <c r="FW2558" s="66"/>
      <c r="FX2558" s="66"/>
      <c r="FY2558" s="66"/>
      <c r="FZ2558" s="66"/>
      <c r="GA2558" s="66"/>
      <c r="GB2558" s="66"/>
      <c r="GC2558" s="66"/>
      <c r="GD2558" s="66"/>
      <c r="GE2558" s="66"/>
      <c r="GF2558" s="66"/>
      <c r="GG2558" s="66"/>
      <c r="GH2558" s="66"/>
      <c r="GI2558" s="66"/>
      <c r="GJ2558" s="66"/>
      <c r="GK2558" s="66"/>
      <c r="GL2558" s="66"/>
      <c r="GM2558" s="66"/>
      <c r="GN2558" s="293"/>
      <c r="GO2558" s="293"/>
      <c r="GP2558" s="292" t="s">
        <v>7494</v>
      </c>
      <c r="GQ2558" s="66"/>
      <c r="GR2558" s="66"/>
      <c r="GS2558" s="66"/>
      <c r="GT2558" s="66"/>
      <c r="GU2558" s="66"/>
      <c r="GV2558" s="66"/>
      <c r="GW2558" s="66"/>
      <c r="GX2558" s="66"/>
      <c r="GY2558" s="66"/>
      <c r="GZ2558" s="66"/>
      <c r="HA2558" s="66"/>
      <c r="HB2558" s="66"/>
      <c r="HC2558" s="66"/>
      <c r="HD2558" s="66"/>
      <c r="HE2558" s="66"/>
      <c r="HF2558" s="66"/>
      <c r="HG2558" s="66"/>
      <c r="HH2558" s="66"/>
      <c r="HI2558" s="66"/>
      <c r="HJ2558" s="66"/>
      <c r="HK2558" s="66"/>
      <c r="HL2558" s="66"/>
      <c r="HM2558" s="66"/>
      <c r="HN2558" s="66"/>
      <c r="HO2558" s="66"/>
      <c r="HP2558" s="66"/>
      <c r="HQ2558" s="66"/>
      <c r="HR2558" s="66"/>
      <c r="HS2558" s="66"/>
      <c r="HT2558" s="66"/>
      <c r="HU2558" s="66"/>
      <c r="HV2558" s="66"/>
      <c r="HW2558" s="66"/>
      <c r="HX2558" s="66"/>
      <c r="HY2558" s="66"/>
      <c r="HZ2558" s="66"/>
      <c r="IA2558" s="66"/>
      <c r="IB2558" s="66"/>
      <c r="IC2558" s="66"/>
      <c r="ID2558" s="66"/>
      <c r="IE2558" s="66"/>
      <c r="IF2558" s="66"/>
      <c r="IG2558" s="66"/>
      <c r="IH2558" s="66"/>
      <c r="II2558" s="66"/>
      <c r="IJ2558" s="66"/>
      <c r="IK2558" s="66"/>
      <c r="IL2558" s="66"/>
      <c r="IM2558" s="66"/>
      <c r="IN2558" s="66"/>
      <c r="IO2558" s="66"/>
      <c r="IP2558" s="66"/>
      <c r="IQ2558" s="66"/>
      <c r="IR2558" s="66"/>
      <c r="IS2558" s="66"/>
      <c r="IT2558" s="66"/>
      <c r="IU2558" s="66"/>
      <c r="IV2558" s="66"/>
      <c r="IW2558" s="66"/>
      <c r="IX2558" s="66"/>
      <c r="IY2558" s="66"/>
      <c r="IZ2558" s="66"/>
      <c r="JA2558" s="66"/>
      <c r="JB2558" s="66"/>
      <c r="JC2558" s="66"/>
      <c r="JD2558" s="66"/>
      <c r="JE2558" s="66"/>
      <c r="JF2558" s="66"/>
      <c r="JG2558" s="66"/>
      <c r="JH2558" s="66"/>
      <c r="JI2558" s="66"/>
      <c r="JJ2558" s="66"/>
      <c r="JK2558" s="66"/>
      <c r="JL2558" s="66"/>
      <c r="JM2558" s="66"/>
      <c r="JN2558" s="66"/>
      <c r="JO2558" s="66"/>
      <c r="JP2558" s="66"/>
      <c r="JQ2558" s="66"/>
      <c r="JR2558" s="66"/>
      <c r="JS2558" s="66"/>
      <c r="JT2558" s="66"/>
      <c r="JU2558" s="57"/>
      <c r="JV2558" s="57"/>
      <c r="JW2558" s="57"/>
    </row>
    <row r="2559" spans="1:286" s="13" customFormat="1" x14ac:dyDescent="0.25">
      <c r="A2559" s="57">
        <v>2558</v>
      </c>
      <c r="B2559" s="13" t="s">
        <v>7067</v>
      </c>
      <c r="C2559" s="154">
        <v>121</v>
      </c>
      <c r="D2559" s="57" t="s">
        <v>4245</v>
      </c>
      <c r="E2559" s="91" t="s">
        <v>2659</v>
      </c>
      <c r="F2559" s="91"/>
      <c r="G2559" s="57" t="s">
        <v>2658</v>
      </c>
      <c r="H2559" s="57">
        <v>1999</v>
      </c>
      <c r="I2559" s="57">
        <v>1995</v>
      </c>
      <c r="J2559" s="57" t="s">
        <v>2660</v>
      </c>
      <c r="K2559" s="57" t="s">
        <v>2661</v>
      </c>
      <c r="L2559" s="57" t="s">
        <v>2744</v>
      </c>
      <c r="M2559" s="91">
        <f>10+24/60</f>
        <v>10.4</v>
      </c>
      <c r="N2559" s="91">
        <f>7+42/60</f>
        <v>7.7</v>
      </c>
      <c r="O2559" s="91">
        <v>656</v>
      </c>
      <c r="P2559" s="57"/>
      <c r="Q2559" s="57"/>
      <c r="R2559" s="57"/>
      <c r="S2559" s="91">
        <v>1350</v>
      </c>
      <c r="T2559" s="57"/>
      <c r="U2559" s="57" t="s">
        <v>1935</v>
      </c>
      <c r="V2559" s="57" t="s">
        <v>1805</v>
      </c>
      <c r="W2559" s="172"/>
      <c r="X2559" s="172"/>
      <c r="Y2559" s="57" t="s">
        <v>1911</v>
      </c>
      <c r="Z2559" s="57" t="s">
        <v>1349</v>
      </c>
      <c r="AA2559" s="91" t="s">
        <v>1677</v>
      </c>
      <c r="AB2559" s="66"/>
      <c r="AC2559" s="66"/>
      <c r="AD2559" s="91"/>
      <c r="AE2559" s="91">
        <v>47.5</v>
      </c>
      <c r="AF2559" s="91">
        <f>100-AE2559-30</f>
        <v>22.5</v>
      </c>
      <c r="AG2559" s="91"/>
      <c r="AH2559" s="57" t="s">
        <v>494</v>
      </c>
      <c r="AI2559" s="167">
        <v>6.5</v>
      </c>
      <c r="AJ2559" s="91">
        <v>0.7</v>
      </c>
      <c r="AK2559" s="91"/>
      <c r="AL2559" s="57"/>
      <c r="AM2559" s="57"/>
      <c r="AN2559" s="184" t="s">
        <v>2666</v>
      </c>
      <c r="AO2559" s="185" t="s">
        <v>5150</v>
      </c>
      <c r="AP2559" s="57"/>
      <c r="AQ2559" s="57" t="s">
        <v>553</v>
      </c>
      <c r="AR2559" s="57" t="s">
        <v>1607</v>
      </c>
      <c r="AS2559" s="57" t="s">
        <v>132</v>
      </c>
      <c r="AT2559" s="180"/>
      <c r="AU2559" s="181" t="s">
        <v>7494</v>
      </c>
      <c r="AV2559" s="184" t="s">
        <v>176</v>
      </c>
      <c r="AW2559" s="57"/>
      <c r="AX2559" s="184" t="s">
        <v>176</v>
      </c>
      <c r="AY2559" s="57"/>
      <c r="AZ2559" s="57"/>
      <c r="BA2559" s="57"/>
      <c r="BB2559" s="57"/>
      <c r="BC2559" s="57"/>
      <c r="BD2559" s="57"/>
      <c r="BE2559" s="251"/>
      <c r="BF2559" s="57"/>
      <c r="BG2559" s="57"/>
      <c r="BH2559" s="251"/>
      <c r="BI2559" s="57"/>
      <c r="BJ2559" s="57"/>
      <c r="BK2559" s="57" t="s">
        <v>5976</v>
      </c>
      <c r="BL2559" s="57"/>
      <c r="BM2559" s="253" t="s">
        <v>2663</v>
      </c>
      <c r="BN2559" s="57">
        <v>4</v>
      </c>
      <c r="BO2559" s="57">
        <v>4</v>
      </c>
      <c r="BP2559" s="57"/>
      <c r="BQ2559" s="57" t="s">
        <v>141</v>
      </c>
      <c r="BR2559" s="57"/>
      <c r="BS2559" s="57"/>
      <c r="BT2559" s="57"/>
      <c r="BU2559" s="57"/>
      <c r="BV2559" s="57"/>
      <c r="BW2559" s="66">
        <v>5.4</v>
      </c>
      <c r="BX2559" s="66">
        <v>10.8</v>
      </c>
      <c r="BY2559" s="66"/>
      <c r="BZ2559" s="66"/>
      <c r="CA2559" s="66" t="s">
        <v>2670</v>
      </c>
      <c r="CB2559" s="66">
        <v>2300</v>
      </c>
      <c r="CC2559" s="66">
        <v>5020</v>
      </c>
      <c r="CD2559" s="66">
        <f>(CC2559-CB2559)/CB2559</f>
        <v>1.182608695652174</v>
      </c>
      <c r="CE2559" s="66"/>
      <c r="CF2559" s="66"/>
      <c r="CG2559" s="66" t="s">
        <v>2667</v>
      </c>
      <c r="CH2559" s="91"/>
      <c r="CI2559" s="91"/>
      <c r="CJ2559" s="66"/>
      <c r="CK2559" s="66"/>
      <c r="CL2559" s="66"/>
      <c r="CM2559" s="66"/>
      <c r="CN2559" s="66"/>
      <c r="CO2559" s="66"/>
      <c r="CP2559" s="66"/>
      <c r="CQ2559" s="66"/>
      <c r="CR2559" s="66"/>
      <c r="CS2559" s="66"/>
      <c r="CT2559" s="66"/>
      <c r="CU2559" s="66"/>
      <c r="CV2559" s="66"/>
      <c r="CW2559" s="66"/>
      <c r="CX2559" s="66"/>
      <c r="CY2559" s="66"/>
      <c r="CZ2559" s="66"/>
      <c r="DA2559" s="66"/>
      <c r="DB2559" s="66">
        <f>0.055*10000</f>
        <v>550</v>
      </c>
      <c r="DC2559" s="66">
        <v>700</v>
      </c>
      <c r="DD2559" s="66"/>
      <c r="DE2559" s="66"/>
      <c r="DF2559" s="66" t="s">
        <v>2603</v>
      </c>
      <c r="DG2559" s="66"/>
      <c r="DH2559" s="66"/>
      <c r="DI2559" s="66"/>
      <c r="DJ2559" s="66"/>
      <c r="DK2559" s="66"/>
      <c r="DL2559" s="66"/>
      <c r="DM2559" s="66"/>
      <c r="DN2559" s="66"/>
      <c r="DO2559" s="66"/>
      <c r="DP2559" s="66"/>
      <c r="DQ2559" s="164"/>
      <c r="DR2559" s="164"/>
      <c r="DS2559" s="161"/>
      <c r="DT2559" s="161"/>
      <c r="DU2559" s="66"/>
      <c r="DV2559" s="66"/>
      <c r="DW2559" s="66"/>
      <c r="DX2559" s="66"/>
      <c r="DY2559" s="66"/>
      <c r="DZ2559" s="66"/>
      <c r="EA2559" s="66"/>
      <c r="EB2559" s="66"/>
      <c r="EC2559" s="66"/>
      <c r="ED2559" s="66"/>
      <c r="EE2559" s="66"/>
      <c r="EF2559" s="66"/>
      <c r="EG2559" s="66"/>
      <c r="EH2559" s="66"/>
      <c r="EI2559" s="66"/>
      <c r="EJ2559" s="66"/>
      <c r="EK2559" s="91"/>
      <c r="EL2559" s="91"/>
      <c r="EM2559" s="66"/>
      <c r="EN2559" s="66"/>
      <c r="EO2559" s="66"/>
      <c r="EP2559" s="66"/>
      <c r="EQ2559" s="66"/>
      <c r="ER2559" s="66"/>
      <c r="ES2559" s="66"/>
      <c r="ET2559" s="66"/>
      <c r="EU2559" s="66"/>
      <c r="EV2559" s="66"/>
      <c r="EW2559" s="66"/>
      <c r="EX2559" s="66"/>
      <c r="EY2559" s="66"/>
      <c r="EZ2559" s="66"/>
      <c r="FA2559" s="66"/>
      <c r="FB2559" s="66"/>
      <c r="FC2559" s="66"/>
      <c r="FD2559" s="66"/>
      <c r="FE2559" s="66"/>
      <c r="FF2559" s="66"/>
      <c r="FG2559" s="66"/>
      <c r="FH2559" s="66"/>
      <c r="FI2559" s="66"/>
      <c r="FJ2559" s="66"/>
      <c r="FK2559" s="66"/>
      <c r="FL2559" s="66"/>
      <c r="FM2559" s="66"/>
      <c r="FN2559" s="66"/>
      <c r="FO2559" s="66"/>
      <c r="FP2559" s="66"/>
      <c r="FQ2559" s="66"/>
      <c r="FR2559" s="66"/>
      <c r="FS2559" s="66"/>
      <c r="FT2559" s="66"/>
      <c r="FU2559" s="66"/>
      <c r="FV2559" s="66"/>
      <c r="FW2559" s="66"/>
      <c r="FX2559" s="66"/>
      <c r="FY2559" s="66"/>
      <c r="FZ2559" s="66"/>
      <c r="GA2559" s="66"/>
      <c r="GB2559" s="66"/>
      <c r="GC2559" s="66"/>
      <c r="GD2559" s="66"/>
      <c r="GE2559" s="66"/>
      <c r="GF2559" s="66"/>
      <c r="GG2559" s="66"/>
      <c r="GH2559" s="66"/>
      <c r="GI2559" s="66"/>
      <c r="GJ2559" s="66"/>
      <c r="GK2559" s="66"/>
      <c r="GL2559" s="66"/>
      <c r="GM2559" s="66"/>
      <c r="GN2559" s="293"/>
      <c r="GO2559" s="293"/>
      <c r="GP2559" s="292" t="s">
        <v>7494</v>
      </c>
      <c r="GQ2559" s="66"/>
      <c r="GR2559" s="66"/>
      <c r="GS2559" s="66"/>
      <c r="GT2559" s="66"/>
      <c r="GU2559" s="66"/>
      <c r="GV2559" s="66"/>
      <c r="GW2559" s="66"/>
      <c r="GX2559" s="66"/>
      <c r="GY2559" s="66"/>
      <c r="GZ2559" s="66"/>
      <c r="HA2559" s="66"/>
      <c r="HB2559" s="66"/>
      <c r="HC2559" s="66"/>
      <c r="HD2559" s="66"/>
      <c r="HE2559" s="66"/>
      <c r="HF2559" s="66"/>
      <c r="HG2559" s="66"/>
      <c r="HH2559" s="66"/>
      <c r="HI2559" s="66"/>
      <c r="HJ2559" s="66"/>
      <c r="HK2559" s="66"/>
      <c r="HL2559" s="66"/>
      <c r="HM2559" s="66"/>
      <c r="HN2559" s="66"/>
      <c r="HO2559" s="66"/>
      <c r="HP2559" s="66"/>
      <c r="HQ2559" s="66"/>
      <c r="HR2559" s="66"/>
      <c r="HS2559" s="66"/>
      <c r="HT2559" s="66"/>
      <c r="HU2559" s="66"/>
      <c r="HV2559" s="66"/>
      <c r="HW2559" s="66"/>
      <c r="HX2559" s="66"/>
      <c r="HY2559" s="66"/>
      <c r="HZ2559" s="66"/>
      <c r="IA2559" s="66"/>
      <c r="IB2559" s="66"/>
      <c r="IC2559" s="66"/>
      <c r="ID2559" s="66"/>
      <c r="IE2559" s="66"/>
      <c r="IF2559" s="66"/>
      <c r="IG2559" s="66"/>
      <c r="IH2559" s="66"/>
      <c r="II2559" s="66"/>
      <c r="IJ2559" s="66"/>
      <c r="IK2559" s="66"/>
      <c r="IL2559" s="66"/>
      <c r="IM2559" s="66"/>
      <c r="IN2559" s="66"/>
      <c r="IO2559" s="66"/>
      <c r="IP2559" s="66"/>
      <c r="IQ2559" s="66"/>
      <c r="IR2559" s="66"/>
      <c r="IS2559" s="66"/>
      <c r="IT2559" s="66"/>
      <c r="IU2559" s="66"/>
      <c r="IV2559" s="66"/>
      <c r="IW2559" s="66"/>
      <c r="IX2559" s="66"/>
      <c r="IY2559" s="66"/>
      <c r="IZ2559" s="66"/>
      <c r="JA2559" s="66"/>
      <c r="JB2559" s="66"/>
      <c r="JC2559" s="66"/>
      <c r="JD2559" s="66"/>
      <c r="JE2559" s="66"/>
      <c r="JF2559" s="66"/>
      <c r="JG2559" s="66"/>
      <c r="JH2559" s="66"/>
      <c r="JI2559" s="66"/>
      <c r="JJ2559" s="66"/>
      <c r="JK2559" s="66"/>
      <c r="JL2559" s="66"/>
      <c r="JM2559" s="66"/>
      <c r="JN2559" s="66"/>
      <c r="JO2559" s="66"/>
      <c r="JP2559" s="66"/>
      <c r="JQ2559" s="66"/>
      <c r="JR2559" s="66"/>
      <c r="JS2559" s="66"/>
      <c r="JT2559" s="66"/>
      <c r="JU2559" s="57"/>
      <c r="JV2559" s="57"/>
      <c r="JW2559" s="57"/>
    </row>
    <row r="2560" spans="1:286" s="13" customFormat="1" x14ac:dyDescent="0.25">
      <c r="A2560" s="255">
        <v>2559</v>
      </c>
      <c r="B2560" s="256" t="s">
        <v>7067</v>
      </c>
      <c r="C2560" s="257">
        <v>121</v>
      </c>
      <c r="D2560" s="255" t="s">
        <v>4245</v>
      </c>
      <c r="E2560" s="258" t="s">
        <v>2659</v>
      </c>
      <c r="F2560" s="258"/>
      <c r="G2560" s="255" t="s">
        <v>2658</v>
      </c>
      <c r="H2560" s="255">
        <v>1999</v>
      </c>
      <c r="I2560" s="255">
        <v>1995</v>
      </c>
      <c r="J2560" s="255" t="s">
        <v>2660</v>
      </c>
      <c r="K2560" s="255" t="s">
        <v>2661</v>
      </c>
      <c r="L2560" s="255" t="s">
        <v>2744</v>
      </c>
      <c r="M2560" s="258">
        <f>10+24/60</f>
        <v>10.4</v>
      </c>
      <c r="N2560" s="258">
        <f>7+42/60</f>
        <v>7.7</v>
      </c>
      <c r="O2560" s="258">
        <v>656</v>
      </c>
      <c r="P2560" s="255"/>
      <c r="Q2560" s="255"/>
      <c r="R2560" s="255"/>
      <c r="S2560" s="258">
        <v>1350</v>
      </c>
      <c r="T2560" s="255"/>
      <c r="U2560" s="255" t="s">
        <v>1935</v>
      </c>
      <c r="V2560" s="255" t="s">
        <v>1805</v>
      </c>
      <c r="W2560" s="255"/>
      <c r="X2560" s="255"/>
      <c r="Y2560" s="255" t="s">
        <v>1911</v>
      </c>
      <c r="Z2560" s="255" t="s">
        <v>1349</v>
      </c>
      <c r="AA2560" s="258" t="s">
        <v>1677</v>
      </c>
      <c r="AB2560" s="259"/>
      <c r="AC2560" s="259"/>
      <c r="AD2560" s="258"/>
      <c r="AE2560" s="258">
        <v>47.5</v>
      </c>
      <c r="AF2560" s="258">
        <f>100-AE2560-30</f>
        <v>22.5</v>
      </c>
      <c r="AG2560" s="258"/>
      <c r="AH2560" s="255" t="s">
        <v>494</v>
      </c>
      <c r="AI2560" s="255">
        <v>6.5</v>
      </c>
      <c r="AJ2560" s="258">
        <v>0.7</v>
      </c>
      <c r="AK2560" s="258"/>
      <c r="AL2560" s="255"/>
      <c r="AM2560" s="255"/>
      <c r="AN2560" s="255" t="s">
        <v>2282</v>
      </c>
      <c r="AO2560" s="185" t="s">
        <v>5150</v>
      </c>
      <c r="AP2560" s="255"/>
      <c r="AQ2560" s="255" t="s">
        <v>553</v>
      </c>
      <c r="AR2560" s="255" t="s">
        <v>1607</v>
      </c>
      <c r="AS2560" s="255" t="s">
        <v>132</v>
      </c>
      <c r="AT2560" s="255"/>
      <c r="AU2560" s="181" t="s">
        <v>7494</v>
      </c>
      <c r="AV2560" s="255" t="s">
        <v>176</v>
      </c>
      <c r="AW2560" s="255"/>
      <c r="AX2560" s="255" t="s">
        <v>176</v>
      </c>
      <c r="AY2560" s="255"/>
      <c r="AZ2560" s="255"/>
      <c r="BA2560" s="255"/>
      <c r="BB2560" s="255"/>
      <c r="BC2560" s="255"/>
      <c r="BD2560" s="255"/>
      <c r="BE2560" s="255"/>
      <c r="BF2560" s="255"/>
      <c r="BG2560" s="255"/>
      <c r="BH2560" s="255"/>
      <c r="BI2560" s="255"/>
      <c r="BJ2560" s="255"/>
      <c r="BK2560" s="255" t="s">
        <v>5976</v>
      </c>
      <c r="BL2560" s="255"/>
      <c r="BM2560" s="255" t="s">
        <v>2663</v>
      </c>
      <c r="BN2560" s="255">
        <v>4</v>
      </c>
      <c r="BO2560" s="255">
        <v>4</v>
      </c>
      <c r="BP2560" s="255"/>
      <c r="BQ2560" s="255" t="s">
        <v>141</v>
      </c>
      <c r="BR2560" s="255"/>
      <c r="BS2560" s="255"/>
      <c r="BT2560" s="255"/>
      <c r="BU2560" s="255"/>
      <c r="BV2560" s="255"/>
      <c r="BW2560" s="259">
        <v>5.4</v>
      </c>
      <c r="BX2560" s="259">
        <v>7.8</v>
      </c>
      <c r="BY2560" s="259"/>
      <c r="BZ2560" s="259"/>
      <c r="CA2560" s="259" t="s">
        <v>2670</v>
      </c>
      <c r="CB2560" s="259">
        <v>800</v>
      </c>
      <c r="CC2560" s="259">
        <v>1550</v>
      </c>
      <c r="CD2560" s="259">
        <f>(CC2560-CB2560)/CB2560</f>
        <v>0.9375</v>
      </c>
      <c r="CE2560" s="259"/>
      <c r="CF2560" s="259"/>
      <c r="CG2560" s="259" t="s">
        <v>2667</v>
      </c>
      <c r="CH2560" s="258"/>
      <c r="CI2560" s="258"/>
      <c r="CJ2560" s="259"/>
      <c r="CK2560" s="259"/>
      <c r="CL2560" s="259"/>
      <c r="CM2560" s="259"/>
      <c r="CN2560" s="259"/>
      <c r="CO2560" s="259"/>
      <c r="CP2560" s="259"/>
      <c r="CQ2560" s="259"/>
      <c r="CR2560" s="259"/>
      <c r="CS2560" s="259"/>
      <c r="CT2560" s="259"/>
      <c r="CU2560" s="259"/>
      <c r="CV2560" s="259"/>
      <c r="CW2560" s="259"/>
      <c r="CX2560" s="259"/>
      <c r="CY2560" s="259"/>
      <c r="CZ2560" s="259"/>
      <c r="DA2560" s="259"/>
      <c r="DB2560" s="259">
        <f>0.055*10000</f>
        <v>550</v>
      </c>
      <c r="DC2560" s="259">
        <v>670</v>
      </c>
      <c r="DD2560" s="259"/>
      <c r="DE2560" s="259"/>
      <c r="DF2560" s="259" t="s">
        <v>2603</v>
      </c>
      <c r="DG2560" s="259"/>
      <c r="DH2560" s="259"/>
      <c r="DI2560" s="259"/>
      <c r="DJ2560" s="259"/>
      <c r="DK2560" s="259"/>
      <c r="DL2560" s="259"/>
      <c r="DM2560" s="259"/>
      <c r="DN2560" s="259"/>
      <c r="DO2560" s="259"/>
      <c r="DP2560" s="259"/>
      <c r="DQ2560" s="260"/>
      <c r="DR2560" s="260"/>
      <c r="DS2560" s="259"/>
      <c r="DT2560" s="259"/>
      <c r="DU2560" s="259"/>
      <c r="DV2560" s="259"/>
      <c r="DW2560" s="259"/>
      <c r="DX2560" s="259"/>
      <c r="DY2560" s="259"/>
      <c r="DZ2560" s="259"/>
      <c r="EA2560" s="259"/>
      <c r="EB2560" s="259"/>
      <c r="EC2560" s="259"/>
      <c r="ED2560" s="259"/>
      <c r="EE2560" s="259"/>
      <c r="EF2560" s="259"/>
      <c r="EG2560" s="259"/>
      <c r="EH2560" s="259"/>
      <c r="EI2560" s="259"/>
      <c r="EJ2560" s="259"/>
      <c r="EK2560" s="258"/>
      <c r="EL2560" s="258"/>
      <c r="EM2560" s="259"/>
      <c r="EN2560" s="259"/>
      <c r="EO2560" s="259"/>
      <c r="EP2560" s="259"/>
      <c r="EQ2560" s="259"/>
      <c r="ER2560" s="259"/>
      <c r="ES2560" s="259"/>
      <c r="ET2560" s="259"/>
      <c r="EU2560" s="259"/>
      <c r="EV2560" s="259"/>
      <c r="EW2560" s="259"/>
      <c r="EX2560" s="259"/>
      <c r="EY2560" s="259"/>
      <c r="EZ2560" s="259"/>
      <c r="FA2560" s="259"/>
      <c r="FB2560" s="259"/>
      <c r="FC2560" s="259"/>
      <c r="FD2560" s="259"/>
      <c r="FE2560" s="259"/>
      <c r="FF2560" s="259"/>
      <c r="FG2560" s="259"/>
      <c r="FH2560" s="259"/>
      <c r="FI2560" s="259"/>
      <c r="FJ2560" s="259"/>
      <c r="FK2560" s="259"/>
      <c r="FL2560" s="259"/>
      <c r="FM2560" s="259"/>
      <c r="FN2560" s="259"/>
      <c r="FO2560" s="259"/>
      <c r="FP2560" s="259"/>
      <c r="FQ2560" s="259"/>
      <c r="FR2560" s="259"/>
      <c r="FS2560" s="259"/>
      <c r="FT2560" s="259"/>
      <c r="FU2560" s="259"/>
      <c r="FV2560" s="259"/>
      <c r="FW2560" s="259"/>
      <c r="FX2560" s="259"/>
      <c r="FY2560" s="259"/>
      <c r="FZ2560" s="259"/>
      <c r="GA2560" s="259"/>
      <c r="GB2560" s="259"/>
      <c r="GC2560" s="259"/>
      <c r="GD2560" s="259"/>
      <c r="GE2560" s="259"/>
      <c r="GF2560" s="259"/>
      <c r="GG2560" s="259"/>
      <c r="GH2560" s="259"/>
      <c r="GI2560" s="259"/>
      <c r="GJ2560" s="259"/>
      <c r="GK2560" s="259"/>
      <c r="GL2560" s="259"/>
      <c r="GM2560" s="259"/>
      <c r="GN2560" s="293"/>
      <c r="GO2560" s="293"/>
      <c r="GP2560" s="292" t="s">
        <v>7494</v>
      </c>
      <c r="GQ2560" s="259"/>
      <c r="GR2560" s="259"/>
      <c r="GS2560" s="259"/>
      <c r="GT2560" s="259"/>
      <c r="GU2560" s="259"/>
      <c r="GV2560" s="259"/>
      <c r="GW2560" s="259"/>
      <c r="GX2560" s="259"/>
      <c r="GY2560" s="259"/>
      <c r="GZ2560" s="259"/>
      <c r="HA2560" s="259"/>
      <c r="HB2560" s="259"/>
      <c r="HC2560" s="259"/>
      <c r="HD2560" s="259"/>
      <c r="HE2560" s="259"/>
      <c r="HF2560" s="259"/>
      <c r="HG2560" s="259"/>
      <c r="HH2560" s="259"/>
      <c r="HI2560" s="259"/>
      <c r="HJ2560" s="259"/>
      <c r="HK2560" s="259"/>
      <c r="HL2560" s="259"/>
      <c r="HM2560" s="259"/>
      <c r="HN2560" s="259"/>
      <c r="HO2560" s="259"/>
      <c r="HP2560" s="259"/>
      <c r="HQ2560" s="259"/>
      <c r="HR2560" s="259"/>
      <c r="HS2560" s="259"/>
      <c r="HT2560" s="259"/>
      <c r="HU2560" s="259"/>
      <c r="HV2560" s="259"/>
      <c r="HW2560" s="259"/>
      <c r="HX2560" s="259"/>
      <c r="HY2560" s="259"/>
      <c r="HZ2560" s="259"/>
      <c r="IA2560" s="259"/>
      <c r="IB2560" s="259"/>
      <c r="IC2560" s="259"/>
      <c r="ID2560" s="259"/>
      <c r="IE2560" s="259"/>
      <c r="IF2560" s="259"/>
      <c r="IG2560" s="259"/>
      <c r="IH2560" s="259"/>
      <c r="II2560" s="259"/>
      <c r="IJ2560" s="259"/>
      <c r="IK2560" s="259"/>
      <c r="IL2560" s="259"/>
      <c r="IM2560" s="259"/>
      <c r="IN2560" s="259"/>
      <c r="IO2560" s="259"/>
      <c r="IP2560" s="259"/>
      <c r="IQ2560" s="259"/>
      <c r="IR2560" s="259"/>
      <c r="IS2560" s="259"/>
      <c r="IT2560" s="259"/>
      <c r="IU2560" s="259"/>
      <c r="IV2560" s="259"/>
      <c r="IW2560" s="259"/>
      <c r="IX2560" s="259"/>
      <c r="IY2560" s="259"/>
      <c r="IZ2560" s="259"/>
      <c r="JA2560" s="259"/>
      <c r="JB2560" s="259"/>
      <c r="JC2560" s="259"/>
      <c r="JD2560" s="259"/>
      <c r="JE2560" s="259"/>
      <c r="JF2560" s="259"/>
      <c r="JG2560" s="259"/>
      <c r="JH2560" s="259"/>
      <c r="JI2560" s="259"/>
      <c r="JJ2560" s="259"/>
      <c r="JK2560" s="259"/>
      <c r="JL2560" s="259"/>
      <c r="JM2560" s="259"/>
      <c r="JN2560" s="259"/>
      <c r="JO2560" s="259"/>
      <c r="JP2560" s="259"/>
      <c r="JQ2560" s="259"/>
      <c r="JR2560" s="259"/>
      <c r="JS2560" s="259"/>
      <c r="JT2560" s="259"/>
      <c r="JU2560" s="255"/>
      <c r="JV2560" s="255"/>
      <c r="JW2560" s="255"/>
      <c r="JX2560" s="256"/>
      <c r="JY2560" s="256"/>
      <c r="JZ2560" s="256"/>
    </row>
    <row r="2561" spans="1:286" s="13" customFormat="1" x14ac:dyDescent="0.25">
      <c r="A2561" s="57">
        <v>2560</v>
      </c>
      <c r="B2561" s="13" t="s">
        <v>7067</v>
      </c>
      <c r="C2561" s="154">
        <v>121</v>
      </c>
      <c r="D2561" s="57" t="s">
        <v>4245</v>
      </c>
      <c r="E2561" s="91" t="s">
        <v>2659</v>
      </c>
      <c r="F2561" s="91"/>
      <c r="G2561" s="57" t="s">
        <v>2658</v>
      </c>
      <c r="H2561" s="57">
        <v>1999</v>
      </c>
      <c r="I2561" s="57">
        <v>1995</v>
      </c>
      <c r="J2561" s="57" t="s">
        <v>2660</v>
      </c>
      <c r="K2561" s="57" t="s">
        <v>2661</v>
      </c>
      <c r="L2561" s="57" t="s">
        <v>2744</v>
      </c>
      <c r="M2561" s="91">
        <f>10+24/60</f>
        <v>10.4</v>
      </c>
      <c r="N2561" s="91">
        <f>7+42/60</f>
        <v>7.7</v>
      </c>
      <c r="O2561" s="91">
        <v>656</v>
      </c>
      <c r="P2561" s="57"/>
      <c r="Q2561" s="57"/>
      <c r="R2561" s="57"/>
      <c r="S2561" s="91">
        <v>1350</v>
      </c>
      <c r="T2561" s="57"/>
      <c r="U2561" s="57" t="s">
        <v>1935</v>
      </c>
      <c r="V2561" s="57" t="s">
        <v>1805</v>
      </c>
      <c r="W2561" s="172"/>
      <c r="X2561" s="172"/>
      <c r="Y2561" s="57" t="s">
        <v>1911</v>
      </c>
      <c r="Z2561" s="57" t="s">
        <v>1349</v>
      </c>
      <c r="AA2561" s="91" t="s">
        <v>1677</v>
      </c>
      <c r="AB2561" s="66"/>
      <c r="AC2561" s="66"/>
      <c r="AD2561" s="91"/>
      <c r="AE2561" s="91">
        <v>47.5</v>
      </c>
      <c r="AF2561" s="91">
        <f>100-AE2561-30</f>
        <v>22.5</v>
      </c>
      <c r="AG2561" s="91"/>
      <c r="AH2561" s="57" t="s">
        <v>494</v>
      </c>
      <c r="AI2561" s="167">
        <v>6.5</v>
      </c>
      <c r="AJ2561" s="91">
        <v>0.7</v>
      </c>
      <c r="AK2561" s="91"/>
      <c r="AL2561" s="57"/>
      <c r="AM2561" s="57"/>
      <c r="AN2561" s="184" t="s">
        <v>2664</v>
      </c>
      <c r="AO2561" s="185" t="s">
        <v>5150</v>
      </c>
      <c r="AP2561" s="57"/>
      <c r="AQ2561" s="57" t="s">
        <v>553</v>
      </c>
      <c r="AR2561" s="57" t="s">
        <v>1607</v>
      </c>
      <c r="AS2561" s="57" t="s">
        <v>132</v>
      </c>
      <c r="AT2561" s="180"/>
      <c r="AU2561" s="181" t="s">
        <v>7494</v>
      </c>
      <c r="AV2561" s="184" t="s">
        <v>176</v>
      </c>
      <c r="AW2561" s="57"/>
      <c r="AX2561" s="184" t="s">
        <v>176</v>
      </c>
      <c r="AY2561" s="57"/>
      <c r="AZ2561" s="57"/>
      <c r="BA2561" s="57"/>
      <c r="BB2561" s="57"/>
      <c r="BC2561" s="57"/>
      <c r="BD2561" s="57"/>
      <c r="BE2561" s="251"/>
      <c r="BF2561" s="57"/>
      <c r="BG2561" s="57"/>
      <c r="BH2561" s="251"/>
      <c r="BI2561" s="57"/>
      <c r="BJ2561" s="57"/>
      <c r="BK2561" s="57" t="s">
        <v>5976</v>
      </c>
      <c r="BL2561" s="57"/>
      <c r="BM2561" s="253" t="s">
        <v>2663</v>
      </c>
      <c r="BN2561" s="57">
        <v>4</v>
      </c>
      <c r="BO2561" s="57">
        <v>4</v>
      </c>
      <c r="BP2561" s="57"/>
      <c r="BQ2561" s="57" t="s">
        <v>141</v>
      </c>
      <c r="BR2561" s="57"/>
      <c r="BS2561" s="57"/>
      <c r="BT2561" s="57"/>
      <c r="BU2561" s="57"/>
      <c r="BV2561" s="57"/>
      <c r="BW2561" s="66">
        <v>4.2</v>
      </c>
      <c r="BX2561" s="66">
        <v>5.3</v>
      </c>
      <c r="BY2561" s="66"/>
      <c r="BZ2561" s="66"/>
      <c r="CA2561" s="66" t="s">
        <v>2670</v>
      </c>
      <c r="CB2561" s="66">
        <v>2160</v>
      </c>
      <c r="CC2561" s="66">
        <v>6170</v>
      </c>
      <c r="CD2561" s="66">
        <f>(CC2561-CB2561)/CB2561</f>
        <v>1.8564814814814814</v>
      </c>
      <c r="CE2561" s="66"/>
      <c r="CF2561" s="66"/>
      <c r="CG2561" s="66" t="s">
        <v>2668</v>
      </c>
      <c r="CH2561" s="91"/>
      <c r="CI2561" s="91"/>
      <c r="CJ2561" s="66"/>
      <c r="CK2561" s="66"/>
      <c r="CL2561" s="66"/>
      <c r="CM2561" s="66"/>
      <c r="CN2561" s="66"/>
      <c r="CO2561" s="66"/>
      <c r="CP2561" s="66"/>
      <c r="CQ2561" s="66"/>
      <c r="CR2561" s="66"/>
      <c r="CS2561" s="66"/>
      <c r="CT2561" s="66"/>
      <c r="CU2561" s="66"/>
      <c r="CV2561" s="66"/>
      <c r="CW2561" s="66"/>
      <c r="CX2561" s="66"/>
      <c r="CY2561" s="66"/>
      <c r="CZ2561" s="66"/>
      <c r="DA2561" s="66"/>
      <c r="DB2561" s="66"/>
      <c r="DC2561" s="66"/>
      <c r="DD2561" s="66"/>
      <c r="DE2561" s="66"/>
      <c r="DF2561" s="66"/>
      <c r="DG2561" s="66"/>
      <c r="DH2561" s="66"/>
      <c r="DI2561" s="66"/>
      <c r="DJ2561" s="66"/>
      <c r="DK2561" s="66"/>
      <c r="DL2561" s="66"/>
      <c r="DM2561" s="66"/>
      <c r="DN2561" s="66"/>
      <c r="DO2561" s="66"/>
      <c r="DP2561" s="66"/>
      <c r="DQ2561" s="164"/>
      <c r="DR2561" s="164"/>
      <c r="DS2561" s="161"/>
      <c r="DT2561" s="161"/>
      <c r="DU2561" s="66"/>
      <c r="DV2561" s="66"/>
      <c r="DW2561" s="66"/>
      <c r="DX2561" s="66"/>
      <c r="DY2561" s="66"/>
      <c r="DZ2561" s="66"/>
      <c r="EA2561" s="66"/>
      <c r="EB2561" s="66"/>
      <c r="EC2561" s="66"/>
      <c r="ED2561" s="66"/>
      <c r="EE2561" s="66"/>
      <c r="EF2561" s="66"/>
      <c r="EG2561" s="66"/>
      <c r="EH2561" s="66"/>
      <c r="EI2561" s="66"/>
      <c r="EJ2561" s="66"/>
      <c r="EK2561" s="91"/>
      <c r="EL2561" s="91"/>
      <c r="EM2561" s="66"/>
      <c r="EN2561" s="66"/>
      <c r="EO2561" s="66"/>
      <c r="EP2561" s="66"/>
      <c r="EQ2561" s="66"/>
      <c r="ER2561" s="66"/>
      <c r="ES2561" s="66"/>
      <c r="ET2561" s="66"/>
      <c r="EU2561" s="66"/>
      <c r="EV2561" s="66"/>
      <c r="EW2561" s="66"/>
      <c r="EX2561" s="66"/>
      <c r="EY2561" s="66"/>
      <c r="EZ2561" s="66"/>
      <c r="FA2561" s="66"/>
      <c r="FB2561" s="66"/>
      <c r="FC2561" s="66"/>
      <c r="FD2561" s="66"/>
      <c r="FE2561" s="66"/>
      <c r="FF2561" s="66"/>
      <c r="FG2561" s="66"/>
      <c r="FH2561" s="66"/>
      <c r="FI2561" s="66"/>
      <c r="FJ2561" s="66"/>
      <c r="FK2561" s="66"/>
      <c r="FL2561" s="66"/>
      <c r="FM2561" s="66"/>
      <c r="FN2561" s="66"/>
      <c r="FO2561" s="66"/>
      <c r="FP2561" s="66"/>
      <c r="FQ2561" s="66"/>
      <c r="FR2561" s="66"/>
      <c r="FS2561" s="66"/>
      <c r="FT2561" s="66"/>
      <c r="FU2561" s="66"/>
      <c r="FV2561" s="66"/>
      <c r="FW2561" s="66"/>
      <c r="FX2561" s="66"/>
      <c r="FY2561" s="66"/>
      <c r="FZ2561" s="66"/>
      <c r="GA2561" s="66"/>
      <c r="GB2561" s="66"/>
      <c r="GC2561" s="66"/>
      <c r="GD2561" s="66"/>
      <c r="GE2561" s="66"/>
      <c r="GF2561" s="66"/>
      <c r="GG2561" s="66"/>
      <c r="GH2561" s="66"/>
      <c r="GI2561" s="66"/>
      <c r="GJ2561" s="66"/>
      <c r="GK2561" s="66"/>
      <c r="GL2561" s="66"/>
      <c r="GM2561" s="66"/>
      <c r="GN2561" s="293"/>
      <c r="GO2561" s="293"/>
      <c r="GP2561" s="292" t="s">
        <v>7494</v>
      </c>
      <c r="GQ2561" s="66"/>
      <c r="GR2561" s="66"/>
      <c r="GS2561" s="66"/>
      <c r="GT2561" s="66"/>
      <c r="GU2561" s="66"/>
      <c r="GV2561" s="66"/>
      <c r="GW2561" s="66"/>
      <c r="GX2561" s="66"/>
      <c r="GY2561" s="66"/>
      <c r="GZ2561" s="66"/>
      <c r="HA2561" s="66"/>
      <c r="HB2561" s="66"/>
      <c r="HC2561" s="66"/>
      <c r="HD2561" s="66"/>
      <c r="HE2561" s="66"/>
      <c r="HF2561" s="66"/>
      <c r="HG2561" s="66"/>
      <c r="HH2561" s="66"/>
      <c r="HI2561" s="66"/>
      <c r="HJ2561" s="66"/>
      <c r="HK2561" s="66"/>
      <c r="HL2561" s="66"/>
      <c r="HM2561" s="66"/>
      <c r="HN2561" s="66"/>
      <c r="HO2561" s="66"/>
      <c r="HP2561" s="66"/>
      <c r="HQ2561" s="66"/>
      <c r="HR2561" s="66"/>
      <c r="HS2561" s="66"/>
      <c r="HT2561" s="66"/>
      <c r="HU2561" s="66"/>
      <c r="HV2561" s="66"/>
      <c r="HW2561" s="66"/>
      <c r="HX2561" s="66"/>
      <c r="HY2561" s="66"/>
      <c r="HZ2561" s="66"/>
      <c r="IA2561" s="66"/>
      <c r="IB2561" s="66"/>
      <c r="IC2561" s="66"/>
      <c r="ID2561" s="66"/>
      <c r="IE2561" s="66"/>
      <c r="IF2561" s="66"/>
      <c r="IG2561" s="66"/>
      <c r="IH2561" s="66"/>
      <c r="II2561" s="66"/>
      <c r="IJ2561" s="66"/>
      <c r="IK2561" s="66"/>
      <c r="IL2561" s="66"/>
      <c r="IM2561" s="66"/>
      <c r="IN2561" s="66"/>
      <c r="IO2561" s="66"/>
      <c r="IP2561" s="66"/>
      <c r="IQ2561" s="66"/>
      <c r="IR2561" s="66"/>
      <c r="IS2561" s="66"/>
      <c r="IT2561" s="66"/>
      <c r="IU2561" s="66"/>
      <c r="IV2561" s="66"/>
      <c r="IW2561" s="66"/>
      <c r="IX2561" s="66"/>
      <c r="IY2561" s="66"/>
      <c r="IZ2561" s="66"/>
      <c r="JA2561" s="66"/>
      <c r="JB2561" s="66"/>
      <c r="JC2561" s="66"/>
      <c r="JD2561" s="66"/>
      <c r="JE2561" s="66"/>
      <c r="JF2561" s="66"/>
      <c r="JG2561" s="66"/>
      <c r="JH2561" s="66"/>
      <c r="JI2561" s="66"/>
      <c r="JJ2561" s="66"/>
      <c r="JK2561" s="66"/>
      <c r="JL2561" s="66"/>
      <c r="JM2561" s="66"/>
      <c r="JN2561" s="66"/>
      <c r="JO2561" s="66"/>
      <c r="JP2561" s="66"/>
      <c r="JQ2561" s="66"/>
      <c r="JR2561" s="66"/>
      <c r="JS2561" s="66"/>
      <c r="JT2561" s="66"/>
      <c r="JU2561" s="57"/>
      <c r="JV2561" s="57"/>
      <c r="JW2561" s="57"/>
    </row>
    <row r="2562" spans="1:286" s="13" customFormat="1" x14ac:dyDescent="0.25">
      <c r="A2562" s="57">
        <v>2561</v>
      </c>
      <c r="B2562" s="13" t="s">
        <v>7067</v>
      </c>
      <c r="C2562" s="154">
        <v>121</v>
      </c>
      <c r="D2562" s="57" t="s">
        <v>4245</v>
      </c>
      <c r="E2562" s="91" t="s">
        <v>2659</v>
      </c>
      <c r="F2562" s="91"/>
      <c r="G2562" s="57" t="s">
        <v>2658</v>
      </c>
      <c r="H2562" s="57">
        <v>1999</v>
      </c>
      <c r="I2562" s="57">
        <v>1995</v>
      </c>
      <c r="J2562" s="57" t="s">
        <v>2660</v>
      </c>
      <c r="K2562" s="57" t="s">
        <v>2661</v>
      </c>
      <c r="L2562" s="57" t="s">
        <v>2744</v>
      </c>
      <c r="M2562" s="91">
        <f>10+24/60</f>
        <v>10.4</v>
      </c>
      <c r="N2562" s="91">
        <f>7+42/60</f>
        <v>7.7</v>
      </c>
      <c r="O2562" s="91">
        <v>656</v>
      </c>
      <c r="P2562" s="57"/>
      <c r="Q2562" s="57"/>
      <c r="R2562" s="57"/>
      <c r="S2562" s="91">
        <v>1350</v>
      </c>
      <c r="T2562" s="57"/>
      <c r="U2562" s="57" t="s">
        <v>1935</v>
      </c>
      <c r="V2562" s="57" t="s">
        <v>1805</v>
      </c>
      <c r="W2562" s="172"/>
      <c r="X2562" s="172"/>
      <c r="Y2562" s="57" t="s">
        <v>1911</v>
      </c>
      <c r="Z2562" s="57" t="s">
        <v>1349</v>
      </c>
      <c r="AA2562" s="91" t="s">
        <v>1677</v>
      </c>
      <c r="AB2562" s="66"/>
      <c r="AC2562" s="66"/>
      <c r="AD2562" s="91"/>
      <c r="AE2562" s="91">
        <v>47.5</v>
      </c>
      <c r="AF2562" s="91">
        <f>100-AE2562-30</f>
        <v>22.5</v>
      </c>
      <c r="AG2562" s="91"/>
      <c r="AH2562" s="57" t="s">
        <v>494</v>
      </c>
      <c r="AI2562" s="167">
        <v>6.5</v>
      </c>
      <c r="AJ2562" s="91">
        <v>0.7</v>
      </c>
      <c r="AK2562" s="91"/>
      <c r="AL2562" s="57"/>
      <c r="AM2562" s="57"/>
      <c r="AN2562" s="184" t="s">
        <v>2665</v>
      </c>
      <c r="AO2562" s="185" t="s">
        <v>5150</v>
      </c>
      <c r="AP2562" s="57"/>
      <c r="AQ2562" s="57" t="s">
        <v>553</v>
      </c>
      <c r="AR2562" s="57" t="s">
        <v>1607</v>
      </c>
      <c r="AS2562" s="57" t="s">
        <v>132</v>
      </c>
      <c r="AT2562" s="180"/>
      <c r="AU2562" s="181" t="s">
        <v>7494</v>
      </c>
      <c r="AV2562" s="184" t="s">
        <v>176</v>
      </c>
      <c r="AW2562" s="57"/>
      <c r="AX2562" s="184" t="s">
        <v>176</v>
      </c>
      <c r="AY2562" s="57"/>
      <c r="AZ2562" s="57"/>
      <c r="BA2562" s="57"/>
      <c r="BB2562" s="57"/>
      <c r="BC2562" s="57"/>
      <c r="BD2562" s="57"/>
      <c r="BE2562" s="251"/>
      <c r="BF2562" s="57"/>
      <c r="BG2562" s="57"/>
      <c r="BH2562" s="251"/>
      <c r="BI2562" s="57"/>
      <c r="BJ2562" s="57"/>
      <c r="BK2562" s="57" t="s">
        <v>5976</v>
      </c>
      <c r="BL2562" s="57"/>
      <c r="BM2562" s="253" t="s">
        <v>2663</v>
      </c>
      <c r="BN2562" s="57">
        <v>4</v>
      </c>
      <c r="BO2562" s="57">
        <v>4</v>
      </c>
      <c r="BP2562" s="57"/>
      <c r="BQ2562" s="57" t="s">
        <v>141</v>
      </c>
      <c r="BR2562" s="57"/>
      <c r="BS2562" s="57"/>
      <c r="BT2562" s="57"/>
      <c r="BU2562" s="57"/>
      <c r="BV2562" s="57"/>
      <c r="BW2562" s="66">
        <v>4.2</v>
      </c>
      <c r="BX2562" s="66">
        <v>7.1</v>
      </c>
      <c r="BY2562" s="66"/>
      <c r="BZ2562" s="66"/>
      <c r="CA2562" s="66" t="s">
        <v>2670</v>
      </c>
      <c r="CB2562" s="66">
        <v>2160</v>
      </c>
      <c r="CC2562" s="66">
        <v>1950</v>
      </c>
      <c r="CD2562" s="66">
        <f>(CC2562-CB2562)/CB2562</f>
        <v>-9.7222222222222224E-2</v>
      </c>
      <c r="CE2562" s="66"/>
      <c r="CF2562" s="66"/>
      <c r="CG2562" s="66" t="s">
        <v>2668</v>
      </c>
      <c r="CH2562" s="91"/>
      <c r="CI2562" s="91"/>
      <c r="CJ2562" s="66"/>
      <c r="CK2562" s="66"/>
      <c r="CL2562" s="66"/>
      <c r="CM2562" s="66"/>
      <c r="CN2562" s="66"/>
      <c r="CO2562" s="66"/>
      <c r="CP2562" s="66"/>
      <c r="CQ2562" s="66"/>
      <c r="CR2562" s="66"/>
      <c r="CS2562" s="66"/>
      <c r="CT2562" s="66"/>
      <c r="CU2562" s="66"/>
      <c r="CV2562" s="66"/>
      <c r="CW2562" s="66"/>
      <c r="CX2562" s="66"/>
      <c r="CY2562" s="66"/>
      <c r="CZ2562" s="66"/>
      <c r="DA2562" s="66"/>
      <c r="DB2562" s="66"/>
      <c r="DC2562" s="66"/>
      <c r="DD2562" s="66"/>
      <c r="DE2562" s="66"/>
      <c r="DF2562" s="66"/>
      <c r="DG2562" s="66"/>
      <c r="DH2562" s="66"/>
      <c r="DI2562" s="66"/>
      <c r="DJ2562" s="66"/>
      <c r="DK2562" s="66"/>
      <c r="DL2562" s="66"/>
      <c r="DM2562" s="66"/>
      <c r="DN2562" s="66"/>
      <c r="DO2562" s="66"/>
      <c r="DP2562" s="66"/>
      <c r="DQ2562" s="164"/>
      <c r="DR2562" s="164"/>
      <c r="DS2562" s="161"/>
      <c r="DT2562" s="161"/>
      <c r="DU2562" s="66"/>
      <c r="DV2562" s="66"/>
      <c r="DW2562" s="66"/>
      <c r="DX2562" s="66"/>
      <c r="DY2562" s="66"/>
      <c r="DZ2562" s="66"/>
      <c r="EA2562" s="66"/>
      <c r="EB2562" s="66"/>
      <c r="EC2562" s="66"/>
      <c r="ED2562" s="66"/>
      <c r="EE2562" s="66"/>
      <c r="EF2562" s="66"/>
      <c r="EG2562" s="66"/>
      <c r="EH2562" s="66"/>
      <c r="EI2562" s="66"/>
      <c r="EJ2562" s="66"/>
      <c r="EK2562" s="91"/>
      <c r="EL2562" s="91"/>
      <c r="EM2562" s="66"/>
      <c r="EN2562" s="66"/>
      <c r="EO2562" s="66"/>
      <c r="EP2562" s="66"/>
      <c r="EQ2562" s="66"/>
      <c r="ER2562" s="66"/>
      <c r="ES2562" s="66"/>
      <c r="ET2562" s="66"/>
      <c r="EU2562" s="66"/>
      <c r="EV2562" s="66"/>
      <c r="EW2562" s="66"/>
      <c r="EX2562" s="66"/>
      <c r="EY2562" s="66"/>
      <c r="EZ2562" s="66"/>
      <c r="FA2562" s="66"/>
      <c r="FB2562" s="66"/>
      <c r="FC2562" s="66"/>
      <c r="FD2562" s="66"/>
      <c r="FE2562" s="66"/>
      <c r="FF2562" s="66"/>
      <c r="FG2562" s="66"/>
      <c r="FH2562" s="66"/>
      <c r="FI2562" s="66"/>
      <c r="FJ2562" s="66"/>
      <c r="FK2562" s="66"/>
      <c r="FL2562" s="66"/>
      <c r="FM2562" s="66"/>
      <c r="FN2562" s="66"/>
      <c r="FO2562" s="66"/>
      <c r="FP2562" s="66"/>
      <c r="FQ2562" s="66"/>
      <c r="FR2562" s="66"/>
      <c r="FS2562" s="66"/>
      <c r="FT2562" s="66"/>
      <c r="FU2562" s="66"/>
      <c r="FV2562" s="66"/>
      <c r="FW2562" s="66"/>
      <c r="FX2562" s="66"/>
      <c r="FY2562" s="66"/>
      <c r="FZ2562" s="66"/>
      <c r="GA2562" s="66"/>
      <c r="GB2562" s="66"/>
      <c r="GC2562" s="66"/>
      <c r="GD2562" s="66"/>
      <c r="GE2562" s="66"/>
      <c r="GF2562" s="66"/>
      <c r="GG2562" s="66"/>
      <c r="GH2562" s="66"/>
      <c r="GI2562" s="66"/>
      <c r="GJ2562" s="66"/>
      <c r="GK2562" s="66"/>
      <c r="GL2562" s="66"/>
      <c r="GM2562" s="66"/>
      <c r="GN2562" s="293"/>
      <c r="GO2562" s="293"/>
      <c r="GP2562" s="292" t="s">
        <v>7494</v>
      </c>
      <c r="GQ2562" s="66"/>
      <c r="GR2562" s="66"/>
      <c r="GS2562" s="66"/>
      <c r="GT2562" s="66"/>
      <c r="GU2562" s="66"/>
      <c r="GV2562" s="66"/>
      <c r="GW2562" s="66"/>
      <c r="GX2562" s="66"/>
      <c r="GY2562" s="66"/>
      <c r="GZ2562" s="66"/>
      <c r="HA2562" s="66"/>
      <c r="HB2562" s="66"/>
      <c r="HC2562" s="66"/>
      <c r="HD2562" s="66"/>
      <c r="HE2562" s="66"/>
      <c r="HF2562" s="66"/>
      <c r="HG2562" s="66"/>
      <c r="HH2562" s="66"/>
      <c r="HI2562" s="66"/>
      <c r="HJ2562" s="66"/>
      <c r="HK2562" s="66"/>
      <c r="HL2562" s="66"/>
      <c r="HM2562" s="66"/>
      <c r="HN2562" s="66"/>
      <c r="HO2562" s="66"/>
      <c r="HP2562" s="66"/>
      <c r="HQ2562" s="66"/>
      <c r="HR2562" s="66"/>
      <c r="HS2562" s="66"/>
      <c r="HT2562" s="66"/>
      <c r="HU2562" s="66"/>
      <c r="HV2562" s="66"/>
      <c r="HW2562" s="66"/>
      <c r="HX2562" s="66"/>
      <c r="HY2562" s="66"/>
      <c r="HZ2562" s="66"/>
      <c r="IA2562" s="66"/>
      <c r="IB2562" s="66"/>
      <c r="IC2562" s="66"/>
      <c r="ID2562" s="66"/>
      <c r="IE2562" s="66"/>
      <c r="IF2562" s="66"/>
      <c r="IG2562" s="66"/>
      <c r="IH2562" s="66"/>
      <c r="II2562" s="66"/>
      <c r="IJ2562" s="66"/>
      <c r="IK2562" s="66"/>
      <c r="IL2562" s="66"/>
      <c r="IM2562" s="66"/>
      <c r="IN2562" s="66"/>
      <c r="IO2562" s="66"/>
      <c r="IP2562" s="66"/>
      <c r="IQ2562" s="66"/>
      <c r="IR2562" s="66"/>
      <c r="IS2562" s="66"/>
      <c r="IT2562" s="66"/>
      <c r="IU2562" s="66"/>
      <c r="IV2562" s="66"/>
      <c r="IW2562" s="66"/>
      <c r="IX2562" s="66"/>
      <c r="IY2562" s="66"/>
      <c r="IZ2562" s="66"/>
      <c r="JA2562" s="66"/>
      <c r="JB2562" s="66"/>
      <c r="JC2562" s="66"/>
      <c r="JD2562" s="66"/>
      <c r="JE2562" s="66"/>
      <c r="JF2562" s="66"/>
      <c r="JG2562" s="66"/>
      <c r="JH2562" s="66"/>
      <c r="JI2562" s="66"/>
      <c r="JJ2562" s="66"/>
      <c r="JK2562" s="66"/>
      <c r="JL2562" s="66"/>
      <c r="JM2562" s="66"/>
      <c r="JN2562" s="66"/>
      <c r="JO2562" s="66"/>
      <c r="JP2562" s="66"/>
      <c r="JQ2562" s="66"/>
      <c r="JR2562" s="66"/>
      <c r="JS2562" s="66"/>
      <c r="JT2562" s="66"/>
      <c r="JU2562" s="57"/>
      <c r="JV2562" s="57"/>
      <c r="JW2562" s="57"/>
    </row>
    <row r="2563" spans="1:286" s="13" customFormat="1" x14ac:dyDescent="0.25">
      <c r="A2563" s="57">
        <v>2562</v>
      </c>
      <c r="B2563" s="13" t="s">
        <v>7067</v>
      </c>
      <c r="C2563" s="154">
        <v>121</v>
      </c>
      <c r="D2563" s="57" t="s">
        <v>4245</v>
      </c>
      <c r="E2563" s="91" t="s">
        <v>2659</v>
      </c>
      <c r="F2563" s="91"/>
      <c r="G2563" s="57" t="s">
        <v>2658</v>
      </c>
      <c r="H2563" s="57">
        <v>1999</v>
      </c>
      <c r="I2563" s="57">
        <v>1995</v>
      </c>
      <c r="J2563" s="57" t="s">
        <v>2660</v>
      </c>
      <c r="K2563" s="57" t="s">
        <v>2661</v>
      </c>
      <c r="L2563" s="57" t="s">
        <v>2744</v>
      </c>
      <c r="M2563" s="91">
        <f>10+24/60</f>
        <v>10.4</v>
      </c>
      <c r="N2563" s="91">
        <f>7+42/60</f>
        <v>7.7</v>
      </c>
      <c r="O2563" s="91">
        <v>656</v>
      </c>
      <c r="P2563" s="57"/>
      <c r="Q2563" s="57"/>
      <c r="R2563" s="57"/>
      <c r="S2563" s="91">
        <v>1350</v>
      </c>
      <c r="T2563" s="57"/>
      <c r="U2563" s="57" t="s">
        <v>1935</v>
      </c>
      <c r="V2563" s="57" t="s">
        <v>1805</v>
      </c>
      <c r="W2563" s="172"/>
      <c r="X2563" s="172"/>
      <c r="Y2563" s="57" t="s">
        <v>1911</v>
      </c>
      <c r="Z2563" s="57" t="s">
        <v>1349</v>
      </c>
      <c r="AA2563" s="91" t="s">
        <v>1677</v>
      </c>
      <c r="AB2563" s="66"/>
      <c r="AC2563" s="66"/>
      <c r="AD2563" s="91"/>
      <c r="AE2563" s="91">
        <v>47.5</v>
      </c>
      <c r="AF2563" s="91">
        <f>100-AE2563-30</f>
        <v>22.5</v>
      </c>
      <c r="AG2563" s="91"/>
      <c r="AH2563" s="57" t="s">
        <v>494</v>
      </c>
      <c r="AI2563" s="167">
        <v>6.5</v>
      </c>
      <c r="AJ2563" s="91">
        <v>0.7</v>
      </c>
      <c r="AK2563" s="91"/>
      <c r="AL2563" s="57"/>
      <c r="AM2563" s="57"/>
      <c r="AN2563" s="184" t="s">
        <v>2666</v>
      </c>
      <c r="AO2563" s="185" t="s">
        <v>5150</v>
      </c>
      <c r="AP2563" s="57"/>
      <c r="AQ2563" s="57" t="s">
        <v>553</v>
      </c>
      <c r="AR2563" s="57" t="s">
        <v>1607</v>
      </c>
      <c r="AS2563" s="57" t="s">
        <v>132</v>
      </c>
      <c r="AT2563" s="180"/>
      <c r="AU2563" s="181" t="s">
        <v>7494</v>
      </c>
      <c r="AV2563" s="184" t="s">
        <v>176</v>
      </c>
      <c r="AW2563" s="57"/>
      <c r="AX2563" s="184" t="s">
        <v>176</v>
      </c>
      <c r="AY2563" s="57"/>
      <c r="AZ2563" s="57"/>
      <c r="BA2563" s="57"/>
      <c r="BB2563" s="57"/>
      <c r="BC2563" s="57"/>
      <c r="BD2563" s="57"/>
      <c r="BE2563" s="251"/>
      <c r="BF2563" s="57"/>
      <c r="BG2563" s="57"/>
      <c r="BH2563" s="251"/>
      <c r="BI2563" s="57"/>
      <c r="BJ2563" s="57"/>
      <c r="BK2563" s="57" t="s">
        <v>5976</v>
      </c>
      <c r="BL2563" s="57"/>
      <c r="BM2563" s="253" t="s">
        <v>2663</v>
      </c>
      <c r="BN2563" s="57">
        <v>4</v>
      </c>
      <c r="BO2563" s="57">
        <v>4</v>
      </c>
      <c r="BP2563" s="57"/>
      <c r="BQ2563" s="57" t="s">
        <v>141</v>
      </c>
      <c r="BR2563" s="57"/>
      <c r="BS2563" s="57"/>
      <c r="BT2563" s="57"/>
      <c r="BU2563" s="57"/>
      <c r="BV2563" s="57"/>
      <c r="BW2563" s="66">
        <v>4.2</v>
      </c>
      <c r="BX2563" s="66">
        <v>7.3</v>
      </c>
      <c r="BY2563" s="66"/>
      <c r="BZ2563" s="66"/>
      <c r="CA2563" s="66" t="s">
        <v>2670</v>
      </c>
      <c r="CB2563" s="66">
        <v>2160</v>
      </c>
      <c r="CC2563" s="66">
        <v>8030</v>
      </c>
      <c r="CD2563" s="66">
        <f>(CC2563-CB2563)/CB2563</f>
        <v>2.7175925925925926</v>
      </c>
      <c r="CE2563" s="66"/>
      <c r="CF2563" s="66"/>
      <c r="CG2563" s="66" t="s">
        <v>2668</v>
      </c>
      <c r="CH2563" s="91"/>
      <c r="CI2563" s="91"/>
      <c r="CJ2563" s="66"/>
      <c r="CK2563" s="66"/>
      <c r="CL2563" s="66"/>
      <c r="CM2563" s="66"/>
      <c r="CN2563" s="66"/>
      <c r="CO2563" s="66"/>
      <c r="CP2563" s="66"/>
      <c r="CQ2563" s="66"/>
      <c r="CR2563" s="66"/>
      <c r="CS2563" s="66"/>
      <c r="CT2563" s="66"/>
      <c r="CU2563" s="66"/>
      <c r="CV2563" s="66"/>
      <c r="CW2563" s="66"/>
      <c r="CX2563" s="66"/>
      <c r="CY2563" s="66"/>
      <c r="CZ2563" s="66"/>
      <c r="DA2563" s="66"/>
      <c r="DB2563" s="66"/>
      <c r="DC2563" s="66"/>
      <c r="DD2563" s="66"/>
      <c r="DE2563" s="66"/>
      <c r="DF2563" s="66"/>
      <c r="DG2563" s="66"/>
      <c r="DH2563" s="66"/>
      <c r="DI2563" s="66"/>
      <c r="DJ2563" s="66"/>
      <c r="DK2563" s="66"/>
      <c r="DL2563" s="66"/>
      <c r="DM2563" s="66"/>
      <c r="DN2563" s="66"/>
      <c r="DO2563" s="66"/>
      <c r="DP2563" s="66"/>
      <c r="DQ2563" s="164"/>
      <c r="DR2563" s="164"/>
      <c r="DS2563" s="161"/>
      <c r="DT2563" s="161"/>
      <c r="DU2563" s="66"/>
      <c r="DV2563" s="66"/>
      <c r="DW2563" s="66"/>
      <c r="DX2563" s="66"/>
      <c r="DY2563" s="66"/>
      <c r="DZ2563" s="66"/>
      <c r="EA2563" s="66"/>
      <c r="EB2563" s="66"/>
      <c r="EC2563" s="66"/>
      <c r="ED2563" s="66"/>
      <c r="EE2563" s="66"/>
      <c r="EF2563" s="66"/>
      <c r="EG2563" s="66"/>
      <c r="EH2563" s="66"/>
      <c r="EI2563" s="66"/>
      <c r="EJ2563" s="66"/>
      <c r="EK2563" s="91"/>
      <c r="EL2563" s="91"/>
      <c r="EM2563" s="66"/>
      <c r="EN2563" s="66"/>
      <c r="EO2563" s="66"/>
      <c r="EP2563" s="66"/>
      <c r="EQ2563" s="66"/>
      <c r="ER2563" s="66"/>
      <c r="ES2563" s="66"/>
      <c r="ET2563" s="66"/>
      <c r="EU2563" s="66"/>
      <c r="EV2563" s="66"/>
      <c r="EW2563" s="66"/>
      <c r="EX2563" s="66"/>
      <c r="EY2563" s="66"/>
      <c r="EZ2563" s="66"/>
      <c r="FA2563" s="66"/>
      <c r="FB2563" s="66"/>
      <c r="FC2563" s="66"/>
      <c r="FD2563" s="66"/>
      <c r="FE2563" s="66"/>
      <c r="FF2563" s="66"/>
      <c r="FG2563" s="66"/>
      <c r="FH2563" s="66"/>
      <c r="FI2563" s="66"/>
      <c r="FJ2563" s="66"/>
      <c r="FK2563" s="66"/>
      <c r="FL2563" s="66"/>
      <c r="FM2563" s="66"/>
      <c r="FN2563" s="66"/>
      <c r="FO2563" s="66"/>
      <c r="FP2563" s="66"/>
      <c r="FQ2563" s="66"/>
      <c r="FR2563" s="66"/>
      <c r="FS2563" s="66"/>
      <c r="FT2563" s="66"/>
      <c r="FU2563" s="66"/>
      <c r="FV2563" s="66"/>
      <c r="FW2563" s="66"/>
      <c r="FX2563" s="66"/>
      <c r="FY2563" s="66"/>
      <c r="FZ2563" s="66"/>
      <c r="GA2563" s="66"/>
      <c r="GB2563" s="66"/>
      <c r="GC2563" s="66"/>
      <c r="GD2563" s="66"/>
      <c r="GE2563" s="66"/>
      <c r="GF2563" s="66"/>
      <c r="GG2563" s="66"/>
      <c r="GH2563" s="66"/>
      <c r="GI2563" s="66"/>
      <c r="GJ2563" s="66"/>
      <c r="GK2563" s="66"/>
      <c r="GL2563" s="66"/>
      <c r="GM2563" s="66"/>
      <c r="GN2563" s="293"/>
      <c r="GO2563" s="293"/>
      <c r="GP2563" s="292" t="s">
        <v>7494</v>
      </c>
      <c r="GQ2563" s="66"/>
      <c r="GR2563" s="66"/>
      <c r="GS2563" s="66"/>
      <c r="GT2563" s="66"/>
      <c r="GU2563" s="66"/>
      <c r="GV2563" s="66"/>
      <c r="GW2563" s="66"/>
      <c r="GX2563" s="66"/>
      <c r="GY2563" s="66"/>
      <c r="GZ2563" s="66"/>
      <c r="HA2563" s="66"/>
      <c r="HB2563" s="66"/>
      <c r="HC2563" s="66"/>
      <c r="HD2563" s="66"/>
      <c r="HE2563" s="66"/>
      <c r="HF2563" s="66"/>
      <c r="HG2563" s="66"/>
      <c r="HH2563" s="66"/>
      <c r="HI2563" s="66"/>
      <c r="HJ2563" s="66"/>
      <c r="HK2563" s="66"/>
      <c r="HL2563" s="66"/>
      <c r="HM2563" s="66"/>
      <c r="HN2563" s="66"/>
      <c r="HO2563" s="66"/>
      <c r="HP2563" s="66"/>
      <c r="HQ2563" s="66"/>
      <c r="HR2563" s="66"/>
      <c r="HS2563" s="66"/>
      <c r="HT2563" s="66"/>
      <c r="HU2563" s="66"/>
      <c r="HV2563" s="66"/>
      <c r="HW2563" s="66"/>
      <c r="HX2563" s="66"/>
      <c r="HY2563" s="66"/>
      <c r="HZ2563" s="66"/>
      <c r="IA2563" s="66"/>
      <c r="IB2563" s="66"/>
      <c r="IC2563" s="66"/>
      <c r="ID2563" s="66"/>
      <c r="IE2563" s="66"/>
      <c r="IF2563" s="66"/>
      <c r="IG2563" s="66"/>
      <c r="IH2563" s="66"/>
      <c r="II2563" s="66"/>
      <c r="IJ2563" s="66"/>
      <c r="IK2563" s="66"/>
      <c r="IL2563" s="66"/>
      <c r="IM2563" s="66"/>
      <c r="IN2563" s="66"/>
      <c r="IO2563" s="66"/>
      <c r="IP2563" s="66"/>
      <c r="IQ2563" s="66"/>
      <c r="IR2563" s="66"/>
      <c r="IS2563" s="66"/>
      <c r="IT2563" s="66"/>
      <c r="IU2563" s="66"/>
      <c r="IV2563" s="66"/>
      <c r="IW2563" s="66"/>
      <c r="IX2563" s="66"/>
      <c r="IY2563" s="66"/>
      <c r="IZ2563" s="66"/>
      <c r="JA2563" s="66"/>
      <c r="JB2563" s="66"/>
      <c r="JC2563" s="66"/>
      <c r="JD2563" s="66"/>
      <c r="JE2563" s="66"/>
      <c r="JF2563" s="66"/>
      <c r="JG2563" s="66"/>
      <c r="JH2563" s="66"/>
      <c r="JI2563" s="66"/>
      <c r="JJ2563" s="66"/>
      <c r="JK2563" s="66"/>
      <c r="JL2563" s="66"/>
      <c r="JM2563" s="66"/>
      <c r="JN2563" s="66"/>
      <c r="JO2563" s="66"/>
      <c r="JP2563" s="66"/>
      <c r="JQ2563" s="66"/>
      <c r="JR2563" s="66"/>
      <c r="JS2563" s="66"/>
      <c r="JT2563" s="66"/>
      <c r="JU2563" s="57"/>
      <c r="JV2563" s="57"/>
      <c r="JW2563" s="57"/>
    </row>
    <row r="2564" spans="1:286" s="13" customFormat="1" x14ac:dyDescent="0.25">
      <c r="A2564" s="255">
        <v>2563</v>
      </c>
      <c r="B2564" s="256" t="s">
        <v>7067</v>
      </c>
      <c r="C2564" s="257">
        <v>121</v>
      </c>
      <c r="D2564" s="255" t="s">
        <v>4245</v>
      </c>
      <c r="E2564" s="258" t="s">
        <v>2659</v>
      </c>
      <c r="F2564" s="258"/>
      <c r="G2564" s="255" t="s">
        <v>2658</v>
      </c>
      <c r="H2564" s="255">
        <v>1999</v>
      </c>
      <c r="I2564" s="255">
        <v>1995</v>
      </c>
      <c r="J2564" s="255" t="s">
        <v>2660</v>
      </c>
      <c r="K2564" s="255" t="s">
        <v>2661</v>
      </c>
      <c r="L2564" s="255" t="s">
        <v>2744</v>
      </c>
      <c r="M2564" s="258">
        <f>10+24/60</f>
        <v>10.4</v>
      </c>
      <c r="N2564" s="258">
        <f>7+42/60</f>
        <v>7.7</v>
      </c>
      <c r="O2564" s="258">
        <v>656</v>
      </c>
      <c r="P2564" s="255"/>
      <c r="Q2564" s="255"/>
      <c r="R2564" s="255"/>
      <c r="S2564" s="258">
        <v>1350</v>
      </c>
      <c r="T2564" s="255"/>
      <c r="U2564" s="255" t="s">
        <v>1935</v>
      </c>
      <c r="V2564" s="255" t="s">
        <v>1805</v>
      </c>
      <c r="W2564" s="255"/>
      <c r="X2564" s="255"/>
      <c r="Y2564" s="255" t="s">
        <v>1911</v>
      </c>
      <c r="Z2564" s="255" t="s">
        <v>1349</v>
      </c>
      <c r="AA2564" s="258" t="s">
        <v>1677</v>
      </c>
      <c r="AB2564" s="259"/>
      <c r="AC2564" s="259"/>
      <c r="AD2564" s="258"/>
      <c r="AE2564" s="258">
        <v>47.5</v>
      </c>
      <c r="AF2564" s="258">
        <f>100-AE2564-30</f>
        <v>22.5</v>
      </c>
      <c r="AG2564" s="258"/>
      <c r="AH2564" s="255" t="s">
        <v>494</v>
      </c>
      <c r="AI2564" s="255">
        <v>6.5</v>
      </c>
      <c r="AJ2564" s="258">
        <v>0.7</v>
      </c>
      <c r="AK2564" s="258"/>
      <c r="AL2564" s="255"/>
      <c r="AM2564" s="255"/>
      <c r="AN2564" s="255" t="s">
        <v>2282</v>
      </c>
      <c r="AO2564" s="185" t="s">
        <v>5150</v>
      </c>
      <c r="AP2564" s="255"/>
      <c r="AQ2564" s="255" t="s">
        <v>553</v>
      </c>
      <c r="AR2564" s="255" t="s">
        <v>1607</v>
      </c>
      <c r="AS2564" s="255" t="s">
        <v>132</v>
      </c>
      <c r="AT2564" s="255"/>
      <c r="AU2564" s="181" t="s">
        <v>7494</v>
      </c>
      <c r="AV2564" s="255" t="s">
        <v>176</v>
      </c>
      <c r="AW2564" s="255"/>
      <c r="AX2564" s="255" t="s">
        <v>176</v>
      </c>
      <c r="AY2564" s="255"/>
      <c r="AZ2564" s="255"/>
      <c r="BA2564" s="255"/>
      <c r="BB2564" s="255"/>
      <c r="BC2564" s="255"/>
      <c r="BD2564" s="255"/>
      <c r="BE2564" s="255"/>
      <c r="BF2564" s="255"/>
      <c r="BG2564" s="255"/>
      <c r="BH2564" s="255"/>
      <c r="BI2564" s="255"/>
      <c r="BJ2564" s="255"/>
      <c r="BK2564" s="255" t="s">
        <v>5976</v>
      </c>
      <c r="BL2564" s="255"/>
      <c r="BM2564" s="255" t="s">
        <v>2663</v>
      </c>
      <c r="BN2564" s="255">
        <v>4</v>
      </c>
      <c r="BO2564" s="255">
        <v>4</v>
      </c>
      <c r="BP2564" s="255"/>
      <c r="BQ2564" s="255" t="s">
        <v>141</v>
      </c>
      <c r="BR2564" s="255"/>
      <c r="BS2564" s="255"/>
      <c r="BT2564" s="255"/>
      <c r="BU2564" s="255"/>
      <c r="BV2564" s="255"/>
      <c r="BW2564" s="259">
        <v>4.2</v>
      </c>
      <c r="BX2564" s="259">
        <v>5.8</v>
      </c>
      <c r="BY2564" s="259"/>
      <c r="BZ2564" s="259"/>
      <c r="CA2564" s="259" t="s">
        <v>2670</v>
      </c>
      <c r="CB2564" s="259">
        <v>1110</v>
      </c>
      <c r="CC2564" s="259">
        <v>1900</v>
      </c>
      <c r="CD2564" s="259">
        <f>(CC2564-CB2564)/CB2564</f>
        <v>0.71171171171171166</v>
      </c>
      <c r="CE2564" s="259"/>
      <c r="CF2564" s="259"/>
      <c r="CG2564" s="259" t="s">
        <v>2668</v>
      </c>
      <c r="CH2564" s="258"/>
      <c r="CI2564" s="258"/>
      <c r="CJ2564" s="259"/>
      <c r="CK2564" s="259"/>
      <c r="CL2564" s="259"/>
      <c r="CM2564" s="259"/>
      <c r="CN2564" s="259"/>
      <c r="CO2564" s="259"/>
      <c r="CP2564" s="259"/>
      <c r="CQ2564" s="259"/>
      <c r="CR2564" s="259"/>
      <c r="CS2564" s="259"/>
      <c r="CT2564" s="259"/>
      <c r="CU2564" s="259"/>
      <c r="CV2564" s="259"/>
      <c r="CW2564" s="259"/>
      <c r="CX2564" s="259"/>
      <c r="CY2564" s="259"/>
      <c r="CZ2564" s="259"/>
      <c r="DA2564" s="259"/>
      <c r="DB2564" s="259"/>
      <c r="DC2564" s="259"/>
      <c r="DD2564" s="259"/>
      <c r="DE2564" s="259"/>
      <c r="DF2564" s="259"/>
      <c r="DG2564" s="259"/>
      <c r="DH2564" s="259"/>
      <c r="DI2564" s="259"/>
      <c r="DJ2564" s="259"/>
      <c r="DK2564" s="259"/>
      <c r="DL2564" s="259"/>
      <c r="DM2564" s="259"/>
      <c r="DN2564" s="259"/>
      <c r="DO2564" s="259"/>
      <c r="DP2564" s="259"/>
      <c r="DQ2564" s="260"/>
      <c r="DR2564" s="260"/>
      <c r="DS2564" s="259"/>
      <c r="DT2564" s="259"/>
      <c r="DU2564" s="259"/>
      <c r="DV2564" s="259"/>
      <c r="DW2564" s="259"/>
      <c r="DX2564" s="259"/>
      <c r="DY2564" s="259"/>
      <c r="DZ2564" s="259"/>
      <c r="EA2564" s="259"/>
      <c r="EB2564" s="259"/>
      <c r="EC2564" s="259"/>
      <c r="ED2564" s="259"/>
      <c r="EE2564" s="259"/>
      <c r="EF2564" s="259"/>
      <c r="EG2564" s="259"/>
      <c r="EH2564" s="259"/>
      <c r="EI2564" s="259"/>
      <c r="EJ2564" s="259"/>
      <c r="EK2564" s="258"/>
      <c r="EL2564" s="258"/>
      <c r="EM2564" s="259"/>
      <c r="EN2564" s="259"/>
      <c r="EO2564" s="259"/>
      <c r="EP2564" s="259"/>
      <c r="EQ2564" s="259"/>
      <c r="ER2564" s="259"/>
      <c r="ES2564" s="259"/>
      <c r="ET2564" s="259"/>
      <c r="EU2564" s="259"/>
      <c r="EV2564" s="259"/>
      <c r="EW2564" s="259"/>
      <c r="EX2564" s="259"/>
      <c r="EY2564" s="259"/>
      <c r="EZ2564" s="259"/>
      <c r="FA2564" s="259"/>
      <c r="FB2564" s="259"/>
      <c r="FC2564" s="259"/>
      <c r="FD2564" s="259"/>
      <c r="FE2564" s="259"/>
      <c r="FF2564" s="259"/>
      <c r="FG2564" s="259"/>
      <c r="FH2564" s="259"/>
      <c r="FI2564" s="259"/>
      <c r="FJ2564" s="259"/>
      <c r="FK2564" s="259"/>
      <c r="FL2564" s="259"/>
      <c r="FM2564" s="259"/>
      <c r="FN2564" s="259"/>
      <c r="FO2564" s="259"/>
      <c r="FP2564" s="259"/>
      <c r="FQ2564" s="259"/>
      <c r="FR2564" s="259"/>
      <c r="FS2564" s="259"/>
      <c r="FT2564" s="259"/>
      <c r="FU2564" s="259"/>
      <c r="FV2564" s="259"/>
      <c r="FW2564" s="259"/>
      <c r="FX2564" s="259"/>
      <c r="FY2564" s="259"/>
      <c r="FZ2564" s="259"/>
      <c r="GA2564" s="259"/>
      <c r="GB2564" s="259"/>
      <c r="GC2564" s="259"/>
      <c r="GD2564" s="259"/>
      <c r="GE2564" s="259"/>
      <c r="GF2564" s="259"/>
      <c r="GG2564" s="259"/>
      <c r="GH2564" s="259"/>
      <c r="GI2564" s="259"/>
      <c r="GJ2564" s="259"/>
      <c r="GK2564" s="259"/>
      <c r="GL2564" s="259"/>
      <c r="GM2564" s="259"/>
      <c r="GN2564" s="293"/>
      <c r="GO2564" s="293"/>
      <c r="GP2564" s="292" t="s">
        <v>7494</v>
      </c>
      <c r="GQ2564" s="259"/>
      <c r="GR2564" s="259"/>
      <c r="GS2564" s="259"/>
      <c r="GT2564" s="259"/>
      <c r="GU2564" s="259"/>
      <c r="GV2564" s="259"/>
      <c r="GW2564" s="259"/>
      <c r="GX2564" s="259"/>
      <c r="GY2564" s="259"/>
      <c r="GZ2564" s="259"/>
      <c r="HA2564" s="259"/>
      <c r="HB2564" s="259"/>
      <c r="HC2564" s="259"/>
      <c r="HD2564" s="259"/>
      <c r="HE2564" s="259"/>
      <c r="HF2564" s="259"/>
      <c r="HG2564" s="259"/>
      <c r="HH2564" s="259"/>
      <c r="HI2564" s="259"/>
      <c r="HJ2564" s="259"/>
      <c r="HK2564" s="259"/>
      <c r="HL2564" s="259"/>
      <c r="HM2564" s="259"/>
      <c r="HN2564" s="259"/>
      <c r="HO2564" s="259"/>
      <c r="HP2564" s="259"/>
      <c r="HQ2564" s="259"/>
      <c r="HR2564" s="259"/>
      <c r="HS2564" s="259"/>
      <c r="HT2564" s="259"/>
      <c r="HU2564" s="259"/>
      <c r="HV2564" s="259"/>
      <c r="HW2564" s="259"/>
      <c r="HX2564" s="259"/>
      <c r="HY2564" s="259"/>
      <c r="HZ2564" s="259"/>
      <c r="IA2564" s="259"/>
      <c r="IB2564" s="259"/>
      <c r="IC2564" s="259"/>
      <c r="ID2564" s="259"/>
      <c r="IE2564" s="259"/>
      <c r="IF2564" s="259"/>
      <c r="IG2564" s="259"/>
      <c r="IH2564" s="259"/>
      <c r="II2564" s="259"/>
      <c r="IJ2564" s="259"/>
      <c r="IK2564" s="259"/>
      <c r="IL2564" s="259"/>
      <c r="IM2564" s="259"/>
      <c r="IN2564" s="259"/>
      <c r="IO2564" s="259"/>
      <c r="IP2564" s="259"/>
      <c r="IQ2564" s="259"/>
      <c r="IR2564" s="259"/>
      <c r="IS2564" s="259"/>
      <c r="IT2564" s="259"/>
      <c r="IU2564" s="259"/>
      <c r="IV2564" s="259"/>
      <c r="IW2564" s="259"/>
      <c r="IX2564" s="259"/>
      <c r="IY2564" s="259"/>
      <c r="IZ2564" s="259"/>
      <c r="JA2564" s="259"/>
      <c r="JB2564" s="259"/>
      <c r="JC2564" s="259"/>
      <c r="JD2564" s="259"/>
      <c r="JE2564" s="259"/>
      <c r="JF2564" s="259"/>
      <c r="JG2564" s="259"/>
      <c r="JH2564" s="259"/>
      <c r="JI2564" s="259"/>
      <c r="JJ2564" s="259"/>
      <c r="JK2564" s="259"/>
      <c r="JL2564" s="259"/>
      <c r="JM2564" s="259"/>
      <c r="JN2564" s="259"/>
      <c r="JO2564" s="259"/>
      <c r="JP2564" s="259"/>
      <c r="JQ2564" s="259"/>
      <c r="JR2564" s="259"/>
      <c r="JS2564" s="259"/>
      <c r="JT2564" s="259"/>
      <c r="JU2564" s="255"/>
      <c r="JV2564" s="255"/>
      <c r="JW2564" s="255"/>
      <c r="JX2564" s="256"/>
      <c r="JY2564" s="256"/>
      <c r="JZ2564" s="256"/>
    </row>
    <row r="2565" spans="1:286" s="13" customFormat="1" x14ac:dyDescent="0.25">
      <c r="A2565" s="57">
        <v>2564</v>
      </c>
      <c r="B2565" s="13" t="s">
        <v>7067</v>
      </c>
      <c r="C2565" s="154">
        <v>121</v>
      </c>
      <c r="D2565" s="57" t="s">
        <v>4246</v>
      </c>
      <c r="E2565" s="91" t="s">
        <v>2659</v>
      </c>
      <c r="F2565" s="91"/>
      <c r="G2565" s="57" t="s">
        <v>2658</v>
      </c>
      <c r="H2565" s="57">
        <v>1999</v>
      </c>
      <c r="I2565" s="57">
        <v>1995</v>
      </c>
      <c r="J2565" s="57" t="s">
        <v>2660</v>
      </c>
      <c r="K2565" s="57" t="s">
        <v>2662</v>
      </c>
      <c r="L2565" s="57" t="s">
        <v>2744</v>
      </c>
      <c r="M2565" s="91">
        <f>10+1/60</f>
        <v>10.016666666666667</v>
      </c>
      <c r="N2565" s="91">
        <f>9+47/60</f>
        <v>9.7833333333333332</v>
      </c>
      <c r="O2565" s="91">
        <v>542</v>
      </c>
      <c r="P2565" s="57"/>
      <c r="Q2565" s="57"/>
      <c r="R2565" s="57"/>
      <c r="S2565" s="91">
        <v>1350</v>
      </c>
      <c r="T2565" s="57"/>
      <c r="U2565" s="57" t="s">
        <v>1935</v>
      </c>
      <c r="V2565" s="57" t="s">
        <v>1805</v>
      </c>
      <c r="W2565" s="172"/>
      <c r="X2565" s="172"/>
      <c r="Y2565" s="57" t="s">
        <v>1911</v>
      </c>
      <c r="Z2565" s="57" t="s">
        <v>1349</v>
      </c>
      <c r="AA2565" s="91" t="s">
        <v>1677</v>
      </c>
      <c r="AB2565" s="66"/>
      <c r="AC2565" s="66"/>
      <c r="AD2565" s="91"/>
      <c r="AE2565" s="91">
        <v>47.5</v>
      </c>
      <c r="AF2565" s="91">
        <f>100-AE2565-30</f>
        <v>22.5</v>
      </c>
      <c r="AG2565" s="91"/>
      <c r="AH2565" s="57" t="s">
        <v>494</v>
      </c>
      <c r="AI2565" s="167">
        <v>6.5</v>
      </c>
      <c r="AJ2565" s="91">
        <v>0.7</v>
      </c>
      <c r="AK2565" s="91"/>
      <c r="AL2565" s="57"/>
      <c r="AM2565" s="57"/>
      <c r="AN2565" s="184" t="s">
        <v>2664</v>
      </c>
      <c r="AO2565" s="185" t="s">
        <v>5150</v>
      </c>
      <c r="AP2565" s="57"/>
      <c r="AQ2565" s="57" t="s">
        <v>553</v>
      </c>
      <c r="AR2565" s="57" t="s">
        <v>1607</v>
      </c>
      <c r="AS2565" s="57" t="s">
        <v>132</v>
      </c>
      <c r="AT2565" s="180"/>
      <c r="AU2565" s="181" t="s">
        <v>7494</v>
      </c>
      <c r="AV2565" s="184" t="s">
        <v>176</v>
      </c>
      <c r="AW2565" s="57"/>
      <c r="AX2565" s="184" t="s">
        <v>176</v>
      </c>
      <c r="AY2565" s="57"/>
      <c r="AZ2565" s="57"/>
      <c r="BA2565" s="57"/>
      <c r="BB2565" s="57"/>
      <c r="BC2565" s="57"/>
      <c r="BD2565" s="57"/>
      <c r="BE2565" s="251"/>
      <c r="BF2565" s="57"/>
      <c r="BG2565" s="57"/>
      <c r="BH2565" s="251"/>
      <c r="BI2565" s="57"/>
      <c r="BJ2565" s="57"/>
      <c r="BK2565" s="57" t="s">
        <v>5976</v>
      </c>
      <c r="BL2565" s="57"/>
      <c r="BM2565" s="253" t="s">
        <v>2663</v>
      </c>
      <c r="BN2565" s="57">
        <v>4</v>
      </c>
      <c r="BO2565" s="57">
        <v>4</v>
      </c>
      <c r="BP2565" s="57"/>
      <c r="BQ2565" s="57" t="s">
        <v>141</v>
      </c>
      <c r="BR2565" s="57"/>
      <c r="BS2565" s="57"/>
      <c r="BT2565" s="57"/>
      <c r="BU2565" s="57"/>
      <c r="BV2565" s="57"/>
      <c r="BW2565" s="66">
        <v>3.9</v>
      </c>
      <c r="BX2565" s="66">
        <v>3.9</v>
      </c>
      <c r="BY2565" s="66">
        <v>0.62</v>
      </c>
      <c r="BZ2565" s="66">
        <v>0.62</v>
      </c>
      <c r="CA2565" s="66" t="s">
        <v>2670</v>
      </c>
      <c r="CB2565" s="66">
        <v>2070</v>
      </c>
      <c r="CC2565" s="66">
        <v>1720</v>
      </c>
      <c r="CD2565" s="66">
        <f>(CC2565-CB2565)/CB2565</f>
        <v>-0.16908212560386474</v>
      </c>
      <c r="CE2565" s="66"/>
      <c r="CF2565" s="66"/>
      <c r="CG2565" s="66" t="s">
        <v>2669</v>
      </c>
      <c r="CH2565" s="91"/>
      <c r="CI2565" s="91"/>
      <c r="CJ2565" s="66"/>
      <c r="CK2565" s="66"/>
      <c r="CL2565" s="66"/>
      <c r="CM2565" s="66"/>
      <c r="CN2565" s="66"/>
      <c r="CO2565" s="66"/>
      <c r="CP2565" s="66"/>
      <c r="CQ2565" s="66"/>
      <c r="CR2565" s="66"/>
      <c r="CS2565" s="66"/>
      <c r="CT2565" s="66"/>
      <c r="CU2565" s="66"/>
      <c r="CV2565" s="66"/>
      <c r="CW2565" s="66"/>
      <c r="CX2565" s="66"/>
      <c r="CY2565" s="66"/>
      <c r="CZ2565" s="66"/>
      <c r="DA2565" s="66"/>
      <c r="DB2565" s="66">
        <v>400</v>
      </c>
      <c r="DC2565" s="66">
        <v>370</v>
      </c>
      <c r="DD2565" s="66">
        <v>75</v>
      </c>
      <c r="DE2565" s="66">
        <v>75</v>
      </c>
      <c r="DF2565" s="66" t="s">
        <v>2603</v>
      </c>
      <c r="DG2565" s="66"/>
      <c r="DH2565" s="66"/>
      <c r="DI2565" s="66"/>
      <c r="DJ2565" s="66"/>
      <c r="DK2565" s="66"/>
      <c r="DL2565" s="66"/>
      <c r="DM2565" s="66"/>
      <c r="DN2565" s="66"/>
      <c r="DO2565" s="66"/>
      <c r="DP2565" s="66"/>
      <c r="DQ2565" s="164"/>
      <c r="DR2565" s="164"/>
      <c r="DS2565" s="161"/>
      <c r="DT2565" s="161"/>
      <c r="DU2565" s="66"/>
      <c r="DV2565" s="66"/>
      <c r="DW2565" s="66"/>
      <c r="DX2565" s="66"/>
      <c r="DY2565" s="66"/>
      <c r="DZ2565" s="66"/>
      <c r="EA2565" s="66"/>
      <c r="EB2565" s="66"/>
      <c r="EC2565" s="66"/>
      <c r="ED2565" s="66"/>
      <c r="EE2565" s="66"/>
      <c r="EF2565" s="66"/>
      <c r="EG2565" s="66"/>
      <c r="EH2565" s="66"/>
      <c r="EI2565" s="66"/>
      <c r="EJ2565" s="66"/>
      <c r="EK2565" s="91"/>
      <c r="EL2565" s="91"/>
      <c r="EM2565" s="66"/>
      <c r="EN2565" s="66"/>
      <c r="EO2565" s="66"/>
      <c r="EP2565" s="66"/>
      <c r="EQ2565" s="66"/>
      <c r="ER2565" s="66"/>
      <c r="ES2565" s="66"/>
      <c r="ET2565" s="66"/>
      <c r="EU2565" s="66"/>
      <c r="EV2565" s="66"/>
      <c r="EW2565" s="66"/>
      <c r="EX2565" s="66"/>
      <c r="EY2565" s="66"/>
      <c r="EZ2565" s="66"/>
      <c r="FA2565" s="66"/>
      <c r="FB2565" s="66"/>
      <c r="FC2565" s="66"/>
      <c r="FD2565" s="66"/>
      <c r="FE2565" s="66"/>
      <c r="FF2565" s="66"/>
      <c r="FG2565" s="66"/>
      <c r="FH2565" s="66"/>
      <c r="FI2565" s="66"/>
      <c r="FJ2565" s="66"/>
      <c r="FK2565" s="66"/>
      <c r="FL2565" s="66"/>
      <c r="FM2565" s="66"/>
      <c r="FN2565" s="66"/>
      <c r="FO2565" s="66"/>
      <c r="FP2565" s="66"/>
      <c r="FQ2565" s="66"/>
      <c r="FR2565" s="66"/>
      <c r="FS2565" s="66"/>
      <c r="FT2565" s="66"/>
      <c r="FU2565" s="66"/>
      <c r="FV2565" s="66"/>
      <c r="FW2565" s="66"/>
      <c r="FX2565" s="66"/>
      <c r="FY2565" s="66"/>
      <c r="FZ2565" s="66"/>
      <c r="GA2565" s="66"/>
      <c r="GB2565" s="66"/>
      <c r="GC2565" s="66"/>
      <c r="GD2565" s="66"/>
      <c r="GE2565" s="66"/>
      <c r="GF2565" s="66"/>
      <c r="GG2565" s="66"/>
      <c r="GH2565" s="66"/>
      <c r="GI2565" s="66"/>
      <c r="GJ2565" s="66"/>
      <c r="GK2565" s="66"/>
      <c r="GL2565" s="66"/>
      <c r="GM2565" s="66"/>
      <c r="GN2565" s="293"/>
      <c r="GO2565" s="293"/>
      <c r="GP2565" s="292" t="s">
        <v>7494</v>
      </c>
      <c r="GQ2565" s="66"/>
      <c r="GR2565" s="66"/>
      <c r="GS2565" s="66"/>
      <c r="GT2565" s="66"/>
      <c r="GU2565" s="66"/>
      <c r="GV2565" s="66"/>
      <c r="GW2565" s="66"/>
      <c r="GX2565" s="66"/>
      <c r="GY2565" s="66"/>
      <c r="GZ2565" s="66"/>
      <c r="HA2565" s="66"/>
      <c r="HB2565" s="66"/>
      <c r="HC2565" s="66"/>
      <c r="HD2565" s="66"/>
      <c r="HE2565" s="66"/>
      <c r="HF2565" s="66"/>
      <c r="HG2565" s="66"/>
      <c r="HH2565" s="66"/>
      <c r="HI2565" s="66"/>
      <c r="HJ2565" s="66"/>
      <c r="HK2565" s="66"/>
      <c r="HL2565" s="66"/>
      <c r="HM2565" s="66"/>
      <c r="HN2565" s="66"/>
      <c r="HO2565" s="66"/>
      <c r="HP2565" s="66"/>
      <c r="HQ2565" s="66"/>
      <c r="HR2565" s="66"/>
      <c r="HS2565" s="66"/>
      <c r="HT2565" s="66"/>
      <c r="HU2565" s="66"/>
      <c r="HV2565" s="66"/>
      <c r="HW2565" s="66"/>
      <c r="HX2565" s="66"/>
      <c r="HY2565" s="66"/>
      <c r="HZ2565" s="66"/>
      <c r="IA2565" s="66"/>
      <c r="IB2565" s="66"/>
      <c r="IC2565" s="66"/>
      <c r="ID2565" s="66"/>
      <c r="IE2565" s="66"/>
      <c r="IF2565" s="66"/>
      <c r="IG2565" s="66"/>
      <c r="IH2565" s="66"/>
      <c r="II2565" s="66"/>
      <c r="IJ2565" s="66"/>
      <c r="IK2565" s="66"/>
      <c r="IL2565" s="66"/>
      <c r="IM2565" s="66"/>
      <c r="IN2565" s="66"/>
      <c r="IO2565" s="66"/>
      <c r="IP2565" s="66"/>
      <c r="IQ2565" s="66"/>
      <c r="IR2565" s="66"/>
      <c r="IS2565" s="66"/>
      <c r="IT2565" s="66"/>
      <c r="IU2565" s="66"/>
      <c r="IV2565" s="66"/>
      <c r="IW2565" s="66"/>
      <c r="IX2565" s="66"/>
      <c r="IY2565" s="66"/>
      <c r="IZ2565" s="66"/>
      <c r="JA2565" s="66"/>
      <c r="JB2565" s="66"/>
      <c r="JC2565" s="66"/>
      <c r="JD2565" s="66"/>
      <c r="JE2565" s="66"/>
      <c r="JF2565" s="66"/>
      <c r="JG2565" s="66"/>
      <c r="JH2565" s="66"/>
      <c r="JI2565" s="66"/>
      <c r="JJ2565" s="66"/>
      <c r="JK2565" s="66"/>
      <c r="JL2565" s="66"/>
      <c r="JM2565" s="66"/>
      <c r="JN2565" s="66"/>
      <c r="JO2565" s="66"/>
      <c r="JP2565" s="66"/>
      <c r="JQ2565" s="66"/>
      <c r="JR2565" s="66"/>
      <c r="JS2565" s="66"/>
      <c r="JT2565" s="66"/>
      <c r="JU2565" s="57"/>
      <c r="JV2565" s="57"/>
      <c r="JW2565" s="57"/>
    </row>
    <row r="2566" spans="1:286" s="13" customFormat="1" x14ac:dyDescent="0.25">
      <c r="A2566" s="255">
        <v>2565</v>
      </c>
      <c r="B2566" s="256" t="s">
        <v>7067</v>
      </c>
      <c r="C2566" s="257">
        <v>121</v>
      </c>
      <c r="D2566" s="255" t="s">
        <v>4246</v>
      </c>
      <c r="E2566" s="258" t="s">
        <v>2659</v>
      </c>
      <c r="F2566" s="258"/>
      <c r="G2566" s="255" t="s">
        <v>2658</v>
      </c>
      <c r="H2566" s="255">
        <v>1999</v>
      </c>
      <c r="I2566" s="255">
        <v>1995</v>
      </c>
      <c r="J2566" s="255" t="s">
        <v>2660</v>
      </c>
      <c r="K2566" s="255" t="s">
        <v>2662</v>
      </c>
      <c r="L2566" s="255" t="s">
        <v>2744</v>
      </c>
      <c r="M2566" s="258">
        <f>10+1/60</f>
        <v>10.016666666666667</v>
      </c>
      <c r="N2566" s="258">
        <f>9+47/60</f>
        <v>9.7833333333333332</v>
      </c>
      <c r="O2566" s="258">
        <v>542</v>
      </c>
      <c r="P2566" s="255"/>
      <c r="Q2566" s="255"/>
      <c r="R2566" s="255"/>
      <c r="S2566" s="258">
        <v>1350</v>
      </c>
      <c r="T2566" s="255"/>
      <c r="U2566" s="255" t="s">
        <v>1935</v>
      </c>
      <c r="V2566" s="255" t="s">
        <v>1805</v>
      </c>
      <c r="W2566" s="255"/>
      <c r="X2566" s="255"/>
      <c r="Y2566" s="255" t="s">
        <v>1911</v>
      </c>
      <c r="Z2566" s="255" t="s">
        <v>1349</v>
      </c>
      <c r="AA2566" s="258" t="s">
        <v>1677</v>
      </c>
      <c r="AB2566" s="259"/>
      <c r="AC2566" s="259"/>
      <c r="AD2566" s="258"/>
      <c r="AE2566" s="258">
        <v>47.5</v>
      </c>
      <c r="AF2566" s="258">
        <f>100-AE2566-30</f>
        <v>22.5</v>
      </c>
      <c r="AG2566" s="258"/>
      <c r="AH2566" s="255" t="s">
        <v>494</v>
      </c>
      <c r="AI2566" s="255">
        <v>6.5</v>
      </c>
      <c r="AJ2566" s="258">
        <v>0.7</v>
      </c>
      <c r="AK2566" s="258"/>
      <c r="AL2566" s="255"/>
      <c r="AM2566" s="255"/>
      <c r="AN2566" s="255" t="s">
        <v>2665</v>
      </c>
      <c r="AO2566" s="185" t="s">
        <v>5150</v>
      </c>
      <c r="AP2566" s="255"/>
      <c r="AQ2566" s="255" t="s">
        <v>553</v>
      </c>
      <c r="AR2566" s="255" t="s">
        <v>1607</v>
      </c>
      <c r="AS2566" s="255" t="s">
        <v>132</v>
      </c>
      <c r="AT2566" s="255"/>
      <c r="AU2566" s="181" t="s">
        <v>7494</v>
      </c>
      <c r="AV2566" s="255" t="s">
        <v>176</v>
      </c>
      <c r="AW2566" s="255"/>
      <c r="AX2566" s="255" t="s">
        <v>176</v>
      </c>
      <c r="AY2566" s="255"/>
      <c r="AZ2566" s="255"/>
      <c r="BA2566" s="255"/>
      <c r="BB2566" s="255"/>
      <c r="BC2566" s="255"/>
      <c r="BD2566" s="255"/>
      <c r="BE2566" s="255"/>
      <c r="BF2566" s="255"/>
      <c r="BG2566" s="255"/>
      <c r="BH2566" s="255"/>
      <c r="BI2566" s="255"/>
      <c r="BJ2566" s="255"/>
      <c r="BK2566" s="255" t="s">
        <v>5976</v>
      </c>
      <c r="BL2566" s="255"/>
      <c r="BM2566" s="255" t="s">
        <v>2663</v>
      </c>
      <c r="BN2566" s="255">
        <v>4</v>
      </c>
      <c r="BO2566" s="255">
        <v>4</v>
      </c>
      <c r="BP2566" s="255"/>
      <c r="BQ2566" s="255" t="s">
        <v>141</v>
      </c>
      <c r="BR2566" s="255"/>
      <c r="BS2566" s="255"/>
      <c r="BT2566" s="255"/>
      <c r="BU2566" s="255"/>
      <c r="BV2566" s="255"/>
      <c r="BW2566" s="259">
        <v>3.9</v>
      </c>
      <c r="BX2566" s="259">
        <v>4.2</v>
      </c>
      <c r="BY2566" s="259"/>
      <c r="BZ2566" s="259"/>
      <c r="CA2566" s="259" t="s">
        <v>2670</v>
      </c>
      <c r="CB2566" s="259">
        <v>700</v>
      </c>
      <c r="CC2566" s="259">
        <v>1560</v>
      </c>
      <c r="CD2566" s="259">
        <f>(CC2566-CB2566)/CB2566</f>
        <v>1.2285714285714286</v>
      </c>
      <c r="CE2566" s="259"/>
      <c r="CF2566" s="259"/>
      <c r="CG2566" s="259" t="s">
        <v>2669</v>
      </c>
      <c r="CH2566" s="258"/>
      <c r="CI2566" s="258"/>
      <c r="CJ2566" s="259"/>
      <c r="CK2566" s="259"/>
      <c r="CL2566" s="259"/>
      <c r="CM2566" s="259"/>
      <c r="CN2566" s="259"/>
      <c r="CO2566" s="259"/>
      <c r="CP2566" s="259"/>
      <c r="CQ2566" s="259"/>
      <c r="CR2566" s="259"/>
      <c r="CS2566" s="259"/>
      <c r="CT2566" s="259"/>
      <c r="CU2566" s="259"/>
      <c r="CV2566" s="259"/>
      <c r="CW2566" s="259"/>
      <c r="CX2566" s="259"/>
      <c r="CY2566" s="259"/>
      <c r="CZ2566" s="259"/>
      <c r="DA2566" s="259"/>
      <c r="DB2566" s="259">
        <v>400</v>
      </c>
      <c r="DC2566" s="259">
        <v>450</v>
      </c>
      <c r="DD2566" s="259"/>
      <c r="DE2566" s="259"/>
      <c r="DF2566" s="259" t="s">
        <v>2603</v>
      </c>
      <c r="DG2566" s="259"/>
      <c r="DH2566" s="259"/>
      <c r="DI2566" s="259"/>
      <c r="DJ2566" s="259"/>
      <c r="DK2566" s="259"/>
      <c r="DL2566" s="259"/>
      <c r="DM2566" s="259"/>
      <c r="DN2566" s="259"/>
      <c r="DO2566" s="259"/>
      <c r="DP2566" s="259"/>
      <c r="DQ2566" s="260"/>
      <c r="DR2566" s="260"/>
      <c r="DS2566" s="259"/>
      <c r="DT2566" s="259"/>
      <c r="DU2566" s="259"/>
      <c r="DV2566" s="259"/>
      <c r="DW2566" s="259"/>
      <c r="DX2566" s="259"/>
      <c r="DY2566" s="259"/>
      <c r="DZ2566" s="259"/>
      <c r="EA2566" s="259"/>
      <c r="EB2566" s="259"/>
      <c r="EC2566" s="259"/>
      <c r="ED2566" s="259"/>
      <c r="EE2566" s="259"/>
      <c r="EF2566" s="259"/>
      <c r="EG2566" s="259"/>
      <c r="EH2566" s="259"/>
      <c r="EI2566" s="259"/>
      <c r="EJ2566" s="259"/>
      <c r="EK2566" s="258"/>
      <c r="EL2566" s="258"/>
      <c r="EM2566" s="259"/>
      <c r="EN2566" s="259"/>
      <c r="EO2566" s="259"/>
      <c r="EP2566" s="259"/>
      <c r="EQ2566" s="259"/>
      <c r="ER2566" s="259"/>
      <c r="ES2566" s="259"/>
      <c r="ET2566" s="259"/>
      <c r="EU2566" s="259"/>
      <c r="EV2566" s="259"/>
      <c r="EW2566" s="259"/>
      <c r="EX2566" s="259"/>
      <c r="EY2566" s="259"/>
      <c r="EZ2566" s="259"/>
      <c r="FA2566" s="259"/>
      <c r="FB2566" s="259"/>
      <c r="FC2566" s="259"/>
      <c r="FD2566" s="259"/>
      <c r="FE2566" s="259"/>
      <c r="FF2566" s="259"/>
      <c r="FG2566" s="259"/>
      <c r="FH2566" s="259"/>
      <c r="FI2566" s="259"/>
      <c r="FJ2566" s="259"/>
      <c r="FK2566" s="259"/>
      <c r="FL2566" s="259"/>
      <c r="FM2566" s="259"/>
      <c r="FN2566" s="259"/>
      <c r="FO2566" s="259"/>
      <c r="FP2566" s="259"/>
      <c r="FQ2566" s="259"/>
      <c r="FR2566" s="259"/>
      <c r="FS2566" s="259"/>
      <c r="FT2566" s="259"/>
      <c r="FU2566" s="259"/>
      <c r="FV2566" s="259"/>
      <c r="FW2566" s="259"/>
      <c r="FX2566" s="259"/>
      <c r="FY2566" s="259"/>
      <c r="FZ2566" s="259"/>
      <c r="GA2566" s="259"/>
      <c r="GB2566" s="259"/>
      <c r="GC2566" s="259"/>
      <c r="GD2566" s="259"/>
      <c r="GE2566" s="259"/>
      <c r="GF2566" s="259"/>
      <c r="GG2566" s="259"/>
      <c r="GH2566" s="259"/>
      <c r="GI2566" s="259"/>
      <c r="GJ2566" s="259"/>
      <c r="GK2566" s="259"/>
      <c r="GL2566" s="259"/>
      <c r="GM2566" s="259"/>
      <c r="GN2566" s="293"/>
      <c r="GO2566" s="293"/>
      <c r="GP2566" s="292" t="s">
        <v>7494</v>
      </c>
      <c r="GQ2566" s="259"/>
      <c r="GR2566" s="259"/>
      <c r="GS2566" s="259"/>
      <c r="GT2566" s="259"/>
      <c r="GU2566" s="259"/>
      <c r="GV2566" s="259"/>
      <c r="GW2566" s="259"/>
      <c r="GX2566" s="259"/>
      <c r="GY2566" s="259"/>
      <c r="GZ2566" s="259"/>
      <c r="HA2566" s="259"/>
      <c r="HB2566" s="259"/>
      <c r="HC2566" s="259"/>
      <c r="HD2566" s="259"/>
      <c r="HE2566" s="259"/>
      <c r="HF2566" s="259"/>
      <c r="HG2566" s="259"/>
      <c r="HH2566" s="259"/>
      <c r="HI2566" s="259"/>
      <c r="HJ2566" s="259"/>
      <c r="HK2566" s="259"/>
      <c r="HL2566" s="259"/>
      <c r="HM2566" s="259"/>
      <c r="HN2566" s="259"/>
      <c r="HO2566" s="259"/>
      <c r="HP2566" s="259"/>
      <c r="HQ2566" s="259"/>
      <c r="HR2566" s="259"/>
      <c r="HS2566" s="259"/>
      <c r="HT2566" s="259"/>
      <c r="HU2566" s="259"/>
      <c r="HV2566" s="259"/>
      <c r="HW2566" s="259"/>
      <c r="HX2566" s="259"/>
      <c r="HY2566" s="259"/>
      <c r="HZ2566" s="259"/>
      <c r="IA2566" s="259"/>
      <c r="IB2566" s="259"/>
      <c r="IC2566" s="259"/>
      <c r="ID2566" s="259"/>
      <c r="IE2566" s="259"/>
      <c r="IF2566" s="259"/>
      <c r="IG2566" s="259"/>
      <c r="IH2566" s="259"/>
      <c r="II2566" s="259"/>
      <c r="IJ2566" s="259"/>
      <c r="IK2566" s="259"/>
      <c r="IL2566" s="259"/>
      <c r="IM2566" s="259"/>
      <c r="IN2566" s="259"/>
      <c r="IO2566" s="259"/>
      <c r="IP2566" s="259"/>
      <c r="IQ2566" s="259"/>
      <c r="IR2566" s="259"/>
      <c r="IS2566" s="259"/>
      <c r="IT2566" s="259"/>
      <c r="IU2566" s="259"/>
      <c r="IV2566" s="259"/>
      <c r="IW2566" s="259"/>
      <c r="IX2566" s="259"/>
      <c r="IY2566" s="259"/>
      <c r="IZ2566" s="259"/>
      <c r="JA2566" s="259"/>
      <c r="JB2566" s="259"/>
      <c r="JC2566" s="259"/>
      <c r="JD2566" s="259"/>
      <c r="JE2566" s="259"/>
      <c r="JF2566" s="259"/>
      <c r="JG2566" s="259"/>
      <c r="JH2566" s="259"/>
      <c r="JI2566" s="259"/>
      <c r="JJ2566" s="259"/>
      <c r="JK2566" s="259"/>
      <c r="JL2566" s="259"/>
      <c r="JM2566" s="259"/>
      <c r="JN2566" s="259"/>
      <c r="JO2566" s="259"/>
      <c r="JP2566" s="259"/>
      <c r="JQ2566" s="259"/>
      <c r="JR2566" s="259"/>
      <c r="JS2566" s="259"/>
      <c r="JT2566" s="259"/>
      <c r="JU2566" s="255"/>
      <c r="JV2566" s="255"/>
      <c r="JW2566" s="255"/>
      <c r="JX2566" s="256"/>
      <c r="JY2566" s="256"/>
      <c r="JZ2566" s="256"/>
    </row>
    <row r="2567" spans="1:286" s="13" customFormat="1" x14ac:dyDescent="0.25">
      <c r="A2567" s="57">
        <v>2566</v>
      </c>
      <c r="B2567" s="13" t="s">
        <v>7067</v>
      </c>
      <c r="C2567" s="154">
        <v>121</v>
      </c>
      <c r="D2567" s="57" t="s">
        <v>4246</v>
      </c>
      <c r="E2567" s="91" t="s">
        <v>2659</v>
      </c>
      <c r="F2567" s="91"/>
      <c r="G2567" s="57" t="s">
        <v>2658</v>
      </c>
      <c r="H2567" s="57">
        <v>1999</v>
      </c>
      <c r="I2567" s="57">
        <v>1995</v>
      </c>
      <c r="J2567" s="57" t="s">
        <v>2660</v>
      </c>
      <c r="K2567" s="57" t="s">
        <v>2662</v>
      </c>
      <c r="L2567" s="57" t="s">
        <v>2744</v>
      </c>
      <c r="M2567" s="91">
        <f>10+1/60</f>
        <v>10.016666666666667</v>
      </c>
      <c r="N2567" s="91">
        <f>9+47/60</f>
        <v>9.7833333333333332</v>
      </c>
      <c r="O2567" s="91">
        <v>542</v>
      </c>
      <c r="P2567" s="57"/>
      <c r="Q2567" s="57"/>
      <c r="R2567" s="57"/>
      <c r="S2567" s="91">
        <v>1350</v>
      </c>
      <c r="T2567" s="57"/>
      <c r="U2567" s="57" t="s">
        <v>1935</v>
      </c>
      <c r="V2567" s="57" t="s">
        <v>1805</v>
      </c>
      <c r="W2567" s="172"/>
      <c r="X2567" s="172"/>
      <c r="Y2567" s="57" t="s">
        <v>1911</v>
      </c>
      <c r="Z2567" s="57" t="s">
        <v>1349</v>
      </c>
      <c r="AA2567" s="91" t="s">
        <v>1677</v>
      </c>
      <c r="AB2567" s="66"/>
      <c r="AC2567" s="66"/>
      <c r="AD2567" s="91"/>
      <c r="AE2567" s="91">
        <v>47.5</v>
      </c>
      <c r="AF2567" s="91">
        <f>100-AE2567-30</f>
        <v>22.5</v>
      </c>
      <c r="AG2567" s="91"/>
      <c r="AH2567" s="57" t="s">
        <v>494</v>
      </c>
      <c r="AI2567" s="167">
        <v>6.5</v>
      </c>
      <c r="AJ2567" s="91">
        <v>0.7</v>
      </c>
      <c r="AK2567" s="91"/>
      <c r="AL2567" s="57"/>
      <c r="AM2567" s="57"/>
      <c r="AN2567" s="184" t="s">
        <v>2666</v>
      </c>
      <c r="AO2567" s="185" t="s">
        <v>5150</v>
      </c>
      <c r="AP2567" s="57"/>
      <c r="AQ2567" s="57" t="s">
        <v>553</v>
      </c>
      <c r="AR2567" s="57" t="s">
        <v>1607</v>
      </c>
      <c r="AS2567" s="57" t="s">
        <v>132</v>
      </c>
      <c r="AT2567" s="180"/>
      <c r="AU2567" s="181" t="s">
        <v>7494</v>
      </c>
      <c r="AV2567" s="184" t="s">
        <v>176</v>
      </c>
      <c r="AW2567" s="57"/>
      <c r="AX2567" s="184" t="s">
        <v>176</v>
      </c>
      <c r="AY2567" s="57"/>
      <c r="AZ2567" s="57"/>
      <c r="BA2567" s="57"/>
      <c r="BB2567" s="57"/>
      <c r="BC2567" s="57"/>
      <c r="BD2567" s="57"/>
      <c r="BE2567" s="251"/>
      <c r="BF2567" s="57"/>
      <c r="BG2567" s="57"/>
      <c r="BH2567" s="251"/>
      <c r="BI2567" s="57"/>
      <c r="BJ2567" s="57"/>
      <c r="BK2567" s="57" t="s">
        <v>5976</v>
      </c>
      <c r="BL2567" s="57"/>
      <c r="BM2567" s="253" t="s">
        <v>2663</v>
      </c>
      <c r="BN2567" s="57">
        <v>4</v>
      </c>
      <c r="BO2567" s="57">
        <v>4</v>
      </c>
      <c r="BP2567" s="57"/>
      <c r="BQ2567" s="57" t="s">
        <v>141</v>
      </c>
      <c r="BR2567" s="57"/>
      <c r="BS2567" s="57"/>
      <c r="BT2567" s="57"/>
      <c r="BU2567" s="57"/>
      <c r="BV2567" s="57"/>
      <c r="BW2567" s="66">
        <v>3.9</v>
      </c>
      <c r="BX2567" s="66">
        <v>6</v>
      </c>
      <c r="BY2567" s="66"/>
      <c r="BZ2567" s="66"/>
      <c r="CA2567" s="66" t="s">
        <v>2670</v>
      </c>
      <c r="CB2567" s="66">
        <v>2070</v>
      </c>
      <c r="CC2567" s="66">
        <v>1980</v>
      </c>
      <c r="CD2567" s="66">
        <f>(CC2567-CB2567)/CB2567</f>
        <v>-4.3478260869565216E-2</v>
      </c>
      <c r="CE2567" s="66"/>
      <c r="CF2567" s="66"/>
      <c r="CG2567" s="66" t="s">
        <v>2669</v>
      </c>
      <c r="CH2567" s="91"/>
      <c r="CI2567" s="91"/>
      <c r="CJ2567" s="66"/>
      <c r="CK2567" s="66"/>
      <c r="CL2567" s="66"/>
      <c r="CM2567" s="66"/>
      <c r="CN2567" s="66"/>
      <c r="CO2567" s="66"/>
      <c r="CP2567" s="66"/>
      <c r="CQ2567" s="66"/>
      <c r="CR2567" s="66"/>
      <c r="CS2567" s="66"/>
      <c r="CT2567" s="66"/>
      <c r="CU2567" s="66"/>
      <c r="CV2567" s="66"/>
      <c r="CW2567" s="66"/>
      <c r="CX2567" s="66"/>
      <c r="CY2567" s="66"/>
      <c r="CZ2567" s="66"/>
      <c r="DA2567" s="66"/>
      <c r="DB2567" s="66">
        <v>400</v>
      </c>
      <c r="DC2567" s="66">
        <v>470</v>
      </c>
      <c r="DD2567" s="66"/>
      <c r="DE2567" s="66"/>
      <c r="DF2567" s="66" t="s">
        <v>2603</v>
      </c>
      <c r="DG2567" s="66"/>
      <c r="DH2567" s="66"/>
      <c r="DI2567" s="66"/>
      <c r="DJ2567" s="66"/>
      <c r="DK2567" s="66"/>
      <c r="DL2567" s="66"/>
      <c r="DM2567" s="66"/>
      <c r="DN2567" s="66"/>
      <c r="DO2567" s="66"/>
      <c r="DP2567" s="66"/>
      <c r="DQ2567" s="164"/>
      <c r="DR2567" s="164"/>
      <c r="DS2567" s="161"/>
      <c r="DT2567" s="161"/>
      <c r="DU2567" s="66"/>
      <c r="DV2567" s="66"/>
      <c r="DW2567" s="66"/>
      <c r="DX2567" s="66"/>
      <c r="DY2567" s="66"/>
      <c r="DZ2567" s="66"/>
      <c r="EA2567" s="66"/>
      <c r="EB2567" s="66"/>
      <c r="EC2567" s="66"/>
      <c r="ED2567" s="66"/>
      <c r="EE2567" s="66"/>
      <c r="EF2567" s="66"/>
      <c r="EG2567" s="66"/>
      <c r="EH2567" s="66"/>
      <c r="EI2567" s="66"/>
      <c r="EJ2567" s="66"/>
      <c r="EK2567" s="91"/>
      <c r="EL2567" s="91"/>
      <c r="EM2567" s="66"/>
      <c r="EN2567" s="66"/>
      <c r="EO2567" s="66"/>
      <c r="EP2567" s="66"/>
      <c r="EQ2567" s="66"/>
      <c r="ER2567" s="66"/>
      <c r="ES2567" s="66"/>
      <c r="ET2567" s="66"/>
      <c r="EU2567" s="66"/>
      <c r="EV2567" s="66"/>
      <c r="EW2567" s="66"/>
      <c r="EX2567" s="66"/>
      <c r="EY2567" s="66"/>
      <c r="EZ2567" s="66"/>
      <c r="FA2567" s="66"/>
      <c r="FB2567" s="66"/>
      <c r="FC2567" s="66"/>
      <c r="FD2567" s="66"/>
      <c r="FE2567" s="66"/>
      <c r="FF2567" s="66"/>
      <c r="FG2567" s="66"/>
      <c r="FH2567" s="66"/>
      <c r="FI2567" s="66"/>
      <c r="FJ2567" s="66"/>
      <c r="FK2567" s="66"/>
      <c r="FL2567" s="66"/>
      <c r="FM2567" s="66"/>
      <c r="FN2567" s="66"/>
      <c r="FO2567" s="66"/>
      <c r="FP2567" s="66"/>
      <c r="FQ2567" s="66"/>
      <c r="FR2567" s="66"/>
      <c r="FS2567" s="66"/>
      <c r="FT2567" s="66"/>
      <c r="FU2567" s="66"/>
      <c r="FV2567" s="66"/>
      <c r="FW2567" s="66"/>
      <c r="FX2567" s="66"/>
      <c r="FY2567" s="66"/>
      <c r="FZ2567" s="66"/>
      <c r="GA2567" s="66"/>
      <c r="GB2567" s="66"/>
      <c r="GC2567" s="66"/>
      <c r="GD2567" s="66"/>
      <c r="GE2567" s="66"/>
      <c r="GF2567" s="66"/>
      <c r="GG2567" s="66"/>
      <c r="GH2567" s="66"/>
      <c r="GI2567" s="66"/>
      <c r="GJ2567" s="66"/>
      <c r="GK2567" s="66"/>
      <c r="GL2567" s="66"/>
      <c r="GM2567" s="66"/>
      <c r="GN2567" s="293"/>
      <c r="GO2567" s="293"/>
      <c r="GP2567" s="292" t="s">
        <v>7494</v>
      </c>
      <c r="GQ2567" s="66"/>
      <c r="GR2567" s="66"/>
      <c r="GS2567" s="66"/>
      <c r="GT2567" s="66"/>
      <c r="GU2567" s="66"/>
      <c r="GV2567" s="66"/>
      <c r="GW2567" s="66"/>
      <c r="GX2567" s="66"/>
      <c r="GY2567" s="66"/>
      <c r="GZ2567" s="66"/>
      <c r="HA2567" s="66"/>
      <c r="HB2567" s="66"/>
      <c r="HC2567" s="66"/>
      <c r="HD2567" s="66"/>
      <c r="HE2567" s="66"/>
      <c r="HF2567" s="66"/>
      <c r="HG2567" s="66"/>
      <c r="HH2567" s="66"/>
      <c r="HI2567" s="66"/>
      <c r="HJ2567" s="66"/>
      <c r="HK2567" s="66"/>
      <c r="HL2567" s="66"/>
      <c r="HM2567" s="66"/>
      <c r="HN2567" s="66"/>
      <c r="HO2567" s="66"/>
      <c r="HP2567" s="66"/>
      <c r="HQ2567" s="66"/>
      <c r="HR2567" s="66"/>
      <c r="HS2567" s="66"/>
      <c r="HT2567" s="66"/>
      <c r="HU2567" s="66"/>
      <c r="HV2567" s="66"/>
      <c r="HW2567" s="66"/>
      <c r="HX2567" s="66"/>
      <c r="HY2567" s="66"/>
      <c r="HZ2567" s="66"/>
      <c r="IA2567" s="66"/>
      <c r="IB2567" s="66"/>
      <c r="IC2567" s="66"/>
      <c r="ID2567" s="66"/>
      <c r="IE2567" s="66"/>
      <c r="IF2567" s="66"/>
      <c r="IG2567" s="66"/>
      <c r="IH2567" s="66"/>
      <c r="II2567" s="66"/>
      <c r="IJ2567" s="66"/>
      <c r="IK2567" s="66"/>
      <c r="IL2567" s="66"/>
      <c r="IM2567" s="66"/>
      <c r="IN2567" s="66"/>
      <c r="IO2567" s="66"/>
      <c r="IP2567" s="66"/>
      <c r="IQ2567" s="66"/>
      <c r="IR2567" s="66"/>
      <c r="IS2567" s="66"/>
      <c r="IT2567" s="66"/>
      <c r="IU2567" s="66"/>
      <c r="IV2567" s="66"/>
      <c r="IW2567" s="66"/>
      <c r="IX2567" s="66"/>
      <c r="IY2567" s="66"/>
      <c r="IZ2567" s="66"/>
      <c r="JA2567" s="66"/>
      <c r="JB2567" s="66"/>
      <c r="JC2567" s="66"/>
      <c r="JD2567" s="66"/>
      <c r="JE2567" s="66"/>
      <c r="JF2567" s="66"/>
      <c r="JG2567" s="66"/>
      <c r="JH2567" s="66"/>
      <c r="JI2567" s="66"/>
      <c r="JJ2567" s="66"/>
      <c r="JK2567" s="66"/>
      <c r="JL2567" s="66"/>
      <c r="JM2567" s="66"/>
      <c r="JN2567" s="66"/>
      <c r="JO2567" s="66"/>
      <c r="JP2567" s="66"/>
      <c r="JQ2567" s="66"/>
      <c r="JR2567" s="66"/>
      <c r="JS2567" s="66"/>
      <c r="JT2567" s="66"/>
      <c r="JU2567" s="57"/>
      <c r="JV2567" s="57"/>
      <c r="JW2567" s="57"/>
    </row>
    <row r="2568" spans="1:286" s="13" customFormat="1" x14ac:dyDescent="0.25">
      <c r="A2568" s="57">
        <v>2567</v>
      </c>
      <c r="B2568" s="13" t="s">
        <v>7067</v>
      </c>
      <c r="C2568" s="154">
        <v>121</v>
      </c>
      <c r="D2568" s="57" t="s">
        <v>4246</v>
      </c>
      <c r="E2568" s="91" t="s">
        <v>2659</v>
      </c>
      <c r="F2568" s="91"/>
      <c r="G2568" s="57" t="s">
        <v>2658</v>
      </c>
      <c r="H2568" s="57">
        <v>1999</v>
      </c>
      <c r="I2568" s="57">
        <v>1995</v>
      </c>
      <c r="J2568" s="57" t="s">
        <v>2660</v>
      </c>
      <c r="K2568" s="57" t="s">
        <v>2662</v>
      </c>
      <c r="L2568" s="57" t="s">
        <v>2744</v>
      </c>
      <c r="M2568" s="91">
        <f>10+1/60</f>
        <v>10.016666666666667</v>
      </c>
      <c r="N2568" s="91">
        <f>9+47/60</f>
        <v>9.7833333333333332</v>
      </c>
      <c r="O2568" s="91">
        <v>542</v>
      </c>
      <c r="P2568" s="57"/>
      <c r="Q2568" s="57"/>
      <c r="R2568" s="57"/>
      <c r="S2568" s="91">
        <v>1350</v>
      </c>
      <c r="T2568" s="57"/>
      <c r="U2568" s="57" t="s">
        <v>1935</v>
      </c>
      <c r="V2568" s="57" t="s">
        <v>1805</v>
      </c>
      <c r="W2568" s="172"/>
      <c r="X2568" s="172"/>
      <c r="Y2568" s="57" t="s">
        <v>1911</v>
      </c>
      <c r="Z2568" s="57" t="s">
        <v>1349</v>
      </c>
      <c r="AA2568" s="91" t="s">
        <v>1677</v>
      </c>
      <c r="AB2568" s="66"/>
      <c r="AC2568" s="66"/>
      <c r="AD2568" s="91"/>
      <c r="AE2568" s="91">
        <v>47.5</v>
      </c>
      <c r="AF2568" s="91">
        <f>100-AE2568-30</f>
        <v>22.5</v>
      </c>
      <c r="AG2568" s="91"/>
      <c r="AH2568" s="57" t="s">
        <v>494</v>
      </c>
      <c r="AI2568" s="167">
        <v>6.5</v>
      </c>
      <c r="AJ2568" s="91">
        <v>0.7</v>
      </c>
      <c r="AK2568" s="91"/>
      <c r="AL2568" s="57"/>
      <c r="AM2568" s="57"/>
      <c r="AN2568" s="184" t="s">
        <v>2282</v>
      </c>
      <c r="AO2568" s="185" t="s">
        <v>5150</v>
      </c>
      <c r="AP2568" s="57"/>
      <c r="AQ2568" s="57" t="s">
        <v>553</v>
      </c>
      <c r="AR2568" s="57" t="s">
        <v>1607</v>
      </c>
      <c r="AS2568" s="57" t="s">
        <v>132</v>
      </c>
      <c r="AT2568" s="180"/>
      <c r="AU2568" s="181" t="s">
        <v>7494</v>
      </c>
      <c r="AV2568" s="184" t="s">
        <v>176</v>
      </c>
      <c r="AW2568" s="57"/>
      <c r="AX2568" s="184" t="s">
        <v>176</v>
      </c>
      <c r="AY2568" s="57"/>
      <c r="AZ2568" s="57"/>
      <c r="BA2568" s="57"/>
      <c r="BB2568" s="57"/>
      <c r="BC2568" s="57"/>
      <c r="BD2568" s="57"/>
      <c r="BE2568" s="251"/>
      <c r="BF2568" s="57"/>
      <c r="BG2568" s="57"/>
      <c r="BH2568" s="251"/>
      <c r="BI2568" s="57"/>
      <c r="BJ2568" s="57"/>
      <c r="BK2568" s="57" t="s">
        <v>5976</v>
      </c>
      <c r="BL2568" s="57"/>
      <c r="BM2568" s="253" t="s">
        <v>2663</v>
      </c>
      <c r="BN2568" s="57">
        <v>4</v>
      </c>
      <c r="BO2568" s="57">
        <v>4</v>
      </c>
      <c r="BP2568" s="57"/>
      <c r="BQ2568" s="57" t="s">
        <v>141</v>
      </c>
      <c r="BR2568" s="57"/>
      <c r="BS2568" s="57"/>
      <c r="BT2568" s="57"/>
      <c r="BU2568" s="57"/>
      <c r="BV2568" s="57"/>
      <c r="BW2568" s="66">
        <v>3.9</v>
      </c>
      <c r="BX2568" s="66">
        <v>6.3</v>
      </c>
      <c r="BY2568" s="66"/>
      <c r="BZ2568" s="66"/>
      <c r="CA2568" s="66" t="s">
        <v>2670</v>
      </c>
      <c r="CB2568" s="66">
        <v>2070</v>
      </c>
      <c r="CC2568" s="66">
        <v>1440</v>
      </c>
      <c r="CD2568" s="66">
        <f>(CC2568-CB2568)/CB2568</f>
        <v>-0.30434782608695654</v>
      </c>
      <c r="CE2568" s="66"/>
      <c r="CF2568" s="66"/>
      <c r="CG2568" s="66" t="s">
        <v>2669</v>
      </c>
      <c r="CH2568" s="91"/>
      <c r="CI2568" s="91"/>
      <c r="CJ2568" s="66"/>
      <c r="CK2568" s="66"/>
      <c r="CL2568" s="66"/>
      <c r="CM2568" s="66"/>
      <c r="CN2568" s="66"/>
      <c r="CO2568" s="66"/>
      <c r="CP2568" s="66"/>
      <c r="CQ2568" s="66"/>
      <c r="CR2568" s="66"/>
      <c r="CS2568" s="66"/>
      <c r="CT2568" s="66"/>
      <c r="CU2568" s="66"/>
      <c r="CV2568" s="66"/>
      <c r="CW2568" s="66"/>
      <c r="CX2568" s="66"/>
      <c r="CY2568" s="66"/>
      <c r="CZ2568" s="66"/>
      <c r="DA2568" s="66"/>
      <c r="DB2568" s="66">
        <v>400</v>
      </c>
      <c r="DC2568" s="66">
        <v>360</v>
      </c>
      <c r="DD2568" s="66"/>
      <c r="DE2568" s="66"/>
      <c r="DF2568" s="66" t="s">
        <v>2603</v>
      </c>
      <c r="DG2568" s="66"/>
      <c r="DH2568" s="66"/>
      <c r="DI2568" s="66"/>
      <c r="DJ2568" s="66"/>
      <c r="DK2568" s="66"/>
      <c r="DL2568" s="66"/>
      <c r="DM2568" s="66"/>
      <c r="DN2568" s="66"/>
      <c r="DO2568" s="66"/>
      <c r="DP2568" s="66"/>
      <c r="DQ2568" s="164"/>
      <c r="DR2568" s="164"/>
      <c r="DS2568" s="161"/>
      <c r="DT2568" s="161"/>
      <c r="DU2568" s="66"/>
      <c r="DV2568" s="66"/>
      <c r="DW2568" s="66"/>
      <c r="DX2568" s="66"/>
      <c r="DY2568" s="66"/>
      <c r="DZ2568" s="66"/>
      <c r="EA2568" s="66"/>
      <c r="EB2568" s="66"/>
      <c r="EC2568" s="66"/>
      <c r="ED2568" s="66"/>
      <c r="EE2568" s="66"/>
      <c r="EF2568" s="66"/>
      <c r="EG2568" s="66"/>
      <c r="EH2568" s="66"/>
      <c r="EI2568" s="66"/>
      <c r="EJ2568" s="66"/>
      <c r="EK2568" s="91"/>
      <c r="EL2568" s="91"/>
      <c r="EM2568" s="66"/>
      <c r="EN2568" s="66"/>
      <c r="EO2568" s="66"/>
      <c r="EP2568" s="66"/>
      <c r="EQ2568" s="66"/>
      <c r="ER2568" s="66"/>
      <c r="ES2568" s="66"/>
      <c r="ET2568" s="66"/>
      <c r="EU2568" s="66"/>
      <c r="EV2568" s="66"/>
      <c r="EW2568" s="66"/>
      <c r="EX2568" s="66"/>
      <c r="EY2568" s="66"/>
      <c r="EZ2568" s="66"/>
      <c r="FA2568" s="66"/>
      <c r="FB2568" s="66"/>
      <c r="FC2568" s="66"/>
      <c r="FD2568" s="66"/>
      <c r="FE2568" s="66"/>
      <c r="FF2568" s="66"/>
      <c r="FG2568" s="66"/>
      <c r="FH2568" s="66"/>
      <c r="FI2568" s="66"/>
      <c r="FJ2568" s="66"/>
      <c r="FK2568" s="66"/>
      <c r="FL2568" s="66"/>
      <c r="FM2568" s="66"/>
      <c r="FN2568" s="66"/>
      <c r="FO2568" s="66"/>
      <c r="FP2568" s="66"/>
      <c r="FQ2568" s="66"/>
      <c r="FR2568" s="66"/>
      <c r="FS2568" s="66"/>
      <c r="FT2568" s="66"/>
      <c r="FU2568" s="66"/>
      <c r="FV2568" s="66"/>
      <c r="FW2568" s="66"/>
      <c r="FX2568" s="66"/>
      <c r="FY2568" s="66"/>
      <c r="FZ2568" s="66"/>
      <c r="GA2568" s="66"/>
      <c r="GB2568" s="66"/>
      <c r="GC2568" s="66"/>
      <c r="GD2568" s="66"/>
      <c r="GE2568" s="66"/>
      <c r="GF2568" s="66"/>
      <c r="GG2568" s="66"/>
      <c r="GH2568" s="66"/>
      <c r="GI2568" s="66"/>
      <c r="GJ2568" s="66"/>
      <c r="GK2568" s="66"/>
      <c r="GL2568" s="66"/>
      <c r="GM2568" s="66"/>
      <c r="GN2568" s="293"/>
      <c r="GO2568" s="293"/>
      <c r="GP2568" s="292" t="s">
        <v>7494</v>
      </c>
      <c r="GQ2568" s="66"/>
      <c r="GR2568" s="66"/>
      <c r="GS2568" s="66"/>
      <c r="GT2568" s="66"/>
      <c r="GU2568" s="66"/>
      <c r="GV2568" s="66"/>
      <c r="GW2568" s="66"/>
      <c r="GX2568" s="66"/>
      <c r="GY2568" s="66"/>
      <c r="GZ2568" s="66"/>
      <c r="HA2568" s="66"/>
      <c r="HB2568" s="66"/>
      <c r="HC2568" s="66"/>
      <c r="HD2568" s="66"/>
      <c r="HE2568" s="66"/>
      <c r="HF2568" s="66"/>
      <c r="HG2568" s="66"/>
      <c r="HH2568" s="66"/>
      <c r="HI2568" s="66"/>
      <c r="HJ2568" s="66"/>
      <c r="HK2568" s="66"/>
      <c r="HL2568" s="66"/>
      <c r="HM2568" s="66"/>
      <c r="HN2568" s="66"/>
      <c r="HO2568" s="66"/>
      <c r="HP2568" s="66"/>
      <c r="HQ2568" s="66"/>
      <c r="HR2568" s="66"/>
      <c r="HS2568" s="66"/>
      <c r="HT2568" s="66"/>
      <c r="HU2568" s="66"/>
      <c r="HV2568" s="66"/>
      <c r="HW2568" s="66"/>
      <c r="HX2568" s="66"/>
      <c r="HY2568" s="66"/>
      <c r="HZ2568" s="66"/>
      <c r="IA2568" s="66"/>
      <c r="IB2568" s="66"/>
      <c r="IC2568" s="66"/>
      <c r="ID2568" s="66"/>
      <c r="IE2568" s="66"/>
      <c r="IF2568" s="66"/>
      <c r="IG2568" s="66"/>
      <c r="IH2568" s="66"/>
      <c r="II2568" s="66"/>
      <c r="IJ2568" s="66"/>
      <c r="IK2568" s="66"/>
      <c r="IL2568" s="66"/>
      <c r="IM2568" s="66"/>
      <c r="IN2568" s="66"/>
      <c r="IO2568" s="66"/>
      <c r="IP2568" s="66"/>
      <c r="IQ2568" s="66"/>
      <c r="IR2568" s="66"/>
      <c r="IS2568" s="66"/>
      <c r="IT2568" s="66"/>
      <c r="IU2568" s="66"/>
      <c r="IV2568" s="66"/>
      <c r="IW2568" s="66"/>
      <c r="IX2568" s="66"/>
      <c r="IY2568" s="66"/>
      <c r="IZ2568" s="66"/>
      <c r="JA2568" s="66"/>
      <c r="JB2568" s="66"/>
      <c r="JC2568" s="66"/>
      <c r="JD2568" s="66"/>
      <c r="JE2568" s="66"/>
      <c r="JF2568" s="66"/>
      <c r="JG2568" s="66"/>
      <c r="JH2568" s="66"/>
      <c r="JI2568" s="66"/>
      <c r="JJ2568" s="66"/>
      <c r="JK2568" s="66"/>
      <c r="JL2568" s="66"/>
      <c r="JM2568" s="66"/>
      <c r="JN2568" s="66"/>
      <c r="JO2568" s="66"/>
      <c r="JP2568" s="66"/>
      <c r="JQ2568" s="66"/>
      <c r="JR2568" s="66"/>
      <c r="JS2568" s="66"/>
      <c r="JT2568" s="66"/>
      <c r="JU2568" s="57"/>
      <c r="JV2568" s="57"/>
      <c r="JW2568" s="57"/>
    </row>
    <row r="2569" spans="1:286" s="13" customFormat="1" x14ac:dyDescent="0.25">
      <c r="A2569" s="57">
        <v>2568</v>
      </c>
      <c r="B2569" s="13" t="s">
        <v>7067</v>
      </c>
      <c r="C2569" s="154">
        <v>121</v>
      </c>
      <c r="D2569" s="57" t="s">
        <v>4246</v>
      </c>
      <c r="E2569" s="91" t="s">
        <v>2659</v>
      </c>
      <c r="F2569" s="91"/>
      <c r="G2569" s="57" t="s">
        <v>2658</v>
      </c>
      <c r="H2569" s="57">
        <v>1999</v>
      </c>
      <c r="I2569" s="57">
        <v>1995</v>
      </c>
      <c r="J2569" s="57" t="s">
        <v>2660</v>
      </c>
      <c r="K2569" s="57" t="s">
        <v>2662</v>
      </c>
      <c r="L2569" s="57" t="s">
        <v>2744</v>
      </c>
      <c r="M2569" s="91">
        <f>10+1/60</f>
        <v>10.016666666666667</v>
      </c>
      <c r="N2569" s="91">
        <f>9+47/60</f>
        <v>9.7833333333333332</v>
      </c>
      <c r="O2569" s="91">
        <v>542</v>
      </c>
      <c r="P2569" s="57"/>
      <c r="Q2569" s="57"/>
      <c r="R2569" s="57"/>
      <c r="S2569" s="91">
        <v>1350</v>
      </c>
      <c r="T2569" s="57"/>
      <c r="U2569" s="57" t="s">
        <v>1935</v>
      </c>
      <c r="V2569" s="57" t="s">
        <v>1805</v>
      </c>
      <c r="W2569" s="172"/>
      <c r="X2569" s="172"/>
      <c r="Y2569" s="57" t="s">
        <v>1911</v>
      </c>
      <c r="Z2569" s="57" t="s">
        <v>1349</v>
      </c>
      <c r="AA2569" s="91" t="s">
        <v>1677</v>
      </c>
      <c r="AB2569" s="66"/>
      <c r="AC2569" s="66"/>
      <c r="AD2569" s="91"/>
      <c r="AE2569" s="91">
        <v>47.5</v>
      </c>
      <c r="AF2569" s="91">
        <f>100-AE2569-30</f>
        <v>22.5</v>
      </c>
      <c r="AG2569" s="91"/>
      <c r="AH2569" s="57" t="s">
        <v>494</v>
      </c>
      <c r="AI2569" s="167">
        <v>6.5</v>
      </c>
      <c r="AJ2569" s="91">
        <v>0.7</v>
      </c>
      <c r="AK2569" s="91"/>
      <c r="AL2569" s="57"/>
      <c r="AM2569" s="57"/>
      <c r="AN2569" s="184" t="s">
        <v>2664</v>
      </c>
      <c r="AO2569" s="185" t="s">
        <v>5150</v>
      </c>
      <c r="AP2569" s="57"/>
      <c r="AQ2569" s="57" t="s">
        <v>553</v>
      </c>
      <c r="AR2569" s="57" t="s">
        <v>1607</v>
      </c>
      <c r="AS2569" s="57" t="s">
        <v>132</v>
      </c>
      <c r="AT2569" s="180"/>
      <c r="AU2569" s="181" t="s">
        <v>7494</v>
      </c>
      <c r="AV2569" s="184" t="s">
        <v>176</v>
      </c>
      <c r="AW2569" s="57"/>
      <c r="AX2569" s="184" t="s">
        <v>176</v>
      </c>
      <c r="AY2569" s="57"/>
      <c r="AZ2569" s="57"/>
      <c r="BA2569" s="57"/>
      <c r="BB2569" s="57"/>
      <c r="BC2569" s="57"/>
      <c r="BD2569" s="57"/>
      <c r="BE2569" s="251"/>
      <c r="BF2569" s="57"/>
      <c r="BG2569" s="57"/>
      <c r="BH2569" s="251"/>
      <c r="BI2569" s="57"/>
      <c r="BJ2569" s="57"/>
      <c r="BK2569" s="57" t="s">
        <v>5976</v>
      </c>
      <c r="BL2569" s="57"/>
      <c r="BM2569" s="253" t="s">
        <v>2663</v>
      </c>
      <c r="BN2569" s="57">
        <v>4</v>
      </c>
      <c r="BO2569" s="57">
        <v>4</v>
      </c>
      <c r="BP2569" s="57"/>
      <c r="BQ2569" s="57" t="s">
        <v>141</v>
      </c>
      <c r="BR2569" s="57"/>
      <c r="BS2569" s="57"/>
      <c r="BT2569" s="57"/>
      <c r="BU2569" s="57"/>
      <c r="BV2569" s="57"/>
      <c r="BW2569" s="66">
        <v>3.1</v>
      </c>
      <c r="BX2569" s="66">
        <v>2.6</v>
      </c>
      <c r="BY2569" s="66"/>
      <c r="BZ2569" s="66"/>
      <c r="CA2569" s="66" t="s">
        <v>2670</v>
      </c>
      <c r="CB2569" s="66">
        <v>2490</v>
      </c>
      <c r="CC2569" s="66">
        <v>3370</v>
      </c>
      <c r="CD2569" s="66">
        <f>(CC2569-CB2569)/CB2569</f>
        <v>0.3534136546184739</v>
      </c>
      <c r="CE2569" s="66"/>
      <c r="CF2569" s="66"/>
      <c r="CG2569" s="66" t="s">
        <v>2668</v>
      </c>
      <c r="CH2569" s="91"/>
      <c r="CI2569" s="91"/>
      <c r="CJ2569" s="66"/>
      <c r="CK2569" s="66"/>
      <c r="CL2569" s="66"/>
      <c r="CM2569" s="66"/>
      <c r="CN2569" s="66"/>
      <c r="CO2569" s="66"/>
      <c r="CP2569" s="66"/>
      <c r="CQ2569" s="66"/>
      <c r="CR2569" s="66"/>
      <c r="CS2569" s="66"/>
      <c r="CT2569" s="66"/>
      <c r="CU2569" s="66"/>
      <c r="CV2569" s="66"/>
      <c r="CW2569" s="66"/>
      <c r="CX2569" s="66"/>
      <c r="CY2569" s="66"/>
      <c r="CZ2569" s="66"/>
      <c r="DA2569" s="66"/>
      <c r="DB2569" s="66"/>
      <c r="DC2569" s="66"/>
      <c r="DD2569" s="66"/>
      <c r="DE2569" s="66"/>
      <c r="DF2569" s="66"/>
      <c r="DG2569" s="66"/>
      <c r="DH2569" s="66"/>
      <c r="DI2569" s="66"/>
      <c r="DJ2569" s="66"/>
      <c r="DK2569" s="66"/>
      <c r="DL2569" s="66"/>
      <c r="DM2569" s="66"/>
      <c r="DN2569" s="66"/>
      <c r="DO2569" s="66"/>
      <c r="DP2569" s="66"/>
      <c r="DQ2569" s="164"/>
      <c r="DR2569" s="164"/>
      <c r="DS2569" s="161"/>
      <c r="DT2569" s="161"/>
      <c r="DU2569" s="66"/>
      <c r="DV2569" s="66"/>
      <c r="DW2569" s="66"/>
      <c r="DX2569" s="66"/>
      <c r="DY2569" s="66"/>
      <c r="DZ2569" s="66"/>
      <c r="EA2569" s="66"/>
      <c r="EB2569" s="66"/>
      <c r="EC2569" s="66"/>
      <c r="ED2569" s="66"/>
      <c r="EE2569" s="66"/>
      <c r="EF2569" s="66"/>
      <c r="EG2569" s="66"/>
      <c r="EH2569" s="66"/>
      <c r="EI2569" s="66"/>
      <c r="EJ2569" s="66"/>
      <c r="EK2569" s="91"/>
      <c r="EL2569" s="91"/>
      <c r="EM2569" s="66"/>
      <c r="EN2569" s="66"/>
      <c r="EO2569" s="66"/>
      <c r="EP2569" s="66"/>
      <c r="EQ2569" s="66"/>
      <c r="ER2569" s="66"/>
      <c r="ES2569" s="66"/>
      <c r="ET2569" s="66"/>
      <c r="EU2569" s="66"/>
      <c r="EV2569" s="66"/>
      <c r="EW2569" s="66"/>
      <c r="EX2569" s="66"/>
      <c r="EY2569" s="66"/>
      <c r="EZ2569" s="66"/>
      <c r="FA2569" s="66"/>
      <c r="FB2569" s="66"/>
      <c r="FC2569" s="66"/>
      <c r="FD2569" s="66"/>
      <c r="FE2569" s="66"/>
      <c r="FF2569" s="66"/>
      <c r="FG2569" s="66"/>
      <c r="FH2569" s="66"/>
      <c r="FI2569" s="66"/>
      <c r="FJ2569" s="66"/>
      <c r="FK2569" s="66"/>
      <c r="FL2569" s="66"/>
      <c r="FM2569" s="66"/>
      <c r="FN2569" s="66"/>
      <c r="FO2569" s="66"/>
      <c r="FP2569" s="66"/>
      <c r="FQ2569" s="66"/>
      <c r="FR2569" s="66"/>
      <c r="FS2569" s="66"/>
      <c r="FT2569" s="66"/>
      <c r="FU2569" s="66"/>
      <c r="FV2569" s="66"/>
      <c r="FW2569" s="66"/>
      <c r="FX2569" s="66"/>
      <c r="FY2569" s="66"/>
      <c r="FZ2569" s="66"/>
      <c r="GA2569" s="66"/>
      <c r="GB2569" s="66"/>
      <c r="GC2569" s="66"/>
      <c r="GD2569" s="66"/>
      <c r="GE2569" s="66"/>
      <c r="GF2569" s="66"/>
      <c r="GG2569" s="66"/>
      <c r="GH2569" s="66"/>
      <c r="GI2569" s="66"/>
      <c r="GJ2569" s="66"/>
      <c r="GK2569" s="66"/>
      <c r="GL2569" s="66"/>
      <c r="GM2569" s="66"/>
      <c r="GN2569" s="293"/>
      <c r="GO2569" s="293"/>
      <c r="GP2569" s="292" t="s">
        <v>7494</v>
      </c>
      <c r="GQ2569" s="66"/>
      <c r="GR2569" s="66"/>
      <c r="GS2569" s="66"/>
      <c r="GT2569" s="66"/>
      <c r="GU2569" s="66"/>
      <c r="GV2569" s="66"/>
      <c r="GW2569" s="66"/>
      <c r="GX2569" s="66"/>
      <c r="GY2569" s="66"/>
      <c r="GZ2569" s="66"/>
      <c r="HA2569" s="66"/>
      <c r="HB2569" s="66"/>
      <c r="HC2569" s="66"/>
      <c r="HD2569" s="66"/>
      <c r="HE2569" s="66"/>
      <c r="HF2569" s="66"/>
      <c r="HG2569" s="66"/>
      <c r="HH2569" s="66"/>
      <c r="HI2569" s="66"/>
      <c r="HJ2569" s="66"/>
      <c r="HK2569" s="66"/>
      <c r="HL2569" s="66"/>
      <c r="HM2569" s="66"/>
      <c r="HN2569" s="66"/>
      <c r="HO2569" s="66"/>
      <c r="HP2569" s="66"/>
      <c r="HQ2569" s="66"/>
      <c r="HR2569" s="66"/>
      <c r="HS2569" s="66"/>
      <c r="HT2569" s="66"/>
      <c r="HU2569" s="66"/>
      <c r="HV2569" s="66"/>
      <c r="HW2569" s="66"/>
      <c r="HX2569" s="66"/>
      <c r="HY2569" s="66"/>
      <c r="HZ2569" s="66"/>
      <c r="IA2569" s="66"/>
      <c r="IB2569" s="66"/>
      <c r="IC2569" s="66"/>
      <c r="ID2569" s="66"/>
      <c r="IE2569" s="66"/>
      <c r="IF2569" s="66"/>
      <c r="IG2569" s="66"/>
      <c r="IH2569" s="66"/>
      <c r="II2569" s="66"/>
      <c r="IJ2569" s="66"/>
      <c r="IK2569" s="66"/>
      <c r="IL2569" s="66"/>
      <c r="IM2569" s="66"/>
      <c r="IN2569" s="66"/>
      <c r="IO2569" s="66"/>
      <c r="IP2569" s="66"/>
      <c r="IQ2569" s="66"/>
      <c r="IR2569" s="66"/>
      <c r="IS2569" s="66"/>
      <c r="IT2569" s="66"/>
      <c r="IU2569" s="66"/>
      <c r="IV2569" s="66"/>
      <c r="IW2569" s="66"/>
      <c r="IX2569" s="66"/>
      <c r="IY2569" s="66"/>
      <c r="IZ2569" s="66"/>
      <c r="JA2569" s="66"/>
      <c r="JB2569" s="66"/>
      <c r="JC2569" s="66"/>
      <c r="JD2569" s="66"/>
      <c r="JE2569" s="66"/>
      <c r="JF2569" s="66"/>
      <c r="JG2569" s="66"/>
      <c r="JH2569" s="66"/>
      <c r="JI2569" s="66"/>
      <c r="JJ2569" s="66"/>
      <c r="JK2569" s="66"/>
      <c r="JL2569" s="66"/>
      <c r="JM2569" s="66"/>
      <c r="JN2569" s="66"/>
      <c r="JO2569" s="66"/>
      <c r="JP2569" s="66"/>
      <c r="JQ2569" s="66"/>
      <c r="JR2569" s="66"/>
      <c r="JS2569" s="66"/>
      <c r="JT2569" s="66"/>
      <c r="JU2569" s="57"/>
      <c r="JV2569" s="57"/>
      <c r="JW2569" s="57"/>
    </row>
    <row r="2570" spans="1:286" s="13" customFormat="1" x14ac:dyDescent="0.25">
      <c r="A2570" s="57">
        <v>2569</v>
      </c>
      <c r="B2570" s="13" t="s">
        <v>7067</v>
      </c>
      <c r="C2570" s="154">
        <v>121</v>
      </c>
      <c r="D2570" s="57" t="s">
        <v>4246</v>
      </c>
      <c r="E2570" s="91" t="s">
        <v>2659</v>
      </c>
      <c r="F2570" s="91"/>
      <c r="G2570" s="57" t="s">
        <v>2658</v>
      </c>
      <c r="H2570" s="57">
        <v>1999</v>
      </c>
      <c r="I2570" s="57">
        <v>1995</v>
      </c>
      <c r="J2570" s="57" t="s">
        <v>2660</v>
      </c>
      <c r="K2570" s="57" t="s">
        <v>2662</v>
      </c>
      <c r="L2570" s="57" t="s">
        <v>2744</v>
      </c>
      <c r="M2570" s="91">
        <f>10+1/60</f>
        <v>10.016666666666667</v>
      </c>
      <c r="N2570" s="91">
        <f>9+47/60</f>
        <v>9.7833333333333332</v>
      </c>
      <c r="O2570" s="91">
        <v>542</v>
      </c>
      <c r="P2570" s="57"/>
      <c r="Q2570" s="57"/>
      <c r="R2570" s="57"/>
      <c r="S2570" s="91">
        <v>1350</v>
      </c>
      <c r="T2570" s="57"/>
      <c r="U2570" s="57" t="s">
        <v>1935</v>
      </c>
      <c r="V2570" s="57" t="s">
        <v>1805</v>
      </c>
      <c r="W2570" s="172"/>
      <c r="X2570" s="172"/>
      <c r="Y2570" s="57" t="s">
        <v>1911</v>
      </c>
      <c r="Z2570" s="57" t="s">
        <v>1349</v>
      </c>
      <c r="AA2570" s="91" t="s">
        <v>1677</v>
      </c>
      <c r="AB2570" s="66"/>
      <c r="AC2570" s="66"/>
      <c r="AD2570" s="91"/>
      <c r="AE2570" s="91">
        <v>47.5</v>
      </c>
      <c r="AF2570" s="91">
        <f>100-AE2570-30</f>
        <v>22.5</v>
      </c>
      <c r="AG2570" s="91"/>
      <c r="AH2570" s="57" t="s">
        <v>494</v>
      </c>
      <c r="AI2570" s="167">
        <v>6.5</v>
      </c>
      <c r="AJ2570" s="91">
        <v>0.7</v>
      </c>
      <c r="AK2570" s="91"/>
      <c r="AL2570" s="57"/>
      <c r="AM2570" s="57"/>
      <c r="AN2570" s="184" t="s">
        <v>2665</v>
      </c>
      <c r="AO2570" s="185" t="s">
        <v>5150</v>
      </c>
      <c r="AP2570" s="57"/>
      <c r="AQ2570" s="57" t="s">
        <v>553</v>
      </c>
      <c r="AR2570" s="57" t="s">
        <v>1607</v>
      </c>
      <c r="AS2570" s="57" t="s">
        <v>132</v>
      </c>
      <c r="AT2570" s="180"/>
      <c r="AU2570" s="181" t="s">
        <v>7494</v>
      </c>
      <c r="AV2570" s="184" t="s">
        <v>176</v>
      </c>
      <c r="AW2570" s="57"/>
      <c r="AX2570" s="184" t="s">
        <v>176</v>
      </c>
      <c r="AY2570" s="57"/>
      <c r="AZ2570" s="57"/>
      <c r="BA2570" s="57"/>
      <c r="BB2570" s="57"/>
      <c r="BC2570" s="57"/>
      <c r="BD2570" s="57"/>
      <c r="BE2570" s="251"/>
      <c r="BF2570" s="57"/>
      <c r="BG2570" s="57"/>
      <c r="BH2570" s="251"/>
      <c r="BI2570" s="57"/>
      <c r="BJ2570" s="57"/>
      <c r="BK2570" s="57" t="s">
        <v>5976</v>
      </c>
      <c r="BL2570" s="57"/>
      <c r="BM2570" s="253" t="s">
        <v>2663</v>
      </c>
      <c r="BN2570" s="57">
        <v>4</v>
      </c>
      <c r="BO2570" s="57">
        <v>4</v>
      </c>
      <c r="BP2570" s="57"/>
      <c r="BQ2570" s="57" t="s">
        <v>141</v>
      </c>
      <c r="BR2570" s="57"/>
      <c r="BS2570" s="57"/>
      <c r="BT2570" s="57"/>
      <c r="BU2570" s="57"/>
      <c r="BV2570" s="57"/>
      <c r="BW2570" s="66">
        <v>3.1</v>
      </c>
      <c r="BX2570" s="66">
        <v>2.8</v>
      </c>
      <c r="BY2570" s="66"/>
      <c r="BZ2570" s="66"/>
      <c r="CA2570" s="66" t="s">
        <v>2670</v>
      </c>
      <c r="CB2570" s="66">
        <v>2490</v>
      </c>
      <c r="CC2570" s="66">
        <v>1760</v>
      </c>
      <c r="CD2570" s="66">
        <f>(CC2570-CB2570)/CB2570</f>
        <v>-0.29317269076305219</v>
      </c>
      <c r="CE2570" s="66"/>
      <c r="CF2570" s="66"/>
      <c r="CG2570" s="66" t="s">
        <v>2668</v>
      </c>
      <c r="CH2570" s="91"/>
      <c r="CI2570" s="91"/>
      <c r="CJ2570" s="66"/>
      <c r="CK2570" s="66"/>
      <c r="CL2570" s="66"/>
      <c r="CM2570" s="66"/>
      <c r="CN2570" s="66"/>
      <c r="CO2570" s="66"/>
      <c r="CP2570" s="66"/>
      <c r="CQ2570" s="66"/>
      <c r="CR2570" s="66"/>
      <c r="CS2570" s="66"/>
      <c r="CT2570" s="66"/>
      <c r="CU2570" s="66"/>
      <c r="CV2570" s="66"/>
      <c r="CW2570" s="66"/>
      <c r="CX2570" s="66"/>
      <c r="CY2570" s="66"/>
      <c r="CZ2570" s="66"/>
      <c r="DA2570" s="66"/>
      <c r="DB2570" s="66"/>
      <c r="DC2570" s="66"/>
      <c r="DD2570" s="66"/>
      <c r="DE2570" s="66"/>
      <c r="DF2570" s="66"/>
      <c r="DG2570" s="66"/>
      <c r="DH2570" s="66"/>
      <c r="DI2570" s="66"/>
      <c r="DJ2570" s="66"/>
      <c r="DK2570" s="66"/>
      <c r="DL2570" s="66"/>
      <c r="DM2570" s="66"/>
      <c r="DN2570" s="66"/>
      <c r="DO2570" s="66"/>
      <c r="DP2570" s="66"/>
      <c r="DQ2570" s="164"/>
      <c r="DR2570" s="164"/>
      <c r="DS2570" s="161"/>
      <c r="DT2570" s="161"/>
      <c r="DU2570" s="66"/>
      <c r="DV2570" s="66"/>
      <c r="DW2570" s="66"/>
      <c r="DX2570" s="66"/>
      <c r="DY2570" s="66"/>
      <c r="DZ2570" s="66"/>
      <c r="EA2570" s="66"/>
      <c r="EB2570" s="66"/>
      <c r="EC2570" s="66"/>
      <c r="ED2570" s="66"/>
      <c r="EE2570" s="66"/>
      <c r="EF2570" s="66"/>
      <c r="EG2570" s="66"/>
      <c r="EH2570" s="66"/>
      <c r="EI2570" s="66"/>
      <c r="EJ2570" s="66"/>
      <c r="EK2570" s="91"/>
      <c r="EL2570" s="91"/>
      <c r="EM2570" s="66"/>
      <c r="EN2570" s="66"/>
      <c r="EO2570" s="66"/>
      <c r="EP2570" s="66"/>
      <c r="EQ2570" s="66"/>
      <c r="ER2570" s="66"/>
      <c r="ES2570" s="66"/>
      <c r="ET2570" s="66"/>
      <c r="EU2570" s="66"/>
      <c r="EV2570" s="66"/>
      <c r="EW2570" s="66"/>
      <c r="EX2570" s="66"/>
      <c r="EY2570" s="66"/>
      <c r="EZ2570" s="66"/>
      <c r="FA2570" s="66"/>
      <c r="FB2570" s="66"/>
      <c r="FC2570" s="66"/>
      <c r="FD2570" s="66"/>
      <c r="FE2570" s="66"/>
      <c r="FF2570" s="66"/>
      <c r="FG2570" s="66"/>
      <c r="FH2570" s="66"/>
      <c r="FI2570" s="66"/>
      <c r="FJ2570" s="66"/>
      <c r="FK2570" s="66"/>
      <c r="FL2570" s="66"/>
      <c r="FM2570" s="66"/>
      <c r="FN2570" s="66"/>
      <c r="FO2570" s="66"/>
      <c r="FP2570" s="66"/>
      <c r="FQ2570" s="66"/>
      <c r="FR2570" s="66"/>
      <c r="FS2570" s="66"/>
      <c r="FT2570" s="66"/>
      <c r="FU2570" s="66"/>
      <c r="FV2570" s="66"/>
      <c r="FW2570" s="66"/>
      <c r="FX2570" s="66"/>
      <c r="FY2570" s="66"/>
      <c r="FZ2570" s="66"/>
      <c r="GA2570" s="66"/>
      <c r="GB2570" s="66"/>
      <c r="GC2570" s="66"/>
      <c r="GD2570" s="66"/>
      <c r="GE2570" s="66"/>
      <c r="GF2570" s="66"/>
      <c r="GG2570" s="66"/>
      <c r="GH2570" s="66"/>
      <c r="GI2570" s="66"/>
      <c r="GJ2570" s="66"/>
      <c r="GK2570" s="66"/>
      <c r="GL2570" s="66"/>
      <c r="GM2570" s="66"/>
      <c r="GN2570" s="293"/>
      <c r="GO2570" s="293"/>
      <c r="GP2570" s="292" t="s">
        <v>7494</v>
      </c>
      <c r="GQ2570" s="66"/>
      <c r="GR2570" s="66"/>
      <c r="GS2570" s="66"/>
      <c r="GT2570" s="66"/>
      <c r="GU2570" s="66"/>
      <c r="GV2570" s="66"/>
      <c r="GW2570" s="66"/>
      <c r="GX2570" s="66"/>
      <c r="GY2570" s="66"/>
      <c r="GZ2570" s="66"/>
      <c r="HA2570" s="66"/>
      <c r="HB2570" s="66"/>
      <c r="HC2570" s="66"/>
      <c r="HD2570" s="66"/>
      <c r="HE2570" s="66"/>
      <c r="HF2570" s="66"/>
      <c r="HG2570" s="66"/>
      <c r="HH2570" s="66"/>
      <c r="HI2570" s="66"/>
      <c r="HJ2570" s="66"/>
      <c r="HK2570" s="66"/>
      <c r="HL2570" s="66"/>
      <c r="HM2570" s="66"/>
      <c r="HN2570" s="66"/>
      <c r="HO2570" s="66"/>
      <c r="HP2570" s="66"/>
      <c r="HQ2570" s="66"/>
      <c r="HR2570" s="66"/>
      <c r="HS2570" s="66"/>
      <c r="HT2570" s="66"/>
      <c r="HU2570" s="66"/>
      <c r="HV2570" s="66"/>
      <c r="HW2570" s="66"/>
      <c r="HX2570" s="66"/>
      <c r="HY2570" s="66"/>
      <c r="HZ2570" s="66"/>
      <c r="IA2570" s="66"/>
      <c r="IB2570" s="66"/>
      <c r="IC2570" s="66"/>
      <c r="ID2570" s="66"/>
      <c r="IE2570" s="66"/>
      <c r="IF2570" s="66"/>
      <c r="IG2570" s="66"/>
      <c r="IH2570" s="66"/>
      <c r="II2570" s="66"/>
      <c r="IJ2570" s="66"/>
      <c r="IK2570" s="66"/>
      <c r="IL2570" s="66"/>
      <c r="IM2570" s="66"/>
      <c r="IN2570" s="66"/>
      <c r="IO2570" s="66"/>
      <c r="IP2570" s="66"/>
      <c r="IQ2570" s="66"/>
      <c r="IR2570" s="66"/>
      <c r="IS2570" s="66"/>
      <c r="IT2570" s="66"/>
      <c r="IU2570" s="66"/>
      <c r="IV2570" s="66"/>
      <c r="IW2570" s="66"/>
      <c r="IX2570" s="66"/>
      <c r="IY2570" s="66"/>
      <c r="IZ2570" s="66"/>
      <c r="JA2570" s="66"/>
      <c r="JB2570" s="66"/>
      <c r="JC2570" s="66"/>
      <c r="JD2570" s="66"/>
      <c r="JE2570" s="66"/>
      <c r="JF2570" s="66"/>
      <c r="JG2570" s="66"/>
      <c r="JH2570" s="66"/>
      <c r="JI2570" s="66"/>
      <c r="JJ2570" s="66"/>
      <c r="JK2570" s="66"/>
      <c r="JL2570" s="66"/>
      <c r="JM2570" s="66"/>
      <c r="JN2570" s="66"/>
      <c r="JO2570" s="66"/>
      <c r="JP2570" s="66"/>
      <c r="JQ2570" s="66"/>
      <c r="JR2570" s="66"/>
      <c r="JS2570" s="66"/>
      <c r="JT2570" s="66"/>
      <c r="JU2570" s="57"/>
      <c r="JV2570" s="57"/>
      <c r="JW2570" s="57"/>
    </row>
    <row r="2571" spans="1:286" s="13" customFormat="1" x14ac:dyDescent="0.25">
      <c r="A2571" s="57">
        <v>2570</v>
      </c>
      <c r="B2571" s="13" t="s">
        <v>7067</v>
      </c>
      <c r="C2571" s="154">
        <v>121</v>
      </c>
      <c r="D2571" s="57" t="s">
        <v>4246</v>
      </c>
      <c r="E2571" s="91" t="s">
        <v>2659</v>
      </c>
      <c r="F2571" s="91"/>
      <c r="G2571" s="57" t="s">
        <v>2658</v>
      </c>
      <c r="H2571" s="57">
        <v>1999</v>
      </c>
      <c r="I2571" s="57">
        <v>1995</v>
      </c>
      <c r="J2571" s="57" t="s">
        <v>2660</v>
      </c>
      <c r="K2571" s="57" t="s">
        <v>2662</v>
      </c>
      <c r="L2571" s="57" t="s">
        <v>2744</v>
      </c>
      <c r="M2571" s="91">
        <f>10+1/60</f>
        <v>10.016666666666667</v>
      </c>
      <c r="N2571" s="91">
        <f>9+47/60</f>
        <v>9.7833333333333332</v>
      </c>
      <c r="O2571" s="91">
        <v>542</v>
      </c>
      <c r="P2571" s="57"/>
      <c r="Q2571" s="57"/>
      <c r="R2571" s="57"/>
      <c r="S2571" s="91">
        <v>1350</v>
      </c>
      <c r="T2571" s="57"/>
      <c r="U2571" s="57" t="s">
        <v>1935</v>
      </c>
      <c r="V2571" s="57" t="s">
        <v>1805</v>
      </c>
      <c r="W2571" s="172"/>
      <c r="X2571" s="172"/>
      <c r="Y2571" s="57" t="s">
        <v>1911</v>
      </c>
      <c r="Z2571" s="57" t="s">
        <v>1349</v>
      </c>
      <c r="AA2571" s="91" t="s">
        <v>1677</v>
      </c>
      <c r="AB2571" s="66"/>
      <c r="AC2571" s="66"/>
      <c r="AD2571" s="91"/>
      <c r="AE2571" s="91">
        <v>47.5</v>
      </c>
      <c r="AF2571" s="91">
        <f>100-AE2571-30</f>
        <v>22.5</v>
      </c>
      <c r="AG2571" s="91"/>
      <c r="AH2571" s="57" t="s">
        <v>494</v>
      </c>
      <c r="AI2571" s="167">
        <v>6.5</v>
      </c>
      <c r="AJ2571" s="91">
        <v>0.7</v>
      </c>
      <c r="AK2571" s="91"/>
      <c r="AL2571" s="57"/>
      <c r="AM2571" s="57"/>
      <c r="AN2571" s="184" t="s">
        <v>2666</v>
      </c>
      <c r="AO2571" s="185" t="s">
        <v>5150</v>
      </c>
      <c r="AP2571" s="57"/>
      <c r="AQ2571" s="57" t="s">
        <v>553</v>
      </c>
      <c r="AR2571" s="57" t="s">
        <v>1607</v>
      </c>
      <c r="AS2571" s="57" t="s">
        <v>132</v>
      </c>
      <c r="AT2571" s="180"/>
      <c r="AU2571" s="181" t="s">
        <v>7494</v>
      </c>
      <c r="AV2571" s="184" t="s">
        <v>176</v>
      </c>
      <c r="AW2571" s="57"/>
      <c r="AX2571" s="184" t="s">
        <v>176</v>
      </c>
      <c r="AY2571" s="57"/>
      <c r="AZ2571" s="57"/>
      <c r="BA2571" s="57"/>
      <c r="BB2571" s="57"/>
      <c r="BC2571" s="57"/>
      <c r="BD2571" s="57"/>
      <c r="BE2571" s="251"/>
      <c r="BF2571" s="57"/>
      <c r="BG2571" s="57"/>
      <c r="BH2571" s="251"/>
      <c r="BI2571" s="57"/>
      <c r="BJ2571" s="57"/>
      <c r="BK2571" s="57" t="s">
        <v>5976</v>
      </c>
      <c r="BL2571" s="57"/>
      <c r="BM2571" s="253" t="s">
        <v>2663</v>
      </c>
      <c r="BN2571" s="57">
        <v>4</v>
      </c>
      <c r="BO2571" s="57">
        <v>4</v>
      </c>
      <c r="BP2571" s="57"/>
      <c r="BQ2571" s="57" t="s">
        <v>141</v>
      </c>
      <c r="BR2571" s="57"/>
      <c r="BS2571" s="57"/>
      <c r="BT2571" s="57"/>
      <c r="BU2571" s="57"/>
      <c r="BV2571" s="57"/>
      <c r="BW2571" s="66">
        <v>3.1</v>
      </c>
      <c r="BX2571" s="66">
        <v>3.9</v>
      </c>
      <c r="BY2571" s="66"/>
      <c r="BZ2571" s="66"/>
      <c r="CA2571" s="66" t="s">
        <v>2670</v>
      </c>
      <c r="CB2571" s="66">
        <v>2490</v>
      </c>
      <c r="CC2571" s="66">
        <v>3250</v>
      </c>
      <c r="CD2571" s="66">
        <f>(CC2571-CB2571)/CB2571</f>
        <v>0.30522088353413657</v>
      </c>
      <c r="CE2571" s="66"/>
      <c r="CF2571" s="66"/>
      <c r="CG2571" s="66" t="s">
        <v>2668</v>
      </c>
      <c r="CH2571" s="91"/>
      <c r="CI2571" s="91"/>
      <c r="CJ2571" s="66"/>
      <c r="CK2571" s="66"/>
      <c r="CL2571" s="66"/>
      <c r="CM2571" s="66"/>
      <c r="CN2571" s="66"/>
      <c r="CO2571" s="66"/>
      <c r="CP2571" s="66"/>
      <c r="CQ2571" s="66"/>
      <c r="CR2571" s="66"/>
      <c r="CS2571" s="66"/>
      <c r="CT2571" s="66"/>
      <c r="CU2571" s="66"/>
      <c r="CV2571" s="66"/>
      <c r="CW2571" s="66"/>
      <c r="CX2571" s="66"/>
      <c r="CY2571" s="66"/>
      <c r="CZ2571" s="66"/>
      <c r="DA2571" s="66"/>
      <c r="DB2571" s="66"/>
      <c r="DC2571" s="66"/>
      <c r="DD2571" s="66"/>
      <c r="DE2571" s="66"/>
      <c r="DF2571" s="66"/>
      <c r="DG2571" s="66"/>
      <c r="DH2571" s="66"/>
      <c r="DI2571" s="66"/>
      <c r="DJ2571" s="66"/>
      <c r="DK2571" s="66"/>
      <c r="DL2571" s="66"/>
      <c r="DM2571" s="66"/>
      <c r="DN2571" s="66"/>
      <c r="DO2571" s="66"/>
      <c r="DP2571" s="66"/>
      <c r="DQ2571" s="164"/>
      <c r="DR2571" s="164"/>
      <c r="DS2571" s="161"/>
      <c r="DT2571" s="161"/>
      <c r="DU2571" s="66"/>
      <c r="DV2571" s="66"/>
      <c r="DW2571" s="66"/>
      <c r="DX2571" s="66"/>
      <c r="DY2571" s="66"/>
      <c r="DZ2571" s="66"/>
      <c r="EA2571" s="66"/>
      <c r="EB2571" s="66"/>
      <c r="EC2571" s="66"/>
      <c r="ED2571" s="66"/>
      <c r="EE2571" s="66"/>
      <c r="EF2571" s="66"/>
      <c r="EG2571" s="66"/>
      <c r="EH2571" s="66"/>
      <c r="EI2571" s="66"/>
      <c r="EJ2571" s="66"/>
      <c r="EK2571" s="91"/>
      <c r="EL2571" s="91"/>
      <c r="EM2571" s="66"/>
      <c r="EN2571" s="66"/>
      <c r="EO2571" s="66"/>
      <c r="EP2571" s="66"/>
      <c r="EQ2571" s="66"/>
      <c r="ER2571" s="66"/>
      <c r="ES2571" s="66"/>
      <c r="ET2571" s="66"/>
      <c r="EU2571" s="66"/>
      <c r="EV2571" s="66"/>
      <c r="EW2571" s="66"/>
      <c r="EX2571" s="66"/>
      <c r="EY2571" s="66"/>
      <c r="EZ2571" s="66"/>
      <c r="FA2571" s="66"/>
      <c r="FB2571" s="66"/>
      <c r="FC2571" s="66"/>
      <c r="FD2571" s="66"/>
      <c r="FE2571" s="66"/>
      <c r="FF2571" s="66"/>
      <c r="FG2571" s="66"/>
      <c r="FH2571" s="66"/>
      <c r="FI2571" s="66"/>
      <c r="FJ2571" s="66"/>
      <c r="FK2571" s="66"/>
      <c r="FL2571" s="66"/>
      <c r="FM2571" s="66"/>
      <c r="FN2571" s="66"/>
      <c r="FO2571" s="66"/>
      <c r="FP2571" s="66"/>
      <c r="FQ2571" s="66"/>
      <c r="FR2571" s="66"/>
      <c r="FS2571" s="66"/>
      <c r="FT2571" s="66"/>
      <c r="FU2571" s="66"/>
      <c r="FV2571" s="66"/>
      <c r="FW2571" s="66"/>
      <c r="FX2571" s="66"/>
      <c r="FY2571" s="66"/>
      <c r="FZ2571" s="66"/>
      <c r="GA2571" s="66"/>
      <c r="GB2571" s="66"/>
      <c r="GC2571" s="66"/>
      <c r="GD2571" s="66"/>
      <c r="GE2571" s="66"/>
      <c r="GF2571" s="66"/>
      <c r="GG2571" s="66"/>
      <c r="GH2571" s="66"/>
      <c r="GI2571" s="66"/>
      <c r="GJ2571" s="66"/>
      <c r="GK2571" s="66"/>
      <c r="GL2571" s="66"/>
      <c r="GM2571" s="66"/>
      <c r="GN2571" s="293"/>
      <c r="GO2571" s="293"/>
      <c r="GP2571" s="292" t="s">
        <v>7494</v>
      </c>
      <c r="GQ2571" s="66"/>
      <c r="GR2571" s="66"/>
      <c r="GS2571" s="66"/>
      <c r="GT2571" s="66"/>
      <c r="GU2571" s="66"/>
      <c r="GV2571" s="66"/>
      <c r="GW2571" s="66"/>
      <c r="GX2571" s="66"/>
      <c r="GY2571" s="66"/>
      <c r="GZ2571" s="66"/>
      <c r="HA2571" s="66"/>
      <c r="HB2571" s="66"/>
      <c r="HC2571" s="66"/>
      <c r="HD2571" s="66"/>
      <c r="HE2571" s="66"/>
      <c r="HF2571" s="66"/>
      <c r="HG2571" s="66"/>
      <c r="HH2571" s="66"/>
      <c r="HI2571" s="66"/>
      <c r="HJ2571" s="66"/>
      <c r="HK2571" s="66"/>
      <c r="HL2571" s="66"/>
      <c r="HM2571" s="66"/>
      <c r="HN2571" s="66"/>
      <c r="HO2571" s="66"/>
      <c r="HP2571" s="66"/>
      <c r="HQ2571" s="66"/>
      <c r="HR2571" s="66"/>
      <c r="HS2571" s="66"/>
      <c r="HT2571" s="66"/>
      <c r="HU2571" s="66"/>
      <c r="HV2571" s="66"/>
      <c r="HW2571" s="66"/>
      <c r="HX2571" s="66"/>
      <c r="HY2571" s="66"/>
      <c r="HZ2571" s="66"/>
      <c r="IA2571" s="66"/>
      <c r="IB2571" s="66"/>
      <c r="IC2571" s="66"/>
      <c r="ID2571" s="66"/>
      <c r="IE2571" s="66"/>
      <c r="IF2571" s="66"/>
      <c r="IG2571" s="66"/>
      <c r="IH2571" s="66"/>
      <c r="II2571" s="66"/>
      <c r="IJ2571" s="66"/>
      <c r="IK2571" s="66"/>
      <c r="IL2571" s="66"/>
      <c r="IM2571" s="66"/>
      <c r="IN2571" s="66"/>
      <c r="IO2571" s="66"/>
      <c r="IP2571" s="66"/>
      <c r="IQ2571" s="66"/>
      <c r="IR2571" s="66"/>
      <c r="IS2571" s="66"/>
      <c r="IT2571" s="66"/>
      <c r="IU2571" s="66"/>
      <c r="IV2571" s="66"/>
      <c r="IW2571" s="66"/>
      <c r="IX2571" s="66"/>
      <c r="IY2571" s="66"/>
      <c r="IZ2571" s="66"/>
      <c r="JA2571" s="66"/>
      <c r="JB2571" s="66"/>
      <c r="JC2571" s="66"/>
      <c r="JD2571" s="66"/>
      <c r="JE2571" s="66"/>
      <c r="JF2571" s="66"/>
      <c r="JG2571" s="66"/>
      <c r="JH2571" s="66"/>
      <c r="JI2571" s="66"/>
      <c r="JJ2571" s="66"/>
      <c r="JK2571" s="66"/>
      <c r="JL2571" s="66"/>
      <c r="JM2571" s="66"/>
      <c r="JN2571" s="66"/>
      <c r="JO2571" s="66"/>
      <c r="JP2571" s="66"/>
      <c r="JQ2571" s="66"/>
      <c r="JR2571" s="66"/>
      <c r="JS2571" s="66"/>
      <c r="JT2571" s="66"/>
      <c r="JU2571" s="57"/>
      <c r="JV2571" s="57"/>
      <c r="JW2571" s="57"/>
    </row>
    <row r="2572" spans="1:286" s="13" customFormat="1" x14ac:dyDescent="0.25">
      <c r="A2572" s="57">
        <v>2571</v>
      </c>
      <c r="B2572" s="13" t="s">
        <v>7067</v>
      </c>
      <c r="C2572" s="154">
        <v>121</v>
      </c>
      <c r="D2572" s="57" t="s">
        <v>4246</v>
      </c>
      <c r="E2572" s="91" t="s">
        <v>2659</v>
      </c>
      <c r="F2572" s="91"/>
      <c r="G2572" s="57" t="s">
        <v>2658</v>
      </c>
      <c r="H2572" s="57">
        <v>1999</v>
      </c>
      <c r="I2572" s="57">
        <v>1995</v>
      </c>
      <c r="J2572" s="57" t="s">
        <v>2660</v>
      </c>
      <c r="K2572" s="57" t="s">
        <v>2662</v>
      </c>
      <c r="L2572" s="57" t="s">
        <v>2744</v>
      </c>
      <c r="M2572" s="91">
        <f>10+1/60</f>
        <v>10.016666666666667</v>
      </c>
      <c r="N2572" s="91">
        <f>9+47/60</f>
        <v>9.7833333333333332</v>
      </c>
      <c r="O2572" s="91">
        <v>542</v>
      </c>
      <c r="P2572" s="57"/>
      <c r="Q2572" s="57"/>
      <c r="R2572" s="57"/>
      <c r="S2572" s="91">
        <v>1350</v>
      </c>
      <c r="T2572" s="57"/>
      <c r="U2572" s="57" t="s">
        <v>1935</v>
      </c>
      <c r="V2572" s="57" t="s">
        <v>1805</v>
      </c>
      <c r="W2572" s="172"/>
      <c r="X2572" s="172"/>
      <c r="Y2572" s="57" t="s">
        <v>1911</v>
      </c>
      <c r="Z2572" s="57" t="s">
        <v>1349</v>
      </c>
      <c r="AA2572" s="91" t="s">
        <v>1677</v>
      </c>
      <c r="AB2572" s="66"/>
      <c r="AC2572" s="66"/>
      <c r="AD2572" s="91"/>
      <c r="AE2572" s="91">
        <v>47.5</v>
      </c>
      <c r="AF2572" s="91">
        <f>100-AE2572-30</f>
        <v>22.5</v>
      </c>
      <c r="AG2572" s="91"/>
      <c r="AH2572" s="57" t="s">
        <v>494</v>
      </c>
      <c r="AI2572" s="167">
        <v>6.5</v>
      </c>
      <c r="AJ2572" s="91">
        <v>0.7</v>
      </c>
      <c r="AK2572" s="91"/>
      <c r="AL2572" s="57"/>
      <c r="AM2572" s="57"/>
      <c r="AN2572" s="184" t="s">
        <v>2282</v>
      </c>
      <c r="AO2572" s="185" t="s">
        <v>5150</v>
      </c>
      <c r="AP2572" s="57"/>
      <c r="AQ2572" s="57" t="s">
        <v>553</v>
      </c>
      <c r="AR2572" s="57" t="s">
        <v>1607</v>
      </c>
      <c r="AS2572" s="57" t="s">
        <v>132</v>
      </c>
      <c r="AT2572" s="180"/>
      <c r="AU2572" s="181" t="s">
        <v>7494</v>
      </c>
      <c r="AV2572" s="184" t="s">
        <v>176</v>
      </c>
      <c r="AW2572" s="57"/>
      <c r="AX2572" s="184" t="s">
        <v>176</v>
      </c>
      <c r="AY2572" s="57"/>
      <c r="AZ2572" s="57"/>
      <c r="BA2572" s="57"/>
      <c r="BB2572" s="57"/>
      <c r="BC2572" s="57"/>
      <c r="BD2572" s="57"/>
      <c r="BE2572" s="251"/>
      <c r="BF2572" s="57"/>
      <c r="BG2572" s="57"/>
      <c r="BH2572" s="251"/>
      <c r="BI2572" s="57"/>
      <c r="BJ2572" s="57"/>
      <c r="BK2572" s="57" t="s">
        <v>5976</v>
      </c>
      <c r="BL2572" s="57"/>
      <c r="BM2572" s="253" t="s">
        <v>2663</v>
      </c>
      <c r="BN2572" s="57">
        <v>4</v>
      </c>
      <c r="BO2572" s="57">
        <v>4</v>
      </c>
      <c r="BP2572" s="57"/>
      <c r="BQ2572" s="57" t="s">
        <v>141</v>
      </c>
      <c r="BR2572" s="57"/>
      <c r="BS2572" s="57"/>
      <c r="BT2572" s="57"/>
      <c r="BU2572" s="57"/>
      <c r="BV2572" s="57"/>
      <c r="BW2572" s="66">
        <v>3.1</v>
      </c>
      <c r="BX2572" s="66">
        <v>3.1</v>
      </c>
      <c r="BY2572" s="66"/>
      <c r="BZ2572" s="66"/>
      <c r="CA2572" s="66" t="s">
        <v>2670</v>
      </c>
      <c r="CB2572" s="66">
        <v>2490</v>
      </c>
      <c r="CC2572" s="66">
        <v>2310</v>
      </c>
      <c r="CD2572" s="66">
        <f>(CC2572-CB2572)/CB2572</f>
        <v>-7.2289156626506021E-2</v>
      </c>
      <c r="CE2572" s="66"/>
      <c r="CF2572" s="66"/>
      <c r="CG2572" s="66" t="s">
        <v>2668</v>
      </c>
      <c r="CH2572" s="91"/>
      <c r="CI2572" s="91"/>
      <c r="CJ2572" s="66"/>
      <c r="CK2572" s="66"/>
      <c r="CL2572" s="66"/>
      <c r="CM2572" s="66"/>
      <c r="CN2572" s="66"/>
      <c r="CO2572" s="66"/>
      <c r="CP2572" s="66"/>
      <c r="CQ2572" s="66"/>
      <c r="CR2572" s="66"/>
      <c r="CS2572" s="66"/>
      <c r="CT2572" s="66"/>
      <c r="CU2572" s="66"/>
      <c r="CV2572" s="66"/>
      <c r="CW2572" s="66"/>
      <c r="CX2572" s="66"/>
      <c r="CY2572" s="66"/>
      <c r="CZ2572" s="66"/>
      <c r="DA2572" s="66"/>
      <c r="DB2572" s="66"/>
      <c r="DC2572" s="66"/>
      <c r="DD2572" s="66"/>
      <c r="DE2572" s="66"/>
      <c r="DF2572" s="66"/>
      <c r="DG2572" s="66"/>
      <c r="DH2572" s="66"/>
      <c r="DI2572" s="66"/>
      <c r="DJ2572" s="66"/>
      <c r="DK2572" s="66"/>
      <c r="DL2572" s="66"/>
      <c r="DM2572" s="66"/>
      <c r="DN2572" s="66"/>
      <c r="DO2572" s="66"/>
      <c r="DP2572" s="66"/>
      <c r="DQ2572" s="164"/>
      <c r="DR2572" s="164"/>
      <c r="DS2572" s="161"/>
      <c r="DT2572" s="161"/>
      <c r="DU2572" s="66"/>
      <c r="DV2572" s="66"/>
      <c r="DW2572" s="66"/>
      <c r="DX2572" s="66"/>
      <c r="DY2572" s="66"/>
      <c r="DZ2572" s="66"/>
      <c r="EA2572" s="66"/>
      <c r="EB2572" s="66"/>
      <c r="EC2572" s="66"/>
      <c r="ED2572" s="66"/>
      <c r="EE2572" s="66"/>
      <c r="EF2572" s="66"/>
      <c r="EG2572" s="66"/>
      <c r="EH2572" s="66"/>
      <c r="EI2572" s="66"/>
      <c r="EJ2572" s="66"/>
      <c r="EK2572" s="91"/>
      <c r="EL2572" s="91"/>
      <c r="EM2572" s="66"/>
      <c r="EN2572" s="66"/>
      <c r="EO2572" s="66"/>
      <c r="EP2572" s="66"/>
      <c r="EQ2572" s="66"/>
      <c r="ER2572" s="66"/>
      <c r="ES2572" s="66"/>
      <c r="ET2572" s="66"/>
      <c r="EU2572" s="66"/>
      <c r="EV2572" s="66"/>
      <c r="EW2572" s="66"/>
      <c r="EX2572" s="66"/>
      <c r="EY2572" s="66"/>
      <c r="EZ2572" s="66"/>
      <c r="FA2572" s="66"/>
      <c r="FB2572" s="66"/>
      <c r="FC2572" s="66"/>
      <c r="FD2572" s="66"/>
      <c r="FE2572" s="66"/>
      <c r="FF2572" s="66"/>
      <c r="FG2572" s="66"/>
      <c r="FH2572" s="66"/>
      <c r="FI2572" s="66"/>
      <c r="FJ2572" s="66"/>
      <c r="FK2572" s="66"/>
      <c r="FL2572" s="66"/>
      <c r="FM2572" s="66"/>
      <c r="FN2572" s="66"/>
      <c r="FO2572" s="66"/>
      <c r="FP2572" s="66"/>
      <c r="FQ2572" s="66"/>
      <c r="FR2572" s="66"/>
      <c r="FS2572" s="66"/>
      <c r="FT2572" s="66"/>
      <c r="FU2572" s="66"/>
      <c r="FV2572" s="66"/>
      <c r="FW2572" s="66"/>
      <c r="FX2572" s="66"/>
      <c r="FY2572" s="66"/>
      <c r="FZ2572" s="66"/>
      <c r="GA2572" s="66"/>
      <c r="GB2572" s="66"/>
      <c r="GC2572" s="66"/>
      <c r="GD2572" s="66"/>
      <c r="GE2572" s="66"/>
      <c r="GF2572" s="66"/>
      <c r="GG2572" s="66"/>
      <c r="GH2572" s="66"/>
      <c r="GI2572" s="66"/>
      <c r="GJ2572" s="66"/>
      <c r="GK2572" s="66"/>
      <c r="GL2572" s="66"/>
      <c r="GM2572" s="66"/>
      <c r="GN2572" s="293"/>
      <c r="GO2572" s="293"/>
      <c r="GP2572" s="292" t="s">
        <v>7494</v>
      </c>
      <c r="GQ2572" s="66"/>
      <c r="GR2572" s="66"/>
      <c r="GS2572" s="66"/>
      <c r="GT2572" s="66"/>
      <c r="GU2572" s="66"/>
      <c r="GV2572" s="66"/>
      <c r="GW2572" s="66"/>
      <c r="GX2572" s="66"/>
      <c r="GY2572" s="66"/>
      <c r="GZ2572" s="66"/>
      <c r="HA2572" s="66"/>
      <c r="HB2572" s="66"/>
      <c r="HC2572" s="66"/>
      <c r="HD2572" s="66"/>
      <c r="HE2572" s="66"/>
      <c r="HF2572" s="66"/>
      <c r="HG2572" s="66"/>
      <c r="HH2572" s="66"/>
      <c r="HI2572" s="66"/>
      <c r="HJ2572" s="66"/>
      <c r="HK2572" s="66"/>
      <c r="HL2572" s="66"/>
      <c r="HM2572" s="66"/>
      <c r="HN2572" s="66"/>
      <c r="HO2572" s="66"/>
      <c r="HP2572" s="66"/>
      <c r="HQ2572" s="66"/>
      <c r="HR2572" s="66"/>
      <c r="HS2572" s="66"/>
      <c r="HT2572" s="66"/>
      <c r="HU2572" s="66"/>
      <c r="HV2572" s="66"/>
      <c r="HW2572" s="66"/>
      <c r="HX2572" s="66"/>
      <c r="HY2572" s="66"/>
      <c r="HZ2572" s="66"/>
      <c r="IA2572" s="66"/>
      <c r="IB2572" s="66"/>
      <c r="IC2572" s="66"/>
      <c r="ID2572" s="66"/>
      <c r="IE2572" s="66"/>
      <c r="IF2572" s="66"/>
      <c r="IG2572" s="66"/>
      <c r="IH2572" s="66"/>
      <c r="II2572" s="66"/>
      <c r="IJ2572" s="66"/>
      <c r="IK2572" s="66"/>
      <c r="IL2572" s="66"/>
      <c r="IM2572" s="66"/>
      <c r="IN2572" s="66"/>
      <c r="IO2572" s="66"/>
      <c r="IP2572" s="66"/>
      <c r="IQ2572" s="66"/>
      <c r="IR2572" s="66"/>
      <c r="IS2572" s="66"/>
      <c r="IT2572" s="66"/>
      <c r="IU2572" s="66"/>
      <c r="IV2572" s="66"/>
      <c r="IW2572" s="66"/>
      <c r="IX2572" s="66"/>
      <c r="IY2572" s="66"/>
      <c r="IZ2572" s="66"/>
      <c r="JA2572" s="66"/>
      <c r="JB2572" s="66"/>
      <c r="JC2572" s="66"/>
      <c r="JD2572" s="66"/>
      <c r="JE2572" s="66"/>
      <c r="JF2572" s="66"/>
      <c r="JG2572" s="66"/>
      <c r="JH2572" s="66"/>
      <c r="JI2572" s="66"/>
      <c r="JJ2572" s="66"/>
      <c r="JK2572" s="66"/>
      <c r="JL2572" s="66"/>
      <c r="JM2572" s="66"/>
      <c r="JN2572" s="66"/>
      <c r="JO2572" s="66"/>
      <c r="JP2572" s="66"/>
      <c r="JQ2572" s="66"/>
      <c r="JR2572" s="66"/>
      <c r="JS2572" s="66"/>
      <c r="JT2572" s="66"/>
      <c r="JU2572" s="57"/>
      <c r="JV2572" s="57"/>
      <c r="JW2572" s="57"/>
    </row>
    <row r="2573" spans="1:286" s="13" customFormat="1" x14ac:dyDescent="0.25">
      <c r="A2573" s="57">
        <v>2572</v>
      </c>
      <c r="B2573" s="13" t="s">
        <v>7067</v>
      </c>
      <c r="C2573" s="154">
        <v>121</v>
      </c>
      <c r="D2573" s="57" t="s">
        <v>4247</v>
      </c>
      <c r="E2573" s="91" t="s">
        <v>2659</v>
      </c>
      <c r="F2573" s="91"/>
      <c r="G2573" s="57" t="s">
        <v>2658</v>
      </c>
      <c r="H2573" s="57">
        <v>1999</v>
      </c>
      <c r="I2573" s="57">
        <v>1995</v>
      </c>
      <c r="J2573" s="57" t="s">
        <v>2660</v>
      </c>
      <c r="K2573" s="57" t="s">
        <v>2661</v>
      </c>
      <c r="L2573" s="57" t="s">
        <v>2744</v>
      </c>
      <c r="M2573" s="91">
        <f>10+24/60</f>
        <v>10.4</v>
      </c>
      <c r="N2573" s="91">
        <f>7+42/60</f>
        <v>7.7</v>
      </c>
      <c r="O2573" s="91">
        <v>656</v>
      </c>
      <c r="P2573" s="57"/>
      <c r="Q2573" s="57"/>
      <c r="R2573" s="57"/>
      <c r="S2573" s="91">
        <v>1350</v>
      </c>
      <c r="T2573" s="57"/>
      <c r="U2573" s="57" t="s">
        <v>1935</v>
      </c>
      <c r="V2573" s="57" t="s">
        <v>1805</v>
      </c>
      <c r="W2573" s="172"/>
      <c r="X2573" s="172"/>
      <c r="Y2573" s="57" t="s">
        <v>1911</v>
      </c>
      <c r="Z2573" s="57" t="s">
        <v>1349</v>
      </c>
      <c r="AA2573" s="91" t="s">
        <v>1677</v>
      </c>
      <c r="AB2573" s="66"/>
      <c r="AC2573" s="66"/>
      <c r="AD2573" s="91"/>
      <c r="AE2573" s="91">
        <v>47.5</v>
      </c>
      <c r="AF2573" s="91">
        <f>100-AE2573-30</f>
        <v>22.5</v>
      </c>
      <c r="AG2573" s="91"/>
      <c r="AH2573" s="57" t="s">
        <v>494</v>
      </c>
      <c r="AI2573" s="167">
        <v>6.5</v>
      </c>
      <c r="AJ2573" s="91">
        <v>0.7</v>
      </c>
      <c r="AK2573" s="91"/>
      <c r="AL2573" s="57"/>
      <c r="AM2573" s="57"/>
      <c r="AN2573" s="184" t="s">
        <v>2664</v>
      </c>
      <c r="AO2573" s="185" t="s">
        <v>5150</v>
      </c>
      <c r="AP2573" s="57"/>
      <c r="AQ2573" s="57" t="s">
        <v>553</v>
      </c>
      <c r="AR2573" s="57" t="s">
        <v>1607</v>
      </c>
      <c r="AS2573" s="57" t="s">
        <v>132</v>
      </c>
      <c r="AT2573" s="180"/>
      <c r="AU2573" s="181" t="s">
        <v>7494</v>
      </c>
      <c r="AV2573" s="184" t="s">
        <v>176</v>
      </c>
      <c r="AW2573" s="57"/>
      <c r="AX2573" s="184" t="s">
        <v>176</v>
      </c>
      <c r="AY2573" s="57"/>
      <c r="AZ2573" s="57"/>
      <c r="BA2573" s="57"/>
      <c r="BB2573" s="57"/>
      <c r="BC2573" s="57"/>
      <c r="BD2573" s="57"/>
      <c r="BE2573" s="251" t="s">
        <v>161</v>
      </c>
      <c r="BF2573" s="252" t="s">
        <v>176</v>
      </c>
      <c r="BG2573" s="252" t="s">
        <v>176</v>
      </c>
      <c r="BH2573" s="251" t="s">
        <v>161</v>
      </c>
      <c r="BI2573" s="252" t="s">
        <v>176</v>
      </c>
      <c r="BJ2573" s="57" t="s">
        <v>176</v>
      </c>
      <c r="BK2573" s="57" t="s">
        <v>5976</v>
      </c>
      <c r="BL2573" s="57"/>
      <c r="BM2573" s="253" t="s">
        <v>2663</v>
      </c>
      <c r="BN2573" s="57">
        <v>4</v>
      </c>
      <c r="BO2573" s="57">
        <v>4</v>
      </c>
      <c r="BP2573" s="57"/>
      <c r="BQ2573" s="57" t="s">
        <v>141</v>
      </c>
      <c r="BR2573" s="57"/>
      <c r="BS2573" s="57"/>
      <c r="BT2573" s="57"/>
      <c r="BU2573" s="57"/>
      <c r="BV2573" s="57"/>
      <c r="BW2573" s="66">
        <v>867</v>
      </c>
      <c r="BX2573" s="66">
        <v>1027</v>
      </c>
      <c r="BY2573" s="66">
        <v>296</v>
      </c>
      <c r="BZ2573" s="66">
        <v>296</v>
      </c>
      <c r="CA2573" s="66" t="s">
        <v>545</v>
      </c>
      <c r="CB2573" s="66">
        <v>734</v>
      </c>
      <c r="CC2573" s="66">
        <v>815</v>
      </c>
      <c r="CD2573" s="66">
        <f>(CC2573-CB2573)/CB2573</f>
        <v>0.11035422343324251</v>
      </c>
      <c r="CE2573" s="66">
        <v>205</v>
      </c>
      <c r="CF2573" s="66">
        <v>205</v>
      </c>
      <c r="CG2573" s="66" t="s">
        <v>2673</v>
      </c>
      <c r="CH2573" s="91"/>
      <c r="CI2573" s="91"/>
      <c r="CJ2573" s="66"/>
      <c r="CK2573" s="66"/>
      <c r="CL2573" s="66"/>
      <c r="CM2573" s="66"/>
      <c r="CN2573" s="66"/>
      <c r="CO2573" s="66"/>
      <c r="CP2573" s="66"/>
      <c r="CQ2573" s="66"/>
      <c r="CR2573" s="66"/>
      <c r="CS2573" s="66"/>
      <c r="CT2573" s="66"/>
      <c r="CU2573" s="66"/>
      <c r="CV2573" s="66"/>
      <c r="CW2573" s="66"/>
      <c r="CX2573" s="66"/>
      <c r="CY2573" s="66"/>
      <c r="CZ2573" s="66"/>
      <c r="DA2573" s="66"/>
      <c r="DB2573" s="66"/>
      <c r="DC2573" s="66"/>
      <c r="DD2573" s="66"/>
      <c r="DE2573" s="66"/>
      <c r="DF2573" s="66"/>
      <c r="DG2573" s="66"/>
      <c r="DH2573" s="66"/>
      <c r="DI2573" s="66"/>
      <c r="DJ2573" s="66"/>
      <c r="DK2573" s="66"/>
      <c r="DL2573" s="66"/>
      <c r="DM2573" s="66"/>
      <c r="DN2573" s="66"/>
      <c r="DO2573" s="66"/>
      <c r="DP2573" s="66"/>
      <c r="DQ2573" s="164"/>
      <c r="DR2573" s="164"/>
      <c r="DS2573" s="161"/>
      <c r="DT2573" s="161"/>
      <c r="DU2573" s="66"/>
      <c r="DV2573" s="66"/>
      <c r="DW2573" s="66"/>
      <c r="DX2573" s="66"/>
      <c r="DY2573" s="66"/>
      <c r="DZ2573" s="66"/>
      <c r="EA2573" s="66"/>
      <c r="EB2573" s="66"/>
      <c r="EC2573" s="66"/>
      <c r="ED2573" s="66"/>
      <c r="EE2573" s="66"/>
      <c r="EF2573" s="66"/>
      <c r="EG2573" s="66"/>
      <c r="EH2573" s="66"/>
      <c r="EI2573" s="66"/>
      <c r="EJ2573" s="66"/>
      <c r="EK2573" s="91"/>
      <c r="EL2573" s="91"/>
      <c r="EM2573" s="66"/>
      <c r="EN2573" s="66"/>
      <c r="EO2573" s="66"/>
      <c r="EP2573" s="66"/>
      <c r="EQ2573" s="66"/>
      <c r="ER2573" s="66"/>
      <c r="ES2573" s="66"/>
      <c r="ET2573" s="66"/>
      <c r="EU2573" s="66"/>
      <c r="EV2573" s="66"/>
      <c r="EW2573" s="66"/>
      <c r="EX2573" s="66"/>
      <c r="EY2573" s="66"/>
      <c r="EZ2573" s="66"/>
      <c r="FA2573" s="66"/>
      <c r="FB2573" s="66"/>
      <c r="FC2573" s="66"/>
      <c r="FD2573" s="66"/>
      <c r="FE2573" s="66"/>
      <c r="FF2573" s="66"/>
      <c r="FG2573" s="66"/>
      <c r="FH2573" s="66"/>
      <c r="FI2573" s="66"/>
      <c r="FJ2573" s="66"/>
      <c r="FK2573" s="66"/>
      <c r="FL2573" s="66"/>
      <c r="FM2573" s="66"/>
      <c r="FN2573" s="66"/>
      <c r="FO2573" s="66"/>
      <c r="FP2573" s="66"/>
      <c r="FQ2573" s="66"/>
      <c r="FR2573" s="66"/>
      <c r="FS2573" s="66"/>
      <c r="FT2573" s="66"/>
      <c r="FU2573" s="66"/>
      <c r="FV2573" s="66"/>
      <c r="FW2573" s="66"/>
      <c r="FX2573" s="66"/>
      <c r="FY2573" s="66"/>
      <c r="FZ2573" s="66"/>
      <c r="GA2573" s="66"/>
      <c r="GB2573" s="66"/>
      <c r="GC2573" s="66"/>
      <c r="GD2573" s="66"/>
      <c r="GE2573" s="66"/>
      <c r="GF2573" s="66"/>
      <c r="GG2573" s="66"/>
      <c r="GH2573" s="66"/>
      <c r="GI2573" s="66"/>
      <c r="GJ2573" s="66"/>
      <c r="GK2573" s="66"/>
      <c r="GL2573" s="66"/>
      <c r="GM2573" s="66"/>
      <c r="GN2573" s="293"/>
      <c r="GO2573" s="293"/>
      <c r="GP2573" s="292" t="s">
        <v>7494</v>
      </c>
      <c r="GQ2573" s="66"/>
      <c r="GR2573" s="66"/>
      <c r="GS2573" s="66"/>
      <c r="GT2573" s="66"/>
      <c r="GU2573" s="66"/>
      <c r="GV2573" s="66"/>
      <c r="GW2573" s="66"/>
      <c r="GX2573" s="66"/>
      <c r="GY2573" s="66"/>
      <c r="GZ2573" s="66"/>
      <c r="HA2573" s="66"/>
      <c r="HB2573" s="66"/>
      <c r="HC2573" s="66"/>
      <c r="HD2573" s="66"/>
      <c r="HE2573" s="66"/>
      <c r="HF2573" s="66"/>
      <c r="HG2573" s="66"/>
      <c r="HH2573" s="66"/>
      <c r="HI2573" s="66"/>
      <c r="HJ2573" s="66"/>
      <c r="HK2573" s="66"/>
      <c r="HL2573" s="66"/>
      <c r="HM2573" s="66"/>
      <c r="HN2573" s="66"/>
      <c r="HO2573" s="66"/>
      <c r="HP2573" s="66"/>
      <c r="HQ2573" s="66"/>
      <c r="HR2573" s="66"/>
      <c r="HS2573" s="66"/>
      <c r="HT2573" s="66"/>
      <c r="HU2573" s="66"/>
      <c r="HV2573" s="66"/>
      <c r="HW2573" s="66"/>
      <c r="HX2573" s="66"/>
      <c r="HY2573" s="66"/>
      <c r="HZ2573" s="66"/>
      <c r="IA2573" s="66"/>
      <c r="IB2573" s="66"/>
      <c r="IC2573" s="66"/>
      <c r="ID2573" s="66"/>
      <c r="IE2573" s="66"/>
      <c r="IF2573" s="66"/>
      <c r="IG2573" s="66"/>
      <c r="IH2573" s="66"/>
      <c r="II2573" s="66"/>
      <c r="IJ2573" s="66"/>
      <c r="IK2573" s="66"/>
      <c r="IL2573" s="66"/>
      <c r="IM2573" s="66"/>
      <c r="IN2573" s="66"/>
      <c r="IO2573" s="66"/>
      <c r="IP2573" s="66"/>
      <c r="IQ2573" s="66"/>
      <c r="IR2573" s="66"/>
      <c r="IS2573" s="66"/>
      <c r="IT2573" s="66"/>
      <c r="IU2573" s="66"/>
      <c r="IV2573" s="66"/>
      <c r="IW2573" s="66"/>
      <c r="IX2573" s="66"/>
      <c r="IY2573" s="66"/>
      <c r="IZ2573" s="66"/>
      <c r="JA2573" s="66"/>
      <c r="JB2573" s="66"/>
      <c r="JC2573" s="66"/>
      <c r="JD2573" s="66"/>
      <c r="JE2573" s="66"/>
      <c r="JF2573" s="66"/>
      <c r="JG2573" s="66"/>
      <c r="JH2573" s="66"/>
      <c r="JI2573" s="66"/>
      <c r="JJ2573" s="66"/>
      <c r="JK2573" s="66"/>
      <c r="JL2573" s="66"/>
      <c r="JM2573" s="66"/>
      <c r="JN2573" s="66"/>
      <c r="JO2573" s="66"/>
      <c r="JP2573" s="66"/>
      <c r="JQ2573" s="66"/>
      <c r="JR2573" s="66"/>
      <c r="JS2573" s="66"/>
      <c r="JT2573" s="66"/>
      <c r="JU2573" s="57"/>
      <c r="JV2573" s="57"/>
      <c r="JW2573" s="57"/>
    </row>
    <row r="2574" spans="1:286" s="13" customFormat="1" x14ac:dyDescent="0.25">
      <c r="A2574" s="57">
        <v>2573</v>
      </c>
      <c r="B2574" s="13" t="s">
        <v>7067</v>
      </c>
      <c r="C2574" s="154">
        <v>121</v>
      </c>
      <c r="D2574" s="57" t="s">
        <v>4248</v>
      </c>
      <c r="E2574" s="91" t="s">
        <v>2659</v>
      </c>
      <c r="F2574" s="91"/>
      <c r="G2574" s="57" t="s">
        <v>2658</v>
      </c>
      <c r="H2574" s="57">
        <v>1999</v>
      </c>
      <c r="I2574" s="57">
        <v>1995</v>
      </c>
      <c r="J2574" s="57" t="s">
        <v>2660</v>
      </c>
      <c r="K2574" s="57" t="s">
        <v>2661</v>
      </c>
      <c r="L2574" s="57" t="s">
        <v>2744</v>
      </c>
      <c r="M2574" s="91">
        <f>10+24/60</f>
        <v>10.4</v>
      </c>
      <c r="N2574" s="91">
        <f>7+42/60</f>
        <v>7.7</v>
      </c>
      <c r="O2574" s="91">
        <v>656</v>
      </c>
      <c r="P2574" s="57"/>
      <c r="Q2574" s="57"/>
      <c r="R2574" s="57"/>
      <c r="S2574" s="91">
        <v>1350</v>
      </c>
      <c r="T2574" s="57"/>
      <c r="U2574" s="57" t="s">
        <v>1935</v>
      </c>
      <c r="V2574" s="57" t="s">
        <v>1805</v>
      </c>
      <c r="W2574" s="172"/>
      <c r="X2574" s="172"/>
      <c r="Y2574" s="57" t="s">
        <v>1911</v>
      </c>
      <c r="Z2574" s="57" t="s">
        <v>1349</v>
      </c>
      <c r="AA2574" s="91" t="s">
        <v>1677</v>
      </c>
      <c r="AB2574" s="66"/>
      <c r="AC2574" s="66"/>
      <c r="AD2574" s="91"/>
      <c r="AE2574" s="91">
        <v>47.5</v>
      </c>
      <c r="AF2574" s="91">
        <f>100-AE2574-30</f>
        <v>22.5</v>
      </c>
      <c r="AG2574" s="91"/>
      <c r="AH2574" s="57" t="s">
        <v>494</v>
      </c>
      <c r="AI2574" s="167">
        <v>6.5</v>
      </c>
      <c r="AJ2574" s="91">
        <v>0.7</v>
      </c>
      <c r="AK2574" s="91"/>
      <c r="AL2574" s="57"/>
      <c r="AM2574" s="57"/>
      <c r="AN2574" s="184" t="s">
        <v>2664</v>
      </c>
      <c r="AO2574" s="185" t="s">
        <v>5150</v>
      </c>
      <c r="AP2574" s="57"/>
      <c r="AQ2574" s="57" t="s">
        <v>553</v>
      </c>
      <c r="AR2574" s="57" t="s">
        <v>1607</v>
      </c>
      <c r="AS2574" s="57" t="s">
        <v>132</v>
      </c>
      <c r="AT2574" s="180"/>
      <c r="AU2574" s="181" t="s">
        <v>7494</v>
      </c>
      <c r="AV2574" s="184" t="s">
        <v>176</v>
      </c>
      <c r="AW2574" s="57"/>
      <c r="AX2574" s="184" t="s">
        <v>176</v>
      </c>
      <c r="AY2574" s="57"/>
      <c r="AZ2574" s="57"/>
      <c r="BA2574" s="57"/>
      <c r="BB2574" s="57"/>
      <c r="BC2574" s="57"/>
      <c r="BD2574" s="57"/>
      <c r="BE2574" s="251" t="s">
        <v>2671</v>
      </c>
      <c r="BF2574" s="252" t="s">
        <v>479</v>
      </c>
      <c r="BG2574" s="252" t="s">
        <v>479</v>
      </c>
      <c r="BH2574" s="251" t="s">
        <v>2671</v>
      </c>
      <c r="BI2574" s="252" t="s">
        <v>479</v>
      </c>
      <c r="BJ2574" s="57" t="s">
        <v>176</v>
      </c>
      <c r="BK2574" s="57" t="s">
        <v>5976</v>
      </c>
      <c r="BL2574" s="57"/>
      <c r="BM2574" s="253" t="s">
        <v>2663</v>
      </c>
      <c r="BN2574" s="57">
        <v>4</v>
      </c>
      <c r="BO2574" s="57">
        <v>4</v>
      </c>
      <c r="BP2574" s="57"/>
      <c r="BQ2574" s="57" t="s">
        <v>141</v>
      </c>
      <c r="BR2574" s="57"/>
      <c r="BS2574" s="57"/>
      <c r="BT2574" s="57"/>
      <c r="BU2574" s="57"/>
      <c r="BV2574" s="57"/>
      <c r="BW2574" s="66">
        <v>1649</v>
      </c>
      <c r="BX2574" s="66">
        <v>1789</v>
      </c>
      <c r="BY2574" s="66"/>
      <c r="BZ2574" s="66"/>
      <c r="CA2574" s="66" t="s">
        <v>545</v>
      </c>
      <c r="CB2574" s="66">
        <v>1214</v>
      </c>
      <c r="CC2574" s="66">
        <v>1544</v>
      </c>
      <c r="CD2574" s="66">
        <f>(CC2574-CB2574)/CB2574</f>
        <v>0.27182866556836904</v>
      </c>
      <c r="CE2574" s="66"/>
      <c r="CF2574" s="66"/>
      <c r="CG2574" s="66" t="s">
        <v>2673</v>
      </c>
      <c r="CH2574" s="91"/>
      <c r="CI2574" s="91"/>
      <c r="CJ2574" s="66"/>
      <c r="CK2574" s="66"/>
      <c r="CL2574" s="66"/>
      <c r="CM2574" s="66"/>
      <c r="CN2574" s="66"/>
      <c r="CO2574" s="66"/>
      <c r="CP2574" s="66"/>
      <c r="CQ2574" s="66"/>
      <c r="CR2574" s="66"/>
      <c r="CS2574" s="66"/>
      <c r="CT2574" s="66"/>
      <c r="CU2574" s="66"/>
      <c r="CV2574" s="66"/>
      <c r="CW2574" s="66"/>
      <c r="CX2574" s="66"/>
      <c r="CY2574" s="66"/>
      <c r="CZ2574" s="66"/>
      <c r="DA2574" s="66"/>
      <c r="DB2574" s="66"/>
      <c r="DC2574" s="66"/>
      <c r="DD2574" s="66"/>
      <c r="DE2574" s="66"/>
      <c r="DF2574" s="66"/>
      <c r="DG2574" s="66"/>
      <c r="DH2574" s="66"/>
      <c r="DI2574" s="66"/>
      <c r="DJ2574" s="66"/>
      <c r="DK2574" s="66"/>
      <c r="DL2574" s="66"/>
      <c r="DM2574" s="66"/>
      <c r="DN2574" s="66"/>
      <c r="DO2574" s="66"/>
      <c r="DP2574" s="66"/>
      <c r="DQ2574" s="164"/>
      <c r="DR2574" s="164"/>
      <c r="DS2574" s="161"/>
      <c r="DT2574" s="161"/>
      <c r="DU2574" s="66"/>
      <c r="DV2574" s="66"/>
      <c r="DW2574" s="66"/>
      <c r="DX2574" s="66"/>
      <c r="DY2574" s="66"/>
      <c r="DZ2574" s="66"/>
      <c r="EA2574" s="66"/>
      <c r="EB2574" s="66"/>
      <c r="EC2574" s="66"/>
      <c r="ED2574" s="66"/>
      <c r="EE2574" s="66"/>
      <c r="EF2574" s="66"/>
      <c r="EG2574" s="66"/>
      <c r="EH2574" s="66"/>
      <c r="EI2574" s="66"/>
      <c r="EJ2574" s="66"/>
      <c r="EK2574" s="91"/>
      <c r="EL2574" s="91"/>
      <c r="EM2574" s="66"/>
      <c r="EN2574" s="66"/>
      <c r="EO2574" s="66"/>
      <c r="EP2574" s="66"/>
      <c r="EQ2574" s="66"/>
      <c r="ER2574" s="66"/>
      <c r="ES2574" s="66"/>
      <c r="ET2574" s="66"/>
      <c r="EU2574" s="66"/>
      <c r="EV2574" s="66"/>
      <c r="EW2574" s="66"/>
      <c r="EX2574" s="66"/>
      <c r="EY2574" s="66"/>
      <c r="EZ2574" s="66"/>
      <c r="FA2574" s="66"/>
      <c r="FB2574" s="66"/>
      <c r="FC2574" s="66"/>
      <c r="FD2574" s="66"/>
      <c r="FE2574" s="66"/>
      <c r="FF2574" s="66"/>
      <c r="FG2574" s="66"/>
      <c r="FH2574" s="66"/>
      <c r="FI2574" s="66"/>
      <c r="FJ2574" s="66"/>
      <c r="FK2574" s="66"/>
      <c r="FL2574" s="66"/>
      <c r="FM2574" s="66"/>
      <c r="FN2574" s="66"/>
      <c r="FO2574" s="66"/>
      <c r="FP2574" s="66"/>
      <c r="FQ2574" s="66"/>
      <c r="FR2574" s="66"/>
      <c r="FS2574" s="66"/>
      <c r="FT2574" s="66"/>
      <c r="FU2574" s="66"/>
      <c r="FV2574" s="66"/>
      <c r="FW2574" s="66"/>
      <c r="FX2574" s="66"/>
      <c r="FY2574" s="66"/>
      <c r="FZ2574" s="66"/>
      <c r="GA2574" s="66"/>
      <c r="GB2574" s="66"/>
      <c r="GC2574" s="66"/>
      <c r="GD2574" s="66"/>
      <c r="GE2574" s="66"/>
      <c r="GF2574" s="66"/>
      <c r="GG2574" s="66"/>
      <c r="GH2574" s="66"/>
      <c r="GI2574" s="66"/>
      <c r="GJ2574" s="66"/>
      <c r="GK2574" s="66"/>
      <c r="GL2574" s="66"/>
      <c r="GM2574" s="66"/>
      <c r="GN2574" s="293"/>
      <c r="GO2574" s="293"/>
      <c r="GP2574" s="292" t="s">
        <v>7494</v>
      </c>
      <c r="GQ2574" s="66"/>
      <c r="GR2574" s="66"/>
      <c r="GS2574" s="66"/>
      <c r="GT2574" s="66"/>
      <c r="GU2574" s="66"/>
      <c r="GV2574" s="66"/>
      <c r="GW2574" s="66"/>
      <c r="GX2574" s="66"/>
      <c r="GY2574" s="66"/>
      <c r="GZ2574" s="66"/>
      <c r="HA2574" s="66"/>
      <c r="HB2574" s="66"/>
      <c r="HC2574" s="66"/>
      <c r="HD2574" s="66"/>
      <c r="HE2574" s="66"/>
      <c r="HF2574" s="66"/>
      <c r="HG2574" s="66"/>
      <c r="HH2574" s="66"/>
      <c r="HI2574" s="66"/>
      <c r="HJ2574" s="66"/>
      <c r="HK2574" s="66"/>
      <c r="HL2574" s="66"/>
      <c r="HM2574" s="66"/>
      <c r="HN2574" s="66"/>
      <c r="HO2574" s="66"/>
      <c r="HP2574" s="66"/>
      <c r="HQ2574" s="66"/>
      <c r="HR2574" s="66"/>
      <c r="HS2574" s="66"/>
      <c r="HT2574" s="66"/>
      <c r="HU2574" s="66"/>
      <c r="HV2574" s="66"/>
      <c r="HW2574" s="66"/>
      <c r="HX2574" s="66"/>
      <c r="HY2574" s="66"/>
      <c r="HZ2574" s="66"/>
      <c r="IA2574" s="66"/>
      <c r="IB2574" s="66"/>
      <c r="IC2574" s="66"/>
      <c r="ID2574" s="66"/>
      <c r="IE2574" s="66"/>
      <c r="IF2574" s="66"/>
      <c r="IG2574" s="66"/>
      <c r="IH2574" s="66"/>
      <c r="II2574" s="66"/>
      <c r="IJ2574" s="66"/>
      <c r="IK2574" s="66"/>
      <c r="IL2574" s="66"/>
      <c r="IM2574" s="66"/>
      <c r="IN2574" s="66"/>
      <c r="IO2574" s="66"/>
      <c r="IP2574" s="66"/>
      <c r="IQ2574" s="66"/>
      <c r="IR2574" s="66"/>
      <c r="IS2574" s="66"/>
      <c r="IT2574" s="66"/>
      <c r="IU2574" s="66"/>
      <c r="IV2574" s="66"/>
      <c r="IW2574" s="66"/>
      <c r="IX2574" s="66"/>
      <c r="IY2574" s="66"/>
      <c r="IZ2574" s="66"/>
      <c r="JA2574" s="66"/>
      <c r="JB2574" s="66"/>
      <c r="JC2574" s="66"/>
      <c r="JD2574" s="66"/>
      <c r="JE2574" s="66"/>
      <c r="JF2574" s="66"/>
      <c r="JG2574" s="66"/>
      <c r="JH2574" s="66"/>
      <c r="JI2574" s="66"/>
      <c r="JJ2574" s="66"/>
      <c r="JK2574" s="66"/>
      <c r="JL2574" s="66"/>
      <c r="JM2574" s="66"/>
      <c r="JN2574" s="66"/>
      <c r="JO2574" s="66"/>
      <c r="JP2574" s="66"/>
      <c r="JQ2574" s="66"/>
      <c r="JR2574" s="66"/>
      <c r="JS2574" s="66"/>
      <c r="JT2574" s="66"/>
      <c r="JU2574" s="57"/>
      <c r="JV2574" s="57"/>
      <c r="JW2574" s="57"/>
    </row>
    <row r="2575" spans="1:286" s="13" customFormat="1" x14ac:dyDescent="0.25">
      <c r="A2575" s="57">
        <v>2574</v>
      </c>
      <c r="B2575" s="13" t="s">
        <v>7067</v>
      </c>
      <c r="C2575" s="154">
        <v>121</v>
      </c>
      <c r="D2575" s="57" t="s">
        <v>4249</v>
      </c>
      <c r="E2575" s="91" t="s">
        <v>2659</v>
      </c>
      <c r="F2575" s="91"/>
      <c r="G2575" s="57" t="s">
        <v>2658</v>
      </c>
      <c r="H2575" s="57">
        <v>1999</v>
      </c>
      <c r="I2575" s="57">
        <v>1995</v>
      </c>
      <c r="J2575" s="57" t="s">
        <v>2660</v>
      </c>
      <c r="K2575" s="57" t="s">
        <v>2661</v>
      </c>
      <c r="L2575" s="57" t="s">
        <v>2744</v>
      </c>
      <c r="M2575" s="91">
        <f>10+24/60</f>
        <v>10.4</v>
      </c>
      <c r="N2575" s="91">
        <f>7+42/60</f>
        <v>7.7</v>
      </c>
      <c r="O2575" s="91">
        <v>656</v>
      </c>
      <c r="P2575" s="57"/>
      <c r="Q2575" s="57"/>
      <c r="R2575" s="57"/>
      <c r="S2575" s="91">
        <v>1350</v>
      </c>
      <c r="T2575" s="57"/>
      <c r="U2575" s="57" t="s">
        <v>1935</v>
      </c>
      <c r="V2575" s="57" t="s">
        <v>1805</v>
      </c>
      <c r="W2575" s="172"/>
      <c r="X2575" s="172"/>
      <c r="Y2575" s="57" t="s">
        <v>1911</v>
      </c>
      <c r="Z2575" s="57" t="s">
        <v>1349</v>
      </c>
      <c r="AA2575" s="91" t="s">
        <v>1677</v>
      </c>
      <c r="AB2575" s="66"/>
      <c r="AC2575" s="66"/>
      <c r="AD2575" s="91"/>
      <c r="AE2575" s="91">
        <v>47.5</v>
      </c>
      <c r="AF2575" s="91">
        <f>100-AE2575-30</f>
        <v>22.5</v>
      </c>
      <c r="AG2575" s="91"/>
      <c r="AH2575" s="57" t="s">
        <v>494</v>
      </c>
      <c r="AI2575" s="167">
        <v>6.5</v>
      </c>
      <c r="AJ2575" s="91">
        <v>0.7</v>
      </c>
      <c r="AK2575" s="91"/>
      <c r="AL2575" s="57"/>
      <c r="AM2575" s="57"/>
      <c r="AN2575" s="184" t="s">
        <v>2664</v>
      </c>
      <c r="AO2575" s="185" t="s">
        <v>5150</v>
      </c>
      <c r="AP2575" s="57"/>
      <c r="AQ2575" s="57" t="s">
        <v>553</v>
      </c>
      <c r="AR2575" s="57" t="s">
        <v>1607</v>
      </c>
      <c r="AS2575" s="57" t="s">
        <v>132</v>
      </c>
      <c r="AT2575" s="180"/>
      <c r="AU2575" s="181" t="s">
        <v>7494</v>
      </c>
      <c r="AV2575" s="184" t="s">
        <v>176</v>
      </c>
      <c r="AW2575" s="57"/>
      <c r="AX2575" s="184" t="s">
        <v>176</v>
      </c>
      <c r="AY2575" s="57"/>
      <c r="AZ2575" s="57"/>
      <c r="BA2575" s="57"/>
      <c r="BB2575" s="57"/>
      <c r="BC2575" s="57"/>
      <c r="BD2575" s="57"/>
      <c r="BE2575" s="251" t="s">
        <v>2672</v>
      </c>
      <c r="BF2575" s="252" t="s">
        <v>479</v>
      </c>
      <c r="BG2575" s="252" t="s">
        <v>479</v>
      </c>
      <c r="BH2575" s="251" t="s">
        <v>2672</v>
      </c>
      <c r="BI2575" s="252" t="s">
        <v>479</v>
      </c>
      <c r="BJ2575" s="57" t="s">
        <v>176</v>
      </c>
      <c r="BK2575" s="57" t="s">
        <v>5976</v>
      </c>
      <c r="BL2575" s="57"/>
      <c r="BM2575" s="253" t="s">
        <v>2663</v>
      </c>
      <c r="BN2575" s="57">
        <v>4</v>
      </c>
      <c r="BO2575" s="57">
        <v>4</v>
      </c>
      <c r="BP2575" s="57"/>
      <c r="BQ2575" s="57" t="s">
        <v>141</v>
      </c>
      <c r="BR2575" s="57"/>
      <c r="BS2575" s="57"/>
      <c r="BT2575" s="57"/>
      <c r="BU2575" s="57"/>
      <c r="BV2575" s="57"/>
      <c r="BW2575" s="66">
        <v>2233</v>
      </c>
      <c r="BX2575" s="66">
        <v>2724</v>
      </c>
      <c r="BY2575" s="66"/>
      <c r="BZ2575" s="66"/>
      <c r="CA2575" s="66" t="s">
        <v>545</v>
      </c>
      <c r="CB2575" s="66">
        <v>2111</v>
      </c>
      <c r="CC2575" s="66">
        <v>2376</v>
      </c>
      <c r="CD2575" s="66">
        <f>(CC2575-CB2575)/CB2575</f>
        <v>0.12553292278540976</v>
      </c>
      <c r="CE2575" s="66"/>
      <c r="CF2575" s="66"/>
      <c r="CG2575" s="66" t="s">
        <v>2673</v>
      </c>
      <c r="CH2575" s="91"/>
      <c r="CI2575" s="91"/>
      <c r="CJ2575" s="66"/>
      <c r="CK2575" s="66"/>
      <c r="CL2575" s="66"/>
      <c r="CM2575" s="66"/>
      <c r="CN2575" s="66"/>
      <c r="CO2575" s="66"/>
      <c r="CP2575" s="66"/>
      <c r="CQ2575" s="66"/>
      <c r="CR2575" s="66"/>
      <c r="CS2575" s="66"/>
      <c r="CT2575" s="66"/>
      <c r="CU2575" s="66"/>
      <c r="CV2575" s="66"/>
      <c r="CW2575" s="66"/>
      <c r="CX2575" s="66"/>
      <c r="CY2575" s="66"/>
      <c r="CZ2575" s="66"/>
      <c r="DA2575" s="66"/>
      <c r="DB2575" s="66"/>
      <c r="DC2575" s="66"/>
      <c r="DD2575" s="66"/>
      <c r="DE2575" s="66"/>
      <c r="DF2575" s="66"/>
      <c r="DG2575" s="66"/>
      <c r="DH2575" s="66"/>
      <c r="DI2575" s="66"/>
      <c r="DJ2575" s="66"/>
      <c r="DK2575" s="66"/>
      <c r="DL2575" s="66"/>
      <c r="DM2575" s="66"/>
      <c r="DN2575" s="66"/>
      <c r="DO2575" s="66"/>
      <c r="DP2575" s="66"/>
      <c r="DQ2575" s="164"/>
      <c r="DR2575" s="164"/>
      <c r="DS2575" s="161"/>
      <c r="DT2575" s="161"/>
      <c r="DU2575" s="66"/>
      <c r="DV2575" s="66"/>
      <c r="DW2575" s="66"/>
      <c r="DX2575" s="66"/>
      <c r="DY2575" s="66"/>
      <c r="DZ2575" s="66"/>
      <c r="EA2575" s="66"/>
      <c r="EB2575" s="66"/>
      <c r="EC2575" s="66"/>
      <c r="ED2575" s="66"/>
      <c r="EE2575" s="66"/>
      <c r="EF2575" s="66"/>
      <c r="EG2575" s="66"/>
      <c r="EH2575" s="66"/>
      <c r="EI2575" s="66"/>
      <c r="EJ2575" s="66"/>
      <c r="EK2575" s="91"/>
      <c r="EL2575" s="91"/>
      <c r="EM2575" s="66"/>
      <c r="EN2575" s="66"/>
      <c r="EO2575" s="66"/>
      <c r="EP2575" s="66"/>
      <c r="EQ2575" s="66"/>
      <c r="ER2575" s="66"/>
      <c r="ES2575" s="66"/>
      <c r="ET2575" s="66"/>
      <c r="EU2575" s="66"/>
      <c r="EV2575" s="66"/>
      <c r="EW2575" s="66"/>
      <c r="EX2575" s="66"/>
      <c r="EY2575" s="66"/>
      <c r="EZ2575" s="66"/>
      <c r="FA2575" s="66"/>
      <c r="FB2575" s="66"/>
      <c r="FC2575" s="66"/>
      <c r="FD2575" s="66"/>
      <c r="FE2575" s="66"/>
      <c r="FF2575" s="66"/>
      <c r="FG2575" s="66"/>
      <c r="FH2575" s="66"/>
      <c r="FI2575" s="66"/>
      <c r="FJ2575" s="66"/>
      <c r="FK2575" s="66"/>
      <c r="FL2575" s="66"/>
      <c r="FM2575" s="66"/>
      <c r="FN2575" s="66"/>
      <c r="FO2575" s="66"/>
      <c r="FP2575" s="66"/>
      <c r="FQ2575" s="66"/>
      <c r="FR2575" s="66"/>
      <c r="FS2575" s="66"/>
      <c r="FT2575" s="66"/>
      <c r="FU2575" s="66"/>
      <c r="FV2575" s="66"/>
      <c r="FW2575" s="66"/>
      <c r="FX2575" s="66"/>
      <c r="FY2575" s="66"/>
      <c r="FZ2575" s="66"/>
      <c r="GA2575" s="66"/>
      <c r="GB2575" s="66"/>
      <c r="GC2575" s="66"/>
      <c r="GD2575" s="66"/>
      <c r="GE2575" s="66"/>
      <c r="GF2575" s="66"/>
      <c r="GG2575" s="66"/>
      <c r="GH2575" s="66"/>
      <c r="GI2575" s="66"/>
      <c r="GJ2575" s="66"/>
      <c r="GK2575" s="66"/>
      <c r="GL2575" s="66"/>
      <c r="GM2575" s="66"/>
      <c r="GN2575" s="293"/>
      <c r="GO2575" s="293"/>
      <c r="GP2575" s="292" t="s">
        <v>7494</v>
      </c>
      <c r="GQ2575" s="66"/>
      <c r="GR2575" s="66"/>
      <c r="GS2575" s="66"/>
      <c r="GT2575" s="66"/>
      <c r="GU2575" s="66"/>
      <c r="GV2575" s="66"/>
      <c r="GW2575" s="66"/>
      <c r="GX2575" s="66"/>
      <c r="GY2575" s="66"/>
      <c r="GZ2575" s="66"/>
      <c r="HA2575" s="66"/>
      <c r="HB2575" s="66"/>
      <c r="HC2575" s="66"/>
      <c r="HD2575" s="66"/>
      <c r="HE2575" s="66"/>
      <c r="HF2575" s="66"/>
      <c r="HG2575" s="66"/>
      <c r="HH2575" s="66"/>
      <c r="HI2575" s="66"/>
      <c r="HJ2575" s="66"/>
      <c r="HK2575" s="66"/>
      <c r="HL2575" s="66"/>
      <c r="HM2575" s="66"/>
      <c r="HN2575" s="66"/>
      <c r="HO2575" s="66"/>
      <c r="HP2575" s="66"/>
      <c r="HQ2575" s="66"/>
      <c r="HR2575" s="66"/>
      <c r="HS2575" s="66"/>
      <c r="HT2575" s="66"/>
      <c r="HU2575" s="66"/>
      <c r="HV2575" s="66"/>
      <c r="HW2575" s="66"/>
      <c r="HX2575" s="66"/>
      <c r="HY2575" s="66"/>
      <c r="HZ2575" s="66"/>
      <c r="IA2575" s="66"/>
      <c r="IB2575" s="66"/>
      <c r="IC2575" s="66"/>
      <c r="ID2575" s="66"/>
      <c r="IE2575" s="66"/>
      <c r="IF2575" s="66"/>
      <c r="IG2575" s="66"/>
      <c r="IH2575" s="66"/>
      <c r="II2575" s="66"/>
      <c r="IJ2575" s="66"/>
      <c r="IK2575" s="66"/>
      <c r="IL2575" s="66"/>
      <c r="IM2575" s="66"/>
      <c r="IN2575" s="66"/>
      <c r="IO2575" s="66"/>
      <c r="IP2575" s="66"/>
      <c r="IQ2575" s="66"/>
      <c r="IR2575" s="66"/>
      <c r="IS2575" s="66"/>
      <c r="IT2575" s="66"/>
      <c r="IU2575" s="66"/>
      <c r="IV2575" s="66"/>
      <c r="IW2575" s="66"/>
      <c r="IX2575" s="66"/>
      <c r="IY2575" s="66"/>
      <c r="IZ2575" s="66"/>
      <c r="JA2575" s="66"/>
      <c r="JB2575" s="66"/>
      <c r="JC2575" s="66"/>
      <c r="JD2575" s="66"/>
      <c r="JE2575" s="66"/>
      <c r="JF2575" s="66"/>
      <c r="JG2575" s="66"/>
      <c r="JH2575" s="66"/>
      <c r="JI2575" s="66"/>
      <c r="JJ2575" s="66"/>
      <c r="JK2575" s="66"/>
      <c r="JL2575" s="66"/>
      <c r="JM2575" s="66"/>
      <c r="JN2575" s="66"/>
      <c r="JO2575" s="66"/>
      <c r="JP2575" s="66"/>
      <c r="JQ2575" s="66"/>
      <c r="JR2575" s="66"/>
      <c r="JS2575" s="66"/>
      <c r="JT2575" s="66"/>
      <c r="JU2575" s="57"/>
      <c r="JV2575" s="57"/>
      <c r="JW2575" s="57"/>
    </row>
    <row r="2576" spans="1:286" s="13" customFormat="1" x14ac:dyDescent="0.25">
      <c r="A2576" s="57">
        <v>2575</v>
      </c>
      <c r="B2576" s="13" t="s">
        <v>7067</v>
      </c>
      <c r="C2576" s="154">
        <v>121</v>
      </c>
      <c r="D2576" s="57" t="s">
        <v>4247</v>
      </c>
      <c r="E2576" s="91" t="s">
        <v>2659</v>
      </c>
      <c r="F2576" s="91"/>
      <c r="G2576" s="57" t="s">
        <v>2658</v>
      </c>
      <c r="H2576" s="57">
        <v>1999</v>
      </c>
      <c r="I2576" s="57">
        <v>1995</v>
      </c>
      <c r="J2576" s="57" t="s">
        <v>2660</v>
      </c>
      <c r="K2576" s="57" t="s">
        <v>2661</v>
      </c>
      <c r="L2576" s="57" t="s">
        <v>2744</v>
      </c>
      <c r="M2576" s="91">
        <f>10+24/60</f>
        <v>10.4</v>
      </c>
      <c r="N2576" s="91">
        <f>7+42/60</f>
        <v>7.7</v>
      </c>
      <c r="O2576" s="91">
        <v>656</v>
      </c>
      <c r="P2576" s="57"/>
      <c r="Q2576" s="57"/>
      <c r="R2576" s="57"/>
      <c r="S2576" s="91">
        <v>1350</v>
      </c>
      <c r="T2576" s="57"/>
      <c r="U2576" s="57" t="s">
        <v>1935</v>
      </c>
      <c r="V2576" s="57" t="s">
        <v>1805</v>
      </c>
      <c r="W2576" s="172"/>
      <c r="X2576" s="172"/>
      <c r="Y2576" s="57" t="s">
        <v>1911</v>
      </c>
      <c r="Z2576" s="57" t="s">
        <v>1349</v>
      </c>
      <c r="AA2576" s="91" t="s">
        <v>1677</v>
      </c>
      <c r="AB2576" s="66"/>
      <c r="AC2576" s="66"/>
      <c r="AD2576" s="91"/>
      <c r="AE2576" s="91">
        <v>47.5</v>
      </c>
      <c r="AF2576" s="91">
        <f>100-AE2576-30</f>
        <v>22.5</v>
      </c>
      <c r="AG2576" s="91"/>
      <c r="AH2576" s="57" t="s">
        <v>494</v>
      </c>
      <c r="AI2576" s="167">
        <v>6.5</v>
      </c>
      <c r="AJ2576" s="91">
        <v>0.7</v>
      </c>
      <c r="AK2576" s="91"/>
      <c r="AL2576" s="57"/>
      <c r="AM2576" s="57"/>
      <c r="AN2576" s="184" t="s">
        <v>2665</v>
      </c>
      <c r="AO2576" s="185" t="s">
        <v>5150</v>
      </c>
      <c r="AP2576" s="57"/>
      <c r="AQ2576" s="57" t="s">
        <v>553</v>
      </c>
      <c r="AR2576" s="57" t="s">
        <v>1607</v>
      </c>
      <c r="AS2576" s="57" t="s">
        <v>132</v>
      </c>
      <c r="AT2576" s="180"/>
      <c r="AU2576" s="181" t="s">
        <v>7494</v>
      </c>
      <c r="AV2576" s="184" t="s">
        <v>176</v>
      </c>
      <c r="AW2576" s="57"/>
      <c r="AX2576" s="184" t="s">
        <v>176</v>
      </c>
      <c r="AY2576" s="57"/>
      <c r="AZ2576" s="57"/>
      <c r="BA2576" s="57"/>
      <c r="BB2576" s="57"/>
      <c r="BC2576" s="57"/>
      <c r="BD2576" s="57"/>
      <c r="BE2576" s="251" t="s">
        <v>161</v>
      </c>
      <c r="BF2576" s="252" t="s">
        <v>479</v>
      </c>
      <c r="BG2576" s="252" t="s">
        <v>176</v>
      </c>
      <c r="BH2576" s="251" t="s">
        <v>161</v>
      </c>
      <c r="BI2576" s="252" t="s">
        <v>176</v>
      </c>
      <c r="BJ2576" s="57" t="s">
        <v>176</v>
      </c>
      <c r="BK2576" s="57" t="s">
        <v>5976</v>
      </c>
      <c r="BL2576" s="57"/>
      <c r="BM2576" s="253" t="s">
        <v>2663</v>
      </c>
      <c r="BN2576" s="57">
        <v>4</v>
      </c>
      <c r="BO2576" s="57">
        <v>4</v>
      </c>
      <c r="BP2576" s="57"/>
      <c r="BQ2576" s="57" t="s">
        <v>141</v>
      </c>
      <c r="BR2576" s="57"/>
      <c r="BS2576" s="57"/>
      <c r="BT2576" s="57"/>
      <c r="BU2576" s="57"/>
      <c r="BV2576" s="57"/>
      <c r="BW2576" s="66">
        <v>867</v>
      </c>
      <c r="BX2576" s="66">
        <v>1706</v>
      </c>
      <c r="BY2576" s="66"/>
      <c r="BZ2576" s="66"/>
      <c r="CA2576" s="66" t="s">
        <v>545</v>
      </c>
      <c r="CB2576" s="66">
        <v>734</v>
      </c>
      <c r="CC2576" s="66">
        <v>929</v>
      </c>
      <c r="CD2576" s="66">
        <f>(CC2576-CB2576)/CB2576</f>
        <v>0.26566757493188009</v>
      </c>
      <c r="CE2576" s="66"/>
      <c r="CF2576" s="66"/>
      <c r="CG2576" s="66" t="s">
        <v>2673</v>
      </c>
      <c r="CH2576" s="91"/>
      <c r="CI2576" s="91"/>
      <c r="CJ2576" s="66"/>
      <c r="CK2576" s="66"/>
      <c r="CL2576" s="66"/>
      <c r="CM2576" s="66"/>
      <c r="CN2576" s="66"/>
      <c r="CO2576" s="66"/>
      <c r="CP2576" s="66"/>
      <c r="CQ2576" s="66"/>
      <c r="CR2576" s="66"/>
      <c r="CS2576" s="66"/>
      <c r="CT2576" s="66"/>
      <c r="CU2576" s="66"/>
      <c r="CV2576" s="66"/>
      <c r="CW2576" s="66"/>
      <c r="CX2576" s="66"/>
      <c r="CY2576" s="66"/>
      <c r="CZ2576" s="66"/>
      <c r="DA2576" s="66"/>
      <c r="DB2576" s="66"/>
      <c r="DC2576" s="66"/>
      <c r="DD2576" s="66"/>
      <c r="DE2576" s="66"/>
      <c r="DF2576" s="66"/>
      <c r="DG2576" s="66"/>
      <c r="DH2576" s="66"/>
      <c r="DI2576" s="66"/>
      <c r="DJ2576" s="66"/>
      <c r="DK2576" s="66"/>
      <c r="DL2576" s="66"/>
      <c r="DM2576" s="66"/>
      <c r="DN2576" s="66"/>
      <c r="DO2576" s="66"/>
      <c r="DP2576" s="66"/>
      <c r="DQ2576" s="164"/>
      <c r="DR2576" s="164"/>
      <c r="DS2576" s="161"/>
      <c r="DT2576" s="161"/>
      <c r="DU2576" s="66"/>
      <c r="DV2576" s="66"/>
      <c r="DW2576" s="66"/>
      <c r="DX2576" s="66"/>
      <c r="DY2576" s="66"/>
      <c r="DZ2576" s="66"/>
      <c r="EA2576" s="66"/>
      <c r="EB2576" s="66"/>
      <c r="EC2576" s="66"/>
      <c r="ED2576" s="66"/>
      <c r="EE2576" s="66"/>
      <c r="EF2576" s="66"/>
      <c r="EG2576" s="66"/>
      <c r="EH2576" s="66"/>
      <c r="EI2576" s="66"/>
      <c r="EJ2576" s="66"/>
      <c r="EK2576" s="91"/>
      <c r="EL2576" s="91"/>
      <c r="EM2576" s="66"/>
      <c r="EN2576" s="66"/>
      <c r="EO2576" s="66"/>
      <c r="EP2576" s="66"/>
      <c r="EQ2576" s="66"/>
      <c r="ER2576" s="66"/>
      <c r="ES2576" s="66"/>
      <c r="ET2576" s="66"/>
      <c r="EU2576" s="66"/>
      <c r="EV2576" s="66"/>
      <c r="EW2576" s="66"/>
      <c r="EX2576" s="66"/>
      <c r="EY2576" s="66"/>
      <c r="EZ2576" s="66"/>
      <c r="FA2576" s="66"/>
      <c r="FB2576" s="66"/>
      <c r="FC2576" s="66"/>
      <c r="FD2576" s="66"/>
      <c r="FE2576" s="66"/>
      <c r="FF2576" s="66"/>
      <c r="FG2576" s="66"/>
      <c r="FH2576" s="66"/>
      <c r="FI2576" s="66"/>
      <c r="FJ2576" s="66"/>
      <c r="FK2576" s="66"/>
      <c r="FL2576" s="66"/>
      <c r="FM2576" s="66"/>
      <c r="FN2576" s="66"/>
      <c r="FO2576" s="66"/>
      <c r="FP2576" s="66"/>
      <c r="FQ2576" s="66"/>
      <c r="FR2576" s="66"/>
      <c r="FS2576" s="66"/>
      <c r="FT2576" s="66"/>
      <c r="FU2576" s="66"/>
      <c r="FV2576" s="66"/>
      <c r="FW2576" s="66"/>
      <c r="FX2576" s="66"/>
      <c r="FY2576" s="66"/>
      <c r="FZ2576" s="66"/>
      <c r="GA2576" s="66"/>
      <c r="GB2576" s="66"/>
      <c r="GC2576" s="66"/>
      <c r="GD2576" s="66"/>
      <c r="GE2576" s="66"/>
      <c r="GF2576" s="66"/>
      <c r="GG2576" s="66"/>
      <c r="GH2576" s="66"/>
      <c r="GI2576" s="66"/>
      <c r="GJ2576" s="66"/>
      <c r="GK2576" s="66"/>
      <c r="GL2576" s="66"/>
      <c r="GM2576" s="66"/>
      <c r="GN2576" s="293"/>
      <c r="GO2576" s="293"/>
      <c r="GP2576" s="292" t="s">
        <v>7494</v>
      </c>
      <c r="GQ2576" s="66"/>
      <c r="GR2576" s="66"/>
      <c r="GS2576" s="66"/>
      <c r="GT2576" s="66"/>
      <c r="GU2576" s="66"/>
      <c r="GV2576" s="66"/>
      <c r="GW2576" s="66"/>
      <c r="GX2576" s="66"/>
      <c r="GY2576" s="66"/>
      <c r="GZ2576" s="66"/>
      <c r="HA2576" s="66"/>
      <c r="HB2576" s="66"/>
      <c r="HC2576" s="66"/>
      <c r="HD2576" s="66"/>
      <c r="HE2576" s="66"/>
      <c r="HF2576" s="66"/>
      <c r="HG2576" s="66"/>
      <c r="HH2576" s="66"/>
      <c r="HI2576" s="66"/>
      <c r="HJ2576" s="66"/>
      <c r="HK2576" s="66"/>
      <c r="HL2576" s="66"/>
      <c r="HM2576" s="66"/>
      <c r="HN2576" s="66"/>
      <c r="HO2576" s="66"/>
      <c r="HP2576" s="66"/>
      <c r="HQ2576" s="66"/>
      <c r="HR2576" s="66"/>
      <c r="HS2576" s="66"/>
      <c r="HT2576" s="66"/>
      <c r="HU2576" s="66"/>
      <c r="HV2576" s="66"/>
      <c r="HW2576" s="66"/>
      <c r="HX2576" s="66"/>
      <c r="HY2576" s="66"/>
      <c r="HZ2576" s="66"/>
      <c r="IA2576" s="66"/>
      <c r="IB2576" s="66"/>
      <c r="IC2576" s="66"/>
      <c r="ID2576" s="66"/>
      <c r="IE2576" s="66"/>
      <c r="IF2576" s="66"/>
      <c r="IG2576" s="66"/>
      <c r="IH2576" s="66"/>
      <c r="II2576" s="66"/>
      <c r="IJ2576" s="66"/>
      <c r="IK2576" s="66"/>
      <c r="IL2576" s="66"/>
      <c r="IM2576" s="66"/>
      <c r="IN2576" s="66"/>
      <c r="IO2576" s="66"/>
      <c r="IP2576" s="66"/>
      <c r="IQ2576" s="66"/>
      <c r="IR2576" s="66"/>
      <c r="IS2576" s="66"/>
      <c r="IT2576" s="66"/>
      <c r="IU2576" s="66"/>
      <c r="IV2576" s="66"/>
      <c r="IW2576" s="66"/>
      <c r="IX2576" s="66"/>
      <c r="IY2576" s="66"/>
      <c r="IZ2576" s="66"/>
      <c r="JA2576" s="66"/>
      <c r="JB2576" s="66"/>
      <c r="JC2576" s="66"/>
      <c r="JD2576" s="66"/>
      <c r="JE2576" s="66"/>
      <c r="JF2576" s="66"/>
      <c r="JG2576" s="66"/>
      <c r="JH2576" s="66"/>
      <c r="JI2576" s="66"/>
      <c r="JJ2576" s="66"/>
      <c r="JK2576" s="66"/>
      <c r="JL2576" s="66"/>
      <c r="JM2576" s="66"/>
      <c r="JN2576" s="66"/>
      <c r="JO2576" s="66"/>
      <c r="JP2576" s="66"/>
      <c r="JQ2576" s="66"/>
      <c r="JR2576" s="66"/>
      <c r="JS2576" s="66"/>
      <c r="JT2576" s="66"/>
      <c r="JU2576" s="57"/>
      <c r="JV2576" s="57"/>
      <c r="JW2576" s="57"/>
    </row>
    <row r="2577" spans="1:286" s="13" customFormat="1" x14ac:dyDescent="0.25">
      <c r="A2577" s="57">
        <v>2576</v>
      </c>
      <c r="B2577" s="13" t="s">
        <v>7067</v>
      </c>
      <c r="C2577" s="154">
        <v>121</v>
      </c>
      <c r="D2577" s="57" t="s">
        <v>4248</v>
      </c>
      <c r="E2577" s="91" t="s">
        <v>2659</v>
      </c>
      <c r="F2577" s="91"/>
      <c r="G2577" s="57" t="s">
        <v>2658</v>
      </c>
      <c r="H2577" s="57">
        <v>1999</v>
      </c>
      <c r="I2577" s="57">
        <v>1995</v>
      </c>
      <c r="J2577" s="57" t="s">
        <v>2660</v>
      </c>
      <c r="K2577" s="57" t="s">
        <v>2661</v>
      </c>
      <c r="L2577" s="57" t="s">
        <v>2744</v>
      </c>
      <c r="M2577" s="91">
        <f>10+24/60</f>
        <v>10.4</v>
      </c>
      <c r="N2577" s="91">
        <f>7+42/60</f>
        <v>7.7</v>
      </c>
      <c r="O2577" s="91">
        <v>656</v>
      </c>
      <c r="P2577" s="57"/>
      <c r="Q2577" s="57"/>
      <c r="R2577" s="57"/>
      <c r="S2577" s="91">
        <v>1350</v>
      </c>
      <c r="T2577" s="57"/>
      <c r="U2577" s="57" t="s">
        <v>1935</v>
      </c>
      <c r="V2577" s="57" t="s">
        <v>1805</v>
      </c>
      <c r="W2577" s="172"/>
      <c r="X2577" s="172"/>
      <c r="Y2577" s="57" t="s">
        <v>1911</v>
      </c>
      <c r="Z2577" s="57" t="s">
        <v>1349</v>
      </c>
      <c r="AA2577" s="91" t="s">
        <v>1677</v>
      </c>
      <c r="AB2577" s="66"/>
      <c r="AC2577" s="66"/>
      <c r="AD2577" s="91"/>
      <c r="AE2577" s="91">
        <v>47.5</v>
      </c>
      <c r="AF2577" s="91">
        <f>100-AE2577-30</f>
        <v>22.5</v>
      </c>
      <c r="AG2577" s="91"/>
      <c r="AH2577" s="57" t="s">
        <v>494</v>
      </c>
      <c r="AI2577" s="167">
        <v>6.5</v>
      </c>
      <c r="AJ2577" s="91">
        <v>0.7</v>
      </c>
      <c r="AK2577" s="91"/>
      <c r="AL2577" s="57"/>
      <c r="AM2577" s="57"/>
      <c r="AN2577" s="184" t="s">
        <v>2665</v>
      </c>
      <c r="AO2577" s="185" t="s">
        <v>5150</v>
      </c>
      <c r="AP2577" s="57"/>
      <c r="AQ2577" s="57" t="s">
        <v>553</v>
      </c>
      <c r="AR2577" s="57" t="s">
        <v>1607</v>
      </c>
      <c r="AS2577" s="57" t="s">
        <v>132</v>
      </c>
      <c r="AT2577" s="180"/>
      <c r="AU2577" s="181" t="s">
        <v>7494</v>
      </c>
      <c r="AV2577" s="184" t="s">
        <v>176</v>
      </c>
      <c r="AW2577" s="57"/>
      <c r="AX2577" s="184" t="s">
        <v>176</v>
      </c>
      <c r="AY2577" s="57"/>
      <c r="AZ2577" s="57"/>
      <c r="BA2577" s="57"/>
      <c r="BB2577" s="57"/>
      <c r="BC2577" s="57"/>
      <c r="BD2577" s="57"/>
      <c r="BE2577" s="251" t="s">
        <v>2671</v>
      </c>
      <c r="BF2577" s="252" t="s">
        <v>479</v>
      </c>
      <c r="BG2577" s="252" t="s">
        <v>479</v>
      </c>
      <c r="BH2577" s="251" t="s">
        <v>2671</v>
      </c>
      <c r="BI2577" s="252" t="s">
        <v>479</v>
      </c>
      <c r="BJ2577" s="57" t="s">
        <v>176</v>
      </c>
      <c r="BK2577" s="57" t="s">
        <v>5976</v>
      </c>
      <c r="BL2577" s="57"/>
      <c r="BM2577" s="253" t="s">
        <v>2663</v>
      </c>
      <c r="BN2577" s="57">
        <v>4</v>
      </c>
      <c r="BO2577" s="57">
        <v>4</v>
      </c>
      <c r="BP2577" s="57"/>
      <c r="BQ2577" s="57" t="s">
        <v>141</v>
      </c>
      <c r="BR2577" s="57"/>
      <c r="BS2577" s="57"/>
      <c r="BT2577" s="57"/>
      <c r="BU2577" s="57"/>
      <c r="BV2577" s="57"/>
      <c r="BW2577" s="66">
        <v>1649</v>
      </c>
      <c r="BX2577" s="66">
        <v>2398</v>
      </c>
      <c r="BY2577" s="66"/>
      <c r="BZ2577" s="66"/>
      <c r="CA2577" s="66" t="s">
        <v>545</v>
      </c>
      <c r="CB2577" s="66">
        <v>1214</v>
      </c>
      <c r="CC2577" s="66">
        <v>2016</v>
      </c>
      <c r="CD2577" s="66">
        <f>(CC2577-CB2577)/CB2577</f>
        <v>0.66062602965403627</v>
      </c>
      <c r="CE2577" s="66"/>
      <c r="CF2577" s="66"/>
      <c r="CG2577" s="66" t="s">
        <v>2673</v>
      </c>
      <c r="CH2577" s="91"/>
      <c r="CI2577" s="91"/>
      <c r="CJ2577" s="66"/>
      <c r="CK2577" s="66"/>
      <c r="CL2577" s="66"/>
      <c r="CM2577" s="66"/>
      <c r="CN2577" s="66"/>
      <c r="CO2577" s="66"/>
      <c r="CP2577" s="66"/>
      <c r="CQ2577" s="66"/>
      <c r="CR2577" s="66"/>
      <c r="CS2577" s="66"/>
      <c r="CT2577" s="66"/>
      <c r="CU2577" s="66"/>
      <c r="CV2577" s="66"/>
      <c r="CW2577" s="66"/>
      <c r="CX2577" s="66"/>
      <c r="CY2577" s="66"/>
      <c r="CZ2577" s="66"/>
      <c r="DA2577" s="66"/>
      <c r="DB2577" s="66"/>
      <c r="DC2577" s="66"/>
      <c r="DD2577" s="66"/>
      <c r="DE2577" s="66"/>
      <c r="DF2577" s="66"/>
      <c r="DG2577" s="66"/>
      <c r="DH2577" s="66"/>
      <c r="DI2577" s="66"/>
      <c r="DJ2577" s="66"/>
      <c r="DK2577" s="66"/>
      <c r="DL2577" s="66"/>
      <c r="DM2577" s="66"/>
      <c r="DN2577" s="66"/>
      <c r="DO2577" s="66"/>
      <c r="DP2577" s="66"/>
      <c r="DQ2577" s="164"/>
      <c r="DR2577" s="164"/>
      <c r="DS2577" s="161"/>
      <c r="DT2577" s="161"/>
      <c r="DU2577" s="66"/>
      <c r="DV2577" s="66"/>
      <c r="DW2577" s="66"/>
      <c r="DX2577" s="66"/>
      <c r="DY2577" s="66"/>
      <c r="DZ2577" s="66"/>
      <c r="EA2577" s="66"/>
      <c r="EB2577" s="66"/>
      <c r="EC2577" s="66"/>
      <c r="ED2577" s="66"/>
      <c r="EE2577" s="66"/>
      <c r="EF2577" s="66"/>
      <c r="EG2577" s="66"/>
      <c r="EH2577" s="66"/>
      <c r="EI2577" s="66"/>
      <c r="EJ2577" s="66"/>
      <c r="EK2577" s="91"/>
      <c r="EL2577" s="91"/>
      <c r="EM2577" s="66"/>
      <c r="EN2577" s="66"/>
      <c r="EO2577" s="66"/>
      <c r="EP2577" s="66"/>
      <c r="EQ2577" s="66"/>
      <c r="ER2577" s="66"/>
      <c r="ES2577" s="66"/>
      <c r="ET2577" s="66"/>
      <c r="EU2577" s="66"/>
      <c r="EV2577" s="66"/>
      <c r="EW2577" s="66"/>
      <c r="EX2577" s="66"/>
      <c r="EY2577" s="66"/>
      <c r="EZ2577" s="66"/>
      <c r="FA2577" s="66"/>
      <c r="FB2577" s="66"/>
      <c r="FC2577" s="66"/>
      <c r="FD2577" s="66"/>
      <c r="FE2577" s="66"/>
      <c r="FF2577" s="66"/>
      <c r="FG2577" s="66"/>
      <c r="FH2577" s="66"/>
      <c r="FI2577" s="66"/>
      <c r="FJ2577" s="66"/>
      <c r="FK2577" s="66"/>
      <c r="FL2577" s="66"/>
      <c r="FM2577" s="66"/>
      <c r="FN2577" s="66"/>
      <c r="FO2577" s="66"/>
      <c r="FP2577" s="66"/>
      <c r="FQ2577" s="66"/>
      <c r="FR2577" s="66"/>
      <c r="FS2577" s="66"/>
      <c r="FT2577" s="66"/>
      <c r="FU2577" s="66"/>
      <c r="FV2577" s="66"/>
      <c r="FW2577" s="66"/>
      <c r="FX2577" s="66"/>
      <c r="FY2577" s="66"/>
      <c r="FZ2577" s="66"/>
      <c r="GA2577" s="66"/>
      <c r="GB2577" s="66"/>
      <c r="GC2577" s="66"/>
      <c r="GD2577" s="66"/>
      <c r="GE2577" s="66"/>
      <c r="GF2577" s="66"/>
      <c r="GG2577" s="66"/>
      <c r="GH2577" s="66"/>
      <c r="GI2577" s="66"/>
      <c r="GJ2577" s="66"/>
      <c r="GK2577" s="66"/>
      <c r="GL2577" s="66"/>
      <c r="GM2577" s="66"/>
      <c r="GN2577" s="293"/>
      <c r="GO2577" s="293"/>
      <c r="GP2577" s="292" t="s">
        <v>7494</v>
      </c>
      <c r="GQ2577" s="66"/>
      <c r="GR2577" s="66"/>
      <c r="GS2577" s="66"/>
      <c r="GT2577" s="66"/>
      <c r="GU2577" s="66"/>
      <c r="GV2577" s="66"/>
      <c r="GW2577" s="66"/>
      <c r="GX2577" s="66"/>
      <c r="GY2577" s="66"/>
      <c r="GZ2577" s="66"/>
      <c r="HA2577" s="66"/>
      <c r="HB2577" s="66"/>
      <c r="HC2577" s="66"/>
      <c r="HD2577" s="66"/>
      <c r="HE2577" s="66"/>
      <c r="HF2577" s="66"/>
      <c r="HG2577" s="66"/>
      <c r="HH2577" s="66"/>
      <c r="HI2577" s="66"/>
      <c r="HJ2577" s="66"/>
      <c r="HK2577" s="66"/>
      <c r="HL2577" s="66"/>
      <c r="HM2577" s="66"/>
      <c r="HN2577" s="66"/>
      <c r="HO2577" s="66"/>
      <c r="HP2577" s="66"/>
      <c r="HQ2577" s="66"/>
      <c r="HR2577" s="66"/>
      <c r="HS2577" s="66"/>
      <c r="HT2577" s="66"/>
      <c r="HU2577" s="66"/>
      <c r="HV2577" s="66"/>
      <c r="HW2577" s="66"/>
      <c r="HX2577" s="66"/>
      <c r="HY2577" s="66"/>
      <c r="HZ2577" s="66"/>
      <c r="IA2577" s="66"/>
      <c r="IB2577" s="66"/>
      <c r="IC2577" s="66"/>
      <c r="ID2577" s="66"/>
      <c r="IE2577" s="66"/>
      <c r="IF2577" s="66"/>
      <c r="IG2577" s="66"/>
      <c r="IH2577" s="66"/>
      <c r="II2577" s="66"/>
      <c r="IJ2577" s="66"/>
      <c r="IK2577" s="66"/>
      <c r="IL2577" s="66"/>
      <c r="IM2577" s="66"/>
      <c r="IN2577" s="66"/>
      <c r="IO2577" s="66"/>
      <c r="IP2577" s="66"/>
      <c r="IQ2577" s="66"/>
      <c r="IR2577" s="66"/>
      <c r="IS2577" s="66"/>
      <c r="IT2577" s="66"/>
      <c r="IU2577" s="66"/>
      <c r="IV2577" s="66"/>
      <c r="IW2577" s="66"/>
      <c r="IX2577" s="66"/>
      <c r="IY2577" s="66"/>
      <c r="IZ2577" s="66"/>
      <c r="JA2577" s="66"/>
      <c r="JB2577" s="66"/>
      <c r="JC2577" s="66"/>
      <c r="JD2577" s="66"/>
      <c r="JE2577" s="66"/>
      <c r="JF2577" s="66"/>
      <c r="JG2577" s="66"/>
      <c r="JH2577" s="66"/>
      <c r="JI2577" s="66"/>
      <c r="JJ2577" s="66"/>
      <c r="JK2577" s="66"/>
      <c r="JL2577" s="66"/>
      <c r="JM2577" s="66"/>
      <c r="JN2577" s="66"/>
      <c r="JO2577" s="66"/>
      <c r="JP2577" s="66"/>
      <c r="JQ2577" s="66"/>
      <c r="JR2577" s="66"/>
      <c r="JS2577" s="66"/>
      <c r="JT2577" s="66"/>
      <c r="JU2577" s="57"/>
      <c r="JV2577" s="57"/>
      <c r="JW2577" s="57"/>
    </row>
    <row r="2578" spans="1:286" s="13" customFormat="1" x14ac:dyDescent="0.25">
      <c r="A2578" s="57">
        <v>2577</v>
      </c>
      <c r="B2578" s="13" t="s">
        <v>7067</v>
      </c>
      <c r="C2578" s="154">
        <v>121</v>
      </c>
      <c r="D2578" s="57" t="s">
        <v>4249</v>
      </c>
      <c r="E2578" s="91" t="s">
        <v>2659</v>
      </c>
      <c r="F2578" s="91"/>
      <c r="G2578" s="57" t="s">
        <v>2658</v>
      </c>
      <c r="H2578" s="57">
        <v>1999</v>
      </c>
      <c r="I2578" s="57">
        <v>1995</v>
      </c>
      <c r="J2578" s="57" t="s">
        <v>2660</v>
      </c>
      <c r="K2578" s="57" t="s">
        <v>2661</v>
      </c>
      <c r="L2578" s="57" t="s">
        <v>2744</v>
      </c>
      <c r="M2578" s="91">
        <f>10+24/60</f>
        <v>10.4</v>
      </c>
      <c r="N2578" s="91">
        <f>7+42/60</f>
        <v>7.7</v>
      </c>
      <c r="O2578" s="91">
        <v>656</v>
      </c>
      <c r="P2578" s="57"/>
      <c r="Q2578" s="57"/>
      <c r="R2578" s="57"/>
      <c r="S2578" s="91">
        <v>1350</v>
      </c>
      <c r="T2578" s="57"/>
      <c r="U2578" s="57" t="s">
        <v>1935</v>
      </c>
      <c r="V2578" s="57" t="s">
        <v>1805</v>
      </c>
      <c r="W2578" s="172"/>
      <c r="X2578" s="172"/>
      <c r="Y2578" s="57" t="s">
        <v>1911</v>
      </c>
      <c r="Z2578" s="57" t="s">
        <v>1349</v>
      </c>
      <c r="AA2578" s="91" t="s">
        <v>1677</v>
      </c>
      <c r="AB2578" s="66"/>
      <c r="AC2578" s="66"/>
      <c r="AD2578" s="91"/>
      <c r="AE2578" s="91">
        <v>47.5</v>
      </c>
      <c r="AF2578" s="91">
        <f>100-AE2578-30</f>
        <v>22.5</v>
      </c>
      <c r="AG2578" s="91"/>
      <c r="AH2578" s="57" t="s">
        <v>494</v>
      </c>
      <c r="AI2578" s="167">
        <v>6.5</v>
      </c>
      <c r="AJ2578" s="91">
        <v>0.7</v>
      </c>
      <c r="AK2578" s="91"/>
      <c r="AL2578" s="57"/>
      <c r="AM2578" s="57"/>
      <c r="AN2578" s="184" t="s">
        <v>2665</v>
      </c>
      <c r="AO2578" s="185" t="s">
        <v>5150</v>
      </c>
      <c r="AP2578" s="57"/>
      <c r="AQ2578" s="57" t="s">
        <v>553</v>
      </c>
      <c r="AR2578" s="57" t="s">
        <v>1607</v>
      </c>
      <c r="AS2578" s="57" t="s">
        <v>132</v>
      </c>
      <c r="AT2578" s="180"/>
      <c r="AU2578" s="181" t="s">
        <v>7494</v>
      </c>
      <c r="AV2578" s="184" t="s">
        <v>176</v>
      </c>
      <c r="AW2578" s="57"/>
      <c r="AX2578" s="184" t="s">
        <v>176</v>
      </c>
      <c r="AY2578" s="57"/>
      <c r="AZ2578" s="57"/>
      <c r="BA2578" s="57"/>
      <c r="BB2578" s="57"/>
      <c r="BC2578" s="57"/>
      <c r="BD2578" s="57"/>
      <c r="BE2578" s="251" t="s">
        <v>2672</v>
      </c>
      <c r="BF2578" s="252" t="s">
        <v>479</v>
      </c>
      <c r="BG2578" s="252" t="s">
        <v>479</v>
      </c>
      <c r="BH2578" s="251" t="s">
        <v>2672</v>
      </c>
      <c r="BI2578" s="252" t="s">
        <v>479</v>
      </c>
      <c r="BJ2578" s="57" t="s">
        <v>176</v>
      </c>
      <c r="BK2578" s="57" t="s">
        <v>5976</v>
      </c>
      <c r="BL2578" s="57"/>
      <c r="BM2578" s="253" t="s">
        <v>2663</v>
      </c>
      <c r="BN2578" s="57">
        <v>4</v>
      </c>
      <c r="BO2578" s="57">
        <v>4</v>
      </c>
      <c r="BP2578" s="57"/>
      <c r="BQ2578" s="57" t="s">
        <v>141</v>
      </c>
      <c r="BR2578" s="57"/>
      <c r="BS2578" s="57"/>
      <c r="BT2578" s="57"/>
      <c r="BU2578" s="57"/>
      <c r="BV2578" s="57"/>
      <c r="BW2578" s="66">
        <v>2233</v>
      </c>
      <c r="BX2578" s="66">
        <v>2444</v>
      </c>
      <c r="BY2578" s="66"/>
      <c r="BZ2578" s="66"/>
      <c r="CA2578" s="66" t="s">
        <v>545</v>
      </c>
      <c r="CB2578" s="66">
        <v>2111</v>
      </c>
      <c r="CC2578" s="66">
        <v>2482</v>
      </c>
      <c r="CD2578" s="66">
        <f>(CC2578-CB2578)/CB2578</f>
        <v>0.17574609189957366</v>
      </c>
      <c r="CE2578" s="66"/>
      <c r="CF2578" s="66"/>
      <c r="CG2578" s="66" t="s">
        <v>2673</v>
      </c>
      <c r="CH2578" s="91"/>
      <c r="CI2578" s="91"/>
      <c r="CJ2578" s="66"/>
      <c r="CK2578" s="66"/>
      <c r="CL2578" s="66"/>
      <c r="CM2578" s="66"/>
      <c r="CN2578" s="66"/>
      <c r="CO2578" s="66"/>
      <c r="CP2578" s="66"/>
      <c r="CQ2578" s="66"/>
      <c r="CR2578" s="66"/>
      <c r="CS2578" s="66"/>
      <c r="CT2578" s="66"/>
      <c r="CU2578" s="66"/>
      <c r="CV2578" s="66"/>
      <c r="CW2578" s="66"/>
      <c r="CX2578" s="66"/>
      <c r="CY2578" s="66"/>
      <c r="CZ2578" s="66"/>
      <c r="DA2578" s="66"/>
      <c r="DB2578" s="66"/>
      <c r="DC2578" s="66"/>
      <c r="DD2578" s="66"/>
      <c r="DE2578" s="66"/>
      <c r="DF2578" s="66"/>
      <c r="DG2578" s="66"/>
      <c r="DH2578" s="66"/>
      <c r="DI2578" s="66"/>
      <c r="DJ2578" s="66"/>
      <c r="DK2578" s="66"/>
      <c r="DL2578" s="66"/>
      <c r="DM2578" s="66"/>
      <c r="DN2578" s="66"/>
      <c r="DO2578" s="66"/>
      <c r="DP2578" s="66"/>
      <c r="DQ2578" s="164"/>
      <c r="DR2578" s="164"/>
      <c r="DS2578" s="161"/>
      <c r="DT2578" s="161"/>
      <c r="DU2578" s="66"/>
      <c r="DV2578" s="66"/>
      <c r="DW2578" s="66"/>
      <c r="DX2578" s="66"/>
      <c r="DY2578" s="66"/>
      <c r="DZ2578" s="66"/>
      <c r="EA2578" s="66"/>
      <c r="EB2578" s="66"/>
      <c r="EC2578" s="66"/>
      <c r="ED2578" s="66"/>
      <c r="EE2578" s="66"/>
      <c r="EF2578" s="66"/>
      <c r="EG2578" s="66"/>
      <c r="EH2578" s="66"/>
      <c r="EI2578" s="66"/>
      <c r="EJ2578" s="66"/>
      <c r="EK2578" s="91"/>
      <c r="EL2578" s="91"/>
      <c r="EM2578" s="66"/>
      <c r="EN2578" s="66"/>
      <c r="EO2578" s="66"/>
      <c r="EP2578" s="66"/>
      <c r="EQ2578" s="66"/>
      <c r="ER2578" s="66"/>
      <c r="ES2578" s="66"/>
      <c r="ET2578" s="66"/>
      <c r="EU2578" s="66"/>
      <c r="EV2578" s="66"/>
      <c r="EW2578" s="66"/>
      <c r="EX2578" s="66"/>
      <c r="EY2578" s="66"/>
      <c r="EZ2578" s="66"/>
      <c r="FA2578" s="66"/>
      <c r="FB2578" s="66"/>
      <c r="FC2578" s="66"/>
      <c r="FD2578" s="66"/>
      <c r="FE2578" s="66"/>
      <c r="FF2578" s="66"/>
      <c r="FG2578" s="66"/>
      <c r="FH2578" s="66"/>
      <c r="FI2578" s="66"/>
      <c r="FJ2578" s="66"/>
      <c r="FK2578" s="66"/>
      <c r="FL2578" s="66"/>
      <c r="FM2578" s="66"/>
      <c r="FN2578" s="66"/>
      <c r="FO2578" s="66"/>
      <c r="FP2578" s="66"/>
      <c r="FQ2578" s="66"/>
      <c r="FR2578" s="66"/>
      <c r="FS2578" s="66"/>
      <c r="FT2578" s="66"/>
      <c r="FU2578" s="66"/>
      <c r="FV2578" s="66"/>
      <c r="FW2578" s="66"/>
      <c r="FX2578" s="66"/>
      <c r="FY2578" s="66"/>
      <c r="FZ2578" s="66"/>
      <c r="GA2578" s="66"/>
      <c r="GB2578" s="66"/>
      <c r="GC2578" s="66"/>
      <c r="GD2578" s="66"/>
      <c r="GE2578" s="66"/>
      <c r="GF2578" s="66"/>
      <c r="GG2578" s="66"/>
      <c r="GH2578" s="66"/>
      <c r="GI2578" s="66"/>
      <c r="GJ2578" s="66"/>
      <c r="GK2578" s="66"/>
      <c r="GL2578" s="66"/>
      <c r="GM2578" s="66"/>
      <c r="GN2578" s="293"/>
      <c r="GO2578" s="293"/>
      <c r="GP2578" s="292" t="s">
        <v>7494</v>
      </c>
      <c r="GQ2578" s="66"/>
      <c r="GR2578" s="66"/>
      <c r="GS2578" s="66"/>
      <c r="GT2578" s="66"/>
      <c r="GU2578" s="66"/>
      <c r="GV2578" s="66"/>
      <c r="GW2578" s="66"/>
      <c r="GX2578" s="66"/>
      <c r="GY2578" s="66"/>
      <c r="GZ2578" s="66"/>
      <c r="HA2578" s="66"/>
      <c r="HB2578" s="66"/>
      <c r="HC2578" s="66"/>
      <c r="HD2578" s="66"/>
      <c r="HE2578" s="66"/>
      <c r="HF2578" s="66"/>
      <c r="HG2578" s="66"/>
      <c r="HH2578" s="66"/>
      <c r="HI2578" s="66"/>
      <c r="HJ2578" s="66"/>
      <c r="HK2578" s="66"/>
      <c r="HL2578" s="66"/>
      <c r="HM2578" s="66"/>
      <c r="HN2578" s="66"/>
      <c r="HO2578" s="66"/>
      <c r="HP2578" s="66"/>
      <c r="HQ2578" s="66"/>
      <c r="HR2578" s="66"/>
      <c r="HS2578" s="66"/>
      <c r="HT2578" s="66"/>
      <c r="HU2578" s="66"/>
      <c r="HV2578" s="66"/>
      <c r="HW2578" s="66"/>
      <c r="HX2578" s="66"/>
      <c r="HY2578" s="66"/>
      <c r="HZ2578" s="66"/>
      <c r="IA2578" s="66"/>
      <c r="IB2578" s="66"/>
      <c r="IC2578" s="66"/>
      <c r="ID2578" s="66"/>
      <c r="IE2578" s="66"/>
      <c r="IF2578" s="66"/>
      <c r="IG2578" s="66"/>
      <c r="IH2578" s="66"/>
      <c r="II2578" s="66"/>
      <c r="IJ2578" s="66"/>
      <c r="IK2578" s="66"/>
      <c r="IL2578" s="66"/>
      <c r="IM2578" s="66"/>
      <c r="IN2578" s="66"/>
      <c r="IO2578" s="66"/>
      <c r="IP2578" s="66"/>
      <c r="IQ2578" s="66"/>
      <c r="IR2578" s="66"/>
      <c r="IS2578" s="66"/>
      <c r="IT2578" s="66"/>
      <c r="IU2578" s="66"/>
      <c r="IV2578" s="66"/>
      <c r="IW2578" s="66"/>
      <c r="IX2578" s="66"/>
      <c r="IY2578" s="66"/>
      <c r="IZ2578" s="66"/>
      <c r="JA2578" s="66"/>
      <c r="JB2578" s="66"/>
      <c r="JC2578" s="66"/>
      <c r="JD2578" s="66"/>
      <c r="JE2578" s="66"/>
      <c r="JF2578" s="66"/>
      <c r="JG2578" s="66"/>
      <c r="JH2578" s="66"/>
      <c r="JI2578" s="66"/>
      <c r="JJ2578" s="66"/>
      <c r="JK2578" s="66"/>
      <c r="JL2578" s="66"/>
      <c r="JM2578" s="66"/>
      <c r="JN2578" s="66"/>
      <c r="JO2578" s="66"/>
      <c r="JP2578" s="66"/>
      <c r="JQ2578" s="66"/>
      <c r="JR2578" s="66"/>
      <c r="JS2578" s="66"/>
      <c r="JT2578" s="66"/>
      <c r="JU2578" s="57"/>
      <c r="JV2578" s="57"/>
      <c r="JW2578" s="57"/>
    </row>
    <row r="2579" spans="1:286" s="13" customFormat="1" x14ac:dyDescent="0.25">
      <c r="A2579" s="57">
        <v>2578</v>
      </c>
      <c r="B2579" s="13" t="s">
        <v>7067</v>
      </c>
      <c r="C2579" s="154">
        <v>121</v>
      </c>
      <c r="D2579" s="57" t="s">
        <v>4247</v>
      </c>
      <c r="E2579" s="91" t="s">
        <v>2659</v>
      </c>
      <c r="F2579" s="91"/>
      <c r="G2579" s="57" t="s">
        <v>2658</v>
      </c>
      <c r="H2579" s="57">
        <v>1999</v>
      </c>
      <c r="I2579" s="57">
        <v>1995</v>
      </c>
      <c r="J2579" s="57" t="s">
        <v>2660</v>
      </c>
      <c r="K2579" s="57" t="s">
        <v>2661</v>
      </c>
      <c r="L2579" s="57" t="s">
        <v>2744</v>
      </c>
      <c r="M2579" s="91">
        <f>10+24/60</f>
        <v>10.4</v>
      </c>
      <c r="N2579" s="91">
        <f>7+42/60</f>
        <v>7.7</v>
      </c>
      <c r="O2579" s="91">
        <v>656</v>
      </c>
      <c r="P2579" s="57"/>
      <c r="Q2579" s="57"/>
      <c r="R2579" s="57"/>
      <c r="S2579" s="91">
        <v>1350</v>
      </c>
      <c r="T2579" s="57"/>
      <c r="U2579" s="57" t="s">
        <v>1935</v>
      </c>
      <c r="V2579" s="57" t="s">
        <v>1805</v>
      </c>
      <c r="W2579" s="172"/>
      <c r="X2579" s="172"/>
      <c r="Y2579" s="57" t="s">
        <v>1911</v>
      </c>
      <c r="Z2579" s="57" t="s">
        <v>1349</v>
      </c>
      <c r="AA2579" s="91" t="s">
        <v>1677</v>
      </c>
      <c r="AB2579" s="66"/>
      <c r="AC2579" s="66"/>
      <c r="AD2579" s="91"/>
      <c r="AE2579" s="91">
        <v>47.5</v>
      </c>
      <c r="AF2579" s="91">
        <f>100-AE2579-30</f>
        <v>22.5</v>
      </c>
      <c r="AG2579" s="91"/>
      <c r="AH2579" s="57" t="s">
        <v>494</v>
      </c>
      <c r="AI2579" s="167">
        <v>6.5</v>
      </c>
      <c r="AJ2579" s="91">
        <v>0.7</v>
      </c>
      <c r="AK2579" s="91"/>
      <c r="AL2579" s="57"/>
      <c r="AM2579" s="57"/>
      <c r="AN2579" s="184" t="s">
        <v>2666</v>
      </c>
      <c r="AO2579" s="185" t="s">
        <v>5150</v>
      </c>
      <c r="AP2579" s="57"/>
      <c r="AQ2579" s="57" t="s">
        <v>553</v>
      </c>
      <c r="AR2579" s="57" t="s">
        <v>1607</v>
      </c>
      <c r="AS2579" s="57" t="s">
        <v>132</v>
      </c>
      <c r="AT2579" s="180"/>
      <c r="AU2579" s="181" t="s">
        <v>7494</v>
      </c>
      <c r="AV2579" s="184" t="s">
        <v>176</v>
      </c>
      <c r="AW2579" s="57"/>
      <c r="AX2579" s="184" t="s">
        <v>176</v>
      </c>
      <c r="AY2579" s="57"/>
      <c r="AZ2579" s="57"/>
      <c r="BA2579" s="57"/>
      <c r="BB2579" s="57"/>
      <c r="BC2579" s="57"/>
      <c r="BD2579" s="57"/>
      <c r="BE2579" s="251" t="s">
        <v>161</v>
      </c>
      <c r="BF2579" s="252" t="s">
        <v>176</v>
      </c>
      <c r="BG2579" s="252" t="s">
        <v>176</v>
      </c>
      <c r="BH2579" s="251" t="s">
        <v>161</v>
      </c>
      <c r="BI2579" s="252" t="s">
        <v>176</v>
      </c>
      <c r="BJ2579" s="57" t="s">
        <v>176</v>
      </c>
      <c r="BK2579" s="57" t="s">
        <v>5976</v>
      </c>
      <c r="BL2579" s="57"/>
      <c r="BM2579" s="253" t="s">
        <v>2663</v>
      </c>
      <c r="BN2579" s="57">
        <v>4</v>
      </c>
      <c r="BO2579" s="57">
        <v>4</v>
      </c>
      <c r="BP2579" s="57"/>
      <c r="BQ2579" s="57" t="s">
        <v>141</v>
      </c>
      <c r="BR2579" s="57"/>
      <c r="BS2579" s="57"/>
      <c r="BT2579" s="57"/>
      <c r="BU2579" s="57"/>
      <c r="BV2579" s="57"/>
      <c r="BW2579" s="66">
        <v>867</v>
      </c>
      <c r="BX2579" s="66">
        <v>1444</v>
      </c>
      <c r="BY2579" s="66"/>
      <c r="BZ2579" s="66"/>
      <c r="CA2579" s="66" t="s">
        <v>545</v>
      </c>
      <c r="CB2579" s="66">
        <v>734</v>
      </c>
      <c r="CC2579" s="66">
        <v>1212</v>
      </c>
      <c r="CD2579" s="66">
        <f>(CC2579-CB2579)/CB2579</f>
        <v>0.6512261580381471</v>
      </c>
      <c r="CE2579" s="66"/>
      <c r="CF2579" s="66"/>
      <c r="CG2579" s="66" t="s">
        <v>2673</v>
      </c>
      <c r="CH2579" s="91"/>
      <c r="CI2579" s="91"/>
      <c r="CJ2579" s="66"/>
      <c r="CK2579" s="66"/>
      <c r="CL2579" s="66"/>
      <c r="CM2579" s="66"/>
      <c r="CN2579" s="66"/>
      <c r="CO2579" s="66"/>
      <c r="CP2579" s="66"/>
      <c r="CQ2579" s="66"/>
      <c r="CR2579" s="66"/>
      <c r="CS2579" s="66"/>
      <c r="CT2579" s="66"/>
      <c r="CU2579" s="66"/>
      <c r="CV2579" s="66"/>
      <c r="CW2579" s="66"/>
      <c r="CX2579" s="66"/>
      <c r="CY2579" s="66"/>
      <c r="CZ2579" s="66"/>
      <c r="DA2579" s="66"/>
      <c r="DB2579" s="66"/>
      <c r="DC2579" s="66"/>
      <c r="DD2579" s="66"/>
      <c r="DE2579" s="66"/>
      <c r="DF2579" s="66"/>
      <c r="DG2579" s="66"/>
      <c r="DH2579" s="66"/>
      <c r="DI2579" s="66"/>
      <c r="DJ2579" s="66"/>
      <c r="DK2579" s="66"/>
      <c r="DL2579" s="66"/>
      <c r="DM2579" s="66"/>
      <c r="DN2579" s="66"/>
      <c r="DO2579" s="66"/>
      <c r="DP2579" s="66"/>
      <c r="DQ2579" s="164"/>
      <c r="DR2579" s="164"/>
      <c r="DS2579" s="161"/>
      <c r="DT2579" s="161"/>
      <c r="DU2579" s="66"/>
      <c r="DV2579" s="66"/>
      <c r="DW2579" s="66"/>
      <c r="DX2579" s="66"/>
      <c r="DY2579" s="66"/>
      <c r="DZ2579" s="66"/>
      <c r="EA2579" s="66"/>
      <c r="EB2579" s="66"/>
      <c r="EC2579" s="66"/>
      <c r="ED2579" s="66"/>
      <c r="EE2579" s="66"/>
      <c r="EF2579" s="66"/>
      <c r="EG2579" s="66"/>
      <c r="EH2579" s="66"/>
      <c r="EI2579" s="66"/>
      <c r="EJ2579" s="66"/>
      <c r="EK2579" s="91"/>
      <c r="EL2579" s="91"/>
      <c r="EM2579" s="66"/>
      <c r="EN2579" s="66"/>
      <c r="EO2579" s="66"/>
      <c r="EP2579" s="66"/>
      <c r="EQ2579" s="66"/>
      <c r="ER2579" s="66"/>
      <c r="ES2579" s="66"/>
      <c r="ET2579" s="66"/>
      <c r="EU2579" s="66"/>
      <c r="EV2579" s="66"/>
      <c r="EW2579" s="66"/>
      <c r="EX2579" s="66"/>
      <c r="EY2579" s="66"/>
      <c r="EZ2579" s="66"/>
      <c r="FA2579" s="66"/>
      <c r="FB2579" s="66"/>
      <c r="FC2579" s="66"/>
      <c r="FD2579" s="66"/>
      <c r="FE2579" s="66"/>
      <c r="FF2579" s="66"/>
      <c r="FG2579" s="66"/>
      <c r="FH2579" s="66"/>
      <c r="FI2579" s="66"/>
      <c r="FJ2579" s="66"/>
      <c r="FK2579" s="66"/>
      <c r="FL2579" s="66"/>
      <c r="FM2579" s="66"/>
      <c r="FN2579" s="66"/>
      <c r="FO2579" s="66"/>
      <c r="FP2579" s="66"/>
      <c r="FQ2579" s="66"/>
      <c r="FR2579" s="66"/>
      <c r="FS2579" s="66"/>
      <c r="FT2579" s="66"/>
      <c r="FU2579" s="66"/>
      <c r="FV2579" s="66"/>
      <c r="FW2579" s="66"/>
      <c r="FX2579" s="66"/>
      <c r="FY2579" s="66"/>
      <c r="FZ2579" s="66"/>
      <c r="GA2579" s="66"/>
      <c r="GB2579" s="66"/>
      <c r="GC2579" s="66"/>
      <c r="GD2579" s="66"/>
      <c r="GE2579" s="66"/>
      <c r="GF2579" s="66"/>
      <c r="GG2579" s="66"/>
      <c r="GH2579" s="66"/>
      <c r="GI2579" s="66"/>
      <c r="GJ2579" s="66"/>
      <c r="GK2579" s="66"/>
      <c r="GL2579" s="66"/>
      <c r="GM2579" s="66"/>
      <c r="GN2579" s="293"/>
      <c r="GO2579" s="293"/>
      <c r="GP2579" s="292" t="s">
        <v>7494</v>
      </c>
      <c r="GQ2579" s="66"/>
      <c r="GR2579" s="66"/>
      <c r="GS2579" s="66"/>
      <c r="GT2579" s="66"/>
      <c r="GU2579" s="66"/>
      <c r="GV2579" s="66"/>
      <c r="GW2579" s="66"/>
      <c r="GX2579" s="66"/>
      <c r="GY2579" s="66"/>
      <c r="GZ2579" s="66"/>
      <c r="HA2579" s="66"/>
      <c r="HB2579" s="66"/>
      <c r="HC2579" s="66"/>
      <c r="HD2579" s="66"/>
      <c r="HE2579" s="66"/>
      <c r="HF2579" s="66"/>
      <c r="HG2579" s="66"/>
      <c r="HH2579" s="66"/>
      <c r="HI2579" s="66"/>
      <c r="HJ2579" s="66"/>
      <c r="HK2579" s="66"/>
      <c r="HL2579" s="66"/>
      <c r="HM2579" s="66"/>
      <c r="HN2579" s="66"/>
      <c r="HO2579" s="66"/>
      <c r="HP2579" s="66"/>
      <c r="HQ2579" s="66"/>
      <c r="HR2579" s="66"/>
      <c r="HS2579" s="66"/>
      <c r="HT2579" s="66"/>
      <c r="HU2579" s="66"/>
      <c r="HV2579" s="66"/>
      <c r="HW2579" s="66"/>
      <c r="HX2579" s="66"/>
      <c r="HY2579" s="66"/>
      <c r="HZ2579" s="66"/>
      <c r="IA2579" s="66"/>
      <c r="IB2579" s="66"/>
      <c r="IC2579" s="66"/>
      <c r="ID2579" s="66"/>
      <c r="IE2579" s="66"/>
      <c r="IF2579" s="66"/>
      <c r="IG2579" s="66"/>
      <c r="IH2579" s="66"/>
      <c r="II2579" s="66"/>
      <c r="IJ2579" s="66"/>
      <c r="IK2579" s="66"/>
      <c r="IL2579" s="66"/>
      <c r="IM2579" s="66"/>
      <c r="IN2579" s="66"/>
      <c r="IO2579" s="66"/>
      <c r="IP2579" s="66"/>
      <c r="IQ2579" s="66"/>
      <c r="IR2579" s="66"/>
      <c r="IS2579" s="66"/>
      <c r="IT2579" s="66"/>
      <c r="IU2579" s="66"/>
      <c r="IV2579" s="66"/>
      <c r="IW2579" s="66"/>
      <c r="IX2579" s="66"/>
      <c r="IY2579" s="66"/>
      <c r="IZ2579" s="66"/>
      <c r="JA2579" s="66"/>
      <c r="JB2579" s="66"/>
      <c r="JC2579" s="66"/>
      <c r="JD2579" s="66"/>
      <c r="JE2579" s="66"/>
      <c r="JF2579" s="66"/>
      <c r="JG2579" s="66"/>
      <c r="JH2579" s="66"/>
      <c r="JI2579" s="66"/>
      <c r="JJ2579" s="66"/>
      <c r="JK2579" s="66"/>
      <c r="JL2579" s="66"/>
      <c r="JM2579" s="66"/>
      <c r="JN2579" s="66"/>
      <c r="JO2579" s="66"/>
      <c r="JP2579" s="66"/>
      <c r="JQ2579" s="66"/>
      <c r="JR2579" s="66"/>
      <c r="JS2579" s="66"/>
      <c r="JT2579" s="66"/>
      <c r="JU2579" s="57"/>
      <c r="JV2579" s="57"/>
      <c r="JW2579" s="57"/>
    </row>
    <row r="2580" spans="1:286" s="13" customFormat="1" x14ac:dyDescent="0.25">
      <c r="A2580" s="57">
        <v>2579</v>
      </c>
      <c r="B2580" s="13" t="s">
        <v>7067</v>
      </c>
      <c r="C2580" s="154">
        <v>121</v>
      </c>
      <c r="D2580" s="57" t="s">
        <v>4248</v>
      </c>
      <c r="E2580" s="91" t="s">
        <v>2659</v>
      </c>
      <c r="F2580" s="91"/>
      <c r="G2580" s="57" t="s">
        <v>2658</v>
      </c>
      <c r="H2580" s="57">
        <v>1999</v>
      </c>
      <c r="I2580" s="57">
        <v>1995</v>
      </c>
      <c r="J2580" s="57" t="s">
        <v>2660</v>
      </c>
      <c r="K2580" s="57" t="s">
        <v>2661</v>
      </c>
      <c r="L2580" s="57" t="s">
        <v>2744</v>
      </c>
      <c r="M2580" s="91">
        <f>10+24/60</f>
        <v>10.4</v>
      </c>
      <c r="N2580" s="91">
        <f>7+42/60</f>
        <v>7.7</v>
      </c>
      <c r="O2580" s="91">
        <v>656</v>
      </c>
      <c r="P2580" s="57"/>
      <c r="Q2580" s="57"/>
      <c r="R2580" s="57"/>
      <c r="S2580" s="91">
        <v>1350</v>
      </c>
      <c r="T2580" s="57"/>
      <c r="U2580" s="57" t="s">
        <v>1935</v>
      </c>
      <c r="V2580" s="57" t="s">
        <v>1805</v>
      </c>
      <c r="W2580" s="172"/>
      <c r="X2580" s="172"/>
      <c r="Y2580" s="57" t="s">
        <v>1911</v>
      </c>
      <c r="Z2580" s="57" t="s">
        <v>1349</v>
      </c>
      <c r="AA2580" s="91" t="s">
        <v>1677</v>
      </c>
      <c r="AB2580" s="66"/>
      <c r="AC2580" s="66"/>
      <c r="AD2580" s="91"/>
      <c r="AE2580" s="91">
        <v>47.5</v>
      </c>
      <c r="AF2580" s="91">
        <f>100-AE2580-30</f>
        <v>22.5</v>
      </c>
      <c r="AG2580" s="91"/>
      <c r="AH2580" s="57" t="s">
        <v>494</v>
      </c>
      <c r="AI2580" s="167">
        <v>6.5</v>
      </c>
      <c r="AJ2580" s="91">
        <v>0.7</v>
      </c>
      <c r="AK2580" s="91"/>
      <c r="AL2580" s="57"/>
      <c r="AM2580" s="57"/>
      <c r="AN2580" s="184" t="s">
        <v>2666</v>
      </c>
      <c r="AO2580" s="185" t="s">
        <v>5150</v>
      </c>
      <c r="AP2580" s="57"/>
      <c r="AQ2580" s="57" t="s">
        <v>553</v>
      </c>
      <c r="AR2580" s="57" t="s">
        <v>1607</v>
      </c>
      <c r="AS2580" s="57" t="s">
        <v>132</v>
      </c>
      <c r="AT2580" s="180"/>
      <c r="AU2580" s="181" t="s">
        <v>7494</v>
      </c>
      <c r="AV2580" s="184" t="s">
        <v>176</v>
      </c>
      <c r="AW2580" s="57"/>
      <c r="AX2580" s="184" t="s">
        <v>176</v>
      </c>
      <c r="AY2580" s="57"/>
      <c r="AZ2580" s="57"/>
      <c r="BA2580" s="57"/>
      <c r="BB2580" s="57"/>
      <c r="BC2580" s="57"/>
      <c r="BD2580" s="57"/>
      <c r="BE2580" s="251" t="s">
        <v>2671</v>
      </c>
      <c r="BF2580" s="252" t="s">
        <v>479</v>
      </c>
      <c r="BG2580" s="252" t="s">
        <v>479</v>
      </c>
      <c r="BH2580" s="251" t="s">
        <v>2671</v>
      </c>
      <c r="BI2580" s="252" t="s">
        <v>479</v>
      </c>
      <c r="BJ2580" s="57" t="s">
        <v>176</v>
      </c>
      <c r="BK2580" s="57" t="s">
        <v>5976</v>
      </c>
      <c r="BL2580" s="57"/>
      <c r="BM2580" s="253" t="s">
        <v>2663</v>
      </c>
      <c r="BN2580" s="57">
        <v>4</v>
      </c>
      <c r="BO2580" s="57">
        <v>4</v>
      </c>
      <c r="BP2580" s="57"/>
      <c r="BQ2580" s="57" t="s">
        <v>141</v>
      </c>
      <c r="BR2580" s="57"/>
      <c r="BS2580" s="57"/>
      <c r="BT2580" s="57"/>
      <c r="BU2580" s="57"/>
      <c r="BV2580" s="57"/>
      <c r="BW2580" s="66">
        <v>1649</v>
      </c>
      <c r="BX2580" s="66">
        <v>3430</v>
      </c>
      <c r="BY2580" s="66"/>
      <c r="BZ2580" s="66"/>
      <c r="CA2580" s="66" t="s">
        <v>545</v>
      </c>
      <c r="CB2580" s="66">
        <v>1214</v>
      </c>
      <c r="CC2580" s="66">
        <v>2051</v>
      </c>
      <c r="CD2580" s="66">
        <f>(CC2580-CB2580)/CB2580</f>
        <v>0.68945634266886324</v>
      </c>
      <c r="CE2580" s="66"/>
      <c r="CF2580" s="66"/>
      <c r="CG2580" s="66" t="s">
        <v>2673</v>
      </c>
      <c r="CH2580" s="91"/>
      <c r="CI2580" s="91"/>
      <c r="CJ2580" s="66"/>
      <c r="CK2580" s="66"/>
      <c r="CL2580" s="66"/>
      <c r="CM2580" s="66"/>
      <c r="CN2580" s="66"/>
      <c r="CO2580" s="66"/>
      <c r="CP2580" s="66"/>
      <c r="CQ2580" s="66"/>
      <c r="CR2580" s="66"/>
      <c r="CS2580" s="66"/>
      <c r="CT2580" s="66"/>
      <c r="CU2580" s="66"/>
      <c r="CV2580" s="66"/>
      <c r="CW2580" s="66"/>
      <c r="CX2580" s="66"/>
      <c r="CY2580" s="66"/>
      <c r="CZ2580" s="66"/>
      <c r="DA2580" s="66"/>
      <c r="DB2580" s="66"/>
      <c r="DC2580" s="66"/>
      <c r="DD2580" s="66"/>
      <c r="DE2580" s="66"/>
      <c r="DF2580" s="66"/>
      <c r="DG2580" s="66"/>
      <c r="DH2580" s="66"/>
      <c r="DI2580" s="66"/>
      <c r="DJ2580" s="66"/>
      <c r="DK2580" s="66"/>
      <c r="DL2580" s="66"/>
      <c r="DM2580" s="66"/>
      <c r="DN2580" s="66"/>
      <c r="DO2580" s="66"/>
      <c r="DP2580" s="66"/>
      <c r="DQ2580" s="164"/>
      <c r="DR2580" s="164"/>
      <c r="DS2580" s="161"/>
      <c r="DT2580" s="161"/>
      <c r="DU2580" s="66"/>
      <c r="DV2580" s="66"/>
      <c r="DW2580" s="66"/>
      <c r="DX2580" s="66"/>
      <c r="DY2580" s="66"/>
      <c r="DZ2580" s="66"/>
      <c r="EA2580" s="66"/>
      <c r="EB2580" s="66"/>
      <c r="EC2580" s="66"/>
      <c r="ED2580" s="66"/>
      <c r="EE2580" s="66"/>
      <c r="EF2580" s="66"/>
      <c r="EG2580" s="66"/>
      <c r="EH2580" s="66"/>
      <c r="EI2580" s="66"/>
      <c r="EJ2580" s="66"/>
      <c r="EK2580" s="91"/>
      <c r="EL2580" s="91"/>
      <c r="EM2580" s="66"/>
      <c r="EN2580" s="66"/>
      <c r="EO2580" s="66"/>
      <c r="EP2580" s="66"/>
      <c r="EQ2580" s="66"/>
      <c r="ER2580" s="66"/>
      <c r="ES2580" s="66"/>
      <c r="ET2580" s="66"/>
      <c r="EU2580" s="66"/>
      <c r="EV2580" s="66"/>
      <c r="EW2580" s="66"/>
      <c r="EX2580" s="66"/>
      <c r="EY2580" s="66"/>
      <c r="EZ2580" s="66"/>
      <c r="FA2580" s="66"/>
      <c r="FB2580" s="66"/>
      <c r="FC2580" s="66"/>
      <c r="FD2580" s="66"/>
      <c r="FE2580" s="66"/>
      <c r="FF2580" s="66"/>
      <c r="FG2580" s="66"/>
      <c r="FH2580" s="66"/>
      <c r="FI2580" s="66"/>
      <c r="FJ2580" s="66"/>
      <c r="FK2580" s="66"/>
      <c r="FL2580" s="66"/>
      <c r="FM2580" s="66"/>
      <c r="FN2580" s="66"/>
      <c r="FO2580" s="66"/>
      <c r="FP2580" s="66"/>
      <c r="FQ2580" s="66"/>
      <c r="FR2580" s="66"/>
      <c r="FS2580" s="66"/>
      <c r="FT2580" s="66"/>
      <c r="FU2580" s="66"/>
      <c r="FV2580" s="66"/>
      <c r="FW2580" s="66"/>
      <c r="FX2580" s="66"/>
      <c r="FY2580" s="66"/>
      <c r="FZ2580" s="66"/>
      <c r="GA2580" s="66"/>
      <c r="GB2580" s="66"/>
      <c r="GC2580" s="66"/>
      <c r="GD2580" s="66"/>
      <c r="GE2580" s="66"/>
      <c r="GF2580" s="66"/>
      <c r="GG2580" s="66"/>
      <c r="GH2580" s="66"/>
      <c r="GI2580" s="66"/>
      <c r="GJ2580" s="66"/>
      <c r="GK2580" s="66"/>
      <c r="GL2580" s="66"/>
      <c r="GM2580" s="66"/>
      <c r="GN2580" s="293"/>
      <c r="GO2580" s="293"/>
      <c r="GP2580" s="292" t="s">
        <v>7494</v>
      </c>
      <c r="GQ2580" s="66"/>
      <c r="GR2580" s="66"/>
      <c r="GS2580" s="66"/>
      <c r="GT2580" s="66"/>
      <c r="GU2580" s="66"/>
      <c r="GV2580" s="66"/>
      <c r="GW2580" s="66"/>
      <c r="GX2580" s="66"/>
      <c r="GY2580" s="66"/>
      <c r="GZ2580" s="66"/>
      <c r="HA2580" s="66"/>
      <c r="HB2580" s="66"/>
      <c r="HC2580" s="66"/>
      <c r="HD2580" s="66"/>
      <c r="HE2580" s="66"/>
      <c r="HF2580" s="66"/>
      <c r="HG2580" s="66"/>
      <c r="HH2580" s="66"/>
      <c r="HI2580" s="66"/>
      <c r="HJ2580" s="66"/>
      <c r="HK2580" s="66"/>
      <c r="HL2580" s="66"/>
      <c r="HM2580" s="66"/>
      <c r="HN2580" s="66"/>
      <c r="HO2580" s="66"/>
      <c r="HP2580" s="66"/>
      <c r="HQ2580" s="66"/>
      <c r="HR2580" s="66"/>
      <c r="HS2580" s="66"/>
      <c r="HT2580" s="66"/>
      <c r="HU2580" s="66"/>
      <c r="HV2580" s="66"/>
      <c r="HW2580" s="66"/>
      <c r="HX2580" s="66"/>
      <c r="HY2580" s="66"/>
      <c r="HZ2580" s="66"/>
      <c r="IA2580" s="66"/>
      <c r="IB2580" s="66"/>
      <c r="IC2580" s="66"/>
      <c r="ID2580" s="66"/>
      <c r="IE2580" s="66"/>
      <c r="IF2580" s="66"/>
      <c r="IG2580" s="66"/>
      <c r="IH2580" s="66"/>
      <c r="II2580" s="66"/>
      <c r="IJ2580" s="66"/>
      <c r="IK2580" s="66"/>
      <c r="IL2580" s="66"/>
      <c r="IM2580" s="66"/>
      <c r="IN2580" s="66"/>
      <c r="IO2580" s="66"/>
      <c r="IP2580" s="66"/>
      <c r="IQ2580" s="66"/>
      <c r="IR2580" s="66"/>
      <c r="IS2580" s="66"/>
      <c r="IT2580" s="66"/>
      <c r="IU2580" s="66"/>
      <c r="IV2580" s="66"/>
      <c r="IW2580" s="66"/>
      <c r="IX2580" s="66"/>
      <c r="IY2580" s="66"/>
      <c r="IZ2580" s="66"/>
      <c r="JA2580" s="66"/>
      <c r="JB2580" s="66"/>
      <c r="JC2580" s="66"/>
      <c r="JD2580" s="66"/>
      <c r="JE2580" s="66"/>
      <c r="JF2580" s="66"/>
      <c r="JG2580" s="66"/>
      <c r="JH2580" s="66"/>
      <c r="JI2580" s="66"/>
      <c r="JJ2580" s="66"/>
      <c r="JK2580" s="66"/>
      <c r="JL2580" s="66"/>
      <c r="JM2580" s="66"/>
      <c r="JN2580" s="66"/>
      <c r="JO2580" s="66"/>
      <c r="JP2580" s="66"/>
      <c r="JQ2580" s="66"/>
      <c r="JR2580" s="66"/>
      <c r="JS2580" s="66"/>
      <c r="JT2580" s="66"/>
      <c r="JU2580" s="57"/>
      <c r="JV2580" s="57"/>
      <c r="JW2580" s="57"/>
    </row>
    <row r="2581" spans="1:286" s="13" customFormat="1" x14ac:dyDescent="0.25">
      <c r="A2581" s="57">
        <v>2580</v>
      </c>
      <c r="B2581" s="13" t="s">
        <v>7067</v>
      </c>
      <c r="C2581" s="154">
        <v>121</v>
      </c>
      <c r="D2581" s="57" t="s">
        <v>4249</v>
      </c>
      <c r="E2581" s="91" t="s">
        <v>2659</v>
      </c>
      <c r="F2581" s="91"/>
      <c r="G2581" s="57" t="s">
        <v>2658</v>
      </c>
      <c r="H2581" s="57">
        <v>1999</v>
      </c>
      <c r="I2581" s="57">
        <v>1995</v>
      </c>
      <c r="J2581" s="57" t="s">
        <v>2660</v>
      </c>
      <c r="K2581" s="57" t="s">
        <v>2661</v>
      </c>
      <c r="L2581" s="57" t="s">
        <v>2744</v>
      </c>
      <c r="M2581" s="91">
        <f>10+24/60</f>
        <v>10.4</v>
      </c>
      <c r="N2581" s="91">
        <f>7+42/60</f>
        <v>7.7</v>
      </c>
      <c r="O2581" s="91">
        <v>656</v>
      </c>
      <c r="P2581" s="57"/>
      <c r="Q2581" s="57"/>
      <c r="R2581" s="57"/>
      <c r="S2581" s="91">
        <v>1350</v>
      </c>
      <c r="T2581" s="57"/>
      <c r="U2581" s="57" t="s">
        <v>1935</v>
      </c>
      <c r="V2581" s="57" t="s">
        <v>1805</v>
      </c>
      <c r="W2581" s="172"/>
      <c r="X2581" s="172"/>
      <c r="Y2581" s="57" t="s">
        <v>1911</v>
      </c>
      <c r="Z2581" s="57" t="s">
        <v>1349</v>
      </c>
      <c r="AA2581" s="91" t="s">
        <v>1677</v>
      </c>
      <c r="AB2581" s="66"/>
      <c r="AC2581" s="66"/>
      <c r="AD2581" s="91"/>
      <c r="AE2581" s="91">
        <v>47.5</v>
      </c>
      <c r="AF2581" s="91">
        <f>100-AE2581-30</f>
        <v>22.5</v>
      </c>
      <c r="AG2581" s="91"/>
      <c r="AH2581" s="57" t="s">
        <v>494</v>
      </c>
      <c r="AI2581" s="167">
        <v>6.5</v>
      </c>
      <c r="AJ2581" s="91">
        <v>0.7</v>
      </c>
      <c r="AK2581" s="91"/>
      <c r="AL2581" s="57"/>
      <c r="AM2581" s="57"/>
      <c r="AN2581" s="184" t="s">
        <v>2666</v>
      </c>
      <c r="AO2581" s="185" t="s">
        <v>5150</v>
      </c>
      <c r="AP2581" s="57"/>
      <c r="AQ2581" s="57" t="s">
        <v>553</v>
      </c>
      <c r="AR2581" s="57" t="s">
        <v>1607</v>
      </c>
      <c r="AS2581" s="57" t="s">
        <v>132</v>
      </c>
      <c r="AT2581" s="180"/>
      <c r="AU2581" s="181" t="s">
        <v>7494</v>
      </c>
      <c r="AV2581" s="184" t="s">
        <v>176</v>
      </c>
      <c r="AW2581" s="57"/>
      <c r="AX2581" s="184" t="s">
        <v>176</v>
      </c>
      <c r="AY2581" s="57"/>
      <c r="AZ2581" s="57"/>
      <c r="BA2581" s="57"/>
      <c r="BB2581" s="57"/>
      <c r="BC2581" s="57"/>
      <c r="BD2581" s="57"/>
      <c r="BE2581" s="251" t="s">
        <v>2672</v>
      </c>
      <c r="BF2581" s="252" t="s">
        <v>479</v>
      </c>
      <c r="BG2581" s="252" t="s">
        <v>479</v>
      </c>
      <c r="BH2581" s="251" t="s">
        <v>2672</v>
      </c>
      <c r="BI2581" s="252" t="s">
        <v>479</v>
      </c>
      <c r="BJ2581" s="57" t="s">
        <v>176</v>
      </c>
      <c r="BK2581" s="57" t="s">
        <v>5976</v>
      </c>
      <c r="BL2581" s="57"/>
      <c r="BM2581" s="253" t="s">
        <v>2663</v>
      </c>
      <c r="BN2581" s="57">
        <v>4</v>
      </c>
      <c r="BO2581" s="57">
        <v>4</v>
      </c>
      <c r="BP2581" s="57"/>
      <c r="BQ2581" s="57" t="s">
        <v>141</v>
      </c>
      <c r="BR2581" s="57"/>
      <c r="BS2581" s="57"/>
      <c r="BT2581" s="57"/>
      <c r="BU2581" s="57"/>
      <c r="BV2581" s="57"/>
      <c r="BW2581" s="66">
        <v>2233</v>
      </c>
      <c r="BX2581" s="66">
        <v>2745</v>
      </c>
      <c r="BY2581" s="66"/>
      <c r="BZ2581" s="66"/>
      <c r="CA2581" s="66" t="s">
        <v>545</v>
      </c>
      <c r="CB2581" s="66">
        <v>2111</v>
      </c>
      <c r="CC2581" s="66">
        <v>1975</v>
      </c>
      <c r="CD2581" s="66">
        <f>(CC2581-CB2581)/CB2581</f>
        <v>-6.4424443391757458E-2</v>
      </c>
      <c r="CE2581" s="66"/>
      <c r="CF2581" s="66"/>
      <c r="CG2581" s="66" t="s">
        <v>2673</v>
      </c>
      <c r="CH2581" s="91"/>
      <c r="CI2581" s="91"/>
      <c r="CJ2581" s="66"/>
      <c r="CK2581" s="66"/>
      <c r="CL2581" s="66"/>
      <c r="CM2581" s="66"/>
      <c r="CN2581" s="66"/>
      <c r="CO2581" s="66"/>
      <c r="CP2581" s="66"/>
      <c r="CQ2581" s="66"/>
      <c r="CR2581" s="66"/>
      <c r="CS2581" s="66"/>
      <c r="CT2581" s="66"/>
      <c r="CU2581" s="66"/>
      <c r="CV2581" s="66"/>
      <c r="CW2581" s="66"/>
      <c r="CX2581" s="66"/>
      <c r="CY2581" s="66"/>
      <c r="CZ2581" s="66"/>
      <c r="DA2581" s="66"/>
      <c r="DB2581" s="66"/>
      <c r="DC2581" s="66"/>
      <c r="DD2581" s="66"/>
      <c r="DE2581" s="66"/>
      <c r="DF2581" s="66"/>
      <c r="DG2581" s="66"/>
      <c r="DH2581" s="66"/>
      <c r="DI2581" s="66"/>
      <c r="DJ2581" s="66"/>
      <c r="DK2581" s="66"/>
      <c r="DL2581" s="66"/>
      <c r="DM2581" s="66"/>
      <c r="DN2581" s="66"/>
      <c r="DO2581" s="66"/>
      <c r="DP2581" s="66"/>
      <c r="DQ2581" s="164"/>
      <c r="DR2581" s="164"/>
      <c r="DS2581" s="161"/>
      <c r="DT2581" s="161"/>
      <c r="DU2581" s="66"/>
      <c r="DV2581" s="66"/>
      <c r="DW2581" s="66"/>
      <c r="DX2581" s="66"/>
      <c r="DY2581" s="66"/>
      <c r="DZ2581" s="66"/>
      <c r="EA2581" s="66"/>
      <c r="EB2581" s="66"/>
      <c r="EC2581" s="66"/>
      <c r="ED2581" s="66"/>
      <c r="EE2581" s="66"/>
      <c r="EF2581" s="66"/>
      <c r="EG2581" s="66"/>
      <c r="EH2581" s="66"/>
      <c r="EI2581" s="66"/>
      <c r="EJ2581" s="66"/>
      <c r="EK2581" s="91"/>
      <c r="EL2581" s="91"/>
      <c r="EM2581" s="66"/>
      <c r="EN2581" s="66"/>
      <c r="EO2581" s="66"/>
      <c r="EP2581" s="66"/>
      <c r="EQ2581" s="66"/>
      <c r="ER2581" s="66"/>
      <c r="ES2581" s="66"/>
      <c r="ET2581" s="66"/>
      <c r="EU2581" s="66"/>
      <c r="EV2581" s="66"/>
      <c r="EW2581" s="66"/>
      <c r="EX2581" s="66"/>
      <c r="EY2581" s="66"/>
      <c r="EZ2581" s="66"/>
      <c r="FA2581" s="66"/>
      <c r="FB2581" s="66"/>
      <c r="FC2581" s="66"/>
      <c r="FD2581" s="66"/>
      <c r="FE2581" s="66"/>
      <c r="FF2581" s="66"/>
      <c r="FG2581" s="66"/>
      <c r="FH2581" s="66"/>
      <c r="FI2581" s="66"/>
      <c r="FJ2581" s="66"/>
      <c r="FK2581" s="66"/>
      <c r="FL2581" s="66"/>
      <c r="FM2581" s="66"/>
      <c r="FN2581" s="66"/>
      <c r="FO2581" s="66"/>
      <c r="FP2581" s="66"/>
      <c r="FQ2581" s="66"/>
      <c r="FR2581" s="66"/>
      <c r="FS2581" s="66"/>
      <c r="FT2581" s="66"/>
      <c r="FU2581" s="66"/>
      <c r="FV2581" s="66"/>
      <c r="FW2581" s="66"/>
      <c r="FX2581" s="66"/>
      <c r="FY2581" s="66"/>
      <c r="FZ2581" s="66"/>
      <c r="GA2581" s="66"/>
      <c r="GB2581" s="66"/>
      <c r="GC2581" s="66"/>
      <c r="GD2581" s="66"/>
      <c r="GE2581" s="66"/>
      <c r="GF2581" s="66"/>
      <c r="GG2581" s="66"/>
      <c r="GH2581" s="66"/>
      <c r="GI2581" s="66"/>
      <c r="GJ2581" s="66"/>
      <c r="GK2581" s="66"/>
      <c r="GL2581" s="66"/>
      <c r="GM2581" s="66"/>
      <c r="GN2581" s="293"/>
      <c r="GO2581" s="293"/>
      <c r="GP2581" s="292" t="s">
        <v>7494</v>
      </c>
      <c r="GQ2581" s="66"/>
      <c r="GR2581" s="66"/>
      <c r="GS2581" s="66"/>
      <c r="GT2581" s="66"/>
      <c r="GU2581" s="66"/>
      <c r="GV2581" s="66"/>
      <c r="GW2581" s="66"/>
      <c r="GX2581" s="66"/>
      <c r="GY2581" s="66"/>
      <c r="GZ2581" s="66"/>
      <c r="HA2581" s="66"/>
      <c r="HB2581" s="66"/>
      <c r="HC2581" s="66"/>
      <c r="HD2581" s="66"/>
      <c r="HE2581" s="66"/>
      <c r="HF2581" s="66"/>
      <c r="HG2581" s="66"/>
      <c r="HH2581" s="66"/>
      <c r="HI2581" s="66"/>
      <c r="HJ2581" s="66"/>
      <c r="HK2581" s="66"/>
      <c r="HL2581" s="66"/>
      <c r="HM2581" s="66"/>
      <c r="HN2581" s="66"/>
      <c r="HO2581" s="66"/>
      <c r="HP2581" s="66"/>
      <c r="HQ2581" s="66"/>
      <c r="HR2581" s="66"/>
      <c r="HS2581" s="66"/>
      <c r="HT2581" s="66"/>
      <c r="HU2581" s="66"/>
      <c r="HV2581" s="66"/>
      <c r="HW2581" s="66"/>
      <c r="HX2581" s="66"/>
      <c r="HY2581" s="66"/>
      <c r="HZ2581" s="66"/>
      <c r="IA2581" s="66"/>
      <c r="IB2581" s="66"/>
      <c r="IC2581" s="66"/>
      <c r="ID2581" s="66"/>
      <c r="IE2581" s="66"/>
      <c r="IF2581" s="66"/>
      <c r="IG2581" s="66"/>
      <c r="IH2581" s="66"/>
      <c r="II2581" s="66"/>
      <c r="IJ2581" s="66"/>
      <c r="IK2581" s="66"/>
      <c r="IL2581" s="66"/>
      <c r="IM2581" s="66"/>
      <c r="IN2581" s="66"/>
      <c r="IO2581" s="66"/>
      <c r="IP2581" s="66"/>
      <c r="IQ2581" s="66"/>
      <c r="IR2581" s="66"/>
      <c r="IS2581" s="66"/>
      <c r="IT2581" s="66"/>
      <c r="IU2581" s="66"/>
      <c r="IV2581" s="66"/>
      <c r="IW2581" s="66"/>
      <c r="IX2581" s="66"/>
      <c r="IY2581" s="66"/>
      <c r="IZ2581" s="66"/>
      <c r="JA2581" s="66"/>
      <c r="JB2581" s="66"/>
      <c r="JC2581" s="66"/>
      <c r="JD2581" s="66"/>
      <c r="JE2581" s="66"/>
      <c r="JF2581" s="66"/>
      <c r="JG2581" s="66"/>
      <c r="JH2581" s="66"/>
      <c r="JI2581" s="66"/>
      <c r="JJ2581" s="66"/>
      <c r="JK2581" s="66"/>
      <c r="JL2581" s="66"/>
      <c r="JM2581" s="66"/>
      <c r="JN2581" s="66"/>
      <c r="JO2581" s="66"/>
      <c r="JP2581" s="66"/>
      <c r="JQ2581" s="66"/>
      <c r="JR2581" s="66"/>
      <c r="JS2581" s="66"/>
      <c r="JT2581" s="66"/>
      <c r="JU2581" s="57"/>
      <c r="JV2581" s="57"/>
      <c r="JW2581" s="57"/>
    </row>
    <row r="2582" spans="1:286" s="13" customFormat="1" x14ac:dyDescent="0.25">
      <c r="A2582" s="57">
        <v>2581</v>
      </c>
      <c r="B2582" s="13" t="s">
        <v>7067</v>
      </c>
      <c r="C2582" s="154">
        <v>121</v>
      </c>
      <c r="D2582" s="57" t="s">
        <v>4247</v>
      </c>
      <c r="E2582" s="91" t="s">
        <v>2659</v>
      </c>
      <c r="F2582" s="91"/>
      <c r="G2582" s="57" t="s">
        <v>2658</v>
      </c>
      <c r="H2582" s="57">
        <v>1999</v>
      </c>
      <c r="I2582" s="57">
        <v>1995</v>
      </c>
      <c r="J2582" s="57" t="s">
        <v>2660</v>
      </c>
      <c r="K2582" s="57" t="s">
        <v>2661</v>
      </c>
      <c r="L2582" s="57" t="s">
        <v>2744</v>
      </c>
      <c r="M2582" s="91">
        <f>10+24/60</f>
        <v>10.4</v>
      </c>
      <c r="N2582" s="91">
        <f>7+42/60</f>
        <v>7.7</v>
      </c>
      <c r="O2582" s="91">
        <v>656</v>
      </c>
      <c r="P2582" s="57"/>
      <c r="Q2582" s="57"/>
      <c r="R2582" s="57"/>
      <c r="S2582" s="91">
        <v>1350</v>
      </c>
      <c r="T2582" s="57"/>
      <c r="U2582" s="57" t="s">
        <v>1935</v>
      </c>
      <c r="V2582" s="57" t="s">
        <v>1805</v>
      </c>
      <c r="W2582" s="172"/>
      <c r="X2582" s="172"/>
      <c r="Y2582" s="57" t="s">
        <v>1911</v>
      </c>
      <c r="Z2582" s="57" t="s">
        <v>1349</v>
      </c>
      <c r="AA2582" s="91" t="s">
        <v>1677</v>
      </c>
      <c r="AB2582" s="66"/>
      <c r="AC2582" s="66"/>
      <c r="AD2582" s="91"/>
      <c r="AE2582" s="91">
        <v>47.5</v>
      </c>
      <c r="AF2582" s="91">
        <f>100-AE2582-30</f>
        <v>22.5</v>
      </c>
      <c r="AG2582" s="91"/>
      <c r="AH2582" s="57" t="s">
        <v>494</v>
      </c>
      <c r="AI2582" s="167">
        <v>6.5</v>
      </c>
      <c r="AJ2582" s="91">
        <v>0.7</v>
      </c>
      <c r="AK2582" s="91"/>
      <c r="AL2582" s="57"/>
      <c r="AM2582" s="57"/>
      <c r="AN2582" s="184" t="s">
        <v>2282</v>
      </c>
      <c r="AO2582" s="185" t="s">
        <v>5150</v>
      </c>
      <c r="AP2582" s="57"/>
      <c r="AQ2582" s="57" t="s">
        <v>553</v>
      </c>
      <c r="AR2582" s="57" t="s">
        <v>1607</v>
      </c>
      <c r="AS2582" s="57" t="s">
        <v>132</v>
      </c>
      <c r="AT2582" s="180"/>
      <c r="AU2582" s="181" t="s">
        <v>7494</v>
      </c>
      <c r="AV2582" s="184" t="s">
        <v>176</v>
      </c>
      <c r="AW2582" s="57"/>
      <c r="AX2582" s="184" t="s">
        <v>176</v>
      </c>
      <c r="AY2582" s="57"/>
      <c r="AZ2582" s="57"/>
      <c r="BA2582" s="57"/>
      <c r="BB2582" s="57"/>
      <c r="BC2582" s="57"/>
      <c r="BD2582" s="57"/>
      <c r="BE2582" s="251" t="s">
        <v>161</v>
      </c>
      <c r="BF2582" s="252" t="s">
        <v>176</v>
      </c>
      <c r="BG2582" s="252" t="s">
        <v>176</v>
      </c>
      <c r="BH2582" s="251" t="s">
        <v>161</v>
      </c>
      <c r="BI2582" s="252" t="s">
        <v>176</v>
      </c>
      <c r="BJ2582" s="57" t="s">
        <v>176</v>
      </c>
      <c r="BK2582" s="57" t="s">
        <v>5976</v>
      </c>
      <c r="BL2582" s="57"/>
      <c r="BM2582" s="253" t="s">
        <v>2663</v>
      </c>
      <c r="BN2582" s="57">
        <v>4</v>
      </c>
      <c r="BO2582" s="57">
        <v>4</v>
      </c>
      <c r="BP2582" s="57"/>
      <c r="BQ2582" s="57" t="s">
        <v>141</v>
      </c>
      <c r="BR2582" s="57"/>
      <c r="BS2582" s="57"/>
      <c r="BT2582" s="57"/>
      <c r="BU2582" s="57"/>
      <c r="BV2582" s="57"/>
      <c r="BW2582" s="66">
        <v>867</v>
      </c>
      <c r="BX2582" s="66">
        <v>1168</v>
      </c>
      <c r="BY2582" s="66"/>
      <c r="BZ2582" s="66"/>
      <c r="CA2582" s="66" t="s">
        <v>545</v>
      </c>
      <c r="CB2582" s="66">
        <v>734</v>
      </c>
      <c r="CC2582" s="66">
        <v>895</v>
      </c>
      <c r="CD2582" s="66">
        <f>(CC2582-CB2582)/CB2582</f>
        <v>0.21934604904632152</v>
      </c>
      <c r="CE2582" s="66"/>
      <c r="CF2582" s="66"/>
      <c r="CG2582" s="66" t="s">
        <v>2673</v>
      </c>
      <c r="CH2582" s="91"/>
      <c r="CI2582" s="91"/>
      <c r="CJ2582" s="66"/>
      <c r="CK2582" s="66"/>
      <c r="CL2582" s="66"/>
      <c r="CM2582" s="66"/>
      <c r="CN2582" s="66"/>
      <c r="CO2582" s="66"/>
      <c r="CP2582" s="66"/>
      <c r="CQ2582" s="66"/>
      <c r="CR2582" s="66"/>
      <c r="CS2582" s="66"/>
      <c r="CT2582" s="66"/>
      <c r="CU2582" s="66"/>
      <c r="CV2582" s="66"/>
      <c r="CW2582" s="66"/>
      <c r="CX2582" s="66"/>
      <c r="CY2582" s="66"/>
      <c r="CZ2582" s="66"/>
      <c r="DA2582" s="66"/>
      <c r="DB2582" s="66"/>
      <c r="DC2582" s="66"/>
      <c r="DD2582" s="66"/>
      <c r="DE2582" s="66"/>
      <c r="DF2582" s="66"/>
      <c r="DG2582" s="66"/>
      <c r="DH2582" s="66"/>
      <c r="DI2582" s="66"/>
      <c r="DJ2582" s="66"/>
      <c r="DK2582" s="66"/>
      <c r="DL2582" s="66"/>
      <c r="DM2582" s="66"/>
      <c r="DN2582" s="66"/>
      <c r="DO2582" s="66"/>
      <c r="DP2582" s="66"/>
      <c r="DQ2582" s="164"/>
      <c r="DR2582" s="164"/>
      <c r="DS2582" s="161"/>
      <c r="DT2582" s="161"/>
      <c r="DU2582" s="66"/>
      <c r="DV2582" s="66"/>
      <c r="DW2582" s="66"/>
      <c r="DX2582" s="66"/>
      <c r="DY2582" s="66"/>
      <c r="DZ2582" s="66"/>
      <c r="EA2582" s="66"/>
      <c r="EB2582" s="66"/>
      <c r="EC2582" s="66"/>
      <c r="ED2582" s="66"/>
      <c r="EE2582" s="66"/>
      <c r="EF2582" s="66"/>
      <c r="EG2582" s="66"/>
      <c r="EH2582" s="66"/>
      <c r="EI2582" s="66"/>
      <c r="EJ2582" s="66"/>
      <c r="EK2582" s="91"/>
      <c r="EL2582" s="91"/>
      <c r="EM2582" s="66"/>
      <c r="EN2582" s="66"/>
      <c r="EO2582" s="66"/>
      <c r="EP2582" s="66"/>
      <c r="EQ2582" s="66"/>
      <c r="ER2582" s="66"/>
      <c r="ES2582" s="66"/>
      <c r="ET2582" s="66"/>
      <c r="EU2582" s="66"/>
      <c r="EV2582" s="66"/>
      <c r="EW2582" s="66"/>
      <c r="EX2582" s="66"/>
      <c r="EY2582" s="66"/>
      <c r="EZ2582" s="66"/>
      <c r="FA2582" s="66"/>
      <c r="FB2582" s="66"/>
      <c r="FC2582" s="66"/>
      <c r="FD2582" s="66"/>
      <c r="FE2582" s="66"/>
      <c r="FF2582" s="66"/>
      <c r="FG2582" s="66"/>
      <c r="FH2582" s="66"/>
      <c r="FI2582" s="66"/>
      <c r="FJ2582" s="66"/>
      <c r="FK2582" s="66"/>
      <c r="FL2582" s="66"/>
      <c r="FM2582" s="66"/>
      <c r="FN2582" s="66"/>
      <c r="FO2582" s="66"/>
      <c r="FP2582" s="66"/>
      <c r="FQ2582" s="66"/>
      <c r="FR2582" s="66"/>
      <c r="FS2582" s="66"/>
      <c r="FT2582" s="66"/>
      <c r="FU2582" s="66"/>
      <c r="FV2582" s="66"/>
      <c r="FW2582" s="66"/>
      <c r="FX2582" s="66"/>
      <c r="FY2582" s="66"/>
      <c r="FZ2582" s="66"/>
      <c r="GA2582" s="66"/>
      <c r="GB2582" s="66"/>
      <c r="GC2582" s="66"/>
      <c r="GD2582" s="66"/>
      <c r="GE2582" s="66"/>
      <c r="GF2582" s="66"/>
      <c r="GG2582" s="66"/>
      <c r="GH2582" s="66"/>
      <c r="GI2582" s="66"/>
      <c r="GJ2582" s="66"/>
      <c r="GK2582" s="66"/>
      <c r="GL2582" s="66"/>
      <c r="GM2582" s="66"/>
      <c r="GN2582" s="293"/>
      <c r="GO2582" s="293"/>
      <c r="GP2582" s="292" t="s">
        <v>7494</v>
      </c>
      <c r="GQ2582" s="66"/>
      <c r="GR2582" s="66"/>
      <c r="GS2582" s="66"/>
      <c r="GT2582" s="66"/>
      <c r="GU2582" s="66"/>
      <c r="GV2582" s="66"/>
      <c r="GW2582" s="66"/>
      <c r="GX2582" s="66"/>
      <c r="GY2582" s="66"/>
      <c r="GZ2582" s="66"/>
      <c r="HA2582" s="66"/>
      <c r="HB2582" s="66"/>
      <c r="HC2582" s="66"/>
      <c r="HD2582" s="66"/>
      <c r="HE2582" s="66"/>
      <c r="HF2582" s="66"/>
      <c r="HG2582" s="66"/>
      <c r="HH2582" s="66"/>
      <c r="HI2582" s="66"/>
      <c r="HJ2582" s="66"/>
      <c r="HK2582" s="66"/>
      <c r="HL2582" s="66"/>
      <c r="HM2582" s="66"/>
      <c r="HN2582" s="66"/>
      <c r="HO2582" s="66"/>
      <c r="HP2582" s="66"/>
      <c r="HQ2582" s="66"/>
      <c r="HR2582" s="66"/>
      <c r="HS2582" s="66"/>
      <c r="HT2582" s="66"/>
      <c r="HU2582" s="66"/>
      <c r="HV2582" s="66"/>
      <c r="HW2582" s="66"/>
      <c r="HX2582" s="66"/>
      <c r="HY2582" s="66"/>
      <c r="HZ2582" s="66"/>
      <c r="IA2582" s="66"/>
      <c r="IB2582" s="66"/>
      <c r="IC2582" s="66"/>
      <c r="ID2582" s="66"/>
      <c r="IE2582" s="66"/>
      <c r="IF2582" s="66"/>
      <c r="IG2582" s="66"/>
      <c r="IH2582" s="66"/>
      <c r="II2582" s="66"/>
      <c r="IJ2582" s="66"/>
      <c r="IK2582" s="66"/>
      <c r="IL2582" s="66"/>
      <c r="IM2582" s="66"/>
      <c r="IN2582" s="66"/>
      <c r="IO2582" s="66"/>
      <c r="IP2582" s="66"/>
      <c r="IQ2582" s="66"/>
      <c r="IR2582" s="66"/>
      <c r="IS2582" s="66"/>
      <c r="IT2582" s="66"/>
      <c r="IU2582" s="66"/>
      <c r="IV2582" s="66"/>
      <c r="IW2582" s="66"/>
      <c r="IX2582" s="66"/>
      <c r="IY2582" s="66"/>
      <c r="IZ2582" s="66"/>
      <c r="JA2582" s="66"/>
      <c r="JB2582" s="66"/>
      <c r="JC2582" s="66"/>
      <c r="JD2582" s="66"/>
      <c r="JE2582" s="66"/>
      <c r="JF2582" s="66"/>
      <c r="JG2582" s="66"/>
      <c r="JH2582" s="66"/>
      <c r="JI2582" s="66"/>
      <c r="JJ2582" s="66"/>
      <c r="JK2582" s="66"/>
      <c r="JL2582" s="66"/>
      <c r="JM2582" s="66"/>
      <c r="JN2582" s="66"/>
      <c r="JO2582" s="66"/>
      <c r="JP2582" s="66"/>
      <c r="JQ2582" s="66"/>
      <c r="JR2582" s="66"/>
      <c r="JS2582" s="66"/>
      <c r="JT2582" s="66"/>
      <c r="JU2582" s="57"/>
      <c r="JV2582" s="57"/>
      <c r="JW2582" s="57"/>
    </row>
    <row r="2583" spans="1:286" s="13" customFormat="1" x14ac:dyDescent="0.25">
      <c r="A2583" s="57">
        <v>2582</v>
      </c>
      <c r="B2583" s="13" t="s">
        <v>7067</v>
      </c>
      <c r="C2583" s="154">
        <v>121</v>
      </c>
      <c r="D2583" s="57" t="s">
        <v>4248</v>
      </c>
      <c r="E2583" s="91" t="s">
        <v>2659</v>
      </c>
      <c r="F2583" s="91"/>
      <c r="G2583" s="57" t="s">
        <v>2658</v>
      </c>
      <c r="H2583" s="57">
        <v>1999</v>
      </c>
      <c r="I2583" s="57">
        <v>1995</v>
      </c>
      <c r="J2583" s="57" t="s">
        <v>2660</v>
      </c>
      <c r="K2583" s="57" t="s">
        <v>2661</v>
      </c>
      <c r="L2583" s="57" t="s">
        <v>2744</v>
      </c>
      <c r="M2583" s="91">
        <f>10+24/60</f>
        <v>10.4</v>
      </c>
      <c r="N2583" s="91">
        <f>7+42/60</f>
        <v>7.7</v>
      </c>
      <c r="O2583" s="91">
        <v>656</v>
      </c>
      <c r="P2583" s="57"/>
      <c r="Q2583" s="57"/>
      <c r="R2583" s="57"/>
      <c r="S2583" s="91">
        <v>1350</v>
      </c>
      <c r="T2583" s="57"/>
      <c r="U2583" s="57" t="s">
        <v>1935</v>
      </c>
      <c r="V2583" s="57" t="s">
        <v>1805</v>
      </c>
      <c r="W2583" s="172"/>
      <c r="X2583" s="172"/>
      <c r="Y2583" s="57" t="s">
        <v>1911</v>
      </c>
      <c r="Z2583" s="57" t="s">
        <v>1349</v>
      </c>
      <c r="AA2583" s="91" t="s">
        <v>1677</v>
      </c>
      <c r="AB2583" s="66"/>
      <c r="AC2583" s="66"/>
      <c r="AD2583" s="91"/>
      <c r="AE2583" s="91">
        <v>47.5</v>
      </c>
      <c r="AF2583" s="91">
        <f>100-AE2583-30</f>
        <v>22.5</v>
      </c>
      <c r="AG2583" s="91"/>
      <c r="AH2583" s="57" t="s">
        <v>494</v>
      </c>
      <c r="AI2583" s="167">
        <v>6.5</v>
      </c>
      <c r="AJ2583" s="91">
        <v>0.7</v>
      </c>
      <c r="AK2583" s="91"/>
      <c r="AL2583" s="57"/>
      <c r="AM2583" s="57"/>
      <c r="AN2583" s="184" t="s">
        <v>2282</v>
      </c>
      <c r="AO2583" s="185" t="s">
        <v>5150</v>
      </c>
      <c r="AP2583" s="57"/>
      <c r="AQ2583" s="57" t="s">
        <v>553</v>
      </c>
      <c r="AR2583" s="57" t="s">
        <v>1607</v>
      </c>
      <c r="AS2583" s="57" t="s">
        <v>132</v>
      </c>
      <c r="AT2583" s="180"/>
      <c r="AU2583" s="181" t="s">
        <v>7494</v>
      </c>
      <c r="AV2583" s="184" t="s">
        <v>176</v>
      </c>
      <c r="AW2583" s="57"/>
      <c r="AX2583" s="184" t="s">
        <v>176</v>
      </c>
      <c r="AY2583" s="57"/>
      <c r="AZ2583" s="57"/>
      <c r="BA2583" s="57"/>
      <c r="BB2583" s="57"/>
      <c r="BC2583" s="57"/>
      <c r="BD2583" s="57"/>
      <c r="BE2583" s="251" t="s">
        <v>2671</v>
      </c>
      <c r="BF2583" s="252" t="s">
        <v>479</v>
      </c>
      <c r="BG2583" s="252" t="s">
        <v>479</v>
      </c>
      <c r="BH2583" s="251" t="s">
        <v>2671</v>
      </c>
      <c r="BI2583" s="252" t="s">
        <v>479</v>
      </c>
      <c r="BJ2583" s="57" t="s">
        <v>176</v>
      </c>
      <c r="BK2583" s="57" t="s">
        <v>5976</v>
      </c>
      <c r="BL2583" s="57"/>
      <c r="BM2583" s="253" t="s">
        <v>2663</v>
      </c>
      <c r="BN2583" s="57">
        <v>4</v>
      </c>
      <c r="BO2583" s="57">
        <v>4</v>
      </c>
      <c r="BP2583" s="57"/>
      <c r="BQ2583" s="57" t="s">
        <v>141</v>
      </c>
      <c r="BR2583" s="57"/>
      <c r="BS2583" s="57"/>
      <c r="BT2583" s="57"/>
      <c r="BU2583" s="57"/>
      <c r="BV2583" s="57"/>
      <c r="BW2583" s="66">
        <v>1649</v>
      </c>
      <c r="BX2583" s="66">
        <v>1830</v>
      </c>
      <c r="BY2583" s="66"/>
      <c r="BZ2583" s="66"/>
      <c r="CA2583" s="66" t="s">
        <v>545</v>
      </c>
      <c r="CB2583" s="66">
        <v>1214</v>
      </c>
      <c r="CC2583" s="66">
        <v>1610</v>
      </c>
      <c r="CD2583" s="66">
        <f>(CC2583-CB2583)/CB2583</f>
        <v>0.32619439868204281</v>
      </c>
      <c r="CE2583" s="66"/>
      <c r="CF2583" s="66"/>
      <c r="CG2583" s="66" t="s">
        <v>2673</v>
      </c>
      <c r="CH2583" s="91"/>
      <c r="CI2583" s="91"/>
      <c r="CJ2583" s="66"/>
      <c r="CK2583" s="66"/>
      <c r="CL2583" s="66"/>
      <c r="CM2583" s="66"/>
      <c r="CN2583" s="66"/>
      <c r="CO2583" s="66"/>
      <c r="CP2583" s="66"/>
      <c r="CQ2583" s="66"/>
      <c r="CR2583" s="66"/>
      <c r="CS2583" s="66"/>
      <c r="CT2583" s="66"/>
      <c r="CU2583" s="66"/>
      <c r="CV2583" s="66"/>
      <c r="CW2583" s="66"/>
      <c r="CX2583" s="66"/>
      <c r="CY2583" s="66"/>
      <c r="CZ2583" s="66"/>
      <c r="DA2583" s="66"/>
      <c r="DB2583" s="66"/>
      <c r="DC2583" s="66"/>
      <c r="DD2583" s="66"/>
      <c r="DE2583" s="66"/>
      <c r="DF2583" s="66"/>
      <c r="DG2583" s="66"/>
      <c r="DH2583" s="66"/>
      <c r="DI2583" s="66"/>
      <c r="DJ2583" s="66"/>
      <c r="DK2583" s="66"/>
      <c r="DL2583" s="66"/>
      <c r="DM2583" s="66"/>
      <c r="DN2583" s="66"/>
      <c r="DO2583" s="66"/>
      <c r="DP2583" s="66"/>
      <c r="DQ2583" s="164"/>
      <c r="DR2583" s="164"/>
      <c r="DS2583" s="161"/>
      <c r="DT2583" s="161"/>
      <c r="DU2583" s="66"/>
      <c r="DV2583" s="66"/>
      <c r="DW2583" s="66"/>
      <c r="DX2583" s="66"/>
      <c r="DY2583" s="66"/>
      <c r="DZ2583" s="66"/>
      <c r="EA2583" s="66"/>
      <c r="EB2583" s="66"/>
      <c r="EC2583" s="66"/>
      <c r="ED2583" s="66"/>
      <c r="EE2583" s="66"/>
      <c r="EF2583" s="66"/>
      <c r="EG2583" s="66"/>
      <c r="EH2583" s="66"/>
      <c r="EI2583" s="66"/>
      <c r="EJ2583" s="66"/>
      <c r="EK2583" s="91"/>
      <c r="EL2583" s="91"/>
      <c r="EM2583" s="66"/>
      <c r="EN2583" s="66"/>
      <c r="EO2583" s="66"/>
      <c r="EP2583" s="66"/>
      <c r="EQ2583" s="66"/>
      <c r="ER2583" s="66"/>
      <c r="ES2583" s="66"/>
      <c r="ET2583" s="66"/>
      <c r="EU2583" s="66"/>
      <c r="EV2583" s="66"/>
      <c r="EW2583" s="66"/>
      <c r="EX2583" s="66"/>
      <c r="EY2583" s="66"/>
      <c r="EZ2583" s="66"/>
      <c r="FA2583" s="66"/>
      <c r="FB2583" s="66"/>
      <c r="FC2583" s="66"/>
      <c r="FD2583" s="66"/>
      <c r="FE2583" s="66"/>
      <c r="FF2583" s="66"/>
      <c r="FG2583" s="66"/>
      <c r="FH2583" s="66"/>
      <c r="FI2583" s="66"/>
      <c r="FJ2583" s="66"/>
      <c r="FK2583" s="66"/>
      <c r="FL2583" s="66"/>
      <c r="FM2583" s="66"/>
      <c r="FN2583" s="66"/>
      <c r="FO2583" s="66"/>
      <c r="FP2583" s="66"/>
      <c r="FQ2583" s="66"/>
      <c r="FR2583" s="66"/>
      <c r="FS2583" s="66"/>
      <c r="FT2583" s="66"/>
      <c r="FU2583" s="66"/>
      <c r="FV2583" s="66"/>
      <c r="FW2583" s="66"/>
      <c r="FX2583" s="66"/>
      <c r="FY2583" s="66"/>
      <c r="FZ2583" s="66"/>
      <c r="GA2583" s="66"/>
      <c r="GB2583" s="66"/>
      <c r="GC2583" s="66"/>
      <c r="GD2583" s="66"/>
      <c r="GE2583" s="66"/>
      <c r="GF2583" s="66"/>
      <c r="GG2583" s="66"/>
      <c r="GH2583" s="66"/>
      <c r="GI2583" s="66"/>
      <c r="GJ2583" s="66"/>
      <c r="GK2583" s="66"/>
      <c r="GL2583" s="66"/>
      <c r="GM2583" s="66"/>
      <c r="GN2583" s="293"/>
      <c r="GO2583" s="293"/>
      <c r="GP2583" s="292" t="s">
        <v>7494</v>
      </c>
      <c r="GQ2583" s="66"/>
      <c r="GR2583" s="66"/>
      <c r="GS2583" s="66"/>
      <c r="GT2583" s="66"/>
      <c r="GU2583" s="66"/>
      <c r="GV2583" s="66"/>
      <c r="GW2583" s="66"/>
      <c r="GX2583" s="66"/>
      <c r="GY2583" s="66"/>
      <c r="GZ2583" s="66"/>
      <c r="HA2583" s="66"/>
      <c r="HB2583" s="66"/>
      <c r="HC2583" s="66"/>
      <c r="HD2583" s="66"/>
      <c r="HE2583" s="66"/>
      <c r="HF2583" s="66"/>
      <c r="HG2583" s="66"/>
      <c r="HH2583" s="66"/>
      <c r="HI2583" s="66"/>
      <c r="HJ2583" s="66"/>
      <c r="HK2583" s="66"/>
      <c r="HL2583" s="66"/>
      <c r="HM2583" s="66"/>
      <c r="HN2583" s="66"/>
      <c r="HO2583" s="66"/>
      <c r="HP2583" s="66"/>
      <c r="HQ2583" s="66"/>
      <c r="HR2583" s="66"/>
      <c r="HS2583" s="66"/>
      <c r="HT2583" s="66"/>
      <c r="HU2583" s="66"/>
      <c r="HV2583" s="66"/>
      <c r="HW2583" s="66"/>
      <c r="HX2583" s="66"/>
      <c r="HY2583" s="66"/>
      <c r="HZ2583" s="66"/>
      <c r="IA2583" s="66"/>
      <c r="IB2583" s="66"/>
      <c r="IC2583" s="66"/>
      <c r="ID2583" s="66"/>
      <c r="IE2583" s="66"/>
      <c r="IF2583" s="66"/>
      <c r="IG2583" s="66"/>
      <c r="IH2583" s="66"/>
      <c r="II2583" s="66"/>
      <c r="IJ2583" s="66"/>
      <c r="IK2583" s="66"/>
      <c r="IL2583" s="66"/>
      <c r="IM2583" s="66"/>
      <c r="IN2583" s="66"/>
      <c r="IO2583" s="66"/>
      <c r="IP2583" s="66"/>
      <c r="IQ2583" s="66"/>
      <c r="IR2583" s="66"/>
      <c r="IS2583" s="66"/>
      <c r="IT2583" s="66"/>
      <c r="IU2583" s="66"/>
      <c r="IV2583" s="66"/>
      <c r="IW2583" s="66"/>
      <c r="IX2583" s="66"/>
      <c r="IY2583" s="66"/>
      <c r="IZ2583" s="66"/>
      <c r="JA2583" s="66"/>
      <c r="JB2583" s="66"/>
      <c r="JC2583" s="66"/>
      <c r="JD2583" s="66"/>
      <c r="JE2583" s="66"/>
      <c r="JF2583" s="66"/>
      <c r="JG2583" s="66"/>
      <c r="JH2583" s="66"/>
      <c r="JI2583" s="66"/>
      <c r="JJ2583" s="66"/>
      <c r="JK2583" s="66"/>
      <c r="JL2583" s="66"/>
      <c r="JM2583" s="66"/>
      <c r="JN2583" s="66"/>
      <c r="JO2583" s="66"/>
      <c r="JP2583" s="66"/>
      <c r="JQ2583" s="66"/>
      <c r="JR2583" s="66"/>
      <c r="JS2583" s="66"/>
      <c r="JT2583" s="66"/>
      <c r="JU2583" s="57"/>
      <c r="JV2583" s="57"/>
      <c r="JW2583" s="57"/>
    </row>
    <row r="2584" spans="1:286" s="256" customFormat="1" x14ac:dyDescent="0.25">
      <c r="A2584" s="57">
        <v>2583</v>
      </c>
      <c r="B2584" s="13" t="s">
        <v>7067</v>
      </c>
      <c r="C2584" s="154">
        <v>121</v>
      </c>
      <c r="D2584" s="57" t="s">
        <v>4249</v>
      </c>
      <c r="E2584" s="91" t="s">
        <v>2659</v>
      </c>
      <c r="F2584" s="91"/>
      <c r="G2584" s="57" t="s">
        <v>2658</v>
      </c>
      <c r="H2584" s="57">
        <v>1999</v>
      </c>
      <c r="I2584" s="57">
        <v>1995</v>
      </c>
      <c r="J2584" s="57" t="s">
        <v>2660</v>
      </c>
      <c r="K2584" s="57" t="s">
        <v>2661</v>
      </c>
      <c r="L2584" s="57" t="s">
        <v>2744</v>
      </c>
      <c r="M2584" s="91">
        <f>10+24/60</f>
        <v>10.4</v>
      </c>
      <c r="N2584" s="91">
        <f>7+42/60</f>
        <v>7.7</v>
      </c>
      <c r="O2584" s="91">
        <v>656</v>
      </c>
      <c r="P2584" s="57"/>
      <c r="Q2584" s="57"/>
      <c r="R2584" s="57"/>
      <c r="S2584" s="91">
        <v>1350</v>
      </c>
      <c r="T2584" s="57"/>
      <c r="U2584" s="57" t="s">
        <v>1935</v>
      </c>
      <c r="V2584" s="57" t="s">
        <v>1805</v>
      </c>
      <c r="W2584" s="172"/>
      <c r="X2584" s="172"/>
      <c r="Y2584" s="57" t="s">
        <v>1911</v>
      </c>
      <c r="Z2584" s="57" t="s">
        <v>1349</v>
      </c>
      <c r="AA2584" s="91" t="s">
        <v>1677</v>
      </c>
      <c r="AB2584" s="66"/>
      <c r="AC2584" s="66"/>
      <c r="AD2584" s="91"/>
      <c r="AE2584" s="91">
        <v>47.5</v>
      </c>
      <c r="AF2584" s="91">
        <f>100-AE2584-30</f>
        <v>22.5</v>
      </c>
      <c r="AG2584" s="91"/>
      <c r="AH2584" s="57" t="s">
        <v>494</v>
      </c>
      <c r="AI2584" s="167">
        <v>6.5</v>
      </c>
      <c r="AJ2584" s="91">
        <v>0.7</v>
      </c>
      <c r="AK2584" s="91"/>
      <c r="AL2584" s="57"/>
      <c r="AM2584" s="57"/>
      <c r="AN2584" s="184" t="s">
        <v>2282</v>
      </c>
      <c r="AO2584" s="185" t="s">
        <v>5150</v>
      </c>
      <c r="AP2584" s="57"/>
      <c r="AQ2584" s="57" t="s">
        <v>553</v>
      </c>
      <c r="AR2584" s="57" t="s">
        <v>1607</v>
      </c>
      <c r="AS2584" s="57" t="s">
        <v>132</v>
      </c>
      <c r="AT2584" s="180"/>
      <c r="AU2584" s="181" t="s">
        <v>7494</v>
      </c>
      <c r="AV2584" s="184" t="s">
        <v>176</v>
      </c>
      <c r="AW2584" s="57"/>
      <c r="AX2584" s="184" t="s">
        <v>176</v>
      </c>
      <c r="AY2584" s="57"/>
      <c r="AZ2584" s="57"/>
      <c r="BA2584" s="57"/>
      <c r="BB2584" s="57"/>
      <c r="BC2584" s="57"/>
      <c r="BD2584" s="57"/>
      <c r="BE2584" s="251" t="s">
        <v>2672</v>
      </c>
      <c r="BF2584" s="252" t="s">
        <v>479</v>
      </c>
      <c r="BG2584" s="252" t="s">
        <v>479</v>
      </c>
      <c r="BH2584" s="251" t="s">
        <v>2672</v>
      </c>
      <c r="BI2584" s="252" t="s">
        <v>479</v>
      </c>
      <c r="BJ2584" s="57" t="s">
        <v>176</v>
      </c>
      <c r="BK2584" s="57" t="s">
        <v>5976</v>
      </c>
      <c r="BL2584" s="57"/>
      <c r="BM2584" s="253" t="s">
        <v>2663</v>
      </c>
      <c r="BN2584" s="57">
        <v>4</v>
      </c>
      <c r="BO2584" s="57">
        <v>4</v>
      </c>
      <c r="BP2584" s="57"/>
      <c r="BQ2584" s="57" t="s">
        <v>141</v>
      </c>
      <c r="BR2584" s="57"/>
      <c r="BS2584" s="57"/>
      <c r="BT2584" s="57"/>
      <c r="BU2584" s="57"/>
      <c r="BV2584" s="57"/>
      <c r="BW2584" s="66">
        <v>2233</v>
      </c>
      <c r="BX2584" s="66">
        <v>1859</v>
      </c>
      <c r="BY2584" s="66"/>
      <c r="BZ2584" s="66"/>
      <c r="CA2584" s="66" t="s">
        <v>545</v>
      </c>
      <c r="CB2584" s="66">
        <v>2111</v>
      </c>
      <c r="CC2584" s="66">
        <v>1572</v>
      </c>
      <c r="CD2584" s="66">
        <f>(CC2584-CB2584)/CB2584</f>
        <v>-0.25532922785409756</v>
      </c>
      <c r="CE2584" s="66"/>
      <c r="CF2584" s="66"/>
      <c r="CG2584" s="66" t="s">
        <v>2673</v>
      </c>
      <c r="CH2584" s="91"/>
      <c r="CI2584" s="91"/>
      <c r="CJ2584" s="66"/>
      <c r="CK2584" s="66"/>
      <c r="CL2584" s="66"/>
      <c r="CM2584" s="66"/>
      <c r="CN2584" s="66"/>
      <c r="CO2584" s="66"/>
      <c r="CP2584" s="66"/>
      <c r="CQ2584" s="66"/>
      <c r="CR2584" s="66"/>
      <c r="CS2584" s="66"/>
      <c r="CT2584" s="66"/>
      <c r="CU2584" s="66"/>
      <c r="CV2584" s="66"/>
      <c r="CW2584" s="66"/>
      <c r="CX2584" s="66"/>
      <c r="CY2584" s="66"/>
      <c r="CZ2584" s="66"/>
      <c r="DA2584" s="66"/>
      <c r="DB2584" s="66"/>
      <c r="DC2584" s="66"/>
      <c r="DD2584" s="66"/>
      <c r="DE2584" s="66"/>
      <c r="DF2584" s="66"/>
      <c r="DG2584" s="66"/>
      <c r="DH2584" s="66"/>
      <c r="DI2584" s="66"/>
      <c r="DJ2584" s="66"/>
      <c r="DK2584" s="66"/>
      <c r="DL2584" s="66"/>
      <c r="DM2584" s="66"/>
      <c r="DN2584" s="66"/>
      <c r="DO2584" s="66"/>
      <c r="DP2584" s="66"/>
      <c r="DQ2584" s="164"/>
      <c r="DR2584" s="164"/>
      <c r="DS2584" s="161"/>
      <c r="DT2584" s="161"/>
      <c r="DU2584" s="66"/>
      <c r="DV2584" s="66"/>
      <c r="DW2584" s="66"/>
      <c r="DX2584" s="66"/>
      <c r="DY2584" s="66"/>
      <c r="DZ2584" s="66"/>
      <c r="EA2584" s="66"/>
      <c r="EB2584" s="66"/>
      <c r="EC2584" s="66"/>
      <c r="ED2584" s="66"/>
      <c r="EE2584" s="66"/>
      <c r="EF2584" s="66"/>
      <c r="EG2584" s="66"/>
      <c r="EH2584" s="66"/>
      <c r="EI2584" s="66"/>
      <c r="EJ2584" s="66"/>
      <c r="EK2584" s="91"/>
      <c r="EL2584" s="91"/>
      <c r="EM2584" s="66"/>
      <c r="EN2584" s="66"/>
      <c r="EO2584" s="66"/>
      <c r="EP2584" s="66"/>
      <c r="EQ2584" s="66"/>
      <c r="ER2584" s="66"/>
      <c r="ES2584" s="66"/>
      <c r="ET2584" s="66"/>
      <c r="EU2584" s="66"/>
      <c r="EV2584" s="66"/>
      <c r="EW2584" s="66"/>
      <c r="EX2584" s="66"/>
      <c r="EY2584" s="66"/>
      <c r="EZ2584" s="66"/>
      <c r="FA2584" s="66"/>
      <c r="FB2584" s="66"/>
      <c r="FC2584" s="66"/>
      <c r="FD2584" s="66"/>
      <c r="FE2584" s="66"/>
      <c r="FF2584" s="66"/>
      <c r="FG2584" s="66"/>
      <c r="FH2584" s="66"/>
      <c r="FI2584" s="66"/>
      <c r="FJ2584" s="66"/>
      <c r="FK2584" s="66"/>
      <c r="FL2584" s="66"/>
      <c r="FM2584" s="66"/>
      <c r="FN2584" s="66"/>
      <c r="FO2584" s="66"/>
      <c r="FP2584" s="66"/>
      <c r="FQ2584" s="66"/>
      <c r="FR2584" s="66"/>
      <c r="FS2584" s="66"/>
      <c r="FT2584" s="66"/>
      <c r="FU2584" s="66"/>
      <c r="FV2584" s="66"/>
      <c r="FW2584" s="66"/>
      <c r="FX2584" s="66"/>
      <c r="FY2584" s="66"/>
      <c r="FZ2584" s="66"/>
      <c r="GA2584" s="66"/>
      <c r="GB2584" s="66"/>
      <c r="GC2584" s="66"/>
      <c r="GD2584" s="66"/>
      <c r="GE2584" s="66"/>
      <c r="GF2584" s="66"/>
      <c r="GG2584" s="66"/>
      <c r="GH2584" s="66"/>
      <c r="GI2584" s="66"/>
      <c r="GJ2584" s="66"/>
      <c r="GK2584" s="66"/>
      <c r="GL2584" s="66"/>
      <c r="GM2584" s="66"/>
      <c r="GN2584" s="293"/>
      <c r="GO2584" s="293"/>
      <c r="GP2584" s="292" t="s">
        <v>7494</v>
      </c>
      <c r="GQ2584" s="66"/>
      <c r="GR2584" s="66"/>
      <c r="GS2584" s="66"/>
      <c r="GT2584" s="66"/>
      <c r="GU2584" s="66"/>
      <c r="GV2584" s="66"/>
      <c r="GW2584" s="66"/>
      <c r="GX2584" s="66"/>
      <c r="GY2584" s="66"/>
      <c r="GZ2584" s="66"/>
      <c r="HA2584" s="66"/>
      <c r="HB2584" s="66"/>
      <c r="HC2584" s="66"/>
      <c r="HD2584" s="66"/>
      <c r="HE2584" s="66"/>
      <c r="HF2584" s="66"/>
      <c r="HG2584" s="66"/>
      <c r="HH2584" s="66"/>
      <c r="HI2584" s="66"/>
      <c r="HJ2584" s="66"/>
      <c r="HK2584" s="66"/>
      <c r="HL2584" s="66"/>
      <c r="HM2584" s="66"/>
      <c r="HN2584" s="66"/>
      <c r="HO2584" s="66"/>
      <c r="HP2584" s="66"/>
      <c r="HQ2584" s="66"/>
      <c r="HR2584" s="66"/>
      <c r="HS2584" s="66"/>
      <c r="HT2584" s="66"/>
      <c r="HU2584" s="66"/>
      <c r="HV2584" s="66"/>
      <c r="HW2584" s="66"/>
      <c r="HX2584" s="66"/>
      <c r="HY2584" s="66"/>
      <c r="HZ2584" s="66"/>
      <c r="IA2584" s="66"/>
      <c r="IB2584" s="66"/>
      <c r="IC2584" s="66"/>
      <c r="ID2584" s="66"/>
      <c r="IE2584" s="66"/>
      <c r="IF2584" s="66"/>
      <c r="IG2584" s="66"/>
      <c r="IH2584" s="66"/>
      <c r="II2584" s="66"/>
      <c r="IJ2584" s="66"/>
      <c r="IK2584" s="66"/>
      <c r="IL2584" s="66"/>
      <c r="IM2584" s="66"/>
      <c r="IN2584" s="66"/>
      <c r="IO2584" s="66"/>
      <c r="IP2584" s="66"/>
      <c r="IQ2584" s="66"/>
      <c r="IR2584" s="66"/>
      <c r="IS2584" s="66"/>
      <c r="IT2584" s="66"/>
      <c r="IU2584" s="66"/>
      <c r="IV2584" s="66"/>
      <c r="IW2584" s="66"/>
      <c r="IX2584" s="66"/>
      <c r="IY2584" s="66"/>
      <c r="IZ2584" s="66"/>
      <c r="JA2584" s="66"/>
      <c r="JB2584" s="66"/>
      <c r="JC2584" s="66"/>
      <c r="JD2584" s="66"/>
      <c r="JE2584" s="66"/>
      <c r="JF2584" s="66"/>
      <c r="JG2584" s="66"/>
      <c r="JH2584" s="66"/>
      <c r="JI2584" s="66"/>
      <c r="JJ2584" s="66"/>
      <c r="JK2584" s="66"/>
      <c r="JL2584" s="66"/>
      <c r="JM2584" s="66"/>
      <c r="JN2584" s="66"/>
      <c r="JO2584" s="66"/>
      <c r="JP2584" s="66"/>
      <c r="JQ2584" s="66"/>
      <c r="JR2584" s="66"/>
      <c r="JS2584" s="66"/>
      <c r="JT2584" s="66"/>
      <c r="JU2584" s="57"/>
      <c r="JV2584" s="57"/>
      <c r="JW2584" s="57"/>
      <c r="JX2584" s="13"/>
      <c r="JY2584" s="13"/>
      <c r="JZ2584" s="13"/>
    </row>
    <row r="2585" spans="1:286" s="13" customFormat="1" x14ac:dyDescent="0.25">
      <c r="A2585" s="57">
        <v>2584</v>
      </c>
      <c r="B2585" s="13" t="s">
        <v>7067</v>
      </c>
      <c r="C2585" s="154">
        <v>121</v>
      </c>
      <c r="D2585" s="57" t="s">
        <v>4247</v>
      </c>
      <c r="E2585" s="91" t="s">
        <v>2659</v>
      </c>
      <c r="F2585" s="91"/>
      <c r="G2585" s="57" t="s">
        <v>2658</v>
      </c>
      <c r="H2585" s="57">
        <v>1999</v>
      </c>
      <c r="I2585" s="57">
        <v>1995</v>
      </c>
      <c r="J2585" s="57" t="s">
        <v>2660</v>
      </c>
      <c r="K2585" s="57" t="s">
        <v>2662</v>
      </c>
      <c r="L2585" s="57" t="s">
        <v>2744</v>
      </c>
      <c r="M2585" s="91">
        <v>10.016666666666667</v>
      </c>
      <c r="N2585" s="91">
        <v>9.7833333333333332</v>
      </c>
      <c r="O2585" s="91">
        <v>542</v>
      </c>
      <c r="P2585" s="57"/>
      <c r="Q2585" s="57"/>
      <c r="R2585" s="57"/>
      <c r="S2585" s="91">
        <v>1350</v>
      </c>
      <c r="T2585" s="57"/>
      <c r="U2585" s="57" t="s">
        <v>1935</v>
      </c>
      <c r="V2585" s="57" t="s">
        <v>1805</v>
      </c>
      <c r="W2585" s="172"/>
      <c r="X2585" s="172"/>
      <c r="Y2585" s="57" t="s">
        <v>1911</v>
      </c>
      <c r="Z2585" s="57" t="s">
        <v>1349</v>
      </c>
      <c r="AA2585" s="91" t="s">
        <v>1677</v>
      </c>
      <c r="AB2585" s="66"/>
      <c r="AC2585" s="66"/>
      <c r="AD2585" s="91"/>
      <c r="AE2585" s="91">
        <v>47.5</v>
      </c>
      <c r="AF2585" s="91">
        <f>100-AE2585-30</f>
        <v>22.5</v>
      </c>
      <c r="AG2585" s="91"/>
      <c r="AH2585" s="57" t="s">
        <v>494</v>
      </c>
      <c r="AI2585" s="167">
        <v>6.5</v>
      </c>
      <c r="AJ2585" s="91">
        <v>0.7</v>
      </c>
      <c r="AK2585" s="91"/>
      <c r="AL2585" s="57"/>
      <c r="AM2585" s="57"/>
      <c r="AN2585" s="184" t="s">
        <v>2664</v>
      </c>
      <c r="AO2585" s="185" t="s">
        <v>5150</v>
      </c>
      <c r="AP2585" s="57"/>
      <c r="AQ2585" s="57" t="s">
        <v>553</v>
      </c>
      <c r="AR2585" s="57" t="s">
        <v>1607</v>
      </c>
      <c r="AS2585" s="57" t="s">
        <v>132</v>
      </c>
      <c r="AT2585" s="180"/>
      <c r="AU2585" s="181" t="s">
        <v>7494</v>
      </c>
      <c r="AV2585" s="184" t="s">
        <v>176</v>
      </c>
      <c r="AW2585" s="57"/>
      <c r="AX2585" s="184" t="s">
        <v>176</v>
      </c>
      <c r="AY2585" s="57"/>
      <c r="AZ2585" s="57"/>
      <c r="BA2585" s="57"/>
      <c r="BB2585" s="57"/>
      <c r="BC2585" s="57"/>
      <c r="BD2585" s="57"/>
      <c r="BE2585" s="251" t="s">
        <v>161</v>
      </c>
      <c r="BF2585" s="252" t="s">
        <v>479</v>
      </c>
      <c r="BG2585" s="252" t="s">
        <v>176</v>
      </c>
      <c r="BH2585" s="251" t="s">
        <v>161</v>
      </c>
      <c r="BI2585" s="252" t="s">
        <v>176</v>
      </c>
      <c r="BJ2585" s="57" t="s">
        <v>176</v>
      </c>
      <c r="BK2585" s="57" t="s">
        <v>5976</v>
      </c>
      <c r="BL2585" s="57"/>
      <c r="BM2585" s="253" t="s">
        <v>2663</v>
      </c>
      <c r="BN2585" s="57">
        <v>4</v>
      </c>
      <c r="BO2585" s="57">
        <v>4</v>
      </c>
      <c r="BP2585" s="57"/>
      <c r="BQ2585" s="57" t="s">
        <v>141</v>
      </c>
      <c r="BR2585" s="57"/>
      <c r="BS2585" s="57"/>
      <c r="BT2585" s="57"/>
      <c r="BU2585" s="57"/>
      <c r="BV2585" s="57"/>
      <c r="BW2585" s="66">
        <v>720</v>
      </c>
      <c r="BX2585" s="66">
        <v>1133</v>
      </c>
      <c r="BY2585" s="66">
        <v>204</v>
      </c>
      <c r="BZ2585" s="66">
        <v>204</v>
      </c>
      <c r="CA2585" s="66" t="s">
        <v>545</v>
      </c>
      <c r="CB2585" s="66">
        <v>565</v>
      </c>
      <c r="CC2585" s="66">
        <v>988</v>
      </c>
      <c r="CD2585" s="66">
        <f>(CC2585-CB2585)/CB2585</f>
        <v>0.74867256637168145</v>
      </c>
      <c r="CE2585" s="66">
        <v>296</v>
      </c>
      <c r="CF2585" s="66">
        <v>296</v>
      </c>
      <c r="CG2585" s="66" t="s">
        <v>2673</v>
      </c>
      <c r="CH2585" s="91"/>
      <c r="CI2585" s="91"/>
      <c r="CJ2585" s="66"/>
      <c r="CK2585" s="66"/>
      <c r="CL2585" s="66"/>
      <c r="CM2585" s="66"/>
      <c r="CN2585" s="66"/>
      <c r="CO2585" s="66"/>
      <c r="CP2585" s="66"/>
      <c r="CQ2585" s="66"/>
      <c r="CR2585" s="66"/>
      <c r="CS2585" s="66"/>
      <c r="CT2585" s="66"/>
      <c r="CU2585" s="66"/>
      <c r="CV2585" s="66"/>
      <c r="CW2585" s="66"/>
      <c r="CX2585" s="66"/>
      <c r="CY2585" s="66"/>
      <c r="CZ2585" s="66"/>
      <c r="DA2585" s="66"/>
      <c r="DB2585" s="66"/>
      <c r="DC2585" s="66"/>
      <c r="DD2585" s="66"/>
      <c r="DE2585" s="66"/>
      <c r="DF2585" s="66"/>
      <c r="DG2585" s="66"/>
      <c r="DH2585" s="66"/>
      <c r="DI2585" s="66"/>
      <c r="DJ2585" s="66"/>
      <c r="DK2585" s="66"/>
      <c r="DL2585" s="66"/>
      <c r="DM2585" s="66"/>
      <c r="DN2585" s="66"/>
      <c r="DO2585" s="66"/>
      <c r="DP2585" s="66"/>
      <c r="DQ2585" s="164"/>
      <c r="DR2585" s="164"/>
      <c r="DS2585" s="161"/>
      <c r="DT2585" s="161"/>
      <c r="DU2585" s="66"/>
      <c r="DV2585" s="66"/>
      <c r="DW2585" s="66"/>
      <c r="DX2585" s="66"/>
      <c r="DY2585" s="66"/>
      <c r="DZ2585" s="66"/>
      <c r="EA2585" s="66"/>
      <c r="EB2585" s="66"/>
      <c r="EC2585" s="66"/>
      <c r="ED2585" s="66"/>
      <c r="EE2585" s="66"/>
      <c r="EF2585" s="66"/>
      <c r="EG2585" s="66"/>
      <c r="EH2585" s="66"/>
      <c r="EI2585" s="66"/>
      <c r="EJ2585" s="66"/>
      <c r="EK2585" s="91"/>
      <c r="EL2585" s="91"/>
      <c r="EM2585" s="66"/>
      <c r="EN2585" s="66"/>
      <c r="EO2585" s="66"/>
      <c r="EP2585" s="66"/>
      <c r="EQ2585" s="66"/>
      <c r="ER2585" s="66"/>
      <c r="ES2585" s="66"/>
      <c r="ET2585" s="66"/>
      <c r="EU2585" s="66"/>
      <c r="EV2585" s="66"/>
      <c r="EW2585" s="66"/>
      <c r="EX2585" s="66"/>
      <c r="EY2585" s="66"/>
      <c r="EZ2585" s="66"/>
      <c r="FA2585" s="66"/>
      <c r="FB2585" s="66"/>
      <c r="FC2585" s="66"/>
      <c r="FD2585" s="66"/>
      <c r="FE2585" s="66"/>
      <c r="FF2585" s="66"/>
      <c r="FG2585" s="66"/>
      <c r="FH2585" s="66"/>
      <c r="FI2585" s="66"/>
      <c r="FJ2585" s="66"/>
      <c r="FK2585" s="66"/>
      <c r="FL2585" s="66"/>
      <c r="FM2585" s="66"/>
      <c r="FN2585" s="66"/>
      <c r="FO2585" s="66"/>
      <c r="FP2585" s="66"/>
      <c r="FQ2585" s="66"/>
      <c r="FR2585" s="66"/>
      <c r="FS2585" s="66"/>
      <c r="FT2585" s="66"/>
      <c r="FU2585" s="66"/>
      <c r="FV2585" s="66"/>
      <c r="FW2585" s="66"/>
      <c r="FX2585" s="66"/>
      <c r="FY2585" s="66"/>
      <c r="FZ2585" s="66"/>
      <c r="GA2585" s="66"/>
      <c r="GB2585" s="66"/>
      <c r="GC2585" s="66"/>
      <c r="GD2585" s="66"/>
      <c r="GE2585" s="66"/>
      <c r="GF2585" s="66"/>
      <c r="GG2585" s="66"/>
      <c r="GH2585" s="66"/>
      <c r="GI2585" s="66"/>
      <c r="GJ2585" s="66"/>
      <c r="GK2585" s="66"/>
      <c r="GL2585" s="66"/>
      <c r="GM2585" s="66"/>
      <c r="GN2585" s="293"/>
      <c r="GO2585" s="293"/>
      <c r="GP2585" s="292" t="s">
        <v>7494</v>
      </c>
      <c r="GQ2585" s="66"/>
      <c r="GR2585" s="66"/>
      <c r="GS2585" s="66"/>
      <c r="GT2585" s="66"/>
      <c r="GU2585" s="66"/>
      <c r="GV2585" s="66"/>
      <c r="GW2585" s="66"/>
      <c r="GX2585" s="66"/>
      <c r="GY2585" s="66"/>
      <c r="GZ2585" s="66"/>
      <c r="HA2585" s="66"/>
      <c r="HB2585" s="66"/>
      <c r="HC2585" s="66"/>
      <c r="HD2585" s="66"/>
      <c r="HE2585" s="66"/>
      <c r="HF2585" s="66"/>
      <c r="HG2585" s="66"/>
      <c r="HH2585" s="66"/>
      <c r="HI2585" s="66"/>
      <c r="HJ2585" s="66"/>
      <c r="HK2585" s="66"/>
      <c r="HL2585" s="66"/>
      <c r="HM2585" s="66"/>
      <c r="HN2585" s="66"/>
      <c r="HO2585" s="66"/>
      <c r="HP2585" s="66"/>
      <c r="HQ2585" s="66"/>
      <c r="HR2585" s="66"/>
      <c r="HS2585" s="66"/>
      <c r="HT2585" s="66"/>
      <c r="HU2585" s="66"/>
      <c r="HV2585" s="66"/>
      <c r="HW2585" s="66"/>
      <c r="HX2585" s="66"/>
      <c r="HY2585" s="66"/>
      <c r="HZ2585" s="66"/>
      <c r="IA2585" s="66"/>
      <c r="IB2585" s="66"/>
      <c r="IC2585" s="66"/>
      <c r="ID2585" s="66"/>
      <c r="IE2585" s="66"/>
      <c r="IF2585" s="66"/>
      <c r="IG2585" s="66"/>
      <c r="IH2585" s="66"/>
      <c r="II2585" s="66"/>
      <c r="IJ2585" s="66"/>
      <c r="IK2585" s="66"/>
      <c r="IL2585" s="66"/>
      <c r="IM2585" s="66"/>
      <c r="IN2585" s="66"/>
      <c r="IO2585" s="66"/>
      <c r="IP2585" s="66"/>
      <c r="IQ2585" s="66"/>
      <c r="IR2585" s="66"/>
      <c r="IS2585" s="66"/>
      <c r="IT2585" s="66"/>
      <c r="IU2585" s="66"/>
      <c r="IV2585" s="66"/>
      <c r="IW2585" s="66"/>
      <c r="IX2585" s="66"/>
      <c r="IY2585" s="66"/>
      <c r="IZ2585" s="66"/>
      <c r="JA2585" s="66"/>
      <c r="JB2585" s="66"/>
      <c r="JC2585" s="66"/>
      <c r="JD2585" s="66"/>
      <c r="JE2585" s="66"/>
      <c r="JF2585" s="66"/>
      <c r="JG2585" s="66"/>
      <c r="JH2585" s="66"/>
      <c r="JI2585" s="66"/>
      <c r="JJ2585" s="66"/>
      <c r="JK2585" s="66"/>
      <c r="JL2585" s="66"/>
      <c r="JM2585" s="66"/>
      <c r="JN2585" s="66"/>
      <c r="JO2585" s="66"/>
      <c r="JP2585" s="66"/>
      <c r="JQ2585" s="66"/>
      <c r="JR2585" s="66"/>
      <c r="JS2585" s="66"/>
      <c r="JT2585" s="66"/>
      <c r="JU2585" s="57"/>
      <c r="JV2585" s="57"/>
      <c r="JW2585" s="57"/>
    </row>
    <row r="2586" spans="1:286" s="13" customFormat="1" x14ac:dyDescent="0.25">
      <c r="A2586" s="57">
        <v>2585</v>
      </c>
      <c r="B2586" s="13" t="s">
        <v>7067</v>
      </c>
      <c r="C2586" s="154">
        <v>121</v>
      </c>
      <c r="D2586" s="57" t="s">
        <v>4248</v>
      </c>
      <c r="E2586" s="91" t="s">
        <v>2659</v>
      </c>
      <c r="F2586" s="91"/>
      <c r="G2586" s="57" t="s">
        <v>2658</v>
      </c>
      <c r="H2586" s="57">
        <v>1999</v>
      </c>
      <c r="I2586" s="57">
        <v>1995</v>
      </c>
      <c r="J2586" s="57" t="s">
        <v>2660</v>
      </c>
      <c r="K2586" s="57" t="s">
        <v>2662</v>
      </c>
      <c r="L2586" s="57" t="s">
        <v>2744</v>
      </c>
      <c r="M2586" s="91">
        <v>10.016666666666667</v>
      </c>
      <c r="N2586" s="91">
        <v>9.7833333333333332</v>
      </c>
      <c r="O2586" s="91">
        <v>542</v>
      </c>
      <c r="P2586" s="57"/>
      <c r="Q2586" s="57"/>
      <c r="R2586" s="57"/>
      <c r="S2586" s="91">
        <v>1350</v>
      </c>
      <c r="T2586" s="57"/>
      <c r="U2586" s="57" t="s">
        <v>1935</v>
      </c>
      <c r="V2586" s="57" t="s">
        <v>1805</v>
      </c>
      <c r="W2586" s="172"/>
      <c r="X2586" s="172"/>
      <c r="Y2586" s="57" t="s">
        <v>1911</v>
      </c>
      <c r="Z2586" s="57" t="s">
        <v>1349</v>
      </c>
      <c r="AA2586" s="91" t="s">
        <v>1677</v>
      </c>
      <c r="AB2586" s="66"/>
      <c r="AC2586" s="66"/>
      <c r="AD2586" s="91"/>
      <c r="AE2586" s="91">
        <v>47.5</v>
      </c>
      <c r="AF2586" s="91">
        <f>100-AE2586-30</f>
        <v>22.5</v>
      </c>
      <c r="AG2586" s="91"/>
      <c r="AH2586" s="57" t="s">
        <v>494</v>
      </c>
      <c r="AI2586" s="167">
        <v>6.5</v>
      </c>
      <c r="AJ2586" s="91">
        <v>0.7</v>
      </c>
      <c r="AK2586" s="91"/>
      <c r="AL2586" s="57"/>
      <c r="AM2586" s="57"/>
      <c r="AN2586" s="184" t="s">
        <v>2664</v>
      </c>
      <c r="AO2586" s="185" t="s">
        <v>5150</v>
      </c>
      <c r="AP2586" s="57"/>
      <c r="AQ2586" s="57" t="s">
        <v>553</v>
      </c>
      <c r="AR2586" s="57" t="s">
        <v>1607</v>
      </c>
      <c r="AS2586" s="57" t="s">
        <v>132</v>
      </c>
      <c r="AT2586" s="180"/>
      <c r="AU2586" s="181" t="s">
        <v>7494</v>
      </c>
      <c r="AV2586" s="184" t="s">
        <v>176</v>
      </c>
      <c r="AW2586" s="57"/>
      <c r="AX2586" s="184" t="s">
        <v>176</v>
      </c>
      <c r="AY2586" s="57"/>
      <c r="AZ2586" s="57"/>
      <c r="BA2586" s="57"/>
      <c r="BB2586" s="57"/>
      <c r="BC2586" s="57"/>
      <c r="BD2586" s="57"/>
      <c r="BE2586" s="251" t="s">
        <v>2671</v>
      </c>
      <c r="BF2586" s="252" t="s">
        <v>479</v>
      </c>
      <c r="BG2586" s="252" t="s">
        <v>479</v>
      </c>
      <c r="BH2586" s="251" t="s">
        <v>2671</v>
      </c>
      <c r="BI2586" s="252" t="s">
        <v>479</v>
      </c>
      <c r="BJ2586" s="57" t="s">
        <v>176</v>
      </c>
      <c r="BK2586" s="57" t="s">
        <v>5976</v>
      </c>
      <c r="BL2586" s="57"/>
      <c r="BM2586" s="253" t="s">
        <v>2663</v>
      </c>
      <c r="BN2586" s="57">
        <v>4</v>
      </c>
      <c r="BO2586" s="57">
        <v>4</v>
      </c>
      <c r="BP2586" s="57"/>
      <c r="BQ2586" s="57" t="s">
        <v>141</v>
      </c>
      <c r="BR2586" s="57"/>
      <c r="BS2586" s="57"/>
      <c r="BT2586" s="57"/>
      <c r="BU2586" s="57"/>
      <c r="BV2586" s="57"/>
      <c r="BW2586" s="66">
        <v>1687</v>
      </c>
      <c r="BX2586" s="66">
        <v>1787</v>
      </c>
      <c r="BY2586" s="66"/>
      <c r="BZ2586" s="66"/>
      <c r="CA2586" s="66" t="s">
        <v>545</v>
      </c>
      <c r="CB2586" s="66">
        <v>2107</v>
      </c>
      <c r="CC2586" s="66">
        <v>2053</v>
      </c>
      <c r="CD2586" s="66">
        <f>(CC2586-CB2586)/CB2586</f>
        <v>-2.5628856193640248E-2</v>
      </c>
      <c r="CE2586" s="66"/>
      <c r="CF2586" s="66"/>
      <c r="CG2586" s="66" t="s">
        <v>2673</v>
      </c>
      <c r="CH2586" s="91"/>
      <c r="CI2586" s="91"/>
      <c r="CJ2586" s="66"/>
      <c r="CK2586" s="66"/>
      <c r="CL2586" s="66"/>
      <c r="CM2586" s="66"/>
      <c r="CN2586" s="66"/>
      <c r="CO2586" s="66"/>
      <c r="CP2586" s="66"/>
      <c r="CQ2586" s="66"/>
      <c r="CR2586" s="66"/>
      <c r="CS2586" s="66"/>
      <c r="CT2586" s="66"/>
      <c r="CU2586" s="66"/>
      <c r="CV2586" s="66"/>
      <c r="CW2586" s="66"/>
      <c r="CX2586" s="66"/>
      <c r="CY2586" s="66"/>
      <c r="CZ2586" s="66"/>
      <c r="DA2586" s="66"/>
      <c r="DB2586" s="66"/>
      <c r="DC2586" s="66"/>
      <c r="DD2586" s="66"/>
      <c r="DE2586" s="66"/>
      <c r="DF2586" s="66"/>
      <c r="DG2586" s="66"/>
      <c r="DH2586" s="66"/>
      <c r="DI2586" s="66"/>
      <c r="DJ2586" s="66"/>
      <c r="DK2586" s="66"/>
      <c r="DL2586" s="66"/>
      <c r="DM2586" s="66"/>
      <c r="DN2586" s="66"/>
      <c r="DO2586" s="66"/>
      <c r="DP2586" s="66"/>
      <c r="DQ2586" s="164"/>
      <c r="DR2586" s="164"/>
      <c r="DS2586" s="161"/>
      <c r="DT2586" s="161"/>
      <c r="DU2586" s="66"/>
      <c r="DV2586" s="66"/>
      <c r="DW2586" s="66"/>
      <c r="DX2586" s="66"/>
      <c r="DY2586" s="66"/>
      <c r="DZ2586" s="66"/>
      <c r="EA2586" s="66"/>
      <c r="EB2586" s="66"/>
      <c r="EC2586" s="66"/>
      <c r="ED2586" s="66"/>
      <c r="EE2586" s="66"/>
      <c r="EF2586" s="66"/>
      <c r="EG2586" s="66"/>
      <c r="EH2586" s="66"/>
      <c r="EI2586" s="66"/>
      <c r="EJ2586" s="66"/>
      <c r="EK2586" s="91"/>
      <c r="EL2586" s="91"/>
      <c r="EM2586" s="66"/>
      <c r="EN2586" s="66"/>
      <c r="EO2586" s="66"/>
      <c r="EP2586" s="66"/>
      <c r="EQ2586" s="66"/>
      <c r="ER2586" s="66"/>
      <c r="ES2586" s="66"/>
      <c r="ET2586" s="66"/>
      <c r="EU2586" s="66"/>
      <c r="EV2586" s="66"/>
      <c r="EW2586" s="66"/>
      <c r="EX2586" s="66"/>
      <c r="EY2586" s="66"/>
      <c r="EZ2586" s="66"/>
      <c r="FA2586" s="66"/>
      <c r="FB2586" s="66"/>
      <c r="FC2586" s="66"/>
      <c r="FD2586" s="66"/>
      <c r="FE2586" s="66"/>
      <c r="FF2586" s="66"/>
      <c r="FG2586" s="66"/>
      <c r="FH2586" s="66"/>
      <c r="FI2586" s="66"/>
      <c r="FJ2586" s="66"/>
      <c r="FK2586" s="66"/>
      <c r="FL2586" s="66"/>
      <c r="FM2586" s="66"/>
      <c r="FN2586" s="66"/>
      <c r="FO2586" s="66"/>
      <c r="FP2586" s="66"/>
      <c r="FQ2586" s="66"/>
      <c r="FR2586" s="66"/>
      <c r="FS2586" s="66"/>
      <c r="FT2586" s="66"/>
      <c r="FU2586" s="66"/>
      <c r="FV2586" s="66"/>
      <c r="FW2586" s="66"/>
      <c r="FX2586" s="66"/>
      <c r="FY2586" s="66"/>
      <c r="FZ2586" s="66"/>
      <c r="GA2586" s="66"/>
      <c r="GB2586" s="66"/>
      <c r="GC2586" s="66"/>
      <c r="GD2586" s="66"/>
      <c r="GE2586" s="66"/>
      <c r="GF2586" s="66"/>
      <c r="GG2586" s="66"/>
      <c r="GH2586" s="66"/>
      <c r="GI2586" s="66"/>
      <c r="GJ2586" s="66"/>
      <c r="GK2586" s="66"/>
      <c r="GL2586" s="66"/>
      <c r="GM2586" s="66"/>
      <c r="GN2586" s="293"/>
      <c r="GO2586" s="293"/>
      <c r="GP2586" s="292" t="s">
        <v>7494</v>
      </c>
      <c r="GQ2586" s="66"/>
      <c r="GR2586" s="66"/>
      <c r="GS2586" s="66"/>
      <c r="GT2586" s="66"/>
      <c r="GU2586" s="66"/>
      <c r="GV2586" s="66"/>
      <c r="GW2586" s="66"/>
      <c r="GX2586" s="66"/>
      <c r="GY2586" s="66"/>
      <c r="GZ2586" s="66"/>
      <c r="HA2586" s="66"/>
      <c r="HB2586" s="66"/>
      <c r="HC2586" s="66"/>
      <c r="HD2586" s="66"/>
      <c r="HE2586" s="66"/>
      <c r="HF2586" s="66"/>
      <c r="HG2586" s="66"/>
      <c r="HH2586" s="66"/>
      <c r="HI2586" s="66"/>
      <c r="HJ2586" s="66"/>
      <c r="HK2586" s="66"/>
      <c r="HL2586" s="66"/>
      <c r="HM2586" s="66"/>
      <c r="HN2586" s="66"/>
      <c r="HO2586" s="66"/>
      <c r="HP2586" s="66"/>
      <c r="HQ2586" s="66"/>
      <c r="HR2586" s="66"/>
      <c r="HS2586" s="66"/>
      <c r="HT2586" s="66"/>
      <c r="HU2586" s="66"/>
      <c r="HV2586" s="66"/>
      <c r="HW2586" s="66"/>
      <c r="HX2586" s="66"/>
      <c r="HY2586" s="66"/>
      <c r="HZ2586" s="66"/>
      <c r="IA2586" s="66"/>
      <c r="IB2586" s="66"/>
      <c r="IC2586" s="66"/>
      <c r="ID2586" s="66"/>
      <c r="IE2586" s="66"/>
      <c r="IF2586" s="66"/>
      <c r="IG2586" s="66"/>
      <c r="IH2586" s="66"/>
      <c r="II2586" s="66"/>
      <c r="IJ2586" s="66"/>
      <c r="IK2586" s="66"/>
      <c r="IL2586" s="66"/>
      <c r="IM2586" s="66"/>
      <c r="IN2586" s="66"/>
      <c r="IO2586" s="66"/>
      <c r="IP2586" s="66"/>
      <c r="IQ2586" s="66"/>
      <c r="IR2586" s="66"/>
      <c r="IS2586" s="66"/>
      <c r="IT2586" s="66"/>
      <c r="IU2586" s="66"/>
      <c r="IV2586" s="66"/>
      <c r="IW2586" s="66"/>
      <c r="IX2586" s="66"/>
      <c r="IY2586" s="66"/>
      <c r="IZ2586" s="66"/>
      <c r="JA2586" s="66"/>
      <c r="JB2586" s="66"/>
      <c r="JC2586" s="66"/>
      <c r="JD2586" s="66"/>
      <c r="JE2586" s="66"/>
      <c r="JF2586" s="66"/>
      <c r="JG2586" s="66"/>
      <c r="JH2586" s="66"/>
      <c r="JI2586" s="66"/>
      <c r="JJ2586" s="66"/>
      <c r="JK2586" s="66"/>
      <c r="JL2586" s="66"/>
      <c r="JM2586" s="66"/>
      <c r="JN2586" s="66"/>
      <c r="JO2586" s="66"/>
      <c r="JP2586" s="66"/>
      <c r="JQ2586" s="66"/>
      <c r="JR2586" s="66"/>
      <c r="JS2586" s="66"/>
      <c r="JT2586" s="66"/>
      <c r="JU2586" s="57"/>
      <c r="JV2586" s="57"/>
      <c r="JW2586" s="57"/>
    </row>
    <row r="2587" spans="1:286" s="13" customFormat="1" x14ac:dyDescent="0.25">
      <c r="A2587" s="57">
        <v>2586</v>
      </c>
      <c r="B2587" s="13" t="s">
        <v>7067</v>
      </c>
      <c r="C2587" s="154">
        <v>121</v>
      </c>
      <c r="D2587" s="57" t="s">
        <v>4249</v>
      </c>
      <c r="E2587" s="91" t="s">
        <v>2659</v>
      </c>
      <c r="F2587" s="91"/>
      <c r="G2587" s="57" t="s">
        <v>2658</v>
      </c>
      <c r="H2587" s="57">
        <v>1999</v>
      </c>
      <c r="I2587" s="57">
        <v>1995</v>
      </c>
      <c r="J2587" s="57" t="s">
        <v>2660</v>
      </c>
      <c r="K2587" s="57" t="s">
        <v>2662</v>
      </c>
      <c r="L2587" s="57" t="s">
        <v>2744</v>
      </c>
      <c r="M2587" s="91">
        <v>10.016666666666667</v>
      </c>
      <c r="N2587" s="91">
        <v>9.7833333333333332</v>
      </c>
      <c r="O2587" s="91">
        <v>542</v>
      </c>
      <c r="P2587" s="57"/>
      <c r="Q2587" s="57"/>
      <c r="R2587" s="57"/>
      <c r="S2587" s="91">
        <v>1350</v>
      </c>
      <c r="T2587" s="57"/>
      <c r="U2587" s="57" t="s">
        <v>1935</v>
      </c>
      <c r="V2587" s="57" t="s">
        <v>1805</v>
      </c>
      <c r="W2587" s="172"/>
      <c r="X2587" s="172"/>
      <c r="Y2587" s="57" t="s">
        <v>1911</v>
      </c>
      <c r="Z2587" s="57" t="s">
        <v>1349</v>
      </c>
      <c r="AA2587" s="91" t="s">
        <v>1677</v>
      </c>
      <c r="AB2587" s="66"/>
      <c r="AC2587" s="66"/>
      <c r="AD2587" s="91"/>
      <c r="AE2587" s="91">
        <v>47.5</v>
      </c>
      <c r="AF2587" s="91">
        <f>100-AE2587-30</f>
        <v>22.5</v>
      </c>
      <c r="AG2587" s="91"/>
      <c r="AH2587" s="57" t="s">
        <v>494</v>
      </c>
      <c r="AI2587" s="167">
        <v>6.5</v>
      </c>
      <c r="AJ2587" s="91">
        <v>0.7</v>
      </c>
      <c r="AK2587" s="91"/>
      <c r="AL2587" s="57"/>
      <c r="AM2587" s="57"/>
      <c r="AN2587" s="184" t="s">
        <v>2664</v>
      </c>
      <c r="AO2587" s="185" t="s">
        <v>5150</v>
      </c>
      <c r="AP2587" s="57"/>
      <c r="AQ2587" s="57" t="s">
        <v>553</v>
      </c>
      <c r="AR2587" s="57" t="s">
        <v>1607</v>
      </c>
      <c r="AS2587" s="57" t="s">
        <v>132</v>
      </c>
      <c r="AT2587" s="180"/>
      <c r="AU2587" s="181" t="s">
        <v>7494</v>
      </c>
      <c r="AV2587" s="184" t="s">
        <v>176</v>
      </c>
      <c r="AW2587" s="57"/>
      <c r="AX2587" s="184" t="s">
        <v>176</v>
      </c>
      <c r="AY2587" s="57"/>
      <c r="AZ2587" s="57"/>
      <c r="BA2587" s="57"/>
      <c r="BB2587" s="57"/>
      <c r="BC2587" s="57"/>
      <c r="BD2587" s="57"/>
      <c r="BE2587" s="251" t="s">
        <v>2672</v>
      </c>
      <c r="BF2587" s="252" t="s">
        <v>479</v>
      </c>
      <c r="BG2587" s="252" t="s">
        <v>479</v>
      </c>
      <c r="BH2587" s="251" t="s">
        <v>2672</v>
      </c>
      <c r="BI2587" s="252" t="s">
        <v>479</v>
      </c>
      <c r="BJ2587" s="57" t="s">
        <v>176</v>
      </c>
      <c r="BK2587" s="57" t="s">
        <v>5976</v>
      </c>
      <c r="BL2587" s="57"/>
      <c r="BM2587" s="253" t="s">
        <v>2663</v>
      </c>
      <c r="BN2587" s="57">
        <v>4</v>
      </c>
      <c r="BO2587" s="57">
        <v>4</v>
      </c>
      <c r="BP2587" s="57"/>
      <c r="BQ2587" s="57" t="s">
        <v>141</v>
      </c>
      <c r="BR2587" s="57"/>
      <c r="BS2587" s="57"/>
      <c r="BT2587" s="57"/>
      <c r="BU2587" s="57"/>
      <c r="BV2587" s="57"/>
      <c r="BW2587" s="66">
        <v>1653</v>
      </c>
      <c r="BX2587" s="66">
        <v>2193</v>
      </c>
      <c r="BY2587" s="66"/>
      <c r="BZ2587" s="66"/>
      <c r="CA2587" s="66" t="s">
        <v>545</v>
      </c>
      <c r="CB2587" s="66">
        <v>2286</v>
      </c>
      <c r="CC2587" s="66">
        <v>2521</v>
      </c>
      <c r="CD2587" s="66">
        <f>(CC2587-CB2587)/CB2587</f>
        <v>0.10279965004374453</v>
      </c>
      <c r="CE2587" s="66"/>
      <c r="CF2587" s="66"/>
      <c r="CG2587" s="66" t="s">
        <v>2673</v>
      </c>
      <c r="CH2587" s="91"/>
      <c r="CI2587" s="91"/>
      <c r="CJ2587" s="66"/>
      <c r="CK2587" s="66"/>
      <c r="CL2587" s="66"/>
      <c r="CM2587" s="66"/>
      <c r="CN2587" s="66"/>
      <c r="CO2587" s="66"/>
      <c r="CP2587" s="66"/>
      <c r="CQ2587" s="66"/>
      <c r="CR2587" s="66"/>
      <c r="CS2587" s="66"/>
      <c r="CT2587" s="66"/>
      <c r="CU2587" s="66"/>
      <c r="CV2587" s="66"/>
      <c r="CW2587" s="66"/>
      <c r="CX2587" s="66"/>
      <c r="CY2587" s="66"/>
      <c r="CZ2587" s="66"/>
      <c r="DA2587" s="66"/>
      <c r="DB2587" s="66"/>
      <c r="DC2587" s="66"/>
      <c r="DD2587" s="66"/>
      <c r="DE2587" s="66"/>
      <c r="DF2587" s="66"/>
      <c r="DG2587" s="66"/>
      <c r="DH2587" s="66"/>
      <c r="DI2587" s="66"/>
      <c r="DJ2587" s="66"/>
      <c r="DK2587" s="66"/>
      <c r="DL2587" s="66"/>
      <c r="DM2587" s="66"/>
      <c r="DN2587" s="66"/>
      <c r="DO2587" s="66"/>
      <c r="DP2587" s="66"/>
      <c r="DQ2587" s="164"/>
      <c r="DR2587" s="164"/>
      <c r="DS2587" s="161"/>
      <c r="DT2587" s="161"/>
      <c r="DU2587" s="66"/>
      <c r="DV2587" s="66"/>
      <c r="DW2587" s="66"/>
      <c r="DX2587" s="66"/>
      <c r="DY2587" s="66"/>
      <c r="DZ2587" s="66"/>
      <c r="EA2587" s="66"/>
      <c r="EB2587" s="66"/>
      <c r="EC2587" s="66"/>
      <c r="ED2587" s="66"/>
      <c r="EE2587" s="66"/>
      <c r="EF2587" s="66"/>
      <c r="EG2587" s="66"/>
      <c r="EH2587" s="66"/>
      <c r="EI2587" s="66"/>
      <c r="EJ2587" s="66"/>
      <c r="EK2587" s="91"/>
      <c r="EL2587" s="91"/>
      <c r="EM2587" s="66"/>
      <c r="EN2587" s="66"/>
      <c r="EO2587" s="66"/>
      <c r="EP2587" s="66"/>
      <c r="EQ2587" s="66"/>
      <c r="ER2587" s="66"/>
      <c r="ES2587" s="66"/>
      <c r="ET2587" s="66"/>
      <c r="EU2587" s="66"/>
      <c r="EV2587" s="66"/>
      <c r="EW2587" s="66"/>
      <c r="EX2587" s="66"/>
      <c r="EY2587" s="66"/>
      <c r="EZ2587" s="66"/>
      <c r="FA2587" s="66"/>
      <c r="FB2587" s="66"/>
      <c r="FC2587" s="66"/>
      <c r="FD2587" s="66"/>
      <c r="FE2587" s="66"/>
      <c r="FF2587" s="66"/>
      <c r="FG2587" s="66"/>
      <c r="FH2587" s="66"/>
      <c r="FI2587" s="66"/>
      <c r="FJ2587" s="66"/>
      <c r="FK2587" s="66"/>
      <c r="FL2587" s="66"/>
      <c r="FM2587" s="66"/>
      <c r="FN2587" s="66"/>
      <c r="FO2587" s="66"/>
      <c r="FP2587" s="66"/>
      <c r="FQ2587" s="66"/>
      <c r="FR2587" s="66"/>
      <c r="FS2587" s="66"/>
      <c r="FT2587" s="66"/>
      <c r="FU2587" s="66"/>
      <c r="FV2587" s="66"/>
      <c r="FW2587" s="66"/>
      <c r="FX2587" s="66"/>
      <c r="FY2587" s="66"/>
      <c r="FZ2587" s="66"/>
      <c r="GA2587" s="66"/>
      <c r="GB2587" s="66"/>
      <c r="GC2587" s="66"/>
      <c r="GD2587" s="66"/>
      <c r="GE2587" s="66"/>
      <c r="GF2587" s="66"/>
      <c r="GG2587" s="66"/>
      <c r="GH2587" s="66"/>
      <c r="GI2587" s="66"/>
      <c r="GJ2587" s="66"/>
      <c r="GK2587" s="66"/>
      <c r="GL2587" s="66"/>
      <c r="GM2587" s="66"/>
      <c r="GN2587" s="293"/>
      <c r="GO2587" s="293"/>
      <c r="GP2587" s="292" t="s">
        <v>7494</v>
      </c>
      <c r="GQ2587" s="66"/>
      <c r="GR2587" s="66"/>
      <c r="GS2587" s="66"/>
      <c r="GT2587" s="66"/>
      <c r="GU2587" s="66"/>
      <c r="GV2587" s="66"/>
      <c r="GW2587" s="66"/>
      <c r="GX2587" s="66"/>
      <c r="GY2587" s="66"/>
      <c r="GZ2587" s="66"/>
      <c r="HA2587" s="66"/>
      <c r="HB2587" s="66"/>
      <c r="HC2587" s="66"/>
      <c r="HD2587" s="66"/>
      <c r="HE2587" s="66"/>
      <c r="HF2587" s="66"/>
      <c r="HG2587" s="66"/>
      <c r="HH2587" s="66"/>
      <c r="HI2587" s="66"/>
      <c r="HJ2587" s="66"/>
      <c r="HK2587" s="66"/>
      <c r="HL2587" s="66"/>
      <c r="HM2587" s="66"/>
      <c r="HN2587" s="66"/>
      <c r="HO2587" s="66"/>
      <c r="HP2587" s="66"/>
      <c r="HQ2587" s="66"/>
      <c r="HR2587" s="66"/>
      <c r="HS2587" s="66"/>
      <c r="HT2587" s="66"/>
      <c r="HU2587" s="66"/>
      <c r="HV2587" s="66"/>
      <c r="HW2587" s="66"/>
      <c r="HX2587" s="66"/>
      <c r="HY2587" s="66"/>
      <c r="HZ2587" s="66"/>
      <c r="IA2587" s="66"/>
      <c r="IB2587" s="66"/>
      <c r="IC2587" s="66"/>
      <c r="ID2587" s="66"/>
      <c r="IE2587" s="66"/>
      <c r="IF2587" s="66"/>
      <c r="IG2587" s="66"/>
      <c r="IH2587" s="66"/>
      <c r="II2587" s="66"/>
      <c r="IJ2587" s="66"/>
      <c r="IK2587" s="66"/>
      <c r="IL2587" s="66"/>
      <c r="IM2587" s="66"/>
      <c r="IN2587" s="66"/>
      <c r="IO2587" s="66"/>
      <c r="IP2587" s="66"/>
      <c r="IQ2587" s="66"/>
      <c r="IR2587" s="66"/>
      <c r="IS2587" s="66"/>
      <c r="IT2587" s="66"/>
      <c r="IU2587" s="66"/>
      <c r="IV2587" s="66"/>
      <c r="IW2587" s="66"/>
      <c r="IX2587" s="66"/>
      <c r="IY2587" s="66"/>
      <c r="IZ2587" s="66"/>
      <c r="JA2587" s="66"/>
      <c r="JB2587" s="66"/>
      <c r="JC2587" s="66"/>
      <c r="JD2587" s="66"/>
      <c r="JE2587" s="66"/>
      <c r="JF2587" s="66"/>
      <c r="JG2587" s="66"/>
      <c r="JH2587" s="66"/>
      <c r="JI2587" s="66"/>
      <c r="JJ2587" s="66"/>
      <c r="JK2587" s="66"/>
      <c r="JL2587" s="66"/>
      <c r="JM2587" s="66"/>
      <c r="JN2587" s="66"/>
      <c r="JO2587" s="66"/>
      <c r="JP2587" s="66"/>
      <c r="JQ2587" s="66"/>
      <c r="JR2587" s="66"/>
      <c r="JS2587" s="66"/>
      <c r="JT2587" s="66"/>
      <c r="JU2587" s="57"/>
      <c r="JV2587" s="57"/>
      <c r="JW2587" s="57"/>
    </row>
    <row r="2588" spans="1:286" s="256" customFormat="1" x14ac:dyDescent="0.25">
      <c r="A2588" s="57">
        <v>2587</v>
      </c>
      <c r="B2588" s="13" t="s">
        <v>7067</v>
      </c>
      <c r="C2588" s="154">
        <v>121</v>
      </c>
      <c r="D2588" s="57" t="s">
        <v>4247</v>
      </c>
      <c r="E2588" s="91" t="s">
        <v>2659</v>
      </c>
      <c r="F2588" s="91"/>
      <c r="G2588" s="57" t="s">
        <v>2658</v>
      </c>
      <c r="H2588" s="57">
        <v>1999</v>
      </c>
      <c r="I2588" s="57">
        <v>1995</v>
      </c>
      <c r="J2588" s="57" t="s">
        <v>2660</v>
      </c>
      <c r="K2588" s="57" t="s">
        <v>2662</v>
      </c>
      <c r="L2588" s="57" t="s">
        <v>2744</v>
      </c>
      <c r="M2588" s="91">
        <v>10.016666666666667</v>
      </c>
      <c r="N2588" s="91">
        <v>9.7833333333333332</v>
      </c>
      <c r="O2588" s="91">
        <v>542</v>
      </c>
      <c r="P2588" s="57"/>
      <c r="Q2588" s="57"/>
      <c r="R2588" s="57"/>
      <c r="S2588" s="91">
        <v>1350</v>
      </c>
      <c r="T2588" s="57"/>
      <c r="U2588" s="57" t="s">
        <v>1935</v>
      </c>
      <c r="V2588" s="57" t="s">
        <v>1805</v>
      </c>
      <c r="W2588" s="172"/>
      <c r="X2588" s="172"/>
      <c r="Y2588" s="57" t="s">
        <v>1911</v>
      </c>
      <c r="Z2588" s="57" t="s">
        <v>1349</v>
      </c>
      <c r="AA2588" s="91" t="s">
        <v>1677</v>
      </c>
      <c r="AB2588" s="66"/>
      <c r="AC2588" s="66"/>
      <c r="AD2588" s="91"/>
      <c r="AE2588" s="91">
        <v>47.5</v>
      </c>
      <c r="AF2588" s="91">
        <f>100-AE2588-30</f>
        <v>22.5</v>
      </c>
      <c r="AG2588" s="91"/>
      <c r="AH2588" s="57" t="s">
        <v>494</v>
      </c>
      <c r="AI2588" s="167">
        <v>6.5</v>
      </c>
      <c r="AJ2588" s="91">
        <v>0.7</v>
      </c>
      <c r="AK2588" s="91"/>
      <c r="AL2588" s="57"/>
      <c r="AM2588" s="57"/>
      <c r="AN2588" s="184" t="s">
        <v>2665</v>
      </c>
      <c r="AO2588" s="185" t="s">
        <v>5150</v>
      </c>
      <c r="AP2588" s="57"/>
      <c r="AQ2588" s="57" t="s">
        <v>553</v>
      </c>
      <c r="AR2588" s="57" t="s">
        <v>1607</v>
      </c>
      <c r="AS2588" s="57" t="s">
        <v>132</v>
      </c>
      <c r="AT2588" s="180"/>
      <c r="AU2588" s="181" t="s">
        <v>7494</v>
      </c>
      <c r="AV2588" s="184" t="s">
        <v>176</v>
      </c>
      <c r="AW2588" s="57"/>
      <c r="AX2588" s="184" t="s">
        <v>176</v>
      </c>
      <c r="AY2588" s="57"/>
      <c r="AZ2588" s="57"/>
      <c r="BA2588" s="57"/>
      <c r="BB2588" s="57"/>
      <c r="BC2588" s="57"/>
      <c r="BD2588" s="57"/>
      <c r="BE2588" s="251" t="s">
        <v>161</v>
      </c>
      <c r="BF2588" s="252" t="s">
        <v>176</v>
      </c>
      <c r="BG2588" s="252" t="s">
        <v>176</v>
      </c>
      <c r="BH2588" s="251" t="s">
        <v>161</v>
      </c>
      <c r="BI2588" s="252" t="s">
        <v>176</v>
      </c>
      <c r="BJ2588" s="57" t="s">
        <v>176</v>
      </c>
      <c r="BK2588" s="57" t="s">
        <v>5976</v>
      </c>
      <c r="BL2588" s="57"/>
      <c r="BM2588" s="253" t="s">
        <v>2663</v>
      </c>
      <c r="BN2588" s="57">
        <v>4</v>
      </c>
      <c r="BO2588" s="57">
        <v>4</v>
      </c>
      <c r="BP2588" s="57"/>
      <c r="BQ2588" s="57" t="s">
        <v>141</v>
      </c>
      <c r="BR2588" s="57"/>
      <c r="BS2588" s="57"/>
      <c r="BT2588" s="57"/>
      <c r="BU2588" s="57"/>
      <c r="BV2588" s="57"/>
      <c r="BW2588" s="66">
        <v>720</v>
      </c>
      <c r="BX2588" s="66">
        <v>853</v>
      </c>
      <c r="BY2588" s="66"/>
      <c r="BZ2588" s="66"/>
      <c r="CA2588" s="66" t="s">
        <v>545</v>
      </c>
      <c r="CB2588" s="66">
        <v>565</v>
      </c>
      <c r="CC2588" s="66">
        <v>713</v>
      </c>
      <c r="CD2588" s="66">
        <f>(CC2588-CB2588)/CB2588</f>
        <v>0.26194690265486725</v>
      </c>
      <c r="CE2588" s="66"/>
      <c r="CF2588" s="66"/>
      <c r="CG2588" s="66" t="s">
        <v>2673</v>
      </c>
      <c r="CH2588" s="91"/>
      <c r="CI2588" s="91"/>
      <c r="CJ2588" s="66"/>
      <c r="CK2588" s="66"/>
      <c r="CL2588" s="66"/>
      <c r="CM2588" s="66"/>
      <c r="CN2588" s="66"/>
      <c r="CO2588" s="66"/>
      <c r="CP2588" s="66"/>
      <c r="CQ2588" s="66"/>
      <c r="CR2588" s="66"/>
      <c r="CS2588" s="66"/>
      <c r="CT2588" s="66"/>
      <c r="CU2588" s="66"/>
      <c r="CV2588" s="66"/>
      <c r="CW2588" s="66"/>
      <c r="CX2588" s="66"/>
      <c r="CY2588" s="66"/>
      <c r="CZ2588" s="66"/>
      <c r="DA2588" s="66"/>
      <c r="DB2588" s="66"/>
      <c r="DC2588" s="66"/>
      <c r="DD2588" s="66"/>
      <c r="DE2588" s="66"/>
      <c r="DF2588" s="66"/>
      <c r="DG2588" s="66"/>
      <c r="DH2588" s="66"/>
      <c r="DI2588" s="66"/>
      <c r="DJ2588" s="66"/>
      <c r="DK2588" s="66"/>
      <c r="DL2588" s="66"/>
      <c r="DM2588" s="66"/>
      <c r="DN2588" s="66"/>
      <c r="DO2588" s="66"/>
      <c r="DP2588" s="66"/>
      <c r="DQ2588" s="164"/>
      <c r="DR2588" s="164"/>
      <c r="DS2588" s="161"/>
      <c r="DT2588" s="161"/>
      <c r="DU2588" s="66"/>
      <c r="DV2588" s="66"/>
      <c r="DW2588" s="66"/>
      <c r="DX2588" s="66"/>
      <c r="DY2588" s="66"/>
      <c r="DZ2588" s="66"/>
      <c r="EA2588" s="66"/>
      <c r="EB2588" s="66"/>
      <c r="EC2588" s="66"/>
      <c r="ED2588" s="66"/>
      <c r="EE2588" s="66"/>
      <c r="EF2588" s="66"/>
      <c r="EG2588" s="66"/>
      <c r="EH2588" s="66"/>
      <c r="EI2588" s="66"/>
      <c r="EJ2588" s="66"/>
      <c r="EK2588" s="91"/>
      <c r="EL2588" s="91"/>
      <c r="EM2588" s="66"/>
      <c r="EN2588" s="66"/>
      <c r="EO2588" s="66"/>
      <c r="EP2588" s="66"/>
      <c r="EQ2588" s="66"/>
      <c r="ER2588" s="66"/>
      <c r="ES2588" s="66"/>
      <c r="ET2588" s="66"/>
      <c r="EU2588" s="66"/>
      <c r="EV2588" s="66"/>
      <c r="EW2588" s="66"/>
      <c r="EX2588" s="66"/>
      <c r="EY2588" s="66"/>
      <c r="EZ2588" s="66"/>
      <c r="FA2588" s="66"/>
      <c r="FB2588" s="66"/>
      <c r="FC2588" s="66"/>
      <c r="FD2588" s="66"/>
      <c r="FE2588" s="66"/>
      <c r="FF2588" s="66"/>
      <c r="FG2588" s="66"/>
      <c r="FH2588" s="66"/>
      <c r="FI2588" s="66"/>
      <c r="FJ2588" s="66"/>
      <c r="FK2588" s="66"/>
      <c r="FL2588" s="66"/>
      <c r="FM2588" s="66"/>
      <c r="FN2588" s="66"/>
      <c r="FO2588" s="66"/>
      <c r="FP2588" s="66"/>
      <c r="FQ2588" s="66"/>
      <c r="FR2588" s="66"/>
      <c r="FS2588" s="66"/>
      <c r="FT2588" s="66"/>
      <c r="FU2588" s="66"/>
      <c r="FV2588" s="66"/>
      <c r="FW2588" s="66"/>
      <c r="FX2588" s="66"/>
      <c r="FY2588" s="66"/>
      <c r="FZ2588" s="66"/>
      <c r="GA2588" s="66"/>
      <c r="GB2588" s="66"/>
      <c r="GC2588" s="66"/>
      <c r="GD2588" s="66"/>
      <c r="GE2588" s="66"/>
      <c r="GF2588" s="66"/>
      <c r="GG2588" s="66"/>
      <c r="GH2588" s="66"/>
      <c r="GI2588" s="66"/>
      <c r="GJ2588" s="66"/>
      <c r="GK2588" s="66"/>
      <c r="GL2588" s="66"/>
      <c r="GM2588" s="66"/>
      <c r="GN2588" s="293"/>
      <c r="GO2588" s="293"/>
      <c r="GP2588" s="292" t="s">
        <v>7494</v>
      </c>
      <c r="GQ2588" s="66"/>
      <c r="GR2588" s="66"/>
      <c r="GS2588" s="66"/>
      <c r="GT2588" s="66"/>
      <c r="GU2588" s="66"/>
      <c r="GV2588" s="66"/>
      <c r="GW2588" s="66"/>
      <c r="GX2588" s="66"/>
      <c r="GY2588" s="66"/>
      <c r="GZ2588" s="66"/>
      <c r="HA2588" s="66"/>
      <c r="HB2588" s="66"/>
      <c r="HC2588" s="66"/>
      <c r="HD2588" s="66"/>
      <c r="HE2588" s="66"/>
      <c r="HF2588" s="66"/>
      <c r="HG2588" s="66"/>
      <c r="HH2588" s="66"/>
      <c r="HI2588" s="66"/>
      <c r="HJ2588" s="66"/>
      <c r="HK2588" s="66"/>
      <c r="HL2588" s="66"/>
      <c r="HM2588" s="66"/>
      <c r="HN2588" s="66"/>
      <c r="HO2588" s="66"/>
      <c r="HP2588" s="66"/>
      <c r="HQ2588" s="66"/>
      <c r="HR2588" s="66"/>
      <c r="HS2588" s="66"/>
      <c r="HT2588" s="66"/>
      <c r="HU2588" s="66"/>
      <c r="HV2588" s="66"/>
      <c r="HW2588" s="66"/>
      <c r="HX2588" s="66"/>
      <c r="HY2588" s="66"/>
      <c r="HZ2588" s="66"/>
      <c r="IA2588" s="66"/>
      <c r="IB2588" s="66"/>
      <c r="IC2588" s="66"/>
      <c r="ID2588" s="66"/>
      <c r="IE2588" s="66"/>
      <c r="IF2588" s="66"/>
      <c r="IG2588" s="66"/>
      <c r="IH2588" s="66"/>
      <c r="II2588" s="66"/>
      <c r="IJ2588" s="66"/>
      <c r="IK2588" s="66"/>
      <c r="IL2588" s="66"/>
      <c r="IM2588" s="66"/>
      <c r="IN2588" s="66"/>
      <c r="IO2588" s="66"/>
      <c r="IP2588" s="66"/>
      <c r="IQ2588" s="66"/>
      <c r="IR2588" s="66"/>
      <c r="IS2588" s="66"/>
      <c r="IT2588" s="66"/>
      <c r="IU2588" s="66"/>
      <c r="IV2588" s="66"/>
      <c r="IW2588" s="66"/>
      <c r="IX2588" s="66"/>
      <c r="IY2588" s="66"/>
      <c r="IZ2588" s="66"/>
      <c r="JA2588" s="66"/>
      <c r="JB2588" s="66"/>
      <c r="JC2588" s="66"/>
      <c r="JD2588" s="66"/>
      <c r="JE2588" s="66"/>
      <c r="JF2588" s="66"/>
      <c r="JG2588" s="66"/>
      <c r="JH2588" s="66"/>
      <c r="JI2588" s="66"/>
      <c r="JJ2588" s="66"/>
      <c r="JK2588" s="66"/>
      <c r="JL2588" s="66"/>
      <c r="JM2588" s="66"/>
      <c r="JN2588" s="66"/>
      <c r="JO2588" s="66"/>
      <c r="JP2588" s="66"/>
      <c r="JQ2588" s="66"/>
      <c r="JR2588" s="66"/>
      <c r="JS2588" s="66"/>
      <c r="JT2588" s="66"/>
      <c r="JU2588" s="57"/>
      <c r="JV2588" s="57"/>
      <c r="JW2588" s="57"/>
      <c r="JX2588" s="13"/>
      <c r="JY2588" s="13"/>
      <c r="JZ2588" s="13"/>
    </row>
    <row r="2589" spans="1:286" s="13" customFormat="1" x14ac:dyDescent="0.25">
      <c r="A2589" s="57">
        <v>2588</v>
      </c>
      <c r="B2589" s="13" t="s">
        <v>7067</v>
      </c>
      <c r="C2589" s="154">
        <v>121</v>
      </c>
      <c r="D2589" s="57" t="s">
        <v>4248</v>
      </c>
      <c r="E2589" s="91" t="s">
        <v>2659</v>
      </c>
      <c r="F2589" s="91"/>
      <c r="G2589" s="57" t="s">
        <v>2658</v>
      </c>
      <c r="H2589" s="57">
        <v>1999</v>
      </c>
      <c r="I2589" s="57">
        <v>1995</v>
      </c>
      <c r="J2589" s="57" t="s">
        <v>2660</v>
      </c>
      <c r="K2589" s="57" t="s">
        <v>2662</v>
      </c>
      <c r="L2589" s="57" t="s">
        <v>2744</v>
      </c>
      <c r="M2589" s="91">
        <v>10.016666666666667</v>
      </c>
      <c r="N2589" s="91">
        <v>9.7833333333333332</v>
      </c>
      <c r="O2589" s="91">
        <v>542</v>
      </c>
      <c r="P2589" s="57"/>
      <c r="Q2589" s="57"/>
      <c r="R2589" s="57"/>
      <c r="S2589" s="91">
        <v>1350</v>
      </c>
      <c r="T2589" s="57"/>
      <c r="U2589" s="57" t="s">
        <v>1935</v>
      </c>
      <c r="V2589" s="57" t="s">
        <v>1805</v>
      </c>
      <c r="W2589" s="172"/>
      <c r="X2589" s="172"/>
      <c r="Y2589" s="57" t="s">
        <v>1911</v>
      </c>
      <c r="Z2589" s="57" t="s">
        <v>1349</v>
      </c>
      <c r="AA2589" s="91" t="s">
        <v>1677</v>
      </c>
      <c r="AB2589" s="66"/>
      <c r="AC2589" s="66"/>
      <c r="AD2589" s="91"/>
      <c r="AE2589" s="91">
        <v>47.5</v>
      </c>
      <c r="AF2589" s="91">
        <f>100-AE2589-30</f>
        <v>22.5</v>
      </c>
      <c r="AG2589" s="91"/>
      <c r="AH2589" s="57" t="s">
        <v>494</v>
      </c>
      <c r="AI2589" s="167">
        <v>6.5</v>
      </c>
      <c r="AJ2589" s="91">
        <v>0.7</v>
      </c>
      <c r="AK2589" s="91"/>
      <c r="AL2589" s="57"/>
      <c r="AM2589" s="57"/>
      <c r="AN2589" s="184" t="s">
        <v>2665</v>
      </c>
      <c r="AO2589" s="185" t="s">
        <v>5150</v>
      </c>
      <c r="AP2589" s="57"/>
      <c r="AQ2589" s="57" t="s">
        <v>553</v>
      </c>
      <c r="AR2589" s="57" t="s">
        <v>1607</v>
      </c>
      <c r="AS2589" s="57" t="s">
        <v>132</v>
      </c>
      <c r="AT2589" s="180"/>
      <c r="AU2589" s="181" t="s">
        <v>7494</v>
      </c>
      <c r="AV2589" s="184" t="s">
        <v>176</v>
      </c>
      <c r="AW2589" s="57"/>
      <c r="AX2589" s="184" t="s">
        <v>176</v>
      </c>
      <c r="AY2589" s="57"/>
      <c r="AZ2589" s="57"/>
      <c r="BA2589" s="57"/>
      <c r="BB2589" s="57"/>
      <c r="BC2589" s="57"/>
      <c r="BD2589" s="57"/>
      <c r="BE2589" s="251" t="s">
        <v>2671</v>
      </c>
      <c r="BF2589" s="252" t="s">
        <v>479</v>
      </c>
      <c r="BG2589" s="252" t="s">
        <v>479</v>
      </c>
      <c r="BH2589" s="251" t="s">
        <v>2671</v>
      </c>
      <c r="BI2589" s="252" t="s">
        <v>479</v>
      </c>
      <c r="BJ2589" s="57" t="s">
        <v>176</v>
      </c>
      <c r="BK2589" s="57" t="s">
        <v>5976</v>
      </c>
      <c r="BL2589" s="57"/>
      <c r="BM2589" s="253" t="s">
        <v>2663</v>
      </c>
      <c r="BN2589" s="57">
        <v>4</v>
      </c>
      <c r="BO2589" s="57">
        <v>4</v>
      </c>
      <c r="BP2589" s="57"/>
      <c r="BQ2589" s="57" t="s">
        <v>141</v>
      </c>
      <c r="BR2589" s="57"/>
      <c r="BS2589" s="57"/>
      <c r="BT2589" s="57"/>
      <c r="BU2589" s="57"/>
      <c r="BV2589" s="57"/>
      <c r="BW2589" s="66">
        <v>1687</v>
      </c>
      <c r="BX2589" s="66">
        <v>1507</v>
      </c>
      <c r="BY2589" s="66"/>
      <c r="BZ2589" s="66"/>
      <c r="CA2589" s="66" t="s">
        <v>545</v>
      </c>
      <c r="CB2589" s="66">
        <v>2107</v>
      </c>
      <c r="CC2589" s="66">
        <v>1640</v>
      </c>
      <c r="CD2589" s="66">
        <f>(CC2589-CB2589)/CB2589</f>
        <v>-0.22164214523018511</v>
      </c>
      <c r="CE2589" s="66"/>
      <c r="CF2589" s="66"/>
      <c r="CG2589" s="66" t="s">
        <v>2673</v>
      </c>
      <c r="CH2589" s="91"/>
      <c r="CI2589" s="91"/>
      <c r="CJ2589" s="66"/>
      <c r="CK2589" s="66"/>
      <c r="CL2589" s="66"/>
      <c r="CM2589" s="66"/>
      <c r="CN2589" s="66"/>
      <c r="CO2589" s="66"/>
      <c r="CP2589" s="66"/>
      <c r="CQ2589" s="66"/>
      <c r="CR2589" s="66"/>
      <c r="CS2589" s="66"/>
      <c r="CT2589" s="66"/>
      <c r="CU2589" s="66"/>
      <c r="CV2589" s="66"/>
      <c r="CW2589" s="66"/>
      <c r="CX2589" s="66"/>
      <c r="CY2589" s="66"/>
      <c r="CZ2589" s="66"/>
      <c r="DA2589" s="66"/>
      <c r="DB2589" s="66"/>
      <c r="DC2589" s="66"/>
      <c r="DD2589" s="66"/>
      <c r="DE2589" s="66"/>
      <c r="DF2589" s="66"/>
      <c r="DG2589" s="66"/>
      <c r="DH2589" s="66"/>
      <c r="DI2589" s="66"/>
      <c r="DJ2589" s="66"/>
      <c r="DK2589" s="66"/>
      <c r="DL2589" s="66"/>
      <c r="DM2589" s="66"/>
      <c r="DN2589" s="66"/>
      <c r="DO2589" s="66"/>
      <c r="DP2589" s="66"/>
      <c r="DQ2589" s="164"/>
      <c r="DR2589" s="164"/>
      <c r="DS2589" s="161"/>
      <c r="DT2589" s="161"/>
      <c r="DU2589" s="66"/>
      <c r="DV2589" s="66"/>
      <c r="DW2589" s="66"/>
      <c r="DX2589" s="66"/>
      <c r="DY2589" s="66"/>
      <c r="DZ2589" s="66"/>
      <c r="EA2589" s="66"/>
      <c r="EB2589" s="66"/>
      <c r="EC2589" s="66"/>
      <c r="ED2589" s="66"/>
      <c r="EE2589" s="66"/>
      <c r="EF2589" s="66"/>
      <c r="EG2589" s="66"/>
      <c r="EH2589" s="66"/>
      <c r="EI2589" s="66"/>
      <c r="EJ2589" s="66"/>
      <c r="EK2589" s="91"/>
      <c r="EL2589" s="91"/>
      <c r="EM2589" s="66"/>
      <c r="EN2589" s="66"/>
      <c r="EO2589" s="66"/>
      <c r="EP2589" s="66"/>
      <c r="EQ2589" s="66"/>
      <c r="ER2589" s="66"/>
      <c r="ES2589" s="66"/>
      <c r="ET2589" s="66"/>
      <c r="EU2589" s="66"/>
      <c r="EV2589" s="66"/>
      <c r="EW2589" s="66"/>
      <c r="EX2589" s="66"/>
      <c r="EY2589" s="66"/>
      <c r="EZ2589" s="66"/>
      <c r="FA2589" s="66"/>
      <c r="FB2589" s="66"/>
      <c r="FC2589" s="66"/>
      <c r="FD2589" s="66"/>
      <c r="FE2589" s="66"/>
      <c r="FF2589" s="66"/>
      <c r="FG2589" s="66"/>
      <c r="FH2589" s="66"/>
      <c r="FI2589" s="66"/>
      <c r="FJ2589" s="66"/>
      <c r="FK2589" s="66"/>
      <c r="FL2589" s="66"/>
      <c r="FM2589" s="66"/>
      <c r="FN2589" s="66"/>
      <c r="FO2589" s="66"/>
      <c r="FP2589" s="66"/>
      <c r="FQ2589" s="66"/>
      <c r="FR2589" s="66"/>
      <c r="FS2589" s="66"/>
      <c r="FT2589" s="66"/>
      <c r="FU2589" s="66"/>
      <c r="FV2589" s="66"/>
      <c r="FW2589" s="66"/>
      <c r="FX2589" s="66"/>
      <c r="FY2589" s="66"/>
      <c r="FZ2589" s="66"/>
      <c r="GA2589" s="66"/>
      <c r="GB2589" s="66"/>
      <c r="GC2589" s="66"/>
      <c r="GD2589" s="66"/>
      <c r="GE2589" s="66"/>
      <c r="GF2589" s="66"/>
      <c r="GG2589" s="66"/>
      <c r="GH2589" s="66"/>
      <c r="GI2589" s="66"/>
      <c r="GJ2589" s="66"/>
      <c r="GK2589" s="66"/>
      <c r="GL2589" s="66"/>
      <c r="GM2589" s="66"/>
      <c r="GN2589" s="293"/>
      <c r="GO2589" s="293"/>
      <c r="GP2589" s="292" t="s">
        <v>7494</v>
      </c>
      <c r="GQ2589" s="66"/>
      <c r="GR2589" s="66"/>
      <c r="GS2589" s="66"/>
      <c r="GT2589" s="66"/>
      <c r="GU2589" s="66"/>
      <c r="GV2589" s="66"/>
      <c r="GW2589" s="66"/>
      <c r="GX2589" s="66"/>
      <c r="GY2589" s="66"/>
      <c r="GZ2589" s="66"/>
      <c r="HA2589" s="66"/>
      <c r="HB2589" s="66"/>
      <c r="HC2589" s="66"/>
      <c r="HD2589" s="66"/>
      <c r="HE2589" s="66"/>
      <c r="HF2589" s="66"/>
      <c r="HG2589" s="66"/>
      <c r="HH2589" s="66"/>
      <c r="HI2589" s="66"/>
      <c r="HJ2589" s="66"/>
      <c r="HK2589" s="66"/>
      <c r="HL2589" s="66"/>
      <c r="HM2589" s="66"/>
      <c r="HN2589" s="66"/>
      <c r="HO2589" s="66"/>
      <c r="HP2589" s="66"/>
      <c r="HQ2589" s="66"/>
      <c r="HR2589" s="66"/>
      <c r="HS2589" s="66"/>
      <c r="HT2589" s="66"/>
      <c r="HU2589" s="66"/>
      <c r="HV2589" s="66"/>
      <c r="HW2589" s="66"/>
      <c r="HX2589" s="66"/>
      <c r="HY2589" s="66"/>
      <c r="HZ2589" s="66"/>
      <c r="IA2589" s="66"/>
      <c r="IB2589" s="66"/>
      <c r="IC2589" s="66"/>
      <c r="ID2589" s="66"/>
      <c r="IE2589" s="66"/>
      <c r="IF2589" s="66"/>
      <c r="IG2589" s="66"/>
      <c r="IH2589" s="66"/>
      <c r="II2589" s="66"/>
      <c r="IJ2589" s="66"/>
      <c r="IK2589" s="66"/>
      <c r="IL2589" s="66"/>
      <c r="IM2589" s="66"/>
      <c r="IN2589" s="66"/>
      <c r="IO2589" s="66"/>
      <c r="IP2589" s="66"/>
      <c r="IQ2589" s="66"/>
      <c r="IR2589" s="66"/>
      <c r="IS2589" s="66"/>
      <c r="IT2589" s="66"/>
      <c r="IU2589" s="66"/>
      <c r="IV2589" s="66"/>
      <c r="IW2589" s="66"/>
      <c r="IX2589" s="66"/>
      <c r="IY2589" s="66"/>
      <c r="IZ2589" s="66"/>
      <c r="JA2589" s="66"/>
      <c r="JB2589" s="66"/>
      <c r="JC2589" s="66"/>
      <c r="JD2589" s="66"/>
      <c r="JE2589" s="66"/>
      <c r="JF2589" s="66"/>
      <c r="JG2589" s="66"/>
      <c r="JH2589" s="66"/>
      <c r="JI2589" s="66"/>
      <c r="JJ2589" s="66"/>
      <c r="JK2589" s="66"/>
      <c r="JL2589" s="66"/>
      <c r="JM2589" s="66"/>
      <c r="JN2589" s="66"/>
      <c r="JO2589" s="66"/>
      <c r="JP2589" s="66"/>
      <c r="JQ2589" s="66"/>
      <c r="JR2589" s="66"/>
      <c r="JS2589" s="66"/>
      <c r="JT2589" s="66"/>
      <c r="JU2589" s="57"/>
      <c r="JV2589" s="57"/>
      <c r="JW2589" s="57"/>
    </row>
    <row r="2590" spans="1:286" s="256" customFormat="1" x14ac:dyDescent="0.25">
      <c r="A2590" s="57">
        <v>2589</v>
      </c>
      <c r="B2590" s="13" t="s">
        <v>7067</v>
      </c>
      <c r="C2590" s="154">
        <v>121</v>
      </c>
      <c r="D2590" s="57" t="s">
        <v>4249</v>
      </c>
      <c r="E2590" s="91" t="s">
        <v>2659</v>
      </c>
      <c r="F2590" s="91"/>
      <c r="G2590" s="57" t="s">
        <v>2658</v>
      </c>
      <c r="H2590" s="57">
        <v>1999</v>
      </c>
      <c r="I2590" s="57">
        <v>1995</v>
      </c>
      <c r="J2590" s="57" t="s">
        <v>2660</v>
      </c>
      <c r="K2590" s="57" t="s">
        <v>2662</v>
      </c>
      <c r="L2590" s="57" t="s">
        <v>2744</v>
      </c>
      <c r="M2590" s="91">
        <v>10.016666666666667</v>
      </c>
      <c r="N2590" s="91">
        <v>9.7833333333333332</v>
      </c>
      <c r="O2590" s="91">
        <v>542</v>
      </c>
      <c r="P2590" s="57"/>
      <c r="Q2590" s="57"/>
      <c r="R2590" s="57"/>
      <c r="S2590" s="91">
        <v>1350</v>
      </c>
      <c r="T2590" s="57"/>
      <c r="U2590" s="57" t="s">
        <v>1935</v>
      </c>
      <c r="V2590" s="57" t="s">
        <v>1805</v>
      </c>
      <c r="W2590" s="172"/>
      <c r="X2590" s="172"/>
      <c r="Y2590" s="57" t="s">
        <v>1911</v>
      </c>
      <c r="Z2590" s="57" t="s">
        <v>1349</v>
      </c>
      <c r="AA2590" s="91" t="s">
        <v>1677</v>
      </c>
      <c r="AB2590" s="66"/>
      <c r="AC2590" s="66"/>
      <c r="AD2590" s="91"/>
      <c r="AE2590" s="91">
        <v>47.5</v>
      </c>
      <c r="AF2590" s="91">
        <f>100-AE2590-30</f>
        <v>22.5</v>
      </c>
      <c r="AG2590" s="91"/>
      <c r="AH2590" s="57" t="s">
        <v>494</v>
      </c>
      <c r="AI2590" s="167">
        <v>6.5</v>
      </c>
      <c r="AJ2590" s="91">
        <v>0.7</v>
      </c>
      <c r="AK2590" s="91"/>
      <c r="AL2590" s="57"/>
      <c r="AM2590" s="57"/>
      <c r="AN2590" s="184" t="s">
        <v>2665</v>
      </c>
      <c r="AO2590" s="185" t="s">
        <v>5150</v>
      </c>
      <c r="AP2590" s="57"/>
      <c r="AQ2590" s="57" t="s">
        <v>553</v>
      </c>
      <c r="AR2590" s="57" t="s">
        <v>1607</v>
      </c>
      <c r="AS2590" s="57" t="s">
        <v>132</v>
      </c>
      <c r="AT2590" s="180"/>
      <c r="AU2590" s="181" t="s">
        <v>7494</v>
      </c>
      <c r="AV2590" s="184" t="s">
        <v>176</v>
      </c>
      <c r="AW2590" s="57"/>
      <c r="AX2590" s="184" t="s">
        <v>176</v>
      </c>
      <c r="AY2590" s="57"/>
      <c r="AZ2590" s="57"/>
      <c r="BA2590" s="57"/>
      <c r="BB2590" s="57"/>
      <c r="BC2590" s="57"/>
      <c r="BD2590" s="57"/>
      <c r="BE2590" s="251" t="s">
        <v>2672</v>
      </c>
      <c r="BF2590" s="252" t="s">
        <v>479</v>
      </c>
      <c r="BG2590" s="252" t="s">
        <v>479</v>
      </c>
      <c r="BH2590" s="251" t="s">
        <v>2672</v>
      </c>
      <c r="BI2590" s="252" t="s">
        <v>479</v>
      </c>
      <c r="BJ2590" s="57" t="s">
        <v>176</v>
      </c>
      <c r="BK2590" s="57" t="s">
        <v>5976</v>
      </c>
      <c r="BL2590" s="57"/>
      <c r="BM2590" s="253" t="s">
        <v>2663</v>
      </c>
      <c r="BN2590" s="57">
        <v>4</v>
      </c>
      <c r="BO2590" s="57">
        <v>4</v>
      </c>
      <c r="BP2590" s="57"/>
      <c r="BQ2590" s="57" t="s">
        <v>141</v>
      </c>
      <c r="BR2590" s="57"/>
      <c r="BS2590" s="57"/>
      <c r="BT2590" s="57"/>
      <c r="BU2590" s="57"/>
      <c r="BV2590" s="57"/>
      <c r="BW2590" s="66">
        <v>1653</v>
      </c>
      <c r="BX2590" s="66">
        <v>1767</v>
      </c>
      <c r="BY2590" s="66"/>
      <c r="BZ2590" s="66"/>
      <c r="CA2590" s="66" t="s">
        <v>545</v>
      </c>
      <c r="CB2590" s="66">
        <v>2286</v>
      </c>
      <c r="CC2590" s="66">
        <v>2253</v>
      </c>
      <c r="CD2590" s="66">
        <f>(CC2590-CB2590)/CB2590</f>
        <v>-1.4435695538057743E-2</v>
      </c>
      <c r="CE2590" s="66"/>
      <c r="CF2590" s="66"/>
      <c r="CG2590" s="66" t="s">
        <v>2673</v>
      </c>
      <c r="CH2590" s="91"/>
      <c r="CI2590" s="91"/>
      <c r="CJ2590" s="66"/>
      <c r="CK2590" s="66"/>
      <c r="CL2590" s="66"/>
      <c r="CM2590" s="66"/>
      <c r="CN2590" s="66"/>
      <c r="CO2590" s="66"/>
      <c r="CP2590" s="66"/>
      <c r="CQ2590" s="66"/>
      <c r="CR2590" s="66"/>
      <c r="CS2590" s="66"/>
      <c r="CT2590" s="66"/>
      <c r="CU2590" s="66"/>
      <c r="CV2590" s="66"/>
      <c r="CW2590" s="66"/>
      <c r="CX2590" s="66"/>
      <c r="CY2590" s="66"/>
      <c r="CZ2590" s="66"/>
      <c r="DA2590" s="66"/>
      <c r="DB2590" s="66"/>
      <c r="DC2590" s="66"/>
      <c r="DD2590" s="66"/>
      <c r="DE2590" s="66"/>
      <c r="DF2590" s="66"/>
      <c r="DG2590" s="66"/>
      <c r="DH2590" s="66"/>
      <c r="DI2590" s="66"/>
      <c r="DJ2590" s="66"/>
      <c r="DK2590" s="66"/>
      <c r="DL2590" s="66"/>
      <c r="DM2590" s="66"/>
      <c r="DN2590" s="66"/>
      <c r="DO2590" s="66"/>
      <c r="DP2590" s="66"/>
      <c r="DQ2590" s="164"/>
      <c r="DR2590" s="164"/>
      <c r="DS2590" s="161"/>
      <c r="DT2590" s="161"/>
      <c r="DU2590" s="66"/>
      <c r="DV2590" s="66"/>
      <c r="DW2590" s="66"/>
      <c r="DX2590" s="66"/>
      <c r="DY2590" s="66"/>
      <c r="DZ2590" s="66"/>
      <c r="EA2590" s="66"/>
      <c r="EB2590" s="66"/>
      <c r="EC2590" s="66"/>
      <c r="ED2590" s="66"/>
      <c r="EE2590" s="66"/>
      <c r="EF2590" s="66"/>
      <c r="EG2590" s="66"/>
      <c r="EH2590" s="66"/>
      <c r="EI2590" s="66"/>
      <c r="EJ2590" s="66"/>
      <c r="EK2590" s="91"/>
      <c r="EL2590" s="91"/>
      <c r="EM2590" s="66"/>
      <c r="EN2590" s="66"/>
      <c r="EO2590" s="66"/>
      <c r="EP2590" s="66"/>
      <c r="EQ2590" s="66"/>
      <c r="ER2590" s="66"/>
      <c r="ES2590" s="66"/>
      <c r="ET2590" s="66"/>
      <c r="EU2590" s="66"/>
      <c r="EV2590" s="66"/>
      <c r="EW2590" s="66"/>
      <c r="EX2590" s="66"/>
      <c r="EY2590" s="66"/>
      <c r="EZ2590" s="66"/>
      <c r="FA2590" s="66"/>
      <c r="FB2590" s="66"/>
      <c r="FC2590" s="66"/>
      <c r="FD2590" s="66"/>
      <c r="FE2590" s="66"/>
      <c r="FF2590" s="66"/>
      <c r="FG2590" s="66"/>
      <c r="FH2590" s="66"/>
      <c r="FI2590" s="66"/>
      <c r="FJ2590" s="66"/>
      <c r="FK2590" s="66"/>
      <c r="FL2590" s="66"/>
      <c r="FM2590" s="66"/>
      <c r="FN2590" s="66"/>
      <c r="FO2590" s="66"/>
      <c r="FP2590" s="66"/>
      <c r="FQ2590" s="66"/>
      <c r="FR2590" s="66"/>
      <c r="FS2590" s="66"/>
      <c r="FT2590" s="66"/>
      <c r="FU2590" s="66"/>
      <c r="FV2590" s="66"/>
      <c r="FW2590" s="66"/>
      <c r="FX2590" s="66"/>
      <c r="FY2590" s="66"/>
      <c r="FZ2590" s="66"/>
      <c r="GA2590" s="66"/>
      <c r="GB2590" s="66"/>
      <c r="GC2590" s="66"/>
      <c r="GD2590" s="66"/>
      <c r="GE2590" s="66"/>
      <c r="GF2590" s="66"/>
      <c r="GG2590" s="66"/>
      <c r="GH2590" s="66"/>
      <c r="GI2590" s="66"/>
      <c r="GJ2590" s="66"/>
      <c r="GK2590" s="66"/>
      <c r="GL2590" s="66"/>
      <c r="GM2590" s="66"/>
      <c r="GN2590" s="293"/>
      <c r="GO2590" s="293"/>
      <c r="GP2590" s="292" t="s">
        <v>7494</v>
      </c>
      <c r="GQ2590" s="66"/>
      <c r="GR2590" s="66"/>
      <c r="GS2590" s="66"/>
      <c r="GT2590" s="66"/>
      <c r="GU2590" s="66"/>
      <c r="GV2590" s="66"/>
      <c r="GW2590" s="66"/>
      <c r="GX2590" s="66"/>
      <c r="GY2590" s="66"/>
      <c r="GZ2590" s="66"/>
      <c r="HA2590" s="66"/>
      <c r="HB2590" s="66"/>
      <c r="HC2590" s="66"/>
      <c r="HD2590" s="66"/>
      <c r="HE2590" s="66"/>
      <c r="HF2590" s="66"/>
      <c r="HG2590" s="66"/>
      <c r="HH2590" s="66"/>
      <c r="HI2590" s="66"/>
      <c r="HJ2590" s="66"/>
      <c r="HK2590" s="66"/>
      <c r="HL2590" s="66"/>
      <c r="HM2590" s="66"/>
      <c r="HN2590" s="66"/>
      <c r="HO2590" s="66"/>
      <c r="HP2590" s="66"/>
      <c r="HQ2590" s="66"/>
      <c r="HR2590" s="66"/>
      <c r="HS2590" s="66"/>
      <c r="HT2590" s="66"/>
      <c r="HU2590" s="66"/>
      <c r="HV2590" s="66"/>
      <c r="HW2590" s="66"/>
      <c r="HX2590" s="66"/>
      <c r="HY2590" s="66"/>
      <c r="HZ2590" s="66"/>
      <c r="IA2590" s="66"/>
      <c r="IB2590" s="66"/>
      <c r="IC2590" s="66"/>
      <c r="ID2590" s="66"/>
      <c r="IE2590" s="66"/>
      <c r="IF2590" s="66"/>
      <c r="IG2590" s="66"/>
      <c r="IH2590" s="66"/>
      <c r="II2590" s="66"/>
      <c r="IJ2590" s="66"/>
      <c r="IK2590" s="66"/>
      <c r="IL2590" s="66"/>
      <c r="IM2590" s="66"/>
      <c r="IN2590" s="66"/>
      <c r="IO2590" s="66"/>
      <c r="IP2590" s="66"/>
      <c r="IQ2590" s="66"/>
      <c r="IR2590" s="66"/>
      <c r="IS2590" s="66"/>
      <c r="IT2590" s="66"/>
      <c r="IU2590" s="66"/>
      <c r="IV2590" s="66"/>
      <c r="IW2590" s="66"/>
      <c r="IX2590" s="66"/>
      <c r="IY2590" s="66"/>
      <c r="IZ2590" s="66"/>
      <c r="JA2590" s="66"/>
      <c r="JB2590" s="66"/>
      <c r="JC2590" s="66"/>
      <c r="JD2590" s="66"/>
      <c r="JE2590" s="66"/>
      <c r="JF2590" s="66"/>
      <c r="JG2590" s="66"/>
      <c r="JH2590" s="66"/>
      <c r="JI2590" s="66"/>
      <c r="JJ2590" s="66"/>
      <c r="JK2590" s="66"/>
      <c r="JL2590" s="66"/>
      <c r="JM2590" s="66"/>
      <c r="JN2590" s="66"/>
      <c r="JO2590" s="66"/>
      <c r="JP2590" s="66"/>
      <c r="JQ2590" s="66"/>
      <c r="JR2590" s="66"/>
      <c r="JS2590" s="66"/>
      <c r="JT2590" s="66"/>
      <c r="JU2590" s="57"/>
      <c r="JV2590" s="57"/>
      <c r="JW2590" s="57"/>
      <c r="JX2590" s="13"/>
      <c r="JY2590" s="13"/>
      <c r="JZ2590" s="13"/>
    </row>
    <row r="2591" spans="1:286" s="13" customFormat="1" x14ac:dyDescent="0.25">
      <c r="A2591" s="57">
        <v>2590</v>
      </c>
      <c r="B2591" s="13" t="s">
        <v>7067</v>
      </c>
      <c r="C2591" s="154">
        <v>121</v>
      </c>
      <c r="D2591" s="57" t="s">
        <v>4247</v>
      </c>
      <c r="E2591" s="91" t="s">
        <v>2659</v>
      </c>
      <c r="F2591" s="91"/>
      <c r="G2591" s="57" t="s">
        <v>2658</v>
      </c>
      <c r="H2591" s="57">
        <v>1999</v>
      </c>
      <c r="I2591" s="57">
        <v>1995</v>
      </c>
      <c r="J2591" s="57" t="s">
        <v>2660</v>
      </c>
      <c r="K2591" s="57" t="s">
        <v>2662</v>
      </c>
      <c r="L2591" s="57" t="s">
        <v>2744</v>
      </c>
      <c r="M2591" s="91">
        <v>10.016666666666667</v>
      </c>
      <c r="N2591" s="91">
        <v>9.7833333333333332</v>
      </c>
      <c r="O2591" s="91">
        <v>542</v>
      </c>
      <c r="P2591" s="57"/>
      <c r="Q2591" s="57"/>
      <c r="R2591" s="57"/>
      <c r="S2591" s="91">
        <v>1350</v>
      </c>
      <c r="T2591" s="57"/>
      <c r="U2591" s="57" t="s">
        <v>1935</v>
      </c>
      <c r="V2591" s="57" t="s">
        <v>1805</v>
      </c>
      <c r="W2591" s="172"/>
      <c r="X2591" s="172"/>
      <c r="Y2591" s="57" t="s">
        <v>1911</v>
      </c>
      <c r="Z2591" s="57" t="s">
        <v>1349</v>
      </c>
      <c r="AA2591" s="91" t="s">
        <v>1677</v>
      </c>
      <c r="AB2591" s="66"/>
      <c r="AC2591" s="66"/>
      <c r="AD2591" s="91"/>
      <c r="AE2591" s="91">
        <v>47.5</v>
      </c>
      <c r="AF2591" s="91">
        <f>100-AE2591-30</f>
        <v>22.5</v>
      </c>
      <c r="AG2591" s="91"/>
      <c r="AH2591" s="57" t="s">
        <v>494</v>
      </c>
      <c r="AI2591" s="167">
        <v>6.5</v>
      </c>
      <c r="AJ2591" s="91">
        <v>0.7</v>
      </c>
      <c r="AK2591" s="91"/>
      <c r="AL2591" s="57"/>
      <c r="AM2591" s="57"/>
      <c r="AN2591" s="184" t="s">
        <v>2666</v>
      </c>
      <c r="AO2591" s="185" t="s">
        <v>5150</v>
      </c>
      <c r="AP2591" s="57"/>
      <c r="AQ2591" s="57" t="s">
        <v>553</v>
      </c>
      <c r="AR2591" s="57" t="s">
        <v>1607</v>
      </c>
      <c r="AS2591" s="57" t="s">
        <v>132</v>
      </c>
      <c r="AT2591" s="180"/>
      <c r="AU2591" s="181" t="s">
        <v>7494</v>
      </c>
      <c r="AV2591" s="184" t="s">
        <v>176</v>
      </c>
      <c r="AW2591" s="57"/>
      <c r="AX2591" s="184" t="s">
        <v>176</v>
      </c>
      <c r="AY2591" s="57"/>
      <c r="AZ2591" s="57"/>
      <c r="BA2591" s="57"/>
      <c r="BB2591" s="57"/>
      <c r="BC2591" s="57"/>
      <c r="BD2591" s="57"/>
      <c r="BE2591" s="251" t="s">
        <v>161</v>
      </c>
      <c r="BF2591" s="252" t="s">
        <v>176</v>
      </c>
      <c r="BG2591" s="252" t="s">
        <v>176</v>
      </c>
      <c r="BH2591" s="251" t="s">
        <v>161</v>
      </c>
      <c r="BI2591" s="252" t="s">
        <v>176</v>
      </c>
      <c r="BJ2591" s="57" t="s">
        <v>176</v>
      </c>
      <c r="BK2591" s="57" t="s">
        <v>5976</v>
      </c>
      <c r="BL2591" s="57"/>
      <c r="BM2591" s="253" t="s">
        <v>2663</v>
      </c>
      <c r="BN2591" s="57">
        <v>4</v>
      </c>
      <c r="BO2591" s="57">
        <v>4</v>
      </c>
      <c r="BP2591" s="57"/>
      <c r="BQ2591" s="57" t="s">
        <v>141</v>
      </c>
      <c r="BR2591" s="57"/>
      <c r="BS2591" s="57"/>
      <c r="BT2591" s="57"/>
      <c r="BU2591" s="57"/>
      <c r="BV2591" s="57"/>
      <c r="BW2591" s="66">
        <v>720</v>
      </c>
      <c r="BX2591" s="66">
        <v>1293</v>
      </c>
      <c r="BY2591" s="66"/>
      <c r="BZ2591" s="66"/>
      <c r="CA2591" s="66" t="s">
        <v>545</v>
      </c>
      <c r="CB2591" s="66">
        <v>565</v>
      </c>
      <c r="CC2591" s="66">
        <v>884</v>
      </c>
      <c r="CD2591" s="66">
        <f>(CC2591-CB2591)/CB2591</f>
        <v>0.56460176991150446</v>
      </c>
      <c r="CE2591" s="66"/>
      <c r="CF2591" s="66"/>
      <c r="CG2591" s="66" t="s">
        <v>2673</v>
      </c>
      <c r="CH2591" s="91"/>
      <c r="CI2591" s="91"/>
      <c r="CJ2591" s="66"/>
      <c r="CK2591" s="66"/>
      <c r="CL2591" s="66"/>
      <c r="CM2591" s="66"/>
      <c r="CN2591" s="66"/>
      <c r="CO2591" s="66"/>
      <c r="CP2591" s="66"/>
      <c r="CQ2591" s="66"/>
      <c r="CR2591" s="66"/>
      <c r="CS2591" s="66"/>
      <c r="CT2591" s="66"/>
      <c r="CU2591" s="66"/>
      <c r="CV2591" s="66"/>
      <c r="CW2591" s="66"/>
      <c r="CX2591" s="66"/>
      <c r="CY2591" s="66"/>
      <c r="CZ2591" s="66"/>
      <c r="DA2591" s="66"/>
      <c r="DB2591" s="66"/>
      <c r="DC2591" s="66"/>
      <c r="DD2591" s="66"/>
      <c r="DE2591" s="66"/>
      <c r="DF2591" s="66"/>
      <c r="DG2591" s="66"/>
      <c r="DH2591" s="66"/>
      <c r="DI2591" s="66"/>
      <c r="DJ2591" s="66"/>
      <c r="DK2591" s="66"/>
      <c r="DL2591" s="66"/>
      <c r="DM2591" s="66"/>
      <c r="DN2591" s="66"/>
      <c r="DO2591" s="66"/>
      <c r="DP2591" s="66"/>
      <c r="DQ2591" s="164"/>
      <c r="DR2591" s="164"/>
      <c r="DS2591" s="161"/>
      <c r="DT2591" s="161"/>
      <c r="DU2591" s="66"/>
      <c r="DV2591" s="66"/>
      <c r="DW2591" s="66"/>
      <c r="DX2591" s="66"/>
      <c r="DY2591" s="66"/>
      <c r="DZ2591" s="66"/>
      <c r="EA2591" s="66"/>
      <c r="EB2591" s="66"/>
      <c r="EC2591" s="66"/>
      <c r="ED2591" s="66"/>
      <c r="EE2591" s="66"/>
      <c r="EF2591" s="66"/>
      <c r="EG2591" s="66"/>
      <c r="EH2591" s="66"/>
      <c r="EI2591" s="66"/>
      <c r="EJ2591" s="66"/>
      <c r="EK2591" s="91"/>
      <c r="EL2591" s="91"/>
      <c r="EM2591" s="66"/>
      <c r="EN2591" s="66"/>
      <c r="EO2591" s="66"/>
      <c r="EP2591" s="66"/>
      <c r="EQ2591" s="66"/>
      <c r="ER2591" s="66"/>
      <c r="ES2591" s="66"/>
      <c r="ET2591" s="66"/>
      <c r="EU2591" s="66"/>
      <c r="EV2591" s="66"/>
      <c r="EW2591" s="66"/>
      <c r="EX2591" s="66"/>
      <c r="EY2591" s="66"/>
      <c r="EZ2591" s="66"/>
      <c r="FA2591" s="66"/>
      <c r="FB2591" s="66"/>
      <c r="FC2591" s="66"/>
      <c r="FD2591" s="66"/>
      <c r="FE2591" s="66"/>
      <c r="FF2591" s="66"/>
      <c r="FG2591" s="66"/>
      <c r="FH2591" s="66"/>
      <c r="FI2591" s="66"/>
      <c r="FJ2591" s="66"/>
      <c r="FK2591" s="66"/>
      <c r="FL2591" s="66"/>
      <c r="FM2591" s="66"/>
      <c r="FN2591" s="66"/>
      <c r="FO2591" s="66"/>
      <c r="FP2591" s="66"/>
      <c r="FQ2591" s="66"/>
      <c r="FR2591" s="66"/>
      <c r="FS2591" s="66"/>
      <c r="FT2591" s="66"/>
      <c r="FU2591" s="66"/>
      <c r="FV2591" s="66"/>
      <c r="FW2591" s="66"/>
      <c r="FX2591" s="66"/>
      <c r="FY2591" s="66"/>
      <c r="FZ2591" s="66"/>
      <c r="GA2591" s="66"/>
      <c r="GB2591" s="66"/>
      <c r="GC2591" s="66"/>
      <c r="GD2591" s="66"/>
      <c r="GE2591" s="66"/>
      <c r="GF2591" s="66"/>
      <c r="GG2591" s="66"/>
      <c r="GH2591" s="66"/>
      <c r="GI2591" s="66"/>
      <c r="GJ2591" s="66"/>
      <c r="GK2591" s="66"/>
      <c r="GL2591" s="66"/>
      <c r="GM2591" s="66"/>
      <c r="GN2591" s="293"/>
      <c r="GO2591" s="293"/>
      <c r="GP2591" s="292" t="s">
        <v>7494</v>
      </c>
      <c r="GQ2591" s="66"/>
      <c r="GR2591" s="66"/>
      <c r="GS2591" s="66"/>
      <c r="GT2591" s="66"/>
      <c r="GU2591" s="66"/>
      <c r="GV2591" s="66"/>
      <c r="GW2591" s="66"/>
      <c r="GX2591" s="66"/>
      <c r="GY2591" s="66"/>
      <c r="GZ2591" s="66"/>
      <c r="HA2591" s="66"/>
      <c r="HB2591" s="66"/>
      <c r="HC2591" s="66"/>
      <c r="HD2591" s="66"/>
      <c r="HE2591" s="66"/>
      <c r="HF2591" s="66"/>
      <c r="HG2591" s="66"/>
      <c r="HH2591" s="66"/>
      <c r="HI2591" s="66"/>
      <c r="HJ2591" s="66"/>
      <c r="HK2591" s="66"/>
      <c r="HL2591" s="66"/>
      <c r="HM2591" s="66"/>
      <c r="HN2591" s="66"/>
      <c r="HO2591" s="66"/>
      <c r="HP2591" s="66"/>
      <c r="HQ2591" s="66"/>
      <c r="HR2591" s="66"/>
      <c r="HS2591" s="66"/>
      <c r="HT2591" s="66"/>
      <c r="HU2591" s="66"/>
      <c r="HV2591" s="66"/>
      <c r="HW2591" s="66"/>
      <c r="HX2591" s="66"/>
      <c r="HY2591" s="66"/>
      <c r="HZ2591" s="66"/>
      <c r="IA2591" s="66"/>
      <c r="IB2591" s="66"/>
      <c r="IC2591" s="66"/>
      <c r="ID2591" s="66"/>
      <c r="IE2591" s="66"/>
      <c r="IF2591" s="66"/>
      <c r="IG2591" s="66"/>
      <c r="IH2591" s="66"/>
      <c r="II2591" s="66"/>
      <c r="IJ2591" s="66"/>
      <c r="IK2591" s="66"/>
      <c r="IL2591" s="66"/>
      <c r="IM2591" s="66"/>
      <c r="IN2591" s="66"/>
      <c r="IO2591" s="66"/>
      <c r="IP2591" s="66"/>
      <c r="IQ2591" s="66"/>
      <c r="IR2591" s="66"/>
      <c r="IS2591" s="66"/>
      <c r="IT2591" s="66"/>
      <c r="IU2591" s="66"/>
      <c r="IV2591" s="66"/>
      <c r="IW2591" s="66"/>
      <c r="IX2591" s="66"/>
      <c r="IY2591" s="66"/>
      <c r="IZ2591" s="66"/>
      <c r="JA2591" s="66"/>
      <c r="JB2591" s="66"/>
      <c r="JC2591" s="66"/>
      <c r="JD2591" s="66"/>
      <c r="JE2591" s="66"/>
      <c r="JF2591" s="66"/>
      <c r="JG2591" s="66"/>
      <c r="JH2591" s="66"/>
      <c r="JI2591" s="66"/>
      <c r="JJ2591" s="66"/>
      <c r="JK2591" s="66"/>
      <c r="JL2591" s="66"/>
      <c r="JM2591" s="66"/>
      <c r="JN2591" s="66"/>
      <c r="JO2591" s="66"/>
      <c r="JP2591" s="66"/>
      <c r="JQ2591" s="66"/>
      <c r="JR2591" s="66"/>
      <c r="JS2591" s="66"/>
      <c r="JT2591" s="66"/>
      <c r="JU2591" s="57"/>
      <c r="JV2591" s="57"/>
      <c r="JW2591" s="57"/>
    </row>
    <row r="2592" spans="1:286" s="13" customFormat="1" x14ac:dyDescent="0.25">
      <c r="A2592" s="57">
        <v>2591</v>
      </c>
      <c r="B2592" s="13" t="s">
        <v>7067</v>
      </c>
      <c r="C2592" s="154">
        <v>121</v>
      </c>
      <c r="D2592" s="57" t="s">
        <v>4248</v>
      </c>
      <c r="E2592" s="91" t="s">
        <v>2659</v>
      </c>
      <c r="F2592" s="91"/>
      <c r="G2592" s="57" t="s">
        <v>2658</v>
      </c>
      <c r="H2592" s="57">
        <v>1999</v>
      </c>
      <c r="I2592" s="57">
        <v>1995</v>
      </c>
      <c r="J2592" s="57" t="s">
        <v>2660</v>
      </c>
      <c r="K2592" s="57" t="s">
        <v>2662</v>
      </c>
      <c r="L2592" s="57" t="s">
        <v>2744</v>
      </c>
      <c r="M2592" s="91">
        <v>10.016666666666667</v>
      </c>
      <c r="N2592" s="91">
        <v>9.7833333333333332</v>
      </c>
      <c r="O2592" s="91">
        <v>542</v>
      </c>
      <c r="P2592" s="57"/>
      <c r="Q2592" s="57"/>
      <c r="R2592" s="57"/>
      <c r="S2592" s="91">
        <v>1350</v>
      </c>
      <c r="T2592" s="57"/>
      <c r="U2592" s="57" t="s">
        <v>1935</v>
      </c>
      <c r="V2592" s="57" t="s">
        <v>1805</v>
      </c>
      <c r="W2592" s="172"/>
      <c r="X2592" s="172"/>
      <c r="Y2592" s="57" t="s">
        <v>1911</v>
      </c>
      <c r="Z2592" s="57" t="s">
        <v>1349</v>
      </c>
      <c r="AA2592" s="91" t="s">
        <v>1677</v>
      </c>
      <c r="AB2592" s="66"/>
      <c r="AC2592" s="66"/>
      <c r="AD2592" s="91"/>
      <c r="AE2592" s="91">
        <v>47.5</v>
      </c>
      <c r="AF2592" s="91">
        <f>100-AE2592-30</f>
        <v>22.5</v>
      </c>
      <c r="AG2592" s="91"/>
      <c r="AH2592" s="57" t="s">
        <v>494</v>
      </c>
      <c r="AI2592" s="167">
        <v>6.5</v>
      </c>
      <c r="AJ2592" s="91">
        <v>0.7</v>
      </c>
      <c r="AK2592" s="91"/>
      <c r="AL2592" s="57"/>
      <c r="AM2592" s="57"/>
      <c r="AN2592" s="184" t="s">
        <v>2666</v>
      </c>
      <c r="AO2592" s="185" t="s">
        <v>5150</v>
      </c>
      <c r="AP2592" s="57"/>
      <c r="AQ2592" s="57" t="s">
        <v>553</v>
      </c>
      <c r="AR2592" s="57" t="s">
        <v>1607</v>
      </c>
      <c r="AS2592" s="57" t="s">
        <v>132</v>
      </c>
      <c r="AT2592" s="180"/>
      <c r="AU2592" s="181" t="s">
        <v>7494</v>
      </c>
      <c r="AV2592" s="184" t="s">
        <v>176</v>
      </c>
      <c r="AW2592" s="57"/>
      <c r="AX2592" s="184" t="s">
        <v>176</v>
      </c>
      <c r="AY2592" s="57"/>
      <c r="AZ2592" s="57"/>
      <c r="BA2592" s="57"/>
      <c r="BB2592" s="57"/>
      <c r="BC2592" s="57"/>
      <c r="BD2592" s="57"/>
      <c r="BE2592" s="251" t="s">
        <v>2671</v>
      </c>
      <c r="BF2592" s="252" t="s">
        <v>479</v>
      </c>
      <c r="BG2592" s="252" t="s">
        <v>479</v>
      </c>
      <c r="BH2592" s="251" t="s">
        <v>2671</v>
      </c>
      <c r="BI2592" s="252" t="s">
        <v>479</v>
      </c>
      <c r="BJ2592" s="57" t="s">
        <v>176</v>
      </c>
      <c r="BK2592" s="57" t="s">
        <v>5976</v>
      </c>
      <c r="BL2592" s="57"/>
      <c r="BM2592" s="253" t="s">
        <v>2663</v>
      </c>
      <c r="BN2592" s="57">
        <v>4</v>
      </c>
      <c r="BO2592" s="57">
        <v>4</v>
      </c>
      <c r="BP2592" s="57"/>
      <c r="BQ2592" s="57" t="s">
        <v>141</v>
      </c>
      <c r="BR2592" s="57"/>
      <c r="BS2592" s="57"/>
      <c r="BT2592" s="57"/>
      <c r="BU2592" s="57"/>
      <c r="BV2592" s="57"/>
      <c r="BW2592" s="66">
        <v>1687</v>
      </c>
      <c r="BX2592" s="66">
        <v>1527</v>
      </c>
      <c r="BY2592" s="66"/>
      <c r="BZ2592" s="66"/>
      <c r="CA2592" s="66" t="s">
        <v>545</v>
      </c>
      <c r="CB2592" s="66">
        <v>2107</v>
      </c>
      <c r="CC2592" s="66">
        <v>1745</v>
      </c>
      <c r="CD2592" s="66">
        <f>(CC2592-CB2592)/CB2592</f>
        <v>-0.17180825818699572</v>
      </c>
      <c r="CE2592" s="66"/>
      <c r="CF2592" s="66"/>
      <c r="CG2592" s="66" t="s">
        <v>2673</v>
      </c>
      <c r="CH2592" s="91"/>
      <c r="CI2592" s="91"/>
      <c r="CJ2592" s="66"/>
      <c r="CK2592" s="66"/>
      <c r="CL2592" s="66"/>
      <c r="CM2592" s="66"/>
      <c r="CN2592" s="66"/>
      <c r="CO2592" s="66"/>
      <c r="CP2592" s="66"/>
      <c r="CQ2592" s="66"/>
      <c r="CR2592" s="66"/>
      <c r="CS2592" s="66"/>
      <c r="CT2592" s="66"/>
      <c r="CU2592" s="66"/>
      <c r="CV2592" s="66"/>
      <c r="CW2592" s="66"/>
      <c r="CX2592" s="66"/>
      <c r="CY2592" s="66"/>
      <c r="CZ2592" s="66"/>
      <c r="DA2592" s="66"/>
      <c r="DB2592" s="66"/>
      <c r="DC2592" s="66"/>
      <c r="DD2592" s="66"/>
      <c r="DE2592" s="66"/>
      <c r="DF2592" s="66"/>
      <c r="DG2592" s="66"/>
      <c r="DH2592" s="66"/>
      <c r="DI2592" s="66"/>
      <c r="DJ2592" s="66"/>
      <c r="DK2592" s="66"/>
      <c r="DL2592" s="66"/>
      <c r="DM2592" s="66"/>
      <c r="DN2592" s="66"/>
      <c r="DO2592" s="66"/>
      <c r="DP2592" s="66"/>
      <c r="DQ2592" s="164"/>
      <c r="DR2592" s="164"/>
      <c r="DS2592" s="161"/>
      <c r="DT2592" s="161"/>
      <c r="DU2592" s="66"/>
      <c r="DV2592" s="66"/>
      <c r="DW2592" s="66"/>
      <c r="DX2592" s="66"/>
      <c r="DY2592" s="66"/>
      <c r="DZ2592" s="66"/>
      <c r="EA2592" s="66"/>
      <c r="EB2592" s="66"/>
      <c r="EC2592" s="66"/>
      <c r="ED2592" s="66"/>
      <c r="EE2592" s="66"/>
      <c r="EF2592" s="66"/>
      <c r="EG2592" s="66"/>
      <c r="EH2592" s="66"/>
      <c r="EI2592" s="66"/>
      <c r="EJ2592" s="66"/>
      <c r="EK2592" s="91"/>
      <c r="EL2592" s="91"/>
      <c r="EM2592" s="66"/>
      <c r="EN2592" s="66"/>
      <c r="EO2592" s="66"/>
      <c r="EP2592" s="66"/>
      <c r="EQ2592" s="66"/>
      <c r="ER2592" s="66"/>
      <c r="ES2592" s="66"/>
      <c r="ET2592" s="66"/>
      <c r="EU2592" s="66"/>
      <c r="EV2592" s="66"/>
      <c r="EW2592" s="66"/>
      <c r="EX2592" s="66"/>
      <c r="EY2592" s="66"/>
      <c r="EZ2592" s="66"/>
      <c r="FA2592" s="66"/>
      <c r="FB2592" s="66"/>
      <c r="FC2592" s="66"/>
      <c r="FD2592" s="66"/>
      <c r="FE2592" s="66"/>
      <c r="FF2592" s="66"/>
      <c r="FG2592" s="66"/>
      <c r="FH2592" s="66"/>
      <c r="FI2592" s="66"/>
      <c r="FJ2592" s="66"/>
      <c r="FK2592" s="66"/>
      <c r="FL2592" s="66"/>
      <c r="FM2592" s="66"/>
      <c r="FN2592" s="66"/>
      <c r="FO2592" s="66"/>
      <c r="FP2592" s="66"/>
      <c r="FQ2592" s="66"/>
      <c r="FR2592" s="66"/>
      <c r="FS2592" s="66"/>
      <c r="FT2592" s="66"/>
      <c r="FU2592" s="66"/>
      <c r="FV2592" s="66"/>
      <c r="FW2592" s="66"/>
      <c r="FX2592" s="66"/>
      <c r="FY2592" s="66"/>
      <c r="FZ2592" s="66"/>
      <c r="GA2592" s="66"/>
      <c r="GB2592" s="66"/>
      <c r="GC2592" s="66"/>
      <c r="GD2592" s="66"/>
      <c r="GE2592" s="66"/>
      <c r="GF2592" s="66"/>
      <c r="GG2592" s="66"/>
      <c r="GH2592" s="66"/>
      <c r="GI2592" s="66"/>
      <c r="GJ2592" s="66"/>
      <c r="GK2592" s="66"/>
      <c r="GL2592" s="66"/>
      <c r="GM2592" s="66"/>
      <c r="GN2592" s="293"/>
      <c r="GO2592" s="293"/>
      <c r="GP2592" s="292" t="s">
        <v>7494</v>
      </c>
      <c r="GQ2592" s="66"/>
      <c r="GR2592" s="66"/>
      <c r="GS2592" s="66"/>
      <c r="GT2592" s="66"/>
      <c r="GU2592" s="66"/>
      <c r="GV2592" s="66"/>
      <c r="GW2592" s="66"/>
      <c r="GX2592" s="66"/>
      <c r="GY2592" s="66"/>
      <c r="GZ2592" s="66"/>
      <c r="HA2592" s="66"/>
      <c r="HB2592" s="66"/>
      <c r="HC2592" s="66"/>
      <c r="HD2592" s="66"/>
      <c r="HE2592" s="66"/>
      <c r="HF2592" s="66"/>
      <c r="HG2592" s="66"/>
      <c r="HH2592" s="66"/>
      <c r="HI2592" s="66"/>
      <c r="HJ2592" s="66"/>
      <c r="HK2592" s="66"/>
      <c r="HL2592" s="66"/>
      <c r="HM2592" s="66"/>
      <c r="HN2592" s="66"/>
      <c r="HO2592" s="66"/>
      <c r="HP2592" s="66"/>
      <c r="HQ2592" s="66"/>
      <c r="HR2592" s="66"/>
      <c r="HS2592" s="66"/>
      <c r="HT2592" s="66"/>
      <c r="HU2592" s="66"/>
      <c r="HV2592" s="66"/>
      <c r="HW2592" s="66"/>
      <c r="HX2592" s="66"/>
      <c r="HY2592" s="66"/>
      <c r="HZ2592" s="66"/>
      <c r="IA2592" s="66"/>
      <c r="IB2592" s="66"/>
      <c r="IC2592" s="66"/>
      <c r="ID2592" s="66"/>
      <c r="IE2592" s="66"/>
      <c r="IF2592" s="66"/>
      <c r="IG2592" s="66"/>
      <c r="IH2592" s="66"/>
      <c r="II2592" s="66"/>
      <c r="IJ2592" s="66"/>
      <c r="IK2592" s="66"/>
      <c r="IL2592" s="66"/>
      <c r="IM2592" s="66"/>
      <c r="IN2592" s="66"/>
      <c r="IO2592" s="66"/>
      <c r="IP2592" s="66"/>
      <c r="IQ2592" s="66"/>
      <c r="IR2592" s="66"/>
      <c r="IS2592" s="66"/>
      <c r="IT2592" s="66"/>
      <c r="IU2592" s="66"/>
      <c r="IV2592" s="66"/>
      <c r="IW2592" s="66"/>
      <c r="IX2592" s="66"/>
      <c r="IY2592" s="66"/>
      <c r="IZ2592" s="66"/>
      <c r="JA2592" s="66"/>
      <c r="JB2592" s="66"/>
      <c r="JC2592" s="66"/>
      <c r="JD2592" s="66"/>
      <c r="JE2592" s="66"/>
      <c r="JF2592" s="66"/>
      <c r="JG2592" s="66"/>
      <c r="JH2592" s="66"/>
      <c r="JI2592" s="66"/>
      <c r="JJ2592" s="66"/>
      <c r="JK2592" s="66"/>
      <c r="JL2592" s="66"/>
      <c r="JM2592" s="66"/>
      <c r="JN2592" s="66"/>
      <c r="JO2592" s="66"/>
      <c r="JP2592" s="66"/>
      <c r="JQ2592" s="66"/>
      <c r="JR2592" s="66"/>
      <c r="JS2592" s="66"/>
      <c r="JT2592" s="66"/>
      <c r="JU2592" s="57"/>
      <c r="JV2592" s="57"/>
      <c r="JW2592" s="57"/>
    </row>
    <row r="2593" spans="1:283" s="13" customFormat="1" x14ac:dyDescent="0.25">
      <c r="A2593" s="57">
        <v>2592</v>
      </c>
      <c r="B2593" s="13" t="s">
        <v>7067</v>
      </c>
      <c r="C2593" s="154">
        <v>121</v>
      </c>
      <c r="D2593" s="57" t="s">
        <v>4249</v>
      </c>
      <c r="E2593" s="91" t="s">
        <v>2659</v>
      </c>
      <c r="F2593" s="91"/>
      <c r="G2593" s="57" t="s">
        <v>2658</v>
      </c>
      <c r="H2593" s="57">
        <v>1999</v>
      </c>
      <c r="I2593" s="57">
        <v>1995</v>
      </c>
      <c r="J2593" s="57" t="s">
        <v>2660</v>
      </c>
      <c r="K2593" s="57" t="s">
        <v>2662</v>
      </c>
      <c r="L2593" s="57" t="s">
        <v>2744</v>
      </c>
      <c r="M2593" s="91">
        <v>10.016666666666699</v>
      </c>
      <c r="N2593" s="91">
        <v>9.7833333333333297</v>
      </c>
      <c r="O2593" s="91">
        <v>542</v>
      </c>
      <c r="P2593" s="57"/>
      <c r="Q2593" s="57"/>
      <c r="R2593" s="57"/>
      <c r="S2593" s="91">
        <v>1350</v>
      </c>
      <c r="T2593" s="57"/>
      <c r="U2593" s="57" t="s">
        <v>1935</v>
      </c>
      <c r="V2593" s="57" t="s">
        <v>1805</v>
      </c>
      <c r="W2593" s="172"/>
      <c r="X2593" s="172"/>
      <c r="Y2593" s="57" t="s">
        <v>1911</v>
      </c>
      <c r="Z2593" s="57" t="s">
        <v>1349</v>
      </c>
      <c r="AA2593" s="91" t="s">
        <v>1677</v>
      </c>
      <c r="AB2593" s="66"/>
      <c r="AC2593" s="66"/>
      <c r="AD2593" s="91"/>
      <c r="AE2593" s="91">
        <v>47.5</v>
      </c>
      <c r="AF2593" s="91">
        <f>100-AE2593-30</f>
        <v>22.5</v>
      </c>
      <c r="AG2593" s="91"/>
      <c r="AH2593" s="57" t="s">
        <v>494</v>
      </c>
      <c r="AI2593" s="167">
        <v>6.5</v>
      </c>
      <c r="AJ2593" s="91">
        <v>0.7</v>
      </c>
      <c r="AK2593" s="91"/>
      <c r="AL2593" s="57"/>
      <c r="AM2593" s="57"/>
      <c r="AN2593" s="184" t="s">
        <v>2666</v>
      </c>
      <c r="AO2593" s="185" t="s">
        <v>5150</v>
      </c>
      <c r="AP2593" s="57"/>
      <c r="AQ2593" s="57" t="s">
        <v>553</v>
      </c>
      <c r="AR2593" s="57" t="s">
        <v>1607</v>
      </c>
      <c r="AS2593" s="57" t="s">
        <v>132</v>
      </c>
      <c r="AT2593" s="180"/>
      <c r="AU2593" s="181" t="s">
        <v>7494</v>
      </c>
      <c r="AV2593" s="184" t="s">
        <v>176</v>
      </c>
      <c r="AW2593" s="57"/>
      <c r="AX2593" s="184" t="s">
        <v>176</v>
      </c>
      <c r="AY2593" s="57"/>
      <c r="AZ2593" s="57"/>
      <c r="BA2593" s="57"/>
      <c r="BB2593" s="57"/>
      <c r="BC2593" s="57"/>
      <c r="BD2593" s="57"/>
      <c r="BE2593" s="251" t="s">
        <v>2672</v>
      </c>
      <c r="BF2593" s="252" t="s">
        <v>479</v>
      </c>
      <c r="BG2593" s="252" t="s">
        <v>479</v>
      </c>
      <c r="BH2593" s="251" t="s">
        <v>2672</v>
      </c>
      <c r="BI2593" s="252" t="s">
        <v>479</v>
      </c>
      <c r="BJ2593" s="57" t="s">
        <v>176</v>
      </c>
      <c r="BK2593" s="57" t="s">
        <v>5976</v>
      </c>
      <c r="BL2593" s="57"/>
      <c r="BM2593" s="253" t="s">
        <v>2663</v>
      </c>
      <c r="BN2593" s="57">
        <v>4</v>
      </c>
      <c r="BO2593" s="57">
        <v>4</v>
      </c>
      <c r="BP2593" s="57"/>
      <c r="BQ2593" s="57" t="s">
        <v>141</v>
      </c>
      <c r="BR2593" s="57"/>
      <c r="BS2593" s="57"/>
      <c r="BT2593" s="57"/>
      <c r="BU2593" s="57"/>
      <c r="BV2593" s="57"/>
      <c r="BW2593" s="66">
        <v>1653</v>
      </c>
      <c r="BX2593" s="66">
        <v>1547</v>
      </c>
      <c r="BY2593" s="66"/>
      <c r="BZ2593" s="66"/>
      <c r="CA2593" s="66" t="s">
        <v>545</v>
      </c>
      <c r="CB2593" s="66">
        <v>2286</v>
      </c>
      <c r="CC2593" s="66">
        <v>1648</v>
      </c>
      <c r="CD2593" s="66">
        <f>(CC2593-CB2593)/CB2593</f>
        <v>-0.27909011373578302</v>
      </c>
      <c r="CE2593" s="66"/>
      <c r="CF2593" s="66"/>
      <c r="CG2593" s="66" t="s">
        <v>2673</v>
      </c>
      <c r="CH2593" s="91"/>
      <c r="CI2593" s="91"/>
      <c r="CJ2593" s="66"/>
      <c r="CK2593" s="66"/>
      <c r="CL2593" s="66"/>
      <c r="CM2593" s="66"/>
      <c r="CN2593" s="66"/>
      <c r="CO2593" s="66"/>
      <c r="CP2593" s="66"/>
      <c r="CQ2593" s="66"/>
      <c r="CR2593" s="66"/>
      <c r="CS2593" s="66"/>
      <c r="CT2593" s="66"/>
      <c r="CU2593" s="66"/>
      <c r="CV2593" s="66"/>
      <c r="CW2593" s="66"/>
      <c r="CX2593" s="66"/>
      <c r="CY2593" s="66"/>
      <c r="CZ2593" s="66"/>
      <c r="DA2593" s="66"/>
      <c r="DB2593" s="66"/>
      <c r="DC2593" s="66"/>
      <c r="DD2593" s="66"/>
      <c r="DE2593" s="66"/>
      <c r="DF2593" s="66"/>
      <c r="DG2593" s="66"/>
      <c r="DH2593" s="66"/>
      <c r="DI2593" s="66"/>
      <c r="DJ2593" s="66"/>
      <c r="DK2593" s="66"/>
      <c r="DL2593" s="66"/>
      <c r="DM2593" s="66"/>
      <c r="DN2593" s="66"/>
      <c r="DO2593" s="66"/>
      <c r="DP2593" s="66"/>
      <c r="DQ2593" s="164"/>
      <c r="DR2593" s="164"/>
      <c r="DS2593" s="161"/>
      <c r="DT2593" s="161"/>
      <c r="DU2593" s="66"/>
      <c r="DV2593" s="66"/>
      <c r="DW2593" s="66"/>
      <c r="DX2593" s="66"/>
      <c r="DY2593" s="66"/>
      <c r="DZ2593" s="66"/>
      <c r="EA2593" s="66"/>
      <c r="EB2593" s="66"/>
      <c r="EC2593" s="66"/>
      <c r="ED2593" s="66"/>
      <c r="EE2593" s="66"/>
      <c r="EF2593" s="66"/>
      <c r="EG2593" s="66"/>
      <c r="EH2593" s="66"/>
      <c r="EI2593" s="66"/>
      <c r="EJ2593" s="66"/>
      <c r="EK2593" s="91"/>
      <c r="EL2593" s="91"/>
      <c r="EM2593" s="66"/>
      <c r="EN2593" s="66"/>
      <c r="EO2593" s="66"/>
      <c r="EP2593" s="66"/>
      <c r="EQ2593" s="66"/>
      <c r="ER2593" s="66"/>
      <c r="ES2593" s="66"/>
      <c r="ET2593" s="66"/>
      <c r="EU2593" s="66"/>
      <c r="EV2593" s="66"/>
      <c r="EW2593" s="66"/>
      <c r="EX2593" s="66"/>
      <c r="EY2593" s="66"/>
      <c r="EZ2593" s="66"/>
      <c r="FA2593" s="66"/>
      <c r="FB2593" s="66"/>
      <c r="FC2593" s="66"/>
      <c r="FD2593" s="66"/>
      <c r="FE2593" s="66"/>
      <c r="FF2593" s="66"/>
      <c r="FG2593" s="66"/>
      <c r="FH2593" s="66"/>
      <c r="FI2593" s="66"/>
      <c r="FJ2593" s="66"/>
      <c r="FK2593" s="66"/>
      <c r="FL2593" s="66"/>
      <c r="FM2593" s="66"/>
      <c r="FN2593" s="66"/>
      <c r="FO2593" s="66"/>
      <c r="FP2593" s="66"/>
      <c r="FQ2593" s="66"/>
      <c r="FR2593" s="66"/>
      <c r="FS2593" s="66"/>
      <c r="FT2593" s="66"/>
      <c r="FU2593" s="66"/>
      <c r="FV2593" s="66"/>
      <c r="FW2593" s="66"/>
      <c r="FX2593" s="66"/>
      <c r="FY2593" s="66"/>
      <c r="FZ2593" s="66"/>
      <c r="GA2593" s="66"/>
      <c r="GB2593" s="66"/>
      <c r="GC2593" s="66"/>
      <c r="GD2593" s="66"/>
      <c r="GE2593" s="66"/>
      <c r="GF2593" s="66"/>
      <c r="GG2593" s="66"/>
      <c r="GH2593" s="66"/>
      <c r="GI2593" s="66"/>
      <c r="GJ2593" s="66"/>
      <c r="GK2593" s="66"/>
      <c r="GL2593" s="66"/>
      <c r="GM2593" s="66"/>
      <c r="GN2593" s="293"/>
      <c r="GO2593" s="293"/>
      <c r="GP2593" s="292" t="s">
        <v>7494</v>
      </c>
      <c r="GQ2593" s="66"/>
      <c r="GR2593" s="66"/>
      <c r="GS2593" s="66"/>
      <c r="GT2593" s="66"/>
      <c r="GU2593" s="66"/>
      <c r="GV2593" s="66"/>
      <c r="GW2593" s="66"/>
      <c r="GX2593" s="66"/>
      <c r="GY2593" s="66"/>
      <c r="GZ2593" s="66"/>
      <c r="HA2593" s="66"/>
      <c r="HB2593" s="66"/>
      <c r="HC2593" s="66"/>
      <c r="HD2593" s="66"/>
      <c r="HE2593" s="66"/>
      <c r="HF2593" s="66"/>
      <c r="HG2593" s="66"/>
      <c r="HH2593" s="66"/>
      <c r="HI2593" s="66"/>
      <c r="HJ2593" s="66"/>
      <c r="HK2593" s="66"/>
      <c r="HL2593" s="66"/>
      <c r="HM2593" s="66"/>
      <c r="HN2593" s="66"/>
      <c r="HO2593" s="66"/>
      <c r="HP2593" s="66"/>
      <c r="HQ2593" s="66"/>
      <c r="HR2593" s="66"/>
      <c r="HS2593" s="66"/>
      <c r="HT2593" s="66"/>
      <c r="HU2593" s="66"/>
      <c r="HV2593" s="66"/>
      <c r="HW2593" s="66"/>
      <c r="HX2593" s="66"/>
      <c r="HY2593" s="66"/>
      <c r="HZ2593" s="66"/>
      <c r="IA2593" s="66"/>
      <c r="IB2593" s="66"/>
      <c r="IC2593" s="66"/>
      <c r="ID2593" s="66"/>
      <c r="IE2593" s="66"/>
      <c r="IF2593" s="66"/>
      <c r="IG2593" s="66"/>
      <c r="IH2593" s="66"/>
      <c r="II2593" s="66"/>
      <c r="IJ2593" s="66"/>
      <c r="IK2593" s="66"/>
      <c r="IL2593" s="66"/>
      <c r="IM2593" s="66"/>
      <c r="IN2593" s="66"/>
      <c r="IO2593" s="66"/>
      <c r="IP2593" s="66"/>
      <c r="IQ2593" s="66"/>
      <c r="IR2593" s="66"/>
      <c r="IS2593" s="66"/>
      <c r="IT2593" s="66"/>
      <c r="IU2593" s="66"/>
      <c r="IV2593" s="66"/>
      <c r="IW2593" s="66"/>
      <c r="IX2593" s="66"/>
      <c r="IY2593" s="66"/>
      <c r="IZ2593" s="66"/>
      <c r="JA2593" s="66"/>
      <c r="JB2593" s="66"/>
      <c r="JC2593" s="66"/>
      <c r="JD2593" s="66"/>
      <c r="JE2593" s="66"/>
      <c r="JF2593" s="66"/>
      <c r="JG2593" s="66"/>
      <c r="JH2593" s="66"/>
      <c r="JI2593" s="66"/>
      <c r="JJ2593" s="66"/>
      <c r="JK2593" s="66"/>
      <c r="JL2593" s="66"/>
      <c r="JM2593" s="66"/>
      <c r="JN2593" s="66"/>
      <c r="JO2593" s="66"/>
      <c r="JP2593" s="66"/>
      <c r="JQ2593" s="66"/>
      <c r="JR2593" s="66"/>
      <c r="JS2593" s="66"/>
      <c r="JT2593" s="66"/>
      <c r="JU2593" s="57"/>
      <c r="JV2593" s="57"/>
      <c r="JW2593" s="57"/>
    </row>
    <row r="2594" spans="1:283" s="13" customFormat="1" x14ac:dyDescent="0.25">
      <c r="A2594" s="57">
        <v>2593</v>
      </c>
      <c r="B2594" s="13" t="s">
        <v>7067</v>
      </c>
      <c r="C2594" s="154">
        <v>121</v>
      </c>
      <c r="D2594" s="57" t="s">
        <v>4247</v>
      </c>
      <c r="E2594" s="91" t="s">
        <v>2659</v>
      </c>
      <c r="F2594" s="91"/>
      <c r="G2594" s="57" t="s">
        <v>2658</v>
      </c>
      <c r="H2594" s="57">
        <v>1999</v>
      </c>
      <c r="I2594" s="57">
        <v>1995</v>
      </c>
      <c r="J2594" s="57" t="s">
        <v>2660</v>
      </c>
      <c r="K2594" s="57" t="s">
        <v>2662</v>
      </c>
      <c r="L2594" s="57" t="s">
        <v>2744</v>
      </c>
      <c r="M2594" s="91">
        <v>10.016666666666699</v>
      </c>
      <c r="N2594" s="91">
        <v>9.7833333333333297</v>
      </c>
      <c r="O2594" s="91">
        <v>542</v>
      </c>
      <c r="P2594" s="57"/>
      <c r="Q2594" s="57"/>
      <c r="R2594" s="57"/>
      <c r="S2594" s="91">
        <v>1350</v>
      </c>
      <c r="T2594" s="57"/>
      <c r="U2594" s="57" t="s">
        <v>1935</v>
      </c>
      <c r="V2594" s="57" t="s">
        <v>1805</v>
      </c>
      <c r="W2594" s="172"/>
      <c r="X2594" s="172"/>
      <c r="Y2594" s="57" t="s">
        <v>1911</v>
      </c>
      <c r="Z2594" s="57" t="s">
        <v>1349</v>
      </c>
      <c r="AA2594" s="91" t="s">
        <v>1677</v>
      </c>
      <c r="AB2594" s="66"/>
      <c r="AC2594" s="66"/>
      <c r="AD2594" s="91"/>
      <c r="AE2594" s="91">
        <v>47.5</v>
      </c>
      <c r="AF2594" s="91">
        <f>100-AE2594-30</f>
        <v>22.5</v>
      </c>
      <c r="AG2594" s="91"/>
      <c r="AH2594" s="57" t="s">
        <v>494</v>
      </c>
      <c r="AI2594" s="167">
        <v>6.5</v>
      </c>
      <c r="AJ2594" s="91">
        <v>0.7</v>
      </c>
      <c r="AK2594" s="91"/>
      <c r="AL2594" s="57"/>
      <c r="AM2594" s="57"/>
      <c r="AN2594" s="184" t="s">
        <v>2282</v>
      </c>
      <c r="AO2594" s="185" t="s">
        <v>5150</v>
      </c>
      <c r="AP2594" s="57"/>
      <c r="AQ2594" s="57" t="s">
        <v>553</v>
      </c>
      <c r="AR2594" s="57" t="s">
        <v>1607</v>
      </c>
      <c r="AS2594" s="57" t="s">
        <v>132</v>
      </c>
      <c r="AT2594" s="180"/>
      <c r="AU2594" s="181" t="s">
        <v>7494</v>
      </c>
      <c r="AV2594" s="184" t="s">
        <v>176</v>
      </c>
      <c r="AW2594" s="57"/>
      <c r="AX2594" s="184" t="s">
        <v>176</v>
      </c>
      <c r="AY2594" s="57"/>
      <c r="AZ2594" s="57"/>
      <c r="BA2594" s="57"/>
      <c r="BB2594" s="57"/>
      <c r="BC2594" s="57"/>
      <c r="BD2594" s="57"/>
      <c r="BE2594" s="251" t="s">
        <v>161</v>
      </c>
      <c r="BF2594" s="252" t="s">
        <v>176</v>
      </c>
      <c r="BG2594" s="252" t="s">
        <v>176</v>
      </c>
      <c r="BH2594" s="251" t="s">
        <v>161</v>
      </c>
      <c r="BI2594" s="252" t="s">
        <v>176</v>
      </c>
      <c r="BJ2594" s="57" t="s">
        <v>176</v>
      </c>
      <c r="BK2594" s="57" t="s">
        <v>5976</v>
      </c>
      <c r="BL2594" s="57"/>
      <c r="BM2594" s="253" t="s">
        <v>2663</v>
      </c>
      <c r="BN2594" s="57">
        <v>4</v>
      </c>
      <c r="BO2594" s="57">
        <v>4</v>
      </c>
      <c r="BP2594" s="57"/>
      <c r="BQ2594" s="57" t="s">
        <v>141</v>
      </c>
      <c r="BR2594" s="57"/>
      <c r="BS2594" s="57"/>
      <c r="BT2594" s="57"/>
      <c r="BU2594" s="57"/>
      <c r="BV2594" s="57"/>
      <c r="BW2594" s="66">
        <v>720</v>
      </c>
      <c r="BX2594" s="66">
        <v>1133</v>
      </c>
      <c r="BY2594" s="66"/>
      <c r="BZ2594" s="66"/>
      <c r="CA2594" s="66" t="s">
        <v>545</v>
      </c>
      <c r="CB2594" s="66">
        <v>565</v>
      </c>
      <c r="CC2594" s="66">
        <v>992</v>
      </c>
      <c r="CD2594" s="66">
        <f>(CC2594-CB2594)/CB2594</f>
        <v>0.75575221238938051</v>
      </c>
      <c r="CE2594" s="66"/>
      <c r="CF2594" s="66"/>
      <c r="CG2594" s="66" t="s">
        <v>2673</v>
      </c>
      <c r="CH2594" s="91"/>
      <c r="CI2594" s="91"/>
      <c r="CJ2594" s="66"/>
      <c r="CK2594" s="66"/>
      <c r="CL2594" s="66"/>
      <c r="CM2594" s="66"/>
      <c r="CN2594" s="66"/>
      <c r="CO2594" s="66"/>
      <c r="CP2594" s="66"/>
      <c r="CQ2594" s="66"/>
      <c r="CR2594" s="66"/>
      <c r="CS2594" s="66"/>
      <c r="CT2594" s="66"/>
      <c r="CU2594" s="66"/>
      <c r="CV2594" s="66"/>
      <c r="CW2594" s="66"/>
      <c r="CX2594" s="66"/>
      <c r="CY2594" s="66"/>
      <c r="CZ2594" s="66"/>
      <c r="DA2594" s="66"/>
      <c r="DB2594" s="66"/>
      <c r="DC2594" s="66"/>
      <c r="DD2594" s="66"/>
      <c r="DE2594" s="66"/>
      <c r="DF2594" s="66"/>
      <c r="DG2594" s="66"/>
      <c r="DH2594" s="66"/>
      <c r="DI2594" s="66"/>
      <c r="DJ2594" s="66"/>
      <c r="DK2594" s="66"/>
      <c r="DL2594" s="66"/>
      <c r="DM2594" s="66"/>
      <c r="DN2594" s="66"/>
      <c r="DO2594" s="66"/>
      <c r="DP2594" s="66"/>
      <c r="DQ2594" s="164"/>
      <c r="DR2594" s="164"/>
      <c r="DS2594" s="161"/>
      <c r="DT2594" s="161"/>
      <c r="DU2594" s="66"/>
      <c r="DV2594" s="66"/>
      <c r="DW2594" s="66"/>
      <c r="DX2594" s="66"/>
      <c r="DY2594" s="66"/>
      <c r="DZ2594" s="66"/>
      <c r="EA2594" s="66"/>
      <c r="EB2594" s="66"/>
      <c r="EC2594" s="66"/>
      <c r="ED2594" s="66"/>
      <c r="EE2594" s="66"/>
      <c r="EF2594" s="66"/>
      <c r="EG2594" s="66"/>
      <c r="EH2594" s="66"/>
      <c r="EI2594" s="66"/>
      <c r="EJ2594" s="66"/>
      <c r="EK2594" s="91"/>
      <c r="EL2594" s="91"/>
      <c r="EM2594" s="66"/>
      <c r="EN2594" s="66"/>
      <c r="EO2594" s="66"/>
      <c r="EP2594" s="66"/>
      <c r="EQ2594" s="66"/>
      <c r="ER2594" s="66"/>
      <c r="ES2594" s="66"/>
      <c r="ET2594" s="66"/>
      <c r="EU2594" s="66"/>
      <c r="EV2594" s="66"/>
      <c r="EW2594" s="66"/>
      <c r="EX2594" s="66"/>
      <c r="EY2594" s="66"/>
      <c r="EZ2594" s="66"/>
      <c r="FA2594" s="66"/>
      <c r="FB2594" s="66"/>
      <c r="FC2594" s="66"/>
      <c r="FD2594" s="66"/>
      <c r="FE2594" s="66"/>
      <c r="FF2594" s="66"/>
      <c r="FG2594" s="66"/>
      <c r="FH2594" s="66"/>
      <c r="FI2594" s="66"/>
      <c r="FJ2594" s="66"/>
      <c r="FK2594" s="66"/>
      <c r="FL2594" s="66"/>
      <c r="FM2594" s="66"/>
      <c r="FN2594" s="66"/>
      <c r="FO2594" s="66"/>
      <c r="FP2594" s="66"/>
      <c r="FQ2594" s="66"/>
      <c r="FR2594" s="66"/>
      <c r="FS2594" s="66"/>
      <c r="FT2594" s="66"/>
      <c r="FU2594" s="66"/>
      <c r="FV2594" s="66"/>
      <c r="FW2594" s="66"/>
      <c r="FX2594" s="66"/>
      <c r="FY2594" s="66"/>
      <c r="FZ2594" s="66"/>
      <c r="GA2594" s="66"/>
      <c r="GB2594" s="66"/>
      <c r="GC2594" s="66"/>
      <c r="GD2594" s="66"/>
      <c r="GE2594" s="66"/>
      <c r="GF2594" s="66"/>
      <c r="GG2594" s="66"/>
      <c r="GH2594" s="66"/>
      <c r="GI2594" s="66"/>
      <c r="GJ2594" s="66"/>
      <c r="GK2594" s="66"/>
      <c r="GL2594" s="66"/>
      <c r="GM2594" s="66"/>
      <c r="GN2594" s="293"/>
      <c r="GO2594" s="293"/>
      <c r="GP2594" s="292" t="s">
        <v>7494</v>
      </c>
      <c r="GQ2594" s="66"/>
      <c r="GR2594" s="66"/>
      <c r="GS2594" s="66"/>
      <c r="GT2594" s="66"/>
      <c r="GU2594" s="66"/>
      <c r="GV2594" s="66"/>
      <c r="GW2594" s="66"/>
      <c r="GX2594" s="66"/>
      <c r="GY2594" s="66"/>
      <c r="GZ2594" s="66"/>
      <c r="HA2594" s="66"/>
      <c r="HB2594" s="66"/>
      <c r="HC2594" s="66"/>
      <c r="HD2594" s="66"/>
      <c r="HE2594" s="66"/>
      <c r="HF2594" s="66"/>
      <c r="HG2594" s="66"/>
      <c r="HH2594" s="66"/>
      <c r="HI2594" s="66"/>
      <c r="HJ2594" s="66"/>
      <c r="HK2594" s="66"/>
      <c r="HL2594" s="66"/>
      <c r="HM2594" s="66"/>
      <c r="HN2594" s="66"/>
      <c r="HO2594" s="66"/>
      <c r="HP2594" s="66"/>
      <c r="HQ2594" s="66"/>
      <c r="HR2594" s="66"/>
      <c r="HS2594" s="66"/>
      <c r="HT2594" s="66"/>
      <c r="HU2594" s="66"/>
      <c r="HV2594" s="66"/>
      <c r="HW2594" s="66"/>
      <c r="HX2594" s="66"/>
      <c r="HY2594" s="66"/>
      <c r="HZ2594" s="66"/>
      <c r="IA2594" s="66"/>
      <c r="IB2594" s="66"/>
      <c r="IC2594" s="66"/>
      <c r="ID2594" s="66"/>
      <c r="IE2594" s="66"/>
      <c r="IF2594" s="66"/>
      <c r="IG2594" s="66"/>
      <c r="IH2594" s="66"/>
      <c r="II2594" s="66"/>
      <c r="IJ2594" s="66"/>
      <c r="IK2594" s="66"/>
      <c r="IL2594" s="66"/>
      <c r="IM2594" s="66"/>
      <c r="IN2594" s="66"/>
      <c r="IO2594" s="66"/>
      <c r="IP2594" s="66"/>
      <c r="IQ2594" s="66"/>
      <c r="IR2594" s="66"/>
      <c r="IS2594" s="66"/>
      <c r="IT2594" s="66"/>
      <c r="IU2594" s="66"/>
      <c r="IV2594" s="66"/>
      <c r="IW2594" s="66"/>
      <c r="IX2594" s="66"/>
      <c r="IY2594" s="66"/>
      <c r="IZ2594" s="66"/>
      <c r="JA2594" s="66"/>
      <c r="JB2594" s="66"/>
      <c r="JC2594" s="66"/>
      <c r="JD2594" s="66"/>
      <c r="JE2594" s="66"/>
      <c r="JF2594" s="66"/>
      <c r="JG2594" s="66"/>
      <c r="JH2594" s="66"/>
      <c r="JI2594" s="66"/>
      <c r="JJ2594" s="66"/>
      <c r="JK2594" s="66"/>
      <c r="JL2594" s="66"/>
      <c r="JM2594" s="66"/>
      <c r="JN2594" s="66"/>
      <c r="JO2594" s="66"/>
      <c r="JP2594" s="66"/>
      <c r="JQ2594" s="66"/>
      <c r="JR2594" s="66"/>
      <c r="JS2594" s="66"/>
      <c r="JT2594" s="66"/>
      <c r="JU2594" s="57"/>
      <c r="JV2594" s="57"/>
      <c r="JW2594" s="57"/>
    </row>
    <row r="2595" spans="1:283" s="13" customFormat="1" x14ac:dyDescent="0.25">
      <c r="A2595" s="57">
        <v>2594</v>
      </c>
      <c r="B2595" s="13" t="s">
        <v>7067</v>
      </c>
      <c r="C2595" s="154">
        <v>121</v>
      </c>
      <c r="D2595" s="57" t="s">
        <v>4248</v>
      </c>
      <c r="E2595" s="91" t="s">
        <v>2659</v>
      </c>
      <c r="F2595" s="91"/>
      <c r="G2595" s="57" t="s">
        <v>2658</v>
      </c>
      <c r="H2595" s="57">
        <v>1999</v>
      </c>
      <c r="I2595" s="57">
        <v>1995</v>
      </c>
      <c r="J2595" s="57" t="s">
        <v>2660</v>
      </c>
      <c r="K2595" s="57" t="s">
        <v>2662</v>
      </c>
      <c r="L2595" s="57" t="s">
        <v>2744</v>
      </c>
      <c r="M2595" s="91">
        <v>10.016666666666699</v>
      </c>
      <c r="N2595" s="91">
        <v>9.7833333333333297</v>
      </c>
      <c r="O2595" s="91">
        <v>542</v>
      </c>
      <c r="P2595" s="57"/>
      <c r="Q2595" s="57"/>
      <c r="R2595" s="57"/>
      <c r="S2595" s="91">
        <v>1350</v>
      </c>
      <c r="T2595" s="57"/>
      <c r="U2595" s="57" t="s">
        <v>1935</v>
      </c>
      <c r="V2595" s="57" t="s">
        <v>1805</v>
      </c>
      <c r="W2595" s="172"/>
      <c r="X2595" s="172"/>
      <c r="Y2595" s="57" t="s">
        <v>1911</v>
      </c>
      <c r="Z2595" s="57" t="s">
        <v>1349</v>
      </c>
      <c r="AA2595" s="91" t="s">
        <v>1677</v>
      </c>
      <c r="AB2595" s="66"/>
      <c r="AC2595" s="66"/>
      <c r="AD2595" s="91"/>
      <c r="AE2595" s="91">
        <v>47.5</v>
      </c>
      <c r="AF2595" s="91">
        <f>100-AE2595-30</f>
        <v>22.5</v>
      </c>
      <c r="AG2595" s="91"/>
      <c r="AH2595" s="57" t="s">
        <v>494</v>
      </c>
      <c r="AI2595" s="167">
        <v>6.5</v>
      </c>
      <c r="AJ2595" s="91">
        <v>0.7</v>
      </c>
      <c r="AK2595" s="91"/>
      <c r="AL2595" s="57"/>
      <c r="AM2595" s="57"/>
      <c r="AN2595" s="184" t="s">
        <v>2282</v>
      </c>
      <c r="AO2595" s="185" t="s">
        <v>5150</v>
      </c>
      <c r="AP2595" s="57"/>
      <c r="AQ2595" s="57" t="s">
        <v>553</v>
      </c>
      <c r="AR2595" s="57" t="s">
        <v>1607</v>
      </c>
      <c r="AS2595" s="57" t="s">
        <v>132</v>
      </c>
      <c r="AT2595" s="180"/>
      <c r="AU2595" s="181" t="s">
        <v>7494</v>
      </c>
      <c r="AV2595" s="184" t="s">
        <v>176</v>
      </c>
      <c r="AW2595" s="57"/>
      <c r="AX2595" s="184" t="s">
        <v>176</v>
      </c>
      <c r="AY2595" s="57"/>
      <c r="AZ2595" s="57"/>
      <c r="BA2595" s="57"/>
      <c r="BB2595" s="57"/>
      <c r="BC2595" s="57"/>
      <c r="BD2595" s="57"/>
      <c r="BE2595" s="251" t="s">
        <v>2671</v>
      </c>
      <c r="BF2595" s="252" t="s">
        <v>479</v>
      </c>
      <c r="BG2595" s="252" t="s">
        <v>479</v>
      </c>
      <c r="BH2595" s="251" t="s">
        <v>2671</v>
      </c>
      <c r="BI2595" s="252" t="s">
        <v>479</v>
      </c>
      <c r="BJ2595" s="57" t="s">
        <v>176</v>
      </c>
      <c r="BK2595" s="57" t="s">
        <v>5976</v>
      </c>
      <c r="BL2595" s="57"/>
      <c r="BM2595" s="253" t="s">
        <v>2663</v>
      </c>
      <c r="BN2595" s="57">
        <v>4</v>
      </c>
      <c r="BO2595" s="57">
        <v>4</v>
      </c>
      <c r="BP2595" s="57"/>
      <c r="BQ2595" s="57" t="s">
        <v>141</v>
      </c>
      <c r="BR2595" s="57"/>
      <c r="BS2595" s="57"/>
      <c r="BT2595" s="57"/>
      <c r="BU2595" s="57"/>
      <c r="BV2595" s="57"/>
      <c r="BW2595" s="66">
        <v>1687</v>
      </c>
      <c r="BX2595" s="66">
        <v>2160</v>
      </c>
      <c r="BY2595" s="66"/>
      <c r="BZ2595" s="66"/>
      <c r="CA2595" s="66" t="s">
        <v>545</v>
      </c>
      <c r="CB2595" s="66">
        <v>2107</v>
      </c>
      <c r="CC2595" s="66">
        <v>2276</v>
      </c>
      <c r="CD2595" s="66">
        <f>(CC2595-CB2595)/CB2595</f>
        <v>8.0208827717133363E-2</v>
      </c>
      <c r="CE2595" s="66"/>
      <c r="CF2595" s="66"/>
      <c r="CG2595" s="66" t="s">
        <v>2673</v>
      </c>
      <c r="CH2595" s="91"/>
      <c r="CI2595" s="91"/>
      <c r="CJ2595" s="66"/>
      <c r="CK2595" s="66"/>
      <c r="CL2595" s="66"/>
      <c r="CM2595" s="66"/>
      <c r="CN2595" s="66"/>
      <c r="CO2595" s="66"/>
      <c r="CP2595" s="66"/>
      <c r="CQ2595" s="66"/>
      <c r="CR2595" s="66"/>
      <c r="CS2595" s="66"/>
      <c r="CT2595" s="66"/>
      <c r="CU2595" s="66"/>
      <c r="CV2595" s="66"/>
      <c r="CW2595" s="66"/>
      <c r="CX2595" s="66"/>
      <c r="CY2595" s="66"/>
      <c r="CZ2595" s="66"/>
      <c r="DA2595" s="66"/>
      <c r="DB2595" s="66"/>
      <c r="DC2595" s="66"/>
      <c r="DD2595" s="66"/>
      <c r="DE2595" s="66"/>
      <c r="DF2595" s="66"/>
      <c r="DG2595" s="66"/>
      <c r="DH2595" s="66"/>
      <c r="DI2595" s="66"/>
      <c r="DJ2595" s="66"/>
      <c r="DK2595" s="66"/>
      <c r="DL2595" s="66"/>
      <c r="DM2595" s="66"/>
      <c r="DN2595" s="66"/>
      <c r="DO2595" s="66"/>
      <c r="DP2595" s="66"/>
      <c r="DQ2595" s="164"/>
      <c r="DR2595" s="164"/>
      <c r="DS2595" s="161"/>
      <c r="DT2595" s="161"/>
      <c r="DU2595" s="66"/>
      <c r="DV2595" s="66"/>
      <c r="DW2595" s="66"/>
      <c r="DX2595" s="66"/>
      <c r="DY2595" s="66"/>
      <c r="DZ2595" s="66"/>
      <c r="EA2595" s="66"/>
      <c r="EB2595" s="66"/>
      <c r="EC2595" s="66"/>
      <c r="ED2595" s="66"/>
      <c r="EE2595" s="66"/>
      <c r="EF2595" s="66"/>
      <c r="EG2595" s="66"/>
      <c r="EH2595" s="66"/>
      <c r="EI2595" s="66"/>
      <c r="EJ2595" s="66"/>
      <c r="EK2595" s="91"/>
      <c r="EL2595" s="91"/>
      <c r="EM2595" s="66"/>
      <c r="EN2595" s="66"/>
      <c r="EO2595" s="66"/>
      <c r="EP2595" s="66"/>
      <c r="EQ2595" s="66"/>
      <c r="ER2595" s="66"/>
      <c r="ES2595" s="66"/>
      <c r="ET2595" s="66"/>
      <c r="EU2595" s="66"/>
      <c r="EV2595" s="66"/>
      <c r="EW2595" s="66"/>
      <c r="EX2595" s="66"/>
      <c r="EY2595" s="66"/>
      <c r="EZ2595" s="66"/>
      <c r="FA2595" s="66"/>
      <c r="FB2595" s="66"/>
      <c r="FC2595" s="66"/>
      <c r="FD2595" s="66"/>
      <c r="FE2595" s="66"/>
      <c r="FF2595" s="66"/>
      <c r="FG2595" s="66"/>
      <c r="FH2595" s="66"/>
      <c r="FI2595" s="66"/>
      <c r="FJ2595" s="66"/>
      <c r="FK2595" s="66"/>
      <c r="FL2595" s="66"/>
      <c r="FM2595" s="66"/>
      <c r="FN2595" s="66"/>
      <c r="FO2595" s="66"/>
      <c r="FP2595" s="66"/>
      <c r="FQ2595" s="66"/>
      <c r="FR2595" s="66"/>
      <c r="FS2595" s="66"/>
      <c r="FT2595" s="66"/>
      <c r="FU2595" s="66"/>
      <c r="FV2595" s="66"/>
      <c r="FW2595" s="66"/>
      <c r="FX2595" s="66"/>
      <c r="FY2595" s="66"/>
      <c r="FZ2595" s="66"/>
      <c r="GA2595" s="66"/>
      <c r="GB2595" s="66"/>
      <c r="GC2595" s="66"/>
      <c r="GD2595" s="66"/>
      <c r="GE2595" s="66"/>
      <c r="GF2595" s="66"/>
      <c r="GG2595" s="66"/>
      <c r="GH2595" s="66"/>
      <c r="GI2595" s="66"/>
      <c r="GJ2595" s="66"/>
      <c r="GK2595" s="66"/>
      <c r="GL2595" s="66"/>
      <c r="GM2595" s="66"/>
      <c r="GN2595" s="293"/>
      <c r="GO2595" s="293"/>
      <c r="GP2595" s="292" t="s">
        <v>7494</v>
      </c>
      <c r="GQ2595" s="66"/>
      <c r="GR2595" s="66"/>
      <c r="GS2595" s="66"/>
      <c r="GT2595" s="66"/>
      <c r="GU2595" s="66"/>
      <c r="GV2595" s="66"/>
      <c r="GW2595" s="66"/>
      <c r="GX2595" s="66"/>
      <c r="GY2595" s="66"/>
      <c r="GZ2595" s="66"/>
      <c r="HA2595" s="66"/>
      <c r="HB2595" s="66"/>
      <c r="HC2595" s="66"/>
      <c r="HD2595" s="66"/>
      <c r="HE2595" s="66"/>
      <c r="HF2595" s="66"/>
      <c r="HG2595" s="66"/>
      <c r="HH2595" s="66"/>
      <c r="HI2595" s="66"/>
      <c r="HJ2595" s="66"/>
      <c r="HK2595" s="66"/>
      <c r="HL2595" s="66"/>
      <c r="HM2595" s="66"/>
      <c r="HN2595" s="66"/>
      <c r="HO2595" s="66"/>
      <c r="HP2595" s="66"/>
      <c r="HQ2595" s="66"/>
      <c r="HR2595" s="66"/>
      <c r="HS2595" s="66"/>
      <c r="HT2595" s="66"/>
      <c r="HU2595" s="66"/>
      <c r="HV2595" s="66"/>
      <c r="HW2595" s="66"/>
      <c r="HX2595" s="66"/>
      <c r="HY2595" s="66"/>
      <c r="HZ2595" s="66"/>
      <c r="IA2595" s="66"/>
      <c r="IB2595" s="66"/>
      <c r="IC2595" s="66"/>
      <c r="ID2595" s="66"/>
      <c r="IE2595" s="66"/>
      <c r="IF2595" s="66"/>
      <c r="IG2595" s="66"/>
      <c r="IH2595" s="66"/>
      <c r="II2595" s="66"/>
      <c r="IJ2595" s="66"/>
      <c r="IK2595" s="66"/>
      <c r="IL2595" s="66"/>
      <c r="IM2595" s="66"/>
      <c r="IN2595" s="66"/>
      <c r="IO2595" s="66"/>
      <c r="IP2595" s="66"/>
      <c r="IQ2595" s="66"/>
      <c r="IR2595" s="66"/>
      <c r="IS2595" s="66"/>
      <c r="IT2595" s="66"/>
      <c r="IU2595" s="66"/>
      <c r="IV2595" s="66"/>
      <c r="IW2595" s="66"/>
      <c r="IX2595" s="66"/>
      <c r="IY2595" s="66"/>
      <c r="IZ2595" s="66"/>
      <c r="JA2595" s="66"/>
      <c r="JB2595" s="66"/>
      <c r="JC2595" s="66"/>
      <c r="JD2595" s="66"/>
      <c r="JE2595" s="66"/>
      <c r="JF2595" s="66"/>
      <c r="JG2595" s="66"/>
      <c r="JH2595" s="66"/>
      <c r="JI2595" s="66"/>
      <c r="JJ2595" s="66"/>
      <c r="JK2595" s="66"/>
      <c r="JL2595" s="66"/>
      <c r="JM2595" s="66"/>
      <c r="JN2595" s="66"/>
      <c r="JO2595" s="66"/>
      <c r="JP2595" s="66"/>
      <c r="JQ2595" s="66"/>
      <c r="JR2595" s="66"/>
      <c r="JS2595" s="66"/>
      <c r="JT2595" s="66"/>
      <c r="JU2595" s="57"/>
      <c r="JV2595" s="57"/>
      <c r="JW2595" s="57"/>
    </row>
    <row r="2596" spans="1:283" s="13" customFormat="1" x14ac:dyDescent="0.25">
      <c r="A2596" s="57">
        <v>2595</v>
      </c>
      <c r="B2596" s="13" t="s">
        <v>7067</v>
      </c>
      <c r="C2596" s="154">
        <v>121</v>
      </c>
      <c r="D2596" s="57" t="s">
        <v>4249</v>
      </c>
      <c r="E2596" s="91" t="s">
        <v>2659</v>
      </c>
      <c r="F2596" s="91"/>
      <c r="G2596" s="57" t="s">
        <v>2658</v>
      </c>
      <c r="H2596" s="57">
        <v>1999</v>
      </c>
      <c r="I2596" s="57">
        <v>1995</v>
      </c>
      <c r="J2596" s="57" t="s">
        <v>2660</v>
      </c>
      <c r="K2596" s="57" t="s">
        <v>2662</v>
      </c>
      <c r="L2596" s="57" t="s">
        <v>2744</v>
      </c>
      <c r="M2596" s="91">
        <v>10.016666666666699</v>
      </c>
      <c r="N2596" s="91">
        <v>9.7833333333333297</v>
      </c>
      <c r="O2596" s="91">
        <v>542</v>
      </c>
      <c r="P2596" s="57"/>
      <c r="Q2596" s="57"/>
      <c r="R2596" s="57"/>
      <c r="S2596" s="91">
        <v>1350</v>
      </c>
      <c r="T2596" s="57"/>
      <c r="U2596" s="57" t="s">
        <v>1935</v>
      </c>
      <c r="V2596" s="57" t="s">
        <v>1805</v>
      </c>
      <c r="W2596" s="172"/>
      <c r="X2596" s="172"/>
      <c r="Y2596" s="57" t="s">
        <v>1911</v>
      </c>
      <c r="Z2596" s="57" t="s">
        <v>1349</v>
      </c>
      <c r="AA2596" s="91" t="s">
        <v>1677</v>
      </c>
      <c r="AB2596" s="66"/>
      <c r="AC2596" s="66"/>
      <c r="AD2596" s="91"/>
      <c r="AE2596" s="91">
        <v>47.5</v>
      </c>
      <c r="AF2596" s="91">
        <f>100-AE2596-30</f>
        <v>22.5</v>
      </c>
      <c r="AG2596" s="91"/>
      <c r="AH2596" s="57" t="s">
        <v>494</v>
      </c>
      <c r="AI2596" s="167">
        <v>6.5</v>
      </c>
      <c r="AJ2596" s="91">
        <v>0.7</v>
      </c>
      <c r="AK2596" s="91"/>
      <c r="AL2596" s="57"/>
      <c r="AM2596" s="57"/>
      <c r="AN2596" s="184" t="s">
        <v>2282</v>
      </c>
      <c r="AO2596" s="185" t="s">
        <v>5150</v>
      </c>
      <c r="AP2596" s="57"/>
      <c r="AQ2596" s="57" t="s">
        <v>553</v>
      </c>
      <c r="AR2596" s="57" t="s">
        <v>1607</v>
      </c>
      <c r="AS2596" s="57" t="s">
        <v>132</v>
      </c>
      <c r="AT2596" s="180"/>
      <c r="AU2596" s="181" t="s">
        <v>7494</v>
      </c>
      <c r="AV2596" s="184" t="s">
        <v>176</v>
      </c>
      <c r="AW2596" s="57"/>
      <c r="AX2596" s="184" t="s">
        <v>176</v>
      </c>
      <c r="AY2596" s="57"/>
      <c r="AZ2596" s="57"/>
      <c r="BA2596" s="57"/>
      <c r="BB2596" s="57"/>
      <c r="BC2596" s="57"/>
      <c r="BD2596" s="57"/>
      <c r="BE2596" s="251" t="s">
        <v>2672</v>
      </c>
      <c r="BF2596" s="252" t="s">
        <v>479</v>
      </c>
      <c r="BG2596" s="252" t="s">
        <v>479</v>
      </c>
      <c r="BH2596" s="251" t="s">
        <v>2672</v>
      </c>
      <c r="BI2596" s="252" t="s">
        <v>479</v>
      </c>
      <c r="BJ2596" s="57" t="s">
        <v>176</v>
      </c>
      <c r="BK2596" s="57" t="s">
        <v>5976</v>
      </c>
      <c r="BL2596" s="57"/>
      <c r="BM2596" s="253" t="s">
        <v>2663</v>
      </c>
      <c r="BN2596" s="57">
        <v>4</v>
      </c>
      <c r="BO2596" s="57">
        <v>4</v>
      </c>
      <c r="BP2596" s="57"/>
      <c r="BQ2596" s="57" t="s">
        <v>141</v>
      </c>
      <c r="BR2596" s="57"/>
      <c r="BS2596" s="57"/>
      <c r="BT2596" s="57"/>
      <c r="BU2596" s="57"/>
      <c r="BV2596" s="57"/>
      <c r="BW2596" s="66">
        <v>1653</v>
      </c>
      <c r="BX2596" s="66">
        <v>1907</v>
      </c>
      <c r="BY2596" s="66"/>
      <c r="BZ2596" s="66"/>
      <c r="CA2596" s="66" t="s">
        <v>545</v>
      </c>
      <c r="CB2596" s="66">
        <v>2286</v>
      </c>
      <c r="CC2596" s="66">
        <v>2177</v>
      </c>
      <c r="CD2596" s="66">
        <f>(CC2596-CB2596)/CB2596</f>
        <v>-4.7681539807524057E-2</v>
      </c>
      <c r="CE2596" s="66"/>
      <c r="CF2596" s="66"/>
      <c r="CG2596" s="66" t="s">
        <v>2673</v>
      </c>
      <c r="CH2596" s="91"/>
      <c r="CI2596" s="91"/>
      <c r="CJ2596" s="66"/>
      <c r="CK2596" s="66"/>
      <c r="CL2596" s="66"/>
      <c r="CM2596" s="66"/>
      <c r="CN2596" s="66"/>
      <c r="CO2596" s="66"/>
      <c r="CP2596" s="66"/>
      <c r="CQ2596" s="66"/>
      <c r="CR2596" s="66"/>
      <c r="CS2596" s="66"/>
      <c r="CT2596" s="66"/>
      <c r="CU2596" s="66"/>
      <c r="CV2596" s="66"/>
      <c r="CW2596" s="66"/>
      <c r="CX2596" s="66"/>
      <c r="CY2596" s="66"/>
      <c r="CZ2596" s="66"/>
      <c r="DA2596" s="66"/>
      <c r="DB2596" s="66"/>
      <c r="DC2596" s="66"/>
      <c r="DD2596" s="66"/>
      <c r="DE2596" s="66"/>
      <c r="DF2596" s="66"/>
      <c r="DG2596" s="66"/>
      <c r="DH2596" s="66"/>
      <c r="DI2596" s="66"/>
      <c r="DJ2596" s="66"/>
      <c r="DK2596" s="66"/>
      <c r="DL2596" s="66"/>
      <c r="DM2596" s="66"/>
      <c r="DN2596" s="66"/>
      <c r="DO2596" s="66"/>
      <c r="DP2596" s="66"/>
      <c r="DQ2596" s="164"/>
      <c r="DR2596" s="164"/>
      <c r="DS2596" s="161"/>
      <c r="DT2596" s="161"/>
      <c r="DU2596" s="66"/>
      <c r="DV2596" s="66"/>
      <c r="DW2596" s="66"/>
      <c r="DX2596" s="66"/>
      <c r="DY2596" s="66"/>
      <c r="DZ2596" s="66"/>
      <c r="EA2596" s="66"/>
      <c r="EB2596" s="66"/>
      <c r="EC2596" s="66"/>
      <c r="ED2596" s="66"/>
      <c r="EE2596" s="66"/>
      <c r="EF2596" s="66"/>
      <c r="EG2596" s="66"/>
      <c r="EH2596" s="66"/>
      <c r="EI2596" s="66"/>
      <c r="EJ2596" s="66"/>
      <c r="EK2596" s="91"/>
      <c r="EL2596" s="91"/>
      <c r="EM2596" s="66"/>
      <c r="EN2596" s="66"/>
      <c r="EO2596" s="66"/>
      <c r="EP2596" s="66"/>
      <c r="EQ2596" s="66"/>
      <c r="ER2596" s="66"/>
      <c r="ES2596" s="66"/>
      <c r="ET2596" s="66"/>
      <c r="EU2596" s="66"/>
      <c r="EV2596" s="66"/>
      <c r="EW2596" s="66"/>
      <c r="EX2596" s="66"/>
      <c r="EY2596" s="66"/>
      <c r="EZ2596" s="66"/>
      <c r="FA2596" s="66"/>
      <c r="FB2596" s="66"/>
      <c r="FC2596" s="66"/>
      <c r="FD2596" s="66"/>
      <c r="FE2596" s="66"/>
      <c r="FF2596" s="66"/>
      <c r="FG2596" s="66"/>
      <c r="FH2596" s="66"/>
      <c r="FI2596" s="66"/>
      <c r="FJ2596" s="66"/>
      <c r="FK2596" s="66"/>
      <c r="FL2596" s="66"/>
      <c r="FM2596" s="66"/>
      <c r="FN2596" s="66"/>
      <c r="FO2596" s="66"/>
      <c r="FP2596" s="66"/>
      <c r="FQ2596" s="66"/>
      <c r="FR2596" s="66"/>
      <c r="FS2596" s="66"/>
      <c r="FT2596" s="66"/>
      <c r="FU2596" s="66"/>
      <c r="FV2596" s="66"/>
      <c r="FW2596" s="66"/>
      <c r="FX2596" s="66"/>
      <c r="FY2596" s="66"/>
      <c r="FZ2596" s="66"/>
      <c r="GA2596" s="66"/>
      <c r="GB2596" s="66"/>
      <c r="GC2596" s="66"/>
      <c r="GD2596" s="66"/>
      <c r="GE2596" s="66"/>
      <c r="GF2596" s="66"/>
      <c r="GG2596" s="66"/>
      <c r="GH2596" s="66"/>
      <c r="GI2596" s="66"/>
      <c r="GJ2596" s="66"/>
      <c r="GK2596" s="66"/>
      <c r="GL2596" s="66"/>
      <c r="GM2596" s="66"/>
      <c r="GN2596" s="293"/>
      <c r="GO2596" s="293"/>
      <c r="GP2596" s="292" t="s">
        <v>7494</v>
      </c>
      <c r="GQ2596" s="66"/>
      <c r="GR2596" s="66"/>
      <c r="GS2596" s="66"/>
      <c r="GT2596" s="66"/>
      <c r="GU2596" s="66"/>
      <c r="GV2596" s="66"/>
      <c r="GW2596" s="66"/>
      <c r="GX2596" s="66"/>
      <c r="GY2596" s="66"/>
      <c r="GZ2596" s="66"/>
      <c r="HA2596" s="66"/>
      <c r="HB2596" s="66"/>
      <c r="HC2596" s="66"/>
      <c r="HD2596" s="66"/>
      <c r="HE2596" s="66"/>
      <c r="HF2596" s="66"/>
      <c r="HG2596" s="66"/>
      <c r="HH2596" s="66"/>
      <c r="HI2596" s="66"/>
      <c r="HJ2596" s="66"/>
      <c r="HK2596" s="66"/>
      <c r="HL2596" s="66"/>
      <c r="HM2596" s="66"/>
      <c r="HN2596" s="66"/>
      <c r="HO2596" s="66"/>
      <c r="HP2596" s="66"/>
      <c r="HQ2596" s="66"/>
      <c r="HR2596" s="66"/>
      <c r="HS2596" s="66"/>
      <c r="HT2596" s="66"/>
      <c r="HU2596" s="66"/>
      <c r="HV2596" s="66"/>
      <c r="HW2596" s="66"/>
      <c r="HX2596" s="66"/>
      <c r="HY2596" s="66"/>
      <c r="HZ2596" s="66"/>
      <c r="IA2596" s="66"/>
      <c r="IB2596" s="66"/>
      <c r="IC2596" s="66"/>
      <c r="ID2596" s="66"/>
      <c r="IE2596" s="66"/>
      <c r="IF2596" s="66"/>
      <c r="IG2596" s="66"/>
      <c r="IH2596" s="66"/>
      <c r="II2596" s="66"/>
      <c r="IJ2596" s="66"/>
      <c r="IK2596" s="66"/>
      <c r="IL2596" s="66"/>
      <c r="IM2596" s="66"/>
      <c r="IN2596" s="66"/>
      <c r="IO2596" s="66"/>
      <c r="IP2596" s="66"/>
      <c r="IQ2596" s="66"/>
      <c r="IR2596" s="66"/>
      <c r="IS2596" s="66"/>
      <c r="IT2596" s="66"/>
      <c r="IU2596" s="66"/>
      <c r="IV2596" s="66"/>
      <c r="IW2596" s="66"/>
      <c r="IX2596" s="66"/>
      <c r="IY2596" s="66"/>
      <c r="IZ2596" s="66"/>
      <c r="JA2596" s="66"/>
      <c r="JB2596" s="66"/>
      <c r="JC2596" s="66"/>
      <c r="JD2596" s="66"/>
      <c r="JE2596" s="66"/>
      <c r="JF2596" s="66"/>
      <c r="JG2596" s="66"/>
      <c r="JH2596" s="66"/>
      <c r="JI2596" s="66"/>
      <c r="JJ2596" s="66"/>
      <c r="JK2596" s="66"/>
      <c r="JL2596" s="66"/>
      <c r="JM2596" s="66"/>
      <c r="JN2596" s="66"/>
      <c r="JO2596" s="66"/>
      <c r="JP2596" s="66"/>
      <c r="JQ2596" s="66"/>
      <c r="JR2596" s="66"/>
      <c r="JS2596" s="66"/>
      <c r="JT2596" s="66"/>
      <c r="JU2596" s="57"/>
      <c r="JV2596" s="57"/>
      <c r="JW2596" s="57"/>
    </row>
    <row r="2597" spans="1:283" x14ac:dyDescent="0.25">
      <c r="A2597" s="55">
        <v>2596</v>
      </c>
      <c r="B2597" s="12" t="s">
        <v>7067</v>
      </c>
      <c r="C2597" s="155">
        <v>122</v>
      </c>
      <c r="D2597" s="55" t="s">
        <v>4250</v>
      </c>
      <c r="E2597" s="90" t="s">
        <v>2674</v>
      </c>
      <c r="G2597" s="55" t="s">
        <v>2675</v>
      </c>
      <c r="H2597" s="55">
        <v>2004</v>
      </c>
      <c r="I2597" s="55">
        <v>2001</v>
      </c>
      <c r="J2597" s="55" t="s">
        <v>2619</v>
      </c>
      <c r="K2597" s="55" t="s">
        <v>2676</v>
      </c>
      <c r="L2597" s="55" t="s">
        <v>2750</v>
      </c>
      <c r="M2597" s="90">
        <f>-13-39/60</f>
        <v>-13.65</v>
      </c>
      <c r="N2597" s="90">
        <f>32+34/60</f>
        <v>32.56666666666667</v>
      </c>
      <c r="O2597" s="90">
        <v>1028</v>
      </c>
      <c r="Q2597" s="55">
        <f>(25+16)/2</f>
        <v>20.5</v>
      </c>
      <c r="S2597" s="90">
        <v>960</v>
      </c>
      <c r="U2597" s="55" t="s">
        <v>1816</v>
      </c>
      <c r="V2597" s="55" t="s">
        <v>1682</v>
      </c>
      <c r="Y2597" s="55" t="s">
        <v>1947</v>
      </c>
      <c r="Z2597" s="55" t="s">
        <v>1346</v>
      </c>
      <c r="AA2597" s="90" t="s">
        <v>1675</v>
      </c>
      <c r="AE2597" s="90">
        <v>58</v>
      </c>
      <c r="AF2597" s="90">
        <v>17</v>
      </c>
      <c r="AH2597" s="55" t="s">
        <v>238</v>
      </c>
      <c r="AJ2597" s="90">
        <v>1</v>
      </c>
      <c r="AM2597" s="55" t="s">
        <v>2677</v>
      </c>
      <c r="AN2597" s="185" t="s">
        <v>2685</v>
      </c>
      <c r="AO2597" s="185" t="s">
        <v>5150</v>
      </c>
      <c r="AQ2597" s="55" t="s">
        <v>1097</v>
      </c>
      <c r="AR2597" s="55" t="s">
        <v>1607</v>
      </c>
      <c r="AS2597" s="55" t="s">
        <v>132</v>
      </c>
      <c r="AU2597" s="181" t="s">
        <v>7494</v>
      </c>
      <c r="AV2597" s="185" t="s">
        <v>176</v>
      </c>
      <c r="AX2597" s="185" t="s">
        <v>176</v>
      </c>
      <c r="BG2597" s="191"/>
      <c r="BK2597" s="55" t="s">
        <v>6333</v>
      </c>
      <c r="BM2597" s="192" t="s">
        <v>160</v>
      </c>
      <c r="BN2597" s="55">
        <v>3</v>
      </c>
      <c r="BO2597" s="55">
        <v>3</v>
      </c>
      <c r="BQ2597" s="55" t="s">
        <v>141</v>
      </c>
      <c r="BS2597" s="55">
        <v>6016</v>
      </c>
      <c r="BT2597" s="55">
        <f>BS2597/198</f>
        <v>30.383838383838384</v>
      </c>
      <c r="CB2597" s="66">
        <v>1436</v>
      </c>
      <c r="CC2597" s="66">
        <v>3907</v>
      </c>
      <c r="CG2597" s="65" t="s">
        <v>2681</v>
      </c>
      <c r="DB2597" s="65">
        <v>7.79</v>
      </c>
      <c r="DC2597" s="65">
        <v>14</v>
      </c>
      <c r="DF2597" s="65" t="s">
        <v>2679</v>
      </c>
      <c r="GP2597" s="292" t="s">
        <v>7494</v>
      </c>
    </row>
    <row r="2598" spans="1:283" x14ac:dyDescent="0.25">
      <c r="A2598" s="55">
        <v>2597</v>
      </c>
      <c r="B2598" s="12" t="s">
        <v>7067</v>
      </c>
      <c r="C2598" s="155">
        <v>122</v>
      </c>
      <c r="D2598" s="55" t="s">
        <v>4250</v>
      </c>
      <c r="E2598" s="90" t="s">
        <v>2674</v>
      </c>
      <c r="G2598" s="55" t="s">
        <v>2675</v>
      </c>
      <c r="H2598" s="55">
        <v>2004</v>
      </c>
      <c r="I2598" s="55">
        <v>2001</v>
      </c>
      <c r="J2598" s="55" t="s">
        <v>2619</v>
      </c>
      <c r="K2598" s="55" t="s">
        <v>2676</v>
      </c>
      <c r="L2598" s="55" t="s">
        <v>2750</v>
      </c>
      <c r="M2598" s="90">
        <f>-13-39/60</f>
        <v>-13.65</v>
      </c>
      <c r="N2598" s="90">
        <f>32+34/60</f>
        <v>32.56666666666667</v>
      </c>
      <c r="O2598" s="90">
        <v>1028</v>
      </c>
      <c r="Q2598" s="55">
        <f>(25+16)/2</f>
        <v>20.5</v>
      </c>
      <c r="S2598" s="90">
        <v>960</v>
      </c>
      <c r="U2598" s="55" t="s">
        <v>1816</v>
      </c>
      <c r="V2598" s="55" t="s">
        <v>1682</v>
      </c>
      <c r="Y2598" s="55" t="s">
        <v>1947</v>
      </c>
      <c r="Z2598" s="55" t="s">
        <v>1346</v>
      </c>
      <c r="AA2598" s="90" t="s">
        <v>1675</v>
      </c>
      <c r="AE2598" s="90">
        <v>58</v>
      </c>
      <c r="AF2598" s="90">
        <v>17</v>
      </c>
      <c r="AH2598" s="55" t="s">
        <v>238</v>
      </c>
      <c r="AJ2598" s="90">
        <v>1</v>
      </c>
      <c r="AM2598" s="55" t="s">
        <v>2677</v>
      </c>
      <c r="AN2598" s="185" t="s">
        <v>2685</v>
      </c>
      <c r="AO2598" s="185" t="s">
        <v>5150</v>
      </c>
      <c r="AQ2598" s="55" t="s">
        <v>1097</v>
      </c>
      <c r="AR2598" s="55" t="s">
        <v>1607</v>
      </c>
      <c r="AS2598" s="55" t="s">
        <v>132</v>
      </c>
      <c r="AU2598" s="181" t="s">
        <v>7494</v>
      </c>
      <c r="AV2598" s="185" t="s">
        <v>176</v>
      </c>
      <c r="AX2598" s="185" t="s">
        <v>176</v>
      </c>
      <c r="BK2598" s="55" t="s">
        <v>6333</v>
      </c>
      <c r="BM2598" s="192" t="s">
        <v>160</v>
      </c>
      <c r="BN2598" s="55">
        <v>3</v>
      </c>
      <c r="BO2598" s="55">
        <v>3</v>
      </c>
      <c r="BQ2598" s="55" t="s">
        <v>141</v>
      </c>
      <c r="BS2598" s="55">
        <v>4974</v>
      </c>
      <c r="BT2598" s="55">
        <f>BS2598/167</f>
        <v>29.78443113772455</v>
      </c>
      <c r="CB2598" s="66">
        <v>1436</v>
      </c>
      <c r="CC2598" s="66">
        <v>3999</v>
      </c>
      <c r="CG2598" s="65" t="s">
        <v>2682</v>
      </c>
      <c r="DB2598" s="65">
        <v>7.79</v>
      </c>
      <c r="DC2598" s="65">
        <v>8.94</v>
      </c>
      <c r="DF2598" s="65" t="s">
        <v>2680</v>
      </c>
      <c r="GP2598" s="292" t="s">
        <v>7494</v>
      </c>
    </row>
    <row r="2599" spans="1:283" x14ac:dyDescent="0.25">
      <c r="A2599" s="55">
        <v>2598</v>
      </c>
      <c r="B2599" s="12" t="s">
        <v>7067</v>
      </c>
      <c r="C2599" s="155">
        <v>122</v>
      </c>
      <c r="D2599" s="55" t="s">
        <v>4250</v>
      </c>
      <c r="E2599" s="90" t="s">
        <v>2674</v>
      </c>
      <c r="G2599" s="55" t="s">
        <v>2675</v>
      </c>
      <c r="H2599" s="55">
        <v>2004</v>
      </c>
      <c r="I2599" s="55">
        <v>2001</v>
      </c>
      <c r="J2599" s="55" t="s">
        <v>2619</v>
      </c>
      <c r="K2599" s="55" t="s">
        <v>2676</v>
      </c>
      <c r="L2599" s="55" t="s">
        <v>2750</v>
      </c>
      <c r="M2599" s="90">
        <f>-13-39/60</f>
        <v>-13.65</v>
      </c>
      <c r="N2599" s="90">
        <f>32+34/60</f>
        <v>32.56666666666667</v>
      </c>
      <c r="O2599" s="90">
        <v>1028</v>
      </c>
      <c r="Q2599" s="55">
        <f>(25+16)/2</f>
        <v>20.5</v>
      </c>
      <c r="S2599" s="90">
        <v>960</v>
      </c>
      <c r="U2599" s="55" t="s">
        <v>1816</v>
      </c>
      <c r="V2599" s="55" t="s">
        <v>1682</v>
      </c>
      <c r="Y2599" s="55" t="s">
        <v>1947</v>
      </c>
      <c r="Z2599" s="55" t="s">
        <v>1346</v>
      </c>
      <c r="AA2599" s="90" t="s">
        <v>1675</v>
      </c>
      <c r="AE2599" s="90">
        <v>58</v>
      </c>
      <c r="AF2599" s="90">
        <v>17</v>
      </c>
      <c r="AH2599" s="55" t="s">
        <v>238</v>
      </c>
      <c r="AJ2599" s="90">
        <v>1</v>
      </c>
      <c r="AM2599" s="55" t="s">
        <v>2677</v>
      </c>
      <c r="AN2599" s="185" t="s">
        <v>2685</v>
      </c>
      <c r="AO2599" s="185" t="s">
        <v>5150</v>
      </c>
      <c r="AQ2599" s="55" t="s">
        <v>1097</v>
      </c>
      <c r="AR2599" s="55" t="s">
        <v>1607</v>
      </c>
      <c r="AS2599" s="55" t="s">
        <v>132</v>
      </c>
      <c r="AU2599" s="181" t="s">
        <v>7494</v>
      </c>
      <c r="AV2599" s="185" t="s">
        <v>176</v>
      </c>
      <c r="AX2599" s="185" t="s">
        <v>176</v>
      </c>
      <c r="BK2599" s="55" t="s">
        <v>6333</v>
      </c>
      <c r="BM2599" s="192" t="s">
        <v>160</v>
      </c>
      <c r="BN2599" s="55">
        <v>3</v>
      </c>
      <c r="BO2599" s="55">
        <v>3</v>
      </c>
      <c r="BQ2599" s="55" t="s">
        <v>141</v>
      </c>
      <c r="BS2599" s="55">
        <v>3131</v>
      </c>
      <c r="BT2599" s="55">
        <f>BS2599/103</f>
        <v>30.398058252427184</v>
      </c>
      <c r="CB2599" s="66">
        <v>1436</v>
      </c>
      <c r="CC2599" s="66">
        <v>3086</v>
      </c>
      <c r="CG2599" s="65" t="s">
        <v>2683</v>
      </c>
      <c r="GP2599" s="292" t="s">
        <v>7494</v>
      </c>
    </row>
    <row r="2600" spans="1:283" x14ac:dyDescent="0.25">
      <c r="A2600" s="55">
        <v>2599</v>
      </c>
      <c r="B2600" s="12" t="s">
        <v>7067</v>
      </c>
      <c r="C2600" s="155">
        <v>122</v>
      </c>
      <c r="D2600" s="55" t="s">
        <v>4250</v>
      </c>
      <c r="E2600" s="90" t="s">
        <v>2674</v>
      </c>
      <c r="G2600" s="55" t="s">
        <v>2675</v>
      </c>
      <c r="H2600" s="55">
        <v>2004</v>
      </c>
      <c r="I2600" s="55">
        <v>2001</v>
      </c>
      <c r="J2600" s="55" t="s">
        <v>2619</v>
      </c>
      <c r="K2600" s="55" t="s">
        <v>2676</v>
      </c>
      <c r="L2600" s="55" t="s">
        <v>2750</v>
      </c>
      <c r="M2600" s="90">
        <f>-13-39/60</f>
        <v>-13.65</v>
      </c>
      <c r="N2600" s="90">
        <f>32+34/60</f>
        <v>32.56666666666667</v>
      </c>
      <c r="O2600" s="90">
        <v>1028</v>
      </c>
      <c r="Q2600" s="55">
        <f>(25+16)/2</f>
        <v>20.5</v>
      </c>
      <c r="S2600" s="90">
        <v>960</v>
      </c>
      <c r="U2600" s="55" t="s">
        <v>1816</v>
      </c>
      <c r="V2600" s="55" t="s">
        <v>1682</v>
      </c>
      <c r="Y2600" s="55" t="s">
        <v>1947</v>
      </c>
      <c r="Z2600" s="55" t="s">
        <v>1346</v>
      </c>
      <c r="AA2600" s="90" t="s">
        <v>1675</v>
      </c>
      <c r="AE2600" s="90">
        <v>58</v>
      </c>
      <c r="AF2600" s="90">
        <v>17</v>
      </c>
      <c r="AH2600" s="55" t="s">
        <v>238</v>
      </c>
      <c r="AJ2600" s="90">
        <v>1</v>
      </c>
      <c r="AM2600" s="55" t="s">
        <v>2677</v>
      </c>
      <c r="AN2600" s="185" t="s">
        <v>2685</v>
      </c>
      <c r="AO2600" s="185" t="s">
        <v>5150</v>
      </c>
      <c r="AQ2600" s="55" t="s">
        <v>1097</v>
      </c>
      <c r="AR2600" s="55" t="s">
        <v>1607</v>
      </c>
      <c r="AS2600" s="55" t="s">
        <v>132</v>
      </c>
      <c r="AU2600" s="181" t="s">
        <v>7494</v>
      </c>
      <c r="AV2600" s="185" t="s">
        <v>176</v>
      </c>
      <c r="AX2600" s="185" t="s">
        <v>176</v>
      </c>
      <c r="BK2600" s="55" t="s">
        <v>6333</v>
      </c>
      <c r="BM2600" s="192" t="s">
        <v>160</v>
      </c>
      <c r="BN2600" s="55">
        <v>3</v>
      </c>
      <c r="BO2600" s="55">
        <v>3</v>
      </c>
      <c r="BQ2600" s="55" t="s">
        <v>141</v>
      </c>
      <c r="CB2600" s="66">
        <v>1436</v>
      </c>
      <c r="CC2600" s="66">
        <v>1864</v>
      </c>
      <c r="CG2600" s="65" t="s">
        <v>2684</v>
      </c>
      <c r="GP2600" s="292" t="s">
        <v>7494</v>
      </c>
    </row>
    <row r="2601" spans="1:283" x14ac:dyDescent="0.25">
      <c r="A2601" s="55">
        <v>2600</v>
      </c>
      <c r="B2601" s="12" t="s">
        <v>7067</v>
      </c>
      <c r="C2601" s="155">
        <v>122</v>
      </c>
      <c r="D2601" s="55" t="s">
        <v>4250</v>
      </c>
      <c r="E2601" s="90" t="s">
        <v>2674</v>
      </c>
      <c r="G2601" s="55" t="s">
        <v>2675</v>
      </c>
      <c r="H2601" s="55">
        <v>2004</v>
      </c>
      <c r="I2601" s="55">
        <v>2002</v>
      </c>
      <c r="J2601" s="55" t="s">
        <v>2619</v>
      </c>
      <c r="K2601" s="55" t="s">
        <v>2676</v>
      </c>
      <c r="L2601" s="55" t="s">
        <v>2750</v>
      </c>
      <c r="M2601" s="90">
        <f>-13-39/60</f>
        <v>-13.65</v>
      </c>
      <c r="N2601" s="90">
        <f>32+34/60</f>
        <v>32.56666666666667</v>
      </c>
      <c r="O2601" s="90">
        <v>1028</v>
      </c>
      <c r="Q2601" s="55">
        <f>(25+16)/2</f>
        <v>20.5</v>
      </c>
      <c r="S2601" s="90">
        <v>960</v>
      </c>
      <c r="U2601" s="55" t="s">
        <v>1682</v>
      </c>
      <c r="V2601" s="55" t="s">
        <v>1682</v>
      </c>
      <c r="Y2601" s="55" t="s">
        <v>1947</v>
      </c>
      <c r="Z2601" s="55" t="s">
        <v>1346</v>
      </c>
      <c r="AA2601" s="90" t="s">
        <v>1675</v>
      </c>
      <c r="AE2601" s="90">
        <v>58</v>
      </c>
      <c r="AF2601" s="90">
        <v>17</v>
      </c>
      <c r="AH2601" s="55" t="s">
        <v>238</v>
      </c>
      <c r="AJ2601" s="90">
        <v>1</v>
      </c>
      <c r="AM2601" s="55" t="s">
        <v>2677</v>
      </c>
      <c r="AN2601" s="185" t="s">
        <v>2685</v>
      </c>
      <c r="AO2601" s="185" t="s">
        <v>5150</v>
      </c>
      <c r="AQ2601" s="55" t="s">
        <v>1097</v>
      </c>
      <c r="AR2601" s="55" t="s">
        <v>1607</v>
      </c>
      <c r="AS2601" s="55" t="s">
        <v>132</v>
      </c>
      <c r="AU2601" s="181" t="s">
        <v>7494</v>
      </c>
      <c r="AV2601" s="185" t="s">
        <v>176</v>
      </c>
      <c r="AX2601" s="185" t="s">
        <v>176</v>
      </c>
      <c r="BK2601" s="55" t="s">
        <v>6333</v>
      </c>
      <c r="BM2601" s="192" t="s">
        <v>160</v>
      </c>
      <c r="BN2601" s="55">
        <v>3</v>
      </c>
      <c r="BO2601" s="55">
        <v>3</v>
      </c>
      <c r="BQ2601" s="55" t="s">
        <v>141</v>
      </c>
      <c r="BS2601" s="55">
        <v>4297</v>
      </c>
      <c r="BT2601" s="55">
        <f>BS2601/146</f>
        <v>29.431506849315067</v>
      </c>
      <c r="CB2601" s="66">
        <v>1638</v>
      </c>
      <c r="CC2601" s="66">
        <v>4000</v>
      </c>
      <c r="CG2601" s="65" t="s">
        <v>2681</v>
      </c>
      <c r="GP2601" s="292" t="s">
        <v>7494</v>
      </c>
    </row>
    <row r="2602" spans="1:283" x14ac:dyDescent="0.25">
      <c r="A2602" s="55">
        <v>2601</v>
      </c>
      <c r="B2602" s="12" t="s">
        <v>7067</v>
      </c>
      <c r="C2602" s="155">
        <v>122</v>
      </c>
      <c r="D2602" s="55" t="s">
        <v>4250</v>
      </c>
      <c r="E2602" s="90" t="s">
        <v>2674</v>
      </c>
      <c r="G2602" s="55" t="s">
        <v>2675</v>
      </c>
      <c r="H2602" s="55">
        <v>2004</v>
      </c>
      <c r="I2602" s="55">
        <v>2002</v>
      </c>
      <c r="J2602" s="55" t="s">
        <v>2619</v>
      </c>
      <c r="K2602" s="55" t="s">
        <v>2676</v>
      </c>
      <c r="L2602" s="55" t="s">
        <v>2750</v>
      </c>
      <c r="M2602" s="90">
        <f>-13-39/60</f>
        <v>-13.65</v>
      </c>
      <c r="N2602" s="90">
        <f>32+34/60</f>
        <v>32.56666666666667</v>
      </c>
      <c r="O2602" s="90">
        <v>1028</v>
      </c>
      <c r="Q2602" s="55">
        <f>(25+16)/2</f>
        <v>20.5</v>
      </c>
      <c r="S2602" s="90">
        <v>960</v>
      </c>
      <c r="U2602" s="55" t="s">
        <v>1682</v>
      </c>
      <c r="V2602" s="55" t="s">
        <v>1682</v>
      </c>
      <c r="Y2602" s="55" t="s">
        <v>1947</v>
      </c>
      <c r="Z2602" s="55" t="s">
        <v>1346</v>
      </c>
      <c r="AA2602" s="90" t="s">
        <v>1675</v>
      </c>
      <c r="AE2602" s="90">
        <v>58</v>
      </c>
      <c r="AF2602" s="90">
        <v>17</v>
      </c>
      <c r="AH2602" s="55" t="s">
        <v>238</v>
      </c>
      <c r="AJ2602" s="90">
        <v>1</v>
      </c>
      <c r="AM2602" s="55" t="s">
        <v>2677</v>
      </c>
      <c r="AN2602" s="185" t="s">
        <v>2685</v>
      </c>
      <c r="AO2602" s="185" t="s">
        <v>5150</v>
      </c>
      <c r="AQ2602" s="55" t="s">
        <v>1097</v>
      </c>
      <c r="AR2602" s="55" t="s">
        <v>1607</v>
      </c>
      <c r="AS2602" s="55" t="s">
        <v>132</v>
      </c>
      <c r="AU2602" s="181" t="s">
        <v>7494</v>
      </c>
      <c r="AV2602" s="185" t="s">
        <v>176</v>
      </c>
      <c r="AX2602" s="185" t="s">
        <v>176</v>
      </c>
      <c r="BK2602" s="55" t="s">
        <v>6333</v>
      </c>
      <c r="BM2602" s="192" t="s">
        <v>160</v>
      </c>
      <c r="BN2602" s="55">
        <v>3</v>
      </c>
      <c r="BO2602" s="55">
        <v>3</v>
      </c>
      <c r="BQ2602" s="55" t="s">
        <v>141</v>
      </c>
      <c r="BS2602" s="55">
        <v>3371</v>
      </c>
      <c r="BT2602" s="55">
        <f>BS2602/116</f>
        <v>29.060344827586206</v>
      </c>
      <c r="CB2602" s="66">
        <v>1638</v>
      </c>
      <c r="CC2602" s="66">
        <v>3594</v>
      </c>
      <c r="CG2602" s="65" t="s">
        <v>2682</v>
      </c>
      <c r="GP2602" s="292" t="s">
        <v>7494</v>
      </c>
    </row>
    <row r="2603" spans="1:283" x14ac:dyDescent="0.25">
      <c r="A2603" s="55">
        <v>2602</v>
      </c>
      <c r="B2603" s="12" t="s">
        <v>7067</v>
      </c>
      <c r="C2603" s="155">
        <v>122</v>
      </c>
      <c r="D2603" s="55" t="s">
        <v>4250</v>
      </c>
      <c r="E2603" s="90" t="s">
        <v>2674</v>
      </c>
      <c r="G2603" s="55" t="s">
        <v>2675</v>
      </c>
      <c r="H2603" s="55">
        <v>2004</v>
      </c>
      <c r="I2603" s="55">
        <v>2002</v>
      </c>
      <c r="J2603" s="55" t="s">
        <v>2619</v>
      </c>
      <c r="K2603" s="55" t="s">
        <v>2676</v>
      </c>
      <c r="L2603" s="55" t="s">
        <v>2750</v>
      </c>
      <c r="M2603" s="90">
        <f>-13-39/60</f>
        <v>-13.65</v>
      </c>
      <c r="N2603" s="90">
        <f>32+34/60</f>
        <v>32.56666666666667</v>
      </c>
      <c r="O2603" s="90">
        <v>1028</v>
      </c>
      <c r="Q2603" s="55">
        <f>(25+16)/2</f>
        <v>20.5</v>
      </c>
      <c r="S2603" s="90">
        <v>960</v>
      </c>
      <c r="U2603" s="55" t="s">
        <v>1682</v>
      </c>
      <c r="V2603" s="55" t="s">
        <v>1682</v>
      </c>
      <c r="Y2603" s="55" t="s">
        <v>1947</v>
      </c>
      <c r="Z2603" s="55" t="s">
        <v>1346</v>
      </c>
      <c r="AA2603" s="90" t="s">
        <v>1675</v>
      </c>
      <c r="AE2603" s="90">
        <v>58</v>
      </c>
      <c r="AF2603" s="90">
        <v>17</v>
      </c>
      <c r="AH2603" s="55" t="s">
        <v>238</v>
      </c>
      <c r="AJ2603" s="90">
        <v>1</v>
      </c>
      <c r="AM2603" s="55" t="s">
        <v>2677</v>
      </c>
      <c r="AN2603" s="185" t="s">
        <v>2685</v>
      </c>
      <c r="AO2603" s="185" t="s">
        <v>5150</v>
      </c>
      <c r="AQ2603" s="55" t="s">
        <v>1097</v>
      </c>
      <c r="AR2603" s="55" t="s">
        <v>1607</v>
      </c>
      <c r="AS2603" s="55" t="s">
        <v>132</v>
      </c>
      <c r="AU2603" s="181" t="s">
        <v>7494</v>
      </c>
      <c r="AV2603" s="185" t="s">
        <v>176</v>
      </c>
      <c r="AX2603" s="185" t="s">
        <v>176</v>
      </c>
      <c r="BK2603" s="55" t="s">
        <v>6333</v>
      </c>
      <c r="BM2603" s="192" t="s">
        <v>160</v>
      </c>
      <c r="BN2603" s="55">
        <v>3</v>
      </c>
      <c r="BO2603" s="55">
        <v>3</v>
      </c>
      <c r="BQ2603" s="55" t="s">
        <v>141</v>
      </c>
      <c r="BS2603" s="55">
        <v>1764</v>
      </c>
      <c r="BT2603" s="55">
        <f>BS2603/61</f>
        <v>28.918032786885245</v>
      </c>
      <c r="CB2603" s="66">
        <v>1638</v>
      </c>
      <c r="CC2603" s="66">
        <v>2817</v>
      </c>
      <c r="CG2603" s="65" t="s">
        <v>2683</v>
      </c>
      <c r="GP2603" s="292" t="s">
        <v>7494</v>
      </c>
    </row>
    <row r="2604" spans="1:283" x14ac:dyDescent="0.25">
      <c r="A2604" s="55">
        <v>2603</v>
      </c>
      <c r="B2604" s="12" t="s">
        <v>7067</v>
      </c>
      <c r="C2604" s="155">
        <v>122</v>
      </c>
      <c r="D2604" s="55" t="s">
        <v>4250</v>
      </c>
      <c r="E2604" s="90" t="s">
        <v>2674</v>
      </c>
      <c r="G2604" s="55" t="s">
        <v>2675</v>
      </c>
      <c r="H2604" s="55">
        <v>2004</v>
      </c>
      <c r="I2604" s="55">
        <v>2002</v>
      </c>
      <c r="J2604" s="55" t="s">
        <v>2619</v>
      </c>
      <c r="K2604" s="55" t="s">
        <v>2676</v>
      </c>
      <c r="L2604" s="55" t="s">
        <v>2750</v>
      </c>
      <c r="M2604" s="90">
        <f>-13-39/60</f>
        <v>-13.65</v>
      </c>
      <c r="N2604" s="90">
        <f>32+34/60</f>
        <v>32.56666666666667</v>
      </c>
      <c r="O2604" s="90">
        <v>1028</v>
      </c>
      <c r="Q2604" s="55">
        <f>(25+16)/2</f>
        <v>20.5</v>
      </c>
      <c r="S2604" s="90">
        <v>960</v>
      </c>
      <c r="U2604" s="55" t="s">
        <v>1682</v>
      </c>
      <c r="V2604" s="55" t="s">
        <v>1682</v>
      </c>
      <c r="Y2604" s="55" t="s">
        <v>1947</v>
      </c>
      <c r="Z2604" s="55" t="s">
        <v>1346</v>
      </c>
      <c r="AA2604" s="90" t="s">
        <v>1675</v>
      </c>
      <c r="AE2604" s="90">
        <v>58</v>
      </c>
      <c r="AF2604" s="90">
        <v>17</v>
      </c>
      <c r="AH2604" s="55" t="s">
        <v>238</v>
      </c>
      <c r="AJ2604" s="90">
        <v>1</v>
      </c>
      <c r="AM2604" s="55" t="s">
        <v>2677</v>
      </c>
      <c r="AN2604" s="185" t="s">
        <v>2685</v>
      </c>
      <c r="AO2604" s="185" t="s">
        <v>5150</v>
      </c>
      <c r="AQ2604" s="55" t="s">
        <v>1097</v>
      </c>
      <c r="AR2604" s="55" t="s">
        <v>1607</v>
      </c>
      <c r="AS2604" s="55" t="s">
        <v>132</v>
      </c>
      <c r="AU2604" s="181" t="s">
        <v>7494</v>
      </c>
      <c r="AV2604" s="185" t="s">
        <v>176</v>
      </c>
      <c r="AX2604" s="185" t="s">
        <v>176</v>
      </c>
      <c r="BK2604" s="55" t="s">
        <v>6333</v>
      </c>
      <c r="BM2604" s="192" t="s">
        <v>160</v>
      </c>
      <c r="BN2604" s="55">
        <v>3</v>
      </c>
      <c r="BO2604" s="55">
        <v>3</v>
      </c>
      <c r="BQ2604" s="55" t="s">
        <v>141</v>
      </c>
      <c r="CB2604" s="66">
        <v>1638</v>
      </c>
      <c r="CC2604" s="66">
        <v>1604</v>
      </c>
      <c r="CG2604" s="65" t="s">
        <v>2684</v>
      </c>
      <c r="GP2604" s="292" t="s">
        <v>7494</v>
      </c>
    </row>
    <row r="2605" spans="1:283" x14ac:dyDescent="0.25">
      <c r="A2605" s="55">
        <v>2604</v>
      </c>
      <c r="B2605" s="12" t="s">
        <v>7067</v>
      </c>
      <c r="C2605" s="155">
        <v>123</v>
      </c>
      <c r="D2605" s="55" t="s">
        <v>4251</v>
      </c>
      <c r="E2605" s="90" t="s">
        <v>2687</v>
      </c>
      <c r="G2605" s="55" t="s">
        <v>2686</v>
      </c>
      <c r="H2605" s="55">
        <v>2003</v>
      </c>
      <c r="I2605" s="55">
        <v>2000</v>
      </c>
      <c r="J2605" s="55" t="s">
        <v>2688</v>
      </c>
      <c r="K2605" s="55" t="s">
        <v>2689</v>
      </c>
      <c r="L2605" s="55" t="s">
        <v>2750</v>
      </c>
      <c r="M2605" s="90">
        <f>-14-15/60</f>
        <v>-14.25</v>
      </c>
      <c r="N2605" s="90">
        <v>32</v>
      </c>
      <c r="O2605" s="90">
        <v>988</v>
      </c>
      <c r="S2605" s="90">
        <v>850</v>
      </c>
      <c r="U2605" s="55" t="s">
        <v>1816</v>
      </c>
      <c r="V2605" s="55" t="s">
        <v>1801</v>
      </c>
      <c r="Y2605" s="55" t="s">
        <v>2690</v>
      </c>
      <c r="Z2605" s="55" t="s">
        <v>1346</v>
      </c>
      <c r="AA2605" s="90" t="s">
        <v>1675</v>
      </c>
      <c r="AE2605" s="90">
        <v>44</v>
      </c>
      <c r="AF2605" s="90">
        <f>100-44-50</f>
        <v>6</v>
      </c>
      <c r="AH2605" s="55" t="s">
        <v>769</v>
      </c>
      <c r="AI2605" s="168">
        <v>5.6</v>
      </c>
      <c r="AJ2605" s="90">
        <v>0.9</v>
      </c>
      <c r="AM2605" s="55" t="s">
        <v>2691</v>
      </c>
      <c r="AN2605" s="185" t="s">
        <v>2692</v>
      </c>
      <c r="AO2605" s="185" t="s">
        <v>5150</v>
      </c>
      <c r="AQ2605" s="55" t="s">
        <v>553</v>
      </c>
      <c r="AR2605" s="55" t="s">
        <v>1565</v>
      </c>
      <c r="AS2605" s="55" t="s">
        <v>5133</v>
      </c>
      <c r="AU2605" s="181" t="s">
        <v>7494</v>
      </c>
      <c r="AV2605" s="185" t="s">
        <v>176</v>
      </c>
      <c r="AX2605" s="185" t="s">
        <v>176</v>
      </c>
      <c r="BE2605" s="226" t="s">
        <v>2700</v>
      </c>
      <c r="BG2605" s="191" t="s">
        <v>176</v>
      </c>
      <c r="BH2605" s="226" t="s">
        <v>2701</v>
      </c>
      <c r="BI2605" s="191" t="s">
        <v>479</v>
      </c>
      <c r="BK2605" s="55" t="s">
        <v>6333</v>
      </c>
      <c r="BM2605" s="192" t="s">
        <v>2702</v>
      </c>
      <c r="BN2605" s="55">
        <v>3</v>
      </c>
      <c r="BO2605" s="55">
        <v>3</v>
      </c>
      <c r="BQ2605" s="55" t="s">
        <v>141</v>
      </c>
      <c r="CB2605" s="66">
        <v>600</v>
      </c>
      <c r="CC2605" s="66">
        <v>1800</v>
      </c>
      <c r="CG2605" s="65" t="s">
        <v>2703</v>
      </c>
      <c r="DB2605" s="65">
        <v>8.8000000000000007</v>
      </c>
      <c r="DC2605" s="65">
        <v>12.8</v>
      </c>
      <c r="DF2605" s="65" t="s">
        <v>2698</v>
      </c>
      <c r="EU2605" s="65">
        <f>AVERAGE(EU2633,EU2640,EU2647,EU2654)</f>
        <v>2.3250000000000002</v>
      </c>
      <c r="EV2605" s="65">
        <f>AVERAGE(EV2633,EV2640,EV2647,EV2654)</f>
        <v>1.85</v>
      </c>
      <c r="EZ2605" s="65">
        <v>5.9</v>
      </c>
      <c r="FA2605" s="65">
        <v>9.5</v>
      </c>
      <c r="FD2605" s="65" t="s">
        <v>902</v>
      </c>
      <c r="GP2605" s="292" t="s">
        <v>7494</v>
      </c>
    </row>
    <row r="2606" spans="1:283" x14ac:dyDescent="0.25">
      <c r="A2606" s="55">
        <v>2605</v>
      </c>
      <c r="B2606" s="12" t="s">
        <v>7067</v>
      </c>
      <c r="C2606" s="155">
        <v>123</v>
      </c>
      <c r="D2606" s="55" t="s">
        <v>4251</v>
      </c>
      <c r="E2606" s="90" t="s">
        <v>2687</v>
      </c>
      <c r="G2606" s="55" t="s">
        <v>2686</v>
      </c>
      <c r="H2606" s="55">
        <v>2003</v>
      </c>
      <c r="I2606" s="55">
        <v>2000</v>
      </c>
      <c r="J2606" s="55" t="s">
        <v>2688</v>
      </c>
      <c r="K2606" s="55" t="s">
        <v>2689</v>
      </c>
      <c r="L2606" s="55" t="s">
        <v>2750</v>
      </c>
      <c r="M2606" s="90">
        <f>-14-15/60</f>
        <v>-14.25</v>
      </c>
      <c r="N2606" s="90">
        <v>32</v>
      </c>
      <c r="O2606" s="90">
        <v>988</v>
      </c>
      <c r="S2606" s="90">
        <v>850</v>
      </c>
      <c r="U2606" s="55" t="s">
        <v>1816</v>
      </c>
      <c r="V2606" s="55" t="s">
        <v>1801</v>
      </c>
      <c r="Y2606" s="55" t="s">
        <v>2690</v>
      </c>
      <c r="Z2606" s="55" t="s">
        <v>1346</v>
      </c>
      <c r="AA2606" s="90" t="s">
        <v>1675</v>
      </c>
      <c r="AE2606" s="90">
        <v>44</v>
      </c>
      <c r="AF2606" s="90">
        <f>100-44-50</f>
        <v>6</v>
      </c>
      <c r="AH2606" s="55" t="s">
        <v>769</v>
      </c>
      <c r="AI2606" s="168">
        <v>5.6</v>
      </c>
      <c r="AJ2606" s="90">
        <v>0.9</v>
      </c>
      <c r="AM2606" s="55" t="s">
        <v>2691</v>
      </c>
      <c r="AN2606" s="185" t="s">
        <v>2620</v>
      </c>
      <c r="AO2606" s="185" t="s">
        <v>5150</v>
      </c>
      <c r="AQ2606" s="55" t="s">
        <v>553</v>
      </c>
      <c r="AR2606" s="55" t="s">
        <v>1565</v>
      </c>
      <c r="AS2606" s="55" t="s">
        <v>5133</v>
      </c>
      <c r="AU2606" s="181" t="s">
        <v>7494</v>
      </c>
      <c r="AV2606" s="185" t="s">
        <v>176</v>
      </c>
      <c r="AX2606" s="185" t="s">
        <v>176</v>
      </c>
      <c r="BE2606" s="226" t="s">
        <v>2700</v>
      </c>
      <c r="BG2606" s="191" t="s">
        <v>176</v>
      </c>
      <c r="BH2606" s="226" t="s">
        <v>2701</v>
      </c>
      <c r="BI2606" s="191" t="s">
        <v>479</v>
      </c>
      <c r="BK2606" s="55" t="s">
        <v>6333</v>
      </c>
      <c r="BM2606" s="192" t="s">
        <v>2702</v>
      </c>
      <c r="BN2606" s="55">
        <v>3</v>
      </c>
      <c r="BO2606" s="55">
        <v>3</v>
      </c>
      <c r="BQ2606" s="55" t="s">
        <v>141</v>
      </c>
      <c r="BS2606" s="55">
        <v>2200</v>
      </c>
      <c r="BT2606" s="55">
        <f>BS2606/72.1</f>
        <v>30.513176144244106</v>
      </c>
      <c r="CB2606" s="66">
        <v>600</v>
      </c>
      <c r="CC2606" s="66">
        <v>1300</v>
      </c>
      <c r="CG2606" s="65" t="s">
        <v>2703</v>
      </c>
      <c r="DB2606" s="65">
        <v>8.8000000000000007</v>
      </c>
      <c r="DC2606" s="65">
        <v>14</v>
      </c>
      <c r="DF2606" s="65" t="s">
        <v>2698</v>
      </c>
      <c r="EU2606" s="65">
        <f>AVERAGE(EU2634,EU2641,EU2648,EU2655)</f>
        <v>2.3250000000000002</v>
      </c>
      <c r="EV2606" s="65">
        <f>AVERAGE(EV2634,EV2641,EV2648,EV2655)</f>
        <v>1.7</v>
      </c>
      <c r="EZ2606" s="65">
        <v>5.9</v>
      </c>
      <c r="FA2606" s="65">
        <v>4.4000000000000004</v>
      </c>
      <c r="FD2606" s="65" t="s">
        <v>902</v>
      </c>
      <c r="GP2606" s="292" t="s">
        <v>7494</v>
      </c>
    </row>
    <row r="2607" spans="1:283" x14ac:dyDescent="0.25">
      <c r="A2607" s="55">
        <v>2606</v>
      </c>
      <c r="B2607" s="12" t="s">
        <v>7067</v>
      </c>
      <c r="C2607" s="155">
        <v>123</v>
      </c>
      <c r="D2607" s="55" t="s">
        <v>4251</v>
      </c>
      <c r="E2607" s="90" t="s">
        <v>2687</v>
      </c>
      <c r="G2607" s="55" t="s">
        <v>2686</v>
      </c>
      <c r="H2607" s="55">
        <v>2003</v>
      </c>
      <c r="I2607" s="55">
        <v>2000</v>
      </c>
      <c r="J2607" s="55" t="s">
        <v>2688</v>
      </c>
      <c r="K2607" s="55" t="s">
        <v>2689</v>
      </c>
      <c r="L2607" s="55" t="s">
        <v>2750</v>
      </c>
      <c r="M2607" s="90">
        <f>-14-15/60</f>
        <v>-14.25</v>
      </c>
      <c r="N2607" s="90">
        <v>32</v>
      </c>
      <c r="O2607" s="90">
        <v>988</v>
      </c>
      <c r="S2607" s="90">
        <v>850</v>
      </c>
      <c r="U2607" s="55" t="s">
        <v>1816</v>
      </c>
      <c r="V2607" s="55" t="s">
        <v>1801</v>
      </c>
      <c r="Y2607" s="55" t="s">
        <v>2690</v>
      </c>
      <c r="Z2607" s="55" t="s">
        <v>1346</v>
      </c>
      <c r="AA2607" s="90" t="s">
        <v>1675</v>
      </c>
      <c r="AE2607" s="90">
        <v>44</v>
      </c>
      <c r="AF2607" s="90">
        <f>100-44-50</f>
        <v>6</v>
      </c>
      <c r="AH2607" s="55" t="s">
        <v>769</v>
      </c>
      <c r="AI2607" s="168">
        <v>5.6</v>
      </c>
      <c r="AJ2607" s="90">
        <v>0.9</v>
      </c>
      <c r="AM2607" s="55" t="s">
        <v>2691</v>
      </c>
      <c r="AN2607" s="185" t="s">
        <v>2693</v>
      </c>
      <c r="AO2607" s="185" t="s">
        <v>5150</v>
      </c>
      <c r="AQ2607" s="55" t="s">
        <v>553</v>
      </c>
      <c r="AR2607" s="55" t="s">
        <v>1565</v>
      </c>
      <c r="AS2607" s="55" t="s">
        <v>5133</v>
      </c>
      <c r="AU2607" s="181" t="s">
        <v>7494</v>
      </c>
      <c r="AV2607" s="185" t="s">
        <v>176</v>
      </c>
      <c r="AX2607" s="185" t="s">
        <v>176</v>
      </c>
      <c r="BE2607" s="226" t="s">
        <v>2700</v>
      </c>
      <c r="BG2607" s="191" t="s">
        <v>176</v>
      </c>
      <c r="BH2607" s="226" t="s">
        <v>2701</v>
      </c>
      <c r="BI2607" s="191" t="s">
        <v>479</v>
      </c>
      <c r="BK2607" s="55" t="s">
        <v>6333</v>
      </c>
      <c r="BM2607" s="192" t="s">
        <v>2702</v>
      </c>
      <c r="BN2607" s="55">
        <v>3</v>
      </c>
      <c r="BO2607" s="55">
        <v>3</v>
      </c>
      <c r="BQ2607" s="55" t="s">
        <v>141</v>
      </c>
      <c r="BS2607" s="55">
        <v>800</v>
      </c>
      <c r="BT2607" s="55">
        <f>BS2607/28.9</f>
        <v>27.681660899653981</v>
      </c>
      <c r="CB2607" s="66">
        <v>600</v>
      </c>
      <c r="CC2607" s="66">
        <v>1000</v>
      </c>
      <c r="CG2607" s="65" t="s">
        <v>2703</v>
      </c>
      <c r="DB2607" s="65">
        <v>8.8000000000000007</v>
      </c>
      <c r="DC2607" s="65">
        <v>8.1</v>
      </c>
      <c r="DF2607" s="65" t="s">
        <v>2698</v>
      </c>
      <c r="EU2607" s="65">
        <f>AVERAGE(EU2635,EU2642,EU2649,EU2656)</f>
        <v>2.3250000000000002</v>
      </c>
      <c r="EV2607" s="65">
        <f>AVERAGE(EV2635,EV2642,EV2649,EV2656)</f>
        <v>2</v>
      </c>
      <c r="EZ2607" s="65">
        <v>5.9</v>
      </c>
      <c r="FA2607" s="65">
        <v>3.7</v>
      </c>
      <c r="FD2607" s="65" t="s">
        <v>902</v>
      </c>
      <c r="GP2607" s="292" t="s">
        <v>7494</v>
      </c>
    </row>
    <row r="2608" spans="1:283" x14ac:dyDescent="0.25">
      <c r="A2608" s="55">
        <v>2607</v>
      </c>
      <c r="B2608" s="12" t="s">
        <v>7067</v>
      </c>
      <c r="C2608" s="155">
        <v>123</v>
      </c>
      <c r="D2608" s="55" t="s">
        <v>4251</v>
      </c>
      <c r="E2608" s="90" t="s">
        <v>2687</v>
      </c>
      <c r="G2608" s="55" t="s">
        <v>2686</v>
      </c>
      <c r="H2608" s="55">
        <v>2003</v>
      </c>
      <c r="I2608" s="55">
        <v>2000</v>
      </c>
      <c r="J2608" s="55" t="s">
        <v>2688</v>
      </c>
      <c r="K2608" s="55" t="s">
        <v>2689</v>
      </c>
      <c r="L2608" s="55" t="s">
        <v>2750</v>
      </c>
      <c r="M2608" s="90">
        <f>-14-15/60</f>
        <v>-14.25</v>
      </c>
      <c r="N2608" s="90">
        <v>32</v>
      </c>
      <c r="O2608" s="90">
        <v>988</v>
      </c>
      <c r="S2608" s="90">
        <v>850</v>
      </c>
      <c r="U2608" s="55" t="s">
        <v>1816</v>
      </c>
      <c r="V2608" s="55" t="s">
        <v>1801</v>
      </c>
      <c r="Y2608" s="55" t="s">
        <v>2690</v>
      </c>
      <c r="Z2608" s="55" t="s">
        <v>1346</v>
      </c>
      <c r="AA2608" s="90" t="s">
        <v>1675</v>
      </c>
      <c r="AE2608" s="90">
        <v>44</v>
      </c>
      <c r="AF2608" s="90">
        <f>100-44-50</f>
        <v>6</v>
      </c>
      <c r="AH2608" s="55" t="s">
        <v>769</v>
      </c>
      <c r="AI2608" s="168">
        <v>5.6</v>
      </c>
      <c r="AJ2608" s="90">
        <v>0.9</v>
      </c>
      <c r="AM2608" s="55" t="s">
        <v>2691</v>
      </c>
      <c r="AN2608" s="185" t="s">
        <v>2696</v>
      </c>
      <c r="AO2608" s="185" t="s">
        <v>5150</v>
      </c>
      <c r="AQ2608" s="55" t="s">
        <v>553</v>
      </c>
      <c r="AR2608" s="55" t="s">
        <v>1565</v>
      </c>
      <c r="AS2608" s="55" t="s">
        <v>5133</v>
      </c>
      <c r="AU2608" s="181" t="s">
        <v>7494</v>
      </c>
      <c r="AV2608" s="185" t="s">
        <v>176</v>
      </c>
      <c r="AX2608" s="185" t="s">
        <v>176</v>
      </c>
      <c r="BE2608" s="226" t="s">
        <v>2700</v>
      </c>
      <c r="BG2608" s="191" t="s">
        <v>176</v>
      </c>
      <c r="BH2608" s="226" t="s">
        <v>2701</v>
      </c>
      <c r="BI2608" s="191" t="s">
        <v>479</v>
      </c>
      <c r="BK2608" s="55" t="s">
        <v>6333</v>
      </c>
      <c r="BM2608" s="192" t="s">
        <v>2702</v>
      </c>
      <c r="BN2608" s="55">
        <v>3</v>
      </c>
      <c r="BO2608" s="55">
        <v>3</v>
      </c>
      <c r="BQ2608" s="55" t="s">
        <v>141</v>
      </c>
      <c r="BS2608" s="55">
        <v>1700</v>
      </c>
      <c r="BT2608" s="55">
        <f>BS2608/52.8</f>
        <v>32.196969696969695</v>
      </c>
      <c r="CB2608" s="66">
        <v>600</v>
      </c>
      <c r="CC2608" s="66">
        <v>800</v>
      </c>
      <c r="CG2608" s="65" t="s">
        <v>2703</v>
      </c>
      <c r="DB2608" s="65">
        <v>8.8000000000000007</v>
      </c>
      <c r="DC2608" s="65">
        <v>7.1</v>
      </c>
      <c r="DF2608" s="65" t="s">
        <v>2698</v>
      </c>
      <c r="EU2608" s="65">
        <f>AVERAGE(EU2636,EU2643,EU2650,EU2657)</f>
        <v>2.3250000000000002</v>
      </c>
      <c r="EV2608" s="65">
        <f>AVERAGE(EV2636,EV2643,EV2650,EV2657)</f>
        <v>2.15</v>
      </c>
      <c r="EZ2608" s="65">
        <v>5.9</v>
      </c>
      <c r="FA2608" s="65">
        <v>5.5</v>
      </c>
      <c r="FD2608" s="65" t="s">
        <v>902</v>
      </c>
      <c r="GP2608" s="292" t="s">
        <v>7494</v>
      </c>
    </row>
    <row r="2609" spans="1:198" x14ac:dyDescent="0.25">
      <c r="A2609" s="55">
        <v>2608</v>
      </c>
      <c r="B2609" s="12" t="s">
        <v>7067</v>
      </c>
      <c r="C2609" s="155">
        <v>123</v>
      </c>
      <c r="D2609" s="55" t="s">
        <v>4252</v>
      </c>
      <c r="E2609" s="90" t="s">
        <v>2687</v>
      </c>
      <c r="G2609" s="55" t="s">
        <v>2686</v>
      </c>
      <c r="H2609" s="55">
        <v>2003</v>
      </c>
      <c r="I2609" s="55">
        <v>2000</v>
      </c>
      <c r="J2609" s="55" t="s">
        <v>2688</v>
      </c>
      <c r="K2609" s="55" t="s">
        <v>2689</v>
      </c>
      <c r="L2609" s="55" t="s">
        <v>2750</v>
      </c>
      <c r="M2609" s="90">
        <f>-14-15/60</f>
        <v>-14.25</v>
      </c>
      <c r="N2609" s="90">
        <v>32</v>
      </c>
      <c r="O2609" s="90">
        <v>988</v>
      </c>
      <c r="S2609" s="90">
        <v>850</v>
      </c>
      <c r="U2609" s="55" t="s">
        <v>1816</v>
      </c>
      <c r="V2609" s="55" t="s">
        <v>1801</v>
      </c>
      <c r="Y2609" s="55" t="s">
        <v>2690</v>
      </c>
      <c r="Z2609" s="55" t="s">
        <v>1346</v>
      </c>
      <c r="AA2609" s="90" t="s">
        <v>1675</v>
      </c>
      <c r="AE2609" s="90">
        <v>44</v>
      </c>
      <c r="AF2609" s="90">
        <f>100-44-50</f>
        <v>6</v>
      </c>
      <c r="AH2609" s="55" t="s">
        <v>769</v>
      </c>
      <c r="AI2609" s="168">
        <v>5.6</v>
      </c>
      <c r="AJ2609" s="90">
        <v>0.9</v>
      </c>
      <c r="AM2609" s="55" t="s">
        <v>2691</v>
      </c>
      <c r="AN2609" s="185" t="s">
        <v>2694</v>
      </c>
      <c r="AO2609" s="185" t="s">
        <v>5150</v>
      </c>
      <c r="AQ2609" s="55" t="s">
        <v>1547</v>
      </c>
      <c r="AR2609" s="55" t="s">
        <v>1565</v>
      </c>
      <c r="AS2609" s="55" t="s">
        <v>5133</v>
      </c>
      <c r="AU2609" s="181" t="s">
        <v>7494</v>
      </c>
      <c r="AV2609" s="185" t="s">
        <v>176</v>
      </c>
      <c r="AX2609" s="185" t="s">
        <v>176</v>
      </c>
      <c r="BE2609" s="226" t="s">
        <v>2700</v>
      </c>
      <c r="BG2609" s="191" t="s">
        <v>176</v>
      </c>
      <c r="BH2609" s="226" t="s">
        <v>2701</v>
      </c>
      <c r="BI2609" s="191" t="s">
        <v>479</v>
      </c>
      <c r="BK2609" s="55" t="s">
        <v>6333</v>
      </c>
      <c r="BM2609" s="192" t="s">
        <v>2702</v>
      </c>
      <c r="BN2609" s="55">
        <v>3</v>
      </c>
      <c r="BO2609" s="55">
        <v>3</v>
      </c>
      <c r="BQ2609" s="55" t="s">
        <v>141</v>
      </c>
      <c r="BS2609" s="55">
        <v>3900</v>
      </c>
      <c r="BT2609" s="55">
        <f>BS2609/125.1</f>
        <v>31.175059952038371</v>
      </c>
      <c r="CB2609" s="66">
        <v>600</v>
      </c>
      <c r="CC2609" s="66">
        <v>2400</v>
      </c>
      <c r="CG2609" s="65" t="s">
        <v>2703</v>
      </c>
      <c r="DB2609" s="65">
        <v>8.8000000000000007</v>
      </c>
      <c r="DC2609" s="65">
        <v>11.7</v>
      </c>
      <c r="DF2609" s="65" t="s">
        <v>2698</v>
      </c>
      <c r="EU2609" s="65">
        <f>AVERAGE(EU2637,EU2644,EU2651,EU2658)</f>
        <v>2.3250000000000002</v>
      </c>
      <c r="EV2609" s="65">
        <f>AVERAGE(EV2637,EV2644,EV2651,EV2658)</f>
        <v>1.5249999999999999</v>
      </c>
      <c r="EZ2609" s="65">
        <v>5.9</v>
      </c>
      <c r="FA2609" s="65">
        <v>7.1</v>
      </c>
      <c r="FD2609" s="65" t="s">
        <v>902</v>
      </c>
      <c r="GP2609" s="292" t="s">
        <v>7494</v>
      </c>
    </row>
    <row r="2610" spans="1:198" x14ac:dyDescent="0.25">
      <c r="A2610" s="55">
        <v>2609</v>
      </c>
      <c r="B2610" s="12" t="s">
        <v>7067</v>
      </c>
      <c r="C2610" s="155">
        <v>123</v>
      </c>
      <c r="D2610" s="55" t="s">
        <v>4252</v>
      </c>
      <c r="E2610" s="90" t="s">
        <v>2687</v>
      </c>
      <c r="G2610" s="55" t="s">
        <v>2686</v>
      </c>
      <c r="H2610" s="55">
        <v>2003</v>
      </c>
      <c r="I2610" s="55">
        <v>2000</v>
      </c>
      <c r="J2610" s="55" t="s">
        <v>2688</v>
      </c>
      <c r="K2610" s="55" t="s">
        <v>2689</v>
      </c>
      <c r="L2610" s="55" t="s">
        <v>2750</v>
      </c>
      <c r="M2610" s="90">
        <f>-14-15/60</f>
        <v>-14.25</v>
      </c>
      <c r="N2610" s="90">
        <v>32</v>
      </c>
      <c r="O2610" s="90">
        <v>988</v>
      </c>
      <c r="S2610" s="90">
        <v>850</v>
      </c>
      <c r="U2610" s="55" t="s">
        <v>1816</v>
      </c>
      <c r="V2610" s="55" t="s">
        <v>1801</v>
      </c>
      <c r="Y2610" s="55" t="s">
        <v>2690</v>
      </c>
      <c r="Z2610" s="55" t="s">
        <v>1346</v>
      </c>
      <c r="AA2610" s="90" t="s">
        <v>1675</v>
      </c>
      <c r="AE2610" s="90">
        <v>44</v>
      </c>
      <c r="AF2610" s="90">
        <f>100-44-50</f>
        <v>6</v>
      </c>
      <c r="AH2610" s="55" t="s">
        <v>769</v>
      </c>
      <c r="AI2610" s="168">
        <v>5.6</v>
      </c>
      <c r="AJ2610" s="90">
        <v>0.9</v>
      </c>
      <c r="AM2610" s="55" t="s">
        <v>2691</v>
      </c>
      <c r="AN2610" s="185" t="s">
        <v>2695</v>
      </c>
      <c r="AO2610" s="185" t="s">
        <v>5150</v>
      </c>
      <c r="AQ2610" s="55" t="s">
        <v>1547</v>
      </c>
      <c r="AR2610" s="55" t="s">
        <v>1565</v>
      </c>
      <c r="AS2610" s="55" t="s">
        <v>5133</v>
      </c>
      <c r="AU2610" s="181" t="s">
        <v>7494</v>
      </c>
      <c r="AV2610" s="185" t="s">
        <v>176</v>
      </c>
      <c r="AX2610" s="185" t="s">
        <v>176</v>
      </c>
      <c r="BE2610" s="226" t="s">
        <v>2700</v>
      </c>
      <c r="BG2610" s="191" t="s">
        <v>176</v>
      </c>
      <c r="BH2610" s="226" t="s">
        <v>2701</v>
      </c>
      <c r="BI2610" s="191" t="s">
        <v>479</v>
      </c>
      <c r="BK2610" s="55" t="s">
        <v>6333</v>
      </c>
      <c r="BM2610" s="192" t="s">
        <v>2702</v>
      </c>
      <c r="BN2610" s="55">
        <v>3</v>
      </c>
      <c r="BO2610" s="55">
        <v>3</v>
      </c>
      <c r="BQ2610" s="55" t="s">
        <v>141</v>
      </c>
      <c r="BS2610" s="55">
        <v>1100</v>
      </c>
      <c r="BT2610" s="55">
        <f>BS2610/37.9</f>
        <v>29.023746701846967</v>
      </c>
      <c r="CB2610" s="66">
        <v>600</v>
      </c>
      <c r="CC2610" s="66">
        <v>1900</v>
      </c>
      <c r="CG2610" s="65" t="s">
        <v>2703</v>
      </c>
      <c r="DB2610" s="65">
        <v>8.8000000000000007</v>
      </c>
      <c r="DC2610" s="65">
        <v>10.9</v>
      </c>
      <c r="DF2610" s="65" t="s">
        <v>2698</v>
      </c>
      <c r="EU2610" s="65">
        <f>AVERAGE(EU2638,EU2645,EU2652,EU2659)</f>
        <v>2.3250000000000002</v>
      </c>
      <c r="EV2610" s="65">
        <f>AVERAGE(EV2638,EV2645,EV2652,EV2659)</f>
        <v>1.8</v>
      </c>
      <c r="EZ2610" s="65">
        <v>5.9</v>
      </c>
      <c r="FA2610" s="65">
        <v>11.9</v>
      </c>
      <c r="FD2610" s="65" t="s">
        <v>902</v>
      </c>
      <c r="GP2610" s="292" t="s">
        <v>7494</v>
      </c>
    </row>
    <row r="2611" spans="1:198" x14ac:dyDescent="0.25">
      <c r="A2611" s="55">
        <v>2610</v>
      </c>
      <c r="B2611" s="12" t="s">
        <v>7067</v>
      </c>
      <c r="C2611" s="155">
        <v>123</v>
      </c>
      <c r="D2611" s="55" t="s">
        <v>4252</v>
      </c>
      <c r="E2611" s="90" t="s">
        <v>2687</v>
      </c>
      <c r="G2611" s="55" t="s">
        <v>2686</v>
      </c>
      <c r="H2611" s="55">
        <v>2003</v>
      </c>
      <c r="I2611" s="55">
        <v>2000</v>
      </c>
      <c r="J2611" s="55" t="s">
        <v>2688</v>
      </c>
      <c r="K2611" s="55" t="s">
        <v>2689</v>
      </c>
      <c r="L2611" s="55" t="s">
        <v>2750</v>
      </c>
      <c r="M2611" s="90">
        <f>-14-15/60</f>
        <v>-14.25</v>
      </c>
      <c r="N2611" s="90">
        <v>32</v>
      </c>
      <c r="O2611" s="90">
        <v>988</v>
      </c>
      <c r="S2611" s="90">
        <v>850</v>
      </c>
      <c r="U2611" s="55" t="s">
        <v>1816</v>
      </c>
      <c r="V2611" s="55" t="s">
        <v>1801</v>
      </c>
      <c r="Y2611" s="55" t="s">
        <v>2690</v>
      </c>
      <c r="Z2611" s="55" t="s">
        <v>1346</v>
      </c>
      <c r="AA2611" s="90" t="s">
        <v>1675</v>
      </c>
      <c r="AE2611" s="90">
        <v>44</v>
      </c>
      <c r="AF2611" s="90">
        <f>100-44-50</f>
        <v>6</v>
      </c>
      <c r="AH2611" s="55" t="s">
        <v>769</v>
      </c>
      <c r="AI2611" s="168">
        <v>5.6</v>
      </c>
      <c r="AJ2611" s="90">
        <v>0.9</v>
      </c>
      <c r="AM2611" s="55" t="s">
        <v>2691</v>
      </c>
      <c r="AN2611" s="185" t="s">
        <v>2697</v>
      </c>
      <c r="AO2611" s="185" t="s">
        <v>5150</v>
      </c>
      <c r="AQ2611" s="55" t="s">
        <v>1547</v>
      </c>
      <c r="AR2611" s="55" t="s">
        <v>1565</v>
      </c>
      <c r="AS2611" s="55" t="s">
        <v>5133</v>
      </c>
      <c r="AU2611" s="181" t="s">
        <v>7494</v>
      </c>
      <c r="AV2611" s="185" t="s">
        <v>176</v>
      </c>
      <c r="AX2611" s="185" t="s">
        <v>176</v>
      </c>
      <c r="BE2611" s="226" t="s">
        <v>2700</v>
      </c>
      <c r="BG2611" s="191" t="s">
        <v>176</v>
      </c>
      <c r="BH2611" s="226" t="s">
        <v>2701</v>
      </c>
      <c r="BI2611" s="191" t="s">
        <v>479</v>
      </c>
      <c r="BK2611" s="55" t="s">
        <v>6333</v>
      </c>
      <c r="BM2611" s="192" t="s">
        <v>2702</v>
      </c>
      <c r="BN2611" s="55">
        <v>3</v>
      </c>
      <c r="BO2611" s="55">
        <v>3</v>
      </c>
      <c r="BQ2611" s="55" t="s">
        <v>141</v>
      </c>
      <c r="BS2611" s="55">
        <v>1300</v>
      </c>
      <c r="BT2611" s="55">
        <f>BS2611/41</f>
        <v>31.707317073170731</v>
      </c>
      <c r="CB2611" s="66">
        <v>600</v>
      </c>
      <c r="CC2611" s="66">
        <v>1500</v>
      </c>
      <c r="CG2611" s="65" t="s">
        <v>2703</v>
      </c>
      <c r="DB2611" s="65">
        <v>8.8000000000000007</v>
      </c>
      <c r="DC2611" s="65">
        <v>9.3000000000000007</v>
      </c>
      <c r="DF2611" s="65" t="s">
        <v>2698</v>
      </c>
      <c r="EU2611" s="65">
        <f>AVERAGE(EU2639,EU2646,EU2653,EU2660)</f>
        <v>2.3250000000000002</v>
      </c>
      <c r="EV2611" s="65">
        <f>AVERAGE(EV2639,EV2646,EV2653,EV2660)</f>
        <v>1.925</v>
      </c>
      <c r="EZ2611" s="65">
        <v>5.9</v>
      </c>
      <c r="FA2611" s="65">
        <v>9.4</v>
      </c>
      <c r="FD2611" s="65" t="s">
        <v>902</v>
      </c>
      <c r="GP2611" s="292" t="s">
        <v>7494</v>
      </c>
    </row>
    <row r="2612" spans="1:198" x14ac:dyDescent="0.25">
      <c r="A2612" s="55">
        <v>2611</v>
      </c>
      <c r="B2612" s="12" t="s">
        <v>7067</v>
      </c>
      <c r="C2612" s="155">
        <v>123</v>
      </c>
      <c r="D2612" s="55" t="s">
        <v>4251</v>
      </c>
      <c r="E2612" s="90" t="s">
        <v>2687</v>
      </c>
      <c r="G2612" s="55" t="s">
        <v>2686</v>
      </c>
      <c r="H2612" s="55">
        <v>2003</v>
      </c>
      <c r="I2612" s="55">
        <v>2000</v>
      </c>
      <c r="J2612" s="55" t="s">
        <v>2688</v>
      </c>
      <c r="K2612" s="55" t="s">
        <v>2689</v>
      </c>
      <c r="L2612" s="55" t="s">
        <v>2750</v>
      </c>
      <c r="M2612" s="90">
        <f>-14-15/60</f>
        <v>-14.25</v>
      </c>
      <c r="N2612" s="90">
        <v>32</v>
      </c>
      <c r="O2612" s="90">
        <v>988</v>
      </c>
      <c r="S2612" s="90">
        <v>850</v>
      </c>
      <c r="U2612" s="55" t="s">
        <v>1816</v>
      </c>
      <c r="V2612" s="55" t="s">
        <v>1801</v>
      </c>
      <c r="Y2612" s="55" t="s">
        <v>2690</v>
      </c>
      <c r="Z2612" s="55" t="s">
        <v>1346</v>
      </c>
      <c r="AA2612" s="90" t="s">
        <v>1675</v>
      </c>
      <c r="AE2612" s="90">
        <v>44</v>
      </c>
      <c r="AF2612" s="90">
        <f>100-44-50</f>
        <v>6</v>
      </c>
      <c r="AH2612" s="55" t="s">
        <v>769</v>
      </c>
      <c r="AI2612" s="168">
        <v>5.6</v>
      </c>
      <c r="AJ2612" s="90">
        <v>0.9</v>
      </c>
      <c r="AM2612" s="55" t="s">
        <v>2691</v>
      </c>
      <c r="AN2612" s="185" t="s">
        <v>2692</v>
      </c>
      <c r="AO2612" s="185" t="s">
        <v>5150</v>
      </c>
      <c r="AQ2612" s="55" t="s">
        <v>553</v>
      </c>
      <c r="AR2612" s="55" t="s">
        <v>1565</v>
      </c>
      <c r="AS2612" s="55" t="s">
        <v>5133</v>
      </c>
      <c r="AU2612" s="181" t="s">
        <v>7494</v>
      </c>
      <c r="AV2612" s="185" t="s">
        <v>176</v>
      </c>
      <c r="AX2612" s="185" t="s">
        <v>176</v>
      </c>
      <c r="BE2612" s="226" t="s">
        <v>2700</v>
      </c>
      <c r="BG2612" s="191" t="s">
        <v>176</v>
      </c>
      <c r="BH2612" s="226" t="s">
        <v>2701</v>
      </c>
      <c r="BI2612" s="191" t="s">
        <v>479</v>
      </c>
      <c r="BK2612" s="55" t="s">
        <v>6333</v>
      </c>
      <c r="BM2612" s="192" t="s">
        <v>2702</v>
      </c>
      <c r="BN2612" s="55">
        <v>3</v>
      </c>
      <c r="BO2612" s="55">
        <v>3</v>
      </c>
      <c r="BQ2612" s="55" t="s">
        <v>141</v>
      </c>
      <c r="DB2612" s="65">
        <v>6.6</v>
      </c>
      <c r="DC2612" s="65">
        <v>9.6</v>
      </c>
      <c r="DF2612" s="65" t="s">
        <v>2699</v>
      </c>
      <c r="GP2612" s="292" t="s">
        <v>7494</v>
      </c>
    </row>
    <row r="2613" spans="1:198" x14ac:dyDescent="0.25">
      <c r="A2613" s="55">
        <v>2612</v>
      </c>
      <c r="B2613" s="12" t="s">
        <v>7067</v>
      </c>
      <c r="C2613" s="155">
        <v>123</v>
      </c>
      <c r="D2613" s="55" t="s">
        <v>4251</v>
      </c>
      <c r="E2613" s="90" t="s">
        <v>2687</v>
      </c>
      <c r="G2613" s="55" t="s">
        <v>2686</v>
      </c>
      <c r="H2613" s="55">
        <v>2003</v>
      </c>
      <c r="I2613" s="55">
        <v>2000</v>
      </c>
      <c r="J2613" s="55" t="s">
        <v>2688</v>
      </c>
      <c r="K2613" s="55" t="s">
        <v>2689</v>
      </c>
      <c r="L2613" s="55" t="s">
        <v>2750</v>
      </c>
      <c r="M2613" s="90">
        <f>-14-15/60</f>
        <v>-14.25</v>
      </c>
      <c r="N2613" s="90">
        <v>32</v>
      </c>
      <c r="O2613" s="90">
        <v>988</v>
      </c>
      <c r="S2613" s="90">
        <v>850</v>
      </c>
      <c r="U2613" s="55" t="s">
        <v>1816</v>
      </c>
      <c r="V2613" s="55" t="s">
        <v>1801</v>
      </c>
      <c r="Y2613" s="55" t="s">
        <v>2690</v>
      </c>
      <c r="Z2613" s="55" t="s">
        <v>1346</v>
      </c>
      <c r="AA2613" s="90" t="s">
        <v>1675</v>
      </c>
      <c r="AE2613" s="90">
        <v>44</v>
      </c>
      <c r="AF2613" s="90">
        <f>100-44-50</f>
        <v>6</v>
      </c>
      <c r="AH2613" s="55" t="s">
        <v>769</v>
      </c>
      <c r="AI2613" s="168">
        <v>5.6</v>
      </c>
      <c r="AJ2613" s="90">
        <v>0.9</v>
      </c>
      <c r="AM2613" s="55" t="s">
        <v>2691</v>
      </c>
      <c r="AN2613" s="185" t="s">
        <v>2620</v>
      </c>
      <c r="AO2613" s="185" t="s">
        <v>5150</v>
      </c>
      <c r="AQ2613" s="55" t="s">
        <v>553</v>
      </c>
      <c r="AR2613" s="55" t="s">
        <v>1565</v>
      </c>
      <c r="AS2613" s="55" t="s">
        <v>5133</v>
      </c>
      <c r="AU2613" s="181" t="s">
        <v>7494</v>
      </c>
      <c r="AV2613" s="185" t="s">
        <v>176</v>
      </c>
      <c r="AX2613" s="185" t="s">
        <v>176</v>
      </c>
      <c r="BE2613" s="226" t="s">
        <v>2700</v>
      </c>
      <c r="BG2613" s="191" t="s">
        <v>176</v>
      </c>
      <c r="BH2613" s="226" t="s">
        <v>2701</v>
      </c>
      <c r="BI2613" s="191" t="s">
        <v>479</v>
      </c>
      <c r="BK2613" s="55" t="s">
        <v>6333</v>
      </c>
      <c r="BM2613" s="192" t="s">
        <v>2702</v>
      </c>
      <c r="BN2613" s="55">
        <v>3</v>
      </c>
      <c r="BO2613" s="55">
        <v>3</v>
      </c>
      <c r="BQ2613" s="55" t="s">
        <v>141</v>
      </c>
      <c r="DB2613" s="65">
        <v>6.6</v>
      </c>
      <c r="DC2613" s="65">
        <v>21.9</v>
      </c>
      <c r="DF2613" s="65" t="s">
        <v>2699</v>
      </c>
      <c r="GP2613" s="292" t="s">
        <v>7494</v>
      </c>
    </row>
    <row r="2614" spans="1:198" x14ac:dyDescent="0.25">
      <c r="A2614" s="55">
        <v>2613</v>
      </c>
      <c r="B2614" s="12" t="s">
        <v>7067</v>
      </c>
      <c r="C2614" s="155">
        <v>123</v>
      </c>
      <c r="D2614" s="55" t="s">
        <v>4251</v>
      </c>
      <c r="E2614" s="90" t="s">
        <v>2687</v>
      </c>
      <c r="G2614" s="55" t="s">
        <v>2686</v>
      </c>
      <c r="H2614" s="55">
        <v>2003</v>
      </c>
      <c r="I2614" s="55">
        <v>2000</v>
      </c>
      <c r="J2614" s="55" t="s">
        <v>2688</v>
      </c>
      <c r="K2614" s="55" t="s">
        <v>2689</v>
      </c>
      <c r="L2614" s="55" t="s">
        <v>2750</v>
      </c>
      <c r="M2614" s="90">
        <f>-14-15/60</f>
        <v>-14.25</v>
      </c>
      <c r="N2614" s="90">
        <v>32</v>
      </c>
      <c r="O2614" s="90">
        <v>988</v>
      </c>
      <c r="S2614" s="90">
        <v>850</v>
      </c>
      <c r="U2614" s="55" t="s">
        <v>1816</v>
      </c>
      <c r="V2614" s="55" t="s">
        <v>1801</v>
      </c>
      <c r="Y2614" s="55" t="s">
        <v>2690</v>
      </c>
      <c r="Z2614" s="55" t="s">
        <v>1346</v>
      </c>
      <c r="AA2614" s="90" t="s">
        <v>1675</v>
      </c>
      <c r="AE2614" s="90">
        <v>44</v>
      </c>
      <c r="AF2614" s="90">
        <f>100-44-50</f>
        <v>6</v>
      </c>
      <c r="AH2614" s="55" t="s">
        <v>769</v>
      </c>
      <c r="AI2614" s="168">
        <v>5.6</v>
      </c>
      <c r="AJ2614" s="90">
        <v>0.9</v>
      </c>
      <c r="AM2614" s="55" t="s">
        <v>2691</v>
      </c>
      <c r="AN2614" s="185" t="s">
        <v>2693</v>
      </c>
      <c r="AO2614" s="185" t="s">
        <v>5150</v>
      </c>
      <c r="AQ2614" s="55" t="s">
        <v>553</v>
      </c>
      <c r="AR2614" s="55" t="s">
        <v>1565</v>
      </c>
      <c r="AS2614" s="55" t="s">
        <v>5133</v>
      </c>
      <c r="AU2614" s="181" t="s">
        <v>7494</v>
      </c>
      <c r="AV2614" s="185" t="s">
        <v>176</v>
      </c>
      <c r="AX2614" s="185" t="s">
        <v>176</v>
      </c>
      <c r="BE2614" s="226" t="s">
        <v>2700</v>
      </c>
      <c r="BG2614" s="191" t="s">
        <v>176</v>
      </c>
      <c r="BH2614" s="226" t="s">
        <v>2701</v>
      </c>
      <c r="BI2614" s="191" t="s">
        <v>479</v>
      </c>
      <c r="BK2614" s="55" t="s">
        <v>6333</v>
      </c>
      <c r="BM2614" s="192" t="s">
        <v>2702</v>
      </c>
      <c r="BN2614" s="55">
        <v>3</v>
      </c>
      <c r="BO2614" s="55">
        <v>3</v>
      </c>
      <c r="BQ2614" s="55" t="s">
        <v>141</v>
      </c>
      <c r="DB2614" s="65">
        <v>6.6</v>
      </c>
      <c r="DC2614" s="65">
        <v>6.5</v>
      </c>
      <c r="DF2614" s="65" t="s">
        <v>2699</v>
      </c>
      <c r="GP2614" s="292" t="s">
        <v>7494</v>
      </c>
    </row>
    <row r="2615" spans="1:198" x14ac:dyDescent="0.25">
      <c r="A2615" s="55">
        <v>2614</v>
      </c>
      <c r="B2615" s="12" t="s">
        <v>7067</v>
      </c>
      <c r="C2615" s="155">
        <v>123</v>
      </c>
      <c r="D2615" s="55" t="s">
        <v>4251</v>
      </c>
      <c r="E2615" s="90" t="s">
        <v>2687</v>
      </c>
      <c r="G2615" s="55" t="s">
        <v>2686</v>
      </c>
      <c r="H2615" s="55">
        <v>2003</v>
      </c>
      <c r="I2615" s="55">
        <v>2000</v>
      </c>
      <c r="J2615" s="55" t="s">
        <v>2688</v>
      </c>
      <c r="K2615" s="55" t="s">
        <v>2689</v>
      </c>
      <c r="L2615" s="55" t="s">
        <v>2750</v>
      </c>
      <c r="M2615" s="90">
        <f>-14-15/60</f>
        <v>-14.25</v>
      </c>
      <c r="N2615" s="90">
        <v>32</v>
      </c>
      <c r="O2615" s="90">
        <v>988</v>
      </c>
      <c r="S2615" s="90">
        <v>850</v>
      </c>
      <c r="U2615" s="55" t="s">
        <v>1816</v>
      </c>
      <c r="V2615" s="55" t="s">
        <v>1801</v>
      </c>
      <c r="Y2615" s="55" t="s">
        <v>2690</v>
      </c>
      <c r="Z2615" s="55" t="s">
        <v>1346</v>
      </c>
      <c r="AA2615" s="90" t="s">
        <v>1675</v>
      </c>
      <c r="AE2615" s="90">
        <v>44</v>
      </c>
      <c r="AF2615" s="90">
        <f>100-44-50</f>
        <v>6</v>
      </c>
      <c r="AH2615" s="55" t="s">
        <v>769</v>
      </c>
      <c r="AI2615" s="168">
        <v>5.6</v>
      </c>
      <c r="AJ2615" s="90">
        <v>0.9</v>
      </c>
      <c r="AM2615" s="55" t="s">
        <v>2691</v>
      </c>
      <c r="AN2615" s="185" t="s">
        <v>2696</v>
      </c>
      <c r="AO2615" s="185" t="s">
        <v>5150</v>
      </c>
      <c r="AQ2615" s="55" t="s">
        <v>553</v>
      </c>
      <c r="AR2615" s="55" t="s">
        <v>1565</v>
      </c>
      <c r="AS2615" s="55" t="s">
        <v>5133</v>
      </c>
      <c r="AU2615" s="181" t="s">
        <v>7494</v>
      </c>
      <c r="AV2615" s="185" t="s">
        <v>176</v>
      </c>
      <c r="AX2615" s="185" t="s">
        <v>176</v>
      </c>
      <c r="BE2615" s="226" t="s">
        <v>2700</v>
      </c>
      <c r="BG2615" s="191" t="s">
        <v>176</v>
      </c>
      <c r="BH2615" s="226" t="s">
        <v>2701</v>
      </c>
      <c r="BI2615" s="191" t="s">
        <v>479</v>
      </c>
      <c r="BK2615" s="55" t="s">
        <v>6333</v>
      </c>
      <c r="BM2615" s="192" t="s">
        <v>2702</v>
      </c>
      <c r="BN2615" s="55">
        <v>3</v>
      </c>
      <c r="BO2615" s="55">
        <v>3</v>
      </c>
      <c r="BQ2615" s="55" t="s">
        <v>141</v>
      </c>
      <c r="DB2615" s="65">
        <v>6.6</v>
      </c>
      <c r="DC2615" s="65">
        <v>8.1999999999999993</v>
      </c>
      <c r="DF2615" s="65" t="s">
        <v>2699</v>
      </c>
      <c r="GP2615" s="292" t="s">
        <v>7494</v>
      </c>
    </row>
    <row r="2616" spans="1:198" x14ac:dyDescent="0.25">
      <c r="A2616" s="55">
        <v>2615</v>
      </c>
      <c r="B2616" s="12" t="s">
        <v>7067</v>
      </c>
      <c r="C2616" s="155">
        <v>123</v>
      </c>
      <c r="D2616" s="55" t="s">
        <v>4252</v>
      </c>
      <c r="E2616" s="90" t="s">
        <v>2687</v>
      </c>
      <c r="G2616" s="55" t="s">
        <v>2686</v>
      </c>
      <c r="H2616" s="55">
        <v>2003</v>
      </c>
      <c r="I2616" s="55">
        <v>2000</v>
      </c>
      <c r="J2616" s="55" t="s">
        <v>2688</v>
      </c>
      <c r="K2616" s="55" t="s">
        <v>2689</v>
      </c>
      <c r="L2616" s="55" t="s">
        <v>2750</v>
      </c>
      <c r="M2616" s="90">
        <f>-14-15/60</f>
        <v>-14.25</v>
      </c>
      <c r="N2616" s="90">
        <v>32</v>
      </c>
      <c r="O2616" s="90">
        <v>988</v>
      </c>
      <c r="S2616" s="90">
        <v>850</v>
      </c>
      <c r="U2616" s="55" t="s">
        <v>1816</v>
      </c>
      <c r="V2616" s="55" t="s">
        <v>1801</v>
      </c>
      <c r="Y2616" s="55" t="s">
        <v>2690</v>
      </c>
      <c r="Z2616" s="55" t="s">
        <v>1346</v>
      </c>
      <c r="AA2616" s="90" t="s">
        <v>1675</v>
      </c>
      <c r="AE2616" s="90">
        <v>44</v>
      </c>
      <c r="AF2616" s="90">
        <f>100-44-50</f>
        <v>6</v>
      </c>
      <c r="AH2616" s="55" t="s">
        <v>769</v>
      </c>
      <c r="AI2616" s="168">
        <v>5.6</v>
      </c>
      <c r="AJ2616" s="90">
        <v>0.9</v>
      </c>
      <c r="AM2616" s="55" t="s">
        <v>2691</v>
      </c>
      <c r="AN2616" s="185" t="s">
        <v>2694</v>
      </c>
      <c r="AO2616" s="185" t="s">
        <v>5150</v>
      </c>
      <c r="AQ2616" s="55" t="s">
        <v>1547</v>
      </c>
      <c r="AR2616" s="55" t="s">
        <v>1565</v>
      </c>
      <c r="AS2616" s="55" t="s">
        <v>5133</v>
      </c>
      <c r="AU2616" s="181" t="s">
        <v>7494</v>
      </c>
      <c r="AV2616" s="185" t="s">
        <v>176</v>
      </c>
      <c r="AX2616" s="185" t="s">
        <v>176</v>
      </c>
      <c r="BE2616" s="226" t="s">
        <v>2700</v>
      </c>
      <c r="BG2616" s="191" t="s">
        <v>176</v>
      </c>
      <c r="BH2616" s="226" t="s">
        <v>2701</v>
      </c>
      <c r="BI2616" s="191" t="s">
        <v>479</v>
      </c>
      <c r="BK2616" s="55" t="s">
        <v>6333</v>
      </c>
      <c r="BM2616" s="192" t="s">
        <v>2702</v>
      </c>
      <c r="BN2616" s="55">
        <v>3</v>
      </c>
      <c r="BO2616" s="55">
        <v>3</v>
      </c>
      <c r="BQ2616" s="55" t="s">
        <v>141</v>
      </c>
      <c r="DB2616" s="65">
        <v>6.6</v>
      </c>
      <c r="DC2616" s="65">
        <v>10.199999999999999</v>
      </c>
      <c r="DF2616" s="65" t="s">
        <v>2699</v>
      </c>
      <c r="GP2616" s="292" t="s">
        <v>7494</v>
      </c>
    </row>
    <row r="2617" spans="1:198" x14ac:dyDescent="0.25">
      <c r="A2617" s="55">
        <v>2616</v>
      </c>
      <c r="B2617" s="12" t="s">
        <v>7067</v>
      </c>
      <c r="C2617" s="155">
        <v>123</v>
      </c>
      <c r="D2617" s="55" t="s">
        <v>4252</v>
      </c>
      <c r="E2617" s="90" t="s">
        <v>2687</v>
      </c>
      <c r="G2617" s="55" t="s">
        <v>2686</v>
      </c>
      <c r="H2617" s="55">
        <v>2003</v>
      </c>
      <c r="I2617" s="55">
        <v>2000</v>
      </c>
      <c r="J2617" s="55" t="s">
        <v>2688</v>
      </c>
      <c r="K2617" s="55" t="s">
        <v>2689</v>
      </c>
      <c r="L2617" s="55" t="s">
        <v>2750</v>
      </c>
      <c r="M2617" s="90">
        <f>-14-15/60</f>
        <v>-14.25</v>
      </c>
      <c r="N2617" s="90">
        <v>32</v>
      </c>
      <c r="O2617" s="90">
        <v>988</v>
      </c>
      <c r="S2617" s="90">
        <v>850</v>
      </c>
      <c r="U2617" s="55" t="s">
        <v>1816</v>
      </c>
      <c r="V2617" s="55" t="s">
        <v>1801</v>
      </c>
      <c r="Y2617" s="55" t="s">
        <v>2690</v>
      </c>
      <c r="Z2617" s="55" t="s">
        <v>1346</v>
      </c>
      <c r="AA2617" s="90" t="s">
        <v>1675</v>
      </c>
      <c r="AE2617" s="90">
        <v>44</v>
      </c>
      <c r="AF2617" s="90">
        <f>100-44-50</f>
        <v>6</v>
      </c>
      <c r="AH2617" s="55" t="s">
        <v>769</v>
      </c>
      <c r="AI2617" s="168">
        <v>5.6</v>
      </c>
      <c r="AJ2617" s="90">
        <v>0.9</v>
      </c>
      <c r="AM2617" s="55" t="s">
        <v>2691</v>
      </c>
      <c r="AN2617" s="185" t="s">
        <v>2695</v>
      </c>
      <c r="AO2617" s="185" t="s">
        <v>5150</v>
      </c>
      <c r="AQ2617" s="55" t="s">
        <v>1547</v>
      </c>
      <c r="AR2617" s="55" t="s">
        <v>1565</v>
      </c>
      <c r="AS2617" s="55" t="s">
        <v>5133</v>
      </c>
      <c r="AU2617" s="181" t="s">
        <v>7494</v>
      </c>
      <c r="AV2617" s="185" t="s">
        <v>176</v>
      </c>
      <c r="AX2617" s="185" t="s">
        <v>176</v>
      </c>
      <c r="BE2617" s="226" t="s">
        <v>2700</v>
      </c>
      <c r="BG2617" s="191" t="s">
        <v>176</v>
      </c>
      <c r="BH2617" s="226" t="s">
        <v>2701</v>
      </c>
      <c r="BI2617" s="191" t="s">
        <v>479</v>
      </c>
      <c r="BK2617" s="55" t="s">
        <v>6333</v>
      </c>
      <c r="BM2617" s="192" t="s">
        <v>2702</v>
      </c>
      <c r="BN2617" s="55">
        <v>3</v>
      </c>
      <c r="BO2617" s="55">
        <v>3</v>
      </c>
      <c r="BQ2617" s="55" t="s">
        <v>141</v>
      </c>
      <c r="DB2617" s="65">
        <v>6.6</v>
      </c>
      <c r="DC2617" s="65">
        <v>17.399999999999999</v>
      </c>
      <c r="DF2617" s="65" t="s">
        <v>2699</v>
      </c>
      <c r="GP2617" s="292" t="s">
        <v>7494</v>
      </c>
    </row>
    <row r="2618" spans="1:198" x14ac:dyDescent="0.25">
      <c r="A2618" s="55">
        <v>2617</v>
      </c>
      <c r="B2618" s="12" t="s">
        <v>7067</v>
      </c>
      <c r="C2618" s="155">
        <v>123</v>
      </c>
      <c r="D2618" s="55" t="s">
        <v>4252</v>
      </c>
      <c r="E2618" s="90" t="s">
        <v>2687</v>
      </c>
      <c r="G2618" s="55" t="s">
        <v>2686</v>
      </c>
      <c r="H2618" s="55">
        <v>2003</v>
      </c>
      <c r="I2618" s="55">
        <v>2000</v>
      </c>
      <c r="J2618" s="55" t="s">
        <v>2688</v>
      </c>
      <c r="K2618" s="55" t="s">
        <v>2689</v>
      </c>
      <c r="L2618" s="55" t="s">
        <v>2750</v>
      </c>
      <c r="M2618" s="90">
        <f>-14-15/60</f>
        <v>-14.25</v>
      </c>
      <c r="N2618" s="90">
        <v>32</v>
      </c>
      <c r="O2618" s="90">
        <v>988</v>
      </c>
      <c r="S2618" s="90">
        <v>850</v>
      </c>
      <c r="U2618" s="55" t="s">
        <v>1816</v>
      </c>
      <c r="V2618" s="55" t="s">
        <v>1801</v>
      </c>
      <c r="Y2618" s="55" t="s">
        <v>2690</v>
      </c>
      <c r="Z2618" s="55" t="s">
        <v>1346</v>
      </c>
      <c r="AA2618" s="90" t="s">
        <v>1675</v>
      </c>
      <c r="AE2618" s="90">
        <v>44</v>
      </c>
      <c r="AF2618" s="90">
        <f>100-44-50</f>
        <v>6</v>
      </c>
      <c r="AH2618" s="55" t="s">
        <v>769</v>
      </c>
      <c r="AI2618" s="168">
        <v>5.6</v>
      </c>
      <c r="AJ2618" s="90">
        <v>0.9</v>
      </c>
      <c r="AM2618" s="55" t="s">
        <v>2691</v>
      </c>
      <c r="AN2618" s="185" t="s">
        <v>2697</v>
      </c>
      <c r="AO2618" s="185" t="s">
        <v>5150</v>
      </c>
      <c r="AQ2618" s="55" t="s">
        <v>1547</v>
      </c>
      <c r="AR2618" s="55" t="s">
        <v>1565</v>
      </c>
      <c r="AS2618" s="55" t="s">
        <v>5133</v>
      </c>
      <c r="AU2618" s="181" t="s">
        <v>7494</v>
      </c>
      <c r="AV2618" s="185" t="s">
        <v>176</v>
      </c>
      <c r="AX2618" s="185" t="s">
        <v>176</v>
      </c>
      <c r="BE2618" s="226" t="s">
        <v>2700</v>
      </c>
      <c r="BG2618" s="191" t="s">
        <v>176</v>
      </c>
      <c r="BH2618" s="226" t="s">
        <v>2701</v>
      </c>
      <c r="BI2618" s="191" t="s">
        <v>479</v>
      </c>
      <c r="BK2618" s="55" t="s">
        <v>6333</v>
      </c>
      <c r="BM2618" s="192" t="s">
        <v>2702</v>
      </c>
      <c r="BN2618" s="55">
        <v>3</v>
      </c>
      <c r="BO2618" s="55">
        <v>3</v>
      </c>
      <c r="BQ2618" s="55" t="s">
        <v>141</v>
      </c>
      <c r="DB2618" s="65">
        <v>6.6</v>
      </c>
      <c r="DC2618" s="65">
        <v>10.199999999999999</v>
      </c>
      <c r="DF2618" s="65" t="s">
        <v>2699</v>
      </c>
      <c r="GP2618" s="292" t="s">
        <v>7494</v>
      </c>
    </row>
    <row r="2619" spans="1:198" x14ac:dyDescent="0.25">
      <c r="A2619" s="55">
        <v>2618</v>
      </c>
      <c r="B2619" s="12" t="s">
        <v>7067</v>
      </c>
      <c r="C2619" s="155">
        <v>123</v>
      </c>
      <c r="D2619" s="55" t="s">
        <v>4251</v>
      </c>
      <c r="E2619" s="90" t="s">
        <v>2687</v>
      </c>
      <c r="G2619" s="55" t="s">
        <v>2686</v>
      </c>
      <c r="H2619" s="55">
        <v>2003</v>
      </c>
      <c r="I2619" s="55">
        <v>2001</v>
      </c>
      <c r="J2619" s="55" t="s">
        <v>2688</v>
      </c>
      <c r="K2619" s="55" t="s">
        <v>2689</v>
      </c>
      <c r="L2619" s="55" t="s">
        <v>2750</v>
      </c>
      <c r="M2619" s="90">
        <f>-14-15/60</f>
        <v>-14.25</v>
      </c>
      <c r="N2619" s="90">
        <v>32</v>
      </c>
      <c r="O2619" s="90">
        <v>988</v>
      </c>
      <c r="S2619" s="90">
        <v>850</v>
      </c>
      <c r="U2619" s="55" t="s">
        <v>1682</v>
      </c>
      <c r="V2619" s="55" t="s">
        <v>1801</v>
      </c>
      <c r="Y2619" s="55" t="s">
        <v>2690</v>
      </c>
      <c r="Z2619" s="55" t="s">
        <v>1346</v>
      </c>
      <c r="AA2619" s="90" t="s">
        <v>1675</v>
      </c>
      <c r="AE2619" s="90">
        <v>44</v>
      </c>
      <c r="AF2619" s="90">
        <f>100-44-50</f>
        <v>6</v>
      </c>
      <c r="AH2619" s="55" t="s">
        <v>769</v>
      </c>
      <c r="AI2619" s="168">
        <v>5.6</v>
      </c>
      <c r="AJ2619" s="90">
        <v>0.9</v>
      </c>
      <c r="AM2619" s="55" t="s">
        <v>2691</v>
      </c>
      <c r="AN2619" s="185" t="s">
        <v>2692</v>
      </c>
      <c r="AO2619" s="185" t="s">
        <v>5150</v>
      </c>
      <c r="AQ2619" s="55" t="s">
        <v>553</v>
      </c>
      <c r="AR2619" s="55" t="s">
        <v>1565</v>
      </c>
      <c r="AS2619" s="55" t="s">
        <v>5133</v>
      </c>
      <c r="AU2619" s="181" t="s">
        <v>7494</v>
      </c>
      <c r="AV2619" s="185" t="s">
        <v>176</v>
      </c>
      <c r="AX2619" s="185" t="s">
        <v>176</v>
      </c>
      <c r="BE2619" s="226" t="s">
        <v>2700</v>
      </c>
      <c r="BG2619" s="191" t="s">
        <v>176</v>
      </c>
      <c r="BH2619" s="226" t="s">
        <v>2701</v>
      </c>
      <c r="BI2619" s="191" t="s">
        <v>479</v>
      </c>
      <c r="BK2619" s="55" t="s">
        <v>6333</v>
      </c>
      <c r="BM2619" s="192" t="s">
        <v>2702</v>
      </c>
      <c r="BN2619" s="55">
        <v>3</v>
      </c>
      <c r="BO2619" s="55">
        <v>3</v>
      </c>
      <c r="BQ2619" s="55" t="s">
        <v>141</v>
      </c>
      <c r="CB2619" s="66">
        <v>400</v>
      </c>
      <c r="CC2619" s="66">
        <v>600</v>
      </c>
      <c r="CG2619" s="65" t="s">
        <v>2703</v>
      </c>
      <c r="DB2619" s="65">
        <v>9.3000000000000007</v>
      </c>
      <c r="DC2619" s="65">
        <v>12.6</v>
      </c>
      <c r="DF2619" s="65" t="s">
        <v>2698</v>
      </c>
      <c r="GP2619" s="292" t="s">
        <v>7494</v>
      </c>
    </row>
    <row r="2620" spans="1:198" x14ac:dyDescent="0.25">
      <c r="A2620" s="55">
        <v>2619</v>
      </c>
      <c r="B2620" s="12" t="s">
        <v>7067</v>
      </c>
      <c r="C2620" s="155">
        <v>123</v>
      </c>
      <c r="D2620" s="55" t="s">
        <v>4251</v>
      </c>
      <c r="E2620" s="90" t="s">
        <v>2687</v>
      </c>
      <c r="G2620" s="55" t="s">
        <v>2686</v>
      </c>
      <c r="H2620" s="55">
        <v>2003</v>
      </c>
      <c r="I2620" s="55">
        <v>2001</v>
      </c>
      <c r="J2620" s="55" t="s">
        <v>2688</v>
      </c>
      <c r="K2620" s="55" t="s">
        <v>2689</v>
      </c>
      <c r="L2620" s="55" t="s">
        <v>2750</v>
      </c>
      <c r="M2620" s="90">
        <f>-14-15/60</f>
        <v>-14.25</v>
      </c>
      <c r="N2620" s="90">
        <v>32</v>
      </c>
      <c r="O2620" s="90">
        <v>988</v>
      </c>
      <c r="S2620" s="90">
        <v>850</v>
      </c>
      <c r="U2620" s="55" t="s">
        <v>1682</v>
      </c>
      <c r="V2620" s="55" t="s">
        <v>1801</v>
      </c>
      <c r="Y2620" s="55" t="s">
        <v>2690</v>
      </c>
      <c r="Z2620" s="55" t="s">
        <v>1346</v>
      </c>
      <c r="AA2620" s="90" t="s">
        <v>1675</v>
      </c>
      <c r="AE2620" s="90">
        <v>44</v>
      </c>
      <c r="AF2620" s="90">
        <f>100-44-50</f>
        <v>6</v>
      </c>
      <c r="AH2620" s="55" t="s">
        <v>769</v>
      </c>
      <c r="AI2620" s="168">
        <v>5.6</v>
      </c>
      <c r="AJ2620" s="90">
        <v>0.9</v>
      </c>
      <c r="AM2620" s="55" t="s">
        <v>2691</v>
      </c>
      <c r="AN2620" s="185" t="s">
        <v>2620</v>
      </c>
      <c r="AO2620" s="185" t="s">
        <v>5150</v>
      </c>
      <c r="AQ2620" s="55" t="s">
        <v>553</v>
      </c>
      <c r="AR2620" s="55" t="s">
        <v>1565</v>
      </c>
      <c r="AS2620" s="55" t="s">
        <v>5133</v>
      </c>
      <c r="AU2620" s="181" t="s">
        <v>7494</v>
      </c>
      <c r="AV2620" s="185" t="s">
        <v>176</v>
      </c>
      <c r="AX2620" s="185" t="s">
        <v>176</v>
      </c>
      <c r="BE2620" s="226" t="s">
        <v>2700</v>
      </c>
      <c r="BG2620" s="191" t="s">
        <v>176</v>
      </c>
      <c r="BH2620" s="226" t="s">
        <v>2701</v>
      </c>
      <c r="BI2620" s="191" t="s">
        <v>479</v>
      </c>
      <c r="BK2620" s="55" t="s">
        <v>6333</v>
      </c>
      <c r="BM2620" s="192" t="s">
        <v>2702</v>
      </c>
      <c r="BN2620" s="55">
        <v>3</v>
      </c>
      <c r="BO2620" s="55">
        <v>3</v>
      </c>
      <c r="BQ2620" s="55" t="s">
        <v>141</v>
      </c>
      <c r="BS2620" s="55">
        <v>1800</v>
      </c>
      <c r="BT2620" s="55">
        <f>BS2620/60.4</f>
        <v>29.80132450331126</v>
      </c>
      <c r="CB2620" s="66">
        <v>400</v>
      </c>
      <c r="CC2620" s="66">
        <v>700</v>
      </c>
      <c r="CG2620" s="65" t="s">
        <v>2703</v>
      </c>
      <c r="DB2620" s="65">
        <v>9.3000000000000007</v>
      </c>
      <c r="DC2620" s="65">
        <v>13.8</v>
      </c>
      <c r="DF2620" s="65" t="s">
        <v>2698</v>
      </c>
      <c r="GP2620" s="292" t="s">
        <v>7494</v>
      </c>
    </row>
    <row r="2621" spans="1:198" x14ac:dyDescent="0.25">
      <c r="A2621" s="55">
        <v>2620</v>
      </c>
      <c r="B2621" s="12" t="s">
        <v>7067</v>
      </c>
      <c r="C2621" s="155">
        <v>123</v>
      </c>
      <c r="D2621" s="55" t="s">
        <v>4251</v>
      </c>
      <c r="E2621" s="90" t="s">
        <v>2687</v>
      </c>
      <c r="G2621" s="55" t="s">
        <v>2686</v>
      </c>
      <c r="H2621" s="55">
        <v>2003</v>
      </c>
      <c r="I2621" s="55">
        <v>2001</v>
      </c>
      <c r="J2621" s="55" t="s">
        <v>2688</v>
      </c>
      <c r="K2621" s="55" t="s">
        <v>2689</v>
      </c>
      <c r="L2621" s="55" t="s">
        <v>2750</v>
      </c>
      <c r="M2621" s="90">
        <f>-14-15/60</f>
        <v>-14.25</v>
      </c>
      <c r="N2621" s="90">
        <v>32</v>
      </c>
      <c r="O2621" s="90">
        <v>988</v>
      </c>
      <c r="S2621" s="90">
        <v>850</v>
      </c>
      <c r="U2621" s="55" t="s">
        <v>1682</v>
      </c>
      <c r="V2621" s="55" t="s">
        <v>1801</v>
      </c>
      <c r="Y2621" s="55" t="s">
        <v>2690</v>
      </c>
      <c r="Z2621" s="55" t="s">
        <v>1346</v>
      </c>
      <c r="AA2621" s="90" t="s">
        <v>1675</v>
      </c>
      <c r="AE2621" s="90">
        <v>44</v>
      </c>
      <c r="AF2621" s="90">
        <f>100-44-50</f>
        <v>6</v>
      </c>
      <c r="AH2621" s="55" t="s">
        <v>769</v>
      </c>
      <c r="AI2621" s="168">
        <v>5.6</v>
      </c>
      <c r="AJ2621" s="90">
        <v>0.9</v>
      </c>
      <c r="AM2621" s="55" t="s">
        <v>2691</v>
      </c>
      <c r="AN2621" s="185" t="s">
        <v>2693</v>
      </c>
      <c r="AO2621" s="185" t="s">
        <v>5150</v>
      </c>
      <c r="AQ2621" s="55" t="s">
        <v>553</v>
      </c>
      <c r="AR2621" s="55" t="s">
        <v>1565</v>
      </c>
      <c r="AS2621" s="55" t="s">
        <v>5133</v>
      </c>
      <c r="AU2621" s="181" t="s">
        <v>7494</v>
      </c>
      <c r="AV2621" s="185" t="s">
        <v>176</v>
      </c>
      <c r="AX2621" s="185" t="s">
        <v>176</v>
      </c>
      <c r="BE2621" s="226" t="s">
        <v>2700</v>
      </c>
      <c r="BG2621" s="191" t="s">
        <v>176</v>
      </c>
      <c r="BH2621" s="226" t="s">
        <v>2701</v>
      </c>
      <c r="BI2621" s="191" t="s">
        <v>479</v>
      </c>
      <c r="BK2621" s="55" t="s">
        <v>6333</v>
      </c>
      <c r="BM2621" s="192" t="s">
        <v>2702</v>
      </c>
      <c r="BN2621" s="55">
        <v>3</v>
      </c>
      <c r="BO2621" s="55">
        <v>3</v>
      </c>
      <c r="BQ2621" s="55" t="s">
        <v>141</v>
      </c>
      <c r="BS2621" s="55">
        <v>400</v>
      </c>
      <c r="BT2621" s="55">
        <f>BS2621/14.3</f>
        <v>27.97202797202797</v>
      </c>
      <c r="CB2621" s="66">
        <v>400</v>
      </c>
      <c r="CC2621" s="66">
        <v>400</v>
      </c>
      <c r="CG2621" s="65" t="s">
        <v>2703</v>
      </c>
      <c r="DB2621" s="65">
        <v>9.3000000000000007</v>
      </c>
      <c r="DC2621" s="65">
        <v>11.4</v>
      </c>
      <c r="DF2621" s="65" t="s">
        <v>2698</v>
      </c>
      <c r="GP2621" s="292" t="s">
        <v>7494</v>
      </c>
    </row>
    <row r="2622" spans="1:198" x14ac:dyDescent="0.25">
      <c r="A2622" s="55">
        <v>2621</v>
      </c>
      <c r="B2622" s="12" t="s">
        <v>7067</v>
      </c>
      <c r="C2622" s="155">
        <v>123</v>
      </c>
      <c r="D2622" s="55" t="s">
        <v>4251</v>
      </c>
      <c r="E2622" s="90" t="s">
        <v>2687</v>
      </c>
      <c r="G2622" s="55" t="s">
        <v>2686</v>
      </c>
      <c r="H2622" s="55">
        <v>2003</v>
      </c>
      <c r="I2622" s="55">
        <v>2001</v>
      </c>
      <c r="J2622" s="55" t="s">
        <v>2688</v>
      </c>
      <c r="K2622" s="55" t="s">
        <v>2689</v>
      </c>
      <c r="L2622" s="55" t="s">
        <v>2750</v>
      </c>
      <c r="M2622" s="90">
        <f>-14-15/60</f>
        <v>-14.25</v>
      </c>
      <c r="N2622" s="90">
        <v>32</v>
      </c>
      <c r="O2622" s="90">
        <v>988</v>
      </c>
      <c r="S2622" s="90">
        <v>850</v>
      </c>
      <c r="U2622" s="55" t="s">
        <v>1682</v>
      </c>
      <c r="V2622" s="55" t="s">
        <v>1801</v>
      </c>
      <c r="Y2622" s="55" t="s">
        <v>2690</v>
      </c>
      <c r="Z2622" s="55" t="s">
        <v>1346</v>
      </c>
      <c r="AA2622" s="90" t="s">
        <v>1675</v>
      </c>
      <c r="AE2622" s="90">
        <v>44</v>
      </c>
      <c r="AF2622" s="90">
        <f>100-44-50</f>
        <v>6</v>
      </c>
      <c r="AH2622" s="55" t="s">
        <v>769</v>
      </c>
      <c r="AI2622" s="168">
        <v>5.6</v>
      </c>
      <c r="AJ2622" s="90">
        <v>0.9</v>
      </c>
      <c r="AM2622" s="55" t="s">
        <v>2691</v>
      </c>
      <c r="AN2622" s="185" t="s">
        <v>2696</v>
      </c>
      <c r="AO2622" s="185" t="s">
        <v>5150</v>
      </c>
      <c r="AQ2622" s="55" t="s">
        <v>553</v>
      </c>
      <c r="AR2622" s="55" t="s">
        <v>1565</v>
      </c>
      <c r="AS2622" s="55" t="s">
        <v>5133</v>
      </c>
      <c r="AU2622" s="181" t="s">
        <v>7494</v>
      </c>
      <c r="AV2622" s="185" t="s">
        <v>176</v>
      </c>
      <c r="AX2622" s="185" t="s">
        <v>176</v>
      </c>
      <c r="BE2622" s="226" t="s">
        <v>2700</v>
      </c>
      <c r="BG2622" s="191" t="s">
        <v>176</v>
      </c>
      <c r="BH2622" s="226" t="s">
        <v>2701</v>
      </c>
      <c r="BI2622" s="191" t="s">
        <v>479</v>
      </c>
      <c r="BK2622" s="55" t="s">
        <v>6333</v>
      </c>
      <c r="BM2622" s="192" t="s">
        <v>2702</v>
      </c>
      <c r="BN2622" s="55">
        <v>3</v>
      </c>
      <c r="BO2622" s="55">
        <v>3</v>
      </c>
      <c r="BQ2622" s="55" t="s">
        <v>141</v>
      </c>
      <c r="BS2622" s="55">
        <v>1200</v>
      </c>
      <c r="BT2622" s="55">
        <f>BS2622/38.1</f>
        <v>31.496062992125982</v>
      </c>
      <c r="CB2622" s="66">
        <v>400</v>
      </c>
      <c r="CC2622" s="66">
        <v>400</v>
      </c>
      <c r="CG2622" s="65" t="s">
        <v>2703</v>
      </c>
      <c r="DB2622" s="65">
        <v>9.3000000000000007</v>
      </c>
      <c r="DC2622" s="65">
        <v>9.3000000000000007</v>
      </c>
      <c r="DF2622" s="65" t="s">
        <v>2698</v>
      </c>
      <c r="GP2622" s="292" t="s">
        <v>7494</v>
      </c>
    </row>
    <row r="2623" spans="1:198" x14ac:dyDescent="0.25">
      <c r="A2623" s="55">
        <v>2622</v>
      </c>
      <c r="B2623" s="12" t="s">
        <v>7067</v>
      </c>
      <c r="C2623" s="155">
        <v>123</v>
      </c>
      <c r="D2623" s="55" t="s">
        <v>4252</v>
      </c>
      <c r="E2623" s="90" t="s">
        <v>2687</v>
      </c>
      <c r="G2623" s="55" t="s">
        <v>2686</v>
      </c>
      <c r="H2623" s="55">
        <v>2003</v>
      </c>
      <c r="I2623" s="55">
        <v>2001</v>
      </c>
      <c r="J2623" s="55" t="s">
        <v>2688</v>
      </c>
      <c r="K2623" s="55" t="s">
        <v>2689</v>
      </c>
      <c r="L2623" s="55" t="s">
        <v>2750</v>
      </c>
      <c r="M2623" s="90">
        <f>-14-15/60</f>
        <v>-14.25</v>
      </c>
      <c r="N2623" s="90">
        <v>32</v>
      </c>
      <c r="O2623" s="90">
        <v>988</v>
      </c>
      <c r="S2623" s="90">
        <v>850</v>
      </c>
      <c r="U2623" s="55" t="s">
        <v>1682</v>
      </c>
      <c r="V2623" s="55" t="s">
        <v>1801</v>
      </c>
      <c r="Y2623" s="55" t="s">
        <v>2690</v>
      </c>
      <c r="Z2623" s="55" t="s">
        <v>1346</v>
      </c>
      <c r="AA2623" s="90" t="s">
        <v>1675</v>
      </c>
      <c r="AE2623" s="90">
        <v>44</v>
      </c>
      <c r="AF2623" s="90">
        <f>100-44-50</f>
        <v>6</v>
      </c>
      <c r="AH2623" s="55" t="s">
        <v>769</v>
      </c>
      <c r="AI2623" s="168">
        <v>5.6</v>
      </c>
      <c r="AJ2623" s="90">
        <v>0.9</v>
      </c>
      <c r="AM2623" s="55" t="s">
        <v>2691</v>
      </c>
      <c r="AN2623" s="185" t="s">
        <v>2694</v>
      </c>
      <c r="AO2623" s="185" t="s">
        <v>5150</v>
      </c>
      <c r="AQ2623" s="55" t="s">
        <v>1547</v>
      </c>
      <c r="AR2623" s="55" t="s">
        <v>1565</v>
      </c>
      <c r="AS2623" s="55" t="s">
        <v>5133</v>
      </c>
      <c r="AU2623" s="181" t="s">
        <v>7494</v>
      </c>
      <c r="AV2623" s="185" t="s">
        <v>176</v>
      </c>
      <c r="AX2623" s="185" t="s">
        <v>176</v>
      </c>
      <c r="BE2623" s="226" t="s">
        <v>2700</v>
      </c>
      <c r="BG2623" s="191" t="s">
        <v>176</v>
      </c>
      <c r="BH2623" s="226" t="s">
        <v>2701</v>
      </c>
      <c r="BI2623" s="191" t="s">
        <v>479</v>
      </c>
      <c r="BK2623" s="55" t="s">
        <v>6333</v>
      </c>
      <c r="BM2623" s="192" t="s">
        <v>2702</v>
      </c>
      <c r="BN2623" s="55">
        <v>3</v>
      </c>
      <c r="BO2623" s="55">
        <v>3</v>
      </c>
      <c r="BQ2623" s="55" t="s">
        <v>141</v>
      </c>
      <c r="BS2623" s="55">
        <v>1600</v>
      </c>
      <c r="BT2623" s="55">
        <f>BS2623/51.3</f>
        <v>31.18908382066277</v>
      </c>
      <c r="CB2623" s="66">
        <v>400</v>
      </c>
      <c r="CC2623" s="66">
        <v>1100</v>
      </c>
      <c r="CG2623" s="65" t="s">
        <v>2703</v>
      </c>
      <c r="DB2623" s="65">
        <v>9.3000000000000007</v>
      </c>
      <c r="DC2623" s="65">
        <v>14.7</v>
      </c>
      <c r="DF2623" s="65" t="s">
        <v>2698</v>
      </c>
      <c r="GP2623" s="292" t="s">
        <v>7494</v>
      </c>
    </row>
    <row r="2624" spans="1:198" x14ac:dyDescent="0.25">
      <c r="A2624" s="55">
        <v>2623</v>
      </c>
      <c r="B2624" s="12" t="s">
        <v>7067</v>
      </c>
      <c r="C2624" s="155">
        <v>123</v>
      </c>
      <c r="D2624" s="55" t="s">
        <v>4252</v>
      </c>
      <c r="E2624" s="90" t="s">
        <v>2687</v>
      </c>
      <c r="G2624" s="55" t="s">
        <v>2686</v>
      </c>
      <c r="H2624" s="55">
        <v>2003</v>
      </c>
      <c r="I2624" s="55">
        <v>2001</v>
      </c>
      <c r="J2624" s="55" t="s">
        <v>2688</v>
      </c>
      <c r="K2624" s="55" t="s">
        <v>2689</v>
      </c>
      <c r="L2624" s="55" t="s">
        <v>2750</v>
      </c>
      <c r="M2624" s="90">
        <f>-14-15/60</f>
        <v>-14.25</v>
      </c>
      <c r="N2624" s="90">
        <v>32</v>
      </c>
      <c r="O2624" s="90">
        <v>988</v>
      </c>
      <c r="S2624" s="90">
        <v>850</v>
      </c>
      <c r="U2624" s="55" t="s">
        <v>1682</v>
      </c>
      <c r="V2624" s="55" t="s">
        <v>1801</v>
      </c>
      <c r="Y2624" s="55" t="s">
        <v>2690</v>
      </c>
      <c r="Z2624" s="55" t="s">
        <v>1346</v>
      </c>
      <c r="AA2624" s="90" t="s">
        <v>1675</v>
      </c>
      <c r="AE2624" s="90">
        <v>44</v>
      </c>
      <c r="AF2624" s="90">
        <f>100-44-50</f>
        <v>6</v>
      </c>
      <c r="AH2624" s="55" t="s">
        <v>769</v>
      </c>
      <c r="AI2624" s="168">
        <v>5.6</v>
      </c>
      <c r="AJ2624" s="90">
        <v>0.9</v>
      </c>
      <c r="AM2624" s="55" t="s">
        <v>2691</v>
      </c>
      <c r="AN2624" s="185" t="s">
        <v>2695</v>
      </c>
      <c r="AO2624" s="185" t="s">
        <v>5150</v>
      </c>
      <c r="AQ2624" s="55" t="s">
        <v>1547</v>
      </c>
      <c r="AR2624" s="55" t="s">
        <v>1565</v>
      </c>
      <c r="AS2624" s="55" t="s">
        <v>5133</v>
      </c>
      <c r="AU2624" s="181" t="s">
        <v>7494</v>
      </c>
      <c r="AV2624" s="185" t="s">
        <v>176</v>
      </c>
      <c r="AX2624" s="185" t="s">
        <v>176</v>
      </c>
      <c r="BE2624" s="226" t="s">
        <v>2700</v>
      </c>
      <c r="BG2624" s="191" t="s">
        <v>176</v>
      </c>
      <c r="BH2624" s="226" t="s">
        <v>2701</v>
      </c>
      <c r="BI2624" s="191" t="s">
        <v>479</v>
      </c>
      <c r="BK2624" s="55" t="s">
        <v>6333</v>
      </c>
      <c r="BM2624" s="192" t="s">
        <v>2702</v>
      </c>
      <c r="BN2624" s="55">
        <v>3</v>
      </c>
      <c r="BO2624" s="55">
        <v>3</v>
      </c>
      <c r="BQ2624" s="55" t="s">
        <v>141</v>
      </c>
      <c r="BS2624" s="55">
        <v>200</v>
      </c>
      <c r="BT2624" s="55">
        <f>BS2624/6.9</f>
        <v>28.985507246376809</v>
      </c>
      <c r="CB2624" s="66">
        <v>400</v>
      </c>
      <c r="CC2624" s="66">
        <v>600</v>
      </c>
      <c r="CG2624" s="65" t="s">
        <v>2703</v>
      </c>
      <c r="DB2624" s="65">
        <v>9.3000000000000007</v>
      </c>
      <c r="DC2624" s="65">
        <v>13.5</v>
      </c>
      <c r="DF2624" s="65" t="s">
        <v>2698</v>
      </c>
      <c r="GP2624" s="292" t="s">
        <v>7494</v>
      </c>
    </row>
    <row r="2625" spans="1:198" x14ac:dyDescent="0.25">
      <c r="A2625" s="55">
        <v>2624</v>
      </c>
      <c r="B2625" s="12" t="s">
        <v>7067</v>
      </c>
      <c r="C2625" s="155">
        <v>123</v>
      </c>
      <c r="D2625" s="55" t="s">
        <v>4252</v>
      </c>
      <c r="E2625" s="90" t="s">
        <v>2687</v>
      </c>
      <c r="G2625" s="55" t="s">
        <v>2686</v>
      </c>
      <c r="H2625" s="55">
        <v>2003</v>
      </c>
      <c r="I2625" s="55">
        <v>2001</v>
      </c>
      <c r="J2625" s="55" t="s">
        <v>2688</v>
      </c>
      <c r="K2625" s="55" t="s">
        <v>2689</v>
      </c>
      <c r="L2625" s="55" t="s">
        <v>2750</v>
      </c>
      <c r="M2625" s="90">
        <f>-14-15/60</f>
        <v>-14.25</v>
      </c>
      <c r="N2625" s="90">
        <v>32</v>
      </c>
      <c r="O2625" s="90">
        <v>988</v>
      </c>
      <c r="S2625" s="90">
        <v>850</v>
      </c>
      <c r="U2625" s="55" t="s">
        <v>1682</v>
      </c>
      <c r="V2625" s="55" t="s">
        <v>1801</v>
      </c>
      <c r="Y2625" s="55" t="s">
        <v>2690</v>
      </c>
      <c r="Z2625" s="55" t="s">
        <v>1346</v>
      </c>
      <c r="AA2625" s="90" t="s">
        <v>1675</v>
      </c>
      <c r="AE2625" s="90">
        <v>44</v>
      </c>
      <c r="AF2625" s="90">
        <f>100-44-50</f>
        <v>6</v>
      </c>
      <c r="AH2625" s="55" t="s">
        <v>769</v>
      </c>
      <c r="AI2625" s="168">
        <v>5.6</v>
      </c>
      <c r="AJ2625" s="90">
        <v>0.9</v>
      </c>
      <c r="AM2625" s="55" t="s">
        <v>2691</v>
      </c>
      <c r="AN2625" s="185" t="s">
        <v>2697</v>
      </c>
      <c r="AO2625" s="185" t="s">
        <v>5150</v>
      </c>
      <c r="AQ2625" s="55" t="s">
        <v>1547</v>
      </c>
      <c r="AR2625" s="55" t="s">
        <v>1565</v>
      </c>
      <c r="AS2625" s="55" t="s">
        <v>5133</v>
      </c>
      <c r="AU2625" s="181" t="s">
        <v>7494</v>
      </c>
      <c r="AV2625" s="185" t="s">
        <v>176</v>
      </c>
      <c r="AX2625" s="185" t="s">
        <v>176</v>
      </c>
      <c r="BE2625" s="226" t="s">
        <v>2700</v>
      </c>
      <c r="BG2625" s="191" t="s">
        <v>176</v>
      </c>
      <c r="BH2625" s="226" t="s">
        <v>2701</v>
      </c>
      <c r="BI2625" s="191" t="s">
        <v>479</v>
      </c>
      <c r="BK2625" s="55" t="s">
        <v>6333</v>
      </c>
      <c r="BM2625" s="192" t="s">
        <v>2702</v>
      </c>
      <c r="BN2625" s="55">
        <v>3</v>
      </c>
      <c r="BO2625" s="55">
        <v>3</v>
      </c>
      <c r="BQ2625" s="55" t="s">
        <v>141</v>
      </c>
      <c r="BS2625" s="55">
        <v>500</v>
      </c>
      <c r="BT2625" s="55">
        <f>BS2625/14.1</f>
        <v>35.460992907801419</v>
      </c>
      <c r="CB2625" s="66">
        <v>400</v>
      </c>
      <c r="CC2625" s="66">
        <v>500</v>
      </c>
      <c r="CG2625" s="65" t="s">
        <v>2703</v>
      </c>
      <c r="DB2625" s="65">
        <v>9.3000000000000007</v>
      </c>
      <c r="DC2625" s="65">
        <v>13.4</v>
      </c>
      <c r="DF2625" s="65" t="s">
        <v>2698</v>
      </c>
      <c r="GP2625" s="292" t="s">
        <v>7494</v>
      </c>
    </row>
    <row r="2626" spans="1:198" x14ac:dyDescent="0.25">
      <c r="A2626" s="55">
        <v>2625</v>
      </c>
      <c r="B2626" s="12" t="s">
        <v>7067</v>
      </c>
      <c r="C2626" s="155">
        <v>123</v>
      </c>
      <c r="D2626" s="55" t="s">
        <v>4251</v>
      </c>
      <c r="E2626" s="90" t="s">
        <v>2687</v>
      </c>
      <c r="G2626" s="55" t="s">
        <v>2686</v>
      </c>
      <c r="H2626" s="55">
        <v>2003</v>
      </c>
      <c r="I2626" s="55">
        <v>2001</v>
      </c>
      <c r="J2626" s="55" t="s">
        <v>2688</v>
      </c>
      <c r="K2626" s="55" t="s">
        <v>2689</v>
      </c>
      <c r="L2626" s="55" t="s">
        <v>2750</v>
      </c>
      <c r="M2626" s="90">
        <f>-14-15/60</f>
        <v>-14.25</v>
      </c>
      <c r="N2626" s="90">
        <v>32</v>
      </c>
      <c r="O2626" s="90">
        <v>988</v>
      </c>
      <c r="S2626" s="90">
        <v>850</v>
      </c>
      <c r="U2626" s="55" t="s">
        <v>1682</v>
      </c>
      <c r="V2626" s="55" t="s">
        <v>1801</v>
      </c>
      <c r="Y2626" s="55" t="s">
        <v>2690</v>
      </c>
      <c r="Z2626" s="55" t="s">
        <v>1346</v>
      </c>
      <c r="AA2626" s="90" t="s">
        <v>1675</v>
      </c>
      <c r="AE2626" s="90">
        <v>44</v>
      </c>
      <c r="AF2626" s="90">
        <f>100-44-50</f>
        <v>6</v>
      </c>
      <c r="AH2626" s="55" t="s">
        <v>769</v>
      </c>
      <c r="AI2626" s="168">
        <v>5.6</v>
      </c>
      <c r="AJ2626" s="90">
        <v>0.9</v>
      </c>
      <c r="AM2626" s="55" t="s">
        <v>2691</v>
      </c>
      <c r="AN2626" s="185" t="s">
        <v>2692</v>
      </c>
      <c r="AO2626" s="185" t="s">
        <v>5150</v>
      </c>
      <c r="AQ2626" s="55" t="s">
        <v>553</v>
      </c>
      <c r="AR2626" s="55" t="s">
        <v>1565</v>
      </c>
      <c r="AS2626" s="55" t="s">
        <v>5133</v>
      </c>
      <c r="AU2626" s="181" t="s">
        <v>7494</v>
      </c>
      <c r="AV2626" s="185" t="s">
        <v>176</v>
      </c>
      <c r="AX2626" s="185" t="s">
        <v>176</v>
      </c>
      <c r="BE2626" s="226" t="s">
        <v>2700</v>
      </c>
      <c r="BG2626" s="191" t="s">
        <v>176</v>
      </c>
      <c r="BH2626" s="226" t="s">
        <v>2701</v>
      </c>
      <c r="BI2626" s="191" t="s">
        <v>479</v>
      </c>
      <c r="BK2626" s="55" t="s">
        <v>6333</v>
      </c>
      <c r="BM2626" s="192" t="s">
        <v>2702</v>
      </c>
      <c r="BN2626" s="55">
        <v>3</v>
      </c>
      <c r="BO2626" s="55">
        <v>3</v>
      </c>
      <c r="BQ2626" s="55" t="s">
        <v>141</v>
      </c>
      <c r="DB2626" s="65">
        <v>6.3</v>
      </c>
      <c r="DC2626" s="65">
        <v>7.2</v>
      </c>
      <c r="DF2626" s="65" t="s">
        <v>2699</v>
      </c>
      <c r="GP2626" s="292" t="s">
        <v>7494</v>
      </c>
    </row>
    <row r="2627" spans="1:198" x14ac:dyDescent="0.25">
      <c r="A2627" s="55">
        <v>2626</v>
      </c>
      <c r="B2627" s="12" t="s">
        <v>7067</v>
      </c>
      <c r="C2627" s="155">
        <v>123</v>
      </c>
      <c r="D2627" s="55" t="s">
        <v>4251</v>
      </c>
      <c r="E2627" s="90" t="s">
        <v>2687</v>
      </c>
      <c r="G2627" s="55" t="s">
        <v>2686</v>
      </c>
      <c r="H2627" s="55">
        <v>2003</v>
      </c>
      <c r="I2627" s="55">
        <v>2001</v>
      </c>
      <c r="J2627" s="55" t="s">
        <v>2688</v>
      </c>
      <c r="K2627" s="55" t="s">
        <v>2689</v>
      </c>
      <c r="L2627" s="55" t="s">
        <v>2750</v>
      </c>
      <c r="M2627" s="90">
        <f>-14-15/60</f>
        <v>-14.25</v>
      </c>
      <c r="N2627" s="90">
        <v>32</v>
      </c>
      <c r="O2627" s="90">
        <v>988</v>
      </c>
      <c r="S2627" s="90">
        <v>850</v>
      </c>
      <c r="U2627" s="55" t="s">
        <v>1682</v>
      </c>
      <c r="V2627" s="55" t="s">
        <v>1801</v>
      </c>
      <c r="Y2627" s="55" t="s">
        <v>2690</v>
      </c>
      <c r="Z2627" s="55" t="s">
        <v>1346</v>
      </c>
      <c r="AA2627" s="90" t="s">
        <v>1675</v>
      </c>
      <c r="AE2627" s="90">
        <v>44</v>
      </c>
      <c r="AF2627" s="90">
        <f>100-44-50</f>
        <v>6</v>
      </c>
      <c r="AH2627" s="55" t="s">
        <v>769</v>
      </c>
      <c r="AI2627" s="168">
        <v>5.6</v>
      </c>
      <c r="AJ2627" s="90">
        <v>0.9</v>
      </c>
      <c r="AM2627" s="55" t="s">
        <v>2691</v>
      </c>
      <c r="AN2627" s="185" t="s">
        <v>2620</v>
      </c>
      <c r="AO2627" s="185" t="s">
        <v>5150</v>
      </c>
      <c r="AQ2627" s="55" t="s">
        <v>553</v>
      </c>
      <c r="AR2627" s="55" t="s">
        <v>1565</v>
      </c>
      <c r="AS2627" s="55" t="s">
        <v>5133</v>
      </c>
      <c r="AU2627" s="181" t="s">
        <v>7494</v>
      </c>
      <c r="AV2627" s="185" t="s">
        <v>176</v>
      </c>
      <c r="AX2627" s="185" t="s">
        <v>176</v>
      </c>
      <c r="BE2627" s="226" t="s">
        <v>2700</v>
      </c>
      <c r="BG2627" s="191" t="s">
        <v>176</v>
      </c>
      <c r="BH2627" s="226" t="s">
        <v>2701</v>
      </c>
      <c r="BI2627" s="191" t="s">
        <v>479</v>
      </c>
      <c r="BK2627" s="55" t="s">
        <v>6333</v>
      </c>
      <c r="BM2627" s="192" t="s">
        <v>2702</v>
      </c>
      <c r="BN2627" s="55">
        <v>3</v>
      </c>
      <c r="BO2627" s="55">
        <v>3</v>
      </c>
      <c r="BQ2627" s="55" t="s">
        <v>141</v>
      </c>
      <c r="DB2627" s="65">
        <v>6.3</v>
      </c>
      <c r="DC2627" s="65">
        <v>14.2</v>
      </c>
      <c r="DF2627" s="65" t="s">
        <v>2699</v>
      </c>
      <c r="GP2627" s="292" t="s">
        <v>7494</v>
      </c>
    </row>
    <row r="2628" spans="1:198" x14ac:dyDescent="0.25">
      <c r="A2628" s="55">
        <v>2627</v>
      </c>
      <c r="B2628" s="12" t="s">
        <v>7067</v>
      </c>
      <c r="C2628" s="155">
        <v>123</v>
      </c>
      <c r="D2628" s="55" t="s">
        <v>4251</v>
      </c>
      <c r="E2628" s="90" t="s">
        <v>2687</v>
      </c>
      <c r="G2628" s="55" t="s">
        <v>2686</v>
      </c>
      <c r="H2628" s="55">
        <v>2003</v>
      </c>
      <c r="I2628" s="55">
        <v>2001</v>
      </c>
      <c r="J2628" s="55" t="s">
        <v>2688</v>
      </c>
      <c r="K2628" s="55" t="s">
        <v>2689</v>
      </c>
      <c r="L2628" s="55" t="s">
        <v>2750</v>
      </c>
      <c r="M2628" s="90">
        <f>-14-15/60</f>
        <v>-14.25</v>
      </c>
      <c r="N2628" s="90">
        <v>32</v>
      </c>
      <c r="O2628" s="90">
        <v>988</v>
      </c>
      <c r="S2628" s="90">
        <v>850</v>
      </c>
      <c r="U2628" s="55" t="s">
        <v>1682</v>
      </c>
      <c r="V2628" s="55" t="s">
        <v>1801</v>
      </c>
      <c r="Y2628" s="55" t="s">
        <v>2690</v>
      </c>
      <c r="Z2628" s="55" t="s">
        <v>1346</v>
      </c>
      <c r="AA2628" s="90" t="s">
        <v>1675</v>
      </c>
      <c r="AE2628" s="90">
        <v>44</v>
      </c>
      <c r="AF2628" s="90">
        <f>100-44-50</f>
        <v>6</v>
      </c>
      <c r="AH2628" s="55" t="s">
        <v>769</v>
      </c>
      <c r="AI2628" s="168">
        <v>5.6</v>
      </c>
      <c r="AJ2628" s="90">
        <v>0.9</v>
      </c>
      <c r="AM2628" s="55" t="s">
        <v>2691</v>
      </c>
      <c r="AN2628" s="185" t="s">
        <v>2693</v>
      </c>
      <c r="AO2628" s="185" t="s">
        <v>5150</v>
      </c>
      <c r="AQ2628" s="55" t="s">
        <v>553</v>
      </c>
      <c r="AR2628" s="55" t="s">
        <v>1565</v>
      </c>
      <c r="AS2628" s="55" t="s">
        <v>5133</v>
      </c>
      <c r="AU2628" s="181" t="s">
        <v>7494</v>
      </c>
      <c r="AV2628" s="185" t="s">
        <v>176</v>
      </c>
      <c r="AX2628" s="185" t="s">
        <v>176</v>
      </c>
      <c r="BE2628" s="226" t="s">
        <v>2700</v>
      </c>
      <c r="BG2628" s="191" t="s">
        <v>176</v>
      </c>
      <c r="BH2628" s="226" t="s">
        <v>2701</v>
      </c>
      <c r="BI2628" s="191" t="s">
        <v>479</v>
      </c>
      <c r="BK2628" s="55" t="s">
        <v>6333</v>
      </c>
      <c r="BM2628" s="192" t="s">
        <v>2702</v>
      </c>
      <c r="BN2628" s="55">
        <v>3</v>
      </c>
      <c r="BO2628" s="55">
        <v>3</v>
      </c>
      <c r="BQ2628" s="55" t="s">
        <v>141</v>
      </c>
      <c r="DB2628" s="65">
        <v>6.3</v>
      </c>
      <c r="DC2628" s="65">
        <v>15</v>
      </c>
      <c r="DF2628" s="65" t="s">
        <v>2699</v>
      </c>
      <c r="GP2628" s="292" t="s">
        <v>7494</v>
      </c>
    </row>
    <row r="2629" spans="1:198" x14ac:dyDescent="0.25">
      <c r="A2629" s="55">
        <v>2628</v>
      </c>
      <c r="B2629" s="12" t="s">
        <v>7067</v>
      </c>
      <c r="C2629" s="155">
        <v>123</v>
      </c>
      <c r="D2629" s="55" t="s">
        <v>4251</v>
      </c>
      <c r="E2629" s="90" t="s">
        <v>2687</v>
      </c>
      <c r="G2629" s="55" t="s">
        <v>2686</v>
      </c>
      <c r="H2629" s="55">
        <v>2003</v>
      </c>
      <c r="I2629" s="55">
        <v>2001</v>
      </c>
      <c r="J2629" s="55" t="s">
        <v>2688</v>
      </c>
      <c r="K2629" s="55" t="s">
        <v>2689</v>
      </c>
      <c r="L2629" s="55" t="s">
        <v>2750</v>
      </c>
      <c r="M2629" s="90">
        <f>-14-15/60</f>
        <v>-14.25</v>
      </c>
      <c r="N2629" s="90">
        <v>32</v>
      </c>
      <c r="O2629" s="90">
        <v>988</v>
      </c>
      <c r="S2629" s="90">
        <v>850</v>
      </c>
      <c r="U2629" s="55" t="s">
        <v>1682</v>
      </c>
      <c r="V2629" s="55" t="s">
        <v>1801</v>
      </c>
      <c r="Y2629" s="55" t="s">
        <v>2690</v>
      </c>
      <c r="Z2629" s="55" t="s">
        <v>1346</v>
      </c>
      <c r="AA2629" s="90" t="s">
        <v>1675</v>
      </c>
      <c r="AE2629" s="90">
        <v>44</v>
      </c>
      <c r="AF2629" s="90">
        <f>100-44-50</f>
        <v>6</v>
      </c>
      <c r="AH2629" s="55" t="s">
        <v>769</v>
      </c>
      <c r="AI2629" s="168">
        <v>5.6</v>
      </c>
      <c r="AJ2629" s="90">
        <v>0.9</v>
      </c>
      <c r="AM2629" s="55" t="s">
        <v>2691</v>
      </c>
      <c r="AN2629" s="185" t="s">
        <v>2696</v>
      </c>
      <c r="AO2629" s="185" t="s">
        <v>5150</v>
      </c>
      <c r="AQ2629" s="55" t="s">
        <v>553</v>
      </c>
      <c r="AR2629" s="55" t="s">
        <v>1565</v>
      </c>
      <c r="AS2629" s="55" t="s">
        <v>5133</v>
      </c>
      <c r="AU2629" s="181" t="s">
        <v>7494</v>
      </c>
      <c r="AV2629" s="185" t="s">
        <v>176</v>
      </c>
      <c r="AX2629" s="185" t="s">
        <v>176</v>
      </c>
      <c r="BE2629" s="226" t="s">
        <v>2700</v>
      </c>
      <c r="BG2629" s="191" t="s">
        <v>176</v>
      </c>
      <c r="BH2629" s="226" t="s">
        <v>2701</v>
      </c>
      <c r="BI2629" s="191" t="s">
        <v>479</v>
      </c>
      <c r="BK2629" s="55" t="s">
        <v>6333</v>
      </c>
      <c r="BM2629" s="192" t="s">
        <v>2702</v>
      </c>
      <c r="BN2629" s="55">
        <v>3</v>
      </c>
      <c r="BO2629" s="55">
        <v>3</v>
      </c>
      <c r="BQ2629" s="55" t="s">
        <v>141</v>
      </c>
      <c r="DB2629" s="65">
        <v>6.3</v>
      </c>
      <c r="DC2629" s="65">
        <v>7.3</v>
      </c>
      <c r="DF2629" s="65" t="s">
        <v>2699</v>
      </c>
      <c r="GP2629" s="292" t="s">
        <v>7494</v>
      </c>
    </row>
    <row r="2630" spans="1:198" x14ac:dyDescent="0.25">
      <c r="A2630" s="55">
        <v>2629</v>
      </c>
      <c r="B2630" s="12" t="s">
        <v>7067</v>
      </c>
      <c r="C2630" s="155">
        <v>123</v>
      </c>
      <c r="D2630" s="55" t="s">
        <v>4252</v>
      </c>
      <c r="E2630" s="90" t="s">
        <v>2687</v>
      </c>
      <c r="G2630" s="55" t="s">
        <v>2686</v>
      </c>
      <c r="H2630" s="55">
        <v>2003</v>
      </c>
      <c r="I2630" s="55">
        <v>2001</v>
      </c>
      <c r="J2630" s="55" t="s">
        <v>2688</v>
      </c>
      <c r="K2630" s="55" t="s">
        <v>2689</v>
      </c>
      <c r="L2630" s="55" t="s">
        <v>2750</v>
      </c>
      <c r="M2630" s="90">
        <f>-14-15/60</f>
        <v>-14.25</v>
      </c>
      <c r="N2630" s="90">
        <v>32</v>
      </c>
      <c r="O2630" s="90">
        <v>988</v>
      </c>
      <c r="S2630" s="90">
        <v>850</v>
      </c>
      <c r="U2630" s="55" t="s">
        <v>1682</v>
      </c>
      <c r="V2630" s="55" t="s">
        <v>1801</v>
      </c>
      <c r="Y2630" s="55" t="s">
        <v>2690</v>
      </c>
      <c r="Z2630" s="55" t="s">
        <v>1346</v>
      </c>
      <c r="AA2630" s="90" t="s">
        <v>1675</v>
      </c>
      <c r="AE2630" s="90">
        <v>44</v>
      </c>
      <c r="AF2630" s="90">
        <f>100-44-50</f>
        <v>6</v>
      </c>
      <c r="AH2630" s="55" t="s">
        <v>769</v>
      </c>
      <c r="AI2630" s="168">
        <v>5.6</v>
      </c>
      <c r="AJ2630" s="90">
        <v>0.9</v>
      </c>
      <c r="AM2630" s="55" t="s">
        <v>2691</v>
      </c>
      <c r="AN2630" s="185" t="s">
        <v>2694</v>
      </c>
      <c r="AO2630" s="185" t="s">
        <v>5150</v>
      </c>
      <c r="AQ2630" s="55" t="s">
        <v>1547</v>
      </c>
      <c r="AR2630" s="55" t="s">
        <v>1565</v>
      </c>
      <c r="AS2630" s="55" t="s">
        <v>5133</v>
      </c>
      <c r="AU2630" s="181" t="s">
        <v>7494</v>
      </c>
      <c r="AV2630" s="185" t="s">
        <v>176</v>
      </c>
      <c r="AX2630" s="185" t="s">
        <v>176</v>
      </c>
      <c r="BE2630" s="226" t="s">
        <v>2700</v>
      </c>
      <c r="BG2630" s="191" t="s">
        <v>176</v>
      </c>
      <c r="BH2630" s="226" t="s">
        <v>2701</v>
      </c>
      <c r="BI2630" s="191" t="s">
        <v>479</v>
      </c>
      <c r="BK2630" s="55" t="s">
        <v>6333</v>
      </c>
      <c r="BM2630" s="192" t="s">
        <v>2702</v>
      </c>
      <c r="BN2630" s="55">
        <v>3</v>
      </c>
      <c r="BO2630" s="55">
        <v>3</v>
      </c>
      <c r="BQ2630" s="55" t="s">
        <v>141</v>
      </c>
      <c r="DB2630" s="65">
        <v>6.3</v>
      </c>
      <c r="DC2630" s="65">
        <v>7.2</v>
      </c>
      <c r="DF2630" s="65" t="s">
        <v>2699</v>
      </c>
      <c r="GP2630" s="292" t="s">
        <v>7494</v>
      </c>
    </row>
    <row r="2631" spans="1:198" x14ac:dyDescent="0.25">
      <c r="A2631" s="55">
        <v>2630</v>
      </c>
      <c r="B2631" s="12" t="s">
        <v>7067</v>
      </c>
      <c r="C2631" s="155">
        <v>123</v>
      </c>
      <c r="D2631" s="55" t="s">
        <v>4252</v>
      </c>
      <c r="E2631" s="90" t="s">
        <v>2687</v>
      </c>
      <c r="G2631" s="55" t="s">
        <v>2686</v>
      </c>
      <c r="H2631" s="55">
        <v>2003</v>
      </c>
      <c r="I2631" s="55">
        <v>2001</v>
      </c>
      <c r="J2631" s="55" t="s">
        <v>2688</v>
      </c>
      <c r="K2631" s="55" t="s">
        <v>2689</v>
      </c>
      <c r="L2631" s="55" t="s">
        <v>2750</v>
      </c>
      <c r="M2631" s="90">
        <f>-14-15/60</f>
        <v>-14.25</v>
      </c>
      <c r="N2631" s="90">
        <v>32</v>
      </c>
      <c r="O2631" s="90">
        <v>988</v>
      </c>
      <c r="S2631" s="90">
        <v>850</v>
      </c>
      <c r="U2631" s="55" t="s">
        <v>1682</v>
      </c>
      <c r="V2631" s="55" t="s">
        <v>1801</v>
      </c>
      <c r="Y2631" s="55" t="s">
        <v>2690</v>
      </c>
      <c r="Z2631" s="55" t="s">
        <v>1346</v>
      </c>
      <c r="AA2631" s="90" t="s">
        <v>1675</v>
      </c>
      <c r="AE2631" s="90">
        <v>44</v>
      </c>
      <c r="AF2631" s="90">
        <f>100-44-50</f>
        <v>6</v>
      </c>
      <c r="AH2631" s="55" t="s">
        <v>769</v>
      </c>
      <c r="AI2631" s="168">
        <v>5.6</v>
      </c>
      <c r="AJ2631" s="90">
        <v>0.9</v>
      </c>
      <c r="AM2631" s="55" t="s">
        <v>2691</v>
      </c>
      <c r="AN2631" s="185" t="s">
        <v>2695</v>
      </c>
      <c r="AO2631" s="185" t="s">
        <v>5150</v>
      </c>
      <c r="AQ2631" s="55" t="s">
        <v>1547</v>
      </c>
      <c r="AR2631" s="55" t="s">
        <v>1565</v>
      </c>
      <c r="AS2631" s="55" t="s">
        <v>5133</v>
      </c>
      <c r="AU2631" s="181" t="s">
        <v>7494</v>
      </c>
      <c r="AV2631" s="185" t="s">
        <v>176</v>
      </c>
      <c r="AX2631" s="185" t="s">
        <v>176</v>
      </c>
      <c r="BE2631" s="226" t="s">
        <v>2700</v>
      </c>
      <c r="BG2631" s="191" t="s">
        <v>176</v>
      </c>
      <c r="BH2631" s="226" t="s">
        <v>2701</v>
      </c>
      <c r="BI2631" s="191" t="s">
        <v>479</v>
      </c>
      <c r="BK2631" s="55" t="s">
        <v>6333</v>
      </c>
      <c r="BM2631" s="192" t="s">
        <v>2702</v>
      </c>
      <c r="BN2631" s="55">
        <v>3</v>
      </c>
      <c r="BO2631" s="55">
        <v>3</v>
      </c>
      <c r="BQ2631" s="55" t="s">
        <v>141</v>
      </c>
      <c r="DB2631" s="65">
        <v>6.3</v>
      </c>
      <c r="DC2631" s="65">
        <v>7.5</v>
      </c>
      <c r="DF2631" s="65" t="s">
        <v>2699</v>
      </c>
      <c r="GP2631" s="292" t="s">
        <v>7494</v>
      </c>
    </row>
    <row r="2632" spans="1:198" x14ac:dyDescent="0.25">
      <c r="A2632" s="55">
        <v>2631</v>
      </c>
      <c r="B2632" s="12" t="s">
        <v>7067</v>
      </c>
      <c r="C2632" s="155">
        <v>123</v>
      </c>
      <c r="D2632" s="55" t="s">
        <v>4252</v>
      </c>
      <c r="E2632" s="90" t="s">
        <v>2687</v>
      </c>
      <c r="G2632" s="55" t="s">
        <v>2686</v>
      </c>
      <c r="H2632" s="55">
        <v>2003</v>
      </c>
      <c r="I2632" s="55">
        <v>2001</v>
      </c>
      <c r="J2632" s="55" t="s">
        <v>2688</v>
      </c>
      <c r="K2632" s="55" t="s">
        <v>2689</v>
      </c>
      <c r="L2632" s="55" t="s">
        <v>2750</v>
      </c>
      <c r="M2632" s="90">
        <f>-14-15/60</f>
        <v>-14.25</v>
      </c>
      <c r="N2632" s="90">
        <v>32</v>
      </c>
      <c r="O2632" s="90">
        <v>988</v>
      </c>
      <c r="S2632" s="90">
        <v>850</v>
      </c>
      <c r="U2632" s="55" t="s">
        <v>1682</v>
      </c>
      <c r="V2632" s="55" t="s">
        <v>1801</v>
      </c>
      <c r="Y2632" s="55" t="s">
        <v>2690</v>
      </c>
      <c r="Z2632" s="55" t="s">
        <v>1346</v>
      </c>
      <c r="AA2632" s="90" t="s">
        <v>1675</v>
      </c>
      <c r="AE2632" s="90">
        <v>44</v>
      </c>
      <c r="AF2632" s="90">
        <f>100-44-50</f>
        <v>6</v>
      </c>
      <c r="AH2632" s="55" t="s">
        <v>769</v>
      </c>
      <c r="AI2632" s="168">
        <v>5.6</v>
      </c>
      <c r="AJ2632" s="90">
        <v>0.9</v>
      </c>
      <c r="AM2632" s="55" t="s">
        <v>2691</v>
      </c>
      <c r="AN2632" s="185" t="s">
        <v>2697</v>
      </c>
      <c r="AO2632" s="185" t="s">
        <v>5150</v>
      </c>
      <c r="AQ2632" s="55" t="s">
        <v>1547</v>
      </c>
      <c r="AR2632" s="55" t="s">
        <v>1565</v>
      </c>
      <c r="AS2632" s="55" t="s">
        <v>5133</v>
      </c>
      <c r="AU2632" s="181" t="s">
        <v>7494</v>
      </c>
      <c r="AV2632" s="185" t="s">
        <v>176</v>
      </c>
      <c r="AX2632" s="185" t="s">
        <v>176</v>
      </c>
      <c r="BE2632" s="226" t="s">
        <v>2700</v>
      </c>
      <c r="BG2632" s="191" t="s">
        <v>176</v>
      </c>
      <c r="BH2632" s="226" t="s">
        <v>2701</v>
      </c>
      <c r="BI2632" s="191" t="s">
        <v>479</v>
      </c>
      <c r="BK2632" s="55" t="s">
        <v>6333</v>
      </c>
      <c r="BM2632" s="192" t="s">
        <v>2702</v>
      </c>
      <c r="BN2632" s="55">
        <v>3</v>
      </c>
      <c r="BO2632" s="55">
        <v>3</v>
      </c>
      <c r="BQ2632" s="55" t="s">
        <v>141</v>
      </c>
      <c r="DB2632" s="65">
        <v>6.3</v>
      </c>
      <c r="DC2632" s="65">
        <v>13.4</v>
      </c>
      <c r="DF2632" s="65" t="s">
        <v>2699</v>
      </c>
      <c r="GP2632" s="292" t="s">
        <v>7494</v>
      </c>
    </row>
    <row r="2633" spans="1:198" x14ac:dyDescent="0.25">
      <c r="A2633" s="55">
        <v>2632</v>
      </c>
      <c r="B2633" s="12" t="s">
        <v>7067</v>
      </c>
      <c r="C2633" s="155">
        <v>123</v>
      </c>
      <c r="D2633" s="55" t="s">
        <v>4253</v>
      </c>
      <c r="E2633" s="90" t="s">
        <v>2687</v>
      </c>
      <c r="G2633" s="55" t="s">
        <v>2686</v>
      </c>
      <c r="H2633" s="55">
        <v>2003</v>
      </c>
      <c r="I2633" s="55">
        <v>2000</v>
      </c>
      <c r="J2633" s="55" t="s">
        <v>2688</v>
      </c>
      <c r="K2633" s="55" t="s">
        <v>2689</v>
      </c>
      <c r="L2633" s="55" t="s">
        <v>2750</v>
      </c>
      <c r="M2633" s="90">
        <f>-14-15/60</f>
        <v>-14.25</v>
      </c>
      <c r="N2633" s="90">
        <v>32</v>
      </c>
      <c r="O2633" s="90">
        <v>988</v>
      </c>
      <c r="S2633" s="90">
        <v>850</v>
      </c>
      <c r="U2633" s="55" t="s">
        <v>1816</v>
      </c>
      <c r="V2633" s="55" t="s">
        <v>1801</v>
      </c>
      <c r="Y2633" s="55" t="s">
        <v>2690</v>
      </c>
      <c r="Z2633" s="55" t="s">
        <v>1361</v>
      </c>
      <c r="AA2633" s="90" t="s">
        <v>1682</v>
      </c>
      <c r="AE2633" s="90">
        <v>44</v>
      </c>
      <c r="AF2633" s="90">
        <f>100-44-50</f>
        <v>6</v>
      </c>
      <c r="AH2633" s="55" t="s">
        <v>769</v>
      </c>
      <c r="AI2633" s="168">
        <v>5.6</v>
      </c>
      <c r="AJ2633" s="90">
        <v>0.9</v>
      </c>
      <c r="AM2633" s="55" t="s">
        <v>2691</v>
      </c>
      <c r="AN2633" s="185" t="s">
        <v>2692</v>
      </c>
      <c r="AO2633" s="185" t="s">
        <v>5150</v>
      </c>
      <c r="AQ2633" s="55" t="s">
        <v>553</v>
      </c>
      <c r="AR2633" s="55" t="s">
        <v>1565</v>
      </c>
      <c r="AS2633" s="55" t="s">
        <v>5133</v>
      </c>
      <c r="AU2633" s="181" t="s">
        <v>7494</v>
      </c>
      <c r="AV2633" s="185" t="s">
        <v>176</v>
      </c>
      <c r="AX2633" s="185" t="s">
        <v>176</v>
      </c>
      <c r="BE2633" s="226" t="s">
        <v>2700</v>
      </c>
      <c r="BG2633" s="191" t="s">
        <v>176</v>
      </c>
      <c r="BH2633" s="226" t="s">
        <v>2701</v>
      </c>
      <c r="BI2633" s="191" t="s">
        <v>479</v>
      </c>
      <c r="BK2633" s="55" t="s">
        <v>6333</v>
      </c>
      <c r="BM2633" s="192" t="s">
        <v>2702</v>
      </c>
      <c r="BN2633" s="55">
        <v>3</v>
      </c>
      <c r="BO2633" s="55">
        <v>3</v>
      </c>
      <c r="BQ2633" s="55" t="s">
        <v>141</v>
      </c>
      <c r="EU2633" s="65">
        <v>0.9</v>
      </c>
      <c r="EV2633" s="65">
        <v>0.9</v>
      </c>
      <c r="EY2633" s="65" t="s">
        <v>2366</v>
      </c>
      <c r="GP2633" s="292" t="s">
        <v>7494</v>
      </c>
    </row>
    <row r="2634" spans="1:198" x14ac:dyDescent="0.25">
      <c r="A2634" s="55">
        <v>2633</v>
      </c>
      <c r="B2634" s="12" t="s">
        <v>7067</v>
      </c>
      <c r="C2634" s="155">
        <v>123</v>
      </c>
      <c r="D2634" s="55" t="s">
        <v>4253</v>
      </c>
      <c r="E2634" s="90" t="s">
        <v>2687</v>
      </c>
      <c r="G2634" s="55" t="s">
        <v>2686</v>
      </c>
      <c r="H2634" s="55">
        <v>2003</v>
      </c>
      <c r="I2634" s="55">
        <v>2000</v>
      </c>
      <c r="J2634" s="55" t="s">
        <v>2688</v>
      </c>
      <c r="K2634" s="55" t="s">
        <v>2689</v>
      </c>
      <c r="L2634" s="55" t="s">
        <v>2750</v>
      </c>
      <c r="M2634" s="90">
        <f>-14-15/60</f>
        <v>-14.25</v>
      </c>
      <c r="N2634" s="90">
        <v>32</v>
      </c>
      <c r="O2634" s="90">
        <v>988</v>
      </c>
      <c r="S2634" s="90">
        <v>850</v>
      </c>
      <c r="U2634" s="55" t="s">
        <v>1816</v>
      </c>
      <c r="V2634" s="55" t="s">
        <v>1801</v>
      </c>
      <c r="Y2634" s="55" t="s">
        <v>2690</v>
      </c>
      <c r="Z2634" s="55" t="s">
        <v>1361</v>
      </c>
      <c r="AA2634" s="90" t="s">
        <v>1682</v>
      </c>
      <c r="AE2634" s="90">
        <v>44</v>
      </c>
      <c r="AF2634" s="90">
        <f>100-44-50</f>
        <v>6</v>
      </c>
      <c r="AH2634" s="55" t="s">
        <v>769</v>
      </c>
      <c r="AI2634" s="168">
        <v>5.6</v>
      </c>
      <c r="AJ2634" s="90">
        <v>0.9</v>
      </c>
      <c r="AM2634" s="55" t="s">
        <v>2691</v>
      </c>
      <c r="AN2634" s="185" t="s">
        <v>2620</v>
      </c>
      <c r="AO2634" s="185" t="s">
        <v>5150</v>
      </c>
      <c r="AQ2634" s="55" t="s">
        <v>553</v>
      </c>
      <c r="AR2634" s="55" t="s">
        <v>1565</v>
      </c>
      <c r="AS2634" s="55" t="s">
        <v>5133</v>
      </c>
      <c r="AU2634" s="181" t="s">
        <v>7494</v>
      </c>
      <c r="AV2634" s="185" t="s">
        <v>176</v>
      </c>
      <c r="AX2634" s="185" t="s">
        <v>176</v>
      </c>
      <c r="BE2634" s="226" t="s">
        <v>2700</v>
      </c>
      <c r="BG2634" s="191" t="s">
        <v>176</v>
      </c>
      <c r="BH2634" s="226" t="s">
        <v>2701</v>
      </c>
      <c r="BI2634" s="191" t="s">
        <v>479</v>
      </c>
      <c r="BK2634" s="55" t="s">
        <v>6333</v>
      </c>
      <c r="BM2634" s="192" t="s">
        <v>2702</v>
      </c>
      <c r="BN2634" s="55">
        <v>3</v>
      </c>
      <c r="BO2634" s="55">
        <v>3</v>
      </c>
      <c r="BQ2634" s="55" t="s">
        <v>141</v>
      </c>
      <c r="EU2634" s="65">
        <v>0.9</v>
      </c>
      <c r="EV2634" s="65">
        <v>0.6</v>
      </c>
      <c r="EY2634" s="65" t="s">
        <v>2366</v>
      </c>
      <c r="GP2634" s="292" t="s">
        <v>7494</v>
      </c>
    </row>
    <row r="2635" spans="1:198" x14ac:dyDescent="0.25">
      <c r="A2635" s="55">
        <v>2634</v>
      </c>
      <c r="B2635" s="12" t="s">
        <v>7067</v>
      </c>
      <c r="C2635" s="155">
        <v>123</v>
      </c>
      <c r="D2635" s="55" t="s">
        <v>4253</v>
      </c>
      <c r="E2635" s="90" t="s">
        <v>2687</v>
      </c>
      <c r="G2635" s="55" t="s">
        <v>2686</v>
      </c>
      <c r="H2635" s="55">
        <v>2003</v>
      </c>
      <c r="I2635" s="55">
        <v>2000</v>
      </c>
      <c r="J2635" s="55" t="s">
        <v>2688</v>
      </c>
      <c r="K2635" s="55" t="s">
        <v>2689</v>
      </c>
      <c r="L2635" s="55" t="s">
        <v>2750</v>
      </c>
      <c r="M2635" s="90">
        <f>-14-15/60</f>
        <v>-14.25</v>
      </c>
      <c r="N2635" s="90">
        <v>32</v>
      </c>
      <c r="O2635" s="90">
        <v>988</v>
      </c>
      <c r="S2635" s="90">
        <v>850</v>
      </c>
      <c r="U2635" s="55" t="s">
        <v>1816</v>
      </c>
      <c r="V2635" s="55" t="s">
        <v>1801</v>
      </c>
      <c r="Y2635" s="55" t="s">
        <v>2690</v>
      </c>
      <c r="Z2635" s="55" t="s">
        <v>1361</v>
      </c>
      <c r="AA2635" s="90" t="s">
        <v>1682</v>
      </c>
      <c r="AE2635" s="90">
        <v>44</v>
      </c>
      <c r="AF2635" s="90">
        <f>100-44-50</f>
        <v>6</v>
      </c>
      <c r="AH2635" s="55" t="s">
        <v>769</v>
      </c>
      <c r="AI2635" s="168">
        <v>5.6</v>
      </c>
      <c r="AJ2635" s="90">
        <v>0.9</v>
      </c>
      <c r="AM2635" s="55" t="s">
        <v>2691</v>
      </c>
      <c r="AN2635" s="185" t="s">
        <v>2693</v>
      </c>
      <c r="AO2635" s="185" t="s">
        <v>5150</v>
      </c>
      <c r="AQ2635" s="55" t="s">
        <v>553</v>
      </c>
      <c r="AR2635" s="55" t="s">
        <v>1565</v>
      </c>
      <c r="AS2635" s="55" t="s">
        <v>5133</v>
      </c>
      <c r="AU2635" s="181" t="s">
        <v>7494</v>
      </c>
      <c r="AV2635" s="185" t="s">
        <v>176</v>
      </c>
      <c r="AX2635" s="185" t="s">
        <v>176</v>
      </c>
      <c r="BE2635" s="226" t="s">
        <v>2700</v>
      </c>
      <c r="BG2635" s="191" t="s">
        <v>176</v>
      </c>
      <c r="BH2635" s="226" t="s">
        <v>2701</v>
      </c>
      <c r="BI2635" s="191" t="s">
        <v>479</v>
      </c>
      <c r="BK2635" s="55" t="s">
        <v>6333</v>
      </c>
      <c r="BM2635" s="192" t="s">
        <v>2702</v>
      </c>
      <c r="BN2635" s="55">
        <v>3</v>
      </c>
      <c r="BO2635" s="55">
        <v>3</v>
      </c>
      <c r="BQ2635" s="55" t="s">
        <v>141</v>
      </c>
      <c r="EU2635" s="65">
        <v>0.9</v>
      </c>
      <c r="EV2635" s="65">
        <v>0.8</v>
      </c>
      <c r="EY2635" s="65" t="s">
        <v>2366</v>
      </c>
      <c r="GP2635" s="292" t="s">
        <v>7494</v>
      </c>
    </row>
    <row r="2636" spans="1:198" x14ac:dyDescent="0.25">
      <c r="A2636" s="55">
        <v>2635</v>
      </c>
      <c r="B2636" s="12" t="s">
        <v>7067</v>
      </c>
      <c r="C2636" s="155">
        <v>123</v>
      </c>
      <c r="D2636" s="55" t="s">
        <v>4253</v>
      </c>
      <c r="E2636" s="90" t="s">
        <v>2687</v>
      </c>
      <c r="G2636" s="55" t="s">
        <v>2686</v>
      </c>
      <c r="H2636" s="55">
        <v>2003</v>
      </c>
      <c r="I2636" s="55">
        <v>2000</v>
      </c>
      <c r="J2636" s="55" t="s">
        <v>2688</v>
      </c>
      <c r="K2636" s="55" t="s">
        <v>2689</v>
      </c>
      <c r="L2636" s="55" t="s">
        <v>2750</v>
      </c>
      <c r="M2636" s="90">
        <f>-14-15/60</f>
        <v>-14.25</v>
      </c>
      <c r="N2636" s="90">
        <v>32</v>
      </c>
      <c r="O2636" s="90">
        <v>988</v>
      </c>
      <c r="S2636" s="90">
        <v>850</v>
      </c>
      <c r="U2636" s="55" t="s">
        <v>1816</v>
      </c>
      <c r="V2636" s="55" t="s">
        <v>1801</v>
      </c>
      <c r="Y2636" s="55" t="s">
        <v>2690</v>
      </c>
      <c r="Z2636" s="55" t="s">
        <v>1361</v>
      </c>
      <c r="AA2636" s="90" t="s">
        <v>1682</v>
      </c>
      <c r="AE2636" s="90">
        <v>44</v>
      </c>
      <c r="AF2636" s="90">
        <f>100-44-50</f>
        <v>6</v>
      </c>
      <c r="AH2636" s="55" t="s">
        <v>769</v>
      </c>
      <c r="AI2636" s="168">
        <v>5.6</v>
      </c>
      <c r="AJ2636" s="90">
        <v>0.9</v>
      </c>
      <c r="AM2636" s="55" t="s">
        <v>2691</v>
      </c>
      <c r="AN2636" s="185" t="s">
        <v>2696</v>
      </c>
      <c r="AO2636" s="185" t="s">
        <v>5150</v>
      </c>
      <c r="AQ2636" s="55" t="s">
        <v>553</v>
      </c>
      <c r="AR2636" s="55" t="s">
        <v>1565</v>
      </c>
      <c r="AS2636" s="55" t="s">
        <v>5133</v>
      </c>
      <c r="AU2636" s="181" t="s">
        <v>7494</v>
      </c>
      <c r="AV2636" s="185" t="s">
        <v>176</v>
      </c>
      <c r="AX2636" s="185" t="s">
        <v>176</v>
      </c>
      <c r="BE2636" s="226" t="s">
        <v>2700</v>
      </c>
      <c r="BG2636" s="191" t="s">
        <v>176</v>
      </c>
      <c r="BH2636" s="226" t="s">
        <v>2701</v>
      </c>
      <c r="BI2636" s="191" t="s">
        <v>479</v>
      </c>
      <c r="BK2636" s="55" t="s">
        <v>6333</v>
      </c>
      <c r="BM2636" s="192" t="s">
        <v>2702</v>
      </c>
      <c r="BN2636" s="55">
        <v>3</v>
      </c>
      <c r="BO2636" s="55">
        <v>3</v>
      </c>
      <c r="BQ2636" s="55" t="s">
        <v>141</v>
      </c>
      <c r="EU2636" s="65">
        <v>0.9</v>
      </c>
      <c r="EV2636" s="65">
        <v>1</v>
      </c>
      <c r="EY2636" s="65" t="s">
        <v>2366</v>
      </c>
      <c r="GP2636" s="292" t="s">
        <v>7494</v>
      </c>
    </row>
    <row r="2637" spans="1:198" x14ac:dyDescent="0.25">
      <c r="A2637" s="55">
        <v>2636</v>
      </c>
      <c r="B2637" s="12" t="s">
        <v>7067</v>
      </c>
      <c r="C2637" s="155">
        <v>123</v>
      </c>
      <c r="D2637" s="55" t="s">
        <v>4253</v>
      </c>
      <c r="E2637" s="90" t="s">
        <v>2687</v>
      </c>
      <c r="G2637" s="55" t="s">
        <v>2686</v>
      </c>
      <c r="H2637" s="55">
        <v>2003</v>
      </c>
      <c r="I2637" s="55">
        <v>2000</v>
      </c>
      <c r="J2637" s="55" t="s">
        <v>2688</v>
      </c>
      <c r="K2637" s="55" t="s">
        <v>2689</v>
      </c>
      <c r="L2637" s="55" t="s">
        <v>2750</v>
      </c>
      <c r="M2637" s="90">
        <f>-14-15/60</f>
        <v>-14.25</v>
      </c>
      <c r="N2637" s="90">
        <v>32</v>
      </c>
      <c r="O2637" s="90">
        <v>988</v>
      </c>
      <c r="S2637" s="90">
        <v>850</v>
      </c>
      <c r="U2637" s="55" t="s">
        <v>1816</v>
      </c>
      <c r="V2637" s="55" t="s">
        <v>1801</v>
      </c>
      <c r="Y2637" s="55" t="s">
        <v>2690</v>
      </c>
      <c r="Z2637" s="55" t="s">
        <v>1361</v>
      </c>
      <c r="AA2637" s="90" t="s">
        <v>1682</v>
      </c>
      <c r="AE2637" s="90">
        <v>44</v>
      </c>
      <c r="AF2637" s="90">
        <f>100-44-50</f>
        <v>6</v>
      </c>
      <c r="AH2637" s="55" t="s">
        <v>769</v>
      </c>
      <c r="AI2637" s="168">
        <v>5.6</v>
      </c>
      <c r="AJ2637" s="90">
        <v>0.9</v>
      </c>
      <c r="AM2637" s="55" t="s">
        <v>2691</v>
      </c>
      <c r="AN2637" s="185" t="s">
        <v>2694</v>
      </c>
      <c r="AO2637" s="185" t="s">
        <v>5150</v>
      </c>
      <c r="AQ2637" s="55" t="s">
        <v>1547</v>
      </c>
      <c r="AR2637" s="55" t="s">
        <v>1565</v>
      </c>
      <c r="AS2637" s="55" t="s">
        <v>5133</v>
      </c>
      <c r="AU2637" s="181" t="s">
        <v>7494</v>
      </c>
      <c r="AV2637" s="185" t="s">
        <v>176</v>
      </c>
      <c r="AX2637" s="185" t="s">
        <v>176</v>
      </c>
      <c r="BE2637" s="226" t="s">
        <v>2700</v>
      </c>
      <c r="BG2637" s="191" t="s">
        <v>176</v>
      </c>
      <c r="BH2637" s="226" t="s">
        <v>2701</v>
      </c>
      <c r="BI2637" s="191" t="s">
        <v>479</v>
      </c>
      <c r="BK2637" s="55" t="s">
        <v>6333</v>
      </c>
      <c r="BM2637" s="192" t="s">
        <v>2702</v>
      </c>
      <c r="BN2637" s="55">
        <v>3</v>
      </c>
      <c r="BO2637" s="55">
        <v>3</v>
      </c>
      <c r="BQ2637" s="55" t="s">
        <v>141</v>
      </c>
      <c r="EU2637" s="65">
        <v>0.9</v>
      </c>
      <c r="EV2637" s="65">
        <v>0.7</v>
      </c>
      <c r="EY2637" s="65" t="s">
        <v>2366</v>
      </c>
      <c r="GP2637" s="292" t="s">
        <v>7494</v>
      </c>
    </row>
    <row r="2638" spans="1:198" x14ac:dyDescent="0.25">
      <c r="A2638" s="55">
        <v>2637</v>
      </c>
      <c r="B2638" s="12" t="s">
        <v>7067</v>
      </c>
      <c r="C2638" s="155">
        <v>123</v>
      </c>
      <c r="D2638" s="55" t="s">
        <v>4253</v>
      </c>
      <c r="E2638" s="90" t="s">
        <v>2687</v>
      </c>
      <c r="G2638" s="55" t="s">
        <v>2686</v>
      </c>
      <c r="H2638" s="55">
        <v>2003</v>
      </c>
      <c r="I2638" s="55">
        <v>2000</v>
      </c>
      <c r="J2638" s="55" t="s">
        <v>2688</v>
      </c>
      <c r="K2638" s="55" t="s">
        <v>2689</v>
      </c>
      <c r="L2638" s="55" t="s">
        <v>2750</v>
      </c>
      <c r="M2638" s="90">
        <f>-14-15/60</f>
        <v>-14.25</v>
      </c>
      <c r="N2638" s="90">
        <v>32</v>
      </c>
      <c r="O2638" s="90">
        <v>988</v>
      </c>
      <c r="S2638" s="90">
        <v>850</v>
      </c>
      <c r="U2638" s="55" t="s">
        <v>1816</v>
      </c>
      <c r="V2638" s="55" t="s">
        <v>1801</v>
      </c>
      <c r="Y2638" s="55" t="s">
        <v>2690</v>
      </c>
      <c r="Z2638" s="55" t="s">
        <v>1361</v>
      </c>
      <c r="AA2638" s="90" t="s">
        <v>1682</v>
      </c>
      <c r="AE2638" s="90">
        <v>44</v>
      </c>
      <c r="AF2638" s="90">
        <f>100-44-50</f>
        <v>6</v>
      </c>
      <c r="AH2638" s="55" t="s">
        <v>769</v>
      </c>
      <c r="AI2638" s="168">
        <v>5.6</v>
      </c>
      <c r="AJ2638" s="90">
        <v>0.9</v>
      </c>
      <c r="AM2638" s="55" t="s">
        <v>2691</v>
      </c>
      <c r="AN2638" s="185" t="s">
        <v>2695</v>
      </c>
      <c r="AO2638" s="185" t="s">
        <v>5150</v>
      </c>
      <c r="AQ2638" s="55" t="s">
        <v>1547</v>
      </c>
      <c r="AR2638" s="55" t="s">
        <v>1565</v>
      </c>
      <c r="AS2638" s="55" t="s">
        <v>5133</v>
      </c>
      <c r="AU2638" s="181" t="s">
        <v>7494</v>
      </c>
      <c r="AV2638" s="185" t="s">
        <v>176</v>
      </c>
      <c r="AX2638" s="185" t="s">
        <v>176</v>
      </c>
      <c r="BE2638" s="226" t="s">
        <v>2700</v>
      </c>
      <c r="BG2638" s="191" t="s">
        <v>176</v>
      </c>
      <c r="BH2638" s="226" t="s">
        <v>2701</v>
      </c>
      <c r="BI2638" s="191" t="s">
        <v>479</v>
      </c>
      <c r="BK2638" s="55" t="s">
        <v>6333</v>
      </c>
      <c r="BM2638" s="192" t="s">
        <v>2702</v>
      </c>
      <c r="BN2638" s="55">
        <v>3</v>
      </c>
      <c r="BO2638" s="55">
        <v>3</v>
      </c>
      <c r="BQ2638" s="55" t="s">
        <v>141</v>
      </c>
      <c r="EU2638" s="65">
        <v>0.9</v>
      </c>
      <c r="EV2638" s="65">
        <v>0.7</v>
      </c>
      <c r="EY2638" s="65" t="s">
        <v>2366</v>
      </c>
      <c r="GP2638" s="292" t="s">
        <v>7494</v>
      </c>
    </row>
    <row r="2639" spans="1:198" x14ac:dyDescent="0.25">
      <c r="A2639" s="55">
        <v>2638</v>
      </c>
      <c r="B2639" s="12" t="s">
        <v>7067</v>
      </c>
      <c r="C2639" s="155">
        <v>123</v>
      </c>
      <c r="D2639" s="55" t="s">
        <v>4253</v>
      </c>
      <c r="E2639" s="90" t="s">
        <v>2687</v>
      </c>
      <c r="G2639" s="55" t="s">
        <v>2686</v>
      </c>
      <c r="H2639" s="55">
        <v>2003</v>
      </c>
      <c r="I2639" s="55">
        <v>2000</v>
      </c>
      <c r="J2639" s="55" t="s">
        <v>2688</v>
      </c>
      <c r="K2639" s="55" t="s">
        <v>2689</v>
      </c>
      <c r="L2639" s="55" t="s">
        <v>2750</v>
      </c>
      <c r="M2639" s="90">
        <f>-14-15/60</f>
        <v>-14.25</v>
      </c>
      <c r="N2639" s="90">
        <v>32</v>
      </c>
      <c r="O2639" s="90">
        <v>988</v>
      </c>
      <c r="S2639" s="90">
        <v>850</v>
      </c>
      <c r="U2639" s="55" t="s">
        <v>1816</v>
      </c>
      <c r="V2639" s="55" t="s">
        <v>1801</v>
      </c>
      <c r="Y2639" s="55" t="s">
        <v>2690</v>
      </c>
      <c r="Z2639" s="55" t="s">
        <v>1361</v>
      </c>
      <c r="AA2639" s="90" t="s">
        <v>1682</v>
      </c>
      <c r="AE2639" s="90">
        <v>44</v>
      </c>
      <c r="AF2639" s="90">
        <f>100-44-50</f>
        <v>6</v>
      </c>
      <c r="AH2639" s="55" t="s">
        <v>769</v>
      </c>
      <c r="AI2639" s="168">
        <v>5.6</v>
      </c>
      <c r="AJ2639" s="90">
        <v>0.9</v>
      </c>
      <c r="AM2639" s="55" t="s">
        <v>2691</v>
      </c>
      <c r="AN2639" s="185" t="s">
        <v>2697</v>
      </c>
      <c r="AO2639" s="185" t="s">
        <v>5150</v>
      </c>
      <c r="AQ2639" s="55" t="s">
        <v>1547</v>
      </c>
      <c r="AR2639" s="55" t="s">
        <v>1565</v>
      </c>
      <c r="AS2639" s="55" t="s">
        <v>5133</v>
      </c>
      <c r="AU2639" s="181" t="s">
        <v>7494</v>
      </c>
      <c r="AV2639" s="185" t="s">
        <v>176</v>
      </c>
      <c r="AX2639" s="185" t="s">
        <v>176</v>
      </c>
      <c r="BE2639" s="226" t="s">
        <v>2700</v>
      </c>
      <c r="BG2639" s="191" t="s">
        <v>176</v>
      </c>
      <c r="BH2639" s="226" t="s">
        <v>2701</v>
      </c>
      <c r="BI2639" s="191" t="s">
        <v>479</v>
      </c>
      <c r="BK2639" s="55" t="s">
        <v>6333</v>
      </c>
      <c r="BM2639" s="192" t="s">
        <v>2702</v>
      </c>
      <c r="BN2639" s="55">
        <v>3</v>
      </c>
      <c r="BO2639" s="55">
        <v>3</v>
      </c>
      <c r="BQ2639" s="55" t="s">
        <v>141</v>
      </c>
      <c r="EU2639" s="65">
        <v>0.9</v>
      </c>
      <c r="EV2639" s="65">
        <v>1</v>
      </c>
      <c r="EY2639" s="65" t="s">
        <v>2366</v>
      </c>
      <c r="GP2639" s="292" t="s">
        <v>7494</v>
      </c>
    </row>
    <row r="2640" spans="1:198" x14ac:dyDescent="0.25">
      <c r="A2640" s="55">
        <v>2639</v>
      </c>
      <c r="B2640" s="12" t="s">
        <v>7067</v>
      </c>
      <c r="C2640" s="155">
        <v>123</v>
      </c>
      <c r="D2640" s="55" t="s">
        <v>4254</v>
      </c>
      <c r="E2640" s="90" t="s">
        <v>2687</v>
      </c>
      <c r="G2640" s="55" t="s">
        <v>2686</v>
      </c>
      <c r="H2640" s="55">
        <v>2003</v>
      </c>
      <c r="I2640" s="55">
        <v>2000</v>
      </c>
      <c r="J2640" s="55" t="s">
        <v>2688</v>
      </c>
      <c r="K2640" s="55" t="s">
        <v>2689</v>
      </c>
      <c r="L2640" s="55" t="s">
        <v>2750</v>
      </c>
      <c r="M2640" s="90">
        <f>-14-15/60</f>
        <v>-14.25</v>
      </c>
      <c r="N2640" s="90">
        <v>32</v>
      </c>
      <c r="O2640" s="90">
        <v>988</v>
      </c>
      <c r="S2640" s="90">
        <v>850</v>
      </c>
      <c r="U2640" s="55" t="s">
        <v>1816</v>
      </c>
      <c r="V2640" s="55" t="s">
        <v>1801</v>
      </c>
      <c r="Y2640" s="55" t="s">
        <v>2690</v>
      </c>
      <c r="Z2640" s="55" t="s">
        <v>1368</v>
      </c>
      <c r="AA2640" s="90" t="s">
        <v>1682</v>
      </c>
      <c r="AE2640" s="90">
        <v>44</v>
      </c>
      <c r="AF2640" s="90">
        <f>100-44-50</f>
        <v>6</v>
      </c>
      <c r="AH2640" s="55" t="s">
        <v>769</v>
      </c>
      <c r="AI2640" s="168">
        <v>5.6</v>
      </c>
      <c r="AJ2640" s="90">
        <v>0.9</v>
      </c>
      <c r="AM2640" s="55" t="s">
        <v>2691</v>
      </c>
      <c r="AN2640" s="185" t="s">
        <v>2692</v>
      </c>
      <c r="AO2640" s="185" t="s">
        <v>5150</v>
      </c>
      <c r="AQ2640" s="55" t="s">
        <v>553</v>
      </c>
      <c r="AR2640" s="55" t="s">
        <v>1565</v>
      </c>
      <c r="AS2640" s="55" t="s">
        <v>5133</v>
      </c>
      <c r="AU2640" s="181" t="s">
        <v>7494</v>
      </c>
      <c r="AV2640" s="185" t="s">
        <v>176</v>
      </c>
      <c r="AX2640" s="185" t="s">
        <v>176</v>
      </c>
      <c r="BE2640" s="226" t="s">
        <v>2700</v>
      </c>
      <c r="BG2640" s="191" t="s">
        <v>176</v>
      </c>
      <c r="BH2640" s="226" t="s">
        <v>2701</v>
      </c>
      <c r="BI2640" s="191" t="s">
        <v>479</v>
      </c>
      <c r="BK2640" s="55" t="s">
        <v>6333</v>
      </c>
      <c r="BM2640" s="192" t="s">
        <v>2702</v>
      </c>
      <c r="BN2640" s="55">
        <v>3</v>
      </c>
      <c r="BO2640" s="55">
        <v>3</v>
      </c>
      <c r="BQ2640" s="55" t="s">
        <v>141</v>
      </c>
      <c r="EU2640" s="65">
        <v>1.6</v>
      </c>
      <c r="EV2640" s="65">
        <v>1.1000000000000001</v>
      </c>
      <c r="EY2640" s="65" t="s">
        <v>2366</v>
      </c>
      <c r="GP2640" s="292" t="s">
        <v>7494</v>
      </c>
    </row>
    <row r="2641" spans="1:198" x14ac:dyDescent="0.25">
      <c r="A2641" s="55">
        <v>2640</v>
      </c>
      <c r="B2641" s="12" t="s">
        <v>7067</v>
      </c>
      <c r="C2641" s="155">
        <v>123</v>
      </c>
      <c r="D2641" s="55" t="s">
        <v>4254</v>
      </c>
      <c r="E2641" s="90" t="s">
        <v>2687</v>
      </c>
      <c r="G2641" s="55" t="s">
        <v>2686</v>
      </c>
      <c r="H2641" s="55">
        <v>2003</v>
      </c>
      <c r="I2641" s="55">
        <v>2000</v>
      </c>
      <c r="J2641" s="55" t="s">
        <v>2688</v>
      </c>
      <c r="K2641" s="55" t="s">
        <v>2689</v>
      </c>
      <c r="L2641" s="55" t="s">
        <v>2750</v>
      </c>
      <c r="M2641" s="90">
        <f>-14-15/60</f>
        <v>-14.25</v>
      </c>
      <c r="N2641" s="90">
        <v>32</v>
      </c>
      <c r="O2641" s="90">
        <v>988</v>
      </c>
      <c r="S2641" s="90">
        <v>850</v>
      </c>
      <c r="U2641" s="55" t="s">
        <v>1816</v>
      </c>
      <c r="V2641" s="55" t="s">
        <v>1801</v>
      </c>
      <c r="Y2641" s="55" t="s">
        <v>2690</v>
      </c>
      <c r="Z2641" s="55" t="s">
        <v>1368</v>
      </c>
      <c r="AA2641" s="90" t="s">
        <v>1682</v>
      </c>
      <c r="AE2641" s="90">
        <v>44</v>
      </c>
      <c r="AF2641" s="90">
        <f>100-44-50</f>
        <v>6</v>
      </c>
      <c r="AH2641" s="55" t="s">
        <v>769</v>
      </c>
      <c r="AI2641" s="168">
        <v>5.6</v>
      </c>
      <c r="AJ2641" s="90">
        <v>0.9</v>
      </c>
      <c r="AM2641" s="55" t="s">
        <v>2691</v>
      </c>
      <c r="AN2641" s="185" t="s">
        <v>2620</v>
      </c>
      <c r="AO2641" s="185" t="s">
        <v>5150</v>
      </c>
      <c r="AQ2641" s="55" t="s">
        <v>553</v>
      </c>
      <c r="AR2641" s="55" t="s">
        <v>1565</v>
      </c>
      <c r="AS2641" s="55" t="s">
        <v>5133</v>
      </c>
      <c r="AU2641" s="181" t="s">
        <v>7494</v>
      </c>
      <c r="AV2641" s="185" t="s">
        <v>176</v>
      </c>
      <c r="AX2641" s="185" t="s">
        <v>176</v>
      </c>
      <c r="BE2641" s="226" t="s">
        <v>2700</v>
      </c>
      <c r="BG2641" s="191" t="s">
        <v>176</v>
      </c>
      <c r="BH2641" s="226" t="s">
        <v>2701</v>
      </c>
      <c r="BI2641" s="191" t="s">
        <v>479</v>
      </c>
      <c r="BK2641" s="55" t="s">
        <v>6333</v>
      </c>
      <c r="BM2641" s="192" t="s">
        <v>2702</v>
      </c>
      <c r="BN2641" s="55">
        <v>3</v>
      </c>
      <c r="BO2641" s="55">
        <v>3</v>
      </c>
      <c r="BQ2641" s="55" t="s">
        <v>141</v>
      </c>
      <c r="EU2641" s="65">
        <v>1.6</v>
      </c>
      <c r="EV2641" s="65">
        <v>0.9</v>
      </c>
      <c r="EY2641" s="65" t="s">
        <v>2366</v>
      </c>
      <c r="GP2641" s="292" t="s">
        <v>7494</v>
      </c>
    </row>
    <row r="2642" spans="1:198" x14ac:dyDescent="0.25">
      <c r="A2642" s="55">
        <v>2641</v>
      </c>
      <c r="B2642" s="12" t="s">
        <v>7067</v>
      </c>
      <c r="C2642" s="155">
        <v>123</v>
      </c>
      <c r="D2642" s="55" t="s">
        <v>4254</v>
      </c>
      <c r="E2642" s="90" t="s">
        <v>2687</v>
      </c>
      <c r="G2642" s="55" t="s">
        <v>2686</v>
      </c>
      <c r="H2642" s="55">
        <v>2003</v>
      </c>
      <c r="I2642" s="55">
        <v>2000</v>
      </c>
      <c r="J2642" s="55" t="s">
        <v>2688</v>
      </c>
      <c r="K2642" s="55" t="s">
        <v>2689</v>
      </c>
      <c r="L2642" s="55" t="s">
        <v>2750</v>
      </c>
      <c r="M2642" s="90">
        <f>-14-15/60</f>
        <v>-14.25</v>
      </c>
      <c r="N2642" s="90">
        <v>32</v>
      </c>
      <c r="O2642" s="90">
        <v>988</v>
      </c>
      <c r="S2642" s="90">
        <v>850</v>
      </c>
      <c r="U2642" s="55" t="s">
        <v>1816</v>
      </c>
      <c r="V2642" s="55" t="s">
        <v>1801</v>
      </c>
      <c r="Y2642" s="55" t="s">
        <v>2690</v>
      </c>
      <c r="Z2642" s="55" t="s">
        <v>1368</v>
      </c>
      <c r="AA2642" s="90" t="s">
        <v>1682</v>
      </c>
      <c r="AE2642" s="90">
        <v>44</v>
      </c>
      <c r="AF2642" s="90">
        <f>100-44-50</f>
        <v>6</v>
      </c>
      <c r="AH2642" s="55" t="s">
        <v>769</v>
      </c>
      <c r="AI2642" s="168">
        <v>5.6</v>
      </c>
      <c r="AJ2642" s="90">
        <v>0.9</v>
      </c>
      <c r="AM2642" s="55" t="s">
        <v>2691</v>
      </c>
      <c r="AN2642" s="185" t="s">
        <v>2693</v>
      </c>
      <c r="AO2642" s="185" t="s">
        <v>5150</v>
      </c>
      <c r="AQ2642" s="55" t="s">
        <v>553</v>
      </c>
      <c r="AR2642" s="55" t="s">
        <v>1565</v>
      </c>
      <c r="AS2642" s="55" t="s">
        <v>5133</v>
      </c>
      <c r="AU2642" s="181" t="s">
        <v>7494</v>
      </c>
      <c r="AV2642" s="185" t="s">
        <v>176</v>
      </c>
      <c r="AX2642" s="185" t="s">
        <v>176</v>
      </c>
      <c r="BE2642" s="226" t="s">
        <v>2700</v>
      </c>
      <c r="BG2642" s="191" t="s">
        <v>176</v>
      </c>
      <c r="BH2642" s="226" t="s">
        <v>2701</v>
      </c>
      <c r="BI2642" s="191" t="s">
        <v>479</v>
      </c>
      <c r="BK2642" s="55" t="s">
        <v>6333</v>
      </c>
      <c r="BM2642" s="192" t="s">
        <v>2702</v>
      </c>
      <c r="BN2642" s="55">
        <v>3</v>
      </c>
      <c r="BO2642" s="55">
        <v>3</v>
      </c>
      <c r="BQ2642" s="55" t="s">
        <v>141</v>
      </c>
      <c r="EU2642" s="65">
        <v>1.6</v>
      </c>
      <c r="EV2642" s="65">
        <v>1.1000000000000001</v>
      </c>
      <c r="EY2642" s="65" t="s">
        <v>2366</v>
      </c>
      <c r="GP2642" s="292" t="s">
        <v>7494</v>
      </c>
    </row>
    <row r="2643" spans="1:198" x14ac:dyDescent="0.25">
      <c r="A2643" s="55">
        <v>2642</v>
      </c>
      <c r="B2643" s="12" t="s">
        <v>7067</v>
      </c>
      <c r="C2643" s="155">
        <v>123</v>
      </c>
      <c r="D2643" s="55" t="s">
        <v>4254</v>
      </c>
      <c r="E2643" s="90" t="s">
        <v>2687</v>
      </c>
      <c r="G2643" s="55" t="s">
        <v>2686</v>
      </c>
      <c r="H2643" s="55">
        <v>2003</v>
      </c>
      <c r="I2643" s="55">
        <v>2000</v>
      </c>
      <c r="J2643" s="55" t="s">
        <v>2688</v>
      </c>
      <c r="K2643" s="55" t="s">
        <v>2689</v>
      </c>
      <c r="L2643" s="55" t="s">
        <v>2750</v>
      </c>
      <c r="M2643" s="90">
        <f>-14-15/60</f>
        <v>-14.25</v>
      </c>
      <c r="N2643" s="90">
        <v>32</v>
      </c>
      <c r="O2643" s="90">
        <v>988</v>
      </c>
      <c r="S2643" s="90">
        <v>850</v>
      </c>
      <c r="U2643" s="55" t="s">
        <v>1816</v>
      </c>
      <c r="V2643" s="55" t="s">
        <v>1801</v>
      </c>
      <c r="Y2643" s="55" t="s">
        <v>2690</v>
      </c>
      <c r="Z2643" s="55" t="s">
        <v>1368</v>
      </c>
      <c r="AA2643" s="90" t="s">
        <v>1682</v>
      </c>
      <c r="AE2643" s="90">
        <v>44</v>
      </c>
      <c r="AF2643" s="90">
        <f>100-44-50</f>
        <v>6</v>
      </c>
      <c r="AH2643" s="55" t="s">
        <v>769</v>
      </c>
      <c r="AI2643" s="168">
        <v>5.6</v>
      </c>
      <c r="AJ2643" s="90">
        <v>0.9</v>
      </c>
      <c r="AM2643" s="55" t="s">
        <v>2691</v>
      </c>
      <c r="AN2643" s="185" t="s">
        <v>2696</v>
      </c>
      <c r="AO2643" s="185" t="s">
        <v>5150</v>
      </c>
      <c r="AQ2643" s="55" t="s">
        <v>553</v>
      </c>
      <c r="AR2643" s="55" t="s">
        <v>1565</v>
      </c>
      <c r="AS2643" s="55" t="s">
        <v>5133</v>
      </c>
      <c r="AU2643" s="181" t="s">
        <v>7494</v>
      </c>
      <c r="AV2643" s="185" t="s">
        <v>176</v>
      </c>
      <c r="AX2643" s="185" t="s">
        <v>176</v>
      </c>
      <c r="BE2643" s="226" t="s">
        <v>2700</v>
      </c>
      <c r="BG2643" s="191" t="s">
        <v>176</v>
      </c>
      <c r="BH2643" s="226" t="s">
        <v>2701</v>
      </c>
      <c r="BI2643" s="191" t="s">
        <v>479</v>
      </c>
      <c r="BK2643" s="55" t="s">
        <v>6333</v>
      </c>
      <c r="BM2643" s="192" t="s">
        <v>2702</v>
      </c>
      <c r="BN2643" s="55">
        <v>3</v>
      </c>
      <c r="BO2643" s="55">
        <v>3</v>
      </c>
      <c r="BQ2643" s="55" t="s">
        <v>141</v>
      </c>
      <c r="EU2643" s="65">
        <v>1.6</v>
      </c>
      <c r="EV2643" s="65">
        <v>1.6</v>
      </c>
      <c r="EY2643" s="65" t="s">
        <v>2366</v>
      </c>
      <c r="GP2643" s="292" t="s">
        <v>7494</v>
      </c>
    </row>
    <row r="2644" spans="1:198" x14ac:dyDescent="0.25">
      <c r="A2644" s="55">
        <v>2643</v>
      </c>
      <c r="B2644" s="12" t="s">
        <v>7067</v>
      </c>
      <c r="C2644" s="155">
        <v>123</v>
      </c>
      <c r="D2644" s="55" t="s">
        <v>4254</v>
      </c>
      <c r="E2644" s="90" t="s">
        <v>2687</v>
      </c>
      <c r="G2644" s="55" t="s">
        <v>2686</v>
      </c>
      <c r="H2644" s="55">
        <v>2003</v>
      </c>
      <c r="I2644" s="55">
        <v>2000</v>
      </c>
      <c r="J2644" s="55" t="s">
        <v>2688</v>
      </c>
      <c r="K2644" s="55" t="s">
        <v>2689</v>
      </c>
      <c r="L2644" s="55" t="s">
        <v>2750</v>
      </c>
      <c r="M2644" s="90">
        <f>-14-15/60</f>
        <v>-14.25</v>
      </c>
      <c r="N2644" s="90">
        <v>32</v>
      </c>
      <c r="O2644" s="90">
        <v>988</v>
      </c>
      <c r="S2644" s="90">
        <v>850</v>
      </c>
      <c r="U2644" s="55" t="s">
        <v>1816</v>
      </c>
      <c r="V2644" s="55" t="s">
        <v>1801</v>
      </c>
      <c r="Y2644" s="55" t="s">
        <v>2690</v>
      </c>
      <c r="Z2644" s="55" t="s">
        <v>1368</v>
      </c>
      <c r="AA2644" s="90" t="s">
        <v>1682</v>
      </c>
      <c r="AE2644" s="90">
        <v>44</v>
      </c>
      <c r="AF2644" s="90">
        <f>100-44-50</f>
        <v>6</v>
      </c>
      <c r="AH2644" s="55" t="s">
        <v>769</v>
      </c>
      <c r="AI2644" s="168">
        <v>5.6</v>
      </c>
      <c r="AJ2644" s="90">
        <v>0.9</v>
      </c>
      <c r="AM2644" s="55" t="s">
        <v>2691</v>
      </c>
      <c r="AN2644" s="185" t="s">
        <v>2694</v>
      </c>
      <c r="AO2644" s="185" t="s">
        <v>5150</v>
      </c>
      <c r="AQ2644" s="55" t="s">
        <v>1547</v>
      </c>
      <c r="AR2644" s="55" t="s">
        <v>1565</v>
      </c>
      <c r="AS2644" s="55" t="s">
        <v>5133</v>
      </c>
      <c r="AU2644" s="181" t="s">
        <v>7494</v>
      </c>
      <c r="AV2644" s="185" t="s">
        <v>176</v>
      </c>
      <c r="AX2644" s="185" t="s">
        <v>176</v>
      </c>
      <c r="BE2644" s="226" t="s">
        <v>2700</v>
      </c>
      <c r="BG2644" s="191" t="s">
        <v>176</v>
      </c>
      <c r="BH2644" s="226" t="s">
        <v>2701</v>
      </c>
      <c r="BI2644" s="191" t="s">
        <v>479</v>
      </c>
      <c r="BK2644" s="55" t="s">
        <v>6333</v>
      </c>
      <c r="BM2644" s="192" t="s">
        <v>2702</v>
      </c>
      <c r="BN2644" s="55">
        <v>3</v>
      </c>
      <c r="BO2644" s="55">
        <v>3</v>
      </c>
      <c r="BQ2644" s="55" t="s">
        <v>141</v>
      </c>
      <c r="EU2644" s="65">
        <v>1.6</v>
      </c>
      <c r="EV2644" s="65">
        <v>0.8</v>
      </c>
      <c r="EY2644" s="65" t="s">
        <v>2366</v>
      </c>
      <c r="GP2644" s="292" t="s">
        <v>7494</v>
      </c>
    </row>
    <row r="2645" spans="1:198" x14ac:dyDescent="0.25">
      <c r="A2645" s="55">
        <v>2644</v>
      </c>
      <c r="B2645" s="12" t="s">
        <v>7067</v>
      </c>
      <c r="C2645" s="155">
        <v>123</v>
      </c>
      <c r="D2645" s="55" t="s">
        <v>4254</v>
      </c>
      <c r="E2645" s="90" t="s">
        <v>2687</v>
      </c>
      <c r="G2645" s="55" t="s">
        <v>2686</v>
      </c>
      <c r="H2645" s="55">
        <v>2003</v>
      </c>
      <c r="I2645" s="55">
        <v>2000</v>
      </c>
      <c r="J2645" s="55" t="s">
        <v>2688</v>
      </c>
      <c r="K2645" s="55" t="s">
        <v>2689</v>
      </c>
      <c r="L2645" s="55" t="s">
        <v>2750</v>
      </c>
      <c r="M2645" s="90">
        <f>-14-15/60</f>
        <v>-14.25</v>
      </c>
      <c r="N2645" s="90">
        <v>32</v>
      </c>
      <c r="O2645" s="90">
        <v>988</v>
      </c>
      <c r="S2645" s="90">
        <v>850</v>
      </c>
      <c r="U2645" s="55" t="s">
        <v>1816</v>
      </c>
      <c r="V2645" s="55" t="s">
        <v>1801</v>
      </c>
      <c r="Y2645" s="55" t="s">
        <v>2690</v>
      </c>
      <c r="Z2645" s="55" t="s">
        <v>1368</v>
      </c>
      <c r="AA2645" s="90" t="s">
        <v>1682</v>
      </c>
      <c r="AE2645" s="90">
        <v>44</v>
      </c>
      <c r="AF2645" s="90">
        <f>100-44-50</f>
        <v>6</v>
      </c>
      <c r="AH2645" s="55" t="s">
        <v>769</v>
      </c>
      <c r="AI2645" s="168">
        <v>5.6</v>
      </c>
      <c r="AJ2645" s="90">
        <v>0.9</v>
      </c>
      <c r="AM2645" s="55" t="s">
        <v>2691</v>
      </c>
      <c r="AN2645" s="185" t="s">
        <v>2695</v>
      </c>
      <c r="AO2645" s="185" t="s">
        <v>5150</v>
      </c>
      <c r="AQ2645" s="55" t="s">
        <v>1547</v>
      </c>
      <c r="AR2645" s="55" t="s">
        <v>1565</v>
      </c>
      <c r="AS2645" s="55" t="s">
        <v>5133</v>
      </c>
      <c r="AU2645" s="181" t="s">
        <v>7494</v>
      </c>
      <c r="AV2645" s="185" t="s">
        <v>176</v>
      </c>
      <c r="AX2645" s="185" t="s">
        <v>176</v>
      </c>
      <c r="BE2645" s="226" t="s">
        <v>2700</v>
      </c>
      <c r="BG2645" s="191" t="s">
        <v>176</v>
      </c>
      <c r="BH2645" s="226" t="s">
        <v>2701</v>
      </c>
      <c r="BI2645" s="191" t="s">
        <v>479</v>
      </c>
      <c r="BK2645" s="55" t="s">
        <v>6333</v>
      </c>
      <c r="BM2645" s="192" t="s">
        <v>2702</v>
      </c>
      <c r="BN2645" s="55">
        <v>3</v>
      </c>
      <c r="BO2645" s="55">
        <v>3</v>
      </c>
      <c r="BQ2645" s="55" t="s">
        <v>141</v>
      </c>
      <c r="EU2645" s="65">
        <v>1.6</v>
      </c>
      <c r="EV2645" s="65">
        <v>0.8</v>
      </c>
      <c r="EY2645" s="65" t="s">
        <v>2366</v>
      </c>
      <c r="GP2645" s="292" t="s">
        <v>7494</v>
      </c>
    </row>
    <row r="2646" spans="1:198" x14ac:dyDescent="0.25">
      <c r="A2646" s="55">
        <v>2645</v>
      </c>
      <c r="B2646" s="12" t="s">
        <v>7067</v>
      </c>
      <c r="C2646" s="155">
        <v>123</v>
      </c>
      <c r="D2646" s="55" t="s">
        <v>4254</v>
      </c>
      <c r="E2646" s="90" t="s">
        <v>2687</v>
      </c>
      <c r="G2646" s="55" t="s">
        <v>2686</v>
      </c>
      <c r="H2646" s="55">
        <v>2003</v>
      </c>
      <c r="I2646" s="55">
        <v>2000</v>
      </c>
      <c r="J2646" s="55" t="s">
        <v>2688</v>
      </c>
      <c r="K2646" s="55" t="s">
        <v>2689</v>
      </c>
      <c r="L2646" s="55" t="s">
        <v>2750</v>
      </c>
      <c r="M2646" s="90">
        <f>-14-15/60</f>
        <v>-14.25</v>
      </c>
      <c r="N2646" s="90">
        <v>32</v>
      </c>
      <c r="O2646" s="90">
        <v>988</v>
      </c>
      <c r="S2646" s="90">
        <v>850</v>
      </c>
      <c r="U2646" s="55" t="s">
        <v>1816</v>
      </c>
      <c r="V2646" s="55" t="s">
        <v>1801</v>
      </c>
      <c r="Y2646" s="55" t="s">
        <v>2690</v>
      </c>
      <c r="Z2646" s="55" t="s">
        <v>1368</v>
      </c>
      <c r="AA2646" s="90" t="s">
        <v>1682</v>
      </c>
      <c r="AE2646" s="90">
        <v>44</v>
      </c>
      <c r="AF2646" s="90">
        <f>100-44-50</f>
        <v>6</v>
      </c>
      <c r="AH2646" s="55" t="s">
        <v>769</v>
      </c>
      <c r="AI2646" s="168">
        <v>5.6</v>
      </c>
      <c r="AJ2646" s="90">
        <v>0.9</v>
      </c>
      <c r="AM2646" s="55" t="s">
        <v>2691</v>
      </c>
      <c r="AN2646" s="185" t="s">
        <v>2697</v>
      </c>
      <c r="AO2646" s="185" t="s">
        <v>5150</v>
      </c>
      <c r="AQ2646" s="55" t="s">
        <v>1547</v>
      </c>
      <c r="AR2646" s="55" t="s">
        <v>1565</v>
      </c>
      <c r="AS2646" s="55" t="s">
        <v>5133</v>
      </c>
      <c r="AU2646" s="181" t="s">
        <v>7494</v>
      </c>
      <c r="AV2646" s="185" t="s">
        <v>176</v>
      </c>
      <c r="AX2646" s="185" t="s">
        <v>176</v>
      </c>
      <c r="BE2646" s="226" t="s">
        <v>2700</v>
      </c>
      <c r="BG2646" s="191" t="s">
        <v>176</v>
      </c>
      <c r="BH2646" s="226" t="s">
        <v>2701</v>
      </c>
      <c r="BI2646" s="191" t="s">
        <v>479</v>
      </c>
      <c r="BK2646" s="55" t="s">
        <v>6333</v>
      </c>
      <c r="BM2646" s="192" t="s">
        <v>2702</v>
      </c>
      <c r="BN2646" s="55">
        <v>3</v>
      </c>
      <c r="BO2646" s="55">
        <v>3</v>
      </c>
      <c r="BQ2646" s="55" t="s">
        <v>141</v>
      </c>
      <c r="EU2646" s="65">
        <v>1.6</v>
      </c>
      <c r="EV2646" s="65">
        <v>1.2</v>
      </c>
      <c r="EY2646" s="65" t="s">
        <v>2366</v>
      </c>
      <c r="GP2646" s="292" t="s">
        <v>7494</v>
      </c>
    </row>
    <row r="2647" spans="1:198" x14ac:dyDescent="0.25">
      <c r="A2647" s="55">
        <v>2646</v>
      </c>
      <c r="B2647" s="12" t="s">
        <v>7067</v>
      </c>
      <c r="C2647" s="155">
        <v>123</v>
      </c>
      <c r="D2647" s="55" t="s">
        <v>4255</v>
      </c>
      <c r="E2647" s="90" t="s">
        <v>2687</v>
      </c>
      <c r="G2647" s="55" t="s">
        <v>2686</v>
      </c>
      <c r="H2647" s="55">
        <v>2003</v>
      </c>
      <c r="I2647" s="55">
        <v>2000</v>
      </c>
      <c r="J2647" s="55" t="s">
        <v>2688</v>
      </c>
      <c r="K2647" s="55" t="s">
        <v>2689</v>
      </c>
      <c r="L2647" s="55" t="s">
        <v>2750</v>
      </c>
      <c r="M2647" s="90">
        <f>-14-15/60</f>
        <v>-14.25</v>
      </c>
      <c r="N2647" s="90">
        <v>32</v>
      </c>
      <c r="O2647" s="90">
        <v>988</v>
      </c>
      <c r="S2647" s="90">
        <v>850</v>
      </c>
      <c r="U2647" s="55" t="s">
        <v>1816</v>
      </c>
      <c r="V2647" s="55" t="s">
        <v>1801</v>
      </c>
      <c r="Y2647" s="55" t="s">
        <v>2690</v>
      </c>
      <c r="Z2647" s="55" t="s">
        <v>1376</v>
      </c>
      <c r="AA2647" s="90" t="s">
        <v>1682</v>
      </c>
      <c r="AE2647" s="90">
        <v>44</v>
      </c>
      <c r="AF2647" s="90">
        <f>100-44-50</f>
        <v>6</v>
      </c>
      <c r="AH2647" s="55" t="s">
        <v>769</v>
      </c>
      <c r="AI2647" s="168">
        <v>5.6</v>
      </c>
      <c r="AJ2647" s="90">
        <v>0.9</v>
      </c>
      <c r="AM2647" s="55" t="s">
        <v>2691</v>
      </c>
      <c r="AN2647" s="185" t="s">
        <v>2692</v>
      </c>
      <c r="AO2647" s="185" t="s">
        <v>5150</v>
      </c>
      <c r="AQ2647" s="55" t="s">
        <v>553</v>
      </c>
      <c r="AR2647" s="55" t="s">
        <v>1565</v>
      </c>
      <c r="AS2647" s="55" t="s">
        <v>5133</v>
      </c>
      <c r="AU2647" s="181" t="s">
        <v>7494</v>
      </c>
      <c r="AV2647" s="185" t="s">
        <v>176</v>
      </c>
      <c r="AX2647" s="185" t="s">
        <v>176</v>
      </c>
      <c r="BE2647" s="226" t="s">
        <v>2700</v>
      </c>
      <c r="BG2647" s="191" t="s">
        <v>176</v>
      </c>
      <c r="BH2647" s="226" t="s">
        <v>2701</v>
      </c>
      <c r="BI2647" s="191" t="s">
        <v>479</v>
      </c>
      <c r="BK2647" s="55" t="s">
        <v>6333</v>
      </c>
      <c r="BM2647" s="192" t="s">
        <v>2702</v>
      </c>
      <c r="BN2647" s="55">
        <v>3</v>
      </c>
      <c r="BO2647" s="55">
        <v>3</v>
      </c>
      <c r="BQ2647" s="55" t="s">
        <v>141</v>
      </c>
      <c r="EU2647" s="65">
        <v>3</v>
      </c>
      <c r="EV2647" s="65">
        <v>2.2999999999999998</v>
      </c>
      <c r="EY2647" s="65" t="s">
        <v>2366</v>
      </c>
      <c r="GP2647" s="292" t="s">
        <v>7494</v>
      </c>
    </row>
    <row r="2648" spans="1:198" x14ac:dyDescent="0.25">
      <c r="A2648" s="55">
        <v>2647</v>
      </c>
      <c r="B2648" s="12" t="s">
        <v>7067</v>
      </c>
      <c r="C2648" s="155">
        <v>123</v>
      </c>
      <c r="D2648" s="55" t="s">
        <v>4255</v>
      </c>
      <c r="E2648" s="90" t="s">
        <v>2687</v>
      </c>
      <c r="G2648" s="55" t="s">
        <v>2686</v>
      </c>
      <c r="H2648" s="55">
        <v>2003</v>
      </c>
      <c r="I2648" s="55">
        <v>2000</v>
      </c>
      <c r="J2648" s="55" t="s">
        <v>2688</v>
      </c>
      <c r="K2648" s="55" t="s">
        <v>2689</v>
      </c>
      <c r="L2648" s="55" t="s">
        <v>2750</v>
      </c>
      <c r="M2648" s="90">
        <f>-14-15/60</f>
        <v>-14.25</v>
      </c>
      <c r="N2648" s="90">
        <v>32</v>
      </c>
      <c r="O2648" s="90">
        <v>988</v>
      </c>
      <c r="S2648" s="90">
        <v>850</v>
      </c>
      <c r="U2648" s="55" t="s">
        <v>1816</v>
      </c>
      <c r="V2648" s="55" t="s">
        <v>1801</v>
      </c>
      <c r="Y2648" s="55" t="s">
        <v>2690</v>
      </c>
      <c r="Z2648" s="55" t="s">
        <v>1376</v>
      </c>
      <c r="AA2648" s="90" t="s">
        <v>1682</v>
      </c>
      <c r="AE2648" s="90">
        <v>44</v>
      </c>
      <c r="AF2648" s="90">
        <f>100-44-50</f>
        <v>6</v>
      </c>
      <c r="AH2648" s="55" t="s">
        <v>769</v>
      </c>
      <c r="AI2648" s="168">
        <v>5.6</v>
      </c>
      <c r="AJ2648" s="90">
        <v>0.9</v>
      </c>
      <c r="AM2648" s="55" t="s">
        <v>2691</v>
      </c>
      <c r="AN2648" s="185" t="s">
        <v>2620</v>
      </c>
      <c r="AO2648" s="185" t="s">
        <v>5150</v>
      </c>
      <c r="AQ2648" s="55" t="s">
        <v>553</v>
      </c>
      <c r="AR2648" s="55" t="s">
        <v>1565</v>
      </c>
      <c r="AS2648" s="55" t="s">
        <v>5133</v>
      </c>
      <c r="AU2648" s="181" t="s">
        <v>7494</v>
      </c>
      <c r="AV2648" s="185" t="s">
        <v>176</v>
      </c>
      <c r="AX2648" s="185" t="s">
        <v>176</v>
      </c>
      <c r="BE2648" s="226" t="s">
        <v>2700</v>
      </c>
      <c r="BG2648" s="191" t="s">
        <v>176</v>
      </c>
      <c r="BH2648" s="226" t="s">
        <v>2701</v>
      </c>
      <c r="BI2648" s="191" t="s">
        <v>479</v>
      </c>
      <c r="BK2648" s="55" t="s">
        <v>6333</v>
      </c>
      <c r="BM2648" s="192" t="s">
        <v>2702</v>
      </c>
      <c r="BN2648" s="55">
        <v>3</v>
      </c>
      <c r="BO2648" s="55">
        <v>3</v>
      </c>
      <c r="BQ2648" s="55" t="s">
        <v>141</v>
      </c>
      <c r="EU2648" s="65">
        <v>3</v>
      </c>
      <c r="EV2648" s="65">
        <v>2</v>
      </c>
      <c r="EY2648" s="65" t="s">
        <v>2366</v>
      </c>
      <c r="GP2648" s="292" t="s">
        <v>7494</v>
      </c>
    </row>
    <row r="2649" spans="1:198" x14ac:dyDescent="0.25">
      <c r="A2649" s="55">
        <v>2648</v>
      </c>
      <c r="B2649" s="12" t="s">
        <v>7067</v>
      </c>
      <c r="C2649" s="155">
        <v>123</v>
      </c>
      <c r="D2649" s="55" t="s">
        <v>4255</v>
      </c>
      <c r="E2649" s="90" t="s">
        <v>2687</v>
      </c>
      <c r="G2649" s="55" t="s">
        <v>2686</v>
      </c>
      <c r="H2649" s="55">
        <v>2003</v>
      </c>
      <c r="I2649" s="55">
        <v>2000</v>
      </c>
      <c r="J2649" s="55" t="s">
        <v>2688</v>
      </c>
      <c r="K2649" s="55" t="s">
        <v>2689</v>
      </c>
      <c r="L2649" s="55" t="s">
        <v>2750</v>
      </c>
      <c r="M2649" s="90">
        <f>-14-15/60</f>
        <v>-14.25</v>
      </c>
      <c r="N2649" s="90">
        <v>32</v>
      </c>
      <c r="O2649" s="90">
        <v>988</v>
      </c>
      <c r="S2649" s="90">
        <v>850</v>
      </c>
      <c r="U2649" s="55" t="s">
        <v>1816</v>
      </c>
      <c r="V2649" s="55" t="s">
        <v>1801</v>
      </c>
      <c r="Y2649" s="55" t="s">
        <v>2690</v>
      </c>
      <c r="Z2649" s="55" t="s">
        <v>1376</v>
      </c>
      <c r="AA2649" s="90" t="s">
        <v>1682</v>
      </c>
      <c r="AE2649" s="90">
        <v>44</v>
      </c>
      <c r="AF2649" s="90">
        <f>100-44-50</f>
        <v>6</v>
      </c>
      <c r="AH2649" s="55" t="s">
        <v>769</v>
      </c>
      <c r="AI2649" s="168">
        <v>5.6</v>
      </c>
      <c r="AJ2649" s="90">
        <v>0.9</v>
      </c>
      <c r="AM2649" s="55" t="s">
        <v>2691</v>
      </c>
      <c r="AN2649" s="185" t="s">
        <v>2693</v>
      </c>
      <c r="AO2649" s="185" t="s">
        <v>5150</v>
      </c>
      <c r="AQ2649" s="55" t="s">
        <v>553</v>
      </c>
      <c r="AR2649" s="55" t="s">
        <v>1565</v>
      </c>
      <c r="AS2649" s="55" t="s">
        <v>5133</v>
      </c>
      <c r="AU2649" s="181" t="s">
        <v>7494</v>
      </c>
      <c r="AV2649" s="185" t="s">
        <v>176</v>
      </c>
      <c r="AX2649" s="185" t="s">
        <v>176</v>
      </c>
      <c r="BE2649" s="226" t="s">
        <v>2700</v>
      </c>
      <c r="BG2649" s="191" t="s">
        <v>176</v>
      </c>
      <c r="BH2649" s="226" t="s">
        <v>2701</v>
      </c>
      <c r="BI2649" s="191" t="s">
        <v>479</v>
      </c>
      <c r="BK2649" s="55" t="s">
        <v>6333</v>
      </c>
      <c r="BM2649" s="192" t="s">
        <v>2702</v>
      </c>
      <c r="BN2649" s="55">
        <v>3</v>
      </c>
      <c r="BO2649" s="55">
        <v>3</v>
      </c>
      <c r="BQ2649" s="55" t="s">
        <v>141</v>
      </c>
      <c r="EU2649" s="65">
        <v>3</v>
      </c>
      <c r="EV2649" s="65">
        <v>2.5</v>
      </c>
      <c r="EY2649" s="65" t="s">
        <v>2366</v>
      </c>
      <c r="GP2649" s="292" t="s">
        <v>7494</v>
      </c>
    </row>
    <row r="2650" spans="1:198" x14ac:dyDescent="0.25">
      <c r="A2650" s="55">
        <v>2649</v>
      </c>
      <c r="B2650" s="12" t="s">
        <v>7067</v>
      </c>
      <c r="C2650" s="155">
        <v>123</v>
      </c>
      <c r="D2650" s="55" t="s">
        <v>4255</v>
      </c>
      <c r="E2650" s="90" t="s">
        <v>2687</v>
      </c>
      <c r="G2650" s="55" t="s">
        <v>2686</v>
      </c>
      <c r="H2650" s="55">
        <v>2003</v>
      </c>
      <c r="I2650" s="55">
        <v>2000</v>
      </c>
      <c r="J2650" s="55" t="s">
        <v>2688</v>
      </c>
      <c r="K2650" s="55" t="s">
        <v>2689</v>
      </c>
      <c r="L2650" s="55" t="s">
        <v>2750</v>
      </c>
      <c r="M2650" s="90">
        <f>-14-15/60</f>
        <v>-14.25</v>
      </c>
      <c r="N2650" s="90">
        <v>32</v>
      </c>
      <c r="O2650" s="90">
        <v>988</v>
      </c>
      <c r="S2650" s="90">
        <v>850</v>
      </c>
      <c r="U2650" s="55" t="s">
        <v>1816</v>
      </c>
      <c r="V2650" s="55" t="s">
        <v>1801</v>
      </c>
      <c r="Y2650" s="55" t="s">
        <v>2690</v>
      </c>
      <c r="Z2650" s="55" t="s">
        <v>1376</v>
      </c>
      <c r="AA2650" s="90" t="s">
        <v>1682</v>
      </c>
      <c r="AE2650" s="90">
        <v>44</v>
      </c>
      <c r="AF2650" s="90">
        <f>100-44-50</f>
        <v>6</v>
      </c>
      <c r="AH2650" s="55" t="s">
        <v>769</v>
      </c>
      <c r="AI2650" s="168">
        <v>5.6</v>
      </c>
      <c r="AJ2650" s="90">
        <v>0.9</v>
      </c>
      <c r="AM2650" s="55" t="s">
        <v>2691</v>
      </c>
      <c r="AN2650" s="185" t="s">
        <v>2696</v>
      </c>
      <c r="AO2650" s="185" t="s">
        <v>5150</v>
      </c>
      <c r="AQ2650" s="55" t="s">
        <v>553</v>
      </c>
      <c r="AR2650" s="55" t="s">
        <v>1565</v>
      </c>
      <c r="AS2650" s="55" t="s">
        <v>5133</v>
      </c>
      <c r="AU2650" s="181" t="s">
        <v>7494</v>
      </c>
      <c r="AV2650" s="185" t="s">
        <v>176</v>
      </c>
      <c r="AX2650" s="185" t="s">
        <v>176</v>
      </c>
      <c r="BE2650" s="226" t="s">
        <v>2700</v>
      </c>
      <c r="BG2650" s="191" t="s">
        <v>176</v>
      </c>
      <c r="BH2650" s="226" t="s">
        <v>2701</v>
      </c>
      <c r="BI2650" s="191" t="s">
        <v>479</v>
      </c>
      <c r="BK2650" s="55" t="s">
        <v>6333</v>
      </c>
      <c r="BM2650" s="192" t="s">
        <v>2702</v>
      </c>
      <c r="BN2650" s="55">
        <v>3</v>
      </c>
      <c r="BO2650" s="55">
        <v>3</v>
      </c>
      <c r="BQ2650" s="55" t="s">
        <v>141</v>
      </c>
      <c r="EU2650" s="65">
        <v>3</v>
      </c>
      <c r="EV2650" s="65">
        <v>2.6</v>
      </c>
      <c r="EY2650" s="65" t="s">
        <v>2366</v>
      </c>
      <c r="GP2650" s="292" t="s">
        <v>7494</v>
      </c>
    </row>
    <row r="2651" spans="1:198" x14ac:dyDescent="0.25">
      <c r="A2651" s="55">
        <v>2650</v>
      </c>
      <c r="B2651" s="12" t="s">
        <v>7067</v>
      </c>
      <c r="C2651" s="155">
        <v>123</v>
      </c>
      <c r="D2651" s="55" t="s">
        <v>4255</v>
      </c>
      <c r="E2651" s="90" t="s">
        <v>2687</v>
      </c>
      <c r="G2651" s="55" t="s">
        <v>2686</v>
      </c>
      <c r="H2651" s="55">
        <v>2003</v>
      </c>
      <c r="I2651" s="55">
        <v>2000</v>
      </c>
      <c r="J2651" s="55" t="s">
        <v>2688</v>
      </c>
      <c r="K2651" s="55" t="s">
        <v>2689</v>
      </c>
      <c r="L2651" s="55" t="s">
        <v>2750</v>
      </c>
      <c r="M2651" s="90">
        <f>-14-15/60</f>
        <v>-14.25</v>
      </c>
      <c r="N2651" s="90">
        <v>32</v>
      </c>
      <c r="O2651" s="90">
        <v>988</v>
      </c>
      <c r="S2651" s="90">
        <v>850</v>
      </c>
      <c r="U2651" s="55" t="s">
        <v>1816</v>
      </c>
      <c r="V2651" s="55" t="s">
        <v>1801</v>
      </c>
      <c r="Y2651" s="55" t="s">
        <v>2690</v>
      </c>
      <c r="Z2651" s="55" t="s">
        <v>1376</v>
      </c>
      <c r="AA2651" s="90" t="s">
        <v>1682</v>
      </c>
      <c r="AE2651" s="90">
        <v>44</v>
      </c>
      <c r="AF2651" s="90">
        <f>100-44-50</f>
        <v>6</v>
      </c>
      <c r="AH2651" s="55" t="s">
        <v>769</v>
      </c>
      <c r="AI2651" s="168">
        <v>5.6</v>
      </c>
      <c r="AJ2651" s="90">
        <v>0.9</v>
      </c>
      <c r="AM2651" s="55" t="s">
        <v>2691</v>
      </c>
      <c r="AN2651" s="185" t="s">
        <v>2694</v>
      </c>
      <c r="AO2651" s="185" t="s">
        <v>5150</v>
      </c>
      <c r="AQ2651" s="55" t="s">
        <v>1547</v>
      </c>
      <c r="AR2651" s="55" t="s">
        <v>1565</v>
      </c>
      <c r="AS2651" s="55" t="s">
        <v>5133</v>
      </c>
      <c r="AU2651" s="181" t="s">
        <v>7494</v>
      </c>
      <c r="AV2651" s="185" t="s">
        <v>176</v>
      </c>
      <c r="AX2651" s="185" t="s">
        <v>176</v>
      </c>
      <c r="BE2651" s="226" t="s">
        <v>2700</v>
      </c>
      <c r="BG2651" s="191" t="s">
        <v>176</v>
      </c>
      <c r="BH2651" s="226" t="s">
        <v>2701</v>
      </c>
      <c r="BI2651" s="191" t="s">
        <v>479</v>
      </c>
      <c r="BK2651" s="55" t="s">
        <v>6333</v>
      </c>
      <c r="BM2651" s="192" t="s">
        <v>2702</v>
      </c>
      <c r="BN2651" s="55">
        <v>3</v>
      </c>
      <c r="BO2651" s="55">
        <v>3</v>
      </c>
      <c r="BQ2651" s="55" t="s">
        <v>141</v>
      </c>
      <c r="EU2651" s="65">
        <v>3</v>
      </c>
      <c r="EV2651" s="65">
        <v>1.7</v>
      </c>
      <c r="EY2651" s="65" t="s">
        <v>2366</v>
      </c>
      <c r="GP2651" s="292" t="s">
        <v>7494</v>
      </c>
    </row>
    <row r="2652" spans="1:198" x14ac:dyDescent="0.25">
      <c r="A2652" s="55">
        <v>2651</v>
      </c>
      <c r="B2652" s="12" t="s">
        <v>7067</v>
      </c>
      <c r="C2652" s="155">
        <v>123</v>
      </c>
      <c r="D2652" s="55" t="s">
        <v>4255</v>
      </c>
      <c r="E2652" s="90" t="s">
        <v>2687</v>
      </c>
      <c r="G2652" s="55" t="s">
        <v>2686</v>
      </c>
      <c r="H2652" s="55">
        <v>2003</v>
      </c>
      <c r="I2652" s="55">
        <v>2000</v>
      </c>
      <c r="J2652" s="55" t="s">
        <v>2688</v>
      </c>
      <c r="K2652" s="55" t="s">
        <v>2689</v>
      </c>
      <c r="L2652" s="55" t="s">
        <v>2750</v>
      </c>
      <c r="M2652" s="90">
        <f>-14-15/60</f>
        <v>-14.25</v>
      </c>
      <c r="N2652" s="90">
        <v>32</v>
      </c>
      <c r="O2652" s="90">
        <v>988</v>
      </c>
      <c r="S2652" s="90">
        <v>850</v>
      </c>
      <c r="U2652" s="55" t="s">
        <v>1816</v>
      </c>
      <c r="V2652" s="55" t="s">
        <v>1801</v>
      </c>
      <c r="Y2652" s="55" t="s">
        <v>2690</v>
      </c>
      <c r="Z2652" s="55" t="s">
        <v>1376</v>
      </c>
      <c r="AA2652" s="90" t="s">
        <v>1682</v>
      </c>
      <c r="AE2652" s="90">
        <v>44</v>
      </c>
      <c r="AF2652" s="90">
        <f>100-44-50</f>
        <v>6</v>
      </c>
      <c r="AH2652" s="55" t="s">
        <v>769</v>
      </c>
      <c r="AI2652" s="168">
        <v>5.6</v>
      </c>
      <c r="AJ2652" s="90">
        <v>0.9</v>
      </c>
      <c r="AM2652" s="55" t="s">
        <v>2691</v>
      </c>
      <c r="AN2652" s="185" t="s">
        <v>2695</v>
      </c>
      <c r="AO2652" s="185" t="s">
        <v>5150</v>
      </c>
      <c r="AQ2652" s="55" t="s">
        <v>1547</v>
      </c>
      <c r="AR2652" s="55" t="s">
        <v>1565</v>
      </c>
      <c r="AS2652" s="55" t="s">
        <v>5133</v>
      </c>
      <c r="AU2652" s="181" t="s">
        <v>7494</v>
      </c>
      <c r="AV2652" s="185" t="s">
        <v>176</v>
      </c>
      <c r="AX2652" s="185" t="s">
        <v>176</v>
      </c>
      <c r="BE2652" s="226" t="s">
        <v>2700</v>
      </c>
      <c r="BG2652" s="191" t="s">
        <v>176</v>
      </c>
      <c r="BH2652" s="226" t="s">
        <v>2701</v>
      </c>
      <c r="BI2652" s="191" t="s">
        <v>479</v>
      </c>
      <c r="BK2652" s="55" t="s">
        <v>6333</v>
      </c>
      <c r="BM2652" s="192" t="s">
        <v>2702</v>
      </c>
      <c r="BN2652" s="55">
        <v>3</v>
      </c>
      <c r="BO2652" s="55">
        <v>3</v>
      </c>
      <c r="BQ2652" s="55" t="s">
        <v>141</v>
      </c>
      <c r="EU2652" s="65">
        <v>3</v>
      </c>
      <c r="EV2652" s="65">
        <v>2.1</v>
      </c>
      <c r="EY2652" s="65" t="s">
        <v>2366</v>
      </c>
      <c r="GP2652" s="292" t="s">
        <v>7494</v>
      </c>
    </row>
    <row r="2653" spans="1:198" x14ac:dyDescent="0.25">
      <c r="A2653" s="55">
        <v>2652</v>
      </c>
      <c r="B2653" s="12" t="s">
        <v>7067</v>
      </c>
      <c r="C2653" s="155">
        <v>123</v>
      </c>
      <c r="D2653" s="55" t="s">
        <v>4255</v>
      </c>
      <c r="E2653" s="90" t="s">
        <v>2687</v>
      </c>
      <c r="G2653" s="55" t="s">
        <v>2686</v>
      </c>
      <c r="H2653" s="55">
        <v>2003</v>
      </c>
      <c r="I2653" s="55">
        <v>2000</v>
      </c>
      <c r="J2653" s="55" t="s">
        <v>2688</v>
      </c>
      <c r="K2653" s="55" t="s">
        <v>2689</v>
      </c>
      <c r="L2653" s="55" t="s">
        <v>2750</v>
      </c>
      <c r="M2653" s="90">
        <f>-14-15/60</f>
        <v>-14.25</v>
      </c>
      <c r="N2653" s="90">
        <v>32</v>
      </c>
      <c r="O2653" s="90">
        <v>988</v>
      </c>
      <c r="S2653" s="90">
        <v>850</v>
      </c>
      <c r="U2653" s="55" t="s">
        <v>1816</v>
      </c>
      <c r="V2653" s="55" t="s">
        <v>1801</v>
      </c>
      <c r="Y2653" s="55" t="s">
        <v>2690</v>
      </c>
      <c r="Z2653" s="55" t="s">
        <v>1376</v>
      </c>
      <c r="AA2653" s="90" t="s">
        <v>1682</v>
      </c>
      <c r="AE2653" s="90">
        <v>44</v>
      </c>
      <c r="AF2653" s="90">
        <f>100-44-50</f>
        <v>6</v>
      </c>
      <c r="AH2653" s="55" t="s">
        <v>769</v>
      </c>
      <c r="AI2653" s="168">
        <v>5.6</v>
      </c>
      <c r="AJ2653" s="90">
        <v>0.9</v>
      </c>
      <c r="AM2653" s="55" t="s">
        <v>2691</v>
      </c>
      <c r="AN2653" s="185" t="s">
        <v>2697</v>
      </c>
      <c r="AO2653" s="185" t="s">
        <v>5150</v>
      </c>
      <c r="AQ2653" s="55" t="s">
        <v>1547</v>
      </c>
      <c r="AR2653" s="55" t="s">
        <v>1565</v>
      </c>
      <c r="AS2653" s="55" t="s">
        <v>5133</v>
      </c>
      <c r="AU2653" s="181" t="s">
        <v>7494</v>
      </c>
      <c r="AV2653" s="185" t="s">
        <v>176</v>
      </c>
      <c r="AX2653" s="185" t="s">
        <v>176</v>
      </c>
      <c r="BE2653" s="226" t="s">
        <v>2700</v>
      </c>
      <c r="BG2653" s="191" t="s">
        <v>176</v>
      </c>
      <c r="BH2653" s="226" t="s">
        <v>2701</v>
      </c>
      <c r="BI2653" s="191" t="s">
        <v>479</v>
      </c>
      <c r="BK2653" s="55" t="s">
        <v>6333</v>
      </c>
      <c r="BM2653" s="192" t="s">
        <v>2702</v>
      </c>
      <c r="BN2653" s="55">
        <v>3</v>
      </c>
      <c r="BO2653" s="55">
        <v>3</v>
      </c>
      <c r="BQ2653" s="55" t="s">
        <v>141</v>
      </c>
      <c r="EU2653" s="65">
        <v>3</v>
      </c>
      <c r="EV2653" s="65">
        <v>2.2000000000000002</v>
      </c>
      <c r="EY2653" s="65" t="s">
        <v>2366</v>
      </c>
      <c r="GP2653" s="292" t="s">
        <v>7494</v>
      </c>
    </row>
    <row r="2654" spans="1:198" x14ac:dyDescent="0.25">
      <c r="A2654" s="55">
        <v>2653</v>
      </c>
      <c r="B2654" s="12" t="s">
        <v>7067</v>
      </c>
      <c r="C2654" s="155">
        <v>123</v>
      </c>
      <c r="D2654" s="55" t="s">
        <v>4256</v>
      </c>
      <c r="E2654" s="90" t="s">
        <v>2687</v>
      </c>
      <c r="G2654" s="55" t="s">
        <v>2686</v>
      </c>
      <c r="H2654" s="55">
        <v>2003</v>
      </c>
      <c r="I2654" s="55">
        <v>2000</v>
      </c>
      <c r="J2654" s="55" t="s">
        <v>2688</v>
      </c>
      <c r="K2654" s="55" t="s">
        <v>2689</v>
      </c>
      <c r="L2654" s="55" t="s">
        <v>2750</v>
      </c>
      <c r="M2654" s="90">
        <f>-14-15/60</f>
        <v>-14.25</v>
      </c>
      <c r="N2654" s="90">
        <v>32</v>
      </c>
      <c r="O2654" s="90">
        <v>988</v>
      </c>
      <c r="S2654" s="90">
        <v>850</v>
      </c>
      <c r="U2654" s="55" t="s">
        <v>1816</v>
      </c>
      <c r="V2654" s="55" t="s">
        <v>1801</v>
      </c>
      <c r="Y2654" s="55" t="s">
        <v>2690</v>
      </c>
      <c r="Z2654" s="55" t="s">
        <v>2033</v>
      </c>
      <c r="AA2654" s="90" t="s">
        <v>1682</v>
      </c>
      <c r="AE2654" s="90">
        <v>44</v>
      </c>
      <c r="AF2654" s="90">
        <f>100-44-50</f>
        <v>6</v>
      </c>
      <c r="AH2654" s="55" t="s">
        <v>769</v>
      </c>
      <c r="AI2654" s="168">
        <v>5.6</v>
      </c>
      <c r="AJ2654" s="90">
        <v>0.9</v>
      </c>
      <c r="AM2654" s="55" t="s">
        <v>2691</v>
      </c>
      <c r="AN2654" s="185" t="s">
        <v>2692</v>
      </c>
      <c r="AO2654" s="185" t="s">
        <v>5150</v>
      </c>
      <c r="AQ2654" s="55" t="s">
        <v>553</v>
      </c>
      <c r="AR2654" s="55" t="s">
        <v>1565</v>
      </c>
      <c r="AS2654" s="55" t="s">
        <v>5133</v>
      </c>
      <c r="AU2654" s="181" t="s">
        <v>7494</v>
      </c>
      <c r="AV2654" s="185" t="s">
        <v>176</v>
      </c>
      <c r="AX2654" s="185" t="s">
        <v>176</v>
      </c>
      <c r="BE2654" s="226" t="s">
        <v>2700</v>
      </c>
      <c r="BG2654" s="191" t="s">
        <v>176</v>
      </c>
      <c r="BH2654" s="226" t="s">
        <v>2701</v>
      </c>
      <c r="BI2654" s="191" t="s">
        <v>479</v>
      </c>
      <c r="BK2654" s="55" t="s">
        <v>6333</v>
      </c>
      <c r="BM2654" s="192" t="s">
        <v>2702</v>
      </c>
      <c r="BN2654" s="55">
        <v>3</v>
      </c>
      <c r="BO2654" s="55">
        <v>3</v>
      </c>
      <c r="BQ2654" s="55" t="s">
        <v>141</v>
      </c>
      <c r="EU2654" s="65">
        <v>3.8</v>
      </c>
      <c r="EV2654" s="65">
        <v>3.1</v>
      </c>
      <c r="EY2654" s="65" t="s">
        <v>2366</v>
      </c>
      <c r="GP2654" s="292" t="s">
        <v>7494</v>
      </c>
    </row>
    <row r="2655" spans="1:198" x14ac:dyDescent="0.25">
      <c r="A2655" s="55">
        <v>2654</v>
      </c>
      <c r="B2655" s="12" t="s">
        <v>7067</v>
      </c>
      <c r="C2655" s="155">
        <v>123</v>
      </c>
      <c r="D2655" s="55" t="s">
        <v>4256</v>
      </c>
      <c r="E2655" s="90" t="s">
        <v>2687</v>
      </c>
      <c r="G2655" s="55" t="s">
        <v>2686</v>
      </c>
      <c r="H2655" s="55">
        <v>2003</v>
      </c>
      <c r="I2655" s="55">
        <v>2000</v>
      </c>
      <c r="J2655" s="55" t="s">
        <v>2688</v>
      </c>
      <c r="K2655" s="55" t="s">
        <v>2689</v>
      </c>
      <c r="L2655" s="55" t="s">
        <v>2750</v>
      </c>
      <c r="M2655" s="90">
        <f>-14-15/60</f>
        <v>-14.25</v>
      </c>
      <c r="N2655" s="90">
        <v>32</v>
      </c>
      <c r="O2655" s="90">
        <v>988</v>
      </c>
      <c r="S2655" s="90">
        <v>850</v>
      </c>
      <c r="U2655" s="55" t="s">
        <v>1816</v>
      </c>
      <c r="V2655" s="55" t="s">
        <v>1801</v>
      </c>
      <c r="Y2655" s="55" t="s">
        <v>2690</v>
      </c>
      <c r="Z2655" s="55" t="s">
        <v>2033</v>
      </c>
      <c r="AA2655" s="90" t="s">
        <v>1682</v>
      </c>
      <c r="AE2655" s="90">
        <v>44</v>
      </c>
      <c r="AF2655" s="90">
        <f>100-44-50</f>
        <v>6</v>
      </c>
      <c r="AH2655" s="55" t="s">
        <v>769</v>
      </c>
      <c r="AI2655" s="168">
        <v>5.6</v>
      </c>
      <c r="AJ2655" s="90">
        <v>0.9</v>
      </c>
      <c r="AM2655" s="55" t="s">
        <v>2691</v>
      </c>
      <c r="AN2655" s="185" t="s">
        <v>2620</v>
      </c>
      <c r="AO2655" s="185" t="s">
        <v>5150</v>
      </c>
      <c r="AQ2655" s="55" t="s">
        <v>553</v>
      </c>
      <c r="AR2655" s="55" t="s">
        <v>1565</v>
      </c>
      <c r="AS2655" s="55" t="s">
        <v>5133</v>
      </c>
      <c r="AU2655" s="181" t="s">
        <v>7494</v>
      </c>
      <c r="AV2655" s="185" t="s">
        <v>176</v>
      </c>
      <c r="AX2655" s="185" t="s">
        <v>176</v>
      </c>
      <c r="BE2655" s="226" t="s">
        <v>2700</v>
      </c>
      <c r="BG2655" s="191" t="s">
        <v>176</v>
      </c>
      <c r="BH2655" s="226" t="s">
        <v>2701</v>
      </c>
      <c r="BI2655" s="191" t="s">
        <v>479</v>
      </c>
      <c r="BK2655" s="55" t="s">
        <v>6333</v>
      </c>
      <c r="BM2655" s="192" t="s">
        <v>2702</v>
      </c>
      <c r="BN2655" s="55">
        <v>3</v>
      </c>
      <c r="BO2655" s="55">
        <v>3</v>
      </c>
      <c r="BQ2655" s="55" t="s">
        <v>141</v>
      </c>
      <c r="EU2655" s="65">
        <v>3.8</v>
      </c>
      <c r="EV2655" s="65">
        <v>3.3</v>
      </c>
      <c r="EY2655" s="65" t="s">
        <v>2366</v>
      </c>
      <c r="GP2655" s="292" t="s">
        <v>7494</v>
      </c>
    </row>
    <row r="2656" spans="1:198" x14ac:dyDescent="0.25">
      <c r="A2656" s="55">
        <v>2655</v>
      </c>
      <c r="B2656" s="12" t="s">
        <v>7067</v>
      </c>
      <c r="C2656" s="155">
        <v>123</v>
      </c>
      <c r="D2656" s="55" t="s">
        <v>4256</v>
      </c>
      <c r="E2656" s="90" t="s">
        <v>2687</v>
      </c>
      <c r="G2656" s="55" t="s">
        <v>2686</v>
      </c>
      <c r="H2656" s="55">
        <v>2003</v>
      </c>
      <c r="I2656" s="55">
        <v>2000</v>
      </c>
      <c r="J2656" s="55" t="s">
        <v>2688</v>
      </c>
      <c r="K2656" s="55" t="s">
        <v>2689</v>
      </c>
      <c r="L2656" s="55" t="s">
        <v>2750</v>
      </c>
      <c r="M2656" s="90">
        <f>-14-15/60</f>
        <v>-14.25</v>
      </c>
      <c r="N2656" s="90">
        <v>32</v>
      </c>
      <c r="O2656" s="90">
        <v>988</v>
      </c>
      <c r="S2656" s="90">
        <v>850</v>
      </c>
      <c r="U2656" s="55" t="s">
        <v>1816</v>
      </c>
      <c r="V2656" s="55" t="s">
        <v>1801</v>
      </c>
      <c r="Y2656" s="55" t="s">
        <v>2690</v>
      </c>
      <c r="Z2656" s="55" t="s">
        <v>2033</v>
      </c>
      <c r="AA2656" s="90" t="s">
        <v>1682</v>
      </c>
      <c r="AE2656" s="90">
        <v>44</v>
      </c>
      <c r="AF2656" s="90">
        <f>100-44-50</f>
        <v>6</v>
      </c>
      <c r="AH2656" s="55" t="s">
        <v>769</v>
      </c>
      <c r="AI2656" s="168">
        <v>5.6</v>
      </c>
      <c r="AJ2656" s="90">
        <v>0.9</v>
      </c>
      <c r="AM2656" s="55" t="s">
        <v>2691</v>
      </c>
      <c r="AN2656" s="185" t="s">
        <v>2693</v>
      </c>
      <c r="AO2656" s="185" t="s">
        <v>5150</v>
      </c>
      <c r="AQ2656" s="55" t="s">
        <v>553</v>
      </c>
      <c r="AR2656" s="55" t="s">
        <v>1565</v>
      </c>
      <c r="AS2656" s="55" t="s">
        <v>5133</v>
      </c>
      <c r="AU2656" s="181" t="s">
        <v>7494</v>
      </c>
      <c r="AV2656" s="185" t="s">
        <v>176</v>
      </c>
      <c r="AX2656" s="185" t="s">
        <v>176</v>
      </c>
      <c r="BE2656" s="226" t="s">
        <v>2700</v>
      </c>
      <c r="BG2656" s="191" t="s">
        <v>176</v>
      </c>
      <c r="BH2656" s="226" t="s">
        <v>2701</v>
      </c>
      <c r="BI2656" s="191" t="s">
        <v>479</v>
      </c>
      <c r="BK2656" s="55" t="s">
        <v>6333</v>
      </c>
      <c r="BM2656" s="192" t="s">
        <v>2702</v>
      </c>
      <c r="BN2656" s="55">
        <v>3</v>
      </c>
      <c r="BO2656" s="55">
        <v>3</v>
      </c>
      <c r="BQ2656" s="55" t="s">
        <v>141</v>
      </c>
      <c r="EU2656" s="65">
        <v>3.8</v>
      </c>
      <c r="EV2656" s="65">
        <v>3.6</v>
      </c>
      <c r="EY2656" s="65" t="s">
        <v>2366</v>
      </c>
      <c r="GP2656" s="292" t="s">
        <v>7494</v>
      </c>
    </row>
    <row r="2657" spans="1:241" x14ac:dyDescent="0.25">
      <c r="A2657" s="55">
        <v>2656</v>
      </c>
      <c r="B2657" s="12" t="s">
        <v>7067</v>
      </c>
      <c r="C2657" s="155">
        <v>123</v>
      </c>
      <c r="D2657" s="55" t="s">
        <v>4256</v>
      </c>
      <c r="E2657" s="90" t="s">
        <v>2687</v>
      </c>
      <c r="G2657" s="55" t="s">
        <v>2686</v>
      </c>
      <c r="H2657" s="55">
        <v>2003</v>
      </c>
      <c r="I2657" s="55">
        <v>2000</v>
      </c>
      <c r="J2657" s="55" t="s">
        <v>2688</v>
      </c>
      <c r="K2657" s="55" t="s">
        <v>2689</v>
      </c>
      <c r="L2657" s="55" t="s">
        <v>2750</v>
      </c>
      <c r="M2657" s="90">
        <f>-14-15/60</f>
        <v>-14.25</v>
      </c>
      <c r="N2657" s="90">
        <v>32</v>
      </c>
      <c r="O2657" s="90">
        <v>988</v>
      </c>
      <c r="S2657" s="90">
        <v>850</v>
      </c>
      <c r="U2657" s="55" t="s">
        <v>1816</v>
      </c>
      <c r="V2657" s="55" t="s">
        <v>1801</v>
      </c>
      <c r="Y2657" s="55" t="s">
        <v>2690</v>
      </c>
      <c r="Z2657" s="55" t="s">
        <v>2033</v>
      </c>
      <c r="AA2657" s="90" t="s">
        <v>1682</v>
      </c>
      <c r="AE2657" s="90">
        <v>44</v>
      </c>
      <c r="AF2657" s="90">
        <f>100-44-50</f>
        <v>6</v>
      </c>
      <c r="AH2657" s="55" t="s">
        <v>769</v>
      </c>
      <c r="AI2657" s="168">
        <v>5.6</v>
      </c>
      <c r="AJ2657" s="90">
        <v>0.9</v>
      </c>
      <c r="AM2657" s="55" t="s">
        <v>2691</v>
      </c>
      <c r="AN2657" s="185" t="s">
        <v>2696</v>
      </c>
      <c r="AO2657" s="185" t="s">
        <v>5150</v>
      </c>
      <c r="AQ2657" s="55" t="s">
        <v>553</v>
      </c>
      <c r="AR2657" s="55" t="s">
        <v>1565</v>
      </c>
      <c r="AS2657" s="55" t="s">
        <v>5133</v>
      </c>
      <c r="AU2657" s="181" t="s">
        <v>7494</v>
      </c>
      <c r="AV2657" s="185" t="s">
        <v>176</v>
      </c>
      <c r="AX2657" s="185" t="s">
        <v>176</v>
      </c>
      <c r="BE2657" s="226" t="s">
        <v>2700</v>
      </c>
      <c r="BG2657" s="191" t="s">
        <v>176</v>
      </c>
      <c r="BH2657" s="226" t="s">
        <v>2701</v>
      </c>
      <c r="BI2657" s="191" t="s">
        <v>479</v>
      </c>
      <c r="BK2657" s="55" t="s">
        <v>6333</v>
      </c>
      <c r="BM2657" s="192" t="s">
        <v>2702</v>
      </c>
      <c r="BN2657" s="55">
        <v>3</v>
      </c>
      <c r="BO2657" s="55">
        <v>3</v>
      </c>
      <c r="BQ2657" s="55" t="s">
        <v>141</v>
      </c>
      <c r="EU2657" s="65">
        <v>3.8</v>
      </c>
      <c r="EV2657" s="65">
        <v>3.4</v>
      </c>
      <c r="EY2657" s="65" t="s">
        <v>2366</v>
      </c>
      <c r="GP2657" s="292" t="s">
        <v>7494</v>
      </c>
    </row>
    <row r="2658" spans="1:241" x14ac:dyDescent="0.25">
      <c r="A2658" s="55">
        <v>2657</v>
      </c>
      <c r="B2658" s="12" t="s">
        <v>7067</v>
      </c>
      <c r="C2658" s="155">
        <v>123</v>
      </c>
      <c r="D2658" s="55" t="s">
        <v>4256</v>
      </c>
      <c r="E2658" s="90" t="s">
        <v>2687</v>
      </c>
      <c r="G2658" s="55" t="s">
        <v>2686</v>
      </c>
      <c r="H2658" s="55">
        <v>2003</v>
      </c>
      <c r="I2658" s="55">
        <v>2000</v>
      </c>
      <c r="J2658" s="55" t="s">
        <v>2688</v>
      </c>
      <c r="K2658" s="55" t="s">
        <v>2689</v>
      </c>
      <c r="L2658" s="55" t="s">
        <v>2750</v>
      </c>
      <c r="M2658" s="90">
        <f>-14-15/60</f>
        <v>-14.25</v>
      </c>
      <c r="N2658" s="90">
        <v>32</v>
      </c>
      <c r="O2658" s="90">
        <v>988</v>
      </c>
      <c r="S2658" s="90">
        <v>850</v>
      </c>
      <c r="U2658" s="55" t="s">
        <v>1816</v>
      </c>
      <c r="V2658" s="55" t="s">
        <v>1801</v>
      </c>
      <c r="Y2658" s="55" t="s">
        <v>2690</v>
      </c>
      <c r="Z2658" s="55" t="s">
        <v>2033</v>
      </c>
      <c r="AA2658" s="90" t="s">
        <v>1682</v>
      </c>
      <c r="AE2658" s="90">
        <v>44</v>
      </c>
      <c r="AF2658" s="90">
        <f>100-44-50</f>
        <v>6</v>
      </c>
      <c r="AH2658" s="55" t="s">
        <v>769</v>
      </c>
      <c r="AI2658" s="168">
        <v>5.6</v>
      </c>
      <c r="AJ2658" s="90">
        <v>0.9</v>
      </c>
      <c r="AM2658" s="55" t="s">
        <v>2691</v>
      </c>
      <c r="AN2658" s="185" t="s">
        <v>2694</v>
      </c>
      <c r="AO2658" s="185" t="s">
        <v>5150</v>
      </c>
      <c r="AQ2658" s="55" t="s">
        <v>1547</v>
      </c>
      <c r="AR2658" s="55" t="s">
        <v>1565</v>
      </c>
      <c r="AS2658" s="55" t="s">
        <v>5133</v>
      </c>
      <c r="AU2658" s="181" t="s">
        <v>7494</v>
      </c>
      <c r="AV2658" s="185" t="s">
        <v>176</v>
      </c>
      <c r="AX2658" s="185" t="s">
        <v>176</v>
      </c>
      <c r="BE2658" s="226" t="s">
        <v>2700</v>
      </c>
      <c r="BG2658" s="191" t="s">
        <v>176</v>
      </c>
      <c r="BH2658" s="226" t="s">
        <v>2701</v>
      </c>
      <c r="BI2658" s="191" t="s">
        <v>479</v>
      </c>
      <c r="BK2658" s="55" t="s">
        <v>6333</v>
      </c>
      <c r="BM2658" s="192" t="s">
        <v>2702</v>
      </c>
      <c r="BN2658" s="55">
        <v>3</v>
      </c>
      <c r="BO2658" s="55">
        <v>3</v>
      </c>
      <c r="BQ2658" s="55" t="s">
        <v>141</v>
      </c>
      <c r="EU2658" s="65">
        <v>3.8</v>
      </c>
      <c r="EV2658" s="65">
        <v>2.9</v>
      </c>
      <c r="EY2658" s="65" t="s">
        <v>2366</v>
      </c>
      <c r="GP2658" s="292" t="s">
        <v>7494</v>
      </c>
    </row>
    <row r="2659" spans="1:241" x14ac:dyDescent="0.25">
      <c r="A2659" s="55">
        <v>2658</v>
      </c>
      <c r="B2659" s="12" t="s">
        <v>7067</v>
      </c>
      <c r="C2659" s="155">
        <v>123</v>
      </c>
      <c r="D2659" s="55" t="s">
        <v>4256</v>
      </c>
      <c r="E2659" s="90" t="s">
        <v>2687</v>
      </c>
      <c r="G2659" s="55" t="s">
        <v>2686</v>
      </c>
      <c r="H2659" s="55">
        <v>2003</v>
      </c>
      <c r="I2659" s="55">
        <v>2000</v>
      </c>
      <c r="J2659" s="55" t="s">
        <v>2688</v>
      </c>
      <c r="K2659" s="55" t="s">
        <v>2689</v>
      </c>
      <c r="L2659" s="55" t="s">
        <v>2750</v>
      </c>
      <c r="M2659" s="90">
        <f>-14-15/60</f>
        <v>-14.25</v>
      </c>
      <c r="N2659" s="90">
        <v>32</v>
      </c>
      <c r="O2659" s="90">
        <v>988</v>
      </c>
      <c r="S2659" s="90">
        <v>850</v>
      </c>
      <c r="U2659" s="55" t="s">
        <v>1816</v>
      </c>
      <c r="V2659" s="55" t="s">
        <v>1801</v>
      </c>
      <c r="Y2659" s="55" t="s">
        <v>2690</v>
      </c>
      <c r="Z2659" s="55" t="s">
        <v>2033</v>
      </c>
      <c r="AA2659" s="90" t="s">
        <v>1682</v>
      </c>
      <c r="AE2659" s="90">
        <v>44</v>
      </c>
      <c r="AF2659" s="90">
        <f>100-44-50</f>
        <v>6</v>
      </c>
      <c r="AH2659" s="55" t="s">
        <v>769</v>
      </c>
      <c r="AI2659" s="168">
        <v>5.6</v>
      </c>
      <c r="AJ2659" s="90">
        <v>0.9</v>
      </c>
      <c r="AM2659" s="55" t="s">
        <v>2691</v>
      </c>
      <c r="AN2659" s="185" t="s">
        <v>2695</v>
      </c>
      <c r="AO2659" s="185" t="s">
        <v>5150</v>
      </c>
      <c r="AQ2659" s="55" t="s">
        <v>1547</v>
      </c>
      <c r="AR2659" s="55" t="s">
        <v>1565</v>
      </c>
      <c r="AS2659" s="55" t="s">
        <v>5133</v>
      </c>
      <c r="AU2659" s="181" t="s">
        <v>7494</v>
      </c>
      <c r="AV2659" s="185" t="s">
        <v>176</v>
      </c>
      <c r="AX2659" s="185" t="s">
        <v>176</v>
      </c>
      <c r="BE2659" s="226" t="s">
        <v>2700</v>
      </c>
      <c r="BG2659" s="191" t="s">
        <v>176</v>
      </c>
      <c r="BH2659" s="226" t="s">
        <v>2701</v>
      </c>
      <c r="BI2659" s="191" t="s">
        <v>479</v>
      </c>
      <c r="BK2659" s="55" t="s">
        <v>6333</v>
      </c>
      <c r="BM2659" s="192" t="s">
        <v>2702</v>
      </c>
      <c r="BN2659" s="55">
        <v>3</v>
      </c>
      <c r="BO2659" s="55">
        <v>3</v>
      </c>
      <c r="BQ2659" s="55" t="s">
        <v>141</v>
      </c>
      <c r="EU2659" s="65">
        <v>3.8</v>
      </c>
      <c r="EV2659" s="65">
        <v>3.6</v>
      </c>
      <c r="EY2659" s="65" t="s">
        <v>2366</v>
      </c>
      <c r="GP2659" s="292" t="s">
        <v>7494</v>
      </c>
    </row>
    <row r="2660" spans="1:241" x14ac:dyDescent="0.25">
      <c r="A2660" s="55">
        <v>2659</v>
      </c>
      <c r="B2660" s="12" t="s">
        <v>7067</v>
      </c>
      <c r="C2660" s="155">
        <v>123</v>
      </c>
      <c r="D2660" s="55" t="s">
        <v>4256</v>
      </c>
      <c r="E2660" s="90" t="s">
        <v>2687</v>
      </c>
      <c r="G2660" s="55" t="s">
        <v>2686</v>
      </c>
      <c r="H2660" s="55">
        <v>2003</v>
      </c>
      <c r="I2660" s="55">
        <v>2000</v>
      </c>
      <c r="J2660" s="55" t="s">
        <v>2688</v>
      </c>
      <c r="K2660" s="55" t="s">
        <v>2689</v>
      </c>
      <c r="L2660" s="55" t="s">
        <v>2750</v>
      </c>
      <c r="M2660" s="90">
        <f>-14-15/60</f>
        <v>-14.25</v>
      </c>
      <c r="N2660" s="90">
        <v>32</v>
      </c>
      <c r="O2660" s="90">
        <v>988</v>
      </c>
      <c r="S2660" s="90">
        <v>850</v>
      </c>
      <c r="U2660" s="55" t="s">
        <v>1816</v>
      </c>
      <c r="V2660" s="55" t="s">
        <v>1801</v>
      </c>
      <c r="Y2660" s="55" t="s">
        <v>2690</v>
      </c>
      <c r="Z2660" s="55" t="s">
        <v>2033</v>
      </c>
      <c r="AA2660" s="90" t="s">
        <v>1682</v>
      </c>
      <c r="AE2660" s="90">
        <v>44</v>
      </c>
      <c r="AF2660" s="90">
        <f>100-44-50</f>
        <v>6</v>
      </c>
      <c r="AH2660" s="55" t="s">
        <v>769</v>
      </c>
      <c r="AI2660" s="168">
        <v>5.6</v>
      </c>
      <c r="AJ2660" s="90">
        <v>0.9</v>
      </c>
      <c r="AM2660" s="55" t="s">
        <v>2691</v>
      </c>
      <c r="AN2660" s="185" t="s">
        <v>2697</v>
      </c>
      <c r="AO2660" s="185" t="s">
        <v>5150</v>
      </c>
      <c r="AQ2660" s="55" t="s">
        <v>1547</v>
      </c>
      <c r="AR2660" s="55" t="s">
        <v>1565</v>
      </c>
      <c r="AS2660" s="55" t="s">
        <v>5133</v>
      </c>
      <c r="AU2660" s="181" t="s">
        <v>7494</v>
      </c>
      <c r="AV2660" s="185" t="s">
        <v>176</v>
      </c>
      <c r="AX2660" s="185" t="s">
        <v>176</v>
      </c>
      <c r="BE2660" s="226" t="s">
        <v>2700</v>
      </c>
      <c r="BG2660" s="191" t="s">
        <v>176</v>
      </c>
      <c r="BH2660" s="226" t="s">
        <v>2701</v>
      </c>
      <c r="BI2660" s="191" t="s">
        <v>479</v>
      </c>
      <c r="BK2660" s="55" t="s">
        <v>6333</v>
      </c>
      <c r="BM2660" s="192" t="s">
        <v>2702</v>
      </c>
      <c r="BN2660" s="55">
        <v>3</v>
      </c>
      <c r="BO2660" s="55">
        <v>3</v>
      </c>
      <c r="BQ2660" s="55" t="s">
        <v>141</v>
      </c>
      <c r="EU2660" s="65">
        <v>3.8</v>
      </c>
      <c r="EV2660" s="65">
        <v>3.3</v>
      </c>
      <c r="EY2660" s="65" t="s">
        <v>2366</v>
      </c>
      <c r="GP2660" s="292" t="s">
        <v>7494</v>
      </c>
    </row>
    <row r="2661" spans="1:241" x14ac:dyDescent="0.25">
      <c r="A2661" s="55">
        <v>2660</v>
      </c>
      <c r="B2661" s="12" t="s">
        <v>7067</v>
      </c>
      <c r="C2661" s="155">
        <v>124</v>
      </c>
      <c r="D2661" s="55" t="s">
        <v>4257</v>
      </c>
      <c r="E2661" s="90" t="s">
        <v>2687</v>
      </c>
      <c r="G2661" s="55" t="s">
        <v>2686</v>
      </c>
      <c r="H2661" s="55">
        <v>2004</v>
      </c>
      <c r="I2661" s="55">
        <v>2000</v>
      </c>
      <c r="J2661" s="55" t="s">
        <v>767</v>
      </c>
      <c r="K2661" s="55" t="s">
        <v>2689</v>
      </c>
      <c r="L2661" s="55" t="s">
        <v>2750</v>
      </c>
      <c r="M2661" s="90">
        <f>-14-15/60</f>
        <v>-14.25</v>
      </c>
      <c r="N2661" s="90">
        <v>32</v>
      </c>
      <c r="O2661" s="90">
        <v>988</v>
      </c>
      <c r="S2661" s="90">
        <v>850</v>
      </c>
      <c r="U2661" s="55" t="s">
        <v>1816</v>
      </c>
      <c r="V2661" s="55" t="s">
        <v>1801</v>
      </c>
      <c r="Y2661" s="55" t="s">
        <v>2690</v>
      </c>
      <c r="Z2661" s="55" t="s">
        <v>1346</v>
      </c>
      <c r="AA2661" s="90" t="s">
        <v>1675</v>
      </c>
      <c r="AE2661" s="90">
        <v>44</v>
      </c>
      <c r="AF2661" s="90">
        <f>100-44-50</f>
        <v>6</v>
      </c>
      <c r="AH2661" s="55" t="s">
        <v>769</v>
      </c>
      <c r="AI2661" s="168">
        <v>5.6</v>
      </c>
      <c r="AJ2661" s="90">
        <v>0.9</v>
      </c>
      <c r="AM2661" s="55" t="s">
        <v>2691</v>
      </c>
      <c r="AN2661" s="185" t="s">
        <v>2704</v>
      </c>
      <c r="AO2661" s="185" t="s">
        <v>5150</v>
      </c>
      <c r="AQ2661" s="55" t="s">
        <v>553</v>
      </c>
      <c r="AR2661" s="55" t="s">
        <v>1607</v>
      </c>
      <c r="AS2661" s="55" t="s">
        <v>1607</v>
      </c>
      <c r="AU2661" s="181" t="s">
        <v>7494</v>
      </c>
      <c r="AV2661" s="185" t="s">
        <v>176</v>
      </c>
      <c r="AX2661" s="185" t="s">
        <v>176</v>
      </c>
      <c r="BE2661" s="226" t="s">
        <v>2700</v>
      </c>
      <c r="BG2661" s="191" t="s">
        <v>176</v>
      </c>
      <c r="BH2661" s="226" t="s">
        <v>2701</v>
      </c>
      <c r="BI2661" s="191" t="s">
        <v>479</v>
      </c>
      <c r="BK2661" s="55" t="s">
        <v>6333</v>
      </c>
      <c r="BM2661" s="192" t="s">
        <v>2702</v>
      </c>
      <c r="BN2661" s="55">
        <v>3</v>
      </c>
      <c r="BO2661" s="55">
        <v>3</v>
      </c>
      <c r="BQ2661" s="55" t="s">
        <v>141</v>
      </c>
      <c r="DB2661" s="65">
        <v>1.5</v>
      </c>
      <c r="DC2661" s="65">
        <v>3.5</v>
      </c>
      <c r="DF2661" s="65" t="s">
        <v>1634</v>
      </c>
      <c r="GP2661" s="292" t="s">
        <v>7494</v>
      </c>
      <c r="IC2661" s="65">
        <v>0.72</v>
      </c>
      <c r="ID2661" s="65">
        <v>38.520000000000003</v>
      </c>
      <c r="IG2661" s="65" t="s">
        <v>2678</v>
      </c>
    </row>
    <row r="2662" spans="1:241" x14ac:dyDescent="0.25">
      <c r="A2662" s="55">
        <v>2661</v>
      </c>
      <c r="B2662" s="12" t="s">
        <v>7067</v>
      </c>
      <c r="C2662" s="155">
        <v>124</v>
      </c>
      <c r="D2662" s="55" t="s">
        <v>4257</v>
      </c>
      <c r="E2662" s="90" t="s">
        <v>2687</v>
      </c>
      <c r="G2662" s="55" t="s">
        <v>2686</v>
      </c>
      <c r="H2662" s="55">
        <v>2004</v>
      </c>
      <c r="I2662" s="55">
        <v>2000</v>
      </c>
      <c r="J2662" s="55" t="s">
        <v>767</v>
      </c>
      <c r="K2662" s="55" t="s">
        <v>2689</v>
      </c>
      <c r="L2662" s="55" t="s">
        <v>2750</v>
      </c>
      <c r="M2662" s="90">
        <f>-14-15/60</f>
        <v>-14.25</v>
      </c>
      <c r="N2662" s="90">
        <v>32</v>
      </c>
      <c r="O2662" s="90">
        <v>988</v>
      </c>
      <c r="S2662" s="90">
        <v>850</v>
      </c>
      <c r="U2662" s="55" t="s">
        <v>1816</v>
      </c>
      <c r="V2662" s="55" t="s">
        <v>1801</v>
      </c>
      <c r="Y2662" s="55" t="s">
        <v>2690</v>
      </c>
      <c r="Z2662" s="55" t="s">
        <v>1346</v>
      </c>
      <c r="AA2662" s="90" t="s">
        <v>1675</v>
      </c>
      <c r="AE2662" s="90">
        <v>44</v>
      </c>
      <c r="AF2662" s="90">
        <f>100-44-50</f>
        <v>6</v>
      </c>
      <c r="AH2662" s="55" t="s">
        <v>769</v>
      </c>
      <c r="AI2662" s="168">
        <v>5.6</v>
      </c>
      <c r="AJ2662" s="90">
        <v>0.9</v>
      </c>
      <c r="AM2662" s="55" t="s">
        <v>2691</v>
      </c>
      <c r="AN2662" s="185" t="s">
        <v>2692</v>
      </c>
      <c r="AO2662" s="185" t="s">
        <v>5150</v>
      </c>
      <c r="AQ2662" s="55" t="s">
        <v>553</v>
      </c>
      <c r="AR2662" s="55" t="s">
        <v>1607</v>
      </c>
      <c r="AS2662" s="55" t="s">
        <v>1607</v>
      </c>
      <c r="AU2662" s="181" t="s">
        <v>7494</v>
      </c>
      <c r="AV2662" s="185" t="s">
        <v>176</v>
      </c>
      <c r="AX2662" s="185" t="s">
        <v>176</v>
      </c>
      <c r="BE2662" s="226" t="s">
        <v>2700</v>
      </c>
      <c r="BG2662" s="191" t="s">
        <v>176</v>
      </c>
      <c r="BH2662" s="226" t="s">
        <v>2701</v>
      </c>
      <c r="BI2662" s="191" t="s">
        <v>479</v>
      </c>
      <c r="BK2662" s="55" t="s">
        <v>6333</v>
      </c>
      <c r="BM2662" s="192" t="s">
        <v>2702</v>
      </c>
      <c r="BN2662" s="55">
        <v>3</v>
      </c>
      <c r="BO2662" s="55">
        <v>3</v>
      </c>
      <c r="BQ2662" s="55" t="s">
        <v>141</v>
      </c>
      <c r="DB2662" s="65">
        <v>1.5</v>
      </c>
      <c r="DC2662" s="65">
        <v>2.5</v>
      </c>
      <c r="DF2662" s="65" t="s">
        <v>1634</v>
      </c>
      <c r="GP2662" s="292" t="s">
        <v>7494</v>
      </c>
      <c r="IC2662" s="65">
        <v>0.72</v>
      </c>
      <c r="ID2662" s="65">
        <v>59.33</v>
      </c>
      <c r="IG2662" s="65" t="s">
        <v>2678</v>
      </c>
    </row>
    <row r="2663" spans="1:241" x14ac:dyDescent="0.25">
      <c r="A2663" s="55">
        <v>2662</v>
      </c>
      <c r="B2663" s="12" t="s">
        <v>7067</v>
      </c>
      <c r="C2663" s="155">
        <v>124</v>
      </c>
      <c r="D2663" s="55" t="s">
        <v>4258</v>
      </c>
      <c r="E2663" s="90" t="s">
        <v>2687</v>
      </c>
      <c r="G2663" s="55" t="s">
        <v>2686</v>
      </c>
      <c r="H2663" s="55">
        <v>2004</v>
      </c>
      <c r="I2663" s="55">
        <v>2000</v>
      </c>
      <c r="J2663" s="55" t="s">
        <v>767</v>
      </c>
      <c r="K2663" s="55" t="s">
        <v>2689</v>
      </c>
      <c r="L2663" s="55" t="s">
        <v>2750</v>
      </c>
      <c r="M2663" s="90">
        <f>-14-15/60</f>
        <v>-14.25</v>
      </c>
      <c r="N2663" s="90">
        <v>32</v>
      </c>
      <c r="O2663" s="90">
        <v>988</v>
      </c>
      <c r="S2663" s="90">
        <v>850</v>
      </c>
      <c r="U2663" s="55" t="s">
        <v>1816</v>
      </c>
      <c r="V2663" s="55" t="s">
        <v>1801</v>
      </c>
      <c r="Y2663" s="55" t="s">
        <v>2690</v>
      </c>
      <c r="Z2663" s="55" t="s">
        <v>1350</v>
      </c>
      <c r="AA2663" s="90" t="s">
        <v>1675</v>
      </c>
      <c r="AE2663" s="90">
        <v>44</v>
      </c>
      <c r="AF2663" s="90">
        <f>100-44-50</f>
        <v>6</v>
      </c>
      <c r="AH2663" s="55" t="s">
        <v>769</v>
      </c>
      <c r="AI2663" s="168">
        <v>5.6</v>
      </c>
      <c r="AJ2663" s="90">
        <v>0.9</v>
      </c>
      <c r="AM2663" s="55" t="s">
        <v>2691</v>
      </c>
      <c r="AN2663" s="185" t="s">
        <v>2704</v>
      </c>
      <c r="AO2663" s="185" t="s">
        <v>5150</v>
      </c>
      <c r="AQ2663" s="55" t="s">
        <v>553</v>
      </c>
      <c r="AR2663" s="55" t="s">
        <v>1607</v>
      </c>
      <c r="AS2663" s="55" t="s">
        <v>1607</v>
      </c>
      <c r="AU2663" s="181" t="s">
        <v>7494</v>
      </c>
      <c r="AV2663" s="185" t="s">
        <v>176</v>
      </c>
      <c r="AX2663" s="185" t="s">
        <v>176</v>
      </c>
      <c r="BE2663" s="226" t="s">
        <v>2700</v>
      </c>
      <c r="BG2663" s="191" t="s">
        <v>176</v>
      </c>
      <c r="BH2663" s="226" t="s">
        <v>2701</v>
      </c>
      <c r="BI2663" s="191" t="s">
        <v>479</v>
      </c>
      <c r="BK2663" s="55" t="s">
        <v>6333</v>
      </c>
      <c r="BM2663" s="192" t="s">
        <v>2702</v>
      </c>
      <c r="BN2663" s="55">
        <v>3</v>
      </c>
      <c r="BO2663" s="55">
        <v>3</v>
      </c>
      <c r="BQ2663" s="55" t="s">
        <v>141</v>
      </c>
      <c r="DB2663" s="65">
        <v>0.7</v>
      </c>
      <c r="DC2663" s="65">
        <v>2.4</v>
      </c>
      <c r="DF2663" s="65" t="s">
        <v>1634</v>
      </c>
      <c r="GP2663" s="292" t="s">
        <v>7494</v>
      </c>
    </row>
    <row r="2664" spans="1:241" x14ac:dyDescent="0.25">
      <c r="A2664" s="55">
        <v>2663</v>
      </c>
      <c r="B2664" s="12" t="s">
        <v>7067</v>
      </c>
      <c r="C2664" s="155">
        <v>124</v>
      </c>
      <c r="D2664" s="55" t="s">
        <v>4258</v>
      </c>
      <c r="E2664" s="90" t="s">
        <v>2687</v>
      </c>
      <c r="G2664" s="55" t="s">
        <v>2686</v>
      </c>
      <c r="H2664" s="55">
        <v>2004</v>
      </c>
      <c r="I2664" s="55">
        <v>2000</v>
      </c>
      <c r="J2664" s="55" t="s">
        <v>767</v>
      </c>
      <c r="K2664" s="55" t="s">
        <v>2689</v>
      </c>
      <c r="L2664" s="55" t="s">
        <v>2750</v>
      </c>
      <c r="M2664" s="90">
        <f>-14-15/60</f>
        <v>-14.25</v>
      </c>
      <c r="N2664" s="90">
        <v>32</v>
      </c>
      <c r="O2664" s="90">
        <v>988</v>
      </c>
      <c r="S2664" s="90">
        <v>850</v>
      </c>
      <c r="U2664" s="55" t="s">
        <v>1816</v>
      </c>
      <c r="V2664" s="55" t="s">
        <v>1801</v>
      </c>
      <c r="Y2664" s="55" t="s">
        <v>2690</v>
      </c>
      <c r="Z2664" s="55" t="s">
        <v>1350</v>
      </c>
      <c r="AA2664" s="90" t="s">
        <v>1675</v>
      </c>
      <c r="AE2664" s="90">
        <v>44</v>
      </c>
      <c r="AF2664" s="90">
        <f>100-44-50</f>
        <v>6</v>
      </c>
      <c r="AH2664" s="55" t="s">
        <v>769</v>
      </c>
      <c r="AI2664" s="168">
        <v>5.6</v>
      </c>
      <c r="AJ2664" s="90">
        <v>0.9</v>
      </c>
      <c r="AM2664" s="55" t="s">
        <v>2691</v>
      </c>
      <c r="AN2664" s="185" t="s">
        <v>2692</v>
      </c>
      <c r="AO2664" s="185" t="s">
        <v>5150</v>
      </c>
      <c r="AQ2664" s="55" t="s">
        <v>553</v>
      </c>
      <c r="AR2664" s="55" t="s">
        <v>1607</v>
      </c>
      <c r="AS2664" s="55" t="s">
        <v>1607</v>
      </c>
      <c r="AU2664" s="181" t="s">
        <v>7494</v>
      </c>
      <c r="AV2664" s="185" t="s">
        <v>176</v>
      </c>
      <c r="AX2664" s="185" t="s">
        <v>176</v>
      </c>
      <c r="BE2664" s="226" t="s">
        <v>2700</v>
      </c>
      <c r="BG2664" s="191" t="s">
        <v>176</v>
      </c>
      <c r="BH2664" s="226" t="s">
        <v>2701</v>
      </c>
      <c r="BI2664" s="191" t="s">
        <v>479</v>
      </c>
      <c r="BK2664" s="55" t="s">
        <v>6333</v>
      </c>
      <c r="BM2664" s="192" t="s">
        <v>2702</v>
      </c>
      <c r="BN2664" s="55">
        <v>3</v>
      </c>
      <c r="BO2664" s="55">
        <v>3</v>
      </c>
      <c r="BQ2664" s="55" t="s">
        <v>141</v>
      </c>
      <c r="DB2664" s="65">
        <v>0.7</v>
      </c>
      <c r="DC2664" s="65">
        <v>1.5</v>
      </c>
      <c r="DF2664" s="65" t="s">
        <v>1634</v>
      </c>
      <c r="GP2664" s="292" t="s">
        <v>7494</v>
      </c>
    </row>
    <row r="2665" spans="1:241" x14ac:dyDescent="0.25">
      <c r="A2665" s="55">
        <v>2664</v>
      </c>
      <c r="B2665" s="12" t="s">
        <v>7067</v>
      </c>
      <c r="C2665" s="155">
        <v>124</v>
      </c>
      <c r="D2665" s="55" t="s">
        <v>4259</v>
      </c>
      <c r="E2665" s="90" t="s">
        <v>2687</v>
      </c>
      <c r="G2665" s="55" t="s">
        <v>2686</v>
      </c>
      <c r="H2665" s="55">
        <v>2004</v>
      </c>
      <c r="I2665" s="55">
        <v>2000</v>
      </c>
      <c r="J2665" s="55" t="s">
        <v>767</v>
      </c>
      <c r="K2665" s="55" t="s">
        <v>2689</v>
      </c>
      <c r="L2665" s="55" t="s">
        <v>2750</v>
      </c>
      <c r="M2665" s="90">
        <f>-14-15/60</f>
        <v>-14.25</v>
      </c>
      <c r="N2665" s="90">
        <v>32</v>
      </c>
      <c r="O2665" s="90">
        <v>988</v>
      </c>
      <c r="S2665" s="90">
        <v>850</v>
      </c>
      <c r="U2665" s="55" t="s">
        <v>1816</v>
      </c>
      <c r="V2665" s="55" t="s">
        <v>1801</v>
      </c>
      <c r="Y2665" s="55" t="s">
        <v>2690</v>
      </c>
      <c r="Z2665" s="55" t="s">
        <v>1351</v>
      </c>
      <c r="AA2665" s="90" t="s">
        <v>1675</v>
      </c>
      <c r="AE2665" s="90">
        <v>44</v>
      </c>
      <c r="AF2665" s="90">
        <f>100-44-50</f>
        <v>6</v>
      </c>
      <c r="AH2665" s="55" t="s">
        <v>769</v>
      </c>
      <c r="AI2665" s="168">
        <v>5.6</v>
      </c>
      <c r="AJ2665" s="90">
        <v>0.9</v>
      </c>
      <c r="AM2665" s="55" t="s">
        <v>2691</v>
      </c>
      <c r="AN2665" s="185" t="s">
        <v>2704</v>
      </c>
      <c r="AO2665" s="185" t="s">
        <v>5150</v>
      </c>
      <c r="AQ2665" s="55" t="s">
        <v>553</v>
      </c>
      <c r="AR2665" s="55" t="s">
        <v>1607</v>
      </c>
      <c r="AS2665" s="55" t="s">
        <v>1607</v>
      </c>
      <c r="AU2665" s="181" t="s">
        <v>7494</v>
      </c>
      <c r="AV2665" s="185" t="s">
        <v>176</v>
      </c>
      <c r="AX2665" s="185" t="s">
        <v>176</v>
      </c>
      <c r="BE2665" s="226" t="s">
        <v>2700</v>
      </c>
      <c r="BG2665" s="191" t="s">
        <v>176</v>
      </c>
      <c r="BH2665" s="226" t="s">
        <v>2701</v>
      </c>
      <c r="BI2665" s="191" t="s">
        <v>479</v>
      </c>
      <c r="BK2665" s="55" t="s">
        <v>6333</v>
      </c>
      <c r="BM2665" s="192" t="s">
        <v>2702</v>
      </c>
      <c r="BN2665" s="55">
        <v>3</v>
      </c>
      <c r="BO2665" s="55">
        <v>3</v>
      </c>
      <c r="BQ2665" s="55" t="s">
        <v>141</v>
      </c>
      <c r="DB2665" s="65">
        <v>0.6</v>
      </c>
      <c r="DC2665" s="65">
        <v>1.3</v>
      </c>
      <c r="DF2665" s="65" t="s">
        <v>1634</v>
      </c>
      <c r="GP2665" s="292" t="s">
        <v>7494</v>
      </c>
    </row>
    <row r="2666" spans="1:241" x14ac:dyDescent="0.25">
      <c r="A2666" s="55">
        <v>2665</v>
      </c>
      <c r="B2666" s="12" t="s">
        <v>7067</v>
      </c>
      <c r="C2666" s="155">
        <v>124</v>
      </c>
      <c r="D2666" s="55" t="s">
        <v>4259</v>
      </c>
      <c r="E2666" s="90" t="s">
        <v>2687</v>
      </c>
      <c r="G2666" s="55" t="s">
        <v>2686</v>
      </c>
      <c r="H2666" s="55">
        <v>2004</v>
      </c>
      <c r="I2666" s="55">
        <v>2000</v>
      </c>
      <c r="J2666" s="55" t="s">
        <v>767</v>
      </c>
      <c r="K2666" s="55" t="s">
        <v>2689</v>
      </c>
      <c r="L2666" s="55" t="s">
        <v>2750</v>
      </c>
      <c r="M2666" s="90">
        <f>-14-15/60</f>
        <v>-14.25</v>
      </c>
      <c r="N2666" s="90">
        <v>32</v>
      </c>
      <c r="O2666" s="90">
        <v>988</v>
      </c>
      <c r="S2666" s="90">
        <v>850</v>
      </c>
      <c r="U2666" s="55" t="s">
        <v>1816</v>
      </c>
      <c r="V2666" s="55" t="s">
        <v>1801</v>
      </c>
      <c r="Y2666" s="55" t="s">
        <v>2690</v>
      </c>
      <c r="Z2666" s="55" t="s">
        <v>1351</v>
      </c>
      <c r="AA2666" s="90" t="s">
        <v>1675</v>
      </c>
      <c r="AE2666" s="90">
        <v>44</v>
      </c>
      <c r="AF2666" s="90">
        <f>100-44-50</f>
        <v>6</v>
      </c>
      <c r="AH2666" s="55" t="s">
        <v>769</v>
      </c>
      <c r="AI2666" s="168">
        <v>5.6</v>
      </c>
      <c r="AJ2666" s="90">
        <v>0.9</v>
      </c>
      <c r="AM2666" s="55" t="s">
        <v>2691</v>
      </c>
      <c r="AN2666" s="185" t="s">
        <v>2692</v>
      </c>
      <c r="AO2666" s="185" t="s">
        <v>5150</v>
      </c>
      <c r="AQ2666" s="55" t="s">
        <v>553</v>
      </c>
      <c r="AR2666" s="55" t="s">
        <v>1607</v>
      </c>
      <c r="AS2666" s="55" t="s">
        <v>1607</v>
      </c>
      <c r="AU2666" s="181" t="s">
        <v>7494</v>
      </c>
      <c r="AV2666" s="185" t="s">
        <v>176</v>
      </c>
      <c r="AX2666" s="185" t="s">
        <v>176</v>
      </c>
      <c r="BE2666" s="226" t="s">
        <v>2700</v>
      </c>
      <c r="BG2666" s="191" t="s">
        <v>176</v>
      </c>
      <c r="BH2666" s="226" t="s">
        <v>2701</v>
      </c>
      <c r="BI2666" s="191" t="s">
        <v>479</v>
      </c>
      <c r="BK2666" s="55" t="s">
        <v>6333</v>
      </c>
      <c r="BM2666" s="192" t="s">
        <v>2702</v>
      </c>
      <c r="BN2666" s="55">
        <v>3</v>
      </c>
      <c r="BO2666" s="55">
        <v>3</v>
      </c>
      <c r="BQ2666" s="55" t="s">
        <v>141</v>
      </c>
      <c r="DB2666" s="65">
        <v>0.6</v>
      </c>
      <c r="DC2666" s="65">
        <v>2.1</v>
      </c>
      <c r="DF2666" s="65" t="s">
        <v>1634</v>
      </c>
      <c r="GP2666" s="292" t="s">
        <v>7494</v>
      </c>
    </row>
    <row r="2667" spans="1:241" x14ac:dyDescent="0.25">
      <c r="A2667" s="55">
        <v>2666</v>
      </c>
      <c r="B2667" s="12" t="s">
        <v>7067</v>
      </c>
      <c r="C2667" s="155">
        <v>124</v>
      </c>
      <c r="D2667" s="55" t="s">
        <v>4260</v>
      </c>
      <c r="E2667" s="90" t="s">
        <v>2687</v>
      </c>
      <c r="G2667" s="55" t="s">
        <v>2686</v>
      </c>
      <c r="H2667" s="55">
        <v>2004</v>
      </c>
      <c r="I2667" s="55">
        <v>2000</v>
      </c>
      <c r="J2667" s="55" t="s">
        <v>767</v>
      </c>
      <c r="K2667" s="55" t="s">
        <v>2689</v>
      </c>
      <c r="L2667" s="55" t="s">
        <v>2750</v>
      </c>
      <c r="M2667" s="90">
        <f>-14-15/60</f>
        <v>-14.25</v>
      </c>
      <c r="N2667" s="90">
        <v>32</v>
      </c>
      <c r="O2667" s="90">
        <v>988</v>
      </c>
      <c r="S2667" s="90">
        <v>850</v>
      </c>
      <c r="U2667" s="55" t="s">
        <v>1816</v>
      </c>
      <c r="V2667" s="55" t="s">
        <v>1801</v>
      </c>
      <c r="Y2667" s="55" t="s">
        <v>2690</v>
      </c>
      <c r="Z2667" s="55" t="s">
        <v>1383</v>
      </c>
      <c r="AA2667" s="90" t="s">
        <v>1684</v>
      </c>
      <c r="AE2667" s="90">
        <v>44</v>
      </c>
      <c r="AF2667" s="90">
        <f>100-44-50</f>
        <v>6</v>
      </c>
      <c r="AH2667" s="55" t="s">
        <v>769</v>
      </c>
      <c r="AI2667" s="168">
        <v>5.6</v>
      </c>
      <c r="AJ2667" s="90">
        <v>0.9</v>
      </c>
      <c r="AM2667" s="55" t="s">
        <v>2691</v>
      </c>
      <c r="AN2667" s="185" t="s">
        <v>2704</v>
      </c>
      <c r="AO2667" s="185" t="s">
        <v>5150</v>
      </c>
      <c r="AQ2667" s="55" t="s">
        <v>553</v>
      </c>
      <c r="AR2667" s="55" t="s">
        <v>1607</v>
      </c>
      <c r="AS2667" s="55" t="s">
        <v>1607</v>
      </c>
      <c r="AU2667" s="181" t="s">
        <v>7494</v>
      </c>
      <c r="AV2667" s="185" t="s">
        <v>176</v>
      </c>
      <c r="AX2667" s="185" t="s">
        <v>176</v>
      </c>
      <c r="BE2667" s="226" t="s">
        <v>2700</v>
      </c>
      <c r="BG2667" s="191" t="s">
        <v>176</v>
      </c>
      <c r="BH2667" s="226" t="s">
        <v>2701</v>
      </c>
      <c r="BI2667" s="191" t="s">
        <v>479</v>
      </c>
      <c r="BK2667" s="55" t="s">
        <v>6333</v>
      </c>
      <c r="BM2667" s="192" t="s">
        <v>2702</v>
      </c>
      <c r="BN2667" s="55">
        <v>3</v>
      </c>
      <c r="BO2667" s="55">
        <v>3</v>
      </c>
      <c r="BQ2667" s="55" t="s">
        <v>141</v>
      </c>
      <c r="DB2667" s="65">
        <v>2.8</v>
      </c>
      <c r="DC2667" s="65">
        <v>7.2</v>
      </c>
      <c r="DF2667" s="65" t="s">
        <v>1634</v>
      </c>
      <c r="GP2667" s="292" t="s">
        <v>7494</v>
      </c>
    </row>
    <row r="2668" spans="1:241" x14ac:dyDescent="0.25">
      <c r="A2668" s="55">
        <v>2667</v>
      </c>
      <c r="B2668" s="12" t="s">
        <v>7067</v>
      </c>
      <c r="C2668" s="155">
        <v>124</v>
      </c>
      <c r="D2668" s="55" t="s">
        <v>4260</v>
      </c>
      <c r="E2668" s="90" t="s">
        <v>2687</v>
      </c>
      <c r="G2668" s="55" t="s">
        <v>2686</v>
      </c>
      <c r="H2668" s="55">
        <v>2004</v>
      </c>
      <c r="I2668" s="55">
        <v>2000</v>
      </c>
      <c r="J2668" s="55" t="s">
        <v>767</v>
      </c>
      <c r="K2668" s="55" t="s">
        <v>2689</v>
      </c>
      <c r="L2668" s="55" t="s">
        <v>2750</v>
      </c>
      <c r="M2668" s="90">
        <f>-14-15/60</f>
        <v>-14.25</v>
      </c>
      <c r="N2668" s="90">
        <v>32</v>
      </c>
      <c r="O2668" s="90">
        <v>988</v>
      </c>
      <c r="S2668" s="90">
        <v>850</v>
      </c>
      <c r="U2668" s="55" t="s">
        <v>1816</v>
      </c>
      <c r="V2668" s="55" t="s">
        <v>1801</v>
      </c>
      <c r="Y2668" s="55" t="s">
        <v>2690</v>
      </c>
      <c r="Z2668" s="55" t="s">
        <v>1383</v>
      </c>
      <c r="AA2668" s="90" t="s">
        <v>1684</v>
      </c>
      <c r="AE2668" s="90">
        <v>44</v>
      </c>
      <c r="AF2668" s="90">
        <f>100-44-50</f>
        <v>6</v>
      </c>
      <c r="AH2668" s="55" t="s">
        <v>769</v>
      </c>
      <c r="AI2668" s="168">
        <v>5.6</v>
      </c>
      <c r="AJ2668" s="90">
        <v>0.9</v>
      </c>
      <c r="AM2668" s="55" t="s">
        <v>2691</v>
      </c>
      <c r="AN2668" s="185" t="s">
        <v>2692</v>
      </c>
      <c r="AO2668" s="185" t="s">
        <v>5150</v>
      </c>
      <c r="AQ2668" s="55" t="s">
        <v>553</v>
      </c>
      <c r="AR2668" s="55" t="s">
        <v>1607</v>
      </c>
      <c r="AS2668" s="55" t="s">
        <v>1607</v>
      </c>
      <c r="AU2668" s="181" t="s">
        <v>7494</v>
      </c>
      <c r="AV2668" s="185" t="s">
        <v>176</v>
      </c>
      <c r="AX2668" s="185" t="s">
        <v>176</v>
      </c>
      <c r="BE2668" s="226" t="s">
        <v>2700</v>
      </c>
      <c r="BG2668" s="191" t="s">
        <v>176</v>
      </c>
      <c r="BH2668" s="226" t="s">
        <v>2701</v>
      </c>
      <c r="BI2668" s="191" t="s">
        <v>479</v>
      </c>
      <c r="BK2668" s="55" t="s">
        <v>6333</v>
      </c>
      <c r="BM2668" s="192" t="s">
        <v>2702</v>
      </c>
      <c r="BN2668" s="55">
        <v>3</v>
      </c>
      <c r="BO2668" s="55">
        <v>3</v>
      </c>
      <c r="BQ2668" s="55" t="s">
        <v>141</v>
      </c>
      <c r="DB2668" s="65">
        <v>2.8</v>
      </c>
      <c r="DC2668" s="65">
        <v>6.1</v>
      </c>
      <c r="DF2668" s="65" t="s">
        <v>1634</v>
      </c>
      <c r="GP2668" s="292" t="s">
        <v>7494</v>
      </c>
    </row>
    <row r="2669" spans="1:241" x14ac:dyDescent="0.25">
      <c r="A2669" s="55">
        <v>2668</v>
      </c>
      <c r="B2669" s="12" t="s">
        <v>7067</v>
      </c>
      <c r="C2669" s="155">
        <v>124</v>
      </c>
      <c r="D2669" s="55" t="s">
        <v>4257</v>
      </c>
      <c r="E2669" s="90" t="s">
        <v>2687</v>
      </c>
      <c r="G2669" s="55" t="s">
        <v>2686</v>
      </c>
      <c r="H2669" s="55">
        <v>2004</v>
      </c>
      <c r="I2669" s="55">
        <v>2000</v>
      </c>
      <c r="J2669" s="55" t="s">
        <v>767</v>
      </c>
      <c r="K2669" s="55" t="s">
        <v>2689</v>
      </c>
      <c r="L2669" s="55" t="s">
        <v>2750</v>
      </c>
      <c r="M2669" s="90">
        <f>-14-15/60</f>
        <v>-14.25</v>
      </c>
      <c r="N2669" s="90">
        <v>32</v>
      </c>
      <c r="O2669" s="90">
        <v>988</v>
      </c>
      <c r="S2669" s="90">
        <v>850</v>
      </c>
      <c r="U2669" s="55" t="s">
        <v>1816</v>
      </c>
      <c r="V2669" s="55" t="s">
        <v>1801</v>
      </c>
      <c r="Y2669" s="55" t="s">
        <v>2690</v>
      </c>
      <c r="Z2669" s="55" t="s">
        <v>1346</v>
      </c>
      <c r="AA2669" s="90" t="s">
        <v>1675</v>
      </c>
      <c r="AE2669" s="90">
        <v>44</v>
      </c>
      <c r="AF2669" s="90">
        <f>100-44-50</f>
        <v>6</v>
      </c>
      <c r="AH2669" s="55" t="s">
        <v>769</v>
      </c>
      <c r="AI2669" s="168">
        <v>5.6</v>
      </c>
      <c r="AJ2669" s="90">
        <v>0.9</v>
      </c>
      <c r="AM2669" s="55" t="s">
        <v>2691</v>
      </c>
      <c r="AN2669" s="185" t="s">
        <v>2704</v>
      </c>
      <c r="AO2669" s="185" t="s">
        <v>5150</v>
      </c>
      <c r="AQ2669" s="55" t="s">
        <v>553</v>
      </c>
      <c r="AR2669" s="55" t="s">
        <v>1607</v>
      </c>
      <c r="AS2669" s="55" t="s">
        <v>1607</v>
      </c>
      <c r="AU2669" s="181" t="s">
        <v>7494</v>
      </c>
      <c r="AV2669" s="185" t="s">
        <v>176</v>
      </c>
      <c r="AX2669" s="185" t="s">
        <v>176</v>
      </c>
      <c r="BE2669" s="226" t="s">
        <v>2700</v>
      </c>
      <c r="BG2669" s="191" t="s">
        <v>176</v>
      </c>
      <c r="BH2669" s="226" t="s">
        <v>2701</v>
      </c>
      <c r="BI2669" s="191" t="s">
        <v>479</v>
      </c>
      <c r="BK2669" s="55" t="s">
        <v>6333</v>
      </c>
      <c r="BM2669" s="192" t="s">
        <v>2702</v>
      </c>
      <c r="BN2669" s="55">
        <v>3</v>
      </c>
      <c r="BO2669" s="55">
        <v>3</v>
      </c>
      <c r="BQ2669" s="55" t="s">
        <v>141</v>
      </c>
      <c r="DB2669" s="65">
        <v>4.5999999999999996</v>
      </c>
      <c r="DC2669" s="65">
        <v>7.1</v>
      </c>
      <c r="DF2669" s="65" t="s">
        <v>2705</v>
      </c>
      <c r="GP2669" s="292" t="s">
        <v>7494</v>
      </c>
    </row>
    <row r="2670" spans="1:241" x14ac:dyDescent="0.25">
      <c r="A2670" s="55">
        <v>2669</v>
      </c>
      <c r="B2670" s="12" t="s">
        <v>7067</v>
      </c>
      <c r="C2670" s="155">
        <v>124</v>
      </c>
      <c r="D2670" s="55" t="s">
        <v>4257</v>
      </c>
      <c r="E2670" s="90" t="s">
        <v>2687</v>
      </c>
      <c r="G2670" s="55" t="s">
        <v>2686</v>
      </c>
      <c r="H2670" s="55">
        <v>2004</v>
      </c>
      <c r="I2670" s="55">
        <v>2000</v>
      </c>
      <c r="J2670" s="55" t="s">
        <v>767</v>
      </c>
      <c r="K2670" s="55" t="s">
        <v>2689</v>
      </c>
      <c r="L2670" s="55" t="s">
        <v>2750</v>
      </c>
      <c r="M2670" s="90">
        <f>-14-15/60</f>
        <v>-14.25</v>
      </c>
      <c r="N2670" s="90">
        <v>32</v>
      </c>
      <c r="O2670" s="90">
        <v>988</v>
      </c>
      <c r="S2670" s="90">
        <v>850</v>
      </c>
      <c r="U2670" s="55" t="s">
        <v>1816</v>
      </c>
      <c r="V2670" s="55" t="s">
        <v>1801</v>
      </c>
      <c r="Y2670" s="55" t="s">
        <v>2690</v>
      </c>
      <c r="Z2670" s="55" t="s">
        <v>1346</v>
      </c>
      <c r="AA2670" s="90" t="s">
        <v>1675</v>
      </c>
      <c r="AE2670" s="90">
        <v>44</v>
      </c>
      <c r="AF2670" s="90">
        <f>100-44-50</f>
        <v>6</v>
      </c>
      <c r="AH2670" s="55" t="s">
        <v>769</v>
      </c>
      <c r="AI2670" s="168">
        <v>5.6</v>
      </c>
      <c r="AJ2670" s="90">
        <v>0.9</v>
      </c>
      <c r="AM2670" s="55" t="s">
        <v>2691</v>
      </c>
      <c r="AN2670" s="185" t="s">
        <v>2692</v>
      </c>
      <c r="AO2670" s="185" t="s">
        <v>5150</v>
      </c>
      <c r="AQ2670" s="55" t="s">
        <v>553</v>
      </c>
      <c r="AR2670" s="55" t="s">
        <v>1607</v>
      </c>
      <c r="AS2670" s="55" t="s">
        <v>1607</v>
      </c>
      <c r="AU2670" s="181" t="s">
        <v>7494</v>
      </c>
      <c r="AV2670" s="185" t="s">
        <v>176</v>
      </c>
      <c r="AX2670" s="185" t="s">
        <v>176</v>
      </c>
      <c r="BE2670" s="226" t="s">
        <v>2700</v>
      </c>
      <c r="BG2670" s="191" t="s">
        <v>176</v>
      </c>
      <c r="BH2670" s="226" t="s">
        <v>2701</v>
      </c>
      <c r="BI2670" s="191" t="s">
        <v>479</v>
      </c>
      <c r="BK2670" s="55" t="s">
        <v>6333</v>
      </c>
      <c r="BM2670" s="192" t="s">
        <v>2702</v>
      </c>
      <c r="BN2670" s="55">
        <v>3</v>
      </c>
      <c r="BO2670" s="55">
        <v>3</v>
      </c>
      <c r="BQ2670" s="55" t="s">
        <v>141</v>
      </c>
      <c r="DB2670" s="65">
        <v>4.5999999999999996</v>
      </c>
      <c r="DC2670" s="65">
        <v>6.7</v>
      </c>
      <c r="DF2670" s="65" t="s">
        <v>2705</v>
      </c>
      <c r="GP2670" s="292" t="s">
        <v>7494</v>
      </c>
    </row>
    <row r="2671" spans="1:241" x14ac:dyDescent="0.25">
      <c r="A2671" s="55">
        <v>2670</v>
      </c>
      <c r="B2671" s="12" t="s">
        <v>7067</v>
      </c>
      <c r="C2671" s="155">
        <v>124</v>
      </c>
      <c r="D2671" s="55" t="s">
        <v>4258</v>
      </c>
      <c r="E2671" s="90" t="s">
        <v>2687</v>
      </c>
      <c r="G2671" s="55" t="s">
        <v>2686</v>
      </c>
      <c r="H2671" s="55">
        <v>2004</v>
      </c>
      <c r="I2671" s="55">
        <v>2000</v>
      </c>
      <c r="J2671" s="55" t="s">
        <v>767</v>
      </c>
      <c r="K2671" s="55" t="s">
        <v>2689</v>
      </c>
      <c r="L2671" s="55" t="s">
        <v>2750</v>
      </c>
      <c r="M2671" s="90">
        <f>-14-15/60</f>
        <v>-14.25</v>
      </c>
      <c r="N2671" s="90">
        <v>32</v>
      </c>
      <c r="O2671" s="90">
        <v>988</v>
      </c>
      <c r="S2671" s="90">
        <v>850</v>
      </c>
      <c r="U2671" s="55" t="s">
        <v>1816</v>
      </c>
      <c r="V2671" s="55" t="s">
        <v>1801</v>
      </c>
      <c r="Y2671" s="55" t="s">
        <v>2690</v>
      </c>
      <c r="Z2671" s="55" t="s">
        <v>1350</v>
      </c>
      <c r="AA2671" s="90" t="s">
        <v>1675</v>
      </c>
      <c r="AE2671" s="90">
        <v>44</v>
      </c>
      <c r="AF2671" s="90">
        <f>100-44-50</f>
        <v>6</v>
      </c>
      <c r="AH2671" s="55" t="s">
        <v>769</v>
      </c>
      <c r="AI2671" s="168">
        <v>5.6</v>
      </c>
      <c r="AJ2671" s="90">
        <v>0.9</v>
      </c>
      <c r="AM2671" s="55" t="s">
        <v>2691</v>
      </c>
      <c r="AN2671" s="185" t="s">
        <v>2704</v>
      </c>
      <c r="AO2671" s="185" t="s">
        <v>5150</v>
      </c>
      <c r="AQ2671" s="55" t="s">
        <v>553</v>
      </c>
      <c r="AR2671" s="55" t="s">
        <v>1607</v>
      </c>
      <c r="AS2671" s="55" t="s">
        <v>1607</v>
      </c>
      <c r="AU2671" s="181" t="s">
        <v>7494</v>
      </c>
      <c r="AV2671" s="185" t="s">
        <v>176</v>
      </c>
      <c r="AX2671" s="185" t="s">
        <v>176</v>
      </c>
      <c r="BE2671" s="226" t="s">
        <v>2700</v>
      </c>
      <c r="BG2671" s="191" t="s">
        <v>176</v>
      </c>
      <c r="BH2671" s="226" t="s">
        <v>2701</v>
      </c>
      <c r="BI2671" s="191" t="s">
        <v>479</v>
      </c>
      <c r="BK2671" s="55" t="s">
        <v>6333</v>
      </c>
      <c r="BM2671" s="192" t="s">
        <v>2702</v>
      </c>
      <c r="BN2671" s="55">
        <v>3</v>
      </c>
      <c r="BO2671" s="55">
        <v>3</v>
      </c>
      <c r="BQ2671" s="55" t="s">
        <v>141</v>
      </c>
      <c r="DB2671" s="65">
        <v>2.9</v>
      </c>
      <c r="DC2671" s="65">
        <v>4.9000000000000004</v>
      </c>
      <c r="DF2671" s="65" t="s">
        <v>2705</v>
      </c>
      <c r="GP2671" s="292" t="s">
        <v>7494</v>
      </c>
    </row>
    <row r="2672" spans="1:241" x14ac:dyDescent="0.25">
      <c r="A2672" s="55">
        <v>2671</v>
      </c>
      <c r="B2672" s="12" t="s">
        <v>7067</v>
      </c>
      <c r="C2672" s="155">
        <v>124</v>
      </c>
      <c r="D2672" s="55" t="s">
        <v>4258</v>
      </c>
      <c r="E2672" s="90" t="s">
        <v>2687</v>
      </c>
      <c r="G2672" s="55" t="s">
        <v>2686</v>
      </c>
      <c r="H2672" s="55">
        <v>2004</v>
      </c>
      <c r="I2672" s="55">
        <v>2000</v>
      </c>
      <c r="J2672" s="55" t="s">
        <v>767</v>
      </c>
      <c r="K2672" s="55" t="s">
        <v>2689</v>
      </c>
      <c r="L2672" s="55" t="s">
        <v>2750</v>
      </c>
      <c r="M2672" s="90">
        <f>-14-15/60</f>
        <v>-14.25</v>
      </c>
      <c r="N2672" s="90">
        <v>32</v>
      </c>
      <c r="O2672" s="90">
        <v>988</v>
      </c>
      <c r="S2672" s="90">
        <v>850</v>
      </c>
      <c r="U2672" s="55" t="s">
        <v>1816</v>
      </c>
      <c r="V2672" s="55" t="s">
        <v>1801</v>
      </c>
      <c r="Y2672" s="55" t="s">
        <v>2690</v>
      </c>
      <c r="Z2672" s="55" t="s">
        <v>1350</v>
      </c>
      <c r="AA2672" s="90" t="s">
        <v>1675</v>
      </c>
      <c r="AE2672" s="90">
        <v>44</v>
      </c>
      <c r="AF2672" s="90">
        <f>100-44-50</f>
        <v>6</v>
      </c>
      <c r="AH2672" s="55" t="s">
        <v>769</v>
      </c>
      <c r="AI2672" s="168">
        <v>5.6</v>
      </c>
      <c r="AJ2672" s="90">
        <v>0.9</v>
      </c>
      <c r="AM2672" s="55" t="s">
        <v>2691</v>
      </c>
      <c r="AN2672" s="185" t="s">
        <v>2692</v>
      </c>
      <c r="AO2672" s="185" t="s">
        <v>5150</v>
      </c>
      <c r="AQ2672" s="55" t="s">
        <v>553</v>
      </c>
      <c r="AR2672" s="55" t="s">
        <v>1607</v>
      </c>
      <c r="AS2672" s="55" t="s">
        <v>1607</v>
      </c>
      <c r="AU2672" s="181" t="s">
        <v>7494</v>
      </c>
      <c r="AV2672" s="185" t="s">
        <v>176</v>
      </c>
      <c r="AX2672" s="185" t="s">
        <v>176</v>
      </c>
      <c r="BE2672" s="226" t="s">
        <v>2700</v>
      </c>
      <c r="BG2672" s="191" t="s">
        <v>176</v>
      </c>
      <c r="BH2672" s="226" t="s">
        <v>2701</v>
      </c>
      <c r="BI2672" s="191" t="s">
        <v>479</v>
      </c>
      <c r="BK2672" s="55" t="s">
        <v>6333</v>
      </c>
      <c r="BM2672" s="192" t="s">
        <v>2702</v>
      </c>
      <c r="BN2672" s="55">
        <v>3</v>
      </c>
      <c r="BO2672" s="55">
        <v>3</v>
      </c>
      <c r="BQ2672" s="55" t="s">
        <v>141</v>
      </c>
      <c r="DB2672" s="65">
        <v>2.9</v>
      </c>
      <c r="DC2672" s="65">
        <v>3.4</v>
      </c>
      <c r="DF2672" s="65" t="s">
        <v>2705</v>
      </c>
      <c r="GP2672" s="292" t="s">
        <v>7494</v>
      </c>
    </row>
    <row r="2673" spans="1:198" x14ac:dyDescent="0.25">
      <c r="A2673" s="55">
        <v>2672</v>
      </c>
      <c r="B2673" s="12" t="s">
        <v>7067</v>
      </c>
      <c r="C2673" s="155">
        <v>124</v>
      </c>
      <c r="D2673" s="55" t="s">
        <v>4259</v>
      </c>
      <c r="E2673" s="90" t="s">
        <v>2687</v>
      </c>
      <c r="G2673" s="55" t="s">
        <v>2686</v>
      </c>
      <c r="H2673" s="55">
        <v>2004</v>
      </c>
      <c r="I2673" s="55">
        <v>2000</v>
      </c>
      <c r="J2673" s="55" t="s">
        <v>767</v>
      </c>
      <c r="K2673" s="55" t="s">
        <v>2689</v>
      </c>
      <c r="L2673" s="55" t="s">
        <v>2750</v>
      </c>
      <c r="M2673" s="90">
        <f>-14-15/60</f>
        <v>-14.25</v>
      </c>
      <c r="N2673" s="90">
        <v>32</v>
      </c>
      <c r="O2673" s="90">
        <v>988</v>
      </c>
      <c r="S2673" s="90">
        <v>850</v>
      </c>
      <c r="U2673" s="55" t="s">
        <v>1816</v>
      </c>
      <c r="V2673" s="55" t="s">
        <v>1801</v>
      </c>
      <c r="Y2673" s="55" t="s">
        <v>2690</v>
      </c>
      <c r="Z2673" s="55" t="s">
        <v>1351</v>
      </c>
      <c r="AA2673" s="90" t="s">
        <v>1675</v>
      </c>
      <c r="AE2673" s="90">
        <v>44</v>
      </c>
      <c r="AF2673" s="90">
        <f>100-44-50</f>
        <v>6</v>
      </c>
      <c r="AH2673" s="55" t="s">
        <v>769</v>
      </c>
      <c r="AI2673" s="168">
        <v>5.6</v>
      </c>
      <c r="AJ2673" s="90">
        <v>0.9</v>
      </c>
      <c r="AM2673" s="55" t="s">
        <v>2691</v>
      </c>
      <c r="AN2673" s="185" t="s">
        <v>2704</v>
      </c>
      <c r="AO2673" s="185" t="s">
        <v>5150</v>
      </c>
      <c r="AQ2673" s="55" t="s">
        <v>553</v>
      </c>
      <c r="AR2673" s="55" t="s">
        <v>1607</v>
      </c>
      <c r="AS2673" s="55" t="s">
        <v>1607</v>
      </c>
      <c r="AU2673" s="181" t="s">
        <v>7494</v>
      </c>
      <c r="AV2673" s="185" t="s">
        <v>176</v>
      </c>
      <c r="AX2673" s="185" t="s">
        <v>176</v>
      </c>
      <c r="BE2673" s="226" t="s">
        <v>2700</v>
      </c>
      <c r="BG2673" s="191" t="s">
        <v>176</v>
      </c>
      <c r="BH2673" s="226" t="s">
        <v>2701</v>
      </c>
      <c r="BI2673" s="191" t="s">
        <v>479</v>
      </c>
      <c r="BK2673" s="55" t="s">
        <v>6333</v>
      </c>
      <c r="BM2673" s="192" t="s">
        <v>2702</v>
      </c>
      <c r="BN2673" s="55">
        <v>3</v>
      </c>
      <c r="BO2673" s="55">
        <v>3</v>
      </c>
      <c r="BQ2673" s="55" t="s">
        <v>141</v>
      </c>
      <c r="DB2673" s="65">
        <v>2.2000000000000002</v>
      </c>
      <c r="DC2673" s="65">
        <v>3.4</v>
      </c>
      <c r="DF2673" s="65" t="s">
        <v>2705</v>
      </c>
      <c r="GP2673" s="292" t="s">
        <v>7494</v>
      </c>
    </row>
    <row r="2674" spans="1:198" x14ac:dyDescent="0.25">
      <c r="A2674" s="55">
        <v>2673</v>
      </c>
      <c r="B2674" s="12" t="s">
        <v>7067</v>
      </c>
      <c r="C2674" s="155">
        <v>124</v>
      </c>
      <c r="D2674" s="55" t="s">
        <v>4259</v>
      </c>
      <c r="E2674" s="90" t="s">
        <v>2687</v>
      </c>
      <c r="G2674" s="55" t="s">
        <v>2686</v>
      </c>
      <c r="H2674" s="55">
        <v>2004</v>
      </c>
      <c r="I2674" s="55">
        <v>2000</v>
      </c>
      <c r="J2674" s="55" t="s">
        <v>767</v>
      </c>
      <c r="K2674" s="55" t="s">
        <v>2689</v>
      </c>
      <c r="L2674" s="55" t="s">
        <v>2750</v>
      </c>
      <c r="M2674" s="90">
        <f>-14-15/60</f>
        <v>-14.25</v>
      </c>
      <c r="N2674" s="90">
        <v>32</v>
      </c>
      <c r="O2674" s="90">
        <v>988</v>
      </c>
      <c r="S2674" s="90">
        <v>850</v>
      </c>
      <c r="U2674" s="55" t="s">
        <v>1816</v>
      </c>
      <c r="V2674" s="55" t="s">
        <v>1801</v>
      </c>
      <c r="Y2674" s="55" t="s">
        <v>2690</v>
      </c>
      <c r="Z2674" s="55" t="s">
        <v>1351</v>
      </c>
      <c r="AA2674" s="90" t="s">
        <v>1675</v>
      </c>
      <c r="AE2674" s="90">
        <v>44</v>
      </c>
      <c r="AF2674" s="90">
        <f>100-44-50</f>
        <v>6</v>
      </c>
      <c r="AH2674" s="55" t="s">
        <v>769</v>
      </c>
      <c r="AI2674" s="168">
        <v>5.6</v>
      </c>
      <c r="AJ2674" s="90">
        <v>0.9</v>
      </c>
      <c r="AM2674" s="55" t="s">
        <v>2691</v>
      </c>
      <c r="AN2674" s="185" t="s">
        <v>2692</v>
      </c>
      <c r="AO2674" s="185" t="s">
        <v>5150</v>
      </c>
      <c r="AQ2674" s="55" t="s">
        <v>553</v>
      </c>
      <c r="AR2674" s="55" t="s">
        <v>1607</v>
      </c>
      <c r="AS2674" s="55" t="s">
        <v>1607</v>
      </c>
      <c r="AU2674" s="181" t="s">
        <v>7494</v>
      </c>
      <c r="AV2674" s="185" t="s">
        <v>176</v>
      </c>
      <c r="AX2674" s="185" t="s">
        <v>176</v>
      </c>
      <c r="BE2674" s="226" t="s">
        <v>2700</v>
      </c>
      <c r="BG2674" s="191" t="s">
        <v>176</v>
      </c>
      <c r="BH2674" s="226" t="s">
        <v>2701</v>
      </c>
      <c r="BI2674" s="191" t="s">
        <v>479</v>
      </c>
      <c r="BK2674" s="55" t="s">
        <v>6333</v>
      </c>
      <c r="BM2674" s="192" t="s">
        <v>2702</v>
      </c>
      <c r="BN2674" s="55">
        <v>3</v>
      </c>
      <c r="BO2674" s="55">
        <v>3</v>
      </c>
      <c r="BQ2674" s="55" t="s">
        <v>141</v>
      </c>
      <c r="DB2674" s="65">
        <v>2.2000000000000002</v>
      </c>
      <c r="DC2674" s="65">
        <v>4</v>
      </c>
      <c r="DF2674" s="65" t="s">
        <v>2705</v>
      </c>
      <c r="GP2674" s="292" t="s">
        <v>7494</v>
      </c>
    </row>
    <row r="2675" spans="1:198" x14ac:dyDescent="0.25">
      <c r="A2675" s="55">
        <v>2674</v>
      </c>
      <c r="B2675" s="12" t="s">
        <v>7067</v>
      </c>
      <c r="C2675" s="155">
        <v>124</v>
      </c>
      <c r="D2675" s="55" t="s">
        <v>4260</v>
      </c>
      <c r="E2675" s="90" t="s">
        <v>2687</v>
      </c>
      <c r="G2675" s="55" t="s">
        <v>2686</v>
      </c>
      <c r="H2675" s="55">
        <v>2004</v>
      </c>
      <c r="I2675" s="55">
        <v>2000</v>
      </c>
      <c r="J2675" s="55" t="s">
        <v>767</v>
      </c>
      <c r="K2675" s="55" t="s">
        <v>2689</v>
      </c>
      <c r="L2675" s="55" t="s">
        <v>2750</v>
      </c>
      <c r="M2675" s="90">
        <f>-14-15/60</f>
        <v>-14.25</v>
      </c>
      <c r="N2675" s="90">
        <v>32</v>
      </c>
      <c r="O2675" s="90">
        <v>988</v>
      </c>
      <c r="S2675" s="90">
        <v>850</v>
      </c>
      <c r="U2675" s="55" t="s">
        <v>1816</v>
      </c>
      <c r="V2675" s="55" t="s">
        <v>1801</v>
      </c>
      <c r="Y2675" s="55" t="s">
        <v>2690</v>
      </c>
      <c r="Z2675" s="55" t="s">
        <v>1383</v>
      </c>
      <c r="AA2675" s="90" t="s">
        <v>1684</v>
      </c>
      <c r="AE2675" s="90">
        <v>44</v>
      </c>
      <c r="AF2675" s="90">
        <f>100-44-50</f>
        <v>6</v>
      </c>
      <c r="AH2675" s="55" t="s">
        <v>769</v>
      </c>
      <c r="AI2675" s="168">
        <v>5.6</v>
      </c>
      <c r="AJ2675" s="90">
        <v>0.9</v>
      </c>
      <c r="AM2675" s="55" t="s">
        <v>2691</v>
      </c>
      <c r="AN2675" s="185" t="s">
        <v>2704</v>
      </c>
      <c r="AO2675" s="185" t="s">
        <v>5150</v>
      </c>
      <c r="AQ2675" s="55" t="s">
        <v>553</v>
      </c>
      <c r="AR2675" s="55" t="s">
        <v>1607</v>
      </c>
      <c r="AS2675" s="55" t="s">
        <v>1607</v>
      </c>
      <c r="AU2675" s="181" t="s">
        <v>7494</v>
      </c>
      <c r="AV2675" s="185" t="s">
        <v>176</v>
      </c>
      <c r="AX2675" s="185" t="s">
        <v>176</v>
      </c>
      <c r="BE2675" s="226" t="s">
        <v>2700</v>
      </c>
      <c r="BG2675" s="191" t="s">
        <v>176</v>
      </c>
      <c r="BH2675" s="226" t="s">
        <v>2701</v>
      </c>
      <c r="BI2675" s="191" t="s">
        <v>479</v>
      </c>
      <c r="BK2675" s="55" t="s">
        <v>6333</v>
      </c>
      <c r="BM2675" s="192" t="s">
        <v>2702</v>
      </c>
      <c r="BN2675" s="55">
        <v>3</v>
      </c>
      <c r="BO2675" s="55">
        <v>3</v>
      </c>
      <c r="BQ2675" s="55" t="s">
        <v>141</v>
      </c>
      <c r="DB2675" s="65">
        <v>9.6999999999999993</v>
      </c>
      <c r="DC2675" s="65">
        <v>15.4</v>
      </c>
      <c r="DF2675" s="65" t="s">
        <v>2705</v>
      </c>
      <c r="GP2675" s="292" t="s">
        <v>7494</v>
      </c>
    </row>
    <row r="2676" spans="1:198" x14ac:dyDescent="0.25">
      <c r="A2676" s="55">
        <v>2675</v>
      </c>
      <c r="B2676" s="12" t="s">
        <v>7067</v>
      </c>
      <c r="C2676" s="155">
        <v>124</v>
      </c>
      <c r="D2676" s="55" t="s">
        <v>4260</v>
      </c>
      <c r="E2676" s="90" t="s">
        <v>2687</v>
      </c>
      <c r="G2676" s="55" t="s">
        <v>2686</v>
      </c>
      <c r="H2676" s="55">
        <v>2004</v>
      </c>
      <c r="I2676" s="55">
        <v>2000</v>
      </c>
      <c r="J2676" s="55" t="s">
        <v>767</v>
      </c>
      <c r="K2676" s="55" t="s">
        <v>2689</v>
      </c>
      <c r="L2676" s="55" t="s">
        <v>2750</v>
      </c>
      <c r="M2676" s="90">
        <f>-14-15/60</f>
        <v>-14.25</v>
      </c>
      <c r="N2676" s="90">
        <v>32</v>
      </c>
      <c r="O2676" s="90">
        <v>988</v>
      </c>
      <c r="S2676" s="90">
        <v>850</v>
      </c>
      <c r="U2676" s="55" t="s">
        <v>1816</v>
      </c>
      <c r="V2676" s="55" t="s">
        <v>1801</v>
      </c>
      <c r="Y2676" s="55" t="s">
        <v>2690</v>
      </c>
      <c r="Z2676" s="55" t="s">
        <v>1383</v>
      </c>
      <c r="AA2676" s="90" t="s">
        <v>1684</v>
      </c>
      <c r="AE2676" s="90">
        <v>44</v>
      </c>
      <c r="AF2676" s="90">
        <f>100-44-50</f>
        <v>6</v>
      </c>
      <c r="AH2676" s="55" t="s">
        <v>769</v>
      </c>
      <c r="AI2676" s="168">
        <v>5.6</v>
      </c>
      <c r="AJ2676" s="90">
        <v>0.9</v>
      </c>
      <c r="AM2676" s="55" t="s">
        <v>2691</v>
      </c>
      <c r="AN2676" s="185" t="s">
        <v>2692</v>
      </c>
      <c r="AO2676" s="185" t="s">
        <v>5150</v>
      </c>
      <c r="AQ2676" s="55" t="s">
        <v>553</v>
      </c>
      <c r="AR2676" s="55" t="s">
        <v>1607</v>
      </c>
      <c r="AS2676" s="55" t="s">
        <v>1607</v>
      </c>
      <c r="AU2676" s="181" t="s">
        <v>7494</v>
      </c>
      <c r="AV2676" s="185" t="s">
        <v>176</v>
      </c>
      <c r="AX2676" s="185" t="s">
        <v>176</v>
      </c>
      <c r="BE2676" s="226" t="s">
        <v>2700</v>
      </c>
      <c r="BG2676" s="191" t="s">
        <v>176</v>
      </c>
      <c r="BH2676" s="226" t="s">
        <v>2701</v>
      </c>
      <c r="BI2676" s="191" t="s">
        <v>479</v>
      </c>
      <c r="BK2676" s="55" t="s">
        <v>6333</v>
      </c>
      <c r="BM2676" s="192" t="s">
        <v>2702</v>
      </c>
      <c r="BN2676" s="55">
        <v>3</v>
      </c>
      <c r="BO2676" s="55">
        <v>3</v>
      </c>
      <c r="BQ2676" s="55" t="s">
        <v>141</v>
      </c>
      <c r="DB2676" s="65">
        <v>9.6999999999999993</v>
      </c>
      <c r="DC2676" s="65">
        <v>14.1</v>
      </c>
      <c r="DF2676" s="65" t="s">
        <v>2705</v>
      </c>
      <c r="GP2676" s="292" t="s">
        <v>7494</v>
      </c>
    </row>
    <row r="2677" spans="1:198" x14ac:dyDescent="0.25">
      <c r="A2677" s="55">
        <v>2676</v>
      </c>
      <c r="B2677" s="12" t="s">
        <v>7067</v>
      </c>
      <c r="C2677" s="155">
        <v>125</v>
      </c>
      <c r="D2677" s="55" t="s">
        <v>4261</v>
      </c>
      <c r="E2677" s="90" t="s">
        <v>2707</v>
      </c>
      <c r="G2677" s="55" t="s">
        <v>2706</v>
      </c>
      <c r="H2677" s="55">
        <v>1996</v>
      </c>
      <c r="I2677" s="55">
        <v>1990</v>
      </c>
      <c r="J2677" s="55" t="s">
        <v>2619</v>
      </c>
      <c r="K2677" s="55" t="s">
        <v>2751</v>
      </c>
      <c r="L2677" s="55" t="s">
        <v>2748</v>
      </c>
      <c r="M2677" s="90">
        <v>-13.98</v>
      </c>
      <c r="N2677" s="90">
        <v>33.64</v>
      </c>
      <c r="O2677" s="90">
        <v>1155</v>
      </c>
      <c r="Z2677" s="55" t="s">
        <v>1344</v>
      </c>
      <c r="AA2677" s="90" t="s">
        <v>1344</v>
      </c>
      <c r="AN2677" s="185" t="s">
        <v>2708</v>
      </c>
      <c r="AO2677" s="185" t="s">
        <v>5150</v>
      </c>
      <c r="AQ2677" s="55" t="s">
        <v>553</v>
      </c>
      <c r="AR2677" s="55" t="s">
        <v>1565</v>
      </c>
      <c r="AS2677" s="55" t="s">
        <v>5133</v>
      </c>
      <c r="AU2677" s="181" t="s">
        <v>7494</v>
      </c>
      <c r="AV2677" s="185" t="s">
        <v>176</v>
      </c>
      <c r="AX2677" s="185" t="s">
        <v>176</v>
      </c>
      <c r="BE2677" s="226" t="s">
        <v>318</v>
      </c>
      <c r="BG2677" s="191" t="s">
        <v>176</v>
      </c>
      <c r="BH2677" s="226" t="s">
        <v>2701</v>
      </c>
      <c r="BI2677" s="191" t="s">
        <v>479</v>
      </c>
      <c r="BK2677" s="55" t="s">
        <v>6333</v>
      </c>
      <c r="BM2677" s="192" t="s">
        <v>160</v>
      </c>
      <c r="CB2677" s="66">
        <v>1110</v>
      </c>
      <c r="CC2677" s="66">
        <v>730</v>
      </c>
      <c r="GP2677" s="292" t="s">
        <v>7494</v>
      </c>
    </row>
    <row r="2678" spans="1:198" x14ac:dyDescent="0.25">
      <c r="A2678" s="55">
        <v>2677</v>
      </c>
      <c r="B2678" s="12" t="s">
        <v>7067</v>
      </c>
      <c r="C2678" s="155">
        <v>125</v>
      </c>
      <c r="D2678" s="55" t="s">
        <v>4262</v>
      </c>
      <c r="E2678" s="90" t="s">
        <v>2707</v>
      </c>
      <c r="G2678" s="55" t="s">
        <v>2706</v>
      </c>
      <c r="H2678" s="55">
        <v>1996</v>
      </c>
      <c r="I2678" s="55">
        <v>1990</v>
      </c>
      <c r="J2678" s="55" t="s">
        <v>2619</v>
      </c>
      <c r="K2678" s="55" t="s">
        <v>2751</v>
      </c>
      <c r="L2678" s="55" t="s">
        <v>2748</v>
      </c>
      <c r="M2678" s="90">
        <v>-13.98</v>
      </c>
      <c r="N2678" s="90">
        <v>33.64</v>
      </c>
      <c r="O2678" s="90">
        <v>1155</v>
      </c>
      <c r="Z2678" s="55" t="s">
        <v>1344</v>
      </c>
      <c r="AA2678" s="90" t="s">
        <v>1344</v>
      </c>
      <c r="AN2678" s="185" t="s">
        <v>2708</v>
      </c>
      <c r="AO2678" s="185" t="s">
        <v>5150</v>
      </c>
      <c r="AQ2678" s="55" t="s">
        <v>553</v>
      </c>
      <c r="AR2678" s="55" t="s">
        <v>1565</v>
      </c>
      <c r="AS2678" s="55" t="s">
        <v>5133</v>
      </c>
      <c r="AU2678" s="181" t="s">
        <v>7494</v>
      </c>
      <c r="AV2678" s="185" t="s">
        <v>176</v>
      </c>
      <c r="AX2678" s="185" t="s">
        <v>176</v>
      </c>
      <c r="BE2678" s="226" t="s">
        <v>2709</v>
      </c>
      <c r="BG2678" s="191" t="s">
        <v>479</v>
      </c>
      <c r="BH2678" s="226" t="s">
        <v>2701</v>
      </c>
      <c r="BI2678" s="191" t="s">
        <v>479</v>
      </c>
      <c r="BK2678" s="55" t="s">
        <v>6333</v>
      </c>
      <c r="BM2678" s="192" t="s">
        <v>160</v>
      </c>
      <c r="CB2678" s="66">
        <v>2080</v>
      </c>
      <c r="CC2678" s="66">
        <v>730</v>
      </c>
      <c r="GP2678" s="292" t="s">
        <v>7494</v>
      </c>
    </row>
    <row r="2679" spans="1:198" x14ac:dyDescent="0.25">
      <c r="A2679" s="55">
        <v>2678</v>
      </c>
      <c r="B2679" s="12" t="s">
        <v>7067</v>
      </c>
      <c r="C2679" s="155">
        <v>125</v>
      </c>
      <c r="D2679" s="55" t="s">
        <v>4261</v>
      </c>
      <c r="E2679" s="90" t="s">
        <v>2707</v>
      </c>
      <c r="G2679" s="55" t="s">
        <v>2706</v>
      </c>
      <c r="H2679" s="55">
        <v>1996</v>
      </c>
      <c r="I2679" s="55">
        <v>1991</v>
      </c>
      <c r="J2679" s="55" t="s">
        <v>2619</v>
      </c>
      <c r="K2679" s="55" t="s">
        <v>2751</v>
      </c>
      <c r="L2679" s="55" t="s">
        <v>2748</v>
      </c>
      <c r="M2679" s="90">
        <v>-13.98</v>
      </c>
      <c r="N2679" s="90">
        <v>33.64</v>
      </c>
      <c r="O2679" s="90">
        <v>1155</v>
      </c>
      <c r="Z2679" s="55" t="s">
        <v>1344</v>
      </c>
      <c r="AA2679" s="90" t="s">
        <v>1344</v>
      </c>
      <c r="AN2679" s="185" t="s">
        <v>2708</v>
      </c>
      <c r="AO2679" s="185" t="s">
        <v>5150</v>
      </c>
      <c r="AQ2679" s="55" t="s">
        <v>553</v>
      </c>
      <c r="AR2679" s="55" t="s">
        <v>1565</v>
      </c>
      <c r="AS2679" s="55" t="s">
        <v>5133</v>
      </c>
      <c r="AU2679" s="181" t="s">
        <v>7494</v>
      </c>
      <c r="AV2679" s="185" t="s">
        <v>176</v>
      </c>
      <c r="AX2679" s="185" t="s">
        <v>176</v>
      </c>
      <c r="BE2679" s="226" t="s">
        <v>318</v>
      </c>
      <c r="BG2679" s="191" t="s">
        <v>176</v>
      </c>
      <c r="BH2679" s="226" t="s">
        <v>2701</v>
      </c>
      <c r="BI2679" s="191" t="s">
        <v>479</v>
      </c>
      <c r="BK2679" s="55" t="s">
        <v>6333</v>
      </c>
      <c r="BM2679" s="192" t="s">
        <v>160</v>
      </c>
      <c r="CB2679" s="66">
        <v>820</v>
      </c>
      <c r="CC2679" s="66">
        <v>960</v>
      </c>
      <c r="GP2679" s="292" t="s">
        <v>7494</v>
      </c>
    </row>
    <row r="2680" spans="1:198" x14ac:dyDescent="0.25">
      <c r="A2680" s="55">
        <v>2679</v>
      </c>
      <c r="B2680" s="12" t="s">
        <v>7067</v>
      </c>
      <c r="C2680" s="155">
        <v>125</v>
      </c>
      <c r="D2680" s="55" t="s">
        <v>4262</v>
      </c>
      <c r="E2680" s="90" t="s">
        <v>2707</v>
      </c>
      <c r="G2680" s="55" t="s">
        <v>2706</v>
      </c>
      <c r="H2680" s="55">
        <v>1996</v>
      </c>
      <c r="I2680" s="55">
        <v>1991</v>
      </c>
      <c r="J2680" s="55" t="s">
        <v>2619</v>
      </c>
      <c r="K2680" s="55" t="s">
        <v>2751</v>
      </c>
      <c r="L2680" s="55" t="s">
        <v>2748</v>
      </c>
      <c r="M2680" s="90">
        <v>-13.98</v>
      </c>
      <c r="N2680" s="90">
        <v>33.64</v>
      </c>
      <c r="O2680" s="90">
        <v>1155</v>
      </c>
      <c r="Z2680" s="55" t="s">
        <v>1344</v>
      </c>
      <c r="AA2680" s="90" t="s">
        <v>1344</v>
      </c>
      <c r="AN2680" s="185" t="s">
        <v>2708</v>
      </c>
      <c r="AO2680" s="185" t="s">
        <v>5150</v>
      </c>
      <c r="AQ2680" s="55" t="s">
        <v>553</v>
      </c>
      <c r="AR2680" s="55" t="s">
        <v>1565</v>
      </c>
      <c r="AS2680" s="55" t="s">
        <v>5133</v>
      </c>
      <c r="AU2680" s="181" t="s">
        <v>7494</v>
      </c>
      <c r="AV2680" s="185" t="s">
        <v>176</v>
      </c>
      <c r="AX2680" s="185" t="s">
        <v>176</v>
      </c>
      <c r="BE2680" s="226" t="s">
        <v>2709</v>
      </c>
      <c r="BG2680" s="191" t="s">
        <v>479</v>
      </c>
      <c r="BH2680" s="226" t="s">
        <v>2701</v>
      </c>
      <c r="BI2680" s="191" t="s">
        <v>479</v>
      </c>
      <c r="BK2680" s="55" t="s">
        <v>6333</v>
      </c>
      <c r="BM2680" s="192" t="s">
        <v>160</v>
      </c>
      <c r="CB2680" s="66">
        <v>4530</v>
      </c>
      <c r="CC2680" s="66">
        <v>960</v>
      </c>
      <c r="GP2680" s="292" t="s">
        <v>7494</v>
      </c>
    </row>
    <row r="2681" spans="1:198" x14ac:dyDescent="0.25">
      <c r="A2681" s="55">
        <v>2680</v>
      </c>
      <c r="B2681" s="12" t="s">
        <v>7067</v>
      </c>
      <c r="C2681" s="155">
        <v>125</v>
      </c>
      <c r="D2681" s="55" t="s">
        <v>4261</v>
      </c>
      <c r="E2681" s="90" t="s">
        <v>2707</v>
      </c>
      <c r="G2681" s="55" t="s">
        <v>2706</v>
      </c>
      <c r="H2681" s="55">
        <v>1996</v>
      </c>
      <c r="I2681" s="55">
        <v>1992</v>
      </c>
      <c r="J2681" s="55" t="s">
        <v>2619</v>
      </c>
      <c r="K2681" s="55" t="s">
        <v>2751</v>
      </c>
      <c r="L2681" s="55" t="s">
        <v>2748</v>
      </c>
      <c r="M2681" s="90">
        <v>-13.98</v>
      </c>
      <c r="N2681" s="90">
        <v>33.64</v>
      </c>
      <c r="O2681" s="90">
        <v>1155</v>
      </c>
      <c r="Z2681" s="55" t="s">
        <v>1344</v>
      </c>
      <c r="AA2681" s="90" t="s">
        <v>1344</v>
      </c>
      <c r="AN2681" s="185" t="s">
        <v>2708</v>
      </c>
      <c r="AO2681" s="185" t="s">
        <v>5150</v>
      </c>
      <c r="AQ2681" s="55" t="s">
        <v>553</v>
      </c>
      <c r="AR2681" s="55" t="s">
        <v>1565</v>
      </c>
      <c r="AS2681" s="55" t="s">
        <v>5133</v>
      </c>
      <c r="AU2681" s="181" t="s">
        <v>7494</v>
      </c>
      <c r="AV2681" s="185" t="s">
        <v>176</v>
      </c>
      <c r="AX2681" s="185" t="s">
        <v>176</v>
      </c>
      <c r="BE2681" s="226" t="s">
        <v>318</v>
      </c>
      <c r="BG2681" s="191" t="s">
        <v>176</v>
      </c>
      <c r="BH2681" s="226" t="s">
        <v>2701</v>
      </c>
      <c r="BI2681" s="191" t="s">
        <v>479</v>
      </c>
      <c r="BK2681" s="55" t="s">
        <v>6333</v>
      </c>
      <c r="BM2681" s="192" t="s">
        <v>160</v>
      </c>
      <c r="CB2681" s="66">
        <v>400</v>
      </c>
      <c r="CC2681" s="66">
        <v>2570</v>
      </c>
      <c r="GP2681" s="292" t="s">
        <v>7494</v>
      </c>
    </row>
    <row r="2682" spans="1:198" x14ac:dyDescent="0.25">
      <c r="A2682" s="55">
        <v>2681</v>
      </c>
      <c r="B2682" s="12" t="s">
        <v>7067</v>
      </c>
      <c r="C2682" s="155">
        <v>125</v>
      </c>
      <c r="D2682" s="55" t="s">
        <v>4262</v>
      </c>
      <c r="E2682" s="90" t="s">
        <v>2707</v>
      </c>
      <c r="G2682" s="55" t="s">
        <v>2706</v>
      </c>
      <c r="H2682" s="55">
        <v>1996</v>
      </c>
      <c r="I2682" s="55">
        <v>1992</v>
      </c>
      <c r="J2682" s="55" t="s">
        <v>2619</v>
      </c>
      <c r="K2682" s="55" t="s">
        <v>2751</v>
      </c>
      <c r="L2682" s="55" t="s">
        <v>2748</v>
      </c>
      <c r="M2682" s="90">
        <v>-13.98</v>
      </c>
      <c r="N2682" s="90">
        <v>33.64</v>
      </c>
      <c r="O2682" s="90">
        <v>1155</v>
      </c>
      <c r="Z2682" s="55" t="s">
        <v>1344</v>
      </c>
      <c r="AA2682" s="90" t="s">
        <v>1344</v>
      </c>
      <c r="AN2682" s="185" t="s">
        <v>2708</v>
      </c>
      <c r="AO2682" s="185" t="s">
        <v>5150</v>
      </c>
      <c r="AQ2682" s="55" t="s">
        <v>553</v>
      </c>
      <c r="AR2682" s="55" t="s">
        <v>1565</v>
      </c>
      <c r="AS2682" s="55" t="s">
        <v>5133</v>
      </c>
      <c r="AU2682" s="181" t="s">
        <v>7494</v>
      </c>
      <c r="AV2682" s="185" t="s">
        <v>176</v>
      </c>
      <c r="AX2682" s="185" t="s">
        <v>176</v>
      </c>
      <c r="BE2682" s="226" t="s">
        <v>2709</v>
      </c>
      <c r="BG2682" s="191" t="s">
        <v>479</v>
      </c>
      <c r="BH2682" s="226" t="s">
        <v>2701</v>
      </c>
      <c r="BI2682" s="191" t="s">
        <v>479</v>
      </c>
      <c r="BK2682" s="55" t="s">
        <v>6333</v>
      </c>
      <c r="BM2682" s="192" t="s">
        <v>160</v>
      </c>
      <c r="CB2682" s="66">
        <v>1930</v>
      </c>
      <c r="CC2682" s="66">
        <v>2570</v>
      </c>
      <c r="GP2682" s="292" t="s">
        <v>7494</v>
      </c>
    </row>
    <row r="2683" spans="1:198" x14ac:dyDescent="0.25">
      <c r="A2683" s="55">
        <v>2682</v>
      </c>
      <c r="B2683" s="12" t="s">
        <v>7067</v>
      </c>
      <c r="C2683" s="155">
        <v>125</v>
      </c>
      <c r="D2683" s="55" t="s">
        <v>4261</v>
      </c>
      <c r="E2683" s="90" t="s">
        <v>2707</v>
      </c>
      <c r="G2683" s="55" t="s">
        <v>2706</v>
      </c>
      <c r="H2683" s="55">
        <v>1996</v>
      </c>
      <c r="I2683" s="55">
        <v>1990</v>
      </c>
      <c r="J2683" s="55" t="s">
        <v>2619</v>
      </c>
      <c r="K2683" s="55" t="s">
        <v>2751</v>
      </c>
      <c r="L2683" s="55" t="s">
        <v>2748</v>
      </c>
      <c r="M2683" s="90">
        <v>-13.98</v>
      </c>
      <c r="N2683" s="90">
        <v>33.64</v>
      </c>
      <c r="O2683" s="90">
        <v>1155</v>
      </c>
      <c r="Z2683" s="55" t="s">
        <v>1344</v>
      </c>
      <c r="AA2683" s="90" t="s">
        <v>1344</v>
      </c>
      <c r="AN2683" s="185" t="s">
        <v>2710</v>
      </c>
      <c r="AO2683" s="185" t="s">
        <v>5150</v>
      </c>
      <c r="AQ2683" s="55" t="s">
        <v>553</v>
      </c>
      <c r="AR2683" s="55" t="s">
        <v>1565</v>
      </c>
      <c r="AS2683" s="55" t="s">
        <v>5133</v>
      </c>
      <c r="AU2683" s="181" t="s">
        <v>7494</v>
      </c>
      <c r="AV2683" s="185" t="s">
        <v>176</v>
      </c>
      <c r="AX2683" s="185" t="s">
        <v>176</v>
      </c>
      <c r="BE2683" s="226" t="s">
        <v>318</v>
      </c>
      <c r="BG2683" s="191" t="s">
        <v>176</v>
      </c>
      <c r="BH2683" s="226" t="s">
        <v>2701</v>
      </c>
      <c r="BI2683" s="191" t="s">
        <v>479</v>
      </c>
      <c r="BK2683" s="55" t="s">
        <v>6333</v>
      </c>
      <c r="BM2683" s="192" t="s">
        <v>160</v>
      </c>
      <c r="CB2683" s="66">
        <v>1110</v>
      </c>
      <c r="CC2683" s="66">
        <v>1300</v>
      </c>
      <c r="GP2683" s="292" t="s">
        <v>7494</v>
      </c>
    </row>
    <row r="2684" spans="1:198" x14ac:dyDescent="0.25">
      <c r="A2684" s="55">
        <v>2683</v>
      </c>
      <c r="B2684" s="12" t="s">
        <v>7067</v>
      </c>
      <c r="C2684" s="155">
        <v>125</v>
      </c>
      <c r="D2684" s="55" t="s">
        <v>4262</v>
      </c>
      <c r="E2684" s="90" t="s">
        <v>2707</v>
      </c>
      <c r="G2684" s="55" t="s">
        <v>2706</v>
      </c>
      <c r="H2684" s="55">
        <v>1996</v>
      </c>
      <c r="I2684" s="55">
        <v>1990</v>
      </c>
      <c r="J2684" s="55" t="s">
        <v>2619</v>
      </c>
      <c r="K2684" s="55" t="s">
        <v>2751</v>
      </c>
      <c r="L2684" s="55" t="s">
        <v>2748</v>
      </c>
      <c r="M2684" s="90">
        <v>-13.98</v>
      </c>
      <c r="N2684" s="90">
        <v>33.64</v>
      </c>
      <c r="O2684" s="90">
        <v>1155</v>
      </c>
      <c r="Z2684" s="55" t="s">
        <v>1344</v>
      </c>
      <c r="AA2684" s="90" t="s">
        <v>1344</v>
      </c>
      <c r="AN2684" s="185" t="s">
        <v>2710</v>
      </c>
      <c r="AO2684" s="185" t="s">
        <v>5150</v>
      </c>
      <c r="AQ2684" s="55" t="s">
        <v>553</v>
      </c>
      <c r="AR2684" s="55" t="s">
        <v>1565</v>
      </c>
      <c r="AS2684" s="55" t="s">
        <v>5133</v>
      </c>
      <c r="AU2684" s="181" t="s">
        <v>7494</v>
      </c>
      <c r="AV2684" s="185" t="s">
        <v>176</v>
      </c>
      <c r="AX2684" s="185" t="s">
        <v>176</v>
      </c>
      <c r="BE2684" s="226" t="s">
        <v>2709</v>
      </c>
      <c r="BG2684" s="191" t="s">
        <v>479</v>
      </c>
      <c r="BH2684" s="226" t="s">
        <v>2701</v>
      </c>
      <c r="BI2684" s="191" t="s">
        <v>479</v>
      </c>
      <c r="BK2684" s="55" t="s">
        <v>6333</v>
      </c>
      <c r="BM2684" s="192" t="s">
        <v>160</v>
      </c>
      <c r="CB2684" s="66">
        <v>2080</v>
      </c>
      <c r="CC2684" s="66">
        <v>1300</v>
      </c>
      <c r="GP2684" s="292" t="s">
        <v>7494</v>
      </c>
    </row>
    <row r="2685" spans="1:198" x14ac:dyDescent="0.25">
      <c r="A2685" s="55">
        <v>2684</v>
      </c>
      <c r="B2685" s="12" t="s">
        <v>7067</v>
      </c>
      <c r="C2685" s="155">
        <v>125</v>
      </c>
      <c r="D2685" s="55" t="s">
        <v>4261</v>
      </c>
      <c r="E2685" s="90" t="s">
        <v>2707</v>
      </c>
      <c r="G2685" s="55" t="s">
        <v>2706</v>
      </c>
      <c r="H2685" s="55">
        <v>1996</v>
      </c>
      <c r="I2685" s="55">
        <v>1991</v>
      </c>
      <c r="J2685" s="55" t="s">
        <v>2619</v>
      </c>
      <c r="K2685" s="55" t="s">
        <v>2751</v>
      </c>
      <c r="L2685" s="55" t="s">
        <v>2748</v>
      </c>
      <c r="M2685" s="90">
        <v>-13.98</v>
      </c>
      <c r="N2685" s="90">
        <v>33.64</v>
      </c>
      <c r="O2685" s="90">
        <v>1155</v>
      </c>
      <c r="Z2685" s="55" t="s">
        <v>1344</v>
      </c>
      <c r="AA2685" s="90" t="s">
        <v>1344</v>
      </c>
      <c r="AN2685" s="185" t="s">
        <v>2710</v>
      </c>
      <c r="AO2685" s="185" t="s">
        <v>5150</v>
      </c>
      <c r="AQ2685" s="55" t="s">
        <v>553</v>
      </c>
      <c r="AR2685" s="55" t="s">
        <v>1565</v>
      </c>
      <c r="AS2685" s="55" t="s">
        <v>5133</v>
      </c>
      <c r="AU2685" s="181" t="s">
        <v>7494</v>
      </c>
      <c r="AV2685" s="185" t="s">
        <v>176</v>
      </c>
      <c r="AX2685" s="185" t="s">
        <v>176</v>
      </c>
      <c r="BE2685" s="226" t="s">
        <v>318</v>
      </c>
      <c r="BG2685" s="191" t="s">
        <v>176</v>
      </c>
      <c r="BH2685" s="226" t="s">
        <v>2701</v>
      </c>
      <c r="BI2685" s="191" t="s">
        <v>479</v>
      </c>
      <c r="BK2685" s="55" t="s">
        <v>6333</v>
      </c>
      <c r="BM2685" s="192" t="s">
        <v>160</v>
      </c>
      <c r="CB2685" s="66">
        <v>820</v>
      </c>
      <c r="CC2685" s="66">
        <v>990</v>
      </c>
      <c r="GP2685" s="292" t="s">
        <v>7494</v>
      </c>
    </row>
    <row r="2686" spans="1:198" x14ac:dyDescent="0.25">
      <c r="A2686" s="55">
        <v>2685</v>
      </c>
      <c r="B2686" s="12" t="s">
        <v>7067</v>
      </c>
      <c r="C2686" s="155">
        <v>125</v>
      </c>
      <c r="D2686" s="55" t="s">
        <v>4262</v>
      </c>
      <c r="E2686" s="90" t="s">
        <v>2707</v>
      </c>
      <c r="G2686" s="55" t="s">
        <v>2706</v>
      </c>
      <c r="H2686" s="55">
        <v>1996</v>
      </c>
      <c r="I2686" s="55">
        <v>1991</v>
      </c>
      <c r="J2686" s="55" t="s">
        <v>2619</v>
      </c>
      <c r="K2686" s="55" t="s">
        <v>2751</v>
      </c>
      <c r="L2686" s="55" t="s">
        <v>2748</v>
      </c>
      <c r="M2686" s="90">
        <v>-13.98</v>
      </c>
      <c r="N2686" s="90">
        <v>33.64</v>
      </c>
      <c r="O2686" s="90">
        <v>1155</v>
      </c>
      <c r="Z2686" s="55" t="s">
        <v>1344</v>
      </c>
      <c r="AA2686" s="90" t="s">
        <v>1344</v>
      </c>
      <c r="AN2686" s="185" t="s">
        <v>2710</v>
      </c>
      <c r="AO2686" s="185" t="s">
        <v>5150</v>
      </c>
      <c r="AQ2686" s="55" t="s">
        <v>553</v>
      </c>
      <c r="AR2686" s="55" t="s">
        <v>1565</v>
      </c>
      <c r="AS2686" s="55" t="s">
        <v>5133</v>
      </c>
      <c r="AU2686" s="181" t="s">
        <v>7494</v>
      </c>
      <c r="AV2686" s="185" t="s">
        <v>176</v>
      </c>
      <c r="AX2686" s="185" t="s">
        <v>176</v>
      </c>
      <c r="BE2686" s="226" t="s">
        <v>2709</v>
      </c>
      <c r="BG2686" s="191" t="s">
        <v>479</v>
      </c>
      <c r="BH2686" s="226" t="s">
        <v>2701</v>
      </c>
      <c r="BI2686" s="191" t="s">
        <v>479</v>
      </c>
      <c r="BK2686" s="55" t="s">
        <v>6333</v>
      </c>
      <c r="BM2686" s="192" t="s">
        <v>160</v>
      </c>
      <c r="CB2686" s="66">
        <v>4530</v>
      </c>
      <c r="CC2686" s="66">
        <v>990</v>
      </c>
      <c r="GP2686" s="292" t="s">
        <v>7494</v>
      </c>
    </row>
    <row r="2687" spans="1:198" x14ac:dyDescent="0.25">
      <c r="A2687" s="55">
        <v>2686</v>
      </c>
      <c r="B2687" s="12" t="s">
        <v>7067</v>
      </c>
      <c r="C2687" s="155">
        <v>125</v>
      </c>
      <c r="D2687" s="55" t="s">
        <v>4261</v>
      </c>
      <c r="E2687" s="90" t="s">
        <v>2707</v>
      </c>
      <c r="G2687" s="55" t="s">
        <v>2706</v>
      </c>
      <c r="H2687" s="55">
        <v>1996</v>
      </c>
      <c r="I2687" s="55">
        <v>1992</v>
      </c>
      <c r="J2687" s="55" t="s">
        <v>2619</v>
      </c>
      <c r="K2687" s="55" t="s">
        <v>2751</v>
      </c>
      <c r="L2687" s="55" t="s">
        <v>2748</v>
      </c>
      <c r="M2687" s="90">
        <v>-13.98</v>
      </c>
      <c r="N2687" s="90">
        <v>33.64</v>
      </c>
      <c r="O2687" s="90">
        <v>1155</v>
      </c>
      <c r="Z2687" s="55" t="s">
        <v>1344</v>
      </c>
      <c r="AA2687" s="90" t="s">
        <v>1344</v>
      </c>
      <c r="AN2687" s="185" t="s">
        <v>2710</v>
      </c>
      <c r="AO2687" s="185" t="s">
        <v>5150</v>
      </c>
      <c r="AQ2687" s="55" t="s">
        <v>553</v>
      </c>
      <c r="AR2687" s="55" t="s">
        <v>1565</v>
      </c>
      <c r="AS2687" s="55" t="s">
        <v>5133</v>
      </c>
      <c r="AU2687" s="181" t="s">
        <v>7494</v>
      </c>
      <c r="AV2687" s="185" t="s">
        <v>176</v>
      </c>
      <c r="AX2687" s="185" t="s">
        <v>176</v>
      </c>
      <c r="BE2687" s="226" t="s">
        <v>318</v>
      </c>
      <c r="BG2687" s="191" t="s">
        <v>176</v>
      </c>
      <c r="BH2687" s="226" t="s">
        <v>2701</v>
      </c>
      <c r="BI2687" s="191" t="s">
        <v>479</v>
      </c>
      <c r="BK2687" s="55" t="s">
        <v>6333</v>
      </c>
      <c r="BM2687" s="192" t="s">
        <v>160</v>
      </c>
      <c r="CB2687" s="66">
        <v>400</v>
      </c>
      <c r="CC2687" s="66">
        <v>1180</v>
      </c>
      <c r="GP2687" s="292" t="s">
        <v>7494</v>
      </c>
    </row>
    <row r="2688" spans="1:198" x14ac:dyDescent="0.25">
      <c r="A2688" s="55">
        <v>2687</v>
      </c>
      <c r="B2688" s="12" t="s">
        <v>7067</v>
      </c>
      <c r="C2688" s="155">
        <v>125</v>
      </c>
      <c r="D2688" s="55" t="s">
        <v>4262</v>
      </c>
      <c r="E2688" s="90" t="s">
        <v>2707</v>
      </c>
      <c r="G2688" s="55" t="s">
        <v>2706</v>
      </c>
      <c r="H2688" s="55">
        <v>1996</v>
      </c>
      <c r="I2688" s="55">
        <v>1992</v>
      </c>
      <c r="J2688" s="55" t="s">
        <v>2619</v>
      </c>
      <c r="K2688" s="55" t="s">
        <v>2751</v>
      </c>
      <c r="L2688" s="55" t="s">
        <v>2748</v>
      </c>
      <c r="M2688" s="90">
        <v>-13.98</v>
      </c>
      <c r="N2688" s="90">
        <v>33.64</v>
      </c>
      <c r="O2688" s="90">
        <v>1155</v>
      </c>
      <c r="Z2688" s="55" t="s">
        <v>1344</v>
      </c>
      <c r="AA2688" s="90" t="s">
        <v>1344</v>
      </c>
      <c r="AN2688" s="185" t="s">
        <v>2710</v>
      </c>
      <c r="AO2688" s="185" t="s">
        <v>5150</v>
      </c>
      <c r="AQ2688" s="55" t="s">
        <v>553</v>
      </c>
      <c r="AR2688" s="55" t="s">
        <v>1565</v>
      </c>
      <c r="AS2688" s="55" t="s">
        <v>5133</v>
      </c>
      <c r="AU2688" s="181" t="s">
        <v>7494</v>
      </c>
      <c r="AV2688" s="185" t="s">
        <v>176</v>
      </c>
      <c r="AX2688" s="185" t="s">
        <v>176</v>
      </c>
      <c r="BE2688" s="226" t="s">
        <v>2709</v>
      </c>
      <c r="BG2688" s="191" t="s">
        <v>479</v>
      </c>
      <c r="BH2688" s="226" t="s">
        <v>2701</v>
      </c>
      <c r="BI2688" s="191" t="s">
        <v>479</v>
      </c>
      <c r="BK2688" s="55" t="s">
        <v>6333</v>
      </c>
      <c r="BM2688" s="192" t="s">
        <v>160</v>
      </c>
      <c r="CB2688" s="66">
        <v>1930</v>
      </c>
      <c r="CC2688" s="66">
        <v>1180</v>
      </c>
      <c r="GP2688" s="292" t="s">
        <v>7494</v>
      </c>
    </row>
    <row r="2689" spans="1:198" x14ac:dyDescent="0.25">
      <c r="A2689" s="55">
        <v>2688</v>
      </c>
      <c r="B2689" s="12" t="s">
        <v>7067</v>
      </c>
      <c r="C2689" s="155">
        <v>125</v>
      </c>
      <c r="D2689" s="55" t="s">
        <v>4263</v>
      </c>
      <c r="E2689" s="90" t="s">
        <v>2707</v>
      </c>
      <c r="G2689" s="55" t="s">
        <v>2706</v>
      </c>
      <c r="H2689" s="55">
        <v>1996</v>
      </c>
      <c r="I2689" s="55">
        <v>1990</v>
      </c>
      <c r="J2689" s="55" t="s">
        <v>2619</v>
      </c>
      <c r="K2689" s="55" t="s">
        <v>2711</v>
      </c>
      <c r="L2689" s="55" t="s">
        <v>2752</v>
      </c>
      <c r="M2689" s="90">
        <v>3.85</v>
      </c>
      <c r="N2689" s="90">
        <v>11.5</v>
      </c>
      <c r="O2689" s="90">
        <v>719</v>
      </c>
      <c r="Z2689" s="55" t="s">
        <v>1344</v>
      </c>
      <c r="AA2689" s="90" t="s">
        <v>1344</v>
      </c>
      <c r="AN2689" s="185" t="s">
        <v>3477</v>
      </c>
      <c r="AO2689" s="185" t="s">
        <v>5150</v>
      </c>
      <c r="AR2689" s="55" t="s">
        <v>1565</v>
      </c>
      <c r="AS2689" s="55" t="s">
        <v>5133</v>
      </c>
      <c r="AU2689" s="181" t="s">
        <v>7494</v>
      </c>
      <c r="AV2689" s="185" t="s">
        <v>176</v>
      </c>
      <c r="AX2689" s="185" t="s">
        <v>176</v>
      </c>
      <c r="BK2689" s="55" t="s">
        <v>6333</v>
      </c>
      <c r="BM2689" s="192" t="s">
        <v>160</v>
      </c>
      <c r="CB2689" s="66">
        <v>1520</v>
      </c>
      <c r="CC2689" s="66">
        <v>2130</v>
      </c>
      <c r="CE2689" s="65">
        <v>380</v>
      </c>
      <c r="CF2689" s="65">
        <v>380</v>
      </c>
      <c r="GP2689" s="292" t="s">
        <v>7494</v>
      </c>
    </row>
    <row r="2690" spans="1:198" x14ac:dyDescent="0.25">
      <c r="A2690" s="55">
        <v>2689</v>
      </c>
      <c r="B2690" s="12" t="s">
        <v>7067</v>
      </c>
      <c r="C2690" s="155">
        <v>125</v>
      </c>
      <c r="D2690" s="55" t="s">
        <v>4263</v>
      </c>
      <c r="E2690" s="90" t="s">
        <v>2707</v>
      </c>
      <c r="G2690" s="55" t="s">
        <v>2706</v>
      </c>
      <c r="H2690" s="55">
        <v>1996</v>
      </c>
      <c r="I2690" s="55">
        <v>1991</v>
      </c>
      <c r="J2690" s="55" t="s">
        <v>2619</v>
      </c>
      <c r="K2690" s="55" t="s">
        <v>2711</v>
      </c>
      <c r="L2690" s="55" t="s">
        <v>2752</v>
      </c>
      <c r="M2690" s="90">
        <v>3.85</v>
      </c>
      <c r="N2690" s="90">
        <v>11.5</v>
      </c>
      <c r="O2690" s="90">
        <v>719</v>
      </c>
      <c r="Z2690" s="55" t="s">
        <v>1344</v>
      </c>
      <c r="AA2690" s="90" t="s">
        <v>1344</v>
      </c>
      <c r="AN2690" s="185" t="s">
        <v>3477</v>
      </c>
      <c r="AO2690" s="185" t="s">
        <v>5150</v>
      </c>
      <c r="AR2690" s="55" t="s">
        <v>1565</v>
      </c>
      <c r="AS2690" s="55" t="s">
        <v>5133</v>
      </c>
      <c r="AU2690" s="181" t="s">
        <v>7494</v>
      </c>
      <c r="AV2690" s="185" t="s">
        <v>176</v>
      </c>
      <c r="AX2690" s="185" t="s">
        <v>176</v>
      </c>
      <c r="BK2690" s="55" t="s">
        <v>6333</v>
      </c>
      <c r="BM2690" s="192" t="s">
        <v>160</v>
      </c>
      <c r="CB2690" s="66">
        <v>2980</v>
      </c>
      <c r="CC2690" s="66">
        <v>3700</v>
      </c>
      <c r="CE2690" s="65">
        <v>290</v>
      </c>
      <c r="CF2690" s="65">
        <v>290</v>
      </c>
      <c r="GP2690" s="292" t="s">
        <v>7494</v>
      </c>
    </row>
    <row r="2691" spans="1:198" x14ac:dyDescent="0.25">
      <c r="A2691" s="55">
        <v>2690</v>
      </c>
      <c r="B2691" s="12" t="s">
        <v>7067</v>
      </c>
      <c r="C2691" s="155">
        <v>125</v>
      </c>
      <c r="D2691" s="55" t="s">
        <v>4263</v>
      </c>
      <c r="E2691" s="90" t="s">
        <v>2707</v>
      </c>
      <c r="G2691" s="55" t="s">
        <v>2706</v>
      </c>
      <c r="H2691" s="55">
        <v>1996</v>
      </c>
      <c r="I2691" s="55">
        <v>1992</v>
      </c>
      <c r="J2691" s="55" t="s">
        <v>2619</v>
      </c>
      <c r="K2691" s="55" t="s">
        <v>2711</v>
      </c>
      <c r="L2691" s="55" t="s">
        <v>2752</v>
      </c>
      <c r="M2691" s="90">
        <v>3.85</v>
      </c>
      <c r="N2691" s="90">
        <v>11.5</v>
      </c>
      <c r="O2691" s="90">
        <v>719</v>
      </c>
      <c r="Z2691" s="55" t="s">
        <v>1344</v>
      </c>
      <c r="AA2691" s="90" t="s">
        <v>1344</v>
      </c>
      <c r="AN2691" s="185" t="s">
        <v>3477</v>
      </c>
      <c r="AO2691" s="185" t="s">
        <v>5150</v>
      </c>
      <c r="AR2691" s="55" t="s">
        <v>1565</v>
      </c>
      <c r="AS2691" s="55" t="s">
        <v>5133</v>
      </c>
      <c r="AU2691" s="181" t="s">
        <v>7494</v>
      </c>
      <c r="AV2691" s="185" t="s">
        <v>176</v>
      </c>
      <c r="AX2691" s="185" t="s">
        <v>176</v>
      </c>
      <c r="BK2691" s="55" t="s">
        <v>6333</v>
      </c>
      <c r="BM2691" s="192" t="s">
        <v>160</v>
      </c>
      <c r="CB2691" s="66">
        <v>3540</v>
      </c>
      <c r="CC2691" s="66">
        <v>4790</v>
      </c>
      <c r="CE2691" s="65">
        <v>350</v>
      </c>
      <c r="CF2691" s="65">
        <v>350</v>
      </c>
      <c r="GP2691" s="292" t="s">
        <v>7494</v>
      </c>
    </row>
    <row r="2692" spans="1:198" x14ac:dyDescent="0.25">
      <c r="A2692" s="55">
        <v>2691</v>
      </c>
      <c r="B2692" s="12" t="s">
        <v>7067</v>
      </c>
      <c r="C2692" s="155">
        <v>125</v>
      </c>
      <c r="D2692" s="55" t="s">
        <v>4263</v>
      </c>
      <c r="E2692" s="90" t="s">
        <v>2707</v>
      </c>
      <c r="G2692" s="55" t="s">
        <v>2706</v>
      </c>
      <c r="H2692" s="55">
        <v>1996</v>
      </c>
      <c r="I2692" s="55">
        <v>1993</v>
      </c>
      <c r="J2692" s="55" t="s">
        <v>2619</v>
      </c>
      <c r="K2692" s="55" t="s">
        <v>2711</v>
      </c>
      <c r="L2692" s="55" t="s">
        <v>2752</v>
      </c>
      <c r="M2692" s="90">
        <v>3.85</v>
      </c>
      <c r="N2692" s="90">
        <v>11.5</v>
      </c>
      <c r="O2692" s="90">
        <v>719</v>
      </c>
      <c r="Z2692" s="55" t="s">
        <v>1344</v>
      </c>
      <c r="AA2692" s="90" t="s">
        <v>1344</v>
      </c>
      <c r="AN2692" s="185" t="s">
        <v>3477</v>
      </c>
      <c r="AO2692" s="185" t="s">
        <v>5150</v>
      </c>
      <c r="AR2692" s="55" t="s">
        <v>1565</v>
      </c>
      <c r="AS2692" s="55" t="s">
        <v>5133</v>
      </c>
      <c r="AU2692" s="181" t="s">
        <v>7494</v>
      </c>
      <c r="AV2692" s="185" t="s">
        <v>176</v>
      </c>
      <c r="AX2692" s="185" t="s">
        <v>176</v>
      </c>
      <c r="BK2692" s="55" t="s">
        <v>6333</v>
      </c>
      <c r="BM2692" s="192" t="s">
        <v>160</v>
      </c>
      <c r="CB2692" s="66">
        <v>2540</v>
      </c>
      <c r="CC2692" s="66">
        <v>5090</v>
      </c>
      <c r="CE2692" s="65">
        <v>440</v>
      </c>
      <c r="CF2692" s="65">
        <v>440</v>
      </c>
      <c r="GP2692" s="292" t="s">
        <v>7494</v>
      </c>
    </row>
    <row r="2693" spans="1:198" x14ac:dyDescent="0.25">
      <c r="A2693" s="55">
        <v>2692</v>
      </c>
      <c r="B2693" s="12" t="s">
        <v>7067</v>
      </c>
      <c r="C2693" s="155">
        <v>125</v>
      </c>
      <c r="D2693" s="55" t="s">
        <v>4263</v>
      </c>
      <c r="E2693" s="90" t="s">
        <v>2707</v>
      </c>
      <c r="G2693" s="55" t="s">
        <v>2706</v>
      </c>
      <c r="H2693" s="55">
        <v>1996</v>
      </c>
      <c r="I2693" s="55">
        <v>1994</v>
      </c>
      <c r="J2693" s="55" t="s">
        <v>2619</v>
      </c>
      <c r="K2693" s="55" t="s">
        <v>2711</v>
      </c>
      <c r="L2693" s="55" t="s">
        <v>2752</v>
      </c>
      <c r="M2693" s="90">
        <v>3.85</v>
      </c>
      <c r="N2693" s="90">
        <v>11.5</v>
      </c>
      <c r="O2693" s="90">
        <v>719</v>
      </c>
      <c r="Z2693" s="55" t="s">
        <v>1344</v>
      </c>
      <c r="AA2693" s="90" t="s">
        <v>1344</v>
      </c>
      <c r="AN2693" s="185" t="s">
        <v>3477</v>
      </c>
      <c r="AO2693" s="185" t="s">
        <v>5150</v>
      </c>
      <c r="AR2693" s="55" t="s">
        <v>1565</v>
      </c>
      <c r="AS2693" s="55" t="s">
        <v>5133</v>
      </c>
      <c r="AU2693" s="181" t="s">
        <v>7494</v>
      </c>
      <c r="AV2693" s="185" t="s">
        <v>176</v>
      </c>
      <c r="AX2693" s="185" t="s">
        <v>176</v>
      </c>
      <c r="BK2693" s="55" t="s">
        <v>6333</v>
      </c>
      <c r="BM2693" s="192" t="s">
        <v>160</v>
      </c>
      <c r="CB2693" s="66">
        <v>2170</v>
      </c>
      <c r="CC2693" s="66">
        <v>4550</v>
      </c>
      <c r="CE2693" s="65">
        <v>140</v>
      </c>
      <c r="CF2693" s="65">
        <v>140</v>
      </c>
      <c r="GP2693" s="292" t="s">
        <v>7494</v>
      </c>
    </row>
    <row r="2694" spans="1:198" x14ac:dyDescent="0.25">
      <c r="A2694" s="55">
        <v>2693</v>
      </c>
      <c r="B2694" s="12" t="s">
        <v>7067</v>
      </c>
      <c r="C2694" s="155">
        <v>125</v>
      </c>
      <c r="D2694" s="55" t="s">
        <v>4264</v>
      </c>
      <c r="E2694" s="90" t="s">
        <v>2707</v>
      </c>
      <c r="G2694" s="55" t="s">
        <v>2706</v>
      </c>
      <c r="H2694" s="55">
        <v>1996</v>
      </c>
      <c r="I2694" s="55">
        <v>1992</v>
      </c>
      <c r="J2694" s="55" t="s">
        <v>2619</v>
      </c>
      <c r="K2694" s="55" t="s">
        <v>2712</v>
      </c>
      <c r="L2694" s="55" t="s">
        <v>2753</v>
      </c>
      <c r="M2694" s="90">
        <v>-5.9</v>
      </c>
      <c r="N2694" s="90">
        <v>-76.14</v>
      </c>
      <c r="O2694" s="90">
        <v>135.4</v>
      </c>
      <c r="R2694" s="55">
        <v>2200</v>
      </c>
      <c r="U2694" s="55" t="s">
        <v>2731</v>
      </c>
      <c r="V2694" s="55" t="s">
        <v>2732</v>
      </c>
      <c r="Z2694" s="55" t="s">
        <v>1344</v>
      </c>
      <c r="AA2694" s="90" t="s">
        <v>1344</v>
      </c>
      <c r="AH2694" s="55" t="s">
        <v>769</v>
      </c>
      <c r="AM2694" s="55" t="s">
        <v>2725</v>
      </c>
      <c r="AN2694" s="185" t="s">
        <v>2720</v>
      </c>
      <c r="AO2694" s="185" t="s">
        <v>5150</v>
      </c>
      <c r="AQ2694" s="55" t="s">
        <v>553</v>
      </c>
      <c r="AR2694" s="55" t="s">
        <v>1565</v>
      </c>
      <c r="AS2694" s="55" t="s">
        <v>5133</v>
      </c>
      <c r="AU2694" s="181" t="s">
        <v>7494</v>
      </c>
      <c r="AV2694" s="185" t="s">
        <v>176</v>
      </c>
      <c r="AX2694" s="185" t="s">
        <v>176</v>
      </c>
      <c r="BK2694" s="55" t="s">
        <v>6333</v>
      </c>
      <c r="BM2694" s="192" t="s">
        <v>160</v>
      </c>
      <c r="FJ2694" s="65">
        <v>79</v>
      </c>
      <c r="FK2694" s="65">
        <v>6</v>
      </c>
      <c r="FN2694" s="65" t="s">
        <v>2733</v>
      </c>
      <c r="FO2694" s="65">
        <v>347</v>
      </c>
      <c r="FP2694" s="65">
        <v>60</v>
      </c>
      <c r="FS2694" s="65" t="s">
        <v>2734</v>
      </c>
      <c r="GP2694" s="292" t="s">
        <v>7494</v>
      </c>
    </row>
    <row r="2695" spans="1:198" x14ac:dyDescent="0.25">
      <c r="A2695" s="55">
        <v>2694</v>
      </c>
      <c r="B2695" s="12" t="s">
        <v>7067</v>
      </c>
      <c r="C2695" s="155">
        <v>125</v>
      </c>
      <c r="D2695" s="55" t="s">
        <v>4265</v>
      </c>
      <c r="E2695" s="90" t="s">
        <v>2707</v>
      </c>
      <c r="G2695" s="55" t="s">
        <v>2706</v>
      </c>
      <c r="H2695" s="55">
        <v>1996</v>
      </c>
      <c r="I2695" s="55">
        <v>1988</v>
      </c>
      <c r="J2695" s="55" t="s">
        <v>2619</v>
      </c>
      <c r="K2695" s="55" t="s">
        <v>2713</v>
      </c>
      <c r="L2695" s="55" t="s">
        <v>2754</v>
      </c>
      <c r="M2695" s="90">
        <v>-6.44</v>
      </c>
      <c r="N2695" s="90">
        <v>106.75</v>
      </c>
      <c r="O2695" s="90">
        <v>104.9</v>
      </c>
      <c r="R2695" s="55">
        <v>2044</v>
      </c>
      <c r="U2695" s="55" t="s">
        <v>1935</v>
      </c>
      <c r="V2695" s="55" t="s">
        <v>1935</v>
      </c>
      <c r="Z2695" s="55" t="s">
        <v>1344</v>
      </c>
      <c r="AA2695" s="90" t="s">
        <v>1344</v>
      </c>
      <c r="AH2695" s="55" t="s">
        <v>769</v>
      </c>
      <c r="AM2695" s="55" t="s">
        <v>2726</v>
      </c>
      <c r="AN2695" s="185" t="s">
        <v>2719</v>
      </c>
      <c r="AO2695" s="185" t="s">
        <v>5150</v>
      </c>
      <c r="AQ2695" s="55" t="s">
        <v>553</v>
      </c>
      <c r="AR2695" s="55" t="s">
        <v>1565</v>
      </c>
      <c r="AS2695" s="55" t="s">
        <v>5133</v>
      </c>
      <c r="AU2695" s="181" t="s">
        <v>7494</v>
      </c>
      <c r="AV2695" s="185" t="s">
        <v>176</v>
      </c>
      <c r="AX2695" s="185" t="s">
        <v>176</v>
      </c>
      <c r="BK2695" s="55" t="s">
        <v>6333</v>
      </c>
      <c r="BM2695" s="192" t="s">
        <v>160</v>
      </c>
      <c r="FJ2695" s="65">
        <v>103</v>
      </c>
      <c r="FK2695" s="65">
        <v>11</v>
      </c>
      <c r="FN2695" s="65" t="s">
        <v>2733</v>
      </c>
      <c r="FO2695" s="65">
        <v>232</v>
      </c>
      <c r="FP2695" s="65">
        <v>56</v>
      </c>
      <c r="FS2695" s="65" t="s">
        <v>2734</v>
      </c>
      <c r="GP2695" s="292" t="s">
        <v>7494</v>
      </c>
    </row>
    <row r="2696" spans="1:198" x14ac:dyDescent="0.25">
      <c r="A2696" s="55">
        <v>2695</v>
      </c>
      <c r="B2696" s="12" t="s">
        <v>7067</v>
      </c>
      <c r="C2696" s="155">
        <v>125</v>
      </c>
      <c r="D2696" s="55" t="s">
        <v>4266</v>
      </c>
      <c r="E2696" s="90" t="s">
        <v>2707</v>
      </c>
      <c r="G2696" s="55" t="s">
        <v>2706</v>
      </c>
      <c r="H2696" s="55">
        <v>1996</v>
      </c>
      <c r="I2696" s="55">
        <v>1988</v>
      </c>
      <c r="J2696" s="55" t="s">
        <v>2619</v>
      </c>
      <c r="K2696" s="55" t="s">
        <v>2714</v>
      </c>
      <c r="L2696" s="55" t="s">
        <v>2755</v>
      </c>
      <c r="M2696" s="90">
        <v>14.17</v>
      </c>
      <c r="N2696" s="90">
        <v>121.17</v>
      </c>
      <c r="O2696" s="90">
        <v>238.2</v>
      </c>
      <c r="R2696" s="55">
        <v>2074</v>
      </c>
      <c r="U2696" s="55" t="s">
        <v>1935</v>
      </c>
      <c r="V2696" s="55" t="s">
        <v>1935</v>
      </c>
      <c r="Z2696" s="55" t="s">
        <v>1344</v>
      </c>
      <c r="AA2696" s="90" t="s">
        <v>1344</v>
      </c>
      <c r="AM2696" s="55" t="s">
        <v>2727</v>
      </c>
      <c r="AN2696" s="185" t="s">
        <v>2721</v>
      </c>
      <c r="AO2696" s="185" t="s">
        <v>5150</v>
      </c>
      <c r="AQ2696" s="55" t="s">
        <v>553</v>
      </c>
      <c r="AR2696" s="55" t="s">
        <v>1565</v>
      </c>
      <c r="AS2696" s="55" t="s">
        <v>5133</v>
      </c>
      <c r="AU2696" s="181" t="s">
        <v>7494</v>
      </c>
      <c r="AV2696" s="185" t="s">
        <v>176</v>
      </c>
      <c r="AX2696" s="185" t="s">
        <v>176</v>
      </c>
      <c r="BK2696" s="55" t="s">
        <v>6333</v>
      </c>
      <c r="BM2696" s="192" t="s">
        <v>160</v>
      </c>
      <c r="FJ2696" s="65">
        <v>127</v>
      </c>
      <c r="FK2696" s="65">
        <v>3</v>
      </c>
      <c r="FN2696" s="65" t="s">
        <v>2733</v>
      </c>
      <c r="FO2696" s="65">
        <v>347</v>
      </c>
      <c r="FP2696" s="65">
        <v>75</v>
      </c>
      <c r="FS2696" s="65" t="s">
        <v>2734</v>
      </c>
      <c r="GP2696" s="292" t="s">
        <v>7494</v>
      </c>
    </row>
    <row r="2697" spans="1:198" x14ac:dyDescent="0.25">
      <c r="A2697" s="55">
        <v>2696</v>
      </c>
      <c r="B2697" s="12" t="s">
        <v>7067</v>
      </c>
      <c r="C2697" s="155">
        <v>125</v>
      </c>
      <c r="D2697" s="55" t="s">
        <v>4267</v>
      </c>
      <c r="E2697" s="90" t="s">
        <v>2707</v>
      </c>
      <c r="G2697" s="55" t="s">
        <v>2706</v>
      </c>
      <c r="H2697" s="55">
        <v>1996</v>
      </c>
      <c r="I2697" s="55">
        <v>1987</v>
      </c>
      <c r="J2697" s="55" t="s">
        <v>2619</v>
      </c>
      <c r="K2697" s="55" t="s">
        <v>2715</v>
      </c>
      <c r="L2697" s="55" t="s">
        <v>2744</v>
      </c>
      <c r="M2697" s="90">
        <v>7.41</v>
      </c>
      <c r="N2697" s="90">
        <v>3.95</v>
      </c>
      <c r="O2697" s="90">
        <v>187</v>
      </c>
      <c r="R2697" s="55">
        <v>1358</v>
      </c>
      <c r="U2697" s="55" t="s">
        <v>1801</v>
      </c>
      <c r="V2697" s="55" t="s">
        <v>1801</v>
      </c>
      <c r="Z2697" s="55" t="s">
        <v>1344</v>
      </c>
      <c r="AA2697" s="90" t="s">
        <v>1344</v>
      </c>
      <c r="AH2697" s="55" t="s">
        <v>238</v>
      </c>
      <c r="AM2697" s="55" t="s">
        <v>2728</v>
      </c>
      <c r="AN2697" s="185" t="s">
        <v>2722</v>
      </c>
      <c r="AO2697" s="185" t="s">
        <v>5150</v>
      </c>
      <c r="AQ2697" s="55" t="s">
        <v>553</v>
      </c>
      <c r="AR2697" s="55" t="s">
        <v>1565</v>
      </c>
      <c r="AS2697" s="55" t="s">
        <v>5133</v>
      </c>
      <c r="AU2697" s="181" t="s">
        <v>7494</v>
      </c>
      <c r="AV2697" s="185" t="s">
        <v>176</v>
      </c>
      <c r="AX2697" s="185" t="s">
        <v>176</v>
      </c>
      <c r="BK2697" s="55" t="s">
        <v>6333</v>
      </c>
      <c r="BM2697" s="192" t="s">
        <v>160</v>
      </c>
      <c r="FJ2697" s="65">
        <v>5</v>
      </c>
      <c r="FK2697" s="65">
        <v>1</v>
      </c>
      <c r="FN2697" s="65" t="s">
        <v>2733</v>
      </c>
      <c r="FO2697" s="65">
        <v>252</v>
      </c>
      <c r="FP2697" s="65">
        <v>72</v>
      </c>
      <c r="FS2697" s="65" t="s">
        <v>2734</v>
      </c>
      <c r="GP2697" s="292" t="s">
        <v>7494</v>
      </c>
    </row>
    <row r="2698" spans="1:198" x14ac:dyDescent="0.25">
      <c r="A2698" s="55">
        <v>2697</v>
      </c>
      <c r="B2698" s="12" t="s">
        <v>7067</v>
      </c>
      <c r="C2698" s="155">
        <v>125</v>
      </c>
      <c r="D2698" s="55" t="s">
        <v>4268</v>
      </c>
      <c r="E2698" s="90" t="s">
        <v>2707</v>
      </c>
      <c r="G2698" s="55" t="s">
        <v>2706</v>
      </c>
      <c r="H2698" s="55">
        <v>1996</v>
      </c>
      <c r="I2698" s="55">
        <v>1990</v>
      </c>
      <c r="J2698" s="55" t="s">
        <v>2619</v>
      </c>
      <c r="K2698" s="55" t="s">
        <v>2716</v>
      </c>
      <c r="L2698" s="55" t="s">
        <v>2756</v>
      </c>
      <c r="M2698" s="90">
        <v>-2.61</v>
      </c>
      <c r="N2698" s="90">
        <v>29.72</v>
      </c>
      <c r="O2698" s="90">
        <v>1743</v>
      </c>
      <c r="R2698" s="55">
        <v>1279</v>
      </c>
      <c r="U2698" s="55" t="s">
        <v>1816</v>
      </c>
      <c r="V2698" s="55" t="s">
        <v>1816</v>
      </c>
      <c r="Z2698" s="55" t="s">
        <v>1344</v>
      </c>
      <c r="AA2698" s="90" t="s">
        <v>1344</v>
      </c>
      <c r="AH2698" s="55" t="s">
        <v>769</v>
      </c>
      <c r="AM2698" s="55" t="s">
        <v>2726</v>
      </c>
      <c r="AN2698" s="185" t="s">
        <v>2723</v>
      </c>
      <c r="AO2698" s="185" t="s">
        <v>5150</v>
      </c>
      <c r="AQ2698" s="55" t="s">
        <v>1547</v>
      </c>
      <c r="AR2698" s="55" t="s">
        <v>1565</v>
      </c>
      <c r="AS2698" s="55" t="s">
        <v>5133</v>
      </c>
      <c r="AU2698" s="181" t="s">
        <v>7494</v>
      </c>
      <c r="AV2698" s="185" t="s">
        <v>176</v>
      </c>
      <c r="AX2698" s="185" t="s">
        <v>176</v>
      </c>
      <c r="BK2698" s="55" t="s">
        <v>6333</v>
      </c>
      <c r="BM2698" s="192" t="s">
        <v>160</v>
      </c>
      <c r="FJ2698" s="65">
        <v>303</v>
      </c>
      <c r="FK2698" s="65">
        <v>5.5</v>
      </c>
      <c r="FN2698" s="65" t="s">
        <v>2733</v>
      </c>
      <c r="FO2698" s="65">
        <v>111</v>
      </c>
      <c r="FP2698" s="65">
        <f>(28+35)/2</f>
        <v>31.5</v>
      </c>
      <c r="FS2698" s="65" t="s">
        <v>2734</v>
      </c>
      <c r="GP2698" s="292" t="s">
        <v>7494</v>
      </c>
    </row>
    <row r="2699" spans="1:198" x14ac:dyDescent="0.25">
      <c r="A2699" s="55">
        <v>2698</v>
      </c>
      <c r="B2699" s="12" t="s">
        <v>7067</v>
      </c>
      <c r="C2699" s="155">
        <v>125</v>
      </c>
      <c r="D2699" s="55" t="s">
        <v>4269</v>
      </c>
      <c r="E2699" s="90" t="s">
        <v>2707</v>
      </c>
      <c r="G2699" s="55" t="s">
        <v>2706</v>
      </c>
      <c r="H2699" s="55">
        <v>1996</v>
      </c>
      <c r="I2699" s="55">
        <v>1992</v>
      </c>
      <c r="J2699" s="55" t="s">
        <v>2619</v>
      </c>
      <c r="K2699" s="55" t="s">
        <v>2717</v>
      </c>
      <c r="L2699" s="55" t="s">
        <v>2748</v>
      </c>
      <c r="M2699" s="90">
        <v>-14.86</v>
      </c>
      <c r="N2699" s="90">
        <v>34.229999999999997</v>
      </c>
      <c r="O2699" s="90">
        <v>1034.3</v>
      </c>
      <c r="R2699" s="55">
        <v>1125</v>
      </c>
      <c r="U2699" s="55" t="s">
        <v>1801</v>
      </c>
      <c r="V2699" s="55" t="s">
        <v>1801</v>
      </c>
      <c r="Z2699" s="55" t="s">
        <v>1344</v>
      </c>
      <c r="AA2699" s="90" t="s">
        <v>1344</v>
      </c>
      <c r="AM2699" s="55" t="s">
        <v>2729</v>
      </c>
      <c r="AN2699" s="185" t="s">
        <v>2722</v>
      </c>
      <c r="AO2699" s="185" t="s">
        <v>5150</v>
      </c>
      <c r="AQ2699" s="55" t="s">
        <v>553</v>
      </c>
      <c r="AR2699" s="55" t="s">
        <v>1565</v>
      </c>
      <c r="AS2699" s="55" t="s">
        <v>5133</v>
      </c>
      <c r="AU2699" s="181" t="s">
        <v>7494</v>
      </c>
      <c r="AV2699" s="185" t="s">
        <v>176</v>
      </c>
      <c r="AX2699" s="185" t="s">
        <v>176</v>
      </c>
      <c r="BK2699" s="55" t="s">
        <v>6333</v>
      </c>
      <c r="BM2699" s="192" t="s">
        <v>160</v>
      </c>
      <c r="FJ2699" s="65">
        <v>44</v>
      </c>
      <c r="FK2699" s="65">
        <v>2</v>
      </c>
      <c r="FN2699" s="65" t="s">
        <v>2733</v>
      </c>
      <c r="FS2699" s="65" t="s">
        <v>2734</v>
      </c>
      <c r="GP2699" s="292" t="s">
        <v>7494</v>
      </c>
    </row>
    <row r="2700" spans="1:198" x14ac:dyDescent="0.25">
      <c r="A2700" s="55">
        <v>2699</v>
      </c>
      <c r="B2700" s="12" t="s">
        <v>7067</v>
      </c>
      <c r="C2700" s="155">
        <v>125</v>
      </c>
      <c r="D2700" s="55" t="s">
        <v>4270</v>
      </c>
      <c r="E2700" s="90" t="s">
        <v>2707</v>
      </c>
      <c r="G2700" s="55" t="s">
        <v>2706</v>
      </c>
      <c r="H2700" s="55">
        <v>1996</v>
      </c>
      <c r="I2700" s="55">
        <v>1991</v>
      </c>
      <c r="J2700" s="55" t="s">
        <v>2619</v>
      </c>
      <c r="K2700" s="55" t="s">
        <v>2718</v>
      </c>
      <c r="L2700" s="55" t="s">
        <v>2757</v>
      </c>
      <c r="M2700" s="90">
        <v>-1.51</v>
      </c>
      <c r="N2700" s="90">
        <v>37.25</v>
      </c>
      <c r="O2700" s="90">
        <v>1611</v>
      </c>
      <c r="R2700" s="55">
        <v>750</v>
      </c>
      <c r="U2700" s="55" t="s">
        <v>1816</v>
      </c>
      <c r="V2700" s="55" t="s">
        <v>1816</v>
      </c>
      <c r="Z2700" s="55" t="s">
        <v>1344</v>
      </c>
      <c r="AA2700" s="90" t="s">
        <v>1344</v>
      </c>
      <c r="AM2700" s="55" t="s">
        <v>2730</v>
      </c>
      <c r="AN2700" s="185" t="s">
        <v>2724</v>
      </c>
      <c r="AO2700" s="185" t="s">
        <v>5150</v>
      </c>
      <c r="AQ2700" s="55" t="s">
        <v>1547</v>
      </c>
      <c r="AR2700" s="55" t="s">
        <v>1565</v>
      </c>
      <c r="AS2700" s="55" t="s">
        <v>5133</v>
      </c>
      <c r="AU2700" s="181" t="s">
        <v>7494</v>
      </c>
      <c r="AV2700" s="185" t="s">
        <v>176</v>
      </c>
      <c r="AX2700" s="185" t="s">
        <v>176</v>
      </c>
      <c r="BK2700" s="55" t="s">
        <v>6333</v>
      </c>
      <c r="BM2700" s="192" t="s">
        <v>160</v>
      </c>
      <c r="FJ2700" s="65">
        <v>19</v>
      </c>
      <c r="FK2700" s="65">
        <v>2</v>
      </c>
      <c r="FN2700" s="65" t="s">
        <v>2733</v>
      </c>
      <c r="FO2700" s="65">
        <v>21</v>
      </c>
      <c r="FP2700" s="65">
        <v>5</v>
      </c>
      <c r="FS2700" s="65" t="s">
        <v>2734</v>
      </c>
      <c r="GP2700" s="292" t="s">
        <v>7494</v>
      </c>
    </row>
    <row r="2701" spans="1:198" x14ac:dyDescent="0.25">
      <c r="A2701" s="55">
        <v>2700</v>
      </c>
      <c r="B2701" s="12" t="s">
        <v>7067</v>
      </c>
      <c r="C2701" s="155">
        <v>126</v>
      </c>
      <c r="D2701" s="55" t="s">
        <v>4271</v>
      </c>
      <c r="E2701" s="90" t="s">
        <v>2761</v>
      </c>
      <c r="G2701" s="55" t="s">
        <v>2762</v>
      </c>
      <c r="H2701" s="55">
        <v>1994</v>
      </c>
      <c r="I2701" s="55">
        <v>1986</v>
      </c>
      <c r="J2701" s="55" t="s">
        <v>2688</v>
      </c>
      <c r="K2701" s="55" t="s">
        <v>2763</v>
      </c>
      <c r="L2701" s="55" t="s">
        <v>2748</v>
      </c>
      <c r="M2701" s="90">
        <f>-14-17/60</f>
        <v>-14.283333333333333</v>
      </c>
      <c r="N2701" s="90">
        <f>34+36/60</f>
        <v>34.6</v>
      </c>
      <c r="O2701" s="90">
        <v>1260</v>
      </c>
      <c r="Q2701" s="55" t="s">
        <v>6973</v>
      </c>
      <c r="S2701" s="90">
        <f>(850+1400)/2</f>
        <v>1125</v>
      </c>
      <c r="U2701" s="55" t="s">
        <v>1688</v>
      </c>
      <c r="V2701" s="55" t="s">
        <v>1940</v>
      </c>
      <c r="Y2701" s="55" t="s">
        <v>2765</v>
      </c>
      <c r="AH2701" s="55" t="s">
        <v>238</v>
      </c>
      <c r="AM2701" s="55" t="s">
        <v>2764</v>
      </c>
      <c r="AN2701" s="185" t="s">
        <v>2766</v>
      </c>
      <c r="AO2701" s="185" t="s">
        <v>5150</v>
      </c>
      <c r="AQ2701" s="55" t="s">
        <v>6975</v>
      </c>
      <c r="AR2701" s="55" t="s">
        <v>1607</v>
      </c>
      <c r="AS2701" s="55" t="s">
        <v>1607</v>
      </c>
      <c r="AU2701" s="181" t="s">
        <v>7494</v>
      </c>
      <c r="AV2701" s="185" t="s">
        <v>176</v>
      </c>
      <c r="AX2701" s="185" t="s">
        <v>176</v>
      </c>
      <c r="BK2701" s="55" t="s">
        <v>6333</v>
      </c>
      <c r="BM2701" s="192" t="s">
        <v>160</v>
      </c>
      <c r="BN2701" s="55">
        <v>4</v>
      </c>
      <c r="BO2701" s="55">
        <v>4</v>
      </c>
      <c r="CB2701" s="66">
        <v>815</v>
      </c>
      <c r="CC2701" s="66">
        <v>2479</v>
      </c>
      <c r="CG2701" s="65" t="s">
        <v>178</v>
      </c>
      <c r="FJ2701" s="65">
        <v>78</v>
      </c>
      <c r="FK2701" s="65">
        <v>3</v>
      </c>
      <c r="FN2701" s="65" t="s">
        <v>2733</v>
      </c>
      <c r="GP2701" s="292" t="s">
        <v>7494</v>
      </c>
    </row>
    <row r="2702" spans="1:198" x14ac:dyDescent="0.25">
      <c r="A2702" s="55">
        <v>2701</v>
      </c>
      <c r="B2702" s="12" t="s">
        <v>7067</v>
      </c>
      <c r="C2702" s="155">
        <v>126</v>
      </c>
      <c r="D2702" s="55" t="s">
        <v>4271</v>
      </c>
      <c r="E2702" s="90" t="s">
        <v>2761</v>
      </c>
      <c r="G2702" s="55" t="s">
        <v>2762</v>
      </c>
      <c r="H2702" s="55">
        <v>1994</v>
      </c>
      <c r="I2702" s="55">
        <v>1987</v>
      </c>
      <c r="J2702" s="55" t="s">
        <v>2688</v>
      </c>
      <c r="K2702" s="55" t="s">
        <v>2763</v>
      </c>
      <c r="L2702" s="55" t="s">
        <v>2748</v>
      </c>
      <c r="M2702" s="90">
        <f>-14-17/60</f>
        <v>-14.283333333333333</v>
      </c>
      <c r="N2702" s="90">
        <f>34+36/60</f>
        <v>34.6</v>
      </c>
      <c r="O2702" s="90">
        <v>1260</v>
      </c>
      <c r="Q2702" s="55" t="s">
        <v>6973</v>
      </c>
      <c r="S2702" s="90">
        <f>(850+1400)/2</f>
        <v>1125</v>
      </c>
      <c r="U2702" s="55" t="s">
        <v>1816</v>
      </c>
      <c r="V2702" s="55" t="s">
        <v>1940</v>
      </c>
      <c r="Y2702" s="55" t="s">
        <v>2765</v>
      </c>
      <c r="AH2702" s="55" t="s">
        <v>238</v>
      </c>
      <c r="AM2702" s="55" t="s">
        <v>2764</v>
      </c>
      <c r="AN2702" s="185" t="s">
        <v>2766</v>
      </c>
      <c r="AO2702" s="185" t="s">
        <v>5150</v>
      </c>
      <c r="AQ2702" s="55" t="s">
        <v>6975</v>
      </c>
      <c r="AR2702" s="55" t="s">
        <v>1607</v>
      </c>
      <c r="AS2702" s="55" t="s">
        <v>1607</v>
      </c>
      <c r="AU2702" s="181" t="s">
        <v>7494</v>
      </c>
      <c r="AV2702" s="185" t="s">
        <v>176</v>
      </c>
      <c r="AX2702" s="185" t="s">
        <v>176</v>
      </c>
      <c r="BK2702" s="55" t="s">
        <v>6333</v>
      </c>
      <c r="BM2702" s="192" t="s">
        <v>160</v>
      </c>
      <c r="BN2702" s="55">
        <v>4</v>
      </c>
      <c r="BO2702" s="55">
        <v>4</v>
      </c>
      <c r="CB2702" s="66">
        <v>455</v>
      </c>
      <c r="CC2702" s="66">
        <v>3818</v>
      </c>
      <c r="CG2702" s="65" t="s">
        <v>178</v>
      </c>
      <c r="FJ2702" s="65">
        <v>81.3</v>
      </c>
      <c r="FK2702" s="65">
        <v>1.6</v>
      </c>
      <c r="FN2702" s="65" t="s">
        <v>2733</v>
      </c>
      <c r="GP2702" s="292" t="s">
        <v>7494</v>
      </c>
    </row>
    <row r="2703" spans="1:198" x14ac:dyDescent="0.25">
      <c r="A2703" s="55">
        <v>2702</v>
      </c>
      <c r="B2703" s="12" t="s">
        <v>7067</v>
      </c>
      <c r="C2703" s="155">
        <v>126</v>
      </c>
      <c r="D2703" s="55" t="s">
        <v>4271</v>
      </c>
      <c r="E2703" s="90" t="s">
        <v>2761</v>
      </c>
      <c r="G2703" s="55" t="s">
        <v>2762</v>
      </c>
      <c r="H2703" s="55">
        <v>1994</v>
      </c>
      <c r="I2703" s="55">
        <v>1988</v>
      </c>
      <c r="J2703" s="55" t="s">
        <v>2688</v>
      </c>
      <c r="K2703" s="55" t="s">
        <v>2763</v>
      </c>
      <c r="L2703" s="55" t="s">
        <v>2748</v>
      </c>
      <c r="M2703" s="90">
        <f>-14-17/60</f>
        <v>-14.283333333333333</v>
      </c>
      <c r="N2703" s="90">
        <f>34+36/60</f>
        <v>34.6</v>
      </c>
      <c r="O2703" s="90">
        <v>1260</v>
      </c>
      <c r="Q2703" s="55" t="s">
        <v>6973</v>
      </c>
      <c r="S2703" s="90">
        <f>(850+1400)/2</f>
        <v>1125</v>
      </c>
      <c r="U2703" s="55" t="s">
        <v>1682</v>
      </c>
      <c r="V2703" s="55" t="s">
        <v>1940</v>
      </c>
      <c r="Y2703" s="55" t="s">
        <v>2765</v>
      </c>
      <c r="AH2703" s="55" t="s">
        <v>238</v>
      </c>
      <c r="AM2703" s="55" t="s">
        <v>2764</v>
      </c>
      <c r="AN2703" s="185" t="s">
        <v>2766</v>
      </c>
      <c r="AO2703" s="185" t="s">
        <v>5150</v>
      </c>
      <c r="AQ2703" s="55" t="s">
        <v>6975</v>
      </c>
      <c r="AR2703" s="55" t="s">
        <v>1607</v>
      </c>
      <c r="AS2703" s="55" t="s">
        <v>1607</v>
      </c>
      <c r="AU2703" s="181" t="s">
        <v>7494</v>
      </c>
      <c r="AV2703" s="185" t="s">
        <v>176</v>
      </c>
      <c r="AX2703" s="185" t="s">
        <v>176</v>
      </c>
      <c r="BK2703" s="55" t="s">
        <v>6333</v>
      </c>
      <c r="BM2703" s="192" t="s">
        <v>160</v>
      </c>
      <c r="BN2703" s="55">
        <v>4</v>
      </c>
      <c r="BO2703" s="55">
        <v>4</v>
      </c>
      <c r="CG2703" s="65" t="s">
        <v>178</v>
      </c>
      <c r="FJ2703" s="65">
        <v>30.4</v>
      </c>
      <c r="FK2703" s="65">
        <v>0.8</v>
      </c>
      <c r="FN2703" s="65" t="s">
        <v>2733</v>
      </c>
      <c r="GP2703" s="292" t="s">
        <v>7494</v>
      </c>
    </row>
    <row r="2704" spans="1:198" x14ac:dyDescent="0.25">
      <c r="A2704" s="55">
        <v>2703</v>
      </c>
      <c r="B2704" s="12" t="s">
        <v>7067</v>
      </c>
      <c r="C2704" s="155">
        <v>126</v>
      </c>
      <c r="D2704" s="55" t="s">
        <v>4271</v>
      </c>
      <c r="E2704" s="90" t="s">
        <v>2761</v>
      </c>
      <c r="G2704" s="55" t="s">
        <v>2762</v>
      </c>
      <c r="H2704" s="55">
        <v>1994</v>
      </c>
      <c r="I2704" s="55">
        <v>1989</v>
      </c>
      <c r="J2704" s="55" t="s">
        <v>2688</v>
      </c>
      <c r="K2704" s="55" t="s">
        <v>2763</v>
      </c>
      <c r="L2704" s="55" t="s">
        <v>2748</v>
      </c>
      <c r="M2704" s="90">
        <f>-14-17/60</f>
        <v>-14.283333333333333</v>
      </c>
      <c r="N2704" s="90">
        <f>34+36/60</f>
        <v>34.6</v>
      </c>
      <c r="O2704" s="90">
        <v>1260</v>
      </c>
      <c r="Q2704" s="55" t="s">
        <v>6973</v>
      </c>
      <c r="S2704" s="90">
        <f>(850+1400)/2</f>
        <v>1125</v>
      </c>
      <c r="U2704" s="55" t="s">
        <v>1801</v>
      </c>
      <c r="V2704" s="55" t="s">
        <v>1940</v>
      </c>
      <c r="Y2704" s="55" t="s">
        <v>2765</v>
      </c>
      <c r="AH2704" s="55" t="s">
        <v>238</v>
      </c>
      <c r="AM2704" s="55" t="s">
        <v>2764</v>
      </c>
      <c r="AN2704" s="185" t="s">
        <v>2766</v>
      </c>
      <c r="AO2704" s="185" t="s">
        <v>5150</v>
      </c>
      <c r="AQ2704" s="55" t="s">
        <v>6975</v>
      </c>
      <c r="AR2704" s="55" t="s">
        <v>1607</v>
      </c>
      <c r="AS2704" s="55" t="s">
        <v>1607</v>
      </c>
      <c r="AU2704" s="181" t="s">
        <v>7494</v>
      </c>
      <c r="AV2704" s="185" t="s">
        <v>176</v>
      </c>
      <c r="AX2704" s="185" t="s">
        <v>176</v>
      </c>
      <c r="BK2704" s="55" t="s">
        <v>6333</v>
      </c>
      <c r="BM2704" s="192" t="s">
        <v>160</v>
      </c>
      <c r="BN2704" s="55">
        <v>4</v>
      </c>
      <c r="BO2704" s="55">
        <v>4</v>
      </c>
      <c r="CB2704" s="66">
        <v>318</v>
      </c>
      <c r="CC2704" s="66">
        <v>4106</v>
      </c>
      <c r="CG2704" s="65" t="s">
        <v>178</v>
      </c>
      <c r="FJ2704" s="65">
        <v>23.2</v>
      </c>
      <c r="FK2704" s="65">
        <v>0.8</v>
      </c>
      <c r="FN2704" s="65" t="s">
        <v>2733</v>
      </c>
      <c r="GP2704" s="292" t="s">
        <v>7494</v>
      </c>
    </row>
    <row r="2705" spans="1:241" x14ac:dyDescent="0.25">
      <c r="A2705" s="55">
        <v>2704</v>
      </c>
      <c r="B2705" s="12" t="s">
        <v>7067</v>
      </c>
      <c r="C2705" s="155">
        <v>126</v>
      </c>
      <c r="D2705" s="55" t="s">
        <v>4271</v>
      </c>
      <c r="E2705" s="90" t="s">
        <v>2761</v>
      </c>
      <c r="G2705" s="55" t="s">
        <v>2762</v>
      </c>
      <c r="H2705" s="55">
        <v>1994</v>
      </c>
      <c r="I2705" s="55">
        <v>1990</v>
      </c>
      <c r="J2705" s="55" t="s">
        <v>2688</v>
      </c>
      <c r="K2705" s="55" t="s">
        <v>2763</v>
      </c>
      <c r="L2705" s="55" t="s">
        <v>2748</v>
      </c>
      <c r="M2705" s="90">
        <f>-14-17/60</f>
        <v>-14.283333333333333</v>
      </c>
      <c r="N2705" s="90">
        <f>34+36/60</f>
        <v>34.6</v>
      </c>
      <c r="O2705" s="90">
        <v>1260</v>
      </c>
      <c r="Q2705" s="55" t="s">
        <v>6973</v>
      </c>
      <c r="S2705" s="90">
        <f>(850+1400)/2</f>
        <v>1125</v>
      </c>
      <c r="U2705" s="55" t="s">
        <v>1694</v>
      </c>
      <c r="V2705" s="55" t="s">
        <v>1940</v>
      </c>
      <c r="Y2705" s="55" t="s">
        <v>2765</v>
      </c>
      <c r="AH2705" s="55" t="s">
        <v>238</v>
      </c>
      <c r="AM2705" s="55" t="s">
        <v>2764</v>
      </c>
      <c r="AN2705" s="185" t="s">
        <v>2766</v>
      </c>
      <c r="AO2705" s="185" t="s">
        <v>5150</v>
      </c>
      <c r="AQ2705" s="55" t="s">
        <v>6975</v>
      </c>
      <c r="AR2705" s="55" t="s">
        <v>1607</v>
      </c>
      <c r="AS2705" s="55" t="s">
        <v>1607</v>
      </c>
      <c r="AU2705" s="181" t="s">
        <v>7494</v>
      </c>
      <c r="AV2705" s="185" t="s">
        <v>176</v>
      </c>
      <c r="AX2705" s="185" t="s">
        <v>176</v>
      </c>
      <c r="BK2705" s="55" t="s">
        <v>6333</v>
      </c>
      <c r="BM2705" s="192" t="s">
        <v>160</v>
      </c>
      <c r="BN2705" s="55">
        <v>4</v>
      </c>
      <c r="BO2705" s="55">
        <v>4</v>
      </c>
      <c r="CB2705" s="66">
        <v>309</v>
      </c>
      <c r="CC2705" s="66">
        <v>2143</v>
      </c>
      <c r="CG2705" s="65" t="s">
        <v>178</v>
      </c>
      <c r="FJ2705" s="65">
        <v>32</v>
      </c>
      <c r="FK2705" s="65">
        <v>1.7</v>
      </c>
      <c r="FN2705" s="65" t="s">
        <v>2733</v>
      </c>
      <c r="GP2705" s="292" t="s">
        <v>7494</v>
      </c>
    </row>
    <row r="2706" spans="1:241" x14ac:dyDescent="0.25">
      <c r="A2706" s="55">
        <v>2705</v>
      </c>
      <c r="B2706" s="12" t="s">
        <v>7067</v>
      </c>
      <c r="C2706" s="155">
        <v>126</v>
      </c>
      <c r="D2706" s="55" t="s">
        <v>4271</v>
      </c>
      <c r="E2706" s="90" t="s">
        <v>2761</v>
      </c>
      <c r="G2706" s="55" t="s">
        <v>2762</v>
      </c>
      <c r="H2706" s="55">
        <v>1994</v>
      </c>
      <c r="I2706" s="55">
        <v>1991</v>
      </c>
      <c r="J2706" s="55" t="s">
        <v>2688</v>
      </c>
      <c r="K2706" s="55" t="s">
        <v>2763</v>
      </c>
      <c r="L2706" s="55" t="s">
        <v>2748</v>
      </c>
      <c r="M2706" s="90">
        <f>-14-17/60</f>
        <v>-14.283333333333333</v>
      </c>
      <c r="N2706" s="90">
        <f>34+36/60</f>
        <v>34.6</v>
      </c>
      <c r="O2706" s="90">
        <v>1260</v>
      </c>
      <c r="Q2706" s="55" t="s">
        <v>6973</v>
      </c>
      <c r="S2706" s="90">
        <f>(850+1400)/2</f>
        <v>1125</v>
      </c>
      <c r="U2706" s="55" t="s">
        <v>1940</v>
      </c>
      <c r="V2706" s="55" t="s">
        <v>1940</v>
      </c>
      <c r="Y2706" s="55" t="s">
        <v>2765</v>
      </c>
      <c r="AH2706" s="55" t="s">
        <v>238</v>
      </c>
      <c r="AM2706" s="55" t="s">
        <v>2764</v>
      </c>
      <c r="AN2706" s="185" t="s">
        <v>2766</v>
      </c>
      <c r="AO2706" s="185" t="s">
        <v>5150</v>
      </c>
      <c r="AQ2706" s="55" t="s">
        <v>6975</v>
      </c>
      <c r="AR2706" s="55" t="s">
        <v>1607</v>
      </c>
      <c r="AS2706" s="55" t="s">
        <v>1607</v>
      </c>
      <c r="AU2706" s="181" t="s">
        <v>7494</v>
      </c>
      <c r="AV2706" s="185" t="s">
        <v>176</v>
      </c>
      <c r="AX2706" s="185" t="s">
        <v>176</v>
      </c>
      <c r="BK2706" s="55" t="s">
        <v>6333</v>
      </c>
      <c r="BM2706" s="192" t="s">
        <v>160</v>
      </c>
      <c r="BN2706" s="55">
        <v>4</v>
      </c>
      <c r="BO2706" s="55">
        <v>4</v>
      </c>
      <c r="CB2706" s="66">
        <v>152</v>
      </c>
      <c r="CC2706" s="66">
        <v>2295</v>
      </c>
      <c r="CG2706" s="65" t="s">
        <v>178</v>
      </c>
      <c r="FJ2706" s="65">
        <v>21.6</v>
      </c>
      <c r="FK2706" s="65">
        <v>1.7</v>
      </c>
      <c r="FN2706" s="65" t="s">
        <v>2733</v>
      </c>
      <c r="GP2706" s="292" t="s">
        <v>7494</v>
      </c>
    </row>
    <row r="2707" spans="1:241" x14ac:dyDescent="0.25">
      <c r="A2707" s="55">
        <v>2706</v>
      </c>
      <c r="B2707" s="12" t="s">
        <v>7067</v>
      </c>
      <c r="C2707" s="155">
        <v>126</v>
      </c>
      <c r="D2707" s="55" t="s">
        <v>6994</v>
      </c>
      <c r="E2707" s="90" t="s">
        <v>2761</v>
      </c>
      <c r="G2707" s="55" t="s">
        <v>2762</v>
      </c>
      <c r="H2707" s="55">
        <v>1994</v>
      </c>
      <c r="I2707" s="55">
        <v>1986</v>
      </c>
      <c r="J2707" s="55" t="s">
        <v>2688</v>
      </c>
      <c r="K2707" s="55" t="s">
        <v>2763</v>
      </c>
      <c r="L2707" s="55" t="s">
        <v>2748</v>
      </c>
      <c r="M2707" s="90">
        <f>-14-17/60</f>
        <v>-14.283333333333333</v>
      </c>
      <c r="N2707" s="90">
        <f>34+36/60</f>
        <v>34.6</v>
      </c>
      <c r="O2707" s="90">
        <v>1260</v>
      </c>
      <c r="Q2707" s="55" t="s">
        <v>6973</v>
      </c>
      <c r="S2707" s="90">
        <f>(850+1400)/2</f>
        <v>1125</v>
      </c>
      <c r="U2707" s="55" t="s">
        <v>1688</v>
      </c>
      <c r="V2707" s="55" t="s">
        <v>1940</v>
      </c>
      <c r="Y2707" s="55" t="s">
        <v>2765</v>
      </c>
      <c r="AH2707" s="55" t="s">
        <v>238</v>
      </c>
      <c r="AM2707" s="55" t="s">
        <v>2764</v>
      </c>
      <c r="AN2707" s="185" t="s">
        <v>2767</v>
      </c>
      <c r="AO2707" s="185" t="s">
        <v>5150</v>
      </c>
      <c r="AQ2707" s="55" t="s">
        <v>6975</v>
      </c>
      <c r="AR2707" s="55" t="s">
        <v>1607</v>
      </c>
      <c r="AS2707" s="55" t="s">
        <v>1607</v>
      </c>
      <c r="AU2707" s="181" t="s">
        <v>7494</v>
      </c>
      <c r="AV2707" s="185" t="s">
        <v>176</v>
      </c>
      <c r="AX2707" s="185" t="s">
        <v>176</v>
      </c>
      <c r="BK2707" s="55" t="s">
        <v>6333</v>
      </c>
      <c r="BM2707" s="192" t="s">
        <v>160</v>
      </c>
      <c r="BN2707" s="55">
        <v>4</v>
      </c>
      <c r="BO2707" s="55">
        <v>4</v>
      </c>
      <c r="CB2707" s="66">
        <v>815</v>
      </c>
      <c r="CC2707" s="66">
        <v>2033</v>
      </c>
      <c r="FJ2707" s="65">
        <v>78</v>
      </c>
      <c r="FK2707" s="65">
        <v>3.1</v>
      </c>
      <c r="FN2707" s="65" t="s">
        <v>2733</v>
      </c>
      <c r="GP2707" s="292" t="s">
        <v>7494</v>
      </c>
    </row>
    <row r="2708" spans="1:241" x14ac:dyDescent="0.25">
      <c r="A2708" s="55">
        <v>2707</v>
      </c>
      <c r="B2708" s="12" t="s">
        <v>7067</v>
      </c>
      <c r="C2708" s="155">
        <v>126</v>
      </c>
      <c r="D2708" s="55" t="s">
        <v>6994</v>
      </c>
      <c r="E2708" s="90" t="s">
        <v>2761</v>
      </c>
      <c r="G2708" s="55" t="s">
        <v>2762</v>
      </c>
      <c r="H2708" s="55">
        <v>1994</v>
      </c>
      <c r="I2708" s="55">
        <v>1987</v>
      </c>
      <c r="J2708" s="55" t="s">
        <v>2688</v>
      </c>
      <c r="K2708" s="55" t="s">
        <v>2763</v>
      </c>
      <c r="L2708" s="55" t="s">
        <v>2748</v>
      </c>
      <c r="M2708" s="90">
        <f>-14-17/60</f>
        <v>-14.283333333333333</v>
      </c>
      <c r="N2708" s="90">
        <f>34+36/60</f>
        <v>34.6</v>
      </c>
      <c r="O2708" s="90">
        <v>1260</v>
      </c>
      <c r="Q2708" s="55" t="s">
        <v>6973</v>
      </c>
      <c r="S2708" s="90">
        <f>(850+1400)/2</f>
        <v>1125</v>
      </c>
      <c r="U2708" s="55" t="s">
        <v>1816</v>
      </c>
      <c r="V2708" s="55" t="s">
        <v>1940</v>
      </c>
      <c r="Y2708" s="55" t="s">
        <v>2765</v>
      </c>
      <c r="AH2708" s="55" t="s">
        <v>238</v>
      </c>
      <c r="AM2708" s="55" t="s">
        <v>2764</v>
      </c>
      <c r="AN2708" s="185" t="s">
        <v>2767</v>
      </c>
      <c r="AO2708" s="185" t="s">
        <v>5150</v>
      </c>
      <c r="AQ2708" s="55" t="s">
        <v>6975</v>
      </c>
      <c r="AR2708" s="55" t="s">
        <v>1607</v>
      </c>
      <c r="AS2708" s="55" t="s">
        <v>1607</v>
      </c>
      <c r="AU2708" s="181" t="s">
        <v>7494</v>
      </c>
      <c r="AV2708" s="185" t="s">
        <v>176</v>
      </c>
      <c r="AX2708" s="185" t="s">
        <v>176</v>
      </c>
      <c r="BK2708" s="55" t="s">
        <v>6333</v>
      </c>
      <c r="BM2708" s="192" t="s">
        <v>160</v>
      </c>
      <c r="BN2708" s="55">
        <v>4</v>
      </c>
      <c r="BO2708" s="55">
        <v>4</v>
      </c>
      <c r="CB2708" s="66">
        <v>455</v>
      </c>
      <c r="CC2708" s="66">
        <v>1530</v>
      </c>
      <c r="FJ2708" s="65">
        <v>81.3</v>
      </c>
      <c r="FK2708" s="65">
        <v>2.1</v>
      </c>
      <c r="FN2708" s="65" t="s">
        <v>2733</v>
      </c>
      <c r="GP2708" s="292" t="s">
        <v>7494</v>
      </c>
    </row>
    <row r="2709" spans="1:241" x14ac:dyDescent="0.25">
      <c r="A2709" s="55">
        <v>2708</v>
      </c>
      <c r="B2709" s="12" t="s">
        <v>7067</v>
      </c>
      <c r="C2709" s="155">
        <v>126</v>
      </c>
      <c r="D2709" s="55" t="s">
        <v>6994</v>
      </c>
      <c r="E2709" s="90" t="s">
        <v>2761</v>
      </c>
      <c r="G2709" s="55" t="s">
        <v>2762</v>
      </c>
      <c r="H2709" s="55">
        <v>1994</v>
      </c>
      <c r="I2709" s="55">
        <v>1988</v>
      </c>
      <c r="J2709" s="55" t="s">
        <v>2688</v>
      </c>
      <c r="K2709" s="55" t="s">
        <v>2763</v>
      </c>
      <c r="L2709" s="55" t="s">
        <v>2748</v>
      </c>
      <c r="M2709" s="90">
        <f>-14-17/60</f>
        <v>-14.283333333333333</v>
      </c>
      <c r="N2709" s="90">
        <f>34+36/60</f>
        <v>34.6</v>
      </c>
      <c r="O2709" s="90">
        <v>1260</v>
      </c>
      <c r="Q2709" s="55" t="s">
        <v>6973</v>
      </c>
      <c r="S2709" s="90">
        <f>(850+1400)/2</f>
        <v>1125</v>
      </c>
      <c r="U2709" s="55" t="s">
        <v>1682</v>
      </c>
      <c r="V2709" s="55" t="s">
        <v>1940</v>
      </c>
      <c r="Y2709" s="55" t="s">
        <v>2765</v>
      </c>
      <c r="AH2709" s="55" t="s">
        <v>238</v>
      </c>
      <c r="AM2709" s="55" t="s">
        <v>2764</v>
      </c>
      <c r="AN2709" s="185" t="s">
        <v>2767</v>
      </c>
      <c r="AO2709" s="185" t="s">
        <v>5150</v>
      </c>
      <c r="AQ2709" s="55" t="s">
        <v>6975</v>
      </c>
      <c r="AR2709" s="55" t="s">
        <v>1607</v>
      </c>
      <c r="AS2709" s="55" t="s">
        <v>1607</v>
      </c>
      <c r="AU2709" s="181" t="s">
        <v>7494</v>
      </c>
      <c r="AV2709" s="185" t="s">
        <v>176</v>
      </c>
      <c r="AX2709" s="185" t="s">
        <v>176</v>
      </c>
      <c r="BK2709" s="55" t="s">
        <v>6333</v>
      </c>
      <c r="BM2709" s="192" t="s">
        <v>160</v>
      </c>
      <c r="BN2709" s="55">
        <v>4</v>
      </c>
      <c r="BO2709" s="55">
        <v>4</v>
      </c>
      <c r="FJ2709" s="65">
        <v>30.4</v>
      </c>
      <c r="FK2709" s="65">
        <v>1.2</v>
      </c>
      <c r="FN2709" s="65" t="s">
        <v>2733</v>
      </c>
      <c r="GP2709" s="292" t="s">
        <v>7494</v>
      </c>
    </row>
    <row r="2710" spans="1:241" x14ac:dyDescent="0.25">
      <c r="A2710" s="55">
        <v>2709</v>
      </c>
      <c r="B2710" s="12" t="s">
        <v>7067</v>
      </c>
      <c r="C2710" s="155">
        <v>126</v>
      </c>
      <c r="D2710" s="55" t="s">
        <v>6994</v>
      </c>
      <c r="E2710" s="90" t="s">
        <v>2761</v>
      </c>
      <c r="G2710" s="55" t="s">
        <v>2762</v>
      </c>
      <c r="H2710" s="55">
        <v>1994</v>
      </c>
      <c r="I2710" s="55">
        <v>1989</v>
      </c>
      <c r="J2710" s="55" t="s">
        <v>2688</v>
      </c>
      <c r="K2710" s="55" t="s">
        <v>2763</v>
      </c>
      <c r="L2710" s="55" t="s">
        <v>2748</v>
      </c>
      <c r="M2710" s="90">
        <f>-14-17/60</f>
        <v>-14.283333333333333</v>
      </c>
      <c r="N2710" s="90">
        <f>34+36/60</f>
        <v>34.6</v>
      </c>
      <c r="O2710" s="90">
        <v>1260</v>
      </c>
      <c r="Q2710" s="55" t="s">
        <v>6973</v>
      </c>
      <c r="S2710" s="90">
        <f>(850+1400)/2</f>
        <v>1125</v>
      </c>
      <c r="U2710" s="55" t="s">
        <v>1801</v>
      </c>
      <c r="V2710" s="55" t="s">
        <v>1940</v>
      </c>
      <c r="Y2710" s="55" t="s">
        <v>2765</v>
      </c>
      <c r="AH2710" s="55" t="s">
        <v>238</v>
      </c>
      <c r="AM2710" s="55" t="s">
        <v>2764</v>
      </c>
      <c r="AN2710" s="185" t="s">
        <v>2767</v>
      </c>
      <c r="AO2710" s="185" t="s">
        <v>5150</v>
      </c>
      <c r="AQ2710" s="55" t="s">
        <v>6975</v>
      </c>
      <c r="AR2710" s="55" t="s">
        <v>1607</v>
      </c>
      <c r="AS2710" s="55" t="s">
        <v>1607</v>
      </c>
      <c r="AU2710" s="181" t="s">
        <v>7494</v>
      </c>
      <c r="AV2710" s="185" t="s">
        <v>176</v>
      </c>
      <c r="AX2710" s="185" t="s">
        <v>176</v>
      </c>
      <c r="BK2710" s="55" t="s">
        <v>6333</v>
      </c>
      <c r="BM2710" s="192" t="s">
        <v>160</v>
      </c>
      <c r="BN2710" s="55">
        <v>4</v>
      </c>
      <c r="BO2710" s="55">
        <v>4</v>
      </c>
      <c r="CB2710" s="66">
        <v>318</v>
      </c>
      <c r="CC2710" s="66">
        <v>3652</v>
      </c>
      <c r="CG2710" s="65" t="s">
        <v>178</v>
      </c>
      <c r="FJ2710" s="65">
        <v>23.2</v>
      </c>
      <c r="FK2710" s="65">
        <v>3</v>
      </c>
      <c r="FN2710" s="65" t="s">
        <v>2733</v>
      </c>
      <c r="GP2710" s="292" t="s">
        <v>7494</v>
      </c>
    </row>
    <row r="2711" spans="1:241" x14ac:dyDescent="0.25">
      <c r="A2711" s="55">
        <v>2710</v>
      </c>
      <c r="B2711" s="12" t="s">
        <v>7067</v>
      </c>
      <c r="C2711" s="155">
        <v>126</v>
      </c>
      <c r="D2711" s="55" t="s">
        <v>6994</v>
      </c>
      <c r="E2711" s="90" t="s">
        <v>2761</v>
      </c>
      <c r="G2711" s="55" t="s">
        <v>2762</v>
      </c>
      <c r="H2711" s="55">
        <v>1994</v>
      </c>
      <c r="I2711" s="55">
        <v>1990</v>
      </c>
      <c r="J2711" s="55" t="s">
        <v>2688</v>
      </c>
      <c r="K2711" s="55" t="s">
        <v>2763</v>
      </c>
      <c r="L2711" s="55" t="s">
        <v>2748</v>
      </c>
      <c r="M2711" s="90">
        <f>-14-17/60</f>
        <v>-14.283333333333333</v>
      </c>
      <c r="N2711" s="90">
        <f>34+36/60</f>
        <v>34.6</v>
      </c>
      <c r="O2711" s="90">
        <v>1260</v>
      </c>
      <c r="Q2711" s="55" t="s">
        <v>6973</v>
      </c>
      <c r="S2711" s="90">
        <f>(850+1400)/2</f>
        <v>1125</v>
      </c>
      <c r="U2711" s="55" t="s">
        <v>1694</v>
      </c>
      <c r="V2711" s="55" t="s">
        <v>1940</v>
      </c>
      <c r="Y2711" s="55" t="s">
        <v>2765</v>
      </c>
      <c r="AH2711" s="55" t="s">
        <v>238</v>
      </c>
      <c r="AM2711" s="55" t="s">
        <v>2764</v>
      </c>
      <c r="AN2711" s="185" t="s">
        <v>2767</v>
      </c>
      <c r="AO2711" s="185" t="s">
        <v>5150</v>
      </c>
      <c r="AQ2711" s="55" t="s">
        <v>6975</v>
      </c>
      <c r="AR2711" s="55" t="s">
        <v>1607</v>
      </c>
      <c r="AS2711" s="55" t="s">
        <v>1607</v>
      </c>
      <c r="AU2711" s="181" t="s">
        <v>7494</v>
      </c>
      <c r="AV2711" s="185" t="s">
        <v>176</v>
      </c>
      <c r="AX2711" s="185" t="s">
        <v>176</v>
      </c>
      <c r="BK2711" s="55" t="s">
        <v>6333</v>
      </c>
      <c r="BM2711" s="192" t="s">
        <v>160</v>
      </c>
      <c r="BN2711" s="55">
        <v>4</v>
      </c>
      <c r="BO2711" s="55">
        <v>4</v>
      </c>
      <c r="CB2711" s="66">
        <v>309</v>
      </c>
      <c r="CC2711" s="66">
        <v>1571</v>
      </c>
      <c r="CG2711" s="65" t="s">
        <v>178</v>
      </c>
      <c r="FJ2711" s="65">
        <v>32</v>
      </c>
      <c r="FK2711" s="65">
        <v>1.6</v>
      </c>
      <c r="FN2711" s="65" t="s">
        <v>2733</v>
      </c>
      <c r="GP2711" s="292" t="s">
        <v>7494</v>
      </c>
    </row>
    <row r="2712" spans="1:241" x14ac:dyDescent="0.25">
      <c r="A2712" s="55">
        <v>2711</v>
      </c>
      <c r="B2712" s="12" t="s">
        <v>7067</v>
      </c>
      <c r="C2712" s="155">
        <v>126</v>
      </c>
      <c r="D2712" s="55" t="s">
        <v>6994</v>
      </c>
      <c r="E2712" s="90" t="s">
        <v>2761</v>
      </c>
      <c r="G2712" s="55" t="s">
        <v>2762</v>
      </c>
      <c r="H2712" s="55">
        <v>1994</v>
      </c>
      <c r="I2712" s="55">
        <v>1991</v>
      </c>
      <c r="J2712" s="55" t="s">
        <v>2688</v>
      </c>
      <c r="K2712" s="55" t="s">
        <v>2763</v>
      </c>
      <c r="L2712" s="55" t="s">
        <v>2748</v>
      </c>
      <c r="M2712" s="90">
        <f>-14-17/60</f>
        <v>-14.283333333333333</v>
      </c>
      <c r="N2712" s="90">
        <f>34+36/60</f>
        <v>34.6</v>
      </c>
      <c r="O2712" s="90">
        <v>1260</v>
      </c>
      <c r="Q2712" s="55" t="s">
        <v>6973</v>
      </c>
      <c r="S2712" s="90">
        <f>(850+1400)/2</f>
        <v>1125</v>
      </c>
      <c r="U2712" s="55" t="s">
        <v>1940</v>
      </c>
      <c r="V2712" s="55" t="s">
        <v>1940</v>
      </c>
      <c r="Y2712" s="55" t="s">
        <v>2765</v>
      </c>
      <c r="AH2712" s="55" t="s">
        <v>238</v>
      </c>
      <c r="AM2712" s="55" t="s">
        <v>2764</v>
      </c>
      <c r="AN2712" s="185" t="s">
        <v>2767</v>
      </c>
      <c r="AO2712" s="185" t="s">
        <v>5150</v>
      </c>
      <c r="AQ2712" s="55" t="s">
        <v>6975</v>
      </c>
      <c r="AR2712" s="55" t="s">
        <v>1607</v>
      </c>
      <c r="AS2712" s="55" t="s">
        <v>1607</v>
      </c>
      <c r="AU2712" s="181" t="s">
        <v>7494</v>
      </c>
      <c r="AV2712" s="185" t="s">
        <v>176</v>
      </c>
      <c r="AX2712" s="185" t="s">
        <v>176</v>
      </c>
      <c r="BK2712" s="55" t="s">
        <v>6333</v>
      </c>
      <c r="BM2712" s="192" t="s">
        <v>160</v>
      </c>
      <c r="BN2712" s="55">
        <v>4</v>
      </c>
      <c r="BO2712" s="55">
        <v>4</v>
      </c>
      <c r="CB2712" s="66">
        <v>152</v>
      </c>
      <c r="CC2712" s="66">
        <v>1369</v>
      </c>
      <c r="CG2712" s="65" t="s">
        <v>178</v>
      </c>
      <c r="FJ2712" s="65">
        <v>21.6</v>
      </c>
      <c r="FK2712" s="65">
        <v>1.3</v>
      </c>
      <c r="FN2712" s="65" t="s">
        <v>2733</v>
      </c>
      <c r="GP2712" s="292" t="s">
        <v>7494</v>
      </c>
    </row>
    <row r="2713" spans="1:241" x14ac:dyDescent="0.25">
      <c r="A2713" s="55">
        <v>2712</v>
      </c>
      <c r="B2713" s="12" t="s">
        <v>7067</v>
      </c>
      <c r="C2713" s="155">
        <v>126</v>
      </c>
      <c r="D2713" s="55" t="s">
        <v>6995</v>
      </c>
      <c r="E2713" s="90" t="s">
        <v>2761</v>
      </c>
      <c r="G2713" s="55" t="s">
        <v>2762</v>
      </c>
      <c r="H2713" s="55">
        <v>1994</v>
      </c>
      <c r="I2713" s="55">
        <v>1986</v>
      </c>
      <c r="J2713" s="55" t="s">
        <v>2688</v>
      </c>
      <c r="K2713" s="55" t="s">
        <v>2763</v>
      </c>
      <c r="L2713" s="55" t="s">
        <v>2748</v>
      </c>
      <c r="M2713" s="90">
        <f>-14-17/60</f>
        <v>-14.283333333333333</v>
      </c>
      <c r="N2713" s="90">
        <f>34+36/60</f>
        <v>34.6</v>
      </c>
      <c r="O2713" s="90">
        <v>1260</v>
      </c>
      <c r="Q2713" s="55" t="s">
        <v>6973</v>
      </c>
      <c r="S2713" s="90">
        <f>(850+1400)/2</f>
        <v>1125</v>
      </c>
      <c r="U2713" s="55" t="s">
        <v>1688</v>
      </c>
      <c r="V2713" s="55" t="s">
        <v>1940</v>
      </c>
      <c r="Y2713" s="55" t="s">
        <v>2765</v>
      </c>
      <c r="AH2713" s="55" t="s">
        <v>238</v>
      </c>
      <c r="AM2713" s="55" t="s">
        <v>2764</v>
      </c>
      <c r="AN2713" s="185" t="s">
        <v>2768</v>
      </c>
      <c r="AO2713" s="185" t="s">
        <v>5150</v>
      </c>
      <c r="AQ2713" s="55" t="s">
        <v>6975</v>
      </c>
      <c r="AR2713" s="55" t="s">
        <v>1607</v>
      </c>
      <c r="AS2713" s="55" t="s">
        <v>1607</v>
      </c>
      <c r="AU2713" s="181" t="s">
        <v>7494</v>
      </c>
      <c r="AV2713" s="185" t="s">
        <v>176</v>
      </c>
      <c r="AX2713" s="185" t="s">
        <v>176</v>
      </c>
      <c r="BK2713" s="55" t="s">
        <v>6333</v>
      </c>
      <c r="BM2713" s="192" t="s">
        <v>160</v>
      </c>
      <c r="BN2713" s="55">
        <v>4</v>
      </c>
      <c r="BO2713" s="55">
        <v>4</v>
      </c>
      <c r="CB2713" s="66">
        <v>815</v>
      </c>
      <c r="CC2713" s="66">
        <v>1639</v>
      </c>
      <c r="CG2713" s="65" t="s">
        <v>178</v>
      </c>
      <c r="FJ2713" s="65">
        <v>78</v>
      </c>
      <c r="FK2713" s="65">
        <v>5.3</v>
      </c>
      <c r="FN2713" s="65" t="s">
        <v>2733</v>
      </c>
      <c r="GP2713" s="292" t="s">
        <v>7494</v>
      </c>
    </row>
    <row r="2714" spans="1:241" x14ac:dyDescent="0.25">
      <c r="A2714" s="55">
        <v>2713</v>
      </c>
      <c r="B2714" s="12" t="s">
        <v>7067</v>
      </c>
      <c r="C2714" s="155">
        <v>126</v>
      </c>
      <c r="D2714" s="55" t="s">
        <v>6995</v>
      </c>
      <c r="E2714" s="90" t="s">
        <v>2761</v>
      </c>
      <c r="G2714" s="55" t="s">
        <v>2762</v>
      </c>
      <c r="H2714" s="55">
        <v>1994</v>
      </c>
      <c r="I2714" s="55">
        <v>1987</v>
      </c>
      <c r="J2714" s="55" t="s">
        <v>2688</v>
      </c>
      <c r="K2714" s="55" t="s">
        <v>2763</v>
      </c>
      <c r="L2714" s="55" t="s">
        <v>2748</v>
      </c>
      <c r="M2714" s="90">
        <f>-14-17/60</f>
        <v>-14.283333333333333</v>
      </c>
      <c r="N2714" s="90">
        <f>34+36/60</f>
        <v>34.6</v>
      </c>
      <c r="O2714" s="90">
        <v>1260</v>
      </c>
      <c r="Q2714" s="55" t="s">
        <v>6973</v>
      </c>
      <c r="S2714" s="90">
        <f>(850+1400)/2</f>
        <v>1125</v>
      </c>
      <c r="U2714" s="55" t="s">
        <v>1816</v>
      </c>
      <c r="V2714" s="55" t="s">
        <v>1940</v>
      </c>
      <c r="Y2714" s="55" t="s">
        <v>2765</v>
      </c>
      <c r="AH2714" s="55" t="s">
        <v>238</v>
      </c>
      <c r="AM2714" s="55" t="s">
        <v>2764</v>
      </c>
      <c r="AN2714" s="185" t="s">
        <v>2768</v>
      </c>
      <c r="AO2714" s="185" t="s">
        <v>5150</v>
      </c>
      <c r="AQ2714" s="55" t="s">
        <v>6975</v>
      </c>
      <c r="AR2714" s="55" t="s">
        <v>1607</v>
      </c>
      <c r="AS2714" s="55" t="s">
        <v>1607</v>
      </c>
      <c r="AU2714" s="181" t="s">
        <v>7494</v>
      </c>
      <c r="AV2714" s="185" t="s">
        <v>176</v>
      </c>
      <c r="AX2714" s="185" t="s">
        <v>176</v>
      </c>
      <c r="BK2714" s="55" t="s">
        <v>6333</v>
      </c>
      <c r="BM2714" s="192" t="s">
        <v>160</v>
      </c>
      <c r="BN2714" s="55">
        <v>4</v>
      </c>
      <c r="BO2714" s="55">
        <v>4</v>
      </c>
      <c r="CB2714" s="66">
        <v>455</v>
      </c>
      <c r="CC2714" s="66">
        <v>1936</v>
      </c>
      <c r="CG2714" s="65" t="s">
        <v>178</v>
      </c>
      <c r="FJ2714" s="65">
        <v>81.3</v>
      </c>
      <c r="FK2714" s="65">
        <v>2.4</v>
      </c>
      <c r="FN2714" s="65" t="s">
        <v>2733</v>
      </c>
      <c r="GP2714" s="292" t="s">
        <v>7494</v>
      </c>
    </row>
    <row r="2715" spans="1:241" x14ac:dyDescent="0.25">
      <c r="A2715" s="55">
        <v>2714</v>
      </c>
      <c r="B2715" s="12" t="s">
        <v>7067</v>
      </c>
      <c r="C2715" s="155">
        <v>126</v>
      </c>
      <c r="D2715" s="55" t="s">
        <v>6995</v>
      </c>
      <c r="E2715" s="90" t="s">
        <v>2761</v>
      </c>
      <c r="G2715" s="55" t="s">
        <v>2762</v>
      </c>
      <c r="H2715" s="55">
        <v>1994</v>
      </c>
      <c r="I2715" s="55">
        <v>1988</v>
      </c>
      <c r="J2715" s="55" t="s">
        <v>2688</v>
      </c>
      <c r="K2715" s="55" t="s">
        <v>2763</v>
      </c>
      <c r="L2715" s="55" t="s">
        <v>2748</v>
      </c>
      <c r="M2715" s="90">
        <f>-14-17/60</f>
        <v>-14.283333333333333</v>
      </c>
      <c r="N2715" s="90">
        <f>34+36/60</f>
        <v>34.6</v>
      </c>
      <c r="O2715" s="90">
        <v>1260</v>
      </c>
      <c r="Q2715" s="55" t="s">
        <v>6973</v>
      </c>
      <c r="S2715" s="90">
        <f>(850+1400)/2</f>
        <v>1125</v>
      </c>
      <c r="U2715" s="55" t="s">
        <v>1682</v>
      </c>
      <c r="V2715" s="55" t="s">
        <v>1940</v>
      </c>
      <c r="Y2715" s="55" t="s">
        <v>2765</v>
      </c>
      <c r="AH2715" s="55" t="s">
        <v>238</v>
      </c>
      <c r="AM2715" s="55" t="s">
        <v>2764</v>
      </c>
      <c r="AN2715" s="185" t="s">
        <v>2768</v>
      </c>
      <c r="AO2715" s="185" t="s">
        <v>5150</v>
      </c>
      <c r="AQ2715" s="55" t="s">
        <v>6975</v>
      </c>
      <c r="AR2715" s="55" t="s">
        <v>1607</v>
      </c>
      <c r="AS2715" s="55" t="s">
        <v>1607</v>
      </c>
      <c r="AU2715" s="181" t="s">
        <v>7494</v>
      </c>
      <c r="AV2715" s="185" t="s">
        <v>176</v>
      </c>
      <c r="AX2715" s="185" t="s">
        <v>176</v>
      </c>
      <c r="BK2715" s="55" t="s">
        <v>6333</v>
      </c>
      <c r="BM2715" s="192" t="s">
        <v>160</v>
      </c>
      <c r="BN2715" s="55">
        <v>4</v>
      </c>
      <c r="BO2715" s="55">
        <v>4</v>
      </c>
      <c r="CG2715" s="65" t="s">
        <v>178</v>
      </c>
      <c r="FJ2715" s="65">
        <v>30.4</v>
      </c>
      <c r="FK2715" s="65">
        <v>1.3</v>
      </c>
      <c r="FN2715" s="65" t="s">
        <v>2733</v>
      </c>
      <c r="GP2715" s="292" t="s">
        <v>7494</v>
      </c>
    </row>
    <row r="2716" spans="1:241" x14ac:dyDescent="0.25">
      <c r="A2716" s="55">
        <v>2715</v>
      </c>
      <c r="B2716" s="12" t="s">
        <v>7067</v>
      </c>
      <c r="C2716" s="155">
        <v>126</v>
      </c>
      <c r="D2716" s="55" t="s">
        <v>6995</v>
      </c>
      <c r="E2716" s="90" t="s">
        <v>2761</v>
      </c>
      <c r="G2716" s="55" t="s">
        <v>2762</v>
      </c>
      <c r="H2716" s="55">
        <v>1994</v>
      </c>
      <c r="I2716" s="55">
        <v>1989</v>
      </c>
      <c r="J2716" s="55" t="s">
        <v>2688</v>
      </c>
      <c r="K2716" s="55" t="s">
        <v>2763</v>
      </c>
      <c r="L2716" s="55" t="s">
        <v>2748</v>
      </c>
      <c r="M2716" s="90">
        <f>-14-17/60</f>
        <v>-14.283333333333333</v>
      </c>
      <c r="N2716" s="90">
        <f>34+36/60</f>
        <v>34.6</v>
      </c>
      <c r="O2716" s="90">
        <v>1260</v>
      </c>
      <c r="Q2716" s="55" t="s">
        <v>6973</v>
      </c>
      <c r="S2716" s="90">
        <f>(850+1400)/2</f>
        <v>1125</v>
      </c>
      <c r="U2716" s="55" t="s">
        <v>1801</v>
      </c>
      <c r="V2716" s="55" t="s">
        <v>1940</v>
      </c>
      <c r="Y2716" s="55" t="s">
        <v>2765</v>
      </c>
      <c r="AH2716" s="55" t="s">
        <v>238</v>
      </c>
      <c r="AM2716" s="55" t="s">
        <v>2764</v>
      </c>
      <c r="AN2716" s="185" t="s">
        <v>2768</v>
      </c>
      <c r="AO2716" s="185" t="s">
        <v>5150</v>
      </c>
      <c r="AQ2716" s="55" t="s">
        <v>6975</v>
      </c>
      <c r="AR2716" s="55" t="s">
        <v>1607</v>
      </c>
      <c r="AS2716" s="55" t="s">
        <v>1607</v>
      </c>
      <c r="AU2716" s="181" t="s">
        <v>7494</v>
      </c>
      <c r="AV2716" s="185" t="s">
        <v>176</v>
      </c>
      <c r="AX2716" s="185" t="s">
        <v>176</v>
      </c>
      <c r="BK2716" s="55" t="s">
        <v>6333</v>
      </c>
      <c r="BM2716" s="192" t="s">
        <v>160</v>
      </c>
      <c r="BN2716" s="55">
        <v>4</v>
      </c>
      <c r="BO2716" s="55">
        <v>4</v>
      </c>
      <c r="CB2716" s="66">
        <v>318</v>
      </c>
      <c r="CC2716" s="66">
        <v>2136</v>
      </c>
      <c r="CG2716" s="65" t="s">
        <v>178</v>
      </c>
      <c r="FJ2716" s="65">
        <v>23.2</v>
      </c>
      <c r="FK2716" s="65">
        <v>2</v>
      </c>
      <c r="FN2716" s="65" t="s">
        <v>2733</v>
      </c>
      <c r="GP2716" s="292" t="s">
        <v>7494</v>
      </c>
    </row>
    <row r="2717" spans="1:241" x14ac:dyDescent="0.25">
      <c r="A2717" s="55">
        <v>2716</v>
      </c>
      <c r="B2717" s="12" t="s">
        <v>7067</v>
      </c>
      <c r="C2717" s="155">
        <v>126</v>
      </c>
      <c r="D2717" s="55" t="s">
        <v>6995</v>
      </c>
      <c r="E2717" s="90" t="s">
        <v>2761</v>
      </c>
      <c r="G2717" s="55" t="s">
        <v>2762</v>
      </c>
      <c r="H2717" s="55">
        <v>1994</v>
      </c>
      <c r="I2717" s="55">
        <v>1990</v>
      </c>
      <c r="J2717" s="55" t="s">
        <v>2688</v>
      </c>
      <c r="K2717" s="55" t="s">
        <v>2763</v>
      </c>
      <c r="L2717" s="55" t="s">
        <v>2748</v>
      </c>
      <c r="M2717" s="90">
        <f>-14-17/60</f>
        <v>-14.283333333333333</v>
      </c>
      <c r="N2717" s="90">
        <f>34+36/60</f>
        <v>34.6</v>
      </c>
      <c r="O2717" s="90">
        <v>1260</v>
      </c>
      <c r="Q2717" s="55" t="s">
        <v>6973</v>
      </c>
      <c r="S2717" s="90">
        <f>(850+1400)/2</f>
        <v>1125</v>
      </c>
      <c r="U2717" s="55" t="s">
        <v>1694</v>
      </c>
      <c r="V2717" s="55" t="s">
        <v>1940</v>
      </c>
      <c r="Y2717" s="55" t="s">
        <v>2765</v>
      </c>
      <c r="AH2717" s="55" t="s">
        <v>238</v>
      </c>
      <c r="AM2717" s="55" t="s">
        <v>2764</v>
      </c>
      <c r="AN2717" s="185" t="s">
        <v>2768</v>
      </c>
      <c r="AO2717" s="185" t="s">
        <v>5150</v>
      </c>
      <c r="AQ2717" s="55" t="s">
        <v>6975</v>
      </c>
      <c r="AR2717" s="55" t="s">
        <v>1607</v>
      </c>
      <c r="AS2717" s="55" t="s">
        <v>1607</v>
      </c>
      <c r="AU2717" s="181" t="s">
        <v>7494</v>
      </c>
      <c r="AV2717" s="185" t="s">
        <v>176</v>
      </c>
      <c r="AX2717" s="185" t="s">
        <v>176</v>
      </c>
      <c r="BK2717" s="55" t="s">
        <v>6333</v>
      </c>
      <c r="BM2717" s="192" t="s">
        <v>160</v>
      </c>
      <c r="BN2717" s="55">
        <v>4</v>
      </c>
      <c r="BO2717" s="55">
        <v>4</v>
      </c>
      <c r="CB2717" s="66">
        <v>309</v>
      </c>
      <c r="CC2717" s="66">
        <v>1558</v>
      </c>
      <c r="CG2717" s="65" t="s">
        <v>178</v>
      </c>
      <c r="FJ2717" s="65">
        <v>32</v>
      </c>
      <c r="FK2717" s="65">
        <v>2.2999999999999998</v>
      </c>
      <c r="FN2717" s="65" t="s">
        <v>2733</v>
      </c>
      <c r="GP2717" s="292" t="s">
        <v>7494</v>
      </c>
    </row>
    <row r="2718" spans="1:241" x14ac:dyDescent="0.25">
      <c r="A2718" s="55">
        <v>2717</v>
      </c>
      <c r="B2718" s="12" t="s">
        <v>7067</v>
      </c>
      <c r="C2718" s="155">
        <v>126</v>
      </c>
      <c r="D2718" s="55" t="s">
        <v>6995</v>
      </c>
      <c r="E2718" s="90" t="s">
        <v>2761</v>
      </c>
      <c r="G2718" s="55" t="s">
        <v>2762</v>
      </c>
      <c r="H2718" s="55">
        <v>1994</v>
      </c>
      <c r="I2718" s="55">
        <v>1991</v>
      </c>
      <c r="J2718" s="55" t="s">
        <v>2688</v>
      </c>
      <c r="K2718" s="55" t="s">
        <v>2763</v>
      </c>
      <c r="L2718" s="55" t="s">
        <v>2748</v>
      </c>
      <c r="M2718" s="90">
        <f>-14-17/60</f>
        <v>-14.283333333333333</v>
      </c>
      <c r="N2718" s="90">
        <f>34+36/60</f>
        <v>34.6</v>
      </c>
      <c r="O2718" s="90">
        <v>1260</v>
      </c>
      <c r="Q2718" s="55" t="s">
        <v>6973</v>
      </c>
      <c r="S2718" s="90">
        <f>(850+1400)/2</f>
        <v>1125</v>
      </c>
      <c r="U2718" s="55" t="s">
        <v>1940</v>
      </c>
      <c r="V2718" s="55" t="s">
        <v>1940</v>
      </c>
      <c r="Y2718" s="55" t="s">
        <v>2765</v>
      </c>
      <c r="AH2718" s="55" t="s">
        <v>238</v>
      </c>
      <c r="AM2718" s="55" t="s">
        <v>2764</v>
      </c>
      <c r="AN2718" s="185" t="s">
        <v>2768</v>
      </c>
      <c r="AO2718" s="185" t="s">
        <v>5150</v>
      </c>
      <c r="AQ2718" s="55" t="s">
        <v>6975</v>
      </c>
      <c r="AR2718" s="55" t="s">
        <v>1607</v>
      </c>
      <c r="AS2718" s="55" t="s">
        <v>1607</v>
      </c>
      <c r="AU2718" s="181" t="s">
        <v>7494</v>
      </c>
      <c r="AV2718" s="185" t="s">
        <v>176</v>
      </c>
      <c r="AX2718" s="185" t="s">
        <v>176</v>
      </c>
      <c r="BK2718" s="55" t="s">
        <v>6333</v>
      </c>
      <c r="BM2718" s="192" t="s">
        <v>160</v>
      </c>
      <c r="BN2718" s="55">
        <v>4</v>
      </c>
      <c r="BO2718" s="55">
        <v>4</v>
      </c>
      <c r="CB2718" s="66">
        <v>152</v>
      </c>
      <c r="CC2718" s="66">
        <v>1832</v>
      </c>
      <c r="CG2718" s="65" t="s">
        <v>178</v>
      </c>
      <c r="FJ2718" s="65">
        <v>21.6</v>
      </c>
      <c r="FK2718" s="65">
        <v>1.6</v>
      </c>
      <c r="FN2718" s="65" t="s">
        <v>2733</v>
      </c>
      <c r="GP2718" s="292" t="s">
        <v>7494</v>
      </c>
    </row>
    <row r="2719" spans="1:241" x14ac:dyDescent="0.25">
      <c r="A2719" s="55">
        <v>2718</v>
      </c>
      <c r="B2719" s="12" t="s">
        <v>7067</v>
      </c>
      <c r="C2719" s="155">
        <v>127</v>
      </c>
      <c r="D2719" s="55" t="s">
        <v>4272</v>
      </c>
      <c r="E2719" s="90" t="s">
        <v>2769</v>
      </c>
      <c r="G2719" s="55" t="s">
        <v>2675</v>
      </c>
      <c r="H2719" s="55">
        <v>1996</v>
      </c>
      <c r="J2719" s="55" t="s">
        <v>2688</v>
      </c>
      <c r="K2719" s="55" t="s">
        <v>2770</v>
      </c>
      <c r="L2719" s="55" t="s">
        <v>2756</v>
      </c>
      <c r="M2719" s="90">
        <v>-2.5499999999999998</v>
      </c>
      <c r="N2719" s="90">
        <v>29.6</v>
      </c>
      <c r="O2719" s="90">
        <v>1924</v>
      </c>
      <c r="V2719" s="55" t="s">
        <v>1694</v>
      </c>
      <c r="Y2719" s="55" t="s">
        <v>2771</v>
      </c>
      <c r="Z2719" s="55" t="s">
        <v>1359</v>
      </c>
      <c r="AA2719" s="90" t="s">
        <v>1679</v>
      </c>
      <c r="AN2719" s="185" t="s">
        <v>2773</v>
      </c>
      <c r="AO2719" s="185" t="s">
        <v>5150</v>
      </c>
      <c r="AQ2719" s="55" t="s">
        <v>553</v>
      </c>
      <c r="AR2719" s="55" t="s">
        <v>1565</v>
      </c>
      <c r="AS2719" s="55" t="s">
        <v>5133</v>
      </c>
      <c r="AU2719" s="181" t="s">
        <v>7494</v>
      </c>
      <c r="AV2719" s="185" t="s">
        <v>176</v>
      </c>
      <c r="AX2719" s="185" t="s">
        <v>176</v>
      </c>
      <c r="BK2719" s="55" t="s">
        <v>5976</v>
      </c>
      <c r="BM2719" s="192" t="s">
        <v>160</v>
      </c>
      <c r="BP2719" s="55">
        <v>5</v>
      </c>
      <c r="FT2719" s="65">
        <f>AVERAGE(1.36,23.64,26.22)</f>
        <v>17.073333333333334</v>
      </c>
      <c r="FU2719" s="65">
        <f>AVERAGE(2.5,18.1,26.8)</f>
        <v>15.800000000000002</v>
      </c>
      <c r="FV2719" s="65">
        <f>26.4-23.6</f>
        <v>2.7999999999999972</v>
      </c>
      <c r="FW2719" s="65">
        <f>30.1-26.8</f>
        <v>3.3000000000000007</v>
      </c>
      <c r="FX2719" s="65" t="s">
        <v>545</v>
      </c>
      <c r="GP2719" s="292" t="s">
        <v>7494</v>
      </c>
      <c r="IC2719" s="65">
        <f>AVERAGE(17.33,34.34,24.24,10.49)</f>
        <v>21.599999999999998</v>
      </c>
      <c r="ID2719" s="65">
        <f>AVERAGE(21.52,53.32,41.82,14.67)</f>
        <v>32.832499999999996</v>
      </c>
      <c r="IE2719" s="65">
        <f>AVERAGE(1,9.3,7,1)</f>
        <v>4.5750000000000002</v>
      </c>
      <c r="IF2719" s="65">
        <f>AVERAGE(1,9.3,7,1)</f>
        <v>4.5750000000000002</v>
      </c>
      <c r="IG2719" s="65" t="s">
        <v>2772</v>
      </c>
    </row>
    <row r="2720" spans="1:241" x14ac:dyDescent="0.25">
      <c r="A2720" s="55">
        <v>2719</v>
      </c>
      <c r="B2720" s="12" t="s">
        <v>7067</v>
      </c>
      <c r="C2720" s="155">
        <v>127</v>
      </c>
      <c r="D2720" s="55" t="s">
        <v>4273</v>
      </c>
      <c r="E2720" s="90" t="s">
        <v>2769</v>
      </c>
      <c r="G2720" s="55" t="s">
        <v>2675</v>
      </c>
      <c r="H2720" s="55">
        <v>1996</v>
      </c>
      <c r="J2720" s="55" t="s">
        <v>2688</v>
      </c>
      <c r="K2720" s="55" t="s">
        <v>2770</v>
      </c>
      <c r="L2720" s="55" t="s">
        <v>2756</v>
      </c>
      <c r="M2720" s="90">
        <v>-2.5499999999999998</v>
      </c>
      <c r="N2720" s="90">
        <v>29.6</v>
      </c>
      <c r="O2720" s="90">
        <v>1924</v>
      </c>
      <c r="V2720" s="55" t="s">
        <v>1694</v>
      </c>
      <c r="Y2720" s="55" t="s">
        <v>2771</v>
      </c>
      <c r="Z2720" s="55" t="s">
        <v>1359</v>
      </c>
      <c r="AA2720" s="90" t="s">
        <v>1679</v>
      </c>
      <c r="AN2720" s="185" t="s">
        <v>2774</v>
      </c>
      <c r="AO2720" s="185" t="s">
        <v>5150</v>
      </c>
      <c r="AQ2720" s="55" t="s">
        <v>1545</v>
      </c>
      <c r="AR2720" s="55" t="s">
        <v>1565</v>
      </c>
      <c r="AS2720" s="55" t="s">
        <v>5133</v>
      </c>
      <c r="AU2720" s="181" t="s">
        <v>7494</v>
      </c>
      <c r="AV2720" s="185" t="s">
        <v>176</v>
      </c>
      <c r="AX2720" s="185" t="s">
        <v>176</v>
      </c>
      <c r="BK2720" s="55" t="s">
        <v>5976</v>
      </c>
      <c r="BM2720" s="192" t="s">
        <v>160</v>
      </c>
      <c r="BP2720" s="55">
        <v>5</v>
      </c>
      <c r="FT2720" s="65">
        <f>AVERAGE(1.36,23.64,26.22)</f>
        <v>17.073333333333334</v>
      </c>
      <c r="FU2720" s="65">
        <f>AVERAGE(2.2,23.64,44.28)</f>
        <v>23.373333333333335</v>
      </c>
      <c r="FV2720" s="65">
        <f>26.4-23.6</f>
        <v>2.7999999999999972</v>
      </c>
      <c r="FW2720" s="65">
        <f>27.8-23.6</f>
        <v>4.1999999999999993</v>
      </c>
      <c r="FX2720" s="65" t="s">
        <v>545</v>
      </c>
      <c r="GP2720" s="292" t="s">
        <v>7494</v>
      </c>
      <c r="IC2720" s="65">
        <f>AVERAGE(17.33,34.34,24.24,10.49)</f>
        <v>21.599999999999998</v>
      </c>
      <c r="ID2720" s="65">
        <f>AVERAGE(20.12,39.9,30.38,12.16)</f>
        <v>25.639999999999997</v>
      </c>
      <c r="IE2720" s="65">
        <f>AVERAGE(1,9.3,7,1)</f>
        <v>4.5750000000000002</v>
      </c>
      <c r="IF2720" s="65">
        <f>AVERAGE(1,9.3,7,1)</f>
        <v>4.5750000000000002</v>
      </c>
      <c r="IG2720" s="65" t="s">
        <v>2772</v>
      </c>
    </row>
    <row r="2721" spans="1:198" x14ac:dyDescent="0.25">
      <c r="A2721" s="55">
        <v>2720</v>
      </c>
      <c r="B2721" s="12" t="s">
        <v>7067</v>
      </c>
      <c r="C2721" s="155">
        <v>128</v>
      </c>
      <c r="D2721" s="55" t="s">
        <v>4274</v>
      </c>
      <c r="E2721" s="90" t="s">
        <v>2775</v>
      </c>
      <c r="G2721" s="55" t="s">
        <v>2776</v>
      </c>
      <c r="H2721" s="55">
        <v>2005</v>
      </c>
      <c r="I2721" s="55">
        <v>2000</v>
      </c>
      <c r="J2721" s="55" t="s">
        <v>2688</v>
      </c>
      <c r="K2721" s="55" t="s">
        <v>2780</v>
      </c>
      <c r="L2721" s="55" t="s">
        <v>2777</v>
      </c>
      <c r="M2721" s="90">
        <v>-0.22</v>
      </c>
      <c r="N2721" s="90">
        <v>33.57</v>
      </c>
      <c r="O2721" s="90">
        <v>1134</v>
      </c>
      <c r="S2721" s="90">
        <v>1345</v>
      </c>
      <c r="U2721" s="55" t="s">
        <v>1935</v>
      </c>
      <c r="V2721" s="55" t="s">
        <v>1805</v>
      </c>
      <c r="Y2721" s="55" t="s">
        <v>2779</v>
      </c>
      <c r="Z2721" s="55" t="s">
        <v>1346</v>
      </c>
      <c r="AA2721" s="90" t="s">
        <v>1675</v>
      </c>
      <c r="AE2721" s="90">
        <v>62</v>
      </c>
      <c r="AF2721" s="90">
        <v>29</v>
      </c>
      <c r="AH2721" s="55" t="s">
        <v>238</v>
      </c>
      <c r="AI2721" s="168">
        <v>5.2</v>
      </c>
      <c r="AJ2721" s="90">
        <v>2.9</v>
      </c>
      <c r="AM2721" s="55" t="s">
        <v>2778</v>
      </c>
      <c r="AN2721" s="185" t="s">
        <v>2664</v>
      </c>
      <c r="AO2721" s="185" t="s">
        <v>5150</v>
      </c>
      <c r="AQ2721" s="55" t="s">
        <v>553</v>
      </c>
      <c r="AR2721" s="55" t="s">
        <v>1607</v>
      </c>
      <c r="AS2721" s="55" t="s">
        <v>132</v>
      </c>
      <c r="AU2721" s="181" t="s">
        <v>7494</v>
      </c>
      <c r="AV2721" s="185" t="s">
        <v>176</v>
      </c>
      <c r="AX2721" s="185" t="s">
        <v>176</v>
      </c>
      <c r="BK2721" s="55" t="s">
        <v>5976</v>
      </c>
      <c r="BM2721" s="192" t="s">
        <v>160</v>
      </c>
      <c r="BN2721" s="55">
        <v>2</v>
      </c>
      <c r="BO2721" s="55">
        <v>2</v>
      </c>
      <c r="BQ2721" s="55" t="s">
        <v>141</v>
      </c>
      <c r="BS2721" s="55">
        <v>898</v>
      </c>
      <c r="BV2721" s="55" t="s">
        <v>2783</v>
      </c>
      <c r="CB2721" s="66">
        <v>3325</v>
      </c>
      <c r="CC2721" s="66">
        <v>3217</v>
      </c>
      <c r="GP2721" s="292" t="s">
        <v>7494</v>
      </c>
    </row>
    <row r="2722" spans="1:198" x14ac:dyDescent="0.25">
      <c r="A2722" s="55">
        <v>2721</v>
      </c>
      <c r="B2722" s="12" t="s">
        <v>7067</v>
      </c>
      <c r="C2722" s="155">
        <v>128</v>
      </c>
      <c r="D2722" s="55" t="s">
        <v>4274</v>
      </c>
      <c r="E2722" s="90" t="s">
        <v>2775</v>
      </c>
      <c r="G2722" s="55" t="s">
        <v>2776</v>
      </c>
      <c r="H2722" s="55">
        <v>2005</v>
      </c>
      <c r="I2722" s="55">
        <v>2000</v>
      </c>
      <c r="J2722" s="55" t="s">
        <v>2688</v>
      </c>
      <c r="K2722" s="55" t="s">
        <v>2780</v>
      </c>
      <c r="L2722" s="55" t="s">
        <v>2777</v>
      </c>
      <c r="M2722" s="90">
        <v>-0.22</v>
      </c>
      <c r="N2722" s="90">
        <v>33.57</v>
      </c>
      <c r="O2722" s="90">
        <v>1134</v>
      </c>
      <c r="S2722" s="90">
        <v>1345</v>
      </c>
      <c r="U2722" s="55" t="s">
        <v>1935</v>
      </c>
      <c r="V2722" s="55" t="s">
        <v>1805</v>
      </c>
      <c r="Y2722" s="55" t="s">
        <v>2779</v>
      </c>
      <c r="Z2722" s="55" t="s">
        <v>1346</v>
      </c>
      <c r="AA2722" s="90" t="s">
        <v>1675</v>
      </c>
      <c r="AE2722" s="90">
        <v>62</v>
      </c>
      <c r="AF2722" s="90">
        <v>29</v>
      </c>
      <c r="AH2722" s="55" t="s">
        <v>238</v>
      </c>
      <c r="AI2722" s="168">
        <v>5.2</v>
      </c>
      <c r="AJ2722" s="90">
        <v>2.9</v>
      </c>
      <c r="AM2722" s="55" t="s">
        <v>2778</v>
      </c>
      <c r="AN2722" s="185" t="s">
        <v>2664</v>
      </c>
      <c r="AO2722" s="185" t="s">
        <v>5150</v>
      </c>
      <c r="AQ2722" s="55" t="s">
        <v>553</v>
      </c>
      <c r="AR2722" s="55" t="s">
        <v>1607</v>
      </c>
      <c r="AS2722" s="55" t="s">
        <v>132</v>
      </c>
      <c r="AU2722" s="181" t="s">
        <v>7494</v>
      </c>
      <c r="AV2722" s="185" t="s">
        <v>176</v>
      </c>
      <c r="AX2722" s="185" t="s">
        <v>176</v>
      </c>
      <c r="BK2722" s="55" t="s">
        <v>5976</v>
      </c>
      <c r="BM2722" s="192" t="s">
        <v>160</v>
      </c>
      <c r="BN2722" s="55">
        <v>2</v>
      </c>
      <c r="BO2722" s="55">
        <v>2</v>
      </c>
      <c r="BQ2722" s="55" t="s">
        <v>141</v>
      </c>
      <c r="BS2722" s="55">
        <v>4274</v>
      </c>
      <c r="BV2722" s="55" t="s">
        <v>2784</v>
      </c>
      <c r="CB2722" s="66">
        <v>5023</v>
      </c>
      <c r="CC2722" s="66">
        <v>5730</v>
      </c>
      <c r="GP2722" s="292" t="s">
        <v>7494</v>
      </c>
    </row>
    <row r="2723" spans="1:198" x14ac:dyDescent="0.25">
      <c r="A2723" s="55">
        <v>2722</v>
      </c>
      <c r="B2723" s="12" t="s">
        <v>7067</v>
      </c>
      <c r="C2723" s="155">
        <v>128</v>
      </c>
      <c r="D2723" s="55" t="s">
        <v>4274</v>
      </c>
      <c r="E2723" s="90" t="s">
        <v>2775</v>
      </c>
      <c r="G2723" s="55" t="s">
        <v>2776</v>
      </c>
      <c r="H2723" s="55">
        <v>2005</v>
      </c>
      <c r="I2723" s="55">
        <v>2001</v>
      </c>
      <c r="J2723" s="55" t="s">
        <v>2688</v>
      </c>
      <c r="K2723" s="55" t="s">
        <v>2780</v>
      </c>
      <c r="L2723" s="55" t="s">
        <v>2777</v>
      </c>
      <c r="M2723" s="90">
        <v>-0.22</v>
      </c>
      <c r="N2723" s="90">
        <v>33.57</v>
      </c>
      <c r="O2723" s="90">
        <v>1134</v>
      </c>
      <c r="S2723" s="90">
        <v>1345</v>
      </c>
      <c r="U2723" s="55" t="s">
        <v>1805</v>
      </c>
      <c r="V2723" s="55" t="s">
        <v>1805</v>
      </c>
      <c r="Y2723" s="55" t="s">
        <v>2779</v>
      </c>
      <c r="Z2723" s="55" t="s">
        <v>1346</v>
      </c>
      <c r="AA2723" s="90" t="s">
        <v>1675</v>
      </c>
      <c r="AE2723" s="90">
        <v>62</v>
      </c>
      <c r="AF2723" s="90">
        <v>29</v>
      </c>
      <c r="AH2723" s="55" t="s">
        <v>238</v>
      </c>
      <c r="AI2723" s="168">
        <v>5.2</v>
      </c>
      <c r="AJ2723" s="90">
        <v>2.9</v>
      </c>
      <c r="AM2723" s="55" t="s">
        <v>2778</v>
      </c>
      <c r="AN2723" s="185" t="s">
        <v>2664</v>
      </c>
      <c r="AO2723" s="185" t="s">
        <v>5150</v>
      </c>
      <c r="AQ2723" s="55" t="s">
        <v>553</v>
      </c>
      <c r="AR2723" s="55" t="s">
        <v>1607</v>
      </c>
      <c r="AS2723" s="55" t="s">
        <v>132</v>
      </c>
      <c r="AU2723" s="181" t="s">
        <v>7494</v>
      </c>
      <c r="AV2723" s="185" t="s">
        <v>176</v>
      </c>
      <c r="AX2723" s="185" t="s">
        <v>176</v>
      </c>
      <c r="BK2723" s="55" t="s">
        <v>5976</v>
      </c>
      <c r="BM2723" s="192" t="s">
        <v>160</v>
      </c>
      <c r="BN2723" s="55">
        <v>2</v>
      </c>
      <c r="BO2723" s="55">
        <v>2</v>
      </c>
      <c r="BQ2723" s="55" t="s">
        <v>141</v>
      </c>
      <c r="BS2723" s="55">
        <v>1852</v>
      </c>
      <c r="BV2723" s="55" t="s">
        <v>2783</v>
      </c>
      <c r="CB2723" s="66">
        <v>4017</v>
      </c>
      <c r="CC2723" s="66">
        <v>3589</v>
      </c>
      <c r="GP2723" s="292" t="s">
        <v>7494</v>
      </c>
    </row>
    <row r="2724" spans="1:198" x14ac:dyDescent="0.25">
      <c r="A2724" s="55">
        <v>2723</v>
      </c>
      <c r="B2724" s="12" t="s">
        <v>7067</v>
      </c>
      <c r="C2724" s="155">
        <v>128</v>
      </c>
      <c r="D2724" s="55" t="s">
        <v>4274</v>
      </c>
      <c r="E2724" s="90" t="s">
        <v>2775</v>
      </c>
      <c r="G2724" s="55" t="s">
        <v>2776</v>
      </c>
      <c r="H2724" s="55">
        <v>2005</v>
      </c>
      <c r="I2724" s="55">
        <v>2001</v>
      </c>
      <c r="J2724" s="55" t="s">
        <v>2688</v>
      </c>
      <c r="K2724" s="55" t="s">
        <v>2780</v>
      </c>
      <c r="L2724" s="55" t="s">
        <v>2777</v>
      </c>
      <c r="M2724" s="90">
        <v>-0.22</v>
      </c>
      <c r="N2724" s="90">
        <v>33.57</v>
      </c>
      <c r="O2724" s="90">
        <v>1134</v>
      </c>
      <c r="S2724" s="90">
        <v>1345</v>
      </c>
      <c r="U2724" s="55" t="s">
        <v>1805</v>
      </c>
      <c r="V2724" s="55" t="s">
        <v>1805</v>
      </c>
      <c r="Y2724" s="55" t="s">
        <v>2779</v>
      </c>
      <c r="Z2724" s="55" t="s">
        <v>1346</v>
      </c>
      <c r="AA2724" s="90" t="s">
        <v>1675</v>
      </c>
      <c r="AE2724" s="90">
        <v>62</v>
      </c>
      <c r="AF2724" s="90">
        <v>29</v>
      </c>
      <c r="AH2724" s="55" t="s">
        <v>238</v>
      </c>
      <c r="AI2724" s="168">
        <v>5.2</v>
      </c>
      <c r="AJ2724" s="90">
        <v>2.9</v>
      </c>
      <c r="AM2724" s="55" t="s">
        <v>2778</v>
      </c>
      <c r="AN2724" s="185" t="s">
        <v>2664</v>
      </c>
      <c r="AO2724" s="185" t="s">
        <v>5150</v>
      </c>
      <c r="AQ2724" s="55" t="s">
        <v>553</v>
      </c>
      <c r="AR2724" s="55" t="s">
        <v>1607</v>
      </c>
      <c r="AS2724" s="55" t="s">
        <v>132</v>
      </c>
      <c r="AU2724" s="181" t="s">
        <v>7494</v>
      </c>
      <c r="AV2724" s="185" t="s">
        <v>176</v>
      </c>
      <c r="AX2724" s="185" t="s">
        <v>176</v>
      </c>
      <c r="BK2724" s="55" t="s">
        <v>5976</v>
      </c>
      <c r="BM2724" s="192" t="s">
        <v>160</v>
      </c>
      <c r="BN2724" s="55">
        <v>2</v>
      </c>
      <c r="BO2724" s="55">
        <v>2</v>
      </c>
      <c r="BQ2724" s="55" t="s">
        <v>141</v>
      </c>
      <c r="BV2724" s="55" t="s">
        <v>2784</v>
      </c>
      <c r="CB2724" s="66">
        <v>2838</v>
      </c>
      <c r="CC2724" s="66">
        <v>3022</v>
      </c>
      <c r="GP2724" s="292" t="s">
        <v>7494</v>
      </c>
    </row>
    <row r="2725" spans="1:198" x14ac:dyDescent="0.25">
      <c r="A2725" s="55">
        <v>2724</v>
      </c>
      <c r="B2725" s="12" t="s">
        <v>7067</v>
      </c>
      <c r="C2725" s="155">
        <v>128</v>
      </c>
      <c r="D2725" s="55" t="s">
        <v>4274</v>
      </c>
      <c r="E2725" s="90" t="s">
        <v>2775</v>
      </c>
      <c r="G2725" s="55" t="s">
        <v>2776</v>
      </c>
      <c r="H2725" s="55">
        <v>2005</v>
      </c>
      <c r="I2725" s="55">
        <v>2000</v>
      </c>
      <c r="J2725" s="55" t="s">
        <v>2688</v>
      </c>
      <c r="K2725" s="55" t="s">
        <v>2780</v>
      </c>
      <c r="L2725" s="55" t="s">
        <v>2777</v>
      </c>
      <c r="M2725" s="90">
        <v>-0.22</v>
      </c>
      <c r="N2725" s="90">
        <v>33.57</v>
      </c>
      <c r="O2725" s="90">
        <v>1134</v>
      </c>
      <c r="S2725" s="90">
        <v>1345</v>
      </c>
      <c r="U2725" s="55" t="s">
        <v>1935</v>
      </c>
      <c r="V2725" s="55" t="s">
        <v>1805</v>
      </c>
      <c r="Y2725" s="55" t="s">
        <v>2779</v>
      </c>
      <c r="Z2725" s="55" t="s">
        <v>1346</v>
      </c>
      <c r="AA2725" s="90" t="s">
        <v>1675</v>
      </c>
      <c r="AE2725" s="90">
        <v>62</v>
      </c>
      <c r="AF2725" s="90">
        <v>29</v>
      </c>
      <c r="AH2725" s="55" t="s">
        <v>238</v>
      </c>
      <c r="AI2725" s="168">
        <v>5.2</v>
      </c>
      <c r="AJ2725" s="90">
        <v>2.9</v>
      </c>
      <c r="AM2725" s="55" t="s">
        <v>2778</v>
      </c>
      <c r="AN2725" s="185" t="s">
        <v>2666</v>
      </c>
      <c r="AO2725" s="185" t="s">
        <v>5150</v>
      </c>
      <c r="AQ2725" s="55" t="s">
        <v>553</v>
      </c>
      <c r="AR2725" s="55" t="s">
        <v>1607</v>
      </c>
      <c r="AS2725" s="55" t="s">
        <v>132</v>
      </c>
      <c r="AU2725" s="181" t="s">
        <v>7494</v>
      </c>
      <c r="AV2725" s="185" t="s">
        <v>176</v>
      </c>
      <c r="AX2725" s="185" t="s">
        <v>176</v>
      </c>
      <c r="BK2725" s="55" t="s">
        <v>5976</v>
      </c>
      <c r="BM2725" s="192" t="s">
        <v>160</v>
      </c>
      <c r="BN2725" s="55">
        <v>2</v>
      </c>
      <c r="BO2725" s="55">
        <v>2</v>
      </c>
      <c r="BQ2725" s="55" t="s">
        <v>141</v>
      </c>
      <c r="BS2725" s="55">
        <v>383</v>
      </c>
      <c r="BV2725" s="55" t="s">
        <v>2783</v>
      </c>
      <c r="CB2725" s="66">
        <v>3325</v>
      </c>
      <c r="CC2725" s="66">
        <v>3326</v>
      </c>
      <c r="GP2725" s="292" t="s">
        <v>7494</v>
      </c>
    </row>
    <row r="2726" spans="1:198" x14ac:dyDescent="0.25">
      <c r="A2726" s="55">
        <v>2725</v>
      </c>
      <c r="B2726" s="12" t="s">
        <v>7067</v>
      </c>
      <c r="C2726" s="155">
        <v>128</v>
      </c>
      <c r="D2726" s="55" t="s">
        <v>4274</v>
      </c>
      <c r="E2726" s="90" t="s">
        <v>2775</v>
      </c>
      <c r="G2726" s="55" t="s">
        <v>2776</v>
      </c>
      <c r="H2726" s="55">
        <v>2005</v>
      </c>
      <c r="I2726" s="55">
        <v>2000</v>
      </c>
      <c r="J2726" s="55" t="s">
        <v>2688</v>
      </c>
      <c r="K2726" s="55" t="s">
        <v>2780</v>
      </c>
      <c r="L2726" s="55" t="s">
        <v>2777</v>
      </c>
      <c r="M2726" s="90">
        <v>-0.22</v>
      </c>
      <c r="N2726" s="90">
        <v>33.57</v>
      </c>
      <c r="O2726" s="90">
        <v>1134</v>
      </c>
      <c r="S2726" s="90">
        <v>1345</v>
      </c>
      <c r="U2726" s="55" t="s">
        <v>1935</v>
      </c>
      <c r="V2726" s="55" t="s">
        <v>1805</v>
      </c>
      <c r="Y2726" s="55" t="s">
        <v>2779</v>
      </c>
      <c r="Z2726" s="55" t="s">
        <v>1346</v>
      </c>
      <c r="AA2726" s="90" t="s">
        <v>1675</v>
      </c>
      <c r="AE2726" s="90">
        <v>62</v>
      </c>
      <c r="AF2726" s="90">
        <v>29</v>
      </c>
      <c r="AH2726" s="55" t="s">
        <v>238</v>
      </c>
      <c r="AI2726" s="168">
        <v>5.2</v>
      </c>
      <c r="AJ2726" s="90">
        <v>2.9</v>
      </c>
      <c r="AM2726" s="55" t="s">
        <v>2778</v>
      </c>
      <c r="AN2726" s="185" t="s">
        <v>2666</v>
      </c>
      <c r="AO2726" s="185" t="s">
        <v>5150</v>
      </c>
      <c r="AQ2726" s="55" t="s">
        <v>553</v>
      </c>
      <c r="AR2726" s="55" t="s">
        <v>1607</v>
      </c>
      <c r="AS2726" s="55" t="s">
        <v>132</v>
      </c>
      <c r="AU2726" s="181" t="s">
        <v>7494</v>
      </c>
      <c r="AV2726" s="185" t="s">
        <v>176</v>
      </c>
      <c r="AX2726" s="185" t="s">
        <v>176</v>
      </c>
      <c r="BK2726" s="55" t="s">
        <v>5976</v>
      </c>
      <c r="BM2726" s="192" t="s">
        <v>160</v>
      </c>
      <c r="BN2726" s="55">
        <v>2</v>
      </c>
      <c r="BO2726" s="55">
        <v>2</v>
      </c>
      <c r="BQ2726" s="55" t="s">
        <v>141</v>
      </c>
      <c r="BS2726" s="55">
        <v>1373</v>
      </c>
      <c r="BV2726" s="55" t="s">
        <v>2784</v>
      </c>
      <c r="CB2726" s="66">
        <v>5023</v>
      </c>
      <c r="CC2726" s="66">
        <v>5036</v>
      </c>
      <c r="GP2726" s="292" t="s">
        <v>7494</v>
      </c>
    </row>
    <row r="2727" spans="1:198" x14ac:dyDescent="0.25">
      <c r="A2727" s="55">
        <v>2726</v>
      </c>
      <c r="B2727" s="12" t="s">
        <v>7067</v>
      </c>
      <c r="C2727" s="155">
        <v>128</v>
      </c>
      <c r="D2727" s="55" t="s">
        <v>4274</v>
      </c>
      <c r="E2727" s="90" t="s">
        <v>2775</v>
      </c>
      <c r="G2727" s="55" t="s">
        <v>2776</v>
      </c>
      <c r="H2727" s="55">
        <v>2005</v>
      </c>
      <c r="I2727" s="55">
        <v>2001</v>
      </c>
      <c r="J2727" s="55" t="s">
        <v>2688</v>
      </c>
      <c r="K2727" s="55" t="s">
        <v>2780</v>
      </c>
      <c r="L2727" s="55" t="s">
        <v>2777</v>
      </c>
      <c r="M2727" s="90">
        <v>-0.22</v>
      </c>
      <c r="N2727" s="90">
        <v>33.57</v>
      </c>
      <c r="O2727" s="90">
        <v>1134</v>
      </c>
      <c r="S2727" s="90">
        <v>1345</v>
      </c>
      <c r="U2727" s="55" t="s">
        <v>1805</v>
      </c>
      <c r="V2727" s="55" t="s">
        <v>1805</v>
      </c>
      <c r="Y2727" s="55" t="s">
        <v>2779</v>
      </c>
      <c r="Z2727" s="55" t="s">
        <v>1346</v>
      </c>
      <c r="AA2727" s="90" t="s">
        <v>1675</v>
      </c>
      <c r="AE2727" s="90">
        <v>62</v>
      </c>
      <c r="AF2727" s="90">
        <v>29</v>
      </c>
      <c r="AH2727" s="55" t="s">
        <v>238</v>
      </c>
      <c r="AI2727" s="168">
        <v>5.2</v>
      </c>
      <c r="AJ2727" s="90">
        <v>2.9</v>
      </c>
      <c r="AM2727" s="55" t="s">
        <v>2778</v>
      </c>
      <c r="AN2727" s="185" t="s">
        <v>2666</v>
      </c>
      <c r="AO2727" s="185" t="s">
        <v>5150</v>
      </c>
      <c r="AQ2727" s="55" t="s">
        <v>553</v>
      </c>
      <c r="AR2727" s="55" t="s">
        <v>1607</v>
      </c>
      <c r="AS2727" s="55" t="s">
        <v>132</v>
      </c>
      <c r="AU2727" s="181" t="s">
        <v>7494</v>
      </c>
      <c r="AV2727" s="185" t="s">
        <v>176</v>
      </c>
      <c r="AX2727" s="185" t="s">
        <v>176</v>
      </c>
      <c r="BK2727" s="55" t="s">
        <v>5976</v>
      </c>
      <c r="BM2727" s="192" t="s">
        <v>160</v>
      </c>
      <c r="BN2727" s="55">
        <v>2</v>
      </c>
      <c r="BO2727" s="55">
        <v>2</v>
      </c>
      <c r="BQ2727" s="55" t="s">
        <v>141</v>
      </c>
      <c r="BS2727" s="55">
        <v>1115</v>
      </c>
      <c r="BV2727" s="55" t="s">
        <v>2783</v>
      </c>
      <c r="CB2727" s="66">
        <v>4017</v>
      </c>
      <c r="CC2727" s="66">
        <v>3920</v>
      </c>
      <c r="GP2727" s="292" t="s">
        <v>7494</v>
      </c>
    </row>
    <row r="2728" spans="1:198" x14ac:dyDescent="0.25">
      <c r="A2728" s="55">
        <v>2727</v>
      </c>
      <c r="B2728" s="12" t="s">
        <v>7067</v>
      </c>
      <c r="C2728" s="155">
        <v>128</v>
      </c>
      <c r="D2728" s="55" t="s">
        <v>4274</v>
      </c>
      <c r="E2728" s="90" t="s">
        <v>2775</v>
      </c>
      <c r="G2728" s="55" t="s">
        <v>2776</v>
      </c>
      <c r="H2728" s="55">
        <v>2005</v>
      </c>
      <c r="I2728" s="55">
        <v>2001</v>
      </c>
      <c r="J2728" s="55" t="s">
        <v>2688</v>
      </c>
      <c r="K2728" s="55" t="s">
        <v>2780</v>
      </c>
      <c r="L2728" s="55" t="s">
        <v>2777</v>
      </c>
      <c r="M2728" s="90">
        <v>-0.22</v>
      </c>
      <c r="N2728" s="90">
        <v>33.57</v>
      </c>
      <c r="O2728" s="90">
        <v>1134</v>
      </c>
      <c r="S2728" s="90">
        <v>1345</v>
      </c>
      <c r="U2728" s="55" t="s">
        <v>1805</v>
      </c>
      <c r="V2728" s="55" t="s">
        <v>1805</v>
      </c>
      <c r="Y2728" s="55" t="s">
        <v>2779</v>
      </c>
      <c r="Z2728" s="55" t="s">
        <v>1346</v>
      </c>
      <c r="AA2728" s="90" t="s">
        <v>1675</v>
      </c>
      <c r="AE2728" s="90">
        <v>62</v>
      </c>
      <c r="AF2728" s="90">
        <v>29</v>
      </c>
      <c r="AH2728" s="55" t="s">
        <v>238</v>
      </c>
      <c r="AI2728" s="168">
        <v>5.2</v>
      </c>
      <c r="AJ2728" s="90">
        <v>2.9</v>
      </c>
      <c r="AM2728" s="55" t="s">
        <v>2778</v>
      </c>
      <c r="AN2728" s="185" t="s">
        <v>2666</v>
      </c>
      <c r="AO2728" s="185" t="s">
        <v>5150</v>
      </c>
      <c r="AQ2728" s="55" t="s">
        <v>553</v>
      </c>
      <c r="AR2728" s="55" t="s">
        <v>1607</v>
      </c>
      <c r="AS2728" s="55" t="s">
        <v>132</v>
      </c>
      <c r="AU2728" s="181" t="s">
        <v>7494</v>
      </c>
      <c r="AV2728" s="185" t="s">
        <v>176</v>
      </c>
      <c r="AX2728" s="185" t="s">
        <v>176</v>
      </c>
      <c r="BK2728" s="55" t="s">
        <v>5976</v>
      </c>
      <c r="BM2728" s="192" t="s">
        <v>160</v>
      </c>
      <c r="BN2728" s="55">
        <v>2</v>
      </c>
      <c r="BO2728" s="55">
        <v>2</v>
      </c>
      <c r="BQ2728" s="55" t="s">
        <v>141</v>
      </c>
      <c r="BV2728" s="55" t="s">
        <v>2784</v>
      </c>
      <c r="CB2728" s="66">
        <v>2838</v>
      </c>
      <c r="CC2728" s="66">
        <v>2228</v>
      </c>
      <c r="GP2728" s="292" t="s">
        <v>7494</v>
      </c>
    </row>
    <row r="2729" spans="1:198" x14ac:dyDescent="0.25">
      <c r="A2729" s="55">
        <v>2728</v>
      </c>
      <c r="B2729" s="12" t="s">
        <v>7067</v>
      </c>
      <c r="C2729" s="155">
        <v>128</v>
      </c>
      <c r="D2729" s="55" t="s">
        <v>4274</v>
      </c>
      <c r="E2729" s="90" t="s">
        <v>2775</v>
      </c>
      <c r="G2729" s="55" t="s">
        <v>2776</v>
      </c>
      <c r="H2729" s="55">
        <v>2005</v>
      </c>
      <c r="I2729" s="55">
        <v>2000</v>
      </c>
      <c r="J2729" s="55" t="s">
        <v>2688</v>
      </c>
      <c r="K2729" s="55" t="s">
        <v>2780</v>
      </c>
      <c r="L2729" s="55" t="s">
        <v>2777</v>
      </c>
      <c r="M2729" s="90">
        <v>-0.22</v>
      </c>
      <c r="N2729" s="90">
        <v>33.57</v>
      </c>
      <c r="O2729" s="90">
        <v>1134</v>
      </c>
      <c r="S2729" s="90">
        <v>1345</v>
      </c>
      <c r="U2729" s="55" t="s">
        <v>1935</v>
      </c>
      <c r="V2729" s="55" t="s">
        <v>1805</v>
      </c>
      <c r="Y2729" s="55" t="s">
        <v>2779</v>
      </c>
      <c r="Z2729" s="55" t="s">
        <v>1346</v>
      </c>
      <c r="AA2729" s="90" t="s">
        <v>1675</v>
      </c>
      <c r="AE2729" s="90">
        <v>62</v>
      </c>
      <c r="AF2729" s="90">
        <v>29</v>
      </c>
      <c r="AH2729" s="55" t="s">
        <v>238</v>
      </c>
      <c r="AI2729" s="168">
        <v>5.2</v>
      </c>
      <c r="AJ2729" s="90">
        <v>2.9</v>
      </c>
      <c r="AM2729" s="55" t="s">
        <v>2778</v>
      </c>
      <c r="AN2729" s="185" t="s">
        <v>2785</v>
      </c>
      <c r="AO2729" s="185" t="s">
        <v>5150</v>
      </c>
      <c r="AQ2729" s="55" t="s">
        <v>553</v>
      </c>
      <c r="AR2729" s="55" t="s">
        <v>1607</v>
      </c>
      <c r="AS2729" s="55" t="s">
        <v>132</v>
      </c>
      <c r="AU2729" s="181" t="s">
        <v>7494</v>
      </c>
      <c r="AV2729" s="185" t="s">
        <v>176</v>
      </c>
      <c r="AX2729" s="185" t="s">
        <v>176</v>
      </c>
      <c r="BK2729" s="55" t="s">
        <v>5976</v>
      </c>
      <c r="BM2729" s="192" t="s">
        <v>160</v>
      </c>
      <c r="BN2729" s="55">
        <v>2</v>
      </c>
      <c r="BO2729" s="55">
        <v>2</v>
      </c>
      <c r="BQ2729" s="55" t="s">
        <v>141</v>
      </c>
      <c r="BS2729" s="55">
        <v>1031</v>
      </c>
      <c r="BV2729" s="55" t="s">
        <v>2783</v>
      </c>
      <c r="CB2729" s="66">
        <v>3325</v>
      </c>
      <c r="CC2729" s="66">
        <v>3342</v>
      </c>
      <c r="GP2729" s="292" t="s">
        <v>7494</v>
      </c>
    </row>
    <row r="2730" spans="1:198" x14ac:dyDescent="0.25">
      <c r="A2730" s="55">
        <v>2729</v>
      </c>
      <c r="B2730" s="12" t="s">
        <v>7067</v>
      </c>
      <c r="C2730" s="155">
        <v>128</v>
      </c>
      <c r="D2730" s="55" t="s">
        <v>4274</v>
      </c>
      <c r="E2730" s="90" t="s">
        <v>2775</v>
      </c>
      <c r="G2730" s="55" t="s">
        <v>2776</v>
      </c>
      <c r="H2730" s="55">
        <v>2005</v>
      </c>
      <c r="I2730" s="55">
        <v>2000</v>
      </c>
      <c r="J2730" s="55" t="s">
        <v>2688</v>
      </c>
      <c r="K2730" s="55" t="s">
        <v>2780</v>
      </c>
      <c r="L2730" s="55" t="s">
        <v>2777</v>
      </c>
      <c r="M2730" s="90">
        <v>-0.22</v>
      </c>
      <c r="N2730" s="90">
        <v>33.57</v>
      </c>
      <c r="O2730" s="90">
        <v>1134</v>
      </c>
      <c r="S2730" s="90">
        <v>1345</v>
      </c>
      <c r="U2730" s="55" t="s">
        <v>1935</v>
      </c>
      <c r="V2730" s="55" t="s">
        <v>1805</v>
      </c>
      <c r="Y2730" s="55" t="s">
        <v>2779</v>
      </c>
      <c r="Z2730" s="55" t="s">
        <v>1346</v>
      </c>
      <c r="AA2730" s="90" t="s">
        <v>1675</v>
      </c>
      <c r="AE2730" s="90">
        <v>62</v>
      </c>
      <c r="AF2730" s="90">
        <v>29</v>
      </c>
      <c r="AH2730" s="55" t="s">
        <v>238</v>
      </c>
      <c r="AI2730" s="168">
        <v>5.2</v>
      </c>
      <c r="AJ2730" s="90">
        <v>2.9</v>
      </c>
      <c r="AM2730" s="55" t="s">
        <v>2778</v>
      </c>
      <c r="AN2730" s="185" t="s">
        <v>2785</v>
      </c>
      <c r="AO2730" s="185" t="s">
        <v>5150</v>
      </c>
      <c r="AQ2730" s="55" t="s">
        <v>553</v>
      </c>
      <c r="AR2730" s="55" t="s">
        <v>1607</v>
      </c>
      <c r="AS2730" s="55" t="s">
        <v>132</v>
      </c>
      <c r="AU2730" s="181" t="s">
        <v>7494</v>
      </c>
      <c r="AV2730" s="185" t="s">
        <v>176</v>
      </c>
      <c r="AX2730" s="185" t="s">
        <v>176</v>
      </c>
      <c r="BK2730" s="55" t="s">
        <v>5976</v>
      </c>
      <c r="BM2730" s="192" t="s">
        <v>160</v>
      </c>
      <c r="BN2730" s="55">
        <v>2</v>
      </c>
      <c r="BO2730" s="55">
        <v>2</v>
      </c>
      <c r="BQ2730" s="55" t="s">
        <v>141</v>
      </c>
      <c r="BS2730" s="55">
        <v>4858</v>
      </c>
      <c r="BV2730" s="55" t="s">
        <v>2784</v>
      </c>
      <c r="CB2730" s="66">
        <v>5023</v>
      </c>
      <c r="CC2730" s="66">
        <v>5233</v>
      </c>
      <c r="GP2730" s="292" t="s">
        <v>7494</v>
      </c>
    </row>
    <row r="2731" spans="1:198" x14ac:dyDescent="0.25">
      <c r="A2731" s="55">
        <v>2730</v>
      </c>
      <c r="B2731" s="12" t="s">
        <v>7067</v>
      </c>
      <c r="C2731" s="155">
        <v>128</v>
      </c>
      <c r="D2731" s="55" t="s">
        <v>4274</v>
      </c>
      <c r="E2731" s="90" t="s">
        <v>2775</v>
      </c>
      <c r="G2731" s="55" t="s">
        <v>2776</v>
      </c>
      <c r="H2731" s="55">
        <v>2005</v>
      </c>
      <c r="I2731" s="55">
        <v>2001</v>
      </c>
      <c r="J2731" s="55" t="s">
        <v>2688</v>
      </c>
      <c r="K2731" s="55" t="s">
        <v>2780</v>
      </c>
      <c r="L2731" s="55" t="s">
        <v>2777</v>
      </c>
      <c r="M2731" s="90">
        <v>-0.22</v>
      </c>
      <c r="N2731" s="90">
        <v>33.57</v>
      </c>
      <c r="O2731" s="90">
        <v>1134</v>
      </c>
      <c r="S2731" s="90">
        <v>1345</v>
      </c>
      <c r="U2731" s="55" t="s">
        <v>1805</v>
      </c>
      <c r="V2731" s="55" t="s">
        <v>1805</v>
      </c>
      <c r="Y2731" s="55" t="s">
        <v>2779</v>
      </c>
      <c r="Z2731" s="55" t="s">
        <v>1346</v>
      </c>
      <c r="AA2731" s="90" t="s">
        <v>1675</v>
      </c>
      <c r="AE2731" s="90">
        <v>62</v>
      </c>
      <c r="AF2731" s="90">
        <v>29</v>
      </c>
      <c r="AH2731" s="55" t="s">
        <v>238</v>
      </c>
      <c r="AI2731" s="168">
        <v>5.2</v>
      </c>
      <c r="AJ2731" s="90">
        <v>2.9</v>
      </c>
      <c r="AM2731" s="55" t="s">
        <v>2778</v>
      </c>
      <c r="AN2731" s="185" t="s">
        <v>2785</v>
      </c>
      <c r="AO2731" s="185" t="s">
        <v>5150</v>
      </c>
      <c r="AQ2731" s="55" t="s">
        <v>553</v>
      </c>
      <c r="AR2731" s="55" t="s">
        <v>1607</v>
      </c>
      <c r="AS2731" s="55" t="s">
        <v>132</v>
      </c>
      <c r="AU2731" s="181" t="s">
        <v>7494</v>
      </c>
      <c r="AV2731" s="185" t="s">
        <v>176</v>
      </c>
      <c r="AX2731" s="185" t="s">
        <v>176</v>
      </c>
      <c r="BK2731" s="55" t="s">
        <v>5976</v>
      </c>
      <c r="BM2731" s="192" t="s">
        <v>160</v>
      </c>
      <c r="BN2731" s="55">
        <v>2</v>
      </c>
      <c r="BO2731" s="55">
        <v>2</v>
      </c>
      <c r="BQ2731" s="55" t="s">
        <v>141</v>
      </c>
      <c r="BS2731" s="55">
        <v>1376</v>
      </c>
      <c r="BV2731" s="55" t="s">
        <v>2783</v>
      </c>
      <c r="CB2731" s="66">
        <v>4017</v>
      </c>
      <c r="CC2731" s="66">
        <v>4244</v>
      </c>
      <c r="GP2731" s="292" t="s">
        <v>7494</v>
      </c>
    </row>
    <row r="2732" spans="1:198" x14ac:dyDescent="0.25">
      <c r="A2732" s="55">
        <v>2731</v>
      </c>
      <c r="B2732" s="12" t="s">
        <v>7067</v>
      </c>
      <c r="C2732" s="155">
        <v>128</v>
      </c>
      <c r="D2732" s="55" t="s">
        <v>4274</v>
      </c>
      <c r="E2732" s="90" t="s">
        <v>2775</v>
      </c>
      <c r="G2732" s="55" t="s">
        <v>2776</v>
      </c>
      <c r="H2732" s="55">
        <v>2005</v>
      </c>
      <c r="I2732" s="55">
        <v>2001</v>
      </c>
      <c r="J2732" s="55" t="s">
        <v>2688</v>
      </c>
      <c r="K2732" s="55" t="s">
        <v>2780</v>
      </c>
      <c r="L2732" s="55" t="s">
        <v>2777</v>
      </c>
      <c r="M2732" s="90">
        <v>-0.22</v>
      </c>
      <c r="N2732" s="90">
        <v>33.57</v>
      </c>
      <c r="O2732" s="90">
        <v>1134</v>
      </c>
      <c r="S2732" s="90">
        <v>1345</v>
      </c>
      <c r="U2732" s="55" t="s">
        <v>1805</v>
      </c>
      <c r="V2732" s="55" t="s">
        <v>1805</v>
      </c>
      <c r="Y2732" s="55" t="s">
        <v>2779</v>
      </c>
      <c r="Z2732" s="55" t="s">
        <v>1346</v>
      </c>
      <c r="AA2732" s="90" t="s">
        <v>1675</v>
      </c>
      <c r="AE2732" s="90">
        <v>62</v>
      </c>
      <c r="AF2732" s="90">
        <v>29</v>
      </c>
      <c r="AH2732" s="55" t="s">
        <v>238</v>
      </c>
      <c r="AI2732" s="168">
        <v>5.2</v>
      </c>
      <c r="AJ2732" s="90">
        <v>2.9</v>
      </c>
      <c r="AM2732" s="55" t="s">
        <v>2778</v>
      </c>
      <c r="AN2732" s="185" t="s">
        <v>2785</v>
      </c>
      <c r="AO2732" s="185" t="s">
        <v>5150</v>
      </c>
      <c r="AQ2732" s="55" t="s">
        <v>553</v>
      </c>
      <c r="AR2732" s="55" t="s">
        <v>1607</v>
      </c>
      <c r="AS2732" s="55" t="s">
        <v>132</v>
      </c>
      <c r="AU2732" s="181" t="s">
        <v>7494</v>
      </c>
      <c r="AV2732" s="185" t="s">
        <v>176</v>
      </c>
      <c r="AX2732" s="185" t="s">
        <v>176</v>
      </c>
      <c r="BK2732" s="55" t="s">
        <v>5976</v>
      </c>
      <c r="BM2732" s="192" t="s">
        <v>160</v>
      </c>
      <c r="BN2732" s="55">
        <v>2</v>
      </c>
      <c r="BO2732" s="55">
        <v>2</v>
      </c>
      <c r="BQ2732" s="55" t="s">
        <v>141</v>
      </c>
      <c r="BV2732" s="55" t="s">
        <v>2784</v>
      </c>
      <c r="CB2732" s="66">
        <v>2838</v>
      </c>
      <c r="CC2732" s="66">
        <v>2905</v>
      </c>
      <c r="GP2732" s="292" t="s">
        <v>7494</v>
      </c>
    </row>
    <row r="2733" spans="1:198" x14ac:dyDescent="0.25">
      <c r="A2733" s="55">
        <v>2732</v>
      </c>
      <c r="B2733" s="12" t="s">
        <v>7067</v>
      </c>
      <c r="C2733" s="155">
        <v>128</v>
      </c>
      <c r="D2733" s="55" t="s">
        <v>4274</v>
      </c>
      <c r="E2733" s="90" t="s">
        <v>2775</v>
      </c>
      <c r="G2733" s="55" t="s">
        <v>2776</v>
      </c>
      <c r="H2733" s="55">
        <v>2005</v>
      </c>
      <c r="I2733" s="55">
        <v>2000</v>
      </c>
      <c r="J2733" s="55" t="s">
        <v>2688</v>
      </c>
      <c r="K2733" s="55" t="s">
        <v>2780</v>
      </c>
      <c r="L2733" s="55" t="s">
        <v>2777</v>
      </c>
      <c r="M2733" s="90">
        <v>-0.22</v>
      </c>
      <c r="N2733" s="90">
        <v>33.57</v>
      </c>
      <c r="O2733" s="90">
        <v>1134</v>
      </c>
      <c r="S2733" s="90">
        <v>1345</v>
      </c>
      <c r="U2733" s="55" t="s">
        <v>1935</v>
      </c>
      <c r="V2733" s="55" t="s">
        <v>1805</v>
      </c>
      <c r="Y2733" s="55" t="s">
        <v>2779</v>
      </c>
      <c r="Z2733" s="55" t="s">
        <v>1346</v>
      </c>
      <c r="AA2733" s="90" t="s">
        <v>1675</v>
      </c>
      <c r="AE2733" s="90">
        <v>62</v>
      </c>
      <c r="AF2733" s="90">
        <v>29</v>
      </c>
      <c r="AH2733" s="55" t="s">
        <v>238</v>
      </c>
      <c r="AI2733" s="168">
        <v>5.2</v>
      </c>
      <c r="AJ2733" s="90">
        <v>2.9</v>
      </c>
      <c r="AM2733" s="55" t="s">
        <v>2778</v>
      </c>
      <c r="AN2733" s="185" t="s">
        <v>2665</v>
      </c>
      <c r="AO2733" s="185" t="s">
        <v>5150</v>
      </c>
      <c r="AQ2733" s="55" t="s">
        <v>553</v>
      </c>
      <c r="AR2733" s="55" t="s">
        <v>1607</v>
      </c>
      <c r="AS2733" s="55" t="s">
        <v>132</v>
      </c>
      <c r="AU2733" s="181" t="s">
        <v>7494</v>
      </c>
      <c r="AV2733" s="185" t="s">
        <v>176</v>
      </c>
      <c r="AX2733" s="185" t="s">
        <v>176</v>
      </c>
      <c r="BK2733" s="55" t="s">
        <v>5976</v>
      </c>
      <c r="BM2733" s="192" t="s">
        <v>160</v>
      </c>
      <c r="BN2733" s="55">
        <v>2</v>
      </c>
      <c r="BO2733" s="55">
        <v>2</v>
      </c>
      <c r="BQ2733" s="55" t="s">
        <v>141</v>
      </c>
      <c r="BS2733" s="55">
        <v>1092</v>
      </c>
      <c r="BV2733" s="55" t="s">
        <v>2783</v>
      </c>
      <c r="CB2733" s="66">
        <v>3325</v>
      </c>
      <c r="CC2733" s="66">
        <v>3755</v>
      </c>
      <c r="GP2733" s="292" t="s">
        <v>7494</v>
      </c>
    </row>
    <row r="2734" spans="1:198" x14ac:dyDescent="0.25">
      <c r="A2734" s="55">
        <v>2733</v>
      </c>
      <c r="B2734" s="12" t="s">
        <v>7067</v>
      </c>
      <c r="C2734" s="155">
        <v>128</v>
      </c>
      <c r="D2734" s="55" t="s">
        <v>4274</v>
      </c>
      <c r="E2734" s="90" t="s">
        <v>2775</v>
      </c>
      <c r="G2734" s="55" t="s">
        <v>2776</v>
      </c>
      <c r="H2734" s="55">
        <v>2005</v>
      </c>
      <c r="I2734" s="55">
        <v>2000</v>
      </c>
      <c r="J2734" s="55" t="s">
        <v>2688</v>
      </c>
      <c r="K2734" s="55" t="s">
        <v>2780</v>
      </c>
      <c r="L2734" s="55" t="s">
        <v>2777</v>
      </c>
      <c r="M2734" s="90">
        <v>-0.22</v>
      </c>
      <c r="N2734" s="90">
        <v>33.57</v>
      </c>
      <c r="O2734" s="90">
        <v>1134</v>
      </c>
      <c r="S2734" s="90">
        <v>1345</v>
      </c>
      <c r="U2734" s="55" t="s">
        <v>1935</v>
      </c>
      <c r="V2734" s="55" t="s">
        <v>1805</v>
      </c>
      <c r="Y2734" s="55" t="s">
        <v>2779</v>
      </c>
      <c r="Z2734" s="55" t="s">
        <v>1346</v>
      </c>
      <c r="AA2734" s="90" t="s">
        <v>1675</v>
      </c>
      <c r="AE2734" s="90">
        <v>62</v>
      </c>
      <c r="AF2734" s="90">
        <v>29</v>
      </c>
      <c r="AH2734" s="55" t="s">
        <v>238</v>
      </c>
      <c r="AI2734" s="168">
        <v>5.2</v>
      </c>
      <c r="AJ2734" s="90">
        <v>2.9</v>
      </c>
      <c r="AM2734" s="55" t="s">
        <v>2778</v>
      </c>
      <c r="AN2734" s="185" t="s">
        <v>2665</v>
      </c>
      <c r="AO2734" s="185" t="s">
        <v>5150</v>
      </c>
      <c r="AQ2734" s="55" t="s">
        <v>553</v>
      </c>
      <c r="AR2734" s="55" t="s">
        <v>1607</v>
      </c>
      <c r="AS2734" s="55" t="s">
        <v>132</v>
      </c>
      <c r="AU2734" s="181" t="s">
        <v>7494</v>
      </c>
      <c r="AV2734" s="185" t="s">
        <v>176</v>
      </c>
      <c r="AX2734" s="185" t="s">
        <v>176</v>
      </c>
      <c r="BK2734" s="55" t="s">
        <v>5976</v>
      </c>
      <c r="BM2734" s="192" t="s">
        <v>160</v>
      </c>
      <c r="BN2734" s="55">
        <v>2</v>
      </c>
      <c r="BO2734" s="55">
        <v>2</v>
      </c>
      <c r="BQ2734" s="55" t="s">
        <v>141</v>
      </c>
      <c r="BS2734" s="55">
        <v>464</v>
      </c>
      <c r="BV2734" s="55" t="s">
        <v>2784</v>
      </c>
      <c r="CB2734" s="66">
        <v>5023</v>
      </c>
      <c r="CC2734" s="66">
        <v>5465</v>
      </c>
      <c r="GP2734" s="292" t="s">
        <v>7494</v>
      </c>
    </row>
    <row r="2735" spans="1:198" x14ac:dyDescent="0.25">
      <c r="A2735" s="55">
        <v>2734</v>
      </c>
      <c r="B2735" s="12" t="s">
        <v>7067</v>
      </c>
      <c r="C2735" s="155">
        <v>128</v>
      </c>
      <c r="D2735" s="55" t="s">
        <v>4274</v>
      </c>
      <c r="E2735" s="90" t="s">
        <v>2775</v>
      </c>
      <c r="G2735" s="55" t="s">
        <v>2776</v>
      </c>
      <c r="H2735" s="55">
        <v>2005</v>
      </c>
      <c r="I2735" s="55">
        <v>2001</v>
      </c>
      <c r="J2735" s="55" t="s">
        <v>2688</v>
      </c>
      <c r="K2735" s="55" t="s">
        <v>2780</v>
      </c>
      <c r="L2735" s="55" t="s">
        <v>2777</v>
      </c>
      <c r="M2735" s="90">
        <v>-0.22</v>
      </c>
      <c r="N2735" s="90">
        <v>33.57</v>
      </c>
      <c r="O2735" s="90">
        <v>1134</v>
      </c>
      <c r="S2735" s="90">
        <v>1345</v>
      </c>
      <c r="U2735" s="55" t="s">
        <v>1805</v>
      </c>
      <c r="V2735" s="55" t="s">
        <v>1805</v>
      </c>
      <c r="Y2735" s="55" t="s">
        <v>2779</v>
      </c>
      <c r="Z2735" s="55" t="s">
        <v>1346</v>
      </c>
      <c r="AA2735" s="90" t="s">
        <v>1675</v>
      </c>
      <c r="AE2735" s="90">
        <v>62</v>
      </c>
      <c r="AF2735" s="90">
        <v>29</v>
      </c>
      <c r="AH2735" s="55" t="s">
        <v>238</v>
      </c>
      <c r="AI2735" s="168">
        <v>5.2</v>
      </c>
      <c r="AJ2735" s="90">
        <v>2.9</v>
      </c>
      <c r="AM2735" s="55" t="s">
        <v>2778</v>
      </c>
      <c r="AN2735" s="185" t="s">
        <v>2665</v>
      </c>
      <c r="AO2735" s="185" t="s">
        <v>5150</v>
      </c>
      <c r="AQ2735" s="55" t="s">
        <v>553</v>
      </c>
      <c r="AR2735" s="55" t="s">
        <v>1607</v>
      </c>
      <c r="AS2735" s="55" t="s">
        <v>132</v>
      </c>
      <c r="AU2735" s="181" t="s">
        <v>7494</v>
      </c>
      <c r="AV2735" s="185" t="s">
        <v>176</v>
      </c>
      <c r="AX2735" s="185" t="s">
        <v>176</v>
      </c>
      <c r="BK2735" s="55" t="s">
        <v>5976</v>
      </c>
      <c r="BM2735" s="192" t="s">
        <v>160</v>
      </c>
      <c r="BN2735" s="55">
        <v>2</v>
      </c>
      <c r="BO2735" s="55">
        <v>2</v>
      </c>
      <c r="BQ2735" s="55" t="s">
        <v>141</v>
      </c>
      <c r="BS2735" s="55">
        <v>141</v>
      </c>
      <c r="BV2735" s="55" t="s">
        <v>2783</v>
      </c>
      <c r="CB2735" s="66">
        <v>4017</v>
      </c>
      <c r="CC2735" s="66">
        <v>4007</v>
      </c>
      <c r="GP2735" s="292" t="s">
        <v>7494</v>
      </c>
    </row>
    <row r="2736" spans="1:198" x14ac:dyDescent="0.25">
      <c r="A2736" s="55">
        <v>2735</v>
      </c>
      <c r="B2736" s="12" t="s">
        <v>7067</v>
      </c>
      <c r="C2736" s="155">
        <v>128</v>
      </c>
      <c r="D2736" s="55" t="s">
        <v>4274</v>
      </c>
      <c r="E2736" s="90" t="s">
        <v>2775</v>
      </c>
      <c r="G2736" s="55" t="s">
        <v>2776</v>
      </c>
      <c r="H2736" s="55">
        <v>2005</v>
      </c>
      <c r="I2736" s="55">
        <v>2001</v>
      </c>
      <c r="J2736" s="55" t="s">
        <v>2688</v>
      </c>
      <c r="K2736" s="55" t="s">
        <v>2780</v>
      </c>
      <c r="L2736" s="55" t="s">
        <v>2777</v>
      </c>
      <c r="M2736" s="90">
        <v>-0.22</v>
      </c>
      <c r="N2736" s="90">
        <v>33.57</v>
      </c>
      <c r="O2736" s="90">
        <v>1134</v>
      </c>
      <c r="S2736" s="90">
        <v>1345</v>
      </c>
      <c r="U2736" s="55" t="s">
        <v>1805</v>
      </c>
      <c r="V2736" s="55" t="s">
        <v>1805</v>
      </c>
      <c r="Y2736" s="55" t="s">
        <v>2779</v>
      </c>
      <c r="Z2736" s="55" t="s">
        <v>1346</v>
      </c>
      <c r="AA2736" s="90" t="s">
        <v>1675</v>
      </c>
      <c r="AE2736" s="90">
        <v>62</v>
      </c>
      <c r="AF2736" s="90">
        <v>29</v>
      </c>
      <c r="AH2736" s="55" t="s">
        <v>238</v>
      </c>
      <c r="AI2736" s="168">
        <v>5.2</v>
      </c>
      <c r="AJ2736" s="90">
        <v>2.9</v>
      </c>
      <c r="AM2736" s="55" t="s">
        <v>2778</v>
      </c>
      <c r="AN2736" s="185" t="s">
        <v>2665</v>
      </c>
      <c r="AO2736" s="185" t="s">
        <v>5150</v>
      </c>
      <c r="AQ2736" s="55" t="s">
        <v>553</v>
      </c>
      <c r="AR2736" s="55" t="s">
        <v>1607</v>
      </c>
      <c r="AS2736" s="55" t="s">
        <v>132</v>
      </c>
      <c r="AU2736" s="181" t="s">
        <v>7494</v>
      </c>
      <c r="AV2736" s="185" t="s">
        <v>176</v>
      </c>
      <c r="AX2736" s="185" t="s">
        <v>176</v>
      </c>
      <c r="BK2736" s="55" t="s">
        <v>5976</v>
      </c>
      <c r="BM2736" s="192" t="s">
        <v>160</v>
      </c>
      <c r="BN2736" s="55">
        <v>2</v>
      </c>
      <c r="BO2736" s="55">
        <v>2</v>
      </c>
      <c r="BQ2736" s="55" t="s">
        <v>141</v>
      </c>
      <c r="BV2736" s="55" t="s">
        <v>2784</v>
      </c>
      <c r="CB2736" s="66">
        <v>2838</v>
      </c>
      <c r="CC2736" s="66">
        <v>2956</v>
      </c>
      <c r="GP2736" s="292" t="s">
        <v>7494</v>
      </c>
    </row>
    <row r="2737" spans="1:198" x14ac:dyDescent="0.25">
      <c r="A2737" s="55">
        <v>2736</v>
      </c>
      <c r="B2737" s="12" t="s">
        <v>7067</v>
      </c>
      <c r="C2737" s="155">
        <v>128</v>
      </c>
      <c r="D2737" s="55" t="s">
        <v>4275</v>
      </c>
      <c r="E2737" s="90" t="s">
        <v>2775</v>
      </c>
      <c r="G2737" s="55" t="s">
        <v>2776</v>
      </c>
      <c r="H2737" s="55">
        <v>2005</v>
      </c>
      <c r="I2737" s="55">
        <v>2000</v>
      </c>
      <c r="J2737" s="55" t="s">
        <v>2688</v>
      </c>
      <c r="K2737" s="55" t="s">
        <v>2781</v>
      </c>
      <c r="L2737" s="55" t="s">
        <v>2777</v>
      </c>
      <c r="M2737" s="90">
        <v>-1.58</v>
      </c>
      <c r="N2737" s="90">
        <v>30.07</v>
      </c>
      <c r="O2737" s="90">
        <v>1978</v>
      </c>
      <c r="S2737" s="90">
        <v>1345</v>
      </c>
      <c r="U2737" s="55" t="s">
        <v>1935</v>
      </c>
      <c r="V2737" s="55" t="s">
        <v>1805</v>
      </c>
      <c r="Y2737" s="55" t="s">
        <v>2779</v>
      </c>
      <c r="Z2737" s="55" t="s">
        <v>1346</v>
      </c>
      <c r="AA2737" s="90" t="s">
        <v>1675</v>
      </c>
      <c r="AE2737" s="90">
        <v>70</v>
      </c>
      <c r="AF2737" s="90">
        <v>21</v>
      </c>
      <c r="AH2737" s="55" t="s">
        <v>238</v>
      </c>
      <c r="AI2737" s="168">
        <v>5</v>
      </c>
      <c r="AJ2737" s="90">
        <v>2.2999999999999998</v>
      </c>
      <c r="AM2737" s="55" t="s">
        <v>2778</v>
      </c>
      <c r="AN2737" s="185" t="s">
        <v>2664</v>
      </c>
      <c r="AO2737" s="185" t="s">
        <v>5150</v>
      </c>
      <c r="AQ2737" s="55" t="s">
        <v>553</v>
      </c>
      <c r="AR2737" s="55" t="s">
        <v>1607</v>
      </c>
      <c r="AS2737" s="55" t="s">
        <v>132</v>
      </c>
      <c r="AU2737" s="181" t="s">
        <v>7494</v>
      </c>
      <c r="AV2737" s="185" t="s">
        <v>176</v>
      </c>
      <c r="AX2737" s="185" t="s">
        <v>176</v>
      </c>
      <c r="BK2737" s="55" t="s">
        <v>5976</v>
      </c>
      <c r="BM2737" s="192" t="s">
        <v>160</v>
      </c>
      <c r="BN2737" s="55">
        <v>2</v>
      </c>
      <c r="BO2737" s="55">
        <v>2</v>
      </c>
      <c r="BQ2737" s="55" t="s">
        <v>141</v>
      </c>
      <c r="BS2737" s="55">
        <v>368</v>
      </c>
      <c r="BV2737" s="55" t="s">
        <v>2783</v>
      </c>
      <c r="CB2737" s="66">
        <v>2141</v>
      </c>
      <c r="CC2737" s="66">
        <v>1922</v>
      </c>
      <c r="GP2737" s="292" t="s">
        <v>7494</v>
      </c>
    </row>
    <row r="2738" spans="1:198" x14ac:dyDescent="0.25">
      <c r="A2738" s="55">
        <v>2737</v>
      </c>
      <c r="B2738" s="12" t="s">
        <v>7067</v>
      </c>
      <c r="C2738" s="155">
        <v>128</v>
      </c>
      <c r="D2738" s="55" t="s">
        <v>4275</v>
      </c>
      <c r="E2738" s="90" t="s">
        <v>2775</v>
      </c>
      <c r="G2738" s="55" t="s">
        <v>2776</v>
      </c>
      <c r="H2738" s="55">
        <v>2005</v>
      </c>
      <c r="I2738" s="55">
        <v>2000</v>
      </c>
      <c r="J2738" s="55" t="s">
        <v>2688</v>
      </c>
      <c r="K2738" s="55" t="s">
        <v>2781</v>
      </c>
      <c r="L2738" s="55" t="s">
        <v>2777</v>
      </c>
      <c r="M2738" s="90">
        <v>-1.58</v>
      </c>
      <c r="N2738" s="90">
        <v>30.07</v>
      </c>
      <c r="O2738" s="90">
        <v>1978</v>
      </c>
      <c r="S2738" s="90">
        <v>1345</v>
      </c>
      <c r="U2738" s="55" t="s">
        <v>1935</v>
      </c>
      <c r="V2738" s="55" t="s">
        <v>1805</v>
      </c>
      <c r="Y2738" s="55" t="s">
        <v>2779</v>
      </c>
      <c r="Z2738" s="55" t="s">
        <v>1346</v>
      </c>
      <c r="AA2738" s="90" t="s">
        <v>1675</v>
      </c>
      <c r="AE2738" s="90">
        <v>70</v>
      </c>
      <c r="AF2738" s="90">
        <v>21</v>
      </c>
      <c r="AH2738" s="55" t="s">
        <v>238</v>
      </c>
      <c r="AI2738" s="168">
        <v>5</v>
      </c>
      <c r="AJ2738" s="90">
        <v>2.2999999999999998</v>
      </c>
      <c r="AM2738" s="55" t="s">
        <v>2778</v>
      </c>
      <c r="AN2738" s="185" t="s">
        <v>2664</v>
      </c>
      <c r="AO2738" s="185" t="s">
        <v>5150</v>
      </c>
      <c r="AQ2738" s="55" t="s">
        <v>553</v>
      </c>
      <c r="AR2738" s="55" t="s">
        <v>1607</v>
      </c>
      <c r="AS2738" s="55" t="s">
        <v>132</v>
      </c>
      <c r="AU2738" s="181" t="s">
        <v>7494</v>
      </c>
      <c r="AV2738" s="185" t="s">
        <v>176</v>
      </c>
      <c r="AX2738" s="185" t="s">
        <v>176</v>
      </c>
      <c r="BK2738" s="55" t="s">
        <v>5976</v>
      </c>
      <c r="BM2738" s="192" t="s">
        <v>160</v>
      </c>
      <c r="BN2738" s="55">
        <v>2</v>
      </c>
      <c r="BO2738" s="55">
        <v>2</v>
      </c>
      <c r="BQ2738" s="55" t="s">
        <v>141</v>
      </c>
      <c r="BS2738" s="55">
        <v>302</v>
      </c>
      <c r="BV2738" s="55" t="s">
        <v>2784</v>
      </c>
      <c r="CB2738" s="66">
        <v>2585</v>
      </c>
      <c r="CC2738" s="66">
        <v>1863</v>
      </c>
      <c r="GP2738" s="292" t="s">
        <v>7494</v>
      </c>
    </row>
    <row r="2739" spans="1:198" x14ac:dyDescent="0.25">
      <c r="A2739" s="55">
        <v>2738</v>
      </c>
      <c r="B2739" s="12" t="s">
        <v>7067</v>
      </c>
      <c r="C2739" s="155">
        <v>128</v>
      </c>
      <c r="D2739" s="55" t="s">
        <v>4275</v>
      </c>
      <c r="E2739" s="90" t="s">
        <v>2775</v>
      </c>
      <c r="G2739" s="55" t="s">
        <v>2776</v>
      </c>
      <c r="H2739" s="55">
        <v>2005</v>
      </c>
      <c r="I2739" s="55">
        <v>2001</v>
      </c>
      <c r="J2739" s="55" t="s">
        <v>2688</v>
      </c>
      <c r="K2739" s="55" t="s">
        <v>2781</v>
      </c>
      <c r="L2739" s="55" t="s">
        <v>2777</v>
      </c>
      <c r="M2739" s="90">
        <v>-1.58</v>
      </c>
      <c r="N2739" s="90">
        <v>30.07</v>
      </c>
      <c r="O2739" s="90">
        <v>1978</v>
      </c>
      <c r="S2739" s="90">
        <v>1345</v>
      </c>
      <c r="U2739" s="55" t="s">
        <v>1805</v>
      </c>
      <c r="V2739" s="55" t="s">
        <v>1805</v>
      </c>
      <c r="Y2739" s="55" t="s">
        <v>2779</v>
      </c>
      <c r="Z2739" s="55" t="s">
        <v>1346</v>
      </c>
      <c r="AA2739" s="90" t="s">
        <v>1675</v>
      </c>
      <c r="AE2739" s="90">
        <v>70</v>
      </c>
      <c r="AF2739" s="90">
        <v>21</v>
      </c>
      <c r="AH2739" s="55" t="s">
        <v>238</v>
      </c>
      <c r="AI2739" s="168">
        <v>5</v>
      </c>
      <c r="AJ2739" s="90">
        <v>2.2999999999999998</v>
      </c>
      <c r="AM2739" s="55" t="s">
        <v>2778</v>
      </c>
      <c r="AN2739" s="185" t="s">
        <v>2664</v>
      </c>
      <c r="AO2739" s="185" t="s">
        <v>5150</v>
      </c>
      <c r="AQ2739" s="55" t="s">
        <v>553</v>
      </c>
      <c r="AR2739" s="55" t="s">
        <v>1607</v>
      </c>
      <c r="AS2739" s="55" t="s">
        <v>132</v>
      </c>
      <c r="AU2739" s="181" t="s">
        <v>7494</v>
      </c>
      <c r="AV2739" s="185" t="s">
        <v>176</v>
      </c>
      <c r="AX2739" s="185" t="s">
        <v>176</v>
      </c>
      <c r="BK2739" s="55" t="s">
        <v>5976</v>
      </c>
      <c r="BM2739" s="192" t="s">
        <v>160</v>
      </c>
      <c r="BN2739" s="55">
        <v>2</v>
      </c>
      <c r="BO2739" s="55">
        <v>2</v>
      </c>
      <c r="BQ2739" s="55" t="s">
        <v>141</v>
      </c>
      <c r="BS2739" s="55">
        <v>1198</v>
      </c>
      <c r="BV2739" s="55" t="s">
        <v>2783</v>
      </c>
      <c r="CB2739" s="66">
        <v>1719</v>
      </c>
      <c r="CC2739" s="66">
        <v>2249</v>
      </c>
      <c r="GP2739" s="292" t="s">
        <v>7494</v>
      </c>
    </row>
    <row r="2740" spans="1:198" x14ac:dyDescent="0.25">
      <c r="A2740" s="55">
        <v>2739</v>
      </c>
      <c r="B2740" s="12" t="s">
        <v>7067</v>
      </c>
      <c r="C2740" s="155">
        <v>128</v>
      </c>
      <c r="D2740" s="55" t="s">
        <v>4275</v>
      </c>
      <c r="E2740" s="90" t="s">
        <v>2775</v>
      </c>
      <c r="G2740" s="55" t="s">
        <v>2776</v>
      </c>
      <c r="H2740" s="55">
        <v>2005</v>
      </c>
      <c r="I2740" s="55">
        <v>2001</v>
      </c>
      <c r="J2740" s="55" t="s">
        <v>2688</v>
      </c>
      <c r="K2740" s="55" t="s">
        <v>2781</v>
      </c>
      <c r="L2740" s="55" t="s">
        <v>2777</v>
      </c>
      <c r="M2740" s="90">
        <v>-1.58</v>
      </c>
      <c r="N2740" s="90">
        <v>30.07</v>
      </c>
      <c r="O2740" s="90">
        <v>1978</v>
      </c>
      <c r="S2740" s="90">
        <v>1345</v>
      </c>
      <c r="U2740" s="55" t="s">
        <v>1805</v>
      </c>
      <c r="V2740" s="55" t="s">
        <v>1805</v>
      </c>
      <c r="Y2740" s="55" t="s">
        <v>2779</v>
      </c>
      <c r="Z2740" s="55" t="s">
        <v>1346</v>
      </c>
      <c r="AA2740" s="90" t="s">
        <v>1675</v>
      </c>
      <c r="AE2740" s="90">
        <v>70</v>
      </c>
      <c r="AF2740" s="90">
        <v>21</v>
      </c>
      <c r="AH2740" s="55" t="s">
        <v>238</v>
      </c>
      <c r="AI2740" s="168">
        <v>5</v>
      </c>
      <c r="AJ2740" s="90">
        <v>2.2999999999999998</v>
      </c>
      <c r="AM2740" s="55" t="s">
        <v>2778</v>
      </c>
      <c r="AN2740" s="185" t="s">
        <v>2664</v>
      </c>
      <c r="AO2740" s="185" t="s">
        <v>5150</v>
      </c>
      <c r="AQ2740" s="55" t="s">
        <v>553</v>
      </c>
      <c r="AR2740" s="55" t="s">
        <v>1607</v>
      </c>
      <c r="AS2740" s="55" t="s">
        <v>132</v>
      </c>
      <c r="AU2740" s="181" t="s">
        <v>7494</v>
      </c>
      <c r="AV2740" s="185" t="s">
        <v>176</v>
      </c>
      <c r="AX2740" s="185" t="s">
        <v>176</v>
      </c>
      <c r="BK2740" s="55" t="s">
        <v>5976</v>
      </c>
      <c r="BM2740" s="192" t="s">
        <v>160</v>
      </c>
      <c r="BN2740" s="55">
        <v>2</v>
      </c>
      <c r="BO2740" s="55">
        <v>2</v>
      </c>
      <c r="BQ2740" s="55" t="s">
        <v>141</v>
      </c>
      <c r="BV2740" s="55" t="s">
        <v>2784</v>
      </c>
      <c r="CB2740" s="66">
        <v>1469</v>
      </c>
      <c r="CC2740" s="66">
        <v>1805</v>
      </c>
      <c r="GP2740" s="292" t="s">
        <v>7494</v>
      </c>
    </row>
    <row r="2741" spans="1:198" x14ac:dyDescent="0.25">
      <c r="A2741" s="55">
        <v>2740</v>
      </c>
      <c r="B2741" s="12" t="s">
        <v>7067</v>
      </c>
      <c r="C2741" s="155">
        <v>128</v>
      </c>
      <c r="D2741" s="55" t="s">
        <v>4275</v>
      </c>
      <c r="E2741" s="90" t="s">
        <v>2775</v>
      </c>
      <c r="G2741" s="55" t="s">
        <v>2776</v>
      </c>
      <c r="H2741" s="55">
        <v>2005</v>
      </c>
      <c r="I2741" s="55">
        <v>2000</v>
      </c>
      <c r="J2741" s="55" t="s">
        <v>2688</v>
      </c>
      <c r="K2741" s="55" t="s">
        <v>2781</v>
      </c>
      <c r="L2741" s="55" t="s">
        <v>2777</v>
      </c>
      <c r="M2741" s="90">
        <v>-1.58</v>
      </c>
      <c r="N2741" s="90">
        <v>30.07</v>
      </c>
      <c r="O2741" s="90">
        <v>1978</v>
      </c>
      <c r="S2741" s="90">
        <v>1345</v>
      </c>
      <c r="U2741" s="55" t="s">
        <v>1935</v>
      </c>
      <c r="V2741" s="55" t="s">
        <v>1805</v>
      </c>
      <c r="Y2741" s="55" t="s">
        <v>2779</v>
      </c>
      <c r="Z2741" s="55" t="s">
        <v>1346</v>
      </c>
      <c r="AA2741" s="90" t="s">
        <v>1675</v>
      </c>
      <c r="AE2741" s="90">
        <v>70</v>
      </c>
      <c r="AF2741" s="90">
        <v>21</v>
      </c>
      <c r="AH2741" s="55" t="s">
        <v>238</v>
      </c>
      <c r="AI2741" s="168">
        <v>5</v>
      </c>
      <c r="AJ2741" s="90">
        <v>2.2999999999999998</v>
      </c>
      <c r="AM2741" s="55" t="s">
        <v>2778</v>
      </c>
      <c r="AN2741" s="185" t="s">
        <v>2666</v>
      </c>
      <c r="AO2741" s="185" t="s">
        <v>5150</v>
      </c>
      <c r="AQ2741" s="55" t="s">
        <v>553</v>
      </c>
      <c r="AR2741" s="55" t="s">
        <v>1607</v>
      </c>
      <c r="AS2741" s="55" t="s">
        <v>132</v>
      </c>
      <c r="AU2741" s="181" t="s">
        <v>7494</v>
      </c>
      <c r="AV2741" s="185" t="s">
        <v>176</v>
      </c>
      <c r="AX2741" s="185" t="s">
        <v>176</v>
      </c>
      <c r="BK2741" s="55" t="s">
        <v>5976</v>
      </c>
      <c r="BM2741" s="192" t="s">
        <v>160</v>
      </c>
      <c r="BN2741" s="55">
        <v>2</v>
      </c>
      <c r="BO2741" s="55">
        <v>2</v>
      </c>
      <c r="BQ2741" s="55" t="s">
        <v>141</v>
      </c>
      <c r="BS2741" s="55">
        <v>400</v>
      </c>
      <c r="BV2741" s="55" t="s">
        <v>2783</v>
      </c>
      <c r="CB2741" s="66">
        <v>2141</v>
      </c>
      <c r="CC2741" s="66">
        <v>1631</v>
      </c>
      <c r="GP2741" s="292" t="s">
        <v>7494</v>
      </c>
    </row>
    <row r="2742" spans="1:198" x14ac:dyDescent="0.25">
      <c r="A2742" s="55">
        <v>2741</v>
      </c>
      <c r="B2742" s="12" t="s">
        <v>7067</v>
      </c>
      <c r="C2742" s="155">
        <v>128</v>
      </c>
      <c r="D2742" s="55" t="s">
        <v>4275</v>
      </c>
      <c r="E2742" s="90" t="s">
        <v>2775</v>
      </c>
      <c r="G2742" s="55" t="s">
        <v>2776</v>
      </c>
      <c r="H2742" s="55">
        <v>2005</v>
      </c>
      <c r="I2742" s="55">
        <v>2000</v>
      </c>
      <c r="J2742" s="55" t="s">
        <v>2688</v>
      </c>
      <c r="K2742" s="55" t="s">
        <v>2781</v>
      </c>
      <c r="L2742" s="55" t="s">
        <v>2777</v>
      </c>
      <c r="M2742" s="90">
        <v>-1.58</v>
      </c>
      <c r="N2742" s="90">
        <v>30.07</v>
      </c>
      <c r="O2742" s="90">
        <v>1978</v>
      </c>
      <c r="S2742" s="90">
        <v>1345</v>
      </c>
      <c r="U2742" s="55" t="s">
        <v>1935</v>
      </c>
      <c r="V2742" s="55" t="s">
        <v>1805</v>
      </c>
      <c r="Y2742" s="55" t="s">
        <v>2779</v>
      </c>
      <c r="Z2742" s="55" t="s">
        <v>1346</v>
      </c>
      <c r="AA2742" s="90" t="s">
        <v>1675</v>
      </c>
      <c r="AE2742" s="90">
        <v>70</v>
      </c>
      <c r="AF2742" s="90">
        <v>21</v>
      </c>
      <c r="AH2742" s="55" t="s">
        <v>238</v>
      </c>
      <c r="AI2742" s="168">
        <v>5</v>
      </c>
      <c r="AJ2742" s="90">
        <v>2.2999999999999998</v>
      </c>
      <c r="AM2742" s="55" t="s">
        <v>2778</v>
      </c>
      <c r="AN2742" s="185" t="s">
        <v>2666</v>
      </c>
      <c r="AO2742" s="185" t="s">
        <v>5150</v>
      </c>
      <c r="AQ2742" s="55" t="s">
        <v>553</v>
      </c>
      <c r="AR2742" s="55" t="s">
        <v>1607</v>
      </c>
      <c r="AS2742" s="55" t="s">
        <v>132</v>
      </c>
      <c r="AU2742" s="181" t="s">
        <v>7494</v>
      </c>
      <c r="AV2742" s="185" t="s">
        <v>176</v>
      </c>
      <c r="AX2742" s="185" t="s">
        <v>176</v>
      </c>
      <c r="BK2742" s="55" t="s">
        <v>5976</v>
      </c>
      <c r="BM2742" s="192" t="s">
        <v>160</v>
      </c>
      <c r="BN2742" s="55">
        <v>2</v>
      </c>
      <c r="BO2742" s="55">
        <v>2</v>
      </c>
      <c r="BQ2742" s="55" t="s">
        <v>141</v>
      </c>
      <c r="BS2742" s="55">
        <v>116</v>
      </c>
      <c r="BV2742" s="55" t="s">
        <v>2784</v>
      </c>
      <c r="CB2742" s="66">
        <v>2585</v>
      </c>
      <c r="CC2742" s="66">
        <v>2884</v>
      </c>
      <c r="GP2742" s="292" t="s">
        <v>7494</v>
      </c>
    </row>
    <row r="2743" spans="1:198" x14ac:dyDescent="0.25">
      <c r="A2743" s="55">
        <v>2742</v>
      </c>
      <c r="B2743" s="12" t="s">
        <v>7067</v>
      </c>
      <c r="C2743" s="155">
        <v>128</v>
      </c>
      <c r="D2743" s="55" t="s">
        <v>4275</v>
      </c>
      <c r="E2743" s="90" t="s">
        <v>2775</v>
      </c>
      <c r="G2743" s="55" t="s">
        <v>2776</v>
      </c>
      <c r="H2743" s="55">
        <v>2005</v>
      </c>
      <c r="I2743" s="55">
        <v>2001</v>
      </c>
      <c r="J2743" s="55" t="s">
        <v>2688</v>
      </c>
      <c r="K2743" s="55" t="s">
        <v>2781</v>
      </c>
      <c r="L2743" s="55" t="s">
        <v>2777</v>
      </c>
      <c r="M2743" s="90">
        <v>-1.58</v>
      </c>
      <c r="N2743" s="90">
        <v>30.07</v>
      </c>
      <c r="O2743" s="90">
        <v>1978</v>
      </c>
      <c r="S2743" s="90">
        <v>1345</v>
      </c>
      <c r="U2743" s="55" t="s">
        <v>1805</v>
      </c>
      <c r="V2743" s="55" t="s">
        <v>1805</v>
      </c>
      <c r="Y2743" s="55" t="s">
        <v>2779</v>
      </c>
      <c r="Z2743" s="55" t="s">
        <v>1346</v>
      </c>
      <c r="AA2743" s="90" t="s">
        <v>1675</v>
      </c>
      <c r="AE2743" s="90">
        <v>70</v>
      </c>
      <c r="AF2743" s="90">
        <v>21</v>
      </c>
      <c r="AH2743" s="55" t="s">
        <v>238</v>
      </c>
      <c r="AI2743" s="168">
        <v>5</v>
      </c>
      <c r="AJ2743" s="90">
        <v>2.2999999999999998</v>
      </c>
      <c r="AM2743" s="55" t="s">
        <v>2778</v>
      </c>
      <c r="AN2743" s="185" t="s">
        <v>2666</v>
      </c>
      <c r="AO2743" s="185" t="s">
        <v>5150</v>
      </c>
      <c r="AQ2743" s="55" t="s">
        <v>553</v>
      </c>
      <c r="AR2743" s="55" t="s">
        <v>1607</v>
      </c>
      <c r="AS2743" s="55" t="s">
        <v>132</v>
      </c>
      <c r="AU2743" s="181" t="s">
        <v>7494</v>
      </c>
      <c r="AV2743" s="185" t="s">
        <v>176</v>
      </c>
      <c r="AX2743" s="185" t="s">
        <v>176</v>
      </c>
      <c r="BK2743" s="55" t="s">
        <v>5976</v>
      </c>
      <c r="BM2743" s="192" t="s">
        <v>160</v>
      </c>
      <c r="BN2743" s="55">
        <v>2</v>
      </c>
      <c r="BO2743" s="55">
        <v>2</v>
      </c>
      <c r="BQ2743" s="55" t="s">
        <v>141</v>
      </c>
      <c r="BS2743" s="55">
        <v>590</v>
      </c>
      <c r="BV2743" s="55" t="s">
        <v>2783</v>
      </c>
      <c r="CB2743" s="66">
        <v>1719</v>
      </c>
      <c r="CC2743" s="66">
        <v>1755</v>
      </c>
      <c r="GP2743" s="292" t="s">
        <v>7494</v>
      </c>
    </row>
    <row r="2744" spans="1:198" x14ac:dyDescent="0.25">
      <c r="A2744" s="55">
        <v>2743</v>
      </c>
      <c r="B2744" s="12" t="s">
        <v>7067</v>
      </c>
      <c r="C2744" s="155">
        <v>128</v>
      </c>
      <c r="D2744" s="55" t="s">
        <v>4275</v>
      </c>
      <c r="E2744" s="90" t="s">
        <v>2775</v>
      </c>
      <c r="G2744" s="55" t="s">
        <v>2776</v>
      </c>
      <c r="H2744" s="55">
        <v>2005</v>
      </c>
      <c r="I2744" s="55">
        <v>2001</v>
      </c>
      <c r="J2744" s="55" t="s">
        <v>2688</v>
      </c>
      <c r="K2744" s="55" t="s">
        <v>2781</v>
      </c>
      <c r="L2744" s="55" t="s">
        <v>2777</v>
      </c>
      <c r="M2744" s="90">
        <v>-1.58</v>
      </c>
      <c r="N2744" s="90">
        <v>30.07</v>
      </c>
      <c r="O2744" s="90">
        <v>1978</v>
      </c>
      <c r="S2744" s="90">
        <v>1345</v>
      </c>
      <c r="U2744" s="55" t="s">
        <v>1805</v>
      </c>
      <c r="V2744" s="55" t="s">
        <v>1805</v>
      </c>
      <c r="Y2744" s="55" t="s">
        <v>2779</v>
      </c>
      <c r="Z2744" s="55" t="s">
        <v>1346</v>
      </c>
      <c r="AA2744" s="90" t="s">
        <v>1675</v>
      </c>
      <c r="AE2744" s="90">
        <v>70</v>
      </c>
      <c r="AF2744" s="90">
        <v>21</v>
      </c>
      <c r="AH2744" s="55" t="s">
        <v>238</v>
      </c>
      <c r="AI2744" s="168">
        <v>5</v>
      </c>
      <c r="AJ2744" s="90">
        <v>2.2999999999999998</v>
      </c>
      <c r="AM2744" s="55" t="s">
        <v>2778</v>
      </c>
      <c r="AN2744" s="185" t="s">
        <v>2666</v>
      </c>
      <c r="AO2744" s="185" t="s">
        <v>5150</v>
      </c>
      <c r="AQ2744" s="55" t="s">
        <v>553</v>
      </c>
      <c r="AR2744" s="55" t="s">
        <v>1607</v>
      </c>
      <c r="AS2744" s="55" t="s">
        <v>132</v>
      </c>
      <c r="AU2744" s="181" t="s">
        <v>7494</v>
      </c>
      <c r="AV2744" s="185" t="s">
        <v>176</v>
      </c>
      <c r="AX2744" s="185" t="s">
        <v>176</v>
      </c>
      <c r="BK2744" s="55" t="s">
        <v>5976</v>
      </c>
      <c r="BM2744" s="192" t="s">
        <v>160</v>
      </c>
      <c r="BN2744" s="55">
        <v>2</v>
      </c>
      <c r="BO2744" s="55">
        <v>2</v>
      </c>
      <c r="BQ2744" s="55" t="s">
        <v>141</v>
      </c>
      <c r="BV2744" s="55" t="s">
        <v>2784</v>
      </c>
      <c r="CB2744" s="66">
        <v>1469</v>
      </c>
      <c r="CC2744" s="66">
        <v>1881</v>
      </c>
      <c r="GP2744" s="292" t="s">
        <v>7494</v>
      </c>
    </row>
    <row r="2745" spans="1:198" x14ac:dyDescent="0.25">
      <c r="A2745" s="55">
        <v>2744</v>
      </c>
      <c r="B2745" s="12" t="s">
        <v>7067</v>
      </c>
      <c r="C2745" s="155">
        <v>128</v>
      </c>
      <c r="D2745" s="55" t="s">
        <v>4275</v>
      </c>
      <c r="E2745" s="90" t="s">
        <v>2775</v>
      </c>
      <c r="G2745" s="55" t="s">
        <v>2776</v>
      </c>
      <c r="H2745" s="55">
        <v>2005</v>
      </c>
      <c r="I2745" s="55">
        <v>2000</v>
      </c>
      <c r="J2745" s="55" t="s">
        <v>2688</v>
      </c>
      <c r="K2745" s="55" t="s">
        <v>2781</v>
      </c>
      <c r="L2745" s="55" t="s">
        <v>2777</v>
      </c>
      <c r="M2745" s="90">
        <v>-1.58</v>
      </c>
      <c r="N2745" s="90">
        <v>30.07</v>
      </c>
      <c r="O2745" s="90">
        <v>1978</v>
      </c>
      <c r="S2745" s="90">
        <v>1345</v>
      </c>
      <c r="U2745" s="55" t="s">
        <v>1935</v>
      </c>
      <c r="V2745" s="55" t="s">
        <v>1805</v>
      </c>
      <c r="Y2745" s="55" t="s">
        <v>2779</v>
      </c>
      <c r="Z2745" s="55" t="s">
        <v>1346</v>
      </c>
      <c r="AA2745" s="90" t="s">
        <v>1675</v>
      </c>
      <c r="AE2745" s="90">
        <v>70</v>
      </c>
      <c r="AF2745" s="90">
        <v>21</v>
      </c>
      <c r="AH2745" s="55" t="s">
        <v>238</v>
      </c>
      <c r="AI2745" s="168">
        <v>5</v>
      </c>
      <c r="AJ2745" s="90">
        <v>2.2999999999999998</v>
      </c>
      <c r="AM2745" s="55" t="s">
        <v>2778</v>
      </c>
      <c r="AN2745" s="185" t="s">
        <v>2785</v>
      </c>
      <c r="AO2745" s="185" t="s">
        <v>5150</v>
      </c>
      <c r="AQ2745" s="55" t="s">
        <v>553</v>
      </c>
      <c r="AR2745" s="55" t="s">
        <v>1607</v>
      </c>
      <c r="AS2745" s="55" t="s">
        <v>132</v>
      </c>
      <c r="AU2745" s="181" t="s">
        <v>7494</v>
      </c>
      <c r="AV2745" s="185" t="s">
        <v>176</v>
      </c>
      <c r="AX2745" s="185" t="s">
        <v>176</v>
      </c>
      <c r="BK2745" s="55" t="s">
        <v>5976</v>
      </c>
      <c r="BM2745" s="192" t="s">
        <v>160</v>
      </c>
      <c r="BN2745" s="55">
        <v>2</v>
      </c>
      <c r="BO2745" s="55">
        <v>2</v>
      </c>
      <c r="BQ2745" s="55" t="s">
        <v>141</v>
      </c>
      <c r="BS2745" s="55">
        <v>653</v>
      </c>
      <c r="BV2745" s="55" t="s">
        <v>2783</v>
      </c>
      <c r="CB2745" s="66">
        <v>2141</v>
      </c>
      <c r="CC2745" s="66">
        <v>2241</v>
      </c>
      <c r="GP2745" s="292" t="s">
        <v>7494</v>
      </c>
    </row>
    <row r="2746" spans="1:198" x14ac:dyDescent="0.25">
      <c r="A2746" s="55">
        <v>2745</v>
      </c>
      <c r="B2746" s="12" t="s">
        <v>7067</v>
      </c>
      <c r="C2746" s="155">
        <v>128</v>
      </c>
      <c r="D2746" s="55" t="s">
        <v>4275</v>
      </c>
      <c r="E2746" s="90" t="s">
        <v>2775</v>
      </c>
      <c r="G2746" s="55" t="s">
        <v>2776</v>
      </c>
      <c r="H2746" s="55">
        <v>2005</v>
      </c>
      <c r="I2746" s="55">
        <v>2000</v>
      </c>
      <c r="J2746" s="55" t="s">
        <v>2688</v>
      </c>
      <c r="K2746" s="55" t="s">
        <v>2781</v>
      </c>
      <c r="L2746" s="55" t="s">
        <v>2777</v>
      </c>
      <c r="M2746" s="90">
        <v>-1.58</v>
      </c>
      <c r="N2746" s="90">
        <v>30.07</v>
      </c>
      <c r="O2746" s="90">
        <v>1978</v>
      </c>
      <c r="S2746" s="90">
        <v>1345</v>
      </c>
      <c r="U2746" s="55" t="s">
        <v>1935</v>
      </c>
      <c r="V2746" s="55" t="s">
        <v>1805</v>
      </c>
      <c r="Y2746" s="55" t="s">
        <v>2779</v>
      </c>
      <c r="Z2746" s="55" t="s">
        <v>1346</v>
      </c>
      <c r="AA2746" s="90" t="s">
        <v>1675</v>
      </c>
      <c r="AE2746" s="90">
        <v>70</v>
      </c>
      <c r="AF2746" s="90">
        <v>21</v>
      </c>
      <c r="AH2746" s="55" t="s">
        <v>238</v>
      </c>
      <c r="AI2746" s="168">
        <v>5</v>
      </c>
      <c r="AJ2746" s="90">
        <v>2.2999999999999998</v>
      </c>
      <c r="AM2746" s="55" t="s">
        <v>2778</v>
      </c>
      <c r="AN2746" s="185" t="s">
        <v>2785</v>
      </c>
      <c r="AO2746" s="185" t="s">
        <v>5150</v>
      </c>
      <c r="AQ2746" s="55" t="s">
        <v>553</v>
      </c>
      <c r="AR2746" s="55" t="s">
        <v>1607</v>
      </c>
      <c r="AS2746" s="55" t="s">
        <v>132</v>
      </c>
      <c r="AU2746" s="181" t="s">
        <v>7494</v>
      </c>
      <c r="AV2746" s="185" t="s">
        <v>176</v>
      </c>
      <c r="AX2746" s="185" t="s">
        <v>176</v>
      </c>
      <c r="BK2746" s="55" t="s">
        <v>5976</v>
      </c>
      <c r="BM2746" s="192" t="s">
        <v>160</v>
      </c>
      <c r="BN2746" s="55">
        <v>2</v>
      </c>
      <c r="BO2746" s="55">
        <v>2</v>
      </c>
      <c r="BQ2746" s="55" t="s">
        <v>141</v>
      </c>
      <c r="BS2746" s="55">
        <v>494</v>
      </c>
      <c r="BV2746" s="55" t="s">
        <v>2784</v>
      </c>
      <c r="CB2746" s="66">
        <v>2585</v>
      </c>
      <c r="CC2746" s="66">
        <v>3324</v>
      </c>
      <c r="GP2746" s="292" t="s">
        <v>7494</v>
      </c>
    </row>
    <row r="2747" spans="1:198" x14ac:dyDescent="0.25">
      <c r="A2747" s="55">
        <v>2746</v>
      </c>
      <c r="B2747" s="12" t="s">
        <v>7067</v>
      </c>
      <c r="C2747" s="155">
        <v>128</v>
      </c>
      <c r="D2747" s="55" t="s">
        <v>4275</v>
      </c>
      <c r="E2747" s="90" t="s">
        <v>2775</v>
      </c>
      <c r="G2747" s="55" t="s">
        <v>2776</v>
      </c>
      <c r="H2747" s="55">
        <v>2005</v>
      </c>
      <c r="I2747" s="55">
        <v>2001</v>
      </c>
      <c r="J2747" s="55" t="s">
        <v>2688</v>
      </c>
      <c r="K2747" s="55" t="s">
        <v>2781</v>
      </c>
      <c r="L2747" s="55" t="s">
        <v>2777</v>
      </c>
      <c r="M2747" s="90">
        <v>-1.58</v>
      </c>
      <c r="N2747" s="90">
        <v>30.07</v>
      </c>
      <c r="O2747" s="90">
        <v>1978</v>
      </c>
      <c r="S2747" s="90">
        <v>1345</v>
      </c>
      <c r="U2747" s="55" t="s">
        <v>1805</v>
      </c>
      <c r="V2747" s="55" t="s">
        <v>1805</v>
      </c>
      <c r="Y2747" s="55" t="s">
        <v>2779</v>
      </c>
      <c r="Z2747" s="55" t="s">
        <v>1346</v>
      </c>
      <c r="AA2747" s="90" t="s">
        <v>1675</v>
      </c>
      <c r="AE2747" s="90">
        <v>70</v>
      </c>
      <c r="AF2747" s="90">
        <v>21</v>
      </c>
      <c r="AH2747" s="55" t="s">
        <v>238</v>
      </c>
      <c r="AI2747" s="168">
        <v>5</v>
      </c>
      <c r="AJ2747" s="90">
        <v>2.2999999999999998</v>
      </c>
      <c r="AM2747" s="55" t="s">
        <v>2778</v>
      </c>
      <c r="AN2747" s="185" t="s">
        <v>2785</v>
      </c>
      <c r="AO2747" s="185" t="s">
        <v>5150</v>
      </c>
      <c r="AQ2747" s="55" t="s">
        <v>553</v>
      </c>
      <c r="AR2747" s="55" t="s">
        <v>1607</v>
      </c>
      <c r="AS2747" s="55" t="s">
        <v>132</v>
      </c>
      <c r="AU2747" s="181" t="s">
        <v>7494</v>
      </c>
      <c r="AV2747" s="185" t="s">
        <v>176</v>
      </c>
      <c r="AX2747" s="185" t="s">
        <v>176</v>
      </c>
      <c r="BK2747" s="55" t="s">
        <v>5976</v>
      </c>
      <c r="BM2747" s="192" t="s">
        <v>160</v>
      </c>
      <c r="BN2747" s="55">
        <v>2</v>
      </c>
      <c r="BO2747" s="55">
        <v>2</v>
      </c>
      <c r="BQ2747" s="55" t="s">
        <v>141</v>
      </c>
      <c r="BS2747" s="55">
        <v>254</v>
      </c>
      <c r="BV2747" s="55" t="s">
        <v>2783</v>
      </c>
      <c r="CB2747" s="66">
        <v>1719</v>
      </c>
      <c r="CC2747" s="66">
        <v>2316</v>
      </c>
      <c r="GP2747" s="292" t="s">
        <v>7494</v>
      </c>
    </row>
    <row r="2748" spans="1:198" x14ac:dyDescent="0.25">
      <c r="A2748" s="55">
        <v>2747</v>
      </c>
      <c r="B2748" s="12" t="s">
        <v>7067</v>
      </c>
      <c r="C2748" s="155">
        <v>128</v>
      </c>
      <c r="D2748" s="55" t="s">
        <v>4275</v>
      </c>
      <c r="E2748" s="90" t="s">
        <v>2775</v>
      </c>
      <c r="G2748" s="55" t="s">
        <v>2776</v>
      </c>
      <c r="H2748" s="55">
        <v>2005</v>
      </c>
      <c r="I2748" s="55">
        <v>2001</v>
      </c>
      <c r="J2748" s="55" t="s">
        <v>2688</v>
      </c>
      <c r="K2748" s="55" t="s">
        <v>2781</v>
      </c>
      <c r="L2748" s="55" t="s">
        <v>2777</v>
      </c>
      <c r="M2748" s="90">
        <v>-1.58</v>
      </c>
      <c r="N2748" s="90">
        <v>30.07</v>
      </c>
      <c r="O2748" s="90">
        <v>1978</v>
      </c>
      <c r="S2748" s="90">
        <v>1345</v>
      </c>
      <c r="U2748" s="55" t="s">
        <v>1805</v>
      </c>
      <c r="V2748" s="55" t="s">
        <v>1805</v>
      </c>
      <c r="Y2748" s="55" t="s">
        <v>2779</v>
      </c>
      <c r="Z2748" s="55" t="s">
        <v>1346</v>
      </c>
      <c r="AA2748" s="90" t="s">
        <v>1675</v>
      </c>
      <c r="AE2748" s="90">
        <v>70</v>
      </c>
      <c r="AF2748" s="90">
        <v>21</v>
      </c>
      <c r="AH2748" s="55" t="s">
        <v>238</v>
      </c>
      <c r="AI2748" s="168">
        <v>5</v>
      </c>
      <c r="AJ2748" s="90">
        <v>2.2999999999999998</v>
      </c>
      <c r="AM2748" s="55" t="s">
        <v>2778</v>
      </c>
      <c r="AN2748" s="185" t="s">
        <v>2785</v>
      </c>
      <c r="AO2748" s="185" t="s">
        <v>5150</v>
      </c>
      <c r="AQ2748" s="55" t="s">
        <v>553</v>
      </c>
      <c r="AR2748" s="55" t="s">
        <v>1607</v>
      </c>
      <c r="AS2748" s="55" t="s">
        <v>132</v>
      </c>
      <c r="AU2748" s="181" t="s">
        <v>7494</v>
      </c>
      <c r="AV2748" s="185" t="s">
        <v>176</v>
      </c>
      <c r="AX2748" s="185" t="s">
        <v>176</v>
      </c>
      <c r="BK2748" s="55" t="s">
        <v>5976</v>
      </c>
      <c r="BM2748" s="192" t="s">
        <v>160</v>
      </c>
      <c r="BN2748" s="55">
        <v>2</v>
      </c>
      <c r="BO2748" s="55">
        <v>2</v>
      </c>
      <c r="BQ2748" s="55" t="s">
        <v>141</v>
      </c>
      <c r="BV2748" s="55" t="s">
        <v>2784</v>
      </c>
      <c r="CB2748" s="66">
        <v>1469</v>
      </c>
      <c r="CC2748" s="66">
        <v>2285</v>
      </c>
      <c r="GP2748" s="292" t="s">
        <v>7494</v>
      </c>
    </row>
    <row r="2749" spans="1:198" x14ac:dyDescent="0.25">
      <c r="A2749" s="55">
        <v>2748</v>
      </c>
      <c r="B2749" s="12" t="s">
        <v>7067</v>
      </c>
      <c r="C2749" s="155">
        <v>128</v>
      </c>
      <c r="D2749" s="55" t="s">
        <v>4275</v>
      </c>
      <c r="E2749" s="90" t="s">
        <v>2775</v>
      </c>
      <c r="G2749" s="55" t="s">
        <v>2776</v>
      </c>
      <c r="H2749" s="55">
        <v>2005</v>
      </c>
      <c r="I2749" s="55">
        <v>2000</v>
      </c>
      <c r="J2749" s="55" t="s">
        <v>2688</v>
      </c>
      <c r="K2749" s="55" t="s">
        <v>2781</v>
      </c>
      <c r="L2749" s="55" t="s">
        <v>2777</v>
      </c>
      <c r="M2749" s="90">
        <v>-1.58</v>
      </c>
      <c r="N2749" s="90">
        <v>30.07</v>
      </c>
      <c r="O2749" s="90">
        <v>1978</v>
      </c>
      <c r="S2749" s="90">
        <v>1345</v>
      </c>
      <c r="U2749" s="55" t="s">
        <v>1935</v>
      </c>
      <c r="V2749" s="55" t="s">
        <v>1805</v>
      </c>
      <c r="Y2749" s="55" t="s">
        <v>2779</v>
      </c>
      <c r="Z2749" s="55" t="s">
        <v>1346</v>
      </c>
      <c r="AA2749" s="90" t="s">
        <v>1675</v>
      </c>
      <c r="AE2749" s="90">
        <v>70</v>
      </c>
      <c r="AF2749" s="90">
        <v>21</v>
      </c>
      <c r="AH2749" s="55" t="s">
        <v>238</v>
      </c>
      <c r="AI2749" s="168">
        <v>5</v>
      </c>
      <c r="AJ2749" s="90">
        <v>2.2999999999999998</v>
      </c>
      <c r="AM2749" s="55" t="s">
        <v>2778</v>
      </c>
      <c r="AN2749" s="185" t="s">
        <v>2665</v>
      </c>
      <c r="AO2749" s="185" t="s">
        <v>5150</v>
      </c>
      <c r="AQ2749" s="55" t="s">
        <v>553</v>
      </c>
      <c r="AR2749" s="55" t="s">
        <v>1607</v>
      </c>
      <c r="AS2749" s="55" t="s">
        <v>132</v>
      </c>
      <c r="AU2749" s="181" t="s">
        <v>7494</v>
      </c>
      <c r="AV2749" s="185" t="s">
        <v>176</v>
      </c>
      <c r="AX2749" s="185" t="s">
        <v>176</v>
      </c>
      <c r="BK2749" s="55" t="s">
        <v>5976</v>
      </c>
      <c r="BM2749" s="192" t="s">
        <v>160</v>
      </c>
      <c r="BN2749" s="55">
        <v>2</v>
      </c>
      <c r="BO2749" s="55">
        <v>2</v>
      </c>
      <c r="BQ2749" s="55" t="s">
        <v>141</v>
      </c>
      <c r="BS2749" s="55">
        <v>206</v>
      </c>
      <c r="BV2749" s="55" t="s">
        <v>2783</v>
      </c>
      <c r="CB2749" s="66">
        <v>2141</v>
      </c>
      <c r="CC2749" s="66">
        <v>1937</v>
      </c>
      <c r="GP2749" s="292" t="s">
        <v>7494</v>
      </c>
    </row>
    <row r="2750" spans="1:198" x14ac:dyDescent="0.25">
      <c r="A2750" s="55">
        <v>2749</v>
      </c>
      <c r="B2750" s="12" t="s">
        <v>7067</v>
      </c>
      <c r="C2750" s="155">
        <v>128</v>
      </c>
      <c r="D2750" s="55" t="s">
        <v>4275</v>
      </c>
      <c r="E2750" s="90" t="s">
        <v>2775</v>
      </c>
      <c r="G2750" s="55" t="s">
        <v>2776</v>
      </c>
      <c r="H2750" s="55">
        <v>2005</v>
      </c>
      <c r="I2750" s="55">
        <v>2000</v>
      </c>
      <c r="J2750" s="55" t="s">
        <v>2688</v>
      </c>
      <c r="K2750" s="55" t="s">
        <v>2781</v>
      </c>
      <c r="L2750" s="55" t="s">
        <v>2777</v>
      </c>
      <c r="M2750" s="90">
        <v>-1.58</v>
      </c>
      <c r="N2750" s="90">
        <v>30.07</v>
      </c>
      <c r="O2750" s="90">
        <v>1978</v>
      </c>
      <c r="S2750" s="90">
        <v>1345</v>
      </c>
      <c r="U2750" s="55" t="s">
        <v>1935</v>
      </c>
      <c r="V2750" s="55" t="s">
        <v>1805</v>
      </c>
      <c r="Y2750" s="55" t="s">
        <v>2779</v>
      </c>
      <c r="Z2750" s="55" t="s">
        <v>1346</v>
      </c>
      <c r="AA2750" s="90" t="s">
        <v>1675</v>
      </c>
      <c r="AE2750" s="90">
        <v>70</v>
      </c>
      <c r="AF2750" s="90">
        <v>21</v>
      </c>
      <c r="AH2750" s="55" t="s">
        <v>238</v>
      </c>
      <c r="AI2750" s="168">
        <v>5</v>
      </c>
      <c r="AJ2750" s="90">
        <v>2.2999999999999998</v>
      </c>
      <c r="AM2750" s="55" t="s">
        <v>2778</v>
      </c>
      <c r="AN2750" s="185" t="s">
        <v>2665</v>
      </c>
      <c r="AO2750" s="185" t="s">
        <v>5150</v>
      </c>
      <c r="AQ2750" s="55" t="s">
        <v>553</v>
      </c>
      <c r="AR2750" s="55" t="s">
        <v>1607</v>
      </c>
      <c r="AS2750" s="55" t="s">
        <v>132</v>
      </c>
      <c r="AU2750" s="181" t="s">
        <v>7494</v>
      </c>
      <c r="AV2750" s="185" t="s">
        <v>176</v>
      </c>
      <c r="AX2750" s="185" t="s">
        <v>176</v>
      </c>
      <c r="BK2750" s="55" t="s">
        <v>5976</v>
      </c>
      <c r="BM2750" s="192" t="s">
        <v>160</v>
      </c>
      <c r="BN2750" s="55">
        <v>2</v>
      </c>
      <c r="BO2750" s="55">
        <v>2</v>
      </c>
      <c r="BQ2750" s="55" t="s">
        <v>141</v>
      </c>
      <c r="BS2750" s="55">
        <v>259</v>
      </c>
      <c r="BV2750" s="55" t="s">
        <v>2784</v>
      </c>
      <c r="CB2750" s="66">
        <v>2585</v>
      </c>
      <c r="CC2750" s="66">
        <v>2473</v>
      </c>
      <c r="GP2750" s="292" t="s">
        <v>7494</v>
      </c>
    </row>
    <row r="2751" spans="1:198" x14ac:dyDescent="0.25">
      <c r="A2751" s="55">
        <v>2750</v>
      </c>
      <c r="B2751" s="12" t="s">
        <v>7067</v>
      </c>
      <c r="C2751" s="155">
        <v>128</v>
      </c>
      <c r="D2751" s="55" t="s">
        <v>4275</v>
      </c>
      <c r="E2751" s="90" t="s">
        <v>2775</v>
      </c>
      <c r="G2751" s="55" t="s">
        <v>2776</v>
      </c>
      <c r="H2751" s="55">
        <v>2005</v>
      </c>
      <c r="I2751" s="55">
        <v>2001</v>
      </c>
      <c r="J2751" s="55" t="s">
        <v>2688</v>
      </c>
      <c r="K2751" s="55" t="s">
        <v>2781</v>
      </c>
      <c r="L2751" s="55" t="s">
        <v>2777</v>
      </c>
      <c r="M2751" s="90">
        <v>-1.58</v>
      </c>
      <c r="N2751" s="90">
        <v>30.07</v>
      </c>
      <c r="O2751" s="90">
        <v>1978</v>
      </c>
      <c r="S2751" s="90">
        <v>1345</v>
      </c>
      <c r="U2751" s="55" t="s">
        <v>1805</v>
      </c>
      <c r="V2751" s="55" t="s">
        <v>1805</v>
      </c>
      <c r="Y2751" s="55" t="s">
        <v>2779</v>
      </c>
      <c r="Z2751" s="55" t="s">
        <v>1346</v>
      </c>
      <c r="AA2751" s="90" t="s">
        <v>1675</v>
      </c>
      <c r="AE2751" s="90">
        <v>70</v>
      </c>
      <c r="AF2751" s="90">
        <v>21</v>
      </c>
      <c r="AH2751" s="55" t="s">
        <v>238</v>
      </c>
      <c r="AI2751" s="168">
        <v>5</v>
      </c>
      <c r="AJ2751" s="90">
        <v>2.2999999999999998</v>
      </c>
      <c r="AM2751" s="55" t="s">
        <v>2778</v>
      </c>
      <c r="AN2751" s="185" t="s">
        <v>2665</v>
      </c>
      <c r="AO2751" s="185" t="s">
        <v>5150</v>
      </c>
      <c r="AQ2751" s="55" t="s">
        <v>553</v>
      </c>
      <c r="AR2751" s="55" t="s">
        <v>1607</v>
      </c>
      <c r="AS2751" s="55" t="s">
        <v>132</v>
      </c>
      <c r="AU2751" s="181" t="s">
        <v>7494</v>
      </c>
      <c r="AV2751" s="185" t="s">
        <v>176</v>
      </c>
      <c r="AX2751" s="185" t="s">
        <v>176</v>
      </c>
      <c r="BK2751" s="55" t="s">
        <v>5976</v>
      </c>
      <c r="BM2751" s="192" t="s">
        <v>160</v>
      </c>
      <c r="BN2751" s="55">
        <v>2</v>
      </c>
      <c r="BO2751" s="55">
        <v>2</v>
      </c>
      <c r="BQ2751" s="55" t="s">
        <v>141</v>
      </c>
      <c r="BS2751" s="55">
        <v>416</v>
      </c>
      <c r="BV2751" s="55" t="s">
        <v>2783</v>
      </c>
      <c r="CB2751" s="66">
        <v>1719</v>
      </c>
      <c r="CC2751" s="66">
        <v>1601</v>
      </c>
      <c r="GP2751" s="292" t="s">
        <v>7494</v>
      </c>
    </row>
    <row r="2752" spans="1:198" x14ac:dyDescent="0.25">
      <c r="A2752" s="55">
        <v>2751</v>
      </c>
      <c r="B2752" s="12" t="s">
        <v>7067</v>
      </c>
      <c r="C2752" s="155">
        <v>128</v>
      </c>
      <c r="D2752" s="55" t="s">
        <v>4275</v>
      </c>
      <c r="E2752" s="90" t="s">
        <v>2775</v>
      </c>
      <c r="G2752" s="55" t="s">
        <v>2776</v>
      </c>
      <c r="H2752" s="55">
        <v>2005</v>
      </c>
      <c r="I2752" s="55">
        <v>2001</v>
      </c>
      <c r="J2752" s="55" t="s">
        <v>2688</v>
      </c>
      <c r="K2752" s="55" t="s">
        <v>2781</v>
      </c>
      <c r="L2752" s="55" t="s">
        <v>2777</v>
      </c>
      <c r="M2752" s="90">
        <v>-1.58</v>
      </c>
      <c r="N2752" s="90">
        <v>30.07</v>
      </c>
      <c r="O2752" s="90">
        <v>1978</v>
      </c>
      <c r="S2752" s="90">
        <v>1345</v>
      </c>
      <c r="U2752" s="55" t="s">
        <v>1805</v>
      </c>
      <c r="V2752" s="55" t="s">
        <v>1805</v>
      </c>
      <c r="Y2752" s="55" t="s">
        <v>2779</v>
      </c>
      <c r="Z2752" s="55" t="s">
        <v>1346</v>
      </c>
      <c r="AA2752" s="90" t="s">
        <v>1675</v>
      </c>
      <c r="AE2752" s="90">
        <v>70</v>
      </c>
      <c r="AF2752" s="90">
        <v>21</v>
      </c>
      <c r="AH2752" s="55" t="s">
        <v>238</v>
      </c>
      <c r="AI2752" s="168">
        <v>5</v>
      </c>
      <c r="AJ2752" s="90">
        <v>2.2999999999999998</v>
      </c>
      <c r="AM2752" s="55" t="s">
        <v>2778</v>
      </c>
      <c r="AN2752" s="185" t="s">
        <v>2665</v>
      </c>
      <c r="AO2752" s="185" t="s">
        <v>5150</v>
      </c>
      <c r="AQ2752" s="55" t="s">
        <v>553</v>
      </c>
      <c r="AR2752" s="55" t="s">
        <v>1607</v>
      </c>
      <c r="AS2752" s="55" t="s">
        <v>132</v>
      </c>
      <c r="AU2752" s="181" t="s">
        <v>7494</v>
      </c>
      <c r="AV2752" s="185" t="s">
        <v>176</v>
      </c>
      <c r="AX2752" s="185" t="s">
        <v>176</v>
      </c>
      <c r="BK2752" s="55" t="s">
        <v>5976</v>
      </c>
      <c r="BM2752" s="192" t="s">
        <v>160</v>
      </c>
      <c r="BN2752" s="55">
        <v>2</v>
      </c>
      <c r="BO2752" s="55">
        <v>2</v>
      </c>
      <c r="BQ2752" s="55" t="s">
        <v>141</v>
      </c>
      <c r="BV2752" s="55" t="s">
        <v>2784</v>
      </c>
      <c r="CB2752" s="66">
        <v>1469</v>
      </c>
      <c r="CC2752" s="66">
        <v>1259</v>
      </c>
      <c r="GP2752" s="292" t="s">
        <v>7494</v>
      </c>
    </row>
    <row r="2753" spans="1:198" x14ac:dyDescent="0.25">
      <c r="A2753" s="55">
        <v>2752</v>
      </c>
      <c r="B2753" s="12" t="s">
        <v>7067</v>
      </c>
      <c r="C2753" s="155">
        <v>128</v>
      </c>
      <c r="D2753" s="55" t="s">
        <v>4276</v>
      </c>
      <c r="E2753" s="90" t="s">
        <v>2775</v>
      </c>
      <c r="G2753" s="55" t="s">
        <v>2776</v>
      </c>
      <c r="H2753" s="55">
        <v>2005</v>
      </c>
      <c r="I2753" s="55">
        <v>2000</v>
      </c>
      <c r="J2753" s="55" t="s">
        <v>2688</v>
      </c>
      <c r="K2753" s="55" t="s">
        <v>2782</v>
      </c>
      <c r="L2753" s="55" t="s">
        <v>2777</v>
      </c>
      <c r="M2753" s="90">
        <v>-1.95</v>
      </c>
      <c r="N2753" s="90">
        <v>30.09</v>
      </c>
      <c r="O2753" s="90">
        <v>1165.3</v>
      </c>
      <c r="S2753" s="90">
        <v>1357</v>
      </c>
      <c r="U2753" s="55" t="s">
        <v>1935</v>
      </c>
      <c r="V2753" s="55" t="s">
        <v>1805</v>
      </c>
      <c r="Y2753" s="55" t="s">
        <v>2779</v>
      </c>
      <c r="Z2753" s="55" t="s">
        <v>1346</v>
      </c>
      <c r="AA2753" s="90" t="s">
        <v>1675</v>
      </c>
      <c r="AE2753" s="90">
        <v>67</v>
      </c>
      <c r="AF2753" s="90">
        <v>24</v>
      </c>
      <c r="AH2753" s="55" t="s">
        <v>238</v>
      </c>
      <c r="AI2753" s="168">
        <v>5.5</v>
      </c>
      <c r="AJ2753" s="90">
        <v>2.6</v>
      </c>
      <c r="AM2753" s="55" t="s">
        <v>2778</v>
      </c>
      <c r="AN2753" s="185" t="s">
        <v>2664</v>
      </c>
      <c r="AO2753" s="185" t="s">
        <v>5150</v>
      </c>
      <c r="AQ2753" s="55" t="s">
        <v>553</v>
      </c>
      <c r="AR2753" s="55" t="s">
        <v>1607</v>
      </c>
      <c r="AS2753" s="55" t="s">
        <v>132</v>
      </c>
      <c r="AU2753" s="181" t="s">
        <v>7494</v>
      </c>
      <c r="AV2753" s="185" t="s">
        <v>176</v>
      </c>
      <c r="AX2753" s="185" t="s">
        <v>176</v>
      </c>
      <c r="BK2753" s="55" t="s">
        <v>5976</v>
      </c>
      <c r="BM2753" s="192" t="s">
        <v>160</v>
      </c>
      <c r="BN2753" s="55">
        <v>2</v>
      </c>
      <c r="BO2753" s="55">
        <v>2</v>
      </c>
      <c r="BQ2753" s="55" t="s">
        <v>141</v>
      </c>
      <c r="BS2753" s="55">
        <v>2183</v>
      </c>
      <c r="BV2753" s="55" t="s">
        <v>2783</v>
      </c>
      <c r="CB2753" s="66">
        <v>1996</v>
      </c>
      <c r="CC2753" s="66">
        <v>1542</v>
      </c>
      <c r="GP2753" s="292" t="s">
        <v>7494</v>
      </c>
    </row>
    <row r="2754" spans="1:198" x14ac:dyDescent="0.25">
      <c r="A2754" s="55">
        <v>2753</v>
      </c>
      <c r="B2754" s="12" t="s">
        <v>7067</v>
      </c>
      <c r="C2754" s="155">
        <v>128</v>
      </c>
      <c r="D2754" s="55" t="s">
        <v>4276</v>
      </c>
      <c r="E2754" s="90" t="s">
        <v>2775</v>
      </c>
      <c r="G2754" s="55" t="s">
        <v>2776</v>
      </c>
      <c r="H2754" s="55">
        <v>2005</v>
      </c>
      <c r="I2754" s="55">
        <v>2000</v>
      </c>
      <c r="J2754" s="55" t="s">
        <v>2688</v>
      </c>
      <c r="K2754" s="55" t="s">
        <v>2782</v>
      </c>
      <c r="L2754" s="55" t="s">
        <v>2777</v>
      </c>
      <c r="M2754" s="90">
        <v>-1.95</v>
      </c>
      <c r="N2754" s="90">
        <v>30.09</v>
      </c>
      <c r="O2754" s="90">
        <v>1165.3</v>
      </c>
      <c r="S2754" s="90">
        <v>1357</v>
      </c>
      <c r="U2754" s="55" t="s">
        <v>1935</v>
      </c>
      <c r="V2754" s="55" t="s">
        <v>1805</v>
      </c>
      <c r="Y2754" s="55" t="s">
        <v>2779</v>
      </c>
      <c r="Z2754" s="55" t="s">
        <v>1346</v>
      </c>
      <c r="AA2754" s="90" t="s">
        <v>1675</v>
      </c>
      <c r="AE2754" s="90">
        <v>67</v>
      </c>
      <c r="AF2754" s="90">
        <v>24</v>
      </c>
      <c r="AH2754" s="55" t="s">
        <v>238</v>
      </c>
      <c r="AI2754" s="168">
        <v>5.5</v>
      </c>
      <c r="AJ2754" s="90">
        <v>2.6</v>
      </c>
      <c r="AM2754" s="55" t="s">
        <v>2778</v>
      </c>
      <c r="AN2754" s="185" t="s">
        <v>2664</v>
      </c>
      <c r="AO2754" s="185" t="s">
        <v>5150</v>
      </c>
      <c r="AQ2754" s="55" t="s">
        <v>553</v>
      </c>
      <c r="AR2754" s="55" t="s">
        <v>1607</v>
      </c>
      <c r="AS2754" s="55" t="s">
        <v>132</v>
      </c>
      <c r="AU2754" s="181" t="s">
        <v>7494</v>
      </c>
      <c r="AV2754" s="185" t="s">
        <v>176</v>
      </c>
      <c r="AX2754" s="185" t="s">
        <v>176</v>
      </c>
      <c r="BK2754" s="55" t="s">
        <v>5976</v>
      </c>
      <c r="BM2754" s="192" t="s">
        <v>160</v>
      </c>
      <c r="BN2754" s="55">
        <v>2</v>
      </c>
      <c r="BO2754" s="55">
        <v>2</v>
      </c>
      <c r="BQ2754" s="55" t="s">
        <v>141</v>
      </c>
      <c r="BS2754" s="55">
        <v>6029</v>
      </c>
      <c r="BV2754" s="55" t="s">
        <v>2784</v>
      </c>
      <c r="CB2754" s="66">
        <v>2201</v>
      </c>
      <c r="CC2754" s="66">
        <v>2498</v>
      </c>
      <c r="GP2754" s="292" t="s">
        <v>7494</v>
      </c>
    </row>
    <row r="2755" spans="1:198" x14ac:dyDescent="0.25">
      <c r="A2755" s="55">
        <v>2754</v>
      </c>
      <c r="B2755" s="12" t="s">
        <v>7067</v>
      </c>
      <c r="C2755" s="155">
        <v>128</v>
      </c>
      <c r="D2755" s="55" t="s">
        <v>4276</v>
      </c>
      <c r="E2755" s="90" t="s">
        <v>2775</v>
      </c>
      <c r="G2755" s="55" t="s">
        <v>2776</v>
      </c>
      <c r="H2755" s="55">
        <v>2005</v>
      </c>
      <c r="I2755" s="55">
        <v>2001</v>
      </c>
      <c r="J2755" s="55" t="s">
        <v>2688</v>
      </c>
      <c r="K2755" s="55" t="s">
        <v>2782</v>
      </c>
      <c r="L2755" s="55" t="s">
        <v>2777</v>
      </c>
      <c r="M2755" s="90">
        <v>-1.95</v>
      </c>
      <c r="N2755" s="90">
        <v>30.09</v>
      </c>
      <c r="O2755" s="90">
        <v>1165.3</v>
      </c>
      <c r="S2755" s="90">
        <v>1357</v>
      </c>
      <c r="U2755" s="55" t="s">
        <v>1805</v>
      </c>
      <c r="V2755" s="55" t="s">
        <v>1805</v>
      </c>
      <c r="Y2755" s="55" t="s">
        <v>2779</v>
      </c>
      <c r="Z2755" s="55" t="s">
        <v>1346</v>
      </c>
      <c r="AA2755" s="90" t="s">
        <v>1675</v>
      </c>
      <c r="AE2755" s="90">
        <v>67</v>
      </c>
      <c r="AF2755" s="90">
        <v>24</v>
      </c>
      <c r="AH2755" s="55" t="s">
        <v>238</v>
      </c>
      <c r="AI2755" s="168">
        <v>5.5</v>
      </c>
      <c r="AJ2755" s="90">
        <v>2.6</v>
      </c>
      <c r="AM2755" s="55" t="s">
        <v>2778</v>
      </c>
      <c r="AN2755" s="185" t="s">
        <v>2664</v>
      </c>
      <c r="AO2755" s="185" t="s">
        <v>5150</v>
      </c>
      <c r="AQ2755" s="55" t="s">
        <v>553</v>
      </c>
      <c r="AR2755" s="55" t="s">
        <v>1607</v>
      </c>
      <c r="AS2755" s="55" t="s">
        <v>132</v>
      </c>
      <c r="AU2755" s="181" t="s">
        <v>7494</v>
      </c>
      <c r="AV2755" s="185" t="s">
        <v>176</v>
      </c>
      <c r="AX2755" s="185" t="s">
        <v>176</v>
      </c>
      <c r="BK2755" s="55" t="s">
        <v>5976</v>
      </c>
      <c r="BM2755" s="192" t="s">
        <v>160</v>
      </c>
      <c r="BN2755" s="55">
        <v>2</v>
      </c>
      <c r="BO2755" s="55">
        <v>2</v>
      </c>
      <c r="BQ2755" s="55" t="s">
        <v>141</v>
      </c>
      <c r="BS2755" s="55">
        <v>1288</v>
      </c>
      <c r="BV2755" s="55" t="s">
        <v>2783</v>
      </c>
      <c r="CB2755" s="66">
        <v>2050</v>
      </c>
      <c r="CC2755" s="66">
        <v>2216</v>
      </c>
      <c r="GP2755" s="292" t="s">
        <v>7494</v>
      </c>
    </row>
    <row r="2756" spans="1:198" x14ac:dyDescent="0.25">
      <c r="A2756" s="55">
        <v>2755</v>
      </c>
      <c r="B2756" s="12" t="s">
        <v>7067</v>
      </c>
      <c r="C2756" s="155">
        <v>128</v>
      </c>
      <c r="D2756" s="55" t="s">
        <v>4276</v>
      </c>
      <c r="E2756" s="90" t="s">
        <v>2775</v>
      </c>
      <c r="G2756" s="55" t="s">
        <v>2776</v>
      </c>
      <c r="H2756" s="55">
        <v>2005</v>
      </c>
      <c r="I2756" s="55">
        <v>2001</v>
      </c>
      <c r="J2756" s="55" t="s">
        <v>2688</v>
      </c>
      <c r="K2756" s="55" t="s">
        <v>2782</v>
      </c>
      <c r="L2756" s="55" t="s">
        <v>2777</v>
      </c>
      <c r="M2756" s="90">
        <v>-1.95</v>
      </c>
      <c r="N2756" s="90">
        <v>30.09</v>
      </c>
      <c r="O2756" s="90">
        <v>1165.3</v>
      </c>
      <c r="S2756" s="90">
        <v>1357</v>
      </c>
      <c r="U2756" s="55" t="s">
        <v>1805</v>
      </c>
      <c r="V2756" s="55" t="s">
        <v>1805</v>
      </c>
      <c r="Y2756" s="55" t="s">
        <v>2779</v>
      </c>
      <c r="Z2756" s="55" t="s">
        <v>1346</v>
      </c>
      <c r="AA2756" s="90" t="s">
        <v>1675</v>
      </c>
      <c r="AE2756" s="90">
        <v>67</v>
      </c>
      <c r="AF2756" s="90">
        <v>24</v>
      </c>
      <c r="AH2756" s="55" t="s">
        <v>238</v>
      </c>
      <c r="AI2756" s="168">
        <v>5.5</v>
      </c>
      <c r="AJ2756" s="90">
        <v>2.6</v>
      </c>
      <c r="AM2756" s="55" t="s">
        <v>2778</v>
      </c>
      <c r="AN2756" s="185" t="s">
        <v>2664</v>
      </c>
      <c r="AO2756" s="185" t="s">
        <v>5150</v>
      </c>
      <c r="AQ2756" s="55" t="s">
        <v>553</v>
      </c>
      <c r="AR2756" s="55" t="s">
        <v>1607</v>
      </c>
      <c r="AS2756" s="55" t="s">
        <v>132</v>
      </c>
      <c r="AU2756" s="181" t="s">
        <v>7494</v>
      </c>
      <c r="AV2756" s="185" t="s">
        <v>176</v>
      </c>
      <c r="AX2756" s="185" t="s">
        <v>176</v>
      </c>
      <c r="BK2756" s="55" t="s">
        <v>5976</v>
      </c>
      <c r="BM2756" s="192" t="s">
        <v>160</v>
      </c>
      <c r="BN2756" s="55">
        <v>2</v>
      </c>
      <c r="BO2756" s="55">
        <v>2</v>
      </c>
      <c r="BQ2756" s="55" t="s">
        <v>141</v>
      </c>
      <c r="BV2756" s="55" t="s">
        <v>2784</v>
      </c>
      <c r="CB2756" s="66">
        <v>2257</v>
      </c>
      <c r="CC2756" s="66">
        <v>2549</v>
      </c>
      <c r="GP2756" s="292" t="s">
        <v>7494</v>
      </c>
    </row>
    <row r="2757" spans="1:198" x14ac:dyDescent="0.25">
      <c r="A2757" s="55">
        <v>2756</v>
      </c>
      <c r="B2757" s="12" t="s">
        <v>7067</v>
      </c>
      <c r="C2757" s="155">
        <v>128</v>
      </c>
      <c r="D2757" s="55" t="s">
        <v>4276</v>
      </c>
      <c r="E2757" s="90" t="s">
        <v>2775</v>
      </c>
      <c r="G2757" s="55" t="s">
        <v>2776</v>
      </c>
      <c r="H2757" s="55">
        <v>2005</v>
      </c>
      <c r="I2757" s="55">
        <v>2000</v>
      </c>
      <c r="J2757" s="55" t="s">
        <v>2688</v>
      </c>
      <c r="K2757" s="55" t="s">
        <v>2782</v>
      </c>
      <c r="L2757" s="55" t="s">
        <v>2777</v>
      </c>
      <c r="M2757" s="90">
        <v>-1.95</v>
      </c>
      <c r="N2757" s="90">
        <v>30.09</v>
      </c>
      <c r="O2757" s="90">
        <v>1165.3</v>
      </c>
      <c r="S2757" s="90">
        <v>1357</v>
      </c>
      <c r="U2757" s="55" t="s">
        <v>1935</v>
      </c>
      <c r="V2757" s="55" t="s">
        <v>1805</v>
      </c>
      <c r="Y2757" s="55" t="s">
        <v>2779</v>
      </c>
      <c r="Z2757" s="55" t="s">
        <v>1346</v>
      </c>
      <c r="AA2757" s="90" t="s">
        <v>1675</v>
      </c>
      <c r="AE2757" s="90">
        <v>67</v>
      </c>
      <c r="AF2757" s="90">
        <v>24</v>
      </c>
      <c r="AH2757" s="55" t="s">
        <v>238</v>
      </c>
      <c r="AI2757" s="168">
        <v>5.5</v>
      </c>
      <c r="AJ2757" s="90">
        <v>2.6</v>
      </c>
      <c r="AM2757" s="55" t="s">
        <v>2778</v>
      </c>
      <c r="AN2757" s="185" t="s">
        <v>2666</v>
      </c>
      <c r="AO2757" s="185" t="s">
        <v>5150</v>
      </c>
      <c r="AQ2757" s="55" t="s">
        <v>553</v>
      </c>
      <c r="AR2757" s="55" t="s">
        <v>1607</v>
      </c>
      <c r="AS2757" s="55" t="s">
        <v>132</v>
      </c>
      <c r="AU2757" s="181" t="s">
        <v>7494</v>
      </c>
      <c r="AV2757" s="185" t="s">
        <v>176</v>
      </c>
      <c r="AX2757" s="185" t="s">
        <v>176</v>
      </c>
      <c r="BK2757" s="55" t="s">
        <v>5976</v>
      </c>
      <c r="BM2757" s="192" t="s">
        <v>160</v>
      </c>
      <c r="BN2757" s="55">
        <v>2</v>
      </c>
      <c r="BO2757" s="55">
        <v>2</v>
      </c>
      <c r="BQ2757" s="55" t="s">
        <v>141</v>
      </c>
      <c r="BS2757" s="55">
        <v>1202</v>
      </c>
      <c r="BV2757" s="55" t="s">
        <v>2783</v>
      </c>
      <c r="CB2757" s="66">
        <v>1996</v>
      </c>
      <c r="CC2757" s="66">
        <v>1806</v>
      </c>
      <c r="GP2757" s="292" t="s">
        <v>7494</v>
      </c>
    </row>
    <row r="2758" spans="1:198" x14ac:dyDescent="0.25">
      <c r="A2758" s="55">
        <v>2757</v>
      </c>
      <c r="B2758" s="12" t="s">
        <v>7067</v>
      </c>
      <c r="C2758" s="155">
        <v>128</v>
      </c>
      <c r="D2758" s="55" t="s">
        <v>4276</v>
      </c>
      <c r="E2758" s="90" t="s">
        <v>2775</v>
      </c>
      <c r="G2758" s="55" t="s">
        <v>2776</v>
      </c>
      <c r="H2758" s="55">
        <v>2005</v>
      </c>
      <c r="I2758" s="55">
        <v>2000</v>
      </c>
      <c r="J2758" s="55" t="s">
        <v>2688</v>
      </c>
      <c r="K2758" s="55" t="s">
        <v>2782</v>
      </c>
      <c r="L2758" s="55" t="s">
        <v>2777</v>
      </c>
      <c r="M2758" s="90">
        <v>-1.95</v>
      </c>
      <c r="N2758" s="90">
        <v>30.09</v>
      </c>
      <c r="O2758" s="90">
        <v>1165.3</v>
      </c>
      <c r="S2758" s="90">
        <v>1357</v>
      </c>
      <c r="U2758" s="55" t="s">
        <v>1935</v>
      </c>
      <c r="V2758" s="55" t="s">
        <v>1805</v>
      </c>
      <c r="Y2758" s="55" t="s">
        <v>2779</v>
      </c>
      <c r="Z2758" s="55" t="s">
        <v>1346</v>
      </c>
      <c r="AA2758" s="90" t="s">
        <v>1675</v>
      </c>
      <c r="AE2758" s="90">
        <v>67</v>
      </c>
      <c r="AF2758" s="90">
        <v>24</v>
      </c>
      <c r="AH2758" s="55" t="s">
        <v>238</v>
      </c>
      <c r="AI2758" s="168">
        <v>5.5</v>
      </c>
      <c r="AJ2758" s="90">
        <v>2.6</v>
      </c>
      <c r="AM2758" s="55" t="s">
        <v>2778</v>
      </c>
      <c r="AN2758" s="185" t="s">
        <v>2666</v>
      </c>
      <c r="AO2758" s="185" t="s">
        <v>5150</v>
      </c>
      <c r="AQ2758" s="55" t="s">
        <v>553</v>
      </c>
      <c r="AR2758" s="55" t="s">
        <v>1607</v>
      </c>
      <c r="AS2758" s="55" t="s">
        <v>132</v>
      </c>
      <c r="AU2758" s="181" t="s">
        <v>7494</v>
      </c>
      <c r="AV2758" s="185" t="s">
        <v>176</v>
      </c>
      <c r="AX2758" s="185" t="s">
        <v>176</v>
      </c>
      <c r="BK2758" s="55" t="s">
        <v>5976</v>
      </c>
      <c r="BM2758" s="192" t="s">
        <v>160</v>
      </c>
      <c r="BN2758" s="55">
        <v>2</v>
      </c>
      <c r="BO2758" s="55">
        <v>2</v>
      </c>
      <c r="BQ2758" s="55" t="s">
        <v>141</v>
      </c>
      <c r="BS2758" s="55">
        <v>3027</v>
      </c>
      <c r="BV2758" s="55" t="s">
        <v>2784</v>
      </c>
      <c r="CB2758" s="66">
        <v>2201</v>
      </c>
      <c r="CC2758" s="66">
        <v>2531</v>
      </c>
      <c r="GP2758" s="292" t="s">
        <v>7494</v>
      </c>
    </row>
    <row r="2759" spans="1:198" x14ac:dyDescent="0.25">
      <c r="A2759" s="55">
        <v>2758</v>
      </c>
      <c r="B2759" s="12" t="s">
        <v>7067</v>
      </c>
      <c r="C2759" s="155">
        <v>128</v>
      </c>
      <c r="D2759" s="55" t="s">
        <v>4276</v>
      </c>
      <c r="E2759" s="90" t="s">
        <v>2775</v>
      </c>
      <c r="G2759" s="55" t="s">
        <v>2776</v>
      </c>
      <c r="H2759" s="55">
        <v>2005</v>
      </c>
      <c r="I2759" s="55">
        <v>2001</v>
      </c>
      <c r="J2759" s="55" t="s">
        <v>2688</v>
      </c>
      <c r="K2759" s="55" t="s">
        <v>2782</v>
      </c>
      <c r="L2759" s="55" t="s">
        <v>2777</v>
      </c>
      <c r="M2759" s="90">
        <v>-1.95</v>
      </c>
      <c r="N2759" s="90">
        <v>30.09</v>
      </c>
      <c r="O2759" s="90">
        <v>1165.3</v>
      </c>
      <c r="S2759" s="90">
        <v>1357</v>
      </c>
      <c r="U2759" s="55" t="s">
        <v>1805</v>
      </c>
      <c r="V2759" s="55" t="s">
        <v>1805</v>
      </c>
      <c r="Y2759" s="55" t="s">
        <v>2779</v>
      </c>
      <c r="Z2759" s="55" t="s">
        <v>1346</v>
      </c>
      <c r="AA2759" s="90" t="s">
        <v>1675</v>
      </c>
      <c r="AE2759" s="90">
        <v>67</v>
      </c>
      <c r="AF2759" s="90">
        <v>24</v>
      </c>
      <c r="AH2759" s="55" t="s">
        <v>238</v>
      </c>
      <c r="AI2759" s="168">
        <v>5.5</v>
      </c>
      <c r="AJ2759" s="90">
        <v>2.6</v>
      </c>
      <c r="AM2759" s="55" t="s">
        <v>2778</v>
      </c>
      <c r="AN2759" s="185" t="s">
        <v>2666</v>
      </c>
      <c r="AO2759" s="185" t="s">
        <v>5150</v>
      </c>
      <c r="AQ2759" s="55" t="s">
        <v>553</v>
      </c>
      <c r="AR2759" s="55" t="s">
        <v>1607</v>
      </c>
      <c r="AS2759" s="55" t="s">
        <v>132</v>
      </c>
      <c r="AU2759" s="181" t="s">
        <v>7494</v>
      </c>
      <c r="AV2759" s="185" t="s">
        <v>176</v>
      </c>
      <c r="AX2759" s="185" t="s">
        <v>176</v>
      </c>
      <c r="BK2759" s="55" t="s">
        <v>5976</v>
      </c>
      <c r="BM2759" s="192" t="s">
        <v>160</v>
      </c>
      <c r="BN2759" s="55">
        <v>2</v>
      </c>
      <c r="BO2759" s="55">
        <v>2</v>
      </c>
      <c r="BQ2759" s="55" t="s">
        <v>141</v>
      </c>
      <c r="BS2759" s="55">
        <v>1423</v>
      </c>
      <c r="BV2759" s="55" t="s">
        <v>2783</v>
      </c>
      <c r="CB2759" s="66">
        <v>2050</v>
      </c>
      <c r="CC2759" s="66">
        <v>2145</v>
      </c>
      <c r="GP2759" s="292" t="s">
        <v>7494</v>
      </c>
    </row>
    <row r="2760" spans="1:198" x14ac:dyDescent="0.25">
      <c r="A2760" s="55">
        <v>2759</v>
      </c>
      <c r="B2760" s="12" t="s">
        <v>7067</v>
      </c>
      <c r="C2760" s="155">
        <v>128</v>
      </c>
      <c r="D2760" s="55" t="s">
        <v>4276</v>
      </c>
      <c r="E2760" s="90" t="s">
        <v>2775</v>
      </c>
      <c r="G2760" s="55" t="s">
        <v>2776</v>
      </c>
      <c r="H2760" s="55">
        <v>2005</v>
      </c>
      <c r="I2760" s="55">
        <v>2001</v>
      </c>
      <c r="J2760" s="55" t="s">
        <v>2688</v>
      </c>
      <c r="K2760" s="55" t="s">
        <v>2782</v>
      </c>
      <c r="L2760" s="55" t="s">
        <v>2777</v>
      </c>
      <c r="M2760" s="90">
        <v>-1.95</v>
      </c>
      <c r="N2760" s="90">
        <v>30.09</v>
      </c>
      <c r="O2760" s="90">
        <v>1165.3</v>
      </c>
      <c r="S2760" s="90">
        <v>1357</v>
      </c>
      <c r="U2760" s="55" t="s">
        <v>1805</v>
      </c>
      <c r="V2760" s="55" t="s">
        <v>1805</v>
      </c>
      <c r="Y2760" s="55" t="s">
        <v>2779</v>
      </c>
      <c r="Z2760" s="55" t="s">
        <v>1346</v>
      </c>
      <c r="AA2760" s="90" t="s">
        <v>1675</v>
      </c>
      <c r="AE2760" s="90">
        <v>67</v>
      </c>
      <c r="AF2760" s="90">
        <v>24</v>
      </c>
      <c r="AH2760" s="55" t="s">
        <v>238</v>
      </c>
      <c r="AI2760" s="168">
        <v>5.5</v>
      </c>
      <c r="AJ2760" s="90">
        <v>2.6</v>
      </c>
      <c r="AM2760" s="55" t="s">
        <v>2778</v>
      </c>
      <c r="AN2760" s="185" t="s">
        <v>2666</v>
      </c>
      <c r="AO2760" s="185" t="s">
        <v>5150</v>
      </c>
      <c r="AQ2760" s="55" t="s">
        <v>553</v>
      </c>
      <c r="AR2760" s="55" t="s">
        <v>1607</v>
      </c>
      <c r="AS2760" s="55" t="s">
        <v>132</v>
      </c>
      <c r="AU2760" s="181" t="s">
        <v>7494</v>
      </c>
      <c r="AV2760" s="185" t="s">
        <v>176</v>
      </c>
      <c r="AX2760" s="185" t="s">
        <v>176</v>
      </c>
      <c r="BK2760" s="55" t="s">
        <v>5976</v>
      </c>
      <c r="BM2760" s="192" t="s">
        <v>160</v>
      </c>
      <c r="BN2760" s="55">
        <v>2</v>
      </c>
      <c r="BO2760" s="55">
        <v>2</v>
      </c>
      <c r="BQ2760" s="55" t="s">
        <v>141</v>
      </c>
      <c r="BV2760" s="55" t="s">
        <v>2784</v>
      </c>
      <c r="CB2760" s="66">
        <v>2257</v>
      </c>
      <c r="CC2760" s="66">
        <v>2338</v>
      </c>
      <c r="GP2760" s="292" t="s">
        <v>7494</v>
      </c>
    </row>
    <row r="2761" spans="1:198" x14ac:dyDescent="0.25">
      <c r="A2761" s="55">
        <v>2760</v>
      </c>
      <c r="B2761" s="12" t="s">
        <v>7067</v>
      </c>
      <c r="C2761" s="155">
        <v>128</v>
      </c>
      <c r="D2761" s="55" t="s">
        <v>4276</v>
      </c>
      <c r="E2761" s="90" t="s">
        <v>2775</v>
      </c>
      <c r="G2761" s="55" t="s">
        <v>2776</v>
      </c>
      <c r="H2761" s="55">
        <v>2005</v>
      </c>
      <c r="I2761" s="55">
        <v>2000</v>
      </c>
      <c r="J2761" s="55" t="s">
        <v>2688</v>
      </c>
      <c r="K2761" s="55" t="s">
        <v>2782</v>
      </c>
      <c r="L2761" s="55" t="s">
        <v>2777</v>
      </c>
      <c r="M2761" s="90">
        <v>-1.95</v>
      </c>
      <c r="N2761" s="90">
        <v>30.09</v>
      </c>
      <c r="O2761" s="90">
        <v>1165.3</v>
      </c>
      <c r="S2761" s="90">
        <v>1357</v>
      </c>
      <c r="U2761" s="55" t="s">
        <v>1935</v>
      </c>
      <c r="V2761" s="55" t="s">
        <v>1805</v>
      </c>
      <c r="Y2761" s="55" t="s">
        <v>2779</v>
      </c>
      <c r="Z2761" s="55" t="s">
        <v>1346</v>
      </c>
      <c r="AA2761" s="90" t="s">
        <v>1675</v>
      </c>
      <c r="AE2761" s="90">
        <v>67</v>
      </c>
      <c r="AF2761" s="90">
        <v>24</v>
      </c>
      <c r="AH2761" s="55" t="s">
        <v>238</v>
      </c>
      <c r="AI2761" s="168">
        <v>5.5</v>
      </c>
      <c r="AJ2761" s="90">
        <v>2.6</v>
      </c>
      <c r="AM2761" s="55" t="s">
        <v>2778</v>
      </c>
      <c r="AN2761" s="185" t="s">
        <v>2785</v>
      </c>
      <c r="AO2761" s="185" t="s">
        <v>5150</v>
      </c>
      <c r="AQ2761" s="55" t="s">
        <v>553</v>
      </c>
      <c r="AR2761" s="55" t="s">
        <v>1607</v>
      </c>
      <c r="AS2761" s="55" t="s">
        <v>132</v>
      </c>
      <c r="AU2761" s="181" t="s">
        <v>7494</v>
      </c>
      <c r="AV2761" s="185" t="s">
        <v>176</v>
      </c>
      <c r="AX2761" s="185" t="s">
        <v>176</v>
      </c>
      <c r="BK2761" s="55" t="s">
        <v>5976</v>
      </c>
      <c r="BM2761" s="192" t="s">
        <v>160</v>
      </c>
      <c r="BN2761" s="55">
        <v>2</v>
      </c>
      <c r="BO2761" s="55">
        <v>2</v>
      </c>
      <c r="BQ2761" s="55" t="s">
        <v>141</v>
      </c>
      <c r="BS2761" s="55">
        <v>3505</v>
      </c>
      <c r="BV2761" s="55" t="s">
        <v>2783</v>
      </c>
      <c r="CB2761" s="66">
        <v>1996</v>
      </c>
      <c r="CC2761" s="66">
        <v>1735</v>
      </c>
      <c r="GP2761" s="292" t="s">
        <v>7494</v>
      </c>
    </row>
    <row r="2762" spans="1:198" x14ac:dyDescent="0.25">
      <c r="A2762" s="55">
        <v>2761</v>
      </c>
      <c r="B2762" s="12" t="s">
        <v>7067</v>
      </c>
      <c r="C2762" s="155">
        <v>128</v>
      </c>
      <c r="D2762" s="55" t="s">
        <v>4276</v>
      </c>
      <c r="E2762" s="90" t="s">
        <v>2775</v>
      </c>
      <c r="G2762" s="55" t="s">
        <v>2776</v>
      </c>
      <c r="H2762" s="55">
        <v>2005</v>
      </c>
      <c r="I2762" s="55">
        <v>2000</v>
      </c>
      <c r="J2762" s="55" t="s">
        <v>2688</v>
      </c>
      <c r="K2762" s="55" t="s">
        <v>2782</v>
      </c>
      <c r="L2762" s="55" t="s">
        <v>2777</v>
      </c>
      <c r="M2762" s="90">
        <v>-1.95</v>
      </c>
      <c r="N2762" s="90">
        <v>30.09</v>
      </c>
      <c r="O2762" s="90">
        <v>1165.3</v>
      </c>
      <c r="S2762" s="90">
        <v>1357</v>
      </c>
      <c r="U2762" s="55" t="s">
        <v>1935</v>
      </c>
      <c r="V2762" s="55" t="s">
        <v>1805</v>
      </c>
      <c r="Y2762" s="55" t="s">
        <v>2779</v>
      </c>
      <c r="Z2762" s="55" t="s">
        <v>1346</v>
      </c>
      <c r="AA2762" s="90" t="s">
        <v>1675</v>
      </c>
      <c r="AE2762" s="90">
        <v>67</v>
      </c>
      <c r="AF2762" s="90">
        <v>24</v>
      </c>
      <c r="AH2762" s="55" t="s">
        <v>238</v>
      </c>
      <c r="AI2762" s="168">
        <v>5.5</v>
      </c>
      <c r="AJ2762" s="90">
        <v>2.6</v>
      </c>
      <c r="AM2762" s="55" t="s">
        <v>2778</v>
      </c>
      <c r="AN2762" s="185" t="s">
        <v>2785</v>
      </c>
      <c r="AO2762" s="185" t="s">
        <v>5150</v>
      </c>
      <c r="AQ2762" s="55" t="s">
        <v>553</v>
      </c>
      <c r="AR2762" s="55" t="s">
        <v>1607</v>
      </c>
      <c r="AS2762" s="55" t="s">
        <v>132</v>
      </c>
      <c r="AU2762" s="181" t="s">
        <v>7494</v>
      </c>
      <c r="AV2762" s="185" t="s">
        <v>176</v>
      </c>
      <c r="AX2762" s="185" t="s">
        <v>176</v>
      </c>
      <c r="BK2762" s="55" t="s">
        <v>5976</v>
      </c>
      <c r="BM2762" s="192" t="s">
        <v>160</v>
      </c>
      <c r="BN2762" s="55">
        <v>2</v>
      </c>
      <c r="BO2762" s="55">
        <v>2</v>
      </c>
      <c r="BQ2762" s="55" t="s">
        <v>141</v>
      </c>
      <c r="BS2762" s="55">
        <v>4306</v>
      </c>
      <c r="BV2762" s="55" t="s">
        <v>2784</v>
      </c>
      <c r="CB2762" s="66">
        <v>2201</v>
      </c>
      <c r="CC2762" s="66">
        <v>2411</v>
      </c>
      <c r="GP2762" s="292" t="s">
        <v>7494</v>
      </c>
    </row>
    <row r="2763" spans="1:198" x14ac:dyDescent="0.25">
      <c r="A2763" s="55">
        <v>2762</v>
      </c>
      <c r="B2763" s="12" t="s">
        <v>7067</v>
      </c>
      <c r="C2763" s="155">
        <v>128</v>
      </c>
      <c r="D2763" s="55" t="s">
        <v>4276</v>
      </c>
      <c r="E2763" s="90" t="s">
        <v>2775</v>
      </c>
      <c r="G2763" s="55" t="s">
        <v>2776</v>
      </c>
      <c r="H2763" s="55">
        <v>2005</v>
      </c>
      <c r="I2763" s="55">
        <v>2001</v>
      </c>
      <c r="J2763" s="55" t="s">
        <v>2688</v>
      </c>
      <c r="K2763" s="55" t="s">
        <v>2782</v>
      </c>
      <c r="L2763" s="55" t="s">
        <v>2777</v>
      </c>
      <c r="M2763" s="90">
        <v>-1.95</v>
      </c>
      <c r="N2763" s="90">
        <v>30.09</v>
      </c>
      <c r="O2763" s="90">
        <v>1165.3</v>
      </c>
      <c r="S2763" s="90">
        <v>1357</v>
      </c>
      <c r="U2763" s="55" t="s">
        <v>1805</v>
      </c>
      <c r="V2763" s="55" t="s">
        <v>1805</v>
      </c>
      <c r="Y2763" s="55" t="s">
        <v>2779</v>
      </c>
      <c r="Z2763" s="55" t="s">
        <v>1346</v>
      </c>
      <c r="AA2763" s="90" t="s">
        <v>1675</v>
      </c>
      <c r="AE2763" s="90">
        <v>67</v>
      </c>
      <c r="AF2763" s="90">
        <v>24</v>
      </c>
      <c r="AH2763" s="55" t="s">
        <v>238</v>
      </c>
      <c r="AI2763" s="168">
        <v>5.5</v>
      </c>
      <c r="AJ2763" s="90">
        <v>2.6</v>
      </c>
      <c r="AM2763" s="55" t="s">
        <v>2778</v>
      </c>
      <c r="AN2763" s="185" t="s">
        <v>2785</v>
      </c>
      <c r="AO2763" s="185" t="s">
        <v>5150</v>
      </c>
      <c r="AQ2763" s="55" t="s">
        <v>553</v>
      </c>
      <c r="AR2763" s="55" t="s">
        <v>1607</v>
      </c>
      <c r="AS2763" s="55" t="s">
        <v>132</v>
      </c>
      <c r="AU2763" s="181" t="s">
        <v>7494</v>
      </c>
      <c r="AV2763" s="185" t="s">
        <v>176</v>
      </c>
      <c r="AX2763" s="185" t="s">
        <v>176</v>
      </c>
      <c r="BK2763" s="55" t="s">
        <v>5976</v>
      </c>
      <c r="BM2763" s="192" t="s">
        <v>160</v>
      </c>
      <c r="BN2763" s="55">
        <v>2</v>
      </c>
      <c r="BO2763" s="55">
        <v>2</v>
      </c>
      <c r="BQ2763" s="55" t="s">
        <v>141</v>
      </c>
      <c r="BS2763" s="55">
        <v>751</v>
      </c>
      <c r="BV2763" s="55" t="s">
        <v>2783</v>
      </c>
      <c r="CB2763" s="66">
        <v>2050</v>
      </c>
      <c r="CC2763" s="66">
        <v>2814</v>
      </c>
      <c r="GP2763" s="292" t="s">
        <v>7494</v>
      </c>
    </row>
    <row r="2764" spans="1:198" x14ac:dyDescent="0.25">
      <c r="A2764" s="55">
        <v>2763</v>
      </c>
      <c r="B2764" s="12" t="s">
        <v>7067</v>
      </c>
      <c r="C2764" s="155">
        <v>128</v>
      </c>
      <c r="D2764" s="55" t="s">
        <v>4276</v>
      </c>
      <c r="E2764" s="90" t="s">
        <v>2775</v>
      </c>
      <c r="G2764" s="55" t="s">
        <v>2776</v>
      </c>
      <c r="H2764" s="55">
        <v>2005</v>
      </c>
      <c r="I2764" s="55">
        <v>2001</v>
      </c>
      <c r="J2764" s="55" t="s">
        <v>2688</v>
      </c>
      <c r="K2764" s="55" t="s">
        <v>2782</v>
      </c>
      <c r="L2764" s="55" t="s">
        <v>2777</v>
      </c>
      <c r="M2764" s="90">
        <v>-1.95</v>
      </c>
      <c r="N2764" s="90">
        <v>30.09</v>
      </c>
      <c r="O2764" s="90">
        <v>1165.3</v>
      </c>
      <c r="S2764" s="90">
        <v>1357</v>
      </c>
      <c r="U2764" s="55" t="s">
        <v>1805</v>
      </c>
      <c r="V2764" s="55" t="s">
        <v>1805</v>
      </c>
      <c r="Y2764" s="55" t="s">
        <v>2779</v>
      </c>
      <c r="Z2764" s="55" t="s">
        <v>1346</v>
      </c>
      <c r="AA2764" s="90" t="s">
        <v>1675</v>
      </c>
      <c r="AE2764" s="90">
        <v>67</v>
      </c>
      <c r="AF2764" s="90">
        <v>24</v>
      </c>
      <c r="AH2764" s="55" t="s">
        <v>238</v>
      </c>
      <c r="AI2764" s="168">
        <v>5.5</v>
      </c>
      <c r="AJ2764" s="90">
        <v>2.6</v>
      </c>
      <c r="AM2764" s="55" t="s">
        <v>2778</v>
      </c>
      <c r="AN2764" s="185" t="s">
        <v>2785</v>
      </c>
      <c r="AO2764" s="185" t="s">
        <v>5150</v>
      </c>
      <c r="AQ2764" s="55" t="s">
        <v>553</v>
      </c>
      <c r="AR2764" s="55" t="s">
        <v>1607</v>
      </c>
      <c r="AS2764" s="55" t="s">
        <v>132</v>
      </c>
      <c r="AU2764" s="181" t="s">
        <v>7494</v>
      </c>
      <c r="AV2764" s="185" t="s">
        <v>176</v>
      </c>
      <c r="AX2764" s="185" t="s">
        <v>176</v>
      </c>
      <c r="BK2764" s="55" t="s">
        <v>5976</v>
      </c>
      <c r="BM2764" s="192" t="s">
        <v>160</v>
      </c>
      <c r="BN2764" s="55">
        <v>2</v>
      </c>
      <c r="BO2764" s="55">
        <v>2</v>
      </c>
      <c r="BQ2764" s="55" t="s">
        <v>141</v>
      </c>
      <c r="BV2764" s="55" t="s">
        <v>2784</v>
      </c>
      <c r="CB2764" s="66">
        <v>2257</v>
      </c>
      <c r="CC2764" s="66">
        <v>2265</v>
      </c>
      <c r="GP2764" s="292" t="s">
        <v>7494</v>
      </c>
    </row>
    <row r="2765" spans="1:198" x14ac:dyDescent="0.25">
      <c r="A2765" s="55">
        <v>2764</v>
      </c>
      <c r="B2765" s="12" t="s">
        <v>7067</v>
      </c>
      <c r="C2765" s="155">
        <v>128</v>
      </c>
      <c r="D2765" s="55" t="s">
        <v>4276</v>
      </c>
      <c r="E2765" s="90" t="s">
        <v>2775</v>
      </c>
      <c r="G2765" s="55" t="s">
        <v>2776</v>
      </c>
      <c r="H2765" s="55">
        <v>2005</v>
      </c>
      <c r="I2765" s="55">
        <v>2000</v>
      </c>
      <c r="J2765" s="55" t="s">
        <v>2688</v>
      </c>
      <c r="K2765" s="55" t="s">
        <v>2782</v>
      </c>
      <c r="L2765" s="55" t="s">
        <v>2777</v>
      </c>
      <c r="M2765" s="90">
        <v>-1.95</v>
      </c>
      <c r="N2765" s="90">
        <v>30.09</v>
      </c>
      <c r="O2765" s="90">
        <v>1165.3</v>
      </c>
      <c r="S2765" s="90">
        <v>1357</v>
      </c>
      <c r="U2765" s="55" t="s">
        <v>1935</v>
      </c>
      <c r="V2765" s="55" t="s">
        <v>1805</v>
      </c>
      <c r="Y2765" s="55" t="s">
        <v>2779</v>
      </c>
      <c r="Z2765" s="55" t="s">
        <v>1346</v>
      </c>
      <c r="AA2765" s="90" t="s">
        <v>1675</v>
      </c>
      <c r="AE2765" s="90">
        <v>67</v>
      </c>
      <c r="AF2765" s="90">
        <v>24</v>
      </c>
      <c r="AH2765" s="55" t="s">
        <v>238</v>
      </c>
      <c r="AI2765" s="168">
        <v>5.5</v>
      </c>
      <c r="AJ2765" s="90">
        <v>2.6</v>
      </c>
      <c r="AM2765" s="55" t="s">
        <v>2778</v>
      </c>
      <c r="AN2765" s="185" t="s">
        <v>2665</v>
      </c>
      <c r="AO2765" s="185" t="s">
        <v>5150</v>
      </c>
      <c r="AQ2765" s="55" t="s">
        <v>553</v>
      </c>
      <c r="AR2765" s="55" t="s">
        <v>1607</v>
      </c>
      <c r="AS2765" s="55" t="s">
        <v>132</v>
      </c>
      <c r="AU2765" s="181" t="s">
        <v>7494</v>
      </c>
      <c r="AV2765" s="185" t="s">
        <v>176</v>
      </c>
      <c r="AX2765" s="185" t="s">
        <v>176</v>
      </c>
      <c r="BK2765" s="55" t="s">
        <v>5976</v>
      </c>
      <c r="BM2765" s="192" t="s">
        <v>160</v>
      </c>
      <c r="BN2765" s="55">
        <v>2</v>
      </c>
      <c r="BO2765" s="55">
        <v>2</v>
      </c>
      <c r="BQ2765" s="55" t="s">
        <v>141</v>
      </c>
      <c r="BS2765" s="55">
        <v>2169</v>
      </c>
      <c r="BV2765" s="55" t="s">
        <v>2783</v>
      </c>
      <c r="CB2765" s="66">
        <v>1996</v>
      </c>
      <c r="CC2765" s="66">
        <v>1075</v>
      </c>
      <c r="GP2765" s="292" t="s">
        <v>7494</v>
      </c>
    </row>
    <row r="2766" spans="1:198" x14ac:dyDescent="0.25">
      <c r="A2766" s="55">
        <v>2765</v>
      </c>
      <c r="B2766" s="12" t="s">
        <v>7067</v>
      </c>
      <c r="C2766" s="155">
        <v>128</v>
      </c>
      <c r="D2766" s="55" t="s">
        <v>4276</v>
      </c>
      <c r="E2766" s="90" t="s">
        <v>2775</v>
      </c>
      <c r="G2766" s="55" t="s">
        <v>2776</v>
      </c>
      <c r="H2766" s="55">
        <v>2005</v>
      </c>
      <c r="I2766" s="55">
        <v>2000</v>
      </c>
      <c r="J2766" s="55" t="s">
        <v>2688</v>
      </c>
      <c r="K2766" s="55" t="s">
        <v>2782</v>
      </c>
      <c r="L2766" s="55" t="s">
        <v>2777</v>
      </c>
      <c r="M2766" s="90">
        <v>-1.95</v>
      </c>
      <c r="N2766" s="90">
        <v>30.09</v>
      </c>
      <c r="O2766" s="90">
        <v>1165.3</v>
      </c>
      <c r="S2766" s="90">
        <v>1357</v>
      </c>
      <c r="U2766" s="55" t="s">
        <v>1935</v>
      </c>
      <c r="V2766" s="55" t="s">
        <v>1805</v>
      </c>
      <c r="Y2766" s="55" t="s">
        <v>2779</v>
      </c>
      <c r="Z2766" s="55" t="s">
        <v>1346</v>
      </c>
      <c r="AA2766" s="90" t="s">
        <v>1675</v>
      </c>
      <c r="AE2766" s="90">
        <v>67</v>
      </c>
      <c r="AF2766" s="90">
        <v>24</v>
      </c>
      <c r="AH2766" s="55" t="s">
        <v>238</v>
      </c>
      <c r="AI2766" s="168">
        <v>5.5</v>
      </c>
      <c r="AJ2766" s="90">
        <v>2.6</v>
      </c>
      <c r="AM2766" s="55" t="s">
        <v>2778</v>
      </c>
      <c r="AN2766" s="185" t="s">
        <v>2665</v>
      </c>
      <c r="AO2766" s="185" t="s">
        <v>5150</v>
      </c>
      <c r="AQ2766" s="55" t="s">
        <v>553</v>
      </c>
      <c r="AR2766" s="55" t="s">
        <v>1607</v>
      </c>
      <c r="AS2766" s="55" t="s">
        <v>132</v>
      </c>
      <c r="AU2766" s="181" t="s">
        <v>7494</v>
      </c>
      <c r="AV2766" s="185" t="s">
        <v>176</v>
      </c>
      <c r="AX2766" s="185" t="s">
        <v>176</v>
      </c>
      <c r="BK2766" s="55" t="s">
        <v>5976</v>
      </c>
      <c r="BM2766" s="192" t="s">
        <v>160</v>
      </c>
      <c r="BN2766" s="55">
        <v>2</v>
      </c>
      <c r="BO2766" s="55">
        <v>2</v>
      </c>
      <c r="BQ2766" s="55" t="s">
        <v>141</v>
      </c>
      <c r="BS2766" s="55">
        <v>1205</v>
      </c>
      <c r="BV2766" s="55" t="s">
        <v>2784</v>
      </c>
      <c r="CB2766" s="66">
        <v>2201</v>
      </c>
      <c r="CC2766" s="66">
        <v>2357</v>
      </c>
      <c r="GP2766" s="292" t="s">
        <v>7494</v>
      </c>
    </row>
    <row r="2767" spans="1:198" x14ac:dyDescent="0.25">
      <c r="A2767" s="55">
        <v>2766</v>
      </c>
      <c r="B2767" s="12" t="s">
        <v>7067</v>
      </c>
      <c r="C2767" s="155">
        <v>128</v>
      </c>
      <c r="D2767" s="55" t="s">
        <v>4276</v>
      </c>
      <c r="E2767" s="90" t="s">
        <v>2775</v>
      </c>
      <c r="G2767" s="55" t="s">
        <v>2776</v>
      </c>
      <c r="H2767" s="55">
        <v>2005</v>
      </c>
      <c r="I2767" s="55">
        <v>2001</v>
      </c>
      <c r="J2767" s="55" t="s">
        <v>2688</v>
      </c>
      <c r="K2767" s="55" t="s">
        <v>2782</v>
      </c>
      <c r="L2767" s="55" t="s">
        <v>2777</v>
      </c>
      <c r="M2767" s="90">
        <v>-1.95</v>
      </c>
      <c r="N2767" s="90">
        <v>30.09</v>
      </c>
      <c r="O2767" s="90">
        <v>1165.3</v>
      </c>
      <c r="S2767" s="90">
        <v>1357</v>
      </c>
      <c r="U2767" s="55" t="s">
        <v>1805</v>
      </c>
      <c r="V2767" s="55" t="s">
        <v>1805</v>
      </c>
      <c r="Y2767" s="55" t="s">
        <v>2779</v>
      </c>
      <c r="Z2767" s="55" t="s">
        <v>1346</v>
      </c>
      <c r="AA2767" s="90" t="s">
        <v>1675</v>
      </c>
      <c r="AE2767" s="90">
        <v>67</v>
      </c>
      <c r="AF2767" s="90">
        <v>24</v>
      </c>
      <c r="AH2767" s="55" t="s">
        <v>238</v>
      </c>
      <c r="AI2767" s="168">
        <v>5.5</v>
      </c>
      <c r="AJ2767" s="90">
        <v>2.6</v>
      </c>
      <c r="AM2767" s="55" t="s">
        <v>2778</v>
      </c>
      <c r="AN2767" s="185" t="s">
        <v>2665</v>
      </c>
      <c r="AO2767" s="185" t="s">
        <v>5150</v>
      </c>
      <c r="AQ2767" s="55" t="s">
        <v>553</v>
      </c>
      <c r="AR2767" s="55" t="s">
        <v>1607</v>
      </c>
      <c r="AS2767" s="55" t="s">
        <v>132</v>
      </c>
      <c r="AU2767" s="181" t="s">
        <v>7494</v>
      </c>
      <c r="AV2767" s="185" t="s">
        <v>176</v>
      </c>
      <c r="AX2767" s="185" t="s">
        <v>176</v>
      </c>
      <c r="BK2767" s="55" t="s">
        <v>5976</v>
      </c>
      <c r="BM2767" s="192" t="s">
        <v>160</v>
      </c>
      <c r="BN2767" s="55">
        <v>2</v>
      </c>
      <c r="BO2767" s="55">
        <v>2</v>
      </c>
      <c r="BQ2767" s="55" t="s">
        <v>141</v>
      </c>
      <c r="BS2767" s="55">
        <v>216</v>
      </c>
      <c r="BV2767" s="55" t="s">
        <v>2783</v>
      </c>
      <c r="CB2767" s="66">
        <v>2050</v>
      </c>
      <c r="CC2767" s="66">
        <v>2358</v>
      </c>
      <c r="GP2767" s="292" t="s">
        <v>7494</v>
      </c>
    </row>
    <row r="2768" spans="1:198" x14ac:dyDescent="0.25">
      <c r="A2768" s="55">
        <v>2767</v>
      </c>
      <c r="B2768" s="12" t="s">
        <v>7067</v>
      </c>
      <c r="C2768" s="155">
        <v>128</v>
      </c>
      <c r="D2768" s="55" t="s">
        <v>4276</v>
      </c>
      <c r="E2768" s="90" t="s">
        <v>2775</v>
      </c>
      <c r="G2768" s="55" t="s">
        <v>2776</v>
      </c>
      <c r="H2768" s="55">
        <v>2005</v>
      </c>
      <c r="I2768" s="55">
        <v>2001</v>
      </c>
      <c r="J2768" s="55" t="s">
        <v>2688</v>
      </c>
      <c r="K2768" s="55" t="s">
        <v>2782</v>
      </c>
      <c r="L2768" s="55" t="s">
        <v>2777</v>
      </c>
      <c r="M2768" s="90">
        <v>-1.95</v>
      </c>
      <c r="N2768" s="90">
        <v>30.09</v>
      </c>
      <c r="O2768" s="90">
        <v>1165.3</v>
      </c>
      <c r="S2768" s="90">
        <v>1357</v>
      </c>
      <c r="U2768" s="55" t="s">
        <v>1805</v>
      </c>
      <c r="V2768" s="55" t="s">
        <v>1805</v>
      </c>
      <c r="Y2768" s="55" t="s">
        <v>2779</v>
      </c>
      <c r="Z2768" s="55" t="s">
        <v>1346</v>
      </c>
      <c r="AA2768" s="90" t="s">
        <v>1675</v>
      </c>
      <c r="AE2768" s="90">
        <v>67</v>
      </c>
      <c r="AF2768" s="90">
        <v>24</v>
      </c>
      <c r="AH2768" s="55" t="s">
        <v>238</v>
      </c>
      <c r="AI2768" s="168">
        <v>5.5</v>
      </c>
      <c r="AJ2768" s="90">
        <v>2.6</v>
      </c>
      <c r="AM2768" s="55" t="s">
        <v>2778</v>
      </c>
      <c r="AN2768" s="185" t="s">
        <v>2665</v>
      </c>
      <c r="AO2768" s="185" t="s">
        <v>5150</v>
      </c>
      <c r="AQ2768" s="55" t="s">
        <v>553</v>
      </c>
      <c r="AR2768" s="55" t="s">
        <v>1607</v>
      </c>
      <c r="AS2768" s="55" t="s">
        <v>132</v>
      </c>
      <c r="AU2768" s="181" t="s">
        <v>7494</v>
      </c>
      <c r="AV2768" s="185" t="s">
        <v>176</v>
      </c>
      <c r="AX2768" s="185" t="s">
        <v>176</v>
      </c>
      <c r="BK2768" s="55" t="s">
        <v>5976</v>
      </c>
      <c r="BM2768" s="192" t="s">
        <v>160</v>
      </c>
      <c r="BN2768" s="55">
        <v>2</v>
      </c>
      <c r="BO2768" s="55">
        <v>2</v>
      </c>
      <c r="BQ2768" s="55" t="s">
        <v>141</v>
      </c>
      <c r="BV2768" s="55" t="s">
        <v>2784</v>
      </c>
      <c r="CB2768" s="66">
        <v>2257</v>
      </c>
      <c r="CC2768" s="66">
        <v>1778</v>
      </c>
      <c r="GP2768" s="292" t="s">
        <v>7494</v>
      </c>
    </row>
    <row r="2769" spans="1:241" x14ac:dyDescent="0.25">
      <c r="A2769" s="55">
        <v>2768</v>
      </c>
      <c r="B2769" s="12" t="s">
        <v>7067</v>
      </c>
      <c r="C2769" s="155">
        <v>129</v>
      </c>
      <c r="D2769" s="55" t="s">
        <v>4277</v>
      </c>
      <c r="E2769" s="90" t="s">
        <v>2786</v>
      </c>
      <c r="G2769" s="55" t="s">
        <v>501</v>
      </c>
      <c r="H2769" s="55">
        <v>1999</v>
      </c>
      <c r="I2769" s="55">
        <v>1997</v>
      </c>
      <c r="J2769" s="55" t="s">
        <v>2688</v>
      </c>
      <c r="K2769" s="55" t="s">
        <v>2787</v>
      </c>
      <c r="L2769" s="55" t="s">
        <v>2777</v>
      </c>
      <c r="M2769" s="90">
        <f>26/60</f>
        <v>0.43333333333333335</v>
      </c>
      <c r="N2769" s="90">
        <f>33+28/60</f>
        <v>33.466666666666669</v>
      </c>
      <c r="O2769" s="90">
        <v>1189</v>
      </c>
      <c r="S2769" s="90">
        <v>1350</v>
      </c>
      <c r="U2769" s="55" t="s">
        <v>1935</v>
      </c>
      <c r="V2769" s="55" t="s">
        <v>1805</v>
      </c>
      <c r="Y2769" s="55" t="s">
        <v>2789</v>
      </c>
      <c r="AH2769" s="55" t="s">
        <v>238</v>
      </c>
      <c r="AN2769" s="185" t="s">
        <v>2666</v>
      </c>
      <c r="AO2769" s="185" t="s">
        <v>5150</v>
      </c>
      <c r="AQ2769" s="55" t="s">
        <v>553</v>
      </c>
      <c r="AR2769" s="55" t="s">
        <v>132</v>
      </c>
      <c r="AS2769" s="55" t="s">
        <v>132</v>
      </c>
      <c r="AU2769" s="181" t="s">
        <v>7494</v>
      </c>
      <c r="AV2769" s="185" t="s">
        <v>176</v>
      </c>
      <c r="AX2769" s="185" t="s">
        <v>176</v>
      </c>
      <c r="BK2769" s="55" t="s">
        <v>5976</v>
      </c>
      <c r="BM2769" s="192" t="s">
        <v>119</v>
      </c>
      <c r="BN2769" s="55">
        <v>6</v>
      </c>
      <c r="BO2769" s="55">
        <v>6</v>
      </c>
      <c r="BQ2769" s="55" t="s">
        <v>141</v>
      </c>
      <c r="CB2769" s="66">
        <f>4*1000</f>
        <v>4000</v>
      </c>
      <c r="CC2769" s="66">
        <f>2.8*1000</f>
        <v>2800</v>
      </c>
      <c r="CE2769" s="65">
        <v>580</v>
      </c>
      <c r="CF2769" s="65">
        <v>580</v>
      </c>
      <c r="CG2769" s="65" t="s">
        <v>2790</v>
      </c>
      <c r="GP2769" s="292" t="s">
        <v>7494</v>
      </c>
    </row>
    <row r="2770" spans="1:241" x14ac:dyDescent="0.25">
      <c r="A2770" s="55">
        <v>2769</v>
      </c>
      <c r="B2770" s="12" t="s">
        <v>7067</v>
      </c>
      <c r="C2770" s="155">
        <v>129</v>
      </c>
      <c r="D2770" s="55" t="s">
        <v>4278</v>
      </c>
      <c r="E2770" s="90" t="s">
        <v>2786</v>
      </c>
      <c r="G2770" s="55" t="s">
        <v>501</v>
      </c>
      <c r="H2770" s="55">
        <v>1999</v>
      </c>
      <c r="I2770" s="55">
        <v>1997</v>
      </c>
      <c r="J2770" s="55" t="s">
        <v>2688</v>
      </c>
      <c r="K2770" s="55" t="s">
        <v>2787</v>
      </c>
      <c r="L2770" s="55" t="s">
        <v>2777</v>
      </c>
      <c r="M2770" s="90">
        <f>26/60</f>
        <v>0.43333333333333335</v>
      </c>
      <c r="N2770" s="90">
        <f>33+28/60</f>
        <v>33.466666666666669</v>
      </c>
      <c r="O2770" s="90">
        <v>1189</v>
      </c>
      <c r="S2770" s="90">
        <v>1350</v>
      </c>
      <c r="U2770" s="55" t="s">
        <v>1935</v>
      </c>
      <c r="V2770" s="55" t="s">
        <v>1805</v>
      </c>
      <c r="Y2770" s="55" t="s">
        <v>2789</v>
      </c>
      <c r="AH2770" s="55" t="s">
        <v>238</v>
      </c>
      <c r="AN2770" s="185" t="s">
        <v>2666</v>
      </c>
      <c r="AO2770" s="185" t="s">
        <v>5150</v>
      </c>
      <c r="AQ2770" s="55" t="s">
        <v>553</v>
      </c>
      <c r="AR2770" s="55" t="s">
        <v>2788</v>
      </c>
      <c r="AS2770" s="55" t="s">
        <v>227</v>
      </c>
      <c r="AU2770" s="181" t="s">
        <v>7494</v>
      </c>
      <c r="AV2770" s="185" t="s">
        <v>176</v>
      </c>
      <c r="AX2770" s="185" t="s">
        <v>176</v>
      </c>
      <c r="BK2770" s="55" t="s">
        <v>5976</v>
      </c>
      <c r="BM2770" s="192" t="s">
        <v>119</v>
      </c>
      <c r="BN2770" s="55">
        <v>6</v>
      </c>
      <c r="BO2770" s="55">
        <v>6</v>
      </c>
      <c r="BQ2770" s="55" t="s">
        <v>141</v>
      </c>
      <c r="CB2770" s="66">
        <v>560</v>
      </c>
      <c r="CC2770" s="66">
        <v>400</v>
      </c>
      <c r="CE2770" s="65">
        <v>110</v>
      </c>
      <c r="CF2770" s="65">
        <v>110</v>
      </c>
      <c r="CG2770" s="65" t="s">
        <v>2790</v>
      </c>
      <c r="GP2770" s="292" t="s">
        <v>7494</v>
      </c>
    </row>
    <row r="2771" spans="1:241" x14ac:dyDescent="0.25">
      <c r="A2771" s="55">
        <v>2770</v>
      </c>
      <c r="B2771" s="12" t="s">
        <v>7067</v>
      </c>
      <c r="C2771" s="155">
        <v>129</v>
      </c>
      <c r="D2771" s="55" t="s">
        <v>4277</v>
      </c>
      <c r="E2771" s="90" t="s">
        <v>2786</v>
      </c>
      <c r="G2771" s="55" t="s">
        <v>501</v>
      </c>
      <c r="H2771" s="55">
        <v>1999</v>
      </c>
      <c r="I2771" s="55">
        <v>1998</v>
      </c>
      <c r="J2771" s="55" t="s">
        <v>2688</v>
      </c>
      <c r="K2771" s="55" t="s">
        <v>2787</v>
      </c>
      <c r="L2771" s="55" t="s">
        <v>2777</v>
      </c>
      <c r="M2771" s="90">
        <f>26/60</f>
        <v>0.43333333333333335</v>
      </c>
      <c r="N2771" s="90">
        <f>33+28/60</f>
        <v>33.466666666666669</v>
      </c>
      <c r="O2771" s="90">
        <v>1189</v>
      </c>
      <c r="S2771" s="90">
        <v>1350</v>
      </c>
      <c r="U2771" s="55" t="s">
        <v>1805</v>
      </c>
      <c r="V2771" s="55" t="s">
        <v>1805</v>
      </c>
      <c r="Y2771" s="55" t="s">
        <v>2789</v>
      </c>
      <c r="AH2771" s="55" t="s">
        <v>238</v>
      </c>
      <c r="AN2771" s="185" t="s">
        <v>2666</v>
      </c>
      <c r="AO2771" s="185" t="s">
        <v>5150</v>
      </c>
      <c r="AQ2771" s="55" t="s">
        <v>553</v>
      </c>
      <c r="AR2771" s="55" t="s">
        <v>132</v>
      </c>
      <c r="AS2771" s="55" t="s">
        <v>132</v>
      </c>
      <c r="AU2771" s="181" t="s">
        <v>7494</v>
      </c>
      <c r="AV2771" s="185" t="s">
        <v>176</v>
      </c>
      <c r="AX2771" s="185" t="s">
        <v>176</v>
      </c>
      <c r="BK2771" s="55" t="s">
        <v>5976</v>
      </c>
      <c r="BM2771" s="192" t="s">
        <v>119</v>
      </c>
      <c r="BN2771" s="55">
        <v>6</v>
      </c>
      <c r="BO2771" s="55">
        <v>6</v>
      </c>
      <c r="BQ2771" s="55" t="s">
        <v>141</v>
      </c>
      <c r="CB2771" s="66">
        <v>2600</v>
      </c>
      <c r="CC2771" s="66">
        <v>2100</v>
      </c>
      <c r="CG2771" s="65" t="s">
        <v>2790</v>
      </c>
      <c r="GP2771" s="292" t="s">
        <v>7494</v>
      </c>
    </row>
    <row r="2772" spans="1:241" x14ac:dyDescent="0.25">
      <c r="A2772" s="55">
        <v>2771</v>
      </c>
      <c r="B2772" s="12" t="s">
        <v>7067</v>
      </c>
      <c r="C2772" s="155">
        <v>129</v>
      </c>
      <c r="D2772" s="55" t="s">
        <v>4278</v>
      </c>
      <c r="E2772" s="90" t="s">
        <v>2786</v>
      </c>
      <c r="G2772" s="55" t="s">
        <v>501</v>
      </c>
      <c r="H2772" s="55">
        <v>1999</v>
      </c>
      <c r="I2772" s="55">
        <v>1998</v>
      </c>
      <c r="J2772" s="55" t="s">
        <v>2688</v>
      </c>
      <c r="K2772" s="55" t="s">
        <v>2787</v>
      </c>
      <c r="L2772" s="55" t="s">
        <v>2777</v>
      </c>
      <c r="M2772" s="90">
        <f>26/60</f>
        <v>0.43333333333333335</v>
      </c>
      <c r="N2772" s="90">
        <f>33+28/60</f>
        <v>33.466666666666669</v>
      </c>
      <c r="O2772" s="90">
        <v>1189</v>
      </c>
      <c r="S2772" s="90">
        <v>1350</v>
      </c>
      <c r="U2772" s="55" t="s">
        <v>1805</v>
      </c>
      <c r="V2772" s="55" t="s">
        <v>1805</v>
      </c>
      <c r="Y2772" s="55" t="s">
        <v>2789</v>
      </c>
      <c r="AH2772" s="55" t="s">
        <v>238</v>
      </c>
      <c r="AN2772" s="185" t="s">
        <v>2666</v>
      </c>
      <c r="AO2772" s="185" t="s">
        <v>5150</v>
      </c>
      <c r="AQ2772" s="55" t="s">
        <v>553</v>
      </c>
      <c r="AR2772" s="55" t="s">
        <v>2788</v>
      </c>
      <c r="AS2772" s="55" t="s">
        <v>227</v>
      </c>
      <c r="AU2772" s="181" t="s">
        <v>7494</v>
      </c>
      <c r="AV2772" s="185" t="s">
        <v>176</v>
      </c>
      <c r="AX2772" s="185" t="s">
        <v>176</v>
      </c>
      <c r="BK2772" s="55" t="s">
        <v>5976</v>
      </c>
      <c r="BM2772" s="192" t="s">
        <v>119</v>
      </c>
      <c r="BN2772" s="55">
        <v>6</v>
      </c>
      <c r="BO2772" s="55">
        <v>6</v>
      </c>
      <c r="BQ2772" s="55" t="s">
        <v>141</v>
      </c>
      <c r="CB2772" s="66">
        <v>740</v>
      </c>
      <c r="CC2772" s="66">
        <v>660</v>
      </c>
      <c r="CG2772" s="65" t="s">
        <v>2790</v>
      </c>
      <c r="GP2772" s="292" t="s">
        <v>7494</v>
      </c>
    </row>
    <row r="2773" spans="1:241" x14ac:dyDescent="0.25">
      <c r="A2773" s="55">
        <v>2772</v>
      </c>
      <c r="B2773" s="12" t="s">
        <v>7067</v>
      </c>
      <c r="C2773" s="155">
        <v>129</v>
      </c>
      <c r="D2773" s="55" t="s">
        <v>4277</v>
      </c>
      <c r="E2773" s="90" t="s">
        <v>2786</v>
      </c>
      <c r="G2773" s="55" t="s">
        <v>501</v>
      </c>
      <c r="H2773" s="55">
        <v>1999</v>
      </c>
      <c r="I2773" s="55">
        <v>1997</v>
      </c>
      <c r="J2773" s="55" t="s">
        <v>2688</v>
      </c>
      <c r="K2773" s="55" t="s">
        <v>2787</v>
      </c>
      <c r="L2773" s="55" t="s">
        <v>2777</v>
      </c>
      <c r="M2773" s="90">
        <f>26/60</f>
        <v>0.43333333333333335</v>
      </c>
      <c r="N2773" s="90">
        <f>33+28/60</f>
        <v>33.466666666666669</v>
      </c>
      <c r="O2773" s="90">
        <v>1189</v>
      </c>
      <c r="S2773" s="90">
        <v>1350</v>
      </c>
      <c r="U2773" s="55" t="s">
        <v>1935</v>
      </c>
      <c r="V2773" s="55" t="s">
        <v>1805</v>
      </c>
      <c r="Y2773" s="55" t="s">
        <v>2789</v>
      </c>
      <c r="AH2773" s="55" t="s">
        <v>238</v>
      </c>
      <c r="AN2773" s="185" t="s">
        <v>2664</v>
      </c>
      <c r="AO2773" s="185" t="s">
        <v>5150</v>
      </c>
      <c r="AQ2773" s="55" t="s">
        <v>553</v>
      </c>
      <c r="AR2773" s="55" t="s">
        <v>132</v>
      </c>
      <c r="AS2773" s="55" t="s">
        <v>132</v>
      </c>
      <c r="AU2773" s="181" t="s">
        <v>7494</v>
      </c>
      <c r="AV2773" s="185" t="s">
        <v>176</v>
      </c>
      <c r="AX2773" s="185" t="s">
        <v>176</v>
      </c>
      <c r="BK2773" s="55" t="s">
        <v>5976</v>
      </c>
      <c r="BM2773" s="192" t="s">
        <v>119</v>
      </c>
      <c r="BN2773" s="55">
        <v>6</v>
      </c>
      <c r="BO2773" s="55">
        <v>6</v>
      </c>
      <c r="BQ2773" s="55" t="s">
        <v>141</v>
      </c>
      <c r="CB2773" s="66">
        <v>3200</v>
      </c>
      <c r="CC2773" s="66">
        <v>2400</v>
      </c>
      <c r="CG2773" s="65" t="s">
        <v>2791</v>
      </c>
      <c r="GN2773" s="294">
        <v>3.43</v>
      </c>
      <c r="GO2773" s="294">
        <v>1.01</v>
      </c>
      <c r="GP2773" s="292" t="s">
        <v>5150</v>
      </c>
      <c r="GQ2773" s="65">
        <f>0.91-0.15</f>
        <v>0.76</v>
      </c>
      <c r="GS2773" s="65" t="s">
        <v>2792</v>
      </c>
    </row>
    <row r="2774" spans="1:241" x14ac:dyDescent="0.25">
      <c r="A2774" s="55">
        <v>2773</v>
      </c>
      <c r="B2774" s="12" t="s">
        <v>7067</v>
      </c>
      <c r="C2774" s="155">
        <v>129</v>
      </c>
      <c r="D2774" s="55" t="s">
        <v>4277</v>
      </c>
      <c r="E2774" s="90" t="s">
        <v>2786</v>
      </c>
      <c r="G2774" s="55" t="s">
        <v>501</v>
      </c>
      <c r="H2774" s="55">
        <v>1999</v>
      </c>
      <c r="I2774" s="55">
        <v>1997</v>
      </c>
      <c r="J2774" s="55" t="s">
        <v>2688</v>
      </c>
      <c r="K2774" s="55" t="s">
        <v>2787</v>
      </c>
      <c r="L2774" s="55" t="s">
        <v>2777</v>
      </c>
      <c r="M2774" s="90">
        <f>26/60</f>
        <v>0.43333333333333335</v>
      </c>
      <c r="N2774" s="90">
        <f>33+28/60</f>
        <v>33.466666666666669</v>
      </c>
      <c r="O2774" s="90">
        <v>1189</v>
      </c>
      <c r="S2774" s="90">
        <v>1350</v>
      </c>
      <c r="U2774" s="55" t="s">
        <v>1935</v>
      </c>
      <c r="V2774" s="55" t="s">
        <v>1805</v>
      </c>
      <c r="Y2774" s="55" t="s">
        <v>2789</v>
      </c>
      <c r="AH2774" s="55" t="s">
        <v>238</v>
      </c>
      <c r="AN2774" s="185" t="s">
        <v>2664</v>
      </c>
      <c r="AO2774" s="185" t="s">
        <v>5150</v>
      </c>
      <c r="AQ2774" s="55" t="s">
        <v>553</v>
      </c>
      <c r="AR2774" s="55" t="s">
        <v>132</v>
      </c>
      <c r="AS2774" s="55" t="s">
        <v>132</v>
      </c>
      <c r="AU2774" s="181" t="s">
        <v>7494</v>
      </c>
      <c r="AV2774" s="185" t="s">
        <v>176</v>
      </c>
      <c r="AX2774" s="185" t="s">
        <v>176</v>
      </c>
      <c r="BK2774" s="55" t="s">
        <v>5976</v>
      </c>
      <c r="BM2774" s="192" t="s">
        <v>119</v>
      </c>
      <c r="BN2774" s="55">
        <v>6</v>
      </c>
      <c r="BO2774" s="55">
        <v>6</v>
      </c>
      <c r="BQ2774" s="55" t="s">
        <v>141</v>
      </c>
      <c r="CG2774" s="65" t="s">
        <v>2791</v>
      </c>
      <c r="GN2774" s="294">
        <v>3.52</v>
      </c>
      <c r="GO2774" s="294">
        <v>2.2599999999999998</v>
      </c>
      <c r="GP2774" s="292" t="s">
        <v>5150</v>
      </c>
      <c r="GQ2774" s="65">
        <f>1.5-0.88</f>
        <v>0.62</v>
      </c>
      <c r="GS2774" s="65" t="s">
        <v>2792</v>
      </c>
    </row>
    <row r="2775" spans="1:241" x14ac:dyDescent="0.25">
      <c r="A2775" s="55">
        <v>2774</v>
      </c>
      <c r="B2775" s="12" t="s">
        <v>7067</v>
      </c>
      <c r="C2775" s="155">
        <v>129</v>
      </c>
      <c r="D2775" s="55" t="s">
        <v>4277</v>
      </c>
      <c r="E2775" s="90" t="s">
        <v>2786</v>
      </c>
      <c r="G2775" s="55" t="s">
        <v>501</v>
      </c>
      <c r="H2775" s="55">
        <v>1999</v>
      </c>
      <c r="I2775" s="55">
        <v>1997</v>
      </c>
      <c r="J2775" s="55" t="s">
        <v>2688</v>
      </c>
      <c r="K2775" s="55" t="s">
        <v>2787</v>
      </c>
      <c r="L2775" s="55" t="s">
        <v>2777</v>
      </c>
      <c r="M2775" s="90">
        <f>26/60</f>
        <v>0.43333333333333335</v>
      </c>
      <c r="N2775" s="90">
        <f>33+28/60</f>
        <v>33.466666666666669</v>
      </c>
      <c r="O2775" s="90">
        <v>1189</v>
      </c>
      <c r="S2775" s="90">
        <v>1350</v>
      </c>
      <c r="U2775" s="55" t="s">
        <v>1935</v>
      </c>
      <c r="V2775" s="55" t="s">
        <v>1805</v>
      </c>
      <c r="Y2775" s="55" t="s">
        <v>2789</v>
      </c>
      <c r="AH2775" s="55" t="s">
        <v>238</v>
      </c>
      <c r="AN2775" s="185" t="s">
        <v>2664</v>
      </c>
      <c r="AO2775" s="185" t="s">
        <v>5150</v>
      </c>
      <c r="AQ2775" s="55" t="s">
        <v>553</v>
      </c>
      <c r="AR2775" s="55" t="s">
        <v>132</v>
      </c>
      <c r="AS2775" s="55" t="s">
        <v>132</v>
      </c>
      <c r="AU2775" s="181" t="s">
        <v>7494</v>
      </c>
      <c r="AV2775" s="185" t="s">
        <v>176</v>
      </c>
      <c r="AX2775" s="185" t="s">
        <v>176</v>
      </c>
      <c r="BK2775" s="55" t="s">
        <v>5976</v>
      </c>
      <c r="BM2775" s="192" t="s">
        <v>119</v>
      </c>
      <c r="BN2775" s="55">
        <v>6</v>
      </c>
      <c r="BO2775" s="55">
        <v>6</v>
      </c>
      <c r="BQ2775" s="55" t="s">
        <v>141</v>
      </c>
      <c r="CB2775" s="66">
        <v>2300</v>
      </c>
      <c r="CC2775" s="66">
        <v>3700</v>
      </c>
      <c r="CG2775" s="65" t="s">
        <v>2791</v>
      </c>
      <c r="GN2775" s="294">
        <v>3.81</v>
      </c>
      <c r="GO2775" s="294">
        <v>2.39</v>
      </c>
      <c r="GP2775" s="292" t="s">
        <v>5150</v>
      </c>
      <c r="GQ2775" s="65">
        <f>1.03-0.35</f>
        <v>0.68</v>
      </c>
      <c r="GS2775" s="65" t="s">
        <v>2792</v>
      </c>
    </row>
    <row r="2776" spans="1:241" x14ac:dyDescent="0.25">
      <c r="A2776" s="55">
        <v>2775</v>
      </c>
      <c r="B2776" s="12" t="s">
        <v>7067</v>
      </c>
      <c r="C2776" s="155">
        <v>129</v>
      </c>
      <c r="D2776" s="55" t="s">
        <v>4277</v>
      </c>
      <c r="E2776" s="90" t="s">
        <v>2786</v>
      </c>
      <c r="G2776" s="55" t="s">
        <v>501</v>
      </c>
      <c r="H2776" s="55">
        <v>1999</v>
      </c>
      <c r="I2776" s="55">
        <v>1997</v>
      </c>
      <c r="J2776" s="55" t="s">
        <v>2688</v>
      </c>
      <c r="K2776" s="55" t="s">
        <v>2787</v>
      </c>
      <c r="L2776" s="55" t="s">
        <v>2777</v>
      </c>
      <c r="M2776" s="90">
        <f>26/60</f>
        <v>0.43333333333333335</v>
      </c>
      <c r="N2776" s="90">
        <f>33+28/60</f>
        <v>33.466666666666669</v>
      </c>
      <c r="O2776" s="90">
        <v>1189</v>
      </c>
      <c r="S2776" s="90">
        <v>1350</v>
      </c>
      <c r="U2776" s="55" t="s">
        <v>1935</v>
      </c>
      <c r="V2776" s="55" t="s">
        <v>1805</v>
      </c>
      <c r="Y2776" s="55" t="s">
        <v>2789</v>
      </c>
      <c r="AH2776" s="55" t="s">
        <v>238</v>
      </c>
      <c r="AN2776" s="185" t="s">
        <v>2664</v>
      </c>
      <c r="AO2776" s="185" t="s">
        <v>5150</v>
      </c>
      <c r="AQ2776" s="55" t="s">
        <v>553</v>
      </c>
      <c r="AR2776" s="55" t="s">
        <v>132</v>
      </c>
      <c r="AS2776" s="55" t="s">
        <v>132</v>
      </c>
      <c r="AU2776" s="181" t="s">
        <v>7494</v>
      </c>
      <c r="AV2776" s="185" t="s">
        <v>176</v>
      </c>
      <c r="AX2776" s="185" t="s">
        <v>176</v>
      </c>
      <c r="BK2776" s="55" t="s">
        <v>5976</v>
      </c>
      <c r="BM2776" s="192" t="s">
        <v>119</v>
      </c>
      <c r="BN2776" s="55">
        <v>6</v>
      </c>
      <c r="BO2776" s="55">
        <v>6</v>
      </c>
      <c r="BQ2776" s="55" t="s">
        <v>141</v>
      </c>
      <c r="CB2776" s="66">
        <v>8100</v>
      </c>
      <c r="CC2776" s="66">
        <v>6100</v>
      </c>
      <c r="CG2776" s="65" t="s">
        <v>2791</v>
      </c>
      <c r="GP2776" s="292" t="s">
        <v>7494</v>
      </c>
    </row>
    <row r="2777" spans="1:241" x14ac:dyDescent="0.25">
      <c r="A2777" s="55">
        <v>2776</v>
      </c>
      <c r="B2777" s="12" t="s">
        <v>7067</v>
      </c>
      <c r="C2777" s="155">
        <v>129</v>
      </c>
      <c r="D2777" s="55" t="s">
        <v>4278</v>
      </c>
      <c r="E2777" s="90" t="s">
        <v>2786</v>
      </c>
      <c r="G2777" s="55" t="s">
        <v>501</v>
      </c>
      <c r="H2777" s="55">
        <v>1999</v>
      </c>
      <c r="I2777" s="55">
        <v>1997</v>
      </c>
      <c r="J2777" s="55" t="s">
        <v>2688</v>
      </c>
      <c r="K2777" s="55" t="s">
        <v>2787</v>
      </c>
      <c r="L2777" s="55" t="s">
        <v>2777</v>
      </c>
      <c r="M2777" s="90">
        <f>26/60</f>
        <v>0.43333333333333335</v>
      </c>
      <c r="N2777" s="90">
        <f>33+28/60</f>
        <v>33.466666666666669</v>
      </c>
      <c r="O2777" s="90">
        <v>1189</v>
      </c>
      <c r="S2777" s="90">
        <v>1350</v>
      </c>
      <c r="U2777" s="55" t="s">
        <v>1935</v>
      </c>
      <c r="V2777" s="55" t="s">
        <v>1805</v>
      </c>
      <c r="Y2777" s="55" t="s">
        <v>2789</v>
      </c>
      <c r="AH2777" s="55" t="s">
        <v>238</v>
      </c>
      <c r="AN2777" s="185" t="s">
        <v>2664</v>
      </c>
      <c r="AO2777" s="185" t="s">
        <v>5150</v>
      </c>
      <c r="AQ2777" s="55" t="s">
        <v>553</v>
      </c>
      <c r="AR2777" s="55" t="s">
        <v>2788</v>
      </c>
      <c r="AS2777" s="55" t="s">
        <v>227</v>
      </c>
      <c r="AU2777" s="181" t="s">
        <v>7494</v>
      </c>
      <c r="AV2777" s="185" t="s">
        <v>176</v>
      </c>
      <c r="AX2777" s="185" t="s">
        <v>176</v>
      </c>
      <c r="BK2777" s="55" t="s">
        <v>5976</v>
      </c>
      <c r="BM2777" s="192" t="s">
        <v>119</v>
      </c>
      <c r="BN2777" s="55">
        <v>6</v>
      </c>
      <c r="BO2777" s="55">
        <v>6</v>
      </c>
      <c r="BQ2777" s="55" t="s">
        <v>141</v>
      </c>
      <c r="CB2777" s="66">
        <v>500</v>
      </c>
      <c r="CC2777" s="66">
        <v>800</v>
      </c>
      <c r="CG2777" s="65" t="s">
        <v>2791</v>
      </c>
      <c r="GP2777" s="292" t="s">
        <v>7494</v>
      </c>
    </row>
    <row r="2778" spans="1:241" x14ac:dyDescent="0.25">
      <c r="A2778" s="55">
        <v>2777</v>
      </c>
      <c r="B2778" s="12" t="s">
        <v>7067</v>
      </c>
      <c r="C2778" s="155">
        <v>129</v>
      </c>
      <c r="D2778" s="55" t="s">
        <v>4277</v>
      </c>
      <c r="E2778" s="90" t="s">
        <v>2786</v>
      </c>
      <c r="G2778" s="55" t="s">
        <v>501</v>
      </c>
      <c r="H2778" s="55">
        <v>1999</v>
      </c>
      <c r="I2778" s="55">
        <v>1997</v>
      </c>
      <c r="J2778" s="55" t="s">
        <v>2688</v>
      </c>
      <c r="K2778" s="55" t="s">
        <v>2787</v>
      </c>
      <c r="L2778" s="55" t="s">
        <v>2777</v>
      </c>
      <c r="M2778" s="90">
        <f>26/60</f>
        <v>0.43333333333333335</v>
      </c>
      <c r="N2778" s="90">
        <f>33+28/60</f>
        <v>33.466666666666669</v>
      </c>
      <c r="O2778" s="90">
        <v>1189</v>
      </c>
      <c r="S2778" s="90">
        <v>1350</v>
      </c>
      <c r="U2778" s="55" t="s">
        <v>1935</v>
      </c>
      <c r="V2778" s="55" t="s">
        <v>1805</v>
      </c>
      <c r="Y2778" s="55" t="s">
        <v>2789</v>
      </c>
      <c r="AH2778" s="55" t="s">
        <v>238</v>
      </c>
      <c r="AN2778" s="185" t="s">
        <v>2665</v>
      </c>
      <c r="AO2778" s="185" t="s">
        <v>5150</v>
      </c>
      <c r="AQ2778" s="55" t="s">
        <v>553</v>
      </c>
      <c r="AR2778" s="55" t="s">
        <v>132</v>
      </c>
      <c r="AS2778" s="55" t="s">
        <v>132</v>
      </c>
      <c r="AU2778" s="181" t="s">
        <v>7494</v>
      </c>
      <c r="AV2778" s="185" t="s">
        <v>176</v>
      </c>
      <c r="AX2778" s="185" t="s">
        <v>176</v>
      </c>
      <c r="BK2778" s="55" t="s">
        <v>5976</v>
      </c>
      <c r="BM2778" s="192" t="s">
        <v>119</v>
      </c>
      <c r="BN2778" s="55">
        <v>6</v>
      </c>
      <c r="BO2778" s="55">
        <v>6</v>
      </c>
      <c r="BQ2778" s="55" t="s">
        <v>141</v>
      </c>
      <c r="CB2778" s="66">
        <v>3200</v>
      </c>
      <c r="CC2778" s="66">
        <v>1600</v>
      </c>
      <c r="CG2778" s="65" t="s">
        <v>2791</v>
      </c>
      <c r="GN2778" s="294">
        <v>4.3360000000000003</v>
      </c>
      <c r="GO2778" s="294">
        <v>0.97</v>
      </c>
      <c r="GP2778" s="292" t="s">
        <v>5150</v>
      </c>
      <c r="GQ2778" s="65">
        <f>0.74-0.3</f>
        <v>0.44</v>
      </c>
      <c r="GS2778" s="65" t="s">
        <v>2792</v>
      </c>
    </row>
    <row r="2779" spans="1:241" x14ac:dyDescent="0.25">
      <c r="A2779" s="55">
        <v>2778</v>
      </c>
      <c r="B2779" s="12" t="s">
        <v>7067</v>
      </c>
      <c r="C2779" s="155">
        <v>129</v>
      </c>
      <c r="D2779" s="55" t="s">
        <v>4277</v>
      </c>
      <c r="E2779" s="90" t="s">
        <v>2786</v>
      </c>
      <c r="G2779" s="55" t="s">
        <v>501</v>
      </c>
      <c r="H2779" s="55">
        <v>1999</v>
      </c>
      <c r="I2779" s="55">
        <v>1997</v>
      </c>
      <c r="J2779" s="55" t="s">
        <v>2688</v>
      </c>
      <c r="K2779" s="55" t="s">
        <v>2787</v>
      </c>
      <c r="L2779" s="55" t="s">
        <v>2777</v>
      </c>
      <c r="M2779" s="90">
        <f>26/60</f>
        <v>0.43333333333333335</v>
      </c>
      <c r="N2779" s="90">
        <f>33+28/60</f>
        <v>33.466666666666669</v>
      </c>
      <c r="O2779" s="90">
        <v>1189</v>
      </c>
      <c r="S2779" s="90">
        <v>1350</v>
      </c>
      <c r="U2779" s="55" t="s">
        <v>1935</v>
      </c>
      <c r="V2779" s="55" t="s">
        <v>1805</v>
      </c>
      <c r="Y2779" s="55" t="s">
        <v>2789</v>
      </c>
      <c r="AH2779" s="55" t="s">
        <v>238</v>
      </c>
      <c r="AN2779" s="185" t="s">
        <v>2665</v>
      </c>
      <c r="AO2779" s="185" t="s">
        <v>5150</v>
      </c>
      <c r="AQ2779" s="55" t="s">
        <v>553</v>
      </c>
      <c r="AR2779" s="55" t="s">
        <v>132</v>
      </c>
      <c r="AS2779" s="55" t="s">
        <v>132</v>
      </c>
      <c r="AU2779" s="181" t="s">
        <v>7494</v>
      </c>
      <c r="AV2779" s="185" t="s">
        <v>176</v>
      </c>
      <c r="AX2779" s="185" t="s">
        <v>176</v>
      </c>
      <c r="BK2779" s="55" t="s">
        <v>5976</v>
      </c>
      <c r="BM2779" s="192" t="s">
        <v>119</v>
      </c>
      <c r="BN2779" s="55">
        <v>6</v>
      </c>
      <c r="BO2779" s="55">
        <v>6</v>
      </c>
      <c r="BQ2779" s="55" t="s">
        <v>141</v>
      </c>
      <c r="CG2779" s="65" t="s">
        <v>2791</v>
      </c>
      <c r="GN2779" s="294">
        <v>3.21</v>
      </c>
      <c r="GO2779" s="294">
        <v>2.17</v>
      </c>
      <c r="GP2779" s="292" t="s">
        <v>5150</v>
      </c>
      <c r="GQ2779" s="65">
        <f>1.45-0.94</f>
        <v>0.51</v>
      </c>
      <c r="GS2779" s="65" t="s">
        <v>2792</v>
      </c>
    </row>
    <row r="2780" spans="1:241" x14ac:dyDescent="0.25">
      <c r="A2780" s="55">
        <v>2779</v>
      </c>
      <c r="B2780" s="12" t="s">
        <v>7067</v>
      </c>
      <c r="C2780" s="155">
        <v>129</v>
      </c>
      <c r="D2780" s="55" t="s">
        <v>4277</v>
      </c>
      <c r="E2780" s="90" t="s">
        <v>2786</v>
      </c>
      <c r="G2780" s="55" t="s">
        <v>501</v>
      </c>
      <c r="H2780" s="55">
        <v>1999</v>
      </c>
      <c r="I2780" s="55">
        <v>1997</v>
      </c>
      <c r="J2780" s="55" t="s">
        <v>2688</v>
      </c>
      <c r="K2780" s="55" t="s">
        <v>2787</v>
      </c>
      <c r="L2780" s="55" t="s">
        <v>2777</v>
      </c>
      <c r="M2780" s="90">
        <f>26/60</f>
        <v>0.43333333333333335</v>
      </c>
      <c r="N2780" s="90">
        <f>33+28/60</f>
        <v>33.466666666666669</v>
      </c>
      <c r="O2780" s="90">
        <v>1189</v>
      </c>
      <c r="S2780" s="90">
        <v>1350</v>
      </c>
      <c r="U2780" s="55" t="s">
        <v>1935</v>
      </c>
      <c r="V2780" s="55" t="s">
        <v>1805</v>
      </c>
      <c r="Y2780" s="55" t="s">
        <v>2789</v>
      </c>
      <c r="AH2780" s="55" t="s">
        <v>238</v>
      </c>
      <c r="AN2780" s="185" t="s">
        <v>2665</v>
      </c>
      <c r="AO2780" s="185" t="s">
        <v>5150</v>
      </c>
      <c r="AQ2780" s="55" t="s">
        <v>553</v>
      </c>
      <c r="AR2780" s="55" t="s">
        <v>132</v>
      </c>
      <c r="AS2780" s="55" t="s">
        <v>132</v>
      </c>
      <c r="AU2780" s="181" t="s">
        <v>7494</v>
      </c>
      <c r="AV2780" s="185" t="s">
        <v>176</v>
      </c>
      <c r="AX2780" s="185" t="s">
        <v>176</v>
      </c>
      <c r="BK2780" s="55" t="s">
        <v>5976</v>
      </c>
      <c r="BM2780" s="192" t="s">
        <v>119</v>
      </c>
      <c r="BN2780" s="55">
        <v>6</v>
      </c>
      <c r="BO2780" s="55">
        <v>6</v>
      </c>
      <c r="BQ2780" s="55" t="s">
        <v>141</v>
      </c>
      <c r="CB2780" s="66">
        <v>2300</v>
      </c>
      <c r="CC2780" s="66">
        <v>2700</v>
      </c>
      <c r="CG2780" s="65" t="s">
        <v>2791</v>
      </c>
      <c r="GN2780" s="294">
        <v>3.41</v>
      </c>
      <c r="GO2780" s="294">
        <v>2.61</v>
      </c>
      <c r="GP2780" s="292" t="s">
        <v>5150</v>
      </c>
      <c r="GQ2780" s="65">
        <f>0.99-0.45</f>
        <v>0.54</v>
      </c>
      <c r="GS2780" s="65" t="s">
        <v>2792</v>
      </c>
    </row>
    <row r="2781" spans="1:241" x14ac:dyDescent="0.25">
      <c r="A2781" s="55">
        <v>2780</v>
      </c>
      <c r="B2781" s="12" t="s">
        <v>7067</v>
      </c>
      <c r="C2781" s="155">
        <v>129</v>
      </c>
      <c r="D2781" s="55" t="s">
        <v>4277</v>
      </c>
      <c r="E2781" s="90" t="s">
        <v>2786</v>
      </c>
      <c r="G2781" s="55" t="s">
        <v>501</v>
      </c>
      <c r="H2781" s="55">
        <v>1999</v>
      </c>
      <c r="I2781" s="55">
        <v>1997</v>
      </c>
      <c r="J2781" s="55" t="s">
        <v>2688</v>
      </c>
      <c r="K2781" s="55" t="s">
        <v>2787</v>
      </c>
      <c r="L2781" s="55" t="s">
        <v>2777</v>
      </c>
      <c r="M2781" s="90">
        <f>26/60</f>
        <v>0.43333333333333335</v>
      </c>
      <c r="N2781" s="90">
        <f>33+28/60</f>
        <v>33.466666666666669</v>
      </c>
      <c r="O2781" s="90">
        <v>1189</v>
      </c>
      <c r="S2781" s="90">
        <v>1350</v>
      </c>
      <c r="U2781" s="55" t="s">
        <v>1935</v>
      </c>
      <c r="V2781" s="55" t="s">
        <v>1805</v>
      </c>
      <c r="Y2781" s="55" t="s">
        <v>2789</v>
      </c>
      <c r="AH2781" s="55" t="s">
        <v>238</v>
      </c>
      <c r="AN2781" s="185" t="s">
        <v>2665</v>
      </c>
      <c r="AO2781" s="185" t="s">
        <v>5150</v>
      </c>
      <c r="AQ2781" s="55" t="s">
        <v>553</v>
      </c>
      <c r="AR2781" s="55" t="s">
        <v>132</v>
      </c>
      <c r="AS2781" s="55" t="s">
        <v>132</v>
      </c>
      <c r="AU2781" s="181" t="s">
        <v>7494</v>
      </c>
      <c r="AV2781" s="185" t="s">
        <v>176</v>
      </c>
      <c r="AX2781" s="185" t="s">
        <v>176</v>
      </c>
      <c r="BK2781" s="55" t="s">
        <v>5976</v>
      </c>
      <c r="BM2781" s="192" t="s">
        <v>119</v>
      </c>
      <c r="BN2781" s="55">
        <v>6</v>
      </c>
      <c r="BO2781" s="55">
        <v>6</v>
      </c>
      <c r="BQ2781" s="55" t="s">
        <v>141</v>
      </c>
      <c r="CB2781" s="66">
        <v>8100</v>
      </c>
      <c r="CC2781" s="66">
        <v>4300</v>
      </c>
      <c r="CG2781" s="65" t="s">
        <v>2791</v>
      </c>
      <c r="GP2781" s="292" t="s">
        <v>7494</v>
      </c>
    </row>
    <row r="2782" spans="1:241" x14ac:dyDescent="0.25">
      <c r="A2782" s="55">
        <v>2781</v>
      </c>
      <c r="B2782" s="12" t="s">
        <v>7067</v>
      </c>
      <c r="C2782" s="155">
        <v>129</v>
      </c>
      <c r="D2782" s="55" t="s">
        <v>4278</v>
      </c>
      <c r="E2782" s="90" t="s">
        <v>2786</v>
      </c>
      <c r="G2782" s="55" t="s">
        <v>501</v>
      </c>
      <c r="H2782" s="55">
        <v>1999</v>
      </c>
      <c r="I2782" s="55">
        <v>1997</v>
      </c>
      <c r="J2782" s="55" t="s">
        <v>2688</v>
      </c>
      <c r="K2782" s="55" t="s">
        <v>2787</v>
      </c>
      <c r="L2782" s="55" t="s">
        <v>2777</v>
      </c>
      <c r="M2782" s="90">
        <f>26/60</f>
        <v>0.43333333333333335</v>
      </c>
      <c r="N2782" s="90">
        <f>33+28/60</f>
        <v>33.466666666666669</v>
      </c>
      <c r="O2782" s="90">
        <v>1189</v>
      </c>
      <c r="S2782" s="90">
        <v>1350</v>
      </c>
      <c r="U2782" s="55" t="s">
        <v>1935</v>
      </c>
      <c r="V2782" s="55" t="s">
        <v>1805</v>
      </c>
      <c r="Y2782" s="55" t="s">
        <v>2789</v>
      </c>
      <c r="AH2782" s="55" t="s">
        <v>238</v>
      </c>
      <c r="AN2782" s="185" t="s">
        <v>2665</v>
      </c>
      <c r="AO2782" s="185" t="s">
        <v>5150</v>
      </c>
      <c r="AQ2782" s="55" t="s">
        <v>553</v>
      </c>
      <c r="AR2782" s="55" t="s">
        <v>2788</v>
      </c>
      <c r="AS2782" s="55" t="s">
        <v>227</v>
      </c>
      <c r="AU2782" s="181" t="s">
        <v>7494</v>
      </c>
      <c r="AV2782" s="185" t="s">
        <v>176</v>
      </c>
      <c r="AX2782" s="185" t="s">
        <v>176</v>
      </c>
      <c r="BK2782" s="55" t="s">
        <v>5976</v>
      </c>
      <c r="BM2782" s="192" t="s">
        <v>119</v>
      </c>
      <c r="BN2782" s="55">
        <v>6</v>
      </c>
      <c r="BO2782" s="55">
        <v>6</v>
      </c>
      <c r="BQ2782" s="55" t="s">
        <v>141</v>
      </c>
      <c r="CB2782" s="66">
        <v>500</v>
      </c>
      <c r="CC2782" s="66">
        <v>880</v>
      </c>
      <c r="CG2782" s="65" t="s">
        <v>2791</v>
      </c>
      <c r="GP2782" s="292" t="s">
        <v>7494</v>
      </c>
    </row>
    <row r="2783" spans="1:241" x14ac:dyDescent="0.25">
      <c r="A2783" s="55">
        <v>2782</v>
      </c>
      <c r="B2783" s="12" t="s">
        <v>7067</v>
      </c>
      <c r="C2783" s="155">
        <v>130</v>
      </c>
      <c r="D2783" s="55" t="s">
        <v>4279</v>
      </c>
      <c r="E2783" s="90" t="s">
        <v>2786</v>
      </c>
      <c r="G2783" s="55" t="s">
        <v>501</v>
      </c>
      <c r="H2783" s="55">
        <v>1997</v>
      </c>
      <c r="I2783" s="55">
        <v>1993</v>
      </c>
      <c r="J2783" s="55" t="s">
        <v>2380</v>
      </c>
      <c r="K2783" s="55" t="s">
        <v>2793</v>
      </c>
      <c r="L2783" s="55" t="s">
        <v>2777</v>
      </c>
      <c r="M2783" s="90">
        <f>24/60</f>
        <v>0.4</v>
      </c>
      <c r="N2783" s="90">
        <f>32.5</f>
        <v>32.5</v>
      </c>
      <c r="O2783" s="90">
        <v>1200</v>
      </c>
      <c r="U2783" s="55" t="s">
        <v>1935</v>
      </c>
      <c r="V2783" s="55" t="s">
        <v>1816</v>
      </c>
      <c r="Y2783" s="55" t="s">
        <v>2801</v>
      </c>
      <c r="AE2783" s="90">
        <v>50</v>
      </c>
      <c r="AF2783" s="90">
        <v>13</v>
      </c>
      <c r="AH2783" s="55" t="s">
        <v>2618</v>
      </c>
      <c r="AI2783" s="168">
        <v>5.2</v>
      </c>
      <c r="AJ2783" s="90">
        <v>3</v>
      </c>
      <c r="AM2783" s="55" t="s">
        <v>2794</v>
      </c>
      <c r="AN2783" s="185" t="s">
        <v>2666</v>
      </c>
      <c r="AO2783" s="185" t="s">
        <v>5150</v>
      </c>
      <c r="AQ2783" s="55" t="s">
        <v>553</v>
      </c>
      <c r="AR2783" s="55" t="s">
        <v>1607</v>
      </c>
      <c r="AS2783" s="55" t="s">
        <v>132</v>
      </c>
      <c r="AU2783" s="181" t="s">
        <v>7494</v>
      </c>
      <c r="AV2783" s="185" t="s">
        <v>176</v>
      </c>
      <c r="AX2783" s="185" t="s">
        <v>176</v>
      </c>
      <c r="BK2783" s="55" t="s">
        <v>5976</v>
      </c>
      <c r="BM2783" s="192" t="s">
        <v>160</v>
      </c>
      <c r="BS2783" s="55">
        <v>1800</v>
      </c>
      <c r="BT2783" s="55">
        <v>27.5</v>
      </c>
      <c r="BV2783" s="55" t="s">
        <v>2795</v>
      </c>
      <c r="CB2783" s="66">
        <v>420</v>
      </c>
      <c r="CC2783" s="66">
        <v>210</v>
      </c>
      <c r="CG2783" s="65" t="s">
        <v>2797</v>
      </c>
      <c r="GP2783" s="292" t="s">
        <v>7494</v>
      </c>
      <c r="IC2783" s="65">
        <v>9.34</v>
      </c>
      <c r="ID2783" s="65">
        <v>12.13</v>
      </c>
      <c r="IG2783" s="65" t="s">
        <v>2799</v>
      </c>
    </row>
    <row r="2784" spans="1:241" x14ac:dyDescent="0.25">
      <c r="A2784" s="55">
        <v>2783</v>
      </c>
      <c r="B2784" s="12" t="s">
        <v>7067</v>
      </c>
      <c r="C2784" s="155">
        <v>130</v>
      </c>
      <c r="D2784" s="55" t="s">
        <v>4279</v>
      </c>
      <c r="E2784" s="90" t="s">
        <v>2786</v>
      </c>
      <c r="G2784" s="55" t="s">
        <v>501</v>
      </c>
      <c r="H2784" s="55">
        <v>1997</v>
      </c>
      <c r="I2784" s="55">
        <v>1994</v>
      </c>
      <c r="J2784" s="55" t="s">
        <v>2380</v>
      </c>
      <c r="K2784" s="55" t="s">
        <v>2793</v>
      </c>
      <c r="L2784" s="55" t="s">
        <v>2777</v>
      </c>
      <c r="M2784" s="90">
        <f>24/60</f>
        <v>0.4</v>
      </c>
      <c r="N2784" s="90">
        <f>32.5</f>
        <v>32.5</v>
      </c>
      <c r="O2784" s="90">
        <v>1200</v>
      </c>
      <c r="U2784" s="55" t="s">
        <v>1805</v>
      </c>
      <c r="V2784" s="55" t="s">
        <v>1816</v>
      </c>
      <c r="Y2784" s="55" t="s">
        <v>2801</v>
      </c>
      <c r="AE2784" s="90">
        <v>50</v>
      </c>
      <c r="AF2784" s="90">
        <v>13</v>
      </c>
      <c r="AH2784" s="55" t="s">
        <v>2618</v>
      </c>
      <c r="AI2784" s="168">
        <v>5.2</v>
      </c>
      <c r="AJ2784" s="90">
        <v>3</v>
      </c>
      <c r="AM2784" s="55" t="s">
        <v>2794</v>
      </c>
      <c r="AN2784" s="185" t="s">
        <v>2666</v>
      </c>
      <c r="AO2784" s="185" t="s">
        <v>5150</v>
      </c>
      <c r="AQ2784" s="55" t="s">
        <v>553</v>
      </c>
      <c r="AR2784" s="55" t="s">
        <v>1607</v>
      </c>
      <c r="AS2784" s="55" t="s">
        <v>132</v>
      </c>
      <c r="AU2784" s="181" t="s">
        <v>7494</v>
      </c>
      <c r="AV2784" s="185" t="s">
        <v>176</v>
      </c>
      <c r="AX2784" s="185" t="s">
        <v>176</v>
      </c>
      <c r="BK2784" s="55" t="s">
        <v>5976</v>
      </c>
      <c r="BM2784" s="192" t="s">
        <v>160</v>
      </c>
      <c r="BS2784" s="55">
        <v>2930</v>
      </c>
      <c r="BT2784" s="55">
        <v>27.5</v>
      </c>
      <c r="BV2784" s="55" t="s">
        <v>2795</v>
      </c>
      <c r="CB2784" s="66">
        <v>2200</v>
      </c>
      <c r="CC2784" s="66">
        <v>1050</v>
      </c>
      <c r="CG2784" s="65" t="s">
        <v>2797</v>
      </c>
      <c r="GP2784" s="292" t="s">
        <v>7494</v>
      </c>
      <c r="IC2784" s="65">
        <v>19.22</v>
      </c>
      <c r="ID2784" s="65">
        <v>36.61</v>
      </c>
      <c r="IG2784" s="65" t="s">
        <v>2799</v>
      </c>
    </row>
    <row r="2785" spans="1:241" x14ac:dyDescent="0.25">
      <c r="A2785" s="55">
        <v>2784</v>
      </c>
      <c r="B2785" s="12" t="s">
        <v>7067</v>
      </c>
      <c r="C2785" s="155">
        <v>130</v>
      </c>
      <c r="D2785" s="55" t="s">
        <v>4279</v>
      </c>
      <c r="E2785" s="90" t="s">
        <v>2786</v>
      </c>
      <c r="G2785" s="55" t="s">
        <v>501</v>
      </c>
      <c r="H2785" s="55">
        <v>1997</v>
      </c>
      <c r="I2785" s="55">
        <v>1995</v>
      </c>
      <c r="J2785" s="55" t="s">
        <v>2380</v>
      </c>
      <c r="K2785" s="55" t="s">
        <v>2793</v>
      </c>
      <c r="L2785" s="55" t="s">
        <v>2777</v>
      </c>
      <c r="M2785" s="90">
        <f>24/60</f>
        <v>0.4</v>
      </c>
      <c r="N2785" s="90">
        <f>32.5</f>
        <v>32.5</v>
      </c>
      <c r="O2785" s="90">
        <v>1200</v>
      </c>
      <c r="U2785" s="55" t="s">
        <v>1688</v>
      </c>
      <c r="V2785" s="55" t="s">
        <v>1816</v>
      </c>
      <c r="Y2785" s="55" t="s">
        <v>2801</v>
      </c>
      <c r="AE2785" s="90">
        <v>50</v>
      </c>
      <c r="AF2785" s="90">
        <v>13</v>
      </c>
      <c r="AH2785" s="55" t="s">
        <v>2618</v>
      </c>
      <c r="AI2785" s="168">
        <v>5.2</v>
      </c>
      <c r="AJ2785" s="90">
        <v>3</v>
      </c>
      <c r="AM2785" s="55" t="s">
        <v>2794</v>
      </c>
      <c r="AN2785" s="185" t="s">
        <v>2666</v>
      </c>
      <c r="AO2785" s="185" t="s">
        <v>5150</v>
      </c>
      <c r="AQ2785" s="55" t="s">
        <v>553</v>
      </c>
      <c r="AR2785" s="55" t="s">
        <v>1607</v>
      </c>
      <c r="AS2785" s="55" t="s">
        <v>132</v>
      </c>
      <c r="AU2785" s="181" t="s">
        <v>7494</v>
      </c>
      <c r="AV2785" s="185" t="s">
        <v>176</v>
      </c>
      <c r="AX2785" s="185" t="s">
        <v>176</v>
      </c>
      <c r="BK2785" s="55" t="s">
        <v>5976</v>
      </c>
      <c r="BM2785" s="192" t="s">
        <v>160</v>
      </c>
      <c r="BS2785" s="55">
        <v>4620</v>
      </c>
      <c r="BT2785" s="55">
        <v>27.5</v>
      </c>
      <c r="BV2785" s="55" t="s">
        <v>2795</v>
      </c>
      <c r="CB2785" s="66">
        <v>4600</v>
      </c>
      <c r="CC2785" s="66">
        <v>3040</v>
      </c>
      <c r="CG2785" s="65" t="s">
        <v>2797</v>
      </c>
      <c r="GP2785" s="292" t="s">
        <v>7494</v>
      </c>
      <c r="IC2785" s="65">
        <v>11.91</v>
      </c>
      <c r="ID2785" s="65">
        <v>12.56</v>
      </c>
      <c r="IG2785" s="65" t="s">
        <v>2799</v>
      </c>
    </row>
    <row r="2786" spans="1:241" x14ac:dyDescent="0.25">
      <c r="A2786" s="55">
        <v>2785</v>
      </c>
      <c r="B2786" s="12" t="s">
        <v>7067</v>
      </c>
      <c r="C2786" s="155">
        <v>130</v>
      </c>
      <c r="D2786" s="55" t="s">
        <v>4279</v>
      </c>
      <c r="E2786" s="90" t="s">
        <v>2786</v>
      </c>
      <c r="G2786" s="55" t="s">
        <v>501</v>
      </c>
      <c r="H2786" s="55">
        <v>1997</v>
      </c>
      <c r="I2786" s="55">
        <v>1993</v>
      </c>
      <c r="J2786" s="55" t="s">
        <v>2380</v>
      </c>
      <c r="K2786" s="55" t="s">
        <v>2793</v>
      </c>
      <c r="L2786" s="55" t="s">
        <v>2777</v>
      </c>
      <c r="M2786" s="90">
        <f>24/60</f>
        <v>0.4</v>
      </c>
      <c r="N2786" s="90">
        <f>32.5</f>
        <v>32.5</v>
      </c>
      <c r="O2786" s="90">
        <v>1200</v>
      </c>
      <c r="U2786" s="55" t="s">
        <v>1935</v>
      </c>
      <c r="V2786" s="55" t="s">
        <v>1816</v>
      </c>
      <c r="Y2786" s="55" t="s">
        <v>2801</v>
      </c>
      <c r="AE2786" s="90">
        <v>50</v>
      </c>
      <c r="AF2786" s="90">
        <v>13</v>
      </c>
      <c r="AH2786" s="55" t="s">
        <v>2618</v>
      </c>
      <c r="AI2786" s="168">
        <v>5.2</v>
      </c>
      <c r="AJ2786" s="90">
        <v>3</v>
      </c>
      <c r="AM2786" s="55" t="s">
        <v>2794</v>
      </c>
      <c r="AN2786" s="185" t="s">
        <v>2666</v>
      </c>
      <c r="AO2786" s="185" t="s">
        <v>5150</v>
      </c>
      <c r="AQ2786" s="55" t="s">
        <v>553</v>
      </c>
      <c r="AR2786" s="55" t="s">
        <v>1607</v>
      </c>
      <c r="AS2786" s="55" t="s">
        <v>132</v>
      </c>
      <c r="AU2786" s="181" t="s">
        <v>7494</v>
      </c>
      <c r="AV2786" s="185" t="s">
        <v>176</v>
      </c>
      <c r="AX2786" s="185" t="s">
        <v>176</v>
      </c>
      <c r="BK2786" s="55" t="s">
        <v>5976</v>
      </c>
      <c r="BM2786" s="192" t="s">
        <v>160</v>
      </c>
      <c r="BS2786" s="55">
        <v>1990</v>
      </c>
      <c r="BT2786" s="55">
        <v>20.100000000000001</v>
      </c>
      <c r="BV2786" s="55" t="s">
        <v>2796</v>
      </c>
      <c r="CB2786" s="66">
        <v>420</v>
      </c>
      <c r="CC2786" s="66">
        <v>340</v>
      </c>
      <c r="CG2786" s="65" t="s">
        <v>2797</v>
      </c>
      <c r="GP2786" s="292" t="s">
        <v>7494</v>
      </c>
      <c r="IC2786" s="65">
        <v>9.34</v>
      </c>
      <c r="ID2786" s="65">
        <v>12.13</v>
      </c>
      <c r="IG2786" s="65" t="s">
        <v>2799</v>
      </c>
    </row>
    <row r="2787" spans="1:241" x14ac:dyDescent="0.25">
      <c r="A2787" s="55">
        <v>2786</v>
      </c>
      <c r="B2787" s="12" t="s">
        <v>7067</v>
      </c>
      <c r="C2787" s="155">
        <v>130</v>
      </c>
      <c r="D2787" s="55" t="s">
        <v>4279</v>
      </c>
      <c r="E2787" s="90" t="s">
        <v>2786</v>
      </c>
      <c r="G2787" s="55" t="s">
        <v>501</v>
      </c>
      <c r="H2787" s="55">
        <v>1997</v>
      </c>
      <c r="I2787" s="55">
        <v>1994</v>
      </c>
      <c r="J2787" s="55" t="s">
        <v>2380</v>
      </c>
      <c r="K2787" s="55" t="s">
        <v>2793</v>
      </c>
      <c r="L2787" s="55" t="s">
        <v>2777</v>
      </c>
      <c r="M2787" s="90">
        <f>24/60</f>
        <v>0.4</v>
      </c>
      <c r="N2787" s="90">
        <f>32.5</f>
        <v>32.5</v>
      </c>
      <c r="O2787" s="90">
        <v>1200</v>
      </c>
      <c r="U2787" s="55" t="s">
        <v>1805</v>
      </c>
      <c r="V2787" s="55" t="s">
        <v>1816</v>
      </c>
      <c r="Y2787" s="55" t="s">
        <v>2801</v>
      </c>
      <c r="AE2787" s="90">
        <v>50</v>
      </c>
      <c r="AF2787" s="90">
        <v>13</v>
      </c>
      <c r="AH2787" s="55" t="s">
        <v>2618</v>
      </c>
      <c r="AI2787" s="168">
        <v>5.2</v>
      </c>
      <c r="AJ2787" s="90">
        <v>3</v>
      </c>
      <c r="AM2787" s="55" t="s">
        <v>2794</v>
      </c>
      <c r="AN2787" s="185" t="s">
        <v>2666</v>
      </c>
      <c r="AO2787" s="185" t="s">
        <v>5150</v>
      </c>
      <c r="AQ2787" s="55" t="s">
        <v>553</v>
      </c>
      <c r="AR2787" s="55" t="s">
        <v>1607</v>
      </c>
      <c r="AS2787" s="55" t="s">
        <v>132</v>
      </c>
      <c r="AU2787" s="181" t="s">
        <v>7494</v>
      </c>
      <c r="AV2787" s="185" t="s">
        <v>176</v>
      </c>
      <c r="AX2787" s="185" t="s">
        <v>176</v>
      </c>
      <c r="BK2787" s="55" t="s">
        <v>5976</v>
      </c>
      <c r="BM2787" s="192" t="s">
        <v>160</v>
      </c>
      <c r="BS2787" s="55">
        <v>1230</v>
      </c>
      <c r="BT2787" s="55">
        <v>20.100000000000001</v>
      </c>
      <c r="BV2787" s="55" t="s">
        <v>2796</v>
      </c>
      <c r="CB2787" s="66">
        <v>2200</v>
      </c>
      <c r="CC2787" s="66">
        <v>1840</v>
      </c>
      <c r="CG2787" s="65" t="s">
        <v>2797</v>
      </c>
      <c r="GP2787" s="292" t="s">
        <v>7494</v>
      </c>
      <c r="IC2787" s="65">
        <v>19.22</v>
      </c>
      <c r="ID2787" s="65">
        <v>38.97</v>
      </c>
      <c r="IG2787" s="65" t="s">
        <v>2799</v>
      </c>
    </row>
    <row r="2788" spans="1:241" x14ac:dyDescent="0.25">
      <c r="A2788" s="55">
        <v>2787</v>
      </c>
      <c r="B2788" s="12" t="s">
        <v>7067</v>
      </c>
      <c r="C2788" s="155">
        <v>130</v>
      </c>
      <c r="D2788" s="55" t="s">
        <v>4279</v>
      </c>
      <c r="E2788" s="90" t="s">
        <v>2786</v>
      </c>
      <c r="G2788" s="55" t="s">
        <v>501</v>
      </c>
      <c r="H2788" s="55">
        <v>1997</v>
      </c>
      <c r="I2788" s="55">
        <v>1995</v>
      </c>
      <c r="J2788" s="55" t="s">
        <v>2380</v>
      </c>
      <c r="K2788" s="55" t="s">
        <v>2793</v>
      </c>
      <c r="L2788" s="55" t="s">
        <v>2777</v>
      </c>
      <c r="M2788" s="90">
        <f>24/60</f>
        <v>0.4</v>
      </c>
      <c r="N2788" s="90">
        <f>32.5</f>
        <v>32.5</v>
      </c>
      <c r="O2788" s="90">
        <v>1200</v>
      </c>
      <c r="U2788" s="55" t="s">
        <v>1688</v>
      </c>
      <c r="V2788" s="55" t="s">
        <v>1816</v>
      </c>
      <c r="Y2788" s="55" t="s">
        <v>2801</v>
      </c>
      <c r="AE2788" s="90">
        <v>50</v>
      </c>
      <c r="AF2788" s="90">
        <v>13</v>
      </c>
      <c r="AH2788" s="55" t="s">
        <v>2618</v>
      </c>
      <c r="AI2788" s="168">
        <v>5.2</v>
      </c>
      <c r="AJ2788" s="90">
        <v>3</v>
      </c>
      <c r="AM2788" s="55" t="s">
        <v>2794</v>
      </c>
      <c r="AN2788" s="185" t="s">
        <v>2666</v>
      </c>
      <c r="AO2788" s="185" t="s">
        <v>5150</v>
      </c>
      <c r="AQ2788" s="55" t="s">
        <v>553</v>
      </c>
      <c r="AR2788" s="55" t="s">
        <v>1607</v>
      </c>
      <c r="AS2788" s="55" t="s">
        <v>132</v>
      </c>
      <c r="AU2788" s="181" t="s">
        <v>7494</v>
      </c>
      <c r="AV2788" s="185" t="s">
        <v>176</v>
      </c>
      <c r="AX2788" s="185" t="s">
        <v>176</v>
      </c>
      <c r="BK2788" s="55" t="s">
        <v>5976</v>
      </c>
      <c r="BM2788" s="192" t="s">
        <v>160</v>
      </c>
      <c r="BS2788" s="55">
        <v>2300</v>
      </c>
      <c r="BT2788" s="55">
        <v>20.100000000000001</v>
      </c>
      <c r="BV2788" s="55" t="s">
        <v>2796</v>
      </c>
      <c r="CB2788" s="66">
        <v>4600</v>
      </c>
      <c r="CC2788" s="66">
        <v>3420</v>
      </c>
      <c r="CG2788" s="65" t="s">
        <v>2797</v>
      </c>
      <c r="GP2788" s="292" t="s">
        <v>7494</v>
      </c>
      <c r="IC2788" s="65">
        <v>11.91</v>
      </c>
      <c r="ID2788" s="65">
        <v>12.56</v>
      </c>
      <c r="IG2788" s="65" t="s">
        <v>2799</v>
      </c>
    </row>
    <row r="2789" spans="1:241" x14ac:dyDescent="0.25">
      <c r="A2789" s="55">
        <v>2788</v>
      </c>
      <c r="B2789" s="12" t="s">
        <v>7067</v>
      </c>
      <c r="C2789" s="155">
        <v>130</v>
      </c>
      <c r="D2789" s="55" t="s">
        <v>4280</v>
      </c>
      <c r="E2789" s="90" t="s">
        <v>2786</v>
      </c>
      <c r="G2789" s="55" t="s">
        <v>501</v>
      </c>
      <c r="H2789" s="55">
        <v>1997</v>
      </c>
      <c r="I2789" s="55">
        <v>1993</v>
      </c>
      <c r="J2789" s="55" t="s">
        <v>2380</v>
      </c>
      <c r="K2789" s="55" t="s">
        <v>2793</v>
      </c>
      <c r="L2789" s="55" t="s">
        <v>2777</v>
      </c>
      <c r="M2789" s="90">
        <f>24/60</f>
        <v>0.4</v>
      </c>
      <c r="N2789" s="90">
        <f>32.5</f>
        <v>32.5</v>
      </c>
      <c r="O2789" s="90">
        <v>1200</v>
      </c>
      <c r="U2789" s="55" t="s">
        <v>1935</v>
      </c>
      <c r="V2789" s="55" t="s">
        <v>1816</v>
      </c>
      <c r="Y2789" s="55" t="s">
        <v>2801</v>
      </c>
      <c r="AE2789" s="90">
        <v>50</v>
      </c>
      <c r="AF2789" s="90">
        <v>13</v>
      </c>
      <c r="AH2789" s="55" t="s">
        <v>2618</v>
      </c>
      <c r="AI2789" s="168">
        <v>5.2</v>
      </c>
      <c r="AJ2789" s="90">
        <v>3</v>
      </c>
      <c r="AM2789" s="55" t="s">
        <v>2794</v>
      </c>
      <c r="AN2789" s="185" t="s">
        <v>2666</v>
      </c>
      <c r="AO2789" s="185" t="s">
        <v>5150</v>
      </c>
      <c r="AQ2789" s="55" t="s">
        <v>553</v>
      </c>
      <c r="AR2789" s="55" t="s">
        <v>2788</v>
      </c>
      <c r="AS2789" s="55" t="s">
        <v>227</v>
      </c>
      <c r="AU2789" s="181" t="s">
        <v>7494</v>
      </c>
      <c r="AV2789" s="185" t="s">
        <v>176</v>
      </c>
      <c r="AX2789" s="185" t="s">
        <v>176</v>
      </c>
      <c r="BK2789" s="55" t="s">
        <v>5976</v>
      </c>
      <c r="BM2789" s="192" t="s">
        <v>160</v>
      </c>
      <c r="BS2789" s="55">
        <v>3100</v>
      </c>
      <c r="BT2789" s="55">
        <v>26.9</v>
      </c>
      <c r="BV2789" s="55" t="s">
        <v>2795</v>
      </c>
      <c r="CB2789" s="66">
        <v>210</v>
      </c>
      <c r="CC2789" s="66">
        <v>150</v>
      </c>
      <c r="CG2789" s="65" t="s">
        <v>2797</v>
      </c>
      <c r="GP2789" s="292" t="s">
        <v>7494</v>
      </c>
    </row>
    <row r="2790" spans="1:241" x14ac:dyDescent="0.25">
      <c r="A2790" s="55">
        <v>2789</v>
      </c>
      <c r="B2790" s="12" t="s">
        <v>7067</v>
      </c>
      <c r="C2790" s="155">
        <v>130</v>
      </c>
      <c r="D2790" s="55" t="s">
        <v>4280</v>
      </c>
      <c r="E2790" s="90" t="s">
        <v>2786</v>
      </c>
      <c r="G2790" s="55" t="s">
        <v>501</v>
      </c>
      <c r="H2790" s="55">
        <v>1997</v>
      </c>
      <c r="I2790" s="55">
        <v>1994</v>
      </c>
      <c r="J2790" s="55" t="s">
        <v>2380</v>
      </c>
      <c r="K2790" s="55" t="s">
        <v>2793</v>
      </c>
      <c r="L2790" s="55" t="s">
        <v>2777</v>
      </c>
      <c r="M2790" s="90">
        <f>24/60</f>
        <v>0.4</v>
      </c>
      <c r="N2790" s="90">
        <f>32.5</f>
        <v>32.5</v>
      </c>
      <c r="O2790" s="90">
        <v>1200</v>
      </c>
      <c r="U2790" s="55" t="s">
        <v>1805</v>
      </c>
      <c r="V2790" s="55" t="s">
        <v>1816</v>
      </c>
      <c r="Y2790" s="55" t="s">
        <v>2801</v>
      </c>
      <c r="AE2790" s="90">
        <v>50</v>
      </c>
      <c r="AF2790" s="90">
        <v>13</v>
      </c>
      <c r="AH2790" s="55" t="s">
        <v>2618</v>
      </c>
      <c r="AI2790" s="168">
        <v>5.2</v>
      </c>
      <c r="AJ2790" s="90">
        <v>3</v>
      </c>
      <c r="AM2790" s="55" t="s">
        <v>2794</v>
      </c>
      <c r="AN2790" s="185" t="s">
        <v>2666</v>
      </c>
      <c r="AO2790" s="185" t="s">
        <v>5150</v>
      </c>
      <c r="AQ2790" s="55" t="s">
        <v>553</v>
      </c>
      <c r="AR2790" s="55" t="s">
        <v>2788</v>
      </c>
      <c r="AS2790" s="55" t="s">
        <v>227</v>
      </c>
      <c r="AU2790" s="181" t="s">
        <v>7494</v>
      </c>
      <c r="AV2790" s="185" t="s">
        <v>176</v>
      </c>
      <c r="AX2790" s="185" t="s">
        <v>176</v>
      </c>
      <c r="BK2790" s="55" t="s">
        <v>5976</v>
      </c>
      <c r="BM2790" s="192" t="s">
        <v>160</v>
      </c>
      <c r="BS2790" s="55">
        <v>6420</v>
      </c>
      <c r="BT2790" s="55">
        <v>26.9</v>
      </c>
      <c r="BV2790" s="55" t="s">
        <v>2795</v>
      </c>
      <c r="CB2790" s="66">
        <v>490</v>
      </c>
      <c r="CC2790" s="66">
        <v>240</v>
      </c>
      <c r="CG2790" s="65" t="s">
        <v>2797</v>
      </c>
      <c r="GP2790" s="292" t="s">
        <v>7494</v>
      </c>
    </row>
    <row r="2791" spans="1:241" x14ac:dyDescent="0.25">
      <c r="A2791" s="55">
        <v>2790</v>
      </c>
      <c r="B2791" s="12" t="s">
        <v>7067</v>
      </c>
      <c r="C2791" s="155">
        <v>130</v>
      </c>
      <c r="D2791" s="55" t="s">
        <v>4280</v>
      </c>
      <c r="E2791" s="90" t="s">
        <v>2786</v>
      </c>
      <c r="G2791" s="55" t="s">
        <v>501</v>
      </c>
      <c r="H2791" s="55">
        <v>1997</v>
      </c>
      <c r="I2791" s="55">
        <v>1995</v>
      </c>
      <c r="J2791" s="55" t="s">
        <v>2380</v>
      </c>
      <c r="K2791" s="55" t="s">
        <v>2793</v>
      </c>
      <c r="L2791" s="55" t="s">
        <v>2777</v>
      </c>
      <c r="M2791" s="90">
        <f>24/60</f>
        <v>0.4</v>
      </c>
      <c r="N2791" s="90">
        <f>32.5</f>
        <v>32.5</v>
      </c>
      <c r="O2791" s="90">
        <v>1200</v>
      </c>
      <c r="U2791" s="55" t="s">
        <v>1688</v>
      </c>
      <c r="V2791" s="55" t="s">
        <v>1816</v>
      </c>
      <c r="Y2791" s="55" t="s">
        <v>2801</v>
      </c>
      <c r="AE2791" s="90">
        <v>50</v>
      </c>
      <c r="AF2791" s="90">
        <v>13</v>
      </c>
      <c r="AH2791" s="55" t="s">
        <v>2618</v>
      </c>
      <c r="AI2791" s="168">
        <v>5.2</v>
      </c>
      <c r="AJ2791" s="90">
        <v>3</v>
      </c>
      <c r="AM2791" s="55" t="s">
        <v>2794</v>
      </c>
      <c r="AN2791" s="185" t="s">
        <v>2666</v>
      </c>
      <c r="AO2791" s="185" t="s">
        <v>5150</v>
      </c>
      <c r="AQ2791" s="55" t="s">
        <v>553</v>
      </c>
      <c r="AR2791" s="55" t="s">
        <v>2788</v>
      </c>
      <c r="AS2791" s="55" t="s">
        <v>227</v>
      </c>
      <c r="AU2791" s="181" t="s">
        <v>7494</v>
      </c>
      <c r="AV2791" s="185" t="s">
        <v>176</v>
      </c>
      <c r="AX2791" s="185" t="s">
        <v>176</v>
      </c>
      <c r="BK2791" s="55" t="s">
        <v>5976</v>
      </c>
      <c r="BM2791" s="192" t="s">
        <v>160</v>
      </c>
      <c r="BS2791" s="55">
        <v>9450</v>
      </c>
      <c r="BT2791" s="55">
        <v>26.9</v>
      </c>
      <c r="BV2791" s="55" t="s">
        <v>2795</v>
      </c>
      <c r="CB2791" s="66">
        <v>1080</v>
      </c>
      <c r="CC2791" s="66">
        <v>590</v>
      </c>
      <c r="CG2791" s="65" t="s">
        <v>2797</v>
      </c>
      <c r="GP2791" s="292" t="s">
        <v>7494</v>
      </c>
    </row>
    <row r="2792" spans="1:241" x14ac:dyDescent="0.25">
      <c r="A2792" s="55">
        <v>2791</v>
      </c>
      <c r="B2792" s="12" t="s">
        <v>7067</v>
      </c>
      <c r="C2792" s="155">
        <v>130</v>
      </c>
      <c r="D2792" s="55" t="s">
        <v>4280</v>
      </c>
      <c r="E2792" s="90" t="s">
        <v>2786</v>
      </c>
      <c r="G2792" s="55" t="s">
        <v>501</v>
      </c>
      <c r="H2792" s="55">
        <v>1997</v>
      </c>
      <c r="I2792" s="55">
        <v>1993</v>
      </c>
      <c r="J2792" s="55" t="s">
        <v>2380</v>
      </c>
      <c r="K2792" s="55" t="s">
        <v>2793</v>
      </c>
      <c r="L2792" s="55" t="s">
        <v>2777</v>
      </c>
      <c r="M2792" s="90">
        <f>24/60</f>
        <v>0.4</v>
      </c>
      <c r="N2792" s="90">
        <f>32.5</f>
        <v>32.5</v>
      </c>
      <c r="O2792" s="90">
        <v>1200</v>
      </c>
      <c r="U2792" s="55" t="s">
        <v>1935</v>
      </c>
      <c r="V2792" s="55" t="s">
        <v>1816</v>
      </c>
      <c r="Y2792" s="55" t="s">
        <v>2801</v>
      </c>
      <c r="AE2792" s="90">
        <v>50</v>
      </c>
      <c r="AF2792" s="90">
        <v>13</v>
      </c>
      <c r="AH2792" s="55" t="s">
        <v>2618</v>
      </c>
      <c r="AI2792" s="168">
        <v>5.2</v>
      </c>
      <c r="AJ2792" s="90">
        <v>3</v>
      </c>
      <c r="AM2792" s="55" t="s">
        <v>2794</v>
      </c>
      <c r="AN2792" s="185" t="s">
        <v>2666</v>
      </c>
      <c r="AO2792" s="185" t="s">
        <v>5150</v>
      </c>
      <c r="AQ2792" s="55" t="s">
        <v>553</v>
      </c>
      <c r="AR2792" s="55" t="s">
        <v>2788</v>
      </c>
      <c r="AS2792" s="55" t="s">
        <v>227</v>
      </c>
      <c r="AU2792" s="181" t="s">
        <v>7494</v>
      </c>
      <c r="AV2792" s="185" t="s">
        <v>176</v>
      </c>
      <c r="AX2792" s="185" t="s">
        <v>176</v>
      </c>
      <c r="BK2792" s="55" t="s">
        <v>5976</v>
      </c>
      <c r="BM2792" s="192" t="s">
        <v>160</v>
      </c>
      <c r="BS2792" s="55">
        <v>1930</v>
      </c>
      <c r="BT2792" s="55">
        <v>23</v>
      </c>
      <c r="BV2792" s="55" t="s">
        <v>2796</v>
      </c>
      <c r="CB2792" s="66">
        <v>210</v>
      </c>
      <c r="CC2792" s="66">
        <v>130</v>
      </c>
      <c r="CG2792" s="65" t="s">
        <v>2797</v>
      </c>
      <c r="GP2792" s="292" t="s">
        <v>7494</v>
      </c>
    </row>
    <row r="2793" spans="1:241" x14ac:dyDescent="0.25">
      <c r="A2793" s="55">
        <v>2792</v>
      </c>
      <c r="B2793" s="12" t="s">
        <v>7067</v>
      </c>
      <c r="C2793" s="155">
        <v>130</v>
      </c>
      <c r="D2793" s="55" t="s">
        <v>4280</v>
      </c>
      <c r="E2793" s="90" t="s">
        <v>2786</v>
      </c>
      <c r="G2793" s="55" t="s">
        <v>501</v>
      </c>
      <c r="H2793" s="55">
        <v>1997</v>
      </c>
      <c r="I2793" s="55">
        <v>1994</v>
      </c>
      <c r="J2793" s="55" t="s">
        <v>2380</v>
      </c>
      <c r="K2793" s="55" t="s">
        <v>2793</v>
      </c>
      <c r="L2793" s="55" t="s">
        <v>2777</v>
      </c>
      <c r="M2793" s="90">
        <f>24/60</f>
        <v>0.4</v>
      </c>
      <c r="N2793" s="90">
        <f>32.5</f>
        <v>32.5</v>
      </c>
      <c r="O2793" s="90">
        <v>1200</v>
      </c>
      <c r="U2793" s="55" t="s">
        <v>1805</v>
      </c>
      <c r="V2793" s="55" t="s">
        <v>1816</v>
      </c>
      <c r="Y2793" s="55" t="s">
        <v>2801</v>
      </c>
      <c r="AE2793" s="90">
        <v>50</v>
      </c>
      <c r="AF2793" s="90">
        <v>13</v>
      </c>
      <c r="AH2793" s="55" t="s">
        <v>2618</v>
      </c>
      <c r="AI2793" s="168">
        <v>5.2</v>
      </c>
      <c r="AJ2793" s="90">
        <v>3</v>
      </c>
      <c r="AM2793" s="55" t="s">
        <v>2794</v>
      </c>
      <c r="AN2793" s="185" t="s">
        <v>2666</v>
      </c>
      <c r="AO2793" s="185" t="s">
        <v>5150</v>
      </c>
      <c r="AQ2793" s="55" t="s">
        <v>553</v>
      </c>
      <c r="AR2793" s="55" t="s">
        <v>2788</v>
      </c>
      <c r="AS2793" s="55" t="s">
        <v>227</v>
      </c>
      <c r="AU2793" s="181" t="s">
        <v>7494</v>
      </c>
      <c r="AV2793" s="185" t="s">
        <v>176</v>
      </c>
      <c r="AX2793" s="185" t="s">
        <v>176</v>
      </c>
      <c r="BK2793" s="55" t="s">
        <v>5976</v>
      </c>
      <c r="BM2793" s="192" t="s">
        <v>160</v>
      </c>
      <c r="BS2793" s="55">
        <v>2160</v>
      </c>
      <c r="BT2793" s="55">
        <v>23</v>
      </c>
      <c r="BV2793" s="55" t="s">
        <v>2796</v>
      </c>
      <c r="CB2793" s="66">
        <v>490</v>
      </c>
      <c r="CC2793" s="66">
        <v>510</v>
      </c>
      <c r="CG2793" s="65" t="s">
        <v>2797</v>
      </c>
      <c r="GP2793" s="292" t="s">
        <v>7494</v>
      </c>
    </row>
    <row r="2794" spans="1:241" x14ac:dyDescent="0.25">
      <c r="A2794" s="55">
        <v>2793</v>
      </c>
      <c r="B2794" s="12" t="s">
        <v>7067</v>
      </c>
      <c r="C2794" s="155">
        <v>130</v>
      </c>
      <c r="D2794" s="55" t="s">
        <v>4280</v>
      </c>
      <c r="E2794" s="90" t="s">
        <v>2786</v>
      </c>
      <c r="G2794" s="55" t="s">
        <v>501</v>
      </c>
      <c r="H2794" s="55">
        <v>1997</v>
      </c>
      <c r="I2794" s="55">
        <v>1995</v>
      </c>
      <c r="J2794" s="55" t="s">
        <v>2380</v>
      </c>
      <c r="K2794" s="55" t="s">
        <v>2793</v>
      </c>
      <c r="L2794" s="55" t="s">
        <v>2777</v>
      </c>
      <c r="M2794" s="90">
        <f>24/60</f>
        <v>0.4</v>
      </c>
      <c r="N2794" s="90">
        <f>32.5</f>
        <v>32.5</v>
      </c>
      <c r="O2794" s="90">
        <v>1200</v>
      </c>
      <c r="U2794" s="55" t="s">
        <v>1688</v>
      </c>
      <c r="V2794" s="55" t="s">
        <v>1816</v>
      </c>
      <c r="Y2794" s="55" t="s">
        <v>2801</v>
      </c>
      <c r="AE2794" s="90">
        <v>50</v>
      </c>
      <c r="AF2794" s="90">
        <v>13</v>
      </c>
      <c r="AH2794" s="55" t="s">
        <v>2618</v>
      </c>
      <c r="AI2794" s="168">
        <v>5.2</v>
      </c>
      <c r="AJ2794" s="90">
        <v>3</v>
      </c>
      <c r="AM2794" s="55" t="s">
        <v>2794</v>
      </c>
      <c r="AN2794" s="185" t="s">
        <v>2666</v>
      </c>
      <c r="AO2794" s="185" t="s">
        <v>5150</v>
      </c>
      <c r="AQ2794" s="55" t="s">
        <v>553</v>
      </c>
      <c r="AR2794" s="55" t="s">
        <v>2788</v>
      </c>
      <c r="AS2794" s="55" t="s">
        <v>227</v>
      </c>
      <c r="AU2794" s="181" t="s">
        <v>7494</v>
      </c>
      <c r="AV2794" s="185" t="s">
        <v>176</v>
      </c>
      <c r="AX2794" s="185" t="s">
        <v>176</v>
      </c>
      <c r="BK2794" s="55" t="s">
        <v>5976</v>
      </c>
      <c r="BM2794" s="192" t="s">
        <v>160</v>
      </c>
      <c r="BS2794" s="55">
        <v>770</v>
      </c>
      <c r="BT2794" s="55">
        <v>23</v>
      </c>
      <c r="BV2794" s="55" t="s">
        <v>2796</v>
      </c>
      <c r="CB2794" s="66">
        <v>1080</v>
      </c>
      <c r="CC2794" s="66">
        <v>880</v>
      </c>
      <c r="CG2794" s="65" t="s">
        <v>2797</v>
      </c>
      <c r="GP2794" s="292" t="s">
        <v>7494</v>
      </c>
    </row>
    <row r="2795" spans="1:241" x14ac:dyDescent="0.25">
      <c r="A2795" s="55">
        <v>2794</v>
      </c>
      <c r="B2795" s="12" t="s">
        <v>7067</v>
      </c>
      <c r="C2795" s="155">
        <v>130</v>
      </c>
      <c r="D2795" s="55" t="s">
        <v>4279</v>
      </c>
      <c r="E2795" s="90" t="s">
        <v>2786</v>
      </c>
      <c r="G2795" s="55" t="s">
        <v>501</v>
      </c>
      <c r="H2795" s="55">
        <v>1997</v>
      </c>
      <c r="I2795" s="55">
        <v>1994</v>
      </c>
      <c r="J2795" s="55" t="s">
        <v>2380</v>
      </c>
      <c r="K2795" s="55" t="s">
        <v>2793</v>
      </c>
      <c r="L2795" s="55" t="s">
        <v>2777</v>
      </c>
      <c r="M2795" s="90">
        <f>24/60</f>
        <v>0.4</v>
      </c>
      <c r="N2795" s="90">
        <f>32.5</f>
        <v>32.5</v>
      </c>
      <c r="O2795" s="90">
        <v>1200</v>
      </c>
      <c r="U2795" s="55" t="s">
        <v>1935</v>
      </c>
      <c r="V2795" s="55" t="s">
        <v>1816</v>
      </c>
      <c r="Y2795" s="55" t="s">
        <v>2801</v>
      </c>
      <c r="AE2795" s="90">
        <v>50</v>
      </c>
      <c r="AF2795" s="90">
        <v>13</v>
      </c>
      <c r="AH2795" s="55" t="s">
        <v>2618</v>
      </c>
      <c r="AI2795" s="168">
        <v>5.2</v>
      </c>
      <c r="AJ2795" s="90">
        <v>3</v>
      </c>
      <c r="AM2795" s="55" t="s">
        <v>2794</v>
      </c>
      <c r="AN2795" s="185" t="s">
        <v>2666</v>
      </c>
      <c r="AO2795" s="185" t="s">
        <v>5150</v>
      </c>
      <c r="AQ2795" s="55" t="s">
        <v>553</v>
      </c>
      <c r="AR2795" s="55" t="s">
        <v>1607</v>
      </c>
      <c r="AS2795" s="55" t="s">
        <v>132</v>
      </c>
      <c r="AU2795" s="181" t="s">
        <v>7494</v>
      </c>
      <c r="AV2795" s="185" t="s">
        <v>176</v>
      </c>
      <c r="AX2795" s="185" t="s">
        <v>176</v>
      </c>
      <c r="BK2795" s="55" t="s">
        <v>5976</v>
      </c>
      <c r="BM2795" s="192" t="s">
        <v>160</v>
      </c>
      <c r="BV2795" s="55" t="s">
        <v>2795</v>
      </c>
      <c r="CB2795" s="66">
        <v>1880</v>
      </c>
      <c r="CC2795" s="66">
        <v>2580</v>
      </c>
      <c r="CG2795" s="65" t="s">
        <v>2798</v>
      </c>
      <c r="GP2795" s="292" t="s">
        <v>7494</v>
      </c>
      <c r="IC2795" s="65">
        <v>24.59</v>
      </c>
      <c r="ID2795" s="65">
        <v>17.93</v>
      </c>
      <c r="IG2795" s="65" t="s">
        <v>2799</v>
      </c>
    </row>
    <row r="2796" spans="1:241" x14ac:dyDescent="0.25">
      <c r="A2796" s="55">
        <v>2795</v>
      </c>
      <c r="B2796" s="12" t="s">
        <v>7067</v>
      </c>
      <c r="C2796" s="155">
        <v>130</v>
      </c>
      <c r="D2796" s="55" t="s">
        <v>4279</v>
      </c>
      <c r="E2796" s="90" t="s">
        <v>2786</v>
      </c>
      <c r="G2796" s="55" t="s">
        <v>501</v>
      </c>
      <c r="H2796" s="55">
        <v>1997</v>
      </c>
      <c r="I2796" s="55">
        <v>1995</v>
      </c>
      <c r="J2796" s="55" t="s">
        <v>2380</v>
      </c>
      <c r="K2796" s="55" t="s">
        <v>2793</v>
      </c>
      <c r="L2796" s="55" t="s">
        <v>2777</v>
      </c>
      <c r="M2796" s="90">
        <f>24/60</f>
        <v>0.4</v>
      </c>
      <c r="N2796" s="90">
        <f>32.5</f>
        <v>32.5</v>
      </c>
      <c r="O2796" s="90">
        <v>1200</v>
      </c>
      <c r="U2796" s="55" t="s">
        <v>1805</v>
      </c>
      <c r="V2796" s="55" t="s">
        <v>1816</v>
      </c>
      <c r="Y2796" s="55" t="s">
        <v>2801</v>
      </c>
      <c r="AE2796" s="90">
        <v>50</v>
      </c>
      <c r="AF2796" s="90">
        <v>13</v>
      </c>
      <c r="AH2796" s="55" t="s">
        <v>2618</v>
      </c>
      <c r="AI2796" s="168">
        <v>5.2</v>
      </c>
      <c r="AJ2796" s="90">
        <v>3</v>
      </c>
      <c r="AM2796" s="55" t="s">
        <v>2794</v>
      </c>
      <c r="AN2796" s="185" t="s">
        <v>2666</v>
      </c>
      <c r="AO2796" s="185" t="s">
        <v>5150</v>
      </c>
      <c r="AQ2796" s="55" t="s">
        <v>553</v>
      </c>
      <c r="AR2796" s="55" t="s">
        <v>1607</v>
      </c>
      <c r="AS2796" s="55" t="s">
        <v>132</v>
      </c>
      <c r="AU2796" s="181" t="s">
        <v>7494</v>
      </c>
      <c r="AV2796" s="185" t="s">
        <v>176</v>
      </c>
      <c r="AX2796" s="185" t="s">
        <v>176</v>
      </c>
      <c r="BK2796" s="55" t="s">
        <v>5976</v>
      </c>
      <c r="BM2796" s="192" t="s">
        <v>160</v>
      </c>
      <c r="BV2796" s="55" t="s">
        <v>2795</v>
      </c>
      <c r="CB2796" s="66">
        <v>3930</v>
      </c>
      <c r="CC2796" s="66">
        <v>4540</v>
      </c>
      <c r="CG2796" s="65" t="s">
        <v>2798</v>
      </c>
      <c r="GP2796" s="292" t="s">
        <v>7494</v>
      </c>
      <c r="IC2796" s="65">
        <v>36.4</v>
      </c>
      <c r="ID2796" s="65">
        <v>28.67</v>
      </c>
      <c r="IG2796" s="65" t="s">
        <v>2799</v>
      </c>
    </row>
    <row r="2797" spans="1:241" x14ac:dyDescent="0.25">
      <c r="A2797" s="55">
        <v>2796</v>
      </c>
      <c r="B2797" s="12" t="s">
        <v>7067</v>
      </c>
      <c r="C2797" s="155">
        <v>130</v>
      </c>
      <c r="D2797" s="55" t="s">
        <v>4279</v>
      </c>
      <c r="E2797" s="90" t="s">
        <v>2786</v>
      </c>
      <c r="G2797" s="55" t="s">
        <v>501</v>
      </c>
      <c r="H2797" s="55">
        <v>1997</v>
      </c>
      <c r="I2797" s="55">
        <v>1995</v>
      </c>
      <c r="J2797" s="55" t="s">
        <v>2380</v>
      </c>
      <c r="K2797" s="55" t="s">
        <v>2793</v>
      </c>
      <c r="L2797" s="55" t="s">
        <v>2777</v>
      </c>
      <c r="M2797" s="90">
        <f>24/60</f>
        <v>0.4</v>
      </c>
      <c r="N2797" s="90">
        <f>32.5</f>
        <v>32.5</v>
      </c>
      <c r="O2797" s="90">
        <v>1200</v>
      </c>
      <c r="U2797" s="55" t="s">
        <v>1688</v>
      </c>
      <c r="V2797" s="55" t="s">
        <v>1816</v>
      </c>
      <c r="Y2797" s="55" t="s">
        <v>2801</v>
      </c>
      <c r="AE2797" s="90">
        <v>50</v>
      </c>
      <c r="AF2797" s="90">
        <v>13</v>
      </c>
      <c r="AH2797" s="55" t="s">
        <v>2618</v>
      </c>
      <c r="AI2797" s="168">
        <v>5.2</v>
      </c>
      <c r="AJ2797" s="90">
        <v>3</v>
      </c>
      <c r="AM2797" s="55" t="s">
        <v>2794</v>
      </c>
      <c r="AN2797" s="185" t="s">
        <v>2666</v>
      </c>
      <c r="AO2797" s="185" t="s">
        <v>5150</v>
      </c>
      <c r="AQ2797" s="55" t="s">
        <v>553</v>
      </c>
      <c r="AR2797" s="55" t="s">
        <v>1607</v>
      </c>
      <c r="AS2797" s="55" t="s">
        <v>132</v>
      </c>
      <c r="AU2797" s="181" t="s">
        <v>7494</v>
      </c>
      <c r="AV2797" s="185" t="s">
        <v>176</v>
      </c>
      <c r="AX2797" s="185" t="s">
        <v>176</v>
      </c>
      <c r="BK2797" s="55" t="s">
        <v>5976</v>
      </c>
      <c r="BM2797" s="192" t="s">
        <v>160</v>
      </c>
      <c r="BV2797" s="55" t="s">
        <v>2795</v>
      </c>
      <c r="CB2797" s="66">
        <v>2700</v>
      </c>
      <c r="CC2797" s="66">
        <v>2990</v>
      </c>
      <c r="CG2797" s="65" t="s">
        <v>2798</v>
      </c>
      <c r="GP2797" s="292" t="s">
        <v>7494</v>
      </c>
      <c r="IC2797" s="65">
        <v>15.57</v>
      </c>
      <c r="ID2797" s="65">
        <v>17.29</v>
      </c>
      <c r="IG2797" s="65" t="s">
        <v>2799</v>
      </c>
    </row>
    <row r="2798" spans="1:241" x14ac:dyDescent="0.25">
      <c r="A2798" s="55">
        <v>2797</v>
      </c>
      <c r="B2798" s="12" t="s">
        <v>7067</v>
      </c>
      <c r="C2798" s="155">
        <v>130</v>
      </c>
      <c r="D2798" s="55" t="s">
        <v>4279</v>
      </c>
      <c r="E2798" s="90" t="s">
        <v>2786</v>
      </c>
      <c r="G2798" s="55" t="s">
        <v>501</v>
      </c>
      <c r="H2798" s="55">
        <v>1997</v>
      </c>
      <c r="I2798" s="55">
        <v>1994</v>
      </c>
      <c r="J2798" s="55" t="s">
        <v>2380</v>
      </c>
      <c r="K2798" s="55" t="s">
        <v>2793</v>
      </c>
      <c r="L2798" s="55" t="s">
        <v>2777</v>
      </c>
      <c r="M2798" s="90">
        <f>24/60</f>
        <v>0.4</v>
      </c>
      <c r="N2798" s="90">
        <f>32.5</f>
        <v>32.5</v>
      </c>
      <c r="O2798" s="90">
        <v>1200</v>
      </c>
      <c r="U2798" s="55" t="s">
        <v>1935</v>
      </c>
      <c r="V2798" s="55" t="s">
        <v>1816</v>
      </c>
      <c r="Y2798" s="55" t="s">
        <v>2801</v>
      </c>
      <c r="AE2798" s="90">
        <v>50</v>
      </c>
      <c r="AF2798" s="90">
        <v>13</v>
      </c>
      <c r="AH2798" s="55" t="s">
        <v>2618</v>
      </c>
      <c r="AI2798" s="168">
        <v>5.2</v>
      </c>
      <c r="AJ2798" s="90">
        <v>3</v>
      </c>
      <c r="AM2798" s="55" t="s">
        <v>2794</v>
      </c>
      <c r="AN2798" s="185" t="s">
        <v>2666</v>
      </c>
      <c r="AO2798" s="185" t="s">
        <v>5150</v>
      </c>
      <c r="AQ2798" s="55" t="s">
        <v>553</v>
      </c>
      <c r="AR2798" s="55" t="s">
        <v>1607</v>
      </c>
      <c r="AS2798" s="55" t="s">
        <v>132</v>
      </c>
      <c r="AU2798" s="181" t="s">
        <v>7494</v>
      </c>
      <c r="AV2798" s="185" t="s">
        <v>176</v>
      </c>
      <c r="AX2798" s="185" t="s">
        <v>176</v>
      </c>
      <c r="BK2798" s="55" t="s">
        <v>5976</v>
      </c>
      <c r="BM2798" s="192" t="s">
        <v>160</v>
      </c>
      <c r="BV2798" s="55" t="s">
        <v>2796</v>
      </c>
      <c r="CB2798" s="66">
        <v>1880</v>
      </c>
      <c r="CC2798" s="66">
        <v>2423</v>
      </c>
      <c r="CG2798" s="65" t="s">
        <v>2798</v>
      </c>
      <c r="GP2798" s="292" t="s">
        <v>7494</v>
      </c>
      <c r="IC2798" s="65">
        <v>24.59</v>
      </c>
      <c r="ID2798" s="65">
        <v>14.49</v>
      </c>
      <c r="IG2798" s="65" t="s">
        <v>2799</v>
      </c>
    </row>
    <row r="2799" spans="1:241" x14ac:dyDescent="0.25">
      <c r="A2799" s="55">
        <v>2798</v>
      </c>
      <c r="B2799" s="12" t="s">
        <v>7067</v>
      </c>
      <c r="C2799" s="155">
        <v>130</v>
      </c>
      <c r="D2799" s="55" t="s">
        <v>4279</v>
      </c>
      <c r="E2799" s="90" t="s">
        <v>2786</v>
      </c>
      <c r="G2799" s="55" t="s">
        <v>501</v>
      </c>
      <c r="H2799" s="55">
        <v>1997</v>
      </c>
      <c r="I2799" s="55">
        <v>1995</v>
      </c>
      <c r="J2799" s="55" t="s">
        <v>2380</v>
      </c>
      <c r="K2799" s="55" t="s">
        <v>2793</v>
      </c>
      <c r="L2799" s="55" t="s">
        <v>2777</v>
      </c>
      <c r="M2799" s="90">
        <f>24/60</f>
        <v>0.4</v>
      </c>
      <c r="N2799" s="90">
        <f>32.5</f>
        <v>32.5</v>
      </c>
      <c r="O2799" s="90">
        <v>1200</v>
      </c>
      <c r="U2799" s="55" t="s">
        <v>1805</v>
      </c>
      <c r="V2799" s="55" t="s">
        <v>1816</v>
      </c>
      <c r="Y2799" s="55" t="s">
        <v>2801</v>
      </c>
      <c r="AE2799" s="90">
        <v>50</v>
      </c>
      <c r="AF2799" s="90">
        <v>13</v>
      </c>
      <c r="AH2799" s="55" t="s">
        <v>2618</v>
      </c>
      <c r="AI2799" s="168">
        <v>5.2</v>
      </c>
      <c r="AJ2799" s="90">
        <v>3</v>
      </c>
      <c r="AM2799" s="55" t="s">
        <v>2794</v>
      </c>
      <c r="AN2799" s="185" t="s">
        <v>2666</v>
      </c>
      <c r="AO2799" s="185" t="s">
        <v>5150</v>
      </c>
      <c r="AQ2799" s="55" t="s">
        <v>553</v>
      </c>
      <c r="AR2799" s="55" t="s">
        <v>1607</v>
      </c>
      <c r="AS2799" s="55" t="s">
        <v>132</v>
      </c>
      <c r="AU2799" s="181" t="s">
        <v>7494</v>
      </c>
      <c r="AV2799" s="185" t="s">
        <v>176</v>
      </c>
      <c r="AX2799" s="185" t="s">
        <v>176</v>
      </c>
      <c r="BK2799" s="55" t="s">
        <v>5976</v>
      </c>
      <c r="BM2799" s="192" t="s">
        <v>160</v>
      </c>
      <c r="BV2799" s="55" t="s">
        <v>2796</v>
      </c>
      <c r="CB2799" s="66">
        <v>3930</v>
      </c>
      <c r="CC2799" s="66">
        <v>4430</v>
      </c>
      <c r="CG2799" s="65" t="s">
        <v>2798</v>
      </c>
      <c r="GP2799" s="292" t="s">
        <v>7494</v>
      </c>
      <c r="IC2799" s="65">
        <v>36.4</v>
      </c>
      <c r="ID2799" s="65">
        <v>30.38</v>
      </c>
      <c r="IG2799" s="65" t="s">
        <v>2799</v>
      </c>
    </row>
    <row r="2800" spans="1:241" x14ac:dyDescent="0.25">
      <c r="A2800" s="55">
        <v>2799</v>
      </c>
      <c r="B2800" s="12" t="s">
        <v>7067</v>
      </c>
      <c r="C2800" s="155">
        <v>130</v>
      </c>
      <c r="D2800" s="55" t="s">
        <v>4279</v>
      </c>
      <c r="E2800" s="90" t="s">
        <v>2786</v>
      </c>
      <c r="G2800" s="55" t="s">
        <v>501</v>
      </c>
      <c r="H2800" s="55">
        <v>1997</v>
      </c>
      <c r="I2800" s="55">
        <v>1995</v>
      </c>
      <c r="J2800" s="55" t="s">
        <v>2380</v>
      </c>
      <c r="K2800" s="55" t="s">
        <v>2793</v>
      </c>
      <c r="L2800" s="55" t="s">
        <v>2777</v>
      </c>
      <c r="M2800" s="90">
        <f>24/60</f>
        <v>0.4</v>
      </c>
      <c r="N2800" s="90">
        <f>32.5</f>
        <v>32.5</v>
      </c>
      <c r="O2800" s="90">
        <v>1200</v>
      </c>
      <c r="U2800" s="55" t="s">
        <v>1688</v>
      </c>
      <c r="V2800" s="55" t="s">
        <v>1816</v>
      </c>
      <c r="Y2800" s="55" t="s">
        <v>2801</v>
      </c>
      <c r="AE2800" s="90">
        <v>50</v>
      </c>
      <c r="AF2800" s="90">
        <v>13</v>
      </c>
      <c r="AH2800" s="55" t="s">
        <v>2618</v>
      </c>
      <c r="AI2800" s="168">
        <v>5.2</v>
      </c>
      <c r="AJ2800" s="90">
        <v>3</v>
      </c>
      <c r="AM2800" s="55" t="s">
        <v>2794</v>
      </c>
      <c r="AN2800" s="185" t="s">
        <v>2666</v>
      </c>
      <c r="AO2800" s="185" t="s">
        <v>5150</v>
      </c>
      <c r="AQ2800" s="55" t="s">
        <v>553</v>
      </c>
      <c r="AR2800" s="55" t="s">
        <v>1607</v>
      </c>
      <c r="AS2800" s="55" t="s">
        <v>132</v>
      </c>
      <c r="AU2800" s="181" t="s">
        <v>7494</v>
      </c>
      <c r="AV2800" s="185" t="s">
        <v>176</v>
      </c>
      <c r="AX2800" s="185" t="s">
        <v>176</v>
      </c>
      <c r="BK2800" s="55" t="s">
        <v>5976</v>
      </c>
      <c r="BM2800" s="192" t="s">
        <v>160</v>
      </c>
      <c r="BV2800" s="55" t="s">
        <v>2796</v>
      </c>
      <c r="CB2800" s="66">
        <v>2700</v>
      </c>
      <c r="CC2800" s="66">
        <v>2560</v>
      </c>
      <c r="CG2800" s="65" t="s">
        <v>2798</v>
      </c>
      <c r="GP2800" s="292" t="s">
        <v>7494</v>
      </c>
      <c r="IC2800" s="65">
        <v>15.57</v>
      </c>
      <c r="ID2800" s="65">
        <v>16</v>
      </c>
      <c r="IG2800" s="65" t="s">
        <v>2799</v>
      </c>
    </row>
    <row r="2801" spans="1:198" x14ac:dyDescent="0.25">
      <c r="A2801" s="55">
        <v>2800</v>
      </c>
      <c r="B2801" s="12" t="s">
        <v>7067</v>
      </c>
      <c r="C2801" s="155">
        <v>130</v>
      </c>
      <c r="D2801" s="55" t="s">
        <v>4280</v>
      </c>
      <c r="E2801" s="90" t="s">
        <v>2786</v>
      </c>
      <c r="G2801" s="55" t="s">
        <v>501</v>
      </c>
      <c r="H2801" s="55">
        <v>1997</v>
      </c>
      <c r="I2801" s="55">
        <v>1994</v>
      </c>
      <c r="J2801" s="55" t="s">
        <v>2380</v>
      </c>
      <c r="K2801" s="55" t="s">
        <v>2793</v>
      </c>
      <c r="L2801" s="55" t="s">
        <v>2777</v>
      </c>
      <c r="M2801" s="90">
        <f>24/60</f>
        <v>0.4</v>
      </c>
      <c r="N2801" s="90">
        <f>32.5</f>
        <v>32.5</v>
      </c>
      <c r="O2801" s="90">
        <v>1200</v>
      </c>
      <c r="U2801" s="55" t="s">
        <v>1935</v>
      </c>
      <c r="V2801" s="55" t="s">
        <v>1816</v>
      </c>
      <c r="Y2801" s="55" t="s">
        <v>2801</v>
      </c>
      <c r="AE2801" s="90">
        <v>50</v>
      </c>
      <c r="AF2801" s="90">
        <v>13</v>
      </c>
      <c r="AH2801" s="55" t="s">
        <v>2618</v>
      </c>
      <c r="AI2801" s="168">
        <v>5.2</v>
      </c>
      <c r="AJ2801" s="90">
        <v>3</v>
      </c>
      <c r="AM2801" s="55" t="s">
        <v>2794</v>
      </c>
      <c r="AN2801" s="185" t="s">
        <v>2666</v>
      </c>
      <c r="AO2801" s="185" t="s">
        <v>5150</v>
      </c>
      <c r="AQ2801" s="55" t="s">
        <v>553</v>
      </c>
      <c r="AR2801" s="55" t="s">
        <v>2788</v>
      </c>
      <c r="AS2801" s="55" t="s">
        <v>227</v>
      </c>
      <c r="AU2801" s="181" t="s">
        <v>7494</v>
      </c>
      <c r="AV2801" s="185" t="s">
        <v>176</v>
      </c>
      <c r="AX2801" s="185" t="s">
        <v>176</v>
      </c>
      <c r="BK2801" s="55" t="s">
        <v>5976</v>
      </c>
      <c r="BM2801" s="192" t="s">
        <v>160</v>
      </c>
      <c r="BV2801" s="55" t="s">
        <v>2795</v>
      </c>
      <c r="CB2801" s="66">
        <v>1680</v>
      </c>
      <c r="CC2801" s="66">
        <v>2880</v>
      </c>
      <c r="CG2801" s="65" t="s">
        <v>2798</v>
      </c>
      <c r="GP2801" s="292" t="s">
        <v>7494</v>
      </c>
    </row>
    <row r="2802" spans="1:198" x14ac:dyDescent="0.25">
      <c r="A2802" s="55">
        <v>2801</v>
      </c>
      <c r="B2802" s="12" t="s">
        <v>7067</v>
      </c>
      <c r="C2802" s="155">
        <v>130</v>
      </c>
      <c r="D2802" s="55" t="s">
        <v>4280</v>
      </c>
      <c r="E2802" s="90" t="s">
        <v>2786</v>
      </c>
      <c r="G2802" s="55" t="s">
        <v>501</v>
      </c>
      <c r="H2802" s="55">
        <v>1997</v>
      </c>
      <c r="I2802" s="55">
        <v>1995</v>
      </c>
      <c r="J2802" s="55" t="s">
        <v>2380</v>
      </c>
      <c r="K2802" s="55" t="s">
        <v>2793</v>
      </c>
      <c r="L2802" s="55" t="s">
        <v>2777</v>
      </c>
      <c r="M2802" s="90">
        <f>24/60</f>
        <v>0.4</v>
      </c>
      <c r="N2802" s="90">
        <f>32.5</f>
        <v>32.5</v>
      </c>
      <c r="O2802" s="90">
        <v>1200</v>
      </c>
      <c r="U2802" s="55" t="s">
        <v>1805</v>
      </c>
      <c r="V2802" s="55" t="s">
        <v>1816</v>
      </c>
      <c r="Y2802" s="55" t="s">
        <v>2801</v>
      </c>
      <c r="AE2802" s="90">
        <v>50</v>
      </c>
      <c r="AF2802" s="90">
        <v>13</v>
      </c>
      <c r="AH2802" s="55" t="s">
        <v>2618</v>
      </c>
      <c r="AI2802" s="168">
        <v>5.2</v>
      </c>
      <c r="AJ2802" s="90">
        <v>3</v>
      </c>
      <c r="AM2802" s="55" t="s">
        <v>2794</v>
      </c>
      <c r="AN2802" s="185" t="s">
        <v>2666</v>
      </c>
      <c r="AO2802" s="185" t="s">
        <v>5150</v>
      </c>
      <c r="AQ2802" s="55" t="s">
        <v>553</v>
      </c>
      <c r="AR2802" s="55" t="s">
        <v>2788</v>
      </c>
      <c r="AS2802" s="55" t="s">
        <v>227</v>
      </c>
      <c r="AU2802" s="181" t="s">
        <v>7494</v>
      </c>
      <c r="AV2802" s="185" t="s">
        <v>176</v>
      </c>
      <c r="AX2802" s="185" t="s">
        <v>176</v>
      </c>
      <c r="BK2802" s="55" t="s">
        <v>5976</v>
      </c>
      <c r="BM2802" s="192" t="s">
        <v>160</v>
      </c>
      <c r="BV2802" s="55" t="s">
        <v>2795</v>
      </c>
      <c r="CB2802" s="66">
        <v>3700</v>
      </c>
      <c r="CC2802" s="66">
        <v>5160</v>
      </c>
      <c r="CG2802" s="65" t="s">
        <v>2798</v>
      </c>
      <c r="GP2802" s="292" t="s">
        <v>7494</v>
      </c>
    </row>
    <row r="2803" spans="1:198" x14ac:dyDescent="0.25">
      <c r="A2803" s="55">
        <v>2802</v>
      </c>
      <c r="B2803" s="12" t="s">
        <v>7067</v>
      </c>
      <c r="C2803" s="155">
        <v>130</v>
      </c>
      <c r="D2803" s="55" t="s">
        <v>4280</v>
      </c>
      <c r="E2803" s="90" t="s">
        <v>2786</v>
      </c>
      <c r="G2803" s="55" t="s">
        <v>501</v>
      </c>
      <c r="H2803" s="55">
        <v>1997</v>
      </c>
      <c r="I2803" s="55">
        <v>1995</v>
      </c>
      <c r="J2803" s="55" t="s">
        <v>2380</v>
      </c>
      <c r="K2803" s="55" t="s">
        <v>2793</v>
      </c>
      <c r="L2803" s="55" t="s">
        <v>2777</v>
      </c>
      <c r="M2803" s="90">
        <f>24/60</f>
        <v>0.4</v>
      </c>
      <c r="N2803" s="90">
        <f>32.5</f>
        <v>32.5</v>
      </c>
      <c r="O2803" s="90">
        <v>1200</v>
      </c>
      <c r="U2803" s="55" t="s">
        <v>1688</v>
      </c>
      <c r="V2803" s="55" t="s">
        <v>1816</v>
      </c>
      <c r="Y2803" s="55" t="s">
        <v>2801</v>
      </c>
      <c r="AE2803" s="90">
        <v>50</v>
      </c>
      <c r="AF2803" s="90">
        <v>13</v>
      </c>
      <c r="AH2803" s="55" t="s">
        <v>2618</v>
      </c>
      <c r="AI2803" s="168">
        <v>5.2</v>
      </c>
      <c r="AJ2803" s="90">
        <v>3</v>
      </c>
      <c r="AM2803" s="55" t="s">
        <v>2794</v>
      </c>
      <c r="AN2803" s="185" t="s">
        <v>2666</v>
      </c>
      <c r="AO2803" s="185" t="s">
        <v>5150</v>
      </c>
      <c r="AQ2803" s="55" t="s">
        <v>553</v>
      </c>
      <c r="AR2803" s="55" t="s">
        <v>2788</v>
      </c>
      <c r="AS2803" s="55" t="s">
        <v>227</v>
      </c>
      <c r="AU2803" s="181" t="s">
        <v>7494</v>
      </c>
      <c r="AV2803" s="185" t="s">
        <v>176</v>
      </c>
      <c r="AX2803" s="185" t="s">
        <v>176</v>
      </c>
      <c r="BK2803" s="55" t="s">
        <v>5976</v>
      </c>
      <c r="BM2803" s="192" t="s">
        <v>160</v>
      </c>
      <c r="BV2803" s="55" t="s">
        <v>2795</v>
      </c>
      <c r="CB2803" s="66">
        <v>2450</v>
      </c>
      <c r="CC2803" s="66">
        <v>3890</v>
      </c>
      <c r="CG2803" s="65" t="s">
        <v>2798</v>
      </c>
      <c r="GP2803" s="292" t="s">
        <v>7494</v>
      </c>
    </row>
    <row r="2804" spans="1:198" x14ac:dyDescent="0.25">
      <c r="A2804" s="55">
        <v>2803</v>
      </c>
      <c r="B2804" s="12" t="s">
        <v>7067</v>
      </c>
      <c r="C2804" s="155">
        <v>130</v>
      </c>
      <c r="D2804" s="55" t="s">
        <v>4280</v>
      </c>
      <c r="E2804" s="90" t="s">
        <v>2786</v>
      </c>
      <c r="G2804" s="55" t="s">
        <v>501</v>
      </c>
      <c r="H2804" s="55">
        <v>1997</v>
      </c>
      <c r="I2804" s="55">
        <v>1994</v>
      </c>
      <c r="J2804" s="55" t="s">
        <v>2380</v>
      </c>
      <c r="K2804" s="55" t="s">
        <v>2793</v>
      </c>
      <c r="L2804" s="55" t="s">
        <v>2777</v>
      </c>
      <c r="M2804" s="90">
        <f>24/60</f>
        <v>0.4</v>
      </c>
      <c r="N2804" s="90">
        <f>32.5</f>
        <v>32.5</v>
      </c>
      <c r="O2804" s="90">
        <v>1200</v>
      </c>
      <c r="U2804" s="55" t="s">
        <v>1935</v>
      </c>
      <c r="V2804" s="55" t="s">
        <v>1816</v>
      </c>
      <c r="Y2804" s="55" t="s">
        <v>2801</v>
      </c>
      <c r="AE2804" s="90">
        <v>50</v>
      </c>
      <c r="AF2804" s="90">
        <v>13</v>
      </c>
      <c r="AH2804" s="55" t="s">
        <v>2618</v>
      </c>
      <c r="AI2804" s="168">
        <v>5.2</v>
      </c>
      <c r="AJ2804" s="90">
        <v>3</v>
      </c>
      <c r="AM2804" s="55" t="s">
        <v>2794</v>
      </c>
      <c r="AN2804" s="185" t="s">
        <v>2666</v>
      </c>
      <c r="AO2804" s="185" t="s">
        <v>5150</v>
      </c>
      <c r="AQ2804" s="55" t="s">
        <v>553</v>
      </c>
      <c r="AR2804" s="55" t="s">
        <v>2788</v>
      </c>
      <c r="AS2804" s="55" t="s">
        <v>227</v>
      </c>
      <c r="AU2804" s="181" t="s">
        <v>7494</v>
      </c>
      <c r="AV2804" s="185" t="s">
        <v>176</v>
      </c>
      <c r="AX2804" s="185" t="s">
        <v>176</v>
      </c>
      <c r="BK2804" s="55" t="s">
        <v>5976</v>
      </c>
      <c r="BM2804" s="192" t="s">
        <v>160</v>
      </c>
      <c r="BV2804" s="55" t="s">
        <v>2796</v>
      </c>
      <c r="CB2804" s="66">
        <v>1680</v>
      </c>
      <c r="CC2804" s="66">
        <v>2420</v>
      </c>
      <c r="CG2804" s="65" t="s">
        <v>2798</v>
      </c>
      <c r="GP2804" s="292" t="s">
        <v>7494</v>
      </c>
    </row>
    <row r="2805" spans="1:198" x14ac:dyDescent="0.25">
      <c r="A2805" s="55">
        <v>2804</v>
      </c>
      <c r="B2805" s="12" t="s">
        <v>7067</v>
      </c>
      <c r="C2805" s="155">
        <v>130</v>
      </c>
      <c r="D2805" s="55" t="s">
        <v>4280</v>
      </c>
      <c r="E2805" s="90" t="s">
        <v>2786</v>
      </c>
      <c r="G2805" s="55" t="s">
        <v>501</v>
      </c>
      <c r="H2805" s="55">
        <v>1997</v>
      </c>
      <c r="I2805" s="55">
        <v>1995</v>
      </c>
      <c r="J2805" s="55" t="s">
        <v>2380</v>
      </c>
      <c r="K2805" s="55" t="s">
        <v>2793</v>
      </c>
      <c r="L2805" s="55" t="s">
        <v>2777</v>
      </c>
      <c r="M2805" s="90">
        <f>24/60</f>
        <v>0.4</v>
      </c>
      <c r="N2805" s="90">
        <f>32.5</f>
        <v>32.5</v>
      </c>
      <c r="O2805" s="90">
        <v>1200</v>
      </c>
      <c r="U2805" s="55" t="s">
        <v>1805</v>
      </c>
      <c r="V2805" s="55" t="s">
        <v>1816</v>
      </c>
      <c r="Y2805" s="55" t="s">
        <v>2801</v>
      </c>
      <c r="AE2805" s="90">
        <v>50</v>
      </c>
      <c r="AF2805" s="90">
        <v>13</v>
      </c>
      <c r="AH2805" s="55" t="s">
        <v>2618</v>
      </c>
      <c r="AI2805" s="168">
        <v>5.2</v>
      </c>
      <c r="AJ2805" s="90">
        <v>3</v>
      </c>
      <c r="AM2805" s="55" t="s">
        <v>2794</v>
      </c>
      <c r="AN2805" s="185" t="s">
        <v>2666</v>
      </c>
      <c r="AO2805" s="185" t="s">
        <v>5150</v>
      </c>
      <c r="AQ2805" s="55" t="s">
        <v>553</v>
      </c>
      <c r="AR2805" s="55" t="s">
        <v>2788</v>
      </c>
      <c r="AS2805" s="55" t="s">
        <v>227</v>
      </c>
      <c r="AU2805" s="181" t="s">
        <v>7494</v>
      </c>
      <c r="AV2805" s="185" t="s">
        <v>176</v>
      </c>
      <c r="AX2805" s="185" t="s">
        <v>176</v>
      </c>
      <c r="BK2805" s="55" t="s">
        <v>5976</v>
      </c>
      <c r="BM2805" s="192" t="s">
        <v>160</v>
      </c>
      <c r="BV2805" s="55" t="s">
        <v>2796</v>
      </c>
      <c r="CB2805" s="66">
        <v>3700</v>
      </c>
      <c r="CC2805" s="66">
        <v>4930</v>
      </c>
      <c r="CG2805" s="65" t="s">
        <v>2798</v>
      </c>
      <c r="GP2805" s="292" t="s">
        <v>7494</v>
      </c>
    </row>
    <row r="2806" spans="1:198" x14ac:dyDescent="0.25">
      <c r="A2806" s="55">
        <v>2805</v>
      </c>
      <c r="B2806" s="12" t="s">
        <v>7067</v>
      </c>
      <c r="C2806" s="155">
        <v>130</v>
      </c>
      <c r="D2806" s="55" t="s">
        <v>4280</v>
      </c>
      <c r="E2806" s="90" t="s">
        <v>2786</v>
      </c>
      <c r="G2806" s="55" t="s">
        <v>501</v>
      </c>
      <c r="H2806" s="55">
        <v>1997</v>
      </c>
      <c r="I2806" s="55">
        <v>1995</v>
      </c>
      <c r="J2806" s="55" t="s">
        <v>2380</v>
      </c>
      <c r="K2806" s="55" t="s">
        <v>2793</v>
      </c>
      <c r="L2806" s="55" t="s">
        <v>2777</v>
      </c>
      <c r="M2806" s="90">
        <f>24/60</f>
        <v>0.4</v>
      </c>
      <c r="N2806" s="90">
        <f>32.5</f>
        <v>32.5</v>
      </c>
      <c r="O2806" s="90">
        <v>1200</v>
      </c>
      <c r="U2806" s="55" t="s">
        <v>1688</v>
      </c>
      <c r="V2806" s="55" t="s">
        <v>1816</v>
      </c>
      <c r="Y2806" s="55" t="s">
        <v>2801</v>
      </c>
      <c r="AE2806" s="90">
        <v>50</v>
      </c>
      <c r="AF2806" s="90">
        <v>13</v>
      </c>
      <c r="AH2806" s="55" t="s">
        <v>2618</v>
      </c>
      <c r="AI2806" s="168">
        <v>5.2</v>
      </c>
      <c r="AJ2806" s="90">
        <v>3</v>
      </c>
      <c r="AM2806" s="55" t="s">
        <v>2794</v>
      </c>
      <c r="AN2806" s="185" t="s">
        <v>2666</v>
      </c>
      <c r="AO2806" s="185" t="s">
        <v>5150</v>
      </c>
      <c r="AQ2806" s="55" t="s">
        <v>553</v>
      </c>
      <c r="AR2806" s="55" t="s">
        <v>2788</v>
      </c>
      <c r="AS2806" s="55" t="s">
        <v>227</v>
      </c>
      <c r="AU2806" s="181" t="s">
        <v>7494</v>
      </c>
      <c r="AV2806" s="185" t="s">
        <v>176</v>
      </c>
      <c r="AX2806" s="185" t="s">
        <v>176</v>
      </c>
      <c r="BK2806" s="55" t="s">
        <v>5976</v>
      </c>
      <c r="BM2806" s="192" t="s">
        <v>160</v>
      </c>
      <c r="BV2806" s="55" t="s">
        <v>2796</v>
      </c>
      <c r="CB2806" s="66">
        <v>2450</v>
      </c>
      <c r="CC2806" s="66">
        <v>3480</v>
      </c>
      <c r="CG2806" s="65" t="s">
        <v>2798</v>
      </c>
      <c r="GP2806" s="292" t="s">
        <v>7494</v>
      </c>
    </row>
    <row r="2807" spans="1:198" x14ac:dyDescent="0.25">
      <c r="A2807" s="55">
        <v>2806</v>
      </c>
      <c r="B2807" s="12" t="s">
        <v>7067</v>
      </c>
      <c r="C2807" s="155">
        <v>130</v>
      </c>
      <c r="D2807" s="55" t="s">
        <v>4279</v>
      </c>
      <c r="E2807" s="90" t="s">
        <v>2786</v>
      </c>
      <c r="G2807" s="55" t="s">
        <v>501</v>
      </c>
      <c r="H2807" s="55">
        <v>1997</v>
      </c>
      <c r="I2807" s="55">
        <v>1994</v>
      </c>
      <c r="J2807" s="55" t="s">
        <v>2380</v>
      </c>
      <c r="K2807" s="55" t="s">
        <v>2793</v>
      </c>
      <c r="L2807" s="55" t="s">
        <v>2777</v>
      </c>
      <c r="M2807" s="90">
        <f>24/60</f>
        <v>0.4</v>
      </c>
      <c r="N2807" s="90">
        <f>32.5</f>
        <v>32.5</v>
      </c>
      <c r="O2807" s="90">
        <v>1200</v>
      </c>
      <c r="U2807" s="55" t="s">
        <v>1935</v>
      </c>
      <c r="V2807" s="55" t="s">
        <v>1816</v>
      </c>
      <c r="Y2807" s="55" t="s">
        <v>2801</v>
      </c>
      <c r="AE2807" s="90">
        <v>50</v>
      </c>
      <c r="AF2807" s="90">
        <v>13</v>
      </c>
      <c r="AH2807" s="55" t="s">
        <v>2618</v>
      </c>
      <c r="AI2807" s="168">
        <v>5.2</v>
      </c>
      <c r="AJ2807" s="90">
        <v>3</v>
      </c>
      <c r="AM2807" s="55" t="s">
        <v>2794</v>
      </c>
      <c r="AN2807" s="185" t="s">
        <v>2666</v>
      </c>
      <c r="AO2807" s="185" t="s">
        <v>5150</v>
      </c>
      <c r="AQ2807" s="55" t="s">
        <v>553</v>
      </c>
      <c r="AR2807" s="55" t="s">
        <v>1607</v>
      </c>
      <c r="AS2807" s="55" t="s">
        <v>132</v>
      </c>
      <c r="AU2807" s="181" t="s">
        <v>7494</v>
      </c>
      <c r="AV2807" s="185" t="s">
        <v>176</v>
      </c>
      <c r="AX2807" s="185" t="s">
        <v>176</v>
      </c>
      <c r="BK2807" s="55" t="s">
        <v>5976</v>
      </c>
      <c r="BM2807" s="192" t="s">
        <v>160</v>
      </c>
      <c r="BV2807" s="55" t="s">
        <v>2795</v>
      </c>
      <c r="CB2807" s="66">
        <v>290</v>
      </c>
      <c r="CC2807" s="66">
        <v>410</v>
      </c>
      <c r="CG2807" s="65" t="s">
        <v>2800</v>
      </c>
      <c r="GP2807" s="292" t="s">
        <v>7494</v>
      </c>
    </row>
    <row r="2808" spans="1:198" x14ac:dyDescent="0.25">
      <c r="A2808" s="55">
        <v>2807</v>
      </c>
      <c r="B2808" s="12" t="s">
        <v>7067</v>
      </c>
      <c r="C2808" s="155">
        <v>130</v>
      </c>
      <c r="D2808" s="55" t="s">
        <v>4279</v>
      </c>
      <c r="E2808" s="90" t="s">
        <v>2786</v>
      </c>
      <c r="G2808" s="55" t="s">
        <v>501</v>
      </c>
      <c r="H2808" s="55">
        <v>1997</v>
      </c>
      <c r="I2808" s="55">
        <v>1995</v>
      </c>
      <c r="J2808" s="55" t="s">
        <v>2380</v>
      </c>
      <c r="K2808" s="55" t="s">
        <v>2793</v>
      </c>
      <c r="L2808" s="55" t="s">
        <v>2777</v>
      </c>
      <c r="M2808" s="90">
        <f>24/60</f>
        <v>0.4</v>
      </c>
      <c r="N2808" s="90">
        <f>32.5</f>
        <v>32.5</v>
      </c>
      <c r="O2808" s="90">
        <v>1200</v>
      </c>
      <c r="U2808" s="55" t="s">
        <v>1805</v>
      </c>
      <c r="V2808" s="55" t="s">
        <v>1816</v>
      </c>
      <c r="Y2808" s="55" t="s">
        <v>2801</v>
      </c>
      <c r="AE2808" s="90">
        <v>50</v>
      </c>
      <c r="AF2808" s="90">
        <v>13</v>
      </c>
      <c r="AH2808" s="55" t="s">
        <v>2618</v>
      </c>
      <c r="AI2808" s="168">
        <v>5.2</v>
      </c>
      <c r="AJ2808" s="90">
        <v>3</v>
      </c>
      <c r="AM2808" s="55" t="s">
        <v>2794</v>
      </c>
      <c r="AN2808" s="185" t="s">
        <v>2666</v>
      </c>
      <c r="AO2808" s="185" t="s">
        <v>5150</v>
      </c>
      <c r="AQ2808" s="55" t="s">
        <v>553</v>
      </c>
      <c r="AR2808" s="55" t="s">
        <v>1607</v>
      </c>
      <c r="AS2808" s="55" t="s">
        <v>132</v>
      </c>
      <c r="AU2808" s="181" t="s">
        <v>7494</v>
      </c>
      <c r="AV2808" s="185" t="s">
        <v>176</v>
      </c>
      <c r="AX2808" s="185" t="s">
        <v>176</v>
      </c>
      <c r="BK2808" s="55" t="s">
        <v>5976</v>
      </c>
      <c r="BM2808" s="192" t="s">
        <v>160</v>
      </c>
      <c r="BV2808" s="55" t="s">
        <v>2795</v>
      </c>
      <c r="CB2808" s="66">
        <v>480</v>
      </c>
      <c r="CC2808" s="66">
        <v>690</v>
      </c>
      <c r="CG2808" s="65" t="s">
        <v>2800</v>
      </c>
      <c r="GP2808" s="292" t="s">
        <v>7494</v>
      </c>
    </row>
    <row r="2809" spans="1:198" x14ac:dyDescent="0.25">
      <c r="A2809" s="55">
        <v>2808</v>
      </c>
      <c r="B2809" s="12" t="s">
        <v>7067</v>
      </c>
      <c r="C2809" s="155">
        <v>130</v>
      </c>
      <c r="D2809" s="55" t="s">
        <v>4279</v>
      </c>
      <c r="E2809" s="90" t="s">
        <v>2786</v>
      </c>
      <c r="G2809" s="55" t="s">
        <v>501</v>
      </c>
      <c r="H2809" s="55">
        <v>1997</v>
      </c>
      <c r="I2809" s="55">
        <v>1996</v>
      </c>
      <c r="J2809" s="55" t="s">
        <v>2380</v>
      </c>
      <c r="K2809" s="55" t="s">
        <v>2793</v>
      </c>
      <c r="L2809" s="55" t="s">
        <v>2777</v>
      </c>
      <c r="M2809" s="90">
        <f>24/60</f>
        <v>0.4</v>
      </c>
      <c r="N2809" s="90">
        <f>32.5</f>
        <v>32.5</v>
      </c>
      <c r="O2809" s="90">
        <v>1200</v>
      </c>
      <c r="U2809" s="55" t="s">
        <v>1688</v>
      </c>
      <c r="V2809" s="55" t="s">
        <v>1816</v>
      </c>
      <c r="Y2809" s="55" t="s">
        <v>2801</v>
      </c>
      <c r="AE2809" s="90">
        <v>50</v>
      </c>
      <c r="AF2809" s="90">
        <v>13</v>
      </c>
      <c r="AH2809" s="55" t="s">
        <v>2618</v>
      </c>
      <c r="AI2809" s="168">
        <v>5.2</v>
      </c>
      <c r="AJ2809" s="90">
        <v>3</v>
      </c>
      <c r="AM2809" s="55" t="s">
        <v>2794</v>
      </c>
      <c r="AN2809" s="185" t="s">
        <v>2666</v>
      </c>
      <c r="AO2809" s="185" t="s">
        <v>5150</v>
      </c>
      <c r="AQ2809" s="55" t="s">
        <v>553</v>
      </c>
      <c r="AR2809" s="55" t="s">
        <v>1607</v>
      </c>
      <c r="AS2809" s="55" t="s">
        <v>132</v>
      </c>
      <c r="AU2809" s="181" t="s">
        <v>7494</v>
      </c>
      <c r="AV2809" s="185" t="s">
        <v>176</v>
      </c>
      <c r="AX2809" s="185" t="s">
        <v>176</v>
      </c>
      <c r="BK2809" s="55" t="s">
        <v>5976</v>
      </c>
      <c r="BM2809" s="192" t="s">
        <v>160</v>
      </c>
      <c r="BV2809" s="55" t="s">
        <v>2795</v>
      </c>
      <c r="CB2809" s="66">
        <v>2590</v>
      </c>
      <c r="CC2809" s="66">
        <v>2410</v>
      </c>
      <c r="CG2809" s="65" t="s">
        <v>2800</v>
      </c>
      <c r="GP2809" s="292" t="s">
        <v>7494</v>
      </c>
    </row>
    <row r="2810" spans="1:198" x14ac:dyDescent="0.25">
      <c r="A2810" s="55">
        <v>2809</v>
      </c>
      <c r="B2810" s="12" t="s">
        <v>7067</v>
      </c>
      <c r="C2810" s="155">
        <v>130</v>
      </c>
      <c r="D2810" s="55" t="s">
        <v>4279</v>
      </c>
      <c r="E2810" s="90" t="s">
        <v>2786</v>
      </c>
      <c r="G2810" s="55" t="s">
        <v>501</v>
      </c>
      <c r="H2810" s="55">
        <v>1997</v>
      </c>
      <c r="I2810" s="55">
        <v>1994</v>
      </c>
      <c r="J2810" s="55" t="s">
        <v>2380</v>
      </c>
      <c r="K2810" s="55" t="s">
        <v>2793</v>
      </c>
      <c r="L2810" s="55" t="s">
        <v>2777</v>
      </c>
      <c r="M2810" s="90">
        <f>24/60</f>
        <v>0.4</v>
      </c>
      <c r="N2810" s="90">
        <f>32.5</f>
        <v>32.5</v>
      </c>
      <c r="O2810" s="90">
        <v>1200</v>
      </c>
      <c r="U2810" s="55" t="s">
        <v>1935</v>
      </c>
      <c r="V2810" s="55" t="s">
        <v>1816</v>
      </c>
      <c r="Y2810" s="55" t="s">
        <v>2801</v>
      </c>
      <c r="AE2810" s="90">
        <v>50</v>
      </c>
      <c r="AF2810" s="90">
        <v>13</v>
      </c>
      <c r="AH2810" s="55" t="s">
        <v>2618</v>
      </c>
      <c r="AI2810" s="168">
        <v>5.2</v>
      </c>
      <c r="AJ2810" s="90">
        <v>3</v>
      </c>
      <c r="AM2810" s="55" t="s">
        <v>2794</v>
      </c>
      <c r="AN2810" s="185" t="s">
        <v>2666</v>
      </c>
      <c r="AO2810" s="185" t="s">
        <v>5150</v>
      </c>
      <c r="AQ2810" s="55" t="s">
        <v>553</v>
      </c>
      <c r="AR2810" s="55" t="s">
        <v>1607</v>
      </c>
      <c r="AS2810" s="55" t="s">
        <v>132</v>
      </c>
      <c r="AU2810" s="181" t="s">
        <v>7494</v>
      </c>
      <c r="AV2810" s="185" t="s">
        <v>176</v>
      </c>
      <c r="AX2810" s="185" t="s">
        <v>176</v>
      </c>
      <c r="BK2810" s="55" t="s">
        <v>5976</v>
      </c>
      <c r="BM2810" s="192" t="s">
        <v>160</v>
      </c>
      <c r="BV2810" s="55" t="s">
        <v>2796</v>
      </c>
      <c r="CB2810" s="66">
        <v>290</v>
      </c>
      <c r="CC2810" s="66">
        <v>370</v>
      </c>
      <c r="CG2810" s="65" t="s">
        <v>2800</v>
      </c>
      <c r="GP2810" s="292" t="s">
        <v>7494</v>
      </c>
    </row>
    <row r="2811" spans="1:198" x14ac:dyDescent="0.25">
      <c r="A2811" s="55">
        <v>2810</v>
      </c>
      <c r="B2811" s="12" t="s">
        <v>7067</v>
      </c>
      <c r="C2811" s="155">
        <v>130</v>
      </c>
      <c r="D2811" s="55" t="s">
        <v>4279</v>
      </c>
      <c r="E2811" s="90" t="s">
        <v>2786</v>
      </c>
      <c r="G2811" s="55" t="s">
        <v>501</v>
      </c>
      <c r="H2811" s="55">
        <v>1997</v>
      </c>
      <c r="I2811" s="55">
        <v>1995</v>
      </c>
      <c r="J2811" s="55" t="s">
        <v>2380</v>
      </c>
      <c r="K2811" s="55" t="s">
        <v>2793</v>
      </c>
      <c r="L2811" s="55" t="s">
        <v>2777</v>
      </c>
      <c r="M2811" s="90">
        <f>24/60</f>
        <v>0.4</v>
      </c>
      <c r="N2811" s="90">
        <f>32.5</f>
        <v>32.5</v>
      </c>
      <c r="O2811" s="90">
        <v>1200</v>
      </c>
      <c r="U2811" s="55" t="s">
        <v>1805</v>
      </c>
      <c r="V2811" s="55" t="s">
        <v>1816</v>
      </c>
      <c r="Y2811" s="55" t="s">
        <v>2801</v>
      </c>
      <c r="AE2811" s="90">
        <v>50</v>
      </c>
      <c r="AF2811" s="90">
        <v>13</v>
      </c>
      <c r="AH2811" s="55" t="s">
        <v>2618</v>
      </c>
      <c r="AI2811" s="168">
        <v>5.2</v>
      </c>
      <c r="AJ2811" s="90">
        <v>3</v>
      </c>
      <c r="AM2811" s="55" t="s">
        <v>2794</v>
      </c>
      <c r="AN2811" s="185" t="s">
        <v>2666</v>
      </c>
      <c r="AO2811" s="185" t="s">
        <v>5150</v>
      </c>
      <c r="AQ2811" s="55" t="s">
        <v>553</v>
      </c>
      <c r="AR2811" s="55" t="s">
        <v>1607</v>
      </c>
      <c r="AS2811" s="55" t="s">
        <v>132</v>
      </c>
      <c r="AU2811" s="181" t="s">
        <v>7494</v>
      </c>
      <c r="AV2811" s="185" t="s">
        <v>176</v>
      </c>
      <c r="AX2811" s="185" t="s">
        <v>176</v>
      </c>
      <c r="BK2811" s="55" t="s">
        <v>5976</v>
      </c>
      <c r="BM2811" s="192" t="s">
        <v>160</v>
      </c>
      <c r="BV2811" s="55" t="s">
        <v>2796</v>
      </c>
      <c r="CB2811" s="66">
        <v>480</v>
      </c>
      <c r="CC2811" s="66">
        <v>580</v>
      </c>
      <c r="CG2811" s="65" t="s">
        <v>2800</v>
      </c>
      <c r="GP2811" s="292" t="s">
        <v>7494</v>
      </c>
    </row>
    <row r="2812" spans="1:198" x14ac:dyDescent="0.25">
      <c r="A2812" s="55">
        <v>2811</v>
      </c>
      <c r="B2812" s="12" t="s">
        <v>7067</v>
      </c>
      <c r="C2812" s="155">
        <v>130</v>
      </c>
      <c r="D2812" s="55" t="s">
        <v>4279</v>
      </c>
      <c r="E2812" s="90" t="s">
        <v>2786</v>
      </c>
      <c r="G2812" s="55" t="s">
        <v>501</v>
      </c>
      <c r="H2812" s="55">
        <v>1997</v>
      </c>
      <c r="I2812" s="55">
        <v>1996</v>
      </c>
      <c r="J2812" s="55" t="s">
        <v>2380</v>
      </c>
      <c r="K2812" s="55" t="s">
        <v>2793</v>
      </c>
      <c r="L2812" s="55" t="s">
        <v>2777</v>
      </c>
      <c r="M2812" s="90">
        <f>24/60</f>
        <v>0.4</v>
      </c>
      <c r="N2812" s="90">
        <f>32.5</f>
        <v>32.5</v>
      </c>
      <c r="O2812" s="90">
        <v>1200</v>
      </c>
      <c r="U2812" s="55" t="s">
        <v>1688</v>
      </c>
      <c r="V2812" s="55" t="s">
        <v>1816</v>
      </c>
      <c r="Y2812" s="55" t="s">
        <v>2801</v>
      </c>
      <c r="AE2812" s="90">
        <v>50</v>
      </c>
      <c r="AF2812" s="90">
        <v>13</v>
      </c>
      <c r="AH2812" s="55" t="s">
        <v>2618</v>
      </c>
      <c r="AI2812" s="168">
        <v>5.2</v>
      </c>
      <c r="AJ2812" s="90">
        <v>3</v>
      </c>
      <c r="AM2812" s="55" t="s">
        <v>2794</v>
      </c>
      <c r="AN2812" s="185" t="s">
        <v>2666</v>
      </c>
      <c r="AO2812" s="185" t="s">
        <v>5150</v>
      </c>
      <c r="AQ2812" s="55" t="s">
        <v>553</v>
      </c>
      <c r="AR2812" s="55" t="s">
        <v>1607</v>
      </c>
      <c r="AS2812" s="55" t="s">
        <v>132</v>
      </c>
      <c r="AU2812" s="181" t="s">
        <v>7494</v>
      </c>
      <c r="AV2812" s="185" t="s">
        <v>176</v>
      </c>
      <c r="AX2812" s="185" t="s">
        <v>176</v>
      </c>
      <c r="BK2812" s="55" t="s">
        <v>5976</v>
      </c>
      <c r="BM2812" s="192" t="s">
        <v>160</v>
      </c>
      <c r="BV2812" s="55" t="s">
        <v>2796</v>
      </c>
      <c r="CB2812" s="66">
        <v>2590</v>
      </c>
      <c r="CC2812" s="66">
        <v>2550</v>
      </c>
      <c r="CG2812" s="65" t="s">
        <v>2800</v>
      </c>
      <c r="GP2812" s="292" t="s">
        <v>7494</v>
      </c>
    </row>
    <row r="2813" spans="1:198" x14ac:dyDescent="0.25">
      <c r="A2813" s="55">
        <v>2812</v>
      </c>
      <c r="B2813" s="12" t="s">
        <v>7067</v>
      </c>
      <c r="C2813" s="155">
        <v>130</v>
      </c>
      <c r="D2813" s="55" t="s">
        <v>4280</v>
      </c>
      <c r="E2813" s="90" t="s">
        <v>2786</v>
      </c>
      <c r="G2813" s="55" t="s">
        <v>501</v>
      </c>
      <c r="H2813" s="55">
        <v>1997</v>
      </c>
      <c r="I2813" s="55">
        <v>1994</v>
      </c>
      <c r="J2813" s="55" t="s">
        <v>2380</v>
      </c>
      <c r="K2813" s="55" t="s">
        <v>2793</v>
      </c>
      <c r="L2813" s="55" t="s">
        <v>2777</v>
      </c>
      <c r="M2813" s="90">
        <f>24/60</f>
        <v>0.4</v>
      </c>
      <c r="N2813" s="90">
        <f>32.5</f>
        <v>32.5</v>
      </c>
      <c r="O2813" s="90">
        <v>1200</v>
      </c>
      <c r="U2813" s="55" t="s">
        <v>1805</v>
      </c>
      <c r="V2813" s="55" t="s">
        <v>1816</v>
      </c>
      <c r="Y2813" s="55" t="s">
        <v>2801</v>
      </c>
      <c r="AE2813" s="90">
        <v>50</v>
      </c>
      <c r="AF2813" s="90">
        <v>13</v>
      </c>
      <c r="AH2813" s="55" t="s">
        <v>2618</v>
      </c>
      <c r="AI2813" s="168">
        <v>5.2</v>
      </c>
      <c r="AJ2813" s="90">
        <v>3</v>
      </c>
      <c r="AM2813" s="55" t="s">
        <v>2794</v>
      </c>
      <c r="AN2813" s="185" t="s">
        <v>2666</v>
      </c>
      <c r="AO2813" s="185" t="s">
        <v>5150</v>
      </c>
      <c r="AQ2813" s="55" t="s">
        <v>553</v>
      </c>
      <c r="AR2813" s="55" t="s">
        <v>2788</v>
      </c>
      <c r="AS2813" s="55" t="s">
        <v>227</v>
      </c>
      <c r="AU2813" s="181" t="s">
        <v>7494</v>
      </c>
      <c r="AV2813" s="185" t="s">
        <v>176</v>
      </c>
      <c r="AX2813" s="185" t="s">
        <v>176</v>
      </c>
      <c r="BK2813" s="55" t="s">
        <v>5976</v>
      </c>
      <c r="BM2813" s="192" t="s">
        <v>160</v>
      </c>
      <c r="BV2813" s="55" t="s">
        <v>2795</v>
      </c>
      <c r="CB2813" s="66">
        <v>410</v>
      </c>
      <c r="CC2813" s="66">
        <v>460</v>
      </c>
      <c r="CG2813" s="65" t="s">
        <v>2800</v>
      </c>
      <c r="GP2813" s="292" t="s">
        <v>7494</v>
      </c>
    </row>
    <row r="2814" spans="1:198" x14ac:dyDescent="0.25">
      <c r="A2814" s="55">
        <v>2813</v>
      </c>
      <c r="B2814" s="12" t="s">
        <v>7067</v>
      </c>
      <c r="C2814" s="155">
        <v>130</v>
      </c>
      <c r="D2814" s="55" t="s">
        <v>4280</v>
      </c>
      <c r="E2814" s="90" t="s">
        <v>2786</v>
      </c>
      <c r="G2814" s="55" t="s">
        <v>501</v>
      </c>
      <c r="H2814" s="55">
        <v>1997</v>
      </c>
      <c r="I2814" s="55">
        <v>1995</v>
      </c>
      <c r="J2814" s="55" t="s">
        <v>2380</v>
      </c>
      <c r="K2814" s="55" t="s">
        <v>2793</v>
      </c>
      <c r="L2814" s="55" t="s">
        <v>2777</v>
      </c>
      <c r="M2814" s="90">
        <f>24/60</f>
        <v>0.4</v>
      </c>
      <c r="N2814" s="90">
        <f>32.5</f>
        <v>32.5</v>
      </c>
      <c r="O2814" s="90">
        <v>1200</v>
      </c>
      <c r="U2814" s="55" t="s">
        <v>1688</v>
      </c>
      <c r="V2814" s="55" t="s">
        <v>1816</v>
      </c>
      <c r="Y2814" s="55" t="s">
        <v>2801</v>
      </c>
      <c r="AE2814" s="90">
        <v>50</v>
      </c>
      <c r="AF2814" s="90">
        <v>13</v>
      </c>
      <c r="AH2814" s="55" t="s">
        <v>2618</v>
      </c>
      <c r="AI2814" s="168">
        <v>5.2</v>
      </c>
      <c r="AJ2814" s="90">
        <v>3</v>
      </c>
      <c r="AM2814" s="55" t="s">
        <v>2794</v>
      </c>
      <c r="AN2814" s="185" t="s">
        <v>2666</v>
      </c>
      <c r="AO2814" s="185" t="s">
        <v>5150</v>
      </c>
      <c r="AQ2814" s="55" t="s">
        <v>553</v>
      </c>
      <c r="AR2814" s="55" t="s">
        <v>2788</v>
      </c>
      <c r="AS2814" s="55" t="s">
        <v>227</v>
      </c>
      <c r="AU2814" s="181" t="s">
        <v>7494</v>
      </c>
      <c r="AV2814" s="185" t="s">
        <v>176</v>
      </c>
      <c r="AX2814" s="185" t="s">
        <v>176</v>
      </c>
      <c r="BK2814" s="55" t="s">
        <v>5976</v>
      </c>
      <c r="BM2814" s="192" t="s">
        <v>160</v>
      </c>
      <c r="BV2814" s="55" t="s">
        <v>2795</v>
      </c>
      <c r="CB2814" s="66">
        <v>660</v>
      </c>
      <c r="CC2814" s="66">
        <v>820</v>
      </c>
      <c r="CG2814" s="65" t="s">
        <v>2800</v>
      </c>
      <c r="GP2814" s="292" t="s">
        <v>7494</v>
      </c>
    </row>
    <row r="2815" spans="1:198" x14ac:dyDescent="0.25">
      <c r="A2815" s="55">
        <v>2814</v>
      </c>
      <c r="B2815" s="12" t="s">
        <v>7067</v>
      </c>
      <c r="C2815" s="155">
        <v>130</v>
      </c>
      <c r="D2815" s="55" t="s">
        <v>4280</v>
      </c>
      <c r="E2815" s="90" t="s">
        <v>2786</v>
      </c>
      <c r="G2815" s="55" t="s">
        <v>501</v>
      </c>
      <c r="H2815" s="55">
        <v>1997</v>
      </c>
      <c r="I2815" s="55">
        <v>1996</v>
      </c>
      <c r="J2815" s="55" t="s">
        <v>2380</v>
      </c>
      <c r="K2815" s="55" t="s">
        <v>2793</v>
      </c>
      <c r="L2815" s="55" t="s">
        <v>2777</v>
      </c>
      <c r="M2815" s="90">
        <f>24/60</f>
        <v>0.4</v>
      </c>
      <c r="N2815" s="90">
        <f>32.5</f>
        <v>32.5</v>
      </c>
      <c r="O2815" s="90">
        <v>1200</v>
      </c>
      <c r="U2815" s="55" t="s">
        <v>1816</v>
      </c>
      <c r="V2815" s="55" t="s">
        <v>1816</v>
      </c>
      <c r="Y2815" s="55" t="s">
        <v>2801</v>
      </c>
      <c r="AE2815" s="90">
        <v>50</v>
      </c>
      <c r="AF2815" s="90">
        <v>13</v>
      </c>
      <c r="AH2815" s="55" t="s">
        <v>2618</v>
      </c>
      <c r="AI2815" s="168">
        <v>5.2</v>
      </c>
      <c r="AJ2815" s="90">
        <v>3</v>
      </c>
      <c r="AM2815" s="55" t="s">
        <v>2794</v>
      </c>
      <c r="AN2815" s="185" t="s">
        <v>2666</v>
      </c>
      <c r="AO2815" s="185" t="s">
        <v>5150</v>
      </c>
      <c r="AQ2815" s="55" t="s">
        <v>553</v>
      </c>
      <c r="AR2815" s="55" t="s">
        <v>2788</v>
      </c>
      <c r="AS2815" s="55" t="s">
        <v>227</v>
      </c>
      <c r="AU2815" s="181" t="s">
        <v>7494</v>
      </c>
      <c r="AV2815" s="185" t="s">
        <v>176</v>
      </c>
      <c r="AX2815" s="185" t="s">
        <v>176</v>
      </c>
      <c r="BK2815" s="55" t="s">
        <v>5976</v>
      </c>
      <c r="BM2815" s="192" t="s">
        <v>160</v>
      </c>
      <c r="BV2815" s="55" t="s">
        <v>2795</v>
      </c>
      <c r="CB2815" s="66">
        <v>2020</v>
      </c>
      <c r="CC2815" s="66">
        <v>2660</v>
      </c>
      <c r="CG2815" s="65" t="s">
        <v>2800</v>
      </c>
      <c r="GP2815" s="292" t="s">
        <v>7494</v>
      </c>
    </row>
    <row r="2816" spans="1:198" x14ac:dyDescent="0.25">
      <c r="A2816" s="55">
        <v>2815</v>
      </c>
      <c r="B2816" s="12" t="s">
        <v>7067</v>
      </c>
      <c r="C2816" s="155">
        <v>130</v>
      </c>
      <c r="D2816" s="55" t="s">
        <v>4280</v>
      </c>
      <c r="E2816" s="90" t="s">
        <v>2786</v>
      </c>
      <c r="G2816" s="55" t="s">
        <v>501</v>
      </c>
      <c r="H2816" s="55">
        <v>1997</v>
      </c>
      <c r="I2816" s="55">
        <v>1994</v>
      </c>
      <c r="J2816" s="55" t="s">
        <v>2380</v>
      </c>
      <c r="K2816" s="55" t="s">
        <v>2793</v>
      </c>
      <c r="L2816" s="55" t="s">
        <v>2777</v>
      </c>
      <c r="M2816" s="90">
        <f>24/60</f>
        <v>0.4</v>
      </c>
      <c r="N2816" s="90">
        <f>32.5</f>
        <v>32.5</v>
      </c>
      <c r="O2816" s="90">
        <v>1200</v>
      </c>
      <c r="U2816" s="55" t="s">
        <v>1805</v>
      </c>
      <c r="V2816" s="55" t="s">
        <v>1816</v>
      </c>
      <c r="Y2816" s="55" t="s">
        <v>2801</v>
      </c>
      <c r="AE2816" s="90">
        <v>50</v>
      </c>
      <c r="AF2816" s="90">
        <v>13</v>
      </c>
      <c r="AH2816" s="55" t="s">
        <v>2618</v>
      </c>
      <c r="AI2816" s="168">
        <v>5.2</v>
      </c>
      <c r="AJ2816" s="90">
        <v>3</v>
      </c>
      <c r="AM2816" s="55" t="s">
        <v>2794</v>
      </c>
      <c r="AN2816" s="185" t="s">
        <v>2666</v>
      </c>
      <c r="AO2816" s="185" t="s">
        <v>5150</v>
      </c>
      <c r="AQ2816" s="55" t="s">
        <v>553</v>
      </c>
      <c r="AR2816" s="55" t="s">
        <v>2788</v>
      </c>
      <c r="AS2816" s="55" t="s">
        <v>227</v>
      </c>
      <c r="AU2816" s="181" t="s">
        <v>7494</v>
      </c>
      <c r="AV2816" s="185" t="s">
        <v>176</v>
      </c>
      <c r="AX2816" s="185" t="s">
        <v>176</v>
      </c>
      <c r="BK2816" s="55" t="s">
        <v>5976</v>
      </c>
      <c r="BM2816" s="192" t="s">
        <v>160</v>
      </c>
      <c r="BV2816" s="55" t="s">
        <v>2796</v>
      </c>
      <c r="CB2816" s="66">
        <v>410</v>
      </c>
      <c r="CC2816" s="66">
        <v>370</v>
      </c>
      <c r="CG2816" s="65" t="s">
        <v>2800</v>
      </c>
      <c r="GP2816" s="292" t="s">
        <v>7494</v>
      </c>
    </row>
    <row r="2817" spans="1:283" x14ac:dyDescent="0.25">
      <c r="A2817" s="55">
        <v>2816</v>
      </c>
      <c r="B2817" s="12" t="s">
        <v>7067</v>
      </c>
      <c r="C2817" s="155">
        <v>130</v>
      </c>
      <c r="D2817" s="55" t="s">
        <v>4280</v>
      </c>
      <c r="E2817" s="90" t="s">
        <v>2786</v>
      </c>
      <c r="G2817" s="55" t="s">
        <v>501</v>
      </c>
      <c r="H2817" s="55">
        <v>1997</v>
      </c>
      <c r="I2817" s="55">
        <v>1995</v>
      </c>
      <c r="J2817" s="55" t="s">
        <v>2380</v>
      </c>
      <c r="K2817" s="55" t="s">
        <v>2793</v>
      </c>
      <c r="L2817" s="55" t="s">
        <v>2777</v>
      </c>
      <c r="M2817" s="90">
        <f>24/60</f>
        <v>0.4</v>
      </c>
      <c r="N2817" s="90">
        <f>32.5</f>
        <v>32.5</v>
      </c>
      <c r="O2817" s="90">
        <v>1200</v>
      </c>
      <c r="U2817" s="55" t="s">
        <v>1688</v>
      </c>
      <c r="V2817" s="55" t="s">
        <v>1816</v>
      </c>
      <c r="Y2817" s="55" t="s">
        <v>2801</v>
      </c>
      <c r="AE2817" s="90">
        <v>50</v>
      </c>
      <c r="AF2817" s="90">
        <v>13</v>
      </c>
      <c r="AH2817" s="55" t="s">
        <v>2618</v>
      </c>
      <c r="AI2817" s="168">
        <v>5.2</v>
      </c>
      <c r="AJ2817" s="90">
        <v>3</v>
      </c>
      <c r="AM2817" s="55" t="s">
        <v>2794</v>
      </c>
      <c r="AN2817" s="185" t="s">
        <v>2666</v>
      </c>
      <c r="AO2817" s="185" t="s">
        <v>5150</v>
      </c>
      <c r="AQ2817" s="55" t="s">
        <v>553</v>
      </c>
      <c r="AR2817" s="55" t="s">
        <v>2788</v>
      </c>
      <c r="AS2817" s="55" t="s">
        <v>227</v>
      </c>
      <c r="AU2817" s="181" t="s">
        <v>7494</v>
      </c>
      <c r="AV2817" s="185" t="s">
        <v>176</v>
      </c>
      <c r="AX2817" s="185" t="s">
        <v>176</v>
      </c>
      <c r="BK2817" s="55" t="s">
        <v>5976</v>
      </c>
      <c r="BM2817" s="192" t="s">
        <v>160</v>
      </c>
      <c r="BV2817" s="55" t="s">
        <v>2796</v>
      </c>
      <c r="CB2817" s="66">
        <v>660</v>
      </c>
      <c r="CC2817" s="66">
        <v>740</v>
      </c>
      <c r="CG2817" s="65" t="s">
        <v>2800</v>
      </c>
      <c r="GP2817" s="292" t="s">
        <v>7494</v>
      </c>
    </row>
    <row r="2818" spans="1:283" x14ac:dyDescent="0.25">
      <c r="A2818" s="55">
        <v>2817</v>
      </c>
      <c r="B2818" s="12" t="s">
        <v>7067</v>
      </c>
      <c r="C2818" s="155">
        <v>130</v>
      </c>
      <c r="D2818" s="55" t="s">
        <v>4280</v>
      </c>
      <c r="E2818" s="90" t="s">
        <v>2786</v>
      </c>
      <c r="G2818" s="55" t="s">
        <v>501</v>
      </c>
      <c r="H2818" s="55">
        <v>1997</v>
      </c>
      <c r="I2818" s="55">
        <v>1996</v>
      </c>
      <c r="J2818" s="55" t="s">
        <v>2380</v>
      </c>
      <c r="K2818" s="55" t="s">
        <v>2793</v>
      </c>
      <c r="L2818" s="55" t="s">
        <v>2777</v>
      </c>
      <c r="M2818" s="90">
        <f>24/60</f>
        <v>0.4</v>
      </c>
      <c r="N2818" s="90">
        <f>32.5</f>
        <v>32.5</v>
      </c>
      <c r="O2818" s="90">
        <v>1200</v>
      </c>
      <c r="U2818" s="55" t="s">
        <v>1816</v>
      </c>
      <c r="V2818" s="55" t="s">
        <v>1816</v>
      </c>
      <c r="Y2818" s="55" t="s">
        <v>2801</v>
      </c>
      <c r="AE2818" s="90">
        <v>50</v>
      </c>
      <c r="AF2818" s="90">
        <v>13</v>
      </c>
      <c r="AH2818" s="55" t="s">
        <v>2618</v>
      </c>
      <c r="AI2818" s="168">
        <v>5.2</v>
      </c>
      <c r="AJ2818" s="90">
        <v>3</v>
      </c>
      <c r="AM2818" s="55" t="s">
        <v>2794</v>
      </c>
      <c r="AN2818" s="185" t="s">
        <v>2666</v>
      </c>
      <c r="AO2818" s="185" t="s">
        <v>5150</v>
      </c>
      <c r="AQ2818" s="55" t="s">
        <v>553</v>
      </c>
      <c r="AR2818" s="55" t="s">
        <v>2788</v>
      </c>
      <c r="AS2818" s="55" t="s">
        <v>227</v>
      </c>
      <c r="AU2818" s="181" t="s">
        <v>7494</v>
      </c>
      <c r="AV2818" s="185" t="s">
        <v>176</v>
      </c>
      <c r="AX2818" s="185" t="s">
        <v>176</v>
      </c>
      <c r="BK2818" s="55" t="s">
        <v>5976</v>
      </c>
      <c r="BM2818" s="192" t="s">
        <v>160</v>
      </c>
      <c r="BV2818" s="55" t="s">
        <v>2796</v>
      </c>
      <c r="CB2818" s="66">
        <v>2020</v>
      </c>
      <c r="CC2818" s="66">
        <v>2840</v>
      </c>
      <c r="CG2818" s="65" t="s">
        <v>2800</v>
      </c>
      <c r="GP2818" s="292" t="s">
        <v>7494</v>
      </c>
    </row>
    <row r="2819" spans="1:283" x14ac:dyDescent="0.25">
      <c r="A2819" s="55">
        <v>2818</v>
      </c>
      <c r="B2819" s="12" t="s">
        <v>7067</v>
      </c>
      <c r="C2819" s="155">
        <v>130</v>
      </c>
      <c r="D2819" s="55" t="s">
        <v>4281</v>
      </c>
      <c r="E2819" s="90" t="s">
        <v>2786</v>
      </c>
      <c r="G2819" s="55" t="s">
        <v>501</v>
      </c>
      <c r="H2819" s="55">
        <v>1997</v>
      </c>
      <c r="I2819" s="55">
        <v>1995</v>
      </c>
      <c r="J2819" s="55" t="s">
        <v>2380</v>
      </c>
      <c r="K2819" s="55" t="s">
        <v>2793</v>
      </c>
      <c r="L2819" s="55" t="s">
        <v>2777</v>
      </c>
      <c r="M2819" s="90">
        <f>24/60</f>
        <v>0.4</v>
      </c>
      <c r="N2819" s="90">
        <f>32.5</f>
        <v>32.5</v>
      </c>
      <c r="O2819" s="90">
        <v>1200</v>
      </c>
      <c r="U2819" s="55" t="s">
        <v>1688</v>
      </c>
      <c r="V2819" s="55" t="s">
        <v>1816</v>
      </c>
      <c r="Y2819" s="55" t="s">
        <v>2801</v>
      </c>
      <c r="Z2819" s="55" t="s">
        <v>2806</v>
      </c>
      <c r="AE2819" s="90">
        <v>50</v>
      </c>
      <c r="AF2819" s="90">
        <v>13</v>
      </c>
      <c r="AH2819" s="55" t="s">
        <v>2618</v>
      </c>
      <c r="AI2819" s="168">
        <v>5.2</v>
      </c>
      <c r="AJ2819" s="90">
        <v>3</v>
      </c>
      <c r="AM2819" s="55" t="s">
        <v>2794</v>
      </c>
      <c r="AN2819" s="185" t="s">
        <v>2666</v>
      </c>
      <c r="AO2819" s="185" t="s">
        <v>5150</v>
      </c>
      <c r="AQ2819" s="55" t="s">
        <v>553</v>
      </c>
      <c r="AR2819" s="55" t="s">
        <v>1607</v>
      </c>
      <c r="AS2819" s="55" t="s">
        <v>132</v>
      </c>
      <c r="AU2819" s="181" t="s">
        <v>7494</v>
      </c>
      <c r="AV2819" s="185" t="s">
        <v>176</v>
      </c>
      <c r="AX2819" s="185" t="s">
        <v>176</v>
      </c>
      <c r="BK2819" s="55" t="s">
        <v>5976</v>
      </c>
      <c r="BM2819" s="192" t="s">
        <v>160</v>
      </c>
      <c r="BV2819" s="55" t="s">
        <v>2802</v>
      </c>
      <c r="CH2819" s="90">
        <v>1.38</v>
      </c>
      <c r="CI2819" s="90">
        <v>1.29</v>
      </c>
      <c r="CL2819" s="65" t="s">
        <v>2807</v>
      </c>
      <c r="EZ2819" s="65">
        <v>2.8</v>
      </c>
      <c r="FA2819" s="65">
        <v>4.2</v>
      </c>
      <c r="FD2819" s="65" t="s">
        <v>2808</v>
      </c>
      <c r="GP2819" s="292" t="s">
        <v>7494</v>
      </c>
      <c r="JW2819" s="55" t="s">
        <v>2804</v>
      </c>
    </row>
    <row r="2820" spans="1:283" x14ac:dyDescent="0.25">
      <c r="A2820" s="55">
        <v>2819</v>
      </c>
      <c r="B2820" s="12" t="s">
        <v>7067</v>
      </c>
      <c r="C2820" s="155">
        <v>130</v>
      </c>
      <c r="D2820" s="55" t="s">
        <v>4282</v>
      </c>
      <c r="E2820" s="90" t="s">
        <v>2786</v>
      </c>
      <c r="G2820" s="55" t="s">
        <v>501</v>
      </c>
      <c r="H2820" s="55">
        <v>1997</v>
      </c>
      <c r="I2820" s="55">
        <v>1995</v>
      </c>
      <c r="J2820" s="55" t="s">
        <v>2380</v>
      </c>
      <c r="K2820" s="55" t="s">
        <v>2793</v>
      </c>
      <c r="L2820" s="55" t="s">
        <v>2777</v>
      </c>
      <c r="M2820" s="90">
        <f>24/60</f>
        <v>0.4</v>
      </c>
      <c r="N2820" s="90">
        <f>32.5</f>
        <v>32.5</v>
      </c>
      <c r="O2820" s="90">
        <v>1200</v>
      </c>
      <c r="U2820" s="55" t="s">
        <v>1688</v>
      </c>
      <c r="V2820" s="55" t="s">
        <v>1816</v>
      </c>
      <c r="Y2820" s="55" t="s">
        <v>2801</v>
      </c>
      <c r="Z2820" s="55" t="s">
        <v>2033</v>
      </c>
      <c r="AE2820" s="90">
        <v>50</v>
      </c>
      <c r="AF2820" s="90">
        <v>13</v>
      </c>
      <c r="AH2820" s="55" t="s">
        <v>2618</v>
      </c>
      <c r="AI2820" s="168">
        <v>5.2</v>
      </c>
      <c r="AJ2820" s="90">
        <v>3</v>
      </c>
      <c r="AM2820" s="55" t="s">
        <v>2794</v>
      </c>
      <c r="AN2820" s="185" t="s">
        <v>2666</v>
      </c>
      <c r="AO2820" s="185" t="s">
        <v>5150</v>
      </c>
      <c r="AQ2820" s="55" t="s">
        <v>553</v>
      </c>
      <c r="AR2820" s="55" t="s">
        <v>1607</v>
      </c>
      <c r="AS2820" s="55" t="s">
        <v>132</v>
      </c>
      <c r="AU2820" s="181" t="s">
        <v>7494</v>
      </c>
      <c r="AV2820" s="185" t="s">
        <v>176</v>
      </c>
      <c r="AX2820" s="185" t="s">
        <v>176</v>
      </c>
      <c r="BK2820" s="55" t="s">
        <v>5976</v>
      </c>
      <c r="BM2820" s="192" t="s">
        <v>160</v>
      </c>
      <c r="BV2820" s="55" t="s">
        <v>2802</v>
      </c>
      <c r="CH2820" s="90">
        <v>1.48</v>
      </c>
      <c r="CI2820" s="90">
        <v>1.46</v>
      </c>
      <c r="CL2820" s="65" t="s">
        <v>2807</v>
      </c>
      <c r="GP2820" s="292" t="s">
        <v>7494</v>
      </c>
      <c r="JW2820" s="55" t="s">
        <v>2804</v>
      </c>
    </row>
    <row r="2821" spans="1:283" x14ac:dyDescent="0.25">
      <c r="A2821" s="55">
        <v>2820</v>
      </c>
      <c r="B2821" s="12" t="s">
        <v>7067</v>
      </c>
      <c r="C2821" s="155">
        <v>130</v>
      </c>
      <c r="D2821" s="55" t="s">
        <v>4283</v>
      </c>
      <c r="E2821" s="90" t="s">
        <v>2786</v>
      </c>
      <c r="G2821" s="55" t="s">
        <v>501</v>
      </c>
      <c r="H2821" s="55">
        <v>1997</v>
      </c>
      <c r="I2821" s="55">
        <v>1995</v>
      </c>
      <c r="J2821" s="55" t="s">
        <v>2380</v>
      </c>
      <c r="K2821" s="55" t="s">
        <v>2793</v>
      </c>
      <c r="L2821" s="55" t="s">
        <v>2777</v>
      </c>
      <c r="M2821" s="90">
        <f>24/60</f>
        <v>0.4</v>
      </c>
      <c r="N2821" s="90">
        <f>32.5</f>
        <v>32.5</v>
      </c>
      <c r="O2821" s="90">
        <v>1200</v>
      </c>
      <c r="U2821" s="55" t="s">
        <v>1688</v>
      </c>
      <c r="V2821" s="55" t="s">
        <v>1816</v>
      </c>
      <c r="Y2821" s="55" t="s">
        <v>2801</v>
      </c>
      <c r="Z2821" s="55" t="s">
        <v>2806</v>
      </c>
      <c r="AE2821" s="90">
        <v>50</v>
      </c>
      <c r="AF2821" s="90">
        <v>13</v>
      </c>
      <c r="AH2821" s="55" t="s">
        <v>2618</v>
      </c>
      <c r="AI2821" s="168">
        <v>5.2</v>
      </c>
      <c r="AJ2821" s="90">
        <v>3</v>
      </c>
      <c r="AM2821" s="55" t="s">
        <v>2794</v>
      </c>
      <c r="AN2821" s="185" t="s">
        <v>2666</v>
      </c>
      <c r="AO2821" s="185" t="s">
        <v>5150</v>
      </c>
      <c r="AQ2821" s="55" t="s">
        <v>553</v>
      </c>
      <c r="AR2821" s="55" t="s">
        <v>1607</v>
      </c>
      <c r="AS2821" s="55" t="s">
        <v>132</v>
      </c>
      <c r="AU2821" s="181" t="s">
        <v>7494</v>
      </c>
      <c r="AV2821" s="185" t="s">
        <v>176</v>
      </c>
      <c r="AX2821" s="185" t="s">
        <v>176</v>
      </c>
      <c r="BK2821" s="55" t="s">
        <v>5976</v>
      </c>
      <c r="BM2821" s="192" t="s">
        <v>160</v>
      </c>
      <c r="BV2821" s="55" t="s">
        <v>2802</v>
      </c>
      <c r="CH2821" s="90">
        <v>1.23</v>
      </c>
      <c r="CI2821" s="90">
        <v>1.1200000000000001</v>
      </c>
      <c r="CL2821" s="65" t="s">
        <v>2807</v>
      </c>
      <c r="GP2821" s="292" t="s">
        <v>7494</v>
      </c>
      <c r="JW2821" s="55" t="s">
        <v>2805</v>
      </c>
    </row>
    <row r="2822" spans="1:283" x14ac:dyDescent="0.25">
      <c r="A2822" s="55">
        <v>2821</v>
      </c>
      <c r="B2822" s="12" t="s">
        <v>7067</v>
      </c>
      <c r="C2822" s="155">
        <v>130</v>
      </c>
      <c r="D2822" s="55" t="s">
        <v>4284</v>
      </c>
      <c r="E2822" s="90" t="s">
        <v>2786</v>
      </c>
      <c r="G2822" s="55" t="s">
        <v>501</v>
      </c>
      <c r="H2822" s="55">
        <v>1997</v>
      </c>
      <c r="I2822" s="55">
        <v>1995</v>
      </c>
      <c r="J2822" s="55" t="s">
        <v>2380</v>
      </c>
      <c r="K2822" s="55" t="s">
        <v>2793</v>
      </c>
      <c r="L2822" s="55" t="s">
        <v>2777</v>
      </c>
      <c r="M2822" s="90">
        <f>24/60</f>
        <v>0.4</v>
      </c>
      <c r="N2822" s="90">
        <f>32.5</f>
        <v>32.5</v>
      </c>
      <c r="O2822" s="90">
        <v>1200</v>
      </c>
      <c r="U2822" s="55" t="s">
        <v>1688</v>
      </c>
      <c r="V2822" s="55" t="s">
        <v>1816</v>
      </c>
      <c r="Y2822" s="55" t="s">
        <v>2801</v>
      </c>
      <c r="Z2822" s="55" t="s">
        <v>2033</v>
      </c>
      <c r="AE2822" s="90">
        <v>50</v>
      </c>
      <c r="AF2822" s="90">
        <v>13</v>
      </c>
      <c r="AH2822" s="55" t="s">
        <v>2618</v>
      </c>
      <c r="AI2822" s="168">
        <v>5.2</v>
      </c>
      <c r="AJ2822" s="90">
        <v>3</v>
      </c>
      <c r="AM2822" s="55" t="s">
        <v>2794</v>
      </c>
      <c r="AN2822" s="185" t="s">
        <v>2666</v>
      </c>
      <c r="AO2822" s="185" t="s">
        <v>5150</v>
      </c>
      <c r="AQ2822" s="55" t="s">
        <v>553</v>
      </c>
      <c r="AR2822" s="55" t="s">
        <v>1607</v>
      </c>
      <c r="AS2822" s="55" t="s">
        <v>132</v>
      </c>
      <c r="AU2822" s="181" t="s">
        <v>7494</v>
      </c>
      <c r="AV2822" s="185" t="s">
        <v>176</v>
      </c>
      <c r="AX2822" s="185" t="s">
        <v>176</v>
      </c>
      <c r="BK2822" s="55" t="s">
        <v>5976</v>
      </c>
      <c r="BM2822" s="192" t="s">
        <v>160</v>
      </c>
      <c r="BV2822" s="55" t="s">
        <v>2802</v>
      </c>
      <c r="CH2822" s="90">
        <v>1.41</v>
      </c>
      <c r="CI2822" s="90">
        <v>1.34</v>
      </c>
      <c r="CL2822" s="65" t="s">
        <v>2807</v>
      </c>
      <c r="GP2822" s="292" t="s">
        <v>7494</v>
      </c>
      <c r="JW2822" s="55" t="s">
        <v>2805</v>
      </c>
    </row>
    <row r="2823" spans="1:283" x14ac:dyDescent="0.25">
      <c r="A2823" s="55">
        <v>2822</v>
      </c>
      <c r="B2823" s="12" t="s">
        <v>7067</v>
      </c>
      <c r="C2823" s="155">
        <v>130</v>
      </c>
      <c r="D2823" s="55" t="s">
        <v>4281</v>
      </c>
      <c r="E2823" s="90" t="s">
        <v>2786</v>
      </c>
      <c r="G2823" s="55" t="s">
        <v>501</v>
      </c>
      <c r="H2823" s="55">
        <v>1997</v>
      </c>
      <c r="I2823" s="55">
        <v>1995</v>
      </c>
      <c r="J2823" s="55" t="s">
        <v>2380</v>
      </c>
      <c r="K2823" s="55" t="s">
        <v>2793</v>
      </c>
      <c r="L2823" s="55" t="s">
        <v>2777</v>
      </c>
      <c r="M2823" s="90">
        <f>24/60</f>
        <v>0.4</v>
      </c>
      <c r="N2823" s="90">
        <f>32.5</f>
        <v>32.5</v>
      </c>
      <c r="O2823" s="90">
        <v>1200</v>
      </c>
      <c r="U2823" s="55" t="s">
        <v>1688</v>
      </c>
      <c r="V2823" s="55" t="s">
        <v>1816</v>
      </c>
      <c r="Y2823" s="55" t="s">
        <v>2801</v>
      </c>
      <c r="Z2823" s="55" t="s">
        <v>2806</v>
      </c>
      <c r="AE2823" s="90">
        <v>50</v>
      </c>
      <c r="AF2823" s="90">
        <v>13</v>
      </c>
      <c r="AH2823" s="55" t="s">
        <v>2618</v>
      </c>
      <c r="AI2823" s="168">
        <v>5.2</v>
      </c>
      <c r="AJ2823" s="90">
        <v>3</v>
      </c>
      <c r="AM2823" s="55" t="s">
        <v>2794</v>
      </c>
      <c r="AN2823" s="185" t="s">
        <v>2666</v>
      </c>
      <c r="AO2823" s="185" t="s">
        <v>5150</v>
      </c>
      <c r="AQ2823" s="55" t="s">
        <v>553</v>
      </c>
      <c r="AR2823" s="55" t="s">
        <v>1607</v>
      </c>
      <c r="AS2823" s="55" t="s">
        <v>132</v>
      </c>
      <c r="AU2823" s="181" t="s">
        <v>7494</v>
      </c>
      <c r="AV2823" s="185" t="s">
        <v>176</v>
      </c>
      <c r="AX2823" s="185" t="s">
        <v>176</v>
      </c>
      <c r="BK2823" s="55" t="s">
        <v>5976</v>
      </c>
      <c r="BM2823" s="192" t="s">
        <v>160</v>
      </c>
      <c r="BV2823" s="55" t="s">
        <v>2803</v>
      </c>
      <c r="CH2823" s="90">
        <v>1.38</v>
      </c>
      <c r="CI2823" s="90">
        <v>1.26</v>
      </c>
      <c r="CL2823" s="65" t="s">
        <v>2807</v>
      </c>
      <c r="EZ2823" s="65">
        <v>2.8</v>
      </c>
      <c r="FA2823" s="65">
        <v>4.2</v>
      </c>
      <c r="FD2823" s="65" t="s">
        <v>2808</v>
      </c>
      <c r="GP2823" s="292" t="s">
        <v>7494</v>
      </c>
      <c r="JW2823" s="55" t="s">
        <v>2804</v>
      </c>
    </row>
    <row r="2824" spans="1:283" x14ac:dyDescent="0.25">
      <c r="A2824" s="55">
        <v>2823</v>
      </c>
      <c r="B2824" s="12" t="s">
        <v>7067</v>
      </c>
      <c r="C2824" s="155">
        <v>130</v>
      </c>
      <c r="D2824" s="55" t="s">
        <v>4282</v>
      </c>
      <c r="E2824" s="90" t="s">
        <v>2786</v>
      </c>
      <c r="G2824" s="55" t="s">
        <v>501</v>
      </c>
      <c r="H2824" s="55">
        <v>1997</v>
      </c>
      <c r="I2824" s="55">
        <v>1995</v>
      </c>
      <c r="J2824" s="55" t="s">
        <v>2380</v>
      </c>
      <c r="K2824" s="55" t="s">
        <v>2793</v>
      </c>
      <c r="L2824" s="55" t="s">
        <v>2777</v>
      </c>
      <c r="M2824" s="90">
        <f>24/60</f>
        <v>0.4</v>
      </c>
      <c r="N2824" s="90">
        <f>32.5</f>
        <v>32.5</v>
      </c>
      <c r="O2824" s="90">
        <v>1200</v>
      </c>
      <c r="U2824" s="55" t="s">
        <v>1688</v>
      </c>
      <c r="V2824" s="55" t="s">
        <v>1816</v>
      </c>
      <c r="Y2824" s="55" t="s">
        <v>2801</v>
      </c>
      <c r="Z2824" s="55" t="s">
        <v>2033</v>
      </c>
      <c r="AE2824" s="90">
        <v>50</v>
      </c>
      <c r="AF2824" s="90">
        <v>13</v>
      </c>
      <c r="AH2824" s="55" t="s">
        <v>2618</v>
      </c>
      <c r="AI2824" s="168">
        <v>5.2</v>
      </c>
      <c r="AJ2824" s="90">
        <v>3</v>
      </c>
      <c r="AM2824" s="55" t="s">
        <v>2794</v>
      </c>
      <c r="AN2824" s="185" t="s">
        <v>2666</v>
      </c>
      <c r="AO2824" s="185" t="s">
        <v>5150</v>
      </c>
      <c r="AQ2824" s="55" t="s">
        <v>553</v>
      </c>
      <c r="AR2824" s="55" t="s">
        <v>1607</v>
      </c>
      <c r="AS2824" s="55" t="s">
        <v>132</v>
      </c>
      <c r="AU2824" s="181" t="s">
        <v>7494</v>
      </c>
      <c r="AV2824" s="185" t="s">
        <v>176</v>
      </c>
      <c r="AX2824" s="185" t="s">
        <v>176</v>
      </c>
      <c r="BK2824" s="55" t="s">
        <v>5976</v>
      </c>
      <c r="BM2824" s="192" t="s">
        <v>160</v>
      </c>
      <c r="BV2824" s="55" t="s">
        <v>2803</v>
      </c>
      <c r="CH2824" s="90">
        <v>1.48</v>
      </c>
      <c r="CI2824" s="90">
        <v>1.37</v>
      </c>
      <c r="CL2824" s="65" t="s">
        <v>2807</v>
      </c>
      <c r="GP2824" s="292" t="s">
        <v>7494</v>
      </c>
      <c r="JW2824" s="55" t="s">
        <v>2804</v>
      </c>
    </row>
    <row r="2825" spans="1:283" x14ac:dyDescent="0.25">
      <c r="A2825" s="55">
        <v>2824</v>
      </c>
      <c r="B2825" s="12" t="s">
        <v>7067</v>
      </c>
      <c r="C2825" s="155">
        <v>130</v>
      </c>
      <c r="D2825" s="55" t="s">
        <v>4283</v>
      </c>
      <c r="E2825" s="90" t="s">
        <v>2786</v>
      </c>
      <c r="G2825" s="55" t="s">
        <v>501</v>
      </c>
      <c r="H2825" s="55">
        <v>1997</v>
      </c>
      <c r="I2825" s="55">
        <v>1995</v>
      </c>
      <c r="J2825" s="55" t="s">
        <v>2380</v>
      </c>
      <c r="K2825" s="55" t="s">
        <v>2793</v>
      </c>
      <c r="L2825" s="55" t="s">
        <v>2777</v>
      </c>
      <c r="M2825" s="90">
        <f>24/60</f>
        <v>0.4</v>
      </c>
      <c r="N2825" s="90">
        <f>32.5</f>
        <v>32.5</v>
      </c>
      <c r="O2825" s="90">
        <v>1200</v>
      </c>
      <c r="U2825" s="55" t="s">
        <v>1688</v>
      </c>
      <c r="V2825" s="55" t="s">
        <v>1816</v>
      </c>
      <c r="Y2825" s="55" t="s">
        <v>2801</v>
      </c>
      <c r="Z2825" s="55" t="s">
        <v>2806</v>
      </c>
      <c r="AE2825" s="90">
        <v>50</v>
      </c>
      <c r="AF2825" s="90">
        <v>13</v>
      </c>
      <c r="AH2825" s="55" t="s">
        <v>2618</v>
      </c>
      <c r="AI2825" s="168">
        <v>5.2</v>
      </c>
      <c r="AJ2825" s="90">
        <v>3</v>
      </c>
      <c r="AM2825" s="55" t="s">
        <v>2794</v>
      </c>
      <c r="AN2825" s="185" t="s">
        <v>2666</v>
      </c>
      <c r="AO2825" s="185" t="s">
        <v>5150</v>
      </c>
      <c r="AQ2825" s="55" t="s">
        <v>553</v>
      </c>
      <c r="AR2825" s="55" t="s">
        <v>1607</v>
      </c>
      <c r="AS2825" s="55" t="s">
        <v>132</v>
      </c>
      <c r="AU2825" s="181" t="s">
        <v>7494</v>
      </c>
      <c r="AV2825" s="185" t="s">
        <v>176</v>
      </c>
      <c r="AX2825" s="185" t="s">
        <v>176</v>
      </c>
      <c r="BK2825" s="55" t="s">
        <v>5976</v>
      </c>
      <c r="BM2825" s="192" t="s">
        <v>160</v>
      </c>
      <c r="BV2825" s="55" t="s">
        <v>2803</v>
      </c>
      <c r="CH2825" s="90">
        <v>1.23</v>
      </c>
      <c r="CI2825" s="90">
        <v>1.1499999999999999</v>
      </c>
      <c r="CL2825" s="65" t="s">
        <v>2807</v>
      </c>
      <c r="GP2825" s="292" t="s">
        <v>7494</v>
      </c>
      <c r="JW2825" s="55" t="s">
        <v>2805</v>
      </c>
    </row>
    <row r="2826" spans="1:283" x14ac:dyDescent="0.25">
      <c r="A2826" s="55">
        <v>2825</v>
      </c>
      <c r="B2826" s="12" t="s">
        <v>7067</v>
      </c>
      <c r="C2826" s="155">
        <v>130</v>
      </c>
      <c r="D2826" s="55" t="s">
        <v>4284</v>
      </c>
      <c r="E2826" s="90" t="s">
        <v>2786</v>
      </c>
      <c r="G2826" s="55" t="s">
        <v>501</v>
      </c>
      <c r="H2826" s="55">
        <v>1997</v>
      </c>
      <c r="I2826" s="55">
        <v>1995</v>
      </c>
      <c r="J2826" s="55" t="s">
        <v>2380</v>
      </c>
      <c r="K2826" s="55" t="s">
        <v>2793</v>
      </c>
      <c r="L2826" s="55" t="s">
        <v>2777</v>
      </c>
      <c r="M2826" s="90">
        <f>24/60</f>
        <v>0.4</v>
      </c>
      <c r="N2826" s="90">
        <f>32.5</f>
        <v>32.5</v>
      </c>
      <c r="O2826" s="90">
        <v>1200</v>
      </c>
      <c r="U2826" s="55" t="s">
        <v>1688</v>
      </c>
      <c r="V2826" s="55" t="s">
        <v>1816</v>
      </c>
      <c r="Y2826" s="55" t="s">
        <v>2801</v>
      </c>
      <c r="Z2826" s="55" t="s">
        <v>2033</v>
      </c>
      <c r="AE2826" s="90">
        <v>50</v>
      </c>
      <c r="AF2826" s="90">
        <v>13</v>
      </c>
      <c r="AH2826" s="55" t="s">
        <v>2618</v>
      </c>
      <c r="AI2826" s="168">
        <v>5.2</v>
      </c>
      <c r="AJ2826" s="90">
        <v>3</v>
      </c>
      <c r="AM2826" s="55" t="s">
        <v>2794</v>
      </c>
      <c r="AN2826" s="185" t="s">
        <v>2666</v>
      </c>
      <c r="AO2826" s="185" t="s">
        <v>5150</v>
      </c>
      <c r="AQ2826" s="55" t="s">
        <v>553</v>
      </c>
      <c r="AR2826" s="55" t="s">
        <v>1607</v>
      </c>
      <c r="AS2826" s="55" t="s">
        <v>132</v>
      </c>
      <c r="AU2826" s="181" t="s">
        <v>7494</v>
      </c>
      <c r="AV2826" s="185" t="s">
        <v>176</v>
      </c>
      <c r="AX2826" s="185" t="s">
        <v>176</v>
      </c>
      <c r="BK2826" s="55" t="s">
        <v>5976</v>
      </c>
      <c r="BM2826" s="192" t="s">
        <v>160</v>
      </c>
      <c r="BV2826" s="55" t="s">
        <v>2803</v>
      </c>
      <c r="CH2826" s="90">
        <v>1.41</v>
      </c>
      <c r="CI2826" s="90">
        <v>1.35</v>
      </c>
      <c r="CL2826" s="65" t="s">
        <v>2807</v>
      </c>
      <c r="GP2826" s="292" t="s">
        <v>7494</v>
      </c>
      <c r="JW2826" s="55" t="s">
        <v>2805</v>
      </c>
    </row>
    <row r="2827" spans="1:283" x14ac:dyDescent="0.25">
      <c r="A2827" s="55">
        <v>2826</v>
      </c>
      <c r="B2827" s="12" t="s">
        <v>7067</v>
      </c>
      <c r="C2827" s="155">
        <v>131</v>
      </c>
      <c r="D2827" s="55" t="s">
        <v>4285</v>
      </c>
      <c r="E2827" s="90" t="s">
        <v>2809</v>
      </c>
      <c r="G2827" s="55" t="s">
        <v>2810</v>
      </c>
      <c r="H2827" s="55">
        <v>2004</v>
      </c>
      <c r="I2827" s="55">
        <v>1999</v>
      </c>
      <c r="J2827" s="55" t="s">
        <v>2660</v>
      </c>
      <c r="K2827" s="55" t="s">
        <v>2811</v>
      </c>
      <c r="L2827" s="55" t="s">
        <v>2812</v>
      </c>
      <c r="M2827" s="90">
        <f>6+28/60</f>
        <v>6.4666666666666668</v>
      </c>
      <c r="N2827" s="90">
        <f>1+38/60</f>
        <v>1.6333333333333333</v>
      </c>
      <c r="O2827" s="90">
        <v>72</v>
      </c>
      <c r="R2827" s="55">
        <v>968</v>
      </c>
      <c r="U2827" s="55" t="s">
        <v>1935</v>
      </c>
      <c r="V2827" s="55" t="s">
        <v>1805</v>
      </c>
      <c r="Y2827" s="55" t="s">
        <v>2823</v>
      </c>
      <c r="Z2827" s="55" t="s">
        <v>1356</v>
      </c>
      <c r="AA2827" s="90" t="s">
        <v>1680</v>
      </c>
      <c r="AE2827" s="90">
        <v>90</v>
      </c>
      <c r="AF2827" s="90">
        <v>1</v>
      </c>
      <c r="AH2827" s="55" t="s">
        <v>201</v>
      </c>
      <c r="AI2827" s="168">
        <v>5.7</v>
      </c>
      <c r="AM2827" s="55" t="s">
        <v>2813</v>
      </c>
      <c r="AN2827" s="185" t="s">
        <v>2664</v>
      </c>
      <c r="AO2827" s="185" t="s">
        <v>5150</v>
      </c>
      <c r="AQ2827" s="55" t="s">
        <v>553</v>
      </c>
      <c r="AR2827" s="55" t="s">
        <v>1607</v>
      </c>
      <c r="AS2827" s="55" t="s">
        <v>132</v>
      </c>
      <c r="AU2827" s="181" t="s">
        <v>7494</v>
      </c>
      <c r="AV2827" s="185" t="s">
        <v>176</v>
      </c>
      <c r="AX2827" s="185" t="s">
        <v>176</v>
      </c>
      <c r="BE2827" s="226" t="s">
        <v>2814</v>
      </c>
      <c r="BF2827" s="191" t="s">
        <v>176</v>
      </c>
      <c r="BG2827" s="191" t="s">
        <v>176</v>
      </c>
      <c r="BH2827" s="226" t="s">
        <v>2814</v>
      </c>
      <c r="BI2827" s="191" t="s">
        <v>176</v>
      </c>
      <c r="BK2827" s="55" t="s">
        <v>5976</v>
      </c>
      <c r="BM2827" s="192" t="s">
        <v>160</v>
      </c>
      <c r="BN2827" s="55">
        <v>4</v>
      </c>
      <c r="BO2827" s="55">
        <v>4</v>
      </c>
      <c r="BP2827" s="55">
        <v>6</v>
      </c>
      <c r="BQ2827" s="55" t="s">
        <v>141</v>
      </c>
      <c r="CB2827" s="66">
        <v>367</v>
      </c>
      <c r="CC2827" s="66">
        <v>580</v>
      </c>
      <c r="GP2827" s="292" t="s">
        <v>7494</v>
      </c>
      <c r="JU2827" s="55" t="s">
        <v>2824</v>
      </c>
    </row>
    <row r="2828" spans="1:283" x14ac:dyDescent="0.25">
      <c r="A2828" s="55">
        <v>2827</v>
      </c>
      <c r="B2828" s="12" t="s">
        <v>7067</v>
      </c>
      <c r="C2828" s="155">
        <v>131</v>
      </c>
      <c r="D2828" s="55" t="s">
        <v>4285</v>
      </c>
      <c r="E2828" s="90" t="s">
        <v>2809</v>
      </c>
      <c r="G2828" s="55" t="s">
        <v>2810</v>
      </c>
      <c r="H2828" s="55">
        <v>2004</v>
      </c>
      <c r="I2828" s="55">
        <v>1999</v>
      </c>
      <c r="J2828" s="55" t="s">
        <v>2660</v>
      </c>
      <c r="K2828" s="55" t="s">
        <v>2811</v>
      </c>
      <c r="L2828" s="55" t="s">
        <v>2812</v>
      </c>
      <c r="M2828" s="90">
        <f>6+28/60</f>
        <v>6.4666666666666668</v>
      </c>
      <c r="N2828" s="90">
        <f>1+38/60</f>
        <v>1.6333333333333333</v>
      </c>
      <c r="O2828" s="90">
        <v>72</v>
      </c>
      <c r="R2828" s="55">
        <v>968</v>
      </c>
      <c r="U2828" s="55" t="s">
        <v>1935</v>
      </c>
      <c r="V2828" s="55" t="s">
        <v>1805</v>
      </c>
      <c r="Y2828" s="55" t="s">
        <v>2823</v>
      </c>
      <c r="Z2828" s="55" t="s">
        <v>1356</v>
      </c>
      <c r="AA2828" s="90" t="s">
        <v>1680</v>
      </c>
      <c r="AE2828" s="90">
        <v>90</v>
      </c>
      <c r="AF2828" s="90">
        <v>1</v>
      </c>
      <c r="AH2828" s="55" t="s">
        <v>201</v>
      </c>
      <c r="AI2828" s="168">
        <v>5.7</v>
      </c>
      <c r="AM2828" s="55" t="s">
        <v>2813</v>
      </c>
      <c r="AN2828" s="185" t="s">
        <v>2664</v>
      </c>
      <c r="AO2828" s="185" t="s">
        <v>5150</v>
      </c>
      <c r="AQ2828" s="55" t="s">
        <v>553</v>
      </c>
      <c r="AR2828" s="55" t="s">
        <v>1607</v>
      </c>
      <c r="AS2828" s="55" t="s">
        <v>132</v>
      </c>
      <c r="AU2828" s="181" t="s">
        <v>7494</v>
      </c>
      <c r="AV2828" s="185" t="s">
        <v>176</v>
      </c>
      <c r="AX2828" s="185" t="s">
        <v>176</v>
      </c>
      <c r="BE2828" s="226" t="s">
        <v>2816</v>
      </c>
      <c r="BF2828" s="191" t="s">
        <v>479</v>
      </c>
      <c r="BG2828" s="55" t="s">
        <v>479</v>
      </c>
      <c r="BH2828" s="226" t="s">
        <v>2816</v>
      </c>
      <c r="BI2828" s="55" t="s">
        <v>479</v>
      </c>
      <c r="BK2828" s="55" t="s">
        <v>5976</v>
      </c>
      <c r="BM2828" s="192" t="s">
        <v>160</v>
      </c>
      <c r="BN2828" s="55">
        <v>4</v>
      </c>
      <c r="BO2828" s="55">
        <v>4</v>
      </c>
      <c r="BP2828" s="55">
        <v>6</v>
      </c>
      <c r="BQ2828" s="55" t="s">
        <v>141</v>
      </c>
      <c r="CB2828" s="66">
        <v>1156</v>
      </c>
      <c r="CC2828" s="66">
        <v>1472</v>
      </c>
      <c r="GP2828" s="292" t="s">
        <v>7494</v>
      </c>
      <c r="JU2828" s="55" t="s">
        <v>2824</v>
      </c>
    </row>
    <row r="2829" spans="1:283" x14ac:dyDescent="0.25">
      <c r="A2829" s="55">
        <v>2828</v>
      </c>
      <c r="B2829" s="12" t="s">
        <v>7067</v>
      </c>
      <c r="C2829" s="155">
        <v>131</v>
      </c>
      <c r="D2829" s="55" t="s">
        <v>4285</v>
      </c>
      <c r="E2829" s="90" t="s">
        <v>2809</v>
      </c>
      <c r="G2829" s="55" t="s">
        <v>2810</v>
      </c>
      <c r="H2829" s="55">
        <v>2004</v>
      </c>
      <c r="I2829" s="55">
        <v>1999</v>
      </c>
      <c r="J2829" s="55" t="s">
        <v>2660</v>
      </c>
      <c r="K2829" s="55" t="s">
        <v>2811</v>
      </c>
      <c r="L2829" s="55" t="s">
        <v>2812</v>
      </c>
      <c r="M2829" s="90">
        <f>6+28/60</f>
        <v>6.4666666666666668</v>
      </c>
      <c r="N2829" s="90">
        <f>1+38/60</f>
        <v>1.6333333333333333</v>
      </c>
      <c r="O2829" s="90">
        <v>72</v>
      </c>
      <c r="R2829" s="55">
        <v>968</v>
      </c>
      <c r="U2829" s="55" t="s">
        <v>1935</v>
      </c>
      <c r="V2829" s="55" t="s">
        <v>1805</v>
      </c>
      <c r="Y2829" s="55" t="s">
        <v>2823</v>
      </c>
      <c r="Z2829" s="55" t="s">
        <v>1356</v>
      </c>
      <c r="AA2829" s="90" t="s">
        <v>1680</v>
      </c>
      <c r="AE2829" s="90">
        <v>90</v>
      </c>
      <c r="AF2829" s="90">
        <v>1</v>
      </c>
      <c r="AH2829" s="55" t="s">
        <v>201</v>
      </c>
      <c r="AI2829" s="168">
        <v>5.7</v>
      </c>
      <c r="AM2829" s="55" t="s">
        <v>2813</v>
      </c>
      <c r="AN2829" s="185" t="s">
        <v>2664</v>
      </c>
      <c r="AO2829" s="185" t="s">
        <v>5150</v>
      </c>
      <c r="AQ2829" s="55" t="s">
        <v>553</v>
      </c>
      <c r="AR2829" s="55" t="s">
        <v>1607</v>
      </c>
      <c r="AS2829" s="55" t="s">
        <v>132</v>
      </c>
      <c r="AU2829" s="181" t="s">
        <v>7494</v>
      </c>
      <c r="AV2829" s="185" t="s">
        <v>176</v>
      </c>
      <c r="AX2829" s="185" t="s">
        <v>176</v>
      </c>
      <c r="BE2829" s="226" t="s">
        <v>2817</v>
      </c>
      <c r="BF2829" s="191" t="s">
        <v>479</v>
      </c>
      <c r="BG2829" s="55" t="s">
        <v>479</v>
      </c>
      <c r="BH2829" s="226" t="s">
        <v>2817</v>
      </c>
      <c r="BI2829" s="55" t="s">
        <v>479</v>
      </c>
      <c r="BK2829" s="55" t="s">
        <v>5976</v>
      </c>
      <c r="BM2829" s="192" t="s">
        <v>160</v>
      </c>
      <c r="BN2829" s="55">
        <v>4</v>
      </c>
      <c r="BO2829" s="55">
        <v>4</v>
      </c>
      <c r="BP2829" s="55">
        <v>6</v>
      </c>
      <c r="BQ2829" s="55" t="s">
        <v>141</v>
      </c>
      <c r="CB2829" s="66">
        <v>1528</v>
      </c>
      <c r="CC2829" s="66">
        <v>1583</v>
      </c>
      <c r="GP2829" s="292" t="s">
        <v>7494</v>
      </c>
      <c r="JU2829" s="55" t="s">
        <v>2824</v>
      </c>
    </row>
    <row r="2830" spans="1:283" x14ac:dyDescent="0.25">
      <c r="A2830" s="55">
        <v>2829</v>
      </c>
      <c r="B2830" s="12" t="s">
        <v>7067</v>
      </c>
      <c r="C2830" s="155">
        <v>131</v>
      </c>
      <c r="D2830" s="55" t="s">
        <v>4285</v>
      </c>
      <c r="E2830" s="90" t="s">
        <v>2809</v>
      </c>
      <c r="G2830" s="55" t="s">
        <v>2810</v>
      </c>
      <c r="H2830" s="55">
        <v>2004</v>
      </c>
      <c r="I2830" s="55">
        <v>1999</v>
      </c>
      <c r="J2830" s="55" t="s">
        <v>2660</v>
      </c>
      <c r="K2830" s="55" t="s">
        <v>2811</v>
      </c>
      <c r="L2830" s="55" t="s">
        <v>2812</v>
      </c>
      <c r="M2830" s="90">
        <f>6+28/60</f>
        <v>6.4666666666666668</v>
      </c>
      <c r="N2830" s="90">
        <f>1+38/60</f>
        <v>1.6333333333333333</v>
      </c>
      <c r="O2830" s="90">
        <v>72</v>
      </c>
      <c r="R2830" s="55">
        <v>968</v>
      </c>
      <c r="U2830" s="55" t="s">
        <v>1935</v>
      </c>
      <c r="V2830" s="55" t="s">
        <v>1805</v>
      </c>
      <c r="Y2830" s="55" t="s">
        <v>2823</v>
      </c>
      <c r="Z2830" s="55" t="s">
        <v>1356</v>
      </c>
      <c r="AA2830" s="90" t="s">
        <v>1680</v>
      </c>
      <c r="AE2830" s="90">
        <v>90</v>
      </c>
      <c r="AF2830" s="90">
        <v>1</v>
      </c>
      <c r="AH2830" s="55" t="s">
        <v>201</v>
      </c>
      <c r="AI2830" s="168">
        <v>5.7</v>
      </c>
      <c r="AM2830" s="55" t="s">
        <v>2813</v>
      </c>
      <c r="AN2830" s="185" t="s">
        <v>2664</v>
      </c>
      <c r="AO2830" s="185" t="s">
        <v>5150</v>
      </c>
      <c r="AQ2830" s="55" t="s">
        <v>553</v>
      </c>
      <c r="AR2830" s="55" t="s">
        <v>1607</v>
      </c>
      <c r="AS2830" s="55" t="s">
        <v>132</v>
      </c>
      <c r="AU2830" s="181" t="s">
        <v>7494</v>
      </c>
      <c r="AV2830" s="185" t="s">
        <v>176</v>
      </c>
      <c r="AX2830" s="185" t="s">
        <v>176</v>
      </c>
      <c r="BE2830" s="226" t="s">
        <v>2815</v>
      </c>
      <c r="BF2830" s="191" t="s">
        <v>176</v>
      </c>
      <c r="BG2830" s="55" t="s">
        <v>479</v>
      </c>
      <c r="BH2830" s="226" t="s">
        <v>2815</v>
      </c>
      <c r="BI2830" s="55" t="s">
        <v>479</v>
      </c>
      <c r="BK2830" s="55" t="s">
        <v>5976</v>
      </c>
      <c r="BM2830" s="192" t="s">
        <v>160</v>
      </c>
      <c r="BN2830" s="55">
        <v>4</v>
      </c>
      <c r="BO2830" s="55">
        <v>4</v>
      </c>
      <c r="BP2830" s="55">
        <v>6</v>
      </c>
      <c r="BQ2830" s="55" t="s">
        <v>141</v>
      </c>
      <c r="CB2830" s="66">
        <v>711</v>
      </c>
      <c r="CC2830" s="66">
        <v>497</v>
      </c>
      <c r="GP2830" s="292" t="s">
        <v>7494</v>
      </c>
      <c r="JU2830" s="55" t="s">
        <v>2824</v>
      </c>
    </row>
    <row r="2831" spans="1:283" x14ac:dyDescent="0.25">
      <c r="A2831" s="55">
        <v>2830</v>
      </c>
      <c r="B2831" s="12" t="s">
        <v>7067</v>
      </c>
      <c r="C2831" s="155">
        <v>131</v>
      </c>
      <c r="D2831" s="55" t="s">
        <v>4285</v>
      </c>
      <c r="E2831" s="90" t="s">
        <v>2809</v>
      </c>
      <c r="G2831" s="55" t="s">
        <v>2810</v>
      </c>
      <c r="H2831" s="55">
        <v>2004</v>
      </c>
      <c r="I2831" s="55">
        <v>1999</v>
      </c>
      <c r="J2831" s="55" t="s">
        <v>2660</v>
      </c>
      <c r="K2831" s="55" t="s">
        <v>2811</v>
      </c>
      <c r="L2831" s="55" t="s">
        <v>2812</v>
      </c>
      <c r="M2831" s="90">
        <f>6+28/60</f>
        <v>6.4666666666666668</v>
      </c>
      <c r="N2831" s="90">
        <f>1+38/60</f>
        <v>1.6333333333333333</v>
      </c>
      <c r="O2831" s="90">
        <v>72</v>
      </c>
      <c r="R2831" s="55">
        <v>968</v>
      </c>
      <c r="U2831" s="55" t="s">
        <v>1935</v>
      </c>
      <c r="V2831" s="55" t="s">
        <v>1805</v>
      </c>
      <c r="Y2831" s="55" t="s">
        <v>2823</v>
      </c>
      <c r="Z2831" s="55" t="s">
        <v>1356</v>
      </c>
      <c r="AA2831" s="90" t="s">
        <v>1680</v>
      </c>
      <c r="AE2831" s="90">
        <v>90</v>
      </c>
      <c r="AF2831" s="90">
        <v>1</v>
      </c>
      <c r="AH2831" s="55" t="s">
        <v>201</v>
      </c>
      <c r="AI2831" s="168">
        <v>5.7</v>
      </c>
      <c r="AM2831" s="55" t="s">
        <v>2813</v>
      </c>
      <c r="AN2831" s="185" t="s">
        <v>2664</v>
      </c>
      <c r="AO2831" s="185" t="s">
        <v>5150</v>
      </c>
      <c r="AQ2831" s="55" t="s">
        <v>553</v>
      </c>
      <c r="AR2831" s="55" t="s">
        <v>1607</v>
      </c>
      <c r="AS2831" s="55" t="s">
        <v>132</v>
      </c>
      <c r="AU2831" s="181" t="s">
        <v>7494</v>
      </c>
      <c r="AV2831" s="185" t="s">
        <v>176</v>
      </c>
      <c r="AX2831" s="185" t="s">
        <v>176</v>
      </c>
      <c r="BE2831" s="226" t="s">
        <v>2818</v>
      </c>
      <c r="BF2831" s="191" t="s">
        <v>479</v>
      </c>
      <c r="BG2831" s="55" t="s">
        <v>479</v>
      </c>
      <c r="BH2831" s="226" t="s">
        <v>2818</v>
      </c>
      <c r="BI2831" s="55" t="s">
        <v>479</v>
      </c>
      <c r="BK2831" s="55" t="s">
        <v>5976</v>
      </c>
      <c r="BM2831" s="192" t="s">
        <v>160</v>
      </c>
      <c r="BN2831" s="55">
        <v>4</v>
      </c>
      <c r="BO2831" s="55">
        <v>4</v>
      </c>
      <c r="BP2831" s="55">
        <v>6</v>
      </c>
      <c r="BQ2831" s="55" t="s">
        <v>141</v>
      </c>
      <c r="CB2831" s="66">
        <v>1537</v>
      </c>
      <c r="CC2831" s="66">
        <v>1871</v>
      </c>
      <c r="GP2831" s="292" t="s">
        <v>7494</v>
      </c>
      <c r="JU2831" s="55" t="s">
        <v>2824</v>
      </c>
    </row>
    <row r="2832" spans="1:283" x14ac:dyDescent="0.25">
      <c r="A2832" s="55">
        <v>2831</v>
      </c>
      <c r="B2832" s="12" t="s">
        <v>7067</v>
      </c>
      <c r="C2832" s="155">
        <v>131</v>
      </c>
      <c r="D2832" s="55" t="s">
        <v>4285</v>
      </c>
      <c r="E2832" s="90" t="s">
        <v>2809</v>
      </c>
      <c r="G2832" s="55" t="s">
        <v>2810</v>
      </c>
      <c r="H2832" s="55">
        <v>2004</v>
      </c>
      <c r="I2832" s="55">
        <v>1999</v>
      </c>
      <c r="J2832" s="55" t="s">
        <v>2660</v>
      </c>
      <c r="K2832" s="55" t="s">
        <v>2811</v>
      </c>
      <c r="L2832" s="55" t="s">
        <v>2812</v>
      </c>
      <c r="M2832" s="90">
        <f>6+28/60</f>
        <v>6.4666666666666668</v>
      </c>
      <c r="N2832" s="90">
        <f>1+38/60</f>
        <v>1.6333333333333333</v>
      </c>
      <c r="O2832" s="90">
        <v>72</v>
      </c>
      <c r="R2832" s="55">
        <v>968</v>
      </c>
      <c r="U2832" s="55" t="s">
        <v>1935</v>
      </c>
      <c r="V2832" s="55" t="s">
        <v>1805</v>
      </c>
      <c r="Y2832" s="55" t="s">
        <v>2823</v>
      </c>
      <c r="Z2832" s="55" t="s">
        <v>1356</v>
      </c>
      <c r="AA2832" s="90" t="s">
        <v>1680</v>
      </c>
      <c r="AE2832" s="90">
        <v>90</v>
      </c>
      <c r="AF2832" s="90">
        <v>1</v>
      </c>
      <c r="AH2832" s="55" t="s">
        <v>201</v>
      </c>
      <c r="AI2832" s="168">
        <v>5.7</v>
      </c>
      <c r="AM2832" s="55" t="s">
        <v>2813</v>
      </c>
      <c r="AN2832" s="185" t="s">
        <v>2664</v>
      </c>
      <c r="AO2832" s="185" t="s">
        <v>5150</v>
      </c>
      <c r="AQ2832" s="55" t="s">
        <v>553</v>
      </c>
      <c r="AR2832" s="55" t="s">
        <v>1607</v>
      </c>
      <c r="AS2832" s="55" t="s">
        <v>132</v>
      </c>
      <c r="AU2832" s="181" t="s">
        <v>7494</v>
      </c>
      <c r="AV2832" s="185" t="s">
        <v>176</v>
      </c>
      <c r="AX2832" s="185" t="s">
        <v>176</v>
      </c>
      <c r="BE2832" s="226" t="s">
        <v>2819</v>
      </c>
      <c r="BF2832" s="191" t="s">
        <v>479</v>
      </c>
      <c r="BG2832" s="55" t="s">
        <v>479</v>
      </c>
      <c r="BH2832" s="226" t="s">
        <v>2819</v>
      </c>
      <c r="BI2832" s="55" t="s">
        <v>479</v>
      </c>
      <c r="BK2832" s="55" t="s">
        <v>5976</v>
      </c>
      <c r="BM2832" s="192" t="s">
        <v>160</v>
      </c>
      <c r="BN2832" s="55">
        <v>4</v>
      </c>
      <c r="BO2832" s="55">
        <v>4</v>
      </c>
      <c r="BP2832" s="55">
        <v>6</v>
      </c>
      <c r="BQ2832" s="55" t="s">
        <v>141</v>
      </c>
      <c r="CB2832" s="66">
        <v>2076</v>
      </c>
      <c r="CC2832" s="66">
        <v>2215</v>
      </c>
      <c r="GP2832" s="292" t="s">
        <v>7494</v>
      </c>
      <c r="JU2832" s="55" t="s">
        <v>2824</v>
      </c>
    </row>
    <row r="2833" spans="1:281" x14ac:dyDescent="0.25">
      <c r="A2833" s="55">
        <v>2832</v>
      </c>
      <c r="B2833" s="12" t="s">
        <v>7067</v>
      </c>
      <c r="C2833" s="155">
        <v>131</v>
      </c>
      <c r="D2833" s="55" t="s">
        <v>4285</v>
      </c>
      <c r="E2833" s="90" t="s">
        <v>2809</v>
      </c>
      <c r="G2833" s="55" t="s">
        <v>2810</v>
      </c>
      <c r="H2833" s="55">
        <v>2004</v>
      </c>
      <c r="I2833" s="55">
        <v>1999</v>
      </c>
      <c r="J2833" s="55" t="s">
        <v>2660</v>
      </c>
      <c r="K2833" s="55" t="s">
        <v>2811</v>
      </c>
      <c r="L2833" s="55" t="s">
        <v>2812</v>
      </c>
      <c r="M2833" s="90">
        <f>6+28/60</f>
        <v>6.4666666666666668</v>
      </c>
      <c r="N2833" s="90">
        <f>1+38/60</f>
        <v>1.6333333333333333</v>
      </c>
      <c r="O2833" s="90">
        <v>72</v>
      </c>
      <c r="R2833" s="55">
        <v>968</v>
      </c>
      <c r="U2833" s="55" t="s">
        <v>1935</v>
      </c>
      <c r="V2833" s="55" t="s">
        <v>1805</v>
      </c>
      <c r="Y2833" s="55" t="s">
        <v>2823</v>
      </c>
      <c r="Z2833" s="55" t="s">
        <v>1356</v>
      </c>
      <c r="AA2833" s="90" t="s">
        <v>1680</v>
      </c>
      <c r="AE2833" s="90">
        <v>90</v>
      </c>
      <c r="AF2833" s="90">
        <v>1</v>
      </c>
      <c r="AH2833" s="55" t="s">
        <v>201</v>
      </c>
      <c r="AI2833" s="168">
        <v>5.7</v>
      </c>
      <c r="AM2833" s="55" t="s">
        <v>2813</v>
      </c>
      <c r="AN2833" s="185" t="s">
        <v>2664</v>
      </c>
      <c r="AO2833" s="185" t="s">
        <v>5150</v>
      </c>
      <c r="AQ2833" s="55" t="s">
        <v>553</v>
      </c>
      <c r="AR2833" s="55" t="s">
        <v>1607</v>
      </c>
      <c r="AS2833" s="55" t="s">
        <v>132</v>
      </c>
      <c r="AU2833" s="181" t="s">
        <v>7494</v>
      </c>
      <c r="AV2833" s="185" t="s">
        <v>176</v>
      </c>
      <c r="AX2833" s="185" t="s">
        <v>176</v>
      </c>
      <c r="BE2833" s="226" t="s">
        <v>2820</v>
      </c>
      <c r="BF2833" s="191" t="s">
        <v>176</v>
      </c>
      <c r="BG2833" s="55" t="s">
        <v>479</v>
      </c>
      <c r="BH2833" s="226" t="s">
        <v>2820</v>
      </c>
      <c r="BI2833" s="55" t="s">
        <v>479</v>
      </c>
      <c r="BK2833" s="55" t="s">
        <v>5976</v>
      </c>
      <c r="BM2833" s="192" t="s">
        <v>160</v>
      </c>
      <c r="BN2833" s="55">
        <v>4</v>
      </c>
      <c r="BO2833" s="55">
        <v>4</v>
      </c>
      <c r="BP2833" s="55">
        <v>6</v>
      </c>
      <c r="BQ2833" s="55" t="s">
        <v>141</v>
      </c>
      <c r="CB2833" s="66">
        <v>488</v>
      </c>
      <c r="CC2833" s="66">
        <v>580</v>
      </c>
      <c r="GP2833" s="292" t="s">
        <v>7494</v>
      </c>
      <c r="JU2833" s="55" t="s">
        <v>2824</v>
      </c>
    </row>
    <row r="2834" spans="1:281" x14ac:dyDescent="0.25">
      <c r="A2834" s="55">
        <v>2833</v>
      </c>
      <c r="B2834" s="12" t="s">
        <v>7067</v>
      </c>
      <c r="C2834" s="155">
        <v>131</v>
      </c>
      <c r="D2834" s="55" t="s">
        <v>4285</v>
      </c>
      <c r="E2834" s="90" t="s">
        <v>2809</v>
      </c>
      <c r="G2834" s="55" t="s">
        <v>2810</v>
      </c>
      <c r="H2834" s="55">
        <v>2004</v>
      </c>
      <c r="I2834" s="55">
        <v>1999</v>
      </c>
      <c r="J2834" s="55" t="s">
        <v>2660</v>
      </c>
      <c r="K2834" s="55" t="s">
        <v>2811</v>
      </c>
      <c r="L2834" s="55" t="s">
        <v>2812</v>
      </c>
      <c r="M2834" s="90">
        <f>6+28/60</f>
        <v>6.4666666666666668</v>
      </c>
      <c r="N2834" s="90">
        <f>1+38/60</f>
        <v>1.6333333333333333</v>
      </c>
      <c r="O2834" s="90">
        <v>72</v>
      </c>
      <c r="R2834" s="55">
        <v>968</v>
      </c>
      <c r="U2834" s="55" t="s">
        <v>1935</v>
      </c>
      <c r="V2834" s="55" t="s">
        <v>1805</v>
      </c>
      <c r="Y2834" s="55" t="s">
        <v>2823</v>
      </c>
      <c r="Z2834" s="55" t="s">
        <v>1356</v>
      </c>
      <c r="AA2834" s="90" t="s">
        <v>1680</v>
      </c>
      <c r="AE2834" s="90">
        <v>90</v>
      </c>
      <c r="AF2834" s="90">
        <v>1</v>
      </c>
      <c r="AH2834" s="55" t="s">
        <v>201</v>
      </c>
      <c r="AI2834" s="168">
        <v>5.7</v>
      </c>
      <c r="AM2834" s="55" t="s">
        <v>2813</v>
      </c>
      <c r="AN2834" s="185" t="s">
        <v>2664</v>
      </c>
      <c r="AO2834" s="185" t="s">
        <v>5150</v>
      </c>
      <c r="AQ2834" s="55" t="s">
        <v>553</v>
      </c>
      <c r="AR2834" s="55" t="s">
        <v>1607</v>
      </c>
      <c r="AS2834" s="55" t="s">
        <v>132</v>
      </c>
      <c r="AU2834" s="181" t="s">
        <v>7494</v>
      </c>
      <c r="AV2834" s="185" t="s">
        <v>176</v>
      </c>
      <c r="AX2834" s="185" t="s">
        <v>176</v>
      </c>
      <c r="BE2834" s="226" t="s">
        <v>2821</v>
      </c>
      <c r="BF2834" s="191" t="s">
        <v>479</v>
      </c>
      <c r="BG2834" s="55" t="s">
        <v>479</v>
      </c>
      <c r="BH2834" s="226" t="s">
        <v>2821</v>
      </c>
      <c r="BI2834" s="55" t="s">
        <v>479</v>
      </c>
      <c r="BK2834" s="55" t="s">
        <v>5976</v>
      </c>
      <c r="BM2834" s="192" t="s">
        <v>160</v>
      </c>
      <c r="BN2834" s="55">
        <v>4</v>
      </c>
      <c r="BO2834" s="55">
        <v>4</v>
      </c>
      <c r="BP2834" s="55">
        <v>6</v>
      </c>
      <c r="BQ2834" s="55" t="s">
        <v>141</v>
      </c>
      <c r="CB2834" s="66">
        <v>1323</v>
      </c>
      <c r="CC2834" s="66">
        <v>1723</v>
      </c>
      <c r="GP2834" s="292" t="s">
        <v>7494</v>
      </c>
      <c r="JU2834" s="55" t="s">
        <v>2824</v>
      </c>
    </row>
    <row r="2835" spans="1:281" x14ac:dyDescent="0.25">
      <c r="A2835" s="55">
        <v>2834</v>
      </c>
      <c r="B2835" s="12" t="s">
        <v>7067</v>
      </c>
      <c r="C2835" s="155">
        <v>131</v>
      </c>
      <c r="D2835" s="55" t="s">
        <v>4285</v>
      </c>
      <c r="E2835" s="90" t="s">
        <v>2809</v>
      </c>
      <c r="G2835" s="55" t="s">
        <v>2810</v>
      </c>
      <c r="H2835" s="55">
        <v>2004</v>
      </c>
      <c r="I2835" s="55">
        <v>1999</v>
      </c>
      <c r="J2835" s="55" t="s">
        <v>2660</v>
      </c>
      <c r="K2835" s="55" t="s">
        <v>2811</v>
      </c>
      <c r="L2835" s="55" t="s">
        <v>2812</v>
      </c>
      <c r="M2835" s="90">
        <f>6+28/60</f>
        <v>6.4666666666666668</v>
      </c>
      <c r="N2835" s="90">
        <f>1+38/60</f>
        <v>1.6333333333333333</v>
      </c>
      <c r="O2835" s="90">
        <v>72</v>
      </c>
      <c r="R2835" s="55">
        <v>968</v>
      </c>
      <c r="U2835" s="55" t="s">
        <v>1935</v>
      </c>
      <c r="V2835" s="55" t="s">
        <v>1805</v>
      </c>
      <c r="Y2835" s="55" t="s">
        <v>2823</v>
      </c>
      <c r="Z2835" s="55" t="s">
        <v>1356</v>
      </c>
      <c r="AA2835" s="90" t="s">
        <v>1680</v>
      </c>
      <c r="AE2835" s="90">
        <v>90</v>
      </c>
      <c r="AF2835" s="90">
        <v>1</v>
      </c>
      <c r="AH2835" s="55" t="s">
        <v>201</v>
      </c>
      <c r="AI2835" s="168">
        <v>5.7</v>
      </c>
      <c r="AM2835" s="55" t="s">
        <v>2813</v>
      </c>
      <c r="AN2835" s="185" t="s">
        <v>2664</v>
      </c>
      <c r="AO2835" s="185" t="s">
        <v>5150</v>
      </c>
      <c r="AQ2835" s="55" t="s">
        <v>553</v>
      </c>
      <c r="AR2835" s="55" t="s">
        <v>1607</v>
      </c>
      <c r="AS2835" s="55" t="s">
        <v>132</v>
      </c>
      <c r="AU2835" s="181" t="s">
        <v>7494</v>
      </c>
      <c r="AV2835" s="185" t="s">
        <v>176</v>
      </c>
      <c r="AX2835" s="185" t="s">
        <v>176</v>
      </c>
      <c r="BE2835" s="226" t="s">
        <v>2822</v>
      </c>
      <c r="BF2835" s="191" t="s">
        <v>479</v>
      </c>
      <c r="BG2835" s="55" t="s">
        <v>479</v>
      </c>
      <c r="BH2835" s="226" t="s">
        <v>2822</v>
      </c>
      <c r="BI2835" s="55" t="s">
        <v>479</v>
      </c>
      <c r="BK2835" s="55" t="s">
        <v>5976</v>
      </c>
      <c r="BM2835" s="192" t="s">
        <v>160</v>
      </c>
      <c r="BN2835" s="55">
        <v>4</v>
      </c>
      <c r="BO2835" s="55">
        <v>4</v>
      </c>
      <c r="BP2835" s="55">
        <v>6</v>
      </c>
      <c r="BQ2835" s="55" t="s">
        <v>141</v>
      </c>
      <c r="CB2835" s="66">
        <v>1667</v>
      </c>
      <c r="CC2835" s="66">
        <v>1992</v>
      </c>
      <c r="GP2835" s="292" t="s">
        <v>7494</v>
      </c>
      <c r="JU2835" s="55" t="s">
        <v>2824</v>
      </c>
    </row>
    <row r="2836" spans="1:281" x14ac:dyDescent="0.25">
      <c r="A2836" s="55">
        <v>2835</v>
      </c>
      <c r="B2836" s="12" t="s">
        <v>7067</v>
      </c>
      <c r="C2836" s="155">
        <v>131</v>
      </c>
      <c r="D2836" s="55" t="s">
        <v>4285</v>
      </c>
      <c r="E2836" s="90" t="s">
        <v>2809</v>
      </c>
      <c r="G2836" s="55" t="s">
        <v>2810</v>
      </c>
      <c r="H2836" s="55">
        <v>2004</v>
      </c>
      <c r="I2836" s="55">
        <v>2000</v>
      </c>
      <c r="J2836" s="55" t="s">
        <v>2660</v>
      </c>
      <c r="K2836" s="55" t="s">
        <v>2811</v>
      </c>
      <c r="L2836" s="55" t="s">
        <v>2812</v>
      </c>
      <c r="M2836" s="90">
        <f>6+28/60</f>
        <v>6.4666666666666668</v>
      </c>
      <c r="N2836" s="90">
        <f>1+38/60</f>
        <v>1.6333333333333333</v>
      </c>
      <c r="O2836" s="90">
        <v>72</v>
      </c>
      <c r="R2836" s="55">
        <v>968</v>
      </c>
      <c r="U2836" s="55" t="s">
        <v>1805</v>
      </c>
      <c r="V2836" s="55" t="s">
        <v>1805</v>
      </c>
      <c r="Y2836" s="55" t="s">
        <v>2823</v>
      </c>
      <c r="Z2836" s="55" t="s">
        <v>1356</v>
      </c>
      <c r="AA2836" s="90" t="s">
        <v>1680</v>
      </c>
      <c r="AE2836" s="90">
        <v>90</v>
      </c>
      <c r="AF2836" s="90">
        <v>1</v>
      </c>
      <c r="AH2836" s="55" t="s">
        <v>201</v>
      </c>
      <c r="AI2836" s="168">
        <v>5.7</v>
      </c>
      <c r="AM2836" s="55" t="s">
        <v>2813</v>
      </c>
      <c r="AN2836" s="185" t="s">
        <v>2664</v>
      </c>
      <c r="AO2836" s="185" t="s">
        <v>5150</v>
      </c>
      <c r="AQ2836" s="55" t="s">
        <v>553</v>
      </c>
      <c r="AR2836" s="55" t="s">
        <v>1607</v>
      </c>
      <c r="AS2836" s="55" t="s">
        <v>132</v>
      </c>
      <c r="AU2836" s="181" t="s">
        <v>7494</v>
      </c>
      <c r="AV2836" s="185" t="s">
        <v>176</v>
      </c>
      <c r="AX2836" s="185" t="s">
        <v>176</v>
      </c>
      <c r="BE2836" s="226" t="s">
        <v>2814</v>
      </c>
      <c r="BF2836" s="191" t="s">
        <v>176</v>
      </c>
      <c r="BG2836" s="191" t="s">
        <v>176</v>
      </c>
      <c r="BH2836" s="226" t="s">
        <v>2814</v>
      </c>
      <c r="BI2836" s="191" t="s">
        <v>176</v>
      </c>
      <c r="BK2836" s="55" t="s">
        <v>5976</v>
      </c>
      <c r="BM2836" s="192" t="s">
        <v>160</v>
      </c>
      <c r="BN2836" s="55">
        <v>4</v>
      </c>
      <c r="BO2836" s="55">
        <v>4</v>
      </c>
      <c r="BP2836" s="55">
        <v>6</v>
      </c>
      <c r="BQ2836" s="55" t="s">
        <v>141</v>
      </c>
      <c r="CB2836" s="66">
        <v>1325</v>
      </c>
      <c r="CC2836" s="66">
        <v>2263</v>
      </c>
      <c r="GP2836" s="292" t="s">
        <v>7494</v>
      </c>
      <c r="JU2836" s="55" t="s">
        <v>2824</v>
      </c>
    </row>
    <row r="2837" spans="1:281" x14ac:dyDescent="0.25">
      <c r="A2837" s="55">
        <v>2836</v>
      </c>
      <c r="B2837" s="12" t="s">
        <v>7067</v>
      </c>
      <c r="C2837" s="155">
        <v>131</v>
      </c>
      <c r="D2837" s="55" t="s">
        <v>4285</v>
      </c>
      <c r="E2837" s="90" t="s">
        <v>2809</v>
      </c>
      <c r="G2837" s="55" t="s">
        <v>2810</v>
      </c>
      <c r="H2837" s="55">
        <v>2004</v>
      </c>
      <c r="I2837" s="55">
        <v>2000</v>
      </c>
      <c r="J2837" s="55" t="s">
        <v>2660</v>
      </c>
      <c r="K2837" s="55" t="s">
        <v>2811</v>
      </c>
      <c r="L2837" s="55" t="s">
        <v>2812</v>
      </c>
      <c r="M2837" s="90">
        <f>6+28/60</f>
        <v>6.4666666666666668</v>
      </c>
      <c r="N2837" s="90">
        <f>1+38/60</f>
        <v>1.6333333333333333</v>
      </c>
      <c r="O2837" s="90">
        <v>72</v>
      </c>
      <c r="R2837" s="55">
        <v>968</v>
      </c>
      <c r="U2837" s="55" t="s">
        <v>1805</v>
      </c>
      <c r="V2837" s="55" t="s">
        <v>1805</v>
      </c>
      <c r="Y2837" s="55" t="s">
        <v>2823</v>
      </c>
      <c r="Z2837" s="55" t="s">
        <v>1356</v>
      </c>
      <c r="AA2837" s="90" t="s">
        <v>1680</v>
      </c>
      <c r="AE2837" s="90">
        <v>90</v>
      </c>
      <c r="AF2837" s="90">
        <v>1</v>
      </c>
      <c r="AH2837" s="55" t="s">
        <v>201</v>
      </c>
      <c r="AI2837" s="168">
        <v>5.7</v>
      </c>
      <c r="AM2837" s="55" t="s">
        <v>2813</v>
      </c>
      <c r="AN2837" s="185" t="s">
        <v>2664</v>
      </c>
      <c r="AO2837" s="185" t="s">
        <v>5150</v>
      </c>
      <c r="AQ2837" s="55" t="s">
        <v>553</v>
      </c>
      <c r="AR2837" s="55" t="s">
        <v>1607</v>
      </c>
      <c r="AS2837" s="55" t="s">
        <v>132</v>
      </c>
      <c r="AU2837" s="181" t="s">
        <v>7494</v>
      </c>
      <c r="AV2837" s="185" t="s">
        <v>176</v>
      </c>
      <c r="AX2837" s="185" t="s">
        <v>176</v>
      </c>
      <c r="BE2837" s="226" t="s">
        <v>2816</v>
      </c>
      <c r="BF2837" s="191" t="s">
        <v>479</v>
      </c>
      <c r="BG2837" s="55" t="s">
        <v>479</v>
      </c>
      <c r="BH2837" s="226" t="s">
        <v>2816</v>
      </c>
      <c r="BI2837" s="55" t="s">
        <v>479</v>
      </c>
      <c r="BK2837" s="55" t="s">
        <v>5976</v>
      </c>
      <c r="BM2837" s="192" t="s">
        <v>160</v>
      </c>
      <c r="BN2837" s="55">
        <v>4</v>
      </c>
      <c r="BO2837" s="55">
        <v>4</v>
      </c>
      <c r="BP2837" s="55">
        <v>6</v>
      </c>
      <c r="BQ2837" s="55" t="s">
        <v>141</v>
      </c>
      <c r="CB2837" s="66">
        <v>2186</v>
      </c>
      <c r="CC2837" s="66">
        <v>2918</v>
      </c>
      <c r="GP2837" s="292" t="s">
        <v>7494</v>
      </c>
      <c r="JU2837" s="55" t="s">
        <v>2824</v>
      </c>
    </row>
    <row r="2838" spans="1:281" x14ac:dyDescent="0.25">
      <c r="A2838" s="55">
        <v>2837</v>
      </c>
      <c r="B2838" s="12" t="s">
        <v>7067</v>
      </c>
      <c r="C2838" s="155">
        <v>131</v>
      </c>
      <c r="D2838" s="55" t="s">
        <v>4285</v>
      </c>
      <c r="E2838" s="90" t="s">
        <v>2809</v>
      </c>
      <c r="G2838" s="55" t="s">
        <v>2810</v>
      </c>
      <c r="H2838" s="55">
        <v>2004</v>
      </c>
      <c r="I2838" s="55">
        <v>2000</v>
      </c>
      <c r="J2838" s="55" t="s">
        <v>2660</v>
      </c>
      <c r="K2838" s="55" t="s">
        <v>2811</v>
      </c>
      <c r="L2838" s="55" t="s">
        <v>2812</v>
      </c>
      <c r="M2838" s="90">
        <f>6+28/60</f>
        <v>6.4666666666666668</v>
      </c>
      <c r="N2838" s="90">
        <f>1+38/60</f>
        <v>1.6333333333333333</v>
      </c>
      <c r="O2838" s="90">
        <v>72</v>
      </c>
      <c r="R2838" s="55">
        <v>968</v>
      </c>
      <c r="U2838" s="55" t="s">
        <v>1805</v>
      </c>
      <c r="V2838" s="55" t="s">
        <v>1805</v>
      </c>
      <c r="Y2838" s="55" t="s">
        <v>2823</v>
      </c>
      <c r="Z2838" s="55" t="s">
        <v>1356</v>
      </c>
      <c r="AA2838" s="90" t="s">
        <v>1680</v>
      </c>
      <c r="AE2838" s="90">
        <v>90</v>
      </c>
      <c r="AF2838" s="90">
        <v>1</v>
      </c>
      <c r="AH2838" s="55" t="s">
        <v>201</v>
      </c>
      <c r="AI2838" s="168">
        <v>5.7</v>
      </c>
      <c r="AM2838" s="55" t="s">
        <v>2813</v>
      </c>
      <c r="AN2838" s="185" t="s">
        <v>2664</v>
      </c>
      <c r="AO2838" s="185" t="s">
        <v>5150</v>
      </c>
      <c r="AQ2838" s="55" t="s">
        <v>553</v>
      </c>
      <c r="AR2838" s="55" t="s">
        <v>1607</v>
      </c>
      <c r="AS2838" s="55" t="s">
        <v>132</v>
      </c>
      <c r="AU2838" s="181" t="s">
        <v>7494</v>
      </c>
      <c r="AV2838" s="185" t="s">
        <v>176</v>
      </c>
      <c r="AX2838" s="185" t="s">
        <v>176</v>
      </c>
      <c r="BE2838" s="226" t="s">
        <v>2817</v>
      </c>
      <c r="BF2838" s="191" t="s">
        <v>479</v>
      </c>
      <c r="BG2838" s="55" t="s">
        <v>479</v>
      </c>
      <c r="BH2838" s="226" t="s">
        <v>2817</v>
      </c>
      <c r="BI2838" s="55" t="s">
        <v>479</v>
      </c>
      <c r="BK2838" s="55" t="s">
        <v>5976</v>
      </c>
      <c r="BM2838" s="192" t="s">
        <v>160</v>
      </c>
      <c r="BN2838" s="55">
        <v>4</v>
      </c>
      <c r="BO2838" s="55">
        <v>4</v>
      </c>
      <c r="BP2838" s="55">
        <v>6</v>
      </c>
      <c r="BQ2838" s="55" t="s">
        <v>141</v>
      </c>
      <c r="CB2838" s="66">
        <v>2513</v>
      </c>
      <c r="CC2838" s="66">
        <v>2878</v>
      </c>
      <c r="GP2838" s="292" t="s">
        <v>7494</v>
      </c>
      <c r="JU2838" s="55" t="s">
        <v>2824</v>
      </c>
    </row>
    <row r="2839" spans="1:281" x14ac:dyDescent="0.25">
      <c r="A2839" s="55">
        <v>2838</v>
      </c>
      <c r="B2839" s="12" t="s">
        <v>7067</v>
      </c>
      <c r="C2839" s="155">
        <v>131</v>
      </c>
      <c r="D2839" s="55" t="s">
        <v>4285</v>
      </c>
      <c r="E2839" s="90" t="s">
        <v>2809</v>
      </c>
      <c r="G2839" s="55" t="s">
        <v>2810</v>
      </c>
      <c r="H2839" s="55">
        <v>2004</v>
      </c>
      <c r="I2839" s="55">
        <v>2000</v>
      </c>
      <c r="J2839" s="55" t="s">
        <v>2660</v>
      </c>
      <c r="K2839" s="55" t="s">
        <v>2811</v>
      </c>
      <c r="L2839" s="55" t="s">
        <v>2812</v>
      </c>
      <c r="M2839" s="90">
        <f>6+28/60</f>
        <v>6.4666666666666668</v>
      </c>
      <c r="N2839" s="90">
        <f>1+38/60</f>
        <v>1.6333333333333333</v>
      </c>
      <c r="O2839" s="90">
        <v>72</v>
      </c>
      <c r="R2839" s="55">
        <v>968</v>
      </c>
      <c r="U2839" s="55" t="s">
        <v>1805</v>
      </c>
      <c r="V2839" s="55" t="s">
        <v>1805</v>
      </c>
      <c r="Y2839" s="55" t="s">
        <v>2823</v>
      </c>
      <c r="Z2839" s="55" t="s">
        <v>1356</v>
      </c>
      <c r="AA2839" s="90" t="s">
        <v>1680</v>
      </c>
      <c r="AE2839" s="90">
        <v>90</v>
      </c>
      <c r="AF2839" s="90">
        <v>1</v>
      </c>
      <c r="AH2839" s="55" t="s">
        <v>201</v>
      </c>
      <c r="AI2839" s="168">
        <v>5.7</v>
      </c>
      <c r="AM2839" s="55" t="s">
        <v>2813</v>
      </c>
      <c r="AN2839" s="185" t="s">
        <v>2664</v>
      </c>
      <c r="AO2839" s="185" t="s">
        <v>5150</v>
      </c>
      <c r="AQ2839" s="55" t="s">
        <v>553</v>
      </c>
      <c r="AR2839" s="55" t="s">
        <v>1607</v>
      </c>
      <c r="AS2839" s="55" t="s">
        <v>132</v>
      </c>
      <c r="AU2839" s="181" t="s">
        <v>7494</v>
      </c>
      <c r="AV2839" s="185" t="s">
        <v>176</v>
      </c>
      <c r="AX2839" s="185" t="s">
        <v>176</v>
      </c>
      <c r="BE2839" s="226" t="s">
        <v>2815</v>
      </c>
      <c r="BF2839" s="191" t="s">
        <v>176</v>
      </c>
      <c r="BG2839" s="55" t="s">
        <v>479</v>
      </c>
      <c r="BH2839" s="226" t="s">
        <v>2815</v>
      </c>
      <c r="BI2839" s="55" t="s">
        <v>479</v>
      </c>
      <c r="BK2839" s="55" t="s">
        <v>5976</v>
      </c>
      <c r="BM2839" s="192" t="s">
        <v>160</v>
      </c>
      <c r="BN2839" s="55">
        <v>4</v>
      </c>
      <c r="BO2839" s="55">
        <v>4</v>
      </c>
      <c r="BP2839" s="55">
        <v>6</v>
      </c>
      <c r="BQ2839" s="55" t="s">
        <v>141</v>
      </c>
      <c r="CB2839" s="66">
        <v>1647</v>
      </c>
      <c r="CC2839" s="66">
        <v>2219</v>
      </c>
      <c r="GP2839" s="292" t="s">
        <v>7494</v>
      </c>
      <c r="JU2839" s="55" t="s">
        <v>2824</v>
      </c>
    </row>
    <row r="2840" spans="1:281" x14ac:dyDescent="0.25">
      <c r="A2840" s="55">
        <v>2839</v>
      </c>
      <c r="B2840" s="12" t="s">
        <v>7067</v>
      </c>
      <c r="C2840" s="155">
        <v>131</v>
      </c>
      <c r="D2840" s="55" t="s">
        <v>4285</v>
      </c>
      <c r="E2840" s="90" t="s">
        <v>2809</v>
      </c>
      <c r="G2840" s="55" t="s">
        <v>2810</v>
      </c>
      <c r="H2840" s="55">
        <v>2004</v>
      </c>
      <c r="I2840" s="55">
        <v>2000</v>
      </c>
      <c r="J2840" s="55" t="s">
        <v>2660</v>
      </c>
      <c r="K2840" s="55" t="s">
        <v>2811</v>
      </c>
      <c r="L2840" s="55" t="s">
        <v>2812</v>
      </c>
      <c r="M2840" s="90">
        <f>6+28/60</f>
        <v>6.4666666666666668</v>
      </c>
      <c r="N2840" s="90">
        <f>1+38/60</f>
        <v>1.6333333333333333</v>
      </c>
      <c r="O2840" s="90">
        <v>72</v>
      </c>
      <c r="R2840" s="55">
        <v>968</v>
      </c>
      <c r="U2840" s="55" t="s">
        <v>1805</v>
      </c>
      <c r="V2840" s="55" t="s">
        <v>1805</v>
      </c>
      <c r="Y2840" s="55" t="s">
        <v>2823</v>
      </c>
      <c r="Z2840" s="55" t="s">
        <v>1356</v>
      </c>
      <c r="AA2840" s="90" t="s">
        <v>1680</v>
      </c>
      <c r="AE2840" s="90">
        <v>90</v>
      </c>
      <c r="AF2840" s="90">
        <v>1</v>
      </c>
      <c r="AH2840" s="55" t="s">
        <v>201</v>
      </c>
      <c r="AI2840" s="168">
        <v>5.7</v>
      </c>
      <c r="AM2840" s="55" t="s">
        <v>2813</v>
      </c>
      <c r="AN2840" s="185" t="s">
        <v>2664</v>
      </c>
      <c r="AO2840" s="185" t="s">
        <v>5150</v>
      </c>
      <c r="AQ2840" s="55" t="s">
        <v>553</v>
      </c>
      <c r="AR2840" s="55" t="s">
        <v>1607</v>
      </c>
      <c r="AS2840" s="55" t="s">
        <v>132</v>
      </c>
      <c r="AU2840" s="181" t="s">
        <v>7494</v>
      </c>
      <c r="AV2840" s="185" t="s">
        <v>176</v>
      </c>
      <c r="AX2840" s="185" t="s">
        <v>176</v>
      </c>
      <c r="BE2840" s="226" t="s">
        <v>2818</v>
      </c>
      <c r="BF2840" s="191" t="s">
        <v>479</v>
      </c>
      <c r="BG2840" s="55" t="s">
        <v>479</v>
      </c>
      <c r="BH2840" s="226" t="s">
        <v>2818</v>
      </c>
      <c r="BI2840" s="55" t="s">
        <v>479</v>
      </c>
      <c r="BK2840" s="55" t="s">
        <v>5976</v>
      </c>
      <c r="BM2840" s="192" t="s">
        <v>160</v>
      </c>
      <c r="BN2840" s="55">
        <v>4</v>
      </c>
      <c r="BO2840" s="55">
        <v>4</v>
      </c>
      <c r="BP2840" s="55">
        <v>6</v>
      </c>
      <c r="BQ2840" s="55" t="s">
        <v>141</v>
      </c>
      <c r="CB2840" s="66">
        <v>2639</v>
      </c>
      <c r="CC2840" s="66">
        <v>2789</v>
      </c>
      <c r="GP2840" s="292" t="s">
        <v>7494</v>
      </c>
      <c r="JU2840" s="55" t="s">
        <v>2824</v>
      </c>
    </row>
    <row r="2841" spans="1:281" x14ac:dyDescent="0.25">
      <c r="A2841" s="55">
        <v>2840</v>
      </c>
      <c r="B2841" s="12" t="s">
        <v>7067</v>
      </c>
      <c r="C2841" s="155">
        <v>131</v>
      </c>
      <c r="D2841" s="55" t="s">
        <v>4285</v>
      </c>
      <c r="E2841" s="90" t="s">
        <v>2809</v>
      </c>
      <c r="G2841" s="55" t="s">
        <v>2810</v>
      </c>
      <c r="H2841" s="55">
        <v>2004</v>
      </c>
      <c r="I2841" s="55">
        <v>2000</v>
      </c>
      <c r="J2841" s="55" t="s">
        <v>2660</v>
      </c>
      <c r="K2841" s="55" t="s">
        <v>2811</v>
      </c>
      <c r="L2841" s="55" t="s">
        <v>2812</v>
      </c>
      <c r="M2841" s="90">
        <f>6+28/60</f>
        <v>6.4666666666666668</v>
      </c>
      <c r="N2841" s="90">
        <f>1+38/60</f>
        <v>1.6333333333333333</v>
      </c>
      <c r="O2841" s="90">
        <v>72</v>
      </c>
      <c r="R2841" s="55">
        <v>968</v>
      </c>
      <c r="U2841" s="55" t="s">
        <v>1805</v>
      </c>
      <c r="V2841" s="55" t="s">
        <v>1805</v>
      </c>
      <c r="Y2841" s="55" t="s">
        <v>2823</v>
      </c>
      <c r="Z2841" s="55" t="s">
        <v>1356</v>
      </c>
      <c r="AA2841" s="90" t="s">
        <v>1680</v>
      </c>
      <c r="AE2841" s="90">
        <v>90</v>
      </c>
      <c r="AF2841" s="90">
        <v>1</v>
      </c>
      <c r="AH2841" s="55" t="s">
        <v>201</v>
      </c>
      <c r="AI2841" s="168">
        <v>5.7</v>
      </c>
      <c r="AM2841" s="55" t="s">
        <v>2813</v>
      </c>
      <c r="AN2841" s="185" t="s">
        <v>2664</v>
      </c>
      <c r="AO2841" s="185" t="s">
        <v>5150</v>
      </c>
      <c r="AQ2841" s="55" t="s">
        <v>553</v>
      </c>
      <c r="AR2841" s="55" t="s">
        <v>1607</v>
      </c>
      <c r="AS2841" s="55" t="s">
        <v>132</v>
      </c>
      <c r="AU2841" s="181" t="s">
        <v>7494</v>
      </c>
      <c r="AV2841" s="185" t="s">
        <v>176</v>
      </c>
      <c r="AX2841" s="185" t="s">
        <v>176</v>
      </c>
      <c r="BE2841" s="226" t="s">
        <v>2819</v>
      </c>
      <c r="BF2841" s="191" t="s">
        <v>479</v>
      </c>
      <c r="BG2841" s="55" t="s">
        <v>479</v>
      </c>
      <c r="BH2841" s="226" t="s">
        <v>2819</v>
      </c>
      <c r="BI2841" s="55" t="s">
        <v>479</v>
      </c>
      <c r="BK2841" s="55" t="s">
        <v>5976</v>
      </c>
      <c r="BM2841" s="192" t="s">
        <v>160</v>
      </c>
      <c r="BN2841" s="55">
        <v>4</v>
      </c>
      <c r="BO2841" s="55">
        <v>4</v>
      </c>
      <c r="BP2841" s="55">
        <v>6</v>
      </c>
      <c r="BQ2841" s="55" t="s">
        <v>141</v>
      </c>
      <c r="CB2841" s="66">
        <v>2853</v>
      </c>
      <c r="CC2841" s="66">
        <v>2937</v>
      </c>
      <c r="GP2841" s="292" t="s">
        <v>7494</v>
      </c>
      <c r="JU2841" s="55" t="s">
        <v>2824</v>
      </c>
    </row>
    <row r="2842" spans="1:281" x14ac:dyDescent="0.25">
      <c r="A2842" s="55">
        <v>2841</v>
      </c>
      <c r="B2842" s="12" t="s">
        <v>7067</v>
      </c>
      <c r="C2842" s="155">
        <v>131</v>
      </c>
      <c r="D2842" s="55" t="s">
        <v>4285</v>
      </c>
      <c r="E2842" s="90" t="s">
        <v>2809</v>
      </c>
      <c r="G2842" s="55" t="s">
        <v>2810</v>
      </c>
      <c r="H2842" s="55">
        <v>2004</v>
      </c>
      <c r="I2842" s="55">
        <v>2000</v>
      </c>
      <c r="J2842" s="55" t="s">
        <v>2660</v>
      </c>
      <c r="K2842" s="55" t="s">
        <v>2811</v>
      </c>
      <c r="L2842" s="55" t="s">
        <v>2812</v>
      </c>
      <c r="M2842" s="90">
        <f>6+28/60</f>
        <v>6.4666666666666668</v>
      </c>
      <c r="N2842" s="90">
        <f>1+38/60</f>
        <v>1.6333333333333333</v>
      </c>
      <c r="O2842" s="90">
        <v>72</v>
      </c>
      <c r="R2842" s="55">
        <v>968</v>
      </c>
      <c r="U2842" s="55" t="s">
        <v>1805</v>
      </c>
      <c r="V2842" s="55" t="s">
        <v>1805</v>
      </c>
      <c r="Y2842" s="55" t="s">
        <v>2823</v>
      </c>
      <c r="Z2842" s="55" t="s">
        <v>1356</v>
      </c>
      <c r="AA2842" s="90" t="s">
        <v>1680</v>
      </c>
      <c r="AE2842" s="90">
        <v>90</v>
      </c>
      <c r="AF2842" s="90">
        <v>1</v>
      </c>
      <c r="AH2842" s="55" t="s">
        <v>201</v>
      </c>
      <c r="AI2842" s="168">
        <v>5.7</v>
      </c>
      <c r="AM2842" s="55" t="s">
        <v>2813</v>
      </c>
      <c r="AN2842" s="185" t="s">
        <v>2664</v>
      </c>
      <c r="AO2842" s="185" t="s">
        <v>5150</v>
      </c>
      <c r="AQ2842" s="55" t="s">
        <v>553</v>
      </c>
      <c r="AR2842" s="55" t="s">
        <v>1607</v>
      </c>
      <c r="AS2842" s="55" t="s">
        <v>132</v>
      </c>
      <c r="AU2842" s="181" t="s">
        <v>7494</v>
      </c>
      <c r="AV2842" s="185" t="s">
        <v>176</v>
      </c>
      <c r="AX2842" s="185" t="s">
        <v>176</v>
      </c>
      <c r="BE2842" s="226" t="s">
        <v>2820</v>
      </c>
      <c r="BF2842" s="191" t="s">
        <v>176</v>
      </c>
      <c r="BG2842" s="55" t="s">
        <v>479</v>
      </c>
      <c r="BH2842" s="226" t="s">
        <v>2820</v>
      </c>
      <c r="BI2842" s="55" t="s">
        <v>479</v>
      </c>
      <c r="BK2842" s="55" t="s">
        <v>5976</v>
      </c>
      <c r="BM2842" s="192" t="s">
        <v>160</v>
      </c>
      <c r="BN2842" s="55">
        <v>4</v>
      </c>
      <c r="BO2842" s="55">
        <v>4</v>
      </c>
      <c r="BP2842" s="55">
        <v>6</v>
      </c>
      <c r="BQ2842" s="55" t="s">
        <v>141</v>
      </c>
      <c r="CB2842" s="66">
        <v>1434</v>
      </c>
      <c r="CC2842" s="66">
        <v>2081</v>
      </c>
      <c r="GP2842" s="292" t="s">
        <v>7494</v>
      </c>
      <c r="JU2842" s="55" t="s">
        <v>2824</v>
      </c>
    </row>
    <row r="2843" spans="1:281" x14ac:dyDescent="0.25">
      <c r="A2843" s="55">
        <v>2842</v>
      </c>
      <c r="B2843" s="12" t="s">
        <v>7067</v>
      </c>
      <c r="C2843" s="155">
        <v>131</v>
      </c>
      <c r="D2843" s="55" t="s">
        <v>4285</v>
      </c>
      <c r="E2843" s="90" t="s">
        <v>2809</v>
      </c>
      <c r="G2843" s="55" t="s">
        <v>2810</v>
      </c>
      <c r="H2843" s="55">
        <v>2004</v>
      </c>
      <c r="I2843" s="55">
        <v>2000</v>
      </c>
      <c r="J2843" s="55" t="s">
        <v>2660</v>
      </c>
      <c r="K2843" s="55" t="s">
        <v>2811</v>
      </c>
      <c r="L2843" s="55" t="s">
        <v>2812</v>
      </c>
      <c r="M2843" s="90">
        <f>6+28/60</f>
        <v>6.4666666666666668</v>
      </c>
      <c r="N2843" s="90">
        <f>1+38/60</f>
        <v>1.6333333333333333</v>
      </c>
      <c r="O2843" s="90">
        <v>72</v>
      </c>
      <c r="R2843" s="55">
        <v>968</v>
      </c>
      <c r="U2843" s="55" t="s">
        <v>1805</v>
      </c>
      <c r="V2843" s="55" t="s">
        <v>1805</v>
      </c>
      <c r="Y2843" s="55" t="s">
        <v>2823</v>
      </c>
      <c r="Z2843" s="55" t="s">
        <v>1356</v>
      </c>
      <c r="AA2843" s="90" t="s">
        <v>1680</v>
      </c>
      <c r="AE2843" s="90">
        <v>90</v>
      </c>
      <c r="AF2843" s="90">
        <v>1</v>
      </c>
      <c r="AH2843" s="55" t="s">
        <v>201</v>
      </c>
      <c r="AI2843" s="168">
        <v>5.7</v>
      </c>
      <c r="AM2843" s="55" t="s">
        <v>2813</v>
      </c>
      <c r="AN2843" s="185" t="s">
        <v>2664</v>
      </c>
      <c r="AO2843" s="185" t="s">
        <v>5150</v>
      </c>
      <c r="AQ2843" s="55" t="s">
        <v>553</v>
      </c>
      <c r="AR2843" s="55" t="s">
        <v>1607</v>
      </c>
      <c r="AS2843" s="55" t="s">
        <v>132</v>
      </c>
      <c r="AU2843" s="181" t="s">
        <v>7494</v>
      </c>
      <c r="AV2843" s="185" t="s">
        <v>176</v>
      </c>
      <c r="AX2843" s="185" t="s">
        <v>176</v>
      </c>
      <c r="BE2843" s="226" t="s">
        <v>2821</v>
      </c>
      <c r="BF2843" s="191" t="s">
        <v>479</v>
      </c>
      <c r="BG2843" s="55" t="s">
        <v>479</v>
      </c>
      <c r="BH2843" s="226" t="s">
        <v>2821</v>
      </c>
      <c r="BI2843" s="55" t="s">
        <v>479</v>
      </c>
      <c r="BK2843" s="55" t="s">
        <v>5976</v>
      </c>
      <c r="BM2843" s="192" t="s">
        <v>160</v>
      </c>
      <c r="BN2843" s="55">
        <v>4</v>
      </c>
      <c r="BO2843" s="55">
        <v>4</v>
      </c>
      <c r="BP2843" s="55">
        <v>6</v>
      </c>
      <c r="BQ2843" s="55" t="s">
        <v>141</v>
      </c>
      <c r="CB2843" s="66">
        <v>2220</v>
      </c>
      <c r="CC2843" s="66">
        <v>2830</v>
      </c>
      <c r="GP2843" s="292" t="s">
        <v>7494</v>
      </c>
      <c r="JU2843" s="55" t="s">
        <v>2824</v>
      </c>
    </row>
    <row r="2844" spans="1:281" x14ac:dyDescent="0.25">
      <c r="A2844" s="55">
        <v>2843</v>
      </c>
      <c r="B2844" s="12" t="s">
        <v>7067</v>
      </c>
      <c r="C2844" s="155">
        <v>131</v>
      </c>
      <c r="D2844" s="55" t="s">
        <v>4285</v>
      </c>
      <c r="E2844" s="90" t="s">
        <v>2809</v>
      </c>
      <c r="G2844" s="55" t="s">
        <v>2810</v>
      </c>
      <c r="H2844" s="55">
        <v>2004</v>
      </c>
      <c r="I2844" s="55">
        <v>2000</v>
      </c>
      <c r="J2844" s="55" t="s">
        <v>2660</v>
      </c>
      <c r="K2844" s="55" t="s">
        <v>2811</v>
      </c>
      <c r="L2844" s="55" t="s">
        <v>2812</v>
      </c>
      <c r="M2844" s="90">
        <f>6+28/60</f>
        <v>6.4666666666666668</v>
      </c>
      <c r="N2844" s="90">
        <f>1+38/60</f>
        <v>1.6333333333333333</v>
      </c>
      <c r="O2844" s="90">
        <v>72</v>
      </c>
      <c r="R2844" s="55">
        <v>968</v>
      </c>
      <c r="U2844" s="55" t="s">
        <v>1805</v>
      </c>
      <c r="V2844" s="55" t="s">
        <v>1805</v>
      </c>
      <c r="Y2844" s="55" t="s">
        <v>2823</v>
      </c>
      <c r="Z2844" s="55" t="s">
        <v>1356</v>
      </c>
      <c r="AA2844" s="90" t="s">
        <v>1680</v>
      </c>
      <c r="AE2844" s="90">
        <v>90</v>
      </c>
      <c r="AF2844" s="90">
        <v>1</v>
      </c>
      <c r="AH2844" s="55" t="s">
        <v>201</v>
      </c>
      <c r="AI2844" s="168">
        <v>5.7</v>
      </c>
      <c r="AM2844" s="55" t="s">
        <v>2813</v>
      </c>
      <c r="AN2844" s="185" t="s">
        <v>2664</v>
      </c>
      <c r="AO2844" s="185" t="s">
        <v>5150</v>
      </c>
      <c r="AQ2844" s="55" t="s">
        <v>553</v>
      </c>
      <c r="AR2844" s="55" t="s">
        <v>1607</v>
      </c>
      <c r="AS2844" s="55" t="s">
        <v>132</v>
      </c>
      <c r="AU2844" s="181" t="s">
        <v>7494</v>
      </c>
      <c r="AV2844" s="185" t="s">
        <v>176</v>
      </c>
      <c r="AX2844" s="185" t="s">
        <v>176</v>
      </c>
      <c r="BE2844" s="226" t="s">
        <v>2822</v>
      </c>
      <c r="BF2844" s="191" t="s">
        <v>479</v>
      </c>
      <c r="BG2844" s="55" t="s">
        <v>479</v>
      </c>
      <c r="BH2844" s="226" t="s">
        <v>2822</v>
      </c>
      <c r="BI2844" s="55" t="s">
        <v>479</v>
      </c>
      <c r="BK2844" s="55" t="s">
        <v>5976</v>
      </c>
      <c r="BM2844" s="192" t="s">
        <v>160</v>
      </c>
      <c r="BN2844" s="55">
        <v>4</v>
      </c>
      <c r="BO2844" s="55">
        <v>4</v>
      </c>
      <c r="BP2844" s="55">
        <v>6</v>
      </c>
      <c r="BQ2844" s="55" t="s">
        <v>141</v>
      </c>
      <c r="CB2844" s="66">
        <v>2678</v>
      </c>
      <c r="CC2844" s="66">
        <v>2875</v>
      </c>
      <c r="GP2844" s="292" t="s">
        <v>7494</v>
      </c>
      <c r="JU2844" s="55" t="s">
        <v>2824</v>
      </c>
    </row>
    <row r="2845" spans="1:281" x14ac:dyDescent="0.25">
      <c r="A2845" s="55">
        <v>2844</v>
      </c>
      <c r="B2845" s="12" t="s">
        <v>7067</v>
      </c>
      <c r="C2845" s="155">
        <v>132</v>
      </c>
      <c r="D2845" s="55" t="s">
        <v>4286</v>
      </c>
      <c r="E2845" s="90" t="s">
        <v>2826</v>
      </c>
      <c r="G2845" s="55" t="s">
        <v>2825</v>
      </c>
      <c r="H2845" s="55">
        <v>2004</v>
      </c>
      <c r="I2845" s="55">
        <v>1999</v>
      </c>
      <c r="J2845" s="55" t="s">
        <v>2619</v>
      </c>
      <c r="K2845" s="55" t="s">
        <v>2827</v>
      </c>
      <c r="L2845" s="55" t="s">
        <v>2744</v>
      </c>
      <c r="M2845" s="90">
        <f>10+24/60</f>
        <v>10.4</v>
      </c>
      <c r="N2845" s="90">
        <f>7+42/60</f>
        <v>7.7</v>
      </c>
      <c r="O2845" s="90">
        <v>656</v>
      </c>
      <c r="R2845" s="55">
        <v>1054</v>
      </c>
      <c r="S2845" s="90">
        <v>1350</v>
      </c>
      <c r="U2845" s="55" t="s">
        <v>1935</v>
      </c>
      <c r="V2845" s="55" t="s">
        <v>1688</v>
      </c>
      <c r="Y2845" s="55" t="s">
        <v>1923</v>
      </c>
      <c r="Z2845" s="55" t="s">
        <v>1346</v>
      </c>
      <c r="AA2845" s="90" t="s">
        <v>1675</v>
      </c>
      <c r="AH2845" s="55" t="s">
        <v>238</v>
      </c>
      <c r="AI2845" s="168">
        <v>5.84</v>
      </c>
      <c r="AJ2845" s="90">
        <v>0.56999999999999995</v>
      </c>
      <c r="AN2845" s="185" t="s">
        <v>158</v>
      </c>
      <c r="AO2845" s="185" t="s">
        <v>5150</v>
      </c>
      <c r="AQ2845" s="55" t="s">
        <v>553</v>
      </c>
      <c r="AR2845" s="55" t="s">
        <v>1607</v>
      </c>
      <c r="AS2845" s="55" t="s">
        <v>132</v>
      </c>
      <c r="AU2845" s="181" t="s">
        <v>7494</v>
      </c>
      <c r="AV2845" s="185" t="s">
        <v>176</v>
      </c>
      <c r="AX2845" s="185" t="s">
        <v>176</v>
      </c>
      <c r="BK2845" s="55" t="s">
        <v>5976</v>
      </c>
      <c r="BM2845" s="192" t="s">
        <v>119</v>
      </c>
      <c r="BN2845" s="55">
        <v>5</v>
      </c>
      <c r="BO2845" s="55">
        <v>5</v>
      </c>
      <c r="BQ2845" s="55" t="s">
        <v>141</v>
      </c>
      <c r="BS2845" s="55">
        <v>900</v>
      </c>
      <c r="CB2845" s="66">
        <v>140</v>
      </c>
      <c r="CC2845" s="66">
        <v>90</v>
      </c>
      <c r="GP2845" s="292" t="s">
        <v>7494</v>
      </c>
    </row>
    <row r="2846" spans="1:281" x14ac:dyDescent="0.25">
      <c r="A2846" s="55">
        <v>2845</v>
      </c>
      <c r="B2846" s="12" t="s">
        <v>7067</v>
      </c>
      <c r="C2846" s="155">
        <v>132</v>
      </c>
      <c r="D2846" s="55" t="s">
        <v>4286</v>
      </c>
      <c r="E2846" s="90" t="s">
        <v>2826</v>
      </c>
      <c r="G2846" s="55" t="s">
        <v>2825</v>
      </c>
      <c r="H2846" s="55">
        <v>2004</v>
      </c>
      <c r="I2846" s="55">
        <v>1999</v>
      </c>
      <c r="J2846" s="55" t="s">
        <v>2619</v>
      </c>
      <c r="K2846" s="55" t="s">
        <v>2827</v>
      </c>
      <c r="L2846" s="55" t="s">
        <v>2744</v>
      </c>
      <c r="M2846" s="90">
        <f>10+24/60</f>
        <v>10.4</v>
      </c>
      <c r="N2846" s="90">
        <f>7+42/60</f>
        <v>7.7</v>
      </c>
      <c r="O2846" s="90">
        <v>656</v>
      </c>
      <c r="R2846" s="55">
        <v>1054</v>
      </c>
      <c r="S2846" s="90">
        <v>1350</v>
      </c>
      <c r="U2846" s="55" t="s">
        <v>1935</v>
      </c>
      <c r="V2846" s="55" t="s">
        <v>1688</v>
      </c>
      <c r="Y2846" s="55" t="s">
        <v>1923</v>
      </c>
      <c r="Z2846" s="55" t="s">
        <v>1346</v>
      </c>
      <c r="AA2846" s="90" t="s">
        <v>1675</v>
      </c>
      <c r="AH2846" s="55" t="s">
        <v>238</v>
      </c>
      <c r="AI2846" s="168">
        <v>5.84</v>
      </c>
      <c r="AJ2846" s="90">
        <v>0.56999999999999995</v>
      </c>
      <c r="AN2846" s="185" t="s">
        <v>2282</v>
      </c>
      <c r="AO2846" s="185" t="s">
        <v>5150</v>
      </c>
      <c r="AQ2846" s="55" t="s">
        <v>553</v>
      </c>
      <c r="AR2846" s="55" t="s">
        <v>1607</v>
      </c>
      <c r="AS2846" s="55" t="s">
        <v>132</v>
      </c>
      <c r="AU2846" s="181" t="s">
        <v>7494</v>
      </c>
      <c r="AV2846" s="185" t="s">
        <v>176</v>
      </c>
      <c r="AX2846" s="185" t="s">
        <v>176</v>
      </c>
      <c r="BK2846" s="55" t="s">
        <v>5976</v>
      </c>
      <c r="BM2846" s="192" t="s">
        <v>119</v>
      </c>
      <c r="BN2846" s="55">
        <v>5</v>
      </c>
      <c r="BO2846" s="55">
        <v>5</v>
      </c>
      <c r="BQ2846" s="55" t="s">
        <v>141</v>
      </c>
      <c r="BS2846" s="55">
        <v>730</v>
      </c>
      <c r="CB2846" s="66">
        <v>140</v>
      </c>
      <c r="CC2846" s="66">
        <v>350</v>
      </c>
      <c r="GP2846" s="292" t="s">
        <v>7494</v>
      </c>
    </row>
    <row r="2847" spans="1:281" x14ac:dyDescent="0.25">
      <c r="A2847" s="55">
        <v>2846</v>
      </c>
      <c r="B2847" s="12" t="s">
        <v>7067</v>
      </c>
      <c r="C2847" s="155">
        <v>132</v>
      </c>
      <c r="D2847" s="55" t="s">
        <v>4286</v>
      </c>
      <c r="E2847" s="90" t="s">
        <v>2826</v>
      </c>
      <c r="G2847" s="55" t="s">
        <v>2825</v>
      </c>
      <c r="H2847" s="55">
        <v>2004</v>
      </c>
      <c r="I2847" s="55">
        <v>1999</v>
      </c>
      <c r="J2847" s="55" t="s">
        <v>2619</v>
      </c>
      <c r="K2847" s="55" t="s">
        <v>2827</v>
      </c>
      <c r="L2847" s="55" t="s">
        <v>2744</v>
      </c>
      <c r="M2847" s="90">
        <f>10+24/60</f>
        <v>10.4</v>
      </c>
      <c r="N2847" s="90">
        <f>7+42/60</f>
        <v>7.7</v>
      </c>
      <c r="O2847" s="90">
        <v>656</v>
      </c>
      <c r="R2847" s="55">
        <v>1054</v>
      </c>
      <c r="S2847" s="90">
        <v>1350</v>
      </c>
      <c r="U2847" s="55" t="s">
        <v>1935</v>
      </c>
      <c r="V2847" s="55" t="s">
        <v>1688</v>
      </c>
      <c r="Y2847" s="55" t="s">
        <v>1923</v>
      </c>
      <c r="Z2847" s="55" t="s">
        <v>1346</v>
      </c>
      <c r="AA2847" s="90" t="s">
        <v>1675</v>
      </c>
      <c r="AH2847" s="55" t="s">
        <v>238</v>
      </c>
      <c r="AI2847" s="168">
        <v>5.84</v>
      </c>
      <c r="AJ2847" s="90">
        <v>0.56999999999999995</v>
      </c>
      <c r="AN2847" s="185" t="s">
        <v>2828</v>
      </c>
      <c r="AO2847" s="185" t="s">
        <v>5150</v>
      </c>
      <c r="AQ2847" s="55" t="s">
        <v>553</v>
      </c>
      <c r="AR2847" s="55" t="s">
        <v>1607</v>
      </c>
      <c r="AS2847" s="55" t="s">
        <v>132</v>
      </c>
      <c r="AU2847" s="181" t="s">
        <v>7494</v>
      </c>
      <c r="AV2847" s="185" t="s">
        <v>176</v>
      </c>
      <c r="AX2847" s="185" t="s">
        <v>176</v>
      </c>
      <c r="BK2847" s="55" t="s">
        <v>5976</v>
      </c>
      <c r="BM2847" s="192" t="s">
        <v>119</v>
      </c>
      <c r="BN2847" s="55">
        <v>5</v>
      </c>
      <c r="BO2847" s="55">
        <v>5</v>
      </c>
      <c r="BQ2847" s="55" t="s">
        <v>141</v>
      </c>
      <c r="BS2847" s="55">
        <v>980</v>
      </c>
      <c r="CB2847" s="66">
        <v>140</v>
      </c>
      <c r="CC2847" s="66">
        <v>530</v>
      </c>
      <c r="GP2847" s="292" t="s">
        <v>7494</v>
      </c>
    </row>
    <row r="2848" spans="1:281" x14ac:dyDescent="0.25">
      <c r="A2848" s="55">
        <v>2847</v>
      </c>
      <c r="B2848" s="12" t="s">
        <v>7067</v>
      </c>
      <c r="C2848" s="155">
        <v>132</v>
      </c>
      <c r="D2848" s="55" t="s">
        <v>4286</v>
      </c>
      <c r="E2848" s="90" t="s">
        <v>2826</v>
      </c>
      <c r="G2848" s="55" t="s">
        <v>2825</v>
      </c>
      <c r="H2848" s="55">
        <v>2004</v>
      </c>
      <c r="I2848" s="55">
        <v>1999</v>
      </c>
      <c r="J2848" s="55" t="s">
        <v>2619</v>
      </c>
      <c r="K2848" s="55" t="s">
        <v>2827</v>
      </c>
      <c r="L2848" s="55" t="s">
        <v>2744</v>
      </c>
      <c r="M2848" s="90">
        <f>10+24/60</f>
        <v>10.4</v>
      </c>
      <c r="N2848" s="90">
        <f>7+42/60</f>
        <v>7.7</v>
      </c>
      <c r="O2848" s="90">
        <v>656</v>
      </c>
      <c r="R2848" s="55">
        <v>1054</v>
      </c>
      <c r="S2848" s="90">
        <v>1350</v>
      </c>
      <c r="U2848" s="55" t="s">
        <v>1935</v>
      </c>
      <c r="V2848" s="55" t="s">
        <v>1688</v>
      </c>
      <c r="Y2848" s="55" t="s">
        <v>1923</v>
      </c>
      <c r="Z2848" s="55" t="s">
        <v>1346</v>
      </c>
      <c r="AA2848" s="90" t="s">
        <v>1675</v>
      </c>
      <c r="AH2848" s="55" t="s">
        <v>238</v>
      </c>
      <c r="AI2848" s="168">
        <v>5.84</v>
      </c>
      <c r="AJ2848" s="90">
        <v>0.56999999999999995</v>
      </c>
      <c r="AN2848" s="185" t="s">
        <v>2664</v>
      </c>
      <c r="AO2848" s="185" t="s">
        <v>5150</v>
      </c>
      <c r="AQ2848" s="55" t="s">
        <v>553</v>
      </c>
      <c r="AR2848" s="55" t="s">
        <v>1607</v>
      </c>
      <c r="AS2848" s="55" t="s">
        <v>132</v>
      </c>
      <c r="AU2848" s="181" t="s">
        <v>7494</v>
      </c>
      <c r="AV2848" s="185" t="s">
        <v>176</v>
      </c>
      <c r="AX2848" s="185" t="s">
        <v>176</v>
      </c>
      <c r="BK2848" s="55" t="s">
        <v>5976</v>
      </c>
      <c r="BM2848" s="192" t="s">
        <v>119</v>
      </c>
      <c r="BN2848" s="55">
        <v>5</v>
      </c>
      <c r="BO2848" s="55">
        <v>5</v>
      </c>
      <c r="BQ2848" s="55" t="s">
        <v>141</v>
      </c>
      <c r="CB2848" s="66">
        <v>140</v>
      </c>
      <c r="CC2848" s="66">
        <v>450</v>
      </c>
      <c r="GP2848" s="292" t="s">
        <v>7494</v>
      </c>
    </row>
    <row r="2849" spans="1:201" x14ac:dyDescent="0.25">
      <c r="A2849" s="55">
        <v>2848</v>
      </c>
      <c r="B2849" s="12" t="s">
        <v>7067</v>
      </c>
      <c r="C2849" s="155">
        <v>132</v>
      </c>
      <c r="D2849" s="55" t="s">
        <v>4286</v>
      </c>
      <c r="E2849" s="90" t="s">
        <v>2826</v>
      </c>
      <c r="G2849" s="55" t="s">
        <v>2825</v>
      </c>
      <c r="H2849" s="55">
        <v>2004</v>
      </c>
      <c r="I2849" s="55">
        <v>2000</v>
      </c>
      <c r="J2849" s="55" t="s">
        <v>2619</v>
      </c>
      <c r="K2849" s="55" t="s">
        <v>2827</v>
      </c>
      <c r="L2849" s="55" t="s">
        <v>2744</v>
      </c>
      <c r="M2849" s="90">
        <f>10+24/60</f>
        <v>10.4</v>
      </c>
      <c r="N2849" s="90">
        <f>7+42/60</f>
        <v>7.7</v>
      </c>
      <c r="O2849" s="90">
        <v>656</v>
      </c>
      <c r="R2849" s="55">
        <v>1647</v>
      </c>
      <c r="S2849" s="90">
        <v>1350</v>
      </c>
      <c r="U2849" s="55" t="s">
        <v>1805</v>
      </c>
      <c r="V2849" s="55" t="s">
        <v>1688</v>
      </c>
      <c r="Y2849" s="55" t="s">
        <v>1923</v>
      </c>
      <c r="Z2849" s="55" t="s">
        <v>1346</v>
      </c>
      <c r="AA2849" s="90" t="s">
        <v>1675</v>
      </c>
      <c r="AH2849" s="55" t="s">
        <v>238</v>
      </c>
      <c r="AI2849" s="168">
        <v>5.84</v>
      </c>
      <c r="AJ2849" s="90">
        <v>0.56999999999999995</v>
      </c>
      <c r="AN2849" s="185" t="s">
        <v>2282</v>
      </c>
      <c r="AO2849" s="185" t="s">
        <v>5150</v>
      </c>
      <c r="AQ2849" s="55" t="s">
        <v>553</v>
      </c>
      <c r="AR2849" s="55" t="s">
        <v>1607</v>
      </c>
      <c r="AS2849" s="55" t="s">
        <v>132</v>
      </c>
      <c r="AU2849" s="181" t="s">
        <v>7494</v>
      </c>
      <c r="AV2849" s="185" t="s">
        <v>176</v>
      </c>
      <c r="AX2849" s="185" t="s">
        <v>176</v>
      </c>
      <c r="BK2849" s="55" t="s">
        <v>5976</v>
      </c>
      <c r="BM2849" s="192" t="s">
        <v>119</v>
      </c>
      <c r="BN2849" s="55">
        <v>5</v>
      </c>
      <c r="BO2849" s="55">
        <v>5</v>
      </c>
      <c r="BQ2849" s="55" t="s">
        <v>141</v>
      </c>
      <c r="BS2849" s="55">
        <v>860</v>
      </c>
      <c r="CB2849" s="66">
        <v>20</v>
      </c>
      <c r="CC2849" s="66">
        <v>300</v>
      </c>
      <c r="GP2849" s="292" t="s">
        <v>7494</v>
      </c>
    </row>
    <row r="2850" spans="1:201" x14ac:dyDescent="0.25">
      <c r="A2850" s="55">
        <v>2849</v>
      </c>
      <c r="B2850" s="12" t="s">
        <v>7067</v>
      </c>
      <c r="C2850" s="155">
        <v>132</v>
      </c>
      <c r="D2850" s="55" t="s">
        <v>4286</v>
      </c>
      <c r="E2850" s="90" t="s">
        <v>2826</v>
      </c>
      <c r="G2850" s="55" t="s">
        <v>2825</v>
      </c>
      <c r="H2850" s="55">
        <v>2004</v>
      </c>
      <c r="I2850" s="55">
        <v>2000</v>
      </c>
      <c r="J2850" s="55" t="s">
        <v>2619</v>
      </c>
      <c r="K2850" s="55" t="s">
        <v>2827</v>
      </c>
      <c r="L2850" s="55" t="s">
        <v>2744</v>
      </c>
      <c r="M2850" s="90">
        <f>10+24/60</f>
        <v>10.4</v>
      </c>
      <c r="N2850" s="90">
        <f>7+42/60</f>
        <v>7.7</v>
      </c>
      <c r="O2850" s="90">
        <v>656</v>
      </c>
      <c r="R2850" s="55">
        <v>1647</v>
      </c>
      <c r="S2850" s="90">
        <v>1350</v>
      </c>
      <c r="U2850" s="55" t="s">
        <v>1805</v>
      </c>
      <c r="V2850" s="55" t="s">
        <v>1688</v>
      </c>
      <c r="Y2850" s="55" t="s">
        <v>1923</v>
      </c>
      <c r="Z2850" s="55" t="s">
        <v>1346</v>
      </c>
      <c r="AA2850" s="90" t="s">
        <v>1675</v>
      </c>
      <c r="AH2850" s="55" t="s">
        <v>238</v>
      </c>
      <c r="AI2850" s="168">
        <v>5.84</v>
      </c>
      <c r="AJ2850" s="90">
        <v>0.56999999999999995</v>
      </c>
      <c r="AN2850" s="185" t="s">
        <v>2828</v>
      </c>
      <c r="AO2850" s="185" t="s">
        <v>5150</v>
      </c>
      <c r="AQ2850" s="55" t="s">
        <v>553</v>
      </c>
      <c r="AR2850" s="55" t="s">
        <v>1607</v>
      </c>
      <c r="AS2850" s="55" t="s">
        <v>132</v>
      </c>
      <c r="AU2850" s="181" t="s">
        <v>7494</v>
      </c>
      <c r="AV2850" s="185" t="s">
        <v>176</v>
      </c>
      <c r="AX2850" s="185" t="s">
        <v>176</v>
      </c>
      <c r="BK2850" s="55" t="s">
        <v>5976</v>
      </c>
      <c r="BM2850" s="192" t="s">
        <v>119</v>
      </c>
      <c r="BN2850" s="55">
        <v>5</v>
      </c>
      <c r="BO2850" s="55">
        <v>5</v>
      </c>
      <c r="BQ2850" s="55" t="s">
        <v>141</v>
      </c>
      <c r="BS2850" s="55">
        <v>880</v>
      </c>
      <c r="CB2850" s="66">
        <v>20</v>
      </c>
      <c r="CC2850" s="66">
        <v>90</v>
      </c>
      <c r="GP2850" s="292" t="s">
        <v>7494</v>
      </c>
    </row>
    <row r="2851" spans="1:201" x14ac:dyDescent="0.25">
      <c r="A2851" s="55">
        <v>2850</v>
      </c>
      <c r="B2851" s="12" t="s">
        <v>7067</v>
      </c>
      <c r="C2851" s="155">
        <v>132</v>
      </c>
      <c r="D2851" s="55" t="s">
        <v>4286</v>
      </c>
      <c r="E2851" s="90" t="s">
        <v>2826</v>
      </c>
      <c r="G2851" s="55" t="s">
        <v>2825</v>
      </c>
      <c r="H2851" s="55">
        <v>2004</v>
      </c>
      <c r="I2851" s="55">
        <v>2000</v>
      </c>
      <c r="J2851" s="55" t="s">
        <v>2619</v>
      </c>
      <c r="K2851" s="55" t="s">
        <v>2827</v>
      </c>
      <c r="L2851" s="55" t="s">
        <v>2744</v>
      </c>
      <c r="M2851" s="90">
        <f>10+24/60</f>
        <v>10.4</v>
      </c>
      <c r="N2851" s="90">
        <f>7+42/60</f>
        <v>7.7</v>
      </c>
      <c r="O2851" s="90">
        <v>656</v>
      </c>
      <c r="R2851" s="55">
        <v>1647</v>
      </c>
      <c r="S2851" s="90">
        <v>1350</v>
      </c>
      <c r="U2851" s="55" t="s">
        <v>1805</v>
      </c>
      <c r="V2851" s="55" t="s">
        <v>1688</v>
      </c>
      <c r="Y2851" s="55" t="s">
        <v>1923</v>
      </c>
      <c r="Z2851" s="55" t="s">
        <v>1346</v>
      </c>
      <c r="AA2851" s="90" t="s">
        <v>1675</v>
      </c>
      <c r="AH2851" s="55" t="s">
        <v>238</v>
      </c>
      <c r="AI2851" s="168">
        <v>5.84</v>
      </c>
      <c r="AJ2851" s="90">
        <v>0.56999999999999995</v>
      </c>
      <c r="AN2851" s="185" t="s">
        <v>2664</v>
      </c>
      <c r="AO2851" s="185" t="s">
        <v>5150</v>
      </c>
      <c r="AQ2851" s="55" t="s">
        <v>553</v>
      </c>
      <c r="AR2851" s="55" t="s">
        <v>1607</v>
      </c>
      <c r="AS2851" s="55" t="s">
        <v>132</v>
      </c>
      <c r="AU2851" s="181" t="s">
        <v>7494</v>
      </c>
      <c r="AV2851" s="185" t="s">
        <v>176</v>
      </c>
      <c r="AX2851" s="185" t="s">
        <v>176</v>
      </c>
      <c r="BK2851" s="55" t="s">
        <v>5976</v>
      </c>
      <c r="BM2851" s="192" t="s">
        <v>119</v>
      </c>
      <c r="BN2851" s="55">
        <v>5</v>
      </c>
      <c r="BO2851" s="55">
        <v>5</v>
      </c>
      <c r="BQ2851" s="55" t="s">
        <v>141</v>
      </c>
      <c r="CB2851" s="66">
        <v>20</v>
      </c>
      <c r="CC2851" s="66">
        <v>30</v>
      </c>
      <c r="GP2851" s="292" t="s">
        <v>7494</v>
      </c>
    </row>
    <row r="2852" spans="1:201" x14ac:dyDescent="0.25">
      <c r="A2852" s="55">
        <v>2851</v>
      </c>
      <c r="B2852" s="12" t="s">
        <v>7067</v>
      </c>
      <c r="C2852" s="155">
        <v>132</v>
      </c>
      <c r="D2852" s="55" t="s">
        <v>4286</v>
      </c>
      <c r="E2852" s="90" t="s">
        <v>2826</v>
      </c>
      <c r="G2852" s="55" t="s">
        <v>2825</v>
      </c>
      <c r="H2852" s="55">
        <v>2004</v>
      </c>
      <c r="I2852" s="55">
        <v>2001</v>
      </c>
      <c r="J2852" s="55" t="s">
        <v>2619</v>
      </c>
      <c r="K2852" s="55" t="s">
        <v>2827</v>
      </c>
      <c r="L2852" s="55" t="s">
        <v>2744</v>
      </c>
      <c r="M2852" s="90">
        <f>10+24/60</f>
        <v>10.4</v>
      </c>
      <c r="N2852" s="90">
        <f>7+42/60</f>
        <v>7.7</v>
      </c>
      <c r="O2852" s="90">
        <v>656</v>
      </c>
      <c r="R2852" s="55">
        <v>1443</v>
      </c>
      <c r="S2852" s="90">
        <v>1350</v>
      </c>
      <c r="U2852" s="55" t="s">
        <v>1688</v>
      </c>
      <c r="V2852" s="55" t="s">
        <v>1688</v>
      </c>
      <c r="Y2852" s="55" t="s">
        <v>1923</v>
      </c>
      <c r="Z2852" s="55" t="s">
        <v>1346</v>
      </c>
      <c r="AA2852" s="90" t="s">
        <v>1675</v>
      </c>
      <c r="AH2852" s="55" t="s">
        <v>238</v>
      </c>
      <c r="AI2852" s="168">
        <v>5.84</v>
      </c>
      <c r="AJ2852" s="90">
        <v>0.56999999999999995</v>
      </c>
      <c r="AN2852" s="185" t="s">
        <v>2282</v>
      </c>
      <c r="AO2852" s="185" t="s">
        <v>5150</v>
      </c>
      <c r="AQ2852" s="55" t="s">
        <v>553</v>
      </c>
      <c r="AR2852" s="55" t="s">
        <v>1607</v>
      </c>
      <c r="AS2852" s="55" t="s">
        <v>132</v>
      </c>
      <c r="AU2852" s="181" t="s">
        <v>7494</v>
      </c>
      <c r="AV2852" s="185" t="s">
        <v>176</v>
      </c>
      <c r="AX2852" s="185" t="s">
        <v>176</v>
      </c>
      <c r="BK2852" s="55" t="s">
        <v>5976</v>
      </c>
      <c r="BM2852" s="192" t="s">
        <v>119</v>
      </c>
      <c r="BN2852" s="55">
        <v>5</v>
      </c>
      <c r="BO2852" s="55">
        <v>5</v>
      </c>
      <c r="BQ2852" s="55" t="s">
        <v>141</v>
      </c>
      <c r="BS2852" s="55">
        <v>670</v>
      </c>
      <c r="CB2852" s="66">
        <v>190</v>
      </c>
      <c r="CC2852" s="66">
        <v>300</v>
      </c>
      <c r="GP2852" s="292" t="s">
        <v>7494</v>
      </c>
    </row>
    <row r="2853" spans="1:201" x14ac:dyDescent="0.25">
      <c r="A2853" s="55">
        <v>2852</v>
      </c>
      <c r="B2853" s="12" t="s">
        <v>7067</v>
      </c>
      <c r="C2853" s="155">
        <v>132</v>
      </c>
      <c r="D2853" s="55" t="s">
        <v>4286</v>
      </c>
      <c r="E2853" s="90" t="s">
        <v>2826</v>
      </c>
      <c r="G2853" s="55" t="s">
        <v>2825</v>
      </c>
      <c r="H2853" s="55">
        <v>2004</v>
      </c>
      <c r="I2853" s="55">
        <v>2001</v>
      </c>
      <c r="J2853" s="55" t="s">
        <v>2619</v>
      </c>
      <c r="K2853" s="55" t="s">
        <v>2827</v>
      </c>
      <c r="L2853" s="55" t="s">
        <v>2744</v>
      </c>
      <c r="M2853" s="90">
        <f>10+24/60</f>
        <v>10.4</v>
      </c>
      <c r="N2853" s="90">
        <f>7+42/60</f>
        <v>7.7</v>
      </c>
      <c r="O2853" s="90">
        <v>656</v>
      </c>
      <c r="R2853" s="55">
        <v>1443</v>
      </c>
      <c r="S2853" s="90">
        <v>1350</v>
      </c>
      <c r="U2853" s="55" t="s">
        <v>1688</v>
      </c>
      <c r="V2853" s="55" t="s">
        <v>1688</v>
      </c>
      <c r="Y2853" s="55" t="s">
        <v>1923</v>
      </c>
      <c r="Z2853" s="55" t="s">
        <v>1346</v>
      </c>
      <c r="AA2853" s="90" t="s">
        <v>1675</v>
      </c>
      <c r="AH2853" s="55" t="s">
        <v>238</v>
      </c>
      <c r="AI2853" s="168">
        <v>5.84</v>
      </c>
      <c r="AJ2853" s="90">
        <v>0.56999999999999995</v>
      </c>
      <c r="AN2853" s="185" t="s">
        <v>2828</v>
      </c>
      <c r="AO2853" s="185" t="s">
        <v>5150</v>
      </c>
      <c r="AQ2853" s="55" t="s">
        <v>553</v>
      </c>
      <c r="AR2853" s="55" t="s">
        <v>1607</v>
      </c>
      <c r="AS2853" s="55" t="s">
        <v>132</v>
      </c>
      <c r="AU2853" s="181" t="s">
        <v>7494</v>
      </c>
      <c r="AV2853" s="185" t="s">
        <v>176</v>
      </c>
      <c r="AX2853" s="185" t="s">
        <v>176</v>
      </c>
      <c r="BK2853" s="55" t="s">
        <v>5976</v>
      </c>
      <c r="BM2853" s="192" t="s">
        <v>119</v>
      </c>
      <c r="BN2853" s="55">
        <v>5</v>
      </c>
      <c r="BO2853" s="55">
        <v>5</v>
      </c>
      <c r="BQ2853" s="55" t="s">
        <v>141</v>
      </c>
      <c r="BS2853" s="55">
        <v>950</v>
      </c>
      <c r="CB2853" s="66">
        <v>190</v>
      </c>
      <c r="CC2853" s="66">
        <v>560</v>
      </c>
      <c r="GP2853" s="292" t="s">
        <v>7494</v>
      </c>
    </row>
    <row r="2854" spans="1:201" x14ac:dyDescent="0.25">
      <c r="A2854" s="55">
        <v>2853</v>
      </c>
      <c r="B2854" s="12" t="s">
        <v>7067</v>
      </c>
      <c r="C2854" s="155">
        <v>132</v>
      </c>
      <c r="D2854" s="55" t="s">
        <v>4286</v>
      </c>
      <c r="E2854" s="90" t="s">
        <v>2826</v>
      </c>
      <c r="G2854" s="55" t="s">
        <v>2825</v>
      </c>
      <c r="H2854" s="55">
        <v>2004</v>
      </c>
      <c r="I2854" s="55">
        <v>2001</v>
      </c>
      <c r="J2854" s="55" t="s">
        <v>2619</v>
      </c>
      <c r="K2854" s="55" t="s">
        <v>2827</v>
      </c>
      <c r="L2854" s="55" t="s">
        <v>2744</v>
      </c>
      <c r="M2854" s="90">
        <f>10+24/60</f>
        <v>10.4</v>
      </c>
      <c r="N2854" s="90">
        <f>7+42/60</f>
        <v>7.7</v>
      </c>
      <c r="O2854" s="90">
        <v>656</v>
      </c>
      <c r="R2854" s="55">
        <v>1443</v>
      </c>
      <c r="S2854" s="90">
        <v>1350</v>
      </c>
      <c r="U2854" s="55" t="s">
        <v>1688</v>
      </c>
      <c r="V2854" s="55" t="s">
        <v>1688</v>
      </c>
      <c r="Y2854" s="55" t="s">
        <v>1923</v>
      </c>
      <c r="Z2854" s="55" t="s">
        <v>1346</v>
      </c>
      <c r="AA2854" s="90" t="s">
        <v>1675</v>
      </c>
      <c r="AH2854" s="55" t="s">
        <v>238</v>
      </c>
      <c r="AI2854" s="168">
        <v>5.84</v>
      </c>
      <c r="AJ2854" s="90">
        <v>0.56999999999999995</v>
      </c>
      <c r="AN2854" s="185" t="s">
        <v>2664</v>
      </c>
      <c r="AO2854" s="185" t="s">
        <v>5150</v>
      </c>
      <c r="AQ2854" s="55" t="s">
        <v>553</v>
      </c>
      <c r="AR2854" s="55" t="s">
        <v>1607</v>
      </c>
      <c r="AS2854" s="55" t="s">
        <v>132</v>
      </c>
      <c r="AU2854" s="181" t="s">
        <v>7494</v>
      </c>
      <c r="AV2854" s="185" t="s">
        <v>176</v>
      </c>
      <c r="AX2854" s="185" t="s">
        <v>176</v>
      </c>
      <c r="BK2854" s="55" t="s">
        <v>5976</v>
      </c>
      <c r="BM2854" s="192" t="s">
        <v>119</v>
      </c>
      <c r="BN2854" s="55">
        <v>5</v>
      </c>
      <c r="BO2854" s="55">
        <v>5</v>
      </c>
      <c r="BQ2854" s="55" t="s">
        <v>141</v>
      </c>
      <c r="CB2854" s="66">
        <v>190</v>
      </c>
      <c r="CC2854" s="66">
        <v>280</v>
      </c>
      <c r="GP2854" s="292" t="s">
        <v>7494</v>
      </c>
    </row>
    <row r="2855" spans="1:201" x14ac:dyDescent="0.25">
      <c r="A2855" s="55">
        <v>2854</v>
      </c>
      <c r="B2855" s="12" t="s">
        <v>7067</v>
      </c>
      <c r="C2855" s="155">
        <v>133</v>
      </c>
      <c r="D2855" s="55" t="s">
        <v>3168</v>
      </c>
      <c r="E2855" s="90" t="s">
        <v>2829</v>
      </c>
      <c r="G2855" s="55" t="s">
        <v>2830</v>
      </c>
      <c r="H2855" s="55">
        <v>2005</v>
      </c>
      <c r="I2855" s="55" t="s">
        <v>1934</v>
      </c>
      <c r="J2855" s="55" t="s">
        <v>2831</v>
      </c>
      <c r="K2855" s="55" t="s">
        <v>2832</v>
      </c>
      <c r="L2855" s="55" t="s">
        <v>2757</v>
      </c>
      <c r="M2855" s="90">
        <v>0.01</v>
      </c>
      <c r="N2855" s="90">
        <f>34+34/60</f>
        <v>34.56666666666667</v>
      </c>
      <c r="O2855" s="90">
        <v>1420</v>
      </c>
      <c r="S2855" s="90">
        <v>1800</v>
      </c>
      <c r="U2855" s="55" t="s">
        <v>1935</v>
      </c>
      <c r="V2855" s="55" t="s">
        <v>1935</v>
      </c>
      <c r="Y2855" s="55" t="s">
        <v>1934</v>
      </c>
      <c r="Z2855" s="55" t="s">
        <v>1349</v>
      </c>
      <c r="AA2855" s="90" t="s">
        <v>1677</v>
      </c>
      <c r="AE2855" s="90">
        <v>27</v>
      </c>
      <c r="AF2855" s="90">
        <v>26</v>
      </c>
      <c r="AH2855" s="55" t="s">
        <v>769</v>
      </c>
      <c r="AI2855" s="168">
        <v>5.4</v>
      </c>
      <c r="AJ2855" s="90">
        <v>0.161</v>
      </c>
      <c r="AN2855" s="185" t="s">
        <v>2835</v>
      </c>
      <c r="AO2855" s="185" t="s">
        <v>5150</v>
      </c>
      <c r="AQ2855" s="55" t="s">
        <v>553</v>
      </c>
      <c r="AR2855" s="55" t="s">
        <v>1607</v>
      </c>
      <c r="AS2855" s="55" t="s">
        <v>132</v>
      </c>
      <c r="AU2855" s="181" t="s">
        <v>7494</v>
      </c>
      <c r="AV2855" s="185" t="s">
        <v>176</v>
      </c>
      <c r="AX2855" s="185" t="s">
        <v>176</v>
      </c>
      <c r="BK2855" s="55" t="s">
        <v>6333</v>
      </c>
      <c r="BM2855" s="192" t="s">
        <v>2702</v>
      </c>
      <c r="BN2855" s="55">
        <v>4</v>
      </c>
      <c r="BO2855" s="55">
        <v>4</v>
      </c>
      <c r="BQ2855" s="55" t="s">
        <v>141</v>
      </c>
      <c r="BS2855" s="55">
        <f>-1270+1760</f>
        <v>490</v>
      </c>
      <c r="BU2855" s="55">
        <f>BS2855/20</f>
        <v>24.5</v>
      </c>
      <c r="BW2855" s="65">
        <v>1890</v>
      </c>
      <c r="BX2855" s="65">
        <v>1050</v>
      </c>
      <c r="CB2855" s="66">
        <v>1600</v>
      </c>
      <c r="CC2855" s="66">
        <v>570</v>
      </c>
      <c r="DB2855" s="65">
        <f>AVERAGE(27,20,21)</f>
        <v>22.666666666666668</v>
      </c>
      <c r="DC2855" s="65">
        <f>AVERAGE(33,21,18)</f>
        <v>24</v>
      </c>
      <c r="DF2855" s="65" t="s">
        <v>2845</v>
      </c>
      <c r="GN2855" s="294">
        <v>86</v>
      </c>
      <c r="GO2855" s="294">
        <v>76</v>
      </c>
      <c r="GP2855" s="292" t="s">
        <v>5150</v>
      </c>
      <c r="GS2855" s="65" t="s">
        <v>2844</v>
      </c>
    </row>
    <row r="2856" spans="1:201" x14ac:dyDescent="0.25">
      <c r="A2856" s="55">
        <v>2855</v>
      </c>
      <c r="B2856" s="12" t="s">
        <v>7067</v>
      </c>
      <c r="C2856" s="155">
        <v>133</v>
      </c>
      <c r="D2856" s="55" t="s">
        <v>3168</v>
      </c>
      <c r="E2856" s="90" t="s">
        <v>2829</v>
      </c>
      <c r="G2856" s="55" t="s">
        <v>2830</v>
      </c>
      <c r="H2856" s="55">
        <v>2005</v>
      </c>
      <c r="I2856" s="55" t="s">
        <v>1934</v>
      </c>
      <c r="J2856" s="55" t="s">
        <v>2831</v>
      </c>
      <c r="K2856" s="55" t="s">
        <v>2832</v>
      </c>
      <c r="L2856" s="55" t="s">
        <v>2757</v>
      </c>
      <c r="M2856" s="90">
        <v>0.01</v>
      </c>
      <c r="N2856" s="90">
        <f>34+34/60</f>
        <v>34.56666666666667</v>
      </c>
      <c r="O2856" s="90">
        <v>1420</v>
      </c>
      <c r="S2856" s="90">
        <v>1800</v>
      </c>
      <c r="U2856" s="55" t="s">
        <v>1935</v>
      </c>
      <c r="V2856" s="55" t="s">
        <v>1935</v>
      </c>
      <c r="Y2856" s="55" t="s">
        <v>1934</v>
      </c>
      <c r="Z2856" s="55" t="s">
        <v>1349</v>
      </c>
      <c r="AA2856" s="90" t="s">
        <v>1677</v>
      </c>
      <c r="AE2856" s="90">
        <v>27</v>
      </c>
      <c r="AF2856" s="90">
        <v>26</v>
      </c>
      <c r="AH2856" s="55" t="s">
        <v>769</v>
      </c>
      <c r="AI2856" s="168">
        <v>5.4</v>
      </c>
      <c r="AJ2856" s="90">
        <v>0.161</v>
      </c>
      <c r="AN2856" s="185" t="s">
        <v>2834</v>
      </c>
      <c r="AO2856" s="185" t="s">
        <v>5150</v>
      </c>
      <c r="AQ2856" s="55" t="s">
        <v>553</v>
      </c>
      <c r="AR2856" s="55" t="s">
        <v>1607</v>
      </c>
      <c r="AS2856" s="55" t="s">
        <v>132</v>
      </c>
      <c r="AU2856" s="181" t="s">
        <v>7494</v>
      </c>
      <c r="AV2856" s="185" t="s">
        <v>176</v>
      </c>
      <c r="AX2856" s="185" t="s">
        <v>176</v>
      </c>
      <c r="BK2856" s="55" t="s">
        <v>6333</v>
      </c>
      <c r="BM2856" s="192" t="s">
        <v>2702</v>
      </c>
      <c r="BN2856" s="55">
        <v>4</v>
      </c>
      <c r="BO2856" s="55">
        <v>4</v>
      </c>
      <c r="BQ2856" s="55" t="s">
        <v>141</v>
      </c>
      <c r="BS2856" s="55">
        <f>1170+340</f>
        <v>1510</v>
      </c>
      <c r="BU2856" s="55">
        <f>BS2856/53</f>
        <v>28.490566037735849</v>
      </c>
      <c r="BW2856" s="65">
        <v>1890</v>
      </c>
      <c r="BX2856" s="65">
        <v>2280</v>
      </c>
      <c r="CB2856" s="66">
        <v>1600</v>
      </c>
      <c r="CC2856" s="66">
        <v>2400</v>
      </c>
      <c r="DB2856" s="65">
        <f>AVERAGE(27,20,21)</f>
        <v>22.666666666666668</v>
      </c>
      <c r="DC2856" s="65">
        <f>AVERAGE(35,27,17)</f>
        <v>26.333333333333332</v>
      </c>
      <c r="DF2856" s="65" t="s">
        <v>2845</v>
      </c>
      <c r="GN2856" s="294">
        <v>86</v>
      </c>
      <c r="GO2856" s="294">
        <v>31</v>
      </c>
      <c r="GP2856" s="292" t="s">
        <v>5150</v>
      </c>
      <c r="GS2856" s="65" t="s">
        <v>2844</v>
      </c>
    </row>
    <row r="2857" spans="1:201" x14ac:dyDescent="0.25">
      <c r="A2857" s="55">
        <v>2856</v>
      </c>
      <c r="B2857" s="12" t="s">
        <v>7067</v>
      </c>
      <c r="C2857" s="155">
        <v>133</v>
      </c>
      <c r="D2857" s="55" t="s">
        <v>3169</v>
      </c>
      <c r="E2857" s="90" t="s">
        <v>2829</v>
      </c>
      <c r="G2857" s="55" t="s">
        <v>2830</v>
      </c>
      <c r="H2857" s="55">
        <v>2005</v>
      </c>
      <c r="I2857" s="55" t="s">
        <v>1934</v>
      </c>
      <c r="J2857" s="55" t="s">
        <v>2831</v>
      </c>
      <c r="K2857" s="55" t="s">
        <v>2832</v>
      </c>
      <c r="L2857" s="55" t="s">
        <v>2757</v>
      </c>
      <c r="M2857" s="90">
        <v>0.01</v>
      </c>
      <c r="N2857" s="90">
        <f>34+34/60</f>
        <v>34.56666666666667</v>
      </c>
      <c r="O2857" s="90">
        <v>1420</v>
      </c>
      <c r="S2857" s="90">
        <v>1800</v>
      </c>
      <c r="U2857" s="55" t="s">
        <v>1935</v>
      </c>
      <c r="V2857" s="55" t="s">
        <v>1935</v>
      </c>
      <c r="Y2857" s="55" t="s">
        <v>1934</v>
      </c>
      <c r="Z2857" s="55" t="s">
        <v>1349</v>
      </c>
      <c r="AA2857" s="90" t="s">
        <v>1677</v>
      </c>
      <c r="AE2857" s="90">
        <v>27</v>
      </c>
      <c r="AF2857" s="90">
        <v>26</v>
      </c>
      <c r="AH2857" s="55" t="s">
        <v>769</v>
      </c>
      <c r="AI2857" s="168">
        <v>5.4</v>
      </c>
      <c r="AJ2857" s="90">
        <v>0.161</v>
      </c>
      <c r="AN2857" s="185" t="s">
        <v>2836</v>
      </c>
      <c r="AO2857" s="185" t="s">
        <v>5150</v>
      </c>
      <c r="AQ2857" s="55" t="s">
        <v>2843</v>
      </c>
      <c r="AR2857" s="55" t="s">
        <v>1607</v>
      </c>
      <c r="AS2857" s="55" t="s">
        <v>132</v>
      </c>
      <c r="AU2857" s="181" t="s">
        <v>7494</v>
      </c>
      <c r="AV2857" s="185" t="s">
        <v>176</v>
      </c>
      <c r="AX2857" s="185" t="s">
        <v>176</v>
      </c>
      <c r="BK2857" s="55" t="s">
        <v>6333</v>
      </c>
      <c r="BM2857" s="192" t="s">
        <v>2702</v>
      </c>
      <c r="BN2857" s="55">
        <v>4</v>
      </c>
      <c r="BO2857" s="55">
        <v>4</v>
      </c>
      <c r="BQ2857" s="55" t="s">
        <v>141</v>
      </c>
      <c r="BS2857" s="55">
        <f>2300+1170</f>
        <v>3470</v>
      </c>
      <c r="BU2857" s="55">
        <f>BS2857/85</f>
        <v>40.823529411764703</v>
      </c>
      <c r="BW2857" s="65">
        <v>1890</v>
      </c>
      <c r="BX2857" s="65">
        <v>3790</v>
      </c>
      <c r="CB2857" s="66">
        <v>1600</v>
      </c>
      <c r="CC2857" s="66">
        <v>4190</v>
      </c>
      <c r="DB2857" s="65">
        <f>AVERAGE(27,20,21)</f>
        <v>22.666666666666668</v>
      </c>
      <c r="DC2857" s="65">
        <f>AVERAGE(41,25,20)</f>
        <v>28.666666666666668</v>
      </c>
      <c r="DF2857" s="65" t="s">
        <v>2845</v>
      </c>
      <c r="GN2857" s="294">
        <v>86</v>
      </c>
      <c r="GO2857" s="294">
        <v>64</v>
      </c>
      <c r="GP2857" s="292" t="s">
        <v>5150</v>
      </c>
      <c r="GS2857" s="65" t="s">
        <v>2844</v>
      </c>
    </row>
    <row r="2858" spans="1:201" x14ac:dyDescent="0.25">
      <c r="A2858" s="55">
        <v>2857</v>
      </c>
      <c r="B2858" s="12" t="s">
        <v>7067</v>
      </c>
      <c r="C2858" s="155">
        <v>133</v>
      </c>
      <c r="D2858" s="55" t="s">
        <v>3168</v>
      </c>
      <c r="E2858" s="90" t="s">
        <v>2829</v>
      </c>
      <c r="G2858" s="55" t="s">
        <v>2830</v>
      </c>
      <c r="H2858" s="55">
        <v>2005</v>
      </c>
      <c r="I2858" s="55" t="s">
        <v>1934</v>
      </c>
      <c r="J2858" s="55" t="s">
        <v>2831</v>
      </c>
      <c r="K2858" s="55" t="s">
        <v>2832</v>
      </c>
      <c r="L2858" s="55" t="s">
        <v>2757</v>
      </c>
      <c r="M2858" s="90">
        <v>0.01</v>
      </c>
      <c r="N2858" s="90">
        <f>34+34/60</f>
        <v>34.56666666666667</v>
      </c>
      <c r="O2858" s="90">
        <v>1420</v>
      </c>
      <c r="S2858" s="90">
        <v>1800</v>
      </c>
      <c r="U2858" s="55" t="s">
        <v>1935</v>
      </c>
      <c r="V2858" s="55" t="s">
        <v>1935</v>
      </c>
      <c r="Y2858" s="55" t="s">
        <v>1934</v>
      </c>
      <c r="Z2858" s="55" t="s">
        <v>1349</v>
      </c>
      <c r="AA2858" s="90" t="s">
        <v>1677</v>
      </c>
      <c r="AE2858" s="90">
        <v>27</v>
      </c>
      <c r="AF2858" s="90">
        <v>26</v>
      </c>
      <c r="AH2858" s="55" t="s">
        <v>769</v>
      </c>
      <c r="AI2858" s="168">
        <v>5.4</v>
      </c>
      <c r="AJ2858" s="90">
        <v>0.161</v>
      </c>
      <c r="AN2858" s="185" t="s">
        <v>2837</v>
      </c>
      <c r="AO2858" s="185" t="s">
        <v>5150</v>
      </c>
      <c r="AQ2858" s="55" t="s">
        <v>553</v>
      </c>
      <c r="AR2858" s="55" t="s">
        <v>1607</v>
      </c>
      <c r="AS2858" s="55" t="s">
        <v>132</v>
      </c>
      <c r="AU2858" s="181" t="s">
        <v>7494</v>
      </c>
      <c r="AV2858" s="185" t="s">
        <v>176</v>
      </c>
      <c r="AX2858" s="185" t="s">
        <v>176</v>
      </c>
      <c r="BK2858" s="55" t="s">
        <v>6333</v>
      </c>
      <c r="BM2858" s="192" t="s">
        <v>2702</v>
      </c>
      <c r="BN2858" s="55">
        <v>4</v>
      </c>
      <c r="BO2858" s="55">
        <v>4</v>
      </c>
      <c r="BQ2858" s="55" t="s">
        <v>141</v>
      </c>
      <c r="BS2858" s="55">
        <f>1690+1060</f>
        <v>2750</v>
      </c>
      <c r="BU2858" s="55">
        <f>BS2858/74</f>
        <v>37.162162162162161</v>
      </c>
      <c r="BW2858" s="65">
        <v>1890</v>
      </c>
      <c r="BX2858" s="65">
        <v>3350</v>
      </c>
      <c r="CB2858" s="66">
        <v>1600</v>
      </c>
      <c r="CC2858" s="66">
        <v>1830</v>
      </c>
      <c r="DB2858" s="65">
        <f>AVERAGE(27,20,21)</f>
        <v>22.666666666666668</v>
      </c>
      <c r="DC2858" s="65">
        <f>AVERAGE(31,21,17)</f>
        <v>23</v>
      </c>
      <c r="DF2858" s="65" t="s">
        <v>2845</v>
      </c>
      <c r="GN2858" s="294">
        <v>86</v>
      </c>
      <c r="GO2858" s="294">
        <v>56</v>
      </c>
      <c r="GP2858" s="292" t="s">
        <v>5150</v>
      </c>
      <c r="GS2858" s="65" t="s">
        <v>2844</v>
      </c>
    </row>
    <row r="2859" spans="1:201" x14ac:dyDescent="0.25">
      <c r="A2859" s="55">
        <v>2858</v>
      </c>
      <c r="B2859" s="12" t="s">
        <v>7067</v>
      </c>
      <c r="C2859" s="155">
        <v>133</v>
      </c>
      <c r="D2859" s="55" t="s">
        <v>3168</v>
      </c>
      <c r="E2859" s="90" t="s">
        <v>2829</v>
      </c>
      <c r="G2859" s="55" t="s">
        <v>2830</v>
      </c>
      <c r="H2859" s="55">
        <v>2005</v>
      </c>
      <c r="I2859" s="55" t="s">
        <v>1934</v>
      </c>
      <c r="J2859" s="55" t="s">
        <v>2831</v>
      </c>
      <c r="K2859" s="55" t="s">
        <v>2832</v>
      </c>
      <c r="L2859" s="55" t="s">
        <v>2757</v>
      </c>
      <c r="M2859" s="90">
        <v>0.01</v>
      </c>
      <c r="N2859" s="90">
        <f>34+34/60</f>
        <v>34.56666666666667</v>
      </c>
      <c r="O2859" s="90">
        <v>1420</v>
      </c>
      <c r="S2859" s="90">
        <v>1800</v>
      </c>
      <c r="U2859" s="55" t="s">
        <v>1935</v>
      </c>
      <c r="V2859" s="55" t="s">
        <v>1935</v>
      </c>
      <c r="Y2859" s="55" t="s">
        <v>1934</v>
      </c>
      <c r="Z2859" s="55" t="s">
        <v>1349</v>
      </c>
      <c r="AA2859" s="90" t="s">
        <v>1677</v>
      </c>
      <c r="AE2859" s="90">
        <v>27</v>
      </c>
      <c r="AF2859" s="90">
        <v>26</v>
      </c>
      <c r="AH2859" s="55" t="s">
        <v>769</v>
      </c>
      <c r="AI2859" s="168">
        <v>5.4</v>
      </c>
      <c r="AJ2859" s="90">
        <v>0.161</v>
      </c>
      <c r="AN2859" s="185" t="s">
        <v>2838</v>
      </c>
      <c r="AO2859" s="185" t="s">
        <v>5150</v>
      </c>
      <c r="AQ2859" s="55" t="s">
        <v>553</v>
      </c>
      <c r="AR2859" s="55" t="s">
        <v>1607</v>
      </c>
      <c r="AS2859" s="55" t="s">
        <v>132</v>
      </c>
      <c r="AU2859" s="181" t="s">
        <v>7494</v>
      </c>
      <c r="AV2859" s="185" t="s">
        <v>176</v>
      </c>
      <c r="AX2859" s="185" t="s">
        <v>176</v>
      </c>
      <c r="BK2859" s="55" t="s">
        <v>6333</v>
      </c>
      <c r="BM2859" s="192" t="s">
        <v>2702</v>
      </c>
      <c r="BN2859" s="55">
        <v>4</v>
      </c>
      <c r="BO2859" s="55">
        <v>4</v>
      </c>
      <c r="BQ2859" s="55" t="s">
        <v>141</v>
      </c>
      <c r="BS2859" s="55">
        <f>2350+530</f>
        <v>2880</v>
      </c>
      <c r="BU2859" s="55">
        <f>BS2859/101</f>
        <v>28.514851485148515</v>
      </c>
      <c r="BW2859" s="65">
        <v>1890</v>
      </c>
      <c r="BX2859" s="65">
        <v>3360</v>
      </c>
      <c r="CB2859" s="66">
        <v>1600</v>
      </c>
      <c r="CC2859" s="66">
        <v>3880</v>
      </c>
      <c r="DB2859" s="65">
        <f>AVERAGE(27,20,21)</f>
        <v>22.666666666666668</v>
      </c>
      <c r="DC2859" s="65">
        <f>AVERAGE(41,39,25)</f>
        <v>35</v>
      </c>
      <c r="DF2859" s="65" t="s">
        <v>2845</v>
      </c>
      <c r="GN2859" s="294">
        <v>86</v>
      </c>
      <c r="GO2859" s="294">
        <v>33</v>
      </c>
      <c r="GP2859" s="292" t="s">
        <v>5150</v>
      </c>
      <c r="GS2859" s="65" t="s">
        <v>2844</v>
      </c>
    </row>
    <row r="2860" spans="1:201" x14ac:dyDescent="0.25">
      <c r="A2860" s="55">
        <v>2859</v>
      </c>
      <c r="B2860" s="12" t="s">
        <v>7067</v>
      </c>
      <c r="C2860" s="155">
        <v>133</v>
      </c>
      <c r="D2860" s="55" t="s">
        <v>3168</v>
      </c>
      <c r="E2860" s="90" t="s">
        <v>2829</v>
      </c>
      <c r="G2860" s="55" t="s">
        <v>2830</v>
      </c>
      <c r="H2860" s="55">
        <v>2005</v>
      </c>
      <c r="I2860" s="55" t="s">
        <v>1934</v>
      </c>
      <c r="J2860" s="55" t="s">
        <v>2831</v>
      </c>
      <c r="K2860" s="55" t="s">
        <v>2832</v>
      </c>
      <c r="L2860" s="55" t="s">
        <v>2757</v>
      </c>
      <c r="M2860" s="90">
        <v>0.01</v>
      </c>
      <c r="N2860" s="90">
        <f>34+34/60</f>
        <v>34.56666666666667</v>
      </c>
      <c r="O2860" s="90">
        <v>1420</v>
      </c>
      <c r="S2860" s="90">
        <v>1800</v>
      </c>
      <c r="U2860" s="55" t="s">
        <v>1935</v>
      </c>
      <c r="V2860" s="55" t="s">
        <v>1935</v>
      </c>
      <c r="Y2860" s="55" t="s">
        <v>1934</v>
      </c>
      <c r="Z2860" s="55" t="s">
        <v>1349</v>
      </c>
      <c r="AA2860" s="90" t="s">
        <v>1677</v>
      </c>
      <c r="AE2860" s="90">
        <v>27</v>
      </c>
      <c r="AF2860" s="90">
        <v>26</v>
      </c>
      <c r="AH2860" s="55" t="s">
        <v>769</v>
      </c>
      <c r="AI2860" s="168">
        <v>5.4</v>
      </c>
      <c r="AJ2860" s="90">
        <v>0.161</v>
      </c>
      <c r="AN2860" s="185" t="s">
        <v>2839</v>
      </c>
      <c r="AO2860" s="185" t="s">
        <v>5150</v>
      </c>
      <c r="AQ2860" s="55" t="s">
        <v>553</v>
      </c>
      <c r="AR2860" s="55" t="s">
        <v>1607</v>
      </c>
      <c r="AS2860" s="55" t="s">
        <v>132</v>
      </c>
      <c r="AU2860" s="181" t="s">
        <v>7494</v>
      </c>
      <c r="AV2860" s="185" t="s">
        <v>176</v>
      </c>
      <c r="AX2860" s="185" t="s">
        <v>176</v>
      </c>
      <c r="BK2860" s="55" t="s">
        <v>6333</v>
      </c>
      <c r="BM2860" s="192" t="s">
        <v>2702</v>
      </c>
      <c r="BN2860" s="55">
        <v>4</v>
      </c>
      <c r="BO2860" s="55">
        <v>4</v>
      </c>
      <c r="BQ2860" s="55" t="s">
        <v>141</v>
      </c>
      <c r="BS2860" s="55">
        <f>1990+400</f>
        <v>2390</v>
      </c>
      <c r="BU2860" s="55">
        <f>BS2860/47</f>
        <v>50.851063829787236</v>
      </c>
      <c r="BW2860" s="65">
        <v>1890</v>
      </c>
      <c r="BX2860" s="65">
        <v>3320</v>
      </c>
      <c r="CB2860" s="66">
        <v>1600</v>
      </c>
      <c r="CC2860" s="66">
        <v>3050</v>
      </c>
      <c r="DB2860" s="65">
        <f>AVERAGE(27,20,21)</f>
        <v>22.666666666666668</v>
      </c>
      <c r="DC2860" s="65">
        <f>AVERAGE(38,22,23)</f>
        <v>27.666666666666668</v>
      </c>
      <c r="DF2860" s="65" t="s">
        <v>2845</v>
      </c>
      <c r="GN2860" s="294">
        <v>86</v>
      </c>
      <c r="GO2860" s="294">
        <v>36</v>
      </c>
      <c r="GP2860" s="292" t="s">
        <v>5150</v>
      </c>
      <c r="GS2860" s="65" t="s">
        <v>2844</v>
      </c>
    </row>
    <row r="2861" spans="1:201" x14ac:dyDescent="0.25">
      <c r="A2861" s="55">
        <v>2860</v>
      </c>
      <c r="B2861" s="12" t="s">
        <v>7067</v>
      </c>
      <c r="C2861" s="155">
        <v>133</v>
      </c>
      <c r="D2861" s="55" t="s">
        <v>3168</v>
      </c>
      <c r="E2861" s="90" t="s">
        <v>2829</v>
      </c>
      <c r="G2861" s="55" t="s">
        <v>2830</v>
      </c>
      <c r="H2861" s="55">
        <v>2005</v>
      </c>
      <c r="I2861" s="55" t="s">
        <v>1934</v>
      </c>
      <c r="J2861" s="55" t="s">
        <v>2831</v>
      </c>
      <c r="K2861" s="55" t="s">
        <v>2832</v>
      </c>
      <c r="L2861" s="55" t="s">
        <v>2757</v>
      </c>
      <c r="M2861" s="90">
        <v>0.01</v>
      </c>
      <c r="N2861" s="90">
        <f>34+34/60</f>
        <v>34.56666666666667</v>
      </c>
      <c r="O2861" s="90">
        <v>1420</v>
      </c>
      <c r="S2861" s="90">
        <v>1800</v>
      </c>
      <c r="U2861" s="55" t="s">
        <v>1935</v>
      </c>
      <c r="V2861" s="55" t="s">
        <v>1935</v>
      </c>
      <c r="Y2861" s="55" t="s">
        <v>1934</v>
      </c>
      <c r="Z2861" s="55" t="s">
        <v>1349</v>
      </c>
      <c r="AA2861" s="90" t="s">
        <v>1677</v>
      </c>
      <c r="AE2861" s="90">
        <v>27</v>
      </c>
      <c r="AF2861" s="90">
        <v>26</v>
      </c>
      <c r="AH2861" s="55" t="s">
        <v>769</v>
      </c>
      <c r="AI2861" s="168">
        <v>5.4</v>
      </c>
      <c r="AJ2861" s="90">
        <v>0.161</v>
      </c>
      <c r="AN2861" s="185" t="s">
        <v>2840</v>
      </c>
      <c r="AO2861" s="185" t="s">
        <v>5150</v>
      </c>
      <c r="AQ2861" s="55" t="s">
        <v>553</v>
      </c>
      <c r="AR2861" s="55" t="s">
        <v>1607</v>
      </c>
      <c r="AS2861" s="55" t="s">
        <v>132</v>
      </c>
      <c r="AU2861" s="181" t="s">
        <v>7494</v>
      </c>
      <c r="AV2861" s="185" t="s">
        <v>176</v>
      </c>
      <c r="AX2861" s="185" t="s">
        <v>176</v>
      </c>
      <c r="BK2861" s="55" t="s">
        <v>6333</v>
      </c>
      <c r="BM2861" s="192" t="s">
        <v>2702</v>
      </c>
      <c r="BN2861" s="55">
        <v>4</v>
      </c>
      <c r="BO2861" s="55">
        <v>4</v>
      </c>
      <c r="BQ2861" s="55" t="s">
        <v>141</v>
      </c>
      <c r="BS2861" s="55">
        <f>1330+590</f>
        <v>1920</v>
      </c>
      <c r="BU2861" s="55">
        <f>BS2861/47</f>
        <v>40.851063829787236</v>
      </c>
      <c r="BW2861" s="65">
        <v>1890</v>
      </c>
      <c r="BX2861" s="65">
        <v>3400</v>
      </c>
      <c r="CB2861" s="66">
        <v>1600</v>
      </c>
      <c r="CC2861" s="66">
        <v>2950</v>
      </c>
      <c r="DB2861" s="65">
        <f>AVERAGE(27,20,21)</f>
        <v>22.666666666666668</v>
      </c>
      <c r="DC2861" s="65">
        <f>AVERAGE(34,24,18)</f>
        <v>25.333333333333332</v>
      </c>
      <c r="DF2861" s="65" t="s">
        <v>2845</v>
      </c>
      <c r="GN2861" s="294">
        <v>86</v>
      </c>
      <c r="GO2861" s="294">
        <v>39</v>
      </c>
      <c r="GP2861" s="292" t="s">
        <v>5150</v>
      </c>
      <c r="GS2861" s="65" t="s">
        <v>2844</v>
      </c>
    </row>
    <row r="2862" spans="1:201" x14ac:dyDescent="0.25">
      <c r="A2862" s="55">
        <v>2861</v>
      </c>
      <c r="B2862" s="12" t="s">
        <v>7067</v>
      </c>
      <c r="C2862" s="155">
        <v>133</v>
      </c>
      <c r="D2862" s="55" t="s">
        <v>3168</v>
      </c>
      <c r="E2862" s="90" t="s">
        <v>2829</v>
      </c>
      <c r="G2862" s="55" t="s">
        <v>2830</v>
      </c>
      <c r="H2862" s="55">
        <v>2005</v>
      </c>
      <c r="I2862" s="55" t="s">
        <v>1934</v>
      </c>
      <c r="J2862" s="55" t="s">
        <v>2831</v>
      </c>
      <c r="K2862" s="55" t="s">
        <v>2832</v>
      </c>
      <c r="L2862" s="55" t="s">
        <v>2757</v>
      </c>
      <c r="M2862" s="90">
        <v>0.01</v>
      </c>
      <c r="N2862" s="90">
        <f>34+34/60</f>
        <v>34.56666666666667</v>
      </c>
      <c r="O2862" s="90">
        <v>1420</v>
      </c>
      <c r="S2862" s="90">
        <v>1800</v>
      </c>
      <c r="U2862" s="55" t="s">
        <v>1935</v>
      </c>
      <c r="V2862" s="55" t="s">
        <v>1935</v>
      </c>
      <c r="Y2862" s="55" t="s">
        <v>1934</v>
      </c>
      <c r="Z2862" s="55" t="s">
        <v>1349</v>
      </c>
      <c r="AA2862" s="90" t="s">
        <v>1677</v>
      </c>
      <c r="AE2862" s="90">
        <v>27</v>
      </c>
      <c r="AF2862" s="90">
        <v>26</v>
      </c>
      <c r="AH2862" s="55" t="s">
        <v>769</v>
      </c>
      <c r="AI2862" s="168">
        <v>5.4</v>
      </c>
      <c r="AJ2862" s="90">
        <v>0.161</v>
      </c>
      <c r="AN2862" s="185" t="s">
        <v>2841</v>
      </c>
      <c r="AO2862" s="185" t="s">
        <v>5150</v>
      </c>
      <c r="AQ2862" s="55" t="s">
        <v>553</v>
      </c>
      <c r="AR2862" s="55" t="s">
        <v>1607</v>
      </c>
      <c r="AS2862" s="55" t="s">
        <v>132</v>
      </c>
      <c r="AU2862" s="181" t="s">
        <v>7494</v>
      </c>
      <c r="AV2862" s="185" t="s">
        <v>176</v>
      </c>
      <c r="AX2862" s="185" t="s">
        <v>176</v>
      </c>
      <c r="BK2862" s="55" t="s">
        <v>6333</v>
      </c>
      <c r="BM2862" s="192" t="s">
        <v>2702</v>
      </c>
      <c r="BN2862" s="55">
        <v>4</v>
      </c>
      <c r="BO2862" s="55">
        <v>4</v>
      </c>
      <c r="BQ2862" s="55" t="s">
        <v>141</v>
      </c>
      <c r="BS2862" s="55">
        <f>4090+790</f>
        <v>4880</v>
      </c>
      <c r="BU2862" s="55">
        <f>BS2862/103</f>
        <v>47.378640776699029</v>
      </c>
      <c r="BW2862" s="65">
        <v>1890</v>
      </c>
      <c r="BX2862" s="65">
        <v>3300</v>
      </c>
      <c r="CB2862" s="66">
        <v>1600</v>
      </c>
      <c r="CC2862" s="66">
        <v>3790</v>
      </c>
      <c r="DB2862" s="65">
        <f>AVERAGE(27,20,21)</f>
        <v>22.666666666666668</v>
      </c>
      <c r="DC2862" s="65">
        <f>AVERAGE(51,46,33)</f>
        <v>43.333333333333336</v>
      </c>
      <c r="DF2862" s="65" t="s">
        <v>2845</v>
      </c>
      <c r="GN2862" s="294">
        <v>86</v>
      </c>
      <c r="GO2862" s="294">
        <v>35</v>
      </c>
      <c r="GP2862" s="292" t="s">
        <v>5150</v>
      </c>
      <c r="GS2862" s="65" t="s">
        <v>2844</v>
      </c>
    </row>
    <row r="2863" spans="1:201" x14ac:dyDescent="0.25">
      <c r="A2863" s="55">
        <v>2862</v>
      </c>
      <c r="B2863" s="12" t="s">
        <v>7067</v>
      </c>
      <c r="C2863" s="155">
        <v>133</v>
      </c>
      <c r="D2863" s="55" t="s">
        <v>3168</v>
      </c>
      <c r="E2863" s="90" t="s">
        <v>2829</v>
      </c>
      <c r="G2863" s="55" t="s">
        <v>2830</v>
      </c>
      <c r="H2863" s="55">
        <v>2005</v>
      </c>
      <c r="I2863" s="55" t="s">
        <v>1934</v>
      </c>
      <c r="J2863" s="55" t="s">
        <v>2831</v>
      </c>
      <c r="K2863" s="55" t="s">
        <v>2832</v>
      </c>
      <c r="L2863" s="55" t="s">
        <v>2757</v>
      </c>
      <c r="M2863" s="90">
        <v>0.01</v>
      </c>
      <c r="N2863" s="90">
        <f>34+34/60</f>
        <v>34.56666666666667</v>
      </c>
      <c r="O2863" s="90">
        <v>1420</v>
      </c>
      <c r="S2863" s="90">
        <v>1800</v>
      </c>
      <c r="U2863" s="55" t="s">
        <v>1935</v>
      </c>
      <c r="V2863" s="55" t="s">
        <v>1935</v>
      </c>
      <c r="Y2863" s="55" t="s">
        <v>1934</v>
      </c>
      <c r="Z2863" s="55" t="s">
        <v>1349</v>
      </c>
      <c r="AA2863" s="90" t="s">
        <v>1677</v>
      </c>
      <c r="AE2863" s="90">
        <v>27</v>
      </c>
      <c r="AF2863" s="90">
        <v>26</v>
      </c>
      <c r="AH2863" s="55" t="s">
        <v>769</v>
      </c>
      <c r="AI2863" s="168">
        <v>5.4</v>
      </c>
      <c r="AJ2863" s="90">
        <v>0.161</v>
      </c>
      <c r="AN2863" s="185" t="s">
        <v>2842</v>
      </c>
      <c r="AO2863" s="185" t="s">
        <v>5150</v>
      </c>
      <c r="AQ2863" s="55" t="s">
        <v>553</v>
      </c>
      <c r="AR2863" s="55" t="s">
        <v>1607</v>
      </c>
      <c r="AS2863" s="55" t="s">
        <v>132</v>
      </c>
      <c r="AU2863" s="181" t="s">
        <v>7494</v>
      </c>
      <c r="AV2863" s="185" t="s">
        <v>176</v>
      </c>
      <c r="AX2863" s="185" t="s">
        <v>176</v>
      </c>
      <c r="BK2863" s="55" t="s">
        <v>6333</v>
      </c>
      <c r="BM2863" s="192" t="s">
        <v>2702</v>
      </c>
      <c r="BN2863" s="55">
        <v>4</v>
      </c>
      <c r="BO2863" s="55">
        <v>4</v>
      </c>
      <c r="BQ2863" s="55" t="s">
        <v>141</v>
      </c>
      <c r="BS2863" s="55">
        <f>2130+740</f>
        <v>2870</v>
      </c>
      <c r="BU2863" s="55">
        <f>BS2863/63</f>
        <v>45.555555555555557</v>
      </c>
      <c r="BW2863" s="65">
        <v>1890</v>
      </c>
      <c r="BX2863" s="65">
        <v>4440</v>
      </c>
      <c r="CB2863" s="66">
        <v>1600</v>
      </c>
      <c r="CC2863" s="66">
        <v>3550</v>
      </c>
      <c r="DB2863" s="65">
        <f>AVERAGE(27,20,21)</f>
        <v>22.666666666666668</v>
      </c>
      <c r="DC2863" s="65">
        <f>AVERAGE(38,30,22)</f>
        <v>30</v>
      </c>
      <c r="DF2863" s="65" t="s">
        <v>2845</v>
      </c>
      <c r="GN2863" s="294">
        <v>86</v>
      </c>
      <c r="GO2863" s="294">
        <v>12</v>
      </c>
      <c r="GP2863" s="292" t="s">
        <v>5150</v>
      </c>
      <c r="GS2863" s="65" t="s">
        <v>2844</v>
      </c>
    </row>
    <row r="2864" spans="1:201" x14ac:dyDescent="0.25">
      <c r="A2864" s="55">
        <v>2863</v>
      </c>
      <c r="B2864" s="12" t="s">
        <v>7067</v>
      </c>
      <c r="C2864" s="155">
        <v>133</v>
      </c>
      <c r="D2864" s="55" t="s">
        <v>3169</v>
      </c>
      <c r="E2864" s="90" t="s">
        <v>2829</v>
      </c>
      <c r="G2864" s="55" t="s">
        <v>2830</v>
      </c>
      <c r="H2864" s="55">
        <v>2005</v>
      </c>
      <c r="I2864" s="55" t="s">
        <v>2847</v>
      </c>
      <c r="J2864" s="55" t="s">
        <v>2831</v>
      </c>
      <c r="K2864" s="55" t="s">
        <v>2833</v>
      </c>
      <c r="L2864" s="55" t="s">
        <v>2757</v>
      </c>
      <c r="M2864" s="90">
        <v>0.28999999999999998</v>
      </c>
      <c r="N2864" s="90">
        <f>34+44/60</f>
        <v>34.733333333333334</v>
      </c>
      <c r="O2864" s="90">
        <v>1420</v>
      </c>
      <c r="S2864" s="90">
        <v>1800</v>
      </c>
      <c r="U2864" s="55" t="s">
        <v>1935</v>
      </c>
      <c r="V2864" s="55" t="s">
        <v>1935</v>
      </c>
      <c r="Y2864" s="55" t="s">
        <v>2847</v>
      </c>
      <c r="Z2864" s="55" t="s">
        <v>1349</v>
      </c>
      <c r="AA2864" s="90" t="s">
        <v>1677</v>
      </c>
      <c r="AE2864" s="90">
        <v>58</v>
      </c>
      <c r="AF2864" s="90">
        <v>26</v>
      </c>
      <c r="AH2864" s="55" t="s">
        <v>494</v>
      </c>
      <c r="AI2864" s="168">
        <v>5.4</v>
      </c>
      <c r="AJ2864" s="90">
        <v>0.14000000000000001</v>
      </c>
      <c r="AN2864" s="185" t="s">
        <v>2841</v>
      </c>
      <c r="AO2864" s="185" t="s">
        <v>5150</v>
      </c>
      <c r="AQ2864" s="55" t="s">
        <v>553</v>
      </c>
      <c r="AR2864" s="55" t="s">
        <v>1607</v>
      </c>
      <c r="AS2864" s="55" t="s">
        <v>132</v>
      </c>
      <c r="AU2864" s="181" t="s">
        <v>7494</v>
      </c>
      <c r="AV2864" s="185" t="s">
        <v>176</v>
      </c>
      <c r="AX2864" s="185" t="s">
        <v>176</v>
      </c>
      <c r="BK2864" s="55" t="s">
        <v>6333</v>
      </c>
      <c r="BM2864" s="192" t="s">
        <v>2702</v>
      </c>
      <c r="BN2864" s="55">
        <v>4</v>
      </c>
      <c r="BO2864" s="55">
        <v>4</v>
      </c>
      <c r="BQ2864" s="55" t="s">
        <v>141</v>
      </c>
      <c r="BS2864" s="55">
        <v>2860</v>
      </c>
      <c r="BU2864" s="55">
        <f>BS2864/76</f>
        <v>37.631578947368418</v>
      </c>
      <c r="BV2864" s="55" t="s">
        <v>2850</v>
      </c>
      <c r="BW2864" s="65">
        <v>2520</v>
      </c>
      <c r="BX2864" s="65">
        <v>1260</v>
      </c>
      <c r="CB2864" s="66">
        <v>1380</v>
      </c>
      <c r="CC2864" s="66">
        <v>710</v>
      </c>
      <c r="DB2864" s="65">
        <f>AVERAGE(14,38,44,49)</f>
        <v>36.25</v>
      </c>
      <c r="DC2864" s="65">
        <f>AVERAGE(43,45,56,71)</f>
        <v>53.75</v>
      </c>
      <c r="DF2864" s="65" t="s">
        <v>2848</v>
      </c>
      <c r="GN2864" s="294">
        <v>157</v>
      </c>
      <c r="GO2864" s="294">
        <v>144</v>
      </c>
      <c r="GP2864" s="292" t="s">
        <v>5150</v>
      </c>
      <c r="GS2864" s="65" t="s">
        <v>2844</v>
      </c>
    </row>
    <row r="2865" spans="1:201" x14ac:dyDescent="0.25">
      <c r="A2865" s="55">
        <v>2864</v>
      </c>
      <c r="B2865" s="12" t="s">
        <v>7067</v>
      </c>
      <c r="C2865" s="155">
        <v>133</v>
      </c>
      <c r="D2865" s="55" t="s">
        <v>3169</v>
      </c>
      <c r="E2865" s="90" t="s">
        <v>2829</v>
      </c>
      <c r="G2865" s="55" t="s">
        <v>2830</v>
      </c>
      <c r="H2865" s="55">
        <v>2005</v>
      </c>
      <c r="I2865" s="55" t="s">
        <v>2847</v>
      </c>
      <c r="J2865" s="55" t="s">
        <v>2831</v>
      </c>
      <c r="K2865" s="55" t="s">
        <v>2833</v>
      </c>
      <c r="L2865" s="55" t="s">
        <v>2757</v>
      </c>
      <c r="M2865" s="90">
        <v>0.28999999999999998</v>
      </c>
      <c r="N2865" s="90">
        <f>34+44/60</f>
        <v>34.733333333333334</v>
      </c>
      <c r="O2865" s="90">
        <v>1420</v>
      </c>
      <c r="S2865" s="90">
        <v>1800</v>
      </c>
      <c r="U2865" s="55" t="s">
        <v>1935</v>
      </c>
      <c r="V2865" s="55" t="s">
        <v>1935</v>
      </c>
      <c r="Y2865" s="55" t="s">
        <v>2847</v>
      </c>
      <c r="Z2865" s="55" t="s">
        <v>1349</v>
      </c>
      <c r="AA2865" s="90" t="s">
        <v>1677</v>
      </c>
      <c r="AE2865" s="90">
        <v>58</v>
      </c>
      <c r="AF2865" s="90">
        <v>26</v>
      </c>
      <c r="AH2865" s="55" t="s">
        <v>494</v>
      </c>
      <c r="AI2865" s="168">
        <v>5.4</v>
      </c>
      <c r="AJ2865" s="90">
        <v>0.14000000000000001</v>
      </c>
      <c r="AN2865" s="185" t="s">
        <v>2841</v>
      </c>
      <c r="AO2865" s="185" t="s">
        <v>5150</v>
      </c>
      <c r="AQ2865" s="55" t="s">
        <v>553</v>
      </c>
      <c r="AR2865" s="55" t="s">
        <v>1607</v>
      </c>
      <c r="AS2865" s="55" t="s">
        <v>132</v>
      </c>
      <c r="AU2865" s="181" t="s">
        <v>7494</v>
      </c>
      <c r="AV2865" s="185" t="s">
        <v>176</v>
      </c>
      <c r="AX2865" s="185" t="s">
        <v>176</v>
      </c>
      <c r="BK2865" s="55" t="s">
        <v>6333</v>
      </c>
      <c r="BM2865" s="192" t="s">
        <v>2702</v>
      </c>
      <c r="BN2865" s="55">
        <v>4</v>
      </c>
      <c r="BO2865" s="55">
        <v>4</v>
      </c>
      <c r="BQ2865" s="55" t="s">
        <v>141</v>
      </c>
      <c r="BS2865" s="55">
        <v>2860</v>
      </c>
      <c r="BU2865" s="55">
        <f>BS2865/76</f>
        <v>37.631578947368418</v>
      </c>
      <c r="BV2865" s="55" t="s">
        <v>2849</v>
      </c>
      <c r="BW2865" s="65">
        <v>2520</v>
      </c>
      <c r="BX2865" s="65">
        <v>2590</v>
      </c>
      <c r="CB2865" s="66">
        <v>1380</v>
      </c>
      <c r="CC2865" s="66">
        <v>1100</v>
      </c>
      <c r="DB2865" s="65">
        <f>AVERAGE(14,38,44,49)</f>
        <v>36.25</v>
      </c>
      <c r="DC2865" s="65">
        <f>AVERAGE(20,31,46,49)</f>
        <v>36.5</v>
      </c>
      <c r="DF2865" s="65" t="s">
        <v>2848</v>
      </c>
      <c r="GN2865" s="294">
        <v>157</v>
      </c>
      <c r="GO2865" s="294">
        <v>162</v>
      </c>
      <c r="GP2865" s="292" t="s">
        <v>5150</v>
      </c>
      <c r="GS2865" s="65" t="s">
        <v>2844</v>
      </c>
    </row>
    <row r="2866" spans="1:201" x14ac:dyDescent="0.25">
      <c r="A2866" s="55">
        <v>2865</v>
      </c>
      <c r="B2866" s="12" t="s">
        <v>7067</v>
      </c>
      <c r="C2866" s="155">
        <v>133</v>
      </c>
      <c r="D2866" s="55" t="s">
        <v>3169</v>
      </c>
      <c r="E2866" s="90" t="s">
        <v>2829</v>
      </c>
      <c r="G2866" s="55" t="s">
        <v>2830</v>
      </c>
      <c r="H2866" s="55">
        <v>2005</v>
      </c>
      <c r="I2866" s="55" t="s">
        <v>2847</v>
      </c>
      <c r="J2866" s="55" t="s">
        <v>2831</v>
      </c>
      <c r="K2866" s="55" t="s">
        <v>2833</v>
      </c>
      <c r="L2866" s="55" t="s">
        <v>2757</v>
      </c>
      <c r="M2866" s="90">
        <v>0.28999999999999998</v>
      </c>
      <c r="N2866" s="90">
        <f>34+44/60</f>
        <v>34.733333333333334</v>
      </c>
      <c r="O2866" s="90">
        <v>1420</v>
      </c>
      <c r="S2866" s="90">
        <v>1800</v>
      </c>
      <c r="U2866" s="55" t="s">
        <v>1935</v>
      </c>
      <c r="V2866" s="55" t="s">
        <v>1935</v>
      </c>
      <c r="Y2866" s="55" t="s">
        <v>2847</v>
      </c>
      <c r="Z2866" s="55" t="s">
        <v>1349</v>
      </c>
      <c r="AA2866" s="90" t="s">
        <v>1677</v>
      </c>
      <c r="AE2866" s="90">
        <v>58</v>
      </c>
      <c r="AF2866" s="90">
        <v>26</v>
      </c>
      <c r="AH2866" s="55" t="s">
        <v>494</v>
      </c>
      <c r="AI2866" s="168">
        <v>5.4</v>
      </c>
      <c r="AJ2866" s="90">
        <v>0.14000000000000001</v>
      </c>
      <c r="AN2866" s="185" t="s">
        <v>2841</v>
      </c>
      <c r="AO2866" s="185" t="s">
        <v>5150</v>
      </c>
      <c r="AQ2866" s="55" t="s">
        <v>553</v>
      </c>
      <c r="AR2866" s="55" t="s">
        <v>1607</v>
      </c>
      <c r="AS2866" s="55" t="s">
        <v>132</v>
      </c>
      <c r="AU2866" s="181" t="s">
        <v>7494</v>
      </c>
      <c r="AV2866" s="185" t="s">
        <v>176</v>
      </c>
      <c r="AX2866" s="185" t="s">
        <v>176</v>
      </c>
      <c r="BK2866" s="55" t="s">
        <v>6333</v>
      </c>
      <c r="BM2866" s="192" t="s">
        <v>2702</v>
      </c>
      <c r="BN2866" s="55">
        <v>4</v>
      </c>
      <c r="BO2866" s="55">
        <v>4</v>
      </c>
      <c r="BQ2866" s="55" t="s">
        <v>141</v>
      </c>
      <c r="BS2866" s="55">
        <v>2860</v>
      </c>
      <c r="BU2866" s="55">
        <f>BS2866/76</f>
        <v>37.631578947368418</v>
      </c>
      <c r="BV2866" s="55" t="s">
        <v>2851</v>
      </c>
      <c r="BW2866" s="65">
        <v>2520</v>
      </c>
      <c r="BX2866" s="65">
        <v>3040</v>
      </c>
      <c r="CB2866" s="66">
        <v>1380</v>
      </c>
      <c r="CC2866" s="66">
        <v>1240</v>
      </c>
      <c r="DB2866" s="65">
        <f>AVERAGE(14,38,44,49)</f>
        <v>36.25</v>
      </c>
      <c r="DC2866" s="65">
        <f>AVERAGE(18,32,54,61)</f>
        <v>41.25</v>
      </c>
      <c r="DF2866" s="65" t="s">
        <v>2848</v>
      </c>
      <c r="GN2866" s="294">
        <v>157</v>
      </c>
      <c r="GO2866" s="294">
        <v>105</v>
      </c>
      <c r="GP2866" s="292" t="s">
        <v>5150</v>
      </c>
      <c r="GS2866" s="65" t="s">
        <v>2844</v>
      </c>
    </row>
    <row r="2867" spans="1:201" x14ac:dyDescent="0.25">
      <c r="A2867" s="55">
        <v>2866</v>
      </c>
      <c r="B2867" s="12" t="s">
        <v>7067</v>
      </c>
      <c r="C2867" s="155">
        <v>133</v>
      </c>
      <c r="D2867" s="55" t="s">
        <v>3169</v>
      </c>
      <c r="E2867" s="90" t="s">
        <v>2829</v>
      </c>
      <c r="G2867" s="55" t="s">
        <v>2830</v>
      </c>
      <c r="H2867" s="55">
        <v>2005</v>
      </c>
      <c r="I2867" s="55" t="s">
        <v>2847</v>
      </c>
      <c r="J2867" s="55" t="s">
        <v>2831</v>
      </c>
      <c r="K2867" s="55" t="s">
        <v>2833</v>
      </c>
      <c r="L2867" s="55" t="s">
        <v>2757</v>
      </c>
      <c r="M2867" s="90">
        <v>0.28999999999999998</v>
      </c>
      <c r="N2867" s="90">
        <f>34+44/60</f>
        <v>34.733333333333334</v>
      </c>
      <c r="O2867" s="90">
        <v>1420</v>
      </c>
      <c r="S2867" s="90">
        <v>1800</v>
      </c>
      <c r="U2867" s="55" t="s">
        <v>1935</v>
      </c>
      <c r="V2867" s="55" t="s">
        <v>1935</v>
      </c>
      <c r="Y2867" s="55" t="s">
        <v>2847</v>
      </c>
      <c r="Z2867" s="55" t="s">
        <v>1349</v>
      </c>
      <c r="AA2867" s="90" t="s">
        <v>1677</v>
      </c>
      <c r="AE2867" s="90">
        <v>58</v>
      </c>
      <c r="AF2867" s="90">
        <v>26</v>
      </c>
      <c r="AH2867" s="55" t="s">
        <v>494</v>
      </c>
      <c r="AI2867" s="168">
        <v>5.4</v>
      </c>
      <c r="AJ2867" s="90">
        <v>0.14000000000000001</v>
      </c>
      <c r="AN2867" s="185" t="s">
        <v>2846</v>
      </c>
      <c r="AO2867" s="185" t="s">
        <v>5150</v>
      </c>
      <c r="AQ2867" s="55" t="s">
        <v>553</v>
      </c>
      <c r="AR2867" s="55" t="s">
        <v>1607</v>
      </c>
      <c r="AS2867" s="55" t="s">
        <v>132</v>
      </c>
      <c r="AU2867" s="181" t="s">
        <v>7494</v>
      </c>
      <c r="AV2867" s="185" t="s">
        <v>176</v>
      </c>
      <c r="AX2867" s="185" t="s">
        <v>176</v>
      </c>
      <c r="BK2867" s="55" t="s">
        <v>6333</v>
      </c>
      <c r="BM2867" s="192" t="s">
        <v>2702</v>
      </c>
      <c r="BN2867" s="55">
        <v>4</v>
      </c>
      <c r="BO2867" s="55">
        <v>4</v>
      </c>
      <c r="BQ2867" s="55" t="s">
        <v>141</v>
      </c>
      <c r="BS2867" s="55">
        <v>1840</v>
      </c>
      <c r="BU2867" s="55">
        <f>BS2867/66</f>
        <v>27.878787878787879</v>
      </c>
      <c r="BV2867" s="55" t="s">
        <v>2850</v>
      </c>
      <c r="BW2867" s="65">
        <v>2520</v>
      </c>
      <c r="BX2867" s="65">
        <v>1330</v>
      </c>
      <c r="CB2867" s="66">
        <v>1380</v>
      </c>
      <c r="CC2867" s="66">
        <v>460</v>
      </c>
      <c r="DB2867" s="65">
        <f>AVERAGE(14,38,44,49)</f>
        <v>36.25</v>
      </c>
      <c r="DC2867" s="65">
        <f>AVERAGE(38,43,57,60)</f>
        <v>49.5</v>
      </c>
      <c r="DF2867" s="65" t="s">
        <v>2848</v>
      </c>
      <c r="GN2867" s="294">
        <v>157</v>
      </c>
      <c r="GO2867" s="294">
        <v>166</v>
      </c>
      <c r="GP2867" s="292" t="s">
        <v>5150</v>
      </c>
      <c r="GS2867" s="65" t="s">
        <v>2844</v>
      </c>
    </row>
    <row r="2868" spans="1:201" x14ac:dyDescent="0.25">
      <c r="A2868" s="55">
        <v>2867</v>
      </c>
      <c r="B2868" s="12" t="s">
        <v>7067</v>
      </c>
      <c r="C2868" s="155">
        <v>133</v>
      </c>
      <c r="D2868" s="55" t="s">
        <v>3169</v>
      </c>
      <c r="E2868" s="90" t="s">
        <v>2829</v>
      </c>
      <c r="G2868" s="55" t="s">
        <v>2830</v>
      </c>
      <c r="H2868" s="55">
        <v>2005</v>
      </c>
      <c r="I2868" s="55" t="s">
        <v>2847</v>
      </c>
      <c r="J2868" s="55" t="s">
        <v>2831</v>
      </c>
      <c r="K2868" s="55" t="s">
        <v>2833</v>
      </c>
      <c r="L2868" s="55" t="s">
        <v>2757</v>
      </c>
      <c r="M2868" s="90">
        <v>0.28999999999999998</v>
      </c>
      <c r="N2868" s="90">
        <f>34+44/60</f>
        <v>34.733333333333334</v>
      </c>
      <c r="O2868" s="90">
        <v>1420</v>
      </c>
      <c r="S2868" s="90">
        <v>1800</v>
      </c>
      <c r="U2868" s="55" t="s">
        <v>1935</v>
      </c>
      <c r="V2868" s="55" t="s">
        <v>1935</v>
      </c>
      <c r="Y2868" s="55" t="s">
        <v>2847</v>
      </c>
      <c r="Z2868" s="55" t="s">
        <v>1349</v>
      </c>
      <c r="AA2868" s="90" t="s">
        <v>1677</v>
      </c>
      <c r="AE2868" s="90">
        <v>58</v>
      </c>
      <c r="AF2868" s="90">
        <v>26</v>
      </c>
      <c r="AH2868" s="55" t="s">
        <v>494</v>
      </c>
      <c r="AI2868" s="168">
        <v>5.4</v>
      </c>
      <c r="AJ2868" s="90">
        <v>0.14000000000000001</v>
      </c>
      <c r="AN2868" s="185" t="s">
        <v>2846</v>
      </c>
      <c r="AO2868" s="185" t="s">
        <v>5150</v>
      </c>
      <c r="AQ2868" s="55" t="s">
        <v>553</v>
      </c>
      <c r="AR2868" s="55" t="s">
        <v>1607</v>
      </c>
      <c r="AS2868" s="55" t="s">
        <v>132</v>
      </c>
      <c r="AU2868" s="181" t="s">
        <v>7494</v>
      </c>
      <c r="AV2868" s="185" t="s">
        <v>176</v>
      </c>
      <c r="AX2868" s="185" t="s">
        <v>176</v>
      </c>
      <c r="BK2868" s="55" t="s">
        <v>6333</v>
      </c>
      <c r="BM2868" s="192" t="s">
        <v>2702</v>
      </c>
      <c r="BN2868" s="55">
        <v>4</v>
      </c>
      <c r="BO2868" s="55">
        <v>4</v>
      </c>
      <c r="BQ2868" s="55" t="s">
        <v>141</v>
      </c>
      <c r="BS2868" s="55">
        <v>1840</v>
      </c>
      <c r="BU2868" s="55">
        <f>BS2868/66</f>
        <v>27.878787878787879</v>
      </c>
      <c r="BV2868" s="55" t="s">
        <v>2849</v>
      </c>
      <c r="BW2868" s="65">
        <v>2520</v>
      </c>
      <c r="BX2868" s="65">
        <v>3170</v>
      </c>
      <c r="CB2868" s="66">
        <v>1380</v>
      </c>
      <c r="CC2868" s="66">
        <v>1530</v>
      </c>
      <c r="DB2868" s="65">
        <f>AVERAGE(14,38,44,49)</f>
        <v>36.25</v>
      </c>
      <c r="DC2868" s="65">
        <f>AVERAGE(32,36,48,39)</f>
        <v>38.75</v>
      </c>
      <c r="DF2868" s="65" t="s">
        <v>2848</v>
      </c>
      <c r="GN2868" s="294">
        <v>157</v>
      </c>
      <c r="GO2868" s="294">
        <v>82</v>
      </c>
      <c r="GP2868" s="292" t="s">
        <v>5150</v>
      </c>
      <c r="GS2868" s="65" t="s">
        <v>2844</v>
      </c>
    </row>
    <row r="2869" spans="1:201" x14ac:dyDescent="0.25">
      <c r="A2869" s="55">
        <v>2868</v>
      </c>
      <c r="B2869" s="12" t="s">
        <v>7067</v>
      </c>
      <c r="C2869" s="155">
        <v>133</v>
      </c>
      <c r="D2869" s="55" t="s">
        <v>3169</v>
      </c>
      <c r="E2869" s="90" t="s">
        <v>2829</v>
      </c>
      <c r="G2869" s="55" t="s">
        <v>2830</v>
      </c>
      <c r="H2869" s="55">
        <v>2005</v>
      </c>
      <c r="I2869" s="55" t="s">
        <v>2847</v>
      </c>
      <c r="J2869" s="55" t="s">
        <v>2831</v>
      </c>
      <c r="K2869" s="55" t="s">
        <v>2833</v>
      </c>
      <c r="L2869" s="55" t="s">
        <v>2757</v>
      </c>
      <c r="M2869" s="90">
        <v>0.28999999999999998</v>
      </c>
      <c r="N2869" s="90">
        <f>34+44/60</f>
        <v>34.733333333333334</v>
      </c>
      <c r="O2869" s="90">
        <v>1420</v>
      </c>
      <c r="S2869" s="90">
        <v>1800</v>
      </c>
      <c r="U2869" s="55" t="s">
        <v>1935</v>
      </c>
      <c r="V2869" s="55" t="s">
        <v>1935</v>
      </c>
      <c r="Y2869" s="55" t="s">
        <v>2847</v>
      </c>
      <c r="Z2869" s="55" t="s">
        <v>1349</v>
      </c>
      <c r="AA2869" s="90" t="s">
        <v>1677</v>
      </c>
      <c r="AE2869" s="90">
        <v>58</v>
      </c>
      <c r="AF2869" s="90">
        <v>26</v>
      </c>
      <c r="AH2869" s="55" t="s">
        <v>494</v>
      </c>
      <c r="AI2869" s="168">
        <v>5.4</v>
      </c>
      <c r="AJ2869" s="90">
        <v>0.14000000000000001</v>
      </c>
      <c r="AN2869" s="185" t="s">
        <v>2846</v>
      </c>
      <c r="AO2869" s="185" t="s">
        <v>5150</v>
      </c>
      <c r="AQ2869" s="55" t="s">
        <v>553</v>
      </c>
      <c r="AR2869" s="55" t="s">
        <v>1607</v>
      </c>
      <c r="AS2869" s="55" t="s">
        <v>132</v>
      </c>
      <c r="AU2869" s="181" t="s">
        <v>7494</v>
      </c>
      <c r="AV2869" s="185" t="s">
        <v>176</v>
      </c>
      <c r="AX2869" s="185" t="s">
        <v>176</v>
      </c>
      <c r="BK2869" s="55" t="s">
        <v>6333</v>
      </c>
      <c r="BM2869" s="192" t="s">
        <v>2702</v>
      </c>
      <c r="BN2869" s="55">
        <v>4</v>
      </c>
      <c r="BO2869" s="55">
        <v>4</v>
      </c>
      <c r="BQ2869" s="55" t="s">
        <v>141</v>
      </c>
      <c r="BS2869" s="55">
        <v>1840</v>
      </c>
      <c r="BU2869" s="55">
        <f>BS2869/66</f>
        <v>27.878787878787879</v>
      </c>
      <c r="BV2869" s="55" t="s">
        <v>2851</v>
      </c>
      <c r="BW2869" s="65">
        <v>2520</v>
      </c>
      <c r="BX2869" s="65">
        <v>3500</v>
      </c>
      <c r="CB2869" s="66">
        <v>1380</v>
      </c>
      <c r="CC2869" s="66">
        <v>2350</v>
      </c>
      <c r="DB2869" s="65">
        <f>AVERAGE(14,38,44,49)</f>
        <v>36.25</v>
      </c>
      <c r="DC2869" s="65">
        <f>AVERAGE(29,39,51,47)</f>
        <v>41.5</v>
      </c>
      <c r="DF2869" s="65" t="s">
        <v>2848</v>
      </c>
      <c r="GN2869" s="294">
        <v>157</v>
      </c>
      <c r="GO2869" s="294">
        <v>104</v>
      </c>
      <c r="GP2869" s="292" t="s">
        <v>5150</v>
      </c>
      <c r="GS2869" s="65" t="s">
        <v>2844</v>
      </c>
    </row>
    <row r="2870" spans="1:201" x14ac:dyDescent="0.25">
      <c r="A2870" s="55">
        <v>2869</v>
      </c>
      <c r="B2870" s="12" t="s">
        <v>7067</v>
      </c>
      <c r="C2870" s="155">
        <v>133</v>
      </c>
      <c r="D2870" s="55" t="s">
        <v>3169</v>
      </c>
      <c r="E2870" s="90" t="s">
        <v>2829</v>
      </c>
      <c r="G2870" s="55" t="s">
        <v>2830</v>
      </c>
      <c r="H2870" s="55">
        <v>2005</v>
      </c>
      <c r="I2870" s="55" t="s">
        <v>2847</v>
      </c>
      <c r="J2870" s="55" t="s">
        <v>2831</v>
      </c>
      <c r="K2870" s="55" t="s">
        <v>2833</v>
      </c>
      <c r="L2870" s="55" t="s">
        <v>2757</v>
      </c>
      <c r="M2870" s="90">
        <v>0.28999999999999998</v>
      </c>
      <c r="N2870" s="90">
        <f>34+44/60</f>
        <v>34.733333333333334</v>
      </c>
      <c r="O2870" s="90">
        <v>1420</v>
      </c>
      <c r="S2870" s="90">
        <v>1800</v>
      </c>
      <c r="U2870" s="55" t="s">
        <v>1935</v>
      </c>
      <c r="V2870" s="55" t="s">
        <v>1935</v>
      </c>
      <c r="Y2870" s="55" t="s">
        <v>2847</v>
      </c>
      <c r="Z2870" s="55" t="s">
        <v>1349</v>
      </c>
      <c r="AA2870" s="90" t="s">
        <v>1677</v>
      </c>
      <c r="AE2870" s="90">
        <v>58</v>
      </c>
      <c r="AF2870" s="90">
        <v>26</v>
      </c>
      <c r="AH2870" s="55" t="s">
        <v>494</v>
      </c>
      <c r="AI2870" s="168">
        <v>5.4</v>
      </c>
      <c r="AJ2870" s="90">
        <v>0.14000000000000001</v>
      </c>
      <c r="AN2870" s="185" t="s">
        <v>2838</v>
      </c>
      <c r="AO2870" s="185" t="s">
        <v>5150</v>
      </c>
      <c r="AQ2870" s="55" t="s">
        <v>553</v>
      </c>
      <c r="AR2870" s="55" t="s">
        <v>1607</v>
      </c>
      <c r="AS2870" s="55" t="s">
        <v>132</v>
      </c>
      <c r="AU2870" s="181" t="s">
        <v>7494</v>
      </c>
      <c r="AV2870" s="185" t="s">
        <v>176</v>
      </c>
      <c r="AX2870" s="185" t="s">
        <v>176</v>
      </c>
      <c r="BK2870" s="55" t="s">
        <v>6333</v>
      </c>
      <c r="BM2870" s="192" t="s">
        <v>2702</v>
      </c>
      <c r="BN2870" s="55">
        <v>4</v>
      </c>
      <c r="BO2870" s="55">
        <v>4</v>
      </c>
      <c r="BQ2870" s="55" t="s">
        <v>141</v>
      </c>
      <c r="BS2870" s="55">
        <v>2510</v>
      </c>
      <c r="BU2870" s="55">
        <f>BS2870/61</f>
        <v>41.147540983606561</v>
      </c>
      <c r="BV2870" s="55" t="s">
        <v>2850</v>
      </c>
      <c r="BW2870" s="65">
        <v>2520</v>
      </c>
      <c r="BX2870" s="65">
        <v>2790</v>
      </c>
      <c r="CB2870" s="66">
        <v>1380</v>
      </c>
      <c r="CC2870" s="66">
        <v>970</v>
      </c>
      <c r="DB2870" s="65">
        <f>AVERAGE(14,38,44,49)</f>
        <v>36.25</v>
      </c>
      <c r="DC2870" s="65">
        <f>AVERAGE(28,36,50,79)</f>
        <v>48.25</v>
      </c>
      <c r="DF2870" s="65" t="s">
        <v>2848</v>
      </c>
      <c r="GN2870" s="294">
        <v>157</v>
      </c>
      <c r="GO2870" s="294">
        <v>133</v>
      </c>
      <c r="GP2870" s="292" t="s">
        <v>5150</v>
      </c>
      <c r="GS2870" s="65" t="s">
        <v>2844</v>
      </c>
    </row>
    <row r="2871" spans="1:201" x14ac:dyDescent="0.25">
      <c r="A2871" s="55">
        <v>2870</v>
      </c>
      <c r="B2871" s="12" t="s">
        <v>7067</v>
      </c>
      <c r="C2871" s="155">
        <v>133</v>
      </c>
      <c r="D2871" s="55" t="s">
        <v>3169</v>
      </c>
      <c r="E2871" s="90" t="s">
        <v>2829</v>
      </c>
      <c r="G2871" s="55" t="s">
        <v>2830</v>
      </c>
      <c r="H2871" s="55">
        <v>2005</v>
      </c>
      <c r="I2871" s="55" t="s">
        <v>2847</v>
      </c>
      <c r="J2871" s="55" t="s">
        <v>2831</v>
      </c>
      <c r="K2871" s="55" t="s">
        <v>2833</v>
      </c>
      <c r="L2871" s="55" t="s">
        <v>2757</v>
      </c>
      <c r="M2871" s="90">
        <v>0.28999999999999998</v>
      </c>
      <c r="N2871" s="90">
        <f>34+44/60</f>
        <v>34.733333333333334</v>
      </c>
      <c r="O2871" s="90">
        <v>1420</v>
      </c>
      <c r="S2871" s="90">
        <v>1800</v>
      </c>
      <c r="U2871" s="55" t="s">
        <v>1935</v>
      </c>
      <c r="V2871" s="55" t="s">
        <v>1935</v>
      </c>
      <c r="Y2871" s="55" t="s">
        <v>2847</v>
      </c>
      <c r="Z2871" s="55" t="s">
        <v>1349</v>
      </c>
      <c r="AA2871" s="90" t="s">
        <v>1677</v>
      </c>
      <c r="AE2871" s="90">
        <v>58</v>
      </c>
      <c r="AF2871" s="90">
        <v>26</v>
      </c>
      <c r="AH2871" s="55" t="s">
        <v>494</v>
      </c>
      <c r="AI2871" s="168">
        <v>5.4</v>
      </c>
      <c r="AJ2871" s="90">
        <v>0.14000000000000001</v>
      </c>
      <c r="AN2871" s="185" t="s">
        <v>2838</v>
      </c>
      <c r="AO2871" s="185" t="s">
        <v>5150</v>
      </c>
      <c r="AQ2871" s="55" t="s">
        <v>553</v>
      </c>
      <c r="AR2871" s="55" t="s">
        <v>1607</v>
      </c>
      <c r="AS2871" s="55" t="s">
        <v>132</v>
      </c>
      <c r="AU2871" s="181" t="s">
        <v>7494</v>
      </c>
      <c r="AV2871" s="185" t="s">
        <v>176</v>
      </c>
      <c r="AX2871" s="185" t="s">
        <v>176</v>
      </c>
      <c r="BK2871" s="55" t="s">
        <v>6333</v>
      </c>
      <c r="BM2871" s="192" t="s">
        <v>2702</v>
      </c>
      <c r="BN2871" s="55">
        <v>4</v>
      </c>
      <c r="BO2871" s="55">
        <v>4</v>
      </c>
      <c r="BQ2871" s="55" t="s">
        <v>141</v>
      </c>
      <c r="BS2871" s="55">
        <v>2510</v>
      </c>
      <c r="BU2871" s="55">
        <f>BS2871/61</f>
        <v>41.147540983606561</v>
      </c>
      <c r="BV2871" s="55" t="s">
        <v>2849</v>
      </c>
      <c r="BW2871" s="65">
        <v>2520</v>
      </c>
      <c r="BX2871" s="65">
        <v>2960</v>
      </c>
      <c r="CB2871" s="66">
        <v>1380</v>
      </c>
      <c r="CC2871" s="66">
        <v>1810</v>
      </c>
      <c r="DB2871" s="65">
        <f>AVERAGE(14,38,44,49)</f>
        <v>36.25</v>
      </c>
      <c r="DC2871" s="65">
        <f>AVERAGE(25,27,41,59)</f>
        <v>38</v>
      </c>
      <c r="DF2871" s="65" t="s">
        <v>2848</v>
      </c>
      <c r="GN2871" s="294">
        <v>157</v>
      </c>
      <c r="GO2871" s="294">
        <v>117</v>
      </c>
      <c r="GP2871" s="292" t="s">
        <v>5150</v>
      </c>
      <c r="GS2871" s="65" t="s">
        <v>2844</v>
      </c>
    </row>
    <row r="2872" spans="1:201" x14ac:dyDescent="0.25">
      <c r="A2872" s="55">
        <v>2871</v>
      </c>
      <c r="B2872" s="12" t="s">
        <v>7067</v>
      </c>
      <c r="C2872" s="155">
        <v>133</v>
      </c>
      <c r="D2872" s="55" t="s">
        <v>3169</v>
      </c>
      <c r="E2872" s="90" t="s">
        <v>2829</v>
      </c>
      <c r="G2872" s="55" t="s">
        <v>2830</v>
      </c>
      <c r="H2872" s="55">
        <v>2005</v>
      </c>
      <c r="I2872" s="55" t="s">
        <v>2847</v>
      </c>
      <c r="J2872" s="55" t="s">
        <v>2831</v>
      </c>
      <c r="K2872" s="55" t="s">
        <v>2833</v>
      </c>
      <c r="L2872" s="55" t="s">
        <v>2757</v>
      </c>
      <c r="M2872" s="90">
        <v>0.28999999999999998</v>
      </c>
      <c r="N2872" s="90">
        <f>34+44/60</f>
        <v>34.733333333333334</v>
      </c>
      <c r="O2872" s="90">
        <v>1420</v>
      </c>
      <c r="S2872" s="90">
        <v>1800</v>
      </c>
      <c r="U2872" s="55" t="s">
        <v>1935</v>
      </c>
      <c r="V2872" s="55" t="s">
        <v>1935</v>
      </c>
      <c r="Y2872" s="55" t="s">
        <v>2847</v>
      </c>
      <c r="Z2872" s="55" t="s">
        <v>1349</v>
      </c>
      <c r="AA2872" s="90" t="s">
        <v>1677</v>
      </c>
      <c r="AE2872" s="90">
        <v>58</v>
      </c>
      <c r="AF2872" s="90">
        <v>26</v>
      </c>
      <c r="AH2872" s="55" t="s">
        <v>494</v>
      </c>
      <c r="AI2872" s="168">
        <v>5.4</v>
      </c>
      <c r="AJ2872" s="90">
        <v>0.14000000000000001</v>
      </c>
      <c r="AN2872" s="185" t="s">
        <v>2838</v>
      </c>
      <c r="AO2872" s="185" t="s">
        <v>5150</v>
      </c>
      <c r="AQ2872" s="55" t="s">
        <v>553</v>
      </c>
      <c r="AR2872" s="55" t="s">
        <v>1607</v>
      </c>
      <c r="AS2872" s="55" t="s">
        <v>132</v>
      </c>
      <c r="AU2872" s="181" t="s">
        <v>7494</v>
      </c>
      <c r="AV2872" s="185" t="s">
        <v>176</v>
      </c>
      <c r="AX2872" s="185" t="s">
        <v>176</v>
      </c>
      <c r="BK2872" s="55" t="s">
        <v>6333</v>
      </c>
      <c r="BM2872" s="192" t="s">
        <v>2702</v>
      </c>
      <c r="BN2872" s="55">
        <v>4</v>
      </c>
      <c r="BO2872" s="55">
        <v>4</v>
      </c>
      <c r="BQ2872" s="55" t="s">
        <v>141</v>
      </c>
      <c r="BS2872" s="55">
        <v>2510</v>
      </c>
      <c r="BU2872" s="55">
        <f>BS2872/61</f>
        <v>41.147540983606561</v>
      </c>
      <c r="BV2872" s="55" t="s">
        <v>2851</v>
      </c>
      <c r="BW2872" s="65">
        <v>2520</v>
      </c>
      <c r="BX2872" s="65">
        <v>3900</v>
      </c>
      <c r="CB2872" s="66">
        <v>1380</v>
      </c>
      <c r="CC2872" s="66">
        <v>1820</v>
      </c>
      <c r="DB2872" s="65">
        <f>AVERAGE(14,38,44,49)</f>
        <v>36.25</v>
      </c>
      <c r="DC2872" s="65">
        <f>AVERAGE(25,53,42,48)</f>
        <v>42</v>
      </c>
      <c r="DF2872" s="65" t="s">
        <v>2848</v>
      </c>
      <c r="GN2872" s="294">
        <v>157</v>
      </c>
      <c r="GO2872" s="294">
        <v>131</v>
      </c>
      <c r="GP2872" s="292" t="s">
        <v>5150</v>
      </c>
      <c r="GS2872" s="65" t="s">
        <v>2844</v>
      </c>
    </row>
    <row r="2873" spans="1:201" x14ac:dyDescent="0.25">
      <c r="A2873" s="55">
        <v>2872</v>
      </c>
      <c r="B2873" s="12" t="s">
        <v>7067</v>
      </c>
      <c r="C2873" s="155">
        <v>134</v>
      </c>
      <c r="D2873" s="55" t="s">
        <v>4287</v>
      </c>
      <c r="E2873" s="90" t="s">
        <v>2852</v>
      </c>
      <c r="G2873" s="55" t="s">
        <v>396</v>
      </c>
      <c r="H2873" s="55">
        <v>1991</v>
      </c>
      <c r="I2873" s="55">
        <v>1988</v>
      </c>
      <c r="J2873" s="55" t="s">
        <v>2853</v>
      </c>
      <c r="K2873" s="55" t="s">
        <v>2854</v>
      </c>
      <c r="L2873" s="55" t="s">
        <v>2744</v>
      </c>
      <c r="M2873" s="90">
        <f>4+51/60</f>
        <v>4.8499999999999996</v>
      </c>
      <c r="N2873" s="90">
        <f>7+3/60</f>
        <v>7.05</v>
      </c>
      <c r="O2873" s="90">
        <v>21.6</v>
      </c>
      <c r="S2873" s="90">
        <v>2400</v>
      </c>
      <c r="U2873" s="55" t="s">
        <v>1688</v>
      </c>
      <c r="V2873" s="55" t="s">
        <v>1688</v>
      </c>
      <c r="Y2873" s="55" t="s">
        <v>2855</v>
      </c>
      <c r="Z2873" s="55" t="s">
        <v>1361</v>
      </c>
      <c r="AA2873" s="90" t="s">
        <v>1682</v>
      </c>
      <c r="AH2873" s="55" t="s">
        <v>139</v>
      </c>
      <c r="AI2873" s="168">
        <v>4.8</v>
      </c>
      <c r="AJ2873" s="90">
        <v>1.84</v>
      </c>
      <c r="AM2873" s="55" t="s">
        <v>2856</v>
      </c>
      <c r="AN2873" s="185" t="s">
        <v>2858</v>
      </c>
      <c r="AO2873" s="185" t="s">
        <v>5150</v>
      </c>
      <c r="AQ2873" s="55" t="s">
        <v>553</v>
      </c>
      <c r="AR2873" s="55" t="s">
        <v>1607</v>
      </c>
      <c r="AS2873" s="55" t="s">
        <v>132</v>
      </c>
      <c r="AU2873" s="181" t="s">
        <v>7494</v>
      </c>
      <c r="AV2873" s="185" t="s">
        <v>176</v>
      </c>
      <c r="AX2873" s="185" t="s">
        <v>176</v>
      </c>
      <c r="BK2873" s="55" t="s">
        <v>6333</v>
      </c>
      <c r="BM2873" s="192" t="s">
        <v>2857</v>
      </c>
      <c r="BW2873" s="65">
        <v>1719</v>
      </c>
      <c r="BX2873" s="65">
        <v>1698</v>
      </c>
      <c r="CA2873" s="65" t="s">
        <v>2861</v>
      </c>
      <c r="CB2873" s="66">
        <v>1217</v>
      </c>
      <c r="CC2873" s="66">
        <v>1071</v>
      </c>
      <c r="CE2873" s="65">
        <v>279</v>
      </c>
      <c r="CF2873" s="65">
        <v>279</v>
      </c>
      <c r="CG2873" s="65" t="s">
        <v>2862</v>
      </c>
      <c r="CM2873" s="65">
        <v>1.84</v>
      </c>
      <c r="CN2873" s="65">
        <v>2.21</v>
      </c>
      <c r="CO2873" s="65">
        <v>0.23</v>
      </c>
      <c r="CP2873" s="65">
        <v>0.23</v>
      </c>
      <c r="CQ2873" s="65" t="s">
        <v>962</v>
      </c>
      <c r="CV2873" s="65" t="s">
        <v>3039</v>
      </c>
      <c r="DA2873" s="65" t="s">
        <v>4458</v>
      </c>
      <c r="DB2873" s="65">
        <v>0.16</v>
      </c>
      <c r="DC2873" s="65">
        <v>0.19</v>
      </c>
      <c r="DF2873" s="65" t="s">
        <v>2860</v>
      </c>
      <c r="DL2873" s="65">
        <v>0.23</v>
      </c>
      <c r="DM2873" s="65">
        <v>0.17</v>
      </c>
      <c r="DQ2873" s="165">
        <v>4.8</v>
      </c>
      <c r="DR2873" s="165">
        <v>4.5999999999999996</v>
      </c>
      <c r="DU2873" s="65">
        <f>0.83+0.28+0.23</f>
        <v>1.3399999999999999</v>
      </c>
      <c r="DV2873" s="65">
        <f>0.68+0.2+0.17</f>
        <v>1.05</v>
      </c>
      <c r="DW2873" s="65">
        <v>5.5E-2</v>
      </c>
      <c r="DX2873" s="65">
        <v>5.5E-2</v>
      </c>
      <c r="GP2873" s="292" t="s">
        <v>7494</v>
      </c>
    </row>
    <row r="2874" spans="1:201" x14ac:dyDescent="0.25">
      <c r="A2874" s="55">
        <v>2873</v>
      </c>
      <c r="B2874" s="12" t="s">
        <v>7067</v>
      </c>
      <c r="C2874" s="155">
        <v>134</v>
      </c>
      <c r="D2874" s="55" t="s">
        <v>4287</v>
      </c>
      <c r="E2874" s="90" t="s">
        <v>2852</v>
      </c>
      <c r="G2874" s="55" t="s">
        <v>396</v>
      </c>
      <c r="H2874" s="55">
        <v>1991</v>
      </c>
      <c r="I2874" s="55">
        <v>1988</v>
      </c>
      <c r="J2874" s="55" t="s">
        <v>2853</v>
      </c>
      <c r="K2874" s="55" t="s">
        <v>2854</v>
      </c>
      <c r="L2874" s="55" t="s">
        <v>2744</v>
      </c>
      <c r="M2874" s="90">
        <f>4+51/60</f>
        <v>4.8499999999999996</v>
      </c>
      <c r="N2874" s="90">
        <f>7+3/60</f>
        <v>7.05</v>
      </c>
      <c r="O2874" s="90">
        <v>21.6</v>
      </c>
      <c r="S2874" s="90">
        <v>2400</v>
      </c>
      <c r="U2874" s="55" t="s">
        <v>1688</v>
      </c>
      <c r="V2874" s="55" t="s">
        <v>1688</v>
      </c>
      <c r="Y2874" s="55" t="s">
        <v>2855</v>
      </c>
      <c r="Z2874" s="55" t="s">
        <v>1361</v>
      </c>
      <c r="AA2874" s="90" t="s">
        <v>1682</v>
      </c>
      <c r="AH2874" s="55" t="s">
        <v>139</v>
      </c>
      <c r="AI2874" s="168">
        <v>4.8</v>
      </c>
      <c r="AJ2874" s="90">
        <v>1.84</v>
      </c>
      <c r="AM2874" s="55" t="s">
        <v>2856</v>
      </c>
      <c r="AN2874" s="185" t="s">
        <v>2859</v>
      </c>
      <c r="AO2874" s="185" t="s">
        <v>5150</v>
      </c>
      <c r="AQ2874" s="55" t="s">
        <v>553</v>
      </c>
      <c r="AR2874" s="55" t="s">
        <v>1607</v>
      </c>
      <c r="AS2874" s="55" t="s">
        <v>132</v>
      </c>
      <c r="AU2874" s="181" t="s">
        <v>7494</v>
      </c>
      <c r="AV2874" s="185" t="s">
        <v>176</v>
      </c>
      <c r="AX2874" s="185" t="s">
        <v>176</v>
      </c>
      <c r="BK2874" s="55" t="s">
        <v>6333</v>
      </c>
      <c r="BM2874" s="192" t="s">
        <v>2857</v>
      </c>
      <c r="BW2874" s="65">
        <v>1719</v>
      </c>
      <c r="BX2874" s="65">
        <v>2665</v>
      </c>
      <c r="CA2874" s="65" t="s">
        <v>2861</v>
      </c>
      <c r="CB2874" s="66">
        <v>1217</v>
      </c>
      <c r="CC2874" s="66">
        <v>2953</v>
      </c>
      <c r="CE2874" s="65">
        <v>279</v>
      </c>
      <c r="CF2874" s="65">
        <v>279</v>
      </c>
      <c r="CG2874" s="65" t="s">
        <v>2862</v>
      </c>
      <c r="CM2874" s="65">
        <v>1.84</v>
      </c>
      <c r="CN2874" s="65">
        <v>2.0699999999999998</v>
      </c>
      <c r="CO2874" s="65">
        <v>0.23</v>
      </c>
      <c r="CP2874" s="65">
        <v>0.23</v>
      </c>
      <c r="CQ2874" s="65" t="s">
        <v>962</v>
      </c>
      <c r="CV2874" s="65" t="s">
        <v>3039</v>
      </c>
      <c r="DA2874" s="65" t="s">
        <v>4458</v>
      </c>
      <c r="DB2874" s="65">
        <v>0.16</v>
      </c>
      <c r="DC2874" s="65">
        <v>0.18</v>
      </c>
      <c r="DF2874" s="65" t="s">
        <v>2860</v>
      </c>
      <c r="DL2874" s="65">
        <v>0.23</v>
      </c>
      <c r="DM2874" s="65">
        <v>0.18</v>
      </c>
      <c r="DQ2874" s="165">
        <v>4.8</v>
      </c>
      <c r="DR2874" s="165">
        <v>4.5999999999999996</v>
      </c>
      <c r="DU2874" s="65">
        <f>0.83+0.28+0.23</f>
        <v>1.3399999999999999</v>
      </c>
      <c r="DV2874" s="65">
        <f>0.8+0.23+0.18</f>
        <v>1.21</v>
      </c>
      <c r="DW2874" s="65">
        <v>5.5E-2</v>
      </c>
      <c r="DX2874" s="65">
        <v>5.5E-2</v>
      </c>
      <c r="GP2874" s="292" t="s">
        <v>7494</v>
      </c>
    </row>
    <row r="2875" spans="1:201" x14ac:dyDescent="0.25">
      <c r="A2875" s="55">
        <v>2874</v>
      </c>
      <c r="B2875" s="12" t="s">
        <v>7067</v>
      </c>
      <c r="C2875" s="155">
        <v>134</v>
      </c>
      <c r="D2875" s="55" t="s">
        <v>4288</v>
      </c>
      <c r="E2875" s="90" t="s">
        <v>2852</v>
      </c>
      <c r="G2875" s="55" t="s">
        <v>396</v>
      </c>
      <c r="H2875" s="55">
        <v>1991</v>
      </c>
      <c r="I2875" s="55">
        <v>1988</v>
      </c>
      <c r="J2875" s="55" t="s">
        <v>2853</v>
      </c>
      <c r="K2875" s="55" t="s">
        <v>2854</v>
      </c>
      <c r="L2875" s="55" t="s">
        <v>2744</v>
      </c>
      <c r="M2875" s="90">
        <f>4+51/60</f>
        <v>4.8499999999999996</v>
      </c>
      <c r="N2875" s="90">
        <f>7+3/60</f>
        <v>7.05</v>
      </c>
      <c r="O2875" s="90">
        <v>21.6</v>
      </c>
      <c r="S2875" s="90">
        <v>2400</v>
      </c>
      <c r="U2875" s="55" t="s">
        <v>1688</v>
      </c>
      <c r="V2875" s="55" t="s">
        <v>1688</v>
      </c>
      <c r="Y2875" s="55" t="s">
        <v>2855</v>
      </c>
      <c r="Z2875" s="55" t="s">
        <v>1379</v>
      </c>
      <c r="AA2875" s="90" t="s">
        <v>1679</v>
      </c>
      <c r="AH2875" s="55" t="s">
        <v>139</v>
      </c>
      <c r="AI2875" s="168">
        <v>4.4000000000000004</v>
      </c>
      <c r="AJ2875" s="90">
        <v>1</v>
      </c>
      <c r="AM2875" s="55" t="s">
        <v>2856</v>
      </c>
      <c r="AN2875" s="185" t="s">
        <v>2858</v>
      </c>
      <c r="AO2875" s="185" t="s">
        <v>5150</v>
      </c>
      <c r="AQ2875" s="55" t="s">
        <v>553</v>
      </c>
      <c r="AR2875" s="55" t="s">
        <v>1607</v>
      </c>
      <c r="AS2875" s="55" t="s">
        <v>132</v>
      </c>
      <c r="AU2875" s="181" t="s">
        <v>7494</v>
      </c>
      <c r="AV2875" s="185" t="s">
        <v>176</v>
      </c>
      <c r="AX2875" s="185" t="s">
        <v>176</v>
      </c>
      <c r="BK2875" s="55" t="s">
        <v>6333</v>
      </c>
      <c r="BM2875" s="192" t="s">
        <v>2857</v>
      </c>
      <c r="BW2875" s="65">
        <v>1547</v>
      </c>
      <c r="BX2875" s="65">
        <v>1532</v>
      </c>
      <c r="CA2875" s="65" t="s">
        <v>2861</v>
      </c>
      <c r="CB2875" s="66">
        <v>693</v>
      </c>
      <c r="CC2875" s="66">
        <v>835</v>
      </c>
      <c r="CG2875" s="65" t="s">
        <v>2863</v>
      </c>
      <c r="CM2875" s="65">
        <v>1.1000000000000001</v>
      </c>
      <c r="CN2875" s="65">
        <v>1.2</v>
      </c>
      <c r="CQ2875" s="65" t="s">
        <v>962</v>
      </c>
      <c r="CV2875" s="65" t="s">
        <v>3039</v>
      </c>
      <c r="DA2875" s="65" t="s">
        <v>4458</v>
      </c>
      <c r="DB2875" s="65">
        <v>0.12</v>
      </c>
      <c r="DC2875" s="65">
        <v>0.19</v>
      </c>
      <c r="DF2875" s="65" t="s">
        <v>2860</v>
      </c>
      <c r="DL2875" s="65">
        <v>0.11</v>
      </c>
      <c r="DM2875" s="65">
        <v>0.09</v>
      </c>
      <c r="DQ2875" s="165">
        <v>4.4000000000000004</v>
      </c>
      <c r="DR2875" s="165">
        <v>4.3</v>
      </c>
      <c r="DU2875" s="65">
        <f>0.35+0.1+0.11</f>
        <v>0.55999999999999994</v>
      </c>
      <c r="DV2875" s="65">
        <f>0.34+0.1+0.09</f>
        <v>0.53</v>
      </c>
      <c r="DW2875" s="65">
        <v>0.1</v>
      </c>
      <c r="DX2875" s="65">
        <v>0.1</v>
      </c>
      <c r="GP2875" s="292" t="s">
        <v>7494</v>
      </c>
    </row>
    <row r="2876" spans="1:201" x14ac:dyDescent="0.25">
      <c r="A2876" s="55">
        <v>2875</v>
      </c>
      <c r="B2876" s="12" t="s">
        <v>7067</v>
      </c>
      <c r="C2876" s="155">
        <v>134</v>
      </c>
      <c r="D2876" s="55" t="s">
        <v>4288</v>
      </c>
      <c r="E2876" s="90" t="s">
        <v>2852</v>
      </c>
      <c r="G2876" s="55" t="s">
        <v>396</v>
      </c>
      <c r="H2876" s="55">
        <v>1991</v>
      </c>
      <c r="I2876" s="55">
        <v>1988</v>
      </c>
      <c r="J2876" s="55" t="s">
        <v>2853</v>
      </c>
      <c r="K2876" s="55" t="s">
        <v>2854</v>
      </c>
      <c r="L2876" s="55" t="s">
        <v>2744</v>
      </c>
      <c r="M2876" s="90">
        <f>4+51/60</f>
        <v>4.8499999999999996</v>
      </c>
      <c r="N2876" s="90">
        <f>7+3/60</f>
        <v>7.05</v>
      </c>
      <c r="O2876" s="90">
        <v>21.6</v>
      </c>
      <c r="S2876" s="90">
        <v>2400</v>
      </c>
      <c r="U2876" s="55" t="s">
        <v>1688</v>
      </c>
      <c r="V2876" s="55" t="s">
        <v>1688</v>
      </c>
      <c r="Y2876" s="55" t="s">
        <v>2855</v>
      </c>
      <c r="Z2876" s="55" t="s">
        <v>1379</v>
      </c>
      <c r="AA2876" s="90" t="s">
        <v>1679</v>
      </c>
      <c r="AH2876" s="55" t="s">
        <v>139</v>
      </c>
      <c r="AI2876" s="168">
        <v>4.4000000000000004</v>
      </c>
      <c r="AJ2876" s="90">
        <v>1</v>
      </c>
      <c r="AM2876" s="55" t="s">
        <v>2856</v>
      </c>
      <c r="AN2876" s="185" t="s">
        <v>2859</v>
      </c>
      <c r="AO2876" s="185" t="s">
        <v>5150</v>
      </c>
      <c r="AQ2876" s="55" t="s">
        <v>553</v>
      </c>
      <c r="AR2876" s="55" t="s">
        <v>1607</v>
      </c>
      <c r="AS2876" s="55" t="s">
        <v>132</v>
      </c>
      <c r="AU2876" s="181" t="s">
        <v>7494</v>
      </c>
      <c r="AV2876" s="185" t="s">
        <v>176</v>
      </c>
      <c r="AX2876" s="185" t="s">
        <v>176</v>
      </c>
      <c r="BK2876" s="55" t="s">
        <v>6333</v>
      </c>
      <c r="BM2876" s="192" t="s">
        <v>2857</v>
      </c>
      <c r="BW2876" s="65">
        <v>1547</v>
      </c>
      <c r="BX2876" s="65">
        <v>2467</v>
      </c>
      <c r="CA2876" s="65" t="s">
        <v>2861</v>
      </c>
      <c r="CB2876" s="66">
        <v>693</v>
      </c>
      <c r="CC2876" s="66">
        <v>1966</v>
      </c>
      <c r="CG2876" s="65" t="s">
        <v>2863</v>
      </c>
      <c r="CM2876" s="65">
        <v>1.1000000000000001</v>
      </c>
      <c r="CN2876" s="65">
        <v>1.1200000000000001</v>
      </c>
      <c r="CQ2876" s="65" t="s">
        <v>962</v>
      </c>
      <c r="CV2876" s="65" t="s">
        <v>3039</v>
      </c>
      <c r="DA2876" s="65" t="s">
        <v>4458</v>
      </c>
      <c r="DB2876" s="65">
        <v>0.12</v>
      </c>
      <c r="DC2876" s="65">
        <v>0.11</v>
      </c>
      <c r="DF2876" s="65" t="s">
        <v>2860</v>
      </c>
      <c r="DL2876" s="65">
        <v>0.11</v>
      </c>
      <c r="DM2876" s="65">
        <v>0.1</v>
      </c>
      <c r="DQ2876" s="165">
        <v>4.4000000000000004</v>
      </c>
      <c r="DR2876" s="165">
        <v>4.3</v>
      </c>
      <c r="DU2876" s="65">
        <f>0.35+0.1+0.11</f>
        <v>0.55999999999999994</v>
      </c>
      <c r="DV2876" s="65">
        <f>0.32+0.1+0.1</f>
        <v>0.52</v>
      </c>
      <c r="DW2876" s="65">
        <v>0.1</v>
      </c>
      <c r="DX2876" s="65">
        <v>0.1</v>
      </c>
      <c r="GP2876" s="292" t="s">
        <v>7494</v>
      </c>
    </row>
    <row r="2877" spans="1:201" x14ac:dyDescent="0.25">
      <c r="A2877" s="55">
        <v>2876</v>
      </c>
      <c r="B2877" s="12" t="s">
        <v>7067</v>
      </c>
      <c r="C2877" s="155">
        <v>135</v>
      </c>
      <c r="D2877" s="55" t="s">
        <v>4289</v>
      </c>
      <c r="E2877" s="90" t="s">
        <v>2864</v>
      </c>
      <c r="G2877" s="55" t="s">
        <v>2865</v>
      </c>
      <c r="H2877" s="55">
        <v>2006</v>
      </c>
      <c r="I2877" s="55">
        <v>2003</v>
      </c>
      <c r="J2877" s="55" t="s">
        <v>2660</v>
      </c>
      <c r="K2877" s="55" t="s">
        <v>2867</v>
      </c>
      <c r="L2877" s="55" t="s">
        <v>2748</v>
      </c>
      <c r="M2877" s="90">
        <f>-15-18.5/60</f>
        <v>-15.308333333333334</v>
      </c>
      <c r="N2877" s="90">
        <f>35+23.5/60</f>
        <v>35.391666666666666</v>
      </c>
      <c r="O2877" s="90">
        <v>853</v>
      </c>
      <c r="U2877" s="55" t="s">
        <v>1688</v>
      </c>
      <c r="V2877" s="55" t="s">
        <v>1816</v>
      </c>
      <c r="Y2877" s="55" t="s">
        <v>2866</v>
      </c>
      <c r="Z2877" s="55" t="s">
        <v>1346</v>
      </c>
      <c r="AA2877" s="90" t="s">
        <v>1675</v>
      </c>
      <c r="AH2877" s="55" t="s">
        <v>238</v>
      </c>
      <c r="AI2877" s="168">
        <v>5.94</v>
      </c>
      <c r="AJ2877" s="90">
        <v>0.90200000000000002</v>
      </c>
      <c r="AM2877" s="55" t="s">
        <v>2868</v>
      </c>
      <c r="AN2877" s="185" t="s">
        <v>2620</v>
      </c>
      <c r="AO2877" s="185" t="s">
        <v>5150</v>
      </c>
      <c r="AQ2877" s="55" t="s">
        <v>553</v>
      </c>
      <c r="AR2877" s="55" t="s">
        <v>1607</v>
      </c>
      <c r="AS2877" s="55" t="s">
        <v>132</v>
      </c>
      <c r="AU2877" s="181" t="s">
        <v>7494</v>
      </c>
      <c r="AV2877" s="185" t="s">
        <v>176</v>
      </c>
      <c r="AX2877" s="185" t="s">
        <v>176</v>
      </c>
      <c r="BK2877" s="55" t="s">
        <v>5976</v>
      </c>
      <c r="BM2877" s="192" t="s">
        <v>160</v>
      </c>
      <c r="BN2877" s="55">
        <v>3</v>
      </c>
      <c r="BO2877" s="55">
        <v>3</v>
      </c>
      <c r="BP2877" s="55">
        <v>4</v>
      </c>
      <c r="BS2877" s="55">
        <v>959</v>
      </c>
      <c r="BV2877" s="55" t="s">
        <v>2869</v>
      </c>
      <c r="CB2877" s="66">
        <v>871</v>
      </c>
      <c r="CC2877" s="66">
        <v>1052</v>
      </c>
      <c r="CE2877" s="65">
        <f>8119-7806</f>
        <v>313</v>
      </c>
      <c r="CF2877" s="65">
        <f>8119-7806</f>
        <v>313</v>
      </c>
      <c r="DB2877" s="65">
        <v>15.71</v>
      </c>
      <c r="DC2877" s="65">
        <v>13.14</v>
      </c>
      <c r="DD2877" s="65">
        <f>27.57-24.46</f>
        <v>3.1099999999999994</v>
      </c>
      <c r="DE2877" s="65">
        <f>27.57-24.46</f>
        <v>3.1099999999999994</v>
      </c>
      <c r="DF2877" s="65" t="s">
        <v>2872</v>
      </c>
      <c r="GP2877" s="292" t="s">
        <v>7494</v>
      </c>
    </row>
    <row r="2878" spans="1:201" x14ac:dyDescent="0.25">
      <c r="A2878" s="55">
        <v>2877</v>
      </c>
      <c r="B2878" s="12" t="s">
        <v>7067</v>
      </c>
      <c r="C2878" s="155">
        <v>135</v>
      </c>
      <c r="D2878" s="55" t="s">
        <v>4289</v>
      </c>
      <c r="E2878" s="90" t="s">
        <v>2864</v>
      </c>
      <c r="G2878" s="55" t="s">
        <v>2865</v>
      </c>
      <c r="H2878" s="55">
        <v>2006</v>
      </c>
      <c r="I2878" s="55">
        <v>2003</v>
      </c>
      <c r="J2878" s="55" t="s">
        <v>2660</v>
      </c>
      <c r="K2878" s="55" t="s">
        <v>2867</v>
      </c>
      <c r="L2878" s="55" t="s">
        <v>2748</v>
      </c>
      <c r="M2878" s="90">
        <f>-15-18.5/60</f>
        <v>-15.308333333333334</v>
      </c>
      <c r="N2878" s="90">
        <f>35+23.5/60</f>
        <v>35.391666666666666</v>
      </c>
      <c r="O2878" s="90">
        <v>853</v>
      </c>
      <c r="U2878" s="55" t="s">
        <v>1688</v>
      </c>
      <c r="V2878" s="55" t="s">
        <v>1816</v>
      </c>
      <c r="Y2878" s="55" t="s">
        <v>2866</v>
      </c>
      <c r="Z2878" s="55" t="s">
        <v>1346</v>
      </c>
      <c r="AA2878" s="90" t="s">
        <v>1675</v>
      </c>
      <c r="AH2878" s="55" t="s">
        <v>238</v>
      </c>
      <c r="AI2878" s="168">
        <v>5.94</v>
      </c>
      <c r="AJ2878" s="90">
        <v>0.90200000000000002</v>
      </c>
      <c r="AM2878" s="55" t="s">
        <v>2868</v>
      </c>
      <c r="AN2878" s="185" t="s">
        <v>2692</v>
      </c>
      <c r="AO2878" s="185" t="s">
        <v>5150</v>
      </c>
      <c r="AQ2878" s="55" t="s">
        <v>553</v>
      </c>
      <c r="AR2878" s="55" t="s">
        <v>1607</v>
      </c>
      <c r="AS2878" s="55" t="s">
        <v>132</v>
      </c>
      <c r="AU2878" s="181" t="s">
        <v>7494</v>
      </c>
      <c r="AV2878" s="185" t="s">
        <v>176</v>
      </c>
      <c r="AX2878" s="185" t="s">
        <v>176</v>
      </c>
      <c r="BK2878" s="55" t="s">
        <v>5976</v>
      </c>
      <c r="BM2878" s="192" t="s">
        <v>160</v>
      </c>
      <c r="BN2878" s="55">
        <v>3</v>
      </c>
      <c r="BO2878" s="55">
        <v>3</v>
      </c>
      <c r="BP2878" s="55">
        <v>4</v>
      </c>
      <c r="BS2878" s="55">
        <v>1004</v>
      </c>
      <c r="BV2878" s="55" t="s">
        <v>2869</v>
      </c>
      <c r="CB2878" s="66">
        <v>871</v>
      </c>
      <c r="CC2878" s="66">
        <v>1634</v>
      </c>
      <c r="CE2878" s="65">
        <f>8119-7806</f>
        <v>313</v>
      </c>
      <c r="CF2878" s="65">
        <f>8119-7806</f>
        <v>313</v>
      </c>
      <c r="DB2878" s="65">
        <v>15.71</v>
      </c>
      <c r="DC2878" s="65">
        <v>21.28</v>
      </c>
      <c r="DD2878" s="65">
        <f>27.57-24.46</f>
        <v>3.1099999999999994</v>
      </c>
      <c r="DE2878" s="65">
        <f>27.57-24.46</f>
        <v>3.1099999999999994</v>
      </c>
      <c r="DF2878" s="65" t="s">
        <v>2872</v>
      </c>
      <c r="GP2878" s="292" t="s">
        <v>7494</v>
      </c>
    </row>
    <row r="2879" spans="1:201" x14ac:dyDescent="0.25">
      <c r="A2879" s="55">
        <v>2878</v>
      </c>
      <c r="B2879" s="12" t="s">
        <v>7067</v>
      </c>
      <c r="C2879" s="155">
        <v>135</v>
      </c>
      <c r="D2879" s="55" t="s">
        <v>4289</v>
      </c>
      <c r="E2879" s="90" t="s">
        <v>2864</v>
      </c>
      <c r="G2879" s="55" t="s">
        <v>2865</v>
      </c>
      <c r="H2879" s="55">
        <v>2006</v>
      </c>
      <c r="I2879" s="55">
        <v>2003</v>
      </c>
      <c r="J2879" s="55" t="s">
        <v>2660</v>
      </c>
      <c r="K2879" s="55" t="s">
        <v>2867</v>
      </c>
      <c r="L2879" s="55" t="s">
        <v>2748</v>
      </c>
      <c r="M2879" s="90">
        <f>-15-18.5/60</f>
        <v>-15.308333333333334</v>
      </c>
      <c r="N2879" s="90">
        <f>35+23.5/60</f>
        <v>35.391666666666666</v>
      </c>
      <c r="O2879" s="90">
        <v>853</v>
      </c>
      <c r="U2879" s="55" t="s">
        <v>1688</v>
      </c>
      <c r="V2879" s="55" t="s">
        <v>1816</v>
      </c>
      <c r="Y2879" s="55" t="s">
        <v>2866</v>
      </c>
      <c r="Z2879" s="55" t="s">
        <v>1346</v>
      </c>
      <c r="AA2879" s="90" t="s">
        <v>1675</v>
      </c>
      <c r="AH2879" s="55" t="s">
        <v>238</v>
      </c>
      <c r="AI2879" s="168">
        <v>5.94</v>
      </c>
      <c r="AJ2879" s="90">
        <v>0.90200000000000002</v>
      </c>
      <c r="AM2879" s="55" t="s">
        <v>2868</v>
      </c>
      <c r="AN2879" s="185" t="s">
        <v>2773</v>
      </c>
      <c r="AO2879" s="185" t="s">
        <v>5150</v>
      </c>
      <c r="AQ2879" s="55" t="s">
        <v>553</v>
      </c>
      <c r="AR2879" s="55" t="s">
        <v>1607</v>
      </c>
      <c r="AS2879" s="55" t="s">
        <v>132</v>
      </c>
      <c r="AU2879" s="181" t="s">
        <v>7494</v>
      </c>
      <c r="AV2879" s="185" t="s">
        <v>176</v>
      </c>
      <c r="AX2879" s="185" t="s">
        <v>176</v>
      </c>
      <c r="BK2879" s="55" t="s">
        <v>5976</v>
      </c>
      <c r="BM2879" s="192" t="s">
        <v>160</v>
      </c>
      <c r="BN2879" s="55">
        <v>3</v>
      </c>
      <c r="BO2879" s="55">
        <v>3</v>
      </c>
      <c r="BP2879" s="55">
        <v>4</v>
      </c>
      <c r="BS2879" s="55">
        <v>1835</v>
      </c>
      <c r="BV2879" s="55" t="s">
        <v>2869</v>
      </c>
      <c r="CB2879" s="66">
        <v>871</v>
      </c>
      <c r="CC2879" s="66">
        <v>1322</v>
      </c>
      <c r="CE2879" s="65">
        <f>8119-7806</f>
        <v>313</v>
      </c>
      <c r="CF2879" s="65">
        <f>8119-7806</f>
        <v>313</v>
      </c>
      <c r="DB2879" s="65">
        <v>15.71</v>
      </c>
      <c r="DC2879" s="65">
        <v>16.420000000000002</v>
      </c>
      <c r="DD2879" s="65">
        <f>27.57-24.46</f>
        <v>3.1099999999999994</v>
      </c>
      <c r="DE2879" s="65">
        <f>27.57-24.46</f>
        <v>3.1099999999999994</v>
      </c>
      <c r="DF2879" s="65" t="s">
        <v>2872</v>
      </c>
      <c r="GP2879" s="292" t="s">
        <v>7494</v>
      </c>
    </row>
    <row r="2880" spans="1:201" x14ac:dyDescent="0.25">
      <c r="A2880" s="55">
        <v>2879</v>
      </c>
      <c r="B2880" s="12" t="s">
        <v>7067</v>
      </c>
      <c r="C2880" s="155">
        <v>135</v>
      </c>
      <c r="D2880" s="55" t="s">
        <v>4289</v>
      </c>
      <c r="E2880" s="90" t="s">
        <v>2864</v>
      </c>
      <c r="G2880" s="55" t="s">
        <v>2865</v>
      </c>
      <c r="H2880" s="55">
        <v>2006</v>
      </c>
      <c r="I2880" s="55">
        <v>2003</v>
      </c>
      <c r="J2880" s="55" t="s">
        <v>2660</v>
      </c>
      <c r="K2880" s="55" t="s">
        <v>2867</v>
      </c>
      <c r="L2880" s="55" t="s">
        <v>2748</v>
      </c>
      <c r="M2880" s="90">
        <f>-15-18.5/60</f>
        <v>-15.308333333333334</v>
      </c>
      <c r="N2880" s="90">
        <f>35+23.5/60</f>
        <v>35.391666666666666</v>
      </c>
      <c r="O2880" s="90">
        <v>853</v>
      </c>
      <c r="U2880" s="55" t="s">
        <v>1688</v>
      </c>
      <c r="V2880" s="55" t="s">
        <v>1816</v>
      </c>
      <c r="Y2880" s="55" t="s">
        <v>2866</v>
      </c>
      <c r="Z2880" s="55" t="s">
        <v>1346</v>
      </c>
      <c r="AA2880" s="90" t="s">
        <v>1675</v>
      </c>
      <c r="AH2880" s="55" t="s">
        <v>238</v>
      </c>
      <c r="AI2880" s="168">
        <v>6.04</v>
      </c>
      <c r="AJ2880" s="90">
        <v>0.58499999999999996</v>
      </c>
      <c r="AM2880" s="55" t="s">
        <v>2868</v>
      </c>
      <c r="AN2880" s="185" t="s">
        <v>2620</v>
      </c>
      <c r="AO2880" s="185" t="s">
        <v>5150</v>
      </c>
      <c r="AQ2880" s="55" t="s">
        <v>553</v>
      </c>
      <c r="AR2880" s="55" t="s">
        <v>1607</v>
      </c>
      <c r="AS2880" s="55" t="s">
        <v>132</v>
      </c>
      <c r="AU2880" s="181" t="s">
        <v>7494</v>
      </c>
      <c r="AV2880" s="185" t="s">
        <v>176</v>
      </c>
      <c r="AX2880" s="185" t="s">
        <v>176</v>
      </c>
      <c r="BK2880" s="55" t="s">
        <v>5976</v>
      </c>
      <c r="BM2880" s="192" t="s">
        <v>160</v>
      </c>
      <c r="BN2880" s="55">
        <v>3</v>
      </c>
      <c r="BO2880" s="55">
        <v>3</v>
      </c>
      <c r="BP2880" s="55">
        <v>4</v>
      </c>
      <c r="BS2880" s="55">
        <v>2086</v>
      </c>
      <c r="BV2880" s="55" t="s">
        <v>2870</v>
      </c>
      <c r="CB2880" s="66">
        <v>831</v>
      </c>
      <c r="CC2880" s="66">
        <v>2014</v>
      </c>
      <c r="CE2880" s="65">
        <v>338</v>
      </c>
      <c r="CF2880" s="65">
        <v>338</v>
      </c>
      <c r="DB2880" s="65">
        <v>13.5</v>
      </c>
      <c r="DC2880" s="65">
        <v>18.45</v>
      </c>
      <c r="DD2880" s="65">
        <f>27.56-24.38</f>
        <v>3.1799999999999997</v>
      </c>
      <c r="DE2880" s="65">
        <f>27.56-24.38</f>
        <v>3.1799999999999997</v>
      </c>
      <c r="DF2880" s="65" t="s">
        <v>2872</v>
      </c>
      <c r="GP2880" s="292" t="s">
        <v>7494</v>
      </c>
    </row>
    <row r="2881" spans="1:201" x14ac:dyDescent="0.25">
      <c r="A2881" s="55">
        <v>2880</v>
      </c>
      <c r="B2881" s="12" t="s">
        <v>7067</v>
      </c>
      <c r="C2881" s="155">
        <v>135</v>
      </c>
      <c r="D2881" s="55" t="s">
        <v>4289</v>
      </c>
      <c r="E2881" s="90" t="s">
        <v>2864</v>
      </c>
      <c r="G2881" s="55" t="s">
        <v>2865</v>
      </c>
      <c r="H2881" s="55">
        <v>2006</v>
      </c>
      <c r="I2881" s="55">
        <v>2003</v>
      </c>
      <c r="J2881" s="55" t="s">
        <v>2660</v>
      </c>
      <c r="K2881" s="55" t="s">
        <v>2867</v>
      </c>
      <c r="L2881" s="55" t="s">
        <v>2748</v>
      </c>
      <c r="M2881" s="90">
        <f>-15-18.5/60</f>
        <v>-15.308333333333334</v>
      </c>
      <c r="N2881" s="90">
        <f>35+23.5/60</f>
        <v>35.391666666666666</v>
      </c>
      <c r="O2881" s="90">
        <v>853</v>
      </c>
      <c r="U2881" s="55" t="s">
        <v>1688</v>
      </c>
      <c r="V2881" s="55" t="s">
        <v>1816</v>
      </c>
      <c r="Y2881" s="55" t="s">
        <v>2866</v>
      </c>
      <c r="Z2881" s="55" t="s">
        <v>1346</v>
      </c>
      <c r="AA2881" s="90" t="s">
        <v>1675</v>
      </c>
      <c r="AH2881" s="55" t="s">
        <v>238</v>
      </c>
      <c r="AI2881" s="168">
        <v>6.04</v>
      </c>
      <c r="AJ2881" s="90">
        <v>0.58499999999999996</v>
      </c>
      <c r="AM2881" s="55" t="s">
        <v>2868</v>
      </c>
      <c r="AN2881" s="185" t="s">
        <v>2692</v>
      </c>
      <c r="AO2881" s="185" t="s">
        <v>5150</v>
      </c>
      <c r="AQ2881" s="55" t="s">
        <v>553</v>
      </c>
      <c r="AR2881" s="55" t="s">
        <v>1607</v>
      </c>
      <c r="AS2881" s="55" t="s">
        <v>132</v>
      </c>
      <c r="AU2881" s="181" t="s">
        <v>7494</v>
      </c>
      <c r="AV2881" s="185" t="s">
        <v>176</v>
      </c>
      <c r="AX2881" s="185" t="s">
        <v>176</v>
      </c>
      <c r="BK2881" s="55" t="s">
        <v>5976</v>
      </c>
      <c r="BM2881" s="192" t="s">
        <v>160</v>
      </c>
      <c r="BN2881" s="55">
        <v>3</v>
      </c>
      <c r="BO2881" s="55">
        <v>3</v>
      </c>
      <c r="BP2881" s="55">
        <v>4</v>
      </c>
      <c r="BS2881" s="55">
        <v>976</v>
      </c>
      <c r="BV2881" s="55" t="s">
        <v>2870</v>
      </c>
      <c r="CB2881" s="66">
        <v>831</v>
      </c>
      <c r="CC2881" s="66">
        <v>1319</v>
      </c>
      <c r="CE2881" s="65">
        <v>338</v>
      </c>
      <c r="CF2881" s="65">
        <v>338</v>
      </c>
      <c r="DB2881" s="65">
        <v>13.5</v>
      </c>
      <c r="DC2881" s="65">
        <v>15.71</v>
      </c>
      <c r="DD2881" s="65">
        <f>27.56-24.38</f>
        <v>3.1799999999999997</v>
      </c>
      <c r="DE2881" s="65">
        <f>27.56-24.38</f>
        <v>3.1799999999999997</v>
      </c>
      <c r="DF2881" s="65" t="s">
        <v>2872</v>
      </c>
      <c r="GP2881" s="292" t="s">
        <v>7494</v>
      </c>
    </row>
    <row r="2882" spans="1:201" x14ac:dyDescent="0.25">
      <c r="A2882" s="55">
        <v>2881</v>
      </c>
      <c r="B2882" s="12" t="s">
        <v>7067</v>
      </c>
      <c r="C2882" s="155">
        <v>135</v>
      </c>
      <c r="D2882" s="55" t="s">
        <v>4289</v>
      </c>
      <c r="E2882" s="90" t="s">
        <v>2864</v>
      </c>
      <c r="G2882" s="55" t="s">
        <v>2865</v>
      </c>
      <c r="H2882" s="55">
        <v>2006</v>
      </c>
      <c r="I2882" s="55">
        <v>2003</v>
      </c>
      <c r="J2882" s="55" t="s">
        <v>2660</v>
      </c>
      <c r="K2882" s="55" t="s">
        <v>2867</v>
      </c>
      <c r="L2882" s="55" t="s">
        <v>2748</v>
      </c>
      <c r="M2882" s="90">
        <f>-15-18.5/60</f>
        <v>-15.308333333333334</v>
      </c>
      <c r="N2882" s="90">
        <f>35+23.5/60</f>
        <v>35.391666666666666</v>
      </c>
      <c r="O2882" s="90">
        <v>853</v>
      </c>
      <c r="U2882" s="55" t="s">
        <v>1688</v>
      </c>
      <c r="V2882" s="55" t="s">
        <v>1816</v>
      </c>
      <c r="Y2882" s="55" t="s">
        <v>2866</v>
      </c>
      <c r="Z2882" s="55" t="s">
        <v>1346</v>
      </c>
      <c r="AA2882" s="90" t="s">
        <v>1675</v>
      </c>
      <c r="AH2882" s="55" t="s">
        <v>238</v>
      </c>
      <c r="AI2882" s="168">
        <v>6.04</v>
      </c>
      <c r="AJ2882" s="90">
        <v>0.58499999999999996</v>
      </c>
      <c r="AM2882" s="55" t="s">
        <v>2868</v>
      </c>
      <c r="AN2882" s="185" t="s">
        <v>2773</v>
      </c>
      <c r="AO2882" s="185" t="s">
        <v>5150</v>
      </c>
      <c r="AQ2882" s="55" t="s">
        <v>553</v>
      </c>
      <c r="AR2882" s="55" t="s">
        <v>1607</v>
      </c>
      <c r="AS2882" s="55" t="s">
        <v>132</v>
      </c>
      <c r="AU2882" s="181" t="s">
        <v>7494</v>
      </c>
      <c r="AV2882" s="185" t="s">
        <v>176</v>
      </c>
      <c r="AX2882" s="185" t="s">
        <v>176</v>
      </c>
      <c r="BK2882" s="55" t="s">
        <v>5976</v>
      </c>
      <c r="BM2882" s="192" t="s">
        <v>160</v>
      </c>
      <c r="BN2882" s="55">
        <v>3</v>
      </c>
      <c r="BO2882" s="55">
        <v>3</v>
      </c>
      <c r="BP2882" s="55">
        <v>4</v>
      </c>
      <c r="BS2882" s="55">
        <v>1154</v>
      </c>
      <c r="BV2882" s="55" t="s">
        <v>2870</v>
      </c>
      <c r="CB2882" s="66">
        <v>831</v>
      </c>
      <c r="CC2882" s="66">
        <v>1350</v>
      </c>
      <c r="CE2882" s="65">
        <v>338</v>
      </c>
      <c r="CF2882" s="65">
        <v>338</v>
      </c>
      <c r="DB2882" s="65">
        <v>13.5</v>
      </c>
      <c r="DC2882" s="65">
        <v>16.5</v>
      </c>
      <c r="DD2882" s="65">
        <f>27.56-24.38</f>
        <v>3.1799999999999997</v>
      </c>
      <c r="DE2882" s="65">
        <f>27.56-24.38</f>
        <v>3.1799999999999997</v>
      </c>
      <c r="DF2882" s="65" t="s">
        <v>2872</v>
      </c>
      <c r="GP2882" s="292" t="s">
        <v>7494</v>
      </c>
    </row>
    <row r="2883" spans="1:201" x14ac:dyDescent="0.25">
      <c r="A2883" s="55">
        <v>2882</v>
      </c>
      <c r="B2883" s="12" t="s">
        <v>7067</v>
      </c>
      <c r="C2883" s="155">
        <v>135</v>
      </c>
      <c r="D2883" s="55" t="s">
        <v>4289</v>
      </c>
      <c r="E2883" s="90" t="s">
        <v>2864</v>
      </c>
      <c r="G2883" s="55" t="s">
        <v>2865</v>
      </c>
      <c r="H2883" s="55">
        <v>2006</v>
      </c>
      <c r="I2883" s="55">
        <v>2003</v>
      </c>
      <c r="J2883" s="55" t="s">
        <v>2660</v>
      </c>
      <c r="K2883" s="55" t="s">
        <v>2867</v>
      </c>
      <c r="L2883" s="55" t="s">
        <v>2748</v>
      </c>
      <c r="M2883" s="90">
        <f>-15-18.5/60</f>
        <v>-15.308333333333334</v>
      </c>
      <c r="N2883" s="90">
        <f>35+23.5/60</f>
        <v>35.391666666666666</v>
      </c>
      <c r="O2883" s="90">
        <v>853</v>
      </c>
      <c r="U2883" s="55" t="s">
        <v>1688</v>
      </c>
      <c r="V2883" s="55" t="s">
        <v>1816</v>
      </c>
      <c r="Y2883" s="55" t="s">
        <v>2866</v>
      </c>
      <c r="Z2883" s="55" t="s">
        <v>1346</v>
      </c>
      <c r="AA2883" s="90" t="s">
        <v>1675</v>
      </c>
      <c r="AH2883" s="55" t="s">
        <v>238</v>
      </c>
      <c r="AI2883" s="168">
        <v>6.15</v>
      </c>
      <c r="AJ2883" s="90">
        <v>0.69399999999999995</v>
      </c>
      <c r="AM2883" s="55" t="s">
        <v>2868</v>
      </c>
      <c r="AN2883" s="185" t="s">
        <v>2620</v>
      </c>
      <c r="AO2883" s="185" t="s">
        <v>5150</v>
      </c>
      <c r="AQ2883" s="55" t="s">
        <v>553</v>
      </c>
      <c r="AR2883" s="55" t="s">
        <v>1607</v>
      </c>
      <c r="AS2883" s="55" t="s">
        <v>132</v>
      </c>
      <c r="AU2883" s="181" t="s">
        <v>7494</v>
      </c>
      <c r="AV2883" s="185" t="s">
        <v>176</v>
      </c>
      <c r="AX2883" s="185" t="s">
        <v>176</v>
      </c>
      <c r="BK2883" s="55" t="s">
        <v>5976</v>
      </c>
      <c r="BM2883" s="192" t="s">
        <v>160</v>
      </c>
      <c r="BN2883" s="55">
        <v>3</v>
      </c>
      <c r="BO2883" s="55">
        <v>3</v>
      </c>
      <c r="BP2883" s="55">
        <v>4</v>
      </c>
      <c r="BS2883" s="55">
        <v>1697</v>
      </c>
      <c r="BV2883" s="55" t="s">
        <v>2871</v>
      </c>
      <c r="CB2883" s="66">
        <v>702</v>
      </c>
      <c r="CC2883" s="66">
        <v>1450</v>
      </c>
      <c r="CE2883" s="65">
        <f>8069-7869</f>
        <v>200</v>
      </c>
      <c r="CF2883" s="65">
        <f>8069-7869</f>
        <v>200</v>
      </c>
      <c r="DB2883" s="65">
        <v>8.01</v>
      </c>
      <c r="DC2883" s="65">
        <v>17.48</v>
      </c>
      <c r="DD2883" s="65">
        <f>27.3-24.73</f>
        <v>2.5700000000000003</v>
      </c>
      <c r="DE2883" s="65">
        <f>27.3-24.73</f>
        <v>2.5700000000000003</v>
      </c>
      <c r="DF2883" s="65" t="s">
        <v>2872</v>
      </c>
      <c r="GP2883" s="292" t="s">
        <v>7494</v>
      </c>
    </row>
    <row r="2884" spans="1:201" x14ac:dyDescent="0.25">
      <c r="A2884" s="55">
        <v>2883</v>
      </c>
      <c r="B2884" s="12" t="s">
        <v>7067</v>
      </c>
      <c r="C2884" s="155">
        <v>135</v>
      </c>
      <c r="D2884" s="55" t="s">
        <v>4289</v>
      </c>
      <c r="E2884" s="90" t="s">
        <v>2864</v>
      </c>
      <c r="G2884" s="55" t="s">
        <v>2865</v>
      </c>
      <c r="H2884" s="55">
        <v>2006</v>
      </c>
      <c r="I2884" s="55">
        <v>2003</v>
      </c>
      <c r="J2884" s="55" t="s">
        <v>2660</v>
      </c>
      <c r="K2884" s="55" t="s">
        <v>2867</v>
      </c>
      <c r="L2884" s="55" t="s">
        <v>2748</v>
      </c>
      <c r="M2884" s="90">
        <f>-15-18.5/60</f>
        <v>-15.308333333333334</v>
      </c>
      <c r="N2884" s="90">
        <f>35+23.5/60</f>
        <v>35.391666666666666</v>
      </c>
      <c r="O2884" s="90">
        <v>853</v>
      </c>
      <c r="U2884" s="55" t="s">
        <v>1688</v>
      </c>
      <c r="V2884" s="55" t="s">
        <v>1816</v>
      </c>
      <c r="Y2884" s="55" t="s">
        <v>2866</v>
      </c>
      <c r="Z2884" s="55" t="s">
        <v>1346</v>
      </c>
      <c r="AA2884" s="90" t="s">
        <v>1675</v>
      </c>
      <c r="AH2884" s="55" t="s">
        <v>238</v>
      </c>
      <c r="AI2884" s="168">
        <v>6.15</v>
      </c>
      <c r="AJ2884" s="90">
        <v>0.69399999999999995</v>
      </c>
      <c r="AM2884" s="55" t="s">
        <v>2868</v>
      </c>
      <c r="AN2884" s="185" t="s">
        <v>2692</v>
      </c>
      <c r="AO2884" s="185" t="s">
        <v>5150</v>
      </c>
      <c r="AQ2884" s="55" t="s">
        <v>553</v>
      </c>
      <c r="AR2884" s="55" t="s">
        <v>1607</v>
      </c>
      <c r="AS2884" s="55" t="s">
        <v>132</v>
      </c>
      <c r="AU2884" s="181" t="s">
        <v>7494</v>
      </c>
      <c r="AV2884" s="185" t="s">
        <v>176</v>
      </c>
      <c r="AX2884" s="185" t="s">
        <v>176</v>
      </c>
      <c r="BK2884" s="55" t="s">
        <v>5976</v>
      </c>
      <c r="BM2884" s="192" t="s">
        <v>160</v>
      </c>
      <c r="BN2884" s="55">
        <v>3</v>
      </c>
      <c r="BO2884" s="55">
        <v>3</v>
      </c>
      <c r="BP2884" s="55">
        <v>4</v>
      </c>
      <c r="BS2884" s="55">
        <v>372</v>
      </c>
      <c r="BV2884" s="55" t="s">
        <v>2871</v>
      </c>
      <c r="CB2884" s="66">
        <v>702</v>
      </c>
      <c r="CC2884" s="66">
        <v>1035</v>
      </c>
      <c r="CE2884" s="65">
        <f>8069-7869</f>
        <v>200</v>
      </c>
      <c r="CF2884" s="65">
        <f>8069-7869</f>
        <v>200</v>
      </c>
      <c r="DB2884" s="65">
        <v>8.01</v>
      </c>
      <c r="DC2884" s="65">
        <v>11.64</v>
      </c>
      <c r="DD2884" s="65">
        <f>27.3-24.73</f>
        <v>2.5700000000000003</v>
      </c>
      <c r="DE2884" s="65">
        <f>27.3-24.73</f>
        <v>2.5700000000000003</v>
      </c>
      <c r="DF2884" s="65" t="s">
        <v>2872</v>
      </c>
      <c r="GP2884" s="292" t="s">
        <v>7494</v>
      </c>
    </row>
    <row r="2885" spans="1:201" x14ac:dyDescent="0.25">
      <c r="A2885" s="55">
        <v>2884</v>
      </c>
      <c r="B2885" s="12" t="s">
        <v>7067</v>
      </c>
      <c r="C2885" s="155">
        <v>135</v>
      </c>
      <c r="D2885" s="55" t="s">
        <v>4289</v>
      </c>
      <c r="E2885" s="90" t="s">
        <v>2864</v>
      </c>
      <c r="G2885" s="55" t="s">
        <v>2865</v>
      </c>
      <c r="H2885" s="55">
        <v>2006</v>
      </c>
      <c r="I2885" s="55">
        <v>2003</v>
      </c>
      <c r="J2885" s="55" t="s">
        <v>2660</v>
      </c>
      <c r="K2885" s="55" t="s">
        <v>2867</v>
      </c>
      <c r="L2885" s="55" t="s">
        <v>2748</v>
      </c>
      <c r="M2885" s="90">
        <f>-15-18.5/60</f>
        <v>-15.308333333333334</v>
      </c>
      <c r="N2885" s="90">
        <f>35+23.5/60</f>
        <v>35.391666666666666</v>
      </c>
      <c r="O2885" s="90">
        <v>853</v>
      </c>
      <c r="U2885" s="55" t="s">
        <v>1688</v>
      </c>
      <c r="V2885" s="55" t="s">
        <v>1816</v>
      </c>
      <c r="Y2885" s="55" t="s">
        <v>2866</v>
      </c>
      <c r="Z2885" s="55" t="s">
        <v>1346</v>
      </c>
      <c r="AA2885" s="90" t="s">
        <v>1675</v>
      </c>
      <c r="AH2885" s="55" t="s">
        <v>238</v>
      </c>
      <c r="AI2885" s="168">
        <v>6.15</v>
      </c>
      <c r="AJ2885" s="90">
        <v>0.69399999999999995</v>
      </c>
      <c r="AM2885" s="55" t="s">
        <v>2868</v>
      </c>
      <c r="AN2885" s="185" t="s">
        <v>2773</v>
      </c>
      <c r="AO2885" s="185" t="s">
        <v>5150</v>
      </c>
      <c r="AQ2885" s="55" t="s">
        <v>553</v>
      </c>
      <c r="AR2885" s="55" t="s">
        <v>1607</v>
      </c>
      <c r="AS2885" s="55" t="s">
        <v>132</v>
      </c>
      <c r="AU2885" s="181" t="s">
        <v>7494</v>
      </c>
      <c r="AV2885" s="185" t="s">
        <v>176</v>
      </c>
      <c r="AX2885" s="185" t="s">
        <v>176</v>
      </c>
      <c r="BK2885" s="55" t="s">
        <v>5976</v>
      </c>
      <c r="BM2885" s="192" t="s">
        <v>160</v>
      </c>
      <c r="BN2885" s="55">
        <v>3</v>
      </c>
      <c r="BO2885" s="55">
        <v>3</v>
      </c>
      <c r="BP2885" s="55">
        <v>4</v>
      </c>
      <c r="BS2885" s="55">
        <v>562</v>
      </c>
      <c r="BV2885" s="55" t="s">
        <v>2871</v>
      </c>
      <c r="CB2885" s="66">
        <v>702</v>
      </c>
      <c r="CC2885" s="66">
        <v>1304</v>
      </c>
      <c r="CE2885" s="65">
        <f>8069-7869</f>
        <v>200</v>
      </c>
      <c r="CF2885" s="65">
        <f>8069-7869</f>
        <v>200</v>
      </c>
      <c r="DB2885" s="65">
        <v>8.01</v>
      </c>
      <c r="DC2885" s="65">
        <v>14.12</v>
      </c>
      <c r="DD2885" s="65">
        <f>27.3-24.73</f>
        <v>2.5700000000000003</v>
      </c>
      <c r="DE2885" s="65">
        <f>27.3-24.73</f>
        <v>2.5700000000000003</v>
      </c>
      <c r="DF2885" s="65" t="s">
        <v>2872</v>
      </c>
      <c r="GP2885" s="292" t="s">
        <v>7494</v>
      </c>
    </row>
    <row r="2886" spans="1:201" x14ac:dyDescent="0.25">
      <c r="A2886" s="55">
        <v>2885</v>
      </c>
      <c r="B2886" s="12" t="s">
        <v>7067</v>
      </c>
      <c r="C2886" s="155">
        <v>135</v>
      </c>
      <c r="D2886" s="55" t="s">
        <v>4289</v>
      </c>
      <c r="E2886" s="90" t="s">
        <v>2864</v>
      </c>
      <c r="G2886" s="55" t="s">
        <v>2865</v>
      </c>
      <c r="H2886" s="55">
        <v>2006</v>
      </c>
      <c r="I2886" s="55">
        <v>2004</v>
      </c>
      <c r="J2886" s="55" t="s">
        <v>2660</v>
      </c>
      <c r="K2886" s="55" t="s">
        <v>2867</v>
      </c>
      <c r="L2886" s="55" t="s">
        <v>2748</v>
      </c>
      <c r="M2886" s="90">
        <f>-15-18.5/60</f>
        <v>-15.308333333333334</v>
      </c>
      <c r="N2886" s="90">
        <f>35+23.5/60</f>
        <v>35.391666666666666</v>
      </c>
      <c r="O2886" s="90">
        <v>853</v>
      </c>
      <c r="U2886" s="55" t="s">
        <v>1688</v>
      </c>
      <c r="V2886" s="55" t="s">
        <v>1816</v>
      </c>
      <c r="Y2886" s="55" t="s">
        <v>2866</v>
      </c>
      <c r="Z2886" s="55" t="s">
        <v>1346</v>
      </c>
      <c r="AA2886" s="90" t="s">
        <v>1675</v>
      </c>
      <c r="AH2886" s="55" t="s">
        <v>238</v>
      </c>
      <c r="AI2886" s="168">
        <v>5.94</v>
      </c>
      <c r="AJ2886" s="90">
        <v>0.90200000000000002</v>
      </c>
      <c r="AM2886" s="55" t="s">
        <v>2868</v>
      </c>
      <c r="AN2886" s="185" t="s">
        <v>2620</v>
      </c>
      <c r="AO2886" s="185" t="s">
        <v>5150</v>
      </c>
      <c r="AQ2886" s="55" t="s">
        <v>553</v>
      </c>
      <c r="AR2886" s="55" t="s">
        <v>1607</v>
      </c>
      <c r="AS2886" s="55" t="s">
        <v>132</v>
      </c>
      <c r="AU2886" s="181" t="s">
        <v>7494</v>
      </c>
      <c r="AV2886" s="185" t="s">
        <v>176</v>
      </c>
      <c r="AX2886" s="185" t="s">
        <v>176</v>
      </c>
      <c r="BK2886" s="55" t="s">
        <v>5976</v>
      </c>
      <c r="BM2886" s="192" t="s">
        <v>160</v>
      </c>
      <c r="BN2886" s="55">
        <v>3</v>
      </c>
      <c r="BO2886" s="55">
        <v>3</v>
      </c>
      <c r="BP2886" s="55">
        <v>4</v>
      </c>
      <c r="BS2886" s="55">
        <v>959</v>
      </c>
      <c r="BV2886" s="55" t="s">
        <v>2869</v>
      </c>
      <c r="CB2886" s="66">
        <v>631</v>
      </c>
      <c r="CC2886" s="66">
        <v>1719</v>
      </c>
      <c r="CE2886" s="65">
        <v>199</v>
      </c>
      <c r="CF2886" s="65">
        <v>199</v>
      </c>
      <c r="DB2886" s="65">
        <v>11.25</v>
      </c>
      <c r="DC2886" s="65">
        <v>17.98</v>
      </c>
      <c r="DD2886" s="65">
        <f>50.48-39.9</f>
        <v>10.579999999999998</v>
      </c>
      <c r="DE2886" s="65">
        <f>50.48-39.9</f>
        <v>10.579999999999998</v>
      </c>
      <c r="DF2886" s="65" t="s">
        <v>2872</v>
      </c>
      <c r="GP2886" s="292" t="s">
        <v>7494</v>
      </c>
    </row>
    <row r="2887" spans="1:201" x14ac:dyDescent="0.25">
      <c r="A2887" s="55">
        <v>2886</v>
      </c>
      <c r="B2887" s="12" t="s">
        <v>7067</v>
      </c>
      <c r="C2887" s="155">
        <v>135</v>
      </c>
      <c r="D2887" s="55" t="s">
        <v>4289</v>
      </c>
      <c r="E2887" s="90" t="s">
        <v>2864</v>
      </c>
      <c r="G2887" s="55" t="s">
        <v>2865</v>
      </c>
      <c r="H2887" s="55">
        <v>2006</v>
      </c>
      <c r="I2887" s="55">
        <v>2004</v>
      </c>
      <c r="J2887" s="55" t="s">
        <v>2660</v>
      </c>
      <c r="K2887" s="55" t="s">
        <v>2867</v>
      </c>
      <c r="L2887" s="55" t="s">
        <v>2748</v>
      </c>
      <c r="M2887" s="90">
        <f>-15-18.5/60</f>
        <v>-15.308333333333334</v>
      </c>
      <c r="N2887" s="90">
        <f>35+23.5/60</f>
        <v>35.391666666666666</v>
      </c>
      <c r="O2887" s="90">
        <v>853</v>
      </c>
      <c r="U2887" s="55" t="s">
        <v>1688</v>
      </c>
      <c r="V2887" s="55" t="s">
        <v>1816</v>
      </c>
      <c r="Y2887" s="55" t="s">
        <v>2866</v>
      </c>
      <c r="Z2887" s="55" t="s">
        <v>1346</v>
      </c>
      <c r="AA2887" s="90" t="s">
        <v>1675</v>
      </c>
      <c r="AH2887" s="55" t="s">
        <v>238</v>
      </c>
      <c r="AI2887" s="168">
        <v>5.94</v>
      </c>
      <c r="AJ2887" s="90">
        <v>0.90200000000000002</v>
      </c>
      <c r="AM2887" s="55" t="s">
        <v>2868</v>
      </c>
      <c r="AN2887" s="185" t="s">
        <v>2692</v>
      </c>
      <c r="AO2887" s="185" t="s">
        <v>5150</v>
      </c>
      <c r="AQ2887" s="55" t="s">
        <v>553</v>
      </c>
      <c r="AR2887" s="55" t="s">
        <v>1607</v>
      </c>
      <c r="AS2887" s="55" t="s">
        <v>132</v>
      </c>
      <c r="AU2887" s="181" t="s">
        <v>7494</v>
      </c>
      <c r="AV2887" s="185" t="s">
        <v>176</v>
      </c>
      <c r="AX2887" s="185" t="s">
        <v>176</v>
      </c>
      <c r="BK2887" s="55" t="s">
        <v>5976</v>
      </c>
      <c r="BM2887" s="192" t="s">
        <v>160</v>
      </c>
      <c r="BN2887" s="55">
        <v>3</v>
      </c>
      <c r="BO2887" s="55">
        <v>3</v>
      </c>
      <c r="BP2887" s="55">
        <v>4</v>
      </c>
      <c r="BS2887" s="55">
        <v>1004</v>
      </c>
      <c r="BV2887" s="55" t="s">
        <v>2869</v>
      </c>
      <c r="CB2887" s="66">
        <v>631</v>
      </c>
      <c r="CC2887" s="66">
        <v>956</v>
      </c>
      <c r="CE2887" s="65">
        <v>199</v>
      </c>
      <c r="CF2887" s="65">
        <v>199</v>
      </c>
      <c r="DB2887" s="65">
        <v>11.25</v>
      </c>
      <c r="DC2887" s="65">
        <v>36.06</v>
      </c>
      <c r="DD2887" s="65">
        <f>50.48-39.9</f>
        <v>10.579999999999998</v>
      </c>
      <c r="DE2887" s="65">
        <f>50.48-39.9</f>
        <v>10.579999999999998</v>
      </c>
      <c r="DF2887" s="65" t="s">
        <v>2872</v>
      </c>
      <c r="GP2887" s="292" t="s">
        <v>7494</v>
      </c>
    </row>
    <row r="2888" spans="1:201" x14ac:dyDescent="0.25">
      <c r="A2888" s="55">
        <v>2887</v>
      </c>
      <c r="B2888" s="12" t="s">
        <v>7067</v>
      </c>
      <c r="C2888" s="155">
        <v>135</v>
      </c>
      <c r="D2888" s="55" t="s">
        <v>4289</v>
      </c>
      <c r="E2888" s="90" t="s">
        <v>2864</v>
      </c>
      <c r="G2888" s="55" t="s">
        <v>2865</v>
      </c>
      <c r="H2888" s="55">
        <v>2006</v>
      </c>
      <c r="I2888" s="55">
        <v>2004</v>
      </c>
      <c r="J2888" s="55" t="s">
        <v>2660</v>
      </c>
      <c r="K2888" s="55" t="s">
        <v>2867</v>
      </c>
      <c r="L2888" s="55" t="s">
        <v>2748</v>
      </c>
      <c r="M2888" s="90">
        <f>-15-18.5/60</f>
        <v>-15.308333333333334</v>
      </c>
      <c r="N2888" s="90">
        <f>35+23.5/60</f>
        <v>35.391666666666666</v>
      </c>
      <c r="O2888" s="90">
        <v>853</v>
      </c>
      <c r="U2888" s="55" t="s">
        <v>1688</v>
      </c>
      <c r="V2888" s="55" t="s">
        <v>1816</v>
      </c>
      <c r="Y2888" s="55" t="s">
        <v>2866</v>
      </c>
      <c r="Z2888" s="55" t="s">
        <v>1346</v>
      </c>
      <c r="AA2888" s="90" t="s">
        <v>1675</v>
      </c>
      <c r="AH2888" s="55" t="s">
        <v>238</v>
      </c>
      <c r="AI2888" s="168">
        <v>5.94</v>
      </c>
      <c r="AJ2888" s="90">
        <v>0.90200000000000002</v>
      </c>
      <c r="AM2888" s="55" t="s">
        <v>2868</v>
      </c>
      <c r="AN2888" s="185" t="s">
        <v>2773</v>
      </c>
      <c r="AO2888" s="185" t="s">
        <v>5150</v>
      </c>
      <c r="AQ2888" s="55" t="s">
        <v>553</v>
      </c>
      <c r="AR2888" s="55" t="s">
        <v>1607</v>
      </c>
      <c r="AS2888" s="55" t="s">
        <v>132</v>
      </c>
      <c r="AU2888" s="181" t="s">
        <v>7494</v>
      </c>
      <c r="AV2888" s="185" t="s">
        <v>176</v>
      </c>
      <c r="AX2888" s="185" t="s">
        <v>176</v>
      </c>
      <c r="BK2888" s="55" t="s">
        <v>5976</v>
      </c>
      <c r="BM2888" s="192" t="s">
        <v>160</v>
      </c>
      <c r="BN2888" s="55">
        <v>3</v>
      </c>
      <c r="BO2888" s="55">
        <v>3</v>
      </c>
      <c r="BP2888" s="55">
        <v>4</v>
      </c>
      <c r="BS2888" s="55">
        <v>1835</v>
      </c>
      <c r="BV2888" s="55" t="s">
        <v>2869</v>
      </c>
      <c r="CB2888" s="66">
        <v>631</v>
      </c>
      <c r="CC2888" s="66">
        <v>1331</v>
      </c>
      <c r="CE2888" s="65">
        <v>199</v>
      </c>
      <c r="CF2888" s="65">
        <v>199</v>
      </c>
      <c r="DB2888" s="65">
        <v>11.25</v>
      </c>
      <c r="DC2888" s="65">
        <v>24.9</v>
      </c>
      <c r="DD2888" s="65">
        <f>50.48-39.9</f>
        <v>10.579999999999998</v>
      </c>
      <c r="DE2888" s="65">
        <f>50.48-39.9</f>
        <v>10.579999999999998</v>
      </c>
      <c r="DF2888" s="65" t="s">
        <v>2872</v>
      </c>
      <c r="GP2888" s="292" t="s">
        <v>7494</v>
      </c>
    </row>
    <row r="2889" spans="1:201" x14ac:dyDescent="0.25">
      <c r="A2889" s="55">
        <v>2888</v>
      </c>
      <c r="B2889" s="12" t="s">
        <v>7067</v>
      </c>
      <c r="C2889" s="155">
        <v>135</v>
      </c>
      <c r="D2889" s="55" t="s">
        <v>4289</v>
      </c>
      <c r="E2889" s="90" t="s">
        <v>2864</v>
      </c>
      <c r="G2889" s="55" t="s">
        <v>2865</v>
      </c>
      <c r="H2889" s="55">
        <v>2006</v>
      </c>
      <c r="I2889" s="55">
        <v>2004</v>
      </c>
      <c r="J2889" s="55" t="s">
        <v>2660</v>
      </c>
      <c r="K2889" s="55" t="s">
        <v>2867</v>
      </c>
      <c r="L2889" s="55" t="s">
        <v>2748</v>
      </c>
      <c r="M2889" s="90">
        <f>-15-18.5/60</f>
        <v>-15.308333333333334</v>
      </c>
      <c r="N2889" s="90">
        <f>35+23.5/60</f>
        <v>35.391666666666666</v>
      </c>
      <c r="O2889" s="90">
        <v>853</v>
      </c>
      <c r="U2889" s="55" t="s">
        <v>1688</v>
      </c>
      <c r="V2889" s="55" t="s">
        <v>1816</v>
      </c>
      <c r="Y2889" s="55" t="s">
        <v>2866</v>
      </c>
      <c r="Z2889" s="55" t="s">
        <v>1346</v>
      </c>
      <c r="AA2889" s="90" t="s">
        <v>1675</v>
      </c>
      <c r="AH2889" s="55" t="s">
        <v>238</v>
      </c>
      <c r="AI2889" s="168">
        <v>6.04</v>
      </c>
      <c r="AJ2889" s="90">
        <v>0.58499999999999996</v>
      </c>
      <c r="AM2889" s="55" t="s">
        <v>2868</v>
      </c>
      <c r="AN2889" s="185" t="s">
        <v>2620</v>
      </c>
      <c r="AO2889" s="185" t="s">
        <v>5150</v>
      </c>
      <c r="AQ2889" s="55" t="s">
        <v>553</v>
      </c>
      <c r="AR2889" s="55" t="s">
        <v>1607</v>
      </c>
      <c r="AS2889" s="55" t="s">
        <v>132</v>
      </c>
      <c r="AU2889" s="181" t="s">
        <v>7494</v>
      </c>
      <c r="AV2889" s="185" t="s">
        <v>176</v>
      </c>
      <c r="AX2889" s="185" t="s">
        <v>176</v>
      </c>
      <c r="BK2889" s="55" t="s">
        <v>5976</v>
      </c>
      <c r="BM2889" s="192" t="s">
        <v>160</v>
      </c>
      <c r="BN2889" s="55">
        <v>3</v>
      </c>
      <c r="BO2889" s="55">
        <v>3</v>
      </c>
      <c r="BP2889" s="55">
        <v>4</v>
      </c>
      <c r="BS2889" s="55">
        <v>2086</v>
      </c>
      <c r="BV2889" s="55" t="s">
        <v>2870</v>
      </c>
      <c r="CB2889" s="66">
        <v>681</v>
      </c>
      <c r="CC2889" s="66">
        <v>1131</v>
      </c>
      <c r="CE2889" s="65">
        <v>338</v>
      </c>
      <c r="CF2889" s="65">
        <v>338</v>
      </c>
      <c r="DB2889" s="65">
        <v>11.06</v>
      </c>
      <c r="DC2889" s="65">
        <v>23.94</v>
      </c>
      <c r="DD2889" s="65">
        <f>47.98-42.02</f>
        <v>5.9599999999999937</v>
      </c>
      <c r="DE2889" s="65">
        <f>47.98-42.02</f>
        <v>5.9599999999999937</v>
      </c>
      <c r="DF2889" s="65" t="s">
        <v>2872</v>
      </c>
      <c r="GP2889" s="292" t="s">
        <v>7494</v>
      </c>
    </row>
    <row r="2890" spans="1:201" x14ac:dyDescent="0.25">
      <c r="A2890" s="55">
        <v>2889</v>
      </c>
      <c r="B2890" s="12" t="s">
        <v>7067</v>
      </c>
      <c r="C2890" s="155">
        <v>135</v>
      </c>
      <c r="D2890" s="55" t="s">
        <v>4289</v>
      </c>
      <c r="E2890" s="90" t="s">
        <v>2864</v>
      </c>
      <c r="G2890" s="55" t="s">
        <v>2865</v>
      </c>
      <c r="H2890" s="55">
        <v>2006</v>
      </c>
      <c r="I2890" s="55">
        <v>2004</v>
      </c>
      <c r="J2890" s="55" t="s">
        <v>2660</v>
      </c>
      <c r="K2890" s="55" t="s">
        <v>2867</v>
      </c>
      <c r="L2890" s="55" t="s">
        <v>2748</v>
      </c>
      <c r="M2890" s="90">
        <f>-15-18.5/60</f>
        <v>-15.308333333333334</v>
      </c>
      <c r="N2890" s="90">
        <f>35+23.5/60</f>
        <v>35.391666666666666</v>
      </c>
      <c r="O2890" s="90">
        <v>853</v>
      </c>
      <c r="U2890" s="55" t="s">
        <v>1688</v>
      </c>
      <c r="V2890" s="55" t="s">
        <v>1816</v>
      </c>
      <c r="Y2890" s="55" t="s">
        <v>2866</v>
      </c>
      <c r="Z2890" s="55" t="s">
        <v>1346</v>
      </c>
      <c r="AA2890" s="90" t="s">
        <v>1675</v>
      </c>
      <c r="AH2890" s="55" t="s">
        <v>238</v>
      </c>
      <c r="AI2890" s="168">
        <v>6.04</v>
      </c>
      <c r="AJ2890" s="90">
        <v>0.58499999999999996</v>
      </c>
      <c r="AM2890" s="55" t="s">
        <v>2868</v>
      </c>
      <c r="AN2890" s="185" t="s">
        <v>2692</v>
      </c>
      <c r="AO2890" s="185" t="s">
        <v>5150</v>
      </c>
      <c r="AQ2890" s="55" t="s">
        <v>553</v>
      </c>
      <c r="AR2890" s="55" t="s">
        <v>1607</v>
      </c>
      <c r="AS2890" s="55" t="s">
        <v>132</v>
      </c>
      <c r="AU2890" s="181" t="s">
        <v>7494</v>
      </c>
      <c r="AV2890" s="185" t="s">
        <v>176</v>
      </c>
      <c r="AX2890" s="185" t="s">
        <v>176</v>
      </c>
      <c r="BK2890" s="55" t="s">
        <v>5976</v>
      </c>
      <c r="BM2890" s="192" t="s">
        <v>160</v>
      </c>
      <c r="BN2890" s="55">
        <v>3</v>
      </c>
      <c r="BO2890" s="55">
        <v>3</v>
      </c>
      <c r="BP2890" s="55">
        <v>4</v>
      </c>
      <c r="BS2890" s="55">
        <v>976</v>
      </c>
      <c r="BV2890" s="55" t="s">
        <v>2870</v>
      </c>
      <c r="CB2890" s="66">
        <v>681</v>
      </c>
      <c r="CC2890" s="66">
        <v>844</v>
      </c>
      <c r="CE2890" s="65">
        <v>338</v>
      </c>
      <c r="CF2890" s="65">
        <v>338</v>
      </c>
      <c r="DB2890" s="65">
        <v>11.06</v>
      </c>
      <c r="DC2890" s="65">
        <v>20.48</v>
      </c>
      <c r="DD2890" s="65">
        <f>47.98-42.02</f>
        <v>5.9599999999999937</v>
      </c>
      <c r="DE2890" s="65">
        <f>47.98-42.02</f>
        <v>5.9599999999999937</v>
      </c>
      <c r="DF2890" s="65" t="s">
        <v>2872</v>
      </c>
      <c r="GP2890" s="292" t="s">
        <v>7494</v>
      </c>
    </row>
    <row r="2891" spans="1:201" x14ac:dyDescent="0.25">
      <c r="A2891" s="55">
        <v>2890</v>
      </c>
      <c r="B2891" s="12" t="s">
        <v>7067</v>
      </c>
      <c r="C2891" s="155">
        <v>135</v>
      </c>
      <c r="D2891" s="55" t="s">
        <v>4289</v>
      </c>
      <c r="E2891" s="90" t="s">
        <v>2864</v>
      </c>
      <c r="G2891" s="55" t="s">
        <v>2865</v>
      </c>
      <c r="H2891" s="55">
        <v>2006</v>
      </c>
      <c r="I2891" s="55">
        <v>2004</v>
      </c>
      <c r="J2891" s="55" t="s">
        <v>2660</v>
      </c>
      <c r="K2891" s="55" t="s">
        <v>2867</v>
      </c>
      <c r="L2891" s="55" t="s">
        <v>2748</v>
      </c>
      <c r="M2891" s="90">
        <f>-15-18.5/60</f>
        <v>-15.308333333333334</v>
      </c>
      <c r="N2891" s="90">
        <f>35+23.5/60</f>
        <v>35.391666666666666</v>
      </c>
      <c r="O2891" s="90">
        <v>853</v>
      </c>
      <c r="U2891" s="55" t="s">
        <v>1688</v>
      </c>
      <c r="V2891" s="55" t="s">
        <v>1816</v>
      </c>
      <c r="Y2891" s="55" t="s">
        <v>2866</v>
      </c>
      <c r="Z2891" s="55" t="s">
        <v>1346</v>
      </c>
      <c r="AA2891" s="90" t="s">
        <v>1675</v>
      </c>
      <c r="AH2891" s="55" t="s">
        <v>238</v>
      </c>
      <c r="AI2891" s="168">
        <v>6.04</v>
      </c>
      <c r="AJ2891" s="90">
        <v>0.58499999999999996</v>
      </c>
      <c r="AM2891" s="55" t="s">
        <v>2868</v>
      </c>
      <c r="AN2891" s="185" t="s">
        <v>2773</v>
      </c>
      <c r="AO2891" s="185" t="s">
        <v>5150</v>
      </c>
      <c r="AQ2891" s="55" t="s">
        <v>553</v>
      </c>
      <c r="AR2891" s="55" t="s">
        <v>1607</v>
      </c>
      <c r="AS2891" s="55" t="s">
        <v>132</v>
      </c>
      <c r="AU2891" s="181" t="s">
        <v>7494</v>
      </c>
      <c r="AV2891" s="185" t="s">
        <v>176</v>
      </c>
      <c r="AX2891" s="185" t="s">
        <v>176</v>
      </c>
      <c r="BK2891" s="55" t="s">
        <v>5976</v>
      </c>
      <c r="BM2891" s="192" t="s">
        <v>160</v>
      </c>
      <c r="BN2891" s="55">
        <v>3</v>
      </c>
      <c r="BO2891" s="55">
        <v>3</v>
      </c>
      <c r="BP2891" s="55">
        <v>4</v>
      </c>
      <c r="BS2891" s="55">
        <v>1154</v>
      </c>
      <c r="BV2891" s="55" t="s">
        <v>2870</v>
      </c>
      <c r="CB2891" s="66">
        <v>681</v>
      </c>
      <c r="CC2891" s="66">
        <v>1131</v>
      </c>
      <c r="CE2891" s="65">
        <v>338</v>
      </c>
      <c r="CF2891" s="65">
        <v>338</v>
      </c>
      <c r="DB2891" s="65">
        <v>11.06</v>
      </c>
      <c r="DC2891" s="65">
        <v>13.37</v>
      </c>
      <c r="DD2891" s="65">
        <f>47.98-42.02</f>
        <v>5.9599999999999937</v>
      </c>
      <c r="DE2891" s="65">
        <f>47.98-42.02</f>
        <v>5.9599999999999937</v>
      </c>
      <c r="DF2891" s="65" t="s">
        <v>2872</v>
      </c>
      <c r="GP2891" s="292" t="s">
        <v>7494</v>
      </c>
    </row>
    <row r="2892" spans="1:201" x14ac:dyDescent="0.25">
      <c r="A2892" s="55">
        <v>2891</v>
      </c>
      <c r="B2892" s="12" t="s">
        <v>7067</v>
      </c>
      <c r="C2892" s="155">
        <v>135</v>
      </c>
      <c r="D2892" s="55" t="s">
        <v>4289</v>
      </c>
      <c r="E2892" s="90" t="s">
        <v>2864</v>
      </c>
      <c r="G2892" s="55" t="s">
        <v>2865</v>
      </c>
      <c r="H2892" s="55">
        <v>2006</v>
      </c>
      <c r="I2892" s="55">
        <v>2004</v>
      </c>
      <c r="J2892" s="55" t="s">
        <v>2660</v>
      </c>
      <c r="K2892" s="55" t="s">
        <v>2867</v>
      </c>
      <c r="L2892" s="55" t="s">
        <v>2748</v>
      </c>
      <c r="M2892" s="90">
        <f>-15-18.5/60</f>
        <v>-15.308333333333334</v>
      </c>
      <c r="N2892" s="90">
        <f>35+23.5/60</f>
        <v>35.391666666666666</v>
      </c>
      <c r="O2892" s="90">
        <v>853</v>
      </c>
      <c r="U2892" s="55" t="s">
        <v>1688</v>
      </c>
      <c r="V2892" s="55" t="s">
        <v>1816</v>
      </c>
      <c r="Y2892" s="55" t="s">
        <v>2866</v>
      </c>
      <c r="Z2892" s="55" t="s">
        <v>1346</v>
      </c>
      <c r="AA2892" s="90" t="s">
        <v>1675</v>
      </c>
      <c r="AH2892" s="55" t="s">
        <v>238</v>
      </c>
      <c r="AI2892" s="168">
        <v>6.15</v>
      </c>
      <c r="AJ2892" s="90">
        <v>0.69399999999999995</v>
      </c>
      <c r="AM2892" s="55" t="s">
        <v>2868</v>
      </c>
      <c r="AN2892" s="185" t="s">
        <v>2620</v>
      </c>
      <c r="AO2892" s="185" t="s">
        <v>5150</v>
      </c>
      <c r="AQ2892" s="55" t="s">
        <v>553</v>
      </c>
      <c r="AR2892" s="55" t="s">
        <v>1607</v>
      </c>
      <c r="AS2892" s="55" t="s">
        <v>132</v>
      </c>
      <c r="AU2892" s="181" t="s">
        <v>7494</v>
      </c>
      <c r="AV2892" s="185" t="s">
        <v>176</v>
      </c>
      <c r="AX2892" s="185" t="s">
        <v>176</v>
      </c>
      <c r="BK2892" s="55" t="s">
        <v>5976</v>
      </c>
      <c r="BM2892" s="192" t="s">
        <v>160</v>
      </c>
      <c r="BN2892" s="55">
        <v>3</v>
      </c>
      <c r="BO2892" s="55">
        <v>3</v>
      </c>
      <c r="BP2892" s="55">
        <v>4</v>
      </c>
      <c r="BS2892" s="55">
        <v>1697</v>
      </c>
      <c r="BV2892" s="55" t="s">
        <v>2871</v>
      </c>
      <c r="CB2892" s="66">
        <v>406</v>
      </c>
      <c r="CC2892" s="66">
        <v>731</v>
      </c>
      <c r="CE2892" s="65">
        <f>2994-2844</f>
        <v>150</v>
      </c>
      <c r="CF2892" s="65">
        <f>2994-2844</f>
        <v>150</v>
      </c>
      <c r="DB2892" s="65">
        <v>7.6</v>
      </c>
      <c r="DC2892" s="65">
        <v>14.71</v>
      </c>
      <c r="DD2892" s="65">
        <f>46.63-43.55</f>
        <v>3.0800000000000054</v>
      </c>
      <c r="DE2892" s="65">
        <f>46.63-43.55</f>
        <v>3.0800000000000054</v>
      </c>
      <c r="DF2892" s="65" t="s">
        <v>2872</v>
      </c>
      <c r="GP2892" s="292" t="s">
        <v>7494</v>
      </c>
    </row>
    <row r="2893" spans="1:201" x14ac:dyDescent="0.25">
      <c r="A2893" s="55">
        <v>2892</v>
      </c>
      <c r="B2893" s="12" t="s">
        <v>7067</v>
      </c>
      <c r="C2893" s="155">
        <v>135</v>
      </c>
      <c r="D2893" s="55" t="s">
        <v>4289</v>
      </c>
      <c r="E2893" s="90" t="s">
        <v>2864</v>
      </c>
      <c r="G2893" s="55" t="s">
        <v>2865</v>
      </c>
      <c r="H2893" s="55">
        <v>2006</v>
      </c>
      <c r="I2893" s="55">
        <v>2004</v>
      </c>
      <c r="J2893" s="55" t="s">
        <v>2660</v>
      </c>
      <c r="K2893" s="55" t="s">
        <v>2867</v>
      </c>
      <c r="L2893" s="55" t="s">
        <v>2748</v>
      </c>
      <c r="M2893" s="90">
        <f>-15-18.5/60</f>
        <v>-15.308333333333334</v>
      </c>
      <c r="N2893" s="90">
        <f>35+23.5/60</f>
        <v>35.391666666666666</v>
      </c>
      <c r="O2893" s="90">
        <v>853</v>
      </c>
      <c r="U2893" s="55" t="s">
        <v>1688</v>
      </c>
      <c r="V2893" s="55" t="s">
        <v>1816</v>
      </c>
      <c r="Y2893" s="55" t="s">
        <v>2866</v>
      </c>
      <c r="Z2893" s="55" t="s">
        <v>1346</v>
      </c>
      <c r="AA2893" s="90" t="s">
        <v>1675</v>
      </c>
      <c r="AH2893" s="55" t="s">
        <v>238</v>
      </c>
      <c r="AI2893" s="168">
        <v>6.15</v>
      </c>
      <c r="AJ2893" s="90">
        <v>0.69399999999999995</v>
      </c>
      <c r="AM2893" s="55" t="s">
        <v>2868</v>
      </c>
      <c r="AN2893" s="185" t="s">
        <v>2692</v>
      </c>
      <c r="AO2893" s="185" t="s">
        <v>5150</v>
      </c>
      <c r="AQ2893" s="55" t="s">
        <v>553</v>
      </c>
      <c r="AR2893" s="55" t="s">
        <v>1607</v>
      </c>
      <c r="AS2893" s="55" t="s">
        <v>132</v>
      </c>
      <c r="AU2893" s="181" t="s">
        <v>7494</v>
      </c>
      <c r="AV2893" s="185" t="s">
        <v>176</v>
      </c>
      <c r="AX2893" s="185" t="s">
        <v>176</v>
      </c>
      <c r="BK2893" s="55" t="s">
        <v>5976</v>
      </c>
      <c r="BM2893" s="192" t="s">
        <v>160</v>
      </c>
      <c r="BN2893" s="55">
        <v>3</v>
      </c>
      <c r="BO2893" s="55">
        <v>3</v>
      </c>
      <c r="BP2893" s="55">
        <v>4</v>
      </c>
      <c r="BS2893" s="55">
        <v>372</v>
      </c>
      <c r="BV2893" s="55" t="s">
        <v>2871</v>
      </c>
      <c r="CB2893" s="66">
        <v>406</v>
      </c>
      <c r="CC2893" s="66">
        <v>544</v>
      </c>
      <c r="CE2893" s="65">
        <f>2994-2844</f>
        <v>150</v>
      </c>
      <c r="CF2893" s="65">
        <f>2994-2844</f>
        <v>150</v>
      </c>
      <c r="DB2893" s="65">
        <v>7.6</v>
      </c>
      <c r="DC2893" s="65">
        <v>11.63</v>
      </c>
      <c r="DD2893" s="65">
        <f>46.63-43.55</f>
        <v>3.0800000000000054</v>
      </c>
      <c r="DE2893" s="65">
        <f>46.63-43.55</f>
        <v>3.0800000000000054</v>
      </c>
      <c r="DF2893" s="65" t="s">
        <v>2872</v>
      </c>
      <c r="GP2893" s="292" t="s">
        <v>7494</v>
      </c>
    </row>
    <row r="2894" spans="1:201" x14ac:dyDescent="0.25">
      <c r="A2894" s="55">
        <v>2893</v>
      </c>
      <c r="B2894" s="12" t="s">
        <v>7067</v>
      </c>
      <c r="C2894" s="155">
        <v>135</v>
      </c>
      <c r="D2894" s="55" t="s">
        <v>4289</v>
      </c>
      <c r="E2894" s="90" t="s">
        <v>2864</v>
      </c>
      <c r="G2894" s="55" t="s">
        <v>2865</v>
      </c>
      <c r="H2894" s="55">
        <v>2006</v>
      </c>
      <c r="I2894" s="55">
        <v>2004</v>
      </c>
      <c r="J2894" s="55" t="s">
        <v>2660</v>
      </c>
      <c r="K2894" s="55" t="s">
        <v>2867</v>
      </c>
      <c r="L2894" s="55" t="s">
        <v>2748</v>
      </c>
      <c r="M2894" s="90">
        <f>-15-18.5/60</f>
        <v>-15.308333333333334</v>
      </c>
      <c r="N2894" s="90">
        <f>35+23.5/60</f>
        <v>35.391666666666666</v>
      </c>
      <c r="O2894" s="90">
        <v>853</v>
      </c>
      <c r="U2894" s="55" t="s">
        <v>1688</v>
      </c>
      <c r="V2894" s="55" t="s">
        <v>1816</v>
      </c>
      <c r="Y2894" s="55" t="s">
        <v>2866</v>
      </c>
      <c r="Z2894" s="55" t="s">
        <v>1346</v>
      </c>
      <c r="AA2894" s="90" t="s">
        <v>1675</v>
      </c>
      <c r="AH2894" s="55" t="s">
        <v>238</v>
      </c>
      <c r="AI2894" s="168">
        <v>6.15</v>
      </c>
      <c r="AJ2894" s="90">
        <v>0.69399999999999995</v>
      </c>
      <c r="AM2894" s="55" t="s">
        <v>2868</v>
      </c>
      <c r="AN2894" s="185" t="s">
        <v>2773</v>
      </c>
      <c r="AO2894" s="185" t="s">
        <v>5150</v>
      </c>
      <c r="AQ2894" s="55" t="s">
        <v>553</v>
      </c>
      <c r="AR2894" s="55" t="s">
        <v>1607</v>
      </c>
      <c r="AS2894" s="55" t="s">
        <v>132</v>
      </c>
      <c r="AU2894" s="181" t="s">
        <v>7494</v>
      </c>
      <c r="AV2894" s="185" t="s">
        <v>176</v>
      </c>
      <c r="AX2894" s="185" t="s">
        <v>176</v>
      </c>
      <c r="BK2894" s="55" t="s">
        <v>5976</v>
      </c>
      <c r="BM2894" s="192" t="s">
        <v>160</v>
      </c>
      <c r="BN2894" s="55">
        <v>3</v>
      </c>
      <c r="BO2894" s="55">
        <v>3</v>
      </c>
      <c r="BP2894" s="55">
        <v>4</v>
      </c>
      <c r="BS2894" s="55">
        <v>562</v>
      </c>
      <c r="BV2894" s="55" t="s">
        <v>2871</v>
      </c>
      <c r="CB2894" s="66">
        <v>406</v>
      </c>
      <c r="CC2894" s="66">
        <v>606</v>
      </c>
      <c r="CE2894" s="65">
        <f>2994-2844</f>
        <v>150</v>
      </c>
      <c r="CF2894" s="65">
        <f>2994-2844</f>
        <v>150</v>
      </c>
      <c r="DB2894" s="65">
        <v>7.6</v>
      </c>
      <c r="DC2894" s="65">
        <v>12.4</v>
      </c>
      <c r="DD2894" s="65">
        <f>46.63-43.55</f>
        <v>3.0800000000000054</v>
      </c>
      <c r="DE2894" s="65">
        <f>46.63-43.55</f>
        <v>3.0800000000000054</v>
      </c>
      <c r="DF2894" s="65" t="s">
        <v>2872</v>
      </c>
      <c r="GP2894" s="292" t="s">
        <v>7494</v>
      </c>
    </row>
    <row r="2895" spans="1:201" x14ac:dyDescent="0.25">
      <c r="A2895" s="55">
        <v>2894</v>
      </c>
      <c r="B2895" s="12" t="s">
        <v>7067</v>
      </c>
      <c r="C2895" s="155">
        <v>136</v>
      </c>
      <c r="D2895" s="55" t="s">
        <v>4290</v>
      </c>
      <c r="E2895" s="90" t="s">
        <v>2874</v>
      </c>
      <c r="G2895" s="55" t="s">
        <v>2873</v>
      </c>
      <c r="H2895" s="55">
        <v>2003</v>
      </c>
      <c r="I2895" s="55">
        <v>1993</v>
      </c>
      <c r="J2895" s="55" t="s">
        <v>2660</v>
      </c>
      <c r="K2895" s="55" t="s">
        <v>2876</v>
      </c>
      <c r="L2895" s="55" t="s">
        <v>2744</v>
      </c>
      <c r="M2895" s="90">
        <f>4+45/60</f>
        <v>4.75</v>
      </c>
      <c r="N2895" s="90">
        <f>7+18/60</f>
        <v>7.3</v>
      </c>
      <c r="O2895" s="90">
        <v>19.600000000000001</v>
      </c>
      <c r="S2895" s="90">
        <v>2400</v>
      </c>
      <c r="U2895" s="55" t="s">
        <v>1935</v>
      </c>
      <c r="V2895" s="55" t="s">
        <v>1805</v>
      </c>
      <c r="Y2895" s="55" t="s">
        <v>2882</v>
      </c>
      <c r="Z2895" s="55" t="s">
        <v>1361</v>
      </c>
      <c r="AA2895" s="90" t="s">
        <v>1682</v>
      </c>
      <c r="AI2895" s="168">
        <v>4.5</v>
      </c>
      <c r="AJ2895" s="90">
        <v>1.1299999999999999</v>
      </c>
      <c r="AN2895" s="185" t="s">
        <v>2773</v>
      </c>
      <c r="AO2895" s="185" t="s">
        <v>5150</v>
      </c>
      <c r="AQ2895" s="55" t="s">
        <v>553</v>
      </c>
      <c r="AR2895" s="55" t="s">
        <v>1607</v>
      </c>
      <c r="AS2895" s="55" t="s">
        <v>132</v>
      </c>
      <c r="AU2895" s="181" t="s">
        <v>7494</v>
      </c>
      <c r="AV2895" s="185" t="s">
        <v>176</v>
      </c>
      <c r="AX2895" s="185" t="s">
        <v>176</v>
      </c>
      <c r="BK2895" s="55" t="s">
        <v>6333</v>
      </c>
      <c r="BM2895" s="192" t="s">
        <v>2702</v>
      </c>
      <c r="BQ2895" s="55" t="s">
        <v>2875</v>
      </c>
      <c r="CB2895" s="66">
        <v>10204</v>
      </c>
      <c r="CC2895" s="66">
        <v>7015</v>
      </c>
      <c r="CE2895" s="65">
        <v>3720</v>
      </c>
      <c r="CF2895" s="65">
        <v>3720</v>
      </c>
      <c r="CG2895" s="65" t="s">
        <v>2883</v>
      </c>
      <c r="CM2895" s="65">
        <v>1.3</v>
      </c>
      <c r="CN2895" s="65">
        <v>1.23</v>
      </c>
      <c r="CO2895" s="65">
        <v>0.11</v>
      </c>
      <c r="CP2895" s="65">
        <v>0.11</v>
      </c>
      <c r="CQ2895" s="65" t="s">
        <v>2878</v>
      </c>
      <c r="CV2895" s="65" t="s">
        <v>3039</v>
      </c>
      <c r="DA2895" s="65" t="s">
        <v>4458</v>
      </c>
      <c r="DB2895" s="65">
        <v>0.1</v>
      </c>
      <c r="DC2895" s="65">
        <v>0.10299999999999999</v>
      </c>
      <c r="DD2895" s="65">
        <v>1.0999999999999999E-2</v>
      </c>
      <c r="DE2895" s="65">
        <v>1.0999999999999999E-2</v>
      </c>
      <c r="DF2895" s="65" t="s">
        <v>2877</v>
      </c>
      <c r="DG2895" s="65">
        <v>45.93</v>
      </c>
      <c r="DH2895" s="65">
        <v>41.23</v>
      </c>
      <c r="DI2895" s="65">
        <v>16</v>
      </c>
      <c r="DJ2895" s="65">
        <v>16</v>
      </c>
      <c r="DK2895" s="65" t="s">
        <v>2879</v>
      </c>
      <c r="DL2895" s="65">
        <v>7.0000000000000007E-2</v>
      </c>
      <c r="DM2895" s="65">
        <v>0.09</v>
      </c>
      <c r="DN2895" s="65">
        <v>0.01</v>
      </c>
      <c r="DO2895" s="65">
        <v>0.01</v>
      </c>
      <c r="DP2895" s="65" t="s">
        <v>2880</v>
      </c>
      <c r="DQ2895" s="165">
        <v>4.9000000000000004</v>
      </c>
      <c r="DR2895" s="165">
        <v>4.7</v>
      </c>
      <c r="DS2895" s="162">
        <v>0.14000000000000001</v>
      </c>
      <c r="DT2895" s="162">
        <v>0.14000000000000001</v>
      </c>
      <c r="DV2895" s="65">
        <v>2.23</v>
      </c>
      <c r="DW2895" s="65">
        <v>2.27</v>
      </c>
      <c r="DX2895" s="65">
        <v>0.15</v>
      </c>
      <c r="DY2895" s="65">
        <v>0.15</v>
      </c>
      <c r="DZ2895" s="65" t="s">
        <v>2881</v>
      </c>
      <c r="EF2895" s="65">
        <v>45.78</v>
      </c>
      <c r="EG2895" s="65">
        <v>58.6</v>
      </c>
      <c r="EH2895" s="65">
        <v>10.01</v>
      </c>
      <c r="EI2895" s="65">
        <v>10.01</v>
      </c>
      <c r="EJ2895" s="65" t="s">
        <v>164</v>
      </c>
      <c r="GN2895" s="294">
        <v>5274</v>
      </c>
      <c r="GO2895" s="294">
        <v>1863</v>
      </c>
      <c r="GP2895" s="292" t="s">
        <v>5150</v>
      </c>
      <c r="GS2895" s="65" t="s">
        <v>2885</v>
      </c>
    </row>
    <row r="2896" spans="1:201" x14ac:dyDescent="0.25">
      <c r="A2896" s="55">
        <v>2895</v>
      </c>
      <c r="B2896" s="12" t="s">
        <v>7067</v>
      </c>
      <c r="C2896" s="155">
        <v>136</v>
      </c>
      <c r="D2896" s="55" t="s">
        <v>4291</v>
      </c>
      <c r="E2896" s="90" t="s">
        <v>2874</v>
      </c>
      <c r="G2896" s="55" t="s">
        <v>2873</v>
      </c>
      <c r="H2896" s="55">
        <v>2003</v>
      </c>
      <c r="I2896" s="55">
        <v>1993</v>
      </c>
      <c r="J2896" s="55" t="s">
        <v>2660</v>
      </c>
      <c r="K2896" s="55" t="s">
        <v>2876</v>
      </c>
      <c r="L2896" s="55" t="s">
        <v>2744</v>
      </c>
      <c r="M2896" s="90">
        <f>4+45/60</f>
        <v>4.75</v>
      </c>
      <c r="N2896" s="90">
        <f>7+18/60</f>
        <v>7.3</v>
      </c>
      <c r="O2896" s="90">
        <v>19.600000000000001</v>
      </c>
      <c r="S2896" s="90">
        <v>2400</v>
      </c>
      <c r="U2896" s="55" t="s">
        <v>1935</v>
      </c>
      <c r="V2896" s="55" t="s">
        <v>1805</v>
      </c>
      <c r="Y2896" s="55" t="s">
        <v>2882</v>
      </c>
      <c r="Z2896" s="55" t="s">
        <v>1379</v>
      </c>
      <c r="AA2896" s="90" t="s">
        <v>1679</v>
      </c>
      <c r="AI2896" s="168">
        <v>4.5</v>
      </c>
      <c r="AJ2896" s="90">
        <v>1.1299999999999999</v>
      </c>
      <c r="AN2896" s="185" t="s">
        <v>2773</v>
      </c>
      <c r="AO2896" s="185" t="s">
        <v>5150</v>
      </c>
      <c r="AQ2896" s="55" t="s">
        <v>553</v>
      </c>
      <c r="AR2896" s="55" t="s">
        <v>1607</v>
      </c>
      <c r="AS2896" s="55" t="s">
        <v>132</v>
      </c>
      <c r="AU2896" s="181" t="s">
        <v>7494</v>
      </c>
      <c r="AV2896" s="185" t="s">
        <v>176</v>
      </c>
      <c r="AX2896" s="185" t="s">
        <v>176</v>
      </c>
      <c r="BK2896" s="55" t="s">
        <v>6333</v>
      </c>
      <c r="BM2896" s="192" t="s">
        <v>2702</v>
      </c>
      <c r="BQ2896" s="55" t="s">
        <v>2875</v>
      </c>
      <c r="CB2896" s="66">
        <v>236</v>
      </c>
      <c r="CC2896" s="66">
        <v>186</v>
      </c>
      <c r="CE2896" s="65">
        <v>260</v>
      </c>
      <c r="CF2896" s="65">
        <v>260</v>
      </c>
      <c r="CG2896" s="65" t="s">
        <v>2884</v>
      </c>
      <c r="CM2896" s="65">
        <v>0.85</v>
      </c>
      <c r="CN2896" s="65">
        <v>0.98</v>
      </c>
      <c r="CO2896" s="65">
        <v>0.08</v>
      </c>
      <c r="CP2896" s="65">
        <v>0.08</v>
      </c>
      <c r="CQ2896" s="65" t="s">
        <v>2878</v>
      </c>
      <c r="CV2896" s="65" t="s">
        <v>3039</v>
      </c>
      <c r="DA2896" s="65" t="s">
        <v>4458</v>
      </c>
      <c r="DB2896" s="65">
        <v>7.6999999999999999E-2</v>
      </c>
      <c r="DC2896" s="65">
        <v>7.9000000000000001E-2</v>
      </c>
      <c r="DD2896" s="65">
        <v>3.0000000000000001E-3</v>
      </c>
      <c r="DE2896" s="65">
        <v>3.0000000000000001E-3</v>
      </c>
      <c r="DF2896" s="65" t="s">
        <v>2877</v>
      </c>
      <c r="DG2896" s="65">
        <v>35.5</v>
      </c>
      <c r="DH2896" s="65">
        <v>70.5</v>
      </c>
      <c r="DI2896" s="65">
        <v>16.579999999999998</v>
      </c>
      <c r="DJ2896" s="65">
        <v>16.579999999999998</v>
      </c>
      <c r="DK2896" s="65" t="s">
        <v>2879</v>
      </c>
      <c r="DL2896" s="65">
        <v>0.06</v>
      </c>
      <c r="DM2896" s="65">
        <v>0.06</v>
      </c>
      <c r="DN2896" s="65">
        <v>0.01</v>
      </c>
      <c r="DO2896" s="65">
        <v>0.01</v>
      </c>
      <c r="DP2896" s="65" t="s">
        <v>2880</v>
      </c>
      <c r="DQ2896" s="165">
        <v>4.9000000000000004</v>
      </c>
      <c r="DR2896" s="165">
        <v>4.5999999999999996</v>
      </c>
      <c r="DS2896" s="162">
        <v>0.11</v>
      </c>
      <c r="DT2896" s="162">
        <v>0.11</v>
      </c>
      <c r="DV2896" s="65">
        <v>2.27</v>
      </c>
      <c r="DW2896" s="65">
        <v>1.9630000000000001</v>
      </c>
      <c r="DX2896" s="65">
        <v>0.2</v>
      </c>
      <c r="DY2896" s="65">
        <v>0.2</v>
      </c>
      <c r="DZ2896" s="65" t="s">
        <v>2881</v>
      </c>
      <c r="EF2896" s="65">
        <v>39.36</v>
      </c>
      <c r="EG2896" s="65">
        <v>3.07</v>
      </c>
      <c r="EH2896" s="65">
        <v>6.86</v>
      </c>
      <c r="EI2896" s="65">
        <v>6.86</v>
      </c>
      <c r="EJ2896" s="65" t="s">
        <v>164</v>
      </c>
      <c r="GP2896" s="292" t="s">
        <v>7494</v>
      </c>
    </row>
    <row r="2897" spans="1:201" x14ac:dyDescent="0.25">
      <c r="A2897" s="55">
        <v>2896</v>
      </c>
      <c r="B2897" s="12" t="s">
        <v>7067</v>
      </c>
      <c r="C2897" s="155">
        <v>136</v>
      </c>
      <c r="D2897" s="55" t="s">
        <v>4292</v>
      </c>
      <c r="E2897" s="90" t="s">
        <v>2874</v>
      </c>
      <c r="G2897" s="55" t="s">
        <v>2873</v>
      </c>
      <c r="H2897" s="55">
        <v>2003</v>
      </c>
      <c r="I2897" s="55">
        <v>1993</v>
      </c>
      <c r="J2897" s="55" t="s">
        <v>2660</v>
      </c>
      <c r="K2897" s="55" t="s">
        <v>2876</v>
      </c>
      <c r="L2897" s="55" t="s">
        <v>2744</v>
      </c>
      <c r="M2897" s="90">
        <f>4+45/60</f>
        <v>4.75</v>
      </c>
      <c r="N2897" s="90">
        <f>7+18/60</f>
        <v>7.3</v>
      </c>
      <c r="O2897" s="90">
        <v>19.600000000000001</v>
      </c>
      <c r="S2897" s="90">
        <v>2400</v>
      </c>
      <c r="U2897" s="55" t="s">
        <v>1935</v>
      </c>
      <c r="V2897" s="55" t="s">
        <v>1805</v>
      </c>
      <c r="Y2897" s="55" t="s">
        <v>2882</v>
      </c>
      <c r="Z2897" s="55" t="s">
        <v>1357</v>
      </c>
      <c r="AA2897" s="90" t="s">
        <v>1677</v>
      </c>
      <c r="AI2897" s="168">
        <v>4.5</v>
      </c>
      <c r="AJ2897" s="90">
        <v>1.04</v>
      </c>
      <c r="AN2897" s="185" t="s">
        <v>2773</v>
      </c>
      <c r="AO2897" s="185" t="s">
        <v>5150</v>
      </c>
      <c r="AQ2897" s="55" t="s">
        <v>553</v>
      </c>
      <c r="AR2897" s="55" t="s">
        <v>1607</v>
      </c>
      <c r="AS2897" s="55" t="s">
        <v>132</v>
      </c>
      <c r="AU2897" s="181" t="s">
        <v>7494</v>
      </c>
      <c r="AV2897" s="185" t="s">
        <v>176</v>
      </c>
      <c r="AX2897" s="185" t="s">
        <v>176</v>
      </c>
      <c r="BK2897" s="55" t="s">
        <v>6333</v>
      </c>
      <c r="BM2897" s="192" t="s">
        <v>2702</v>
      </c>
      <c r="BQ2897" s="55" t="s">
        <v>2875</v>
      </c>
      <c r="CM2897" s="65">
        <v>0.85</v>
      </c>
      <c r="CN2897" s="65">
        <v>0.85</v>
      </c>
      <c r="CO2897" s="65">
        <v>0.17</v>
      </c>
      <c r="CP2897" s="65">
        <v>0.17</v>
      </c>
      <c r="CQ2897" s="65" t="s">
        <v>2878</v>
      </c>
      <c r="CV2897" s="65" t="s">
        <v>3039</v>
      </c>
      <c r="DA2897" s="65" t="s">
        <v>4458</v>
      </c>
      <c r="DB2897" s="65">
        <v>5.8000000000000003E-2</v>
      </c>
      <c r="DC2897" s="65">
        <v>6.3E-2</v>
      </c>
      <c r="DD2897" s="65">
        <v>3.0000000000000001E-3</v>
      </c>
      <c r="DE2897" s="65">
        <v>3.0000000000000001E-3</v>
      </c>
      <c r="DF2897" s="65" t="s">
        <v>2877</v>
      </c>
      <c r="DG2897" s="65">
        <v>19.100000000000001</v>
      </c>
      <c r="DH2897" s="65">
        <v>38.979999999999997</v>
      </c>
      <c r="DI2897" s="65">
        <v>9.69</v>
      </c>
      <c r="DJ2897" s="65">
        <v>9.69</v>
      </c>
      <c r="DK2897" s="65" t="s">
        <v>2879</v>
      </c>
      <c r="DL2897" s="65">
        <v>8.3000000000000004E-2</v>
      </c>
      <c r="DM2897" s="65">
        <v>6.3E-2</v>
      </c>
      <c r="DN2897" s="65">
        <v>0.02</v>
      </c>
      <c r="DO2897" s="65">
        <v>0.02</v>
      </c>
      <c r="DP2897" s="65" t="s">
        <v>2880</v>
      </c>
      <c r="DQ2897" s="165">
        <v>5</v>
      </c>
      <c r="DR2897" s="165">
        <v>4.8</v>
      </c>
      <c r="DS2897" s="162">
        <v>7.0000000000000007E-2</v>
      </c>
      <c r="DT2897" s="162">
        <v>7.0000000000000007E-2</v>
      </c>
      <c r="DV2897" s="65">
        <v>2.27</v>
      </c>
      <c r="DW2897" s="65">
        <v>1.64</v>
      </c>
      <c r="DX2897" s="65">
        <v>0.28000000000000003</v>
      </c>
      <c r="DY2897" s="65">
        <v>0.28000000000000003</v>
      </c>
      <c r="DZ2897" s="65" t="s">
        <v>2881</v>
      </c>
      <c r="EF2897" s="65">
        <v>47.13</v>
      </c>
      <c r="EG2897" s="65">
        <v>32.44</v>
      </c>
      <c r="EH2897" s="65">
        <v>8.01</v>
      </c>
      <c r="EI2897" s="65">
        <v>8.01</v>
      </c>
      <c r="EJ2897" s="65" t="s">
        <v>164</v>
      </c>
      <c r="GP2897" s="292" t="s">
        <v>7494</v>
      </c>
    </row>
    <row r="2898" spans="1:201" x14ac:dyDescent="0.25">
      <c r="A2898" s="55">
        <v>2897</v>
      </c>
      <c r="B2898" s="12" t="s">
        <v>7067</v>
      </c>
      <c r="C2898" s="155">
        <v>136</v>
      </c>
      <c r="D2898" s="55" t="s">
        <v>4290</v>
      </c>
      <c r="E2898" s="90" t="s">
        <v>2874</v>
      </c>
      <c r="G2898" s="55" t="s">
        <v>2873</v>
      </c>
      <c r="H2898" s="55">
        <v>2003</v>
      </c>
      <c r="I2898" s="55">
        <v>1994</v>
      </c>
      <c r="J2898" s="55" t="s">
        <v>2660</v>
      </c>
      <c r="K2898" s="55" t="s">
        <v>2876</v>
      </c>
      <c r="L2898" s="55" t="s">
        <v>2744</v>
      </c>
      <c r="M2898" s="90">
        <f>4+45/60</f>
        <v>4.75</v>
      </c>
      <c r="N2898" s="90">
        <f>7+18/60</f>
        <v>7.3</v>
      </c>
      <c r="O2898" s="90">
        <v>19.600000000000001</v>
      </c>
      <c r="S2898" s="90">
        <v>2400</v>
      </c>
      <c r="U2898" s="55" t="s">
        <v>1805</v>
      </c>
      <c r="V2898" s="55" t="s">
        <v>1805</v>
      </c>
      <c r="Y2898" s="55" t="s">
        <v>2882</v>
      </c>
      <c r="Z2898" s="55" t="s">
        <v>1361</v>
      </c>
      <c r="AA2898" s="90" t="s">
        <v>1682</v>
      </c>
      <c r="AI2898" s="168">
        <v>4.5</v>
      </c>
      <c r="AJ2898" s="90">
        <v>1.1299999999999999</v>
      </c>
      <c r="AN2898" s="185" t="s">
        <v>2773</v>
      </c>
      <c r="AO2898" s="185" t="s">
        <v>5150</v>
      </c>
      <c r="AQ2898" s="55" t="s">
        <v>553</v>
      </c>
      <c r="AR2898" s="55" t="s">
        <v>1607</v>
      </c>
      <c r="AS2898" s="55" t="s">
        <v>132</v>
      </c>
      <c r="AU2898" s="181" t="s">
        <v>7494</v>
      </c>
      <c r="AV2898" s="185" t="s">
        <v>176</v>
      </c>
      <c r="AX2898" s="185" t="s">
        <v>176</v>
      </c>
      <c r="BK2898" s="55" t="s">
        <v>6333</v>
      </c>
      <c r="BM2898" s="192" t="s">
        <v>2702</v>
      </c>
      <c r="BQ2898" s="55" t="s">
        <v>2875</v>
      </c>
      <c r="CB2898" s="66">
        <v>13189</v>
      </c>
      <c r="CC2898" s="66">
        <v>18495</v>
      </c>
      <c r="CE2898" s="65">
        <v>3720</v>
      </c>
      <c r="CF2898" s="65">
        <v>3720</v>
      </c>
      <c r="CG2898" s="65" t="s">
        <v>2883</v>
      </c>
      <c r="CM2898" s="65">
        <v>1.28</v>
      </c>
      <c r="CN2898" s="65">
        <v>1.36</v>
      </c>
      <c r="CO2898" s="65">
        <v>0.08</v>
      </c>
      <c r="CP2898" s="65">
        <v>0.08</v>
      </c>
      <c r="CQ2898" s="65" t="s">
        <v>2878</v>
      </c>
      <c r="CV2898" s="65" t="s">
        <v>3039</v>
      </c>
      <c r="DA2898" s="65" t="s">
        <v>4458</v>
      </c>
      <c r="DB2898" s="65">
        <v>0.10100000000000001</v>
      </c>
      <c r="DC2898" s="65">
        <v>0.113</v>
      </c>
      <c r="DD2898" s="65">
        <v>6.0000000000000001E-3</v>
      </c>
      <c r="DE2898" s="65">
        <v>6.0000000000000001E-3</v>
      </c>
      <c r="DF2898" s="65" t="s">
        <v>2877</v>
      </c>
      <c r="DG2898" s="65">
        <v>31.5</v>
      </c>
      <c r="DH2898" s="65">
        <v>31.4</v>
      </c>
      <c r="DI2898" s="65">
        <v>12.99</v>
      </c>
      <c r="DJ2898" s="65">
        <v>12.99</v>
      </c>
      <c r="DK2898" s="65" t="s">
        <v>2879</v>
      </c>
      <c r="DL2898" s="65">
        <v>0.1</v>
      </c>
      <c r="DM2898" s="65">
        <v>0.1</v>
      </c>
      <c r="DP2898" s="65" t="s">
        <v>2880</v>
      </c>
      <c r="DQ2898" s="165">
        <v>4.2</v>
      </c>
      <c r="DR2898" s="165">
        <v>3.8</v>
      </c>
      <c r="DS2898" s="162">
        <v>0.14000000000000001</v>
      </c>
      <c r="DT2898" s="162">
        <v>0.14000000000000001</v>
      </c>
      <c r="DV2898" s="65">
        <v>2.6</v>
      </c>
      <c r="DW2898" s="65">
        <v>2.5</v>
      </c>
      <c r="DX2898" s="65">
        <v>0.24</v>
      </c>
      <c r="DY2898" s="65">
        <v>0.24</v>
      </c>
      <c r="DZ2898" s="65" t="s">
        <v>2881</v>
      </c>
      <c r="EF2898" s="65">
        <v>63.5</v>
      </c>
      <c r="EG2898" s="65">
        <v>59.1</v>
      </c>
      <c r="EH2898" s="65">
        <v>11.69</v>
      </c>
      <c r="EI2898" s="65">
        <v>11.69</v>
      </c>
      <c r="EJ2898" s="65" t="s">
        <v>164</v>
      </c>
      <c r="GN2898" s="294">
        <v>6768</v>
      </c>
      <c r="GO2898" s="294">
        <v>2032</v>
      </c>
      <c r="GP2898" s="292" t="s">
        <v>5150</v>
      </c>
      <c r="GS2898" s="65" t="s">
        <v>2885</v>
      </c>
    </row>
    <row r="2899" spans="1:201" x14ac:dyDescent="0.25">
      <c r="A2899" s="55">
        <v>2898</v>
      </c>
      <c r="B2899" s="12" t="s">
        <v>7067</v>
      </c>
      <c r="C2899" s="155">
        <v>136</v>
      </c>
      <c r="D2899" s="55" t="s">
        <v>4291</v>
      </c>
      <c r="E2899" s="90" t="s">
        <v>2874</v>
      </c>
      <c r="G2899" s="55" t="s">
        <v>2873</v>
      </c>
      <c r="H2899" s="55">
        <v>2003</v>
      </c>
      <c r="I2899" s="55">
        <v>1994</v>
      </c>
      <c r="J2899" s="55" t="s">
        <v>2660</v>
      </c>
      <c r="K2899" s="55" t="s">
        <v>2876</v>
      </c>
      <c r="L2899" s="55" t="s">
        <v>2744</v>
      </c>
      <c r="M2899" s="90">
        <f>4+45/60</f>
        <v>4.75</v>
      </c>
      <c r="N2899" s="90">
        <f>7+18/60</f>
        <v>7.3</v>
      </c>
      <c r="O2899" s="90">
        <v>19.600000000000001</v>
      </c>
      <c r="S2899" s="90">
        <v>2400</v>
      </c>
      <c r="U2899" s="55" t="s">
        <v>1805</v>
      </c>
      <c r="V2899" s="55" t="s">
        <v>1805</v>
      </c>
      <c r="Y2899" s="55" t="s">
        <v>2882</v>
      </c>
      <c r="Z2899" s="55" t="s">
        <v>1379</v>
      </c>
      <c r="AA2899" s="90" t="s">
        <v>1679</v>
      </c>
      <c r="AI2899" s="168">
        <v>4.5</v>
      </c>
      <c r="AJ2899" s="90">
        <v>1.1299999999999999</v>
      </c>
      <c r="AN2899" s="185" t="s">
        <v>2773</v>
      </c>
      <c r="AO2899" s="185" t="s">
        <v>5150</v>
      </c>
      <c r="AQ2899" s="55" t="s">
        <v>553</v>
      </c>
      <c r="AR2899" s="55" t="s">
        <v>1607</v>
      </c>
      <c r="AS2899" s="55" t="s">
        <v>132</v>
      </c>
      <c r="AU2899" s="181" t="s">
        <v>7494</v>
      </c>
      <c r="AV2899" s="185" t="s">
        <v>176</v>
      </c>
      <c r="AX2899" s="185" t="s">
        <v>176</v>
      </c>
      <c r="BK2899" s="55" t="s">
        <v>6333</v>
      </c>
      <c r="BM2899" s="192" t="s">
        <v>2702</v>
      </c>
      <c r="BQ2899" s="55" t="s">
        <v>2875</v>
      </c>
      <c r="CB2899" s="66">
        <v>3114</v>
      </c>
      <c r="CC2899" s="66">
        <v>3958</v>
      </c>
      <c r="CE2899" s="65">
        <v>260</v>
      </c>
      <c r="CF2899" s="65">
        <v>260</v>
      </c>
      <c r="CG2899" s="65" t="s">
        <v>2884</v>
      </c>
      <c r="CM2899" s="65">
        <v>0.93</v>
      </c>
      <c r="CN2899" s="65">
        <v>0.97</v>
      </c>
      <c r="CO2899" s="65">
        <v>0.08</v>
      </c>
      <c r="CP2899" s="65">
        <v>0.08</v>
      </c>
      <c r="CQ2899" s="65" t="s">
        <v>2878</v>
      </c>
      <c r="CV2899" s="65" t="s">
        <v>3039</v>
      </c>
      <c r="DA2899" s="65" t="s">
        <v>4458</v>
      </c>
      <c r="DB2899" s="65">
        <v>8.4000000000000005E-2</v>
      </c>
      <c r="DC2899" s="65">
        <v>8.6999999999999994E-2</v>
      </c>
      <c r="DD2899" s="65">
        <v>4.0000000000000001E-3</v>
      </c>
      <c r="DE2899" s="65">
        <v>4.0000000000000001E-3</v>
      </c>
      <c r="DF2899" s="65" t="s">
        <v>2877</v>
      </c>
      <c r="DG2899" s="65">
        <v>38.43</v>
      </c>
      <c r="DH2899" s="65">
        <v>26.88</v>
      </c>
      <c r="DI2899" s="65">
        <v>7.05</v>
      </c>
      <c r="DJ2899" s="65">
        <v>7.05</v>
      </c>
      <c r="DK2899" s="65" t="s">
        <v>2879</v>
      </c>
      <c r="DL2899" s="65">
        <v>0.05</v>
      </c>
      <c r="DM2899" s="65">
        <v>0.04</v>
      </c>
      <c r="DN2899" s="65">
        <v>0.01</v>
      </c>
      <c r="DO2899" s="65">
        <v>0.01</v>
      </c>
      <c r="DP2899" s="65" t="s">
        <v>2880</v>
      </c>
      <c r="DQ2899" s="165">
        <v>4.0999999999999996</v>
      </c>
      <c r="DR2899" s="165">
        <v>4</v>
      </c>
      <c r="DS2899" s="162">
        <v>0.1</v>
      </c>
      <c r="DT2899" s="162">
        <v>0.1</v>
      </c>
      <c r="DV2899" s="65">
        <v>2.58</v>
      </c>
      <c r="DW2899" s="65">
        <v>2.76</v>
      </c>
      <c r="DX2899" s="65">
        <v>0.19</v>
      </c>
      <c r="DY2899" s="65">
        <v>0.19</v>
      </c>
      <c r="DZ2899" s="65" t="s">
        <v>2881</v>
      </c>
      <c r="EF2899" s="65">
        <v>29.31</v>
      </c>
      <c r="EG2899" s="65">
        <v>30.58</v>
      </c>
      <c r="EH2899" s="65">
        <v>4.5199999999999996</v>
      </c>
      <c r="EI2899" s="65">
        <v>4.5199999999999996</v>
      </c>
      <c r="EJ2899" s="65" t="s">
        <v>164</v>
      </c>
      <c r="GP2899" s="292" t="s">
        <v>7494</v>
      </c>
    </row>
    <row r="2900" spans="1:201" x14ac:dyDescent="0.25">
      <c r="A2900" s="55">
        <v>2899</v>
      </c>
      <c r="B2900" s="12" t="s">
        <v>7067</v>
      </c>
      <c r="C2900" s="155">
        <v>136</v>
      </c>
      <c r="D2900" s="55" t="s">
        <v>4292</v>
      </c>
      <c r="E2900" s="90" t="s">
        <v>2874</v>
      </c>
      <c r="G2900" s="55" t="s">
        <v>2873</v>
      </c>
      <c r="H2900" s="55">
        <v>2003</v>
      </c>
      <c r="I2900" s="55">
        <v>1994</v>
      </c>
      <c r="J2900" s="55" t="s">
        <v>2660</v>
      </c>
      <c r="K2900" s="55" t="s">
        <v>2876</v>
      </c>
      <c r="L2900" s="55" t="s">
        <v>2744</v>
      </c>
      <c r="M2900" s="90">
        <f>4+45/60</f>
        <v>4.75</v>
      </c>
      <c r="N2900" s="90">
        <f>7+18/60</f>
        <v>7.3</v>
      </c>
      <c r="O2900" s="90">
        <v>19.600000000000001</v>
      </c>
      <c r="S2900" s="90">
        <v>2400</v>
      </c>
      <c r="U2900" s="55" t="s">
        <v>1805</v>
      </c>
      <c r="V2900" s="55" t="s">
        <v>1805</v>
      </c>
      <c r="Y2900" s="55" t="s">
        <v>2882</v>
      </c>
      <c r="Z2900" s="55" t="s">
        <v>1357</v>
      </c>
      <c r="AA2900" s="90" t="s">
        <v>1677</v>
      </c>
      <c r="AI2900" s="168">
        <v>4.5</v>
      </c>
      <c r="AJ2900" s="90">
        <v>1.04</v>
      </c>
      <c r="AN2900" s="185" t="s">
        <v>2773</v>
      </c>
      <c r="AO2900" s="185" t="s">
        <v>5150</v>
      </c>
      <c r="AQ2900" s="55" t="s">
        <v>553</v>
      </c>
      <c r="AR2900" s="55" t="s">
        <v>1607</v>
      </c>
      <c r="AS2900" s="55" t="s">
        <v>132</v>
      </c>
      <c r="AU2900" s="181" t="s">
        <v>7494</v>
      </c>
      <c r="AV2900" s="185" t="s">
        <v>176</v>
      </c>
      <c r="AX2900" s="185" t="s">
        <v>176</v>
      </c>
      <c r="BK2900" s="55" t="s">
        <v>6333</v>
      </c>
      <c r="BM2900" s="192" t="s">
        <v>2702</v>
      </c>
      <c r="BQ2900" s="55" t="s">
        <v>2875</v>
      </c>
      <c r="CM2900" s="65">
        <v>0.75</v>
      </c>
      <c r="CN2900" s="65">
        <v>0.73</v>
      </c>
      <c r="CO2900" s="65">
        <v>7.0000000000000007E-2</v>
      </c>
      <c r="CP2900" s="65">
        <v>7.0000000000000007E-2</v>
      </c>
      <c r="CQ2900" s="65" t="s">
        <v>2878</v>
      </c>
      <c r="CV2900" s="65" t="s">
        <v>3039</v>
      </c>
      <c r="DA2900" s="65" t="s">
        <v>4458</v>
      </c>
      <c r="DB2900" s="65">
        <v>6.6000000000000003E-2</v>
      </c>
      <c r="DC2900" s="65">
        <v>6.4000000000000001E-2</v>
      </c>
      <c r="DD2900" s="65">
        <v>4.0000000000000001E-3</v>
      </c>
      <c r="DE2900" s="65">
        <v>4.0000000000000001E-3</v>
      </c>
      <c r="DF2900" s="65" t="s">
        <v>2877</v>
      </c>
      <c r="DG2900" s="65">
        <v>20.399999999999999</v>
      </c>
      <c r="DH2900" s="65">
        <v>15.65</v>
      </c>
      <c r="DI2900" s="65">
        <v>5.52</v>
      </c>
      <c r="DJ2900" s="65">
        <v>5.52</v>
      </c>
      <c r="DK2900" s="65" t="s">
        <v>2879</v>
      </c>
      <c r="DL2900" s="65">
        <v>0.05</v>
      </c>
      <c r="DM2900" s="65">
        <v>0.03</v>
      </c>
      <c r="DN2900" s="65">
        <v>0.01</v>
      </c>
      <c r="DO2900" s="65">
        <v>0.01</v>
      </c>
      <c r="DP2900" s="65" t="s">
        <v>2880</v>
      </c>
      <c r="DQ2900" s="165">
        <v>4.5999999999999996</v>
      </c>
      <c r="DR2900" s="165">
        <v>4.0999999999999996</v>
      </c>
      <c r="DS2900" s="162">
        <v>0.25</v>
      </c>
      <c r="DT2900" s="162">
        <v>0.25</v>
      </c>
      <c r="DV2900" s="65">
        <v>2.82</v>
      </c>
      <c r="DW2900" s="65">
        <v>2.63</v>
      </c>
      <c r="DX2900" s="65">
        <v>0.28999999999999998</v>
      </c>
      <c r="DY2900" s="65">
        <v>0.28999999999999998</v>
      </c>
      <c r="DZ2900" s="65" t="s">
        <v>2881</v>
      </c>
      <c r="EF2900" s="65">
        <v>31.19</v>
      </c>
      <c r="EG2900" s="65">
        <v>29.6</v>
      </c>
      <c r="EH2900" s="65">
        <v>29.6</v>
      </c>
      <c r="EI2900" s="65">
        <v>29.6</v>
      </c>
      <c r="EJ2900" s="65" t="s">
        <v>164</v>
      </c>
      <c r="GP2900" s="292" t="s">
        <v>7494</v>
      </c>
    </row>
    <row r="2901" spans="1:201" x14ac:dyDescent="0.25">
      <c r="A2901" s="55">
        <v>2900</v>
      </c>
      <c r="B2901" s="12" t="s">
        <v>7067</v>
      </c>
      <c r="C2901" s="155">
        <v>137</v>
      </c>
      <c r="D2901" s="55" t="s">
        <v>4293</v>
      </c>
      <c r="E2901" s="90" t="s">
        <v>2886</v>
      </c>
      <c r="G2901" s="55" t="s">
        <v>2887</v>
      </c>
      <c r="H2901" s="55">
        <v>1998</v>
      </c>
      <c r="I2901" s="55">
        <v>1993</v>
      </c>
      <c r="J2901" s="55" t="s">
        <v>2688</v>
      </c>
      <c r="K2901" s="55" t="s">
        <v>2890</v>
      </c>
      <c r="L2901" s="55" t="s">
        <v>2744</v>
      </c>
      <c r="M2901" s="90">
        <v>7.5</v>
      </c>
      <c r="N2901" s="90">
        <f>3+54/60</f>
        <v>3.9</v>
      </c>
      <c r="O2901" s="90">
        <v>214.6</v>
      </c>
      <c r="S2901" s="90">
        <v>1360</v>
      </c>
      <c r="U2901" s="55" t="s">
        <v>1935</v>
      </c>
      <c r="V2901" s="55" t="s">
        <v>1805</v>
      </c>
      <c r="Y2901" s="55" t="s">
        <v>2882</v>
      </c>
      <c r="Z2901" s="55" t="s">
        <v>1355</v>
      </c>
      <c r="AA2901" s="90" t="s">
        <v>1679</v>
      </c>
      <c r="AH2901" s="55" t="s">
        <v>238</v>
      </c>
      <c r="AI2901" s="168">
        <v>6.2</v>
      </c>
      <c r="AM2901" s="55" t="s">
        <v>2891</v>
      </c>
      <c r="AN2901" s="185" t="s">
        <v>2893</v>
      </c>
      <c r="AO2901" s="185" t="s">
        <v>5150</v>
      </c>
      <c r="AQ2901" s="55" t="s">
        <v>1097</v>
      </c>
      <c r="AR2901" s="55" t="s">
        <v>1607</v>
      </c>
      <c r="AS2901" s="55" t="s">
        <v>132</v>
      </c>
      <c r="AU2901" s="181" t="s">
        <v>7494</v>
      </c>
      <c r="AV2901" s="185" t="s">
        <v>176</v>
      </c>
      <c r="AX2901" s="185" t="s">
        <v>176</v>
      </c>
      <c r="BK2901" s="55" t="s">
        <v>6333</v>
      </c>
      <c r="BN2901" s="55">
        <v>3</v>
      </c>
      <c r="BO2901" s="55">
        <v>3</v>
      </c>
      <c r="BQ2901" s="55" t="s">
        <v>141</v>
      </c>
      <c r="BS2901" s="55">
        <v>3830</v>
      </c>
      <c r="BT2901" s="55">
        <f>BS2901/160.49</f>
        <v>23.864415228363136</v>
      </c>
      <c r="CB2901" s="66">
        <v>3.03</v>
      </c>
      <c r="CC2901" s="66">
        <v>3.63</v>
      </c>
      <c r="CG2901" s="65" t="s">
        <v>2895</v>
      </c>
      <c r="CM2901" s="65">
        <v>1.01</v>
      </c>
      <c r="CN2901" s="65">
        <v>1.49</v>
      </c>
      <c r="CV2901" s="65" t="s">
        <v>3039</v>
      </c>
      <c r="DA2901" s="65" t="s">
        <v>4458</v>
      </c>
      <c r="DB2901" s="65">
        <v>7.0000000000000007E-2</v>
      </c>
      <c r="DC2901" s="65">
        <v>0.15</v>
      </c>
      <c r="DF2901" s="65" t="s">
        <v>2877</v>
      </c>
      <c r="DG2901" s="65">
        <v>30.61</v>
      </c>
      <c r="DH2901" s="65">
        <v>95.5</v>
      </c>
      <c r="DK2901" s="65" t="s">
        <v>2879</v>
      </c>
      <c r="DL2901" s="65">
        <v>0.48</v>
      </c>
      <c r="DM2901" s="65">
        <v>0.61</v>
      </c>
      <c r="DP2901" s="65" t="s">
        <v>2880</v>
      </c>
      <c r="DQ2901" s="165">
        <v>6.4</v>
      </c>
      <c r="DR2901" s="165">
        <v>6.5</v>
      </c>
      <c r="DV2901" s="65">
        <f>5.81+0.85+0.48</f>
        <v>7.1399999999999988</v>
      </c>
      <c r="DW2901" s="65">
        <f>7.7+0.61+0.61</f>
        <v>8.92</v>
      </c>
      <c r="DZ2901" s="65" t="s">
        <v>2894</v>
      </c>
      <c r="GP2901" s="292" t="s">
        <v>7494</v>
      </c>
    </row>
    <row r="2902" spans="1:201" x14ac:dyDescent="0.25">
      <c r="A2902" s="55">
        <v>2901</v>
      </c>
      <c r="B2902" s="12" t="s">
        <v>7067</v>
      </c>
      <c r="C2902" s="155">
        <v>137</v>
      </c>
      <c r="D2902" s="55" t="s">
        <v>4294</v>
      </c>
      <c r="E2902" s="90" t="s">
        <v>2886</v>
      </c>
      <c r="G2902" s="55" t="s">
        <v>2887</v>
      </c>
      <c r="H2902" s="55">
        <v>1998</v>
      </c>
      <c r="I2902" s="55">
        <v>1993</v>
      </c>
      <c r="J2902" s="55" t="s">
        <v>2688</v>
      </c>
      <c r="K2902" s="55" t="s">
        <v>2890</v>
      </c>
      <c r="L2902" s="55" t="s">
        <v>2744</v>
      </c>
      <c r="M2902" s="90">
        <v>7.5</v>
      </c>
      <c r="N2902" s="90">
        <f>3+54/60</f>
        <v>3.9</v>
      </c>
      <c r="O2902" s="90">
        <v>214.6</v>
      </c>
      <c r="S2902" s="90">
        <v>1360</v>
      </c>
      <c r="U2902" s="55" t="s">
        <v>1935</v>
      </c>
      <c r="V2902" s="55" t="s">
        <v>1805</v>
      </c>
      <c r="Y2902" s="55" t="s">
        <v>2882</v>
      </c>
      <c r="Z2902" s="55" t="s">
        <v>1355</v>
      </c>
      <c r="AA2902" s="90" t="s">
        <v>1679</v>
      </c>
      <c r="AH2902" s="55" t="s">
        <v>238</v>
      </c>
      <c r="AI2902" s="168">
        <v>6.2</v>
      </c>
      <c r="AM2902" s="55" t="s">
        <v>2891</v>
      </c>
      <c r="AN2902" s="185" t="s">
        <v>2892</v>
      </c>
      <c r="AO2902" s="185" t="s">
        <v>5150</v>
      </c>
      <c r="AQ2902" s="55" t="s">
        <v>553</v>
      </c>
      <c r="AR2902" s="55" t="s">
        <v>1607</v>
      </c>
      <c r="AS2902" s="55" t="s">
        <v>132</v>
      </c>
      <c r="AU2902" s="181" t="s">
        <v>7494</v>
      </c>
      <c r="AV2902" s="185" t="s">
        <v>176</v>
      </c>
      <c r="AX2902" s="185" t="s">
        <v>176</v>
      </c>
      <c r="BK2902" s="55" t="s">
        <v>6333</v>
      </c>
      <c r="BN2902" s="55">
        <v>3</v>
      </c>
      <c r="BO2902" s="55">
        <v>3</v>
      </c>
      <c r="BQ2902" s="55" t="s">
        <v>141</v>
      </c>
      <c r="BS2902" s="55">
        <v>5020</v>
      </c>
      <c r="BT2902" s="55">
        <f>BS2902/183</f>
        <v>27.431693989071039</v>
      </c>
      <c r="CB2902" s="66">
        <v>3.03</v>
      </c>
      <c r="CC2902" s="66">
        <v>3.46</v>
      </c>
      <c r="CG2902" s="65" t="s">
        <v>2895</v>
      </c>
      <c r="CM2902" s="65">
        <v>1.01</v>
      </c>
      <c r="CN2902" s="65">
        <v>1.4</v>
      </c>
      <c r="CV2902" s="65" t="s">
        <v>3039</v>
      </c>
      <c r="DA2902" s="65" t="s">
        <v>4458</v>
      </c>
      <c r="DB2902" s="65">
        <v>7.0000000000000007E-2</v>
      </c>
      <c r="DC2902" s="65">
        <v>0.15</v>
      </c>
      <c r="DF2902" s="65" t="s">
        <v>2877</v>
      </c>
      <c r="DG2902" s="65">
        <v>30.61</v>
      </c>
      <c r="DH2902" s="65">
        <v>84.96</v>
      </c>
      <c r="DK2902" s="65" t="s">
        <v>2879</v>
      </c>
      <c r="DL2902" s="65">
        <v>0.48</v>
      </c>
      <c r="DM2902" s="65">
        <v>0.8</v>
      </c>
      <c r="DP2902" s="65" t="s">
        <v>2880</v>
      </c>
      <c r="DQ2902" s="165">
        <v>6.4</v>
      </c>
      <c r="DR2902" s="165">
        <v>6.6</v>
      </c>
      <c r="DV2902" s="65">
        <f>5.81+0.85+0.48</f>
        <v>7.1399999999999988</v>
      </c>
      <c r="DW2902" s="65">
        <f>7.91+1.25+0.8</f>
        <v>9.9600000000000009</v>
      </c>
      <c r="DZ2902" s="65" t="s">
        <v>2894</v>
      </c>
      <c r="GP2902" s="292" t="s">
        <v>7494</v>
      </c>
    </row>
    <row r="2903" spans="1:201" x14ac:dyDescent="0.25">
      <c r="A2903" s="55">
        <v>2902</v>
      </c>
      <c r="B2903" s="12" t="s">
        <v>7067</v>
      </c>
      <c r="C2903" s="155">
        <v>137</v>
      </c>
      <c r="D2903" s="55" t="s">
        <v>4295</v>
      </c>
      <c r="E2903" s="90" t="s">
        <v>2886</v>
      </c>
      <c r="G2903" s="55" t="s">
        <v>2887</v>
      </c>
      <c r="H2903" s="55">
        <v>1998</v>
      </c>
      <c r="I2903" s="55">
        <v>1993</v>
      </c>
      <c r="J2903" s="55" t="s">
        <v>2688</v>
      </c>
      <c r="K2903" s="55" t="s">
        <v>2890</v>
      </c>
      <c r="L2903" s="55" t="s">
        <v>2744</v>
      </c>
      <c r="M2903" s="90">
        <v>7.5</v>
      </c>
      <c r="N2903" s="90">
        <f>3+54/60</f>
        <v>3.9</v>
      </c>
      <c r="O2903" s="90">
        <v>214.6</v>
      </c>
      <c r="S2903" s="90">
        <v>1360</v>
      </c>
      <c r="U2903" s="55" t="s">
        <v>1935</v>
      </c>
      <c r="V2903" s="55" t="s">
        <v>1805</v>
      </c>
      <c r="Y2903" s="55" t="s">
        <v>2882</v>
      </c>
      <c r="Z2903" s="55" t="s">
        <v>1359</v>
      </c>
      <c r="AA2903" s="90" t="s">
        <v>1679</v>
      </c>
      <c r="AH2903" s="55" t="s">
        <v>238</v>
      </c>
      <c r="AI2903" s="168">
        <v>6.2</v>
      </c>
      <c r="AM2903" s="55" t="s">
        <v>2891</v>
      </c>
      <c r="AN2903" s="185" t="s">
        <v>2893</v>
      </c>
      <c r="AO2903" s="185" t="s">
        <v>5150</v>
      </c>
      <c r="AQ2903" s="55" t="s">
        <v>1097</v>
      </c>
      <c r="AR2903" s="55" t="s">
        <v>1607</v>
      </c>
      <c r="AS2903" s="55" t="s">
        <v>132</v>
      </c>
      <c r="AU2903" s="181" t="s">
        <v>7494</v>
      </c>
      <c r="AV2903" s="185" t="s">
        <v>176</v>
      </c>
      <c r="AX2903" s="185" t="s">
        <v>176</v>
      </c>
      <c r="BK2903" s="55" t="s">
        <v>6333</v>
      </c>
      <c r="BN2903" s="55">
        <v>3</v>
      </c>
      <c r="BO2903" s="55">
        <v>3</v>
      </c>
      <c r="BQ2903" s="55" t="s">
        <v>141</v>
      </c>
      <c r="BS2903" s="55">
        <v>3830</v>
      </c>
      <c r="BT2903" s="55">
        <v>23.864415228363136</v>
      </c>
      <c r="CM2903" s="65">
        <v>0.82</v>
      </c>
      <c r="CN2903" s="65">
        <v>0.96</v>
      </c>
      <c r="CV2903" s="65" t="s">
        <v>3039</v>
      </c>
      <c r="DA2903" s="65" t="s">
        <v>4458</v>
      </c>
      <c r="DB2903" s="65">
        <v>0.05</v>
      </c>
      <c r="DC2903" s="65">
        <v>0.13</v>
      </c>
      <c r="DF2903" s="65" t="s">
        <v>2877</v>
      </c>
      <c r="DG2903" s="65">
        <v>28.12</v>
      </c>
      <c r="DH2903" s="65">
        <v>77.05</v>
      </c>
      <c r="DK2903" s="65" t="s">
        <v>2879</v>
      </c>
      <c r="DL2903" s="65">
        <v>0.66</v>
      </c>
      <c r="DM2903" s="65">
        <v>0.51</v>
      </c>
      <c r="DP2903" s="65" t="s">
        <v>2880</v>
      </c>
      <c r="DQ2903" s="165">
        <v>5.3</v>
      </c>
      <c r="DR2903" s="165">
        <v>5.8</v>
      </c>
      <c r="DV2903" s="65">
        <f>5.7+0.91+0.66</f>
        <v>7.2700000000000005</v>
      </c>
      <c r="DW2903" s="65">
        <f>5.5+0.52+0.51</f>
        <v>6.5299999999999994</v>
      </c>
      <c r="DZ2903" s="65" t="s">
        <v>2894</v>
      </c>
      <c r="GP2903" s="292" t="s">
        <v>7494</v>
      </c>
    </row>
    <row r="2904" spans="1:201" x14ac:dyDescent="0.25">
      <c r="A2904" s="55">
        <v>2903</v>
      </c>
      <c r="B2904" s="12" t="s">
        <v>7067</v>
      </c>
      <c r="C2904" s="155">
        <v>137</v>
      </c>
      <c r="D2904" s="55" t="s">
        <v>4296</v>
      </c>
      <c r="E2904" s="90" t="s">
        <v>2886</v>
      </c>
      <c r="G2904" s="55" t="s">
        <v>2887</v>
      </c>
      <c r="H2904" s="55">
        <v>1998</v>
      </c>
      <c r="I2904" s="55">
        <v>1993</v>
      </c>
      <c r="J2904" s="55" t="s">
        <v>2688</v>
      </c>
      <c r="K2904" s="55" t="s">
        <v>2890</v>
      </c>
      <c r="L2904" s="55" t="s">
        <v>2744</v>
      </c>
      <c r="M2904" s="90">
        <v>7.5</v>
      </c>
      <c r="N2904" s="90">
        <f>3+54/60</f>
        <v>3.9</v>
      </c>
      <c r="O2904" s="90">
        <v>214.6</v>
      </c>
      <c r="S2904" s="90">
        <v>1360</v>
      </c>
      <c r="U2904" s="55" t="s">
        <v>1935</v>
      </c>
      <c r="V2904" s="55" t="s">
        <v>1805</v>
      </c>
      <c r="Y2904" s="55" t="s">
        <v>2882</v>
      </c>
      <c r="Z2904" s="55" t="s">
        <v>1359</v>
      </c>
      <c r="AA2904" s="90" t="s">
        <v>1679</v>
      </c>
      <c r="AH2904" s="55" t="s">
        <v>238</v>
      </c>
      <c r="AI2904" s="168">
        <v>6.2</v>
      </c>
      <c r="AM2904" s="55" t="s">
        <v>2891</v>
      </c>
      <c r="AN2904" s="185" t="s">
        <v>2892</v>
      </c>
      <c r="AO2904" s="185" t="s">
        <v>5150</v>
      </c>
      <c r="AQ2904" s="55" t="s">
        <v>553</v>
      </c>
      <c r="AR2904" s="55" t="s">
        <v>1607</v>
      </c>
      <c r="AS2904" s="55" t="s">
        <v>132</v>
      </c>
      <c r="AU2904" s="181" t="s">
        <v>7494</v>
      </c>
      <c r="AV2904" s="185" t="s">
        <v>176</v>
      </c>
      <c r="AX2904" s="185" t="s">
        <v>176</v>
      </c>
      <c r="BK2904" s="55" t="s">
        <v>6333</v>
      </c>
      <c r="BN2904" s="55">
        <v>3</v>
      </c>
      <c r="BO2904" s="55">
        <v>3</v>
      </c>
      <c r="BQ2904" s="55" t="s">
        <v>141</v>
      </c>
      <c r="BS2904" s="55">
        <v>5020</v>
      </c>
      <c r="BT2904" s="55">
        <v>27.431693989071039</v>
      </c>
      <c r="CM2904" s="65">
        <v>0.82</v>
      </c>
      <c r="CN2904" s="65">
        <v>0.91</v>
      </c>
      <c r="CV2904" s="65" t="s">
        <v>3039</v>
      </c>
      <c r="DA2904" s="65" t="s">
        <v>4458</v>
      </c>
      <c r="DB2904" s="65">
        <v>0.05</v>
      </c>
      <c r="DC2904" s="65">
        <v>0.12</v>
      </c>
      <c r="DF2904" s="65" t="s">
        <v>2877</v>
      </c>
      <c r="DG2904" s="65">
        <v>28.12</v>
      </c>
      <c r="DH2904" s="65">
        <v>46.16</v>
      </c>
      <c r="DK2904" s="65" t="s">
        <v>2879</v>
      </c>
      <c r="DL2904" s="65">
        <v>0.66</v>
      </c>
      <c r="DM2904" s="65">
        <v>0.82</v>
      </c>
      <c r="DP2904" s="65" t="s">
        <v>2880</v>
      </c>
      <c r="DQ2904" s="165">
        <v>5.3</v>
      </c>
      <c r="DR2904" s="165">
        <v>6</v>
      </c>
      <c r="DV2904" s="65">
        <f>5.7+0.91+0.66</f>
        <v>7.2700000000000005</v>
      </c>
      <c r="DW2904" s="65">
        <f>6.3+1+0.82</f>
        <v>8.1199999999999992</v>
      </c>
      <c r="DZ2904" s="65" t="s">
        <v>2894</v>
      </c>
      <c r="GP2904" s="292" t="s">
        <v>7494</v>
      </c>
    </row>
    <row r="2905" spans="1:201" x14ac:dyDescent="0.25">
      <c r="A2905" s="55">
        <v>2904</v>
      </c>
      <c r="B2905" s="12" t="s">
        <v>7067</v>
      </c>
      <c r="C2905" s="155">
        <v>137</v>
      </c>
      <c r="D2905" s="55" t="s">
        <v>4297</v>
      </c>
      <c r="E2905" s="90" t="s">
        <v>2886</v>
      </c>
      <c r="G2905" s="55" t="s">
        <v>2887</v>
      </c>
      <c r="H2905" s="55">
        <v>1998</v>
      </c>
      <c r="I2905" s="55">
        <v>1993</v>
      </c>
      <c r="J2905" s="55" t="s">
        <v>2688</v>
      </c>
      <c r="K2905" s="55" t="s">
        <v>2890</v>
      </c>
      <c r="L2905" s="55" t="s">
        <v>2744</v>
      </c>
      <c r="M2905" s="90">
        <v>7.5</v>
      </c>
      <c r="N2905" s="90">
        <f>3+54/60</f>
        <v>3.9</v>
      </c>
      <c r="O2905" s="90">
        <v>214.6</v>
      </c>
      <c r="S2905" s="90">
        <v>1360</v>
      </c>
      <c r="U2905" s="55" t="s">
        <v>1935</v>
      </c>
      <c r="V2905" s="55" t="s">
        <v>1805</v>
      </c>
      <c r="Y2905" s="55" t="s">
        <v>2882</v>
      </c>
      <c r="Z2905" s="55" t="s">
        <v>1360</v>
      </c>
      <c r="AA2905" s="90" t="s">
        <v>1679</v>
      </c>
      <c r="AH2905" s="55" t="s">
        <v>238</v>
      </c>
      <c r="AI2905" s="168">
        <v>6.2</v>
      </c>
      <c r="AM2905" s="55" t="s">
        <v>2891</v>
      </c>
      <c r="AN2905" s="185" t="s">
        <v>2893</v>
      </c>
      <c r="AO2905" s="185" t="s">
        <v>5150</v>
      </c>
      <c r="AQ2905" s="55" t="s">
        <v>1097</v>
      </c>
      <c r="AR2905" s="55" t="s">
        <v>1607</v>
      </c>
      <c r="AS2905" s="55" t="s">
        <v>132</v>
      </c>
      <c r="AU2905" s="181" t="s">
        <v>7494</v>
      </c>
      <c r="AV2905" s="185" t="s">
        <v>176</v>
      </c>
      <c r="AX2905" s="185" t="s">
        <v>176</v>
      </c>
      <c r="BK2905" s="55" t="s">
        <v>6333</v>
      </c>
      <c r="BN2905" s="55">
        <v>3</v>
      </c>
      <c r="BO2905" s="55">
        <v>3</v>
      </c>
      <c r="BQ2905" s="55" t="s">
        <v>141</v>
      </c>
      <c r="BS2905" s="55">
        <v>3830</v>
      </c>
      <c r="BT2905" s="55">
        <f>BS2905/160.49</f>
        <v>23.864415228363136</v>
      </c>
      <c r="CM2905" s="65">
        <v>0.65</v>
      </c>
      <c r="CN2905" s="65">
        <v>0.77</v>
      </c>
      <c r="CV2905" s="65" t="s">
        <v>3039</v>
      </c>
      <c r="DA2905" s="65" t="s">
        <v>4458</v>
      </c>
      <c r="DB2905" s="65">
        <v>0.06</v>
      </c>
      <c r="DC2905" s="65">
        <v>0.1</v>
      </c>
      <c r="DF2905" s="65" t="s">
        <v>2877</v>
      </c>
      <c r="DG2905" s="65">
        <v>15.06</v>
      </c>
      <c r="DH2905" s="65">
        <v>45.01</v>
      </c>
      <c r="DK2905" s="65" t="s">
        <v>2879</v>
      </c>
      <c r="DL2905" s="65">
        <v>0.17</v>
      </c>
      <c r="DM2905" s="65">
        <v>0.42</v>
      </c>
      <c r="DP2905" s="65" t="s">
        <v>2880</v>
      </c>
      <c r="DQ2905" s="165">
        <v>5.4</v>
      </c>
      <c r="DR2905" s="165">
        <v>5.4</v>
      </c>
      <c r="DV2905" s="65">
        <f>5.62+0.26+0.17</f>
        <v>6.05</v>
      </c>
      <c r="DW2905" s="65">
        <f>4.73+0.41+0.42</f>
        <v>5.5600000000000005</v>
      </c>
      <c r="DZ2905" s="65" t="s">
        <v>2894</v>
      </c>
      <c r="GP2905" s="292" t="s">
        <v>7494</v>
      </c>
    </row>
    <row r="2906" spans="1:201" x14ac:dyDescent="0.25">
      <c r="A2906" s="55">
        <v>2905</v>
      </c>
      <c r="B2906" s="12" t="s">
        <v>7067</v>
      </c>
      <c r="C2906" s="155">
        <v>137</v>
      </c>
      <c r="D2906" s="55" t="s">
        <v>4298</v>
      </c>
      <c r="E2906" s="90" t="s">
        <v>2886</v>
      </c>
      <c r="G2906" s="55" t="s">
        <v>2887</v>
      </c>
      <c r="H2906" s="55">
        <v>1998</v>
      </c>
      <c r="I2906" s="55">
        <v>1993</v>
      </c>
      <c r="J2906" s="55" t="s">
        <v>2688</v>
      </c>
      <c r="K2906" s="55" t="s">
        <v>2890</v>
      </c>
      <c r="L2906" s="55" t="s">
        <v>2744</v>
      </c>
      <c r="M2906" s="90">
        <v>7.5</v>
      </c>
      <c r="N2906" s="90">
        <f>3+54/60</f>
        <v>3.9</v>
      </c>
      <c r="O2906" s="90">
        <v>214.6</v>
      </c>
      <c r="S2906" s="90">
        <v>1360</v>
      </c>
      <c r="U2906" s="55" t="s">
        <v>1935</v>
      </c>
      <c r="V2906" s="55" t="s">
        <v>1805</v>
      </c>
      <c r="Y2906" s="55" t="s">
        <v>2882</v>
      </c>
      <c r="Z2906" s="55" t="s">
        <v>1360</v>
      </c>
      <c r="AA2906" s="90" t="s">
        <v>1679</v>
      </c>
      <c r="AH2906" s="55" t="s">
        <v>238</v>
      </c>
      <c r="AI2906" s="168">
        <v>6.2</v>
      </c>
      <c r="AM2906" s="55" t="s">
        <v>2891</v>
      </c>
      <c r="AN2906" s="185" t="s">
        <v>2892</v>
      </c>
      <c r="AO2906" s="185" t="s">
        <v>5150</v>
      </c>
      <c r="AQ2906" s="55" t="s">
        <v>553</v>
      </c>
      <c r="AR2906" s="55" t="s">
        <v>1607</v>
      </c>
      <c r="AS2906" s="55" t="s">
        <v>132</v>
      </c>
      <c r="AU2906" s="181" t="s">
        <v>7494</v>
      </c>
      <c r="AV2906" s="185" t="s">
        <v>176</v>
      </c>
      <c r="AX2906" s="185" t="s">
        <v>176</v>
      </c>
      <c r="BK2906" s="55" t="s">
        <v>6333</v>
      </c>
      <c r="BN2906" s="55">
        <v>3</v>
      </c>
      <c r="BO2906" s="55">
        <v>3</v>
      </c>
      <c r="BQ2906" s="55" t="s">
        <v>141</v>
      </c>
      <c r="BS2906" s="55">
        <v>5020</v>
      </c>
      <c r="BT2906" s="55">
        <f>BS2906/183</f>
        <v>27.431693989071039</v>
      </c>
      <c r="CM2906" s="65">
        <v>0.65</v>
      </c>
      <c r="CN2906" s="65">
        <v>0.93</v>
      </c>
      <c r="CV2906" s="65" t="s">
        <v>3039</v>
      </c>
      <c r="DA2906" s="65" t="s">
        <v>4458</v>
      </c>
      <c r="DB2906" s="65">
        <v>0.06</v>
      </c>
      <c r="DC2906" s="65">
        <v>0.11</v>
      </c>
      <c r="DF2906" s="65" t="s">
        <v>2877</v>
      </c>
      <c r="DG2906" s="65">
        <v>15.06</v>
      </c>
      <c r="DH2906" s="65">
        <v>26.6</v>
      </c>
      <c r="DK2906" s="65" t="s">
        <v>2879</v>
      </c>
      <c r="DL2906" s="65">
        <v>0.17</v>
      </c>
      <c r="DM2906" s="65">
        <v>0.43</v>
      </c>
      <c r="DP2906" s="65" t="s">
        <v>2880</v>
      </c>
      <c r="DQ2906" s="165">
        <v>5.4</v>
      </c>
      <c r="DR2906" s="165">
        <v>5.5</v>
      </c>
      <c r="DV2906" s="65">
        <f>5.62+0.26+0.17</f>
        <v>6.05</v>
      </c>
      <c r="DW2906" s="65">
        <f>6.1+0.44+0.43</f>
        <v>6.97</v>
      </c>
      <c r="DZ2906" s="65" t="s">
        <v>2894</v>
      </c>
      <c r="GP2906" s="292" t="s">
        <v>7494</v>
      </c>
    </row>
    <row r="2907" spans="1:201" x14ac:dyDescent="0.25">
      <c r="A2907" s="55">
        <v>2906</v>
      </c>
      <c r="B2907" s="12" t="s">
        <v>7067</v>
      </c>
      <c r="C2907" s="155">
        <v>137</v>
      </c>
      <c r="D2907" s="55" t="s">
        <v>4293</v>
      </c>
      <c r="E2907" s="90" t="s">
        <v>2886</v>
      </c>
      <c r="G2907" s="55" t="s">
        <v>2887</v>
      </c>
      <c r="H2907" s="55">
        <v>1998</v>
      </c>
      <c r="I2907" s="55">
        <v>1993</v>
      </c>
      <c r="J2907" s="55" t="s">
        <v>2688</v>
      </c>
      <c r="K2907" s="55" t="s">
        <v>2888</v>
      </c>
      <c r="L2907" s="55" t="s">
        <v>2752</v>
      </c>
      <c r="M2907" s="90">
        <v>3.5</v>
      </c>
      <c r="N2907" s="90">
        <f>11+42/60</f>
        <v>11.7</v>
      </c>
      <c r="O2907" s="90">
        <v>649.79999999999995</v>
      </c>
      <c r="S2907" s="90">
        <v>1522</v>
      </c>
      <c r="U2907" s="55" t="s">
        <v>1935</v>
      </c>
      <c r="V2907" s="55" t="s">
        <v>1805</v>
      </c>
      <c r="Y2907" s="55" t="s">
        <v>2882</v>
      </c>
      <c r="Z2907" s="55" t="s">
        <v>1355</v>
      </c>
      <c r="AA2907" s="90" t="s">
        <v>1679</v>
      </c>
      <c r="AH2907" s="55" t="s">
        <v>238</v>
      </c>
      <c r="AI2907" s="168">
        <v>5</v>
      </c>
      <c r="AM2907" s="55" t="s">
        <v>2889</v>
      </c>
      <c r="AN2907" s="185" t="s">
        <v>2893</v>
      </c>
      <c r="AO2907" s="185" t="s">
        <v>5150</v>
      </c>
      <c r="AQ2907" s="55" t="s">
        <v>1097</v>
      </c>
      <c r="AR2907" s="55" t="s">
        <v>1607</v>
      </c>
      <c r="AS2907" s="55" t="s">
        <v>132</v>
      </c>
      <c r="AU2907" s="181" t="s">
        <v>7494</v>
      </c>
      <c r="AV2907" s="185" t="s">
        <v>176</v>
      </c>
      <c r="AX2907" s="185" t="s">
        <v>176</v>
      </c>
      <c r="BK2907" s="55" t="s">
        <v>6333</v>
      </c>
      <c r="BN2907" s="55">
        <v>3</v>
      </c>
      <c r="BO2907" s="55">
        <v>3</v>
      </c>
      <c r="BQ2907" s="55" t="s">
        <v>141</v>
      </c>
      <c r="BS2907" s="55">
        <v>4370</v>
      </c>
      <c r="BT2907" s="55">
        <f>BS2907/272.19</f>
        <v>16.054961607700502</v>
      </c>
      <c r="CB2907" s="66">
        <v>1.91</v>
      </c>
      <c r="CC2907" s="66">
        <v>3.01</v>
      </c>
      <c r="CG2907" s="65" t="s">
        <v>2895</v>
      </c>
      <c r="CM2907" s="65">
        <v>1.1599999999999999</v>
      </c>
      <c r="CN2907" s="65">
        <v>2.0699999999999998</v>
      </c>
      <c r="CV2907" s="65" t="s">
        <v>3039</v>
      </c>
      <c r="DA2907" s="65" t="s">
        <v>4458</v>
      </c>
      <c r="DB2907" s="65">
        <v>0.09</v>
      </c>
      <c r="DC2907" s="65">
        <v>0.21</v>
      </c>
      <c r="DF2907" s="65" t="s">
        <v>2877</v>
      </c>
      <c r="DG2907" s="65">
        <v>3.1</v>
      </c>
      <c r="DH2907" s="65">
        <v>3.55</v>
      </c>
      <c r="DK2907" s="65" t="s">
        <v>2879</v>
      </c>
      <c r="DL2907" s="65">
        <v>0.11</v>
      </c>
      <c r="DM2907" s="65">
        <v>0.21</v>
      </c>
      <c r="DP2907" s="65" t="s">
        <v>2880</v>
      </c>
      <c r="DQ2907" s="165">
        <v>5.0999999999999996</v>
      </c>
      <c r="DR2907" s="165">
        <v>5.5</v>
      </c>
      <c r="DV2907" s="65">
        <f>3.2+3.2+0.11</f>
        <v>6.5100000000000007</v>
      </c>
      <c r="DW2907" s="65">
        <f>3.55+5.75+0.21</f>
        <v>9.5100000000000016</v>
      </c>
      <c r="DZ2907" s="65" t="s">
        <v>2894</v>
      </c>
      <c r="GP2907" s="292" t="s">
        <v>7494</v>
      </c>
    </row>
    <row r="2908" spans="1:201" x14ac:dyDescent="0.25">
      <c r="A2908" s="55">
        <v>2907</v>
      </c>
      <c r="B2908" s="12" t="s">
        <v>7067</v>
      </c>
      <c r="C2908" s="155">
        <v>137</v>
      </c>
      <c r="D2908" s="55" t="s">
        <v>4294</v>
      </c>
      <c r="E2908" s="90" t="s">
        <v>2886</v>
      </c>
      <c r="G2908" s="55" t="s">
        <v>2887</v>
      </c>
      <c r="H2908" s="55">
        <v>1998</v>
      </c>
      <c r="I2908" s="55">
        <v>1993</v>
      </c>
      <c r="J2908" s="55" t="s">
        <v>2688</v>
      </c>
      <c r="K2908" s="55" t="s">
        <v>2888</v>
      </c>
      <c r="L2908" s="55" t="s">
        <v>2752</v>
      </c>
      <c r="M2908" s="90">
        <v>3.5</v>
      </c>
      <c r="N2908" s="90">
        <f>11+42/60</f>
        <v>11.7</v>
      </c>
      <c r="O2908" s="90">
        <v>649.79999999999995</v>
      </c>
      <c r="S2908" s="90">
        <v>1522</v>
      </c>
      <c r="U2908" s="55" t="s">
        <v>1935</v>
      </c>
      <c r="V2908" s="55" t="s">
        <v>1805</v>
      </c>
      <c r="Y2908" s="55" t="s">
        <v>2882</v>
      </c>
      <c r="Z2908" s="55" t="s">
        <v>1355</v>
      </c>
      <c r="AA2908" s="90" t="s">
        <v>1679</v>
      </c>
      <c r="AH2908" s="55" t="s">
        <v>238</v>
      </c>
      <c r="AI2908" s="168">
        <v>5</v>
      </c>
      <c r="AM2908" s="55" t="s">
        <v>2889</v>
      </c>
      <c r="AN2908" s="185" t="s">
        <v>2892</v>
      </c>
      <c r="AO2908" s="185" t="s">
        <v>5150</v>
      </c>
      <c r="AQ2908" s="55" t="s">
        <v>553</v>
      </c>
      <c r="AR2908" s="55" t="s">
        <v>1607</v>
      </c>
      <c r="AS2908" s="55" t="s">
        <v>132</v>
      </c>
      <c r="AU2908" s="181" t="s">
        <v>7494</v>
      </c>
      <c r="AV2908" s="185" t="s">
        <v>176</v>
      </c>
      <c r="AX2908" s="185" t="s">
        <v>176</v>
      </c>
      <c r="BK2908" s="55" t="s">
        <v>6333</v>
      </c>
      <c r="BN2908" s="55">
        <v>3</v>
      </c>
      <c r="BO2908" s="55">
        <v>3</v>
      </c>
      <c r="BQ2908" s="55" t="s">
        <v>141</v>
      </c>
      <c r="CB2908" s="66">
        <v>1.91</v>
      </c>
      <c r="CC2908" s="66">
        <v>3</v>
      </c>
      <c r="CG2908" s="65" t="s">
        <v>2895</v>
      </c>
      <c r="CM2908" s="65">
        <v>1.1599999999999999</v>
      </c>
      <c r="CN2908" s="65">
        <v>1.49</v>
      </c>
      <c r="CV2908" s="65" t="s">
        <v>3039</v>
      </c>
      <c r="DA2908" s="65" t="s">
        <v>4458</v>
      </c>
      <c r="DB2908" s="65">
        <v>0.09</v>
      </c>
      <c r="DC2908" s="65">
        <v>0.16</v>
      </c>
      <c r="DF2908" s="65" t="s">
        <v>2877</v>
      </c>
      <c r="DG2908" s="65">
        <v>3.1</v>
      </c>
      <c r="DH2908" s="65">
        <v>3.5</v>
      </c>
      <c r="DK2908" s="65" t="s">
        <v>2879</v>
      </c>
      <c r="DL2908" s="65">
        <v>0.11</v>
      </c>
      <c r="DM2908" s="65">
        <v>0.65</v>
      </c>
      <c r="DP2908" s="65" t="s">
        <v>2880</v>
      </c>
      <c r="DQ2908" s="165">
        <v>5.0999999999999996</v>
      </c>
      <c r="DR2908" s="165">
        <v>5.5</v>
      </c>
      <c r="DV2908" s="65">
        <f>3.2+3.2+0.11</f>
        <v>6.5100000000000007</v>
      </c>
      <c r="DW2908" s="65">
        <f>3.5+5.25+0.63</f>
        <v>9.3800000000000008</v>
      </c>
      <c r="DZ2908" s="65" t="s">
        <v>2894</v>
      </c>
      <c r="GP2908" s="292" t="s">
        <v>7494</v>
      </c>
    </row>
    <row r="2909" spans="1:201" x14ac:dyDescent="0.25">
      <c r="A2909" s="55">
        <v>2908</v>
      </c>
      <c r="B2909" s="12" t="s">
        <v>7067</v>
      </c>
      <c r="C2909" s="155">
        <v>137</v>
      </c>
      <c r="D2909" s="55" t="s">
        <v>4295</v>
      </c>
      <c r="E2909" s="90" t="s">
        <v>2886</v>
      </c>
      <c r="G2909" s="55" t="s">
        <v>2887</v>
      </c>
      <c r="H2909" s="55">
        <v>1998</v>
      </c>
      <c r="I2909" s="55">
        <v>1993</v>
      </c>
      <c r="J2909" s="55" t="s">
        <v>2688</v>
      </c>
      <c r="K2909" s="55" t="s">
        <v>2888</v>
      </c>
      <c r="L2909" s="55" t="s">
        <v>2752</v>
      </c>
      <c r="M2909" s="90">
        <v>3.5</v>
      </c>
      <c r="N2909" s="90">
        <f>11+42/60</f>
        <v>11.7</v>
      </c>
      <c r="O2909" s="90">
        <v>649.79999999999995</v>
      </c>
      <c r="S2909" s="90">
        <v>1522</v>
      </c>
      <c r="U2909" s="55" t="s">
        <v>1935</v>
      </c>
      <c r="V2909" s="55" t="s">
        <v>1805</v>
      </c>
      <c r="Y2909" s="55" t="s">
        <v>2882</v>
      </c>
      <c r="Z2909" s="55" t="s">
        <v>1359</v>
      </c>
      <c r="AA2909" s="90" t="s">
        <v>1679</v>
      </c>
      <c r="AH2909" s="55" t="s">
        <v>238</v>
      </c>
      <c r="AI2909" s="168">
        <v>5</v>
      </c>
      <c r="AM2909" s="55" t="s">
        <v>2889</v>
      </c>
      <c r="AN2909" s="185" t="s">
        <v>2893</v>
      </c>
      <c r="AO2909" s="185" t="s">
        <v>5150</v>
      </c>
      <c r="AQ2909" s="55" t="s">
        <v>1097</v>
      </c>
      <c r="AR2909" s="55" t="s">
        <v>1607</v>
      </c>
      <c r="AS2909" s="55" t="s">
        <v>132</v>
      </c>
      <c r="AU2909" s="181" t="s">
        <v>7494</v>
      </c>
      <c r="AV2909" s="185" t="s">
        <v>176</v>
      </c>
      <c r="AX2909" s="185" t="s">
        <v>176</v>
      </c>
      <c r="BK2909" s="55" t="s">
        <v>6333</v>
      </c>
      <c r="BN2909" s="55">
        <v>3</v>
      </c>
      <c r="BO2909" s="55">
        <v>3</v>
      </c>
      <c r="BQ2909" s="55" t="s">
        <v>141</v>
      </c>
      <c r="BS2909" s="55">
        <v>4370</v>
      </c>
      <c r="BT2909" s="55">
        <v>16.054961607700502</v>
      </c>
      <c r="CM2909" s="65">
        <v>0.72</v>
      </c>
      <c r="CN2909" s="65">
        <v>1.1499999999999999</v>
      </c>
      <c r="CV2909" s="65" t="s">
        <v>3039</v>
      </c>
      <c r="DA2909" s="65" t="s">
        <v>4458</v>
      </c>
      <c r="DB2909" s="65">
        <v>7.0000000000000007E-2</v>
      </c>
      <c r="DC2909" s="65">
        <v>0.13</v>
      </c>
      <c r="DF2909" s="65" t="s">
        <v>2877</v>
      </c>
      <c r="DG2909" s="65">
        <v>0.12</v>
      </c>
      <c r="DH2909" s="65">
        <v>1.1399999999999999</v>
      </c>
      <c r="DK2909" s="65" t="s">
        <v>2879</v>
      </c>
      <c r="DL2909" s="65">
        <v>0.11</v>
      </c>
      <c r="DM2909" s="65">
        <v>0.16</v>
      </c>
      <c r="DP2909" s="65" t="s">
        <v>2880</v>
      </c>
      <c r="DQ2909" s="165">
        <v>4.9000000000000004</v>
      </c>
      <c r="DR2909" s="165">
        <v>5.2</v>
      </c>
      <c r="DV2909" s="65">
        <f>2.9+0.14+0.11</f>
        <v>3.15</v>
      </c>
      <c r="DW2909" s="65">
        <f>5.08+0.21+0.16</f>
        <v>5.45</v>
      </c>
      <c r="DZ2909" s="65" t="s">
        <v>2894</v>
      </c>
      <c r="GP2909" s="292" t="s">
        <v>7494</v>
      </c>
    </row>
    <row r="2910" spans="1:201" x14ac:dyDescent="0.25">
      <c r="A2910" s="55">
        <v>2909</v>
      </c>
      <c r="B2910" s="12" t="s">
        <v>7067</v>
      </c>
      <c r="C2910" s="155">
        <v>137</v>
      </c>
      <c r="D2910" s="55" t="s">
        <v>4296</v>
      </c>
      <c r="E2910" s="90" t="s">
        <v>2886</v>
      </c>
      <c r="G2910" s="55" t="s">
        <v>2887</v>
      </c>
      <c r="H2910" s="55">
        <v>1998</v>
      </c>
      <c r="I2910" s="55">
        <v>1993</v>
      </c>
      <c r="J2910" s="55" t="s">
        <v>2688</v>
      </c>
      <c r="K2910" s="55" t="s">
        <v>2888</v>
      </c>
      <c r="L2910" s="55" t="s">
        <v>2752</v>
      </c>
      <c r="M2910" s="90">
        <v>3.5</v>
      </c>
      <c r="N2910" s="90">
        <f>11+42/60</f>
        <v>11.7</v>
      </c>
      <c r="O2910" s="90">
        <v>649.79999999999995</v>
      </c>
      <c r="S2910" s="90">
        <v>1522</v>
      </c>
      <c r="U2910" s="55" t="s">
        <v>1935</v>
      </c>
      <c r="V2910" s="55" t="s">
        <v>1805</v>
      </c>
      <c r="Y2910" s="55" t="s">
        <v>2882</v>
      </c>
      <c r="Z2910" s="55" t="s">
        <v>1359</v>
      </c>
      <c r="AA2910" s="90" t="s">
        <v>1679</v>
      </c>
      <c r="AH2910" s="55" t="s">
        <v>238</v>
      </c>
      <c r="AI2910" s="168">
        <v>5</v>
      </c>
      <c r="AM2910" s="55" t="s">
        <v>2889</v>
      </c>
      <c r="AN2910" s="185" t="s">
        <v>2892</v>
      </c>
      <c r="AO2910" s="185" t="s">
        <v>5150</v>
      </c>
      <c r="AQ2910" s="55" t="s">
        <v>553</v>
      </c>
      <c r="AR2910" s="55" t="s">
        <v>1607</v>
      </c>
      <c r="AS2910" s="55" t="s">
        <v>132</v>
      </c>
      <c r="AU2910" s="181" t="s">
        <v>7494</v>
      </c>
      <c r="AV2910" s="185" t="s">
        <v>176</v>
      </c>
      <c r="AX2910" s="185" t="s">
        <v>176</v>
      </c>
      <c r="BK2910" s="55" t="s">
        <v>6333</v>
      </c>
      <c r="BN2910" s="55">
        <v>3</v>
      </c>
      <c r="BO2910" s="55">
        <v>3</v>
      </c>
      <c r="BQ2910" s="55" t="s">
        <v>141</v>
      </c>
      <c r="CM2910" s="65">
        <v>0.72</v>
      </c>
      <c r="CN2910" s="65">
        <v>0.77</v>
      </c>
      <c r="CV2910" s="65" t="s">
        <v>3039</v>
      </c>
      <c r="DA2910" s="65" t="s">
        <v>4458</v>
      </c>
      <c r="DB2910" s="65">
        <v>7.0000000000000007E-2</v>
      </c>
      <c r="DC2910" s="65">
        <v>0.14000000000000001</v>
      </c>
      <c r="DF2910" s="65" t="s">
        <v>2877</v>
      </c>
      <c r="DG2910" s="65">
        <v>0.12</v>
      </c>
      <c r="DH2910" s="65">
        <v>1.52</v>
      </c>
      <c r="DK2910" s="65" t="s">
        <v>2879</v>
      </c>
      <c r="DL2910" s="65">
        <v>0.11</v>
      </c>
      <c r="DM2910" s="65">
        <v>0.52</v>
      </c>
      <c r="DP2910" s="65" t="s">
        <v>2880</v>
      </c>
      <c r="DQ2910" s="165">
        <v>4.9000000000000004</v>
      </c>
      <c r="DR2910" s="165">
        <v>4.0999999999999996</v>
      </c>
      <c r="DV2910" s="65">
        <f>2.9+0.14+0.11</f>
        <v>3.15</v>
      </c>
      <c r="DW2910" s="65">
        <f>3.3+0.16+0.52</f>
        <v>3.98</v>
      </c>
      <c r="DZ2910" s="65" t="s">
        <v>2894</v>
      </c>
      <c r="GP2910" s="292" t="s">
        <v>7494</v>
      </c>
    </row>
    <row r="2911" spans="1:201" x14ac:dyDescent="0.25">
      <c r="A2911" s="55">
        <v>2910</v>
      </c>
      <c r="B2911" s="12" t="s">
        <v>7067</v>
      </c>
      <c r="C2911" s="155">
        <v>137</v>
      </c>
      <c r="D2911" s="55" t="s">
        <v>4297</v>
      </c>
      <c r="E2911" s="90" t="s">
        <v>2886</v>
      </c>
      <c r="G2911" s="55" t="s">
        <v>2887</v>
      </c>
      <c r="H2911" s="55">
        <v>1998</v>
      </c>
      <c r="I2911" s="55">
        <v>1993</v>
      </c>
      <c r="J2911" s="55" t="s">
        <v>2688</v>
      </c>
      <c r="K2911" s="55" t="s">
        <v>2888</v>
      </c>
      <c r="L2911" s="55" t="s">
        <v>2752</v>
      </c>
      <c r="M2911" s="90">
        <v>3.5</v>
      </c>
      <c r="N2911" s="90">
        <f>11+42/60</f>
        <v>11.7</v>
      </c>
      <c r="O2911" s="90">
        <v>649.79999999999995</v>
      </c>
      <c r="S2911" s="90">
        <v>1522</v>
      </c>
      <c r="U2911" s="55" t="s">
        <v>1935</v>
      </c>
      <c r="V2911" s="55" t="s">
        <v>1805</v>
      </c>
      <c r="Y2911" s="55" t="s">
        <v>2882</v>
      </c>
      <c r="Z2911" s="55" t="s">
        <v>1360</v>
      </c>
      <c r="AA2911" s="90" t="s">
        <v>1679</v>
      </c>
      <c r="AH2911" s="55" t="s">
        <v>238</v>
      </c>
      <c r="AI2911" s="168">
        <v>5</v>
      </c>
      <c r="AM2911" s="55" t="s">
        <v>2889</v>
      </c>
      <c r="AN2911" s="185" t="s">
        <v>2893</v>
      </c>
      <c r="AO2911" s="185" t="s">
        <v>5150</v>
      </c>
      <c r="AQ2911" s="55" t="s">
        <v>1097</v>
      </c>
      <c r="AR2911" s="55" t="s">
        <v>1607</v>
      </c>
      <c r="AS2911" s="55" t="s">
        <v>132</v>
      </c>
      <c r="AU2911" s="181" t="s">
        <v>7494</v>
      </c>
      <c r="AV2911" s="185" t="s">
        <v>176</v>
      </c>
      <c r="AX2911" s="185" t="s">
        <v>176</v>
      </c>
      <c r="BK2911" s="55" t="s">
        <v>6333</v>
      </c>
      <c r="BN2911" s="55">
        <v>3</v>
      </c>
      <c r="BO2911" s="55">
        <v>3</v>
      </c>
      <c r="BQ2911" s="55" t="s">
        <v>141</v>
      </c>
      <c r="BS2911" s="55">
        <v>4370</v>
      </c>
      <c r="BT2911" s="55">
        <f>BS2911/272.19</f>
        <v>16.054961607700502</v>
      </c>
      <c r="CM2911" s="65">
        <v>0.55000000000000004</v>
      </c>
      <c r="CN2911" s="65">
        <v>0.61</v>
      </c>
      <c r="CV2911" s="65" t="s">
        <v>3039</v>
      </c>
      <c r="DA2911" s="65" t="s">
        <v>4458</v>
      </c>
      <c r="DB2911" s="65">
        <v>0.09</v>
      </c>
      <c r="DC2911" s="65">
        <v>0.12</v>
      </c>
      <c r="DF2911" s="65" t="s">
        <v>2877</v>
      </c>
      <c r="DG2911" s="65">
        <v>1.1000000000000001</v>
      </c>
      <c r="DH2911" s="65">
        <v>1.2</v>
      </c>
      <c r="DK2911" s="65" t="s">
        <v>2879</v>
      </c>
      <c r="DL2911" s="65">
        <v>0.12</v>
      </c>
      <c r="DM2911" s="65">
        <v>0.12</v>
      </c>
      <c r="DP2911" s="65" t="s">
        <v>2880</v>
      </c>
      <c r="DQ2911" s="165">
        <v>4.8</v>
      </c>
      <c r="DR2911" s="165">
        <v>4.9000000000000004</v>
      </c>
      <c r="DV2911" s="65">
        <f>2.12+0.17+0.12</f>
        <v>2.41</v>
      </c>
      <c r="DW2911" s="65">
        <f>3.73+0.16+0.12</f>
        <v>4.01</v>
      </c>
      <c r="DZ2911" s="65" t="s">
        <v>2894</v>
      </c>
      <c r="GP2911" s="292" t="s">
        <v>7494</v>
      </c>
    </row>
    <row r="2912" spans="1:201" x14ac:dyDescent="0.25">
      <c r="A2912" s="55">
        <v>2911</v>
      </c>
      <c r="B2912" s="12" t="s">
        <v>7067</v>
      </c>
      <c r="C2912" s="155">
        <v>137</v>
      </c>
      <c r="D2912" s="55" t="s">
        <v>4298</v>
      </c>
      <c r="E2912" s="90" t="s">
        <v>2886</v>
      </c>
      <c r="G2912" s="55" t="s">
        <v>2887</v>
      </c>
      <c r="H2912" s="55">
        <v>1998</v>
      </c>
      <c r="I2912" s="55">
        <v>1993</v>
      </c>
      <c r="J2912" s="55" t="s">
        <v>2688</v>
      </c>
      <c r="K2912" s="55" t="s">
        <v>2888</v>
      </c>
      <c r="L2912" s="55" t="s">
        <v>2752</v>
      </c>
      <c r="M2912" s="90">
        <v>3.5</v>
      </c>
      <c r="N2912" s="90">
        <f>11+42/60</f>
        <v>11.7</v>
      </c>
      <c r="O2912" s="90">
        <v>649.79999999999995</v>
      </c>
      <c r="S2912" s="90">
        <v>1522</v>
      </c>
      <c r="U2912" s="55" t="s">
        <v>1935</v>
      </c>
      <c r="V2912" s="55" t="s">
        <v>1805</v>
      </c>
      <c r="Y2912" s="55" t="s">
        <v>2882</v>
      </c>
      <c r="Z2912" s="55" t="s">
        <v>1360</v>
      </c>
      <c r="AA2912" s="90" t="s">
        <v>1679</v>
      </c>
      <c r="AH2912" s="55" t="s">
        <v>238</v>
      </c>
      <c r="AI2912" s="168">
        <v>5</v>
      </c>
      <c r="AM2912" s="55" t="s">
        <v>2889</v>
      </c>
      <c r="AN2912" s="185" t="s">
        <v>2892</v>
      </c>
      <c r="AO2912" s="185" t="s">
        <v>5150</v>
      </c>
      <c r="AQ2912" s="55" t="s">
        <v>553</v>
      </c>
      <c r="AR2912" s="55" t="s">
        <v>1607</v>
      </c>
      <c r="AS2912" s="55" t="s">
        <v>132</v>
      </c>
      <c r="AU2912" s="181" t="s">
        <v>7494</v>
      </c>
      <c r="AV2912" s="185" t="s">
        <v>176</v>
      </c>
      <c r="AX2912" s="185" t="s">
        <v>176</v>
      </c>
      <c r="BK2912" s="55" t="s">
        <v>6333</v>
      </c>
      <c r="BN2912" s="55">
        <v>3</v>
      </c>
      <c r="BO2912" s="55">
        <v>3</v>
      </c>
      <c r="BQ2912" s="55" t="s">
        <v>141</v>
      </c>
      <c r="CM2912" s="65">
        <v>0.55000000000000004</v>
      </c>
      <c r="CN2912" s="65">
        <v>0.57999999999999996</v>
      </c>
      <c r="CV2912" s="65" t="s">
        <v>3039</v>
      </c>
      <c r="DA2912" s="65" t="s">
        <v>4458</v>
      </c>
      <c r="DB2912" s="65">
        <v>0.09</v>
      </c>
      <c r="DC2912" s="65">
        <v>0.09</v>
      </c>
      <c r="DF2912" s="65" t="s">
        <v>2877</v>
      </c>
      <c r="DG2912" s="65">
        <v>1.1000000000000001</v>
      </c>
      <c r="DH2912" s="65">
        <v>0.7</v>
      </c>
      <c r="DK2912" s="65" t="s">
        <v>2879</v>
      </c>
      <c r="DL2912" s="65">
        <v>0.12</v>
      </c>
      <c r="DM2912" s="65">
        <v>0.27</v>
      </c>
      <c r="DP2912" s="65" t="s">
        <v>2880</v>
      </c>
      <c r="DQ2912" s="165">
        <v>4.8</v>
      </c>
      <c r="DR2912" s="165">
        <v>4.9000000000000004</v>
      </c>
      <c r="DV2912" s="65">
        <f>2.12+0.17+0.12</f>
        <v>2.41</v>
      </c>
      <c r="DW2912" s="65">
        <f>2.19+0.18+0.27</f>
        <v>2.64</v>
      </c>
      <c r="DZ2912" s="65" t="s">
        <v>2894</v>
      </c>
      <c r="GP2912" s="292" t="s">
        <v>7494</v>
      </c>
    </row>
    <row r="2913" spans="1:198" x14ac:dyDescent="0.25">
      <c r="A2913" s="55">
        <v>2912</v>
      </c>
      <c r="B2913" s="12" t="s">
        <v>7067</v>
      </c>
      <c r="C2913" s="155">
        <v>138</v>
      </c>
      <c r="D2913" s="55" t="s">
        <v>4299</v>
      </c>
      <c r="E2913" s="90" t="s">
        <v>2896</v>
      </c>
      <c r="G2913" s="55" t="s">
        <v>2897</v>
      </c>
      <c r="H2913" s="55">
        <v>1997</v>
      </c>
      <c r="I2913" s="55">
        <v>1994</v>
      </c>
      <c r="J2913" s="55" t="s">
        <v>2898</v>
      </c>
      <c r="K2913" s="55" t="s">
        <v>2900</v>
      </c>
      <c r="L2913" s="55" t="s">
        <v>2757</v>
      </c>
      <c r="M2913" s="90">
        <v>-0.02</v>
      </c>
      <c r="N2913" s="90">
        <v>37.909999999999997</v>
      </c>
      <c r="O2913" s="90">
        <v>883</v>
      </c>
      <c r="R2913" s="55">
        <v>1754</v>
      </c>
      <c r="U2913" s="55" t="s">
        <v>1935</v>
      </c>
      <c r="V2913" s="55" t="s">
        <v>1935</v>
      </c>
      <c r="Y2913" s="55" t="s">
        <v>2905</v>
      </c>
      <c r="AE2913" s="90">
        <v>40</v>
      </c>
      <c r="AF2913" s="90">
        <f>100-40-38</f>
        <v>22</v>
      </c>
      <c r="AH2913" s="55" t="s">
        <v>769</v>
      </c>
      <c r="AI2913" s="168">
        <v>5.0999999999999996</v>
      </c>
      <c r="AJ2913" s="90">
        <v>1.4</v>
      </c>
      <c r="AM2913" s="55" t="s">
        <v>2899</v>
      </c>
      <c r="AN2913" s="185" t="s">
        <v>2902</v>
      </c>
      <c r="AO2913" s="185" t="s">
        <v>5150</v>
      </c>
      <c r="AQ2913" s="55" t="s">
        <v>553</v>
      </c>
      <c r="AR2913" s="55" t="s">
        <v>1607</v>
      </c>
      <c r="AS2913" s="55" t="s">
        <v>132</v>
      </c>
      <c r="AU2913" s="181" t="s">
        <v>7494</v>
      </c>
      <c r="AV2913" s="185" t="s">
        <v>176</v>
      </c>
      <c r="AX2913" s="185" t="s">
        <v>176</v>
      </c>
      <c r="BE2913" s="226" t="s">
        <v>2903</v>
      </c>
      <c r="BG2913" s="191" t="s">
        <v>176</v>
      </c>
      <c r="BH2913" s="226" t="s">
        <v>2904</v>
      </c>
      <c r="BI2913" s="191" t="s">
        <v>479</v>
      </c>
      <c r="BJ2913" s="55" t="s">
        <v>479</v>
      </c>
      <c r="BK2913" s="55" t="s">
        <v>5976</v>
      </c>
      <c r="BM2913" s="192" t="s">
        <v>160</v>
      </c>
      <c r="BN2913" s="55">
        <v>4</v>
      </c>
      <c r="BO2913" s="55">
        <v>4</v>
      </c>
      <c r="BQ2913" s="55" t="s">
        <v>141</v>
      </c>
      <c r="CB2913" s="66">
        <v>400</v>
      </c>
      <c r="CC2913" s="66">
        <v>1500</v>
      </c>
      <c r="GP2913" s="292" t="s">
        <v>7494</v>
      </c>
    </row>
    <row r="2914" spans="1:198" x14ac:dyDescent="0.25">
      <c r="A2914" s="55">
        <v>2913</v>
      </c>
      <c r="B2914" s="12" t="s">
        <v>7067</v>
      </c>
      <c r="C2914" s="155">
        <v>138</v>
      </c>
      <c r="D2914" s="55" t="s">
        <v>4300</v>
      </c>
      <c r="E2914" s="90" t="s">
        <v>2896</v>
      </c>
      <c r="G2914" s="55" t="s">
        <v>2897</v>
      </c>
      <c r="H2914" s="55">
        <v>1997</v>
      </c>
      <c r="I2914" s="55">
        <v>1994</v>
      </c>
      <c r="J2914" s="55" t="s">
        <v>2898</v>
      </c>
      <c r="K2914" s="55" t="s">
        <v>2901</v>
      </c>
      <c r="L2914" s="55" t="s">
        <v>2757</v>
      </c>
      <c r="M2914" s="90">
        <v>-0.03</v>
      </c>
      <c r="N2914" s="90">
        <v>37.9</v>
      </c>
      <c r="O2914" s="90">
        <v>883</v>
      </c>
      <c r="R2914" s="55">
        <v>1754</v>
      </c>
      <c r="U2914" s="55" t="s">
        <v>1935</v>
      </c>
      <c r="V2914" s="55" t="s">
        <v>1935</v>
      </c>
      <c r="Y2914" s="55" t="s">
        <v>2905</v>
      </c>
      <c r="AE2914" s="90">
        <v>42</v>
      </c>
      <c r="AF2914" s="90">
        <f>100-42-28</f>
        <v>30</v>
      </c>
      <c r="AH2914" s="55" t="s">
        <v>645</v>
      </c>
      <c r="AI2914" s="168">
        <v>5</v>
      </c>
      <c r="AJ2914" s="90">
        <v>1.56</v>
      </c>
      <c r="AM2914" s="55" t="s">
        <v>2899</v>
      </c>
      <c r="AN2914" s="185" t="s">
        <v>2902</v>
      </c>
      <c r="AO2914" s="185" t="s">
        <v>5150</v>
      </c>
      <c r="AQ2914" s="55" t="s">
        <v>553</v>
      </c>
      <c r="AR2914" s="55" t="s">
        <v>1607</v>
      </c>
      <c r="AS2914" s="55" t="s">
        <v>132</v>
      </c>
      <c r="AU2914" s="181" t="s">
        <v>7494</v>
      </c>
      <c r="AV2914" s="185" t="s">
        <v>176</v>
      </c>
      <c r="AX2914" s="185" t="s">
        <v>176</v>
      </c>
      <c r="BE2914" s="226" t="s">
        <v>2903</v>
      </c>
      <c r="BG2914" s="191" t="s">
        <v>176</v>
      </c>
      <c r="BH2914" s="226" t="s">
        <v>2904</v>
      </c>
      <c r="BI2914" s="191" t="s">
        <v>479</v>
      </c>
      <c r="BJ2914" s="55" t="s">
        <v>479</v>
      </c>
      <c r="BK2914" s="55" t="s">
        <v>5976</v>
      </c>
      <c r="BM2914" s="192" t="s">
        <v>160</v>
      </c>
      <c r="BN2914" s="55">
        <v>4</v>
      </c>
      <c r="BO2914" s="55">
        <v>4</v>
      </c>
      <c r="BQ2914" s="55" t="s">
        <v>141</v>
      </c>
      <c r="CB2914" s="66">
        <v>300</v>
      </c>
      <c r="CC2914" s="66">
        <v>200</v>
      </c>
      <c r="GP2914" s="292" t="s">
        <v>7494</v>
      </c>
    </row>
    <row r="2915" spans="1:198" x14ac:dyDescent="0.25">
      <c r="A2915" s="55">
        <v>2914</v>
      </c>
      <c r="B2915" s="12" t="s">
        <v>7067</v>
      </c>
      <c r="C2915" s="155">
        <v>139</v>
      </c>
      <c r="D2915" s="55" t="s">
        <v>3170</v>
      </c>
      <c r="E2915" s="90" t="s">
        <v>2896</v>
      </c>
      <c r="G2915" s="55" t="s">
        <v>2897</v>
      </c>
      <c r="H2915" s="55">
        <v>1998</v>
      </c>
      <c r="I2915" s="55">
        <v>1993</v>
      </c>
      <c r="J2915" s="55" t="s">
        <v>2898</v>
      </c>
      <c r="K2915" s="55" t="s">
        <v>2906</v>
      </c>
      <c r="L2915" s="55" t="s">
        <v>2757</v>
      </c>
      <c r="M2915" s="90">
        <f>6/60</f>
        <v>0.1</v>
      </c>
      <c r="N2915" s="90">
        <f>34+34/60</f>
        <v>34.56666666666667</v>
      </c>
      <c r="O2915" s="90">
        <v>1420</v>
      </c>
      <c r="R2915" s="55">
        <v>1800</v>
      </c>
      <c r="U2915" s="55" t="s">
        <v>1935</v>
      </c>
      <c r="V2915" s="55" t="s">
        <v>1816</v>
      </c>
      <c r="Y2915" s="55" t="s">
        <v>2801</v>
      </c>
      <c r="AE2915" s="90">
        <v>46</v>
      </c>
      <c r="AF2915" s="90">
        <f>100-46-26</f>
        <v>28</v>
      </c>
      <c r="AH2915" s="55" t="s">
        <v>645</v>
      </c>
      <c r="AI2915" s="168">
        <v>5.0999999999999996</v>
      </c>
      <c r="AJ2915" s="90">
        <v>1.5</v>
      </c>
      <c r="AM2915" s="55" t="s">
        <v>2908</v>
      </c>
      <c r="AN2915" s="185" t="s">
        <v>2692</v>
      </c>
      <c r="AO2915" s="185" t="s">
        <v>5150</v>
      </c>
      <c r="AQ2915" s="55" t="s">
        <v>1545</v>
      </c>
      <c r="AR2915" s="55" t="s">
        <v>1607</v>
      </c>
      <c r="AS2915" s="55" t="s">
        <v>132</v>
      </c>
      <c r="AU2915" s="181" t="s">
        <v>7494</v>
      </c>
      <c r="AV2915" s="185" t="s">
        <v>176</v>
      </c>
      <c r="AX2915" s="185" t="s">
        <v>176</v>
      </c>
      <c r="BE2915" s="226" t="s">
        <v>2903</v>
      </c>
      <c r="BG2915" s="191" t="s">
        <v>176</v>
      </c>
      <c r="BH2915" s="226" t="s">
        <v>2904</v>
      </c>
      <c r="BI2915" s="191" t="s">
        <v>479</v>
      </c>
      <c r="BJ2915" s="55" t="s">
        <v>479</v>
      </c>
      <c r="BK2915" s="55" t="s">
        <v>5976</v>
      </c>
      <c r="BM2915" s="192" t="s">
        <v>160</v>
      </c>
      <c r="BN2915" s="55">
        <v>4</v>
      </c>
      <c r="BO2915" s="55">
        <v>4</v>
      </c>
      <c r="BQ2915" s="55" t="s">
        <v>141</v>
      </c>
      <c r="BV2915" s="55" t="s">
        <v>2910</v>
      </c>
      <c r="CB2915" s="66">
        <v>830.15</v>
      </c>
      <c r="CC2915" s="66">
        <v>892.26</v>
      </c>
      <c r="GP2915" s="292" t="s">
        <v>7494</v>
      </c>
    </row>
    <row r="2916" spans="1:198" x14ac:dyDescent="0.25">
      <c r="A2916" s="55">
        <v>2915</v>
      </c>
      <c r="B2916" s="12" t="s">
        <v>7067</v>
      </c>
      <c r="C2916" s="155">
        <v>139</v>
      </c>
      <c r="D2916" s="55" t="s">
        <v>3170</v>
      </c>
      <c r="E2916" s="90" t="s">
        <v>2896</v>
      </c>
      <c r="G2916" s="55" t="s">
        <v>2897</v>
      </c>
      <c r="H2916" s="55">
        <v>1998</v>
      </c>
      <c r="I2916" s="55">
        <v>1995</v>
      </c>
      <c r="J2916" s="55" t="s">
        <v>2898</v>
      </c>
      <c r="K2916" s="55" t="s">
        <v>2906</v>
      </c>
      <c r="L2916" s="55" t="s">
        <v>2757</v>
      </c>
      <c r="M2916" s="90">
        <f>6/60</f>
        <v>0.1</v>
      </c>
      <c r="N2916" s="90">
        <f>34+34/60</f>
        <v>34.56666666666667</v>
      </c>
      <c r="O2916" s="90">
        <v>1420</v>
      </c>
      <c r="R2916" s="55">
        <v>1800</v>
      </c>
      <c r="U2916" s="55" t="s">
        <v>1688</v>
      </c>
      <c r="V2916" s="55" t="s">
        <v>1816</v>
      </c>
      <c r="Y2916" s="55" t="s">
        <v>2801</v>
      </c>
      <c r="AE2916" s="90">
        <v>46</v>
      </c>
      <c r="AF2916" s="90">
        <f>100-46-26</f>
        <v>28</v>
      </c>
      <c r="AH2916" s="55" t="s">
        <v>645</v>
      </c>
      <c r="AI2916" s="168">
        <v>5.0999999999999996</v>
      </c>
      <c r="AJ2916" s="90">
        <v>1.5</v>
      </c>
      <c r="AM2916" s="55" t="s">
        <v>2908</v>
      </c>
      <c r="AN2916" s="185" t="s">
        <v>2692</v>
      </c>
      <c r="AO2916" s="185" t="s">
        <v>5150</v>
      </c>
      <c r="AQ2916" s="55" t="s">
        <v>1545</v>
      </c>
      <c r="AR2916" s="55" t="s">
        <v>1607</v>
      </c>
      <c r="AS2916" s="55" t="s">
        <v>132</v>
      </c>
      <c r="AU2916" s="181" t="s">
        <v>7494</v>
      </c>
      <c r="AV2916" s="185" t="s">
        <v>176</v>
      </c>
      <c r="AX2916" s="185" t="s">
        <v>176</v>
      </c>
      <c r="BE2916" s="226" t="s">
        <v>2903</v>
      </c>
      <c r="BG2916" s="191" t="s">
        <v>176</v>
      </c>
      <c r="BH2916" s="226" t="s">
        <v>2904</v>
      </c>
      <c r="BI2916" s="191" t="s">
        <v>479</v>
      </c>
      <c r="BJ2916" s="55" t="s">
        <v>479</v>
      </c>
      <c r="BK2916" s="55" t="s">
        <v>5976</v>
      </c>
      <c r="BM2916" s="192" t="s">
        <v>160</v>
      </c>
      <c r="BN2916" s="55">
        <v>4</v>
      </c>
      <c r="BO2916" s="55">
        <v>4</v>
      </c>
      <c r="BQ2916" s="55" t="s">
        <v>141</v>
      </c>
      <c r="BV2916" s="55" t="s">
        <v>2910</v>
      </c>
      <c r="CB2916" s="66">
        <v>3526</v>
      </c>
      <c r="CC2916" s="66">
        <v>4407</v>
      </c>
      <c r="GP2916" s="292" t="s">
        <v>7494</v>
      </c>
    </row>
    <row r="2917" spans="1:198" x14ac:dyDescent="0.25">
      <c r="A2917" s="55">
        <v>2916</v>
      </c>
      <c r="B2917" s="12" t="s">
        <v>7067</v>
      </c>
      <c r="C2917" s="155">
        <v>139</v>
      </c>
      <c r="D2917" s="55" t="s">
        <v>3170</v>
      </c>
      <c r="E2917" s="90" t="s">
        <v>2896</v>
      </c>
      <c r="G2917" s="55" t="s">
        <v>2897</v>
      </c>
      <c r="H2917" s="55">
        <v>1998</v>
      </c>
      <c r="I2917" s="55">
        <v>1995</v>
      </c>
      <c r="J2917" s="55" t="s">
        <v>2898</v>
      </c>
      <c r="K2917" s="55" t="s">
        <v>2906</v>
      </c>
      <c r="L2917" s="55" t="s">
        <v>2757</v>
      </c>
      <c r="M2917" s="90">
        <f>6/60</f>
        <v>0.1</v>
      </c>
      <c r="N2917" s="90">
        <f>34+34/60</f>
        <v>34.56666666666667</v>
      </c>
      <c r="O2917" s="90">
        <v>1420</v>
      </c>
      <c r="R2917" s="55">
        <v>1800</v>
      </c>
      <c r="U2917" s="55" t="s">
        <v>1688</v>
      </c>
      <c r="V2917" s="55" t="s">
        <v>1816</v>
      </c>
      <c r="Y2917" s="55" t="s">
        <v>2801</v>
      </c>
      <c r="AE2917" s="90">
        <v>46</v>
      </c>
      <c r="AF2917" s="90">
        <f>100-46-26</f>
        <v>28</v>
      </c>
      <c r="AH2917" s="55" t="s">
        <v>645</v>
      </c>
      <c r="AI2917" s="168">
        <v>5.0999999999999996</v>
      </c>
      <c r="AJ2917" s="90">
        <v>1.5</v>
      </c>
      <c r="AM2917" s="55" t="s">
        <v>2908</v>
      </c>
      <c r="AN2917" s="185" t="s">
        <v>2692</v>
      </c>
      <c r="AO2917" s="185" t="s">
        <v>5150</v>
      </c>
      <c r="AQ2917" s="55" t="s">
        <v>1545</v>
      </c>
      <c r="AR2917" s="55" t="s">
        <v>1607</v>
      </c>
      <c r="AS2917" s="55" t="s">
        <v>132</v>
      </c>
      <c r="AU2917" s="181" t="s">
        <v>7494</v>
      </c>
      <c r="AV2917" s="185" t="s">
        <v>176</v>
      </c>
      <c r="AX2917" s="185" t="s">
        <v>176</v>
      </c>
      <c r="BE2917" s="226" t="s">
        <v>2903</v>
      </c>
      <c r="BG2917" s="191" t="s">
        <v>176</v>
      </c>
      <c r="BH2917" s="226" t="s">
        <v>2904</v>
      </c>
      <c r="BI2917" s="191" t="s">
        <v>479</v>
      </c>
      <c r="BJ2917" s="55" t="s">
        <v>479</v>
      </c>
      <c r="BK2917" s="55" t="s">
        <v>5976</v>
      </c>
      <c r="BM2917" s="192" t="s">
        <v>160</v>
      </c>
      <c r="BN2917" s="55">
        <v>4</v>
      </c>
      <c r="BO2917" s="55">
        <v>4</v>
      </c>
      <c r="BQ2917" s="55" t="s">
        <v>141</v>
      </c>
      <c r="BV2917" s="55" t="s">
        <v>2911</v>
      </c>
      <c r="CB2917" s="66">
        <v>1165</v>
      </c>
      <c r="CC2917" s="66">
        <v>1026</v>
      </c>
      <c r="GP2917" s="292" t="s">
        <v>7494</v>
      </c>
    </row>
    <row r="2918" spans="1:198" x14ac:dyDescent="0.25">
      <c r="A2918" s="55">
        <v>2917</v>
      </c>
      <c r="B2918" s="12" t="s">
        <v>7067</v>
      </c>
      <c r="C2918" s="155">
        <v>139</v>
      </c>
      <c r="D2918" s="55" t="s">
        <v>3170</v>
      </c>
      <c r="E2918" s="90" t="s">
        <v>2896</v>
      </c>
      <c r="G2918" s="55" t="s">
        <v>2897</v>
      </c>
      <c r="H2918" s="55">
        <v>1998</v>
      </c>
      <c r="I2918" s="55">
        <v>1996</v>
      </c>
      <c r="J2918" s="55" t="s">
        <v>2898</v>
      </c>
      <c r="K2918" s="55" t="s">
        <v>2906</v>
      </c>
      <c r="L2918" s="55" t="s">
        <v>2757</v>
      </c>
      <c r="M2918" s="90">
        <f>6/60</f>
        <v>0.1</v>
      </c>
      <c r="N2918" s="90">
        <f>34+34/60</f>
        <v>34.56666666666667</v>
      </c>
      <c r="O2918" s="90">
        <v>1420</v>
      </c>
      <c r="R2918" s="55">
        <v>1800</v>
      </c>
      <c r="U2918" s="55" t="s">
        <v>1816</v>
      </c>
      <c r="V2918" s="55" t="s">
        <v>1816</v>
      </c>
      <c r="Y2918" s="55" t="s">
        <v>2801</v>
      </c>
      <c r="AE2918" s="90">
        <v>46</v>
      </c>
      <c r="AF2918" s="90">
        <f>100-46-26</f>
        <v>28</v>
      </c>
      <c r="AH2918" s="55" t="s">
        <v>645</v>
      </c>
      <c r="AI2918" s="168">
        <v>5.0999999999999996</v>
      </c>
      <c r="AJ2918" s="90">
        <v>1.5</v>
      </c>
      <c r="AM2918" s="55" t="s">
        <v>2908</v>
      </c>
      <c r="AN2918" s="185" t="s">
        <v>2692</v>
      </c>
      <c r="AO2918" s="185" t="s">
        <v>5150</v>
      </c>
      <c r="AQ2918" s="55" t="s">
        <v>1545</v>
      </c>
      <c r="AR2918" s="55" t="s">
        <v>1607</v>
      </c>
      <c r="AS2918" s="55" t="s">
        <v>132</v>
      </c>
      <c r="AU2918" s="181" t="s">
        <v>7494</v>
      </c>
      <c r="AV2918" s="185" t="s">
        <v>176</v>
      </c>
      <c r="AX2918" s="185" t="s">
        <v>176</v>
      </c>
      <c r="BE2918" s="226" t="s">
        <v>2903</v>
      </c>
      <c r="BG2918" s="191" t="s">
        <v>176</v>
      </c>
      <c r="BH2918" s="226" t="s">
        <v>2904</v>
      </c>
      <c r="BI2918" s="191" t="s">
        <v>479</v>
      </c>
      <c r="BJ2918" s="55" t="s">
        <v>479</v>
      </c>
      <c r="BK2918" s="55" t="s">
        <v>5976</v>
      </c>
      <c r="BM2918" s="192" t="s">
        <v>160</v>
      </c>
      <c r="BN2918" s="55">
        <v>4</v>
      </c>
      <c r="BO2918" s="55">
        <v>4</v>
      </c>
      <c r="BQ2918" s="55" t="s">
        <v>141</v>
      </c>
      <c r="BV2918" s="55" t="s">
        <v>2910</v>
      </c>
      <c r="CB2918" s="66">
        <v>1275</v>
      </c>
      <c r="CC2918" s="66">
        <v>1829</v>
      </c>
      <c r="GP2918" s="292" t="s">
        <v>7494</v>
      </c>
    </row>
    <row r="2919" spans="1:198" x14ac:dyDescent="0.25">
      <c r="A2919" s="55">
        <v>2918</v>
      </c>
      <c r="B2919" s="12" t="s">
        <v>7067</v>
      </c>
      <c r="C2919" s="155">
        <v>139</v>
      </c>
      <c r="D2919" s="55" t="s">
        <v>4301</v>
      </c>
      <c r="E2919" s="90" t="s">
        <v>2896</v>
      </c>
      <c r="G2919" s="55" t="s">
        <v>2897</v>
      </c>
      <c r="H2919" s="55">
        <v>1998</v>
      </c>
      <c r="I2919" s="55">
        <v>1995</v>
      </c>
      <c r="J2919" s="55" t="s">
        <v>2898</v>
      </c>
      <c r="K2919" s="55" t="s">
        <v>2907</v>
      </c>
      <c r="L2919" s="55" t="s">
        <v>2757</v>
      </c>
      <c r="M2919" s="90">
        <f>-1-31/60</f>
        <v>-1.5166666666666666</v>
      </c>
      <c r="N2919" s="90">
        <f>37+19/60</f>
        <v>37.31666666666667</v>
      </c>
      <c r="O2919" s="90">
        <v>1920</v>
      </c>
      <c r="R2919" s="55">
        <v>900</v>
      </c>
      <c r="U2919" s="55" t="s">
        <v>1688</v>
      </c>
      <c r="V2919" s="55" t="s">
        <v>1816</v>
      </c>
      <c r="Y2919" s="55" t="s">
        <v>2801</v>
      </c>
      <c r="AE2919" s="90">
        <v>56</v>
      </c>
      <c r="AF2919" s="90">
        <f>100-56-29</f>
        <v>15</v>
      </c>
      <c r="AH2919" s="55" t="s">
        <v>494</v>
      </c>
      <c r="AI2919" s="168">
        <v>5.7</v>
      </c>
      <c r="AJ2919" s="90">
        <v>0.8</v>
      </c>
      <c r="AM2919" s="55" t="s">
        <v>2909</v>
      </c>
      <c r="AN2919" s="185" t="s">
        <v>2692</v>
      </c>
      <c r="AO2919" s="185" t="s">
        <v>5150</v>
      </c>
      <c r="AQ2919" s="55" t="s">
        <v>1545</v>
      </c>
      <c r="AR2919" s="55" t="s">
        <v>1607</v>
      </c>
      <c r="AS2919" s="55" t="s">
        <v>132</v>
      </c>
      <c r="AU2919" s="181" t="s">
        <v>7494</v>
      </c>
      <c r="AV2919" s="185" t="s">
        <v>176</v>
      </c>
      <c r="AX2919" s="185" t="s">
        <v>176</v>
      </c>
      <c r="BE2919" s="226" t="s">
        <v>2903</v>
      </c>
      <c r="BG2919" s="191" t="s">
        <v>176</v>
      </c>
      <c r="BH2919" s="226" t="s">
        <v>2904</v>
      </c>
      <c r="BI2919" s="191" t="s">
        <v>479</v>
      </c>
      <c r="BJ2919" s="55" t="s">
        <v>479</v>
      </c>
      <c r="BK2919" s="55" t="s">
        <v>5976</v>
      </c>
      <c r="BM2919" s="192" t="s">
        <v>160</v>
      </c>
      <c r="BN2919" s="55">
        <v>4</v>
      </c>
      <c r="BO2919" s="55">
        <v>4</v>
      </c>
      <c r="BQ2919" s="55" t="s">
        <v>141</v>
      </c>
      <c r="BV2919" s="55" t="s">
        <v>2911</v>
      </c>
      <c r="CB2919" s="66">
        <v>1400</v>
      </c>
      <c r="CC2919" s="66">
        <v>1353</v>
      </c>
      <c r="GP2919" s="292" t="s">
        <v>7494</v>
      </c>
    </row>
    <row r="2920" spans="1:198" x14ac:dyDescent="0.25">
      <c r="A2920" s="55">
        <v>2919</v>
      </c>
      <c r="B2920" s="12" t="s">
        <v>7067</v>
      </c>
      <c r="C2920" s="155">
        <v>139</v>
      </c>
      <c r="D2920" s="55" t="s">
        <v>4301</v>
      </c>
      <c r="E2920" s="90" t="s">
        <v>2896</v>
      </c>
      <c r="G2920" s="55" t="s">
        <v>2897</v>
      </c>
      <c r="H2920" s="55">
        <v>1998</v>
      </c>
      <c r="I2920" s="55">
        <v>1995</v>
      </c>
      <c r="J2920" s="55" t="s">
        <v>2898</v>
      </c>
      <c r="K2920" s="55" t="s">
        <v>2907</v>
      </c>
      <c r="L2920" s="55" t="s">
        <v>2757</v>
      </c>
      <c r="M2920" s="90">
        <f>-1-31/60</f>
        <v>-1.5166666666666666</v>
      </c>
      <c r="N2920" s="90">
        <f>37+19/60</f>
        <v>37.31666666666667</v>
      </c>
      <c r="O2920" s="90">
        <v>1920</v>
      </c>
      <c r="R2920" s="55">
        <v>900</v>
      </c>
      <c r="U2920" s="55" t="s">
        <v>1688</v>
      </c>
      <c r="V2920" s="55" t="s">
        <v>1816</v>
      </c>
      <c r="Y2920" s="55" t="s">
        <v>2801</v>
      </c>
      <c r="AE2920" s="90">
        <v>56</v>
      </c>
      <c r="AF2920" s="90">
        <f>100-56-29</f>
        <v>15</v>
      </c>
      <c r="AH2920" s="55" t="s">
        <v>494</v>
      </c>
      <c r="AI2920" s="168">
        <v>5.7</v>
      </c>
      <c r="AJ2920" s="90">
        <v>0.8</v>
      </c>
      <c r="AM2920" s="55" t="s">
        <v>2909</v>
      </c>
      <c r="AN2920" s="185" t="s">
        <v>2692</v>
      </c>
      <c r="AO2920" s="185" t="s">
        <v>5150</v>
      </c>
      <c r="AQ2920" s="55" t="s">
        <v>1545</v>
      </c>
      <c r="AR2920" s="55" t="s">
        <v>1607</v>
      </c>
      <c r="AS2920" s="55" t="s">
        <v>132</v>
      </c>
      <c r="AU2920" s="181" t="s">
        <v>7494</v>
      </c>
      <c r="AV2920" s="185" t="s">
        <v>176</v>
      </c>
      <c r="AX2920" s="185" t="s">
        <v>176</v>
      </c>
      <c r="BE2920" s="226" t="s">
        <v>2903</v>
      </c>
      <c r="BG2920" s="191" t="s">
        <v>176</v>
      </c>
      <c r="BH2920" s="226" t="s">
        <v>2904</v>
      </c>
      <c r="BI2920" s="191" t="s">
        <v>479</v>
      </c>
      <c r="BJ2920" s="55" t="s">
        <v>479</v>
      </c>
      <c r="BK2920" s="55" t="s">
        <v>5976</v>
      </c>
      <c r="BM2920" s="192" t="s">
        <v>160</v>
      </c>
      <c r="BN2920" s="55">
        <v>4</v>
      </c>
      <c r="BO2920" s="55">
        <v>4</v>
      </c>
      <c r="BQ2920" s="55" t="s">
        <v>141</v>
      </c>
      <c r="BV2920" s="55" t="s">
        <v>2910</v>
      </c>
      <c r="CB2920" s="66">
        <v>961</v>
      </c>
      <c r="CC2920" s="66">
        <v>1143</v>
      </c>
      <c r="GP2920" s="292" t="s">
        <v>7494</v>
      </c>
    </row>
    <row r="2921" spans="1:198" x14ac:dyDescent="0.25">
      <c r="A2921" s="55">
        <v>2920</v>
      </c>
      <c r="B2921" s="12" t="s">
        <v>7067</v>
      </c>
      <c r="C2921" s="155">
        <v>139</v>
      </c>
      <c r="D2921" s="55" t="s">
        <v>4301</v>
      </c>
      <c r="E2921" s="90" t="s">
        <v>2896</v>
      </c>
      <c r="G2921" s="55" t="s">
        <v>2897</v>
      </c>
      <c r="H2921" s="55">
        <v>1998</v>
      </c>
      <c r="I2921" s="55">
        <v>1996</v>
      </c>
      <c r="J2921" s="55" t="s">
        <v>2898</v>
      </c>
      <c r="K2921" s="55" t="s">
        <v>2907</v>
      </c>
      <c r="L2921" s="55" t="s">
        <v>2757</v>
      </c>
      <c r="M2921" s="90">
        <f>-1-31/60</f>
        <v>-1.5166666666666666</v>
      </c>
      <c r="N2921" s="90">
        <f>37+19/60</f>
        <v>37.31666666666667</v>
      </c>
      <c r="O2921" s="90">
        <v>1920</v>
      </c>
      <c r="R2921" s="55">
        <v>900</v>
      </c>
      <c r="U2921" s="55" t="s">
        <v>1816</v>
      </c>
      <c r="V2921" s="55" t="s">
        <v>1816</v>
      </c>
      <c r="Y2921" s="55" t="s">
        <v>2801</v>
      </c>
      <c r="AE2921" s="90">
        <v>56</v>
      </c>
      <c r="AF2921" s="90">
        <f>100-56-29</f>
        <v>15</v>
      </c>
      <c r="AH2921" s="55" t="s">
        <v>494</v>
      </c>
      <c r="AI2921" s="168">
        <v>5.7</v>
      </c>
      <c r="AJ2921" s="90">
        <v>0.8</v>
      </c>
      <c r="AM2921" s="55" t="s">
        <v>2909</v>
      </c>
      <c r="AN2921" s="185" t="s">
        <v>2692</v>
      </c>
      <c r="AO2921" s="185" t="s">
        <v>5150</v>
      </c>
      <c r="AQ2921" s="55" t="s">
        <v>1545</v>
      </c>
      <c r="AR2921" s="55" t="s">
        <v>1607</v>
      </c>
      <c r="AS2921" s="55" t="s">
        <v>132</v>
      </c>
      <c r="AU2921" s="181" t="s">
        <v>7494</v>
      </c>
      <c r="AV2921" s="185" t="s">
        <v>176</v>
      </c>
      <c r="AX2921" s="185" t="s">
        <v>176</v>
      </c>
      <c r="BE2921" s="226" t="s">
        <v>2903</v>
      </c>
      <c r="BG2921" s="191" t="s">
        <v>176</v>
      </c>
      <c r="BH2921" s="226" t="s">
        <v>2904</v>
      </c>
      <c r="BI2921" s="191" t="s">
        <v>479</v>
      </c>
      <c r="BJ2921" s="55" t="s">
        <v>479</v>
      </c>
      <c r="BK2921" s="55" t="s">
        <v>5976</v>
      </c>
      <c r="BM2921" s="192" t="s">
        <v>160</v>
      </c>
      <c r="BN2921" s="55">
        <v>4</v>
      </c>
      <c r="BO2921" s="55">
        <v>4</v>
      </c>
      <c r="BQ2921" s="55" t="s">
        <v>141</v>
      </c>
      <c r="BV2921" s="55" t="s">
        <v>2910</v>
      </c>
      <c r="CB2921" s="66">
        <v>1692</v>
      </c>
      <c r="CC2921" s="66">
        <v>852</v>
      </c>
      <c r="GP2921" s="292" t="s">
        <v>7494</v>
      </c>
    </row>
    <row r="2922" spans="1:198" x14ac:dyDescent="0.25">
      <c r="A2922" s="55">
        <v>2921</v>
      </c>
      <c r="B2922" s="12" t="s">
        <v>7067</v>
      </c>
      <c r="C2922" s="155">
        <v>140</v>
      </c>
      <c r="D2922" s="55" t="s">
        <v>4302</v>
      </c>
      <c r="E2922" s="90" t="s">
        <v>2912</v>
      </c>
      <c r="G2922" s="55" t="s">
        <v>2913</v>
      </c>
      <c r="H2922" s="55">
        <v>2000</v>
      </c>
      <c r="I2922" s="55">
        <v>1996</v>
      </c>
      <c r="J2922" s="55" t="s">
        <v>2898</v>
      </c>
      <c r="K2922" s="55" t="s">
        <v>2915</v>
      </c>
      <c r="L2922" s="55" t="s">
        <v>2916</v>
      </c>
      <c r="M2922" s="90">
        <v>-17.61</v>
      </c>
      <c r="N2922" s="90">
        <v>31.14</v>
      </c>
      <c r="O2922" s="90">
        <v>1500</v>
      </c>
      <c r="U2922" s="55" t="s">
        <v>1935</v>
      </c>
      <c r="V2922" s="55" t="s">
        <v>1688</v>
      </c>
      <c r="Y2922" s="55" t="s">
        <v>1971</v>
      </c>
      <c r="AH2922" s="55" t="s">
        <v>174</v>
      </c>
      <c r="AI2922" s="168">
        <v>4.5</v>
      </c>
      <c r="AJ2922" s="90">
        <v>0.46</v>
      </c>
      <c r="AM2922" s="55" t="s">
        <v>2914</v>
      </c>
      <c r="AN2922" s="185" t="s">
        <v>2918</v>
      </c>
      <c r="AO2922" s="185" t="s">
        <v>5150</v>
      </c>
      <c r="AQ2922" s="55" t="s">
        <v>1547</v>
      </c>
      <c r="AR2922" s="55" t="s">
        <v>1607</v>
      </c>
      <c r="AS2922" s="55" t="s">
        <v>132</v>
      </c>
      <c r="AU2922" s="181" t="s">
        <v>7494</v>
      </c>
      <c r="AV2922" s="185" t="s">
        <v>176</v>
      </c>
      <c r="AX2922" s="185" t="s">
        <v>176</v>
      </c>
      <c r="BE2922" s="226" t="s">
        <v>161</v>
      </c>
      <c r="BG2922" s="191" t="s">
        <v>176</v>
      </c>
      <c r="BH2922" s="226" t="s">
        <v>161</v>
      </c>
      <c r="BI2922" s="191" t="s">
        <v>176</v>
      </c>
      <c r="BJ2922" s="55" t="s">
        <v>176</v>
      </c>
      <c r="BK2922" s="55" t="s">
        <v>5976</v>
      </c>
      <c r="BM2922" s="192" t="s">
        <v>160</v>
      </c>
      <c r="BN2922" s="55">
        <v>3</v>
      </c>
      <c r="BO2922" s="55">
        <v>3</v>
      </c>
      <c r="BQ2922" s="55" t="s">
        <v>141</v>
      </c>
      <c r="BS2922" s="55">
        <f>1050+890</f>
        <v>1940</v>
      </c>
      <c r="BT2922" s="55">
        <f>BS2922/(27.2+22.7)</f>
        <v>38.877755511022045</v>
      </c>
      <c r="CB2922" s="66">
        <v>1450</v>
      </c>
      <c r="CC2922" s="66">
        <v>1270</v>
      </c>
      <c r="CE2922" s="65">
        <v>820</v>
      </c>
      <c r="CF2922" s="65">
        <v>750</v>
      </c>
      <c r="GP2922" s="292" t="s">
        <v>7494</v>
      </c>
    </row>
    <row r="2923" spans="1:198" x14ac:dyDescent="0.25">
      <c r="A2923" s="55">
        <v>2922</v>
      </c>
      <c r="B2923" s="12" t="s">
        <v>7067</v>
      </c>
      <c r="C2923" s="155">
        <v>140</v>
      </c>
      <c r="D2923" s="55" t="s">
        <v>4302</v>
      </c>
      <c r="E2923" s="90" t="s">
        <v>2912</v>
      </c>
      <c r="G2923" s="55" t="s">
        <v>2913</v>
      </c>
      <c r="H2923" s="55">
        <v>2000</v>
      </c>
      <c r="I2923" s="55">
        <v>1996</v>
      </c>
      <c r="J2923" s="55" t="s">
        <v>2898</v>
      </c>
      <c r="K2923" s="55" t="s">
        <v>2915</v>
      </c>
      <c r="L2923" s="55" t="s">
        <v>2916</v>
      </c>
      <c r="M2923" s="90">
        <v>-17.61</v>
      </c>
      <c r="N2923" s="90">
        <v>31.14</v>
      </c>
      <c r="O2923" s="90">
        <v>1500</v>
      </c>
      <c r="U2923" s="55" t="s">
        <v>1935</v>
      </c>
      <c r="V2923" s="55" t="s">
        <v>1688</v>
      </c>
      <c r="Y2923" s="55" t="s">
        <v>1971</v>
      </c>
      <c r="AH2923" s="55" t="s">
        <v>174</v>
      </c>
      <c r="AI2923" s="168">
        <v>4.5</v>
      </c>
      <c r="AJ2923" s="90">
        <v>0.46</v>
      </c>
      <c r="AM2923" s="55" t="s">
        <v>2914</v>
      </c>
      <c r="AN2923" s="185" t="s">
        <v>2918</v>
      </c>
      <c r="AO2923" s="185" t="s">
        <v>5150</v>
      </c>
      <c r="AQ2923" s="55" t="s">
        <v>1547</v>
      </c>
      <c r="AR2923" s="55" t="s">
        <v>1607</v>
      </c>
      <c r="AS2923" s="55" t="s">
        <v>132</v>
      </c>
      <c r="AU2923" s="181" t="s">
        <v>7494</v>
      </c>
      <c r="AV2923" s="185" t="s">
        <v>176</v>
      </c>
      <c r="AX2923" s="185" t="s">
        <v>176</v>
      </c>
      <c r="BE2923" s="226" t="s">
        <v>2672</v>
      </c>
      <c r="BF2923" s="191" t="s">
        <v>479</v>
      </c>
      <c r="BG2923" s="191" t="s">
        <v>479</v>
      </c>
      <c r="BH2923" s="226" t="s">
        <v>2672</v>
      </c>
      <c r="BI2923" s="191" t="s">
        <v>479</v>
      </c>
      <c r="BJ2923" s="55" t="s">
        <v>176</v>
      </c>
      <c r="BK2923" s="55" t="s">
        <v>5976</v>
      </c>
      <c r="BM2923" s="192" t="s">
        <v>160</v>
      </c>
      <c r="BN2923" s="55">
        <v>3</v>
      </c>
      <c r="BO2923" s="55">
        <v>3</v>
      </c>
      <c r="BQ2923" s="55" t="s">
        <v>141</v>
      </c>
      <c r="BS2923" s="55">
        <f>1930+2340</f>
        <v>4270</v>
      </c>
      <c r="BT2923" s="55">
        <f>BS2923/(50.4+57.2)</f>
        <v>39.684014869888479</v>
      </c>
      <c r="CB2923" s="66">
        <v>2350</v>
      </c>
      <c r="CC2923" s="66">
        <v>2260</v>
      </c>
      <c r="CE2923" s="65">
        <v>820</v>
      </c>
      <c r="CF2923" s="65">
        <v>750</v>
      </c>
      <c r="GP2923" s="292" t="s">
        <v>7494</v>
      </c>
    </row>
    <row r="2924" spans="1:198" x14ac:dyDescent="0.25">
      <c r="A2924" s="55">
        <v>2923</v>
      </c>
      <c r="B2924" s="12" t="s">
        <v>7067</v>
      </c>
      <c r="C2924" s="155">
        <v>140</v>
      </c>
      <c r="D2924" s="55" t="s">
        <v>4302</v>
      </c>
      <c r="E2924" s="90" t="s">
        <v>2912</v>
      </c>
      <c r="G2924" s="55" t="s">
        <v>2913</v>
      </c>
      <c r="H2924" s="55">
        <v>2000</v>
      </c>
      <c r="I2924" s="55">
        <v>1996</v>
      </c>
      <c r="J2924" s="55" t="s">
        <v>2898</v>
      </c>
      <c r="K2924" s="55" t="s">
        <v>2915</v>
      </c>
      <c r="L2924" s="55" t="s">
        <v>2916</v>
      </c>
      <c r="M2924" s="90">
        <v>-17.61</v>
      </c>
      <c r="N2924" s="90">
        <v>31.14</v>
      </c>
      <c r="O2924" s="90">
        <v>1500</v>
      </c>
      <c r="U2924" s="55" t="s">
        <v>1935</v>
      </c>
      <c r="V2924" s="55" t="s">
        <v>1688</v>
      </c>
      <c r="Y2924" s="55" t="s">
        <v>1971</v>
      </c>
      <c r="AH2924" s="55" t="s">
        <v>174</v>
      </c>
      <c r="AI2924" s="168">
        <v>4.5</v>
      </c>
      <c r="AJ2924" s="90">
        <v>0.46</v>
      </c>
      <c r="AM2924" s="55" t="s">
        <v>2914</v>
      </c>
      <c r="AN2924" s="185" t="s">
        <v>2918</v>
      </c>
      <c r="AO2924" s="185" t="s">
        <v>5150</v>
      </c>
      <c r="AQ2924" s="55" t="s">
        <v>1547</v>
      </c>
      <c r="AR2924" s="55" t="s">
        <v>1607</v>
      </c>
      <c r="AS2924" s="55" t="s">
        <v>132</v>
      </c>
      <c r="AU2924" s="181" t="s">
        <v>7494</v>
      </c>
      <c r="AV2924" s="185" t="s">
        <v>176</v>
      </c>
      <c r="AX2924" s="185" t="s">
        <v>176</v>
      </c>
      <c r="BE2924" s="226" t="s">
        <v>2917</v>
      </c>
      <c r="BF2924" s="191" t="s">
        <v>479</v>
      </c>
      <c r="BG2924" s="191" t="s">
        <v>479</v>
      </c>
      <c r="BH2924" s="226" t="s">
        <v>2917</v>
      </c>
      <c r="BI2924" s="191" t="s">
        <v>479</v>
      </c>
      <c r="BJ2924" s="55" t="s">
        <v>176</v>
      </c>
      <c r="BK2924" s="55" t="s">
        <v>5976</v>
      </c>
      <c r="BM2924" s="192" t="s">
        <v>160</v>
      </c>
      <c r="BN2924" s="55">
        <v>3</v>
      </c>
      <c r="BO2924" s="55">
        <v>3</v>
      </c>
      <c r="BQ2924" s="55" t="s">
        <v>141</v>
      </c>
      <c r="BS2924" s="55">
        <f>600+2920</f>
        <v>3520</v>
      </c>
      <c r="BT2924" s="55">
        <f>BS2924/(15.3+76.7)</f>
        <v>38.260869565217391</v>
      </c>
      <c r="CB2924" s="66">
        <v>2510</v>
      </c>
      <c r="CC2924" s="66">
        <v>2060</v>
      </c>
      <c r="CE2924" s="65">
        <v>820</v>
      </c>
      <c r="CF2924" s="65">
        <v>750</v>
      </c>
      <c r="GP2924" s="292" t="s">
        <v>7494</v>
      </c>
    </row>
    <row r="2925" spans="1:198" x14ac:dyDescent="0.25">
      <c r="A2925" s="55">
        <v>2924</v>
      </c>
      <c r="B2925" s="12" t="s">
        <v>7067</v>
      </c>
      <c r="C2925" s="155">
        <v>140</v>
      </c>
      <c r="D2925" s="55" t="s">
        <v>4302</v>
      </c>
      <c r="E2925" s="90" t="s">
        <v>2912</v>
      </c>
      <c r="G2925" s="55" t="s">
        <v>2913</v>
      </c>
      <c r="H2925" s="55">
        <v>2000</v>
      </c>
      <c r="I2925" s="55">
        <v>1997</v>
      </c>
      <c r="J2925" s="55" t="s">
        <v>2898</v>
      </c>
      <c r="K2925" s="55" t="s">
        <v>2915</v>
      </c>
      <c r="L2925" s="55" t="s">
        <v>2916</v>
      </c>
      <c r="M2925" s="90">
        <v>-17.61</v>
      </c>
      <c r="N2925" s="90">
        <v>31.14</v>
      </c>
      <c r="O2925" s="90">
        <v>1500</v>
      </c>
      <c r="U2925" s="55" t="s">
        <v>1805</v>
      </c>
      <c r="V2925" s="55" t="s">
        <v>1688</v>
      </c>
      <c r="Y2925" s="55" t="s">
        <v>1971</v>
      </c>
      <c r="AH2925" s="55" t="s">
        <v>174</v>
      </c>
      <c r="AI2925" s="168">
        <v>4.5</v>
      </c>
      <c r="AJ2925" s="90">
        <v>0.46</v>
      </c>
      <c r="AM2925" s="55" t="s">
        <v>2914</v>
      </c>
      <c r="AN2925" s="185" t="s">
        <v>2918</v>
      </c>
      <c r="AO2925" s="185" t="s">
        <v>5150</v>
      </c>
      <c r="AQ2925" s="55" t="s">
        <v>1547</v>
      </c>
      <c r="AR2925" s="55" t="s">
        <v>1607</v>
      </c>
      <c r="AS2925" s="55" t="s">
        <v>132</v>
      </c>
      <c r="AU2925" s="181" t="s">
        <v>7494</v>
      </c>
      <c r="AV2925" s="185" t="s">
        <v>176</v>
      </c>
      <c r="AX2925" s="185" t="s">
        <v>176</v>
      </c>
      <c r="BE2925" s="226" t="s">
        <v>161</v>
      </c>
      <c r="BF2925" s="191" t="s">
        <v>176</v>
      </c>
      <c r="BG2925" s="191" t="s">
        <v>176</v>
      </c>
      <c r="BH2925" s="226" t="s">
        <v>161</v>
      </c>
      <c r="BI2925" s="191" t="s">
        <v>176</v>
      </c>
      <c r="BJ2925" s="55" t="s">
        <v>176</v>
      </c>
      <c r="BK2925" s="55" t="s">
        <v>5976</v>
      </c>
      <c r="BM2925" s="192" t="s">
        <v>160</v>
      </c>
      <c r="BN2925" s="55">
        <v>3</v>
      </c>
      <c r="BO2925" s="55">
        <v>3</v>
      </c>
      <c r="BQ2925" s="55" t="s">
        <v>141</v>
      </c>
      <c r="BS2925" s="55">
        <f>4570+2860</f>
        <v>7430</v>
      </c>
      <c r="BT2925" s="55">
        <f>BS2925/(154.3+82.1)</f>
        <v>31.429780033840945</v>
      </c>
      <c r="CB2925" s="66">
        <v>1920</v>
      </c>
      <c r="CC2925" s="66">
        <v>1790</v>
      </c>
      <c r="CE2925" s="65">
        <v>1300</v>
      </c>
      <c r="CF2925" s="65">
        <v>1420</v>
      </c>
      <c r="GP2925" s="292" t="s">
        <v>7494</v>
      </c>
    </row>
    <row r="2926" spans="1:198" x14ac:dyDescent="0.25">
      <c r="A2926" s="55">
        <v>2925</v>
      </c>
      <c r="B2926" s="12" t="s">
        <v>7067</v>
      </c>
      <c r="C2926" s="155">
        <v>140</v>
      </c>
      <c r="D2926" s="55" t="s">
        <v>4302</v>
      </c>
      <c r="E2926" s="90" t="s">
        <v>2912</v>
      </c>
      <c r="G2926" s="55" t="s">
        <v>2913</v>
      </c>
      <c r="H2926" s="55">
        <v>2000</v>
      </c>
      <c r="I2926" s="55">
        <v>1997</v>
      </c>
      <c r="J2926" s="55" t="s">
        <v>2898</v>
      </c>
      <c r="K2926" s="55" t="s">
        <v>2915</v>
      </c>
      <c r="L2926" s="55" t="s">
        <v>2916</v>
      </c>
      <c r="M2926" s="90">
        <v>-17.61</v>
      </c>
      <c r="N2926" s="90">
        <v>31.14</v>
      </c>
      <c r="O2926" s="90">
        <v>1500</v>
      </c>
      <c r="U2926" s="55" t="s">
        <v>1805</v>
      </c>
      <c r="V2926" s="55" t="s">
        <v>1688</v>
      </c>
      <c r="Y2926" s="55" t="s">
        <v>1971</v>
      </c>
      <c r="AH2926" s="55" t="s">
        <v>174</v>
      </c>
      <c r="AI2926" s="168">
        <v>4.5</v>
      </c>
      <c r="AJ2926" s="90">
        <v>0.46</v>
      </c>
      <c r="AM2926" s="55" t="s">
        <v>2914</v>
      </c>
      <c r="AN2926" s="185" t="s">
        <v>2918</v>
      </c>
      <c r="AO2926" s="185" t="s">
        <v>5150</v>
      </c>
      <c r="AQ2926" s="55" t="s">
        <v>1547</v>
      </c>
      <c r="AR2926" s="55" t="s">
        <v>1607</v>
      </c>
      <c r="AS2926" s="55" t="s">
        <v>132</v>
      </c>
      <c r="AU2926" s="181" t="s">
        <v>7494</v>
      </c>
      <c r="AV2926" s="185" t="s">
        <v>176</v>
      </c>
      <c r="AX2926" s="185" t="s">
        <v>176</v>
      </c>
      <c r="BE2926" s="226" t="s">
        <v>2672</v>
      </c>
      <c r="BF2926" s="191" t="s">
        <v>479</v>
      </c>
      <c r="BG2926" s="191" t="s">
        <v>479</v>
      </c>
      <c r="BH2926" s="226" t="s">
        <v>2672</v>
      </c>
      <c r="BI2926" s="191" t="s">
        <v>479</v>
      </c>
      <c r="BJ2926" s="55" t="s">
        <v>176</v>
      </c>
      <c r="BK2926" s="55" t="s">
        <v>5976</v>
      </c>
      <c r="BM2926" s="192" t="s">
        <v>160</v>
      </c>
      <c r="BN2926" s="55">
        <v>3</v>
      </c>
      <c r="BO2926" s="55">
        <v>3</v>
      </c>
      <c r="BQ2926" s="55" t="s">
        <v>141</v>
      </c>
      <c r="BS2926" s="55">
        <f>2720+1800</f>
        <v>4520</v>
      </c>
      <c r="BT2926" s="55">
        <f>BS2926/(104.5+51.1)</f>
        <v>29.048843187660669</v>
      </c>
      <c r="CB2926" s="66">
        <v>5160</v>
      </c>
      <c r="CC2926" s="66">
        <v>5660</v>
      </c>
      <c r="CE2926" s="65">
        <v>1300</v>
      </c>
      <c r="CF2926" s="65">
        <v>1420</v>
      </c>
      <c r="GP2926" s="292" t="s">
        <v>7494</v>
      </c>
    </row>
    <row r="2927" spans="1:198" x14ac:dyDescent="0.25">
      <c r="A2927" s="55">
        <v>2926</v>
      </c>
      <c r="B2927" s="12" t="s">
        <v>7067</v>
      </c>
      <c r="C2927" s="155">
        <v>140</v>
      </c>
      <c r="D2927" s="55" t="s">
        <v>4302</v>
      </c>
      <c r="E2927" s="90" t="s">
        <v>2912</v>
      </c>
      <c r="G2927" s="55" t="s">
        <v>2913</v>
      </c>
      <c r="H2927" s="55">
        <v>2000</v>
      </c>
      <c r="I2927" s="55">
        <v>1997</v>
      </c>
      <c r="J2927" s="55" t="s">
        <v>2898</v>
      </c>
      <c r="K2927" s="55" t="s">
        <v>2915</v>
      </c>
      <c r="L2927" s="55" t="s">
        <v>2916</v>
      </c>
      <c r="M2927" s="90">
        <v>-17.61</v>
      </c>
      <c r="N2927" s="90">
        <v>31.14</v>
      </c>
      <c r="O2927" s="90">
        <v>1500</v>
      </c>
      <c r="U2927" s="55" t="s">
        <v>1805</v>
      </c>
      <c r="V2927" s="55" t="s">
        <v>1688</v>
      </c>
      <c r="Y2927" s="55" t="s">
        <v>1971</v>
      </c>
      <c r="AH2927" s="55" t="s">
        <v>174</v>
      </c>
      <c r="AI2927" s="168">
        <v>4.5</v>
      </c>
      <c r="AJ2927" s="90">
        <v>0.46</v>
      </c>
      <c r="AM2927" s="55" t="s">
        <v>2914</v>
      </c>
      <c r="AN2927" s="185" t="s">
        <v>2918</v>
      </c>
      <c r="AO2927" s="185" t="s">
        <v>5150</v>
      </c>
      <c r="AQ2927" s="55" t="s">
        <v>1547</v>
      </c>
      <c r="AR2927" s="55" t="s">
        <v>1607</v>
      </c>
      <c r="AS2927" s="55" t="s">
        <v>132</v>
      </c>
      <c r="AU2927" s="181" t="s">
        <v>7494</v>
      </c>
      <c r="AV2927" s="185" t="s">
        <v>176</v>
      </c>
      <c r="AX2927" s="185" t="s">
        <v>176</v>
      </c>
      <c r="BE2927" s="226" t="s">
        <v>2917</v>
      </c>
      <c r="BF2927" s="191" t="s">
        <v>479</v>
      </c>
      <c r="BG2927" s="191" t="s">
        <v>479</v>
      </c>
      <c r="BH2927" s="226" t="s">
        <v>2917</v>
      </c>
      <c r="BI2927" s="191" t="s">
        <v>479</v>
      </c>
      <c r="BJ2927" s="55" t="s">
        <v>176</v>
      </c>
      <c r="BK2927" s="55" t="s">
        <v>5976</v>
      </c>
      <c r="BM2927" s="192" t="s">
        <v>160</v>
      </c>
      <c r="BN2927" s="55">
        <v>3</v>
      </c>
      <c r="BO2927" s="55">
        <v>3</v>
      </c>
      <c r="BQ2927" s="55" t="s">
        <v>141</v>
      </c>
      <c r="BS2927" s="55">
        <f>2010+1320</f>
        <v>3330</v>
      </c>
      <c r="BT2927" s="55">
        <f>BS2927/(73.3+44.2)</f>
        <v>28.340425531914892</v>
      </c>
      <c r="CB2927" s="66">
        <v>6580</v>
      </c>
      <c r="CC2927" s="66">
        <v>4510</v>
      </c>
      <c r="CE2927" s="65">
        <v>1300</v>
      </c>
      <c r="CF2927" s="65">
        <v>1420</v>
      </c>
      <c r="GP2927" s="292" t="s">
        <v>7494</v>
      </c>
    </row>
    <row r="2928" spans="1:198" x14ac:dyDescent="0.25">
      <c r="A2928" s="55">
        <v>2927</v>
      </c>
      <c r="B2928" s="12" t="s">
        <v>7067</v>
      </c>
      <c r="C2928" s="155">
        <v>141</v>
      </c>
      <c r="D2928" s="55" t="s">
        <v>4303</v>
      </c>
      <c r="E2928" s="90" t="s">
        <v>2919</v>
      </c>
      <c r="G2928" s="55" t="s">
        <v>2920</v>
      </c>
      <c r="H2928" s="55">
        <v>2004</v>
      </c>
      <c r="I2928" s="55">
        <v>1995</v>
      </c>
      <c r="J2928" s="55" t="s">
        <v>2921</v>
      </c>
      <c r="K2928" s="55" t="s">
        <v>2925</v>
      </c>
      <c r="L2928" s="55" t="s">
        <v>2752</v>
      </c>
      <c r="M2928" s="90">
        <f>3+51/60</f>
        <v>3.85</v>
      </c>
      <c r="N2928" s="90">
        <f>11+26/60</f>
        <v>11.433333333333334</v>
      </c>
      <c r="O2928" s="90">
        <v>700</v>
      </c>
      <c r="Q2928" s="55">
        <v>24</v>
      </c>
      <c r="S2928" s="90">
        <v>1650</v>
      </c>
      <c r="U2928" s="55" t="s">
        <v>1935</v>
      </c>
      <c r="V2928" s="55" t="s">
        <v>1816</v>
      </c>
      <c r="Y2928" s="55" t="s">
        <v>1920</v>
      </c>
      <c r="Z2928" s="55" t="s">
        <v>1349</v>
      </c>
      <c r="AA2928" s="90" t="s">
        <v>1677</v>
      </c>
      <c r="AE2928" s="90">
        <v>30</v>
      </c>
      <c r="AF2928" s="90">
        <f>100-30-30</f>
        <v>40</v>
      </c>
      <c r="AH2928" s="55" t="s">
        <v>645</v>
      </c>
      <c r="AI2928" s="168">
        <v>5.25</v>
      </c>
      <c r="AJ2928" s="90">
        <v>1.9</v>
      </c>
      <c r="AM2928" s="55" t="s">
        <v>2923</v>
      </c>
      <c r="AN2928" s="185" t="s">
        <v>2926</v>
      </c>
      <c r="AO2928" s="185" t="s">
        <v>5150</v>
      </c>
      <c r="AQ2928" s="55" t="s">
        <v>553</v>
      </c>
      <c r="AR2928" s="55" t="s">
        <v>1607</v>
      </c>
      <c r="AS2928" s="55" t="s">
        <v>132</v>
      </c>
      <c r="AU2928" s="181" t="s">
        <v>7494</v>
      </c>
      <c r="AV2928" s="185" t="s">
        <v>176</v>
      </c>
      <c r="AX2928" s="185" t="s">
        <v>176</v>
      </c>
      <c r="BG2928" s="191"/>
      <c r="BI2928" s="191"/>
      <c r="BK2928" s="55" t="s">
        <v>5976</v>
      </c>
      <c r="BM2928" s="192" t="s">
        <v>2702</v>
      </c>
      <c r="BN2928" s="55">
        <v>4</v>
      </c>
      <c r="BO2928" s="55">
        <v>4</v>
      </c>
      <c r="BQ2928" s="55" t="s">
        <v>141</v>
      </c>
      <c r="CB2928" s="66">
        <v>4446</v>
      </c>
      <c r="CC2928" s="66">
        <v>4449</v>
      </c>
      <c r="CE2928" s="65">
        <f>232*2</f>
        <v>464</v>
      </c>
      <c r="CF2928" s="65">
        <f>232*2</f>
        <v>464</v>
      </c>
      <c r="GP2928" s="292" t="s">
        <v>7494</v>
      </c>
    </row>
    <row r="2929" spans="1:198" x14ac:dyDescent="0.25">
      <c r="A2929" s="55">
        <v>2928</v>
      </c>
      <c r="B2929" s="12" t="s">
        <v>7067</v>
      </c>
      <c r="C2929" s="155">
        <v>141</v>
      </c>
      <c r="D2929" s="55" t="s">
        <v>4303</v>
      </c>
      <c r="E2929" s="90" t="s">
        <v>2919</v>
      </c>
      <c r="G2929" s="55" t="s">
        <v>2920</v>
      </c>
      <c r="H2929" s="55">
        <v>2004</v>
      </c>
      <c r="I2929" s="55">
        <v>1996</v>
      </c>
      <c r="J2929" s="55" t="s">
        <v>2921</v>
      </c>
      <c r="K2929" s="55" t="s">
        <v>2925</v>
      </c>
      <c r="L2929" s="55" t="s">
        <v>2752</v>
      </c>
      <c r="M2929" s="90">
        <f>3+51/60</f>
        <v>3.85</v>
      </c>
      <c r="N2929" s="90">
        <f>11+26/60</f>
        <v>11.433333333333334</v>
      </c>
      <c r="O2929" s="90">
        <v>700</v>
      </c>
      <c r="Q2929" s="55">
        <v>24</v>
      </c>
      <c r="S2929" s="90">
        <v>1650</v>
      </c>
      <c r="U2929" s="55" t="s">
        <v>1805</v>
      </c>
      <c r="V2929" s="55" t="s">
        <v>1816</v>
      </c>
      <c r="Y2929" s="55" t="s">
        <v>1920</v>
      </c>
      <c r="Z2929" s="55" t="s">
        <v>1349</v>
      </c>
      <c r="AA2929" s="90" t="s">
        <v>1677</v>
      </c>
      <c r="AE2929" s="90">
        <v>30</v>
      </c>
      <c r="AF2929" s="90">
        <f>100-30-30</f>
        <v>40</v>
      </c>
      <c r="AH2929" s="55" t="s">
        <v>645</v>
      </c>
      <c r="AI2929" s="168">
        <v>5.25</v>
      </c>
      <c r="AJ2929" s="90">
        <v>1.9</v>
      </c>
      <c r="AM2929" s="55" t="s">
        <v>2923</v>
      </c>
      <c r="AN2929" s="185" t="s">
        <v>2926</v>
      </c>
      <c r="AO2929" s="185" t="s">
        <v>5150</v>
      </c>
      <c r="AQ2929" s="55" t="s">
        <v>553</v>
      </c>
      <c r="AR2929" s="55" t="s">
        <v>1607</v>
      </c>
      <c r="AS2929" s="55" t="s">
        <v>132</v>
      </c>
      <c r="AU2929" s="181" t="s">
        <v>7494</v>
      </c>
      <c r="AV2929" s="185" t="s">
        <v>176</v>
      </c>
      <c r="AX2929" s="185" t="s">
        <v>176</v>
      </c>
      <c r="BK2929" s="55" t="s">
        <v>5976</v>
      </c>
      <c r="BM2929" s="192" t="s">
        <v>2702</v>
      </c>
      <c r="BN2929" s="55">
        <v>4</v>
      </c>
      <c r="BO2929" s="55">
        <v>4</v>
      </c>
      <c r="BQ2929" s="55" t="s">
        <v>141</v>
      </c>
      <c r="CB2929" s="66">
        <v>3131</v>
      </c>
      <c r="CC2929" s="66">
        <v>3382</v>
      </c>
      <c r="CE2929" s="65">
        <f>232*2</f>
        <v>464</v>
      </c>
      <c r="CF2929" s="65">
        <f>232*2</f>
        <v>464</v>
      </c>
      <c r="GP2929" s="292" t="s">
        <v>7494</v>
      </c>
    </row>
    <row r="2930" spans="1:198" x14ac:dyDescent="0.25">
      <c r="A2930" s="55">
        <v>2929</v>
      </c>
      <c r="B2930" s="12" t="s">
        <v>7067</v>
      </c>
      <c r="C2930" s="155">
        <v>141</v>
      </c>
      <c r="D2930" s="55" t="s">
        <v>4303</v>
      </c>
      <c r="E2930" s="90" t="s">
        <v>2919</v>
      </c>
      <c r="G2930" s="55" t="s">
        <v>2920</v>
      </c>
      <c r="H2930" s="55">
        <v>2004</v>
      </c>
      <c r="I2930" s="55">
        <v>1997</v>
      </c>
      <c r="J2930" s="55" t="s">
        <v>2921</v>
      </c>
      <c r="K2930" s="55" t="s">
        <v>2925</v>
      </c>
      <c r="L2930" s="55" t="s">
        <v>2752</v>
      </c>
      <c r="M2930" s="90">
        <f>3+51/60</f>
        <v>3.85</v>
      </c>
      <c r="N2930" s="90">
        <f>11+26/60</f>
        <v>11.433333333333334</v>
      </c>
      <c r="O2930" s="90">
        <v>700</v>
      </c>
      <c r="Q2930" s="55">
        <v>24</v>
      </c>
      <c r="S2930" s="90">
        <v>1650</v>
      </c>
      <c r="U2930" s="55" t="s">
        <v>1688</v>
      </c>
      <c r="V2930" s="55" t="s">
        <v>1816</v>
      </c>
      <c r="Y2930" s="55" t="s">
        <v>1920</v>
      </c>
      <c r="Z2930" s="55" t="s">
        <v>1349</v>
      </c>
      <c r="AA2930" s="90" t="s">
        <v>1677</v>
      </c>
      <c r="AE2930" s="90">
        <v>30</v>
      </c>
      <c r="AF2930" s="90">
        <f>100-30-30</f>
        <v>40</v>
      </c>
      <c r="AH2930" s="55" t="s">
        <v>645</v>
      </c>
      <c r="AI2930" s="168">
        <v>5.25</v>
      </c>
      <c r="AJ2930" s="90">
        <v>1.9</v>
      </c>
      <c r="AM2930" s="55" t="s">
        <v>2923</v>
      </c>
      <c r="AN2930" s="185" t="s">
        <v>2926</v>
      </c>
      <c r="AO2930" s="185" t="s">
        <v>5150</v>
      </c>
      <c r="AQ2930" s="55" t="s">
        <v>553</v>
      </c>
      <c r="AR2930" s="55" t="s">
        <v>1607</v>
      </c>
      <c r="AS2930" s="55" t="s">
        <v>132</v>
      </c>
      <c r="AU2930" s="181" t="s">
        <v>7494</v>
      </c>
      <c r="AV2930" s="185" t="s">
        <v>176</v>
      </c>
      <c r="AX2930" s="185" t="s">
        <v>176</v>
      </c>
      <c r="BK2930" s="55" t="s">
        <v>5976</v>
      </c>
      <c r="BM2930" s="192" t="s">
        <v>2702</v>
      </c>
      <c r="BN2930" s="55">
        <v>4</v>
      </c>
      <c r="BO2930" s="55">
        <v>4</v>
      </c>
      <c r="BQ2930" s="55" t="s">
        <v>141</v>
      </c>
      <c r="CB2930" s="66">
        <v>4408</v>
      </c>
      <c r="CC2930" s="66">
        <v>4511</v>
      </c>
      <c r="CE2930" s="65">
        <f>232*2</f>
        <v>464</v>
      </c>
      <c r="CF2930" s="65">
        <f>232*2</f>
        <v>464</v>
      </c>
      <c r="GP2930" s="292" t="s">
        <v>7494</v>
      </c>
    </row>
    <row r="2931" spans="1:198" x14ac:dyDescent="0.25">
      <c r="A2931" s="55">
        <v>2930</v>
      </c>
      <c r="B2931" s="12" t="s">
        <v>7067</v>
      </c>
      <c r="C2931" s="155">
        <v>141</v>
      </c>
      <c r="D2931" s="55" t="s">
        <v>4303</v>
      </c>
      <c r="E2931" s="90" t="s">
        <v>2919</v>
      </c>
      <c r="G2931" s="55" t="s">
        <v>2920</v>
      </c>
      <c r="H2931" s="55">
        <v>2004</v>
      </c>
      <c r="I2931" s="55">
        <v>1998</v>
      </c>
      <c r="J2931" s="55" t="s">
        <v>2921</v>
      </c>
      <c r="K2931" s="55" t="s">
        <v>2925</v>
      </c>
      <c r="L2931" s="55" t="s">
        <v>2752</v>
      </c>
      <c r="M2931" s="90">
        <f>3+51/60</f>
        <v>3.85</v>
      </c>
      <c r="N2931" s="90">
        <f>11+26/60</f>
        <v>11.433333333333334</v>
      </c>
      <c r="O2931" s="90">
        <v>700</v>
      </c>
      <c r="Q2931" s="55">
        <v>24</v>
      </c>
      <c r="S2931" s="90">
        <v>1650</v>
      </c>
      <c r="U2931" s="55" t="s">
        <v>1816</v>
      </c>
      <c r="V2931" s="55" t="s">
        <v>1816</v>
      </c>
      <c r="Y2931" s="55" t="s">
        <v>1920</v>
      </c>
      <c r="Z2931" s="55" t="s">
        <v>1349</v>
      </c>
      <c r="AA2931" s="90" t="s">
        <v>1677</v>
      </c>
      <c r="AE2931" s="90">
        <v>30</v>
      </c>
      <c r="AF2931" s="90">
        <f>100-30-30</f>
        <v>40</v>
      </c>
      <c r="AH2931" s="55" t="s">
        <v>645</v>
      </c>
      <c r="AI2931" s="168">
        <v>5.25</v>
      </c>
      <c r="AJ2931" s="90">
        <v>1.9</v>
      </c>
      <c r="AM2931" s="55" t="s">
        <v>2923</v>
      </c>
      <c r="AN2931" s="185" t="s">
        <v>2926</v>
      </c>
      <c r="AO2931" s="185" t="s">
        <v>5150</v>
      </c>
      <c r="AQ2931" s="55" t="s">
        <v>553</v>
      </c>
      <c r="AR2931" s="55" t="s">
        <v>1607</v>
      </c>
      <c r="AS2931" s="55" t="s">
        <v>132</v>
      </c>
      <c r="AU2931" s="181" t="s">
        <v>7494</v>
      </c>
      <c r="AV2931" s="185" t="s">
        <v>176</v>
      </c>
      <c r="AX2931" s="185" t="s">
        <v>176</v>
      </c>
      <c r="BK2931" s="55" t="s">
        <v>5976</v>
      </c>
      <c r="BM2931" s="192" t="s">
        <v>2702</v>
      </c>
      <c r="BN2931" s="55">
        <v>4</v>
      </c>
      <c r="BO2931" s="55">
        <v>4</v>
      </c>
      <c r="BQ2931" s="55" t="s">
        <v>141</v>
      </c>
      <c r="CB2931" s="66">
        <v>2454</v>
      </c>
      <c r="CC2931" s="66">
        <v>2966</v>
      </c>
      <c r="CE2931" s="65">
        <f>232*2</f>
        <v>464</v>
      </c>
      <c r="CF2931" s="65">
        <f>232*2</f>
        <v>464</v>
      </c>
      <c r="CM2931" s="65">
        <v>1.9</v>
      </c>
      <c r="CN2931" s="65">
        <v>1.43</v>
      </c>
      <c r="CO2931" s="65">
        <f>0.09*2</f>
        <v>0.18</v>
      </c>
      <c r="CP2931" s="65">
        <f>0.09*2</f>
        <v>0.18</v>
      </c>
      <c r="CV2931" s="65" t="s">
        <v>3039</v>
      </c>
      <c r="DA2931" s="65" t="s">
        <v>4458</v>
      </c>
      <c r="DB2931" s="65">
        <v>0.16</v>
      </c>
      <c r="DC2931" s="65">
        <v>0.15</v>
      </c>
      <c r="DD2931" s="65">
        <v>0.04</v>
      </c>
      <c r="DE2931" s="65">
        <v>0.04</v>
      </c>
      <c r="DF2931" s="65" t="s">
        <v>164</v>
      </c>
      <c r="DG2931" s="65">
        <v>8.8000000000000007</v>
      </c>
      <c r="DH2931" s="65">
        <v>4.5</v>
      </c>
      <c r="DI2931" s="65">
        <v>2.6</v>
      </c>
      <c r="DJ2931" s="65">
        <v>2.6</v>
      </c>
      <c r="DK2931" s="65" t="s">
        <v>2879</v>
      </c>
      <c r="DQ2931" s="165">
        <v>5.8</v>
      </c>
      <c r="DR2931" s="165">
        <v>5.69</v>
      </c>
      <c r="DS2931" s="162">
        <v>0.2</v>
      </c>
      <c r="DT2931" s="162">
        <v>0.2</v>
      </c>
      <c r="EF2931" s="65">
        <v>4.8099999999999996</v>
      </c>
      <c r="EG2931" s="65">
        <v>3.96</v>
      </c>
      <c r="EH2931" s="65">
        <f>0.59*2</f>
        <v>1.18</v>
      </c>
      <c r="EI2931" s="65">
        <f>0.59*2</f>
        <v>1.18</v>
      </c>
      <c r="GP2931" s="292" t="s">
        <v>7494</v>
      </c>
    </row>
    <row r="2932" spans="1:198" x14ac:dyDescent="0.25">
      <c r="A2932" s="55">
        <v>2931</v>
      </c>
      <c r="B2932" s="12" t="s">
        <v>7067</v>
      </c>
      <c r="C2932" s="155">
        <v>141</v>
      </c>
      <c r="D2932" s="55" t="s">
        <v>4303</v>
      </c>
      <c r="E2932" s="90" t="s">
        <v>2919</v>
      </c>
      <c r="G2932" s="55" t="s">
        <v>2920</v>
      </c>
      <c r="H2932" s="55">
        <v>2004</v>
      </c>
      <c r="I2932" s="55">
        <v>1995</v>
      </c>
      <c r="J2932" s="55" t="s">
        <v>2921</v>
      </c>
      <c r="K2932" s="55" t="s">
        <v>2925</v>
      </c>
      <c r="L2932" s="55" t="s">
        <v>2752</v>
      </c>
      <c r="M2932" s="90">
        <f>3+51/60</f>
        <v>3.85</v>
      </c>
      <c r="N2932" s="90">
        <f>11+26/60</f>
        <v>11.433333333333334</v>
      </c>
      <c r="O2932" s="90">
        <v>700</v>
      </c>
      <c r="Q2932" s="55">
        <v>24</v>
      </c>
      <c r="S2932" s="90">
        <v>1650</v>
      </c>
      <c r="U2932" s="55" t="s">
        <v>1935</v>
      </c>
      <c r="V2932" s="55" t="s">
        <v>1816</v>
      </c>
      <c r="Y2932" s="55" t="s">
        <v>1920</v>
      </c>
      <c r="Z2932" s="55" t="s">
        <v>1349</v>
      </c>
      <c r="AA2932" s="90" t="s">
        <v>1677</v>
      </c>
      <c r="AE2932" s="90">
        <v>30</v>
      </c>
      <c r="AF2932" s="90">
        <f>100-30-30</f>
        <v>40</v>
      </c>
      <c r="AH2932" s="55" t="s">
        <v>645</v>
      </c>
      <c r="AI2932" s="168">
        <v>5.25</v>
      </c>
      <c r="AJ2932" s="90">
        <v>1.9</v>
      </c>
      <c r="AM2932" s="55" t="s">
        <v>2923</v>
      </c>
      <c r="AN2932" s="185" t="s">
        <v>158</v>
      </c>
      <c r="AO2932" s="185" t="s">
        <v>5150</v>
      </c>
      <c r="AQ2932" s="55" t="s">
        <v>553</v>
      </c>
      <c r="AR2932" s="55" t="s">
        <v>1607</v>
      </c>
      <c r="AS2932" s="55" t="s">
        <v>132</v>
      </c>
      <c r="AU2932" s="181" t="s">
        <v>7494</v>
      </c>
      <c r="AV2932" s="185" t="s">
        <v>176</v>
      </c>
      <c r="AX2932" s="185" t="s">
        <v>176</v>
      </c>
      <c r="BK2932" s="55" t="s">
        <v>5976</v>
      </c>
      <c r="BM2932" s="192" t="s">
        <v>2702</v>
      </c>
      <c r="BN2932" s="55">
        <v>4</v>
      </c>
      <c r="BO2932" s="55">
        <v>4</v>
      </c>
      <c r="BQ2932" s="55" t="s">
        <v>141</v>
      </c>
      <c r="CB2932" s="66">
        <v>4446</v>
      </c>
      <c r="CC2932" s="66">
        <v>4576</v>
      </c>
      <c r="CE2932" s="65">
        <v>464</v>
      </c>
      <c r="CF2932" s="65">
        <v>464</v>
      </c>
      <c r="GP2932" s="292" t="s">
        <v>7494</v>
      </c>
    </row>
    <row r="2933" spans="1:198" x14ac:dyDescent="0.25">
      <c r="A2933" s="55">
        <v>2932</v>
      </c>
      <c r="B2933" s="12" t="s">
        <v>7067</v>
      </c>
      <c r="C2933" s="155">
        <v>141</v>
      </c>
      <c r="D2933" s="55" t="s">
        <v>4303</v>
      </c>
      <c r="E2933" s="90" t="s">
        <v>2919</v>
      </c>
      <c r="G2933" s="55" t="s">
        <v>2920</v>
      </c>
      <c r="H2933" s="55">
        <v>2004</v>
      </c>
      <c r="I2933" s="55">
        <v>1996</v>
      </c>
      <c r="J2933" s="55" t="s">
        <v>2921</v>
      </c>
      <c r="K2933" s="55" t="s">
        <v>2925</v>
      </c>
      <c r="L2933" s="55" t="s">
        <v>2752</v>
      </c>
      <c r="M2933" s="90">
        <f>3+51/60</f>
        <v>3.85</v>
      </c>
      <c r="N2933" s="90">
        <f>11+26/60</f>
        <v>11.433333333333334</v>
      </c>
      <c r="O2933" s="90">
        <v>700</v>
      </c>
      <c r="Q2933" s="55">
        <v>24</v>
      </c>
      <c r="S2933" s="90">
        <v>1650</v>
      </c>
      <c r="U2933" s="55" t="s">
        <v>1805</v>
      </c>
      <c r="V2933" s="55" t="s">
        <v>1816</v>
      </c>
      <c r="Y2933" s="55" t="s">
        <v>1920</v>
      </c>
      <c r="Z2933" s="55" t="s">
        <v>1349</v>
      </c>
      <c r="AA2933" s="90" t="s">
        <v>1677</v>
      </c>
      <c r="AE2933" s="90">
        <v>30</v>
      </c>
      <c r="AF2933" s="90">
        <f>100-30-30</f>
        <v>40</v>
      </c>
      <c r="AH2933" s="55" t="s">
        <v>645</v>
      </c>
      <c r="AI2933" s="168">
        <v>5.25</v>
      </c>
      <c r="AJ2933" s="90">
        <v>1.9</v>
      </c>
      <c r="AM2933" s="55" t="s">
        <v>2923</v>
      </c>
      <c r="AN2933" s="185" t="s">
        <v>158</v>
      </c>
      <c r="AO2933" s="185" t="s">
        <v>5150</v>
      </c>
      <c r="AQ2933" s="55" t="s">
        <v>553</v>
      </c>
      <c r="AR2933" s="55" t="s">
        <v>1607</v>
      </c>
      <c r="AS2933" s="55" t="s">
        <v>132</v>
      </c>
      <c r="AU2933" s="181" t="s">
        <v>7494</v>
      </c>
      <c r="AV2933" s="185" t="s">
        <v>176</v>
      </c>
      <c r="AX2933" s="185" t="s">
        <v>176</v>
      </c>
      <c r="BK2933" s="55" t="s">
        <v>5976</v>
      </c>
      <c r="BM2933" s="192" t="s">
        <v>2702</v>
      </c>
      <c r="BN2933" s="55">
        <v>4</v>
      </c>
      <c r="BO2933" s="55">
        <v>4</v>
      </c>
      <c r="BQ2933" s="55" t="s">
        <v>141</v>
      </c>
      <c r="CB2933" s="66">
        <v>3131</v>
      </c>
      <c r="CC2933" s="66">
        <v>3097</v>
      </c>
      <c r="CE2933" s="65">
        <v>464</v>
      </c>
      <c r="CF2933" s="65">
        <v>464</v>
      </c>
      <c r="GP2933" s="292" t="s">
        <v>7494</v>
      </c>
    </row>
    <row r="2934" spans="1:198" x14ac:dyDescent="0.25">
      <c r="A2934" s="55">
        <v>2933</v>
      </c>
      <c r="B2934" s="12" t="s">
        <v>7067</v>
      </c>
      <c r="C2934" s="155">
        <v>141</v>
      </c>
      <c r="D2934" s="55" t="s">
        <v>4303</v>
      </c>
      <c r="E2934" s="90" t="s">
        <v>2919</v>
      </c>
      <c r="G2934" s="55" t="s">
        <v>2920</v>
      </c>
      <c r="H2934" s="55">
        <v>2004</v>
      </c>
      <c r="I2934" s="55">
        <v>1997</v>
      </c>
      <c r="J2934" s="55" t="s">
        <v>2921</v>
      </c>
      <c r="K2934" s="55" t="s">
        <v>2925</v>
      </c>
      <c r="L2934" s="55" t="s">
        <v>2752</v>
      </c>
      <c r="M2934" s="90">
        <f>3+51/60</f>
        <v>3.85</v>
      </c>
      <c r="N2934" s="90">
        <f>11+26/60</f>
        <v>11.433333333333334</v>
      </c>
      <c r="O2934" s="90">
        <v>700</v>
      </c>
      <c r="Q2934" s="55">
        <v>24</v>
      </c>
      <c r="S2934" s="90">
        <v>1650</v>
      </c>
      <c r="U2934" s="55" t="s">
        <v>1688</v>
      </c>
      <c r="V2934" s="55" t="s">
        <v>1816</v>
      </c>
      <c r="Y2934" s="55" t="s">
        <v>1920</v>
      </c>
      <c r="Z2934" s="55" t="s">
        <v>1349</v>
      </c>
      <c r="AA2934" s="90" t="s">
        <v>1677</v>
      </c>
      <c r="AE2934" s="90">
        <v>30</v>
      </c>
      <c r="AF2934" s="90">
        <f>100-30-30</f>
        <v>40</v>
      </c>
      <c r="AH2934" s="55" t="s">
        <v>645</v>
      </c>
      <c r="AI2934" s="168">
        <v>5.25</v>
      </c>
      <c r="AJ2934" s="90">
        <v>1.9</v>
      </c>
      <c r="AM2934" s="55" t="s">
        <v>2923</v>
      </c>
      <c r="AN2934" s="185" t="s">
        <v>158</v>
      </c>
      <c r="AO2934" s="185" t="s">
        <v>5150</v>
      </c>
      <c r="AQ2934" s="55" t="s">
        <v>553</v>
      </c>
      <c r="AR2934" s="55" t="s">
        <v>1607</v>
      </c>
      <c r="AS2934" s="55" t="s">
        <v>132</v>
      </c>
      <c r="AU2934" s="181" t="s">
        <v>7494</v>
      </c>
      <c r="AV2934" s="185" t="s">
        <v>176</v>
      </c>
      <c r="AX2934" s="185" t="s">
        <v>176</v>
      </c>
      <c r="BK2934" s="55" t="s">
        <v>5976</v>
      </c>
      <c r="BM2934" s="192" t="s">
        <v>2702</v>
      </c>
      <c r="BN2934" s="55">
        <v>4</v>
      </c>
      <c r="BO2934" s="55">
        <v>4</v>
      </c>
      <c r="BQ2934" s="55" t="s">
        <v>141</v>
      </c>
      <c r="CB2934" s="66">
        <v>4408</v>
      </c>
      <c r="CC2934" s="66">
        <v>4232</v>
      </c>
      <c r="CE2934" s="65">
        <v>464</v>
      </c>
      <c r="CF2934" s="65">
        <v>464</v>
      </c>
      <c r="GP2934" s="292" t="s">
        <v>7494</v>
      </c>
    </row>
    <row r="2935" spans="1:198" x14ac:dyDescent="0.25">
      <c r="A2935" s="55">
        <v>2934</v>
      </c>
      <c r="B2935" s="12" t="s">
        <v>7067</v>
      </c>
      <c r="C2935" s="155">
        <v>141</v>
      </c>
      <c r="D2935" s="55" t="s">
        <v>4303</v>
      </c>
      <c r="E2935" s="90" t="s">
        <v>2919</v>
      </c>
      <c r="G2935" s="55" t="s">
        <v>2920</v>
      </c>
      <c r="H2935" s="55">
        <v>2004</v>
      </c>
      <c r="I2935" s="55">
        <v>1998</v>
      </c>
      <c r="J2935" s="55" t="s">
        <v>2921</v>
      </c>
      <c r="K2935" s="55" t="s">
        <v>2925</v>
      </c>
      <c r="L2935" s="55" t="s">
        <v>2752</v>
      </c>
      <c r="M2935" s="90">
        <f>3+51/60</f>
        <v>3.85</v>
      </c>
      <c r="N2935" s="90">
        <f>11+26/60</f>
        <v>11.433333333333334</v>
      </c>
      <c r="O2935" s="90">
        <v>700</v>
      </c>
      <c r="Q2935" s="55">
        <v>24</v>
      </c>
      <c r="S2935" s="90">
        <v>1650</v>
      </c>
      <c r="U2935" s="55" t="s">
        <v>1816</v>
      </c>
      <c r="V2935" s="55" t="s">
        <v>1816</v>
      </c>
      <c r="Y2935" s="55" t="s">
        <v>1920</v>
      </c>
      <c r="Z2935" s="55" t="s">
        <v>1349</v>
      </c>
      <c r="AA2935" s="90" t="s">
        <v>1677</v>
      </c>
      <c r="AE2935" s="90">
        <v>30</v>
      </c>
      <c r="AF2935" s="90">
        <f>100-30-30</f>
        <v>40</v>
      </c>
      <c r="AH2935" s="55" t="s">
        <v>645</v>
      </c>
      <c r="AI2935" s="168">
        <v>5.25</v>
      </c>
      <c r="AJ2935" s="90">
        <v>1.9</v>
      </c>
      <c r="AM2935" s="55" t="s">
        <v>2923</v>
      </c>
      <c r="AN2935" s="185" t="s">
        <v>158</v>
      </c>
      <c r="AO2935" s="185" t="s">
        <v>5150</v>
      </c>
      <c r="AQ2935" s="55" t="s">
        <v>553</v>
      </c>
      <c r="AR2935" s="55" t="s">
        <v>1607</v>
      </c>
      <c r="AS2935" s="55" t="s">
        <v>132</v>
      </c>
      <c r="AU2935" s="181" t="s">
        <v>7494</v>
      </c>
      <c r="AV2935" s="185" t="s">
        <v>176</v>
      </c>
      <c r="AX2935" s="185" t="s">
        <v>176</v>
      </c>
      <c r="BK2935" s="55" t="s">
        <v>5976</v>
      </c>
      <c r="BM2935" s="192" t="s">
        <v>2702</v>
      </c>
      <c r="BN2935" s="55">
        <v>4</v>
      </c>
      <c r="BO2935" s="55">
        <v>4</v>
      </c>
      <c r="BQ2935" s="55" t="s">
        <v>141</v>
      </c>
      <c r="CB2935" s="66">
        <v>2454</v>
      </c>
      <c r="CC2935" s="66">
        <v>2393</v>
      </c>
      <c r="CE2935" s="65">
        <v>464</v>
      </c>
      <c r="CF2935" s="65">
        <v>464</v>
      </c>
      <c r="CM2935" s="65">
        <v>1.9</v>
      </c>
      <c r="CN2935" s="65">
        <v>1.79</v>
      </c>
      <c r="CO2935" s="65">
        <v>0.18</v>
      </c>
      <c r="CP2935" s="65">
        <v>0.18</v>
      </c>
      <c r="CV2935" s="65" t="s">
        <v>3039</v>
      </c>
      <c r="DA2935" s="65" t="s">
        <v>4458</v>
      </c>
      <c r="DB2935" s="65">
        <v>0.16</v>
      </c>
      <c r="DC2935" s="65">
        <v>0.15</v>
      </c>
      <c r="DD2935" s="65">
        <v>0.04</v>
      </c>
      <c r="DE2935" s="65">
        <v>0.04</v>
      </c>
      <c r="DF2935" s="65" t="s">
        <v>164</v>
      </c>
      <c r="DG2935" s="65">
        <v>8.9</v>
      </c>
      <c r="DH2935" s="65">
        <v>7.6</v>
      </c>
      <c r="DI2935" s="65">
        <v>2.6</v>
      </c>
      <c r="DJ2935" s="65">
        <v>2.6</v>
      </c>
      <c r="DK2935" s="65" t="s">
        <v>2879</v>
      </c>
      <c r="DQ2935" s="165">
        <v>5.8</v>
      </c>
      <c r="DR2935" s="165">
        <v>5.54</v>
      </c>
      <c r="DS2935" s="162">
        <v>0.2</v>
      </c>
      <c r="DT2935" s="162">
        <v>0.2</v>
      </c>
      <c r="EF2935" s="65">
        <v>4.8099999999999996</v>
      </c>
      <c r="EG2935" s="65">
        <v>3.77</v>
      </c>
      <c r="EH2935" s="65">
        <v>1.18</v>
      </c>
      <c r="EI2935" s="65">
        <v>1.18</v>
      </c>
      <c r="GP2935" s="292" t="s">
        <v>7494</v>
      </c>
    </row>
    <row r="2936" spans="1:198" x14ac:dyDescent="0.25">
      <c r="A2936" s="55">
        <v>2935</v>
      </c>
      <c r="B2936" s="12" t="s">
        <v>7067</v>
      </c>
      <c r="C2936" s="155">
        <v>141</v>
      </c>
      <c r="D2936" s="55" t="s">
        <v>4304</v>
      </c>
      <c r="E2936" s="90" t="s">
        <v>2919</v>
      </c>
      <c r="G2936" s="55" t="s">
        <v>2920</v>
      </c>
      <c r="H2936" s="55">
        <v>2004</v>
      </c>
      <c r="I2936" s="55">
        <v>1995</v>
      </c>
      <c r="J2936" s="55" t="s">
        <v>2921</v>
      </c>
      <c r="K2936" s="55" t="s">
        <v>2922</v>
      </c>
      <c r="L2936" s="55" t="s">
        <v>2752</v>
      </c>
      <c r="M2936" s="90">
        <f>4+26/60</f>
        <v>4.4333333333333336</v>
      </c>
      <c r="N2936" s="90">
        <f>11+40/60</f>
        <v>11.666666666666666</v>
      </c>
      <c r="O2936" s="90">
        <v>560</v>
      </c>
      <c r="Q2936" s="55">
        <v>26</v>
      </c>
      <c r="S2936" s="90">
        <v>1350</v>
      </c>
      <c r="U2936" s="55" t="s">
        <v>1935</v>
      </c>
      <c r="V2936" s="55" t="s">
        <v>1816</v>
      </c>
      <c r="Y2936" s="55" t="s">
        <v>2924</v>
      </c>
      <c r="Z2936" s="55" t="s">
        <v>1349</v>
      </c>
      <c r="AA2936" s="90" t="s">
        <v>1677</v>
      </c>
      <c r="AE2936" s="90">
        <v>30</v>
      </c>
      <c r="AF2936" s="90">
        <f>100-30-17.5</f>
        <v>52.5</v>
      </c>
      <c r="AH2936" s="55" t="s">
        <v>645</v>
      </c>
      <c r="AI2936" s="168">
        <v>5.25</v>
      </c>
      <c r="AJ2936" s="90">
        <v>1.7</v>
      </c>
      <c r="AM2936" s="55" t="s">
        <v>2923</v>
      </c>
      <c r="AN2936" s="185" t="s">
        <v>2926</v>
      </c>
      <c r="AO2936" s="185" t="s">
        <v>5150</v>
      </c>
      <c r="AQ2936" s="55" t="s">
        <v>553</v>
      </c>
      <c r="AR2936" s="55" t="s">
        <v>1607</v>
      </c>
      <c r="AS2936" s="55" t="s">
        <v>132</v>
      </c>
      <c r="AU2936" s="181" t="s">
        <v>7494</v>
      </c>
      <c r="AV2936" s="185" t="s">
        <v>176</v>
      </c>
      <c r="AX2936" s="185" t="s">
        <v>176</v>
      </c>
      <c r="BK2936" s="55" t="s">
        <v>5976</v>
      </c>
      <c r="BM2936" s="192" t="s">
        <v>2702</v>
      </c>
      <c r="BN2936" s="55">
        <v>4</v>
      </c>
      <c r="BO2936" s="55">
        <v>4</v>
      </c>
      <c r="BQ2936" s="55" t="s">
        <v>141</v>
      </c>
      <c r="CB2936" s="66">
        <v>3310</v>
      </c>
      <c r="CC2936" s="66">
        <v>3496</v>
      </c>
      <c r="CE2936" s="65">
        <f>137*2</f>
        <v>274</v>
      </c>
      <c r="CF2936" s="65">
        <f>137*2</f>
        <v>274</v>
      </c>
      <c r="GP2936" s="292" t="s">
        <v>7494</v>
      </c>
    </row>
    <row r="2937" spans="1:198" x14ac:dyDescent="0.25">
      <c r="A2937" s="55">
        <v>2936</v>
      </c>
      <c r="B2937" s="12" t="s">
        <v>7067</v>
      </c>
      <c r="C2937" s="155">
        <v>141</v>
      </c>
      <c r="D2937" s="55" t="s">
        <v>4304</v>
      </c>
      <c r="E2937" s="90" t="s">
        <v>2919</v>
      </c>
      <c r="G2937" s="55" t="s">
        <v>2920</v>
      </c>
      <c r="H2937" s="55">
        <v>2004</v>
      </c>
      <c r="I2937" s="55">
        <v>1996</v>
      </c>
      <c r="J2937" s="55" t="s">
        <v>2921</v>
      </c>
      <c r="K2937" s="55" t="s">
        <v>2922</v>
      </c>
      <c r="L2937" s="55" t="s">
        <v>2752</v>
      </c>
      <c r="M2937" s="90">
        <f>4+26/60</f>
        <v>4.4333333333333336</v>
      </c>
      <c r="N2937" s="90">
        <f>11+40/60</f>
        <v>11.666666666666666</v>
      </c>
      <c r="O2937" s="90">
        <v>560</v>
      </c>
      <c r="Q2937" s="55">
        <v>26</v>
      </c>
      <c r="S2937" s="90">
        <v>1350</v>
      </c>
      <c r="U2937" s="55" t="s">
        <v>1805</v>
      </c>
      <c r="V2937" s="55" t="s">
        <v>1816</v>
      </c>
      <c r="Y2937" s="55" t="s">
        <v>2924</v>
      </c>
      <c r="Z2937" s="55" t="s">
        <v>1349</v>
      </c>
      <c r="AA2937" s="90" t="s">
        <v>1677</v>
      </c>
      <c r="AE2937" s="90">
        <v>30</v>
      </c>
      <c r="AF2937" s="90">
        <f>100-30-17.5</f>
        <v>52.5</v>
      </c>
      <c r="AH2937" s="55" t="s">
        <v>645</v>
      </c>
      <c r="AI2937" s="168">
        <v>5.25</v>
      </c>
      <c r="AJ2937" s="90">
        <v>1.7</v>
      </c>
      <c r="AM2937" s="55" t="s">
        <v>2923</v>
      </c>
      <c r="AN2937" s="185" t="s">
        <v>2926</v>
      </c>
      <c r="AO2937" s="185" t="s">
        <v>5150</v>
      </c>
      <c r="AQ2937" s="55" t="s">
        <v>553</v>
      </c>
      <c r="AR2937" s="55" t="s">
        <v>1607</v>
      </c>
      <c r="AS2937" s="55" t="s">
        <v>132</v>
      </c>
      <c r="AU2937" s="181" t="s">
        <v>7494</v>
      </c>
      <c r="AV2937" s="185" t="s">
        <v>176</v>
      </c>
      <c r="AX2937" s="185" t="s">
        <v>176</v>
      </c>
      <c r="BK2937" s="55" t="s">
        <v>5976</v>
      </c>
      <c r="BM2937" s="192" t="s">
        <v>2702</v>
      </c>
      <c r="BN2937" s="55">
        <v>4</v>
      </c>
      <c r="BO2937" s="55">
        <v>4</v>
      </c>
      <c r="BQ2937" s="55" t="s">
        <v>141</v>
      </c>
      <c r="CB2937" s="66">
        <v>2355</v>
      </c>
      <c r="CC2937" s="66">
        <v>2494</v>
      </c>
      <c r="CE2937" s="65">
        <f>137*2</f>
        <v>274</v>
      </c>
      <c r="CF2937" s="65">
        <f>137*2</f>
        <v>274</v>
      </c>
      <c r="GP2937" s="292" t="s">
        <v>7494</v>
      </c>
    </row>
    <row r="2938" spans="1:198" x14ac:dyDescent="0.25">
      <c r="A2938" s="55">
        <v>2937</v>
      </c>
      <c r="B2938" s="12" t="s">
        <v>7067</v>
      </c>
      <c r="C2938" s="155">
        <v>141</v>
      </c>
      <c r="D2938" s="55" t="s">
        <v>4304</v>
      </c>
      <c r="E2938" s="90" t="s">
        <v>2919</v>
      </c>
      <c r="G2938" s="55" t="s">
        <v>2920</v>
      </c>
      <c r="H2938" s="55">
        <v>2004</v>
      </c>
      <c r="I2938" s="55">
        <v>1997</v>
      </c>
      <c r="J2938" s="55" t="s">
        <v>2921</v>
      </c>
      <c r="K2938" s="55" t="s">
        <v>2922</v>
      </c>
      <c r="L2938" s="55" t="s">
        <v>2752</v>
      </c>
      <c r="M2938" s="90">
        <f>4+26/60</f>
        <v>4.4333333333333336</v>
      </c>
      <c r="N2938" s="90">
        <f>11+40/60</f>
        <v>11.666666666666666</v>
      </c>
      <c r="O2938" s="90">
        <v>560</v>
      </c>
      <c r="Q2938" s="55">
        <v>26</v>
      </c>
      <c r="S2938" s="90">
        <v>1350</v>
      </c>
      <c r="U2938" s="55" t="s">
        <v>1688</v>
      </c>
      <c r="V2938" s="55" t="s">
        <v>1816</v>
      </c>
      <c r="Y2938" s="55" t="s">
        <v>2924</v>
      </c>
      <c r="Z2938" s="55" t="s">
        <v>1349</v>
      </c>
      <c r="AA2938" s="90" t="s">
        <v>1677</v>
      </c>
      <c r="AE2938" s="90">
        <v>30</v>
      </c>
      <c r="AF2938" s="90">
        <f>100-30-17.5</f>
        <v>52.5</v>
      </c>
      <c r="AH2938" s="55" t="s">
        <v>645</v>
      </c>
      <c r="AI2938" s="168">
        <v>5.25</v>
      </c>
      <c r="AJ2938" s="90">
        <v>1.7</v>
      </c>
      <c r="AM2938" s="55" t="s">
        <v>2923</v>
      </c>
      <c r="AN2938" s="185" t="s">
        <v>2926</v>
      </c>
      <c r="AO2938" s="185" t="s">
        <v>5150</v>
      </c>
      <c r="AQ2938" s="55" t="s">
        <v>553</v>
      </c>
      <c r="AR2938" s="55" t="s">
        <v>1607</v>
      </c>
      <c r="AS2938" s="55" t="s">
        <v>132</v>
      </c>
      <c r="AU2938" s="181" t="s">
        <v>7494</v>
      </c>
      <c r="AV2938" s="185" t="s">
        <v>176</v>
      </c>
      <c r="AX2938" s="185" t="s">
        <v>176</v>
      </c>
      <c r="BK2938" s="55" t="s">
        <v>5976</v>
      </c>
      <c r="BM2938" s="192" t="s">
        <v>2702</v>
      </c>
      <c r="BN2938" s="55">
        <v>4</v>
      </c>
      <c r="BO2938" s="55">
        <v>4</v>
      </c>
      <c r="BQ2938" s="55" t="s">
        <v>141</v>
      </c>
      <c r="CB2938" s="66">
        <v>2490</v>
      </c>
      <c r="CC2938" s="66">
        <v>2921</v>
      </c>
      <c r="CE2938" s="65">
        <f>137*2</f>
        <v>274</v>
      </c>
      <c r="CF2938" s="65">
        <f>137*2</f>
        <v>274</v>
      </c>
      <c r="GP2938" s="292" t="s">
        <v>7494</v>
      </c>
    </row>
    <row r="2939" spans="1:198" x14ac:dyDescent="0.25">
      <c r="A2939" s="55">
        <v>2938</v>
      </c>
      <c r="B2939" s="12" t="s">
        <v>7067</v>
      </c>
      <c r="C2939" s="155">
        <v>141</v>
      </c>
      <c r="D2939" s="55" t="s">
        <v>4304</v>
      </c>
      <c r="E2939" s="90" t="s">
        <v>2919</v>
      </c>
      <c r="G2939" s="55" t="s">
        <v>2920</v>
      </c>
      <c r="H2939" s="55">
        <v>2004</v>
      </c>
      <c r="I2939" s="55">
        <v>1998</v>
      </c>
      <c r="J2939" s="55" t="s">
        <v>2921</v>
      </c>
      <c r="K2939" s="55" t="s">
        <v>2922</v>
      </c>
      <c r="L2939" s="55" t="s">
        <v>2752</v>
      </c>
      <c r="M2939" s="90">
        <f>4+26/60</f>
        <v>4.4333333333333336</v>
      </c>
      <c r="N2939" s="90">
        <f>11+40/60</f>
        <v>11.666666666666666</v>
      </c>
      <c r="O2939" s="90">
        <v>560</v>
      </c>
      <c r="Q2939" s="55">
        <v>26</v>
      </c>
      <c r="S2939" s="90">
        <v>1350</v>
      </c>
      <c r="U2939" s="55" t="s">
        <v>1816</v>
      </c>
      <c r="V2939" s="55" t="s">
        <v>1816</v>
      </c>
      <c r="Y2939" s="55" t="s">
        <v>2924</v>
      </c>
      <c r="Z2939" s="55" t="s">
        <v>1349</v>
      </c>
      <c r="AA2939" s="90" t="s">
        <v>1677</v>
      </c>
      <c r="AE2939" s="90">
        <v>30</v>
      </c>
      <c r="AF2939" s="90">
        <f>100-30-17.5</f>
        <v>52.5</v>
      </c>
      <c r="AH2939" s="55" t="s">
        <v>645</v>
      </c>
      <c r="AI2939" s="168">
        <v>5.25</v>
      </c>
      <c r="AJ2939" s="90">
        <v>1.7</v>
      </c>
      <c r="AM2939" s="55" t="s">
        <v>2923</v>
      </c>
      <c r="AN2939" s="185" t="s">
        <v>2926</v>
      </c>
      <c r="AO2939" s="185" t="s">
        <v>5150</v>
      </c>
      <c r="AQ2939" s="55" t="s">
        <v>553</v>
      </c>
      <c r="AR2939" s="55" t="s">
        <v>1607</v>
      </c>
      <c r="AS2939" s="55" t="s">
        <v>132</v>
      </c>
      <c r="AU2939" s="181" t="s">
        <v>7494</v>
      </c>
      <c r="AV2939" s="185" t="s">
        <v>176</v>
      </c>
      <c r="AX2939" s="185" t="s">
        <v>176</v>
      </c>
      <c r="BK2939" s="55" t="s">
        <v>5976</v>
      </c>
      <c r="BM2939" s="192" t="s">
        <v>2702</v>
      </c>
      <c r="BN2939" s="55">
        <v>4</v>
      </c>
      <c r="BO2939" s="55">
        <v>4</v>
      </c>
      <c r="BQ2939" s="55" t="s">
        <v>141</v>
      </c>
      <c r="CB2939" s="66">
        <v>2526</v>
      </c>
      <c r="CC2939" s="66">
        <v>3127</v>
      </c>
      <c r="CE2939" s="65">
        <f>137*2</f>
        <v>274</v>
      </c>
      <c r="CF2939" s="65">
        <f>137*2</f>
        <v>274</v>
      </c>
      <c r="CM2939" s="65">
        <v>1.43</v>
      </c>
      <c r="CN2939" s="65">
        <v>1.57</v>
      </c>
      <c r="CO2939" s="65">
        <f>0.06*2</f>
        <v>0.12</v>
      </c>
      <c r="CP2939" s="65">
        <f>0.06*2</f>
        <v>0.12</v>
      </c>
      <c r="CV2939" s="65" t="s">
        <v>3039</v>
      </c>
      <c r="DA2939" s="65" t="s">
        <v>4458</v>
      </c>
      <c r="DB2939" s="65">
        <v>0.11</v>
      </c>
      <c r="DC2939" s="65">
        <v>0.11</v>
      </c>
      <c r="DD2939" s="65">
        <v>0.06</v>
      </c>
      <c r="DE2939" s="65">
        <v>0.06</v>
      </c>
      <c r="DF2939" s="65" t="s">
        <v>164</v>
      </c>
      <c r="DG2939" s="65">
        <v>9.9</v>
      </c>
      <c r="DH2939" s="65">
        <v>9</v>
      </c>
      <c r="DI2939" s="65">
        <f>1.49*2</f>
        <v>2.98</v>
      </c>
      <c r="DJ2939" s="65">
        <f>1.49*2</f>
        <v>2.98</v>
      </c>
      <c r="DK2939" s="65" t="s">
        <v>2879</v>
      </c>
      <c r="DQ2939" s="165">
        <v>6.17</v>
      </c>
      <c r="DR2939" s="165">
        <v>6.07</v>
      </c>
      <c r="DS2939" s="162">
        <v>0.06</v>
      </c>
      <c r="DT2939" s="162">
        <v>0.06</v>
      </c>
      <c r="EF2939" s="65">
        <v>4.04</v>
      </c>
      <c r="EG2939" s="65">
        <v>3.82</v>
      </c>
      <c r="EH2939" s="65">
        <v>0.22</v>
      </c>
      <c r="EI2939" s="65">
        <v>0.22</v>
      </c>
      <c r="GP2939" s="292" t="s">
        <v>7494</v>
      </c>
    </row>
    <row r="2940" spans="1:198" x14ac:dyDescent="0.25">
      <c r="A2940" s="55">
        <v>2939</v>
      </c>
      <c r="B2940" s="12" t="s">
        <v>7067</v>
      </c>
      <c r="C2940" s="155">
        <v>141</v>
      </c>
      <c r="D2940" s="55" t="s">
        <v>4304</v>
      </c>
      <c r="E2940" s="90" t="s">
        <v>2919</v>
      </c>
      <c r="G2940" s="55" t="s">
        <v>2920</v>
      </c>
      <c r="H2940" s="55">
        <v>2004</v>
      </c>
      <c r="I2940" s="55">
        <v>1995</v>
      </c>
      <c r="J2940" s="55" t="s">
        <v>2921</v>
      </c>
      <c r="K2940" s="55" t="s">
        <v>2922</v>
      </c>
      <c r="L2940" s="55" t="s">
        <v>2752</v>
      </c>
      <c r="M2940" s="90">
        <f>4+26/60</f>
        <v>4.4333333333333336</v>
      </c>
      <c r="N2940" s="90">
        <f>11+40/60</f>
        <v>11.666666666666666</v>
      </c>
      <c r="O2940" s="90">
        <v>560</v>
      </c>
      <c r="Q2940" s="55">
        <v>26</v>
      </c>
      <c r="S2940" s="90">
        <v>1350</v>
      </c>
      <c r="U2940" s="55" t="s">
        <v>1935</v>
      </c>
      <c r="V2940" s="55" t="s">
        <v>1816</v>
      </c>
      <c r="Y2940" s="55" t="s">
        <v>2924</v>
      </c>
      <c r="Z2940" s="55" t="s">
        <v>1349</v>
      </c>
      <c r="AA2940" s="90" t="s">
        <v>1677</v>
      </c>
      <c r="AE2940" s="90">
        <v>30</v>
      </c>
      <c r="AF2940" s="90">
        <f>100-30-17.5</f>
        <v>52.5</v>
      </c>
      <c r="AH2940" s="55" t="s">
        <v>645</v>
      </c>
      <c r="AI2940" s="168">
        <v>5.25</v>
      </c>
      <c r="AJ2940" s="90">
        <v>1.7</v>
      </c>
      <c r="AM2940" s="55" t="s">
        <v>2923</v>
      </c>
      <c r="AN2940" s="185" t="s">
        <v>158</v>
      </c>
      <c r="AO2940" s="185" t="s">
        <v>5150</v>
      </c>
      <c r="AQ2940" s="55" t="s">
        <v>553</v>
      </c>
      <c r="AR2940" s="55" t="s">
        <v>1607</v>
      </c>
      <c r="AS2940" s="55" t="s">
        <v>132</v>
      </c>
      <c r="AU2940" s="181" t="s">
        <v>7494</v>
      </c>
      <c r="AV2940" s="185" t="s">
        <v>176</v>
      </c>
      <c r="AX2940" s="185" t="s">
        <v>176</v>
      </c>
      <c r="BK2940" s="55" t="s">
        <v>5976</v>
      </c>
      <c r="BM2940" s="192" t="s">
        <v>2702</v>
      </c>
      <c r="BN2940" s="55">
        <v>4</v>
      </c>
      <c r="BO2940" s="55">
        <v>4</v>
      </c>
      <c r="BQ2940" s="55" t="s">
        <v>141</v>
      </c>
      <c r="CB2940" s="66">
        <v>3310</v>
      </c>
      <c r="CC2940" s="66">
        <v>3428</v>
      </c>
      <c r="CE2940" s="65">
        <v>274</v>
      </c>
      <c r="CF2940" s="65">
        <v>274</v>
      </c>
      <c r="GP2940" s="292" t="s">
        <v>7494</v>
      </c>
    </row>
    <row r="2941" spans="1:198" x14ac:dyDescent="0.25">
      <c r="A2941" s="55">
        <v>2940</v>
      </c>
      <c r="B2941" s="12" t="s">
        <v>7067</v>
      </c>
      <c r="C2941" s="155">
        <v>141</v>
      </c>
      <c r="D2941" s="55" t="s">
        <v>4304</v>
      </c>
      <c r="E2941" s="90" t="s">
        <v>2919</v>
      </c>
      <c r="G2941" s="55" t="s">
        <v>2920</v>
      </c>
      <c r="H2941" s="55">
        <v>2004</v>
      </c>
      <c r="I2941" s="55">
        <v>1996</v>
      </c>
      <c r="J2941" s="55" t="s">
        <v>2921</v>
      </c>
      <c r="K2941" s="55" t="s">
        <v>2922</v>
      </c>
      <c r="L2941" s="55" t="s">
        <v>2752</v>
      </c>
      <c r="M2941" s="90">
        <f>4+26/60</f>
        <v>4.4333333333333336</v>
      </c>
      <c r="N2941" s="90">
        <f>11+40/60</f>
        <v>11.666666666666666</v>
      </c>
      <c r="O2941" s="90">
        <v>560</v>
      </c>
      <c r="Q2941" s="55">
        <v>26</v>
      </c>
      <c r="S2941" s="90">
        <v>1350</v>
      </c>
      <c r="U2941" s="55" t="s">
        <v>1805</v>
      </c>
      <c r="V2941" s="55" t="s">
        <v>1816</v>
      </c>
      <c r="Y2941" s="55" t="s">
        <v>2924</v>
      </c>
      <c r="Z2941" s="55" t="s">
        <v>1349</v>
      </c>
      <c r="AA2941" s="90" t="s">
        <v>1677</v>
      </c>
      <c r="AE2941" s="90">
        <v>30</v>
      </c>
      <c r="AF2941" s="90">
        <f>100-30-17.5</f>
        <v>52.5</v>
      </c>
      <c r="AH2941" s="55" t="s">
        <v>645</v>
      </c>
      <c r="AI2941" s="168">
        <v>5.25</v>
      </c>
      <c r="AJ2941" s="90">
        <v>1.7</v>
      </c>
      <c r="AM2941" s="55" t="s">
        <v>2923</v>
      </c>
      <c r="AN2941" s="185" t="s">
        <v>158</v>
      </c>
      <c r="AO2941" s="185" t="s">
        <v>5150</v>
      </c>
      <c r="AQ2941" s="55" t="s">
        <v>553</v>
      </c>
      <c r="AR2941" s="55" t="s">
        <v>1607</v>
      </c>
      <c r="AS2941" s="55" t="s">
        <v>132</v>
      </c>
      <c r="AU2941" s="181" t="s">
        <v>7494</v>
      </c>
      <c r="AV2941" s="185" t="s">
        <v>176</v>
      </c>
      <c r="AX2941" s="185" t="s">
        <v>176</v>
      </c>
      <c r="BK2941" s="55" t="s">
        <v>5976</v>
      </c>
      <c r="BM2941" s="192" t="s">
        <v>2702</v>
      </c>
      <c r="BN2941" s="55">
        <v>4</v>
      </c>
      <c r="BO2941" s="55">
        <v>4</v>
      </c>
      <c r="BQ2941" s="55" t="s">
        <v>141</v>
      </c>
      <c r="CB2941" s="66">
        <v>2355</v>
      </c>
      <c r="CC2941" s="66">
        <v>2153</v>
      </c>
      <c r="CE2941" s="65">
        <v>274</v>
      </c>
      <c r="CF2941" s="65">
        <v>274</v>
      </c>
      <c r="GP2941" s="292" t="s">
        <v>7494</v>
      </c>
    </row>
    <row r="2942" spans="1:198" x14ac:dyDescent="0.25">
      <c r="A2942" s="55">
        <v>2941</v>
      </c>
      <c r="B2942" s="12" t="s">
        <v>7067</v>
      </c>
      <c r="C2942" s="155">
        <v>141</v>
      </c>
      <c r="D2942" s="55" t="s">
        <v>4304</v>
      </c>
      <c r="E2942" s="90" t="s">
        <v>2919</v>
      </c>
      <c r="G2942" s="55" t="s">
        <v>2920</v>
      </c>
      <c r="H2942" s="55">
        <v>2004</v>
      </c>
      <c r="I2942" s="55">
        <v>1997</v>
      </c>
      <c r="J2942" s="55" t="s">
        <v>2921</v>
      </c>
      <c r="K2942" s="55" t="s">
        <v>2922</v>
      </c>
      <c r="L2942" s="55" t="s">
        <v>2752</v>
      </c>
      <c r="M2942" s="90">
        <f>4+26/60</f>
        <v>4.4333333333333336</v>
      </c>
      <c r="N2942" s="90">
        <f>11+40/60</f>
        <v>11.666666666666666</v>
      </c>
      <c r="O2942" s="90">
        <v>560</v>
      </c>
      <c r="Q2942" s="55">
        <v>26</v>
      </c>
      <c r="S2942" s="90">
        <v>1350</v>
      </c>
      <c r="U2942" s="55" t="s">
        <v>1688</v>
      </c>
      <c r="V2942" s="55" t="s">
        <v>1816</v>
      </c>
      <c r="Y2942" s="55" t="s">
        <v>2924</v>
      </c>
      <c r="Z2942" s="55" t="s">
        <v>1349</v>
      </c>
      <c r="AA2942" s="90" t="s">
        <v>1677</v>
      </c>
      <c r="AE2942" s="90">
        <v>30</v>
      </c>
      <c r="AF2942" s="90">
        <f>100-30-17.5</f>
        <v>52.5</v>
      </c>
      <c r="AH2942" s="55" t="s">
        <v>645</v>
      </c>
      <c r="AI2942" s="168">
        <v>5.25</v>
      </c>
      <c r="AJ2942" s="90">
        <v>1.7</v>
      </c>
      <c r="AM2942" s="55" t="s">
        <v>2923</v>
      </c>
      <c r="AN2942" s="185" t="s">
        <v>158</v>
      </c>
      <c r="AO2942" s="185" t="s">
        <v>5150</v>
      </c>
      <c r="AQ2942" s="55" t="s">
        <v>553</v>
      </c>
      <c r="AR2942" s="55" t="s">
        <v>1607</v>
      </c>
      <c r="AS2942" s="55" t="s">
        <v>132</v>
      </c>
      <c r="AU2942" s="181" t="s">
        <v>7494</v>
      </c>
      <c r="AV2942" s="185" t="s">
        <v>176</v>
      </c>
      <c r="AX2942" s="185" t="s">
        <v>176</v>
      </c>
      <c r="BK2942" s="55" t="s">
        <v>5976</v>
      </c>
      <c r="BM2942" s="192" t="s">
        <v>2702</v>
      </c>
      <c r="BN2942" s="55">
        <v>4</v>
      </c>
      <c r="BO2942" s="55">
        <v>4</v>
      </c>
      <c r="BQ2942" s="55" t="s">
        <v>141</v>
      </c>
      <c r="CB2942" s="66">
        <v>2490</v>
      </c>
      <c r="CC2942" s="66">
        <v>2133</v>
      </c>
      <c r="CE2942" s="65">
        <v>274</v>
      </c>
      <c r="CF2942" s="65">
        <v>274</v>
      </c>
      <c r="GP2942" s="292" t="s">
        <v>7494</v>
      </c>
    </row>
    <row r="2943" spans="1:198" x14ac:dyDescent="0.25">
      <c r="A2943" s="55">
        <v>2942</v>
      </c>
      <c r="B2943" s="12" t="s">
        <v>7067</v>
      </c>
      <c r="C2943" s="155">
        <v>141</v>
      </c>
      <c r="D2943" s="55" t="s">
        <v>4304</v>
      </c>
      <c r="E2943" s="90" t="s">
        <v>2919</v>
      </c>
      <c r="G2943" s="55" t="s">
        <v>2920</v>
      </c>
      <c r="H2943" s="55">
        <v>2004</v>
      </c>
      <c r="I2943" s="55">
        <v>1998</v>
      </c>
      <c r="J2943" s="55" t="s">
        <v>2921</v>
      </c>
      <c r="K2943" s="55" t="s">
        <v>2922</v>
      </c>
      <c r="L2943" s="55" t="s">
        <v>2752</v>
      </c>
      <c r="M2943" s="90">
        <f>4+26/60</f>
        <v>4.4333333333333336</v>
      </c>
      <c r="N2943" s="90">
        <f>11+40/60</f>
        <v>11.666666666666666</v>
      </c>
      <c r="O2943" s="90">
        <v>560</v>
      </c>
      <c r="Q2943" s="55">
        <v>26</v>
      </c>
      <c r="S2943" s="90">
        <v>1350</v>
      </c>
      <c r="U2943" s="55" t="s">
        <v>1816</v>
      </c>
      <c r="V2943" s="55" t="s">
        <v>1816</v>
      </c>
      <c r="Y2943" s="55" t="s">
        <v>2924</v>
      </c>
      <c r="Z2943" s="55" t="s">
        <v>1349</v>
      </c>
      <c r="AA2943" s="90" t="s">
        <v>1677</v>
      </c>
      <c r="AE2943" s="90">
        <v>30</v>
      </c>
      <c r="AF2943" s="90">
        <f>100-30-17.5</f>
        <v>52.5</v>
      </c>
      <c r="AH2943" s="55" t="s">
        <v>645</v>
      </c>
      <c r="AI2943" s="168">
        <v>5.25</v>
      </c>
      <c r="AJ2943" s="90">
        <v>1.7</v>
      </c>
      <c r="AM2943" s="55" t="s">
        <v>2923</v>
      </c>
      <c r="AN2943" s="185" t="s">
        <v>158</v>
      </c>
      <c r="AO2943" s="185" t="s">
        <v>5150</v>
      </c>
      <c r="AQ2943" s="55" t="s">
        <v>553</v>
      </c>
      <c r="AR2943" s="55" t="s">
        <v>1607</v>
      </c>
      <c r="AS2943" s="55" t="s">
        <v>132</v>
      </c>
      <c r="AU2943" s="181" t="s">
        <v>7494</v>
      </c>
      <c r="AV2943" s="185" t="s">
        <v>176</v>
      </c>
      <c r="AX2943" s="185" t="s">
        <v>176</v>
      </c>
      <c r="BK2943" s="55" t="s">
        <v>5976</v>
      </c>
      <c r="BM2943" s="192" t="s">
        <v>2702</v>
      </c>
      <c r="BN2943" s="55">
        <v>4</v>
      </c>
      <c r="BO2943" s="55">
        <v>4</v>
      </c>
      <c r="BQ2943" s="55" t="s">
        <v>141</v>
      </c>
      <c r="CB2943" s="66">
        <v>2526</v>
      </c>
      <c r="CC2943" s="66">
        <v>1782</v>
      </c>
      <c r="CE2943" s="65">
        <v>274</v>
      </c>
      <c r="CF2943" s="65">
        <v>274</v>
      </c>
      <c r="CM2943" s="65">
        <v>1.43</v>
      </c>
      <c r="CN2943" s="65">
        <v>1.48</v>
      </c>
      <c r="CO2943" s="65">
        <v>0.12</v>
      </c>
      <c r="CP2943" s="65">
        <v>0.12</v>
      </c>
      <c r="CV2943" s="65" t="s">
        <v>3039</v>
      </c>
      <c r="DA2943" s="65" t="s">
        <v>4458</v>
      </c>
      <c r="DB2943" s="65">
        <v>0.11</v>
      </c>
      <c r="DC2943" s="65">
        <v>0.15</v>
      </c>
      <c r="DD2943" s="65">
        <v>0.06</v>
      </c>
      <c r="DE2943" s="65">
        <v>0.06</v>
      </c>
      <c r="DF2943" s="65" t="s">
        <v>164</v>
      </c>
      <c r="DG2943" s="65">
        <v>9.9</v>
      </c>
      <c r="DH2943" s="65">
        <v>12.4</v>
      </c>
      <c r="DI2943" s="65">
        <f>1.49*2</f>
        <v>2.98</v>
      </c>
      <c r="DJ2943" s="65">
        <f>1.49*2</f>
        <v>2.98</v>
      </c>
      <c r="DK2943" s="65" t="s">
        <v>2879</v>
      </c>
      <c r="DQ2943" s="165">
        <v>6.17</v>
      </c>
      <c r="DR2943" s="165">
        <v>6.09</v>
      </c>
      <c r="DS2943" s="162">
        <v>0.06</v>
      </c>
      <c r="DT2943" s="162">
        <v>0.06</v>
      </c>
      <c r="EF2943" s="65">
        <v>4.04</v>
      </c>
      <c r="EG2943" s="65">
        <v>3.38</v>
      </c>
      <c r="EH2943" s="65">
        <v>0.22</v>
      </c>
      <c r="EI2943" s="65">
        <v>0.22</v>
      </c>
      <c r="GP2943" s="292" t="s">
        <v>7494</v>
      </c>
    </row>
    <row r="2944" spans="1:198" x14ac:dyDescent="0.25">
      <c r="A2944" s="55">
        <v>2943</v>
      </c>
      <c r="B2944" s="12" t="s">
        <v>7067</v>
      </c>
      <c r="C2944" s="155">
        <v>142</v>
      </c>
      <c r="D2944" s="55" t="s">
        <v>4305</v>
      </c>
      <c r="E2944" s="90" t="s">
        <v>2927</v>
      </c>
      <c r="G2944" s="55" t="s">
        <v>2928</v>
      </c>
      <c r="H2944" s="55">
        <v>2004</v>
      </c>
      <c r="I2944" s="55">
        <v>2000</v>
      </c>
      <c r="J2944" s="55" t="s">
        <v>2660</v>
      </c>
      <c r="K2944" s="55" t="s">
        <v>2929</v>
      </c>
      <c r="L2944" s="55" t="s">
        <v>2777</v>
      </c>
      <c r="M2944" s="90">
        <f>1+12/60</f>
        <v>1.2</v>
      </c>
      <c r="N2944" s="90">
        <f>33+47/60</f>
        <v>33.783333333333331</v>
      </c>
      <c r="O2944" s="90">
        <v>1132</v>
      </c>
      <c r="U2944" s="55" t="s">
        <v>1935</v>
      </c>
      <c r="V2944" s="55" t="s">
        <v>1805</v>
      </c>
      <c r="Y2944" s="55" t="s">
        <v>2779</v>
      </c>
      <c r="Z2944" s="55" t="s">
        <v>1349</v>
      </c>
      <c r="AA2944" s="90" t="s">
        <v>1677</v>
      </c>
      <c r="AE2944" s="90">
        <v>60</v>
      </c>
      <c r="AF2944" s="90">
        <v>12</v>
      </c>
      <c r="AH2944" s="55" t="s">
        <v>494</v>
      </c>
      <c r="AI2944" s="168">
        <v>4.8</v>
      </c>
      <c r="AJ2944" s="90">
        <v>2.1</v>
      </c>
      <c r="AM2944" s="55" t="s">
        <v>2931</v>
      </c>
      <c r="AN2944" s="185" t="s">
        <v>2664</v>
      </c>
      <c r="AO2944" s="185" t="s">
        <v>5150</v>
      </c>
      <c r="AQ2944" s="55" t="s">
        <v>553</v>
      </c>
      <c r="AR2944" s="55" t="s">
        <v>1607</v>
      </c>
      <c r="AS2944" s="55" t="s">
        <v>132</v>
      </c>
      <c r="AU2944" s="181" t="s">
        <v>7494</v>
      </c>
      <c r="AV2944" s="185" t="s">
        <v>176</v>
      </c>
      <c r="AX2944" s="185" t="s">
        <v>176</v>
      </c>
      <c r="BE2944" s="226" t="s">
        <v>2932</v>
      </c>
      <c r="BG2944" s="191" t="s">
        <v>176</v>
      </c>
      <c r="BH2944" s="226" t="s">
        <v>2932</v>
      </c>
      <c r="BI2944" s="191" t="s">
        <v>176</v>
      </c>
      <c r="BJ2944" s="55" t="s">
        <v>176</v>
      </c>
      <c r="BK2944" s="55" t="s">
        <v>5976</v>
      </c>
      <c r="BM2944" s="192" t="s">
        <v>2702</v>
      </c>
      <c r="BN2944" s="55">
        <v>3</v>
      </c>
      <c r="BO2944" s="55">
        <v>3</v>
      </c>
      <c r="BP2944" s="55">
        <v>3</v>
      </c>
      <c r="BQ2944" s="55" t="s">
        <v>141</v>
      </c>
      <c r="BS2944" s="55">
        <v>10600</v>
      </c>
      <c r="BW2944" s="65">
        <v>1400</v>
      </c>
      <c r="BX2944" s="65">
        <v>1100</v>
      </c>
      <c r="CB2944" s="66">
        <v>3000</v>
      </c>
      <c r="CC2944" s="66">
        <v>1300</v>
      </c>
      <c r="GP2944" s="292" t="s">
        <v>7494</v>
      </c>
    </row>
    <row r="2945" spans="1:198" x14ac:dyDescent="0.25">
      <c r="A2945" s="55">
        <v>2944</v>
      </c>
      <c r="B2945" s="12" t="s">
        <v>7067</v>
      </c>
      <c r="C2945" s="155">
        <v>142</v>
      </c>
      <c r="D2945" s="55" t="s">
        <v>4305</v>
      </c>
      <c r="E2945" s="90" t="s">
        <v>2927</v>
      </c>
      <c r="G2945" s="55" t="s">
        <v>2928</v>
      </c>
      <c r="H2945" s="55">
        <v>2004</v>
      </c>
      <c r="I2945" s="55">
        <v>2001</v>
      </c>
      <c r="J2945" s="55" t="s">
        <v>2660</v>
      </c>
      <c r="K2945" s="55" t="s">
        <v>2929</v>
      </c>
      <c r="L2945" s="55" t="s">
        <v>2777</v>
      </c>
      <c r="M2945" s="90">
        <f>1+12/60</f>
        <v>1.2</v>
      </c>
      <c r="N2945" s="90">
        <f>33+47/60</f>
        <v>33.783333333333331</v>
      </c>
      <c r="O2945" s="90">
        <v>1132</v>
      </c>
      <c r="U2945" s="55" t="s">
        <v>1805</v>
      </c>
      <c r="V2945" s="55" t="s">
        <v>1805</v>
      </c>
      <c r="Y2945" s="55" t="s">
        <v>2779</v>
      </c>
      <c r="Z2945" s="55" t="s">
        <v>1349</v>
      </c>
      <c r="AA2945" s="90" t="s">
        <v>1677</v>
      </c>
      <c r="AE2945" s="90">
        <v>60</v>
      </c>
      <c r="AF2945" s="90">
        <v>12</v>
      </c>
      <c r="AH2945" s="55" t="s">
        <v>494</v>
      </c>
      <c r="AI2945" s="168">
        <v>4.8</v>
      </c>
      <c r="AJ2945" s="90">
        <v>2.1</v>
      </c>
      <c r="AM2945" s="55" t="s">
        <v>2931</v>
      </c>
      <c r="AN2945" s="185" t="s">
        <v>2664</v>
      </c>
      <c r="AO2945" s="185" t="s">
        <v>5150</v>
      </c>
      <c r="AQ2945" s="55" t="s">
        <v>553</v>
      </c>
      <c r="AR2945" s="55" t="s">
        <v>1607</v>
      </c>
      <c r="AS2945" s="55" t="s">
        <v>132</v>
      </c>
      <c r="AU2945" s="181" t="s">
        <v>7494</v>
      </c>
      <c r="AV2945" s="185" t="s">
        <v>176</v>
      </c>
      <c r="AX2945" s="185" t="s">
        <v>176</v>
      </c>
      <c r="BE2945" s="226" t="s">
        <v>2932</v>
      </c>
      <c r="BG2945" s="191" t="s">
        <v>176</v>
      </c>
      <c r="BH2945" s="226" t="s">
        <v>2932</v>
      </c>
      <c r="BI2945" s="191" t="s">
        <v>176</v>
      </c>
      <c r="BJ2945" s="55" t="s">
        <v>176</v>
      </c>
      <c r="BK2945" s="55" t="s">
        <v>5976</v>
      </c>
      <c r="BM2945" s="192" t="s">
        <v>2702</v>
      </c>
      <c r="BN2945" s="55">
        <v>3</v>
      </c>
      <c r="BO2945" s="55">
        <v>3</v>
      </c>
      <c r="BP2945" s="55">
        <v>3</v>
      </c>
      <c r="BQ2945" s="55" t="s">
        <v>141</v>
      </c>
      <c r="BS2945" s="55">
        <v>10600</v>
      </c>
      <c r="BW2945" s="65">
        <v>1200</v>
      </c>
      <c r="BX2945" s="65">
        <v>1800</v>
      </c>
      <c r="CB2945" s="66">
        <v>800</v>
      </c>
      <c r="CC2945" s="66">
        <v>1500</v>
      </c>
      <c r="GP2945" s="292" t="s">
        <v>7494</v>
      </c>
    </row>
    <row r="2946" spans="1:198" x14ac:dyDescent="0.25">
      <c r="A2946" s="55">
        <v>2945</v>
      </c>
      <c r="B2946" s="12" t="s">
        <v>7067</v>
      </c>
      <c r="C2946" s="155">
        <v>142</v>
      </c>
      <c r="D2946" s="55" t="s">
        <v>4305</v>
      </c>
      <c r="E2946" s="90" t="s">
        <v>2927</v>
      </c>
      <c r="G2946" s="55" t="s">
        <v>2928</v>
      </c>
      <c r="H2946" s="55">
        <v>2004</v>
      </c>
      <c r="I2946" s="55">
        <v>2000</v>
      </c>
      <c r="J2946" s="55" t="s">
        <v>2660</v>
      </c>
      <c r="K2946" s="55" t="s">
        <v>2930</v>
      </c>
      <c r="L2946" s="55" t="s">
        <v>2777</v>
      </c>
      <c r="M2946" s="90">
        <f>1+18/60</f>
        <v>1.3</v>
      </c>
      <c r="N2946" s="90">
        <f>34+20/60</f>
        <v>34.333333333333336</v>
      </c>
      <c r="O2946" s="90">
        <v>1430</v>
      </c>
      <c r="U2946" s="55" t="s">
        <v>1935</v>
      </c>
      <c r="V2946" s="55" t="s">
        <v>1805</v>
      </c>
      <c r="Y2946" s="55" t="s">
        <v>2779</v>
      </c>
      <c r="Z2946" s="55" t="s">
        <v>1349</v>
      </c>
      <c r="AA2946" s="90" t="s">
        <v>1677</v>
      </c>
      <c r="AE2946" s="90">
        <v>16</v>
      </c>
      <c r="AF2946" s="90">
        <v>26</v>
      </c>
      <c r="AH2946" s="55" t="s">
        <v>769</v>
      </c>
      <c r="AI2946" s="168">
        <v>5.6</v>
      </c>
      <c r="AJ2946" s="90">
        <v>5.6</v>
      </c>
      <c r="AM2946" s="55" t="s">
        <v>2561</v>
      </c>
      <c r="AN2946" s="185" t="s">
        <v>2664</v>
      </c>
      <c r="AO2946" s="185" t="s">
        <v>5150</v>
      </c>
      <c r="AQ2946" s="55" t="s">
        <v>553</v>
      </c>
      <c r="AR2946" s="55" t="s">
        <v>1607</v>
      </c>
      <c r="AS2946" s="55" t="s">
        <v>132</v>
      </c>
      <c r="AU2946" s="181" t="s">
        <v>7494</v>
      </c>
      <c r="AV2946" s="185" t="s">
        <v>176</v>
      </c>
      <c r="AX2946" s="185" t="s">
        <v>176</v>
      </c>
      <c r="BE2946" s="226" t="s">
        <v>2932</v>
      </c>
      <c r="BG2946" s="191" t="s">
        <v>176</v>
      </c>
      <c r="BH2946" s="226" t="s">
        <v>2932</v>
      </c>
      <c r="BI2946" s="191" t="s">
        <v>176</v>
      </c>
      <c r="BJ2946" s="55" t="s">
        <v>176</v>
      </c>
      <c r="BK2946" s="55" t="s">
        <v>5976</v>
      </c>
      <c r="BM2946" s="192" t="s">
        <v>2702</v>
      </c>
      <c r="BN2946" s="55">
        <v>4</v>
      </c>
      <c r="BO2946" s="55">
        <v>4</v>
      </c>
      <c r="BP2946" s="55">
        <v>3</v>
      </c>
      <c r="BQ2946" s="55" t="s">
        <v>141</v>
      </c>
      <c r="BS2946" s="55">
        <v>7900</v>
      </c>
      <c r="BW2946" s="65">
        <v>3800</v>
      </c>
      <c r="BX2946" s="65">
        <v>1700</v>
      </c>
      <c r="CA2946" s="65" t="s">
        <v>2933</v>
      </c>
      <c r="CB2946" s="66">
        <v>900</v>
      </c>
      <c r="CC2946" s="66">
        <v>700</v>
      </c>
      <c r="GP2946" s="292" t="s">
        <v>7494</v>
      </c>
    </row>
    <row r="2947" spans="1:198" x14ac:dyDescent="0.25">
      <c r="A2947" s="55">
        <v>2946</v>
      </c>
      <c r="B2947" s="12" t="s">
        <v>7067</v>
      </c>
      <c r="C2947" s="155">
        <v>142</v>
      </c>
      <c r="D2947" s="55" t="s">
        <v>4305</v>
      </c>
      <c r="E2947" s="90" t="s">
        <v>2927</v>
      </c>
      <c r="G2947" s="55" t="s">
        <v>2928</v>
      </c>
      <c r="H2947" s="55">
        <v>2004</v>
      </c>
      <c r="I2947" s="55">
        <v>2001</v>
      </c>
      <c r="J2947" s="55" t="s">
        <v>2660</v>
      </c>
      <c r="K2947" s="55" t="s">
        <v>2930</v>
      </c>
      <c r="L2947" s="55" t="s">
        <v>2777</v>
      </c>
      <c r="M2947" s="90">
        <f>1+18/60</f>
        <v>1.3</v>
      </c>
      <c r="N2947" s="90">
        <f>34+20/60</f>
        <v>34.333333333333336</v>
      </c>
      <c r="O2947" s="90">
        <v>1430</v>
      </c>
      <c r="U2947" s="55" t="s">
        <v>1805</v>
      </c>
      <c r="V2947" s="55" t="s">
        <v>1805</v>
      </c>
      <c r="Y2947" s="55" t="s">
        <v>2779</v>
      </c>
      <c r="Z2947" s="55" t="s">
        <v>1349</v>
      </c>
      <c r="AA2947" s="90" t="s">
        <v>1677</v>
      </c>
      <c r="AE2947" s="90">
        <v>16</v>
      </c>
      <c r="AF2947" s="90">
        <v>26</v>
      </c>
      <c r="AH2947" s="55" t="s">
        <v>769</v>
      </c>
      <c r="AI2947" s="168">
        <v>5.6</v>
      </c>
      <c r="AJ2947" s="90">
        <v>5.6</v>
      </c>
      <c r="AM2947" s="55" t="s">
        <v>2561</v>
      </c>
      <c r="AN2947" s="185" t="s">
        <v>2664</v>
      </c>
      <c r="AO2947" s="185" t="s">
        <v>5150</v>
      </c>
      <c r="AQ2947" s="55" t="s">
        <v>553</v>
      </c>
      <c r="AR2947" s="55" t="s">
        <v>1607</v>
      </c>
      <c r="AS2947" s="55" t="s">
        <v>132</v>
      </c>
      <c r="AU2947" s="181" t="s">
        <v>7494</v>
      </c>
      <c r="AV2947" s="185" t="s">
        <v>176</v>
      </c>
      <c r="AX2947" s="185" t="s">
        <v>176</v>
      </c>
      <c r="BE2947" s="226" t="s">
        <v>2932</v>
      </c>
      <c r="BG2947" s="191" t="s">
        <v>176</v>
      </c>
      <c r="BH2947" s="226" t="s">
        <v>2932</v>
      </c>
      <c r="BI2947" s="191" t="s">
        <v>176</v>
      </c>
      <c r="BJ2947" s="55" t="s">
        <v>176</v>
      </c>
      <c r="BK2947" s="55" t="s">
        <v>5976</v>
      </c>
      <c r="BM2947" s="192" t="s">
        <v>2702</v>
      </c>
      <c r="BN2947" s="55">
        <v>4</v>
      </c>
      <c r="BO2947" s="55">
        <v>4</v>
      </c>
      <c r="BP2947" s="55">
        <v>3</v>
      </c>
      <c r="BQ2947" s="55" t="s">
        <v>141</v>
      </c>
      <c r="BS2947" s="55">
        <v>7900</v>
      </c>
      <c r="BW2947" s="65">
        <v>5300</v>
      </c>
      <c r="BX2947" s="65">
        <v>13400</v>
      </c>
      <c r="CA2947" s="65" t="s">
        <v>2933</v>
      </c>
      <c r="CB2947" s="66">
        <v>4500</v>
      </c>
      <c r="CC2947" s="66">
        <v>8000</v>
      </c>
      <c r="GP2947" s="292" t="s">
        <v>7494</v>
      </c>
    </row>
    <row r="2948" spans="1:198" x14ac:dyDescent="0.25">
      <c r="A2948" s="55">
        <v>2947</v>
      </c>
      <c r="B2948" s="12" t="s">
        <v>7067</v>
      </c>
      <c r="C2948" s="155">
        <v>143</v>
      </c>
      <c r="D2948" s="55" t="s">
        <v>4306</v>
      </c>
      <c r="E2948" s="90" t="s">
        <v>2934</v>
      </c>
      <c r="G2948" s="55" t="s">
        <v>2935</v>
      </c>
      <c r="H2948" s="55">
        <v>1999</v>
      </c>
      <c r="I2948" s="55">
        <v>1998</v>
      </c>
      <c r="J2948" s="55" t="s">
        <v>2936</v>
      </c>
      <c r="K2948" s="55" t="s">
        <v>2937</v>
      </c>
      <c r="L2948" s="55" t="s">
        <v>2748</v>
      </c>
      <c r="M2948" s="90">
        <f>-15-18.5/60</f>
        <v>-15.308333333333334</v>
      </c>
      <c r="N2948" s="90">
        <f>35+23.5/60</f>
        <v>35.391666666666666</v>
      </c>
      <c r="O2948" s="90">
        <v>785</v>
      </c>
      <c r="S2948" s="90">
        <v>1150</v>
      </c>
      <c r="U2948" s="55" t="s">
        <v>1805</v>
      </c>
      <c r="V2948" s="55" t="s">
        <v>1816</v>
      </c>
      <c r="Y2948" s="55" t="s">
        <v>1971</v>
      </c>
      <c r="AI2948" s="168">
        <f>(5.3+6.5)/2</f>
        <v>5.9</v>
      </c>
      <c r="AM2948" s="55" t="s">
        <v>2938</v>
      </c>
      <c r="AN2948" s="185" t="s">
        <v>2692</v>
      </c>
      <c r="AO2948" s="185" t="s">
        <v>5150</v>
      </c>
      <c r="AQ2948" s="55" t="s">
        <v>553</v>
      </c>
      <c r="AR2948" s="55" t="s">
        <v>1607</v>
      </c>
      <c r="AS2948" s="55" t="s">
        <v>132</v>
      </c>
      <c r="AU2948" s="181" t="s">
        <v>7494</v>
      </c>
      <c r="AV2948" s="185" t="s">
        <v>176</v>
      </c>
      <c r="AX2948" s="185" t="s">
        <v>176</v>
      </c>
      <c r="BK2948" s="55" t="s">
        <v>5976</v>
      </c>
      <c r="BN2948" s="55">
        <v>2</v>
      </c>
      <c r="BO2948" s="55">
        <v>2</v>
      </c>
      <c r="BQ2948" s="55" t="s">
        <v>2875</v>
      </c>
      <c r="BS2948" s="55">
        <v>2217</v>
      </c>
      <c r="BW2948" s="65">
        <v>1546</v>
      </c>
      <c r="BX2948" s="65">
        <v>1714</v>
      </c>
      <c r="CA2948" s="65" t="s">
        <v>2939</v>
      </c>
      <c r="CB2948" s="66">
        <v>2032</v>
      </c>
      <c r="CC2948" s="66">
        <v>2937</v>
      </c>
      <c r="CG2948" s="65" t="s">
        <v>2940</v>
      </c>
      <c r="GP2948" s="292" t="s">
        <v>7494</v>
      </c>
    </row>
    <row r="2949" spans="1:198" x14ac:dyDescent="0.25">
      <c r="A2949" s="55">
        <v>2948</v>
      </c>
      <c r="B2949" s="12" t="s">
        <v>7067</v>
      </c>
      <c r="C2949" s="155">
        <v>143</v>
      </c>
      <c r="D2949" s="55" t="s">
        <v>4306</v>
      </c>
      <c r="E2949" s="90" t="s">
        <v>2934</v>
      </c>
      <c r="G2949" s="55" t="s">
        <v>2935</v>
      </c>
      <c r="H2949" s="55">
        <v>1999</v>
      </c>
      <c r="I2949" s="55">
        <v>1998</v>
      </c>
      <c r="J2949" s="55" t="s">
        <v>2936</v>
      </c>
      <c r="K2949" s="55" t="s">
        <v>2937</v>
      </c>
      <c r="L2949" s="55" t="s">
        <v>2748</v>
      </c>
      <c r="M2949" s="90">
        <f>-15-18.5/60</f>
        <v>-15.308333333333334</v>
      </c>
      <c r="N2949" s="90">
        <f>35+23.5/60</f>
        <v>35.391666666666666</v>
      </c>
      <c r="O2949" s="90">
        <v>785</v>
      </c>
      <c r="S2949" s="90">
        <v>1150</v>
      </c>
      <c r="U2949" s="55" t="s">
        <v>1805</v>
      </c>
      <c r="V2949" s="55" t="s">
        <v>1816</v>
      </c>
      <c r="Y2949" s="55" t="s">
        <v>1971</v>
      </c>
      <c r="AI2949" s="168">
        <f>(5.3+6.5)/2</f>
        <v>5.9</v>
      </c>
      <c r="AM2949" s="55" t="s">
        <v>2938</v>
      </c>
      <c r="AN2949" s="185" t="s">
        <v>2773</v>
      </c>
      <c r="AO2949" s="185" t="s">
        <v>5150</v>
      </c>
      <c r="AQ2949" s="55" t="s">
        <v>553</v>
      </c>
      <c r="AR2949" s="55" t="s">
        <v>1607</v>
      </c>
      <c r="AS2949" s="55" t="s">
        <v>132</v>
      </c>
      <c r="AU2949" s="181" t="s">
        <v>7494</v>
      </c>
      <c r="AV2949" s="185" t="s">
        <v>176</v>
      </c>
      <c r="AX2949" s="185" t="s">
        <v>176</v>
      </c>
      <c r="BK2949" s="55" t="s">
        <v>5976</v>
      </c>
      <c r="BN2949" s="55">
        <v>2</v>
      </c>
      <c r="BO2949" s="55">
        <v>2</v>
      </c>
      <c r="BQ2949" s="55" t="s">
        <v>2875</v>
      </c>
      <c r="BS2949" s="55">
        <v>850</v>
      </c>
      <c r="BW2949" s="65">
        <v>1546</v>
      </c>
      <c r="BX2949" s="65">
        <v>1537</v>
      </c>
      <c r="CA2949" s="65" t="s">
        <v>2939</v>
      </c>
      <c r="CB2949" s="66">
        <v>2032</v>
      </c>
      <c r="CC2949" s="66">
        <v>2952</v>
      </c>
      <c r="CG2949" s="65" t="s">
        <v>2940</v>
      </c>
      <c r="GP2949" s="292" t="s">
        <v>7494</v>
      </c>
    </row>
    <row r="2950" spans="1:198" x14ac:dyDescent="0.25">
      <c r="A2950" s="55">
        <v>2949</v>
      </c>
      <c r="B2950" s="12" t="s">
        <v>7067</v>
      </c>
      <c r="C2950" s="155">
        <v>143</v>
      </c>
      <c r="D2950" s="55" t="s">
        <v>4306</v>
      </c>
      <c r="E2950" s="90" t="s">
        <v>2934</v>
      </c>
      <c r="G2950" s="55" t="s">
        <v>2935</v>
      </c>
      <c r="H2950" s="55">
        <v>1999</v>
      </c>
      <c r="I2950" s="55">
        <v>1998</v>
      </c>
      <c r="J2950" s="55" t="s">
        <v>2936</v>
      </c>
      <c r="K2950" s="55" t="s">
        <v>2937</v>
      </c>
      <c r="L2950" s="55" t="s">
        <v>2748</v>
      </c>
      <c r="M2950" s="90">
        <f>-15-18.5/60</f>
        <v>-15.308333333333334</v>
      </c>
      <c r="N2950" s="90">
        <f>35+23.5/60</f>
        <v>35.391666666666666</v>
      </c>
      <c r="O2950" s="90">
        <v>785</v>
      </c>
      <c r="S2950" s="90">
        <v>1150</v>
      </c>
      <c r="U2950" s="55" t="s">
        <v>1805</v>
      </c>
      <c r="V2950" s="55" t="s">
        <v>1816</v>
      </c>
      <c r="Y2950" s="55" t="s">
        <v>1971</v>
      </c>
      <c r="AI2950" s="168">
        <f>(5.3+6.5)/2</f>
        <v>5.9</v>
      </c>
      <c r="AM2950" s="55" t="s">
        <v>2938</v>
      </c>
      <c r="AN2950" s="185" t="s">
        <v>2599</v>
      </c>
      <c r="AO2950" s="185" t="s">
        <v>5150</v>
      </c>
      <c r="AQ2950" s="55" t="s">
        <v>553</v>
      </c>
      <c r="AR2950" s="55" t="s">
        <v>1607</v>
      </c>
      <c r="AS2950" s="55" t="s">
        <v>132</v>
      </c>
      <c r="AU2950" s="181" t="s">
        <v>7494</v>
      </c>
      <c r="AV2950" s="185" t="s">
        <v>176</v>
      </c>
      <c r="AX2950" s="185" t="s">
        <v>176</v>
      </c>
      <c r="BK2950" s="55" t="s">
        <v>5976</v>
      </c>
      <c r="BN2950" s="55">
        <v>2</v>
      </c>
      <c r="BO2950" s="55">
        <v>2</v>
      </c>
      <c r="BQ2950" s="55" t="s">
        <v>2875</v>
      </c>
      <c r="BS2950" s="55">
        <v>570</v>
      </c>
      <c r="BW2950" s="65">
        <v>1546</v>
      </c>
      <c r="BX2950" s="65">
        <v>1370</v>
      </c>
      <c r="CA2950" s="65" t="s">
        <v>2939</v>
      </c>
      <c r="CB2950" s="66">
        <v>2032</v>
      </c>
      <c r="CC2950" s="66">
        <v>2122</v>
      </c>
      <c r="CG2950" s="65" t="s">
        <v>2940</v>
      </c>
      <c r="GP2950" s="292" t="s">
        <v>7494</v>
      </c>
    </row>
    <row r="2951" spans="1:198" x14ac:dyDescent="0.25">
      <c r="A2951" s="55">
        <v>2950</v>
      </c>
      <c r="B2951" s="12" t="s">
        <v>7067</v>
      </c>
      <c r="C2951" s="155">
        <v>144</v>
      </c>
      <c r="D2951" s="55" t="s">
        <v>4307</v>
      </c>
      <c r="E2951" s="90" t="s">
        <v>2941</v>
      </c>
      <c r="G2951" s="55" t="s">
        <v>2942</v>
      </c>
      <c r="H2951" s="55">
        <v>1992</v>
      </c>
      <c r="I2951" s="55">
        <v>1988</v>
      </c>
      <c r="J2951" s="55" t="s">
        <v>472</v>
      </c>
      <c r="K2951" s="55" t="s">
        <v>2943</v>
      </c>
      <c r="L2951" s="55" t="s">
        <v>2756</v>
      </c>
      <c r="M2951" s="90">
        <f>-2-35/60</f>
        <v>-2.5833333333333335</v>
      </c>
      <c r="N2951" s="90">
        <f>29+45/60</f>
        <v>29.75</v>
      </c>
      <c r="O2951" s="90">
        <v>1700</v>
      </c>
      <c r="S2951" s="90">
        <v>1279</v>
      </c>
      <c r="U2951" s="55" t="s">
        <v>1805</v>
      </c>
      <c r="V2951" s="55" t="s">
        <v>1816</v>
      </c>
      <c r="Y2951" s="55" t="s">
        <v>1965</v>
      </c>
      <c r="AN2951" s="185" t="s">
        <v>2954</v>
      </c>
      <c r="AO2951" s="185" t="s">
        <v>5150</v>
      </c>
      <c r="AQ2951" s="55" t="s">
        <v>2955</v>
      </c>
      <c r="AR2951" s="55" t="s">
        <v>2953</v>
      </c>
      <c r="AS2951" s="55" t="s">
        <v>1577</v>
      </c>
      <c r="AU2951" s="181" t="s">
        <v>7494</v>
      </c>
      <c r="AV2951" s="185" t="s">
        <v>176</v>
      </c>
      <c r="AX2951" s="185" t="s">
        <v>176</v>
      </c>
      <c r="BK2951" s="55" t="s">
        <v>6333</v>
      </c>
      <c r="BM2951" s="192" t="s">
        <v>2946</v>
      </c>
      <c r="BV2951" s="55" t="s">
        <v>2944</v>
      </c>
      <c r="FJ2951" s="65">
        <v>555</v>
      </c>
      <c r="FK2951" s="65">
        <f>AVERAGE(111,17,12,7,6,2,1,1)</f>
        <v>19.625</v>
      </c>
      <c r="FN2951" s="65" t="s">
        <v>2948</v>
      </c>
      <c r="FO2951" s="65">
        <f>1/100*1297*15</f>
        <v>194.55</v>
      </c>
      <c r="FP2951" s="65">
        <f>1/100*1297*AVERAGE(6.5,2.8,3.2,2.4,2.7,1.56,1.9,1.73)</f>
        <v>36.948287499999999</v>
      </c>
      <c r="FS2951" s="65" t="s">
        <v>6371</v>
      </c>
      <c r="GP2951" s="292" t="s">
        <v>7494</v>
      </c>
    </row>
    <row r="2952" spans="1:198" x14ac:dyDescent="0.25">
      <c r="A2952" s="55">
        <v>2951</v>
      </c>
      <c r="B2952" s="12" t="s">
        <v>7067</v>
      </c>
      <c r="C2952" s="155">
        <v>144</v>
      </c>
      <c r="D2952" s="55" t="s">
        <v>4307</v>
      </c>
      <c r="E2952" s="90" t="s">
        <v>2941</v>
      </c>
      <c r="G2952" s="55" t="s">
        <v>2942</v>
      </c>
      <c r="H2952" s="55">
        <v>1992</v>
      </c>
      <c r="I2952" s="55">
        <v>1988</v>
      </c>
      <c r="J2952" s="55" t="s">
        <v>472</v>
      </c>
      <c r="K2952" s="55" t="s">
        <v>2943</v>
      </c>
      <c r="L2952" s="55" t="s">
        <v>2756</v>
      </c>
      <c r="M2952" s="90">
        <f>-2-35/60</f>
        <v>-2.5833333333333335</v>
      </c>
      <c r="N2952" s="90">
        <f>29+45/60</f>
        <v>29.75</v>
      </c>
      <c r="O2952" s="90">
        <v>1700</v>
      </c>
      <c r="S2952" s="90">
        <v>1279</v>
      </c>
      <c r="U2952" s="55" t="s">
        <v>1805</v>
      </c>
      <c r="V2952" s="55" t="s">
        <v>1816</v>
      </c>
      <c r="Y2952" s="55" t="s">
        <v>1965</v>
      </c>
      <c r="AN2952" s="185" t="s">
        <v>2954</v>
      </c>
      <c r="AO2952" s="185" t="s">
        <v>5150</v>
      </c>
      <c r="AQ2952" s="55" t="s">
        <v>2955</v>
      </c>
      <c r="AR2952" s="55" t="s">
        <v>2953</v>
      </c>
      <c r="AS2952" s="55" t="s">
        <v>1577</v>
      </c>
      <c r="AU2952" s="181" t="s">
        <v>7494</v>
      </c>
      <c r="AV2952" s="185" t="s">
        <v>176</v>
      </c>
      <c r="AX2952" s="185" t="s">
        <v>176</v>
      </c>
      <c r="BK2952" s="55" t="s">
        <v>6333</v>
      </c>
      <c r="BM2952" s="192" t="s">
        <v>2947</v>
      </c>
      <c r="BV2952" s="55" t="s">
        <v>2945</v>
      </c>
      <c r="FJ2952" s="65">
        <v>300</v>
      </c>
      <c r="FK2952" s="65">
        <f>AVERAGE(111,17,12,7,6,2,1,1)</f>
        <v>19.625</v>
      </c>
      <c r="FN2952" s="65" t="s">
        <v>2948</v>
      </c>
      <c r="FO2952" s="65">
        <f>1/100*1297*9</f>
        <v>116.73</v>
      </c>
      <c r="FP2952" s="65">
        <f>1/100*1297*AVERAGE(6.5,2.8,3.2,2.4,2.7,1.56,1.9,1.73)</f>
        <v>36.948287499999999</v>
      </c>
      <c r="FS2952" s="65" t="s">
        <v>6371</v>
      </c>
      <c r="GP2952" s="292" t="s">
        <v>7494</v>
      </c>
    </row>
    <row r="2953" spans="1:198" x14ac:dyDescent="0.25">
      <c r="A2953" s="55">
        <v>2952</v>
      </c>
      <c r="B2953" s="12" t="s">
        <v>7067</v>
      </c>
      <c r="C2953" s="155">
        <v>145</v>
      </c>
      <c r="D2953" s="55" t="s">
        <v>4308</v>
      </c>
      <c r="E2953" s="90" t="s">
        <v>2949</v>
      </c>
      <c r="G2953" s="55" t="s">
        <v>2950</v>
      </c>
      <c r="H2953" s="55">
        <v>1994</v>
      </c>
      <c r="I2953" s="55">
        <v>1988</v>
      </c>
      <c r="J2953" s="55" t="s">
        <v>2951</v>
      </c>
      <c r="K2953" s="55" t="s">
        <v>2952</v>
      </c>
      <c r="L2953" s="55" t="s">
        <v>2750</v>
      </c>
      <c r="M2953" s="90">
        <f>-13-39/60</f>
        <v>-13.65</v>
      </c>
      <c r="N2953" s="90">
        <f>32+34/60</f>
        <v>32.56666666666667</v>
      </c>
      <c r="O2953" s="90">
        <v>1020</v>
      </c>
      <c r="S2953" s="90">
        <v>900</v>
      </c>
      <c r="U2953" s="55" t="s">
        <v>1935</v>
      </c>
      <c r="V2953" s="55" t="s">
        <v>1816</v>
      </c>
      <c r="Y2953" s="55" t="s">
        <v>2956</v>
      </c>
      <c r="Z2953" s="55" t="s">
        <v>1349</v>
      </c>
      <c r="AA2953" s="90" t="s">
        <v>1677</v>
      </c>
      <c r="AI2953" s="168">
        <v>5</v>
      </c>
      <c r="AJ2953" s="90">
        <v>0.5</v>
      </c>
      <c r="AM2953" s="55" t="s">
        <v>2957</v>
      </c>
      <c r="AN2953" s="185" t="s">
        <v>2838</v>
      </c>
      <c r="AO2953" s="185" t="s">
        <v>5150</v>
      </c>
      <c r="AQ2953" s="55" t="s">
        <v>553</v>
      </c>
      <c r="AR2953" s="55" t="s">
        <v>1607</v>
      </c>
      <c r="AS2953" s="55" t="s">
        <v>132</v>
      </c>
      <c r="AU2953" s="181" t="s">
        <v>7494</v>
      </c>
      <c r="AV2953" s="185" t="s">
        <v>176</v>
      </c>
      <c r="AX2953" s="185" t="s">
        <v>176</v>
      </c>
      <c r="BE2953" s="226" t="s">
        <v>2958</v>
      </c>
      <c r="BG2953" s="191" t="s">
        <v>176</v>
      </c>
      <c r="BH2953" s="226" t="s">
        <v>2958</v>
      </c>
      <c r="BI2953" s="191" t="s">
        <v>176</v>
      </c>
      <c r="BJ2953" s="55" t="s">
        <v>176</v>
      </c>
      <c r="BK2953" s="55" t="s">
        <v>5976</v>
      </c>
      <c r="BM2953" s="192" t="s">
        <v>160</v>
      </c>
      <c r="BN2953" s="55">
        <v>3</v>
      </c>
      <c r="BO2953" s="55">
        <v>3</v>
      </c>
      <c r="BQ2953" s="55" t="s">
        <v>141</v>
      </c>
      <c r="CB2953" s="66">
        <v>1600</v>
      </c>
      <c r="CC2953" s="66">
        <v>2300</v>
      </c>
      <c r="GP2953" s="292" t="s">
        <v>7494</v>
      </c>
    </row>
    <row r="2954" spans="1:198" x14ac:dyDescent="0.25">
      <c r="A2954" s="55">
        <v>2953</v>
      </c>
      <c r="B2954" s="12" t="s">
        <v>7067</v>
      </c>
      <c r="C2954" s="155">
        <v>145</v>
      </c>
      <c r="D2954" s="55" t="s">
        <v>4309</v>
      </c>
      <c r="E2954" s="90" t="s">
        <v>2949</v>
      </c>
      <c r="G2954" s="55" t="s">
        <v>2950</v>
      </c>
      <c r="H2954" s="55">
        <v>1994</v>
      </c>
      <c r="I2954" s="55">
        <v>1988</v>
      </c>
      <c r="J2954" s="55" t="s">
        <v>2951</v>
      </c>
      <c r="K2954" s="55" t="s">
        <v>2952</v>
      </c>
      <c r="L2954" s="55" t="s">
        <v>2750</v>
      </c>
      <c r="M2954" s="90">
        <f>-13-39/60</f>
        <v>-13.65</v>
      </c>
      <c r="N2954" s="90">
        <f>32+34/60</f>
        <v>32.56666666666667</v>
      </c>
      <c r="O2954" s="90">
        <v>1020</v>
      </c>
      <c r="S2954" s="90">
        <v>900</v>
      </c>
      <c r="U2954" s="55" t="s">
        <v>1935</v>
      </c>
      <c r="V2954" s="55" t="s">
        <v>1816</v>
      </c>
      <c r="Y2954" s="55" t="s">
        <v>2956</v>
      </c>
      <c r="Z2954" s="55" t="s">
        <v>1349</v>
      </c>
      <c r="AA2954" s="90" t="s">
        <v>1677</v>
      </c>
      <c r="AI2954" s="168">
        <v>5</v>
      </c>
      <c r="AJ2954" s="90">
        <v>0.5</v>
      </c>
      <c r="AM2954" s="55" t="s">
        <v>2957</v>
      </c>
      <c r="AN2954" s="185" t="s">
        <v>2838</v>
      </c>
      <c r="AO2954" s="185" t="s">
        <v>5150</v>
      </c>
      <c r="AQ2954" s="55" t="s">
        <v>553</v>
      </c>
      <c r="AR2954" s="55" t="s">
        <v>1607</v>
      </c>
      <c r="AS2954" s="55" t="s">
        <v>132</v>
      </c>
      <c r="AU2954" s="181" t="s">
        <v>7494</v>
      </c>
      <c r="AV2954" s="185" t="s">
        <v>176</v>
      </c>
      <c r="AX2954" s="185" t="s">
        <v>176</v>
      </c>
      <c r="BE2954" s="226" t="s">
        <v>2959</v>
      </c>
      <c r="BG2954" s="191" t="s">
        <v>479</v>
      </c>
      <c r="BH2954" s="226" t="s">
        <v>2959</v>
      </c>
      <c r="BI2954" s="191" t="s">
        <v>479</v>
      </c>
      <c r="BJ2954" s="55" t="s">
        <v>176</v>
      </c>
      <c r="BK2954" s="55" t="s">
        <v>5976</v>
      </c>
      <c r="BM2954" s="192" t="s">
        <v>160</v>
      </c>
      <c r="BN2954" s="55">
        <v>3</v>
      </c>
      <c r="BO2954" s="55">
        <v>3</v>
      </c>
      <c r="BQ2954" s="55" t="s">
        <v>141</v>
      </c>
      <c r="CB2954" s="66">
        <v>3900</v>
      </c>
      <c r="CC2954" s="66">
        <v>3800</v>
      </c>
      <c r="GP2954" s="292" t="s">
        <v>7494</v>
      </c>
    </row>
    <row r="2955" spans="1:198" x14ac:dyDescent="0.25">
      <c r="A2955" s="55">
        <v>2954</v>
      </c>
      <c r="B2955" s="12" t="s">
        <v>7067</v>
      </c>
      <c r="C2955" s="155">
        <v>145</v>
      </c>
      <c r="D2955" s="55" t="s">
        <v>4310</v>
      </c>
      <c r="E2955" s="90" t="s">
        <v>2949</v>
      </c>
      <c r="G2955" s="55" t="s">
        <v>2950</v>
      </c>
      <c r="H2955" s="55">
        <v>1994</v>
      </c>
      <c r="I2955" s="55">
        <v>1988</v>
      </c>
      <c r="J2955" s="55" t="s">
        <v>2951</v>
      </c>
      <c r="K2955" s="55" t="s">
        <v>2952</v>
      </c>
      <c r="L2955" s="55" t="s">
        <v>2750</v>
      </c>
      <c r="M2955" s="90">
        <f>-13-39/60</f>
        <v>-13.65</v>
      </c>
      <c r="N2955" s="90">
        <f>32+34/60</f>
        <v>32.56666666666667</v>
      </c>
      <c r="O2955" s="90">
        <v>1020</v>
      </c>
      <c r="S2955" s="90">
        <v>900</v>
      </c>
      <c r="U2955" s="55" t="s">
        <v>1935</v>
      </c>
      <c r="V2955" s="55" t="s">
        <v>1816</v>
      </c>
      <c r="Y2955" s="55" t="s">
        <v>2956</v>
      </c>
      <c r="Z2955" s="55" t="s">
        <v>1349</v>
      </c>
      <c r="AA2955" s="90" t="s">
        <v>1677</v>
      </c>
      <c r="AI2955" s="168">
        <v>5</v>
      </c>
      <c r="AJ2955" s="90">
        <v>0.5</v>
      </c>
      <c r="AM2955" s="55" t="s">
        <v>2957</v>
      </c>
      <c r="AN2955" s="185" t="s">
        <v>2838</v>
      </c>
      <c r="AO2955" s="185" t="s">
        <v>5150</v>
      </c>
      <c r="AQ2955" s="55" t="s">
        <v>553</v>
      </c>
      <c r="AR2955" s="55" t="s">
        <v>1607</v>
      </c>
      <c r="AS2955" s="55" t="s">
        <v>132</v>
      </c>
      <c r="AU2955" s="181" t="s">
        <v>7494</v>
      </c>
      <c r="AV2955" s="185" t="s">
        <v>176</v>
      </c>
      <c r="AX2955" s="185" t="s">
        <v>176</v>
      </c>
      <c r="BE2955" s="226" t="s">
        <v>2960</v>
      </c>
      <c r="BG2955" s="191" t="s">
        <v>479</v>
      </c>
      <c r="BH2955" s="226" t="s">
        <v>2960</v>
      </c>
      <c r="BI2955" s="191" t="s">
        <v>479</v>
      </c>
      <c r="BJ2955" s="55" t="s">
        <v>176</v>
      </c>
      <c r="BK2955" s="55" t="s">
        <v>5976</v>
      </c>
      <c r="BM2955" s="192" t="s">
        <v>160</v>
      </c>
      <c r="BN2955" s="55">
        <v>3</v>
      </c>
      <c r="BO2955" s="55">
        <v>3</v>
      </c>
      <c r="BQ2955" s="55" t="s">
        <v>141</v>
      </c>
      <c r="CB2955" s="66">
        <v>4700</v>
      </c>
      <c r="CC2955" s="66">
        <v>5400</v>
      </c>
      <c r="GP2955" s="292" t="s">
        <v>7494</v>
      </c>
    </row>
    <row r="2956" spans="1:198" x14ac:dyDescent="0.25">
      <c r="A2956" s="55">
        <v>2955</v>
      </c>
      <c r="B2956" s="12" t="s">
        <v>7067</v>
      </c>
      <c r="C2956" s="155">
        <v>145</v>
      </c>
      <c r="D2956" s="55" t="s">
        <v>4311</v>
      </c>
      <c r="E2956" s="90" t="s">
        <v>2949</v>
      </c>
      <c r="G2956" s="55" t="s">
        <v>2950</v>
      </c>
      <c r="H2956" s="55">
        <v>1994</v>
      </c>
      <c r="I2956" s="55">
        <v>1988</v>
      </c>
      <c r="J2956" s="55" t="s">
        <v>2951</v>
      </c>
      <c r="K2956" s="55" t="s">
        <v>2952</v>
      </c>
      <c r="L2956" s="55" t="s">
        <v>2750</v>
      </c>
      <c r="M2956" s="90">
        <f>-13-39/60</f>
        <v>-13.65</v>
      </c>
      <c r="N2956" s="90">
        <f>32+34/60</f>
        <v>32.56666666666667</v>
      </c>
      <c r="O2956" s="90">
        <v>1020</v>
      </c>
      <c r="S2956" s="90">
        <v>900</v>
      </c>
      <c r="U2956" s="55" t="s">
        <v>1935</v>
      </c>
      <c r="V2956" s="55" t="s">
        <v>1816</v>
      </c>
      <c r="Y2956" s="55" t="s">
        <v>2956</v>
      </c>
      <c r="Z2956" s="55" t="s">
        <v>1349</v>
      </c>
      <c r="AA2956" s="90" t="s">
        <v>1677</v>
      </c>
      <c r="AI2956" s="168">
        <v>5</v>
      </c>
      <c r="AJ2956" s="90">
        <v>0.5</v>
      </c>
      <c r="AM2956" s="55" t="s">
        <v>2957</v>
      </c>
      <c r="AN2956" s="185" t="s">
        <v>2838</v>
      </c>
      <c r="AO2956" s="185" t="s">
        <v>5150</v>
      </c>
      <c r="AQ2956" s="55" t="s">
        <v>553</v>
      </c>
      <c r="AR2956" s="55" t="s">
        <v>1607</v>
      </c>
      <c r="AS2956" s="55" t="s">
        <v>132</v>
      </c>
      <c r="AU2956" s="181" t="s">
        <v>7494</v>
      </c>
      <c r="AV2956" s="185" t="s">
        <v>176</v>
      </c>
      <c r="AX2956" s="185" t="s">
        <v>176</v>
      </c>
      <c r="BE2956" s="226" t="s">
        <v>2961</v>
      </c>
      <c r="BG2956" s="191" t="s">
        <v>479</v>
      </c>
      <c r="BH2956" s="226" t="s">
        <v>2961</v>
      </c>
      <c r="BI2956" s="191" t="s">
        <v>479</v>
      </c>
      <c r="BJ2956" s="55" t="s">
        <v>176</v>
      </c>
      <c r="BK2956" s="55" t="s">
        <v>5976</v>
      </c>
      <c r="BM2956" s="192" t="s">
        <v>160</v>
      </c>
      <c r="BN2956" s="55">
        <v>3</v>
      </c>
      <c r="BO2956" s="55">
        <v>3</v>
      </c>
      <c r="BQ2956" s="55" t="s">
        <v>141</v>
      </c>
      <c r="CB2956" s="66">
        <v>6100</v>
      </c>
      <c r="CC2956" s="66">
        <v>6700</v>
      </c>
      <c r="GP2956" s="292" t="s">
        <v>7494</v>
      </c>
    </row>
    <row r="2957" spans="1:198" x14ac:dyDescent="0.25">
      <c r="A2957" s="55">
        <v>2956</v>
      </c>
      <c r="B2957" s="12" t="s">
        <v>7067</v>
      </c>
      <c r="C2957" s="155">
        <v>145</v>
      </c>
      <c r="D2957" s="55" t="s">
        <v>4308</v>
      </c>
      <c r="E2957" s="90" t="s">
        <v>2949</v>
      </c>
      <c r="G2957" s="55" t="s">
        <v>2950</v>
      </c>
      <c r="H2957" s="55">
        <v>1994</v>
      </c>
      <c r="I2957" s="55">
        <v>1989</v>
      </c>
      <c r="J2957" s="55" t="s">
        <v>2951</v>
      </c>
      <c r="K2957" s="55" t="s">
        <v>2952</v>
      </c>
      <c r="L2957" s="55" t="s">
        <v>2750</v>
      </c>
      <c r="M2957" s="90">
        <f>-13-39/60</f>
        <v>-13.65</v>
      </c>
      <c r="N2957" s="90">
        <f>32+34/60</f>
        <v>32.56666666666667</v>
      </c>
      <c r="O2957" s="90">
        <v>1020</v>
      </c>
      <c r="S2957" s="90">
        <v>900</v>
      </c>
      <c r="U2957" s="55" t="s">
        <v>1805</v>
      </c>
      <c r="V2957" s="55" t="s">
        <v>1816</v>
      </c>
      <c r="Y2957" s="55" t="s">
        <v>2956</v>
      </c>
      <c r="Z2957" s="55" t="s">
        <v>1349</v>
      </c>
      <c r="AA2957" s="90" t="s">
        <v>1677</v>
      </c>
      <c r="AI2957" s="168">
        <v>5</v>
      </c>
      <c r="AJ2957" s="90">
        <v>0.5</v>
      </c>
      <c r="AM2957" s="55" t="s">
        <v>2957</v>
      </c>
      <c r="AN2957" s="185" t="s">
        <v>2838</v>
      </c>
      <c r="AO2957" s="185" t="s">
        <v>5150</v>
      </c>
      <c r="AQ2957" s="55" t="s">
        <v>553</v>
      </c>
      <c r="AR2957" s="55" t="s">
        <v>1607</v>
      </c>
      <c r="AS2957" s="55" t="s">
        <v>132</v>
      </c>
      <c r="AU2957" s="181" t="s">
        <v>7494</v>
      </c>
      <c r="AV2957" s="185" t="s">
        <v>176</v>
      </c>
      <c r="AX2957" s="185" t="s">
        <v>176</v>
      </c>
      <c r="BE2957" s="226" t="s">
        <v>2958</v>
      </c>
      <c r="BG2957" s="191" t="s">
        <v>176</v>
      </c>
      <c r="BH2957" s="226" t="s">
        <v>2958</v>
      </c>
      <c r="BI2957" s="191" t="s">
        <v>176</v>
      </c>
      <c r="BJ2957" s="55" t="s">
        <v>176</v>
      </c>
      <c r="BK2957" s="55" t="s">
        <v>5976</v>
      </c>
      <c r="BM2957" s="192" t="s">
        <v>160</v>
      </c>
      <c r="BN2957" s="55">
        <v>3</v>
      </c>
      <c r="BO2957" s="55">
        <v>3</v>
      </c>
      <c r="BQ2957" s="55" t="s">
        <v>141</v>
      </c>
      <c r="CB2957" s="66">
        <v>1200</v>
      </c>
      <c r="CC2957" s="66">
        <v>3800</v>
      </c>
      <c r="GP2957" s="292" t="s">
        <v>7494</v>
      </c>
    </row>
    <row r="2958" spans="1:198" x14ac:dyDescent="0.25">
      <c r="A2958" s="55">
        <v>2957</v>
      </c>
      <c r="B2958" s="12" t="s">
        <v>7067</v>
      </c>
      <c r="C2958" s="155">
        <v>145</v>
      </c>
      <c r="D2958" s="55" t="s">
        <v>4309</v>
      </c>
      <c r="E2958" s="90" t="s">
        <v>2949</v>
      </c>
      <c r="G2958" s="55" t="s">
        <v>2950</v>
      </c>
      <c r="H2958" s="55">
        <v>1994</v>
      </c>
      <c r="I2958" s="55">
        <v>1989</v>
      </c>
      <c r="J2958" s="55" t="s">
        <v>2951</v>
      </c>
      <c r="K2958" s="55" t="s">
        <v>2952</v>
      </c>
      <c r="L2958" s="55" t="s">
        <v>2750</v>
      </c>
      <c r="M2958" s="90">
        <f>-13-39/60</f>
        <v>-13.65</v>
      </c>
      <c r="N2958" s="90">
        <f>32+34/60</f>
        <v>32.56666666666667</v>
      </c>
      <c r="O2958" s="90">
        <v>1020</v>
      </c>
      <c r="S2958" s="90">
        <v>900</v>
      </c>
      <c r="U2958" s="55" t="s">
        <v>1805</v>
      </c>
      <c r="V2958" s="55" t="s">
        <v>1816</v>
      </c>
      <c r="Y2958" s="55" t="s">
        <v>2956</v>
      </c>
      <c r="Z2958" s="55" t="s">
        <v>1349</v>
      </c>
      <c r="AA2958" s="90" t="s">
        <v>1677</v>
      </c>
      <c r="AI2958" s="168">
        <v>5</v>
      </c>
      <c r="AJ2958" s="90">
        <v>0.5</v>
      </c>
      <c r="AM2958" s="55" t="s">
        <v>2957</v>
      </c>
      <c r="AN2958" s="185" t="s">
        <v>2838</v>
      </c>
      <c r="AO2958" s="185" t="s">
        <v>5150</v>
      </c>
      <c r="AQ2958" s="55" t="s">
        <v>553</v>
      </c>
      <c r="AR2958" s="55" t="s">
        <v>1607</v>
      </c>
      <c r="AS2958" s="55" t="s">
        <v>132</v>
      </c>
      <c r="AU2958" s="181" t="s">
        <v>7494</v>
      </c>
      <c r="AV2958" s="185" t="s">
        <v>176</v>
      </c>
      <c r="AX2958" s="185" t="s">
        <v>176</v>
      </c>
      <c r="BE2958" s="226" t="s">
        <v>2959</v>
      </c>
      <c r="BG2958" s="191" t="s">
        <v>479</v>
      </c>
      <c r="BH2958" s="226" t="s">
        <v>2959</v>
      </c>
      <c r="BI2958" s="191" t="s">
        <v>479</v>
      </c>
      <c r="BJ2958" s="55" t="s">
        <v>176</v>
      </c>
      <c r="BK2958" s="55" t="s">
        <v>5976</v>
      </c>
      <c r="BM2958" s="192" t="s">
        <v>160</v>
      </c>
      <c r="BN2958" s="55">
        <v>3</v>
      </c>
      <c r="BO2958" s="55">
        <v>3</v>
      </c>
      <c r="BQ2958" s="55" t="s">
        <v>141</v>
      </c>
      <c r="CB2958" s="66">
        <v>3200</v>
      </c>
      <c r="CC2958" s="66">
        <v>4600</v>
      </c>
      <c r="GP2958" s="292" t="s">
        <v>7494</v>
      </c>
    </row>
    <row r="2959" spans="1:198" x14ac:dyDescent="0.25">
      <c r="A2959" s="55">
        <v>2958</v>
      </c>
      <c r="B2959" s="12" t="s">
        <v>7067</v>
      </c>
      <c r="C2959" s="155">
        <v>145</v>
      </c>
      <c r="D2959" s="55" t="s">
        <v>4310</v>
      </c>
      <c r="E2959" s="90" t="s">
        <v>2949</v>
      </c>
      <c r="G2959" s="55" t="s">
        <v>2950</v>
      </c>
      <c r="H2959" s="55">
        <v>1994</v>
      </c>
      <c r="I2959" s="55">
        <v>1989</v>
      </c>
      <c r="J2959" s="55" t="s">
        <v>2951</v>
      </c>
      <c r="K2959" s="55" t="s">
        <v>2952</v>
      </c>
      <c r="L2959" s="55" t="s">
        <v>2750</v>
      </c>
      <c r="M2959" s="90">
        <f>-13-39/60</f>
        <v>-13.65</v>
      </c>
      <c r="N2959" s="90">
        <f>32+34/60</f>
        <v>32.56666666666667</v>
      </c>
      <c r="O2959" s="90">
        <v>1020</v>
      </c>
      <c r="S2959" s="90">
        <v>900</v>
      </c>
      <c r="U2959" s="55" t="s">
        <v>1805</v>
      </c>
      <c r="V2959" s="55" t="s">
        <v>1816</v>
      </c>
      <c r="Y2959" s="55" t="s">
        <v>2956</v>
      </c>
      <c r="Z2959" s="55" t="s">
        <v>1349</v>
      </c>
      <c r="AA2959" s="90" t="s">
        <v>1677</v>
      </c>
      <c r="AI2959" s="168">
        <v>5</v>
      </c>
      <c r="AJ2959" s="90">
        <v>0.5</v>
      </c>
      <c r="AM2959" s="55" t="s">
        <v>2957</v>
      </c>
      <c r="AN2959" s="185" t="s">
        <v>2838</v>
      </c>
      <c r="AO2959" s="185" t="s">
        <v>5150</v>
      </c>
      <c r="AQ2959" s="55" t="s">
        <v>553</v>
      </c>
      <c r="AR2959" s="55" t="s">
        <v>1607</v>
      </c>
      <c r="AS2959" s="55" t="s">
        <v>132</v>
      </c>
      <c r="AU2959" s="181" t="s">
        <v>7494</v>
      </c>
      <c r="AV2959" s="185" t="s">
        <v>176</v>
      </c>
      <c r="AX2959" s="185" t="s">
        <v>176</v>
      </c>
      <c r="BE2959" s="226" t="s">
        <v>2960</v>
      </c>
      <c r="BG2959" s="191" t="s">
        <v>479</v>
      </c>
      <c r="BH2959" s="226" t="s">
        <v>2960</v>
      </c>
      <c r="BI2959" s="191" t="s">
        <v>479</v>
      </c>
      <c r="BJ2959" s="55" t="s">
        <v>176</v>
      </c>
      <c r="BK2959" s="55" t="s">
        <v>5976</v>
      </c>
      <c r="BM2959" s="192" t="s">
        <v>160</v>
      </c>
      <c r="BN2959" s="55">
        <v>3</v>
      </c>
      <c r="BO2959" s="55">
        <v>3</v>
      </c>
      <c r="BQ2959" s="55" t="s">
        <v>141</v>
      </c>
      <c r="CB2959" s="66">
        <v>4200</v>
      </c>
      <c r="CC2959" s="66">
        <v>5100</v>
      </c>
      <c r="GP2959" s="292" t="s">
        <v>7494</v>
      </c>
    </row>
    <row r="2960" spans="1:198" x14ac:dyDescent="0.25">
      <c r="A2960" s="55">
        <v>2959</v>
      </c>
      <c r="B2960" s="12" t="s">
        <v>7067</v>
      </c>
      <c r="C2960" s="155">
        <v>145</v>
      </c>
      <c r="D2960" s="55" t="s">
        <v>4311</v>
      </c>
      <c r="E2960" s="90" t="s">
        <v>2949</v>
      </c>
      <c r="G2960" s="55" t="s">
        <v>2950</v>
      </c>
      <c r="H2960" s="55">
        <v>1994</v>
      </c>
      <c r="I2960" s="55">
        <v>1989</v>
      </c>
      <c r="J2960" s="55" t="s">
        <v>2951</v>
      </c>
      <c r="K2960" s="55" t="s">
        <v>2952</v>
      </c>
      <c r="L2960" s="55" t="s">
        <v>2750</v>
      </c>
      <c r="M2960" s="90">
        <f>-13-39/60</f>
        <v>-13.65</v>
      </c>
      <c r="N2960" s="90">
        <f>32+34/60</f>
        <v>32.56666666666667</v>
      </c>
      <c r="O2960" s="90">
        <v>1020</v>
      </c>
      <c r="S2960" s="90">
        <v>900</v>
      </c>
      <c r="U2960" s="55" t="s">
        <v>1805</v>
      </c>
      <c r="V2960" s="55" t="s">
        <v>1816</v>
      </c>
      <c r="Y2960" s="55" t="s">
        <v>2956</v>
      </c>
      <c r="Z2960" s="55" t="s">
        <v>1349</v>
      </c>
      <c r="AA2960" s="90" t="s">
        <v>1677</v>
      </c>
      <c r="AI2960" s="168">
        <v>5</v>
      </c>
      <c r="AJ2960" s="90">
        <v>0.5</v>
      </c>
      <c r="AM2960" s="55" t="s">
        <v>2957</v>
      </c>
      <c r="AN2960" s="185" t="s">
        <v>2838</v>
      </c>
      <c r="AO2960" s="185" t="s">
        <v>5150</v>
      </c>
      <c r="AQ2960" s="55" t="s">
        <v>553</v>
      </c>
      <c r="AR2960" s="55" t="s">
        <v>1607</v>
      </c>
      <c r="AS2960" s="55" t="s">
        <v>132</v>
      </c>
      <c r="AU2960" s="181" t="s">
        <v>7494</v>
      </c>
      <c r="AV2960" s="185" t="s">
        <v>176</v>
      </c>
      <c r="AX2960" s="185" t="s">
        <v>176</v>
      </c>
      <c r="BE2960" s="226" t="s">
        <v>2961</v>
      </c>
      <c r="BG2960" s="191" t="s">
        <v>479</v>
      </c>
      <c r="BH2960" s="226" t="s">
        <v>2961</v>
      </c>
      <c r="BI2960" s="191" t="s">
        <v>479</v>
      </c>
      <c r="BJ2960" s="55" t="s">
        <v>176</v>
      </c>
      <c r="BK2960" s="55" t="s">
        <v>5976</v>
      </c>
      <c r="BM2960" s="192" t="s">
        <v>160</v>
      </c>
      <c r="BN2960" s="55">
        <v>3</v>
      </c>
      <c r="BO2960" s="55">
        <v>3</v>
      </c>
      <c r="BQ2960" s="55" t="s">
        <v>141</v>
      </c>
      <c r="CB2960" s="66">
        <v>4900</v>
      </c>
      <c r="CC2960" s="66">
        <v>6000</v>
      </c>
      <c r="GP2960" s="292" t="s">
        <v>7494</v>
      </c>
    </row>
    <row r="2961" spans="1:198" x14ac:dyDescent="0.25">
      <c r="A2961" s="55">
        <v>2960</v>
      </c>
      <c r="B2961" s="12" t="s">
        <v>7067</v>
      </c>
      <c r="C2961" s="155">
        <v>145</v>
      </c>
      <c r="D2961" s="55" t="s">
        <v>4308</v>
      </c>
      <c r="E2961" s="90" t="s">
        <v>2949</v>
      </c>
      <c r="G2961" s="55" t="s">
        <v>2950</v>
      </c>
      <c r="H2961" s="55">
        <v>1994</v>
      </c>
      <c r="I2961" s="55">
        <v>1989</v>
      </c>
      <c r="J2961" s="55" t="s">
        <v>2951</v>
      </c>
      <c r="K2961" s="55" t="s">
        <v>2952</v>
      </c>
      <c r="L2961" s="55" t="s">
        <v>2750</v>
      </c>
      <c r="M2961" s="90">
        <f>-13-39/60</f>
        <v>-13.65</v>
      </c>
      <c r="N2961" s="90">
        <f>32+34/60</f>
        <v>32.56666666666667</v>
      </c>
      <c r="O2961" s="90">
        <v>1020</v>
      </c>
      <c r="S2961" s="90">
        <v>900</v>
      </c>
      <c r="U2961" s="55" t="s">
        <v>1805</v>
      </c>
      <c r="V2961" s="55" t="s">
        <v>1816</v>
      </c>
      <c r="Y2961" s="55" t="s">
        <v>2956</v>
      </c>
      <c r="Z2961" s="55" t="s">
        <v>1349</v>
      </c>
      <c r="AA2961" s="90" t="s">
        <v>1677</v>
      </c>
      <c r="AI2961" s="168">
        <v>5</v>
      </c>
      <c r="AJ2961" s="90">
        <v>0.5</v>
      </c>
      <c r="AM2961" s="55" t="s">
        <v>2957</v>
      </c>
      <c r="AN2961" s="185" t="s">
        <v>2838</v>
      </c>
      <c r="AO2961" s="185" t="s">
        <v>5150</v>
      </c>
      <c r="AQ2961" s="55" t="s">
        <v>553</v>
      </c>
      <c r="AR2961" s="55" t="s">
        <v>1607</v>
      </c>
      <c r="AS2961" s="55" t="s">
        <v>132</v>
      </c>
      <c r="AU2961" s="181" t="s">
        <v>7494</v>
      </c>
      <c r="AV2961" s="185" t="s">
        <v>176</v>
      </c>
      <c r="AX2961" s="185" t="s">
        <v>176</v>
      </c>
      <c r="BE2961" s="226" t="s">
        <v>2958</v>
      </c>
      <c r="BG2961" s="191" t="s">
        <v>176</v>
      </c>
      <c r="BH2961" s="226" t="s">
        <v>2958</v>
      </c>
      <c r="BI2961" s="191" t="s">
        <v>176</v>
      </c>
      <c r="BJ2961" s="55" t="s">
        <v>176</v>
      </c>
      <c r="BK2961" s="55" t="s">
        <v>5976</v>
      </c>
      <c r="BM2961" s="192" t="s">
        <v>160</v>
      </c>
      <c r="BN2961" s="55">
        <v>3</v>
      </c>
      <c r="BO2961" s="55">
        <v>3</v>
      </c>
      <c r="BQ2961" s="55" t="s">
        <v>141</v>
      </c>
      <c r="CB2961" s="66">
        <v>1200</v>
      </c>
      <c r="CC2961" s="66">
        <v>5000</v>
      </c>
      <c r="GP2961" s="292" t="s">
        <v>7494</v>
      </c>
    </row>
    <row r="2962" spans="1:198" x14ac:dyDescent="0.25">
      <c r="A2962" s="55">
        <v>2961</v>
      </c>
      <c r="B2962" s="12" t="s">
        <v>7067</v>
      </c>
      <c r="C2962" s="155">
        <v>145</v>
      </c>
      <c r="D2962" s="55" t="s">
        <v>4309</v>
      </c>
      <c r="E2962" s="90" t="s">
        <v>2949</v>
      </c>
      <c r="G2962" s="55" t="s">
        <v>2950</v>
      </c>
      <c r="H2962" s="55">
        <v>1994</v>
      </c>
      <c r="I2962" s="55">
        <v>1989</v>
      </c>
      <c r="J2962" s="55" t="s">
        <v>2951</v>
      </c>
      <c r="K2962" s="55" t="s">
        <v>2952</v>
      </c>
      <c r="L2962" s="55" t="s">
        <v>2750</v>
      </c>
      <c r="M2962" s="90">
        <f>-13-39/60</f>
        <v>-13.65</v>
      </c>
      <c r="N2962" s="90">
        <f>32+34/60</f>
        <v>32.56666666666667</v>
      </c>
      <c r="O2962" s="90">
        <v>1020</v>
      </c>
      <c r="S2962" s="90">
        <v>900</v>
      </c>
      <c r="U2962" s="55" t="s">
        <v>1805</v>
      </c>
      <c r="V2962" s="55" t="s">
        <v>1816</v>
      </c>
      <c r="Y2962" s="55" t="s">
        <v>2956</v>
      </c>
      <c r="Z2962" s="55" t="s">
        <v>1349</v>
      </c>
      <c r="AA2962" s="90" t="s">
        <v>1677</v>
      </c>
      <c r="AI2962" s="168">
        <v>5</v>
      </c>
      <c r="AJ2962" s="90">
        <v>0.5</v>
      </c>
      <c r="AM2962" s="55" t="s">
        <v>2957</v>
      </c>
      <c r="AN2962" s="185" t="s">
        <v>2838</v>
      </c>
      <c r="AO2962" s="185" t="s">
        <v>5150</v>
      </c>
      <c r="AQ2962" s="55" t="s">
        <v>553</v>
      </c>
      <c r="AR2962" s="55" t="s">
        <v>1607</v>
      </c>
      <c r="AS2962" s="55" t="s">
        <v>132</v>
      </c>
      <c r="AU2962" s="181" t="s">
        <v>7494</v>
      </c>
      <c r="AV2962" s="185" t="s">
        <v>176</v>
      </c>
      <c r="AX2962" s="185" t="s">
        <v>176</v>
      </c>
      <c r="BE2962" s="226" t="s">
        <v>2959</v>
      </c>
      <c r="BG2962" s="191" t="s">
        <v>479</v>
      </c>
      <c r="BH2962" s="226" t="s">
        <v>2959</v>
      </c>
      <c r="BI2962" s="191" t="s">
        <v>479</v>
      </c>
      <c r="BJ2962" s="55" t="s">
        <v>176</v>
      </c>
      <c r="BK2962" s="55" t="s">
        <v>5976</v>
      </c>
      <c r="BM2962" s="192" t="s">
        <v>160</v>
      </c>
      <c r="BN2962" s="55">
        <v>3</v>
      </c>
      <c r="BO2962" s="55">
        <v>3</v>
      </c>
      <c r="BQ2962" s="55" t="s">
        <v>141</v>
      </c>
      <c r="CB2962" s="66">
        <v>3200</v>
      </c>
      <c r="CC2962" s="66">
        <v>5800</v>
      </c>
      <c r="GP2962" s="292" t="s">
        <v>7494</v>
      </c>
    </row>
    <row r="2963" spans="1:198" x14ac:dyDescent="0.25">
      <c r="A2963" s="55">
        <v>2962</v>
      </c>
      <c r="B2963" s="12" t="s">
        <v>7067</v>
      </c>
      <c r="C2963" s="155">
        <v>145</v>
      </c>
      <c r="D2963" s="55" t="s">
        <v>4310</v>
      </c>
      <c r="E2963" s="90" t="s">
        <v>2949</v>
      </c>
      <c r="G2963" s="55" t="s">
        <v>2950</v>
      </c>
      <c r="H2963" s="55">
        <v>1994</v>
      </c>
      <c r="I2963" s="55">
        <v>1989</v>
      </c>
      <c r="J2963" s="55" t="s">
        <v>2951</v>
      </c>
      <c r="K2963" s="55" t="s">
        <v>2952</v>
      </c>
      <c r="L2963" s="55" t="s">
        <v>2750</v>
      </c>
      <c r="M2963" s="90">
        <f>-13-39/60</f>
        <v>-13.65</v>
      </c>
      <c r="N2963" s="90">
        <f>32+34/60</f>
        <v>32.56666666666667</v>
      </c>
      <c r="O2963" s="90">
        <v>1020</v>
      </c>
      <c r="S2963" s="90">
        <v>900</v>
      </c>
      <c r="U2963" s="55" t="s">
        <v>1805</v>
      </c>
      <c r="V2963" s="55" t="s">
        <v>1816</v>
      </c>
      <c r="Y2963" s="55" t="s">
        <v>2956</v>
      </c>
      <c r="Z2963" s="55" t="s">
        <v>1349</v>
      </c>
      <c r="AA2963" s="90" t="s">
        <v>1677</v>
      </c>
      <c r="AI2963" s="168">
        <v>5</v>
      </c>
      <c r="AJ2963" s="90">
        <v>0.5</v>
      </c>
      <c r="AM2963" s="55" t="s">
        <v>2957</v>
      </c>
      <c r="AN2963" s="185" t="s">
        <v>2838</v>
      </c>
      <c r="AO2963" s="185" t="s">
        <v>5150</v>
      </c>
      <c r="AQ2963" s="55" t="s">
        <v>553</v>
      </c>
      <c r="AR2963" s="55" t="s">
        <v>1607</v>
      </c>
      <c r="AS2963" s="55" t="s">
        <v>132</v>
      </c>
      <c r="AU2963" s="181" t="s">
        <v>7494</v>
      </c>
      <c r="AV2963" s="185" t="s">
        <v>176</v>
      </c>
      <c r="AX2963" s="185" t="s">
        <v>176</v>
      </c>
      <c r="BE2963" s="226" t="s">
        <v>2960</v>
      </c>
      <c r="BG2963" s="191" t="s">
        <v>479</v>
      </c>
      <c r="BH2963" s="226" t="s">
        <v>2960</v>
      </c>
      <c r="BI2963" s="191" t="s">
        <v>479</v>
      </c>
      <c r="BJ2963" s="55" t="s">
        <v>176</v>
      </c>
      <c r="BK2963" s="55" t="s">
        <v>5976</v>
      </c>
      <c r="BM2963" s="192" t="s">
        <v>160</v>
      </c>
      <c r="BN2963" s="55">
        <v>3</v>
      </c>
      <c r="BO2963" s="55">
        <v>3</v>
      </c>
      <c r="BQ2963" s="55" t="s">
        <v>141</v>
      </c>
      <c r="CB2963" s="66">
        <v>4200</v>
      </c>
      <c r="CC2963" s="66">
        <v>6300</v>
      </c>
      <c r="GP2963" s="292" t="s">
        <v>7494</v>
      </c>
    </row>
    <row r="2964" spans="1:198" x14ac:dyDescent="0.25">
      <c r="A2964" s="55">
        <v>2963</v>
      </c>
      <c r="B2964" s="12" t="s">
        <v>7067</v>
      </c>
      <c r="C2964" s="155">
        <v>145</v>
      </c>
      <c r="D2964" s="55" t="s">
        <v>4311</v>
      </c>
      <c r="E2964" s="90" t="s">
        <v>2949</v>
      </c>
      <c r="G2964" s="55" t="s">
        <v>2950</v>
      </c>
      <c r="H2964" s="55">
        <v>1994</v>
      </c>
      <c r="I2964" s="55">
        <v>1989</v>
      </c>
      <c r="J2964" s="55" t="s">
        <v>2951</v>
      </c>
      <c r="K2964" s="55" t="s">
        <v>2952</v>
      </c>
      <c r="L2964" s="55" t="s">
        <v>2750</v>
      </c>
      <c r="M2964" s="90">
        <f>-13-39/60</f>
        <v>-13.65</v>
      </c>
      <c r="N2964" s="90">
        <f>32+34/60</f>
        <v>32.56666666666667</v>
      </c>
      <c r="O2964" s="90">
        <v>1020</v>
      </c>
      <c r="S2964" s="90">
        <v>900</v>
      </c>
      <c r="U2964" s="55" t="s">
        <v>1805</v>
      </c>
      <c r="V2964" s="55" t="s">
        <v>1816</v>
      </c>
      <c r="Y2964" s="55" t="s">
        <v>2956</v>
      </c>
      <c r="Z2964" s="55" t="s">
        <v>1349</v>
      </c>
      <c r="AA2964" s="90" t="s">
        <v>1677</v>
      </c>
      <c r="AI2964" s="168">
        <v>5</v>
      </c>
      <c r="AJ2964" s="90">
        <v>0.5</v>
      </c>
      <c r="AM2964" s="55" t="s">
        <v>2957</v>
      </c>
      <c r="AN2964" s="185" t="s">
        <v>2838</v>
      </c>
      <c r="AO2964" s="185" t="s">
        <v>5150</v>
      </c>
      <c r="AQ2964" s="55" t="s">
        <v>553</v>
      </c>
      <c r="AR2964" s="55" t="s">
        <v>1607</v>
      </c>
      <c r="AS2964" s="55" t="s">
        <v>132</v>
      </c>
      <c r="AU2964" s="181" t="s">
        <v>7494</v>
      </c>
      <c r="AV2964" s="185" t="s">
        <v>176</v>
      </c>
      <c r="AX2964" s="185" t="s">
        <v>176</v>
      </c>
      <c r="BE2964" s="226" t="s">
        <v>2961</v>
      </c>
      <c r="BG2964" s="191" t="s">
        <v>479</v>
      </c>
      <c r="BH2964" s="226" t="s">
        <v>2961</v>
      </c>
      <c r="BI2964" s="191" t="s">
        <v>479</v>
      </c>
      <c r="BJ2964" s="55" t="s">
        <v>176</v>
      </c>
      <c r="BK2964" s="55" t="s">
        <v>5976</v>
      </c>
      <c r="BM2964" s="192" t="s">
        <v>160</v>
      </c>
      <c r="BN2964" s="55">
        <v>3</v>
      </c>
      <c r="BO2964" s="55">
        <v>3</v>
      </c>
      <c r="BQ2964" s="55" t="s">
        <v>141</v>
      </c>
      <c r="CB2964" s="66">
        <v>4900</v>
      </c>
      <c r="CC2964" s="66">
        <v>7200</v>
      </c>
      <c r="GP2964" s="292" t="s">
        <v>7494</v>
      </c>
    </row>
    <row r="2965" spans="1:198" x14ac:dyDescent="0.25">
      <c r="A2965" s="55">
        <v>2964</v>
      </c>
      <c r="B2965" s="12" t="s">
        <v>7067</v>
      </c>
      <c r="C2965" s="155">
        <v>145</v>
      </c>
      <c r="D2965" s="55" t="s">
        <v>4308</v>
      </c>
      <c r="E2965" s="90" t="s">
        <v>2949</v>
      </c>
      <c r="G2965" s="55" t="s">
        <v>2950</v>
      </c>
      <c r="H2965" s="55">
        <v>1994</v>
      </c>
      <c r="I2965" s="55">
        <v>1990</v>
      </c>
      <c r="J2965" s="55" t="s">
        <v>2951</v>
      </c>
      <c r="K2965" s="55" t="s">
        <v>2952</v>
      </c>
      <c r="L2965" s="55" t="s">
        <v>2750</v>
      </c>
      <c r="M2965" s="90">
        <f>-13-39/60</f>
        <v>-13.65</v>
      </c>
      <c r="N2965" s="90">
        <f>32+34/60</f>
        <v>32.56666666666667</v>
      </c>
      <c r="O2965" s="90">
        <v>1020</v>
      </c>
      <c r="S2965" s="90">
        <v>900</v>
      </c>
      <c r="U2965" s="55" t="s">
        <v>1688</v>
      </c>
      <c r="V2965" s="55" t="s">
        <v>1816</v>
      </c>
      <c r="Y2965" s="55" t="s">
        <v>2956</v>
      </c>
      <c r="Z2965" s="55" t="s">
        <v>1349</v>
      </c>
      <c r="AA2965" s="90" t="s">
        <v>1677</v>
      </c>
      <c r="AI2965" s="168">
        <v>5</v>
      </c>
      <c r="AJ2965" s="90">
        <v>0.5</v>
      </c>
      <c r="AM2965" s="55" t="s">
        <v>2957</v>
      </c>
      <c r="AN2965" s="185" t="s">
        <v>2838</v>
      </c>
      <c r="AO2965" s="185" t="s">
        <v>5150</v>
      </c>
      <c r="AQ2965" s="55" t="s">
        <v>553</v>
      </c>
      <c r="AR2965" s="55" t="s">
        <v>1607</v>
      </c>
      <c r="AS2965" s="55" t="s">
        <v>132</v>
      </c>
      <c r="AU2965" s="181" t="s">
        <v>7494</v>
      </c>
      <c r="AV2965" s="185" t="s">
        <v>176</v>
      </c>
      <c r="AX2965" s="185" t="s">
        <v>176</v>
      </c>
      <c r="BE2965" s="226" t="s">
        <v>2958</v>
      </c>
      <c r="BG2965" s="191" t="s">
        <v>176</v>
      </c>
      <c r="BH2965" s="226" t="s">
        <v>2958</v>
      </c>
      <c r="BI2965" s="191" t="s">
        <v>176</v>
      </c>
      <c r="BJ2965" s="55" t="s">
        <v>176</v>
      </c>
      <c r="BK2965" s="55" t="s">
        <v>5976</v>
      </c>
      <c r="BM2965" s="192" t="s">
        <v>160</v>
      </c>
      <c r="BN2965" s="55">
        <v>3</v>
      </c>
      <c r="BO2965" s="55">
        <v>3</v>
      </c>
      <c r="BQ2965" s="55" t="s">
        <v>141</v>
      </c>
      <c r="CB2965" s="66">
        <v>1900</v>
      </c>
      <c r="CC2965" s="66">
        <v>4400</v>
      </c>
      <c r="GP2965" s="292" t="s">
        <v>7494</v>
      </c>
    </row>
    <row r="2966" spans="1:198" x14ac:dyDescent="0.25">
      <c r="A2966" s="55">
        <v>2965</v>
      </c>
      <c r="B2966" s="12" t="s">
        <v>7067</v>
      </c>
      <c r="C2966" s="155">
        <v>145</v>
      </c>
      <c r="D2966" s="55" t="s">
        <v>4309</v>
      </c>
      <c r="E2966" s="90" t="s">
        <v>2949</v>
      </c>
      <c r="G2966" s="55" t="s">
        <v>2950</v>
      </c>
      <c r="H2966" s="55">
        <v>1994</v>
      </c>
      <c r="I2966" s="55">
        <v>1990</v>
      </c>
      <c r="J2966" s="55" t="s">
        <v>2951</v>
      </c>
      <c r="K2966" s="55" t="s">
        <v>2952</v>
      </c>
      <c r="L2966" s="55" t="s">
        <v>2750</v>
      </c>
      <c r="M2966" s="90">
        <f>-13-39/60</f>
        <v>-13.65</v>
      </c>
      <c r="N2966" s="90">
        <f>32+34/60</f>
        <v>32.56666666666667</v>
      </c>
      <c r="O2966" s="90">
        <v>1020</v>
      </c>
      <c r="S2966" s="90">
        <v>900</v>
      </c>
      <c r="U2966" s="55" t="s">
        <v>1688</v>
      </c>
      <c r="V2966" s="55" t="s">
        <v>1816</v>
      </c>
      <c r="Y2966" s="55" t="s">
        <v>2956</v>
      </c>
      <c r="Z2966" s="55" t="s">
        <v>1349</v>
      </c>
      <c r="AA2966" s="90" t="s">
        <v>1677</v>
      </c>
      <c r="AI2966" s="168">
        <v>5</v>
      </c>
      <c r="AJ2966" s="90">
        <v>0.5</v>
      </c>
      <c r="AM2966" s="55" t="s">
        <v>2957</v>
      </c>
      <c r="AN2966" s="185" t="s">
        <v>2838</v>
      </c>
      <c r="AO2966" s="185" t="s">
        <v>5150</v>
      </c>
      <c r="AQ2966" s="55" t="s">
        <v>553</v>
      </c>
      <c r="AR2966" s="55" t="s">
        <v>1607</v>
      </c>
      <c r="AS2966" s="55" t="s">
        <v>132</v>
      </c>
      <c r="AU2966" s="181" t="s">
        <v>7494</v>
      </c>
      <c r="AV2966" s="185" t="s">
        <v>176</v>
      </c>
      <c r="AX2966" s="185" t="s">
        <v>176</v>
      </c>
      <c r="BE2966" s="226" t="s">
        <v>2959</v>
      </c>
      <c r="BG2966" s="191" t="s">
        <v>479</v>
      </c>
      <c r="BH2966" s="226" t="s">
        <v>2959</v>
      </c>
      <c r="BI2966" s="191" t="s">
        <v>479</v>
      </c>
      <c r="BJ2966" s="55" t="s">
        <v>176</v>
      </c>
      <c r="BK2966" s="55" t="s">
        <v>5976</v>
      </c>
      <c r="BM2966" s="192" t="s">
        <v>160</v>
      </c>
      <c r="BN2966" s="55">
        <v>3</v>
      </c>
      <c r="BO2966" s="55">
        <v>3</v>
      </c>
      <c r="BQ2966" s="55" t="s">
        <v>141</v>
      </c>
      <c r="CB2966" s="66">
        <v>2900</v>
      </c>
      <c r="CC2966" s="66">
        <v>5400</v>
      </c>
      <c r="GP2966" s="292" t="s">
        <v>7494</v>
      </c>
    </row>
    <row r="2967" spans="1:198" x14ac:dyDescent="0.25">
      <c r="A2967" s="55">
        <v>2966</v>
      </c>
      <c r="B2967" s="12" t="s">
        <v>7067</v>
      </c>
      <c r="C2967" s="155">
        <v>145</v>
      </c>
      <c r="D2967" s="55" t="s">
        <v>4310</v>
      </c>
      <c r="E2967" s="90" t="s">
        <v>2949</v>
      </c>
      <c r="G2967" s="55" t="s">
        <v>2950</v>
      </c>
      <c r="H2967" s="55">
        <v>1994</v>
      </c>
      <c r="I2967" s="55">
        <v>1990</v>
      </c>
      <c r="J2967" s="55" t="s">
        <v>2951</v>
      </c>
      <c r="K2967" s="55" t="s">
        <v>2952</v>
      </c>
      <c r="L2967" s="55" t="s">
        <v>2750</v>
      </c>
      <c r="M2967" s="90">
        <f>-13-39/60</f>
        <v>-13.65</v>
      </c>
      <c r="N2967" s="90">
        <f>32+34/60</f>
        <v>32.56666666666667</v>
      </c>
      <c r="O2967" s="90">
        <v>1020</v>
      </c>
      <c r="S2967" s="90">
        <v>900</v>
      </c>
      <c r="U2967" s="55" t="s">
        <v>1688</v>
      </c>
      <c r="V2967" s="55" t="s">
        <v>1816</v>
      </c>
      <c r="Y2967" s="55" t="s">
        <v>2956</v>
      </c>
      <c r="Z2967" s="55" t="s">
        <v>1349</v>
      </c>
      <c r="AA2967" s="90" t="s">
        <v>1677</v>
      </c>
      <c r="AI2967" s="168">
        <v>5</v>
      </c>
      <c r="AJ2967" s="90">
        <v>0.5</v>
      </c>
      <c r="AM2967" s="55" t="s">
        <v>2957</v>
      </c>
      <c r="AN2967" s="185" t="s">
        <v>2838</v>
      </c>
      <c r="AO2967" s="185" t="s">
        <v>5150</v>
      </c>
      <c r="AQ2967" s="55" t="s">
        <v>553</v>
      </c>
      <c r="AR2967" s="55" t="s">
        <v>1607</v>
      </c>
      <c r="AS2967" s="55" t="s">
        <v>132</v>
      </c>
      <c r="AU2967" s="181" t="s">
        <v>7494</v>
      </c>
      <c r="AV2967" s="185" t="s">
        <v>176</v>
      </c>
      <c r="AX2967" s="185" t="s">
        <v>176</v>
      </c>
      <c r="BE2967" s="226" t="s">
        <v>2960</v>
      </c>
      <c r="BG2967" s="191" t="s">
        <v>479</v>
      </c>
      <c r="BH2967" s="226" t="s">
        <v>2960</v>
      </c>
      <c r="BI2967" s="191" t="s">
        <v>479</v>
      </c>
      <c r="BJ2967" s="55" t="s">
        <v>176</v>
      </c>
      <c r="BK2967" s="55" t="s">
        <v>5976</v>
      </c>
      <c r="BM2967" s="192" t="s">
        <v>160</v>
      </c>
      <c r="BN2967" s="55">
        <v>3</v>
      </c>
      <c r="BO2967" s="55">
        <v>3</v>
      </c>
      <c r="BQ2967" s="55" t="s">
        <v>141</v>
      </c>
      <c r="CB2967" s="66">
        <v>3700</v>
      </c>
      <c r="CC2967" s="66">
        <v>6400</v>
      </c>
      <c r="GP2967" s="292" t="s">
        <v>7494</v>
      </c>
    </row>
    <row r="2968" spans="1:198" x14ac:dyDescent="0.25">
      <c r="A2968" s="55">
        <v>2967</v>
      </c>
      <c r="B2968" s="12" t="s">
        <v>7067</v>
      </c>
      <c r="C2968" s="155">
        <v>145</v>
      </c>
      <c r="D2968" s="55" t="s">
        <v>4311</v>
      </c>
      <c r="E2968" s="90" t="s">
        <v>2949</v>
      </c>
      <c r="G2968" s="55" t="s">
        <v>2950</v>
      </c>
      <c r="H2968" s="55">
        <v>1994</v>
      </c>
      <c r="I2968" s="55">
        <v>1990</v>
      </c>
      <c r="J2968" s="55" t="s">
        <v>2951</v>
      </c>
      <c r="K2968" s="55" t="s">
        <v>2952</v>
      </c>
      <c r="L2968" s="55" t="s">
        <v>2750</v>
      </c>
      <c r="M2968" s="90">
        <f>-13-39/60</f>
        <v>-13.65</v>
      </c>
      <c r="N2968" s="90">
        <f>32+34/60</f>
        <v>32.56666666666667</v>
      </c>
      <c r="O2968" s="90">
        <v>1020</v>
      </c>
      <c r="S2968" s="90">
        <v>900</v>
      </c>
      <c r="U2968" s="55" t="s">
        <v>1688</v>
      </c>
      <c r="V2968" s="55" t="s">
        <v>1816</v>
      </c>
      <c r="Y2968" s="55" t="s">
        <v>2956</v>
      </c>
      <c r="Z2968" s="55" t="s">
        <v>1349</v>
      </c>
      <c r="AA2968" s="90" t="s">
        <v>1677</v>
      </c>
      <c r="AI2968" s="168">
        <v>5</v>
      </c>
      <c r="AJ2968" s="90">
        <v>0.5</v>
      </c>
      <c r="AM2968" s="55" t="s">
        <v>2957</v>
      </c>
      <c r="AN2968" s="185" t="s">
        <v>2838</v>
      </c>
      <c r="AO2968" s="185" t="s">
        <v>5150</v>
      </c>
      <c r="AQ2968" s="55" t="s">
        <v>553</v>
      </c>
      <c r="AR2968" s="55" t="s">
        <v>1607</v>
      </c>
      <c r="AS2968" s="55" t="s">
        <v>132</v>
      </c>
      <c r="AU2968" s="181" t="s">
        <v>7494</v>
      </c>
      <c r="AV2968" s="185" t="s">
        <v>176</v>
      </c>
      <c r="AX2968" s="185" t="s">
        <v>176</v>
      </c>
      <c r="BE2968" s="226" t="s">
        <v>2961</v>
      </c>
      <c r="BG2968" s="191" t="s">
        <v>479</v>
      </c>
      <c r="BH2968" s="226" t="s">
        <v>2961</v>
      </c>
      <c r="BI2968" s="191" t="s">
        <v>479</v>
      </c>
      <c r="BJ2968" s="55" t="s">
        <v>176</v>
      </c>
      <c r="BK2968" s="55" t="s">
        <v>5976</v>
      </c>
      <c r="BM2968" s="192" t="s">
        <v>160</v>
      </c>
      <c r="BN2968" s="55">
        <v>3</v>
      </c>
      <c r="BO2968" s="55">
        <v>3</v>
      </c>
      <c r="BQ2968" s="55" t="s">
        <v>141</v>
      </c>
      <c r="CB2968" s="66">
        <v>4300</v>
      </c>
      <c r="CC2968" s="66">
        <v>6700</v>
      </c>
      <c r="GP2968" s="292" t="s">
        <v>7494</v>
      </c>
    </row>
    <row r="2969" spans="1:198" x14ac:dyDescent="0.25">
      <c r="A2969" s="55">
        <v>2968</v>
      </c>
      <c r="B2969" s="12" t="s">
        <v>7067</v>
      </c>
      <c r="C2969" s="155">
        <v>145</v>
      </c>
      <c r="D2969" s="55" t="s">
        <v>4308</v>
      </c>
      <c r="E2969" s="90" t="s">
        <v>2949</v>
      </c>
      <c r="G2969" s="55" t="s">
        <v>2950</v>
      </c>
      <c r="H2969" s="55">
        <v>1994</v>
      </c>
      <c r="I2969" s="55">
        <v>1990</v>
      </c>
      <c r="J2969" s="55" t="s">
        <v>2951</v>
      </c>
      <c r="K2969" s="55" t="s">
        <v>2952</v>
      </c>
      <c r="L2969" s="55" t="s">
        <v>2750</v>
      </c>
      <c r="M2969" s="90">
        <f>-13-39/60</f>
        <v>-13.65</v>
      </c>
      <c r="N2969" s="90">
        <f>32+34/60</f>
        <v>32.56666666666667</v>
      </c>
      <c r="O2969" s="90">
        <v>1020</v>
      </c>
      <c r="S2969" s="90">
        <v>900</v>
      </c>
      <c r="U2969" s="55" t="s">
        <v>1688</v>
      </c>
      <c r="V2969" s="55" t="s">
        <v>1816</v>
      </c>
      <c r="Y2969" s="55" t="s">
        <v>2956</v>
      </c>
      <c r="Z2969" s="55" t="s">
        <v>1349</v>
      </c>
      <c r="AA2969" s="90" t="s">
        <v>1677</v>
      </c>
      <c r="AI2969" s="168">
        <v>5</v>
      </c>
      <c r="AJ2969" s="90">
        <v>0.5</v>
      </c>
      <c r="AM2969" s="55" t="s">
        <v>2957</v>
      </c>
      <c r="AN2969" s="185" t="s">
        <v>2838</v>
      </c>
      <c r="AO2969" s="185" t="s">
        <v>5150</v>
      </c>
      <c r="AQ2969" s="55" t="s">
        <v>553</v>
      </c>
      <c r="AR2969" s="55" t="s">
        <v>1607</v>
      </c>
      <c r="AS2969" s="55" t="s">
        <v>132</v>
      </c>
      <c r="AU2969" s="181" t="s">
        <v>7494</v>
      </c>
      <c r="AV2969" s="185" t="s">
        <v>176</v>
      </c>
      <c r="AX2969" s="185" t="s">
        <v>176</v>
      </c>
      <c r="BE2969" s="226" t="s">
        <v>2958</v>
      </c>
      <c r="BG2969" s="191" t="s">
        <v>176</v>
      </c>
      <c r="BH2969" s="226" t="s">
        <v>2958</v>
      </c>
      <c r="BI2969" s="191" t="s">
        <v>176</v>
      </c>
      <c r="BJ2969" s="55" t="s">
        <v>176</v>
      </c>
      <c r="BK2969" s="55" t="s">
        <v>5976</v>
      </c>
      <c r="BM2969" s="192" t="s">
        <v>160</v>
      </c>
      <c r="BN2969" s="55">
        <v>3</v>
      </c>
      <c r="BO2969" s="55">
        <v>3</v>
      </c>
      <c r="BQ2969" s="55" t="s">
        <v>141</v>
      </c>
      <c r="CB2969" s="66">
        <v>1900</v>
      </c>
      <c r="CC2969" s="66">
        <v>5600</v>
      </c>
      <c r="GP2969" s="292" t="s">
        <v>7494</v>
      </c>
    </row>
    <row r="2970" spans="1:198" x14ac:dyDescent="0.25">
      <c r="A2970" s="55">
        <v>2969</v>
      </c>
      <c r="B2970" s="12" t="s">
        <v>7067</v>
      </c>
      <c r="C2970" s="155">
        <v>145</v>
      </c>
      <c r="D2970" s="55" t="s">
        <v>4309</v>
      </c>
      <c r="E2970" s="90" t="s">
        <v>2949</v>
      </c>
      <c r="G2970" s="55" t="s">
        <v>2950</v>
      </c>
      <c r="H2970" s="55">
        <v>1994</v>
      </c>
      <c r="I2970" s="55">
        <v>1990</v>
      </c>
      <c r="J2970" s="55" t="s">
        <v>2951</v>
      </c>
      <c r="K2970" s="55" t="s">
        <v>2952</v>
      </c>
      <c r="L2970" s="55" t="s">
        <v>2750</v>
      </c>
      <c r="M2970" s="90">
        <f>-13-39/60</f>
        <v>-13.65</v>
      </c>
      <c r="N2970" s="90">
        <f>32+34/60</f>
        <v>32.56666666666667</v>
      </c>
      <c r="O2970" s="90">
        <v>1020</v>
      </c>
      <c r="S2970" s="90">
        <v>900</v>
      </c>
      <c r="U2970" s="55" t="s">
        <v>1688</v>
      </c>
      <c r="V2970" s="55" t="s">
        <v>1816</v>
      </c>
      <c r="Y2970" s="55" t="s">
        <v>2956</v>
      </c>
      <c r="Z2970" s="55" t="s">
        <v>1349</v>
      </c>
      <c r="AA2970" s="90" t="s">
        <v>1677</v>
      </c>
      <c r="AI2970" s="168">
        <v>5</v>
      </c>
      <c r="AJ2970" s="90">
        <v>0.5</v>
      </c>
      <c r="AM2970" s="55" t="s">
        <v>2957</v>
      </c>
      <c r="AN2970" s="185" t="s">
        <v>2838</v>
      </c>
      <c r="AO2970" s="185" t="s">
        <v>5150</v>
      </c>
      <c r="AQ2970" s="55" t="s">
        <v>553</v>
      </c>
      <c r="AR2970" s="55" t="s">
        <v>1607</v>
      </c>
      <c r="AS2970" s="55" t="s">
        <v>132</v>
      </c>
      <c r="AU2970" s="181" t="s">
        <v>7494</v>
      </c>
      <c r="AV2970" s="185" t="s">
        <v>176</v>
      </c>
      <c r="AX2970" s="185" t="s">
        <v>176</v>
      </c>
      <c r="BE2970" s="226" t="s">
        <v>2959</v>
      </c>
      <c r="BG2970" s="191" t="s">
        <v>479</v>
      </c>
      <c r="BH2970" s="226" t="s">
        <v>2959</v>
      </c>
      <c r="BI2970" s="191" t="s">
        <v>479</v>
      </c>
      <c r="BJ2970" s="55" t="s">
        <v>176</v>
      </c>
      <c r="BK2970" s="55" t="s">
        <v>5976</v>
      </c>
      <c r="BM2970" s="192" t="s">
        <v>160</v>
      </c>
      <c r="BN2970" s="55">
        <v>3</v>
      </c>
      <c r="BO2970" s="55">
        <v>3</v>
      </c>
      <c r="BQ2970" s="55" t="s">
        <v>141</v>
      </c>
      <c r="CB2970" s="66">
        <v>2900</v>
      </c>
      <c r="CC2970" s="66">
        <v>5800</v>
      </c>
      <c r="GP2970" s="292" t="s">
        <v>7494</v>
      </c>
    </row>
    <row r="2971" spans="1:198" x14ac:dyDescent="0.25">
      <c r="A2971" s="55">
        <v>2970</v>
      </c>
      <c r="B2971" s="12" t="s">
        <v>7067</v>
      </c>
      <c r="C2971" s="155">
        <v>145</v>
      </c>
      <c r="D2971" s="55" t="s">
        <v>4310</v>
      </c>
      <c r="E2971" s="90" t="s">
        <v>2949</v>
      </c>
      <c r="G2971" s="55" t="s">
        <v>2950</v>
      </c>
      <c r="H2971" s="55">
        <v>1994</v>
      </c>
      <c r="I2971" s="55">
        <v>1990</v>
      </c>
      <c r="J2971" s="55" t="s">
        <v>2951</v>
      </c>
      <c r="K2971" s="55" t="s">
        <v>2952</v>
      </c>
      <c r="L2971" s="55" t="s">
        <v>2750</v>
      </c>
      <c r="M2971" s="90">
        <f>-13-39/60</f>
        <v>-13.65</v>
      </c>
      <c r="N2971" s="90">
        <f>32+34/60</f>
        <v>32.56666666666667</v>
      </c>
      <c r="O2971" s="90">
        <v>1020</v>
      </c>
      <c r="S2971" s="90">
        <v>900</v>
      </c>
      <c r="U2971" s="55" t="s">
        <v>1688</v>
      </c>
      <c r="V2971" s="55" t="s">
        <v>1816</v>
      </c>
      <c r="Y2971" s="55" t="s">
        <v>2956</v>
      </c>
      <c r="Z2971" s="55" t="s">
        <v>1349</v>
      </c>
      <c r="AA2971" s="90" t="s">
        <v>1677</v>
      </c>
      <c r="AI2971" s="168">
        <v>5</v>
      </c>
      <c r="AJ2971" s="90">
        <v>0.5</v>
      </c>
      <c r="AM2971" s="55" t="s">
        <v>2957</v>
      </c>
      <c r="AN2971" s="185" t="s">
        <v>2838</v>
      </c>
      <c r="AO2971" s="185" t="s">
        <v>5150</v>
      </c>
      <c r="AQ2971" s="55" t="s">
        <v>553</v>
      </c>
      <c r="AR2971" s="55" t="s">
        <v>1607</v>
      </c>
      <c r="AS2971" s="55" t="s">
        <v>132</v>
      </c>
      <c r="AU2971" s="181" t="s">
        <v>7494</v>
      </c>
      <c r="AV2971" s="185" t="s">
        <v>176</v>
      </c>
      <c r="AX2971" s="185" t="s">
        <v>176</v>
      </c>
      <c r="BE2971" s="226" t="s">
        <v>2960</v>
      </c>
      <c r="BG2971" s="191" t="s">
        <v>479</v>
      </c>
      <c r="BH2971" s="226" t="s">
        <v>2960</v>
      </c>
      <c r="BI2971" s="191" t="s">
        <v>479</v>
      </c>
      <c r="BJ2971" s="55" t="s">
        <v>176</v>
      </c>
      <c r="BK2971" s="55" t="s">
        <v>5976</v>
      </c>
      <c r="BM2971" s="192" t="s">
        <v>160</v>
      </c>
      <c r="BN2971" s="55">
        <v>3</v>
      </c>
      <c r="BO2971" s="55">
        <v>3</v>
      </c>
      <c r="BQ2971" s="55" t="s">
        <v>141</v>
      </c>
      <c r="CB2971" s="66">
        <v>3700</v>
      </c>
      <c r="CC2971" s="66">
        <v>6800</v>
      </c>
      <c r="GP2971" s="292" t="s">
        <v>7494</v>
      </c>
    </row>
    <row r="2972" spans="1:198" x14ac:dyDescent="0.25">
      <c r="A2972" s="55">
        <v>2971</v>
      </c>
      <c r="B2972" s="12" t="s">
        <v>7067</v>
      </c>
      <c r="C2972" s="155">
        <v>145</v>
      </c>
      <c r="D2972" s="55" t="s">
        <v>4311</v>
      </c>
      <c r="E2972" s="90" t="s">
        <v>2949</v>
      </c>
      <c r="G2972" s="55" t="s">
        <v>2950</v>
      </c>
      <c r="H2972" s="55">
        <v>1994</v>
      </c>
      <c r="I2972" s="55">
        <v>1990</v>
      </c>
      <c r="J2972" s="55" t="s">
        <v>2951</v>
      </c>
      <c r="K2972" s="55" t="s">
        <v>2952</v>
      </c>
      <c r="L2972" s="55" t="s">
        <v>2750</v>
      </c>
      <c r="M2972" s="90">
        <f>-13-39/60</f>
        <v>-13.65</v>
      </c>
      <c r="N2972" s="90">
        <f>32+34/60</f>
        <v>32.56666666666667</v>
      </c>
      <c r="O2972" s="90">
        <v>1020</v>
      </c>
      <c r="S2972" s="90">
        <v>900</v>
      </c>
      <c r="U2972" s="55" t="s">
        <v>1688</v>
      </c>
      <c r="V2972" s="55" t="s">
        <v>1816</v>
      </c>
      <c r="Y2972" s="55" t="s">
        <v>2956</v>
      </c>
      <c r="Z2972" s="55" t="s">
        <v>1349</v>
      </c>
      <c r="AA2972" s="90" t="s">
        <v>1677</v>
      </c>
      <c r="AI2972" s="168">
        <v>5</v>
      </c>
      <c r="AJ2972" s="90">
        <v>0.5</v>
      </c>
      <c r="AM2972" s="55" t="s">
        <v>2957</v>
      </c>
      <c r="AN2972" s="185" t="s">
        <v>2838</v>
      </c>
      <c r="AO2972" s="185" t="s">
        <v>5150</v>
      </c>
      <c r="AQ2972" s="55" t="s">
        <v>553</v>
      </c>
      <c r="AR2972" s="55" t="s">
        <v>1607</v>
      </c>
      <c r="AS2972" s="55" t="s">
        <v>132</v>
      </c>
      <c r="AU2972" s="181" t="s">
        <v>7494</v>
      </c>
      <c r="AV2972" s="185" t="s">
        <v>176</v>
      </c>
      <c r="AX2972" s="185" t="s">
        <v>176</v>
      </c>
      <c r="BE2972" s="226" t="s">
        <v>2961</v>
      </c>
      <c r="BG2972" s="191" t="s">
        <v>479</v>
      </c>
      <c r="BH2972" s="226" t="s">
        <v>2961</v>
      </c>
      <c r="BI2972" s="191" t="s">
        <v>479</v>
      </c>
      <c r="BJ2972" s="55" t="s">
        <v>176</v>
      </c>
      <c r="BK2972" s="55" t="s">
        <v>5976</v>
      </c>
      <c r="BM2972" s="192" t="s">
        <v>160</v>
      </c>
      <c r="BN2972" s="55">
        <v>3</v>
      </c>
      <c r="BO2972" s="55">
        <v>3</v>
      </c>
      <c r="BQ2972" s="55" t="s">
        <v>141</v>
      </c>
      <c r="CB2972" s="66">
        <v>4300</v>
      </c>
      <c r="CC2972" s="66">
        <v>7900</v>
      </c>
      <c r="GP2972" s="292" t="s">
        <v>7494</v>
      </c>
    </row>
    <row r="2973" spans="1:198" x14ac:dyDescent="0.25">
      <c r="A2973" s="55">
        <v>2972</v>
      </c>
      <c r="B2973" s="12" t="s">
        <v>7067</v>
      </c>
      <c r="C2973" s="155">
        <v>145</v>
      </c>
      <c r="D2973" s="55" t="s">
        <v>4308</v>
      </c>
      <c r="E2973" s="90" t="s">
        <v>2949</v>
      </c>
      <c r="G2973" s="55" t="s">
        <v>2950</v>
      </c>
      <c r="H2973" s="55">
        <v>1994</v>
      </c>
      <c r="I2973" s="55">
        <v>1990</v>
      </c>
      <c r="J2973" s="55" t="s">
        <v>2951</v>
      </c>
      <c r="K2973" s="55" t="s">
        <v>2952</v>
      </c>
      <c r="L2973" s="55" t="s">
        <v>2750</v>
      </c>
      <c r="M2973" s="90">
        <f>-13-39/60</f>
        <v>-13.65</v>
      </c>
      <c r="N2973" s="90">
        <f>32+34/60</f>
        <v>32.56666666666667</v>
      </c>
      <c r="O2973" s="90">
        <v>1020</v>
      </c>
      <c r="S2973" s="90">
        <v>900</v>
      </c>
      <c r="U2973" s="55" t="s">
        <v>1688</v>
      </c>
      <c r="V2973" s="55" t="s">
        <v>1816</v>
      </c>
      <c r="Y2973" s="55" t="s">
        <v>2956</v>
      </c>
      <c r="Z2973" s="55" t="s">
        <v>1349</v>
      </c>
      <c r="AA2973" s="90" t="s">
        <v>1677</v>
      </c>
      <c r="AI2973" s="168">
        <v>5</v>
      </c>
      <c r="AJ2973" s="90">
        <v>0.5</v>
      </c>
      <c r="AM2973" s="55" t="s">
        <v>2957</v>
      </c>
      <c r="AN2973" s="185" t="s">
        <v>2838</v>
      </c>
      <c r="AO2973" s="185" t="s">
        <v>5150</v>
      </c>
      <c r="AQ2973" s="55" t="s">
        <v>553</v>
      </c>
      <c r="AR2973" s="55" t="s">
        <v>1607</v>
      </c>
      <c r="AS2973" s="55" t="s">
        <v>132</v>
      </c>
      <c r="AU2973" s="181" t="s">
        <v>7494</v>
      </c>
      <c r="AV2973" s="185" t="s">
        <v>176</v>
      </c>
      <c r="AX2973" s="185" t="s">
        <v>176</v>
      </c>
      <c r="BE2973" s="226" t="s">
        <v>2958</v>
      </c>
      <c r="BG2973" s="191" t="s">
        <v>176</v>
      </c>
      <c r="BH2973" s="226" t="s">
        <v>2958</v>
      </c>
      <c r="BI2973" s="191" t="s">
        <v>176</v>
      </c>
      <c r="BJ2973" s="55" t="s">
        <v>176</v>
      </c>
      <c r="BK2973" s="55" t="s">
        <v>5976</v>
      </c>
      <c r="BM2973" s="192" t="s">
        <v>160</v>
      </c>
      <c r="BN2973" s="55">
        <v>3</v>
      </c>
      <c r="BO2973" s="55">
        <v>3</v>
      </c>
      <c r="BQ2973" s="55" t="s">
        <v>141</v>
      </c>
      <c r="CB2973" s="66">
        <v>1900</v>
      </c>
      <c r="CC2973" s="66">
        <v>6000</v>
      </c>
      <c r="GP2973" s="292" t="s">
        <v>7494</v>
      </c>
    </row>
    <row r="2974" spans="1:198" x14ac:dyDescent="0.25">
      <c r="A2974" s="55">
        <v>2973</v>
      </c>
      <c r="B2974" s="12" t="s">
        <v>7067</v>
      </c>
      <c r="C2974" s="155">
        <v>145</v>
      </c>
      <c r="D2974" s="55" t="s">
        <v>4309</v>
      </c>
      <c r="E2974" s="90" t="s">
        <v>2949</v>
      </c>
      <c r="G2974" s="55" t="s">
        <v>2950</v>
      </c>
      <c r="H2974" s="55">
        <v>1994</v>
      </c>
      <c r="I2974" s="55">
        <v>1990</v>
      </c>
      <c r="J2974" s="55" t="s">
        <v>2951</v>
      </c>
      <c r="K2974" s="55" t="s">
        <v>2952</v>
      </c>
      <c r="L2974" s="55" t="s">
        <v>2750</v>
      </c>
      <c r="M2974" s="90">
        <f>-13-39/60</f>
        <v>-13.65</v>
      </c>
      <c r="N2974" s="90">
        <f>32+34/60</f>
        <v>32.56666666666667</v>
      </c>
      <c r="O2974" s="90">
        <v>1020</v>
      </c>
      <c r="S2974" s="90">
        <v>900</v>
      </c>
      <c r="U2974" s="55" t="s">
        <v>1688</v>
      </c>
      <c r="V2974" s="55" t="s">
        <v>1816</v>
      </c>
      <c r="Y2974" s="55" t="s">
        <v>2956</v>
      </c>
      <c r="Z2974" s="55" t="s">
        <v>1349</v>
      </c>
      <c r="AA2974" s="90" t="s">
        <v>1677</v>
      </c>
      <c r="AI2974" s="168">
        <v>5</v>
      </c>
      <c r="AJ2974" s="90">
        <v>0.5</v>
      </c>
      <c r="AM2974" s="55" t="s">
        <v>2957</v>
      </c>
      <c r="AN2974" s="185" t="s">
        <v>2838</v>
      </c>
      <c r="AO2974" s="185" t="s">
        <v>5150</v>
      </c>
      <c r="AQ2974" s="55" t="s">
        <v>553</v>
      </c>
      <c r="AR2974" s="55" t="s">
        <v>1607</v>
      </c>
      <c r="AS2974" s="55" t="s">
        <v>132</v>
      </c>
      <c r="AU2974" s="181" t="s">
        <v>7494</v>
      </c>
      <c r="AV2974" s="185" t="s">
        <v>176</v>
      </c>
      <c r="AX2974" s="185" t="s">
        <v>176</v>
      </c>
      <c r="BE2974" s="226" t="s">
        <v>2959</v>
      </c>
      <c r="BG2974" s="191" t="s">
        <v>479</v>
      </c>
      <c r="BH2974" s="226" t="s">
        <v>2959</v>
      </c>
      <c r="BI2974" s="191" t="s">
        <v>479</v>
      </c>
      <c r="BJ2974" s="55" t="s">
        <v>176</v>
      </c>
      <c r="BK2974" s="55" t="s">
        <v>5976</v>
      </c>
      <c r="BM2974" s="192" t="s">
        <v>160</v>
      </c>
      <c r="BN2974" s="55">
        <v>3</v>
      </c>
      <c r="BO2974" s="55">
        <v>3</v>
      </c>
      <c r="BQ2974" s="55" t="s">
        <v>141</v>
      </c>
      <c r="CB2974" s="66">
        <v>2900</v>
      </c>
      <c r="CC2974" s="66">
        <v>7000</v>
      </c>
      <c r="GP2974" s="292" t="s">
        <v>7494</v>
      </c>
    </row>
    <row r="2975" spans="1:198" x14ac:dyDescent="0.25">
      <c r="A2975" s="55">
        <v>2974</v>
      </c>
      <c r="B2975" s="12" t="s">
        <v>7067</v>
      </c>
      <c r="C2975" s="155">
        <v>145</v>
      </c>
      <c r="D2975" s="55" t="s">
        <v>4310</v>
      </c>
      <c r="E2975" s="90" t="s">
        <v>2949</v>
      </c>
      <c r="G2975" s="55" t="s">
        <v>2950</v>
      </c>
      <c r="H2975" s="55">
        <v>1994</v>
      </c>
      <c r="I2975" s="55">
        <v>1990</v>
      </c>
      <c r="J2975" s="55" t="s">
        <v>2951</v>
      </c>
      <c r="K2975" s="55" t="s">
        <v>2952</v>
      </c>
      <c r="L2975" s="55" t="s">
        <v>2750</v>
      </c>
      <c r="M2975" s="90">
        <f>-13-39/60</f>
        <v>-13.65</v>
      </c>
      <c r="N2975" s="90">
        <f>32+34/60</f>
        <v>32.56666666666667</v>
      </c>
      <c r="O2975" s="90">
        <v>1020</v>
      </c>
      <c r="S2975" s="90">
        <v>900</v>
      </c>
      <c r="U2975" s="55" t="s">
        <v>1688</v>
      </c>
      <c r="V2975" s="55" t="s">
        <v>1816</v>
      </c>
      <c r="Y2975" s="55" t="s">
        <v>2956</v>
      </c>
      <c r="Z2975" s="55" t="s">
        <v>1349</v>
      </c>
      <c r="AA2975" s="90" t="s">
        <v>1677</v>
      </c>
      <c r="AI2975" s="168">
        <v>5</v>
      </c>
      <c r="AJ2975" s="90">
        <v>0.5</v>
      </c>
      <c r="AM2975" s="55" t="s">
        <v>2957</v>
      </c>
      <c r="AN2975" s="185" t="s">
        <v>2838</v>
      </c>
      <c r="AO2975" s="185" t="s">
        <v>5150</v>
      </c>
      <c r="AQ2975" s="55" t="s">
        <v>553</v>
      </c>
      <c r="AR2975" s="55" t="s">
        <v>1607</v>
      </c>
      <c r="AS2975" s="55" t="s">
        <v>132</v>
      </c>
      <c r="AU2975" s="181" t="s">
        <v>7494</v>
      </c>
      <c r="AV2975" s="185" t="s">
        <v>176</v>
      </c>
      <c r="AX2975" s="185" t="s">
        <v>176</v>
      </c>
      <c r="BE2975" s="226" t="s">
        <v>2960</v>
      </c>
      <c r="BG2975" s="191" t="s">
        <v>479</v>
      </c>
      <c r="BH2975" s="226" t="s">
        <v>2960</v>
      </c>
      <c r="BI2975" s="191" t="s">
        <v>479</v>
      </c>
      <c r="BJ2975" s="55" t="s">
        <v>176</v>
      </c>
      <c r="BK2975" s="55" t="s">
        <v>5976</v>
      </c>
      <c r="BM2975" s="192" t="s">
        <v>160</v>
      </c>
      <c r="BN2975" s="55">
        <v>3</v>
      </c>
      <c r="BO2975" s="55">
        <v>3</v>
      </c>
      <c r="BQ2975" s="55" t="s">
        <v>141</v>
      </c>
      <c r="CB2975" s="66">
        <v>3700</v>
      </c>
      <c r="CC2975" s="66">
        <v>6800</v>
      </c>
      <c r="GP2975" s="292" t="s">
        <v>7494</v>
      </c>
    </row>
    <row r="2976" spans="1:198" x14ac:dyDescent="0.25">
      <c r="A2976" s="55">
        <v>2975</v>
      </c>
      <c r="B2976" s="12" t="s">
        <v>7067</v>
      </c>
      <c r="C2976" s="155">
        <v>145</v>
      </c>
      <c r="D2976" s="55" t="s">
        <v>4311</v>
      </c>
      <c r="E2976" s="90" t="s">
        <v>2949</v>
      </c>
      <c r="G2976" s="55" t="s">
        <v>2950</v>
      </c>
      <c r="H2976" s="55">
        <v>1994</v>
      </c>
      <c r="I2976" s="55">
        <v>1990</v>
      </c>
      <c r="J2976" s="55" t="s">
        <v>2951</v>
      </c>
      <c r="K2976" s="55" t="s">
        <v>2952</v>
      </c>
      <c r="L2976" s="55" t="s">
        <v>2750</v>
      </c>
      <c r="M2976" s="90">
        <f>-13-39/60</f>
        <v>-13.65</v>
      </c>
      <c r="N2976" s="90">
        <f>32+34/60</f>
        <v>32.56666666666667</v>
      </c>
      <c r="O2976" s="90">
        <v>1020</v>
      </c>
      <c r="S2976" s="90">
        <v>900</v>
      </c>
      <c r="U2976" s="55" t="s">
        <v>1688</v>
      </c>
      <c r="V2976" s="55" t="s">
        <v>1816</v>
      </c>
      <c r="Y2976" s="55" t="s">
        <v>2956</v>
      </c>
      <c r="Z2976" s="55" t="s">
        <v>1349</v>
      </c>
      <c r="AA2976" s="90" t="s">
        <v>1677</v>
      </c>
      <c r="AI2976" s="168">
        <v>5</v>
      </c>
      <c r="AJ2976" s="90">
        <v>0.5</v>
      </c>
      <c r="AM2976" s="55" t="s">
        <v>2957</v>
      </c>
      <c r="AN2976" s="185" t="s">
        <v>2838</v>
      </c>
      <c r="AO2976" s="185" t="s">
        <v>5150</v>
      </c>
      <c r="AQ2976" s="55" t="s">
        <v>553</v>
      </c>
      <c r="AR2976" s="55" t="s">
        <v>1607</v>
      </c>
      <c r="AS2976" s="55" t="s">
        <v>132</v>
      </c>
      <c r="AU2976" s="181" t="s">
        <v>7494</v>
      </c>
      <c r="AV2976" s="185" t="s">
        <v>176</v>
      </c>
      <c r="AX2976" s="185" t="s">
        <v>176</v>
      </c>
      <c r="BE2976" s="226" t="s">
        <v>2961</v>
      </c>
      <c r="BG2976" s="191" t="s">
        <v>479</v>
      </c>
      <c r="BH2976" s="226" t="s">
        <v>2961</v>
      </c>
      <c r="BI2976" s="191" t="s">
        <v>479</v>
      </c>
      <c r="BJ2976" s="55" t="s">
        <v>176</v>
      </c>
      <c r="BK2976" s="55" t="s">
        <v>5976</v>
      </c>
      <c r="BM2976" s="192" t="s">
        <v>160</v>
      </c>
      <c r="BN2976" s="55">
        <v>3</v>
      </c>
      <c r="BO2976" s="55">
        <v>3</v>
      </c>
      <c r="BQ2976" s="55" t="s">
        <v>141</v>
      </c>
      <c r="CB2976" s="66">
        <v>4300</v>
      </c>
      <c r="CC2976" s="66">
        <v>7400</v>
      </c>
      <c r="GP2976" s="292" t="s">
        <v>7494</v>
      </c>
    </row>
    <row r="2977" spans="1:198" x14ac:dyDescent="0.25">
      <c r="A2977" s="55">
        <v>2976</v>
      </c>
      <c r="B2977" s="12" t="s">
        <v>7067</v>
      </c>
      <c r="C2977" s="155">
        <v>146</v>
      </c>
      <c r="D2977" s="55" t="s">
        <v>4312</v>
      </c>
      <c r="E2977" s="90" t="s">
        <v>2949</v>
      </c>
      <c r="G2977" s="55" t="s">
        <v>2962</v>
      </c>
      <c r="H2977" s="55">
        <v>1999</v>
      </c>
      <c r="I2977" s="55">
        <v>1991</v>
      </c>
      <c r="J2977" s="55" t="s">
        <v>2688</v>
      </c>
      <c r="K2977" s="55" t="s">
        <v>2952</v>
      </c>
      <c r="L2977" s="55" t="s">
        <v>2750</v>
      </c>
      <c r="M2977" s="90">
        <v>-13.64</v>
      </c>
      <c r="N2977" s="90">
        <v>32.65</v>
      </c>
      <c r="O2977" s="90">
        <v>1020</v>
      </c>
      <c r="R2977" s="55">
        <v>779</v>
      </c>
      <c r="U2977" s="55" t="s">
        <v>1805</v>
      </c>
      <c r="V2977" s="55" t="s">
        <v>1682</v>
      </c>
      <c r="Y2977" s="55" t="s">
        <v>2964</v>
      </c>
      <c r="Z2977" s="55" t="s">
        <v>1349</v>
      </c>
      <c r="AA2977" s="90" t="s">
        <v>1677</v>
      </c>
      <c r="AI2977" s="168">
        <v>5</v>
      </c>
      <c r="AJ2977" s="90">
        <v>0.5</v>
      </c>
      <c r="AM2977" s="55" t="s">
        <v>2957</v>
      </c>
      <c r="AN2977" s="185" t="s">
        <v>2838</v>
      </c>
      <c r="AO2977" s="185" t="s">
        <v>5150</v>
      </c>
      <c r="AQ2977" s="55" t="s">
        <v>553</v>
      </c>
      <c r="AR2977" s="55" t="s">
        <v>1607</v>
      </c>
      <c r="AS2977" s="55" t="s">
        <v>132</v>
      </c>
      <c r="AU2977" s="181" t="s">
        <v>7494</v>
      </c>
      <c r="AV2977" s="185" t="s">
        <v>176</v>
      </c>
      <c r="AX2977" s="185" t="s">
        <v>176</v>
      </c>
      <c r="BE2977" s="226" t="s">
        <v>2958</v>
      </c>
      <c r="BG2977" s="191" t="s">
        <v>176</v>
      </c>
      <c r="BH2977" s="226" t="s">
        <v>2958</v>
      </c>
      <c r="BI2977" s="191" t="s">
        <v>176</v>
      </c>
      <c r="BJ2977" s="55" t="s">
        <v>176</v>
      </c>
      <c r="BK2977" s="55" t="s">
        <v>5976</v>
      </c>
      <c r="BM2977" s="192" t="s">
        <v>160</v>
      </c>
      <c r="BN2977" s="55">
        <v>3</v>
      </c>
      <c r="BO2977" s="55">
        <v>3</v>
      </c>
      <c r="BQ2977" s="55" t="s">
        <v>141</v>
      </c>
      <c r="BV2977" s="55" t="s">
        <v>2963</v>
      </c>
      <c r="CB2977" s="66">
        <v>1900</v>
      </c>
      <c r="CC2977" s="66">
        <v>4400</v>
      </c>
      <c r="CE2977" s="65">
        <v>380</v>
      </c>
      <c r="CF2977" s="65">
        <v>380</v>
      </c>
      <c r="GP2977" s="292" t="s">
        <v>7494</v>
      </c>
    </row>
    <row r="2978" spans="1:198" x14ac:dyDescent="0.25">
      <c r="A2978" s="55">
        <v>2977</v>
      </c>
      <c r="B2978" s="12" t="s">
        <v>7067</v>
      </c>
      <c r="C2978" s="155">
        <v>146</v>
      </c>
      <c r="D2978" s="55" t="s">
        <v>4312</v>
      </c>
      <c r="E2978" s="90" t="s">
        <v>2949</v>
      </c>
      <c r="G2978" s="55" t="s">
        <v>2962</v>
      </c>
      <c r="H2978" s="55">
        <v>1999</v>
      </c>
      <c r="I2978" s="55">
        <v>1991</v>
      </c>
      <c r="J2978" s="55" t="s">
        <v>2688</v>
      </c>
      <c r="K2978" s="55" t="s">
        <v>2952</v>
      </c>
      <c r="L2978" s="55" t="s">
        <v>2750</v>
      </c>
      <c r="M2978" s="90">
        <v>-13.64</v>
      </c>
      <c r="N2978" s="90">
        <v>32.65</v>
      </c>
      <c r="O2978" s="90">
        <v>1020</v>
      </c>
      <c r="R2978" s="55">
        <v>779</v>
      </c>
      <c r="U2978" s="55" t="s">
        <v>1805</v>
      </c>
      <c r="V2978" s="55" t="s">
        <v>1682</v>
      </c>
      <c r="Y2978" s="55" t="s">
        <v>2964</v>
      </c>
      <c r="Z2978" s="55" t="s">
        <v>1349</v>
      </c>
      <c r="AA2978" s="90" t="s">
        <v>1677</v>
      </c>
      <c r="AI2978" s="168">
        <v>5</v>
      </c>
      <c r="AJ2978" s="90">
        <v>0.5</v>
      </c>
      <c r="AM2978" s="55" t="s">
        <v>2957</v>
      </c>
      <c r="AN2978" s="185" t="s">
        <v>2838</v>
      </c>
      <c r="AO2978" s="185" t="s">
        <v>5150</v>
      </c>
      <c r="AQ2978" s="55" t="s">
        <v>553</v>
      </c>
      <c r="AR2978" s="55" t="s">
        <v>1607</v>
      </c>
      <c r="AS2978" s="55" t="s">
        <v>132</v>
      </c>
      <c r="AU2978" s="181" t="s">
        <v>7494</v>
      </c>
      <c r="AV2978" s="185" t="s">
        <v>176</v>
      </c>
      <c r="AX2978" s="185" t="s">
        <v>176</v>
      </c>
      <c r="BE2978" s="226" t="s">
        <v>2958</v>
      </c>
      <c r="BG2978" s="191" t="s">
        <v>176</v>
      </c>
      <c r="BH2978" s="226" t="s">
        <v>2958</v>
      </c>
      <c r="BI2978" s="191" t="s">
        <v>176</v>
      </c>
      <c r="BJ2978" s="55" t="s">
        <v>176</v>
      </c>
      <c r="BK2978" s="55" t="s">
        <v>5976</v>
      </c>
      <c r="BM2978" s="192" t="s">
        <v>160</v>
      </c>
      <c r="BN2978" s="55">
        <v>3</v>
      </c>
      <c r="BO2978" s="55">
        <v>3</v>
      </c>
      <c r="BQ2978" s="55" t="s">
        <v>141</v>
      </c>
      <c r="BV2978" s="55" t="s">
        <v>2963</v>
      </c>
      <c r="CB2978" s="66">
        <v>1900</v>
      </c>
      <c r="CC2978" s="66">
        <v>5600</v>
      </c>
      <c r="CE2978" s="65">
        <v>380</v>
      </c>
      <c r="CF2978" s="65">
        <v>380</v>
      </c>
      <c r="GP2978" s="292" t="s">
        <v>7494</v>
      </c>
    </row>
    <row r="2979" spans="1:198" x14ac:dyDescent="0.25">
      <c r="A2979" s="55">
        <v>2978</v>
      </c>
      <c r="B2979" s="12" t="s">
        <v>7067</v>
      </c>
      <c r="C2979" s="155">
        <v>146</v>
      </c>
      <c r="D2979" s="55" t="s">
        <v>4312</v>
      </c>
      <c r="E2979" s="90" t="s">
        <v>2949</v>
      </c>
      <c r="G2979" s="55" t="s">
        <v>2962</v>
      </c>
      <c r="H2979" s="55">
        <v>1999</v>
      </c>
      <c r="I2979" s="55">
        <v>1991</v>
      </c>
      <c r="J2979" s="55" t="s">
        <v>2688</v>
      </c>
      <c r="K2979" s="55" t="s">
        <v>2952</v>
      </c>
      <c r="L2979" s="55" t="s">
        <v>2750</v>
      </c>
      <c r="M2979" s="90">
        <v>-13.64</v>
      </c>
      <c r="N2979" s="90">
        <v>32.65</v>
      </c>
      <c r="O2979" s="90">
        <v>1020</v>
      </c>
      <c r="R2979" s="55">
        <v>779</v>
      </c>
      <c r="U2979" s="55" t="s">
        <v>1805</v>
      </c>
      <c r="V2979" s="55" t="s">
        <v>1682</v>
      </c>
      <c r="Y2979" s="55" t="s">
        <v>2964</v>
      </c>
      <c r="Z2979" s="55" t="s">
        <v>1349</v>
      </c>
      <c r="AA2979" s="90" t="s">
        <v>1677</v>
      </c>
      <c r="AI2979" s="168">
        <v>5</v>
      </c>
      <c r="AJ2979" s="90">
        <v>0.5</v>
      </c>
      <c r="AM2979" s="55" t="s">
        <v>2957</v>
      </c>
      <c r="AN2979" s="185" t="s">
        <v>2838</v>
      </c>
      <c r="AO2979" s="185" t="s">
        <v>5150</v>
      </c>
      <c r="AQ2979" s="55" t="s">
        <v>553</v>
      </c>
      <c r="AR2979" s="55" t="s">
        <v>1607</v>
      </c>
      <c r="AS2979" s="55" t="s">
        <v>132</v>
      </c>
      <c r="AU2979" s="181" t="s">
        <v>7494</v>
      </c>
      <c r="AV2979" s="185" t="s">
        <v>176</v>
      </c>
      <c r="AX2979" s="185" t="s">
        <v>176</v>
      </c>
      <c r="BE2979" s="226" t="s">
        <v>2958</v>
      </c>
      <c r="BG2979" s="191" t="s">
        <v>176</v>
      </c>
      <c r="BH2979" s="226" t="s">
        <v>2958</v>
      </c>
      <c r="BI2979" s="191" t="s">
        <v>176</v>
      </c>
      <c r="BJ2979" s="55" t="s">
        <v>176</v>
      </c>
      <c r="BK2979" s="55" t="s">
        <v>5976</v>
      </c>
      <c r="BM2979" s="192" t="s">
        <v>160</v>
      </c>
      <c r="BN2979" s="55">
        <v>3</v>
      </c>
      <c r="BO2979" s="55">
        <v>3</v>
      </c>
      <c r="BQ2979" s="55" t="s">
        <v>141</v>
      </c>
      <c r="BV2979" s="55" t="s">
        <v>2963</v>
      </c>
      <c r="CB2979" s="66">
        <v>1900</v>
      </c>
      <c r="CC2979" s="66">
        <v>6000</v>
      </c>
      <c r="CE2979" s="65">
        <v>380</v>
      </c>
      <c r="CF2979" s="65">
        <v>380</v>
      </c>
      <c r="GP2979" s="292" t="s">
        <v>7494</v>
      </c>
    </row>
    <row r="2980" spans="1:198" x14ac:dyDescent="0.25">
      <c r="A2980" s="55">
        <v>2979</v>
      </c>
      <c r="B2980" s="12" t="s">
        <v>7067</v>
      </c>
      <c r="C2980" s="155">
        <v>146</v>
      </c>
      <c r="D2980" s="55" t="s">
        <v>4313</v>
      </c>
      <c r="E2980" s="90" t="s">
        <v>2949</v>
      </c>
      <c r="G2980" s="55" t="s">
        <v>2962</v>
      </c>
      <c r="H2980" s="55">
        <v>1999</v>
      </c>
      <c r="I2980" s="55">
        <v>1991</v>
      </c>
      <c r="J2980" s="55" t="s">
        <v>2688</v>
      </c>
      <c r="K2980" s="55" t="s">
        <v>2952</v>
      </c>
      <c r="L2980" s="55" t="s">
        <v>2750</v>
      </c>
      <c r="M2980" s="90">
        <v>-13.64</v>
      </c>
      <c r="N2980" s="90">
        <v>32.65</v>
      </c>
      <c r="O2980" s="90">
        <v>1020</v>
      </c>
      <c r="R2980" s="55">
        <v>779</v>
      </c>
      <c r="U2980" s="55" t="s">
        <v>1805</v>
      </c>
      <c r="V2980" s="55" t="s">
        <v>1682</v>
      </c>
      <c r="Y2980" s="55" t="s">
        <v>2964</v>
      </c>
      <c r="Z2980" s="55" t="s">
        <v>1349</v>
      </c>
      <c r="AA2980" s="90" t="s">
        <v>1677</v>
      </c>
      <c r="AI2980" s="168">
        <v>5</v>
      </c>
      <c r="AJ2980" s="90">
        <v>0.5</v>
      </c>
      <c r="AM2980" s="55" t="s">
        <v>2957</v>
      </c>
      <c r="AN2980" s="185" t="s">
        <v>2838</v>
      </c>
      <c r="AO2980" s="185" t="s">
        <v>5150</v>
      </c>
      <c r="AQ2980" s="55" t="s">
        <v>553</v>
      </c>
      <c r="AR2980" s="55" t="s">
        <v>1607</v>
      </c>
      <c r="AS2980" s="55" t="s">
        <v>132</v>
      </c>
      <c r="AU2980" s="181" t="s">
        <v>7494</v>
      </c>
      <c r="AV2980" s="185" t="s">
        <v>176</v>
      </c>
      <c r="AX2980" s="185" t="s">
        <v>176</v>
      </c>
      <c r="BE2980" s="226" t="s">
        <v>2961</v>
      </c>
      <c r="BG2980" s="191" t="s">
        <v>479</v>
      </c>
      <c r="BH2980" s="226" t="s">
        <v>2961</v>
      </c>
      <c r="BI2980" s="191" t="s">
        <v>479</v>
      </c>
      <c r="BJ2980" s="55" t="s">
        <v>176</v>
      </c>
      <c r="BK2980" s="55" t="s">
        <v>5976</v>
      </c>
      <c r="BM2980" s="192" t="s">
        <v>160</v>
      </c>
      <c r="BN2980" s="55">
        <v>3</v>
      </c>
      <c r="BO2980" s="55">
        <v>3</v>
      </c>
      <c r="BQ2980" s="55" t="s">
        <v>141</v>
      </c>
      <c r="BV2980" s="55" t="s">
        <v>2963</v>
      </c>
      <c r="CB2980" s="66">
        <v>4300</v>
      </c>
      <c r="CC2980" s="66">
        <v>6700</v>
      </c>
      <c r="CE2980" s="65">
        <v>380</v>
      </c>
      <c r="CF2980" s="65">
        <v>380</v>
      </c>
      <c r="GP2980" s="292" t="s">
        <v>7494</v>
      </c>
    </row>
    <row r="2981" spans="1:198" x14ac:dyDescent="0.25">
      <c r="A2981" s="55">
        <v>2980</v>
      </c>
      <c r="B2981" s="12" t="s">
        <v>7067</v>
      </c>
      <c r="C2981" s="155">
        <v>146</v>
      </c>
      <c r="D2981" s="55" t="s">
        <v>4313</v>
      </c>
      <c r="E2981" s="90" t="s">
        <v>2949</v>
      </c>
      <c r="G2981" s="55" t="s">
        <v>2962</v>
      </c>
      <c r="H2981" s="55">
        <v>1999</v>
      </c>
      <c r="I2981" s="55">
        <v>1991</v>
      </c>
      <c r="J2981" s="55" t="s">
        <v>2688</v>
      </c>
      <c r="K2981" s="55" t="s">
        <v>2952</v>
      </c>
      <c r="L2981" s="55" t="s">
        <v>2750</v>
      </c>
      <c r="M2981" s="90">
        <v>-13.64</v>
      </c>
      <c r="N2981" s="90">
        <v>32.65</v>
      </c>
      <c r="O2981" s="90">
        <v>1020</v>
      </c>
      <c r="R2981" s="55">
        <v>779</v>
      </c>
      <c r="U2981" s="55" t="s">
        <v>1805</v>
      </c>
      <c r="V2981" s="55" t="s">
        <v>1682</v>
      </c>
      <c r="Y2981" s="55" t="s">
        <v>2964</v>
      </c>
      <c r="Z2981" s="55" t="s">
        <v>1349</v>
      </c>
      <c r="AA2981" s="90" t="s">
        <v>1677</v>
      </c>
      <c r="AI2981" s="168">
        <v>5</v>
      </c>
      <c r="AJ2981" s="90">
        <v>0.5</v>
      </c>
      <c r="AM2981" s="55" t="s">
        <v>2957</v>
      </c>
      <c r="AN2981" s="185" t="s">
        <v>2838</v>
      </c>
      <c r="AO2981" s="185" t="s">
        <v>5150</v>
      </c>
      <c r="AQ2981" s="55" t="s">
        <v>553</v>
      </c>
      <c r="AR2981" s="55" t="s">
        <v>1607</v>
      </c>
      <c r="AS2981" s="55" t="s">
        <v>132</v>
      </c>
      <c r="AU2981" s="181" t="s">
        <v>7494</v>
      </c>
      <c r="AV2981" s="185" t="s">
        <v>176</v>
      </c>
      <c r="AX2981" s="185" t="s">
        <v>176</v>
      </c>
      <c r="BE2981" s="226" t="s">
        <v>2961</v>
      </c>
      <c r="BG2981" s="191" t="s">
        <v>479</v>
      </c>
      <c r="BH2981" s="226" t="s">
        <v>2961</v>
      </c>
      <c r="BI2981" s="191" t="s">
        <v>479</v>
      </c>
      <c r="BJ2981" s="55" t="s">
        <v>176</v>
      </c>
      <c r="BK2981" s="55" t="s">
        <v>5976</v>
      </c>
      <c r="BM2981" s="192" t="s">
        <v>160</v>
      </c>
      <c r="BN2981" s="55">
        <v>3</v>
      </c>
      <c r="BO2981" s="55">
        <v>3</v>
      </c>
      <c r="BQ2981" s="55" t="s">
        <v>141</v>
      </c>
      <c r="BV2981" s="55" t="s">
        <v>2963</v>
      </c>
      <c r="CB2981" s="66">
        <v>4300</v>
      </c>
      <c r="CC2981" s="66">
        <v>7900</v>
      </c>
      <c r="CE2981" s="65">
        <v>380</v>
      </c>
      <c r="CF2981" s="65">
        <v>380</v>
      </c>
      <c r="GP2981" s="292" t="s">
        <v>7494</v>
      </c>
    </row>
    <row r="2982" spans="1:198" x14ac:dyDescent="0.25">
      <c r="A2982" s="55">
        <v>2981</v>
      </c>
      <c r="B2982" s="12" t="s">
        <v>7067</v>
      </c>
      <c r="C2982" s="155">
        <v>146</v>
      </c>
      <c r="D2982" s="55" t="s">
        <v>4313</v>
      </c>
      <c r="E2982" s="90" t="s">
        <v>2949</v>
      </c>
      <c r="G2982" s="55" t="s">
        <v>2962</v>
      </c>
      <c r="H2982" s="55">
        <v>1999</v>
      </c>
      <c r="I2982" s="55">
        <v>1991</v>
      </c>
      <c r="J2982" s="55" t="s">
        <v>2688</v>
      </c>
      <c r="K2982" s="55" t="s">
        <v>2952</v>
      </c>
      <c r="L2982" s="55" t="s">
        <v>2750</v>
      </c>
      <c r="M2982" s="90">
        <v>-13.64</v>
      </c>
      <c r="N2982" s="90">
        <v>32.65</v>
      </c>
      <c r="O2982" s="90">
        <v>1020</v>
      </c>
      <c r="R2982" s="55">
        <v>779</v>
      </c>
      <c r="U2982" s="55" t="s">
        <v>1805</v>
      </c>
      <c r="V2982" s="55" t="s">
        <v>1682</v>
      </c>
      <c r="Y2982" s="55" t="s">
        <v>2964</v>
      </c>
      <c r="Z2982" s="55" t="s">
        <v>1349</v>
      </c>
      <c r="AA2982" s="90" t="s">
        <v>1677</v>
      </c>
      <c r="AI2982" s="168">
        <v>5</v>
      </c>
      <c r="AJ2982" s="90">
        <v>0.5</v>
      </c>
      <c r="AM2982" s="55" t="s">
        <v>2957</v>
      </c>
      <c r="AN2982" s="185" t="s">
        <v>2838</v>
      </c>
      <c r="AO2982" s="185" t="s">
        <v>5150</v>
      </c>
      <c r="AQ2982" s="55" t="s">
        <v>553</v>
      </c>
      <c r="AR2982" s="55" t="s">
        <v>1607</v>
      </c>
      <c r="AS2982" s="55" t="s">
        <v>132</v>
      </c>
      <c r="AU2982" s="181" t="s">
        <v>7494</v>
      </c>
      <c r="AV2982" s="185" t="s">
        <v>176</v>
      </c>
      <c r="AX2982" s="185" t="s">
        <v>176</v>
      </c>
      <c r="BE2982" s="226" t="s">
        <v>2961</v>
      </c>
      <c r="BG2982" s="191" t="s">
        <v>479</v>
      </c>
      <c r="BH2982" s="226" t="s">
        <v>2961</v>
      </c>
      <c r="BI2982" s="191" t="s">
        <v>479</v>
      </c>
      <c r="BJ2982" s="55" t="s">
        <v>176</v>
      </c>
      <c r="BK2982" s="55" t="s">
        <v>5976</v>
      </c>
      <c r="BM2982" s="192" t="s">
        <v>160</v>
      </c>
      <c r="BN2982" s="55">
        <v>3</v>
      </c>
      <c r="BO2982" s="55">
        <v>3</v>
      </c>
      <c r="BQ2982" s="55" t="s">
        <v>141</v>
      </c>
      <c r="BV2982" s="55" t="s">
        <v>2963</v>
      </c>
      <c r="CB2982" s="66">
        <v>4300</v>
      </c>
      <c r="CC2982" s="66">
        <v>7400</v>
      </c>
      <c r="CE2982" s="65">
        <v>380</v>
      </c>
      <c r="CF2982" s="65">
        <v>380</v>
      </c>
      <c r="GP2982" s="292" t="s">
        <v>7494</v>
      </c>
    </row>
    <row r="2983" spans="1:198" x14ac:dyDescent="0.25">
      <c r="A2983" s="55">
        <v>2982</v>
      </c>
      <c r="B2983" s="12" t="s">
        <v>7067</v>
      </c>
      <c r="C2983" s="155">
        <v>146</v>
      </c>
      <c r="D2983" s="55" t="s">
        <v>4312</v>
      </c>
      <c r="E2983" s="90" t="s">
        <v>2949</v>
      </c>
      <c r="G2983" s="55" t="s">
        <v>2962</v>
      </c>
      <c r="H2983" s="55">
        <v>1999</v>
      </c>
      <c r="I2983" s="55">
        <v>1992</v>
      </c>
      <c r="J2983" s="55" t="s">
        <v>2688</v>
      </c>
      <c r="K2983" s="55" t="s">
        <v>2952</v>
      </c>
      <c r="L2983" s="55" t="s">
        <v>2750</v>
      </c>
      <c r="M2983" s="90">
        <v>-13.64</v>
      </c>
      <c r="N2983" s="90">
        <v>32.65</v>
      </c>
      <c r="O2983" s="90">
        <v>1020</v>
      </c>
      <c r="R2983" s="55">
        <v>825</v>
      </c>
      <c r="U2983" s="55" t="s">
        <v>1688</v>
      </c>
      <c r="V2983" s="55" t="s">
        <v>1682</v>
      </c>
      <c r="Y2983" s="55" t="s">
        <v>2964</v>
      </c>
      <c r="Z2983" s="55" t="s">
        <v>1349</v>
      </c>
      <c r="AA2983" s="90" t="s">
        <v>1677</v>
      </c>
      <c r="AI2983" s="168">
        <v>5</v>
      </c>
      <c r="AJ2983" s="90">
        <v>0.5</v>
      </c>
      <c r="AM2983" s="55" t="s">
        <v>2957</v>
      </c>
      <c r="AN2983" s="185" t="s">
        <v>2838</v>
      </c>
      <c r="AO2983" s="185" t="s">
        <v>5150</v>
      </c>
      <c r="AQ2983" s="55" t="s">
        <v>553</v>
      </c>
      <c r="AR2983" s="55" t="s">
        <v>1607</v>
      </c>
      <c r="AS2983" s="55" t="s">
        <v>132</v>
      </c>
      <c r="AU2983" s="181" t="s">
        <v>7494</v>
      </c>
      <c r="AV2983" s="185" t="s">
        <v>176</v>
      </c>
      <c r="AX2983" s="185" t="s">
        <v>176</v>
      </c>
      <c r="BE2983" s="226" t="s">
        <v>2958</v>
      </c>
      <c r="BG2983" s="191" t="s">
        <v>176</v>
      </c>
      <c r="BH2983" s="226" t="s">
        <v>2958</v>
      </c>
      <c r="BI2983" s="191" t="s">
        <v>176</v>
      </c>
      <c r="BJ2983" s="55" t="s">
        <v>176</v>
      </c>
      <c r="BK2983" s="55" t="s">
        <v>5976</v>
      </c>
      <c r="BM2983" s="192" t="s">
        <v>160</v>
      </c>
      <c r="BN2983" s="55">
        <v>3</v>
      </c>
      <c r="BO2983" s="55">
        <v>3</v>
      </c>
      <c r="BQ2983" s="55" t="s">
        <v>141</v>
      </c>
      <c r="BV2983" s="55" t="s">
        <v>2963</v>
      </c>
      <c r="CB2983" s="66">
        <v>200</v>
      </c>
      <c r="CC2983" s="66">
        <v>400</v>
      </c>
      <c r="CE2983" s="65">
        <v>80</v>
      </c>
      <c r="CF2983" s="65">
        <v>80</v>
      </c>
      <c r="GP2983" s="292" t="s">
        <v>7494</v>
      </c>
    </row>
    <row r="2984" spans="1:198" x14ac:dyDescent="0.25">
      <c r="A2984" s="55">
        <v>2983</v>
      </c>
      <c r="B2984" s="12" t="s">
        <v>7067</v>
      </c>
      <c r="C2984" s="155">
        <v>146</v>
      </c>
      <c r="D2984" s="55" t="s">
        <v>4312</v>
      </c>
      <c r="E2984" s="90" t="s">
        <v>2949</v>
      </c>
      <c r="G2984" s="55" t="s">
        <v>2962</v>
      </c>
      <c r="H2984" s="55">
        <v>1999</v>
      </c>
      <c r="I2984" s="55">
        <v>1992</v>
      </c>
      <c r="J2984" s="55" t="s">
        <v>2688</v>
      </c>
      <c r="K2984" s="55" t="s">
        <v>2952</v>
      </c>
      <c r="L2984" s="55" t="s">
        <v>2750</v>
      </c>
      <c r="M2984" s="90">
        <v>-13.64</v>
      </c>
      <c r="N2984" s="90">
        <v>32.65</v>
      </c>
      <c r="O2984" s="90">
        <v>1020</v>
      </c>
      <c r="R2984" s="55">
        <v>825</v>
      </c>
      <c r="U2984" s="55" t="s">
        <v>1688</v>
      </c>
      <c r="V2984" s="55" t="s">
        <v>1682</v>
      </c>
      <c r="Y2984" s="55" t="s">
        <v>2964</v>
      </c>
      <c r="Z2984" s="55" t="s">
        <v>1349</v>
      </c>
      <c r="AA2984" s="90" t="s">
        <v>1677</v>
      </c>
      <c r="AI2984" s="168">
        <v>5</v>
      </c>
      <c r="AJ2984" s="90">
        <v>0.5</v>
      </c>
      <c r="AM2984" s="55" t="s">
        <v>2957</v>
      </c>
      <c r="AN2984" s="185" t="s">
        <v>2838</v>
      </c>
      <c r="AO2984" s="185" t="s">
        <v>5150</v>
      </c>
      <c r="AQ2984" s="55" t="s">
        <v>553</v>
      </c>
      <c r="AR2984" s="55" t="s">
        <v>1607</v>
      </c>
      <c r="AS2984" s="55" t="s">
        <v>132</v>
      </c>
      <c r="AU2984" s="181" t="s">
        <v>7494</v>
      </c>
      <c r="AV2984" s="185" t="s">
        <v>176</v>
      </c>
      <c r="AX2984" s="185" t="s">
        <v>176</v>
      </c>
      <c r="BE2984" s="226" t="s">
        <v>2958</v>
      </c>
      <c r="BG2984" s="191" t="s">
        <v>176</v>
      </c>
      <c r="BH2984" s="226" t="s">
        <v>2958</v>
      </c>
      <c r="BI2984" s="191" t="s">
        <v>176</v>
      </c>
      <c r="BJ2984" s="55" t="s">
        <v>176</v>
      </c>
      <c r="BK2984" s="55" t="s">
        <v>5976</v>
      </c>
      <c r="BM2984" s="192" t="s">
        <v>160</v>
      </c>
      <c r="BN2984" s="55">
        <v>3</v>
      </c>
      <c r="BO2984" s="55">
        <v>3</v>
      </c>
      <c r="BQ2984" s="55" t="s">
        <v>141</v>
      </c>
      <c r="BV2984" s="55" t="s">
        <v>2963</v>
      </c>
      <c r="CB2984" s="66">
        <v>200</v>
      </c>
      <c r="CC2984" s="66">
        <v>500</v>
      </c>
      <c r="CE2984" s="65">
        <v>80</v>
      </c>
      <c r="CF2984" s="65">
        <v>80</v>
      </c>
      <c r="GP2984" s="292" t="s">
        <v>7494</v>
      </c>
    </row>
    <row r="2985" spans="1:198" x14ac:dyDescent="0.25">
      <c r="A2985" s="55">
        <v>2984</v>
      </c>
      <c r="B2985" s="12" t="s">
        <v>7067</v>
      </c>
      <c r="C2985" s="155">
        <v>146</v>
      </c>
      <c r="D2985" s="55" t="s">
        <v>4312</v>
      </c>
      <c r="E2985" s="90" t="s">
        <v>2949</v>
      </c>
      <c r="G2985" s="55" t="s">
        <v>2962</v>
      </c>
      <c r="H2985" s="55">
        <v>1999</v>
      </c>
      <c r="I2985" s="55">
        <v>1992</v>
      </c>
      <c r="J2985" s="55" t="s">
        <v>2688</v>
      </c>
      <c r="K2985" s="55" t="s">
        <v>2952</v>
      </c>
      <c r="L2985" s="55" t="s">
        <v>2750</v>
      </c>
      <c r="M2985" s="90">
        <v>-13.64</v>
      </c>
      <c r="N2985" s="90">
        <v>32.65</v>
      </c>
      <c r="O2985" s="90">
        <v>1020</v>
      </c>
      <c r="R2985" s="55">
        <v>825</v>
      </c>
      <c r="U2985" s="55" t="s">
        <v>1688</v>
      </c>
      <c r="V2985" s="55" t="s">
        <v>1682</v>
      </c>
      <c r="Y2985" s="55" t="s">
        <v>2964</v>
      </c>
      <c r="Z2985" s="55" t="s">
        <v>1349</v>
      </c>
      <c r="AA2985" s="90" t="s">
        <v>1677</v>
      </c>
      <c r="AI2985" s="168">
        <v>5</v>
      </c>
      <c r="AJ2985" s="90">
        <v>0.5</v>
      </c>
      <c r="AM2985" s="55" t="s">
        <v>2957</v>
      </c>
      <c r="AN2985" s="185" t="s">
        <v>2838</v>
      </c>
      <c r="AO2985" s="185" t="s">
        <v>5150</v>
      </c>
      <c r="AQ2985" s="55" t="s">
        <v>553</v>
      </c>
      <c r="AR2985" s="55" t="s">
        <v>1607</v>
      </c>
      <c r="AS2985" s="55" t="s">
        <v>132</v>
      </c>
      <c r="AU2985" s="181" t="s">
        <v>7494</v>
      </c>
      <c r="AV2985" s="185" t="s">
        <v>176</v>
      </c>
      <c r="AX2985" s="185" t="s">
        <v>176</v>
      </c>
      <c r="BE2985" s="226" t="s">
        <v>2958</v>
      </c>
      <c r="BG2985" s="191" t="s">
        <v>176</v>
      </c>
      <c r="BH2985" s="226" t="s">
        <v>2958</v>
      </c>
      <c r="BI2985" s="191" t="s">
        <v>176</v>
      </c>
      <c r="BJ2985" s="55" t="s">
        <v>176</v>
      </c>
      <c r="BK2985" s="55" t="s">
        <v>5976</v>
      </c>
      <c r="BM2985" s="192" t="s">
        <v>160</v>
      </c>
      <c r="BN2985" s="55">
        <v>3</v>
      </c>
      <c r="BO2985" s="55">
        <v>3</v>
      </c>
      <c r="BQ2985" s="55" t="s">
        <v>141</v>
      </c>
      <c r="BV2985" s="55" t="s">
        <v>2963</v>
      </c>
      <c r="CB2985" s="66">
        <v>200</v>
      </c>
      <c r="CC2985" s="66">
        <v>900</v>
      </c>
      <c r="CE2985" s="65">
        <v>80</v>
      </c>
      <c r="CF2985" s="65">
        <v>80</v>
      </c>
      <c r="GP2985" s="292" t="s">
        <v>7494</v>
      </c>
    </row>
    <row r="2986" spans="1:198" x14ac:dyDescent="0.25">
      <c r="A2986" s="55">
        <v>2985</v>
      </c>
      <c r="B2986" s="12" t="s">
        <v>7067</v>
      </c>
      <c r="C2986" s="155">
        <v>146</v>
      </c>
      <c r="D2986" s="55" t="s">
        <v>4313</v>
      </c>
      <c r="E2986" s="90" t="s">
        <v>2949</v>
      </c>
      <c r="G2986" s="55" t="s">
        <v>2962</v>
      </c>
      <c r="H2986" s="55">
        <v>1999</v>
      </c>
      <c r="I2986" s="55">
        <v>1992</v>
      </c>
      <c r="J2986" s="55" t="s">
        <v>2688</v>
      </c>
      <c r="K2986" s="55" t="s">
        <v>2952</v>
      </c>
      <c r="L2986" s="55" t="s">
        <v>2750</v>
      </c>
      <c r="M2986" s="90">
        <v>-13.64</v>
      </c>
      <c r="N2986" s="90">
        <v>32.65</v>
      </c>
      <c r="O2986" s="90">
        <v>1020</v>
      </c>
      <c r="R2986" s="55">
        <v>825</v>
      </c>
      <c r="U2986" s="55" t="s">
        <v>1688</v>
      </c>
      <c r="V2986" s="55" t="s">
        <v>1682</v>
      </c>
      <c r="Y2986" s="55" t="s">
        <v>2964</v>
      </c>
      <c r="Z2986" s="55" t="s">
        <v>1349</v>
      </c>
      <c r="AA2986" s="90" t="s">
        <v>1677</v>
      </c>
      <c r="AI2986" s="168">
        <v>5</v>
      </c>
      <c r="AJ2986" s="90">
        <v>0.5</v>
      </c>
      <c r="AM2986" s="55" t="s">
        <v>2957</v>
      </c>
      <c r="AN2986" s="185" t="s">
        <v>2838</v>
      </c>
      <c r="AO2986" s="185" t="s">
        <v>5150</v>
      </c>
      <c r="AQ2986" s="55" t="s">
        <v>553</v>
      </c>
      <c r="AR2986" s="55" t="s">
        <v>1607</v>
      </c>
      <c r="AS2986" s="55" t="s">
        <v>132</v>
      </c>
      <c r="AU2986" s="181" t="s">
        <v>7494</v>
      </c>
      <c r="AV2986" s="185" t="s">
        <v>176</v>
      </c>
      <c r="AX2986" s="185" t="s">
        <v>176</v>
      </c>
      <c r="BE2986" s="226" t="s">
        <v>2961</v>
      </c>
      <c r="BG2986" s="191" t="s">
        <v>479</v>
      </c>
      <c r="BH2986" s="226" t="s">
        <v>2961</v>
      </c>
      <c r="BI2986" s="191" t="s">
        <v>479</v>
      </c>
      <c r="BJ2986" s="55" t="s">
        <v>176</v>
      </c>
      <c r="BK2986" s="55" t="s">
        <v>5976</v>
      </c>
      <c r="BM2986" s="192" t="s">
        <v>160</v>
      </c>
      <c r="BN2986" s="55">
        <v>3</v>
      </c>
      <c r="BO2986" s="55">
        <v>3</v>
      </c>
      <c r="BQ2986" s="55" t="s">
        <v>141</v>
      </c>
      <c r="BV2986" s="55" t="s">
        <v>2963</v>
      </c>
      <c r="CB2986" s="66">
        <v>1800</v>
      </c>
      <c r="CC2986" s="66">
        <v>500</v>
      </c>
      <c r="CE2986" s="65">
        <v>80</v>
      </c>
      <c r="CF2986" s="65">
        <v>80</v>
      </c>
      <c r="GP2986" s="292" t="s">
        <v>7494</v>
      </c>
    </row>
    <row r="2987" spans="1:198" x14ac:dyDescent="0.25">
      <c r="A2987" s="55">
        <v>2986</v>
      </c>
      <c r="B2987" s="12" t="s">
        <v>7067</v>
      </c>
      <c r="C2987" s="155">
        <v>146</v>
      </c>
      <c r="D2987" s="55" t="s">
        <v>4313</v>
      </c>
      <c r="E2987" s="90" t="s">
        <v>2949</v>
      </c>
      <c r="G2987" s="55" t="s">
        <v>2962</v>
      </c>
      <c r="H2987" s="55">
        <v>1999</v>
      </c>
      <c r="I2987" s="55">
        <v>1992</v>
      </c>
      <c r="J2987" s="55" t="s">
        <v>2688</v>
      </c>
      <c r="K2987" s="55" t="s">
        <v>2952</v>
      </c>
      <c r="L2987" s="55" t="s">
        <v>2750</v>
      </c>
      <c r="M2987" s="90">
        <v>-13.64</v>
      </c>
      <c r="N2987" s="90">
        <v>32.65</v>
      </c>
      <c r="O2987" s="90">
        <v>1020</v>
      </c>
      <c r="R2987" s="55">
        <v>825</v>
      </c>
      <c r="U2987" s="55" t="s">
        <v>1688</v>
      </c>
      <c r="V2987" s="55" t="s">
        <v>1682</v>
      </c>
      <c r="Y2987" s="55" t="s">
        <v>2964</v>
      </c>
      <c r="Z2987" s="55" t="s">
        <v>1349</v>
      </c>
      <c r="AA2987" s="90" t="s">
        <v>1677</v>
      </c>
      <c r="AI2987" s="168">
        <v>5</v>
      </c>
      <c r="AJ2987" s="90">
        <v>0.5</v>
      </c>
      <c r="AM2987" s="55" t="s">
        <v>2957</v>
      </c>
      <c r="AN2987" s="185" t="s">
        <v>2838</v>
      </c>
      <c r="AO2987" s="185" t="s">
        <v>5150</v>
      </c>
      <c r="AQ2987" s="55" t="s">
        <v>553</v>
      </c>
      <c r="AR2987" s="55" t="s">
        <v>1607</v>
      </c>
      <c r="AS2987" s="55" t="s">
        <v>132</v>
      </c>
      <c r="AU2987" s="181" t="s">
        <v>7494</v>
      </c>
      <c r="AV2987" s="185" t="s">
        <v>176</v>
      </c>
      <c r="AX2987" s="185" t="s">
        <v>176</v>
      </c>
      <c r="BE2987" s="226" t="s">
        <v>2961</v>
      </c>
      <c r="BG2987" s="191" t="s">
        <v>479</v>
      </c>
      <c r="BH2987" s="226" t="s">
        <v>2961</v>
      </c>
      <c r="BI2987" s="191" t="s">
        <v>479</v>
      </c>
      <c r="BJ2987" s="55" t="s">
        <v>176</v>
      </c>
      <c r="BK2987" s="55" t="s">
        <v>5976</v>
      </c>
      <c r="BM2987" s="192" t="s">
        <v>160</v>
      </c>
      <c r="BN2987" s="55">
        <v>3</v>
      </c>
      <c r="BO2987" s="55">
        <v>3</v>
      </c>
      <c r="BQ2987" s="55" t="s">
        <v>141</v>
      </c>
      <c r="BV2987" s="55" t="s">
        <v>2963</v>
      </c>
      <c r="CB2987" s="66">
        <v>1800</v>
      </c>
      <c r="CC2987" s="66">
        <v>500</v>
      </c>
      <c r="CE2987" s="65">
        <v>80</v>
      </c>
      <c r="CF2987" s="65">
        <v>80</v>
      </c>
      <c r="GP2987" s="292" t="s">
        <v>7494</v>
      </c>
    </row>
    <row r="2988" spans="1:198" x14ac:dyDescent="0.25">
      <c r="A2988" s="55">
        <v>2987</v>
      </c>
      <c r="B2988" s="12" t="s">
        <v>7067</v>
      </c>
      <c r="C2988" s="155">
        <v>146</v>
      </c>
      <c r="D2988" s="55" t="s">
        <v>4313</v>
      </c>
      <c r="E2988" s="90" t="s">
        <v>2949</v>
      </c>
      <c r="G2988" s="55" t="s">
        <v>2962</v>
      </c>
      <c r="H2988" s="55">
        <v>1999</v>
      </c>
      <c r="I2988" s="55">
        <v>1992</v>
      </c>
      <c r="J2988" s="55" t="s">
        <v>2688</v>
      </c>
      <c r="K2988" s="55" t="s">
        <v>2952</v>
      </c>
      <c r="L2988" s="55" t="s">
        <v>2750</v>
      </c>
      <c r="M2988" s="90">
        <v>-13.64</v>
      </c>
      <c r="N2988" s="90">
        <v>32.65</v>
      </c>
      <c r="O2988" s="90">
        <v>1020</v>
      </c>
      <c r="R2988" s="55">
        <v>825</v>
      </c>
      <c r="U2988" s="55" t="s">
        <v>1688</v>
      </c>
      <c r="V2988" s="55" t="s">
        <v>1682</v>
      </c>
      <c r="Y2988" s="55" t="s">
        <v>2964</v>
      </c>
      <c r="Z2988" s="55" t="s">
        <v>1349</v>
      </c>
      <c r="AA2988" s="90" t="s">
        <v>1677</v>
      </c>
      <c r="AI2988" s="168">
        <v>5</v>
      </c>
      <c r="AJ2988" s="90">
        <v>0.5</v>
      </c>
      <c r="AM2988" s="55" t="s">
        <v>2957</v>
      </c>
      <c r="AN2988" s="185" t="s">
        <v>2838</v>
      </c>
      <c r="AO2988" s="185" t="s">
        <v>5150</v>
      </c>
      <c r="AQ2988" s="55" t="s">
        <v>553</v>
      </c>
      <c r="AR2988" s="55" t="s">
        <v>1607</v>
      </c>
      <c r="AS2988" s="55" t="s">
        <v>132</v>
      </c>
      <c r="AU2988" s="181" t="s">
        <v>7494</v>
      </c>
      <c r="AV2988" s="185" t="s">
        <v>176</v>
      </c>
      <c r="AX2988" s="185" t="s">
        <v>176</v>
      </c>
      <c r="BE2988" s="226" t="s">
        <v>2961</v>
      </c>
      <c r="BG2988" s="191" t="s">
        <v>479</v>
      </c>
      <c r="BH2988" s="226" t="s">
        <v>2961</v>
      </c>
      <c r="BI2988" s="191" t="s">
        <v>479</v>
      </c>
      <c r="BJ2988" s="55" t="s">
        <v>176</v>
      </c>
      <c r="BK2988" s="55" t="s">
        <v>5976</v>
      </c>
      <c r="BM2988" s="192" t="s">
        <v>160</v>
      </c>
      <c r="BN2988" s="55">
        <v>3</v>
      </c>
      <c r="BO2988" s="55">
        <v>3</v>
      </c>
      <c r="BQ2988" s="55" t="s">
        <v>141</v>
      </c>
      <c r="BV2988" s="55" t="s">
        <v>2963</v>
      </c>
      <c r="CB2988" s="66">
        <v>1800</v>
      </c>
      <c r="CC2988" s="66">
        <v>900</v>
      </c>
      <c r="CE2988" s="65">
        <v>80</v>
      </c>
      <c r="CF2988" s="65">
        <v>80</v>
      </c>
      <c r="GP2988" s="292" t="s">
        <v>7494</v>
      </c>
    </row>
    <row r="2989" spans="1:198" x14ac:dyDescent="0.25">
      <c r="A2989" s="55">
        <v>2988</v>
      </c>
      <c r="B2989" s="12" t="s">
        <v>7067</v>
      </c>
      <c r="C2989" s="155">
        <v>146</v>
      </c>
      <c r="D2989" s="55" t="s">
        <v>4312</v>
      </c>
      <c r="E2989" s="90" t="s">
        <v>2949</v>
      </c>
      <c r="G2989" s="55" t="s">
        <v>2962</v>
      </c>
      <c r="H2989" s="55">
        <v>1999</v>
      </c>
      <c r="I2989" s="55">
        <v>1993</v>
      </c>
      <c r="J2989" s="55" t="s">
        <v>2688</v>
      </c>
      <c r="K2989" s="55" t="s">
        <v>2952</v>
      </c>
      <c r="L2989" s="55" t="s">
        <v>2750</v>
      </c>
      <c r="M2989" s="90">
        <v>-13.64</v>
      </c>
      <c r="N2989" s="90">
        <v>32.65</v>
      </c>
      <c r="O2989" s="90">
        <v>1020</v>
      </c>
      <c r="R2989" s="55">
        <v>1337</v>
      </c>
      <c r="U2989" s="55" t="s">
        <v>1816</v>
      </c>
      <c r="V2989" s="55" t="s">
        <v>1682</v>
      </c>
      <c r="Y2989" s="55" t="s">
        <v>2964</v>
      </c>
      <c r="Z2989" s="55" t="s">
        <v>1349</v>
      </c>
      <c r="AA2989" s="90" t="s">
        <v>1677</v>
      </c>
      <c r="AI2989" s="168">
        <v>5</v>
      </c>
      <c r="AJ2989" s="90">
        <v>0.5</v>
      </c>
      <c r="AM2989" s="55" t="s">
        <v>2957</v>
      </c>
      <c r="AN2989" s="185" t="s">
        <v>2838</v>
      </c>
      <c r="AO2989" s="185" t="s">
        <v>5150</v>
      </c>
      <c r="AQ2989" s="55" t="s">
        <v>553</v>
      </c>
      <c r="AR2989" s="55" t="s">
        <v>1607</v>
      </c>
      <c r="AS2989" s="55" t="s">
        <v>132</v>
      </c>
      <c r="AU2989" s="181" t="s">
        <v>7494</v>
      </c>
      <c r="AV2989" s="185" t="s">
        <v>176</v>
      </c>
      <c r="AX2989" s="185" t="s">
        <v>176</v>
      </c>
      <c r="BE2989" s="226" t="s">
        <v>2958</v>
      </c>
      <c r="BG2989" s="191" t="s">
        <v>176</v>
      </c>
      <c r="BH2989" s="226" t="s">
        <v>2958</v>
      </c>
      <c r="BI2989" s="191" t="s">
        <v>176</v>
      </c>
      <c r="BJ2989" s="55" t="s">
        <v>176</v>
      </c>
      <c r="BK2989" s="55" t="s">
        <v>5976</v>
      </c>
      <c r="BM2989" s="192" t="s">
        <v>160</v>
      </c>
      <c r="BN2989" s="55">
        <v>3</v>
      </c>
      <c r="BO2989" s="55">
        <v>3</v>
      </c>
      <c r="BQ2989" s="55" t="s">
        <v>141</v>
      </c>
      <c r="BV2989" s="55" t="s">
        <v>2963</v>
      </c>
      <c r="CB2989" s="66">
        <v>900</v>
      </c>
      <c r="CC2989" s="66">
        <v>1500</v>
      </c>
      <c r="CE2989" s="65">
        <v>180</v>
      </c>
      <c r="CF2989" s="65">
        <v>180</v>
      </c>
      <c r="GP2989" s="292" t="s">
        <v>7494</v>
      </c>
    </row>
    <row r="2990" spans="1:198" x14ac:dyDescent="0.25">
      <c r="A2990" s="55">
        <v>2989</v>
      </c>
      <c r="B2990" s="12" t="s">
        <v>7067</v>
      </c>
      <c r="C2990" s="155">
        <v>146</v>
      </c>
      <c r="D2990" s="55" t="s">
        <v>4312</v>
      </c>
      <c r="E2990" s="90" t="s">
        <v>2949</v>
      </c>
      <c r="G2990" s="55" t="s">
        <v>2962</v>
      </c>
      <c r="H2990" s="55">
        <v>1999</v>
      </c>
      <c r="I2990" s="55">
        <v>1993</v>
      </c>
      <c r="J2990" s="55" t="s">
        <v>2688</v>
      </c>
      <c r="K2990" s="55" t="s">
        <v>2952</v>
      </c>
      <c r="L2990" s="55" t="s">
        <v>2750</v>
      </c>
      <c r="M2990" s="90">
        <v>-13.64</v>
      </c>
      <c r="N2990" s="90">
        <v>32.65</v>
      </c>
      <c r="O2990" s="90">
        <v>1020</v>
      </c>
      <c r="R2990" s="55">
        <v>1337</v>
      </c>
      <c r="U2990" s="55" t="s">
        <v>1816</v>
      </c>
      <c r="V2990" s="55" t="s">
        <v>1682</v>
      </c>
      <c r="Y2990" s="55" t="s">
        <v>2964</v>
      </c>
      <c r="Z2990" s="55" t="s">
        <v>1349</v>
      </c>
      <c r="AA2990" s="90" t="s">
        <v>1677</v>
      </c>
      <c r="AI2990" s="168">
        <v>5</v>
      </c>
      <c r="AJ2990" s="90">
        <v>0.5</v>
      </c>
      <c r="AM2990" s="55" t="s">
        <v>2957</v>
      </c>
      <c r="AN2990" s="185" t="s">
        <v>2838</v>
      </c>
      <c r="AO2990" s="185" t="s">
        <v>5150</v>
      </c>
      <c r="AQ2990" s="55" t="s">
        <v>553</v>
      </c>
      <c r="AR2990" s="55" t="s">
        <v>1607</v>
      </c>
      <c r="AS2990" s="55" t="s">
        <v>132</v>
      </c>
      <c r="AU2990" s="181" t="s">
        <v>7494</v>
      </c>
      <c r="AV2990" s="185" t="s">
        <v>176</v>
      </c>
      <c r="AX2990" s="185" t="s">
        <v>176</v>
      </c>
      <c r="BE2990" s="226" t="s">
        <v>2958</v>
      </c>
      <c r="BG2990" s="191" t="s">
        <v>176</v>
      </c>
      <c r="BH2990" s="226" t="s">
        <v>2958</v>
      </c>
      <c r="BI2990" s="191" t="s">
        <v>176</v>
      </c>
      <c r="BJ2990" s="55" t="s">
        <v>176</v>
      </c>
      <c r="BK2990" s="55" t="s">
        <v>5976</v>
      </c>
      <c r="BM2990" s="192" t="s">
        <v>160</v>
      </c>
      <c r="BN2990" s="55">
        <v>3</v>
      </c>
      <c r="BO2990" s="55">
        <v>3</v>
      </c>
      <c r="BQ2990" s="55" t="s">
        <v>141</v>
      </c>
      <c r="BV2990" s="55" t="s">
        <v>2963</v>
      </c>
      <c r="CB2990" s="66">
        <v>900</v>
      </c>
      <c r="CC2990" s="66">
        <v>1700</v>
      </c>
      <c r="CE2990" s="65">
        <v>180</v>
      </c>
      <c r="CF2990" s="65">
        <v>180</v>
      </c>
      <c r="GP2990" s="292" t="s">
        <v>7494</v>
      </c>
    </row>
    <row r="2991" spans="1:198" x14ac:dyDescent="0.25">
      <c r="A2991" s="55">
        <v>2990</v>
      </c>
      <c r="B2991" s="12" t="s">
        <v>7067</v>
      </c>
      <c r="C2991" s="155">
        <v>146</v>
      </c>
      <c r="D2991" s="55" t="s">
        <v>4312</v>
      </c>
      <c r="E2991" s="90" t="s">
        <v>2949</v>
      </c>
      <c r="G2991" s="55" t="s">
        <v>2962</v>
      </c>
      <c r="H2991" s="55">
        <v>1999</v>
      </c>
      <c r="I2991" s="55">
        <v>1993</v>
      </c>
      <c r="J2991" s="55" t="s">
        <v>2688</v>
      </c>
      <c r="K2991" s="55" t="s">
        <v>2952</v>
      </c>
      <c r="L2991" s="55" t="s">
        <v>2750</v>
      </c>
      <c r="M2991" s="90">
        <v>-13.64</v>
      </c>
      <c r="N2991" s="90">
        <v>32.65</v>
      </c>
      <c r="O2991" s="90">
        <v>1020</v>
      </c>
      <c r="R2991" s="55">
        <v>1337</v>
      </c>
      <c r="U2991" s="55" t="s">
        <v>1816</v>
      </c>
      <c r="V2991" s="55" t="s">
        <v>1682</v>
      </c>
      <c r="Y2991" s="55" t="s">
        <v>2964</v>
      </c>
      <c r="Z2991" s="55" t="s">
        <v>1349</v>
      </c>
      <c r="AA2991" s="90" t="s">
        <v>1677</v>
      </c>
      <c r="AI2991" s="168">
        <v>5</v>
      </c>
      <c r="AJ2991" s="90">
        <v>0.5</v>
      </c>
      <c r="AM2991" s="55" t="s">
        <v>2957</v>
      </c>
      <c r="AN2991" s="185" t="s">
        <v>2838</v>
      </c>
      <c r="AO2991" s="185" t="s">
        <v>5150</v>
      </c>
      <c r="AQ2991" s="55" t="s">
        <v>553</v>
      </c>
      <c r="AR2991" s="55" t="s">
        <v>1607</v>
      </c>
      <c r="AS2991" s="55" t="s">
        <v>132</v>
      </c>
      <c r="AU2991" s="181" t="s">
        <v>7494</v>
      </c>
      <c r="AV2991" s="185" t="s">
        <v>176</v>
      </c>
      <c r="AX2991" s="185" t="s">
        <v>176</v>
      </c>
      <c r="BE2991" s="226" t="s">
        <v>2958</v>
      </c>
      <c r="BG2991" s="191" t="s">
        <v>176</v>
      </c>
      <c r="BH2991" s="226" t="s">
        <v>2958</v>
      </c>
      <c r="BI2991" s="191" t="s">
        <v>176</v>
      </c>
      <c r="BJ2991" s="55" t="s">
        <v>176</v>
      </c>
      <c r="BK2991" s="55" t="s">
        <v>5976</v>
      </c>
      <c r="BM2991" s="192" t="s">
        <v>160</v>
      </c>
      <c r="BN2991" s="55">
        <v>3</v>
      </c>
      <c r="BO2991" s="55">
        <v>3</v>
      </c>
      <c r="BQ2991" s="55" t="s">
        <v>141</v>
      </c>
      <c r="BV2991" s="55" t="s">
        <v>2963</v>
      </c>
      <c r="CB2991" s="66">
        <v>900</v>
      </c>
      <c r="CC2991" s="66">
        <v>1700</v>
      </c>
      <c r="CE2991" s="65">
        <v>180</v>
      </c>
      <c r="CF2991" s="65">
        <v>180</v>
      </c>
      <c r="GP2991" s="292" t="s">
        <v>7494</v>
      </c>
    </row>
    <row r="2992" spans="1:198" x14ac:dyDescent="0.25">
      <c r="A2992" s="55">
        <v>2991</v>
      </c>
      <c r="B2992" s="12" t="s">
        <v>7067</v>
      </c>
      <c r="C2992" s="155">
        <v>146</v>
      </c>
      <c r="D2992" s="55" t="s">
        <v>4313</v>
      </c>
      <c r="E2992" s="90" t="s">
        <v>2949</v>
      </c>
      <c r="G2992" s="55" t="s">
        <v>2962</v>
      </c>
      <c r="H2992" s="55">
        <v>1999</v>
      </c>
      <c r="I2992" s="55">
        <v>1993</v>
      </c>
      <c r="J2992" s="55" t="s">
        <v>2688</v>
      </c>
      <c r="K2992" s="55" t="s">
        <v>2952</v>
      </c>
      <c r="L2992" s="55" t="s">
        <v>2750</v>
      </c>
      <c r="M2992" s="90">
        <v>-13.64</v>
      </c>
      <c r="N2992" s="90">
        <v>32.65</v>
      </c>
      <c r="O2992" s="90">
        <v>1020</v>
      </c>
      <c r="R2992" s="55">
        <v>1337</v>
      </c>
      <c r="U2992" s="55" t="s">
        <v>1816</v>
      </c>
      <c r="V2992" s="55" t="s">
        <v>1682</v>
      </c>
      <c r="Y2992" s="55" t="s">
        <v>2964</v>
      </c>
      <c r="Z2992" s="55" t="s">
        <v>1349</v>
      </c>
      <c r="AA2992" s="90" t="s">
        <v>1677</v>
      </c>
      <c r="AI2992" s="168">
        <v>5</v>
      </c>
      <c r="AJ2992" s="90">
        <v>0.5</v>
      </c>
      <c r="AM2992" s="55" t="s">
        <v>2957</v>
      </c>
      <c r="AN2992" s="185" t="s">
        <v>2838</v>
      </c>
      <c r="AO2992" s="185" t="s">
        <v>5150</v>
      </c>
      <c r="AQ2992" s="55" t="s">
        <v>553</v>
      </c>
      <c r="AR2992" s="55" t="s">
        <v>1607</v>
      </c>
      <c r="AS2992" s="55" t="s">
        <v>132</v>
      </c>
      <c r="AU2992" s="181" t="s">
        <v>7494</v>
      </c>
      <c r="AV2992" s="185" t="s">
        <v>176</v>
      </c>
      <c r="AX2992" s="185" t="s">
        <v>176</v>
      </c>
      <c r="BE2992" s="226" t="s">
        <v>2961</v>
      </c>
      <c r="BG2992" s="191" t="s">
        <v>479</v>
      </c>
      <c r="BH2992" s="226" t="s">
        <v>2961</v>
      </c>
      <c r="BI2992" s="191" t="s">
        <v>479</v>
      </c>
      <c r="BJ2992" s="55" t="s">
        <v>176</v>
      </c>
      <c r="BK2992" s="55" t="s">
        <v>5976</v>
      </c>
      <c r="BM2992" s="192" t="s">
        <v>160</v>
      </c>
      <c r="BN2992" s="55">
        <v>3</v>
      </c>
      <c r="BO2992" s="55">
        <v>3</v>
      </c>
      <c r="BQ2992" s="55" t="s">
        <v>141</v>
      </c>
      <c r="BV2992" s="55" t="s">
        <v>2963</v>
      </c>
      <c r="CB2992" s="66">
        <v>5800</v>
      </c>
      <c r="CC2992" s="66">
        <v>5700</v>
      </c>
      <c r="CE2992" s="65">
        <v>180</v>
      </c>
      <c r="CF2992" s="65">
        <v>180</v>
      </c>
      <c r="GP2992" s="292" t="s">
        <v>7494</v>
      </c>
    </row>
    <row r="2993" spans="1:201" x14ac:dyDescent="0.25">
      <c r="A2993" s="55">
        <v>2992</v>
      </c>
      <c r="B2993" s="12" t="s">
        <v>7067</v>
      </c>
      <c r="C2993" s="155">
        <v>146</v>
      </c>
      <c r="D2993" s="55" t="s">
        <v>4313</v>
      </c>
      <c r="E2993" s="90" t="s">
        <v>2949</v>
      </c>
      <c r="G2993" s="55" t="s">
        <v>2962</v>
      </c>
      <c r="H2993" s="55">
        <v>1999</v>
      </c>
      <c r="I2993" s="55">
        <v>1993</v>
      </c>
      <c r="J2993" s="55" t="s">
        <v>2688</v>
      </c>
      <c r="K2993" s="55" t="s">
        <v>2952</v>
      </c>
      <c r="L2993" s="55" t="s">
        <v>2750</v>
      </c>
      <c r="M2993" s="90">
        <v>-13.64</v>
      </c>
      <c r="N2993" s="90">
        <v>32.65</v>
      </c>
      <c r="O2993" s="90">
        <v>1020</v>
      </c>
      <c r="R2993" s="55">
        <v>1337</v>
      </c>
      <c r="U2993" s="55" t="s">
        <v>1816</v>
      </c>
      <c r="V2993" s="55" t="s">
        <v>1682</v>
      </c>
      <c r="Y2993" s="55" t="s">
        <v>2964</v>
      </c>
      <c r="Z2993" s="55" t="s">
        <v>1349</v>
      </c>
      <c r="AA2993" s="90" t="s">
        <v>1677</v>
      </c>
      <c r="AI2993" s="168">
        <v>5</v>
      </c>
      <c r="AJ2993" s="90">
        <v>0.5</v>
      </c>
      <c r="AM2993" s="55" t="s">
        <v>2957</v>
      </c>
      <c r="AN2993" s="185" t="s">
        <v>2838</v>
      </c>
      <c r="AO2993" s="185" t="s">
        <v>5150</v>
      </c>
      <c r="AQ2993" s="55" t="s">
        <v>553</v>
      </c>
      <c r="AR2993" s="55" t="s">
        <v>1607</v>
      </c>
      <c r="AS2993" s="55" t="s">
        <v>132</v>
      </c>
      <c r="AU2993" s="181" t="s">
        <v>7494</v>
      </c>
      <c r="AV2993" s="185" t="s">
        <v>176</v>
      </c>
      <c r="AX2993" s="185" t="s">
        <v>176</v>
      </c>
      <c r="BE2993" s="226" t="s">
        <v>2961</v>
      </c>
      <c r="BG2993" s="191" t="s">
        <v>479</v>
      </c>
      <c r="BH2993" s="226" t="s">
        <v>2961</v>
      </c>
      <c r="BI2993" s="191" t="s">
        <v>479</v>
      </c>
      <c r="BJ2993" s="55" t="s">
        <v>176</v>
      </c>
      <c r="BK2993" s="55" t="s">
        <v>5976</v>
      </c>
      <c r="BM2993" s="192" t="s">
        <v>160</v>
      </c>
      <c r="BN2993" s="55">
        <v>3</v>
      </c>
      <c r="BO2993" s="55">
        <v>3</v>
      </c>
      <c r="BQ2993" s="55" t="s">
        <v>141</v>
      </c>
      <c r="BV2993" s="55" t="s">
        <v>2963</v>
      </c>
      <c r="CB2993" s="66">
        <v>5800</v>
      </c>
      <c r="CC2993" s="66">
        <v>5400</v>
      </c>
      <c r="CE2993" s="65">
        <v>180</v>
      </c>
      <c r="CF2993" s="65">
        <v>180</v>
      </c>
      <c r="GP2993" s="292" t="s">
        <v>7494</v>
      </c>
    </row>
    <row r="2994" spans="1:201" x14ac:dyDescent="0.25">
      <c r="A2994" s="55">
        <v>2993</v>
      </c>
      <c r="B2994" s="12" t="s">
        <v>7067</v>
      </c>
      <c r="C2994" s="155">
        <v>146</v>
      </c>
      <c r="D2994" s="55" t="s">
        <v>4313</v>
      </c>
      <c r="E2994" s="90" t="s">
        <v>2949</v>
      </c>
      <c r="G2994" s="55" t="s">
        <v>2962</v>
      </c>
      <c r="H2994" s="55">
        <v>1999</v>
      </c>
      <c r="I2994" s="55">
        <v>1993</v>
      </c>
      <c r="J2994" s="55" t="s">
        <v>2688</v>
      </c>
      <c r="K2994" s="55" t="s">
        <v>2952</v>
      </c>
      <c r="L2994" s="55" t="s">
        <v>2750</v>
      </c>
      <c r="M2994" s="90">
        <v>-13.64</v>
      </c>
      <c r="N2994" s="90">
        <v>32.65</v>
      </c>
      <c r="O2994" s="90">
        <v>1020</v>
      </c>
      <c r="R2994" s="55">
        <v>1337</v>
      </c>
      <c r="U2994" s="55" t="s">
        <v>1816</v>
      </c>
      <c r="V2994" s="55" t="s">
        <v>1682</v>
      </c>
      <c r="Y2994" s="55" t="s">
        <v>2964</v>
      </c>
      <c r="Z2994" s="55" t="s">
        <v>1349</v>
      </c>
      <c r="AA2994" s="90" t="s">
        <v>1677</v>
      </c>
      <c r="AI2994" s="168">
        <v>5</v>
      </c>
      <c r="AJ2994" s="90">
        <v>0.5</v>
      </c>
      <c r="AM2994" s="55" t="s">
        <v>2957</v>
      </c>
      <c r="AN2994" s="185" t="s">
        <v>2838</v>
      </c>
      <c r="AO2994" s="185" t="s">
        <v>5150</v>
      </c>
      <c r="AQ2994" s="55" t="s">
        <v>553</v>
      </c>
      <c r="AR2994" s="55" t="s">
        <v>1607</v>
      </c>
      <c r="AS2994" s="55" t="s">
        <v>132</v>
      </c>
      <c r="AU2994" s="181" t="s">
        <v>7494</v>
      </c>
      <c r="AV2994" s="185" t="s">
        <v>176</v>
      </c>
      <c r="AX2994" s="185" t="s">
        <v>176</v>
      </c>
      <c r="BE2994" s="226" t="s">
        <v>2961</v>
      </c>
      <c r="BG2994" s="191" t="s">
        <v>479</v>
      </c>
      <c r="BH2994" s="226" t="s">
        <v>2961</v>
      </c>
      <c r="BI2994" s="191" t="s">
        <v>479</v>
      </c>
      <c r="BJ2994" s="55" t="s">
        <v>176</v>
      </c>
      <c r="BK2994" s="55" t="s">
        <v>5976</v>
      </c>
      <c r="BM2994" s="192" t="s">
        <v>160</v>
      </c>
      <c r="BN2994" s="55">
        <v>3</v>
      </c>
      <c r="BO2994" s="55">
        <v>3</v>
      </c>
      <c r="BQ2994" s="55" t="s">
        <v>141</v>
      </c>
      <c r="BV2994" s="55" t="s">
        <v>2963</v>
      </c>
      <c r="CB2994" s="66">
        <v>5800</v>
      </c>
      <c r="CC2994" s="66">
        <v>6200</v>
      </c>
      <c r="CE2994" s="65">
        <v>180</v>
      </c>
      <c r="CF2994" s="65">
        <v>180</v>
      </c>
      <c r="GP2994" s="292" t="s">
        <v>7494</v>
      </c>
    </row>
    <row r="2995" spans="1:201" x14ac:dyDescent="0.25">
      <c r="A2995" s="55">
        <v>2994</v>
      </c>
      <c r="B2995" s="12" t="s">
        <v>7067</v>
      </c>
      <c r="C2995" s="155">
        <v>146</v>
      </c>
      <c r="D2995" s="55" t="s">
        <v>4312</v>
      </c>
      <c r="E2995" s="90" t="s">
        <v>2949</v>
      </c>
      <c r="G2995" s="55" t="s">
        <v>2962</v>
      </c>
      <c r="H2995" s="55">
        <v>1999</v>
      </c>
      <c r="I2995" s="55">
        <v>1993</v>
      </c>
      <c r="J2995" s="55" t="s">
        <v>2688</v>
      </c>
      <c r="K2995" s="55" t="s">
        <v>2952</v>
      </c>
      <c r="L2995" s="55" t="s">
        <v>2750</v>
      </c>
      <c r="M2995" s="90">
        <v>-13.64</v>
      </c>
      <c r="N2995" s="90">
        <v>32.65</v>
      </c>
      <c r="O2995" s="90">
        <v>1020</v>
      </c>
      <c r="R2995" s="55">
        <v>1337</v>
      </c>
      <c r="U2995" s="55" t="s">
        <v>1816</v>
      </c>
      <c r="V2995" s="55" t="s">
        <v>1682</v>
      </c>
      <c r="Y2995" s="55" t="s">
        <v>2964</v>
      </c>
      <c r="Z2995" s="55" t="s">
        <v>1349</v>
      </c>
      <c r="AA2995" s="90" t="s">
        <v>1677</v>
      </c>
      <c r="AI2995" s="168">
        <v>5</v>
      </c>
      <c r="AJ2995" s="90">
        <v>0.5</v>
      </c>
      <c r="AM2995" s="55" t="s">
        <v>2957</v>
      </c>
      <c r="AN2995" s="185" t="s">
        <v>2965</v>
      </c>
      <c r="AO2995" s="185" t="s">
        <v>5150</v>
      </c>
      <c r="AQ2995" s="55" t="s">
        <v>553</v>
      </c>
      <c r="AR2995" s="55" t="s">
        <v>1607</v>
      </c>
      <c r="AS2995" s="55" t="s">
        <v>132</v>
      </c>
      <c r="AU2995" s="181" t="s">
        <v>7494</v>
      </c>
      <c r="AV2995" s="185" t="s">
        <v>176</v>
      </c>
      <c r="AX2995" s="185" t="s">
        <v>176</v>
      </c>
      <c r="BE2995" s="226" t="s">
        <v>2958</v>
      </c>
      <c r="BG2995" s="191" t="s">
        <v>176</v>
      </c>
      <c r="BK2995" s="55" t="s">
        <v>5976</v>
      </c>
      <c r="BM2995" s="192" t="s">
        <v>160</v>
      </c>
      <c r="BN2995" s="55">
        <v>3</v>
      </c>
      <c r="BO2995" s="55">
        <v>3</v>
      </c>
      <c r="BQ2995" s="55" t="s">
        <v>141</v>
      </c>
      <c r="BV2995" s="55" t="s">
        <v>2969</v>
      </c>
      <c r="CB2995" s="66">
        <v>2000</v>
      </c>
      <c r="CC2995" s="66">
        <v>2600</v>
      </c>
      <c r="CE2995" s="65">
        <v>330</v>
      </c>
      <c r="CF2995" s="65">
        <v>330</v>
      </c>
      <c r="GN2995" s="294">
        <v>1532</v>
      </c>
      <c r="GO2995" s="294">
        <v>44</v>
      </c>
      <c r="GP2995" s="292" t="s">
        <v>5150</v>
      </c>
      <c r="GQ2995" s="65">
        <v>329</v>
      </c>
      <c r="GR2995" s="65">
        <v>329</v>
      </c>
      <c r="GS2995" s="65" t="s">
        <v>2971</v>
      </c>
    </row>
    <row r="2996" spans="1:201" x14ac:dyDescent="0.25">
      <c r="A2996" s="55">
        <v>2995</v>
      </c>
      <c r="B2996" s="12" t="s">
        <v>7067</v>
      </c>
      <c r="C2996" s="155">
        <v>146</v>
      </c>
      <c r="D2996" s="55" t="s">
        <v>4312</v>
      </c>
      <c r="E2996" s="90" t="s">
        <v>2949</v>
      </c>
      <c r="G2996" s="55" t="s">
        <v>2962</v>
      </c>
      <c r="H2996" s="55">
        <v>1999</v>
      </c>
      <c r="I2996" s="55">
        <v>1993</v>
      </c>
      <c r="J2996" s="55" t="s">
        <v>2688</v>
      </c>
      <c r="K2996" s="55" t="s">
        <v>2952</v>
      </c>
      <c r="L2996" s="55" t="s">
        <v>2750</v>
      </c>
      <c r="M2996" s="90">
        <v>-13.64</v>
      </c>
      <c r="N2996" s="90">
        <v>32.65</v>
      </c>
      <c r="O2996" s="90">
        <v>1020</v>
      </c>
      <c r="R2996" s="55">
        <v>1337</v>
      </c>
      <c r="U2996" s="55" t="s">
        <v>1816</v>
      </c>
      <c r="V2996" s="55" t="s">
        <v>1682</v>
      </c>
      <c r="Y2996" s="55" t="s">
        <v>2964</v>
      </c>
      <c r="Z2996" s="55" t="s">
        <v>1349</v>
      </c>
      <c r="AA2996" s="90" t="s">
        <v>1677</v>
      </c>
      <c r="AI2996" s="168">
        <v>5</v>
      </c>
      <c r="AJ2996" s="90">
        <v>0.5</v>
      </c>
      <c r="AM2996" s="55" t="s">
        <v>2957</v>
      </c>
      <c r="AN2996" s="185" t="s">
        <v>2966</v>
      </c>
      <c r="AO2996" s="185" t="s">
        <v>5150</v>
      </c>
      <c r="AQ2996" s="55" t="s">
        <v>553</v>
      </c>
      <c r="AR2996" s="55" t="s">
        <v>1607</v>
      </c>
      <c r="AS2996" s="55" t="s">
        <v>132</v>
      </c>
      <c r="AU2996" s="181" t="s">
        <v>7494</v>
      </c>
      <c r="AV2996" s="185" t="s">
        <v>176</v>
      </c>
      <c r="AX2996" s="185" t="s">
        <v>176</v>
      </c>
      <c r="BE2996" s="226" t="s">
        <v>2958</v>
      </c>
      <c r="BG2996" s="191" t="s">
        <v>176</v>
      </c>
      <c r="BK2996" s="55" t="s">
        <v>5976</v>
      </c>
      <c r="BM2996" s="192" t="s">
        <v>160</v>
      </c>
      <c r="BN2996" s="55">
        <v>3</v>
      </c>
      <c r="BO2996" s="55">
        <v>3</v>
      </c>
      <c r="BQ2996" s="55" t="s">
        <v>141</v>
      </c>
      <c r="BV2996" s="55" t="s">
        <v>2969</v>
      </c>
      <c r="CB2996" s="66">
        <v>2000</v>
      </c>
      <c r="CC2996" s="66">
        <v>3500</v>
      </c>
      <c r="CE2996" s="65">
        <v>330</v>
      </c>
      <c r="CF2996" s="65">
        <v>330</v>
      </c>
      <c r="GN2996" s="294">
        <v>1532</v>
      </c>
      <c r="GO2996" s="294">
        <v>448</v>
      </c>
      <c r="GP2996" s="292" t="s">
        <v>5150</v>
      </c>
      <c r="GQ2996" s="65">
        <v>329</v>
      </c>
      <c r="GR2996" s="65">
        <v>329</v>
      </c>
      <c r="GS2996" s="65" t="s">
        <v>2971</v>
      </c>
    </row>
    <row r="2997" spans="1:201" x14ac:dyDescent="0.25">
      <c r="A2997" s="55">
        <v>2996</v>
      </c>
      <c r="B2997" s="12" t="s">
        <v>7067</v>
      </c>
      <c r="C2997" s="155">
        <v>146</v>
      </c>
      <c r="D2997" s="55" t="s">
        <v>4312</v>
      </c>
      <c r="E2997" s="90" t="s">
        <v>2949</v>
      </c>
      <c r="G2997" s="55" t="s">
        <v>2962</v>
      </c>
      <c r="H2997" s="55">
        <v>1999</v>
      </c>
      <c r="I2997" s="55">
        <v>1993</v>
      </c>
      <c r="J2997" s="55" t="s">
        <v>2688</v>
      </c>
      <c r="K2997" s="55" t="s">
        <v>2952</v>
      </c>
      <c r="L2997" s="55" t="s">
        <v>2750</v>
      </c>
      <c r="M2997" s="90">
        <v>-13.64</v>
      </c>
      <c r="N2997" s="90">
        <v>32.65</v>
      </c>
      <c r="O2997" s="90">
        <v>1020</v>
      </c>
      <c r="R2997" s="55">
        <v>1337</v>
      </c>
      <c r="U2997" s="55" t="s">
        <v>1816</v>
      </c>
      <c r="V2997" s="55" t="s">
        <v>1682</v>
      </c>
      <c r="Y2997" s="55" t="s">
        <v>2964</v>
      </c>
      <c r="Z2997" s="55" t="s">
        <v>1349</v>
      </c>
      <c r="AA2997" s="90" t="s">
        <v>1677</v>
      </c>
      <c r="AI2997" s="168">
        <v>5</v>
      </c>
      <c r="AJ2997" s="90">
        <v>0.5</v>
      </c>
      <c r="AM2997" s="55" t="s">
        <v>2957</v>
      </c>
      <c r="AN2997" s="185" t="s">
        <v>2967</v>
      </c>
      <c r="AO2997" s="185" t="s">
        <v>5150</v>
      </c>
      <c r="AQ2997" s="55" t="s">
        <v>553</v>
      </c>
      <c r="AR2997" s="55" t="s">
        <v>1607</v>
      </c>
      <c r="AS2997" s="55" t="s">
        <v>132</v>
      </c>
      <c r="AU2997" s="181" t="s">
        <v>7494</v>
      </c>
      <c r="AV2997" s="185" t="s">
        <v>176</v>
      </c>
      <c r="AX2997" s="185" t="s">
        <v>176</v>
      </c>
      <c r="BE2997" s="226" t="s">
        <v>2958</v>
      </c>
      <c r="BG2997" s="191" t="s">
        <v>176</v>
      </c>
      <c r="BK2997" s="55" t="s">
        <v>5976</v>
      </c>
      <c r="BM2997" s="192" t="s">
        <v>160</v>
      </c>
      <c r="BN2997" s="55">
        <v>3</v>
      </c>
      <c r="BO2997" s="55">
        <v>3</v>
      </c>
      <c r="BQ2997" s="55" t="s">
        <v>141</v>
      </c>
      <c r="BV2997" s="55" t="s">
        <v>2969</v>
      </c>
      <c r="CB2997" s="66">
        <v>2000</v>
      </c>
      <c r="CC2997" s="66">
        <v>3800</v>
      </c>
      <c r="CE2997" s="65">
        <v>330</v>
      </c>
      <c r="CF2997" s="65">
        <v>330</v>
      </c>
      <c r="GN2997" s="294">
        <v>1532</v>
      </c>
      <c r="GO2997" s="294">
        <v>712</v>
      </c>
      <c r="GP2997" s="292" t="s">
        <v>5150</v>
      </c>
      <c r="GQ2997" s="65">
        <v>329</v>
      </c>
      <c r="GR2997" s="65">
        <v>329</v>
      </c>
      <c r="GS2997" s="65" t="s">
        <v>2971</v>
      </c>
    </row>
    <row r="2998" spans="1:201" x14ac:dyDescent="0.25">
      <c r="A2998" s="55">
        <v>2997</v>
      </c>
      <c r="B2998" s="12" t="s">
        <v>7067</v>
      </c>
      <c r="C2998" s="155">
        <v>146</v>
      </c>
      <c r="D2998" s="55" t="s">
        <v>4312</v>
      </c>
      <c r="E2998" s="90" t="s">
        <v>2949</v>
      </c>
      <c r="G2998" s="55" t="s">
        <v>2962</v>
      </c>
      <c r="H2998" s="55">
        <v>1999</v>
      </c>
      <c r="I2998" s="55">
        <v>1993</v>
      </c>
      <c r="J2998" s="55" t="s">
        <v>2688</v>
      </c>
      <c r="K2998" s="55" t="s">
        <v>2952</v>
      </c>
      <c r="L2998" s="55" t="s">
        <v>2750</v>
      </c>
      <c r="M2998" s="90">
        <v>-13.64</v>
      </c>
      <c r="N2998" s="90">
        <v>32.65</v>
      </c>
      <c r="O2998" s="90">
        <v>1020</v>
      </c>
      <c r="R2998" s="55">
        <v>1337</v>
      </c>
      <c r="U2998" s="55" t="s">
        <v>1816</v>
      </c>
      <c r="V2998" s="55" t="s">
        <v>1682</v>
      </c>
      <c r="Y2998" s="55" t="s">
        <v>2964</v>
      </c>
      <c r="Z2998" s="55" t="s">
        <v>1349</v>
      </c>
      <c r="AA2998" s="90" t="s">
        <v>1677</v>
      </c>
      <c r="AI2998" s="168">
        <v>5</v>
      </c>
      <c r="AJ2998" s="90">
        <v>0.5</v>
      </c>
      <c r="AM2998" s="55" t="s">
        <v>2957</v>
      </c>
      <c r="AN2998" s="185" t="s">
        <v>2722</v>
      </c>
      <c r="AO2998" s="185" t="s">
        <v>5150</v>
      </c>
      <c r="AQ2998" s="55" t="s">
        <v>553</v>
      </c>
      <c r="AR2998" s="55" t="s">
        <v>1607</v>
      </c>
      <c r="AS2998" s="55" t="s">
        <v>132</v>
      </c>
      <c r="AU2998" s="181" t="s">
        <v>7494</v>
      </c>
      <c r="AV2998" s="185" t="s">
        <v>176</v>
      </c>
      <c r="AX2998" s="185" t="s">
        <v>176</v>
      </c>
      <c r="BE2998" s="226" t="s">
        <v>2958</v>
      </c>
      <c r="BG2998" s="191" t="s">
        <v>176</v>
      </c>
      <c r="BK2998" s="55" t="s">
        <v>5976</v>
      </c>
      <c r="BM2998" s="192" t="s">
        <v>160</v>
      </c>
      <c r="BN2998" s="55">
        <v>3</v>
      </c>
      <c r="BO2998" s="55">
        <v>3</v>
      </c>
      <c r="BQ2998" s="55" t="s">
        <v>141</v>
      </c>
      <c r="BV2998" s="55" t="s">
        <v>2969</v>
      </c>
      <c r="CB2998" s="66">
        <v>2000</v>
      </c>
      <c r="CC2998" s="66">
        <v>3700</v>
      </c>
      <c r="CE2998" s="65">
        <v>330</v>
      </c>
      <c r="CF2998" s="65">
        <v>330</v>
      </c>
      <c r="GN2998" s="294">
        <v>1532</v>
      </c>
      <c r="GO2998" s="294">
        <v>10</v>
      </c>
      <c r="GP2998" s="292" t="s">
        <v>5150</v>
      </c>
      <c r="GQ2998" s="65">
        <v>329</v>
      </c>
      <c r="GR2998" s="65">
        <v>329</v>
      </c>
      <c r="GS2998" s="65" t="s">
        <v>2971</v>
      </c>
    </row>
    <row r="2999" spans="1:201" x14ac:dyDescent="0.25">
      <c r="A2999" s="55">
        <v>2998</v>
      </c>
      <c r="B2999" s="12" t="s">
        <v>7067</v>
      </c>
      <c r="C2999" s="155">
        <v>146</v>
      </c>
      <c r="D2999" s="55" t="s">
        <v>4312</v>
      </c>
      <c r="E2999" s="90" t="s">
        <v>2949</v>
      </c>
      <c r="G2999" s="55" t="s">
        <v>2962</v>
      </c>
      <c r="H2999" s="55">
        <v>1999</v>
      </c>
      <c r="I2999" s="55">
        <v>1993</v>
      </c>
      <c r="J2999" s="55" t="s">
        <v>2688</v>
      </c>
      <c r="K2999" s="55" t="s">
        <v>2952</v>
      </c>
      <c r="L2999" s="55" t="s">
        <v>2750</v>
      </c>
      <c r="M2999" s="90">
        <v>-13.64</v>
      </c>
      <c r="N2999" s="90">
        <v>32.65</v>
      </c>
      <c r="O2999" s="90">
        <v>1020</v>
      </c>
      <c r="R2999" s="55">
        <v>1337</v>
      </c>
      <c r="U2999" s="55" t="s">
        <v>1816</v>
      </c>
      <c r="V2999" s="55" t="s">
        <v>1682</v>
      </c>
      <c r="Y2999" s="55" t="s">
        <v>2964</v>
      </c>
      <c r="Z2999" s="55" t="s">
        <v>1349</v>
      </c>
      <c r="AA2999" s="90" t="s">
        <v>1677</v>
      </c>
      <c r="AI2999" s="168">
        <v>5</v>
      </c>
      <c r="AJ2999" s="90">
        <v>0.5</v>
      </c>
      <c r="AM2999" s="55" t="s">
        <v>2957</v>
      </c>
      <c r="AN2999" s="185" t="s">
        <v>2968</v>
      </c>
      <c r="AO2999" s="185" t="s">
        <v>5150</v>
      </c>
      <c r="AQ2999" s="55" t="s">
        <v>553</v>
      </c>
      <c r="AR2999" s="55" t="s">
        <v>1607</v>
      </c>
      <c r="AS2999" s="55" t="s">
        <v>132</v>
      </c>
      <c r="AU2999" s="181" t="s">
        <v>7494</v>
      </c>
      <c r="AV2999" s="185" t="s">
        <v>176</v>
      </c>
      <c r="AX2999" s="185" t="s">
        <v>176</v>
      </c>
      <c r="BE2999" s="226" t="s">
        <v>2958</v>
      </c>
      <c r="BG2999" s="191" t="s">
        <v>176</v>
      </c>
      <c r="BK2999" s="55" t="s">
        <v>5976</v>
      </c>
      <c r="BM2999" s="192" t="s">
        <v>160</v>
      </c>
      <c r="BN2999" s="55">
        <v>3</v>
      </c>
      <c r="BO2999" s="55">
        <v>3</v>
      </c>
      <c r="BQ2999" s="55" t="s">
        <v>141</v>
      </c>
      <c r="BV2999" s="55" t="s">
        <v>2969</v>
      </c>
      <c r="CB2999" s="66">
        <v>2000</v>
      </c>
      <c r="CC2999" s="66">
        <v>2100</v>
      </c>
      <c r="CE2999" s="65">
        <v>330</v>
      </c>
      <c r="CF2999" s="65">
        <v>330</v>
      </c>
      <c r="GN2999" s="294">
        <v>1532</v>
      </c>
      <c r="GO2999" s="294">
        <v>1</v>
      </c>
      <c r="GP2999" s="292" t="s">
        <v>5150</v>
      </c>
      <c r="GQ2999" s="65">
        <v>329</v>
      </c>
      <c r="GR2999" s="65">
        <v>329</v>
      </c>
      <c r="GS2999" s="65" t="s">
        <v>2971</v>
      </c>
    </row>
    <row r="3000" spans="1:201" x14ac:dyDescent="0.25">
      <c r="A3000" s="55">
        <v>2999</v>
      </c>
      <c r="B3000" s="12" t="s">
        <v>7067</v>
      </c>
      <c r="C3000" s="155">
        <v>146</v>
      </c>
      <c r="D3000" s="55" t="s">
        <v>4312</v>
      </c>
      <c r="E3000" s="90" t="s">
        <v>2949</v>
      </c>
      <c r="G3000" s="55" t="s">
        <v>2962</v>
      </c>
      <c r="H3000" s="55">
        <v>1999</v>
      </c>
      <c r="I3000" s="55">
        <v>1993</v>
      </c>
      <c r="J3000" s="55" t="s">
        <v>2688</v>
      </c>
      <c r="K3000" s="55" t="s">
        <v>2952</v>
      </c>
      <c r="L3000" s="55" t="s">
        <v>2750</v>
      </c>
      <c r="M3000" s="90">
        <v>-13.64</v>
      </c>
      <c r="N3000" s="90">
        <v>32.65</v>
      </c>
      <c r="O3000" s="90">
        <v>1020</v>
      </c>
      <c r="R3000" s="55">
        <v>1337</v>
      </c>
      <c r="U3000" s="55" t="s">
        <v>1816</v>
      </c>
      <c r="V3000" s="55" t="s">
        <v>1682</v>
      </c>
      <c r="Y3000" s="55" t="s">
        <v>2964</v>
      </c>
      <c r="Z3000" s="55" t="s">
        <v>1349</v>
      </c>
      <c r="AA3000" s="90" t="s">
        <v>1677</v>
      </c>
      <c r="AI3000" s="168">
        <v>5</v>
      </c>
      <c r="AJ3000" s="90">
        <v>0.5</v>
      </c>
      <c r="AM3000" s="55" t="s">
        <v>2957</v>
      </c>
      <c r="AN3000" s="185" t="s">
        <v>2838</v>
      </c>
      <c r="AO3000" s="185" t="s">
        <v>5150</v>
      </c>
      <c r="AQ3000" s="55" t="s">
        <v>553</v>
      </c>
      <c r="AR3000" s="55" t="s">
        <v>1607</v>
      </c>
      <c r="AS3000" s="55" t="s">
        <v>132</v>
      </c>
      <c r="AU3000" s="181" t="s">
        <v>7494</v>
      </c>
      <c r="AV3000" s="185" t="s">
        <v>176</v>
      </c>
      <c r="AX3000" s="185" t="s">
        <v>176</v>
      </c>
      <c r="BE3000" s="226" t="s">
        <v>2958</v>
      </c>
      <c r="BG3000" s="191" t="s">
        <v>176</v>
      </c>
      <c r="BK3000" s="55" t="s">
        <v>5976</v>
      </c>
      <c r="BM3000" s="192" t="s">
        <v>160</v>
      </c>
      <c r="BN3000" s="55">
        <v>3</v>
      </c>
      <c r="BO3000" s="55">
        <v>3</v>
      </c>
      <c r="BQ3000" s="55" t="s">
        <v>141</v>
      </c>
      <c r="BV3000" s="55" t="s">
        <v>2969</v>
      </c>
      <c r="CB3000" s="66">
        <v>2000</v>
      </c>
      <c r="CC3000" s="66">
        <v>5600</v>
      </c>
      <c r="CE3000" s="65">
        <v>330</v>
      </c>
      <c r="CF3000" s="65">
        <v>330</v>
      </c>
      <c r="GN3000" s="294">
        <v>1532</v>
      </c>
      <c r="GO3000" s="294">
        <v>1</v>
      </c>
      <c r="GP3000" s="292" t="s">
        <v>5150</v>
      </c>
      <c r="GQ3000" s="65">
        <v>329</v>
      </c>
      <c r="GR3000" s="65">
        <v>329</v>
      </c>
      <c r="GS3000" s="65" t="s">
        <v>2971</v>
      </c>
    </row>
    <row r="3001" spans="1:201" x14ac:dyDescent="0.25">
      <c r="A3001" s="55">
        <v>3000</v>
      </c>
      <c r="B3001" s="12" t="s">
        <v>7067</v>
      </c>
      <c r="C3001" s="155">
        <v>146</v>
      </c>
      <c r="D3001" s="55" t="s">
        <v>4313</v>
      </c>
      <c r="E3001" s="90" t="s">
        <v>2949</v>
      </c>
      <c r="G3001" s="55" t="s">
        <v>2962</v>
      </c>
      <c r="H3001" s="55">
        <v>1999</v>
      </c>
      <c r="I3001" s="55">
        <v>1993</v>
      </c>
      <c r="J3001" s="55" t="s">
        <v>2688</v>
      </c>
      <c r="K3001" s="55" t="s">
        <v>2952</v>
      </c>
      <c r="L3001" s="55" t="s">
        <v>2750</v>
      </c>
      <c r="M3001" s="90">
        <v>-13.64</v>
      </c>
      <c r="N3001" s="90">
        <v>32.65</v>
      </c>
      <c r="O3001" s="90">
        <v>1020</v>
      </c>
      <c r="R3001" s="55">
        <v>1337</v>
      </c>
      <c r="U3001" s="55" t="s">
        <v>1816</v>
      </c>
      <c r="V3001" s="55" t="s">
        <v>1682</v>
      </c>
      <c r="Y3001" s="55" t="s">
        <v>2964</v>
      </c>
      <c r="Z3001" s="55" t="s">
        <v>1349</v>
      </c>
      <c r="AA3001" s="90" t="s">
        <v>1677</v>
      </c>
      <c r="AI3001" s="168">
        <v>5</v>
      </c>
      <c r="AJ3001" s="90">
        <v>0.5</v>
      </c>
      <c r="AM3001" s="55" t="s">
        <v>2957</v>
      </c>
      <c r="AN3001" s="185" t="s">
        <v>2965</v>
      </c>
      <c r="AO3001" s="185" t="s">
        <v>5150</v>
      </c>
      <c r="AQ3001" s="55" t="s">
        <v>553</v>
      </c>
      <c r="AR3001" s="55" t="s">
        <v>1607</v>
      </c>
      <c r="AS3001" s="55" t="s">
        <v>132</v>
      </c>
      <c r="AU3001" s="181" t="s">
        <v>7494</v>
      </c>
      <c r="AV3001" s="185" t="s">
        <v>176</v>
      </c>
      <c r="AX3001" s="185" t="s">
        <v>176</v>
      </c>
      <c r="BE3001" s="226" t="s">
        <v>2958</v>
      </c>
      <c r="BG3001" s="191" t="s">
        <v>176</v>
      </c>
      <c r="BK3001" s="55" t="s">
        <v>5976</v>
      </c>
      <c r="BM3001" s="192" t="s">
        <v>160</v>
      </c>
      <c r="BN3001" s="55">
        <v>3</v>
      </c>
      <c r="BO3001" s="55">
        <v>3</v>
      </c>
      <c r="BQ3001" s="55" t="s">
        <v>141</v>
      </c>
      <c r="BV3001" s="55" t="s">
        <v>2970</v>
      </c>
      <c r="CB3001" s="66">
        <v>2300</v>
      </c>
      <c r="CC3001" s="66">
        <v>3000</v>
      </c>
      <c r="CE3001" s="65">
        <v>710</v>
      </c>
      <c r="CF3001" s="65">
        <v>710</v>
      </c>
      <c r="GN3001" s="294">
        <v>195</v>
      </c>
      <c r="GO3001" s="294">
        <v>80</v>
      </c>
      <c r="GP3001" s="292" t="s">
        <v>5150</v>
      </c>
      <c r="GQ3001" s="65">
        <v>56</v>
      </c>
      <c r="GR3001" s="65">
        <v>56</v>
      </c>
      <c r="GS3001" s="65" t="s">
        <v>2971</v>
      </c>
    </row>
    <row r="3002" spans="1:201" x14ac:dyDescent="0.25">
      <c r="A3002" s="55">
        <v>3001</v>
      </c>
      <c r="B3002" s="12" t="s">
        <v>7067</v>
      </c>
      <c r="C3002" s="155">
        <v>146</v>
      </c>
      <c r="D3002" s="55" t="s">
        <v>4313</v>
      </c>
      <c r="E3002" s="90" t="s">
        <v>2949</v>
      </c>
      <c r="G3002" s="55" t="s">
        <v>2962</v>
      </c>
      <c r="H3002" s="55">
        <v>1999</v>
      </c>
      <c r="I3002" s="55">
        <v>1993</v>
      </c>
      <c r="J3002" s="55" t="s">
        <v>2688</v>
      </c>
      <c r="K3002" s="55" t="s">
        <v>2952</v>
      </c>
      <c r="L3002" s="55" t="s">
        <v>2750</v>
      </c>
      <c r="M3002" s="90">
        <v>-13.64</v>
      </c>
      <c r="N3002" s="90">
        <v>32.65</v>
      </c>
      <c r="O3002" s="90">
        <v>1020</v>
      </c>
      <c r="R3002" s="55">
        <v>1337</v>
      </c>
      <c r="U3002" s="55" t="s">
        <v>1816</v>
      </c>
      <c r="V3002" s="55" t="s">
        <v>1682</v>
      </c>
      <c r="Y3002" s="55" t="s">
        <v>2964</v>
      </c>
      <c r="Z3002" s="55" t="s">
        <v>1349</v>
      </c>
      <c r="AA3002" s="90" t="s">
        <v>1677</v>
      </c>
      <c r="AI3002" s="168">
        <v>5</v>
      </c>
      <c r="AJ3002" s="90">
        <v>0.5</v>
      </c>
      <c r="AM3002" s="55" t="s">
        <v>2957</v>
      </c>
      <c r="AN3002" s="185" t="s">
        <v>2966</v>
      </c>
      <c r="AO3002" s="185" t="s">
        <v>5150</v>
      </c>
      <c r="AQ3002" s="55" t="s">
        <v>553</v>
      </c>
      <c r="AR3002" s="55" t="s">
        <v>1607</v>
      </c>
      <c r="AS3002" s="55" t="s">
        <v>132</v>
      </c>
      <c r="AU3002" s="181" t="s">
        <v>7494</v>
      </c>
      <c r="AV3002" s="185" t="s">
        <v>176</v>
      </c>
      <c r="AX3002" s="185" t="s">
        <v>176</v>
      </c>
      <c r="BE3002" s="226" t="s">
        <v>2958</v>
      </c>
      <c r="BG3002" s="191" t="s">
        <v>176</v>
      </c>
      <c r="BK3002" s="55" t="s">
        <v>5976</v>
      </c>
      <c r="BM3002" s="192" t="s">
        <v>160</v>
      </c>
      <c r="BN3002" s="55">
        <v>3</v>
      </c>
      <c r="BO3002" s="55">
        <v>3</v>
      </c>
      <c r="BQ3002" s="55" t="s">
        <v>141</v>
      </c>
      <c r="BV3002" s="55" t="s">
        <v>2970</v>
      </c>
      <c r="CB3002" s="66">
        <v>2300</v>
      </c>
      <c r="CC3002" s="66">
        <v>3700</v>
      </c>
      <c r="CE3002" s="65">
        <v>710</v>
      </c>
      <c r="CF3002" s="65">
        <v>710</v>
      </c>
      <c r="GN3002" s="294">
        <v>195</v>
      </c>
      <c r="GO3002" s="294">
        <v>15</v>
      </c>
      <c r="GP3002" s="292" t="s">
        <v>5150</v>
      </c>
      <c r="GQ3002" s="65">
        <v>56</v>
      </c>
      <c r="GR3002" s="65">
        <v>56</v>
      </c>
      <c r="GS3002" s="65" t="s">
        <v>2971</v>
      </c>
    </row>
    <row r="3003" spans="1:201" x14ac:dyDescent="0.25">
      <c r="A3003" s="55">
        <v>3002</v>
      </c>
      <c r="B3003" s="12" t="s">
        <v>7067</v>
      </c>
      <c r="C3003" s="155">
        <v>146</v>
      </c>
      <c r="D3003" s="55" t="s">
        <v>4313</v>
      </c>
      <c r="E3003" s="90" t="s">
        <v>2949</v>
      </c>
      <c r="G3003" s="55" t="s">
        <v>2962</v>
      </c>
      <c r="H3003" s="55">
        <v>1999</v>
      </c>
      <c r="I3003" s="55">
        <v>1993</v>
      </c>
      <c r="J3003" s="55" t="s">
        <v>2688</v>
      </c>
      <c r="K3003" s="55" t="s">
        <v>2952</v>
      </c>
      <c r="L3003" s="55" t="s">
        <v>2750</v>
      </c>
      <c r="M3003" s="90">
        <v>-13.64</v>
      </c>
      <c r="N3003" s="90">
        <v>32.65</v>
      </c>
      <c r="O3003" s="90">
        <v>1020</v>
      </c>
      <c r="R3003" s="55">
        <v>1337</v>
      </c>
      <c r="U3003" s="55" t="s">
        <v>1816</v>
      </c>
      <c r="V3003" s="55" t="s">
        <v>1682</v>
      </c>
      <c r="Y3003" s="55" t="s">
        <v>2964</v>
      </c>
      <c r="Z3003" s="55" t="s">
        <v>1349</v>
      </c>
      <c r="AA3003" s="90" t="s">
        <v>1677</v>
      </c>
      <c r="AI3003" s="168">
        <v>5</v>
      </c>
      <c r="AJ3003" s="90">
        <v>0.5</v>
      </c>
      <c r="AM3003" s="55" t="s">
        <v>2957</v>
      </c>
      <c r="AN3003" s="185" t="s">
        <v>2967</v>
      </c>
      <c r="AO3003" s="185" t="s">
        <v>5150</v>
      </c>
      <c r="AQ3003" s="55" t="s">
        <v>553</v>
      </c>
      <c r="AR3003" s="55" t="s">
        <v>1607</v>
      </c>
      <c r="AS3003" s="55" t="s">
        <v>132</v>
      </c>
      <c r="AU3003" s="181" t="s">
        <v>7494</v>
      </c>
      <c r="AV3003" s="185" t="s">
        <v>176</v>
      </c>
      <c r="AX3003" s="185" t="s">
        <v>176</v>
      </c>
      <c r="BE3003" s="226" t="s">
        <v>2958</v>
      </c>
      <c r="BG3003" s="191" t="s">
        <v>176</v>
      </c>
      <c r="BK3003" s="55" t="s">
        <v>5976</v>
      </c>
      <c r="BM3003" s="192" t="s">
        <v>160</v>
      </c>
      <c r="BN3003" s="55">
        <v>3</v>
      </c>
      <c r="BO3003" s="55">
        <v>3</v>
      </c>
      <c r="BQ3003" s="55" t="s">
        <v>141</v>
      </c>
      <c r="BV3003" s="55" t="s">
        <v>2970</v>
      </c>
      <c r="CB3003" s="66">
        <v>2300</v>
      </c>
      <c r="CC3003" s="66">
        <v>6100</v>
      </c>
      <c r="CE3003" s="65">
        <v>710</v>
      </c>
      <c r="CF3003" s="65">
        <v>710</v>
      </c>
      <c r="GN3003" s="294">
        <v>195</v>
      </c>
      <c r="GO3003" s="294">
        <v>50</v>
      </c>
      <c r="GP3003" s="292" t="s">
        <v>5150</v>
      </c>
      <c r="GQ3003" s="65">
        <v>56</v>
      </c>
      <c r="GR3003" s="65">
        <v>56</v>
      </c>
      <c r="GS3003" s="65" t="s">
        <v>2971</v>
      </c>
    </row>
    <row r="3004" spans="1:201" x14ac:dyDescent="0.25">
      <c r="A3004" s="55">
        <v>3003</v>
      </c>
      <c r="B3004" s="12" t="s">
        <v>7067</v>
      </c>
      <c r="C3004" s="155">
        <v>146</v>
      </c>
      <c r="D3004" s="55" t="s">
        <v>4313</v>
      </c>
      <c r="E3004" s="90" t="s">
        <v>2949</v>
      </c>
      <c r="G3004" s="55" t="s">
        <v>2962</v>
      </c>
      <c r="H3004" s="55">
        <v>1999</v>
      </c>
      <c r="I3004" s="55">
        <v>1993</v>
      </c>
      <c r="J3004" s="55" t="s">
        <v>2688</v>
      </c>
      <c r="K3004" s="55" t="s">
        <v>2952</v>
      </c>
      <c r="L3004" s="55" t="s">
        <v>2750</v>
      </c>
      <c r="M3004" s="90">
        <v>-13.64</v>
      </c>
      <c r="N3004" s="90">
        <v>32.65</v>
      </c>
      <c r="O3004" s="90">
        <v>1020</v>
      </c>
      <c r="R3004" s="55">
        <v>1337</v>
      </c>
      <c r="U3004" s="55" t="s">
        <v>1816</v>
      </c>
      <c r="V3004" s="55" t="s">
        <v>1682</v>
      </c>
      <c r="Y3004" s="55" t="s">
        <v>2964</v>
      </c>
      <c r="Z3004" s="55" t="s">
        <v>1349</v>
      </c>
      <c r="AA3004" s="90" t="s">
        <v>1677</v>
      </c>
      <c r="AI3004" s="168">
        <v>5</v>
      </c>
      <c r="AJ3004" s="90">
        <v>0.5</v>
      </c>
      <c r="AM3004" s="55" t="s">
        <v>2957</v>
      </c>
      <c r="AN3004" s="185" t="s">
        <v>2722</v>
      </c>
      <c r="AO3004" s="185" t="s">
        <v>5150</v>
      </c>
      <c r="AQ3004" s="55" t="s">
        <v>553</v>
      </c>
      <c r="AR3004" s="55" t="s">
        <v>1607</v>
      </c>
      <c r="AS3004" s="55" t="s">
        <v>132</v>
      </c>
      <c r="AU3004" s="181" t="s">
        <v>7494</v>
      </c>
      <c r="AV3004" s="185" t="s">
        <v>176</v>
      </c>
      <c r="AX3004" s="185" t="s">
        <v>176</v>
      </c>
      <c r="BE3004" s="226" t="s">
        <v>2958</v>
      </c>
      <c r="BG3004" s="191" t="s">
        <v>176</v>
      </c>
      <c r="BK3004" s="55" t="s">
        <v>5976</v>
      </c>
      <c r="BM3004" s="192" t="s">
        <v>160</v>
      </c>
      <c r="BN3004" s="55">
        <v>3</v>
      </c>
      <c r="BO3004" s="55">
        <v>3</v>
      </c>
      <c r="BQ3004" s="55" t="s">
        <v>141</v>
      </c>
      <c r="BV3004" s="55" t="s">
        <v>2970</v>
      </c>
      <c r="CB3004" s="66">
        <v>2300</v>
      </c>
      <c r="CC3004" s="66">
        <v>4200</v>
      </c>
      <c r="CE3004" s="65">
        <v>710</v>
      </c>
      <c r="CF3004" s="65">
        <v>710</v>
      </c>
      <c r="GN3004" s="294">
        <v>195</v>
      </c>
      <c r="GO3004" s="294">
        <v>19</v>
      </c>
      <c r="GP3004" s="292" t="s">
        <v>5150</v>
      </c>
      <c r="GQ3004" s="65">
        <v>56</v>
      </c>
      <c r="GR3004" s="65">
        <v>56</v>
      </c>
      <c r="GS3004" s="65" t="s">
        <v>2971</v>
      </c>
    </row>
    <row r="3005" spans="1:201" x14ac:dyDescent="0.25">
      <c r="A3005" s="55">
        <v>3004</v>
      </c>
      <c r="B3005" s="12" t="s">
        <v>7067</v>
      </c>
      <c r="C3005" s="155">
        <v>146</v>
      </c>
      <c r="D3005" s="55" t="s">
        <v>4313</v>
      </c>
      <c r="E3005" s="90" t="s">
        <v>2949</v>
      </c>
      <c r="G3005" s="55" t="s">
        <v>2962</v>
      </c>
      <c r="H3005" s="55">
        <v>1999</v>
      </c>
      <c r="I3005" s="55">
        <v>1993</v>
      </c>
      <c r="J3005" s="55" t="s">
        <v>2688</v>
      </c>
      <c r="K3005" s="55" t="s">
        <v>2952</v>
      </c>
      <c r="L3005" s="55" t="s">
        <v>2750</v>
      </c>
      <c r="M3005" s="90">
        <v>-13.64</v>
      </c>
      <c r="N3005" s="90">
        <v>32.65</v>
      </c>
      <c r="O3005" s="90">
        <v>1020</v>
      </c>
      <c r="R3005" s="55">
        <v>1337</v>
      </c>
      <c r="U3005" s="55" t="s">
        <v>1816</v>
      </c>
      <c r="V3005" s="55" t="s">
        <v>1682</v>
      </c>
      <c r="Y3005" s="55" t="s">
        <v>2964</v>
      </c>
      <c r="Z3005" s="55" t="s">
        <v>1349</v>
      </c>
      <c r="AA3005" s="90" t="s">
        <v>1677</v>
      </c>
      <c r="AI3005" s="168">
        <v>5</v>
      </c>
      <c r="AJ3005" s="90">
        <v>0.5</v>
      </c>
      <c r="AM3005" s="55" t="s">
        <v>2957</v>
      </c>
      <c r="AN3005" s="185" t="s">
        <v>2968</v>
      </c>
      <c r="AO3005" s="185" t="s">
        <v>5150</v>
      </c>
      <c r="AQ3005" s="55" t="s">
        <v>553</v>
      </c>
      <c r="AR3005" s="55" t="s">
        <v>1607</v>
      </c>
      <c r="AS3005" s="55" t="s">
        <v>132</v>
      </c>
      <c r="AU3005" s="181" t="s">
        <v>7494</v>
      </c>
      <c r="AV3005" s="185" t="s">
        <v>176</v>
      </c>
      <c r="AX3005" s="185" t="s">
        <v>176</v>
      </c>
      <c r="BE3005" s="226" t="s">
        <v>2958</v>
      </c>
      <c r="BG3005" s="191" t="s">
        <v>176</v>
      </c>
      <c r="BK3005" s="55" t="s">
        <v>5976</v>
      </c>
      <c r="BM3005" s="192" t="s">
        <v>160</v>
      </c>
      <c r="BN3005" s="55">
        <v>3</v>
      </c>
      <c r="BO3005" s="55">
        <v>3</v>
      </c>
      <c r="BQ3005" s="55" t="s">
        <v>141</v>
      </c>
      <c r="BV3005" s="55" t="s">
        <v>2970</v>
      </c>
      <c r="CB3005" s="66">
        <v>2300</v>
      </c>
      <c r="CC3005" s="66">
        <v>2100</v>
      </c>
      <c r="CE3005" s="65">
        <v>710</v>
      </c>
      <c r="CF3005" s="65">
        <v>710</v>
      </c>
      <c r="GN3005" s="294">
        <v>195</v>
      </c>
      <c r="GO3005" s="294">
        <v>6</v>
      </c>
      <c r="GP3005" s="292" t="s">
        <v>5150</v>
      </c>
      <c r="GQ3005" s="65">
        <v>56</v>
      </c>
      <c r="GR3005" s="65">
        <v>56</v>
      </c>
      <c r="GS3005" s="65" t="s">
        <v>2971</v>
      </c>
    </row>
    <row r="3006" spans="1:201" x14ac:dyDescent="0.25">
      <c r="A3006" s="55">
        <v>3005</v>
      </c>
      <c r="B3006" s="12" t="s">
        <v>7067</v>
      </c>
      <c r="C3006" s="155">
        <v>146</v>
      </c>
      <c r="D3006" s="55" t="s">
        <v>4313</v>
      </c>
      <c r="E3006" s="90" t="s">
        <v>2949</v>
      </c>
      <c r="G3006" s="55" t="s">
        <v>2962</v>
      </c>
      <c r="H3006" s="55">
        <v>1999</v>
      </c>
      <c r="I3006" s="55">
        <v>1993</v>
      </c>
      <c r="J3006" s="55" t="s">
        <v>2688</v>
      </c>
      <c r="K3006" s="55" t="s">
        <v>2952</v>
      </c>
      <c r="L3006" s="55" t="s">
        <v>2750</v>
      </c>
      <c r="M3006" s="90">
        <v>-13.64</v>
      </c>
      <c r="N3006" s="90">
        <v>32.65</v>
      </c>
      <c r="O3006" s="90">
        <v>1020</v>
      </c>
      <c r="R3006" s="55">
        <v>1337</v>
      </c>
      <c r="U3006" s="55" t="s">
        <v>1816</v>
      </c>
      <c r="V3006" s="55" t="s">
        <v>1682</v>
      </c>
      <c r="Y3006" s="55" t="s">
        <v>2964</v>
      </c>
      <c r="Z3006" s="55" t="s">
        <v>1349</v>
      </c>
      <c r="AA3006" s="90" t="s">
        <v>1677</v>
      </c>
      <c r="AI3006" s="168">
        <v>5</v>
      </c>
      <c r="AJ3006" s="90">
        <v>0.5</v>
      </c>
      <c r="AM3006" s="55" t="s">
        <v>2957</v>
      </c>
      <c r="AN3006" s="185" t="s">
        <v>2838</v>
      </c>
      <c r="AO3006" s="185" t="s">
        <v>5150</v>
      </c>
      <c r="AQ3006" s="55" t="s">
        <v>553</v>
      </c>
      <c r="AR3006" s="55" t="s">
        <v>1607</v>
      </c>
      <c r="AS3006" s="55" t="s">
        <v>132</v>
      </c>
      <c r="AU3006" s="181" t="s">
        <v>7494</v>
      </c>
      <c r="AV3006" s="185" t="s">
        <v>176</v>
      </c>
      <c r="AX3006" s="185" t="s">
        <v>176</v>
      </c>
      <c r="BE3006" s="226" t="s">
        <v>2958</v>
      </c>
      <c r="BG3006" s="191" t="s">
        <v>176</v>
      </c>
      <c r="BK3006" s="55" t="s">
        <v>5976</v>
      </c>
      <c r="BM3006" s="192" t="s">
        <v>160</v>
      </c>
      <c r="BN3006" s="55">
        <v>3</v>
      </c>
      <c r="BO3006" s="55">
        <v>3</v>
      </c>
      <c r="BQ3006" s="55" t="s">
        <v>141</v>
      </c>
      <c r="BV3006" s="55" t="s">
        <v>2970</v>
      </c>
      <c r="CB3006" s="66">
        <v>2300</v>
      </c>
      <c r="CC3006" s="66">
        <v>7400</v>
      </c>
      <c r="CE3006" s="65">
        <v>710</v>
      </c>
      <c r="CF3006" s="65">
        <v>710</v>
      </c>
      <c r="GN3006" s="294">
        <v>195</v>
      </c>
      <c r="GO3006" s="294">
        <v>2</v>
      </c>
      <c r="GP3006" s="292" t="s">
        <v>5150</v>
      </c>
      <c r="GQ3006" s="65">
        <v>56</v>
      </c>
      <c r="GR3006" s="65">
        <v>56</v>
      </c>
      <c r="GS3006" s="65" t="s">
        <v>2971</v>
      </c>
    </row>
    <row r="3007" spans="1:201" x14ac:dyDescent="0.25">
      <c r="A3007" s="55">
        <v>3006</v>
      </c>
      <c r="B3007" s="12" t="s">
        <v>7067</v>
      </c>
      <c r="C3007" s="155">
        <v>147</v>
      </c>
      <c r="D3007" s="55" t="s">
        <v>4314</v>
      </c>
      <c r="E3007" s="90" t="s">
        <v>2972</v>
      </c>
      <c r="G3007" s="55" t="s">
        <v>2973</v>
      </c>
      <c r="H3007" s="55">
        <v>1989</v>
      </c>
      <c r="I3007" s="55">
        <v>1982</v>
      </c>
      <c r="J3007" s="55" t="s">
        <v>2688</v>
      </c>
      <c r="K3007" s="55" t="s">
        <v>2974</v>
      </c>
      <c r="L3007" s="55" t="s">
        <v>2744</v>
      </c>
      <c r="M3007" s="90">
        <v>4.8499999999999996</v>
      </c>
      <c r="N3007" s="90">
        <v>7.05</v>
      </c>
      <c r="O3007" s="90">
        <v>21.6</v>
      </c>
      <c r="S3007" s="90">
        <v>2400</v>
      </c>
      <c r="U3007" s="55" t="s">
        <v>1935</v>
      </c>
      <c r="V3007" s="55" t="s">
        <v>1801</v>
      </c>
      <c r="Y3007" s="55" t="s">
        <v>2975</v>
      </c>
      <c r="AG3007" s="90">
        <v>65</v>
      </c>
      <c r="AH3007" s="55" t="s">
        <v>769</v>
      </c>
      <c r="AM3007" s="55" t="s">
        <v>2891</v>
      </c>
      <c r="AN3007" s="185" t="s">
        <v>2977</v>
      </c>
      <c r="AO3007" s="185" t="s">
        <v>5150</v>
      </c>
      <c r="AQ3007" s="55" t="s">
        <v>553</v>
      </c>
      <c r="AR3007" s="55" t="s">
        <v>1607</v>
      </c>
      <c r="AS3007" s="55" t="s">
        <v>132</v>
      </c>
      <c r="AU3007" s="181" t="s">
        <v>7494</v>
      </c>
      <c r="AV3007" s="185" t="s">
        <v>176</v>
      </c>
      <c r="AX3007" s="185" t="s">
        <v>176</v>
      </c>
      <c r="AZ3007" s="55" t="s">
        <v>2976</v>
      </c>
      <c r="BB3007" s="55" t="s">
        <v>2081</v>
      </c>
      <c r="BC3007" s="55" t="s">
        <v>2081</v>
      </c>
      <c r="BK3007" s="55" t="s">
        <v>6333</v>
      </c>
      <c r="BM3007" s="192" t="s">
        <v>160</v>
      </c>
      <c r="FJ3007" s="65">
        <v>0.02</v>
      </c>
      <c r="FK3007" s="65">
        <v>0.69</v>
      </c>
      <c r="FN3007" s="65" t="s">
        <v>206</v>
      </c>
      <c r="FO3007" s="65">
        <f>328/100*1.1</f>
        <v>3.6080000000000001</v>
      </c>
      <c r="FP3007" s="65">
        <f>328/100*3</f>
        <v>9.84</v>
      </c>
      <c r="FS3007" s="65" t="s">
        <v>6371</v>
      </c>
      <c r="FT3007" s="65">
        <v>0.1</v>
      </c>
      <c r="FU3007" s="65">
        <v>0.34</v>
      </c>
      <c r="FX3007" s="65" t="s">
        <v>2981</v>
      </c>
      <c r="GP3007" s="292" t="s">
        <v>7494</v>
      </c>
    </row>
    <row r="3008" spans="1:201" x14ac:dyDescent="0.25">
      <c r="A3008" s="55">
        <v>3007</v>
      </c>
      <c r="B3008" s="12" t="s">
        <v>7067</v>
      </c>
      <c r="C3008" s="155">
        <v>147</v>
      </c>
      <c r="D3008" s="55" t="s">
        <v>4314</v>
      </c>
      <c r="E3008" s="90" t="s">
        <v>2972</v>
      </c>
      <c r="G3008" s="55" t="s">
        <v>2973</v>
      </c>
      <c r="H3008" s="55">
        <v>1989</v>
      </c>
      <c r="I3008" s="55">
        <v>1982</v>
      </c>
      <c r="J3008" s="55" t="s">
        <v>2688</v>
      </c>
      <c r="K3008" s="55" t="s">
        <v>2974</v>
      </c>
      <c r="L3008" s="55" t="s">
        <v>2744</v>
      </c>
      <c r="M3008" s="90">
        <v>4.8499999999999996</v>
      </c>
      <c r="N3008" s="90">
        <v>7.05</v>
      </c>
      <c r="O3008" s="90">
        <v>21.6</v>
      </c>
      <c r="S3008" s="90">
        <v>2400</v>
      </c>
      <c r="U3008" s="55" t="s">
        <v>1935</v>
      </c>
      <c r="V3008" s="55" t="s">
        <v>1801</v>
      </c>
      <c r="Y3008" s="55" t="s">
        <v>2975</v>
      </c>
      <c r="AG3008" s="90">
        <v>65</v>
      </c>
      <c r="AH3008" s="55" t="s">
        <v>769</v>
      </c>
      <c r="AM3008" s="55" t="s">
        <v>2891</v>
      </c>
      <c r="AN3008" s="185" t="s">
        <v>2978</v>
      </c>
      <c r="AO3008" s="185" t="s">
        <v>5150</v>
      </c>
      <c r="AQ3008" s="55" t="s">
        <v>553</v>
      </c>
      <c r="AR3008" s="55" t="s">
        <v>1607</v>
      </c>
      <c r="AS3008" s="55" t="s">
        <v>132</v>
      </c>
      <c r="AU3008" s="181" t="s">
        <v>7494</v>
      </c>
      <c r="AV3008" s="185" t="s">
        <v>176</v>
      </c>
      <c r="AX3008" s="185" t="s">
        <v>176</v>
      </c>
      <c r="AZ3008" s="55" t="s">
        <v>2976</v>
      </c>
      <c r="BB3008" s="55" t="s">
        <v>2081</v>
      </c>
      <c r="BC3008" s="55" t="s">
        <v>2081</v>
      </c>
      <c r="BK3008" s="55" t="s">
        <v>6333</v>
      </c>
      <c r="BM3008" s="192" t="s">
        <v>160</v>
      </c>
      <c r="FJ3008" s="65">
        <v>0.02</v>
      </c>
      <c r="FK3008" s="65">
        <v>0.25</v>
      </c>
      <c r="FN3008" s="65" t="s">
        <v>206</v>
      </c>
      <c r="FO3008" s="65">
        <f>328/100*1.1</f>
        <v>3.6080000000000001</v>
      </c>
      <c r="FP3008" s="65">
        <f>328/100*3.9</f>
        <v>12.792</v>
      </c>
      <c r="FS3008" s="65" t="s">
        <v>6371</v>
      </c>
      <c r="FT3008" s="65">
        <v>0.1</v>
      </c>
      <c r="FU3008" s="65">
        <v>0.1</v>
      </c>
      <c r="FX3008" s="65" t="s">
        <v>2981</v>
      </c>
      <c r="GP3008" s="292" t="s">
        <v>7494</v>
      </c>
    </row>
    <row r="3009" spans="1:198" x14ac:dyDescent="0.25">
      <c r="A3009" s="55">
        <v>3008</v>
      </c>
      <c r="B3009" s="12" t="s">
        <v>7067</v>
      </c>
      <c r="C3009" s="155">
        <v>147</v>
      </c>
      <c r="D3009" s="55" t="s">
        <v>4314</v>
      </c>
      <c r="E3009" s="90" t="s">
        <v>2972</v>
      </c>
      <c r="G3009" s="55" t="s">
        <v>2973</v>
      </c>
      <c r="H3009" s="55">
        <v>1989</v>
      </c>
      <c r="I3009" s="55">
        <v>1982</v>
      </c>
      <c r="J3009" s="55" t="s">
        <v>2688</v>
      </c>
      <c r="K3009" s="55" t="s">
        <v>2974</v>
      </c>
      <c r="L3009" s="55" t="s">
        <v>2744</v>
      </c>
      <c r="M3009" s="90">
        <v>4.8499999999999996</v>
      </c>
      <c r="N3009" s="90">
        <v>7.05</v>
      </c>
      <c r="O3009" s="90">
        <v>21.6</v>
      </c>
      <c r="S3009" s="90">
        <v>2400</v>
      </c>
      <c r="U3009" s="55" t="s">
        <v>1935</v>
      </c>
      <c r="V3009" s="55" t="s">
        <v>1801</v>
      </c>
      <c r="Y3009" s="55" t="s">
        <v>2975</v>
      </c>
      <c r="AG3009" s="90">
        <v>65</v>
      </c>
      <c r="AH3009" s="55" t="s">
        <v>769</v>
      </c>
      <c r="AM3009" s="55" t="s">
        <v>2891</v>
      </c>
      <c r="AN3009" s="185" t="s">
        <v>2979</v>
      </c>
      <c r="AO3009" s="185" t="s">
        <v>5150</v>
      </c>
      <c r="AQ3009" s="55" t="s">
        <v>553</v>
      </c>
      <c r="AR3009" s="55" t="s">
        <v>1607</v>
      </c>
      <c r="AS3009" s="55" t="s">
        <v>132</v>
      </c>
      <c r="AU3009" s="181" t="s">
        <v>7494</v>
      </c>
      <c r="AV3009" s="185" t="s">
        <v>176</v>
      </c>
      <c r="AX3009" s="185" t="s">
        <v>176</v>
      </c>
      <c r="AZ3009" s="55" t="s">
        <v>2976</v>
      </c>
      <c r="BB3009" s="55" t="s">
        <v>2081</v>
      </c>
      <c r="BC3009" s="55" t="s">
        <v>2081</v>
      </c>
      <c r="BK3009" s="55" t="s">
        <v>6333</v>
      </c>
      <c r="BM3009" s="192" t="s">
        <v>160</v>
      </c>
      <c r="FJ3009" s="65">
        <v>0.02</v>
      </c>
      <c r="FK3009" s="65">
        <v>0.01</v>
      </c>
      <c r="FN3009" s="65" t="s">
        <v>206</v>
      </c>
      <c r="FO3009" s="65">
        <f>328/100*1.1</f>
        <v>3.6080000000000001</v>
      </c>
      <c r="FP3009" s="65">
        <f>328/100*0.1</f>
        <v>0.32800000000000001</v>
      </c>
      <c r="FS3009" s="65" t="s">
        <v>6371</v>
      </c>
      <c r="FT3009" s="65">
        <v>0.1</v>
      </c>
      <c r="FU3009" s="65">
        <v>0.01</v>
      </c>
      <c r="FX3009" s="65" t="s">
        <v>2981</v>
      </c>
      <c r="GP3009" s="292" t="s">
        <v>7494</v>
      </c>
    </row>
    <row r="3010" spans="1:198" x14ac:dyDescent="0.25">
      <c r="A3010" s="55">
        <v>3009</v>
      </c>
      <c r="B3010" s="12" t="s">
        <v>7067</v>
      </c>
      <c r="C3010" s="155">
        <v>147</v>
      </c>
      <c r="D3010" s="55" t="s">
        <v>4314</v>
      </c>
      <c r="E3010" s="90" t="s">
        <v>2972</v>
      </c>
      <c r="G3010" s="55" t="s">
        <v>2973</v>
      </c>
      <c r="H3010" s="55">
        <v>1989</v>
      </c>
      <c r="I3010" s="55">
        <v>1982</v>
      </c>
      <c r="J3010" s="55" t="s">
        <v>2688</v>
      </c>
      <c r="K3010" s="55" t="s">
        <v>2974</v>
      </c>
      <c r="L3010" s="55" t="s">
        <v>2744</v>
      </c>
      <c r="M3010" s="90">
        <v>4.8499999999999996</v>
      </c>
      <c r="N3010" s="90">
        <v>7.05</v>
      </c>
      <c r="O3010" s="90">
        <v>21.6</v>
      </c>
      <c r="S3010" s="90">
        <v>2400</v>
      </c>
      <c r="U3010" s="55" t="s">
        <v>1935</v>
      </c>
      <c r="V3010" s="55" t="s">
        <v>1801</v>
      </c>
      <c r="Y3010" s="55" t="s">
        <v>2975</v>
      </c>
      <c r="AG3010" s="90">
        <v>65</v>
      </c>
      <c r="AH3010" s="55" t="s">
        <v>769</v>
      </c>
      <c r="AM3010" s="55" t="s">
        <v>2891</v>
      </c>
      <c r="AN3010" s="185" t="s">
        <v>2980</v>
      </c>
      <c r="AO3010" s="185" t="s">
        <v>5150</v>
      </c>
      <c r="AQ3010" s="55" t="s">
        <v>553</v>
      </c>
      <c r="AR3010" s="55" t="s">
        <v>1607</v>
      </c>
      <c r="AS3010" s="55" t="s">
        <v>132</v>
      </c>
      <c r="AU3010" s="181" t="s">
        <v>7494</v>
      </c>
      <c r="AV3010" s="185" t="s">
        <v>176</v>
      </c>
      <c r="AX3010" s="185" t="s">
        <v>176</v>
      </c>
      <c r="AZ3010" s="55" t="s">
        <v>2976</v>
      </c>
      <c r="BB3010" s="55" t="s">
        <v>2081</v>
      </c>
      <c r="BC3010" s="55" t="s">
        <v>2081</v>
      </c>
      <c r="BK3010" s="55" t="s">
        <v>6333</v>
      </c>
      <c r="BM3010" s="192" t="s">
        <v>160</v>
      </c>
      <c r="FJ3010" s="65">
        <v>0.02</v>
      </c>
      <c r="FK3010" s="65">
        <v>0.02</v>
      </c>
      <c r="FN3010" s="65" t="s">
        <v>206</v>
      </c>
      <c r="FO3010" s="65">
        <f>328/100*1.1</f>
        <v>3.6080000000000001</v>
      </c>
      <c r="FP3010" s="65">
        <f>328/100*0.4</f>
        <v>1.3120000000000001</v>
      </c>
      <c r="FS3010" s="65" t="s">
        <v>6371</v>
      </c>
      <c r="FT3010" s="65">
        <v>0.1</v>
      </c>
      <c r="FU3010" s="65">
        <v>0.01</v>
      </c>
      <c r="FX3010" s="65" t="s">
        <v>2981</v>
      </c>
      <c r="GP3010" s="292" t="s">
        <v>7494</v>
      </c>
    </row>
    <row r="3011" spans="1:198" x14ac:dyDescent="0.25">
      <c r="A3011" s="55">
        <v>3010</v>
      </c>
      <c r="B3011" s="12" t="s">
        <v>7067</v>
      </c>
      <c r="C3011" s="155">
        <v>147</v>
      </c>
      <c r="D3011" s="55" t="s">
        <v>4314</v>
      </c>
      <c r="E3011" s="90" t="s">
        <v>2972</v>
      </c>
      <c r="G3011" s="55" t="s">
        <v>2973</v>
      </c>
      <c r="H3011" s="55">
        <v>1989</v>
      </c>
      <c r="I3011" s="55">
        <v>1983</v>
      </c>
      <c r="J3011" s="55" t="s">
        <v>2688</v>
      </c>
      <c r="K3011" s="55" t="s">
        <v>2974</v>
      </c>
      <c r="L3011" s="55" t="s">
        <v>2744</v>
      </c>
      <c r="M3011" s="90">
        <v>4.8499999999999996</v>
      </c>
      <c r="N3011" s="90">
        <v>7.05</v>
      </c>
      <c r="O3011" s="90">
        <v>21.6</v>
      </c>
      <c r="S3011" s="90">
        <v>2400</v>
      </c>
      <c r="U3011" s="55" t="s">
        <v>1805</v>
      </c>
      <c r="V3011" s="55" t="s">
        <v>1801</v>
      </c>
      <c r="Y3011" s="55" t="s">
        <v>2975</v>
      </c>
      <c r="AG3011" s="90">
        <v>65</v>
      </c>
      <c r="AH3011" s="55" t="s">
        <v>769</v>
      </c>
      <c r="AM3011" s="55" t="s">
        <v>2891</v>
      </c>
      <c r="AN3011" s="185" t="s">
        <v>2977</v>
      </c>
      <c r="AO3011" s="185" t="s">
        <v>5150</v>
      </c>
      <c r="AQ3011" s="55" t="s">
        <v>553</v>
      </c>
      <c r="AR3011" s="55" t="s">
        <v>1607</v>
      </c>
      <c r="AS3011" s="55" t="s">
        <v>132</v>
      </c>
      <c r="AU3011" s="181" t="s">
        <v>7494</v>
      </c>
      <c r="AV3011" s="185" t="s">
        <v>176</v>
      </c>
      <c r="AX3011" s="185" t="s">
        <v>176</v>
      </c>
      <c r="AZ3011" s="55" t="s">
        <v>2976</v>
      </c>
      <c r="BB3011" s="55" t="s">
        <v>2081</v>
      </c>
      <c r="BC3011" s="55" t="s">
        <v>2081</v>
      </c>
      <c r="BK3011" s="55" t="s">
        <v>6333</v>
      </c>
      <c r="BM3011" s="192" t="s">
        <v>160</v>
      </c>
      <c r="FJ3011" s="65">
        <v>2.5</v>
      </c>
      <c r="FK3011" s="65">
        <v>1.38</v>
      </c>
      <c r="FN3011" s="65" t="s">
        <v>206</v>
      </c>
      <c r="FO3011" s="65">
        <f>740/100*19.1</f>
        <v>141.34</v>
      </c>
      <c r="FP3011" s="65">
        <f>740/100*13.3</f>
        <v>98.420000000000016</v>
      </c>
      <c r="FS3011" s="65" t="s">
        <v>6371</v>
      </c>
      <c r="FT3011" s="65">
        <v>0.97</v>
      </c>
      <c r="FU3011" s="65">
        <v>1.28</v>
      </c>
      <c r="FX3011" s="65" t="s">
        <v>2981</v>
      </c>
      <c r="GP3011" s="292" t="s">
        <v>7494</v>
      </c>
    </row>
    <row r="3012" spans="1:198" x14ac:dyDescent="0.25">
      <c r="A3012" s="55">
        <v>3011</v>
      </c>
      <c r="B3012" s="12" t="s">
        <v>7067</v>
      </c>
      <c r="C3012" s="155">
        <v>147</v>
      </c>
      <c r="D3012" s="55" t="s">
        <v>4314</v>
      </c>
      <c r="E3012" s="90" t="s">
        <v>2972</v>
      </c>
      <c r="G3012" s="55" t="s">
        <v>2973</v>
      </c>
      <c r="H3012" s="55">
        <v>1989</v>
      </c>
      <c r="I3012" s="55">
        <v>1983</v>
      </c>
      <c r="J3012" s="55" t="s">
        <v>2688</v>
      </c>
      <c r="K3012" s="55" t="s">
        <v>2974</v>
      </c>
      <c r="L3012" s="55" t="s">
        <v>2744</v>
      </c>
      <c r="M3012" s="90">
        <v>4.8499999999999996</v>
      </c>
      <c r="N3012" s="90">
        <v>7.05</v>
      </c>
      <c r="O3012" s="90">
        <v>21.6</v>
      </c>
      <c r="S3012" s="90">
        <v>2400</v>
      </c>
      <c r="U3012" s="55" t="s">
        <v>1805</v>
      </c>
      <c r="V3012" s="55" t="s">
        <v>1801</v>
      </c>
      <c r="Y3012" s="55" t="s">
        <v>2975</v>
      </c>
      <c r="AG3012" s="90">
        <v>65</v>
      </c>
      <c r="AH3012" s="55" t="s">
        <v>769</v>
      </c>
      <c r="AM3012" s="55" t="s">
        <v>2891</v>
      </c>
      <c r="AN3012" s="185" t="s">
        <v>2978</v>
      </c>
      <c r="AO3012" s="185" t="s">
        <v>5150</v>
      </c>
      <c r="AQ3012" s="55" t="s">
        <v>553</v>
      </c>
      <c r="AR3012" s="55" t="s">
        <v>1607</v>
      </c>
      <c r="AS3012" s="55" t="s">
        <v>132</v>
      </c>
      <c r="AU3012" s="181" t="s">
        <v>7494</v>
      </c>
      <c r="AV3012" s="185" t="s">
        <v>176</v>
      </c>
      <c r="AX3012" s="185" t="s">
        <v>176</v>
      </c>
      <c r="AZ3012" s="55" t="s">
        <v>2976</v>
      </c>
      <c r="BB3012" s="55" t="s">
        <v>2081</v>
      </c>
      <c r="BC3012" s="55" t="s">
        <v>2081</v>
      </c>
      <c r="BK3012" s="55" t="s">
        <v>6333</v>
      </c>
      <c r="BM3012" s="192" t="s">
        <v>160</v>
      </c>
      <c r="FJ3012" s="65">
        <v>2.5</v>
      </c>
      <c r="FK3012" s="65">
        <v>0.18</v>
      </c>
      <c r="FN3012" s="65" t="s">
        <v>206</v>
      </c>
      <c r="FO3012" s="65">
        <f>740/100*19.1</f>
        <v>141.34</v>
      </c>
      <c r="FP3012" s="65">
        <f>740/100*6</f>
        <v>44.400000000000006</v>
      </c>
      <c r="FS3012" s="65" t="s">
        <v>6371</v>
      </c>
      <c r="FT3012" s="65">
        <v>0.97</v>
      </c>
      <c r="FU3012" s="65">
        <v>0.34</v>
      </c>
      <c r="FX3012" s="65" t="s">
        <v>2981</v>
      </c>
      <c r="GP3012" s="292" t="s">
        <v>7494</v>
      </c>
    </row>
    <row r="3013" spans="1:198" x14ac:dyDescent="0.25">
      <c r="A3013" s="55">
        <v>3012</v>
      </c>
      <c r="B3013" s="12" t="s">
        <v>7067</v>
      </c>
      <c r="C3013" s="155">
        <v>147</v>
      </c>
      <c r="D3013" s="55" t="s">
        <v>4314</v>
      </c>
      <c r="E3013" s="90" t="s">
        <v>2972</v>
      </c>
      <c r="G3013" s="55" t="s">
        <v>2973</v>
      </c>
      <c r="H3013" s="55">
        <v>1989</v>
      </c>
      <c r="I3013" s="55">
        <v>1983</v>
      </c>
      <c r="J3013" s="55" t="s">
        <v>2688</v>
      </c>
      <c r="K3013" s="55" t="s">
        <v>2974</v>
      </c>
      <c r="L3013" s="55" t="s">
        <v>2744</v>
      </c>
      <c r="M3013" s="90">
        <v>4.8499999999999996</v>
      </c>
      <c r="N3013" s="90">
        <v>7.05</v>
      </c>
      <c r="O3013" s="90">
        <v>21.6</v>
      </c>
      <c r="S3013" s="90">
        <v>2400</v>
      </c>
      <c r="U3013" s="55" t="s">
        <v>1805</v>
      </c>
      <c r="V3013" s="55" t="s">
        <v>1801</v>
      </c>
      <c r="Y3013" s="55" t="s">
        <v>2975</v>
      </c>
      <c r="AG3013" s="90">
        <v>65</v>
      </c>
      <c r="AH3013" s="55" t="s">
        <v>769</v>
      </c>
      <c r="AM3013" s="55" t="s">
        <v>2891</v>
      </c>
      <c r="AN3013" s="185" t="s">
        <v>2979</v>
      </c>
      <c r="AO3013" s="185" t="s">
        <v>5150</v>
      </c>
      <c r="AQ3013" s="55" t="s">
        <v>553</v>
      </c>
      <c r="AR3013" s="55" t="s">
        <v>1607</v>
      </c>
      <c r="AS3013" s="55" t="s">
        <v>132</v>
      </c>
      <c r="AU3013" s="181" t="s">
        <v>7494</v>
      </c>
      <c r="AV3013" s="185" t="s">
        <v>176</v>
      </c>
      <c r="AX3013" s="185" t="s">
        <v>176</v>
      </c>
      <c r="AZ3013" s="55" t="s">
        <v>2976</v>
      </c>
      <c r="BB3013" s="55" t="s">
        <v>2081</v>
      </c>
      <c r="BC3013" s="55" t="s">
        <v>2081</v>
      </c>
      <c r="BK3013" s="55" t="s">
        <v>6333</v>
      </c>
      <c r="BM3013" s="192" t="s">
        <v>160</v>
      </c>
      <c r="FJ3013" s="65">
        <v>2.5</v>
      </c>
      <c r="FK3013" s="65">
        <v>0.43</v>
      </c>
      <c r="FN3013" s="65" t="s">
        <v>206</v>
      </c>
      <c r="FO3013" s="65">
        <f>740/100*19.1</f>
        <v>141.34</v>
      </c>
      <c r="FP3013" s="65">
        <f>740/100*5.3</f>
        <v>39.22</v>
      </c>
      <c r="FS3013" s="65" t="s">
        <v>6371</v>
      </c>
      <c r="FT3013" s="65">
        <v>0.97</v>
      </c>
      <c r="FU3013" s="65">
        <v>0.4</v>
      </c>
      <c r="FX3013" s="65" t="s">
        <v>2981</v>
      </c>
      <c r="GP3013" s="292" t="s">
        <v>7494</v>
      </c>
    </row>
    <row r="3014" spans="1:198" x14ac:dyDescent="0.25">
      <c r="A3014" s="55">
        <v>3013</v>
      </c>
      <c r="B3014" s="12" t="s">
        <v>7067</v>
      </c>
      <c r="C3014" s="155">
        <v>147</v>
      </c>
      <c r="D3014" s="55" t="s">
        <v>4314</v>
      </c>
      <c r="E3014" s="90" t="s">
        <v>2972</v>
      </c>
      <c r="G3014" s="55" t="s">
        <v>2973</v>
      </c>
      <c r="H3014" s="55">
        <v>1989</v>
      </c>
      <c r="I3014" s="55">
        <v>1983</v>
      </c>
      <c r="J3014" s="55" t="s">
        <v>2688</v>
      </c>
      <c r="K3014" s="55" t="s">
        <v>2974</v>
      </c>
      <c r="L3014" s="55" t="s">
        <v>2744</v>
      </c>
      <c r="M3014" s="90">
        <v>4.8499999999999996</v>
      </c>
      <c r="N3014" s="90">
        <v>7.05</v>
      </c>
      <c r="O3014" s="90">
        <v>21.6</v>
      </c>
      <c r="S3014" s="90">
        <v>2400</v>
      </c>
      <c r="U3014" s="55" t="s">
        <v>1805</v>
      </c>
      <c r="V3014" s="55" t="s">
        <v>1801</v>
      </c>
      <c r="Y3014" s="55" t="s">
        <v>2975</v>
      </c>
      <c r="AG3014" s="90">
        <v>65</v>
      </c>
      <c r="AH3014" s="55" t="s">
        <v>769</v>
      </c>
      <c r="AM3014" s="55" t="s">
        <v>2891</v>
      </c>
      <c r="AN3014" s="185" t="s">
        <v>2980</v>
      </c>
      <c r="AO3014" s="185" t="s">
        <v>5150</v>
      </c>
      <c r="AQ3014" s="55" t="s">
        <v>553</v>
      </c>
      <c r="AR3014" s="55" t="s">
        <v>1607</v>
      </c>
      <c r="AS3014" s="55" t="s">
        <v>132</v>
      </c>
      <c r="AU3014" s="181" t="s">
        <v>7494</v>
      </c>
      <c r="AV3014" s="185" t="s">
        <v>176</v>
      </c>
      <c r="AX3014" s="185" t="s">
        <v>176</v>
      </c>
      <c r="AZ3014" s="55" t="s">
        <v>2976</v>
      </c>
      <c r="BB3014" s="55" t="s">
        <v>2081</v>
      </c>
      <c r="BC3014" s="55" t="s">
        <v>2081</v>
      </c>
      <c r="BK3014" s="55" t="s">
        <v>6333</v>
      </c>
      <c r="BM3014" s="192" t="s">
        <v>160</v>
      </c>
      <c r="FJ3014" s="65">
        <v>2.5</v>
      </c>
      <c r="FK3014" s="65">
        <v>0.1</v>
      </c>
      <c r="FN3014" s="65" t="s">
        <v>206</v>
      </c>
      <c r="FO3014" s="65">
        <f>740/100*19.1</f>
        <v>141.34</v>
      </c>
      <c r="FP3014" s="65">
        <f>740/100*2.8</f>
        <v>20.72</v>
      </c>
      <c r="FS3014" s="65" t="s">
        <v>6371</v>
      </c>
      <c r="FT3014" s="65">
        <v>0.97</v>
      </c>
      <c r="FU3014" s="65">
        <v>0.97</v>
      </c>
      <c r="FX3014" s="65" t="s">
        <v>2981</v>
      </c>
      <c r="GP3014" s="292" t="s">
        <v>7494</v>
      </c>
    </row>
    <row r="3015" spans="1:198" x14ac:dyDescent="0.25">
      <c r="A3015" s="55">
        <v>3014</v>
      </c>
      <c r="B3015" s="12" t="s">
        <v>7067</v>
      </c>
      <c r="C3015" s="155">
        <v>147</v>
      </c>
      <c r="D3015" s="55" t="s">
        <v>4314</v>
      </c>
      <c r="E3015" s="90" t="s">
        <v>2972</v>
      </c>
      <c r="G3015" s="55" t="s">
        <v>2973</v>
      </c>
      <c r="H3015" s="55">
        <v>1989</v>
      </c>
      <c r="I3015" s="55">
        <v>1984</v>
      </c>
      <c r="J3015" s="55" t="s">
        <v>2688</v>
      </c>
      <c r="K3015" s="55" t="s">
        <v>2974</v>
      </c>
      <c r="L3015" s="55" t="s">
        <v>2744</v>
      </c>
      <c r="M3015" s="90">
        <v>4.8499999999999996</v>
      </c>
      <c r="N3015" s="90">
        <v>7.05</v>
      </c>
      <c r="O3015" s="90">
        <v>21.6</v>
      </c>
      <c r="S3015" s="90">
        <v>2400</v>
      </c>
      <c r="U3015" s="55" t="s">
        <v>1688</v>
      </c>
      <c r="V3015" s="55" t="s">
        <v>1801</v>
      </c>
      <c r="Y3015" s="55" t="s">
        <v>2975</v>
      </c>
      <c r="AG3015" s="90">
        <v>65</v>
      </c>
      <c r="AH3015" s="55" t="s">
        <v>769</v>
      </c>
      <c r="AM3015" s="55" t="s">
        <v>2891</v>
      </c>
      <c r="AN3015" s="185" t="s">
        <v>2977</v>
      </c>
      <c r="AO3015" s="185" t="s">
        <v>5150</v>
      </c>
      <c r="AQ3015" s="55" t="s">
        <v>553</v>
      </c>
      <c r="AR3015" s="55" t="s">
        <v>1607</v>
      </c>
      <c r="AS3015" s="55" t="s">
        <v>132</v>
      </c>
      <c r="AU3015" s="181" t="s">
        <v>7494</v>
      </c>
      <c r="AV3015" s="185" t="s">
        <v>176</v>
      </c>
      <c r="AX3015" s="185" t="s">
        <v>176</v>
      </c>
      <c r="AZ3015" s="55" t="s">
        <v>2976</v>
      </c>
      <c r="BB3015" s="55" t="s">
        <v>2081</v>
      </c>
      <c r="BC3015" s="55" t="s">
        <v>2081</v>
      </c>
      <c r="BK3015" s="55" t="s">
        <v>6333</v>
      </c>
      <c r="BM3015" s="192" t="s">
        <v>160</v>
      </c>
      <c r="FJ3015" s="65">
        <v>14.16</v>
      </c>
      <c r="FK3015" s="65">
        <v>0.17</v>
      </c>
      <c r="FN3015" s="65" t="s">
        <v>206</v>
      </c>
      <c r="FO3015" s="65">
        <f>740/100*29.9</f>
        <v>221.26</v>
      </c>
      <c r="FP3015" s="65">
        <f>740/100*1.2</f>
        <v>8.8800000000000008</v>
      </c>
      <c r="FS3015" s="65" t="s">
        <v>6371</v>
      </c>
      <c r="FT3015" s="65">
        <v>1.35</v>
      </c>
      <c r="FU3015" s="65">
        <v>0.23</v>
      </c>
      <c r="FX3015" s="65" t="s">
        <v>2981</v>
      </c>
      <c r="GP3015" s="292" t="s">
        <v>7494</v>
      </c>
    </row>
    <row r="3016" spans="1:198" x14ac:dyDescent="0.25">
      <c r="A3016" s="55">
        <v>3015</v>
      </c>
      <c r="B3016" s="12" t="s">
        <v>7067</v>
      </c>
      <c r="C3016" s="155">
        <v>147</v>
      </c>
      <c r="D3016" s="55" t="s">
        <v>4314</v>
      </c>
      <c r="E3016" s="90" t="s">
        <v>2972</v>
      </c>
      <c r="G3016" s="55" t="s">
        <v>2973</v>
      </c>
      <c r="H3016" s="55">
        <v>1989</v>
      </c>
      <c r="I3016" s="55">
        <v>1984</v>
      </c>
      <c r="J3016" s="55" t="s">
        <v>2688</v>
      </c>
      <c r="K3016" s="55" t="s">
        <v>2974</v>
      </c>
      <c r="L3016" s="55" t="s">
        <v>2744</v>
      </c>
      <c r="M3016" s="90">
        <v>4.8499999999999996</v>
      </c>
      <c r="N3016" s="90">
        <v>7.05</v>
      </c>
      <c r="O3016" s="90">
        <v>21.6</v>
      </c>
      <c r="S3016" s="90">
        <v>2400</v>
      </c>
      <c r="U3016" s="55" t="s">
        <v>1688</v>
      </c>
      <c r="V3016" s="55" t="s">
        <v>1801</v>
      </c>
      <c r="Y3016" s="55" t="s">
        <v>2975</v>
      </c>
      <c r="AG3016" s="90">
        <v>65</v>
      </c>
      <c r="AH3016" s="55" t="s">
        <v>769</v>
      </c>
      <c r="AM3016" s="55" t="s">
        <v>2891</v>
      </c>
      <c r="AN3016" s="185" t="s">
        <v>2978</v>
      </c>
      <c r="AO3016" s="185" t="s">
        <v>5150</v>
      </c>
      <c r="AQ3016" s="55" t="s">
        <v>553</v>
      </c>
      <c r="AR3016" s="55" t="s">
        <v>1607</v>
      </c>
      <c r="AS3016" s="55" t="s">
        <v>132</v>
      </c>
      <c r="AU3016" s="181" t="s">
        <v>7494</v>
      </c>
      <c r="AV3016" s="185" t="s">
        <v>176</v>
      </c>
      <c r="AX3016" s="185" t="s">
        <v>176</v>
      </c>
      <c r="AZ3016" s="55" t="s">
        <v>2976</v>
      </c>
      <c r="BB3016" s="55" t="s">
        <v>2081</v>
      </c>
      <c r="BC3016" s="55" t="s">
        <v>2081</v>
      </c>
      <c r="BK3016" s="55" t="s">
        <v>6333</v>
      </c>
      <c r="BM3016" s="192" t="s">
        <v>160</v>
      </c>
      <c r="FJ3016" s="65">
        <v>14.16</v>
      </c>
      <c r="FK3016" s="65">
        <v>7.0000000000000007E-2</v>
      </c>
      <c r="FN3016" s="65" t="s">
        <v>206</v>
      </c>
      <c r="FO3016" s="65">
        <f>740/100*29.9</f>
        <v>221.26</v>
      </c>
      <c r="FP3016" s="65">
        <f>740/100*1.3</f>
        <v>9.620000000000001</v>
      </c>
      <c r="FS3016" s="65" t="s">
        <v>6371</v>
      </c>
      <c r="FT3016" s="65">
        <v>1.35</v>
      </c>
      <c r="FU3016" s="65">
        <v>0.1</v>
      </c>
      <c r="FX3016" s="65" t="s">
        <v>2981</v>
      </c>
      <c r="GP3016" s="292" t="s">
        <v>7494</v>
      </c>
    </row>
    <row r="3017" spans="1:198" x14ac:dyDescent="0.25">
      <c r="A3017" s="55">
        <v>3016</v>
      </c>
      <c r="B3017" s="12" t="s">
        <v>7067</v>
      </c>
      <c r="C3017" s="155">
        <v>147</v>
      </c>
      <c r="D3017" s="55" t="s">
        <v>4314</v>
      </c>
      <c r="E3017" s="90" t="s">
        <v>2972</v>
      </c>
      <c r="G3017" s="55" t="s">
        <v>2973</v>
      </c>
      <c r="H3017" s="55">
        <v>1989</v>
      </c>
      <c r="I3017" s="55">
        <v>1984</v>
      </c>
      <c r="J3017" s="55" t="s">
        <v>2688</v>
      </c>
      <c r="K3017" s="55" t="s">
        <v>2974</v>
      </c>
      <c r="L3017" s="55" t="s">
        <v>2744</v>
      </c>
      <c r="M3017" s="90">
        <v>4.8499999999999996</v>
      </c>
      <c r="N3017" s="90">
        <v>7.05</v>
      </c>
      <c r="O3017" s="90">
        <v>21.6</v>
      </c>
      <c r="S3017" s="90">
        <v>2400</v>
      </c>
      <c r="U3017" s="55" t="s">
        <v>1688</v>
      </c>
      <c r="V3017" s="55" t="s">
        <v>1801</v>
      </c>
      <c r="Y3017" s="55" t="s">
        <v>2975</v>
      </c>
      <c r="AG3017" s="90">
        <v>65</v>
      </c>
      <c r="AH3017" s="55" t="s">
        <v>769</v>
      </c>
      <c r="AM3017" s="55" t="s">
        <v>2891</v>
      </c>
      <c r="AN3017" s="185" t="s">
        <v>2979</v>
      </c>
      <c r="AO3017" s="185" t="s">
        <v>5150</v>
      </c>
      <c r="AQ3017" s="55" t="s">
        <v>553</v>
      </c>
      <c r="AR3017" s="55" t="s">
        <v>1607</v>
      </c>
      <c r="AS3017" s="55" t="s">
        <v>132</v>
      </c>
      <c r="AU3017" s="181" t="s">
        <v>7494</v>
      </c>
      <c r="AV3017" s="185" t="s">
        <v>176</v>
      </c>
      <c r="AX3017" s="185" t="s">
        <v>176</v>
      </c>
      <c r="AZ3017" s="55" t="s">
        <v>2976</v>
      </c>
      <c r="BB3017" s="55" t="s">
        <v>2081</v>
      </c>
      <c r="BC3017" s="55" t="s">
        <v>2081</v>
      </c>
      <c r="BK3017" s="55" t="s">
        <v>6333</v>
      </c>
      <c r="BM3017" s="192" t="s">
        <v>160</v>
      </c>
      <c r="FJ3017" s="65">
        <v>14.16</v>
      </c>
      <c r="FK3017" s="65">
        <v>1.62</v>
      </c>
      <c r="FN3017" s="65" t="s">
        <v>206</v>
      </c>
      <c r="FO3017" s="65">
        <f>740/100*29.9</f>
        <v>221.26</v>
      </c>
      <c r="FP3017" s="65">
        <f>740/100*4.9</f>
        <v>36.260000000000005</v>
      </c>
      <c r="FS3017" s="65" t="s">
        <v>6371</v>
      </c>
      <c r="FT3017" s="65">
        <v>1.35</v>
      </c>
      <c r="FU3017" s="65">
        <v>2.57</v>
      </c>
      <c r="FX3017" s="65" t="s">
        <v>2981</v>
      </c>
      <c r="GP3017" s="292" t="s">
        <v>7494</v>
      </c>
    </row>
    <row r="3018" spans="1:198" x14ac:dyDescent="0.25">
      <c r="A3018" s="55">
        <v>3017</v>
      </c>
      <c r="B3018" s="12" t="s">
        <v>7067</v>
      </c>
      <c r="C3018" s="155">
        <v>147</v>
      </c>
      <c r="D3018" s="55" t="s">
        <v>4314</v>
      </c>
      <c r="E3018" s="90" t="s">
        <v>2972</v>
      </c>
      <c r="G3018" s="55" t="s">
        <v>2973</v>
      </c>
      <c r="H3018" s="55">
        <v>1989</v>
      </c>
      <c r="I3018" s="55">
        <v>1984</v>
      </c>
      <c r="J3018" s="55" t="s">
        <v>2688</v>
      </c>
      <c r="K3018" s="55" t="s">
        <v>2974</v>
      </c>
      <c r="L3018" s="55" t="s">
        <v>2744</v>
      </c>
      <c r="M3018" s="90">
        <v>4.8499999999999996</v>
      </c>
      <c r="N3018" s="90">
        <v>7.05</v>
      </c>
      <c r="O3018" s="90">
        <v>21.6</v>
      </c>
      <c r="S3018" s="90">
        <v>2400</v>
      </c>
      <c r="U3018" s="55" t="s">
        <v>1688</v>
      </c>
      <c r="V3018" s="55" t="s">
        <v>1801</v>
      </c>
      <c r="Y3018" s="55" t="s">
        <v>2975</v>
      </c>
      <c r="AG3018" s="90">
        <v>65</v>
      </c>
      <c r="AH3018" s="55" t="s">
        <v>769</v>
      </c>
      <c r="AM3018" s="55" t="s">
        <v>2891</v>
      </c>
      <c r="AN3018" s="185" t="s">
        <v>2980</v>
      </c>
      <c r="AO3018" s="185" t="s">
        <v>5150</v>
      </c>
      <c r="AQ3018" s="55" t="s">
        <v>553</v>
      </c>
      <c r="AR3018" s="55" t="s">
        <v>1607</v>
      </c>
      <c r="AS3018" s="55" t="s">
        <v>132</v>
      </c>
      <c r="AU3018" s="181" t="s">
        <v>7494</v>
      </c>
      <c r="AV3018" s="185" t="s">
        <v>176</v>
      </c>
      <c r="AX3018" s="185" t="s">
        <v>176</v>
      </c>
      <c r="AZ3018" s="55" t="s">
        <v>2976</v>
      </c>
      <c r="BB3018" s="55" t="s">
        <v>2081</v>
      </c>
      <c r="BC3018" s="55" t="s">
        <v>2081</v>
      </c>
      <c r="BK3018" s="55" t="s">
        <v>6333</v>
      </c>
      <c r="BM3018" s="192" t="s">
        <v>160</v>
      </c>
      <c r="FJ3018" s="65">
        <v>14.16</v>
      </c>
      <c r="FK3018" s="65">
        <v>2.0499999999999998</v>
      </c>
      <c r="FN3018" s="65" t="s">
        <v>206</v>
      </c>
      <c r="FO3018" s="65">
        <f>740/100*29.9</f>
        <v>221.26</v>
      </c>
      <c r="FP3018" s="65">
        <f>740/100*2.2</f>
        <v>16.28</v>
      </c>
      <c r="FS3018" s="65" t="s">
        <v>6371</v>
      </c>
      <c r="FT3018" s="65">
        <v>1.35</v>
      </c>
      <c r="FU3018" s="65">
        <v>0.11</v>
      </c>
      <c r="FX3018" s="65" t="s">
        <v>2981</v>
      </c>
      <c r="GP3018" s="292" t="s">
        <v>7494</v>
      </c>
    </row>
    <row r="3019" spans="1:198" x14ac:dyDescent="0.25">
      <c r="A3019" s="55">
        <v>3018</v>
      </c>
      <c r="B3019" s="12" t="s">
        <v>7067</v>
      </c>
      <c r="C3019" s="155">
        <v>147</v>
      </c>
      <c r="D3019" s="55" t="s">
        <v>4314</v>
      </c>
      <c r="E3019" s="90" t="s">
        <v>2972</v>
      </c>
      <c r="G3019" s="55" t="s">
        <v>2973</v>
      </c>
      <c r="H3019" s="55">
        <v>1989</v>
      </c>
      <c r="I3019" s="55">
        <v>1985</v>
      </c>
      <c r="J3019" s="55" t="s">
        <v>2688</v>
      </c>
      <c r="K3019" s="55" t="s">
        <v>2974</v>
      </c>
      <c r="L3019" s="55" t="s">
        <v>2744</v>
      </c>
      <c r="M3019" s="90">
        <v>4.8499999999999996</v>
      </c>
      <c r="N3019" s="90">
        <v>7.05</v>
      </c>
      <c r="O3019" s="90">
        <v>21.6</v>
      </c>
      <c r="S3019" s="90">
        <v>2400</v>
      </c>
      <c r="U3019" s="55" t="s">
        <v>1816</v>
      </c>
      <c r="V3019" s="55" t="s">
        <v>1801</v>
      </c>
      <c r="Y3019" s="55" t="s">
        <v>2975</v>
      </c>
      <c r="AG3019" s="90">
        <v>65</v>
      </c>
      <c r="AH3019" s="55" t="s">
        <v>769</v>
      </c>
      <c r="AM3019" s="55" t="s">
        <v>2891</v>
      </c>
      <c r="AN3019" s="185" t="s">
        <v>2977</v>
      </c>
      <c r="AO3019" s="185" t="s">
        <v>5150</v>
      </c>
      <c r="AQ3019" s="55" t="s">
        <v>553</v>
      </c>
      <c r="AR3019" s="55" t="s">
        <v>1607</v>
      </c>
      <c r="AS3019" s="55" t="s">
        <v>132</v>
      </c>
      <c r="AU3019" s="181" t="s">
        <v>7494</v>
      </c>
      <c r="AV3019" s="185" t="s">
        <v>176</v>
      </c>
      <c r="AX3019" s="185" t="s">
        <v>176</v>
      </c>
      <c r="AZ3019" s="55" t="s">
        <v>2976</v>
      </c>
      <c r="BB3019" s="55" t="s">
        <v>2081</v>
      </c>
      <c r="BC3019" s="55" t="s">
        <v>2081</v>
      </c>
      <c r="BK3019" s="55" t="s">
        <v>6333</v>
      </c>
      <c r="BM3019" s="192" t="s">
        <v>160</v>
      </c>
      <c r="FJ3019" s="65">
        <v>3.64</v>
      </c>
      <c r="FK3019" s="65">
        <v>7.0000000000000007E-2</v>
      </c>
      <c r="FN3019" s="65" t="s">
        <v>206</v>
      </c>
      <c r="FO3019" s="65">
        <f>740/100*18.1</f>
        <v>133.94000000000003</v>
      </c>
      <c r="FP3019" s="65">
        <f>740/100*1.4</f>
        <v>10.36</v>
      </c>
      <c r="FS3019" s="65" t="s">
        <v>6371</v>
      </c>
      <c r="FT3019" s="65">
        <v>1.57</v>
      </c>
      <c r="FU3019" s="65">
        <v>0.17</v>
      </c>
      <c r="FX3019" s="65" t="s">
        <v>2981</v>
      </c>
      <c r="GP3019" s="292" t="s">
        <v>7494</v>
      </c>
    </row>
    <row r="3020" spans="1:198" x14ac:dyDescent="0.25">
      <c r="A3020" s="55">
        <v>3019</v>
      </c>
      <c r="B3020" s="12" t="s">
        <v>7067</v>
      </c>
      <c r="C3020" s="155">
        <v>147</v>
      </c>
      <c r="D3020" s="55" t="s">
        <v>4314</v>
      </c>
      <c r="E3020" s="90" t="s">
        <v>2972</v>
      </c>
      <c r="G3020" s="55" t="s">
        <v>2973</v>
      </c>
      <c r="H3020" s="55">
        <v>1989</v>
      </c>
      <c r="I3020" s="55">
        <v>1985</v>
      </c>
      <c r="J3020" s="55" t="s">
        <v>2688</v>
      </c>
      <c r="K3020" s="55" t="s">
        <v>2974</v>
      </c>
      <c r="L3020" s="55" t="s">
        <v>2744</v>
      </c>
      <c r="M3020" s="90">
        <v>4.8499999999999996</v>
      </c>
      <c r="N3020" s="90">
        <v>7.05</v>
      </c>
      <c r="O3020" s="90">
        <v>21.6</v>
      </c>
      <c r="S3020" s="90">
        <v>2400</v>
      </c>
      <c r="U3020" s="55" t="s">
        <v>1816</v>
      </c>
      <c r="V3020" s="55" t="s">
        <v>1801</v>
      </c>
      <c r="Y3020" s="55" t="s">
        <v>2975</v>
      </c>
      <c r="AG3020" s="90">
        <v>65</v>
      </c>
      <c r="AH3020" s="55" t="s">
        <v>769</v>
      </c>
      <c r="AM3020" s="55" t="s">
        <v>2891</v>
      </c>
      <c r="AN3020" s="185" t="s">
        <v>2978</v>
      </c>
      <c r="AO3020" s="185" t="s">
        <v>5150</v>
      </c>
      <c r="AQ3020" s="55" t="s">
        <v>553</v>
      </c>
      <c r="AR3020" s="55" t="s">
        <v>1607</v>
      </c>
      <c r="AS3020" s="55" t="s">
        <v>132</v>
      </c>
      <c r="AU3020" s="181" t="s">
        <v>7494</v>
      </c>
      <c r="AV3020" s="185" t="s">
        <v>176</v>
      </c>
      <c r="AX3020" s="185" t="s">
        <v>176</v>
      </c>
      <c r="AZ3020" s="55" t="s">
        <v>2976</v>
      </c>
      <c r="BB3020" s="55" t="s">
        <v>2081</v>
      </c>
      <c r="BC3020" s="55" t="s">
        <v>2081</v>
      </c>
      <c r="BK3020" s="55" t="s">
        <v>6333</v>
      </c>
      <c r="BM3020" s="192" t="s">
        <v>160</v>
      </c>
      <c r="FJ3020" s="65">
        <v>3.64</v>
      </c>
      <c r="FK3020" s="65">
        <v>0.03</v>
      </c>
      <c r="FN3020" s="65" t="s">
        <v>206</v>
      </c>
      <c r="FO3020" s="65">
        <f>740/100*18.1</f>
        <v>133.94000000000003</v>
      </c>
      <c r="FP3020" s="65">
        <f>740/100*1.1</f>
        <v>8.14</v>
      </c>
      <c r="FS3020" s="65" t="s">
        <v>6371</v>
      </c>
      <c r="FT3020" s="65">
        <v>1.57</v>
      </c>
      <c r="FU3020" s="65">
        <v>0.15</v>
      </c>
      <c r="FX3020" s="65" t="s">
        <v>2981</v>
      </c>
      <c r="GP3020" s="292" t="s">
        <v>7494</v>
      </c>
    </row>
    <row r="3021" spans="1:198" x14ac:dyDescent="0.25">
      <c r="A3021" s="55">
        <v>3020</v>
      </c>
      <c r="B3021" s="12" t="s">
        <v>7067</v>
      </c>
      <c r="C3021" s="155">
        <v>147</v>
      </c>
      <c r="D3021" s="55" t="s">
        <v>4314</v>
      </c>
      <c r="E3021" s="90" t="s">
        <v>2972</v>
      </c>
      <c r="G3021" s="55" t="s">
        <v>2973</v>
      </c>
      <c r="H3021" s="55">
        <v>1989</v>
      </c>
      <c r="I3021" s="55">
        <v>1985</v>
      </c>
      <c r="J3021" s="55" t="s">
        <v>2688</v>
      </c>
      <c r="K3021" s="55" t="s">
        <v>2974</v>
      </c>
      <c r="L3021" s="55" t="s">
        <v>2744</v>
      </c>
      <c r="M3021" s="90">
        <v>4.8499999999999996</v>
      </c>
      <c r="N3021" s="90">
        <v>7.05</v>
      </c>
      <c r="O3021" s="90">
        <v>21.6</v>
      </c>
      <c r="S3021" s="90">
        <v>2400</v>
      </c>
      <c r="U3021" s="55" t="s">
        <v>1816</v>
      </c>
      <c r="V3021" s="55" t="s">
        <v>1801</v>
      </c>
      <c r="Y3021" s="55" t="s">
        <v>2975</v>
      </c>
      <c r="AG3021" s="90">
        <v>65</v>
      </c>
      <c r="AH3021" s="55" t="s">
        <v>769</v>
      </c>
      <c r="AM3021" s="55" t="s">
        <v>2891</v>
      </c>
      <c r="AN3021" s="185" t="s">
        <v>2979</v>
      </c>
      <c r="AO3021" s="185" t="s">
        <v>5150</v>
      </c>
      <c r="AQ3021" s="55" t="s">
        <v>553</v>
      </c>
      <c r="AR3021" s="55" t="s">
        <v>1607</v>
      </c>
      <c r="AS3021" s="55" t="s">
        <v>132</v>
      </c>
      <c r="AU3021" s="181" t="s">
        <v>7494</v>
      </c>
      <c r="AV3021" s="185" t="s">
        <v>176</v>
      </c>
      <c r="AX3021" s="185" t="s">
        <v>176</v>
      </c>
      <c r="AZ3021" s="55" t="s">
        <v>2976</v>
      </c>
      <c r="BB3021" s="55" t="s">
        <v>2081</v>
      </c>
      <c r="BC3021" s="55" t="s">
        <v>2081</v>
      </c>
      <c r="BK3021" s="55" t="s">
        <v>6333</v>
      </c>
      <c r="BM3021" s="192" t="s">
        <v>160</v>
      </c>
      <c r="FJ3021" s="65">
        <v>3.64</v>
      </c>
      <c r="FK3021" s="65">
        <v>1.4</v>
      </c>
      <c r="FN3021" s="65" t="s">
        <v>206</v>
      </c>
      <c r="FO3021" s="65">
        <f>740/100*18.1</f>
        <v>133.94000000000003</v>
      </c>
      <c r="FP3021" s="65">
        <f>740/100*3.6</f>
        <v>26.64</v>
      </c>
      <c r="FS3021" s="65" t="s">
        <v>6371</v>
      </c>
      <c r="FT3021" s="65">
        <v>1.57</v>
      </c>
      <c r="FU3021" s="65">
        <v>0.42</v>
      </c>
      <c r="FX3021" s="65" t="s">
        <v>2981</v>
      </c>
      <c r="GP3021" s="292" t="s">
        <v>7494</v>
      </c>
    </row>
    <row r="3022" spans="1:198" x14ac:dyDescent="0.25">
      <c r="A3022" s="55">
        <v>3021</v>
      </c>
      <c r="B3022" s="12" t="s">
        <v>7067</v>
      </c>
      <c r="C3022" s="155">
        <v>147</v>
      </c>
      <c r="D3022" s="55" t="s">
        <v>4314</v>
      </c>
      <c r="E3022" s="90" t="s">
        <v>2972</v>
      </c>
      <c r="G3022" s="55" t="s">
        <v>2973</v>
      </c>
      <c r="H3022" s="55">
        <v>1989</v>
      </c>
      <c r="I3022" s="55">
        <v>1985</v>
      </c>
      <c r="J3022" s="55" t="s">
        <v>2688</v>
      </c>
      <c r="K3022" s="55" t="s">
        <v>2974</v>
      </c>
      <c r="L3022" s="55" t="s">
        <v>2744</v>
      </c>
      <c r="M3022" s="90">
        <v>4.8499999999999996</v>
      </c>
      <c r="N3022" s="90">
        <v>7.05</v>
      </c>
      <c r="O3022" s="90">
        <v>21.6</v>
      </c>
      <c r="S3022" s="90">
        <v>2400</v>
      </c>
      <c r="U3022" s="55" t="s">
        <v>1816</v>
      </c>
      <c r="V3022" s="55" t="s">
        <v>1801</v>
      </c>
      <c r="Y3022" s="55" t="s">
        <v>2975</v>
      </c>
      <c r="AG3022" s="90">
        <v>65</v>
      </c>
      <c r="AH3022" s="55" t="s">
        <v>769</v>
      </c>
      <c r="AM3022" s="55" t="s">
        <v>2891</v>
      </c>
      <c r="AN3022" s="185" t="s">
        <v>2980</v>
      </c>
      <c r="AO3022" s="185" t="s">
        <v>5150</v>
      </c>
      <c r="AQ3022" s="55" t="s">
        <v>553</v>
      </c>
      <c r="AR3022" s="55" t="s">
        <v>1607</v>
      </c>
      <c r="AS3022" s="55" t="s">
        <v>132</v>
      </c>
      <c r="AU3022" s="181" t="s">
        <v>7494</v>
      </c>
      <c r="AV3022" s="185" t="s">
        <v>176</v>
      </c>
      <c r="AX3022" s="185" t="s">
        <v>176</v>
      </c>
      <c r="AZ3022" s="55" t="s">
        <v>2976</v>
      </c>
      <c r="BB3022" s="55" t="s">
        <v>2081</v>
      </c>
      <c r="BC3022" s="55" t="s">
        <v>2081</v>
      </c>
      <c r="BK3022" s="55" t="s">
        <v>6333</v>
      </c>
      <c r="BM3022" s="192" t="s">
        <v>160</v>
      </c>
      <c r="FJ3022" s="65">
        <v>3.64</v>
      </c>
      <c r="FK3022" s="65">
        <v>0.2</v>
      </c>
      <c r="FN3022" s="65" t="s">
        <v>206</v>
      </c>
      <c r="FO3022" s="65">
        <f>740/100*18.1</f>
        <v>133.94000000000003</v>
      </c>
      <c r="FP3022" s="65">
        <f>740/100*1.2</f>
        <v>8.8800000000000008</v>
      </c>
      <c r="FS3022" s="65" t="s">
        <v>6371</v>
      </c>
      <c r="FT3022" s="65">
        <v>1.57</v>
      </c>
      <c r="FU3022" s="65">
        <v>0.11</v>
      </c>
      <c r="FX3022" s="65" t="s">
        <v>2981</v>
      </c>
      <c r="GP3022" s="292" t="s">
        <v>7494</v>
      </c>
    </row>
    <row r="3023" spans="1:198" x14ac:dyDescent="0.25">
      <c r="A3023" s="55">
        <v>3022</v>
      </c>
      <c r="B3023" s="12" t="s">
        <v>7067</v>
      </c>
      <c r="C3023" s="155">
        <v>147</v>
      </c>
      <c r="D3023" s="55" t="s">
        <v>4314</v>
      </c>
      <c r="E3023" s="90" t="s">
        <v>2972</v>
      </c>
      <c r="G3023" s="55" t="s">
        <v>2973</v>
      </c>
      <c r="H3023" s="55">
        <v>1989</v>
      </c>
      <c r="I3023" s="55">
        <v>1986</v>
      </c>
      <c r="J3023" s="55" t="s">
        <v>2688</v>
      </c>
      <c r="K3023" s="55" t="s">
        <v>2974</v>
      </c>
      <c r="L3023" s="55" t="s">
        <v>2744</v>
      </c>
      <c r="M3023" s="90">
        <v>4.8499999999999996</v>
      </c>
      <c r="N3023" s="90">
        <v>7.05</v>
      </c>
      <c r="O3023" s="90">
        <v>21.6</v>
      </c>
      <c r="S3023" s="90">
        <v>2400</v>
      </c>
      <c r="U3023" s="55" t="s">
        <v>1682</v>
      </c>
      <c r="V3023" s="55" t="s">
        <v>1801</v>
      </c>
      <c r="Y3023" s="55" t="s">
        <v>2975</v>
      </c>
      <c r="AG3023" s="90">
        <v>65</v>
      </c>
      <c r="AH3023" s="55" t="s">
        <v>769</v>
      </c>
      <c r="AM3023" s="55" t="s">
        <v>2891</v>
      </c>
      <c r="AN3023" s="185" t="s">
        <v>2977</v>
      </c>
      <c r="AO3023" s="185" t="s">
        <v>5150</v>
      </c>
      <c r="AQ3023" s="55" t="s">
        <v>553</v>
      </c>
      <c r="AR3023" s="55" t="s">
        <v>1607</v>
      </c>
      <c r="AS3023" s="55" t="s">
        <v>132</v>
      </c>
      <c r="AU3023" s="181" t="s">
        <v>7494</v>
      </c>
      <c r="AV3023" s="185" t="s">
        <v>176</v>
      </c>
      <c r="AX3023" s="185" t="s">
        <v>176</v>
      </c>
      <c r="AZ3023" s="55" t="s">
        <v>2976</v>
      </c>
      <c r="BB3023" s="55" t="s">
        <v>2081</v>
      </c>
      <c r="BC3023" s="55" t="s">
        <v>2081</v>
      </c>
      <c r="BK3023" s="55" t="s">
        <v>6333</v>
      </c>
      <c r="BM3023" s="192" t="s">
        <v>160</v>
      </c>
      <c r="FJ3023" s="65">
        <v>3.8</v>
      </c>
      <c r="FK3023" s="65">
        <v>0.63</v>
      </c>
      <c r="FN3023" s="65" t="s">
        <v>206</v>
      </c>
      <c r="FO3023" s="65">
        <f>740/100*23.4</f>
        <v>173.16</v>
      </c>
      <c r="FP3023" s="65">
        <f>740/100*5.9</f>
        <v>43.660000000000004</v>
      </c>
      <c r="FS3023" s="65" t="s">
        <v>6371</v>
      </c>
      <c r="FT3023" s="65">
        <v>0.92</v>
      </c>
      <c r="FU3023" s="65">
        <v>1.38</v>
      </c>
      <c r="FX3023" s="65" t="s">
        <v>2981</v>
      </c>
      <c r="GP3023" s="292" t="s">
        <v>7494</v>
      </c>
    </row>
    <row r="3024" spans="1:198" x14ac:dyDescent="0.25">
      <c r="A3024" s="55">
        <v>3023</v>
      </c>
      <c r="B3024" s="12" t="s">
        <v>7067</v>
      </c>
      <c r="C3024" s="155">
        <v>147</v>
      </c>
      <c r="D3024" s="55" t="s">
        <v>4314</v>
      </c>
      <c r="E3024" s="90" t="s">
        <v>2972</v>
      </c>
      <c r="G3024" s="55" t="s">
        <v>2973</v>
      </c>
      <c r="H3024" s="55">
        <v>1989</v>
      </c>
      <c r="I3024" s="55">
        <v>1986</v>
      </c>
      <c r="J3024" s="55" t="s">
        <v>2688</v>
      </c>
      <c r="K3024" s="55" t="s">
        <v>2974</v>
      </c>
      <c r="L3024" s="55" t="s">
        <v>2744</v>
      </c>
      <c r="M3024" s="90">
        <v>4.8499999999999996</v>
      </c>
      <c r="N3024" s="90">
        <v>7.05</v>
      </c>
      <c r="O3024" s="90">
        <v>21.6</v>
      </c>
      <c r="S3024" s="90">
        <v>2400</v>
      </c>
      <c r="U3024" s="55" t="s">
        <v>1682</v>
      </c>
      <c r="V3024" s="55" t="s">
        <v>1801</v>
      </c>
      <c r="Y3024" s="55" t="s">
        <v>2975</v>
      </c>
      <c r="AG3024" s="90">
        <v>65</v>
      </c>
      <c r="AH3024" s="55" t="s">
        <v>769</v>
      </c>
      <c r="AM3024" s="55" t="s">
        <v>2891</v>
      </c>
      <c r="AN3024" s="185" t="s">
        <v>2978</v>
      </c>
      <c r="AO3024" s="185" t="s">
        <v>5150</v>
      </c>
      <c r="AQ3024" s="55" t="s">
        <v>553</v>
      </c>
      <c r="AR3024" s="55" t="s">
        <v>1607</v>
      </c>
      <c r="AS3024" s="55" t="s">
        <v>132</v>
      </c>
      <c r="AU3024" s="181" t="s">
        <v>7494</v>
      </c>
      <c r="AV3024" s="185" t="s">
        <v>176</v>
      </c>
      <c r="AX3024" s="185" t="s">
        <v>176</v>
      </c>
      <c r="AZ3024" s="55" t="s">
        <v>2976</v>
      </c>
      <c r="BB3024" s="55" t="s">
        <v>2081</v>
      </c>
      <c r="BC3024" s="55" t="s">
        <v>2081</v>
      </c>
      <c r="BK3024" s="55" t="s">
        <v>6333</v>
      </c>
      <c r="BM3024" s="192" t="s">
        <v>160</v>
      </c>
      <c r="FJ3024" s="65">
        <v>3.8</v>
      </c>
      <c r="FK3024" s="65">
        <v>0.03</v>
      </c>
      <c r="FN3024" s="65" t="s">
        <v>206</v>
      </c>
      <c r="FO3024" s="65">
        <f>740/100*23.4</f>
        <v>173.16</v>
      </c>
      <c r="FP3024" s="65">
        <f>740/100*2.7</f>
        <v>19.980000000000004</v>
      </c>
      <c r="FS3024" s="65" t="s">
        <v>6371</v>
      </c>
      <c r="FT3024" s="65">
        <v>0.92</v>
      </c>
      <c r="FU3024" s="65">
        <v>0.35</v>
      </c>
      <c r="FX3024" s="65" t="s">
        <v>2981</v>
      </c>
      <c r="GP3024" s="292" t="s">
        <v>7494</v>
      </c>
    </row>
    <row r="3025" spans="1:198" x14ac:dyDescent="0.25">
      <c r="A3025" s="55">
        <v>3024</v>
      </c>
      <c r="B3025" s="12" t="s">
        <v>7067</v>
      </c>
      <c r="C3025" s="155">
        <v>147</v>
      </c>
      <c r="D3025" s="55" t="s">
        <v>4314</v>
      </c>
      <c r="E3025" s="90" t="s">
        <v>2972</v>
      </c>
      <c r="G3025" s="55" t="s">
        <v>2973</v>
      </c>
      <c r="H3025" s="55">
        <v>1989</v>
      </c>
      <c r="I3025" s="55">
        <v>1986</v>
      </c>
      <c r="J3025" s="55" t="s">
        <v>2688</v>
      </c>
      <c r="K3025" s="55" t="s">
        <v>2974</v>
      </c>
      <c r="L3025" s="55" t="s">
        <v>2744</v>
      </c>
      <c r="M3025" s="90">
        <v>4.8499999999999996</v>
      </c>
      <c r="N3025" s="90">
        <v>7.05</v>
      </c>
      <c r="O3025" s="90">
        <v>21.6</v>
      </c>
      <c r="S3025" s="90">
        <v>2400</v>
      </c>
      <c r="U3025" s="55" t="s">
        <v>1682</v>
      </c>
      <c r="V3025" s="55" t="s">
        <v>1801</v>
      </c>
      <c r="Y3025" s="55" t="s">
        <v>2975</v>
      </c>
      <c r="AG3025" s="90">
        <v>65</v>
      </c>
      <c r="AH3025" s="55" t="s">
        <v>769</v>
      </c>
      <c r="AM3025" s="55" t="s">
        <v>2891</v>
      </c>
      <c r="AN3025" s="185" t="s">
        <v>2979</v>
      </c>
      <c r="AO3025" s="185" t="s">
        <v>5150</v>
      </c>
      <c r="AQ3025" s="55" t="s">
        <v>553</v>
      </c>
      <c r="AR3025" s="55" t="s">
        <v>1607</v>
      </c>
      <c r="AS3025" s="55" t="s">
        <v>132</v>
      </c>
      <c r="AU3025" s="181" t="s">
        <v>7494</v>
      </c>
      <c r="AV3025" s="185" t="s">
        <v>176</v>
      </c>
      <c r="AX3025" s="185" t="s">
        <v>176</v>
      </c>
      <c r="AZ3025" s="55" t="s">
        <v>2976</v>
      </c>
      <c r="BB3025" s="55" t="s">
        <v>2081</v>
      </c>
      <c r="BC3025" s="55" t="s">
        <v>2081</v>
      </c>
      <c r="BK3025" s="55" t="s">
        <v>6333</v>
      </c>
      <c r="BM3025" s="192" t="s">
        <v>160</v>
      </c>
      <c r="FJ3025" s="65">
        <v>3.8</v>
      </c>
      <c r="FK3025" s="65">
        <v>0.26</v>
      </c>
      <c r="FN3025" s="65" t="s">
        <v>206</v>
      </c>
      <c r="FO3025" s="65">
        <f>740/100*23.4</f>
        <v>173.16</v>
      </c>
      <c r="FP3025" s="65">
        <f>740/100*7.1</f>
        <v>52.54</v>
      </c>
      <c r="FS3025" s="65" t="s">
        <v>6371</v>
      </c>
      <c r="FT3025" s="65">
        <v>0.92</v>
      </c>
      <c r="FU3025" s="65">
        <v>1</v>
      </c>
      <c r="FX3025" s="65" t="s">
        <v>2981</v>
      </c>
      <c r="GP3025" s="292" t="s">
        <v>7494</v>
      </c>
    </row>
    <row r="3026" spans="1:198" x14ac:dyDescent="0.25">
      <c r="A3026" s="55">
        <v>3025</v>
      </c>
      <c r="B3026" s="12" t="s">
        <v>7067</v>
      </c>
      <c r="C3026" s="155">
        <v>147</v>
      </c>
      <c r="D3026" s="55" t="s">
        <v>4314</v>
      </c>
      <c r="E3026" s="90" t="s">
        <v>2972</v>
      </c>
      <c r="G3026" s="55" t="s">
        <v>2973</v>
      </c>
      <c r="H3026" s="55">
        <v>1989</v>
      </c>
      <c r="I3026" s="55">
        <v>1986</v>
      </c>
      <c r="J3026" s="55" t="s">
        <v>2688</v>
      </c>
      <c r="K3026" s="55" t="s">
        <v>2974</v>
      </c>
      <c r="L3026" s="55" t="s">
        <v>2744</v>
      </c>
      <c r="M3026" s="90">
        <v>4.8499999999999996</v>
      </c>
      <c r="N3026" s="90">
        <v>7.05</v>
      </c>
      <c r="O3026" s="90">
        <v>21.6</v>
      </c>
      <c r="S3026" s="90">
        <v>2400</v>
      </c>
      <c r="U3026" s="55" t="s">
        <v>1682</v>
      </c>
      <c r="V3026" s="55" t="s">
        <v>1801</v>
      </c>
      <c r="Y3026" s="55" t="s">
        <v>2975</v>
      </c>
      <c r="AG3026" s="90">
        <v>65</v>
      </c>
      <c r="AH3026" s="55" t="s">
        <v>769</v>
      </c>
      <c r="AM3026" s="55" t="s">
        <v>2891</v>
      </c>
      <c r="AN3026" s="185" t="s">
        <v>2980</v>
      </c>
      <c r="AO3026" s="185" t="s">
        <v>5150</v>
      </c>
      <c r="AQ3026" s="55" t="s">
        <v>553</v>
      </c>
      <c r="AR3026" s="55" t="s">
        <v>1607</v>
      </c>
      <c r="AS3026" s="55" t="s">
        <v>132</v>
      </c>
      <c r="AU3026" s="181" t="s">
        <v>7494</v>
      </c>
      <c r="AV3026" s="185" t="s">
        <v>176</v>
      </c>
      <c r="AX3026" s="185" t="s">
        <v>176</v>
      </c>
      <c r="AZ3026" s="55" t="s">
        <v>2976</v>
      </c>
      <c r="BB3026" s="55" t="s">
        <v>2081</v>
      </c>
      <c r="BC3026" s="55" t="s">
        <v>2081</v>
      </c>
      <c r="BK3026" s="55" t="s">
        <v>6333</v>
      </c>
      <c r="BM3026" s="192" t="s">
        <v>160</v>
      </c>
      <c r="FJ3026" s="65">
        <v>3.8</v>
      </c>
      <c r="FK3026" s="65">
        <v>1.1100000000000001</v>
      </c>
      <c r="FN3026" s="65" t="s">
        <v>206</v>
      </c>
      <c r="FO3026" s="65">
        <f>23.4*740/100</f>
        <v>173.16</v>
      </c>
      <c r="FP3026" s="65">
        <f>740/100*5.8</f>
        <v>42.92</v>
      </c>
      <c r="FS3026" s="65" t="s">
        <v>6371</v>
      </c>
      <c r="FT3026" s="65">
        <v>0.92</v>
      </c>
      <c r="FU3026" s="65">
        <v>0.27</v>
      </c>
      <c r="FX3026" s="65" t="s">
        <v>2981</v>
      </c>
      <c r="GP3026" s="292" t="s">
        <v>7494</v>
      </c>
    </row>
    <row r="3027" spans="1:198" x14ac:dyDescent="0.25">
      <c r="A3027" s="55">
        <v>3026</v>
      </c>
      <c r="B3027" s="12" t="s">
        <v>7067</v>
      </c>
      <c r="C3027" s="155">
        <v>147</v>
      </c>
      <c r="D3027" s="55" t="s">
        <v>4314</v>
      </c>
      <c r="E3027" s="90" t="s">
        <v>2972</v>
      </c>
      <c r="G3027" s="55" t="s">
        <v>2973</v>
      </c>
      <c r="H3027" s="55">
        <v>1989</v>
      </c>
      <c r="I3027" s="55">
        <v>1987</v>
      </c>
      <c r="J3027" s="55" t="s">
        <v>2688</v>
      </c>
      <c r="K3027" s="55" t="s">
        <v>2974</v>
      </c>
      <c r="L3027" s="55" t="s">
        <v>2744</v>
      </c>
      <c r="M3027" s="90">
        <v>4.8499999999999996</v>
      </c>
      <c r="N3027" s="90">
        <v>7.05</v>
      </c>
      <c r="O3027" s="90">
        <v>21.6</v>
      </c>
      <c r="S3027" s="90">
        <v>2400</v>
      </c>
      <c r="U3027" s="55" t="s">
        <v>1801</v>
      </c>
      <c r="V3027" s="55" t="s">
        <v>1801</v>
      </c>
      <c r="Y3027" s="55" t="s">
        <v>2975</v>
      </c>
      <c r="AG3027" s="90">
        <v>65</v>
      </c>
      <c r="AH3027" s="55" t="s">
        <v>769</v>
      </c>
      <c r="AM3027" s="55" t="s">
        <v>2891</v>
      </c>
      <c r="AN3027" s="185" t="s">
        <v>2977</v>
      </c>
      <c r="AO3027" s="185" t="s">
        <v>5150</v>
      </c>
      <c r="AQ3027" s="55" t="s">
        <v>553</v>
      </c>
      <c r="AR3027" s="55" t="s">
        <v>1607</v>
      </c>
      <c r="AS3027" s="55" t="s">
        <v>132</v>
      </c>
      <c r="AU3027" s="181" t="s">
        <v>7494</v>
      </c>
      <c r="AV3027" s="185" t="s">
        <v>176</v>
      </c>
      <c r="AX3027" s="185" t="s">
        <v>176</v>
      </c>
      <c r="AZ3027" s="55" t="s">
        <v>2976</v>
      </c>
      <c r="BB3027" s="55" t="s">
        <v>2081</v>
      </c>
      <c r="BC3027" s="55" t="s">
        <v>2081</v>
      </c>
      <c r="BK3027" s="55" t="s">
        <v>6333</v>
      </c>
      <c r="BM3027" s="192" t="s">
        <v>160</v>
      </c>
      <c r="FJ3027" s="65">
        <v>1.48</v>
      </c>
      <c r="FK3027" s="65">
        <v>0.49</v>
      </c>
      <c r="FN3027" s="65" t="s">
        <v>206</v>
      </c>
      <c r="FO3027" s="65">
        <f>740/100*10.5</f>
        <v>77.7</v>
      </c>
      <c r="FP3027" s="65">
        <f>740/100*4.7</f>
        <v>34.78</v>
      </c>
      <c r="FS3027" s="65" t="s">
        <v>6371</v>
      </c>
      <c r="FT3027" s="65">
        <v>0.02</v>
      </c>
      <c r="FU3027" s="65">
        <v>0.13</v>
      </c>
      <c r="FX3027" s="65" t="s">
        <v>2981</v>
      </c>
      <c r="GP3027" s="292" t="s">
        <v>7494</v>
      </c>
    </row>
    <row r="3028" spans="1:198" x14ac:dyDescent="0.25">
      <c r="A3028" s="55">
        <v>3027</v>
      </c>
      <c r="B3028" s="12" t="s">
        <v>7067</v>
      </c>
      <c r="C3028" s="155">
        <v>147</v>
      </c>
      <c r="D3028" s="55" t="s">
        <v>4314</v>
      </c>
      <c r="E3028" s="90" t="s">
        <v>2972</v>
      </c>
      <c r="G3028" s="55" t="s">
        <v>2973</v>
      </c>
      <c r="H3028" s="55">
        <v>1989</v>
      </c>
      <c r="I3028" s="55">
        <v>1987</v>
      </c>
      <c r="J3028" s="55" t="s">
        <v>2688</v>
      </c>
      <c r="K3028" s="55" t="s">
        <v>2974</v>
      </c>
      <c r="L3028" s="55" t="s">
        <v>2744</v>
      </c>
      <c r="M3028" s="90">
        <v>4.8499999999999996</v>
      </c>
      <c r="N3028" s="90">
        <v>7.05</v>
      </c>
      <c r="O3028" s="90">
        <v>21.6</v>
      </c>
      <c r="S3028" s="90">
        <v>2400</v>
      </c>
      <c r="U3028" s="55" t="s">
        <v>1801</v>
      </c>
      <c r="V3028" s="55" t="s">
        <v>1801</v>
      </c>
      <c r="Y3028" s="55" t="s">
        <v>2975</v>
      </c>
      <c r="AG3028" s="90">
        <v>65</v>
      </c>
      <c r="AH3028" s="55" t="s">
        <v>769</v>
      </c>
      <c r="AM3028" s="55" t="s">
        <v>2891</v>
      </c>
      <c r="AN3028" s="185" t="s">
        <v>2978</v>
      </c>
      <c r="AO3028" s="185" t="s">
        <v>5150</v>
      </c>
      <c r="AQ3028" s="55" t="s">
        <v>553</v>
      </c>
      <c r="AR3028" s="55" t="s">
        <v>1607</v>
      </c>
      <c r="AS3028" s="55" t="s">
        <v>132</v>
      </c>
      <c r="AU3028" s="181" t="s">
        <v>7494</v>
      </c>
      <c r="AV3028" s="185" t="s">
        <v>176</v>
      </c>
      <c r="AX3028" s="185" t="s">
        <v>176</v>
      </c>
      <c r="AZ3028" s="55" t="s">
        <v>2976</v>
      </c>
      <c r="BB3028" s="55" t="s">
        <v>2081</v>
      </c>
      <c r="BC3028" s="55" t="s">
        <v>2081</v>
      </c>
      <c r="BK3028" s="55" t="s">
        <v>6333</v>
      </c>
      <c r="BM3028" s="192" t="s">
        <v>160</v>
      </c>
      <c r="FJ3028" s="65">
        <v>1.48</v>
      </c>
      <c r="FK3028" s="65">
        <v>0.02</v>
      </c>
      <c r="FN3028" s="65" t="s">
        <v>206</v>
      </c>
      <c r="FO3028" s="65">
        <f>740/100*10.5</f>
        <v>77.7</v>
      </c>
      <c r="FP3028" s="65">
        <f>740/100*8</f>
        <v>59.2</v>
      </c>
      <c r="FS3028" s="65" t="s">
        <v>6371</v>
      </c>
      <c r="FT3028" s="65">
        <v>0.02</v>
      </c>
      <c r="FU3028" s="65">
        <v>0.09</v>
      </c>
      <c r="FX3028" s="65" t="s">
        <v>2981</v>
      </c>
      <c r="GP3028" s="292" t="s">
        <v>7494</v>
      </c>
    </row>
    <row r="3029" spans="1:198" x14ac:dyDescent="0.25">
      <c r="A3029" s="55">
        <v>3028</v>
      </c>
      <c r="B3029" s="12" t="s">
        <v>7067</v>
      </c>
      <c r="C3029" s="155">
        <v>147</v>
      </c>
      <c r="D3029" s="55" t="s">
        <v>4314</v>
      </c>
      <c r="E3029" s="90" t="s">
        <v>2972</v>
      </c>
      <c r="G3029" s="55" t="s">
        <v>2973</v>
      </c>
      <c r="H3029" s="55">
        <v>1989</v>
      </c>
      <c r="I3029" s="55">
        <v>1987</v>
      </c>
      <c r="J3029" s="55" t="s">
        <v>2688</v>
      </c>
      <c r="K3029" s="55" t="s">
        <v>2974</v>
      </c>
      <c r="L3029" s="55" t="s">
        <v>2744</v>
      </c>
      <c r="M3029" s="90">
        <v>4.8499999999999996</v>
      </c>
      <c r="N3029" s="90">
        <v>7.05</v>
      </c>
      <c r="O3029" s="90">
        <v>21.6</v>
      </c>
      <c r="S3029" s="90">
        <v>2400</v>
      </c>
      <c r="U3029" s="55" t="s">
        <v>1801</v>
      </c>
      <c r="V3029" s="55" t="s">
        <v>1801</v>
      </c>
      <c r="Y3029" s="55" t="s">
        <v>2975</v>
      </c>
      <c r="AG3029" s="90">
        <v>65</v>
      </c>
      <c r="AH3029" s="55" t="s">
        <v>769</v>
      </c>
      <c r="AM3029" s="55" t="s">
        <v>2891</v>
      </c>
      <c r="AN3029" s="185" t="s">
        <v>2979</v>
      </c>
      <c r="AO3029" s="185" t="s">
        <v>5150</v>
      </c>
      <c r="AQ3029" s="55" t="s">
        <v>553</v>
      </c>
      <c r="AR3029" s="55" t="s">
        <v>1607</v>
      </c>
      <c r="AS3029" s="55" t="s">
        <v>132</v>
      </c>
      <c r="AU3029" s="181" t="s">
        <v>7494</v>
      </c>
      <c r="AV3029" s="185" t="s">
        <v>176</v>
      </c>
      <c r="AX3029" s="185" t="s">
        <v>176</v>
      </c>
      <c r="AZ3029" s="55" t="s">
        <v>2976</v>
      </c>
      <c r="BB3029" s="55" t="s">
        <v>2081</v>
      </c>
      <c r="BC3029" s="55" t="s">
        <v>2081</v>
      </c>
      <c r="BK3029" s="55" t="s">
        <v>6333</v>
      </c>
      <c r="BM3029" s="192" t="s">
        <v>160</v>
      </c>
      <c r="FJ3029" s="65">
        <v>1.48</v>
      </c>
      <c r="FK3029" s="65">
        <v>0.12</v>
      </c>
      <c r="FN3029" s="65" t="s">
        <v>206</v>
      </c>
      <c r="FO3029" s="65">
        <f>740/100*10.5</f>
        <v>77.7</v>
      </c>
      <c r="FP3029" s="65">
        <f>740/100*4.6</f>
        <v>34.04</v>
      </c>
      <c r="FS3029" s="65" t="s">
        <v>6371</v>
      </c>
      <c r="FT3029" s="65">
        <v>0.02</v>
      </c>
      <c r="FU3029" s="65">
        <v>0.09</v>
      </c>
      <c r="FX3029" s="65" t="s">
        <v>2981</v>
      </c>
      <c r="GP3029" s="292" t="s">
        <v>7494</v>
      </c>
    </row>
    <row r="3030" spans="1:198" x14ac:dyDescent="0.25">
      <c r="A3030" s="55">
        <v>3029</v>
      </c>
      <c r="B3030" s="12" t="s">
        <v>7067</v>
      </c>
      <c r="C3030" s="155">
        <v>147</v>
      </c>
      <c r="D3030" s="55" t="s">
        <v>4314</v>
      </c>
      <c r="E3030" s="90" t="s">
        <v>2972</v>
      </c>
      <c r="G3030" s="55" t="s">
        <v>2973</v>
      </c>
      <c r="H3030" s="55">
        <v>1989</v>
      </c>
      <c r="I3030" s="55">
        <v>1987</v>
      </c>
      <c r="J3030" s="55" t="s">
        <v>2688</v>
      </c>
      <c r="K3030" s="55" t="s">
        <v>2974</v>
      </c>
      <c r="L3030" s="55" t="s">
        <v>2744</v>
      </c>
      <c r="M3030" s="90">
        <v>4.8499999999999996</v>
      </c>
      <c r="N3030" s="90">
        <v>7.05</v>
      </c>
      <c r="O3030" s="90">
        <v>21.6</v>
      </c>
      <c r="S3030" s="90">
        <v>2400</v>
      </c>
      <c r="U3030" s="55" t="s">
        <v>1801</v>
      </c>
      <c r="V3030" s="55" t="s">
        <v>1801</v>
      </c>
      <c r="Y3030" s="55" t="s">
        <v>2975</v>
      </c>
      <c r="AG3030" s="90">
        <v>65</v>
      </c>
      <c r="AH3030" s="55" t="s">
        <v>769</v>
      </c>
      <c r="AM3030" s="55" t="s">
        <v>2891</v>
      </c>
      <c r="AN3030" s="185" t="s">
        <v>2980</v>
      </c>
      <c r="AO3030" s="185" t="s">
        <v>5150</v>
      </c>
      <c r="AQ3030" s="55" t="s">
        <v>553</v>
      </c>
      <c r="AR3030" s="55" t="s">
        <v>1607</v>
      </c>
      <c r="AS3030" s="55" t="s">
        <v>132</v>
      </c>
      <c r="AU3030" s="181" t="s">
        <v>7494</v>
      </c>
      <c r="AV3030" s="185" t="s">
        <v>176</v>
      </c>
      <c r="AX3030" s="185" t="s">
        <v>176</v>
      </c>
      <c r="AZ3030" s="55" t="s">
        <v>2976</v>
      </c>
      <c r="BB3030" s="55" t="s">
        <v>2081</v>
      </c>
      <c r="BC3030" s="55" t="s">
        <v>2081</v>
      </c>
      <c r="BK3030" s="55" t="s">
        <v>6333</v>
      </c>
      <c r="BM3030" s="192" t="s">
        <v>160</v>
      </c>
      <c r="FJ3030" s="65">
        <v>1.48</v>
      </c>
      <c r="FK3030" s="65">
        <v>0.06</v>
      </c>
      <c r="FN3030" s="65" t="s">
        <v>206</v>
      </c>
      <c r="FO3030" s="65">
        <f>740/100*10.5</f>
        <v>77.7</v>
      </c>
      <c r="FP3030" s="65">
        <f>740/100*2</f>
        <v>14.8</v>
      </c>
      <c r="FS3030" s="65" t="s">
        <v>6371</v>
      </c>
      <c r="FT3030" s="65">
        <v>0.02</v>
      </c>
      <c r="FU3030" s="65">
        <v>0.01</v>
      </c>
      <c r="FX3030" s="65" t="s">
        <v>2981</v>
      </c>
      <c r="GP3030" s="292" t="s">
        <v>7494</v>
      </c>
    </row>
    <row r="3031" spans="1:198" x14ac:dyDescent="0.25">
      <c r="A3031" s="55">
        <v>3030</v>
      </c>
      <c r="B3031" s="12" t="s">
        <v>7067</v>
      </c>
      <c r="C3031" s="155">
        <v>147</v>
      </c>
      <c r="D3031" s="55" t="s">
        <v>4315</v>
      </c>
      <c r="E3031" s="90" t="s">
        <v>2972</v>
      </c>
      <c r="G3031" s="55" t="s">
        <v>2973</v>
      </c>
      <c r="H3031" s="55">
        <v>1989</v>
      </c>
      <c r="I3031" s="55">
        <v>1982</v>
      </c>
      <c r="J3031" s="55" t="s">
        <v>2688</v>
      </c>
      <c r="K3031" s="55" t="s">
        <v>2974</v>
      </c>
      <c r="L3031" s="55" t="s">
        <v>2744</v>
      </c>
      <c r="M3031" s="90">
        <v>4.8499999999999996</v>
      </c>
      <c r="N3031" s="90">
        <v>7.05</v>
      </c>
      <c r="O3031" s="90">
        <v>21.6</v>
      </c>
      <c r="S3031" s="90">
        <v>2400</v>
      </c>
      <c r="U3031" s="55" t="s">
        <v>1935</v>
      </c>
      <c r="V3031" s="55" t="s">
        <v>1801</v>
      </c>
      <c r="Y3031" s="55" t="s">
        <v>2975</v>
      </c>
      <c r="AG3031" s="90">
        <v>65</v>
      </c>
      <c r="AH3031" s="55" t="s">
        <v>769</v>
      </c>
      <c r="AM3031" s="55" t="s">
        <v>2891</v>
      </c>
      <c r="AN3031" s="185" t="s">
        <v>2977</v>
      </c>
      <c r="AO3031" s="185" t="s">
        <v>5150</v>
      </c>
      <c r="AQ3031" s="55" t="s">
        <v>553</v>
      </c>
      <c r="AR3031" s="55" t="s">
        <v>2282</v>
      </c>
      <c r="AS3031" s="55" t="s">
        <v>227</v>
      </c>
      <c r="AU3031" s="181" t="s">
        <v>7494</v>
      </c>
      <c r="AV3031" s="185" t="s">
        <v>176</v>
      </c>
      <c r="AX3031" s="185" t="s">
        <v>176</v>
      </c>
      <c r="AZ3031" s="55" t="s">
        <v>2976</v>
      </c>
      <c r="BB3031" s="55" t="s">
        <v>2081</v>
      </c>
      <c r="BC3031" s="55" t="s">
        <v>2081</v>
      </c>
      <c r="BK3031" s="55" t="s">
        <v>6333</v>
      </c>
      <c r="BM3031" s="192" t="s">
        <v>160</v>
      </c>
      <c r="FJ3031" s="65">
        <v>0.02</v>
      </c>
      <c r="FK3031" s="65">
        <v>0.24</v>
      </c>
      <c r="FN3031" s="65" t="s">
        <v>206</v>
      </c>
      <c r="FO3031" s="65">
        <f>253/100*2.1</f>
        <v>5.3129999999999997</v>
      </c>
      <c r="FP3031" s="65">
        <f>253/100*2.1</f>
        <v>5.3129999999999997</v>
      </c>
      <c r="FS3031" s="65" t="s">
        <v>6371</v>
      </c>
      <c r="FT3031" s="65">
        <v>0.01</v>
      </c>
      <c r="FU3031" s="65">
        <v>0.01</v>
      </c>
      <c r="FX3031" s="65" t="s">
        <v>2981</v>
      </c>
      <c r="GP3031" s="292" t="s">
        <v>7494</v>
      </c>
    </row>
    <row r="3032" spans="1:198" x14ac:dyDescent="0.25">
      <c r="A3032" s="55">
        <v>3031</v>
      </c>
      <c r="B3032" s="12" t="s">
        <v>7067</v>
      </c>
      <c r="C3032" s="155">
        <v>147</v>
      </c>
      <c r="D3032" s="55" t="s">
        <v>4315</v>
      </c>
      <c r="E3032" s="90" t="s">
        <v>2972</v>
      </c>
      <c r="G3032" s="55" t="s">
        <v>2973</v>
      </c>
      <c r="H3032" s="55">
        <v>1989</v>
      </c>
      <c r="I3032" s="55">
        <v>1982</v>
      </c>
      <c r="J3032" s="55" t="s">
        <v>2688</v>
      </c>
      <c r="K3032" s="55" t="s">
        <v>2974</v>
      </c>
      <c r="L3032" s="55" t="s">
        <v>2744</v>
      </c>
      <c r="M3032" s="90">
        <v>4.8499999999999996</v>
      </c>
      <c r="N3032" s="90">
        <v>7.05</v>
      </c>
      <c r="O3032" s="90">
        <v>21.6</v>
      </c>
      <c r="S3032" s="90">
        <v>2400</v>
      </c>
      <c r="U3032" s="55" t="s">
        <v>1935</v>
      </c>
      <c r="V3032" s="55" t="s">
        <v>1801</v>
      </c>
      <c r="Y3032" s="55" t="s">
        <v>2975</v>
      </c>
      <c r="AG3032" s="90">
        <v>65</v>
      </c>
      <c r="AH3032" s="55" t="s">
        <v>769</v>
      </c>
      <c r="AM3032" s="55" t="s">
        <v>2891</v>
      </c>
      <c r="AN3032" s="185" t="s">
        <v>2978</v>
      </c>
      <c r="AO3032" s="185" t="s">
        <v>5150</v>
      </c>
      <c r="AQ3032" s="55" t="s">
        <v>553</v>
      </c>
      <c r="AR3032" s="55" t="s">
        <v>2282</v>
      </c>
      <c r="AS3032" s="55" t="s">
        <v>227</v>
      </c>
      <c r="AU3032" s="181" t="s">
        <v>7494</v>
      </c>
      <c r="AV3032" s="185" t="s">
        <v>176</v>
      </c>
      <c r="AX3032" s="185" t="s">
        <v>176</v>
      </c>
      <c r="AZ3032" s="55" t="s">
        <v>2976</v>
      </c>
      <c r="BB3032" s="55" t="s">
        <v>2081</v>
      </c>
      <c r="BC3032" s="55" t="s">
        <v>2081</v>
      </c>
      <c r="BK3032" s="55" t="s">
        <v>6333</v>
      </c>
      <c r="BM3032" s="192" t="s">
        <v>160</v>
      </c>
      <c r="FJ3032" s="65">
        <v>0.02</v>
      </c>
      <c r="FK3032" s="65">
        <v>0.15</v>
      </c>
      <c r="FN3032" s="65" t="s">
        <v>206</v>
      </c>
      <c r="FO3032" s="65">
        <f>253/100*2.1</f>
        <v>5.3129999999999997</v>
      </c>
      <c r="FP3032" s="65">
        <f>253/100*5.4</f>
        <v>13.661999999999999</v>
      </c>
      <c r="FS3032" s="65" t="s">
        <v>6371</v>
      </c>
      <c r="FT3032" s="65">
        <v>0.01</v>
      </c>
      <c r="FU3032" s="65">
        <v>0.01</v>
      </c>
      <c r="FX3032" s="65" t="s">
        <v>2981</v>
      </c>
      <c r="GP3032" s="292" t="s">
        <v>7494</v>
      </c>
    </row>
    <row r="3033" spans="1:198" x14ac:dyDescent="0.25">
      <c r="A3033" s="55">
        <v>3032</v>
      </c>
      <c r="B3033" s="12" t="s">
        <v>7067</v>
      </c>
      <c r="C3033" s="155">
        <v>147</v>
      </c>
      <c r="D3033" s="55" t="s">
        <v>4315</v>
      </c>
      <c r="E3033" s="90" t="s">
        <v>2972</v>
      </c>
      <c r="G3033" s="55" t="s">
        <v>2973</v>
      </c>
      <c r="H3033" s="55">
        <v>1989</v>
      </c>
      <c r="I3033" s="55">
        <v>1982</v>
      </c>
      <c r="J3033" s="55" t="s">
        <v>2688</v>
      </c>
      <c r="K3033" s="55" t="s">
        <v>2974</v>
      </c>
      <c r="L3033" s="55" t="s">
        <v>2744</v>
      </c>
      <c r="M3033" s="90">
        <v>4.8499999999999996</v>
      </c>
      <c r="N3033" s="90">
        <v>7.05</v>
      </c>
      <c r="O3033" s="90">
        <v>21.6</v>
      </c>
      <c r="S3033" s="90">
        <v>2400</v>
      </c>
      <c r="U3033" s="55" t="s">
        <v>1935</v>
      </c>
      <c r="V3033" s="55" t="s">
        <v>1801</v>
      </c>
      <c r="Y3033" s="55" t="s">
        <v>2975</v>
      </c>
      <c r="AG3033" s="90">
        <v>65</v>
      </c>
      <c r="AH3033" s="55" t="s">
        <v>769</v>
      </c>
      <c r="AM3033" s="55" t="s">
        <v>2891</v>
      </c>
      <c r="AN3033" s="185" t="s">
        <v>2979</v>
      </c>
      <c r="AO3033" s="185" t="s">
        <v>5150</v>
      </c>
      <c r="AQ3033" s="55" t="s">
        <v>553</v>
      </c>
      <c r="AR3033" s="55" t="s">
        <v>2282</v>
      </c>
      <c r="AS3033" s="55" t="s">
        <v>227</v>
      </c>
      <c r="AU3033" s="181" t="s">
        <v>7494</v>
      </c>
      <c r="AV3033" s="185" t="s">
        <v>176</v>
      </c>
      <c r="AX3033" s="185" t="s">
        <v>176</v>
      </c>
      <c r="AZ3033" s="55" t="s">
        <v>2976</v>
      </c>
      <c r="BB3033" s="55" t="s">
        <v>2081</v>
      </c>
      <c r="BC3033" s="55" t="s">
        <v>2081</v>
      </c>
      <c r="BK3033" s="55" t="s">
        <v>6333</v>
      </c>
      <c r="BM3033" s="192" t="s">
        <v>160</v>
      </c>
      <c r="FJ3033" s="65">
        <v>0.02</v>
      </c>
      <c r="FK3033" s="65">
        <v>0.04</v>
      </c>
      <c r="FN3033" s="65" t="s">
        <v>206</v>
      </c>
      <c r="FO3033" s="65">
        <f>253/100*2.1</f>
        <v>5.3129999999999997</v>
      </c>
      <c r="FP3033" s="65">
        <f>253/100*1.5</f>
        <v>3.7949999999999999</v>
      </c>
      <c r="FS3033" s="65" t="s">
        <v>6371</v>
      </c>
      <c r="FT3033" s="65">
        <v>0.01</v>
      </c>
      <c r="FU3033" s="65">
        <v>0.01</v>
      </c>
      <c r="FX3033" s="65" t="s">
        <v>2981</v>
      </c>
      <c r="GP3033" s="292" t="s">
        <v>7494</v>
      </c>
    </row>
    <row r="3034" spans="1:198" x14ac:dyDescent="0.25">
      <c r="A3034" s="55">
        <v>3033</v>
      </c>
      <c r="B3034" s="12" t="s">
        <v>7067</v>
      </c>
      <c r="C3034" s="155">
        <v>147</v>
      </c>
      <c r="D3034" s="55" t="s">
        <v>4315</v>
      </c>
      <c r="E3034" s="90" t="s">
        <v>2972</v>
      </c>
      <c r="G3034" s="55" t="s">
        <v>2973</v>
      </c>
      <c r="H3034" s="55">
        <v>1989</v>
      </c>
      <c r="I3034" s="55">
        <v>1982</v>
      </c>
      <c r="J3034" s="55" t="s">
        <v>2688</v>
      </c>
      <c r="K3034" s="55" t="s">
        <v>2974</v>
      </c>
      <c r="L3034" s="55" t="s">
        <v>2744</v>
      </c>
      <c r="M3034" s="90">
        <v>4.8499999999999996</v>
      </c>
      <c r="N3034" s="90">
        <v>7.05</v>
      </c>
      <c r="O3034" s="90">
        <v>21.6</v>
      </c>
      <c r="S3034" s="90">
        <v>2400</v>
      </c>
      <c r="U3034" s="55" t="s">
        <v>1935</v>
      </c>
      <c r="V3034" s="55" t="s">
        <v>1801</v>
      </c>
      <c r="Y3034" s="55" t="s">
        <v>2975</v>
      </c>
      <c r="AG3034" s="90">
        <v>65</v>
      </c>
      <c r="AH3034" s="55" t="s">
        <v>769</v>
      </c>
      <c r="AM3034" s="55" t="s">
        <v>2891</v>
      </c>
      <c r="AN3034" s="185" t="s">
        <v>2980</v>
      </c>
      <c r="AO3034" s="185" t="s">
        <v>5150</v>
      </c>
      <c r="AQ3034" s="55" t="s">
        <v>553</v>
      </c>
      <c r="AR3034" s="55" t="s">
        <v>2282</v>
      </c>
      <c r="AS3034" s="55" t="s">
        <v>227</v>
      </c>
      <c r="AU3034" s="181" t="s">
        <v>7494</v>
      </c>
      <c r="AV3034" s="185" t="s">
        <v>176</v>
      </c>
      <c r="AX3034" s="185" t="s">
        <v>176</v>
      </c>
      <c r="AZ3034" s="55" t="s">
        <v>2976</v>
      </c>
      <c r="BB3034" s="55" t="s">
        <v>2081</v>
      </c>
      <c r="BC3034" s="55" t="s">
        <v>2081</v>
      </c>
      <c r="BK3034" s="55" t="s">
        <v>6333</v>
      </c>
      <c r="BM3034" s="192" t="s">
        <v>160</v>
      </c>
      <c r="FJ3034" s="65">
        <v>0.02</v>
      </c>
      <c r="FK3034" s="65">
        <v>0.02</v>
      </c>
      <c r="FN3034" s="65" t="s">
        <v>206</v>
      </c>
      <c r="FO3034" s="65">
        <f>253/100*2.1</f>
        <v>5.3129999999999997</v>
      </c>
      <c r="FP3034" s="65">
        <f>253/100*0.4</f>
        <v>1.012</v>
      </c>
      <c r="FS3034" s="65" t="s">
        <v>6371</v>
      </c>
      <c r="FT3034" s="65">
        <v>0.01</v>
      </c>
      <c r="FU3034" s="65">
        <v>0.01</v>
      </c>
      <c r="FX3034" s="65" t="s">
        <v>2981</v>
      </c>
      <c r="GP3034" s="292" t="s">
        <v>7494</v>
      </c>
    </row>
    <row r="3035" spans="1:198" x14ac:dyDescent="0.25">
      <c r="A3035" s="55">
        <v>3034</v>
      </c>
      <c r="B3035" s="12" t="s">
        <v>7067</v>
      </c>
      <c r="C3035" s="155">
        <v>147</v>
      </c>
      <c r="D3035" s="55" t="s">
        <v>4315</v>
      </c>
      <c r="E3035" s="90" t="s">
        <v>2972</v>
      </c>
      <c r="G3035" s="55" t="s">
        <v>2973</v>
      </c>
      <c r="H3035" s="55">
        <v>1989</v>
      </c>
      <c r="I3035" s="55">
        <v>1983</v>
      </c>
      <c r="J3035" s="55" t="s">
        <v>2688</v>
      </c>
      <c r="K3035" s="55" t="s">
        <v>2974</v>
      </c>
      <c r="L3035" s="55" t="s">
        <v>2744</v>
      </c>
      <c r="M3035" s="90">
        <v>4.8499999999999996</v>
      </c>
      <c r="N3035" s="90">
        <v>7.05</v>
      </c>
      <c r="O3035" s="90">
        <v>21.6</v>
      </c>
      <c r="S3035" s="90">
        <v>2400</v>
      </c>
      <c r="U3035" s="55" t="s">
        <v>1805</v>
      </c>
      <c r="V3035" s="55" t="s">
        <v>1801</v>
      </c>
      <c r="Y3035" s="55" t="s">
        <v>2975</v>
      </c>
      <c r="AG3035" s="90">
        <v>65</v>
      </c>
      <c r="AH3035" s="55" t="s">
        <v>769</v>
      </c>
      <c r="AM3035" s="55" t="s">
        <v>2891</v>
      </c>
      <c r="AN3035" s="185" t="s">
        <v>2977</v>
      </c>
      <c r="AO3035" s="185" t="s">
        <v>5150</v>
      </c>
      <c r="AQ3035" s="55" t="s">
        <v>553</v>
      </c>
      <c r="AR3035" s="55" t="s">
        <v>2282</v>
      </c>
      <c r="AS3035" s="55" t="s">
        <v>227</v>
      </c>
      <c r="AU3035" s="181" t="s">
        <v>7494</v>
      </c>
      <c r="AV3035" s="185" t="s">
        <v>176</v>
      </c>
      <c r="AX3035" s="185" t="s">
        <v>176</v>
      </c>
      <c r="AZ3035" s="55" t="s">
        <v>2976</v>
      </c>
      <c r="BB3035" s="55" t="s">
        <v>2081</v>
      </c>
      <c r="BC3035" s="55" t="s">
        <v>2081</v>
      </c>
      <c r="BK3035" s="55" t="s">
        <v>6333</v>
      </c>
      <c r="BM3035" s="192" t="s">
        <v>160</v>
      </c>
      <c r="FJ3035" s="65">
        <v>1.2999999999999999E-2</v>
      </c>
      <c r="FK3035" s="65">
        <v>0.06</v>
      </c>
      <c r="FN3035" s="65" t="s">
        <v>206</v>
      </c>
      <c r="FO3035" s="65">
        <f>328/100*1.1</f>
        <v>3.6080000000000001</v>
      </c>
      <c r="FP3035" s="65">
        <f>328/1.7</f>
        <v>192.94117647058823</v>
      </c>
      <c r="FS3035" s="65" t="s">
        <v>6371</v>
      </c>
      <c r="FT3035" s="65">
        <v>0.11</v>
      </c>
      <c r="FU3035" s="65">
        <v>0.17</v>
      </c>
      <c r="FX3035" s="65" t="s">
        <v>2981</v>
      </c>
      <c r="GP3035" s="292" t="s">
        <v>7494</v>
      </c>
    </row>
    <row r="3036" spans="1:198" x14ac:dyDescent="0.25">
      <c r="A3036" s="55">
        <v>3035</v>
      </c>
      <c r="B3036" s="12" t="s">
        <v>7067</v>
      </c>
      <c r="C3036" s="155">
        <v>147</v>
      </c>
      <c r="D3036" s="55" t="s">
        <v>4315</v>
      </c>
      <c r="E3036" s="90" t="s">
        <v>2972</v>
      </c>
      <c r="G3036" s="55" t="s">
        <v>2973</v>
      </c>
      <c r="H3036" s="55">
        <v>1989</v>
      </c>
      <c r="I3036" s="55">
        <v>1983</v>
      </c>
      <c r="J3036" s="55" t="s">
        <v>2688</v>
      </c>
      <c r="K3036" s="55" t="s">
        <v>2974</v>
      </c>
      <c r="L3036" s="55" t="s">
        <v>2744</v>
      </c>
      <c r="M3036" s="90">
        <v>4.8499999999999996</v>
      </c>
      <c r="N3036" s="90">
        <v>7.05</v>
      </c>
      <c r="O3036" s="90">
        <v>21.6</v>
      </c>
      <c r="S3036" s="90">
        <v>2400</v>
      </c>
      <c r="U3036" s="55" t="s">
        <v>1805</v>
      </c>
      <c r="V3036" s="55" t="s">
        <v>1801</v>
      </c>
      <c r="Y3036" s="55" t="s">
        <v>2975</v>
      </c>
      <c r="AG3036" s="90">
        <v>65</v>
      </c>
      <c r="AH3036" s="55" t="s">
        <v>769</v>
      </c>
      <c r="AM3036" s="55" t="s">
        <v>2891</v>
      </c>
      <c r="AN3036" s="185" t="s">
        <v>2978</v>
      </c>
      <c r="AO3036" s="185" t="s">
        <v>5150</v>
      </c>
      <c r="AQ3036" s="55" t="s">
        <v>553</v>
      </c>
      <c r="AR3036" s="55" t="s">
        <v>2282</v>
      </c>
      <c r="AS3036" s="55" t="s">
        <v>227</v>
      </c>
      <c r="AU3036" s="181" t="s">
        <v>7494</v>
      </c>
      <c r="AV3036" s="185" t="s">
        <v>176</v>
      </c>
      <c r="AX3036" s="185" t="s">
        <v>176</v>
      </c>
      <c r="AZ3036" s="55" t="s">
        <v>2976</v>
      </c>
      <c r="BB3036" s="55" t="s">
        <v>2081</v>
      </c>
      <c r="BC3036" s="55" t="s">
        <v>2081</v>
      </c>
      <c r="BK3036" s="55" t="s">
        <v>6333</v>
      </c>
      <c r="BM3036" s="192" t="s">
        <v>160</v>
      </c>
      <c r="FJ3036" s="65">
        <v>1.2999999999999999E-2</v>
      </c>
      <c r="FK3036" s="65">
        <v>0.1</v>
      </c>
      <c r="FN3036" s="65" t="s">
        <v>206</v>
      </c>
      <c r="FO3036" s="65">
        <f>328/1.1</f>
        <v>298.18181818181813</v>
      </c>
      <c r="FP3036" s="65">
        <f>328/3.3</f>
        <v>99.393939393939405</v>
      </c>
      <c r="FS3036" s="65" t="s">
        <v>6371</v>
      </c>
      <c r="FT3036" s="65">
        <v>0.11</v>
      </c>
      <c r="FU3036" s="65">
        <v>0.64</v>
      </c>
      <c r="FX3036" s="65" t="s">
        <v>2981</v>
      </c>
      <c r="GP3036" s="292" t="s">
        <v>7494</v>
      </c>
    </row>
    <row r="3037" spans="1:198" x14ac:dyDescent="0.25">
      <c r="A3037" s="55">
        <v>3036</v>
      </c>
      <c r="B3037" s="12" t="s">
        <v>7067</v>
      </c>
      <c r="C3037" s="155">
        <v>147</v>
      </c>
      <c r="D3037" s="55" t="s">
        <v>4315</v>
      </c>
      <c r="E3037" s="90" t="s">
        <v>2972</v>
      </c>
      <c r="G3037" s="55" t="s">
        <v>2973</v>
      </c>
      <c r="H3037" s="55">
        <v>1989</v>
      </c>
      <c r="I3037" s="55">
        <v>1983</v>
      </c>
      <c r="J3037" s="55" t="s">
        <v>2688</v>
      </c>
      <c r="K3037" s="55" t="s">
        <v>2974</v>
      </c>
      <c r="L3037" s="55" t="s">
        <v>2744</v>
      </c>
      <c r="M3037" s="90">
        <v>4.8499999999999996</v>
      </c>
      <c r="N3037" s="90">
        <v>7.05</v>
      </c>
      <c r="O3037" s="90">
        <v>21.6</v>
      </c>
      <c r="S3037" s="90">
        <v>2400</v>
      </c>
      <c r="U3037" s="55" t="s">
        <v>1805</v>
      </c>
      <c r="V3037" s="55" t="s">
        <v>1801</v>
      </c>
      <c r="Y3037" s="55" t="s">
        <v>2975</v>
      </c>
      <c r="AG3037" s="90">
        <v>65</v>
      </c>
      <c r="AH3037" s="55" t="s">
        <v>769</v>
      </c>
      <c r="AM3037" s="55" t="s">
        <v>2891</v>
      </c>
      <c r="AN3037" s="185" t="s">
        <v>2979</v>
      </c>
      <c r="AO3037" s="185" t="s">
        <v>5150</v>
      </c>
      <c r="AQ3037" s="55" t="s">
        <v>553</v>
      </c>
      <c r="AR3037" s="55" t="s">
        <v>2282</v>
      </c>
      <c r="AS3037" s="55" t="s">
        <v>227</v>
      </c>
      <c r="AU3037" s="181" t="s">
        <v>7494</v>
      </c>
      <c r="AV3037" s="185" t="s">
        <v>176</v>
      </c>
      <c r="AX3037" s="185" t="s">
        <v>176</v>
      </c>
      <c r="AZ3037" s="55" t="s">
        <v>2976</v>
      </c>
      <c r="BB3037" s="55" t="s">
        <v>2081</v>
      </c>
      <c r="BC3037" s="55" t="s">
        <v>2081</v>
      </c>
      <c r="BK3037" s="55" t="s">
        <v>6333</v>
      </c>
      <c r="BM3037" s="192" t="s">
        <v>160</v>
      </c>
      <c r="FJ3037" s="65">
        <v>1.2999999999999999E-2</v>
      </c>
      <c r="FK3037" s="65">
        <v>0.06</v>
      </c>
      <c r="FN3037" s="65" t="s">
        <v>206</v>
      </c>
      <c r="FO3037" s="65">
        <f>328/1.1</f>
        <v>298.18181818181813</v>
      </c>
      <c r="FP3037" s="65">
        <f>328/1.1</f>
        <v>298.18181818181813</v>
      </c>
      <c r="FS3037" s="65" t="s">
        <v>6371</v>
      </c>
      <c r="FT3037" s="65">
        <v>0.11</v>
      </c>
      <c r="FU3037" s="65">
        <v>0.05</v>
      </c>
      <c r="FX3037" s="65" t="s">
        <v>2981</v>
      </c>
      <c r="GP3037" s="292" t="s">
        <v>7494</v>
      </c>
    </row>
    <row r="3038" spans="1:198" x14ac:dyDescent="0.25">
      <c r="A3038" s="55">
        <v>3037</v>
      </c>
      <c r="B3038" s="12" t="s">
        <v>7067</v>
      </c>
      <c r="C3038" s="155">
        <v>147</v>
      </c>
      <c r="D3038" s="55" t="s">
        <v>4315</v>
      </c>
      <c r="E3038" s="90" t="s">
        <v>2972</v>
      </c>
      <c r="G3038" s="55" t="s">
        <v>2973</v>
      </c>
      <c r="H3038" s="55">
        <v>1989</v>
      </c>
      <c r="I3038" s="55">
        <v>1983</v>
      </c>
      <c r="J3038" s="55" t="s">
        <v>2688</v>
      </c>
      <c r="K3038" s="55" t="s">
        <v>2974</v>
      </c>
      <c r="L3038" s="55" t="s">
        <v>2744</v>
      </c>
      <c r="M3038" s="90">
        <v>4.8499999999999996</v>
      </c>
      <c r="N3038" s="90">
        <v>7.05</v>
      </c>
      <c r="O3038" s="90">
        <v>21.6</v>
      </c>
      <c r="S3038" s="90">
        <v>2400</v>
      </c>
      <c r="U3038" s="55" t="s">
        <v>1805</v>
      </c>
      <c r="V3038" s="55" t="s">
        <v>1801</v>
      </c>
      <c r="Y3038" s="55" t="s">
        <v>2975</v>
      </c>
      <c r="AG3038" s="90">
        <v>65</v>
      </c>
      <c r="AH3038" s="55" t="s">
        <v>769</v>
      </c>
      <c r="AM3038" s="55" t="s">
        <v>2891</v>
      </c>
      <c r="AN3038" s="185" t="s">
        <v>2980</v>
      </c>
      <c r="AO3038" s="185" t="s">
        <v>5150</v>
      </c>
      <c r="AQ3038" s="55" t="s">
        <v>553</v>
      </c>
      <c r="AR3038" s="55" t="s">
        <v>2282</v>
      </c>
      <c r="AS3038" s="55" t="s">
        <v>227</v>
      </c>
      <c r="AU3038" s="181" t="s">
        <v>7494</v>
      </c>
      <c r="AV3038" s="185" t="s">
        <v>176</v>
      </c>
      <c r="AX3038" s="185" t="s">
        <v>176</v>
      </c>
      <c r="AZ3038" s="55" t="s">
        <v>2976</v>
      </c>
      <c r="BB3038" s="55" t="s">
        <v>2081</v>
      </c>
      <c r="BC3038" s="55" t="s">
        <v>2081</v>
      </c>
      <c r="BK3038" s="55" t="s">
        <v>6333</v>
      </c>
      <c r="BM3038" s="192" t="s">
        <v>160</v>
      </c>
      <c r="FJ3038" s="65">
        <v>1.2999999999999999E-2</v>
      </c>
      <c r="FK3038" s="65">
        <v>0.02</v>
      </c>
      <c r="FN3038" s="65" t="s">
        <v>206</v>
      </c>
      <c r="FO3038" s="65">
        <f>328/1.1</f>
        <v>298.18181818181813</v>
      </c>
      <c r="FP3038" s="65">
        <f>328/0.2</f>
        <v>1640</v>
      </c>
      <c r="FS3038" s="65" t="s">
        <v>6371</v>
      </c>
      <c r="FT3038" s="65">
        <v>0.11</v>
      </c>
      <c r="FU3038" s="65">
        <v>0.01</v>
      </c>
      <c r="FX3038" s="65" t="s">
        <v>2981</v>
      </c>
      <c r="GP3038" s="292" t="s">
        <v>7494</v>
      </c>
    </row>
    <row r="3039" spans="1:198" x14ac:dyDescent="0.25">
      <c r="A3039" s="55">
        <v>3038</v>
      </c>
      <c r="B3039" s="12" t="s">
        <v>7067</v>
      </c>
      <c r="C3039" s="155">
        <v>147</v>
      </c>
      <c r="D3039" s="55" t="s">
        <v>4315</v>
      </c>
      <c r="E3039" s="90" t="s">
        <v>2972</v>
      </c>
      <c r="G3039" s="55" t="s">
        <v>2973</v>
      </c>
      <c r="H3039" s="55">
        <v>1989</v>
      </c>
      <c r="I3039" s="55">
        <v>1984</v>
      </c>
      <c r="J3039" s="55" t="s">
        <v>2688</v>
      </c>
      <c r="K3039" s="55" t="s">
        <v>2974</v>
      </c>
      <c r="L3039" s="55" t="s">
        <v>2744</v>
      </c>
      <c r="M3039" s="90">
        <v>4.8499999999999996</v>
      </c>
      <c r="N3039" s="90">
        <v>7.05</v>
      </c>
      <c r="O3039" s="90">
        <v>21.6</v>
      </c>
      <c r="S3039" s="90">
        <v>2400</v>
      </c>
      <c r="U3039" s="55" t="s">
        <v>1688</v>
      </c>
      <c r="V3039" s="55" t="s">
        <v>1801</v>
      </c>
      <c r="Y3039" s="55" t="s">
        <v>2975</v>
      </c>
      <c r="AG3039" s="90">
        <v>65</v>
      </c>
      <c r="AH3039" s="55" t="s">
        <v>769</v>
      </c>
      <c r="AM3039" s="55" t="s">
        <v>2891</v>
      </c>
      <c r="AN3039" s="185" t="s">
        <v>2977</v>
      </c>
      <c r="AO3039" s="185" t="s">
        <v>5150</v>
      </c>
      <c r="AQ3039" s="55" t="s">
        <v>553</v>
      </c>
      <c r="AR3039" s="55" t="s">
        <v>2282</v>
      </c>
      <c r="AS3039" s="55" t="s">
        <v>227</v>
      </c>
      <c r="AU3039" s="181" t="s">
        <v>7494</v>
      </c>
      <c r="AV3039" s="185" t="s">
        <v>176</v>
      </c>
      <c r="AX3039" s="185" t="s">
        <v>176</v>
      </c>
      <c r="AZ3039" s="55" t="s">
        <v>2976</v>
      </c>
      <c r="BB3039" s="55" t="s">
        <v>2081</v>
      </c>
      <c r="BC3039" s="55" t="s">
        <v>2081</v>
      </c>
      <c r="BK3039" s="55" t="s">
        <v>6333</v>
      </c>
      <c r="BM3039" s="192" t="s">
        <v>160</v>
      </c>
      <c r="FJ3039" s="65">
        <v>0.74</v>
      </c>
      <c r="FK3039" s="65">
        <v>0.02</v>
      </c>
      <c r="FN3039" s="65" t="s">
        <v>206</v>
      </c>
      <c r="FO3039" s="65">
        <f>631/100*2.39</f>
        <v>15.0809</v>
      </c>
      <c r="FP3039" s="65">
        <f>631/100*0.08</f>
        <v>0.50480000000000003</v>
      </c>
      <c r="FS3039" s="65" t="s">
        <v>6371</v>
      </c>
      <c r="FT3039" s="65">
        <v>0.16</v>
      </c>
      <c r="FU3039" s="65">
        <v>0.01</v>
      </c>
      <c r="FX3039" s="65" t="s">
        <v>2981</v>
      </c>
      <c r="GP3039" s="292" t="s">
        <v>7494</v>
      </c>
    </row>
    <row r="3040" spans="1:198" x14ac:dyDescent="0.25">
      <c r="A3040" s="55">
        <v>3039</v>
      </c>
      <c r="B3040" s="12" t="s">
        <v>7067</v>
      </c>
      <c r="C3040" s="155">
        <v>147</v>
      </c>
      <c r="D3040" s="55" t="s">
        <v>4315</v>
      </c>
      <c r="E3040" s="90" t="s">
        <v>2972</v>
      </c>
      <c r="G3040" s="55" t="s">
        <v>2973</v>
      </c>
      <c r="H3040" s="55">
        <v>1989</v>
      </c>
      <c r="I3040" s="55">
        <v>1984</v>
      </c>
      <c r="J3040" s="55" t="s">
        <v>2688</v>
      </c>
      <c r="K3040" s="55" t="s">
        <v>2974</v>
      </c>
      <c r="L3040" s="55" t="s">
        <v>2744</v>
      </c>
      <c r="M3040" s="90">
        <v>4.8499999999999996</v>
      </c>
      <c r="N3040" s="90">
        <v>7.05</v>
      </c>
      <c r="O3040" s="90">
        <v>21.6</v>
      </c>
      <c r="S3040" s="90">
        <v>2400</v>
      </c>
      <c r="U3040" s="55" t="s">
        <v>1688</v>
      </c>
      <c r="V3040" s="55" t="s">
        <v>1801</v>
      </c>
      <c r="Y3040" s="55" t="s">
        <v>2975</v>
      </c>
      <c r="AG3040" s="90">
        <v>65</v>
      </c>
      <c r="AH3040" s="55" t="s">
        <v>769</v>
      </c>
      <c r="AM3040" s="55" t="s">
        <v>2891</v>
      </c>
      <c r="AN3040" s="185" t="s">
        <v>2978</v>
      </c>
      <c r="AO3040" s="185" t="s">
        <v>5150</v>
      </c>
      <c r="AQ3040" s="55" t="s">
        <v>553</v>
      </c>
      <c r="AR3040" s="55" t="s">
        <v>2282</v>
      </c>
      <c r="AS3040" s="55" t="s">
        <v>227</v>
      </c>
      <c r="AU3040" s="181" t="s">
        <v>7494</v>
      </c>
      <c r="AV3040" s="185" t="s">
        <v>176</v>
      </c>
      <c r="AX3040" s="185" t="s">
        <v>176</v>
      </c>
      <c r="AZ3040" s="55" t="s">
        <v>2976</v>
      </c>
      <c r="BB3040" s="55" t="s">
        <v>2081</v>
      </c>
      <c r="BC3040" s="55" t="s">
        <v>2081</v>
      </c>
      <c r="BK3040" s="55" t="s">
        <v>6333</v>
      </c>
      <c r="BM3040" s="192" t="s">
        <v>160</v>
      </c>
      <c r="FJ3040" s="65">
        <v>0.74</v>
      </c>
      <c r="FK3040" s="65">
        <v>0.04</v>
      </c>
      <c r="FN3040" s="65" t="s">
        <v>206</v>
      </c>
      <c r="FO3040" s="65">
        <f>631/100*2.39</f>
        <v>15.0809</v>
      </c>
      <c r="FP3040" s="65">
        <f>631/100*0.57</f>
        <v>3.5966999999999993</v>
      </c>
      <c r="FS3040" s="65" t="s">
        <v>6371</v>
      </c>
      <c r="FT3040" s="65">
        <v>0.16</v>
      </c>
      <c r="FU3040" s="65">
        <v>0.02</v>
      </c>
      <c r="FX3040" s="65" t="s">
        <v>2981</v>
      </c>
      <c r="GP3040" s="292" t="s">
        <v>7494</v>
      </c>
    </row>
    <row r="3041" spans="1:281" x14ac:dyDescent="0.25">
      <c r="A3041" s="55">
        <v>3040</v>
      </c>
      <c r="B3041" s="12" t="s">
        <v>7067</v>
      </c>
      <c r="C3041" s="155">
        <v>147</v>
      </c>
      <c r="D3041" s="55" t="s">
        <v>4315</v>
      </c>
      <c r="E3041" s="90" t="s">
        <v>2972</v>
      </c>
      <c r="G3041" s="55" t="s">
        <v>2973</v>
      </c>
      <c r="H3041" s="55">
        <v>1989</v>
      </c>
      <c r="I3041" s="55">
        <v>1984</v>
      </c>
      <c r="J3041" s="55" t="s">
        <v>2688</v>
      </c>
      <c r="K3041" s="55" t="s">
        <v>2974</v>
      </c>
      <c r="L3041" s="55" t="s">
        <v>2744</v>
      </c>
      <c r="M3041" s="90">
        <v>4.8499999999999996</v>
      </c>
      <c r="N3041" s="90">
        <v>7.05</v>
      </c>
      <c r="O3041" s="90">
        <v>21.6</v>
      </c>
      <c r="S3041" s="90">
        <v>2400</v>
      </c>
      <c r="U3041" s="55" t="s">
        <v>1688</v>
      </c>
      <c r="V3041" s="55" t="s">
        <v>1801</v>
      </c>
      <c r="Y3041" s="55" t="s">
        <v>2975</v>
      </c>
      <c r="AG3041" s="90">
        <v>65</v>
      </c>
      <c r="AH3041" s="55" t="s">
        <v>769</v>
      </c>
      <c r="AM3041" s="55" t="s">
        <v>2891</v>
      </c>
      <c r="AN3041" s="185" t="s">
        <v>2979</v>
      </c>
      <c r="AO3041" s="185" t="s">
        <v>5150</v>
      </c>
      <c r="AQ3041" s="55" t="s">
        <v>553</v>
      </c>
      <c r="AR3041" s="55" t="s">
        <v>2282</v>
      </c>
      <c r="AS3041" s="55" t="s">
        <v>227</v>
      </c>
      <c r="AU3041" s="181" t="s">
        <v>7494</v>
      </c>
      <c r="AV3041" s="185" t="s">
        <v>176</v>
      </c>
      <c r="AX3041" s="185" t="s">
        <v>176</v>
      </c>
      <c r="AZ3041" s="55" t="s">
        <v>2976</v>
      </c>
      <c r="BB3041" s="55" t="s">
        <v>2081</v>
      </c>
      <c r="BC3041" s="55" t="s">
        <v>2081</v>
      </c>
      <c r="BK3041" s="55" t="s">
        <v>6333</v>
      </c>
      <c r="BM3041" s="192" t="s">
        <v>160</v>
      </c>
      <c r="FJ3041" s="65">
        <v>0.74</v>
      </c>
      <c r="FK3041" s="65">
        <v>0.05</v>
      </c>
      <c r="FN3041" s="65" t="s">
        <v>206</v>
      </c>
      <c r="FO3041" s="65">
        <f>631/100*2.39</f>
        <v>15.0809</v>
      </c>
      <c r="FP3041" s="65">
        <f>631/100*0.32</f>
        <v>2.0192000000000001</v>
      </c>
      <c r="FS3041" s="65" t="s">
        <v>6371</v>
      </c>
      <c r="FT3041" s="65">
        <v>0.16</v>
      </c>
      <c r="FU3041" s="65">
        <v>0.03</v>
      </c>
      <c r="FX3041" s="65" t="s">
        <v>2981</v>
      </c>
      <c r="GP3041" s="292" t="s">
        <v>7494</v>
      </c>
    </row>
    <row r="3042" spans="1:281" x14ac:dyDescent="0.25">
      <c r="A3042" s="55">
        <v>3041</v>
      </c>
      <c r="B3042" s="12" t="s">
        <v>7067</v>
      </c>
      <c r="C3042" s="155">
        <v>147</v>
      </c>
      <c r="D3042" s="55" t="s">
        <v>4315</v>
      </c>
      <c r="E3042" s="90" t="s">
        <v>2972</v>
      </c>
      <c r="G3042" s="55" t="s">
        <v>2973</v>
      </c>
      <c r="H3042" s="55">
        <v>1989</v>
      </c>
      <c r="I3042" s="55">
        <v>1984</v>
      </c>
      <c r="J3042" s="55" t="s">
        <v>2688</v>
      </c>
      <c r="K3042" s="55" t="s">
        <v>2974</v>
      </c>
      <c r="L3042" s="55" t="s">
        <v>2744</v>
      </c>
      <c r="M3042" s="90">
        <v>4.8499999999999996</v>
      </c>
      <c r="N3042" s="90">
        <v>7.05</v>
      </c>
      <c r="O3042" s="90">
        <v>21.6</v>
      </c>
      <c r="S3042" s="90">
        <v>2400</v>
      </c>
      <c r="U3042" s="55" t="s">
        <v>1688</v>
      </c>
      <c r="V3042" s="55" t="s">
        <v>1801</v>
      </c>
      <c r="Y3042" s="55" t="s">
        <v>2975</v>
      </c>
      <c r="AG3042" s="90">
        <v>65</v>
      </c>
      <c r="AH3042" s="55" t="s">
        <v>769</v>
      </c>
      <c r="AM3042" s="55" t="s">
        <v>2891</v>
      </c>
      <c r="AN3042" s="185" t="s">
        <v>2980</v>
      </c>
      <c r="AO3042" s="185" t="s">
        <v>5150</v>
      </c>
      <c r="AQ3042" s="55" t="s">
        <v>553</v>
      </c>
      <c r="AR3042" s="55" t="s">
        <v>2282</v>
      </c>
      <c r="AS3042" s="55" t="s">
        <v>227</v>
      </c>
      <c r="AU3042" s="181" t="s">
        <v>7494</v>
      </c>
      <c r="AV3042" s="185" t="s">
        <v>176</v>
      </c>
      <c r="AX3042" s="185" t="s">
        <v>176</v>
      </c>
      <c r="AZ3042" s="55" t="s">
        <v>2976</v>
      </c>
      <c r="BB3042" s="55" t="s">
        <v>2081</v>
      </c>
      <c r="BC3042" s="55" t="s">
        <v>2081</v>
      </c>
      <c r="BK3042" s="55" t="s">
        <v>6333</v>
      </c>
      <c r="BM3042" s="192" t="s">
        <v>160</v>
      </c>
      <c r="FJ3042" s="65">
        <v>0.74</v>
      </c>
      <c r="FK3042" s="65">
        <v>0.27</v>
      </c>
      <c r="FN3042" s="65" t="s">
        <v>206</v>
      </c>
      <c r="FO3042" s="65">
        <f>631/100*2.39</f>
        <v>15.0809</v>
      </c>
      <c r="FP3042" s="65">
        <f>631/100*0.71</f>
        <v>4.4800999999999993</v>
      </c>
      <c r="FS3042" s="65" t="s">
        <v>6371</v>
      </c>
      <c r="FT3042" s="65">
        <v>0.16</v>
      </c>
      <c r="FU3042" s="65">
        <v>0.02</v>
      </c>
      <c r="FX3042" s="65" t="s">
        <v>2981</v>
      </c>
      <c r="GP3042" s="292" t="s">
        <v>7494</v>
      </c>
    </row>
    <row r="3043" spans="1:281" x14ac:dyDescent="0.25">
      <c r="A3043" s="55">
        <v>3042</v>
      </c>
      <c r="B3043" s="12" t="s">
        <v>7067</v>
      </c>
      <c r="C3043" s="155">
        <v>147</v>
      </c>
      <c r="D3043" s="55" t="s">
        <v>4315</v>
      </c>
      <c r="E3043" s="90" t="s">
        <v>2972</v>
      </c>
      <c r="G3043" s="55" t="s">
        <v>2973</v>
      </c>
      <c r="H3043" s="55">
        <v>1989</v>
      </c>
      <c r="I3043" s="55">
        <v>1985</v>
      </c>
      <c r="J3043" s="55" t="s">
        <v>2688</v>
      </c>
      <c r="K3043" s="55" t="s">
        <v>2974</v>
      </c>
      <c r="L3043" s="55" t="s">
        <v>2744</v>
      </c>
      <c r="M3043" s="90">
        <v>4.8499999999999996</v>
      </c>
      <c r="N3043" s="90">
        <v>7.05</v>
      </c>
      <c r="O3043" s="90">
        <v>21.6</v>
      </c>
      <c r="S3043" s="90">
        <v>2400</v>
      </c>
      <c r="U3043" s="55" t="s">
        <v>1816</v>
      </c>
      <c r="V3043" s="55" t="s">
        <v>1801</v>
      </c>
      <c r="Y3043" s="55" t="s">
        <v>2975</v>
      </c>
      <c r="AG3043" s="90">
        <v>65</v>
      </c>
      <c r="AH3043" s="55" t="s">
        <v>769</v>
      </c>
      <c r="AM3043" s="55" t="s">
        <v>2891</v>
      </c>
      <c r="AN3043" s="185" t="s">
        <v>2977</v>
      </c>
      <c r="AO3043" s="185" t="s">
        <v>5150</v>
      </c>
      <c r="AQ3043" s="55" t="s">
        <v>553</v>
      </c>
      <c r="AR3043" s="55" t="s">
        <v>2282</v>
      </c>
      <c r="AS3043" s="55" t="s">
        <v>227</v>
      </c>
      <c r="AU3043" s="181" t="s">
        <v>7494</v>
      </c>
      <c r="AV3043" s="185" t="s">
        <v>176</v>
      </c>
      <c r="AX3043" s="185" t="s">
        <v>176</v>
      </c>
      <c r="AZ3043" s="55" t="s">
        <v>2976</v>
      </c>
      <c r="BB3043" s="55" t="s">
        <v>2081</v>
      </c>
      <c r="BC3043" s="55" t="s">
        <v>2081</v>
      </c>
      <c r="BK3043" s="55" t="s">
        <v>6333</v>
      </c>
      <c r="BM3043" s="192" t="s">
        <v>160</v>
      </c>
      <c r="FJ3043" s="65">
        <v>3</v>
      </c>
      <c r="FK3043" s="65">
        <v>0.13</v>
      </c>
      <c r="FN3043" s="65" t="s">
        <v>206</v>
      </c>
      <c r="FO3043" s="65">
        <f>740/100*20.23</f>
        <v>149.702</v>
      </c>
      <c r="FP3043" s="65">
        <f>740/100*2.1</f>
        <v>15.540000000000001</v>
      </c>
      <c r="FS3043" s="65" t="s">
        <v>6371</v>
      </c>
      <c r="FT3043" s="65">
        <v>2.44</v>
      </c>
      <c r="FU3043" s="65">
        <v>0.51</v>
      </c>
      <c r="FX3043" s="65" t="s">
        <v>2981</v>
      </c>
      <c r="GP3043" s="292" t="s">
        <v>7494</v>
      </c>
    </row>
    <row r="3044" spans="1:281" x14ac:dyDescent="0.25">
      <c r="A3044" s="55">
        <v>3043</v>
      </c>
      <c r="B3044" s="12" t="s">
        <v>7067</v>
      </c>
      <c r="C3044" s="155">
        <v>147</v>
      </c>
      <c r="D3044" s="55" t="s">
        <v>4315</v>
      </c>
      <c r="E3044" s="90" t="s">
        <v>2972</v>
      </c>
      <c r="G3044" s="55" t="s">
        <v>2973</v>
      </c>
      <c r="H3044" s="55">
        <v>1989</v>
      </c>
      <c r="I3044" s="55">
        <v>1985</v>
      </c>
      <c r="J3044" s="55" t="s">
        <v>2688</v>
      </c>
      <c r="K3044" s="55" t="s">
        <v>2974</v>
      </c>
      <c r="L3044" s="55" t="s">
        <v>2744</v>
      </c>
      <c r="M3044" s="90">
        <v>4.8499999999999996</v>
      </c>
      <c r="N3044" s="90">
        <v>7.05</v>
      </c>
      <c r="O3044" s="90">
        <v>21.6</v>
      </c>
      <c r="S3044" s="90">
        <v>2400</v>
      </c>
      <c r="U3044" s="55" t="s">
        <v>1816</v>
      </c>
      <c r="V3044" s="55" t="s">
        <v>1801</v>
      </c>
      <c r="Y3044" s="55" t="s">
        <v>2975</v>
      </c>
      <c r="AG3044" s="90">
        <v>65</v>
      </c>
      <c r="AH3044" s="55" t="s">
        <v>769</v>
      </c>
      <c r="AM3044" s="55" t="s">
        <v>2891</v>
      </c>
      <c r="AN3044" s="185" t="s">
        <v>2978</v>
      </c>
      <c r="AO3044" s="185" t="s">
        <v>5150</v>
      </c>
      <c r="AQ3044" s="55" t="s">
        <v>553</v>
      </c>
      <c r="AR3044" s="55" t="s">
        <v>2282</v>
      </c>
      <c r="AS3044" s="55" t="s">
        <v>227</v>
      </c>
      <c r="AU3044" s="181" t="s">
        <v>7494</v>
      </c>
      <c r="AV3044" s="185" t="s">
        <v>176</v>
      </c>
      <c r="AX3044" s="185" t="s">
        <v>176</v>
      </c>
      <c r="AZ3044" s="55" t="s">
        <v>2976</v>
      </c>
      <c r="BB3044" s="55" t="s">
        <v>2081</v>
      </c>
      <c r="BC3044" s="55" t="s">
        <v>2081</v>
      </c>
      <c r="BK3044" s="55" t="s">
        <v>6333</v>
      </c>
      <c r="BM3044" s="192" t="s">
        <v>160</v>
      </c>
      <c r="FJ3044" s="65">
        <v>3</v>
      </c>
      <c r="FK3044" s="65">
        <v>0.03</v>
      </c>
      <c r="FN3044" s="65" t="s">
        <v>206</v>
      </c>
      <c r="FO3044" s="65">
        <f>740/100*20.23</f>
        <v>149.702</v>
      </c>
      <c r="FP3044" s="65">
        <f>740/100*2.44</f>
        <v>18.056000000000001</v>
      </c>
      <c r="FS3044" s="65" t="s">
        <v>6371</v>
      </c>
      <c r="FT3044" s="65">
        <v>2.44</v>
      </c>
      <c r="FU3044" s="65">
        <v>0.69</v>
      </c>
      <c r="FX3044" s="65" t="s">
        <v>2981</v>
      </c>
      <c r="GP3044" s="292" t="s">
        <v>7494</v>
      </c>
    </row>
    <row r="3045" spans="1:281" x14ac:dyDescent="0.25">
      <c r="A3045" s="55">
        <v>3044</v>
      </c>
      <c r="B3045" s="12" t="s">
        <v>7067</v>
      </c>
      <c r="C3045" s="155">
        <v>147</v>
      </c>
      <c r="D3045" s="55" t="s">
        <v>4315</v>
      </c>
      <c r="E3045" s="90" t="s">
        <v>2972</v>
      </c>
      <c r="G3045" s="55" t="s">
        <v>2973</v>
      </c>
      <c r="H3045" s="55">
        <v>1989</v>
      </c>
      <c r="I3045" s="55">
        <v>1985</v>
      </c>
      <c r="J3045" s="55" t="s">
        <v>2688</v>
      </c>
      <c r="K3045" s="55" t="s">
        <v>2974</v>
      </c>
      <c r="L3045" s="55" t="s">
        <v>2744</v>
      </c>
      <c r="M3045" s="90">
        <v>4.8499999999999996</v>
      </c>
      <c r="N3045" s="90">
        <v>7.05</v>
      </c>
      <c r="O3045" s="90">
        <v>21.6</v>
      </c>
      <c r="S3045" s="90">
        <v>2400</v>
      </c>
      <c r="U3045" s="55" t="s">
        <v>1816</v>
      </c>
      <c r="V3045" s="55" t="s">
        <v>1801</v>
      </c>
      <c r="Y3045" s="55" t="s">
        <v>2975</v>
      </c>
      <c r="AG3045" s="90">
        <v>65</v>
      </c>
      <c r="AH3045" s="55" t="s">
        <v>769</v>
      </c>
      <c r="AM3045" s="55" t="s">
        <v>2891</v>
      </c>
      <c r="AN3045" s="185" t="s">
        <v>2979</v>
      </c>
      <c r="AO3045" s="185" t="s">
        <v>5150</v>
      </c>
      <c r="AQ3045" s="55" t="s">
        <v>553</v>
      </c>
      <c r="AR3045" s="55" t="s">
        <v>2282</v>
      </c>
      <c r="AS3045" s="55" t="s">
        <v>227</v>
      </c>
      <c r="AU3045" s="181" t="s">
        <v>7494</v>
      </c>
      <c r="AV3045" s="185" t="s">
        <v>176</v>
      </c>
      <c r="AX3045" s="185" t="s">
        <v>176</v>
      </c>
      <c r="AZ3045" s="55" t="s">
        <v>2976</v>
      </c>
      <c r="BB3045" s="55" t="s">
        <v>2081</v>
      </c>
      <c r="BC3045" s="55" t="s">
        <v>2081</v>
      </c>
      <c r="BK3045" s="55" t="s">
        <v>6333</v>
      </c>
      <c r="BM3045" s="192" t="s">
        <v>160</v>
      </c>
      <c r="FJ3045" s="65">
        <v>3</v>
      </c>
      <c r="FK3045" s="65">
        <v>0.21</v>
      </c>
      <c r="FN3045" s="65" t="s">
        <v>206</v>
      </c>
      <c r="FO3045" s="65">
        <f>740/100*20.23</f>
        <v>149.702</v>
      </c>
      <c r="FP3045" s="65">
        <f>740/100*0.82</f>
        <v>6.0679999999999996</v>
      </c>
      <c r="FS3045" s="65" t="s">
        <v>6371</v>
      </c>
      <c r="FT3045" s="65">
        <v>2.44</v>
      </c>
      <c r="FU3045" s="65">
        <v>0.1</v>
      </c>
      <c r="FX3045" s="65" t="s">
        <v>2981</v>
      </c>
      <c r="GP3045" s="292" t="s">
        <v>7494</v>
      </c>
    </row>
    <row r="3046" spans="1:281" x14ac:dyDescent="0.25">
      <c r="A3046" s="55">
        <v>3045</v>
      </c>
      <c r="B3046" s="12" t="s">
        <v>7067</v>
      </c>
      <c r="C3046" s="155">
        <v>147</v>
      </c>
      <c r="D3046" s="55" t="s">
        <v>4315</v>
      </c>
      <c r="E3046" s="90" t="s">
        <v>2972</v>
      </c>
      <c r="G3046" s="55" t="s">
        <v>2973</v>
      </c>
      <c r="H3046" s="55">
        <v>1989</v>
      </c>
      <c r="I3046" s="55">
        <v>1985</v>
      </c>
      <c r="J3046" s="55" t="s">
        <v>2688</v>
      </c>
      <c r="K3046" s="55" t="s">
        <v>2974</v>
      </c>
      <c r="L3046" s="55" t="s">
        <v>2744</v>
      </c>
      <c r="M3046" s="90">
        <v>4.8499999999999996</v>
      </c>
      <c r="N3046" s="90">
        <v>7.05</v>
      </c>
      <c r="O3046" s="90">
        <v>21.6</v>
      </c>
      <c r="S3046" s="90">
        <v>2400</v>
      </c>
      <c r="U3046" s="55" t="s">
        <v>1816</v>
      </c>
      <c r="V3046" s="55" t="s">
        <v>1801</v>
      </c>
      <c r="Y3046" s="55" t="s">
        <v>2975</v>
      </c>
      <c r="AG3046" s="90">
        <v>65</v>
      </c>
      <c r="AH3046" s="55" t="s">
        <v>769</v>
      </c>
      <c r="AM3046" s="55" t="s">
        <v>2891</v>
      </c>
      <c r="AN3046" s="185" t="s">
        <v>2980</v>
      </c>
      <c r="AO3046" s="185" t="s">
        <v>5150</v>
      </c>
      <c r="AQ3046" s="55" t="s">
        <v>553</v>
      </c>
      <c r="AR3046" s="55" t="s">
        <v>2282</v>
      </c>
      <c r="AS3046" s="55" t="s">
        <v>227</v>
      </c>
      <c r="AU3046" s="181" t="s">
        <v>7494</v>
      </c>
      <c r="AV3046" s="185" t="s">
        <v>176</v>
      </c>
      <c r="AX3046" s="185" t="s">
        <v>176</v>
      </c>
      <c r="AZ3046" s="55" t="s">
        <v>2976</v>
      </c>
      <c r="BB3046" s="55" t="s">
        <v>2081</v>
      </c>
      <c r="BC3046" s="55" t="s">
        <v>2081</v>
      </c>
      <c r="BK3046" s="55" t="s">
        <v>6333</v>
      </c>
      <c r="BM3046" s="192" t="s">
        <v>160</v>
      </c>
      <c r="FJ3046" s="65">
        <v>3</v>
      </c>
      <c r="FK3046" s="65">
        <v>0.7</v>
      </c>
      <c r="FN3046" s="65" t="s">
        <v>206</v>
      </c>
      <c r="FO3046" s="65">
        <f>740/100*20.23</f>
        <v>149.702</v>
      </c>
      <c r="FP3046" s="65">
        <f>740/100*4.67</f>
        <v>34.558</v>
      </c>
      <c r="FS3046" s="65" t="s">
        <v>6371</v>
      </c>
      <c r="FT3046" s="65">
        <v>2.44</v>
      </c>
      <c r="FU3046" s="65">
        <v>0.64</v>
      </c>
      <c r="FX3046" s="65" t="s">
        <v>2981</v>
      </c>
      <c r="GP3046" s="292" t="s">
        <v>7494</v>
      </c>
    </row>
    <row r="3047" spans="1:281" x14ac:dyDescent="0.25">
      <c r="A3047" s="55">
        <v>3046</v>
      </c>
      <c r="B3047" s="12" t="s">
        <v>7067</v>
      </c>
      <c r="C3047" s="155">
        <v>147</v>
      </c>
      <c r="D3047" s="55" t="s">
        <v>4315</v>
      </c>
      <c r="E3047" s="90" t="s">
        <v>2972</v>
      </c>
      <c r="G3047" s="55" t="s">
        <v>2973</v>
      </c>
      <c r="H3047" s="55">
        <v>1989</v>
      </c>
      <c r="I3047" s="55">
        <v>1986</v>
      </c>
      <c r="J3047" s="55" t="s">
        <v>2688</v>
      </c>
      <c r="K3047" s="55" t="s">
        <v>2974</v>
      </c>
      <c r="L3047" s="55" t="s">
        <v>2744</v>
      </c>
      <c r="M3047" s="90">
        <v>4.8499999999999996</v>
      </c>
      <c r="N3047" s="90">
        <v>7.05</v>
      </c>
      <c r="O3047" s="90">
        <v>21.6</v>
      </c>
      <c r="S3047" s="90">
        <v>2400</v>
      </c>
      <c r="U3047" s="55" t="s">
        <v>1682</v>
      </c>
      <c r="V3047" s="55" t="s">
        <v>1801</v>
      </c>
      <c r="Y3047" s="55" t="s">
        <v>2975</v>
      </c>
      <c r="AG3047" s="90">
        <v>65</v>
      </c>
      <c r="AH3047" s="55" t="s">
        <v>769</v>
      </c>
      <c r="AM3047" s="55" t="s">
        <v>2891</v>
      </c>
      <c r="AN3047" s="185" t="s">
        <v>2977</v>
      </c>
      <c r="AO3047" s="185" t="s">
        <v>5150</v>
      </c>
      <c r="AQ3047" s="55" t="s">
        <v>553</v>
      </c>
      <c r="AR3047" s="55" t="s">
        <v>2282</v>
      </c>
      <c r="AS3047" s="55" t="s">
        <v>227</v>
      </c>
      <c r="AU3047" s="181" t="s">
        <v>7494</v>
      </c>
      <c r="AV3047" s="185" t="s">
        <v>176</v>
      </c>
      <c r="AX3047" s="185" t="s">
        <v>176</v>
      </c>
      <c r="AZ3047" s="55" t="s">
        <v>2976</v>
      </c>
      <c r="BB3047" s="55" t="s">
        <v>2081</v>
      </c>
      <c r="BC3047" s="55" t="s">
        <v>2081</v>
      </c>
      <c r="BK3047" s="55" t="s">
        <v>6333</v>
      </c>
      <c r="BM3047" s="192" t="s">
        <v>160</v>
      </c>
      <c r="FJ3047" s="65">
        <v>7.0000000000000001E-3</v>
      </c>
      <c r="FK3047" s="65">
        <v>8.0000000000000002E-3</v>
      </c>
      <c r="FN3047" s="65" t="s">
        <v>206</v>
      </c>
      <c r="FO3047" s="65">
        <f>459/100*0.1</f>
        <v>0.45900000000000002</v>
      </c>
      <c r="FP3047" s="65">
        <f>459/100*0.2</f>
        <v>0.91800000000000004</v>
      </c>
      <c r="FS3047" s="65" t="s">
        <v>6371</v>
      </c>
      <c r="FT3047" s="65">
        <v>0.01</v>
      </c>
      <c r="FU3047" s="65">
        <v>0.02</v>
      </c>
      <c r="FX3047" s="65" t="s">
        <v>2981</v>
      </c>
      <c r="GP3047" s="292" t="s">
        <v>7494</v>
      </c>
    </row>
    <row r="3048" spans="1:281" x14ac:dyDescent="0.25">
      <c r="A3048" s="55">
        <v>3047</v>
      </c>
      <c r="B3048" s="12" t="s">
        <v>7067</v>
      </c>
      <c r="C3048" s="155">
        <v>147</v>
      </c>
      <c r="D3048" s="55" t="s">
        <v>4315</v>
      </c>
      <c r="E3048" s="90" t="s">
        <v>2972</v>
      </c>
      <c r="G3048" s="55" t="s">
        <v>2973</v>
      </c>
      <c r="H3048" s="55">
        <v>1989</v>
      </c>
      <c r="I3048" s="55">
        <v>1986</v>
      </c>
      <c r="J3048" s="55" t="s">
        <v>2688</v>
      </c>
      <c r="K3048" s="55" t="s">
        <v>2974</v>
      </c>
      <c r="L3048" s="55" t="s">
        <v>2744</v>
      </c>
      <c r="M3048" s="90">
        <v>4.8499999999999996</v>
      </c>
      <c r="N3048" s="90">
        <v>7.05</v>
      </c>
      <c r="O3048" s="90">
        <v>21.6</v>
      </c>
      <c r="S3048" s="90">
        <v>2400</v>
      </c>
      <c r="U3048" s="55" t="s">
        <v>1682</v>
      </c>
      <c r="V3048" s="55" t="s">
        <v>1801</v>
      </c>
      <c r="Y3048" s="55" t="s">
        <v>2975</v>
      </c>
      <c r="AG3048" s="90">
        <v>65</v>
      </c>
      <c r="AH3048" s="55" t="s">
        <v>769</v>
      </c>
      <c r="AM3048" s="55" t="s">
        <v>2891</v>
      </c>
      <c r="AN3048" s="185" t="s">
        <v>2978</v>
      </c>
      <c r="AO3048" s="185" t="s">
        <v>5150</v>
      </c>
      <c r="AQ3048" s="55" t="s">
        <v>553</v>
      </c>
      <c r="AR3048" s="55" t="s">
        <v>2282</v>
      </c>
      <c r="AS3048" s="55" t="s">
        <v>227</v>
      </c>
      <c r="AU3048" s="181" t="s">
        <v>7494</v>
      </c>
      <c r="AV3048" s="185" t="s">
        <v>176</v>
      </c>
      <c r="AX3048" s="185" t="s">
        <v>176</v>
      </c>
      <c r="AZ3048" s="55" t="s">
        <v>2976</v>
      </c>
      <c r="BB3048" s="55" t="s">
        <v>2081</v>
      </c>
      <c r="BC3048" s="55" t="s">
        <v>2081</v>
      </c>
      <c r="BK3048" s="55" t="s">
        <v>6333</v>
      </c>
      <c r="BM3048" s="192" t="s">
        <v>160</v>
      </c>
      <c r="FJ3048" s="65">
        <v>7.0000000000000001E-3</v>
      </c>
      <c r="FK3048" s="65">
        <v>3.0000000000000001E-3</v>
      </c>
      <c r="FN3048" s="65" t="s">
        <v>206</v>
      </c>
      <c r="FO3048" s="65">
        <f>459/100*0.1</f>
        <v>0.45900000000000002</v>
      </c>
      <c r="FP3048" s="65">
        <f>459/100*0.1</f>
        <v>0.45900000000000002</v>
      </c>
      <c r="FS3048" s="65" t="s">
        <v>6371</v>
      </c>
      <c r="FT3048" s="65">
        <v>0.01</v>
      </c>
      <c r="FU3048" s="65">
        <v>0.01</v>
      </c>
      <c r="FX3048" s="65" t="s">
        <v>2981</v>
      </c>
      <c r="GP3048" s="292" t="s">
        <v>7494</v>
      </c>
    </row>
    <row r="3049" spans="1:281" x14ac:dyDescent="0.25">
      <c r="A3049" s="55">
        <v>3048</v>
      </c>
      <c r="B3049" s="12" t="s">
        <v>7067</v>
      </c>
      <c r="C3049" s="155">
        <v>147</v>
      </c>
      <c r="D3049" s="55" t="s">
        <v>4315</v>
      </c>
      <c r="E3049" s="90" t="s">
        <v>2972</v>
      </c>
      <c r="G3049" s="55" t="s">
        <v>2973</v>
      </c>
      <c r="H3049" s="55">
        <v>1989</v>
      </c>
      <c r="I3049" s="55">
        <v>1986</v>
      </c>
      <c r="J3049" s="55" t="s">
        <v>2688</v>
      </c>
      <c r="K3049" s="55" t="s">
        <v>2974</v>
      </c>
      <c r="L3049" s="55" t="s">
        <v>2744</v>
      </c>
      <c r="M3049" s="90">
        <v>4.8499999999999996</v>
      </c>
      <c r="N3049" s="90">
        <v>7.05</v>
      </c>
      <c r="O3049" s="90">
        <v>21.6</v>
      </c>
      <c r="S3049" s="90">
        <v>2400</v>
      </c>
      <c r="U3049" s="55" t="s">
        <v>1682</v>
      </c>
      <c r="V3049" s="55" t="s">
        <v>1801</v>
      </c>
      <c r="Y3049" s="55" t="s">
        <v>2975</v>
      </c>
      <c r="AG3049" s="90">
        <v>65</v>
      </c>
      <c r="AH3049" s="55" t="s">
        <v>769</v>
      </c>
      <c r="AM3049" s="55" t="s">
        <v>2891</v>
      </c>
      <c r="AN3049" s="185" t="s">
        <v>2979</v>
      </c>
      <c r="AO3049" s="185" t="s">
        <v>5150</v>
      </c>
      <c r="AQ3049" s="55" t="s">
        <v>553</v>
      </c>
      <c r="AR3049" s="55" t="s">
        <v>2282</v>
      </c>
      <c r="AS3049" s="55" t="s">
        <v>227</v>
      </c>
      <c r="AU3049" s="181" t="s">
        <v>7494</v>
      </c>
      <c r="AV3049" s="185" t="s">
        <v>176</v>
      </c>
      <c r="AX3049" s="185" t="s">
        <v>176</v>
      </c>
      <c r="AZ3049" s="55" t="s">
        <v>2976</v>
      </c>
      <c r="BB3049" s="55" t="s">
        <v>2081</v>
      </c>
      <c r="BC3049" s="55" t="s">
        <v>2081</v>
      </c>
      <c r="BK3049" s="55" t="s">
        <v>6333</v>
      </c>
      <c r="BM3049" s="192" t="s">
        <v>160</v>
      </c>
      <c r="FJ3049" s="65">
        <v>7.0000000000000001E-3</v>
      </c>
      <c r="FK3049" s="65">
        <v>2.3E-2</v>
      </c>
      <c r="FN3049" s="65" t="s">
        <v>206</v>
      </c>
      <c r="FO3049" s="65">
        <f>459/100*0.1</f>
        <v>0.45900000000000002</v>
      </c>
      <c r="FP3049" s="65">
        <f>459/100*0.3</f>
        <v>1.377</v>
      </c>
      <c r="FS3049" s="65" t="s">
        <v>6371</v>
      </c>
      <c r="FT3049" s="65">
        <v>0.01</v>
      </c>
      <c r="FU3049" s="65">
        <v>0.02</v>
      </c>
      <c r="FX3049" s="65" t="s">
        <v>2981</v>
      </c>
      <c r="GP3049" s="292" t="s">
        <v>7494</v>
      </c>
    </row>
    <row r="3050" spans="1:281" x14ac:dyDescent="0.25">
      <c r="A3050" s="55">
        <v>3049</v>
      </c>
      <c r="B3050" s="12" t="s">
        <v>7067</v>
      </c>
      <c r="C3050" s="155">
        <v>147</v>
      </c>
      <c r="D3050" s="55" t="s">
        <v>4315</v>
      </c>
      <c r="E3050" s="90" t="s">
        <v>2972</v>
      </c>
      <c r="G3050" s="55" t="s">
        <v>2973</v>
      </c>
      <c r="H3050" s="55">
        <v>1989</v>
      </c>
      <c r="I3050" s="55">
        <v>1986</v>
      </c>
      <c r="J3050" s="55" t="s">
        <v>2688</v>
      </c>
      <c r="K3050" s="55" t="s">
        <v>2974</v>
      </c>
      <c r="L3050" s="55" t="s">
        <v>2744</v>
      </c>
      <c r="M3050" s="90">
        <v>4.8499999999999996</v>
      </c>
      <c r="N3050" s="90">
        <v>7.05</v>
      </c>
      <c r="O3050" s="90">
        <v>21.6</v>
      </c>
      <c r="S3050" s="90">
        <v>2400</v>
      </c>
      <c r="U3050" s="55" t="s">
        <v>1682</v>
      </c>
      <c r="V3050" s="55" t="s">
        <v>1801</v>
      </c>
      <c r="Y3050" s="55" t="s">
        <v>2975</v>
      </c>
      <c r="AG3050" s="90">
        <v>65</v>
      </c>
      <c r="AH3050" s="55" t="s">
        <v>769</v>
      </c>
      <c r="AM3050" s="55" t="s">
        <v>2891</v>
      </c>
      <c r="AN3050" s="185" t="s">
        <v>2980</v>
      </c>
      <c r="AO3050" s="185" t="s">
        <v>5150</v>
      </c>
      <c r="AQ3050" s="55" t="s">
        <v>553</v>
      </c>
      <c r="AR3050" s="55" t="s">
        <v>2282</v>
      </c>
      <c r="AS3050" s="55" t="s">
        <v>227</v>
      </c>
      <c r="AU3050" s="181" t="s">
        <v>7494</v>
      </c>
      <c r="AV3050" s="185" t="s">
        <v>176</v>
      </c>
      <c r="AX3050" s="185" t="s">
        <v>176</v>
      </c>
      <c r="AZ3050" s="55" t="s">
        <v>2976</v>
      </c>
      <c r="BB3050" s="55" t="s">
        <v>2081</v>
      </c>
      <c r="BC3050" s="55" t="s">
        <v>2081</v>
      </c>
      <c r="BK3050" s="55" t="s">
        <v>6333</v>
      </c>
      <c r="BM3050" s="192" t="s">
        <v>160</v>
      </c>
      <c r="FJ3050" s="65">
        <v>7.0000000000000001E-3</v>
      </c>
      <c r="FK3050" s="65">
        <v>3.4000000000000002E-2</v>
      </c>
      <c r="FN3050" s="65" t="s">
        <v>206</v>
      </c>
      <c r="FO3050" s="65">
        <f>459/100*0.1</f>
        <v>0.45900000000000002</v>
      </c>
      <c r="FP3050" s="65">
        <f>459/100*3.1</f>
        <v>14.228999999999999</v>
      </c>
      <c r="FS3050" s="65" t="s">
        <v>6371</v>
      </c>
      <c r="FT3050" s="65">
        <v>0.01</v>
      </c>
      <c r="FU3050" s="65">
        <v>0.25</v>
      </c>
      <c r="FX3050" s="65" t="s">
        <v>2981</v>
      </c>
      <c r="GP3050" s="292" t="s">
        <v>7494</v>
      </c>
    </row>
    <row r="3051" spans="1:281" x14ac:dyDescent="0.25">
      <c r="A3051" s="55">
        <v>3050</v>
      </c>
      <c r="B3051" s="12" t="s">
        <v>7067</v>
      </c>
      <c r="C3051" s="155">
        <v>147</v>
      </c>
      <c r="D3051" s="55" t="s">
        <v>4315</v>
      </c>
      <c r="E3051" s="90" t="s">
        <v>2972</v>
      </c>
      <c r="G3051" s="55" t="s">
        <v>2973</v>
      </c>
      <c r="H3051" s="55">
        <v>1989</v>
      </c>
      <c r="I3051" s="55">
        <v>1987</v>
      </c>
      <c r="J3051" s="55" t="s">
        <v>2688</v>
      </c>
      <c r="K3051" s="55" t="s">
        <v>2974</v>
      </c>
      <c r="L3051" s="55" t="s">
        <v>2744</v>
      </c>
      <c r="M3051" s="90">
        <v>4.8499999999999996</v>
      </c>
      <c r="N3051" s="90">
        <v>7.05</v>
      </c>
      <c r="O3051" s="90">
        <v>21.6</v>
      </c>
      <c r="S3051" s="90">
        <v>2400</v>
      </c>
      <c r="U3051" s="55" t="s">
        <v>1801</v>
      </c>
      <c r="V3051" s="55" t="s">
        <v>1801</v>
      </c>
      <c r="Y3051" s="55" t="s">
        <v>2975</v>
      </c>
      <c r="AG3051" s="90">
        <v>65</v>
      </c>
      <c r="AH3051" s="55" t="s">
        <v>769</v>
      </c>
      <c r="AM3051" s="55" t="s">
        <v>2891</v>
      </c>
      <c r="AN3051" s="185" t="s">
        <v>2977</v>
      </c>
      <c r="AO3051" s="185" t="s">
        <v>5150</v>
      </c>
      <c r="AQ3051" s="55" t="s">
        <v>553</v>
      </c>
      <c r="AR3051" s="55" t="s">
        <v>2282</v>
      </c>
      <c r="AS3051" s="55" t="s">
        <v>227</v>
      </c>
      <c r="AU3051" s="181" t="s">
        <v>7494</v>
      </c>
      <c r="AV3051" s="185" t="s">
        <v>176</v>
      </c>
      <c r="AX3051" s="185" t="s">
        <v>176</v>
      </c>
      <c r="AZ3051" s="55" t="s">
        <v>2976</v>
      </c>
      <c r="BB3051" s="55" t="s">
        <v>2081</v>
      </c>
      <c r="BC3051" s="55" t="s">
        <v>2081</v>
      </c>
      <c r="BK3051" s="55" t="s">
        <v>6333</v>
      </c>
      <c r="BM3051" s="192" t="s">
        <v>160</v>
      </c>
      <c r="FJ3051" s="65">
        <v>0.01</v>
      </c>
      <c r="FK3051" s="65">
        <v>0.32500000000000001</v>
      </c>
      <c r="FN3051" s="65" t="s">
        <v>206</v>
      </c>
      <c r="FO3051" s="65">
        <f>869/100*0.1</f>
        <v>0.86899999999999999</v>
      </c>
      <c r="FP3051" s="65">
        <f>869/100*0.6</f>
        <v>5.2139999999999995</v>
      </c>
      <c r="FS3051" s="65" t="s">
        <v>6371</v>
      </c>
      <c r="FT3051" s="65">
        <v>0.01</v>
      </c>
      <c r="FU3051" s="65">
        <v>0.01</v>
      </c>
      <c r="FX3051" s="65" t="s">
        <v>2981</v>
      </c>
      <c r="GP3051" s="292" t="s">
        <v>7494</v>
      </c>
    </row>
    <row r="3052" spans="1:281" x14ac:dyDescent="0.25">
      <c r="A3052" s="55">
        <v>3051</v>
      </c>
      <c r="B3052" s="12" t="s">
        <v>7067</v>
      </c>
      <c r="C3052" s="155">
        <v>147</v>
      </c>
      <c r="D3052" s="55" t="s">
        <v>4315</v>
      </c>
      <c r="E3052" s="90" t="s">
        <v>2972</v>
      </c>
      <c r="G3052" s="55" t="s">
        <v>2973</v>
      </c>
      <c r="H3052" s="55">
        <v>1989</v>
      </c>
      <c r="I3052" s="55">
        <v>1987</v>
      </c>
      <c r="J3052" s="55" t="s">
        <v>2688</v>
      </c>
      <c r="K3052" s="55" t="s">
        <v>2974</v>
      </c>
      <c r="L3052" s="55" t="s">
        <v>2744</v>
      </c>
      <c r="M3052" s="90">
        <v>4.8499999999999996</v>
      </c>
      <c r="N3052" s="90">
        <v>7.05</v>
      </c>
      <c r="O3052" s="90">
        <v>21.6</v>
      </c>
      <c r="S3052" s="90">
        <v>2400</v>
      </c>
      <c r="U3052" s="55" t="s">
        <v>1801</v>
      </c>
      <c r="V3052" s="55" t="s">
        <v>1801</v>
      </c>
      <c r="Y3052" s="55" t="s">
        <v>2975</v>
      </c>
      <c r="AG3052" s="90">
        <v>65</v>
      </c>
      <c r="AH3052" s="55" t="s">
        <v>769</v>
      </c>
      <c r="AM3052" s="55" t="s">
        <v>2891</v>
      </c>
      <c r="AN3052" s="185" t="s">
        <v>2978</v>
      </c>
      <c r="AO3052" s="185" t="s">
        <v>5150</v>
      </c>
      <c r="AQ3052" s="55" t="s">
        <v>553</v>
      </c>
      <c r="AR3052" s="55" t="s">
        <v>2282</v>
      </c>
      <c r="AS3052" s="55" t="s">
        <v>227</v>
      </c>
      <c r="AU3052" s="181" t="s">
        <v>7494</v>
      </c>
      <c r="AV3052" s="185" t="s">
        <v>176</v>
      </c>
      <c r="AX3052" s="185" t="s">
        <v>176</v>
      </c>
      <c r="AZ3052" s="55" t="s">
        <v>2976</v>
      </c>
      <c r="BB3052" s="55" t="s">
        <v>2081</v>
      </c>
      <c r="BC3052" s="55" t="s">
        <v>2081</v>
      </c>
      <c r="BK3052" s="55" t="s">
        <v>6333</v>
      </c>
      <c r="BM3052" s="192" t="s">
        <v>160</v>
      </c>
      <c r="FJ3052" s="65">
        <v>0.01</v>
      </c>
      <c r="FK3052" s="65">
        <v>1.7999999999999999E-2</v>
      </c>
      <c r="FN3052" s="65" t="s">
        <v>206</v>
      </c>
      <c r="FO3052" s="65">
        <f>869/100*0.1</f>
        <v>0.86899999999999999</v>
      </c>
      <c r="FP3052" s="65">
        <f>869/100*0.1</f>
        <v>0.86899999999999999</v>
      </c>
      <c r="FS3052" s="65" t="s">
        <v>6371</v>
      </c>
      <c r="FT3052" s="65">
        <v>0.01</v>
      </c>
      <c r="FU3052" s="65">
        <v>0.01</v>
      </c>
      <c r="FX3052" s="65" t="s">
        <v>2981</v>
      </c>
      <c r="GP3052" s="292" t="s">
        <v>7494</v>
      </c>
    </row>
    <row r="3053" spans="1:281" x14ac:dyDescent="0.25">
      <c r="A3053" s="55">
        <v>3052</v>
      </c>
      <c r="B3053" s="12" t="s">
        <v>7067</v>
      </c>
      <c r="C3053" s="155">
        <v>147</v>
      </c>
      <c r="D3053" s="55" t="s">
        <v>4315</v>
      </c>
      <c r="E3053" s="90" t="s">
        <v>2972</v>
      </c>
      <c r="G3053" s="55" t="s">
        <v>2973</v>
      </c>
      <c r="H3053" s="55">
        <v>1989</v>
      </c>
      <c r="I3053" s="55">
        <v>1987</v>
      </c>
      <c r="J3053" s="55" t="s">
        <v>2688</v>
      </c>
      <c r="K3053" s="55" t="s">
        <v>2974</v>
      </c>
      <c r="L3053" s="55" t="s">
        <v>2744</v>
      </c>
      <c r="M3053" s="90">
        <v>4.8499999999999996</v>
      </c>
      <c r="N3053" s="90">
        <v>7.05</v>
      </c>
      <c r="O3053" s="90">
        <v>21.6</v>
      </c>
      <c r="S3053" s="90">
        <v>2400</v>
      </c>
      <c r="U3053" s="55" t="s">
        <v>1801</v>
      </c>
      <c r="V3053" s="55" t="s">
        <v>1801</v>
      </c>
      <c r="Y3053" s="55" t="s">
        <v>2975</v>
      </c>
      <c r="AG3053" s="90">
        <v>65</v>
      </c>
      <c r="AH3053" s="55" t="s">
        <v>769</v>
      </c>
      <c r="AM3053" s="55" t="s">
        <v>2891</v>
      </c>
      <c r="AN3053" s="185" t="s">
        <v>2979</v>
      </c>
      <c r="AO3053" s="185" t="s">
        <v>5150</v>
      </c>
      <c r="AQ3053" s="55" t="s">
        <v>553</v>
      </c>
      <c r="AR3053" s="55" t="s">
        <v>2282</v>
      </c>
      <c r="AS3053" s="55" t="s">
        <v>227</v>
      </c>
      <c r="AU3053" s="181" t="s">
        <v>7494</v>
      </c>
      <c r="AV3053" s="185" t="s">
        <v>176</v>
      </c>
      <c r="AX3053" s="185" t="s">
        <v>176</v>
      </c>
      <c r="AZ3053" s="55" t="s">
        <v>2976</v>
      </c>
      <c r="BB3053" s="55" t="s">
        <v>2081</v>
      </c>
      <c r="BC3053" s="55" t="s">
        <v>2081</v>
      </c>
      <c r="BK3053" s="55" t="s">
        <v>6333</v>
      </c>
      <c r="BM3053" s="192" t="s">
        <v>160</v>
      </c>
      <c r="FJ3053" s="65">
        <v>0.01</v>
      </c>
      <c r="FK3053" s="65">
        <v>0.04</v>
      </c>
      <c r="FN3053" s="65" t="s">
        <v>206</v>
      </c>
      <c r="FO3053" s="65">
        <f>869/100*0.1</f>
        <v>0.86899999999999999</v>
      </c>
      <c r="FP3053" s="65">
        <f>869/100*0.4</f>
        <v>3.476</v>
      </c>
      <c r="FS3053" s="65" t="s">
        <v>6371</v>
      </c>
      <c r="FT3053" s="65">
        <v>0.01</v>
      </c>
      <c r="FU3053" s="65">
        <v>0.01</v>
      </c>
      <c r="FX3053" s="65" t="s">
        <v>2981</v>
      </c>
      <c r="GP3053" s="292" t="s">
        <v>7494</v>
      </c>
    </row>
    <row r="3054" spans="1:281" x14ac:dyDescent="0.25">
      <c r="A3054" s="55">
        <v>3053</v>
      </c>
      <c r="B3054" s="12" t="s">
        <v>7067</v>
      </c>
      <c r="C3054" s="155">
        <v>147</v>
      </c>
      <c r="D3054" s="55" t="s">
        <v>4315</v>
      </c>
      <c r="E3054" s="90" t="s">
        <v>2972</v>
      </c>
      <c r="G3054" s="55" t="s">
        <v>2973</v>
      </c>
      <c r="H3054" s="55">
        <v>1989</v>
      </c>
      <c r="I3054" s="55">
        <v>1987</v>
      </c>
      <c r="J3054" s="55" t="s">
        <v>2688</v>
      </c>
      <c r="K3054" s="55" t="s">
        <v>2974</v>
      </c>
      <c r="L3054" s="55" t="s">
        <v>2744</v>
      </c>
      <c r="M3054" s="90">
        <v>4.8499999999999996</v>
      </c>
      <c r="N3054" s="90">
        <v>7.05</v>
      </c>
      <c r="O3054" s="90">
        <v>21.6</v>
      </c>
      <c r="S3054" s="90">
        <v>2400</v>
      </c>
      <c r="U3054" s="55" t="s">
        <v>1801</v>
      </c>
      <c r="V3054" s="55" t="s">
        <v>1801</v>
      </c>
      <c r="Y3054" s="55" t="s">
        <v>2975</v>
      </c>
      <c r="AG3054" s="90">
        <v>65</v>
      </c>
      <c r="AH3054" s="55" t="s">
        <v>769</v>
      </c>
      <c r="AM3054" s="55" t="s">
        <v>2891</v>
      </c>
      <c r="AN3054" s="185" t="s">
        <v>2980</v>
      </c>
      <c r="AO3054" s="185" t="s">
        <v>5150</v>
      </c>
      <c r="AQ3054" s="55" t="s">
        <v>553</v>
      </c>
      <c r="AR3054" s="55" t="s">
        <v>2282</v>
      </c>
      <c r="AS3054" s="55" t="s">
        <v>227</v>
      </c>
      <c r="AU3054" s="181" t="s">
        <v>7494</v>
      </c>
      <c r="AV3054" s="185" t="s">
        <v>176</v>
      </c>
      <c r="AX3054" s="185" t="s">
        <v>176</v>
      </c>
      <c r="AZ3054" s="55" t="s">
        <v>2976</v>
      </c>
      <c r="BB3054" s="55" t="s">
        <v>2081</v>
      </c>
      <c r="BC3054" s="55" t="s">
        <v>2081</v>
      </c>
      <c r="BK3054" s="55" t="s">
        <v>6333</v>
      </c>
      <c r="BM3054" s="192" t="s">
        <v>160</v>
      </c>
      <c r="FJ3054" s="65">
        <v>0.01</v>
      </c>
      <c r="FK3054" s="65">
        <v>4.8000000000000001E-2</v>
      </c>
      <c r="FN3054" s="65" t="s">
        <v>206</v>
      </c>
      <c r="FO3054" s="65">
        <f>869/100*0.1</f>
        <v>0.86899999999999999</v>
      </c>
      <c r="FP3054" s="65">
        <f>869/100*0.4</f>
        <v>3.476</v>
      </c>
      <c r="FS3054" s="65" t="s">
        <v>6371</v>
      </c>
      <c r="FT3054" s="65">
        <v>0.01</v>
      </c>
      <c r="FU3054" s="65">
        <v>0.01</v>
      </c>
      <c r="FX3054" s="65" t="s">
        <v>2981</v>
      </c>
      <c r="GP3054" s="292" t="s">
        <v>7494</v>
      </c>
    </row>
    <row r="3055" spans="1:281" x14ac:dyDescent="0.25">
      <c r="A3055" s="55">
        <v>3054</v>
      </c>
      <c r="B3055" s="12" t="s">
        <v>7067</v>
      </c>
      <c r="C3055" s="155">
        <v>148</v>
      </c>
      <c r="D3055" s="55" t="s">
        <v>4316</v>
      </c>
      <c r="E3055" s="90" t="s">
        <v>2983</v>
      </c>
      <c r="G3055" s="55" t="s">
        <v>2982</v>
      </c>
      <c r="H3055" s="55">
        <v>1990</v>
      </c>
      <c r="I3055" s="55">
        <v>1984</v>
      </c>
      <c r="J3055" s="55" t="s">
        <v>2619</v>
      </c>
      <c r="K3055" s="55" t="s">
        <v>2984</v>
      </c>
      <c r="L3055" s="55" t="s">
        <v>2748</v>
      </c>
      <c r="M3055" s="90">
        <f>-14</f>
        <v>-14</v>
      </c>
      <c r="N3055" s="90">
        <f>33+49/60</f>
        <v>33.81666666666667</v>
      </c>
      <c r="O3055" s="90">
        <v>1118.5999999999999</v>
      </c>
      <c r="U3055" s="55" t="s">
        <v>1816</v>
      </c>
      <c r="V3055" s="55" t="s">
        <v>1940</v>
      </c>
      <c r="Y3055" s="55" t="s">
        <v>2985</v>
      </c>
      <c r="AN3055" s="185" t="s">
        <v>2986</v>
      </c>
      <c r="AO3055" s="185" t="s">
        <v>5150</v>
      </c>
      <c r="AQ3055" s="55" t="s">
        <v>553</v>
      </c>
      <c r="AR3055" s="55" t="s">
        <v>1607</v>
      </c>
      <c r="AS3055" s="55" t="s">
        <v>132</v>
      </c>
      <c r="AU3055" s="181" t="s">
        <v>7494</v>
      </c>
      <c r="AV3055" s="185" t="s">
        <v>176</v>
      </c>
      <c r="AX3055" s="185" t="s">
        <v>176</v>
      </c>
      <c r="BE3055" s="226" t="s">
        <v>2990</v>
      </c>
      <c r="BG3055" s="191" t="s">
        <v>479</v>
      </c>
      <c r="BH3055" s="226" t="s">
        <v>161</v>
      </c>
      <c r="BI3055" s="191" t="s">
        <v>176</v>
      </c>
      <c r="BJ3055" s="55" t="s">
        <v>479</v>
      </c>
      <c r="BK3055" s="55" t="s">
        <v>6333</v>
      </c>
      <c r="BM3055" s="192" t="s">
        <v>160</v>
      </c>
      <c r="CB3055" s="66">
        <v>2100</v>
      </c>
      <c r="CC3055" s="66">
        <v>1200</v>
      </c>
      <c r="CE3055" s="65">
        <v>810</v>
      </c>
      <c r="CF3055" s="65">
        <v>810</v>
      </c>
      <c r="GP3055" s="292" t="s">
        <v>7494</v>
      </c>
      <c r="JU3055" s="55" t="s">
        <v>2991</v>
      </c>
    </row>
    <row r="3056" spans="1:281" x14ac:dyDescent="0.25">
      <c r="A3056" s="55">
        <v>3055</v>
      </c>
      <c r="B3056" s="12" t="s">
        <v>7067</v>
      </c>
      <c r="C3056" s="155">
        <v>148</v>
      </c>
      <c r="D3056" s="55" t="s">
        <v>4316</v>
      </c>
      <c r="E3056" s="90" t="s">
        <v>2983</v>
      </c>
      <c r="G3056" s="55" t="s">
        <v>2982</v>
      </c>
      <c r="H3056" s="55">
        <v>1990</v>
      </c>
      <c r="I3056" s="55">
        <v>1984</v>
      </c>
      <c r="J3056" s="55" t="s">
        <v>2619</v>
      </c>
      <c r="K3056" s="55" t="s">
        <v>2984</v>
      </c>
      <c r="L3056" s="55" t="s">
        <v>2748</v>
      </c>
      <c r="M3056" s="90">
        <f>-14</f>
        <v>-14</v>
      </c>
      <c r="N3056" s="90">
        <f>33+49/60</f>
        <v>33.81666666666667</v>
      </c>
      <c r="O3056" s="90">
        <v>1118.5999999999999</v>
      </c>
      <c r="U3056" s="55" t="s">
        <v>1816</v>
      </c>
      <c r="V3056" s="55" t="s">
        <v>1940</v>
      </c>
      <c r="Y3056" s="55" t="s">
        <v>2985</v>
      </c>
      <c r="AN3056" s="185" t="s">
        <v>2987</v>
      </c>
      <c r="AO3056" s="185" t="s">
        <v>5150</v>
      </c>
      <c r="AQ3056" s="55" t="s">
        <v>553</v>
      </c>
      <c r="AR3056" s="55" t="s">
        <v>1607</v>
      </c>
      <c r="AS3056" s="55" t="s">
        <v>132</v>
      </c>
      <c r="AU3056" s="181" t="s">
        <v>7494</v>
      </c>
      <c r="AV3056" s="185" t="s">
        <v>176</v>
      </c>
      <c r="AX3056" s="185" t="s">
        <v>176</v>
      </c>
      <c r="BE3056" s="226" t="s">
        <v>2990</v>
      </c>
      <c r="BG3056" s="191" t="s">
        <v>479</v>
      </c>
      <c r="BH3056" s="226" t="s">
        <v>161</v>
      </c>
      <c r="BI3056" s="191" t="s">
        <v>176</v>
      </c>
      <c r="BJ3056" s="55" t="s">
        <v>479</v>
      </c>
      <c r="BK3056" s="55" t="s">
        <v>6333</v>
      </c>
      <c r="BM3056" s="192" t="s">
        <v>160</v>
      </c>
      <c r="CB3056" s="66">
        <v>2100</v>
      </c>
      <c r="CC3056" s="66">
        <v>2200</v>
      </c>
      <c r="CE3056" s="65">
        <v>810</v>
      </c>
      <c r="CF3056" s="65">
        <v>810</v>
      </c>
      <c r="GP3056" s="292" t="s">
        <v>7494</v>
      </c>
      <c r="JU3056" s="55" t="s">
        <v>2991</v>
      </c>
    </row>
    <row r="3057" spans="1:281" x14ac:dyDescent="0.25">
      <c r="A3057" s="55">
        <v>3056</v>
      </c>
      <c r="B3057" s="12" t="s">
        <v>7067</v>
      </c>
      <c r="C3057" s="155">
        <v>148</v>
      </c>
      <c r="D3057" s="55" t="s">
        <v>4317</v>
      </c>
      <c r="E3057" s="90" t="s">
        <v>2983</v>
      </c>
      <c r="G3057" s="55" t="s">
        <v>2982</v>
      </c>
      <c r="H3057" s="55">
        <v>1990</v>
      </c>
      <c r="I3057" s="55">
        <v>1984</v>
      </c>
      <c r="J3057" s="55" t="s">
        <v>2619</v>
      </c>
      <c r="K3057" s="55" t="s">
        <v>2984</v>
      </c>
      <c r="L3057" s="55" t="s">
        <v>2748</v>
      </c>
      <c r="M3057" s="90">
        <f>-14</f>
        <v>-14</v>
      </c>
      <c r="N3057" s="90">
        <f>33+49/60</f>
        <v>33.81666666666667</v>
      </c>
      <c r="O3057" s="90">
        <v>1118.5999999999999</v>
      </c>
      <c r="U3057" s="55" t="s">
        <v>1816</v>
      </c>
      <c r="V3057" s="55" t="s">
        <v>1940</v>
      </c>
      <c r="Y3057" s="55" t="s">
        <v>2985</v>
      </c>
      <c r="AN3057" s="185" t="s">
        <v>2988</v>
      </c>
      <c r="AO3057" s="185" t="s">
        <v>5150</v>
      </c>
      <c r="AQ3057" s="55" t="s">
        <v>1546</v>
      </c>
      <c r="AR3057" s="55" t="s">
        <v>1607</v>
      </c>
      <c r="AS3057" s="55" t="s">
        <v>132</v>
      </c>
      <c r="AU3057" s="181" t="s">
        <v>7494</v>
      </c>
      <c r="AV3057" s="185" t="s">
        <v>176</v>
      </c>
      <c r="AX3057" s="185" t="s">
        <v>176</v>
      </c>
      <c r="BE3057" s="226" t="s">
        <v>2990</v>
      </c>
      <c r="BG3057" s="191" t="s">
        <v>479</v>
      </c>
      <c r="BH3057" s="226" t="s">
        <v>161</v>
      </c>
      <c r="BI3057" s="191" t="s">
        <v>176</v>
      </c>
      <c r="BJ3057" s="55" t="s">
        <v>479</v>
      </c>
      <c r="BK3057" s="55" t="s">
        <v>6333</v>
      </c>
      <c r="BM3057" s="192" t="s">
        <v>160</v>
      </c>
      <c r="CB3057" s="66">
        <v>2100</v>
      </c>
      <c r="CC3057" s="66">
        <v>200</v>
      </c>
      <c r="CE3057" s="65">
        <v>810</v>
      </c>
      <c r="CF3057" s="65">
        <v>810</v>
      </c>
      <c r="GP3057" s="292" t="s">
        <v>7494</v>
      </c>
      <c r="JU3057" s="55" t="s">
        <v>2991</v>
      </c>
    </row>
    <row r="3058" spans="1:281" x14ac:dyDescent="0.25">
      <c r="A3058" s="55">
        <v>3057</v>
      </c>
      <c r="B3058" s="12" t="s">
        <v>7067</v>
      </c>
      <c r="C3058" s="155">
        <v>148</v>
      </c>
      <c r="D3058" s="55" t="s">
        <v>4317</v>
      </c>
      <c r="E3058" s="90" t="s">
        <v>2983</v>
      </c>
      <c r="G3058" s="55" t="s">
        <v>2982</v>
      </c>
      <c r="H3058" s="55">
        <v>1990</v>
      </c>
      <c r="I3058" s="55">
        <v>1984</v>
      </c>
      <c r="J3058" s="55" t="s">
        <v>2619</v>
      </c>
      <c r="K3058" s="55" t="s">
        <v>2984</v>
      </c>
      <c r="L3058" s="55" t="s">
        <v>2748</v>
      </c>
      <c r="M3058" s="90">
        <f>-14</f>
        <v>-14</v>
      </c>
      <c r="N3058" s="90">
        <f>33+49/60</f>
        <v>33.81666666666667</v>
      </c>
      <c r="O3058" s="90">
        <v>1118.5999999999999</v>
      </c>
      <c r="U3058" s="55" t="s">
        <v>1816</v>
      </c>
      <c r="V3058" s="55" t="s">
        <v>1940</v>
      </c>
      <c r="Y3058" s="55" t="s">
        <v>2985</v>
      </c>
      <c r="AN3058" s="185" t="s">
        <v>2989</v>
      </c>
      <c r="AO3058" s="185" t="s">
        <v>5150</v>
      </c>
      <c r="AQ3058" s="55" t="s">
        <v>1546</v>
      </c>
      <c r="AR3058" s="55" t="s">
        <v>1607</v>
      </c>
      <c r="AS3058" s="55" t="s">
        <v>132</v>
      </c>
      <c r="AU3058" s="181" t="s">
        <v>7494</v>
      </c>
      <c r="AV3058" s="185" t="s">
        <v>176</v>
      </c>
      <c r="AX3058" s="185" t="s">
        <v>176</v>
      </c>
      <c r="BE3058" s="226" t="s">
        <v>2990</v>
      </c>
      <c r="BG3058" s="191" t="s">
        <v>479</v>
      </c>
      <c r="BH3058" s="226" t="s">
        <v>161</v>
      </c>
      <c r="BI3058" s="191" t="s">
        <v>176</v>
      </c>
      <c r="BJ3058" s="55" t="s">
        <v>479</v>
      </c>
      <c r="BK3058" s="55" t="s">
        <v>6333</v>
      </c>
      <c r="BM3058" s="192" t="s">
        <v>160</v>
      </c>
      <c r="CB3058" s="66">
        <v>2100</v>
      </c>
      <c r="CC3058" s="66">
        <v>1100</v>
      </c>
      <c r="CE3058" s="65">
        <v>810</v>
      </c>
      <c r="CF3058" s="65">
        <v>810</v>
      </c>
      <c r="GP3058" s="292" t="s">
        <v>7494</v>
      </c>
      <c r="JU3058" s="55" t="s">
        <v>2991</v>
      </c>
    </row>
    <row r="3059" spans="1:281" x14ac:dyDescent="0.25">
      <c r="A3059" s="55">
        <v>3058</v>
      </c>
      <c r="B3059" s="12" t="s">
        <v>7067</v>
      </c>
      <c r="C3059" s="155">
        <v>148</v>
      </c>
      <c r="D3059" s="55" t="s">
        <v>4316</v>
      </c>
      <c r="E3059" s="90" t="s">
        <v>2983</v>
      </c>
      <c r="G3059" s="55" t="s">
        <v>2982</v>
      </c>
      <c r="H3059" s="55">
        <v>1990</v>
      </c>
      <c r="I3059" s="55">
        <v>1985</v>
      </c>
      <c r="J3059" s="55" t="s">
        <v>2619</v>
      </c>
      <c r="K3059" s="55" t="s">
        <v>2984</v>
      </c>
      <c r="L3059" s="55" t="s">
        <v>2748</v>
      </c>
      <c r="M3059" s="90">
        <f>-14</f>
        <v>-14</v>
      </c>
      <c r="N3059" s="90">
        <f>33+49/60</f>
        <v>33.81666666666667</v>
      </c>
      <c r="O3059" s="90">
        <v>1118.5999999999999</v>
      </c>
      <c r="U3059" s="55" t="s">
        <v>1682</v>
      </c>
      <c r="V3059" s="55" t="s">
        <v>1940</v>
      </c>
      <c r="Y3059" s="55" t="s">
        <v>2985</v>
      </c>
      <c r="AN3059" s="185" t="s">
        <v>2986</v>
      </c>
      <c r="AO3059" s="185" t="s">
        <v>5150</v>
      </c>
      <c r="AQ3059" s="55" t="s">
        <v>553</v>
      </c>
      <c r="AR3059" s="55" t="s">
        <v>1607</v>
      </c>
      <c r="AS3059" s="55" t="s">
        <v>132</v>
      </c>
      <c r="AU3059" s="181" t="s">
        <v>7494</v>
      </c>
      <c r="AV3059" s="185" t="s">
        <v>176</v>
      </c>
      <c r="AX3059" s="185" t="s">
        <v>176</v>
      </c>
      <c r="BE3059" s="226" t="s">
        <v>2990</v>
      </c>
      <c r="BG3059" s="191" t="s">
        <v>479</v>
      </c>
      <c r="BH3059" s="226" t="s">
        <v>161</v>
      </c>
      <c r="BI3059" s="191" t="s">
        <v>176</v>
      </c>
      <c r="BJ3059" s="55" t="s">
        <v>479</v>
      </c>
      <c r="BK3059" s="55" t="s">
        <v>6333</v>
      </c>
      <c r="BM3059" s="192" t="s">
        <v>160</v>
      </c>
      <c r="CB3059" s="66">
        <v>2000</v>
      </c>
      <c r="CC3059" s="66">
        <v>3600</v>
      </c>
      <c r="CE3059" s="65">
        <v>1100</v>
      </c>
      <c r="CF3059" s="65">
        <v>1100</v>
      </c>
      <c r="GP3059" s="292" t="s">
        <v>7494</v>
      </c>
      <c r="JU3059" s="55" t="s">
        <v>2991</v>
      </c>
    </row>
    <row r="3060" spans="1:281" x14ac:dyDescent="0.25">
      <c r="A3060" s="55">
        <v>3059</v>
      </c>
      <c r="B3060" s="12" t="s">
        <v>7067</v>
      </c>
      <c r="C3060" s="155">
        <v>148</v>
      </c>
      <c r="D3060" s="55" t="s">
        <v>4316</v>
      </c>
      <c r="E3060" s="90" t="s">
        <v>2983</v>
      </c>
      <c r="G3060" s="55" t="s">
        <v>2982</v>
      </c>
      <c r="H3060" s="55">
        <v>1990</v>
      </c>
      <c r="I3060" s="55">
        <v>1985</v>
      </c>
      <c r="J3060" s="55" t="s">
        <v>2619</v>
      </c>
      <c r="K3060" s="55" t="s">
        <v>2984</v>
      </c>
      <c r="L3060" s="55" t="s">
        <v>2748</v>
      </c>
      <c r="M3060" s="90">
        <f>-14</f>
        <v>-14</v>
      </c>
      <c r="N3060" s="90">
        <f>33+49/60</f>
        <v>33.81666666666667</v>
      </c>
      <c r="O3060" s="90">
        <v>1118.5999999999999</v>
      </c>
      <c r="U3060" s="55" t="s">
        <v>1682</v>
      </c>
      <c r="V3060" s="55" t="s">
        <v>1940</v>
      </c>
      <c r="Y3060" s="55" t="s">
        <v>2985</v>
      </c>
      <c r="AN3060" s="185" t="s">
        <v>2987</v>
      </c>
      <c r="AO3060" s="185" t="s">
        <v>5150</v>
      </c>
      <c r="AQ3060" s="55" t="s">
        <v>553</v>
      </c>
      <c r="AR3060" s="55" t="s">
        <v>1607</v>
      </c>
      <c r="AS3060" s="55" t="s">
        <v>132</v>
      </c>
      <c r="AU3060" s="181" t="s">
        <v>7494</v>
      </c>
      <c r="AV3060" s="185" t="s">
        <v>176</v>
      </c>
      <c r="AX3060" s="185" t="s">
        <v>176</v>
      </c>
      <c r="BE3060" s="226" t="s">
        <v>2990</v>
      </c>
      <c r="BG3060" s="191" t="s">
        <v>479</v>
      </c>
      <c r="BH3060" s="226" t="s">
        <v>161</v>
      </c>
      <c r="BI3060" s="191" t="s">
        <v>176</v>
      </c>
      <c r="BJ3060" s="55" t="s">
        <v>479</v>
      </c>
      <c r="BK3060" s="55" t="s">
        <v>6333</v>
      </c>
      <c r="BM3060" s="192" t="s">
        <v>160</v>
      </c>
      <c r="CB3060" s="66">
        <v>2000</v>
      </c>
      <c r="CC3060" s="66">
        <v>3000</v>
      </c>
      <c r="CE3060" s="65">
        <v>1100</v>
      </c>
      <c r="CF3060" s="65">
        <v>1100</v>
      </c>
      <c r="GP3060" s="292" t="s">
        <v>7494</v>
      </c>
      <c r="JU3060" s="55" t="s">
        <v>2991</v>
      </c>
    </row>
    <row r="3061" spans="1:281" x14ac:dyDescent="0.25">
      <c r="A3061" s="55">
        <v>3060</v>
      </c>
      <c r="B3061" s="12" t="s">
        <v>7067</v>
      </c>
      <c r="C3061" s="155">
        <v>148</v>
      </c>
      <c r="D3061" s="55" t="s">
        <v>4317</v>
      </c>
      <c r="E3061" s="90" t="s">
        <v>2983</v>
      </c>
      <c r="G3061" s="55" t="s">
        <v>2982</v>
      </c>
      <c r="H3061" s="55">
        <v>1990</v>
      </c>
      <c r="I3061" s="55">
        <v>1985</v>
      </c>
      <c r="J3061" s="55" t="s">
        <v>2619</v>
      </c>
      <c r="K3061" s="55" t="s">
        <v>2984</v>
      </c>
      <c r="L3061" s="55" t="s">
        <v>2748</v>
      </c>
      <c r="M3061" s="90">
        <f>-14</f>
        <v>-14</v>
      </c>
      <c r="N3061" s="90">
        <f>33+49/60</f>
        <v>33.81666666666667</v>
      </c>
      <c r="O3061" s="90">
        <v>1118.5999999999999</v>
      </c>
      <c r="U3061" s="55" t="s">
        <v>1682</v>
      </c>
      <c r="V3061" s="55" t="s">
        <v>1940</v>
      </c>
      <c r="Y3061" s="55" t="s">
        <v>2985</v>
      </c>
      <c r="AN3061" s="185" t="s">
        <v>2988</v>
      </c>
      <c r="AO3061" s="185" t="s">
        <v>5150</v>
      </c>
      <c r="AQ3061" s="55" t="s">
        <v>1546</v>
      </c>
      <c r="AR3061" s="55" t="s">
        <v>1607</v>
      </c>
      <c r="AS3061" s="55" t="s">
        <v>132</v>
      </c>
      <c r="AU3061" s="181" t="s">
        <v>7494</v>
      </c>
      <c r="AV3061" s="185" t="s">
        <v>176</v>
      </c>
      <c r="AX3061" s="185" t="s">
        <v>176</v>
      </c>
      <c r="BE3061" s="226" t="s">
        <v>2990</v>
      </c>
      <c r="BG3061" s="191" t="s">
        <v>479</v>
      </c>
      <c r="BH3061" s="226" t="s">
        <v>161</v>
      </c>
      <c r="BI3061" s="191" t="s">
        <v>176</v>
      </c>
      <c r="BJ3061" s="55" t="s">
        <v>479</v>
      </c>
      <c r="BK3061" s="55" t="s">
        <v>6333</v>
      </c>
      <c r="BM3061" s="192" t="s">
        <v>160</v>
      </c>
      <c r="CB3061" s="66">
        <v>2000</v>
      </c>
      <c r="CC3061" s="66">
        <v>2900</v>
      </c>
      <c r="CE3061" s="65">
        <v>1100</v>
      </c>
      <c r="CF3061" s="65">
        <v>1100</v>
      </c>
      <c r="GP3061" s="292" t="s">
        <v>7494</v>
      </c>
      <c r="JU3061" s="55" t="s">
        <v>2991</v>
      </c>
    </row>
    <row r="3062" spans="1:281" x14ac:dyDescent="0.25">
      <c r="A3062" s="55">
        <v>3061</v>
      </c>
      <c r="B3062" s="12" t="s">
        <v>7067</v>
      </c>
      <c r="C3062" s="155">
        <v>148</v>
      </c>
      <c r="D3062" s="55" t="s">
        <v>4317</v>
      </c>
      <c r="E3062" s="90" t="s">
        <v>2983</v>
      </c>
      <c r="G3062" s="55" t="s">
        <v>2982</v>
      </c>
      <c r="H3062" s="55">
        <v>1990</v>
      </c>
      <c r="I3062" s="55">
        <v>1985</v>
      </c>
      <c r="J3062" s="55" t="s">
        <v>2619</v>
      </c>
      <c r="K3062" s="55" t="s">
        <v>2984</v>
      </c>
      <c r="L3062" s="55" t="s">
        <v>2748</v>
      </c>
      <c r="M3062" s="90">
        <f>-14</f>
        <v>-14</v>
      </c>
      <c r="N3062" s="90">
        <f>33+49/60</f>
        <v>33.81666666666667</v>
      </c>
      <c r="O3062" s="90">
        <v>1118.5999999999999</v>
      </c>
      <c r="U3062" s="55" t="s">
        <v>1682</v>
      </c>
      <c r="V3062" s="55" t="s">
        <v>1940</v>
      </c>
      <c r="Y3062" s="55" t="s">
        <v>2985</v>
      </c>
      <c r="AN3062" s="185" t="s">
        <v>2989</v>
      </c>
      <c r="AO3062" s="185" t="s">
        <v>5150</v>
      </c>
      <c r="AQ3062" s="55" t="s">
        <v>1546</v>
      </c>
      <c r="AR3062" s="55" t="s">
        <v>1607</v>
      </c>
      <c r="AS3062" s="55" t="s">
        <v>132</v>
      </c>
      <c r="AU3062" s="181" t="s">
        <v>7494</v>
      </c>
      <c r="AV3062" s="185" t="s">
        <v>176</v>
      </c>
      <c r="AX3062" s="185" t="s">
        <v>176</v>
      </c>
      <c r="BE3062" s="226" t="s">
        <v>2990</v>
      </c>
      <c r="BG3062" s="191" t="s">
        <v>479</v>
      </c>
      <c r="BH3062" s="226" t="s">
        <v>161</v>
      </c>
      <c r="BI3062" s="191" t="s">
        <v>176</v>
      </c>
      <c r="BJ3062" s="55" t="s">
        <v>479</v>
      </c>
      <c r="BK3062" s="55" t="s">
        <v>6333</v>
      </c>
      <c r="BM3062" s="192" t="s">
        <v>160</v>
      </c>
      <c r="CB3062" s="66">
        <v>2000</v>
      </c>
      <c r="CC3062" s="66">
        <v>2400</v>
      </c>
      <c r="CE3062" s="65">
        <v>1100</v>
      </c>
      <c r="CF3062" s="65">
        <v>1100</v>
      </c>
      <c r="GP3062" s="292" t="s">
        <v>7494</v>
      </c>
      <c r="JU3062" s="55" t="s">
        <v>2991</v>
      </c>
    </row>
    <row r="3063" spans="1:281" x14ac:dyDescent="0.25">
      <c r="A3063" s="55">
        <v>3062</v>
      </c>
      <c r="B3063" s="12" t="s">
        <v>7067</v>
      </c>
      <c r="C3063" s="155">
        <v>148</v>
      </c>
      <c r="D3063" s="55" t="s">
        <v>4316</v>
      </c>
      <c r="E3063" s="90" t="s">
        <v>2983</v>
      </c>
      <c r="G3063" s="55" t="s">
        <v>2982</v>
      </c>
      <c r="H3063" s="55">
        <v>1990</v>
      </c>
      <c r="I3063" s="55">
        <v>1986</v>
      </c>
      <c r="J3063" s="55" t="s">
        <v>2619</v>
      </c>
      <c r="K3063" s="55" t="s">
        <v>2984</v>
      </c>
      <c r="L3063" s="55" t="s">
        <v>2748</v>
      </c>
      <c r="M3063" s="90">
        <f>-14</f>
        <v>-14</v>
      </c>
      <c r="N3063" s="90">
        <f>33+49/60</f>
        <v>33.81666666666667</v>
      </c>
      <c r="O3063" s="90">
        <v>1118.5999999999999</v>
      </c>
      <c r="U3063" s="55" t="s">
        <v>1801</v>
      </c>
      <c r="V3063" s="55" t="s">
        <v>1940</v>
      </c>
      <c r="Y3063" s="55" t="s">
        <v>2985</v>
      </c>
      <c r="AN3063" s="185" t="s">
        <v>2986</v>
      </c>
      <c r="AO3063" s="185" t="s">
        <v>5150</v>
      </c>
      <c r="AQ3063" s="55" t="s">
        <v>553</v>
      </c>
      <c r="AR3063" s="55" t="s">
        <v>1607</v>
      </c>
      <c r="AS3063" s="55" t="s">
        <v>132</v>
      </c>
      <c r="AU3063" s="181" t="s">
        <v>7494</v>
      </c>
      <c r="AV3063" s="185" t="s">
        <v>176</v>
      </c>
      <c r="AX3063" s="185" t="s">
        <v>176</v>
      </c>
      <c r="BE3063" s="226" t="s">
        <v>2990</v>
      </c>
      <c r="BG3063" s="191" t="s">
        <v>479</v>
      </c>
      <c r="BH3063" s="226" t="s">
        <v>161</v>
      </c>
      <c r="BI3063" s="191" t="s">
        <v>176</v>
      </c>
      <c r="BJ3063" s="55" t="s">
        <v>479</v>
      </c>
      <c r="BK3063" s="55" t="s">
        <v>6333</v>
      </c>
      <c r="BM3063" s="192" t="s">
        <v>160</v>
      </c>
      <c r="CB3063" s="66">
        <v>2500</v>
      </c>
      <c r="CC3063" s="66">
        <v>4500</v>
      </c>
      <c r="CE3063" s="65">
        <v>1060</v>
      </c>
      <c r="CF3063" s="65">
        <v>1060</v>
      </c>
      <c r="GP3063" s="292" t="s">
        <v>7494</v>
      </c>
      <c r="JU3063" s="55" t="s">
        <v>2991</v>
      </c>
    </row>
    <row r="3064" spans="1:281" x14ac:dyDescent="0.25">
      <c r="A3064" s="55">
        <v>3063</v>
      </c>
      <c r="B3064" s="12" t="s">
        <v>7067</v>
      </c>
      <c r="C3064" s="155">
        <v>148</v>
      </c>
      <c r="D3064" s="55" t="s">
        <v>4316</v>
      </c>
      <c r="E3064" s="90" t="s">
        <v>2983</v>
      </c>
      <c r="G3064" s="55" t="s">
        <v>2982</v>
      </c>
      <c r="H3064" s="55">
        <v>1990</v>
      </c>
      <c r="I3064" s="55">
        <v>1986</v>
      </c>
      <c r="J3064" s="55" t="s">
        <v>2619</v>
      </c>
      <c r="K3064" s="55" t="s">
        <v>2984</v>
      </c>
      <c r="L3064" s="55" t="s">
        <v>2748</v>
      </c>
      <c r="M3064" s="90">
        <f>-14</f>
        <v>-14</v>
      </c>
      <c r="N3064" s="90">
        <f>33+49/60</f>
        <v>33.81666666666667</v>
      </c>
      <c r="O3064" s="90">
        <v>1118.5999999999999</v>
      </c>
      <c r="U3064" s="55" t="s">
        <v>1801</v>
      </c>
      <c r="V3064" s="55" t="s">
        <v>1940</v>
      </c>
      <c r="Y3064" s="55" t="s">
        <v>2985</v>
      </c>
      <c r="AN3064" s="185" t="s">
        <v>2987</v>
      </c>
      <c r="AO3064" s="185" t="s">
        <v>5150</v>
      </c>
      <c r="AQ3064" s="55" t="s">
        <v>553</v>
      </c>
      <c r="AR3064" s="55" t="s">
        <v>1607</v>
      </c>
      <c r="AS3064" s="55" t="s">
        <v>132</v>
      </c>
      <c r="AU3064" s="181" t="s">
        <v>7494</v>
      </c>
      <c r="AV3064" s="185" t="s">
        <v>176</v>
      </c>
      <c r="AX3064" s="185" t="s">
        <v>176</v>
      </c>
      <c r="BE3064" s="226" t="s">
        <v>2990</v>
      </c>
      <c r="BG3064" s="191" t="s">
        <v>479</v>
      </c>
      <c r="BH3064" s="226" t="s">
        <v>161</v>
      </c>
      <c r="BI3064" s="191" t="s">
        <v>176</v>
      </c>
      <c r="BJ3064" s="55" t="s">
        <v>479</v>
      </c>
      <c r="BK3064" s="55" t="s">
        <v>6333</v>
      </c>
      <c r="BM3064" s="192" t="s">
        <v>160</v>
      </c>
      <c r="CB3064" s="66">
        <v>2500</v>
      </c>
      <c r="CC3064" s="66">
        <v>3600</v>
      </c>
      <c r="CE3064" s="65">
        <v>1060</v>
      </c>
      <c r="CF3064" s="65">
        <v>1060</v>
      </c>
      <c r="GP3064" s="292" t="s">
        <v>7494</v>
      </c>
      <c r="JU3064" s="55" t="s">
        <v>2991</v>
      </c>
    </row>
    <row r="3065" spans="1:281" x14ac:dyDescent="0.25">
      <c r="A3065" s="55">
        <v>3064</v>
      </c>
      <c r="B3065" s="12" t="s">
        <v>7067</v>
      </c>
      <c r="C3065" s="155">
        <v>148</v>
      </c>
      <c r="D3065" s="55" t="s">
        <v>4317</v>
      </c>
      <c r="E3065" s="90" t="s">
        <v>2983</v>
      </c>
      <c r="G3065" s="55" t="s">
        <v>2982</v>
      </c>
      <c r="H3065" s="55">
        <v>1990</v>
      </c>
      <c r="I3065" s="55">
        <v>1986</v>
      </c>
      <c r="J3065" s="55" t="s">
        <v>2619</v>
      </c>
      <c r="K3065" s="55" t="s">
        <v>2984</v>
      </c>
      <c r="L3065" s="55" t="s">
        <v>2748</v>
      </c>
      <c r="M3065" s="90">
        <f>-14</f>
        <v>-14</v>
      </c>
      <c r="N3065" s="90">
        <f>33+49/60</f>
        <v>33.81666666666667</v>
      </c>
      <c r="O3065" s="90">
        <v>1118.5999999999999</v>
      </c>
      <c r="U3065" s="55" t="s">
        <v>1801</v>
      </c>
      <c r="V3065" s="55" t="s">
        <v>1940</v>
      </c>
      <c r="Y3065" s="55" t="s">
        <v>2985</v>
      </c>
      <c r="AN3065" s="185" t="s">
        <v>2988</v>
      </c>
      <c r="AO3065" s="185" t="s">
        <v>5150</v>
      </c>
      <c r="AQ3065" s="55" t="s">
        <v>1546</v>
      </c>
      <c r="AR3065" s="55" t="s">
        <v>1607</v>
      </c>
      <c r="AS3065" s="55" t="s">
        <v>132</v>
      </c>
      <c r="AU3065" s="181" t="s">
        <v>7494</v>
      </c>
      <c r="AV3065" s="185" t="s">
        <v>176</v>
      </c>
      <c r="AX3065" s="185" t="s">
        <v>176</v>
      </c>
      <c r="BE3065" s="226" t="s">
        <v>2990</v>
      </c>
      <c r="BG3065" s="191" t="s">
        <v>479</v>
      </c>
      <c r="BH3065" s="226" t="s">
        <v>161</v>
      </c>
      <c r="BI3065" s="191" t="s">
        <v>176</v>
      </c>
      <c r="BJ3065" s="55" t="s">
        <v>479</v>
      </c>
      <c r="BK3065" s="55" t="s">
        <v>6333</v>
      </c>
      <c r="BM3065" s="192" t="s">
        <v>160</v>
      </c>
      <c r="CB3065" s="66">
        <v>2500</v>
      </c>
      <c r="CC3065" s="66">
        <v>3900</v>
      </c>
      <c r="CE3065" s="65">
        <v>1060</v>
      </c>
      <c r="CF3065" s="65">
        <v>1060</v>
      </c>
      <c r="GP3065" s="292" t="s">
        <v>7494</v>
      </c>
      <c r="JU3065" s="55" t="s">
        <v>2991</v>
      </c>
    </row>
    <row r="3066" spans="1:281" x14ac:dyDescent="0.25">
      <c r="A3066" s="55">
        <v>3065</v>
      </c>
      <c r="B3066" s="12" t="s">
        <v>7067</v>
      </c>
      <c r="C3066" s="155">
        <v>148</v>
      </c>
      <c r="D3066" s="55" t="s">
        <v>4317</v>
      </c>
      <c r="E3066" s="90" t="s">
        <v>2983</v>
      </c>
      <c r="G3066" s="55" t="s">
        <v>2982</v>
      </c>
      <c r="H3066" s="55">
        <v>1990</v>
      </c>
      <c r="I3066" s="55">
        <v>1986</v>
      </c>
      <c r="J3066" s="55" t="s">
        <v>2619</v>
      </c>
      <c r="K3066" s="55" t="s">
        <v>2984</v>
      </c>
      <c r="L3066" s="55" t="s">
        <v>2748</v>
      </c>
      <c r="M3066" s="90">
        <f>-14</f>
        <v>-14</v>
      </c>
      <c r="N3066" s="90">
        <f>33+49/60</f>
        <v>33.81666666666667</v>
      </c>
      <c r="O3066" s="90">
        <v>1118.5999999999999</v>
      </c>
      <c r="U3066" s="55" t="s">
        <v>1801</v>
      </c>
      <c r="V3066" s="55" t="s">
        <v>1940</v>
      </c>
      <c r="Y3066" s="55" t="s">
        <v>2985</v>
      </c>
      <c r="AN3066" s="185" t="s">
        <v>2989</v>
      </c>
      <c r="AO3066" s="185" t="s">
        <v>5150</v>
      </c>
      <c r="AQ3066" s="55" t="s">
        <v>1546</v>
      </c>
      <c r="AR3066" s="55" t="s">
        <v>1607</v>
      </c>
      <c r="AS3066" s="55" t="s">
        <v>132</v>
      </c>
      <c r="AU3066" s="181" t="s">
        <v>7494</v>
      </c>
      <c r="AV3066" s="185" t="s">
        <v>176</v>
      </c>
      <c r="AX3066" s="185" t="s">
        <v>176</v>
      </c>
      <c r="BE3066" s="226" t="s">
        <v>2990</v>
      </c>
      <c r="BG3066" s="191" t="s">
        <v>479</v>
      </c>
      <c r="BH3066" s="226" t="s">
        <v>161</v>
      </c>
      <c r="BI3066" s="191" t="s">
        <v>176</v>
      </c>
      <c r="BJ3066" s="55" t="s">
        <v>479</v>
      </c>
      <c r="BK3066" s="55" t="s">
        <v>6333</v>
      </c>
      <c r="BM3066" s="192" t="s">
        <v>160</v>
      </c>
      <c r="CB3066" s="66">
        <v>2500</v>
      </c>
      <c r="CC3066" s="66">
        <v>3200</v>
      </c>
      <c r="CE3066" s="65">
        <v>1060</v>
      </c>
      <c r="CF3066" s="65">
        <v>1060</v>
      </c>
      <c r="GP3066" s="292" t="s">
        <v>7494</v>
      </c>
      <c r="JU3066" s="55" t="s">
        <v>2991</v>
      </c>
    </row>
    <row r="3067" spans="1:281" x14ac:dyDescent="0.25">
      <c r="A3067" s="55">
        <v>3066</v>
      </c>
      <c r="B3067" s="12" t="s">
        <v>7067</v>
      </c>
      <c r="C3067" s="155">
        <v>148</v>
      </c>
      <c r="D3067" s="55" t="s">
        <v>4316</v>
      </c>
      <c r="E3067" s="90" t="s">
        <v>2983</v>
      </c>
      <c r="G3067" s="55" t="s">
        <v>2982</v>
      </c>
      <c r="H3067" s="55">
        <v>1990</v>
      </c>
      <c r="I3067" s="55">
        <v>1987</v>
      </c>
      <c r="J3067" s="55" t="s">
        <v>2619</v>
      </c>
      <c r="K3067" s="55" t="s">
        <v>2984</v>
      </c>
      <c r="L3067" s="55" t="s">
        <v>2748</v>
      </c>
      <c r="M3067" s="90">
        <f>-14</f>
        <v>-14</v>
      </c>
      <c r="N3067" s="90">
        <f>33+49/60</f>
        <v>33.81666666666667</v>
      </c>
      <c r="O3067" s="90">
        <v>1118.5999999999999</v>
      </c>
      <c r="U3067" s="55" t="s">
        <v>1694</v>
      </c>
      <c r="V3067" s="55" t="s">
        <v>1940</v>
      </c>
      <c r="Y3067" s="55" t="s">
        <v>2985</v>
      </c>
      <c r="AN3067" s="185" t="s">
        <v>2986</v>
      </c>
      <c r="AO3067" s="185" t="s">
        <v>5150</v>
      </c>
      <c r="AQ3067" s="55" t="s">
        <v>553</v>
      </c>
      <c r="AR3067" s="55" t="s">
        <v>1607</v>
      </c>
      <c r="AS3067" s="55" t="s">
        <v>132</v>
      </c>
      <c r="AU3067" s="181" t="s">
        <v>7494</v>
      </c>
      <c r="AV3067" s="185" t="s">
        <v>176</v>
      </c>
      <c r="AX3067" s="185" t="s">
        <v>176</v>
      </c>
      <c r="BE3067" s="226" t="s">
        <v>2990</v>
      </c>
      <c r="BG3067" s="191" t="s">
        <v>479</v>
      </c>
      <c r="BH3067" s="226" t="s">
        <v>161</v>
      </c>
      <c r="BI3067" s="191" t="s">
        <v>176</v>
      </c>
      <c r="BJ3067" s="55" t="s">
        <v>479</v>
      </c>
      <c r="BK3067" s="55" t="s">
        <v>6333</v>
      </c>
      <c r="BM3067" s="192" t="s">
        <v>160</v>
      </c>
      <c r="CB3067" s="66">
        <v>3600</v>
      </c>
      <c r="CC3067" s="66">
        <v>6100</v>
      </c>
      <c r="CE3067" s="65">
        <v>1340</v>
      </c>
      <c r="CF3067" s="65">
        <v>1340</v>
      </c>
      <c r="GP3067" s="292" t="s">
        <v>7494</v>
      </c>
      <c r="JU3067" s="55" t="s">
        <v>2991</v>
      </c>
    </row>
    <row r="3068" spans="1:281" x14ac:dyDescent="0.25">
      <c r="A3068" s="55">
        <v>3067</v>
      </c>
      <c r="B3068" s="12" t="s">
        <v>7067</v>
      </c>
      <c r="C3068" s="155">
        <v>148</v>
      </c>
      <c r="D3068" s="55" t="s">
        <v>4316</v>
      </c>
      <c r="E3068" s="90" t="s">
        <v>2983</v>
      </c>
      <c r="G3068" s="55" t="s">
        <v>2982</v>
      </c>
      <c r="H3068" s="55">
        <v>1990</v>
      </c>
      <c r="I3068" s="55">
        <v>1987</v>
      </c>
      <c r="J3068" s="55" t="s">
        <v>2619</v>
      </c>
      <c r="K3068" s="55" t="s">
        <v>2984</v>
      </c>
      <c r="L3068" s="55" t="s">
        <v>2748</v>
      </c>
      <c r="M3068" s="90">
        <f>-14</f>
        <v>-14</v>
      </c>
      <c r="N3068" s="90">
        <f>33+49/60</f>
        <v>33.81666666666667</v>
      </c>
      <c r="O3068" s="90">
        <v>1118.5999999999999</v>
      </c>
      <c r="U3068" s="55" t="s">
        <v>1694</v>
      </c>
      <c r="V3068" s="55" t="s">
        <v>1940</v>
      </c>
      <c r="Y3068" s="55" t="s">
        <v>2985</v>
      </c>
      <c r="AN3068" s="185" t="s">
        <v>2987</v>
      </c>
      <c r="AO3068" s="185" t="s">
        <v>5150</v>
      </c>
      <c r="AQ3068" s="55" t="s">
        <v>553</v>
      </c>
      <c r="AR3068" s="55" t="s">
        <v>1607</v>
      </c>
      <c r="AS3068" s="55" t="s">
        <v>132</v>
      </c>
      <c r="AU3068" s="181" t="s">
        <v>7494</v>
      </c>
      <c r="AV3068" s="185" t="s">
        <v>176</v>
      </c>
      <c r="AX3068" s="185" t="s">
        <v>176</v>
      </c>
      <c r="BE3068" s="226" t="s">
        <v>2990</v>
      </c>
      <c r="BG3068" s="191" t="s">
        <v>479</v>
      </c>
      <c r="BH3068" s="226" t="s">
        <v>161</v>
      </c>
      <c r="BI3068" s="191" t="s">
        <v>176</v>
      </c>
      <c r="BJ3068" s="55" t="s">
        <v>479</v>
      </c>
      <c r="BK3068" s="55" t="s">
        <v>6333</v>
      </c>
      <c r="BM3068" s="192" t="s">
        <v>160</v>
      </c>
      <c r="CB3068" s="66">
        <v>3600</v>
      </c>
      <c r="CC3068" s="66">
        <v>5500</v>
      </c>
      <c r="CE3068" s="65">
        <v>1340</v>
      </c>
      <c r="CF3068" s="65">
        <v>1340</v>
      </c>
      <c r="GP3068" s="292" t="s">
        <v>7494</v>
      </c>
      <c r="JU3068" s="55" t="s">
        <v>2991</v>
      </c>
    </row>
    <row r="3069" spans="1:281" x14ac:dyDescent="0.25">
      <c r="A3069" s="55">
        <v>3068</v>
      </c>
      <c r="B3069" s="12" t="s">
        <v>7067</v>
      </c>
      <c r="C3069" s="155">
        <v>148</v>
      </c>
      <c r="D3069" s="55" t="s">
        <v>4317</v>
      </c>
      <c r="E3069" s="90" t="s">
        <v>2983</v>
      </c>
      <c r="G3069" s="55" t="s">
        <v>2982</v>
      </c>
      <c r="H3069" s="55">
        <v>1990</v>
      </c>
      <c r="I3069" s="55">
        <v>1987</v>
      </c>
      <c r="J3069" s="55" t="s">
        <v>2619</v>
      </c>
      <c r="K3069" s="55" t="s">
        <v>2984</v>
      </c>
      <c r="L3069" s="55" t="s">
        <v>2748</v>
      </c>
      <c r="M3069" s="90">
        <f>-14</f>
        <v>-14</v>
      </c>
      <c r="N3069" s="90">
        <f>33+49/60</f>
        <v>33.81666666666667</v>
      </c>
      <c r="O3069" s="90">
        <v>1118.5999999999999</v>
      </c>
      <c r="U3069" s="55" t="s">
        <v>1694</v>
      </c>
      <c r="V3069" s="55" t="s">
        <v>1940</v>
      </c>
      <c r="Y3069" s="55" t="s">
        <v>2985</v>
      </c>
      <c r="AN3069" s="185" t="s">
        <v>2988</v>
      </c>
      <c r="AO3069" s="185" t="s">
        <v>5150</v>
      </c>
      <c r="AQ3069" s="55" t="s">
        <v>1546</v>
      </c>
      <c r="AR3069" s="55" t="s">
        <v>1607</v>
      </c>
      <c r="AS3069" s="55" t="s">
        <v>132</v>
      </c>
      <c r="AU3069" s="181" t="s">
        <v>7494</v>
      </c>
      <c r="AV3069" s="185" t="s">
        <v>176</v>
      </c>
      <c r="AX3069" s="185" t="s">
        <v>176</v>
      </c>
      <c r="BE3069" s="226" t="s">
        <v>2990</v>
      </c>
      <c r="BG3069" s="191" t="s">
        <v>479</v>
      </c>
      <c r="BH3069" s="226" t="s">
        <v>161</v>
      </c>
      <c r="BI3069" s="191" t="s">
        <v>176</v>
      </c>
      <c r="BJ3069" s="55" t="s">
        <v>479</v>
      </c>
      <c r="BK3069" s="55" t="s">
        <v>6333</v>
      </c>
      <c r="BM3069" s="192" t="s">
        <v>160</v>
      </c>
      <c r="CB3069" s="66">
        <v>3600</v>
      </c>
      <c r="CC3069" s="66">
        <v>5200</v>
      </c>
      <c r="CE3069" s="65">
        <v>1340</v>
      </c>
      <c r="CF3069" s="65">
        <v>1340</v>
      </c>
      <c r="GP3069" s="292" t="s">
        <v>7494</v>
      </c>
      <c r="JU3069" s="55" t="s">
        <v>2991</v>
      </c>
    </row>
    <row r="3070" spans="1:281" x14ac:dyDescent="0.25">
      <c r="A3070" s="55">
        <v>3069</v>
      </c>
      <c r="B3070" s="12" t="s">
        <v>7067</v>
      </c>
      <c r="C3070" s="155">
        <v>148</v>
      </c>
      <c r="D3070" s="55" t="s">
        <v>4317</v>
      </c>
      <c r="E3070" s="90" t="s">
        <v>2983</v>
      </c>
      <c r="G3070" s="55" t="s">
        <v>2982</v>
      </c>
      <c r="H3070" s="55">
        <v>1990</v>
      </c>
      <c r="I3070" s="55">
        <v>1987</v>
      </c>
      <c r="J3070" s="55" t="s">
        <v>2619</v>
      </c>
      <c r="K3070" s="55" t="s">
        <v>2984</v>
      </c>
      <c r="L3070" s="55" t="s">
        <v>2748</v>
      </c>
      <c r="M3070" s="90">
        <f>-14</f>
        <v>-14</v>
      </c>
      <c r="N3070" s="90">
        <f>33+49/60</f>
        <v>33.81666666666667</v>
      </c>
      <c r="O3070" s="90">
        <v>1118.5999999999999</v>
      </c>
      <c r="U3070" s="55" t="s">
        <v>1694</v>
      </c>
      <c r="V3070" s="55" t="s">
        <v>1940</v>
      </c>
      <c r="Y3070" s="55" t="s">
        <v>2985</v>
      </c>
      <c r="AN3070" s="185" t="s">
        <v>2989</v>
      </c>
      <c r="AO3070" s="185" t="s">
        <v>5150</v>
      </c>
      <c r="AQ3070" s="55" t="s">
        <v>1546</v>
      </c>
      <c r="AR3070" s="55" t="s">
        <v>1607</v>
      </c>
      <c r="AS3070" s="55" t="s">
        <v>132</v>
      </c>
      <c r="AU3070" s="181" t="s">
        <v>7494</v>
      </c>
      <c r="AV3070" s="185" t="s">
        <v>176</v>
      </c>
      <c r="AX3070" s="185" t="s">
        <v>176</v>
      </c>
      <c r="BE3070" s="226" t="s">
        <v>2990</v>
      </c>
      <c r="BG3070" s="191" t="s">
        <v>479</v>
      </c>
      <c r="BH3070" s="226" t="s">
        <v>161</v>
      </c>
      <c r="BI3070" s="191" t="s">
        <v>176</v>
      </c>
      <c r="BJ3070" s="55" t="s">
        <v>479</v>
      </c>
      <c r="BK3070" s="55" t="s">
        <v>6333</v>
      </c>
      <c r="BM3070" s="192" t="s">
        <v>160</v>
      </c>
      <c r="CB3070" s="66">
        <v>3600</v>
      </c>
      <c r="CC3070" s="66">
        <v>4600</v>
      </c>
      <c r="CE3070" s="65">
        <v>1340</v>
      </c>
      <c r="CF3070" s="65">
        <v>1340</v>
      </c>
      <c r="GP3070" s="292" t="s">
        <v>7494</v>
      </c>
      <c r="JU3070" s="55" t="s">
        <v>2991</v>
      </c>
    </row>
    <row r="3071" spans="1:281" x14ac:dyDescent="0.25">
      <c r="A3071" s="55">
        <v>3070</v>
      </c>
      <c r="B3071" s="12" t="s">
        <v>7067</v>
      </c>
      <c r="C3071" s="155">
        <v>148</v>
      </c>
      <c r="D3071" s="55" t="s">
        <v>4316</v>
      </c>
      <c r="E3071" s="90" t="s">
        <v>2983</v>
      </c>
      <c r="G3071" s="55" t="s">
        <v>2982</v>
      </c>
      <c r="H3071" s="55">
        <v>1990</v>
      </c>
      <c r="I3071" s="55">
        <v>1984</v>
      </c>
      <c r="J3071" s="55" t="s">
        <v>2619</v>
      </c>
      <c r="K3071" s="55" t="s">
        <v>2984</v>
      </c>
      <c r="L3071" s="55" t="s">
        <v>2748</v>
      </c>
      <c r="M3071" s="90">
        <f>-14</f>
        <v>-14</v>
      </c>
      <c r="N3071" s="90">
        <f>33+49/60</f>
        <v>33.81666666666667</v>
      </c>
      <c r="O3071" s="90">
        <v>1118.5999999999999</v>
      </c>
      <c r="U3071" s="55" t="s">
        <v>1816</v>
      </c>
      <c r="V3071" s="55" t="s">
        <v>1940</v>
      </c>
      <c r="Y3071" s="55" t="s">
        <v>2985</v>
      </c>
      <c r="AN3071" s="185" t="s">
        <v>2986</v>
      </c>
      <c r="AO3071" s="185" t="s">
        <v>5150</v>
      </c>
      <c r="AQ3071" s="55" t="s">
        <v>553</v>
      </c>
      <c r="AR3071" s="55" t="s">
        <v>1607</v>
      </c>
      <c r="AS3071" s="55" t="s">
        <v>132</v>
      </c>
      <c r="AU3071" s="181" t="s">
        <v>7494</v>
      </c>
      <c r="AV3071" s="185" t="s">
        <v>176</v>
      </c>
      <c r="AX3071" s="185" t="s">
        <v>176</v>
      </c>
      <c r="BE3071" s="226" t="s">
        <v>2990</v>
      </c>
      <c r="BF3071" s="191" t="s">
        <v>479</v>
      </c>
      <c r="BG3071" s="191" t="s">
        <v>479</v>
      </c>
      <c r="BH3071" s="226" t="s">
        <v>2990</v>
      </c>
      <c r="BI3071" s="191" t="s">
        <v>479</v>
      </c>
      <c r="BJ3071" s="55" t="s">
        <v>176</v>
      </c>
      <c r="BK3071" s="55" t="s">
        <v>6333</v>
      </c>
      <c r="BM3071" s="192" t="s">
        <v>160</v>
      </c>
      <c r="CB3071" s="66">
        <v>5600</v>
      </c>
      <c r="CC3071" s="66">
        <v>4300</v>
      </c>
      <c r="CE3071" s="65">
        <v>1130</v>
      </c>
      <c r="CF3071" s="65">
        <v>1130</v>
      </c>
      <c r="GP3071" s="292" t="s">
        <v>7494</v>
      </c>
      <c r="JU3071" s="55" t="s">
        <v>2991</v>
      </c>
    </row>
    <row r="3072" spans="1:281" x14ac:dyDescent="0.25">
      <c r="A3072" s="55">
        <v>3071</v>
      </c>
      <c r="B3072" s="12" t="s">
        <v>7067</v>
      </c>
      <c r="C3072" s="155">
        <v>148</v>
      </c>
      <c r="D3072" s="55" t="s">
        <v>4316</v>
      </c>
      <c r="E3072" s="90" t="s">
        <v>2983</v>
      </c>
      <c r="G3072" s="55" t="s">
        <v>2982</v>
      </c>
      <c r="H3072" s="55">
        <v>1990</v>
      </c>
      <c r="I3072" s="55">
        <v>1984</v>
      </c>
      <c r="J3072" s="55" t="s">
        <v>2619</v>
      </c>
      <c r="K3072" s="55" t="s">
        <v>2984</v>
      </c>
      <c r="L3072" s="55" t="s">
        <v>2748</v>
      </c>
      <c r="M3072" s="90">
        <f>-14</f>
        <v>-14</v>
      </c>
      <c r="N3072" s="90">
        <f>33+49/60</f>
        <v>33.81666666666667</v>
      </c>
      <c r="O3072" s="90">
        <v>1118.5999999999999</v>
      </c>
      <c r="U3072" s="55" t="s">
        <v>1816</v>
      </c>
      <c r="V3072" s="55" t="s">
        <v>1940</v>
      </c>
      <c r="Y3072" s="55" t="s">
        <v>2985</v>
      </c>
      <c r="AN3072" s="185" t="s">
        <v>2987</v>
      </c>
      <c r="AO3072" s="185" t="s">
        <v>5150</v>
      </c>
      <c r="AQ3072" s="55" t="s">
        <v>553</v>
      </c>
      <c r="AR3072" s="55" t="s">
        <v>1607</v>
      </c>
      <c r="AS3072" s="55" t="s">
        <v>132</v>
      </c>
      <c r="AU3072" s="181" t="s">
        <v>7494</v>
      </c>
      <c r="AV3072" s="185" t="s">
        <v>176</v>
      </c>
      <c r="AX3072" s="185" t="s">
        <v>176</v>
      </c>
      <c r="BE3072" s="226" t="s">
        <v>2990</v>
      </c>
      <c r="BF3072" s="191" t="s">
        <v>479</v>
      </c>
      <c r="BG3072" s="191" t="s">
        <v>479</v>
      </c>
      <c r="BH3072" s="226" t="s">
        <v>2990</v>
      </c>
      <c r="BI3072" s="191" t="s">
        <v>479</v>
      </c>
      <c r="BJ3072" s="55" t="s">
        <v>176</v>
      </c>
      <c r="BK3072" s="55" t="s">
        <v>6333</v>
      </c>
      <c r="BM3072" s="192" t="s">
        <v>160</v>
      </c>
      <c r="CB3072" s="66">
        <v>5600</v>
      </c>
      <c r="CC3072" s="66">
        <v>4900</v>
      </c>
      <c r="CE3072" s="65">
        <v>1130</v>
      </c>
      <c r="CF3072" s="65">
        <v>1130</v>
      </c>
      <c r="GP3072" s="292" t="s">
        <v>7494</v>
      </c>
      <c r="JU3072" s="55" t="s">
        <v>2991</v>
      </c>
    </row>
    <row r="3073" spans="1:281" x14ac:dyDescent="0.25">
      <c r="A3073" s="55">
        <v>3072</v>
      </c>
      <c r="B3073" s="12" t="s">
        <v>7067</v>
      </c>
      <c r="C3073" s="155">
        <v>148</v>
      </c>
      <c r="D3073" s="55" t="s">
        <v>4317</v>
      </c>
      <c r="E3073" s="90" t="s">
        <v>2983</v>
      </c>
      <c r="G3073" s="55" t="s">
        <v>2982</v>
      </c>
      <c r="H3073" s="55">
        <v>1990</v>
      </c>
      <c r="I3073" s="55">
        <v>1984</v>
      </c>
      <c r="J3073" s="55" t="s">
        <v>2619</v>
      </c>
      <c r="K3073" s="55" t="s">
        <v>2984</v>
      </c>
      <c r="L3073" s="55" t="s">
        <v>2748</v>
      </c>
      <c r="M3073" s="90">
        <f>-14</f>
        <v>-14</v>
      </c>
      <c r="N3073" s="90">
        <f>33+49/60</f>
        <v>33.81666666666667</v>
      </c>
      <c r="O3073" s="90">
        <v>1118.5999999999999</v>
      </c>
      <c r="U3073" s="55" t="s">
        <v>1816</v>
      </c>
      <c r="V3073" s="55" t="s">
        <v>1940</v>
      </c>
      <c r="Y3073" s="55" t="s">
        <v>2985</v>
      </c>
      <c r="AN3073" s="185" t="s">
        <v>2988</v>
      </c>
      <c r="AO3073" s="185" t="s">
        <v>5150</v>
      </c>
      <c r="AQ3073" s="55" t="s">
        <v>1546</v>
      </c>
      <c r="AR3073" s="55" t="s">
        <v>1607</v>
      </c>
      <c r="AS3073" s="55" t="s">
        <v>132</v>
      </c>
      <c r="AU3073" s="181" t="s">
        <v>7494</v>
      </c>
      <c r="AV3073" s="185" t="s">
        <v>176</v>
      </c>
      <c r="AX3073" s="185" t="s">
        <v>176</v>
      </c>
      <c r="BE3073" s="226" t="s">
        <v>2990</v>
      </c>
      <c r="BF3073" s="191" t="s">
        <v>479</v>
      </c>
      <c r="BG3073" s="191" t="s">
        <v>479</v>
      </c>
      <c r="BH3073" s="226" t="s">
        <v>2990</v>
      </c>
      <c r="BI3073" s="191" t="s">
        <v>479</v>
      </c>
      <c r="BJ3073" s="55" t="s">
        <v>176</v>
      </c>
      <c r="BK3073" s="55" t="s">
        <v>6333</v>
      </c>
      <c r="BM3073" s="192" t="s">
        <v>160</v>
      </c>
      <c r="CB3073" s="66">
        <v>5600</v>
      </c>
      <c r="CC3073" s="66">
        <v>3100</v>
      </c>
      <c r="CE3073" s="65">
        <v>1130</v>
      </c>
      <c r="CF3073" s="65">
        <v>1130</v>
      </c>
      <c r="GP3073" s="292" t="s">
        <v>7494</v>
      </c>
      <c r="JU3073" s="55" t="s">
        <v>2991</v>
      </c>
    </row>
    <row r="3074" spans="1:281" x14ac:dyDescent="0.25">
      <c r="A3074" s="55">
        <v>3073</v>
      </c>
      <c r="B3074" s="12" t="s">
        <v>7067</v>
      </c>
      <c r="C3074" s="155">
        <v>148</v>
      </c>
      <c r="D3074" s="55" t="s">
        <v>4317</v>
      </c>
      <c r="E3074" s="90" t="s">
        <v>2983</v>
      </c>
      <c r="G3074" s="55" t="s">
        <v>2982</v>
      </c>
      <c r="H3074" s="55">
        <v>1990</v>
      </c>
      <c r="I3074" s="55">
        <v>1984</v>
      </c>
      <c r="J3074" s="55" t="s">
        <v>2619</v>
      </c>
      <c r="K3074" s="55" t="s">
        <v>2984</v>
      </c>
      <c r="L3074" s="55" t="s">
        <v>2748</v>
      </c>
      <c r="M3074" s="90">
        <f>-14</f>
        <v>-14</v>
      </c>
      <c r="N3074" s="90">
        <f>33+49/60</f>
        <v>33.81666666666667</v>
      </c>
      <c r="O3074" s="90">
        <v>1118.5999999999999</v>
      </c>
      <c r="U3074" s="55" t="s">
        <v>1816</v>
      </c>
      <c r="V3074" s="55" t="s">
        <v>1940</v>
      </c>
      <c r="Y3074" s="55" t="s">
        <v>2985</v>
      </c>
      <c r="AN3074" s="185" t="s">
        <v>2989</v>
      </c>
      <c r="AO3074" s="185" t="s">
        <v>5150</v>
      </c>
      <c r="AQ3074" s="55" t="s">
        <v>1546</v>
      </c>
      <c r="AR3074" s="55" t="s">
        <v>1607</v>
      </c>
      <c r="AS3074" s="55" t="s">
        <v>132</v>
      </c>
      <c r="AU3074" s="181" t="s">
        <v>7494</v>
      </c>
      <c r="AV3074" s="185" t="s">
        <v>176</v>
      </c>
      <c r="AX3074" s="185" t="s">
        <v>176</v>
      </c>
      <c r="BE3074" s="226" t="s">
        <v>2990</v>
      </c>
      <c r="BF3074" s="191" t="s">
        <v>479</v>
      </c>
      <c r="BG3074" s="191" t="s">
        <v>479</v>
      </c>
      <c r="BH3074" s="226" t="s">
        <v>2990</v>
      </c>
      <c r="BI3074" s="191" t="s">
        <v>479</v>
      </c>
      <c r="BJ3074" s="55" t="s">
        <v>176</v>
      </c>
      <c r="BK3074" s="55" t="s">
        <v>6333</v>
      </c>
      <c r="BM3074" s="192" t="s">
        <v>160</v>
      </c>
      <c r="CB3074" s="66">
        <v>5600</v>
      </c>
      <c r="CC3074" s="66">
        <v>4200</v>
      </c>
      <c r="CE3074" s="65">
        <v>1130</v>
      </c>
      <c r="CF3074" s="65">
        <v>1130</v>
      </c>
      <c r="GP3074" s="292" t="s">
        <v>7494</v>
      </c>
      <c r="JU3074" s="55" t="s">
        <v>2991</v>
      </c>
    </row>
    <row r="3075" spans="1:281" x14ac:dyDescent="0.25">
      <c r="A3075" s="55">
        <v>3074</v>
      </c>
      <c r="B3075" s="12" t="s">
        <v>7067</v>
      </c>
      <c r="C3075" s="155">
        <v>148</v>
      </c>
      <c r="D3075" s="55" t="s">
        <v>4316</v>
      </c>
      <c r="E3075" s="90" t="s">
        <v>2983</v>
      </c>
      <c r="G3075" s="55" t="s">
        <v>2982</v>
      </c>
      <c r="H3075" s="55">
        <v>1990</v>
      </c>
      <c r="I3075" s="55">
        <v>1985</v>
      </c>
      <c r="J3075" s="55" t="s">
        <v>2619</v>
      </c>
      <c r="K3075" s="55" t="s">
        <v>2984</v>
      </c>
      <c r="L3075" s="55" t="s">
        <v>2748</v>
      </c>
      <c r="M3075" s="90">
        <f>-14</f>
        <v>-14</v>
      </c>
      <c r="N3075" s="90">
        <f>33+49/60</f>
        <v>33.81666666666667</v>
      </c>
      <c r="O3075" s="90">
        <v>1118.5999999999999</v>
      </c>
      <c r="U3075" s="55" t="s">
        <v>1682</v>
      </c>
      <c r="V3075" s="55" t="s">
        <v>1940</v>
      </c>
      <c r="Y3075" s="55" t="s">
        <v>2985</v>
      </c>
      <c r="AN3075" s="185" t="s">
        <v>2986</v>
      </c>
      <c r="AO3075" s="185" t="s">
        <v>5150</v>
      </c>
      <c r="AQ3075" s="55" t="s">
        <v>553</v>
      </c>
      <c r="AR3075" s="55" t="s">
        <v>1607</v>
      </c>
      <c r="AS3075" s="55" t="s">
        <v>132</v>
      </c>
      <c r="AU3075" s="181" t="s">
        <v>7494</v>
      </c>
      <c r="AV3075" s="185" t="s">
        <v>176</v>
      </c>
      <c r="AX3075" s="185" t="s">
        <v>176</v>
      </c>
      <c r="BE3075" s="226" t="s">
        <v>2990</v>
      </c>
      <c r="BF3075" s="191" t="s">
        <v>479</v>
      </c>
      <c r="BG3075" s="191" t="s">
        <v>479</v>
      </c>
      <c r="BH3075" s="226" t="s">
        <v>2990</v>
      </c>
      <c r="BI3075" s="191" t="s">
        <v>479</v>
      </c>
      <c r="BJ3075" s="55" t="s">
        <v>176</v>
      </c>
      <c r="BK3075" s="55" t="s">
        <v>6333</v>
      </c>
      <c r="BM3075" s="192" t="s">
        <v>160</v>
      </c>
      <c r="CB3075" s="66">
        <v>4500</v>
      </c>
      <c r="CC3075" s="66">
        <v>5000</v>
      </c>
      <c r="GP3075" s="292" t="s">
        <v>7494</v>
      </c>
      <c r="JU3075" s="55" t="s">
        <v>2991</v>
      </c>
    </row>
    <row r="3076" spans="1:281" x14ac:dyDescent="0.25">
      <c r="A3076" s="55">
        <v>3075</v>
      </c>
      <c r="B3076" s="12" t="s">
        <v>7067</v>
      </c>
      <c r="C3076" s="155">
        <v>148</v>
      </c>
      <c r="D3076" s="55" t="s">
        <v>4316</v>
      </c>
      <c r="E3076" s="90" t="s">
        <v>2983</v>
      </c>
      <c r="G3076" s="55" t="s">
        <v>2982</v>
      </c>
      <c r="H3076" s="55">
        <v>1990</v>
      </c>
      <c r="I3076" s="55">
        <v>1985</v>
      </c>
      <c r="J3076" s="55" t="s">
        <v>2619</v>
      </c>
      <c r="K3076" s="55" t="s">
        <v>2984</v>
      </c>
      <c r="L3076" s="55" t="s">
        <v>2748</v>
      </c>
      <c r="M3076" s="90">
        <f>-14</f>
        <v>-14</v>
      </c>
      <c r="N3076" s="90">
        <f>33+49/60</f>
        <v>33.81666666666667</v>
      </c>
      <c r="O3076" s="90">
        <v>1118.5999999999999</v>
      </c>
      <c r="U3076" s="55" t="s">
        <v>1682</v>
      </c>
      <c r="V3076" s="55" t="s">
        <v>1940</v>
      </c>
      <c r="Y3076" s="55" t="s">
        <v>2985</v>
      </c>
      <c r="AN3076" s="185" t="s">
        <v>2987</v>
      </c>
      <c r="AO3076" s="185" t="s">
        <v>5150</v>
      </c>
      <c r="AQ3076" s="55" t="s">
        <v>553</v>
      </c>
      <c r="AR3076" s="55" t="s">
        <v>1607</v>
      </c>
      <c r="AS3076" s="55" t="s">
        <v>132</v>
      </c>
      <c r="AU3076" s="181" t="s">
        <v>7494</v>
      </c>
      <c r="AV3076" s="185" t="s">
        <v>176</v>
      </c>
      <c r="AX3076" s="185" t="s">
        <v>176</v>
      </c>
      <c r="BE3076" s="226" t="s">
        <v>2990</v>
      </c>
      <c r="BF3076" s="191" t="s">
        <v>479</v>
      </c>
      <c r="BG3076" s="191" t="s">
        <v>479</v>
      </c>
      <c r="BH3076" s="226" t="s">
        <v>2990</v>
      </c>
      <c r="BI3076" s="191" t="s">
        <v>479</v>
      </c>
      <c r="BJ3076" s="55" t="s">
        <v>176</v>
      </c>
      <c r="BK3076" s="55" t="s">
        <v>6333</v>
      </c>
      <c r="BM3076" s="192" t="s">
        <v>160</v>
      </c>
      <c r="CB3076" s="66">
        <v>4500</v>
      </c>
      <c r="CC3076" s="66">
        <v>5200</v>
      </c>
      <c r="GP3076" s="292" t="s">
        <v>7494</v>
      </c>
      <c r="JU3076" s="55" t="s">
        <v>2991</v>
      </c>
    </row>
    <row r="3077" spans="1:281" x14ac:dyDescent="0.25">
      <c r="A3077" s="55">
        <v>3076</v>
      </c>
      <c r="B3077" s="12" t="s">
        <v>7067</v>
      </c>
      <c r="C3077" s="155">
        <v>148</v>
      </c>
      <c r="D3077" s="55" t="s">
        <v>4317</v>
      </c>
      <c r="E3077" s="90" t="s">
        <v>2983</v>
      </c>
      <c r="G3077" s="55" t="s">
        <v>2982</v>
      </c>
      <c r="H3077" s="55">
        <v>1990</v>
      </c>
      <c r="I3077" s="55">
        <v>1985</v>
      </c>
      <c r="J3077" s="55" t="s">
        <v>2619</v>
      </c>
      <c r="K3077" s="55" t="s">
        <v>2984</v>
      </c>
      <c r="L3077" s="55" t="s">
        <v>2748</v>
      </c>
      <c r="M3077" s="90">
        <f>-14</f>
        <v>-14</v>
      </c>
      <c r="N3077" s="90">
        <f>33+49/60</f>
        <v>33.81666666666667</v>
      </c>
      <c r="O3077" s="90">
        <v>1118.5999999999999</v>
      </c>
      <c r="U3077" s="55" t="s">
        <v>1682</v>
      </c>
      <c r="V3077" s="55" t="s">
        <v>1940</v>
      </c>
      <c r="Y3077" s="55" t="s">
        <v>2985</v>
      </c>
      <c r="AN3077" s="185" t="s">
        <v>2988</v>
      </c>
      <c r="AO3077" s="185" t="s">
        <v>5150</v>
      </c>
      <c r="AQ3077" s="55" t="s">
        <v>1546</v>
      </c>
      <c r="AR3077" s="55" t="s">
        <v>1607</v>
      </c>
      <c r="AS3077" s="55" t="s">
        <v>132</v>
      </c>
      <c r="AU3077" s="181" t="s">
        <v>7494</v>
      </c>
      <c r="AV3077" s="185" t="s">
        <v>176</v>
      </c>
      <c r="AX3077" s="185" t="s">
        <v>176</v>
      </c>
      <c r="BE3077" s="226" t="s">
        <v>2990</v>
      </c>
      <c r="BF3077" s="191" t="s">
        <v>479</v>
      </c>
      <c r="BG3077" s="191" t="s">
        <v>479</v>
      </c>
      <c r="BH3077" s="226" t="s">
        <v>2990</v>
      </c>
      <c r="BI3077" s="191" t="s">
        <v>479</v>
      </c>
      <c r="BJ3077" s="55" t="s">
        <v>176</v>
      </c>
      <c r="BK3077" s="55" t="s">
        <v>6333</v>
      </c>
      <c r="BM3077" s="192" t="s">
        <v>160</v>
      </c>
      <c r="CB3077" s="66">
        <v>4500</v>
      </c>
      <c r="CC3077" s="66">
        <v>5100</v>
      </c>
      <c r="GP3077" s="292" t="s">
        <v>7494</v>
      </c>
      <c r="JU3077" s="55" t="s">
        <v>2991</v>
      </c>
    </row>
    <row r="3078" spans="1:281" x14ac:dyDescent="0.25">
      <c r="A3078" s="55">
        <v>3077</v>
      </c>
      <c r="B3078" s="12" t="s">
        <v>7067</v>
      </c>
      <c r="C3078" s="155">
        <v>148</v>
      </c>
      <c r="D3078" s="55" t="s">
        <v>4317</v>
      </c>
      <c r="E3078" s="90" t="s">
        <v>2983</v>
      </c>
      <c r="G3078" s="55" t="s">
        <v>2982</v>
      </c>
      <c r="H3078" s="55">
        <v>1990</v>
      </c>
      <c r="I3078" s="55">
        <v>1985</v>
      </c>
      <c r="J3078" s="55" t="s">
        <v>2619</v>
      </c>
      <c r="K3078" s="55" t="s">
        <v>2984</v>
      </c>
      <c r="L3078" s="55" t="s">
        <v>2748</v>
      </c>
      <c r="M3078" s="90">
        <f>-14</f>
        <v>-14</v>
      </c>
      <c r="N3078" s="90">
        <f>33+49/60</f>
        <v>33.81666666666667</v>
      </c>
      <c r="O3078" s="90">
        <v>1118.5999999999999</v>
      </c>
      <c r="U3078" s="55" t="s">
        <v>1682</v>
      </c>
      <c r="V3078" s="55" t="s">
        <v>1940</v>
      </c>
      <c r="Y3078" s="55" t="s">
        <v>2985</v>
      </c>
      <c r="AN3078" s="185" t="s">
        <v>2989</v>
      </c>
      <c r="AO3078" s="185" t="s">
        <v>5150</v>
      </c>
      <c r="AQ3078" s="55" t="s">
        <v>1546</v>
      </c>
      <c r="AR3078" s="55" t="s">
        <v>1607</v>
      </c>
      <c r="AS3078" s="55" t="s">
        <v>132</v>
      </c>
      <c r="AU3078" s="181" t="s">
        <v>7494</v>
      </c>
      <c r="AV3078" s="185" t="s">
        <v>176</v>
      </c>
      <c r="AX3078" s="185" t="s">
        <v>176</v>
      </c>
      <c r="BE3078" s="226" t="s">
        <v>2990</v>
      </c>
      <c r="BF3078" s="191" t="s">
        <v>479</v>
      </c>
      <c r="BG3078" s="191" t="s">
        <v>479</v>
      </c>
      <c r="BH3078" s="226" t="s">
        <v>2990</v>
      </c>
      <c r="BI3078" s="191" t="s">
        <v>479</v>
      </c>
      <c r="BJ3078" s="55" t="s">
        <v>176</v>
      </c>
      <c r="BK3078" s="55" t="s">
        <v>6333</v>
      </c>
      <c r="BM3078" s="192" t="s">
        <v>160</v>
      </c>
      <c r="CB3078" s="66">
        <v>4500</v>
      </c>
      <c r="CC3078" s="66">
        <v>5400</v>
      </c>
      <c r="GP3078" s="292" t="s">
        <v>7494</v>
      </c>
      <c r="JU3078" s="55" t="s">
        <v>2991</v>
      </c>
    </row>
    <row r="3079" spans="1:281" x14ac:dyDescent="0.25">
      <c r="A3079" s="55">
        <v>3078</v>
      </c>
      <c r="B3079" s="12" t="s">
        <v>7067</v>
      </c>
      <c r="C3079" s="155">
        <v>148</v>
      </c>
      <c r="D3079" s="55" t="s">
        <v>4316</v>
      </c>
      <c r="E3079" s="90" t="s">
        <v>2983</v>
      </c>
      <c r="G3079" s="55" t="s">
        <v>2982</v>
      </c>
      <c r="H3079" s="55">
        <v>1990</v>
      </c>
      <c r="I3079" s="55">
        <v>1986</v>
      </c>
      <c r="J3079" s="55" t="s">
        <v>2619</v>
      </c>
      <c r="K3079" s="55" t="s">
        <v>2984</v>
      </c>
      <c r="L3079" s="55" t="s">
        <v>2748</v>
      </c>
      <c r="M3079" s="90">
        <f>-14</f>
        <v>-14</v>
      </c>
      <c r="N3079" s="90">
        <f>33+49/60</f>
        <v>33.81666666666667</v>
      </c>
      <c r="O3079" s="90">
        <v>1118.5999999999999</v>
      </c>
      <c r="U3079" s="55" t="s">
        <v>1801</v>
      </c>
      <c r="V3079" s="55" t="s">
        <v>1940</v>
      </c>
      <c r="Y3079" s="55" t="s">
        <v>2985</v>
      </c>
      <c r="AN3079" s="185" t="s">
        <v>2986</v>
      </c>
      <c r="AO3079" s="185" t="s">
        <v>5150</v>
      </c>
      <c r="AQ3079" s="55" t="s">
        <v>553</v>
      </c>
      <c r="AR3079" s="55" t="s">
        <v>1607</v>
      </c>
      <c r="AS3079" s="55" t="s">
        <v>132</v>
      </c>
      <c r="AU3079" s="181" t="s">
        <v>7494</v>
      </c>
      <c r="AV3079" s="185" t="s">
        <v>176</v>
      </c>
      <c r="AX3079" s="185" t="s">
        <v>176</v>
      </c>
      <c r="BE3079" s="226" t="s">
        <v>2990</v>
      </c>
      <c r="BF3079" s="191" t="s">
        <v>479</v>
      </c>
      <c r="BG3079" s="191" t="s">
        <v>479</v>
      </c>
      <c r="BH3079" s="226" t="s">
        <v>2990</v>
      </c>
      <c r="BI3079" s="191" t="s">
        <v>479</v>
      </c>
      <c r="BJ3079" s="55" t="s">
        <v>176</v>
      </c>
      <c r="BK3079" s="55" t="s">
        <v>6333</v>
      </c>
      <c r="BM3079" s="192" t="s">
        <v>160</v>
      </c>
      <c r="CB3079" s="66">
        <v>5300</v>
      </c>
      <c r="CC3079" s="66">
        <v>6800</v>
      </c>
      <c r="CE3079" s="65">
        <v>940</v>
      </c>
      <c r="CF3079" s="65">
        <v>940</v>
      </c>
      <c r="GP3079" s="292" t="s">
        <v>7494</v>
      </c>
      <c r="JU3079" s="55" t="s">
        <v>2991</v>
      </c>
    </row>
    <row r="3080" spans="1:281" x14ac:dyDescent="0.25">
      <c r="A3080" s="55">
        <v>3079</v>
      </c>
      <c r="B3080" s="12" t="s">
        <v>7067</v>
      </c>
      <c r="C3080" s="155">
        <v>148</v>
      </c>
      <c r="D3080" s="55" t="s">
        <v>4316</v>
      </c>
      <c r="E3080" s="90" t="s">
        <v>2983</v>
      </c>
      <c r="G3080" s="55" t="s">
        <v>2982</v>
      </c>
      <c r="H3080" s="55">
        <v>1990</v>
      </c>
      <c r="I3080" s="55">
        <v>1986</v>
      </c>
      <c r="J3080" s="55" t="s">
        <v>2619</v>
      </c>
      <c r="K3080" s="55" t="s">
        <v>2984</v>
      </c>
      <c r="L3080" s="55" t="s">
        <v>2748</v>
      </c>
      <c r="M3080" s="90">
        <f>-14</f>
        <v>-14</v>
      </c>
      <c r="N3080" s="90">
        <f>33+49/60</f>
        <v>33.81666666666667</v>
      </c>
      <c r="O3080" s="90">
        <v>1118.5999999999999</v>
      </c>
      <c r="U3080" s="55" t="s">
        <v>1801</v>
      </c>
      <c r="V3080" s="55" t="s">
        <v>1940</v>
      </c>
      <c r="Y3080" s="55" t="s">
        <v>2985</v>
      </c>
      <c r="AN3080" s="185" t="s">
        <v>2987</v>
      </c>
      <c r="AO3080" s="185" t="s">
        <v>5150</v>
      </c>
      <c r="AQ3080" s="55" t="s">
        <v>553</v>
      </c>
      <c r="AR3080" s="55" t="s">
        <v>1607</v>
      </c>
      <c r="AS3080" s="55" t="s">
        <v>132</v>
      </c>
      <c r="AU3080" s="181" t="s">
        <v>7494</v>
      </c>
      <c r="AV3080" s="185" t="s">
        <v>176</v>
      </c>
      <c r="AX3080" s="185" t="s">
        <v>176</v>
      </c>
      <c r="BE3080" s="226" t="s">
        <v>2990</v>
      </c>
      <c r="BF3080" s="191" t="s">
        <v>479</v>
      </c>
      <c r="BG3080" s="191" t="s">
        <v>479</v>
      </c>
      <c r="BH3080" s="226" t="s">
        <v>2990</v>
      </c>
      <c r="BI3080" s="191" t="s">
        <v>479</v>
      </c>
      <c r="BJ3080" s="55" t="s">
        <v>176</v>
      </c>
      <c r="BK3080" s="55" t="s">
        <v>6333</v>
      </c>
      <c r="BM3080" s="192" t="s">
        <v>160</v>
      </c>
      <c r="CB3080" s="66">
        <v>5300</v>
      </c>
      <c r="CC3080" s="66">
        <v>5400</v>
      </c>
      <c r="CE3080" s="65">
        <v>940</v>
      </c>
      <c r="CF3080" s="65">
        <v>940</v>
      </c>
      <c r="GP3080" s="292" t="s">
        <v>7494</v>
      </c>
      <c r="JU3080" s="55" t="s">
        <v>2991</v>
      </c>
    </row>
    <row r="3081" spans="1:281" x14ac:dyDescent="0.25">
      <c r="A3081" s="55">
        <v>3080</v>
      </c>
      <c r="B3081" s="12" t="s">
        <v>7067</v>
      </c>
      <c r="C3081" s="155">
        <v>148</v>
      </c>
      <c r="D3081" s="55" t="s">
        <v>4317</v>
      </c>
      <c r="E3081" s="90" t="s">
        <v>2983</v>
      </c>
      <c r="G3081" s="55" t="s">
        <v>2982</v>
      </c>
      <c r="H3081" s="55">
        <v>1990</v>
      </c>
      <c r="I3081" s="55">
        <v>1986</v>
      </c>
      <c r="J3081" s="55" t="s">
        <v>2619</v>
      </c>
      <c r="K3081" s="55" t="s">
        <v>2984</v>
      </c>
      <c r="L3081" s="55" t="s">
        <v>2748</v>
      </c>
      <c r="M3081" s="90">
        <f>-14</f>
        <v>-14</v>
      </c>
      <c r="N3081" s="90">
        <f>33+49/60</f>
        <v>33.81666666666667</v>
      </c>
      <c r="O3081" s="90">
        <v>1118.5999999999999</v>
      </c>
      <c r="U3081" s="55" t="s">
        <v>1801</v>
      </c>
      <c r="V3081" s="55" t="s">
        <v>1940</v>
      </c>
      <c r="Y3081" s="55" t="s">
        <v>2985</v>
      </c>
      <c r="AN3081" s="185" t="s">
        <v>2988</v>
      </c>
      <c r="AO3081" s="185" t="s">
        <v>5150</v>
      </c>
      <c r="AQ3081" s="55" t="s">
        <v>1546</v>
      </c>
      <c r="AR3081" s="55" t="s">
        <v>1607</v>
      </c>
      <c r="AS3081" s="55" t="s">
        <v>132</v>
      </c>
      <c r="AU3081" s="181" t="s">
        <v>7494</v>
      </c>
      <c r="AV3081" s="185" t="s">
        <v>176</v>
      </c>
      <c r="AX3081" s="185" t="s">
        <v>176</v>
      </c>
      <c r="BE3081" s="226" t="s">
        <v>2990</v>
      </c>
      <c r="BF3081" s="191" t="s">
        <v>479</v>
      </c>
      <c r="BG3081" s="191" t="s">
        <v>479</v>
      </c>
      <c r="BH3081" s="226" t="s">
        <v>2990</v>
      </c>
      <c r="BI3081" s="191" t="s">
        <v>479</v>
      </c>
      <c r="BJ3081" s="55" t="s">
        <v>176</v>
      </c>
      <c r="BK3081" s="55" t="s">
        <v>6333</v>
      </c>
      <c r="BM3081" s="192" t="s">
        <v>160</v>
      </c>
      <c r="CB3081" s="66">
        <v>5300</v>
      </c>
      <c r="CC3081" s="66">
        <v>6400</v>
      </c>
      <c r="CE3081" s="65">
        <v>940</v>
      </c>
      <c r="CF3081" s="65">
        <v>940</v>
      </c>
      <c r="GP3081" s="292" t="s">
        <v>7494</v>
      </c>
      <c r="JU3081" s="55" t="s">
        <v>2991</v>
      </c>
    </row>
    <row r="3082" spans="1:281" x14ac:dyDescent="0.25">
      <c r="A3082" s="55">
        <v>3081</v>
      </c>
      <c r="B3082" s="12" t="s">
        <v>7067</v>
      </c>
      <c r="C3082" s="155">
        <v>148</v>
      </c>
      <c r="D3082" s="55" t="s">
        <v>4317</v>
      </c>
      <c r="E3082" s="90" t="s">
        <v>2983</v>
      </c>
      <c r="G3082" s="55" t="s">
        <v>2982</v>
      </c>
      <c r="H3082" s="55">
        <v>1990</v>
      </c>
      <c r="I3082" s="55">
        <v>1986</v>
      </c>
      <c r="J3082" s="55" t="s">
        <v>2619</v>
      </c>
      <c r="K3082" s="55" t="s">
        <v>2984</v>
      </c>
      <c r="L3082" s="55" t="s">
        <v>2748</v>
      </c>
      <c r="M3082" s="90">
        <f>-14</f>
        <v>-14</v>
      </c>
      <c r="N3082" s="90">
        <f>33+49/60</f>
        <v>33.81666666666667</v>
      </c>
      <c r="O3082" s="90">
        <v>1118.5999999999999</v>
      </c>
      <c r="U3082" s="55" t="s">
        <v>1801</v>
      </c>
      <c r="V3082" s="55" t="s">
        <v>1940</v>
      </c>
      <c r="Y3082" s="55" t="s">
        <v>2985</v>
      </c>
      <c r="AN3082" s="185" t="s">
        <v>2989</v>
      </c>
      <c r="AO3082" s="185" t="s">
        <v>5150</v>
      </c>
      <c r="AQ3082" s="55" t="s">
        <v>1546</v>
      </c>
      <c r="AR3082" s="55" t="s">
        <v>1607</v>
      </c>
      <c r="AS3082" s="55" t="s">
        <v>132</v>
      </c>
      <c r="AU3082" s="181" t="s">
        <v>7494</v>
      </c>
      <c r="AV3082" s="185" t="s">
        <v>176</v>
      </c>
      <c r="AX3082" s="185" t="s">
        <v>176</v>
      </c>
      <c r="BE3082" s="226" t="s">
        <v>2990</v>
      </c>
      <c r="BF3082" s="191" t="s">
        <v>479</v>
      </c>
      <c r="BG3082" s="191" t="s">
        <v>479</v>
      </c>
      <c r="BH3082" s="226" t="s">
        <v>2990</v>
      </c>
      <c r="BI3082" s="191" t="s">
        <v>479</v>
      </c>
      <c r="BJ3082" s="55" t="s">
        <v>176</v>
      </c>
      <c r="BK3082" s="55" t="s">
        <v>6333</v>
      </c>
      <c r="BM3082" s="192" t="s">
        <v>160</v>
      </c>
      <c r="CB3082" s="66">
        <v>5300</v>
      </c>
      <c r="CC3082" s="66">
        <v>5500</v>
      </c>
      <c r="CE3082" s="65">
        <v>940</v>
      </c>
      <c r="CF3082" s="65">
        <v>940</v>
      </c>
      <c r="GP3082" s="292" t="s">
        <v>7494</v>
      </c>
      <c r="JU3082" s="55" t="s">
        <v>2991</v>
      </c>
    </row>
    <row r="3083" spans="1:281" x14ac:dyDescent="0.25">
      <c r="A3083" s="55">
        <v>3082</v>
      </c>
      <c r="B3083" s="12" t="s">
        <v>7067</v>
      </c>
      <c r="C3083" s="155">
        <v>148</v>
      </c>
      <c r="D3083" s="55" t="s">
        <v>4316</v>
      </c>
      <c r="E3083" s="90" t="s">
        <v>2983</v>
      </c>
      <c r="G3083" s="55" t="s">
        <v>2982</v>
      </c>
      <c r="H3083" s="55">
        <v>1990</v>
      </c>
      <c r="I3083" s="55">
        <v>1987</v>
      </c>
      <c r="J3083" s="55" t="s">
        <v>2619</v>
      </c>
      <c r="K3083" s="55" t="s">
        <v>2984</v>
      </c>
      <c r="L3083" s="55" t="s">
        <v>2748</v>
      </c>
      <c r="M3083" s="90">
        <f>-14</f>
        <v>-14</v>
      </c>
      <c r="N3083" s="90">
        <f>33+49/60</f>
        <v>33.81666666666667</v>
      </c>
      <c r="O3083" s="90">
        <v>1118.5999999999999</v>
      </c>
      <c r="U3083" s="55" t="s">
        <v>1694</v>
      </c>
      <c r="V3083" s="55" t="s">
        <v>1940</v>
      </c>
      <c r="Y3083" s="55" t="s">
        <v>2985</v>
      </c>
      <c r="AN3083" s="185" t="s">
        <v>2986</v>
      </c>
      <c r="AO3083" s="185" t="s">
        <v>5150</v>
      </c>
      <c r="AQ3083" s="55" t="s">
        <v>553</v>
      </c>
      <c r="AR3083" s="55" t="s">
        <v>1607</v>
      </c>
      <c r="AS3083" s="55" t="s">
        <v>132</v>
      </c>
      <c r="AU3083" s="181" t="s">
        <v>7494</v>
      </c>
      <c r="AV3083" s="185" t="s">
        <v>176</v>
      </c>
      <c r="AX3083" s="185" t="s">
        <v>176</v>
      </c>
      <c r="BE3083" s="226" t="s">
        <v>2990</v>
      </c>
      <c r="BF3083" s="191" t="s">
        <v>479</v>
      </c>
      <c r="BG3083" s="191" t="s">
        <v>479</v>
      </c>
      <c r="BH3083" s="226" t="s">
        <v>2990</v>
      </c>
      <c r="BI3083" s="191" t="s">
        <v>479</v>
      </c>
      <c r="BJ3083" s="55" t="s">
        <v>176</v>
      </c>
      <c r="BK3083" s="55" t="s">
        <v>6333</v>
      </c>
      <c r="BM3083" s="192" t="s">
        <v>160</v>
      </c>
      <c r="CB3083" s="66">
        <v>6100</v>
      </c>
      <c r="CC3083" s="66">
        <v>7500</v>
      </c>
      <c r="CE3083" s="65">
        <v>1220</v>
      </c>
      <c r="CF3083" s="65">
        <v>1220</v>
      </c>
      <c r="GP3083" s="292" t="s">
        <v>7494</v>
      </c>
      <c r="JU3083" s="55" t="s">
        <v>2991</v>
      </c>
    </row>
    <row r="3084" spans="1:281" x14ac:dyDescent="0.25">
      <c r="A3084" s="55">
        <v>3083</v>
      </c>
      <c r="B3084" s="12" t="s">
        <v>7067</v>
      </c>
      <c r="C3084" s="155">
        <v>148</v>
      </c>
      <c r="D3084" s="55" t="s">
        <v>4316</v>
      </c>
      <c r="E3084" s="90" t="s">
        <v>2983</v>
      </c>
      <c r="G3084" s="55" t="s">
        <v>2982</v>
      </c>
      <c r="H3084" s="55">
        <v>1990</v>
      </c>
      <c r="I3084" s="55">
        <v>1987</v>
      </c>
      <c r="J3084" s="55" t="s">
        <v>2619</v>
      </c>
      <c r="K3084" s="55" t="s">
        <v>2984</v>
      </c>
      <c r="L3084" s="55" t="s">
        <v>2748</v>
      </c>
      <c r="M3084" s="90">
        <f>-14</f>
        <v>-14</v>
      </c>
      <c r="N3084" s="90">
        <f>33+49/60</f>
        <v>33.81666666666667</v>
      </c>
      <c r="O3084" s="90">
        <v>1118.5999999999999</v>
      </c>
      <c r="U3084" s="55" t="s">
        <v>1694</v>
      </c>
      <c r="V3084" s="55" t="s">
        <v>1940</v>
      </c>
      <c r="Y3084" s="55" t="s">
        <v>2985</v>
      </c>
      <c r="AN3084" s="185" t="s">
        <v>2987</v>
      </c>
      <c r="AO3084" s="185" t="s">
        <v>5150</v>
      </c>
      <c r="AQ3084" s="55" t="s">
        <v>553</v>
      </c>
      <c r="AR3084" s="55" t="s">
        <v>1607</v>
      </c>
      <c r="AS3084" s="55" t="s">
        <v>132</v>
      </c>
      <c r="AU3084" s="181" t="s">
        <v>7494</v>
      </c>
      <c r="AV3084" s="185" t="s">
        <v>176</v>
      </c>
      <c r="AX3084" s="185" t="s">
        <v>176</v>
      </c>
      <c r="BE3084" s="226" t="s">
        <v>2990</v>
      </c>
      <c r="BF3084" s="191" t="s">
        <v>479</v>
      </c>
      <c r="BG3084" s="191" t="s">
        <v>479</v>
      </c>
      <c r="BH3084" s="226" t="s">
        <v>2990</v>
      </c>
      <c r="BI3084" s="191" t="s">
        <v>479</v>
      </c>
      <c r="BJ3084" s="55" t="s">
        <v>176</v>
      </c>
      <c r="BK3084" s="55" t="s">
        <v>6333</v>
      </c>
      <c r="BM3084" s="192" t="s">
        <v>160</v>
      </c>
      <c r="CB3084" s="66">
        <v>6100</v>
      </c>
      <c r="CC3084" s="66">
        <v>6800</v>
      </c>
      <c r="CE3084" s="65">
        <v>1220</v>
      </c>
      <c r="CF3084" s="65">
        <v>1220</v>
      </c>
      <c r="GP3084" s="292" t="s">
        <v>7494</v>
      </c>
      <c r="JU3084" s="55" t="s">
        <v>2991</v>
      </c>
    </row>
    <row r="3085" spans="1:281" x14ac:dyDescent="0.25">
      <c r="A3085" s="55">
        <v>3084</v>
      </c>
      <c r="B3085" s="12" t="s">
        <v>7067</v>
      </c>
      <c r="C3085" s="155">
        <v>148</v>
      </c>
      <c r="D3085" s="55" t="s">
        <v>4317</v>
      </c>
      <c r="E3085" s="90" t="s">
        <v>2983</v>
      </c>
      <c r="G3085" s="55" t="s">
        <v>2982</v>
      </c>
      <c r="H3085" s="55">
        <v>1990</v>
      </c>
      <c r="I3085" s="55">
        <v>1987</v>
      </c>
      <c r="J3085" s="55" t="s">
        <v>2619</v>
      </c>
      <c r="K3085" s="55" t="s">
        <v>2984</v>
      </c>
      <c r="L3085" s="55" t="s">
        <v>2748</v>
      </c>
      <c r="M3085" s="90">
        <f>-14</f>
        <v>-14</v>
      </c>
      <c r="N3085" s="90">
        <f>33+49/60</f>
        <v>33.81666666666667</v>
      </c>
      <c r="O3085" s="90">
        <v>1118.5999999999999</v>
      </c>
      <c r="U3085" s="55" t="s">
        <v>1694</v>
      </c>
      <c r="V3085" s="55" t="s">
        <v>1940</v>
      </c>
      <c r="Y3085" s="55" t="s">
        <v>2985</v>
      </c>
      <c r="AN3085" s="185" t="s">
        <v>2988</v>
      </c>
      <c r="AO3085" s="185" t="s">
        <v>5150</v>
      </c>
      <c r="AQ3085" s="55" t="s">
        <v>1546</v>
      </c>
      <c r="AR3085" s="55" t="s">
        <v>1607</v>
      </c>
      <c r="AS3085" s="55" t="s">
        <v>132</v>
      </c>
      <c r="AU3085" s="181" t="s">
        <v>7494</v>
      </c>
      <c r="AV3085" s="185" t="s">
        <v>176</v>
      </c>
      <c r="AX3085" s="185" t="s">
        <v>176</v>
      </c>
      <c r="BE3085" s="226" t="s">
        <v>2990</v>
      </c>
      <c r="BF3085" s="191" t="s">
        <v>479</v>
      </c>
      <c r="BG3085" s="191" t="s">
        <v>479</v>
      </c>
      <c r="BH3085" s="226" t="s">
        <v>2990</v>
      </c>
      <c r="BI3085" s="191" t="s">
        <v>479</v>
      </c>
      <c r="BJ3085" s="55" t="s">
        <v>176</v>
      </c>
      <c r="BK3085" s="55" t="s">
        <v>6333</v>
      </c>
      <c r="BM3085" s="192" t="s">
        <v>160</v>
      </c>
      <c r="CB3085" s="66">
        <v>6100</v>
      </c>
      <c r="CC3085" s="66">
        <v>6800</v>
      </c>
      <c r="CE3085" s="65">
        <v>1220</v>
      </c>
      <c r="CF3085" s="65">
        <v>1220</v>
      </c>
      <c r="GP3085" s="292" t="s">
        <v>7494</v>
      </c>
      <c r="JU3085" s="55" t="s">
        <v>2991</v>
      </c>
    </row>
    <row r="3086" spans="1:281" x14ac:dyDescent="0.25">
      <c r="A3086" s="55">
        <v>3085</v>
      </c>
      <c r="B3086" s="12" t="s">
        <v>7067</v>
      </c>
      <c r="C3086" s="155">
        <v>148</v>
      </c>
      <c r="D3086" s="55" t="s">
        <v>4317</v>
      </c>
      <c r="E3086" s="90" t="s">
        <v>2983</v>
      </c>
      <c r="G3086" s="55" t="s">
        <v>2982</v>
      </c>
      <c r="H3086" s="55">
        <v>1990</v>
      </c>
      <c r="I3086" s="55">
        <v>1987</v>
      </c>
      <c r="J3086" s="55" t="s">
        <v>2619</v>
      </c>
      <c r="K3086" s="55" t="s">
        <v>2984</v>
      </c>
      <c r="L3086" s="55" t="s">
        <v>2748</v>
      </c>
      <c r="M3086" s="90">
        <f>-14</f>
        <v>-14</v>
      </c>
      <c r="N3086" s="90">
        <f>33+49/60</f>
        <v>33.81666666666667</v>
      </c>
      <c r="O3086" s="90">
        <v>1118.5999999999999</v>
      </c>
      <c r="U3086" s="55" t="s">
        <v>1694</v>
      </c>
      <c r="V3086" s="55" t="s">
        <v>1940</v>
      </c>
      <c r="Y3086" s="55" t="s">
        <v>2985</v>
      </c>
      <c r="AN3086" s="185" t="s">
        <v>2989</v>
      </c>
      <c r="AO3086" s="185" t="s">
        <v>5150</v>
      </c>
      <c r="AQ3086" s="55" t="s">
        <v>1546</v>
      </c>
      <c r="AR3086" s="55" t="s">
        <v>1607</v>
      </c>
      <c r="AS3086" s="55" t="s">
        <v>132</v>
      </c>
      <c r="AU3086" s="181" t="s">
        <v>7494</v>
      </c>
      <c r="AV3086" s="185" t="s">
        <v>176</v>
      </c>
      <c r="AX3086" s="185" t="s">
        <v>176</v>
      </c>
      <c r="BE3086" s="226" t="s">
        <v>2990</v>
      </c>
      <c r="BF3086" s="191" t="s">
        <v>479</v>
      </c>
      <c r="BG3086" s="191" t="s">
        <v>479</v>
      </c>
      <c r="BH3086" s="226" t="s">
        <v>2990</v>
      </c>
      <c r="BI3086" s="191" t="s">
        <v>479</v>
      </c>
      <c r="BJ3086" s="55" t="s">
        <v>176</v>
      </c>
      <c r="BK3086" s="55" t="s">
        <v>6333</v>
      </c>
      <c r="BM3086" s="192" t="s">
        <v>160</v>
      </c>
      <c r="CB3086" s="66">
        <v>6100</v>
      </c>
      <c r="CC3086" s="66">
        <v>6200</v>
      </c>
      <c r="CE3086" s="65">
        <v>1220</v>
      </c>
      <c r="CF3086" s="65">
        <v>1220</v>
      </c>
      <c r="GP3086" s="292" t="s">
        <v>7494</v>
      </c>
      <c r="JU3086" s="55" t="s">
        <v>2991</v>
      </c>
    </row>
    <row r="3087" spans="1:281" x14ac:dyDescent="0.25">
      <c r="A3087" s="55">
        <v>3086</v>
      </c>
      <c r="B3087" s="12" t="s">
        <v>7067</v>
      </c>
      <c r="C3087" s="155">
        <v>148</v>
      </c>
      <c r="D3087" s="55" t="s">
        <v>4316</v>
      </c>
      <c r="E3087" s="90" t="s">
        <v>2983</v>
      </c>
      <c r="G3087" s="55" t="s">
        <v>2982</v>
      </c>
      <c r="H3087" s="55">
        <v>1990</v>
      </c>
      <c r="I3087" s="55">
        <v>1985</v>
      </c>
      <c r="J3087" s="55" t="s">
        <v>2619</v>
      </c>
      <c r="K3087" s="55" t="s">
        <v>2984</v>
      </c>
      <c r="L3087" s="55" t="s">
        <v>2748</v>
      </c>
      <c r="M3087" s="90">
        <f>-14</f>
        <v>-14</v>
      </c>
      <c r="N3087" s="90">
        <f>33+49/60</f>
        <v>33.81666666666667</v>
      </c>
      <c r="O3087" s="90">
        <v>1118.5999999999999</v>
      </c>
      <c r="U3087" s="55" t="s">
        <v>1682</v>
      </c>
      <c r="V3087" s="55" t="s">
        <v>1940</v>
      </c>
      <c r="Y3087" s="55" t="s">
        <v>2985</v>
      </c>
      <c r="AN3087" s="185" t="s">
        <v>2986</v>
      </c>
      <c r="AO3087" s="185" t="s">
        <v>5150</v>
      </c>
      <c r="AQ3087" s="55" t="s">
        <v>553</v>
      </c>
      <c r="AR3087" s="55" t="s">
        <v>1607</v>
      </c>
      <c r="AS3087" s="55" t="s">
        <v>132</v>
      </c>
      <c r="AU3087" s="181" t="s">
        <v>7494</v>
      </c>
      <c r="AV3087" s="185" t="s">
        <v>176</v>
      </c>
      <c r="AX3087" s="185" t="s">
        <v>176</v>
      </c>
      <c r="BE3087" s="226" t="s">
        <v>161</v>
      </c>
      <c r="BG3087" s="191" t="s">
        <v>176</v>
      </c>
      <c r="BH3087" s="226" t="s">
        <v>161</v>
      </c>
      <c r="BI3087" s="191" t="s">
        <v>176</v>
      </c>
      <c r="BJ3087" s="55" t="s">
        <v>176</v>
      </c>
      <c r="BK3087" s="55" t="s">
        <v>6333</v>
      </c>
      <c r="BM3087" s="192" t="s">
        <v>160</v>
      </c>
      <c r="CB3087" s="66">
        <v>930</v>
      </c>
      <c r="CC3087" s="66">
        <v>3280</v>
      </c>
      <c r="GP3087" s="292" t="s">
        <v>7494</v>
      </c>
      <c r="JU3087" s="55" t="s">
        <v>2991</v>
      </c>
    </row>
    <row r="3088" spans="1:281" x14ac:dyDescent="0.25">
      <c r="A3088" s="55">
        <v>3087</v>
      </c>
      <c r="B3088" s="12" t="s">
        <v>7067</v>
      </c>
      <c r="C3088" s="155">
        <v>148</v>
      </c>
      <c r="D3088" s="55" t="s">
        <v>4316</v>
      </c>
      <c r="E3088" s="90" t="s">
        <v>2983</v>
      </c>
      <c r="G3088" s="55" t="s">
        <v>2982</v>
      </c>
      <c r="H3088" s="55">
        <v>1990</v>
      </c>
      <c r="I3088" s="55">
        <v>1985</v>
      </c>
      <c r="J3088" s="55" t="s">
        <v>2619</v>
      </c>
      <c r="K3088" s="55" t="s">
        <v>2984</v>
      </c>
      <c r="L3088" s="55" t="s">
        <v>2748</v>
      </c>
      <c r="M3088" s="90">
        <f>-14</f>
        <v>-14</v>
      </c>
      <c r="N3088" s="90">
        <f>33+49/60</f>
        <v>33.81666666666667</v>
      </c>
      <c r="O3088" s="90">
        <v>1118.5999999999999</v>
      </c>
      <c r="U3088" s="55" t="s">
        <v>1682</v>
      </c>
      <c r="V3088" s="55" t="s">
        <v>1940</v>
      </c>
      <c r="Y3088" s="55" t="s">
        <v>2985</v>
      </c>
      <c r="AN3088" s="185" t="s">
        <v>2992</v>
      </c>
      <c r="AO3088" s="185" t="s">
        <v>5150</v>
      </c>
      <c r="AQ3088" s="55" t="s">
        <v>553</v>
      </c>
      <c r="AR3088" s="55" t="s">
        <v>1607</v>
      </c>
      <c r="AS3088" s="55" t="s">
        <v>132</v>
      </c>
      <c r="AU3088" s="181" t="s">
        <v>7494</v>
      </c>
      <c r="AV3088" s="185" t="s">
        <v>176</v>
      </c>
      <c r="AX3088" s="185" t="s">
        <v>176</v>
      </c>
      <c r="BE3088" s="226" t="s">
        <v>161</v>
      </c>
      <c r="BG3088" s="191" t="s">
        <v>176</v>
      </c>
      <c r="BH3088" s="226" t="s">
        <v>161</v>
      </c>
      <c r="BI3088" s="191" t="s">
        <v>176</v>
      </c>
      <c r="BJ3088" s="55" t="s">
        <v>176</v>
      </c>
      <c r="BK3088" s="55" t="s">
        <v>6333</v>
      </c>
      <c r="BM3088" s="192" t="s">
        <v>160</v>
      </c>
      <c r="CB3088" s="66">
        <v>930</v>
      </c>
      <c r="CC3088" s="66">
        <v>1870</v>
      </c>
      <c r="GP3088" s="292" t="s">
        <v>7494</v>
      </c>
      <c r="JU3088" s="55" t="s">
        <v>2991</v>
      </c>
    </row>
    <row r="3089" spans="1:281" x14ac:dyDescent="0.25">
      <c r="A3089" s="55">
        <v>3088</v>
      </c>
      <c r="B3089" s="12" t="s">
        <v>7067</v>
      </c>
      <c r="C3089" s="155">
        <v>148</v>
      </c>
      <c r="D3089" s="55" t="s">
        <v>4316</v>
      </c>
      <c r="E3089" s="90" t="s">
        <v>2983</v>
      </c>
      <c r="G3089" s="55" t="s">
        <v>2982</v>
      </c>
      <c r="H3089" s="55">
        <v>1990</v>
      </c>
      <c r="I3089" s="55">
        <v>1985</v>
      </c>
      <c r="J3089" s="55" t="s">
        <v>2619</v>
      </c>
      <c r="K3089" s="55" t="s">
        <v>2984</v>
      </c>
      <c r="L3089" s="55" t="s">
        <v>2748</v>
      </c>
      <c r="M3089" s="90">
        <f>-14</f>
        <v>-14</v>
      </c>
      <c r="N3089" s="90">
        <f>33+49/60</f>
        <v>33.81666666666667</v>
      </c>
      <c r="O3089" s="90">
        <v>1118.5999999999999</v>
      </c>
      <c r="U3089" s="55" t="s">
        <v>1682</v>
      </c>
      <c r="V3089" s="55" t="s">
        <v>1940</v>
      </c>
      <c r="Y3089" s="55" t="s">
        <v>2985</v>
      </c>
      <c r="AN3089" s="185" t="s">
        <v>2993</v>
      </c>
      <c r="AO3089" s="185" t="s">
        <v>5150</v>
      </c>
      <c r="AQ3089" s="55" t="s">
        <v>553</v>
      </c>
      <c r="AR3089" s="55" t="s">
        <v>1607</v>
      </c>
      <c r="AS3089" s="55" t="s">
        <v>132</v>
      </c>
      <c r="AU3089" s="181" t="s">
        <v>7494</v>
      </c>
      <c r="AV3089" s="185" t="s">
        <v>176</v>
      </c>
      <c r="AX3089" s="185" t="s">
        <v>176</v>
      </c>
      <c r="BE3089" s="226" t="s">
        <v>161</v>
      </c>
      <c r="BG3089" s="191" t="s">
        <v>176</v>
      </c>
      <c r="BH3089" s="226" t="s">
        <v>161</v>
      </c>
      <c r="BI3089" s="191" t="s">
        <v>176</v>
      </c>
      <c r="BJ3089" s="55" t="s">
        <v>176</v>
      </c>
      <c r="BK3089" s="55" t="s">
        <v>6333</v>
      </c>
      <c r="BM3089" s="192" t="s">
        <v>160</v>
      </c>
      <c r="CB3089" s="66">
        <v>930</v>
      </c>
      <c r="CC3089" s="66">
        <v>3060</v>
      </c>
      <c r="GP3089" s="292" t="s">
        <v>7494</v>
      </c>
      <c r="JU3089" s="55" t="s">
        <v>2991</v>
      </c>
    </row>
    <row r="3090" spans="1:281" x14ac:dyDescent="0.25">
      <c r="A3090" s="55">
        <v>3089</v>
      </c>
      <c r="B3090" s="12" t="s">
        <v>7067</v>
      </c>
      <c r="C3090" s="155">
        <v>148</v>
      </c>
      <c r="D3090" s="55" t="s">
        <v>4316</v>
      </c>
      <c r="E3090" s="90" t="s">
        <v>2983</v>
      </c>
      <c r="G3090" s="55" t="s">
        <v>2982</v>
      </c>
      <c r="H3090" s="55">
        <v>1990</v>
      </c>
      <c r="I3090" s="55">
        <v>1985</v>
      </c>
      <c r="J3090" s="55" t="s">
        <v>2619</v>
      </c>
      <c r="K3090" s="55" t="s">
        <v>2984</v>
      </c>
      <c r="L3090" s="55" t="s">
        <v>2748</v>
      </c>
      <c r="M3090" s="90">
        <f>-14</f>
        <v>-14</v>
      </c>
      <c r="N3090" s="90">
        <f>33+49/60</f>
        <v>33.81666666666667</v>
      </c>
      <c r="O3090" s="90">
        <v>1118.5999999999999</v>
      </c>
      <c r="U3090" s="55" t="s">
        <v>1682</v>
      </c>
      <c r="V3090" s="55" t="s">
        <v>1940</v>
      </c>
      <c r="Y3090" s="55" t="s">
        <v>2985</v>
      </c>
      <c r="AN3090" s="185" t="s">
        <v>2994</v>
      </c>
      <c r="AO3090" s="185" t="s">
        <v>5150</v>
      </c>
      <c r="AQ3090" s="55" t="s">
        <v>553</v>
      </c>
      <c r="AR3090" s="55" t="s">
        <v>1607</v>
      </c>
      <c r="AS3090" s="55" t="s">
        <v>132</v>
      </c>
      <c r="AU3090" s="181" t="s">
        <v>7494</v>
      </c>
      <c r="AV3090" s="185" t="s">
        <v>176</v>
      </c>
      <c r="AX3090" s="185" t="s">
        <v>176</v>
      </c>
      <c r="BE3090" s="226" t="s">
        <v>161</v>
      </c>
      <c r="BG3090" s="191" t="s">
        <v>176</v>
      </c>
      <c r="BH3090" s="226" t="s">
        <v>161</v>
      </c>
      <c r="BI3090" s="191" t="s">
        <v>176</v>
      </c>
      <c r="BJ3090" s="55" t="s">
        <v>176</v>
      </c>
      <c r="BK3090" s="55" t="s">
        <v>6333</v>
      </c>
      <c r="BM3090" s="192" t="s">
        <v>160</v>
      </c>
      <c r="CB3090" s="66">
        <v>930</v>
      </c>
      <c r="CC3090" s="66">
        <v>2020</v>
      </c>
      <c r="GP3090" s="292" t="s">
        <v>7494</v>
      </c>
      <c r="JU3090" s="55" t="s">
        <v>2991</v>
      </c>
    </row>
    <row r="3091" spans="1:281" x14ac:dyDescent="0.25">
      <c r="A3091" s="55">
        <v>3090</v>
      </c>
      <c r="B3091" s="12" t="s">
        <v>7067</v>
      </c>
      <c r="C3091" s="155">
        <v>148</v>
      </c>
      <c r="D3091" s="55" t="s">
        <v>4316</v>
      </c>
      <c r="E3091" s="90" t="s">
        <v>2983</v>
      </c>
      <c r="G3091" s="55" t="s">
        <v>2982</v>
      </c>
      <c r="H3091" s="55">
        <v>1990</v>
      </c>
      <c r="I3091" s="55">
        <v>1985</v>
      </c>
      <c r="J3091" s="55" t="s">
        <v>2619</v>
      </c>
      <c r="K3091" s="55" t="s">
        <v>2984</v>
      </c>
      <c r="L3091" s="55" t="s">
        <v>2748</v>
      </c>
      <c r="M3091" s="90">
        <f>-14</f>
        <v>-14</v>
      </c>
      <c r="N3091" s="90">
        <f>33+49/60</f>
        <v>33.81666666666667</v>
      </c>
      <c r="O3091" s="90">
        <v>1118.5999999999999</v>
      </c>
      <c r="U3091" s="55" t="s">
        <v>1682</v>
      </c>
      <c r="V3091" s="55" t="s">
        <v>1940</v>
      </c>
      <c r="Y3091" s="55" t="s">
        <v>2985</v>
      </c>
      <c r="AN3091" s="185" t="s">
        <v>2995</v>
      </c>
      <c r="AO3091" s="185" t="s">
        <v>5150</v>
      </c>
      <c r="AQ3091" s="55" t="s">
        <v>553</v>
      </c>
      <c r="AR3091" s="55" t="s">
        <v>1607</v>
      </c>
      <c r="AS3091" s="55" t="s">
        <v>132</v>
      </c>
      <c r="AU3091" s="181" t="s">
        <v>7494</v>
      </c>
      <c r="AV3091" s="185" t="s">
        <v>176</v>
      </c>
      <c r="AX3091" s="185" t="s">
        <v>176</v>
      </c>
      <c r="BE3091" s="226" t="s">
        <v>161</v>
      </c>
      <c r="BG3091" s="191" t="s">
        <v>176</v>
      </c>
      <c r="BH3091" s="226" t="s">
        <v>161</v>
      </c>
      <c r="BI3091" s="191" t="s">
        <v>176</v>
      </c>
      <c r="BJ3091" s="55" t="s">
        <v>176</v>
      </c>
      <c r="BK3091" s="55" t="s">
        <v>6333</v>
      </c>
      <c r="BM3091" s="192" t="s">
        <v>160</v>
      </c>
      <c r="CB3091" s="66">
        <v>930</v>
      </c>
      <c r="CC3091" s="66">
        <v>2080</v>
      </c>
      <c r="GP3091" s="292" t="s">
        <v>7494</v>
      </c>
      <c r="JU3091" s="55" t="s">
        <v>2991</v>
      </c>
    </row>
    <row r="3092" spans="1:281" x14ac:dyDescent="0.25">
      <c r="A3092" s="55">
        <v>3091</v>
      </c>
      <c r="B3092" s="12" t="s">
        <v>7067</v>
      </c>
      <c r="C3092" s="155">
        <v>148</v>
      </c>
      <c r="D3092" s="55" t="s">
        <v>4316</v>
      </c>
      <c r="E3092" s="90" t="s">
        <v>2983</v>
      </c>
      <c r="G3092" s="55" t="s">
        <v>2982</v>
      </c>
      <c r="H3092" s="55">
        <v>1990</v>
      </c>
      <c r="I3092" s="55">
        <v>1985</v>
      </c>
      <c r="J3092" s="55" t="s">
        <v>2619</v>
      </c>
      <c r="K3092" s="55" t="s">
        <v>2984</v>
      </c>
      <c r="L3092" s="55" t="s">
        <v>2748</v>
      </c>
      <c r="M3092" s="90">
        <f>-14</f>
        <v>-14</v>
      </c>
      <c r="N3092" s="90">
        <f>33+49/60</f>
        <v>33.81666666666667</v>
      </c>
      <c r="O3092" s="90">
        <v>1118.5999999999999</v>
      </c>
      <c r="U3092" s="55" t="s">
        <v>1682</v>
      </c>
      <c r="V3092" s="55" t="s">
        <v>1940</v>
      </c>
      <c r="Y3092" s="55" t="s">
        <v>2985</v>
      </c>
      <c r="AN3092" s="185" t="s">
        <v>2996</v>
      </c>
      <c r="AO3092" s="185" t="s">
        <v>5150</v>
      </c>
      <c r="AQ3092" s="55" t="s">
        <v>553</v>
      </c>
      <c r="AR3092" s="55" t="s">
        <v>1607</v>
      </c>
      <c r="AS3092" s="55" t="s">
        <v>132</v>
      </c>
      <c r="AU3092" s="181" t="s">
        <v>7494</v>
      </c>
      <c r="AV3092" s="185" t="s">
        <v>176</v>
      </c>
      <c r="AX3092" s="185" t="s">
        <v>176</v>
      </c>
      <c r="BE3092" s="226" t="s">
        <v>161</v>
      </c>
      <c r="BG3092" s="191" t="s">
        <v>176</v>
      </c>
      <c r="BH3092" s="226" t="s">
        <v>161</v>
      </c>
      <c r="BI3092" s="191" t="s">
        <v>176</v>
      </c>
      <c r="BJ3092" s="55" t="s">
        <v>176</v>
      </c>
      <c r="BK3092" s="55" t="s">
        <v>6333</v>
      </c>
      <c r="BM3092" s="192" t="s">
        <v>160</v>
      </c>
      <c r="CB3092" s="66">
        <v>930</v>
      </c>
      <c r="CC3092" s="66">
        <v>2150</v>
      </c>
      <c r="GP3092" s="292" t="s">
        <v>7494</v>
      </c>
      <c r="JU3092" s="55" t="s">
        <v>2991</v>
      </c>
    </row>
    <row r="3093" spans="1:281" x14ac:dyDescent="0.25">
      <c r="A3093" s="55">
        <v>3092</v>
      </c>
      <c r="B3093" s="12" t="s">
        <v>7067</v>
      </c>
      <c r="C3093" s="155">
        <v>148</v>
      </c>
      <c r="D3093" s="55" t="s">
        <v>4316</v>
      </c>
      <c r="E3093" s="90" t="s">
        <v>2983</v>
      </c>
      <c r="G3093" s="55" t="s">
        <v>2982</v>
      </c>
      <c r="H3093" s="55">
        <v>1990</v>
      </c>
      <c r="I3093" s="55">
        <v>1985</v>
      </c>
      <c r="J3093" s="55" t="s">
        <v>2619</v>
      </c>
      <c r="K3093" s="55" t="s">
        <v>2984</v>
      </c>
      <c r="L3093" s="55" t="s">
        <v>2748</v>
      </c>
      <c r="M3093" s="90">
        <f>-14</f>
        <v>-14</v>
      </c>
      <c r="N3093" s="90">
        <f>33+49/60</f>
        <v>33.81666666666667</v>
      </c>
      <c r="O3093" s="90">
        <v>1118.5999999999999</v>
      </c>
      <c r="U3093" s="55" t="s">
        <v>1682</v>
      </c>
      <c r="V3093" s="55" t="s">
        <v>1940</v>
      </c>
      <c r="Y3093" s="55" t="s">
        <v>2985</v>
      </c>
      <c r="AN3093" s="185" t="s">
        <v>2997</v>
      </c>
      <c r="AO3093" s="185" t="s">
        <v>5150</v>
      </c>
      <c r="AQ3093" s="55" t="s">
        <v>553</v>
      </c>
      <c r="AR3093" s="55" t="s">
        <v>1607</v>
      </c>
      <c r="AS3093" s="55" t="s">
        <v>132</v>
      </c>
      <c r="AU3093" s="181" t="s">
        <v>7494</v>
      </c>
      <c r="AV3093" s="185" t="s">
        <v>176</v>
      </c>
      <c r="AX3093" s="185" t="s">
        <v>176</v>
      </c>
      <c r="BE3093" s="226" t="s">
        <v>161</v>
      </c>
      <c r="BG3093" s="191" t="s">
        <v>176</v>
      </c>
      <c r="BH3093" s="226" t="s">
        <v>161</v>
      </c>
      <c r="BI3093" s="191" t="s">
        <v>176</v>
      </c>
      <c r="BJ3093" s="55" t="s">
        <v>176</v>
      </c>
      <c r="BK3093" s="55" t="s">
        <v>6333</v>
      </c>
      <c r="BM3093" s="192" t="s">
        <v>160</v>
      </c>
      <c r="CB3093" s="66">
        <v>930</v>
      </c>
      <c r="CC3093" s="66">
        <v>930</v>
      </c>
      <c r="GP3093" s="292" t="s">
        <v>7494</v>
      </c>
      <c r="JU3093" s="55" t="s">
        <v>2991</v>
      </c>
    </row>
    <row r="3094" spans="1:281" x14ac:dyDescent="0.25">
      <c r="A3094" s="55">
        <v>3093</v>
      </c>
      <c r="B3094" s="12" t="s">
        <v>7067</v>
      </c>
      <c r="C3094" s="155">
        <v>148</v>
      </c>
      <c r="D3094" s="55" t="s">
        <v>4316</v>
      </c>
      <c r="E3094" s="90" t="s">
        <v>2983</v>
      </c>
      <c r="G3094" s="55" t="s">
        <v>2982</v>
      </c>
      <c r="H3094" s="55">
        <v>1990</v>
      </c>
      <c r="I3094" s="55">
        <v>1985</v>
      </c>
      <c r="J3094" s="55" t="s">
        <v>2619</v>
      </c>
      <c r="K3094" s="55" t="s">
        <v>2984</v>
      </c>
      <c r="L3094" s="55" t="s">
        <v>2748</v>
      </c>
      <c r="M3094" s="90">
        <f>-14</f>
        <v>-14</v>
      </c>
      <c r="N3094" s="90">
        <f>33+49/60</f>
        <v>33.81666666666667</v>
      </c>
      <c r="O3094" s="90">
        <v>1118.5999999999999</v>
      </c>
      <c r="U3094" s="55" t="s">
        <v>1682</v>
      </c>
      <c r="V3094" s="55" t="s">
        <v>1940</v>
      </c>
      <c r="Y3094" s="55" t="s">
        <v>2985</v>
      </c>
      <c r="AN3094" s="185" t="s">
        <v>2998</v>
      </c>
      <c r="AO3094" s="185" t="s">
        <v>5150</v>
      </c>
      <c r="AQ3094" s="55" t="s">
        <v>553</v>
      </c>
      <c r="AR3094" s="55" t="s">
        <v>1607</v>
      </c>
      <c r="AS3094" s="55" t="s">
        <v>132</v>
      </c>
      <c r="AU3094" s="181" t="s">
        <v>7494</v>
      </c>
      <c r="AV3094" s="185" t="s">
        <v>176</v>
      </c>
      <c r="AX3094" s="185" t="s">
        <v>176</v>
      </c>
      <c r="BE3094" s="226" t="s">
        <v>161</v>
      </c>
      <c r="BG3094" s="191" t="s">
        <v>176</v>
      </c>
      <c r="BH3094" s="226" t="s">
        <v>161</v>
      </c>
      <c r="BI3094" s="191" t="s">
        <v>176</v>
      </c>
      <c r="BJ3094" s="55" t="s">
        <v>176</v>
      </c>
      <c r="BK3094" s="55" t="s">
        <v>6333</v>
      </c>
      <c r="BM3094" s="192" t="s">
        <v>160</v>
      </c>
      <c r="CB3094" s="66">
        <v>930</v>
      </c>
      <c r="CC3094" s="66">
        <v>1640</v>
      </c>
      <c r="GP3094" s="292" t="s">
        <v>7494</v>
      </c>
      <c r="JU3094" s="55" t="s">
        <v>2991</v>
      </c>
    </row>
    <row r="3095" spans="1:281" x14ac:dyDescent="0.25">
      <c r="A3095" s="55">
        <v>3094</v>
      </c>
      <c r="B3095" s="12" t="s">
        <v>7067</v>
      </c>
      <c r="C3095" s="155">
        <v>148</v>
      </c>
      <c r="D3095" s="55" t="s">
        <v>4316</v>
      </c>
      <c r="E3095" s="90" t="s">
        <v>2983</v>
      </c>
      <c r="G3095" s="55" t="s">
        <v>2982</v>
      </c>
      <c r="H3095" s="55">
        <v>1990</v>
      </c>
      <c r="I3095" s="55">
        <v>1985</v>
      </c>
      <c r="J3095" s="55" t="s">
        <v>2619</v>
      </c>
      <c r="K3095" s="55" t="s">
        <v>2984</v>
      </c>
      <c r="L3095" s="55" t="s">
        <v>2748</v>
      </c>
      <c r="M3095" s="90">
        <f>-14</f>
        <v>-14</v>
      </c>
      <c r="N3095" s="90">
        <f>33+49/60</f>
        <v>33.81666666666667</v>
      </c>
      <c r="O3095" s="90">
        <v>1118.5999999999999</v>
      </c>
      <c r="U3095" s="55" t="s">
        <v>1682</v>
      </c>
      <c r="V3095" s="55" t="s">
        <v>1940</v>
      </c>
      <c r="Y3095" s="55" t="s">
        <v>2985</v>
      </c>
      <c r="AN3095" s="185" t="s">
        <v>2987</v>
      </c>
      <c r="AO3095" s="185" t="s">
        <v>5150</v>
      </c>
      <c r="AQ3095" s="55" t="s">
        <v>553</v>
      </c>
      <c r="AR3095" s="55" t="s">
        <v>1607</v>
      </c>
      <c r="AS3095" s="55" t="s">
        <v>132</v>
      </c>
      <c r="AU3095" s="181" t="s">
        <v>7494</v>
      </c>
      <c r="AV3095" s="185" t="s">
        <v>176</v>
      </c>
      <c r="AX3095" s="185" t="s">
        <v>176</v>
      </c>
      <c r="BE3095" s="226" t="s">
        <v>161</v>
      </c>
      <c r="BG3095" s="191" t="s">
        <v>176</v>
      </c>
      <c r="BH3095" s="226" t="s">
        <v>161</v>
      </c>
      <c r="BI3095" s="191" t="s">
        <v>176</v>
      </c>
      <c r="BJ3095" s="55" t="s">
        <v>176</v>
      </c>
      <c r="BK3095" s="55" t="s">
        <v>6333</v>
      </c>
      <c r="BM3095" s="192" t="s">
        <v>160</v>
      </c>
      <c r="CB3095" s="66">
        <v>930</v>
      </c>
      <c r="CC3095" s="66">
        <v>1040</v>
      </c>
      <c r="GP3095" s="292" t="s">
        <v>7494</v>
      </c>
      <c r="JU3095" s="55" t="s">
        <v>2991</v>
      </c>
    </row>
    <row r="3096" spans="1:281" x14ac:dyDescent="0.25">
      <c r="A3096" s="55">
        <v>3095</v>
      </c>
      <c r="B3096" s="12" t="s">
        <v>7067</v>
      </c>
      <c r="C3096" s="155">
        <v>148</v>
      </c>
      <c r="D3096" s="55" t="s">
        <v>4316</v>
      </c>
      <c r="E3096" s="90" t="s">
        <v>2983</v>
      </c>
      <c r="G3096" s="55" t="s">
        <v>2982</v>
      </c>
      <c r="H3096" s="55">
        <v>1990</v>
      </c>
      <c r="I3096" s="55">
        <v>1985</v>
      </c>
      <c r="J3096" s="55" t="s">
        <v>2619</v>
      </c>
      <c r="K3096" s="55" t="s">
        <v>2984</v>
      </c>
      <c r="L3096" s="55" t="s">
        <v>2748</v>
      </c>
      <c r="M3096" s="90">
        <f>-14</f>
        <v>-14</v>
      </c>
      <c r="N3096" s="90">
        <f>33+49/60</f>
        <v>33.81666666666667</v>
      </c>
      <c r="O3096" s="90">
        <v>1118.5999999999999</v>
      </c>
      <c r="U3096" s="55" t="s">
        <v>1682</v>
      </c>
      <c r="V3096" s="55" t="s">
        <v>1940</v>
      </c>
      <c r="Y3096" s="55" t="s">
        <v>2985</v>
      </c>
      <c r="AN3096" s="185" t="s">
        <v>2999</v>
      </c>
      <c r="AO3096" s="185" t="s">
        <v>5150</v>
      </c>
      <c r="AQ3096" s="55" t="s">
        <v>553</v>
      </c>
      <c r="AR3096" s="55" t="s">
        <v>1607</v>
      </c>
      <c r="AS3096" s="55" t="s">
        <v>132</v>
      </c>
      <c r="AU3096" s="181" t="s">
        <v>7494</v>
      </c>
      <c r="AV3096" s="185" t="s">
        <v>176</v>
      </c>
      <c r="AX3096" s="185" t="s">
        <v>176</v>
      </c>
      <c r="BE3096" s="226" t="s">
        <v>161</v>
      </c>
      <c r="BG3096" s="191" t="s">
        <v>176</v>
      </c>
      <c r="BH3096" s="226" t="s">
        <v>161</v>
      </c>
      <c r="BI3096" s="191" t="s">
        <v>176</v>
      </c>
      <c r="BJ3096" s="55" t="s">
        <v>176</v>
      </c>
      <c r="BK3096" s="55" t="s">
        <v>6333</v>
      </c>
      <c r="BM3096" s="192" t="s">
        <v>160</v>
      </c>
      <c r="CB3096" s="66">
        <v>930</v>
      </c>
      <c r="CC3096" s="66">
        <v>1060</v>
      </c>
      <c r="GP3096" s="292" t="s">
        <v>7494</v>
      </c>
      <c r="JU3096" s="55" t="s">
        <v>2991</v>
      </c>
    </row>
    <row r="3097" spans="1:281" x14ac:dyDescent="0.25">
      <c r="A3097" s="55">
        <v>3096</v>
      </c>
      <c r="B3097" s="12" t="s">
        <v>7067</v>
      </c>
      <c r="C3097" s="155">
        <v>148</v>
      </c>
      <c r="D3097" s="55" t="s">
        <v>4316</v>
      </c>
      <c r="E3097" s="90" t="s">
        <v>2983</v>
      </c>
      <c r="G3097" s="55" t="s">
        <v>2982</v>
      </c>
      <c r="H3097" s="55">
        <v>1990</v>
      </c>
      <c r="I3097" s="55">
        <v>1985</v>
      </c>
      <c r="J3097" s="55" t="s">
        <v>2619</v>
      </c>
      <c r="K3097" s="55" t="s">
        <v>2984</v>
      </c>
      <c r="L3097" s="55" t="s">
        <v>2748</v>
      </c>
      <c r="M3097" s="90">
        <f>-14</f>
        <v>-14</v>
      </c>
      <c r="N3097" s="90">
        <f>33+49/60</f>
        <v>33.81666666666667</v>
      </c>
      <c r="O3097" s="90">
        <v>1118.5999999999999</v>
      </c>
      <c r="U3097" s="55" t="s">
        <v>1682</v>
      </c>
      <c r="V3097" s="55" t="s">
        <v>1940</v>
      </c>
      <c r="Y3097" s="55" t="s">
        <v>2985</v>
      </c>
      <c r="AN3097" s="185" t="s">
        <v>3000</v>
      </c>
      <c r="AO3097" s="185" t="s">
        <v>5150</v>
      </c>
      <c r="AQ3097" s="55" t="s">
        <v>553</v>
      </c>
      <c r="AR3097" s="55" t="s">
        <v>1607</v>
      </c>
      <c r="AS3097" s="55" t="s">
        <v>132</v>
      </c>
      <c r="AU3097" s="181" t="s">
        <v>7494</v>
      </c>
      <c r="AV3097" s="185" t="s">
        <v>176</v>
      </c>
      <c r="AX3097" s="185" t="s">
        <v>176</v>
      </c>
      <c r="BE3097" s="226" t="s">
        <v>161</v>
      </c>
      <c r="BG3097" s="191" t="s">
        <v>176</v>
      </c>
      <c r="BH3097" s="226" t="s">
        <v>161</v>
      </c>
      <c r="BI3097" s="191" t="s">
        <v>176</v>
      </c>
      <c r="BJ3097" s="55" t="s">
        <v>176</v>
      </c>
      <c r="BK3097" s="55" t="s">
        <v>6333</v>
      </c>
      <c r="BM3097" s="192" t="s">
        <v>160</v>
      </c>
      <c r="CB3097" s="66">
        <v>930</v>
      </c>
      <c r="CC3097" s="66">
        <v>960</v>
      </c>
      <c r="GP3097" s="292" t="s">
        <v>7494</v>
      </c>
      <c r="JU3097" s="55" t="s">
        <v>2991</v>
      </c>
    </row>
    <row r="3098" spans="1:281" x14ac:dyDescent="0.25">
      <c r="A3098" s="55">
        <v>3097</v>
      </c>
      <c r="B3098" s="12" t="s">
        <v>7067</v>
      </c>
      <c r="C3098" s="155">
        <v>148</v>
      </c>
      <c r="D3098" s="55" t="s">
        <v>4316</v>
      </c>
      <c r="E3098" s="90" t="s">
        <v>2983</v>
      </c>
      <c r="G3098" s="55" t="s">
        <v>2982</v>
      </c>
      <c r="H3098" s="55">
        <v>1990</v>
      </c>
      <c r="I3098" s="55">
        <v>1986</v>
      </c>
      <c r="J3098" s="55" t="s">
        <v>2619</v>
      </c>
      <c r="K3098" s="55" t="s">
        <v>2984</v>
      </c>
      <c r="L3098" s="55" t="s">
        <v>2748</v>
      </c>
      <c r="M3098" s="90">
        <f>-14</f>
        <v>-14</v>
      </c>
      <c r="N3098" s="90">
        <f>33+49/60</f>
        <v>33.81666666666667</v>
      </c>
      <c r="O3098" s="90">
        <v>1118.5999999999999</v>
      </c>
      <c r="U3098" s="55" t="s">
        <v>1801</v>
      </c>
      <c r="V3098" s="55" t="s">
        <v>1940</v>
      </c>
      <c r="Y3098" s="55" t="s">
        <v>2985</v>
      </c>
      <c r="AN3098" s="185" t="s">
        <v>2986</v>
      </c>
      <c r="AO3098" s="185" t="s">
        <v>5150</v>
      </c>
      <c r="AQ3098" s="55" t="s">
        <v>553</v>
      </c>
      <c r="AR3098" s="55" t="s">
        <v>1607</v>
      </c>
      <c r="AS3098" s="55" t="s">
        <v>132</v>
      </c>
      <c r="AU3098" s="181" t="s">
        <v>7494</v>
      </c>
      <c r="AV3098" s="185" t="s">
        <v>176</v>
      </c>
      <c r="AX3098" s="185" t="s">
        <v>176</v>
      </c>
      <c r="BE3098" s="226" t="s">
        <v>161</v>
      </c>
      <c r="BG3098" s="191" t="s">
        <v>176</v>
      </c>
      <c r="BH3098" s="226" t="s">
        <v>161</v>
      </c>
      <c r="BI3098" s="191" t="s">
        <v>176</v>
      </c>
      <c r="BJ3098" s="55" t="s">
        <v>176</v>
      </c>
      <c r="BK3098" s="55" t="s">
        <v>6333</v>
      </c>
      <c r="BM3098" s="192" t="s">
        <v>160</v>
      </c>
      <c r="CB3098" s="66">
        <v>2100</v>
      </c>
      <c r="CC3098" s="66">
        <v>3550</v>
      </c>
      <c r="GP3098" s="292" t="s">
        <v>7494</v>
      </c>
      <c r="JU3098" s="55" t="s">
        <v>2991</v>
      </c>
    </row>
    <row r="3099" spans="1:281" x14ac:dyDescent="0.25">
      <c r="A3099" s="55">
        <v>3098</v>
      </c>
      <c r="B3099" s="12" t="s">
        <v>7067</v>
      </c>
      <c r="C3099" s="155">
        <v>148</v>
      </c>
      <c r="D3099" s="55" t="s">
        <v>4316</v>
      </c>
      <c r="E3099" s="90" t="s">
        <v>2983</v>
      </c>
      <c r="G3099" s="55" t="s">
        <v>2982</v>
      </c>
      <c r="H3099" s="55">
        <v>1990</v>
      </c>
      <c r="I3099" s="55">
        <v>1986</v>
      </c>
      <c r="J3099" s="55" t="s">
        <v>2619</v>
      </c>
      <c r="K3099" s="55" t="s">
        <v>2984</v>
      </c>
      <c r="L3099" s="55" t="s">
        <v>2748</v>
      </c>
      <c r="M3099" s="90">
        <f>-14</f>
        <v>-14</v>
      </c>
      <c r="N3099" s="90">
        <f>33+49/60</f>
        <v>33.81666666666667</v>
      </c>
      <c r="O3099" s="90">
        <v>1118.5999999999999</v>
      </c>
      <c r="U3099" s="55" t="s">
        <v>1801</v>
      </c>
      <c r="V3099" s="55" t="s">
        <v>1940</v>
      </c>
      <c r="Y3099" s="55" t="s">
        <v>2985</v>
      </c>
      <c r="AN3099" s="185" t="s">
        <v>2992</v>
      </c>
      <c r="AO3099" s="185" t="s">
        <v>5150</v>
      </c>
      <c r="AQ3099" s="55" t="s">
        <v>553</v>
      </c>
      <c r="AR3099" s="55" t="s">
        <v>1607</v>
      </c>
      <c r="AS3099" s="55" t="s">
        <v>132</v>
      </c>
      <c r="AU3099" s="181" t="s">
        <v>7494</v>
      </c>
      <c r="AV3099" s="185" t="s">
        <v>176</v>
      </c>
      <c r="AX3099" s="185" t="s">
        <v>176</v>
      </c>
      <c r="BE3099" s="226" t="s">
        <v>161</v>
      </c>
      <c r="BG3099" s="191" t="s">
        <v>176</v>
      </c>
      <c r="BH3099" s="226" t="s">
        <v>161</v>
      </c>
      <c r="BI3099" s="191" t="s">
        <v>176</v>
      </c>
      <c r="BJ3099" s="55" t="s">
        <v>176</v>
      </c>
      <c r="BK3099" s="55" t="s">
        <v>6333</v>
      </c>
      <c r="BM3099" s="192" t="s">
        <v>160</v>
      </c>
      <c r="CB3099" s="66">
        <v>2100</v>
      </c>
      <c r="CC3099" s="66">
        <v>3540</v>
      </c>
      <c r="GP3099" s="292" t="s">
        <v>7494</v>
      </c>
      <c r="JU3099" s="55" t="s">
        <v>2991</v>
      </c>
    </row>
    <row r="3100" spans="1:281" x14ac:dyDescent="0.25">
      <c r="A3100" s="55">
        <v>3099</v>
      </c>
      <c r="B3100" s="12" t="s">
        <v>7067</v>
      </c>
      <c r="C3100" s="155">
        <v>148</v>
      </c>
      <c r="D3100" s="55" t="s">
        <v>4316</v>
      </c>
      <c r="E3100" s="90" t="s">
        <v>2983</v>
      </c>
      <c r="G3100" s="55" t="s">
        <v>2982</v>
      </c>
      <c r="H3100" s="55">
        <v>1990</v>
      </c>
      <c r="I3100" s="55">
        <v>1986</v>
      </c>
      <c r="J3100" s="55" t="s">
        <v>2619</v>
      </c>
      <c r="K3100" s="55" t="s">
        <v>2984</v>
      </c>
      <c r="L3100" s="55" t="s">
        <v>2748</v>
      </c>
      <c r="M3100" s="90">
        <f>-14</f>
        <v>-14</v>
      </c>
      <c r="N3100" s="90">
        <f>33+49/60</f>
        <v>33.81666666666667</v>
      </c>
      <c r="O3100" s="90">
        <v>1118.5999999999999</v>
      </c>
      <c r="U3100" s="55" t="s">
        <v>1801</v>
      </c>
      <c r="V3100" s="55" t="s">
        <v>1940</v>
      </c>
      <c r="Y3100" s="55" t="s">
        <v>2985</v>
      </c>
      <c r="AN3100" s="185" t="s">
        <v>2993</v>
      </c>
      <c r="AO3100" s="185" t="s">
        <v>5150</v>
      </c>
      <c r="AQ3100" s="55" t="s">
        <v>553</v>
      </c>
      <c r="AR3100" s="55" t="s">
        <v>1607</v>
      </c>
      <c r="AS3100" s="55" t="s">
        <v>132</v>
      </c>
      <c r="AU3100" s="181" t="s">
        <v>7494</v>
      </c>
      <c r="AV3100" s="185" t="s">
        <v>176</v>
      </c>
      <c r="AX3100" s="185" t="s">
        <v>176</v>
      </c>
      <c r="BE3100" s="226" t="s">
        <v>161</v>
      </c>
      <c r="BG3100" s="191" t="s">
        <v>176</v>
      </c>
      <c r="BH3100" s="226" t="s">
        <v>161</v>
      </c>
      <c r="BI3100" s="191" t="s">
        <v>176</v>
      </c>
      <c r="BJ3100" s="55" t="s">
        <v>176</v>
      </c>
      <c r="BK3100" s="55" t="s">
        <v>6333</v>
      </c>
      <c r="BM3100" s="192" t="s">
        <v>160</v>
      </c>
      <c r="CB3100" s="66">
        <v>2100</v>
      </c>
      <c r="CC3100" s="66">
        <v>3230</v>
      </c>
      <c r="GP3100" s="292" t="s">
        <v>7494</v>
      </c>
      <c r="JU3100" s="55" t="s">
        <v>2991</v>
      </c>
    </row>
    <row r="3101" spans="1:281" x14ac:dyDescent="0.25">
      <c r="A3101" s="55">
        <v>3100</v>
      </c>
      <c r="B3101" s="12" t="s">
        <v>7067</v>
      </c>
      <c r="C3101" s="155">
        <v>148</v>
      </c>
      <c r="D3101" s="55" t="s">
        <v>4316</v>
      </c>
      <c r="E3101" s="90" t="s">
        <v>2983</v>
      </c>
      <c r="G3101" s="55" t="s">
        <v>2982</v>
      </c>
      <c r="H3101" s="55">
        <v>1990</v>
      </c>
      <c r="I3101" s="55">
        <v>1986</v>
      </c>
      <c r="J3101" s="55" t="s">
        <v>2619</v>
      </c>
      <c r="K3101" s="55" t="s">
        <v>2984</v>
      </c>
      <c r="L3101" s="55" t="s">
        <v>2748</v>
      </c>
      <c r="M3101" s="90">
        <f>-14</f>
        <v>-14</v>
      </c>
      <c r="N3101" s="90">
        <f>33+49/60</f>
        <v>33.81666666666667</v>
      </c>
      <c r="O3101" s="90">
        <v>1118.5999999999999</v>
      </c>
      <c r="U3101" s="55" t="s">
        <v>1801</v>
      </c>
      <c r="V3101" s="55" t="s">
        <v>1940</v>
      </c>
      <c r="Y3101" s="55" t="s">
        <v>2985</v>
      </c>
      <c r="AN3101" s="185" t="s">
        <v>2994</v>
      </c>
      <c r="AO3101" s="185" t="s">
        <v>5150</v>
      </c>
      <c r="AQ3101" s="55" t="s">
        <v>553</v>
      </c>
      <c r="AR3101" s="55" t="s">
        <v>1607</v>
      </c>
      <c r="AS3101" s="55" t="s">
        <v>132</v>
      </c>
      <c r="AU3101" s="181" t="s">
        <v>7494</v>
      </c>
      <c r="AV3101" s="185" t="s">
        <v>176</v>
      </c>
      <c r="AX3101" s="185" t="s">
        <v>176</v>
      </c>
      <c r="BE3101" s="226" t="s">
        <v>161</v>
      </c>
      <c r="BG3101" s="191" t="s">
        <v>176</v>
      </c>
      <c r="BH3101" s="226" t="s">
        <v>161</v>
      </c>
      <c r="BI3101" s="191" t="s">
        <v>176</v>
      </c>
      <c r="BJ3101" s="55" t="s">
        <v>176</v>
      </c>
      <c r="BK3101" s="55" t="s">
        <v>6333</v>
      </c>
      <c r="BM3101" s="192" t="s">
        <v>160</v>
      </c>
      <c r="CB3101" s="66">
        <v>2100</v>
      </c>
      <c r="CC3101" s="66">
        <v>3590</v>
      </c>
      <c r="GP3101" s="292" t="s">
        <v>7494</v>
      </c>
      <c r="JU3101" s="55" t="s">
        <v>2991</v>
      </c>
    </row>
    <row r="3102" spans="1:281" x14ac:dyDescent="0.25">
      <c r="A3102" s="55">
        <v>3101</v>
      </c>
      <c r="B3102" s="12" t="s">
        <v>7067</v>
      </c>
      <c r="C3102" s="155">
        <v>148</v>
      </c>
      <c r="D3102" s="55" t="s">
        <v>4316</v>
      </c>
      <c r="E3102" s="90" t="s">
        <v>2983</v>
      </c>
      <c r="G3102" s="55" t="s">
        <v>2982</v>
      </c>
      <c r="H3102" s="55">
        <v>1990</v>
      </c>
      <c r="I3102" s="55">
        <v>1986</v>
      </c>
      <c r="J3102" s="55" t="s">
        <v>2619</v>
      </c>
      <c r="K3102" s="55" t="s">
        <v>2984</v>
      </c>
      <c r="L3102" s="55" t="s">
        <v>2748</v>
      </c>
      <c r="M3102" s="90">
        <f>-14</f>
        <v>-14</v>
      </c>
      <c r="N3102" s="90">
        <f>33+49/60</f>
        <v>33.81666666666667</v>
      </c>
      <c r="O3102" s="90">
        <v>1118.5999999999999</v>
      </c>
      <c r="U3102" s="55" t="s">
        <v>1801</v>
      </c>
      <c r="V3102" s="55" t="s">
        <v>1940</v>
      </c>
      <c r="Y3102" s="55" t="s">
        <v>2985</v>
      </c>
      <c r="AN3102" s="185" t="s">
        <v>2995</v>
      </c>
      <c r="AO3102" s="185" t="s">
        <v>5150</v>
      </c>
      <c r="AQ3102" s="55" t="s">
        <v>553</v>
      </c>
      <c r="AR3102" s="55" t="s">
        <v>1607</v>
      </c>
      <c r="AS3102" s="55" t="s">
        <v>132</v>
      </c>
      <c r="AU3102" s="181" t="s">
        <v>7494</v>
      </c>
      <c r="AV3102" s="185" t="s">
        <v>176</v>
      </c>
      <c r="AX3102" s="185" t="s">
        <v>176</v>
      </c>
      <c r="BE3102" s="226" t="s">
        <v>161</v>
      </c>
      <c r="BG3102" s="191" t="s">
        <v>176</v>
      </c>
      <c r="BH3102" s="226" t="s">
        <v>161</v>
      </c>
      <c r="BI3102" s="191" t="s">
        <v>176</v>
      </c>
      <c r="BJ3102" s="55" t="s">
        <v>176</v>
      </c>
      <c r="BK3102" s="55" t="s">
        <v>6333</v>
      </c>
      <c r="BM3102" s="192" t="s">
        <v>160</v>
      </c>
      <c r="CB3102" s="66">
        <v>2100</v>
      </c>
      <c r="CC3102" s="66">
        <v>3490</v>
      </c>
      <c r="GP3102" s="292" t="s">
        <v>7494</v>
      </c>
      <c r="JU3102" s="55" t="s">
        <v>2991</v>
      </c>
    </row>
    <row r="3103" spans="1:281" x14ac:dyDescent="0.25">
      <c r="A3103" s="55">
        <v>3102</v>
      </c>
      <c r="B3103" s="12" t="s">
        <v>7067</v>
      </c>
      <c r="C3103" s="155">
        <v>148</v>
      </c>
      <c r="D3103" s="55" t="s">
        <v>4316</v>
      </c>
      <c r="E3103" s="90" t="s">
        <v>2983</v>
      </c>
      <c r="G3103" s="55" t="s">
        <v>2982</v>
      </c>
      <c r="H3103" s="55">
        <v>1990</v>
      </c>
      <c r="I3103" s="55">
        <v>1986</v>
      </c>
      <c r="J3103" s="55" t="s">
        <v>2619</v>
      </c>
      <c r="K3103" s="55" t="s">
        <v>2984</v>
      </c>
      <c r="L3103" s="55" t="s">
        <v>2748</v>
      </c>
      <c r="M3103" s="90">
        <f>-14</f>
        <v>-14</v>
      </c>
      <c r="N3103" s="90">
        <f>33+49/60</f>
        <v>33.81666666666667</v>
      </c>
      <c r="O3103" s="90">
        <v>1118.5999999999999</v>
      </c>
      <c r="U3103" s="55" t="s">
        <v>1801</v>
      </c>
      <c r="V3103" s="55" t="s">
        <v>1940</v>
      </c>
      <c r="Y3103" s="55" t="s">
        <v>2985</v>
      </c>
      <c r="AN3103" s="185" t="s">
        <v>2996</v>
      </c>
      <c r="AO3103" s="185" t="s">
        <v>5150</v>
      </c>
      <c r="AQ3103" s="55" t="s">
        <v>553</v>
      </c>
      <c r="AR3103" s="55" t="s">
        <v>1607</v>
      </c>
      <c r="AS3103" s="55" t="s">
        <v>132</v>
      </c>
      <c r="AU3103" s="181" t="s">
        <v>7494</v>
      </c>
      <c r="AV3103" s="185" t="s">
        <v>176</v>
      </c>
      <c r="AX3103" s="185" t="s">
        <v>176</v>
      </c>
      <c r="BE3103" s="226" t="s">
        <v>161</v>
      </c>
      <c r="BG3103" s="191" t="s">
        <v>176</v>
      </c>
      <c r="BH3103" s="226" t="s">
        <v>161</v>
      </c>
      <c r="BI3103" s="191" t="s">
        <v>176</v>
      </c>
      <c r="BJ3103" s="55" t="s">
        <v>176</v>
      </c>
      <c r="BK3103" s="55" t="s">
        <v>6333</v>
      </c>
      <c r="BM3103" s="192" t="s">
        <v>160</v>
      </c>
      <c r="CB3103" s="66">
        <v>2100</v>
      </c>
      <c r="CC3103" s="66">
        <v>3040</v>
      </c>
      <c r="GP3103" s="292" t="s">
        <v>7494</v>
      </c>
      <c r="JU3103" s="55" t="s">
        <v>2991</v>
      </c>
    </row>
    <row r="3104" spans="1:281" x14ac:dyDescent="0.25">
      <c r="A3104" s="55">
        <v>3103</v>
      </c>
      <c r="B3104" s="12" t="s">
        <v>7067</v>
      </c>
      <c r="C3104" s="155">
        <v>148</v>
      </c>
      <c r="D3104" s="55" t="s">
        <v>4316</v>
      </c>
      <c r="E3104" s="90" t="s">
        <v>2983</v>
      </c>
      <c r="G3104" s="55" t="s">
        <v>2982</v>
      </c>
      <c r="H3104" s="55">
        <v>1990</v>
      </c>
      <c r="I3104" s="55">
        <v>1986</v>
      </c>
      <c r="J3104" s="55" t="s">
        <v>2619</v>
      </c>
      <c r="K3104" s="55" t="s">
        <v>2984</v>
      </c>
      <c r="L3104" s="55" t="s">
        <v>2748</v>
      </c>
      <c r="M3104" s="90">
        <f>-14</f>
        <v>-14</v>
      </c>
      <c r="N3104" s="90">
        <f>33+49/60</f>
        <v>33.81666666666667</v>
      </c>
      <c r="O3104" s="90">
        <v>1118.5999999999999</v>
      </c>
      <c r="U3104" s="55" t="s">
        <v>1801</v>
      </c>
      <c r="V3104" s="55" t="s">
        <v>1940</v>
      </c>
      <c r="Y3104" s="55" t="s">
        <v>2985</v>
      </c>
      <c r="AN3104" s="185" t="s">
        <v>2997</v>
      </c>
      <c r="AO3104" s="185" t="s">
        <v>5150</v>
      </c>
      <c r="AQ3104" s="55" t="s">
        <v>553</v>
      </c>
      <c r="AR3104" s="55" t="s">
        <v>1607</v>
      </c>
      <c r="AS3104" s="55" t="s">
        <v>132</v>
      </c>
      <c r="AU3104" s="181" t="s">
        <v>7494</v>
      </c>
      <c r="AV3104" s="185" t="s">
        <v>176</v>
      </c>
      <c r="AX3104" s="185" t="s">
        <v>176</v>
      </c>
      <c r="BE3104" s="226" t="s">
        <v>161</v>
      </c>
      <c r="BG3104" s="191" t="s">
        <v>176</v>
      </c>
      <c r="BH3104" s="226" t="s">
        <v>161</v>
      </c>
      <c r="BI3104" s="191" t="s">
        <v>176</v>
      </c>
      <c r="BJ3104" s="55" t="s">
        <v>176</v>
      </c>
      <c r="BK3104" s="55" t="s">
        <v>6333</v>
      </c>
      <c r="BM3104" s="192" t="s">
        <v>160</v>
      </c>
      <c r="CB3104" s="66">
        <v>2100</v>
      </c>
      <c r="CC3104" s="66">
        <v>3390</v>
      </c>
      <c r="GP3104" s="292" t="s">
        <v>7494</v>
      </c>
      <c r="JU3104" s="55" t="s">
        <v>2991</v>
      </c>
    </row>
    <row r="3105" spans="1:281" x14ac:dyDescent="0.25">
      <c r="A3105" s="55">
        <v>3104</v>
      </c>
      <c r="B3105" s="12" t="s">
        <v>7067</v>
      </c>
      <c r="C3105" s="155">
        <v>148</v>
      </c>
      <c r="D3105" s="55" t="s">
        <v>4316</v>
      </c>
      <c r="E3105" s="90" t="s">
        <v>2983</v>
      </c>
      <c r="G3105" s="55" t="s">
        <v>2982</v>
      </c>
      <c r="H3105" s="55">
        <v>1990</v>
      </c>
      <c r="I3105" s="55">
        <v>1986</v>
      </c>
      <c r="J3105" s="55" t="s">
        <v>2619</v>
      </c>
      <c r="K3105" s="55" t="s">
        <v>2984</v>
      </c>
      <c r="L3105" s="55" t="s">
        <v>2748</v>
      </c>
      <c r="M3105" s="90">
        <f>-14</f>
        <v>-14</v>
      </c>
      <c r="N3105" s="90">
        <f>33+49/60</f>
        <v>33.81666666666667</v>
      </c>
      <c r="O3105" s="90">
        <v>1118.5999999999999</v>
      </c>
      <c r="U3105" s="55" t="s">
        <v>1801</v>
      </c>
      <c r="V3105" s="55" t="s">
        <v>1940</v>
      </c>
      <c r="Y3105" s="55" t="s">
        <v>2985</v>
      </c>
      <c r="AN3105" s="185" t="s">
        <v>2998</v>
      </c>
      <c r="AO3105" s="185" t="s">
        <v>5150</v>
      </c>
      <c r="AQ3105" s="55" t="s">
        <v>553</v>
      </c>
      <c r="AR3105" s="55" t="s">
        <v>1607</v>
      </c>
      <c r="AS3105" s="55" t="s">
        <v>132</v>
      </c>
      <c r="AU3105" s="181" t="s">
        <v>7494</v>
      </c>
      <c r="AV3105" s="185" t="s">
        <v>176</v>
      </c>
      <c r="AX3105" s="185" t="s">
        <v>176</v>
      </c>
      <c r="BE3105" s="226" t="s">
        <v>161</v>
      </c>
      <c r="BG3105" s="191" t="s">
        <v>176</v>
      </c>
      <c r="BH3105" s="226" t="s">
        <v>161</v>
      </c>
      <c r="BI3105" s="191" t="s">
        <v>176</v>
      </c>
      <c r="BJ3105" s="55" t="s">
        <v>176</v>
      </c>
      <c r="BK3105" s="55" t="s">
        <v>6333</v>
      </c>
      <c r="BM3105" s="192" t="s">
        <v>160</v>
      </c>
      <c r="CB3105" s="66">
        <v>2100</v>
      </c>
      <c r="CC3105" s="66">
        <v>3200</v>
      </c>
      <c r="GP3105" s="292" t="s">
        <v>7494</v>
      </c>
      <c r="JU3105" s="55" t="s">
        <v>2991</v>
      </c>
    </row>
    <row r="3106" spans="1:281" x14ac:dyDescent="0.25">
      <c r="A3106" s="55">
        <v>3105</v>
      </c>
      <c r="B3106" s="12" t="s">
        <v>7067</v>
      </c>
      <c r="C3106" s="155">
        <v>148</v>
      </c>
      <c r="D3106" s="55" t="s">
        <v>4316</v>
      </c>
      <c r="E3106" s="90" t="s">
        <v>2983</v>
      </c>
      <c r="G3106" s="55" t="s">
        <v>2982</v>
      </c>
      <c r="H3106" s="55">
        <v>1990</v>
      </c>
      <c r="I3106" s="55">
        <v>1986</v>
      </c>
      <c r="J3106" s="55" t="s">
        <v>2619</v>
      </c>
      <c r="K3106" s="55" t="s">
        <v>2984</v>
      </c>
      <c r="L3106" s="55" t="s">
        <v>2748</v>
      </c>
      <c r="M3106" s="90">
        <f>-14</f>
        <v>-14</v>
      </c>
      <c r="N3106" s="90">
        <f>33+49/60</f>
        <v>33.81666666666667</v>
      </c>
      <c r="O3106" s="90">
        <v>1118.5999999999999</v>
      </c>
      <c r="U3106" s="55" t="s">
        <v>1801</v>
      </c>
      <c r="V3106" s="55" t="s">
        <v>1940</v>
      </c>
      <c r="Y3106" s="55" t="s">
        <v>2985</v>
      </c>
      <c r="AN3106" s="185" t="s">
        <v>2987</v>
      </c>
      <c r="AO3106" s="185" t="s">
        <v>5150</v>
      </c>
      <c r="AQ3106" s="55" t="s">
        <v>553</v>
      </c>
      <c r="AR3106" s="55" t="s">
        <v>1607</v>
      </c>
      <c r="AS3106" s="55" t="s">
        <v>132</v>
      </c>
      <c r="AU3106" s="181" t="s">
        <v>7494</v>
      </c>
      <c r="AV3106" s="185" t="s">
        <v>176</v>
      </c>
      <c r="AX3106" s="185" t="s">
        <v>176</v>
      </c>
      <c r="BE3106" s="226" t="s">
        <v>161</v>
      </c>
      <c r="BG3106" s="191" t="s">
        <v>176</v>
      </c>
      <c r="BH3106" s="226" t="s">
        <v>161</v>
      </c>
      <c r="BI3106" s="191" t="s">
        <v>176</v>
      </c>
      <c r="BJ3106" s="55" t="s">
        <v>176</v>
      </c>
      <c r="BK3106" s="55" t="s">
        <v>6333</v>
      </c>
      <c r="BM3106" s="192" t="s">
        <v>160</v>
      </c>
      <c r="CB3106" s="66">
        <v>2100</v>
      </c>
      <c r="CC3106" s="66">
        <v>2920</v>
      </c>
      <c r="GP3106" s="292" t="s">
        <v>7494</v>
      </c>
      <c r="JU3106" s="55" t="s">
        <v>2991</v>
      </c>
    </row>
    <row r="3107" spans="1:281" x14ac:dyDescent="0.25">
      <c r="A3107" s="55">
        <v>3106</v>
      </c>
      <c r="B3107" s="12" t="s">
        <v>7067</v>
      </c>
      <c r="C3107" s="155">
        <v>148</v>
      </c>
      <c r="D3107" s="55" t="s">
        <v>4316</v>
      </c>
      <c r="E3107" s="90" t="s">
        <v>2983</v>
      </c>
      <c r="G3107" s="55" t="s">
        <v>2982</v>
      </c>
      <c r="H3107" s="55">
        <v>1990</v>
      </c>
      <c r="I3107" s="55">
        <v>1986</v>
      </c>
      <c r="J3107" s="55" t="s">
        <v>2619</v>
      </c>
      <c r="K3107" s="55" t="s">
        <v>2984</v>
      </c>
      <c r="L3107" s="55" t="s">
        <v>2748</v>
      </c>
      <c r="M3107" s="90">
        <f>-14</f>
        <v>-14</v>
      </c>
      <c r="N3107" s="90">
        <f>33+49/60</f>
        <v>33.81666666666667</v>
      </c>
      <c r="O3107" s="90">
        <v>1118.5999999999999</v>
      </c>
      <c r="U3107" s="55" t="s">
        <v>1801</v>
      </c>
      <c r="V3107" s="55" t="s">
        <v>1940</v>
      </c>
      <c r="Y3107" s="55" t="s">
        <v>2985</v>
      </c>
      <c r="AN3107" s="185" t="s">
        <v>2999</v>
      </c>
      <c r="AO3107" s="185" t="s">
        <v>5150</v>
      </c>
      <c r="AQ3107" s="55" t="s">
        <v>553</v>
      </c>
      <c r="AR3107" s="55" t="s">
        <v>1607</v>
      </c>
      <c r="AS3107" s="55" t="s">
        <v>132</v>
      </c>
      <c r="AU3107" s="181" t="s">
        <v>7494</v>
      </c>
      <c r="AV3107" s="185" t="s">
        <v>176</v>
      </c>
      <c r="AX3107" s="185" t="s">
        <v>176</v>
      </c>
      <c r="BE3107" s="226" t="s">
        <v>161</v>
      </c>
      <c r="BG3107" s="191" t="s">
        <v>176</v>
      </c>
      <c r="BH3107" s="226" t="s">
        <v>161</v>
      </c>
      <c r="BI3107" s="191" t="s">
        <v>176</v>
      </c>
      <c r="BJ3107" s="55" t="s">
        <v>176</v>
      </c>
      <c r="BK3107" s="55" t="s">
        <v>6333</v>
      </c>
      <c r="BM3107" s="192" t="s">
        <v>160</v>
      </c>
      <c r="CB3107" s="66">
        <v>2100</v>
      </c>
      <c r="CC3107" s="66">
        <v>3120</v>
      </c>
      <c r="GP3107" s="292" t="s">
        <v>7494</v>
      </c>
      <c r="JU3107" s="55" t="s">
        <v>2991</v>
      </c>
    </row>
    <row r="3108" spans="1:281" x14ac:dyDescent="0.25">
      <c r="A3108" s="55">
        <v>3107</v>
      </c>
      <c r="B3108" s="12" t="s">
        <v>7067</v>
      </c>
      <c r="C3108" s="155">
        <v>148</v>
      </c>
      <c r="D3108" s="55" t="s">
        <v>4316</v>
      </c>
      <c r="E3108" s="90" t="s">
        <v>2983</v>
      </c>
      <c r="G3108" s="55" t="s">
        <v>2982</v>
      </c>
      <c r="H3108" s="55">
        <v>1990</v>
      </c>
      <c r="I3108" s="55">
        <v>1986</v>
      </c>
      <c r="J3108" s="55" t="s">
        <v>2619</v>
      </c>
      <c r="K3108" s="55" t="s">
        <v>2984</v>
      </c>
      <c r="L3108" s="55" t="s">
        <v>2748</v>
      </c>
      <c r="M3108" s="90">
        <f>-14</f>
        <v>-14</v>
      </c>
      <c r="N3108" s="90">
        <f>33+49/60</f>
        <v>33.81666666666667</v>
      </c>
      <c r="O3108" s="90">
        <v>1118.5999999999999</v>
      </c>
      <c r="U3108" s="55" t="s">
        <v>1801</v>
      </c>
      <c r="V3108" s="55" t="s">
        <v>1940</v>
      </c>
      <c r="Y3108" s="55" t="s">
        <v>2985</v>
      </c>
      <c r="AN3108" s="185" t="s">
        <v>3000</v>
      </c>
      <c r="AO3108" s="185" t="s">
        <v>5150</v>
      </c>
      <c r="AQ3108" s="55" t="s">
        <v>553</v>
      </c>
      <c r="AR3108" s="55" t="s">
        <v>1607</v>
      </c>
      <c r="AS3108" s="55" t="s">
        <v>132</v>
      </c>
      <c r="AU3108" s="181" t="s">
        <v>7494</v>
      </c>
      <c r="AV3108" s="185" t="s">
        <v>176</v>
      </c>
      <c r="AX3108" s="185" t="s">
        <v>176</v>
      </c>
      <c r="BE3108" s="226" t="s">
        <v>161</v>
      </c>
      <c r="BG3108" s="191" t="s">
        <v>176</v>
      </c>
      <c r="BH3108" s="226" t="s">
        <v>161</v>
      </c>
      <c r="BI3108" s="191" t="s">
        <v>176</v>
      </c>
      <c r="BJ3108" s="55" t="s">
        <v>176</v>
      </c>
      <c r="BK3108" s="55" t="s">
        <v>6333</v>
      </c>
      <c r="BM3108" s="192" t="s">
        <v>160</v>
      </c>
      <c r="CB3108" s="66">
        <v>2100</v>
      </c>
      <c r="CC3108" s="66">
        <v>2310</v>
      </c>
      <c r="GP3108" s="292" t="s">
        <v>7494</v>
      </c>
      <c r="JU3108" s="55" t="s">
        <v>2991</v>
      </c>
    </row>
    <row r="3109" spans="1:281" x14ac:dyDescent="0.25">
      <c r="A3109" s="55">
        <v>3108</v>
      </c>
      <c r="B3109" s="12" t="s">
        <v>7067</v>
      </c>
      <c r="C3109" s="155">
        <v>148</v>
      </c>
      <c r="D3109" s="55" t="s">
        <v>4316</v>
      </c>
      <c r="E3109" s="90" t="s">
        <v>2983</v>
      </c>
      <c r="G3109" s="55" t="s">
        <v>2982</v>
      </c>
      <c r="H3109" s="55">
        <v>1990</v>
      </c>
      <c r="I3109" s="55">
        <v>1987</v>
      </c>
      <c r="J3109" s="55" t="s">
        <v>2619</v>
      </c>
      <c r="K3109" s="55" t="s">
        <v>2984</v>
      </c>
      <c r="L3109" s="55" t="s">
        <v>2748</v>
      </c>
      <c r="M3109" s="90">
        <f>-14</f>
        <v>-14</v>
      </c>
      <c r="N3109" s="90">
        <f>33+49/60</f>
        <v>33.81666666666667</v>
      </c>
      <c r="O3109" s="90">
        <v>1118.5999999999999</v>
      </c>
      <c r="U3109" s="55" t="s">
        <v>1694</v>
      </c>
      <c r="V3109" s="55" t="s">
        <v>1940</v>
      </c>
      <c r="Y3109" s="55" t="s">
        <v>2985</v>
      </c>
      <c r="AN3109" s="185" t="s">
        <v>2986</v>
      </c>
      <c r="AO3109" s="185" t="s">
        <v>5150</v>
      </c>
      <c r="AQ3109" s="55" t="s">
        <v>553</v>
      </c>
      <c r="AR3109" s="55" t="s">
        <v>1607</v>
      </c>
      <c r="AS3109" s="55" t="s">
        <v>132</v>
      </c>
      <c r="AU3109" s="181" t="s">
        <v>7494</v>
      </c>
      <c r="AV3109" s="185" t="s">
        <v>176</v>
      </c>
      <c r="AX3109" s="185" t="s">
        <v>176</v>
      </c>
      <c r="BE3109" s="226" t="s">
        <v>161</v>
      </c>
      <c r="BG3109" s="191" t="s">
        <v>176</v>
      </c>
      <c r="BH3109" s="226" t="s">
        <v>161</v>
      </c>
      <c r="BI3109" s="191" t="s">
        <v>176</v>
      </c>
      <c r="BJ3109" s="55" t="s">
        <v>176</v>
      </c>
      <c r="BK3109" s="55" t="s">
        <v>6333</v>
      </c>
      <c r="BM3109" s="192" t="s">
        <v>160</v>
      </c>
      <c r="CB3109" s="66">
        <v>2890</v>
      </c>
      <c r="CC3109" s="66">
        <v>4820</v>
      </c>
      <c r="GP3109" s="292" t="s">
        <v>7494</v>
      </c>
      <c r="JU3109" s="55" t="s">
        <v>2991</v>
      </c>
    </row>
    <row r="3110" spans="1:281" x14ac:dyDescent="0.25">
      <c r="A3110" s="55">
        <v>3109</v>
      </c>
      <c r="B3110" s="12" t="s">
        <v>7067</v>
      </c>
      <c r="C3110" s="155">
        <v>148</v>
      </c>
      <c r="D3110" s="55" t="s">
        <v>4316</v>
      </c>
      <c r="E3110" s="90" t="s">
        <v>2983</v>
      </c>
      <c r="G3110" s="55" t="s">
        <v>2982</v>
      </c>
      <c r="H3110" s="55">
        <v>1990</v>
      </c>
      <c r="I3110" s="55">
        <v>1987</v>
      </c>
      <c r="J3110" s="55" t="s">
        <v>2619</v>
      </c>
      <c r="K3110" s="55" t="s">
        <v>2984</v>
      </c>
      <c r="L3110" s="55" t="s">
        <v>2748</v>
      </c>
      <c r="M3110" s="90">
        <f>-14</f>
        <v>-14</v>
      </c>
      <c r="N3110" s="90">
        <f>33+49/60</f>
        <v>33.81666666666667</v>
      </c>
      <c r="O3110" s="90">
        <v>1118.5999999999999</v>
      </c>
      <c r="U3110" s="55" t="s">
        <v>1694</v>
      </c>
      <c r="V3110" s="55" t="s">
        <v>1940</v>
      </c>
      <c r="Y3110" s="55" t="s">
        <v>2985</v>
      </c>
      <c r="AN3110" s="185" t="s">
        <v>2992</v>
      </c>
      <c r="AO3110" s="185" t="s">
        <v>5150</v>
      </c>
      <c r="AQ3110" s="55" t="s">
        <v>553</v>
      </c>
      <c r="AR3110" s="55" t="s">
        <v>1607</v>
      </c>
      <c r="AS3110" s="55" t="s">
        <v>132</v>
      </c>
      <c r="AU3110" s="181" t="s">
        <v>7494</v>
      </c>
      <c r="AV3110" s="185" t="s">
        <v>176</v>
      </c>
      <c r="AX3110" s="185" t="s">
        <v>176</v>
      </c>
      <c r="BE3110" s="226" t="s">
        <v>161</v>
      </c>
      <c r="BG3110" s="191" t="s">
        <v>176</v>
      </c>
      <c r="BH3110" s="226" t="s">
        <v>161</v>
      </c>
      <c r="BI3110" s="191" t="s">
        <v>176</v>
      </c>
      <c r="BJ3110" s="55" t="s">
        <v>176</v>
      </c>
      <c r="BK3110" s="55" t="s">
        <v>6333</v>
      </c>
      <c r="BM3110" s="192" t="s">
        <v>160</v>
      </c>
      <c r="CB3110" s="66">
        <v>2890</v>
      </c>
      <c r="CC3110" s="66">
        <v>4960</v>
      </c>
      <c r="GP3110" s="292" t="s">
        <v>7494</v>
      </c>
      <c r="JU3110" s="55" t="s">
        <v>2991</v>
      </c>
    </row>
    <row r="3111" spans="1:281" x14ac:dyDescent="0.25">
      <c r="A3111" s="55">
        <v>3110</v>
      </c>
      <c r="B3111" s="12" t="s">
        <v>7067</v>
      </c>
      <c r="C3111" s="155">
        <v>148</v>
      </c>
      <c r="D3111" s="55" t="s">
        <v>4316</v>
      </c>
      <c r="E3111" s="90" t="s">
        <v>2983</v>
      </c>
      <c r="G3111" s="55" t="s">
        <v>2982</v>
      </c>
      <c r="H3111" s="55">
        <v>1990</v>
      </c>
      <c r="I3111" s="55">
        <v>1987</v>
      </c>
      <c r="J3111" s="55" t="s">
        <v>2619</v>
      </c>
      <c r="K3111" s="55" t="s">
        <v>2984</v>
      </c>
      <c r="L3111" s="55" t="s">
        <v>2748</v>
      </c>
      <c r="M3111" s="90">
        <f>-14</f>
        <v>-14</v>
      </c>
      <c r="N3111" s="90">
        <f>33+49/60</f>
        <v>33.81666666666667</v>
      </c>
      <c r="O3111" s="90">
        <v>1118.5999999999999</v>
      </c>
      <c r="U3111" s="55" t="s">
        <v>1694</v>
      </c>
      <c r="V3111" s="55" t="s">
        <v>1940</v>
      </c>
      <c r="Y3111" s="55" t="s">
        <v>2985</v>
      </c>
      <c r="AN3111" s="185" t="s">
        <v>2993</v>
      </c>
      <c r="AO3111" s="185" t="s">
        <v>5150</v>
      </c>
      <c r="AQ3111" s="55" t="s">
        <v>553</v>
      </c>
      <c r="AR3111" s="55" t="s">
        <v>1607</v>
      </c>
      <c r="AS3111" s="55" t="s">
        <v>132</v>
      </c>
      <c r="AU3111" s="181" t="s">
        <v>7494</v>
      </c>
      <c r="AV3111" s="185" t="s">
        <v>176</v>
      </c>
      <c r="AX3111" s="185" t="s">
        <v>176</v>
      </c>
      <c r="BE3111" s="226" t="s">
        <v>161</v>
      </c>
      <c r="BG3111" s="191" t="s">
        <v>176</v>
      </c>
      <c r="BH3111" s="226" t="s">
        <v>161</v>
      </c>
      <c r="BI3111" s="191" t="s">
        <v>176</v>
      </c>
      <c r="BJ3111" s="55" t="s">
        <v>176</v>
      </c>
      <c r="BK3111" s="55" t="s">
        <v>6333</v>
      </c>
      <c r="BM3111" s="192" t="s">
        <v>160</v>
      </c>
      <c r="CB3111" s="66">
        <v>2890</v>
      </c>
      <c r="CC3111" s="66">
        <v>3960</v>
      </c>
      <c r="GP3111" s="292" t="s">
        <v>7494</v>
      </c>
      <c r="JU3111" s="55" t="s">
        <v>2991</v>
      </c>
    </row>
    <row r="3112" spans="1:281" x14ac:dyDescent="0.25">
      <c r="A3112" s="55">
        <v>3111</v>
      </c>
      <c r="B3112" s="12" t="s">
        <v>7067</v>
      </c>
      <c r="C3112" s="155">
        <v>148</v>
      </c>
      <c r="D3112" s="55" t="s">
        <v>4316</v>
      </c>
      <c r="E3112" s="90" t="s">
        <v>2983</v>
      </c>
      <c r="G3112" s="55" t="s">
        <v>2982</v>
      </c>
      <c r="H3112" s="55">
        <v>1990</v>
      </c>
      <c r="I3112" s="55">
        <v>1987</v>
      </c>
      <c r="J3112" s="55" t="s">
        <v>2619</v>
      </c>
      <c r="K3112" s="55" t="s">
        <v>2984</v>
      </c>
      <c r="L3112" s="55" t="s">
        <v>2748</v>
      </c>
      <c r="M3112" s="90">
        <f>-14</f>
        <v>-14</v>
      </c>
      <c r="N3112" s="90">
        <f>33+49/60</f>
        <v>33.81666666666667</v>
      </c>
      <c r="O3112" s="90">
        <v>1118.5999999999999</v>
      </c>
      <c r="U3112" s="55" t="s">
        <v>1694</v>
      </c>
      <c r="V3112" s="55" t="s">
        <v>1940</v>
      </c>
      <c r="Y3112" s="55" t="s">
        <v>2985</v>
      </c>
      <c r="AN3112" s="185" t="s">
        <v>2994</v>
      </c>
      <c r="AO3112" s="185" t="s">
        <v>5150</v>
      </c>
      <c r="AQ3112" s="55" t="s">
        <v>553</v>
      </c>
      <c r="AR3112" s="55" t="s">
        <v>1607</v>
      </c>
      <c r="AS3112" s="55" t="s">
        <v>132</v>
      </c>
      <c r="AU3112" s="181" t="s">
        <v>7494</v>
      </c>
      <c r="AV3112" s="185" t="s">
        <v>176</v>
      </c>
      <c r="AX3112" s="185" t="s">
        <v>176</v>
      </c>
      <c r="BE3112" s="226" t="s">
        <v>161</v>
      </c>
      <c r="BG3112" s="191" t="s">
        <v>176</v>
      </c>
      <c r="BH3112" s="226" t="s">
        <v>161</v>
      </c>
      <c r="BI3112" s="191" t="s">
        <v>176</v>
      </c>
      <c r="BJ3112" s="55" t="s">
        <v>176</v>
      </c>
      <c r="BK3112" s="55" t="s">
        <v>6333</v>
      </c>
      <c r="BM3112" s="192" t="s">
        <v>160</v>
      </c>
      <c r="CB3112" s="66">
        <v>2890</v>
      </c>
      <c r="CC3112" s="66">
        <v>4510</v>
      </c>
      <c r="GP3112" s="292" t="s">
        <v>7494</v>
      </c>
      <c r="JU3112" s="55" t="s">
        <v>2991</v>
      </c>
    </row>
    <row r="3113" spans="1:281" x14ac:dyDescent="0.25">
      <c r="A3113" s="55">
        <v>3112</v>
      </c>
      <c r="B3113" s="12" t="s">
        <v>7067</v>
      </c>
      <c r="C3113" s="155">
        <v>148</v>
      </c>
      <c r="D3113" s="55" t="s">
        <v>4316</v>
      </c>
      <c r="E3113" s="90" t="s">
        <v>2983</v>
      </c>
      <c r="G3113" s="55" t="s">
        <v>2982</v>
      </c>
      <c r="H3113" s="55">
        <v>1990</v>
      </c>
      <c r="I3113" s="55">
        <v>1987</v>
      </c>
      <c r="J3113" s="55" t="s">
        <v>2619</v>
      </c>
      <c r="K3113" s="55" t="s">
        <v>2984</v>
      </c>
      <c r="L3113" s="55" t="s">
        <v>2748</v>
      </c>
      <c r="M3113" s="90">
        <f>-14</f>
        <v>-14</v>
      </c>
      <c r="N3113" s="90">
        <f>33+49/60</f>
        <v>33.81666666666667</v>
      </c>
      <c r="O3113" s="90">
        <v>1118.5999999999999</v>
      </c>
      <c r="U3113" s="55" t="s">
        <v>1694</v>
      </c>
      <c r="V3113" s="55" t="s">
        <v>1940</v>
      </c>
      <c r="Y3113" s="55" t="s">
        <v>2985</v>
      </c>
      <c r="AN3113" s="185" t="s">
        <v>2995</v>
      </c>
      <c r="AO3113" s="185" t="s">
        <v>5150</v>
      </c>
      <c r="AQ3113" s="55" t="s">
        <v>553</v>
      </c>
      <c r="AR3113" s="55" t="s">
        <v>1607</v>
      </c>
      <c r="AS3113" s="55" t="s">
        <v>132</v>
      </c>
      <c r="AU3113" s="181" t="s">
        <v>7494</v>
      </c>
      <c r="AV3113" s="185" t="s">
        <v>176</v>
      </c>
      <c r="AX3113" s="185" t="s">
        <v>176</v>
      </c>
      <c r="BE3113" s="226" t="s">
        <v>161</v>
      </c>
      <c r="BG3113" s="191" t="s">
        <v>176</v>
      </c>
      <c r="BH3113" s="226" t="s">
        <v>161</v>
      </c>
      <c r="BI3113" s="191" t="s">
        <v>176</v>
      </c>
      <c r="BJ3113" s="55" t="s">
        <v>176</v>
      </c>
      <c r="BK3113" s="55" t="s">
        <v>6333</v>
      </c>
      <c r="BM3113" s="192" t="s">
        <v>160</v>
      </c>
      <c r="CB3113" s="66">
        <v>2890</v>
      </c>
      <c r="CC3113" s="66">
        <v>4040</v>
      </c>
      <c r="GP3113" s="292" t="s">
        <v>7494</v>
      </c>
      <c r="JU3113" s="55" t="s">
        <v>2991</v>
      </c>
    </row>
    <row r="3114" spans="1:281" x14ac:dyDescent="0.25">
      <c r="A3114" s="55">
        <v>3113</v>
      </c>
      <c r="B3114" s="12" t="s">
        <v>7067</v>
      </c>
      <c r="C3114" s="155">
        <v>148</v>
      </c>
      <c r="D3114" s="55" t="s">
        <v>4316</v>
      </c>
      <c r="E3114" s="90" t="s">
        <v>2983</v>
      </c>
      <c r="G3114" s="55" t="s">
        <v>2982</v>
      </c>
      <c r="H3114" s="55">
        <v>1990</v>
      </c>
      <c r="I3114" s="55">
        <v>1987</v>
      </c>
      <c r="J3114" s="55" t="s">
        <v>2619</v>
      </c>
      <c r="K3114" s="55" t="s">
        <v>2984</v>
      </c>
      <c r="L3114" s="55" t="s">
        <v>2748</v>
      </c>
      <c r="M3114" s="90">
        <f>-14</f>
        <v>-14</v>
      </c>
      <c r="N3114" s="90">
        <f>33+49/60</f>
        <v>33.81666666666667</v>
      </c>
      <c r="O3114" s="90">
        <v>1118.5999999999999</v>
      </c>
      <c r="U3114" s="55" t="s">
        <v>1694</v>
      </c>
      <c r="V3114" s="55" t="s">
        <v>1940</v>
      </c>
      <c r="Y3114" s="55" t="s">
        <v>2985</v>
      </c>
      <c r="AN3114" s="185" t="s">
        <v>2996</v>
      </c>
      <c r="AO3114" s="185" t="s">
        <v>5150</v>
      </c>
      <c r="AQ3114" s="55" t="s">
        <v>553</v>
      </c>
      <c r="AR3114" s="55" t="s">
        <v>1607</v>
      </c>
      <c r="AS3114" s="55" t="s">
        <v>132</v>
      </c>
      <c r="AU3114" s="181" t="s">
        <v>7494</v>
      </c>
      <c r="AV3114" s="185" t="s">
        <v>176</v>
      </c>
      <c r="AX3114" s="185" t="s">
        <v>176</v>
      </c>
      <c r="BE3114" s="226" t="s">
        <v>161</v>
      </c>
      <c r="BG3114" s="191" t="s">
        <v>176</v>
      </c>
      <c r="BH3114" s="226" t="s">
        <v>161</v>
      </c>
      <c r="BI3114" s="191" t="s">
        <v>176</v>
      </c>
      <c r="BJ3114" s="55" t="s">
        <v>176</v>
      </c>
      <c r="BK3114" s="55" t="s">
        <v>6333</v>
      </c>
      <c r="BM3114" s="192" t="s">
        <v>160</v>
      </c>
      <c r="CB3114" s="66">
        <v>2890</v>
      </c>
      <c r="CC3114" s="66">
        <v>4180</v>
      </c>
      <c r="GP3114" s="292" t="s">
        <v>7494</v>
      </c>
      <c r="JU3114" s="55" t="s">
        <v>2991</v>
      </c>
    </row>
    <row r="3115" spans="1:281" x14ac:dyDescent="0.25">
      <c r="A3115" s="55">
        <v>3114</v>
      </c>
      <c r="B3115" s="12" t="s">
        <v>7067</v>
      </c>
      <c r="C3115" s="155">
        <v>148</v>
      </c>
      <c r="D3115" s="55" t="s">
        <v>4316</v>
      </c>
      <c r="E3115" s="90" t="s">
        <v>2983</v>
      </c>
      <c r="G3115" s="55" t="s">
        <v>2982</v>
      </c>
      <c r="H3115" s="55">
        <v>1990</v>
      </c>
      <c r="I3115" s="55">
        <v>1987</v>
      </c>
      <c r="J3115" s="55" t="s">
        <v>2619</v>
      </c>
      <c r="K3115" s="55" t="s">
        <v>2984</v>
      </c>
      <c r="L3115" s="55" t="s">
        <v>2748</v>
      </c>
      <c r="M3115" s="90">
        <f>-14</f>
        <v>-14</v>
      </c>
      <c r="N3115" s="90">
        <f>33+49/60</f>
        <v>33.81666666666667</v>
      </c>
      <c r="O3115" s="90">
        <v>1118.5999999999999</v>
      </c>
      <c r="U3115" s="55" t="s">
        <v>1694</v>
      </c>
      <c r="V3115" s="55" t="s">
        <v>1940</v>
      </c>
      <c r="Y3115" s="55" t="s">
        <v>2985</v>
      </c>
      <c r="AN3115" s="185" t="s">
        <v>2997</v>
      </c>
      <c r="AO3115" s="185" t="s">
        <v>5150</v>
      </c>
      <c r="AQ3115" s="55" t="s">
        <v>553</v>
      </c>
      <c r="AR3115" s="55" t="s">
        <v>1607</v>
      </c>
      <c r="AS3115" s="55" t="s">
        <v>132</v>
      </c>
      <c r="AU3115" s="181" t="s">
        <v>7494</v>
      </c>
      <c r="AV3115" s="185" t="s">
        <v>176</v>
      </c>
      <c r="AX3115" s="185" t="s">
        <v>176</v>
      </c>
      <c r="BE3115" s="226" t="s">
        <v>161</v>
      </c>
      <c r="BG3115" s="191" t="s">
        <v>176</v>
      </c>
      <c r="BH3115" s="226" t="s">
        <v>161</v>
      </c>
      <c r="BI3115" s="191" t="s">
        <v>176</v>
      </c>
      <c r="BJ3115" s="55" t="s">
        <v>176</v>
      </c>
      <c r="BK3115" s="55" t="s">
        <v>6333</v>
      </c>
      <c r="BM3115" s="192" t="s">
        <v>160</v>
      </c>
      <c r="CB3115" s="66">
        <v>2890</v>
      </c>
      <c r="CC3115" s="66">
        <v>4800</v>
      </c>
      <c r="GP3115" s="292" t="s">
        <v>7494</v>
      </c>
      <c r="JU3115" s="55" t="s">
        <v>2991</v>
      </c>
    </row>
    <row r="3116" spans="1:281" x14ac:dyDescent="0.25">
      <c r="A3116" s="55">
        <v>3115</v>
      </c>
      <c r="B3116" s="12" t="s">
        <v>7067</v>
      </c>
      <c r="C3116" s="155">
        <v>148</v>
      </c>
      <c r="D3116" s="55" t="s">
        <v>4316</v>
      </c>
      <c r="E3116" s="90" t="s">
        <v>2983</v>
      </c>
      <c r="G3116" s="55" t="s">
        <v>2982</v>
      </c>
      <c r="H3116" s="55">
        <v>1990</v>
      </c>
      <c r="I3116" s="55">
        <v>1987</v>
      </c>
      <c r="J3116" s="55" t="s">
        <v>2619</v>
      </c>
      <c r="K3116" s="55" t="s">
        <v>2984</v>
      </c>
      <c r="L3116" s="55" t="s">
        <v>2748</v>
      </c>
      <c r="M3116" s="90">
        <f>-14</f>
        <v>-14</v>
      </c>
      <c r="N3116" s="90">
        <f>33+49/60</f>
        <v>33.81666666666667</v>
      </c>
      <c r="O3116" s="90">
        <v>1118.5999999999999</v>
      </c>
      <c r="U3116" s="55" t="s">
        <v>1694</v>
      </c>
      <c r="V3116" s="55" t="s">
        <v>1940</v>
      </c>
      <c r="Y3116" s="55" t="s">
        <v>2985</v>
      </c>
      <c r="AN3116" s="185" t="s">
        <v>2998</v>
      </c>
      <c r="AO3116" s="185" t="s">
        <v>5150</v>
      </c>
      <c r="AQ3116" s="55" t="s">
        <v>553</v>
      </c>
      <c r="AR3116" s="55" t="s">
        <v>1607</v>
      </c>
      <c r="AS3116" s="55" t="s">
        <v>132</v>
      </c>
      <c r="AU3116" s="181" t="s">
        <v>7494</v>
      </c>
      <c r="AV3116" s="185" t="s">
        <v>176</v>
      </c>
      <c r="AX3116" s="185" t="s">
        <v>176</v>
      </c>
      <c r="BE3116" s="226" t="s">
        <v>161</v>
      </c>
      <c r="BG3116" s="191" t="s">
        <v>176</v>
      </c>
      <c r="BH3116" s="226" t="s">
        <v>161</v>
      </c>
      <c r="BI3116" s="191" t="s">
        <v>176</v>
      </c>
      <c r="BJ3116" s="55" t="s">
        <v>176</v>
      </c>
      <c r="BK3116" s="55" t="s">
        <v>6333</v>
      </c>
      <c r="BM3116" s="192" t="s">
        <v>160</v>
      </c>
      <c r="CB3116" s="66">
        <v>2890</v>
      </c>
      <c r="CC3116" s="66">
        <v>3970</v>
      </c>
      <c r="GP3116" s="292" t="s">
        <v>7494</v>
      </c>
      <c r="JU3116" s="55" t="s">
        <v>2991</v>
      </c>
    </row>
    <row r="3117" spans="1:281" x14ac:dyDescent="0.25">
      <c r="A3117" s="55">
        <v>3116</v>
      </c>
      <c r="B3117" s="12" t="s">
        <v>7067</v>
      </c>
      <c r="C3117" s="155">
        <v>148</v>
      </c>
      <c r="D3117" s="55" t="s">
        <v>4316</v>
      </c>
      <c r="E3117" s="90" t="s">
        <v>2983</v>
      </c>
      <c r="G3117" s="55" t="s">
        <v>2982</v>
      </c>
      <c r="H3117" s="55">
        <v>1990</v>
      </c>
      <c r="I3117" s="55">
        <v>1987</v>
      </c>
      <c r="J3117" s="55" t="s">
        <v>2619</v>
      </c>
      <c r="K3117" s="55" t="s">
        <v>2984</v>
      </c>
      <c r="L3117" s="55" t="s">
        <v>2748</v>
      </c>
      <c r="M3117" s="90">
        <f>-14</f>
        <v>-14</v>
      </c>
      <c r="N3117" s="90">
        <f>33+49/60</f>
        <v>33.81666666666667</v>
      </c>
      <c r="O3117" s="90">
        <v>1118.5999999999999</v>
      </c>
      <c r="U3117" s="55" t="s">
        <v>1694</v>
      </c>
      <c r="V3117" s="55" t="s">
        <v>1940</v>
      </c>
      <c r="Y3117" s="55" t="s">
        <v>2985</v>
      </c>
      <c r="AN3117" s="185" t="s">
        <v>2987</v>
      </c>
      <c r="AO3117" s="185" t="s">
        <v>5150</v>
      </c>
      <c r="AQ3117" s="55" t="s">
        <v>553</v>
      </c>
      <c r="AR3117" s="55" t="s">
        <v>1607</v>
      </c>
      <c r="AS3117" s="55" t="s">
        <v>132</v>
      </c>
      <c r="AU3117" s="181" t="s">
        <v>7494</v>
      </c>
      <c r="AV3117" s="185" t="s">
        <v>176</v>
      </c>
      <c r="AX3117" s="185" t="s">
        <v>176</v>
      </c>
      <c r="BE3117" s="226" t="s">
        <v>161</v>
      </c>
      <c r="BG3117" s="191" t="s">
        <v>176</v>
      </c>
      <c r="BH3117" s="226" t="s">
        <v>161</v>
      </c>
      <c r="BI3117" s="191" t="s">
        <v>176</v>
      </c>
      <c r="BJ3117" s="55" t="s">
        <v>176</v>
      </c>
      <c r="BK3117" s="55" t="s">
        <v>6333</v>
      </c>
      <c r="BM3117" s="192" t="s">
        <v>160</v>
      </c>
      <c r="CB3117" s="66">
        <v>2890</v>
      </c>
      <c r="CC3117" s="66">
        <v>4460</v>
      </c>
      <c r="GP3117" s="292" t="s">
        <v>7494</v>
      </c>
      <c r="JU3117" s="55" t="s">
        <v>2991</v>
      </c>
    </row>
    <row r="3118" spans="1:281" x14ac:dyDescent="0.25">
      <c r="A3118" s="55">
        <v>3117</v>
      </c>
      <c r="B3118" s="12" t="s">
        <v>7067</v>
      </c>
      <c r="C3118" s="155">
        <v>148</v>
      </c>
      <c r="D3118" s="55" t="s">
        <v>4316</v>
      </c>
      <c r="E3118" s="90" t="s">
        <v>2983</v>
      </c>
      <c r="G3118" s="55" t="s">
        <v>2982</v>
      </c>
      <c r="H3118" s="55">
        <v>1990</v>
      </c>
      <c r="I3118" s="55">
        <v>1987</v>
      </c>
      <c r="J3118" s="55" t="s">
        <v>2619</v>
      </c>
      <c r="K3118" s="55" t="s">
        <v>2984</v>
      </c>
      <c r="L3118" s="55" t="s">
        <v>2748</v>
      </c>
      <c r="M3118" s="90">
        <f>-14</f>
        <v>-14</v>
      </c>
      <c r="N3118" s="90">
        <f>33+49/60</f>
        <v>33.81666666666667</v>
      </c>
      <c r="O3118" s="90">
        <v>1118.5999999999999</v>
      </c>
      <c r="U3118" s="55" t="s">
        <v>1694</v>
      </c>
      <c r="V3118" s="55" t="s">
        <v>1940</v>
      </c>
      <c r="Y3118" s="55" t="s">
        <v>2985</v>
      </c>
      <c r="AN3118" s="185" t="s">
        <v>2999</v>
      </c>
      <c r="AO3118" s="185" t="s">
        <v>5150</v>
      </c>
      <c r="AQ3118" s="55" t="s">
        <v>553</v>
      </c>
      <c r="AR3118" s="55" t="s">
        <v>1607</v>
      </c>
      <c r="AS3118" s="55" t="s">
        <v>132</v>
      </c>
      <c r="AU3118" s="181" t="s">
        <v>7494</v>
      </c>
      <c r="AV3118" s="185" t="s">
        <v>176</v>
      </c>
      <c r="AX3118" s="185" t="s">
        <v>176</v>
      </c>
      <c r="BE3118" s="226" t="s">
        <v>161</v>
      </c>
      <c r="BG3118" s="191" t="s">
        <v>176</v>
      </c>
      <c r="BH3118" s="226" t="s">
        <v>161</v>
      </c>
      <c r="BI3118" s="191" t="s">
        <v>176</v>
      </c>
      <c r="BJ3118" s="55" t="s">
        <v>176</v>
      </c>
      <c r="BK3118" s="55" t="s">
        <v>6333</v>
      </c>
      <c r="BM3118" s="192" t="s">
        <v>160</v>
      </c>
      <c r="CB3118" s="66">
        <v>2890</v>
      </c>
      <c r="CC3118" s="66">
        <v>4010</v>
      </c>
      <c r="GP3118" s="292" t="s">
        <v>7494</v>
      </c>
      <c r="JU3118" s="55" t="s">
        <v>2991</v>
      </c>
    </row>
    <row r="3119" spans="1:281" x14ac:dyDescent="0.25">
      <c r="A3119" s="55">
        <v>3118</v>
      </c>
      <c r="B3119" s="12" t="s">
        <v>7067</v>
      </c>
      <c r="C3119" s="155">
        <v>148</v>
      </c>
      <c r="D3119" s="55" t="s">
        <v>4316</v>
      </c>
      <c r="E3119" s="90" t="s">
        <v>2983</v>
      </c>
      <c r="G3119" s="55" t="s">
        <v>2982</v>
      </c>
      <c r="H3119" s="55">
        <v>1990</v>
      </c>
      <c r="I3119" s="55">
        <v>1987</v>
      </c>
      <c r="J3119" s="55" t="s">
        <v>2619</v>
      </c>
      <c r="K3119" s="55" t="s">
        <v>2984</v>
      </c>
      <c r="L3119" s="55" t="s">
        <v>2748</v>
      </c>
      <c r="M3119" s="90">
        <f>-14</f>
        <v>-14</v>
      </c>
      <c r="N3119" s="90">
        <f>33+49/60</f>
        <v>33.81666666666667</v>
      </c>
      <c r="O3119" s="90">
        <v>1118.5999999999999</v>
      </c>
      <c r="U3119" s="55" t="s">
        <v>1694</v>
      </c>
      <c r="V3119" s="55" t="s">
        <v>1940</v>
      </c>
      <c r="Y3119" s="55" t="s">
        <v>2985</v>
      </c>
      <c r="AN3119" s="185" t="s">
        <v>3000</v>
      </c>
      <c r="AO3119" s="185" t="s">
        <v>5150</v>
      </c>
      <c r="AQ3119" s="55" t="s">
        <v>553</v>
      </c>
      <c r="AR3119" s="55" t="s">
        <v>1607</v>
      </c>
      <c r="AS3119" s="55" t="s">
        <v>132</v>
      </c>
      <c r="AU3119" s="181" t="s">
        <v>7494</v>
      </c>
      <c r="AV3119" s="185" t="s">
        <v>176</v>
      </c>
      <c r="AX3119" s="185" t="s">
        <v>176</v>
      </c>
      <c r="BE3119" s="226" t="s">
        <v>161</v>
      </c>
      <c r="BG3119" s="191" t="s">
        <v>176</v>
      </c>
      <c r="BH3119" s="226" t="s">
        <v>161</v>
      </c>
      <c r="BI3119" s="191" t="s">
        <v>176</v>
      </c>
      <c r="BJ3119" s="55" t="s">
        <v>176</v>
      </c>
      <c r="BK3119" s="55" t="s">
        <v>6333</v>
      </c>
      <c r="BM3119" s="192" t="s">
        <v>160</v>
      </c>
      <c r="CB3119" s="66">
        <v>2890</v>
      </c>
      <c r="CC3119" s="66">
        <v>3590</v>
      </c>
      <c r="GP3119" s="292" t="s">
        <v>7494</v>
      </c>
      <c r="JU3119" s="55" t="s">
        <v>2991</v>
      </c>
    </row>
    <row r="3120" spans="1:281" x14ac:dyDescent="0.25">
      <c r="A3120" s="55">
        <v>3119</v>
      </c>
      <c r="B3120" s="12" t="s">
        <v>7067</v>
      </c>
      <c r="C3120" s="155">
        <v>148</v>
      </c>
      <c r="D3120" s="55" t="s">
        <v>4318</v>
      </c>
      <c r="E3120" s="90" t="s">
        <v>2983</v>
      </c>
      <c r="G3120" s="55" t="s">
        <v>2982</v>
      </c>
      <c r="H3120" s="55">
        <v>1990</v>
      </c>
      <c r="I3120" s="55">
        <v>1985</v>
      </c>
      <c r="J3120" s="55" t="s">
        <v>2619</v>
      </c>
      <c r="K3120" s="55" t="s">
        <v>2984</v>
      </c>
      <c r="L3120" s="55" t="s">
        <v>2748</v>
      </c>
      <c r="M3120" s="90">
        <f>-14</f>
        <v>-14</v>
      </c>
      <c r="N3120" s="90">
        <f>33+49/60</f>
        <v>33.81666666666667</v>
      </c>
      <c r="O3120" s="90">
        <v>1118.5999999999999</v>
      </c>
      <c r="U3120" s="55" t="s">
        <v>1682</v>
      </c>
      <c r="V3120" s="55" t="s">
        <v>1940</v>
      </c>
      <c r="Y3120" s="55" t="s">
        <v>2985</v>
      </c>
      <c r="AN3120" s="185" t="s">
        <v>3001</v>
      </c>
      <c r="AO3120" s="185" t="s">
        <v>5150</v>
      </c>
      <c r="AQ3120" s="55" t="s">
        <v>1545</v>
      </c>
      <c r="AR3120" s="55" t="s">
        <v>1607</v>
      </c>
      <c r="AS3120" s="55" t="s">
        <v>132</v>
      </c>
      <c r="AU3120" s="181" t="s">
        <v>7494</v>
      </c>
      <c r="AV3120" s="185" t="s">
        <v>176</v>
      </c>
      <c r="AX3120" s="185" t="s">
        <v>176</v>
      </c>
      <c r="BE3120" s="226" t="s">
        <v>3002</v>
      </c>
      <c r="BF3120" s="191" t="s">
        <v>479</v>
      </c>
      <c r="BG3120" s="191" t="s">
        <v>479</v>
      </c>
      <c r="BH3120" s="226" t="s">
        <v>3002</v>
      </c>
      <c r="BI3120" s="191" t="s">
        <v>479</v>
      </c>
      <c r="BJ3120" s="55" t="s">
        <v>176</v>
      </c>
      <c r="BK3120" s="55" t="s">
        <v>6333</v>
      </c>
      <c r="BM3120" s="192" t="s">
        <v>160</v>
      </c>
      <c r="CB3120" s="66">
        <v>1990</v>
      </c>
      <c r="CC3120" s="66">
        <v>2130</v>
      </c>
      <c r="GP3120" s="292" t="s">
        <v>7494</v>
      </c>
      <c r="JU3120" s="55" t="s">
        <v>2991</v>
      </c>
    </row>
    <row r="3121" spans="1:281" x14ac:dyDescent="0.25">
      <c r="A3121" s="55">
        <v>3120</v>
      </c>
      <c r="B3121" s="12" t="s">
        <v>7067</v>
      </c>
      <c r="C3121" s="155">
        <v>148</v>
      </c>
      <c r="D3121" s="55" t="s">
        <v>4318</v>
      </c>
      <c r="E3121" s="90" t="s">
        <v>2983</v>
      </c>
      <c r="G3121" s="55" t="s">
        <v>2982</v>
      </c>
      <c r="H3121" s="55">
        <v>1990</v>
      </c>
      <c r="I3121" s="55">
        <v>1986</v>
      </c>
      <c r="J3121" s="55" t="s">
        <v>2619</v>
      </c>
      <c r="K3121" s="55" t="s">
        <v>2984</v>
      </c>
      <c r="L3121" s="55" t="s">
        <v>2748</v>
      </c>
      <c r="M3121" s="90">
        <f>-14</f>
        <v>-14</v>
      </c>
      <c r="N3121" s="90">
        <f>33+49/60</f>
        <v>33.81666666666667</v>
      </c>
      <c r="O3121" s="90">
        <v>1118.5999999999999</v>
      </c>
      <c r="U3121" s="55" t="s">
        <v>1801</v>
      </c>
      <c r="V3121" s="55" t="s">
        <v>1940</v>
      </c>
      <c r="Y3121" s="55" t="s">
        <v>2985</v>
      </c>
      <c r="AN3121" s="185" t="s">
        <v>3001</v>
      </c>
      <c r="AO3121" s="185" t="s">
        <v>5150</v>
      </c>
      <c r="AQ3121" s="55" t="s">
        <v>1545</v>
      </c>
      <c r="AR3121" s="55" t="s">
        <v>1607</v>
      </c>
      <c r="AS3121" s="55" t="s">
        <v>132</v>
      </c>
      <c r="AU3121" s="181" t="s">
        <v>7494</v>
      </c>
      <c r="AV3121" s="185" t="s">
        <v>176</v>
      </c>
      <c r="AX3121" s="185" t="s">
        <v>176</v>
      </c>
      <c r="BE3121" s="226" t="s">
        <v>3002</v>
      </c>
      <c r="BF3121" s="191" t="s">
        <v>479</v>
      </c>
      <c r="BG3121" s="191" t="s">
        <v>479</v>
      </c>
      <c r="BH3121" s="226" t="s">
        <v>3002</v>
      </c>
      <c r="BI3121" s="191" t="s">
        <v>479</v>
      </c>
      <c r="BJ3121" s="55" t="s">
        <v>176</v>
      </c>
      <c r="BK3121" s="55" t="s">
        <v>6333</v>
      </c>
      <c r="BM3121" s="192" t="s">
        <v>160</v>
      </c>
      <c r="CB3121" s="66">
        <v>3990</v>
      </c>
      <c r="CC3121" s="66">
        <v>4170</v>
      </c>
      <c r="GP3121" s="292" t="s">
        <v>7494</v>
      </c>
      <c r="JU3121" s="55" t="s">
        <v>2991</v>
      </c>
    </row>
    <row r="3122" spans="1:281" x14ac:dyDescent="0.25">
      <c r="A3122" s="55">
        <v>3121</v>
      </c>
      <c r="B3122" s="12" t="s">
        <v>7067</v>
      </c>
      <c r="C3122" s="155">
        <v>148</v>
      </c>
      <c r="D3122" s="55" t="s">
        <v>4318</v>
      </c>
      <c r="E3122" s="90" t="s">
        <v>2983</v>
      </c>
      <c r="G3122" s="55" t="s">
        <v>2982</v>
      </c>
      <c r="H3122" s="55">
        <v>1990</v>
      </c>
      <c r="I3122" s="55">
        <v>1987</v>
      </c>
      <c r="J3122" s="55" t="s">
        <v>2619</v>
      </c>
      <c r="K3122" s="55" t="s">
        <v>2984</v>
      </c>
      <c r="L3122" s="55" t="s">
        <v>2748</v>
      </c>
      <c r="M3122" s="90">
        <f>-14</f>
        <v>-14</v>
      </c>
      <c r="N3122" s="90">
        <f>33+49/60</f>
        <v>33.81666666666667</v>
      </c>
      <c r="O3122" s="90">
        <v>1118.5999999999999</v>
      </c>
      <c r="U3122" s="55" t="s">
        <v>1694</v>
      </c>
      <c r="V3122" s="55" t="s">
        <v>1940</v>
      </c>
      <c r="Y3122" s="55" t="s">
        <v>2985</v>
      </c>
      <c r="AN3122" s="185" t="s">
        <v>3001</v>
      </c>
      <c r="AO3122" s="185" t="s">
        <v>5150</v>
      </c>
      <c r="AQ3122" s="55" t="s">
        <v>1545</v>
      </c>
      <c r="AR3122" s="55" t="s">
        <v>1607</v>
      </c>
      <c r="AS3122" s="55" t="s">
        <v>132</v>
      </c>
      <c r="AU3122" s="181" t="s">
        <v>7494</v>
      </c>
      <c r="AV3122" s="185" t="s">
        <v>176</v>
      </c>
      <c r="AX3122" s="185" t="s">
        <v>176</v>
      </c>
      <c r="BE3122" s="226" t="s">
        <v>3002</v>
      </c>
      <c r="BF3122" s="191" t="s">
        <v>479</v>
      </c>
      <c r="BG3122" s="191" t="s">
        <v>479</v>
      </c>
      <c r="BH3122" s="226" t="s">
        <v>3002</v>
      </c>
      <c r="BI3122" s="191" t="s">
        <v>479</v>
      </c>
      <c r="BJ3122" s="55" t="s">
        <v>176</v>
      </c>
      <c r="BK3122" s="55" t="s">
        <v>6333</v>
      </c>
      <c r="BM3122" s="192" t="s">
        <v>160</v>
      </c>
      <c r="CB3122" s="66">
        <v>4420</v>
      </c>
      <c r="CC3122" s="66">
        <v>4910</v>
      </c>
      <c r="GP3122" s="292" t="s">
        <v>7494</v>
      </c>
      <c r="JU3122" s="55" t="s">
        <v>2991</v>
      </c>
    </row>
    <row r="3123" spans="1:281" x14ac:dyDescent="0.25">
      <c r="A3123" s="55">
        <v>3122</v>
      </c>
      <c r="B3123" s="12" t="s">
        <v>7067</v>
      </c>
      <c r="C3123" s="155">
        <v>149</v>
      </c>
      <c r="D3123" s="55" t="s">
        <v>4319</v>
      </c>
      <c r="E3123" s="90" t="s">
        <v>3003</v>
      </c>
      <c r="G3123" s="55" t="s">
        <v>3004</v>
      </c>
      <c r="H3123" s="55">
        <v>1999</v>
      </c>
      <c r="I3123" s="55">
        <v>1991</v>
      </c>
      <c r="J3123" s="55" t="s">
        <v>2688</v>
      </c>
      <c r="K3123" s="55" t="s">
        <v>3005</v>
      </c>
      <c r="L3123" s="55" t="s">
        <v>2916</v>
      </c>
      <c r="M3123" s="90">
        <f>-17-35/60</f>
        <v>-17.583333333333332</v>
      </c>
      <c r="N3123" s="90">
        <f>31+14/60</f>
        <v>31.233333333333334</v>
      </c>
      <c r="O3123" s="90">
        <v>1475</v>
      </c>
      <c r="Q3123" s="55">
        <v>23</v>
      </c>
      <c r="S3123" s="90">
        <v>755</v>
      </c>
      <c r="U3123" s="55" t="s">
        <v>1935</v>
      </c>
      <c r="V3123" s="55" t="s">
        <v>1801</v>
      </c>
      <c r="Y3123" s="55" t="s">
        <v>3006</v>
      </c>
      <c r="AE3123" s="90">
        <v>71</v>
      </c>
      <c r="AF3123" s="90">
        <f>100-71-24</f>
        <v>5</v>
      </c>
      <c r="AH3123" s="55" t="s">
        <v>494</v>
      </c>
      <c r="AI3123" s="168">
        <v>4.8</v>
      </c>
      <c r="AJ3123" s="90">
        <v>0.5</v>
      </c>
      <c r="AM3123" s="55" t="s">
        <v>2891</v>
      </c>
      <c r="AN3123" s="185" t="s">
        <v>3007</v>
      </c>
      <c r="AO3123" s="185" t="s">
        <v>5150</v>
      </c>
      <c r="AQ3123" s="55" t="s">
        <v>553</v>
      </c>
      <c r="AR3123" s="55" t="s">
        <v>1607</v>
      </c>
      <c r="AS3123" s="55" t="s">
        <v>132</v>
      </c>
      <c r="AU3123" s="181" t="s">
        <v>7494</v>
      </c>
      <c r="AV3123" s="185" t="s">
        <v>176</v>
      </c>
      <c r="AX3123" s="185" t="s">
        <v>176</v>
      </c>
      <c r="BI3123" s="191"/>
      <c r="BK3123" s="55" t="s">
        <v>6333</v>
      </c>
      <c r="BM3123" s="192" t="s">
        <v>160</v>
      </c>
      <c r="BN3123" s="55">
        <v>3</v>
      </c>
      <c r="BO3123" s="55">
        <v>3</v>
      </c>
      <c r="BQ3123" s="55" t="s">
        <v>141</v>
      </c>
      <c r="BV3123" s="55" t="s">
        <v>3008</v>
      </c>
      <c r="CB3123" s="66">
        <f>CC3123-1000</f>
        <v>1700</v>
      </c>
      <c r="CC3123" s="66">
        <v>2700</v>
      </c>
      <c r="CE3123" s="65">
        <v>200</v>
      </c>
      <c r="CF3123" s="65">
        <v>200</v>
      </c>
      <c r="GP3123" s="292" t="s">
        <v>7494</v>
      </c>
    </row>
    <row r="3124" spans="1:281" x14ac:dyDescent="0.25">
      <c r="A3124" s="55">
        <v>3123</v>
      </c>
      <c r="B3124" s="12" t="s">
        <v>7067</v>
      </c>
      <c r="C3124" s="155">
        <v>149</v>
      </c>
      <c r="D3124" s="55" t="s">
        <v>4319</v>
      </c>
      <c r="E3124" s="90" t="s">
        <v>3003</v>
      </c>
      <c r="G3124" s="55" t="s">
        <v>3004</v>
      </c>
      <c r="H3124" s="55">
        <v>1999</v>
      </c>
      <c r="I3124" s="55">
        <v>1991</v>
      </c>
      <c r="J3124" s="55" t="s">
        <v>2688</v>
      </c>
      <c r="K3124" s="55" t="s">
        <v>3005</v>
      </c>
      <c r="L3124" s="55" t="s">
        <v>2916</v>
      </c>
      <c r="M3124" s="90">
        <f>-17-35/60</f>
        <v>-17.583333333333332</v>
      </c>
      <c r="N3124" s="90">
        <f>31+14/60</f>
        <v>31.233333333333334</v>
      </c>
      <c r="O3124" s="90">
        <v>1475</v>
      </c>
      <c r="Q3124" s="55">
        <v>23</v>
      </c>
      <c r="S3124" s="90">
        <v>755</v>
      </c>
      <c r="U3124" s="55" t="s">
        <v>1935</v>
      </c>
      <c r="V3124" s="55" t="s">
        <v>1801</v>
      </c>
      <c r="Y3124" s="55" t="s">
        <v>3006</v>
      </c>
      <c r="AE3124" s="90">
        <v>71</v>
      </c>
      <c r="AF3124" s="90">
        <f>100-71-24</f>
        <v>5</v>
      </c>
      <c r="AH3124" s="55" t="s">
        <v>494</v>
      </c>
      <c r="AI3124" s="168">
        <v>4.8</v>
      </c>
      <c r="AJ3124" s="90">
        <v>0.5</v>
      </c>
      <c r="AM3124" s="55" t="s">
        <v>2891</v>
      </c>
      <c r="AN3124" s="185" t="s">
        <v>3007</v>
      </c>
      <c r="AO3124" s="185" t="s">
        <v>5150</v>
      </c>
      <c r="AQ3124" s="55" t="s">
        <v>553</v>
      </c>
      <c r="AR3124" s="55" t="s">
        <v>1607</v>
      </c>
      <c r="AS3124" s="55" t="s">
        <v>132</v>
      </c>
      <c r="AU3124" s="181" t="s">
        <v>7494</v>
      </c>
      <c r="AV3124" s="185" t="s">
        <v>176</v>
      </c>
      <c r="AX3124" s="185" t="s">
        <v>176</v>
      </c>
      <c r="BI3124" s="191"/>
      <c r="BK3124" s="55" t="s">
        <v>6333</v>
      </c>
      <c r="BM3124" s="192" t="s">
        <v>160</v>
      </c>
      <c r="BN3124" s="55">
        <v>3</v>
      </c>
      <c r="BO3124" s="55">
        <v>3</v>
      </c>
      <c r="BQ3124" s="55" t="s">
        <v>141</v>
      </c>
      <c r="BV3124" s="55" t="s">
        <v>3009</v>
      </c>
      <c r="CB3124" s="66">
        <f>CC3124-1200</f>
        <v>1700</v>
      </c>
      <c r="CC3124" s="66">
        <v>2900</v>
      </c>
      <c r="CE3124" s="65">
        <v>200</v>
      </c>
      <c r="CF3124" s="65">
        <v>200</v>
      </c>
      <c r="GP3124" s="292" t="s">
        <v>7494</v>
      </c>
    </row>
    <row r="3125" spans="1:281" x14ac:dyDescent="0.25">
      <c r="A3125" s="55">
        <v>3124</v>
      </c>
      <c r="B3125" s="12" t="s">
        <v>7067</v>
      </c>
      <c r="C3125" s="155">
        <v>149</v>
      </c>
      <c r="D3125" s="55" t="s">
        <v>4319</v>
      </c>
      <c r="E3125" s="90" t="s">
        <v>3003</v>
      </c>
      <c r="G3125" s="55" t="s">
        <v>3004</v>
      </c>
      <c r="H3125" s="55">
        <v>1999</v>
      </c>
      <c r="I3125" s="55">
        <v>1991</v>
      </c>
      <c r="J3125" s="55" t="s">
        <v>2688</v>
      </c>
      <c r="K3125" s="55" t="s">
        <v>3005</v>
      </c>
      <c r="L3125" s="55" t="s">
        <v>2916</v>
      </c>
      <c r="M3125" s="90">
        <f>-17-35/60</f>
        <v>-17.583333333333332</v>
      </c>
      <c r="N3125" s="90">
        <f>31+14/60</f>
        <v>31.233333333333334</v>
      </c>
      <c r="O3125" s="90">
        <v>1475</v>
      </c>
      <c r="Q3125" s="55">
        <v>23</v>
      </c>
      <c r="S3125" s="90">
        <v>755</v>
      </c>
      <c r="U3125" s="55" t="s">
        <v>1935</v>
      </c>
      <c r="V3125" s="55" t="s">
        <v>1801</v>
      </c>
      <c r="Y3125" s="55" t="s">
        <v>3006</v>
      </c>
      <c r="AE3125" s="90">
        <v>71</v>
      </c>
      <c r="AF3125" s="90">
        <f>100-71-24</f>
        <v>5</v>
      </c>
      <c r="AH3125" s="55" t="s">
        <v>494</v>
      </c>
      <c r="AI3125" s="168">
        <v>4.8</v>
      </c>
      <c r="AJ3125" s="90">
        <v>0.5</v>
      </c>
      <c r="AM3125" s="55" t="s">
        <v>2891</v>
      </c>
      <c r="AN3125" s="185" t="s">
        <v>3007</v>
      </c>
      <c r="AO3125" s="185" t="s">
        <v>5150</v>
      </c>
      <c r="AQ3125" s="55" t="s">
        <v>553</v>
      </c>
      <c r="AR3125" s="55" t="s">
        <v>1607</v>
      </c>
      <c r="AS3125" s="55" t="s">
        <v>132</v>
      </c>
      <c r="AU3125" s="181" t="s">
        <v>7494</v>
      </c>
      <c r="AV3125" s="185" t="s">
        <v>176</v>
      </c>
      <c r="AX3125" s="185" t="s">
        <v>176</v>
      </c>
      <c r="BI3125" s="191"/>
      <c r="BK3125" s="55" t="s">
        <v>6333</v>
      </c>
      <c r="BM3125" s="192" t="s">
        <v>160</v>
      </c>
      <c r="BN3125" s="55">
        <v>3</v>
      </c>
      <c r="BO3125" s="55">
        <v>3</v>
      </c>
      <c r="BQ3125" s="55" t="s">
        <v>141</v>
      </c>
      <c r="BV3125" s="55" t="s">
        <v>3010</v>
      </c>
      <c r="CB3125" s="66">
        <f>CC3125-500</f>
        <v>1700</v>
      </c>
      <c r="CC3125" s="66">
        <v>2200</v>
      </c>
      <c r="CE3125" s="65">
        <v>200</v>
      </c>
      <c r="CF3125" s="65">
        <v>200</v>
      </c>
      <c r="GP3125" s="292" t="s">
        <v>7494</v>
      </c>
    </row>
    <row r="3126" spans="1:281" x14ac:dyDescent="0.25">
      <c r="A3126" s="55">
        <v>3125</v>
      </c>
      <c r="B3126" s="12" t="s">
        <v>7067</v>
      </c>
      <c r="C3126" s="155">
        <v>149</v>
      </c>
      <c r="D3126" s="55" t="s">
        <v>4319</v>
      </c>
      <c r="E3126" s="90" t="s">
        <v>3003</v>
      </c>
      <c r="G3126" s="55" t="s">
        <v>3004</v>
      </c>
      <c r="H3126" s="55">
        <v>1999</v>
      </c>
      <c r="I3126" s="55">
        <v>1991</v>
      </c>
      <c r="J3126" s="55" t="s">
        <v>2688</v>
      </c>
      <c r="K3126" s="55" t="s">
        <v>3005</v>
      </c>
      <c r="L3126" s="55" t="s">
        <v>2916</v>
      </c>
      <c r="M3126" s="90">
        <f>-17-35/60</f>
        <v>-17.583333333333332</v>
      </c>
      <c r="N3126" s="90">
        <f>31+14/60</f>
        <v>31.233333333333334</v>
      </c>
      <c r="O3126" s="90">
        <v>1475</v>
      </c>
      <c r="Q3126" s="55">
        <v>23</v>
      </c>
      <c r="S3126" s="90">
        <v>755</v>
      </c>
      <c r="U3126" s="55" t="s">
        <v>1935</v>
      </c>
      <c r="V3126" s="55" t="s">
        <v>1801</v>
      </c>
      <c r="Y3126" s="55" t="s">
        <v>3006</v>
      </c>
      <c r="AE3126" s="90">
        <v>71</v>
      </c>
      <c r="AF3126" s="90">
        <f>100-71-24</f>
        <v>5</v>
      </c>
      <c r="AH3126" s="55" t="s">
        <v>494</v>
      </c>
      <c r="AI3126" s="168">
        <v>4.8</v>
      </c>
      <c r="AJ3126" s="90">
        <v>0.5</v>
      </c>
      <c r="AM3126" s="55" t="s">
        <v>2891</v>
      </c>
      <c r="AN3126" s="185" t="s">
        <v>3017</v>
      </c>
      <c r="AO3126" s="185" t="s">
        <v>5150</v>
      </c>
      <c r="AQ3126" s="55" t="s">
        <v>553</v>
      </c>
      <c r="AR3126" s="55" t="s">
        <v>1607</v>
      </c>
      <c r="AS3126" s="55" t="s">
        <v>132</v>
      </c>
      <c r="AU3126" s="181" t="s">
        <v>7494</v>
      </c>
      <c r="AV3126" s="185" t="s">
        <v>176</v>
      </c>
      <c r="AX3126" s="185" t="s">
        <v>176</v>
      </c>
      <c r="BI3126" s="191"/>
      <c r="BK3126" s="55" t="s">
        <v>6333</v>
      </c>
      <c r="BM3126" s="192" t="s">
        <v>160</v>
      </c>
      <c r="BN3126" s="55">
        <v>3</v>
      </c>
      <c r="BO3126" s="55">
        <v>3</v>
      </c>
      <c r="BQ3126" s="55" t="s">
        <v>141</v>
      </c>
      <c r="BV3126" s="55" t="s">
        <v>3008</v>
      </c>
      <c r="CB3126" s="66">
        <f>CC3126-1500</f>
        <v>1700</v>
      </c>
      <c r="CC3126" s="66">
        <v>3200</v>
      </c>
      <c r="CE3126" s="65">
        <v>200</v>
      </c>
      <c r="CF3126" s="65">
        <v>200</v>
      </c>
      <c r="GP3126" s="292" t="s">
        <v>7494</v>
      </c>
    </row>
    <row r="3127" spans="1:281" x14ac:dyDescent="0.25">
      <c r="A3127" s="55">
        <v>3126</v>
      </c>
      <c r="B3127" s="12" t="s">
        <v>7067</v>
      </c>
      <c r="C3127" s="155">
        <v>149</v>
      </c>
      <c r="D3127" s="55" t="s">
        <v>4319</v>
      </c>
      <c r="E3127" s="90" t="s">
        <v>3003</v>
      </c>
      <c r="G3127" s="55" t="s">
        <v>3004</v>
      </c>
      <c r="H3127" s="55">
        <v>1999</v>
      </c>
      <c r="I3127" s="55">
        <v>1991</v>
      </c>
      <c r="J3127" s="55" t="s">
        <v>2688</v>
      </c>
      <c r="K3127" s="55" t="s">
        <v>3005</v>
      </c>
      <c r="L3127" s="55" t="s">
        <v>2916</v>
      </c>
      <c r="M3127" s="90">
        <f>-17-35/60</f>
        <v>-17.583333333333332</v>
      </c>
      <c r="N3127" s="90">
        <f>31+14/60</f>
        <v>31.233333333333334</v>
      </c>
      <c r="O3127" s="90">
        <v>1475</v>
      </c>
      <c r="Q3127" s="55">
        <v>23</v>
      </c>
      <c r="S3127" s="90">
        <v>755</v>
      </c>
      <c r="U3127" s="55" t="s">
        <v>1935</v>
      </c>
      <c r="V3127" s="55" t="s">
        <v>1801</v>
      </c>
      <c r="Y3127" s="55" t="s">
        <v>3006</v>
      </c>
      <c r="AE3127" s="90">
        <v>71</v>
      </c>
      <c r="AF3127" s="90">
        <f>100-71-24</f>
        <v>5</v>
      </c>
      <c r="AH3127" s="55" t="s">
        <v>494</v>
      </c>
      <c r="AI3127" s="168">
        <v>4.8</v>
      </c>
      <c r="AJ3127" s="90">
        <v>0.5</v>
      </c>
      <c r="AM3127" s="55" t="s">
        <v>2891</v>
      </c>
      <c r="AN3127" s="185" t="s">
        <v>3017</v>
      </c>
      <c r="AO3127" s="185" t="s">
        <v>5150</v>
      </c>
      <c r="AQ3127" s="55" t="s">
        <v>553</v>
      </c>
      <c r="AR3127" s="55" t="s">
        <v>1607</v>
      </c>
      <c r="AS3127" s="55" t="s">
        <v>132</v>
      </c>
      <c r="AU3127" s="181" t="s">
        <v>7494</v>
      </c>
      <c r="AV3127" s="185" t="s">
        <v>176</v>
      </c>
      <c r="AX3127" s="185" t="s">
        <v>176</v>
      </c>
      <c r="BI3127" s="191"/>
      <c r="BK3127" s="55" t="s">
        <v>6333</v>
      </c>
      <c r="BM3127" s="192" t="s">
        <v>160</v>
      </c>
      <c r="BN3127" s="55">
        <v>3</v>
      </c>
      <c r="BO3127" s="55">
        <v>3</v>
      </c>
      <c r="BQ3127" s="55" t="s">
        <v>141</v>
      </c>
      <c r="BV3127" s="55" t="s">
        <v>3009</v>
      </c>
      <c r="CB3127" s="66">
        <f>CC3127-1800</f>
        <v>1600</v>
      </c>
      <c r="CC3127" s="66">
        <v>3400</v>
      </c>
      <c r="CE3127" s="65">
        <v>200</v>
      </c>
      <c r="CF3127" s="65">
        <v>200</v>
      </c>
      <c r="GP3127" s="292" t="s">
        <v>7494</v>
      </c>
    </row>
    <row r="3128" spans="1:281" x14ac:dyDescent="0.25">
      <c r="A3128" s="55">
        <v>3127</v>
      </c>
      <c r="B3128" s="12" t="s">
        <v>7067</v>
      </c>
      <c r="C3128" s="155">
        <v>149</v>
      </c>
      <c r="D3128" s="55" t="s">
        <v>4319</v>
      </c>
      <c r="E3128" s="90" t="s">
        <v>3003</v>
      </c>
      <c r="G3128" s="55" t="s">
        <v>3004</v>
      </c>
      <c r="H3128" s="55">
        <v>1999</v>
      </c>
      <c r="I3128" s="55">
        <v>1991</v>
      </c>
      <c r="J3128" s="55" t="s">
        <v>2688</v>
      </c>
      <c r="K3128" s="55" t="s">
        <v>3005</v>
      </c>
      <c r="L3128" s="55" t="s">
        <v>2916</v>
      </c>
      <c r="M3128" s="90">
        <f>-17-35/60</f>
        <v>-17.583333333333332</v>
      </c>
      <c r="N3128" s="90">
        <f>31+14/60</f>
        <v>31.233333333333334</v>
      </c>
      <c r="O3128" s="90">
        <v>1475</v>
      </c>
      <c r="Q3128" s="55">
        <v>23</v>
      </c>
      <c r="S3128" s="90">
        <v>755</v>
      </c>
      <c r="U3128" s="55" t="s">
        <v>1935</v>
      </c>
      <c r="V3128" s="55" t="s">
        <v>1801</v>
      </c>
      <c r="Y3128" s="55" t="s">
        <v>3006</v>
      </c>
      <c r="AE3128" s="90">
        <v>71</v>
      </c>
      <c r="AF3128" s="90">
        <f>100-71-24</f>
        <v>5</v>
      </c>
      <c r="AH3128" s="55" t="s">
        <v>494</v>
      </c>
      <c r="AI3128" s="168">
        <v>4.8</v>
      </c>
      <c r="AJ3128" s="90">
        <v>0.5</v>
      </c>
      <c r="AM3128" s="55" t="s">
        <v>2891</v>
      </c>
      <c r="AN3128" s="185" t="s">
        <v>3017</v>
      </c>
      <c r="AO3128" s="185" t="s">
        <v>5150</v>
      </c>
      <c r="AQ3128" s="55" t="s">
        <v>553</v>
      </c>
      <c r="AR3128" s="55" t="s">
        <v>1607</v>
      </c>
      <c r="AS3128" s="55" t="s">
        <v>132</v>
      </c>
      <c r="AU3128" s="181" t="s">
        <v>7494</v>
      </c>
      <c r="AV3128" s="185" t="s">
        <v>176</v>
      </c>
      <c r="AX3128" s="185" t="s">
        <v>176</v>
      </c>
      <c r="BI3128" s="191"/>
      <c r="BK3128" s="55" t="s">
        <v>6333</v>
      </c>
      <c r="BM3128" s="192" t="s">
        <v>160</v>
      </c>
      <c r="BN3128" s="55">
        <v>3</v>
      </c>
      <c r="BO3128" s="55">
        <v>3</v>
      </c>
      <c r="BQ3128" s="55" t="s">
        <v>141</v>
      </c>
      <c r="BV3128" s="55" t="s">
        <v>3010</v>
      </c>
      <c r="CB3128" s="66">
        <f>CC3128-2300</f>
        <v>1700</v>
      </c>
      <c r="CC3128" s="66">
        <v>4000</v>
      </c>
      <c r="CE3128" s="65">
        <v>200</v>
      </c>
      <c r="CF3128" s="65">
        <v>200</v>
      </c>
      <c r="GP3128" s="292" t="s">
        <v>7494</v>
      </c>
    </row>
    <row r="3129" spans="1:281" x14ac:dyDescent="0.25">
      <c r="A3129" s="55">
        <v>3128</v>
      </c>
      <c r="B3129" s="12" t="s">
        <v>7067</v>
      </c>
      <c r="C3129" s="155">
        <v>149</v>
      </c>
      <c r="D3129" s="55" t="s">
        <v>4319</v>
      </c>
      <c r="E3129" s="90" t="s">
        <v>3003</v>
      </c>
      <c r="G3129" s="55" t="s">
        <v>3004</v>
      </c>
      <c r="H3129" s="55">
        <v>1999</v>
      </c>
      <c r="I3129" s="55">
        <v>1991</v>
      </c>
      <c r="J3129" s="55" t="s">
        <v>2688</v>
      </c>
      <c r="K3129" s="55" t="s">
        <v>3005</v>
      </c>
      <c r="L3129" s="55" t="s">
        <v>2916</v>
      </c>
      <c r="M3129" s="90">
        <f>-17-35/60</f>
        <v>-17.583333333333332</v>
      </c>
      <c r="N3129" s="90">
        <f>31+14/60</f>
        <v>31.233333333333334</v>
      </c>
      <c r="O3129" s="90">
        <v>1475</v>
      </c>
      <c r="Q3129" s="55">
        <v>23</v>
      </c>
      <c r="S3129" s="90">
        <v>755</v>
      </c>
      <c r="U3129" s="55" t="s">
        <v>1935</v>
      </c>
      <c r="V3129" s="55" t="s">
        <v>1801</v>
      </c>
      <c r="Y3129" s="55" t="s">
        <v>3006</v>
      </c>
      <c r="AE3129" s="90">
        <v>71</v>
      </c>
      <c r="AF3129" s="90">
        <f>100-71-24</f>
        <v>5</v>
      </c>
      <c r="AH3129" s="55" t="s">
        <v>494</v>
      </c>
      <c r="AI3129" s="168">
        <v>4.8</v>
      </c>
      <c r="AJ3129" s="90">
        <v>0.5</v>
      </c>
      <c r="AM3129" s="55" t="s">
        <v>2891</v>
      </c>
      <c r="AN3129" s="185" t="s">
        <v>2838</v>
      </c>
      <c r="AO3129" s="185" t="s">
        <v>5150</v>
      </c>
      <c r="AQ3129" s="55" t="s">
        <v>553</v>
      </c>
      <c r="AR3129" s="55" t="s">
        <v>1607</v>
      </c>
      <c r="AS3129" s="55" t="s">
        <v>132</v>
      </c>
      <c r="AU3129" s="181" t="s">
        <v>7494</v>
      </c>
      <c r="AV3129" s="185" t="s">
        <v>176</v>
      </c>
      <c r="AX3129" s="185" t="s">
        <v>176</v>
      </c>
      <c r="BI3129" s="191"/>
      <c r="BK3129" s="55" t="s">
        <v>6333</v>
      </c>
      <c r="BM3129" s="192" t="s">
        <v>160</v>
      </c>
      <c r="BN3129" s="55">
        <v>3</v>
      </c>
      <c r="BO3129" s="55">
        <v>3</v>
      </c>
      <c r="BQ3129" s="55" t="s">
        <v>141</v>
      </c>
      <c r="BV3129" s="55" t="s">
        <v>3008</v>
      </c>
      <c r="CB3129" s="66">
        <f>CC3129-3000</f>
        <v>1700</v>
      </c>
      <c r="CC3129" s="66">
        <v>4700</v>
      </c>
      <c r="CE3129" s="65">
        <v>200</v>
      </c>
      <c r="CF3129" s="65">
        <v>200</v>
      </c>
      <c r="GP3129" s="292" t="s">
        <v>7494</v>
      </c>
    </row>
    <row r="3130" spans="1:281" x14ac:dyDescent="0.25">
      <c r="A3130" s="55">
        <v>3129</v>
      </c>
      <c r="B3130" s="12" t="s">
        <v>7067</v>
      </c>
      <c r="C3130" s="155">
        <v>149</v>
      </c>
      <c r="D3130" s="55" t="s">
        <v>4319</v>
      </c>
      <c r="E3130" s="90" t="s">
        <v>3003</v>
      </c>
      <c r="G3130" s="55" t="s">
        <v>3004</v>
      </c>
      <c r="H3130" s="55">
        <v>1999</v>
      </c>
      <c r="I3130" s="55">
        <v>1991</v>
      </c>
      <c r="J3130" s="55" t="s">
        <v>2688</v>
      </c>
      <c r="K3130" s="55" t="s">
        <v>3005</v>
      </c>
      <c r="L3130" s="55" t="s">
        <v>2916</v>
      </c>
      <c r="M3130" s="90">
        <f>-17-35/60</f>
        <v>-17.583333333333332</v>
      </c>
      <c r="N3130" s="90">
        <f>31+14/60</f>
        <v>31.233333333333334</v>
      </c>
      <c r="O3130" s="90">
        <v>1475</v>
      </c>
      <c r="Q3130" s="55">
        <v>23</v>
      </c>
      <c r="S3130" s="90">
        <v>755</v>
      </c>
      <c r="U3130" s="55" t="s">
        <v>1935</v>
      </c>
      <c r="V3130" s="55" t="s">
        <v>1801</v>
      </c>
      <c r="Y3130" s="55" t="s">
        <v>3006</v>
      </c>
      <c r="AE3130" s="90">
        <v>71</v>
      </c>
      <c r="AF3130" s="90">
        <f>100-71-24</f>
        <v>5</v>
      </c>
      <c r="AH3130" s="55" t="s">
        <v>494</v>
      </c>
      <c r="AI3130" s="168">
        <v>4.8</v>
      </c>
      <c r="AJ3130" s="90">
        <v>0.5</v>
      </c>
      <c r="AM3130" s="55" t="s">
        <v>2891</v>
      </c>
      <c r="AN3130" s="185" t="s">
        <v>2838</v>
      </c>
      <c r="AO3130" s="185" t="s">
        <v>5150</v>
      </c>
      <c r="AQ3130" s="55" t="s">
        <v>553</v>
      </c>
      <c r="AR3130" s="55" t="s">
        <v>1607</v>
      </c>
      <c r="AS3130" s="55" t="s">
        <v>132</v>
      </c>
      <c r="AU3130" s="181" t="s">
        <v>7494</v>
      </c>
      <c r="AV3130" s="185" t="s">
        <v>176</v>
      </c>
      <c r="AX3130" s="185" t="s">
        <v>176</v>
      </c>
      <c r="BI3130" s="191"/>
      <c r="BK3130" s="55" t="s">
        <v>6333</v>
      </c>
      <c r="BM3130" s="192" t="s">
        <v>160</v>
      </c>
      <c r="BN3130" s="55">
        <v>3</v>
      </c>
      <c r="BO3130" s="55">
        <v>3</v>
      </c>
      <c r="BQ3130" s="55" t="s">
        <v>141</v>
      </c>
      <c r="BV3130" s="55" t="s">
        <v>3009</v>
      </c>
      <c r="CB3130" s="66">
        <f>CC3130-3200</f>
        <v>1700</v>
      </c>
      <c r="CC3130" s="66">
        <v>4900</v>
      </c>
      <c r="CE3130" s="65">
        <v>200</v>
      </c>
      <c r="CF3130" s="65">
        <v>200</v>
      </c>
      <c r="GP3130" s="292" t="s">
        <v>7494</v>
      </c>
    </row>
    <row r="3131" spans="1:281" x14ac:dyDescent="0.25">
      <c r="A3131" s="55">
        <v>3130</v>
      </c>
      <c r="B3131" s="12" t="s">
        <v>7067</v>
      </c>
      <c r="C3131" s="155">
        <v>149</v>
      </c>
      <c r="D3131" s="55" t="s">
        <v>4319</v>
      </c>
      <c r="E3131" s="90" t="s">
        <v>3003</v>
      </c>
      <c r="G3131" s="55" t="s">
        <v>3004</v>
      </c>
      <c r="H3131" s="55">
        <v>1999</v>
      </c>
      <c r="I3131" s="55">
        <v>1991</v>
      </c>
      <c r="J3131" s="55" t="s">
        <v>2688</v>
      </c>
      <c r="K3131" s="55" t="s">
        <v>3005</v>
      </c>
      <c r="L3131" s="55" t="s">
        <v>2916</v>
      </c>
      <c r="M3131" s="90">
        <f>-17-35/60</f>
        <v>-17.583333333333332</v>
      </c>
      <c r="N3131" s="90">
        <f>31+14/60</f>
        <v>31.233333333333334</v>
      </c>
      <c r="O3131" s="90">
        <v>1475</v>
      </c>
      <c r="Q3131" s="55">
        <v>23</v>
      </c>
      <c r="S3131" s="90">
        <v>755</v>
      </c>
      <c r="U3131" s="55" t="s">
        <v>1935</v>
      </c>
      <c r="V3131" s="55" t="s">
        <v>1801</v>
      </c>
      <c r="Y3131" s="55" t="s">
        <v>3006</v>
      </c>
      <c r="AE3131" s="90">
        <v>71</v>
      </c>
      <c r="AF3131" s="90">
        <f>100-71-24</f>
        <v>5</v>
      </c>
      <c r="AH3131" s="55" t="s">
        <v>494</v>
      </c>
      <c r="AI3131" s="168">
        <v>4.8</v>
      </c>
      <c r="AJ3131" s="90">
        <v>0.5</v>
      </c>
      <c r="AM3131" s="55" t="s">
        <v>2891</v>
      </c>
      <c r="AN3131" s="185" t="s">
        <v>2838</v>
      </c>
      <c r="AO3131" s="185" t="s">
        <v>5150</v>
      </c>
      <c r="AQ3131" s="55" t="s">
        <v>553</v>
      </c>
      <c r="AR3131" s="55" t="s">
        <v>1607</v>
      </c>
      <c r="AS3131" s="55" t="s">
        <v>132</v>
      </c>
      <c r="AU3131" s="181" t="s">
        <v>7494</v>
      </c>
      <c r="AV3131" s="185" t="s">
        <v>176</v>
      </c>
      <c r="AX3131" s="185" t="s">
        <v>176</v>
      </c>
      <c r="BI3131" s="191"/>
      <c r="BK3131" s="55" t="s">
        <v>6333</v>
      </c>
      <c r="BM3131" s="192" t="s">
        <v>160</v>
      </c>
      <c r="BN3131" s="55">
        <v>3</v>
      </c>
      <c r="BO3131" s="55">
        <v>3</v>
      </c>
      <c r="BQ3131" s="55" t="s">
        <v>141</v>
      </c>
      <c r="BV3131" s="55" t="s">
        <v>3010</v>
      </c>
      <c r="CB3131" s="66">
        <f>CC3131-1400</f>
        <v>1700</v>
      </c>
      <c r="CC3131" s="66">
        <v>3100</v>
      </c>
      <c r="CE3131" s="65">
        <v>200</v>
      </c>
      <c r="CF3131" s="65">
        <v>200</v>
      </c>
      <c r="GP3131" s="292" t="s">
        <v>7494</v>
      </c>
    </row>
    <row r="3132" spans="1:281" x14ac:dyDescent="0.25">
      <c r="A3132" s="55">
        <v>3131</v>
      </c>
      <c r="B3132" s="12" t="s">
        <v>7067</v>
      </c>
      <c r="C3132" s="155">
        <v>149</v>
      </c>
      <c r="D3132" s="55" t="s">
        <v>4319</v>
      </c>
      <c r="E3132" s="90" t="s">
        <v>3003</v>
      </c>
      <c r="G3132" s="55" t="s">
        <v>3004</v>
      </c>
      <c r="H3132" s="55">
        <v>1999</v>
      </c>
      <c r="I3132" s="55">
        <v>1992</v>
      </c>
      <c r="J3132" s="55" t="s">
        <v>2688</v>
      </c>
      <c r="K3132" s="55" t="s">
        <v>3005</v>
      </c>
      <c r="L3132" s="55" t="s">
        <v>2916</v>
      </c>
      <c r="M3132" s="90">
        <f>-17-35/60</f>
        <v>-17.583333333333332</v>
      </c>
      <c r="N3132" s="90">
        <f>31+14/60</f>
        <v>31.233333333333334</v>
      </c>
      <c r="O3132" s="90">
        <v>1475</v>
      </c>
      <c r="Q3132" s="55">
        <v>23</v>
      </c>
      <c r="S3132" s="90">
        <v>755</v>
      </c>
      <c r="U3132" s="55" t="s">
        <v>1805</v>
      </c>
      <c r="V3132" s="55" t="s">
        <v>1801</v>
      </c>
      <c r="Y3132" s="55" t="s">
        <v>3006</v>
      </c>
      <c r="AE3132" s="90">
        <v>71</v>
      </c>
      <c r="AF3132" s="90">
        <f>100-71-24</f>
        <v>5</v>
      </c>
      <c r="AH3132" s="55" t="s">
        <v>494</v>
      </c>
      <c r="AI3132" s="168">
        <v>4.8</v>
      </c>
      <c r="AJ3132" s="90">
        <v>0.5</v>
      </c>
      <c r="AM3132" s="55" t="s">
        <v>2891</v>
      </c>
      <c r="AN3132" s="185" t="s">
        <v>3007</v>
      </c>
      <c r="AO3132" s="185" t="s">
        <v>5150</v>
      </c>
      <c r="AQ3132" s="55" t="s">
        <v>553</v>
      </c>
      <c r="AR3132" s="55" t="s">
        <v>1607</v>
      </c>
      <c r="AS3132" s="55" t="s">
        <v>132</v>
      </c>
      <c r="AU3132" s="181" t="s">
        <v>7494</v>
      </c>
      <c r="AV3132" s="185" t="s">
        <v>176</v>
      </c>
      <c r="AX3132" s="185" t="s">
        <v>176</v>
      </c>
      <c r="BI3132" s="191"/>
      <c r="BK3132" s="55" t="s">
        <v>6333</v>
      </c>
      <c r="BM3132" s="192" t="s">
        <v>160</v>
      </c>
      <c r="BN3132" s="55">
        <v>3</v>
      </c>
      <c r="BO3132" s="55">
        <v>3</v>
      </c>
      <c r="BQ3132" s="55" t="s">
        <v>141</v>
      </c>
      <c r="BV3132" s="55" t="s">
        <v>3013</v>
      </c>
      <c r="CB3132" s="66">
        <f>CC3132-400</f>
        <v>2700</v>
      </c>
      <c r="CC3132" s="66">
        <v>3100</v>
      </c>
      <c r="CE3132" s="65">
        <v>600</v>
      </c>
      <c r="CF3132" s="65">
        <v>600</v>
      </c>
      <c r="GP3132" s="292" t="s">
        <v>7494</v>
      </c>
    </row>
    <row r="3133" spans="1:281" x14ac:dyDescent="0.25">
      <c r="A3133" s="55">
        <v>3132</v>
      </c>
      <c r="B3133" s="12" t="s">
        <v>7067</v>
      </c>
      <c r="C3133" s="155">
        <v>149</v>
      </c>
      <c r="D3133" s="55" t="s">
        <v>4319</v>
      </c>
      <c r="E3133" s="90" t="s">
        <v>3003</v>
      </c>
      <c r="G3133" s="55" t="s">
        <v>3004</v>
      </c>
      <c r="H3133" s="55">
        <v>1999</v>
      </c>
      <c r="I3133" s="55">
        <v>1992</v>
      </c>
      <c r="J3133" s="55" t="s">
        <v>2688</v>
      </c>
      <c r="K3133" s="55" t="s">
        <v>3005</v>
      </c>
      <c r="L3133" s="55" t="s">
        <v>2916</v>
      </c>
      <c r="M3133" s="90">
        <f>-17-35/60</f>
        <v>-17.583333333333332</v>
      </c>
      <c r="N3133" s="90">
        <f>31+14/60</f>
        <v>31.233333333333334</v>
      </c>
      <c r="O3133" s="90">
        <v>1475</v>
      </c>
      <c r="Q3133" s="55">
        <v>23</v>
      </c>
      <c r="S3133" s="90">
        <v>755</v>
      </c>
      <c r="U3133" s="55" t="s">
        <v>1805</v>
      </c>
      <c r="V3133" s="55" t="s">
        <v>1801</v>
      </c>
      <c r="Y3133" s="55" t="s">
        <v>3006</v>
      </c>
      <c r="AE3133" s="90">
        <v>71</v>
      </c>
      <c r="AF3133" s="90">
        <f>100-71-24</f>
        <v>5</v>
      </c>
      <c r="AH3133" s="55" t="s">
        <v>494</v>
      </c>
      <c r="AI3133" s="168">
        <v>4.8</v>
      </c>
      <c r="AJ3133" s="90">
        <v>0.5</v>
      </c>
      <c r="AM3133" s="55" t="s">
        <v>2891</v>
      </c>
      <c r="AN3133" s="185" t="s">
        <v>3007</v>
      </c>
      <c r="AO3133" s="185" t="s">
        <v>5150</v>
      </c>
      <c r="AQ3133" s="55" t="s">
        <v>553</v>
      </c>
      <c r="AR3133" s="55" t="s">
        <v>1607</v>
      </c>
      <c r="AS3133" s="55" t="s">
        <v>132</v>
      </c>
      <c r="AU3133" s="181" t="s">
        <v>7494</v>
      </c>
      <c r="AV3133" s="185" t="s">
        <v>176</v>
      </c>
      <c r="AX3133" s="185" t="s">
        <v>176</v>
      </c>
      <c r="BI3133" s="191"/>
      <c r="BK3133" s="55" t="s">
        <v>6333</v>
      </c>
      <c r="BM3133" s="192" t="s">
        <v>160</v>
      </c>
      <c r="BN3133" s="55">
        <v>3</v>
      </c>
      <c r="BO3133" s="55">
        <v>3</v>
      </c>
      <c r="BQ3133" s="55" t="s">
        <v>141</v>
      </c>
      <c r="BV3133" s="55" t="s">
        <v>3011</v>
      </c>
      <c r="CB3133" s="66">
        <f>CC3133+1300</f>
        <v>2600</v>
      </c>
      <c r="CC3133" s="66">
        <v>1300</v>
      </c>
      <c r="CE3133" s="65">
        <v>600</v>
      </c>
      <c r="CF3133" s="65">
        <v>600</v>
      </c>
      <c r="GP3133" s="292" t="s">
        <v>7494</v>
      </c>
    </row>
    <row r="3134" spans="1:281" x14ac:dyDescent="0.25">
      <c r="A3134" s="55">
        <v>3133</v>
      </c>
      <c r="B3134" s="12" t="s">
        <v>7067</v>
      </c>
      <c r="C3134" s="155">
        <v>149</v>
      </c>
      <c r="D3134" s="55" t="s">
        <v>4319</v>
      </c>
      <c r="E3134" s="90" t="s">
        <v>3003</v>
      </c>
      <c r="G3134" s="55" t="s">
        <v>3004</v>
      </c>
      <c r="H3134" s="55">
        <v>1999</v>
      </c>
      <c r="I3134" s="55">
        <v>1992</v>
      </c>
      <c r="J3134" s="55" t="s">
        <v>2688</v>
      </c>
      <c r="K3134" s="55" t="s">
        <v>3005</v>
      </c>
      <c r="L3134" s="55" t="s">
        <v>2916</v>
      </c>
      <c r="M3134" s="90">
        <f>-17-35/60</f>
        <v>-17.583333333333332</v>
      </c>
      <c r="N3134" s="90">
        <f>31+14/60</f>
        <v>31.233333333333334</v>
      </c>
      <c r="O3134" s="90">
        <v>1475</v>
      </c>
      <c r="Q3134" s="55">
        <v>23</v>
      </c>
      <c r="S3134" s="90">
        <v>755</v>
      </c>
      <c r="U3134" s="55" t="s">
        <v>1805</v>
      </c>
      <c r="V3134" s="55" t="s">
        <v>1801</v>
      </c>
      <c r="Y3134" s="55" t="s">
        <v>3006</v>
      </c>
      <c r="AE3134" s="90">
        <v>71</v>
      </c>
      <c r="AF3134" s="90">
        <f>100-71-24</f>
        <v>5</v>
      </c>
      <c r="AH3134" s="55" t="s">
        <v>494</v>
      </c>
      <c r="AI3134" s="168">
        <v>4.8</v>
      </c>
      <c r="AJ3134" s="90">
        <v>0.5</v>
      </c>
      <c r="AM3134" s="55" t="s">
        <v>2891</v>
      </c>
      <c r="AN3134" s="185" t="s">
        <v>3007</v>
      </c>
      <c r="AO3134" s="185" t="s">
        <v>5150</v>
      </c>
      <c r="AQ3134" s="55" t="s">
        <v>553</v>
      </c>
      <c r="AR3134" s="55" t="s">
        <v>1607</v>
      </c>
      <c r="AS3134" s="55" t="s">
        <v>132</v>
      </c>
      <c r="AU3134" s="181" t="s">
        <v>7494</v>
      </c>
      <c r="AV3134" s="185" t="s">
        <v>176</v>
      </c>
      <c r="AX3134" s="185" t="s">
        <v>176</v>
      </c>
      <c r="BI3134" s="191"/>
      <c r="BK3134" s="55" t="s">
        <v>6333</v>
      </c>
      <c r="BM3134" s="192" t="s">
        <v>160</v>
      </c>
      <c r="BN3134" s="55">
        <v>3</v>
      </c>
      <c r="BO3134" s="55">
        <v>3</v>
      </c>
      <c r="BQ3134" s="55" t="s">
        <v>141</v>
      </c>
      <c r="BV3134" s="55" t="s">
        <v>3014</v>
      </c>
      <c r="CB3134" s="66">
        <f>CC3134-500</f>
        <v>2700</v>
      </c>
      <c r="CC3134" s="66">
        <v>3200</v>
      </c>
      <c r="CE3134" s="65">
        <v>600</v>
      </c>
      <c r="CF3134" s="65">
        <v>600</v>
      </c>
      <c r="GP3134" s="292" t="s">
        <v>7494</v>
      </c>
    </row>
    <row r="3135" spans="1:281" x14ac:dyDescent="0.25">
      <c r="A3135" s="55">
        <v>3134</v>
      </c>
      <c r="B3135" s="12" t="s">
        <v>7067</v>
      </c>
      <c r="C3135" s="155">
        <v>149</v>
      </c>
      <c r="D3135" s="55" t="s">
        <v>4319</v>
      </c>
      <c r="E3135" s="90" t="s">
        <v>3003</v>
      </c>
      <c r="G3135" s="55" t="s">
        <v>3004</v>
      </c>
      <c r="H3135" s="55">
        <v>1999</v>
      </c>
      <c r="I3135" s="55">
        <v>1992</v>
      </c>
      <c r="J3135" s="55" t="s">
        <v>2688</v>
      </c>
      <c r="K3135" s="55" t="s">
        <v>3005</v>
      </c>
      <c r="L3135" s="55" t="s">
        <v>2916</v>
      </c>
      <c r="M3135" s="90">
        <f>-17-35/60</f>
        <v>-17.583333333333332</v>
      </c>
      <c r="N3135" s="90">
        <f>31+14/60</f>
        <v>31.233333333333334</v>
      </c>
      <c r="O3135" s="90">
        <v>1475</v>
      </c>
      <c r="Q3135" s="55">
        <v>23</v>
      </c>
      <c r="S3135" s="90">
        <v>755</v>
      </c>
      <c r="U3135" s="55" t="s">
        <v>1805</v>
      </c>
      <c r="V3135" s="55" t="s">
        <v>1801</v>
      </c>
      <c r="Y3135" s="55" t="s">
        <v>3006</v>
      </c>
      <c r="AE3135" s="90">
        <v>71</v>
      </c>
      <c r="AF3135" s="90">
        <f>100-71-24</f>
        <v>5</v>
      </c>
      <c r="AH3135" s="55" t="s">
        <v>494</v>
      </c>
      <c r="AI3135" s="168">
        <v>4.8</v>
      </c>
      <c r="AJ3135" s="90">
        <v>0.5</v>
      </c>
      <c r="AM3135" s="55" t="s">
        <v>2891</v>
      </c>
      <c r="AN3135" s="185" t="s">
        <v>3017</v>
      </c>
      <c r="AO3135" s="185" t="s">
        <v>5150</v>
      </c>
      <c r="AQ3135" s="55" t="s">
        <v>553</v>
      </c>
      <c r="AR3135" s="55" t="s">
        <v>1607</v>
      </c>
      <c r="AS3135" s="55" t="s">
        <v>132</v>
      </c>
      <c r="AU3135" s="181" t="s">
        <v>7494</v>
      </c>
      <c r="AV3135" s="185" t="s">
        <v>176</v>
      </c>
      <c r="AX3135" s="185" t="s">
        <v>176</v>
      </c>
      <c r="BK3135" s="55" t="s">
        <v>6333</v>
      </c>
      <c r="BM3135" s="192" t="s">
        <v>160</v>
      </c>
      <c r="BN3135" s="55">
        <v>3</v>
      </c>
      <c r="BO3135" s="55">
        <v>3</v>
      </c>
      <c r="BQ3135" s="55" t="s">
        <v>141</v>
      </c>
      <c r="BV3135" s="55" t="s">
        <v>3018</v>
      </c>
      <c r="CB3135" s="66">
        <f>CC3135-100</f>
        <v>2600</v>
      </c>
      <c r="CC3135" s="66">
        <v>2700</v>
      </c>
      <c r="CE3135" s="65">
        <v>600</v>
      </c>
      <c r="CF3135" s="65">
        <v>600</v>
      </c>
      <c r="GP3135" s="292" t="s">
        <v>7494</v>
      </c>
    </row>
    <row r="3136" spans="1:281" x14ac:dyDescent="0.25">
      <c r="A3136" s="55">
        <v>3135</v>
      </c>
      <c r="B3136" s="12" t="s">
        <v>7067</v>
      </c>
      <c r="C3136" s="155">
        <v>149</v>
      </c>
      <c r="D3136" s="55" t="s">
        <v>4319</v>
      </c>
      <c r="E3136" s="90" t="s">
        <v>3003</v>
      </c>
      <c r="G3136" s="55" t="s">
        <v>3004</v>
      </c>
      <c r="H3136" s="55">
        <v>1999</v>
      </c>
      <c r="I3136" s="55">
        <v>1992</v>
      </c>
      <c r="J3136" s="55" t="s">
        <v>2688</v>
      </c>
      <c r="K3136" s="55" t="s">
        <v>3005</v>
      </c>
      <c r="L3136" s="55" t="s">
        <v>2916</v>
      </c>
      <c r="M3136" s="90">
        <f>-17-35/60</f>
        <v>-17.583333333333332</v>
      </c>
      <c r="N3136" s="90">
        <f>31+14/60</f>
        <v>31.233333333333334</v>
      </c>
      <c r="O3136" s="90">
        <v>1475</v>
      </c>
      <c r="Q3136" s="55">
        <v>23</v>
      </c>
      <c r="S3136" s="90">
        <v>755</v>
      </c>
      <c r="U3136" s="55" t="s">
        <v>1805</v>
      </c>
      <c r="V3136" s="55" t="s">
        <v>1801</v>
      </c>
      <c r="Y3136" s="55" t="s">
        <v>3006</v>
      </c>
      <c r="AE3136" s="90">
        <v>71</v>
      </c>
      <c r="AF3136" s="90">
        <f>100-71-24</f>
        <v>5</v>
      </c>
      <c r="AH3136" s="55" t="s">
        <v>494</v>
      </c>
      <c r="AI3136" s="168">
        <v>4.8</v>
      </c>
      <c r="AJ3136" s="90">
        <v>0.5</v>
      </c>
      <c r="AM3136" s="55" t="s">
        <v>2891</v>
      </c>
      <c r="AN3136" s="185" t="s">
        <v>3017</v>
      </c>
      <c r="AO3136" s="185" t="s">
        <v>5150</v>
      </c>
      <c r="AQ3136" s="55" t="s">
        <v>553</v>
      </c>
      <c r="AR3136" s="55" t="s">
        <v>1607</v>
      </c>
      <c r="AS3136" s="55" t="s">
        <v>132</v>
      </c>
      <c r="AU3136" s="181" t="s">
        <v>7494</v>
      </c>
      <c r="AV3136" s="185" t="s">
        <v>176</v>
      </c>
      <c r="AX3136" s="185" t="s">
        <v>176</v>
      </c>
      <c r="BK3136" s="55" t="s">
        <v>6333</v>
      </c>
      <c r="BM3136" s="192" t="s">
        <v>160</v>
      </c>
      <c r="BN3136" s="55">
        <v>3</v>
      </c>
      <c r="BO3136" s="55">
        <v>3</v>
      </c>
      <c r="BQ3136" s="55" t="s">
        <v>141</v>
      </c>
      <c r="BV3136" s="55" t="s">
        <v>3019</v>
      </c>
      <c r="CB3136" s="66">
        <f>CC3136-300</f>
        <v>2700</v>
      </c>
      <c r="CC3136" s="66">
        <v>3000</v>
      </c>
      <c r="CE3136" s="65">
        <v>600</v>
      </c>
      <c r="CF3136" s="65">
        <v>600</v>
      </c>
      <c r="GP3136" s="292" t="s">
        <v>7494</v>
      </c>
    </row>
    <row r="3137" spans="1:198" x14ac:dyDescent="0.25">
      <c r="A3137" s="55">
        <v>3136</v>
      </c>
      <c r="B3137" s="12" t="s">
        <v>7067</v>
      </c>
      <c r="C3137" s="155">
        <v>149</v>
      </c>
      <c r="D3137" s="55" t="s">
        <v>4319</v>
      </c>
      <c r="E3137" s="90" t="s">
        <v>3003</v>
      </c>
      <c r="G3137" s="55" t="s">
        <v>3004</v>
      </c>
      <c r="H3137" s="55">
        <v>1999</v>
      </c>
      <c r="I3137" s="55">
        <v>1992</v>
      </c>
      <c r="J3137" s="55" t="s">
        <v>2688</v>
      </c>
      <c r="K3137" s="55" t="s">
        <v>3005</v>
      </c>
      <c r="L3137" s="55" t="s">
        <v>2916</v>
      </c>
      <c r="M3137" s="90">
        <f>-17-35/60</f>
        <v>-17.583333333333332</v>
      </c>
      <c r="N3137" s="90">
        <f>31+14/60</f>
        <v>31.233333333333334</v>
      </c>
      <c r="O3137" s="90">
        <v>1475</v>
      </c>
      <c r="Q3137" s="55">
        <v>23</v>
      </c>
      <c r="S3137" s="90">
        <v>755</v>
      </c>
      <c r="U3137" s="55" t="s">
        <v>1805</v>
      </c>
      <c r="V3137" s="55" t="s">
        <v>1801</v>
      </c>
      <c r="Y3137" s="55" t="s">
        <v>3006</v>
      </c>
      <c r="AE3137" s="90">
        <v>71</v>
      </c>
      <c r="AF3137" s="90">
        <f>100-71-24</f>
        <v>5</v>
      </c>
      <c r="AH3137" s="55" t="s">
        <v>494</v>
      </c>
      <c r="AI3137" s="168">
        <v>4.8</v>
      </c>
      <c r="AJ3137" s="90">
        <v>0.5</v>
      </c>
      <c r="AM3137" s="55" t="s">
        <v>2891</v>
      </c>
      <c r="AN3137" s="185" t="s">
        <v>3017</v>
      </c>
      <c r="AO3137" s="185" t="s">
        <v>5150</v>
      </c>
      <c r="AQ3137" s="55" t="s">
        <v>553</v>
      </c>
      <c r="AR3137" s="55" t="s">
        <v>1607</v>
      </c>
      <c r="AS3137" s="55" t="s">
        <v>132</v>
      </c>
      <c r="AU3137" s="181" t="s">
        <v>7494</v>
      </c>
      <c r="AV3137" s="185" t="s">
        <v>176</v>
      </c>
      <c r="AX3137" s="185" t="s">
        <v>176</v>
      </c>
      <c r="BK3137" s="55" t="s">
        <v>6333</v>
      </c>
      <c r="BM3137" s="192" t="s">
        <v>160</v>
      </c>
      <c r="BN3137" s="55">
        <v>3</v>
      </c>
      <c r="BO3137" s="55">
        <v>3</v>
      </c>
      <c r="BQ3137" s="55" t="s">
        <v>141</v>
      </c>
      <c r="BV3137" s="55" t="s">
        <v>3020</v>
      </c>
      <c r="CB3137" s="66">
        <f>CC3137-1000</f>
        <v>2600</v>
      </c>
      <c r="CC3137" s="66">
        <v>3600</v>
      </c>
      <c r="CE3137" s="65">
        <v>600</v>
      </c>
      <c r="CF3137" s="65">
        <v>600</v>
      </c>
      <c r="GP3137" s="292" t="s">
        <v>7494</v>
      </c>
    </row>
    <row r="3138" spans="1:198" x14ac:dyDescent="0.25">
      <c r="A3138" s="55">
        <v>3137</v>
      </c>
      <c r="B3138" s="12" t="s">
        <v>7067</v>
      </c>
      <c r="C3138" s="155">
        <v>149</v>
      </c>
      <c r="D3138" s="55" t="s">
        <v>4319</v>
      </c>
      <c r="E3138" s="90" t="s">
        <v>3003</v>
      </c>
      <c r="G3138" s="55" t="s">
        <v>3004</v>
      </c>
      <c r="H3138" s="55">
        <v>1999</v>
      </c>
      <c r="I3138" s="55">
        <v>1992</v>
      </c>
      <c r="J3138" s="55" t="s">
        <v>2688</v>
      </c>
      <c r="K3138" s="55" t="s">
        <v>3005</v>
      </c>
      <c r="L3138" s="55" t="s">
        <v>2916</v>
      </c>
      <c r="M3138" s="90">
        <f>-17-35/60</f>
        <v>-17.583333333333332</v>
      </c>
      <c r="N3138" s="90">
        <f>31+14/60</f>
        <v>31.233333333333334</v>
      </c>
      <c r="O3138" s="90">
        <v>1475</v>
      </c>
      <c r="Q3138" s="55">
        <v>23</v>
      </c>
      <c r="S3138" s="90">
        <v>755</v>
      </c>
      <c r="U3138" s="55" t="s">
        <v>1805</v>
      </c>
      <c r="V3138" s="55" t="s">
        <v>1801</v>
      </c>
      <c r="Y3138" s="55" t="s">
        <v>3006</v>
      </c>
      <c r="AE3138" s="90">
        <v>71</v>
      </c>
      <c r="AF3138" s="90">
        <f>100-71-24</f>
        <v>5</v>
      </c>
      <c r="AH3138" s="55" t="s">
        <v>494</v>
      </c>
      <c r="AI3138" s="168">
        <v>4.8</v>
      </c>
      <c r="AJ3138" s="90">
        <v>0.5</v>
      </c>
      <c r="AM3138" s="55" t="s">
        <v>2891</v>
      </c>
      <c r="AN3138" s="185" t="s">
        <v>2838</v>
      </c>
      <c r="AO3138" s="185" t="s">
        <v>5150</v>
      </c>
      <c r="AQ3138" s="55" t="s">
        <v>553</v>
      </c>
      <c r="AR3138" s="55" t="s">
        <v>1607</v>
      </c>
      <c r="AS3138" s="55" t="s">
        <v>132</v>
      </c>
      <c r="AU3138" s="181" t="s">
        <v>7494</v>
      </c>
      <c r="AV3138" s="185" t="s">
        <v>176</v>
      </c>
      <c r="AX3138" s="185" t="s">
        <v>176</v>
      </c>
      <c r="BK3138" s="55" t="s">
        <v>6333</v>
      </c>
      <c r="BM3138" s="192" t="s">
        <v>160</v>
      </c>
      <c r="BN3138" s="55">
        <v>3</v>
      </c>
      <c r="BO3138" s="55">
        <v>3</v>
      </c>
      <c r="BQ3138" s="55" t="s">
        <v>141</v>
      </c>
      <c r="BV3138" s="55" t="s">
        <v>3021</v>
      </c>
      <c r="CB3138" s="66">
        <f>CC3138-400</f>
        <v>2700</v>
      </c>
      <c r="CC3138" s="66">
        <v>3100</v>
      </c>
      <c r="CE3138" s="65">
        <v>600</v>
      </c>
      <c r="CF3138" s="65">
        <v>600</v>
      </c>
      <c r="GP3138" s="292" t="s">
        <v>7494</v>
      </c>
    </row>
    <row r="3139" spans="1:198" x14ac:dyDescent="0.25">
      <c r="A3139" s="55">
        <v>3138</v>
      </c>
      <c r="B3139" s="12" t="s">
        <v>7067</v>
      </c>
      <c r="C3139" s="155">
        <v>149</v>
      </c>
      <c r="D3139" s="55" t="s">
        <v>4319</v>
      </c>
      <c r="E3139" s="90" t="s">
        <v>3003</v>
      </c>
      <c r="G3139" s="55" t="s">
        <v>3004</v>
      </c>
      <c r="H3139" s="55">
        <v>1999</v>
      </c>
      <c r="I3139" s="55">
        <v>1992</v>
      </c>
      <c r="J3139" s="55" t="s">
        <v>2688</v>
      </c>
      <c r="K3139" s="55" t="s">
        <v>3005</v>
      </c>
      <c r="L3139" s="55" t="s">
        <v>2916</v>
      </c>
      <c r="M3139" s="90">
        <f>-17-35/60</f>
        <v>-17.583333333333332</v>
      </c>
      <c r="N3139" s="90">
        <f>31+14/60</f>
        <v>31.233333333333334</v>
      </c>
      <c r="O3139" s="90">
        <v>1475</v>
      </c>
      <c r="Q3139" s="55">
        <v>23</v>
      </c>
      <c r="S3139" s="90">
        <v>755</v>
      </c>
      <c r="U3139" s="55" t="s">
        <v>1805</v>
      </c>
      <c r="V3139" s="55" t="s">
        <v>1801</v>
      </c>
      <c r="Y3139" s="55" t="s">
        <v>3006</v>
      </c>
      <c r="AE3139" s="90">
        <v>71</v>
      </c>
      <c r="AF3139" s="90">
        <f>100-71-24</f>
        <v>5</v>
      </c>
      <c r="AH3139" s="55" t="s">
        <v>494</v>
      </c>
      <c r="AI3139" s="168">
        <v>4.8</v>
      </c>
      <c r="AJ3139" s="90">
        <v>0.5</v>
      </c>
      <c r="AM3139" s="55" t="s">
        <v>2891</v>
      </c>
      <c r="AN3139" s="185" t="s">
        <v>2838</v>
      </c>
      <c r="AO3139" s="185" t="s">
        <v>5150</v>
      </c>
      <c r="AQ3139" s="55" t="s">
        <v>553</v>
      </c>
      <c r="AR3139" s="55" t="s">
        <v>1607</v>
      </c>
      <c r="AS3139" s="55" t="s">
        <v>132</v>
      </c>
      <c r="AU3139" s="181" t="s">
        <v>7494</v>
      </c>
      <c r="AV3139" s="185" t="s">
        <v>176</v>
      </c>
      <c r="AX3139" s="185" t="s">
        <v>176</v>
      </c>
      <c r="BK3139" s="55" t="s">
        <v>6333</v>
      </c>
      <c r="BM3139" s="192" t="s">
        <v>160</v>
      </c>
      <c r="BN3139" s="55">
        <v>3</v>
      </c>
      <c r="BO3139" s="55">
        <v>3</v>
      </c>
      <c r="BQ3139" s="55" t="s">
        <v>141</v>
      </c>
      <c r="BV3139" s="55" t="s">
        <v>3022</v>
      </c>
      <c r="CB3139" s="66">
        <f>CC3139-1000</f>
        <v>2700</v>
      </c>
      <c r="CC3139" s="66">
        <v>3700</v>
      </c>
      <c r="CE3139" s="65">
        <v>600</v>
      </c>
      <c r="CF3139" s="65">
        <v>600</v>
      </c>
      <c r="GP3139" s="292" t="s">
        <v>7494</v>
      </c>
    </row>
    <row r="3140" spans="1:198" x14ac:dyDescent="0.25">
      <c r="A3140" s="55">
        <v>3139</v>
      </c>
      <c r="B3140" s="12" t="s">
        <v>7067</v>
      </c>
      <c r="C3140" s="155">
        <v>149</v>
      </c>
      <c r="D3140" s="55" t="s">
        <v>4319</v>
      </c>
      <c r="E3140" s="90" t="s">
        <v>3003</v>
      </c>
      <c r="G3140" s="55" t="s">
        <v>3004</v>
      </c>
      <c r="H3140" s="55">
        <v>1999</v>
      </c>
      <c r="I3140" s="55">
        <v>1992</v>
      </c>
      <c r="J3140" s="55" t="s">
        <v>2688</v>
      </c>
      <c r="K3140" s="55" t="s">
        <v>3005</v>
      </c>
      <c r="L3140" s="55" t="s">
        <v>2916</v>
      </c>
      <c r="M3140" s="90">
        <f>-17-35/60</f>
        <v>-17.583333333333332</v>
      </c>
      <c r="N3140" s="90">
        <f>31+14/60</f>
        <v>31.233333333333334</v>
      </c>
      <c r="O3140" s="90">
        <v>1475</v>
      </c>
      <c r="Q3140" s="55">
        <v>23</v>
      </c>
      <c r="S3140" s="90">
        <v>755</v>
      </c>
      <c r="U3140" s="55" t="s">
        <v>1805</v>
      </c>
      <c r="V3140" s="55" t="s">
        <v>1801</v>
      </c>
      <c r="Y3140" s="55" t="s">
        <v>3006</v>
      </c>
      <c r="AE3140" s="90">
        <v>71</v>
      </c>
      <c r="AF3140" s="90">
        <f>100-71-24</f>
        <v>5</v>
      </c>
      <c r="AH3140" s="55" t="s">
        <v>494</v>
      </c>
      <c r="AI3140" s="168">
        <v>4.8</v>
      </c>
      <c r="AJ3140" s="90">
        <v>0.5</v>
      </c>
      <c r="AM3140" s="55" t="s">
        <v>2891</v>
      </c>
      <c r="AN3140" s="185" t="s">
        <v>2838</v>
      </c>
      <c r="AO3140" s="185" t="s">
        <v>5150</v>
      </c>
      <c r="AQ3140" s="55" t="s">
        <v>553</v>
      </c>
      <c r="AR3140" s="55" t="s">
        <v>1607</v>
      </c>
      <c r="AS3140" s="55" t="s">
        <v>132</v>
      </c>
      <c r="AU3140" s="181" t="s">
        <v>7494</v>
      </c>
      <c r="AV3140" s="185" t="s">
        <v>176</v>
      </c>
      <c r="AX3140" s="185" t="s">
        <v>176</v>
      </c>
      <c r="BK3140" s="55" t="s">
        <v>6333</v>
      </c>
      <c r="BM3140" s="192" t="s">
        <v>160</v>
      </c>
      <c r="BN3140" s="55">
        <v>3</v>
      </c>
      <c r="BO3140" s="55">
        <v>3</v>
      </c>
      <c r="BQ3140" s="55" t="s">
        <v>141</v>
      </c>
      <c r="BV3140" s="55" t="s">
        <v>3023</v>
      </c>
      <c r="CB3140" s="66">
        <f>CC3140-900</f>
        <v>2700</v>
      </c>
      <c r="CC3140" s="66">
        <v>3600</v>
      </c>
      <c r="CE3140" s="65">
        <v>600</v>
      </c>
      <c r="CF3140" s="65">
        <v>600</v>
      </c>
      <c r="GP3140" s="292" t="s">
        <v>7494</v>
      </c>
    </row>
    <row r="3141" spans="1:198" x14ac:dyDescent="0.25">
      <c r="A3141" s="55">
        <v>3140</v>
      </c>
      <c r="B3141" s="12" t="s">
        <v>7067</v>
      </c>
      <c r="C3141" s="155">
        <v>149</v>
      </c>
      <c r="D3141" s="55" t="s">
        <v>4319</v>
      </c>
      <c r="E3141" s="90" t="s">
        <v>3003</v>
      </c>
      <c r="G3141" s="55" t="s">
        <v>3004</v>
      </c>
      <c r="H3141" s="55">
        <v>1999</v>
      </c>
      <c r="I3141" s="55">
        <v>1993</v>
      </c>
      <c r="J3141" s="55" t="s">
        <v>2688</v>
      </c>
      <c r="K3141" s="55" t="s">
        <v>3005</v>
      </c>
      <c r="L3141" s="55" t="s">
        <v>2916</v>
      </c>
      <c r="M3141" s="90">
        <f>-17-35/60</f>
        <v>-17.583333333333332</v>
      </c>
      <c r="N3141" s="90">
        <f>31+14/60</f>
        <v>31.233333333333334</v>
      </c>
      <c r="O3141" s="90">
        <v>1475</v>
      </c>
      <c r="Q3141" s="55">
        <v>23</v>
      </c>
      <c r="S3141" s="90">
        <v>755</v>
      </c>
      <c r="U3141" s="55" t="s">
        <v>1688</v>
      </c>
      <c r="V3141" s="55" t="s">
        <v>1801</v>
      </c>
      <c r="Y3141" s="55" t="s">
        <v>3006</v>
      </c>
      <c r="AE3141" s="90">
        <v>71</v>
      </c>
      <c r="AF3141" s="90">
        <f>100-71-24</f>
        <v>5</v>
      </c>
      <c r="AH3141" s="55" t="s">
        <v>494</v>
      </c>
      <c r="AI3141" s="168">
        <v>4.8</v>
      </c>
      <c r="AJ3141" s="90">
        <v>0.5</v>
      </c>
      <c r="AM3141" s="55" t="s">
        <v>2891</v>
      </c>
      <c r="AN3141" s="185" t="s">
        <v>3007</v>
      </c>
      <c r="AO3141" s="185" t="s">
        <v>5150</v>
      </c>
      <c r="AQ3141" s="55" t="s">
        <v>553</v>
      </c>
      <c r="AR3141" s="55" t="s">
        <v>1607</v>
      </c>
      <c r="AS3141" s="55" t="s">
        <v>132</v>
      </c>
      <c r="AU3141" s="181" t="s">
        <v>7494</v>
      </c>
      <c r="AV3141" s="185" t="s">
        <v>176</v>
      </c>
      <c r="AX3141" s="185" t="s">
        <v>176</v>
      </c>
      <c r="BK3141" s="55" t="s">
        <v>6333</v>
      </c>
      <c r="BM3141" s="192" t="s">
        <v>160</v>
      </c>
      <c r="BN3141" s="55">
        <v>3</v>
      </c>
      <c r="BO3141" s="55">
        <v>3</v>
      </c>
      <c r="BQ3141" s="55" t="s">
        <v>141</v>
      </c>
      <c r="BV3141" s="55" t="s">
        <v>3015</v>
      </c>
      <c r="CB3141" s="66">
        <f>CC3141-100</f>
        <v>1600</v>
      </c>
      <c r="CC3141" s="66">
        <v>1700</v>
      </c>
      <c r="CE3141" s="65">
        <v>300</v>
      </c>
      <c r="CF3141" s="65">
        <v>300</v>
      </c>
      <c r="GP3141" s="292" t="s">
        <v>7494</v>
      </c>
    </row>
    <row r="3142" spans="1:198" x14ac:dyDescent="0.25">
      <c r="A3142" s="55">
        <v>3141</v>
      </c>
      <c r="B3142" s="12" t="s">
        <v>7067</v>
      </c>
      <c r="C3142" s="155">
        <v>149</v>
      </c>
      <c r="D3142" s="55" t="s">
        <v>4319</v>
      </c>
      <c r="E3142" s="90" t="s">
        <v>3003</v>
      </c>
      <c r="G3142" s="55" t="s">
        <v>3004</v>
      </c>
      <c r="H3142" s="55">
        <v>1999</v>
      </c>
      <c r="I3142" s="55">
        <v>1993</v>
      </c>
      <c r="J3142" s="55" t="s">
        <v>2688</v>
      </c>
      <c r="K3142" s="55" t="s">
        <v>3005</v>
      </c>
      <c r="L3142" s="55" t="s">
        <v>2916</v>
      </c>
      <c r="M3142" s="90">
        <f>-17-35/60</f>
        <v>-17.583333333333332</v>
      </c>
      <c r="N3142" s="90">
        <f>31+14/60</f>
        <v>31.233333333333334</v>
      </c>
      <c r="O3142" s="90">
        <v>1475</v>
      </c>
      <c r="Q3142" s="55">
        <v>23</v>
      </c>
      <c r="S3142" s="90">
        <v>755</v>
      </c>
      <c r="U3142" s="55" t="s">
        <v>1688</v>
      </c>
      <c r="V3142" s="55" t="s">
        <v>1801</v>
      </c>
      <c r="Y3142" s="55" t="s">
        <v>3006</v>
      </c>
      <c r="AE3142" s="90">
        <v>71</v>
      </c>
      <c r="AF3142" s="90">
        <f>100-71-24</f>
        <v>5</v>
      </c>
      <c r="AH3142" s="55" t="s">
        <v>494</v>
      </c>
      <c r="AI3142" s="168">
        <v>4.8</v>
      </c>
      <c r="AJ3142" s="90">
        <v>0.5</v>
      </c>
      <c r="AM3142" s="55" t="s">
        <v>2891</v>
      </c>
      <c r="AN3142" s="185" t="s">
        <v>3007</v>
      </c>
      <c r="AO3142" s="185" t="s">
        <v>5150</v>
      </c>
      <c r="AQ3142" s="55" t="s">
        <v>553</v>
      </c>
      <c r="AR3142" s="55" t="s">
        <v>1607</v>
      </c>
      <c r="AS3142" s="55" t="s">
        <v>132</v>
      </c>
      <c r="AU3142" s="181" t="s">
        <v>7494</v>
      </c>
      <c r="AV3142" s="185" t="s">
        <v>176</v>
      </c>
      <c r="AX3142" s="185" t="s">
        <v>176</v>
      </c>
      <c r="BK3142" s="55" t="s">
        <v>6333</v>
      </c>
      <c r="BM3142" s="192" t="s">
        <v>160</v>
      </c>
      <c r="BN3142" s="55">
        <v>3</v>
      </c>
      <c r="BO3142" s="55">
        <v>3</v>
      </c>
      <c r="BQ3142" s="55" t="s">
        <v>141</v>
      </c>
      <c r="BV3142" s="55" t="s">
        <v>3016</v>
      </c>
      <c r="CB3142" s="66">
        <f>CC3142-900</f>
        <v>1600</v>
      </c>
      <c r="CC3142" s="66">
        <v>2500</v>
      </c>
      <c r="CE3142" s="65">
        <v>300</v>
      </c>
      <c r="CF3142" s="65">
        <v>300</v>
      </c>
      <c r="GP3142" s="292" t="s">
        <v>7494</v>
      </c>
    </row>
    <row r="3143" spans="1:198" x14ac:dyDescent="0.25">
      <c r="A3143" s="55">
        <v>3142</v>
      </c>
      <c r="B3143" s="12" t="s">
        <v>7067</v>
      </c>
      <c r="C3143" s="155">
        <v>149</v>
      </c>
      <c r="D3143" s="55" t="s">
        <v>4319</v>
      </c>
      <c r="E3143" s="90" t="s">
        <v>3003</v>
      </c>
      <c r="G3143" s="55" t="s">
        <v>3004</v>
      </c>
      <c r="H3143" s="55">
        <v>1999</v>
      </c>
      <c r="I3143" s="55">
        <v>1993</v>
      </c>
      <c r="J3143" s="55" t="s">
        <v>2688</v>
      </c>
      <c r="K3143" s="55" t="s">
        <v>3005</v>
      </c>
      <c r="L3143" s="55" t="s">
        <v>2916</v>
      </c>
      <c r="M3143" s="90">
        <f>-17-35/60</f>
        <v>-17.583333333333332</v>
      </c>
      <c r="N3143" s="90">
        <f>31+14/60</f>
        <v>31.233333333333334</v>
      </c>
      <c r="O3143" s="90">
        <v>1475</v>
      </c>
      <c r="Q3143" s="55">
        <v>23</v>
      </c>
      <c r="S3143" s="90">
        <v>755</v>
      </c>
      <c r="U3143" s="55" t="s">
        <v>1688</v>
      </c>
      <c r="V3143" s="55" t="s">
        <v>1801</v>
      </c>
      <c r="Y3143" s="55" t="s">
        <v>3006</v>
      </c>
      <c r="AE3143" s="90">
        <v>71</v>
      </c>
      <c r="AF3143" s="90">
        <f>100-71-24</f>
        <v>5</v>
      </c>
      <c r="AH3143" s="55" t="s">
        <v>494</v>
      </c>
      <c r="AI3143" s="168">
        <v>4.8</v>
      </c>
      <c r="AJ3143" s="90">
        <v>0.5</v>
      </c>
      <c r="AM3143" s="55" t="s">
        <v>2891</v>
      </c>
      <c r="AN3143" s="185" t="s">
        <v>3007</v>
      </c>
      <c r="AO3143" s="185" t="s">
        <v>5150</v>
      </c>
      <c r="AQ3143" s="55" t="s">
        <v>553</v>
      </c>
      <c r="AR3143" s="55" t="s">
        <v>1607</v>
      </c>
      <c r="AS3143" s="55" t="s">
        <v>132</v>
      </c>
      <c r="AU3143" s="181" t="s">
        <v>7494</v>
      </c>
      <c r="AV3143" s="185" t="s">
        <v>176</v>
      </c>
      <c r="AX3143" s="185" t="s">
        <v>176</v>
      </c>
      <c r="BK3143" s="55" t="s">
        <v>6333</v>
      </c>
      <c r="BM3143" s="192" t="s">
        <v>160</v>
      </c>
      <c r="BN3143" s="55">
        <v>3</v>
      </c>
      <c r="BO3143" s="55">
        <v>3</v>
      </c>
      <c r="BQ3143" s="55" t="s">
        <v>141</v>
      </c>
      <c r="BV3143" s="55" t="s">
        <v>3012</v>
      </c>
      <c r="CB3143" s="66">
        <f>CC3143-900</f>
        <v>1600</v>
      </c>
      <c r="CC3143" s="66">
        <v>2500</v>
      </c>
      <c r="CE3143" s="65">
        <v>300</v>
      </c>
      <c r="CF3143" s="65">
        <v>300</v>
      </c>
      <c r="GP3143" s="292" t="s">
        <v>7494</v>
      </c>
    </row>
    <row r="3144" spans="1:198" x14ac:dyDescent="0.25">
      <c r="A3144" s="55">
        <v>3143</v>
      </c>
      <c r="B3144" s="12" t="s">
        <v>7067</v>
      </c>
      <c r="C3144" s="155">
        <v>149</v>
      </c>
      <c r="D3144" s="55" t="s">
        <v>4319</v>
      </c>
      <c r="E3144" s="90" t="s">
        <v>3003</v>
      </c>
      <c r="G3144" s="55" t="s">
        <v>3004</v>
      </c>
      <c r="H3144" s="55">
        <v>1999</v>
      </c>
      <c r="I3144" s="55">
        <v>1993</v>
      </c>
      <c r="J3144" s="55" t="s">
        <v>2688</v>
      </c>
      <c r="K3144" s="55" t="s">
        <v>3005</v>
      </c>
      <c r="L3144" s="55" t="s">
        <v>2916</v>
      </c>
      <c r="M3144" s="90">
        <f>-17-35/60</f>
        <v>-17.583333333333332</v>
      </c>
      <c r="N3144" s="90">
        <f>31+14/60</f>
        <v>31.233333333333334</v>
      </c>
      <c r="O3144" s="90">
        <v>1475</v>
      </c>
      <c r="Q3144" s="55">
        <v>23</v>
      </c>
      <c r="S3144" s="90">
        <v>755</v>
      </c>
      <c r="U3144" s="55" t="s">
        <v>1688</v>
      </c>
      <c r="V3144" s="55" t="s">
        <v>1801</v>
      </c>
      <c r="Y3144" s="55" t="s">
        <v>3006</v>
      </c>
      <c r="AE3144" s="90">
        <v>71</v>
      </c>
      <c r="AF3144" s="90">
        <f>100-71-24</f>
        <v>5</v>
      </c>
      <c r="AH3144" s="55" t="s">
        <v>494</v>
      </c>
      <c r="AI3144" s="168">
        <v>4.8</v>
      </c>
      <c r="AJ3144" s="90">
        <v>0.5</v>
      </c>
      <c r="AM3144" s="55" t="s">
        <v>2891</v>
      </c>
      <c r="AN3144" s="185" t="s">
        <v>3017</v>
      </c>
      <c r="AO3144" s="185" t="s">
        <v>5150</v>
      </c>
      <c r="AQ3144" s="55" t="s">
        <v>553</v>
      </c>
      <c r="AR3144" s="55" t="s">
        <v>1607</v>
      </c>
      <c r="AS3144" s="55" t="s">
        <v>132</v>
      </c>
      <c r="AU3144" s="181" t="s">
        <v>7494</v>
      </c>
      <c r="AV3144" s="185" t="s">
        <v>176</v>
      </c>
      <c r="AX3144" s="185" t="s">
        <v>176</v>
      </c>
      <c r="BK3144" s="55" t="s">
        <v>6333</v>
      </c>
      <c r="BM3144" s="192" t="s">
        <v>160</v>
      </c>
      <c r="BN3144" s="55">
        <v>3</v>
      </c>
      <c r="BO3144" s="55">
        <v>3</v>
      </c>
      <c r="BQ3144" s="55" t="s">
        <v>141</v>
      </c>
      <c r="BV3144" s="55" t="s">
        <v>3024</v>
      </c>
      <c r="CB3144" s="66">
        <f>CC3144+100</f>
        <v>1600</v>
      </c>
      <c r="CC3144" s="66">
        <v>1500</v>
      </c>
      <c r="CE3144" s="65">
        <v>300</v>
      </c>
      <c r="CF3144" s="65">
        <v>300</v>
      </c>
      <c r="GP3144" s="292" t="s">
        <v>7494</v>
      </c>
    </row>
    <row r="3145" spans="1:198" x14ac:dyDescent="0.25">
      <c r="A3145" s="55">
        <v>3144</v>
      </c>
      <c r="B3145" s="12" t="s">
        <v>7067</v>
      </c>
      <c r="C3145" s="155">
        <v>149</v>
      </c>
      <c r="D3145" s="55" t="s">
        <v>4319</v>
      </c>
      <c r="E3145" s="90" t="s">
        <v>3003</v>
      </c>
      <c r="G3145" s="55" t="s">
        <v>3004</v>
      </c>
      <c r="H3145" s="55">
        <v>1999</v>
      </c>
      <c r="I3145" s="55">
        <v>1993</v>
      </c>
      <c r="J3145" s="55" t="s">
        <v>2688</v>
      </c>
      <c r="K3145" s="55" t="s">
        <v>3005</v>
      </c>
      <c r="L3145" s="55" t="s">
        <v>2916</v>
      </c>
      <c r="M3145" s="90">
        <f>-17-35/60</f>
        <v>-17.583333333333332</v>
      </c>
      <c r="N3145" s="90">
        <f>31+14/60</f>
        <v>31.233333333333334</v>
      </c>
      <c r="O3145" s="90">
        <v>1475</v>
      </c>
      <c r="Q3145" s="55">
        <v>23</v>
      </c>
      <c r="S3145" s="90">
        <v>755</v>
      </c>
      <c r="U3145" s="55" t="s">
        <v>1688</v>
      </c>
      <c r="V3145" s="55" t="s">
        <v>1801</v>
      </c>
      <c r="Y3145" s="55" t="s">
        <v>3006</v>
      </c>
      <c r="AE3145" s="90">
        <v>71</v>
      </c>
      <c r="AF3145" s="90">
        <f>100-71-24</f>
        <v>5</v>
      </c>
      <c r="AH3145" s="55" t="s">
        <v>494</v>
      </c>
      <c r="AI3145" s="168">
        <v>4.8</v>
      </c>
      <c r="AJ3145" s="90">
        <v>0.5</v>
      </c>
      <c r="AM3145" s="55" t="s">
        <v>2891</v>
      </c>
      <c r="AN3145" s="185" t="s">
        <v>3017</v>
      </c>
      <c r="AO3145" s="185" t="s">
        <v>5150</v>
      </c>
      <c r="AQ3145" s="55" t="s">
        <v>553</v>
      </c>
      <c r="AR3145" s="55" t="s">
        <v>1607</v>
      </c>
      <c r="AS3145" s="55" t="s">
        <v>132</v>
      </c>
      <c r="AU3145" s="181" t="s">
        <v>7494</v>
      </c>
      <c r="AV3145" s="185" t="s">
        <v>176</v>
      </c>
      <c r="AX3145" s="185" t="s">
        <v>176</v>
      </c>
      <c r="BK3145" s="55" t="s">
        <v>6333</v>
      </c>
      <c r="BM3145" s="192" t="s">
        <v>160</v>
      </c>
      <c r="BN3145" s="55">
        <v>3</v>
      </c>
      <c r="BO3145" s="55">
        <v>3</v>
      </c>
      <c r="BQ3145" s="55" t="s">
        <v>141</v>
      </c>
      <c r="BV3145" s="55" t="s">
        <v>3025</v>
      </c>
      <c r="CB3145" s="66">
        <f>CC3145+100</f>
        <v>1500</v>
      </c>
      <c r="CC3145" s="66">
        <v>1400</v>
      </c>
      <c r="CE3145" s="65">
        <v>300</v>
      </c>
      <c r="CF3145" s="65">
        <v>300</v>
      </c>
      <c r="GP3145" s="292" t="s">
        <v>7494</v>
      </c>
    </row>
    <row r="3146" spans="1:198" x14ac:dyDescent="0.25">
      <c r="A3146" s="55">
        <v>3145</v>
      </c>
      <c r="B3146" s="12" t="s">
        <v>7067</v>
      </c>
      <c r="C3146" s="155">
        <v>149</v>
      </c>
      <c r="D3146" s="55" t="s">
        <v>4319</v>
      </c>
      <c r="E3146" s="90" t="s">
        <v>3003</v>
      </c>
      <c r="G3146" s="55" t="s">
        <v>3004</v>
      </c>
      <c r="H3146" s="55">
        <v>1999</v>
      </c>
      <c r="I3146" s="55">
        <v>1993</v>
      </c>
      <c r="J3146" s="55" t="s">
        <v>2688</v>
      </c>
      <c r="K3146" s="55" t="s">
        <v>3005</v>
      </c>
      <c r="L3146" s="55" t="s">
        <v>2916</v>
      </c>
      <c r="M3146" s="90">
        <f>-17-35/60</f>
        <v>-17.583333333333332</v>
      </c>
      <c r="N3146" s="90">
        <f>31+14/60</f>
        <v>31.233333333333334</v>
      </c>
      <c r="O3146" s="90">
        <v>1475</v>
      </c>
      <c r="Q3146" s="55">
        <v>23</v>
      </c>
      <c r="S3146" s="90">
        <v>755</v>
      </c>
      <c r="U3146" s="55" t="s">
        <v>1688</v>
      </c>
      <c r="V3146" s="55" t="s">
        <v>1801</v>
      </c>
      <c r="Y3146" s="55" t="s">
        <v>3006</v>
      </c>
      <c r="AE3146" s="90">
        <v>71</v>
      </c>
      <c r="AF3146" s="90">
        <f>100-71-24</f>
        <v>5</v>
      </c>
      <c r="AH3146" s="55" t="s">
        <v>494</v>
      </c>
      <c r="AI3146" s="168">
        <v>4.8</v>
      </c>
      <c r="AJ3146" s="90">
        <v>0.5</v>
      </c>
      <c r="AM3146" s="55" t="s">
        <v>2891</v>
      </c>
      <c r="AN3146" s="185" t="s">
        <v>3017</v>
      </c>
      <c r="AO3146" s="185" t="s">
        <v>5150</v>
      </c>
      <c r="AQ3146" s="55" t="s">
        <v>553</v>
      </c>
      <c r="AR3146" s="55" t="s">
        <v>1607</v>
      </c>
      <c r="AS3146" s="55" t="s">
        <v>132</v>
      </c>
      <c r="AU3146" s="181" t="s">
        <v>7494</v>
      </c>
      <c r="AV3146" s="185" t="s">
        <v>176</v>
      </c>
      <c r="AX3146" s="185" t="s">
        <v>176</v>
      </c>
      <c r="BK3146" s="55" t="s">
        <v>6333</v>
      </c>
      <c r="BM3146" s="192" t="s">
        <v>160</v>
      </c>
      <c r="BN3146" s="55">
        <v>3</v>
      </c>
      <c r="BO3146" s="55">
        <v>3</v>
      </c>
      <c r="BQ3146" s="55" t="s">
        <v>141</v>
      </c>
      <c r="BV3146" s="55" t="s">
        <v>3026</v>
      </c>
      <c r="CB3146" s="66">
        <f>CC3146-1400</f>
        <v>1600</v>
      </c>
      <c r="CC3146" s="66">
        <v>3000</v>
      </c>
      <c r="CE3146" s="65">
        <v>300</v>
      </c>
      <c r="CF3146" s="65">
        <v>300</v>
      </c>
      <c r="GP3146" s="292" t="s">
        <v>7494</v>
      </c>
    </row>
    <row r="3147" spans="1:198" x14ac:dyDescent="0.25">
      <c r="A3147" s="55">
        <v>3146</v>
      </c>
      <c r="B3147" s="12" t="s">
        <v>7067</v>
      </c>
      <c r="C3147" s="155">
        <v>149</v>
      </c>
      <c r="D3147" s="55" t="s">
        <v>4319</v>
      </c>
      <c r="E3147" s="90" t="s">
        <v>3003</v>
      </c>
      <c r="G3147" s="55" t="s">
        <v>3004</v>
      </c>
      <c r="H3147" s="55">
        <v>1999</v>
      </c>
      <c r="I3147" s="55">
        <v>1993</v>
      </c>
      <c r="J3147" s="55" t="s">
        <v>2688</v>
      </c>
      <c r="K3147" s="55" t="s">
        <v>3005</v>
      </c>
      <c r="L3147" s="55" t="s">
        <v>2916</v>
      </c>
      <c r="M3147" s="90">
        <f>-17-35/60</f>
        <v>-17.583333333333332</v>
      </c>
      <c r="N3147" s="90">
        <f>31+14/60</f>
        <v>31.233333333333334</v>
      </c>
      <c r="O3147" s="90">
        <v>1475</v>
      </c>
      <c r="Q3147" s="55">
        <v>23</v>
      </c>
      <c r="S3147" s="90">
        <v>755</v>
      </c>
      <c r="U3147" s="55" t="s">
        <v>1688</v>
      </c>
      <c r="V3147" s="55" t="s">
        <v>1801</v>
      </c>
      <c r="Y3147" s="55" t="s">
        <v>3006</v>
      </c>
      <c r="AE3147" s="90">
        <v>71</v>
      </c>
      <c r="AF3147" s="90">
        <f>100-71-24</f>
        <v>5</v>
      </c>
      <c r="AH3147" s="55" t="s">
        <v>494</v>
      </c>
      <c r="AI3147" s="168">
        <v>4.8</v>
      </c>
      <c r="AJ3147" s="90">
        <v>0.5</v>
      </c>
      <c r="AM3147" s="55" t="s">
        <v>2891</v>
      </c>
      <c r="AN3147" s="185" t="s">
        <v>2838</v>
      </c>
      <c r="AO3147" s="185" t="s">
        <v>5150</v>
      </c>
      <c r="AQ3147" s="55" t="s">
        <v>553</v>
      </c>
      <c r="AR3147" s="55" t="s">
        <v>1607</v>
      </c>
      <c r="AS3147" s="55" t="s">
        <v>132</v>
      </c>
      <c r="AU3147" s="181" t="s">
        <v>7494</v>
      </c>
      <c r="AV3147" s="185" t="s">
        <v>176</v>
      </c>
      <c r="AX3147" s="185" t="s">
        <v>176</v>
      </c>
      <c r="BK3147" s="55" t="s">
        <v>6333</v>
      </c>
      <c r="BM3147" s="192" t="s">
        <v>160</v>
      </c>
      <c r="BN3147" s="55">
        <v>3</v>
      </c>
      <c r="BO3147" s="55">
        <v>3</v>
      </c>
      <c r="BQ3147" s="55" t="s">
        <v>141</v>
      </c>
      <c r="BV3147" s="55" t="s">
        <v>3027</v>
      </c>
      <c r="CB3147" s="66">
        <f>CC3147+100</f>
        <v>1600</v>
      </c>
      <c r="CC3147" s="66">
        <v>1500</v>
      </c>
      <c r="CE3147" s="65">
        <v>300</v>
      </c>
      <c r="CF3147" s="65">
        <v>300</v>
      </c>
      <c r="GP3147" s="292" t="s">
        <v>7494</v>
      </c>
    </row>
    <row r="3148" spans="1:198" x14ac:dyDescent="0.25">
      <c r="A3148" s="55">
        <v>3147</v>
      </c>
      <c r="B3148" s="12" t="s">
        <v>7067</v>
      </c>
      <c r="C3148" s="155">
        <v>149</v>
      </c>
      <c r="D3148" s="55" t="s">
        <v>4319</v>
      </c>
      <c r="E3148" s="90" t="s">
        <v>3003</v>
      </c>
      <c r="G3148" s="55" t="s">
        <v>3004</v>
      </c>
      <c r="H3148" s="55">
        <v>1999</v>
      </c>
      <c r="I3148" s="55">
        <v>1993</v>
      </c>
      <c r="J3148" s="55" t="s">
        <v>2688</v>
      </c>
      <c r="K3148" s="55" t="s">
        <v>3005</v>
      </c>
      <c r="L3148" s="55" t="s">
        <v>2916</v>
      </c>
      <c r="M3148" s="90">
        <f>-17-35/60</f>
        <v>-17.583333333333332</v>
      </c>
      <c r="N3148" s="90">
        <f>31+14/60</f>
        <v>31.233333333333334</v>
      </c>
      <c r="O3148" s="90">
        <v>1475</v>
      </c>
      <c r="Q3148" s="55">
        <v>23</v>
      </c>
      <c r="S3148" s="90">
        <v>755</v>
      </c>
      <c r="U3148" s="55" t="s">
        <v>1688</v>
      </c>
      <c r="V3148" s="55" t="s">
        <v>1801</v>
      </c>
      <c r="Y3148" s="55" t="s">
        <v>3006</v>
      </c>
      <c r="AE3148" s="90">
        <v>71</v>
      </c>
      <c r="AF3148" s="90">
        <f>100-71-24</f>
        <v>5</v>
      </c>
      <c r="AH3148" s="55" t="s">
        <v>494</v>
      </c>
      <c r="AI3148" s="168">
        <v>4.8</v>
      </c>
      <c r="AJ3148" s="90">
        <v>0.5</v>
      </c>
      <c r="AM3148" s="55" t="s">
        <v>2891</v>
      </c>
      <c r="AN3148" s="185" t="s">
        <v>2838</v>
      </c>
      <c r="AO3148" s="185" t="s">
        <v>5150</v>
      </c>
      <c r="AQ3148" s="55" t="s">
        <v>553</v>
      </c>
      <c r="AR3148" s="55" t="s">
        <v>1607</v>
      </c>
      <c r="AS3148" s="55" t="s">
        <v>132</v>
      </c>
      <c r="AU3148" s="181" t="s">
        <v>7494</v>
      </c>
      <c r="AV3148" s="185" t="s">
        <v>176</v>
      </c>
      <c r="AX3148" s="185" t="s">
        <v>176</v>
      </c>
      <c r="BK3148" s="55" t="s">
        <v>6333</v>
      </c>
      <c r="BM3148" s="192" t="s">
        <v>160</v>
      </c>
      <c r="BN3148" s="55">
        <v>3</v>
      </c>
      <c r="BO3148" s="55">
        <v>3</v>
      </c>
      <c r="BQ3148" s="55" t="s">
        <v>141</v>
      </c>
      <c r="BV3148" s="55" t="s">
        <v>3028</v>
      </c>
      <c r="CB3148" s="66">
        <f>CC3148+100</f>
        <v>1600</v>
      </c>
      <c r="CC3148" s="66">
        <v>1500</v>
      </c>
      <c r="CE3148" s="65">
        <v>300</v>
      </c>
      <c r="CF3148" s="65">
        <v>300</v>
      </c>
      <c r="GP3148" s="292" t="s">
        <v>7494</v>
      </c>
    </row>
    <row r="3149" spans="1:198" x14ac:dyDescent="0.25">
      <c r="A3149" s="55">
        <v>3148</v>
      </c>
      <c r="B3149" s="12" t="s">
        <v>7067</v>
      </c>
      <c r="C3149" s="155">
        <v>149</v>
      </c>
      <c r="D3149" s="55" t="s">
        <v>4319</v>
      </c>
      <c r="E3149" s="90" t="s">
        <v>3003</v>
      </c>
      <c r="G3149" s="55" t="s">
        <v>3004</v>
      </c>
      <c r="H3149" s="55">
        <v>1999</v>
      </c>
      <c r="I3149" s="55">
        <v>1993</v>
      </c>
      <c r="J3149" s="55" t="s">
        <v>2688</v>
      </c>
      <c r="K3149" s="55" t="s">
        <v>3005</v>
      </c>
      <c r="L3149" s="55" t="s">
        <v>2916</v>
      </c>
      <c r="M3149" s="90">
        <f>-17-35/60</f>
        <v>-17.583333333333332</v>
      </c>
      <c r="N3149" s="90">
        <f>31+14/60</f>
        <v>31.233333333333334</v>
      </c>
      <c r="O3149" s="90">
        <v>1475</v>
      </c>
      <c r="Q3149" s="55">
        <v>23</v>
      </c>
      <c r="S3149" s="90">
        <v>755</v>
      </c>
      <c r="U3149" s="55" t="s">
        <v>1688</v>
      </c>
      <c r="V3149" s="55" t="s">
        <v>1801</v>
      </c>
      <c r="Y3149" s="55" t="s">
        <v>3006</v>
      </c>
      <c r="AE3149" s="90">
        <v>71</v>
      </c>
      <c r="AF3149" s="90">
        <f>100-71-24</f>
        <v>5</v>
      </c>
      <c r="AH3149" s="55" t="s">
        <v>494</v>
      </c>
      <c r="AI3149" s="168">
        <v>4.8</v>
      </c>
      <c r="AJ3149" s="90">
        <v>0.5</v>
      </c>
      <c r="AM3149" s="55" t="s">
        <v>2891</v>
      </c>
      <c r="AN3149" s="185" t="s">
        <v>2838</v>
      </c>
      <c r="AO3149" s="185" t="s">
        <v>5150</v>
      </c>
      <c r="AQ3149" s="55" t="s">
        <v>553</v>
      </c>
      <c r="AR3149" s="55" t="s">
        <v>1607</v>
      </c>
      <c r="AS3149" s="55" t="s">
        <v>132</v>
      </c>
      <c r="AU3149" s="181" t="s">
        <v>7494</v>
      </c>
      <c r="AV3149" s="185" t="s">
        <v>176</v>
      </c>
      <c r="AX3149" s="185" t="s">
        <v>176</v>
      </c>
      <c r="BK3149" s="55" t="s">
        <v>6333</v>
      </c>
      <c r="BM3149" s="192" t="s">
        <v>160</v>
      </c>
      <c r="BN3149" s="55">
        <v>3</v>
      </c>
      <c r="BO3149" s="55">
        <v>3</v>
      </c>
      <c r="BQ3149" s="55" t="s">
        <v>141</v>
      </c>
      <c r="BV3149" s="55" t="s">
        <v>3029</v>
      </c>
      <c r="CB3149" s="66">
        <f>CC3149-1300</f>
        <v>1600</v>
      </c>
      <c r="CC3149" s="66">
        <v>2900</v>
      </c>
      <c r="CE3149" s="65">
        <v>300</v>
      </c>
      <c r="CF3149" s="65">
        <v>300</v>
      </c>
      <c r="GP3149" s="292" t="s">
        <v>7494</v>
      </c>
    </row>
    <row r="3150" spans="1:198" x14ac:dyDescent="0.25">
      <c r="A3150" s="55">
        <v>3149</v>
      </c>
      <c r="B3150" s="12" t="s">
        <v>7067</v>
      </c>
      <c r="C3150" s="155">
        <v>150</v>
      </c>
      <c r="D3150" s="55" t="s">
        <v>4320</v>
      </c>
      <c r="E3150" s="90" t="s">
        <v>3003</v>
      </c>
      <c r="G3150" s="55" t="s">
        <v>3004</v>
      </c>
      <c r="H3150" s="55">
        <v>2007</v>
      </c>
      <c r="I3150" s="55">
        <v>1995</v>
      </c>
      <c r="J3150" s="55" t="s">
        <v>2660</v>
      </c>
      <c r="K3150" s="55" t="s">
        <v>2676</v>
      </c>
      <c r="L3150" s="55" t="s">
        <v>2750</v>
      </c>
      <c r="M3150" s="90">
        <f>-13-39/60</f>
        <v>-13.65</v>
      </c>
      <c r="N3150" s="90">
        <f>32+34/60</f>
        <v>32.56666666666667</v>
      </c>
      <c r="O3150" s="90">
        <v>1028</v>
      </c>
      <c r="Q3150" s="55">
        <f>(25+16)/2</f>
        <v>20.5</v>
      </c>
      <c r="S3150" s="90">
        <v>960</v>
      </c>
      <c r="U3150" s="55" t="s">
        <v>1935</v>
      </c>
      <c r="V3150" s="55" t="s">
        <v>1679</v>
      </c>
      <c r="Y3150" s="55" t="s">
        <v>3030</v>
      </c>
      <c r="Z3150" s="55" t="s">
        <v>1346</v>
      </c>
      <c r="AA3150" s="90" t="s">
        <v>1675</v>
      </c>
      <c r="AE3150" s="90">
        <v>58</v>
      </c>
      <c r="AF3150" s="90">
        <v>17</v>
      </c>
      <c r="AH3150" s="55" t="s">
        <v>238</v>
      </c>
      <c r="AJ3150" s="90">
        <v>1</v>
      </c>
      <c r="AM3150" s="55" t="s">
        <v>2677</v>
      </c>
      <c r="AN3150" s="185" t="s">
        <v>2685</v>
      </c>
      <c r="AO3150" s="185" t="s">
        <v>5150</v>
      </c>
      <c r="AQ3150" s="55" t="s">
        <v>1097</v>
      </c>
      <c r="AR3150" s="55" t="s">
        <v>1607</v>
      </c>
      <c r="AS3150" s="55" t="s">
        <v>132</v>
      </c>
      <c r="AU3150" s="181" t="s">
        <v>7494</v>
      </c>
      <c r="AV3150" s="185" t="s">
        <v>176</v>
      </c>
      <c r="AX3150" s="185" t="s">
        <v>176</v>
      </c>
      <c r="BK3150" s="55" t="s">
        <v>6333</v>
      </c>
      <c r="BM3150" s="192" t="s">
        <v>2702</v>
      </c>
      <c r="BN3150" s="55">
        <v>3</v>
      </c>
      <c r="BO3150" s="55">
        <v>3</v>
      </c>
      <c r="BQ3150" s="55" t="s">
        <v>141</v>
      </c>
      <c r="CB3150" s="66">
        <v>2836</v>
      </c>
      <c r="CC3150" s="66">
        <v>3820</v>
      </c>
      <c r="CE3150" s="65">
        <f>6705-6344</f>
        <v>361</v>
      </c>
      <c r="CF3150" s="65">
        <f>6705-6344</f>
        <v>361</v>
      </c>
      <c r="GP3150" s="292" t="s">
        <v>7494</v>
      </c>
    </row>
    <row r="3151" spans="1:198" x14ac:dyDescent="0.25">
      <c r="A3151" s="55">
        <v>3150</v>
      </c>
      <c r="B3151" s="12" t="s">
        <v>7067</v>
      </c>
      <c r="C3151" s="155">
        <v>150</v>
      </c>
      <c r="D3151" s="55" t="s">
        <v>4320</v>
      </c>
      <c r="E3151" s="90" t="s">
        <v>3003</v>
      </c>
      <c r="G3151" s="55" t="s">
        <v>3004</v>
      </c>
      <c r="H3151" s="55">
        <v>2007</v>
      </c>
      <c r="I3151" s="55">
        <v>1995</v>
      </c>
      <c r="J3151" s="55" t="s">
        <v>2660</v>
      </c>
      <c r="K3151" s="55" t="s">
        <v>2676</v>
      </c>
      <c r="L3151" s="55" t="s">
        <v>2750</v>
      </c>
      <c r="M3151" s="90">
        <f>-13-39/60</f>
        <v>-13.65</v>
      </c>
      <c r="N3151" s="90">
        <f>32+34/60</f>
        <v>32.56666666666667</v>
      </c>
      <c r="O3151" s="90">
        <v>1028</v>
      </c>
      <c r="Q3151" s="55">
        <f>(25+16)/2</f>
        <v>20.5</v>
      </c>
      <c r="S3151" s="90">
        <v>960</v>
      </c>
      <c r="U3151" s="55" t="s">
        <v>1935</v>
      </c>
      <c r="V3151" s="55" t="s">
        <v>1679</v>
      </c>
      <c r="Y3151" s="55" t="s">
        <v>3030</v>
      </c>
      <c r="Z3151" s="55" t="s">
        <v>1346</v>
      </c>
      <c r="AA3151" s="90" t="s">
        <v>1675</v>
      </c>
      <c r="AE3151" s="90">
        <v>58</v>
      </c>
      <c r="AF3151" s="90">
        <v>17</v>
      </c>
      <c r="AH3151" s="55" t="s">
        <v>238</v>
      </c>
      <c r="AJ3151" s="90">
        <v>1</v>
      </c>
      <c r="AM3151" s="55" t="s">
        <v>2677</v>
      </c>
      <c r="AN3151" s="185" t="s">
        <v>2693</v>
      </c>
      <c r="AO3151" s="185" t="s">
        <v>5150</v>
      </c>
      <c r="AQ3151" s="55" t="s">
        <v>553</v>
      </c>
      <c r="AR3151" s="55" t="s">
        <v>1607</v>
      </c>
      <c r="AS3151" s="55" t="s">
        <v>132</v>
      </c>
      <c r="AU3151" s="181" t="s">
        <v>7494</v>
      </c>
      <c r="AV3151" s="185" t="s">
        <v>176</v>
      </c>
      <c r="AX3151" s="185" t="s">
        <v>176</v>
      </c>
      <c r="BK3151" s="55" t="s">
        <v>6333</v>
      </c>
      <c r="BM3151" s="192" t="s">
        <v>2702</v>
      </c>
      <c r="BN3151" s="55">
        <v>3</v>
      </c>
      <c r="BO3151" s="55">
        <v>3</v>
      </c>
      <c r="BQ3151" s="55" t="s">
        <v>141</v>
      </c>
      <c r="CB3151" s="66">
        <v>2836</v>
      </c>
      <c r="CC3151" s="66">
        <v>3721</v>
      </c>
      <c r="CE3151" s="65">
        <f>6705-6344</f>
        <v>361</v>
      </c>
      <c r="CF3151" s="65">
        <f>6705-6344</f>
        <v>361</v>
      </c>
      <c r="GP3151" s="292" t="s">
        <v>7494</v>
      </c>
    </row>
    <row r="3152" spans="1:198" x14ac:dyDescent="0.25">
      <c r="A3152" s="55">
        <v>3151</v>
      </c>
      <c r="B3152" s="12" t="s">
        <v>7067</v>
      </c>
      <c r="C3152" s="155">
        <v>150</v>
      </c>
      <c r="D3152" s="55" t="s">
        <v>4321</v>
      </c>
      <c r="E3152" s="90" t="s">
        <v>3003</v>
      </c>
      <c r="G3152" s="55" t="s">
        <v>3004</v>
      </c>
      <c r="H3152" s="55">
        <v>2007</v>
      </c>
      <c r="I3152" s="55">
        <v>1995</v>
      </c>
      <c r="J3152" s="55" t="s">
        <v>2660</v>
      </c>
      <c r="K3152" s="55" t="s">
        <v>2676</v>
      </c>
      <c r="L3152" s="55" t="s">
        <v>2750</v>
      </c>
      <c r="M3152" s="90">
        <f>-13-39/60</f>
        <v>-13.65</v>
      </c>
      <c r="N3152" s="90">
        <f>32+34/60</f>
        <v>32.56666666666667</v>
      </c>
      <c r="O3152" s="90">
        <v>1028</v>
      </c>
      <c r="Q3152" s="55">
        <f>(25+16)/2</f>
        <v>20.5</v>
      </c>
      <c r="S3152" s="90">
        <v>960</v>
      </c>
      <c r="U3152" s="55" t="s">
        <v>1935</v>
      </c>
      <c r="V3152" s="55" t="s">
        <v>1679</v>
      </c>
      <c r="Y3152" s="55" t="s">
        <v>3030</v>
      </c>
      <c r="Z3152" s="55" t="s">
        <v>1346</v>
      </c>
      <c r="AA3152" s="90" t="s">
        <v>1675</v>
      </c>
      <c r="AE3152" s="90">
        <v>58</v>
      </c>
      <c r="AF3152" s="90">
        <v>17</v>
      </c>
      <c r="AH3152" s="55" t="s">
        <v>238</v>
      </c>
      <c r="AJ3152" s="90">
        <v>1</v>
      </c>
      <c r="AM3152" s="55" t="s">
        <v>2677</v>
      </c>
      <c r="AN3152" s="185" t="s">
        <v>2692</v>
      </c>
      <c r="AO3152" s="185" t="s">
        <v>5150</v>
      </c>
      <c r="AQ3152" s="55" t="s">
        <v>553</v>
      </c>
      <c r="AR3152" s="55" t="s">
        <v>1607</v>
      </c>
      <c r="AS3152" s="55" t="s">
        <v>132</v>
      </c>
      <c r="AU3152" s="181" t="s">
        <v>7494</v>
      </c>
      <c r="AV3152" s="185" t="s">
        <v>176</v>
      </c>
      <c r="AX3152" s="185" t="s">
        <v>176</v>
      </c>
      <c r="BK3152" s="55" t="s">
        <v>6333</v>
      </c>
      <c r="BM3152" s="192" t="s">
        <v>2702</v>
      </c>
      <c r="BN3152" s="55">
        <v>3</v>
      </c>
      <c r="BO3152" s="55">
        <v>3</v>
      </c>
      <c r="BQ3152" s="55" t="s">
        <v>141</v>
      </c>
      <c r="CB3152" s="66">
        <v>2836</v>
      </c>
      <c r="CC3152" s="66">
        <v>4607</v>
      </c>
      <c r="CE3152" s="65">
        <f>6705-6344</f>
        <v>361</v>
      </c>
      <c r="CF3152" s="65">
        <f>6705-6344</f>
        <v>361</v>
      </c>
      <c r="GP3152" s="292" t="s">
        <v>7494</v>
      </c>
    </row>
    <row r="3153" spans="1:198" x14ac:dyDescent="0.25">
      <c r="A3153" s="55">
        <v>3152</v>
      </c>
      <c r="B3153" s="12" t="s">
        <v>7067</v>
      </c>
      <c r="C3153" s="155">
        <v>150</v>
      </c>
      <c r="D3153" s="55" t="s">
        <v>4320</v>
      </c>
      <c r="E3153" s="90" t="s">
        <v>3003</v>
      </c>
      <c r="G3153" s="55" t="s">
        <v>3004</v>
      </c>
      <c r="H3153" s="55">
        <v>2007</v>
      </c>
      <c r="I3153" s="55">
        <v>1996</v>
      </c>
      <c r="J3153" s="55" t="s">
        <v>2660</v>
      </c>
      <c r="K3153" s="55" t="s">
        <v>2676</v>
      </c>
      <c r="L3153" s="55" t="s">
        <v>2750</v>
      </c>
      <c r="M3153" s="90">
        <f>-13-39/60</f>
        <v>-13.65</v>
      </c>
      <c r="N3153" s="90">
        <f>32+34/60</f>
        <v>32.56666666666667</v>
      </c>
      <c r="O3153" s="90">
        <v>1028</v>
      </c>
      <c r="Q3153" s="55">
        <f>(25+16)/2</f>
        <v>20.5</v>
      </c>
      <c r="S3153" s="90">
        <v>960</v>
      </c>
      <c r="U3153" s="55" t="s">
        <v>1805</v>
      </c>
      <c r="V3153" s="55" t="s">
        <v>1679</v>
      </c>
      <c r="Y3153" s="55" t="s">
        <v>3030</v>
      </c>
      <c r="Z3153" s="55" t="s">
        <v>1346</v>
      </c>
      <c r="AA3153" s="90" t="s">
        <v>1675</v>
      </c>
      <c r="AE3153" s="90">
        <v>58</v>
      </c>
      <c r="AF3153" s="90">
        <v>17</v>
      </c>
      <c r="AH3153" s="55" t="s">
        <v>238</v>
      </c>
      <c r="AJ3153" s="90">
        <v>1</v>
      </c>
      <c r="AM3153" s="55" t="s">
        <v>2677</v>
      </c>
      <c r="AN3153" s="185" t="s">
        <v>2685</v>
      </c>
      <c r="AO3153" s="185" t="s">
        <v>5150</v>
      </c>
      <c r="AQ3153" s="55" t="s">
        <v>1097</v>
      </c>
      <c r="AR3153" s="55" t="s">
        <v>1607</v>
      </c>
      <c r="AS3153" s="55" t="s">
        <v>132</v>
      </c>
      <c r="AU3153" s="181" t="s">
        <v>7494</v>
      </c>
      <c r="AV3153" s="185" t="s">
        <v>176</v>
      </c>
      <c r="AX3153" s="185" t="s">
        <v>176</v>
      </c>
      <c r="BK3153" s="55" t="s">
        <v>6333</v>
      </c>
      <c r="BM3153" s="192" t="s">
        <v>2702</v>
      </c>
      <c r="BN3153" s="55">
        <v>3</v>
      </c>
      <c r="BO3153" s="55">
        <v>3</v>
      </c>
      <c r="BQ3153" s="55" t="s">
        <v>141</v>
      </c>
      <c r="CB3153" s="66">
        <v>2574</v>
      </c>
      <c r="CC3153" s="66">
        <v>3689</v>
      </c>
      <c r="CE3153" s="65">
        <f>6803-6246</f>
        <v>557</v>
      </c>
      <c r="CF3153" s="65">
        <f>6803-6246</f>
        <v>557</v>
      </c>
      <c r="GP3153" s="292" t="s">
        <v>7494</v>
      </c>
    </row>
    <row r="3154" spans="1:198" x14ac:dyDescent="0.25">
      <c r="A3154" s="55">
        <v>3153</v>
      </c>
      <c r="B3154" s="12" t="s">
        <v>7067</v>
      </c>
      <c r="C3154" s="155">
        <v>150</v>
      </c>
      <c r="D3154" s="55" t="s">
        <v>4320</v>
      </c>
      <c r="E3154" s="90" t="s">
        <v>3003</v>
      </c>
      <c r="G3154" s="55" t="s">
        <v>3004</v>
      </c>
      <c r="H3154" s="55">
        <v>2007</v>
      </c>
      <c r="I3154" s="55">
        <v>1996</v>
      </c>
      <c r="J3154" s="55" t="s">
        <v>2660</v>
      </c>
      <c r="K3154" s="55" t="s">
        <v>2676</v>
      </c>
      <c r="L3154" s="55" t="s">
        <v>2750</v>
      </c>
      <c r="M3154" s="90">
        <f>-13-39/60</f>
        <v>-13.65</v>
      </c>
      <c r="N3154" s="90">
        <f>32+34/60</f>
        <v>32.56666666666667</v>
      </c>
      <c r="O3154" s="90">
        <v>1028</v>
      </c>
      <c r="Q3154" s="55">
        <f>(25+16)/2</f>
        <v>20.5</v>
      </c>
      <c r="S3154" s="90">
        <v>960</v>
      </c>
      <c r="U3154" s="55" t="s">
        <v>1805</v>
      </c>
      <c r="V3154" s="55" t="s">
        <v>1679</v>
      </c>
      <c r="Y3154" s="55" t="s">
        <v>3030</v>
      </c>
      <c r="Z3154" s="55" t="s">
        <v>1346</v>
      </c>
      <c r="AA3154" s="90" t="s">
        <v>1675</v>
      </c>
      <c r="AE3154" s="90">
        <v>58</v>
      </c>
      <c r="AF3154" s="90">
        <v>17</v>
      </c>
      <c r="AH3154" s="55" t="s">
        <v>238</v>
      </c>
      <c r="AJ3154" s="90">
        <v>1</v>
      </c>
      <c r="AM3154" s="55" t="s">
        <v>2677</v>
      </c>
      <c r="AN3154" s="185" t="s">
        <v>2693</v>
      </c>
      <c r="AO3154" s="185" t="s">
        <v>5150</v>
      </c>
      <c r="AQ3154" s="55" t="s">
        <v>553</v>
      </c>
      <c r="AR3154" s="55" t="s">
        <v>1607</v>
      </c>
      <c r="AS3154" s="55" t="s">
        <v>132</v>
      </c>
      <c r="AU3154" s="181" t="s">
        <v>7494</v>
      </c>
      <c r="AV3154" s="185" t="s">
        <v>176</v>
      </c>
      <c r="AX3154" s="185" t="s">
        <v>176</v>
      </c>
      <c r="BK3154" s="55" t="s">
        <v>6333</v>
      </c>
      <c r="BM3154" s="192" t="s">
        <v>2702</v>
      </c>
      <c r="BN3154" s="55">
        <v>3</v>
      </c>
      <c r="BO3154" s="55">
        <v>3</v>
      </c>
      <c r="BQ3154" s="55" t="s">
        <v>141</v>
      </c>
      <c r="CB3154" s="66">
        <v>2574</v>
      </c>
      <c r="CC3154" s="66">
        <v>3098</v>
      </c>
      <c r="CE3154" s="65">
        <f>6803-6246</f>
        <v>557</v>
      </c>
      <c r="CF3154" s="65">
        <f>6803-6246</f>
        <v>557</v>
      </c>
      <c r="GP3154" s="292" t="s">
        <v>7494</v>
      </c>
    </row>
    <row r="3155" spans="1:198" x14ac:dyDescent="0.25">
      <c r="A3155" s="55">
        <v>3154</v>
      </c>
      <c r="B3155" s="12" t="s">
        <v>7067</v>
      </c>
      <c r="C3155" s="155">
        <v>150</v>
      </c>
      <c r="D3155" s="55" t="s">
        <v>4321</v>
      </c>
      <c r="E3155" s="90" t="s">
        <v>3003</v>
      </c>
      <c r="G3155" s="55" t="s">
        <v>3004</v>
      </c>
      <c r="H3155" s="55">
        <v>2007</v>
      </c>
      <c r="I3155" s="55">
        <v>1996</v>
      </c>
      <c r="J3155" s="55" t="s">
        <v>2660</v>
      </c>
      <c r="K3155" s="55" t="s">
        <v>2676</v>
      </c>
      <c r="L3155" s="55" t="s">
        <v>2750</v>
      </c>
      <c r="M3155" s="90">
        <f>-13-39/60</f>
        <v>-13.65</v>
      </c>
      <c r="N3155" s="90">
        <f>32+34/60</f>
        <v>32.56666666666667</v>
      </c>
      <c r="O3155" s="90">
        <v>1028</v>
      </c>
      <c r="Q3155" s="55">
        <f>(25+16)/2</f>
        <v>20.5</v>
      </c>
      <c r="S3155" s="90">
        <v>960</v>
      </c>
      <c r="U3155" s="55" t="s">
        <v>1805</v>
      </c>
      <c r="V3155" s="55" t="s">
        <v>1679</v>
      </c>
      <c r="Y3155" s="55" t="s">
        <v>3030</v>
      </c>
      <c r="Z3155" s="55" t="s">
        <v>1346</v>
      </c>
      <c r="AA3155" s="90" t="s">
        <v>1675</v>
      </c>
      <c r="AE3155" s="90">
        <v>58</v>
      </c>
      <c r="AF3155" s="90">
        <v>17</v>
      </c>
      <c r="AH3155" s="55" t="s">
        <v>238</v>
      </c>
      <c r="AJ3155" s="90">
        <v>1</v>
      </c>
      <c r="AM3155" s="55" t="s">
        <v>2677</v>
      </c>
      <c r="AN3155" s="185" t="s">
        <v>2692</v>
      </c>
      <c r="AO3155" s="185" t="s">
        <v>5150</v>
      </c>
      <c r="AQ3155" s="55" t="s">
        <v>553</v>
      </c>
      <c r="AR3155" s="55" t="s">
        <v>1607</v>
      </c>
      <c r="AS3155" s="55" t="s">
        <v>132</v>
      </c>
      <c r="AU3155" s="181" t="s">
        <v>7494</v>
      </c>
      <c r="AV3155" s="185" t="s">
        <v>176</v>
      </c>
      <c r="AX3155" s="185" t="s">
        <v>176</v>
      </c>
      <c r="BK3155" s="55" t="s">
        <v>6333</v>
      </c>
      <c r="BM3155" s="192" t="s">
        <v>2702</v>
      </c>
      <c r="BN3155" s="55">
        <v>3</v>
      </c>
      <c r="BO3155" s="55">
        <v>3</v>
      </c>
      <c r="BQ3155" s="55" t="s">
        <v>141</v>
      </c>
      <c r="CB3155" s="66">
        <v>2574</v>
      </c>
      <c r="CC3155" s="66">
        <v>4410</v>
      </c>
      <c r="CE3155" s="65">
        <f>6803-6246</f>
        <v>557</v>
      </c>
      <c r="CF3155" s="65">
        <f>6803-6246</f>
        <v>557</v>
      </c>
      <c r="GP3155" s="292" t="s">
        <v>7494</v>
      </c>
    </row>
    <row r="3156" spans="1:198" x14ac:dyDescent="0.25">
      <c r="A3156" s="55">
        <v>3155</v>
      </c>
      <c r="B3156" s="12" t="s">
        <v>7067</v>
      </c>
      <c r="C3156" s="155">
        <v>150</v>
      </c>
      <c r="D3156" s="55" t="s">
        <v>4320</v>
      </c>
      <c r="E3156" s="90" t="s">
        <v>3003</v>
      </c>
      <c r="G3156" s="55" t="s">
        <v>3004</v>
      </c>
      <c r="H3156" s="55">
        <v>2007</v>
      </c>
      <c r="I3156" s="55">
        <v>1997</v>
      </c>
      <c r="J3156" s="55" t="s">
        <v>2660</v>
      </c>
      <c r="K3156" s="55" t="s">
        <v>2676</v>
      </c>
      <c r="L3156" s="55" t="s">
        <v>2750</v>
      </c>
      <c r="M3156" s="90">
        <f>-13-39/60</f>
        <v>-13.65</v>
      </c>
      <c r="N3156" s="90">
        <f>32+34/60</f>
        <v>32.56666666666667</v>
      </c>
      <c r="O3156" s="90">
        <v>1028</v>
      </c>
      <c r="Q3156" s="55">
        <f>(25+16)/2</f>
        <v>20.5</v>
      </c>
      <c r="S3156" s="90">
        <v>960</v>
      </c>
      <c r="U3156" s="55" t="s">
        <v>1688</v>
      </c>
      <c r="V3156" s="55" t="s">
        <v>1679</v>
      </c>
      <c r="Y3156" s="55" t="s">
        <v>3030</v>
      </c>
      <c r="Z3156" s="55" t="s">
        <v>1346</v>
      </c>
      <c r="AA3156" s="90" t="s">
        <v>1675</v>
      </c>
      <c r="AE3156" s="90">
        <v>58</v>
      </c>
      <c r="AF3156" s="90">
        <v>17</v>
      </c>
      <c r="AH3156" s="55" t="s">
        <v>238</v>
      </c>
      <c r="AJ3156" s="90">
        <v>1</v>
      </c>
      <c r="AM3156" s="55" t="s">
        <v>2677</v>
      </c>
      <c r="AN3156" s="185" t="s">
        <v>2685</v>
      </c>
      <c r="AO3156" s="185" t="s">
        <v>5150</v>
      </c>
      <c r="AQ3156" s="55" t="s">
        <v>1097</v>
      </c>
      <c r="AR3156" s="55" t="s">
        <v>1607</v>
      </c>
      <c r="AS3156" s="55" t="s">
        <v>132</v>
      </c>
      <c r="AU3156" s="181" t="s">
        <v>7494</v>
      </c>
      <c r="AV3156" s="185" t="s">
        <v>176</v>
      </c>
      <c r="AX3156" s="185" t="s">
        <v>176</v>
      </c>
      <c r="BK3156" s="55" t="s">
        <v>6333</v>
      </c>
      <c r="BM3156" s="192" t="s">
        <v>2702</v>
      </c>
      <c r="BN3156" s="55">
        <v>3</v>
      </c>
      <c r="BO3156" s="55">
        <v>3</v>
      </c>
      <c r="BQ3156" s="55" t="s">
        <v>141</v>
      </c>
      <c r="CB3156" s="66">
        <v>2148</v>
      </c>
      <c r="CC3156" s="66">
        <v>3295</v>
      </c>
      <c r="CE3156" s="65">
        <f>6672-6344</f>
        <v>328</v>
      </c>
      <c r="CF3156" s="65">
        <f>6672-6344</f>
        <v>328</v>
      </c>
      <c r="GP3156" s="292" t="s">
        <v>7494</v>
      </c>
    </row>
    <row r="3157" spans="1:198" x14ac:dyDescent="0.25">
      <c r="A3157" s="55">
        <v>3156</v>
      </c>
      <c r="B3157" s="12" t="s">
        <v>7067</v>
      </c>
      <c r="C3157" s="155">
        <v>150</v>
      </c>
      <c r="D3157" s="55" t="s">
        <v>4320</v>
      </c>
      <c r="E3157" s="90" t="s">
        <v>3003</v>
      </c>
      <c r="G3157" s="55" t="s">
        <v>3004</v>
      </c>
      <c r="H3157" s="55">
        <v>2007</v>
      </c>
      <c r="I3157" s="55">
        <v>1997</v>
      </c>
      <c r="J3157" s="55" t="s">
        <v>2660</v>
      </c>
      <c r="K3157" s="55" t="s">
        <v>2676</v>
      </c>
      <c r="L3157" s="55" t="s">
        <v>2750</v>
      </c>
      <c r="M3157" s="90">
        <f>-13-39/60</f>
        <v>-13.65</v>
      </c>
      <c r="N3157" s="90">
        <f>32+34/60</f>
        <v>32.56666666666667</v>
      </c>
      <c r="O3157" s="90">
        <v>1028</v>
      </c>
      <c r="Q3157" s="55">
        <f>(25+16)/2</f>
        <v>20.5</v>
      </c>
      <c r="S3157" s="90">
        <v>960</v>
      </c>
      <c r="U3157" s="55" t="s">
        <v>1688</v>
      </c>
      <c r="V3157" s="55" t="s">
        <v>1679</v>
      </c>
      <c r="Y3157" s="55" t="s">
        <v>3030</v>
      </c>
      <c r="Z3157" s="55" t="s">
        <v>1346</v>
      </c>
      <c r="AA3157" s="90" t="s">
        <v>1675</v>
      </c>
      <c r="AE3157" s="90">
        <v>58</v>
      </c>
      <c r="AF3157" s="90">
        <v>17</v>
      </c>
      <c r="AH3157" s="55" t="s">
        <v>238</v>
      </c>
      <c r="AJ3157" s="90">
        <v>1</v>
      </c>
      <c r="AM3157" s="55" t="s">
        <v>2677</v>
      </c>
      <c r="AN3157" s="185" t="s">
        <v>2693</v>
      </c>
      <c r="AO3157" s="185" t="s">
        <v>5150</v>
      </c>
      <c r="AQ3157" s="55" t="s">
        <v>553</v>
      </c>
      <c r="AR3157" s="55" t="s">
        <v>1607</v>
      </c>
      <c r="AS3157" s="55" t="s">
        <v>132</v>
      </c>
      <c r="AU3157" s="181" t="s">
        <v>7494</v>
      </c>
      <c r="AV3157" s="185" t="s">
        <v>176</v>
      </c>
      <c r="AX3157" s="185" t="s">
        <v>176</v>
      </c>
      <c r="BK3157" s="55" t="s">
        <v>6333</v>
      </c>
      <c r="BM3157" s="192" t="s">
        <v>2702</v>
      </c>
      <c r="BN3157" s="55">
        <v>3</v>
      </c>
      <c r="BO3157" s="55">
        <v>3</v>
      </c>
      <c r="BQ3157" s="55" t="s">
        <v>141</v>
      </c>
      <c r="CB3157" s="66">
        <v>2148</v>
      </c>
      <c r="CC3157" s="66">
        <v>3951</v>
      </c>
      <c r="CE3157" s="65">
        <f>6672-6344</f>
        <v>328</v>
      </c>
      <c r="CF3157" s="65">
        <f>6672-6344</f>
        <v>328</v>
      </c>
      <c r="GP3157" s="292" t="s">
        <v>7494</v>
      </c>
    </row>
    <row r="3158" spans="1:198" x14ac:dyDescent="0.25">
      <c r="A3158" s="55">
        <v>3157</v>
      </c>
      <c r="B3158" s="12" t="s">
        <v>7067</v>
      </c>
      <c r="C3158" s="155">
        <v>150</v>
      </c>
      <c r="D3158" s="55" t="s">
        <v>4321</v>
      </c>
      <c r="E3158" s="90" t="s">
        <v>3003</v>
      </c>
      <c r="G3158" s="55" t="s">
        <v>3004</v>
      </c>
      <c r="H3158" s="55">
        <v>2007</v>
      </c>
      <c r="I3158" s="55">
        <v>1997</v>
      </c>
      <c r="J3158" s="55" t="s">
        <v>2660</v>
      </c>
      <c r="K3158" s="55" t="s">
        <v>2676</v>
      </c>
      <c r="L3158" s="55" t="s">
        <v>2750</v>
      </c>
      <c r="M3158" s="90">
        <f>-13-39/60</f>
        <v>-13.65</v>
      </c>
      <c r="N3158" s="90">
        <f>32+34/60</f>
        <v>32.56666666666667</v>
      </c>
      <c r="O3158" s="90">
        <v>1028</v>
      </c>
      <c r="Q3158" s="55">
        <f>(25+16)/2</f>
        <v>20.5</v>
      </c>
      <c r="S3158" s="90">
        <v>960</v>
      </c>
      <c r="U3158" s="55" t="s">
        <v>1688</v>
      </c>
      <c r="V3158" s="55" t="s">
        <v>1679</v>
      </c>
      <c r="Y3158" s="55" t="s">
        <v>3030</v>
      </c>
      <c r="Z3158" s="55" t="s">
        <v>1346</v>
      </c>
      <c r="AA3158" s="90" t="s">
        <v>1675</v>
      </c>
      <c r="AE3158" s="90">
        <v>58</v>
      </c>
      <c r="AF3158" s="90">
        <v>17</v>
      </c>
      <c r="AH3158" s="55" t="s">
        <v>238</v>
      </c>
      <c r="AJ3158" s="90">
        <v>1</v>
      </c>
      <c r="AM3158" s="55" t="s">
        <v>2677</v>
      </c>
      <c r="AN3158" s="185" t="s">
        <v>2692</v>
      </c>
      <c r="AO3158" s="185" t="s">
        <v>5150</v>
      </c>
      <c r="AQ3158" s="55" t="s">
        <v>553</v>
      </c>
      <c r="AR3158" s="55" t="s">
        <v>1607</v>
      </c>
      <c r="AS3158" s="55" t="s">
        <v>132</v>
      </c>
      <c r="AU3158" s="181" t="s">
        <v>7494</v>
      </c>
      <c r="AV3158" s="185" t="s">
        <v>176</v>
      </c>
      <c r="AX3158" s="185" t="s">
        <v>176</v>
      </c>
      <c r="BK3158" s="55" t="s">
        <v>6333</v>
      </c>
      <c r="BM3158" s="192" t="s">
        <v>2702</v>
      </c>
      <c r="BN3158" s="55">
        <v>3</v>
      </c>
      <c r="BO3158" s="55">
        <v>3</v>
      </c>
      <c r="BQ3158" s="55" t="s">
        <v>141</v>
      </c>
      <c r="CB3158" s="66">
        <v>2148</v>
      </c>
      <c r="CC3158" s="66">
        <v>3295</v>
      </c>
      <c r="CE3158" s="65">
        <f>6672-6344</f>
        <v>328</v>
      </c>
      <c r="CF3158" s="65">
        <f>6672-6344</f>
        <v>328</v>
      </c>
      <c r="GP3158" s="292" t="s">
        <v>7494</v>
      </c>
    </row>
    <row r="3159" spans="1:198" x14ac:dyDescent="0.25">
      <c r="A3159" s="55">
        <v>3158</v>
      </c>
      <c r="B3159" s="12" t="s">
        <v>7067</v>
      </c>
      <c r="C3159" s="155">
        <v>150</v>
      </c>
      <c r="D3159" s="55" t="s">
        <v>4320</v>
      </c>
      <c r="E3159" s="90" t="s">
        <v>3003</v>
      </c>
      <c r="G3159" s="55" t="s">
        <v>3004</v>
      </c>
      <c r="H3159" s="55">
        <v>2007</v>
      </c>
      <c r="I3159" s="55">
        <v>1998</v>
      </c>
      <c r="J3159" s="55" t="s">
        <v>2660</v>
      </c>
      <c r="K3159" s="55" t="s">
        <v>2676</v>
      </c>
      <c r="L3159" s="55" t="s">
        <v>2750</v>
      </c>
      <c r="M3159" s="90">
        <f>-13-39/60</f>
        <v>-13.65</v>
      </c>
      <c r="N3159" s="90">
        <f>32+34/60</f>
        <v>32.56666666666667</v>
      </c>
      <c r="O3159" s="90">
        <v>1028</v>
      </c>
      <c r="Q3159" s="55">
        <f>(25+16)/2</f>
        <v>20.5</v>
      </c>
      <c r="S3159" s="90">
        <v>960</v>
      </c>
      <c r="U3159" s="55" t="s">
        <v>1816</v>
      </c>
      <c r="V3159" s="55" t="s">
        <v>1679</v>
      </c>
      <c r="Y3159" s="55" t="s">
        <v>3030</v>
      </c>
      <c r="Z3159" s="55" t="s">
        <v>1346</v>
      </c>
      <c r="AA3159" s="90" t="s">
        <v>1675</v>
      </c>
      <c r="AE3159" s="90">
        <v>58</v>
      </c>
      <c r="AF3159" s="90">
        <v>17</v>
      </c>
      <c r="AH3159" s="55" t="s">
        <v>238</v>
      </c>
      <c r="AJ3159" s="90">
        <v>1</v>
      </c>
      <c r="AM3159" s="55" t="s">
        <v>2677</v>
      </c>
      <c r="AN3159" s="185" t="s">
        <v>2685</v>
      </c>
      <c r="AO3159" s="185" t="s">
        <v>5150</v>
      </c>
      <c r="AQ3159" s="55" t="s">
        <v>1097</v>
      </c>
      <c r="AR3159" s="55" t="s">
        <v>1607</v>
      </c>
      <c r="AS3159" s="55" t="s">
        <v>132</v>
      </c>
      <c r="AU3159" s="181" t="s">
        <v>7494</v>
      </c>
      <c r="AV3159" s="185" t="s">
        <v>176</v>
      </c>
      <c r="AX3159" s="185" t="s">
        <v>176</v>
      </c>
      <c r="BK3159" s="55" t="s">
        <v>6333</v>
      </c>
      <c r="BM3159" s="192" t="s">
        <v>2702</v>
      </c>
      <c r="BN3159" s="55">
        <v>3</v>
      </c>
      <c r="BO3159" s="55">
        <v>3</v>
      </c>
      <c r="BQ3159" s="55" t="s">
        <v>141</v>
      </c>
      <c r="CB3159" s="66">
        <v>1197</v>
      </c>
      <c r="CC3159" s="66">
        <v>2475</v>
      </c>
      <c r="CE3159" s="65">
        <v>320</v>
      </c>
      <c r="CF3159" s="65">
        <v>320</v>
      </c>
      <c r="GP3159" s="292" t="s">
        <v>7494</v>
      </c>
    </row>
    <row r="3160" spans="1:198" x14ac:dyDescent="0.25">
      <c r="A3160" s="55">
        <v>3159</v>
      </c>
      <c r="B3160" s="12" t="s">
        <v>7067</v>
      </c>
      <c r="C3160" s="155">
        <v>150</v>
      </c>
      <c r="D3160" s="55" t="s">
        <v>4320</v>
      </c>
      <c r="E3160" s="90" t="s">
        <v>3003</v>
      </c>
      <c r="G3160" s="55" t="s">
        <v>3004</v>
      </c>
      <c r="H3160" s="55">
        <v>2007</v>
      </c>
      <c r="I3160" s="55">
        <v>1998</v>
      </c>
      <c r="J3160" s="55" t="s">
        <v>2660</v>
      </c>
      <c r="K3160" s="55" t="s">
        <v>2676</v>
      </c>
      <c r="L3160" s="55" t="s">
        <v>2750</v>
      </c>
      <c r="M3160" s="90">
        <f>-13-39/60</f>
        <v>-13.65</v>
      </c>
      <c r="N3160" s="90">
        <f>32+34/60</f>
        <v>32.56666666666667</v>
      </c>
      <c r="O3160" s="90">
        <v>1028</v>
      </c>
      <c r="Q3160" s="55">
        <f>(25+16)/2</f>
        <v>20.5</v>
      </c>
      <c r="S3160" s="90">
        <v>960</v>
      </c>
      <c r="U3160" s="55" t="s">
        <v>1816</v>
      </c>
      <c r="V3160" s="55" t="s">
        <v>1679</v>
      </c>
      <c r="Y3160" s="55" t="s">
        <v>3030</v>
      </c>
      <c r="Z3160" s="55" t="s">
        <v>1346</v>
      </c>
      <c r="AA3160" s="90" t="s">
        <v>1675</v>
      </c>
      <c r="AE3160" s="90">
        <v>58</v>
      </c>
      <c r="AF3160" s="90">
        <v>17</v>
      </c>
      <c r="AH3160" s="55" t="s">
        <v>238</v>
      </c>
      <c r="AJ3160" s="90">
        <v>1</v>
      </c>
      <c r="AM3160" s="55" t="s">
        <v>2677</v>
      </c>
      <c r="AN3160" s="185" t="s">
        <v>2693</v>
      </c>
      <c r="AO3160" s="185" t="s">
        <v>5150</v>
      </c>
      <c r="AQ3160" s="55" t="s">
        <v>553</v>
      </c>
      <c r="AR3160" s="55" t="s">
        <v>1607</v>
      </c>
      <c r="AS3160" s="55" t="s">
        <v>132</v>
      </c>
      <c r="AU3160" s="181" t="s">
        <v>7494</v>
      </c>
      <c r="AV3160" s="185" t="s">
        <v>176</v>
      </c>
      <c r="AX3160" s="185" t="s">
        <v>176</v>
      </c>
      <c r="BK3160" s="55" t="s">
        <v>6333</v>
      </c>
      <c r="BM3160" s="192" t="s">
        <v>2702</v>
      </c>
      <c r="BN3160" s="55">
        <v>3</v>
      </c>
      <c r="BO3160" s="55">
        <v>3</v>
      </c>
      <c r="BQ3160" s="55" t="s">
        <v>141</v>
      </c>
      <c r="CB3160" s="66">
        <v>1197</v>
      </c>
      <c r="CC3160" s="66">
        <v>2279</v>
      </c>
      <c r="CE3160" s="65">
        <v>320</v>
      </c>
      <c r="CF3160" s="65">
        <v>320</v>
      </c>
      <c r="GP3160" s="292" t="s">
        <v>7494</v>
      </c>
    </row>
    <row r="3161" spans="1:198" x14ac:dyDescent="0.25">
      <c r="A3161" s="55">
        <v>3160</v>
      </c>
      <c r="B3161" s="12" t="s">
        <v>7067</v>
      </c>
      <c r="C3161" s="155">
        <v>150</v>
      </c>
      <c r="D3161" s="55" t="s">
        <v>4321</v>
      </c>
      <c r="E3161" s="90" t="s">
        <v>3003</v>
      </c>
      <c r="G3161" s="55" t="s">
        <v>3004</v>
      </c>
      <c r="H3161" s="55">
        <v>2007</v>
      </c>
      <c r="I3161" s="55">
        <v>1998</v>
      </c>
      <c r="J3161" s="55" t="s">
        <v>2660</v>
      </c>
      <c r="K3161" s="55" t="s">
        <v>2676</v>
      </c>
      <c r="L3161" s="55" t="s">
        <v>2750</v>
      </c>
      <c r="M3161" s="90">
        <f>-13-39/60</f>
        <v>-13.65</v>
      </c>
      <c r="N3161" s="90">
        <f>32+34/60</f>
        <v>32.56666666666667</v>
      </c>
      <c r="O3161" s="90">
        <v>1028</v>
      </c>
      <c r="Q3161" s="55">
        <f>(25+16)/2</f>
        <v>20.5</v>
      </c>
      <c r="S3161" s="90">
        <v>960</v>
      </c>
      <c r="U3161" s="55" t="s">
        <v>1816</v>
      </c>
      <c r="V3161" s="55" t="s">
        <v>1679</v>
      </c>
      <c r="Y3161" s="55" t="s">
        <v>3030</v>
      </c>
      <c r="Z3161" s="55" t="s">
        <v>1346</v>
      </c>
      <c r="AA3161" s="90" t="s">
        <v>1675</v>
      </c>
      <c r="AE3161" s="90">
        <v>58</v>
      </c>
      <c r="AF3161" s="90">
        <v>17</v>
      </c>
      <c r="AH3161" s="55" t="s">
        <v>238</v>
      </c>
      <c r="AJ3161" s="90">
        <v>1</v>
      </c>
      <c r="AM3161" s="55" t="s">
        <v>2677</v>
      </c>
      <c r="AN3161" s="185" t="s">
        <v>2692</v>
      </c>
      <c r="AO3161" s="185" t="s">
        <v>5150</v>
      </c>
      <c r="AQ3161" s="55" t="s">
        <v>553</v>
      </c>
      <c r="AR3161" s="55" t="s">
        <v>1607</v>
      </c>
      <c r="AS3161" s="55" t="s">
        <v>132</v>
      </c>
      <c r="AU3161" s="181" t="s">
        <v>7494</v>
      </c>
      <c r="AV3161" s="185" t="s">
        <v>176</v>
      </c>
      <c r="AX3161" s="185" t="s">
        <v>176</v>
      </c>
      <c r="BK3161" s="55" t="s">
        <v>6333</v>
      </c>
      <c r="BM3161" s="192" t="s">
        <v>2702</v>
      </c>
      <c r="BN3161" s="55">
        <v>3</v>
      </c>
      <c r="BO3161" s="55">
        <v>3</v>
      </c>
      <c r="BQ3161" s="55" t="s">
        <v>141</v>
      </c>
      <c r="CB3161" s="66">
        <v>1197</v>
      </c>
      <c r="CC3161" s="66">
        <v>1852</v>
      </c>
      <c r="CE3161" s="65">
        <v>320</v>
      </c>
      <c r="CF3161" s="65">
        <v>320</v>
      </c>
      <c r="GP3161" s="292" t="s">
        <v>7494</v>
      </c>
    </row>
    <row r="3162" spans="1:198" x14ac:dyDescent="0.25">
      <c r="A3162" s="55">
        <v>3161</v>
      </c>
      <c r="B3162" s="12" t="s">
        <v>7067</v>
      </c>
      <c r="C3162" s="155">
        <v>150</v>
      </c>
      <c r="D3162" s="55" t="s">
        <v>4320</v>
      </c>
      <c r="E3162" s="90" t="s">
        <v>3003</v>
      </c>
      <c r="G3162" s="55" t="s">
        <v>3004</v>
      </c>
      <c r="H3162" s="55">
        <v>2007</v>
      </c>
      <c r="I3162" s="55">
        <v>1999</v>
      </c>
      <c r="J3162" s="55" t="s">
        <v>2660</v>
      </c>
      <c r="K3162" s="55" t="s">
        <v>2676</v>
      </c>
      <c r="L3162" s="55" t="s">
        <v>2750</v>
      </c>
      <c r="M3162" s="90">
        <f>-13-39/60</f>
        <v>-13.65</v>
      </c>
      <c r="N3162" s="90">
        <f>32+34/60</f>
        <v>32.56666666666667</v>
      </c>
      <c r="O3162" s="90">
        <v>1028</v>
      </c>
      <c r="Q3162" s="55">
        <f>(25+16)/2</f>
        <v>20.5</v>
      </c>
      <c r="S3162" s="90">
        <v>960</v>
      </c>
      <c r="U3162" s="55" t="s">
        <v>1682</v>
      </c>
      <c r="V3162" s="55" t="s">
        <v>1679</v>
      </c>
      <c r="Y3162" s="55" t="s">
        <v>3030</v>
      </c>
      <c r="Z3162" s="55" t="s">
        <v>1346</v>
      </c>
      <c r="AA3162" s="90" t="s">
        <v>1675</v>
      </c>
      <c r="AE3162" s="90">
        <v>58</v>
      </c>
      <c r="AF3162" s="90">
        <v>17</v>
      </c>
      <c r="AH3162" s="55" t="s">
        <v>238</v>
      </c>
      <c r="AJ3162" s="90">
        <v>1</v>
      </c>
      <c r="AM3162" s="55" t="s">
        <v>2677</v>
      </c>
      <c r="AN3162" s="185" t="s">
        <v>2685</v>
      </c>
      <c r="AO3162" s="185" t="s">
        <v>5150</v>
      </c>
      <c r="AQ3162" s="55" t="s">
        <v>1097</v>
      </c>
      <c r="AR3162" s="55" t="s">
        <v>1607</v>
      </c>
      <c r="AS3162" s="55" t="s">
        <v>132</v>
      </c>
      <c r="AU3162" s="181" t="s">
        <v>7494</v>
      </c>
      <c r="AV3162" s="185" t="s">
        <v>176</v>
      </c>
      <c r="AX3162" s="185" t="s">
        <v>176</v>
      </c>
      <c r="BK3162" s="55" t="s">
        <v>6333</v>
      </c>
      <c r="BM3162" s="192" t="s">
        <v>2702</v>
      </c>
      <c r="BN3162" s="55">
        <v>3</v>
      </c>
      <c r="BO3162" s="55">
        <v>3</v>
      </c>
      <c r="BQ3162" s="55" t="s">
        <v>141</v>
      </c>
      <c r="CB3162" s="66">
        <v>934</v>
      </c>
      <c r="CC3162" s="66">
        <v>2737</v>
      </c>
      <c r="CE3162" s="65">
        <v>321</v>
      </c>
      <c r="CF3162" s="65">
        <v>321</v>
      </c>
      <c r="GP3162" s="292" t="s">
        <v>7494</v>
      </c>
    </row>
    <row r="3163" spans="1:198" x14ac:dyDescent="0.25">
      <c r="A3163" s="55">
        <v>3162</v>
      </c>
      <c r="B3163" s="12" t="s">
        <v>7067</v>
      </c>
      <c r="C3163" s="155">
        <v>150</v>
      </c>
      <c r="D3163" s="55" t="s">
        <v>4320</v>
      </c>
      <c r="E3163" s="90" t="s">
        <v>3003</v>
      </c>
      <c r="G3163" s="55" t="s">
        <v>3004</v>
      </c>
      <c r="H3163" s="55">
        <v>2007</v>
      </c>
      <c r="I3163" s="55">
        <v>1999</v>
      </c>
      <c r="J3163" s="55" t="s">
        <v>2660</v>
      </c>
      <c r="K3163" s="55" t="s">
        <v>2676</v>
      </c>
      <c r="L3163" s="55" t="s">
        <v>2750</v>
      </c>
      <c r="M3163" s="90">
        <f>-13-39/60</f>
        <v>-13.65</v>
      </c>
      <c r="N3163" s="90">
        <f>32+34/60</f>
        <v>32.56666666666667</v>
      </c>
      <c r="O3163" s="90">
        <v>1028</v>
      </c>
      <c r="Q3163" s="55">
        <f>(25+16)/2</f>
        <v>20.5</v>
      </c>
      <c r="S3163" s="90">
        <v>960</v>
      </c>
      <c r="U3163" s="55" t="s">
        <v>1682</v>
      </c>
      <c r="V3163" s="55" t="s">
        <v>1679</v>
      </c>
      <c r="Y3163" s="55" t="s">
        <v>3030</v>
      </c>
      <c r="Z3163" s="55" t="s">
        <v>1346</v>
      </c>
      <c r="AA3163" s="90" t="s">
        <v>1675</v>
      </c>
      <c r="AE3163" s="90">
        <v>58</v>
      </c>
      <c r="AF3163" s="90">
        <v>17</v>
      </c>
      <c r="AH3163" s="55" t="s">
        <v>238</v>
      </c>
      <c r="AJ3163" s="90">
        <v>1</v>
      </c>
      <c r="AM3163" s="55" t="s">
        <v>2677</v>
      </c>
      <c r="AN3163" s="185" t="s">
        <v>2693</v>
      </c>
      <c r="AO3163" s="185" t="s">
        <v>5150</v>
      </c>
      <c r="AQ3163" s="55" t="s">
        <v>553</v>
      </c>
      <c r="AR3163" s="55" t="s">
        <v>1607</v>
      </c>
      <c r="AS3163" s="55" t="s">
        <v>132</v>
      </c>
      <c r="AU3163" s="181" t="s">
        <v>7494</v>
      </c>
      <c r="AV3163" s="185" t="s">
        <v>176</v>
      </c>
      <c r="AX3163" s="185" t="s">
        <v>176</v>
      </c>
      <c r="BK3163" s="55" t="s">
        <v>6333</v>
      </c>
      <c r="BM3163" s="192" t="s">
        <v>2702</v>
      </c>
      <c r="BN3163" s="55">
        <v>3</v>
      </c>
      <c r="BO3163" s="55">
        <v>3</v>
      </c>
      <c r="BQ3163" s="55" t="s">
        <v>141</v>
      </c>
      <c r="CB3163" s="66">
        <v>934</v>
      </c>
      <c r="CC3163" s="66">
        <v>3262</v>
      </c>
      <c r="CE3163" s="65">
        <v>321</v>
      </c>
      <c r="CF3163" s="65">
        <v>321</v>
      </c>
      <c r="GP3163" s="292" t="s">
        <v>7494</v>
      </c>
    </row>
    <row r="3164" spans="1:198" x14ac:dyDescent="0.25">
      <c r="A3164" s="55">
        <v>3163</v>
      </c>
      <c r="B3164" s="12" t="s">
        <v>7067</v>
      </c>
      <c r="C3164" s="155">
        <v>150</v>
      </c>
      <c r="D3164" s="55" t="s">
        <v>4321</v>
      </c>
      <c r="E3164" s="90" t="s">
        <v>3003</v>
      </c>
      <c r="G3164" s="55" t="s">
        <v>3004</v>
      </c>
      <c r="H3164" s="55">
        <v>2007</v>
      </c>
      <c r="I3164" s="55">
        <v>1999</v>
      </c>
      <c r="J3164" s="55" t="s">
        <v>2660</v>
      </c>
      <c r="K3164" s="55" t="s">
        <v>2676</v>
      </c>
      <c r="L3164" s="55" t="s">
        <v>2750</v>
      </c>
      <c r="M3164" s="90">
        <f>-13-39/60</f>
        <v>-13.65</v>
      </c>
      <c r="N3164" s="90">
        <f>32+34/60</f>
        <v>32.56666666666667</v>
      </c>
      <c r="O3164" s="90">
        <v>1028</v>
      </c>
      <c r="Q3164" s="55">
        <f>(25+16)/2</f>
        <v>20.5</v>
      </c>
      <c r="S3164" s="90">
        <v>960</v>
      </c>
      <c r="U3164" s="55" t="s">
        <v>1682</v>
      </c>
      <c r="V3164" s="55" t="s">
        <v>1679</v>
      </c>
      <c r="Y3164" s="55" t="s">
        <v>3030</v>
      </c>
      <c r="Z3164" s="55" t="s">
        <v>1346</v>
      </c>
      <c r="AA3164" s="90" t="s">
        <v>1675</v>
      </c>
      <c r="AE3164" s="90">
        <v>58</v>
      </c>
      <c r="AF3164" s="90">
        <v>17</v>
      </c>
      <c r="AH3164" s="55" t="s">
        <v>238</v>
      </c>
      <c r="AJ3164" s="90">
        <v>1</v>
      </c>
      <c r="AM3164" s="55" t="s">
        <v>2677</v>
      </c>
      <c r="AN3164" s="185" t="s">
        <v>2692</v>
      </c>
      <c r="AO3164" s="185" t="s">
        <v>5150</v>
      </c>
      <c r="AQ3164" s="55" t="s">
        <v>553</v>
      </c>
      <c r="AR3164" s="55" t="s">
        <v>1607</v>
      </c>
      <c r="AS3164" s="55" t="s">
        <v>132</v>
      </c>
      <c r="AU3164" s="181" t="s">
        <v>7494</v>
      </c>
      <c r="AV3164" s="185" t="s">
        <v>176</v>
      </c>
      <c r="AX3164" s="185" t="s">
        <v>176</v>
      </c>
      <c r="BK3164" s="55" t="s">
        <v>6333</v>
      </c>
      <c r="BM3164" s="192" t="s">
        <v>2702</v>
      </c>
      <c r="BN3164" s="55">
        <v>3</v>
      </c>
      <c r="BO3164" s="55">
        <v>3</v>
      </c>
      <c r="BQ3164" s="55" t="s">
        <v>141</v>
      </c>
      <c r="CB3164" s="66">
        <v>934</v>
      </c>
      <c r="CC3164" s="66">
        <v>1197</v>
      </c>
      <c r="CE3164" s="65">
        <v>321</v>
      </c>
      <c r="CF3164" s="65">
        <v>321</v>
      </c>
      <c r="GP3164" s="292" t="s">
        <v>7494</v>
      </c>
    </row>
    <row r="3165" spans="1:198" x14ac:dyDescent="0.25">
      <c r="A3165" s="55">
        <v>3164</v>
      </c>
      <c r="B3165" s="12" t="s">
        <v>7067</v>
      </c>
      <c r="C3165" s="155">
        <v>150</v>
      </c>
      <c r="D3165" s="55" t="s">
        <v>4320</v>
      </c>
      <c r="E3165" s="90" t="s">
        <v>3003</v>
      </c>
      <c r="G3165" s="55" t="s">
        <v>3004</v>
      </c>
      <c r="H3165" s="55">
        <v>2007</v>
      </c>
      <c r="I3165" s="55">
        <v>2000</v>
      </c>
      <c r="J3165" s="55" t="s">
        <v>2660</v>
      </c>
      <c r="K3165" s="55" t="s">
        <v>2676</v>
      </c>
      <c r="L3165" s="55" t="s">
        <v>2750</v>
      </c>
      <c r="M3165" s="90">
        <f>-13-39/60</f>
        <v>-13.65</v>
      </c>
      <c r="N3165" s="90">
        <f>32+34/60</f>
        <v>32.56666666666667</v>
      </c>
      <c r="O3165" s="90">
        <v>1028</v>
      </c>
      <c r="Q3165" s="55">
        <f>(25+16)/2</f>
        <v>20.5</v>
      </c>
      <c r="S3165" s="90">
        <v>960</v>
      </c>
      <c r="U3165" s="55" t="s">
        <v>1801</v>
      </c>
      <c r="V3165" s="55" t="s">
        <v>1679</v>
      </c>
      <c r="Y3165" s="55" t="s">
        <v>3030</v>
      </c>
      <c r="Z3165" s="55" t="s">
        <v>1346</v>
      </c>
      <c r="AA3165" s="90" t="s">
        <v>1675</v>
      </c>
      <c r="AE3165" s="90">
        <v>58</v>
      </c>
      <c r="AF3165" s="90">
        <v>17</v>
      </c>
      <c r="AH3165" s="55" t="s">
        <v>238</v>
      </c>
      <c r="AJ3165" s="90">
        <v>1</v>
      </c>
      <c r="AM3165" s="55" t="s">
        <v>2677</v>
      </c>
      <c r="AN3165" s="185" t="s">
        <v>2685</v>
      </c>
      <c r="AO3165" s="185" t="s">
        <v>5150</v>
      </c>
      <c r="AQ3165" s="55" t="s">
        <v>1097</v>
      </c>
      <c r="AR3165" s="55" t="s">
        <v>1607</v>
      </c>
      <c r="AS3165" s="55" t="s">
        <v>132</v>
      </c>
      <c r="AU3165" s="181" t="s">
        <v>7494</v>
      </c>
      <c r="AV3165" s="185" t="s">
        <v>176</v>
      </c>
      <c r="AX3165" s="185" t="s">
        <v>176</v>
      </c>
      <c r="BK3165" s="55" t="s">
        <v>6333</v>
      </c>
      <c r="BM3165" s="192" t="s">
        <v>2702</v>
      </c>
      <c r="BN3165" s="55">
        <v>3</v>
      </c>
      <c r="BO3165" s="55">
        <v>3</v>
      </c>
      <c r="BQ3165" s="55" t="s">
        <v>141</v>
      </c>
      <c r="CB3165" s="66">
        <v>1033</v>
      </c>
      <c r="CC3165" s="66">
        <v>3230</v>
      </c>
      <c r="CE3165" s="65">
        <v>315</v>
      </c>
      <c r="CF3165" s="65">
        <v>315</v>
      </c>
      <c r="GP3165" s="292" t="s">
        <v>7494</v>
      </c>
    </row>
    <row r="3166" spans="1:198" x14ac:dyDescent="0.25">
      <c r="A3166" s="55">
        <v>3165</v>
      </c>
      <c r="B3166" s="12" t="s">
        <v>7067</v>
      </c>
      <c r="C3166" s="155">
        <v>150</v>
      </c>
      <c r="D3166" s="55" t="s">
        <v>4320</v>
      </c>
      <c r="E3166" s="90" t="s">
        <v>3003</v>
      </c>
      <c r="G3166" s="55" t="s">
        <v>3004</v>
      </c>
      <c r="H3166" s="55">
        <v>2007</v>
      </c>
      <c r="I3166" s="55">
        <v>2000</v>
      </c>
      <c r="J3166" s="55" t="s">
        <v>2660</v>
      </c>
      <c r="K3166" s="55" t="s">
        <v>2676</v>
      </c>
      <c r="L3166" s="55" t="s">
        <v>2750</v>
      </c>
      <c r="M3166" s="90">
        <f>-13-39/60</f>
        <v>-13.65</v>
      </c>
      <c r="N3166" s="90">
        <f>32+34/60</f>
        <v>32.56666666666667</v>
      </c>
      <c r="O3166" s="90">
        <v>1028</v>
      </c>
      <c r="Q3166" s="55">
        <f>(25+16)/2</f>
        <v>20.5</v>
      </c>
      <c r="S3166" s="90">
        <v>960</v>
      </c>
      <c r="U3166" s="55" t="s">
        <v>1801</v>
      </c>
      <c r="V3166" s="55" t="s">
        <v>1679</v>
      </c>
      <c r="Y3166" s="55" t="s">
        <v>3030</v>
      </c>
      <c r="Z3166" s="55" t="s">
        <v>1346</v>
      </c>
      <c r="AA3166" s="90" t="s">
        <v>1675</v>
      </c>
      <c r="AE3166" s="90">
        <v>58</v>
      </c>
      <c r="AF3166" s="90">
        <v>17</v>
      </c>
      <c r="AH3166" s="55" t="s">
        <v>238</v>
      </c>
      <c r="AJ3166" s="90">
        <v>1</v>
      </c>
      <c r="AM3166" s="55" t="s">
        <v>2677</v>
      </c>
      <c r="AN3166" s="185" t="s">
        <v>2693</v>
      </c>
      <c r="AO3166" s="185" t="s">
        <v>5150</v>
      </c>
      <c r="AQ3166" s="55" t="s">
        <v>553</v>
      </c>
      <c r="AR3166" s="55" t="s">
        <v>1607</v>
      </c>
      <c r="AS3166" s="55" t="s">
        <v>132</v>
      </c>
      <c r="AU3166" s="181" t="s">
        <v>7494</v>
      </c>
      <c r="AV3166" s="185" t="s">
        <v>176</v>
      </c>
      <c r="AX3166" s="185" t="s">
        <v>176</v>
      </c>
      <c r="BK3166" s="55" t="s">
        <v>6333</v>
      </c>
      <c r="BM3166" s="192" t="s">
        <v>2702</v>
      </c>
      <c r="BN3166" s="55">
        <v>3</v>
      </c>
      <c r="BO3166" s="55">
        <v>3</v>
      </c>
      <c r="BQ3166" s="55" t="s">
        <v>141</v>
      </c>
      <c r="CB3166" s="66">
        <v>1033</v>
      </c>
      <c r="CC3166" s="66">
        <v>3459</v>
      </c>
      <c r="CE3166" s="65">
        <v>315</v>
      </c>
      <c r="CF3166" s="65">
        <v>315</v>
      </c>
      <c r="GP3166" s="292" t="s">
        <v>7494</v>
      </c>
    </row>
    <row r="3167" spans="1:198" x14ac:dyDescent="0.25">
      <c r="A3167" s="55">
        <v>3166</v>
      </c>
      <c r="B3167" s="12" t="s">
        <v>7067</v>
      </c>
      <c r="C3167" s="155">
        <v>150</v>
      </c>
      <c r="D3167" s="55" t="s">
        <v>4321</v>
      </c>
      <c r="E3167" s="90" t="s">
        <v>3003</v>
      </c>
      <c r="G3167" s="55" t="s">
        <v>3004</v>
      </c>
      <c r="H3167" s="55">
        <v>2007</v>
      </c>
      <c r="I3167" s="55">
        <v>2000</v>
      </c>
      <c r="J3167" s="55" t="s">
        <v>2660</v>
      </c>
      <c r="K3167" s="55" t="s">
        <v>2676</v>
      </c>
      <c r="L3167" s="55" t="s">
        <v>2750</v>
      </c>
      <c r="M3167" s="90">
        <f>-13-39/60</f>
        <v>-13.65</v>
      </c>
      <c r="N3167" s="90">
        <f>32+34/60</f>
        <v>32.56666666666667</v>
      </c>
      <c r="O3167" s="90">
        <v>1028</v>
      </c>
      <c r="Q3167" s="55">
        <f>(25+16)/2</f>
        <v>20.5</v>
      </c>
      <c r="S3167" s="90">
        <v>960</v>
      </c>
      <c r="U3167" s="55" t="s">
        <v>1801</v>
      </c>
      <c r="V3167" s="55" t="s">
        <v>1679</v>
      </c>
      <c r="Y3167" s="55" t="s">
        <v>3030</v>
      </c>
      <c r="Z3167" s="55" t="s">
        <v>1346</v>
      </c>
      <c r="AA3167" s="90" t="s">
        <v>1675</v>
      </c>
      <c r="AE3167" s="90">
        <v>58</v>
      </c>
      <c r="AF3167" s="90">
        <v>17</v>
      </c>
      <c r="AH3167" s="55" t="s">
        <v>238</v>
      </c>
      <c r="AJ3167" s="90">
        <v>1</v>
      </c>
      <c r="AM3167" s="55" t="s">
        <v>2677</v>
      </c>
      <c r="AN3167" s="185" t="s">
        <v>2692</v>
      </c>
      <c r="AO3167" s="185" t="s">
        <v>5150</v>
      </c>
      <c r="AQ3167" s="55" t="s">
        <v>553</v>
      </c>
      <c r="AR3167" s="55" t="s">
        <v>1607</v>
      </c>
      <c r="AS3167" s="55" t="s">
        <v>132</v>
      </c>
      <c r="AU3167" s="181" t="s">
        <v>7494</v>
      </c>
      <c r="AV3167" s="185" t="s">
        <v>176</v>
      </c>
      <c r="AX3167" s="185" t="s">
        <v>176</v>
      </c>
      <c r="BK3167" s="55" t="s">
        <v>6333</v>
      </c>
      <c r="BM3167" s="192" t="s">
        <v>2702</v>
      </c>
      <c r="BN3167" s="55">
        <v>3</v>
      </c>
      <c r="BO3167" s="55">
        <v>3</v>
      </c>
      <c r="BQ3167" s="55" t="s">
        <v>141</v>
      </c>
      <c r="CB3167" s="66">
        <v>1033</v>
      </c>
      <c r="CC3167" s="66">
        <v>1164</v>
      </c>
      <c r="CE3167" s="65">
        <v>315</v>
      </c>
      <c r="CF3167" s="65">
        <v>315</v>
      </c>
      <c r="GP3167" s="292" t="s">
        <v>7494</v>
      </c>
    </row>
    <row r="3168" spans="1:198" x14ac:dyDescent="0.25">
      <c r="A3168" s="55">
        <v>3167</v>
      </c>
      <c r="B3168" s="12" t="s">
        <v>7067</v>
      </c>
      <c r="C3168" s="155">
        <v>150</v>
      </c>
      <c r="D3168" s="55" t="s">
        <v>4320</v>
      </c>
      <c r="E3168" s="90" t="s">
        <v>3003</v>
      </c>
      <c r="G3168" s="55" t="s">
        <v>3004</v>
      </c>
      <c r="H3168" s="55">
        <v>2007</v>
      </c>
      <c r="I3168" s="55">
        <v>2001</v>
      </c>
      <c r="J3168" s="55" t="s">
        <v>2660</v>
      </c>
      <c r="K3168" s="55" t="s">
        <v>2676</v>
      </c>
      <c r="L3168" s="55" t="s">
        <v>2750</v>
      </c>
      <c r="M3168" s="90">
        <f>-13-39/60</f>
        <v>-13.65</v>
      </c>
      <c r="N3168" s="90">
        <f>32+34/60</f>
        <v>32.56666666666667</v>
      </c>
      <c r="O3168" s="90">
        <v>1028</v>
      </c>
      <c r="Q3168" s="55">
        <f>(25+16)/2</f>
        <v>20.5</v>
      </c>
      <c r="S3168" s="90">
        <v>960</v>
      </c>
      <c r="U3168" s="55" t="s">
        <v>1694</v>
      </c>
      <c r="V3168" s="55" t="s">
        <v>1679</v>
      </c>
      <c r="Y3168" s="55" t="s">
        <v>3030</v>
      </c>
      <c r="Z3168" s="55" t="s">
        <v>1346</v>
      </c>
      <c r="AA3168" s="90" t="s">
        <v>1675</v>
      </c>
      <c r="AE3168" s="90">
        <v>58</v>
      </c>
      <c r="AF3168" s="90">
        <v>17</v>
      </c>
      <c r="AH3168" s="55" t="s">
        <v>238</v>
      </c>
      <c r="AJ3168" s="90">
        <v>1</v>
      </c>
      <c r="AM3168" s="55" t="s">
        <v>2677</v>
      </c>
      <c r="AN3168" s="185" t="s">
        <v>2685</v>
      </c>
      <c r="AO3168" s="185" t="s">
        <v>5150</v>
      </c>
      <c r="AQ3168" s="55" t="s">
        <v>1097</v>
      </c>
      <c r="AR3168" s="55" t="s">
        <v>1607</v>
      </c>
      <c r="AS3168" s="55" t="s">
        <v>132</v>
      </c>
      <c r="AU3168" s="181" t="s">
        <v>7494</v>
      </c>
      <c r="AV3168" s="185" t="s">
        <v>176</v>
      </c>
      <c r="AX3168" s="185" t="s">
        <v>176</v>
      </c>
      <c r="BK3168" s="55" t="s">
        <v>6333</v>
      </c>
      <c r="BM3168" s="192" t="s">
        <v>2702</v>
      </c>
      <c r="BN3168" s="55">
        <v>3</v>
      </c>
      <c r="BO3168" s="55">
        <v>3</v>
      </c>
      <c r="BQ3168" s="55" t="s">
        <v>141</v>
      </c>
      <c r="CB3168" s="66">
        <v>765</v>
      </c>
      <c r="CC3168" s="66">
        <v>1885</v>
      </c>
      <c r="CE3168" s="65">
        <f>6607-6443</f>
        <v>164</v>
      </c>
      <c r="CF3168" s="65">
        <f>6607-6443</f>
        <v>164</v>
      </c>
      <c r="GP3168" s="292" t="s">
        <v>7494</v>
      </c>
    </row>
    <row r="3169" spans="1:198" x14ac:dyDescent="0.25">
      <c r="A3169" s="55">
        <v>3168</v>
      </c>
      <c r="B3169" s="12" t="s">
        <v>7067</v>
      </c>
      <c r="C3169" s="155">
        <v>150</v>
      </c>
      <c r="D3169" s="55" t="s">
        <v>4320</v>
      </c>
      <c r="E3169" s="90" t="s">
        <v>3003</v>
      </c>
      <c r="G3169" s="55" t="s">
        <v>3004</v>
      </c>
      <c r="H3169" s="55">
        <v>2007</v>
      </c>
      <c r="I3169" s="55">
        <v>2001</v>
      </c>
      <c r="J3169" s="55" t="s">
        <v>2660</v>
      </c>
      <c r="K3169" s="55" t="s">
        <v>2676</v>
      </c>
      <c r="L3169" s="55" t="s">
        <v>2750</v>
      </c>
      <c r="M3169" s="90">
        <f>-13-39/60</f>
        <v>-13.65</v>
      </c>
      <c r="N3169" s="90">
        <f>32+34/60</f>
        <v>32.56666666666667</v>
      </c>
      <c r="O3169" s="90">
        <v>1028</v>
      </c>
      <c r="Q3169" s="55">
        <f>(25+16)/2</f>
        <v>20.5</v>
      </c>
      <c r="S3169" s="90">
        <v>960</v>
      </c>
      <c r="U3169" s="55" t="s">
        <v>1694</v>
      </c>
      <c r="V3169" s="55" t="s">
        <v>1679</v>
      </c>
      <c r="Y3169" s="55" t="s">
        <v>3030</v>
      </c>
      <c r="Z3169" s="55" t="s">
        <v>1346</v>
      </c>
      <c r="AA3169" s="90" t="s">
        <v>1675</v>
      </c>
      <c r="AE3169" s="90">
        <v>58</v>
      </c>
      <c r="AF3169" s="90">
        <v>17</v>
      </c>
      <c r="AH3169" s="55" t="s">
        <v>238</v>
      </c>
      <c r="AJ3169" s="90">
        <v>1</v>
      </c>
      <c r="AM3169" s="55" t="s">
        <v>2677</v>
      </c>
      <c r="AN3169" s="185" t="s">
        <v>2693</v>
      </c>
      <c r="AO3169" s="185" t="s">
        <v>5150</v>
      </c>
      <c r="AQ3169" s="55" t="s">
        <v>553</v>
      </c>
      <c r="AR3169" s="55" t="s">
        <v>1607</v>
      </c>
      <c r="AS3169" s="55" t="s">
        <v>132</v>
      </c>
      <c r="AU3169" s="181" t="s">
        <v>7494</v>
      </c>
      <c r="AV3169" s="185" t="s">
        <v>176</v>
      </c>
      <c r="AX3169" s="185" t="s">
        <v>176</v>
      </c>
      <c r="BK3169" s="55" t="s">
        <v>6333</v>
      </c>
      <c r="BM3169" s="192" t="s">
        <v>2702</v>
      </c>
      <c r="BN3169" s="55">
        <v>3</v>
      </c>
      <c r="BO3169" s="55">
        <v>3</v>
      </c>
      <c r="BQ3169" s="55" t="s">
        <v>141</v>
      </c>
      <c r="CB3169" s="66">
        <v>765</v>
      </c>
      <c r="CC3169" s="66">
        <v>2148</v>
      </c>
      <c r="CE3169" s="65">
        <f>6607-6443</f>
        <v>164</v>
      </c>
      <c r="CF3169" s="65">
        <f>6607-6443</f>
        <v>164</v>
      </c>
      <c r="GP3169" s="292" t="s">
        <v>7494</v>
      </c>
    </row>
    <row r="3170" spans="1:198" x14ac:dyDescent="0.25">
      <c r="A3170" s="55">
        <v>3169</v>
      </c>
      <c r="B3170" s="12" t="s">
        <v>7067</v>
      </c>
      <c r="C3170" s="155">
        <v>150</v>
      </c>
      <c r="D3170" s="55" t="s">
        <v>4321</v>
      </c>
      <c r="E3170" s="90" t="s">
        <v>3003</v>
      </c>
      <c r="G3170" s="55" t="s">
        <v>3004</v>
      </c>
      <c r="H3170" s="55">
        <v>2007</v>
      </c>
      <c r="I3170" s="55">
        <v>2001</v>
      </c>
      <c r="J3170" s="55" t="s">
        <v>2660</v>
      </c>
      <c r="K3170" s="55" t="s">
        <v>2676</v>
      </c>
      <c r="L3170" s="55" t="s">
        <v>2750</v>
      </c>
      <c r="M3170" s="90">
        <f>-13-39/60</f>
        <v>-13.65</v>
      </c>
      <c r="N3170" s="90">
        <f>32+34/60</f>
        <v>32.56666666666667</v>
      </c>
      <c r="O3170" s="90">
        <v>1028</v>
      </c>
      <c r="Q3170" s="55">
        <f>(25+16)/2</f>
        <v>20.5</v>
      </c>
      <c r="S3170" s="90">
        <v>960</v>
      </c>
      <c r="U3170" s="55" t="s">
        <v>1694</v>
      </c>
      <c r="V3170" s="55" t="s">
        <v>1679</v>
      </c>
      <c r="Y3170" s="55" t="s">
        <v>3030</v>
      </c>
      <c r="Z3170" s="55" t="s">
        <v>1346</v>
      </c>
      <c r="AA3170" s="90" t="s">
        <v>1675</v>
      </c>
      <c r="AE3170" s="90">
        <v>58</v>
      </c>
      <c r="AF3170" s="90">
        <v>17</v>
      </c>
      <c r="AH3170" s="55" t="s">
        <v>238</v>
      </c>
      <c r="AJ3170" s="90">
        <v>1</v>
      </c>
      <c r="AM3170" s="55" t="s">
        <v>2677</v>
      </c>
      <c r="AN3170" s="185" t="s">
        <v>2692</v>
      </c>
      <c r="AO3170" s="185" t="s">
        <v>5150</v>
      </c>
      <c r="AQ3170" s="55" t="s">
        <v>553</v>
      </c>
      <c r="AR3170" s="55" t="s">
        <v>1607</v>
      </c>
      <c r="AS3170" s="55" t="s">
        <v>132</v>
      </c>
      <c r="AU3170" s="181" t="s">
        <v>7494</v>
      </c>
      <c r="AV3170" s="185" t="s">
        <v>176</v>
      </c>
      <c r="AX3170" s="185" t="s">
        <v>176</v>
      </c>
      <c r="BK3170" s="55" t="s">
        <v>6333</v>
      </c>
      <c r="BM3170" s="192" t="s">
        <v>2702</v>
      </c>
      <c r="BN3170" s="55">
        <v>3</v>
      </c>
      <c r="BO3170" s="55">
        <v>3</v>
      </c>
      <c r="BQ3170" s="55" t="s">
        <v>141</v>
      </c>
      <c r="CB3170" s="66">
        <v>765</v>
      </c>
      <c r="CC3170" s="66">
        <v>836</v>
      </c>
      <c r="CE3170" s="65">
        <f>6607-6443</f>
        <v>164</v>
      </c>
      <c r="CF3170" s="65">
        <f>6607-6443</f>
        <v>164</v>
      </c>
      <c r="GP3170" s="292" t="s">
        <v>7494</v>
      </c>
    </row>
    <row r="3171" spans="1:198" x14ac:dyDescent="0.25">
      <c r="A3171" s="55">
        <v>3170</v>
      </c>
      <c r="B3171" s="12" t="s">
        <v>7067</v>
      </c>
      <c r="C3171" s="155">
        <v>150</v>
      </c>
      <c r="D3171" s="55" t="s">
        <v>4320</v>
      </c>
      <c r="E3171" s="90" t="s">
        <v>3003</v>
      </c>
      <c r="G3171" s="55" t="s">
        <v>3004</v>
      </c>
      <c r="H3171" s="55">
        <v>2007</v>
      </c>
      <c r="I3171" s="55">
        <v>2002</v>
      </c>
      <c r="J3171" s="55" t="s">
        <v>2660</v>
      </c>
      <c r="K3171" s="55" t="s">
        <v>2676</v>
      </c>
      <c r="L3171" s="55" t="s">
        <v>2750</v>
      </c>
      <c r="M3171" s="90">
        <f>-13-39/60</f>
        <v>-13.65</v>
      </c>
      <c r="N3171" s="90">
        <f>32+34/60</f>
        <v>32.56666666666667</v>
      </c>
      <c r="O3171" s="90">
        <v>1028</v>
      </c>
      <c r="Q3171" s="55">
        <f>(25+16)/2</f>
        <v>20.5</v>
      </c>
      <c r="S3171" s="90">
        <v>960</v>
      </c>
      <c r="U3171" s="55" t="s">
        <v>1940</v>
      </c>
      <c r="V3171" s="55" t="s">
        <v>1679</v>
      </c>
      <c r="Y3171" s="55" t="s">
        <v>3030</v>
      </c>
      <c r="Z3171" s="55" t="s">
        <v>1346</v>
      </c>
      <c r="AA3171" s="90" t="s">
        <v>1675</v>
      </c>
      <c r="AE3171" s="90">
        <v>58</v>
      </c>
      <c r="AF3171" s="90">
        <v>17</v>
      </c>
      <c r="AH3171" s="55" t="s">
        <v>238</v>
      </c>
      <c r="AJ3171" s="90">
        <v>1</v>
      </c>
      <c r="AM3171" s="55" t="s">
        <v>2677</v>
      </c>
      <c r="AN3171" s="185" t="s">
        <v>2685</v>
      </c>
      <c r="AO3171" s="185" t="s">
        <v>5150</v>
      </c>
      <c r="AQ3171" s="55" t="s">
        <v>1097</v>
      </c>
      <c r="AR3171" s="55" t="s">
        <v>1607</v>
      </c>
      <c r="AS3171" s="55" t="s">
        <v>132</v>
      </c>
      <c r="AU3171" s="181" t="s">
        <v>7494</v>
      </c>
      <c r="AV3171" s="185" t="s">
        <v>176</v>
      </c>
      <c r="AX3171" s="185" t="s">
        <v>176</v>
      </c>
      <c r="BK3171" s="55" t="s">
        <v>6333</v>
      </c>
      <c r="BM3171" s="192" t="s">
        <v>2702</v>
      </c>
      <c r="BN3171" s="55">
        <v>3</v>
      </c>
      <c r="BO3171" s="55">
        <v>3</v>
      </c>
      <c r="BQ3171" s="55" t="s">
        <v>141</v>
      </c>
      <c r="CB3171" s="66">
        <v>1689</v>
      </c>
      <c r="CC3171" s="66">
        <v>2574</v>
      </c>
      <c r="CE3171" s="65">
        <f>6705-6279</f>
        <v>426</v>
      </c>
      <c r="CF3171" s="65">
        <f>6705-6279</f>
        <v>426</v>
      </c>
      <c r="GP3171" s="292" t="s">
        <v>7494</v>
      </c>
    </row>
    <row r="3172" spans="1:198" x14ac:dyDescent="0.25">
      <c r="A3172" s="55">
        <v>3171</v>
      </c>
      <c r="B3172" s="12" t="s">
        <v>7067</v>
      </c>
      <c r="C3172" s="155">
        <v>150</v>
      </c>
      <c r="D3172" s="55" t="s">
        <v>4320</v>
      </c>
      <c r="E3172" s="90" t="s">
        <v>3003</v>
      </c>
      <c r="G3172" s="55" t="s">
        <v>3004</v>
      </c>
      <c r="H3172" s="55">
        <v>2007</v>
      </c>
      <c r="I3172" s="55">
        <v>2002</v>
      </c>
      <c r="J3172" s="55" t="s">
        <v>2660</v>
      </c>
      <c r="K3172" s="55" t="s">
        <v>2676</v>
      </c>
      <c r="L3172" s="55" t="s">
        <v>2750</v>
      </c>
      <c r="M3172" s="90">
        <f>-13-39/60</f>
        <v>-13.65</v>
      </c>
      <c r="N3172" s="90">
        <f>32+34/60</f>
        <v>32.56666666666667</v>
      </c>
      <c r="O3172" s="90">
        <v>1028</v>
      </c>
      <c r="Q3172" s="55">
        <f>(25+16)/2</f>
        <v>20.5</v>
      </c>
      <c r="S3172" s="90">
        <v>960</v>
      </c>
      <c r="U3172" s="55" t="s">
        <v>1940</v>
      </c>
      <c r="V3172" s="55" t="s">
        <v>1679</v>
      </c>
      <c r="Y3172" s="55" t="s">
        <v>3030</v>
      </c>
      <c r="Z3172" s="55" t="s">
        <v>1346</v>
      </c>
      <c r="AA3172" s="90" t="s">
        <v>1675</v>
      </c>
      <c r="AE3172" s="90">
        <v>58</v>
      </c>
      <c r="AF3172" s="90">
        <v>17</v>
      </c>
      <c r="AH3172" s="55" t="s">
        <v>238</v>
      </c>
      <c r="AJ3172" s="90">
        <v>1</v>
      </c>
      <c r="AM3172" s="55" t="s">
        <v>2677</v>
      </c>
      <c r="AN3172" s="185" t="s">
        <v>2693</v>
      </c>
      <c r="AO3172" s="185" t="s">
        <v>5150</v>
      </c>
      <c r="AQ3172" s="55" t="s">
        <v>553</v>
      </c>
      <c r="AR3172" s="55" t="s">
        <v>1607</v>
      </c>
      <c r="AS3172" s="55" t="s">
        <v>132</v>
      </c>
      <c r="AU3172" s="181" t="s">
        <v>7494</v>
      </c>
      <c r="AV3172" s="185" t="s">
        <v>176</v>
      </c>
      <c r="AX3172" s="185" t="s">
        <v>176</v>
      </c>
      <c r="BK3172" s="55" t="s">
        <v>6333</v>
      </c>
      <c r="BM3172" s="192" t="s">
        <v>2702</v>
      </c>
      <c r="BN3172" s="55">
        <v>3</v>
      </c>
      <c r="BO3172" s="55">
        <v>3</v>
      </c>
      <c r="BQ3172" s="55" t="s">
        <v>141</v>
      </c>
      <c r="CB3172" s="66">
        <v>1689</v>
      </c>
      <c r="CC3172" s="66">
        <v>3262</v>
      </c>
      <c r="CE3172" s="65">
        <f>6705-6279</f>
        <v>426</v>
      </c>
      <c r="CF3172" s="65">
        <f>6705-6279</f>
        <v>426</v>
      </c>
      <c r="GP3172" s="292" t="s">
        <v>7494</v>
      </c>
    </row>
    <row r="3173" spans="1:198" x14ac:dyDescent="0.25">
      <c r="A3173" s="55">
        <v>3172</v>
      </c>
      <c r="B3173" s="12" t="s">
        <v>7067</v>
      </c>
      <c r="C3173" s="155">
        <v>150</v>
      </c>
      <c r="D3173" s="55" t="s">
        <v>4321</v>
      </c>
      <c r="E3173" s="90" t="s">
        <v>3003</v>
      </c>
      <c r="G3173" s="55" t="s">
        <v>3004</v>
      </c>
      <c r="H3173" s="55">
        <v>2007</v>
      </c>
      <c r="I3173" s="55">
        <v>2002</v>
      </c>
      <c r="J3173" s="55" t="s">
        <v>2660</v>
      </c>
      <c r="K3173" s="55" t="s">
        <v>2676</v>
      </c>
      <c r="L3173" s="55" t="s">
        <v>2750</v>
      </c>
      <c r="M3173" s="90">
        <f>-13-39/60</f>
        <v>-13.65</v>
      </c>
      <c r="N3173" s="90">
        <f>32+34/60</f>
        <v>32.56666666666667</v>
      </c>
      <c r="O3173" s="90">
        <v>1028</v>
      </c>
      <c r="Q3173" s="55">
        <f>(25+16)/2</f>
        <v>20.5</v>
      </c>
      <c r="S3173" s="90">
        <v>960</v>
      </c>
      <c r="U3173" s="55" t="s">
        <v>1940</v>
      </c>
      <c r="V3173" s="55" t="s">
        <v>1679</v>
      </c>
      <c r="Y3173" s="55" t="s">
        <v>3030</v>
      </c>
      <c r="Z3173" s="55" t="s">
        <v>1346</v>
      </c>
      <c r="AA3173" s="90" t="s">
        <v>1675</v>
      </c>
      <c r="AE3173" s="90">
        <v>58</v>
      </c>
      <c r="AF3173" s="90">
        <v>17</v>
      </c>
      <c r="AH3173" s="55" t="s">
        <v>238</v>
      </c>
      <c r="AJ3173" s="90">
        <v>1</v>
      </c>
      <c r="AM3173" s="55" t="s">
        <v>2677</v>
      </c>
      <c r="AN3173" s="185" t="s">
        <v>2692</v>
      </c>
      <c r="AO3173" s="185" t="s">
        <v>5150</v>
      </c>
      <c r="AQ3173" s="55" t="s">
        <v>553</v>
      </c>
      <c r="AR3173" s="55" t="s">
        <v>1607</v>
      </c>
      <c r="AS3173" s="55" t="s">
        <v>132</v>
      </c>
      <c r="AU3173" s="181" t="s">
        <v>7494</v>
      </c>
      <c r="AV3173" s="185" t="s">
        <v>176</v>
      </c>
      <c r="AX3173" s="185" t="s">
        <v>176</v>
      </c>
      <c r="BK3173" s="55" t="s">
        <v>6333</v>
      </c>
      <c r="BM3173" s="192" t="s">
        <v>2702</v>
      </c>
      <c r="BN3173" s="55">
        <v>3</v>
      </c>
      <c r="BO3173" s="55">
        <v>3</v>
      </c>
      <c r="BQ3173" s="55" t="s">
        <v>141</v>
      </c>
      <c r="CB3173" s="66">
        <v>1689</v>
      </c>
      <c r="CC3173" s="66">
        <v>1426</v>
      </c>
      <c r="CE3173" s="65">
        <f>6705-6279</f>
        <v>426</v>
      </c>
      <c r="CF3173" s="65">
        <f>6705-6279</f>
        <v>426</v>
      </c>
      <c r="GP3173" s="292" t="s">
        <v>7494</v>
      </c>
    </row>
    <row r="3174" spans="1:198" x14ac:dyDescent="0.25">
      <c r="A3174" s="55">
        <v>3173</v>
      </c>
      <c r="B3174" s="12" t="s">
        <v>7067</v>
      </c>
      <c r="C3174" s="155">
        <v>150</v>
      </c>
      <c r="D3174" s="55" t="s">
        <v>4320</v>
      </c>
      <c r="E3174" s="90" t="s">
        <v>3003</v>
      </c>
      <c r="G3174" s="55" t="s">
        <v>3004</v>
      </c>
      <c r="H3174" s="55">
        <v>2007</v>
      </c>
      <c r="I3174" s="55">
        <v>2003</v>
      </c>
      <c r="J3174" s="55" t="s">
        <v>2660</v>
      </c>
      <c r="K3174" s="55" t="s">
        <v>2676</v>
      </c>
      <c r="L3174" s="55" t="s">
        <v>2750</v>
      </c>
      <c r="M3174" s="90">
        <f>-13-39/60</f>
        <v>-13.65</v>
      </c>
      <c r="N3174" s="90">
        <f>32+34/60</f>
        <v>32.56666666666667</v>
      </c>
      <c r="O3174" s="90">
        <v>1028</v>
      </c>
      <c r="Q3174" s="55">
        <f>(25+16)/2</f>
        <v>20.5</v>
      </c>
      <c r="S3174" s="90">
        <v>960</v>
      </c>
      <c r="U3174" s="55" t="s">
        <v>1933</v>
      </c>
      <c r="V3174" s="55" t="s">
        <v>1679</v>
      </c>
      <c r="Y3174" s="55" t="s">
        <v>3030</v>
      </c>
      <c r="Z3174" s="55" t="s">
        <v>1346</v>
      </c>
      <c r="AA3174" s="90" t="s">
        <v>1675</v>
      </c>
      <c r="AE3174" s="90">
        <v>58</v>
      </c>
      <c r="AF3174" s="90">
        <v>17</v>
      </c>
      <c r="AH3174" s="55" t="s">
        <v>238</v>
      </c>
      <c r="AJ3174" s="90">
        <v>1</v>
      </c>
      <c r="AM3174" s="55" t="s">
        <v>2677</v>
      </c>
      <c r="AN3174" s="185" t="s">
        <v>2685</v>
      </c>
      <c r="AO3174" s="185" t="s">
        <v>5150</v>
      </c>
      <c r="AQ3174" s="55" t="s">
        <v>1097</v>
      </c>
      <c r="AR3174" s="55" t="s">
        <v>1607</v>
      </c>
      <c r="AS3174" s="55" t="s">
        <v>132</v>
      </c>
      <c r="AU3174" s="181" t="s">
        <v>7494</v>
      </c>
      <c r="AV3174" s="185" t="s">
        <v>176</v>
      </c>
      <c r="AX3174" s="185" t="s">
        <v>176</v>
      </c>
      <c r="BK3174" s="55" t="s">
        <v>6333</v>
      </c>
      <c r="BM3174" s="192" t="s">
        <v>2702</v>
      </c>
      <c r="BN3174" s="55">
        <v>3</v>
      </c>
      <c r="BO3174" s="55">
        <v>3</v>
      </c>
      <c r="BQ3174" s="55" t="s">
        <v>141</v>
      </c>
      <c r="CB3174" s="66">
        <v>1557</v>
      </c>
      <c r="CC3174" s="66">
        <v>3164</v>
      </c>
      <c r="CE3174" s="65">
        <f>6738-6246</f>
        <v>492</v>
      </c>
      <c r="CF3174" s="65">
        <f>6738-6246</f>
        <v>492</v>
      </c>
      <c r="GP3174" s="292" t="s">
        <v>7494</v>
      </c>
    </row>
    <row r="3175" spans="1:198" x14ac:dyDescent="0.25">
      <c r="A3175" s="55">
        <v>3174</v>
      </c>
      <c r="B3175" s="12" t="s">
        <v>7067</v>
      </c>
      <c r="C3175" s="155">
        <v>150</v>
      </c>
      <c r="D3175" s="55" t="s">
        <v>4320</v>
      </c>
      <c r="E3175" s="90" t="s">
        <v>3003</v>
      </c>
      <c r="G3175" s="55" t="s">
        <v>3004</v>
      </c>
      <c r="H3175" s="55">
        <v>2007</v>
      </c>
      <c r="I3175" s="55">
        <v>2003</v>
      </c>
      <c r="J3175" s="55" t="s">
        <v>2660</v>
      </c>
      <c r="K3175" s="55" t="s">
        <v>2676</v>
      </c>
      <c r="L3175" s="55" t="s">
        <v>2750</v>
      </c>
      <c r="M3175" s="90">
        <f>-13-39/60</f>
        <v>-13.65</v>
      </c>
      <c r="N3175" s="90">
        <f>32+34/60</f>
        <v>32.56666666666667</v>
      </c>
      <c r="O3175" s="90">
        <v>1028</v>
      </c>
      <c r="Q3175" s="55">
        <f>(25+16)/2</f>
        <v>20.5</v>
      </c>
      <c r="S3175" s="90">
        <v>960</v>
      </c>
      <c r="U3175" s="55" t="s">
        <v>1933</v>
      </c>
      <c r="V3175" s="55" t="s">
        <v>1679</v>
      </c>
      <c r="Y3175" s="55" t="s">
        <v>3030</v>
      </c>
      <c r="Z3175" s="55" t="s">
        <v>1346</v>
      </c>
      <c r="AA3175" s="90" t="s">
        <v>1675</v>
      </c>
      <c r="AE3175" s="90">
        <v>58</v>
      </c>
      <c r="AF3175" s="90">
        <v>17</v>
      </c>
      <c r="AH3175" s="55" t="s">
        <v>238</v>
      </c>
      <c r="AJ3175" s="90">
        <v>1</v>
      </c>
      <c r="AM3175" s="55" t="s">
        <v>2677</v>
      </c>
      <c r="AN3175" s="185" t="s">
        <v>2693</v>
      </c>
      <c r="AO3175" s="185" t="s">
        <v>5150</v>
      </c>
      <c r="AQ3175" s="55" t="s">
        <v>553</v>
      </c>
      <c r="AR3175" s="55" t="s">
        <v>1607</v>
      </c>
      <c r="AS3175" s="55" t="s">
        <v>132</v>
      </c>
      <c r="AU3175" s="181" t="s">
        <v>7494</v>
      </c>
      <c r="AV3175" s="185" t="s">
        <v>176</v>
      </c>
      <c r="AX3175" s="185" t="s">
        <v>176</v>
      </c>
      <c r="BK3175" s="55" t="s">
        <v>6333</v>
      </c>
      <c r="BM3175" s="192" t="s">
        <v>2702</v>
      </c>
      <c r="BN3175" s="55">
        <v>3</v>
      </c>
      <c r="BO3175" s="55">
        <v>3</v>
      </c>
      <c r="BQ3175" s="55" t="s">
        <v>141</v>
      </c>
      <c r="CB3175" s="66">
        <v>1557</v>
      </c>
      <c r="CC3175" s="66">
        <v>3820</v>
      </c>
      <c r="CE3175" s="65">
        <f>6738-6246</f>
        <v>492</v>
      </c>
      <c r="CF3175" s="65">
        <f>6738-6246</f>
        <v>492</v>
      </c>
      <c r="GP3175" s="292" t="s">
        <v>7494</v>
      </c>
    </row>
    <row r="3176" spans="1:198" x14ac:dyDescent="0.25">
      <c r="A3176" s="55">
        <v>3175</v>
      </c>
      <c r="B3176" s="12" t="s">
        <v>7067</v>
      </c>
      <c r="C3176" s="155">
        <v>150</v>
      </c>
      <c r="D3176" s="55" t="s">
        <v>4321</v>
      </c>
      <c r="E3176" s="90" t="s">
        <v>3003</v>
      </c>
      <c r="G3176" s="55" t="s">
        <v>3004</v>
      </c>
      <c r="H3176" s="55">
        <v>2007</v>
      </c>
      <c r="I3176" s="55">
        <v>2003</v>
      </c>
      <c r="J3176" s="55" t="s">
        <v>2660</v>
      </c>
      <c r="K3176" s="55" t="s">
        <v>2676</v>
      </c>
      <c r="L3176" s="55" t="s">
        <v>2750</v>
      </c>
      <c r="M3176" s="90">
        <f>-13-39/60</f>
        <v>-13.65</v>
      </c>
      <c r="N3176" s="90">
        <f>32+34/60</f>
        <v>32.56666666666667</v>
      </c>
      <c r="O3176" s="90">
        <v>1028</v>
      </c>
      <c r="Q3176" s="55">
        <f>(25+16)/2</f>
        <v>20.5</v>
      </c>
      <c r="S3176" s="90">
        <v>960</v>
      </c>
      <c r="U3176" s="55" t="s">
        <v>1933</v>
      </c>
      <c r="V3176" s="55" t="s">
        <v>1679</v>
      </c>
      <c r="Y3176" s="55" t="s">
        <v>3030</v>
      </c>
      <c r="Z3176" s="55" t="s">
        <v>1346</v>
      </c>
      <c r="AA3176" s="90" t="s">
        <v>1675</v>
      </c>
      <c r="AE3176" s="90">
        <v>58</v>
      </c>
      <c r="AF3176" s="90">
        <v>17</v>
      </c>
      <c r="AH3176" s="55" t="s">
        <v>238</v>
      </c>
      <c r="AJ3176" s="90">
        <v>1</v>
      </c>
      <c r="AM3176" s="55" t="s">
        <v>2677</v>
      </c>
      <c r="AN3176" s="185" t="s">
        <v>2692</v>
      </c>
      <c r="AO3176" s="185" t="s">
        <v>5150</v>
      </c>
      <c r="AQ3176" s="55" t="s">
        <v>553</v>
      </c>
      <c r="AR3176" s="55" t="s">
        <v>1607</v>
      </c>
      <c r="AS3176" s="55" t="s">
        <v>132</v>
      </c>
      <c r="AU3176" s="181" t="s">
        <v>7494</v>
      </c>
      <c r="AV3176" s="185" t="s">
        <v>176</v>
      </c>
      <c r="AX3176" s="185" t="s">
        <v>176</v>
      </c>
      <c r="BK3176" s="55" t="s">
        <v>6333</v>
      </c>
      <c r="BM3176" s="192" t="s">
        <v>2702</v>
      </c>
      <c r="BN3176" s="55">
        <v>3</v>
      </c>
      <c r="BO3176" s="55">
        <v>3</v>
      </c>
      <c r="BQ3176" s="55" t="s">
        <v>141</v>
      </c>
      <c r="CB3176" s="66">
        <v>1557</v>
      </c>
      <c r="CC3176" s="66">
        <v>1754</v>
      </c>
      <c r="CE3176" s="65">
        <f>6738-6246</f>
        <v>492</v>
      </c>
      <c r="CF3176" s="65">
        <f>6738-6246</f>
        <v>492</v>
      </c>
      <c r="GP3176" s="292" t="s">
        <v>7494</v>
      </c>
    </row>
    <row r="3177" spans="1:198" x14ac:dyDescent="0.25">
      <c r="A3177" s="55">
        <v>3176</v>
      </c>
      <c r="B3177" s="12" t="s">
        <v>7067</v>
      </c>
      <c r="C3177" s="155">
        <v>150</v>
      </c>
      <c r="D3177" s="55" t="s">
        <v>4320</v>
      </c>
      <c r="E3177" s="90" t="s">
        <v>3003</v>
      </c>
      <c r="G3177" s="55" t="s">
        <v>3004</v>
      </c>
      <c r="H3177" s="55">
        <v>2007</v>
      </c>
      <c r="I3177" s="55">
        <v>2004</v>
      </c>
      <c r="J3177" s="55" t="s">
        <v>2660</v>
      </c>
      <c r="K3177" s="55" t="s">
        <v>2676</v>
      </c>
      <c r="L3177" s="55" t="s">
        <v>2750</v>
      </c>
      <c r="M3177" s="90">
        <f>-13-39/60</f>
        <v>-13.65</v>
      </c>
      <c r="N3177" s="90">
        <f>32+34/60</f>
        <v>32.56666666666667</v>
      </c>
      <c r="O3177" s="90">
        <v>1028</v>
      </c>
      <c r="Q3177" s="55">
        <f>(25+16)/2</f>
        <v>20.5</v>
      </c>
      <c r="S3177" s="90">
        <v>960</v>
      </c>
      <c r="U3177" s="55" t="s">
        <v>1679</v>
      </c>
      <c r="V3177" s="55" t="s">
        <v>1679</v>
      </c>
      <c r="Y3177" s="55" t="s">
        <v>3030</v>
      </c>
      <c r="Z3177" s="55" t="s">
        <v>1346</v>
      </c>
      <c r="AA3177" s="90" t="s">
        <v>1675</v>
      </c>
      <c r="AE3177" s="90">
        <v>58</v>
      </c>
      <c r="AF3177" s="90">
        <v>17</v>
      </c>
      <c r="AH3177" s="55" t="s">
        <v>238</v>
      </c>
      <c r="AJ3177" s="90">
        <v>1</v>
      </c>
      <c r="AM3177" s="55" t="s">
        <v>2677</v>
      </c>
      <c r="AN3177" s="185" t="s">
        <v>2685</v>
      </c>
      <c r="AO3177" s="185" t="s">
        <v>5150</v>
      </c>
      <c r="AQ3177" s="55" t="s">
        <v>1097</v>
      </c>
      <c r="AR3177" s="55" t="s">
        <v>1607</v>
      </c>
      <c r="AS3177" s="55" t="s">
        <v>132</v>
      </c>
      <c r="AU3177" s="181" t="s">
        <v>7494</v>
      </c>
      <c r="AV3177" s="185" t="s">
        <v>176</v>
      </c>
      <c r="AX3177" s="185" t="s">
        <v>176</v>
      </c>
      <c r="BK3177" s="55" t="s">
        <v>6333</v>
      </c>
      <c r="BM3177" s="192" t="s">
        <v>2702</v>
      </c>
      <c r="BN3177" s="55">
        <v>3</v>
      </c>
      <c r="BO3177" s="55">
        <v>3</v>
      </c>
      <c r="BQ3177" s="55" t="s">
        <v>141</v>
      </c>
      <c r="CB3177" s="66">
        <v>1399</v>
      </c>
      <c r="CC3177" s="66">
        <v>3098</v>
      </c>
      <c r="CE3177" s="65">
        <f>6836-6213</f>
        <v>623</v>
      </c>
      <c r="CF3177" s="65">
        <f>6836-6213</f>
        <v>623</v>
      </c>
      <c r="GP3177" s="292" t="s">
        <v>7494</v>
      </c>
    </row>
    <row r="3178" spans="1:198" x14ac:dyDescent="0.25">
      <c r="A3178" s="55">
        <v>3177</v>
      </c>
      <c r="B3178" s="12" t="s">
        <v>7067</v>
      </c>
      <c r="C3178" s="155">
        <v>150</v>
      </c>
      <c r="D3178" s="55" t="s">
        <v>4320</v>
      </c>
      <c r="E3178" s="90" t="s">
        <v>3003</v>
      </c>
      <c r="G3178" s="55" t="s">
        <v>3004</v>
      </c>
      <c r="H3178" s="55">
        <v>2007</v>
      </c>
      <c r="I3178" s="55">
        <v>2004</v>
      </c>
      <c r="J3178" s="55" t="s">
        <v>2660</v>
      </c>
      <c r="K3178" s="55" t="s">
        <v>2676</v>
      </c>
      <c r="L3178" s="55" t="s">
        <v>2750</v>
      </c>
      <c r="M3178" s="90">
        <f>-13-39/60</f>
        <v>-13.65</v>
      </c>
      <c r="N3178" s="90">
        <f>32+34/60</f>
        <v>32.56666666666667</v>
      </c>
      <c r="O3178" s="90">
        <v>1028</v>
      </c>
      <c r="Q3178" s="55">
        <f>(25+16)/2</f>
        <v>20.5</v>
      </c>
      <c r="S3178" s="90">
        <v>960</v>
      </c>
      <c r="U3178" s="55" t="s">
        <v>1679</v>
      </c>
      <c r="V3178" s="55" t="s">
        <v>1679</v>
      </c>
      <c r="Y3178" s="55" t="s">
        <v>3030</v>
      </c>
      <c r="Z3178" s="55" t="s">
        <v>1346</v>
      </c>
      <c r="AA3178" s="90" t="s">
        <v>1675</v>
      </c>
      <c r="AE3178" s="90">
        <v>58</v>
      </c>
      <c r="AF3178" s="90">
        <v>17</v>
      </c>
      <c r="AH3178" s="55" t="s">
        <v>238</v>
      </c>
      <c r="AJ3178" s="90">
        <v>1</v>
      </c>
      <c r="AM3178" s="55" t="s">
        <v>2677</v>
      </c>
      <c r="AN3178" s="185" t="s">
        <v>2693</v>
      </c>
      <c r="AO3178" s="185" t="s">
        <v>5150</v>
      </c>
      <c r="AQ3178" s="55" t="s">
        <v>553</v>
      </c>
      <c r="AR3178" s="55" t="s">
        <v>1607</v>
      </c>
      <c r="AS3178" s="55" t="s">
        <v>132</v>
      </c>
      <c r="AU3178" s="181" t="s">
        <v>7494</v>
      </c>
      <c r="AV3178" s="185" t="s">
        <v>176</v>
      </c>
      <c r="AX3178" s="185" t="s">
        <v>176</v>
      </c>
      <c r="BK3178" s="55" t="s">
        <v>6333</v>
      </c>
      <c r="BM3178" s="192" t="s">
        <v>2702</v>
      </c>
      <c r="BN3178" s="55">
        <v>3</v>
      </c>
      <c r="BO3178" s="55">
        <v>3</v>
      </c>
      <c r="BQ3178" s="55" t="s">
        <v>141</v>
      </c>
      <c r="CB3178" s="66">
        <v>1399</v>
      </c>
      <c r="CC3178" s="66">
        <v>3295</v>
      </c>
      <c r="CE3178" s="65">
        <f>6836-6213</f>
        <v>623</v>
      </c>
      <c r="CF3178" s="65">
        <f>6836-6213</f>
        <v>623</v>
      </c>
      <c r="GP3178" s="292" t="s">
        <v>7494</v>
      </c>
    </row>
    <row r="3179" spans="1:198" x14ac:dyDescent="0.25">
      <c r="A3179" s="55">
        <v>3178</v>
      </c>
      <c r="B3179" s="12" t="s">
        <v>7067</v>
      </c>
      <c r="C3179" s="155">
        <v>150</v>
      </c>
      <c r="D3179" s="55" t="s">
        <v>4321</v>
      </c>
      <c r="E3179" s="90" t="s">
        <v>3003</v>
      </c>
      <c r="G3179" s="55" t="s">
        <v>3004</v>
      </c>
      <c r="H3179" s="55">
        <v>2007</v>
      </c>
      <c r="I3179" s="55">
        <v>2004</v>
      </c>
      <c r="J3179" s="55" t="s">
        <v>2660</v>
      </c>
      <c r="K3179" s="55" t="s">
        <v>2676</v>
      </c>
      <c r="L3179" s="55" t="s">
        <v>2750</v>
      </c>
      <c r="M3179" s="90">
        <f>-13-39/60</f>
        <v>-13.65</v>
      </c>
      <c r="N3179" s="90">
        <f>32+34/60</f>
        <v>32.56666666666667</v>
      </c>
      <c r="O3179" s="90">
        <v>1028</v>
      </c>
      <c r="Q3179" s="55">
        <f>(25+16)/2</f>
        <v>20.5</v>
      </c>
      <c r="S3179" s="90">
        <v>960</v>
      </c>
      <c r="U3179" s="55" t="s">
        <v>1679</v>
      </c>
      <c r="V3179" s="55" t="s">
        <v>1679</v>
      </c>
      <c r="Y3179" s="55" t="s">
        <v>3030</v>
      </c>
      <c r="Z3179" s="55" t="s">
        <v>1346</v>
      </c>
      <c r="AA3179" s="90" t="s">
        <v>1675</v>
      </c>
      <c r="AE3179" s="90">
        <v>58</v>
      </c>
      <c r="AF3179" s="90">
        <v>17</v>
      </c>
      <c r="AH3179" s="55" t="s">
        <v>238</v>
      </c>
      <c r="AJ3179" s="90">
        <v>1</v>
      </c>
      <c r="AM3179" s="55" t="s">
        <v>2677</v>
      </c>
      <c r="AN3179" s="185" t="s">
        <v>2692</v>
      </c>
      <c r="AO3179" s="185" t="s">
        <v>5150</v>
      </c>
      <c r="AQ3179" s="55" t="s">
        <v>553</v>
      </c>
      <c r="AR3179" s="55" t="s">
        <v>1607</v>
      </c>
      <c r="AS3179" s="55" t="s">
        <v>132</v>
      </c>
      <c r="AU3179" s="181" t="s">
        <v>7494</v>
      </c>
      <c r="AV3179" s="185" t="s">
        <v>176</v>
      </c>
      <c r="AX3179" s="185" t="s">
        <v>176</v>
      </c>
      <c r="BK3179" s="55" t="s">
        <v>6333</v>
      </c>
      <c r="BM3179" s="192" t="s">
        <v>2702</v>
      </c>
      <c r="BN3179" s="55">
        <v>3</v>
      </c>
      <c r="BO3179" s="55">
        <v>3</v>
      </c>
      <c r="BQ3179" s="55" t="s">
        <v>141</v>
      </c>
      <c r="CB3179" s="66">
        <v>1399</v>
      </c>
      <c r="CC3179" s="66">
        <v>1400</v>
      </c>
      <c r="CE3179" s="65">
        <f>6836-6213</f>
        <v>623</v>
      </c>
      <c r="CF3179" s="65">
        <f>6836-6213</f>
        <v>623</v>
      </c>
      <c r="GP3179" s="292" t="s">
        <v>7494</v>
      </c>
    </row>
    <row r="3180" spans="1:198" x14ac:dyDescent="0.25">
      <c r="A3180" s="55">
        <v>3179</v>
      </c>
      <c r="B3180" s="12" t="s">
        <v>7067</v>
      </c>
      <c r="C3180" s="155">
        <v>150</v>
      </c>
      <c r="D3180" s="55" t="s">
        <v>4322</v>
      </c>
      <c r="E3180" s="90" t="s">
        <v>3003</v>
      </c>
      <c r="G3180" s="55" t="s">
        <v>3004</v>
      </c>
      <c r="H3180" s="55">
        <v>2007</v>
      </c>
      <c r="I3180" s="55">
        <v>1998</v>
      </c>
      <c r="J3180" s="55" t="s">
        <v>2660</v>
      </c>
      <c r="K3180" s="55" t="s">
        <v>3037</v>
      </c>
      <c r="L3180" s="55" t="s">
        <v>2916</v>
      </c>
      <c r="M3180" s="90">
        <v>-16.329999999999998</v>
      </c>
      <c r="N3180" s="90">
        <v>29.6</v>
      </c>
      <c r="O3180" s="90">
        <v>1177</v>
      </c>
      <c r="U3180" s="55" t="s">
        <v>1805</v>
      </c>
      <c r="V3180" s="55" t="s">
        <v>1688</v>
      </c>
      <c r="Y3180" s="55" t="s">
        <v>3031</v>
      </c>
      <c r="AH3180" s="55" t="s">
        <v>238</v>
      </c>
      <c r="AN3180" s="185" t="s">
        <v>3032</v>
      </c>
      <c r="AO3180" s="185" t="s">
        <v>5150</v>
      </c>
      <c r="AQ3180" s="55" t="s">
        <v>553</v>
      </c>
      <c r="AR3180" s="55" t="s">
        <v>1607</v>
      </c>
      <c r="AS3180" s="55" t="s">
        <v>132</v>
      </c>
      <c r="AU3180" s="181" t="s">
        <v>7494</v>
      </c>
      <c r="AV3180" s="185" t="s">
        <v>176</v>
      </c>
      <c r="AX3180" s="185" t="s">
        <v>176</v>
      </c>
      <c r="BK3180" s="55" t="s">
        <v>6333</v>
      </c>
      <c r="BM3180" s="192" t="s">
        <v>160</v>
      </c>
      <c r="CB3180" s="66">
        <v>200</v>
      </c>
      <c r="CC3180" s="66">
        <v>2300</v>
      </c>
      <c r="GP3180" s="292" t="s">
        <v>7494</v>
      </c>
    </row>
    <row r="3181" spans="1:198" x14ac:dyDescent="0.25">
      <c r="A3181" s="55">
        <v>3180</v>
      </c>
      <c r="B3181" s="12" t="s">
        <v>7067</v>
      </c>
      <c r="C3181" s="155">
        <v>150</v>
      </c>
      <c r="D3181" s="55" t="s">
        <v>4322</v>
      </c>
      <c r="E3181" s="90" t="s">
        <v>3003</v>
      </c>
      <c r="G3181" s="55" t="s">
        <v>3004</v>
      </c>
      <c r="H3181" s="55">
        <v>2007</v>
      </c>
      <c r="I3181" s="55">
        <v>1998</v>
      </c>
      <c r="J3181" s="55" t="s">
        <v>2660</v>
      </c>
      <c r="K3181" s="55" t="s">
        <v>3037</v>
      </c>
      <c r="L3181" s="55" t="s">
        <v>2916</v>
      </c>
      <c r="M3181" s="90">
        <v>-16.329999999999998</v>
      </c>
      <c r="N3181" s="90">
        <v>29.6</v>
      </c>
      <c r="O3181" s="90">
        <v>1177</v>
      </c>
      <c r="U3181" s="55" t="s">
        <v>1805</v>
      </c>
      <c r="V3181" s="55" t="s">
        <v>1688</v>
      </c>
      <c r="Y3181" s="55" t="s">
        <v>3031</v>
      </c>
      <c r="AH3181" s="55" t="s">
        <v>238</v>
      </c>
      <c r="AN3181" s="185" t="s">
        <v>3033</v>
      </c>
      <c r="AO3181" s="185" t="s">
        <v>5150</v>
      </c>
      <c r="AQ3181" s="55" t="s">
        <v>553</v>
      </c>
      <c r="AR3181" s="55" t="s">
        <v>1607</v>
      </c>
      <c r="AS3181" s="55" t="s">
        <v>132</v>
      </c>
      <c r="AU3181" s="181" t="s">
        <v>7494</v>
      </c>
      <c r="AV3181" s="185" t="s">
        <v>176</v>
      </c>
      <c r="AX3181" s="185" t="s">
        <v>176</v>
      </c>
      <c r="BK3181" s="55" t="s">
        <v>6333</v>
      </c>
      <c r="BM3181" s="192" t="s">
        <v>160</v>
      </c>
      <c r="CB3181" s="66">
        <v>200</v>
      </c>
      <c r="CC3181" s="66">
        <v>2100</v>
      </c>
      <c r="GP3181" s="292" t="s">
        <v>7494</v>
      </c>
    </row>
    <row r="3182" spans="1:198" x14ac:dyDescent="0.25">
      <c r="A3182" s="55">
        <v>3181</v>
      </c>
      <c r="B3182" s="12" t="s">
        <v>7067</v>
      </c>
      <c r="C3182" s="155">
        <v>150</v>
      </c>
      <c r="D3182" s="55" t="s">
        <v>4322</v>
      </c>
      <c r="E3182" s="90" t="s">
        <v>3003</v>
      </c>
      <c r="G3182" s="55" t="s">
        <v>3004</v>
      </c>
      <c r="H3182" s="55">
        <v>2007</v>
      </c>
      <c r="I3182" s="55">
        <v>1998</v>
      </c>
      <c r="J3182" s="55" t="s">
        <v>2660</v>
      </c>
      <c r="K3182" s="55" t="s">
        <v>3037</v>
      </c>
      <c r="L3182" s="55" t="s">
        <v>2916</v>
      </c>
      <c r="M3182" s="90">
        <v>-16.329999999999998</v>
      </c>
      <c r="N3182" s="90">
        <v>29.6</v>
      </c>
      <c r="O3182" s="90">
        <v>1177</v>
      </c>
      <c r="U3182" s="55" t="s">
        <v>1805</v>
      </c>
      <c r="V3182" s="55" t="s">
        <v>1688</v>
      </c>
      <c r="Y3182" s="55" t="s">
        <v>3031</v>
      </c>
      <c r="AH3182" s="55" t="s">
        <v>238</v>
      </c>
      <c r="AN3182" s="185" t="s">
        <v>3035</v>
      </c>
      <c r="AO3182" s="185" t="s">
        <v>5150</v>
      </c>
      <c r="AQ3182" s="55" t="s">
        <v>553</v>
      </c>
      <c r="AR3182" s="55" t="s">
        <v>1607</v>
      </c>
      <c r="AS3182" s="55" t="s">
        <v>132</v>
      </c>
      <c r="AU3182" s="181" t="s">
        <v>7494</v>
      </c>
      <c r="AV3182" s="185" t="s">
        <v>176</v>
      </c>
      <c r="AX3182" s="185" t="s">
        <v>176</v>
      </c>
      <c r="BK3182" s="55" t="s">
        <v>6333</v>
      </c>
      <c r="BM3182" s="192" t="s">
        <v>160</v>
      </c>
      <c r="CB3182" s="66">
        <v>200</v>
      </c>
      <c r="CC3182" s="66">
        <v>1800</v>
      </c>
      <c r="GP3182" s="292" t="s">
        <v>7494</v>
      </c>
    </row>
    <row r="3183" spans="1:198" x14ac:dyDescent="0.25">
      <c r="A3183" s="55">
        <v>3182</v>
      </c>
      <c r="B3183" s="12" t="s">
        <v>7067</v>
      </c>
      <c r="C3183" s="155">
        <v>150</v>
      </c>
      <c r="D3183" s="55" t="s">
        <v>4322</v>
      </c>
      <c r="E3183" s="90" t="s">
        <v>3003</v>
      </c>
      <c r="G3183" s="55" t="s">
        <v>3004</v>
      </c>
      <c r="H3183" s="55">
        <v>2007</v>
      </c>
      <c r="I3183" s="55">
        <v>1998</v>
      </c>
      <c r="J3183" s="55" t="s">
        <v>2660</v>
      </c>
      <c r="K3183" s="55" t="s">
        <v>3037</v>
      </c>
      <c r="L3183" s="55" t="s">
        <v>2916</v>
      </c>
      <c r="M3183" s="90">
        <v>-16.329999999999998</v>
      </c>
      <c r="N3183" s="90">
        <v>29.6</v>
      </c>
      <c r="O3183" s="90">
        <v>1177</v>
      </c>
      <c r="U3183" s="55" t="s">
        <v>1805</v>
      </c>
      <c r="V3183" s="55" t="s">
        <v>1688</v>
      </c>
      <c r="Y3183" s="55" t="s">
        <v>3031</v>
      </c>
      <c r="AH3183" s="55" t="s">
        <v>238</v>
      </c>
      <c r="AN3183" s="185" t="s">
        <v>3034</v>
      </c>
      <c r="AO3183" s="185" t="s">
        <v>5150</v>
      </c>
      <c r="AQ3183" s="55" t="s">
        <v>553</v>
      </c>
      <c r="AR3183" s="55" t="s">
        <v>1607</v>
      </c>
      <c r="AS3183" s="55" t="s">
        <v>132</v>
      </c>
      <c r="AU3183" s="181" t="s">
        <v>7494</v>
      </c>
      <c r="AV3183" s="185" t="s">
        <v>176</v>
      </c>
      <c r="AX3183" s="185" t="s">
        <v>176</v>
      </c>
      <c r="BK3183" s="55" t="s">
        <v>6333</v>
      </c>
      <c r="BM3183" s="192" t="s">
        <v>160</v>
      </c>
      <c r="CB3183" s="66">
        <v>200</v>
      </c>
      <c r="CC3183" s="66">
        <v>1400</v>
      </c>
      <c r="GP3183" s="292" t="s">
        <v>7494</v>
      </c>
    </row>
    <row r="3184" spans="1:198" x14ac:dyDescent="0.25">
      <c r="A3184" s="55">
        <v>3183</v>
      </c>
      <c r="B3184" s="12" t="s">
        <v>7067</v>
      </c>
      <c r="C3184" s="155">
        <v>150</v>
      </c>
      <c r="D3184" s="55" t="s">
        <v>4322</v>
      </c>
      <c r="E3184" s="90" t="s">
        <v>3003</v>
      </c>
      <c r="G3184" s="55" t="s">
        <v>3004</v>
      </c>
      <c r="H3184" s="55">
        <v>2007</v>
      </c>
      <c r="I3184" s="55">
        <v>1999</v>
      </c>
      <c r="J3184" s="55" t="s">
        <v>2660</v>
      </c>
      <c r="K3184" s="55" t="s">
        <v>3037</v>
      </c>
      <c r="L3184" s="55" t="s">
        <v>2916</v>
      </c>
      <c r="M3184" s="90">
        <v>-16.329999999999998</v>
      </c>
      <c r="N3184" s="90">
        <v>29.6</v>
      </c>
      <c r="O3184" s="90">
        <v>1177</v>
      </c>
      <c r="U3184" s="55" t="s">
        <v>1688</v>
      </c>
      <c r="V3184" s="55" t="s">
        <v>1688</v>
      </c>
      <c r="Y3184" s="55" t="s">
        <v>3031</v>
      </c>
      <c r="AH3184" s="55" t="s">
        <v>238</v>
      </c>
      <c r="AN3184" s="185" t="s">
        <v>3032</v>
      </c>
      <c r="AO3184" s="185" t="s">
        <v>5150</v>
      </c>
      <c r="AQ3184" s="55" t="s">
        <v>553</v>
      </c>
      <c r="AR3184" s="55" t="s">
        <v>1607</v>
      </c>
      <c r="AS3184" s="55" t="s">
        <v>132</v>
      </c>
      <c r="AU3184" s="181" t="s">
        <v>7494</v>
      </c>
      <c r="AV3184" s="185" t="s">
        <v>176</v>
      </c>
      <c r="AX3184" s="185" t="s">
        <v>176</v>
      </c>
      <c r="BK3184" s="55" t="s">
        <v>6333</v>
      </c>
      <c r="BM3184" s="192" t="s">
        <v>160</v>
      </c>
      <c r="CB3184" s="66">
        <v>200</v>
      </c>
      <c r="CC3184" s="66">
        <v>1200</v>
      </c>
      <c r="GP3184" s="292" t="s">
        <v>7494</v>
      </c>
    </row>
    <row r="3185" spans="1:198" x14ac:dyDescent="0.25">
      <c r="A3185" s="55">
        <v>3184</v>
      </c>
      <c r="B3185" s="12" t="s">
        <v>7067</v>
      </c>
      <c r="C3185" s="155">
        <v>150</v>
      </c>
      <c r="D3185" s="55" t="s">
        <v>4322</v>
      </c>
      <c r="E3185" s="90" t="s">
        <v>3003</v>
      </c>
      <c r="G3185" s="55" t="s">
        <v>3004</v>
      </c>
      <c r="H3185" s="55">
        <v>2007</v>
      </c>
      <c r="I3185" s="55">
        <v>1999</v>
      </c>
      <c r="J3185" s="55" t="s">
        <v>2660</v>
      </c>
      <c r="K3185" s="55" t="s">
        <v>3037</v>
      </c>
      <c r="L3185" s="55" t="s">
        <v>2916</v>
      </c>
      <c r="M3185" s="90">
        <v>-16.329999999999998</v>
      </c>
      <c r="N3185" s="90">
        <v>29.6</v>
      </c>
      <c r="O3185" s="90">
        <v>1177</v>
      </c>
      <c r="U3185" s="55" t="s">
        <v>1688</v>
      </c>
      <c r="V3185" s="55" t="s">
        <v>1688</v>
      </c>
      <c r="Y3185" s="55" t="s">
        <v>3031</v>
      </c>
      <c r="AH3185" s="55" t="s">
        <v>238</v>
      </c>
      <c r="AN3185" s="185" t="s">
        <v>3033</v>
      </c>
      <c r="AO3185" s="185" t="s">
        <v>5150</v>
      </c>
      <c r="AQ3185" s="55" t="s">
        <v>553</v>
      </c>
      <c r="AR3185" s="55" t="s">
        <v>1607</v>
      </c>
      <c r="AS3185" s="55" t="s">
        <v>132</v>
      </c>
      <c r="AU3185" s="181" t="s">
        <v>7494</v>
      </c>
      <c r="AV3185" s="185" t="s">
        <v>176</v>
      </c>
      <c r="AX3185" s="185" t="s">
        <v>176</v>
      </c>
      <c r="BK3185" s="55" t="s">
        <v>6333</v>
      </c>
      <c r="BM3185" s="192" t="s">
        <v>160</v>
      </c>
      <c r="CB3185" s="66">
        <v>200</v>
      </c>
      <c r="CC3185" s="66">
        <v>1400</v>
      </c>
      <c r="GP3185" s="292" t="s">
        <v>7494</v>
      </c>
    </row>
    <row r="3186" spans="1:198" x14ac:dyDescent="0.25">
      <c r="A3186" s="55">
        <v>3185</v>
      </c>
      <c r="B3186" s="12" t="s">
        <v>7067</v>
      </c>
      <c r="C3186" s="155">
        <v>150</v>
      </c>
      <c r="D3186" s="55" t="s">
        <v>4322</v>
      </c>
      <c r="E3186" s="90" t="s">
        <v>3003</v>
      </c>
      <c r="G3186" s="55" t="s">
        <v>3004</v>
      </c>
      <c r="H3186" s="55">
        <v>2007</v>
      </c>
      <c r="I3186" s="55">
        <v>1999</v>
      </c>
      <c r="J3186" s="55" t="s">
        <v>2660</v>
      </c>
      <c r="K3186" s="55" t="s">
        <v>3037</v>
      </c>
      <c r="L3186" s="55" t="s">
        <v>2916</v>
      </c>
      <c r="M3186" s="90">
        <v>-16.329999999999998</v>
      </c>
      <c r="N3186" s="90">
        <v>29.6</v>
      </c>
      <c r="O3186" s="90">
        <v>1177</v>
      </c>
      <c r="U3186" s="55" t="s">
        <v>1688</v>
      </c>
      <c r="V3186" s="55" t="s">
        <v>1688</v>
      </c>
      <c r="Y3186" s="55" t="s">
        <v>3031</v>
      </c>
      <c r="AH3186" s="55" t="s">
        <v>238</v>
      </c>
      <c r="AN3186" s="185" t="s">
        <v>3035</v>
      </c>
      <c r="AO3186" s="185" t="s">
        <v>5150</v>
      </c>
      <c r="AQ3186" s="55" t="s">
        <v>553</v>
      </c>
      <c r="AR3186" s="55" t="s">
        <v>1607</v>
      </c>
      <c r="AS3186" s="55" t="s">
        <v>132</v>
      </c>
      <c r="AU3186" s="181" t="s">
        <v>7494</v>
      </c>
      <c r="AV3186" s="185" t="s">
        <v>176</v>
      </c>
      <c r="AX3186" s="185" t="s">
        <v>176</v>
      </c>
      <c r="BK3186" s="55" t="s">
        <v>6333</v>
      </c>
      <c r="BM3186" s="192" t="s">
        <v>160</v>
      </c>
      <c r="CB3186" s="66">
        <v>200</v>
      </c>
      <c r="CC3186" s="66">
        <v>900</v>
      </c>
      <c r="GP3186" s="292" t="s">
        <v>7494</v>
      </c>
    </row>
    <row r="3187" spans="1:198" x14ac:dyDescent="0.25">
      <c r="A3187" s="55">
        <v>3186</v>
      </c>
      <c r="B3187" s="12" t="s">
        <v>7067</v>
      </c>
      <c r="C3187" s="155">
        <v>150</v>
      </c>
      <c r="D3187" s="55" t="s">
        <v>4322</v>
      </c>
      <c r="E3187" s="90" t="s">
        <v>3003</v>
      </c>
      <c r="G3187" s="55" t="s">
        <v>3004</v>
      </c>
      <c r="H3187" s="55">
        <v>2007</v>
      </c>
      <c r="I3187" s="55">
        <v>1999</v>
      </c>
      <c r="J3187" s="55" t="s">
        <v>2660</v>
      </c>
      <c r="K3187" s="55" t="s">
        <v>3037</v>
      </c>
      <c r="L3187" s="55" t="s">
        <v>2916</v>
      </c>
      <c r="M3187" s="90">
        <v>-16.329999999999998</v>
      </c>
      <c r="N3187" s="90">
        <v>29.6</v>
      </c>
      <c r="O3187" s="90">
        <v>1177</v>
      </c>
      <c r="U3187" s="55" t="s">
        <v>1688</v>
      </c>
      <c r="V3187" s="55" t="s">
        <v>1688</v>
      </c>
      <c r="Y3187" s="55" t="s">
        <v>3031</v>
      </c>
      <c r="AH3187" s="55" t="s">
        <v>238</v>
      </c>
      <c r="AN3187" s="185" t="s">
        <v>3034</v>
      </c>
      <c r="AO3187" s="185" t="s">
        <v>5150</v>
      </c>
      <c r="AQ3187" s="55" t="s">
        <v>553</v>
      </c>
      <c r="AR3187" s="55" t="s">
        <v>1607</v>
      </c>
      <c r="AS3187" s="55" t="s">
        <v>132</v>
      </c>
      <c r="AU3187" s="181" t="s">
        <v>7494</v>
      </c>
      <c r="AV3187" s="185" t="s">
        <v>176</v>
      </c>
      <c r="AX3187" s="185" t="s">
        <v>176</v>
      </c>
      <c r="BK3187" s="55" t="s">
        <v>6333</v>
      </c>
      <c r="BM3187" s="192" t="s">
        <v>160</v>
      </c>
      <c r="CB3187" s="66">
        <v>200</v>
      </c>
      <c r="CC3187" s="66">
        <v>800</v>
      </c>
      <c r="GP3187" s="292" t="s">
        <v>7494</v>
      </c>
    </row>
    <row r="3188" spans="1:198" x14ac:dyDescent="0.25">
      <c r="A3188" s="55">
        <v>3187</v>
      </c>
      <c r="B3188" s="12" t="s">
        <v>7067</v>
      </c>
      <c r="C3188" s="155">
        <v>150</v>
      </c>
      <c r="D3188" s="55" t="s">
        <v>4323</v>
      </c>
      <c r="E3188" s="90" t="s">
        <v>3003</v>
      </c>
      <c r="G3188" s="55" t="s">
        <v>3004</v>
      </c>
      <c r="H3188" s="55">
        <v>2007</v>
      </c>
      <c r="I3188" s="55">
        <v>1998</v>
      </c>
      <c r="J3188" s="55" t="s">
        <v>2660</v>
      </c>
      <c r="K3188" s="55" t="s">
        <v>3038</v>
      </c>
      <c r="L3188" s="55" t="s">
        <v>2750</v>
      </c>
      <c r="M3188" s="90">
        <v>-13.81</v>
      </c>
      <c r="N3188" s="90">
        <v>31.99</v>
      </c>
      <c r="O3188" s="90">
        <v>834</v>
      </c>
      <c r="U3188" s="55" t="s">
        <v>1935</v>
      </c>
      <c r="V3188" s="55" t="s">
        <v>1688</v>
      </c>
      <c r="Y3188" s="55" t="s">
        <v>3036</v>
      </c>
      <c r="AN3188" s="185" t="s">
        <v>2692</v>
      </c>
      <c r="AO3188" s="185" t="s">
        <v>5150</v>
      </c>
      <c r="AQ3188" s="55" t="s">
        <v>553</v>
      </c>
      <c r="AR3188" s="55" t="s">
        <v>1607</v>
      </c>
      <c r="AS3188" s="55" t="s">
        <v>132</v>
      </c>
      <c r="AU3188" s="181" t="s">
        <v>7494</v>
      </c>
      <c r="AV3188" s="185" t="s">
        <v>176</v>
      </c>
      <c r="AX3188" s="185" t="s">
        <v>176</v>
      </c>
      <c r="BK3188" s="55" t="s">
        <v>6333</v>
      </c>
      <c r="BM3188" s="192" t="s">
        <v>160</v>
      </c>
      <c r="CB3188" s="66">
        <v>800</v>
      </c>
      <c r="CC3188" s="66">
        <v>3600</v>
      </c>
      <c r="GP3188" s="292" t="s">
        <v>7494</v>
      </c>
    </row>
    <row r="3189" spans="1:198" x14ac:dyDescent="0.25">
      <c r="A3189" s="55">
        <v>3188</v>
      </c>
      <c r="B3189" s="12" t="s">
        <v>7067</v>
      </c>
      <c r="C3189" s="155">
        <v>150</v>
      </c>
      <c r="D3189" s="55" t="s">
        <v>4323</v>
      </c>
      <c r="E3189" s="90" t="s">
        <v>3003</v>
      </c>
      <c r="G3189" s="55" t="s">
        <v>3004</v>
      </c>
      <c r="H3189" s="55">
        <v>2007</v>
      </c>
      <c r="I3189" s="55">
        <v>1999</v>
      </c>
      <c r="J3189" s="55" t="s">
        <v>2660</v>
      </c>
      <c r="K3189" s="55" t="s">
        <v>3038</v>
      </c>
      <c r="L3189" s="55" t="s">
        <v>2750</v>
      </c>
      <c r="M3189" s="90">
        <v>-13.81</v>
      </c>
      <c r="N3189" s="90">
        <v>31.99</v>
      </c>
      <c r="O3189" s="90">
        <v>834</v>
      </c>
      <c r="U3189" s="55" t="s">
        <v>1805</v>
      </c>
      <c r="V3189" s="55" t="s">
        <v>1688</v>
      </c>
      <c r="Y3189" s="55" t="s">
        <v>3036</v>
      </c>
      <c r="AN3189" s="185" t="s">
        <v>2692</v>
      </c>
      <c r="AO3189" s="185" t="s">
        <v>5150</v>
      </c>
      <c r="AQ3189" s="55" t="s">
        <v>553</v>
      </c>
      <c r="AR3189" s="55" t="s">
        <v>1607</v>
      </c>
      <c r="AS3189" s="55" t="s">
        <v>132</v>
      </c>
      <c r="AU3189" s="181" t="s">
        <v>7494</v>
      </c>
      <c r="AV3189" s="185" t="s">
        <v>176</v>
      </c>
      <c r="AX3189" s="185" t="s">
        <v>176</v>
      </c>
      <c r="BK3189" s="55" t="s">
        <v>6333</v>
      </c>
      <c r="BM3189" s="192" t="s">
        <v>160</v>
      </c>
      <c r="CB3189" s="66">
        <v>1200</v>
      </c>
      <c r="CC3189" s="66">
        <v>2000</v>
      </c>
      <c r="GP3189" s="292" t="s">
        <v>7494</v>
      </c>
    </row>
    <row r="3190" spans="1:198" x14ac:dyDescent="0.25">
      <c r="A3190" s="55">
        <v>3189</v>
      </c>
      <c r="B3190" s="12" t="s">
        <v>7067</v>
      </c>
      <c r="C3190" s="155">
        <v>150</v>
      </c>
      <c r="D3190" s="55" t="s">
        <v>4323</v>
      </c>
      <c r="E3190" s="90" t="s">
        <v>3003</v>
      </c>
      <c r="G3190" s="55" t="s">
        <v>3004</v>
      </c>
      <c r="H3190" s="55">
        <v>2007</v>
      </c>
      <c r="I3190" s="55">
        <v>2000</v>
      </c>
      <c r="J3190" s="55" t="s">
        <v>2660</v>
      </c>
      <c r="K3190" s="55" t="s">
        <v>3038</v>
      </c>
      <c r="L3190" s="55" t="s">
        <v>2750</v>
      </c>
      <c r="M3190" s="90">
        <v>-13.81</v>
      </c>
      <c r="N3190" s="90">
        <v>31.99</v>
      </c>
      <c r="O3190" s="90">
        <v>834</v>
      </c>
      <c r="U3190" s="55" t="s">
        <v>1688</v>
      </c>
      <c r="V3190" s="55" t="s">
        <v>1688</v>
      </c>
      <c r="Y3190" s="55" t="s">
        <v>3036</v>
      </c>
      <c r="AN3190" s="185" t="s">
        <v>2692</v>
      </c>
      <c r="AO3190" s="185" t="s">
        <v>5150</v>
      </c>
      <c r="AQ3190" s="55" t="s">
        <v>553</v>
      </c>
      <c r="AR3190" s="55" t="s">
        <v>1607</v>
      </c>
      <c r="AS3190" s="55" t="s">
        <v>132</v>
      </c>
      <c r="AU3190" s="181" t="s">
        <v>7494</v>
      </c>
      <c r="AV3190" s="185" t="s">
        <v>176</v>
      </c>
      <c r="AX3190" s="185" t="s">
        <v>176</v>
      </c>
      <c r="BK3190" s="55" t="s">
        <v>6333</v>
      </c>
      <c r="BM3190" s="192" t="s">
        <v>160</v>
      </c>
      <c r="CB3190" s="66">
        <v>400</v>
      </c>
      <c r="CC3190" s="66">
        <v>1600</v>
      </c>
      <c r="GP3190" s="292" t="s">
        <v>7494</v>
      </c>
    </row>
    <row r="3191" spans="1:198" x14ac:dyDescent="0.25">
      <c r="A3191" s="55">
        <v>3190</v>
      </c>
      <c r="B3191" s="12" t="s">
        <v>7067</v>
      </c>
      <c r="C3191" s="155">
        <v>150</v>
      </c>
      <c r="D3191" s="55" t="s">
        <v>4323</v>
      </c>
      <c r="E3191" s="90" t="s">
        <v>3003</v>
      </c>
      <c r="G3191" s="55" t="s">
        <v>3004</v>
      </c>
      <c r="H3191" s="55">
        <v>2007</v>
      </c>
      <c r="I3191" s="55">
        <v>1998</v>
      </c>
      <c r="J3191" s="55" t="s">
        <v>2660</v>
      </c>
      <c r="K3191" s="55" t="s">
        <v>3038</v>
      </c>
      <c r="L3191" s="55" t="s">
        <v>2750</v>
      </c>
      <c r="M3191" s="90">
        <v>-13.81</v>
      </c>
      <c r="N3191" s="90">
        <v>31.99</v>
      </c>
      <c r="O3191" s="90">
        <v>834</v>
      </c>
      <c r="U3191" s="55" t="s">
        <v>1935</v>
      </c>
      <c r="V3191" s="55" t="s">
        <v>1688</v>
      </c>
      <c r="Y3191" s="55" t="s">
        <v>3036</v>
      </c>
      <c r="AN3191" s="185" t="s">
        <v>2692</v>
      </c>
      <c r="AO3191" s="185" t="s">
        <v>5150</v>
      </c>
      <c r="AQ3191" s="55" t="s">
        <v>553</v>
      </c>
      <c r="AR3191" s="55" t="s">
        <v>1607</v>
      </c>
      <c r="AS3191" s="55" t="s">
        <v>132</v>
      </c>
      <c r="AU3191" s="181" t="s">
        <v>7494</v>
      </c>
      <c r="AV3191" s="185" t="s">
        <v>176</v>
      </c>
      <c r="AX3191" s="185" t="s">
        <v>176</v>
      </c>
      <c r="BK3191" s="55" t="s">
        <v>6333</v>
      </c>
      <c r="BM3191" s="192" t="s">
        <v>160</v>
      </c>
      <c r="CB3191" s="66">
        <v>800</v>
      </c>
      <c r="CC3191" s="66">
        <v>3100</v>
      </c>
      <c r="GP3191" s="292" t="s">
        <v>7494</v>
      </c>
    </row>
    <row r="3192" spans="1:198" x14ac:dyDescent="0.25">
      <c r="A3192" s="55">
        <v>3191</v>
      </c>
      <c r="B3192" s="12" t="s">
        <v>7067</v>
      </c>
      <c r="C3192" s="155">
        <v>150</v>
      </c>
      <c r="D3192" s="55" t="s">
        <v>4323</v>
      </c>
      <c r="E3192" s="90" t="s">
        <v>3003</v>
      </c>
      <c r="G3192" s="55" t="s">
        <v>3004</v>
      </c>
      <c r="H3192" s="55">
        <v>2007</v>
      </c>
      <c r="I3192" s="55">
        <v>1999</v>
      </c>
      <c r="J3192" s="55" t="s">
        <v>2660</v>
      </c>
      <c r="K3192" s="55" t="s">
        <v>3038</v>
      </c>
      <c r="L3192" s="55" t="s">
        <v>2750</v>
      </c>
      <c r="M3192" s="90">
        <v>-13.81</v>
      </c>
      <c r="N3192" s="90">
        <v>31.99</v>
      </c>
      <c r="O3192" s="90">
        <v>834</v>
      </c>
      <c r="U3192" s="55" t="s">
        <v>1805</v>
      </c>
      <c r="V3192" s="55" t="s">
        <v>1688</v>
      </c>
      <c r="Y3192" s="55" t="s">
        <v>3036</v>
      </c>
      <c r="AN3192" s="185" t="s">
        <v>2692</v>
      </c>
      <c r="AO3192" s="185" t="s">
        <v>5150</v>
      </c>
      <c r="AQ3192" s="55" t="s">
        <v>553</v>
      </c>
      <c r="AR3192" s="55" t="s">
        <v>1607</v>
      </c>
      <c r="AS3192" s="55" t="s">
        <v>132</v>
      </c>
      <c r="AU3192" s="181" t="s">
        <v>7494</v>
      </c>
      <c r="AV3192" s="185" t="s">
        <v>176</v>
      </c>
      <c r="AX3192" s="185" t="s">
        <v>176</v>
      </c>
      <c r="BK3192" s="55" t="s">
        <v>6333</v>
      </c>
      <c r="BM3192" s="192" t="s">
        <v>160</v>
      </c>
      <c r="CB3192" s="66">
        <v>100</v>
      </c>
      <c r="CC3192" s="66">
        <v>2400</v>
      </c>
      <c r="GP3192" s="292" t="s">
        <v>7494</v>
      </c>
    </row>
    <row r="3193" spans="1:198" x14ac:dyDescent="0.25">
      <c r="A3193" s="55">
        <v>3192</v>
      </c>
      <c r="B3193" s="12" t="s">
        <v>7067</v>
      </c>
      <c r="C3193" s="155">
        <v>150</v>
      </c>
      <c r="D3193" s="55" t="s">
        <v>4323</v>
      </c>
      <c r="E3193" s="90" t="s">
        <v>3003</v>
      </c>
      <c r="G3193" s="55" t="s">
        <v>3004</v>
      </c>
      <c r="H3193" s="55">
        <v>2007</v>
      </c>
      <c r="I3193" s="55">
        <v>2000</v>
      </c>
      <c r="J3193" s="55" t="s">
        <v>2660</v>
      </c>
      <c r="K3193" s="55" t="s">
        <v>3038</v>
      </c>
      <c r="L3193" s="55" t="s">
        <v>2750</v>
      </c>
      <c r="M3193" s="90">
        <v>-13.81</v>
      </c>
      <c r="N3193" s="90">
        <v>31.99</v>
      </c>
      <c r="O3193" s="90">
        <v>834</v>
      </c>
      <c r="U3193" s="55" t="s">
        <v>1688</v>
      </c>
      <c r="V3193" s="55" t="s">
        <v>1688</v>
      </c>
      <c r="Y3193" s="55" t="s">
        <v>3036</v>
      </c>
      <c r="AN3193" s="185" t="s">
        <v>2692</v>
      </c>
      <c r="AO3193" s="185" t="s">
        <v>5150</v>
      </c>
      <c r="AQ3193" s="55" t="s">
        <v>553</v>
      </c>
      <c r="AR3193" s="55" t="s">
        <v>1607</v>
      </c>
      <c r="AS3193" s="55" t="s">
        <v>132</v>
      </c>
      <c r="AU3193" s="181" t="s">
        <v>7494</v>
      </c>
      <c r="AV3193" s="185" t="s">
        <v>176</v>
      </c>
      <c r="AX3193" s="185" t="s">
        <v>176</v>
      </c>
      <c r="BK3193" s="55" t="s">
        <v>6333</v>
      </c>
      <c r="BM3193" s="192" t="s">
        <v>160</v>
      </c>
      <c r="CB3193" s="66">
        <v>500</v>
      </c>
      <c r="CC3193" s="66">
        <v>1300</v>
      </c>
      <c r="GP3193" s="292" t="s">
        <v>7494</v>
      </c>
    </row>
    <row r="3194" spans="1:198" x14ac:dyDescent="0.25">
      <c r="A3194" s="55">
        <v>3193</v>
      </c>
      <c r="B3194" s="12" t="s">
        <v>7067</v>
      </c>
      <c r="C3194" s="155">
        <v>151</v>
      </c>
      <c r="D3194" s="55" t="s">
        <v>4324</v>
      </c>
      <c r="E3194" s="90" t="s">
        <v>3047</v>
      </c>
      <c r="G3194" s="55" t="s">
        <v>3048</v>
      </c>
      <c r="H3194" s="55">
        <v>1999</v>
      </c>
      <c r="I3194" s="55">
        <v>1993</v>
      </c>
      <c r="J3194" s="55" t="s">
        <v>397</v>
      </c>
      <c r="K3194" s="55" t="s">
        <v>3049</v>
      </c>
      <c r="L3194" s="55" t="s">
        <v>2757</v>
      </c>
      <c r="M3194" s="90">
        <v>0.1</v>
      </c>
      <c r="N3194" s="90">
        <f>34+34/60</f>
        <v>34.56666666666667</v>
      </c>
      <c r="O3194" s="90">
        <v>1420</v>
      </c>
      <c r="S3194" s="90">
        <v>1800</v>
      </c>
      <c r="U3194" s="55" t="s">
        <v>1805</v>
      </c>
      <c r="V3194" s="55" t="s">
        <v>1816</v>
      </c>
      <c r="Y3194" s="55" t="s">
        <v>2801</v>
      </c>
      <c r="Z3194" s="55" t="s">
        <v>1349</v>
      </c>
      <c r="AA3194" s="90" t="s">
        <v>1677</v>
      </c>
      <c r="AE3194" s="90">
        <v>26</v>
      </c>
      <c r="AF3194" s="90">
        <f>100-26-46</f>
        <v>28</v>
      </c>
      <c r="AH3194" s="55" t="s">
        <v>769</v>
      </c>
      <c r="AI3194" s="168">
        <v>5.0999999999999996</v>
      </c>
      <c r="AJ3194" s="90">
        <v>1.5</v>
      </c>
      <c r="AM3194" s="55" t="s">
        <v>3051</v>
      </c>
      <c r="AN3194" s="185" t="s">
        <v>2692</v>
      </c>
      <c r="AO3194" s="185" t="s">
        <v>5150</v>
      </c>
      <c r="AQ3194" s="55" t="s">
        <v>553</v>
      </c>
      <c r="AR3194" s="55" t="s">
        <v>1607</v>
      </c>
      <c r="AS3194" s="55" t="s">
        <v>132</v>
      </c>
      <c r="AU3194" s="181" t="s">
        <v>7494</v>
      </c>
      <c r="AV3194" s="185" t="s">
        <v>176</v>
      </c>
      <c r="AX3194" s="185" t="s">
        <v>176</v>
      </c>
      <c r="BK3194" s="55" t="s">
        <v>6333</v>
      </c>
      <c r="BM3194" s="192" t="s">
        <v>160</v>
      </c>
      <c r="BN3194" s="55">
        <v>4</v>
      </c>
      <c r="BO3194" s="55">
        <v>4</v>
      </c>
      <c r="BQ3194" s="55" t="s">
        <v>141</v>
      </c>
      <c r="CB3194" s="66">
        <v>3700</v>
      </c>
      <c r="CC3194" s="66">
        <v>7200</v>
      </c>
      <c r="CE3194" s="65">
        <v>1100</v>
      </c>
      <c r="CF3194" s="65">
        <v>1100</v>
      </c>
      <c r="GP3194" s="292" t="s">
        <v>7494</v>
      </c>
    </row>
    <row r="3195" spans="1:198" x14ac:dyDescent="0.25">
      <c r="A3195" s="55">
        <v>3194</v>
      </c>
      <c r="B3195" s="12" t="s">
        <v>7067</v>
      </c>
      <c r="C3195" s="155">
        <v>151</v>
      </c>
      <c r="D3195" s="55" t="s">
        <v>4325</v>
      </c>
      <c r="E3195" s="90" t="s">
        <v>3047</v>
      </c>
      <c r="G3195" s="55" t="s">
        <v>3048</v>
      </c>
      <c r="H3195" s="55">
        <v>1999</v>
      </c>
      <c r="I3195" s="55">
        <v>1994</v>
      </c>
      <c r="J3195" s="55" t="s">
        <v>397</v>
      </c>
      <c r="K3195" s="55" t="s">
        <v>3050</v>
      </c>
      <c r="L3195" s="55" t="s">
        <v>2757</v>
      </c>
      <c r="M3195" s="90">
        <f>-1-31/60</f>
        <v>-1.5166666666666666</v>
      </c>
      <c r="N3195" s="90">
        <f>37+19/60</f>
        <v>37.31666666666667</v>
      </c>
      <c r="O3195" s="90">
        <v>1920</v>
      </c>
      <c r="S3195" s="90">
        <v>900</v>
      </c>
      <c r="U3195" s="55" t="s">
        <v>1805</v>
      </c>
      <c r="V3195" s="55" t="s">
        <v>1816</v>
      </c>
      <c r="Y3195" s="55" t="s">
        <v>2801</v>
      </c>
      <c r="Z3195" s="55" t="s">
        <v>1349</v>
      </c>
      <c r="AA3195" s="90" t="s">
        <v>1677</v>
      </c>
      <c r="AE3195" s="90">
        <v>56</v>
      </c>
      <c r="AF3195" s="90">
        <f>100-56-29</f>
        <v>15</v>
      </c>
      <c r="AH3195" s="55" t="s">
        <v>494</v>
      </c>
      <c r="AI3195" s="168">
        <v>5.7</v>
      </c>
      <c r="AJ3195" s="90">
        <v>0.8</v>
      </c>
      <c r="AM3195" s="55" t="s">
        <v>2891</v>
      </c>
      <c r="AN3195" s="185" t="s">
        <v>2692</v>
      </c>
      <c r="AO3195" s="185" t="s">
        <v>5150</v>
      </c>
      <c r="AQ3195" s="55" t="s">
        <v>553</v>
      </c>
      <c r="AR3195" s="55" t="s">
        <v>1607</v>
      </c>
      <c r="AS3195" s="55" t="s">
        <v>132</v>
      </c>
      <c r="AU3195" s="181" t="s">
        <v>7494</v>
      </c>
      <c r="AV3195" s="185" t="s">
        <v>176</v>
      </c>
      <c r="AX3195" s="185" t="s">
        <v>176</v>
      </c>
      <c r="BK3195" s="55" t="s">
        <v>6333</v>
      </c>
      <c r="BM3195" s="192" t="s">
        <v>160</v>
      </c>
      <c r="BN3195" s="55">
        <v>4</v>
      </c>
      <c r="BO3195" s="55">
        <v>4</v>
      </c>
      <c r="BQ3195" s="55" t="s">
        <v>141</v>
      </c>
      <c r="BV3195" s="55" t="s">
        <v>3053</v>
      </c>
      <c r="CB3195" s="66">
        <v>800</v>
      </c>
      <c r="CC3195" s="66">
        <v>1500</v>
      </c>
      <c r="DG3195" s="65">
        <v>0.77</v>
      </c>
      <c r="DH3195" s="65">
        <v>3.03</v>
      </c>
      <c r="DK3195" s="65" t="s">
        <v>3052</v>
      </c>
      <c r="GP3195" s="292" t="s">
        <v>7494</v>
      </c>
    </row>
    <row r="3196" spans="1:198" x14ac:dyDescent="0.25">
      <c r="A3196" s="55">
        <v>3195</v>
      </c>
      <c r="B3196" s="12" t="s">
        <v>7067</v>
      </c>
      <c r="C3196" s="155">
        <v>151</v>
      </c>
      <c r="D3196" s="55" t="s">
        <v>4325</v>
      </c>
      <c r="E3196" s="90" t="s">
        <v>3047</v>
      </c>
      <c r="G3196" s="55" t="s">
        <v>3048</v>
      </c>
      <c r="H3196" s="55">
        <v>1999</v>
      </c>
      <c r="I3196" s="55">
        <v>1994</v>
      </c>
      <c r="J3196" s="55" t="s">
        <v>397</v>
      </c>
      <c r="K3196" s="55" t="s">
        <v>3050</v>
      </c>
      <c r="L3196" s="55" t="s">
        <v>2757</v>
      </c>
      <c r="M3196" s="90">
        <f>-1-31/60</f>
        <v>-1.5166666666666666</v>
      </c>
      <c r="N3196" s="90">
        <f>37+19/60</f>
        <v>37.31666666666667</v>
      </c>
      <c r="O3196" s="90">
        <v>1920</v>
      </c>
      <c r="S3196" s="90">
        <v>900</v>
      </c>
      <c r="U3196" s="55" t="s">
        <v>1805</v>
      </c>
      <c r="V3196" s="55" t="s">
        <v>1816</v>
      </c>
      <c r="Y3196" s="55" t="s">
        <v>2801</v>
      </c>
      <c r="Z3196" s="55" t="s">
        <v>1349</v>
      </c>
      <c r="AA3196" s="90" t="s">
        <v>1677</v>
      </c>
      <c r="AE3196" s="90">
        <v>56</v>
      </c>
      <c r="AF3196" s="90">
        <f>100-56-29</f>
        <v>15</v>
      </c>
      <c r="AH3196" s="55" t="s">
        <v>494</v>
      </c>
      <c r="AI3196" s="168">
        <v>5.7</v>
      </c>
      <c r="AJ3196" s="90">
        <v>0.8</v>
      </c>
      <c r="AM3196" s="55" t="s">
        <v>2891</v>
      </c>
      <c r="AN3196" s="185" t="s">
        <v>2692</v>
      </c>
      <c r="AO3196" s="185" t="s">
        <v>5150</v>
      </c>
      <c r="AQ3196" s="55" t="s">
        <v>553</v>
      </c>
      <c r="AR3196" s="55" t="s">
        <v>1607</v>
      </c>
      <c r="AS3196" s="55" t="s">
        <v>132</v>
      </c>
      <c r="AU3196" s="181" t="s">
        <v>7494</v>
      </c>
      <c r="AV3196" s="185" t="s">
        <v>176</v>
      </c>
      <c r="AX3196" s="185" t="s">
        <v>176</v>
      </c>
      <c r="BK3196" s="55" t="s">
        <v>6333</v>
      </c>
      <c r="BM3196" s="192" t="s">
        <v>160</v>
      </c>
      <c r="BN3196" s="55">
        <v>4</v>
      </c>
      <c r="BO3196" s="55">
        <v>4</v>
      </c>
      <c r="BQ3196" s="55" t="s">
        <v>141</v>
      </c>
      <c r="BV3196" s="55" t="s">
        <v>3054</v>
      </c>
      <c r="CB3196" s="66">
        <v>2800</v>
      </c>
      <c r="CC3196" s="66">
        <v>4000</v>
      </c>
      <c r="CE3196" s="65">
        <v>900</v>
      </c>
      <c r="CF3196" s="65">
        <v>900</v>
      </c>
      <c r="GP3196" s="292" t="s">
        <v>7494</v>
      </c>
    </row>
    <row r="3197" spans="1:198" x14ac:dyDescent="0.25">
      <c r="A3197" s="55">
        <v>3196</v>
      </c>
      <c r="B3197" s="12" t="s">
        <v>7067</v>
      </c>
      <c r="C3197" s="155">
        <v>152</v>
      </c>
      <c r="D3197" s="55" t="s">
        <v>4326</v>
      </c>
      <c r="E3197" s="90" t="s">
        <v>3057</v>
      </c>
      <c r="G3197" s="55" t="s">
        <v>3058</v>
      </c>
      <c r="H3197" s="55">
        <v>2003</v>
      </c>
      <c r="I3197" s="55">
        <v>1997</v>
      </c>
      <c r="J3197" s="55" t="s">
        <v>2619</v>
      </c>
      <c r="K3197" s="55" t="s">
        <v>3055</v>
      </c>
      <c r="L3197" s="55" t="s">
        <v>2744</v>
      </c>
      <c r="M3197" s="90">
        <v>9.08</v>
      </c>
      <c r="N3197" s="90">
        <v>8.67</v>
      </c>
      <c r="S3197" s="90">
        <v>1500</v>
      </c>
      <c r="U3197" s="55" t="s">
        <v>1818</v>
      </c>
      <c r="V3197" s="55" t="s">
        <v>1875</v>
      </c>
      <c r="Y3197" s="55" t="s">
        <v>3056</v>
      </c>
      <c r="AN3197" s="185" t="s">
        <v>3059</v>
      </c>
      <c r="AO3197" s="185" t="s">
        <v>5150</v>
      </c>
      <c r="AQ3197" s="55" t="s">
        <v>1547</v>
      </c>
      <c r="AR3197" s="55" t="s">
        <v>1607</v>
      </c>
      <c r="AS3197" s="55" t="s">
        <v>132</v>
      </c>
      <c r="AU3197" s="181" t="s">
        <v>7494</v>
      </c>
      <c r="AV3197" s="185" t="s">
        <v>176</v>
      </c>
      <c r="AX3197" s="185" t="s">
        <v>176</v>
      </c>
      <c r="BK3197" s="55" t="s">
        <v>5976</v>
      </c>
      <c r="BM3197" s="192" t="s">
        <v>160</v>
      </c>
      <c r="BW3197" s="65">
        <v>1510</v>
      </c>
      <c r="BX3197" s="65">
        <v>2710</v>
      </c>
      <c r="BY3197" s="65">
        <v>390</v>
      </c>
      <c r="BZ3197" s="65">
        <v>390</v>
      </c>
      <c r="CB3197" s="66">
        <v>171</v>
      </c>
      <c r="CC3197" s="66">
        <v>388</v>
      </c>
      <c r="CE3197" s="65">
        <v>59</v>
      </c>
      <c r="CF3197" s="65">
        <v>59</v>
      </c>
      <c r="GP3197" s="292" t="s">
        <v>7494</v>
      </c>
    </row>
    <row r="3198" spans="1:198" x14ac:dyDescent="0.25">
      <c r="A3198" s="55">
        <v>3197</v>
      </c>
      <c r="B3198" s="12" t="s">
        <v>7067</v>
      </c>
      <c r="C3198" s="155">
        <v>152</v>
      </c>
      <c r="D3198" s="55" t="s">
        <v>4327</v>
      </c>
      <c r="E3198" s="90" t="s">
        <v>3057</v>
      </c>
      <c r="G3198" s="55" t="s">
        <v>3058</v>
      </c>
      <c r="H3198" s="55">
        <v>2003</v>
      </c>
      <c r="I3198" s="55">
        <v>1997</v>
      </c>
      <c r="J3198" s="55" t="s">
        <v>2619</v>
      </c>
      <c r="K3198" s="55" t="s">
        <v>3055</v>
      </c>
      <c r="L3198" s="55" t="s">
        <v>2744</v>
      </c>
      <c r="M3198" s="90">
        <v>9.08</v>
      </c>
      <c r="N3198" s="90">
        <v>8.67</v>
      </c>
      <c r="S3198" s="90">
        <v>1500</v>
      </c>
      <c r="U3198" s="55" t="s">
        <v>1818</v>
      </c>
      <c r="V3198" s="55" t="s">
        <v>1875</v>
      </c>
      <c r="Y3198" s="55" t="s">
        <v>3056</v>
      </c>
      <c r="AN3198" s="185" t="s">
        <v>2282</v>
      </c>
      <c r="AO3198" s="185" t="s">
        <v>5150</v>
      </c>
      <c r="AQ3198" s="55" t="s">
        <v>553</v>
      </c>
      <c r="AR3198" s="55" t="s">
        <v>1607</v>
      </c>
      <c r="AS3198" s="55" t="s">
        <v>132</v>
      </c>
      <c r="AU3198" s="181" t="s">
        <v>7494</v>
      </c>
      <c r="AV3198" s="185" t="s">
        <v>176</v>
      </c>
      <c r="AX3198" s="185" t="s">
        <v>176</v>
      </c>
      <c r="BK3198" s="55" t="s">
        <v>5976</v>
      </c>
      <c r="BM3198" s="192" t="s">
        <v>160</v>
      </c>
      <c r="BW3198" s="65">
        <v>1510</v>
      </c>
      <c r="BX3198" s="65">
        <v>1870</v>
      </c>
      <c r="BY3198" s="65">
        <v>390</v>
      </c>
      <c r="BZ3198" s="65">
        <v>390</v>
      </c>
      <c r="CB3198" s="66">
        <v>171</v>
      </c>
      <c r="CC3198" s="66">
        <v>206</v>
      </c>
      <c r="CE3198" s="65">
        <v>59</v>
      </c>
      <c r="CF3198" s="65">
        <v>59</v>
      </c>
      <c r="GP3198" s="292" t="s">
        <v>7494</v>
      </c>
    </row>
    <row r="3199" spans="1:198" x14ac:dyDescent="0.25">
      <c r="A3199" s="55">
        <v>3198</v>
      </c>
      <c r="B3199" s="12" t="s">
        <v>7067</v>
      </c>
      <c r="C3199" s="155">
        <v>152</v>
      </c>
      <c r="D3199" s="55" t="s">
        <v>4326</v>
      </c>
      <c r="E3199" s="90" t="s">
        <v>3057</v>
      </c>
      <c r="G3199" s="55" t="s">
        <v>3058</v>
      </c>
      <c r="H3199" s="55">
        <v>2003</v>
      </c>
      <c r="I3199" s="55">
        <v>1998</v>
      </c>
      <c r="J3199" s="55" t="s">
        <v>2619</v>
      </c>
      <c r="K3199" s="55" t="s">
        <v>3055</v>
      </c>
      <c r="L3199" s="55" t="s">
        <v>2744</v>
      </c>
      <c r="M3199" s="90">
        <v>9.08</v>
      </c>
      <c r="N3199" s="90">
        <v>8.67</v>
      </c>
      <c r="S3199" s="90">
        <v>1500</v>
      </c>
      <c r="U3199" s="55" t="s">
        <v>1818</v>
      </c>
      <c r="V3199" s="55" t="s">
        <v>1875</v>
      </c>
      <c r="Y3199" s="55" t="s">
        <v>3056</v>
      </c>
      <c r="AN3199" s="185" t="s">
        <v>3059</v>
      </c>
      <c r="AO3199" s="185" t="s">
        <v>5150</v>
      </c>
      <c r="AQ3199" s="55" t="s">
        <v>1547</v>
      </c>
      <c r="AR3199" s="55" t="s">
        <v>1607</v>
      </c>
      <c r="AS3199" s="55" t="s">
        <v>132</v>
      </c>
      <c r="AU3199" s="181" t="s">
        <v>7494</v>
      </c>
      <c r="AV3199" s="185" t="s">
        <v>176</v>
      </c>
      <c r="AX3199" s="185" t="s">
        <v>176</v>
      </c>
      <c r="BK3199" s="55" t="s">
        <v>5976</v>
      </c>
      <c r="BM3199" s="192" t="s">
        <v>160</v>
      </c>
      <c r="BW3199" s="65">
        <v>2730</v>
      </c>
      <c r="BX3199" s="65">
        <v>4530</v>
      </c>
      <c r="BY3199" s="65">
        <v>530</v>
      </c>
      <c r="BZ3199" s="65">
        <v>530</v>
      </c>
      <c r="CB3199" s="66">
        <v>141</v>
      </c>
      <c r="CC3199" s="66">
        <v>333</v>
      </c>
      <c r="CE3199" s="65">
        <v>55</v>
      </c>
      <c r="CF3199" s="65">
        <v>55</v>
      </c>
      <c r="GP3199" s="292" t="s">
        <v>7494</v>
      </c>
    </row>
    <row r="3200" spans="1:198" x14ac:dyDescent="0.25">
      <c r="A3200" s="55">
        <v>3199</v>
      </c>
      <c r="B3200" s="12" t="s">
        <v>7067</v>
      </c>
      <c r="C3200" s="155">
        <v>152</v>
      </c>
      <c r="D3200" s="55" t="s">
        <v>4327</v>
      </c>
      <c r="E3200" s="90" t="s">
        <v>3057</v>
      </c>
      <c r="G3200" s="55" t="s">
        <v>3058</v>
      </c>
      <c r="H3200" s="55">
        <v>2003</v>
      </c>
      <c r="I3200" s="55">
        <v>1998</v>
      </c>
      <c r="J3200" s="55" t="s">
        <v>2619</v>
      </c>
      <c r="K3200" s="55" t="s">
        <v>3055</v>
      </c>
      <c r="L3200" s="55" t="s">
        <v>2744</v>
      </c>
      <c r="M3200" s="90">
        <v>9.08</v>
      </c>
      <c r="N3200" s="90">
        <v>8.67</v>
      </c>
      <c r="S3200" s="90">
        <v>1500</v>
      </c>
      <c r="U3200" s="55" t="s">
        <v>1818</v>
      </c>
      <c r="V3200" s="55" t="s">
        <v>1875</v>
      </c>
      <c r="Y3200" s="55" t="s">
        <v>3056</v>
      </c>
      <c r="AN3200" s="185" t="s">
        <v>2282</v>
      </c>
      <c r="AO3200" s="185" t="s">
        <v>5150</v>
      </c>
      <c r="AQ3200" s="55" t="s">
        <v>553</v>
      </c>
      <c r="AR3200" s="55" t="s">
        <v>1607</v>
      </c>
      <c r="AS3200" s="55" t="s">
        <v>132</v>
      </c>
      <c r="AU3200" s="181" t="s">
        <v>7494</v>
      </c>
      <c r="AV3200" s="185" t="s">
        <v>176</v>
      </c>
      <c r="AX3200" s="185" t="s">
        <v>176</v>
      </c>
      <c r="BK3200" s="55" t="s">
        <v>5976</v>
      </c>
      <c r="BM3200" s="192" t="s">
        <v>160</v>
      </c>
      <c r="BW3200" s="65">
        <v>2730</v>
      </c>
      <c r="BX3200" s="65">
        <v>2950</v>
      </c>
      <c r="BY3200" s="65">
        <v>530</v>
      </c>
      <c r="BZ3200" s="65">
        <v>530</v>
      </c>
      <c r="CB3200" s="66">
        <v>141</v>
      </c>
      <c r="CC3200" s="66">
        <v>171</v>
      </c>
      <c r="CE3200" s="65">
        <v>55</v>
      </c>
      <c r="CF3200" s="65">
        <v>55</v>
      </c>
      <c r="GP3200" s="292" t="s">
        <v>7494</v>
      </c>
    </row>
    <row r="3201" spans="1:198" x14ac:dyDescent="0.25">
      <c r="A3201" s="55">
        <v>3200</v>
      </c>
      <c r="B3201" s="12" t="s">
        <v>7067</v>
      </c>
      <c r="C3201" s="155">
        <v>153</v>
      </c>
      <c r="D3201" s="55" t="s">
        <v>4328</v>
      </c>
      <c r="E3201" s="90" t="s">
        <v>3061</v>
      </c>
      <c r="G3201" s="55" t="s">
        <v>3060</v>
      </c>
      <c r="H3201" s="55">
        <v>1999</v>
      </c>
      <c r="I3201" s="55">
        <v>1984</v>
      </c>
      <c r="J3201" s="55" t="s">
        <v>3064</v>
      </c>
      <c r="K3201" s="55" t="s">
        <v>3063</v>
      </c>
      <c r="L3201" s="55" t="s">
        <v>3065</v>
      </c>
      <c r="M3201" s="90">
        <v>11.1</v>
      </c>
      <c r="N3201" s="90">
        <f>-4-23/60</f>
        <v>-4.3833333333333337</v>
      </c>
      <c r="O3201" s="90">
        <v>405</v>
      </c>
      <c r="S3201" s="90">
        <f>(900+1200)/2</f>
        <v>1050</v>
      </c>
      <c r="U3201" s="55" t="s">
        <v>1805</v>
      </c>
      <c r="V3201" s="55" t="s">
        <v>1816</v>
      </c>
      <c r="Y3201" s="55" t="s">
        <v>3062</v>
      </c>
      <c r="Z3201" s="55" t="s">
        <v>1367</v>
      </c>
      <c r="AA3201" s="90" t="s">
        <v>1687</v>
      </c>
      <c r="AM3201" s="55" t="s">
        <v>3066</v>
      </c>
      <c r="AN3201" s="185" t="s">
        <v>2282</v>
      </c>
      <c r="AO3201" s="185" t="s">
        <v>5150</v>
      </c>
      <c r="AQ3201" s="55" t="s">
        <v>553</v>
      </c>
      <c r="AR3201" s="55" t="s">
        <v>1607</v>
      </c>
      <c r="AS3201" s="55" t="s">
        <v>132</v>
      </c>
      <c r="AU3201" s="181" t="s">
        <v>7494</v>
      </c>
      <c r="AV3201" s="185" t="s">
        <v>176</v>
      </c>
      <c r="AX3201" s="185" t="s">
        <v>176</v>
      </c>
      <c r="BE3201" s="226" t="s">
        <v>3068</v>
      </c>
      <c r="BG3201" s="191" t="s">
        <v>176</v>
      </c>
      <c r="BH3201" s="226" t="s">
        <v>3068</v>
      </c>
      <c r="BI3201" s="191" t="s">
        <v>176</v>
      </c>
      <c r="BJ3201" s="55" t="s">
        <v>176</v>
      </c>
      <c r="BK3201" s="55" t="s">
        <v>5976</v>
      </c>
      <c r="BM3201" s="192" t="s">
        <v>3067</v>
      </c>
      <c r="CB3201" s="66">
        <v>2087</v>
      </c>
      <c r="CC3201" s="66">
        <v>2819</v>
      </c>
      <c r="CM3201" s="65">
        <v>0.41</v>
      </c>
      <c r="CN3201" s="65">
        <v>0.49</v>
      </c>
      <c r="DA3201" s="65" t="s">
        <v>4458</v>
      </c>
      <c r="DB3201" s="65">
        <v>0.34</v>
      </c>
      <c r="DC3201" s="65">
        <v>0.45</v>
      </c>
      <c r="DF3201" s="65" t="s">
        <v>360</v>
      </c>
      <c r="DG3201" s="65">
        <v>4.41</v>
      </c>
      <c r="DH3201" s="65">
        <v>3.44</v>
      </c>
      <c r="DK3201" s="65" t="s">
        <v>3072</v>
      </c>
      <c r="GP3201" s="292" t="s">
        <v>7494</v>
      </c>
    </row>
    <row r="3202" spans="1:198" x14ac:dyDescent="0.25">
      <c r="A3202" s="55">
        <v>3201</v>
      </c>
      <c r="B3202" s="12" t="s">
        <v>7067</v>
      </c>
      <c r="C3202" s="155">
        <v>153</v>
      </c>
      <c r="D3202" s="55" t="s">
        <v>4328</v>
      </c>
      <c r="E3202" s="90" t="s">
        <v>3061</v>
      </c>
      <c r="G3202" s="55" t="s">
        <v>3060</v>
      </c>
      <c r="H3202" s="55">
        <v>1999</v>
      </c>
      <c r="I3202" s="55">
        <v>1984</v>
      </c>
      <c r="J3202" s="55" t="s">
        <v>3064</v>
      </c>
      <c r="K3202" s="55" t="s">
        <v>3063</v>
      </c>
      <c r="L3202" s="55" t="s">
        <v>3065</v>
      </c>
      <c r="M3202" s="90">
        <v>11.1</v>
      </c>
      <c r="N3202" s="90">
        <f>-4-23/60</f>
        <v>-4.3833333333333337</v>
      </c>
      <c r="O3202" s="90">
        <v>405</v>
      </c>
      <c r="S3202" s="90">
        <f>(900+1200)/2</f>
        <v>1050</v>
      </c>
      <c r="U3202" s="55" t="s">
        <v>1805</v>
      </c>
      <c r="V3202" s="55" t="s">
        <v>1816</v>
      </c>
      <c r="Y3202" s="55" t="s">
        <v>3062</v>
      </c>
      <c r="Z3202" s="55" t="s">
        <v>1367</v>
      </c>
      <c r="AA3202" s="90" t="s">
        <v>1687</v>
      </c>
      <c r="AM3202" s="55" t="s">
        <v>3066</v>
      </c>
      <c r="AN3202" s="185" t="s">
        <v>2282</v>
      </c>
      <c r="AO3202" s="185" t="s">
        <v>5150</v>
      </c>
      <c r="AQ3202" s="55" t="s">
        <v>553</v>
      </c>
      <c r="AR3202" s="55" t="s">
        <v>1607</v>
      </c>
      <c r="AS3202" s="55" t="s">
        <v>132</v>
      </c>
      <c r="AU3202" s="181" t="s">
        <v>7494</v>
      </c>
      <c r="AV3202" s="185" t="s">
        <v>176</v>
      </c>
      <c r="AX3202" s="185" t="s">
        <v>176</v>
      </c>
      <c r="BE3202" s="226" t="s">
        <v>3068</v>
      </c>
      <c r="BG3202" s="191" t="s">
        <v>176</v>
      </c>
      <c r="BH3202" s="226" t="s">
        <v>3068</v>
      </c>
      <c r="BI3202" s="191" t="s">
        <v>176</v>
      </c>
      <c r="BJ3202" s="55" t="s">
        <v>176</v>
      </c>
      <c r="BK3202" s="55" t="s">
        <v>5976</v>
      </c>
      <c r="BM3202" s="192" t="s">
        <v>3067</v>
      </c>
      <c r="CB3202" s="66">
        <v>2087</v>
      </c>
      <c r="CC3202" s="66">
        <v>2375</v>
      </c>
      <c r="CM3202" s="65">
        <v>0.41</v>
      </c>
      <c r="CN3202" s="65">
        <v>0.75</v>
      </c>
      <c r="DA3202" s="65" t="s">
        <v>4458</v>
      </c>
      <c r="DB3202" s="65">
        <v>0.34</v>
      </c>
      <c r="DC3202" s="65">
        <v>0.6</v>
      </c>
      <c r="DF3202" s="65" t="s">
        <v>360</v>
      </c>
      <c r="DG3202" s="65">
        <v>4.41</v>
      </c>
      <c r="DH3202" s="65">
        <v>2.91</v>
      </c>
      <c r="DK3202" s="65" t="s">
        <v>3072</v>
      </c>
      <c r="GP3202" s="292" t="s">
        <v>7494</v>
      </c>
    </row>
    <row r="3203" spans="1:198" x14ac:dyDescent="0.25">
      <c r="A3203" s="55">
        <v>3202</v>
      </c>
      <c r="B3203" s="12" t="s">
        <v>7067</v>
      </c>
      <c r="C3203" s="155">
        <v>153</v>
      </c>
      <c r="D3203" s="55" t="s">
        <v>4328</v>
      </c>
      <c r="E3203" s="90" t="s">
        <v>3061</v>
      </c>
      <c r="G3203" s="55" t="s">
        <v>3060</v>
      </c>
      <c r="H3203" s="55">
        <v>1999</v>
      </c>
      <c r="I3203" s="55">
        <v>1984</v>
      </c>
      <c r="J3203" s="55" t="s">
        <v>3064</v>
      </c>
      <c r="K3203" s="55" t="s">
        <v>3063</v>
      </c>
      <c r="L3203" s="55" t="s">
        <v>3065</v>
      </c>
      <c r="M3203" s="90">
        <v>11.1</v>
      </c>
      <c r="N3203" s="90">
        <f>-4-23/60</f>
        <v>-4.3833333333333337</v>
      </c>
      <c r="O3203" s="90">
        <v>405</v>
      </c>
      <c r="S3203" s="90">
        <f>(900+1200)/2</f>
        <v>1050</v>
      </c>
      <c r="U3203" s="55" t="s">
        <v>1805</v>
      </c>
      <c r="V3203" s="55" t="s">
        <v>1816</v>
      </c>
      <c r="Y3203" s="55" t="s">
        <v>3062</v>
      </c>
      <c r="Z3203" s="55" t="s">
        <v>1367</v>
      </c>
      <c r="AA3203" s="90" t="s">
        <v>1687</v>
      </c>
      <c r="AM3203" s="55" t="s">
        <v>3066</v>
      </c>
      <c r="AN3203" s="185" t="s">
        <v>2666</v>
      </c>
      <c r="AO3203" s="185" t="s">
        <v>5150</v>
      </c>
      <c r="AQ3203" s="55" t="s">
        <v>553</v>
      </c>
      <c r="AR3203" s="55" t="s">
        <v>1607</v>
      </c>
      <c r="AS3203" s="55" t="s">
        <v>132</v>
      </c>
      <c r="AU3203" s="181" t="s">
        <v>7494</v>
      </c>
      <c r="AV3203" s="185" t="s">
        <v>176</v>
      </c>
      <c r="AX3203" s="185" t="s">
        <v>176</v>
      </c>
      <c r="BE3203" s="226" t="s">
        <v>3068</v>
      </c>
      <c r="BG3203" s="191" t="s">
        <v>176</v>
      </c>
      <c r="BH3203" s="226" t="s">
        <v>3068</v>
      </c>
      <c r="BI3203" s="191" t="s">
        <v>176</v>
      </c>
      <c r="BJ3203" s="55" t="s">
        <v>176</v>
      </c>
      <c r="BK3203" s="55" t="s">
        <v>5976</v>
      </c>
      <c r="BM3203" s="192" t="s">
        <v>3067</v>
      </c>
      <c r="CB3203" s="66">
        <v>2087</v>
      </c>
      <c r="CC3203" s="66">
        <v>2379</v>
      </c>
      <c r="CM3203" s="65">
        <v>0.41</v>
      </c>
      <c r="CN3203" s="65">
        <v>0.5</v>
      </c>
      <c r="DA3203" s="65" t="s">
        <v>4458</v>
      </c>
      <c r="DB3203" s="65">
        <v>0.34</v>
      </c>
      <c r="DC3203" s="65">
        <v>0.45</v>
      </c>
      <c r="DF3203" s="65" t="s">
        <v>360</v>
      </c>
      <c r="DG3203" s="65">
        <v>4.41</v>
      </c>
      <c r="DH3203" s="65">
        <v>3.21</v>
      </c>
      <c r="DK3203" s="65" t="s">
        <v>3072</v>
      </c>
      <c r="GP3203" s="292" t="s">
        <v>7494</v>
      </c>
    </row>
    <row r="3204" spans="1:198" x14ac:dyDescent="0.25">
      <c r="A3204" s="55">
        <v>3203</v>
      </c>
      <c r="B3204" s="12" t="s">
        <v>7067</v>
      </c>
      <c r="C3204" s="155">
        <v>153</v>
      </c>
      <c r="D3204" s="55" t="s">
        <v>4329</v>
      </c>
      <c r="E3204" s="90" t="s">
        <v>3061</v>
      </c>
      <c r="G3204" s="55" t="s">
        <v>3060</v>
      </c>
      <c r="H3204" s="55">
        <v>1999</v>
      </c>
      <c r="I3204" s="55">
        <v>1984</v>
      </c>
      <c r="J3204" s="55" t="s">
        <v>3064</v>
      </c>
      <c r="K3204" s="55" t="s">
        <v>3063</v>
      </c>
      <c r="L3204" s="55" t="s">
        <v>3065</v>
      </c>
      <c r="M3204" s="90">
        <v>11.1</v>
      </c>
      <c r="N3204" s="90">
        <f>-4-23/60</f>
        <v>-4.3833333333333337</v>
      </c>
      <c r="O3204" s="90">
        <v>405</v>
      </c>
      <c r="S3204" s="90">
        <f>(900+1200)/2</f>
        <v>1050</v>
      </c>
      <c r="U3204" s="55" t="s">
        <v>1805</v>
      </c>
      <c r="V3204" s="55" t="s">
        <v>1816</v>
      </c>
      <c r="Y3204" s="55" t="s">
        <v>3062</v>
      </c>
      <c r="Z3204" s="55" t="s">
        <v>1367</v>
      </c>
      <c r="AA3204" s="90" t="s">
        <v>1687</v>
      </c>
      <c r="AM3204" s="55" t="s">
        <v>3066</v>
      </c>
      <c r="AN3204" s="185" t="s">
        <v>2282</v>
      </c>
      <c r="AO3204" s="185" t="s">
        <v>5150</v>
      </c>
      <c r="AQ3204" s="55" t="s">
        <v>553</v>
      </c>
      <c r="AR3204" s="55" t="s">
        <v>1607</v>
      </c>
      <c r="AS3204" s="55" t="s">
        <v>132</v>
      </c>
      <c r="AU3204" s="181" t="s">
        <v>7494</v>
      </c>
      <c r="AV3204" s="185" t="s">
        <v>176</v>
      </c>
      <c r="AX3204" s="185" t="s">
        <v>176</v>
      </c>
      <c r="BE3204" s="226" t="s">
        <v>3069</v>
      </c>
      <c r="BF3204" s="191" t="s">
        <v>479</v>
      </c>
      <c r="BG3204" s="191" t="s">
        <v>479</v>
      </c>
      <c r="BH3204" s="226" t="s">
        <v>3069</v>
      </c>
      <c r="BI3204" s="191" t="s">
        <v>479</v>
      </c>
      <c r="BJ3204" s="55" t="s">
        <v>176</v>
      </c>
      <c r="BK3204" s="55" t="s">
        <v>5976</v>
      </c>
      <c r="BM3204" s="192" t="s">
        <v>3067</v>
      </c>
      <c r="CM3204" s="65">
        <v>0.53</v>
      </c>
      <c r="CN3204" s="65">
        <v>0.75</v>
      </c>
      <c r="DA3204" s="65" t="s">
        <v>4458</v>
      </c>
      <c r="DB3204" s="65">
        <v>0.56999999999999995</v>
      </c>
      <c r="DC3204" s="65">
        <v>0.32</v>
      </c>
      <c r="DF3204" s="65" t="s">
        <v>360</v>
      </c>
      <c r="DG3204" s="65">
        <v>5.83</v>
      </c>
      <c r="DH3204" s="65">
        <v>6.06</v>
      </c>
      <c r="DK3204" s="65" t="s">
        <v>3072</v>
      </c>
      <c r="GP3204" s="292" t="s">
        <v>7494</v>
      </c>
    </row>
    <row r="3205" spans="1:198" x14ac:dyDescent="0.25">
      <c r="A3205" s="55">
        <v>3204</v>
      </c>
      <c r="B3205" s="12" t="s">
        <v>7067</v>
      </c>
      <c r="C3205" s="155">
        <v>153</v>
      </c>
      <c r="D3205" s="55" t="s">
        <v>4329</v>
      </c>
      <c r="E3205" s="90" t="s">
        <v>3061</v>
      </c>
      <c r="G3205" s="55" t="s">
        <v>3060</v>
      </c>
      <c r="H3205" s="55">
        <v>1999</v>
      </c>
      <c r="I3205" s="55">
        <v>1984</v>
      </c>
      <c r="J3205" s="55" t="s">
        <v>3064</v>
      </c>
      <c r="K3205" s="55" t="s">
        <v>3063</v>
      </c>
      <c r="L3205" s="55" t="s">
        <v>3065</v>
      </c>
      <c r="M3205" s="90">
        <v>11.1</v>
      </c>
      <c r="N3205" s="90">
        <f>-4-23/60</f>
        <v>-4.3833333333333337</v>
      </c>
      <c r="O3205" s="90">
        <v>405</v>
      </c>
      <c r="S3205" s="90">
        <f>(900+1200)/2</f>
        <v>1050</v>
      </c>
      <c r="U3205" s="55" t="s">
        <v>1805</v>
      </c>
      <c r="V3205" s="55" t="s">
        <v>1816</v>
      </c>
      <c r="Y3205" s="55" t="s">
        <v>3062</v>
      </c>
      <c r="Z3205" s="55" t="s">
        <v>1367</v>
      </c>
      <c r="AA3205" s="90" t="s">
        <v>1687</v>
      </c>
      <c r="AM3205" s="55" t="s">
        <v>3066</v>
      </c>
      <c r="AN3205" s="185" t="s">
        <v>2282</v>
      </c>
      <c r="AO3205" s="185" t="s">
        <v>5150</v>
      </c>
      <c r="AQ3205" s="55" t="s">
        <v>553</v>
      </c>
      <c r="AR3205" s="55" t="s">
        <v>1607</v>
      </c>
      <c r="AS3205" s="55" t="s">
        <v>132</v>
      </c>
      <c r="AU3205" s="181" t="s">
        <v>7494</v>
      </c>
      <c r="AV3205" s="185" t="s">
        <v>176</v>
      </c>
      <c r="AX3205" s="185" t="s">
        <v>176</v>
      </c>
      <c r="BE3205" s="226" t="s">
        <v>3069</v>
      </c>
      <c r="BF3205" s="191" t="s">
        <v>479</v>
      </c>
      <c r="BG3205" s="191" t="s">
        <v>479</v>
      </c>
      <c r="BH3205" s="226" t="s">
        <v>3069</v>
      </c>
      <c r="BI3205" s="191" t="s">
        <v>479</v>
      </c>
      <c r="BJ3205" s="55" t="s">
        <v>176</v>
      </c>
      <c r="BK3205" s="55" t="s">
        <v>5976</v>
      </c>
      <c r="BM3205" s="192" t="s">
        <v>3067</v>
      </c>
      <c r="CM3205" s="65">
        <v>0.53</v>
      </c>
      <c r="CN3205" s="65">
        <v>0.56000000000000005</v>
      </c>
      <c r="DA3205" s="65" t="s">
        <v>4458</v>
      </c>
      <c r="DB3205" s="65">
        <v>0.56999999999999995</v>
      </c>
      <c r="DC3205" s="65">
        <v>0.55000000000000004</v>
      </c>
      <c r="DF3205" s="65" t="s">
        <v>360</v>
      </c>
      <c r="DG3205" s="65">
        <v>5.83</v>
      </c>
      <c r="DH3205" s="65">
        <v>2.91</v>
      </c>
      <c r="DK3205" s="65" t="s">
        <v>3072</v>
      </c>
      <c r="GP3205" s="292" t="s">
        <v>7494</v>
      </c>
    </row>
    <row r="3206" spans="1:198" x14ac:dyDescent="0.25">
      <c r="A3206" s="55">
        <v>3205</v>
      </c>
      <c r="B3206" s="12" t="s">
        <v>7067</v>
      </c>
      <c r="C3206" s="155">
        <v>153</v>
      </c>
      <c r="D3206" s="55" t="s">
        <v>4329</v>
      </c>
      <c r="E3206" s="90" t="s">
        <v>3061</v>
      </c>
      <c r="G3206" s="55" t="s">
        <v>3060</v>
      </c>
      <c r="H3206" s="55">
        <v>1999</v>
      </c>
      <c r="I3206" s="55">
        <v>1984</v>
      </c>
      <c r="J3206" s="55" t="s">
        <v>3064</v>
      </c>
      <c r="K3206" s="55" t="s">
        <v>3063</v>
      </c>
      <c r="L3206" s="55" t="s">
        <v>3065</v>
      </c>
      <c r="M3206" s="90">
        <v>11.1</v>
      </c>
      <c r="N3206" s="90">
        <f>-4-23/60</f>
        <v>-4.3833333333333337</v>
      </c>
      <c r="O3206" s="90">
        <v>405</v>
      </c>
      <c r="S3206" s="90">
        <f>(900+1200)/2</f>
        <v>1050</v>
      </c>
      <c r="U3206" s="55" t="s">
        <v>1805</v>
      </c>
      <c r="V3206" s="55" t="s">
        <v>1816</v>
      </c>
      <c r="Y3206" s="55" t="s">
        <v>3062</v>
      </c>
      <c r="Z3206" s="55" t="s">
        <v>1367</v>
      </c>
      <c r="AA3206" s="90" t="s">
        <v>1687</v>
      </c>
      <c r="AM3206" s="55" t="s">
        <v>3066</v>
      </c>
      <c r="AN3206" s="185" t="s">
        <v>2666</v>
      </c>
      <c r="AO3206" s="185" t="s">
        <v>5150</v>
      </c>
      <c r="AQ3206" s="55" t="s">
        <v>553</v>
      </c>
      <c r="AR3206" s="55" t="s">
        <v>1607</v>
      </c>
      <c r="AS3206" s="55" t="s">
        <v>132</v>
      </c>
      <c r="AU3206" s="181" t="s">
        <v>7494</v>
      </c>
      <c r="AV3206" s="185" t="s">
        <v>176</v>
      </c>
      <c r="AX3206" s="185" t="s">
        <v>176</v>
      </c>
      <c r="BE3206" s="226" t="s">
        <v>3069</v>
      </c>
      <c r="BF3206" s="191" t="s">
        <v>479</v>
      </c>
      <c r="BG3206" s="191" t="s">
        <v>479</v>
      </c>
      <c r="BH3206" s="226" t="s">
        <v>3069</v>
      </c>
      <c r="BI3206" s="191" t="s">
        <v>479</v>
      </c>
      <c r="BJ3206" s="55" t="s">
        <v>176</v>
      </c>
      <c r="BK3206" s="55" t="s">
        <v>5976</v>
      </c>
      <c r="BM3206" s="192" t="s">
        <v>3067</v>
      </c>
      <c r="CM3206" s="65">
        <v>0.53</v>
      </c>
      <c r="CN3206" s="65">
        <v>0.5</v>
      </c>
      <c r="DA3206" s="65" t="s">
        <v>4458</v>
      </c>
      <c r="DB3206" s="65">
        <v>0.56999999999999995</v>
      </c>
      <c r="DC3206" s="65">
        <v>0.42</v>
      </c>
      <c r="DF3206" s="65" t="s">
        <v>360</v>
      </c>
      <c r="DG3206" s="65">
        <v>5.83</v>
      </c>
      <c r="DH3206" s="65">
        <v>5.08</v>
      </c>
      <c r="DK3206" s="65" t="s">
        <v>3072</v>
      </c>
      <c r="GP3206" s="292" t="s">
        <v>7494</v>
      </c>
    </row>
    <row r="3207" spans="1:198" x14ac:dyDescent="0.25">
      <c r="A3207" s="55">
        <v>3206</v>
      </c>
      <c r="B3207" s="12" t="s">
        <v>7067</v>
      </c>
      <c r="C3207" s="155">
        <v>153</v>
      </c>
      <c r="D3207" s="55" t="s">
        <v>4330</v>
      </c>
      <c r="E3207" s="90" t="s">
        <v>3061</v>
      </c>
      <c r="G3207" s="55" t="s">
        <v>3060</v>
      </c>
      <c r="H3207" s="55">
        <v>1999</v>
      </c>
      <c r="I3207" s="55">
        <v>1984</v>
      </c>
      <c r="J3207" s="55" t="s">
        <v>3064</v>
      </c>
      <c r="K3207" s="55" t="s">
        <v>3063</v>
      </c>
      <c r="L3207" s="55" t="s">
        <v>3065</v>
      </c>
      <c r="M3207" s="90">
        <v>11.1</v>
      </c>
      <c r="N3207" s="90">
        <f>-4-23/60</f>
        <v>-4.3833333333333337</v>
      </c>
      <c r="O3207" s="90">
        <v>405</v>
      </c>
      <c r="S3207" s="90">
        <f>(900+1200)/2</f>
        <v>1050</v>
      </c>
      <c r="U3207" s="55" t="s">
        <v>1805</v>
      </c>
      <c r="V3207" s="55" t="s">
        <v>1816</v>
      </c>
      <c r="Y3207" s="55" t="s">
        <v>3062</v>
      </c>
      <c r="Z3207" s="55" t="s">
        <v>1367</v>
      </c>
      <c r="AA3207" s="90" t="s">
        <v>1687</v>
      </c>
      <c r="AM3207" s="55" t="s">
        <v>3066</v>
      </c>
      <c r="AN3207" s="185" t="s">
        <v>2282</v>
      </c>
      <c r="AO3207" s="185" t="s">
        <v>5150</v>
      </c>
      <c r="AQ3207" s="55" t="s">
        <v>553</v>
      </c>
      <c r="AR3207" s="55" t="s">
        <v>1607</v>
      </c>
      <c r="AS3207" s="55" t="s">
        <v>132</v>
      </c>
      <c r="AU3207" s="181" t="s">
        <v>7494</v>
      </c>
      <c r="AV3207" s="185" t="s">
        <v>176</v>
      </c>
      <c r="AX3207" s="185" t="s">
        <v>176</v>
      </c>
      <c r="BE3207" s="226" t="s">
        <v>3070</v>
      </c>
      <c r="BF3207" s="191" t="s">
        <v>479</v>
      </c>
      <c r="BG3207" s="191" t="s">
        <v>479</v>
      </c>
      <c r="BH3207" s="226" t="s">
        <v>3070</v>
      </c>
      <c r="BI3207" s="191" t="s">
        <v>479</v>
      </c>
      <c r="BJ3207" s="55" t="s">
        <v>176</v>
      </c>
      <c r="BK3207" s="55" t="s">
        <v>5976</v>
      </c>
      <c r="BM3207" s="192" t="s">
        <v>3067</v>
      </c>
      <c r="CM3207" s="65">
        <v>0.52</v>
      </c>
      <c r="CN3207" s="65">
        <v>0.48</v>
      </c>
      <c r="DA3207" s="65" t="s">
        <v>4458</v>
      </c>
      <c r="DB3207" s="65">
        <v>0.5</v>
      </c>
      <c r="DC3207" s="65">
        <v>0.42</v>
      </c>
      <c r="DF3207" s="65" t="s">
        <v>360</v>
      </c>
      <c r="DG3207" s="65">
        <v>7.4</v>
      </c>
      <c r="DH3207" s="65">
        <v>4.4800000000000004</v>
      </c>
      <c r="DK3207" s="65" t="s">
        <v>3072</v>
      </c>
      <c r="GP3207" s="292" t="s">
        <v>7494</v>
      </c>
    </row>
    <row r="3208" spans="1:198" x14ac:dyDescent="0.25">
      <c r="A3208" s="55">
        <v>3207</v>
      </c>
      <c r="B3208" s="12" t="s">
        <v>7067</v>
      </c>
      <c r="C3208" s="155">
        <v>153</v>
      </c>
      <c r="D3208" s="55" t="s">
        <v>4330</v>
      </c>
      <c r="E3208" s="90" t="s">
        <v>3061</v>
      </c>
      <c r="G3208" s="55" t="s">
        <v>3060</v>
      </c>
      <c r="H3208" s="55">
        <v>1999</v>
      </c>
      <c r="I3208" s="55">
        <v>1984</v>
      </c>
      <c r="J3208" s="55" t="s">
        <v>3064</v>
      </c>
      <c r="K3208" s="55" t="s">
        <v>3063</v>
      </c>
      <c r="L3208" s="55" t="s">
        <v>3065</v>
      </c>
      <c r="M3208" s="90">
        <v>11.1</v>
      </c>
      <c r="N3208" s="90">
        <f>-4-23/60</f>
        <v>-4.3833333333333337</v>
      </c>
      <c r="O3208" s="90">
        <v>405</v>
      </c>
      <c r="S3208" s="90">
        <f>(900+1200)/2</f>
        <v>1050</v>
      </c>
      <c r="U3208" s="55" t="s">
        <v>1805</v>
      </c>
      <c r="V3208" s="55" t="s">
        <v>1816</v>
      </c>
      <c r="Y3208" s="55" t="s">
        <v>3062</v>
      </c>
      <c r="Z3208" s="55" t="s">
        <v>1367</v>
      </c>
      <c r="AA3208" s="90" t="s">
        <v>1687</v>
      </c>
      <c r="AM3208" s="55" t="s">
        <v>3066</v>
      </c>
      <c r="AN3208" s="185" t="s">
        <v>2282</v>
      </c>
      <c r="AO3208" s="185" t="s">
        <v>5150</v>
      </c>
      <c r="AQ3208" s="55" t="s">
        <v>553</v>
      </c>
      <c r="AR3208" s="55" t="s">
        <v>1607</v>
      </c>
      <c r="AS3208" s="55" t="s">
        <v>132</v>
      </c>
      <c r="AU3208" s="181" t="s">
        <v>7494</v>
      </c>
      <c r="AV3208" s="185" t="s">
        <v>176</v>
      </c>
      <c r="AX3208" s="185" t="s">
        <v>176</v>
      </c>
      <c r="BE3208" s="226" t="s">
        <v>3070</v>
      </c>
      <c r="BF3208" s="191" t="s">
        <v>479</v>
      </c>
      <c r="BG3208" s="191" t="s">
        <v>479</v>
      </c>
      <c r="BH3208" s="226" t="s">
        <v>3070</v>
      </c>
      <c r="BI3208" s="191" t="s">
        <v>479</v>
      </c>
      <c r="BJ3208" s="55" t="s">
        <v>176</v>
      </c>
      <c r="BK3208" s="55" t="s">
        <v>5976</v>
      </c>
      <c r="BM3208" s="192" t="s">
        <v>3067</v>
      </c>
      <c r="CM3208" s="65">
        <v>0.52</v>
      </c>
      <c r="CN3208" s="65">
        <v>0.66</v>
      </c>
      <c r="DA3208" s="65" t="s">
        <v>4458</v>
      </c>
      <c r="DB3208" s="65">
        <v>0.5</v>
      </c>
      <c r="DC3208" s="65">
        <v>0.61</v>
      </c>
      <c r="DF3208" s="65" t="s">
        <v>360</v>
      </c>
      <c r="DG3208" s="65">
        <v>7.4</v>
      </c>
      <c r="DH3208" s="65">
        <v>4.63</v>
      </c>
      <c r="DK3208" s="65" t="s">
        <v>3072</v>
      </c>
      <c r="GP3208" s="292" t="s">
        <v>7494</v>
      </c>
    </row>
    <row r="3209" spans="1:198" x14ac:dyDescent="0.25">
      <c r="A3209" s="55">
        <v>3208</v>
      </c>
      <c r="B3209" s="12" t="s">
        <v>7067</v>
      </c>
      <c r="C3209" s="155">
        <v>153</v>
      </c>
      <c r="D3209" s="55" t="s">
        <v>4330</v>
      </c>
      <c r="E3209" s="90" t="s">
        <v>3061</v>
      </c>
      <c r="G3209" s="55" t="s">
        <v>3060</v>
      </c>
      <c r="H3209" s="55">
        <v>1999</v>
      </c>
      <c r="I3209" s="55">
        <v>1984</v>
      </c>
      <c r="J3209" s="55" t="s">
        <v>3064</v>
      </c>
      <c r="K3209" s="55" t="s">
        <v>3063</v>
      </c>
      <c r="L3209" s="55" t="s">
        <v>3065</v>
      </c>
      <c r="M3209" s="90">
        <v>11.1</v>
      </c>
      <c r="N3209" s="90">
        <f>-4-23/60</f>
        <v>-4.3833333333333337</v>
      </c>
      <c r="O3209" s="90">
        <v>405</v>
      </c>
      <c r="S3209" s="90">
        <f>(900+1200)/2</f>
        <v>1050</v>
      </c>
      <c r="U3209" s="55" t="s">
        <v>1805</v>
      </c>
      <c r="V3209" s="55" t="s">
        <v>1816</v>
      </c>
      <c r="Y3209" s="55" t="s">
        <v>3062</v>
      </c>
      <c r="Z3209" s="55" t="s">
        <v>1367</v>
      </c>
      <c r="AA3209" s="90" t="s">
        <v>1687</v>
      </c>
      <c r="AM3209" s="55" t="s">
        <v>3066</v>
      </c>
      <c r="AN3209" s="185" t="s">
        <v>2666</v>
      </c>
      <c r="AO3209" s="185" t="s">
        <v>5150</v>
      </c>
      <c r="AQ3209" s="55" t="s">
        <v>553</v>
      </c>
      <c r="AR3209" s="55" t="s">
        <v>1607</v>
      </c>
      <c r="AS3209" s="55" t="s">
        <v>132</v>
      </c>
      <c r="AU3209" s="181" t="s">
        <v>7494</v>
      </c>
      <c r="AV3209" s="185" t="s">
        <v>176</v>
      </c>
      <c r="AX3209" s="185" t="s">
        <v>176</v>
      </c>
      <c r="BE3209" s="226" t="s">
        <v>3070</v>
      </c>
      <c r="BF3209" s="191" t="s">
        <v>479</v>
      </c>
      <c r="BG3209" s="191" t="s">
        <v>479</v>
      </c>
      <c r="BH3209" s="226" t="s">
        <v>3070</v>
      </c>
      <c r="BI3209" s="191" t="s">
        <v>479</v>
      </c>
      <c r="BJ3209" s="55" t="s">
        <v>176</v>
      </c>
      <c r="BK3209" s="55" t="s">
        <v>5976</v>
      </c>
      <c r="BM3209" s="192" t="s">
        <v>3067</v>
      </c>
      <c r="CM3209" s="65">
        <v>0.52</v>
      </c>
      <c r="CN3209" s="65">
        <v>0.65</v>
      </c>
      <c r="DA3209" s="65" t="s">
        <v>4458</v>
      </c>
      <c r="DB3209" s="65">
        <v>0.5</v>
      </c>
      <c r="DC3209" s="65">
        <v>0.45</v>
      </c>
      <c r="DF3209" s="65" t="s">
        <v>360</v>
      </c>
      <c r="DG3209" s="65">
        <v>7.4</v>
      </c>
      <c r="DH3209" s="65">
        <v>4.26</v>
      </c>
      <c r="DK3209" s="65" t="s">
        <v>3072</v>
      </c>
      <c r="GP3209" s="292" t="s">
        <v>7494</v>
      </c>
    </row>
    <row r="3210" spans="1:198" x14ac:dyDescent="0.25">
      <c r="A3210" s="55">
        <v>3209</v>
      </c>
      <c r="B3210" s="12" t="s">
        <v>7067</v>
      </c>
      <c r="C3210" s="155">
        <v>153</v>
      </c>
      <c r="D3210" s="55" t="s">
        <v>4328</v>
      </c>
      <c r="E3210" s="90" t="s">
        <v>3061</v>
      </c>
      <c r="G3210" s="55" t="s">
        <v>3060</v>
      </c>
      <c r="H3210" s="55">
        <v>1999</v>
      </c>
      <c r="I3210" s="55">
        <v>1984</v>
      </c>
      <c r="J3210" s="55" t="s">
        <v>3064</v>
      </c>
      <c r="K3210" s="55" t="s">
        <v>3063</v>
      </c>
      <c r="L3210" s="55" t="s">
        <v>3065</v>
      </c>
      <c r="M3210" s="90">
        <v>11.1</v>
      </c>
      <c r="N3210" s="90">
        <f>-4-23/60</f>
        <v>-4.3833333333333337</v>
      </c>
      <c r="O3210" s="90">
        <v>405</v>
      </c>
      <c r="S3210" s="90">
        <f>(900+1200)/2</f>
        <v>1050</v>
      </c>
      <c r="U3210" s="55" t="s">
        <v>1805</v>
      </c>
      <c r="V3210" s="55" t="s">
        <v>1816</v>
      </c>
      <c r="Y3210" s="55" t="s">
        <v>3062</v>
      </c>
      <c r="Z3210" s="55" t="s">
        <v>1367</v>
      </c>
      <c r="AA3210" s="90" t="s">
        <v>1687</v>
      </c>
      <c r="AM3210" s="55" t="s">
        <v>3066</v>
      </c>
      <c r="AN3210" s="185" t="s">
        <v>2282</v>
      </c>
      <c r="AO3210" s="185" t="s">
        <v>5150</v>
      </c>
      <c r="AQ3210" s="55" t="s">
        <v>553</v>
      </c>
      <c r="AR3210" s="55" t="s">
        <v>1607</v>
      </c>
      <c r="AS3210" s="55" t="s">
        <v>132</v>
      </c>
      <c r="AU3210" s="181" t="s">
        <v>7494</v>
      </c>
      <c r="AV3210" s="185" t="s">
        <v>176</v>
      </c>
      <c r="AX3210" s="185" t="s">
        <v>176</v>
      </c>
      <c r="BE3210" s="226" t="s">
        <v>3068</v>
      </c>
      <c r="BG3210" s="191" t="s">
        <v>176</v>
      </c>
      <c r="BH3210" s="226" t="s">
        <v>3068</v>
      </c>
      <c r="BI3210" s="191" t="s">
        <v>176</v>
      </c>
      <c r="BJ3210" s="55" t="s">
        <v>176</v>
      </c>
      <c r="BK3210" s="55" t="s">
        <v>5976</v>
      </c>
      <c r="BM3210" s="192" t="s">
        <v>3071</v>
      </c>
      <c r="CB3210" s="66">
        <v>2171</v>
      </c>
      <c r="CC3210" s="66">
        <v>2493</v>
      </c>
      <c r="CM3210" s="65">
        <v>0.65</v>
      </c>
      <c r="CN3210" s="65">
        <v>0.54</v>
      </c>
      <c r="DA3210" s="65" t="s">
        <v>4458</v>
      </c>
      <c r="DB3210" s="65">
        <v>0.47</v>
      </c>
      <c r="DC3210" s="65">
        <v>0.52</v>
      </c>
      <c r="DF3210" s="65" t="s">
        <v>360</v>
      </c>
      <c r="DG3210" s="65">
        <v>3.21</v>
      </c>
      <c r="DH3210" s="65">
        <v>3.14</v>
      </c>
      <c r="DK3210" s="65" t="s">
        <v>3072</v>
      </c>
      <c r="GP3210" s="292" t="s">
        <v>7494</v>
      </c>
    </row>
    <row r="3211" spans="1:198" x14ac:dyDescent="0.25">
      <c r="A3211" s="55">
        <v>3210</v>
      </c>
      <c r="B3211" s="12" t="s">
        <v>7067</v>
      </c>
      <c r="C3211" s="155">
        <v>153</v>
      </c>
      <c r="D3211" s="55" t="s">
        <v>4328</v>
      </c>
      <c r="E3211" s="90" t="s">
        <v>3061</v>
      </c>
      <c r="G3211" s="55" t="s">
        <v>3060</v>
      </c>
      <c r="H3211" s="55">
        <v>1999</v>
      </c>
      <c r="I3211" s="55">
        <v>1984</v>
      </c>
      <c r="J3211" s="55" t="s">
        <v>3064</v>
      </c>
      <c r="K3211" s="55" t="s">
        <v>3063</v>
      </c>
      <c r="L3211" s="55" t="s">
        <v>3065</v>
      </c>
      <c r="M3211" s="90">
        <v>11.1</v>
      </c>
      <c r="N3211" s="90">
        <f>-4-23/60</f>
        <v>-4.3833333333333337</v>
      </c>
      <c r="O3211" s="90">
        <v>405</v>
      </c>
      <c r="S3211" s="90">
        <f>(900+1200)/2</f>
        <v>1050</v>
      </c>
      <c r="U3211" s="55" t="s">
        <v>1805</v>
      </c>
      <c r="V3211" s="55" t="s">
        <v>1816</v>
      </c>
      <c r="Y3211" s="55" t="s">
        <v>3062</v>
      </c>
      <c r="Z3211" s="55" t="s">
        <v>1367</v>
      </c>
      <c r="AA3211" s="90" t="s">
        <v>1687</v>
      </c>
      <c r="AM3211" s="55" t="s">
        <v>3066</v>
      </c>
      <c r="AN3211" s="185" t="s">
        <v>2282</v>
      </c>
      <c r="AO3211" s="185" t="s">
        <v>5150</v>
      </c>
      <c r="AQ3211" s="55" t="s">
        <v>553</v>
      </c>
      <c r="AR3211" s="55" t="s">
        <v>1607</v>
      </c>
      <c r="AS3211" s="55" t="s">
        <v>132</v>
      </c>
      <c r="AU3211" s="181" t="s">
        <v>7494</v>
      </c>
      <c r="AV3211" s="185" t="s">
        <v>176</v>
      </c>
      <c r="AX3211" s="185" t="s">
        <v>176</v>
      </c>
      <c r="BE3211" s="226" t="s">
        <v>3068</v>
      </c>
      <c r="BG3211" s="191" t="s">
        <v>176</v>
      </c>
      <c r="BH3211" s="226" t="s">
        <v>3068</v>
      </c>
      <c r="BI3211" s="191" t="s">
        <v>176</v>
      </c>
      <c r="BJ3211" s="55" t="s">
        <v>176</v>
      </c>
      <c r="BK3211" s="55" t="s">
        <v>5976</v>
      </c>
      <c r="BM3211" s="192" t="s">
        <v>3071</v>
      </c>
      <c r="CB3211" s="66">
        <v>2171</v>
      </c>
      <c r="CC3211" s="66">
        <v>2466</v>
      </c>
      <c r="CM3211" s="65">
        <v>0.65</v>
      </c>
      <c r="CN3211" s="65">
        <v>0.52</v>
      </c>
      <c r="DA3211" s="65" t="s">
        <v>4458</v>
      </c>
      <c r="DB3211" s="65">
        <v>0.47</v>
      </c>
      <c r="DC3211" s="65">
        <v>0.46</v>
      </c>
      <c r="DF3211" s="65" t="s">
        <v>360</v>
      </c>
      <c r="DG3211" s="65">
        <v>3.21</v>
      </c>
      <c r="DH3211" s="65">
        <v>3.44</v>
      </c>
      <c r="DK3211" s="65" t="s">
        <v>3072</v>
      </c>
      <c r="GP3211" s="292" t="s">
        <v>7494</v>
      </c>
    </row>
    <row r="3212" spans="1:198" x14ac:dyDescent="0.25">
      <c r="A3212" s="55">
        <v>3211</v>
      </c>
      <c r="B3212" s="12" t="s">
        <v>7067</v>
      </c>
      <c r="C3212" s="155">
        <v>153</v>
      </c>
      <c r="D3212" s="55" t="s">
        <v>4328</v>
      </c>
      <c r="E3212" s="90" t="s">
        <v>3061</v>
      </c>
      <c r="G3212" s="55" t="s">
        <v>3060</v>
      </c>
      <c r="H3212" s="55">
        <v>1999</v>
      </c>
      <c r="I3212" s="55">
        <v>1984</v>
      </c>
      <c r="J3212" s="55" t="s">
        <v>3064</v>
      </c>
      <c r="K3212" s="55" t="s">
        <v>3063</v>
      </c>
      <c r="L3212" s="55" t="s">
        <v>3065</v>
      </c>
      <c r="M3212" s="90">
        <v>11.1</v>
      </c>
      <c r="N3212" s="90">
        <f>-4-23/60</f>
        <v>-4.3833333333333337</v>
      </c>
      <c r="O3212" s="90">
        <v>405</v>
      </c>
      <c r="S3212" s="90">
        <f>(900+1200)/2</f>
        <v>1050</v>
      </c>
      <c r="U3212" s="55" t="s">
        <v>1805</v>
      </c>
      <c r="V3212" s="55" t="s">
        <v>1816</v>
      </c>
      <c r="Y3212" s="55" t="s">
        <v>3062</v>
      </c>
      <c r="Z3212" s="55" t="s">
        <v>1367</v>
      </c>
      <c r="AA3212" s="90" t="s">
        <v>1687</v>
      </c>
      <c r="AM3212" s="55" t="s">
        <v>3066</v>
      </c>
      <c r="AN3212" s="185" t="s">
        <v>2666</v>
      </c>
      <c r="AO3212" s="185" t="s">
        <v>5150</v>
      </c>
      <c r="AQ3212" s="55" t="s">
        <v>553</v>
      </c>
      <c r="AR3212" s="55" t="s">
        <v>1607</v>
      </c>
      <c r="AS3212" s="55" t="s">
        <v>132</v>
      </c>
      <c r="AU3212" s="181" t="s">
        <v>7494</v>
      </c>
      <c r="AV3212" s="185" t="s">
        <v>176</v>
      </c>
      <c r="AX3212" s="185" t="s">
        <v>176</v>
      </c>
      <c r="BE3212" s="226" t="s">
        <v>3068</v>
      </c>
      <c r="BG3212" s="191" t="s">
        <v>176</v>
      </c>
      <c r="BH3212" s="226" t="s">
        <v>3068</v>
      </c>
      <c r="BI3212" s="191" t="s">
        <v>176</v>
      </c>
      <c r="BJ3212" s="55" t="s">
        <v>176</v>
      </c>
      <c r="BK3212" s="55" t="s">
        <v>5976</v>
      </c>
      <c r="BM3212" s="192" t="s">
        <v>3071</v>
      </c>
      <c r="CB3212" s="66">
        <v>2171</v>
      </c>
      <c r="CC3212" s="66">
        <v>1986</v>
      </c>
      <c r="CM3212" s="65">
        <v>0.65</v>
      </c>
      <c r="CN3212" s="65">
        <v>0.66</v>
      </c>
      <c r="DA3212" s="65" t="s">
        <v>4458</v>
      </c>
      <c r="DB3212" s="65">
        <v>0.47</v>
      </c>
      <c r="DC3212" s="65">
        <v>0.4</v>
      </c>
      <c r="DF3212" s="65" t="s">
        <v>360</v>
      </c>
      <c r="DG3212" s="65">
        <v>3.21</v>
      </c>
      <c r="DH3212" s="65">
        <v>3.5</v>
      </c>
      <c r="DK3212" s="65" t="s">
        <v>3072</v>
      </c>
      <c r="GP3212" s="292" t="s">
        <v>7494</v>
      </c>
    </row>
    <row r="3213" spans="1:198" x14ac:dyDescent="0.25">
      <c r="A3213" s="55">
        <v>3212</v>
      </c>
      <c r="B3213" s="12" t="s">
        <v>7067</v>
      </c>
      <c r="C3213" s="155">
        <v>153</v>
      </c>
      <c r="D3213" s="55" t="s">
        <v>4329</v>
      </c>
      <c r="E3213" s="90" t="s">
        <v>3061</v>
      </c>
      <c r="G3213" s="55" t="s">
        <v>3060</v>
      </c>
      <c r="H3213" s="55">
        <v>1999</v>
      </c>
      <c r="I3213" s="55">
        <v>1984</v>
      </c>
      <c r="J3213" s="55" t="s">
        <v>3064</v>
      </c>
      <c r="K3213" s="55" t="s">
        <v>3063</v>
      </c>
      <c r="L3213" s="55" t="s">
        <v>3065</v>
      </c>
      <c r="M3213" s="90">
        <v>11.1</v>
      </c>
      <c r="N3213" s="90">
        <f>-4-23/60</f>
        <v>-4.3833333333333337</v>
      </c>
      <c r="O3213" s="90">
        <v>405</v>
      </c>
      <c r="S3213" s="90">
        <f>(900+1200)/2</f>
        <v>1050</v>
      </c>
      <c r="U3213" s="55" t="s">
        <v>1805</v>
      </c>
      <c r="V3213" s="55" t="s">
        <v>1816</v>
      </c>
      <c r="Y3213" s="55" t="s">
        <v>3062</v>
      </c>
      <c r="Z3213" s="55" t="s">
        <v>1367</v>
      </c>
      <c r="AA3213" s="90" t="s">
        <v>1687</v>
      </c>
      <c r="AM3213" s="55" t="s">
        <v>3066</v>
      </c>
      <c r="AN3213" s="185" t="s">
        <v>2282</v>
      </c>
      <c r="AO3213" s="185" t="s">
        <v>5150</v>
      </c>
      <c r="AQ3213" s="55" t="s">
        <v>553</v>
      </c>
      <c r="AR3213" s="55" t="s">
        <v>1607</v>
      </c>
      <c r="AS3213" s="55" t="s">
        <v>132</v>
      </c>
      <c r="AU3213" s="181" t="s">
        <v>7494</v>
      </c>
      <c r="AV3213" s="185" t="s">
        <v>176</v>
      </c>
      <c r="AX3213" s="185" t="s">
        <v>176</v>
      </c>
      <c r="BE3213" s="226" t="s">
        <v>3069</v>
      </c>
      <c r="BF3213" s="191" t="s">
        <v>479</v>
      </c>
      <c r="BG3213" s="191" t="s">
        <v>479</v>
      </c>
      <c r="BH3213" s="226" t="s">
        <v>3069</v>
      </c>
      <c r="BI3213" s="191" t="s">
        <v>479</v>
      </c>
      <c r="BJ3213" s="55" t="s">
        <v>176</v>
      </c>
      <c r="BK3213" s="55" t="s">
        <v>5976</v>
      </c>
      <c r="BM3213" s="192" t="s">
        <v>3071</v>
      </c>
      <c r="CM3213" s="65">
        <v>0.61</v>
      </c>
      <c r="CN3213" s="65">
        <v>0.56000000000000005</v>
      </c>
      <c r="DA3213" s="65" t="s">
        <v>4458</v>
      </c>
      <c r="DB3213" s="65">
        <v>0.5</v>
      </c>
      <c r="DC3213" s="65">
        <v>0.49</v>
      </c>
      <c r="DF3213" s="65" t="s">
        <v>360</v>
      </c>
      <c r="DG3213" s="65">
        <v>6.2</v>
      </c>
      <c r="DH3213" s="65">
        <v>4.18</v>
      </c>
      <c r="DK3213" s="65" t="s">
        <v>3072</v>
      </c>
      <c r="GP3213" s="292" t="s">
        <v>7494</v>
      </c>
    </row>
    <row r="3214" spans="1:198" x14ac:dyDescent="0.25">
      <c r="A3214" s="55">
        <v>3213</v>
      </c>
      <c r="B3214" s="12" t="s">
        <v>7067</v>
      </c>
      <c r="C3214" s="155">
        <v>153</v>
      </c>
      <c r="D3214" s="55" t="s">
        <v>4329</v>
      </c>
      <c r="E3214" s="90" t="s">
        <v>3061</v>
      </c>
      <c r="G3214" s="55" t="s">
        <v>3060</v>
      </c>
      <c r="H3214" s="55">
        <v>1999</v>
      </c>
      <c r="I3214" s="55">
        <v>1984</v>
      </c>
      <c r="J3214" s="55" t="s">
        <v>3064</v>
      </c>
      <c r="K3214" s="55" t="s">
        <v>3063</v>
      </c>
      <c r="L3214" s="55" t="s">
        <v>3065</v>
      </c>
      <c r="M3214" s="90">
        <v>11.1</v>
      </c>
      <c r="N3214" s="90">
        <f>-4-23/60</f>
        <v>-4.3833333333333337</v>
      </c>
      <c r="O3214" s="90">
        <v>405</v>
      </c>
      <c r="S3214" s="90">
        <f>(900+1200)/2</f>
        <v>1050</v>
      </c>
      <c r="U3214" s="55" t="s">
        <v>1805</v>
      </c>
      <c r="V3214" s="55" t="s">
        <v>1816</v>
      </c>
      <c r="Y3214" s="55" t="s">
        <v>3062</v>
      </c>
      <c r="Z3214" s="55" t="s">
        <v>1367</v>
      </c>
      <c r="AA3214" s="90" t="s">
        <v>1687</v>
      </c>
      <c r="AM3214" s="55" t="s">
        <v>3066</v>
      </c>
      <c r="AN3214" s="185" t="s">
        <v>2282</v>
      </c>
      <c r="AO3214" s="185" t="s">
        <v>5150</v>
      </c>
      <c r="AQ3214" s="55" t="s">
        <v>553</v>
      </c>
      <c r="AR3214" s="55" t="s">
        <v>1607</v>
      </c>
      <c r="AS3214" s="55" t="s">
        <v>132</v>
      </c>
      <c r="AU3214" s="181" t="s">
        <v>7494</v>
      </c>
      <c r="AV3214" s="185" t="s">
        <v>176</v>
      </c>
      <c r="AX3214" s="185" t="s">
        <v>176</v>
      </c>
      <c r="BE3214" s="226" t="s">
        <v>3069</v>
      </c>
      <c r="BF3214" s="191" t="s">
        <v>479</v>
      </c>
      <c r="BG3214" s="191" t="s">
        <v>479</v>
      </c>
      <c r="BH3214" s="226" t="s">
        <v>3069</v>
      </c>
      <c r="BI3214" s="191" t="s">
        <v>479</v>
      </c>
      <c r="BJ3214" s="55" t="s">
        <v>176</v>
      </c>
      <c r="BK3214" s="55" t="s">
        <v>5976</v>
      </c>
      <c r="BM3214" s="192" t="s">
        <v>3071</v>
      </c>
      <c r="CM3214" s="65">
        <v>0.61</v>
      </c>
      <c r="CN3214" s="65">
        <v>0.5</v>
      </c>
      <c r="DA3214" s="65" t="s">
        <v>4458</v>
      </c>
      <c r="DB3214" s="65">
        <v>0.5</v>
      </c>
      <c r="DC3214" s="65">
        <v>0.45</v>
      </c>
      <c r="DF3214" s="65" t="s">
        <v>360</v>
      </c>
      <c r="DG3214" s="65">
        <v>6.2</v>
      </c>
      <c r="DH3214" s="65">
        <v>3.6</v>
      </c>
      <c r="DK3214" s="65" t="s">
        <v>3072</v>
      </c>
      <c r="GP3214" s="292" t="s">
        <v>7494</v>
      </c>
    </row>
    <row r="3215" spans="1:198" x14ac:dyDescent="0.25">
      <c r="A3215" s="55">
        <v>3214</v>
      </c>
      <c r="B3215" s="12" t="s">
        <v>7067</v>
      </c>
      <c r="C3215" s="155">
        <v>153</v>
      </c>
      <c r="D3215" s="55" t="s">
        <v>4329</v>
      </c>
      <c r="E3215" s="90" t="s">
        <v>3061</v>
      </c>
      <c r="G3215" s="55" t="s">
        <v>3060</v>
      </c>
      <c r="H3215" s="55">
        <v>1999</v>
      </c>
      <c r="I3215" s="55">
        <v>1984</v>
      </c>
      <c r="J3215" s="55" t="s">
        <v>3064</v>
      </c>
      <c r="K3215" s="55" t="s">
        <v>3063</v>
      </c>
      <c r="L3215" s="55" t="s">
        <v>3065</v>
      </c>
      <c r="M3215" s="90">
        <v>11.1</v>
      </c>
      <c r="N3215" s="90">
        <f>-4-23/60</f>
        <v>-4.3833333333333337</v>
      </c>
      <c r="O3215" s="90">
        <v>405</v>
      </c>
      <c r="S3215" s="90">
        <f>(900+1200)/2</f>
        <v>1050</v>
      </c>
      <c r="U3215" s="55" t="s">
        <v>1805</v>
      </c>
      <c r="V3215" s="55" t="s">
        <v>1816</v>
      </c>
      <c r="Y3215" s="55" t="s">
        <v>3062</v>
      </c>
      <c r="Z3215" s="55" t="s">
        <v>1367</v>
      </c>
      <c r="AA3215" s="90" t="s">
        <v>1687</v>
      </c>
      <c r="AM3215" s="55" t="s">
        <v>3066</v>
      </c>
      <c r="AN3215" s="185" t="s">
        <v>2666</v>
      </c>
      <c r="AO3215" s="185" t="s">
        <v>5150</v>
      </c>
      <c r="AQ3215" s="55" t="s">
        <v>553</v>
      </c>
      <c r="AR3215" s="55" t="s">
        <v>1607</v>
      </c>
      <c r="AS3215" s="55" t="s">
        <v>132</v>
      </c>
      <c r="AU3215" s="181" t="s">
        <v>7494</v>
      </c>
      <c r="AV3215" s="185" t="s">
        <v>176</v>
      </c>
      <c r="AX3215" s="185" t="s">
        <v>176</v>
      </c>
      <c r="BE3215" s="226" t="s">
        <v>3069</v>
      </c>
      <c r="BF3215" s="191" t="s">
        <v>479</v>
      </c>
      <c r="BG3215" s="191" t="s">
        <v>479</v>
      </c>
      <c r="BH3215" s="226" t="s">
        <v>3069</v>
      </c>
      <c r="BI3215" s="191" t="s">
        <v>479</v>
      </c>
      <c r="BJ3215" s="55" t="s">
        <v>176</v>
      </c>
      <c r="BK3215" s="55" t="s">
        <v>5976</v>
      </c>
      <c r="BM3215" s="192" t="s">
        <v>3071</v>
      </c>
      <c r="CM3215" s="65">
        <v>0.61</v>
      </c>
      <c r="CN3215" s="65">
        <v>0.54</v>
      </c>
      <c r="DA3215" s="65" t="s">
        <v>4458</v>
      </c>
      <c r="DB3215" s="65">
        <v>0.5</v>
      </c>
      <c r="DC3215" s="65">
        <v>0.43</v>
      </c>
      <c r="DF3215" s="65" t="s">
        <v>360</v>
      </c>
      <c r="DG3215" s="65">
        <v>6.2</v>
      </c>
      <c r="DH3215" s="65">
        <v>3.59</v>
      </c>
      <c r="DK3215" s="65" t="s">
        <v>3072</v>
      </c>
      <c r="GP3215" s="292" t="s">
        <v>7494</v>
      </c>
    </row>
    <row r="3216" spans="1:198" x14ac:dyDescent="0.25">
      <c r="A3216" s="55">
        <v>3215</v>
      </c>
      <c r="B3216" s="12" t="s">
        <v>7067</v>
      </c>
      <c r="C3216" s="155">
        <v>153</v>
      </c>
      <c r="D3216" s="55" t="s">
        <v>4330</v>
      </c>
      <c r="E3216" s="90" t="s">
        <v>3061</v>
      </c>
      <c r="G3216" s="55" t="s">
        <v>3060</v>
      </c>
      <c r="H3216" s="55">
        <v>1999</v>
      </c>
      <c r="I3216" s="55">
        <v>1984</v>
      </c>
      <c r="J3216" s="55" t="s">
        <v>3064</v>
      </c>
      <c r="K3216" s="55" t="s">
        <v>3063</v>
      </c>
      <c r="L3216" s="55" t="s">
        <v>3065</v>
      </c>
      <c r="M3216" s="90">
        <v>11.1</v>
      </c>
      <c r="N3216" s="90">
        <f>-4-23/60</f>
        <v>-4.3833333333333337</v>
      </c>
      <c r="O3216" s="90">
        <v>405</v>
      </c>
      <c r="S3216" s="90">
        <f>(900+1200)/2</f>
        <v>1050</v>
      </c>
      <c r="U3216" s="55" t="s">
        <v>1805</v>
      </c>
      <c r="V3216" s="55" t="s">
        <v>1816</v>
      </c>
      <c r="Y3216" s="55" t="s">
        <v>3062</v>
      </c>
      <c r="Z3216" s="55" t="s">
        <v>1367</v>
      </c>
      <c r="AA3216" s="90" t="s">
        <v>1687</v>
      </c>
      <c r="AM3216" s="55" t="s">
        <v>3066</v>
      </c>
      <c r="AN3216" s="185" t="s">
        <v>2282</v>
      </c>
      <c r="AO3216" s="185" t="s">
        <v>5150</v>
      </c>
      <c r="AQ3216" s="55" t="s">
        <v>553</v>
      </c>
      <c r="AR3216" s="55" t="s">
        <v>1607</v>
      </c>
      <c r="AS3216" s="55" t="s">
        <v>132</v>
      </c>
      <c r="AU3216" s="181" t="s">
        <v>7494</v>
      </c>
      <c r="AV3216" s="185" t="s">
        <v>176</v>
      </c>
      <c r="AX3216" s="185" t="s">
        <v>176</v>
      </c>
      <c r="BE3216" s="226" t="s">
        <v>3070</v>
      </c>
      <c r="BF3216" s="191" t="s">
        <v>479</v>
      </c>
      <c r="BG3216" s="191" t="s">
        <v>479</v>
      </c>
      <c r="BH3216" s="226" t="s">
        <v>3070</v>
      </c>
      <c r="BI3216" s="191" t="s">
        <v>479</v>
      </c>
      <c r="BJ3216" s="55" t="s">
        <v>176</v>
      </c>
      <c r="BK3216" s="55" t="s">
        <v>5976</v>
      </c>
      <c r="BM3216" s="192" t="s">
        <v>3071</v>
      </c>
      <c r="CM3216" s="65">
        <v>0.67</v>
      </c>
      <c r="CN3216" s="65">
        <v>0.67</v>
      </c>
      <c r="DA3216" s="65" t="s">
        <v>4458</v>
      </c>
      <c r="DB3216" s="65">
        <v>0.56999999999999995</v>
      </c>
      <c r="DC3216" s="65">
        <v>0.65</v>
      </c>
      <c r="DF3216" s="65" t="s">
        <v>360</v>
      </c>
      <c r="DG3216" s="65">
        <v>7.9</v>
      </c>
      <c r="DH3216" s="65">
        <v>4.41</v>
      </c>
      <c r="DK3216" s="65" t="s">
        <v>3072</v>
      </c>
      <c r="GP3216" s="292" t="s">
        <v>7494</v>
      </c>
    </row>
    <row r="3217" spans="1:198" x14ac:dyDescent="0.25">
      <c r="A3217" s="55">
        <v>3216</v>
      </c>
      <c r="B3217" s="12" t="s">
        <v>7067</v>
      </c>
      <c r="C3217" s="155">
        <v>153</v>
      </c>
      <c r="D3217" s="55" t="s">
        <v>4330</v>
      </c>
      <c r="E3217" s="90" t="s">
        <v>3061</v>
      </c>
      <c r="G3217" s="55" t="s">
        <v>3060</v>
      </c>
      <c r="H3217" s="55">
        <v>1999</v>
      </c>
      <c r="I3217" s="55">
        <v>1984</v>
      </c>
      <c r="J3217" s="55" t="s">
        <v>3064</v>
      </c>
      <c r="K3217" s="55" t="s">
        <v>3063</v>
      </c>
      <c r="L3217" s="55" t="s">
        <v>3065</v>
      </c>
      <c r="M3217" s="90">
        <v>11.1</v>
      </c>
      <c r="N3217" s="90">
        <f>-4-23/60</f>
        <v>-4.3833333333333337</v>
      </c>
      <c r="O3217" s="90">
        <v>405</v>
      </c>
      <c r="S3217" s="90">
        <f>(900+1200)/2</f>
        <v>1050</v>
      </c>
      <c r="U3217" s="55" t="s">
        <v>1805</v>
      </c>
      <c r="V3217" s="55" t="s">
        <v>1816</v>
      </c>
      <c r="Y3217" s="55" t="s">
        <v>3062</v>
      </c>
      <c r="Z3217" s="55" t="s">
        <v>1367</v>
      </c>
      <c r="AA3217" s="90" t="s">
        <v>1687</v>
      </c>
      <c r="AM3217" s="55" t="s">
        <v>3066</v>
      </c>
      <c r="AN3217" s="185" t="s">
        <v>2282</v>
      </c>
      <c r="AO3217" s="185" t="s">
        <v>5150</v>
      </c>
      <c r="AQ3217" s="55" t="s">
        <v>553</v>
      </c>
      <c r="AR3217" s="55" t="s">
        <v>1607</v>
      </c>
      <c r="AS3217" s="55" t="s">
        <v>132</v>
      </c>
      <c r="AU3217" s="181" t="s">
        <v>7494</v>
      </c>
      <c r="AV3217" s="185" t="s">
        <v>176</v>
      </c>
      <c r="AX3217" s="185" t="s">
        <v>176</v>
      </c>
      <c r="BE3217" s="226" t="s">
        <v>3070</v>
      </c>
      <c r="BF3217" s="191" t="s">
        <v>479</v>
      </c>
      <c r="BG3217" s="191" t="s">
        <v>479</v>
      </c>
      <c r="BH3217" s="226" t="s">
        <v>3070</v>
      </c>
      <c r="BI3217" s="191" t="s">
        <v>479</v>
      </c>
      <c r="BJ3217" s="55" t="s">
        <v>176</v>
      </c>
      <c r="BK3217" s="55" t="s">
        <v>5976</v>
      </c>
      <c r="BM3217" s="192" t="s">
        <v>3071</v>
      </c>
      <c r="CM3217" s="65">
        <v>0.67</v>
      </c>
      <c r="CN3217" s="65">
        <v>0.61</v>
      </c>
      <c r="DA3217" s="65" t="s">
        <v>4458</v>
      </c>
      <c r="DB3217" s="65">
        <v>0.56999999999999995</v>
      </c>
      <c r="DC3217" s="65">
        <v>0.61</v>
      </c>
      <c r="DF3217" s="65" t="s">
        <v>360</v>
      </c>
      <c r="DG3217" s="65">
        <v>7.9</v>
      </c>
      <c r="DH3217" s="65">
        <v>4.5599999999999996</v>
      </c>
      <c r="DK3217" s="65" t="s">
        <v>3072</v>
      </c>
      <c r="GP3217" s="292" t="s">
        <v>7494</v>
      </c>
    </row>
    <row r="3218" spans="1:198" x14ac:dyDescent="0.25">
      <c r="A3218" s="55">
        <v>3217</v>
      </c>
      <c r="B3218" s="12" t="s">
        <v>7067</v>
      </c>
      <c r="C3218" s="155">
        <v>153</v>
      </c>
      <c r="D3218" s="55" t="s">
        <v>4330</v>
      </c>
      <c r="E3218" s="90" t="s">
        <v>3061</v>
      </c>
      <c r="G3218" s="55" t="s">
        <v>3060</v>
      </c>
      <c r="H3218" s="55">
        <v>1999</v>
      </c>
      <c r="I3218" s="55">
        <v>1984</v>
      </c>
      <c r="J3218" s="55" t="s">
        <v>3064</v>
      </c>
      <c r="K3218" s="55" t="s">
        <v>3063</v>
      </c>
      <c r="L3218" s="55" t="s">
        <v>3065</v>
      </c>
      <c r="M3218" s="90">
        <v>11.1</v>
      </c>
      <c r="N3218" s="90">
        <f>-4-23/60</f>
        <v>-4.3833333333333337</v>
      </c>
      <c r="O3218" s="90">
        <v>405</v>
      </c>
      <c r="S3218" s="90">
        <f>(900+1200)/2</f>
        <v>1050</v>
      </c>
      <c r="U3218" s="55" t="s">
        <v>1805</v>
      </c>
      <c r="V3218" s="55" t="s">
        <v>1816</v>
      </c>
      <c r="Y3218" s="55" t="s">
        <v>3062</v>
      </c>
      <c r="Z3218" s="55" t="s">
        <v>1367</v>
      </c>
      <c r="AA3218" s="90" t="s">
        <v>1687</v>
      </c>
      <c r="AM3218" s="55" t="s">
        <v>3066</v>
      </c>
      <c r="AN3218" s="185" t="s">
        <v>2666</v>
      </c>
      <c r="AO3218" s="185" t="s">
        <v>5150</v>
      </c>
      <c r="AQ3218" s="55" t="s">
        <v>553</v>
      </c>
      <c r="AR3218" s="55" t="s">
        <v>1607</v>
      </c>
      <c r="AS3218" s="55" t="s">
        <v>132</v>
      </c>
      <c r="AU3218" s="181" t="s">
        <v>7494</v>
      </c>
      <c r="AV3218" s="185" t="s">
        <v>176</v>
      </c>
      <c r="AX3218" s="185" t="s">
        <v>176</v>
      </c>
      <c r="BE3218" s="226" t="s">
        <v>3070</v>
      </c>
      <c r="BF3218" s="191" t="s">
        <v>479</v>
      </c>
      <c r="BG3218" s="191" t="s">
        <v>479</v>
      </c>
      <c r="BH3218" s="226" t="s">
        <v>3070</v>
      </c>
      <c r="BI3218" s="191" t="s">
        <v>479</v>
      </c>
      <c r="BJ3218" s="55" t="s">
        <v>176</v>
      </c>
      <c r="BK3218" s="55" t="s">
        <v>5976</v>
      </c>
      <c r="BM3218" s="192" t="s">
        <v>3071</v>
      </c>
      <c r="CM3218" s="65">
        <v>0.67</v>
      </c>
      <c r="CN3218" s="65">
        <v>0.53</v>
      </c>
      <c r="DA3218" s="65" t="s">
        <v>4458</v>
      </c>
      <c r="DB3218" s="65">
        <v>0.56999999999999995</v>
      </c>
      <c r="DC3218" s="65">
        <v>0.4</v>
      </c>
      <c r="DF3218" s="65" t="s">
        <v>360</v>
      </c>
      <c r="DG3218" s="65">
        <v>7.9</v>
      </c>
      <c r="DH3218" s="65">
        <v>5.01</v>
      </c>
      <c r="DK3218" s="65" t="s">
        <v>3072</v>
      </c>
      <c r="GP3218" s="292" t="s">
        <v>7494</v>
      </c>
    </row>
    <row r="3219" spans="1:198" x14ac:dyDescent="0.25">
      <c r="A3219" s="55">
        <v>3218</v>
      </c>
      <c r="B3219" s="12" t="s">
        <v>7067</v>
      </c>
      <c r="C3219" s="155">
        <v>153</v>
      </c>
      <c r="D3219" s="55" t="s">
        <v>4331</v>
      </c>
      <c r="E3219" s="90" t="s">
        <v>3061</v>
      </c>
      <c r="G3219" s="55" t="s">
        <v>3060</v>
      </c>
      <c r="H3219" s="55">
        <v>1999</v>
      </c>
      <c r="I3219" s="55">
        <v>1986</v>
      </c>
      <c r="J3219" s="55" t="s">
        <v>3064</v>
      </c>
      <c r="K3219" s="55" t="s">
        <v>3063</v>
      </c>
      <c r="L3219" s="55" t="s">
        <v>3065</v>
      </c>
      <c r="M3219" s="90">
        <v>11.1</v>
      </c>
      <c r="N3219" s="90">
        <f>-4-23/60</f>
        <v>-4.3833333333333337</v>
      </c>
      <c r="O3219" s="90">
        <v>405</v>
      </c>
      <c r="S3219" s="90">
        <f>(900+1200)/2</f>
        <v>1050</v>
      </c>
      <c r="U3219" s="55" t="s">
        <v>1816</v>
      </c>
      <c r="V3219" s="55" t="s">
        <v>1816</v>
      </c>
      <c r="Y3219" s="55" t="s">
        <v>3062</v>
      </c>
      <c r="Z3219" s="55" t="s">
        <v>1367</v>
      </c>
      <c r="AA3219" s="90" t="s">
        <v>1687</v>
      </c>
      <c r="AM3219" s="55" t="s">
        <v>3066</v>
      </c>
      <c r="AN3219" s="185" t="s">
        <v>2282</v>
      </c>
      <c r="AO3219" s="185" t="s">
        <v>5150</v>
      </c>
      <c r="AQ3219" s="55" t="s">
        <v>553</v>
      </c>
      <c r="AR3219" s="55" t="s">
        <v>1607</v>
      </c>
      <c r="AS3219" s="55" t="s">
        <v>132</v>
      </c>
      <c r="AU3219" s="181" t="s">
        <v>7494</v>
      </c>
      <c r="AV3219" s="185" t="s">
        <v>176</v>
      </c>
      <c r="AX3219" s="185" t="s">
        <v>176</v>
      </c>
      <c r="BE3219" s="226" t="s">
        <v>3073</v>
      </c>
      <c r="BF3219" s="191" t="s">
        <v>479</v>
      </c>
      <c r="BG3219" s="191" t="s">
        <v>479</v>
      </c>
      <c r="BH3219" s="226" t="s">
        <v>3073</v>
      </c>
      <c r="BI3219" s="191" t="s">
        <v>479</v>
      </c>
      <c r="BJ3219" s="55" t="s">
        <v>176</v>
      </c>
      <c r="BK3219" s="55" t="s">
        <v>5976</v>
      </c>
      <c r="BM3219" s="192" t="s">
        <v>3067</v>
      </c>
      <c r="CB3219" s="66">
        <v>1799</v>
      </c>
      <c r="CC3219" s="66">
        <v>3565</v>
      </c>
      <c r="CM3219" s="65">
        <v>0.37</v>
      </c>
      <c r="CN3219" s="65">
        <v>0.35</v>
      </c>
      <c r="DA3219" s="65" t="s">
        <v>4458</v>
      </c>
      <c r="DB3219" s="65">
        <v>0.36</v>
      </c>
      <c r="DC3219" s="65">
        <v>0.36</v>
      </c>
      <c r="DF3219" s="65" t="s">
        <v>360</v>
      </c>
      <c r="DG3219" s="65">
        <v>0.98</v>
      </c>
      <c r="DH3219" s="65">
        <v>2.75</v>
      </c>
      <c r="DK3219" s="65" t="s">
        <v>3072</v>
      </c>
      <c r="GP3219" s="292" t="s">
        <v>7494</v>
      </c>
    </row>
    <row r="3220" spans="1:198" x14ac:dyDescent="0.25">
      <c r="A3220" s="55">
        <v>3219</v>
      </c>
      <c r="B3220" s="12" t="s">
        <v>7067</v>
      </c>
      <c r="C3220" s="155">
        <v>153</v>
      </c>
      <c r="D3220" s="55" t="s">
        <v>4331</v>
      </c>
      <c r="E3220" s="90" t="s">
        <v>3061</v>
      </c>
      <c r="G3220" s="55" t="s">
        <v>3060</v>
      </c>
      <c r="H3220" s="55">
        <v>1999</v>
      </c>
      <c r="I3220" s="55">
        <v>1986</v>
      </c>
      <c r="J3220" s="55" t="s">
        <v>3064</v>
      </c>
      <c r="K3220" s="55" t="s">
        <v>3063</v>
      </c>
      <c r="L3220" s="55" t="s">
        <v>3065</v>
      </c>
      <c r="M3220" s="90">
        <v>11.1</v>
      </c>
      <c r="N3220" s="90">
        <f>-4-23/60</f>
        <v>-4.3833333333333337</v>
      </c>
      <c r="O3220" s="90">
        <v>405</v>
      </c>
      <c r="S3220" s="90">
        <f>(900+1200)/2</f>
        <v>1050</v>
      </c>
      <c r="U3220" s="55" t="s">
        <v>1816</v>
      </c>
      <c r="V3220" s="55" t="s">
        <v>1816</v>
      </c>
      <c r="Y3220" s="55" t="s">
        <v>3062</v>
      </c>
      <c r="Z3220" s="55" t="s">
        <v>1367</v>
      </c>
      <c r="AA3220" s="90" t="s">
        <v>1687</v>
      </c>
      <c r="AM3220" s="55" t="s">
        <v>3066</v>
      </c>
      <c r="AN3220" s="185" t="s">
        <v>2282</v>
      </c>
      <c r="AO3220" s="185" t="s">
        <v>5150</v>
      </c>
      <c r="AQ3220" s="55" t="s">
        <v>553</v>
      </c>
      <c r="AR3220" s="55" t="s">
        <v>1607</v>
      </c>
      <c r="AS3220" s="55" t="s">
        <v>132</v>
      </c>
      <c r="AU3220" s="181" t="s">
        <v>7494</v>
      </c>
      <c r="AV3220" s="185" t="s">
        <v>176</v>
      </c>
      <c r="AX3220" s="185" t="s">
        <v>176</v>
      </c>
      <c r="BE3220" s="226" t="s">
        <v>3073</v>
      </c>
      <c r="BF3220" s="191" t="s">
        <v>479</v>
      </c>
      <c r="BG3220" s="191" t="s">
        <v>479</v>
      </c>
      <c r="BH3220" s="226" t="s">
        <v>3073</v>
      </c>
      <c r="BI3220" s="191" t="s">
        <v>479</v>
      </c>
      <c r="BJ3220" s="55" t="s">
        <v>176</v>
      </c>
      <c r="BK3220" s="55" t="s">
        <v>5976</v>
      </c>
      <c r="BM3220" s="192" t="s">
        <v>3067</v>
      </c>
      <c r="CB3220" s="66">
        <v>1799</v>
      </c>
      <c r="CC3220" s="66">
        <v>2589</v>
      </c>
      <c r="CM3220" s="65">
        <v>0.37</v>
      </c>
      <c r="CN3220" s="65">
        <v>0.38</v>
      </c>
      <c r="DA3220" s="65" t="s">
        <v>4458</v>
      </c>
      <c r="DB3220" s="65">
        <v>0.36</v>
      </c>
      <c r="DC3220" s="65">
        <v>0.39</v>
      </c>
      <c r="DF3220" s="65" t="s">
        <v>360</v>
      </c>
      <c r="DG3220" s="65">
        <v>0.98</v>
      </c>
      <c r="DH3220" s="65">
        <v>2.42</v>
      </c>
      <c r="DK3220" s="65" t="s">
        <v>3072</v>
      </c>
      <c r="GP3220" s="292" t="s">
        <v>7494</v>
      </c>
    </row>
    <row r="3221" spans="1:198" x14ac:dyDescent="0.25">
      <c r="A3221" s="55">
        <v>3220</v>
      </c>
      <c r="B3221" s="12" t="s">
        <v>7067</v>
      </c>
      <c r="C3221" s="155">
        <v>153</v>
      </c>
      <c r="D3221" s="55" t="s">
        <v>4331</v>
      </c>
      <c r="E3221" s="90" t="s">
        <v>3061</v>
      </c>
      <c r="G3221" s="55" t="s">
        <v>3060</v>
      </c>
      <c r="H3221" s="55">
        <v>1999</v>
      </c>
      <c r="I3221" s="55">
        <v>1986</v>
      </c>
      <c r="J3221" s="55" t="s">
        <v>3064</v>
      </c>
      <c r="K3221" s="55" t="s">
        <v>3063</v>
      </c>
      <c r="L3221" s="55" t="s">
        <v>3065</v>
      </c>
      <c r="M3221" s="90">
        <v>11.1</v>
      </c>
      <c r="N3221" s="90">
        <f>-4-23/60</f>
        <v>-4.3833333333333337</v>
      </c>
      <c r="O3221" s="90">
        <v>405</v>
      </c>
      <c r="S3221" s="90">
        <f>(900+1200)/2</f>
        <v>1050</v>
      </c>
      <c r="U3221" s="55" t="s">
        <v>1816</v>
      </c>
      <c r="V3221" s="55" t="s">
        <v>1816</v>
      </c>
      <c r="Y3221" s="55" t="s">
        <v>3062</v>
      </c>
      <c r="Z3221" s="55" t="s">
        <v>1367</v>
      </c>
      <c r="AA3221" s="90" t="s">
        <v>1687</v>
      </c>
      <c r="AM3221" s="55" t="s">
        <v>3066</v>
      </c>
      <c r="AN3221" s="185" t="s">
        <v>2282</v>
      </c>
      <c r="AO3221" s="185" t="s">
        <v>5150</v>
      </c>
      <c r="AQ3221" s="55" t="s">
        <v>553</v>
      </c>
      <c r="AR3221" s="55" t="s">
        <v>1607</v>
      </c>
      <c r="AS3221" s="55" t="s">
        <v>132</v>
      </c>
      <c r="AU3221" s="181" t="s">
        <v>7494</v>
      </c>
      <c r="AV3221" s="185" t="s">
        <v>176</v>
      </c>
      <c r="AX3221" s="185" t="s">
        <v>176</v>
      </c>
      <c r="BE3221" s="226" t="s">
        <v>3073</v>
      </c>
      <c r="BF3221" s="191" t="s">
        <v>479</v>
      </c>
      <c r="BG3221" s="191" t="s">
        <v>479</v>
      </c>
      <c r="BH3221" s="226" t="s">
        <v>3073</v>
      </c>
      <c r="BI3221" s="191" t="s">
        <v>479</v>
      </c>
      <c r="BJ3221" s="55" t="s">
        <v>176</v>
      </c>
      <c r="BK3221" s="55" t="s">
        <v>5976</v>
      </c>
      <c r="BM3221" s="192" t="s">
        <v>3067</v>
      </c>
      <c r="CB3221" s="66">
        <v>1799</v>
      </c>
      <c r="CC3221" s="66">
        <v>1951</v>
      </c>
      <c r="CM3221" s="65">
        <v>0.37</v>
      </c>
      <c r="CN3221" s="65">
        <v>0.25</v>
      </c>
      <c r="DA3221" s="65" t="s">
        <v>4458</v>
      </c>
      <c r="DB3221" s="65">
        <v>0.36</v>
      </c>
      <c r="DC3221" s="65">
        <v>0.33</v>
      </c>
      <c r="DF3221" s="65" t="s">
        <v>360</v>
      </c>
      <c r="DG3221" s="65">
        <v>0.98</v>
      </c>
      <c r="DH3221" s="65">
        <v>1.76</v>
      </c>
      <c r="DK3221" s="65" t="s">
        <v>3072</v>
      </c>
      <c r="GP3221" s="292" t="s">
        <v>7494</v>
      </c>
    </row>
    <row r="3222" spans="1:198" x14ac:dyDescent="0.25">
      <c r="A3222" s="55">
        <v>3221</v>
      </c>
      <c r="B3222" s="12" t="s">
        <v>7067</v>
      </c>
      <c r="C3222" s="155">
        <v>153</v>
      </c>
      <c r="D3222" s="55" t="s">
        <v>4331</v>
      </c>
      <c r="E3222" s="90" t="s">
        <v>3061</v>
      </c>
      <c r="G3222" s="55" t="s">
        <v>3060</v>
      </c>
      <c r="H3222" s="55">
        <v>1999</v>
      </c>
      <c r="I3222" s="55">
        <v>1986</v>
      </c>
      <c r="J3222" s="55" t="s">
        <v>3064</v>
      </c>
      <c r="K3222" s="55" t="s">
        <v>3063</v>
      </c>
      <c r="L3222" s="55" t="s">
        <v>3065</v>
      </c>
      <c r="M3222" s="90">
        <v>11.1</v>
      </c>
      <c r="N3222" s="90">
        <f>-4-23/60</f>
        <v>-4.3833333333333337</v>
      </c>
      <c r="O3222" s="90">
        <v>405</v>
      </c>
      <c r="S3222" s="90">
        <f>(900+1200)/2</f>
        <v>1050</v>
      </c>
      <c r="U3222" s="55" t="s">
        <v>1816</v>
      </c>
      <c r="V3222" s="55" t="s">
        <v>1816</v>
      </c>
      <c r="Y3222" s="55" t="s">
        <v>3062</v>
      </c>
      <c r="Z3222" s="55" t="s">
        <v>1367</v>
      </c>
      <c r="AA3222" s="90" t="s">
        <v>1687</v>
      </c>
      <c r="AM3222" s="55" t="s">
        <v>3066</v>
      </c>
      <c r="AN3222" s="185" t="s">
        <v>2282</v>
      </c>
      <c r="AO3222" s="185" t="s">
        <v>5150</v>
      </c>
      <c r="AQ3222" s="55" t="s">
        <v>553</v>
      </c>
      <c r="AR3222" s="55" t="s">
        <v>1607</v>
      </c>
      <c r="AS3222" s="55" t="s">
        <v>132</v>
      </c>
      <c r="AU3222" s="181" t="s">
        <v>7494</v>
      </c>
      <c r="AV3222" s="185" t="s">
        <v>176</v>
      </c>
      <c r="AX3222" s="185" t="s">
        <v>176</v>
      </c>
      <c r="BE3222" s="226" t="s">
        <v>3073</v>
      </c>
      <c r="BF3222" s="191" t="s">
        <v>479</v>
      </c>
      <c r="BG3222" s="191" t="s">
        <v>479</v>
      </c>
      <c r="BH3222" s="226" t="s">
        <v>3073</v>
      </c>
      <c r="BI3222" s="191" t="s">
        <v>479</v>
      </c>
      <c r="BJ3222" s="55" t="s">
        <v>176</v>
      </c>
      <c r="BK3222" s="55" t="s">
        <v>5976</v>
      </c>
      <c r="BM3222" s="192" t="s">
        <v>3067</v>
      </c>
      <c r="CB3222" s="66">
        <v>1799</v>
      </c>
      <c r="CC3222" s="66">
        <v>1748</v>
      </c>
      <c r="CM3222" s="65">
        <v>0.37</v>
      </c>
      <c r="CN3222" s="65">
        <v>0.33</v>
      </c>
      <c r="DA3222" s="65" t="s">
        <v>4458</v>
      </c>
      <c r="DB3222" s="65">
        <v>0.36</v>
      </c>
      <c r="DC3222" s="65">
        <v>0.27</v>
      </c>
      <c r="DF3222" s="65" t="s">
        <v>360</v>
      </c>
      <c r="DG3222" s="65">
        <v>0.98</v>
      </c>
      <c r="DH3222" s="65">
        <v>2.38</v>
      </c>
      <c r="DK3222" s="65" t="s">
        <v>3072</v>
      </c>
      <c r="GP3222" s="292" t="s">
        <v>7494</v>
      </c>
    </row>
    <row r="3223" spans="1:198" x14ac:dyDescent="0.25">
      <c r="A3223" s="55">
        <v>3222</v>
      </c>
      <c r="B3223" s="12" t="s">
        <v>7067</v>
      </c>
      <c r="C3223" s="155">
        <v>153</v>
      </c>
      <c r="D3223" s="55" t="s">
        <v>4331</v>
      </c>
      <c r="E3223" s="90" t="s">
        <v>3061</v>
      </c>
      <c r="G3223" s="55" t="s">
        <v>3060</v>
      </c>
      <c r="H3223" s="55">
        <v>1999</v>
      </c>
      <c r="I3223" s="55">
        <v>1986</v>
      </c>
      <c r="J3223" s="55" t="s">
        <v>3064</v>
      </c>
      <c r="K3223" s="55" t="s">
        <v>3063</v>
      </c>
      <c r="L3223" s="55" t="s">
        <v>3065</v>
      </c>
      <c r="M3223" s="90">
        <v>11.1</v>
      </c>
      <c r="N3223" s="90">
        <f>-4-23/60</f>
        <v>-4.3833333333333337</v>
      </c>
      <c r="O3223" s="90">
        <v>405</v>
      </c>
      <c r="S3223" s="90">
        <f>(900+1200)/2</f>
        <v>1050</v>
      </c>
      <c r="U3223" s="55" t="s">
        <v>1816</v>
      </c>
      <c r="V3223" s="55" t="s">
        <v>1816</v>
      </c>
      <c r="Y3223" s="55" t="s">
        <v>3062</v>
      </c>
      <c r="Z3223" s="55" t="s">
        <v>1367</v>
      </c>
      <c r="AA3223" s="90" t="s">
        <v>1687</v>
      </c>
      <c r="AM3223" s="55" t="s">
        <v>3066</v>
      </c>
      <c r="AN3223" s="185" t="s">
        <v>2666</v>
      </c>
      <c r="AO3223" s="185" t="s">
        <v>5150</v>
      </c>
      <c r="AQ3223" s="55" t="s">
        <v>553</v>
      </c>
      <c r="AR3223" s="55" t="s">
        <v>1607</v>
      </c>
      <c r="AS3223" s="55" t="s">
        <v>132</v>
      </c>
      <c r="AU3223" s="181" t="s">
        <v>7494</v>
      </c>
      <c r="AV3223" s="185" t="s">
        <v>176</v>
      </c>
      <c r="AX3223" s="185" t="s">
        <v>176</v>
      </c>
      <c r="BE3223" s="226" t="s">
        <v>3073</v>
      </c>
      <c r="BF3223" s="191" t="s">
        <v>479</v>
      </c>
      <c r="BG3223" s="191" t="s">
        <v>479</v>
      </c>
      <c r="BH3223" s="226" t="s">
        <v>3073</v>
      </c>
      <c r="BI3223" s="191" t="s">
        <v>479</v>
      </c>
      <c r="BJ3223" s="55" t="s">
        <v>176</v>
      </c>
      <c r="BK3223" s="55" t="s">
        <v>5976</v>
      </c>
      <c r="BM3223" s="192" t="s">
        <v>3067</v>
      </c>
      <c r="CB3223" s="66">
        <v>1799</v>
      </c>
      <c r="CC3223" s="66">
        <v>2187</v>
      </c>
      <c r="CM3223" s="65">
        <v>0.37</v>
      </c>
      <c r="CN3223" s="65">
        <v>0.32</v>
      </c>
      <c r="DA3223" s="65" t="s">
        <v>4458</v>
      </c>
      <c r="DB3223" s="65">
        <v>0.36</v>
      </c>
      <c r="DC3223" s="65">
        <v>0.36</v>
      </c>
      <c r="DF3223" s="65" t="s">
        <v>360</v>
      </c>
      <c r="DG3223" s="65">
        <v>0.98</v>
      </c>
      <c r="DH3223" s="65">
        <v>1.68</v>
      </c>
      <c r="DK3223" s="65" t="s">
        <v>3072</v>
      </c>
      <c r="GP3223" s="292" t="s">
        <v>7494</v>
      </c>
    </row>
    <row r="3224" spans="1:198" x14ac:dyDescent="0.25">
      <c r="A3224" s="55">
        <v>3223</v>
      </c>
      <c r="B3224" s="12" t="s">
        <v>7067</v>
      </c>
      <c r="C3224" s="155">
        <v>153</v>
      </c>
      <c r="D3224" s="55" t="s">
        <v>4331</v>
      </c>
      <c r="E3224" s="90" t="s">
        <v>3061</v>
      </c>
      <c r="G3224" s="55" t="s">
        <v>3060</v>
      </c>
      <c r="H3224" s="55">
        <v>1999</v>
      </c>
      <c r="I3224" s="55">
        <v>1986</v>
      </c>
      <c r="J3224" s="55" t="s">
        <v>3064</v>
      </c>
      <c r="K3224" s="55" t="s">
        <v>3063</v>
      </c>
      <c r="L3224" s="55" t="s">
        <v>3065</v>
      </c>
      <c r="M3224" s="90">
        <v>11.1</v>
      </c>
      <c r="N3224" s="90">
        <f>-4-23/60</f>
        <v>-4.3833333333333337</v>
      </c>
      <c r="O3224" s="90">
        <v>405</v>
      </c>
      <c r="S3224" s="90">
        <f>(900+1200)/2</f>
        <v>1050</v>
      </c>
      <c r="U3224" s="55" t="s">
        <v>1816</v>
      </c>
      <c r="V3224" s="55" t="s">
        <v>1816</v>
      </c>
      <c r="Y3224" s="55" t="s">
        <v>3062</v>
      </c>
      <c r="Z3224" s="55" t="s">
        <v>1367</v>
      </c>
      <c r="AA3224" s="90" t="s">
        <v>1687</v>
      </c>
      <c r="AM3224" s="55" t="s">
        <v>3066</v>
      </c>
      <c r="AN3224" s="185" t="s">
        <v>2666</v>
      </c>
      <c r="AO3224" s="185" t="s">
        <v>5150</v>
      </c>
      <c r="AQ3224" s="55" t="s">
        <v>553</v>
      </c>
      <c r="AR3224" s="55" t="s">
        <v>1607</v>
      </c>
      <c r="AS3224" s="55" t="s">
        <v>132</v>
      </c>
      <c r="AU3224" s="181" t="s">
        <v>7494</v>
      </c>
      <c r="AV3224" s="185" t="s">
        <v>176</v>
      </c>
      <c r="AX3224" s="185" t="s">
        <v>176</v>
      </c>
      <c r="BE3224" s="226" t="s">
        <v>3073</v>
      </c>
      <c r="BF3224" s="191" t="s">
        <v>479</v>
      </c>
      <c r="BG3224" s="191" t="s">
        <v>479</v>
      </c>
      <c r="BH3224" s="226" t="s">
        <v>3073</v>
      </c>
      <c r="BI3224" s="191" t="s">
        <v>479</v>
      </c>
      <c r="BJ3224" s="55" t="s">
        <v>176</v>
      </c>
      <c r="BK3224" s="55" t="s">
        <v>5976</v>
      </c>
      <c r="BM3224" s="192" t="s">
        <v>3067</v>
      </c>
      <c r="CB3224" s="66">
        <v>1799</v>
      </c>
      <c r="CC3224" s="66">
        <v>2205</v>
      </c>
      <c r="CM3224" s="65">
        <v>0.37</v>
      </c>
      <c r="CN3224" s="65">
        <v>0.21</v>
      </c>
      <c r="DA3224" s="65" t="s">
        <v>4458</v>
      </c>
      <c r="DB3224" s="65">
        <v>0.36</v>
      </c>
      <c r="DC3224" s="65">
        <v>0.34</v>
      </c>
      <c r="DF3224" s="65" t="s">
        <v>360</v>
      </c>
      <c r="DG3224" s="65">
        <v>0.98</v>
      </c>
      <c r="DH3224" s="65">
        <v>1.23</v>
      </c>
      <c r="DK3224" s="65" t="s">
        <v>3072</v>
      </c>
      <c r="GP3224" s="292" t="s">
        <v>7494</v>
      </c>
    </row>
    <row r="3225" spans="1:198" x14ac:dyDescent="0.25">
      <c r="A3225" s="55">
        <v>3224</v>
      </c>
      <c r="B3225" s="12" t="s">
        <v>7067</v>
      </c>
      <c r="C3225" s="155">
        <v>153</v>
      </c>
      <c r="D3225" s="55" t="s">
        <v>4331</v>
      </c>
      <c r="E3225" s="90" t="s">
        <v>3061</v>
      </c>
      <c r="G3225" s="55" t="s">
        <v>3060</v>
      </c>
      <c r="H3225" s="55">
        <v>1999</v>
      </c>
      <c r="I3225" s="55">
        <v>1986</v>
      </c>
      <c r="J3225" s="55" t="s">
        <v>3064</v>
      </c>
      <c r="K3225" s="55" t="s">
        <v>3063</v>
      </c>
      <c r="L3225" s="55" t="s">
        <v>3065</v>
      </c>
      <c r="M3225" s="90">
        <v>11.1</v>
      </c>
      <c r="N3225" s="90">
        <f>-4-23/60</f>
        <v>-4.3833333333333337</v>
      </c>
      <c r="O3225" s="90">
        <v>405</v>
      </c>
      <c r="S3225" s="90">
        <f>(900+1200)/2</f>
        <v>1050</v>
      </c>
      <c r="U3225" s="55" t="s">
        <v>1816</v>
      </c>
      <c r="V3225" s="55" t="s">
        <v>1816</v>
      </c>
      <c r="Y3225" s="55" t="s">
        <v>3062</v>
      </c>
      <c r="Z3225" s="55" t="s">
        <v>1367</v>
      </c>
      <c r="AA3225" s="90" t="s">
        <v>1687</v>
      </c>
      <c r="AM3225" s="55" t="s">
        <v>3066</v>
      </c>
      <c r="AN3225" s="185" t="s">
        <v>2282</v>
      </c>
      <c r="AO3225" s="185" t="s">
        <v>5150</v>
      </c>
      <c r="AQ3225" s="55" t="s">
        <v>553</v>
      </c>
      <c r="AR3225" s="55" t="s">
        <v>1607</v>
      </c>
      <c r="AS3225" s="55" t="s">
        <v>132</v>
      </c>
      <c r="AU3225" s="181" t="s">
        <v>7494</v>
      </c>
      <c r="AV3225" s="185" t="s">
        <v>176</v>
      </c>
      <c r="AX3225" s="185" t="s">
        <v>176</v>
      </c>
      <c r="BE3225" s="226" t="s">
        <v>3074</v>
      </c>
      <c r="BF3225" s="191" t="s">
        <v>479</v>
      </c>
      <c r="BG3225" s="191" t="s">
        <v>479</v>
      </c>
      <c r="BH3225" s="226" t="s">
        <v>3074</v>
      </c>
      <c r="BI3225" s="191" t="s">
        <v>479</v>
      </c>
      <c r="BJ3225" s="55" t="s">
        <v>176</v>
      </c>
      <c r="BK3225" s="55" t="s">
        <v>5976</v>
      </c>
      <c r="BM3225" s="192" t="s">
        <v>3067</v>
      </c>
      <c r="CM3225" s="65">
        <v>0.33</v>
      </c>
      <c r="CN3225" s="65">
        <v>0.31</v>
      </c>
      <c r="DA3225" s="65" t="s">
        <v>4458</v>
      </c>
      <c r="DB3225" s="65">
        <v>0.34</v>
      </c>
      <c r="DC3225" s="65">
        <v>0.35</v>
      </c>
      <c r="DF3225" s="65" t="s">
        <v>360</v>
      </c>
      <c r="DG3225" s="65">
        <v>4.76</v>
      </c>
      <c r="DH3225" s="65">
        <v>2.34</v>
      </c>
      <c r="DK3225" s="65" t="s">
        <v>3072</v>
      </c>
      <c r="GP3225" s="292" t="s">
        <v>7494</v>
      </c>
    </row>
    <row r="3226" spans="1:198" x14ac:dyDescent="0.25">
      <c r="A3226" s="55">
        <v>3225</v>
      </c>
      <c r="B3226" s="12" t="s">
        <v>7067</v>
      </c>
      <c r="C3226" s="155">
        <v>153</v>
      </c>
      <c r="D3226" s="55" t="s">
        <v>4331</v>
      </c>
      <c r="E3226" s="90" t="s">
        <v>3061</v>
      </c>
      <c r="G3226" s="55" t="s">
        <v>3060</v>
      </c>
      <c r="H3226" s="55">
        <v>1999</v>
      </c>
      <c r="I3226" s="55">
        <v>1986</v>
      </c>
      <c r="J3226" s="55" t="s">
        <v>3064</v>
      </c>
      <c r="K3226" s="55" t="s">
        <v>3063</v>
      </c>
      <c r="L3226" s="55" t="s">
        <v>3065</v>
      </c>
      <c r="M3226" s="90">
        <v>11.1</v>
      </c>
      <c r="N3226" s="90">
        <f>-4-23/60</f>
        <v>-4.3833333333333337</v>
      </c>
      <c r="O3226" s="90">
        <v>405</v>
      </c>
      <c r="S3226" s="90">
        <f>(900+1200)/2</f>
        <v>1050</v>
      </c>
      <c r="U3226" s="55" t="s">
        <v>1816</v>
      </c>
      <c r="V3226" s="55" t="s">
        <v>1816</v>
      </c>
      <c r="Y3226" s="55" t="s">
        <v>3062</v>
      </c>
      <c r="Z3226" s="55" t="s">
        <v>1367</v>
      </c>
      <c r="AA3226" s="90" t="s">
        <v>1687</v>
      </c>
      <c r="AM3226" s="55" t="s">
        <v>3066</v>
      </c>
      <c r="AN3226" s="185" t="s">
        <v>2282</v>
      </c>
      <c r="AO3226" s="185" t="s">
        <v>5150</v>
      </c>
      <c r="AQ3226" s="55" t="s">
        <v>553</v>
      </c>
      <c r="AR3226" s="55" t="s">
        <v>1607</v>
      </c>
      <c r="AS3226" s="55" t="s">
        <v>132</v>
      </c>
      <c r="AU3226" s="181" t="s">
        <v>7494</v>
      </c>
      <c r="AV3226" s="185" t="s">
        <v>176</v>
      </c>
      <c r="AX3226" s="185" t="s">
        <v>176</v>
      </c>
      <c r="BE3226" s="226" t="s">
        <v>3074</v>
      </c>
      <c r="BF3226" s="191" t="s">
        <v>479</v>
      </c>
      <c r="BG3226" s="191" t="s">
        <v>479</v>
      </c>
      <c r="BH3226" s="226" t="s">
        <v>3074</v>
      </c>
      <c r="BI3226" s="191" t="s">
        <v>479</v>
      </c>
      <c r="BJ3226" s="55" t="s">
        <v>176</v>
      </c>
      <c r="BK3226" s="55" t="s">
        <v>5976</v>
      </c>
      <c r="BM3226" s="192" t="s">
        <v>3067</v>
      </c>
      <c r="CM3226" s="65">
        <v>0.33</v>
      </c>
      <c r="CN3226" s="65">
        <v>0.37</v>
      </c>
      <c r="DA3226" s="65" t="s">
        <v>4458</v>
      </c>
      <c r="DB3226" s="65">
        <v>0.34</v>
      </c>
      <c r="DC3226" s="65">
        <v>0.37</v>
      </c>
      <c r="DF3226" s="65" t="s">
        <v>360</v>
      </c>
      <c r="DG3226" s="65">
        <v>4.76</v>
      </c>
      <c r="DH3226" s="65">
        <v>4.0199999999999996</v>
      </c>
      <c r="DK3226" s="65" t="s">
        <v>3072</v>
      </c>
      <c r="GP3226" s="292" t="s">
        <v>7494</v>
      </c>
    </row>
    <row r="3227" spans="1:198" x14ac:dyDescent="0.25">
      <c r="A3227" s="55">
        <v>3226</v>
      </c>
      <c r="B3227" s="12" t="s">
        <v>7067</v>
      </c>
      <c r="C3227" s="155">
        <v>153</v>
      </c>
      <c r="D3227" s="55" t="s">
        <v>4331</v>
      </c>
      <c r="E3227" s="90" t="s">
        <v>3061</v>
      </c>
      <c r="G3227" s="55" t="s">
        <v>3060</v>
      </c>
      <c r="H3227" s="55">
        <v>1999</v>
      </c>
      <c r="I3227" s="55">
        <v>1986</v>
      </c>
      <c r="J3227" s="55" t="s">
        <v>3064</v>
      </c>
      <c r="K3227" s="55" t="s">
        <v>3063</v>
      </c>
      <c r="L3227" s="55" t="s">
        <v>3065</v>
      </c>
      <c r="M3227" s="90">
        <v>11.1</v>
      </c>
      <c r="N3227" s="90">
        <f>-4-23/60</f>
        <v>-4.3833333333333337</v>
      </c>
      <c r="O3227" s="90">
        <v>405</v>
      </c>
      <c r="S3227" s="90">
        <f>(900+1200)/2</f>
        <v>1050</v>
      </c>
      <c r="U3227" s="55" t="s">
        <v>1816</v>
      </c>
      <c r="V3227" s="55" t="s">
        <v>1816</v>
      </c>
      <c r="Y3227" s="55" t="s">
        <v>3062</v>
      </c>
      <c r="Z3227" s="55" t="s">
        <v>1367</v>
      </c>
      <c r="AA3227" s="90" t="s">
        <v>1687</v>
      </c>
      <c r="AM3227" s="55" t="s">
        <v>3066</v>
      </c>
      <c r="AN3227" s="185" t="s">
        <v>2282</v>
      </c>
      <c r="AO3227" s="185" t="s">
        <v>5150</v>
      </c>
      <c r="AQ3227" s="55" t="s">
        <v>553</v>
      </c>
      <c r="AR3227" s="55" t="s">
        <v>1607</v>
      </c>
      <c r="AS3227" s="55" t="s">
        <v>132</v>
      </c>
      <c r="AU3227" s="181" t="s">
        <v>7494</v>
      </c>
      <c r="AV3227" s="185" t="s">
        <v>176</v>
      </c>
      <c r="AX3227" s="185" t="s">
        <v>176</v>
      </c>
      <c r="BE3227" s="226" t="s">
        <v>3074</v>
      </c>
      <c r="BF3227" s="191" t="s">
        <v>479</v>
      </c>
      <c r="BG3227" s="191" t="s">
        <v>479</v>
      </c>
      <c r="BH3227" s="226" t="s">
        <v>3074</v>
      </c>
      <c r="BI3227" s="191" t="s">
        <v>479</v>
      </c>
      <c r="BJ3227" s="55" t="s">
        <v>176</v>
      </c>
      <c r="BK3227" s="55" t="s">
        <v>5976</v>
      </c>
      <c r="BM3227" s="192" t="s">
        <v>3067</v>
      </c>
      <c r="CM3227" s="65">
        <v>0.33</v>
      </c>
      <c r="CN3227" s="65">
        <v>0.32</v>
      </c>
      <c r="DA3227" s="65" t="s">
        <v>4458</v>
      </c>
      <c r="DB3227" s="65">
        <v>0.34</v>
      </c>
      <c r="DC3227" s="65">
        <v>0.33</v>
      </c>
      <c r="DF3227" s="65" t="s">
        <v>360</v>
      </c>
      <c r="DG3227" s="65">
        <v>4.76</v>
      </c>
      <c r="DH3227" s="65">
        <v>3.16</v>
      </c>
      <c r="DK3227" s="65" t="s">
        <v>3072</v>
      </c>
      <c r="GP3227" s="292" t="s">
        <v>7494</v>
      </c>
    </row>
    <row r="3228" spans="1:198" x14ac:dyDescent="0.25">
      <c r="A3228" s="55">
        <v>3227</v>
      </c>
      <c r="B3228" s="12" t="s">
        <v>7067</v>
      </c>
      <c r="C3228" s="155">
        <v>153</v>
      </c>
      <c r="D3228" s="55" t="s">
        <v>4331</v>
      </c>
      <c r="E3228" s="90" t="s">
        <v>3061</v>
      </c>
      <c r="G3228" s="55" t="s">
        <v>3060</v>
      </c>
      <c r="H3228" s="55">
        <v>1999</v>
      </c>
      <c r="I3228" s="55">
        <v>1986</v>
      </c>
      <c r="J3228" s="55" t="s">
        <v>3064</v>
      </c>
      <c r="K3228" s="55" t="s">
        <v>3063</v>
      </c>
      <c r="L3228" s="55" t="s">
        <v>3065</v>
      </c>
      <c r="M3228" s="90">
        <v>11.1</v>
      </c>
      <c r="N3228" s="90">
        <f>-4-23/60</f>
        <v>-4.3833333333333337</v>
      </c>
      <c r="O3228" s="90">
        <v>405</v>
      </c>
      <c r="S3228" s="90">
        <f>(900+1200)/2</f>
        <v>1050</v>
      </c>
      <c r="U3228" s="55" t="s">
        <v>1816</v>
      </c>
      <c r="V3228" s="55" t="s">
        <v>1816</v>
      </c>
      <c r="Y3228" s="55" t="s">
        <v>3062</v>
      </c>
      <c r="Z3228" s="55" t="s">
        <v>1367</v>
      </c>
      <c r="AA3228" s="90" t="s">
        <v>1687</v>
      </c>
      <c r="AM3228" s="55" t="s">
        <v>3066</v>
      </c>
      <c r="AN3228" s="185" t="s">
        <v>2282</v>
      </c>
      <c r="AO3228" s="185" t="s">
        <v>5150</v>
      </c>
      <c r="AQ3228" s="55" t="s">
        <v>553</v>
      </c>
      <c r="AR3228" s="55" t="s">
        <v>1607</v>
      </c>
      <c r="AS3228" s="55" t="s">
        <v>132</v>
      </c>
      <c r="AU3228" s="181" t="s">
        <v>7494</v>
      </c>
      <c r="AV3228" s="185" t="s">
        <v>176</v>
      </c>
      <c r="AX3228" s="185" t="s">
        <v>176</v>
      </c>
      <c r="BE3228" s="226" t="s">
        <v>3074</v>
      </c>
      <c r="BF3228" s="191" t="s">
        <v>479</v>
      </c>
      <c r="BG3228" s="191" t="s">
        <v>479</v>
      </c>
      <c r="BH3228" s="226" t="s">
        <v>3074</v>
      </c>
      <c r="BI3228" s="191" t="s">
        <v>479</v>
      </c>
      <c r="BJ3228" s="55" t="s">
        <v>176</v>
      </c>
      <c r="BK3228" s="55" t="s">
        <v>5976</v>
      </c>
      <c r="BM3228" s="192" t="s">
        <v>3067</v>
      </c>
      <c r="CM3228" s="65">
        <v>0.33</v>
      </c>
      <c r="CN3228" s="65">
        <v>0.35</v>
      </c>
      <c r="DA3228" s="65" t="s">
        <v>4458</v>
      </c>
      <c r="DB3228" s="65">
        <v>0.34</v>
      </c>
      <c r="DC3228" s="65">
        <v>0.26</v>
      </c>
      <c r="DF3228" s="65" t="s">
        <v>360</v>
      </c>
      <c r="DG3228" s="65">
        <v>4.76</v>
      </c>
      <c r="DH3228" s="65">
        <v>3.85</v>
      </c>
      <c r="DK3228" s="65" t="s">
        <v>3072</v>
      </c>
      <c r="GP3228" s="292" t="s">
        <v>7494</v>
      </c>
    </row>
    <row r="3229" spans="1:198" x14ac:dyDescent="0.25">
      <c r="A3229" s="55">
        <v>3228</v>
      </c>
      <c r="B3229" s="12" t="s">
        <v>7067</v>
      </c>
      <c r="C3229" s="155">
        <v>153</v>
      </c>
      <c r="D3229" s="55" t="s">
        <v>4331</v>
      </c>
      <c r="E3229" s="90" t="s">
        <v>3061</v>
      </c>
      <c r="G3229" s="55" t="s">
        <v>3060</v>
      </c>
      <c r="H3229" s="55">
        <v>1999</v>
      </c>
      <c r="I3229" s="55">
        <v>1986</v>
      </c>
      <c r="J3229" s="55" t="s">
        <v>3064</v>
      </c>
      <c r="K3229" s="55" t="s">
        <v>3063</v>
      </c>
      <c r="L3229" s="55" t="s">
        <v>3065</v>
      </c>
      <c r="M3229" s="90">
        <v>11.1</v>
      </c>
      <c r="N3229" s="90">
        <f>-4-23/60</f>
        <v>-4.3833333333333337</v>
      </c>
      <c r="O3229" s="90">
        <v>405</v>
      </c>
      <c r="S3229" s="90">
        <f>(900+1200)/2</f>
        <v>1050</v>
      </c>
      <c r="U3229" s="55" t="s">
        <v>1816</v>
      </c>
      <c r="V3229" s="55" t="s">
        <v>1816</v>
      </c>
      <c r="Y3229" s="55" t="s">
        <v>3062</v>
      </c>
      <c r="Z3229" s="55" t="s">
        <v>1367</v>
      </c>
      <c r="AA3229" s="90" t="s">
        <v>1687</v>
      </c>
      <c r="AM3229" s="55" t="s">
        <v>3066</v>
      </c>
      <c r="AN3229" s="185" t="s">
        <v>2666</v>
      </c>
      <c r="AO3229" s="185" t="s">
        <v>5150</v>
      </c>
      <c r="AQ3229" s="55" t="s">
        <v>553</v>
      </c>
      <c r="AR3229" s="55" t="s">
        <v>1607</v>
      </c>
      <c r="AS3229" s="55" t="s">
        <v>132</v>
      </c>
      <c r="AU3229" s="181" t="s">
        <v>7494</v>
      </c>
      <c r="AV3229" s="185" t="s">
        <v>176</v>
      </c>
      <c r="AX3229" s="185" t="s">
        <v>176</v>
      </c>
      <c r="BE3229" s="226" t="s">
        <v>3074</v>
      </c>
      <c r="BF3229" s="191" t="s">
        <v>479</v>
      </c>
      <c r="BG3229" s="191" t="s">
        <v>479</v>
      </c>
      <c r="BH3229" s="226" t="s">
        <v>3074</v>
      </c>
      <c r="BI3229" s="191" t="s">
        <v>479</v>
      </c>
      <c r="BJ3229" s="55" t="s">
        <v>176</v>
      </c>
      <c r="BK3229" s="55" t="s">
        <v>5976</v>
      </c>
      <c r="BM3229" s="192" t="s">
        <v>3067</v>
      </c>
      <c r="CM3229" s="65">
        <v>0.33</v>
      </c>
      <c r="CN3229" s="65">
        <v>0.38</v>
      </c>
      <c r="DA3229" s="65" t="s">
        <v>4458</v>
      </c>
      <c r="DB3229" s="65">
        <v>0.34</v>
      </c>
      <c r="DC3229" s="65">
        <v>0.34</v>
      </c>
      <c r="DF3229" s="65" t="s">
        <v>360</v>
      </c>
      <c r="DG3229" s="65">
        <v>4.76</v>
      </c>
      <c r="DH3229" s="65">
        <v>2.23</v>
      </c>
      <c r="DK3229" s="65" t="s">
        <v>3072</v>
      </c>
      <c r="GP3229" s="292" t="s">
        <v>7494</v>
      </c>
    </row>
    <row r="3230" spans="1:198" x14ac:dyDescent="0.25">
      <c r="A3230" s="55">
        <v>3229</v>
      </c>
      <c r="B3230" s="12" t="s">
        <v>7067</v>
      </c>
      <c r="C3230" s="155">
        <v>153</v>
      </c>
      <c r="D3230" s="55" t="s">
        <v>4331</v>
      </c>
      <c r="E3230" s="90" t="s">
        <v>3061</v>
      </c>
      <c r="G3230" s="55" t="s">
        <v>3060</v>
      </c>
      <c r="H3230" s="55">
        <v>1999</v>
      </c>
      <c r="I3230" s="55">
        <v>1986</v>
      </c>
      <c r="J3230" s="55" t="s">
        <v>3064</v>
      </c>
      <c r="K3230" s="55" t="s">
        <v>3063</v>
      </c>
      <c r="L3230" s="55" t="s">
        <v>3065</v>
      </c>
      <c r="M3230" s="90">
        <v>11.1</v>
      </c>
      <c r="N3230" s="90">
        <f>-4-23/60</f>
        <v>-4.3833333333333337</v>
      </c>
      <c r="O3230" s="90">
        <v>405</v>
      </c>
      <c r="S3230" s="90">
        <f>(900+1200)/2</f>
        <v>1050</v>
      </c>
      <c r="U3230" s="55" t="s">
        <v>1816</v>
      </c>
      <c r="V3230" s="55" t="s">
        <v>1816</v>
      </c>
      <c r="Y3230" s="55" t="s">
        <v>3062</v>
      </c>
      <c r="Z3230" s="55" t="s">
        <v>1367</v>
      </c>
      <c r="AA3230" s="90" t="s">
        <v>1687</v>
      </c>
      <c r="AM3230" s="55" t="s">
        <v>3066</v>
      </c>
      <c r="AN3230" s="185" t="s">
        <v>2666</v>
      </c>
      <c r="AO3230" s="185" t="s">
        <v>5150</v>
      </c>
      <c r="AQ3230" s="55" t="s">
        <v>553</v>
      </c>
      <c r="AR3230" s="55" t="s">
        <v>1607</v>
      </c>
      <c r="AS3230" s="55" t="s">
        <v>132</v>
      </c>
      <c r="AU3230" s="181" t="s">
        <v>7494</v>
      </c>
      <c r="AV3230" s="185" t="s">
        <v>176</v>
      </c>
      <c r="AX3230" s="185" t="s">
        <v>176</v>
      </c>
      <c r="BE3230" s="226" t="s">
        <v>3074</v>
      </c>
      <c r="BF3230" s="191" t="s">
        <v>479</v>
      </c>
      <c r="BG3230" s="191" t="s">
        <v>479</v>
      </c>
      <c r="BH3230" s="226" t="s">
        <v>3074</v>
      </c>
      <c r="BI3230" s="191" t="s">
        <v>479</v>
      </c>
      <c r="BJ3230" s="55" t="s">
        <v>176</v>
      </c>
      <c r="BK3230" s="55" t="s">
        <v>5976</v>
      </c>
      <c r="BM3230" s="192" t="s">
        <v>3067</v>
      </c>
      <c r="CM3230" s="65">
        <v>0.33</v>
      </c>
      <c r="CN3230" s="65">
        <v>0.33</v>
      </c>
      <c r="DA3230" s="65" t="s">
        <v>4458</v>
      </c>
      <c r="DB3230" s="65">
        <v>0.34</v>
      </c>
      <c r="DC3230" s="65">
        <v>0.33</v>
      </c>
      <c r="DF3230" s="65" t="s">
        <v>360</v>
      </c>
      <c r="DG3230" s="65">
        <v>4.76</v>
      </c>
      <c r="DH3230" s="65">
        <v>1.56</v>
      </c>
      <c r="DK3230" s="65" t="s">
        <v>3072</v>
      </c>
      <c r="GP3230" s="292" t="s">
        <v>7494</v>
      </c>
    </row>
    <row r="3231" spans="1:198" x14ac:dyDescent="0.25">
      <c r="A3231" s="55">
        <v>3230</v>
      </c>
      <c r="B3231" s="12" t="s">
        <v>7067</v>
      </c>
      <c r="C3231" s="155">
        <v>153</v>
      </c>
      <c r="D3231" s="55" t="s">
        <v>4332</v>
      </c>
      <c r="E3231" s="90" t="s">
        <v>3061</v>
      </c>
      <c r="G3231" s="55" t="s">
        <v>3060</v>
      </c>
      <c r="H3231" s="55">
        <v>1999</v>
      </c>
      <c r="I3231" s="55">
        <v>1986</v>
      </c>
      <c r="J3231" s="55" t="s">
        <v>3064</v>
      </c>
      <c r="K3231" s="55" t="s">
        <v>3063</v>
      </c>
      <c r="L3231" s="55" t="s">
        <v>3065</v>
      </c>
      <c r="M3231" s="90">
        <v>11.1</v>
      </c>
      <c r="N3231" s="90">
        <f>-4-23/60</f>
        <v>-4.3833333333333337</v>
      </c>
      <c r="O3231" s="90">
        <v>405</v>
      </c>
      <c r="S3231" s="90">
        <f>(900+1200)/2</f>
        <v>1050</v>
      </c>
      <c r="U3231" s="55" t="s">
        <v>1816</v>
      </c>
      <c r="V3231" s="55" t="s">
        <v>1816</v>
      </c>
      <c r="Y3231" s="55" t="s">
        <v>3062</v>
      </c>
      <c r="Z3231" s="55" t="s">
        <v>1367</v>
      </c>
      <c r="AA3231" s="90" t="s">
        <v>1687</v>
      </c>
      <c r="AM3231" s="55" t="s">
        <v>3066</v>
      </c>
      <c r="AN3231" s="185" t="s">
        <v>2282</v>
      </c>
      <c r="AO3231" s="185" t="s">
        <v>5150</v>
      </c>
      <c r="AQ3231" s="55" t="s">
        <v>553</v>
      </c>
      <c r="AR3231" s="55" t="s">
        <v>1607</v>
      </c>
      <c r="AS3231" s="55" t="s">
        <v>132</v>
      </c>
      <c r="AU3231" s="181" t="s">
        <v>7494</v>
      </c>
      <c r="AV3231" s="185" t="s">
        <v>176</v>
      </c>
      <c r="AX3231" s="185" t="s">
        <v>176</v>
      </c>
      <c r="BE3231" s="226" t="s">
        <v>3075</v>
      </c>
      <c r="BF3231" s="191" t="s">
        <v>479</v>
      </c>
      <c r="BG3231" s="191" t="s">
        <v>479</v>
      </c>
      <c r="BH3231" s="226" t="s">
        <v>3075</v>
      </c>
      <c r="BI3231" s="191" t="s">
        <v>479</v>
      </c>
      <c r="BJ3231" s="55" t="s">
        <v>176</v>
      </c>
      <c r="BK3231" s="55" t="s">
        <v>5976</v>
      </c>
      <c r="BM3231" s="192" t="s">
        <v>3067</v>
      </c>
      <c r="CM3231" s="65">
        <v>0.33</v>
      </c>
      <c r="CN3231" s="65">
        <v>0.34</v>
      </c>
      <c r="DA3231" s="65" t="s">
        <v>4458</v>
      </c>
      <c r="DB3231" s="65">
        <v>0.33</v>
      </c>
      <c r="DC3231" s="65">
        <v>0.38</v>
      </c>
      <c r="DF3231" s="65" t="s">
        <v>360</v>
      </c>
      <c r="DG3231" s="65">
        <v>2.09</v>
      </c>
      <c r="DH3231" s="65">
        <v>2.99</v>
      </c>
      <c r="DK3231" s="65" t="s">
        <v>3072</v>
      </c>
      <c r="GP3231" s="292" t="s">
        <v>7494</v>
      </c>
    </row>
    <row r="3232" spans="1:198" x14ac:dyDescent="0.25">
      <c r="A3232" s="55">
        <v>3231</v>
      </c>
      <c r="B3232" s="12" t="s">
        <v>7067</v>
      </c>
      <c r="C3232" s="155">
        <v>153</v>
      </c>
      <c r="D3232" s="55" t="s">
        <v>4332</v>
      </c>
      <c r="E3232" s="90" t="s">
        <v>3061</v>
      </c>
      <c r="G3232" s="55" t="s">
        <v>3060</v>
      </c>
      <c r="H3232" s="55">
        <v>1999</v>
      </c>
      <c r="I3232" s="55">
        <v>1986</v>
      </c>
      <c r="J3232" s="55" t="s">
        <v>3064</v>
      </c>
      <c r="K3232" s="55" t="s">
        <v>3063</v>
      </c>
      <c r="L3232" s="55" t="s">
        <v>3065</v>
      </c>
      <c r="M3232" s="90">
        <v>11.1</v>
      </c>
      <c r="N3232" s="90">
        <f>-4-23/60</f>
        <v>-4.3833333333333337</v>
      </c>
      <c r="O3232" s="90">
        <v>405</v>
      </c>
      <c r="S3232" s="90">
        <f>(900+1200)/2</f>
        <v>1050</v>
      </c>
      <c r="U3232" s="55" t="s">
        <v>1816</v>
      </c>
      <c r="V3232" s="55" t="s">
        <v>1816</v>
      </c>
      <c r="Y3232" s="55" t="s">
        <v>3062</v>
      </c>
      <c r="Z3232" s="55" t="s">
        <v>1367</v>
      </c>
      <c r="AA3232" s="90" t="s">
        <v>1687</v>
      </c>
      <c r="AM3232" s="55" t="s">
        <v>3066</v>
      </c>
      <c r="AN3232" s="185" t="s">
        <v>2282</v>
      </c>
      <c r="AO3232" s="185" t="s">
        <v>5150</v>
      </c>
      <c r="AQ3232" s="55" t="s">
        <v>553</v>
      </c>
      <c r="AR3232" s="55" t="s">
        <v>1607</v>
      </c>
      <c r="AS3232" s="55" t="s">
        <v>132</v>
      </c>
      <c r="AU3232" s="181" t="s">
        <v>7494</v>
      </c>
      <c r="AV3232" s="185" t="s">
        <v>176</v>
      </c>
      <c r="AX3232" s="185" t="s">
        <v>176</v>
      </c>
      <c r="BE3232" s="226" t="s">
        <v>3075</v>
      </c>
      <c r="BF3232" s="191" t="s">
        <v>479</v>
      </c>
      <c r="BG3232" s="191" t="s">
        <v>479</v>
      </c>
      <c r="BH3232" s="226" t="s">
        <v>3075</v>
      </c>
      <c r="BI3232" s="191" t="s">
        <v>479</v>
      </c>
      <c r="BJ3232" s="55" t="s">
        <v>176</v>
      </c>
      <c r="BK3232" s="55" t="s">
        <v>5976</v>
      </c>
      <c r="BM3232" s="192" t="s">
        <v>3067</v>
      </c>
      <c r="CM3232" s="65">
        <v>0.33</v>
      </c>
      <c r="CN3232" s="65">
        <v>0.35</v>
      </c>
      <c r="DA3232" s="65" t="s">
        <v>4458</v>
      </c>
      <c r="DB3232" s="65">
        <v>0.33</v>
      </c>
      <c r="DC3232" s="65">
        <v>0.33</v>
      </c>
      <c r="DF3232" s="65" t="s">
        <v>360</v>
      </c>
      <c r="DG3232" s="65">
        <v>2.09</v>
      </c>
      <c r="DH3232" s="65">
        <v>2.2599999999999998</v>
      </c>
      <c r="DK3232" s="65" t="s">
        <v>3072</v>
      </c>
      <c r="GP3232" s="292" t="s">
        <v>7494</v>
      </c>
    </row>
    <row r="3233" spans="1:198" x14ac:dyDescent="0.25">
      <c r="A3233" s="55">
        <v>3232</v>
      </c>
      <c r="B3233" s="12" t="s">
        <v>7067</v>
      </c>
      <c r="C3233" s="155">
        <v>153</v>
      </c>
      <c r="D3233" s="55" t="s">
        <v>4332</v>
      </c>
      <c r="E3233" s="90" t="s">
        <v>3061</v>
      </c>
      <c r="G3233" s="55" t="s">
        <v>3060</v>
      </c>
      <c r="H3233" s="55">
        <v>1999</v>
      </c>
      <c r="I3233" s="55">
        <v>1986</v>
      </c>
      <c r="J3233" s="55" t="s">
        <v>3064</v>
      </c>
      <c r="K3233" s="55" t="s">
        <v>3063</v>
      </c>
      <c r="L3233" s="55" t="s">
        <v>3065</v>
      </c>
      <c r="M3233" s="90">
        <v>11.1</v>
      </c>
      <c r="N3233" s="90">
        <f>-4-23/60</f>
        <v>-4.3833333333333337</v>
      </c>
      <c r="O3233" s="90">
        <v>405</v>
      </c>
      <c r="S3233" s="90">
        <f>(900+1200)/2</f>
        <v>1050</v>
      </c>
      <c r="U3233" s="55" t="s">
        <v>1816</v>
      </c>
      <c r="V3233" s="55" t="s">
        <v>1816</v>
      </c>
      <c r="Y3233" s="55" t="s">
        <v>3062</v>
      </c>
      <c r="Z3233" s="55" t="s">
        <v>1367</v>
      </c>
      <c r="AA3233" s="90" t="s">
        <v>1687</v>
      </c>
      <c r="AM3233" s="55" t="s">
        <v>3066</v>
      </c>
      <c r="AN3233" s="185" t="s">
        <v>2282</v>
      </c>
      <c r="AO3233" s="185" t="s">
        <v>5150</v>
      </c>
      <c r="AQ3233" s="55" t="s">
        <v>553</v>
      </c>
      <c r="AR3233" s="55" t="s">
        <v>1607</v>
      </c>
      <c r="AS3233" s="55" t="s">
        <v>132</v>
      </c>
      <c r="AU3233" s="181" t="s">
        <v>7494</v>
      </c>
      <c r="AV3233" s="185" t="s">
        <v>176</v>
      </c>
      <c r="AX3233" s="185" t="s">
        <v>176</v>
      </c>
      <c r="BE3233" s="226" t="s">
        <v>3075</v>
      </c>
      <c r="BF3233" s="191" t="s">
        <v>479</v>
      </c>
      <c r="BG3233" s="191" t="s">
        <v>479</v>
      </c>
      <c r="BH3233" s="226" t="s">
        <v>3075</v>
      </c>
      <c r="BI3233" s="191" t="s">
        <v>479</v>
      </c>
      <c r="BJ3233" s="55" t="s">
        <v>176</v>
      </c>
      <c r="BK3233" s="55" t="s">
        <v>5976</v>
      </c>
      <c r="BM3233" s="192" t="s">
        <v>3067</v>
      </c>
      <c r="CM3233" s="65">
        <v>0.33</v>
      </c>
      <c r="CN3233" s="65">
        <v>0.36</v>
      </c>
      <c r="DA3233" s="65" t="s">
        <v>4458</v>
      </c>
      <c r="DB3233" s="65">
        <v>0.33</v>
      </c>
      <c r="DC3233" s="65">
        <v>0.33</v>
      </c>
      <c r="DF3233" s="65" t="s">
        <v>360</v>
      </c>
      <c r="DG3233" s="65">
        <v>2.09</v>
      </c>
      <c r="DH3233" s="65">
        <v>2.09</v>
      </c>
      <c r="DK3233" s="65" t="s">
        <v>3072</v>
      </c>
      <c r="GP3233" s="292" t="s">
        <v>7494</v>
      </c>
    </row>
    <row r="3234" spans="1:198" x14ac:dyDescent="0.25">
      <c r="A3234" s="55">
        <v>3233</v>
      </c>
      <c r="B3234" s="12" t="s">
        <v>7067</v>
      </c>
      <c r="C3234" s="155">
        <v>153</v>
      </c>
      <c r="D3234" s="55" t="s">
        <v>4332</v>
      </c>
      <c r="E3234" s="90" t="s">
        <v>3061</v>
      </c>
      <c r="G3234" s="55" t="s">
        <v>3060</v>
      </c>
      <c r="H3234" s="55">
        <v>1999</v>
      </c>
      <c r="I3234" s="55">
        <v>1986</v>
      </c>
      <c r="J3234" s="55" t="s">
        <v>3064</v>
      </c>
      <c r="K3234" s="55" t="s">
        <v>3063</v>
      </c>
      <c r="L3234" s="55" t="s">
        <v>3065</v>
      </c>
      <c r="M3234" s="90">
        <v>11.1</v>
      </c>
      <c r="N3234" s="90">
        <f>-4-23/60</f>
        <v>-4.3833333333333337</v>
      </c>
      <c r="O3234" s="90">
        <v>405</v>
      </c>
      <c r="S3234" s="90">
        <f>(900+1200)/2</f>
        <v>1050</v>
      </c>
      <c r="U3234" s="55" t="s">
        <v>1816</v>
      </c>
      <c r="V3234" s="55" t="s">
        <v>1816</v>
      </c>
      <c r="Y3234" s="55" t="s">
        <v>3062</v>
      </c>
      <c r="Z3234" s="55" t="s">
        <v>1367</v>
      </c>
      <c r="AA3234" s="90" t="s">
        <v>1687</v>
      </c>
      <c r="AM3234" s="55" t="s">
        <v>3066</v>
      </c>
      <c r="AN3234" s="185" t="s">
        <v>2282</v>
      </c>
      <c r="AO3234" s="185" t="s">
        <v>5150</v>
      </c>
      <c r="AQ3234" s="55" t="s">
        <v>553</v>
      </c>
      <c r="AR3234" s="55" t="s">
        <v>1607</v>
      </c>
      <c r="AS3234" s="55" t="s">
        <v>132</v>
      </c>
      <c r="AU3234" s="181" t="s">
        <v>7494</v>
      </c>
      <c r="AV3234" s="185" t="s">
        <v>176</v>
      </c>
      <c r="AX3234" s="185" t="s">
        <v>176</v>
      </c>
      <c r="BE3234" s="226" t="s">
        <v>3075</v>
      </c>
      <c r="BF3234" s="191" t="s">
        <v>479</v>
      </c>
      <c r="BG3234" s="191" t="s">
        <v>479</v>
      </c>
      <c r="BH3234" s="226" t="s">
        <v>3075</v>
      </c>
      <c r="BI3234" s="191" t="s">
        <v>479</v>
      </c>
      <c r="BJ3234" s="55" t="s">
        <v>176</v>
      </c>
      <c r="BK3234" s="55" t="s">
        <v>5976</v>
      </c>
      <c r="BM3234" s="192" t="s">
        <v>3067</v>
      </c>
      <c r="CM3234" s="65">
        <v>0.33</v>
      </c>
      <c r="CN3234" s="65">
        <v>0.32</v>
      </c>
      <c r="DA3234" s="65" t="s">
        <v>4458</v>
      </c>
      <c r="DB3234" s="65">
        <v>0.33</v>
      </c>
      <c r="DC3234" s="65">
        <v>0.27</v>
      </c>
      <c r="DF3234" s="65" t="s">
        <v>360</v>
      </c>
      <c r="DG3234" s="65">
        <v>2.09</v>
      </c>
      <c r="DH3234" s="65">
        <v>2.87</v>
      </c>
      <c r="DK3234" s="65" t="s">
        <v>3072</v>
      </c>
      <c r="GP3234" s="292" t="s">
        <v>7494</v>
      </c>
    </row>
    <row r="3235" spans="1:198" x14ac:dyDescent="0.25">
      <c r="A3235" s="55">
        <v>3234</v>
      </c>
      <c r="B3235" s="12" t="s">
        <v>7067</v>
      </c>
      <c r="C3235" s="155">
        <v>153</v>
      </c>
      <c r="D3235" s="55" t="s">
        <v>4332</v>
      </c>
      <c r="E3235" s="90" t="s">
        <v>3061</v>
      </c>
      <c r="G3235" s="55" t="s">
        <v>3060</v>
      </c>
      <c r="H3235" s="55">
        <v>1999</v>
      </c>
      <c r="I3235" s="55">
        <v>1986</v>
      </c>
      <c r="J3235" s="55" t="s">
        <v>3064</v>
      </c>
      <c r="K3235" s="55" t="s">
        <v>3063</v>
      </c>
      <c r="L3235" s="55" t="s">
        <v>3065</v>
      </c>
      <c r="M3235" s="90">
        <v>11.1</v>
      </c>
      <c r="N3235" s="90">
        <f>-4-23/60</f>
        <v>-4.3833333333333337</v>
      </c>
      <c r="O3235" s="90">
        <v>405</v>
      </c>
      <c r="S3235" s="90">
        <f>(900+1200)/2</f>
        <v>1050</v>
      </c>
      <c r="U3235" s="55" t="s">
        <v>1816</v>
      </c>
      <c r="V3235" s="55" t="s">
        <v>1816</v>
      </c>
      <c r="Y3235" s="55" t="s">
        <v>3062</v>
      </c>
      <c r="Z3235" s="55" t="s">
        <v>1367</v>
      </c>
      <c r="AA3235" s="90" t="s">
        <v>1687</v>
      </c>
      <c r="AM3235" s="55" t="s">
        <v>3066</v>
      </c>
      <c r="AN3235" s="185" t="s">
        <v>2666</v>
      </c>
      <c r="AO3235" s="185" t="s">
        <v>5150</v>
      </c>
      <c r="AQ3235" s="55" t="s">
        <v>553</v>
      </c>
      <c r="AR3235" s="55" t="s">
        <v>1607</v>
      </c>
      <c r="AS3235" s="55" t="s">
        <v>132</v>
      </c>
      <c r="AU3235" s="181" t="s">
        <v>7494</v>
      </c>
      <c r="AV3235" s="185" t="s">
        <v>176</v>
      </c>
      <c r="AX3235" s="185" t="s">
        <v>176</v>
      </c>
      <c r="BE3235" s="226" t="s">
        <v>3075</v>
      </c>
      <c r="BF3235" s="191" t="s">
        <v>479</v>
      </c>
      <c r="BG3235" s="191" t="s">
        <v>479</v>
      </c>
      <c r="BH3235" s="226" t="s">
        <v>3075</v>
      </c>
      <c r="BI3235" s="191" t="s">
        <v>479</v>
      </c>
      <c r="BJ3235" s="55" t="s">
        <v>176</v>
      </c>
      <c r="BK3235" s="55" t="s">
        <v>5976</v>
      </c>
      <c r="BM3235" s="192" t="s">
        <v>3067</v>
      </c>
      <c r="CM3235" s="65">
        <v>0.33</v>
      </c>
      <c r="CN3235" s="65">
        <v>0.38</v>
      </c>
      <c r="DA3235" s="65" t="s">
        <v>4458</v>
      </c>
      <c r="DB3235" s="65">
        <v>0.33</v>
      </c>
      <c r="DC3235" s="65">
        <v>0.34</v>
      </c>
      <c r="DF3235" s="65" t="s">
        <v>360</v>
      </c>
      <c r="DG3235" s="65">
        <v>2.09</v>
      </c>
      <c r="DH3235" s="65">
        <v>0.82</v>
      </c>
      <c r="DK3235" s="65" t="s">
        <v>3072</v>
      </c>
      <c r="GP3235" s="292" t="s">
        <v>7494</v>
      </c>
    </row>
    <row r="3236" spans="1:198" x14ac:dyDescent="0.25">
      <c r="A3236" s="55">
        <v>3235</v>
      </c>
      <c r="B3236" s="12" t="s">
        <v>7067</v>
      </c>
      <c r="C3236" s="155">
        <v>153</v>
      </c>
      <c r="D3236" s="55" t="s">
        <v>4332</v>
      </c>
      <c r="E3236" s="90" t="s">
        <v>3061</v>
      </c>
      <c r="G3236" s="55" t="s">
        <v>3060</v>
      </c>
      <c r="H3236" s="55">
        <v>1999</v>
      </c>
      <c r="I3236" s="55">
        <v>1986</v>
      </c>
      <c r="J3236" s="55" t="s">
        <v>3064</v>
      </c>
      <c r="K3236" s="55" t="s">
        <v>3063</v>
      </c>
      <c r="L3236" s="55" t="s">
        <v>3065</v>
      </c>
      <c r="M3236" s="90">
        <v>11.1</v>
      </c>
      <c r="N3236" s="90">
        <f>-4-23/60</f>
        <v>-4.3833333333333337</v>
      </c>
      <c r="O3236" s="90">
        <v>405</v>
      </c>
      <c r="S3236" s="90">
        <f>(900+1200)/2</f>
        <v>1050</v>
      </c>
      <c r="U3236" s="55" t="s">
        <v>1816</v>
      </c>
      <c r="V3236" s="55" t="s">
        <v>1816</v>
      </c>
      <c r="Y3236" s="55" t="s">
        <v>3062</v>
      </c>
      <c r="Z3236" s="55" t="s">
        <v>1367</v>
      </c>
      <c r="AA3236" s="90" t="s">
        <v>1687</v>
      </c>
      <c r="AM3236" s="55" t="s">
        <v>3066</v>
      </c>
      <c r="AN3236" s="185" t="s">
        <v>2666</v>
      </c>
      <c r="AO3236" s="185" t="s">
        <v>5150</v>
      </c>
      <c r="AQ3236" s="55" t="s">
        <v>553</v>
      </c>
      <c r="AR3236" s="55" t="s">
        <v>1607</v>
      </c>
      <c r="AS3236" s="55" t="s">
        <v>132</v>
      </c>
      <c r="AU3236" s="181" t="s">
        <v>7494</v>
      </c>
      <c r="AV3236" s="185" t="s">
        <v>176</v>
      </c>
      <c r="AX3236" s="185" t="s">
        <v>176</v>
      </c>
      <c r="BE3236" s="226" t="s">
        <v>3075</v>
      </c>
      <c r="BF3236" s="191" t="s">
        <v>479</v>
      </c>
      <c r="BG3236" s="191" t="s">
        <v>479</v>
      </c>
      <c r="BH3236" s="226" t="s">
        <v>3075</v>
      </c>
      <c r="BI3236" s="191" t="s">
        <v>479</v>
      </c>
      <c r="BJ3236" s="55" t="s">
        <v>176</v>
      </c>
      <c r="BK3236" s="55" t="s">
        <v>5976</v>
      </c>
      <c r="BM3236" s="192" t="s">
        <v>3067</v>
      </c>
      <c r="CM3236" s="65">
        <v>0.33</v>
      </c>
      <c r="CN3236" s="65">
        <v>0.35</v>
      </c>
      <c r="DA3236" s="65" t="s">
        <v>4458</v>
      </c>
      <c r="DB3236" s="65">
        <v>0.33</v>
      </c>
      <c r="DC3236" s="65">
        <v>0.31</v>
      </c>
      <c r="DF3236" s="65" t="s">
        <v>360</v>
      </c>
      <c r="DG3236" s="65">
        <v>2.09</v>
      </c>
      <c r="DH3236" s="65">
        <v>1.52</v>
      </c>
      <c r="DK3236" s="65" t="s">
        <v>3072</v>
      </c>
      <c r="GP3236" s="292" t="s">
        <v>7494</v>
      </c>
    </row>
    <row r="3237" spans="1:198" x14ac:dyDescent="0.25">
      <c r="A3237" s="55">
        <v>3236</v>
      </c>
      <c r="B3237" s="12" t="s">
        <v>7067</v>
      </c>
      <c r="C3237" s="155">
        <v>153</v>
      </c>
      <c r="D3237" s="55" t="s">
        <v>4332</v>
      </c>
      <c r="E3237" s="90" t="s">
        <v>3061</v>
      </c>
      <c r="G3237" s="55" t="s">
        <v>3060</v>
      </c>
      <c r="H3237" s="55">
        <v>1999</v>
      </c>
      <c r="I3237" s="55">
        <v>1986</v>
      </c>
      <c r="J3237" s="55" t="s">
        <v>3064</v>
      </c>
      <c r="K3237" s="55" t="s">
        <v>3063</v>
      </c>
      <c r="L3237" s="55" t="s">
        <v>3065</v>
      </c>
      <c r="M3237" s="90">
        <v>11.1</v>
      </c>
      <c r="N3237" s="90">
        <f>-4-23/60</f>
        <v>-4.3833333333333337</v>
      </c>
      <c r="O3237" s="90">
        <v>405</v>
      </c>
      <c r="S3237" s="90">
        <f>(900+1200)/2</f>
        <v>1050</v>
      </c>
      <c r="U3237" s="55" t="s">
        <v>1816</v>
      </c>
      <c r="V3237" s="55" t="s">
        <v>1816</v>
      </c>
      <c r="Y3237" s="55" t="s">
        <v>3062</v>
      </c>
      <c r="Z3237" s="55" t="s">
        <v>1367</v>
      </c>
      <c r="AA3237" s="90" t="s">
        <v>1687</v>
      </c>
      <c r="AM3237" s="55" t="s">
        <v>3066</v>
      </c>
      <c r="AN3237" s="185" t="s">
        <v>2282</v>
      </c>
      <c r="AO3237" s="185" t="s">
        <v>5150</v>
      </c>
      <c r="AQ3237" s="55" t="s">
        <v>553</v>
      </c>
      <c r="AR3237" s="55" t="s">
        <v>1607</v>
      </c>
      <c r="AS3237" s="55" t="s">
        <v>132</v>
      </c>
      <c r="AU3237" s="181" t="s">
        <v>7494</v>
      </c>
      <c r="AV3237" s="185" t="s">
        <v>176</v>
      </c>
      <c r="AX3237" s="185" t="s">
        <v>176</v>
      </c>
      <c r="BE3237" s="226" t="s">
        <v>3076</v>
      </c>
      <c r="BF3237" s="191" t="s">
        <v>479</v>
      </c>
      <c r="BG3237" s="191" t="s">
        <v>479</v>
      </c>
      <c r="BH3237" s="226" t="s">
        <v>3076</v>
      </c>
      <c r="BI3237" s="191" t="s">
        <v>479</v>
      </c>
      <c r="BJ3237" s="55" t="s">
        <v>176</v>
      </c>
      <c r="BK3237" s="55" t="s">
        <v>5976</v>
      </c>
      <c r="BM3237" s="192" t="s">
        <v>3067</v>
      </c>
      <c r="CM3237" s="65">
        <v>0.37</v>
      </c>
      <c r="CN3237" s="65">
        <v>0.35</v>
      </c>
      <c r="DA3237" s="65" t="s">
        <v>4458</v>
      </c>
      <c r="DB3237" s="65">
        <v>0.35</v>
      </c>
      <c r="DC3237" s="65">
        <v>0.37</v>
      </c>
      <c r="DF3237" s="65" t="s">
        <v>360</v>
      </c>
      <c r="DG3237" s="65">
        <v>3.2</v>
      </c>
      <c r="DH3237" s="65">
        <v>3.73</v>
      </c>
      <c r="DK3237" s="65" t="s">
        <v>3072</v>
      </c>
      <c r="GP3237" s="292" t="s">
        <v>7494</v>
      </c>
    </row>
    <row r="3238" spans="1:198" x14ac:dyDescent="0.25">
      <c r="A3238" s="55">
        <v>3237</v>
      </c>
      <c r="B3238" s="12" t="s">
        <v>7067</v>
      </c>
      <c r="C3238" s="155">
        <v>153</v>
      </c>
      <c r="D3238" s="55" t="s">
        <v>4332</v>
      </c>
      <c r="E3238" s="90" t="s">
        <v>3061</v>
      </c>
      <c r="G3238" s="55" t="s">
        <v>3060</v>
      </c>
      <c r="H3238" s="55">
        <v>1999</v>
      </c>
      <c r="I3238" s="55">
        <v>1986</v>
      </c>
      <c r="J3238" s="55" t="s">
        <v>3064</v>
      </c>
      <c r="K3238" s="55" t="s">
        <v>3063</v>
      </c>
      <c r="L3238" s="55" t="s">
        <v>3065</v>
      </c>
      <c r="M3238" s="90">
        <v>11.1</v>
      </c>
      <c r="N3238" s="90">
        <f>-4-23/60</f>
        <v>-4.3833333333333337</v>
      </c>
      <c r="O3238" s="90">
        <v>405</v>
      </c>
      <c r="S3238" s="90">
        <f>(900+1200)/2</f>
        <v>1050</v>
      </c>
      <c r="U3238" s="55" t="s">
        <v>1816</v>
      </c>
      <c r="V3238" s="55" t="s">
        <v>1816</v>
      </c>
      <c r="Y3238" s="55" t="s">
        <v>3062</v>
      </c>
      <c r="Z3238" s="55" t="s">
        <v>1367</v>
      </c>
      <c r="AA3238" s="90" t="s">
        <v>1687</v>
      </c>
      <c r="AM3238" s="55" t="s">
        <v>3066</v>
      </c>
      <c r="AN3238" s="185" t="s">
        <v>2282</v>
      </c>
      <c r="AO3238" s="185" t="s">
        <v>5150</v>
      </c>
      <c r="AQ3238" s="55" t="s">
        <v>553</v>
      </c>
      <c r="AR3238" s="55" t="s">
        <v>1607</v>
      </c>
      <c r="AS3238" s="55" t="s">
        <v>132</v>
      </c>
      <c r="AU3238" s="181" t="s">
        <v>7494</v>
      </c>
      <c r="AV3238" s="185" t="s">
        <v>176</v>
      </c>
      <c r="AX3238" s="185" t="s">
        <v>176</v>
      </c>
      <c r="BE3238" s="226" t="s">
        <v>3076</v>
      </c>
      <c r="BF3238" s="191" t="s">
        <v>479</v>
      </c>
      <c r="BG3238" s="191" t="s">
        <v>479</v>
      </c>
      <c r="BH3238" s="226" t="s">
        <v>3076</v>
      </c>
      <c r="BI3238" s="191" t="s">
        <v>479</v>
      </c>
      <c r="BJ3238" s="55" t="s">
        <v>176</v>
      </c>
      <c r="BK3238" s="55" t="s">
        <v>5976</v>
      </c>
      <c r="BM3238" s="192" t="s">
        <v>3067</v>
      </c>
      <c r="CM3238" s="65">
        <v>0.37</v>
      </c>
      <c r="CN3238" s="65">
        <v>0.41</v>
      </c>
      <c r="DA3238" s="65" t="s">
        <v>4458</v>
      </c>
      <c r="DB3238" s="65">
        <v>0.35</v>
      </c>
      <c r="DC3238" s="65">
        <v>0.38</v>
      </c>
      <c r="DF3238" s="65" t="s">
        <v>360</v>
      </c>
      <c r="DG3238" s="65">
        <v>3.2</v>
      </c>
      <c r="DH3238" s="65">
        <v>5.04</v>
      </c>
      <c r="DK3238" s="65" t="s">
        <v>3072</v>
      </c>
      <c r="GP3238" s="292" t="s">
        <v>7494</v>
      </c>
    </row>
    <row r="3239" spans="1:198" x14ac:dyDescent="0.25">
      <c r="A3239" s="55">
        <v>3238</v>
      </c>
      <c r="B3239" s="12" t="s">
        <v>7067</v>
      </c>
      <c r="C3239" s="155">
        <v>153</v>
      </c>
      <c r="D3239" s="55" t="s">
        <v>4332</v>
      </c>
      <c r="E3239" s="90" t="s">
        <v>3061</v>
      </c>
      <c r="G3239" s="55" t="s">
        <v>3060</v>
      </c>
      <c r="H3239" s="55">
        <v>1999</v>
      </c>
      <c r="I3239" s="55">
        <v>1986</v>
      </c>
      <c r="J3239" s="55" t="s">
        <v>3064</v>
      </c>
      <c r="K3239" s="55" t="s">
        <v>3063</v>
      </c>
      <c r="L3239" s="55" t="s">
        <v>3065</v>
      </c>
      <c r="M3239" s="90">
        <v>11.1</v>
      </c>
      <c r="N3239" s="90">
        <f>-4-23/60</f>
        <v>-4.3833333333333337</v>
      </c>
      <c r="O3239" s="90">
        <v>405</v>
      </c>
      <c r="S3239" s="90">
        <f>(900+1200)/2</f>
        <v>1050</v>
      </c>
      <c r="U3239" s="55" t="s">
        <v>1816</v>
      </c>
      <c r="V3239" s="55" t="s">
        <v>1816</v>
      </c>
      <c r="Y3239" s="55" t="s">
        <v>3062</v>
      </c>
      <c r="Z3239" s="55" t="s">
        <v>1367</v>
      </c>
      <c r="AA3239" s="90" t="s">
        <v>1687</v>
      </c>
      <c r="AM3239" s="55" t="s">
        <v>3066</v>
      </c>
      <c r="AN3239" s="185" t="s">
        <v>2282</v>
      </c>
      <c r="AO3239" s="185" t="s">
        <v>5150</v>
      </c>
      <c r="AQ3239" s="55" t="s">
        <v>553</v>
      </c>
      <c r="AR3239" s="55" t="s">
        <v>1607</v>
      </c>
      <c r="AS3239" s="55" t="s">
        <v>132</v>
      </c>
      <c r="AU3239" s="181" t="s">
        <v>7494</v>
      </c>
      <c r="AV3239" s="185" t="s">
        <v>176</v>
      </c>
      <c r="AX3239" s="185" t="s">
        <v>176</v>
      </c>
      <c r="BE3239" s="226" t="s">
        <v>3076</v>
      </c>
      <c r="BF3239" s="191" t="s">
        <v>479</v>
      </c>
      <c r="BG3239" s="191" t="s">
        <v>479</v>
      </c>
      <c r="BH3239" s="226" t="s">
        <v>3076</v>
      </c>
      <c r="BI3239" s="191" t="s">
        <v>479</v>
      </c>
      <c r="BJ3239" s="55" t="s">
        <v>176</v>
      </c>
      <c r="BK3239" s="55" t="s">
        <v>5976</v>
      </c>
      <c r="BM3239" s="192" t="s">
        <v>3067</v>
      </c>
      <c r="CM3239" s="65">
        <v>0.37</v>
      </c>
      <c r="CN3239" s="65">
        <v>0.37</v>
      </c>
      <c r="DA3239" s="65" t="s">
        <v>4458</v>
      </c>
      <c r="DB3239" s="65">
        <v>0.35</v>
      </c>
      <c r="DC3239" s="65">
        <v>0.3</v>
      </c>
      <c r="DF3239" s="65" t="s">
        <v>360</v>
      </c>
      <c r="DG3239" s="65">
        <v>3.2</v>
      </c>
      <c r="DH3239" s="65">
        <v>3.36</v>
      </c>
      <c r="DK3239" s="65" t="s">
        <v>3072</v>
      </c>
      <c r="GP3239" s="292" t="s">
        <v>7494</v>
      </c>
    </row>
    <row r="3240" spans="1:198" x14ac:dyDescent="0.25">
      <c r="A3240" s="55">
        <v>3239</v>
      </c>
      <c r="B3240" s="12" t="s">
        <v>7067</v>
      </c>
      <c r="C3240" s="155">
        <v>153</v>
      </c>
      <c r="D3240" s="55" t="s">
        <v>4332</v>
      </c>
      <c r="E3240" s="90" t="s">
        <v>3061</v>
      </c>
      <c r="G3240" s="55" t="s">
        <v>3060</v>
      </c>
      <c r="H3240" s="55">
        <v>1999</v>
      </c>
      <c r="I3240" s="55">
        <v>1986</v>
      </c>
      <c r="J3240" s="55" t="s">
        <v>3064</v>
      </c>
      <c r="K3240" s="55" t="s">
        <v>3063</v>
      </c>
      <c r="L3240" s="55" t="s">
        <v>3065</v>
      </c>
      <c r="M3240" s="90">
        <v>11.1</v>
      </c>
      <c r="N3240" s="90">
        <f>-4-23/60</f>
        <v>-4.3833333333333337</v>
      </c>
      <c r="O3240" s="90">
        <v>405</v>
      </c>
      <c r="S3240" s="90">
        <f>(900+1200)/2</f>
        <v>1050</v>
      </c>
      <c r="U3240" s="55" t="s">
        <v>1816</v>
      </c>
      <c r="V3240" s="55" t="s">
        <v>1816</v>
      </c>
      <c r="Y3240" s="55" t="s">
        <v>3062</v>
      </c>
      <c r="Z3240" s="55" t="s">
        <v>1367</v>
      </c>
      <c r="AA3240" s="90" t="s">
        <v>1687</v>
      </c>
      <c r="AM3240" s="55" t="s">
        <v>3066</v>
      </c>
      <c r="AN3240" s="185" t="s">
        <v>2282</v>
      </c>
      <c r="AO3240" s="185" t="s">
        <v>5150</v>
      </c>
      <c r="AQ3240" s="55" t="s">
        <v>553</v>
      </c>
      <c r="AR3240" s="55" t="s">
        <v>1607</v>
      </c>
      <c r="AS3240" s="55" t="s">
        <v>132</v>
      </c>
      <c r="AU3240" s="181" t="s">
        <v>7494</v>
      </c>
      <c r="AV3240" s="185" t="s">
        <v>176</v>
      </c>
      <c r="AX3240" s="185" t="s">
        <v>176</v>
      </c>
      <c r="BE3240" s="226" t="s">
        <v>3076</v>
      </c>
      <c r="BF3240" s="191" t="s">
        <v>479</v>
      </c>
      <c r="BG3240" s="191" t="s">
        <v>479</v>
      </c>
      <c r="BH3240" s="226" t="s">
        <v>3076</v>
      </c>
      <c r="BI3240" s="191" t="s">
        <v>479</v>
      </c>
      <c r="BJ3240" s="55" t="s">
        <v>176</v>
      </c>
      <c r="BK3240" s="55" t="s">
        <v>5976</v>
      </c>
      <c r="BM3240" s="192" t="s">
        <v>3067</v>
      </c>
      <c r="CM3240" s="65">
        <v>0.37</v>
      </c>
      <c r="CN3240" s="65">
        <v>0.32</v>
      </c>
      <c r="DA3240" s="65" t="s">
        <v>4458</v>
      </c>
      <c r="DB3240" s="65">
        <v>0.35</v>
      </c>
      <c r="DC3240" s="65">
        <v>0.27</v>
      </c>
      <c r="DF3240" s="65" t="s">
        <v>360</v>
      </c>
      <c r="DG3240" s="65">
        <v>3.2</v>
      </c>
      <c r="DH3240" s="65">
        <v>3.53</v>
      </c>
      <c r="DK3240" s="65" t="s">
        <v>3072</v>
      </c>
      <c r="GP3240" s="292" t="s">
        <v>7494</v>
      </c>
    </row>
    <row r="3241" spans="1:198" x14ac:dyDescent="0.25">
      <c r="A3241" s="55">
        <v>3240</v>
      </c>
      <c r="B3241" s="12" t="s">
        <v>7067</v>
      </c>
      <c r="C3241" s="155">
        <v>153</v>
      </c>
      <c r="D3241" s="55" t="s">
        <v>4332</v>
      </c>
      <c r="E3241" s="90" t="s">
        <v>3061</v>
      </c>
      <c r="G3241" s="55" t="s">
        <v>3060</v>
      </c>
      <c r="H3241" s="55">
        <v>1999</v>
      </c>
      <c r="I3241" s="55">
        <v>1986</v>
      </c>
      <c r="J3241" s="55" t="s">
        <v>3064</v>
      </c>
      <c r="K3241" s="55" t="s">
        <v>3063</v>
      </c>
      <c r="L3241" s="55" t="s">
        <v>3065</v>
      </c>
      <c r="M3241" s="90">
        <v>11.1</v>
      </c>
      <c r="N3241" s="90">
        <f>-4-23/60</f>
        <v>-4.3833333333333337</v>
      </c>
      <c r="O3241" s="90">
        <v>405</v>
      </c>
      <c r="S3241" s="90">
        <f>(900+1200)/2</f>
        <v>1050</v>
      </c>
      <c r="U3241" s="55" t="s">
        <v>1816</v>
      </c>
      <c r="V3241" s="55" t="s">
        <v>1816</v>
      </c>
      <c r="Y3241" s="55" t="s">
        <v>3062</v>
      </c>
      <c r="Z3241" s="55" t="s">
        <v>1367</v>
      </c>
      <c r="AA3241" s="90" t="s">
        <v>1687</v>
      </c>
      <c r="AM3241" s="55" t="s">
        <v>3066</v>
      </c>
      <c r="AN3241" s="185" t="s">
        <v>2666</v>
      </c>
      <c r="AO3241" s="185" t="s">
        <v>5150</v>
      </c>
      <c r="AQ3241" s="55" t="s">
        <v>553</v>
      </c>
      <c r="AR3241" s="55" t="s">
        <v>1607</v>
      </c>
      <c r="AS3241" s="55" t="s">
        <v>132</v>
      </c>
      <c r="AU3241" s="181" t="s">
        <v>7494</v>
      </c>
      <c r="AV3241" s="185" t="s">
        <v>176</v>
      </c>
      <c r="AX3241" s="185" t="s">
        <v>176</v>
      </c>
      <c r="BE3241" s="226" t="s">
        <v>3076</v>
      </c>
      <c r="BF3241" s="191" t="s">
        <v>479</v>
      </c>
      <c r="BG3241" s="191" t="s">
        <v>479</v>
      </c>
      <c r="BH3241" s="226" t="s">
        <v>3076</v>
      </c>
      <c r="BI3241" s="191" t="s">
        <v>479</v>
      </c>
      <c r="BJ3241" s="55" t="s">
        <v>176</v>
      </c>
      <c r="BK3241" s="55" t="s">
        <v>5976</v>
      </c>
      <c r="BM3241" s="192" t="s">
        <v>3067</v>
      </c>
      <c r="CM3241" s="65">
        <v>0.37</v>
      </c>
      <c r="CN3241" s="65">
        <v>0.37</v>
      </c>
      <c r="DA3241" s="65" t="s">
        <v>4458</v>
      </c>
      <c r="DB3241" s="65">
        <v>0.35</v>
      </c>
      <c r="DC3241" s="65">
        <v>0.34</v>
      </c>
      <c r="DF3241" s="65" t="s">
        <v>360</v>
      </c>
      <c r="DG3241" s="65">
        <v>3.2</v>
      </c>
      <c r="DH3241" s="65">
        <v>2.17</v>
      </c>
      <c r="DK3241" s="65" t="s">
        <v>3072</v>
      </c>
      <c r="GP3241" s="292" t="s">
        <v>7494</v>
      </c>
    </row>
    <row r="3242" spans="1:198" x14ac:dyDescent="0.25">
      <c r="A3242" s="55">
        <v>3241</v>
      </c>
      <c r="B3242" s="12" t="s">
        <v>7067</v>
      </c>
      <c r="C3242" s="155">
        <v>153</v>
      </c>
      <c r="D3242" s="55" t="s">
        <v>4332</v>
      </c>
      <c r="E3242" s="90" t="s">
        <v>3061</v>
      </c>
      <c r="G3242" s="55" t="s">
        <v>3060</v>
      </c>
      <c r="H3242" s="55">
        <v>1999</v>
      </c>
      <c r="I3242" s="55">
        <v>1986</v>
      </c>
      <c r="J3242" s="55" t="s">
        <v>3064</v>
      </c>
      <c r="K3242" s="55" t="s">
        <v>3063</v>
      </c>
      <c r="L3242" s="55" t="s">
        <v>3065</v>
      </c>
      <c r="M3242" s="90">
        <v>11.1</v>
      </c>
      <c r="N3242" s="90">
        <f>-4-23/60</f>
        <v>-4.3833333333333337</v>
      </c>
      <c r="O3242" s="90">
        <v>405</v>
      </c>
      <c r="S3242" s="90">
        <f>(900+1200)/2</f>
        <v>1050</v>
      </c>
      <c r="U3242" s="55" t="s">
        <v>1816</v>
      </c>
      <c r="V3242" s="55" t="s">
        <v>1816</v>
      </c>
      <c r="Y3242" s="55" t="s">
        <v>3062</v>
      </c>
      <c r="Z3242" s="55" t="s">
        <v>1367</v>
      </c>
      <c r="AA3242" s="90" t="s">
        <v>1687</v>
      </c>
      <c r="AM3242" s="55" t="s">
        <v>3066</v>
      </c>
      <c r="AN3242" s="185" t="s">
        <v>2666</v>
      </c>
      <c r="AO3242" s="185" t="s">
        <v>5150</v>
      </c>
      <c r="AQ3242" s="55" t="s">
        <v>553</v>
      </c>
      <c r="AR3242" s="55" t="s">
        <v>1607</v>
      </c>
      <c r="AS3242" s="55" t="s">
        <v>132</v>
      </c>
      <c r="AU3242" s="181" t="s">
        <v>7494</v>
      </c>
      <c r="AV3242" s="185" t="s">
        <v>176</v>
      </c>
      <c r="AX3242" s="185" t="s">
        <v>176</v>
      </c>
      <c r="BE3242" s="226" t="s">
        <v>3076</v>
      </c>
      <c r="BF3242" s="191" t="s">
        <v>479</v>
      </c>
      <c r="BG3242" s="191" t="s">
        <v>479</v>
      </c>
      <c r="BH3242" s="226" t="s">
        <v>3076</v>
      </c>
      <c r="BI3242" s="191" t="s">
        <v>479</v>
      </c>
      <c r="BJ3242" s="55" t="s">
        <v>176</v>
      </c>
      <c r="BK3242" s="55" t="s">
        <v>5976</v>
      </c>
      <c r="BM3242" s="192" t="s">
        <v>3067</v>
      </c>
      <c r="CM3242" s="65">
        <v>0.37</v>
      </c>
      <c r="CN3242" s="65">
        <v>0.36</v>
      </c>
      <c r="DA3242" s="65" t="s">
        <v>4458</v>
      </c>
      <c r="DB3242" s="65">
        <v>0.35</v>
      </c>
      <c r="DC3242" s="65">
        <v>0.34</v>
      </c>
      <c r="DF3242" s="65" t="s">
        <v>360</v>
      </c>
      <c r="DG3242" s="65">
        <v>3.2</v>
      </c>
      <c r="DH3242" s="65">
        <v>3.52</v>
      </c>
      <c r="DK3242" s="65" t="s">
        <v>3072</v>
      </c>
      <c r="GP3242" s="292" t="s">
        <v>7494</v>
      </c>
    </row>
    <row r="3243" spans="1:198" x14ac:dyDescent="0.25">
      <c r="A3243" s="55">
        <v>3242</v>
      </c>
      <c r="B3243" s="12" t="s">
        <v>7067</v>
      </c>
      <c r="C3243" s="155">
        <v>153</v>
      </c>
      <c r="D3243" s="55" t="s">
        <v>4331</v>
      </c>
      <c r="E3243" s="90" t="s">
        <v>3061</v>
      </c>
      <c r="G3243" s="55" t="s">
        <v>3060</v>
      </c>
      <c r="H3243" s="55">
        <v>1999</v>
      </c>
      <c r="I3243" s="55">
        <v>1986</v>
      </c>
      <c r="J3243" s="55" t="s">
        <v>3064</v>
      </c>
      <c r="K3243" s="55" t="s">
        <v>3063</v>
      </c>
      <c r="L3243" s="55" t="s">
        <v>3065</v>
      </c>
      <c r="M3243" s="90">
        <v>11.1</v>
      </c>
      <c r="N3243" s="90">
        <f>-4-23/60</f>
        <v>-4.3833333333333337</v>
      </c>
      <c r="O3243" s="90">
        <v>405</v>
      </c>
      <c r="S3243" s="90">
        <f>(900+1200)/2</f>
        <v>1050</v>
      </c>
      <c r="U3243" s="55" t="s">
        <v>1816</v>
      </c>
      <c r="V3243" s="55" t="s">
        <v>1816</v>
      </c>
      <c r="Y3243" s="55" t="s">
        <v>3062</v>
      </c>
      <c r="Z3243" s="55" t="s">
        <v>1367</v>
      </c>
      <c r="AA3243" s="90" t="s">
        <v>1687</v>
      </c>
      <c r="AM3243" s="55" t="s">
        <v>3066</v>
      </c>
      <c r="AN3243" s="185" t="s">
        <v>2282</v>
      </c>
      <c r="AO3243" s="185" t="s">
        <v>5150</v>
      </c>
      <c r="AQ3243" s="55" t="s">
        <v>553</v>
      </c>
      <c r="AR3243" s="55" t="s">
        <v>1607</v>
      </c>
      <c r="AS3243" s="55" t="s">
        <v>132</v>
      </c>
      <c r="AU3243" s="181" t="s">
        <v>7494</v>
      </c>
      <c r="AV3243" s="185" t="s">
        <v>176</v>
      </c>
      <c r="AX3243" s="185" t="s">
        <v>176</v>
      </c>
      <c r="BE3243" s="226" t="s">
        <v>3073</v>
      </c>
      <c r="BF3243" s="191" t="s">
        <v>479</v>
      </c>
      <c r="BG3243" s="191" t="s">
        <v>479</v>
      </c>
      <c r="BH3243" s="226" t="s">
        <v>3073</v>
      </c>
      <c r="BI3243" s="191" t="s">
        <v>479</v>
      </c>
      <c r="BJ3243" s="55" t="s">
        <v>176</v>
      </c>
      <c r="BK3243" s="55" t="s">
        <v>5976</v>
      </c>
      <c r="BM3243" s="192" t="s">
        <v>3067</v>
      </c>
      <c r="CB3243" s="66">
        <v>1166</v>
      </c>
      <c r="CC3243" s="66">
        <v>3565</v>
      </c>
      <c r="CM3243" s="65">
        <v>0.35</v>
      </c>
      <c r="CN3243" s="65">
        <v>0.35</v>
      </c>
      <c r="DA3243" s="65" t="s">
        <v>4458</v>
      </c>
      <c r="DB3243" s="65">
        <v>0.37</v>
      </c>
      <c r="DC3243" s="65">
        <v>0.36</v>
      </c>
      <c r="DF3243" s="65" t="s">
        <v>360</v>
      </c>
      <c r="DG3243" s="65">
        <v>1.23</v>
      </c>
      <c r="DH3243" s="65">
        <v>2.75</v>
      </c>
      <c r="DK3243" s="65" t="s">
        <v>3072</v>
      </c>
      <c r="GP3243" s="292" t="s">
        <v>7494</v>
      </c>
    </row>
    <row r="3244" spans="1:198" x14ac:dyDescent="0.25">
      <c r="A3244" s="55">
        <v>3243</v>
      </c>
      <c r="B3244" s="12" t="s">
        <v>7067</v>
      </c>
      <c r="C3244" s="155">
        <v>153</v>
      </c>
      <c r="D3244" s="55" t="s">
        <v>4331</v>
      </c>
      <c r="E3244" s="90" t="s">
        <v>3061</v>
      </c>
      <c r="G3244" s="55" t="s">
        <v>3060</v>
      </c>
      <c r="H3244" s="55">
        <v>1999</v>
      </c>
      <c r="I3244" s="55">
        <v>1986</v>
      </c>
      <c r="J3244" s="55" t="s">
        <v>3064</v>
      </c>
      <c r="K3244" s="55" t="s">
        <v>3063</v>
      </c>
      <c r="L3244" s="55" t="s">
        <v>3065</v>
      </c>
      <c r="M3244" s="90">
        <v>11.1</v>
      </c>
      <c r="N3244" s="90">
        <f>-4-23/60</f>
        <v>-4.3833333333333337</v>
      </c>
      <c r="O3244" s="90">
        <v>405</v>
      </c>
      <c r="S3244" s="90">
        <f>(900+1200)/2</f>
        <v>1050</v>
      </c>
      <c r="U3244" s="55" t="s">
        <v>1816</v>
      </c>
      <c r="V3244" s="55" t="s">
        <v>1816</v>
      </c>
      <c r="Y3244" s="55" t="s">
        <v>3062</v>
      </c>
      <c r="Z3244" s="55" t="s">
        <v>1367</v>
      </c>
      <c r="AA3244" s="90" t="s">
        <v>1687</v>
      </c>
      <c r="AM3244" s="55" t="s">
        <v>3066</v>
      </c>
      <c r="AN3244" s="185" t="s">
        <v>2282</v>
      </c>
      <c r="AO3244" s="185" t="s">
        <v>5150</v>
      </c>
      <c r="AQ3244" s="55" t="s">
        <v>553</v>
      </c>
      <c r="AR3244" s="55" t="s">
        <v>1607</v>
      </c>
      <c r="AS3244" s="55" t="s">
        <v>132</v>
      </c>
      <c r="AU3244" s="181" t="s">
        <v>7494</v>
      </c>
      <c r="AV3244" s="185" t="s">
        <v>176</v>
      </c>
      <c r="AX3244" s="185" t="s">
        <v>176</v>
      </c>
      <c r="BE3244" s="226" t="s">
        <v>3073</v>
      </c>
      <c r="BF3244" s="191" t="s">
        <v>479</v>
      </c>
      <c r="BG3244" s="191" t="s">
        <v>479</v>
      </c>
      <c r="BH3244" s="226" t="s">
        <v>3073</v>
      </c>
      <c r="BI3244" s="191" t="s">
        <v>479</v>
      </c>
      <c r="BJ3244" s="55" t="s">
        <v>176</v>
      </c>
      <c r="BK3244" s="55" t="s">
        <v>5976</v>
      </c>
      <c r="BM3244" s="192" t="s">
        <v>3067</v>
      </c>
      <c r="CB3244" s="66">
        <v>1166</v>
      </c>
      <c r="CC3244" s="66">
        <v>2589</v>
      </c>
      <c r="CM3244" s="65">
        <v>0.35</v>
      </c>
      <c r="CN3244" s="65">
        <v>0.38</v>
      </c>
      <c r="DA3244" s="65" t="s">
        <v>4458</v>
      </c>
      <c r="DB3244" s="65">
        <v>0.37</v>
      </c>
      <c r="DC3244" s="65">
        <v>0.39</v>
      </c>
      <c r="DF3244" s="65" t="s">
        <v>360</v>
      </c>
      <c r="DG3244" s="65">
        <v>1.23</v>
      </c>
      <c r="DH3244" s="65">
        <v>2.42</v>
      </c>
      <c r="DK3244" s="65" t="s">
        <v>3072</v>
      </c>
      <c r="GP3244" s="292" t="s">
        <v>7494</v>
      </c>
    </row>
    <row r="3245" spans="1:198" x14ac:dyDescent="0.25">
      <c r="A3245" s="55">
        <v>3244</v>
      </c>
      <c r="B3245" s="12" t="s">
        <v>7067</v>
      </c>
      <c r="C3245" s="155">
        <v>153</v>
      </c>
      <c r="D3245" s="55" t="s">
        <v>4331</v>
      </c>
      <c r="E3245" s="90" t="s">
        <v>3061</v>
      </c>
      <c r="G3245" s="55" t="s">
        <v>3060</v>
      </c>
      <c r="H3245" s="55">
        <v>1999</v>
      </c>
      <c r="I3245" s="55">
        <v>1986</v>
      </c>
      <c r="J3245" s="55" t="s">
        <v>3064</v>
      </c>
      <c r="K3245" s="55" t="s">
        <v>3063</v>
      </c>
      <c r="L3245" s="55" t="s">
        <v>3065</v>
      </c>
      <c r="M3245" s="90">
        <v>11.1</v>
      </c>
      <c r="N3245" s="90">
        <f>-4-23/60</f>
        <v>-4.3833333333333337</v>
      </c>
      <c r="O3245" s="90">
        <v>405</v>
      </c>
      <c r="S3245" s="90">
        <f>(900+1200)/2</f>
        <v>1050</v>
      </c>
      <c r="U3245" s="55" t="s">
        <v>1816</v>
      </c>
      <c r="V3245" s="55" t="s">
        <v>1816</v>
      </c>
      <c r="Y3245" s="55" t="s">
        <v>3062</v>
      </c>
      <c r="Z3245" s="55" t="s">
        <v>1367</v>
      </c>
      <c r="AA3245" s="90" t="s">
        <v>1687</v>
      </c>
      <c r="AM3245" s="55" t="s">
        <v>3066</v>
      </c>
      <c r="AN3245" s="185" t="s">
        <v>2282</v>
      </c>
      <c r="AO3245" s="185" t="s">
        <v>5150</v>
      </c>
      <c r="AQ3245" s="55" t="s">
        <v>553</v>
      </c>
      <c r="AR3245" s="55" t="s">
        <v>1607</v>
      </c>
      <c r="AS3245" s="55" t="s">
        <v>132</v>
      </c>
      <c r="AU3245" s="181" t="s">
        <v>7494</v>
      </c>
      <c r="AV3245" s="185" t="s">
        <v>176</v>
      </c>
      <c r="AX3245" s="185" t="s">
        <v>176</v>
      </c>
      <c r="BE3245" s="226" t="s">
        <v>3073</v>
      </c>
      <c r="BF3245" s="191" t="s">
        <v>479</v>
      </c>
      <c r="BG3245" s="191" t="s">
        <v>479</v>
      </c>
      <c r="BH3245" s="226" t="s">
        <v>3073</v>
      </c>
      <c r="BI3245" s="191" t="s">
        <v>479</v>
      </c>
      <c r="BJ3245" s="55" t="s">
        <v>176</v>
      </c>
      <c r="BK3245" s="55" t="s">
        <v>5976</v>
      </c>
      <c r="BM3245" s="192" t="s">
        <v>3067</v>
      </c>
      <c r="CB3245" s="66">
        <v>1166</v>
      </c>
      <c r="CC3245" s="66">
        <v>1951</v>
      </c>
      <c r="CM3245" s="65">
        <v>0.35</v>
      </c>
      <c r="CN3245" s="65">
        <v>0.25</v>
      </c>
      <c r="DA3245" s="65" t="s">
        <v>4458</v>
      </c>
      <c r="DB3245" s="65">
        <v>0.37</v>
      </c>
      <c r="DC3245" s="65">
        <v>0.33</v>
      </c>
      <c r="DF3245" s="65" t="s">
        <v>360</v>
      </c>
      <c r="DG3245" s="65">
        <v>1.23</v>
      </c>
      <c r="DH3245" s="65">
        <v>1.76</v>
      </c>
      <c r="DK3245" s="65" t="s">
        <v>3072</v>
      </c>
      <c r="GP3245" s="292" t="s">
        <v>7494</v>
      </c>
    </row>
    <row r="3246" spans="1:198" x14ac:dyDescent="0.25">
      <c r="A3246" s="55">
        <v>3245</v>
      </c>
      <c r="B3246" s="12" t="s">
        <v>7067</v>
      </c>
      <c r="C3246" s="155">
        <v>153</v>
      </c>
      <c r="D3246" s="55" t="s">
        <v>4331</v>
      </c>
      <c r="E3246" s="90" t="s">
        <v>3061</v>
      </c>
      <c r="G3246" s="55" t="s">
        <v>3060</v>
      </c>
      <c r="H3246" s="55">
        <v>1999</v>
      </c>
      <c r="I3246" s="55">
        <v>1986</v>
      </c>
      <c r="J3246" s="55" t="s">
        <v>3064</v>
      </c>
      <c r="K3246" s="55" t="s">
        <v>3063</v>
      </c>
      <c r="L3246" s="55" t="s">
        <v>3065</v>
      </c>
      <c r="M3246" s="90">
        <v>11.1</v>
      </c>
      <c r="N3246" s="90">
        <f>-4-23/60</f>
        <v>-4.3833333333333337</v>
      </c>
      <c r="O3246" s="90">
        <v>405</v>
      </c>
      <c r="S3246" s="90">
        <f>(900+1200)/2</f>
        <v>1050</v>
      </c>
      <c r="U3246" s="55" t="s">
        <v>1816</v>
      </c>
      <c r="V3246" s="55" t="s">
        <v>1816</v>
      </c>
      <c r="Y3246" s="55" t="s">
        <v>3062</v>
      </c>
      <c r="Z3246" s="55" t="s">
        <v>1367</v>
      </c>
      <c r="AA3246" s="90" t="s">
        <v>1687</v>
      </c>
      <c r="AM3246" s="55" t="s">
        <v>3066</v>
      </c>
      <c r="AN3246" s="185" t="s">
        <v>2282</v>
      </c>
      <c r="AO3246" s="185" t="s">
        <v>5150</v>
      </c>
      <c r="AQ3246" s="55" t="s">
        <v>553</v>
      </c>
      <c r="AR3246" s="55" t="s">
        <v>1607</v>
      </c>
      <c r="AS3246" s="55" t="s">
        <v>132</v>
      </c>
      <c r="AU3246" s="181" t="s">
        <v>7494</v>
      </c>
      <c r="AV3246" s="185" t="s">
        <v>176</v>
      </c>
      <c r="AX3246" s="185" t="s">
        <v>176</v>
      </c>
      <c r="BE3246" s="226" t="s">
        <v>3073</v>
      </c>
      <c r="BF3246" s="191" t="s">
        <v>479</v>
      </c>
      <c r="BG3246" s="191" t="s">
        <v>479</v>
      </c>
      <c r="BH3246" s="226" t="s">
        <v>3073</v>
      </c>
      <c r="BI3246" s="191" t="s">
        <v>479</v>
      </c>
      <c r="BJ3246" s="55" t="s">
        <v>176</v>
      </c>
      <c r="BK3246" s="55" t="s">
        <v>5976</v>
      </c>
      <c r="BM3246" s="192" t="s">
        <v>3067</v>
      </c>
      <c r="CB3246" s="66">
        <v>1166</v>
      </c>
      <c r="CC3246" s="66">
        <v>1748</v>
      </c>
      <c r="CM3246" s="65">
        <v>0.35</v>
      </c>
      <c r="CN3246" s="65">
        <v>0.33</v>
      </c>
      <c r="DA3246" s="65" t="s">
        <v>4458</v>
      </c>
      <c r="DB3246" s="65">
        <v>0.37</v>
      </c>
      <c r="DC3246" s="65">
        <v>0.27</v>
      </c>
      <c r="DF3246" s="65" t="s">
        <v>360</v>
      </c>
      <c r="DG3246" s="65">
        <v>1.23</v>
      </c>
      <c r="DH3246" s="65">
        <v>2.38</v>
      </c>
      <c r="DK3246" s="65" t="s">
        <v>3072</v>
      </c>
      <c r="GP3246" s="292" t="s">
        <v>7494</v>
      </c>
    </row>
    <row r="3247" spans="1:198" x14ac:dyDescent="0.25">
      <c r="A3247" s="55">
        <v>3246</v>
      </c>
      <c r="B3247" s="12" t="s">
        <v>7067</v>
      </c>
      <c r="C3247" s="155">
        <v>153</v>
      </c>
      <c r="D3247" s="55" t="s">
        <v>4331</v>
      </c>
      <c r="E3247" s="90" t="s">
        <v>3061</v>
      </c>
      <c r="G3247" s="55" t="s">
        <v>3060</v>
      </c>
      <c r="H3247" s="55">
        <v>1999</v>
      </c>
      <c r="I3247" s="55">
        <v>1986</v>
      </c>
      <c r="J3247" s="55" t="s">
        <v>3064</v>
      </c>
      <c r="K3247" s="55" t="s">
        <v>3063</v>
      </c>
      <c r="L3247" s="55" t="s">
        <v>3065</v>
      </c>
      <c r="M3247" s="90">
        <v>11.1</v>
      </c>
      <c r="N3247" s="90">
        <f>-4-23/60</f>
        <v>-4.3833333333333337</v>
      </c>
      <c r="O3247" s="90">
        <v>405</v>
      </c>
      <c r="S3247" s="90">
        <f>(900+1200)/2</f>
        <v>1050</v>
      </c>
      <c r="U3247" s="55" t="s">
        <v>1816</v>
      </c>
      <c r="V3247" s="55" t="s">
        <v>1816</v>
      </c>
      <c r="Y3247" s="55" t="s">
        <v>3062</v>
      </c>
      <c r="Z3247" s="55" t="s">
        <v>1367</v>
      </c>
      <c r="AA3247" s="90" t="s">
        <v>1687</v>
      </c>
      <c r="AM3247" s="55" t="s">
        <v>3066</v>
      </c>
      <c r="AN3247" s="185" t="s">
        <v>2666</v>
      </c>
      <c r="AO3247" s="185" t="s">
        <v>5150</v>
      </c>
      <c r="AQ3247" s="55" t="s">
        <v>553</v>
      </c>
      <c r="AR3247" s="55" t="s">
        <v>1607</v>
      </c>
      <c r="AS3247" s="55" t="s">
        <v>132</v>
      </c>
      <c r="AU3247" s="181" t="s">
        <v>7494</v>
      </c>
      <c r="AV3247" s="185" t="s">
        <v>176</v>
      </c>
      <c r="AX3247" s="185" t="s">
        <v>176</v>
      </c>
      <c r="BE3247" s="226" t="s">
        <v>3073</v>
      </c>
      <c r="BF3247" s="191" t="s">
        <v>479</v>
      </c>
      <c r="BG3247" s="191" t="s">
        <v>479</v>
      </c>
      <c r="BH3247" s="226" t="s">
        <v>3073</v>
      </c>
      <c r="BI3247" s="191" t="s">
        <v>479</v>
      </c>
      <c r="BJ3247" s="55" t="s">
        <v>176</v>
      </c>
      <c r="BK3247" s="55" t="s">
        <v>5976</v>
      </c>
      <c r="BM3247" s="192" t="s">
        <v>3067</v>
      </c>
      <c r="CB3247" s="66">
        <v>1166</v>
      </c>
      <c r="CC3247" s="66">
        <v>2187</v>
      </c>
      <c r="CM3247" s="65">
        <v>0.35</v>
      </c>
      <c r="CN3247" s="65">
        <v>0.32</v>
      </c>
      <c r="DA3247" s="65" t="s">
        <v>4458</v>
      </c>
      <c r="DB3247" s="65">
        <v>0.37</v>
      </c>
      <c r="DC3247" s="65">
        <v>0.36</v>
      </c>
      <c r="DF3247" s="65" t="s">
        <v>360</v>
      </c>
      <c r="DG3247" s="65">
        <v>1.23</v>
      </c>
      <c r="DH3247" s="65">
        <v>1.68</v>
      </c>
      <c r="DK3247" s="65" t="s">
        <v>3072</v>
      </c>
      <c r="GP3247" s="292" t="s">
        <v>7494</v>
      </c>
    </row>
    <row r="3248" spans="1:198" x14ac:dyDescent="0.25">
      <c r="A3248" s="55">
        <v>3247</v>
      </c>
      <c r="B3248" s="12" t="s">
        <v>7067</v>
      </c>
      <c r="C3248" s="155">
        <v>153</v>
      </c>
      <c r="D3248" s="55" t="s">
        <v>4331</v>
      </c>
      <c r="E3248" s="90" t="s">
        <v>3061</v>
      </c>
      <c r="G3248" s="55" t="s">
        <v>3060</v>
      </c>
      <c r="H3248" s="55">
        <v>1999</v>
      </c>
      <c r="I3248" s="55">
        <v>1986</v>
      </c>
      <c r="J3248" s="55" t="s">
        <v>3064</v>
      </c>
      <c r="K3248" s="55" t="s">
        <v>3063</v>
      </c>
      <c r="L3248" s="55" t="s">
        <v>3065</v>
      </c>
      <c r="M3248" s="90">
        <v>11.1</v>
      </c>
      <c r="N3248" s="90">
        <f>-4-23/60</f>
        <v>-4.3833333333333337</v>
      </c>
      <c r="O3248" s="90">
        <v>405</v>
      </c>
      <c r="S3248" s="90">
        <f>(900+1200)/2</f>
        <v>1050</v>
      </c>
      <c r="U3248" s="55" t="s">
        <v>1816</v>
      </c>
      <c r="V3248" s="55" t="s">
        <v>1816</v>
      </c>
      <c r="Y3248" s="55" t="s">
        <v>3062</v>
      </c>
      <c r="Z3248" s="55" t="s">
        <v>1367</v>
      </c>
      <c r="AA3248" s="90" t="s">
        <v>1687</v>
      </c>
      <c r="AM3248" s="55" t="s">
        <v>3066</v>
      </c>
      <c r="AN3248" s="185" t="s">
        <v>2666</v>
      </c>
      <c r="AO3248" s="185" t="s">
        <v>5150</v>
      </c>
      <c r="AQ3248" s="55" t="s">
        <v>553</v>
      </c>
      <c r="AR3248" s="55" t="s">
        <v>1607</v>
      </c>
      <c r="AS3248" s="55" t="s">
        <v>132</v>
      </c>
      <c r="AU3248" s="181" t="s">
        <v>7494</v>
      </c>
      <c r="AV3248" s="185" t="s">
        <v>176</v>
      </c>
      <c r="AX3248" s="185" t="s">
        <v>176</v>
      </c>
      <c r="BE3248" s="226" t="s">
        <v>3073</v>
      </c>
      <c r="BF3248" s="191" t="s">
        <v>479</v>
      </c>
      <c r="BG3248" s="191" t="s">
        <v>479</v>
      </c>
      <c r="BH3248" s="226" t="s">
        <v>3073</v>
      </c>
      <c r="BI3248" s="191" t="s">
        <v>479</v>
      </c>
      <c r="BJ3248" s="55" t="s">
        <v>176</v>
      </c>
      <c r="BK3248" s="55" t="s">
        <v>5976</v>
      </c>
      <c r="BM3248" s="192" t="s">
        <v>3067</v>
      </c>
      <c r="CB3248" s="66">
        <v>1166</v>
      </c>
      <c r="CC3248" s="66">
        <v>2205</v>
      </c>
      <c r="CM3248" s="65">
        <v>0.35</v>
      </c>
      <c r="CN3248" s="65">
        <v>0.21</v>
      </c>
      <c r="DA3248" s="65" t="s">
        <v>4458</v>
      </c>
      <c r="DB3248" s="65">
        <v>0.37</v>
      </c>
      <c r="DC3248" s="65">
        <v>0.34</v>
      </c>
      <c r="DF3248" s="65" t="s">
        <v>360</v>
      </c>
      <c r="DG3248" s="65">
        <v>1.23</v>
      </c>
      <c r="DH3248" s="65">
        <v>1.23</v>
      </c>
      <c r="DK3248" s="65" t="s">
        <v>3072</v>
      </c>
      <c r="GP3248" s="292" t="s">
        <v>7494</v>
      </c>
    </row>
    <row r="3249" spans="1:198" x14ac:dyDescent="0.25">
      <c r="A3249" s="55">
        <v>3248</v>
      </c>
      <c r="B3249" s="12" t="s">
        <v>7067</v>
      </c>
      <c r="C3249" s="155">
        <v>153</v>
      </c>
      <c r="D3249" s="55" t="s">
        <v>4331</v>
      </c>
      <c r="E3249" s="90" t="s">
        <v>3061</v>
      </c>
      <c r="G3249" s="55" t="s">
        <v>3060</v>
      </c>
      <c r="H3249" s="55">
        <v>1999</v>
      </c>
      <c r="I3249" s="55">
        <v>1986</v>
      </c>
      <c r="J3249" s="55" t="s">
        <v>3064</v>
      </c>
      <c r="K3249" s="55" t="s">
        <v>3063</v>
      </c>
      <c r="L3249" s="55" t="s">
        <v>3065</v>
      </c>
      <c r="M3249" s="90">
        <v>11.1</v>
      </c>
      <c r="N3249" s="90">
        <f>-4-23/60</f>
        <v>-4.3833333333333337</v>
      </c>
      <c r="O3249" s="90">
        <v>405</v>
      </c>
      <c r="S3249" s="90">
        <f>(900+1200)/2</f>
        <v>1050</v>
      </c>
      <c r="U3249" s="55" t="s">
        <v>1816</v>
      </c>
      <c r="V3249" s="55" t="s">
        <v>1816</v>
      </c>
      <c r="Y3249" s="55" t="s">
        <v>3062</v>
      </c>
      <c r="Z3249" s="55" t="s">
        <v>1367</v>
      </c>
      <c r="AA3249" s="90" t="s">
        <v>1687</v>
      </c>
      <c r="AM3249" s="55" t="s">
        <v>3066</v>
      </c>
      <c r="AN3249" s="185" t="s">
        <v>2282</v>
      </c>
      <c r="AO3249" s="185" t="s">
        <v>5150</v>
      </c>
      <c r="AQ3249" s="55" t="s">
        <v>553</v>
      </c>
      <c r="AR3249" s="55" t="s">
        <v>1607</v>
      </c>
      <c r="AS3249" s="55" t="s">
        <v>132</v>
      </c>
      <c r="AU3249" s="181" t="s">
        <v>7494</v>
      </c>
      <c r="AV3249" s="185" t="s">
        <v>176</v>
      </c>
      <c r="AX3249" s="185" t="s">
        <v>176</v>
      </c>
      <c r="BE3249" s="226" t="s">
        <v>3074</v>
      </c>
      <c r="BF3249" s="191" t="s">
        <v>479</v>
      </c>
      <c r="BG3249" s="191" t="s">
        <v>479</v>
      </c>
      <c r="BH3249" s="226" t="s">
        <v>3074</v>
      </c>
      <c r="BI3249" s="191" t="s">
        <v>479</v>
      </c>
      <c r="BJ3249" s="55" t="s">
        <v>176</v>
      </c>
      <c r="BK3249" s="55" t="s">
        <v>5976</v>
      </c>
      <c r="BM3249" s="192" t="s">
        <v>3067</v>
      </c>
      <c r="CM3249" s="65">
        <v>0.34</v>
      </c>
      <c r="CN3249" s="65">
        <v>0.31</v>
      </c>
      <c r="DA3249" s="65" t="s">
        <v>4458</v>
      </c>
      <c r="DB3249" s="65">
        <v>0.31</v>
      </c>
      <c r="DC3249" s="65">
        <v>0.35</v>
      </c>
      <c r="DF3249" s="65" t="s">
        <v>360</v>
      </c>
      <c r="DG3249" s="65">
        <v>2.67</v>
      </c>
      <c r="DH3249" s="65">
        <v>2.34</v>
      </c>
      <c r="DK3249" s="65" t="s">
        <v>3072</v>
      </c>
      <c r="GP3249" s="292" t="s">
        <v>7494</v>
      </c>
    </row>
    <row r="3250" spans="1:198" x14ac:dyDescent="0.25">
      <c r="A3250" s="55">
        <v>3249</v>
      </c>
      <c r="B3250" s="12" t="s">
        <v>7067</v>
      </c>
      <c r="C3250" s="155">
        <v>153</v>
      </c>
      <c r="D3250" s="55" t="s">
        <v>4331</v>
      </c>
      <c r="E3250" s="90" t="s">
        <v>3061</v>
      </c>
      <c r="G3250" s="55" t="s">
        <v>3060</v>
      </c>
      <c r="H3250" s="55">
        <v>1999</v>
      </c>
      <c r="I3250" s="55">
        <v>1986</v>
      </c>
      <c r="J3250" s="55" t="s">
        <v>3064</v>
      </c>
      <c r="K3250" s="55" t="s">
        <v>3063</v>
      </c>
      <c r="L3250" s="55" t="s">
        <v>3065</v>
      </c>
      <c r="M3250" s="90">
        <v>11.1</v>
      </c>
      <c r="N3250" s="90">
        <f>-4-23/60</f>
        <v>-4.3833333333333337</v>
      </c>
      <c r="O3250" s="90">
        <v>405</v>
      </c>
      <c r="S3250" s="90">
        <f>(900+1200)/2</f>
        <v>1050</v>
      </c>
      <c r="U3250" s="55" t="s">
        <v>1816</v>
      </c>
      <c r="V3250" s="55" t="s">
        <v>1816</v>
      </c>
      <c r="Y3250" s="55" t="s">
        <v>3062</v>
      </c>
      <c r="Z3250" s="55" t="s">
        <v>1367</v>
      </c>
      <c r="AA3250" s="90" t="s">
        <v>1687</v>
      </c>
      <c r="AM3250" s="55" t="s">
        <v>3066</v>
      </c>
      <c r="AN3250" s="185" t="s">
        <v>2282</v>
      </c>
      <c r="AO3250" s="185" t="s">
        <v>5150</v>
      </c>
      <c r="AQ3250" s="55" t="s">
        <v>553</v>
      </c>
      <c r="AR3250" s="55" t="s">
        <v>1607</v>
      </c>
      <c r="AS3250" s="55" t="s">
        <v>132</v>
      </c>
      <c r="AU3250" s="181" t="s">
        <v>7494</v>
      </c>
      <c r="AV3250" s="185" t="s">
        <v>176</v>
      </c>
      <c r="AX3250" s="185" t="s">
        <v>176</v>
      </c>
      <c r="BE3250" s="226" t="s">
        <v>3074</v>
      </c>
      <c r="BF3250" s="191" t="s">
        <v>479</v>
      </c>
      <c r="BG3250" s="191" t="s">
        <v>479</v>
      </c>
      <c r="BH3250" s="226" t="s">
        <v>3074</v>
      </c>
      <c r="BI3250" s="191" t="s">
        <v>479</v>
      </c>
      <c r="BJ3250" s="55" t="s">
        <v>176</v>
      </c>
      <c r="BK3250" s="55" t="s">
        <v>5976</v>
      </c>
      <c r="BM3250" s="192" t="s">
        <v>3067</v>
      </c>
      <c r="CM3250" s="65">
        <v>0.34</v>
      </c>
      <c r="CN3250" s="65">
        <v>0.37</v>
      </c>
      <c r="DA3250" s="65" t="s">
        <v>4458</v>
      </c>
      <c r="DB3250" s="65">
        <v>0.31</v>
      </c>
      <c r="DC3250" s="65">
        <v>0.37</v>
      </c>
      <c r="DF3250" s="65" t="s">
        <v>360</v>
      </c>
      <c r="DG3250" s="65">
        <v>2.67</v>
      </c>
      <c r="DH3250" s="65">
        <v>4.0199999999999996</v>
      </c>
      <c r="DK3250" s="65" t="s">
        <v>3072</v>
      </c>
      <c r="GP3250" s="292" t="s">
        <v>7494</v>
      </c>
    </row>
    <row r="3251" spans="1:198" x14ac:dyDescent="0.25">
      <c r="A3251" s="55">
        <v>3250</v>
      </c>
      <c r="B3251" s="12" t="s">
        <v>7067</v>
      </c>
      <c r="C3251" s="155">
        <v>153</v>
      </c>
      <c r="D3251" s="55" t="s">
        <v>4331</v>
      </c>
      <c r="E3251" s="90" t="s">
        <v>3061</v>
      </c>
      <c r="G3251" s="55" t="s">
        <v>3060</v>
      </c>
      <c r="H3251" s="55">
        <v>1999</v>
      </c>
      <c r="I3251" s="55">
        <v>1986</v>
      </c>
      <c r="J3251" s="55" t="s">
        <v>3064</v>
      </c>
      <c r="K3251" s="55" t="s">
        <v>3063</v>
      </c>
      <c r="L3251" s="55" t="s">
        <v>3065</v>
      </c>
      <c r="M3251" s="90">
        <v>11.1</v>
      </c>
      <c r="N3251" s="90">
        <f>-4-23/60</f>
        <v>-4.3833333333333337</v>
      </c>
      <c r="O3251" s="90">
        <v>405</v>
      </c>
      <c r="S3251" s="90">
        <f>(900+1200)/2</f>
        <v>1050</v>
      </c>
      <c r="U3251" s="55" t="s">
        <v>1816</v>
      </c>
      <c r="V3251" s="55" t="s">
        <v>1816</v>
      </c>
      <c r="Y3251" s="55" t="s">
        <v>3062</v>
      </c>
      <c r="Z3251" s="55" t="s">
        <v>1367</v>
      </c>
      <c r="AA3251" s="90" t="s">
        <v>1687</v>
      </c>
      <c r="AM3251" s="55" t="s">
        <v>3066</v>
      </c>
      <c r="AN3251" s="185" t="s">
        <v>2282</v>
      </c>
      <c r="AO3251" s="185" t="s">
        <v>5150</v>
      </c>
      <c r="AQ3251" s="55" t="s">
        <v>553</v>
      </c>
      <c r="AR3251" s="55" t="s">
        <v>1607</v>
      </c>
      <c r="AS3251" s="55" t="s">
        <v>132</v>
      </c>
      <c r="AU3251" s="181" t="s">
        <v>7494</v>
      </c>
      <c r="AV3251" s="185" t="s">
        <v>176</v>
      </c>
      <c r="AX3251" s="185" t="s">
        <v>176</v>
      </c>
      <c r="BE3251" s="226" t="s">
        <v>3074</v>
      </c>
      <c r="BF3251" s="191" t="s">
        <v>479</v>
      </c>
      <c r="BG3251" s="191" t="s">
        <v>479</v>
      </c>
      <c r="BH3251" s="226" t="s">
        <v>3074</v>
      </c>
      <c r="BI3251" s="191" t="s">
        <v>479</v>
      </c>
      <c r="BJ3251" s="55" t="s">
        <v>176</v>
      </c>
      <c r="BK3251" s="55" t="s">
        <v>5976</v>
      </c>
      <c r="BM3251" s="192" t="s">
        <v>3067</v>
      </c>
      <c r="CM3251" s="65">
        <v>0.34</v>
      </c>
      <c r="CN3251" s="65">
        <v>0.32</v>
      </c>
      <c r="DA3251" s="65" t="s">
        <v>4458</v>
      </c>
      <c r="DB3251" s="65">
        <v>0.31</v>
      </c>
      <c r="DC3251" s="65">
        <v>0.33</v>
      </c>
      <c r="DF3251" s="65" t="s">
        <v>360</v>
      </c>
      <c r="DG3251" s="65">
        <v>2.67</v>
      </c>
      <c r="DH3251" s="65">
        <v>3.16</v>
      </c>
      <c r="DK3251" s="65" t="s">
        <v>3072</v>
      </c>
      <c r="GP3251" s="292" t="s">
        <v>7494</v>
      </c>
    </row>
    <row r="3252" spans="1:198" x14ac:dyDescent="0.25">
      <c r="A3252" s="55">
        <v>3251</v>
      </c>
      <c r="B3252" s="12" t="s">
        <v>7067</v>
      </c>
      <c r="C3252" s="155">
        <v>153</v>
      </c>
      <c r="D3252" s="55" t="s">
        <v>4331</v>
      </c>
      <c r="E3252" s="90" t="s">
        <v>3061</v>
      </c>
      <c r="G3252" s="55" t="s">
        <v>3060</v>
      </c>
      <c r="H3252" s="55">
        <v>1999</v>
      </c>
      <c r="I3252" s="55">
        <v>1986</v>
      </c>
      <c r="J3252" s="55" t="s">
        <v>3064</v>
      </c>
      <c r="K3252" s="55" t="s">
        <v>3063</v>
      </c>
      <c r="L3252" s="55" t="s">
        <v>3065</v>
      </c>
      <c r="M3252" s="90">
        <v>11.1</v>
      </c>
      <c r="N3252" s="90">
        <f>-4-23/60</f>
        <v>-4.3833333333333337</v>
      </c>
      <c r="O3252" s="90">
        <v>405</v>
      </c>
      <c r="S3252" s="90">
        <f>(900+1200)/2</f>
        <v>1050</v>
      </c>
      <c r="U3252" s="55" t="s">
        <v>1816</v>
      </c>
      <c r="V3252" s="55" t="s">
        <v>1816</v>
      </c>
      <c r="Y3252" s="55" t="s">
        <v>3062</v>
      </c>
      <c r="Z3252" s="55" t="s">
        <v>1367</v>
      </c>
      <c r="AA3252" s="90" t="s">
        <v>1687</v>
      </c>
      <c r="AM3252" s="55" t="s">
        <v>3066</v>
      </c>
      <c r="AN3252" s="185" t="s">
        <v>2282</v>
      </c>
      <c r="AO3252" s="185" t="s">
        <v>5150</v>
      </c>
      <c r="AQ3252" s="55" t="s">
        <v>553</v>
      </c>
      <c r="AR3252" s="55" t="s">
        <v>1607</v>
      </c>
      <c r="AS3252" s="55" t="s">
        <v>132</v>
      </c>
      <c r="AU3252" s="181" t="s">
        <v>7494</v>
      </c>
      <c r="AV3252" s="185" t="s">
        <v>176</v>
      </c>
      <c r="AX3252" s="185" t="s">
        <v>176</v>
      </c>
      <c r="BE3252" s="226" t="s">
        <v>3074</v>
      </c>
      <c r="BF3252" s="191" t="s">
        <v>479</v>
      </c>
      <c r="BG3252" s="191" t="s">
        <v>479</v>
      </c>
      <c r="BH3252" s="226" t="s">
        <v>3074</v>
      </c>
      <c r="BI3252" s="191" t="s">
        <v>479</v>
      </c>
      <c r="BJ3252" s="55" t="s">
        <v>176</v>
      </c>
      <c r="BK3252" s="55" t="s">
        <v>5976</v>
      </c>
      <c r="BM3252" s="192" t="s">
        <v>3067</v>
      </c>
      <c r="CM3252" s="65">
        <v>0.34</v>
      </c>
      <c r="CN3252" s="65">
        <v>0.35</v>
      </c>
      <c r="DA3252" s="65" t="s">
        <v>4458</v>
      </c>
      <c r="DB3252" s="65">
        <v>0.31</v>
      </c>
      <c r="DC3252" s="65">
        <v>0.26</v>
      </c>
      <c r="DF3252" s="65" t="s">
        <v>360</v>
      </c>
      <c r="DG3252" s="65">
        <v>2.67</v>
      </c>
      <c r="DH3252" s="65">
        <v>3.85</v>
      </c>
      <c r="DK3252" s="65" t="s">
        <v>3072</v>
      </c>
      <c r="GP3252" s="292" t="s">
        <v>7494</v>
      </c>
    </row>
    <row r="3253" spans="1:198" x14ac:dyDescent="0.25">
      <c r="A3253" s="55">
        <v>3252</v>
      </c>
      <c r="B3253" s="12" t="s">
        <v>7067</v>
      </c>
      <c r="C3253" s="155">
        <v>153</v>
      </c>
      <c r="D3253" s="55" t="s">
        <v>4331</v>
      </c>
      <c r="E3253" s="90" t="s">
        <v>3061</v>
      </c>
      <c r="G3253" s="55" t="s">
        <v>3060</v>
      </c>
      <c r="H3253" s="55">
        <v>1999</v>
      </c>
      <c r="I3253" s="55">
        <v>1986</v>
      </c>
      <c r="J3253" s="55" t="s">
        <v>3064</v>
      </c>
      <c r="K3253" s="55" t="s">
        <v>3063</v>
      </c>
      <c r="L3253" s="55" t="s">
        <v>3065</v>
      </c>
      <c r="M3253" s="90">
        <v>11.1</v>
      </c>
      <c r="N3253" s="90">
        <f>-4-23/60</f>
        <v>-4.3833333333333337</v>
      </c>
      <c r="O3253" s="90">
        <v>405</v>
      </c>
      <c r="S3253" s="90">
        <f>(900+1200)/2</f>
        <v>1050</v>
      </c>
      <c r="U3253" s="55" t="s">
        <v>1816</v>
      </c>
      <c r="V3253" s="55" t="s">
        <v>1816</v>
      </c>
      <c r="Y3253" s="55" t="s">
        <v>3062</v>
      </c>
      <c r="Z3253" s="55" t="s">
        <v>1367</v>
      </c>
      <c r="AA3253" s="90" t="s">
        <v>1687</v>
      </c>
      <c r="AM3253" s="55" t="s">
        <v>3066</v>
      </c>
      <c r="AN3253" s="185" t="s">
        <v>2666</v>
      </c>
      <c r="AO3253" s="185" t="s">
        <v>5150</v>
      </c>
      <c r="AQ3253" s="55" t="s">
        <v>553</v>
      </c>
      <c r="AR3253" s="55" t="s">
        <v>1607</v>
      </c>
      <c r="AS3253" s="55" t="s">
        <v>132</v>
      </c>
      <c r="AU3253" s="181" t="s">
        <v>7494</v>
      </c>
      <c r="AV3253" s="185" t="s">
        <v>176</v>
      </c>
      <c r="AX3253" s="185" t="s">
        <v>176</v>
      </c>
      <c r="BE3253" s="226" t="s">
        <v>3074</v>
      </c>
      <c r="BF3253" s="191" t="s">
        <v>479</v>
      </c>
      <c r="BG3253" s="191" t="s">
        <v>479</v>
      </c>
      <c r="BH3253" s="226" t="s">
        <v>3074</v>
      </c>
      <c r="BI3253" s="191" t="s">
        <v>479</v>
      </c>
      <c r="BJ3253" s="55" t="s">
        <v>176</v>
      </c>
      <c r="BK3253" s="55" t="s">
        <v>5976</v>
      </c>
      <c r="BM3253" s="192" t="s">
        <v>3067</v>
      </c>
      <c r="CM3253" s="65">
        <v>0.34</v>
      </c>
      <c r="CN3253" s="65">
        <v>0.38</v>
      </c>
      <c r="DA3253" s="65" t="s">
        <v>4458</v>
      </c>
      <c r="DB3253" s="65">
        <v>0.31</v>
      </c>
      <c r="DC3253" s="65">
        <v>0.34</v>
      </c>
      <c r="DF3253" s="65" t="s">
        <v>360</v>
      </c>
      <c r="DG3253" s="65">
        <v>2.67</v>
      </c>
      <c r="DH3253" s="65">
        <v>2.23</v>
      </c>
      <c r="DK3253" s="65" t="s">
        <v>3072</v>
      </c>
      <c r="GP3253" s="292" t="s">
        <v>7494</v>
      </c>
    </row>
    <row r="3254" spans="1:198" x14ac:dyDescent="0.25">
      <c r="A3254" s="55">
        <v>3253</v>
      </c>
      <c r="B3254" s="12" t="s">
        <v>7067</v>
      </c>
      <c r="C3254" s="155">
        <v>153</v>
      </c>
      <c r="D3254" s="55" t="s">
        <v>4331</v>
      </c>
      <c r="E3254" s="90" t="s">
        <v>3061</v>
      </c>
      <c r="G3254" s="55" t="s">
        <v>3060</v>
      </c>
      <c r="H3254" s="55">
        <v>1999</v>
      </c>
      <c r="I3254" s="55">
        <v>1986</v>
      </c>
      <c r="J3254" s="55" t="s">
        <v>3064</v>
      </c>
      <c r="K3254" s="55" t="s">
        <v>3063</v>
      </c>
      <c r="L3254" s="55" t="s">
        <v>3065</v>
      </c>
      <c r="M3254" s="90">
        <v>11.1</v>
      </c>
      <c r="N3254" s="90">
        <f>-4-23/60</f>
        <v>-4.3833333333333337</v>
      </c>
      <c r="O3254" s="90">
        <v>405</v>
      </c>
      <c r="S3254" s="90">
        <f>(900+1200)/2</f>
        <v>1050</v>
      </c>
      <c r="U3254" s="55" t="s">
        <v>1816</v>
      </c>
      <c r="V3254" s="55" t="s">
        <v>1816</v>
      </c>
      <c r="Y3254" s="55" t="s">
        <v>3062</v>
      </c>
      <c r="Z3254" s="55" t="s">
        <v>1367</v>
      </c>
      <c r="AA3254" s="90" t="s">
        <v>1687</v>
      </c>
      <c r="AM3254" s="55" t="s">
        <v>3066</v>
      </c>
      <c r="AN3254" s="185" t="s">
        <v>2666</v>
      </c>
      <c r="AO3254" s="185" t="s">
        <v>5150</v>
      </c>
      <c r="AQ3254" s="55" t="s">
        <v>553</v>
      </c>
      <c r="AR3254" s="55" t="s">
        <v>1607</v>
      </c>
      <c r="AS3254" s="55" t="s">
        <v>132</v>
      </c>
      <c r="AU3254" s="181" t="s">
        <v>7494</v>
      </c>
      <c r="AV3254" s="185" t="s">
        <v>176</v>
      </c>
      <c r="AX3254" s="185" t="s">
        <v>176</v>
      </c>
      <c r="BE3254" s="226" t="s">
        <v>3074</v>
      </c>
      <c r="BF3254" s="191" t="s">
        <v>479</v>
      </c>
      <c r="BG3254" s="191" t="s">
        <v>479</v>
      </c>
      <c r="BH3254" s="226" t="s">
        <v>3074</v>
      </c>
      <c r="BI3254" s="191" t="s">
        <v>479</v>
      </c>
      <c r="BJ3254" s="55" t="s">
        <v>176</v>
      </c>
      <c r="BK3254" s="55" t="s">
        <v>5976</v>
      </c>
      <c r="BM3254" s="192" t="s">
        <v>3067</v>
      </c>
      <c r="CM3254" s="65">
        <v>0.34</v>
      </c>
      <c r="CN3254" s="65">
        <v>0.33</v>
      </c>
      <c r="DA3254" s="65" t="s">
        <v>4458</v>
      </c>
      <c r="DB3254" s="65">
        <v>0.31</v>
      </c>
      <c r="DC3254" s="65">
        <v>0.33</v>
      </c>
      <c r="DF3254" s="65" t="s">
        <v>360</v>
      </c>
      <c r="DG3254" s="65">
        <v>2.67</v>
      </c>
      <c r="DH3254" s="65">
        <v>1.56</v>
      </c>
      <c r="DK3254" s="65" t="s">
        <v>3072</v>
      </c>
      <c r="GP3254" s="292" t="s">
        <v>7494</v>
      </c>
    </row>
    <row r="3255" spans="1:198" x14ac:dyDescent="0.25">
      <c r="A3255" s="55">
        <v>3254</v>
      </c>
      <c r="B3255" s="12" t="s">
        <v>7067</v>
      </c>
      <c r="C3255" s="155">
        <v>153</v>
      </c>
      <c r="D3255" s="55" t="s">
        <v>4332</v>
      </c>
      <c r="E3255" s="90" t="s">
        <v>3061</v>
      </c>
      <c r="G3255" s="55" t="s">
        <v>3060</v>
      </c>
      <c r="H3255" s="55">
        <v>1999</v>
      </c>
      <c r="I3255" s="55">
        <v>1986</v>
      </c>
      <c r="J3255" s="55" t="s">
        <v>3064</v>
      </c>
      <c r="K3255" s="55" t="s">
        <v>3063</v>
      </c>
      <c r="L3255" s="55" t="s">
        <v>3065</v>
      </c>
      <c r="M3255" s="90">
        <v>11.1</v>
      </c>
      <c r="N3255" s="90">
        <f>-4-23/60</f>
        <v>-4.3833333333333337</v>
      </c>
      <c r="O3255" s="90">
        <v>405</v>
      </c>
      <c r="S3255" s="90">
        <f>(900+1200)/2</f>
        <v>1050</v>
      </c>
      <c r="U3255" s="55" t="s">
        <v>1816</v>
      </c>
      <c r="V3255" s="55" t="s">
        <v>1816</v>
      </c>
      <c r="Y3255" s="55" t="s">
        <v>3062</v>
      </c>
      <c r="Z3255" s="55" t="s">
        <v>1367</v>
      </c>
      <c r="AA3255" s="90" t="s">
        <v>1687</v>
      </c>
      <c r="AM3255" s="55" t="s">
        <v>3066</v>
      </c>
      <c r="AN3255" s="185" t="s">
        <v>2282</v>
      </c>
      <c r="AO3255" s="185" t="s">
        <v>5150</v>
      </c>
      <c r="AQ3255" s="55" t="s">
        <v>553</v>
      </c>
      <c r="AR3255" s="55" t="s">
        <v>1607</v>
      </c>
      <c r="AS3255" s="55" t="s">
        <v>132</v>
      </c>
      <c r="AU3255" s="181" t="s">
        <v>7494</v>
      </c>
      <c r="AV3255" s="185" t="s">
        <v>176</v>
      </c>
      <c r="AX3255" s="185" t="s">
        <v>176</v>
      </c>
      <c r="BE3255" s="226" t="s">
        <v>3075</v>
      </c>
      <c r="BF3255" s="191" t="s">
        <v>479</v>
      </c>
      <c r="BG3255" s="191" t="s">
        <v>479</v>
      </c>
      <c r="BH3255" s="226" t="s">
        <v>3075</v>
      </c>
      <c r="BI3255" s="191" t="s">
        <v>479</v>
      </c>
      <c r="BJ3255" s="55" t="s">
        <v>176</v>
      </c>
      <c r="BK3255" s="55" t="s">
        <v>5976</v>
      </c>
      <c r="BM3255" s="192" t="s">
        <v>3067</v>
      </c>
      <c r="CM3255" s="65">
        <v>0.33</v>
      </c>
      <c r="CN3255" s="65">
        <v>0.34</v>
      </c>
      <c r="DA3255" s="65" t="s">
        <v>4458</v>
      </c>
      <c r="DB3255" s="65">
        <v>0.33</v>
      </c>
      <c r="DC3255" s="65">
        <v>0.38</v>
      </c>
      <c r="DF3255" s="65" t="s">
        <v>360</v>
      </c>
      <c r="DG3255" s="65">
        <v>1.39</v>
      </c>
      <c r="DH3255" s="65">
        <v>2.99</v>
      </c>
      <c r="DK3255" s="65" t="s">
        <v>3072</v>
      </c>
      <c r="GP3255" s="292" t="s">
        <v>7494</v>
      </c>
    </row>
    <row r="3256" spans="1:198" x14ac:dyDescent="0.25">
      <c r="A3256" s="55">
        <v>3255</v>
      </c>
      <c r="B3256" s="12" t="s">
        <v>7067</v>
      </c>
      <c r="C3256" s="155">
        <v>153</v>
      </c>
      <c r="D3256" s="55" t="s">
        <v>4332</v>
      </c>
      <c r="E3256" s="90" t="s">
        <v>3061</v>
      </c>
      <c r="G3256" s="55" t="s">
        <v>3060</v>
      </c>
      <c r="H3256" s="55">
        <v>1999</v>
      </c>
      <c r="I3256" s="55">
        <v>1986</v>
      </c>
      <c r="J3256" s="55" t="s">
        <v>3064</v>
      </c>
      <c r="K3256" s="55" t="s">
        <v>3063</v>
      </c>
      <c r="L3256" s="55" t="s">
        <v>3065</v>
      </c>
      <c r="M3256" s="90">
        <v>11.1</v>
      </c>
      <c r="N3256" s="90">
        <f>-4-23/60</f>
        <v>-4.3833333333333337</v>
      </c>
      <c r="O3256" s="90">
        <v>405</v>
      </c>
      <c r="S3256" s="90">
        <f>(900+1200)/2</f>
        <v>1050</v>
      </c>
      <c r="U3256" s="55" t="s">
        <v>1816</v>
      </c>
      <c r="V3256" s="55" t="s">
        <v>1816</v>
      </c>
      <c r="Y3256" s="55" t="s">
        <v>3062</v>
      </c>
      <c r="Z3256" s="55" t="s">
        <v>1367</v>
      </c>
      <c r="AA3256" s="90" t="s">
        <v>1687</v>
      </c>
      <c r="AM3256" s="55" t="s">
        <v>3066</v>
      </c>
      <c r="AN3256" s="185" t="s">
        <v>2282</v>
      </c>
      <c r="AO3256" s="185" t="s">
        <v>5150</v>
      </c>
      <c r="AQ3256" s="55" t="s">
        <v>553</v>
      </c>
      <c r="AR3256" s="55" t="s">
        <v>1607</v>
      </c>
      <c r="AS3256" s="55" t="s">
        <v>132</v>
      </c>
      <c r="AU3256" s="181" t="s">
        <v>7494</v>
      </c>
      <c r="AV3256" s="185" t="s">
        <v>176</v>
      </c>
      <c r="AX3256" s="185" t="s">
        <v>176</v>
      </c>
      <c r="BE3256" s="226" t="s">
        <v>3075</v>
      </c>
      <c r="BF3256" s="191" t="s">
        <v>479</v>
      </c>
      <c r="BG3256" s="191" t="s">
        <v>479</v>
      </c>
      <c r="BH3256" s="226" t="s">
        <v>3075</v>
      </c>
      <c r="BI3256" s="191" t="s">
        <v>479</v>
      </c>
      <c r="BJ3256" s="55" t="s">
        <v>176</v>
      </c>
      <c r="BK3256" s="55" t="s">
        <v>5976</v>
      </c>
      <c r="BM3256" s="192" t="s">
        <v>3067</v>
      </c>
      <c r="CM3256" s="65">
        <v>0.33</v>
      </c>
      <c r="CN3256" s="65">
        <v>0.35</v>
      </c>
      <c r="DA3256" s="65" t="s">
        <v>4458</v>
      </c>
      <c r="DB3256" s="65">
        <v>0.33</v>
      </c>
      <c r="DC3256" s="65">
        <v>0.33</v>
      </c>
      <c r="DF3256" s="65" t="s">
        <v>360</v>
      </c>
      <c r="DG3256" s="65">
        <v>1.39</v>
      </c>
      <c r="DH3256" s="65">
        <v>2.2599999999999998</v>
      </c>
      <c r="DK3256" s="65" t="s">
        <v>3072</v>
      </c>
      <c r="GP3256" s="292" t="s">
        <v>7494</v>
      </c>
    </row>
    <row r="3257" spans="1:198" x14ac:dyDescent="0.25">
      <c r="A3257" s="55">
        <v>3256</v>
      </c>
      <c r="B3257" s="12" t="s">
        <v>7067</v>
      </c>
      <c r="C3257" s="155">
        <v>153</v>
      </c>
      <c r="D3257" s="55" t="s">
        <v>4332</v>
      </c>
      <c r="E3257" s="90" t="s">
        <v>3061</v>
      </c>
      <c r="G3257" s="55" t="s">
        <v>3060</v>
      </c>
      <c r="H3257" s="55">
        <v>1999</v>
      </c>
      <c r="I3257" s="55">
        <v>1986</v>
      </c>
      <c r="J3257" s="55" t="s">
        <v>3064</v>
      </c>
      <c r="K3257" s="55" t="s">
        <v>3063</v>
      </c>
      <c r="L3257" s="55" t="s">
        <v>3065</v>
      </c>
      <c r="M3257" s="90">
        <v>11.1</v>
      </c>
      <c r="N3257" s="90">
        <f>-4-23/60</f>
        <v>-4.3833333333333337</v>
      </c>
      <c r="O3257" s="90">
        <v>405</v>
      </c>
      <c r="S3257" s="90">
        <f>(900+1200)/2</f>
        <v>1050</v>
      </c>
      <c r="U3257" s="55" t="s">
        <v>1816</v>
      </c>
      <c r="V3257" s="55" t="s">
        <v>1816</v>
      </c>
      <c r="Y3257" s="55" t="s">
        <v>3062</v>
      </c>
      <c r="Z3257" s="55" t="s">
        <v>1367</v>
      </c>
      <c r="AA3257" s="90" t="s">
        <v>1687</v>
      </c>
      <c r="AM3257" s="55" t="s">
        <v>3066</v>
      </c>
      <c r="AN3257" s="185" t="s">
        <v>2282</v>
      </c>
      <c r="AO3257" s="185" t="s">
        <v>5150</v>
      </c>
      <c r="AQ3257" s="55" t="s">
        <v>553</v>
      </c>
      <c r="AR3257" s="55" t="s">
        <v>1607</v>
      </c>
      <c r="AS3257" s="55" t="s">
        <v>132</v>
      </c>
      <c r="AU3257" s="181" t="s">
        <v>7494</v>
      </c>
      <c r="AV3257" s="185" t="s">
        <v>176</v>
      </c>
      <c r="AX3257" s="185" t="s">
        <v>176</v>
      </c>
      <c r="BE3257" s="226" t="s">
        <v>3075</v>
      </c>
      <c r="BF3257" s="191" t="s">
        <v>479</v>
      </c>
      <c r="BG3257" s="191" t="s">
        <v>479</v>
      </c>
      <c r="BH3257" s="226" t="s">
        <v>3075</v>
      </c>
      <c r="BI3257" s="191" t="s">
        <v>479</v>
      </c>
      <c r="BJ3257" s="55" t="s">
        <v>176</v>
      </c>
      <c r="BK3257" s="55" t="s">
        <v>5976</v>
      </c>
      <c r="BM3257" s="192" t="s">
        <v>3067</v>
      </c>
      <c r="CM3257" s="65">
        <v>0.33</v>
      </c>
      <c r="CN3257" s="65">
        <v>0.36</v>
      </c>
      <c r="DA3257" s="65" t="s">
        <v>4458</v>
      </c>
      <c r="DB3257" s="65">
        <v>0.33</v>
      </c>
      <c r="DC3257" s="65">
        <v>0.33</v>
      </c>
      <c r="DF3257" s="65" t="s">
        <v>360</v>
      </c>
      <c r="DG3257" s="65">
        <v>1.39</v>
      </c>
      <c r="DH3257" s="65">
        <v>2.09</v>
      </c>
      <c r="DK3257" s="65" t="s">
        <v>3072</v>
      </c>
      <c r="GP3257" s="292" t="s">
        <v>7494</v>
      </c>
    </row>
    <row r="3258" spans="1:198" x14ac:dyDescent="0.25">
      <c r="A3258" s="55">
        <v>3257</v>
      </c>
      <c r="B3258" s="12" t="s">
        <v>7067</v>
      </c>
      <c r="C3258" s="155">
        <v>153</v>
      </c>
      <c r="D3258" s="55" t="s">
        <v>4332</v>
      </c>
      <c r="E3258" s="90" t="s">
        <v>3061</v>
      </c>
      <c r="G3258" s="55" t="s">
        <v>3060</v>
      </c>
      <c r="H3258" s="55">
        <v>1999</v>
      </c>
      <c r="I3258" s="55">
        <v>1986</v>
      </c>
      <c r="J3258" s="55" t="s">
        <v>3064</v>
      </c>
      <c r="K3258" s="55" t="s">
        <v>3063</v>
      </c>
      <c r="L3258" s="55" t="s">
        <v>3065</v>
      </c>
      <c r="M3258" s="90">
        <v>11.1</v>
      </c>
      <c r="N3258" s="90">
        <f>-4-23/60</f>
        <v>-4.3833333333333337</v>
      </c>
      <c r="O3258" s="90">
        <v>405</v>
      </c>
      <c r="S3258" s="90">
        <f>(900+1200)/2</f>
        <v>1050</v>
      </c>
      <c r="U3258" s="55" t="s">
        <v>1816</v>
      </c>
      <c r="V3258" s="55" t="s">
        <v>1816</v>
      </c>
      <c r="Y3258" s="55" t="s">
        <v>3062</v>
      </c>
      <c r="Z3258" s="55" t="s">
        <v>1367</v>
      </c>
      <c r="AA3258" s="90" t="s">
        <v>1687</v>
      </c>
      <c r="AM3258" s="55" t="s">
        <v>3066</v>
      </c>
      <c r="AN3258" s="185" t="s">
        <v>2282</v>
      </c>
      <c r="AO3258" s="185" t="s">
        <v>5150</v>
      </c>
      <c r="AQ3258" s="55" t="s">
        <v>553</v>
      </c>
      <c r="AR3258" s="55" t="s">
        <v>1607</v>
      </c>
      <c r="AS3258" s="55" t="s">
        <v>132</v>
      </c>
      <c r="AU3258" s="181" t="s">
        <v>7494</v>
      </c>
      <c r="AV3258" s="185" t="s">
        <v>176</v>
      </c>
      <c r="AX3258" s="185" t="s">
        <v>176</v>
      </c>
      <c r="BE3258" s="226" t="s">
        <v>3075</v>
      </c>
      <c r="BF3258" s="191" t="s">
        <v>479</v>
      </c>
      <c r="BG3258" s="191" t="s">
        <v>479</v>
      </c>
      <c r="BH3258" s="226" t="s">
        <v>3075</v>
      </c>
      <c r="BI3258" s="191" t="s">
        <v>479</v>
      </c>
      <c r="BJ3258" s="55" t="s">
        <v>176</v>
      </c>
      <c r="BK3258" s="55" t="s">
        <v>5976</v>
      </c>
      <c r="BM3258" s="192" t="s">
        <v>3067</v>
      </c>
      <c r="CM3258" s="65">
        <v>0.33</v>
      </c>
      <c r="CN3258" s="65">
        <v>0.32</v>
      </c>
      <c r="DA3258" s="65" t="s">
        <v>4458</v>
      </c>
      <c r="DB3258" s="65">
        <v>0.33</v>
      </c>
      <c r="DC3258" s="65">
        <v>0.27</v>
      </c>
      <c r="DF3258" s="65" t="s">
        <v>360</v>
      </c>
      <c r="DG3258" s="65">
        <v>1.39</v>
      </c>
      <c r="DH3258" s="65">
        <v>2.87</v>
      </c>
      <c r="DK3258" s="65" t="s">
        <v>3072</v>
      </c>
      <c r="GP3258" s="292" t="s">
        <v>7494</v>
      </c>
    </row>
    <row r="3259" spans="1:198" x14ac:dyDescent="0.25">
      <c r="A3259" s="55">
        <v>3258</v>
      </c>
      <c r="B3259" s="12" t="s">
        <v>7067</v>
      </c>
      <c r="C3259" s="155">
        <v>153</v>
      </c>
      <c r="D3259" s="55" t="s">
        <v>4332</v>
      </c>
      <c r="E3259" s="90" t="s">
        <v>3061</v>
      </c>
      <c r="G3259" s="55" t="s">
        <v>3060</v>
      </c>
      <c r="H3259" s="55">
        <v>1999</v>
      </c>
      <c r="I3259" s="55">
        <v>1986</v>
      </c>
      <c r="J3259" s="55" t="s">
        <v>3064</v>
      </c>
      <c r="K3259" s="55" t="s">
        <v>3063</v>
      </c>
      <c r="L3259" s="55" t="s">
        <v>3065</v>
      </c>
      <c r="M3259" s="90">
        <v>11.1</v>
      </c>
      <c r="N3259" s="90">
        <f>-4-23/60</f>
        <v>-4.3833333333333337</v>
      </c>
      <c r="O3259" s="90">
        <v>405</v>
      </c>
      <c r="S3259" s="90">
        <f>(900+1200)/2</f>
        <v>1050</v>
      </c>
      <c r="U3259" s="55" t="s">
        <v>1816</v>
      </c>
      <c r="V3259" s="55" t="s">
        <v>1816</v>
      </c>
      <c r="Y3259" s="55" t="s">
        <v>3062</v>
      </c>
      <c r="Z3259" s="55" t="s">
        <v>1367</v>
      </c>
      <c r="AA3259" s="90" t="s">
        <v>1687</v>
      </c>
      <c r="AM3259" s="55" t="s">
        <v>3066</v>
      </c>
      <c r="AN3259" s="185" t="s">
        <v>2666</v>
      </c>
      <c r="AO3259" s="185" t="s">
        <v>5150</v>
      </c>
      <c r="AQ3259" s="55" t="s">
        <v>553</v>
      </c>
      <c r="AR3259" s="55" t="s">
        <v>1607</v>
      </c>
      <c r="AS3259" s="55" t="s">
        <v>132</v>
      </c>
      <c r="AU3259" s="181" t="s">
        <v>7494</v>
      </c>
      <c r="AV3259" s="185" t="s">
        <v>176</v>
      </c>
      <c r="AX3259" s="185" t="s">
        <v>176</v>
      </c>
      <c r="BE3259" s="226" t="s">
        <v>3075</v>
      </c>
      <c r="BF3259" s="191" t="s">
        <v>479</v>
      </c>
      <c r="BG3259" s="191" t="s">
        <v>479</v>
      </c>
      <c r="BH3259" s="226" t="s">
        <v>3075</v>
      </c>
      <c r="BI3259" s="191" t="s">
        <v>479</v>
      </c>
      <c r="BJ3259" s="55" t="s">
        <v>176</v>
      </c>
      <c r="BK3259" s="55" t="s">
        <v>5976</v>
      </c>
      <c r="BM3259" s="192" t="s">
        <v>3067</v>
      </c>
      <c r="CM3259" s="65">
        <v>0.33</v>
      </c>
      <c r="CN3259" s="65">
        <v>0.38</v>
      </c>
      <c r="DA3259" s="65" t="s">
        <v>4458</v>
      </c>
      <c r="DB3259" s="65">
        <v>0.33</v>
      </c>
      <c r="DC3259" s="65">
        <v>0.34</v>
      </c>
      <c r="DF3259" s="65" t="s">
        <v>360</v>
      </c>
      <c r="DG3259" s="65">
        <v>1.39</v>
      </c>
      <c r="DH3259" s="65">
        <v>0.82</v>
      </c>
      <c r="DK3259" s="65" t="s">
        <v>3072</v>
      </c>
      <c r="GP3259" s="292" t="s">
        <v>7494</v>
      </c>
    </row>
    <row r="3260" spans="1:198" x14ac:dyDescent="0.25">
      <c r="A3260" s="55">
        <v>3259</v>
      </c>
      <c r="B3260" s="12" t="s">
        <v>7067</v>
      </c>
      <c r="C3260" s="155">
        <v>153</v>
      </c>
      <c r="D3260" s="55" t="s">
        <v>4332</v>
      </c>
      <c r="E3260" s="90" t="s">
        <v>3061</v>
      </c>
      <c r="G3260" s="55" t="s">
        <v>3060</v>
      </c>
      <c r="H3260" s="55">
        <v>1999</v>
      </c>
      <c r="I3260" s="55">
        <v>1986</v>
      </c>
      <c r="J3260" s="55" t="s">
        <v>3064</v>
      </c>
      <c r="K3260" s="55" t="s">
        <v>3063</v>
      </c>
      <c r="L3260" s="55" t="s">
        <v>3065</v>
      </c>
      <c r="M3260" s="90">
        <v>11.1</v>
      </c>
      <c r="N3260" s="90">
        <f>-4-23/60</f>
        <v>-4.3833333333333337</v>
      </c>
      <c r="O3260" s="90">
        <v>405</v>
      </c>
      <c r="S3260" s="90">
        <f>(900+1200)/2</f>
        <v>1050</v>
      </c>
      <c r="U3260" s="55" t="s">
        <v>1816</v>
      </c>
      <c r="V3260" s="55" t="s">
        <v>1816</v>
      </c>
      <c r="Y3260" s="55" t="s">
        <v>3062</v>
      </c>
      <c r="Z3260" s="55" t="s">
        <v>1367</v>
      </c>
      <c r="AA3260" s="90" t="s">
        <v>1687</v>
      </c>
      <c r="AM3260" s="55" t="s">
        <v>3066</v>
      </c>
      <c r="AN3260" s="185" t="s">
        <v>2666</v>
      </c>
      <c r="AO3260" s="185" t="s">
        <v>5150</v>
      </c>
      <c r="AQ3260" s="55" t="s">
        <v>553</v>
      </c>
      <c r="AR3260" s="55" t="s">
        <v>1607</v>
      </c>
      <c r="AS3260" s="55" t="s">
        <v>132</v>
      </c>
      <c r="AU3260" s="181" t="s">
        <v>7494</v>
      </c>
      <c r="AV3260" s="185" t="s">
        <v>176</v>
      </c>
      <c r="AX3260" s="185" t="s">
        <v>176</v>
      </c>
      <c r="BE3260" s="226" t="s">
        <v>3075</v>
      </c>
      <c r="BF3260" s="191" t="s">
        <v>479</v>
      </c>
      <c r="BG3260" s="191" t="s">
        <v>479</v>
      </c>
      <c r="BH3260" s="226" t="s">
        <v>3075</v>
      </c>
      <c r="BI3260" s="191" t="s">
        <v>479</v>
      </c>
      <c r="BJ3260" s="55" t="s">
        <v>176</v>
      </c>
      <c r="BK3260" s="55" t="s">
        <v>5976</v>
      </c>
      <c r="BM3260" s="192" t="s">
        <v>3067</v>
      </c>
      <c r="CM3260" s="65">
        <v>0.33</v>
      </c>
      <c r="CN3260" s="65">
        <v>0.35</v>
      </c>
      <c r="DA3260" s="65" t="s">
        <v>4458</v>
      </c>
      <c r="DB3260" s="65">
        <v>0.33</v>
      </c>
      <c r="DC3260" s="65">
        <v>0.31</v>
      </c>
      <c r="DF3260" s="65" t="s">
        <v>360</v>
      </c>
      <c r="DG3260" s="65">
        <v>1.39</v>
      </c>
      <c r="DH3260" s="65">
        <v>1.52</v>
      </c>
      <c r="DK3260" s="65" t="s">
        <v>3072</v>
      </c>
      <c r="GP3260" s="292" t="s">
        <v>7494</v>
      </c>
    </row>
    <row r="3261" spans="1:198" x14ac:dyDescent="0.25">
      <c r="A3261" s="55">
        <v>3260</v>
      </c>
      <c r="B3261" s="12" t="s">
        <v>7067</v>
      </c>
      <c r="C3261" s="155">
        <v>153</v>
      </c>
      <c r="D3261" s="55" t="s">
        <v>4332</v>
      </c>
      <c r="E3261" s="90" t="s">
        <v>3061</v>
      </c>
      <c r="G3261" s="55" t="s">
        <v>3060</v>
      </c>
      <c r="H3261" s="55">
        <v>1999</v>
      </c>
      <c r="I3261" s="55">
        <v>1986</v>
      </c>
      <c r="J3261" s="55" t="s">
        <v>3064</v>
      </c>
      <c r="K3261" s="55" t="s">
        <v>3063</v>
      </c>
      <c r="L3261" s="55" t="s">
        <v>3065</v>
      </c>
      <c r="M3261" s="90">
        <v>11.1</v>
      </c>
      <c r="N3261" s="90">
        <f>-4-23/60</f>
        <v>-4.3833333333333337</v>
      </c>
      <c r="O3261" s="90">
        <v>405</v>
      </c>
      <c r="S3261" s="90">
        <f>(900+1200)/2</f>
        <v>1050</v>
      </c>
      <c r="U3261" s="55" t="s">
        <v>1816</v>
      </c>
      <c r="V3261" s="55" t="s">
        <v>1816</v>
      </c>
      <c r="Y3261" s="55" t="s">
        <v>3062</v>
      </c>
      <c r="Z3261" s="55" t="s">
        <v>1367</v>
      </c>
      <c r="AA3261" s="90" t="s">
        <v>1687</v>
      </c>
      <c r="AM3261" s="55" t="s">
        <v>3066</v>
      </c>
      <c r="AN3261" s="185" t="s">
        <v>2282</v>
      </c>
      <c r="AO3261" s="185" t="s">
        <v>5150</v>
      </c>
      <c r="AQ3261" s="55" t="s">
        <v>553</v>
      </c>
      <c r="AR3261" s="55" t="s">
        <v>1607</v>
      </c>
      <c r="AS3261" s="55" t="s">
        <v>132</v>
      </c>
      <c r="AU3261" s="181" t="s">
        <v>7494</v>
      </c>
      <c r="AV3261" s="185" t="s">
        <v>176</v>
      </c>
      <c r="AX3261" s="185" t="s">
        <v>176</v>
      </c>
      <c r="BE3261" s="226" t="s">
        <v>3076</v>
      </c>
      <c r="BF3261" s="191" t="s">
        <v>479</v>
      </c>
      <c r="BG3261" s="191" t="s">
        <v>479</v>
      </c>
      <c r="BH3261" s="226" t="s">
        <v>3076</v>
      </c>
      <c r="BI3261" s="191" t="s">
        <v>479</v>
      </c>
      <c r="BJ3261" s="55" t="s">
        <v>176</v>
      </c>
      <c r="BK3261" s="55" t="s">
        <v>5976</v>
      </c>
      <c r="BM3261" s="192" t="s">
        <v>3067</v>
      </c>
      <c r="CM3261" s="65">
        <v>0.36</v>
      </c>
      <c r="CN3261" s="65">
        <v>0.35</v>
      </c>
      <c r="DA3261" s="65" t="s">
        <v>4458</v>
      </c>
      <c r="DB3261" s="65">
        <v>0.32</v>
      </c>
      <c r="DC3261" s="65">
        <v>0.37</v>
      </c>
      <c r="DF3261" s="65" t="s">
        <v>360</v>
      </c>
      <c r="DG3261" s="65">
        <v>6.51</v>
      </c>
      <c r="DH3261" s="65">
        <v>3.73</v>
      </c>
      <c r="DK3261" s="65" t="s">
        <v>3072</v>
      </c>
      <c r="GP3261" s="292" t="s">
        <v>7494</v>
      </c>
    </row>
    <row r="3262" spans="1:198" x14ac:dyDescent="0.25">
      <c r="A3262" s="55">
        <v>3261</v>
      </c>
      <c r="B3262" s="12" t="s">
        <v>7067</v>
      </c>
      <c r="C3262" s="155">
        <v>153</v>
      </c>
      <c r="D3262" s="55" t="s">
        <v>4332</v>
      </c>
      <c r="E3262" s="90" t="s">
        <v>3061</v>
      </c>
      <c r="G3262" s="55" t="s">
        <v>3060</v>
      </c>
      <c r="H3262" s="55">
        <v>1999</v>
      </c>
      <c r="I3262" s="55">
        <v>1986</v>
      </c>
      <c r="J3262" s="55" t="s">
        <v>3064</v>
      </c>
      <c r="K3262" s="55" t="s">
        <v>3063</v>
      </c>
      <c r="L3262" s="55" t="s">
        <v>3065</v>
      </c>
      <c r="M3262" s="90">
        <v>11.1</v>
      </c>
      <c r="N3262" s="90">
        <f>-4-23/60</f>
        <v>-4.3833333333333337</v>
      </c>
      <c r="O3262" s="90">
        <v>405</v>
      </c>
      <c r="S3262" s="90">
        <f>(900+1200)/2</f>
        <v>1050</v>
      </c>
      <c r="U3262" s="55" t="s">
        <v>1816</v>
      </c>
      <c r="V3262" s="55" t="s">
        <v>1816</v>
      </c>
      <c r="Y3262" s="55" t="s">
        <v>3062</v>
      </c>
      <c r="Z3262" s="55" t="s">
        <v>1367</v>
      </c>
      <c r="AA3262" s="90" t="s">
        <v>1687</v>
      </c>
      <c r="AM3262" s="55" t="s">
        <v>3066</v>
      </c>
      <c r="AN3262" s="185" t="s">
        <v>2282</v>
      </c>
      <c r="AO3262" s="185" t="s">
        <v>5150</v>
      </c>
      <c r="AQ3262" s="55" t="s">
        <v>553</v>
      </c>
      <c r="AR3262" s="55" t="s">
        <v>1607</v>
      </c>
      <c r="AS3262" s="55" t="s">
        <v>132</v>
      </c>
      <c r="AU3262" s="181" t="s">
        <v>7494</v>
      </c>
      <c r="AV3262" s="185" t="s">
        <v>176</v>
      </c>
      <c r="AX3262" s="185" t="s">
        <v>176</v>
      </c>
      <c r="BE3262" s="226" t="s">
        <v>3076</v>
      </c>
      <c r="BF3262" s="191" t="s">
        <v>479</v>
      </c>
      <c r="BG3262" s="191" t="s">
        <v>479</v>
      </c>
      <c r="BH3262" s="226" t="s">
        <v>3076</v>
      </c>
      <c r="BI3262" s="191" t="s">
        <v>479</v>
      </c>
      <c r="BJ3262" s="55" t="s">
        <v>176</v>
      </c>
      <c r="BK3262" s="55" t="s">
        <v>5976</v>
      </c>
      <c r="BM3262" s="192" t="s">
        <v>3067</v>
      </c>
      <c r="CM3262" s="65">
        <v>0.36</v>
      </c>
      <c r="CN3262" s="65">
        <v>0.41</v>
      </c>
      <c r="DA3262" s="65" t="s">
        <v>4458</v>
      </c>
      <c r="DB3262" s="65">
        <v>0.32</v>
      </c>
      <c r="DC3262" s="65">
        <v>0.38</v>
      </c>
      <c r="DF3262" s="65" t="s">
        <v>360</v>
      </c>
      <c r="DG3262" s="65">
        <v>6.51</v>
      </c>
      <c r="DH3262" s="65">
        <v>5.04</v>
      </c>
      <c r="DK3262" s="65" t="s">
        <v>3072</v>
      </c>
      <c r="GP3262" s="292" t="s">
        <v>7494</v>
      </c>
    </row>
    <row r="3263" spans="1:198" x14ac:dyDescent="0.25">
      <c r="A3263" s="55">
        <v>3262</v>
      </c>
      <c r="B3263" s="12" t="s">
        <v>7067</v>
      </c>
      <c r="C3263" s="155">
        <v>153</v>
      </c>
      <c r="D3263" s="55" t="s">
        <v>4332</v>
      </c>
      <c r="E3263" s="90" t="s">
        <v>3061</v>
      </c>
      <c r="G3263" s="55" t="s">
        <v>3060</v>
      </c>
      <c r="H3263" s="55">
        <v>1999</v>
      </c>
      <c r="I3263" s="55">
        <v>1986</v>
      </c>
      <c r="J3263" s="55" t="s">
        <v>3064</v>
      </c>
      <c r="K3263" s="55" t="s">
        <v>3063</v>
      </c>
      <c r="L3263" s="55" t="s">
        <v>3065</v>
      </c>
      <c r="M3263" s="90">
        <v>11.1</v>
      </c>
      <c r="N3263" s="90">
        <f>-4-23/60</f>
        <v>-4.3833333333333337</v>
      </c>
      <c r="O3263" s="90">
        <v>405</v>
      </c>
      <c r="S3263" s="90">
        <f>(900+1200)/2</f>
        <v>1050</v>
      </c>
      <c r="U3263" s="55" t="s">
        <v>1816</v>
      </c>
      <c r="V3263" s="55" t="s">
        <v>1816</v>
      </c>
      <c r="Y3263" s="55" t="s">
        <v>3062</v>
      </c>
      <c r="Z3263" s="55" t="s">
        <v>1367</v>
      </c>
      <c r="AA3263" s="90" t="s">
        <v>1687</v>
      </c>
      <c r="AM3263" s="55" t="s">
        <v>3066</v>
      </c>
      <c r="AN3263" s="185" t="s">
        <v>2282</v>
      </c>
      <c r="AO3263" s="185" t="s">
        <v>5150</v>
      </c>
      <c r="AQ3263" s="55" t="s">
        <v>553</v>
      </c>
      <c r="AR3263" s="55" t="s">
        <v>1607</v>
      </c>
      <c r="AS3263" s="55" t="s">
        <v>132</v>
      </c>
      <c r="AU3263" s="181" t="s">
        <v>7494</v>
      </c>
      <c r="AV3263" s="185" t="s">
        <v>176</v>
      </c>
      <c r="AX3263" s="185" t="s">
        <v>176</v>
      </c>
      <c r="BE3263" s="226" t="s">
        <v>3076</v>
      </c>
      <c r="BF3263" s="191" t="s">
        <v>479</v>
      </c>
      <c r="BG3263" s="191" t="s">
        <v>479</v>
      </c>
      <c r="BH3263" s="226" t="s">
        <v>3076</v>
      </c>
      <c r="BI3263" s="191" t="s">
        <v>479</v>
      </c>
      <c r="BJ3263" s="55" t="s">
        <v>176</v>
      </c>
      <c r="BK3263" s="55" t="s">
        <v>5976</v>
      </c>
      <c r="BM3263" s="192" t="s">
        <v>3067</v>
      </c>
      <c r="CM3263" s="65">
        <v>0.36</v>
      </c>
      <c r="CN3263" s="65">
        <v>0.37</v>
      </c>
      <c r="DA3263" s="65" t="s">
        <v>4458</v>
      </c>
      <c r="DB3263" s="65">
        <v>0.32</v>
      </c>
      <c r="DC3263" s="65">
        <v>0.3</v>
      </c>
      <c r="DF3263" s="65" t="s">
        <v>360</v>
      </c>
      <c r="DG3263" s="65">
        <v>6.51</v>
      </c>
      <c r="DH3263" s="65">
        <v>3.36</v>
      </c>
      <c r="DK3263" s="65" t="s">
        <v>3072</v>
      </c>
      <c r="GP3263" s="292" t="s">
        <v>7494</v>
      </c>
    </row>
    <row r="3264" spans="1:198" x14ac:dyDescent="0.25">
      <c r="A3264" s="55">
        <v>3263</v>
      </c>
      <c r="B3264" s="12" t="s">
        <v>7067</v>
      </c>
      <c r="C3264" s="155">
        <v>153</v>
      </c>
      <c r="D3264" s="55" t="s">
        <v>4332</v>
      </c>
      <c r="E3264" s="90" t="s">
        <v>3061</v>
      </c>
      <c r="G3264" s="55" t="s">
        <v>3060</v>
      </c>
      <c r="H3264" s="55">
        <v>1999</v>
      </c>
      <c r="I3264" s="55">
        <v>1986</v>
      </c>
      <c r="J3264" s="55" t="s">
        <v>3064</v>
      </c>
      <c r="K3264" s="55" t="s">
        <v>3063</v>
      </c>
      <c r="L3264" s="55" t="s">
        <v>3065</v>
      </c>
      <c r="M3264" s="90">
        <v>11.1</v>
      </c>
      <c r="N3264" s="90">
        <f>-4-23/60</f>
        <v>-4.3833333333333337</v>
      </c>
      <c r="O3264" s="90">
        <v>405</v>
      </c>
      <c r="S3264" s="90">
        <f>(900+1200)/2</f>
        <v>1050</v>
      </c>
      <c r="U3264" s="55" t="s">
        <v>1816</v>
      </c>
      <c r="V3264" s="55" t="s">
        <v>1816</v>
      </c>
      <c r="Y3264" s="55" t="s">
        <v>3062</v>
      </c>
      <c r="Z3264" s="55" t="s">
        <v>1367</v>
      </c>
      <c r="AA3264" s="90" t="s">
        <v>1687</v>
      </c>
      <c r="AM3264" s="55" t="s">
        <v>3066</v>
      </c>
      <c r="AN3264" s="185" t="s">
        <v>2282</v>
      </c>
      <c r="AO3264" s="185" t="s">
        <v>5150</v>
      </c>
      <c r="AQ3264" s="55" t="s">
        <v>553</v>
      </c>
      <c r="AR3264" s="55" t="s">
        <v>1607</v>
      </c>
      <c r="AS3264" s="55" t="s">
        <v>132</v>
      </c>
      <c r="AU3264" s="181" t="s">
        <v>7494</v>
      </c>
      <c r="AV3264" s="185" t="s">
        <v>176</v>
      </c>
      <c r="AX3264" s="185" t="s">
        <v>176</v>
      </c>
      <c r="BE3264" s="226" t="s">
        <v>3076</v>
      </c>
      <c r="BF3264" s="191" t="s">
        <v>479</v>
      </c>
      <c r="BG3264" s="191" t="s">
        <v>479</v>
      </c>
      <c r="BH3264" s="226" t="s">
        <v>3076</v>
      </c>
      <c r="BI3264" s="191" t="s">
        <v>479</v>
      </c>
      <c r="BJ3264" s="55" t="s">
        <v>176</v>
      </c>
      <c r="BK3264" s="55" t="s">
        <v>5976</v>
      </c>
      <c r="BM3264" s="192" t="s">
        <v>3067</v>
      </c>
      <c r="CM3264" s="65">
        <v>0.36</v>
      </c>
      <c r="CN3264" s="65">
        <v>0.32</v>
      </c>
      <c r="DA3264" s="65" t="s">
        <v>4458</v>
      </c>
      <c r="DB3264" s="65">
        <v>0.32</v>
      </c>
      <c r="DC3264" s="65">
        <v>0.27</v>
      </c>
      <c r="DF3264" s="65" t="s">
        <v>360</v>
      </c>
      <c r="DG3264" s="65">
        <v>6.51</v>
      </c>
      <c r="DH3264" s="65">
        <v>3.53</v>
      </c>
      <c r="DK3264" s="65" t="s">
        <v>3072</v>
      </c>
      <c r="GP3264" s="292" t="s">
        <v>7494</v>
      </c>
    </row>
    <row r="3265" spans="1:198" x14ac:dyDescent="0.25">
      <c r="A3265" s="55">
        <v>3264</v>
      </c>
      <c r="B3265" s="12" t="s">
        <v>7067</v>
      </c>
      <c r="C3265" s="155">
        <v>153</v>
      </c>
      <c r="D3265" s="55" t="s">
        <v>4332</v>
      </c>
      <c r="E3265" s="90" t="s">
        <v>3061</v>
      </c>
      <c r="G3265" s="55" t="s">
        <v>3060</v>
      </c>
      <c r="H3265" s="55">
        <v>1999</v>
      </c>
      <c r="I3265" s="55">
        <v>1986</v>
      </c>
      <c r="J3265" s="55" t="s">
        <v>3064</v>
      </c>
      <c r="K3265" s="55" t="s">
        <v>3063</v>
      </c>
      <c r="L3265" s="55" t="s">
        <v>3065</v>
      </c>
      <c r="M3265" s="90">
        <v>11.1</v>
      </c>
      <c r="N3265" s="90">
        <f>-4-23/60</f>
        <v>-4.3833333333333337</v>
      </c>
      <c r="O3265" s="90">
        <v>405</v>
      </c>
      <c r="S3265" s="90">
        <f>(900+1200)/2</f>
        <v>1050</v>
      </c>
      <c r="U3265" s="55" t="s">
        <v>1816</v>
      </c>
      <c r="V3265" s="55" t="s">
        <v>1816</v>
      </c>
      <c r="Y3265" s="55" t="s">
        <v>3062</v>
      </c>
      <c r="Z3265" s="55" t="s">
        <v>1367</v>
      </c>
      <c r="AA3265" s="90" t="s">
        <v>1687</v>
      </c>
      <c r="AM3265" s="55" t="s">
        <v>3066</v>
      </c>
      <c r="AN3265" s="185" t="s">
        <v>2666</v>
      </c>
      <c r="AO3265" s="185" t="s">
        <v>5150</v>
      </c>
      <c r="AQ3265" s="55" t="s">
        <v>553</v>
      </c>
      <c r="AR3265" s="55" t="s">
        <v>1607</v>
      </c>
      <c r="AS3265" s="55" t="s">
        <v>132</v>
      </c>
      <c r="AU3265" s="181" t="s">
        <v>7494</v>
      </c>
      <c r="AV3265" s="185" t="s">
        <v>176</v>
      </c>
      <c r="AX3265" s="185" t="s">
        <v>176</v>
      </c>
      <c r="BE3265" s="226" t="s">
        <v>3076</v>
      </c>
      <c r="BF3265" s="191" t="s">
        <v>479</v>
      </c>
      <c r="BG3265" s="191" t="s">
        <v>479</v>
      </c>
      <c r="BH3265" s="226" t="s">
        <v>3076</v>
      </c>
      <c r="BI3265" s="191" t="s">
        <v>479</v>
      </c>
      <c r="BJ3265" s="55" t="s">
        <v>176</v>
      </c>
      <c r="BK3265" s="55" t="s">
        <v>5976</v>
      </c>
      <c r="BM3265" s="192" t="s">
        <v>3067</v>
      </c>
      <c r="CM3265" s="65">
        <v>0.36</v>
      </c>
      <c r="CN3265" s="65">
        <v>0.37</v>
      </c>
      <c r="DA3265" s="65" t="s">
        <v>4458</v>
      </c>
      <c r="DB3265" s="65">
        <v>0.32</v>
      </c>
      <c r="DC3265" s="65">
        <v>0.34</v>
      </c>
      <c r="DF3265" s="65" t="s">
        <v>360</v>
      </c>
      <c r="DG3265" s="65">
        <v>6.51</v>
      </c>
      <c r="DH3265" s="65">
        <v>2.17</v>
      </c>
      <c r="DK3265" s="65" t="s">
        <v>3072</v>
      </c>
      <c r="GP3265" s="292" t="s">
        <v>7494</v>
      </c>
    </row>
    <row r="3266" spans="1:198" x14ac:dyDescent="0.25">
      <c r="A3266" s="55">
        <v>3265</v>
      </c>
      <c r="B3266" s="12" t="s">
        <v>7067</v>
      </c>
      <c r="C3266" s="155">
        <v>153</v>
      </c>
      <c r="D3266" s="55" t="s">
        <v>4332</v>
      </c>
      <c r="E3266" s="90" t="s">
        <v>3061</v>
      </c>
      <c r="G3266" s="55" t="s">
        <v>3060</v>
      </c>
      <c r="H3266" s="55">
        <v>1999</v>
      </c>
      <c r="I3266" s="55">
        <v>1986</v>
      </c>
      <c r="J3266" s="55" t="s">
        <v>3064</v>
      </c>
      <c r="K3266" s="55" t="s">
        <v>3063</v>
      </c>
      <c r="L3266" s="55" t="s">
        <v>3065</v>
      </c>
      <c r="M3266" s="90">
        <v>11.1</v>
      </c>
      <c r="N3266" s="90">
        <f>-4-23/60</f>
        <v>-4.3833333333333337</v>
      </c>
      <c r="O3266" s="90">
        <v>405</v>
      </c>
      <c r="S3266" s="90">
        <f>(900+1200)/2</f>
        <v>1050</v>
      </c>
      <c r="U3266" s="55" t="s">
        <v>1816</v>
      </c>
      <c r="V3266" s="55" t="s">
        <v>1816</v>
      </c>
      <c r="Y3266" s="55" t="s">
        <v>3062</v>
      </c>
      <c r="Z3266" s="55" t="s">
        <v>1367</v>
      </c>
      <c r="AA3266" s="90" t="s">
        <v>1687</v>
      </c>
      <c r="AM3266" s="55" t="s">
        <v>3066</v>
      </c>
      <c r="AN3266" s="185" t="s">
        <v>2666</v>
      </c>
      <c r="AO3266" s="185" t="s">
        <v>5150</v>
      </c>
      <c r="AQ3266" s="55" t="s">
        <v>553</v>
      </c>
      <c r="AR3266" s="55" t="s">
        <v>1607</v>
      </c>
      <c r="AS3266" s="55" t="s">
        <v>132</v>
      </c>
      <c r="AU3266" s="181" t="s">
        <v>7494</v>
      </c>
      <c r="AV3266" s="185" t="s">
        <v>176</v>
      </c>
      <c r="AX3266" s="185" t="s">
        <v>176</v>
      </c>
      <c r="BE3266" s="226" t="s">
        <v>3076</v>
      </c>
      <c r="BF3266" s="191" t="s">
        <v>479</v>
      </c>
      <c r="BG3266" s="191" t="s">
        <v>479</v>
      </c>
      <c r="BH3266" s="226" t="s">
        <v>3076</v>
      </c>
      <c r="BI3266" s="191" t="s">
        <v>479</v>
      </c>
      <c r="BJ3266" s="55" t="s">
        <v>176</v>
      </c>
      <c r="BK3266" s="55" t="s">
        <v>5976</v>
      </c>
      <c r="BM3266" s="192" t="s">
        <v>3067</v>
      </c>
      <c r="CM3266" s="65">
        <v>0.36</v>
      </c>
      <c r="CN3266" s="65">
        <v>0.36</v>
      </c>
      <c r="DA3266" s="65" t="s">
        <v>4458</v>
      </c>
      <c r="DB3266" s="65">
        <v>0.32</v>
      </c>
      <c r="DC3266" s="65">
        <v>0.34</v>
      </c>
      <c r="DF3266" s="65" t="s">
        <v>360</v>
      </c>
      <c r="DG3266" s="65">
        <v>6.51</v>
      </c>
      <c r="DH3266" s="65">
        <v>3.52</v>
      </c>
      <c r="DK3266" s="65" t="s">
        <v>3072</v>
      </c>
      <c r="GP3266" s="292" t="s">
        <v>7494</v>
      </c>
    </row>
    <row r="3267" spans="1:198" x14ac:dyDescent="0.25">
      <c r="A3267" s="55">
        <v>3266</v>
      </c>
      <c r="B3267" s="12" t="s">
        <v>7067</v>
      </c>
      <c r="C3267" s="155">
        <v>154</v>
      </c>
      <c r="D3267" s="55" t="s">
        <v>3168</v>
      </c>
      <c r="E3267" s="90" t="s">
        <v>3077</v>
      </c>
      <c r="G3267" s="55" t="s">
        <v>3078</v>
      </c>
      <c r="H3267" s="55">
        <v>2002</v>
      </c>
      <c r="I3267" s="55">
        <v>1995</v>
      </c>
      <c r="J3267" s="55" t="s">
        <v>2688</v>
      </c>
      <c r="K3267" s="55" t="s">
        <v>3079</v>
      </c>
      <c r="L3267" s="55" t="s">
        <v>2757</v>
      </c>
      <c r="M3267" s="90">
        <v>0.1</v>
      </c>
      <c r="N3267" s="90">
        <f>34+34/60</f>
        <v>34.56666666666667</v>
      </c>
      <c r="O3267" s="90">
        <v>1430</v>
      </c>
      <c r="S3267" s="90">
        <v>1800</v>
      </c>
      <c r="U3267" s="55" t="s">
        <v>1805</v>
      </c>
      <c r="V3267" s="55" t="s">
        <v>1688</v>
      </c>
      <c r="Y3267" s="55" t="s">
        <v>1957</v>
      </c>
      <c r="AE3267" s="90">
        <v>35</v>
      </c>
      <c r="AF3267" s="90">
        <v>31</v>
      </c>
      <c r="AH3267" s="55" t="s">
        <v>645</v>
      </c>
      <c r="AI3267" s="168">
        <v>5.6</v>
      </c>
      <c r="AJ3267" s="90">
        <v>1.79</v>
      </c>
      <c r="AM3267" s="55" t="s">
        <v>3080</v>
      </c>
      <c r="AN3267" s="185" t="s">
        <v>2840</v>
      </c>
      <c r="AO3267" s="185" t="s">
        <v>5150</v>
      </c>
      <c r="AQ3267" s="55" t="s">
        <v>553</v>
      </c>
      <c r="AR3267" s="55" t="s">
        <v>1607</v>
      </c>
      <c r="AS3267" s="55" t="s">
        <v>132</v>
      </c>
      <c r="AU3267" s="181" t="s">
        <v>7494</v>
      </c>
      <c r="AV3267" s="185" t="s">
        <v>176</v>
      </c>
      <c r="AX3267" s="185" t="s">
        <v>176</v>
      </c>
      <c r="BK3267" s="55" t="s">
        <v>5976</v>
      </c>
      <c r="BM3267" s="192" t="s">
        <v>2702</v>
      </c>
      <c r="BN3267" s="55">
        <v>3</v>
      </c>
      <c r="BO3267" s="55">
        <v>3</v>
      </c>
      <c r="BQ3267" s="55" t="s">
        <v>141</v>
      </c>
      <c r="BS3267" s="55">
        <v>9100</v>
      </c>
      <c r="BT3267" s="55">
        <f>BS3267/111.1</f>
        <v>81.908190819081909</v>
      </c>
      <c r="BV3267" s="55" t="s">
        <v>3105</v>
      </c>
      <c r="CB3267" s="66">
        <v>2000</v>
      </c>
      <c r="CC3267" s="66">
        <v>4200</v>
      </c>
      <c r="CE3267" s="65">
        <v>600</v>
      </c>
      <c r="CF3267" s="65">
        <v>600</v>
      </c>
      <c r="CG3267" s="65" t="s">
        <v>3081</v>
      </c>
      <c r="GP3267" s="292" t="s">
        <v>7494</v>
      </c>
    </row>
    <row r="3268" spans="1:198" x14ac:dyDescent="0.25">
      <c r="A3268" s="55">
        <v>3267</v>
      </c>
      <c r="B3268" s="12" t="s">
        <v>7067</v>
      </c>
      <c r="C3268" s="155">
        <v>154</v>
      </c>
      <c r="D3268" s="55" t="s">
        <v>3168</v>
      </c>
      <c r="E3268" s="90" t="s">
        <v>3077</v>
      </c>
      <c r="G3268" s="55" t="s">
        <v>3078</v>
      </c>
      <c r="H3268" s="55">
        <v>2002</v>
      </c>
      <c r="I3268" s="55">
        <v>1995</v>
      </c>
      <c r="J3268" s="55" t="s">
        <v>2688</v>
      </c>
      <c r="K3268" s="55" t="s">
        <v>3079</v>
      </c>
      <c r="L3268" s="55" t="s">
        <v>2757</v>
      </c>
      <c r="M3268" s="90">
        <v>0.1</v>
      </c>
      <c r="N3268" s="90">
        <f>34+34/60</f>
        <v>34.56666666666667</v>
      </c>
      <c r="O3268" s="90">
        <v>1430</v>
      </c>
      <c r="S3268" s="90">
        <v>1800</v>
      </c>
      <c r="U3268" s="55" t="s">
        <v>1805</v>
      </c>
      <c r="V3268" s="55" t="s">
        <v>1688</v>
      </c>
      <c r="Y3268" s="55" t="s">
        <v>1957</v>
      </c>
      <c r="AE3268" s="90">
        <v>35</v>
      </c>
      <c r="AF3268" s="90">
        <v>31</v>
      </c>
      <c r="AH3268" s="55" t="s">
        <v>645</v>
      </c>
      <c r="AI3268" s="168">
        <v>5.6</v>
      </c>
      <c r="AJ3268" s="90">
        <v>1.79</v>
      </c>
      <c r="AM3268" s="55" t="s">
        <v>3080</v>
      </c>
      <c r="AN3268" s="185" t="s">
        <v>2840</v>
      </c>
      <c r="AO3268" s="185" t="s">
        <v>5150</v>
      </c>
      <c r="AQ3268" s="55" t="s">
        <v>553</v>
      </c>
      <c r="AR3268" s="55" t="s">
        <v>1607</v>
      </c>
      <c r="AS3268" s="55" t="s">
        <v>132</v>
      </c>
      <c r="AU3268" s="181" t="s">
        <v>7494</v>
      </c>
      <c r="AV3268" s="185" t="s">
        <v>176</v>
      </c>
      <c r="AX3268" s="185" t="s">
        <v>176</v>
      </c>
      <c r="BK3268" s="55" t="s">
        <v>5976</v>
      </c>
      <c r="BM3268" s="192" t="s">
        <v>2702</v>
      </c>
      <c r="BN3268" s="55">
        <v>3</v>
      </c>
      <c r="BO3268" s="55">
        <v>3</v>
      </c>
      <c r="BQ3268" s="55" t="s">
        <v>141</v>
      </c>
      <c r="BS3268" s="55">
        <v>10900</v>
      </c>
      <c r="BT3268" s="55">
        <f>BS3268/102</f>
        <v>106.86274509803921</v>
      </c>
      <c r="BV3268" s="55" t="s">
        <v>3105</v>
      </c>
      <c r="CB3268" s="66">
        <v>2000</v>
      </c>
      <c r="CC3268" s="66">
        <v>4800</v>
      </c>
      <c r="CE3268" s="65">
        <v>600</v>
      </c>
      <c r="CF3268" s="65">
        <v>600</v>
      </c>
      <c r="CG3268" s="65" t="s">
        <v>3081</v>
      </c>
      <c r="GP3268" s="292" t="s">
        <v>7494</v>
      </c>
    </row>
    <row r="3269" spans="1:198" x14ac:dyDescent="0.25">
      <c r="A3269" s="55">
        <v>3268</v>
      </c>
      <c r="B3269" s="12" t="s">
        <v>7067</v>
      </c>
      <c r="C3269" s="155">
        <v>154</v>
      </c>
      <c r="D3269" s="55" t="s">
        <v>3168</v>
      </c>
      <c r="E3269" s="90" t="s">
        <v>3077</v>
      </c>
      <c r="G3269" s="55" t="s">
        <v>3078</v>
      </c>
      <c r="H3269" s="55">
        <v>2002</v>
      </c>
      <c r="I3269" s="55">
        <v>1995</v>
      </c>
      <c r="J3269" s="55" t="s">
        <v>2688</v>
      </c>
      <c r="K3269" s="55" t="s">
        <v>3079</v>
      </c>
      <c r="L3269" s="55" t="s">
        <v>2757</v>
      </c>
      <c r="M3269" s="90">
        <v>0.1</v>
      </c>
      <c r="N3269" s="90">
        <f>34+34/60</f>
        <v>34.56666666666667</v>
      </c>
      <c r="O3269" s="90">
        <v>1430</v>
      </c>
      <c r="S3269" s="90">
        <v>1800</v>
      </c>
      <c r="U3269" s="55" t="s">
        <v>1805</v>
      </c>
      <c r="V3269" s="55" t="s">
        <v>1688</v>
      </c>
      <c r="Y3269" s="55" t="s">
        <v>1957</v>
      </c>
      <c r="AE3269" s="90">
        <v>35</v>
      </c>
      <c r="AF3269" s="90">
        <v>31</v>
      </c>
      <c r="AH3269" s="55" t="s">
        <v>645</v>
      </c>
      <c r="AI3269" s="168">
        <v>5.6</v>
      </c>
      <c r="AJ3269" s="90">
        <v>1.79</v>
      </c>
      <c r="AM3269" s="55" t="s">
        <v>3080</v>
      </c>
      <c r="AN3269" s="185" t="s">
        <v>2838</v>
      </c>
      <c r="AO3269" s="185" t="s">
        <v>5150</v>
      </c>
      <c r="AQ3269" s="55" t="s">
        <v>553</v>
      </c>
      <c r="AR3269" s="55" t="s">
        <v>1607</v>
      </c>
      <c r="AS3269" s="55" t="s">
        <v>132</v>
      </c>
      <c r="AU3269" s="181" t="s">
        <v>7494</v>
      </c>
      <c r="AV3269" s="185" t="s">
        <v>176</v>
      </c>
      <c r="AX3269" s="185" t="s">
        <v>176</v>
      </c>
      <c r="BK3269" s="55" t="s">
        <v>5976</v>
      </c>
      <c r="BM3269" s="192" t="s">
        <v>2702</v>
      </c>
      <c r="BN3269" s="55">
        <v>3</v>
      </c>
      <c r="BO3269" s="55">
        <v>3</v>
      </c>
      <c r="BQ3269" s="55" t="s">
        <v>141</v>
      </c>
      <c r="BS3269" s="55">
        <v>7800</v>
      </c>
      <c r="BT3269" s="55">
        <f>BS3269/68.8</f>
        <v>113.37209302325581</v>
      </c>
      <c r="BV3269" s="55" t="s">
        <v>3105</v>
      </c>
      <c r="CB3269" s="66">
        <v>2000</v>
      </c>
      <c r="CC3269" s="66">
        <v>5100</v>
      </c>
      <c r="CE3269" s="65">
        <v>600</v>
      </c>
      <c r="CF3269" s="65">
        <v>600</v>
      </c>
      <c r="CG3269" s="65" t="s">
        <v>3081</v>
      </c>
      <c r="GP3269" s="292" t="s">
        <v>7494</v>
      </c>
    </row>
    <row r="3270" spans="1:198" x14ac:dyDescent="0.25">
      <c r="A3270" s="55">
        <v>3269</v>
      </c>
      <c r="B3270" s="12" t="s">
        <v>7067</v>
      </c>
      <c r="C3270" s="155">
        <v>154</v>
      </c>
      <c r="D3270" s="55" t="s">
        <v>3168</v>
      </c>
      <c r="E3270" s="90" t="s">
        <v>3077</v>
      </c>
      <c r="G3270" s="55" t="s">
        <v>3078</v>
      </c>
      <c r="H3270" s="55">
        <v>2002</v>
      </c>
      <c r="I3270" s="55">
        <v>1995</v>
      </c>
      <c r="J3270" s="55" t="s">
        <v>2688</v>
      </c>
      <c r="K3270" s="55" t="s">
        <v>3079</v>
      </c>
      <c r="L3270" s="55" t="s">
        <v>2757</v>
      </c>
      <c r="M3270" s="90">
        <v>0.1</v>
      </c>
      <c r="N3270" s="90">
        <f>34+34/60</f>
        <v>34.56666666666667</v>
      </c>
      <c r="O3270" s="90">
        <v>1430</v>
      </c>
      <c r="S3270" s="90">
        <v>1800</v>
      </c>
      <c r="U3270" s="55" t="s">
        <v>1805</v>
      </c>
      <c r="V3270" s="55" t="s">
        <v>1688</v>
      </c>
      <c r="Y3270" s="55" t="s">
        <v>1957</v>
      </c>
      <c r="AE3270" s="90">
        <v>35</v>
      </c>
      <c r="AF3270" s="90">
        <v>31</v>
      </c>
      <c r="AH3270" s="55" t="s">
        <v>645</v>
      </c>
      <c r="AI3270" s="168">
        <v>5.6</v>
      </c>
      <c r="AJ3270" s="90">
        <v>1.79</v>
      </c>
      <c r="AM3270" s="55" t="s">
        <v>3080</v>
      </c>
      <c r="AN3270" s="185" t="s">
        <v>2838</v>
      </c>
      <c r="AO3270" s="185" t="s">
        <v>5150</v>
      </c>
      <c r="AQ3270" s="55" t="s">
        <v>553</v>
      </c>
      <c r="AR3270" s="55" t="s">
        <v>1607</v>
      </c>
      <c r="AS3270" s="55" t="s">
        <v>132</v>
      </c>
      <c r="AU3270" s="181" t="s">
        <v>7494</v>
      </c>
      <c r="AV3270" s="185" t="s">
        <v>176</v>
      </c>
      <c r="AX3270" s="185" t="s">
        <v>176</v>
      </c>
      <c r="BK3270" s="55" t="s">
        <v>5976</v>
      </c>
      <c r="BM3270" s="192" t="s">
        <v>2702</v>
      </c>
      <c r="BN3270" s="55">
        <v>3</v>
      </c>
      <c r="BO3270" s="55">
        <v>3</v>
      </c>
      <c r="BQ3270" s="55" t="s">
        <v>141</v>
      </c>
      <c r="BS3270" s="55">
        <v>12600</v>
      </c>
      <c r="BT3270" s="55">
        <f>BS3270/86</f>
        <v>146.51162790697674</v>
      </c>
      <c r="BV3270" s="55" t="s">
        <v>3105</v>
      </c>
      <c r="CB3270" s="66">
        <v>2000</v>
      </c>
      <c r="CC3270" s="66">
        <v>3800</v>
      </c>
      <c r="CE3270" s="65">
        <v>600</v>
      </c>
      <c r="CF3270" s="65">
        <v>600</v>
      </c>
      <c r="CG3270" s="65" t="s">
        <v>3081</v>
      </c>
      <c r="GP3270" s="292" t="s">
        <v>7494</v>
      </c>
    </row>
    <row r="3271" spans="1:198" x14ac:dyDescent="0.25">
      <c r="A3271" s="55">
        <v>3270</v>
      </c>
      <c r="B3271" s="12" t="s">
        <v>7067</v>
      </c>
      <c r="C3271" s="155">
        <v>154</v>
      </c>
      <c r="D3271" s="55" t="s">
        <v>3169</v>
      </c>
      <c r="E3271" s="90" t="s">
        <v>3077</v>
      </c>
      <c r="G3271" s="55" t="s">
        <v>3078</v>
      </c>
      <c r="H3271" s="55">
        <v>2002</v>
      </c>
      <c r="I3271" s="55">
        <v>1995</v>
      </c>
      <c r="J3271" s="55" t="s">
        <v>2688</v>
      </c>
      <c r="K3271" s="55" t="s">
        <v>3079</v>
      </c>
      <c r="L3271" s="55" t="s">
        <v>2757</v>
      </c>
      <c r="M3271" s="90">
        <v>0.1</v>
      </c>
      <c r="N3271" s="90">
        <f>34+34/60</f>
        <v>34.56666666666667</v>
      </c>
      <c r="O3271" s="90">
        <v>1430</v>
      </c>
      <c r="S3271" s="90">
        <v>1800</v>
      </c>
      <c r="U3271" s="55" t="s">
        <v>1805</v>
      </c>
      <c r="V3271" s="55" t="s">
        <v>1688</v>
      </c>
      <c r="Y3271" s="55" t="s">
        <v>1957</v>
      </c>
      <c r="AE3271" s="90">
        <v>35</v>
      </c>
      <c r="AF3271" s="90">
        <v>31</v>
      </c>
      <c r="AH3271" s="55" t="s">
        <v>645</v>
      </c>
      <c r="AI3271" s="168">
        <v>5.6</v>
      </c>
      <c r="AJ3271" s="90">
        <v>1.79</v>
      </c>
      <c r="AM3271" s="55" t="s">
        <v>3080</v>
      </c>
      <c r="AN3271" s="185" t="s">
        <v>2836</v>
      </c>
      <c r="AO3271" s="185" t="s">
        <v>5150</v>
      </c>
      <c r="AQ3271" s="55" t="s">
        <v>1097</v>
      </c>
      <c r="AR3271" s="55" t="s">
        <v>1607</v>
      </c>
      <c r="AS3271" s="55" t="s">
        <v>132</v>
      </c>
      <c r="AU3271" s="181" t="s">
        <v>7494</v>
      </c>
      <c r="AV3271" s="185" t="s">
        <v>176</v>
      </c>
      <c r="AX3271" s="185" t="s">
        <v>176</v>
      </c>
      <c r="BK3271" s="55" t="s">
        <v>5976</v>
      </c>
      <c r="BM3271" s="192" t="s">
        <v>2702</v>
      </c>
      <c r="BN3271" s="55">
        <v>3</v>
      </c>
      <c r="BO3271" s="55">
        <v>3</v>
      </c>
      <c r="BQ3271" s="55" t="s">
        <v>141</v>
      </c>
      <c r="BS3271" s="55">
        <v>13300</v>
      </c>
      <c r="BT3271" s="55">
        <f>BS3271/94.4</f>
        <v>140.88983050847457</v>
      </c>
      <c r="BV3271" s="55" t="s">
        <v>3105</v>
      </c>
      <c r="CB3271" s="66">
        <v>2000</v>
      </c>
      <c r="CC3271" s="66">
        <v>2300</v>
      </c>
      <c r="CE3271" s="65">
        <v>600</v>
      </c>
      <c r="CF3271" s="65">
        <v>600</v>
      </c>
      <c r="CG3271" s="65" t="s">
        <v>3081</v>
      </c>
      <c r="GP3271" s="292" t="s">
        <v>7494</v>
      </c>
    </row>
    <row r="3272" spans="1:198" x14ac:dyDescent="0.25">
      <c r="A3272" s="55">
        <v>3271</v>
      </c>
      <c r="B3272" s="12" t="s">
        <v>7067</v>
      </c>
      <c r="C3272" s="155">
        <v>154</v>
      </c>
      <c r="D3272" s="55" t="s">
        <v>3168</v>
      </c>
      <c r="E3272" s="90" t="s">
        <v>3077</v>
      </c>
      <c r="G3272" s="55" t="s">
        <v>3078</v>
      </c>
      <c r="H3272" s="55">
        <v>2002</v>
      </c>
      <c r="I3272" s="55">
        <v>1995</v>
      </c>
      <c r="J3272" s="55" t="s">
        <v>2688</v>
      </c>
      <c r="K3272" s="55" t="s">
        <v>3079</v>
      </c>
      <c r="L3272" s="55" t="s">
        <v>2757</v>
      </c>
      <c r="M3272" s="90">
        <v>0.1</v>
      </c>
      <c r="N3272" s="90">
        <f>34+34/60</f>
        <v>34.56666666666667</v>
      </c>
      <c r="O3272" s="90">
        <v>1430</v>
      </c>
      <c r="S3272" s="90">
        <v>1800</v>
      </c>
      <c r="U3272" s="55" t="s">
        <v>1805</v>
      </c>
      <c r="V3272" s="55" t="s">
        <v>1688</v>
      </c>
      <c r="Y3272" s="55" t="s">
        <v>1957</v>
      </c>
      <c r="AE3272" s="90">
        <v>35</v>
      </c>
      <c r="AF3272" s="90">
        <v>31</v>
      </c>
      <c r="AH3272" s="55" t="s">
        <v>645</v>
      </c>
      <c r="AI3272" s="168">
        <v>5.6</v>
      </c>
      <c r="AJ3272" s="90">
        <v>1.79</v>
      </c>
      <c r="AM3272" s="55" t="s">
        <v>3080</v>
      </c>
      <c r="AN3272" s="185" t="s">
        <v>2837</v>
      </c>
      <c r="AO3272" s="185" t="s">
        <v>5150</v>
      </c>
      <c r="AQ3272" s="55" t="s">
        <v>553</v>
      </c>
      <c r="AR3272" s="55" t="s">
        <v>1607</v>
      </c>
      <c r="AS3272" s="55" t="s">
        <v>132</v>
      </c>
      <c r="AU3272" s="181" t="s">
        <v>7494</v>
      </c>
      <c r="AV3272" s="185" t="s">
        <v>176</v>
      </c>
      <c r="AX3272" s="185" t="s">
        <v>176</v>
      </c>
      <c r="BK3272" s="55" t="s">
        <v>5976</v>
      </c>
      <c r="BM3272" s="192" t="s">
        <v>2702</v>
      </c>
      <c r="BN3272" s="55">
        <v>3</v>
      </c>
      <c r="BO3272" s="55">
        <v>3</v>
      </c>
      <c r="BQ3272" s="55" t="s">
        <v>141</v>
      </c>
      <c r="BS3272" s="55">
        <v>9800</v>
      </c>
      <c r="BT3272" s="55">
        <f>BS3272/80</f>
        <v>122.5</v>
      </c>
      <c r="BV3272" s="55" t="s">
        <v>3105</v>
      </c>
      <c r="CB3272" s="66">
        <v>2000</v>
      </c>
      <c r="CC3272" s="66">
        <v>3200</v>
      </c>
      <c r="CE3272" s="65">
        <v>600</v>
      </c>
      <c r="CF3272" s="65">
        <v>600</v>
      </c>
      <c r="CG3272" s="65" t="s">
        <v>3081</v>
      </c>
      <c r="GP3272" s="292" t="s">
        <v>7494</v>
      </c>
    </row>
    <row r="3273" spans="1:198" x14ac:dyDescent="0.25">
      <c r="A3273" s="55">
        <v>3272</v>
      </c>
      <c r="B3273" s="12" t="s">
        <v>7067</v>
      </c>
      <c r="C3273" s="155">
        <v>154</v>
      </c>
      <c r="D3273" s="55" t="s">
        <v>3168</v>
      </c>
      <c r="E3273" s="90" t="s">
        <v>3077</v>
      </c>
      <c r="G3273" s="55" t="s">
        <v>3078</v>
      </c>
      <c r="H3273" s="55">
        <v>2002</v>
      </c>
      <c r="I3273" s="55">
        <v>1996</v>
      </c>
      <c r="J3273" s="55" t="s">
        <v>2688</v>
      </c>
      <c r="K3273" s="55" t="s">
        <v>3079</v>
      </c>
      <c r="L3273" s="55" t="s">
        <v>2757</v>
      </c>
      <c r="M3273" s="90">
        <v>0.1</v>
      </c>
      <c r="N3273" s="90">
        <f>34+34/60</f>
        <v>34.56666666666667</v>
      </c>
      <c r="O3273" s="90">
        <v>1430</v>
      </c>
      <c r="S3273" s="90">
        <v>1800</v>
      </c>
      <c r="U3273" s="55" t="s">
        <v>1688</v>
      </c>
      <c r="V3273" s="55" t="s">
        <v>1688</v>
      </c>
      <c r="Y3273" s="55" t="s">
        <v>1957</v>
      </c>
      <c r="AE3273" s="90">
        <v>35</v>
      </c>
      <c r="AF3273" s="90">
        <v>31</v>
      </c>
      <c r="AH3273" s="55" t="s">
        <v>645</v>
      </c>
      <c r="AI3273" s="168">
        <v>5.6</v>
      </c>
      <c r="AJ3273" s="90">
        <v>1.79</v>
      </c>
      <c r="AM3273" s="55" t="s">
        <v>3080</v>
      </c>
      <c r="AN3273" s="185" t="s">
        <v>2840</v>
      </c>
      <c r="AO3273" s="185" t="s">
        <v>5150</v>
      </c>
      <c r="AQ3273" s="55" t="s">
        <v>553</v>
      </c>
      <c r="AR3273" s="55" t="s">
        <v>1607</v>
      </c>
      <c r="AS3273" s="55" t="s">
        <v>132</v>
      </c>
      <c r="AU3273" s="181" t="s">
        <v>7494</v>
      </c>
      <c r="AV3273" s="185" t="s">
        <v>176</v>
      </c>
      <c r="AX3273" s="185" t="s">
        <v>176</v>
      </c>
      <c r="BK3273" s="55" t="s">
        <v>5976</v>
      </c>
      <c r="BM3273" s="192" t="s">
        <v>2702</v>
      </c>
      <c r="BN3273" s="55">
        <v>3</v>
      </c>
      <c r="BO3273" s="55">
        <v>3</v>
      </c>
      <c r="BQ3273" s="55" t="s">
        <v>141</v>
      </c>
      <c r="BV3273" s="55" t="s">
        <v>3104</v>
      </c>
      <c r="CB3273" s="66">
        <v>1900</v>
      </c>
      <c r="CC3273" s="66">
        <v>2000</v>
      </c>
      <c r="CE3273" s="65">
        <v>700</v>
      </c>
      <c r="CF3273" s="65">
        <v>700</v>
      </c>
      <c r="CG3273" s="65" t="s">
        <v>3081</v>
      </c>
      <c r="GP3273" s="292" t="s">
        <v>7494</v>
      </c>
    </row>
    <row r="3274" spans="1:198" x14ac:dyDescent="0.25">
      <c r="A3274" s="55">
        <v>3273</v>
      </c>
      <c r="B3274" s="12" t="s">
        <v>7067</v>
      </c>
      <c r="C3274" s="155">
        <v>154</v>
      </c>
      <c r="D3274" s="55" t="s">
        <v>3168</v>
      </c>
      <c r="E3274" s="90" t="s">
        <v>3077</v>
      </c>
      <c r="G3274" s="55" t="s">
        <v>3078</v>
      </c>
      <c r="H3274" s="55">
        <v>2002</v>
      </c>
      <c r="I3274" s="55">
        <v>1996</v>
      </c>
      <c r="J3274" s="55" t="s">
        <v>2688</v>
      </c>
      <c r="K3274" s="55" t="s">
        <v>3079</v>
      </c>
      <c r="L3274" s="55" t="s">
        <v>2757</v>
      </c>
      <c r="M3274" s="90">
        <v>0.1</v>
      </c>
      <c r="N3274" s="90">
        <f>34+34/60</f>
        <v>34.56666666666667</v>
      </c>
      <c r="O3274" s="90">
        <v>1430</v>
      </c>
      <c r="S3274" s="90">
        <v>1800</v>
      </c>
      <c r="U3274" s="55" t="s">
        <v>1688</v>
      </c>
      <c r="V3274" s="55" t="s">
        <v>1688</v>
      </c>
      <c r="Y3274" s="55" t="s">
        <v>1957</v>
      </c>
      <c r="AE3274" s="90">
        <v>35</v>
      </c>
      <c r="AF3274" s="90">
        <v>31</v>
      </c>
      <c r="AH3274" s="55" t="s">
        <v>645</v>
      </c>
      <c r="AI3274" s="168">
        <v>5.6</v>
      </c>
      <c r="AJ3274" s="90">
        <v>1.79</v>
      </c>
      <c r="AM3274" s="55" t="s">
        <v>3080</v>
      </c>
      <c r="AN3274" s="185" t="s">
        <v>2840</v>
      </c>
      <c r="AO3274" s="185" t="s">
        <v>5150</v>
      </c>
      <c r="AQ3274" s="55" t="s">
        <v>553</v>
      </c>
      <c r="AR3274" s="55" t="s">
        <v>1607</v>
      </c>
      <c r="AS3274" s="55" t="s">
        <v>132</v>
      </c>
      <c r="AU3274" s="181" t="s">
        <v>7494</v>
      </c>
      <c r="AV3274" s="185" t="s">
        <v>176</v>
      </c>
      <c r="AX3274" s="185" t="s">
        <v>176</v>
      </c>
      <c r="BK3274" s="55" t="s">
        <v>5976</v>
      </c>
      <c r="BM3274" s="192" t="s">
        <v>2702</v>
      </c>
      <c r="BN3274" s="55">
        <v>3</v>
      </c>
      <c r="BO3274" s="55">
        <v>3</v>
      </c>
      <c r="BQ3274" s="55" t="s">
        <v>141</v>
      </c>
      <c r="BV3274" s="55" t="s">
        <v>3104</v>
      </c>
      <c r="CB3274" s="66">
        <v>1900</v>
      </c>
      <c r="CC3274" s="66">
        <v>2800</v>
      </c>
      <c r="CE3274" s="65">
        <v>700</v>
      </c>
      <c r="CF3274" s="65">
        <v>700</v>
      </c>
      <c r="CG3274" s="65" t="s">
        <v>3081</v>
      </c>
      <c r="GP3274" s="292" t="s">
        <v>7494</v>
      </c>
    </row>
    <row r="3275" spans="1:198" x14ac:dyDescent="0.25">
      <c r="A3275" s="55">
        <v>3274</v>
      </c>
      <c r="B3275" s="12" t="s">
        <v>7067</v>
      </c>
      <c r="C3275" s="155">
        <v>154</v>
      </c>
      <c r="D3275" s="55" t="s">
        <v>3168</v>
      </c>
      <c r="E3275" s="90" t="s">
        <v>3077</v>
      </c>
      <c r="G3275" s="55" t="s">
        <v>3078</v>
      </c>
      <c r="H3275" s="55">
        <v>2002</v>
      </c>
      <c r="I3275" s="55">
        <v>1996</v>
      </c>
      <c r="J3275" s="55" t="s">
        <v>2688</v>
      </c>
      <c r="K3275" s="55" t="s">
        <v>3079</v>
      </c>
      <c r="L3275" s="55" t="s">
        <v>2757</v>
      </c>
      <c r="M3275" s="90">
        <v>0.1</v>
      </c>
      <c r="N3275" s="90">
        <f>34+34/60</f>
        <v>34.56666666666667</v>
      </c>
      <c r="O3275" s="90">
        <v>1430</v>
      </c>
      <c r="S3275" s="90">
        <v>1800</v>
      </c>
      <c r="U3275" s="55" t="s">
        <v>1688</v>
      </c>
      <c r="V3275" s="55" t="s">
        <v>1688</v>
      </c>
      <c r="Y3275" s="55" t="s">
        <v>1957</v>
      </c>
      <c r="AE3275" s="90">
        <v>35</v>
      </c>
      <c r="AF3275" s="90">
        <v>31</v>
      </c>
      <c r="AH3275" s="55" t="s">
        <v>645</v>
      </c>
      <c r="AI3275" s="168">
        <v>5.6</v>
      </c>
      <c r="AJ3275" s="90">
        <v>1.79</v>
      </c>
      <c r="AM3275" s="55" t="s">
        <v>3080</v>
      </c>
      <c r="AN3275" s="185" t="s">
        <v>2838</v>
      </c>
      <c r="AO3275" s="185" t="s">
        <v>5150</v>
      </c>
      <c r="AQ3275" s="55" t="s">
        <v>553</v>
      </c>
      <c r="AR3275" s="55" t="s">
        <v>1607</v>
      </c>
      <c r="AS3275" s="55" t="s">
        <v>132</v>
      </c>
      <c r="AU3275" s="181" t="s">
        <v>7494</v>
      </c>
      <c r="AV3275" s="185" t="s">
        <v>176</v>
      </c>
      <c r="AX3275" s="185" t="s">
        <v>176</v>
      </c>
      <c r="BK3275" s="55" t="s">
        <v>5976</v>
      </c>
      <c r="BM3275" s="192" t="s">
        <v>2702</v>
      </c>
      <c r="BN3275" s="55">
        <v>3</v>
      </c>
      <c r="BO3275" s="55">
        <v>3</v>
      </c>
      <c r="BQ3275" s="55" t="s">
        <v>141</v>
      </c>
      <c r="BV3275" s="55" t="s">
        <v>3104</v>
      </c>
      <c r="CB3275" s="66">
        <v>1900</v>
      </c>
      <c r="CC3275" s="66">
        <v>3700</v>
      </c>
      <c r="CE3275" s="65">
        <v>700</v>
      </c>
      <c r="CF3275" s="65">
        <v>700</v>
      </c>
      <c r="CG3275" s="65" t="s">
        <v>3081</v>
      </c>
      <c r="GP3275" s="292" t="s">
        <v>7494</v>
      </c>
    </row>
    <row r="3276" spans="1:198" x14ac:dyDescent="0.25">
      <c r="A3276" s="55">
        <v>3275</v>
      </c>
      <c r="B3276" s="12" t="s">
        <v>7067</v>
      </c>
      <c r="C3276" s="155">
        <v>154</v>
      </c>
      <c r="D3276" s="55" t="s">
        <v>3168</v>
      </c>
      <c r="E3276" s="90" t="s">
        <v>3077</v>
      </c>
      <c r="G3276" s="55" t="s">
        <v>3078</v>
      </c>
      <c r="H3276" s="55">
        <v>2002</v>
      </c>
      <c r="I3276" s="55">
        <v>1996</v>
      </c>
      <c r="J3276" s="55" t="s">
        <v>2688</v>
      </c>
      <c r="K3276" s="55" t="s">
        <v>3079</v>
      </c>
      <c r="L3276" s="55" t="s">
        <v>2757</v>
      </c>
      <c r="M3276" s="90">
        <v>0.1</v>
      </c>
      <c r="N3276" s="90">
        <f>34+34/60</f>
        <v>34.56666666666667</v>
      </c>
      <c r="O3276" s="90">
        <v>1430</v>
      </c>
      <c r="S3276" s="90">
        <v>1800</v>
      </c>
      <c r="U3276" s="55" t="s">
        <v>1688</v>
      </c>
      <c r="V3276" s="55" t="s">
        <v>1688</v>
      </c>
      <c r="Y3276" s="55" t="s">
        <v>1957</v>
      </c>
      <c r="AE3276" s="90">
        <v>35</v>
      </c>
      <c r="AF3276" s="90">
        <v>31</v>
      </c>
      <c r="AH3276" s="55" t="s">
        <v>645</v>
      </c>
      <c r="AI3276" s="168">
        <v>5.6</v>
      </c>
      <c r="AJ3276" s="90">
        <v>1.79</v>
      </c>
      <c r="AM3276" s="55" t="s">
        <v>3080</v>
      </c>
      <c r="AN3276" s="185" t="s">
        <v>2838</v>
      </c>
      <c r="AO3276" s="185" t="s">
        <v>5150</v>
      </c>
      <c r="AQ3276" s="55" t="s">
        <v>553</v>
      </c>
      <c r="AR3276" s="55" t="s">
        <v>1607</v>
      </c>
      <c r="AS3276" s="55" t="s">
        <v>132</v>
      </c>
      <c r="AU3276" s="181" t="s">
        <v>7494</v>
      </c>
      <c r="AV3276" s="185" t="s">
        <v>176</v>
      </c>
      <c r="AX3276" s="185" t="s">
        <v>176</v>
      </c>
      <c r="BK3276" s="55" t="s">
        <v>5976</v>
      </c>
      <c r="BM3276" s="192" t="s">
        <v>2702</v>
      </c>
      <c r="BN3276" s="55">
        <v>3</v>
      </c>
      <c r="BO3276" s="55">
        <v>3</v>
      </c>
      <c r="BQ3276" s="55" t="s">
        <v>141</v>
      </c>
      <c r="BV3276" s="55" t="s">
        <v>3104</v>
      </c>
      <c r="CB3276" s="66">
        <v>1900</v>
      </c>
      <c r="CC3276" s="66">
        <v>3300</v>
      </c>
      <c r="CE3276" s="65">
        <v>700</v>
      </c>
      <c r="CF3276" s="65">
        <v>700</v>
      </c>
      <c r="CG3276" s="65" t="s">
        <v>3081</v>
      </c>
      <c r="GP3276" s="292" t="s">
        <v>7494</v>
      </c>
    </row>
    <row r="3277" spans="1:198" x14ac:dyDescent="0.25">
      <c r="A3277" s="55">
        <v>3276</v>
      </c>
      <c r="B3277" s="12" t="s">
        <v>7067</v>
      </c>
      <c r="C3277" s="155">
        <v>154</v>
      </c>
      <c r="D3277" s="55" t="s">
        <v>3169</v>
      </c>
      <c r="E3277" s="90" t="s">
        <v>3077</v>
      </c>
      <c r="G3277" s="55" t="s">
        <v>3078</v>
      </c>
      <c r="H3277" s="55">
        <v>2002</v>
      </c>
      <c r="I3277" s="55">
        <v>1996</v>
      </c>
      <c r="J3277" s="55" t="s">
        <v>2688</v>
      </c>
      <c r="K3277" s="55" t="s">
        <v>3079</v>
      </c>
      <c r="L3277" s="55" t="s">
        <v>2757</v>
      </c>
      <c r="M3277" s="90">
        <v>0.1</v>
      </c>
      <c r="N3277" s="90">
        <f>34+34/60</f>
        <v>34.56666666666667</v>
      </c>
      <c r="O3277" s="90">
        <v>1430</v>
      </c>
      <c r="S3277" s="90">
        <v>1800</v>
      </c>
      <c r="U3277" s="55" t="s">
        <v>1688</v>
      </c>
      <c r="V3277" s="55" t="s">
        <v>1688</v>
      </c>
      <c r="Y3277" s="55" t="s">
        <v>1957</v>
      </c>
      <c r="AE3277" s="90">
        <v>35</v>
      </c>
      <c r="AF3277" s="90">
        <v>31</v>
      </c>
      <c r="AH3277" s="55" t="s">
        <v>645</v>
      </c>
      <c r="AI3277" s="168">
        <v>5.6</v>
      </c>
      <c r="AJ3277" s="90">
        <v>1.79</v>
      </c>
      <c r="AM3277" s="55" t="s">
        <v>3080</v>
      </c>
      <c r="AN3277" s="185" t="s">
        <v>2836</v>
      </c>
      <c r="AO3277" s="185" t="s">
        <v>5150</v>
      </c>
      <c r="AQ3277" s="55" t="s">
        <v>1097</v>
      </c>
      <c r="AR3277" s="55" t="s">
        <v>1607</v>
      </c>
      <c r="AS3277" s="55" t="s">
        <v>132</v>
      </c>
      <c r="AU3277" s="181" t="s">
        <v>7494</v>
      </c>
      <c r="AV3277" s="185" t="s">
        <v>176</v>
      </c>
      <c r="AX3277" s="185" t="s">
        <v>176</v>
      </c>
      <c r="BK3277" s="55" t="s">
        <v>5976</v>
      </c>
      <c r="BM3277" s="192" t="s">
        <v>2702</v>
      </c>
      <c r="BN3277" s="55">
        <v>3</v>
      </c>
      <c r="BO3277" s="55">
        <v>3</v>
      </c>
      <c r="BQ3277" s="55" t="s">
        <v>141</v>
      </c>
      <c r="BV3277" s="55" t="s">
        <v>3104</v>
      </c>
      <c r="CB3277" s="66">
        <v>1900</v>
      </c>
      <c r="CC3277" s="66">
        <v>3200</v>
      </c>
      <c r="CE3277" s="65">
        <v>700</v>
      </c>
      <c r="CF3277" s="65">
        <v>700</v>
      </c>
      <c r="CG3277" s="65" t="s">
        <v>3081</v>
      </c>
      <c r="GP3277" s="292" t="s">
        <v>7494</v>
      </c>
    </row>
    <row r="3278" spans="1:198" x14ac:dyDescent="0.25">
      <c r="A3278" s="55">
        <v>3277</v>
      </c>
      <c r="B3278" s="12" t="s">
        <v>7067</v>
      </c>
      <c r="C3278" s="155">
        <v>154</v>
      </c>
      <c r="D3278" s="55" t="s">
        <v>3168</v>
      </c>
      <c r="E3278" s="90" t="s">
        <v>3077</v>
      </c>
      <c r="G3278" s="55" t="s">
        <v>3078</v>
      </c>
      <c r="H3278" s="55">
        <v>2002</v>
      </c>
      <c r="I3278" s="55">
        <v>1996</v>
      </c>
      <c r="J3278" s="55" t="s">
        <v>2688</v>
      </c>
      <c r="K3278" s="55" t="s">
        <v>3079</v>
      </c>
      <c r="L3278" s="55" t="s">
        <v>2757</v>
      </c>
      <c r="M3278" s="90">
        <v>0.1</v>
      </c>
      <c r="N3278" s="90">
        <f>34+34/60</f>
        <v>34.56666666666667</v>
      </c>
      <c r="O3278" s="90">
        <v>1430</v>
      </c>
      <c r="S3278" s="90">
        <v>1800</v>
      </c>
      <c r="U3278" s="55" t="s">
        <v>1688</v>
      </c>
      <c r="V3278" s="55" t="s">
        <v>1688</v>
      </c>
      <c r="Y3278" s="55" t="s">
        <v>1957</v>
      </c>
      <c r="AE3278" s="90">
        <v>35</v>
      </c>
      <c r="AF3278" s="90">
        <v>31</v>
      </c>
      <c r="AH3278" s="55" t="s">
        <v>645</v>
      </c>
      <c r="AI3278" s="168">
        <v>5.6</v>
      </c>
      <c r="AJ3278" s="90">
        <v>1.79</v>
      </c>
      <c r="AM3278" s="55" t="s">
        <v>3080</v>
      </c>
      <c r="AN3278" s="185" t="s">
        <v>2837</v>
      </c>
      <c r="AO3278" s="185" t="s">
        <v>5150</v>
      </c>
      <c r="AQ3278" s="55" t="s">
        <v>553</v>
      </c>
      <c r="AR3278" s="55" t="s">
        <v>1607</v>
      </c>
      <c r="AS3278" s="55" t="s">
        <v>132</v>
      </c>
      <c r="AU3278" s="181" t="s">
        <v>7494</v>
      </c>
      <c r="AV3278" s="185" t="s">
        <v>176</v>
      </c>
      <c r="AX3278" s="185" t="s">
        <v>176</v>
      </c>
      <c r="BK3278" s="55" t="s">
        <v>5976</v>
      </c>
      <c r="BM3278" s="192" t="s">
        <v>2702</v>
      </c>
      <c r="BN3278" s="55">
        <v>3</v>
      </c>
      <c r="BO3278" s="55">
        <v>3</v>
      </c>
      <c r="BQ3278" s="55" t="s">
        <v>141</v>
      </c>
      <c r="BV3278" s="55" t="s">
        <v>3104</v>
      </c>
      <c r="CB3278" s="66">
        <v>1900</v>
      </c>
      <c r="CC3278" s="66">
        <v>2200</v>
      </c>
      <c r="CE3278" s="65">
        <v>700</v>
      </c>
      <c r="CF3278" s="65">
        <v>700</v>
      </c>
      <c r="CG3278" s="65" t="s">
        <v>3081</v>
      </c>
      <c r="GP3278" s="292" t="s">
        <v>7494</v>
      </c>
    </row>
    <row r="3279" spans="1:198" x14ac:dyDescent="0.25">
      <c r="A3279" s="55">
        <v>3278</v>
      </c>
      <c r="B3279" s="12" t="s">
        <v>7067</v>
      </c>
      <c r="C3279" s="155">
        <v>154</v>
      </c>
      <c r="D3279" s="55" t="s">
        <v>3169</v>
      </c>
      <c r="E3279" s="90" t="s">
        <v>3077</v>
      </c>
      <c r="G3279" s="55" t="s">
        <v>3078</v>
      </c>
      <c r="H3279" s="55">
        <v>2002</v>
      </c>
      <c r="I3279" s="55">
        <v>1996</v>
      </c>
      <c r="J3279" s="55" t="s">
        <v>2688</v>
      </c>
      <c r="K3279" s="55" t="s">
        <v>3079</v>
      </c>
      <c r="L3279" s="55" t="s">
        <v>2757</v>
      </c>
      <c r="M3279" s="90">
        <v>0.1</v>
      </c>
      <c r="N3279" s="90">
        <f>34+34/60</f>
        <v>34.56666666666667</v>
      </c>
      <c r="O3279" s="90">
        <v>1430</v>
      </c>
      <c r="S3279" s="90">
        <v>1800</v>
      </c>
      <c r="U3279" s="55" t="s">
        <v>1688</v>
      </c>
      <c r="V3279" s="55" t="s">
        <v>1688</v>
      </c>
      <c r="Y3279" s="55" t="s">
        <v>1957</v>
      </c>
      <c r="AE3279" s="90">
        <v>35</v>
      </c>
      <c r="AF3279" s="90">
        <v>31</v>
      </c>
      <c r="AH3279" s="55" t="s">
        <v>645</v>
      </c>
      <c r="AI3279" s="168">
        <v>5.6</v>
      </c>
      <c r="AJ3279" s="90">
        <v>1.79</v>
      </c>
      <c r="AM3279" s="55" t="s">
        <v>3080</v>
      </c>
      <c r="AN3279" s="185" t="s">
        <v>3086</v>
      </c>
      <c r="AO3279" s="185" t="s">
        <v>5150</v>
      </c>
      <c r="AQ3279" s="55" t="s">
        <v>1097</v>
      </c>
      <c r="AR3279" s="55" t="s">
        <v>1607</v>
      </c>
      <c r="AS3279" s="55" t="s">
        <v>132</v>
      </c>
      <c r="AU3279" s="181" t="s">
        <v>7494</v>
      </c>
      <c r="AV3279" s="185" t="s">
        <v>176</v>
      </c>
      <c r="AX3279" s="185" t="s">
        <v>176</v>
      </c>
      <c r="BK3279" s="55" t="s">
        <v>5976</v>
      </c>
      <c r="BM3279" s="192" t="s">
        <v>2702</v>
      </c>
      <c r="BN3279" s="55">
        <v>3</v>
      </c>
      <c r="BO3279" s="55">
        <v>3</v>
      </c>
      <c r="BQ3279" s="55" t="s">
        <v>141</v>
      </c>
      <c r="BS3279" s="55">
        <v>15600</v>
      </c>
      <c r="BT3279" s="55">
        <f>BS3279/190.7</f>
        <v>81.803880440482445</v>
      </c>
      <c r="BV3279" s="55" t="s">
        <v>3105</v>
      </c>
      <c r="CB3279" s="66">
        <v>3500</v>
      </c>
      <c r="CC3279" s="66">
        <v>4500</v>
      </c>
      <c r="CE3279" s="65">
        <v>800</v>
      </c>
      <c r="CF3279" s="65">
        <v>800</v>
      </c>
      <c r="CG3279" s="65" t="s">
        <v>3082</v>
      </c>
      <c r="GP3279" s="292" t="s">
        <v>7494</v>
      </c>
    </row>
    <row r="3280" spans="1:198" x14ac:dyDescent="0.25">
      <c r="A3280" s="55">
        <v>3279</v>
      </c>
      <c r="B3280" s="12" t="s">
        <v>7067</v>
      </c>
      <c r="C3280" s="155">
        <v>154</v>
      </c>
      <c r="D3280" s="55" t="s">
        <v>3169</v>
      </c>
      <c r="E3280" s="90" t="s">
        <v>3077</v>
      </c>
      <c r="G3280" s="55" t="s">
        <v>3078</v>
      </c>
      <c r="H3280" s="55">
        <v>2002</v>
      </c>
      <c r="I3280" s="55">
        <v>1996</v>
      </c>
      <c r="J3280" s="55" t="s">
        <v>2688</v>
      </c>
      <c r="K3280" s="55" t="s">
        <v>3079</v>
      </c>
      <c r="L3280" s="55" t="s">
        <v>2757</v>
      </c>
      <c r="M3280" s="90">
        <v>0.1</v>
      </c>
      <c r="N3280" s="90">
        <f>34+34/60</f>
        <v>34.56666666666667</v>
      </c>
      <c r="O3280" s="90">
        <v>1430</v>
      </c>
      <c r="S3280" s="90">
        <v>1800</v>
      </c>
      <c r="U3280" s="55" t="s">
        <v>1688</v>
      </c>
      <c r="V3280" s="55" t="s">
        <v>1688</v>
      </c>
      <c r="Y3280" s="55" t="s">
        <v>1957</v>
      </c>
      <c r="AE3280" s="90">
        <v>35</v>
      </c>
      <c r="AF3280" s="90">
        <v>31</v>
      </c>
      <c r="AH3280" s="55" t="s">
        <v>645</v>
      </c>
      <c r="AI3280" s="168">
        <v>5.6</v>
      </c>
      <c r="AJ3280" s="90">
        <v>1.79</v>
      </c>
      <c r="AM3280" s="55" t="s">
        <v>3080</v>
      </c>
      <c r="AN3280" s="185" t="s">
        <v>2841</v>
      </c>
      <c r="AO3280" s="185" t="s">
        <v>5150</v>
      </c>
      <c r="AQ3280" s="55" t="s">
        <v>553</v>
      </c>
      <c r="AR3280" s="55" t="s">
        <v>1607</v>
      </c>
      <c r="AS3280" s="55" t="s">
        <v>132</v>
      </c>
      <c r="AU3280" s="181" t="s">
        <v>7494</v>
      </c>
      <c r="AV3280" s="185" t="s">
        <v>176</v>
      </c>
      <c r="AX3280" s="185" t="s">
        <v>176</v>
      </c>
      <c r="BK3280" s="55" t="s">
        <v>5976</v>
      </c>
      <c r="BM3280" s="192" t="s">
        <v>2702</v>
      </c>
      <c r="BN3280" s="55">
        <v>3</v>
      </c>
      <c r="BO3280" s="55">
        <v>3</v>
      </c>
      <c r="BQ3280" s="55" t="s">
        <v>141</v>
      </c>
      <c r="BS3280" s="55">
        <v>23200</v>
      </c>
      <c r="BT3280" s="55">
        <f>BS3280/330.4</f>
        <v>70.217917675544797</v>
      </c>
      <c r="BV3280" s="55" t="s">
        <v>3105</v>
      </c>
      <c r="CB3280" s="66">
        <v>3500</v>
      </c>
      <c r="CC3280" s="66">
        <v>4900</v>
      </c>
      <c r="CE3280" s="65">
        <v>800</v>
      </c>
      <c r="CF3280" s="65">
        <v>800</v>
      </c>
      <c r="CG3280" s="65" t="s">
        <v>3082</v>
      </c>
      <c r="GP3280" s="292" t="s">
        <v>7494</v>
      </c>
    </row>
    <row r="3281" spans="1:198" x14ac:dyDescent="0.25">
      <c r="A3281" s="55">
        <v>3280</v>
      </c>
      <c r="B3281" s="12" t="s">
        <v>7067</v>
      </c>
      <c r="C3281" s="155">
        <v>154</v>
      </c>
      <c r="D3281" s="55" t="s">
        <v>3169</v>
      </c>
      <c r="E3281" s="90" t="s">
        <v>3077</v>
      </c>
      <c r="G3281" s="55" t="s">
        <v>3078</v>
      </c>
      <c r="H3281" s="55">
        <v>2002</v>
      </c>
      <c r="I3281" s="55">
        <v>1996</v>
      </c>
      <c r="J3281" s="55" t="s">
        <v>2688</v>
      </c>
      <c r="K3281" s="55" t="s">
        <v>3079</v>
      </c>
      <c r="L3281" s="55" t="s">
        <v>2757</v>
      </c>
      <c r="M3281" s="90">
        <v>0.1</v>
      </c>
      <c r="N3281" s="90">
        <f>34+34/60</f>
        <v>34.56666666666667</v>
      </c>
      <c r="O3281" s="90">
        <v>1430</v>
      </c>
      <c r="S3281" s="90">
        <v>1800</v>
      </c>
      <c r="U3281" s="55" t="s">
        <v>1688</v>
      </c>
      <c r="V3281" s="55" t="s">
        <v>1688</v>
      </c>
      <c r="Y3281" s="55" t="s">
        <v>1957</v>
      </c>
      <c r="AE3281" s="90">
        <v>35</v>
      </c>
      <c r="AF3281" s="90">
        <v>31</v>
      </c>
      <c r="AH3281" s="55" t="s">
        <v>645</v>
      </c>
      <c r="AI3281" s="168">
        <v>5.6</v>
      </c>
      <c r="AJ3281" s="90">
        <v>1.79</v>
      </c>
      <c r="AM3281" s="55" t="s">
        <v>3080</v>
      </c>
      <c r="AN3281" s="185" t="s">
        <v>3087</v>
      </c>
      <c r="AO3281" s="185" t="s">
        <v>5150</v>
      </c>
      <c r="AQ3281" s="55" t="s">
        <v>553</v>
      </c>
      <c r="AR3281" s="55" t="s">
        <v>1607</v>
      </c>
      <c r="AS3281" s="55" t="s">
        <v>132</v>
      </c>
      <c r="AU3281" s="181" t="s">
        <v>7494</v>
      </c>
      <c r="AV3281" s="185" t="s">
        <v>176</v>
      </c>
      <c r="AX3281" s="185" t="s">
        <v>176</v>
      </c>
      <c r="BK3281" s="55" t="s">
        <v>5976</v>
      </c>
      <c r="BM3281" s="192" t="s">
        <v>2702</v>
      </c>
      <c r="BN3281" s="55">
        <v>3</v>
      </c>
      <c r="BO3281" s="55">
        <v>3</v>
      </c>
      <c r="BQ3281" s="55" t="s">
        <v>141</v>
      </c>
      <c r="BS3281" s="55">
        <v>7000</v>
      </c>
      <c r="BT3281" s="55">
        <f>BS3281/60.4</f>
        <v>115.89403973509934</v>
      </c>
      <c r="BV3281" s="55" t="s">
        <v>3105</v>
      </c>
      <c r="CB3281" s="66">
        <v>3500</v>
      </c>
      <c r="CC3281" s="66">
        <v>4400</v>
      </c>
      <c r="CE3281" s="65">
        <v>800</v>
      </c>
      <c r="CF3281" s="65">
        <v>800</v>
      </c>
      <c r="CG3281" s="65" t="s">
        <v>3082</v>
      </c>
      <c r="GP3281" s="292" t="s">
        <v>7494</v>
      </c>
    </row>
    <row r="3282" spans="1:198" x14ac:dyDescent="0.25">
      <c r="A3282" s="55">
        <v>3281</v>
      </c>
      <c r="B3282" s="12" t="s">
        <v>7067</v>
      </c>
      <c r="C3282" s="155">
        <v>154</v>
      </c>
      <c r="D3282" s="55" t="s">
        <v>3169</v>
      </c>
      <c r="E3282" s="90" t="s">
        <v>3077</v>
      </c>
      <c r="G3282" s="55" t="s">
        <v>3078</v>
      </c>
      <c r="H3282" s="55">
        <v>2002</v>
      </c>
      <c r="I3282" s="55">
        <v>1996</v>
      </c>
      <c r="J3282" s="55" t="s">
        <v>2688</v>
      </c>
      <c r="K3282" s="55" t="s">
        <v>3079</v>
      </c>
      <c r="L3282" s="55" t="s">
        <v>2757</v>
      </c>
      <c r="M3282" s="90">
        <v>0.1</v>
      </c>
      <c r="N3282" s="90">
        <f>34+34/60</f>
        <v>34.56666666666667</v>
      </c>
      <c r="O3282" s="90">
        <v>1430</v>
      </c>
      <c r="S3282" s="90">
        <v>1800</v>
      </c>
      <c r="U3282" s="55" t="s">
        <v>1688</v>
      </c>
      <c r="V3282" s="55" t="s">
        <v>1688</v>
      </c>
      <c r="Y3282" s="55" t="s">
        <v>1957</v>
      </c>
      <c r="AE3282" s="90">
        <v>35</v>
      </c>
      <c r="AF3282" s="90">
        <v>31</v>
      </c>
      <c r="AH3282" s="55" t="s">
        <v>645</v>
      </c>
      <c r="AI3282" s="168">
        <v>5.6</v>
      </c>
      <c r="AJ3282" s="90">
        <v>1.79</v>
      </c>
      <c r="AM3282" s="55" t="s">
        <v>3080</v>
      </c>
      <c r="AN3282" s="185" t="s">
        <v>2842</v>
      </c>
      <c r="AO3282" s="185" t="s">
        <v>5150</v>
      </c>
      <c r="AQ3282" s="55" t="s">
        <v>553</v>
      </c>
      <c r="AR3282" s="55" t="s">
        <v>1607</v>
      </c>
      <c r="AS3282" s="55" t="s">
        <v>132</v>
      </c>
      <c r="AU3282" s="181" t="s">
        <v>7494</v>
      </c>
      <c r="AV3282" s="185" t="s">
        <v>176</v>
      </c>
      <c r="AX3282" s="185" t="s">
        <v>176</v>
      </c>
      <c r="BK3282" s="55" t="s">
        <v>5976</v>
      </c>
      <c r="BM3282" s="192" t="s">
        <v>2702</v>
      </c>
      <c r="BN3282" s="55">
        <v>3</v>
      </c>
      <c r="BO3282" s="55">
        <v>3</v>
      </c>
      <c r="BQ3282" s="55" t="s">
        <v>141</v>
      </c>
      <c r="BS3282" s="55">
        <v>12800</v>
      </c>
      <c r="BT3282" s="55">
        <f>BS3282/56.7</f>
        <v>225.7495590828924</v>
      </c>
      <c r="BV3282" s="55" t="s">
        <v>3105</v>
      </c>
      <c r="CB3282" s="66">
        <v>3500</v>
      </c>
      <c r="CC3282" s="66">
        <v>4500</v>
      </c>
      <c r="CE3282" s="65">
        <v>800</v>
      </c>
      <c r="CF3282" s="65">
        <v>800</v>
      </c>
      <c r="CG3282" s="65" t="s">
        <v>3082</v>
      </c>
      <c r="GP3282" s="292" t="s">
        <v>7494</v>
      </c>
    </row>
    <row r="3283" spans="1:198" x14ac:dyDescent="0.25">
      <c r="A3283" s="55">
        <v>3282</v>
      </c>
      <c r="B3283" s="12" t="s">
        <v>7067</v>
      </c>
      <c r="C3283" s="155">
        <v>154</v>
      </c>
      <c r="D3283" s="55" t="s">
        <v>3169</v>
      </c>
      <c r="E3283" s="90" t="s">
        <v>3077</v>
      </c>
      <c r="G3283" s="55" t="s">
        <v>3078</v>
      </c>
      <c r="H3283" s="55">
        <v>2002</v>
      </c>
      <c r="I3283" s="55">
        <v>1996</v>
      </c>
      <c r="J3283" s="55" t="s">
        <v>2688</v>
      </c>
      <c r="K3283" s="55" t="s">
        <v>3079</v>
      </c>
      <c r="L3283" s="55" t="s">
        <v>2757</v>
      </c>
      <c r="M3283" s="90">
        <v>0.1</v>
      </c>
      <c r="N3283" s="90">
        <f>34+34/60</f>
        <v>34.56666666666667</v>
      </c>
      <c r="O3283" s="90">
        <v>1430</v>
      </c>
      <c r="S3283" s="90">
        <v>1800</v>
      </c>
      <c r="U3283" s="55" t="s">
        <v>1688</v>
      </c>
      <c r="V3283" s="55" t="s">
        <v>1688</v>
      </c>
      <c r="Y3283" s="55" t="s">
        <v>1957</v>
      </c>
      <c r="AE3283" s="90">
        <v>35</v>
      </c>
      <c r="AF3283" s="90">
        <v>31</v>
      </c>
      <c r="AH3283" s="55" t="s">
        <v>645</v>
      </c>
      <c r="AI3283" s="168">
        <v>5.6</v>
      </c>
      <c r="AJ3283" s="90">
        <v>1.79</v>
      </c>
      <c r="AM3283" s="55" t="s">
        <v>3080</v>
      </c>
      <c r="AN3283" s="185" t="s">
        <v>3085</v>
      </c>
      <c r="AO3283" s="185" t="s">
        <v>5150</v>
      </c>
      <c r="AQ3283" s="55" t="s">
        <v>1550</v>
      </c>
      <c r="AR3283" s="55" t="s">
        <v>1607</v>
      </c>
      <c r="AS3283" s="55" t="s">
        <v>132</v>
      </c>
      <c r="AU3283" s="181" t="s">
        <v>7494</v>
      </c>
      <c r="AV3283" s="185" t="s">
        <v>176</v>
      </c>
      <c r="AX3283" s="185" t="s">
        <v>176</v>
      </c>
      <c r="BK3283" s="55" t="s">
        <v>5976</v>
      </c>
      <c r="BM3283" s="192" t="s">
        <v>2702</v>
      </c>
      <c r="BN3283" s="55">
        <v>3</v>
      </c>
      <c r="BO3283" s="55">
        <v>3</v>
      </c>
      <c r="BQ3283" s="55" t="s">
        <v>141</v>
      </c>
      <c r="BS3283" s="55">
        <v>6300</v>
      </c>
      <c r="BT3283" s="55">
        <f>BS3283/60.4</f>
        <v>104.30463576158941</v>
      </c>
      <c r="BV3283" s="55" t="s">
        <v>3105</v>
      </c>
      <c r="CB3283" s="66">
        <v>3500</v>
      </c>
      <c r="CC3283" s="66">
        <v>2300</v>
      </c>
      <c r="CE3283" s="65">
        <v>800</v>
      </c>
      <c r="CF3283" s="65">
        <v>800</v>
      </c>
      <c r="CG3283" s="65" t="s">
        <v>3082</v>
      </c>
      <c r="GP3283" s="292" t="s">
        <v>7494</v>
      </c>
    </row>
    <row r="3284" spans="1:198" x14ac:dyDescent="0.25">
      <c r="A3284" s="55">
        <v>3283</v>
      </c>
      <c r="B3284" s="12" t="s">
        <v>7067</v>
      </c>
      <c r="C3284" s="155">
        <v>154</v>
      </c>
      <c r="D3284" s="55" t="s">
        <v>3169</v>
      </c>
      <c r="E3284" s="90" t="s">
        <v>3077</v>
      </c>
      <c r="G3284" s="55" t="s">
        <v>3078</v>
      </c>
      <c r="H3284" s="55">
        <v>2002</v>
      </c>
      <c r="I3284" s="55">
        <v>1996</v>
      </c>
      <c r="J3284" s="55" t="s">
        <v>2688</v>
      </c>
      <c r="K3284" s="55" t="s">
        <v>3079</v>
      </c>
      <c r="L3284" s="55" t="s">
        <v>2757</v>
      </c>
      <c r="M3284" s="90">
        <v>0.1</v>
      </c>
      <c r="N3284" s="90">
        <f>34+34/60</f>
        <v>34.56666666666667</v>
      </c>
      <c r="O3284" s="90">
        <v>1430</v>
      </c>
      <c r="S3284" s="90">
        <v>1800</v>
      </c>
      <c r="U3284" s="55" t="s">
        <v>1688</v>
      </c>
      <c r="V3284" s="55" t="s">
        <v>1688</v>
      </c>
      <c r="Y3284" s="55" t="s">
        <v>1957</v>
      </c>
      <c r="AE3284" s="90">
        <v>35</v>
      </c>
      <c r="AF3284" s="90">
        <v>31</v>
      </c>
      <c r="AH3284" s="55" t="s">
        <v>645</v>
      </c>
      <c r="AI3284" s="168">
        <v>5.6</v>
      </c>
      <c r="AJ3284" s="90">
        <v>1.79</v>
      </c>
      <c r="AM3284" s="55" t="s">
        <v>3080</v>
      </c>
      <c r="AN3284" s="185" t="s">
        <v>3084</v>
      </c>
      <c r="AO3284" s="185" t="s">
        <v>5150</v>
      </c>
      <c r="AQ3284" s="55" t="s">
        <v>553</v>
      </c>
      <c r="AR3284" s="55" t="s">
        <v>1607</v>
      </c>
      <c r="AS3284" s="55" t="s">
        <v>132</v>
      </c>
      <c r="AU3284" s="181" t="s">
        <v>7494</v>
      </c>
      <c r="AV3284" s="185" t="s">
        <v>176</v>
      </c>
      <c r="AX3284" s="185" t="s">
        <v>176</v>
      </c>
      <c r="BK3284" s="55" t="s">
        <v>5976</v>
      </c>
      <c r="BM3284" s="192" t="s">
        <v>2702</v>
      </c>
      <c r="BN3284" s="55">
        <v>3</v>
      </c>
      <c r="BO3284" s="55">
        <v>3</v>
      </c>
      <c r="BQ3284" s="55" t="s">
        <v>141</v>
      </c>
      <c r="BS3284" s="55">
        <v>9900</v>
      </c>
      <c r="BT3284" s="55">
        <f>BS3284/139.6</f>
        <v>70.916905444126073</v>
      </c>
      <c r="BV3284" s="55" t="s">
        <v>3105</v>
      </c>
      <c r="CB3284" s="66">
        <v>3500</v>
      </c>
      <c r="CC3284" s="66">
        <v>5900</v>
      </c>
      <c r="CE3284" s="65">
        <v>800</v>
      </c>
      <c r="CF3284" s="65">
        <v>800</v>
      </c>
      <c r="CG3284" s="65" t="s">
        <v>3082</v>
      </c>
      <c r="GP3284" s="292" t="s">
        <v>7494</v>
      </c>
    </row>
    <row r="3285" spans="1:198" x14ac:dyDescent="0.25">
      <c r="A3285" s="55">
        <v>3284</v>
      </c>
      <c r="B3285" s="12" t="s">
        <v>7067</v>
      </c>
      <c r="C3285" s="155">
        <v>154</v>
      </c>
      <c r="D3285" s="55" t="s">
        <v>3169</v>
      </c>
      <c r="E3285" s="90" t="s">
        <v>3077</v>
      </c>
      <c r="G3285" s="55" t="s">
        <v>3078</v>
      </c>
      <c r="H3285" s="55">
        <v>2002</v>
      </c>
      <c r="I3285" s="55">
        <v>1996</v>
      </c>
      <c r="J3285" s="55" t="s">
        <v>2688</v>
      </c>
      <c r="K3285" s="55" t="s">
        <v>3079</v>
      </c>
      <c r="L3285" s="55" t="s">
        <v>2757</v>
      </c>
      <c r="M3285" s="90">
        <v>0.1</v>
      </c>
      <c r="N3285" s="90">
        <f>34+34/60</f>
        <v>34.56666666666667</v>
      </c>
      <c r="O3285" s="90">
        <v>1430</v>
      </c>
      <c r="S3285" s="90">
        <v>1800</v>
      </c>
      <c r="U3285" s="55" t="s">
        <v>1688</v>
      </c>
      <c r="V3285" s="55" t="s">
        <v>1688</v>
      </c>
      <c r="Y3285" s="55" t="s">
        <v>1957</v>
      </c>
      <c r="AE3285" s="90">
        <v>35</v>
      </c>
      <c r="AF3285" s="90">
        <v>31</v>
      </c>
      <c r="AH3285" s="55" t="s">
        <v>645</v>
      </c>
      <c r="AI3285" s="168">
        <v>5.6</v>
      </c>
      <c r="AJ3285" s="90">
        <v>1.79</v>
      </c>
      <c r="AM3285" s="55" t="s">
        <v>3080</v>
      </c>
      <c r="AN3285" s="185" t="s">
        <v>3086</v>
      </c>
      <c r="AO3285" s="185" t="s">
        <v>5150</v>
      </c>
      <c r="AQ3285" s="55" t="s">
        <v>1097</v>
      </c>
      <c r="AR3285" s="55" t="s">
        <v>1607</v>
      </c>
      <c r="AS3285" s="55" t="s">
        <v>132</v>
      </c>
      <c r="AU3285" s="181" t="s">
        <v>7494</v>
      </c>
      <c r="AV3285" s="185" t="s">
        <v>176</v>
      </c>
      <c r="AX3285" s="185" t="s">
        <v>176</v>
      </c>
      <c r="BK3285" s="55" t="s">
        <v>5976</v>
      </c>
      <c r="BM3285" s="192" t="s">
        <v>2702</v>
      </c>
      <c r="BN3285" s="55">
        <v>3</v>
      </c>
      <c r="BO3285" s="55">
        <v>3</v>
      </c>
      <c r="BQ3285" s="55" t="s">
        <v>141</v>
      </c>
      <c r="BS3285" s="55">
        <v>15700</v>
      </c>
      <c r="BT3285" s="55">
        <f>BS3285/67.2</f>
        <v>233.63095238095238</v>
      </c>
      <c r="BV3285" s="55" t="s">
        <v>3104</v>
      </c>
      <c r="CB3285" s="66">
        <v>3000</v>
      </c>
      <c r="CC3285" s="66">
        <v>3000</v>
      </c>
      <c r="CE3285" s="65">
        <v>300</v>
      </c>
      <c r="CF3285" s="65">
        <v>300</v>
      </c>
      <c r="CG3285" s="65" t="s">
        <v>3082</v>
      </c>
      <c r="GP3285" s="292" t="s">
        <v>7494</v>
      </c>
    </row>
    <row r="3286" spans="1:198" x14ac:dyDescent="0.25">
      <c r="A3286" s="55">
        <v>3285</v>
      </c>
      <c r="B3286" s="12" t="s">
        <v>7067</v>
      </c>
      <c r="C3286" s="155">
        <v>154</v>
      </c>
      <c r="D3286" s="55" t="s">
        <v>3169</v>
      </c>
      <c r="E3286" s="90" t="s">
        <v>3077</v>
      </c>
      <c r="G3286" s="55" t="s">
        <v>3078</v>
      </c>
      <c r="H3286" s="55">
        <v>2002</v>
      </c>
      <c r="I3286" s="55">
        <v>1996</v>
      </c>
      <c r="J3286" s="55" t="s">
        <v>2688</v>
      </c>
      <c r="K3286" s="55" t="s">
        <v>3079</v>
      </c>
      <c r="L3286" s="55" t="s">
        <v>2757</v>
      </c>
      <c r="M3286" s="90">
        <v>0.1</v>
      </c>
      <c r="N3286" s="90">
        <f>34+34/60</f>
        <v>34.56666666666667</v>
      </c>
      <c r="O3286" s="90">
        <v>1430</v>
      </c>
      <c r="S3286" s="90">
        <v>1800</v>
      </c>
      <c r="U3286" s="55" t="s">
        <v>1688</v>
      </c>
      <c r="V3286" s="55" t="s">
        <v>1688</v>
      </c>
      <c r="Y3286" s="55" t="s">
        <v>1957</v>
      </c>
      <c r="AE3286" s="90">
        <v>35</v>
      </c>
      <c r="AF3286" s="90">
        <v>31</v>
      </c>
      <c r="AH3286" s="55" t="s">
        <v>645</v>
      </c>
      <c r="AI3286" s="168">
        <v>5.6</v>
      </c>
      <c r="AJ3286" s="90">
        <v>1.79</v>
      </c>
      <c r="AM3286" s="55" t="s">
        <v>3080</v>
      </c>
      <c r="AN3286" s="185" t="s">
        <v>2841</v>
      </c>
      <c r="AO3286" s="185" t="s">
        <v>5150</v>
      </c>
      <c r="AQ3286" s="55" t="s">
        <v>553</v>
      </c>
      <c r="AR3286" s="55" t="s">
        <v>1607</v>
      </c>
      <c r="AS3286" s="55" t="s">
        <v>132</v>
      </c>
      <c r="AU3286" s="181" t="s">
        <v>7494</v>
      </c>
      <c r="AV3286" s="185" t="s">
        <v>176</v>
      </c>
      <c r="AX3286" s="185" t="s">
        <v>176</v>
      </c>
      <c r="BK3286" s="55" t="s">
        <v>5976</v>
      </c>
      <c r="BM3286" s="192" t="s">
        <v>2702</v>
      </c>
      <c r="BN3286" s="55">
        <v>3</v>
      </c>
      <c r="BO3286" s="55">
        <v>3</v>
      </c>
      <c r="BQ3286" s="55" t="s">
        <v>141</v>
      </c>
      <c r="BS3286" s="55">
        <v>29900</v>
      </c>
      <c r="BT3286" s="55">
        <f>BS3286/312.8</f>
        <v>95.588235294117638</v>
      </c>
      <c r="BV3286" s="55" t="s">
        <v>3104</v>
      </c>
      <c r="CB3286" s="66">
        <v>3000</v>
      </c>
      <c r="CC3286" s="66">
        <v>3200</v>
      </c>
      <c r="CE3286" s="65">
        <v>300</v>
      </c>
      <c r="CF3286" s="65">
        <v>300</v>
      </c>
      <c r="CG3286" s="65" t="s">
        <v>3082</v>
      </c>
      <c r="GP3286" s="292" t="s">
        <v>7494</v>
      </c>
    </row>
    <row r="3287" spans="1:198" x14ac:dyDescent="0.25">
      <c r="A3287" s="55">
        <v>3286</v>
      </c>
      <c r="B3287" s="12" t="s">
        <v>7067</v>
      </c>
      <c r="C3287" s="155">
        <v>154</v>
      </c>
      <c r="D3287" s="55" t="s">
        <v>3169</v>
      </c>
      <c r="E3287" s="90" t="s">
        <v>3077</v>
      </c>
      <c r="G3287" s="55" t="s">
        <v>3078</v>
      </c>
      <c r="H3287" s="55">
        <v>2002</v>
      </c>
      <c r="I3287" s="55">
        <v>1996</v>
      </c>
      <c r="J3287" s="55" t="s">
        <v>2688</v>
      </c>
      <c r="K3287" s="55" t="s">
        <v>3079</v>
      </c>
      <c r="L3287" s="55" t="s">
        <v>2757</v>
      </c>
      <c r="M3287" s="90">
        <v>0.1</v>
      </c>
      <c r="N3287" s="90">
        <f>34+34/60</f>
        <v>34.56666666666667</v>
      </c>
      <c r="O3287" s="90">
        <v>1430</v>
      </c>
      <c r="S3287" s="90">
        <v>1800</v>
      </c>
      <c r="U3287" s="55" t="s">
        <v>1688</v>
      </c>
      <c r="V3287" s="55" t="s">
        <v>1688</v>
      </c>
      <c r="Y3287" s="55" t="s">
        <v>1957</v>
      </c>
      <c r="AE3287" s="90">
        <v>35</v>
      </c>
      <c r="AF3287" s="90">
        <v>31</v>
      </c>
      <c r="AH3287" s="55" t="s">
        <v>645</v>
      </c>
      <c r="AI3287" s="168">
        <v>5.6</v>
      </c>
      <c r="AJ3287" s="90">
        <v>1.79</v>
      </c>
      <c r="AM3287" s="55" t="s">
        <v>3080</v>
      </c>
      <c r="AN3287" s="185" t="s">
        <v>3087</v>
      </c>
      <c r="AO3287" s="185" t="s">
        <v>5150</v>
      </c>
      <c r="AQ3287" s="55" t="s">
        <v>553</v>
      </c>
      <c r="AR3287" s="55" t="s">
        <v>1607</v>
      </c>
      <c r="AS3287" s="55" t="s">
        <v>132</v>
      </c>
      <c r="AU3287" s="181" t="s">
        <v>7494</v>
      </c>
      <c r="AV3287" s="185" t="s">
        <v>176</v>
      </c>
      <c r="AX3287" s="185" t="s">
        <v>176</v>
      </c>
      <c r="BK3287" s="55" t="s">
        <v>5976</v>
      </c>
      <c r="BM3287" s="192" t="s">
        <v>2702</v>
      </c>
      <c r="BN3287" s="55">
        <v>3</v>
      </c>
      <c r="BO3287" s="55">
        <v>3</v>
      </c>
      <c r="BQ3287" s="55" t="s">
        <v>141</v>
      </c>
      <c r="BS3287" s="55">
        <v>11400</v>
      </c>
      <c r="BT3287" s="55">
        <f>BS3287/92.2</f>
        <v>123.64425162689804</v>
      </c>
      <c r="BV3287" s="55" t="s">
        <v>3104</v>
      </c>
      <c r="CB3287" s="66">
        <v>3000</v>
      </c>
      <c r="CC3287" s="66">
        <v>2900</v>
      </c>
      <c r="CE3287" s="65">
        <v>300</v>
      </c>
      <c r="CF3287" s="65">
        <v>300</v>
      </c>
      <c r="CG3287" s="65" t="s">
        <v>3082</v>
      </c>
      <c r="GP3287" s="292" t="s">
        <v>7494</v>
      </c>
    </row>
    <row r="3288" spans="1:198" x14ac:dyDescent="0.25">
      <c r="A3288" s="55">
        <v>3287</v>
      </c>
      <c r="B3288" s="12" t="s">
        <v>7067</v>
      </c>
      <c r="C3288" s="155">
        <v>154</v>
      </c>
      <c r="D3288" s="55" t="s">
        <v>3169</v>
      </c>
      <c r="E3288" s="90" t="s">
        <v>3077</v>
      </c>
      <c r="G3288" s="55" t="s">
        <v>3078</v>
      </c>
      <c r="H3288" s="55">
        <v>2002</v>
      </c>
      <c r="I3288" s="55">
        <v>1996</v>
      </c>
      <c r="J3288" s="55" t="s">
        <v>2688</v>
      </c>
      <c r="K3288" s="55" t="s">
        <v>3079</v>
      </c>
      <c r="L3288" s="55" t="s">
        <v>2757</v>
      </c>
      <c r="M3288" s="90">
        <v>0.1</v>
      </c>
      <c r="N3288" s="90">
        <f>34+34/60</f>
        <v>34.56666666666667</v>
      </c>
      <c r="O3288" s="90">
        <v>1430</v>
      </c>
      <c r="S3288" s="90">
        <v>1800</v>
      </c>
      <c r="U3288" s="55" t="s">
        <v>1688</v>
      </c>
      <c r="V3288" s="55" t="s">
        <v>1688</v>
      </c>
      <c r="Y3288" s="55" t="s">
        <v>1957</v>
      </c>
      <c r="AE3288" s="90">
        <v>35</v>
      </c>
      <c r="AF3288" s="90">
        <v>31</v>
      </c>
      <c r="AH3288" s="55" t="s">
        <v>645</v>
      </c>
      <c r="AI3288" s="168">
        <v>5.6</v>
      </c>
      <c r="AJ3288" s="90">
        <v>1.79</v>
      </c>
      <c r="AM3288" s="55" t="s">
        <v>3080</v>
      </c>
      <c r="AN3288" s="185" t="s">
        <v>2842</v>
      </c>
      <c r="AO3288" s="185" t="s">
        <v>5150</v>
      </c>
      <c r="AQ3288" s="55" t="s">
        <v>553</v>
      </c>
      <c r="AR3288" s="55" t="s">
        <v>1607</v>
      </c>
      <c r="AS3288" s="55" t="s">
        <v>132</v>
      </c>
      <c r="AU3288" s="181" t="s">
        <v>7494</v>
      </c>
      <c r="AV3288" s="185" t="s">
        <v>176</v>
      </c>
      <c r="AX3288" s="185" t="s">
        <v>176</v>
      </c>
      <c r="BK3288" s="55" t="s">
        <v>5976</v>
      </c>
      <c r="BM3288" s="192" t="s">
        <v>2702</v>
      </c>
      <c r="BN3288" s="55">
        <v>3</v>
      </c>
      <c r="BO3288" s="55">
        <v>3</v>
      </c>
      <c r="BQ3288" s="55" t="s">
        <v>141</v>
      </c>
      <c r="BS3288" s="55">
        <v>18000</v>
      </c>
      <c r="BT3288" s="55">
        <f>BS3288/85.7</f>
        <v>210.03500583430571</v>
      </c>
      <c r="BV3288" s="55" t="s">
        <v>3104</v>
      </c>
      <c r="CB3288" s="66">
        <v>3000</v>
      </c>
      <c r="CC3288" s="66">
        <v>3000</v>
      </c>
      <c r="CE3288" s="65">
        <v>300</v>
      </c>
      <c r="CF3288" s="65">
        <v>300</v>
      </c>
      <c r="CG3288" s="65" t="s">
        <v>3082</v>
      </c>
      <c r="GP3288" s="292" t="s">
        <v>7494</v>
      </c>
    </row>
    <row r="3289" spans="1:198" x14ac:dyDescent="0.25">
      <c r="A3289" s="55">
        <v>3288</v>
      </c>
      <c r="B3289" s="12" t="s">
        <v>7067</v>
      </c>
      <c r="C3289" s="155">
        <v>154</v>
      </c>
      <c r="D3289" s="55" t="s">
        <v>3169</v>
      </c>
      <c r="E3289" s="90" t="s">
        <v>3077</v>
      </c>
      <c r="G3289" s="55" t="s">
        <v>3078</v>
      </c>
      <c r="H3289" s="55">
        <v>2002</v>
      </c>
      <c r="I3289" s="55">
        <v>1996</v>
      </c>
      <c r="J3289" s="55" t="s">
        <v>2688</v>
      </c>
      <c r="K3289" s="55" t="s">
        <v>3079</v>
      </c>
      <c r="L3289" s="55" t="s">
        <v>2757</v>
      </c>
      <c r="M3289" s="90">
        <v>0.1</v>
      </c>
      <c r="N3289" s="90">
        <f>34+34/60</f>
        <v>34.56666666666667</v>
      </c>
      <c r="O3289" s="90">
        <v>1430</v>
      </c>
      <c r="S3289" s="90">
        <v>1800</v>
      </c>
      <c r="U3289" s="55" t="s">
        <v>1688</v>
      </c>
      <c r="V3289" s="55" t="s">
        <v>1688</v>
      </c>
      <c r="Y3289" s="55" t="s">
        <v>1957</v>
      </c>
      <c r="AE3289" s="90">
        <v>35</v>
      </c>
      <c r="AF3289" s="90">
        <v>31</v>
      </c>
      <c r="AH3289" s="55" t="s">
        <v>645</v>
      </c>
      <c r="AI3289" s="168">
        <v>5.6</v>
      </c>
      <c r="AJ3289" s="90">
        <v>1.79</v>
      </c>
      <c r="AM3289" s="55" t="s">
        <v>3080</v>
      </c>
      <c r="AN3289" s="185" t="s">
        <v>3085</v>
      </c>
      <c r="AO3289" s="185" t="s">
        <v>5150</v>
      </c>
      <c r="AQ3289" s="55" t="s">
        <v>1550</v>
      </c>
      <c r="AR3289" s="55" t="s">
        <v>1607</v>
      </c>
      <c r="AS3289" s="55" t="s">
        <v>132</v>
      </c>
      <c r="AU3289" s="181" t="s">
        <v>7494</v>
      </c>
      <c r="AV3289" s="185" t="s">
        <v>176</v>
      </c>
      <c r="AX3289" s="185" t="s">
        <v>176</v>
      </c>
      <c r="BK3289" s="55" t="s">
        <v>5976</v>
      </c>
      <c r="BM3289" s="192" t="s">
        <v>2702</v>
      </c>
      <c r="BN3289" s="55">
        <v>3</v>
      </c>
      <c r="BO3289" s="55">
        <v>3</v>
      </c>
      <c r="BQ3289" s="55" t="s">
        <v>141</v>
      </c>
      <c r="BS3289" s="55">
        <v>18800</v>
      </c>
      <c r="BT3289" s="55">
        <f>BS3289/187.6</f>
        <v>100.2132196162047</v>
      </c>
      <c r="BV3289" s="55" t="s">
        <v>3104</v>
      </c>
      <c r="CB3289" s="66">
        <v>3000</v>
      </c>
      <c r="CC3289" s="66">
        <v>2300</v>
      </c>
      <c r="CE3289" s="65">
        <v>300</v>
      </c>
      <c r="CF3289" s="65">
        <v>300</v>
      </c>
      <c r="CG3289" s="65" t="s">
        <v>3082</v>
      </c>
      <c r="GP3289" s="292" t="s">
        <v>7494</v>
      </c>
    </row>
    <row r="3290" spans="1:198" x14ac:dyDescent="0.25">
      <c r="A3290" s="55">
        <v>3289</v>
      </c>
      <c r="B3290" s="12" t="s">
        <v>7067</v>
      </c>
      <c r="C3290" s="155">
        <v>154</v>
      </c>
      <c r="D3290" s="55" t="s">
        <v>3169</v>
      </c>
      <c r="E3290" s="90" t="s">
        <v>3077</v>
      </c>
      <c r="G3290" s="55" t="s">
        <v>3078</v>
      </c>
      <c r="H3290" s="55">
        <v>2002</v>
      </c>
      <c r="I3290" s="55">
        <v>1996</v>
      </c>
      <c r="J3290" s="55" t="s">
        <v>2688</v>
      </c>
      <c r="K3290" s="55" t="s">
        <v>3079</v>
      </c>
      <c r="L3290" s="55" t="s">
        <v>2757</v>
      </c>
      <c r="M3290" s="90">
        <v>0.1</v>
      </c>
      <c r="N3290" s="90">
        <f>34+34/60</f>
        <v>34.56666666666667</v>
      </c>
      <c r="O3290" s="90">
        <v>1430</v>
      </c>
      <c r="S3290" s="90">
        <v>1800</v>
      </c>
      <c r="U3290" s="55" t="s">
        <v>1688</v>
      </c>
      <c r="V3290" s="55" t="s">
        <v>1688</v>
      </c>
      <c r="Y3290" s="55" t="s">
        <v>1957</v>
      </c>
      <c r="AE3290" s="90">
        <v>35</v>
      </c>
      <c r="AF3290" s="90">
        <v>31</v>
      </c>
      <c r="AH3290" s="55" t="s">
        <v>645</v>
      </c>
      <c r="AI3290" s="168">
        <v>5.6</v>
      </c>
      <c r="AJ3290" s="90">
        <v>1.79</v>
      </c>
      <c r="AM3290" s="55" t="s">
        <v>3080</v>
      </c>
      <c r="AN3290" s="185" t="s">
        <v>3084</v>
      </c>
      <c r="AO3290" s="185" t="s">
        <v>5150</v>
      </c>
      <c r="AQ3290" s="55" t="s">
        <v>553</v>
      </c>
      <c r="AR3290" s="55" t="s">
        <v>1607</v>
      </c>
      <c r="AS3290" s="55" t="s">
        <v>132</v>
      </c>
      <c r="AU3290" s="181" t="s">
        <v>7494</v>
      </c>
      <c r="AV3290" s="185" t="s">
        <v>176</v>
      </c>
      <c r="AX3290" s="185" t="s">
        <v>176</v>
      </c>
      <c r="BK3290" s="55" t="s">
        <v>5976</v>
      </c>
      <c r="BM3290" s="192" t="s">
        <v>2702</v>
      </c>
      <c r="BN3290" s="55">
        <v>3</v>
      </c>
      <c r="BO3290" s="55">
        <v>3</v>
      </c>
      <c r="BQ3290" s="55" t="s">
        <v>141</v>
      </c>
      <c r="BS3290" s="55">
        <v>16200</v>
      </c>
      <c r="BT3290" s="55">
        <f>BS3290/206</f>
        <v>78.640776699029132</v>
      </c>
      <c r="BV3290" s="55" t="s">
        <v>3104</v>
      </c>
      <c r="CB3290" s="66">
        <v>3000</v>
      </c>
      <c r="CC3290" s="66">
        <v>2800</v>
      </c>
      <c r="CE3290" s="65">
        <v>300</v>
      </c>
      <c r="CF3290" s="65">
        <v>300</v>
      </c>
      <c r="CG3290" s="65" t="s">
        <v>3082</v>
      </c>
      <c r="GP3290" s="292" t="s">
        <v>7494</v>
      </c>
    </row>
    <row r="3291" spans="1:198" x14ac:dyDescent="0.25">
      <c r="A3291" s="55">
        <v>3290</v>
      </c>
      <c r="B3291" s="12" t="s">
        <v>7067</v>
      </c>
      <c r="C3291" s="155">
        <v>154</v>
      </c>
      <c r="D3291" s="55" t="s">
        <v>3170</v>
      </c>
      <c r="E3291" s="90" t="s">
        <v>3077</v>
      </c>
      <c r="G3291" s="55" t="s">
        <v>3078</v>
      </c>
      <c r="H3291" s="55">
        <v>2002</v>
      </c>
      <c r="I3291" s="55">
        <v>1996</v>
      </c>
      <c r="J3291" s="55" t="s">
        <v>2688</v>
      </c>
      <c r="K3291" s="55" t="s">
        <v>3079</v>
      </c>
      <c r="L3291" s="55" t="s">
        <v>2757</v>
      </c>
      <c r="M3291" s="90">
        <v>0.1</v>
      </c>
      <c r="N3291" s="90">
        <f>34+34/60</f>
        <v>34.56666666666667</v>
      </c>
      <c r="O3291" s="90">
        <v>1430</v>
      </c>
      <c r="S3291" s="90">
        <v>1800</v>
      </c>
      <c r="U3291" s="55" t="s">
        <v>1688</v>
      </c>
      <c r="V3291" s="55" t="s">
        <v>1688</v>
      </c>
      <c r="Y3291" s="55" t="s">
        <v>1957</v>
      </c>
      <c r="AE3291" s="90">
        <v>35</v>
      </c>
      <c r="AF3291" s="90">
        <v>31</v>
      </c>
      <c r="AH3291" s="55" t="s">
        <v>645</v>
      </c>
      <c r="AI3291" s="168">
        <v>5.6</v>
      </c>
      <c r="AJ3291" s="90">
        <v>1.79</v>
      </c>
      <c r="AM3291" s="55" t="s">
        <v>3080</v>
      </c>
      <c r="AN3291" s="185" t="s">
        <v>3088</v>
      </c>
      <c r="AO3291" s="185" t="s">
        <v>5150</v>
      </c>
      <c r="AQ3291" s="55" t="s">
        <v>553</v>
      </c>
      <c r="AR3291" s="55" t="s">
        <v>1607</v>
      </c>
      <c r="AS3291" s="55" t="s">
        <v>132</v>
      </c>
      <c r="AU3291" s="181" t="s">
        <v>7494</v>
      </c>
      <c r="AV3291" s="185" t="s">
        <v>176</v>
      </c>
      <c r="AX3291" s="185" t="s">
        <v>176</v>
      </c>
      <c r="BK3291" s="55" t="s">
        <v>5976</v>
      </c>
      <c r="BM3291" s="192" t="s">
        <v>2702</v>
      </c>
      <c r="BN3291" s="55">
        <v>3</v>
      </c>
      <c r="BO3291" s="55">
        <v>3</v>
      </c>
      <c r="BQ3291" s="55" t="s">
        <v>141</v>
      </c>
      <c r="BS3291" s="55">
        <v>7600</v>
      </c>
      <c r="BT3291" s="55">
        <f>BS3291/195</f>
        <v>38.974358974358971</v>
      </c>
      <c r="BV3291" s="55" t="s">
        <v>3105</v>
      </c>
      <c r="CB3291" s="66">
        <v>3100</v>
      </c>
      <c r="CC3291" s="66">
        <v>4200</v>
      </c>
      <c r="CE3291" s="65">
        <v>1000</v>
      </c>
      <c r="CF3291" s="65">
        <v>1000</v>
      </c>
      <c r="CG3291" s="65" t="s">
        <v>3083</v>
      </c>
      <c r="GP3291" s="292" t="s">
        <v>7494</v>
      </c>
    </row>
    <row r="3292" spans="1:198" x14ac:dyDescent="0.25">
      <c r="A3292" s="55">
        <v>3291</v>
      </c>
      <c r="B3292" s="12" t="s">
        <v>7067</v>
      </c>
      <c r="C3292" s="155">
        <v>154</v>
      </c>
      <c r="D3292" s="55" t="s">
        <v>3170</v>
      </c>
      <c r="E3292" s="90" t="s">
        <v>3077</v>
      </c>
      <c r="G3292" s="55" t="s">
        <v>3078</v>
      </c>
      <c r="H3292" s="55">
        <v>2002</v>
      </c>
      <c r="I3292" s="55">
        <v>1996</v>
      </c>
      <c r="J3292" s="55" t="s">
        <v>2688</v>
      </c>
      <c r="K3292" s="55" t="s">
        <v>3079</v>
      </c>
      <c r="L3292" s="55" t="s">
        <v>2757</v>
      </c>
      <c r="M3292" s="90">
        <v>0.1</v>
      </c>
      <c r="N3292" s="90">
        <f>34+34/60</f>
        <v>34.56666666666667</v>
      </c>
      <c r="O3292" s="90">
        <v>1430</v>
      </c>
      <c r="S3292" s="90">
        <v>1800</v>
      </c>
      <c r="U3292" s="55" t="s">
        <v>1688</v>
      </c>
      <c r="V3292" s="55" t="s">
        <v>1688</v>
      </c>
      <c r="Y3292" s="55" t="s">
        <v>1957</v>
      </c>
      <c r="AE3292" s="90">
        <v>35</v>
      </c>
      <c r="AF3292" s="90">
        <v>31</v>
      </c>
      <c r="AH3292" s="55" t="s">
        <v>645</v>
      </c>
      <c r="AI3292" s="168">
        <v>5.6</v>
      </c>
      <c r="AJ3292" s="90">
        <v>1.79</v>
      </c>
      <c r="AM3292" s="55" t="s">
        <v>3080</v>
      </c>
      <c r="AN3292" s="185" t="s">
        <v>3089</v>
      </c>
      <c r="AO3292" s="185" t="s">
        <v>5150</v>
      </c>
      <c r="AQ3292" s="55" t="s">
        <v>553</v>
      </c>
      <c r="AR3292" s="55" t="s">
        <v>1607</v>
      </c>
      <c r="AS3292" s="55" t="s">
        <v>132</v>
      </c>
      <c r="AU3292" s="181" t="s">
        <v>7494</v>
      </c>
      <c r="AV3292" s="185" t="s">
        <v>176</v>
      </c>
      <c r="AX3292" s="185" t="s">
        <v>176</v>
      </c>
      <c r="BK3292" s="55" t="s">
        <v>5976</v>
      </c>
      <c r="BM3292" s="192" t="s">
        <v>2702</v>
      </c>
      <c r="BN3292" s="55">
        <v>3</v>
      </c>
      <c r="BO3292" s="55">
        <v>3</v>
      </c>
      <c r="BQ3292" s="55" t="s">
        <v>141</v>
      </c>
      <c r="BS3292" s="55">
        <v>3500</v>
      </c>
      <c r="BT3292" s="55">
        <f>BS3292/91.2</f>
        <v>38.377192982456137</v>
      </c>
      <c r="BV3292" s="55" t="s">
        <v>3105</v>
      </c>
      <c r="CB3292" s="66">
        <v>3100</v>
      </c>
      <c r="CC3292" s="66">
        <v>3500</v>
      </c>
      <c r="CE3292" s="65">
        <v>1000</v>
      </c>
      <c r="CF3292" s="65">
        <v>1000</v>
      </c>
      <c r="CG3292" s="65" t="s">
        <v>3083</v>
      </c>
      <c r="GP3292" s="292" t="s">
        <v>7494</v>
      </c>
    </row>
    <row r="3293" spans="1:198" x14ac:dyDescent="0.25">
      <c r="A3293" s="55">
        <v>3292</v>
      </c>
      <c r="B3293" s="12" t="s">
        <v>7067</v>
      </c>
      <c r="C3293" s="155">
        <v>154</v>
      </c>
      <c r="D3293" s="55" t="s">
        <v>3170</v>
      </c>
      <c r="E3293" s="90" t="s">
        <v>3077</v>
      </c>
      <c r="G3293" s="55" t="s">
        <v>3078</v>
      </c>
      <c r="H3293" s="55">
        <v>2002</v>
      </c>
      <c r="I3293" s="55">
        <v>1996</v>
      </c>
      <c r="J3293" s="55" t="s">
        <v>2688</v>
      </c>
      <c r="K3293" s="55" t="s">
        <v>3079</v>
      </c>
      <c r="L3293" s="55" t="s">
        <v>2757</v>
      </c>
      <c r="M3293" s="90">
        <v>0.1</v>
      </c>
      <c r="N3293" s="90">
        <f>34+34/60</f>
        <v>34.56666666666667</v>
      </c>
      <c r="O3293" s="90">
        <v>1430</v>
      </c>
      <c r="S3293" s="90">
        <v>1800</v>
      </c>
      <c r="U3293" s="55" t="s">
        <v>1688</v>
      </c>
      <c r="V3293" s="55" t="s">
        <v>1688</v>
      </c>
      <c r="Y3293" s="55" t="s">
        <v>1957</v>
      </c>
      <c r="AE3293" s="90">
        <v>35</v>
      </c>
      <c r="AF3293" s="90">
        <v>31</v>
      </c>
      <c r="AH3293" s="55" t="s">
        <v>645</v>
      </c>
      <c r="AI3293" s="168">
        <v>5.6</v>
      </c>
      <c r="AJ3293" s="90">
        <v>1.79</v>
      </c>
      <c r="AM3293" s="55" t="s">
        <v>3080</v>
      </c>
      <c r="AN3293" s="185" t="s">
        <v>3090</v>
      </c>
      <c r="AO3293" s="185" t="s">
        <v>5150</v>
      </c>
      <c r="AQ3293" s="55" t="s">
        <v>553</v>
      </c>
      <c r="AR3293" s="55" t="s">
        <v>1607</v>
      </c>
      <c r="AS3293" s="55" t="s">
        <v>132</v>
      </c>
      <c r="AU3293" s="181" t="s">
        <v>7494</v>
      </c>
      <c r="AV3293" s="185" t="s">
        <v>176</v>
      </c>
      <c r="AX3293" s="185" t="s">
        <v>176</v>
      </c>
      <c r="BK3293" s="55" t="s">
        <v>5976</v>
      </c>
      <c r="BM3293" s="192" t="s">
        <v>2702</v>
      </c>
      <c r="BN3293" s="55">
        <v>3</v>
      </c>
      <c r="BO3293" s="55">
        <v>3</v>
      </c>
      <c r="BQ3293" s="55" t="s">
        <v>141</v>
      </c>
      <c r="BS3293" s="55">
        <v>7700</v>
      </c>
      <c r="BT3293" s="55">
        <f>BS3293/247.7</f>
        <v>31.085991118288252</v>
      </c>
      <c r="BV3293" s="55" t="s">
        <v>3105</v>
      </c>
      <c r="CB3293" s="66">
        <v>3100</v>
      </c>
      <c r="CC3293" s="66">
        <v>6600</v>
      </c>
      <c r="CE3293" s="65">
        <v>1000</v>
      </c>
      <c r="CF3293" s="65">
        <v>1000</v>
      </c>
      <c r="CG3293" s="65" t="s">
        <v>3083</v>
      </c>
      <c r="GP3293" s="292" t="s">
        <v>7494</v>
      </c>
    </row>
    <row r="3294" spans="1:198" x14ac:dyDescent="0.25">
      <c r="A3294" s="55">
        <v>3293</v>
      </c>
      <c r="B3294" s="12" t="s">
        <v>7067</v>
      </c>
      <c r="C3294" s="155">
        <v>154</v>
      </c>
      <c r="D3294" s="55" t="s">
        <v>3170</v>
      </c>
      <c r="E3294" s="90" t="s">
        <v>3077</v>
      </c>
      <c r="G3294" s="55" t="s">
        <v>3078</v>
      </c>
      <c r="H3294" s="55">
        <v>2002</v>
      </c>
      <c r="I3294" s="55">
        <v>1996</v>
      </c>
      <c r="J3294" s="55" t="s">
        <v>2688</v>
      </c>
      <c r="K3294" s="55" t="s">
        <v>3079</v>
      </c>
      <c r="L3294" s="55" t="s">
        <v>2757</v>
      </c>
      <c r="M3294" s="90">
        <v>0.1</v>
      </c>
      <c r="N3294" s="90">
        <f>34+34/60</f>
        <v>34.56666666666667</v>
      </c>
      <c r="O3294" s="90">
        <v>1430</v>
      </c>
      <c r="S3294" s="90">
        <v>1800</v>
      </c>
      <c r="U3294" s="55" t="s">
        <v>1688</v>
      </c>
      <c r="V3294" s="55" t="s">
        <v>1688</v>
      </c>
      <c r="Y3294" s="55" t="s">
        <v>1957</v>
      </c>
      <c r="AE3294" s="90">
        <v>35</v>
      </c>
      <c r="AF3294" s="90">
        <v>31</v>
      </c>
      <c r="AH3294" s="55" t="s">
        <v>645</v>
      </c>
      <c r="AI3294" s="168">
        <v>5.6</v>
      </c>
      <c r="AJ3294" s="90">
        <v>1.79</v>
      </c>
      <c r="AM3294" s="55" t="s">
        <v>3080</v>
      </c>
      <c r="AN3294" s="185" t="s">
        <v>3091</v>
      </c>
      <c r="AO3294" s="185" t="s">
        <v>5150</v>
      </c>
      <c r="AQ3294" s="55" t="s">
        <v>553</v>
      </c>
      <c r="AR3294" s="55" t="s">
        <v>1607</v>
      </c>
      <c r="AS3294" s="55" t="s">
        <v>132</v>
      </c>
      <c r="AU3294" s="181" t="s">
        <v>7494</v>
      </c>
      <c r="AV3294" s="185" t="s">
        <v>176</v>
      </c>
      <c r="AX3294" s="185" t="s">
        <v>176</v>
      </c>
      <c r="BK3294" s="55" t="s">
        <v>5976</v>
      </c>
      <c r="BM3294" s="192" t="s">
        <v>2702</v>
      </c>
      <c r="BN3294" s="55">
        <v>3</v>
      </c>
      <c r="BO3294" s="55">
        <v>3</v>
      </c>
      <c r="BQ3294" s="55" t="s">
        <v>141</v>
      </c>
      <c r="BS3294" s="55">
        <v>5800</v>
      </c>
      <c r="BT3294" s="55">
        <f>BS3294/155.1</f>
        <v>37.395228884590587</v>
      </c>
      <c r="BV3294" s="55" t="s">
        <v>3105</v>
      </c>
      <c r="CB3294" s="66">
        <v>3100</v>
      </c>
      <c r="CC3294" s="66">
        <v>5300</v>
      </c>
      <c r="CE3294" s="65">
        <v>1000</v>
      </c>
      <c r="CF3294" s="65">
        <v>1000</v>
      </c>
      <c r="CG3294" s="65" t="s">
        <v>3083</v>
      </c>
      <c r="GP3294" s="292" t="s">
        <v>7494</v>
      </c>
    </row>
    <row r="3295" spans="1:198" x14ac:dyDescent="0.25">
      <c r="A3295" s="55">
        <v>3294</v>
      </c>
      <c r="B3295" s="12" t="s">
        <v>7067</v>
      </c>
      <c r="C3295" s="155">
        <v>154</v>
      </c>
      <c r="D3295" s="55" t="s">
        <v>3170</v>
      </c>
      <c r="E3295" s="90" t="s">
        <v>3077</v>
      </c>
      <c r="G3295" s="55" t="s">
        <v>3078</v>
      </c>
      <c r="H3295" s="55">
        <v>2002</v>
      </c>
      <c r="I3295" s="55">
        <v>1996</v>
      </c>
      <c r="J3295" s="55" t="s">
        <v>2688</v>
      </c>
      <c r="K3295" s="55" t="s">
        <v>3079</v>
      </c>
      <c r="L3295" s="55" t="s">
        <v>2757</v>
      </c>
      <c r="M3295" s="90">
        <v>0.1</v>
      </c>
      <c r="N3295" s="90">
        <f>34+34/60</f>
        <v>34.56666666666667</v>
      </c>
      <c r="O3295" s="90">
        <v>1430</v>
      </c>
      <c r="S3295" s="90">
        <v>1800</v>
      </c>
      <c r="U3295" s="55" t="s">
        <v>1688</v>
      </c>
      <c r="V3295" s="55" t="s">
        <v>1688</v>
      </c>
      <c r="Y3295" s="55" t="s">
        <v>1957</v>
      </c>
      <c r="AE3295" s="90">
        <v>35</v>
      </c>
      <c r="AF3295" s="90">
        <v>31</v>
      </c>
      <c r="AH3295" s="55" t="s">
        <v>645</v>
      </c>
      <c r="AI3295" s="168">
        <v>5.6</v>
      </c>
      <c r="AJ3295" s="90">
        <v>1.79</v>
      </c>
      <c r="AM3295" s="55" t="s">
        <v>3080</v>
      </c>
      <c r="AN3295" s="185" t="s">
        <v>3092</v>
      </c>
      <c r="AO3295" s="185" t="s">
        <v>5150</v>
      </c>
      <c r="AQ3295" s="55" t="s">
        <v>553</v>
      </c>
      <c r="AR3295" s="55" t="s">
        <v>1607</v>
      </c>
      <c r="AS3295" s="55" t="s">
        <v>132</v>
      </c>
      <c r="AU3295" s="181" t="s">
        <v>7494</v>
      </c>
      <c r="AV3295" s="185" t="s">
        <v>176</v>
      </c>
      <c r="AX3295" s="185" t="s">
        <v>176</v>
      </c>
      <c r="BK3295" s="55" t="s">
        <v>5976</v>
      </c>
      <c r="BM3295" s="192" t="s">
        <v>2702</v>
      </c>
      <c r="BN3295" s="55">
        <v>3</v>
      </c>
      <c r="BO3295" s="55">
        <v>3</v>
      </c>
      <c r="BQ3295" s="55" t="s">
        <v>141</v>
      </c>
      <c r="BS3295" s="55">
        <v>4900</v>
      </c>
      <c r="BT3295" s="55">
        <f>BS3295/119.7</f>
        <v>40.935672514619881</v>
      </c>
      <c r="BV3295" s="55" t="s">
        <v>3105</v>
      </c>
      <c r="CB3295" s="66">
        <v>3100</v>
      </c>
      <c r="CC3295" s="66">
        <v>4200</v>
      </c>
      <c r="CE3295" s="65">
        <v>1000</v>
      </c>
      <c r="CF3295" s="65">
        <v>1000</v>
      </c>
      <c r="CG3295" s="65" t="s">
        <v>3083</v>
      </c>
      <c r="GP3295" s="292" t="s">
        <v>7494</v>
      </c>
    </row>
    <row r="3296" spans="1:198" x14ac:dyDescent="0.25">
      <c r="A3296" s="55">
        <v>3295</v>
      </c>
      <c r="B3296" s="12" t="s">
        <v>7067</v>
      </c>
      <c r="C3296" s="155">
        <v>154</v>
      </c>
      <c r="D3296" s="55" t="s">
        <v>3170</v>
      </c>
      <c r="E3296" s="90" t="s">
        <v>3077</v>
      </c>
      <c r="G3296" s="55" t="s">
        <v>3078</v>
      </c>
      <c r="H3296" s="55">
        <v>2002</v>
      </c>
      <c r="I3296" s="55">
        <v>1996</v>
      </c>
      <c r="J3296" s="55" t="s">
        <v>2688</v>
      </c>
      <c r="K3296" s="55" t="s">
        <v>3079</v>
      </c>
      <c r="L3296" s="55" t="s">
        <v>2757</v>
      </c>
      <c r="M3296" s="90">
        <v>0.1</v>
      </c>
      <c r="N3296" s="90">
        <f>34+34/60</f>
        <v>34.56666666666667</v>
      </c>
      <c r="O3296" s="90">
        <v>1430</v>
      </c>
      <c r="S3296" s="90">
        <v>1800</v>
      </c>
      <c r="U3296" s="55" t="s">
        <v>1688</v>
      </c>
      <c r="V3296" s="55" t="s">
        <v>1688</v>
      </c>
      <c r="Y3296" s="55" t="s">
        <v>1957</v>
      </c>
      <c r="AE3296" s="90">
        <v>35</v>
      </c>
      <c r="AF3296" s="90">
        <v>31</v>
      </c>
      <c r="AH3296" s="55" t="s">
        <v>645</v>
      </c>
      <c r="AI3296" s="168">
        <v>5.6</v>
      </c>
      <c r="AJ3296" s="90">
        <v>1.79</v>
      </c>
      <c r="AM3296" s="55" t="s">
        <v>3080</v>
      </c>
      <c r="AN3296" s="185" t="s">
        <v>3088</v>
      </c>
      <c r="AO3296" s="185" t="s">
        <v>5150</v>
      </c>
      <c r="AQ3296" s="55" t="s">
        <v>553</v>
      </c>
      <c r="AR3296" s="55" t="s">
        <v>1607</v>
      </c>
      <c r="AS3296" s="55" t="s">
        <v>132</v>
      </c>
      <c r="AU3296" s="181" t="s">
        <v>7494</v>
      </c>
      <c r="AV3296" s="185" t="s">
        <v>176</v>
      </c>
      <c r="AX3296" s="185" t="s">
        <v>176</v>
      </c>
      <c r="BK3296" s="55" t="s">
        <v>5976</v>
      </c>
      <c r="BM3296" s="192" t="s">
        <v>2702</v>
      </c>
      <c r="BN3296" s="55">
        <v>3</v>
      </c>
      <c r="BO3296" s="55">
        <v>3</v>
      </c>
      <c r="BQ3296" s="55" t="s">
        <v>141</v>
      </c>
      <c r="BS3296" s="55">
        <v>7600</v>
      </c>
      <c r="BT3296" s="55">
        <f>BS3296/194.2</f>
        <v>39.134912461380026</v>
      </c>
      <c r="BV3296" s="55" t="s">
        <v>3104</v>
      </c>
      <c r="CB3296" s="66">
        <v>2700</v>
      </c>
      <c r="CC3296" s="66">
        <v>2200</v>
      </c>
      <c r="CE3296" s="65">
        <v>400</v>
      </c>
      <c r="CF3296" s="65">
        <v>400</v>
      </c>
      <c r="CG3296" s="65" t="s">
        <v>3083</v>
      </c>
      <c r="GP3296" s="292" t="s">
        <v>7494</v>
      </c>
    </row>
    <row r="3297" spans="1:198" x14ac:dyDescent="0.25">
      <c r="A3297" s="55">
        <v>3296</v>
      </c>
      <c r="B3297" s="12" t="s">
        <v>7067</v>
      </c>
      <c r="C3297" s="155">
        <v>154</v>
      </c>
      <c r="D3297" s="55" t="s">
        <v>3170</v>
      </c>
      <c r="E3297" s="90" t="s">
        <v>3077</v>
      </c>
      <c r="G3297" s="55" t="s">
        <v>3078</v>
      </c>
      <c r="H3297" s="55">
        <v>2002</v>
      </c>
      <c r="I3297" s="55">
        <v>1996</v>
      </c>
      <c r="J3297" s="55" t="s">
        <v>2688</v>
      </c>
      <c r="K3297" s="55" t="s">
        <v>3079</v>
      </c>
      <c r="L3297" s="55" t="s">
        <v>2757</v>
      </c>
      <c r="M3297" s="90">
        <v>0.1</v>
      </c>
      <c r="N3297" s="90">
        <f>34+34/60</f>
        <v>34.56666666666667</v>
      </c>
      <c r="O3297" s="90">
        <v>1430</v>
      </c>
      <c r="S3297" s="90">
        <v>1800</v>
      </c>
      <c r="U3297" s="55" t="s">
        <v>1688</v>
      </c>
      <c r="V3297" s="55" t="s">
        <v>1688</v>
      </c>
      <c r="Y3297" s="55" t="s">
        <v>1957</v>
      </c>
      <c r="AE3297" s="90">
        <v>35</v>
      </c>
      <c r="AF3297" s="90">
        <v>31</v>
      </c>
      <c r="AH3297" s="55" t="s">
        <v>645</v>
      </c>
      <c r="AI3297" s="168">
        <v>5.6</v>
      </c>
      <c r="AJ3297" s="90">
        <v>1.79</v>
      </c>
      <c r="AM3297" s="55" t="s">
        <v>3080</v>
      </c>
      <c r="AN3297" s="185" t="s">
        <v>3089</v>
      </c>
      <c r="AO3297" s="185" t="s">
        <v>5150</v>
      </c>
      <c r="AQ3297" s="55" t="s">
        <v>553</v>
      </c>
      <c r="AR3297" s="55" t="s">
        <v>1607</v>
      </c>
      <c r="AS3297" s="55" t="s">
        <v>132</v>
      </c>
      <c r="AU3297" s="181" t="s">
        <v>7494</v>
      </c>
      <c r="AV3297" s="185" t="s">
        <v>176</v>
      </c>
      <c r="AX3297" s="185" t="s">
        <v>176</v>
      </c>
      <c r="BK3297" s="55" t="s">
        <v>5976</v>
      </c>
      <c r="BM3297" s="192" t="s">
        <v>2702</v>
      </c>
      <c r="BN3297" s="55">
        <v>3</v>
      </c>
      <c r="BO3297" s="55">
        <v>3</v>
      </c>
      <c r="BQ3297" s="55" t="s">
        <v>141</v>
      </c>
      <c r="BS3297" s="55">
        <v>3700</v>
      </c>
      <c r="BT3297" s="55">
        <f>BS3297/95.5</f>
        <v>38.7434554973822</v>
      </c>
      <c r="BV3297" s="55" t="s">
        <v>3104</v>
      </c>
      <c r="CB3297" s="66">
        <v>2700</v>
      </c>
      <c r="CC3297" s="66">
        <v>2300</v>
      </c>
      <c r="CE3297" s="65">
        <v>400</v>
      </c>
      <c r="CF3297" s="65">
        <v>400</v>
      </c>
      <c r="CG3297" s="65" t="s">
        <v>3083</v>
      </c>
      <c r="GP3297" s="292" t="s">
        <v>7494</v>
      </c>
    </row>
    <row r="3298" spans="1:198" x14ac:dyDescent="0.25">
      <c r="A3298" s="55">
        <v>3297</v>
      </c>
      <c r="B3298" s="12" t="s">
        <v>7067</v>
      </c>
      <c r="C3298" s="155">
        <v>154</v>
      </c>
      <c r="D3298" s="55" t="s">
        <v>3170</v>
      </c>
      <c r="E3298" s="90" t="s">
        <v>3077</v>
      </c>
      <c r="G3298" s="55" t="s">
        <v>3078</v>
      </c>
      <c r="H3298" s="55">
        <v>2002</v>
      </c>
      <c r="I3298" s="55">
        <v>1996</v>
      </c>
      <c r="J3298" s="55" t="s">
        <v>2688</v>
      </c>
      <c r="K3298" s="55" t="s">
        <v>3079</v>
      </c>
      <c r="L3298" s="55" t="s">
        <v>2757</v>
      </c>
      <c r="M3298" s="90">
        <v>0.1</v>
      </c>
      <c r="N3298" s="90">
        <f>34+34/60</f>
        <v>34.56666666666667</v>
      </c>
      <c r="O3298" s="90">
        <v>1430</v>
      </c>
      <c r="S3298" s="90">
        <v>1800</v>
      </c>
      <c r="U3298" s="55" t="s">
        <v>1688</v>
      </c>
      <c r="V3298" s="55" t="s">
        <v>1688</v>
      </c>
      <c r="Y3298" s="55" t="s">
        <v>1957</v>
      </c>
      <c r="AE3298" s="90">
        <v>35</v>
      </c>
      <c r="AF3298" s="90">
        <v>31</v>
      </c>
      <c r="AH3298" s="55" t="s">
        <v>645</v>
      </c>
      <c r="AI3298" s="168">
        <v>5.6</v>
      </c>
      <c r="AJ3298" s="90">
        <v>1.79</v>
      </c>
      <c r="AM3298" s="55" t="s">
        <v>3080</v>
      </c>
      <c r="AN3298" s="185" t="s">
        <v>3090</v>
      </c>
      <c r="AO3298" s="185" t="s">
        <v>5150</v>
      </c>
      <c r="AQ3298" s="55" t="s">
        <v>553</v>
      </c>
      <c r="AR3298" s="55" t="s">
        <v>1607</v>
      </c>
      <c r="AS3298" s="55" t="s">
        <v>132</v>
      </c>
      <c r="AU3298" s="181" t="s">
        <v>7494</v>
      </c>
      <c r="AV3298" s="185" t="s">
        <v>176</v>
      </c>
      <c r="AX3298" s="185" t="s">
        <v>176</v>
      </c>
      <c r="BK3298" s="55" t="s">
        <v>5976</v>
      </c>
      <c r="BM3298" s="192" t="s">
        <v>2702</v>
      </c>
      <c r="BN3298" s="55">
        <v>3</v>
      </c>
      <c r="BO3298" s="55">
        <v>3</v>
      </c>
      <c r="BQ3298" s="55" t="s">
        <v>141</v>
      </c>
      <c r="BS3298" s="55">
        <v>7800</v>
      </c>
      <c r="BT3298" s="55">
        <f>BS3298/249.2</f>
        <v>31.300160513643661</v>
      </c>
      <c r="BV3298" s="55" t="s">
        <v>3104</v>
      </c>
      <c r="CB3298" s="66">
        <v>2700</v>
      </c>
      <c r="CC3298" s="66">
        <v>3700</v>
      </c>
      <c r="CE3298" s="65">
        <v>400</v>
      </c>
      <c r="CF3298" s="65">
        <v>400</v>
      </c>
      <c r="CG3298" s="65" t="s">
        <v>3083</v>
      </c>
      <c r="GP3298" s="292" t="s">
        <v>7494</v>
      </c>
    </row>
    <row r="3299" spans="1:198" x14ac:dyDescent="0.25">
      <c r="A3299" s="55">
        <v>3298</v>
      </c>
      <c r="B3299" s="12" t="s">
        <v>7067</v>
      </c>
      <c r="C3299" s="155">
        <v>154</v>
      </c>
      <c r="D3299" s="55" t="s">
        <v>3170</v>
      </c>
      <c r="E3299" s="90" t="s">
        <v>3077</v>
      </c>
      <c r="G3299" s="55" t="s">
        <v>3078</v>
      </c>
      <c r="H3299" s="55">
        <v>2002</v>
      </c>
      <c r="I3299" s="55">
        <v>1996</v>
      </c>
      <c r="J3299" s="55" t="s">
        <v>2688</v>
      </c>
      <c r="K3299" s="55" t="s">
        <v>3079</v>
      </c>
      <c r="L3299" s="55" t="s">
        <v>2757</v>
      </c>
      <c r="M3299" s="90">
        <v>0.1</v>
      </c>
      <c r="N3299" s="90">
        <f>34+34/60</f>
        <v>34.56666666666667</v>
      </c>
      <c r="O3299" s="90">
        <v>1430</v>
      </c>
      <c r="S3299" s="90">
        <v>1800</v>
      </c>
      <c r="U3299" s="55" t="s">
        <v>1688</v>
      </c>
      <c r="V3299" s="55" t="s">
        <v>1688</v>
      </c>
      <c r="Y3299" s="55" t="s">
        <v>1957</v>
      </c>
      <c r="AE3299" s="90">
        <v>35</v>
      </c>
      <c r="AF3299" s="90">
        <v>31</v>
      </c>
      <c r="AH3299" s="55" t="s">
        <v>645</v>
      </c>
      <c r="AI3299" s="168">
        <v>5.6</v>
      </c>
      <c r="AJ3299" s="90">
        <v>1.79</v>
      </c>
      <c r="AM3299" s="55" t="s">
        <v>3080</v>
      </c>
      <c r="AN3299" s="185" t="s">
        <v>3091</v>
      </c>
      <c r="AO3299" s="185" t="s">
        <v>5150</v>
      </c>
      <c r="AQ3299" s="55" t="s">
        <v>553</v>
      </c>
      <c r="AR3299" s="55" t="s">
        <v>1607</v>
      </c>
      <c r="AS3299" s="55" t="s">
        <v>132</v>
      </c>
      <c r="AU3299" s="181" t="s">
        <v>7494</v>
      </c>
      <c r="AV3299" s="185" t="s">
        <v>176</v>
      </c>
      <c r="AX3299" s="185" t="s">
        <v>176</v>
      </c>
      <c r="BK3299" s="55" t="s">
        <v>5976</v>
      </c>
      <c r="BM3299" s="192" t="s">
        <v>2702</v>
      </c>
      <c r="BN3299" s="55">
        <v>3</v>
      </c>
      <c r="BO3299" s="55">
        <v>3</v>
      </c>
      <c r="BQ3299" s="55" t="s">
        <v>141</v>
      </c>
      <c r="BS3299" s="55">
        <v>7600</v>
      </c>
      <c r="BT3299" s="55">
        <f>BS3299/203.1</f>
        <v>37.41999015263417</v>
      </c>
      <c r="BV3299" s="55" t="s">
        <v>3104</v>
      </c>
      <c r="CB3299" s="66">
        <v>2700</v>
      </c>
      <c r="CC3299" s="66">
        <v>2800</v>
      </c>
      <c r="CE3299" s="65">
        <v>400</v>
      </c>
      <c r="CF3299" s="65">
        <v>400</v>
      </c>
      <c r="CG3299" s="65" t="s">
        <v>3083</v>
      </c>
      <c r="GP3299" s="292" t="s">
        <v>7494</v>
      </c>
    </row>
    <row r="3300" spans="1:198" x14ac:dyDescent="0.25">
      <c r="A3300" s="55">
        <v>3299</v>
      </c>
      <c r="B3300" s="12" t="s">
        <v>7067</v>
      </c>
      <c r="C3300" s="155">
        <v>154</v>
      </c>
      <c r="D3300" s="55" t="s">
        <v>3170</v>
      </c>
      <c r="E3300" s="90" t="s">
        <v>3077</v>
      </c>
      <c r="G3300" s="55" t="s">
        <v>3078</v>
      </c>
      <c r="H3300" s="55">
        <v>2002</v>
      </c>
      <c r="I3300" s="55">
        <v>1996</v>
      </c>
      <c r="J3300" s="55" t="s">
        <v>2688</v>
      </c>
      <c r="K3300" s="55" t="s">
        <v>3079</v>
      </c>
      <c r="L3300" s="55" t="s">
        <v>2757</v>
      </c>
      <c r="M3300" s="90">
        <v>0.1</v>
      </c>
      <c r="N3300" s="90">
        <f>34+34/60</f>
        <v>34.56666666666667</v>
      </c>
      <c r="O3300" s="90">
        <v>1430</v>
      </c>
      <c r="S3300" s="90">
        <v>1800</v>
      </c>
      <c r="U3300" s="55" t="s">
        <v>1688</v>
      </c>
      <c r="V3300" s="55" t="s">
        <v>1688</v>
      </c>
      <c r="Y3300" s="55" t="s">
        <v>1957</v>
      </c>
      <c r="AE3300" s="90">
        <v>35</v>
      </c>
      <c r="AF3300" s="90">
        <v>31</v>
      </c>
      <c r="AH3300" s="55" t="s">
        <v>645</v>
      </c>
      <c r="AI3300" s="168">
        <v>5.6</v>
      </c>
      <c r="AJ3300" s="90">
        <v>1.79</v>
      </c>
      <c r="AM3300" s="55" t="s">
        <v>3080</v>
      </c>
      <c r="AN3300" s="185" t="s">
        <v>3092</v>
      </c>
      <c r="AO3300" s="185" t="s">
        <v>5150</v>
      </c>
      <c r="AQ3300" s="55" t="s">
        <v>553</v>
      </c>
      <c r="AR3300" s="55" t="s">
        <v>1607</v>
      </c>
      <c r="AS3300" s="55" t="s">
        <v>132</v>
      </c>
      <c r="AU3300" s="181" t="s">
        <v>7494</v>
      </c>
      <c r="AV3300" s="185" t="s">
        <v>176</v>
      </c>
      <c r="AX3300" s="185" t="s">
        <v>176</v>
      </c>
      <c r="BK3300" s="55" t="s">
        <v>5976</v>
      </c>
      <c r="BM3300" s="192" t="s">
        <v>2702</v>
      </c>
      <c r="BN3300" s="55">
        <v>3</v>
      </c>
      <c r="BO3300" s="55">
        <v>3</v>
      </c>
      <c r="BQ3300" s="55" t="s">
        <v>141</v>
      </c>
      <c r="BS3300" s="55">
        <v>7000</v>
      </c>
      <c r="BT3300" s="55">
        <f>BS3300/175.9</f>
        <v>39.79533826037521</v>
      </c>
      <c r="BV3300" s="55" t="s">
        <v>3104</v>
      </c>
      <c r="CB3300" s="66">
        <v>2700</v>
      </c>
      <c r="CC3300" s="66">
        <v>2800</v>
      </c>
      <c r="CE3300" s="65">
        <v>400</v>
      </c>
      <c r="CF3300" s="65">
        <v>400</v>
      </c>
      <c r="CG3300" s="65" t="s">
        <v>3083</v>
      </c>
      <c r="GP3300" s="292" t="s">
        <v>7494</v>
      </c>
    </row>
    <row r="3301" spans="1:198" x14ac:dyDescent="0.25">
      <c r="A3301" s="55">
        <v>3300</v>
      </c>
      <c r="B3301" s="12" t="s">
        <v>7067</v>
      </c>
      <c r="C3301" s="155">
        <v>155</v>
      </c>
      <c r="D3301" s="55" t="s">
        <v>3100</v>
      </c>
      <c r="E3301" s="90" t="s">
        <v>3093</v>
      </c>
      <c r="G3301" s="55" t="s">
        <v>3094</v>
      </c>
      <c r="H3301" s="55">
        <v>2003</v>
      </c>
      <c r="I3301" s="55">
        <v>1999</v>
      </c>
      <c r="J3301" s="55" t="s">
        <v>3095</v>
      </c>
      <c r="K3301" s="55" t="s">
        <v>3096</v>
      </c>
      <c r="L3301" s="55" t="s">
        <v>2757</v>
      </c>
      <c r="M3301" s="90">
        <v>-3.94</v>
      </c>
      <c r="N3301" s="90">
        <v>39.75</v>
      </c>
      <c r="O3301" s="90">
        <v>24.1</v>
      </c>
      <c r="U3301" s="55" t="s">
        <v>1935</v>
      </c>
      <c r="V3301" s="55" t="s">
        <v>1805</v>
      </c>
      <c r="Y3301" s="55" t="s">
        <v>2823</v>
      </c>
      <c r="AH3301" s="55" t="s">
        <v>238</v>
      </c>
      <c r="AN3301" s="185" t="s">
        <v>3097</v>
      </c>
      <c r="AO3301" s="185" t="s">
        <v>5150</v>
      </c>
      <c r="AQ3301" s="55" t="s">
        <v>553</v>
      </c>
      <c r="AR3301" s="55" t="s">
        <v>1607</v>
      </c>
      <c r="AS3301" s="55" t="s">
        <v>132</v>
      </c>
      <c r="AU3301" s="181" t="s">
        <v>7494</v>
      </c>
      <c r="AV3301" s="185" t="s">
        <v>176</v>
      </c>
      <c r="AX3301" s="185" t="s">
        <v>176</v>
      </c>
      <c r="BE3301" s="226" t="s">
        <v>3099</v>
      </c>
      <c r="BF3301" s="191" t="s">
        <v>176</v>
      </c>
      <c r="BG3301" s="191" t="s">
        <v>176</v>
      </c>
      <c r="BH3301" s="226" t="s">
        <v>3099</v>
      </c>
      <c r="BI3301" s="191" t="s">
        <v>176</v>
      </c>
      <c r="BJ3301" s="55" t="s">
        <v>176</v>
      </c>
      <c r="BK3301" s="55" t="s">
        <v>5976</v>
      </c>
      <c r="BM3301" s="192" t="s">
        <v>160</v>
      </c>
      <c r="BV3301" s="55" t="s">
        <v>3104</v>
      </c>
      <c r="CB3301" s="66">
        <v>6100</v>
      </c>
      <c r="CC3301" s="66">
        <v>4640</v>
      </c>
      <c r="CE3301" s="65">
        <v>700</v>
      </c>
      <c r="CF3301" s="65">
        <v>700</v>
      </c>
      <c r="CG3301" s="65" t="s">
        <v>3081</v>
      </c>
      <c r="GP3301" s="292" t="s">
        <v>7494</v>
      </c>
    </row>
    <row r="3302" spans="1:198" x14ac:dyDescent="0.25">
      <c r="A3302" s="55">
        <v>3301</v>
      </c>
      <c r="B3302" s="12" t="s">
        <v>7067</v>
      </c>
      <c r="C3302" s="155">
        <v>155</v>
      </c>
      <c r="D3302" s="55" t="s">
        <v>3100</v>
      </c>
      <c r="E3302" s="90" t="s">
        <v>3093</v>
      </c>
      <c r="G3302" s="55" t="s">
        <v>3094</v>
      </c>
      <c r="H3302" s="55">
        <v>2003</v>
      </c>
      <c r="I3302" s="55">
        <v>1999</v>
      </c>
      <c r="J3302" s="55" t="s">
        <v>3095</v>
      </c>
      <c r="K3302" s="55" t="s">
        <v>3096</v>
      </c>
      <c r="L3302" s="55" t="s">
        <v>2757</v>
      </c>
      <c r="M3302" s="90">
        <v>-3.94</v>
      </c>
      <c r="N3302" s="90">
        <v>39.75</v>
      </c>
      <c r="O3302" s="90">
        <v>24.1</v>
      </c>
      <c r="U3302" s="55" t="s">
        <v>1935</v>
      </c>
      <c r="V3302" s="55" t="s">
        <v>1805</v>
      </c>
      <c r="Y3302" s="55" t="s">
        <v>2823</v>
      </c>
      <c r="AH3302" s="55" t="s">
        <v>238</v>
      </c>
      <c r="AN3302" s="185" t="s">
        <v>3097</v>
      </c>
      <c r="AO3302" s="185" t="s">
        <v>5150</v>
      </c>
      <c r="AQ3302" s="55" t="s">
        <v>553</v>
      </c>
      <c r="AR3302" s="55" t="s">
        <v>1607</v>
      </c>
      <c r="AS3302" s="55" t="s">
        <v>132</v>
      </c>
      <c r="AU3302" s="181" t="s">
        <v>7494</v>
      </c>
      <c r="AV3302" s="185" t="s">
        <v>176</v>
      </c>
      <c r="AX3302" s="185" t="s">
        <v>176</v>
      </c>
      <c r="BE3302" s="226" t="s">
        <v>3099</v>
      </c>
      <c r="BF3302" s="191" t="s">
        <v>176</v>
      </c>
      <c r="BG3302" s="191" t="s">
        <v>176</v>
      </c>
      <c r="BH3302" s="226" t="s">
        <v>3099</v>
      </c>
      <c r="BI3302" s="191" t="s">
        <v>176</v>
      </c>
      <c r="BJ3302" s="55" t="s">
        <v>176</v>
      </c>
      <c r="BK3302" s="55" t="s">
        <v>5976</v>
      </c>
      <c r="BM3302" s="192" t="s">
        <v>160</v>
      </c>
      <c r="BV3302" s="55" t="s">
        <v>3104</v>
      </c>
      <c r="CB3302" s="66">
        <v>6100</v>
      </c>
      <c r="CC3302" s="66">
        <v>4700</v>
      </c>
      <c r="CE3302" s="65">
        <v>700</v>
      </c>
      <c r="CF3302" s="65">
        <v>700</v>
      </c>
      <c r="CG3302" s="65" t="s">
        <v>3081</v>
      </c>
      <c r="GP3302" s="292" t="s">
        <v>7494</v>
      </c>
    </row>
    <row r="3303" spans="1:198" x14ac:dyDescent="0.25">
      <c r="A3303" s="55">
        <v>3302</v>
      </c>
      <c r="B3303" s="12" t="s">
        <v>7067</v>
      </c>
      <c r="C3303" s="155">
        <v>155</v>
      </c>
      <c r="D3303" s="55" t="s">
        <v>3100</v>
      </c>
      <c r="E3303" s="90" t="s">
        <v>3093</v>
      </c>
      <c r="G3303" s="55" t="s">
        <v>3094</v>
      </c>
      <c r="H3303" s="55">
        <v>2003</v>
      </c>
      <c r="I3303" s="55">
        <v>1999</v>
      </c>
      <c r="J3303" s="55" t="s">
        <v>3095</v>
      </c>
      <c r="K3303" s="55" t="s">
        <v>3096</v>
      </c>
      <c r="L3303" s="55" t="s">
        <v>2757</v>
      </c>
      <c r="M3303" s="90">
        <v>-3.94</v>
      </c>
      <c r="N3303" s="90">
        <v>39.75</v>
      </c>
      <c r="O3303" s="90">
        <v>24.1</v>
      </c>
      <c r="U3303" s="55" t="s">
        <v>1935</v>
      </c>
      <c r="V3303" s="55" t="s">
        <v>1805</v>
      </c>
      <c r="Y3303" s="55" t="s">
        <v>2823</v>
      </c>
      <c r="AH3303" s="55" t="s">
        <v>238</v>
      </c>
      <c r="AN3303" s="185" t="s">
        <v>3097</v>
      </c>
      <c r="AO3303" s="185" t="s">
        <v>5150</v>
      </c>
      <c r="AQ3303" s="55" t="s">
        <v>553</v>
      </c>
      <c r="AR3303" s="55" t="s">
        <v>1607</v>
      </c>
      <c r="AS3303" s="55" t="s">
        <v>1580</v>
      </c>
      <c r="AT3303" s="181" t="s">
        <v>3098</v>
      </c>
      <c r="AU3303" s="181" t="s">
        <v>5150</v>
      </c>
      <c r="AV3303" s="185" t="s">
        <v>176</v>
      </c>
      <c r="AW3303" s="55" t="s">
        <v>3098</v>
      </c>
      <c r="AX3303" s="185" t="s">
        <v>176</v>
      </c>
      <c r="AY3303" s="55" t="s">
        <v>176</v>
      </c>
      <c r="BE3303" s="226" t="s">
        <v>3099</v>
      </c>
      <c r="BF3303" s="191" t="s">
        <v>176</v>
      </c>
      <c r="BG3303" s="191" t="s">
        <v>176</v>
      </c>
      <c r="BH3303" s="226" t="s">
        <v>3099</v>
      </c>
      <c r="BI3303" s="191" t="s">
        <v>176</v>
      </c>
      <c r="BJ3303" s="55" t="s">
        <v>176</v>
      </c>
      <c r="BK3303" s="55" t="s">
        <v>5976</v>
      </c>
      <c r="BM3303" s="192" t="s">
        <v>160</v>
      </c>
      <c r="BV3303" s="55" t="s">
        <v>3104</v>
      </c>
      <c r="CB3303" s="66">
        <v>3140</v>
      </c>
      <c r="CC3303" s="66">
        <v>3220</v>
      </c>
      <c r="CE3303" s="65">
        <v>650</v>
      </c>
      <c r="CF3303" s="65">
        <v>650</v>
      </c>
      <c r="CG3303" s="65" t="s">
        <v>3081</v>
      </c>
      <c r="GP3303" s="292" t="s">
        <v>7494</v>
      </c>
    </row>
    <row r="3304" spans="1:198" x14ac:dyDescent="0.25">
      <c r="A3304" s="55">
        <v>3303</v>
      </c>
      <c r="B3304" s="12" t="s">
        <v>7067</v>
      </c>
      <c r="C3304" s="155">
        <v>155</v>
      </c>
      <c r="D3304" s="55" t="s">
        <v>3100</v>
      </c>
      <c r="E3304" s="90" t="s">
        <v>3093</v>
      </c>
      <c r="G3304" s="55" t="s">
        <v>3094</v>
      </c>
      <c r="H3304" s="55">
        <v>2003</v>
      </c>
      <c r="I3304" s="55">
        <v>1999</v>
      </c>
      <c r="J3304" s="55" t="s">
        <v>3095</v>
      </c>
      <c r="K3304" s="55" t="s">
        <v>3096</v>
      </c>
      <c r="L3304" s="55" t="s">
        <v>2757</v>
      </c>
      <c r="M3304" s="90">
        <v>-3.94</v>
      </c>
      <c r="N3304" s="90">
        <v>39.75</v>
      </c>
      <c r="O3304" s="90">
        <v>24.1</v>
      </c>
      <c r="U3304" s="55" t="s">
        <v>1935</v>
      </c>
      <c r="V3304" s="55" t="s">
        <v>1805</v>
      </c>
      <c r="Y3304" s="55" t="s">
        <v>2823</v>
      </c>
      <c r="AH3304" s="55" t="s">
        <v>238</v>
      </c>
      <c r="AN3304" s="185" t="s">
        <v>3097</v>
      </c>
      <c r="AO3304" s="185" t="s">
        <v>5150</v>
      </c>
      <c r="AQ3304" s="55" t="s">
        <v>553</v>
      </c>
      <c r="AR3304" s="55" t="s">
        <v>1607</v>
      </c>
      <c r="AS3304" s="55" t="s">
        <v>1580</v>
      </c>
      <c r="AT3304" s="181" t="s">
        <v>3098</v>
      </c>
      <c r="AU3304" s="181" t="s">
        <v>5150</v>
      </c>
      <c r="AV3304" s="185" t="s">
        <v>176</v>
      </c>
      <c r="AW3304" s="55" t="s">
        <v>3098</v>
      </c>
      <c r="AX3304" s="185" t="s">
        <v>176</v>
      </c>
      <c r="AY3304" s="55" t="s">
        <v>176</v>
      </c>
      <c r="BE3304" s="226" t="s">
        <v>3099</v>
      </c>
      <c r="BF3304" s="191" t="s">
        <v>176</v>
      </c>
      <c r="BG3304" s="191" t="s">
        <v>176</v>
      </c>
      <c r="BH3304" s="226" t="s">
        <v>3099</v>
      </c>
      <c r="BI3304" s="191" t="s">
        <v>176</v>
      </c>
      <c r="BJ3304" s="55" t="s">
        <v>176</v>
      </c>
      <c r="BK3304" s="55" t="s">
        <v>5976</v>
      </c>
      <c r="BM3304" s="192" t="s">
        <v>160</v>
      </c>
      <c r="BV3304" s="55" t="s">
        <v>3104</v>
      </c>
      <c r="CB3304" s="66">
        <v>3140</v>
      </c>
      <c r="CC3304" s="66">
        <v>2250</v>
      </c>
      <c r="CE3304" s="65">
        <v>650</v>
      </c>
      <c r="CF3304" s="65">
        <v>650</v>
      </c>
      <c r="CG3304" s="65" t="s">
        <v>3081</v>
      </c>
      <c r="GP3304" s="292" t="s">
        <v>7494</v>
      </c>
    </row>
    <row r="3305" spans="1:198" x14ac:dyDescent="0.25">
      <c r="A3305" s="55">
        <v>3304</v>
      </c>
      <c r="B3305" s="12" t="s">
        <v>7067</v>
      </c>
      <c r="C3305" s="155">
        <v>155</v>
      </c>
      <c r="D3305" s="55" t="s">
        <v>3101</v>
      </c>
      <c r="E3305" s="90" t="s">
        <v>3093</v>
      </c>
      <c r="G3305" s="55" t="s">
        <v>3094</v>
      </c>
      <c r="H3305" s="55">
        <v>2003</v>
      </c>
      <c r="I3305" s="55">
        <v>1999</v>
      </c>
      <c r="J3305" s="55" t="s">
        <v>3095</v>
      </c>
      <c r="K3305" s="55" t="s">
        <v>3096</v>
      </c>
      <c r="L3305" s="55" t="s">
        <v>2757</v>
      </c>
      <c r="M3305" s="90">
        <v>-3.94</v>
      </c>
      <c r="N3305" s="90">
        <v>39.75</v>
      </c>
      <c r="O3305" s="90">
        <v>24.1</v>
      </c>
      <c r="U3305" s="55" t="s">
        <v>1935</v>
      </c>
      <c r="V3305" s="55" t="s">
        <v>1805</v>
      </c>
      <c r="Y3305" s="55" t="s">
        <v>2823</v>
      </c>
      <c r="AH3305" s="55" t="s">
        <v>238</v>
      </c>
      <c r="AN3305" s="185" t="s">
        <v>3097</v>
      </c>
      <c r="AO3305" s="185" t="s">
        <v>5150</v>
      </c>
      <c r="AQ3305" s="55" t="s">
        <v>553</v>
      </c>
      <c r="AR3305" s="55" t="s">
        <v>2283</v>
      </c>
      <c r="AS3305" s="55" t="s">
        <v>227</v>
      </c>
      <c r="AU3305" s="181" t="s">
        <v>7494</v>
      </c>
      <c r="AV3305" s="185" t="s">
        <v>176</v>
      </c>
      <c r="AX3305" s="185" t="s">
        <v>176</v>
      </c>
      <c r="BE3305" s="226" t="s">
        <v>3099</v>
      </c>
      <c r="BF3305" s="191" t="s">
        <v>176</v>
      </c>
      <c r="BG3305" s="191" t="s">
        <v>176</v>
      </c>
      <c r="BH3305" s="226" t="s">
        <v>3099</v>
      </c>
      <c r="BI3305" s="191" t="s">
        <v>176</v>
      </c>
      <c r="BJ3305" s="55" t="s">
        <v>176</v>
      </c>
      <c r="BK3305" s="55" t="s">
        <v>5976</v>
      </c>
      <c r="BM3305" s="192" t="s">
        <v>160</v>
      </c>
      <c r="CB3305" s="66">
        <v>16360</v>
      </c>
      <c r="CC3305" s="66">
        <v>21140</v>
      </c>
      <c r="CE3305" s="65">
        <v>3370</v>
      </c>
      <c r="CF3305" s="65">
        <v>3370</v>
      </c>
      <c r="CG3305" s="65" t="s">
        <v>3081</v>
      </c>
      <c r="GP3305" s="292" t="s">
        <v>7494</v>
      </c>
    </row>
    <row r="3306" spans="1:198" x14ac:dyDescent="0.25">
      <c r="A3306" s="55">
        <v>3305</v>
      </c>
      <c r="B3306" s="12" t="s">
        <v>7067</v>
      </c>
      <c r="C3306" s="155">
        <v>155</v>
      </c>
      <c r="D3306" s="55" t="s">
        <v>3101</v>
      </c>
      <c r="E3306" s="90" t="s">
        <v>3093</v>
      </c>
      <c r="G3306" s="55" t="s">
        <v>3094</v>
      </c>
      <c r="H3306" s="55">
        <v>2003</v>
      </c>
      <c r="I3306" s="55">
        <v>1999</v>
      </c>
      <c r="J3306" s="55" t="s">
        <v>3095</v>
      </c>
      <c r="K3306" s="55" t="s">
        <v>3096</v>
      </c>
      <c r="L3306" s="55" t="s">
        <v>2757</v>
      </c>
      <c r="M3306" s="90">
        <v>-3.94</v>
      </c>
      <c r="N3306" s="90">
        <v>39.75</v>
      </c>
      <c r="O3306" s="90">
        <v>24.1</v>
      </c>
      <c r="U3306" s="55" t="s">
        <v>1935</v>
      </c>
      <c r="V3306" s="55" t="s">
        <v>1805</v>
      </c>
      <c r="Y3306" s="55" t="s">
        <v>2823</v>
      </c>
      <c r="AH3306" s="55" t="s">
        <v>238</v>
      </c>
      <c r="AN3306" s="185" t="s">
        <v>3097</v>
      </c>
      <c r="AO3306" s="185" t="s">
        <v>5150</v>
      </c>
      <c r="AQ3306" s="55" t="s">
        <v>553</v>
      </c>
      <c r="AR3306" s="55" t="s">
        <v>2283</v>
      </c>
      <c r="AS3306" s="55" t="s">
        <v>227</v>
      </c>
      <c r="AU3306" s="181" t="s">
        <v>7494</v>
      </c>
      <c r="AV3306" s="185" t="s">
        <v>176</v>
      </c>
      <c r="AX3306" s="185" t="s">
        <v>176</v>
      </c>
      <c r="BE3306" s="226" t="s">
        <v>3099</v>
      </c>
      <c r="BF3306" s="191" t="s">
        <v>176</v>
      </c>
      <c r="BG3306" s="191" t="s">
        <v>176</v>
      </c>
      <c r="BH3306" s="226" t="s">
        <v>3099</v>
      </c>
      <c r="BI3306" s="191" t="s">
        <v>176</v>
      </c>
      <c r="BJ3306" s="55" t="s">
        <v>176</v>
      </c>
      <c r="BK3306" s="55" t="s">
        <v>5976</v>
      </c>
      <c r="BM3306" s="192" t="s">
        <v>160</v>
      </c>
      <c r="CB3306" s="66">
        <v>16360</v>
      </c>
      <c r="CC3306" s="66">
        <v>22310</v>
      </c>
      <c r="CE3306" s="65">
        <v>3370</v>
      </c>
      <c r="CF3306" s="65">
        <v>3370</v>
      </c>
      <c r="CG3306" s="65" t="s">
        <v>3081</v>
      </c>
      <c r="GP3306" s="292" t="s">
        <v>7494</v>
      </c>
    </row>
    <row r="3307" spans="1:198" x14ac:dyDescent="0.25">
      <c r="A3307" s="55">
        <v>3306</v>
      </c>
      <c r="B3307" s="12" t="s">
        <v>7067</v>
      </c>
      <c r="C3307" s="155">
        <v>155</v>
      </c>
      <c r="D3307" s="55" t="s">
        <v>3101</v>
      </c>
      <c r="E3307" s="90" t="s">
        <v>3093</v>
      </c>
      <c r="G3307" s="55" t="s">
        <v>3094</v>
      </c>
      <c r="H3307" s="55">
        <v>2003</v>
      </c>
      <c r="I3307" s="55">
        <v>1999</v>
      </c>
      <c r="J3307" s="55" t="s">
        <v>3095</v>
      </c>
      <c r="K3307" s="55" t="s">
        <v>3096</v>
      </c>
      <c r="L3307" s="55" t="s">
        <v>2757</v>
      </c>
      <c r="M3307" s="90">
        <v>-3.94</v>
      </c>
      <c r="N3307" s="90">
        <v>39.75</v>
      </c>
      <c r="O3307" s="90">
        <v>24.1</v>
      </c>
      <c r="U3307" s="55" t="s">
        <v>1935</v>
      </c>
      <c r="V3307" s="55" t="s">
        <v>1805</v>
      </c>
      <c r="Y3307" s="55" t="s">
        <v>2823</v>
      </c>
      <c r="AH3307" s="55" t="s">
        <v>238</v>
      </c>
      <c r="AN3307" s="185" t="s">
        <v>3097</v>
      </c>
      <c r="AO3307" s="185" t="s">
        <v>5150</v>
      </c>
      <c r="AQ3307" s="55" t="s">
        <v>553</v>
      </c>
      <c r="AR3307" s="55" t="s">
        <v>2283</v>
      </c>
      <c r="AS3307" s="55" t="s">
        <v>227</v>
      </c>
      <c r="AU3307" s="181" t="s">
        <v>7494</v>
      </c>
      <c r="AV3307" s="185" t="s">
        <v>176</v>
      </c>
      <c r="AX3307" s="185" t="s">
        <v>176</v>
      </c>
      <c r="BE3307" s="226" t="s">
        <v>3099</v>
      </c>
      <c r="BF3307" s="191" t="s">
        <v>176</v>
      </c>
      <c r="BG3307" s="191" t="s">
        <v>176</v>
      </c>
      <c r="BH3307" s="226" t="s">
        <v>3099</v>
      </c>
      <c r="BI3307" s="191" t="s">
        <v>176</v>
      </c>
      <c r="BJ3307" s="55" t="s">
        <v>176</v>
      </c>
      <c r="BK3307" s="55" t="s">
        <v>5976</v>
      </c>
      <c r="BM3307" s="192" t="s">
        <v>160</v>
      </c>
      <c r="CB3307" s="66">
        <v>16360</v>
      </c>
      <c r="CC3307" s="66">
        <v>19460</v>
      </c>
      <c r="CE3307" s="65">
        <v>3370</v>
      </c>
      <c r="CF3307" s="65">
        <v>3370</v>
      </c>
      <c r="CG3307" s="65" t="s">
        <v>3081</v>
      </c>
      <c r="GP3307" s="292" t="s">
        <v>7494</v>
      </c>
    </row>
    <row r="3308" spans="1:198" x14ac:dyDescent="0.25">
      <c r="A3308" s="55">
        <v>3307</v>
      </c>
      <c r="B3308" s="12" t="s">
        <v>7067</v>
      </c>
      <c r="C3308" s="155">
        <v>155</v>
      </c>
      <c r="D3308" s="55" t="s">
        <v>3101</v>
      </c>
      <c r="E3308" s="90" t="s">
        <v>3093</v>
      </c>
      <c r="G3308" s="55" t="s">
        <v>3094</v>
      </c>
      <c r="H3308" s="55">
        <v>2003</v>
      </c>
      <c r="I3308" s="55">
        <v>1999</v>
      </c>
      <c r="J3308" s="55" t="s">
        <v>3095</v>
      </c>
      <c r="K3308" s="55" t="s">
        <v>3096</v>
      </c>
      <c r="L3308" s="55" t="s">
        <v>2757</v>
      </c>
      <c r="M3308" s="90">
        <v>-3.94</v>
      </c>
      <c r="N3308" s="90">
        <v>39.75</v>
      </c>
      <c r="O3308" s="90">
        <v>24.1</v>
      </c>
      <c r="U3308" s="55" t="s">
        <v>1935</v>
      </c>
      <c r="V3308" s="55" t="s">
        <v>1805</v>
      </c>
      <c r="Y3308" s="55" t="s">
        <v>2823</v>
      </c>
      <c r="AH3308" s="55" t="s">
        <v>238</v>
      </c>
      <c r="AN3308" s="185" t="s">
        <v>3097</v>
      </c>
      <c r="AO3308" s="185" t="s">
        <v>5150</v>
      </c>
      <c r="AQ3308" s="55" t="s">
        <v>553</v>
      </c>
      <c r="AR3308" s="55" t="s">
        <v>2283</v>
      </c>
      <c r="AS3308" s="55" t="s">
        <v>227</v>
      </c>
      <c r="AU3308" s="181" t="s">
        <v>7494</v>
      </c>
      <c r="AV3308" s="185" t="s">
        <v>176</v>
      </c>
      <c r="AX3308" s="185" t="s">
        <v>176</v>
      </c>
      <c r="BE3308" s="226" t="s">
        <v>3099</v>
      </c>
      <c r="BF3308" s="191" t="s">
        <v>176</v>
      </c>
      <c r="BG3308" s="191" t="s">
        <v>176</v>
      </c>
      <c r="BH3308" s="226" t="s">
        <v>3099</v>
      </c>
      <c r="BI3308" s="191" t="s">
        <v>176</v>
      </c>
      <c r="BJ3308" s="55" t="s">
        <v>176</v>
      </c>
      <c r="BK3308" s="55" t="s">
        <v>5976</v>
      </c>
      <c r="BM3308" s="192" t="s">
        <v>160</v>
      </c>
      <c r="CB3308" s="66">
        <v>16360</v>
      </c>
      <c r="CC3308" s="66">
        <v>19220</v>
      </c>
      <c r="CE3308" s="65">
        <v>3370</v>
      </c>
      <c r="CF3308" s="65">
        <v>3370</v>
      </c>
      <c r="CG3308" s="65" t="s">
        <v>3081</v>
      </c>
      <c r="GP3308" s="292" t="s">
        <v>7494</v>
      </c>
    </row>
    <row r="3309" spans="1:198" x14ac:dyDescent="0.25">
      <c r="A3309" s="55">
        <v>3308</v>
      </c>
      <c r="B3309" s="12" t="s">
        <v>7067</v>
      </c>
      <c r="C3309" s="155">
        <v>155</v>
      </c>
      <c r="D3309" s="55" t="s">
        <v>3102</v>
      </c>
      <c r="E3309" s="90" t="s">
        <v>3093</v>
      </c>
      <c r="G3309" s="55" t="s">
        <v>3094</v>
      </c>
      <c r="H3309" s="55">
        <v>2003</v>
      </c>
      <c r="I3309" s="55">
        <v>1999</v>
      </c>
      <c r="J3309" s="55" t="s">
        <v>3095</v>
      </c>
      <c r="K3309" s="55" t="s">
        <v>3096</v>
      </c>
      <c r="L3309" s="55" t="s">
        <v>2757</v>
      </c>
      <c r="M3309" s="90">
        <v>-3.94</v>
      </c>
      <c r="N3309" s="90">
        <v>39.75</v>
      </c>
      <c r="O3309" s="90">
        <v>24.1</v>
      </c>
      <c r="U3309" s="55" t="s">
        <v>1935</v>
      </c>
      <c r="V3309" s="55" t="s">
        <v>1805</v>
      </c>
      <c r="Y3309" s="55" t="s">
        <v>2823</v>
      </c>
      <c r="AH3309" s="55" t="s">
        <v>238</v>
      </c>
      <c r="AN3309" s="185" t="s">
        <v>3097</v>
      </c>
      <c r="AO3309" s="185" t="s">
        <v>5150</v>
      </c>
      <c r="AQ3309" s="55" t="s">
        <v>553</v>
      </c>
      <c r="AR3309" s="55" t="s">
        <v>1607</v>
      </c>
      <c r="AS3309" s="55" t="s">
        <v>132</v>
      </c>
      <c r="AU3309" s="181" t="s">
        <v>7494</v>
      </c>
      <c r="AV3309" s="185" t="s">
        <v>176</v>
      </c>
      <c r="AX3309" s="185" t="s">
        <v>176</v>
      </c>
      <c r="BE3309" s="226" t="s">
        <v>3099</v>
      </c>
      <c r="BF3309" s="191" t="s">
        <v>176</v>
      </c>
      <c r="BG3309" s="191" t="s">
        <v>176</v>
      </c>
      <c r="BH3309" s="226" t="s">
        <v>3099</v>
      </c>
      <c r="BI3309" s="191" t="s">
        <v>176</v>
      </c>
      <c r="BJ3309" s="55" t="s">
        <v>176</v>
      </c>
      <c r="BK3309" s="55" t="s">
        <v>5976</v>
      </c>
      <c r="BM3309" s="192" t="s">
        <v>160</v>
      </c>
      <c r="BV3309" s="55" t="s">
        <v>3104</v>
      </c>
      <c r="CB3309" s="66">
        <v>2810</v>
      </c>
      <c r="CC3309" s="66">
        <v>2060</v>
      </c>
      <c r="CE3309" s="65">
        <f>(58+870)/2</f>
        <v>464</v>
      </c>
      <c r="CF3309" s="65">
        <f>(58+870)/2</f>
        <v>464</v>
      </c>
      <c r="CG3309" s="65" t="s">
        <v>3082</v>
      </c>
      <c r="GP3309" s="292" t="s">
        <v>7494</v>
      </c>
    </row>
    <row r="3310" spans="1:198" x14ac:dyDescent="0.25">
      <c r="A3310" s="55">
        <v>3309</v>
      </c>
      <c r="B3310" s="12" t="s">
        <v>7067</v>
      </c>
      <c r="C3310" s="155">
        <v>155</v>
      </c>
      <c r="D3310" s="55" t="s">
        <v>3102</v>
      </c>
      <c r="E3310" s="90" t="s">
        <v>3093</v>
      </c>
      <c r="G3310" s="55" t="s">
        <v>3094</v>
      </c>
      <c r="H3310" s="55">
        <v>2003</v>
      </c>
      <c r="I3310" s="55">
        <v>1999</v>
      </c>
      <c r="J3310" s="55" t="s">
        <v>3095</v>
      </c>
      <c r="K3310" s="55" t="s">
        <v>3096</v>
      </c>
      <c r="L3310" s="55" t="s">
        <v>2757</v>
      </c>
      <c r="M3310" s="90">
        <v>-3.94</v>
      </c>
      <c r="N3310" s="90">
        <v>39.75</v>
      </c>
      <c r="O3310" s="90">
        <v>24.1</v>
      </c>
      <c r="U3310" s="55" t="s">
        <v>1935</v>
      </c>
      <c r="V3310" s="55" t="s">
        <v>1805</v>
      </c>
      <c r="Y3310" s="55" t="s">
        <v>2823</v>
      </c>
      <c r="AH3310" s="55" t="s">
        <v>238</v>
      </c>
      <c r="AN3310" s="185" t="s">
        <v>3097</v>
      </c>
      <c r="AO3310" s="185" t="s">
        <v>5150</v>
      </c>
      <c r="AQ3310" s="55" t="s">
        <v>553</v>
      </c>
      <c r="AR3310" s="55" t="s">
        <v>1607</v>
      </c>
      <c r="AS3310" s="55" t="s">
        <v>132</v>
      </c>
      <c r="AU3310" s="181" t="s">
        <v>7494</v>
      </c>
      <c r="AV3310" s="185" t="s">
        <v>176</v>
      </c>
      <c r="AX3310" s="185" t="s">
        <v>176</v>
      </c>
      <c r="BE3310" s="226" t="s">
        <v>3099</v>
      </c>
      <c r="BF3310" s="191" t="s">
        <v>176</v>
      </c>
      <c r="BG3310" s="191" t="s">
        <v>176</v>
      </c>
      <c r="BH3310" s="226" t="s">
        <v>3099</v>
      </c>
      <c r="BI3310" s="191" t="s">
        <v>176</v>
      </c>
      <c r="BJ3310" s="55" t="s">
        <v>176</v>
      </c>
      <c r="BK3310" s="55" t="s">
        <v>5976</v>
      </c>
      <c r="BM3310" s="192" t="s">
        <v>160</v>
      </c>
      <c r="BV3310" s="55" t="s">
        <v>3104</v>
      </c>
      <c r="CB3310" s="66">
        <v>2810</v>
      </c>
      <c r="CC3310" s="66">
        <v>1460</v>
      </c>
      <c r="CE3310" s="65">
        <f>(58+870)/2</f>
        <v>464</v>
      </c>
      <c r="CF3310" s="65">
        <f>(58+870)/2</f>
        <v>464</v>
      </c>
      <c r="CG3310" s="65" t="s">
        <v>3082</v>
      </c>
      <c r="GP3310" s="292" t="s">
        <v>7494</v>
      </c>
    </row>
    <row r="3311" spans="1:198" x14ac:dyDescent="0.25">
      <c r="A3311" s="55">
        <v>3310</v>
      </c>
      <c r="B3311" s="12" t="s">
        <v>7067</v>
      </c>
      <c r="C3311" s="155">
        <v>155</v>
      </c>
      <c r="D3311" s="55" t="s">
        <v>3102</v>
      </c>
      <c r="E3311" s="90" t="s">
        <v>3093</v>
      </c>
      <c r="G3311" s="55" t="s">
        <v>3094</v>
      </c>
      <c r="H3311" s="55">
        <v>2003</v>
      </c>
      <c r="I3311" s="55">
        <v>1999</v>
      </c>
      <c r="J3311" s="55" t="s">
        <v>3095</v>
      </c>
      <c r="K3311" s="55" t="s">
        <v>3096</v>
      </c>
      <c r="L3311" s="55" t="s">
        <v>2757</v>
      </c>
      <c r="M3311" s="90">
        <v>-3.94</v>
      </c>
      <c r="N3311" s="90">
        <v>39.75</v>
      </c>
      <c r="O3311" s="90">
        <v>24.1</v>
      </c>
      <c r="U3311" s="55" t="s">
        <v>1935</v>
      </c>
      <c r="V3311" s="55" t="s">
        <v>1805</v>
      </c>
      <c r="Y3311" s="55" t="s">
        <v>2823</v>
      </c>
      <c r="AH3311" s="55" t="s">
        <v>238</v>
      </c>
      <c r="AN3311" s="185" t="s">
        <v>3097</v>
      </c>
      <c r="AO3311" s="185" t="s">
        <v>5150</v>
      </c>
      <c r="AQ3311" s="55" t="s">
        <v>553</v>
      </c>
      <c r="AR3311" s="55" t="s">
        <v>1607</v>
      </c>
      <c r="AS3311" s="55" t="s">
        <v>1580</v>
      </c>
      <c r="AT3311" s="181" t="s">
        <v>3098</v>
      </c>
      <c r="AU3311" s="181" t="s">
        <v>5150</v>
      </c>
      <c r="AV3311" s="185" t="s">
        <v>176</v>
      </c>
      <c r="AW3311" s="55" t="s">
        <v>3098</v>
      </c>
      <c r="AX3311" s="185" t="s">
        <v>176</v>
      </c>
      <c r="AY3311" s="55" t="s">
        <v>176</v>
      </c>
      <c r="BE3311" s="226" t="s">
        <v>3099</v>
      </c>
      <c r="BF3311" s="191" t="s">
        <v>176</v>
      </c>
      <c r="BG3311" s="191" t="s">
        <v>176</v>
      </c>
      <c r="BH3311" s="226" t="s">
        <v>3099</v>
      </c>
      <c r="BI3311" s="191" t="s">
        <v>176</v>
      </c>
      <c r="BJ3311" s="55" t="s">
        <v>176</v>
      </c>
      <c r="BK3311" s="55" t="s">
        <v>5976</v>
      </c>
      <c r="BM3311" s="192" t="s">
        <v>160</v>
      </c>
      <c r="BV3311" s="55" t="s">
        <v>3104</v>
      </c>
      <c r="CB3311" s="66">
        <v>1880</v>
      </c>
      <c r="CC3311" s="66">
        <v>1300</v>
      </c>
      <c r="CE3311" s="65">
        <f>(58+870)/2</f>
        <v>464</v>
      </c>
      <c r="CF3311" s="65">
        <f>(58+870)/2</f>
        <v>464</v>
      </c>
      <c r="CG3311" s="65" t="s">
        <v>3082</v>
      </c>
      <c r="GP3311" s="292" t="s">
        <v>7494</v>
      </c>
    </row>
    <row r="3312" spans="1:198" x14ac:dyDescent="0.25">
      <c r="A3312" s="55">
        <v>3311</v>
      </c>
      <c r="B3312" s="12" t="s">
        <v>7067</v>
      </c>
      <c r="C3312" s="155">
        <v>155</v>
      </c>
      <c r="D3312" s="55" t="s">
        <v>3102</v>
      </c>
      <c r="E3312" s="90" t="s">
        <v>3093</v>
      </c>
      <c r="G3312" s="55" t="s">
        <v>3094</v>
      </c>
      <c r="H3312" s="55">
        <v>2003</v>
      </c>
      <c r="I3312" s="55">
        <v>1999</v>
      </c>
      <c r="J3312" s="55" t="s">
        <v>3095</v>
      </c>
      <c r="K3312" s="55" t="s">
        <v>3096</v>
      </c>
      <c r="L3312" s="55" t="s">
        <v>2757</v>
      </c>
      <c r="M3312" s="90">
        <v>-3.94</v>
      </c>
      <c r="N3312" s="90">
        <v>39.75</v>
      </c>
      <c r="O3312" s="90">
        <v>24.1</v>
      </c>
      <c r="U3312" s="55" t="s">
        <v>1935</v>
      </c>
      <c r="V3312" s="55" t="s">
        <v>1805</v>
      </c>
      <c r="Y3312" s="55" t="s">
        <v>2823</v>
      </c>
      <c r="AH3312" s="55" t="s">
        <v>238</v>
      </c>
      <c r="AN3312" s="185" t="s">
        <v>3097</v>
      </c>
      <c r="AO3312" s="185" t="s">
        <v>5150</v>
      </c>
      <c r="AQ3312" s="55" t="s">
        <v>553</v>
      </c>
      <c r="AR3312" s="55" t="s">
        <v>1607</v>
      </c>
      <c r="AS3312" s="55" t="s">
        <v>1580</v>
      </c>
      <c r="AT3312" s="181" t="s">
        <v>3098</v>
      </c>
      <c r="AU3312" s="181" t="s">
        <v>5150</v>
      </c>
      <c r="AV3312" s="185" t="s">
        <v>176</v>
      </c>
      <c r="AW3312" s="55" t="s">
        <v>3098</v>
      </c>
      <c r="AX3312" s="185" t="s">
        <v>176</v>
      </c>
      <c r="AY3312" s="55" t="s">
        <v>176</v>
      </c>
      <c r="BE3312" s="226" t="s">
        <v>3099</v>
      </c>
      <c r="BF3312" s="191" t="s">
        <v>176</v>
      </c>
      <c r="BG3312" s="191" t="s">
        <v>176</v>
      </c>
      <c r="BH3312" s="226" t="s">
        <v>3099</v>
      </c>
      <c r="BI3312" s="191" t="s">
        <v>176</v>
      </c>
      <c r="BJ3312" s="55" t="s">
        <v>176</v>
      </c>
      <c r="BK3312" s="55" t="s">
        <v>5976</v>
      </c>
      <c r="BM3312" s="192" t="s">
        <v>160</v>
      </c>
      <c r="BV3312" s="55" t="s">
        <v>3104</v>
      </c>
      <c r="CB3312" s="66">
        <v>1880</v>
      </c>
      <c r="CC3312" s="66">
        <v>1160</v>
      </c>
      <c r="CE3312" s="65">
        <f>(58+870)/2</f>
        <v>464</v>
      </c>
      <c r="CF3312" s="65">
        <f>(58+870)/2</f>
        <v>464</v>
      </c>
      <c r="CG3312" s="65" t="s">
        <v>3082</v>
      </c>
      <c r="GP3312" s="292" t="s">
        <v>7494</v>
      </c>
    </row>
    <row r="3313" spans="1:198" x14ac:dyDescent="0.25">
      <c r="A3313" s="55">
        <v>3312</v>
      </c>
      <c r="B3313" s="12" t="s">
        <v>7067</v>
      </c>
      <c r="C3313" s="155">
        <v>155</v>
      </c>
      <c r="D3313" s="55" t="s">
        <v>3102</v>
      </c>
      <c r="E3313" s="90" t="s">
        <v>3093</v>
      </c>
      <c r="G3313" s="55" t="s">
        <v>3094</v>
      </c>
      <c r="H3313" s="55">
        <v>2003</v>
      </c>
      <c r="I3313" s="55">
        <v>1999</v>
      </c>
      <c r="J3313" s="55" t="s">
        <v>3095</v>
      </c>
      <c r="K3313" s="55" t="s">
        <v>3096</v>
      </c>
      <c r="L3313" s="55" t="s">
        <v>2757</v>
      </c>
      <c r="M3313" s="90">
        <v>-3.94</v>
      </c>
      <c r="N3313" s="90">
        <v>39.75</v>
      </c>
      <c r="O3313" s="90">
        <v>24.1</v>
      </c>
      <c r="U3313" s="55" t="s">
        <v>1935</v>
      </c>
      <c r="V3313" s="55" t="s">
        <v>1805</v>
      </c>
      <c r="Y3313" s="55" t="s">
        <v>2823</v>
      </c>
      <c r="AH3313" s="55" t="s">
        <v>238</v>
      </c>
      <c r="AN3313" s="185" t="s">
        <v>3097</v>
      </c>
      <c r="AO3313" s="185" t="s">
        <v>5150</v>
      </c>
      <c r="AQ3313" s="55" t="s">
        <v>553</v>
      </c>
      <c r="AR3313" s="55" t="s">
        <v>1607</v>
      </c>
      <c r="AS3313" s="55" t="s">
        <v>1580</v>
      </c>
      <c r="AT3313" s="181" t="s">
        <v>3098</v>
      </c>
      <c r="AU3313" s="181" t="s">
        <v>5150</v>
      </c>
      <c r="AV3313" s="185" t="s">
        <v>176</v>
      </c>
      <c r="AW3313" s="55" t="s">
        <v>3098</v>
      </c>
      <c r="AX3313" s="185" t="s">
        <v>176</v>
      </c>
      <c r="AY3313" s="55" t="s">
        <v>176</v>
      </c>
      <c r="BE3313" s="226" t="s">
        <v>3099</v>
      </c>
      <c r="BF3313" s="191" t="s">
        <v>176</v>
      </c>
      <c r="BG3313" s="191" t="s">
        <v>176</v>
      </c>
      <c r="BH3313" s="226" t="s">
        <v>3099</v>
      </c>
      <c r="BI3313" s="191" t="s">
        <v>176</v>
      </c>
      <c r="BJ3313" s="55" t="s">
        <v>176</v>
      </c>
      <c r="BK3313" s="55" t="s">
        <v>5976</v>
      </c>
      <c r="BM3313" s="192" t="s">
        <v>160</v>
      </c>
      <c r="BV3313" s="55" t="s">
        <v>3104</v>
      </c>
      <c r="CB3313" s="66">
        <v>1880</v>
      </c>
      <c r="CC3313" s="66">
        <v>2400</v>
      </c>
      <c r="CE3313" s="65">
        <f>(58+870)/2</f>
        <v>464</v>
      </c>
      <c r="CF3313" s="65">
        <f>(58+870)/2</f>
        <v>464</v>
      </c>
      <c r="CG3313" s="65" t="s">
        <v>3082</v>
      </c>
      <c r="GP3313" s="292" t="s">
        <v>7494</v>
      </c>
    </row>
    <row r="3314" spans="1:198" x14ac:dyDescent="0.25">
      <c r="A3314" s="55">
        <v>3313</v>
      </c>
      <c r="B3314" s="12" t="s">
        <v>7067</v>
      </c>
      <c r="C3314" s="155">
        <v>155</v>
      </c>
      <c r="D3314" s="55" t="s">
        <v>3103</v>
      </c>
      <c r="E3314" s="90" t="s">
        <v>3093</v>
      </c>
      <c r="G3314" s="55" t="s">
        <v>3094</v>
      </c>
      <c r="H3314" s="55">
        <v>2003</v>
      </c>
      <c r="I3314" s="55">
        <v>1999</v>
      </c>
      <c r="J3314" s="55" t="s">
        <v>3095</v>
      </c>
      <c r="K3314" s="55" t="s">
        <v>3096</v>
      </c>
      <c r="L3314" s="55" t="s">
        <v>2757</v>
      </c>
      <c r="M3314" s="90">
        <v>-3.94</v>
      </c>
      <c r="N3314" s="90">
        <v>39.75</v>
      </c>
      <c r="O3314" s="90">
        <v>24.1</v>
      </c>
      <c r="U3314" s="55" t="s">
        <v>1935</v>
      </c>
      <c r="V3314" s="55" t="s">
        <v>1805</v>
      </c>
      <c r="Y3314" s="55" t="s">
        <v>2823</v>
      </c>
      <c r="AH3314" s="55" t="s">
        <v>238</v>
      </c>
      <c r="AN3314" s="185" t="s">
        <v>3097</v>
      </c>
      <c r="AO3314" s="185" t="s">
        <v>5150</v>
      </c>
      <c r="AQ3314" s="55" t="s">
        <v>553</v>
      </c>
      <c r="AR3314" s="55" t="s">
        <v>2283</v>
      </c>
      <c r="AS3314" s="55" t="s">
        <v>227</v>
      </c>
      <c r="AU3314" s="181" t="s">
        <v>7494</v>
      </c>
      <c r="AV3314" s="185" t="s">
        <v>176</v>
      </c>
      <c r="AX3314" s="185" t="s">
        <v>176</v>
      </c>
      <c r="BE3314" s="226" t="s">
        <v>3099</v>
      </c>
      <c r="BF3314" s="191" t="s">
        <v>176</v>
      </c>
      <c r="BG3314" s="191" t="s">
        <v>176</v>
      </c>
      <c r="BH3314" s="226" t="s">
        <v>3099</v>
      </c>
      <c r="BI3314" s="191" t="s">
        <v>176</v>
      </c>
      <c r="BJ3314" s="55" t="s">
        <v>176</v>
      </c>
      <c r="BK3314" s="55" t="s">
        <v>5976</v>
      </c>
      <c r="BM3314" s="192" t="s">
        <v>160</v>
      </c>
      <c r="CB3314" s="66">
        <v>22130</v>
      </c>
      <c r="CC3314" s="66">
        <v>19940</v>
      </c>
      <c r="CE3314" s="65">
        <v>3810</v>
      </c>
      <c r="CF3314" s="65">
        <v>3810</v>
      </c>
      <c r="CG3314" s="65" t="s">
        <v>3082</v>
      </c>
      <c r="GP3314" s="292" t="s">
        <v>7494</v>
      </c>
    </row>
    <row r="3315" spans="1:198" x14ac:dyDescent="0.25">
      <c r="A3315" s="55">
        <v>3314</v>
      </c>
      <c r="B3315" s="12" t="s">
        <v>7067</v>
      </c>
      <c r="C3315" s="155">
        <v>155</v>
      </c>
      <c r="D3315" s="55" t="s">
        <v>3103</v>
      </c>
      <c r="E3315" s="90" t="s">
        <v>3093</v>
      </c>
      <c r="G3315" s="55" t="s">
        <v>3094</v>
      </c>
      <c r="H3315" s="55">
        <v>2003</v>
      </c>
      <c r="I3315" s="55">
        <v>1999</v>
      </c>
      <c r="J3315" s="55" t="s">
        <v>3095</v>
      </c>
      <c r="K3315" s="55" t="s">
        <v>3096</v>
      </c>
      <c r="L3315" s="55" t="s">
        <v>2757</v>
      </c>
      <c r="M3315" s="90">
        <v>-3.94</v>
      </c>
      <c r="N3315" s="90">
        <v>39.75</v>
      </c>
      <c r="O3315" s="90">
        <v>24.1</v>
      </c>
      <c r="U3315" s="55" t="s">
        <v>1935</v>
      </c>
      <c r="V3315" s="55" t="s">
        <v>1805</v>
      </c>
      <c r="Y3315" s="55" t="s">
        <v>2823</v>
      </c>
      <c r="AH3315" s="55" t="s">
        <v>238</v>
      </c>
      <c r="AN3315" s="185" t="s">
        <v>3097</v>
      </c>
      <c r="AO3315" s="185" t="s">
        <v>5150</v>
      </c>
      <c r="AQ3315" s="55" t="s">
        <v>553</v>
      </c>
      <c r="AR3315" s="55" t="s">
        <v>2283</v>
      </c>
      <c r="AS3315" s="55" t="s">
        <v>227</v>
      </c>
      <c r="AU3315" s="181" t="s">
        <v>7494</v>
      </c>
      <c r="AV3315" s="185" t="s">
        <v>176</v>
      </c>
      <c r="AX3315" s="185" t="s">
        <v>176</v>
      </c>
      <c r="BE3315" s="226" t="s">
        <v>3099</v>
      </c>
      <c r="BF3315" s="191" t="s">
        <v>176</v>
      </c>
      <c r="BG3315" s="191" t="s">
        <v>176</v>
      </c>
      <c r="BH3315" s="226" t="s">
        <v>3099</v>
      </c>
      <c r="BI3315" s="191" t="s">
        <v>176</v>
      </c>
      <c r="BJ3315" s="55" t="s">
        <v>176</v>
      </c>
      <c r="BK3315" s="55" t="s">
        <v>5976</v>
      </c>
      <c r="BM3315" s="192" t="s">
        <v>160</v>
      </c>
      <c r="CB3315" s="66">
        <v>22130</v>
      </c>
      <c r="CC3315" s="66">
        <v>11860</v>
      </c>
      <c r="CE3315" s="65">
        <v>3810</v>
      </c>
      <c r="CF3315" s="65">
        <v>3810</v>
      </c>
      <c r="CG3315" s="65" t="s">
        <v>3082</v>
      </c>
      <c r="GP3315" s="292" t="s">
        <v>7494</v>
      </c>
    </row>
    <row r="3316" spans="1:198" x14ac:dyDescent="0.25">
      <c r="A3316" s="55">
        <v>3315</v>
      </c>
      <c r="B3316" s="12" t="s">
        <v>7067</v>
      </c>
      <c r="C3316" s="155">
        <v>155</v>
      </c>
      <c r="D3316" s="55" t="s">
        <v>3103</v>
      </c>
      <c r="E3316" s="90" t="s">
        <v>3093</v>
      </c>
      <c r="G3316" s="55" t="s">
        <v>3094</v>
      </c>
      <c r="H3316" s="55">
        <v>2003</v>
      </c>
      <c r="I3316" s="55">
        <v>1999</v>
      </c>
      <c r="J3316" s="55" t="s">
        <v>3095</v>
      </c>
      <c r="K3316" s="55" t="s">
        <v>3096</v>
      </c>
      <c r="L3316" s="55" t="s">
        <v>2757</v>
      </c>
      <c r="M3316" s="90">
        <v>-3.94</v>
      </c>
      <c r="N3316" s="90">
        <v>39.75</v>
      </c>
      <c r="O3316" s="90">
        <v>24.1</v>
      </c>
      <c r="U3316" s="55" t="s">
        <v>1935</v>
      </c>
      <c r="V3316" s="55" t="s">
        <v>1805</v>
      </c>
      <c r="Y3316" s="55" t="s">
        <v>2823</v>
      </c>
      <c r="AH3316" s="55" t="s">
        <v>238</v>
      </c>
      <c r="AN3316" s="185" t="s">
        <v>3097</v>
      </c>
      <c r="AO3316" s="185" t="s">
        <v>5150</v>
      </c>
      <c r="AQ3316" s="55" t="s">
        <v>553</v>
      </c>
      <c r="AR3316" s="55" t="s">
        <v>2283</v>
      </c>
      <c r="AS3316" s="55" t="s">
        <v>227</v>
      </c>
      <c r="AU3316" s="181" t="s">
        <v>7494</v>
      </c>
      <c r="AV3316" s="185" t="s">
        <v>176</v>
      </c>
      <c r="AX3316" s="185" t="s">
        <v>176</v>
      </c>
      <c r="BE3316" s="226" t="s">
        <v>3099</v>
      </c>
      <c r="BF3316" s="191" t="s">
        <v>176</v>
      </c>
      <c r="BG3316" s="191" t="s">
        <v>176</v>
      </c>
      <c r="BH3316" s="226" t="s">
        <v>3099</v>
      </c>
      <c r="BI3316" s="191" t="s">
        <v>176</v>
      </c>
      <c r="BJ3316" s="55" t="s">
        <v>176</v>
      </c>
      <c r="BK3316" s="55" t="s">
        <v>5976</v>
      </c>
      <c r="BM3316" s="192" t="s">
        <v>160</v>
      </c>
      <c r="CB3316" s="66">
        <v>22130</v>
      </c>
      <c r="CC3316" s="66">
        <v>17030</v>
      </c>
      <c r="CE3316" s="65">
        <v>3810</v>
      </c>
      <c r="CF3316" s="65">
        <v>3810</v>
      </c>
      <c r="CG3316" s="65" t="s">
        <v>3082</v>
      </c>
      <c r="GP3316" s="292" t="s">
        <v>7494</v>
      </c>
    </row>
    <row r="3317" spans="1:198" x14ac:dyDescent="0.25">
      <c r="A3317" s="55">
        <v>3316</v>
      </c>
      <c r="B3317" s="12" t="s">
        <v>7067</v>
      </c>
      <c r="C3317" s="155">
        <v>155</v>
      </c>
      <c r="D3317" s="55" t="s">
        <v>3103</v>
      </c>
      <c r="E3317" s="90" t="s">
        <v>3093</v>
      </c>
      <c r="G3317" s="55" t="s">
        <v>3094</v>
      </c>
      <c r="H3317" s="55">
        <v>2003</v>
      </c>
      <c r="I3317" s="55">
        <v>1999</v>
      </c>
      <c r="J3317" s="55" t="s">
        <v>3095</v>
      </c>
      <c r="K3317" s="55" t="s">
        <v>3096</v>
      </c>
      <c r="L3317" s="55" t="s">
        <v>2757</v>
      </c>
      <c r="M3317" s="90">
        <v>-3.94</v>
      </c>
      <c r="N3317" s="90">
        <v>39.75</v>
      </c>
      <c r="O3317" s="90">
        <v>24.1</v>
      </c>
      <c r="U3317" s="55" t="s">
        <v>1935</v>
      </c>
      <c r="V3317" s="55" t="s">
        <v>1805</v>
      </c>
      <c r="Y3317" s="55" t="s">
        <v>2823</v>
      </c>
      <c r="AH3317" s="55" t="s">
        <v>238</v>
      </c>
      <c r="AN3317" s="185" t="s">
        <v>3097</v>
      </c>
      <c r="AO3317" s="185" t="s">
        <v>5150</v>
      </c>
      <c r="AQ3317" s="55" t="s">
        <v>553</v>
      </c>
      <c r="AR3317" s="55" t="s">
        <v>2283</v>
      </c>
      <c r="AS3317" s="55" t="s">
        <v>227</v>
      </c>
      <c r="AU3317" s="181" t="s">
        <v>7494</v>
      </c>
      <c r="AV3317" s="185" t="s">
        <v>176</v>
      </c>
      <c r="AX3317" s="185" t="s">
        <v>176</v>
      </c>
      <c r="BE3317" s="226" t="s">
        <v>3099</v>
      </c>
      <c r="BF3317" s="191" t="s">
        <v>176</v>
      </c>
      <c r="BG3317" s="191" t="s">
        <v>176</v>
      </c>
      <c r="BH3317" s="226" t="s">
        <v>3099</v>
      </c>
      <c r="BI3317" s="191" t="s">
        <v>176</v>
      </c>
      <c r="BJ3317" s="55" t="s">
        <v>176</v>
      </c>
      <c r="BK3317" s="55" t="s">
        <v>5976</v>
      </c>
      <c r="BM3317" s="192" t="s">
        <v>160</v>
      </c>
      <c r="CB3317" s="66">
        <v>22130</v>
      </c>
      <c r="CC3317" s="66">
        <v>10310</v>
      </c>
      <c r="CE3317" s="65">
        <v>3810</v>
      </c>
      <c r="CF3317" s="65">
        <v>3810</v>
      </c>
      <c r="CG3317" s="65" t="s">
        <v>3082</v>
      </c>
      <c r="GP3317" s="292" t="s">
        <v>7494</v>
      </c>
    </row>
    <row r="3318" spans="1:198" x14ac:dyDescent="0.25">
      <c r="A3318" s="55">
        <v>3317</v>
      </c>
      <c r="B3318" s="12" t="s">
        <v>7067</v>
      </c>
      <c r="C3318" s="155">
        <v>155</v>
      </c>
      <c r="D3318" s="55" t="s">
        <v>3103</v>
      </c>
      <c r="E3318" s="90" t="s">
        <v>3093</v>
      </c>
      <c r="G3318" s="55" t="s">
        <v>3094</v>
      </c>
      <c r="H3318" s="55">
        <v>2003</v>
      </c>
      <c r="I3318" s="55">
        <v>1999</v>
      </c>
      <c r="J3318" s="55" t="s">
        <v>3095</v>
      </c>
      <c r="K3318" s="55" t="s">
        <v>3096</v>
      </c>
      <c r="L3318" s="55" t="s">
        <v>2757</v>
      </c>
      <c r="M3318" s="90">
        <v>-3.94</v>
      </c>
      <c r="N3318" s="90">
        <v>39.75</v>
      </c>
      <c r="O3318" s="90">
        <v>24.1</v>
      </c>
      <c r="U3318" s="55" t="s">
        <v>1935</v>
      </c>
      <c r="V3318" s="55" t="s">
        <v>1805</v>
      </c>
      <c r="Y3318" s="55" t="s">
        <v>2823</v>
      </c>
      <c r="AH3318" s="55" t="s">
        <v>238</v>
      </c>
      <c r="AN3318" s="185" t="s">
        <v>3097</v>
      </c>
      <c r="AO3318" s="185" t="s">
        <v>5150</v>
      </c>
      <c r="AQ3318" s="55" t="s">
        <v>553</v>
      </c>
      <c r="AR3318" s="55" t="s">
        <v>2283</v>
      </c>
      <c r="AS3318" s="55" t="s">
        <v>227</v>
      </c>
      <c r="AU3318" s="181" t="s">
        <v>7494</v>
      </c>
      <c r="AV3318" s="185" t="s">
        <v>176</v>
      </c>
      <c r="AX3318" s="185" t="s">
        <v>176</v>
      </c>
      <c r="BE3318" s="226" t="s">
        <v>3099</v>
      </c>
      <c r="BF3318" s="191" t="s">
        <v>176</v>
      </c>
      <c r="BG3318" s="191" t="s">
        <v>176</v>
      </c>
      <c r="BH3318" s="226" t="s">
        <v>3099</v>
      </c>
      <c r="BI3318" s="191" t="s">
        <v>176</v>
      </c>
      <c r="BJ3318" s="55" t="s">
        <v>176</v>
      </c>
      <c r="BK3318" s="55" t="s">
        <v>5976</v>
      </c>
      <c r="BM3318" s="192" t="s">
        <v>160</v>
      </c>
      <c r="CB3318" s="66">
        <v>22130</v>
      </c>
      <c r="CC3318" s="66">
        <v>21140</v>
      </c>
      <c r="CE3318" s="65">
        <v>3810</v>
      </c>
      <c r="CF3318" s="65">
        <v>3810</v>
      </c>
      <c r="CG3318" s="65" t="s">
        <v>3082</v>
      </c>
      <c r="GP3318" s="292" t="s">
        <v>7494</v>
      </c>
    </row>
    <row r="3319" spans="1:198" x14ac:dyDescent="0.25">
      <c r="A3319" s="55">
        <v>3318</v>
      </c>
      <c r="B3319" s="12" t="s">
        <v>7067</v>
      </c>
      <c r="C3319" s="155">
        <v>156</v>
      </c>
      <c r="D3319" s="55" t="s">
        <v>3120</v>
      </c>
      <c r="E3319" s="90" t="s">
        <v>3106</v>
      </c>
      <c r="G3319" s="55" t="s">
        <v>3107</v>
      </c>
      <c r="H3319" s="55">
        <v>2003</v>
      </c>
      <c r="I3319" s="55">
        <v>1996</v>
      </c>
      <c r="J3319" s="55" t="s">
        <v>2688</v>
      </c>
      <c r="K3319" s="55" t="s">
        <v>3109</v>
      </c>
      <c r="L3319" s="55" t="s">
        <v>3108</v>
      </c>
      <c r="M3319" s="90">
        <v>-5.04</v>
      </c>
      <c r="N3319" s="90">
        <v>32.82</v>
      </c>
      <c r="O3319" s="90">
        <v>1235</v>
      </c>
      <c r="R3319" s="55">
        <v>663</v>
      </c>
      <c r="S3319" s="90">
        <v>928</v>
      </c>
      <c r="U3319" s="55" t="s">
        <v>1935</v>
      </c>
      <c r="V3319" s="55" t="s">
        <v>1801</v>
      </c>
      <c r="Y3319" s="55" t="s">
        <v>3114</v>
      </c>
      <c r="Z3319" s="55" t="s">
        <v>1356</v>
      </c>
      <c r="AA3319" s="90" t="s">
        <v>1680</v>
      </c>
      <c r="AH3319" s="55" t="s">
        <v>201</v>
      </c>
      <c r="AI3319" s="168">
        <f>(5.7+6.1)/2</f>
        <v>5.9</v>
      </c>
      <c r="AJ3319" s="90">
        <f>(1.4+2.2)/2</f>
        <v>1.8</v>
      </c>
      <c r="AM3319" s="55" t="s">
        <v>3112</v>
      </c>
      <c r="AN3319" s="185" t="s">
        <v>3115</v>
      </c>
      <c r="AO3319" s="185" t="s">
        <v>5150</v>
      </c>
      <c r="AQ3319" s="55" t="s">
        <v>1550</v>
      </c>
      <c r="AR3319" s="55" t="s">
        <v>1607</v>
      </c>
      <c r="AS3319" s="55" t="s">
        <v>132</v>
      </c>
      <c r="AU3319" s="181" t="s">
        <v>7494</v>
      </c>
      <c r="AV3319" s="185" t="s">
        <v>176</v>
      </c>
      <c r="AX3319" s="185" t="s">
        <v>176</v>
      </c>
      <c r="BG3319" s="191"/>
      <c r="BK3319" s="55" t="s">
        <v>6333</v>
      </c>
      <c r="BM3319" s="192" t="s">
        <v>3113</v>
      </c>
      <c r="BN3319" s="55">
        <v>3</v>
      </c>
      <c r="BO3319" s="55">
        <v>3</v>
      </c>
      <c r="BQ3319" s="55" t="s">
        <v>141</v>
      </c>
      <c r="CB3319" s="66">
        <v>1008.8</v>
      </c>
      <c r="CC3319" s="66">
        <v>1395.9</v>
      </c>
      <c r="CE3319" s="65">
        <f>1906-1700</f>
        <v>206</v>
      </c>
      <c r="CF3319" s="65">
        <f>1906-1700</f>
        <v>206</v>
      </c>
      <c r="CG3319" s="65" t="s">
        <v>3129</v>
      </c>
      <c r="GP3319" s="292" t="s">
        <v>7494</v>
      </c>
    </row>
    <row r="3320" spans="1:198" x14ac:dyDescent="0.25">
      <c r="A3320" s="55">
        <v>3319</v>
      </c>
      <c r="B3320" s="12" t="s">
        <v>7067</v>
      </c>
      <c r="C3320" s="155">
        <v>156</v>
      </c>
      <c r="D3320" s="55" t="s">
        <v>3120</v>
      </c>
      <c r="E3320" s="90" t="s">
        <v>3106</v>
      </c>
      <c r="G3320" s="55" t="s">
        <v>3107</v>
      </c>
      <c r="H3320" s="55">
        <v>2003</v>
      </c>
      <c r="I3320" s="55">
        <v>1996</v>
      </c>
      <c r="J3320" s="55" t="s">
        <v>2688</v>
      </c>
      <c r="K3320" s="55" t="s">
        <v>3109</v>
      </c>
      <c r="L3320" s="55" t="s">
        <v>3108</v>
      </c>
      <c r="M3320" s="90">
        <v>-5.04</v>
      </c>
      <c r="N3320" s="90">
        <v>32.82</v>
      </c>
      <c r="O3320" s="90">
        <v>1235</v>
      </c>
      <c r="R3320" s="55">
        <v>663</v>
      </c>
      <c r="S3320" s="90">
        <v>928</v>
      </c>
      <c r="U3320" s="55" t="s">
        <v>1935</v>
      </c>
      <c r="V3320" s="55" t="s">
        <v>1801</v>
      </c>
      <c r="Y3320" s="55" t="s">
        <v>3114</v>
      </c>
      <c r="Z3320" s="55" t="s">
        <v>1356</v>
      </c>
      <c r="AA3320" s="90" t="s">
        <v>1680</v>
      </c>
      <c r="AH3320" s="55" t="s">
        <v>201</v>
      </c>
      <c r="AI3320" s="168">
        <f>(5.7+6.1)/2</f>
        <v>5.9</v>
      </c>
      <c r="AJ3320" s="90">
        <f>(1.4+2.2)/2</f>
        <v>1.8</v>
      </c>
      <c r="AM3320" s="55" t="s">
        <v>3112</v>
      </c>
      <c r="AN3320" s="185" t="s">
        <v>3116</v>
      </c>
      <c r="AO3320" s="185" t="s">
        <v>5150</v>
      </c>
      <c r="AQ3320" s="55" t="s">
        <v>1550</v>
      </c>
      <c r="AR3320" s="55" t="s">
        <v>1607</v>
      </c>
      <c r="AS3320" s="55" t="s">
        <v>132</v>
      </c>
      <c r="AU3320" s="181" t="s">
        <v>7494</v>
      </c>
      <c r="AV3320" s="185" t="s">
        <v>176</v>
      </c>
      <c r="AX3320" s="185" t="s">
        <v>176</v>
      </c>
      <c r="BG3320" s="191"/>
      <c r="BK3320" s="55" t="s">
        <v>6333</v>
      </c>
      <c r="BM3320" s="192" t="s">
        <v>3113</v>
      </c>
      <c r="BN3320" s="55">
        <v>3</v>
      </c>
      <c r="BO3320" s="55">
        <v>3</v>
      </c>
      <c r="BQ3320" s="55" t="s">
        <v>141</v>
      </c>
      <c r="CB3320" s="66">
        <v>1008.8</v>
      </c>
      <c r="CC3320" s="66">
        <v>1198.2</v>
      </c>
      <c r="CE3320" s="65">
        <f>1906-1700</f>
        <v>206</v>
      </c>
      <c r="CF3320" s="65">
        <f>1906-1700</f>
        <v>206</v>
      </c>
      <c r="CG3320" s="65" t="s">
        <v>3129</v>
      </c>
      <c r="GP3320" s="292" t="s">
        <v>7494</v>
      </c>
    </row>
    <row r="3321" spans="1:198" x14ac:dyDescent="0.25">
      <c r="A3321" s="55">
        <v>3320</v>
      </c>
      <c r="B3321" s="12" t="s">
        <v>7067</v>
      </c>
      <c r="C3321" s="155">
        <v>156</v>
      </c>
      <c r="D3321" s="55" t="s">
        <v>3120</v>
      </c>
      <c r="E3321" s="90" t="s">
        <v>3106</v>
      </c>
      <c r="G3321" s="55" t="s">
        <v>3107</v>
      </c>
      <c r="H3321" s="55">
        <v>2003</v>
      </c>
      <c r="I3321" s="55">
        <v>1996</v>
      </c>
      <c r="J3321" s="55" t="s">
        <v>2688</v>
      </c>
      <c r="K3321" s="55" t="s">
        <v>3109</v>
      </c>
      <c r="L3321" s="55" t="s">
        <v>3108</v>
      </c>
      <c r="M3321" s="90">
        <v>-5.04</v>
      </c>
      <c r="N3321" s="90">
        <v>32.82</v>
      </c>
      <c r="O3321" s="90">
        <v>1235</v>
      </c>
      <c r="R3321" s="55">
        <v>663</v>
      </c>
      <c r="S3321" s="90">
        <v>928</v>
      </c>
      <c r="U3321" s="55" t="s">
        <v>1935</v>
      </c>
      <c r="V3321" s="55" t="s">
        <v>1801</v>
      </c>
      <c r="Y3321" s="55" t="s">
        <v>3114</v>
      </c>
      <c r="Z3321" s="55" t="s">
        <v>1356</v>
      </c>
      <c r="AA3321" s="90" t="s">
        <v>1680</v>
      </c>
      <c r="AH3321" s="55" t="s">
        <v>201</v>
      </c>
      <c r="AI3321" s="168">
        <f>(5.7+6.1)/2</f>
        <v>5.9</v>
      </c>
      <c r="AJ3321" s="90">
        <f>(1.4+2.2)/2</f>
        <v>1.8</v>
      </c>
      <c r="AM3321" s="55" t="s">
        <v>3112</v>
      </c>
      <c r="AN3321" s="185" t="s">
        <v>3117</v>
      </c>
      <c r="AO3321" s="185" t="s">
        <v>5150</v>
      </c>
      <c r="AQ3321" s="55" t="s">
        <v>1550</v>
      </c>
      <c r="AR3321" s="55" t="s">
        <v>1607</v>
      </c>
      <c r="AS3321" s="55" t="s">
        <v>132</v>
      </c>
      <c r="AU3321" s="181" t="s">
        <v>7494</v>
      </c>
      <c r="AV3321" s="185" t="s">
        <v>176</v>
      </c>
      <c r="AX3321" s="185" t="s">
        <v>176</v>
      </c>
      <c r="BG3321" s="191"/>
      <c r="BK3321" s="55" t="s">
        <v>6333</v>
      </c>
      <c r="BM3321" s="192" t="s">
        <v>3113</v>
      </c>
      <c r="BN3321" s="55">
        <v>3</v>
      </c>
      <c r="BO3321" s="55">
        <v>3</v>
      </c>
      <c r="BQ3321" s="55" t="s">
        <v>141</v>
      </c>
      <c r="CB3321" s="66">
        <v>1008.8</v>
      </c>
      <c r="CC3321" s="66">
        <v>1305.3</v>
      </c>
      <c r="CE3321" s="65">
        <f>1906-1700</f>
        <v>206</v>
      </c>
      <c r="CF3321" s="65">
        <f>1906-1700</f>
        <v>206</v>
      </c>
      <c r="CG3321" s="65" t="s">
        <v>3129</v>
      </c>
      <c r="GP3321" s="292" t="s">
        <v>7494</v>
      </c>
    </row>
    <row r="3322" spans="1:198" x14ac:dyDescent="0.25">
      <c r="A3322" s="55">
        <v>3321</v>
      </c>
      <c r="B3322" s="12" t="s">
        <v>7067</v>
      </c>
      <c r="C3322" s="155">
        <v>156</v>
      </c>
      <c r="D3322" s="55" t="s">
        <v>3121</v>
      </c>
      <c r="E3322" s="90" t="s">
        <v>3106</v>
      </c>
      <c r="G3322" s="55" t="s">
        <v>3107</v>
      </c>
      <c r="H3322" s="55">
        <v>2003</v>
      </c>
      <c r="I3322" s="55">
        <v>1996</v>
      </c>
      <c r="J3322" s="55" t="s">
        <v>2688</v>
      </c>
      <c r="K3322" s="55" t="s">
        <v>3109</v>
      </c>
      <c r="L3322" s="55" t="s">
        <v>3108</v>
      </c>
      <c r="M3322" s="90">
        <v>-5.04</v>
      </c>
      <c r="N3322" s="90">
        <v>32.82</v>
      </c>
      <c r="O3322" s="90">
        <v>1235</v>
      </c>
      <c r="R3322" s="55">
        <v>663</v>
      </c>
      <c r="S3322" s="90">
        <v>928</v>
      </c>
      <c r="U3322" s="55" t="s">
        <v>1935</v>
      </c>
      <c r="V3322" s="55" t="s">
        <v>1801</v>
      </c>
      <c r="Y3322" s="55" t="s">
        <v>3114</v>
      </c>
      <c r="Z3322" s="55" t="s">
        <v>1356</v>
      </c>
      <c r="AA3322" s="90" t="s">
        <v>1680</v>
      </c>
      <c r="AH3322" s="55" t="s">
        <v>201</v>
      </c>
      <c r="AI3322" s="168">
        <f>(5.7+6.1)/2</f>
        <v>5.9</v>
      </c>
      <c r="AJ3322" s="90">
        <f>(1.4+2.2)/2</f>
        <v>1.8</v>
      </c>
      <c r="AM3322" s="55" t="s">
        <v>3112</v>
      </c>
      <c r="AN3322" s="185" t="s">
        <v>3118</v>
      </c>
      <c r="AO3322" s="185" t="s">
        <v>5150</v>
      </c>
      <c r="AQ3322" s="55" t="s">
        <v>553</v>
      </c>
      <c r="AR3322" s="55" t="s">
        <v>1607</v>
      </c>
      <c r="AS3322" s="55" t="s">
        <v>132</v>
      </c>
      <c r="AU3322" s="181" t="s">
        <v>7494</v>
      </c>
      <c r="AV3322" s="185" t="s">
        <v>176</v>
      </c>
      <c r="AX3322" s="185" t="s">
        <v>176</v>
      </c>
      <c r="BG3322" s="191"/>
      <c r="BK3322" s="55" t="s">
        <v>6333</v>
      </c>
      <c r="BM3322" s="192" t="s">
        <v>3113</v>
      </c>
      <c r="BN3322" s="55">
        <v>3</v>
      </c>
      <c r="BO3322" s="55">
        <v>3</v>
      </c>
      <c r="BQ3322" s="55" t="s">
        <v>141</v>
      </c>
      <c r="CB3322" s="66">
        <v>1008.8</v>
      </c>
      <c r="CC3322" s="66">
        <v>1198.2</v>
      </c>
      <c r="CE3322" s="65">
        <f>1906-1700</f>
        <v>206</v>
      </c>
      <c r="CF3322" s="65">
        <f>1906-1700</f>
        <v>206</v>
      </c>
      <c r="CG3322" s="65" t="s">
        <v>3129</v>
      </c>
      <c r="GP3322" s="292" t="s">
        <v>7494</v>
      </c>
    </row>
    <row r="3323" spans="1:198" x14ac:dyDescent="0.25">
      <c r="A3323" s="55">
        <v>3322</v>
      </c>
      <c r="B3323" s="12" t="s">
        <v>7067</v>
      </c>
      <c r="C3323" s="155">
        <v>156</v>
      </c>
      <c r="D3323" s="55" t="s">
        <v>3120</v>
      </c>
      <c r="E3323" s="90" t="s">
        <v>3106</v>
      </c>
      <c r="G3323" s="55" t="s">
        <v>3107</v>
      </c>
      <c r="H3323" s="55">
        <v>2003</v>
      </c>
      <c r="I3323" s="55">
        <v>1996</v>
      </c>
      <c r="J3323" s="55" t="s">
        <v>2688</v>
      </c>
      <c r="K3323" s="55" t="s">
        <v>3109</v>
      </c>
      <c r="L3323" s="55" t="s">
        <v>3108</v>
      </c>
      <c r="M3323" s="90">
        <v>-5.04</v>
      </c>
      <c r="N3323" s="90">
        <v>32.82</v>
      </c>
      <c r="O3323" s="90">
        <v>1235</v>
      </c>
      <c r="R3323" s="55">
        <v>663</v>
      </c>
      <c r="S3323" s="90">
        <v>928</v>
      </c>
      <c r="U3323" s="55" t="s">
        <v>1935</v>
      </c>
      <c r="V3323" s="55" t="s">
        <v>1801</v>
      </c>
      <c r="Y3323" s="55" t="s">
        <v>3114</v>
      </c>
      <c r="Z3323" s="55" t="s">
        <v>1356</v>
      </c>
      <c r="AA3323" s="90" t="s">
        <v>1680</v>
      </c>
      <c r="AH3323" s="55" t="s">
        <v>201</v>
      </c>
      <c r="AI3323" s="168">
        <f>(5.7+6.1)/2</f>
        <v>5.9</v>
      </c>
      <c r="AJ3323" s="90">
        <f>(1.4+2.2)/2</f>
        <v>1.8</v>
      </c>
      <c r="AM3323" s="55" t="s">
        <v>3112</v>
      </c>
      <c r="AN3323" s="185" t="s">
        <v>3119</v>
      </c>
      <c r="AO3323" s="185" t="s">
        <v>5150</v>
      </c>
      <c r="AQ3323" s="55" t="s">
        <v>1550</v>
      </c>
      <c r="AR3323" s="55" t="s">
        <v>1607</v>
      </c>
      <c r="AS3323" s="55" t="s">
        <v>132</v>
      </c>
      <c r="AU3323" s="181" t="s">
        <v>7494</v>
      </c>
      <c r="AV3323" s="185" t="s">
        <v>176</v>
      </c>
      <c r="AX3323" s="185" t="s">
        <v>176</v>
      </c>
      <c r="BG3323" s="191"/>
      <c r="BK3323" s="55" t="s">
        <v>6333</v>
      </c>
      <c r="BM3323" s="192" t="s">
        <v>3113</v>
      </c>
      <c r="BN3323" s="55">
        <v>3</v>
      </c>
      <c r="BO3323" s="55">
        <v>3</v>
      </c>
      <c r="BQ3323" s="55" t="s">
        <v>141</v>
      </c>
      <c r="CB3323" s="66">
        <v>1008.8</v>
      </c>
      <c r="CC3323" s="66">
        <v>1297</v>
      </c>
      <c r="CE3323" s="65">
        <f>1906-1700</f>
        <v>206</v>
      </c>
      <c r="CF3323" s="65">
        <f>1906-1700</f>
        <v>206</v>
      </c>
      <c r="CG3323" s="65" t="s">
        <v>3129</v>
      </c>
      <c r="GP3323" s="292" t="s">
        <v>7494</v>
      </c>
    </row>
    <row r="3324" spans="1:198" x14ac:dyDescent="0.25">
      <c r="A3324" s="55">
        <v>3323</v>
      </c>
      <c r="B3324" s="12" t="s">
        <v>7067</v>
      </c>
      <c r="C3324" s="155">
        <v>156</v>
      </c>
      <c r="D3324" s="55" t="s">
        <v>3120</v>
      </c>
      <c r="E3324" s="90" t="s">
        <v>3106</v>
      </c>
      <c r="G3324" s="55" t="s">
        <v>3107</v>
      </c>
      <c r="H3324" s="55">
        <v>2003</v>
      </c>
      <c r="I3324" s="55">
        <v>1997</v>
      </c>
      <c r="J3324" s="55" t="s">
        <v>2688</v>
      </c>
      <c r="K3324" s="55" t="s">
        <v>3109</v>
      </c>
      <c r="L3324" s="55" t="s">
        <v>3108</v>
      </c>
      <c r="M3324" s="90">
        <v>-5.04</v>
      </c>
      <c r="N3324" s="90">
        <v>32.82</v>
      </c>
      <c r="O3324" s="90">
        <v>1235</v>
      </c>
      <c r="R3324" s="55">
        <v>1396</v>
      </c>
      <c r="S3324" s="90">
        <v>928</v>
      </c>
      <c r="U3324" s="55" t="s">
        <v>1805</v>
      </c>
      <c r="V3324" s="55" t="s">
        <v>1801</v>
      </c>
      <c r="Y3324" s="55" t="s">
        <v>3114</v>
      </c>
      <c r="Z3324" s="55" t="s">
        <v>1356</v>
      </c>
      <c r="AA3324" s="90" t="s">
        <v>1680</v>
      </c>
      <c r="AH3324" s="55" t="s">
        <v>201</v>
      </c>
      <c r="AI3324" s="168">
        <f>(5.7+6.1)/2</f>
        <v>5.9</v>
      </c>
      <c r="AJ3324" s="90">
        <f>(1.4+2.2)/2</f>
        <v>1.8</v>
      </c>
      <c r="AM3324" s="55" t="s">
        <v>3112</v>
      </c>
      <c r="AN3324" s="185" t="s">
        <v>3115</v>
      </c>
      <c r="AO3324" s="185" t="s">
        <v>5150</v>
      </c>
      <c r="AQ3324" s="55" t="s">
        <v>1550</v>
      </c>
      <c r="AR3324" s="55" t="s">
        <v>1607</v>
      </c>
      <c r="AS3324" s="55" t="s">
        <v>132</v>
      </c>
      <c r="AU3324" s="181" t="s">
        <v>7494</v>
      </c>
      <c r="AV3324" s="185" t="s">
        <v>176</v>
      </c>
      <c r="AX3324" s="185" t="s">
        <v>176</v>
      </c>
      <c r="BG3324" s="191"/>
      <c r="BK3324" s="55" t="s">
        <v>6333</v>
      </c>
      <c r="BM3324" s="192" t="s">
        <v>3113</v>
      </c>
      <c r="BN3324" s="55">
        <v>3</v>
      </c>
      <c r="BO3324" s="55">
        <v>3</v>
      </c>
      <c r="BQ3324" s="55" t="s">
        <v>141</v>
      </c>
      <c r="CB3324" s="66">
        <v>2202.9</v>
      </c>
      <c r="CC3324" s="66">
        <v>2713.5</v>
      </c>
      <c r="CE3324" s="65">
        <f>2153.5-1470</f>
        <v>683.5</v>
      </c>
      <c r="CF3324" s="65">
        <f>2153.5-1470</f>
        <v>683.5</v>
      </c>
      <c r="CG3324" s="65" t="s">
        <v>3129</v>
      </c>
      <c r="GP3324" s="292" t="s">
        <v>7494</v>
      </c>
    </row>
    <row r="3325" spans="1:198" x14ac:dyDescent="0.25">
      <c r="A3325" s="55">
        <v>3324</v>
      </c>
      <c r="B3325" s="12" t="s">
        <v>7067</v>
      </c>
      <c r="C3325" s="155">
        <v>156</v>
      </c>
      <c r="D3325" s="55" t="s">
        <v>3120</v>
      </c>
      <c r="E3325" s="90" t="s">
        <v>3106</v>
      </c>
      <c r="G3325" s="55" t="s">
        <v>3107</v>
      </c>
      <c r="H3325" s="55">
        <v>2003</v>
      </c>
      <c r="I3325" s="55">
        <v>1997</v>
      </c>
      <c r="J3325" s="55" t="s">
        <v>2688</v>
      </c>
      <c r="K3325" s="55" t="s">
        <v>3109</v>
      </c>
      <c r="L3325" s="55" t="s">
        <v>3108</v>
      </c>
      <c r="M3325" s="90">
        <v>-5.04</v>
      </c>
      <c r="N3325" s="90">
        <v>32.82</v>
      </c>
      <c r="O3325" s="90">
        <v>1235</v>
      </c>
      <c r="R3325" s="55">
        <v>1396</v>
      </c>
      <c r="S3325" s="90">
        <v>928</v>
      </c>
      <c r="U3325" s="55" t="s">
        <v>1805</v>
      </c>
      <c r="V3325" s="55" t="s">
        <v>1801</v>
      </c>
      <c r="Y3325" s="55" t="s">
        <v>3114</v>
      </c>
      <c r="Z3325" s="55" t="s">
        <v>1356</v>
      </c>
      <c r="AA3325" s="90" t="s">
        <v>1680</v>
      </c>
      <c r="AH3325" s="55" t="s">
        <v>201</v>
      </c>
      <c r="AI3325" s="168">
        <f>(5.7+6.1)/2</f>
        <v>5.9</v>
      </c>
      <c r="AJ3325" s="90">
        <f>(1.4+2.2)/2</f>
        <v>1.8</v>
      </c>
      <c r="AM3325" s="55" t="s">
        <v>3112</v>
      </c>
      <c r="AN3325" s="185" t="s">
        <v>3116</v>
      </c>
      <c r="AO3325" s="185" t="s">
        <v>5150</v>
      </c>
      <c r="AQ3325" s="55" t="s">
        <v>1550</v>
      </c>
      <c r="AR3325" s="55" t="s">
        <v>1607</v>
      </c>
      <c r="AS3325" s="55" t="s">
        <v>132</v>
      </c>
      <c r="AU3325" s="181" t="s">
        <v>7494</v>
      </c>
      <c r="AV3325" s="185" t="s">
        <v>176</v>
      </c>
      <c r="AX3325" s="185" t="s">
        <v>176</v>
      </c>
      <c r="BG3325" s="191"/>
      <c r="BK3325" s="55" t="s">
        <v>6333</v>
      </c>
      <c r="BM3325" s="192" t="s">
        <v>3113</v>
      </c>
      <c r="BN3325" s="55">
        <v>3</v>
      </c>
      <c r="BO3325" s="55">
        <v>3</v>
      </c>
      <c r="BQ3325" s="55" t="s">
        <v>141</v>
      </c>
      <c r="CB3325" s="66">
        <v>2202.9</v>
      </c>
      <c r="CC3325" s="66">
        <v>2375.9</v>
      </c>
      <c r="CE3325" s="65">
        <f>2153.5-1470</f>
        <v>683.5</v>
      </c>
      <c r="CF3325" s="65">
        <f>2153.5-1470</f>
        <v>683.5</v>
      </c>
      <c r="CG3325" s="65" t="s">
        <v>3129</v>
      </c>
      <c r="GP3325" s="292" t="s">
        <v>7494</v>
      </c>
    </row>
    <row r="3326" spans="1:198" x14ac:dyDescent="0.25">
      <c r="A3326" s="55">
        <v>3325</v>
      </c>
      <c r="B3326" s="12" t="s">
        <v>7067</v>
      </c>
      <c r="C3326" s="155">
        <v>156</v>
      </c>
      <c r="D3326" s="55" t="s">
        <v>3120</v>
      </c>
      <c r="E3326" s="90" t="s">
        <v>3106</v>
      </c>
      <c r="G3326" s="55" t="s">
        <v>3107</v>
      </c>
      <c r="H3326" s="55">
        <v>2003</v>
      </c>
      <c r="I3326" s="55">
        <v>1997</v>
      </c>
      <c r="J3326" s="55" t="s">
        <v>2688</v>
      </c>
      <c r="K3326" s="55" t="s">
        <v>3109</v>
      </c>
      <c r="L3326" s="55" t="s">
        <v>3108</v>
      </c>
      <c r="M3326" s="90">
        <v>-5.04</v>
      </c>
      <c r="N3326" s="90">
        <v>32.82</v>
      </c>
      <c r="O3326" s="90">
        <v>1235</v>
      </c>
      <c r="R3326" s="55">
        <v>1396</v>
      </c>
      <c r="S3326" s="90">
        <v>928</v>
      </c>
      <c r="U3326" s="55" t="s">
        <v>1805</v>
      </c>
      <c r="V3326" s="55" t="s">
        <v>1801</v>
      </c>
      <c r="Y3326" s="55" t="s">
        <v>3114</v>
      </c>
      <c r="Z3326" s="55" t="s">
        <v>1356</v>
      </c>
      <c r="AA3326" s="90" t="s">
        <v>1680</v>
      </c>
      <c r="AH3326" s="55" t="s">
        <v>201</v>
      </c>
      <c r="AI3326" s="168">
        <f>(5.7+6.1)/2</f>
        <v>5.9</v>
      </c>
      <c r="AJ3326" s="90">
        <f>(1.4+2.2)/2</f>
        <v>1.8</v>
      </c>
      <c r="AM3326" s="55" t="s">
        <v>3112</v>
      </c>
      <c r="AN3326" s="185" t="s">
        <v>3117</v>
      </c>
      <c r="AO3326" s="185" t="s">
        <v>5150</v>
      </c>
      <c r="AQ3326" s="55" t="s">
        <v>1550</v>
      </c>
      <c r="AR3326" s="55" t="s">
        <v>1607</v>
      </c>
      <c r="AS3326" s="55" t="s">
        <v>132</v>
      </c>
      <c r="AU3326" s="181" t="s">
        <v>7494</v>
      </c>
      <c r="AV3326" s="185" t="s">
        <v>176</v>
      </c>
      <c r="AX3326" s="185" t="s">
        <v>176</v>
      </c>
      <c r="BG3326" s="191"/>
      <c r="BK3326" s="55" t="s">
        <v>6333</v>
      </c>
      <c r="BM3326" s="192" t="s">
        <v>3113</v>
      </c>
      <c r="BN3326" s="55">
        <v>3</v>
      </c>
      <c r="BO3326" s="55">
        <v>3</v>
      </c>
      <c r="BQ3326" s="55" t="s">
        <v>141</v>
      </c>
      <c r="CB3326" s="66">
        <v>2202.9</v>
      </c>
      <c r="CC3326" s="66">
        <v>1890</v>
      </c>
      <c r="CE3326" s="65">
        <f>2153.5-1470</f>
        <v>683.5</v>
      </c>
      <c r="CF3326" s="65">
        <f>2153.5-1470</f>
        <v>683.5</v>
      </c>
      <c r="CG3326" s="65" t="s">
        <v>3129</v>
      </c>
      <c r="GP3326" s="292" t="s">
        <v>7494</v>
      </c>
    </row>
    <row r="3327" spans="1:198" x14ac:dyDescent="0.25">
      <c r="A3327" s="55">
        <v>3326</v>
      </c>
      <c r="B3327" s="12" t="s">
        <v>7067</v>
      </c>
      <c r="C3327" s="155">
        <v>156</v>
      </c>
      <c r="D3327" s="55" t="s">
        <v>3121</v>
      </c>
      <c r="E3327" s="90" t="s">
        <v>3106</v>
      </c>
      <c r="G3327" s="55" t="s">
        <v>3107</v>
      </c>
      <c r="H3327" s="55">
        <v>2003</v>
      </c>
      <c r="I3327" s="55">
        <v>1997</v>
      </c>
      <c r="J3327" s="55" t="s">
        <v>2688</v>
      </c>
      <c r="K3327" s="55" t="s">
        <v>3109</v>
      </c>
      <c r="L3327" s="55" t="s">
        <v>3108</v>
      </c>
      <c r="M3327" s="90">
        <v>-5.04</v>
      </c>
      <c r="N3327" s="90">
        <v>32.82</v>
      </c>
      <c r="O3327" s="90">
        <v>1235</v>
      </c>
      <c r="R3327" s="55">
        <v>1396</v>
      </c>
      <c r="S3327" s="90">
        <v>928</v>
      </c>
      <c r="U3327" s="55" t="s">
        <v>1805</v>
      </c>
      <c r="V3327" s="55" t="s">
        <v>1801</v>
      </c>
      <c r="Y3327" s="55" t="s">
        <v>3114</v>
      </c>
      <c r="Z3327" s="55" t="s">
        <v>1356</v>
      </c>
      <c r="AA3327" s="90" t="s">
        <v>1680</v>
      </c>
      <c r="AH3327" s="55" t="s">
        <v>201</v>
      </c>
      <c r="AI3327" s="168">
        <f>(5.7+6.1)/2</f>
        <v>5.9</v>
      </c>
      <c r="AJ3327" s="90">
        <f>(1.4+2.2)/2</f>
        <v>1.8</v>
      </c>
      <c r="AM3327" s="55" t="s">
        <v>3112</v>
      </c>
      <c r="AN3327" s="185" t="s">
        <v>3118</v>
      </c>
      <c r="AO3327" s="185" t="s">
        <v>5150</v>
      </c>
      <c r="AQ3327" s="55" t="s">
        <v>553</v>
      </c>
      <c r="AR3327" s="55" t="s">
        <v>1607</v>
      </c>
      <c r="AS3327" s="55" t="s">
        <v>132</v>
      </c>
      <c r="AU3327" s="181" t="s">
        <v>7494</v>
      </c>
      <c r="AV3327" s="185" t="s">
        <v>176</v>
      </c>
      <c r="AX3327" s="185" t="s">
        <v>176</v>
      </c>
      <c r="BG3327" s="191"/>
      <c r="BK3327" s="55" t="s">
        <v>6333</v>
      </c>
      <c r="BM3327" s="192" t="s">
        <v>3113</v>
      </c>
      <c r="BN3327" s="55">
        <v>3</v>
      </c>
      <c r="BO3327" s="55">
        <v>3</v>
      </c>
      <c r="BQ3327" s="55" t="s">
        <v>141</v>
      </c>
      <c r="CB3327" s="66">
        <v>2202.9</v>
      </c>
      <c r="CC3327" s="66">
        <v>2071</v>
      </c>
      <c r="CE3327" s="65">
        <f>2153.5-1470</f>
        <v>683.5</v>
      </c>
      <c r="CF3327" s="65">
        <f>2153.5-1470</f>
        <v>683.5</v>
      </c>
      <c r="CG3327" s="65" t="s">
        <v>3129</v>
      </c>
      <c r="GP3327" s="292" t="s">
        <v>7494</v>
      </c>
    </row>
    <row r="3328" spans="1:198" x14ac:dyDescent="0.25">
      <c r="A3328" s="55">
        <v>3327</v>
      </c>
      <c r="B3328" s="12" t="s">
        <v>7067</v>
      </c>
      <c r="C3328" s="155">
        <v>156</v>
      </c>
      <c r="D3328" s="55" t="s">
        <v>3120</v>
      </c>
      <c r="E3328" s="90" t="s">
        <v>3106</v>
      </c>
      <c r="G3328" s="55" t="s">
        <v>3107</v>
      </c>
      <c r="H3328" s="55">
        <v>2003</v>
      </c>
      <c r="I3328" s="55">
        <v>1997</v>
      </c>
      <c r="J3328" s="55" t="s">
        <v>2688</v>
      </c>
      <c r="K3328" s="55" t="s">
        <v>3109</v>
      </c>
      <c r="L3328" s="55" t="s">
        <v>3108</v>
      </c>
      <c r="M3328" s="90">
        <v>-5.04</v>
      </c>
      <c r="N3328" s="90">
        <v>32.82</v>
      </c>
      <c r="O3328" s="90">
        <v>1235</v>
      </c>
      <c r="R3328" s="55">
        <v>1396</v>
      </c>
      <c r="S3328" s="90">
        <v>928</v>
      </c>
      <c r="U3328" s="55" t="s">
        <v>1805</v>
      </c>
      <c r="V3328" s="55" t="s">
        <v>1801</v>
      </c>
      <c r="Y3328" s="55" t="s">
        <v>3114</v>
      </c>
      <c r="Z3328" s="55" t="s">
        <v>1356</v>
      </c>
      <c r="AA3328" s="90" t="s">
        <v>1680</v>
      </c>
      <c r="AH3328" s="55" t="s">
        <v>201</v>
      </c>
      <c r="AI3328" s="168">
        <f>(5.7+6.1)/2</f>
        <v>5.9</v>
      </c>
      <c r="AJ3328" s="90">
        <f>(1.4+2.2)/2</f>
        <v>1.8</v>
      </c>
      <c r="AM3328" s="55" t="s">
        <v>3112</v>
      </c>
      <c r="AN3328" s="185" t="s">
        <v>3119</v>
      </c>
      <c r="AO3328" s="185" t="s">
        <v>5150</v>
      </c>
      <c r="AQ3328" s="55" t="s">
        <v>1550</v>
      </c>
      <c r="AR3328" s="55" t="s">
        <v>1607</v>
      </c>
      <c r="AS3328" s="55" t="s">
        <v>132</v>
      </c>
      <c r="AU3328" s="181" t="s">
        <v>7494</v>
      </c>
      <c r="AV3328" s="185" t="s">
        <v>176</v>
      </c>
      <c r="AX3328" s="185" t="s">
        <v>176</v>
      </c>
      <c r="BG3328" s="191"/>
      <c r="BK3328" s="55" t="s">
        <v>6333</v>
      </c>
      <c r="BM3328" s="192" t="s">
        <v>3113</v>
      </c>
      <c r="BN3328" s="55">
        <v>3</v>
      </c>
      <c r="BO3328" s="55">
        <v>3</v>
      </c>
      <c r="BQ3328" s="55" t="s">
        <v>141</v>
      </c>
      <c r="CB3328" s="66">
        <v>2202.9</v>
      </c>
      <c r="CC3328" s="66">
        <v>1857</v>
      </c>
      <c r="CE3328" s="65">
        <f>2153.5-1470</f>
        <v>683.5</v>
      </c>
      <c r="CF3328" s="65">
        <f>2153.5-1470</f>
        <v>683.5</v>
      </c>
      <c r="CG3328" s="65" t="s">
        <v>3129</v>
      </c>
      <c r="GP3328" s="292" t="s">
        <v>7494</v>
      </c>
    </row>
    <row r="3329" spans="1:198" x14ac:dyDescent="0.25">
      <c r="A3329" s="55">
        <v>3328</v>
      </c>
      <c r="B3329" s="12" t="s">
        <v>7067</v>
      </c>
      <c r="C3329" s="155">
        <v>156</v>
      </c>
      <c r="D3329" s="55" t="s">
        <v>3120</v>
      </c>
      <c r="E3329" s="90" t="s">
        <v>3106</v>
      </c>
      <c r="G3329" s="55" t="s">
        <v>3107</v>
      </c>
      <c r="H3329" s="55">
        <v>2003</v>
      </c>
      <c r="I3329" s="55">
        <v>1998</v>
      </c>
      <c r="J3329" s="55" t="s">
        <v>2688</v>
      </c>
      <c r="K3329" s="55" t="s">
        <v>3109</v>
      </c>
      <c r="L3329" s="55" t="s">
        <v>3108</v>
      </c>
      <c r="M3329" s="90">
        <v>-5.04</v>
      </c>
      <c r="N3329" s="90">
        <v>32.82</v>
      </c>
      <c r="O3329" s="90">
        <v>1235</v>
      </c>
      <c r="R3329" s="55">
        <v>642</v>
      </c>
      <c r="S3329" s="90">
        <v>928</v>
      </c>
      <c r="U3329" s="55" t="s">
        <v>1688</v>
      </c>
      <c r="V3329" s="55" t="s">
        <v>1801</v>
      </c>
      <c r="Y3329" s="55" t="s">
        <v>3114</v>
      </c>
      <c r="Z3329" s="55" t="s">
        <v>1356</v>
      </c>
      <c r="AA3329" s="90" t="s">
        <v>1680</v>
      </c>
      <c r="AH3329" s="55" t="s">
        <v>201</v>
      </c>
      <c r="AI3329" s="168">
        <f>(5.7+6.1)/2</f>
        <v>5.9</v>
      </c>
      <c r="AJ3329" s="90">
        <f>(1.4+2.2)/2</f>
        <v>1.8</v>
      </c>
      <c r="AM3329" s="55" t="s">
        <v>3112</v>
      </c>
      <c r="AN3329" s="185" t="s">
        <v>3115</v>
      </c>
      <c r="AO3329" s="185" t="s">
        <v>5150</v>
      </c>
      <c r="AQ3329" s="55" t="s">
        <v>1550</v>
      </c>
      <c r="AR3329" s="55" t="s">
        <v>1607</v>
      </c>
      <c r="AS3329" s="55" t="s">
        <v>132</v>
      </c>
      <c r="AU3329" s="181" t="s">
        <v>7494</v>
      </c>
      <c r="AV3329" s="185" t="s">
        <v>176</v>
      </c>
      <c r="AX3329" s="185" t="s">
        <v>176</v>
      </c>
      <c r="BG3329" s="191"/>
      <c r="BK3329" s="55" t="s">
        <v>6333</v>
      </c>
      <c r="BM3329" s="192" t="s">
        <v>3113</v>
      </c>
      <c r="BN3329" s="55">
        <v>3</v>
      </c>
      <c r="BO3329" s="55">
        <v>3</v>
      </c>
      <c r="BQ3329" s="55" t="s">
        <v>141</v>
      </c>
      <c r="CB3329" s="66">
        <v>1058.2</v>
      </c>
      <c r="CC3329" s="66">
        <v>78</v>
      </c>
      <c r="CG3329" s="65" t="s">
        <v>3129</v>
      </c>
      <c r="GP3329" s="292" t="s">
        <v>7494</v>
      </c>
    </row>
    <row r="3330" spans="1:198" x14ac:dyDescent="0.25">
      <c r="A3330" s="55">
        <v>3329</v>
      </c>
      <c r="B3330" s="12" t="s">
        <v>7067</v>
      </c>
      <c r="C3330" s="155">
        <v>156</v>
      </c>
      <c r="D3330" s="55" t="s">
        <v>3120</v>
      </c>
      <c r="E3330" s="90" t="s">
        <v>3106</v>
      </c>
      <c r="G3330" s="55" t="s">
        <v>3107</v>
      </c>
      <c r="H3330" s="55">
        <v>2003</v>
      </c>
      <c r="I3330" s="55">
        <v>1998</v>
      </c>
      <c r="J3330" s="55" t="s">
        <v>2688</v>
      </c>
      <c r="K3330" s="55" t="s">
        <v>3109</v>
      </c>
      <c r="L3330" s="55" t="s">
        <v>3108</v>
      </c>
      <c r="M3330" s="90">
        <v>-5.04</v>
      </c>
      <c r="N3330" s="90">
        <v>32.82</v>
      </c>
      <c r="O3330" s="90">
        <v>1235</v>
      </c>
      <c r="R3330" s="55">
        <v>642</v>
      </c>
      <c r="S3330" s="90">
        <v>928</v>
      </c>
      <c r="U3330" s="55" t="s">
        <v>1688</v>
      </c>
      <c r="V3330" s="55" t="s">
        <v>1801</v>
      </c>
      <c r="Y3330" s="55" t="s">
        <v>3114</v>
      </c>
      <c r="Z3330" s="55" t="s">
        <v>1356</v>
      </c>
      <c r="AA3330" s="90" t="s">
        <v>1680</v>
      </c>
      <c r="AH3330" s="55" t="s">
        <v>201</v>
      </c>
      <c r="AI3330" s="168">
        <f>(5.7+6.1)/2</f>
        <v>5.9</v>
      </c>
      <c r="AJ3330" s="90">
        <f>(1.4+2.2)/2</f>
        <v>1.8</v>
      </c>
      <c r="AM3330" s="55" t="s">
        <v>3112</v>
      </c>
      <c r="AN3330" s="185" t="s">
        <v>3116</v>
      </c>
      <c r="AO3330" s="185" t="s">
        <v>5150</v>
      </c>
      <c r="AQ3330" s="55" t="s">
        <v>1550</v>
      </c>
      <c r="AR3330" s="55" t="s">
        <v>1607</v>
      </c>
      <c r="AS3330" s="55" t="s">
        <v>132</v>
      </c>
      <c r="AU3330" s="181" t="s">
        <v>7494</v>
      </c>
      <c r="AV3330" s="185" t="s">
        <v>176</v>
      </c>
      <c r="AX3330" s="185" t="s">
        <v>176</v>
      </c>
      <c r="BG3330" s="191"/>
      <c r="BK3330" s="55" t="s">
        <v>6333</v>
      </c>
      <c r="BM3330" s="192" t="s">
        <v>3113</v>
      </c>
      <c r="BN3330" s="55">
        <v>3</v>
      </c>
      <c r="BO3330" s="55">
        <v>3</v>
      </c>
      <c r="BQ3330" s="55" t="s">
        <v>141</v>
      </c>
      <c r="CB3330" s="66">
        <v>1058.2</v>
      </c>
      <c r="CC3330" s="66">
        <v>358</v>
      </c>
      <c r="CG3330" s="65" t="s">
        <v>3129</v>
      </c>
      <c r="GP3330" s="292" t="s">
        <v>7494</v>
      </c>
    </row>
    <row r="3331" spans="1:198" x14ac:dyDescent="0.25">
      <c r="A3331" s="55">
        <v>3330</v>
      </c>
      <c r="B3331" s="12" t="s">
        <v>7067</v>
      </c>
      <c r="C3331" s="155">
        <v>156</v>
      </c>
      <c r="D3331" s="55" t="s">
        <v>3120</v>
      </c>
      <c r="E3331" s="90" t="s">
        <v>3106</v>
      </c>
      <c r="G3331" s="55" t="s">
        <v>3107</v>
      </c>
      <c r="H3331" s="55">
        <v>2003</v>
      </c>
      <c r="I3331" s="55">
        <v>1998</v>
      </c>
      <c r="J3331" s="55" t="s">
        <v>2688</v>
      </c>
      <c r="K3331" s="55" t="s">
        <v>3109</v>
      </c>
      <c r="L3331" s="55" t="s">
        <v>3108</v>
      </c>
      <c r="M3331" s="90">
        <v>-5.04</v>
      </c>
      <c r="N3331" s="90">
        <v>32.82</v>
      </c>
      <c r="O3331" s="90">
        <v>1235</v>
      </c>
      <c r="R3331" s="55">
        <v>642</v>
      </c>
      <c r="S3331" s="90">
        <v>928</v>
      </c>
      <c r="U3331" s="55" t="s">
        <v>1688</v>
      </c>
      <c r="V3331" s="55" t="s">
        <v>1801</v>
      </c>
      <c r="Y3331" s="55" t="s">
        <v>3114</v>
      </c>
      <c r="Z3331" s="55" t="s">
        <v>1356</v>
      </c>
      <c r="AA3331" s="90" t="s">
        <v>1680</v>
      </c>
      <c r="AH3331" s="55" t="s">
        <v>201</v>
      </c>
      <c r="AI3331" s="168">
        <f>(5.7+6.1)/2</f>
        <v>5.9</v>
      </c>
      <c r="AJ3331" s="90">
        <f>(1.4+2.2)/2</f>
        <v>1.8</v>
      </c>
      <c r="AM3331" s="55" t="s">
        <v>3112</v>
      </c>
      <c r="AN3331" s="185" t="s">
        <v>3117</v>
      </c>
      <c r="AO3331" s="185" t="s">
        <v>5150</v>
      </c>
      <c r="AQ3331" s="55" t="s">
        <v>1550</v>
      </c>
      <c r="AR3331" s="55" t="s">
        <v>1607</v>
      </c>
      <c r="AS3331" s="55" t="s">
        <v>132</v>
      </c>
      <c r="AU3331" s="181" t="s">
        <v>7494</v>
      </c>
      <c r="AV3331" s="185" t="s">
        <v>176</v>
      </c>
      <c r="AX3331" s="185" t="s">
        <v>176</v>
      </c>
      <c r="BG3331" s="191"/>
      <c r="BK3331" s="55" t="s">
        <v>6333</v>
      </c>
      <c r="BM3331" s="192" t="s">
        <v>3113</v>
      </c>
      <c r="BN3331" s="55">
        <v>3</v>
      </c>
      <c r="BO3331" s="55">
        <v>3</v>
      </c>
      <c r="BQ3331" s="55" t="s">
        <v>141</v>
      </c>
      <c r="CB3331" s="66">
        <v>1058.2</v>
      </c>
      <c r="CC3331" s="66">
        <v>193.5</v>
      </c>
      <c r="CG3331" s="65" t="s">
        <v>3129</v>
      </c>
      <c r="GP3331" s="292" t="s">
        <v>7494</v>
      </c>
    </row>
    <row r="3332" spans="1:198" x14ac:dyDescent="0.25">
      <c r="A3332" s="55">
        <v>3331</v>
      </c>
      <c r="B3332" s="12" t="s">
        <v>7067</v>
      </c>
      <c r="C3332" s="155">
        <v>156</v>
      </c>
      <c r="D3332" s="55" t="s">
        <v>3121</v>
      </c>
      <c r="E3332" s="90" t="s">
        <v>3106</v>
      </c>
      <c r="G3332" s="55" t="s">
        <v>3107</v>
      </c>
      <c r="H3332" s="55">
        <v>2003</v>
      </c>
      <c r="I3332" s="55">
        <v>1998</v>
      </c>
      <c r="J3332" s="55" t="s">
        <v>2688</v>
      </c>
      <c r="K3332" s="55" t="s">
        <v>3109</v>
      </c>
      <c r="L3332" s="55" t="s">
        <v>3108</v>
      </c>
      <c r="M3332" s="90">
        <v>-5.04</v>
      </c>
      <c r="N3332" s="90">
        <v>32.82</v>
      </c>
      <c r="O3332" s="90">
        <v>1235</v>
      </c>
      <c r="R3332" s="55">
        <v>642</v>
      </c>
      <c r="S3332" s="90">
        <v>928</v>
      </c>
      <c r="U3332" s="55" t="s">
        <v>1688</v>
      </c>
      <c r="V3332" s="55" t="s">
        <v>1801</v>
      </c>
      <c r="Y3332" s="55" t="s">
        <v>3114</v>
      </c>
      <c r="Z3332" s="55" t="s">
        <v>1356</v>
      </c>
      <c r="AA3332" s="90" t="s">
        <v>1680</v>
      </c>
      <c r="AH3332" s="55" t="s">
        <v>201</v>
      </c>
      <c r="AI3332" s="168">
        <f>(5.7+6.1)/2</f>
        <v>5.9</v>
      </c>
      <c r="AJ3332" s="90">
        <f>(1.4+2.2)/2</f>
        <v>1.8</v>
      </c>
      <c r="AM3332" s="55" t="s">
        <v>3112</v>
      </c>
      <c r="AN3332" s="185" t="s">
        <v>3118</v>
      </c>
      <c r="AO3332" s="185" t="s">
        <v>5150</v>
      </c>
      <c r="AQ3332" s="55" t="s">
        <v>553</v>
      </c>
      <c r="AR3332" s="55" t="s">
        <v>1607</v>
      </c>
      <c r="AS3332" s="55" t="s">
        <v>132</v>
      </c>
      <c r="AU3332" s="181" t="s">
        <v>7494</v>
      </c>
      <c r="AV3332" s="185" t="s">
        <v>176</v>
      </c>
      <c r="AX3332" s="185" t="s">
        <v>176</v>
      </c>
      <c r="BG3332" s="191"/>
      <c r="BK3332" s="55" t="s">
        <v>6333</v>
      </c>
      <c r="BM3332" s="192" t="s">
        <v>3113</v>
      </c>
      <c r="BN3332" s="55">
        <v>3</v>
      </c>
      <c r="BO3332" s="55">
        <v>3</v>
      </c>
      <c r="BQ3332" s="55" t="s">
        <v>141</v>
      </c>
      <c r="CB3332" s="66">
        <v>1058.2</v>
      </c>
      <c r="CC3332" s="66">
        <v>29</v>
      </c>
      <c r="CG3332" s="65" t="s">
        <v>3129</v>
      </c>
      <c r="GP3332" s="292" t="s">
        <v>7494</v>
      </c>
    </row>
    <row r="3333" spans="1:198" x14ac:dyDescent="0.25">
      <c r="A3333" s="55">
        <v>3332</v>
      </c>
      <c r="B3333" s="12" t="s">
        <v>7067</v>
      </c>
      <c r="C3333" s="155">
        <v>156</v>
      </c>
      <c r="D3333" s="55" t="s">
        <v>3120</v>
      </c>
      <c r="E3333" s="90" t="s">
        <v>3106</v>
      </c>
      <c r="G3333" s="55" t="s">
        <v>3107</v>
      </c>
      <c r="H3333" s="55">
        <v>2003</v>
      </c>
      <c r="I3333" s="55">
        <v>1998</v>
      </c>
      <c r="J3333" s="55" t="s">
        <v>2688</v>
      </c>
      <c r="K3333" s="55" t="s">
        <v>3109</v>
      </c>
      <c r="L3333" s="55" t="s">
        <v>3108</v>
      </c>
      <c r="M3333" s="90">
        <v>-5.04</v>
      </c>
      <c r="N3333" s="90">
        <v>32.82</v>
      </c>
      <c r="O3333" s="90">
        <v>1235</v>
      </c>
      <c r="R3333" s="55">
        <v>642</v>
      </c>
      <c r="S3333" s="90">
        <v>928</v>
      </c>
      <c r="U3333" s="55" t="s">
        <v>1688</v>
      </c>
      <c r="V3333" s="55" t="s">
        <v>1801</v>
      </c>
      <c r="Y3333" s="55" t="s">
        <v>3114</v>
      </c>
      <c r="Z3333" s="55" t="s">
        <v>1356</v>
      </c>
      <c r="AA3333" s="90" t="s">
        <v>1680</v>
      </c>
      <c r="AH3333" s="55" t="s">
        <v>201</v>
      </c>
      <c r="AI3333" s="168">
        <f>(5.7+6.1)/2</f>
        <v>5.9</v>
      </c>
      <c r="AJ3333" s="90">
        <f>(1.4+2.2)/2</f>
        <v>1.8</v>
      </c>
      <c r="AM3333" s="55" t="s">
        <v>3112</v>
      </c>
      <c r="AN3333" s="185" t="s">
        <v>3119</v>
      </c>
      <c r="AO3333" s="185" t="s">
        <v>5150</v>
      </c>
      <c r="AQ3333" s="55" t="s">
        <v>1550</v>
      </c>
      <c r="AR3333" s="55" t="s">
        <v>1607</v>
      </c>
      <c r="AS3333" s="55" t="s">
        <v>132</v>
      </c>
      <c r="AU3333" s="181" t="s">
        <v>7494</v>
      </c>
      <c r="AV3333" s="185" t="s">
        <v>176</v>
      </c>
      <c r="AX3333" s="185" t="s">
        <v>176</v>
      </c>
      <c r="BG3333" s="191"/>
      <c r="BK3333" s="55" t="s">
        <v>6333</v>
      </c>
      <c r="BM3333" s="192" t="s">
        <v>3113</v>
      </c>
      <c r="BN3333" s="55">
        <v>3</v>
      </c>
      <c r="BO3333" s="55">
        <v>3</v>
      </c>
      <c r="BQ3333" s="55" t="s">
        <v>141</v>
      </c>
      <c r="CB3333" s="66">
        <v>1058.2</v>
      </c>
      <c r="CC3333" s="66">
        <v>300.58999999999997</v>
      </c>
      <c r="CG3333" s="65" t="s">
        <v>3129</v>
      </c>
      <c r="GP3333" s="292" t="s">
        <v>7494</v>
      </c>
    </row>
    <row r="3334" spans="1:198" x14ac:dyDescent="0.25">
      <c r="A3334" s="55">
        <v>3333</v>
      </c>
      <c r="B3334" s="12" t="s">
        <v>7067</v>
      </c>
      <c r="C3334" s="155">
        <v>156</v>
      </c>
      <c r="D3334" s="55" t="s">
        <v>3120</v>
      </c>
      <c r="E3334" s="90" t="s">
        <v>3106</v>
      </c>
      <c r="G3334" s="55" t="s">
        <v>3107</v>
      </c>
      <c r="H3334" s="55">
        <v>2003</v>
      </c>
      <c r="I3334" s="55">
        <v>2001</v>
      </c>
      <c r="J3334" s="55" t="s">
        <v>2688</v>
      </c>
      <c r="K3334" s="55" t="s">
        <v>3109</v>
      </c>
      <c r="L3334" s="55" t="s">
        <v>3108</v>
      </c>
      <c r="M3334" s="90">
        <v>-5.04</v>
      </c>
      <c r="N3334" s="90">
        <v>32.82</v>
      </c>
      <c r="O3334" s="90">
        <v>1235</v>
      </c>
      <c r="R3334" s="55">
        <v>975</v>
      </c>
      <c r="S3334" s="90">
        <v>928</v>
      </c>
      <c r="U3334" s="55" t="s">
        <v>1805</v>
      </c>
      <c r="V3334" s="55" t="s">
        <v>1801</v>
      </c>
      <c r="Y3334" s="55" t="s">
        <v>3114</v>
      </c>
      <c r="Z3334" s="55" t="s">
        <v>1356</v>
      </c>
      <c r="AA3334" s="90" t="s">
        <v>1680</v>
      </c>
      <c r="AH3334" s="55" t="s">
        <v>201</v>
      </c>
      <c r="AI3334" s="168">
        <f>(5.7+6.1)/2</f>
        <v>5.9</v>
      </c>
      <c r="AJ3334" s="90">
        <f>(1.4+2.2)/2</f>
        <v>1.8</v>
      </c>
      <c r="AM3334" s="55" t="s">
        <v>3112</v>
      </c>
      <c r="AN3334" s="185" t="s">
        <v>3115</v>
      </c>
      <c r="AO3334" s="185" t="s">
        <v>5150</v>
      </c>
      <c r="AQ3334" s="55" t="s">
        <v>1550</v>
      </c>
      <c r="AR3334" s="55" t="s">
        <v>1607</v>
      </c>
      <c r="AS3334" s="55" t="s">
        <v>132</v>
      </c>
      <c r="AU3334" s="181" t="s">
        <v>7494</v>
      </c>
      <c r="AV3334" s="185" t="s">
        <v>176</v>
      </c>
      <c r="AX3334" s="185" t="s">
        <v>176</v>
      </c>
      <c r="BK3334" s="55" t="s">
        <v>6333</v>
      </c>
      <c r="BM3334" s="192" t="s">
        <v>3113</v>
      </c>
      <c r="BN3334" s="55">
        <v>3</v>
      </c>
      <c r="BO3334" s="55">
        <v>3</v>
      </c>
      <c r="BQ3334" s="55" t="s">
        <v>141</v>
      </c>
      <c r="CB3334" s="66">
        <v>621.76</v>
      </c>
      <c r="CC3334" s="66">
        <v>2021.77</v>
      </c>
      <c r="CE3334" s="65">
        <f>2013.5-1585</f>
        <v>428.5</v>
      </c>
      <c r="CF3334" s="65">
        <f>2013.5-1585</f>
        <v>428.5</v>
      </c>
      <c r="CG3334" s="65" t="s">
        <v>3129</v>
      </c>
      <c r="GP3334" s="292" t="s">
        <v>7494</v>
      </c>
    </row>
    <row r="3335" spans="1:198" x14ac:dyDescent="0.25">
      <c r="A3335" s="55">
        <v>3334</v>
      </c>
      <c r="B3335" s="12" t="s">
        <v>7067</v>
      </c>
      <c r="C3335" s="155">
        <v>156</v>
      </c>
      <c r="D3335" s="55" t="s">
        <v>3120</v>
      </c>
      <c r="E3335" s="90" t="s">
        <v>3106</v>
      </c>
      <c r="G3335" s="55" t="s">
        <v>3107</v>
      </c>
      <c r="H3335" s="55">
        <v>2003</v>
      </c>
      <c r="I3335" s="55">
        <v>2001</v>
      </c>
      <c r="J3335" s="55" t="s">
        <v>2688</v>
      </c>
      <c r="K3335" s="55" t="s">
        <v>3109</v>
      </c>
      <c r="L3335" s="55" t="s">
        <v>3108</v>
      </c>
      <c r="M3335" s="90">
        <v>-5.04</v>
      </c>
      <c r="N3335" s="90">
        <v>32.82</v>
      </c>
      <c r="O3335" s="90">
        <v>1235</v>
      </c>
      <c r="R3335" s="55">
        <v>975</v>
      </c>
      <c r="S3335" s="90">
        <v>928</v>
      </c>
      <c r="U3335" s="55" t="s">
        <v>1805</v>
      </c>
      <c r="V3335" s="55" t="s">
        <v>1801</v>
      </c>
      <c r="Y3335" s="55" t="s">
        <v>3114</v>
      </c>
      <c r="Z3335" s="55" t="s">
        <v>1356</v>
      </c>
      <c r="AA3335" s="90" t="s">
        <v>1680</v>
      </c>
      <c r="AH3335" s="55" t="s">
        <v>201</v>
      </c>
      <c r="AI3335" s="168">
        <f>(5.7+6.1)/2</f>
        <v>5.9</v>
      </c>
      <c r="AJ3335" s="90">
        <f>(1.4+2.2)/2</f>
        <v>1.8</v>
      </c>
      <c r="AM3335" s="55" t="s">
        <v>3112</v>
      </c>
      <c r="AN3335" s="185" t="s">
        <v>3116</v>
      </c>
      <c r="AO3335" s="185" t="s">
        <v>5150</v>
      </c>
      <c r="AQ3335" s="55" t="s">
        <v>1550</v>
      </c>
      <c r="AR3335" s="55" t="s">
        <v>1607</v>
      </c>
      <c r="AS3335" s="55" t="s">
        <v>132</v>
      </c>
      <c r="AU3335" s="181" t="s">
        <v>7494</v>
      </c>
      <c r="AV3335" s="185" t="s">
        <v>176</v>
      </c>
      <c r="AX3335" s="185" t="s">
        <v>176</v>
      </c>
      <c r="BK3335" s="55" t="s">
        <v>6333</v>
      </c>
      <c r="BM3335" s="192" t="s">
        <v>3113</v>
      </c>
      <c r="BN3335" s="55">
        <v>3</v>
      </c>
      <c r="BO3335" s="55">
        <v>3</v>
      </c>
      <c r="BQ3335" s="55" t="s">
        <v>141</v>
      </c>
      <c r="CB3335" s="66">
        <v>621.76</v>
      </c>
      <c r="CC3335" s="66">
        <v>1700.59</v>
      </c>
      <c r="CE3335" s="65">
        <f>2013.5-1585</f>
        <v>428.5</v>
      </c>
      <c r="CF3335" s="65">
        <f>2013.5-1585</f>
        <v>428.5</v>
      </c>
      <c r="CG3335" s="65" t="s">
        <v>3129</v>
      </c>
      <c r="GP3335" s="292" t="s">
        <v>7494</v>
      </c>
    </row>
    <row r="3336" spans="1:198" x14ac:dyDescent="0.25">
      <c r="A3336" s="55">
        <v>3335</v>
      </c>
      <c r="B3336" s="12" t="s">
        <v>7067</v>
      </c>
      <c r="C3336" s="155">
        <v>156</v>
      </c>
      <c r="D3336" s="55" t="s">
        <v>3120</v>
      </c>
      <c r="E3336" s="90" t="s">
        <v>3106</v>
      </c>
      <c r="G3336" s="55" t="s">
        <v>3107</v>
      </c>
      <c r="H3336" s="55">
        <v>2003</v>
      </c>
      <c r="I3336" s="55">
        <v>2001</v>
      </c>
      <c r="J3336" s="55" t="s">
        <v>2688</v>
      </c>
      <c r="K3336" s="55" t="s">
        <v>3109</v>
      </c>
      <c r="L3336" s="55" t="s">
        <v>3108</v>
      </c>
      <c r="M3336" s="90">
        <v>-5.04</v>
      </c>
      <c r="N3336" s="90">
        <v>32.82</v>
      </c>
      <c r="O3336" s="90">
        <v>1235</v>
      </c>
      <c r="R3336" s="55">
        <v>975</v>
      </c>
      <c r="S3336" s="90">
        <v>928</v>
      </c>
      <c r="U3336" s="55" t="s">
        <v>1805</v>
      </c>
      <c r="V3336" s="55" t="s">
        <v>1801</v>
      </c>
      <c r="Y3336" s="55" t="s">
        <v>3114</v>
      </c>
      <c r="Z3336" s="55" t="s">
        <v>1356</v>
      </c>
      <c r="AA3336" s="90" t="s">
        <v>1680</v>
      </c>
      <c r="AH3336" s="55" t="s">
        <v>201</v>
      </c>
      <c r="AI3336" s="168">
        <f>(5.7+6.1)/2</f>
        <v>5.9</v>
      </c>
      <c r="AJ3336" s="90">
        <f>(1.4+2.2)/2</f>
        <v>1.8</v>
      </c>
      <c r="AM3336" s="55" t="s">
        <v>3112</v>
      </c>
      <c r="AN3336" s="185" t="s">
        <v>3117</v>
      </c>
      <c r="AO3336" s="185" t="s">
        <v>5150</v>
      </c>
      <c r="AQ3336" s="55" t="s">
        <v>1550</v>
      </c>
      <c r="AR3336" s="55" t="s">
        <v>1607</v>
      </c>
      <c r="AS3336" s="55" t="s">
        <v>132</v>
      </c>
      <c r="AU3336" s="181" t="s">
        <v>7494</v>
      </c>
      <c r="AV3336" s="185" t="s">
        <v>176</v>
      </c>
      <c r="AX3336" s="185" t="s">
        <v>176</v>
      </c>
      <c r="BK3336" s="55" t="s">
        <v>6333</v>
      </c>
      <c r="BM3336" s="192" t="s">
        <v>3113</v>
      </c>
      <c r="BN3336" s="55">
        <v>3</v>
      </c>
      <c r="BO3336" s="55">
        <v>3</v>
      </c>
      <c r="BQ3336" s="55" t="s">
        <v>141</v>
      </c>
      <c r="CB3336" s="66">
        <v>621.76</v>
      </c>
      <c r="CC3336" s="66">
        <v>1091.17</v>
      </c>
      <c r="CE3336" s="65">
        <f>2013.5-1585</f>
        <v>428.5</v>
      </c>
      <c r="CF3336" s="65">
        <f>2013.5-1585</f>
        <v>428.5</v>
      </c>
      <c r="CG3336" s="65" t="s">
        <v>3129</v>
      </c>
      <c r="GP3336" s="292" t="s">
        <v>7494</v>
      </c>
    </row>
    <row r="3337" spans="1:198" x14ac:dyDescent="0.25">
      <c r="A3337" s="55">
        <v>3336</v>
      </c>
      <c r="B3337" s="12" t="s">
        <v>7067</v>
      </c>
      <c r="C3337" s="155">
        <v>156</v>
      </c>
      <c r="D3337" s="55" t="s">
        <v>3121</v>
      </c>
      <c r="E3337" s="90" t="s">
        <v>3106</v>
      </c>
      <c r="G3337" s="55" t="s">
        <v>3107</v>
      </c>
      <c r="H3337" s="55">
        <v>2003</v>
      </c>
      <c r="I3337" s="55">
        <v>2001</v>
      </c>
      <c r="J3337" s="55" t="s">
        <v>2688</v>
      </c>
      <c r="K3337" s="55" t="s">
        <v>3109</v>
      </c>
      <c r="L3337" s="55" t="s">
        <v>3108</v>
      </c>
      <c r="M3337" s="90">
        <v>-5.04</v>
      </c>
      <c r="N3337" s="90">
        <v>32.82</v>
      </c>
      <c r="O3337" s="90">
        <v>1235</v>
      </c>
      <c r="R3337" s="55">
        <v>975</v>
      </c>
      <c r="S3337" s="90">
        <v>928</v>
      </c>
      <c r="U3337" s="55" t="s">
        <v>1805</v>
      </c>
      <c r="V3337" s="55" t="s">
        <v>1801</v>
      </c>
      <c r="Y3337" s="55" t="s">
        <v>3114</v>
      </c>
      <c r="Z3337" s="55" t="s">
        <v>1356</v>
      </c>
      <c r="AA3337" s="90" t="s">
        <v>1680</v>
      </c>
      <c r="AH3337" s="55" t="s">
        <v>201</v>
      </c>
      <c r="AI3337" s="168">
        <f>(5.7+6.1)/2</f>
        <v>5.9</v>
      </c>
      <c r="AJ3337" s="90">
        <f>(1.4+2.2)/2</f>
        <v>1.8</v>
      </c>
      <c r="AM3337" s="55" t="s">
        <v>3112</v>
      </c>
      <c r="AN3337" s="185" t="s">
        <v>3118</v>
      </c>
      <c r="AO3337" s="185" t="s">
        <v>5150</v>
      </c>
      <c r="AQ3337" s="55" t="s">
        <v>553</v>
      </c>
      <c r="AR3337" s="55" t="s">
        <v>1607</v>
      </c>
      <c r="AS3337" s="55" t="s">
        <v>132</v>
      </c>
      <c r="AU3337" s="181" t="s">
        <v>7494</v>
      </c>
      <c r="AV3337" s="185" t="s">
        <v>176</v>
      </c>
      <c r="AX3337" s="185" t="s">
        <v>176</v>
      </c>
      <c r="BK3337" s="55" t="s">
        <v>6333</v>
      </c>
      <c r="BM3337" s="192" t="s">
        <v>3113</v>
      </c>
      <c r="BN3337" s="55">
        <v>3</v>
      </c>
      <c r="BO3337" s="55">
        <v>3</v>
      </c>
      <c r="BQ3337" s="55" t="s">
        <v>141</v>
      </c>
      <c r="CB3337" s="66">
        <v>621.76</v>
      </c>
      <c r="CC3337" s="66">
        <v>827.64</v>
      </c>
      <c r="CE3337" s="65">
        <f>2013.5-1585</f>
        <v>428.5</v>
      </c>
      <c r="CF3337" s="65">
        <f>2013.5-1585</f>
        <v>428.5</v>
      </c>
      <c r="CG3337" s="65" t="s">
        <v>3129</v>
      </c>
      <c r="GP3337" s="292" t="s">
        <v>7494</v>
      </c>
    </row>
    <row r="3338" spans="1:198" x14ac:dyDescent="0.25">
      <c r="A3338" s="55">
        <v>3337</v>
      </c>
      <c r="B3338" s="12" t="s">
        <v>7067</v>
      </c>
      <c r="C3338" s="155">
        <v>156</v>
      </c>
      <c r="D3338" s="55" t="s">
        <v>3120</v>
      </c>
      <c r="E3338" s="90" t="s">
        <v>3106</v>
      </c>
      <c r="G3338" s="55" t="s">
        <v>3107</v>
      </c>
      <c r="H3338" s="55">
        <v>2003</v>
      </c>
      <c r="I3338" s="55">
        <v>2001</v>
      </c>
      <c r="J3338" s="55" t="s">
        <v>2688</v>
      </c>
      <c r="K3338" s="55" t="s">
        <v>3109</v>
      </c>
      <c r="L3338" s="55" t="s">
        <v>3108</v>
      </c>
      <c r="M3338" s="90">
        <v>-5.04</v>
      </c>
      <c r="N3338" s="90">
        <v>32.82</v>
      </c>
      <c r="O3338" s="90">
        <v>1235</v>
      </c>
      <c r="R3338" s="55">
        <v>975</v>
      </c>
      <c r="S3338" s="90">
        <v>928</v>
      </c>
      <c r="U3338" s="55" t="s">
        <v>1805</v>
      </c>
      <c r="V3338" s="55" t="s">
        <v>1801</v>
      </c>
      <c r="Y3338" s="55" t="s">
        <v>3114</v>
      </c>
      <c r="Z3338" s="55" t="s">
        <v>1356</v>
      </c>
      <c r="AA3338" s="90" t="s">
        <v>1680</v>
      </c>
      <c r="AH3338" s="55" t="s">
        <v>201</v>
      </c>
      <c r="AI3338" s="168">
        <f>(5.7+6.1)/2</f>
        <v>5.9</v>
      </c>
      <c r="AJ3338" s="90">
        <f>(1.4+2.2)/2</f>
        <v>1.8</v>
      </c>
      <c r="AM3338" s="55" t="s">
        <v>3112</v>
      </c>
      <c r="AN3338" s="185" t="s">
        <v>3119</v>
      </c>
      <c r="AO3338" s="185" t="s">
        <v>5150</v>
      </c>
      <c r="AQ3338" s="55" t="s">
        <v>1550</v>
      </c>
      <c r="AR3338" s="55" t="s">
        <v>1607</v>
      </c>
      <c r="AS3338" s="55" t="s">
        <v>132</v>
      </c>
      <c r="AU3338" s="181" t="s">
        <v>7494</v>
      </c>
      <c r="AV3338" s="185" t="s">
        <v>176</v>
      </c>
      <c r="AX3338" s="185" t="s">
        <v>176</v>
      </c>
      <c r="BK3338" s="55" t="s">
        <v>6333</v>
      </c>
      <c r="BM3338" s="192" t="s">
        <v>3113</v>
      </c>
      <c r="BN3338" s="55">
        <v>3</v>
      </c>
      <c r="BO3338" s="55">
        <v>3</v>
      </c>
      <c r="BQ3338" s="55" t="s">
        <v>141</v>
      </c>
      <c r="CB3338" s="66">
        <v>621.76</v>
      </c>
      <c r="CC3338" s="66">
        <v>901.76</v>
      </c>
      <c r="CE3338" s="65">
        <f>2013.5-1585</f>
        <v>428.5</v>
      </c>
      <c r="CF3338" s="65">
        <f>2013.5-1585</f>
        <v>428.5</v>
      </c>
      <c r="CG3338" s="65" t="s">
        <v>3129</v>
      </c>
      <c r="GP3338" s="292" t="s">
        <v>7494</v>
      </c>
    </row>
    <row r="3339" spans="1:198" x14ac:dyDescent="0.25">
      <c r="A3339" s="55">
        <v>3338</v>
      </c>
      <c r="B3339" s="12" t="s">
        <v>7067</v>
      </c>
      <c r="C3339" s="155">
        <v>156</v>
      </c>
      <c r="D3339" s="55" t="s">
        <v>3122</v>
      </c>
      <c r="E3339" s="90" t="s">
        <v>3106</v>
      </c>
      <c r="G3339" s="55" t="s">
        <v>3107</v>
      </c>
      <c r="H3339" s="55">
        <v>2003</v>
      </c>
      <c r="I3339" s="55">
        <v>2001</v>
      </c>
      <c r="J3339" s="55" t="s">
        <v>2688</v>
      </c>
      <c r="K3339" s="55" t="s">
        <v>3109</v>
      </c>
      <c r="L3339" s="55" t="s">
        <v>3108</v>
      </c>
      <c r="M3339" s="90">
        <v>-5.04</v>
      </c>
      <c r="N3339" s="90">
        <v>32.82</v>
      </c>
      <c r="O3339" s="90">
        <v>1235</v>
      </c>
      <c r="R3339" s="55">
        <v>975</v>
      </c>
      <c r="S3339" s="90">
        <v>928</v>
      </c>
      <c r="U3339" s="55" t="s">
        <v>1688</v>
      </c>
      <c r="V3339" s="55" t="s">
        <v>1801</v>
      </c>
      <c r="Y3339" s="55" t="s">
        <v>3114</v>
      </c>
      <c r="Z3339" s="55" t="s">
        <v>1356</v>
      </c>
      <c r="AA3339" s="90" t="s">
        <v>1680</v>
      </c>
      <c r="AH3339" s="55" t="s">
        <v>201</v>
      </c>
      <c r="AI3339" s="168">
        <f>(5.7+6.1)/2</f>
        <v>5.9</v>
      </c>
      <c r="AJ3339" s="90">
        <f>(1.4+2.2)/2</f>
        <v>1.8</v>
      </c>
      <c r="AM3339" s="55" t="s">
        <v>3112</v>
      </c>
      <c r="AN3339" s="185" t="s">
        <v>3115</v>
      </c>
      <c r="AO3339" s="185" t="s">
        <v>5150</v>
      </c>
      <c r="AQ3339" s="55" t="s">
        <v>1550</v>
      </c>
      <c r="AR3339" s="55" t="s">
        <v>1607</v>
      </c>
      <c r="AS3339" s="55" t="s">
        <v>132</v>
      </c>
      <c r="AU3339" s="181" t="s">
        <v>7494</v>
      </c>
      <c r="AV3339" s="185" t="s">
        <v>176</v>
      </c>
      <c r="AX3339" s="185" t="s">
        <v>176</v>
      </c>
      <c r="BK3339" s="55" t="s">
        <v>6333</v>
      </c>
      <c r="BM3339" s="192" t="s">
        <v>2702</v>
      </c>
      <c r="BN3339" s="55">
        <v>3</v>
      </c>
      <c r="BO3339" s="55">
        <v>3</v>
      </c>
      <c r="BQ3339" s="55" t="s">
        <v>141</v>
      </c>
      <c r="CB3339" s="66">
        <v>819.4</v>
      </c>
      <c r="CC3339" s="66">
        <v>2021.77</v>
      </c>
      <c r="CE3339" s="65">
        <v>428.5</v>
      </c>
      <c r="CF3339" s="65">
        <v>428.5</v>
      </c>
      <c r="CG3339" s="65" t="s">
        <v>3129</v>
      </c>
      <c r="GP3339" s="292" t="s">
        <v>7494</v>
      </c>
    </row>
    <row r="3340" spans="1:198" x14ac:dyDescent="0.25">
      <c r="A3340" s="55">
        <v>3339</v>
      </c>
      <c r="B3340" s="12" t="s">
        <v>7067</v>
      </c>
      <c r="C3340" s="155">
        <v>156</v>
      </c>
      <c r="D3340" s="55" t="s">
        <v>3122</v>
      </c>
      <c r="E3340" s="90" t="s">
        <v>3106</v>
      </c>
      <c r="G3340" s="55" t="s">
        <v>3107</v>
      </c>
      <c r="H3340" s="55">
        <v>2003</v>
      </c>
      <c r="I3340" s="55">
        <v>2001</v>
      </c>
      <c r="J3340" s="55" t="s">
        <v>2688</v>
      </c>
      <c r="K3340" s="55" t="s">
        <v>3109</v>
      </c>
      <c r="L3340" s="55" t="s">
        <v>3108</v>
      </c>
      <c r="M3340" s="90">
        <v>-5.04</v>
      </c>
      <c r="N3340" s="90">
        <v>32.82</v>
      </c>
      <c r="O3340" s="90">
        <v>1235</v>
      </c>
      <c r="R3340" s="55">
        <v>975</v>
      </c>
      <c r="S3340" s="90">
        <v>928</v>
      </c>
      <c r="U3340" s="55" t="s">
        <v>1688</v>
      </c>
      <c r="V3340" s="55" t="s">
        <v>1801</v>
      </c>
      <c r="Y3340" s="55" t="s">
        <v>3114</v>
      </c>
      <c r="Z3340" s="55" t="s">
        <v>1356</v>
      </c>
      <c r="AA3340" s="90" t="s">
        <v>1680</v>
      </c>
      <c r="AH3340" s="55" t="s">
        <v>201</v>
      </c>
      <c r="AI3340" s="168">
        <f>(5.7+6.1)/2</f>
        <v>5.9</v>
      </c>
      <c r="AJ3340" s="90">
        <f>(1.4+2.2)/2</f>
        <v>1.8</v>
      </c>
      <c r="AM3340" s="55" t="s">
        <v>3112</v>
      </c>
      <c r="AN3340" s="185" t="s">
        <v>3116</v>
      </c>
      <c r="AO3340" s="185" t="s">
        <v>5150</v>
      </c>
      <c r="AQ3340" s="55" t="s">
        <v>1550</v>
      </c>
      <c r="AR3340" s="55" t="s">
        <v>1607</v>
      </c>
      <c r="AS3340" s="55" t="s">
        <v>132</v>
      </c>
      <c r="AU3340" s="181" t="s">
        <v>7494</v>
      </c>
      <c r="AV3340" s="185" t="s">
        <v>176</v>
      </c>
      <c r="AX3340" s="185" t="s">
        <v>176</v>
      </c>
      <c r="BK3340" s="55" t="s">
        <v>6333</v>
      </c>
      <c r="BM3340" s="192" t="s">
        <v>2702</v>
      </c>
      <c r="BN3340" s="55">
        <v>3</v>
      </c>
      <c r="BO3340" s="55">
        <v>3</v>
      </c>
      <c r="BQ3340" s="55" t="s">
        <v>141</v>
      </c>
      <c r="CB3340" s="66">
        <v>819.4</v>
      </c>
      <c r="CC3340" s="66">
        <v>1700.59</v>
      </c>
      <c r="CE3340" s="65">
        <v>428.5</v>
      </c>
      <c r="CF3340" s="65">
        <v>428.5</v>
      </c>
      <c r="CG3340" s="65" t="s">
        <v>3129</v>
      </c>
      <c r="GP3340" s="292" t="s">
        <v>7494</v>
      </c>
    </row>
    <row r="3341" spans="1:198" x14ac:dyDescent="0.25">
      <c r="A3341" s="55">
        <v>3340</v>
      </c>
      <c r="B3341" s="12" t="s">
        <v>7067</v>
      </c>
      <c r="C3341" s="155">
        <v>156</v>
      </c>
      <c r="D3341" s="55" t="s">
        <v>3122</v>
      </c>
      <c r="E3341" s="90" t="s">
        <v>3106</v>
      </c>
      <c r="G3341" s="55" t="s">
        <v>3107</v>
      </c>
      <c r="H3341" s="55">
        <v>2003</v>
      </c>
      <c r="I3341" s="55">
        <v>2001</v>
      </c>
      <c r="J3341" s="55" t="s">
        <v>2688</v>
      </c>
      <c r="K3341" s="55" t="s">
        <v>3109</v>
      </c>
      <c r="L3341" s="55" t="s">
        <v>3108</v>
      </c>
      <c r="M3341" s="90">
        <v>-5.04</v>
      </c>
      <c r="N3341" s="90">
        <v>32.82</v>
      </c>
      <c r="O3341" s="90">
        <v>1235</v>
      </c>
      <c r="R3341" s="55">
        <v>975</v>
      </c>
      <c r="S3341" s="90">
        <v>928</v>
      </c>
      <c r="U3341" s="55" t="s">
        <v>1688</v>
      </c>
      <c r="V3341" s="55" t="s">
        <v>1801</v>
      </c>
      <c r="Y3341" s="55" t="s">
        <v>3114</v>
      </c>
      <c r="Z3341" s="55" t="s">
        <v>1356</v>
      </c>
      <c r="AA3341" s="90" t="s">
        <v>1680</v>
      </c>
      <c r="AH3341" s="55" t="s">
        <v>201</v>
      </c>
      <c r="AI3341" s="168">
        <f>(5.7+6.1)/2</f>
        <v>5.9</v>
      </c>
      <c r="AJ3341" s="90">
        <f>(1.4+2.2)/2</f>
        <v>1.8</v>
      </c>
      <c r="AM3341" s="55" t="s">
        <v>3112</v>
      </c>
      <c r="AN3341" s="185" t="s">
        <v>3117</v>
      </c>
      <c r="AO3341" s="185" t="s">
        <v>5150</v>
      </c>
      <c r="AQ3341" s="55" t="s">
        <v>1550</v>
      </c>
      <c r="AR3341" s="55" t="s">
        <v>1607</v>
      </c>
      <c r="AS3341" s="55" t="s">
        <v>132</v>
      </c>
      <c r="AU3341" s="181" t="s">
        <v>7494</v>
      </c>
      <c r="AV3341" s="185" t="s">
        <v>176</v>
      </c>
      <c r="AX3341" s="185" t="s">
        <v>176</v>
      </c>
      <c r="BK3341" s="55" t="s">
        <v>6333</v>
      </c>
      <c r="BM3341" s="192" t="s">
        <v>2702</v>
      </c>
      <c r="BN3341" s="55">
        <v>3</v>
      </c>
      <c r="BO3341" s="55">
        <v>3</v>
      </c>
      <c r="BQ3341" s="55" t="s">
        <v>141</v>
      </c>
      <c r="CB3341" s="66">
        <v>819.4</v>
      </c>
      <c r="CC3341" s="66">
        <v>1091.17</v>
      </c>
      <c r="CE3341" s="65">
        <v>428.5</v>
      </c>
      <c r="CF3341" s="65">
        <v>428.5</v>
      </c>
      <c r="CG3341" s="65" t="s">
        <v>3129</v>
      </c>
      <c r="GP3341" s="292" t="s">
        <v>7494</v>
      </c>
    </row>
    <row r="3342" spans="1:198" x14ac:dyDescent="0.25">
      <c r="A3342" s="55">
        <v>3341</v>
      </c>
      <c r="B3342" s="12" t="s">
        <v>7067</v>
      </c>
      <c r="C3342" s="155">
        <v>156</v>
      </c>
      <c r="D3342" s="55" t="s">
        <v>3123</v>
      </c>
      <c r="E3342" s="90" t="s">
        <v>3106</v>
      </c>
      <c r="G3342" s="55" t="s">
        <v>3107</v>
      </c>
      <c r="H3342" s="55">
        <v>2003</v>
      </c>
      <c r="I3342" s="55">
        <v>2001</v>
      </c>
      <c r="J3342" s="55" t="s">
        <v>2688</v>
      </c>
      <c r="K3342" s="55" t="s">
        <v>3109</v>
      </c>
      <c r="L3342" s="55" t="s">
        <v>3108</v>
      </c>
      <c r="M3342" s="90">
        <v>-5.04</v>
      </c>
      <c r="N3342" s="90">
        <v>32.82</v>
      </c>
      <c r="O3342" s="90">
        <v>1235</v>
      </c>
      <c r="R3342" s="55">
        <v>975</v>
      </c>
      <c r="S3342" s="90">
        <v>928</v>
      </c>
      <c r="U3342" s="55" t="s">
        <v>1688</v>
      </c>
      <c r="V3342" s="55" t="s">
        <v>1801</v>
      </c>
      <c r="Y3342" s="55" t="s">
        <v>3114</v>
      </c>
      <c r="Z3342" s="55" t="s">
        <v>1356</v>
      </c>
      <c r="AA3342" s="90" t="s">
        <v>1680</v>
      </c>
      <c r="AH3342" s="55" t="s">
        <v>201</v>
      </c>
      <c r="AI3342" s="168">
        <f>(5.7+6.1)/2</f>
        <v>5.9</v>
      </c>
      <c r="AJ3342" s="90">
        <f>(1.4+2.2)/2</f>
        <v>1.8</v>
      </c>
      <c r="AM3342" s="55" t="s">
        <v>3112</v>
      </c>
      <c r="AN3342" s="185" t="s">
        <v>3118</v>
      </c>
      <c r="AO3342" s="185" t="s">
        <v>5150</v>
      </c>
      <c r="AQ3342" s="55" t="s">
        <v>553</v>
      </c>
      <c r="AR3342" s="55" t="s">
        <v>1607</v>
      </c>
      <c r="AS3342" s="55" t="s">
        <v>132</v>
      </c>
      <c r="AU3342" s="181" t="s">
        <v>7494</v>
      </c>
      <c r="AV3342" s="185" t="s">
        <v>176</v>
      </c>
      <c r="AX3342" s="185" t="s">
        <v>176</v>
      </c>
      <c r="BK3342" s="55" t="s">
        <v>6333</v>
      </c>
      <c r="BM3342" s="192" t="s">
        <v>2702</v>
      </c>
      <c r="BN3342" s="55">
        <v>3</v>
      </c>
      <c r="BO3342" s="55">
        <v>3</v>
      </c>
      <c r="BQ3342" s="55" t="s">
        <v>141</v>
      </c>
      <c r="CB3342" s="66">
        <v>819.4</v>
      </c>
      <c r="CC3342" s="66">
        <v>827.64</v>
      </c>
      <c r="CE3342" s="65">
        <v>428.5</v>
      </c>
      <c r="CF3342" s="65">
        <v>428.5</v>
      </c>
      <c r="CG3342" s="65" t="s">
        <v>3129</v>
      </c>
      <c r="GP3342" s="292" t="s">
        <v>7494</v>
      </c>
    </row>
    <row r="3343" spans="1:198" x14ac:dyDescent="0.25">
      <c r="A3343" s="55">
        <v>3342</v>
      </c>
      <c r="B3343" s="12" t="s">
        <v>7067</v>
      </c>
      <c r="C3343" s="155">
        <v>156</v>
      </c>
      <c r="D3343" s="55" t="s">
        <v>3122</v>
      </c>
      <c r="E3343" s="90" t="s">
        <v>3106</v>
      </c>
      <c r="G3343" s="55" t="s">
        <v>3107</v>
      </c>
      <c r="H3343" s="55">
        <v>2003</v>
      </c>
      <c r="I3343" s="55">
        <v>2001</v>
      </c>
      <c r="J3343" s="55" t="s">
        <v>2688</v>
      </c>
      <c r="K3343" s="55" t="s">
        <v>3109</v>
      </c>
      <c r="L3343" s="55" t="s">
        <v>3108</v>
      </c>
      <c r="M3343" s="90">
        <v>-5.04</v>
      </c>
      <c r="N3343" s="90">
        <v>32.82</v>
      </c>
      <c r="O3343" s="90">
        <v>1235</v>
      </c>
      <c r="R3343" s="55">
        <v>975</v>
      </c>
      <c r="S3343" s="90">
        <v>928</v>
      </c>
      <c r="U3343" s="55" t="s">
        <v>1688</v>
      </c>
      <c r="V3343" s="55" t="s">
        <v>1801</v>
      </c>
      <c r="Y3343" s="55" t="s">
        <v>3114</v>
      </c>
      <c r="Z3343" s="55" t="s">
        <v>1356</v>
      </c>
      <c r="AA3343" s="90" t="s">
        <v>1680</v>
      </c>
      <c r="AH3343" s="55" t="s">
        <v>201</v>
      </c>
      <c r="AI3343" s="168">
        <f>(5.7+6.1)/2</f>
        <v>5.9</v>
      </c>
      <c r="AJ3343" s="90">
        <f>(1.4+2.2)/2</f>
        <v>1.8</v>
      </c>
      <c r="AM3343" s="55" t="s">
        <v>3112</v>
      </c>
      <c r="AN3343" s="185" t="s">
        <v>3119</v>
      </c>
      <c r="AO3343" s="185" t="s">
        <v>5150</v>
      </c>
      <c r="AQ3343" s="55" t="s">
        <v>1550</v>
      </c>
      <c r="AR3343" s="55" t="s">
        <v>1607</v>
      </c>
      <c r="AS3343" s="55" t="s">
        <v>132</v>
      </c>
      <c r="AU3343" s="181" t="s">
        <v>7494</v>
      </c>
      <c r="AV3343" s="185" t="s">
        <v>176</v>
      </c>
      <c r="AX3343" s="185" t="s">
        <v>176</v>
      </c>
      <c r="BK3343" s="55" t="s">
        <v>6333</v>
      </c>
      <c r="BM3343" s="192" t="s">
        <v>2702</v>
      </c>
      <c r="BN3343" s="55">
        <v>3</v>
      </c>
      <c r="BO3343" s="55">
        <v>3</v>
      </c>
      <c r="BQ3343" s="55" t="s">
        <v>141</v>
      </c>
      <c r="CB3343" s="66">
        <v>819.4</v>
      </c>
      <c r="CC3343" s="66">
        <v>901.76</v>
      </c>
      <c r="CE3343" s="65">
        <v>428.5</v>
      </c>
      <c r="CF3343" s="65">
        <v>428.5</v>
      </c>
      <c r="CG3343" s="65" t="s">
        <v>3129</v>
      </c>
      <c r="GP3343" s="292" t="s">
        <v>7494</v>
      </c>
    </row>
    <row r="3344" spans="1:198" x14ac:dyDescent="0.25">
      <c r="A3344" s="55">
        <v>3343</v>
      </c>
      <c r="B3344" s="12" t="s">
        <v>7067</v>
      </c>
      <c r="C3344" s="155">
        <v>156</v>
      </c>
      <c r="D3344" s="55" t="s">
        <v>3124</v>
      </c>
      <c r="E3344" s="90" t="s">
        <v>3106</v>
      </c>
      <c r="G3344" s="55" t="s">
        <v>3107</v>
      </c>
      <c r="H3344" s="55">
        <v>2003</v>
      </c>
      <c r="I3344" s="55">
        <v>1991</v>
      </c>
      <c r="J3344" s="55" t="s">
        <v>2688</v>
      </c>
      <c r="K3344" s="55" t="s">
        <v>3110</v>
      </c>
      <c r="L3344" s="55" t="s">
        <v>3108</v>
      </c>
      <c r="M3344" s="90">
        <v>-3.68</v>
      </c>
      <c r="N3344" s="90">
        <v>33.43</v>
      </c>
      <c r="O3344" s="90">
        <v>1127</v>
      </c>
      <c r="R3344" s="55">
        <v>714</v>
      </c>
      <c r="S3344" s="90">
        <v>700</v>
      </c>
      <c r="U3344" s="55" t="s">
        <v>1935</v>
      </c>
      <c r="V3344" s="55" t="s">
        <v>1818</v>
      </c>
      <c r="Y3344" s="55" t="s">
        <v>2187</v>
      </c>
      <c r="Z3344" s="55" t="s">
        <v>1356</v>
      </c>
      <c r="AA3344" s="90" t="s">
        <v>1680</v>
      </c>
      <c r="AH3344" s="55" t="s">
        <v>494</v>
      </c>
      <c r="AI3344" s="168">
        <f>(7.5+8.3)/2</f>
        <v>7.9</v>
      </c>
      <c r="AJ3344" s="90">
        <v>0.6</v>
      </c>
      <c r="AM3344" s="55" t="s">
        <v>3111</v>
      </c>
      <c r="AN3344" s="185" t="s">
        <v>3125</v>
      </c>
      <c r="AO3344" s="185" t="s">
        <v>5150</v>
      </c>
      <c r="AQ3344" s="55" t="s">
        <v>553</v>
      </c>
      <c r="AR3344" s="55" t="s">
        <v>1607</v>
      </c>
      <c r="AS3344" s="55" t="s">
        <v>132</v>
      </c>
      <c r="AU3344" s="181" t="s">
        <v>7494</v>
      </c>
      <c r="AV3344" s="185" t="s">
        <v>176</v>
      </c>
      <c r="AX3344" s="185" t="s">
        <v>176</v>
      </c>
      <c r="BK3344" s="55" t="s">
        <v>6333</v>
      </c>
      <c r="BM3344" s="192" t="s">
        <v>3113</v>
      </c>
      <c r="BN3344" s="55">
        <v>3</v>
      </c>
      <c r="BO3344" s="55">
        <v>3</v>
      </c>
      <c r="BQ3344" s="55" t="s">
        <v>141</v>
      </c>
      <c r="CB3344" s="66">
        <v>1327.7</v>
      </c>
      <c r="CC3344" s="66">
        <v>1506</v>
      </c>
      <c r="CE3344" s="65">
        <f>1665.55-1337</f>
        <v>328.54999999999995</v>
      </c>
      <c r="CF3344" s="65">
        <f>1665.55-1337</f>
        <v>328.54999999999995</v>
      </c>
      <c r="CG3344" s="65" t="s">
        <v>3130</v>
      </c>
      <c r="GP3344" s="292" t="s">
        <v>7494</v>
      </c>
    </row>
    <row r="3345" spans="1:198" x14ac:dyDescent="0.25">
      <c r="A3345" s="55">
        <v>3344</v>
      </c>
      <c r="B3345" s="12" t="s">
        <v>7067</v>
      </c>
      <c r="C3345" s="155">
        <v>156</v>
      </c>
      <c r="D3345" s="55" t="s">
        <v>3124</v>
      </c>
      <c r="E3345" s="90" t="s">
        <v>3106</v>
      </c>
      <c r="G3345" s="55" t="s">
        <v>3107</v>
      </c>
      <c r="H3345" s="55">
        <v>2003</v>
      </c>
      <c r="I3345" s="55">
        <v>1991</v>
      </c>
      <c r="J3345" s="55" t="s">
        <v>2688</v>
      </c>
      <c r="K3345" s="55" t="s">
        <v>3110</v>
      </c>
      <c r="L3345" s="55" t="s">
        <v>3108</v>
      </c>
      <c r="M3345" s="90">
        <v>-3.68</v>
      </c>
      <c r="N3345" s="90">
        <v>33.43</v>
      </c>
      <c r="O3345" s="90">
        <v>1127</v>
      </c>
      <c r="R3345" s="55">
        <v>714</v>
      </c>
      <c r="S3345" s="90">
        <v>700</v>
      </c>
      <c r="U3345" s="55" t="s">
        <v>1935</v>
      </c>
      <c r="V3345" s="55" t="s">
        <v>1818</v>
      </c>
      <c r="Y3345" s="55" t="s">
        <v>2187</v>
      </c>
      <c r="Z3345" s="55" t="s">
        <v>1356</v>
      </c>
      <c r="AA3345" s="90" t="s">
        <v>1680</v>
      </c>
      <c r="AH3345" s="55" t="s">
        <v>494</v>
      </c>
      <c r="AI3345" s="168">
        <f>(7.5+8.3)/2</f>
        <v>7.9</v>
      </c>
      <c r="AJ3345" s="90">
        <v>0.6</v>
      </c>
      <c r="AM3345" s="55" t="s">
        <v>3111</v>
      </c>
      <c r="AN3345" s="185" t="s">
        <v>3126</v>
      </c>
      <c r="AO3345" s="185" t="s">
        <v>5150</v>
      </c>
      <c r="AQ3345" s="55" t="s">
        <v>553</v>
      </c>
      <c r="AR3345" s="55" t="s">
        <v>1607</v>
      </c>
      <c r="AS3345" s="55" t="s">
        <v>132</v>
      </c>
      <c r="AU3345" s="181" t="s">
        <v>7494</v>
      </c>
      <c r="AV3345" s="185" t="s">
        <v>176</v>
      </c>
      <c r="AX3345" s="185" t="s">
        <v>176</v>
      </c>
      <c r="BK3345" s="55" t="s">
        <v>6333</v>
      </c>
      <c r="BM3345" s="192" t="s">
        <v>3113</v>
      </c>
      <c r="BN3345" s="55">
        <v>3</v>
      </c>
      <c r="BO3345" s="55">
        <v>3</v>
      </c>
      <c r="BQ3345" s="55" t="s">
        <v>141</v>
      </c>
      <c r="CB3345" s="66">
        <v>1327.7</v>
      </c>
      <c r="CC3345" s="66">
        <v>962</v>
      </c>
      <c r="CE3345" s="65">
        <f>1665.55-1337</f>
        <v>328.54999999999995</v>
      </c>
      <c r="CF3345" s="65">
        <f>1665.55-1337</f>
        <v>328.54999999999995</v>
      </c>
      <c r="CG3345" s="65" t="s">
        <v>3130</v>
      </c>
      <c r="GP3345" s="292" t="s">
        <v>7494</v>
      </c>
    </row>
    <row r="3346" spans="1:198" x14ac:dyDescent="0.25">
      <c r="A3346" s="55">
        <v>3345</v>
      </c>
      <c r="B3346" s="12" t="s">
        <v>7067</v>
      </c>
      <c r="C3346" s="155">
        <v>156</v>
      </c>
      <c r="D3346" s="55" t="s">
        <v>3124</v>
      </c>
      <c r="E3346" s="90" t="s">
        <v>3106</v>
      </c>
      <c r="G3346" s="55" t="s">
        <v>3107</v>
      </c>
      <c r="H3346" s="55">
        <v>2003</v>
      </c>
      <c r="I3346" s="55">
        <v>1991</v>
      </c>
      <c r="J3346" s="55" t="s">
        <v>2688</v>
      </c>
      <c r="K3346" s="55" t="s">
        <v>3110</v>
      </c>
      <c r="L3346" s="55" t="s">
        <v>3108</v>
      </c>
      <c r="M3346" s="90">
        <v>-3.68</v>
      </c>
      <c r="N3346" s="90">
        <v>33.43</v>
      </c>
      <c r="O3346" s="90">
        <v>1127</v>
      </c>
      <c r="R3346" s="55">
        <v>714</v>
      </c>
      <c r="S3346" s="90">
        <v>700</v>
      </c>
      <c r="U3346" s="55" t="s">
        <v>1935</v>
      </c>
      <c r="V3346" s="55" t="s">
        <v>1818</v>
      </c>
      <c r="Y3346" s="55" t="s">
        <v>2187</v>
      </c>
      <c r="Z3346" s="55" t="s">
        <v>1356</v>
      </c>
      <c r="AA3346" s="90" t="s">
        <v>1680</v>
      </c>
      <c r="AH3346" s="55" t="s">
        <v>494</v>
      </c>
      <c r="AI3346" s="168">
        <f>(7.5+8.3)/2</f>
        <v>7.9</v>
      </c>
      <c r="AJ3346" s="90">
        <v>0.6</v>
      </c>
      <c r="AM3346" s="55" t="s">
        <v>3111</v>
      </c>
      <c r="AN3346" s="185" t="s">
        <v>3127</v>
      </c>
      <c r="AO3346" s="185" t="s">
        <v>5150</v>
      </c>
      <c r="AQ3346" s="55" t="s">
        <v>553</v>
      </c>
      <c r="AR3346" s="55" t="s">
        <v>1607</v>
      </c>
      <c r="AS3346" s="55" t="s">
        <v>132</v>
      </c>
      <c r="AU3346" s="181" t="s">
        <v>7494</v>
      </c>
      <c r="AV3346" s="185" t="s">
        <v>176</v>
      </c>
      <c r="AX3346" s="185" t="s">
        <v>176</v>
      </c>
      <c r="BK3346" s="55" t="s">
        <v>6333</v>
      </c>
      <c r="BM3346" s="192" t="s">
        <v>3113</v>
      </c>
      <c r="BN3346" s="55">
        <v>3</v>
      </c>
      <c r="BO3346" s="55">
        <v>3</v>
      </c>
      <c r="BQ3346" s="55" t="s">
        <v>141</v>
      </c>
      <c r="CB3346" s="66">
        <v>1327.7</v>
      </c>
      <c r="CC3346" s="66">
        <v>1234</v>
      </c>
      <c r="CE3346" s="65">
        <f>1665.55-1337</f>
        <v>328.54999999999995</v>
      </c>
      <c r="CF3346" s="65">
        <f>1665.55-1337</f>
        <v>328.54999999999995</v>
      </c>
      <c r="CG3346" s="65" t="s">
        <v>3130</v>
      </c>
      <c r="GP3346" s="292" t="s">
        <v>7494</v>
      </c>
    </row>
    <row r="3347" spans="1:198" x14ac:dyDescent="0.25">
      <c r="A3347" s="55">
        <v>3346</v>
      </c>
      <c r="B3347" s="12" t="s">
        <v>7067</v>
      </c>
      <c r="C3347" s="155">
        <v>156</v>
      </c>
      <c r="D3347" s="55" t="s">
        <v>3124</v>
      </c>
      <c r="E3347" s="90" t="s">
        <v>3106</v>
      </c>
      <c r="G3347" s="55" t="s">
        <v>3107</v>
      </c>
      <c r="H3347" s="55">
        <v>2003</v>
      </c>
      <c r="I3347" s="55">
        <v>1992</v>
      </c>
      <c r="J3347" s="55" t="s">
        <v>2688</v>
      </c>
      <c r="K3347" s="55" t="s">
        <v>3110</v>
      </c>
      <c r="L3347" s="55" t="s">
        <v>3108</v>
      </c>
      <c r="M3347" s="90">
        <v>-3.68</v>
      </c>
      <c r="N3347" s="90">
        <v>33.43</v>
      </c>
      <c r="O3347" s="90">
        <v>1127</v>
      </c>
      <c r="R3347" s="55">
        <v>850</v>
      </c>
      <c r="S3347" s="90">
        <v>700</v>
      </c>
      <c r="U3347" s="55" t="s">
        <v>1805</v>
      </c>
      <c r="V3347" s="55" t="s">
        <v>1818</v>
      </c>
      <c r="Y3347" s="55" t="s">
        <v>2187</v>
      </c>
      <c r="Z3347" s="55" t="s">
        <v>1356</v>
      </c>
      <c r="AA3347" s="90" t="s">
        <v>1680</v>
      </c>
      <c r="AH3347" s="55" t="s">
        <v>494</v>
      </c>
      <c r="AI3347" s="168">
        <f>(7.5+8.3)/2</f>
        <v>7.9</v>
      </c>
      <c r="AJ3347" s="90">
        <v>0.6</v>
      </c>
      <c r="AM3347" s="55" t="s">
        <v>3111</v>
      </c>
      <c r="AN3347" s="185" t="s">
        <v>3125</v>
      </c>
      <c r="AO3347" s="185" t="s">
        <v>5150</v>
      </c>
      <c r="AQ3347" s="55" t="s">
        <v>553</v>
      </c>
      <c r="AR3347" s="55" t="s">
        <v>1607</v>
      </c>
      <c r="AS3347" s="55" t="s">
        <v>132</v>
      </c>
      <c r="AU3347" s="181" t="s">
        <v>7494</v>
      </c>
      <c r="AV3347" s="185" t="s">
        <v>176</v>
      </c>
      <c r="AX3347" s="185" t="s">
        <v>176</v>
      </c>
      <c r="BK3347" s="55" t="s">
        <v>6333</v>
      </c>
      <c r="BM3347" s="192" t="s">
        <v>3113</v>
      </c>
      <c r="BN3347" s="55">
        <v>3</v>
      </c>
      <c r="BO3347" s="55">
        <v>3</v>
      </c>
      <c r="BQ3347" s="55" t="s">
        <v>141</v>
      </c>
      <c r="CB3347" s="66">
        <v>1646.8</v>
      </c>
      <c r="CC3347" s="66">
        <v>1130.7</v>
      </c>
      <c r="CE3347" s="65">
        <f>1600-1412</f>
        <v>188</v>
      </c>
      <c r="CF3347" s="65">
        <f>1600-1412</f>
        <v>188</v>
      </c>
      <c r="CG3347" s="65" t="s">
        <v>3130</v>
      </c>
      <c r="GP3347" s="292" t="s">
        <v>7494</v>
      </c>
    </row>
    <row r="3348" spans="1:198" x14ac:dyDescent="0.25">
      <c r="A3348" s="55">
        <v>3347</v>
      </c>
      <c r="B3348" s="12" t="s">
        <v>7067</v>
      </c>
      <c r="C3348" s="155">
        <v>156</v>
      </c>
      <c r="D3348" s="55" t="s">
        <v>3124</v>
      </c>
      <c r="E3348" s="90" t="s">
        <v>3106</v>
      </c>
      <c r="G3348" s="55" t="s">
        <v>3107</v>
      </c>
      <c r="H3348" s="55">
        <v>2003</v>
      </c>
      <c r="I3348" s="55">
        <v>1992</v>
      </c>
      <c r="J3348" s="55" t="s">
        <v>2688</v>
      </c>
      <c r="K3348" s="55" t="s">
        <v>3110</v>
      </c>
      <c r="L3348" s="55" t="s">
        <v>3108</v>
      </c>
      <c r="M3348" s="90">
        <v>-3.68</v>
      </c>
      <c r="N3348" s="90">
        <v>33.43</v>
      </c>
      <c r="O3348" s="90">
        <v>1127</v>
      </c>
      <c r="R3348" s="55">
        <v>850</v>
      </c>
      <c r="S3348" s="90">
        <v>700</v>
      </c>
      <c r="U3348" s="55" t="s">
        <v>1805</v>
      </c>
      <c r="V3348" s="55" t="s">
        <v>1818</v>
      </c>
      <c r="Y3348" s="55" t="s">
        <v>2187</v>
      </c>
      <c r="Z3348" s="55" t="s">
        <v>1356</v>
      </c>
      <c r="AA3348" s="90" t="s">
        <v>1680</v>
      </c>
      <c r="AH3348" s="55" t="s">
        <v>494</v>
      </c>
      <c r="AI3348" s="168">
        <f>(7.5+8.3)/2</f>
        <v>7.9</v>
      </c>
      <c r="AJ3348" s="90">
        <v>0.6</v>
      </c>
      <c r="AM3348" s="55" t="s">
        <v>3111</v>
      </c>
      <c r="AN3348" s="185" t="s">
        <v>3126</v>
      </c>
      <c r="AO3348" s="185" t="s">
        <v>5150</v>
      </c>
      <c r="AQ3348" s="55" t="s">
        <v>553</v>
      </c>
      <c r="AR3348" s="55" t="s">
        <v>1607</v>
      </c>
      <c r="AS3348" s="55" t="s">
        <v>132</v>
      </c>
      <c r="AU3348" s="181" t="s">
        <v>7494</v>
      </c>
      <c r="AV3348" s="185" t="s">
        <v>176</v>
      </c>
      <c r="AX3348" s="185" t="s">
        <v>176</v>
      </c>
      <c r="BK3348" s="55" t="s">
        <v>6333</v>
      </c>
      <c r="BM3348" s="192" t="s">
        <v>3113</v>
      </c>
      <c r="BN3348" s="55">
        <v>3</v>
      </c>
      <c r="BO3348" s="55">
        <v>3</v>
      </c>
      <c r="BQ3348" s="55" t="s">
        <v>141</v>
      </c>
      <c r="CB3348" s="66">
        <v>1646.8</v>
      </c>
      <c r="CC3348" s="66">
        <v>1468.5</v>
      </c>
      <c r="CE3348" s="65">
        <f>1600-1412</f>
        <v>188</v>
      </c>
      <c r="CF3348" s="65">
        <f>1600-1412</f>
        <v>188</v>
      </c>
      <c r="CG3348" s="65" t="s">
        <v>3130</v>
      </c>
      <c r="GP3348" s="292" t="s">
        <v>7494</v>
      </c>
    </row>
    <row r="3349" spans="1:198" x14ac:dyDescent="0.25">
      <c r="A3349" s="55">
        <v>3348</v>
      </c>
      <c r="B3349" s="12" t="s">
        <v>7067</v>
      </c>
      <c r="C3349" s="155">
        <v>156</v>
      </c>
      <c r="D3349" s="55" t="s">
        <v>3124</v>
      </c>
      <c r="E3349" s="90" t="s">
        <v>3106</v>
      </c>
      <c r="G3349" s="55" t="s">
        <v>3107</v>
      </c>
      <c r="H3349" s="55">
        <v>2003</v>
      </c>
      <c r="I3349" s="55">
        <v>1992</v>
      </c>
      <c r="J3349" s="55" t="s">
        <v>2688</v>
      </c>
      <c r="K3349" s="55" t="s">
        <v>3110</v>
      </c>
      <c r="L3349" s="55" t="s">
        <v>3108</v>
      </c>
      <c r="M3349" s="90">
        <v>-3.68</v>
      </c>
      <c r="N3349" s="90">
        <v>33.43</v>
      </c>
      <c r="O3349" s="90">
        <v>1127</v>
      </c>
      <c r="R3349" s="55">
        <v>850</v>
      </c>
      <c r="S3349" s="90">
        <v>700</v>
      </c>
      <c r="U3349" s="55" t="s">
        <v>1805</v>
      </c>
      <c r="V3349" s="55" t="s">
        <v>1818</v>
      </c>
      <c r="Y3349" s="55" t="s">
        <v>2187</v>
      </c>
      <c r="Z3349" s="55" t="s">
        <v>1356</v>
      </c>
      <c r="AA3349" s="90" t="s">
        <v>1680</v>
      </c>
      <c r="AH3349" s="55" t="s">
        <v>494</v>
      </c>
      <c r="AI3349" s="168">
        <f>(7.5+8.3)/2</f>
        <v>7.9</v>
      </c>
      <c r="AJ3349" s="90">
        <v>0.6</v>
      </c>
      <c r="AM3349" s="55" t="s">
        <v>3111</v>
      </c>
      <c r="AN3349" s="185" t="s">
        <v>3127</v>
      </c>
      <c r="AO3349" s="185" t="s">
        <v>5150</v>
      </c>
      <c r="AQ3349" s="55" t="s">
        <v>553</v>
      </c>
      <c r="AR3349" s="55" t="s">
        <v>1607</v>
      </c>
      <c r="AS3349" s="55" t="s">
        <v>132</v>
      </c>
      <c r="AU3349" s="181" t="s">
        <v>7494</v>
      </c>
      <c r="AV3349" s="185" t="s">
        <v>176</v>
      </c>
      <c r="AX3349" s="185" t="s">
        <v>176</v>
      </c>
      <c r="BK3349" s="55" t="s">
        <v>6333</v>
      </c>
      <c r="BM3349" s="192" t="s">
        <v>3113</v>
      </c>
      <c r="BN3349" s="55">
        <v>3</v>
      </c>
      <c r="BO3349" s="55">
        <v>3</v>
      </c>
      <c r="BQ3349" s="55" t="s">
        <v>141</v>
      </c>
      <c r="CB3349" s="66">
        <v>1646.8</v>
      </c>
      <c r="CC3349" s="66">
        <v>1112</v>
      </c>
      <c r="CE3349" s="65">
        <f>1600-1412</f>
        <v>188</v>
      </c>
      <c r="CF3349" s="65">
        <f>1600-1412</f>
        <v>188</v>
      </c>
      <c r="CG3349" s="65" t="s">
        <v>3130</v>
      </c>
      <c r="GP3349" s="292" t="s">
        <v>7494</v>
      </c>
    </row>
    <row r="3350" spans="1:198" x14ac:dyDescent="0.25">
      <c r="A3350" s="55">
        <v>3349</v>
      </c>
      <c r="B3350" s="12" t="s">
        <v>7067</v>
      </c>
      <c r="C3350" s="155">
        <v>156</v>
      </c>
      <c r="D3350" s="55" t="s">
        <v>3124</v>
      </c>
      <c r="E3350" s="90" t="s">
        <v>3106</v>
      </c>
      <c r="G3350" s="55" t="s">
        <v>3107</v>
      </c>
      <c r="H3350" s="55">
        <v>2003</v>
      </c>
      <c r="I3350" s="55">
        <v>1993</v>
      </c>
      <c r="J3350" s="55" t="s">
        <v>2688</v>
      </c>
      <c r="K3350" s="55" t="s">
        <v>3110</v>
      </c>
      <c r="L3350" s="55" t="s">
        <v>3108</v>
      </c>
      <c r="M3350" s="90">
        <v>-3.68</v>
      </c>
      <c r="N3350" s="90">
        <v>33.43</v>
      </c>
      <c r="O3350" s="90">
        <v>1127</v>
      </c>
      <c r="R3350" s="55">
        <v>520</v>
      </c>
      <c r="S3350" s="90">
        <v>700</v>
      </c>
      <c r="U3350" s="55" t="s">
        <v>1688</v>
      </c>
      <c r="V3350" s="55" t="s">
        <v>1818</v>
      </c>
      <c r="Y3350" s="55" t="s">
        <v>2187</v>
      </c>
      <c r="Z3350" s="55" t="s">
        <v>1356</v>
      </c>
      <c r="AA3350" s="90" t="s">
        <v>1680</v>
      </c>
      <c r="AH3350" s="55" t="s">
        <v>494</v>
      </c>
      <c r="AI3350" s="168">
        <f>(7.5+8.3)/2</f>
        <v>7.9</v>
      </c>
      <c r="AJ3350" s="90">
        <v>0.6</v>
      </c>
      <c r="AM3350" s="55" t="s">
        <v>3111</v>
      </c>
      <c r="AN3350" s="185" t="s">
        <v>3125</v>
      </c>
      <c r="AO3350" s="185" t="s">
        <v>5150</v>
      </c>
      <c r="AQ3350" s="55" t="s">
        <v>553</v>
      </c>
      <c r="AR3350" s="55" t="s">
        <v>1607</v>
      </c>
      <c r="AS3350" s="55" t="s">
        <v>132</v>
      </c>
      <c r="AU3350" s="181" t="s">
        <v>7494</v>
      </c>
      <c r="AV3350" s="185" t="s">
        <v>176</v>
      </c>
      <c r="AX3350" s="185" t="s">
        <v>176</v>
      </c>
      <c r="BK3350" s="55" t="s">
        <v>6333</v>
      </c>
      <c r="BM3350" s="192" t="s">
        <v>3113</v>
      </c>
      <c r="BN3350" s="55">
        <v>3</v>
      </c>
      <c r="BO3350" s="55">
        <v>3</v>
      </c>
      <c r="BQ3350" s="55" t="s">
        <v>141</v>
      </c>
      <c r="CB3350" s="66">
        <v>849.2</v>
      </c>
      <c r="CC3350" s="66">
        <v>380</v>
      </c>
      <c r="CE3350" s="65">
        <f>1562-1459</f>
        <v>103</v>
      </c>
      <c r="CF3350" s="65">
        <f>1562-1459</f>
        <v>103</v>
      </c>
      <c r="CG3350" s="65" t="s">
        <v>3130</v>
      </c>
      <c r="GP3350" s="292" t="s">
        <v>7494</v>
      </c>
    </row>
    <row r="3351" spans="1:198" x14ac:dyDescent="0.25">
      <c r="A3351" s="55">
        <v>3350</v>
      </c>
      <c r="B3351" s="12" t="s">
        <v>7067</v>
      </c>
      <c r="C3351" s="155">
        <v>156</v>
      </c>
      <c r="D3351" s="55" t="s">
        <v>3124</v>
      </c>
      <c r="E3351" s="90" t="s">
        <v>3106</v>
      </c>
      <c r="G3351" s="55" t="s">
        <v>3107</v>
      </c>
      <c r="H3351" s="55">
        <v>2003</v>
      </c>
      <c r="I3351" s="55">
        <v>1993</v>
      </c>
      <c r="J3351" s="55" t="s">
        <v>2688</v>
      </c>
      <c r="K3351" s="55" t="s">
        <v>3110</v>
      </c>
      <c r="L3351" s="55" t="s">
        <v>3108</v>
      </c>
      <c r="M3351" s="90">
        <v>-3.68</v>
      </c>
      <c r="N3351" s="90">
        <v>33.43</v>
      </c>
      <c r="O3351" s="90">
        <v>1127</v>
      </c>
      <c r="R3351" s="55">
        <v>520</v>
      </c>
      <c r="S3351" s="90">
        <v>700</v>
      </c>
      <c r="U3351" s="55" t="s">
        <v>1688</v>
      </c>
      <c r="V3351" s="55" t="s">
        <v>1818</v>
      </c>
      <c r="Y3351" s="55" t="s">
        <v>2187</v>
      </c>
      <c r="Z3351" s="55" t="s">
        <v>1356</v>
      </c>
      <c r="AA3351" s="90" t="s">
        <v>1680</v>
      </c>
      <c r="AH3351" s="55" t="s">
        <v>494</v>
      </c>
      <c r="AI3351" s="168">
        <f>(7.5+8.3)/2</f>
        <v>7.9</v>
      </c>
      <c r="AJ3351" s="90">
        <v>0.6</v>
      </c>
      <c r="AM3351" s="55" t="s">
        <v>3111</v>
      </c>
      <c r="AN3351" s="185" t="s">
        <v>3126</v>
      </c>
      <c r="AO3351" s="185" t="s">
        <v>5150</v>
      </c>
      <c r="AQ3351" s="55" t="s">
        <v>553</v>
      </c>
      <c r="AR3351" s="55" t="s">
        <v>1607</v>
      </c>
      <c r="AS3351" s="55" t="s">
        <v>132</v>
      </c>
      <c r="AU3351" s="181" t="s">
        <v>7494</v>
      </c>
      <c r="AV3351" s="185" t="s">
        <v>176</v>
      </c>
      <c r="AX3351" s="185" t="s">
        <v>176</v>
      </c>
      <c r="BK3351" s="55" t="s">
        <v>6333</v>
      </c>
      <c r="BM3351" s="192" t="s">
        <v>3113</v>
      </c>
      <c r="BN3351" s="55">
        <v>3</v>
      </c>
      <c r="BO3351" s="55">
        <v>3</v>
      </c>
      <c r="BQ3351" s="55" t="s">
        <v>141</v>
      </c>
      <c r="CB3351" s="66">
        <v>849.2</v>
      </c>
      <c r="CC3351" s="66">
        <v>352</v>
      </c>
      <c r="CE3351" s="65">
        <f>1562-1459</f>
        <v>103</v>
      </c>
      <c r="CF3351" s="65">
        <f>1562-1459</f>
        <v>103</v>
      </c>
      <c r="CG3351" s="65" t="s">
        <v>3130</v>
      </c>
      <c r="GP3351" s="292" t="s">
        <v>7494</v>
      </c>
    </row>
    <row r="3352" spans="1:198" x14ac:dyDescent="0.25">
      <c r="A3352" s="55">
        <v>3351</v>
      </c>
      <c r="B3352" s="12" t="s">
        <v>7067</v>
      </c>
      <c r="C3352" s="155">
        <v>156</v>
      </c>
      <c r="D3352" s="55" t="s">
        <v>3124</v>
      </c>
      <c r="E3352" s="90" t="s">
        <v>3106</v>
      </c>
      <c r="G3352" s="55" t="s">
        <v>3107</v>
      </c>
      <c r="H3352" s="55">
        <v>2003</v>
      </c>
      <c r="I3352" s="55">
        <v>1993</v>
      </c>
      <c r="J3352" s="55" t="s">
        <v>2688</v>
      </c>
      <c r="K3352" s="55" t="s">
        <v>3110</v>
      </c>
      <c r="L3352" s="55" t="s">
        <v>3108</v>
      </c>
      <c r="M3352" s="90">
        <v>-3.68</v>
      </c>
      <c r="N3352" s="90">
        <v>33.43</v>
      </c>
      <c r="O3352" s="90">
        <v>1127</v>
      </c>
      <c r="R3352" s="55">
        <v>520</v>
      </c>
      <c r="S3352" s="90">
        <v>700</v>
      </c>
      <c r="U3352" s="55" t="s">
        <v>1688</v>
      </c>
      <c r="V3352" s="55" t="s">
        <v>1818</v>
      </c>
      <c r="Y3352" s="55" t="s">
        <v>2187</v>
      </c>
      <c r="Z3352" s="55" t="s">
        <v>1356</v>
      </c>
      <c r="AA3352" s="90" t="s">
        <v>1680</v>
      </c>
      <c r="AH3352" s="55" t="s">
        <v>494</v>
      </c>
      <c r="AI3352" s="168">
        <f>(7.5+8.3)/2</f>
        <v>7.9</v>
      </c>
      <c r="AJ3352" s="90">
        <v>0.6</v>
      </c>
      <c r="AM3352" s="55" t="s">
        <v>3111</v>
      </c>
      <c r="AN3352" s="185" t="s">
        <v>3127</v>
      </c>
      <c r="AO3352" s="185" t="s">
        <v>5150</v>
      </c>
      <c r="AQ3352" s="55" t="s">
        <v>553</v>
      </c>
      <c r="AR3352" s="55" t="s">
        <v>1607</v>
      </c>
      <c r="AS3352" s="55" t="s">
        <v>132</v>
      </c>
      <c r="AU3352" s="181" t="s">
        <v>7494</v>
      </c>
      <c r="AV3352" s="185" t="s">
        <v>176</v>
      </c>
      <c r="AX3352" s="185" t="s">
        <v>176</v>
      </c>
      <c r="BK3352" s="55" t="s">
        <v>6333</v>
      </c>
      <c r="BM3352" s="192" t="s">
        <v>3113</v>
      </c>
      <c r="BN3352" s="55">
        <v>3</v>
      </c>
      <c r="BO3352" s="55">
        <v>3</v>
      </c>
      <c r="BQ3352" s="55" t="s">
        <v>141</v>
      </c>
      <c r="CB3352" s="66">
        <v>849.2</v>
      </c>
      <c r="CC3352" s="66">
        <v>398.8</v>
      </c>
      <c r="CE3352" s="65">
        <f>1562-1459</f>
        <v>103</v>
      </c>
      <c r="CF3352" s="65">
        <f>1562-1459</f>
        <v>103</v>
      </c>
      <c r="CG3352" s="65" t="s">
        <v>3130</v>
      </c>
      <c r="GP3352" s="292" t="s">
        <v>7494</v>
      </c>
    </row>
    <row r="3353" spans="1:198" x14ac:dyDescent="0.25">
      <c r="A3353" s="55">
        <v>3352</v>
      </c>
      <c r="B3353" s="12" t="s">
        <v>7067</v>
      </c>
      <c r="C3353" s="155">
        <v>156</v>
      </c>
      <c r="D3353" s="55" t="s">
        <v>3128</v>
      </c>
      <c r="E3353" s="90" t="s">
        <v>3106</v>
      </c>
      <c r="G3353" s="55" t="s">
        <v>3107</v>
      </c>
      <c r="H3353" s="55">
        <v>2003</v>
      </c>
      <c r="I3353" s="55">
        <v>1998</v>
      </c>
      <c r="J3353" s="55" t="s">
        <v>2688</v>
      </c>
      <c r="K3353" s="55" t="s">
        <v>3110</v>
      </c>
      <c r="L3353" s="55" t="s">
        <v>3108</v>
      </c>
      <c r="M3353" s="90">
        <v>-3.68</v>
      </c>
      <c r="N3353" s="90">
        <v>33.43</v>
      </c>
      <c r="O3353" s="90">
        <v>1127</v>
      </c>
      <c r="R3353" s="55">
        <v>513</v>
      </c>
      <c r="S3353" s="90">
        <v>700</v>
      </c>
      <c r="U3353" s="55" t="s">
        <v>1940</v>
      </c>
      <c r="V3353" s="55" t="s">
        <v>1818</v>
      </c>
      <c r="Y3353" s="55" t="s">
        <v>2187</v>
      </c>
      <c r="Z3353" s="55" t="s">
        <v>1356</v>
      </c>
      <c r="AA3353" s="90" t="s">
        <v>1680</v>
      </c>
      <c r="AH3353" s="55" t="s">
        <v>494</v>
      </c>
      <c r="AI3353" s="168">
        <f>(7.5+8.3)/2</f>
        <v>7.9</v>
      </c>
      <c r="AJ3353" s="90">
        <v>0.6</v>
      </c>
      <c r="AM3353" s="55" t="s">
        <v>3111</v>
      </c>
      <c r="AN3353" s="185" t="s">
        <v>3125</v>
      </c>
      <c r="AO3353" s="185" t="s">
        <v>5150</v>
      </c>
      <c r="AQ3353" s="55" t="s">
        <v>553</v>
      </c>
      <c r="AR3353" s="55" t="s">
        <v>1607</v>
      </c>
      <c r="AS3353" s="55" t="s">
        <v>132</v>
      </c>
      <c r="AU3353" s="181" t="s">
        <v>7494</v>
      </c>
      <c r="AV3353" s="185" t="s">
        <v>176</v>
      </c>
      <c r="AX3353" s="185" t="s">
        <v>176</v>
      </c>
      <c r="BK3353" s="55" t="s">
        <v>6333</v>
      </c>
      <c r="BM3353" s="192" t="s">
        <v>2702</v>
      </c>
      <c r="BN3353" s="55">
        <v>3</v>
      </c>
      <c r="BO3353" s="55">
        <v>3</v>
      </c>
      <c r="BQ3353" s="55" t="s">
        <v>141</v>
      </c>
      <c r="CB3353" s="66">
        <v>2003.35</v>
      </c>
      <c r="CC3353" s="66">
        <v>3214</v>
      </c>
      <c r="CE3353" s="65">
        <f>2097.19-1909.52</f>
        <v>187.67000000000007</v>
      </c>
      <c r="CF3353" s="65">
        <f>2097.19-1909.52</f>
        <v>187.67000000000007</v>
      </c>
      <c r="CG3353" s="65" t="s">
        <v>3130</v>
      </c>
      <c r="DB3353" s="65">
        <v>50.68</v>
      </c>
      <c r="DC3353" s="65">
        <v>81.66</v>
      </c>
      <c r="DD3353" s="65">
        <f>63.45-56.66</f>
        <v>6.7900000000000063</v>
      </c>
      <c r="DE3353" s="65">
        <f>63.45-56.66</f>
        <v>6.7900000000000063</v>
      </c>
      <c r="DF3353" s="65" t="s">
        <v>3131</v>
      </c>
      <c r="GP3353" s="292" t="s">
        <v>7494</v>
      </c>
    </row>
    <row r="3354" spans="1:198" x14ac:dyDescent="0.25">
      <c r="A3354" s="55">
        <v>3353</v>
      </c>
      <c r="B3354" s="12" t="s">
        <v>7067</v>
      </c>
      <c r="C3354" s="155">
        <v>156</v>
      </c>
      <c r="D3354" s="55" t="s">
        <v>3128</v>
      </c>
      <c r="E3354" s="90" t="s">
        <v>3106</v>
      </c>
      <c r="G3354" s="55" t="s">
        <v>3107</v>
      </c>
      <c r="H3354" s="55">
        <v>2003</v>
      </c>
      <c r="I3354" s="55">
        <v>1998</v>
      </c>
      <c r="J3354" s="55" t="s">
        <v>2688</v>
      </c>
      <c r="K3354" s="55" t="s">
        <v>3110</v>
      </c>
      <c r="L3354" s="55" t="s">
        <v>3108</v>
      </c>
      <c r="M3354" s="90">
        <v>-3.68</v>
      </c>
      <c r="N3354" s="90">
        <v>33.43</v>
      </c>
      <c r="O3354" s="90">
        <v>1127</v>
      </c>
      <c r="R3354" s="55">
        <v>513</v>
      </c>
      <c r="S3354" s="90">
        <v>700</v>
      </c>
      <c r="U3354" s="55" t="s">
        <v>1940</v>
      </c>
      <c r="V3354" s="55" t="s">
        <v>1818</v>
      </c>
      <c r="Y3354" s="55" t="s">
        <v>2187</v>
      </c>
      <c r="Z3354" s="55" t="s">
        <v>1356</v>
      </c>
      <c r="AA3354" s="90" t="s">
        <v>1680</v>
      </c>
      <c r="AH3354" s="55" t="s">
        <v>494</v>
      </c>
      <c r="AI3354" s="168">
        <f>(7.5+8.3)/2</f>
        <v>7.9</v>
      </c>
      <c r="AJ3354" s="90">
        <v>0.6</v>
      </c>
      <c r="AM3354" s="55" t="s">
        <v>3111</v>
      </c>
      <c r="AN3354" s="185" t="s">
        <v>3126</v>
      </c>
      <c r="AO3354" s="185" t="s">
        <v>5150</v>
      </c>
      <c r="AQ3354" s="55" t="s">
        <v>553</v>
      </c>
      <c r="AR3354" s="55" t="s">
        <v>1607</v>
      </c>
      <c r="AS3354" s="55" t="s">
        <v>132</v>
      </c>
      <c r="AU3354" s="181" t="s">
        <v>7494</v>
      </c>
      <c r="AV3354" s="185" t="s">
        <v>176</v>
      </c>
      <c r="AX3354" s="185" t="s">
        <v>176</v>
      </c>
      <c r="BK3354" s="55" t="s">
        <v>6333</v>
      </c>
      <c r="BM3354" s="192" t="s">
        <v>2702</v>
      </c>
      <c r="BN3354" s="55">
        <v>3</v>
      </c>
      <c r="BO3354" s="55">
        <v>3</v>
      </c>
      <c r="BQ3354" s="55" t="s">
        <v>141</v>
      </c>
      <c r="CB3354" s="66">
        <v>2003.35</v>
      </c>
      <c r="CC3354" s="66">
        <v>2801</v>
      </c>
      <c r="CE3354" s="65">
        <f>2097.19-1909.52</f>
        <v>187.67000000000007</v>
      </c>
      <c r="CF3354" s="65">
        <f>2097.19-1909.52</f>
        <v>187.67000000000007</v>
      </c>
      <c r="CG3354" s="65" t="s">
        <v>3130</v>
      </c>
      <c r="DB3354" s="65">
        <v>50.68</v>
      </c>
      <c r="DC3354" s="65">
        <v>87.36</v>
      </c>
      <c r="DD3354" s="65">
        <f>63.45-56.66</f>
        <v>6.7900000000000063</v>
      </c>
      <c r="DE3354" s="65">
        <f>63.45-56.66</f>
        <v>6.7900000000000063</v>
      </c>
      <c r="DF3354" s="65" t="s">
        <v>3131</v>
      </c>
      <c r="GP3354" s="292" t="s">
        <v>7494</v>
      </c>
    </row>
    <row r="3355" spans="1:198" x14ac:dyDescent="0.25">
      <c r="A3355" s="55">
        <v>3354</v>
      </c>
      <c r="B3355" s="12" t="s">
        <v>7067</v>
      </c>
      <c r="C3355" s="155">
        <v>156</v>
      </c>
      <c r="D3355" s="55" t="s">
        <v>3128</v>
      </c>
      <c r="E3355" s="90" t="s">
        <v>3106</v>
      </c>
      <c r="G3355" s="55" t="s">
        <v>3107</v>
      </c>
      <c r="H3355" s="55">
        <v>2003</v>
      </c>
      <c r="I3355" s="55">
        <v>1998</v>
      </c>
      <c r="J3355" s="55" t="s">
        <v>2688</v>
      </c>
      <c r="K3355" s="55" t="s">
        <v>3110</v>
      </c>
      <c r="L3355" s="55" t="s">
        <v>3108</v>
      </c>
      <c r="M3355" s="90">
        <v>-3.68</v>
      </c>
      <c r="N3355" s="90">
        <v>33.43</v>
      </c>
      <c r="O3355" s="90">
        <v>1127</v>
      </c>
      <c r="R3355" s="55">
        <v>513</v>
      </c>
      <c r="S3355" s="90">
        <v>700</v>
      </c>
      <c r="U3355" s="55" t="s">
        <v>1940</v>
      </c>
      <c r="V3355" s="55" t="s">
        <v>1818</v>
      </c>
      <c r="Y3355" s="55" t="s">
        <v>2187</v>
      </c>
      <c r="Z3355" s="55" t="s">
        <v>1356</v>
      </c>
      <c r="AA3355" s="90" t="s">
        <v>1680</v>
      </c>
      <c r="AH3355" s="55" t="s">
        <v>494</v>
      </c>
      <c r="AI3355" s="168">
        <f>(7.5+8.3)/2</f>
        <v>7.9</v>
      </c>
      <c r="AJ3355" s="90">
        <v>0.6</v>
      </c>
      <c r="AM3355" s="55" t="s">
        <v>3111</v>
      </c>
      <c r="AN3355" s="185" t="s">
        <v>3127</v>
      </c>
      <c r="AO3355" s="185" t="s">
        <v>5150</v>
      </c>
      <c r="AQ3355" s="55" t="s">
        <v>553</v>
      </c>
      <c r="AR3355" s="55" t="s">
        <v>1607</v>
      </c>
      <c r="AS3355" s="55" t="s">
        <v>132</v>
      </c>
      <c r="AU3355" s="181" t="s">
        <v>7494</v>
      </c>
      <c r="AV3355" s="185" t="s">
        <v>176</v>
      </c>
      <c r="AX3355" s="185" t="s">
        <v>176</v>
      </c>
      <c r="BK3355" s="55" t="s">
        <v>6333</v>
      </c>
      <c r="BM3355" s="192" t="s">
        <v>2702</v>
      </c>
      <c r="BN3355" s="55">
        <v>3</v>
      </c>
      <c r="BO3355" s="55">
        <v>3</v>
      </c>
      <c r="BQ3355" s="55" t="s">
        <v>141</v>
      </c>
      <c r="CB3355" s="66">
        <v>2003.35</v>
      </c>
      <c r="CC3355" s="66">
        <v>2500.6999999999998</v>
      </c>
      <c r="CE3355" s="65">
        <f>2097.19-1909.52</f>
        <v>187.67000000000007</v>
      </c>
      <c r="CF3355" s="65">
        <f>2097.19-1909.52</f>
        <v>187.67000000000007</v>
      </c>
      <c r="CG3355" s="65" t="s">
        <v>3130</v>
      </c>
      <c r="DB3355" s="65">
        <v>50.68</v>
      </c>
      <c r="DC3355" s="65">
        <v>72.959999999999994</v>
      </c>
      <c r="DD3355" s="65">
        <f>63.45-56.66</f>
        <v>6.7900000000000063</v>
      </c>
      <c r="DE3355" s="65">
        <f>63.45-56.66</f>
        <v>6.7900000000000063</v>
      </c>
      <c r="DF3355" s="65" t="s">
        <v>3131</v>
      </c>
      <c r="GP3355" s="292" t="s">
        <v>7494</v>
      </c>
    </row>
    <row r="3356" spans="1:198" x14ac:dyDescent="0.25">
      <c r="A3356" s="55">
        <v>3355</v>
      </c>
      <c r="B3356" s="12" t="s">
        <v>7067</v>
      </c>
      <c r="C3356" s="155">
        <v>156</v>
      </c>
      <c r="D3356" s="55" t="s">
        <v>3128</v>
      </c>
      <c r="E3356" s="90" t="s">
        <v>3106</v>
      </c>
      <c r="G3356" s="55" t="s">
        <v>3107</v>
      </c>
      <c r="H3356" s="55">
        <v>2003</v>
      </c>
      <c r="I3356" s="55">
        <v>1999</v>
      </c>
      <c r="J3356" s="55" t="s">
        <v>2688</v>
      </c>
      <c r="K3356" s="55" t="s">
        <v>3110</v>
      </c>
      <c r="L3356" s="55" t="s">
        <v>3108</v>
      </c>
      <c r="M3356" s="90">
        <v>-3.68</v>
      </c>
      <c r="N3356" s="90">
        <v>33.43</v>
      </c>
      <c r="O3356" s="90">
        <v>1127</v>
      </c>
      <c r="R3356" s="55">
        <v>463</v>
      </c>
      <c r="S3356" s="90">
        <v>700</v>
      </c>
      <c r="U3356" s="55" t="s">
        <v>1933</v>
      </c>
      <c r="V3356" s="55" t="s">
        <v>1818</v>
      </c>
      <c r="Y3356" s="55" t="s">
        <v>2187</v>
      </c>
      <c r="Z3356" s="55" t="s">
        <v>1356</v>
      </c>
      <c r="AA3356" s="90" t="s">
        <v>1680</v>
      </c>
      <c r="AH3356" s="55" t="s">
        <v>494</v>
      </c>
      <c r="AI3356" s="168">
        <f>(7.5+8.3)/2</f>
        <v>7.9</v>
      </c>
      <c r="AJ3356" s="90">
        <v>0.6</v>
      </c>
      <c r="AM3356" s="55" t="s">
        <v>3111</v>
      </c>
      <c r="AN3356" s="185" t="s">
        <v>3125</v>
      </c>
      <c r="AO3356" s="185" t="s">
        <v>5150</v>
      </c>
      <c r="AQ3356" s="55" t="s">
        <v>553</v>
      </c>
      <c r="AR3356" s="55" t="s">
        <v>1607</v>
      </c>
      <c r="AS3356" s="55" t="s">
        <v>132</v>
      </c>
      <c r="AU3356" s="181" t="s">
        <v>7494</v>
      </c>
      <c r="AV3356" s="185" t="s">
        <v>176</v>
      </c>
      <c r="AX3356" s="185" t="s">
        <v>176</v>
      </c>
      <c r="BK3356" s="55" t="s">
        <v>6333</v>
      </c>
      <c r="BM3356" s="192" t="s">
        <v>2702</v>
      </c>
      <c r="BN3356" s="55">
        <v>3</v>
      </c>
      <c r="BO3356" s="55">
        <v>3</v>
      </c>
      <c r="BQ3356" s="55" t="s">
        <v>141</v>
      </c>
      <c r="CB3356" s="66">
        <v>1205.76</v>
      </c>
      <c r="CC3356" s="66">
        <v>1909.5</v>
      </c>
      <c r="CE3356" s="65">
        <f>2116-1881</f>
        <v>235</v>
      </c>
      <c r="CF3356" s="65">
        <f>2116-1881</f>
        <v>235</v>
      </c>
      <c r="CG3356" s="65" t="s">
        <v>3130</v>
      </c>
      <c r="DB3356" s="65">
        <v>34.65</v>
      </c>
      <c r="DC3356" s="65">
        <v>47.96</v>
      </c>
      <c r="DD3356" s="65">
        <f>53.12-46.88</f>
        <v>6.2399999999999949</v>
      </c>
      <c r="DE3356" s="65">
        <f>53.12-46.88</f>
        <v>6.2399999999999949</v>
      </c>
      <c r="DF3356" s="65" t="s">
        <v>3131</v>
      </c>
      <c r="GP3356" s="292" t="s">
        <v>7494</v>
      </c>
    </row>
    <row r="3357" spans="1:198" x14ac:dyDescent="0.25">
      <c r="A3357" s="55">
        <v>3356</v>
      </c>
      <c r="B3357" s="12" t="s">
        <v>7067</v>
      </c>
      <c r="C3357" s="155">
        <v>156</v>
      </c>
      <c r="D3357" s="55" t="s">
        <v>3128</v>
      </c>
      <c r="E3357" s="90" t="s">
        <v>3106</v>
      </c>
      <c r="G3357" s="55" t="s">
        <v>3107</v>
      </c>
      <c r="H3357" s="55">
        <v>2003</v>
      </c>
      <c r="I3357" s="55">
        <v>1999</v>
      </c>
      <c r="J3357" s="55" t="s">
        <v>2688</v>
      </c>
      <c r="K3357" s="55" t="s">
        <v>3110</v>
      </c>
      <c r="L3357" s="55" t="s">
        <v>3108</v>
      </c>
      <c r="M3357" s="90">
        <v>-3.68</v>
      </c>
      <c r="N3357" s="90">
        <v>33.43</v>
      </c>
      <c r="O3357" s="90">
        <v>1127</v>
      </c>
      <c r="R3357" s="55">
        <v>463</v>
      </c>
      <c r="S3357" s="90">
        <v>700</v>
      </c>
      <c r="U3357" s="55" t="s">
        <v>1933</v>
      </c>
      <c r="V3357" s="55" t="s">
        <v>1818</v>
      </c>
      <c r="Y3357" s="55" t="s">
        <v>2187</v>
      </c>
      <c r="Z3357" s="55" t="s">
        <v>1356</v>
      </c>
      <c r="AA3357" s="90" t="s">
        <v>1680</v>
      </c>
      <c r="AH3357" s="55" t="s">
        <v>494</v>
      </c>
      <c r="AI3357" s="168">
        <f>(7.5+8.3)/2</f>
        <v>7.9</v>
      </c>
      <c r="AJ3357" s="90">
        <v>0.6</v>
      </c>
      <c r="AM3357" s="55" t="s">
        <v>3111</v>
      </c>
      <c r="AN3357" s="185" t="s">
        <v>3126</v>
      </c>
      <c r="AO3357" s="185" t="s">
        <v>5150</v>
      </c>
      <c r="AQ3357" s="55" t="s">
        <v>553</v>
      </c>
      <c r="AR3357" s="55" t="s">
        <v>1607</v>
      </c>
      <c r="AS3357" s="55" t="s">
        <v>132</v>
      </c>
      <c r="AU3357" s="181" t="s">
        <v>7494</v>
      </c>
      <c r="AV3357" s="185" t="s">
        <v>176</v>
      </c>
      <c r="AX3357" s="185" t="s">
        <v>176</v>
      </c>
      <c r="BK3357" s="55" t="s">
        <v>6333</v>
      </c>
      <c r="BM3357" s="192" t="s">
        <v>2702</v>
      </c>
      <c r="BN3357" s="55">
        <v>3</v>
      </c>
      <c r="BO3357" s="55">
        <v>3</v>
      </c>
      <c r="BQ3357" s="55" t="s">
        <v>141</v>
      </c>
      <c r="CB3357" s="66">
        <v>1205.76</v>
      </c>
      <c r="CC3357" s="66">
        <v>2200.4</v>
      </c>
      <c r="CE3357" s="65">
        <f>2116-1881</f>
        <v>235</v>
      </c>
      <c r="CF3357" s="65">
        <f>2116-1881</f>
        <v>235</v>
      </c>
      <c r="CG3357" s="65" t="s">
        <v>3130</v>
      </c>
      <c r="DB3357" s="65">
        <v>34.65</v>
      </c>
      <c r="DC3357" s="65">
        <v>56.93</v>
      </c>
      <c r="DD3357" s="65">
        <f>53.12-46.88</f>
        <v>6.2399999999999949</v>
      </c>
      <c r="DE3357" s="65">
        <f>53.12-46.88</f>
        <v>6.2399999999999949</v>
      </c>
      <c r="DF3357" s="65" t="s">
        <v>3131</v>
      </c>
      <c r="GP3357" s="292" t="s">
        <v>7494</v>
      </c>
    </row>
    <row r="3358" spans="1:198" x14ac:dyDescent="0.25">
      <c r="A3358" s="55">
        <v>3357</v>
      </c>
      <c r="B3358" s="12" t="s">
        <v>7067</v>
      </c>
      <c r="C3358" s="155">
        <v>156</v>
      </c>
      <c r="D3358" s="55" t="s">
        <v>3128</v>
      </c>
      <c r="E3358" s="90" t="s">
        <v>3106</v>
      </c>
      <c r="G3358" s="55" t="s">
        <v>3107</v>
      </c>
      <c r="H3358" s="55">
        <v>2003</v>
      </c>
      <c r="I3358" s="55">
        <v>1999</v>
      </c>
      <c r="J3358" s="55" t="s">
        <v>2688</v>
      </c>
      <c r="K3358" s="55" t="s">
        <v>3110</v>
      </c>
      <c r="L3358" s="55" t="s">
        <v>3108</v>
      </c>
      <c r="M3358" s="90">
        <v>-3.68</v>
      </c>
      <c r="N3358" s="90">
        <v>33.43</v>
      </c>
      <c r="O3358" s="90">
        <v>1127</v>
      </c>
      <c r="R3358" s="55">
        <v>463</v>
      </c>
      <c r="S3358" s="90">
        <v>700</v>
      </c>
      <c r="U3358" s="55" t="s">
        <v>1933</v>
      </c>
      <c r="V3358" s="55" t="s">
        <v>1818</v>
      </c>
      <c r="Y3358" s="55" t="s">
        <v>2187</v>
      </c>
      <c r="Z3358" s="55" t="s">
        <v>1356</v>
      </c>
      <c r="AA3358" s="90" t="s">
        <v>1680</v>
      </c>
      <c r="AH3358" s="55" t="s">
        <v>494</v>
      </c>
      <c r="AI3358" s="168">
        <f>(7.5+8.3)/2</f>
        <v>7.9</v>
      </c>
      <c r="AJ3358" s="90">
        <v>0.6</v>
      </c>
      <c r="AM3358" s="55" t="s">
        <v>3111</v>
      </c>
      <c r="AN3358" s="185" t="s">
        <v>3127</v>
      </c>
      <c r="AO3358" s="185" t="s">
        <v>5150</v>
      </c>
      <c r="AQ3358" s="55" t="s">
        <v>553</v>
      </c>
      <c r="AR3358" s="55" t="s">
        <v>1607</v>
      </c>
      <c r="AS3358" s="55" t="s">
        <v>132</v>
      </c>
      <c r="AU3358" s="181" t="s">
        <v>7494</v>
      </c>
      <c r="AV3358" s="185" t="s">
        <v>176</v>
      </c>
      <c r="AX3358" s="185" t="s">
        <v>176</v>
      </c>
      <c r="BK3358" s="55" t="s">
        <v>6333</v>
      </c>
      <c r="BM3358" s="192" t="s">
        <v>2702</v>
      </c>
      <c r="BN3358" s="55">
        <v>3</v>
      </c>
      <c r="BO3358" s="55">
        <v>3</v>
      </c>
      <c r="BQ3358" s="55" t="s">
        <v>141</v>
      </c>
      <c r="CB3358" s="66">
        <v>1205.76</v>
      </c>
      <c r="CC3358" s="66">
        <v>1599.9</v>
      </c>
      <c r="CE3358" s="65">
        <f>2116-1881</f>
        <v>235</v>
      </c>
      <c r="CF3358" s="65">
        <f>2116-1881</f>
        <v>235</v>
      </c>
      <c r="CG3358" s="65" t="s">
        <v>3130</v>
      </c>
      <c r="DB3358" s="65">
        <v>34.65</v>
      </c>
      <c r="DC3358" s="65">
        <v>46.88</v>
      </c>
      <c r="DD3358" s="65">
        <f>53.12-46.88</f>
        <v>6.2399999999999949</v>
      </c>
      <c r="DE3358" s="65">
        <f>53.12-46.88</f>
        <v>6.2399999999999949</v>
      </c>
      <c r="DF3358" s="65" t="s">
        <v>3131</v>
      </c>
      <c r="GP3358" s="292" t="s">
        <v>7494</v>
      </c>
    </row>
    <row r="3359" spans="1:198" x14ac:dyDescent="0.25">
      <c r="A3359" s="55">
        <v>3358</v>
      </c>
      <c r="B3359" s="12" t="s">
        <v>7067</v>
      </c>
      <c r="C3359" s="155">
        <v>156</v>
      </c>
      <c r="D3359" s="55" t="s">
        <v>3128</v>
      </c>
      <c r="E3359" s="90" t="s">
        <v>3106</v>
      </c>
      <c r="G3359" s="55" t="s">
        <v>3107</v>
      </c>
      <c r="H3359" s="55">
        <v>2003</v>
      </c>
      <c r="I3359" s="55">
        <v>2000</v>
      </c>
      <c r="J3359" s="55" t="s">
        <v>2688</v>
      </c>
      <c r="K3359" s="55" t="s">
        <v>3110</v>
      </c>
      <c r="L3359" s="55" t="s">
        <v>3108</v>
      </c>
      <c r="M3359" s="90">
        <v>-3.68</v>
      </c>
      <c r="N3359" s="90">
        <v>33.43</v>
      </c>
      <c r="O3359" s="90">
        <v>1127</v>
      </c>
      <c r="R3359" s="55">
        <v>560</v>
      </c>
      <c r="S3359" s="90">
        <v>700</v>
      </c>
      <c r="U3359" s="55" t="s">
        <v>1679</v>
      </c>
      <c r="V3359" s="55" t="s">
        <v>1818</v>
      </c>
      <c r="Y3359" s="55" t="s">
        <v>2187</v>
      </c>
      <c r="Z3359" s="55" t="s">
        <v>1356</v>
      </c>
      <c r="AA3359" s="90" t="s">
        <v>1680</v>
      </c>
      <c r="AH3359" s="55" t="s">
        <v>494</v>
      </c>
      <c r="AI3359" s="168">
        <f>(7.5+8.3)/2</f>
        <v>7.9</v>
      </c>
      <c r="AJ3359" s="90">
        <v>0.6</v>
      </c>
      <c r="AM3359" s="55" t="s">
        <v>3111</v>
      </c>
      <c r="AN3359" s="185" t="s">
        <v>3125</v>
      </c>
      <c r="AO3359" s="185" t="s">
        <v>5150</v>
      </c>
      <c r="AQ3359" s="55" t="s">
        <v>553</v>
      </c>
      <c r="AR3359" s="55" t="s">
        <v>1607</v>
      </c>
      <c r="AS3359" s="55" t="s">
        <v>132</v>
      </c>
      <c r="AU3359" s="181" t="s">
        <v>7494</v>
      </c>
      <c r="AV3359" s="185" t="s">
        <v>176</v>
      </c>
      <c r="AX3359" s="185" t="s">
        <v>176</v>
      </c>
      <c r="BK3359" s="55" t="s">
        <v>6333</v>
      </c>
      <c r="BM3359" s="192" t="s">
        <v>2702</v>
      </c>
      <c r="BN3359" s="55">
        <v>3</v>
      </c>
      <c r="BO3359" s="55">
        <v>3</v>
      </c>
      <c r="BQ3359" s="55" t="s">
        <v>141</v>
      </c>
      <c r="CB3359" s="66">
        <v>1093.1600000000001</v>
      </c>
      <c r="CC3359" s="66">
        <v>1806</v>
      </c>
      <c r="CE3359" s="65">
        <f>2097-1900</f>
        <v>197</v>
      </c>
      <c r="CF3359" s="65">
        <f>2097-1900</f>
        <v>197</v>
      </c>
      <c r="CG3359" s="65" t="s">
        <v>3130</v>
      </c>
      <c r="DB3359" s="65">
        <v>22.23</v>
      </c>
      <c r="DC3359" s="65">
        <v>35.19</v>
      </c>
      <c r="DD3359" s="65">
        <f>52.31-48.51</f>
        <v>3.8000000000000043</v>
      </c>
      <c r="DE3359" s="65">
        <f>52.31-48.51</f>
        <v>3.8000000000000043</v>
      </c>
      <c r="DF3359" s="65" t="s">
        <v>3131</v>
      </c>
      <c r="GP3359" s="292" t="s">
        <v>7494</v>
      </c>
    </row>
    <row r="3360" spans="1:198" x14ac:dyDescent="0.25">
      <c r="A3360" s="55">
        <v>3359</v>
      </c>
      <c r="B3360" s="12" t="s">
        <v>7067</v>
      </c>
      <c r="C3360" s="155">
        <v>156</v>
      </c>
      <c r="D3360" s="55" t="s">
        <v>3128</v>
      </c>
      <c r="E3360" s="90" t="s">
        <v>3106</v>
      </c>
      <c r="G3360" s="55" t="s">
        <v>3107</v>
      </c>
      <c r="H3360" s="55">
        <v>2003</v>
      </c>
      <c r="I3360" s="55">
        <v>2000</v>
      </c>
      <c r="J3360" s="55" t="s">
        <v>2688</v>
      </c>
      <c r="K3360" s="55" t="s">
        <v>3110</v>
      </c>
      <c r="L3360" s="55" t="s">
        <v>3108</v>
      </c>
      <c r="M3360" s="90">
        <v>-3.68</v>
      </c>
      <c r="N3360" s="90">
        <v>33.43</v>
      </c>
      <c r="O3360" s="90">
        <v>1127</v>
      </c>
      <c r="R3360" s="55">
        <v>560</v>
      </c>
      <c r="S3360" s="90">
        <v>700</v>
      </c>
      <c r="U3360" s="55" t="s">
        <v>1679</v>
      </c>
      <c r="V3360" s="55" t="s">
        <v>1818</v>
      </c>
      <c r="Y3360" s="55" t="s">
        <v>2187</v>
      </c>
      <c r="Z3360" s="55" t="s">
        <v>1356</v>
      </c>
      <c r="AA3360" s="90" t="s">
        <v>1680</v>
      </c>
      <c r="AH3360" s="55" t="s">
        <v>494</v>
      </c>
      <c r="AI3360" s="168">
        <f>(7.5+8.3)/2</f>
        <v>7.9</v>
      </c>
      <c r="AJ3360" s="90">
        <v>0.6</v>
      </c>
      <c r="AM3360" s="55" t="s">
        <v>3111</v>
      </c>
      <c r="AN3360" s="185" t="s">
        <v>3126</v>
      </c>
      <c r="AO3360" s="185" t="s">
        <v>5150</v>
      </c>
      <c r="AQ3360" s="55" t="s">
        <v>553</v>
      </c>
      <c r="AR3360" s="55" t="s">
        <v>1607</v>
      </c>
      <c r="AS3360" s="55" t="s">
        <v>132</v>
      </c>
      <c r="AU3360" s="181" t="s">
        <v>7494</v>
      </c>
      <c r="AV3360" s="185" t="s">
        <v>176</v>
      </c>
      <c r="AX3360" s="185" t="s">
        <v>176</v>
      </c>
      <c r="BK3360" s="55" t="s">
        <v>6333</v>
      </c>
      <c r="BM3360" s="192" t="s">
        <v>2702</v>
      </c>
      <c r="BN3360" s="55">
        <v>3</v>
      </c>
      <c r="BO3360" s="55">
        <v>3</v>
      </c>
      <c r="BQ3360" s="55" t="s">
        <v>141</v>
      </c>
      <c r="CB3360" s="66">
        <v>1093.1600000000001</v>
      </c>
      <c r="CC3360" s="66">
        <v>1600</v>
      </c>
      <c r="CE3360" s="65">
        <f>2097-1900</f>
        <v>197</v>
      </c>
      <c r="CF3360" s="65">
        <f>2097-1900</f>
        <v>197</v>
      </c>
      <c r="CG3360" s="65" t="s">
        <v>3130</v>
      </c>
      <c r="DB3360" s="65">
        <v>22.23</v>
      </c>
      <c r="DC3360" s="65">
        <v>31.66</v>
      </c>
      <c r="DD3360" s="65">
        <f>52.31-48.51</f>
        <v>3.8000000000000043</v>
      </c>
      <c r="DE3360" s="65">
        <f>52.31-48.51</f>
        <v>3.8000000000000043</v>
      </c>
      <c r="DF3360" s="65" t="s">
        <v>3131</v>
      </c>
      <c r="GP3360" s="292" t="s">
        <v>7494</v>
      </c>
    </row>
    <row r="3361" spans="1:198" x14ac:dyDescent="0.25">
      <c r="A3361" s="55">
        <v>3360</v>
      </c>
      <c r="B3361" s="12" t="s">
        <v>7067</v>
      </c>
      <c r="C3361" s="155">
        <v>156</v>
      </c>
      <c r="D3361" s="55" t="s">
        <v>3128</v>
      </c>
      <c r="E3361" s="90" t="s">
        <v>3106</v>
      </c>
      <c r="G3361" s="55" t="s">
        <v>3107</v>
      </c>
      <c r="H3361" s="55">
        <v>2003</v>
      </c>
      <c r="I3361" s="55">
        <v>2000</v>
      </c>
      <c r="J3361" s="55" t="s">
        <v>2688</v>
      </c>
      <c r="K3361" s="55" t="s">
        <v>3110</v>
      </c>
      <c r="L3361" s="55" t="s">
        <v>3108</v>
      </c>
      <c r="M3361" s="90">
        <v>-3.68</v>
      </c>
      <c r="N3361" s="90">
        <v>33.43</v>
      </c>
      <c r="O3361" s="90">
        <v>1127</v>
      </c>
      <c r="R3361" s="55">
        <v>560</v>
      </c>
      <c r="S3361" s="90">
        <v>700</v>
      </c>
      <c r="U3361" s="55" t="s">
        <v>1679</v>
      </c>
      <c r="V3361" s="55" t="s">
        <v>1818</v>
      </c>
      <c r="Y3361" s="55" t="s">
        <v>2187</v>
      </c>
      <c r="Z3361" s="55" t="s">
        <v>1356</v>
      </c>
      <c r="AA3361" s="90" t="s">
        <v>1680</v>
      </c>
      <c r="AH3361" s="55" t="s">
        <v>494</v>
      </c>
      <c r="AI3361" s="168">
        <f>(7.5+8.3)/2</f>
        <v>7.9</v>
      </c>
      <c r="AJ3361" s="90">
        <v>0.6</v>
      </c>
      <c r="AM3361" s="55" t="s">
        <v>3111</v>
      </c>
      <c r="AN3361" s="185" t="s">
        <v>3127</v>
      </c>
      <c r="AO3361" s="185" t="s">
        <v>5150</v>
      </c>
      <c r="AQ3361" s="55" t="s">
        <v>553</v>
      </c>
      <c r="AR3361" s="55" t="s">
        <v>1607</v>
      </c>
      <c r="AS3361" s="55" t="s">
        <v>132</v>
      </c>
      <c r="AU3361" s="181" t="s">
        <v>7494</v>
      </c>
      <c r="AV3361" s="185" t="s">
        <v>176</v>
      </c>
      <c r="AX3361" s="185" t="s">
        <v>176</v>
      </c>
      <c r="BK3361" s="55" t="s">
        <v>6333</v>
      </c>
      <c r="BM3361" s="192" t="s">
        <v>2702</v>
      </c>
      <c r="BN3361" s="55">
        <v>3</v>
      </c>
      <c r="BO3361" s="55">
        <v>3</v>
      </c>
      <c r="BQ3361" s="55" t="s">
        <v>141</v>
      </c>
      <c r="CB3361" s="66">
        <v>1093.1600000000001</v>
      </c>
      <c r="CC3361" s="66">
        <v>1600</v>
      </c>
      <c r="CE3361" s="65">
        <f>2097-1900</f>
        <v>197</v>
      </c>
      <c r="CF3361" s="65">
        <f>2097-1900</f>
        <v>197</v>
      </c>
      <c r="CG3361" s="65" t="s">
        <v>3130</v>
      </c>
      <c r="DB3361" s="65">
        <v>22.23</v>
      </c>
      <c r="DC3361" s="65">
        <v>28.13</v>
      </c>
      <c r="DD3361" s="65">
        <f>52.31-48.51</f>
        <v>3.8000000000000043</v>
      </c>
      <c r="DE3361" s="65">
        <f>52.31-48.51</f>
        <v>3.8000000000000043</v>
      </c>
      <c r="DF3361" s="65" t="s">
        <v>3131</v>
      </c>
      <c r="GP3361" s="292" t="s">
        <v>7494</v>
      </c>
    </row>
    <row r="3362" spans="1:198" x14ac:dyDescent="0.25">
      <c r="A3362" s="55">
        <v>3361</v>
      </c>
      <c r="B3362" s="12" t="s">
        <v>7067</v>
      </c>
      <c r="C3362" s="155">
        <v>157</v>
      </c>
      <c r="D3362" s="55" t="s">
        <v>3141</v>
      </c>
      <c r="E3362" s="90" t="s">
        <v>3132</v>
      </c>
      <c r="G3362" s="55" t="s">
        <v>3133</v>
      </c>
      <c r="H3362" s="55">
        <v>1990</v>
      </c>
      <c r="I3362" s="55">
        <v>1986</v>
      </c>
      <c r="J3362" s="55" t="s">
        <v>2688</v>
      </c>
      <c r="K3362" s="55" t="s">
        <v>3134</v>
      </c>
      <c r="L3362" s="55" t="s">
        <v>2757</v>
      </c>
      <c r="M3362" s="90">
        <v>-7.0000000000000001E-3</v>
      </c>
      <c r="N3362" s="90">
        <v>34.6</v>
      </c>
      <c r="O3362" s="90">
        <v>1523.8</v>
      </c>
      <c r="U3362" s="55" t="s">
        <v>1805</v>
      </c>
      <c r="V3362" s="55" t="s">
        <v>1688</v>
      </c>
      <c r="Y3362" s="55" t="s">
        <v>1904</v>
      </c>
      <c r="Z3362" s="55" t="s">
        <v>1356</v>
      </c>
      <c r="AA3362" s="90" t="s">
        <v>1680</v>
      </c>
      <c r="AH3362" s="55" t="s">
        <v>139</v>
      </c>
      <c r="AN3362" s="185" t="s">
        <v>2656</v>
      </c>
      <c r="AO3362" s="185" t="s">
        <v>5150</v>
      </c>
      <c r="AQ3362" s="55" t="s">
        <v>553</v>
      </c>
      <c r="AR3362" s="55" t="s">
        <v>3137</v>
      </c>
      <c r="AS3362" s="55" t="s">
        <v>3136</v>
      </c>
      <c r="AU3362" s="181" t="s">
        <v>7494</v>
      </c>
      <c r="AV3362" s="185" t="s">
        <v>176</v>
      </c>
      <c r="AX3362" s="185" t="s">
        <v>176</v>
      </c>
      <c r="BE3362" s="226" t="s">
        <v>2700</v>
      </c>
      <c r="BF3362" s="191" t="s">
        <v>176</v>
      </c>
      <c r="BG3362" s="191" t="s">
        <v>176</v>
      </c>
      <c r="BH3362" s="226" t="s">
        <v>2700</v>
      </c>
      <c r="BI3362" s="191" t="s">
        <v>176</v>
      </c>
      <c r="BJ3362" s="55" t="s">
        <v>176</v>
      </c>
      <c r="BK3362" s="55" t="s">
        <v>5976</v>
      </c>
      <c r="BM3362" s="192" t="s">
        <v>119</v>
      </c>
      <c r="BN3362" s="55">
        <v>4</v>
      </c>
      <c r="BO3362" s="55">
        <v>4</v>
      </c>
      <c r="BQ3362" s="55" t="s">
        <v>141</v>
      </c>
      <c r="BW3362" s="65">
        <v>4770</v>
      </c>
      <c r="BX3362" s="65">
        <v>8290</v>
      </c>
      <c r="CA3362" s="65" t="s">
        <v>3138</v>
      </c>
      <c r="CB3362" s="66">
        <v>9118</v>
      </c>
      <c r="CC3362" s="66">
        <v>14324</v>
      </c>
      <c r="CM3362" s="65">
        <f>1+0.144</f>
        <v>1.1439999999999999</v>
      </c>
      <c r="CN3362" s="65">
        <f>1+0.122</f>
        <v>1.1219999999999999</v>
      </c>
      <c r="CQ3362" s="65" t="s">
        <v>3142</v>
      </c>
      <c r="DA3362" s="65" t="s">
        <v>962</v>
      </c>
      <c r="GP3362" s="292" t="s">
        <v>7494</v>
      </c>
    </row>
    <row r="3363" spans="1:198" x14ac:dyDescent="0.25">
      <c r="A3363" s="55">
        <v>3362</v>
      </c>
      <c r="B3363" s="12" t="s">
        <v>7067</v>
      </c>
      <c r="C3363" s="155">
        <v>157</v>
      </c>
      <c r="D3363" s="55" t="s">
        <v>3141</v>
      </c>
      <c r="E3363" s="90" t="s">
        <v>3132</v>
      </c>
      <c r="G3363" s="55" t="s">
        <v>3133</v>
      </c>
      <c r="H3363" s="55">
        <v>1990</v>
      </c>
      <c r="I3363" s="55">
        <v>1986</v>
      </c>
      <c r="J3363" s="55" t="s">
        <v>2688</v>
      </c>
      <c r="K3363" s="55" t="s">
        <v>3134</v>
      </c>
      <c r="L3363" s="55" t="s">
        <v>2757</v>
      </c>
      <c r="M3363" s="90">
        <v>-7.0000000000000001E-3</v>
      </c>
      <c r="N3363" s="90">
        <v>34.6</v>
      </c>
      <c r="O3363" s="90">
        <v>1523.8</v>
      </c>
      <c r="U3363" s="55" t="s">
        <v>1805</v>
      </c>
      <c r="V3363" s="55" t="s">
        <v>1688</v>
      </c>
      <c r="Y3363" s="55" t="s">
        <v>1904</v>
      </c>
      <c r="Z3363" s="55" t="s">
        <v>1356</v>
      </c>
      <c r="AA3363" s="90" t="s">
        <v>1680</v>
      </c>
      <c r="AH3363" s="55" t="s">
        <v>139</v>
      </c>
      <c r="AN3363" s="185" t="s">
        <v>2692</v>
      </c>
      <c r="AO3363" s="185" t="s">
        <v>5150</v>
      </c>
      <c r="AQ3363" s="55" t="s">
        <v>553</v>
      </c>
      <c r="AR3363" s="55" t="s">
        <v>3137</v>
      </c>
      <c r="AS3363" s="55" t="s">
        <v>3136</v>
      </c>
      <c r="AU3363" s="181" t="s">
        <v>7494</v>
      </c>
      <c r="AV3363" s="185" t="s">
        <v>176</v>
      </c>
      <c r="AX3363" s="185" t="s">
        <v>176</v>
      </c>
      <c r="BE3363" s="226" t="s">
        <v>2700</v>
      </c>
      <c r="BF3363" s="191" t="s">
        <v>176</v>
      </c>
      <c r="BG3363" s="191" t="s">
        <v>176</v>
      </c>
      <c r="BH3363" s="226" t="s">
        <v>2700</v>
      </c>
      <c r="BI3363" s="191" t="s">
        <v>176</v>
      </c>
      <c r="BJ3363" s="55" t="s">
        <v>176</v>
      </c>
      <c r="BK3363" s="55" t="s">
        <v>5976</v>
      </c>
      <c r="BM3363" s="192" t="s">
        <v>119</v>
      </c>
      <c r="BN3363" s="55">
        <v>4</v>
      </c>
      <c r="BO3363" s="55">
        <v>4</v>
      </c>
      <c r="BQ3363" s="55" t="s">
        <v>141</v>
      </c>
      <c r="BW3363" s="65">
        <v>4770</v>
      </c>
      <c r="BX3363" s="65">
        <v>8500</v>
      </c>
      <c r="CA3363" s="65" t="s">
        <v>3138</v>
      </c>
      <c r="CB3363" s="66">
        <v>9118</v>
      </c>
      <c r="CC3363" s="66">
        <v>15936</v>
      </c>
      <c r="CM3363" s="65">
        <f>1+0.144</f>
        <v>1.1439999999999999</v>
      </c>
      <c r="CN3363" s="65">
        <f>1+0.37</f>
        <v>1.37</v>
      </c>
      <c r="CQ3363" s="65" t="s">
        <v>3142</v>
      </c>
      <c r="DA3363" s="65" t="s">
        <v>962</v>
      </c>
      <c r="GP3363" s="292" t="s">
        <v>7494</v>
      </c>
    </row>
    <row r="3364" spans="1:198" x14ac:dyDescent="0.25">
      <c r="A3364" s="55">
        <v>3363</v>
      </c>
      <c r="B3364" s="12" t="s">
        <v>7067</v>
      </c>
      <c r="C3364" s="155">
        <v>157</v>
      </c>
      <c r="D3364" s="55" t="s">
        <v>3141</v>
      </c>
      <c r="E3364" s="90" t="s">
        <v>3132</v>
      </c>
      <c r="G3364" s="55" t="s">
        <v>3133</v>
      </c>
      <c r="H3364" s="55">
        <v>1990</v>
      </c>
      <c r="I3364" s="55">
        <v>1986</v>
      </c>
      <c r="J3364" s="55" t="s">
        <v>2688</v>
      </c>
      <c r="K3364" s="55" t="s">
        <v>3134</v>
      </c>
      <c r="L3364" s="55" t="s">
        <v>2757</v>
      </c>
      <c r="M3364" s="90">
        <v>-7.0000000000000001E-3</v>
      </c>
      <c r="N3364" s="90">
        <v>34.6</v>
      </c>
      <c r="O3364" s="90">
        <v>1523.8</v>
      </c>
      <c r="U3364" s="55" t="s">
        <v>1805</v>
      </c>
      <c r="V3364" s="55" t="s">
        <v>1688</v>
      </c>
      <c r="Y3364" s="55" t="s">
        <v>1904</v>
      </c>
      <c r="Z3364" s="55" t="s">
        <v>1356</v>
      </c>
      <c r="AA3364" s="90" t="s">
        <v>1680</v>
      </c>
      <c r="AH3364" s="55" t="s">
        <v>139</v>
      </c>
      <c r="AN3364" s="185" t="s">
        <v>2693</v>
      </c>
      <c r="AO3364" s="185" t="s">
        <v>5150</v>
      </c>
      <c r="AQ3364" s="55" t="s">
        <v>553</v>
      </c>
      <c r="AR3364" s="55" t="s">
        <v>3137</v>
      </c>
      <c r="AS3364" s="55" t="s">
        <v>3136</v>
      </c>
      <c r="AU3364" s="181" t="s">
        <v>7494</v>
      </c>
      <c r="AV3364" s="185" t="s">
        <v>176</v>
      </c>
      <c r="AX3364" s="185" t="s">
        <v>176</v>
      </c>
      <c r="BE3364" s="226" t="s">
        <v>2700</v>
      </c>
      <c r="BF3364" s="191" t="s">
        <v>176</v>
      </c>
      <c r="BG3364" s="191" t="s">
        <v>176</v>
      </c>
      <c r="BH3364" s="226" t="s">
        <v>2700</v>
      </c>
      <c r="BI3364" s="191" t="s">
        <v>176</v>
      </c>
      <c r="BJ3364" s="55" t="s">
        <v>176</v>
      </c>
      <c r="BK3364" s="55" t="s">
        <v>5976</v>
      </c>
      <c r="BM3364" s="192" t="s">
        <v>119</v>
      </c>
      <c r="BN3364" s="55">
        <v>4</v>
      </c>
      <c r="BO3364" s="55">
        <v>4</v>
      </c>
      <c r="BQ3364" s="55" t="s">
        <v>141</v>
      </c>
      <c r="BW3364" s="65">
        <v>4770</v>
      </c>
      <c r="BX3364" s="65">
        <v>9270</v>
      </c>
      <c r="CA3364" s="65" t="s">
        <v>3138</v>
      </c>
      <c r="CB3364" s="66">
        <v>9118</v>
      </c>
      <c r="CC3364" s="66">
        <v>16432</v>
      </c>
      <c r="CM3364" s="65">
        <f>1+0.144</f>
        <v>1.1439999999999999</v>
      </c>
      <c r="CN3364" s="65">
        <f>1+0.273</f>
        <v>1.2730000000000001</v>
      </c>
      <c r="CQ3364" s="65" t="s">
        <v>3142</v>
      </c>
      <c r="DA3364" s="65" t="s">
        <v>962</v>
      </c>
      <c r="GP3364" s="292" t="s">
        <v>7494</v>
      </c>
    </row>
    <row r="3365" spans="1:198" x14ac:dyDescent="0.25">
      <c r="A3365" s="55">
        <v>3364</v>
      </c>
      <c r="B3365" s="12" t="s">
        <v>7067</v>
      </c>
      <c r="C3365" s="155">
        <v>157</v>
      </c>
      <c r="D3365" s="55" t="s">
        <v>3189</v>
      </c>
      <c r="E3365" s="90" t="s">
        <v>3132</v>
      </c>
      <c r="G3365" s="55" t="s">
        <v>3133</v>
      </c>
      <c r="H3365" s="55">
        <v>1990</v>
      </c>
      <c r="I3365" s="55">
        <v>1986</v>
      </c>
      <c r="J3365" s="55" t="s">
        <v>2688</v>
      </c>
      <c r="K3365" s="55" t="s">
        <v>3134</v>
      </c>
      <c r="L3365" s="55" t="s">
        <v>2757</v>
      </c>
      <c r="M3365" s="90">
        <v>-7.0000000000000001E-3</v>
      </c>
      <c r="N3365" s="90">
        <v>34.6</v>
      </c>
      <c r="O3365" s="90">
        <v>1523.8</v>
      </c>
      <c r="U3365" s="55" t="s">
        <v>1805</v>
      </c>
      <c r="V3365" s="55" t="s">
        <v>1688</v>
      </c>
      <c r="Y3365" s="55" t="s">
        <v>1904</v>
      </c>
      <c r="Z3365" s="55" t="s">
        <v>1356</v>
      </c>
      <c r="AA3365" s="90" t="s">
        <v>1680</v>
      </c>
      <c r="AH3365" s="55" t="s">
        <v>139</v>
      </c>
      <c r="AN3365" s="185" t="s">
        <v>2656</v>
      </c>
      <c r="AO3365" s="185" t="s">
        <v>5150</v>
      </c>
      <c r="AQ3365" s="55" t="s">
        <v>553</v>
      </c>
      <c r="AR3365" s="55" t="s">
        <v>3135</v>
      </c>
      <c r="AS3365" s="55" t="s">
        <v>227</v>
      </c>
      <c r="AU3365" s="181" t="s">
        <v>7494</v>
      </c>
      <c r="AV3365" s="185" t="s">
        <v>176</v>
      </c>
      <c r="AX3365" s="185" t="s">
        <v>176</v>
      </c>
      <c r="BE3365" s="226" t="s">
        <v>2700</v>
      </c>
      <c r="BF3365" s="191" t="s">
        <v>176</v>
      </c>
      <c r="BG3365" s="191" t="s">
        <v>176</v>
      </c>
      <c r="BH3365" s="226" t="s">
        <v>2700</v>
      </c>
      <c r="BI3365" s="191" t="s">
        <v>176</v>
      </c>
      <c r="BJ3365" s="55" t="s">
        <v>176</v>
      </c>
      <c r="BK3365" s="55" t="s">
        <v>5976</v>
      </c>
      <c r="BM3365" s="192" t="s">
        <v>119</v>
      </c>
      <c r="BN3365" s="55">
        <v>4</v>
      </c>
      <c r="BO3365" s="55">
        <v>4</v>
      </c>
      <c r="BQ3365" s="55" t="s">
        <v>141</v>
      </c>
      <c r="BW3365" s="65">
        <v>3060</v>
      </c>
      <c r="BX3365" s="65">
        <v>3960</v>
      </c>
      <c r="BY3365" s="65">
        <v>1440</v>
      </c>
      <c r="BZ3365" s="65">
        <v>1440</v>
      </c>
      <c r="CA3365" s="65" t="s">
        <v>3139</v>
      </c>
      <c r="CB3365" s="66">
        <v>5000</v>
      </c>
      <c r="CC3365" s="66">
        <v>6075</v>
      </c>
      <c r="GP3365" s="292" t="s">
        <v>7494</v>
      </c>
    </row>
    <row r="3366" spans="1:198" x14ac:dyDescent="0.25">
      <c r="A3366" s="55">
        <v>3365</v>
      </c>
      <c r="B3366" s="12" t="s">
        <v>7067</v>
      </c>
      <c r="C3366" s="155">
        <v>157</v>
      </c>
      <c r="D3366" s="55" t="s">
        <v>3189</v>
      </c>
      <c r="E3366" s="90" t="s">
        <v>3132</v>
      </c>
      <c r="G3366" s="55" t="s">
        <v>3133</v>
      </c>
      <c r="H3366" s="55">
        <v>1990</v>
      </c>
      <c r="I3366" s="55">
        <v>1986</v>
      </c>
      <c r="J3366" s="55" t="s">
        <v>2688</v>
      </c>
      <c r="K3366" s="55" t="s">
        <v>3134</v>
      </c>
      <c r="L3366" s="55" t="s">
        <v>2757</v>
      </c>
      <c r="M3366" s="90">
        <v>-7.0000000000000001E-3</v>
      </c>
      <c r="N3366" s="90">
        <v>34.6</v>
      </c>
      <c r="O3366" s="90">
        <v>1523.8</v>
      </c>
      <c r="U3366" s="55" t="s">
        <v>1805</v>
      </c>
      <c r="V3366" s="55" t="s">
        <v>1688</v>
      </c>
      <c r="Y3366" s="55" t="s">
        <v>1904</v>
      </c>
      <c r="Z3366" s="55" t="s">
        <v>1356</v>
      </c>
      <c r="AA3366" s="90" t="s">
        <v>1680</v>
      </c>
      <c r="AH3366" s="55" t="s">
        <v>139</v>
      </c>
      <c r="AN3366" s="185" t="s">
        <v>2692</v>
      </c>
      <c r="AO3366" s="185" t="s">
        <v>5150</v>
      </c>
      <c r="AQ3366" s="55" t="s">
        <v>553</v>
      </c>
      <c r="AR3366" s="55" t="s">
        <v>3135</v>
      </c>
      <c r="AS3366" s="55" t="s">
        <v>227</v>
      </c>
      <c r="AU3366" s="181" t="s">
        <v>7494</v>
      </c>
      <c r="AV3366" s="185" t="s">
        <v>176</v>
      </c>
      <c r="AX3366" s="185" t="s">
        <v>176</v>
      </c>
      <c r="BE3366" s="226" t="s">
        <v>2700</v>
      </c>
      <c r="BF3366" s="191" t="s">
        <v>176</v>
      </c>
      <c r="BG3366" s="191" t="s">
        <v>176</v>
      </c>
      <c r="BH3366" s="226" t="s">
        <v>2700</v>
      </c>
      <c r="BI3366" s="191" t="s">
        <v>176</v>
      </c>
      <c r="BJ3366" s="55" t="s">
        <v>176</v>
      </c>
      <c r="BK3366" s="55" t="s">
        <v>5976</v>
      </c>
      <c r="BM3366" s="192" t="s">
        <v>119</v>
      </c>
      <c r="BN3366" s="55">
        <v>4</v>
      </c>
      <c r="BO3366" s="55">
        <v>4</v>
      </c>
      <c r="BQ3366" s="55" t="s">
        <v>141</v>
      </c>
      <c r="BW3366" s="65">
        <v>3060</v>
      </c>
      <c r="BX3366" s="65">
        <v>4920</v>
      </c>
      <c r="BY3366" s="65">
        <v>1440</v>
      </c>
      <c r="BZ3366" s="65">
        <v>1440</v>
      </c>
      <c r="CA3366" s="65" t="s">
        <v>3139</v>
      </c>
      <c r="CB3366" s="66">
        <v>5000</v>
      </c>
      <c r="CC3366" s="66">
        <v>7934</v>
      </c>
      <c r="GP3366" s="292" t="s">
        <v>7494</v>
      </c>
    </row>
    <row r="3367" spans="1:198" x14ac:dyDescent="0.25">
      <c r="A3367" s="55">
        <v>3366</v>
      </c>
      <c r="B3367" s="12" t="s">
        <v>7067</v>
      </c>
      <c r="C3367" s="155">
        <v>157</v>
      </c>
      <c r="D3367" s="55" t="s">
        <v>3189</v>
      </c>
      <c r="E3367" s="90" t="s">
        <v>3132</v>
      </c>
      <c r="G3367" s="55" t="s">
        <v>3133</v>
      </c>
      <c r="H3367" s="55">
        <v>1990</v>
      </c>
      <c r="I3367" s="55">
        <v>1986</v>
      </c>
      <c r="J3367" s="55" t="s">
        <v>2688</v>
      </c>
      <c r="K3367" s="55" t="s">
        <v>3134</v>
      </c>
      <c r="L3367" s="55" t="s">
        <v>2757</v>
      </c>
      <c r="M3367" s="90">
        <v>-7.0000000000000001E-3</v>
      </c>
      <c r="N3367" s="90">
        <v>34.6</v>
      </c>
      <c r="O3367" s="90">
        <v>1523.8</v>
      </c>
      <c r="U3367" s="55" t="s">
        <v>1805</v>
      </c>
      <c r="V3367" s="55" t="s">
        <v>1688</v>
      </c>
      <c r="Y3367" s="55" t="s">
        <v>1904</v>
      </c>
      <c r="Z3367" s="55" t="s">
        <v>1356</v>
      </c>
      <c r="AA3367" s="90" t="s">
        <v>1680</v>
      </c>
      <c r="AH3367" s="55" t="s">
        <v>139</v>
      </c>
      <c r="AN3367" s="185" t="s">
        <v>2693</v>
      </c>
      <c r="AO3367" s="185" t="s">
        <v>5150</v>
      </c>
      <c r="AQ3367" s="55" t="s">
        <v>553</v>
      </c>
      <c r="AR3367" s="55" t="s">
        <v>3135</v>
      </c>
      <c r="AS3367" s="55" t="s">
        <v>227</v>
      </c>
      <c r="AU3367" s="181" t="s">
        <v>7494</v>
      </c>
      <c r="AV3367" s="185" t="s">
        <v>176</v>
      </c>
      <c r="AX3367" s="185" t="s">
        <v>176</v>
      </c>
      <c r="BE3367" s="226" t="s">
        <v>2700</v>
      </c>
      <c r="BF3367" s="191" t="s">
        <v>176</v>
      </c>
      <c r="BG3367" s="191" t="s">
        <v>176</v>
      </c>
      <c r="BH3367" s="226" t="s">
        <v>2700</v>
      </c>
      <c r="BI3367" s="191" t="s">
        <v>176</v>
      </c>
      <c r="BJ3367" s="55" t="s">
        <v>176</v>
      </c>
      <c r="BK3367" s="55" t="s">
        <v>5976</v>
      </c>
      <c r="BM3367" s="192" t="s">
        <v>119</v>
      </c>
      <c r="BN3367" s="55">
        <v>4</v>
      </c>
      <c r="BO3367" s="55">
        <v>4</v>
      </c>
      <c r="BQ3367" s="55" t="s">
        <v>141</v>
      </c>
      <c r="BW3367" s="65">
        <v>3060</v>
      </c>
      <c r="BX3367" s="65">
        <v>3630</v>
      </c>
      <c r="BY3367" s="65">
        <v>1440</v>
      </c>
      <c r="BZ3367" s="65">
        <v>1440</v>
      </c>
      <c r="CA3367" s="65" t="s">
        <v>3139</v>
      </c>
      <c r="CB3367" s="66">
        <v>5000</v>
      </c>
      <c r="CC3367" s="66">
        <v>6448</v>
      </c>
      <c r="GP3367" s="292" t="s">
        <v>7494</v>
      </c>
    </row>
    <row r="3368" spans="1:198" x14ac:dyDescent="0.25">
      <c r="A3368" s="55">
        <v>3367</v>
      </c>
      <c r="B3368" s="12" t="s">
        <v>7067</v>
      </c>
      <c r="C3368" s="155">
        <v>157</v>
      </c>
      <c r="D3368" s="55" t="s">
        <v>3190</v>
      </c>
      <c r="E3368" s="90" t="s">
        <v>3132</v>
      </c>
      <c r="G3368" s="55" t="s">
        <v>3133</v>
      </c>
      <c r="H3368" s="55">
        <v>1990</v>
      </c>
      <c r="I3368" s="55">
        <v>1986</v>
      </c>
      <c r="J3368" s="55" t="s">
        <v>2688</v>
      </c>
      <c r="K3368" s="55" t="s">
        <v>3134</v>
      </c>
      <c r="L3368" s="55" t="s">
        <v>2757</v>
      </c>
      <c r="M3368" s="90">
        <v>-7.0000000000000001E-3</v>
      </c>
      <c r="N3368" s="90">
        <v>34.6</v>
      </c>
      <c r="O3368" s="90">
        <v>1523.8</v>
      </c>
      <c r="U3368" s="55" t="s">
        <v>1805</v>
      </c>
      <c r="V3368" s="55" t="s">
        <v>1688</v>
      </c>
      <c r="Y3368" s="55" t="s">
        <v>1904</v>
      </c>
      <c r="Z3368" s="55" t="s">
        <v>1356</v>
      </c>
      <c r="AA3368" s="90" t="s">
        <v>1680</v>
      </c>
      <c r="AH3368" s="55" t="s">
        <v>139</v>
      </c>
      <c r="AN3368" s="185" t="s">
        <v>2656</v>
      </c>
      <c r="AO3368" s="185" t="s">
        <v>5150</v>
      </c>
      <c r="AQ3368" s="55" t="s">
        <v>553</v>
      </c>
      <c r="AR3368" s="55" t="s">
        <v>1607</v>
      </c>
      <c r="AS3368" s="55" t="s">
        <v>132</v>
      </c>
      <c r="AU3368" s="181" t="s">
        <v>7494</v>
      </c>
      <c r="AV3368" s="185" t="s">
        <v>176</v>
      </c>
      <c r="AX3368" s="185" t="s">
        <v>176</v>
      </c>
      <c r="BE3368" s="226" t="s">
        <v>2700</v>
      </c>
      <c r="BF3368" s="191" t="s">
        <v>176</v>
      </c>
      <c r="BG3368" s="191" t="s">
        <v>176</v>
      </c>
      <c r="BH3368" s="226" t="s">
        <v>2700</v>
      </c>
      <c r="BI3368" s="191" t="s">
        <v>176</v>
      </c>
      <c r="BJ3368" s="55" t="s">
        <v>176</v>
      </c>
      <c r="BK3368" s="55" t="s">
        <v>5976</v>
      </c>
      <c r="BM3368" s="192" t="s">
        <v>119</v>
      </c>
      <c r="BN3368" s="55">
        <v>4</v>
      </c>
      <c r="BO3368" s="55">
        <v>4</v>
      </c>
      <c r="BQ3368" s="55" t="s">
        <v>141</v>
      </c>
      <c r="BW3368" s="65">
        <v>497</v>
      </c>
      <c r="BX3368" s="65">
        <v>330</v>
      </c>
      <c r="BY3368" s="65">
        <v>124</v>
      </c>
      <c r="BZ3368" s="65">
        <v>124</v>
      </c>
      <c r="CA3368" s="65" t="s">
        <v>3140</v>
      </c>
      <c r="CB3368" s="66">
        <v>841</v>
      </c>
      <c r="CC3368" s="66">
        <v>470</v>
      </c>
      <c r="GP3368" s="292" t="s">
        <v>7494</v>
      </c>
    </row>
    <row r="3369" spans="1:198" x14ac:dyDescent="0.25">
      <c r="A3369" s="55">
        <v>3368</v>
      </c>
      <c r="B3369" s="12" t="s">
        <v>7067</v>
      </c>
      <c r="C3369" s="155">
        <v>157</v>
      </c>
      <c r="D3369" s="55" t="s">
        <v>3190</v>
      </c>
      <c r="E3369" s="90" t="s">
        <v>3132</v>
      </c>
      <c r="G3369" s="55" t="s">
        <v>3133</v>
      </c>
      <c r="H3369" s="55">
        <v>1990</v>
      </c>
      <c r="I3369" s="55">
        <v>1986</v>
      </c>
      <c r="J3369" s="55" t="s">
        <v>2688</v>
      </c>
      <c r="K3369" s="55" t="s">
        <v>3134</v>
      </c>
      <c r="L3369" s="55" t="s">
        <v>2757</v>
      </c>
      <c r="M3369" s="90">
        <v>-7.0000000000000001E-3</v>
      </c>
      <c r="N3369" s="90">
        <v>34.6</v>
      </c>
      <c r="O3369" s="90">
        <v>1523.8</v>
      </c>
      <c r="U3369" s="55" t="s">
        <v>1805</v>
      </c>
      <c r="V3369" s="55" t="s">
        <v>1688</v>
      </c>
      <c r="Y3369" s="55" t="s">
        <v>1904</v>
      </c>
      <c r="Z3369" s="55" t="s">
        <v>1356</v>
      </c>
      <c r="AA3369" s="90" t="s">
        <v>1680</v>
      </c>
      <c r="AH3369" s="55" t="s">
        <v>139</v>
      </c>
      <c r="AN3369" s="185" t="s">
        <v>2692</v>
      </c>
      <c r="AO3369" s="185" t="s">
        <v>5150</v>
      </c>
      <c r="AQ3369" s="55" t="s">
        <v>553</v>
      </c>
      <c r="AR3369" s="55" t="s">
        <v>1607</v>
      </c>
      <c r="AS3369" s="55" t="s">
        <v>132</v>
      </c>
      <c r="AU3369" s="181" t="s">
        <v>7494</v>
      </c>
      <c r="AV3369" s="185" t="s">
        <v>176</v>
      </c>
      <c r="AX3369" s="185" t="s">
        <v>176</v>
      </c>
      <c r="BE3369" s="226" t="s">
        <v>2700</v>
      </c>
      <c r="BF3369" s="191" t="s">
        <v>176</v>
      </c>
      <c r="BG3369" s="191" t="s">
        <v>176</v>
      </c>
      <c r="BH3369" s="226" t="s">
        <v>2700</v>
      </c>
      <c r="BI3369" s="191" t="s">
        <v>176</v>
      </c>
      <c r="BJ3369" s="55" t="s">
        <v>176</v>
      </c>
      <c r="BK3369" s="55" t="s">
        <v>5976</v>
      </c>
      <c r="BM3369" s="192" t="s">
        <v>119</v>
      </c>
      <c r="BN3369" s="55">
        <v>4</v>
      </c>
      <c r="BO3369" s="55">
        <v>4</v>
      </c>
      <c r="BQ3369" s="55" t="s">
        <v>141</v>
      </c>
      <c r="BW3369" s="65">
        <v>497</v>
      </c>
      <c r="BX3369" s="65">
        <v>620</v>
      </c>
      <c r="BY3369" s="65">
        <v>124</v>
      </c>
      <c r="BZ3369" s="65">
        <v>124</v>
      </c>
      <c r="CA3369" s="65" t="s">
        <v>3140</v>
      </c>
      <c r="CB3369" s="66">
        <v>841</v>
      </c>
      <c r="CC3369" s="66">
        <v>1213</v>
      </c>
      <c r="GP3369" s="292" t="s">
        <v>7494</v>
      </c>
    </row>
    <row r="3370" spans="1:198" x14ac:dyDescent="0.25">
      <c r="A3370" s="55">
        <v>3369</v>
      </c>
      <c r="B3370" s="12" t="s">
        <v>7067</v>
      </c>
      <c r="C3370" s="155">
        <v>157</v>
      </c>
      <c r="D3370" s="55" t="s">
        <v>3190</v>
      </c>
      <c r="E3370" s="90" t="s">
        <v>3132</v>
      </c>
      <c r="G3370" s="55" t="s">
        <v>3133</v>
      </c>
      <c r="H3370" s="55">
        <v>1990</v>
      </c>
      <c r="I3370" s="55">
        <v>1986</v>
      </c>
      <c r="J3370" s="55" t="s">
        <v>2688</v>
      </c>
      <c r="K3370" s="55" t="s">
        <v>3134</v>
      </c>
      <c r="L3370" s="55" t="s">
        <v>2757</v>
      </c>
      <c r="M3370" s="90">
        <v>-7.0000000000000001E-3</v>
      </c>
      <c r="N3370" s="90">
        <v>34.6</v>
      </c>
      <c r="O3370" s="90">
        <v>1523.8</v>
      </c>
      <c r="U3370" s="55" t="s">
        <v>1805</v>
      </c>
      <c r="V3370" s="55" t="s">
        <v>1688</v>
      </c>
      <c r="Y3370" s="55" t="s">
        <v>1904</v>
      </c>
      <c r="Z3370" s="55" t="s">
        <v>1356</v>
      </c>
      <c r="AA3370" s="90" t="s">
        <v>1680</v>
      </c>
      <c r="AH3370" s="55" t="s">
        <v>139</v>
      </c>
      <c r="AN3370" s="185" t="s">
        <v>2693</v>
      </c>
      <c r="AO3370" s="185" t="s">
        <v>5150</v>
      </c>
      <c r="AQ3370" s="55" t="s">
        <v>553</v>
      </c>
      <c r="AR3370" s="55" t="s">
        <v>1607</v>
      </c>
      <c r="AS3370" s="55" t="s">
        <v>132</v>
      </c>
      <c r="AU3370" s="181" t="s">
        <v>7494</v>
      </c>
      <c r="AV3370" s="185" t="s">
        <v>176</v>
      </c>
      <c r="AX3370" s="185" t="s">
        <v>176</v>
      </c>
      <c r="BE3370" s="226" t="s">
        <v>2700</v>
      </c>
      <c r="BF3370" s="191" t="s">
        <v>176</v>
      </c>
      <c r="BG3370" s="191" t="s">
        <v>176</v>
      </c>
      <c r="BH3370" s="226" t="s">
        <v>2700</v>
      </c>
      <c r="BI3370" s="191" t="s">
        <v>176</v>
      </c>
      <c r="BJ3370" s="55" t="s">
        <v>176</v>
      </c>
      <c r="BK3370" s="55" t="s">
        <v>5976</v>
      </c>
      <c r="BM3370" s="192" t="s">
        <v>119</v>
      </c>
      <c r="BN3370" s="55">
        <v>4</v>
      </c>
      <c r="BO3370" s="55">
        <v>4</v>
      </c>
      <c r="BQ3370" s="55" t="s">
        <v>141</v>
      </c>
      <c r="BW3370" s="65">
        <v>497</v>
      </c>
      <c r="BX3370" s="65">
        <v>544</v>
      </c>
      <c r="BY3370" s="65">
        <v>124</v>
      </c>
      <c r="BZ3370" s="65">
        <v>124</v>
      </c>
      <c r="CA3370" s="65" t="s">
        <v>3140</v>
      </c>
      <c r="CB3370" s="66">
        <v>841</v>
      </c>
      <c r="CC3370" s="66">
        <v>800</v>
      </c>
      <c r="GP3370" s="292" t="s">
        <v>7494</v>
      </c>
    </row>
    <row r="3371" spans="1:198" x14ac:dyDescent="0.25">
      <c r="A3371" s="55">
        <v>3370</v>
      </c>
      <c r="B3371" s="12" t="s">
        <v>7067</v>
      </c>
      <c r="C3371" s="155">
        <v>158</v>
      </c>
      <c r="D3371" s="55" t="s">
        <v>3148</v>
      </c>
      <c r="E3371" s="90" t="s">
        <v>3144</v>
      </c>
      <c r="G3371" s="55" t="s">
        <v>3145</v>
      </c>
      <c r="H3371" s="55">
        <v>1999</v>
      </c>
      <c r="I3371" s="55">
        <v>1995</v>
      </c>
      <c r="J3371" s="55" t="s">
        <v>2688</v>
      </c>
      <c r="K3371" s="55" t="s">
        <v>3143</v>
      </c>
      <c r="L3371" s="55" t="s">
        <v>2748</v>
      </c>
      <c r="M3371" s="90">
        <f>-15-18.5/60</f>
        <v>-15.308333333333334</v>
      </c>
      <c r="N3371" s="90">
        <f>35+23.5/60</f>
        <v>35.391666666666666</v>
      </c>
      <c r="O3371" s="90">
        <v>800</v>
      </c>
      <c r="S3371" s="90">
        <v>1150</v>
      </c>
      <c r="U3371" s="55" t="s">
        <v>1935</v>
      </c>
      <c r="V3371" s="55" t="s">
        <v>1688</v>
      </c>
      <c r="Y3371" s="55" t="s">
        <v>3146</v>
      </c>
      <c r="Z3371" s="55" t="s">
        <v>1349</v>
      </c>
      <c r="AA3371" s="90" t="s">
        <v>1677</v>
      </c>
      <c r="AD3371" s="90">
        <v>1.3</v>
      </c>
      <c r="AE3371" s="90">
        <v>45</v>
      </c>
      <c r="AF3371" s="90">
        <v>37</v>
      </c>
      <c r="AH3371" s="55" t="s">
        <v>139</v>
      </c>
      <c r="AI3371" s="168">
        <v>6.5</v>
      </c>
      <c r="AJ3371" s="90">
        <v>2.11</v>
      </c>
      <c r="AL3371" s="55">
        <v>5.4</v>
      </c>
      <c r="AN3371" s="185" t="s">
        <v>2692</v>
      </c>
      <c r="AO3371" s="185" t="s">
        <v>5150</v>
      </c>
      <c r="AQ3371" s="55" t="s">
        <v>553</v>
      </c>
      <c r="AR3371" s="55" t="s">
        <v>1607</v>
      </c>
      <c r="AS3371" s="55" t="s">
        <v>132</v>
      </c>
      <c r="AU3371" s="181" t="s">
        <v>7494</v>
      </c>
      <c r="AV3371" s="185" t="s">
        <v>176</v>
      </c>
      <c r="AX3371" s="185" t="s">
        <v>176</v>
      </c>
      <c r="BE3371" s="226" t="s">
        <v>2700</v>
      </c>
      <c r="BF3371" s="191" t="s">
        <v>176</v>
      </c>
      <c r="BG3371" s="191" t="s">
        <v>176</v>
      </c>
      <c r="BH3371" s="226" t="s">
        <v>2700</v>
      </c>
      <c r="BI3371" s="191" t="s">
        <v>176</v>
      </c>
      <c r="BJ3371" s="55" t="s">
        <v>176</v>
      </c>
      <c r="BK3371" s="55" t="s">
        <v>6333</v>
      </c>
      <c r="BM3371" s="192" t="s">
        <v>160</v>
      </c>
      <c r="BS3371" s="55">
        <v>2150</v>
      </c>
      <c r="BV3371" s="55" t="s">
        <v>3150</v>
      </c>
      <c r="CB3371" s="66">
        <v>1030</v>
      </c>
      <c r="CC3371" s="66">
        <v>1650</v>
      </c>
      <c r="CE3371" s="65">
        <v>170</v>
      </c>
      <c r="CF3371" s="65">
        <v>170</v>
      </c>
      <c r="CG3371" s="65" t="s">
        <v>3150</v>
      </c>
      <c r="GP3371" s="292" t="s">
        <v>7494</v>
      </c>
    </row>
    <row r="3372" spans="1:198" x14ac:dyDescent="0.25">
      <c r="A3372" s="55">
        <v>3371</v>
      </c>
      <c r="B3372" s="12" t="s">
        <v>7067</v>
      </c>
      <c r="C3372" s="155">
        <v>158</v>
      </c>
      <c r="D3372" s="55" t="s">
        <v>3148</v>
      </c>
      <c r="E3372" s="90" t="s">
        <v>3144</v>
      </c>
      <c r="G3372" s="55" t="s">
        <v>3145</v>
      </c>
      <c r="H3372" s="55">
        <v>1999</v>
      </c>
      <c r="I3372" s="55">
        <v>1995</v>
      </c>
      <c r="J3372" s="55" t="s">
        <v>2688</v>
      </c>
      <c r="K3372" s="55" t="s">
        <v>3143</v>
      </c>
      <c r="L3372" s="55" t="s">
        <v>2748</v>
      </c>
      <c r="M3372" s="90">
        <f>-15-18.5/60</f>
        <v>-15.308333333333334</v>
      </c>
      <c r="N3372" s="90">
        <f>35+23.5/60</f>
        <v>35.391666666666666</v>
      </c>
      <c r="O3372" s="90">
        <v>800</v>
      </c>
      <c r="S3372" s="90">
        <v>1150</v>
      </c>
      <c r="U3372" s="55" t="s">
        <v>1935</v>
      </c>
      <c r="V3372" s="55" t="s">
        <v>1688</v>
      </c>
      <c r="Y3372" s="55" t="s">
        <v>3146</v>
      </c>
      <c r="Z3372" s="55" t="s">
        <v>1349</v>
      </c>
      <c r="AA3372" s="90" t="s">
        <v>1677</v>
      </c>
      <c r="AD3372" s="90">
        <v>1.2</v>
      </c>
      <c r="AE3372" s="90">
        <v>40</v>
      </c>
      <c r="AF3372" s="90">
        <v>32</v>
      </c>
      <c r="AH3372" s="55" t="s">
        <v>139</v>
      </c>
      <c r="AI3372" s="168">
        <v>6.1</v>
      </c>
      <c r="AJ3372" s="90">
        <v>1.53</v>
      </c>
      <c r="AL3372" s="55">
        <v>7.2</v>
      </c>
      <c r="AN3372" s="185" t="s">
        <v>2692</v>
      </c>
      <c r="AO3372" s="185" t="s">
        <v>5150</v>
      </c>
      <c r="AQ3372" s="55" t="s">
        <v>553</v>
      </c>
      <c r="AR3372" s="55" t="s">
        <v>1607</v>
      </c>
      <c r="AS3372" s="55" t="s">
        <v>132</v>
      </c>
      <c r="AU3372" s="181" t="s">
        <v>7494</v>
      </c>
      <c r="AV3372" s="185" t="s">
        <v>176</v>
      </c>
      <c r="AX3372" s="185" t="s">
        <v>176</v>
      </c>
      <c r="BE3372" s="226" t="s">
        <v>2700</v>
      </c>
      <c r="BF3372" s="191" t="s">
        <v>176</v>
      </c>
      <c r="BG3372" s="191" t="s">
        <v>176</v>
      </c>
      <c r="BH3372" s="226" t="s">
        <v>2700</v>
      </c>
      <c r="BI3372" s="191" t="s">
        <v>176</v>
      </c>
      <c r="BJ3372" s="55" t="s">
        <v>176</v>
      </c>
      <c r="BK3372" s="55" t="s">
        <v>6333</v>
      </c>
      <c r="BM3372" s="192" t="s">
        <v>160</v>
      </c>
      <c r="BS3372" s="55">
        <v>1240</v>
      </c>
      <c r="BV3372" s="55" t="s">
        <v>3150</v>
      </c>
      <c r="CB3372" s="66">
        <v>1030</v>
      </c>
      <c r="CC3372" s="66">
        <v>1360</v>
      </c>
      <c r="CE3372" s="65">
        <v>170</v>
      </c>
      <c r="CF3372" s="65">
        <v>170</v>
      </c>
      <c r="CG3372" s="65" t="s">
        <v>3150</v>
      </c>
      <c r="GP3372" s="292" t="s">
        <v>7494</v>
      </c>
    </row>
    <row r="3373" spans="1:198" x14ac:dyDescent="0.25">
      <c r="A3373" s="55">
        <v>3372</v>
      </c>
      <c r="B3373" s="12" t="s">
        <v>7067</v>
      </c>
      <c r="C3373" s="155">
        <v>158</v>
      </c>
      <c r="D3373" s="55" t="s">
        <v>3148</v>
      </c>
      <c r="E3373" s="90" t="s">
        <v>3144</v>
      </c>
      <c r="G3373" s="55" t="s">
        <v>3145</v>
      </c>
      <c r="H3373" s="55">
        <v>1999</v>
      </c>
      <c r="I3373" s="55">
        <v>1995</v>
      </c>
      <c r="J3373" s="55" t="s">
        <v>2688</v>
      </c>
      <c r="K3373" s="55" t="s">
        <v>3143</v>
      </c>
      <c r="L3373" s="55" t="s">
        <v>2748</v>
      </c>
      <c r="M3373" s="90">
        <f>-15-18.5/60</f>
        <v>-15.308333333333334</v>
      </c>
      <c r="N3373" s="90">
        <f>35+23.5/60</f>
        <v>35.391666666666666</v>
      </c>
      <c r="O3373" s="90">
        <v>800</v>
      </c>
      <c r="S3373" s="90">
        <v>1150</v>
      </c>
      <c r="U3373" s="55" t="s">
        <v>1935</v>
      </c>
      <c r="V3373" s="55" t="s">
        <v>1688</v>
      </c>
      <c r="Y3373" s="55" t="s">
        <v>3146</v>
      </c>
      <c r="Z3373" s="55" t="s">
        <v>1349</v>
      </c>
      <c r="AA3373" s="90" t="s">
        <v>1677</v>
      </c>
      <c r="AD3373" s="90">
        <v>1.4</v>
      </c>
      <c r="AE3373" s="90">
        <v>36</v>
      </c>
      <c r="AF3373" s="90">
        <v>42</v>
      </c>
      <c r="AH3373" s="55" t="s">
        <v>139</v>
      </c>
      <c r="AI3373" s="168">
        <v>5.3</v>
      </c>
      <c r="AJ3373" s="90">
        <v>0.87</v>
      </c>
      <c r="AL3373" s="55">
        <v>7.2</v>
      </c>
      <c r="AN3373" s="185" t="s">
        <v>2692</v>
      </c>
      <c r="AO3373" s="185" t="s">
        <v>5150</v>
      </c>
      <c r="AQ3373" s="55" t="s">
        <v>553</v>
      </c>
      <c r="AR3373" s="55" t="s">
        <v>1607</v>
      </c>
      <c r="AS3373" s="55" t="s">
        <v>132</v>
      </c>
      <c r="AU3373" s="181" t="s">
        <v>7494</v>
      </c>
      <c r="AV3373" s="185" t="s">
        <v>176</v>
      </c>
      <c r="AX3373" s="185" t="s">
        <v>176</v>
      </c>
      <c r="BE3373" s="226" t="s">
        <v>2700</v>
      </c>
      <c r="BF3373" s="191" t="s">
        <v>176</v>
      </c>
      <c r="BG3373" s="191" t="s">
        <v>176</v>
      </c>
      <c r="BH3373" s="226" t="s">
        <v>2700</v>
      </c>
      <c r="BI3373" s="191" t="s">
        <v>176</v>
      </c>
      <c r="BJ3373" s="55" t="s">
        <v>176</v>
      </c>
      <c r="BK3373" s="55" t="s">
        <v>6333</v>
      </c>
      <c r="BM3373" s="192" t="s">
        <v>160</v>
      </c>
      <c r="BS3373" s="55">
        <v>680</v>
      </c>
      <c r="BV3373" s="55" t="s">
        <v>3150</v>
      </c>
      <c r="CB3373" s="66">
        <v>950</v>
      </c>
      <c r="CC3373" s="66">
        <v>950</v>
      </c>
      <c r="CE3373" s="65">
        <v>170</v>
      </c>
      <c r="CF3373" s="65">
        <v>170</v>
      </c>
      <c r="CG3373" s="65" t="s">
        <v>3150</v>
      </c>
      <c r="GP3373" s="292" t="s">
        <v>7494</v>
      </c>
    </row>
    <row r="3374" spans="1:198" x14ac:dyDescent="0.25">
      <c r="A3374" s="55">
        <v>3373</v>
      </c>
      <c r="B3374" s="12" t="s">
        <v>7067</v>
      </c>
      <c r="C3374" s="155">
        <v>158</v>
      </c>
      <c r="D3374" s="55" t="s">
        <v>3148</v>
      </c>
      <c r="E3374" s="90" t="s">
        <v>3144</v>
      </c>
      <c r="G3374" s="55" t="s">
        <v>3145</v>
      </c>
      <c r="H3374" s="55">
        <v>1999</v>
      </c>
      <c r="I3374" s="55">
        <v>1996</v>
      </c>
      <c r="J3374" s="55" t="s">
        <v>2688</v>
      </c>
      <c r="K3374" s="55" t="s">
        <v>3143</v>
      </c>
      <c r="L3374" s="55" t="s">
        <v>2748</v>
      </c>
      <c r="M3374" s="90">
        <f>-15-18.5/60</f>
        <v>-15.308333333333334</v>
      </c>
      <c r="N3374" s="90">
        <f>35+23.5/60</f>
        <v>35.391666666666666</v>
      </c>
      <c r="O3374" s="90">
        <v>800</v>
      </c>
      <c r="S3374" s="90">
        <v>1150</v>
      </c>
      <c r="U3374" s="55" t="s">
        <v>1805</v>
      </c>
      <c r="V3374" s="55" t="s">
        <v>1688</v>
      </c>
      <c r="Y3374" s="55" t="s">
        <v>3146</v>
      </c>
      <c r="Z3374" s="55" t="s">
        <v>1349</v>
      </c>
      <c r="AA3374" s="90" t="s">
        <v>1677</v>
      </c>
      <c r="AD3374" s="90">
        <v>1.3</v>
      </c>
      <c r="AE3374" s="90">
        <v>45</v>
      </c>
      <c r="AF3374" s="90">
        <v>37</v>
      </c>
      <c r="AH3374" s="55" t="s">
        <v>139</v>
      </c>
      <c r="AI3374" s="168">
        <v>6.5</v>
      </c>
      <c r="AJ3374" s="90">
        <v>2.11</v>
      </c>
      <c r="AL3374" s="55">
        <v>5.4</v>
      </c>
      <c r="AN3374" s="185" t="s">
        <v>2692</v>
      </c>
      <c r="AO3374" s="185" t="s">
        <v>5150</v>
      </c>
      <c r="AQ3374" s="55" t="s">
        <v>553</v>
      </c>
      <c r="AR3374" s="55" t="s">
        <v>1607</v>
      </c>
      <c r="AS3374" s="55" t="s">
        <v>132</v>
      </c>
      <c r="AU3374" s="181" t="s">
        <v>7494</v>
      </c>
      <c r="AV3374" s="185" t="s">
        <v>176</v>
      </c>
      <c r="AX3374" s="185" t="s">
        <v>176</v>
      </c>
      <c r="BE3374" s="226" t="s">
        <v>2700</v>
      </c>
      <c r="BF3374" s="191" t="s">
        <v>176</v>
      </c>
      <c r="BG3374" s="191" t="s">
        <v>176</v>
      </c>
      <c r="BH3374" s="226" t="s">
        <v>2700</v>
      </c>
      <c r="BI3374" s="191" t="s">
        <v>176</v>
      </c>
      <c r="BJ3374" s="55" t="s">
        <v>176</v>
      </c>
      <c r="BK3374" s="55" t="s">
        <v>6333</v>
      </c>
      <c r="BM3374" s="192" t="s">
        <v>160</v>
      </c>
      <c r="BS3374" s="55">
        <v>2310</v>
      </c>
      <c r="BV3374" s="55" t="s">
        <v>3151</v>
      </c>
      <c r="BW3374" s="65">
        <v>1720</v>
      </c>
      <c r="BX3374" s="65">
        <v>1650</v>
      </c>
      <c r="BY3374" s="65">
        <v>410</v>
      </c>
      <c r="BZ3374" s="65">
        <v>410</v>
      </c>
      <c r="CB3374" s="66">
        <v>1300</v>
      </c>
      <c r="CC3374" s="66">
        <v>1370</v>
      </c>
      <c r="CE3374" s="65">
        <v>470</v>
      </c>
      <c r="CF3374" s="65">
        <v>470</v>
      </c>
      <c r="CG3374" s="65" t="s">
        <v>3151</v>
      </c>
      <c r="GP3374" s="292" t="s">
        <v>7494</v>
      </c>
    </row>
    <row r="3375" spans="1:198" x14ac:dyDescent="0.25">
      <c r="A3375" s="55">
        <v>3374</v>
      </c>
      <c r="B3375" s="12" t="s">
        <v>7067</v>
      </c>
      <c r="C3375" s="155">
        <v>158</v>
      </c>
      <c r="D3375" s="55" t="s">
        <v>3148</v>
      </c>
      <c r="E3375" s="90" t="s">
        <v>3144</v>
      </c>
      <c r="G3375" s="55" t="s">
        <v>3145</v>
      </c>
      <c r="H3375" s="55">
        <v>1999</v>
      </c>
      <c r="I3375" s="55">
        <v>1996</v>
      </c>
      <c r="J3375" s="55" t="s">
        <v>2688</v>
      </c>
      <c r="K3375" s="55" t="s">
        <v>3143</v>
      </c>
      <c r="L3375" s="55" t="s">
        <v>2748</v>
      </c>
      <c r="M3375" s="90">
        <f>-15-18.5/60</f>
        <v>-15.308333333333334</v>
      </c>
      <c r="N3375" s="90">
        <f>35+23.5/60</f>
        <v>35.391666666666666</v>
      </c>
      <c r="O3375" s="90">
        <v>800</v>
      </c>
      <c r="S3375" s="90">
        <v>1150</v>
      </c>
      <c r="U3375" s="55" t="s">
        <v>1805</v>
      </c>
      <c r="V3375" s="55" t="s">
        <v>1688</v>
      </c>
      <c r="Y3375" s="55" t="s">
        <v>3146</v>
      </c>
      <c r="Z3375" s="55" t="s">
        <v>1349</v>
      </c>
      <c r="AA3375" s="90" t="s">
        <v>1677</v>
      </c>
      <c r="AD3375" s="90">
        <v>1.2</v>
      </c>
      <c r="AE3375" s="90">
        <v>40</v>
      </c>
      <c r="AF3375" s="90">
        <v>32</v>
      </c>
      <c r="AH3375" s="55" t="s">
        <v>139</v>
      </c>
      <c r="AI3375" s="168">
        <v>6.1</v>
      </c>
      <c r="AJ3375" s="90">
        <v>1.53</v>
      </c>
      <c r="AL3375" s="55">
        <v>7.2</v>
      </c>
      <c r="AN3375" s="185" t="s">
        <v>2692</v>
      </c>
      <c r="AO3375" s="185" t="s">
        <v>5150</v>
      </c>
      <c r="AQ3375" s="55" t="s">
        <v>553</v>
      </c>
      <c r="AR3375" s="55" t="s">
        <v>1607</v>
      </c>
      <c r="AS3375" s="55" t="s">
        <v>132</v>
      </c>
      <c r="AU3375" s="181" t="s">
        <v>7494</v>
      </c>
      <c r="AV3375" s="185" t="s">
        <v>176</v>
      </c>
      <c r="AX3375" s="185" t="s">
        <v>176</v>
      </c>
      <c r="BE3375" s="226" t="s">
        <v>2700</v>
      </c>
      <c r="BF3375" s="191" t="s">
        <v>176</v>
      </c>
      <c r="BG3375" s="191" t="s">
        <v>176</v>
      </c>
      <c r="BH3375" s="226" t="s">
        <v>2700</v>
      </c>
      <c r="BI3375" s="191" t="s">
        <v>176</v>
      </c>
      <c r="BJ3375" s="55" t="s">
        <v>176</v>
      </c>
      <c r="BK3375" s="55" t="s">
        <v>6333</v>
      </c>
      <c r="BM3375" s="192" t="s">
        <v>160</v>
      </c>
      <c r="BS3375" s="55">
        <v>2690</v>
      </c>
      <c r="BV3375" s="55" t="s">
        <v>3151</v>
      </c>
      <c r="BW3375" s="65">
        <v>1820</v>
      </c>
      <c r="BX3375" s="65">
        <v>1760</v>
      </c>
      <c r="BY3375" s="65">
        <v>410</v>
      </c>
      <c r="BZ3375" s="65">
        <v>410</v>
      </c>
      <c r="CB3375" s="66">
        <v>1090</v>
      </c>
      <c r="CC3375" s="66">
        <v>1100</v>
      </c>
      <c r="CE3375" s="65">
        <v>470</v>
      </c>
      <c r="CF3375" s="65">
        <v>470</v>
      </c>
      <c r="CG3375" s="65" t="s">
        <v>3151</v>
      </c>
      <c r="GP3375" s="292" t="s">
        <v>7494</v>
      </c>
    </row>
    <row r="3376" spans="1:198" x14ac:dyDescent="0.25">
      <c r="A3376" s="55">
        <v>3375</v>
      </c>
      <c r="B3376" s="12" t="s">
        <v>7067</v>
      </c>
      <c r="C3376" s="155">
        <v>158</v>
      </c>
      <c r="D3376" s="55" t="s">
        <v>3148</v>
      </c>
      <c r="E3376" s="90" t="s">
        <v>3144</v>
      </c>
      <c r="G3376" s="55" t="s">
        <v>3145</v>
      </c>
      <c r="H3376" s="55">
        <v>1999</v>
      </c>
      <c r="I3376" s="55">
        <v>1996</v>
      </c>
      <c r="J3376" s="55" t="s">
        <v>2688</v>
      </c>
      <c r="K3376" s="55" t="s">
        <v>3143</v>
      </c>
      <c r="L3376" s="55" t="s">
        <v>2748</v>
      </c>
      <c r="M3376" s="90">
        <f>-15-18.5/60</f>
        <v>-15.308333333333334</v>
      </c>
      <c r="N3376" s="90">
        <f>35+23.5/60</f>
        <v>35.391666666666666</v>
      </c>
      <c r="O3376" s="90">
        <v>800</v>
      </c>
      <c r="S3376" s="90">
        <v>1150</v>
      </c>
      <c r="U3376" s="55" t="s">
        <v>1805</v>
      </c>
      <c r="V3376" s="55" t="s">
        <v>1688</v>
      </c>
      <c r="Y3376" s="55" t="s">
        <v>3146</v>
      </c>
      <c r="Z3376" s="55" t="s">
        <v>1349</v>
      </c>
      <c r="AA3376" s="90" t="s">
        <v>1677</v>
      </c>
      <c r="AD3376" s="90">
        <v>1.4</v>
      </c>
      <c r="AE3376" s="90">
        <v>36</v>
      </c>
      <c r="AF3376" s="90">
        <v>42</v>
      </c>
      <c r="AH3376" s="55" t="s">
        <v>139</v>
      </c>
      <c r="AI3376" s="168">
        <v>5.3</v>
      </c>
      <c r="AJ3376" s="90">
        <v>0.87</v>
      </c>
      <c r="AL3376" s="55">
        <v>7.2</v>
      </c>
      <c r="AN3376" s="185" t="s">
        <v>2692</v>
      </c>
      <c r="AO3376" s="185" t="s">
        <v>5150</v>
      </c>
      <c r="AQ3376" s="55" t="s">
        <v>553</v>
      </c>
      <c r="AR3376" s="55" t="s">
        <v>1607</v>
      </c>
      <c r="AS3376" s="55" t="s">
        <v>132</v>
      </c>
      <c r="AU3376" s="181" t="s">
        <v>7494</v>
      </c>
      <c r="AV3376" s="185" t="s">
        <v>176</v>
      </c>
      <c r="AX3376" s="185" t="s">
        <v>176</v>
      </c>
      <c r="BE3376" s="226" t="s">
        <v>2700</v>
      </c>
      <c r="BF3376" s="191" t="s">
        <v>176</v>
      </c>
      <c r="BG3376" s="191" t="s">
        <v>176</v>
      </c>
      <c r="BH3376" s="226" t="s">
        <v>2700</v>
      </c>
      <c r="BI3376" s="191" t="s">
        <v>176</v>
      </c>
      <c r="BJ3376" s="55" t="s">
        <v>176</v>
      </c>
      <c r="BK3376" s="55" t="s">
        <v>6333</v>
      </c>
      <c r="BM3376" s="192" t="s">
        <v>160</v>
      </c>
      <c r="BS3376" s="55">
        <v>1080</v>
      </c>
      <c r="BV3376" s="55" t="s">
        <v>3151</v>
      </c>
      <c r="BW3376" s="65">
        <v>980</v>
      </c>
      <c r="BX3376" s="65">
        <v>1060</v>
      </c>
      <c r="BY3376" s="65">
        <v>410</v>
      </c>
      <c r="BZ3376" s="65">
        <v>410</v>
      </c>
      <c r="CB3376" s="66">
        <v>510</v>
      </c>
      <c r="CC3376" s="66">
        <v>520</v>
      </c>
      <c r="CE3376" s="65">
        <v>470</v>
      </c>
      <c r="CF3376" s="65">
        <v>470</v>
      </c>
      <c r="CG3376" s="65" t="s">
        <v>3151</v>
      </c>
      <c r="GP3376" s="292" t="s">
        <v>7494</v>
      </c>
    </row>
    <row r="3377" spans="1:198" x14ac:dyDescent="0.25">
      <c r="A3377" s="55">
        <v>3376</v>
      </c>
      <c r="B3377" s="12" t="s">
        <v>7067</v>
      </c>
      <c r="C3377" s="155">
        <v>158</v>
      </c>
      <c r="D3377" s="55" t="s">
        <v>3148</v>
      </c>
      <c r="E3377" s="90" t="s">
        <v>3144</v>
      </c>
      <c r="G3377" s="55" t="s">
        <v>3145</v>
      </c>
      <c r="H3377" s="55">
        <v>1999</v>
      </c>
      <c r="I3377" s="55">
        <v>1997</v>
      </c>
      <c r="J3377" s="55" t="s">
        <v>2688</v>
      </c>
      <c r="K3377" s="55" t="s">
        <v>3143</v>
      </c>
      <c r="L3377" s="55" t="s">
        <v>2748</v>
      </c>
      <c r="M3377" s="90">
        <f>-15-18.5/60</f>
        <v>-15.308333333333334</v>
      </c>
      <c r="N3377" s="90">
        <f>35+23.5/60</f>
        <v>35.391666666666666</v>
      </c>
      <c r="O3377" s="90">
        <v>800</v>
      </c>
      <c r="S3377" s="90">
        <v>1150</v>
      </c>
      <c r="U3377" s="55" t="s">
        <v>1688</v>
      </c>
      <c r="V3377" s="55" t="s">
        <v>1688</v>
      </c>
      <c r="Y3377" s="55" t="s">
        <v>3146</v>
      </c>
      <c r="Z3377" s="55" t="s">
        <v>1349</v>
      </c>
      <c r="AA3377" s="90" t="s">
        <v>1677</v>
      </c>
      <c r="AD3377" s="90">
        <v>1.3</v>
      </c>
      <c r="AE3377" s="90">
        <v>45</v>
      </c>
      <c r="AF3377" s="90">
        <v>37</v>
      </c>
      <c r="AH3377" s="55" t="s">
        <v>139</v>
      </c>
      <c r="AI3377" s="168">
        <v>6.5</v>
      </c>
      <c r="AJ3377" s="90">
        <v>2.11</v>
      </c>
      <c r="AL3377" s="55">
        <v>5.4</v>
      </c>
      <c r="AN3377" s="185" t="s">
        <v>2692</v>
      </c>
      <c r="AO3377" s="185" t="s">
        <v>5150</v>
      </c>
      <c r="AQ3377" s="55" t="s">
        <v>553</v>
      </c>
      <c r="AR3377" s="55" t="s">
        <v>1607</v>
      </c>
      <c r="AS3377" s="55" t="s">
        <v>132</v>
      </c>
      <c r="AU3377" s="181" t="s">
        <v>7494</v>
      </c>
      <c r="AV3377" s="185" t="s">
        <v>176</v>
      </c>
      <c r="AX3377" s="185" t="s">
        <v>176</v>
      </c>
      <c r="BE3377" s="226" t="s">
        <v>2700</v>
      </c>
      <c r="BF3377" s="191" t="s">
        <v>176</v>
      </c>
      <c r="BG3377" s="191" t="s">
        <v>176</v>
      </c>
      <c r="BH3377" s="226" t="s">
        <v>2700</v>
      </c>
      <c r="BI3377" s="191" t="s">
        <v>176</v>
      </c>
      <c r="BJ3377" s="55" t="s">
        <v>176</v>
      </c>
      <c r="BK3377" s="55" t="s">
        <v>6333</v>
      </c>
      <c r="BM3377" s="192" t="s">
        <v>160</v>
      </c>
      <c r="BV3377" s="55" t="s">
        <v>3152</v>
      </c>
      <c r="BW3377" s="65">
        <v>810</v>
      </c>
      <c r="BX3377" s="65">
        <v>1980</v>
      </c>
      <c r="BY3377" s="65">
        <v>310</v>
      </c>
      <c r="BZ3377" s="65">
        <v>310</v>
      </c>
      <c r="CB3377" s="66">
        <v>670</v>
      </c>
      <c r="CC3377" s="66">
        <v>1100</v>
      </c>
      <c r="CE3377" s="65">
        <v>320</v>
      </c>
      <c r="CF3377" s="65">
        <v>320</v>
      </c>
      <c r="CG3377" s="65" t="s">
        <v>3152</v>
      </c>
      <c r="GP3377" s="292" t="s">
        <v>7494</v>
      </c>
    </row>
    <row r="3378" spans="1:198" x14ac:dyDescent="0.25">
      <c r="A3378" s="55">
        <v>3377</v>
      </c>
      <c r="B3378" s="12" t="s">
        <v>7067</v>
      </c>
      <c r="C3378" s="155">
        <v>158</v>
      </c>
      <c r="D3378" s="55" t="s">
        <v>3148</v>
      </c>
      <c r="E3378" s="90" t="s">
        <v>3144</v>
      </c>
      <c r="G3378" s="55" t="s">
        <v>3145</v>
      </c>
      <c r="H3378" s="55">
        <v>1999</v>
      </c>
      <c r="I3378" s="55">
        <v>1997</v>
      </c>
      <c r="J3378" s="55" t="s">
        <v>2688</v>
      </c>
      <c r="K3378" s="55" t="s">
        <v>3143</v>
      </c>
      <c r="L3378" s="55" t="s">
        <v>2748</v>
      </c>
      <c r="M3378" s="90">
        <f>-15-18.5/60</f>
        <v>-15.308333333333334</v>
      </c>
      <c r="N3378" s="90">
        <f>35+23.5/60</f>
        <v>35.391666666666666</v>
      </c>
      <c r="O3378" s="90">
        <v>800</v>
      </c>
      <c r="S3378" s="90">
        <v>1150</v>
      </c>
      <c r="U3378" s="55" t="s">
        <v>1688</v>
      </c>
      <c r="V3378" s="55" t="s">
        <v>1688</v>
      </c>
      <c r="Y3378" s="55" t="s">
        <v>3146</v>
      </c>
      <c r="Z3378" s="55" t="s">
        <v>1349</v>
      </c>
      <c r="AA3378" s="90" t="s">
        <v>1677</v>
      </c>
      <c r="AD3378" s="90">
        <v>1.2</v>
      </c>
      <c r="AE3378" s="90">
        <v>40</v>
      </c>
      <c r="AF3378" s="90">
        <v>32</v>
      </c>
      <c r="AH3378" s="55" t="s">
        <v>139</v>
      </c>
      <c r="AI3378" s="168">
        <v>6.1</v>
      </c>
      <c r="AJ3378" s="90">
        <v>1.53</v>
      </c>
      <c r="AL3378" s="55">
        <v>7.2</v>
      </c>
      <c r="AN3378" s="185" t="s">
        <v>2692</v>
      </c>
      <c r="AO3378" s="185" t="s">
        <v>5150</v>
      </c>
      <c r="AQ3378" s="55" t="s">
        <v>553</v>
      </c>
      <c r="AR3378" s="55" t="s">
        <v>1607</v>
      </c>
      <c r="AS3378" s="55" t="s">
        <v>132</v>
      </c>
      <c r="AU3378" s="181" t="s">
        <v>7494</v>
      </c>
      <c r="AV3378" s="185" t="s">
        <v>176</v>
      </c>
      <c r="AX3378" s="185" t="s">
        <v>176</v>
      </c>
      <c r="BE3378" s="226" t="s">
        <v>2700</v>
      </c>
      <c r="BF3378" s="191" t="s">
        <v>176</v>
      </c>
      <c r="BG3378" s="191" t="s">
        <v>176</v>
      </c>
      <c r="BH3378" s="226" t="s">
        <v>2700</v>
      </c>
      <c r="BI3378" s="191" t="s">
        <v>176</v>
      </c>
      <c r="BJ3378" s="55" t="s">
        <v>176</v>
      </c>
      <c r="BK3378" s="55" t="s">
        <v>6333</v>
      </c>
      <c r="BM3378" s="192" t="s">
        <v>160</v>
      </c>
      <c r="BV3378" s="55" t="s">
        <v>3152</v>
      </c>
      <c r="BW3378" s="65">
        <v>630</v>
      </c>
      <c r="BX3378" s="65">
        <v>1340</v>
      </c>
      <c r="BY3378" s="65">
        <v>310</v>
      </c>
      <c r="BZ3378" s="65">
        <v>310</v>
      </c>
      <c r="CB3378" s="66">
        <v>440</v>
      </c>
      <c r="CC3378" s="66">
        <v>1180</v>
      </c>
      <c r="CE3378" s="65">
        <v>320</v>
      </c>
      <c r="CF3378" s="65">
        <v>320</v>
      </c>
      <c r="CG3378" s="65" t="s">
        <v>3152</v>
      </c>
      <c r="GP3378" s="292" t="s">
        <v>7494</v>
      </c>
    </row>
    <row r="3379" spans="1:198" x14ac:dyDescent="0.25">
      <c r="A3379" s="55">
        <v>3378</v>
      </c>
      <c r="B3379" s="12" t="s">
        <v>7067</v>
      </c>
      <c r="C3379" s="155">
        <v>158</v>
      </c>
      <c r="D3379" s="55" t="s">
        <v>3148</v>
      </c>
      <c r="E3379" s="90" t="s">
        <v>3144</v>
      </c>
      <c r="G3379" s="55" t="s">
        <v>3145</v>
      </c>
      <c r="H3379" s="55">
        <v>1999</v>
      </c>
      <c r="I3379" s="55">
        <v>1997</v>
      </c>
      <c r="J3379" s="55" t="s">
        <v>2688</v>
      </c>
      <c r="K3379" s="55" t="s">
        <v>3143</v>
      </c>
      <c r="L3379" s="55" t="s">
        <v>2748</v>
      </c>
      <c r="M3379" s="90">
        <f>-15-18.5/60</f>
        <v>-15.308333333333334</v>
      </c>
      <c r="N3379" s="90">
        <f>35+23.5/60</f>
        <v>35.391666666666666</v>
      </c>
      <c r="O3379" s="90">
        <v>800</v>
      </c>
      <c r="S3379" s="90">
        <v>1150</v>
      </c>
      <c r="U3379" s="55" t="s">
        <v>1688</v>
      </c>
      <c r="V3379" s="55" t="s">
        <v>1688</v>
      </c>
      <c r="Y3379" s="55" t="s">
        <v>3146</v>
      </c>
      <c r="Z3379" s="55" t="s">
        <v>1349</v>
      </c>
      <c r="AA3379" s="90" t="s">
        <v>1677</v>
      </c>
      <c r="AD3379" s="90">
        <v>1.4</v>
      </c>
      <c r="AE3379" s="90">
        <v>36</v>
      </c>
      <c r="AF3379" s="90">
        <v>42</v>
      </c>
      <c r="AH3379" s="55" t="s">
        <v>139</v>
      </c>
      <c r="AI3379" s="168">
        <v>5.3</v>
      </c>
      <c r="AJ3379" s="90">
        <v>0.87</v>
      </c>
      <c r="AL3379" s="55">
        <v>7.2</v>
      </c>
      <c r="AN3379" s="185" t="s">
        <v>2692</v>
      </c>
      <c r="AO3379" s="185" t="s">
        <v>5150</v>
      </c>
      <c r="AQ3379" s="55" t="s">
        <v>553</v>
      </c>
      <c r="AR3379" s="55" t="s">
        <v>1607</v>
      </c>
      <c r="AS3379" s="55" t="s">
        <v>132</v>
      </c>
      <c r="AU3379" s="181" t="s">
        <v>7494</v>
      </c>
      <c r="AV3379" s="185" t="s">
        <v>176</v>
      </c>
      <c r="AX3379" s="185" t="s">
        <v>176</v>
      </c>
      <c r="BE3379" s="226" t="s">
        <v>2700</v>
      </c>
      <c r="BF3379" s="191" t="s">
        <v>176</v>
      </c>
      <c r="BG3379" s="191" t="s">
        <v>176</v>
      </c>
      <c r="BH3379" s="226" t="s">
        <v>2700</v>
      </c>
      <c r="BI3379" s="191" t="s">
        <v>176</v>
      </c>
      <c r="BJ3379" s="55" t="s">
        <v>176</v>
      </c>
      <c r="BK3379" s="55" t="s">
        <v>6333</v>
      </c>
      <c r="BM3379" s="192" t="s">
        <v>160</v>
      </c>
      <c r="BV3379" s="55" t="s">
        <v>3152</v>
      </c>
      <c r="BW3379" s="65">
        <v>530</v>
      </c>
      <c r="BX3379" s="65">
        <v>1070</v>
      </c>
      <c r="BY3379" s="65">
        <v>310</v>
      </c>
      <c r="BZ3379" s="65">
        <v>310</v>
      </c>
      <c r="CB3379" s="66">
        <v>290</v>
      </c>
      <c r="CC3379" s="66">
        <v>880</v>
      </c>
      <c r="CE3379" s="65">
        <v>320</v>
      </c>
      <c r="CF3379" s="65">
        <v>320</v>
      </c>
      <c r="CG3379" s="65" t="s">
        <v>3152</v>
      </c>
      <c r="GP3379" s="292" t="s">
        <v>7494</v>
      </c>
    </row>
    <row r="3380" spans="1:198" x14ac:dyDescent="0.25">
      <c r="A3380" s="55">
        <v>3379</v>
      </c>
      <c r="B3380" s="12" t="s">
        <v>7067</v>
      </c>
      <c r="C3380" s="155">
        <v>159</v>
      </c>
      <c r="D3380" s="55" t="s">
        <v>3148</v>
      </c>
      <c r="E3380" s="90" t="s">
        <v>3144</v>
      </c>
      <c r="G3380" s="55" t="s">
        <v>3145</v>
      </c>
      <c r="H3380" s="55">
        <v>1999</v>
      </c>
      <c r="I3380" s="55">
        <v>1996</v>
      </c>
      <c r="J3380" s="55" t="s">
        <v>2688</v>
      </c>
      <c r="K3380" s="55" t="s">
        <v>3143</v>
      </c>
      <c r="L3380" s="55" t="s">
        <v>2748</v>
      </c>
      <c r="M3380" s="90">
        <f>-15-18.5/60</f>
        <v>-15.308333333333334</v>
      </c>
      <c r="N3380" s="90">
        <f>35+23.5/60</f>
        <v>35.391666666666666</v>
      </c>
      <c r="O3380" s="90">
        <v>800</v>
      </c>
      <c r="S3380" s="90">
        <v>1150</v>
      </c>
      <c r="U3380" s="55" t="s">
        <v>1805</v>
      </c>
      <c r="V3380" s="55" t="s">
        <v>1688</v>
      </c>
      <c r="Y3380" s="55" t="s">
        <v>3146</v>
      </c>
      <c r="Z3380" s="55" t="s">
        <v>1349</v>
      </c>
      <c r="AA3380" s="90" t="s">
        <v>1677</v>
      </c>
      <c r="AD3380" s="90">
        <v>1.3</v>
      </c>
      <c r="AE3380" s="90">
        <v>45</v>
      </c>
      <c r="AF3380" s="90">
        <v>37</v>
      </c>
      <c r="AH3380" s="55" t="s">
        <v>139</v>
      </c>
      <c r="AI3380" s="168">
        <v>6.5</v>
      </c>
      <c r="AJ3380" s="90">
        <v>2.11</v>
      </c>
      <c r="AL3380" s="55">
        <v>5.4</v>
      </c>
      <c r="AN3380" s="185" t="s">
        <v>2692</v>
      </c>
      <c r="AO3380" s="185" t="s">
        <v>5150</v>
      </c>
      <c r="AQ3380" s="55" t="s">
        <v>553</v>
      </c>
      <c r="AR3380" s="55" t="s">
        <v>1607</v>
      </c>
      <c r="AS3380" s="55" t="s">
        <v>132</v>
      </c>
      <c r="AU3380" s="181" t="s">
        <v>7494</v>
      </c>
      <c r="AV3380" s="185" t="s">
        <v>176</v>
      </c>
      <c r="AX3380" s="185" t="s">
        <v>176</v>
      </c>
      <c r="BE3380" s="226" t="s">
        <v>2700</v>
      </c>
      <c r="BF3380" s="191" t="s">
        <v>176</v>
      </c>
      <c r="BG3380" s="191" t="s">
        <v>176</v>
      </c>
      <c r="BH3380" s="226" t="s">
        <v>2700</v>
      </c>
      <c r="BI3380" s="191" t="s">
        <v>176</v>
      </c>
      <c r="BJ3380" s="55" t="s">
        <v>176</v>
      </c>
      <c r="BK3380" s="55" t="s">
        <v>6333</v>
      </c>
      <c r="BM3380" s="192" t="s">
        <v>160</v>
      </c>
      <c r="BS3380" s="55">
        <v>2310</v>
      </c>
      <c r="BU3380" s="55" t="s">
        <v>3153</v>
      </c>
      <c r="BV3380" s="55" t="s">
        <v>3150</v>
      </c>
      <c r="DB3380" s="65">
        <v>25</v>
      </c>
      <c r="DC3380" s="65">
        <v>17</v>
      </c>
      <c r="DD3380" s="65">
        <v>9</v>
      </c>
      <c r="DE3380" s="65">
        <v>12</v>
      </c>
      <c r="DF3380" s="65" t="s">
        <v>3157</v>
      </c>
      <c r="GP3380" s="292" t="s">
        <v>7494</v>
      </c>
    </row>
    <row r="3381" spans="1:198" x14ac:dyDescent="0.25">
      <c r="A3381" s="55">
        <v>3380</v>
      </c>
      <c r="B3381" s="12" t="s">
        <v>7067</v>
      </c>
      <c r="C3381" s="155">
        <v>159</v>
      </c>
      <c r="D3381" s="55" t="s">
        <v>3148</v>
      </c>
      <c r="E3381" s="90" t="s">
        <v>3144</v>
      </c>
      <c r="G3381" s="55" t="s">
        <v>3145</v>
      </c>
      <c r="H3381" s="55">
        <v>1999</v>
      </c>
      <c r="I3381" s="55">
        <v>1996</v>
      </c>
      <c r="J3381" s="55" t="s">
        <v>2688</v>
      </c>
      <c r="K3381" s="55" t="s">
        <v>3143</v>
      </c>
      <c r="L3381" s="55" t="s">
        <v>2748</v>
      </c>
      <c r="M3381" s="90">
        <f>-15-18.5/60</f>
        <v>-15.308333333333334</v>
      </c>
      <c r="N3381" s="90">
        <f>35+23.5/60</f>
        <v>35.391666666666666</v>
      </c>
      <c r="O3381" s="90">
        <v>800</v>
      </c>
      <c r="S3381" s="90">
        <v>1150</v>
      </c>
      <c r="U3381" s="55" t="s">
        <v>1805</v>
      </c>
      <c r="V3381" s="55" t="s">
        <v>1688</v>
      </c>
      <c r="Y3381" s="55" t="s">
        <v>3146</v>
      </c>
      <c r="Z3381" s="55" t="s">
        <v>1349</v>
      </c>
      <c r="AA3381" s="90" t="s">
        <v>1677</v>
      </c>
      <c r="AD3381" s="90">
        <v>1.2</v>
      </c>
      <c r="AE3381" s="90">
        <v>40</v>
      </c>
      <c r="AF3381" s="90">
        <v>32</v>
      </c>
      <c r="AH3381" s="55" t="s">
        <v>139</v>
      </c>
      <c r="AI3381" s="168">
        <v>6.1</v>
      </c>
      <c r="AJ3381" s="90">
        <v>1.53</v>
      </c>
      <c r="AL3381" s="55">
        <v>7.2</v>
      </c>
      <c r="AN3381" s="185" t="s">
        <v>2692</v>
      </c>
      <c r="AO3381" s="185" t="s">
        <v>5150</v>
      </c>
      <c r="AQ3381" s="55" t="s">
        <v>553</v>
      </c>
      <c r="AR3381" s="55" t="s">
        <v>1607</v>
      </c>
      <c r="AS3381" s="55" t="s">
        <v>132</v>
      </c>
      <c r="AU3381" s="181" t="s">
        <v>7494</v>
      </c>
      <c r="AV3381" s="185" t="s">
        <v>176</v>
      </c>
      <c r="AX3381" s="185" t="s">
        <v>176</v>
      </c>
      <c r="BE3381" s="226" t="s">
        <v>2700</v>
      </c>
      <c r="BF3381" s="191" t="s">
        <v>176</v>
      </c>
      <c r="BG3381" s="191" t="s">
        <v>176</v>
      </c>
      <c r="BH3381" s="226" t="s">
        <v>2700</v>
      </c>
      <c r="BI3381" s="191" t="s">
        <v>176</v>
      </c>
      <c r="BJ3381" s="55" t="s">
        <v>176</v>
      </c>
      <c r="BK3381" s="55" t="s">
        <v>6333</v>
      </c>
      <c r="BM3381" s="192" t="s">
        <v>160</v>
      </c>
      <c r="BS3381" s="55">
        <v>2690</v>
      </c>
      <c r="BU3381" s="55" t="s">
        <v>3153</v>
      </c>
      <c r="BV3381" s="55" t="s">
        <v>3151</v>
      </c>
      <c r="DB3381" s="65">
        <v>15</v>
      </c>
      <c r="DC3381" s="65">
        <v>15</v>
      </c>
      <c r="DD3381" s="65">
        <v>7</v>
      </c>
      <c r="DE3381" s="65">
        <v>9</v>
      </c>
      <c r="DF3381" s="65" t="s">
        <v>3157</v>
      </c>
      <c r="GP3381" s="292" t="s">
        <v>7494</v>
      </c>
    </row>
    <row r="3382" spans="1:198" x14ac:dyDescent="0.25">
      <c r="A3382" s="55">
        <v>3381</v>
      </c>
      <c r="B3382" s="12" t="s">
        <v>7067</v>
      </c>
      <c r="C3382" s="155">
        <v>159</v>
      </c>
      <c r="D3382" s="55" t="s">
        <v>3148</v>
      </c>
      <c r="E3382" s="90" t="s">
        <v>3144</v>
      </c>
      <c r="G3382" s="55" t="s">
        <v>3145</v>
      </c>
      <c r="H3382" s="55">
        <v>1999</v>
      </c>
      <c r="I3382" s="55">
        <v>1996</v>
      </c>
      <c r="J3382" s="55" t="s">
        <v>2688</v>
      </c>
      <c r="K3382" s="55" t="s">
        <v>3143</v>
      </c>
      <c r="L3382" s="55" t="s">
        <v>2748</v>
      </c>
      <c r="M3382" s="90">
        <f>-15-18.5/60</f>
        <v>-15.308333333333334</v>
      </c>
      <c r="N3382" s="90">
        <f>35+23.5/60</f>
        <v>35.391666666666666</v>
      </c>
      <c r="O3382" s="90">
        <v>800</v>
      </c>
      <c r="S3382" s="90">
        <v>1150</v>
      </c>
      <c r="U3382" s="55" t="s">
        <v>1805</v>
      </c>
      <c r="V3382" s="55" t="s">
        <v>1688</v>
      </c>
      <c r="Y3382" s="55" t="s">
        <v>3146</v>
      </c>
      <c r="Z3382" s="55" t="s">
        <v>1349</v>
      </c>
      <c r="AA3382" s="90" t="s">
        <v>1677</v>
      </c>
      <c r="AD3382" s="90">
        <v>1.4</v>
      </c>
      <c r="AE3382" s="90">
        <v>36</v>
      </c>
      <c r="AF3382" s="90">
        <v>42</v>
      </c>
      <c r="AH3382" s="55" t="s">
        <v>139</v>
      </c>
      <c r="AI3382" s="168">
        <v>5.3</v>
      </c>
      <c r="AJ3382" s="90">
        <v>0.87</v>
      </c>
      <c r="AL3382" s="55">
        <v>7.2</v>
      </c>
      <c r="AN3382" s="185" t="s">
        <v>2692</v>
      </c>
      <c r="AO3382" s="185" t="s">
        <v>5150</v>
      </c>
      <c r="AQ3382" s="55" t="s">
        <v>553</v>
      </c>
      <c r="AR3382" s="55" t="s">
        <v>1607</v>
      </c>
      <c r="AS3382" s="55" t="s">
        <v>132</v>
      </c>
      <c r="AU3382" s="181" t="s">
        <v>7494</v>
      </c>
      <c r="AV3382" s="185" t="s">
        <v>176</v>
      </c>
      <c r="AX3382" s="185" t="s">
        <v>176</v>
      </c>
      <c r="BE3382" s="226" t="s">
        <v>2700</v>
      </c>
      <c r="BF3382" s="191" t="s">
        <v>176</v>
      </c>
      <c r="BG3382" s="191" t="s">
        <v>176</v>
      </c>
      <c r="BH3382" s="226" t="s">
        <v>2700</v>
      </c>
      <c r="BI3382" s="191" t="s">
        <v>176</v>
      </c>
      <c r="BJ3382" s="55" t="s">
        <v>176</v>
      </c>
      <c r="BK3382" s="55" t="s">
        <v>6333</v>
      </c>
      <c r="BM3382" s="192" t="s">
        <v>160</v>
      </c>
      <c r="BS3382" s="55">
        <v>1080</v>
      </c>
      <c r="BU3382" s="55" t="s">
        <v>3153</v>
      </c>
      <c r="BV3382" s="55" t="s">
        <v>3152</v>
      </c>
      <c r="DB3382" s="65">
        <v>17</v>
      </c>
      <c r="DC3382" s="65">
        <v>21</v>
      </c>
      <c r="DD3382" s="65">
        <v>6</v>
      </c>
      <c r="DE3382" s="65">
        <v>9</v>
      </c>
      <c r="DF3382" s="65" t="s">
        <v>3157</v>
      </c>
      <c r="GP3382" s="292" t="s">
        <v>7494</v>
      </c>
    </row>
    <row r="3383" spans="1:198" x14ac:dyDescent="0.25">
      <c r="A3383" s="55">
        <v>3382</v>
      </c>
      <c r="B3383" s="12" t="s">
        <v>7067</v>
      </c>
      <c r="C3383" s="155">
        <v>159</v>
      </c>
      <c r="D3383" s="55" t="s">
        <v>3148</v>
      </c>
      <c r="E3383" s="90" t="s">
        <v>3144</v>
      </c>
      <c r="G3383" s="55" t="s">
        <v>3145</v>
      </c>
      <c r="H3383" s="55">
        <v>1999</v>
      </c>
      <c r="I3383" s="55">
        <v>1996</v>
      </c>
      <c r="J3383" s="55" t="s">
        <v>2688</v>
      </c>
      <c r="K3383" s="55" t="s">
        <v>3143</v>
      </c>
      <c r="L3383" s="55" t="s">
        <v>2748</v>
      </c>
      <c r="M3383" s="90">
        <f>-15-18.5/60</f>
        <v>-15.308333333333334</v>
      </c>
      <c r="N3383" s="90">
        <f>35+23.5/60</f>
        <v>35.391666666666666</v>
      </c>
      <c r="O3383" s="90">
        <v>800</v>
      </c>
      <c r="S3383" s="90">
        <v>1150</v>
      </c>
      <c r="U3383" s="55" t="s">
        <v>1805</v>
      </c>
      <c r="V3383" s="55" t="s">
        <v>1688</v>
      </c>
      <c r="Y3383" s="55" t="s">
        <v>3146</v>
      </c>
      <c r="Z3383" s="55" t="s">
        <v>1349</v>
      </c>
      <c r="AA3383" s="90" t="s">
        <v>1677</v>
      </c>
      <c r="AD3383" s="90">
        <v>1.3</v>
      </c>
      <c r="AE3383" s="90">
        <v>45</v>
      </c>
      <c r="AF3383" s="90">
        <v>37</v>
      </c>
      <c r="AH3383" s="55" t="s">
        <v>139</v>
      </c>
      <c r="AI3383" s="168">
        <v>6.5</v>
      </c>
      <c r="AJ3383" s="90">
        <v>2.11</v>
      </c>
      <c r="AL3383" s="55">
        <v>5.4</v>
      </c>
      <c r="AN3383" s="185" t="s">
        <v>2692</v>
      </c>
      <c r="AO3383" s="185" t="s">
        <v>5150</v>
      </c>
      <c r="AQ3383" s="55" t="s">
        <v>553</v>
      </c>
      <c r="AR3383" s="55" t="s">
        <v>1607</v>
      </c>
      <c r="AS3383" s="55" t="s">
        <v>132</v>
      </c>
      <c r="AU3383" s="181" t="s">
        <v>7494</v>
      </c>
      <c r="AV3383" s="185" t="s">
        <v>176</v>
      </c>
      <c r="AX3383" s="185" t="s">
        <v>176</v>
      </c>
      <c r="BE3383" s="226" t="s">
        <v>2700</v>
      </c>
      <c r="BF3383" s="191" t="s">
        <v>176</v>
      </c>
      <c r="BG3383" s="191" t="s">
        <v>176</v>
      </c>
      <c r="BH3383" s="226" t="s">
        <v>2700</v>
      </c>
      <c r="BI3383" s="191" t="s">
        <v>176</v>
      </c>
      <c r="BJ3383" s="55" t="s">
        <v>176</v>
      </c>
      <c r="BK3383" s="55" t="s">
        <v>6333</v>
      </c>
      <c r="BM3383" s="192" t="s">
        <v>160</v>
      </c>
      <c r="BS3383" s="55">
        <v>2310</v>
      </c>
      <c r="BU3383" s="55" t="s">
        <v>3154</v>
      </c>
      <c r="BV3383" s="55" t="s">
        <v>3150</v>
      </c>
      <c r="DB3383" s="65">
        <v>14</v>
      </c>
      <c r="DC3383" s="65">
        <v>18</v>
      </c>
      <c r="DD3383" s="65">
        <v>12</v>
      </c>
      <c r="DE3383" s="65">
        <v>14</v>
      </c>
      <c r="DF3383" s="65" t="s">
        <v>3157</v>
      </c>
      <c r="GP3383" s="292" t="s">
        <v>7494</v>
      </c>
    </row>
    <row r="3384" spans="1:198" x14ac:dyDescent="0.25">
      <c r="A3384" s="55">
        <v>3383</v>
      </c>
      <c r="B3384" s="12" t="s">
        <v>7067</v>
      </c>
      <c r="C3384" s="155">
        <v>159</v>
      </c>
      <c r="D3384" s="55" t="s">
        <v>3148</v>
      </c>
      <c r="E3384" s="90" t="s">
        <v>3144</v>
      </c>
      <c r="G3384" s="55" t="s">
        <v>3145</v>
      </c>
      <c r="H3384" s="55">
        <v>1999</v>
      </c>
      <c r="I3384" s="55">
        <v>1996</v>
      </c>
      <c r="J3384" s="55" t="s">
        <v>2688</v>
      </c>
      <c r="K3384" s="55" t="s">
        <v>3143</v>
      </c>
      <c r="L3384" s="55" t="s">
        <v>2748</v>
      </c>
      <c r="M3384" s="90">
        <f>-15-18.5/60</f>
        <v>-15.308333333333334</v>
      </c>
      <c r="N3384" s="90">
        <f>35+23.5/60</f>
        <v>35.391666666666666</v>
      </c>
      <c r="O3384" s="90">
        <v>800</v>
      </c>
      <c r="S3384" s="90">
        <v>1150</v>
      </c>
      <c r="U3384" s="55" t="s">
        <v>1805</v>
      </c>
      <c r="V3384" s="55" t="s">
        <v>1688</v>
      </c>
      <c r="Y3384" s="55" t="s">
        <v>3146</v>
      </c>
      <c r="Z3384" s="55" t="s">
        <v>1349</v>
      </c>
      <c r="AA3384" s="90" t="s">
        <v>1677</v>
      </c>
      <c r="AD3384" s="90">
        <v>1.2</v>
      </c>
      <c r="AE3384" s="90">
        <v>40</v>
      </c>
      <c r="AF3384" s="90">
        <v>32</v>
      </c>
      <c r="AH3384" s="55" t="s">
        <v>139</v>
      </c>
      <c r="AI3384" s="168">
        <v>6.1</v>
      </c>
      <c r="AJ3384" s="90">
        <v>1.53</v>
      </c>
      <c r="AL3384" s="55">
        <v>7.2</v>
      </c>
      <c r="AN3384" s="185" t="s">
        <v>2692</v>
      </c>
      <c r="AO3384" s="185" t="s">
        <v>5150</v>
      </c>
      <c r="AQ3384" s="55" t="s">
        <v>553</v>
      </c>
      <c r="AR3384" s="55" t="s">
        <v>1607</v>
      </c>
      <c r="AS3384" s="55" t="s">
        <v>132</v>
      </c>
      <c r="AU3384" s="181" t="s">
        <v>7494</v>
      </c>
      <c r="AV3384" s="185" t="s">
        <v>176</v>
      </c>
      <c r="AX3384" s="185" t="s">
        <v>176</v>
      </c>
      <c r="BE3384" s="226" t="s">
        <v>2700</v>
      </c>
      <c r="BF3384" s="191" t="s">
        <v>176</v>
      </c>
      <c r="BG3384" s="191" t="s">
        <v>176</v>
      </c>
      <c r="BH3384" s="226" t="s">
        <v>2700</v>
      </c>
      <c r="BI3384" s="191" t="s">
        <v>176</v>
      </c>
      <c r="BJ3384" s="55" t="s">
        <v>176</v>
      </c>
      <c r="BK3384" s="55" t="s">
        <v>6333</v>
      </c>
      <c r="BM3384" s="192" t="s">
        <v>160</v>
      </c>
      <c r="BS3384" s="55">
        <v>2690</v>
      </c>
      <c r="BU3384" s="55" t="s">
        <v>3154</v>
      </c>
      <c r="BV3384" s="55" t="s">
        <v>3151</v>
      </c>
      <c r="DB3384" s="65">
        <v>16</v>
      </c>
      <c r="DC3384" s="65">
        <v>20</v>
      </c>
      <c r="DD3384" s="65">
        <v>14</v>
      </c>
      <c r="DE3384" s="65">
        <v>16</v>
      </c>
      <c r="DF3384" s="65" t="s">
        <v>3157</v>
      </c>
      <c r="GP3384" s="292" t="s">
        <v>7494</v>
      </c>
    </row>
    <row r="3385" spans="1:198" x14ac:dyDescent="0.25">
      <c r="A3385" s="55">
        <v>3384</v>
      </c>
      <c r="B3385" s="12" t="s">
        <v>7067</v>
      </c>
      <c r="C3385" s="155">
        <v>159</v>
      </c>
      <c r="D3385" s="55" t="s">
        <v>3148</v>
      </c>
      <c r="E3385" s="90" t="s">
        <v>3144</v>
      </c>
      <c r="G3385" s="55" t="s">
        <v>3145</v>
      </c>
      <c r="H3385" s="55">
        <v>1999</v>
      </c>
      <c r="I3385" s="55">
        <v>1996</v>
      </c>
      <c r="J3385" s="55" t="s">
        <v>2688</v>
      </c>
      <c r="K3385" s="55" t="s">
        <v>3143</v>
      </c>
      <c r="L3385" s="55" t="s">
        <v>2748</v>
      </c>
      <c r="M3385" s="90">
        <f>-15-18.5/60</f>
        <v>-15.308333333333334</v>
      </c>
      <c r="N3385" s="90">
        <f>35+23.5/60</f>
        <v>35.391666666666666</v>
      </c>
      <c r="O3385" s="90">
        <v>800</v>
      </c>
      <c r="S3385" s="90">
        <v>1150</v>
      </c>
      <c r="U3385" s="55" t="s">
        <v>1805</v>
      </c>
      <c r="V3385" s="55" t="s">
        <v>1688</v>
      </c>
      <c r="Y3385" s="55" t="s">
        <v>3146</v>
      </c>
      <c r="Z3385" s="55" t="s">
        <v>1349</v>
      </c>
      <c r="AA3385" s="90" t="s">
        <v>1677</v>
      </c>
      <c r="AD3385" s="90">
        <v>1.4</v>
      </c>
      <c r="AE3385" s="90">
        <v>36</v>
      </c>
      <c r="AF3385" s="90">
        <v>42</v>
      </c>
      <c r="AH3385" s="55" t="s">
        <v>139</v>
      </c>
      <c r="AI3385" s="168">
        <v>5.3</v>
      </c>
      <c r="AJ3385" s="90">
        <v>0.87</v>
      </c>
      <c r="AL3385" s="55">
        <v>7.2</v>
      </c>
      <c r="AN3385" s="185" t="s">
        <v>2692</v>
      </c>
      <c r="AO3385" s="185" t="s">
        <v>5150</v>
      </c>
      <c r="AQ3385" s="55" t="s">
        <v>553</v>
      </c>
      <c r="AR3385" s="55" t="s">
        <v>1607</v>
      </c>
      <c r="AS3385" s="55" t="s">
        <v>132</v>
      </c>
      <c r="AU3385" s="181" t="s">
        <v>7494</v>
      </c>
      <c r="AV3385" s="185" t="s">
        <v>176</v>
      </c>
      <c r="AX3385" s="185" t="s">
        <v>176</v>
      </c>
      <c r="BE3385" s="226" t="s">
        <v>2700</v>
      </c>
      <c r="BF3385" s="191" t="s">
        <v>176</v>
      </c>
      <c r="BG3385" s="191" t="s">
        <v>176</v>
      </c>
      <c r="BH3385" s="226" t="s">
        <v>2700</v>
      </c>
      <c r="BI3385" s="191" t="s">
        <v>176</v>
      </c>
      <c r="BJ3385" s="55" t="s">
        <v>176</v>
      </c>
      <c r="BK3385" s="55" t="s">
        <v>6333</v>
      </c>
      <c r="BM3385" s="192" t="s">
        <v>160</v>
      </c>
      <c r="BS3385" s="55">
        <v>1080</v>
      </c>
      <c r="BU3385" s="55" t="s">
        <v>3154</v>
      </c>
      <c r="BV3385" s="55" t="s">
        <v>3152</v>
      </c>
      <c r="DB3385" s="65">
        <v>17</v>
      </c>
      <c r="DC3385" s="65">
        <v>24</v>
      </c>
      <c r="DD3385" s="65">
        <v>15</v>
      </c>
      <c r="DE3385" s="65">
        <v>19</v>
      </c>
      <c r="DF3385" s="65" t="s">
        <v>3157</v>
      </c>
      <c r="GP3385" s="292" t="s">
        <v>7494</v>
      </c>
    </row>
    <row r="3386" spans="1:198" x14ac:dyDescent="0.25">
      <c r="A3386" s="55">
        <v>3385</v>
      </c>
      <c r="B3386" s="12" t="s">
        <v>7067</v>
      </c>
      <c r="C3386" s="155">
        <v>159</v>
      </c>
      <c r="D3386" s="55" t="s">
        <v>3148</v>
      </c>
      <c r="E3386" s="90" t="s">
        <v>3144</v>
      </c>
      <c r="G3386" s="55" t="s">
        <v>3145</v>
      </c>
      <c r="H3386" s="55">
        <v>1999</v>
      </c>
      <c r="I3386" s="55">
        <v>1996</v>
      </c>
      <c r="J3386" s="55" t="s">
        <v>2688</v>
      </c>
      <c r="K3386" s="55" t="s">
        <v>3143</v>
      </c>
      <c r="L3386" s="55" t="s">
        <v>2748</v>
      </c>
      <c r="M3386" s="90">
        <f>-15-18.5/60</f>
        <v>-15.308333333333334</v>
      </c>
      <c r="N3386" s="90">
        <f>35+23.5/60</f>
        <v>35.391666666666666</v>
      </c>
      <c r="O3386" s="90">
        <v>800</v>
      </c>
      <c r="S3386" s="90">
        <v>1150</v>
      </c>
      <c r="U3386" s="55" t="s">
        <v>1805</v>
      </c>
      <c r="V3386" s="55" t="s">
        <v>1688</v>
      </c>
      <c r="Y3386" s="55" t="s">
        <v>3146</v>
      </c>
      <c r="Z3386" s="55" t="s">
        <v>1349</v>
      </c>
      <c r="AA3386" s="90" t="s">
        <v>1677</v>
      </c>
      <c r="AD3386" s="90">
        <v>1.3</v>
      </c>
      <c r="AE3386" s="90">
        <v>45</v>
      </c>
      <c r="AF3386" s="90">
        <v>37</v>
      </c>
      <c r="AH3386" s="55" t="s">
        <v>139</v>
      </c>
      <c r="AI3386" s="168">
        <v>6.5</v>
      </c>
      <c r="AJ3386" s="90">
        <v>2.11</v>
      </c>
      <c r="AL3386" s="55">
        <v>5.4</v>
      </c>
      <c r="AN3386" s="185" t="s">
        <v>2692</v>
      </c>
      <c r="AO3386" s="185" t="s">
        <v>5150</v>
      </c>
      <c r="AQ3386" s="55" t="s">
        <v>553</v>
      </c>
      <c r="AR3386" s="55" t="s">
        <v>1607</v>
      </c>
      <c r="AS3386" s="55" t="s">
        <v>132</v>
      </c>
      <c r="AU3386" s="181" t="s">
        <v>7494</v>
      </c>
      <c r="AV3386" s="185" t="s">
        <v>176</v>
      </c>
      <c r="AX3386" s="185" t="s">
        <v>176</v>
      </c>
      <c r="BE3386" s="226" t="s">
        <v>2700</v>
      </c>
      <c r="BF3386" s="191" t="s">
        <v>176</v>
      </c>
      <c r="BG3386" s="191" t="s">
        <v>176</v>
      </c>
      <c r="BH3386" s="226" t="s">
        <v>2700</v>
      </c>
      <c r="BI3386" s="191" t="s">
        <v>176</v>
      </c>
      <c r="BJ3386" s="55" t="s">
        <v>176</v>
      </c>
      <c r="BK3386" s="55" t="s">
        <v>6333</v>
      </c>
      <c r="BM3386" s="192" t="s">
        <v>160</v>
      </c>
      <c r="BS3386" s="55">
        <v>2310</v>
      </c>
      <c r="BU3386" s="55" t="s">
        <v>3155</v>
      </c>
      <c r="BV3386" s="55" t="s">
        <v>3150</v>
      </c>
      <c r="DB3386" s="65">
        <v>24</v>
      </c>
      <c r="DC3386" s="65">
        <v>65</v>
      </c>
      <c r="DD3386" s="65">
        <v>15</v>
      </c>
      <c r="DE3386" s="65">
        <v>32</v>
      </c>
      <c r="DF3386" s="65" t="s">
        <v>3157</v>
      </c>
      <c r="GP3386" s="292" t="s">
        <v>7494</v>
      </c>
    </row>
    <row r="3387" spans="1:198" x14ac:dyDescent="0.25">
      <c r="A3387" s="55">
        <v>3386</v>
      </c>
      <c r="B3387" s="12" t="s">
        <v>7067</v>
      </c>
      <c r="C3387" s="155">
        <v>159</v>
      </c>
      <c r="D3387" s="55" t="s">
        <v>3148</v>
      </c>
      <c r="E3387" s="90" t="s">
        <v>3144</v>
      </c>
      <c r="G3387" s="55" t="s">
        <v>3145</v>
      </c>
      <c r="H3387" s="55">
        <v>1999</v>
      </c>
      <c r="I3387" s="55">
        <v>1996</v>
      </c>
      <c r="J3387" s="55" t="s">
        <v>2688</v>
      </c>
      <c r="K3387" s="55" t="s">
        <v>3143</v>
      </c>
      <c r="L3387" s="55" t="s">
        <v>2748</v>
      </c>
      <c r="M3387" s="90">
        <f>-15-18.5/60</f>
        <v>-15.308333333333334</v>
      </c>
      <c r="N3387" s="90">
        <f>35+23.5/60</f>
        <v>35.391666666666666</v>
      </c>
      <c r="O3387" s="90">
        <v>800</v>
      </c>
      <c r="S3387" s="90">
        <v>1150</v>
      </c>
      <c r="U3387" s="55" t="s">
        <v>1805</v>
      </c>
      <c r="V3387" s="55" t="s">
        <v>1688</v>
      </c>
      <c r="Y3387" s="55" t="s">
        <v>3146</v>
      </c>
      <c r="Z3387" s="55" t="s">
        <v>1349</v>
      </c>
      <c r="AA3387" s="90" t="s">
        <v>1677</v>
      </c>
      <c r="AD3387" s="90">
        <v>1.2</v>
      </c>
      <c r="AE3387" s="90">
        <v>40</v>
      </c>
      <c r="AF3387" s="90">
        <v>32</v>
      </c>
      <c r="AH3387" s="55" t="s">
        <v>139</v>
      </c>
      <c r="AI3387" s="168">
        <v>6.1</v>
      </c>
      <c r="AJ3387" s="90">
        <v>1.53</v>
      </c>
      <c r="AL3387" s="55">
        <v>7.2</v>
      </c>
      <c r="AN3387" s="185" t="s">
        <v>2692</v>
      </c>
      <c r="AO3387" s="185" t="s">
        <v>5150</v>
      </c>
      <c r="AQ3387" s="55" t="s">
        <v>553</v>
      </c>
      <c r="AR3387" s="55" t="s">
        <v>1607</v>
      </c>
      <c r="AS3387" s="55" t="s">
        <v>132</v>
      </c>
      <c r="AU3387" s="181" t="s">
        <v>7494</v>
      </c>
      <c r="AV3387" s="185" t="s">
        <v>176</v>
      </c>
      <c r="AX3387" s="185" t="s">
        <v>176</v>
      </c>
      <c r="BE3387" s="226" t="s">
        <v>2700</v>
      </c>
      <c r="BF3387" s="191" t="s">
        <v>176</v>
      </c>
      <c r="BG3387" s="191" t="s">
        <v>176</v>
      </c>
      <c r="BH3387" s="226" t="s">
        <v>2700</v>
      </c>
      <c r="BI3387" s="191" t="s">
        <v>176</v>
      </c>
      <c r="BJ3387" s="55" t="s">
        <v>176</v>
      </c>
      <c r="BK3387" s="55" t="s">
        <v>6333</v>
      </c>
      <c r="BM3387" s="192" t="s">
        <v>160</v>
      </c>
      <c r="BS3387" s="55">
        <v>2690</v>
      </c>
      <c r="BU3387" s="55" t="s">
        <v>3155</v>
      </c>
      <c r="BV3387" s="55" t="s">
        <v>3151</v>
      </c>
      <c r="DB3387" s="65">
        <v>19</v>
      </c>
      <c r="DC3387" s="65">
        <v>53</v>
      </c>
      <c r="DD3387" s="65">
        <v>13</v>
      </c>
      <c r="DE3387" s="65">
        <v>20</v>
      </c>
      <c r="DF3387" s="65" t="s">
        <v>3157</v>
      </c>
      <c r="GP3387" s="292" t="s">
        <v>7494</v>
      </c>
    </row>
    <row r="3388" spans="1:198" x14ac:dyDescent="0.25">
      <c r="A3388" s="55">
        <v>3387</v>
      </c>
      <c r="B3388" s="12" t="s">
        <v>7067</v>
      </c>
      <c r="C3388" s="155">
        <v>159</v>
      </c>
      <c r="D3388" s="55" t="s">
        <v>3148</v>
      </c>
      <c r="E3388" s="90" t="s">
        <v>3144</v>
      </c>
      <c r="G3388" s="55" t="s">
        <v>3145</v>
      </c>
      <c r="H3388" s="55">
        <v>1999</v>
      </c>
      <c r="I3388" s="55">
        <v>1996</v>
      </c>
      <c r="J3388" s="55" t="s">
        <v>2688</v>
      </c>
      <c r="K3388" s="55" t="s">
        <v>3143</v>
      </c>
      <c r="L3388" s="55" t="s">
        <v>2748</v>
      </c>
      <c r="M3388" s="90">
        <f>-15-18.5/60</f>
        <v>-15.308333333333334</v>
      </c>
      <c r="N3388" s="90">
        <f>35+23.5/60</f>
        <v>35.391666666666666</v>
      </c>
      <c r="O3388" s="90">
        <v>800</v>
      </c>
      <c r="S3388" s="90">
        <v>1150</v>
      </c>
      <c r="U3388" s="55" t="s">
        <v>1805</v>
      </c>
      <c r="V3388" s="55" t="s">
        <v>1688</v>
      </c>
      <c r="Y3388" s="55" t="s">
        <v>3146</v>
      </c>
      <c r="Z3388" s="55" t="s">
        <v>1349</v>
      </c>
      <c r="AA3388" s="90" t="s">
        <v>1677</v>
      </c>
      <c r="AD3388" s="90">
        <v>1.4</v>
      </c>
      <c r="AE3388" s="90">
        <v>36</v>
      </c>
      <c r="AF3388" s="90">
        <v>42</v>
      </c>
      <c r="AH3388" s="55" t="s">
        <v>139</v>
      </c>
      <c r="AI3388" s="168">
        <v>5.3</v>
      </c>
      <c r="AJ3388" s="90">
        <v>0.87</v>
      </c>
      <c r="AL3388" s="55">
        <v>7.2</v>
      </c>
      <c r="AN3388" s="185" t="s">
        <v>2692</v>
      </c>
      <c r="AO3388" s="185" t="s">
        <v>5150</v>
      </c>
      <c r="AQ3388" s="55" t="s">
        <v>553</v>
      </c>
      <c r="AR3388" s="55" t="s">
        <v>1607</v>
      </c>
      <c r="AS3388" s="55" t="s">
        <v>132</v>
      </c>
      <c r="AU3388" s="181" t="s">
        <v>7494</v>
      </c>
      <c r="AV3388" s="185" t="s">
        <v>176</v>
      </c>
      <c r="AX3388" s="185" t="s">
        <v>176</v>
      </c>
      <c r="BE3388" s="226" t="s">
        <v>2700</v>
      </c>
      <c r="BF3388" s="191" t="s">
        <v>176</v>
      </c>
      <c r="BG3388" s="191" t="s">
        <v>176</v>
      </c>
      <c r="BH3388" s="226" t="s">
        <v>2700</v>
      </c>
      <c r="BI3388" s="191" t="s">
        <v>176</v>
      </c>
      <c r="BJ3388" s="55" t="s">
        <v>176</v>
      </c>
      <c r="BK3388" s="55" t="s">
        <v>6333</v>
      </c>
      <c r="BM3388" s="192" t="s">
        <v>160</v>
      </c>
      <c r="BS3388" s="55">
        <v>1080</v>
      </c>
      <c r="BU3388" s="55" t="s">
        <v>3155</v>
      </c>
      <c r="BV3388" s="55" t="s">
        <v>3152</v>
      </c>
      <c r="DB3388" s="65">
        <v>22</v>
      </c>
      <c r="DC3388" s="65">
        <v>33</v>
      </c>
      <c r="DD3388" s="65">
        <v>16</v>
      </c>
      <c r="DE3388" s="65">
        <v>4</v>
      </c>
      <c r="DF3388" s="65" t="s">
        <v>3157</v>
      </c>
      <c r="GP3388" s="292" t="s">
        <v>7494</v>
      </c>
    </row>
    <row r="3389" spans="1:198" x14ac:dyDescent="0.25">
      <c r="A3389" s="55">
        <v>3388</v>
      </c>
      <c r="B3389" s="12" t="s">
        <v>7067</v>
      </c>
      <c r="C3389" s="155">
        <v>159</v>
      </c>
      <c r="D3389" s="55" t="s">
        <v>3148</v>
      </c>
      <c r="E3389" s="90" t="s">
        <v>3144</v>
      </c>
      <c r="G3389" s="55" t="s">
        <v>3145</v>
      </c>
      <c r="H3389" s="55">
        <v>1999</v>
      </c>
      <c r="I3389" s="55">
        <v>1996</v>
      </c>
      <c r="J3389" s="55" t="s">
        <v>2688</v>
      </c>
      <c r="K3389" s="55" t="s">
        <v>3143</v>
      </c>
      <c r="L3389" s="55" t="s">
        <v>2748</v>
      </c>
      <c r="M3389" s="90">
        <f>-15-18.5/60</f>
        <v>-15.308333333333334</v>
      </c>
      <c r="N3389" s="90">
        <f>35+23.5/60</f>
        <v>35.391666666666666</v>
      </c>
      <c r="O3389" s="90">
        <v>800</v>
      </c>
      <c r="S3389" s="90">
        <v>1150</v>
      </c>
      <c r="U3389" s="55" t="s">
        <v>1805</v>
      </c>
      <c r="V3389" s="55" t="s">
        <v>1688</v>
      </c>
      <c r="Y3389" s="55" t="s">
        <v>3146</v>
      </c>
      <c r="Z3389" s="55" t="s">
        <v>1349</v>
      </c>
      <c r="AA3389" s="90" t="s">
        <v>1677</v>
      </c>
      <c r="AD3389" s="90">
        <v>1.3</v>
      </c>
      <c r="AE3389" s="90">
        <v>45</v>
      </c>
      <c r="AF3389" s="90">
        <v>37</v>
      </c>
      <c r="AH3389" s="55" t="s">
        <v>139</v>
      </c>
      <c r="AI3389" s="168">
        <v>6.5</v>
      </c>
      <c r="AJ3389" s="90">
        <v>2.11</v>
      </c>
      <c r="AL3389" s="55">
        <v>5.4</v>
      </c>
      <c r="AN3389" s="185" t="s">
        <v>2692</v>
      </c>
      <c r="AO3389" s="185" t="s">
        <v>5150</v>
      </c>
      <c r="AQ3389" s="55" t="s">
        <v>553</v>
      </c>
      <c r="AR3389" s="55" t="s">
        <v>1607</v>
      </c>
      <c r="AS3389" s="55" t="s">
        <v>132</v>
      </c>
      <c r="AU3389" s="181" t="s">
        <v>7494</v>
      </c>
      <c r="AV3389" s="185" t="s">
        <v>176</v>
      </c>
      <c r="AX3389" s="185" t="s">
        <v>176</v>
      </c>
      <c r="BE3389" s="226" t="s">
        <v>2700</v>
      </c>
      <c r="BF3389" s="191" t="s">
        <v>176</v>
      </c>
      <c r="BG3389" s="191" t="s">
        <v>176</v>
      </c>
      <c r="BH3389" s="226" t="s">
        <v>2700</v>
      </c>
      <c r="BI3389" s="191" t="s">
        <v>176</v>
      </c>
      <c r="BJ3389" s="55" t="s">
        <v>176</v>
      </c>
      <c r="BK3389" s="55" t="s">
        <v>6333</v>
      </c>
      <c r="BM3389" s="192" t="s">
        <v>160</v>
      </c>
      <c r="BS3389" s="55">
        <v>2310</v>
      </c>
      <c r="BU3389" s="55" t="s">
        <v>3156</v>
      </c>
      <c r="BV3389" s="55" t="s">
        <v>3150</v>
      </c>
      <c r="DB3389" s="65">
        <v>7</v>
      </c>
      <c r="DC3389" s="65">
        <v>6</v>
      </c>
      <c r="DD3389" s="65">
        <v>4</v>
      </c>
      <c r="DE3389" s="65">
        <v>2</v>
      </c>
      <c r="DF3389" s="65" t="s">
        <v>3157</v>
      </c>
      <c r="GP3389" s="292" t="s">
        <v>7494</v>
      </c>
    </row>
    <row r="3390" spans="1:198" x14ac:dyDescent="0.25">
      <c r="A3390" s="55">
        <v>3389</v>
      </c>
      <c r="B3390" s="12" t="s">
        <v>7067</v>
      </c>
      <c r="C3390" s="155">
        <v>159</v>
      </c>
      <c r="D3390" s="55" t="s">
        <v>3148</v>
      </c>
      <c r="E3390" s="90" t="s">
        <v>3144</v>
      </c>
      <c r="G3390" s="55" t="s">
        <v>3145</v>
      </c>
      <c r="H3390" s="55">
        <v>1999</v>
      </c>
      <c r="I3390" s="55">
        <v>1996</v>
      </c>
      <c r="J3390" s="55" t="s">
        <v>2688</v>
      </c>
      <c r="K3390" s="55" t="s">
        <v>3143</v>
      </c>
      <c r="L3390" s="55" t="s">
        <v>2748</v>
      </c>
      <c r="M3390" s="90">
        <f>-15-18.5/60</f>
        <v>-15.308333333333334</v>
      </c>
      <c r="N3390" s="90">
        <f>35+23.5/60</f>
        <v>35.391666666666666</v>
      </c>
      <c r="O3390" s="90">
        <v>800</v>
      </c>
      <c r="S3390" s="90">
        <v>1150</v>
      </c>
      <c r="U3390" s="55" t="s">
        <v>1805</v>
      </c>
      <c r="V3390" s="55" t="s">
        <v>1688</v>
      </c>
      <c r="Y3390" s="55" t="s">
        <v>3146</v>
      </c>
      <c r="Z3390" s="55" t="s">
        <v>1349</v>
      </c>
      <c r="AA3390" s="90" t="s">
        <v>1677</v>
      </c>
      <c r="AD3390" s="90">
        <v>1.2</v>
      </c>
      <c r="AE3390" s="90">
        <v>40</v>
      </c>
      <c r="AF3390" s="90">
        <v>32</v>
      </c>
      <c r="AH3390" s="55" t="s">
        <v>139</v>
      </c>
      <c r="AI3390" s="168">
        <v>6.1</v>
      </c>
      <c r="AJ3390" s="90">
        <v>1.53</v>
      </c>
      <c r="AL3390" s="55">
        <v>7.2</v>
      </c>
      <c r="AN3390" s="185" t="s">
        <v>2692</v>
      </c>
      <c r="AO3390" s="185" t="s">
        <v>5150</v>
      </c>
      <c r="AQ3390" s="55" t="s">
        <v>553</v>
      </c>
      <c r="AR3390" s="55" t="s">
        <v>1607</v>
      </c>
      <c r="AS3390" s="55" t="s">
        <v>132</v>
      </c>
      <c r="AU3390" s="181" t="s">
        <v>7494</v>
      </c>
      <c r="AV3390" s="185" t="s">
        <v>176</v>
      </c>
      <c r="AX3390" s="185" t="s">
        <v>176</v>
      </c>
      <c r="BE3390" s="226" t="s">
        <v>2700</v>
      </c>
      <c r="BF3390" s="191" t="s">
        <v>176</v>
      </c>
      <c r="BG3390" s="191" t="s">
        <v>176</v>
      </c>
      <c r="BH3390" s="226" t="s">
        <v>2700</v>
      </c>
      <c r="BI3390" s="191" t="s">
        <v>176</v>
      </c>
      <c r="BJ3390" s="55" t="s">
        <v>176</v>
      </c>
      <c r="BK3390" s="55" t="s">
        <v>6333</v>
      </c>
      <c r="BM3390" s="192" t="s">
        <v>160</v>
      </c>
      <c r="BS3390" s="55">
        <v>2690</v>
      </c>
      <c r="BU3390" s="55" t="s">
        <v>3156</v>
      </c>
      <c r="BV3390" s="55" t="s">
        <v>3151</v>
      </c>
      <c r="DB3390" s="65">
        <v>4</v>
      </c>
      <c r="DC3390" s="65">
        <v>4</v>
      </c>
      <c r="DD3390" s="65">
        <v>3</v>
      </c>
      <c r="DE3390" s="65">
        <v>2</v>
      </c>
      <c r="DF3390" s="65" t="s">
        <v>3157</v>
      </c>
      <c r="GP3390" s="292" t="s">
        <v>7494</v>
      </c>
    </row>
    <row r="3391" spans="1:198" x14ac:dyDescent="0.25">
      <c r="A3391" s="55">
        <v>3390</v>
      </c>
      <c r="B3391" s="12" t="s">
        <v>7067</v>
      </c>
      <c r="C3391" s="155">
        <v>159</v>
      </c>
      <c r="D3391" s="55" t="s">
        <v>3148</v>
      </c>
      <c r="E3391" s="90" t="s">
        <v>3144</v>
      </c>
      <c r="G3391" s="55" t="s">
        <v>3145</v>
      </c>
      <c r="H3391" s="55">
        <v>1999</v>
      </c>
      <c r="I3391" s="55">
        <v>1996</v>
      </c>
      <c r="J3391" s="55" t="s">
        <v>2688</v>
      </c>
      <c r="K3391" s="55" t="s">
        <v>3143</v>
      </c>
      <c r="L3391" s="55" t="s">
        <v>2748</v>
      </c>
      <c r="M3391" s="90">
        <f>-15-18.5/60</f>
        <v>-15.308333333333334</v>
      </c>
      <c r="N3391" s="90">
        <f>35+23.5/60</f>
        <v>35.391666666666666</v>
      </c>
      <c r="O3391" s="90">
        <v>800</v>
      </c>
      <c r="S3391" s="90">
        <v>1150</v>
      </c>
      <c r="U3391" s="55" t="s">
        <v>1805</v>
      </c>
      <c r="V3391" s="55" t="s">
        <v>1688</v>
      </c>
      <c r="Y3391" s="55" t="s">
        <v>3146</v>
      </c>
      <c r="Z3391" s="55" t="s">
        <v>1349</v>
      </c>
      <c r="AA3391" s="90" t="s">
        <v>1677</v>
      </c>
      <c r="AD3391" s="90">
        <v>1.4</v>
      </c>
      <c r="AE3391" s="90">
        <v>36</v>
      </c>
      <c r="AF3391" s="90">
        <v>42</v>
      </c>
      <c r="AH3391" s="55" t="s">
        <v>139</v>
      </c>
      <c r="AI3391" s="168">
        <v>5.3</v>
      </c>
      <c r="AJ3391" s="90">
        <v>0.87</v>
      </c>
      <c r="AL3391" s="55">
        <v>7.2</v>
      </c>
      <c r="AN3391" s="185" t="s">
        <v>2692</v>
      </c>
      <c r="AO3391" s="185" t="s">
        <v>5150</v>
      </c>
      <c r="AQ3391" s="55" t="s">
        <v>553</v>
      </c>
      <c r="AR3391" s="55" t="s">
        <v>1607</v>
      </c>
      <c r="AS3391" s="55" t="s">
        <v>132</v>
      </c>
      <c r="AU3391" s="181" t="s">
        <v>7494</v>
      </c>
      <c r="AV3391" s="185" t="s">
        <v>176</v>
      </c>
      <c r="AX3391" s="185" t="s">
        <v>176</v>
      </c>
      <c r="BE3391" s="226" t="s">
        <v>2700</v>
      </c>
      <c r="BF3391" s="191" t="s">
        <v>176</v>
      </c>
      <c r="BG3391" s="191" t="s">
        <v>176</v>
      </c>
      <c r="BH3391" s="226" t="s">
        <v>2700</v>
      </c>
      <c r="BI3391" s="191" t="s">
        <v>176</v>
      </c>
      <c r="BJ3391" s="55" t="s">
        <v>176</v>
      </c>
      <c r="BK3391" s="55" t="s">
        <v>6333</v>
      </c>
      <c r="BM3391" s="192" t="s">
        <v>160</v>
      </c>
      <c r="BS3391" s="55">
        <v>1080</v>
      </c>
      <c r="BU3391" s="55" t="s">
        <v>3156</v>
      </c>
      <c r="BV3391" s="55" t="s">
        <v>3152</v>
      </c>
      <c r="DB3391" s="65">
        <v>5</v>
      </c>
      <c r="DC3391" s="65">
        <v>7</v>
      </c>
      <c r="DD3391" s="65">
        <v>3</v>
      </c>
      <c r="DE3391" s="65">
        <v>5</v>
      </c>
      <c r="DF3391" s="65" t="s">
        <v>3157</v>
      </c>
      <c r="GP3391" s="292" t="s">
        <v>7494</v>
      </c>
    </row>
    <row r="3392" spans="1:198" x14ac:dyDescent="0.25">
      <c r="A3392" s="55">
        <v>3391</v>
      </c>
      <c r="B3392" s="12" t="s">
        <v>7067</v>
      </c>
      <c r="C3392" s="155">
        <v>159</v>
      </c>
      <c r="D3392" s="55" t="s">
        <v>3149</v>
      </c>
      <c r="E3392" s="90" t="s">
        <v>3144</v>
      </c>
      <c r="G3392" s="55" t="s">
        <v>3145</v>
      </c>
      <c r="H3392" s="55">
        <v>1999</v>
      </c>
      <c r="I3392" s="55">
        <v>1996</v>
      </c>
      <c r="J3392" s="55" t="s">
        <v>2688</v>
      </c>
      <c r="K3392" s="55" t="s">
        <v>3143</v>
      </c>
      <c r="L3392" s="55" t="s">
        <v>2748</v>
      </c>
      <c r="M3392" s="90">
        <f>-15-18.5/60</f>
        <v>-15.308333333333334</v>
      </c>
      <c r="N3392" s="90">
        <f>35+23.5/60</f>
        <v>35.391666666666666</v>
      </c>
      <c r="O3392" s="90">
        <v>800</v>
      </c>
      <c r="S3392" s="90">
        <v>1150</v>
      </c>
      <c r="U3392" s="55" t="s">
        <v>1805</v>
      </c>
      <c r="V3392" s="55" t="s">
        <v>1688</v>
      </c>
      <c r="Y3392" s="55" t="s">
        <v>3146</v>
      </c>
      <c r="Z3392" s="55" t="s">
        <v>1362</v>
      </c>
      <c r="AA3392" s="90" t="s">
        <v>1683</v>
      </c>
      <c r="AD3392" s="90">
        <v>1.3</v>
      </c>
      <c r="AE3392" s="90">
        <v>45</v>
      </c>
      <c r="AF3392" s="90">
        <v>37</v>
      </c>
      <c r="AH3392" s="55" t="s">
        <v>139</v>
      </c>
      <c r="AI3392" s="168">
        <v>6.5</v>
      </c>
      <c r="AJ3392" s="90">
        <v>2.11</v>
      </c>
      <c r="AL3392" s="55">
        <v>5.4</v>
      </c>
      <c r="AN3392" s="185" t="s">
        <v>2692</v>
      </c>
      <c r="AO3392" s="185" t="s">
        <v>5150</v>
      </c>
      <c r="AQ3392" s="55" t="s">
        <v>553</v>
      </c>
      <c r="AR3392" s="55" t="s">
        <v>1607</v>
      </c>
      <c r="AS3392" s="55" t="s">
        <v>132</v>
      </c>
      <c r="AU3392" s="181" t="s">
        <v>7494</v>
      </c>
      <c r="AV3392" s="185" t="s">
        <v>176</v>
      </c>
      <c r="AX3392" s="185" t="s">
        <v>176</v>
      </c>
      <c r="BE3392" s="226" t="s">
        <v>2700</v>
      </c>
      <c r="BF3392" s="191" t="s">
        <v>176</v>
      </c>
      <c r="BG3392" s="191" t="s">
        <v>176</v>
      </c>
      <c r="BH3392" s="226" t="s">
        <v>2700</v>
      </c>
      <c r="BI3392" s="191" t="s">
        <v>176</v>
      </c>
      <c r="BJ3392" s="55" t="s">
        <v>176</v>
      </c>
      <c r="BK3392" s="55" t="s">
        <v>6333</v>
      </c>
      <c r="BM3392" s="192" t="s">
        <v>160</v>
      </c>
      <c r="BS3392" s="55">
        <v>2310</v>
      </c>
      <c r="BU3392" s="55" t="s">
        <v>3153</v>
      </c>
      <c r="BV3392" s="55" t="s">
        <v>3150</v>
      </c>
      <c r="DB3392" s="65">
        <v>34</v>
      </c>
      <c r="DC3392" s="65">
        <v>36</v>
      </c>
      <c r="DD3392" s="65">
        <v>9</v>
      </c>
      <c r="DE3392" s="65">
        <v>12</v>
      </c>
      <c r="DF3392" s="65" t="s">
        <v>3157</v>
      </c>
      <c r="GP3392" s="292" t="s">
        <v>7494</v>
      </c>
    </row>
    <row r="3393" spans="1:281" x14ac:dyDescent="0.25">
      <c r="A3393" s="55">
        <v>3392</v>
      </c>
      <c r="B3393" s="12" t="s">
        <v>7067</v>
      </c>
      <c r="C3393" s="155">
        <v>159</v>
      </c>
      <c r="D3393" s="55" t="s">
        <v>3149</v>
      </c>
      <c r="E3393" s="90" t="s">
        <v>3144</v>
      </c>
      <c r="G3393" s="55" t="s">
        <v>3145</v>
      </c>
      <c r="H3393" s="55">
        <v>1999</v>
      </c>
      <c r="I3393" s="55">
        <v>1996</v>
      </c>
      <c r="J3393" s="55" t="s">
        <v>2688</v>
      </c>
      <c r="K3393" s="55" t="s">
        <v>3143</v>
      </c>
      <c r="L3393" s="55" t="s">
        <v>2748</v>
      </c>
      <c r="M3393" s="90">
        <f>-15-18.5/60</f>
        <v>-15.308333333333334</v>
      </c>
      <c r="N3393" s="90">
        <f>35+23.5/60</f>
        <v>35.391666666666666</v>
      </c>
      <c r="O3393" s="90">
        <v>800</v>
      </c>
      <c r="S3393" s="90">
        <v>1150</v>
      </c>
      <c r="U3393" s="55" t="s">
        <v>1805</v>
      </c>
      <c r="V3393" s="55" t="s">
        <v>1688</v>
      </c>
      <c r="Y3393" s="55" t="s">
        <v>3146</v>
      </c>
      <c r="Z3393" s="55" t="s">
        <v>1362</v>
      </c>
      <c r="AA3393" s="90" t="s">
        <v>1683</v>
      </c>
      <c r="AD3393" s="90">
        <v>1.2</v>
      </c>
      <c r="AE3393" s="90">
        <v>40</v>
      </c>
      <c r="AF3393" s="90">
        <v>32</v>
      </c>
      <c r="AH3393" s="55" t="s">
        <v>139</v>
      </c>
      <c r="AI3393" s="168">
        <v>6.1</v>
      </c>
      <c r="AJ3393" s="90">
        <v>1.53</v>
      </c>
      <c r="AL3393" s="55">
        <v>7.2</v>
      </c>
      <c r="AN3393" s="185" t="s">
        <v>2692</v>
      </c>
      <c r="AO3393" s="185" t="s">
        <v>5150</v>
      </c>
      <c r="AQ3393" s="55" t="s">
        <v>553</v>
      </c>
      <c r="AR3393" s="55" t="s">
        <v>1607</v>
      </c>
      <c r="AS3393" s="55" t="s">
        <v>132</v>
      </c>
      <c r="AU3393" s="181" t="s">
        <v>7494</v>
      </c>
      <c r="AV3393" s="185" t="s">
        <v>176</v>
      </c>
      <c r="AX3393" s="185" t="s">
        <v>176</v>
      </c>
      <c r="BE3393" s="226" t="s">
        <v>2700</v>
      </c>
      <c r="BF3393" s="191" t="s">
        <v>176</v>
      </c>
      <c r="BG3393" s="191" t="s">
        <v>176</v>
      </c>
      <c r="BH3393" s="226" t="s">
        <v>2700</v>
      </c>
      <c r="BI3393" s="191" t="s">
        <v>176</v>
      </c>
      <c r="BJ3393" s="55" t="s">
        <v>176</v>
      </c>
      <c r="BK3393" s="55" t="s">
        <v>6333</v>
      </c>
      <c r="BM3393" s="192" t="s">
        <v>160</v>
      </c>
      <c r="BS3393" s="55">
        <v>2690</v>
      </c>
      <c r="BU3393" s="55" t="s">
        <v>3153</v>
      </c>
      <c r="BV3393" s="55" t="s">
        <v>3151</v>
      </c>
      <c r="DB3393" s="65">
        <v>23</v>
      </c>
      <c r="DC3393" s="65">
        <v>35</v>
      </c>
      <c r="DD3393" s="65">
        <v>9</v>
      </c>
      <c r="DE3393" s="65">
        <v>15</v>
      </c>
      <c r="DF3393" s="65" t="s">
        <v>3157</v>
      </c>
      <c r="GP3393" s="292" t="s">
        <v>7494</v>
      </c>
    </row>
    <row r="3394" spans="1:281" x14ac:dyDescent="0.25">
      <c r="A3394" s="55">
        <v>3393</v>
      </c>
      <c r="B3394" s="12" t="s">
        <v>7067</v>
      </c>
      <c r="C3394" s="155">
        <v>159</v>
      </c>
      <c r="D3394" s="55" t="s">
        <v>3149</v>
      </c>
      <c r="E3394" s="90" t="s">
        <v>3144</v>
      </c>
      <c r="G3394" s="55" t="s">
        <v>3145</v>
      </c>
      <c r="H3394" s="55">
        <v>1999</v>
      </c>
      <c r="I3394" s="55">
        <v>1996</v>
      </c>
      <c r="J3394" s="55" t="s">
        <v>2688</v>
      </c>
      <c r="K3394" s="55" t="s">
        <v>3143</v>
      </c>
      <c r="L3394" s="55" t="s">
        <v>2748</v>
      </c>
      <c r="M3394" s="90">
        <f>-15-18.5/60</f>
        <v>-15.308333333333334</v>
      </c>
      <c r="N3394" s="90">
        <f>35+23.5/60</f>
        <v>35.391666666666666</v>
      </c>
      <c r="O3394" s="90">
        <v>800</v>
      </c>
      <c r="S3394" s="90">
        <v>1150</v>
      </c>
      <c r="U3394" s="55" t="s">
        <v>1805</v>
      </c>
      <c r="V3394" s="55" t="s">
        <v>1688</v>
      </c>
      <c r="Y3394" s="55" t="s">
        <v>3146</v>
      </c>
      <c r="Z3394" s="55" t="s">
        <v>1362</v>
      </c>
      <c r="AA3394" s="90" t="s">
        <v>1683</v>
      </c>
      <c r="AD3394" s="90">
        <v>1.4</v>
      </c>
      <c r="AE3394" s="90">
        <v>36</v>
      </c>
      <c r="AF3394" s="90">
        <v>42</v>
      </c>
      <c r="AH3394" s="55" t="s">
        <v>139</v>
      </c>
      <c r="AI3394" s="168">
        <v>5.3</v>
      </c>
      <c r="AJ3394" s="90">
        <v>0.87</v>
      </c>
      <c r="AL3394" s="55">
        <v>7.2</v>
      </c>
      <c r="AN3394" s="185" t="s">
        <v>2692</v>
      </c>
      <c r="AO3394" s="185" t="s">
        <v>5150</v>
      </c>
      <c r="AQ3394" s="55" t="s">
        <v>553</v>
      </c>
      <c r="AR3394" s="55" t="s">
        <v>1607</v>
      </c>
      <c r="AS3394" s="55" t="s">
        <v>132</v>
      </c>
      <c r="AU3394" s="181" t="s">
        <v>7494</v>
      </c>
      <c r="AV3394" s="185" t="s">
        <v>176</v>
      </c>
      <c r="AX3394" s="185" t="s">
        <v>176</v>
      </c>
      <c r="BE3394" s="226" t="s">
        <v>2700</v>
      </c>
      <c r="BF3394" s="191" t="s">
        <v>176</v>
      </c>
      <c r="BG3394" s="191" t="s">
        <v>176</v>
      </c>
      <c r="BH3394" s="226" t="s">
        <v>2700</v>
      </c>
      <c r="BI3394" s="191" t="s">
        <v>176</v>
      </c>
      <c r="BJ3394" s="55" t="s">
        <v>176</v>
      </c>
      <c r="BK3394" s="55" t="s">
        <v>6333</v>
      </c>
      <c r="BM3394" s="192" t="s">
        <v>160</v>
      </c>
      <c r="BS3394" s="55">
        <v>1080</v>
      </c>
      <c r="BU3394" s="55" t="s">
        <v>3153</v>
      </c>
      <c r="BV3394" s="55" t="s">
        <v>3152</v>
      </c>
      <c r="DB3394" s="65">
        <v>19</v>
      </c>
      <c r="DC3394" s="65">
        <v>36</v>
      </c>
      <c r="DD3394" s="65">
        <v>2</v>
      </c>
      <c r="DE3394" s="65">
        <v>14</v>
      </c>
      <c r="DF3394" s="65" t="s">
        <v>3157</v>
      </c>
      <c r="GP3394" s="292" t="s">
        <v>7494</v>
      </c>
    </row>
    <row r="3395" spans="1:281" x14ac:dyDescent="0.25">
      <c r="A3395" s="55">
        <v>3394</v>
      </c>
      <c r="B3395" s="12" t="s">
        <v>7067</v>
      </c>
      <c r="C3395" s="155">
        <v>159</v>
      </c>
      <c r="D3395" s="55" t="s">
        <v>3149</v>
      </c>
      <c r="E3395" s="90" t="s">
        <v>3144</v>
      </c>
      <c r="G3395" s="55" t="s">
        <v>3145</v>
      </c>
      <c r="H3395" s="55">
        <v>1999</v>
      </c>
      <c r="I3395" s="55">
        <v>1996</v>
      </c>
      <c r="J3395" s="55" t="s">
        <v>2688</v>
      </c>
      <c r="K3395" s="55" t="s">
        <v>3143</v>
      </c>
      <c r="L3395" s="55" t="s">
        <v>2748</v>
      </c>
      <c r="M3395" s="90">
        <f>-15-18.5/60</f>
        <v>-15.308333333333334</v>
      </c>
      <c r="N3395" s="90">
        <f>35+23.5/60</f>
        <v>35.391666666666666</v>
      </c>
      <c r="O3395" s="90">
        <v>800</v>
      </c>
      <c r="S3395" s="90">
        <v>1150</v>
      </c>
      <c r="U3395" s="55" t="s">
        <v>1805</v>
      </c>
      <c r="V3395" s="55" t="s">
        <v>1688</v>
      </c>
      <c r="Y3395" s="55" t="s">
        <v>3146</v>
      </c>
      <c r="Z3395" s="55" t="s">
        <v>1362</v>
      </c>
      <c r="AA3395" s="90" t="s">
        <v>1683</v>
      </c>
      <c r="AD3395" s="90">
        <v>1.3</v>
      </c>
      <c r="AE3395" s="90">
        <v>45</v>
      </c>
      <c r="AF3395" s="90">
        <v>37</v>
      </c>
      <c r="AH3395" s="55" t="s">
        <v>139</v>
      </c>
      <c r="AI3395" s="168">
        <v>6.5</v>
      </c>
      <c r="AJ3395" s="90">
        <v>2.11</v>
      </c>
      <c r="AL3395" s="55">
        <v>5.4</v>
      </c>
      <c r="AN3395" s="185" t="s">
        <v>2692</v>
      </c>
      <c r="AO3395" s="185" t="s">
        <v>5150</v>
      </c>
      <c r="AQ3395" s="55" t="s">
        <v>553</v>
      </c>
      <c r="AR3395" s="55" t="s">
        <v>1607</v>
      </c>
      <c r="AS3395" s="55" t="s">
        <v>132</v>
      </c>
      <c r="AU3395" s="181" t="s">
        <v>7494</v>
      </c>
      <c r="AV3395" s="185" t="s">
        <v>176</v>
      </c>
      <c r="AX3395" s="185" t="s">
        <v>176</v>
      </c>
      <c r="BE3395" s="226" t="s">
        <v>2700</v>
      </c>
      <c r="BF3395" s="191" t="s">
        <v>176</v>
      </c>
      <c r="BG3395" s="191" t="s">
        <v>176</v>
      </c>
      <c r="BH3395" s="226" t="s">
        <v>2700</v>
      </c>
      <c r="BI3395" s="191" t="s">
        <v>176</v>
      </c>
      <c r="BJ3395" s="55" t="s">
        <v>176</v>
      </c>
      <c r="BK3395" s="55" t="s">
        <v>6333</v>
      </c>
      <c r="BM3395" s="192" t="s">
        <v>160</v>
      </c>
      <c r="BS3395" s="55">
        <v>2310</v>
      </c>
      <c r="BU3395" s="55" t="s">
        <v>3154</v>
      </c>
      <c r="BV3395" s="55" t="s">
        <v>3150</v>
      </c>
      <c r="DB3395" s="65">
        <v>40</v>
      </c>
      <c r="DC3395" s="65">
        <v>64</v>
      </c>
      <c r="DD3395" s="65">
        <v>36</v>
      </c>
      <c r="DE3395" s="65">
        <v>62</v>
      </c>
      <c r="DF3395" s="65" t="s">
        <v>3157</v>
      </c>
      <c r="GP3395" s="292" t="s">
        <v>7494</v>
      </c>
    </row>
    <row r="3396" spans="1:281" x14ac:dyDescent="0.25">
      <c r="A3396" s="55">
        <v>3395</v>
      </c>
      <c r="B3396" s="12" t="s">
        <v>7067</v>
      </c>
      <c r="C3396" s="155">
        <v>159</v>
      </c>
      <c r="D3396" s="55" t="s">
        <v>3149</v>
      </c>
      <c r="E3396" s="90" t="s">
        <v>3144</v>
      </c>
      <c r="G3396" s="55" t="s">
        <v>3145</v>
      </c>
      <c r="H3396" s="55">
        <v>1999</v>
      </c>
      <c r="I3396" s="55">
        <v>1996</v>
      </c>
      <c r="J3396" s="55" t="s">
        <v>2688</v>
      </c>
      <c r="K3396" s="55" t="s">
        <v>3143</v>
      </c>
      <c r="L3396" s="55" t="s">
        <v>2748</v>
      </c>
      <c r="M3396" s="90">
        <f>-15-18.5/60</f>
        <v>-15.308333333333334</v>
      </c>
      <c r="N3396" s="90">
        <f>35+23.5/60</f>
        <v>35.391666666666666</v>
      </c>
      <c r="O3396" s="90">
        <v>800</v>
      </c>
      <c r="S3396" s="90">
        <v>1150</v>
      </c>
      <c r="U3396" s="55" t="s">
        <v>1805</v>
      </c>
      <c r="V3396" s="55" t="s">
        <v>1688</v>
      </c>
      <c r="Y3396" s="55" t="s">
        <v>3146</v>
      </c>
      <c r="Z3396" s="55" t="s">
        <v>1362</v>
      </c>
      <c r="AA3396" s="90" t="s">
        <v>1683</v>
      </c>
      <c r="AD3396" s="90">
        <v>1.2</v>
      </c>
      <c r="AE3396" s="90">
        <v>40</v>
      </c>
      <c r="AF3396" s="90">
        <v>32</v>
      </c>
      <c r="AH3396" s="55" t="s">
        <v>139</v>
      </c>
      <c r="AI3396" s="168">
        <v>6.1</v>
      </c>
      <c r="AJ3396" s="90">
        <v>1.53</v>
      </c>
      <c r="AL3396" s="55">
        <v>7.2</v>
      </c>
      <c r="AN3396" s="185" t="s">
        <v>2692</v>
      </c>
      <c r="AO3396" s="185" t="s">
        <v>5150</v>
      </c>
      <c r="AQ3396" s="55" t="s">
        <v>553</v>
      </c>
      <c r="AR3396" s="55" t="s">
        <v>1607</v>
      </c>
      <c r="AS3396" s="55" t="s">
        <v>132</v>
      </c>
      <c r="AU3396" s="181" t="s">
        <v>7494</v>
      </c>
      <c r="AV3396" s="185" t="s">
        <v>176</v>
      </c>
      <c r="AX3396" s="185" t="s">
        <v>176</v>
      </c>
      <c r="BE3396" s="226" t="s">
        <v>2700</v>
      </c>
      <c r="BF3396" s="191" t="s">
        <v>176</v>
      </c>
      <c r="BG3396" s="191" t="s">
        <v>176</v>
      </c>
      <c r="BH3396" s="226" t="s">
        <v>2700</v>
      </c>
      <c r="BI3396" s="191" t="s">
        <v>176</v>
      </c>
      <c r="BJ3396" s="55" t="s">
        <v>176</v>
      </c>
      <c r="BK3396" s="55" t="s">
        <v>6333</v>
      </c>
      <c r="BM3396" s="192" t="s">
        <v>160</v>
      </c>
      <c r="BS3396" s="55">
        <v>2690</v>
      </c>
      <c r="BU3396" s="55" t="s">
        <v>3154</v>
      </c>
      <c r="BV3396" s="55" t="s">
        <v>3151</v>
      </c>
      <c r="DB3396" s="65">
        <v>46</v>
      </c>
      <c r="DC3396" s="65">
        <v>54</v>
      </c>
      <c r="DD3396" s="65">
        <v>38</v>
      </c>
      <c r="DE3396" s="65">
        <v>42</v>
      </c>
      <c r="DF3396" s="65" t="s">
        <v>3157</v>
      </c>
      <c r="GP3396" s="292" t="s">
        <v>7494</v>
      </c>
    </row>
    <row r="3397" spans="1:281" x14ac:dyDescent="0.25">
      <c r="A3397" s="55">
        <v>3396</v>
      </c>
      <c r="B3397" s="12" t="s">
        <v>7067</v>
      </c>
      <c r="C3397" s="155">
        <v>159</v>
      </c>
      <c r="D3397" s="55" t="s">
        <v>3149</v>
      </c>
      <c r="E3397" s="90" t="s">
        <v>3144</v>
      </c>
      <c r="G3397" s="55" t="s">
        <v>3145</v>
      </c>
      <c r="H3397" s="55">
        <v>1999</v>
      </c>
      <c r="I3397" s="55">
        <v>1996</v>
      </c>
      <c r="J3397" s="55" t="s">
        <v>2688</v>
      </c>
      <c r="K3397" s="55" t="s">
        <v>3143</v>
      </c>
      <c r="L3397" s="55" t="s">
        <v>2748</v>
      </c>
      <c r="M3397" s="90">
        <f>-15-18.5/60</f>
        <v>-15.308333333333334</v>
      </c>
      <c r="N3397" s="90">
        <f>35+23.5/60</f>
        <v>35.391666666666666</v>
      </c>
      <c r="O3397" s="90">
        <v>800</v>
      </c>
      <c r="S3397" s="90">
        <v>1150</v>
      </c>
      <c r="U3397" s="55" t="s">
        <v>1805</v>
      </c>
      <c r="V3397" s="55" t="s">
        <v>1688</v>
      </c>
      <c r="Y3397" s="55" t="s">
        <v>3146</v>
      </c>
      <c r="Z3397" s="55" t="s">
        <v>1362</v>
      </c>
      <c r="AA3397" s="90" t="s">
        <v>1683</v>
      </c>
      <c r="AD3397" s="90">
        <v>1.4</v>
      </c>
      <c r="AE3397" s="90">
        <v>36</v>
      </c>
      <c r="AF3397" s="90">
        <v>42</v>
      </c>
      <c r="AH3397" s="55" t="s">
        <v>139</v>
      </c>
      <c r="AI3397" s="168">
        <v>5.3</v>
      </c>
      <c r="AJ3397" s="90">
        <v>0.87</v>
      </c>
      <c r="AL3397" s="55">
        <v>7.2</v>
      </c>
      <c r="AN3397" s="185" t="s">
        <v>2692</v>
      </c>
      <c r="AO3397" s="185" t="s">
        <v>5150</v>
      </c>
      <c r="AQ3397" s="55" t="s">
        <v>553</v>
      </c>
      <c r="AR3397" s="55" t="s">
        <v>1607</v>
      </c>
      <c r="AS3397" s="55" t="s">
        <v>132</v>
      </c>
      <c r="AU3397" s="181" t="s">
        <v>7494</v>
      </c>
      <c r="AV3397" s="185" t="s">
        <v>176</v>
      </c>
      <c r="AX3397" s="185" t="s">
        <v>176</v>
      </c>
      <c r="BE3397" s="226" t="s">
        <v>2700</v>
      </c>
      <c r="BF3397" s="191" t="s">
        <v>176</v>
      </c>
      <c r="BG3397" s="191" t="s">
        <v>176</v>
      </c>
      <c r="BH3397" s="226" t="s">
        <v>2700</v>
      </c>
      <c r="BI3397" s="191" t="s">
        <v>176</v>
      </c>
      <c r="BJ3397" s="55" t="s">
        <v>176</v>
      </c>
      <c r="BK3397" s="55" t="s">
        <v>6333</v>
      </c>
      <c r="BM3397" s="192" t="s">
        <v>160</v>
      </c>
      <c r="BS3397" s="55">
        <v>1080</v>
      </c>
      <c r="BU3397" s="55" t="s">
        <v>3154</v>
      </c>
      <c r="BV3397" s="55" t="s">
        <v>3152</v>
      </c>
      <c r="DB3397" s="65">
        <v>46</v>
      </c>
      <c r="DC3397" s="65">
        <v>55</v>
      </c>
      <c r="DD3397" s="65">
        <v>47</v>
      </c>
      <c r="DE3397" s="65">
        <v>14</v>
      </c>
      <c r="DF3397" s="65" t="s">
        <v>3157</v>
      </c>
      <c r="GP3397" s="292" t="s">
        <v>7494</v>
      </c>
    </row>
    <row r="3398" spans="1:281" x14ac:dyDescent="0.25">
      <c r="A3398" s="55">
        <v>3397</v>
      </c>
      <c r="B3398" s="12" t="s">
        <v>7067</v>
      </c>
      <c r="C3398" s="155">
        <v>159</v>
      </c>
      <c r="D3398" s="55" t="s">
        <v>3149</v>
      </c>
      <c r="E3398" s="90" t="s">
        <v>3144</v>
      </c>
      <c r="G3398" s="55" t="s">
        <v>3145</v>
      </c>
      <c r="H3398" s="55">
        <v>1999</v>
      </c>
      <c r="I3398" s="55">
        <v>1996</v>
      </c>
      <c r="J3398" s="55" t="s">
        <v>2688</v>
      </c>
      <c r="K3398" s="55" t="s">
        <v>3143</v>
      </c>
      <c r="L3398" s="55" t="s">
        <v>2748</v>
      </c>
      <c r="M3398" s="90">
        <f>-15-18.5/60</f>
        <v>-15.308333333333334</v>
      </c>
      <c r="N3398" s="90">
        <f>35+23.5/60</f>
        <v>35.391666666666666</v>
      </c>
      <c r="O3398" s="90">
        <v>800</v>
      </c>
      <c r="S3398" s="90">
        <v>1150</v>
      </c>
      <c r="U3398" s="55" t="s">
        <v>1805</v>
      </c>
      <c r="V3398" s="55" t="s">
        <v>1688</v>
      </c>
      <c r="Y3398" s="55" t="s">
        <v>3146</v>
      </c>
      <c r="Z3398" s="55" t="s">
        <v>1362</v>
      </c>
      <c r="AA3398" s="90" t="s">
        <v>1683</v>
      </c>
      <c r="AD3398" s="90">
        <v>1.3</v>
      </c>
      <c r="AE3398" s="90">
        <v>45</v>
      </c>
      <c r="AF3398" s="90">
        <v>37</v>
      </c>
      <c r="AH3398" s="55" t="s">
        <v>139</v>
      </c>
      <c r="AI3398" s="168">
        <v>6.5</v>
      </c>
      <c r="AJ3398" s="90">
        <v>2.11</v>
      </c>
      <c r="AL3398" s="55">
        <v>5.4</v>
      </c>
      <c r="AN3398" s="185" t="s">
        <v>2692</v>
      </c>
      <c r="AO3398" s="185" t="s">
        <v>5150</v>
      </c>
      <c r="AQ3398" s="55" t="s">
        <v>553</v>
      </c>
      <c r="AR3398" s="55" t="s">
        <v>1607</v>
      </c>
      <c r="AS3398" s="55" t="s">
        <v>132</v>
      </c>
      <c r="AU3398" s="181" t="s">
        <v>7494</v>
      </c>
      <c r="AV3398" s="185" t="s">
        <v>176</v>
      </c>
      <c r="AX3398" s="185" t="s">
        <v>176</v>
      </c>
      <c r="BE3398" s="226" t="s">
        <v>2700</v>
      </c>
      <c r="BF3398" s="191" t="s">
        <v>176</v>
      </c>
      <c r="BG3398" s="191" t="s">
        <v>176</v>
      </c>
      <c r="BH3398" s="226" t="s">
        <v>2700</v>
      </c>
      <c r="BI3398" s="191" t="s">
        <v>176</v>
      </c>
      <c r="BJ3398" s="55" t="s">
        <v>176</v>
      </c>
      <c r="BK3398" s="55" t="s">
        <v>6333</v>
      </c>
      <c r="BM3398" s="192" t="s">
        <v>160</v>
      </c>
      <c r="BS3398" s="55">
        <v>2310</v>
      </c>
      <c r="BU3398" s="55" t="s">
        <v>3155</v>
      </c>
      <c r="BV3398" s="55" t="s">
        <v>3150</v>
      </c>
      <c r="DB3398" s="65">
        <v>40</v>
      </c>
      <c r="DC3398" s="65">
        <v>104</v>
      </c>
      <c r="DD3398" s="65">
        <v>10</v>
      </c>
      <c r="DE3398" s="65">
        <v>44</v>
      </c>
      <c r="DF3398" s="65" t="s">
        <v>3157</v>
      </c>
      <c r="GP3398" s="292" t="s">
        <v>7494</v>
      </c>
    </row>
    <row r="3399" spans="1:281" x14ac:dyDescent="0.25">
      <c r="A3399" s="55">
        <v>3398</v>
      </c>
      <c r="B3399" s="12" t="s">
        <v>7067</v>
      </c>
      <c r="C3399" s="155">
        <v>159</v>
      </c>
      <c r="D3399" s="55" t="s">
        <v>3149</v>
      </c>
      <c r="E3399" s="90" t="s">
        <v>3144</v>
      </c>
      <c r="G3399" s="55" t="s">
        <v>3145</v>
      </c>
      <c r="H3399" s="55">
        <v>1999</v>
      </c>
      <c r="I3399" s="55">
        <v>1996</v>
      </c>
      <c r="J3399" s="55" t="s">
        <v>2688</v>
      </c>
      <c r="K3399" s="55" t="s">
        <v>3143</v>
      </c>
      <c r="L3399" s="55" t="s">
        <v>2748</v>
      </c>
      <c r="M3399" s="90">
        <f>-15-18.5/60</f>
        <v>-15.308333333333334</v>
      </c>
      <c r="N3399" s="90">
        <f>35+23.5/60</f>
        <v>35.391666666666666</v>
      </c>
      <c r="O3399" s="90">
        <v>800</v>
      </c>
      <c r="S3399" s="90">
        <v>1150</v>
      </c>
      <c r="U3399" s="55" t="s">
        <v>1805</v>
      </c>
      <c r="V3399" s="55" t="s">
        <v>1688</v>
      </c>
      <c r="Y3399" s="55" t="s">
        <v>3146</v>
      </c>
      <c r="Z3399" s="55" t="s">
        <v>1362</v>
      </c>
      <c r="AA3399" s="90" t="s">
        <v>1683</v>
      </c>
      <c r="AD3399" s="90">
        <v>1.2</v>
      </c>
      <c r="AE3399" s="90">
        <v>40</v>
      </c>
      <c r="AF3399" s="90">
        <v>32</v>
      </c>
      <c r="AH3399" s="55" t="s">
        <v>139</v>
      </c>
      <c r="AI3399" s="168">
        <v>6.1</v>
      </c>
      <c r="AJ3399" s="90">
        <v>1.53</v>
      </c>
      <c r="AL3399" s="55">
        <v>7.2</v>
      </c>
      <c r="AN3399" s="185" t="s">
        <v>2692</v>
      </c>
      <c r="AO3399" s="185" t="s">
        <v>5150</v>
      </c>
      <c r="AQ3399" s="55" t="s">
        <v>553</v>
      </c>
      <c r="AR3399" s="55" t="s">
        <v>1607</v>
      </c>
      <c r="AS3399" s="55" t="s">
        <v>132</v>
      </c>
      <c r="AU3399" s="181" t="s">
        <v>7494</v>
      </c>
      <c r="AV3399" s="185" t="s">
        <v>176</v>
      </c>
      <c r="AX3399" s="185" t="s">
        <v>176</v>
      </c>
      <c r="BE3399" s="226" t="s">
        <v>2700</v>
      </c>
      <c r="BF3399" s="191" t="s">
        <v>176</v>
      </c>
      <c r="BG3399" s="191" t="s">
        <v>176</v>
      </c>
      <c r="BH3399" s="226" t="s">
        <v>2700</v>
      </c>
      <c r="BI3399" s="191" t="s">
        <v>176</v>
      </c>
      <c r="BJ3399" s="55" t="s">
        <v>176</v>
      </c>
      <c r="BK3399" s="55" t="s">
        <v>6333</v>
      </c>
      <c r="BM3399" s="192" t="s">
        <v>160</v>
      </c>
      <c r="BS3399" s="55">
        <v>2690</v>
      </c>
      <c r="BU3399" s="55" t="s">
        <v>3155</v>
      </c>
      <c r="BV3399" s="55" t="s">
        <v>3151</v>
      </c>
      <c r="DB3399" s="65">
        <v>37</v>
      </c>
      <c r="DC3399" s="65">
        <v>81</v>
      </c>
      <c r="DD3399" s="65">
        <v>16</v>
      </c>
      <c r="DE3399" s="65">
        <v>23</v>
      </c>
      <c r="DF3399" s="65" t="s">
        <v>3157</v>
      </c>
      <c r="GP3399" s="292" t="s">
        <v>7494</v>
      </c>
    </row>
    <row r="3400" spans="1:281" x14ac:dyDescent="0.25">
      <c r="A3400" s="55">
        <v>3399</v>
      </c>
      <c r="B3400" s="12" t="s">
        <v>7067</v>
      </c>
      <c r="C3400" s="155">
        <v>159</v>
      </c>
      <c r="D3400" s="55" t="s">
        <v>3149</v>
      </c>
      <c r="E3400" s="90" t="s">
        <v>3144</v>
      </c>
      <c r="G3400" s="55" t="s">
        <v>3145</v>
      </c>
      <c r="H3400" s="55">
        <v>1999</v>
      </c>
      <c r="I3400" s="55">
        <v>1996</v>
      </c>
      <c r="J3400" s="55" t="s">
        <v>2688</v>
      </c>
      <c r="K3400" s="55" t="s">
        <v>3143</v>
      </c>
      <c r="L3400" s="55" t="s">
        <v>2748</v>
      </c>
      <c r="M3400" s="90">
        <f>-15-18.5/60</f>
        <v>-15.308333333333334</v>
      </c>
      <c r="N3400" s="90">
        <f>35+23.5/60</f>
        <v>35.391666666666666</v>
      </c>
      <c r="O3400" s="90">
        <v>800</v>
      </c>
      <c r="S3400" s="90">
        <v>1150</v>
      </c>
      <c r="U3400" s="55" t="s">
        <v>1805</v>
      </c>
      <c r="V3400" s="55" t="s">
        <v>1688</v>
      </c>
      <c r="Y3400" s="55" t="s">
        <v>3146</v>
      </c>
      <c r="Z3400" s="55" t="s">
        <v>1362</v>
      </c>
      <c r="AA3400" s="90" t="s">
        <v>1683</v>
      </c>
      <c r="AD3400" s="90">
        <v>1.4</v>
      </c>
      <c r="AE3400" s="90">
        <v>36</v>
      </c>
      <c r="AF3400" s="90">
        <v>42</v>
      </c>
      <c r="AH3400" s="55" t="s">
        <v>139</v>
      </c>
      <c r="AI3400" s="168">
        <v>5.3</v>
      </c>
      <c r="AJ3400" s="90">
        <v>0.87</v>
      </c>
      <c r="AL3400" s="55">
        <v>7.2</v>
      </c>
      <c r="AN3400" s="185" t="s">
        <v>2692</v>
      </c>
      <c r="AO3400" s="185" t="s">
        <v>5150</v>
      </c>
      <c r="AQ3400" s="55" t="s">
        <v>553</v>
      </c>
      <c r="AR3400" s="55" t="s">
        <v>1607</v>
      </c>
      <c r="AS3400" s="55" t="s">
        <v>132</v>
      </c>
      <c r="AU3400" s="181" t="s">
        <v>7494</v>
      </c>
      <c r="AV3400" s="185" t="s">
        <v>176</v>
      </c>
      <c r="AX3400" s="185" t="s">
        <v>176</v>
      </c>
      <c r="BE3400" s="226" t="s">
        <v>2700</v>
      </c>
      <c r="BF3400" s="191" t="s">
        <v>176</v>
      </c>
      <c r="BG3400" s="191" t="s">
        <v>176</v>
      </c>
      <c r="BH3400" s="226" t="s">
        <v>2700</v>
      </c>
      <c r="BI3400" s="191" t="s">
        <v>176</v>
      </c>
      <c r="BJ3400" s="55" t="s">
        <v>176</v>
      </c>
      <c r="BK3400" s="55" t="s">
        <v>6333</v>
      </c>
      <c r="BM3400" s="192" t="s">
        <v>160</v>
      </c>
      <c r="BS3400" s="55">
        <v>1080</v>
      </c>
      <c r="BU3400" s="55" t="s">
        <v>3155</v>
      </c>
      <c r="BV3400" s="55" t="s">
        <v>3152</v>
      </c>
      <c r="DB3400" s="65">
        <v>25</v>
      </c>
      <c r="DC3400" s="65">
        <v>87</v>
      </c>
      <c r="DD3400" s="65">
        <v>10</v>
      </c>
      <c r="DE3400" s="65">
        <v>40</v>
      </c>
      <c r="DF3400" s="65" t="s">
        <v>3157</v>
      </c>
      <c r="GP3400" s="292" t="s">
        <v>7494</v>
      </c>
    </row>
    <row r="3401" spans="1:281" x14ac:dyDescent="0.25">
      <c r="A3401" s="55">
        <v>3400</v>
      </c>
      <c r="B3401" s="12" t="s">
        <v>7067</v>
      </c>
      <c r="C3401" s="155">
        <v>159</v>
      </c>
      <c r="D3401" s="55" t="s">
        <v>3149</v>
      </c>
      <c r="E3401" s="90" t="s">
        <v>3144</v>
      </c>
      <c r="G3401" s="55" t="s">
        <v>3145</v>
      </c>
      <c r="H3401" s="55">
        <v>1999</v>
      </c>
      <c r="I3401" s="55">
        <v>1996</v>
      </c>
      <c r="J3401" s="55" t="s">
        <v>2688</v>
      </c>
      <c r="K3401" s="55" t="s">
        <v>3143</v>
      </c>
      <c r="L3401" s="55" t="s">
        <v>2748</v>
      </c>
      <c r="M3401" s="90">
        <f>-15-18.5/60</f>
        <v>-15.308333333333334</v>
      </c>
      <c r="N3401" s="90">
        <f>35+23.5/60</f>
        <v>35.391666666666666</v>
      </c>
      <c r="O3401" s="90">
        <v>800</v>
      </c>
      <c r="S3401" s="90">
        <v>1150</v>
      </c>
      <c r="U3401" s="55" t="s">
        <v>1805</v>
      </c>
      <c r="V3401" s="55" t="s">
        <v>1688</v>
      </c>
      <c r="Y3401" s="55" t="s">
        <v>3146</v>
      </c>
      <c r="Z3401" s="55" t="s">
        <v>1362</v>
      </c>
      <c r="AA3401" s="90" t="s">
        <v>1683</v>
      </c>
      <c r="AD3401" s="90">
        <v>1.3</v>
      </c>
      <c r="AE3401" s="90">
        <v>45</v>
      </c>
      <c r="AF3401" s="90">
        <v>37</v>
      </c>
      <c r="AH3401" s="55" t="s">
        <v>139</v>
      </c>
      <c r="AI3401" s="168">
        <v>6.5</v>
      </c>
      <c r="AJ3401" s="90">
        <v>2.11</v>
      </c>
      <c r="AL3401" s="55">
        <v>5.4</v>
      </c>
      <c r="AN3401" s="185" t="s">
        <v>2692</v>
      </c>
      <c r="AO3401" s="185" t="s">
        <v>5150</v>
      </c>
      <c r="AQ3401" s="55" t="s">
        <v>553</v>
      </c>
      <c r="AR3401" s="55" t="s">
        <v>1607</v>
      </c>
      <c r="AS3401" s="55" t="s">
        <v>132</v>
      </c>
      <c r="AU3401" s="181" t="s">
        <v>7494</v>
      </c>
      <c r="AV3401" s="185" t="s">
        <v>176</v>
      </c>
      <c r="AX3401" s="185" t="s">
        <v>176</v>
      </c>
      <c r="BE3401" s="226" t="s">
        <v>2700</v>
      </c>
      <c r="BF3401" s="191" t="s">
        <v>176</v>
      </c>
      <c r="BG3401" s="191" t="s">
        <v>176</v>
      </c>
      <c r="BH3401" s="226" t="s">
        <v>2700</v>
      </c>
      <c r="BI3401" s="191" t="s">
        <v>176</v>
      </c>
      <c r="BJ3401" s="55" t="s">
        <v>176</v>
      </c>
      <c r="BK3401" s="55" t="s">
        <v>6333</v>
      </c>
      <c r="BM3401" s="192" t="s">
        <v>160</v>
      </c>
      <c r="BS3401" s="55">
        <v>2310</v>
      </c>
      <c r="BU3401" s="55" t="s">
        <v>3156</v>
      </c>
      <c r="BV3401" s="55" t="s">
        <v>3150</v>
      </c>
      <c r="DB3401" s="65">
        <v>8</v>
      </c>
      <c r="DC3401" s="65">
        <v>11</v>
      </c>
      <c r="DD3401" s="65">
        <v>2</v>
      </c>
      <c r="DE3401" s="65">
        <v>5</v>
      </c>
      <c r="DF3401" s="65" t="s">
        <v>3157</v>
      </c>
      <c r="GP3401" s="292" t="s">
        <v>7494</v>
      </c>
    </row>
    <row r="3402" spans="1:281" x14ac:dyDescent="0.25">
      <c r="A3402" s="55">
        <v>3401</v>
      </c>
      <c r="B3402" s="12" t="s">
        <v>7067</v>
      </c>
      <c r="C3402" s="155">
        <v>159</v>
      </c>
      <c r="D3402" s="55" t="s">
        <v>3149</v>
      </c>
      <c r="E3402" s="90" t="s">
        <v>3144</v>
      </c>
      <c r="G3402" s="55" t="s">
        <v>3145</v>
      </c>
      <c r="H3402" s="55">
        <v>1999</v>
      </c>
      <c r="I3402" s="55">
        <v>1996</v>
      </c>
      <c r="J3402" s="55" t="s">
        <v>2688</v>
      </c>
      <c r="K3402" s="55" t="s">
        <v>3143</v>
      </c>
      <c r="L3402" s="55" t="s">
        <v>2748</v>
      </c>
      <c r="M3402" s="90">
        <f>-15-18.5/60</f>
        <v>-15.308333333333334</v>
      </c>
      <c r="N3402" s="90">
        <f>35+23.5/60</f>
        <v>35.391666666666666</v>
      </c>
      <c r="O3402" s="90">
        <v>800</v>
      </c>
      <c r="S3402" s="90">
        <v>1150</v>
      </c>
      <c r="U3402" s="55" t="s">
        <v>1805</v>
      </c>
      <c r="V3402" s="55" t="s">
        <v>1688</v>
      </c>
      <c r="Y3402" s="55" t="s">
        <v>3146</v>
      </c>
      <c r="Z3402" s="55" t="s">
        <v>1362</v>
      </c>
      <c r="AA3402" s="90" t="s">
        <v>1683</v>
      </c>
      <c r="AD3402" s="90">
        <v>1.2</v>
      </c>
      <c r="AE3402" s="90">
        <v>40</v>
      </c>
      <c r="AF3402" s="90">
        <v>32</v>
      </c>
      <c r="AH3402" s="55" t="s">
        <v>139</v>
      </c>
      <c r="AI3402" s="168">
        <v>6.1</v>
      </c>
      <c r="AJ3402" s="90">
        <v>1.53</v>
      </c>
      <c r="AL3402" s="55">
        <v>7.2</v>
      </c>
      <c r="AN3402" s="185" t="s">
        <v>2692</v>
      </c>
      <c r="AO3402" s="185" t="s">
        <v>5150</v>
      </c>
      <c r="AQ3402" s="55" t="s">
        <v>553</v>
      </c>
      <c r="AR3402" s="55" t="s">
        <v>1607</v>
      </c>
      <c r="AS3402" s="55" t="s">
        <v>132</v>
      </c>
      <c r="AU3402" s="181" t="s">
        <v>7494</v>
      </c>
      <c r="AV3402" s="185" t="s">
        <v>176</v>
      </c>
      <c r="AX3402" s="185" t="s">
        <v>176</v>
      </c>
      <c r="BE3402" s="226" t="s">
        <v>2700</v>
      </c>
      <c r="BF3402" s="191" t="s">
        <v>176</v>
      </c>
      <c r="BG3402" s="191" t="s">
        <v>176</v>
      </c>
      <c r="BH3402" s="226" t="s">
        <v>2700</v>
      </c>
      <c r="BI3402" s="191" t="s">
        <v>176</v>
      </c>
      <c r="BJ3402" s="55" t="s">
        <v>176</v>
      </c>
      <c r="BK3402" s="55" t="s">
        <v>6333</v>
      </c>
      <c r="BM3402" s="192" t="s">
        <v>160</v>
      </c>
      <c r="BS3402" s="55">
        <v>2690</v>
      </c>
      <c r="BU3402" s="55" t="s">
        <v>3156</v>
      </c>
      <c r="BV3402" s="55" t="s">
        <v>3151</v>
      </c>
      <c r="DB3402" s="65">
        <v>7</v>
      </c>
      <c r="DC3402" s="65">
        <v>9</v>
      </c>
      <c r="DD3402" s="65">
        <v>3</v>
      </c>
      <c r="DE3402" s="65">
        <v>4</v>
      </c>
      <c r="DF3402" s="65" t="s">
        <v>3157</v>
      </c>
      <c r="GP3402" s="292" t="s">
        <v>7494</v>
      </c>
    </row>
    <row r="3403" spans="1:281" x14ac:dyDescent="0.25">
      <c r="A3403" s="55">
        <v>3402</v>
      </c>
      <c r="B3403" s="12" t="s">
        <v>7067</v>
      </c>
      <c r="C3403" s="155">
        <v>159</v>
      </c>
      <c r="D3403" s="55" t="s">
        <v>3149</v>
      </c>
      <c r="E3403" s="90" t="s">
        <v>3144</v>
      </c>
      <c r="G3403" s="55" t="s">
        <v>3145</v>
      </c>
      <c r="H3403" s="55">
        <v>1999</v>
      </c>
      <c r="I3403" s="55">
        <v>1996</v>
      </c>
      <c r="J3403" s="55" t="s">
        <v>2688</v>
      </c>
      <c r="K3403" s="55" t="s">
        <v>3143</v>
      </c>
      <c r="L3403" s="55" t="s">
        <v>2748</v>
      </c>
      <c r="M3403" s="90">
        <f>-15-18.5/60</f>
        <v>-15.308333333333334</v>
      </c>
      <c r="N3403" s="90">
        <f>35+23.5/60</f>
        <v>35.391666666666666</v>
      </c>
      <c r="O3403" s="90">
        <v>800</v>
      </c>
      <c r="S3403" s="90">
        <v>1150</v>
      </c>
      <c r="U3403" s="55" t="s">
        <v>1805</v>
      </c>
      <c r="V3403" s="55" t="s">
        <v>1688</v>
      </c>
      <c r="Y3403" s="55" t="s">
        <v>3146</v>
      </c>
      <c r="Z3403" s="55" t="s">
        <v>1362</v>
      </c>
      <c r="AA3403" s="90" t="s">
        <v>1683</v>
      </c>
      <c r="AD3403" s="90">
        <v>1.4</v>
      </c>
      <c r="AE3403" s="90">
        <v>36</v>
      </c>
      <c r="AF3403" s="90">
        <v>42</v>
      </c>
      <c r="AH3403" s="55" t="s">
        <v>139</v>
      </c>
      <c r="AI3403" s="168">
        <v>5.3</v>
      </c>
      <c r="AJ3403" s="90">
        <v>0.87</v>
      </c>
      <c r="AL3403" s="55">
        <v>7.2</v>
      </c>
      <c r="AN3403" s="185" t="s">
        <v>2692</v>
      </c>
      <c r="AO3403" s="185" t="s">
        <v>5150</v>
      </c>
      <c r="AQ3403" s="55" t="s">
        <v>553</v>
      </c>
      <c r="AR3403" s="55" t="s">
        <v>1607</v>
      </c>
      <c r="AS3403" s="55" t="s">
        <v>132</v>
      </c>
      <c r="AU3403" s="181" t="s">
        <v>7494</v>
      </c>
      <c r="AV3403" s="185" t="s">
        <v>176</v>
      </c>
      <c r="AX3403" s="185" t="s">
        <v>176</v>
      </c>
      <c r="BE3403" s="226" t="s">
        <v>2700</v>
      </c>
      <c r="BF3403" s="191" t="s">
        <v>176</v>
      </c>
      <c r="BG3403" s="191" t="s">
        <v>176</v>
      </c>
      <c r="BH3403" s="226" t="s">
        <v>2700</v>
      </c>
      <c r="BI3403" s="191" t="s">
        <v>176</v>
      </c>
      <c r="BJ3403" s="55" t="s">
        <v>176</v>
      </c>
      <c r="BK3403" s="55" t="s">
        <v>6333</v>
      </c>
      <c r="BM3403" s="192" t="s">
        <v>160</v>
      </c>
      <c r="BS3403" s="55">
        <v>1080</v>
      </c>
      <c r="BU3403" s="55" t="s">
        <v>3156</v>
      </c>
      <c r="BV3403" s="55" t="s">
        <v>3152</v>
      </c>
      <c r="DB3403" s="65">
        <v>10</v>
      </c>
      <c r="DC3403" s="65">
        <v>11</v>
      </c>
      <c r="DD3403" s="65">
        <v>3</v>
      </c>
      <c r="DE3403" s="65">
        <v>5</v>
      </c>
      <c r="DF3403" s="65" t="s">
        <v>3157</v>
      </c>
      <c r="GP3403" s="292" t="s">
        <v>7494</v>
      </c>
    </row>
    <row r="3404" spans="1:281" x14ac:dyDescent="0.25">
      <c r="A3404" s="55">
        <v>3403</v>
      </c>
      <c r="B3404" s="12" t="s">
        <v>7067</v>
      </c>
      <c r="C3404" s="155">
        <v>160</v>
      </c>
      <c r="D3404" s="55" t="s">
        <v>3160</v>
      </c>
      <c r="E3404" s="90" t="s">
        <v>3144</v>
      </c>
      <c r="G3404" s="55" t="s">
        <v>3145</v>
      </c>
      <c r="H3404" s="55">
        <v>2003</v>
      </c>
      <c r="I3404" s="55">
        <v>1998</v>
      </c>
      <c r="J3404" s="55" t="s">
        <v>2688</v>
      </c>
      <c r="K3404" s="55" t="s">
        <v>3159</v>
      </c>
      <c r="L3404" s="55" t="s">
        <v>2750</v>
      </c>
      <c r="M3404" s="90">
        <f>-13-38/60</f>
        <v>-13.633333333333333</v>
      </c>
      <c r="N3404" s="90">
        <f>32+34/60</f>
        <v>32.56666666666667</v>
      </c>
      <c r="O3404" s="90">
        <v>1025</v>
      </c>
      <c r="R3404" s="55">
        <v>1291</v>
      </c>
      <c r="S3404" s="90">
        <v>977</v>
      </c>
      <c r="U3404" s="55" t="s">
        <v>1935</v>
      </c>
      <c r="V3404" s="55" t="s">
        <v>1688</v>
      </c>
      <c r="Y3404" s="55" t="s">
        <v>3036</v>
      </c>
      <c r="Z3404" s="55" t="s">
        <v>1346</v>
      </c>
      <c r="AA3404" s="90" t="s">
        <v>1675</v>
      </c>
      <c r="AD3404" s="90">
        <v>1.61</v>
      </c>
      <c r="AE3404" s="90">
        <v>47</v>
      </c>
      <c r="AF3404" s="90">
        <v>10</v>
      </c>
      <c r="AH3404" s="55" t="s">
        <v>2618</v>
      </c>
      <c r="AI3404" s="168">
        <v>5.4</v>
      </c>
      <c r="AJ3404" s="90">
        <v>0.4</v>
      </c>
      <c r="AL3404" s="55">
        <f>0.39*0.4167</f>
        <v>0.16251300000000002</v>
      </c>
      <c r="AM3404" s="55" t="s">
        <v>3161</v>
      </c>
      <c r="AN3404" s="185" t="s">
        <v>2692</v>
      </c>
      <c r="AO3404" s="185" t="s">
        <v>5150</v>
      </c>
      <c r="AQ3404" s="55" t="s">
        <v>553</v>
      </c>
      <c r="AR3404" s="55" t="s">
        <v>1607</v>
      </c>
      <c r="AS3404" s="55" t="s">
        <v>132</v>
      </c>
      <c r="AU3404" s="181" t="s">
        <v>7494</v>
      </c>
      <c r="AV3404" s="185" t="s">
        <v>176</v>
      </c>
      <c r="AX3404" s="185" t="s">
        <v>176</v>
      </c>
      <c r="BE3404" s="226" t="s">
        <v>2700</v>
      </c>
      <c r="BF3404" s="191" t="s">
        <v>176</v>
      </c>
      <c r="BG3404" s="191" t="s">
        <v>176</v>
      </c>
      <c r="BH3404" s="226" t="s">
        <v>2700</v>
      </c>
      <c r="BI3404" s="191" t="s">
        <v>176</v>
      </c>
      <c r="BJ3404" s="55" t="s">
        <v>176</v>
      </c>
      <c r="BK3404" s="55" t="s">
        <v>6333</v>
      </c>
      <c r="BM3404" s="192" t="s">
        <v>3158</v>
      </c>
      <c r="BN3404" s="55">
        <v>3</v>
      </c>
      <c r="BO3404" s="55">
        <v>3</v>
      </c>
      <c r="BQ3404" s="55" t="s">
        <v>141</v>
      </c>
      <c r="BW3404" s="65">
        <v>2550</v>
      </c>
      <c r="BX3404" s="65">
        <v>4860</v>
      </c>
      <c r="CA3404" s="65" t="s">
        <v>2861</v>
      </c>
      <c r="CB3404" s="66">
        <v>1160</v>
      </c>
      <c r="CC3404" s="66">
        <v>3070</v>
      </c>
      <c r="CG3404" s="65" t="s">
        <v>3163</v>
      </c>
      <c r="FO3404" s="65">
        <f>1291-180</f>
        <v>1111</v>
      </c>
      <c r="FP3404" s="65">
        <f>1291-450</f>
        <v>841</v>
      </c>
      <c r="FS3404" s="65" t="s">
        <v>6372</v>
      </c>
      <c r="GP3404" s="292" t="s">
        <v>7494</v>
      </c>
      <c r="JU3404" s="55" t="s">
        <v>3164</v>
      </c>
    </row>
    <row r="3405" spans="1:281" x14ac:dyDescent="0.25">
      <c r="A3405" s="55">
        <v>3404</v>
      </c>
      <c r="B3405" s="12" t="s">
        <v>7067</v>
      </c>
      <c r="C3405" s="155">
        <v>160</v>
      </c>
      <c r="D3405" s="55" t="s">
        <v>3160</v>
      </c>
      <c r="E3405" s="90" t="s">
        <v>3144</v>
      </c>
      <c r="G3405" s="55" t="s">
        <v>3145</v>
      </c>
      <c r="H3405" s="55">
        <v>2003</v>
      </c>
      <c r="I3405" s="55">
        <v>1999</v>
      </c>
      <c r="J3405" s="55" t="s">
        <v>2688</v>
      </c>
      <c r="K3405" s="55" t="s">
        <v>3159</v>
      </c>
      <c r="L3405" s="55" t="s">
        <v>2750</v>
      </c>
      <c r="M3405" s="90">
        <f>-13-38/60</f>
        <v>-13.633333333333333</v>
      </c>
      <c r="N3405" s="90">
        <f>32+34/60</f>
        <v>32.56666666666667</v>
      </c>
      <c r="O3405" s="90">
        <v>1025</v>
      </c>
      <c r="R3405" s="55">
        <v>813</v>
      </c>
      <c r="S3405" s="90">
        <v>977</v>
      </c>
      <c r="U3405" s="55" t="s">
        <v>1805</v>
      </c>
      <c r="V3405" s="55" t="s">
        <v>1688</v>
      </c>
      <c r="Y3405" s="55" t="s">
        <v>3036</v>
      </c>
      <c r="Z3405" s="55" t="s">
        <v>1346</v>
      </c>
      <c r="AA3405" s="90" t="s">
        <v>1675</v>
      </c>
      <c r="AD3405" s="90">
        <v>1.61</v>
      </c>
      <c r="AE3405" s="90">
        <v>47</v>
      </c>
      <c r="AF3405" s="90">
        <v>10</v>
      </c>
      <c r="AH3405" s="55" t="s">
        <v>2618</v>
      </c>
      <c r="AI3405" s="168">
        <v>5.4</v>
      </c>
      <c r="AJ3405" s="90">
        <v>0.4</v>
      </c>
      <c r="AL3405" s="55">
        <f>0.39*0.4167</f>
        <v>0.16251300000000002</v>
      </c>
      <c r="AM3405" s="55" t="s">
        <v>3161</v>
      </c>
      <c r="AN3405" s="185" t="s">
        <v>2692</v>
      </c>
      <c r="AO3405" s="185" t="s">
        <v>5150</v>
      </c>
      <c r="AQ3405" s="55" t="s">
        <v>553</v>
      </c>
      <c r="AR3405" s="55" t="s">
        <v>1607</v>
      </c>
      <c r="AS3405" s="55" t="s">
        <v>132</v>
      </c>
      <c r="AU3405" s="181" t="s">
        <v>7494</v>
      </c>
      <c r="AV3405" s="185" t="s">
        <v>176</v>
      </c>
      <c r="AX3405" s="185" t="s">
        <v>176</v>
      </c>
      <c r="BE3405" s="226" t="s">
        <v>2700</v>
      </c>
      <c r="BF3405" s="191" t="s">
        <v>176</v>
      </c>
      <c r="BG3405" s="191" t="s">
        <v>176</v>
      </c>
      <c r="BH3405" s="226" t="s">
        <v>2700</v>
      </c>
      <c r="BI3405" s="191" t="s">
        <v>176</v>
      </c>
      <c r="BJ3405" s="55" t="s">
        <v>176</v>
      </c>
      <c r="BK3405" s="55" t="s">
        <v>6333</v>
      </c>
      <c r="BM3405" s="192" t="s">
        <v>3158</v>
      </c>
      <c r="BN3405" s="55">
        <v>3</v>
      </c>
      <c r="BO3405" s="55">
        <v>3</v>
      </c>
      <c r="BQ3405" s="55" t="s">
        <v>141</v>
      </c>
      <c r="BW3405" s="65">
        <v>4820</v>
      </c>
      <c r="BX3405" s="65">
        <v>6510</v>
      </c>
      <c r="CA3405" s="65" t="s">
        <v>2861</v>
      </c>
      <c r="CB3405" s="66">
        <v>1480</v>
      </c>
      <c r="CC3405" s="66">
        <v>2980</v>
      </c>
      <c r="CG3405" s="65" t="s">
        <v>3163</v>
      </c>
      <c r="FO3405" s="65">
        <f>813-15</f>
        <v>798</v>
      </c>
      <c r="FP3405" s="65">
        <f>813-65</f>
        <v>748</v>
      </c>
      <c r="FS3405" s="65" t="s">
        <v>6372</v>
      </c>
      <c r="GP3405" s="292" t="s">
        <v>7494</v>
      </c>
      <c r="JU3405" s="55" t="s">
        <v>3164</v>
      </c>
    </row>
    <row r="3406" spans="1:281" x14ac:dyDescent="0.25">
      <c r="A3406" s="55">
        <v>3405</v>
      </c>
      <c r="B3406" s="12" t="s">
        <v>7067</v>
      </c>
      <c r="C3406" s="155">
        <v>160</v>
      </c>
      <c r="D3406" s="55" t="s">
        <v>3160</v>
      </c>
      <c r="E3406" s="90" t="s">
        <v>3144</v>
      </c>
      <c r="G3406" s="55" t="s">
        <v>3145</v>
      </c>
      <c r="H3406" s="55">
        <v>2003</v>
      </c>
      <c r="I3406" s="55">
        <v>1998</v>
      </c>
      <c r="J3406" s="55" t="s">
        <v>2688</v>
      </c>
      <c r="K3406" s="55" t="s">
        <v>3159</v>
      </c>
      <c r="L3406" s="55" t="s">
        <v>2750</v>
      </c>
      <c r="M3406" s="90">
        <f>-13-38/60</f>
        <v>-13.633333333333333</v>
      </c>
      <c r="N3406" s="90">
        <f>32+34/60</f>
        <v>32.56666666666667</v>
      </c>
      <c r="O3406" s="90">
        <v>1025</v>
      </c>
      <c r="R3406" s="55">
        <v>1291</v>
      </c>
      <c r="S3406" s="90">
        <v>977</v>
      </c>
      <c r="U3406" s="55" t="s">
        <v>1935</v>
      </c>
      <c r="V3406" s="55" t="s">
        <v>1688</v>
      </c>
      <c r="Y3406" s="55" t="s">
        <v>3036</v>
      </c>
      <c r="Z3406" s="55" t="s">
        <v>1346</v>
      </c>
      <c r="AA3406" s="90" t="s">
        <v>1675</v>
      </c>
      <c r="AD3406" s="90">
        <v>1.61</v>
      </c>
      <c r="AE3406" s="90">
        <v>47</v>
      </c>
      <c r="AF3406" s="90">
        <v>10</v>
      </c>
      <c r="AH3406" s="55" t="s">
        <v>2618</v>
      </c>
      <c r="AI3406" s="168">
        <v>5.4</v>
      </c>
      <c r="AJ3406" s="90">
        <v>0.4</v>
      </c>
      <c r="AL3406" s="55">
        <f>0.39*0.4167</f>
        <v>0.16251300000000002</v>
      </c>
      <c r="AM3406" s="55" t="s">
        <v>3161</v>
      </c>
      <c r="AN3406" s="185" t="s">
        <v>2692</v>
      </c>
      <c r="AO3406" s="185" t="s">
        <v>5150</v>
      </c>
      <c r="AQ3406" s="55" t="s">
        <v>553</v>
      </c>
      <c r="AR3406" s="55" t="s">
        <v>1607</v>
      </c>
      <c r="AS3406" s="55" t="s">
        <v>132</v>
      </c>
      <c r="AU3406" s="181" t="s">
        <v>7494</v>
      </c>
      <c r="AV3406" s="185" t="s">
        <v>176</v>
      </c>
      <c r="AX3406" s="185" t="s">
        <v>176</v>
      </c>
      <c r="BE3406" s="226" t="s">
        <v>2700</v>
      </c>
      <c r="BF3406" s="191" t="s">
        <v>176</v>
      </c>
      <c r="BG3406" s="191" t="s">
        <v>176</v>
      </c>
      <c r="BH3406" s="226" t="s">
        <v>2700</v>
      </c>
      <c r="BI3406" s="191" t="s">
        <v>176</v>
      </c>
      <c r="BJ3406" s="55" t="s">
        <v>176</v>
      </c>
      <c r="BK3406" s="55" t="s">
        <v>6333</v>
      </c>
      <c r="BM3406" s="192" t="s">
        <v>3158</v>
      </c>
      <c r="BN3406" s="55">
        <v>3</v>
      </c>
      <c r="BO3406" s="55">
        <v>3</v>
      </c>
      <c r="BQ3406" s="55" t="s">
        <v>141</v>
      </c>
      <c r="GD3406" s="65">
        <v>445</v>
      </c>
      <c r="GE3406" s="65">
        <v>500.36</v>
      </c>
      <c r="GH3406" s="65" t="s">
        <v>3165</v>
      </c>
      <c r="GP3406" s="292" t="s">
        <v>7494</v>
      </c>
      <c r="JU3406" s="55" t="s">
        <v>3164</v>
      </c>
    </row>
    <row r="3407" spans="1:281" x14ac:dyDescent="0.25">
      <c r="A3407" s="55">
        <v>3406</v>
      </c>
      <c r="B3407" s="12" t="s">
        <v>7067</v>
      </c>
      <c r="C3407" s="155">
        <v>160</v>
      </c>
      <c r="D3407" s="55" t="s">
        <v>3160</v>
      </c>
      <c r="E3407" s="90" t="s">
        <v>3144</v>
      </c>
      <c r="G3407" s="55" t="s">
        <v>3145</v>
      </c>
      <c r="H3407" s="55">
        <v>2003</v>
      </c>
      <c r="I3407" s="55">
        <v>1998</v>
      </c>
      <c r="J3407" s="55" t="s">
        <v>2688</v>
      </c>
      <c r="K3407" s="55" t="s">
        <v>3159</v>
      </c>
      <c r="L3407" s="55" t="s">
        <v>2750</v>
      </c>
      <c r="M3407" s="90">
        <f>-13-38/60</f>
        <v>-13.633333333333333</v>
      </c>
      <c r="N3407" s="90">
        <f>32+34/60</f>
        <v>32.56666666666667</v>
      </c>
      <c r="O3407" s="90">
        <v>1025</v>
      </c>
      <c r="R3407" s="55">
        <v>1291</v>
      </c>
      <c r="S3407" s="90">
        <v>977</v>
      </c>
      <c r="U3407" s="55" t="s">
        <v>1935</v>
      </c>
      <c r="V3407" s="55" t="s">
        <v>1688</v>
      </c>
      <c r="Y3407" s="55" t="s">
        <v>3036</v>
      </c>
      <c r="Z3407" s="55" t="s">
        <v>1346</v>
      </c>
      <c r="AA3407" s="90" t="s">
        <v>1675</v>
      </c>
      <c r="AD3407" s="90">
        <v>1.61</v>
      </c>
      <c r="AE3407" s="90">
        <v>47</v>
      </c>
      <c r="AF3407" s="90">
        <v>10</v>
      </c>
      <c r="AH3407" s="55" t="s">
        <v>2618</v>
      </c>
      <c r="AI3407" s="168">
        <v>5.4</v>
      </c>
      <c r="AJ3407" s="90">
        <v>0.4</v>
      </c>
      <c r="AL3407" s="55">
        <f>0.39*0.4167</f>
        <v>0.16251300000000002</v>
      </c>
      <c r="AM3407" s="55" t="s">
        <v>3161</v>
      </c>
      <c r="AN3407" s="185" t="s">
        <v>2692</v>
      </c>
      <c r="AO3407" s="185" t="s">
        <v>5150</v>
      </c>
      <c r="AQ3407" s="55" t="s">
        <v>553</v>
      </c>
      <c r="AR3407" s="55" t="s">
        <v>1607</v>
      </c>
      <c r="AS3407" s="55" t="s">
        <v>132</v>
      </c>
      <c r="AU3407" s="181" t="s">
        <v>7494</v>
      </c>
      <c r="AV3407" s="185" t="s">
        <v>176</v>
      </c>
      <c r="AX3407" s="185" t="s">
        <v>176</v>
      </c>
      <c r="BE3407" s="226" t="s">
        <v>2700</v>
      </c>
      <c r="BF3407" s="191" t="s">
        <v>176</v>
      </c>
      <c r="BG3407" s="191" t="s">
        <v>176</v>
      </c>
      <c r="BH3407" s="226" t="s">
        <v>2700</v>
      </c>
      <c r="BI3407" s="191" t="s">
        <v>176</v>
      </c>
      <c r="BJ3407" s="55" t="s">
        <v>176</v>
      </c>
      <c r="BK3407" s="55" t="s">
        <v>6333</v>
      </c>
      <c r="BM3407" s="192" t="s">
        <v>3158</v>
      </c>
      <c r="BN3407" s="55">
        <v>3</v>
      </c>
      <c r="BO3407" s="55">
        <v>3</v>
      </c>
      <c r="BQ3407" s="55" t="s">
        <v>141</v>
      </c>
      <c r="GD3407" s="65">
        <v>488.6</v>
      </c>
      <c r="GE3407" s="65">
        <v>515.07000000000005</v>
      </c>
      <c r="GH3407" s="65" t="s">
        <v>3165</v>
      </c>
      <c r="GP3407" s="292" t="s">
        <v>7494</v>
      </c>
      <c r="JU3407" s="55" t="s">
        <v>3164</v>
      </c>
    </row>
    <row r="3408" spans="1:281" x14ac:dyDescent="0.25">
      <c r="A3408" s="55">
        <v>3407</v>
      </c>
      <c r="B3408" s="12" t="s">
        <v>7067</v>
      </c>
      <c r="C3408" s="155">
        <v>160</v>
      </c>
      <c r="D3408" s="55" t="s">
        <v>3160</v>
      </c>
      <c r="E3408" s="90" t="s">
        <v>3144</v>
      </c>
      <c r="G3408" s="55" t="s">
        <v>3145</v>
      </c>
      <c r="H3408" s="55">
        <v>2003</v>
      </c>
      <c r="I3408" s="55">
        <v>1998</v>
      </c>
      <c r="J3408" s="55" t="s">
        <v>2688</v>
      </c>
      <c r="K3408" s="55" t="s">
        <v>3159</v>
      </c>
      <c r="L3408" s="55" t="s">
        <v>2750</v>
      </c>
      <c r="M3408" s="90">
        <f>-13-38/60</f>
        <v>-13.633333333333333</v>
      </c>
      <c r="N3408" s="90">
        <f>32+34/60</f>
        <v>32.56666666666667</v>
      </c>
      <c r="O3408" s="90">
        <v>1025</v>
      </c>
      <c r="R3408" s="55">
        <v>1291</v>
      </c>
      <c r="S3408" s="90">
        <v>977</v>
      </c>
      <c r="U3408" s="55" t="s">
        <v>1935</v>
      </c>
      <c r="V3408" s="55" t="s">
        <v>1688</v>
      </c>
      <c r="Y3408" s="55" t="s">
        <v>3036</v>
      </c>
      <c r="Z3408" s="55" t="s">
        <v>1346</v>
      </c>
      <c r="AA3408" s="90" t="s">
        <v>1675</v>
      </c>
      <c r="AD3408" s="90">
        <v>1.61</v>
      </c>
      <c r="AE3408" s="90">
        <v>47</v>
      </c>
      <c r="AF3408" s="90">
        <v>10</v>
      </c>
      <c r="AH3408" s="55" t="s">
        <v>2618</v>
      </c>
      <c r="AI3408" s="168">
        <v>5.4</v>
      </c>
      <c r="AJ3408" s="90">
        <v>0.4</v>
      </c>
      <c r="AL3408" s="55">
        <f>0.39*0.4167</f>
        <v>0.16251300000000002</v>
      </c>
      <c r="AM3408" s="55" t="s">
        <v>3161</v>
      </c>
      <c r="AN3408" s="185" t="s">
        <v>2692</v>
      </c>
      <c r="AO3408" s="185" t="s">
        <v>5150</v>
      </c>
      <c r="AQ3408" s="55" t="s">
        <v>553</v>
      </c>
      <c r="AR3408" s="55" t="s">
        <v>1607</v>
      </c>
      <c r="AS3408" s="55" t="s">
        <v>132</v>
      </c>
      <c r="AU3408" s="181" t="s">
        <v>7494</v>
      </c>
      <c r="AV3408" s="185" t="s">
        <v>176</v>
      </c>
      <c r="AX3408" s="185" t="s">
        <v>176</v>
      </c>
      <c r="BE3408" s="226" t="s">
        <v>2700</v>
      </c>
      <c r="BF3408" s="191" t="s">
        <v>176</v>
      </c>
      <c r="BG3408" s="191" t="s">
        <v>176</v>
      </c>
      <c r="BH3408" s="226" t="s">
        <v>2700</v>
      </c>
      <c r="BI3408" s="191" t="s">
        <v>176</v>
      </c>
      <c r="BJ3408" s="55" t="s">
        <v>176</v>
      </c>
      <c r="BK3408" s="55" t="s">
        <v>6333</v>
      </c>
      <c r="BM3408" s="192" t="s">
        <v>3158</v>
      </c>
      <c r="BN3408" s="55">
        <v>3</v>
      </c>
      <c r="BO3408" s="55">
        <v>3</v>
      </c>
      <c r="BQ3408" s="55" t="s">
        <v>141</v>
      </c>
      <c r="GD3408" s="65">
        <v>519.5</v>
      </c>
      <c r="GE3408" s="65">
        <v>542.28</v>
      </c>
      <c r="GH3408" s="65" t="s">
        <v>3165</v>
      </c>
      <c r="GP3408" s="292" t="s">
        <v>7494</v>
      </c>
      <c r="JU3408" s="55" t="s">
        <v>3164</v>
      </c>
    </row>
    <row r="3409" spans="1:281" x14ac:dyDescent="0.25">
      <c r="A3409" s="55">
        <v>3408</v>
      </c>
      <c r="B3409" s="12" t="s">
        <v>7067</v>
      </c>
      <c r="C3409" s="155">
        <v>160</v>
      </c>
      <c r="D3409" s="55" t="s">
        <v>3160</v>
      </c>
      <c r="E3409" s="90" t="s">
        <v>3144</v>
      </c>
      <c r="G3409" s="55" t="s">
        <v>3145</v>
      </c>
      <c r="H3409" s="55">
        <v>2003</v>
      </c>
      <c r="I3409" s="55">
        <v>1998</v>
      </c>
      <c r="J3409" s="55" t="s">
        <v>2688</v>
      </c>
      <c r="K3409" s="55" t="s">
        <v>3159</v>
      </c>
      <c r="L3409" s="55" t="s">
        <v>2750</v>
      </c>
      <c r="M3409" s="90">
        <f>-13-38/60</f>
        <v>-13.633333333333333</v>
      </c>
      <c r="N3409" s="90">
        <f>32+34/60</f>
        <v>32.56666666666667</v>
      </c>
      <c r="O3409" s="90">
        <v>1025</v>
      </c>
      <c r="R3409" s="55">
        <v>1291</v>
      </c>
      <c r="S3409" s="90">
        <v>977</v>
      </c>
      <c r="U3409" s="55" t="s">
        <v>1935</v>
      </c>
      <c r="V3409" s="55" t="s">
        <v>1688</v>
      </c>
      <c r="Y3409" s="55" t="s">
        <v>3036</v>
      </c>
      <c r="Z3409" s="55" t="s">
        <v>1346</v>
      </c>
      <c r="AA3409" s="90" t="s">
        <v>1675</v>
      </c>
      <c r="AD3409" s="90">
        <v>1.61</v>
      </c>
      <c r="AE3409" s="90">
        <v>47</v>
      </c>
      <c r="AF3409" s="90">
        <v>10</v>
      </c>
      <c r="AH3409" s="55" t="s">
        <v>2618</v>
      </c>
      <c r="AI3409" s="168">
        <v>5.4</v>
      </c>
      <c r="AJ3409" s="90">
        <v>0.4</v>
      </c>
      <c r="AL3409" s="55">
        <f>0.39*0.4167</f>
        <v>0.16251300000000002</v>
      </c>
      <c r="AM3409" s="55" t="s">
        <v>3161</v>
      </c>
      <c r="AN3409" s="185" t="s">
        <v>2692</v>
      </c>
      <c r="AO3409" s="185" t="s">
        <v>5150</v>
      </c>
      <c r="AQ3409" s="55" t="s">
        <v>553</v>
      </c>
      <c r="AR3409" s="55" t="s">
        <v>1607</v>
      </c>
      <c r="AS3409" s="55" t="s">
        <v>132</v>
      </c>
      <c r="AU3409" s="181" t="s">
        <v>7494</v>
      </c>
      <c r="AV3409" s="185" t="s">
        <v>176</v>
      </c>
      <c r="AX3409" s="185" t="s">
        <v>176</v>
      </c>
      <c r="BE3409" s="226" t="s">
        <v>2700</v>
      </c>
      <c r="BF3409" s="191" t="s">
        <v>176</v>
      </c>
      <c r="BG3409" s="191" t="s">
        <v>176</v>
      </c>
      <c r="BH3409" s="226" t="s">
        <v>2700</v>
      </c>
      <c r="BI3409" s="191" t="s">
        <v>176</v>
      </c>
      <c r="BJ3409" s="55" t="s">
        <v>176</v>
      </c>
      <c r="BK3409" s="55" t="s">
        <v>6333</v>
      </c>
      <c r="BM3409" s="192" t="s">
        <v>3158</v>
      </c>
      <c r="BN3409" s="55">
        <v>3</v>
      </c>
      <c r="BO3409" s="55">
        <v>3</v>
      </c>
      <c r="BQ3409" s="55" t="s">
        <v>141</v>
      </c>
      <c r="GD3409" s="65">
        <v>522.4</v>
      </c>
      <c r="GE3409" s="65">
        <v>540.80999999999995</v>
      </c>
      <c r="GH3409" s="65" t="s">
        <v>3165</v>
      </c>
      <c r="GP3409" s="292" t="s">
        <v>7494</v>
      </c>
      <c r="JU3409" s="55" t="s">
        <v>3164</v>
      </c>
    </row>
    <row r="3410" spans="1:281" x14ac:dyDescent="0.25">
      <c r="A3410" s="55">
        <v>3409</v>
      </c>
      <c r="B3410" s="12" t="s">
        <v>7067</v>
      </c>
      <c r="C3410" s="155">
        <v>160</v>
      </c>
      <c r="D3410" s="55" t="s">
        <v>3160</v>
      </c>
      <c r="E3410" s="90" t="s">
        <v>3144</v>
      </c>
      <c r="G3410" s="55" t="s">
        <v>3145</v>
      </c>
      <c r="H3410" s="55">
        <v>2003</v>
      </c>
      <c r="I3410" s="55">
        <v>1998</v>
      </c>
      <c r="J3410" s="55" t="s">
        <v>2688</v>
      </c>
      <c r="K3410" s="55" t="s">
        <v>3159</v>
      </c>
      <c r="L3410" s="55" t="s">
        <v>2750</v>
      </c>
      <c r="M3410" s="90">
        <f>-13-38/60</f>
        <v>-13.633333333333333</v>
      </c>
      <c r="N3410" s="90">
        <f>32+34/60</f>
        <v>32.56666666666667</v>
      </c>
      <c r="O3410" s="90">
        <v>1025</v>
      </c>
      <c r="R3410" s="55">
        <v>1291</v>
      </c>
      <c r="S3410" s="90">
        <v>977</v>
      </c>
      <c r="U3410" s="55" t="s">
        <v>1935</v>
      </c>
      <c r="V3410" s="55" t="s">
        <v>1688</v>
      </c>
      <c r="Y3410" s="55" t="s">
        <v>3036</v>
      </c>
      <c r="Z3410" s="55" t="s">
        <v>1346</v>
      </c>
      <c r="AA3410" s="90" t="s">
        <v>1675</v>
      </c>
      <c r="AD3410" s="90">
        <v>1.61</v>
      </c>
      <c r="AE3410" s="90">
        <v>47</v>
      </c>
      <c r="AF3410" s="90">
        <v>10</v>
      </c>
      <c r="AH3410" s="55" t="s">
        <v>2618</v>
      </c>
      <c r="AI3410" s="168">
        <v>5.4</v>
      </c>
      <c r="AJ3410" s="90">
        <v>0.4</v>
      </c>
      <c r="AL3410" s="55">
        <f>0.39*0.4167</f>
        <v>0.16251300000000002</v>
      </c>
      <c r="AM3410" s="55" t="s">
        <v>3161</v>
      </c>
      <c r="AN3410" s="185" t="s">
        <v>2692</v>
      </c>
      <c r="AO3410" s="185" t="s">
        <v>5150</v>
      </c>
      <c r="AQ3410" s="55" t="s">
        <v>553</v>
      </c>
      <c r="AR3410" s="55" t="s">
        <v>1607</v>
      </c>
      <c r="AS3410" s="55" t="s">
        <v>132</v>
      </c>
      <c r="AU3410" s="181" t="s">
        <v>7494</v>
      </c>
      <c r="AV3410" s="185" t="s">
        <v>176</v>
      </c>
      <c r="AX3410" s="185" t="s">
        <v>176</v>
      </c>
      <c r="BE3410" s="226" t="s">
        <v>2700</v>
      </c>
      <c r="BF3410" s="191" t="s">
        <v>176</v>
      </c>
      <c r="BG3410" s="191" t="s">
        <v>176</v>
      </c>
      <c r="BH3410" s="226" t="s">
        <v>2700</v>
      </c>
      <c r="BI3410" s="191" t="s">
        <v>176</v>
      </c>
      <c r="BJ3410" s="55" t="s">
        <v>176</v>
      </c>
      <c r="BK3410" s="55" t="s">
        <v>6333</v>
      </c>
      <c r="BM3410" s="192" t="s">
        <v>3158</v>
      </c>
      <c r="BN3410" s="55">
        <v>3</v>
      </c>
      <c r="BO3410" s="55">
        <v>3</v>
      </c>
      <c r="BQ3410" s="55" t="s">
        <v>141</v>
      </c>
      <c r="GD3410" s="65">
        <v>485</v>
      </c>
      <c r="GE3410" s="65">
        <v>505.5</v>
      </c>
      <c r="GH3410" s="65" t="s">
        <v>3165</v>
      </c>
      <c r="GP3410" s="292" t="s">
        <v>7494</v>
      </c>
      <c r="JU3410" s="55" t="s">
        <v>3164</v>
      </c>
    </row>
    <row r="3411" spans="1:281" x14ac:dyDescent="0.25">
      <c r="A3411" s="55">
        <v>3410</v>
      </c>
      <c r="B3411" s="12" t="s">
        <v>7067</v>
      </c>
      <c r="C3411" s="155">
        <v>160</v>
      </c>
      <c r="D3411" s="55" t="s">
        <v>3160</v>
      </c>
      <c r="E3411" s="90" t="s">
        <v>3144</v>
      </c>
      <c r="G3411" s="55" t="s">
        <v>3145</v>
      </c>
      <c r="H3411" s="55">
        <v>2003</v>
      </c>
      <c r="I3411" s="55">
        <v>1998</v>
      </c>
      <c r="J3411" s="55" t="s">
        <v>2688</v>
      </c>
      <c r="K3411" s="55" t="s">
        <v>3159</v>
      </c>
      <c r="L3411" s="55" t="s">
        <v>2750</v>
      </c>
      <c r="M3411" s="90">
        <f>-13-38/60</f>
        <v>-13.633333333333333</v>
      </c>
      <c r="N3411" s="90">
        <f>32+34/60</f>
        <v>32.56666666666667</v>
      </c>
      <c r="O3411" s="90">
        <v>1025</v>
      </c>
      <c r="R3411" s="55">
        <v>1291</v>
      </c>
      <c r="S3411" s="90">
        <v>977</v>
      </c>
      <c r="U3411" s="55" t="s">
        <v>1935</v>
      </c>
      <c r="V3411" s="55" t="s">
        <v>1688</v>
      </c>
      <c r="Y3411" s="55" t="s">
        <v>3036</v>
      </c>
      <c r="Z3411" s="55" t="s">
        <v>1346</v>
      </c>
      <c r="AA3411" s="90" t="s">
        <v>1675</v>
      </c>
      <c r="AD3411" s="90">
        <v>1.61</v>
      </c>
      <c r="AE3411" s="90">
        <v>47</v>
      </c>
      <c r="AF3411" s="90">
        <v>10</v>
      </c>
      <c r="AH3411" s="55" t="s">
        <v>2618</v>
      </c>
      <c r="AI3411" s="168">
        <v>5.4</v>
      </c>
      <c r="AJ3411" s="90">
        <v>0.4</v>
      </c>
      <c r="AL3411" s="55">
        <f>0.39*0.4167</f>
        <v>0.16251300000000002</v>
      </c>
      <c r="AM3411" s="55" t="s">
        <v>3161</v>
      </c>
      <c r="AN3411" s="185" t="s">
        <v>2692</v>
      </c>
      <c r="AO3411" s="185" t="s">
        <v>5150</v>
      </c>
      <c r="AQ3411" s="55" t="s">
        <v>553</v>
      </c>
      <c r="AR3411" s="55" t="s">
        <v>1607</v>
      </c>
      <c r="AS3411" s="55" t="s">
        <v>132</v>
      </c>
      <c r="AU3411" s="181" t="s">
        <v>7494</v>
      </c>
      <c r="AV3411" s="185" t="s">
        <v>176</v>
      </c>
      <c r="AX3411" s="185" t="s">
        <v>176</v>
      </c>
      <c r="BE3411" s="226" t="s">
        <v>2700</v>
      </c>
      <c r="BF3411" s="191" t="s">
        <v>176</v>
      </c>
      <c r="BG3411" s="191" t="s">
        <v>176</v>
      </c>
      <c r="BH3411" s="226" t="s">
        <v>2700</v>
      </c>
      <c r="BI3411" s="191" t="s">
        <v>176</v>
      </c>
      <c r="BJ3411" s="55" t="s">
        <v>176</v>
      </c>
      <c r="BK3411" s="55" t="s">
        <v>6333</v>
      </c>
      <c r="BM3411" s="192" t="s">
        <v>3158</v>
      </c>
      <c r="BN3411" s="55">
        <v>3</v>
      </c>
      <c r="BO3411" s="55">
        <v>3</v>
      </c>
      <c r="BQ3411" s="55" t="s">
        <v>141</v>
      </c>
      <c r="GD3411" s="65">
        <v>453.3</v>
      </c>
      <c r="GE3411" s="65">
        <v>476.1</v>
      </c>
      <c r="GH3411" s="65" t="s">
        <v>3165</v>
      </c>
      <c r="GP3411" s="292" t="s">
        <v>7494</v>
      </c>
      <c r="JU3411" s="55" t="s">
        <v>3164</v>
      </c>
    </row>
    <row r="3412" spans="1:281" x14ac:dyDescent="0.25">
      <c r="A3412" s="55">
        <v>3411</v>
      </c>
      <c r="B3412" s="12" t="s">
        <v>7067</v>
      </c>
      <c r="C3412" s="155">
        <v>160</v>
      </c>
      <c r="D3412" s="55" t="s">
        <v>3160</v>
      </c>
      <c r="E3412" s="90" t="s">
        <v>3144</v>
      </c>
      <c r="G3412" s="55" t="s">
        <v>3145</v>
      </c>
      <c r="H3412" s="55">
        <v>2003</v>
      </c>
      <c r="I3412" s="55">
        <v>1998</v>
      </c>
      <c r="J3412" s="55" t="s">
        <v>2688</v>
      </c>
      <c r="K3412" s="55" t="s">
        <v>3159</v>
      </c>
      <c r="L3412" s="55" t="s">
        <v>2750</v>
      </c>
      <c r="M3412" s="90">
        <f>-13-38/60</f>
        <v>-13.633333333333333</v>
      </c>
      <c r="N3412" s="90">
        <f>32+34/60</f>
        <v>32.56666666666667</v>
      </c>
      <c r="O3412" s="90">
        <v>1025</v>
      </c>
      <c r="R3412" s="55">
        <v>1291</v>
      </c>
      <c r="S3412" s="90">
        <v>977</v>
      </c>
      <c r="U3412" s="55" t="s">
        <v>1935</v>
      </c>
      <c r="V3412" s="55" t="s">
        <v>1688</v>
      </c>
      <c r="Y3412" s="55" t="s">
        <v>3036</v>
      </c>
      <c r="Z3412" s="55" t="s">
        <v>1346</v>
      </c>
      <c r="AA3412" s="90" t="s">
        <v>1675</v>
      </c>
      <c r="AD3412" s="90">
        <v>1.61</v>
      </c>
      <c r="AE3412" s="90">
        <v>47</v>
      </c>
      <c r="AF3412" s="90">
        <v>10</v>
      </c>
      <c r="AH3412" s="55" t="s">
        <v>2618</v>
      </c>
      <c r="AI3412" s="168">
        <v>5.4</v>
      </c>
      <c r="AJ3412" s="90">
        <v>0.4</v>
      </c>
      <c r="AL3412" s="55">
        <f>0.39*0.4167</f>
        <v>0.16251300000000002</v>
      </c>
      <c r="AM3412" s="55" t="s">
        <v>3161</v>
      </c>
      <c r="AN3412" s="185" t="s">
        <v>2692</v>
      </c>
      <c r="AO3412" s="185" t="s">
        <v>5150</v>
      </c>
      <c r="AQ3412" s="55" t="s">
        <v>553</v>
      </c>
      <c r="AR3412" s="55" t="s">
        <v>1607</v>
      </c>
      <c r="AS3412" s="55" t="s">
        <v>132</v>
      </c>
      <c r="AU3412" s="181" t="s">
        <v>7494</v>
      </c>
      <c r="AV3412" s="185" t="s">
        <v>176</v>
      </c>
      <c r="AX3412" s="185" t="s">
        <v>176</v>
      </c>
      <c r="BE3412" s="226" t="s">
        <v>2700</v>
      </c>
      <c r="BF3412" s="191" t="s">
        <v>176</v>
      </c>
      <c r="BG3412" s="191" t="s">
        <v>176</v>
      </c>
      <c r="BH3412" s="226" t="s">
        <v>2700</v>
      </c>
      <c r="BI3412" s="191" t="s">
        <v>176</v>
      </c>
      <c r="BJ3412" s="55" t="s">
        <v>176</v>
      </c>
      <c r="BK3412" s="55" t="s">
        <v>6333</v>
      </c>
      <c r="BM3412" s="192" t="s">
        <v>3158</v>
      </c>
      <c r="BN3412" s="55">
        <v>3</v>
      </c>
      <c r="BO3412" s="55">
        <v>3</v>
      </c>
      <c r="BQ3412" s="55" t="s">
        <v>141</v>
      </c>
      <c r="GD3412" s="65">
        <v>476</v>
      </c>
      <c r="GE3412" s="65">
        <v>506</v>
      </c>
      <c r="GH3412" s="65" t="s">
        <v>3165</v>
      </c>
      <c r="GP3412" s="292" t="s">
        <v>7494</v>
      </c>
      <c r="JU3412" s="55" t="s">
        <v>3164</v>
      </c>
    </row>
    <row r="3413" spans="1:281" x14ac:dyDescent="0.25">
      <c r="A3413" s="55">
        <v>3412</v>
      </c>
      <c r="B3413" s="12" t="s">
        <v>7067</v>
      </c>
      <c r="C3413" s="155">
        <v>160</v>
      </c>
      <c r="D3413" s="55" t="s">
        <v>3160</v>
      </c>
      <c r="E3413" s="90" t="s">
        <v>3144</v>
      </c>
      <c r="G3413" s="55" t="s">
        <v>3145</v>
      </c>
      <c r="H3413" s="55">
        <v>2003</v>
      </c>
      <c r="I3413" s="55">
        <v>1998</v>
      </c>
      <c r="J3413" s="55" t="s">
        <v>2688</v>
      </c>
      <c r="K3413" s="55" t="s">
        <v>3159</v>
      </c>
      <c r="L3413" s="55" t="s">
        <v>2750</v>
      </c>
      <c r="M3413" s="90">
        <f>-13-38/60</f>
        <v>-13.633333333333333</v>
      </c>
      <c r="N3413" s="90">
        <f>32+34/60</f>
        <v>32.56666666666667</v>
      </c>
      <c r="O3413" s="90">
        <v>1025</v>
      </c>
      <c r="R3413" s="55">
        <v>1291</v>
      </c>
      <c r="S3413" s="90">
        <v>977</v>
      </c>
      <c r="U3413" s="55" t="s">
        <v>1935</v>
      </c>
      <c r="V3413" s="55" t="s">
        <v>1688</v>
      </c>
      <c r="Y3413" s="55" t="s">
        <v>3036</v>
      </c>
      <c r="Z3413" s="55" t="s">
        <v>1346</v>
      </c>
      <c r="AA3413" s="90" t="s">
        <v>1675</v>
      </c>
      <c r="AD3413" s="90">
        <v>1.61</v>
      </c>
      <c r="AE3413" s="90">
        <v>47</v>
      </c>
      <c r="AF3413" s="90">
        <v>10</v>
      </c>
      <c r="AH3413" s="55" t="s">
        <v>2618</v>
      </c>
      <c r="AI3413" s="168">
        <v>5.4</v>
      </c>
      <c r="AJ3413" s="90">
        <v>0.4</v>
      </c>
      <c r="AL3413" s="55">
        <f>0.39*0.4167</f>
        <v>0.16251300000000002</v>
      </c>
      <c r="AM3413" s="55" t="s">
        <v>3161</v>
      </c>
      <c r="AN3413" s="185" t="s">
        <v>2692</v>
      </c>
      <c r="AO3413" s="185" t="s">
        <v>5150</v>
      </c>
      <c r="AQ3413" s="55" t="s">
        <v>553</v>
      </c>
      <c r="AR3413" s="55" t="s">
        <v>1607</v>
      </c>
      <c r="AS3413" s="55" t="s">
        <v>132</v>
      </c>
      <c r="AU3413" s="181" t="s">
        <v>7494</v>
      </c>
      <c r="AV3413" s="185" t="s">
        <v>176</v>
      </c>
      <c r="AX3413" s="185" t="s">
        <v>176</v>
      </c>
      <c r="BE3413" s="226" t="s">
        <v>2700</v>
      </c>
      <c r="BF3413" s="191" t="s">
        <v>176</v>
      </c>
      <c r="BG3413" s="191" t="s">
        <v>176</v>
      </c>
      <c r="BH3413" s="226" t="s">
        <v>2700</v>
      </c>
      <c r="BI3413" s="191" t="s">
        <v>176</v>
      </c>
      <c r="BJ3413" s="55" t="s">
        <v>176</v>
      </c>
      <c r="BK3413" s="55" t="s">
        <v>6333</v>
      </c>
      <c r="BM3413" s="192" t="s">
        <v>3158</v>
      </c>
      <c r="BN3413" s="55">
        <v>3</v>
      </c>
      <c r="BO3413" s="55">
        <v>3</v>
      </c>
      <c r="BQ3413" s="55" t="s">
        <v>141</v>
      </c>
      <c r="GD3413" s="65">
        <v>493.75</v>
      </c>
      <c r="GE3413" s="65">
        <v>527.57000000000005</v>
      </c>
      <c r="GH3413" s="65" t="s">
        <v>3165</v>
      </c>
      <c r="GP3413" s="292" t="s">
        <v>7494</v>
      </c>
      <c r="JU3413" s="55" t="s">
        <v>3164</v>
      </c>
    </row>
    <row r="3414" spans="1:281" x14ac:dyDescent="0.25">
      <c r="A3414" s="55">
        <v>3413</v>
      </c>
      <c r="B3414" s="12" t="s">
        <v>7067</v>
      </c>
      <c r="C3414" s="155">
        <v>160</v>
      </c>
      <c r="D3414" s="55" t="s">
        <v>3160</v>
      </c>
      <c r="E3414" s="90" t="s">
        <v>3144</v>
      </c>
      <c r="G3414" s="55" t="s">
        <v>3145</v>
      </c>
      <c r="H3414" s="55">
        <v>2003</v>
      </c>
      <c r="I3414" s="55">
        <v>1998</v>
      </c>
      <c r="J3414" s="55" t="s">
        <v>2688</v>
      </c>
      <c r="K3414" s="55" t="s">
        <v>3159</v>
      </c>
      <c r="L3414" s="55" t="s">
        <v>2750</v>
      </c>
      <c r="M3414" s="90">
        <f>-13-38/60</f>
        <v>-13.633333333333333</v>
      </c>
      <c r="N3414" s="90">
        <f>32+34/60</f>
        <v>32.56666666666667</v>
      </c>
      <c r="O3414" s="90">
        <v>1025</v>
      </c>
      <c r="R3414" s="55">
        <v>1291</v>
      </c>
      <c r="S3414" s="90">
        <v>977</v>
      </c>
      <c r="U3414" s="55" t="s">
        <v>1935</v>
      </c>
      <c r="V3414" s="55" t="s">
        <v>1688</v>
      </c>
      <c r="Y3414" s="55" t="s">
        <v>3036</v>
      </c>
      <c r="Z3414" s="55" t="s">
        <v>1346</v>
      </c>
      <c r="AA3414" s="90" t="s">
        <v>1675</v>
      </c>
      <c r="AD3414" s="90">
        <v>1.61</v>
      </c>
      <c r="AE3414" s="90">
        <v>47</v>
      </c>
      <c r="AF3414" s="90">
        <v>10</v>
      </c>
      <c r="AH3414" s="55" t="s">
        <v>2618</v>
      </c>
      <c r="AI3414" s="168">
        <v>5.4</v>
      </c>
      <c r="AJ3414" s="90">
        <v>0.4</v>
      </c>
      <c r="AL3414" s="55">
        <f>0.39*0.4167</f>
        <v>0.16251300000000002</v>
      </c>
      <c r="AM3414" s="55" t="s">
        <v>3161</v>
      </c>
      <c r="AN3414" s="185" t="s">
        <v>2692</v>
      </c>
      <c r="AO3414" s="185" t="s">
        <v>5150</v>
      </c>
      <c r="AQ3414" s="55" t="s">
        <v>553</v>
      </c>
      <c r="AR3414" s="55" t="s">
        <v>1607</v>
      </c>
      <c r="AS3414" s="55" t="s">
        <v>132</v>
      </c>
      <c r="AU3414" s="181" t="s">
        <v>7494</v>
      </c>
      <c r="AV3414" s="185" t="s">
        <v>176</v>
      </c>
      <c r="AX3414" s="185" t="s">
        <v>176</v>
      </c>
      <c r="BE3414" s="226" t="s">
        <v>2700</v>
      </c>
      <c r="BF3414" s="191" t="s">
        <v>176</v>
      </c>
      <c r="BG3414" s="191" t="s">
        <v>176</v>
      </c>
      <c r="BH3414" s="226" t="s">
        <v>2700</v>
      </c>
      <c r="BI3414" s="191" t="s">
        <v>176</v>
      </c>
      <c r="BJ3414" s="55" t="s">
        <v>176</v>
      </c>
      <c r="BK3414" s="55" t="s">
        <v>6333</v>
      </c>
      <c r="BM3414" s="192" t="s">
        <v>3158</v>
      </c>
      <c r="BN3414" s="55">
        <v>3</v>
      </c>
      <c r="BO3414" s="55">
        <v>3</v>
      </c>
      <c r="BQ3414" s="55" t="s">
        <v>141</v>
      </c>
      <c r="GD3414" s="65">
        <v>503</v>
      </c>
      <c r="GE3414" s="65">
        <v>536.39</v>
      </c>
      <c r="GH3414" s="65" t="s">
        <v>3165</v>
      </c>
      <c r="GP3414" s="292" t="s">
        <v>7494</v>
      </c>
      <c r="JU3414" s="55" t="s">
        <v>3164</v>
      </c>
    </row>
    <row r="3415" spans="1:281" x14ac:dyDescent="0.25">
      <c r="A3415" s="55">
        <v>3414</v>
      </c>
      <c r="B3415" s="12" t="s">
        <v>7067</v>
      </c>
      <c r="C3415" s="155">
        <v>160</v>
      </c>
      <c r="D3415" s="55" t="s">
        <v>3160</v>
      </c>
      <c r="E3415" s="90" t="s">
        <v>3144</v>
      </c>
      <c r="G3415" s="55" t="s">
        <v>3145</v>
      </c>
      <c r="H3415" s="55">
        <v>2003</v>
      </c>
      <c r="I3415" s="55">
        <v>1998</v>
      </c>
      <c r="J3415" s="55" t="s">
        <v>2688</v>
      </c>
      <c r="K3415" s="55" t="s">
        <v>3159</v>
      </c>
      <c r="L3415" s="55" t="s">
        <v>2750</v>
      </c>
      <c r="M3415" s="90">
        <f>-13-38/60</f>
        <v>-13.633333333333333</v>
      </c>
      <c r="N3415" s="90">
        <f>32+34/60</f>
        <v>32.56666666666667</v>
      </c>
      <c r="O3415" s="90">
        <v>1025</v>
      </c>
      <c r="R3415" s="55">
        <v>1291</v>
      </c>
      <c r="S3415" s="90">
        <v>977</v>
      </c>
      <c r="U3415" s="55" t="s">
        <v>1935</v>
      </c>
      <c r="V3415" s="55" t="s">
        <v>1688</v>
      </c>
      <c r="Y3415" s="55" t="s">
        <v>3036</v>
      </c>
      <c r="Z3415" s="55" t="s">
        <v>1346</v>
      </c>
      <c r="AA3415" s="90" t="s">
        <v>1675</v>
      </c>
      <c r="AD3415" s="90">
        <v>1.61</v>
      </c>
      <c r="AE3415" s="90">
        <v>47</v>
      </c>
      <c r="AF3415" s="90">
        <v>10</v>
      </c>
      <c r="AH3415" s="55" t="s">
        <v>2618</v>
      </c>
      <c r="AI3415" s="168">
        <v>5.4</v>
      </c>
      <c r="AJ3415" s="90">
        <v>0.4</v>
      </c>
      <c r="AL3415" s="55">
        <f>0.39*0.4167</f>
        <v>0.16251300000000002</v>
      </c>
      <c r="AM3415" s="55" t="s">
        <v>3161</v>
      </c>
      <c r="AN3415" s="185" t="s">
        <v>2692</v>
      </c>
      <c r="AO3415" s="185" t="s">
        <v>5150</v>
      </c>
      <c r="AQ3415" s="55" t="s">
        <v>553</v>
      </c>
      <c r="AR3415" s="55" t="s">
        <v>1607</v>
      </c>
      <c r="AS3415" s="55" t="s">
        <v>132</v>
      </c>
      <c r="AU3415" s="181" t="s">
        <v>7494</v>
      </c>
      <c r="AV3415" s="185" t="s">
        <v>176</v>
      </c>
      <c r="AX3415" s="185" t="s">
        <v>176</v>
      </c>
      <c r="BE3415" s="226" t="s">
        <v>2700</v>
      </c>
      <c r="BF3415" s="191" t="s">
        <v>176</v>
      </c>
      <c r="BG3415" s="191" t="s">
        <v>176</v>
      </c>
      <c r="BH3415" s="226" t="s">
        <v>2700</v>
      </c>
      <c r="BI3415" s="191" t="s">
        <v>176</v>
      </c>
      <c r="BJ3415" s="55" t="s">
        <v>176</v>
      </c>
      <c r="BK3415" s="55" t="s">
        <v>6333</v>
      </c>
      <c r="BM3415" s="192" t="s">
        <v>3158</v>
      </c>
      <c r="BN3415" s="55">
        <v>3</v>
      </c>
      <c r="BO3415" s="55">
        <v>3</v>
      </c>
      <c r="BQ3415" s="55" t="s">
        <v>141</v>
      </c>
      <c r="GD3415" s="65">
        <v>480.5</v>
      </c>
      <c r="GE3415" s="65">
        <v>509.19</v>
      </c>
      <c r="GH3415" s="65" t="s">
        <v>3165</v>
      </c>
      <c r="GP3415" s="292" t="s">
        <v>7494</v>
      </c>
      <c r="JU3415" s="55" t="s">
        <v>3164</v>
      </c>
    </row>
    <row r="3416" spans="1:281" x14ac:dyDescent="0.25">
      <c r="A3416" s="55">
        <v>3415</v>
      </c>
      <c r="B3416" s="12" t="s">
        <v>7067</v>
      </c>
      <c r="C3416" s="155">
        <v>160</v>
      </c>
      <c r="D3416" s="55" t="s">
        <v>3160</v>
      </c>
      <c r="E3416" s="90" t="s">
        <v>3144</v>
      </c>
      <c r="G3416" s="55" t="s">
        <v>3145</v>
      </c>
      <c r="H3416" s="55">
        <v>2003</v>
      </c>
      <c r="I3416" s="55">
        <v>1998</v>
      </c>
      <c r="J3416" s="55" t="s">
        <v>2688</v>
      </c>
      <c r="K3416" s="55" t="s">
        <v>3159</v>
      </c>
      <c r="L3416" s="55" t="s">
        <v>2750</v>
      </c>
      <c r="M3416" s="90">
        <f>-13-38/60</f>
        <v>-13.633333333333333</v>
      </c>
      <c r="N3416" s="90">
        <f>32+34/60</f>
        <v>32.56666666666667</v>
      </c>
      <c r="O3416" s="90">
        <v>1025</v>
      </c>
      <c r="R3416" s="55">
        <v>1291</v>
      </c>
      <c r="S3416" s="90">
        <v>977</v>
      </c>
      <c r="U3416" s="55" t="s">
        <v>1935</v>
      </c>
      <c r="V3416" s="55" t="s">
        <v>1688</v>
      </c>
      <c r="Y3416" s="55" t="s">
        <v>3036</v>
      </c>
      <c r="Z3416" s="55" t="s">
        <v>1346</v>
      </c>
      <c r="AA3416" s="90" t="s">
        <v>1675</v>
      </c>
      <c r="AD3416" s="90">
        <v>1.61</v>
      </c>
      <c r="AE3416" s="90">
        <v>47</v>
      </c>
      <c r="AF3416" s="90">
        <v>10</v>
      </c>
      <c r="AH3416" s="55" t="s">
        <v>2618</v>
      </c>
      <c r="AI3416" s="168">
        <v>5.4</v>
      </c>
      <c r="AJ3416" s="90">
        <v>0.4</v>
      </c>
      <c r="AL3416" s="55">
        <f>0.39*0.4167</f>
        <v>0.16251300000000002</v>
      </c>
      <c r="AM3416" s="55" t="s">
        <v>3161</v>
      </c>
      <c r="AN3416" s="185" t="s">
        <v>2692</v>
      </c>
      <c r="AO3416" s="185" t="s">
        <v>5150</v>
      </c>
      <c r="AQ3416" s="55" t="s">
        <v>553</v>
      </c>
      <c r="AR3416" s="55" t="s">
        <v>1607</v>
      </c>
      <c r="AS3416" s="55" t="s">
        <v>132</v>
      </c>
      <c r="AU3416" s="181" t="s">
        <v>7494</v>
      </c>
      <c r="AV3416" s="185" t="s">
        <v>176</v>
      </c>
      <c r="AX3416" s="185" t="s">
        <v>176</v>
      </c>
      <c r="BE3416" s="226" t="s">
        <v>2700</v>
      </c>
      <c r="BF3416" s="191" t="s">
        <v>176</v>
      </c>
      <c r="BG3416" s="191" t="s">
        <v>176</v>
      </c>
      <c r="BH3416" s="226" t="s">
        <v>2700</v>
      </c>
      <c r="BI3416" s="191" t="s">
        <v>176</v>
      </c>
      <c r="BJ3416" s="55" t="s">
        <v>176</v>
      </c>
      <c r="BK3416" s="55" t="s">
        <v>6333</v>
      </c>
      <c r="BM3416" s="192" t="s">
        <v>3158</v>
      </c>
      <c r="BN3416" s="55">
        <v>3</v>
      </c>
      <c r="BO3416" s="55">
        <v>3</v>
      </c>
      <c r="BQ3416" s="55" t="s">
        <v>141</v>
      </c>
      <c r="GD3416" s="65">
        <v>472</v>
      </c>
      <c r="GE3416" s="65">
        <v>503.31</v>
      </c>
      <c r="GH3416" s="65" t="s">
        <v>3165</v>
      </c>
      <c r="GP3416" s="292" t="s">
        <v>7494</v>
      </c>
      <c r="JU3416" s="55" t="s">
        <v>3164</v>
      </c>
    </row>
    <row r="3417" spans="1:281" x14ac:dyDescent="0.25">
      <c r="A3417" s="55">
        <v>3416</v>
      </c>
      <c r="B3417" s="12" t="s">
        <v>7067</v>
      </c>
      <c r="C3417" s="155">
        <v>160</v>
      </c>
      <c r="D3417" s="55" t="s">
        <v>3160</v>
      </c>
      <c r="E3417" s="90" t="s">
        <v>3144</v>
      </c>
      <c r="G3417" s="55" t="s">
        <v>3145</v>
      </c>
      <c r="H3417" s="55">
        <v>2003</v>
      </c>
      <c r="I3417" s="55">
        <v>1998</v>
      </c>
      <c r="J3417" s="55" t="s">
        <v>2688</v>
      </c>
      <c r="K3417" s="55" t="s">
        <v>3159</v>
      </c>
      <c r="L3417" s="55" t="s">
        <v>2750</v>
      </c>
      <c r="M3417" s="90">
        <f>-13-38/60</f>
        <v>-13.633333333333333</v>
      </c>
      <c r="N3417" s="90">
        <f>32+34/60</f>
        <v>32.56666666666667</v>
      </c>
      <c r="O3417" s="90">
        <v>1025</v>
      </c>
      <c r="R3417" s="55">
        <v>1291</v>
      </c>
      <c r="S3417" s="90">
        <v>977</v>
      </c>
      <c r="U3417" s="55" t="s">
        <v>1935</v>
      </c>
      <c r="V3417" s="55" t="s">
        <v>1688</v>
      </c>
      <c r="Y3417" s="55" t="s">
        <v>3036</v>
      </c>
      <c r="Z3417" s="55" t="s">
        <v>1346</v>
      </c>
      <c r="AA3417" s="90" t="s">
        <v>1675</v>
      </c>
      <c r="AD3417" s="90">
        <v>1.61</v>
      </c>
      <c r="AE3417" s="90">
        <v>47</v>
      </c>
      <c r="AF3417" s="90">
        <v>10</v>
      </c>
      <c r="AH3417" s="55" t="s">
        <v>2618</v>
      </c>
      <c r="AI3417" s="168">
        <v>5.4</v>
      </c>
      <c r="AJ3417" s="90">
        <v>0.4</v>
      </c>
      <c r="AL3417" s="55">
        <f>0.39*0.4167</f>
        <v>0.16251300000000002</v>
      </c>
      <c r="AM3417" s="55" t="s">
        <v>3161</v>
      </c>
      <c r="AN3417" s="185" t="s">
        <v>2692</v>
      </c>
      <c r="AO3417" s="185" t="s">
        <v>5150</v>
      </c>
      <c r="AQ3417" s="55" t="s">
        <v>553</v>
      </c>
      <c r="AR3417" s="55" t="s">
        <v>1607</v>
      </c>
      <c r="AS3417" s="55" t="s">
        <v>132</v>
      </c>
      <c r="AU3417" s="181" t="s">
        <v>7494</v>
      </c>
      <c r="AV3417" s="185" t="s">
        <v>176</v>
      </c>
      <c r="AX3417" s="185" t="s">
        <v>176</v>
      </c>
      <c r="BE3417" s="226" t="s">
        <v>2700</v>
      </c>
      <c r="BF3417" s="191" t="s">
        <v>176</v>
      </c>
      <c r="BG3417" s="191" t="s">
        <v>176</v>
      </c>
      <c r="BH3417" s="226" t="s">
        <v>2700</v>
      </c>
      <c r="BI3417" s="191" t="s">
        <v>176</v>
      </c>
      <c r="BJ3417" s="55" t="s">
        <v>176</v>
      </c>
      <c r="BK3417" s="55" t="s">
        <v>6333</v>
      </c>
      <c r="BM3417" s="192" t="s">
        <v>3158</v>
      </c>
      <c r="BN3417" s="55">
        <v>3</v>
      </c>
      <c r="BO3417" s="55">
        <v>3</v>
      </c>
      <c r="BQ3417" s="55" t="s">
        <v>141</v>
      </c>
      <c r="GD3417" s="65">
        <v>473</v>
      </c>
      <c r="GE3417" s="65">
        <v>503</v>
      </c>
      <c r="GH3417" s="65" t="s">
        <v>3165</v>
      </c>
      <c r="GP3417" s="292" t="s">
        <v>7494</v>
      </c>
      <c r="JU3417" s="55" t="s">
        <v>3164</v>
      </c>
    </row>
    <row r="3418" spans="1:281" x14ac:dyDescent="0.25">
      <c r="A3418" s="55">
        <v>3417</v>
      </c>
      <c r="B3418" s="12" t="s">
        <v>7067</v>
      </c>
      <c r="C3418" s="155">
        <v>160</v>
      </c>
      <c r="D3418" s="55" t="s">
        <v>3160</v>
      </c>
      <c r="E3418" s="90" t="s">
        <v>3144</v>
      </c>
      <c r="G3418" s="55" t="s">
        <v>3145</v>
      </c>
      <c r="H3418" s="55">
        <v>2003</v>
      </c>
      <c r="I3418" s="55">
        <v>1998</v>
      </c>
      <c r="J3418" s="55" t="s">
        <v>2688</v>
      </c>
      <c r="K3418" s="55" t="s">
        <v>3159</v>
      </c>
      <c r="L3418" s="55" t="s">
        <v>2750</v>
      </c>
      <c r="M3418" s="90">
        <f>-13-38/60</f>
        <v>-13.633333333333333</v>
      </c>
      <c r="N3418" s="90">
        <f>32+34/60</f>
        <v>32.56666666666667</v>
      </c>
      <c r="O3418" s="90">
        <v>1025</v>
      </c>
      <c r="R3418" s="55">
        <v>1291</v>
      </c>
      <c r="S3418" s="90">
        <v>977</v>
      </c>
      <c r="U3418" s="55" t="s">
        <v>1935</v>
      </c>
      <c r="V3418" s="55" t="s">
        <v>1688</v>
      </c>
      <c r="Y3418" s="55" t="s">
        <v>3036</v>
      </c>
      <c r="Z3418" s="55" t="s">
        <v>1346</v>
      </c>
      <c r="AA3418" s="90" t="s">
        <v>1675</v>
      </c>
      <c r="AD3418" s="90">
        <v>1.61</v>
      </c>
      <c r="AE3418" s="90">
        <v>47</v>
      </c>
      <c r="AF3418" s="90">
        <v>10</v>
      </c>
      <c r="AH3418" s="55" t="s">
        <v>2618</v>
      </c>
      <c r="AI3418" s="168">
        <v>5.4</v>
      </c>
      <c r="AJ3418" s="90">
        <v>0.4</v>
      </c>
      <c r="AL3418" s="55">
        <f>0.39*0.4167</f>
        <v>0.16251300000000002</v>
      </c>
      <c r="AM3418" s="55" t="s">
        <v>3161</v>
      </c>
      <c r="AN3418" s="185" t="s">
        <v>2692</v>
      </c>
      <c r="AO3418" s="185" t="s">
        <v>5150</v>
      </c>
      <c r="AQ3418" s="55" t="s">
        <v>553</v>
      </c>
      <c r="AR3418" s="55" t="s">
        <v>1607</v>
      </c>
      <c r="AS3418" s="55" t="s">
        <v>132</v>
      </c>
      <c r="AU3418" s="181" t="s">
        <v>7494</v>
      </c>
      <c r="AV3418" s="185" t="s">
        <v>176</v>
      </c>
      <c r="AX3418" s="185" t="s">
        <v>176</v>
      </c>
      <c r="BE3418" s="226" t="s">
        <v>2700</v>
      </c>
      <c r="BF3418" s="191" t="s">
        <v>176</v>
      </c>
      <c r="BG3418" s="191" t="s">
        <v>176</v>
      </c>
      <c r="BH3418" s="226" t="s">
        <v>2700</v>
      </c>
      <c r="BI3418" s="191" t="s">
        <v>176</v>
      </c>
      <c r="BJ3418" s="55" t="s">
        <v>176</v>
      </c>
      <c r="BK3418" s="55" t="s">
        <v>6333</v>
      </c>
      <c r="BM3418" s="192" t="s">
        <v>3158</v>
      </c>
      <c r="BN3418" s="55">
        <v>3</v>
      </c>
      <c r="BO3418" s="55">
        <v>3</v>
      </c>
      <c r="BQ3418" s="55" t="s">
        <v>141</v>
      </c>
      <c r="GD3418" s="65">
        <v>448.9</v>
      </c>
      <c r="GE3418" s="65">
        <v>469</v>
      </c>
      <c r="GH3418" s="65" t="s">
        <v>3165</v>
      </c>
      <c r="GP3418" s="292" t="s">
        <v>7494</v>
      </c>
      <c r="JU3418" s="55" t="s">
        <v>3164</v>
      </c>
    </row>
    <row r="3419" spans="1:281" x14ac:dyDescent="0.25">
      <c r="A3419" s="55">
        <v>3418</v>
      </c>
      <c r="B3419" s="12" t="s">
        <v>7067</v>
      </c>
      <c r="C3419" s="155">
        <v>160</v>
      </c>
      <c r="D3419" s="55" t="s">
        <v>3160</v>
      </c>
      <c r="E3419" s="90" t="s">
        <v>3144</v>
      </c>
      <c r="G3419" s="55" t="s">
        <v>3145</v>
      </c>
      <c r="H3419" s="55">
        <v>2003</v>
      </c>
      <c r="I3419" s="55">
        <v>1998</v>
      </c>
      <c r="J3419" s="55" t="s">
        <v>2688</v>
      </c>
      <c r="K3419" s="55" t="s">
        <v>3159</v>
      </c>
      <c r="L3419" s="55" t="s">
        <v>2750</v>
      </c>
      <c r="M3419" s="90">
        <f>-13-38/60</f>
        <v>-13.633333333333333</v>
      </c>
      <c r="N3419" s="90">
        <f>32+34/60</f>
        <v>32.56666666666667</v>
      </c>
      <c r="O3419" s="90">
        <v>1025</v>
      </c>
      <c r="R3419" s="55">
        <v>1291</v>
      </c>
      <c r="S3419" s="90">
        <v>977</v>
      </c>
      <c r="U3419" s="55" t="s">
        <v>1935</v>
      </c>
      <c r="V3419" s="55" t="s">
        <v>1688</v>
      </c>
      <c r="Y3419" s="55" t="s">
        <v>3036</v>
      </c>
      <c r="Z3419" s="55" t="s">
        <v>1346</v>
      </c>
      <c r="AA3419" s="90" t="s">
        <v>1675</v>
      </c>
      <c r="AD3419" s="90">
        <v>1.61</v>
      </c>
      <c r="AE3419" s="90">
        <v>47</v>
      </c>
      <c r="AF3419" s="90">
        <v>10</v>
      </c>
      <c r="AH3419" s="55" t="s">
        <v>2618</v>
      </c>
      <c r="AI3419" s="168">
        <v>5.4</v>
      </c>
      <c r="AJ3419" s="90">
        <v>0.4</v>
      </c>
      <c r="AL3419" s="55">
        <f>0.39*0.4167</f>
        <v>0.16251300000000002</v>
      </c>
      <c r="AM3419" s="55" t="s">
        <v>3161</v>
      </c>
      <c r="AN3419" s="185" t="s">
        <v>2692</v>
      </c>
      <c r="AO3419" s="185" t="s">
        <v>5150</v>
      </c>
      <c r="AQ3419" s="55" t="s">
        <v>553</v>
      </c>
      <c r="AR3419" s="55" t="s">
        <v>1607</v>
      </c>
      <c r="AS3419" s="55" t="s">
        <v>132</v>
      </c>
      <c r="AU3419" s="181" t="s">
        <v>7494</v>
      </c>
      <c r="AV3419" s="185" t="s">
        <v>176</v>
      </c>
      <c r="AX3419" s="185" t="s">
        <v>176</v>
      </c>
      <c r="BE3419" s="226" t="s">
        <v>2700</v>
      </c>
      <c r="BF3419" s="191" t="s">
        <v>176</v>
      </c>
      <c r="BG3419" s="191" t="s">
        <v>176</v>
      </c>
      <c r="BH3419" s="226" t="s">
        <v>2700</v>
      </c>
      <c r="BI3419" s="191" t="s">
        <v>176</v>
      </c>
      <c r="BJ3419" s="55" t="s">
        <v>176</v>
      </c>
      <c r="BK3419" s="55" t="s">
        <v>6333</v>
      </c>
      <c r="BM3419" s="192" t="s">
        <v>3158</v>
      </c>
      <c r="BN3419" s="55">
        <v>3</v>
      </c>
      <c r="BO3419" s="55">
        <v>3</v>
      </c>
      <c r="BQ3419" s="55" t="s">
        <v>141</v>
      </c>
      <c r="GD3419" s="65">
        <v>441.5</v>
      </c>
      <c r="GE3419" s="65">
        <v>464</v>
      </c>
      <c r="GH3419" s="65" t="s">
        <v>3165</v>
      </c>
      <c r="GP3419" s="292" t="s">
        <v>7494</v>
      </c>
      <c r="JU3419" s="55" t="s">
        <v>3164</v>
      </c>
    </row>
    <row r="3420" spans="1:281" x14ac:dyDescent="0.25">
      <c r="A3420" s="55">
        <v>3419</v>
      </c>
      <c r="B3420" s="12" t="s">
        <v>7067</v>
      </c>
      <c r="C3420" s="155">
        <v>160</v>
      </c>
      <c r="D3420" s="55" t="s">
        <v>3160</v>
      </c>
      <c r="E3420" s="90" t="s">
        <v>3144</v>
      </c>
      <c r="G3420" s="55" t="s">
        <v>3145</v>
      </c>
      <c r="H3420" s="55">
        <v>2003</v>
      </c>
      <c r="I3420" s="55">
        <v>1998</v>
      </c>
      <c r="J3420" s="55" t="s">
        <v>2688</v>
      </c>
      <c r="K3420" s="55" t="s">
        <v>3159</v>
      </c>
      <c r="L3420" s="55" t="s">
        <v>2750</v>
      </c>
      <c r="M3420" s="90">
        <f>-13-38/60</f>
        <v>-13.633333333333333</v>
      </c>
      <c r="N3420" s="90">
        <f>32+34/60</f>
        <v>32.56666666666667</v>
      </c>
      <c r="O3420" s="90">
        <v>1025</v>
      </c>
      <c r="R3420" s="55">
        <v>1291</v>
      </c>
      <c r="S3420" s="90">
        <v>977</v>
      </c>
      <c r="U3420" s="55" t="s">
        <v>1935</v>
      </c>
      <c r="V3420" s="55" t="s">
        <v>1688</v>
      </c>
      <c r="Y3420" s="55" t="s">
        <v>3036</v>
      </c>
      <c r="Z3420" s="55" t="s">
        <v>1346</v>
      </c>
      <c r="AA3420" s="90" t="s">
        <v>1675</v>
      </c>
      <c r="AD3420" s="90">
        <v>1.61</v>
      </c>
      <c r="AE3420" s="90">
        <v>47</v>
      </c>
      <c r="AF3420" s="90">
        <v>10</v>
      </c>
      <c r="AH3420" s="55" t="s">
        <v>2618</v>
      </c>
      <c r="AI3420" s="168">
        <v>5.4</v>
      </c>
      <c r="AJ3420" s="90">
        <v>0.4</v>
      </c>
      <c r="AL3420" s="55">
        <f>0.39*0.4167</f>
        <v>0.16251300000000002</v>
      </c>
      <c r="AM3420" s="55" t="s">
        <v>3161</v>
      </c>
      <c r="AN3420" s="185" t="s">
        <v>2692</v>
      </c>
      <c r="AO3420" s="185" t="s">
        <v>5150</v>
      </c>
      <c r="AQ3420" s="55" t="s">
        <v>553</v>
      </c>
      <c r="AR3420" s="55" t="s">
        <v>1607</v>
      </c>
      <c r="AS3420" s="55" t="s">
        <v>132</v>
      </c>
      <c r="AU3420" s="181" t="s">
        <v>7494</v>
      </c>
      <c r="AV3420" s="185" t="s">
        <v>176</v>
      </c>
      <c r="AX3420" s="185" t="s">
        <v>176</v>
      </c>
      <c r="BE3420" s="226" t="s">
        <v>2700</v>
      </c>
      <c r="BF3420" s="191" t="s">
        <v>176</v>
      </c>
      <c r="BG3420" s="191" t="s">
        <v>176</v>
      </c>
      <c r="BH3420" s="226" t="s">
        <v>2700</v>
      </c>
      <c r="BI3420" s="191" t="s">
        <v>176</v>
      </c>
      <c r="BJ3420" s="55" t="s">
        <v>176</v>
      </c>
      <c r="BK3420" s="55" t="s">
        <v>6333</v>
      </c>
      <c r="BM3420" s="192" t="s">
        <v>3158</v>
      </c>
      <c r="BN3420" s="55">
        <v>3</v>
      </c>
      <c r="BO3420" s="55">
        <v>3</v>
      </c>
      <c r="BQ3420" s="55" t="s">
        <v>141</v>
      </c>
      <c r="GD3420" s="65">
        <v>435.7</v>
      </c>
      <c r="GE3420" s="65">
        <v>457.72</v>
      </c>
      <c r="GH3420" s="65" t="s">
        <v>3165</v>
      </c>
      <c r="GP3420" s="292" t="s">
        <v>7494</v>
      </c>
      <c r="JU3420" s="55" t="s">
        <v>3164</v>
      </c>
    </row>
    <row r="3421" spans="1:281" x14ac:dyDescent="0.25">
      <c r="A3421" s="55">
        <v>3420</v>
      </c>
      <c r="B3421" s="12" t="s">
        <v>7067</v>
      </c>
      <c r="C3421" s="155">
        <v>160</v>
      </c>
      <c r="D3421" s="55" t="s">
        <v>3160</v>
      </c>
      <c r="E3421" s="90" t="s">
        <v>3144</v>
      </c>
      <c r="G3421" s="55" t="s">
        <v>3145</v>
      </c>
      <c r="H3421" s="55">
        <v>2003</v>
      </c>
      <c r="I3421" s="55">
        <v>1998</v>
      </c>
      <c r="J3421" s="55" t="s">
        <v>2688</v>
      </c>
      <c r="K3421" s="55" t="s">
        <v>3159</v>
      </c>
      <c r="L3421" s="55" t="s">
        <v>2750</v>
      </c>
      <c r="M3421" s="90">
        <f>-13-38/60</f>
        <v>-13.633333333333333</v>
      </c>
      <c r="N3421" s="90">
        <f>32+34/60</f>
        <v>32.56666666666667</v>
      </c>
      <c r="O3421" s="90">
        <v>1025</v>
      </c>
      <c r="R3421" s="55">
        <v>1291</v>
      </c>
      <c r="S3421" s="90">
        <v>977</v>
      </c>
      <c r="U3421" s="55" t="s">
        <v>1935</v>
      </c>
      <c r="V3421" s="55" t="s">
        <v>1688</v>
      </c>
      <c r="Y3421" s="55" t="s">
        <v>3036</v>
      </c>
      <c r="Z3421" s="55" t="s">
        <v>1346</v>
      </c>
      <c r="AA3421" s="90" t="s">
        <v>1675</v>
      </c>
      <c r="AD3421" s="90">
        <v>1.61</v>
      </c>
      <c r="AE3421" s="90">
        <v>47</v>
      </c>
      <c r="AF3421" s="90">
        <v>10</v>
      </c>
      <c r="AH3421" s="55" t="s">
        <v>2618</v>
      </c>
      <c r="AI3421" s="168">
        <v>5.4</v>
      </c>
      <c r="AJ3421" s="90">
        <v>0.4</v>
      </c>
      <c r="AL3421" s="55">
        <f>0.39*0.4167</f>
        <v>0.16251300000000002</v>
      </c>
      <c r="AM3421" s="55" t="s">
        <v>3161</v>
      </c>
      <c r="AN3421" s="185" t="s">
        <v>2692</v>
      </c>
      <c r="AO3421" s="185" t="s">
        <v>5150</v>
      </c>
      <c r="AQ3421" s="55" t="s">
        <v>553</v>
      </c>
      <c r="AR3421" s="55" t="s">
        <v>1607</v>
      </c>
      <c r="AS3421" s="55" t="s">
        <v>132</v>
      </c>
      <c r="AU3421" s="181" t="s">
        <v>7494</v>
      </c>
      <c r="AV3421" s="185" t="s">
        <v>176</v>
      </c>
      <c r="AX3421" s="185" t="s">
        <v>176</v>
      </c>
      <c r="BE3421" s="226" t="s">
        <v>2700</v>
      </c>
      <c r="BF3421" s="191" t="s">
        <v>176</v>
      </c>
      <c r="BG3421" s="191" t="s">
        <v>176</v>
      </c>
      <c r="BH3421" s="226" t="s">
        <v>2700</v>
      </c>
      <c r="BI3421" s="191" t="s">
        <v>176</v>
      </c>
      <c r="BJ3421" s="55" t="s">
        <v>176</v>
      </c>
      <c r="BK3421" s="55" t="s">
        <v>6333</v>
      </c>
      <c r="BM3421" s="192" t="s">
        <v>3158</v>
      </c>
      <c r="BN3421" s="55">
        <v>3</v>
      </c>
      <c r="BO3421" s="55">
        <v>3</v>
      </c>
      <c r="BQ3421" s="55" t="s">
        <v>141</v>
      </c>
      <c r="GD3421" s="65">
        <v>440.1</v>
      </c>
      <c r="GE3421" s="65">
        <v>446.69</v>
      </c>
      <c r="GH3421" s="65" t="s">
        <v>3165</v>
      </c>
      <c r="GP3421" s="292" t="s">
        <v>7494</v>
      </c>
      <c r="JU3421" s="55" t="s">
        <v>3164</v>
      </c>
    </row>
    <row r="3422" spans="1:281" x14ac:dyDescent="0.25">
      <c r="A3422" s="55">
        <v>3421</v>
      </c>
      <c r="B3422" s="12" t="s">
        <v>7067</v>
      </c>
      <c r="C3422" s="155">
        <v>160</v>
      </c>
      <c r="D3422" s="55" t="s">
        <v>3160</v>
      </c>
      <c r="E3422" s="90" t="s">
        <v>3144</v>
      </c>
      <c r="G3422" s="55" t="s">
        <v>3145</v>
      </c>
      <c r="H3422" s="55">
        <v>2003</v>
      </c>
      <c r="I3422" s="55">
        <v>1999</v>
      </c>
      <c r="J3422" s="55" t="s">
        <v>2688</v>
      </c>
      <c r="K3422" s="55" t="s">
        <v>3159</v>
      </c>
      <c r="L3422" s="55" t="s">
        <v>2750</v>
      </c>
      <c r="M3422" s="90">
        <f>-13-38/60</f>
        <v>-13.633333333333333</v>
      </c>
      <c r="N3422" s="90">
        <f>32+34/60</f>
        <v>32.56666666666667</v>
      </c>
      <c r="O3422" s="90">
        <v>1025</v>
      </c>
      <c r="R3422" s="55">
        <v>813</v>
      </c>
      <c r="S3422" s="90">
        <v>977</v>
      </c>
      <c r="U3422" s="55" t="s">
        <v>1805</v>
      </c>
      <c r="V3422" s="55" t="s">
        <v>1688</v>
      </c>
      <c r="Y3422" s="55" t="s">
        <v>3036</v>
      </c>
      <c r="Z3422" s="55" t="s">
        <v>1346</v>
      </c>
      <c r="AA3422" s="90" t="s">
        <v>1675</v>
      </c>
      <c r="AD3422" s="90">
        <v>1.61</v>
      </c>
      <c r="AE3422" s="90">
        <v>47</v>
      </c>
      <c r="AF3422" s="90">
        <v>10</v>
      </c>
      <c r="AH3422" s="55" t="s">
        <v>2618</v>
      </c>
      <c r="AI3422" s="168">
        <v>5.4</v>
      </c>
      <c r="AJ3422" s="90">
        <v>0.4</v>
      </c>
      <c r="AL3422" s="55">
        <f>0.39*0.4167</f>
        <v>0.16251300000000002</v>
      </c>
      <c r="AM3422" s="55" t="s">
        <v>3161</v>
      </c>
      <c r="AN3422" s="185" t="s">
        <v>2692</v>
      </c>
      <c r="AO3422" s="185" t="s">
        <v>5150</v>
      </c>
      <c r="AQ3422" s="55" t="s">
        <v>553</v>
      </c>
      <c r="AR3422" s="55" t="s">
        <v>1607</v>
      </c>
      <c r="AS3422" s="55" t="s">
        <v>132</v>
      </c>
      <c r="AU3422" s="181" t="s">
        <v>7494</v>
      </c>
      <c r="AV3422" s="185" t="s">
        <v>176</v>
      </c>
      <c r="AX3422" s="185" t="s">
        <v>176</v>
      </c>
      <c r="BE3422" s="226" t="s">
        <v>2700</v>
      </c>
      <c r="BF3422" s="191" t="s">
        <v>176</v>
      </c>
      <c r="BG3422" s="191" t="s">
        <v>176</v>
      </c>
      <c r="BH3422" s="226" t="s">
        <v>2700</v>
      </c>
      <c r="BI3422" s="191" t="s">
        <v>176</v>
      </c>
      <c r="BJ3422" s="55" t="s">
        <v>176</v>
      </c>
      <c r="BK3422" s="55" t="s">
        <v>6333</v>
      </c>
      <c r="BM3422" s="192" t="s">
        <v>3158</v>
      </c>
      <c r="BN3422" s="55">
        <v>3</v>
      </c>
      <c r="BO3422" s="55">
        <v>3</v>
      </c>
      <c r="BQ3422" s="55" t="s">
        <v>141</v>
      </c>
      <c r="GD3422" s="65">
        <v>395.79</v>
      </c>
      <c r="GE3422" s="65">
        <v>408.58</v>
      </c>
      <c r="GH3422" s="65" t="s">
        <v>3165</v>
      </c>
      <c r="GP3422" s="292" t="s">
        <v>7494</v>
      </c>
      <c r="JU3422" s="55" t="s">
        <v>3164</v>
      </c>
    </row>
    <row r="3423" spans="1:281" x14ac:dyDescent="0.25">
      <c r="A3423" s="55">
        <v>3422</v>
      </c>
      <c r="B3423" s="12" t="s">
        <v>7067</v>
      </c>
      <c r="C3423" s="155">
        <v>160</v>
      </c>
      <c r="D3423" s="55" t="s">
        <v>3160</v>
      </c>
      <c r="E3423" s="90" t="s">
        <v>3144</v>
      </c>
      <c r="G3423" s="55" t="s">
        <v>3145</v>
      </c>
      <c r="H3423" s="55">
        <v>2003</v>
      </c>
      <c r="I3423" s="55">
        <v>1999</v>
      </c>
      <c r="J3423" s="55" t="s">
        <v>2688</v>
      </c>
      <c r="K3423" s="55" t="s">
        <v>3159</v>
      </c>
      <c r="L3423" s="55" t="s">
        <v>2750</v>
      </c>
      <c r="M3423" s="90">
        <f>-13-38/60</f>
        <v>-13.633333333333333</v>
      </c>
      <c r="N3423" s="90">
        <f>32+34/60</f>
        <v>32.56666666666667</v>
      </c>
      <c r="O3423" s="90">
        <v>1025</v>
      </c>
      <c r="R3423" s="55">
        <v>813</v>
      </c>
      <c r="S3423" s="90">
        <v>977</v>
      </c>
      <c r="U3423" s="55" t="s">
        <v>1805</v>
      </c>
      <c r="V3423" s="55" t="s">
        <v>1688</v>
      </c>
      <c r="Y3423" s="55" t="s">
        <v>3036</v>
      </c>
      <c r="Z3423" s="55" t="s">
        <v>1346</v>
      </c>
      <c r="AA3423" s="90" t="s">
        <v>1675</v>
      </c>
      <c r="AD3423" s="90">
        <v>1.61</v>
      </c>
      <c r="AE3423" s="90">
        <v>47</v>
      </c>
      <c r="AF3423" s="90">
        <v>10</v>
      </c>
      <c r="AH3423" s="55" t="s">
        <v>2618</v>
      </c>
      <c r="AI3423" s="168">
        <v>5.4</v>
      </c>
      <c r="AJ3423" s="90">
        <v>0.4</v>
      </c>
      <c r="AL3423" s="55">
        <f>0.39*0.4167</f>
        <v>0.16251300000000002</v>
      </c>
      <c r="AM3423" s="55" t="s">
        <v>3161</v>
      </c>
      <c r="AN3423" s="185" t="s">
        <v>2692</v>
      </c>
      <c r="AO3423" s="185" t="s">
        <v>5150</v>
      </c>
      <c r="AQ3423" s="55" t="s">
        <v>553</v>
      </c>
      <c r="AR3423" s="55" t="s">
        <v>1607</v>
      </c>
      <c r="AS3423" s="55" t="s">
        <v>132</v>
      </c>
      <c r="AU3423" s="181" t="s">
        <v>7494</v>
      </c>
      <c r="AV3423" s="185" t="s">
        <v>176</v>
      </c>
      <c r="AX3423" s="185" t="s">
        <v>176</v>
      </c>
      <c r="BE3423" s="226" t="s">
        <v>2700</v>
      </c>
      <c r="BF3423" s="191" t="s">
        <v>176</v>
      </c>
      <c r="BG3423" s="191" t="s">
        <v>176</v>
      </c>
      <c r="BH3423" s="226" t="s">
        <v>2700</v>
      </c>
      <c r="BI3423" s="191" t="s">
        <v>176</v>
      </c>
      <c r="BJ3423" s="55" t="s">
        <v>176</v>
      </c>
      <c r="BK3423" s="55" t="s">
        <v>6333</v>
      </c>
      <c r="BM3423" s="192" t="s">
        <v>3158</v>
      </c>
      <c r="BN3423" s="55">
        <v>3</v>
      </c>
      <c r="BO3423" s="55">
        <v>3</v>
      </c>
      <c r="BQ3423" s="55" t="s">
        <v>141</v>
      </c>
      <c r="GD3423" s="65">
        <v>395.12</v>
      </c>
      <c r="GE3423" s="65">
        <v>408.58</v>
      </c>
      <c r="GH3423" s="65" t="s">
        <v>3165</v>
      </c>
      <c r="GP3423" s="292" t="s">
        <v>7494</v>
      </c>
      <c r="JU3423" s="55" t="s">
        <v>3164</v>
      </c>
    </row>
    <row r="3424" spans="1:281" x14ac:dyDescent="0.25">
      <c r="A3424" s="55">
        <v>3423</v>
      </c>
      <c r="B3424" s="12" t="s">
        <v>7067</v>
      </c>
      <c r="C3424" s="155">
        <v>160</v>
      </c>
      <c r="D3424" s="55" t="s">
        <v>3160</v>
      </c>
      <c r="E3424" s="90" t="s">
        <v>3144</v>
      </c>
      <c r="G3424" s="55" t="s">
        <v>3145</v>
      </c>
      <c r="H3424" s="55">
        <v>2003</v>
      </c>
      <c r="I3424" s="55">
        <v>1999</v>
      </c>
      <c r="J3424" s="55" t="s">
        <v>2688</v>
      </c>
      <c r="K3424" s="55" t="s">
        <v>3159</v>
      </c>
      <c r="L3424" s="55" t="s">
        <v>2750</v>
      </c>
      <c r="M3424" s="90">
        <f>-13-38/60</f>
        <v>-13.633333333333333</v>
      </c>
      <c r="N3424" s="90">
        <f>32+34/60</f>
        <v>32.56666666666667</v>
      </c>
      <c r="O3424" s="90">
        <v>1025</v>
      </c>
      <c r="R3424" s="55">
        <v>813</v>
      </c>
      <c r="S3424" s="90">
        <v>977</v>
      </c>
      <c r="U3424" s="55" t="s">
        <v>1805</v>
      </c>
      <c r="V3424" s="55" t="s">
        <v>1688</v>
      </c>
      <c r="Y3424" s="55" t="s">
        <v>3036</v>
      </c>
      <c r="Z3424" s="55" t="s">
        <v>1346</v>
      </c>
      <c r="AA3424" s="90" t="s">
        <v>1675</v>
      </c>
      <c r="AD3424" s="90">
        <v>1.61</v>
      </c>
      <c r="AE3424" s="90">
        <v>47</v>
      </c>
      <c r="AF3424" s="90">
        <v>10</v>
      </c>
      <c r="AH3424" s="55" t="s">
        <v>2618</v>
      </c>
      <c r="AI3424" s="168">
        <v>5.4</v>
      </c>
      <c r="AJ3424" s="90">
        <v>0.4</v>
      </c>
      <c r="AL3424" s="55">
        <f>0.39*0.4167</f>
        <v>0.16251300000000002</v>
      </c>
      <c r="AM3424" s="55" t="s">
        <v>3161</v>
      </c>
      <c r="AN3424" s="185" t="s">
        <v>2692</v>
      </c>
      <c r="AO3424" s="185" t="s">
        <v>5150</v>
      </c>
      <c r="AQ3424" s="55" t="s">
        <v>553</v>
      </c>
      <c r="AR3424" s="55" t="s">
        <v>1607</v>
      </c>
      <c r="AS3424" s="55" t="s">
        <v>132</v>
      </c>
      <c r="AU3424" s="181" t="s">
        <v>7494</v>
      </c>
      <c r="AV3424" s="185" t="s">
        <v>176</v>
      </c>
      <c r="AX3424" s="185" t="s">
        <v>176</v>
      </c>
      <c r="BE3424" s="226" t="s">
        <v>2700</v>
      </c>
      <c r="BF3424" s="191" t="s">
        <v>176</v>
      </c>
      <c r="BG3424" s="191" t="s">
        <v>176</v>
      </c>
      <c r="BH3424" s="226" t="s">
        <v>2700</v>
      </c>
      <c r="BI3424" s="191" t="s">
        <v>176</v>
      </c>
      <c r="BJ3424" s="55" t="s">
        <v>176</v>
      </c>
      <c r="BK3424" s="55" t="s">
        <v>6333</v>
      </c>
      <c r="BM3424" s="192" t="s">
        <v>3158</v>
      </c>
      <c r="BN3424" s="55">
        <v>3</v>
      </c>
      <c r="BO3424" s="55">
        <v>3</v>
      </c>
      <c r="BQ3424" s="55" t="s">
        <v>141</v>
      </c>
      <c r="GD3424" s="65">
        <v>392.09</v>
      </c>
      <c r="GE3424" s="65">
        <v>406.9</v>
      </c>
      <c r="GH3424" s="65" t="s">
        <v>3165</v>
      </c>
      <c r="GP3424" s="292" t="s">
        <v>7494</v>
      </c>
      <c r="JU3424" s="55" t="s">
        <v>3164</v>
      </c>
    </row>
    <row r="3425" spans="1:281" x14ac:dyDescent="0.25">
      <c r="A3425" s="55">
        <v>3424</v>
      </c>
      <c r="B3425" s="12" t="s">
        <v>7067</v>
      </c>
      <c r="C3425" s="155">
        <v>160</v>
      </c>
      <c r="D3425" s="55" t="s">
        <v>3160</v>
      </c>
      <c r="E3425" s="90" t="s">
        <v>3144</v>
      </c>
      <c r="G3425" s="55" t="s">
        <v>3145</v>
      </c>
      <c r="H3425" s="55">
        <v>2003</v>
      </c>
      <c r="I3425" s="55">
        <v>1999</v>
      </c>
      <c r="J3425" s="55" t="s">
        <v>2688</v>
      </c>
      <c r="K3425" s="55" t="s">
        <v>3159</v>
      </c>
      <c r="L3425" s="55" t="s">
        <v>2750</v>
      </c>
      <c r="M3425" s="90">
        <f>-13-38/60</f>
        <v>-13.633333333333333</v>
      </c>
      <c r="N3425" s="90">
        <f>32+34/60</f>
        <v>32.56666666666667</v>
      </c>
      <c r="O3425" s="90">
        <v>1025</v>
      </c>
      <c r="R3425" s="55">
        <v>813</v>
      </c>
      <c r="S3425" s="90">
        <v>977</v>
      </c>
      <c r="U3425" s="55" t="s">
        <v>1805</v>
      </c>
      <c r="V3425" s="55" t="s">
        <v>1688</v>
      </c>
      <c r="Y3425" s="55" t="s">
        <v>3036</v>
      </c>
      <c r="Z3425" s="55" t="s">
        <v>1346</v>
      </c>
      <c r="AA3425" s="90" t="s">
        <v>1675</v>
      </c>
      <c r="AD3425" s="90">
        <v>1.61</v>
      </c>
      <c r="AE3425" s="90">
        <v>47</v>
      </c>
      <c r="AF3425" s="90">
        <v>10</v>
      </c>
      <c r="AH3425" s="55" t="s">
        <v>2618</v>
      </c>
      <c r="AI3425" s="168">
        <v>5.4</v>
      </c>
      <c r="AJ3425" s="90">
        <v>0.4</v>
      </c>
      <c r="AL3425" s="55">
        <f>0.39*0.4167</f>
        <v>0.16251300000000002</v>
      </c>
      <c r="AM3425" s="55" t="s">
        <v>3161</v>
      </c>
      <c r="AN3425" s="185" t="s">
        <v>2692</v>
      </c>
      <c r="AO3425" s="185" t="s">
        <v>5150</v>
      </c>
      <c r="AQ3425" s="55" t="s">
        <v>553</v>
      </c>
      <c r="AR3425" s="55" t="s">
        <v>1607</v>
      </c>
      <c r="AS3425" s="55" t="s">
        <v>132</v>
      </c>
      <c r="AU3425" s="181" t="s">
        <v>7494</v>
      </c>
      <c r="AV3425" s="185" t="s">
        <v>176</v>
      </c>
      <c r="AX3425" s="185" t="s">
        <v>176</v>
      </c>
      <c r="BE3425" s="226" t="s">
        <v>2700</v>
      </c>
      <c r="BF3425" s="191" t="s">
        <v>176</v>
      </c>
      <c r="BG3425" s="191" t="s">
        <v>176</v>
      </c>
      <c r="BH3425" s="226" t="s">
        <v>2700</v>
      </c>
      <c r="BI3425" s="191" t="s">
        <v>176</v>
      </c>
      <c r="BJ3425" s="55" t="s">
        <v>176</v>
      </c>
      <c r="BK3425" s="55" t="s">
        <v>6333</v>
      </c>
      <c r="BM3425" s="192" t="s">
        <v>3158</v>
      </c>
      <c r="BN3425" s="55">
        <v>3</v>
      </c>
      <c r="BO3425" s="55">
        <v>3</v>
      </c>
      <c r="BQ3425" s="55" t="s">
        <v>141</v>
      </c>
      <c r="GD3425" s="65">
        <v>389.73</v>
      </c>
      <c r="GE3425" s="65">
        <v>402.5</v>
      </c>
      <c r="GH3425" s="65" t="s">
        <v>3165</v>
      </c>
      <c r="GP3425" s="292" t="s">
        <v>7494</v>
      </c>
      <c r="JU3425" s="55" t="s">
        <v>3164</v>
      </c>
    </row>
    <row r="3426" spans="1:281" x14ac:dyDescent="0.25">
      <c r="A3426" s="55">
        <v>3425</v>
      </c>
      <c r="B3426" s="12" t="s">
        <v>7067</v>
      </c>
      <c r="C3426" s="155">
        <v>160</v>
      </c>
      <c r="D3426" s="55" t="s">
        <v>3160</v>
      </c>
      <c r="E3426" s="90" t="s">
        <v>3144</v>
      </c>
      <c r="G3426" s="55" t="s">
        <v>3145</v>
      </c>
      <c r="H3426" s="55">
        <v>2003</v>
      </c>
      <c r="I3426" s="55">
        <v>1999</v>
      </c>
      <c r="J3426" s="55" t="s">
        <v>2688</v>
      </c>
      <c r="K3426" s="55" t="s">
        <v>3159</v>
      </c>
      <c r="L3426" s="55" t="s">
        <v>2750</v>
      </c>
      <c r="M3426" s="90">
        <f>-13-38/60</f>
        <v>-13.633333333333333</v>
      </c>
      <c r="N3426" s="90">
        <f>32+34/60</f>
        <v>32.56666666666667</v>
      </c>
      <c r="O3426" s="90">
        <v>1025</v>
      </c>
      <c r="R3426" s="55">
        <v>813</v>
      </c>
      <c r="S3426" s="90">
        <v>977</v>
      </c>
      <c r="U3426" s="55" t="s">
        <v>1805</v>
      </c>
      <c r="V3426" s="55" t="s">
        <v>1688</v>
      </c>
      <c r="Y3426" s="55" t="s">
        <v>3036</v>
      </c>
      <c r="Z3426" s="55" t="s">
        <v>1346</v>
      </c>
      <c r="AA3426" s="90" t="s">
        <v>1675</v>
      </c>
      <c r="AD3426" s="90">
        <v>1.61</v>
      </c>
      <c r="AE3426" s="90">
        <v>47</v>
      </c>
      <c r="AF3426" s="90">
        <v>10</v>
      </c>
      <c r="AH3426" s="55" t="s">
        <v>2618</v>
      </c>
      <c r="AI3426" s="168">
        <v>5.4</v>
      </c>
      <c r="AJ3426" s="90">
        <v>0.4</v>
      </c>
      <c r="AL3426" s="55">
        <f>0.39*0.4167</f>
        <v>0.16251300000000002</v>
      </c>
      <c r="AM3426" s="55" t="s">
        <v>3161</v>
      </c>
      <c r="AN3426" s="185" t="s">
        <v>2692</v>
      </c>
      <c r="AO3426" s="185" t="s">
        <v>5150</v>
      </c>
      <c r="AQ3426" s="55" t="s">
        <v>553</v>
      </c>
      <c r="AR3426" s="55" t="s">
        <v>1607</v>
      </c>
      <c r="AS3426" s="55" t="s">
        <v>132</v>
      </c>
      <c r="AU3426" s="181" t="s">
        <v>7494</v>
      </c>
      <c r="AV3426" s="185" t="s">
        <v>176</v>
      </c>
      <c r="AX3426" s="185" t="s">
        <v>176</v>
      </c>
      <c r="BE3426" s="226" t="s">
        <v>2700</v>
      </c>
      <c r="BF3426" s="191" t="s">
        <v>176</v>
      </c>
      <c r="BG3426" s="191" t="s">
        <v>176</v>
      </c>
      <c r="BH3426" s="226" t="s">
        <v>2700</v>
      </c>
      <c r="BI3426" s="191" t="s">
        <v>176</v>
      </c>
      <c r="BJ3426" s="55" t="s">
        <v>176</v>
      </c>
      <c r="BK3426" s="55" t="s">
        <v>6333</v>
      </c>
      <c r="BM3426" s="192" t="s">
        <v>3158</v>
      </c>
      <c r="BN3426" s="55">
        <v>3</v>
      </c>
      <c r="BO3426" s="55">
        <v>3</v>
      </c>
      <c r="BQ3426" s="55" t="s">
        <v>141</v>
      </c>
      <c r="GD3426" s="65">
        <v>388.72</v>
      </c>
      <c r="GE3426" s="65">
        <v>402.2</v>
      </c>
      <c r="GH3426" s="65" t="s">
        <v>3165</v>
      </c>
      <c r="GP3426" s="292" t="s">
        <v>7494</v>
      </c>
      <c r="JU3426" s="55" t="s">
        <v>3164</v>
      </c>
    </row>
    <row r="3427" spans="1:281" x14ac:dyDescent="0.25">
      <c r="A3427" s="55">
        <v>3426</v>
      </c>
      <c r="B3427" s="12" t="s">
        <v>7067</v>
      </c>
      <c r="C3427" s="155">
        <v>160</v>
      </c>
      <c r="D3427" s="55" t="s">
        <v>3160</v>
      </c>
      <c r="E3427" s="90" t="s">
        <v>3144</v>
      </c>
      <c r="G3427" s="55" t="s">
        <v>3145</v>
      </c>
      <c r="H3427" s="55">
        <v>2003</v>
      </c>
      <c r="I3427" s="55">
        <v>1999</v>
      </c>
      <c r="J3427" s="55" t="s">
        <v>2688</v>
      </c>
      <c r="K3427" s="55" t="s">
        <v>3159</v>
      </c>
      <c r="L3427" s="55" t="s">
        <v>2750</v>
      </c>
      <c r="M3427" s="90">
        <f>-13-38/60</f>
        <v>-13.633333333333333</v>
      </c>
      <c r="N3427" s="90">
        <f>32+34/60</f>
        <v>32.56666666666667</v>
      </c>
      <c r="O3427" s="90">
        <v>1025</v>
      </c>
      <c r="R3427" s="55">
        <v>813</v>
      </c>
      <c r="S3427" s="90">
        <v>977</v>
      </c>
      <c r="U3427" s="55" t="s">
        <v>1805</v>
      </c>
      <c r="V3427" s="55" t="s">
        <v>1688</v>
      </c>
      <c r="Y3427" s="55" t="s">
        <v>3036</v>
      </c>
      <c r="Z3427" s="55" t="s">
        <v>1346</v>
      </c>
      <c r="AA3427" s="90" t="s">
        <v>1675</v>
      </c>
      <c r="AD3427" s="90">
        <v>1.61</v>
      </c>
      <c r="AE3427" s="90">
        <v>47</v>
      </c>
      <c r="AF3427" s="90">
        <v>10</v>
      </c>
      <c r="AH3427" s="55" t="s">
        <v>2618</v>
      </c>
      <c r="AI3427" s="168">
        <v>5.4</v>
      </c>
      <c r="AJ3427" s="90">
        <v>0.4</v>
      </c>
      <c r="AL3427" s="55">
        <f>0.39*0.4167</f>
        <v>0.16251300000000002</v>
      </c>
      <c r="AM3427" s="55" t="s">
        <v>3161</v>
      </c>
      <c r="AN3427" s="185" t="s">
        <v>2692</v>
      </c>
      <c r="AO3427" s="185" t="s">
        <v>5150</v>
      </c>
      <c r="AQ3427" s="55" t="s">
        <v>553</v>
      </c>
      <c r="AR3427" s="55" t="s">
        <v>1607</v>
      </c>
      <c r="AS3427" s="55" t="s">
        <v>132</v>
      </c>
      <c r="AU3427" s="181" t="s">
        <v>7494</v>
      </c>
      <c r="AV3427" s="185" t="s">
        <v>176</v>
      </c>
      <c r="AX3427" s="185" t="s">
        <v>176</v>
      </c>
      <c r="BE3427" s="226" t="s">
        <v>2700</v>
      </c>
      <c r="BF3427" s="191" t="s">
        <v>176</v>
      </c>
      <c r="BG3427" s="191" t="s">
        <v>176</v>
      </c>
      <c r="BH3427" s="226" t="s">
        <v>2700</v>
      </c>
      <c r="BI3427" s="191" t="s">
        <v>176</v>
      </c>
      <c r="BJ3427" s="55" t="s">
        <v>176</v>
      </c>
      <c r="BK3427" s="55" t="s">
        <v>6333</v>
      </c>
      <c r="BM3427" s="192" t="s">
        <v>3158</v>
      </c>
      <c r="BN3427" s="55">
        <v>3</v>
      </c>
      <c r="BO3427" s="55">
        <v>3</v>
      </c>
      <c r="BQ3427" s="55" t="s">
        <v>141</v>
      </c>
      <c r="GD3427" s="65">
        <v>391.41</v>
      </c>
      <c r="GE3427" s="65">
        <v>405.6</v>
      </c>
      <c r="GH3427" s="65" t="s">
        <v>3165</v>
      </c>
      <c r="GP3427" s="292" t="s">
        <v>7494</v>
      </c>
      <c r="JU3427" s="55" t="s">
        <v>3164</v>
      </c>
    </row>
    <row r="3428" spans="1:281" x14ac:dyDescent="0.25">
      <c r="A3428" s="55">
        <v>3427</v>
      </c>
      <c r="B3428" s="12" t="s">
        <v>7067</v>
      </c>
      <c r="C3428" s="155">
        <v>160</v>
      </c>
      <c r="D3428" s="55" t="s">
        <v>3160</v>
      </c>
      <c r="E3428" s="90" t="s">
        <v>3144</v>
      </c>
      <c r="G3428" s="55" t="s">
        <v>3145</v>
      </c>
      <c r="H3428" s="55">
        <v>2003</v>
      </c>
      <c r="I3428" s="55">
        <v>1999</v>
      </c>
      <c r="J3428" s="55" t="s">
        <v>2688</v>
      </c>
      <c r="K3428" s="55" t="s">
        <v>3159</v>
      </c>
      <c r="L3428" s="55" t="s">
        <v>2750</v>
      </c>
      <c r="M3428" s="90">
        <f>-13-38/60</f>
        <v>-13.633333333333333</v>
      </c>
      <c r="N3428" s="90">
        <f>32+34/60</f>
        <v>32.56666666666667</v>
      </c>
      <c r="O3428" s="90">
        <v>1025</v>
      </c>
      <c r="R3428" s="55">
        <v>813</v>
      </c>
      <c r="S3428" s="90">
        <v>977</v>
      </c>
      <c r="U3428" s="55" t="s">
        <v>1805</v>
      </c>
      <c r="V3428" s="55" t="s">
        <v>1688</v>
      </c>
      <c r="Y3428" s="55" t="s">
        <v>3036</v>
      </c>
      <c r="Z3428" s="55" t="s">
        <v>1346</v>
      </c>
      <c r="AA3428" s="90" t="s">
        <v>1675</v>
      </c>
      <c r="AD3428" s="90">
        <v>1.61</v>
      </c>
      <c r="AE3428" s="90">
        <v>47</v>
      </c>
      <c r="AF3428" s="90">
        <v>10</v>
      </c>
      <c r="AH3428" s="55" t="s">
        <v>2618</v>
      </c>
      <c r="AI3428" s="168">
        <v>5.4</v>
      </c>
      <c r="AJ3428" s="90">
        <v>0.4</v>
      </c>
      <c r="AL3428" s="55">
        <f>0.39*0.4167</f>
        <v>0.16251300000000002</v>
      </c>
      <c r="AM3428" s="55" t="s">
        <v>3161</v>
      </c>
      <c r="AN3428" s="185" t="s">
        <v>2692</v>
      </c>
      <c r="AO3428" s="185" t="s">
        <v>5150</v>
      </c>
      <c r="AQ3428" s="55" t="s">
        <v>553</v>
      </c>
      <c r="AR3428" s="55" t="s">
        <v>1607</v>
      </c>
      <c r="AS3428" s="55" t="s">
        <v>132</v>
      </c>
      <c r="AU3428" s="181" t="s">
        <v>7494</v>
      </c>
      <c r="AV3428" s="185" t="s">
        <v>176</v>
      </c>
      <c r="AX3428" s="185" t="s">
        <v>176</v>
      </c>
      <c r="BE3428" s="226" t="s">
        <v>2700</v>
      </c>
      <c r="BF3428" s="191" t="s">
        <v>176</v>
      </c>
      <c r="BG3428" s="191" t="s">
        <v>176</v>
      </c>
      <c r="BH3428" s="226" t="s">
        <v>2700</v>
      </c>
      <c r="BI3428" s="191" t="s">
        <v>176</v>
      </c>
      <c r="BJ3428" s="55" t="s">
        <v>176</v>
      </c>
      <c r="BK3428" s="55" t="s">
        <v>6333</v>
      </c>
      <c r="BM3428" s="192" t="s">
        <v>3158</v>
      </c>
      <c r="BN3428" s="55">
        <v>3</v>
      </c>
      <c r="BO3428" s="55">
        <v>3</v>
      </c>
      <c r="BQ3428" s="55" t="s">
        <v>141</v>
      </c>
      <c r="GD3428" s="65">
        <v>405.22</v>
      </c>
      <c r="GE3428" s="65">
        <v>419.4</v>
      </c>
      <c r="GH3428" s="65" t="s">
        <v>3165</v>
      </c>
      <c r="GP3428" s="292" t="s">
        <v>7494</v>
      </c>
      <c r="JU3428" s="55" t="s">
        <v>3164</v>
      </c>
    </row>
    <row r="3429" spans="1:281" x14ac:dyDescent="0.25">
      <c r="A3429" s="55">
        <v>3428</v>
      </c>
      <c r="B3429" s="12" t="s">
        <v>7067</v>
      </c>
      <c r="C3429" s="155">
        <v>160</v>
      </c>
      <c r="D3429" s="55" t="s">
        <v>3160</v>
      </c>
      <c r="E3429" s="90" t="s">
        <v>3144</v>
      </c>
      <c r="G3429" s="55" t="s">
        <v>3145</v>
      </c>
      <c r="H3429" s="55">
        <v>2003</v>
      </c>
      <c r="I3429" s="55">
        <v>1999</v>
      </c>
      <c r="J3429" s="55" t="s">
        <v>2688</v>
      </c>
      <c r="K3429" s="55" t="s">
        <v>3159</v>
      </c>
      <c r="L3429" s="55" t="s">
        <v>2750</v>
      </c>
      <c r="M3429" s="90">
        <f>-13-38/60</f>
        <v>-13.633333333333333</v>
      </c>
      <c r="N3429" s="90">
        <f>32+34/60</f>
        <v>32.56666666666667</v>
      </c>
      <c r="O3429" s="90">
        <v>1025</v>
      </c>
      <c r="R3429" s="55">
        <v>813</v>
      </c>
      <c r="S3429" s="90">
        <v>977</v>
      </c>
      <c r="U3429" s="55" t="s">
        <v>1805</v>
      </c>
      <c r="V3429" s="55" t="s">
        <v>1688</v>
      </c>
      <c r="Y3429" s="55" t="s">
        <v>3036</v>
      </c>
      <c r="Z3429" s="55" t="s">
        <v>1346</v>
      </c>
      <c r="AA3429" s="90" t="s">
        <v>1675</v>
      </c>
      <c r="AD3429" s="90">
        <v>1.61</v>
      </c>
      <c r="AE3429" s="90">
        <v>47</v>
      </c>
      <c r="AF3429" s="90">
        <v>10</v>
      </c>
      <c r="AH3429" s="55" t="s">
        <v>2618</v>
      </c>
      <c r="AI3429" s="168">
        <v>5.4</v>
      </c>
      <c r="AJ3429" s="90">
        <v>0.4</v>
      </c>
      <c r="AL3429" s="55">
        <f>0.39*0.4167</f>
        <v>0.16251300000000002</v>
      </c>
      <c r="AM3429" s="55" t="s">
        <v>3161</v>
      </c>
      <c r="AN3429" s="185" t="s">
        <v>2692</v>
      </c>
      <c r="AO3429" s="185" t="s">
        <v>5150</v>
      </c>
      <c r="AQ3429" s="55" t="s">
        <v>553</v>
      </c>
      <c r="AR3429" s="55" t="s">
        <v>1607</v>
      </c>
      <c r="AS3429" s="55" t="s">
        <v>132</v>
      </c>
      <c r="AU3429" s="181" t="s">
        <v>7494</v>
      </c>
      <c r="AV3429" s="185" t="s">
        <v>176</v>
      </c>
      <c r="AX3429" s="185" t="s">
        <v>176</v>
      </c>
      <c r="BE3429" s="226" t="s">
        <v>2700</v>
      </c>
      <c r="BF3429" s="191" t="s">
        <v>176</v>
      </c>
      <c r="BG3429" s="191" t="s">
        <v>176</v>
      </c>
      <c r="BH3429" s="226" t="s">
        <v>2700</v>
      </c>
      <c r="BI3429" s="191" t="s">
        <v>176</v>
      </c>
      <c r="BJ3429" s="55" t="s">
        <v>176</v>
      </c>
      <c r="BK3429" s="55" t="s">
        <v>6333</v>
      </c>
      <c r="BM3429" s="192" t="s">
        <v>3158</v>
      </c>
      <c r="BN3429" s="55">
        <v>3</v>
      </c>
      <c r="BO3429" s="55">
        <v>3</v>
      </c>
      <c r="BQ3429" s="55" t="s">
        <v>141</v>
      </c>
      <c r="GD3429" s="65">
        <v>397.14</v>
      </c>
      <c r="GE3429" s="65">
        <v>413.3</v>
      </c>
      <c r="GH3429" s="65" t="s">
        <v>3165</v>
      </c>
      <c r="GP3429" s="292" t="s">
        <v>7494</v>
      </c>
      <c r="JU3429" s="55" t="s">
        <v>3164</v>
      </c>
    </row>
    <row r="3430" spans="1:281" x14ac:dyDescent="0.25">
      <c r="A3430" s="55">
        <v>3429</v>
      </c>
      <c r="B3430" s="12" t="s">
        <v>7067</v>
      </c>
      <c r="C3430" s="155">
        <v>160</v>
      </c>
      <c r="D3430" s="55" t="s">
        <v>3160</v>
      </c>
      <c r="E3430" s="90" t="s">
        <v>3144</v>
      </c>
      <c r="G3430" s="55" t="s">
        <v>3145</v>
      </c>
      <c r="H3430" s="55">
        <v>2003</v>
      </c>
      <c r="I3430" s="55">
        <v>1999</v>
      </c>
      <c r="J3430" s="55" t="s">
        <v>2688</v>
      </c>
      <c r="K3430" s="55" t="s">
        <v>3159</v>
      </c>
      <c r="L3430" s="55" t="s">
        <v>2750</v>
      </c>
      <c r="M3430" s="90">
        <f>-13-38/60</f>
        <v>-13.633333333333333</v>
      </c>
      <c r="N3430" s="90">
        <f>32+34/60</f>
        <v>32.56666666666667</v>
      </c>
      <c r="O3430" s="90">
        <v>1025</v>
      </c>
      <c r="R3430" s="55">
        <v>813</v>
      </c>
      <c r="S3430" s="90">
        <v>977</v>
      </c>
      <c r="U3430" s="55" t="s">
        <v>1805</v>
      </c>
      <c r="V3430" s="55" t="s">
        <v>1688</v>
      </c>
      <c r="Y3430" s="55" t="s">
        <v>3036</v>
      </c>
      <c r="Z3430" s="55" t="s">
        <v>1346</v>
      </c>
      <c r="AA3430" s="90" t="s">
        <v>1675</v>
      </c>
      <c r="AD3430" s="90">
        <v>1.61</v>
      </c>
      <c r="AE3430" s="90">
        <v>47</v>
      </c>
      <c r="AF3430" s="90">
        <v>10</v>
      </c>
      <c r="AH3430" s="55" t="s">
        <v>2618</v>
      </c>
      <c r="AI3430" s="168">
        <v>5.4</v>
      </c>
      <c r="AJ3430" s="90">
        <v>0.4</v>
      </c>
      <c r="AL3430" s="55">
        <f>0.39*0.4167</f>
        <v>0.16251300000000002</v>
      </c>
      <c r="AM3430" s="55" t="s">
        <v>3161</v>
      </c>
      <c r="AN3430" s="185" t="s">
        <v>2692</v>
      </c>
      <c r="AO3430" s="185" t="s">
        <v>5150</v>
      </c>
      <c r="AQ3430" s="55" t="s">
        <v>553</v>
      </c>
      <c r="AR3430" s="55" t="s">
        <v>1607</v>
      </c>
      <c r="AS3430" s="55" t="s">
        <v>132</v>
      </c>
      <c r="AU3430" s="181" t="s">
        <v>7494</v>
      </c>
      <c r="AV3430" s="185" t="s">
        <v>176</v>
      </c>
      <c r="AX3430" s="185" t="s">
        <v>176</v>
      </c>
      <c r="BE3430" s="226" t="s">
        <v>2700</v>
      </c>
      <c r="BF3430" s="191" t="s">
        <v>176</v>
      </c>
      <c r="BG3430" s="191" t="s">
        <v>176</v>
      </c>
      <c r="BH3430" s="226" t="s">
        <v>2700</v>
      </c>
      <c r="BI3430" s="191" t="s">
        <v>176</v>
      </c>
      <c r="BJ3430" s="55" t="s">
        <v>176</v>
      </c>
      <c r="BK3430" s="55" t="s">
        <v>6333</v>
      </c>
      <c r="BM3430" s="192" t="s">
        <v>3158</v>
      </c>
      <c r="BN3430" s="55">
        <v>3</v>
      </c>
      <c r="BO3430" s="55">
        <v>3</v>
      </c>
      <c r="BQ3430" s="55" t="s">
        <v>141</v>
      </c>
      <c r="GD3430" s="65">
        <v>398.82</v>
      </c>
      <c r="GE3430" s="65">
        <v>414.3</v>
      </c>
      <c r="GH3430" s="65" t="s">
        <v>3165</v>
      </c>
      <c r="GP3430" s="292" t="s">
        <v>7494</v>
      </c>
      <c r="JU3430" s="55" t="s">
        <v>3164</v>
      </c>
    </row>
    <row r="3431" spans="1:281" x14ac:dyDescent="0.25">
      <c r="A3431" s="55">
        <v>3430</v>
      </c>
      <c r="B3431" s="12" t="s">
        <v>7067</v>
      </c>
      <c r="C3431" s="155">
        <v>160</v>
      </c>
      <c r="D3431" s="55" t="s">
        <v>3160</v>
      </c>
      <c r="E3431" s="90" t="s">
        <v>3144</v>
      </c>
      <c r="G3431" s="55" t="s">
        <v>3145</v>
      </c>
      <c r="H3431" s="55">
        <v>2003</v>
      </c>
      <c r="I3431" s="55">
        <v>1999</v>
      </c>
      <c r="J3431" s="55" t="s">
        <v>2688</v>
      </c>
      <c r="K3431" s="55" t="s">
        <v>3159</v>
      </c>
      <c r="L3431" s="55" t="s">
        <v>2750</v>
      </c>
      <c r="M3431" s="90">
        <f>-13-38/60</f>
        <v>-13.633333333333333</v>
      </c>
      <c r="N3431" s="90">
        <f>32+34/60</f>
        <v>32.56666666666667</v>
      </c>
      <c r="O3431" s="90">
        <v>1025</v>
      </c>
      <c r="R3431" s="55">
        <v>813</v>
      </c>
      <c r="S3431" s="90">
        <v>977</v>
      </c>
      <c r="U3431" s="55" t="s">
        <v>1805</v>
      </c>
      <c r="V3431" s="55" t="s">
        <v>1688</v>
      </c>
      <c r="Y3431" s="55" t="s">
        <v>3036</v>
      </c>
      <c r="Z3431" s="55" t="s">
        <v>1346</v>
      </c>
      <c r="AA3431" s="90" t="s">
        <v>1675</v>
      </c>
      <c r="AD3431" s="90">
        <v>1.61</v>
      </c>
      <c r="AE3431" s="90">
        <v>47</v>
      </c>
      <c r="AF3431" s="90">
        <v>10</v>
      </c>
      <c r="AH3431" s="55" t="s">
        <v>2618</v>
      </c>
      <c r="AI3431" s="168">
        <v>5.4</v>
      </c>
      <c r="AJ3431" s="90">
        <v>0.4</v>
      </c>
      <c r="AL3431" s="55">
        <f>0.39*0.4167</f>
        <v>0.16251300000000002</v>
      </c>
      <c r="AM3431" s="55" t="s">
        <v>3161</v>
      </c>
      <c r="AN3431" s="185" t="s">
        <v>2692</v>
      </c>
      <c r="AO3431" s="185" t="s">
        <v>5150</v>
      </c>
      <c r="AQ3431" s="55" t="s">
        <v>553</v>
      </c>
      <c r="AR3431" s="55" t="s">
        <v>1607</v>
      </c>
      <c r="AS3431" s="55" t="s">
        <v>132</v>
      </c>
      <c r="AU3431" s="181" t="s">
        <v>7494</v>
      </c>
      <c r="AV3431" s="185" t="s">
        <v>176</v>
      </c>
      <c r="AX3431" s="185" t="s">
        <v>176</v>
      </c>
      <c r="BE3431" s="226" t="s">
        <v>2700</v>
      </c>
      <c r="BF3431" s="191" t="s">
        <v>176</v>
      </c>
      <c r="BG3431" s="191" t="s">
        <v>176</v>
      </c>
      <c r="BH3431" s="226" t="s">
        <v>2700</v>
      </c>
      <c r="BI3431" s="191" t="s">
        <v>176</v>
      </c>
      <c r="BJ3431" s="55" t="s">
        <v>176</v>
      </c>
      <c r="BK3431" s="55" t="s">
        <v>6333</v>
      </c>
      <c r="BM3431" s="192" t="s">
        <v>3158</v>
      </c>
      <c r="BN3431" s="55">
        <v>3</v>
      </c>
      <c r="BO3431" s="55">
        <v>3</v>
      </c>
      <c r="BQ3431" s="55" t="s">
        <v>141</v>
      </c>
      <c r="GD3431" s="65">
        <v>401.85</v>
      </c>
      <c r="GE3431" s="65">
        <v>413.3</v>
      </c>
      <c r="GH3431" s="65" t="s">
        <v>3165</v>
      </c>
      <c r="GP3431" s="292" t="s">
        <v>7494</v>
      </c>
      <c r="JU3431" s="55" t="s">
        <v>3164</v>
      </c>
    </row>
    <row r="3432" spans="1:281" x14ac:dyDescent="0.25">
      <c r="A3432" s="55">
        <v>3431</v>
      </c>
      <c r="B3432" s="12" t="s">
        <v>7067</v>
      </c>
      <c r="C3432" s="155">
        <v>160</v>
      </c>
      <c r="D3432" s="55" t="s">
        <v>3160</v>
      </c>
      <c r="E3432" s="90" t="s">
        <v>3144</v>
      </c>
      <c r="G3432" s="55" t="s">
        <v>3145</v>
      </c>
      <c r="H3432" s="55">
        <v>2003</v>
      </c>
      <c r="I3432" s="55">
        <v>1999</v>
      </c>
      <c r="J3432" s="55" t="s">
        <v>2688</v>
      </c>
      <c r="K3432" s="55" t="s">
        <v>3159</v>
      </c>
      <c r="L3432" s="55" t="s">
        <v>2750</v>
      </c>
      <c r="M3432" s="90">
        <f>-13-38/60</f>
        <v>-13.633333333333333</v>
      </c>
      <c r="N3432" s="90">
        <f>32+34/60</f>
        <v>32.56666666666667</v>
      </c>
      <c r="O3432" s="90">
        <v>1025</v>
      </c>
      <c r="R3432" s="55">
        <v>813</v>
      </c>
      <c r="S3432" s="90">
        <v>977</v>
      </c>
      <c r="U3432" s="55" t="s">
        <v>1805</v>
      </c>
      <c r="V3432" s="55" t="s">
        <v>1688</v>
      </c>
      <c r="Y3432" s="55" t="s">
        <v>3036</v>
      </c>
      <c r="Z3432" s="55" t="s">
        <v>1346</v>
      </c>
      <c r="AA3432" s="90" t="s">
        <v>1675</v>
      </c>
      <c r="AD3432" s="90">
        <v>1.61</v>
      </c>
      <c r="AE3432" s="90">
        <v>47</v>
      </c>
      <c r="AF3432" s="90">
        <v>10</v>
      </c>
      <c r="AH3432" s="55" t="s">
        <v>2618</v>
      </c>
      <c r="AI3432" s="168">
        <v>5.4</v>
      </c>
      <c r="AJ3432" s="90">
        <v>0.4</v>
      </c>
      <c r="AL3432" s="55">
        <f>0.39*0.4167</f>
        <v>0.16251300000000002</v>
      </c>
      <c r="AM3432" s="55" t="s">
        <v>3161</v>
      </c>
      <c r="AN3432" s="185" t="s">
        <v>2692</v>
      </c>
      <c r="AO3432" s="185" t="s">
        <v>5150</v>
      </c>
      <c r="AQ3432" s="55" t="s">
        <v>553</v>
      </c>
      <c r="AR3432" s="55" t="s">
        <v>1607</v>
      </c>
      <c r="AS3432" s="55" t="s">
        <v>132</v>
      </c>
      <c r="AU3432" s="181" t="s">
        <v>7494</v>
      </c>
      <c r="AV3432" s="185" t="s">
        <v>176</v>
      </c>
      <c r="AX3432" s="185" t="s">
        <v>176</v>
      </c>
      <c r="BE3432" s="226" t="s">
        <v>2700</v>
      </c>
      <c r="BF3432" s="191" t="s">
        <v>176</v>
      </c>
      <c r="BG3432" s="191" t="s">
        <v>176</v>
      </c>
      <c r="BH3432" s="226" t="s">
        <v>2700</v>
      </c>
      <c r="BI3432" s="191" t="s">
        <v>176</v>
      </c>
      <c r="BJ3432" s="55" t="s">
        <v>176</v>
      </c>
      <c r="BK3432" s="55" t="s">
        <v>6333</v>
      </c>
      <c r="BM3432" s="192" t="s">
        <v>3158</v>
      </c>
      <c r="BN3432" s="55">
        <v>3</v>
      </c>
      <c r="BO3432" s="55">
        <v>3</v>
      </c>
      <c r="BQ3432" s="55" t="s">
        <v>141</v>
      </c>
      <c r="GD3432" s="65">
        <v>405.56</v>
      </c>
      <c r="GE3432" s="65">
        <v>428.45</v>
      </c>
      <c r="GH3432" s="65" t="s">
        <v>3165</v>
      </c>
      <c r="GP3432" s="292" t="s">
        <v>7494</v>
      </c>
      <c r="JU3432" s="55" t="s">
        <v>3164</v>
      </c>
    </row>
    <row r="3433" spans="1:281" x14ac:dyDescent="0.25">
      <c r="A3433" s="55">
        <v>3432</v>
      </c>
      <c r="B3433" s="12" t="s">
        <v>7067</v>
      </c>
      <c r="C3433" s="155">
        <v>160</v>
      </c>
      <c r="D3433" s="55" t="s">
        <v>3160</v>
      </c>
      <c r="E3433" s="90" t="s">
        <v>3144</v>
      </c>
      <c r="G3433" s="55" t="s">
        <v>3145</v>
      </c>
      <c r="H3433" s="55">
        <v>2003</v>
      </c>
      <c r="I3433" s="55">
        <v>1999</v>
      </c>
      <c r="J3433" s="55" t="s">
        <v>2688</v>
      </c>
      <c r="K3433" s="55" t="s">
        <v>3159</v>
      </c>
      <c r="L3433" s="55" t="s">
        <v>2750</v>
      </c>
      <c r="M3433" s="90">
        <f>-13-38/60</f>
        <v>-13.633333333333333</v>
      </c>
      <c r="N3433" s="90">
        <f>32+34/60</f>
        <v>32.56666666666667</v>
      </c>
      <c r="O3433" s="90">
        <v>1025</v>
      </c>
      <c r="R3433" s="55">
        <v>813</v>
      </c>
      <c r="S3433" s="90">
        <v>977</v>
      </c>
      <c r="U3433" s="55" t="s">
        <v>1805</v>
      </c>
      <c r="V3433" s="55" t="s">
        <v>1688</v>
      </c>
      <c r="Y3433" s="55" t="s">
        <v>3036</v>
      </c>
      <c r="Z3433" s="55" t="s">
        <v>1346</v>
      </c>
      <c r="AA3433" s="90" t="s">
        <v>1675</v>
      </c>
      <c r="AD3433" s="90">
        <v>1.61</v>
      </c>
      <c r="AE3433" s="90">
        <v>47</v>
      </c>
      <c r="AF3433" s="90">
        <v>10</v>
      </c>
      <c r="AH3433" s="55" t="s">
        <v>2618</v>
      </c>
      <c r="AI3433" s="168">
        <v>5.4</v>
      </c>
      <c r="AJ3433" s="90">
        <v>0.4</v>
      </c>
      <c r="AL3433" s="55">
        <f>0.39*0.4167</f>
        <v>0.16251300000000002</v>
      </c>
      <c r="AM3433" s="55" t="s">
        <v>3161</v>
      </c>
      <c r="AN3433" s="185" t="s">
        <v>2692</v>
      </c>
      <c r="AO3433" s="185" t="s">
        <v>5150</v>
      </c>
      <c r="AQ3433" s="55" t="s">
        <v>553</v>
      </c>
      <c r="AR3433" s="55" t="s">
        <v>1607</v>
      </c>
      <c r="AS3433" s="55" t="s">
        <v>132</v>
      </c>
      <c r="AU3433" s="181" t="s">
        <v>7494</v>
      </c>
      <c r="AV3433" s="185" t="s">
        <v>176</v>
      </c>
      <c r="AX3433" s="185" t="s">
        <v>176</v>
      </c>
      <c r="BE3433" s="226" t="s">
        <v>2700</v>
      </c>
      <c r="BF3433" s="191" t="s">
        <v>176</v>
      </c>
      <c r="BG3433" s="191" t="s">
        <v>176</v>
      </c>
      <c r="BH3433" s="226" t="s">
        <v>2700</v>
      </c>
      <c r="BI3433" s="191" t="s">
        <v>176</v>
      </c>
      <c r="BJ3433" s="55" t="s">
        <v>176</v>
      </c>
      <c r="BK3433" s="55" t="s">
        <v>6333</v>
      </c>
      <c r="BM3433" s="192" t="s">
        <v>3158</v>
      </c>
      <c r="BN3433" s="55">
        <v>3</v>
      </c>
      <c r="BO3433" s="55">
        <v>3</v>
      </c>
      <c r="BQ3433" s="55" t="s">
        <v>141</v>
      </c>
      <c r="GD3433" s="65">
        <v>426.09</v>
      </c>
      <c r="GE3433" s="65">
        <v>458.4</v>
      </c>
      <c r="GH3433" s="65" t="s">
        <v>3165</v>
      </c>
      <c r="GP3433" s="292" t="s">
        <v>7494</v>
      </c>
      <c r="JU3433" s="55" t="s">
        <v>3164</v>
      </c>
    </row>
    <row r="3434" spans="1:281" x14ac:dyDescent="0.25">
      <c r="A3434" s="55">
        <v>3433</v>
      </c>
      <c r="B3434" s="12" t="s">
        <v>7067</v>
      </c>
      <c r="C3434" s="155">
        <v>160</v>
      </c>
      <c r="D3434" s="55" t="s">
        <v>3160</v>
      </c>
      <c r="E3434" s="90" t="s">
        <v>3144</v>
      </c>
      <c r="G3434" s="55" t="s">
        <v>3145</v>
      </c>
      <c r="H3434" s="55">
        <v>2003</v>
      </c>
      <c r="I3434" s="55">
        <v>1999</v>
      </c>
      <c r="J3434" s="55" t="s">
        <v>2688</v>
      </c>
      <c r="K3434" s="55" t="s">
        <v>3159</v>
      </c>
      <c r="L3434" s="55" t="s">
        <v>2750</v>
      </c>
      <c r="M3434" s="90">
        <f>-13-38/60</f>
        <v>-13.633333333333333</v>
      </c>
      <c r="N3434" s="90">
        <f>32+34/60</f>
        <v>32.56666666666667</v>
      </c>
      <c r="O3434" s="90">
        <v>1025</v>
      </c>
      <c r="R3434" s="55">
        <v>813</v>
      </c>
      <c r="S3434" s="90">
        <v>977</v>
      </c>
      <c r="U3434" s="55" t="s">
        <v>1805</v>
      </c>
      <c r="V3434" s="55" t="s">
        <v>1688</v>
      </c>
      <c r="Y3434" s="55" t="s">
        <v>3036</v>
      </c>
      <c r="Z3434" s="55" t="s">
        <v>1346</v>
      </c>
      <c r="AA3434" s="90" t="s">
        <v>1675</v>
      </c>
      <c r="AD3434" s="90">
        <v>1.61</v>
      </c>
      <c r="AE3434" s="90">
        <v>47</v>
      </c>
      <c r="AF3434" s="90">
        <v>10</v>
      </c>
      <c r="AH3434" s="55" t="s">
        <v>2618</v>
      </c>
      <c r="AI3434" s="168">
        <v>5.4</v>
      </c>
      <c r="AJ3434" s="90">
        <v>0.4</v>
      </c>
      <c r="AL3434" s="55">
        <f>0.39*0.4167</f>
        <v>0.16251300000000002</v>
      </c>
      <c r="AM3434" s="55" t="s">
        <v>3161</v>
      </c>
      <c r="AN3434" s="185" t="s">
        <v>2692</v>
      </c>
      <c r="AO3434" s="185" t="s">
        <v>5150</v>
      </c>
      <c r="AQ3434" s="55" t="s">
        <v>553</v>
      </c>
      <c r="AR3434" s="55" t="s">
        <v>1607</v>
      </c>
      <c r="AS3434" s="55" t="s">
        <v>132</v>
      </c>
      <c r="AU3434" s="181" t="s">
        <v>7494</v>
      </c>
      <c r="AV3434" s="185" t="s">
        <v>176</v>
      </c>
      <c r="AX3434" s="185" t="s">
        <v>176</v>
      </c>
      <c r="BE3434" s="226" t="s">
        <v>2700</v>
      </c>
      <c r="BF3434" s="191" t="s">
        <v>176</v>
      </c>
      <c r="BG3434" s="191" t="s">
        <v>176</v>
      </c>
      <c r="BH3434" s="226" t="s">
        <v>2700</v>
      </c>
      <c r="BI3434" s="191" t="s">
        <v>176</v>
      </c>
      <c r="BJ3434" s="55" t="s">
        <v>176</v>
      </c>
      <c r="BK3434" s="55" t="s">
        <v>6333</v>
      </c>
      <c r="BM3434" s="192" t="s">
        <v>3158</v>
      </c>
      <c r="BN3434" s="55">
        <v>3</v>
      </c>
      <c r="BO3434" s="55">
        <v>3</v>
      </c>
      <c r="BQ3434" s="55" t="s">
        <v>141</v>
      </c>
      <c r="GD3434" s="65">
        <v>424.07</v>
      </c>
      <c r="GE3434" s="65">
        <v>484</v>
      </c>
      <c r="GH3434" s="65" t="s">
        <v>3165</v>
      </c>
      <c r="GP3434" s="292" t="s">
        <v>7494</v>
      </c>
      <c r="JU3434" s="55" t="s">
        <v>3164</v>
      </c>
    </row>
    <row r="3435" spans="1:281" x14ac:dyDescent="0.25">
      <c r="A3435" s="55">
        <v>3434</v>
      </c>
      <c r="B3435" s="12" t="s">
        <v>7067</v>
      </c>
      <c r="C3435" s="155">
        <v>160</v>
      </c>
      <c r="D3435" s="55" t="s">
        <v>3160</v>
      </c>
      <c r="E3435" s="90" t="s">
        <v>3144</v>
      </c>
      <c r="G3435" s="55" t="s">
        <v>3145</v>
      </c>
      <c r="H3435" s="55">
        <v>2003</v>
      </c>
      <c r="I3435" s="55">
        <v>1999</v>
      </c>
      <c r="J3435" s="55" t="s">
        <v>2688</v>
      </c>
      <c r="K3435" s="55" t="s">
        <v>3159</v>
      </c>
      <c r="L3435" s="55" t="s">
        <v>2750</v>
      </c>
      <c r="M3435" s="90">
        <f>-13-38/60</f>
        <v>-13.633333333333333</v>
      </c>
      <c r="N3435" s="90">
        <f>32+34/60</f>
        <v>32.56666666666667</v>
      </c>
      <c r="O3435" s="90">
        <v>1025</v>
      </c>
      <c r="R3435" s="55">
        <v>813</v>
      </c>
      <c r="S3435" s="90">
        <v>977</v>
      </c>
      <c r="U3435" s="55" t="s">
        <v>1805</v>
      </c>
      <c r="V3435" s="55" t="s">
        <v>1688</v>
      </c>
      <c r="Y3435" s="55" t="s">
        <v>3036</v>
      </c>
      <c r="Z3435" s="55" t="s">
        <v>1346</v>
      </c>
      <c r="AA3435" s="90" t="s">
        <v>1675</v>
      </c>
      <c r="AD3435" s="90">
        <v>1.61</v>
      </c>
      <c r="AE3435" s="90">
        <v>47</v>
      </c>
      <c r="AF3435" s="90">
        <v>10</v>
      </c>
      <c r="AH3435" s="55" t="s">
        <v>2618</v>
      </c>
      <c r="AI3435" s="168">
        <v>5.4</v>
      </c>
      <c r="AJ3435" s="90">
        <v>0.4</v>
      </c>
      <c r="AL3435" s="55">
        <f>0.39*0.4167</f>
        <v>0.16251300000000002</v>
      </c>
      <c r="AM3435" s="55" t="s">
        <v>3161</v>
      </c>
      <c r="AN3435" s="185" t="s">
        <v>2692</v>
      </c>
      <c r="AO3435" s="185" t="s">
        <v>5150</v>
      </c>
      <c r="AQ3435" s="55" t="s">
        <v>553</v>
      </c>
      <c r="AR3435" s="55" t="s">
        <v>1607</v>
      </c>
      <c r="AS3435" s="55" t="s">
        <v>132</v>
      </c>
      <c r="AU3435" s="181" t="s">
        <v>7494</v>
      </c>
      <c r="AV3435" s="185" t="s">
        <v>176</v>
      </c>
      <c r="AX3435" s="185" t="s">
        <v>176</v>
      </c>
      <c r="BE3435" s="226" t="s">
        <v>2700</v>
      </c>
      <c r="BF3435" s="191" t="s">
        <v>176</v>
      </c>
      <c r="BG3435" s="191" t="s">
        <v>176</v>
      </c>
      <c r="BH3435" s="226" t="s">
        <v>2700</v>
      </c>
      <c r="BI3435" s="191" t="s">
        <v>176</v>
      </c>
      <c r="BJ3435" s="55" t="s">
        <v>176</v>
      </c>
      <c r="BK3435" s="55" t="s">
        <v>6333</v>
      </c>
      <c r="BM3435" s="192" t="s">
        <v>3158</v>
      </c>
      <c r="BN3435" s="55">
        <v>3</v>
      </c>
      <c r="BO3435" s="55">
        <v>3</v>
      </c>
      <c r="BQ3435" s="55" t="s">
        <v>141</v>
      </c>
      <c r="GD3435" s="65">
        <v>439.22</v>
      </c>
      <c r="GE3435" s="65">
        <v>498</v>
      </c>
      <c r="GH3435" s="65" t="s">
        <v>3165</v>
      </c>
      <c r="GP3435" s="292" t="s">
        <v>7494</v>
      </c>
      <c r="JU3435" s="55" t="s">
        <v>3164</v>
      </c>
    </row>
    <row r="3436" spans="1:281" x14ac:dyDescent="0.25">
      <c r="A3436" s="55">
        <v>3435</v>
      </c>
      <c r="B3436" s="12" t="s">
        <v>7067</v>
      </c>
      <c r="C3436" s="155">
        <v>160</v>
      </c>
      <c r="D3436" s="55" t="s">
        <v>3160</v>
      </c>
      <c r="E3436" s="90" t="s">
        <v>3144</v>
      </c>
      <c r="G3436" s="55" t="s">
        <v>3145</v>
      </c>
      <c r="H3436" s="55">
        <v>2003</v>
      </c>
      <c r="I3436" s="55">
        <v>1999</v>
      </c>
      <c r="J3436" s="55" t="s">
        <v>2688</v>
      </c>
      <c r="K3436" s="55" t="s">
        <v>3159</v>
      </c>
      <c r="L3436" s="55" t="s">
        <v>2750</v>
      </c>
      <c r="M3436" s="90">
        <f>-13-38/60</f>
        <v>-13.633333333333333</v>
      </c>
      <c r="N3436" s="90">
        <f>32+34/60</f>
        <v>32.56666666666667</v>
      </c>
      <c r="O3436" s="90">
        <v>1025</v>
      </c>
      <c r="R3436" s="55">
        <v>813</v>
      </c>
      <c r="S3436" s="90">
        <v>977</v>
      </c>
      <c r="U3436" s="55" t="s">
        <v>1805</v>
      </c>
      <c r="V3436" s="55" t="s">
        <v>1688</v>
      </c>
      <c r="Y3436" s="55" t="s">
        <v>3036</v>
      </c>
      <c r="Z3436" s="55" t="s">
        <v>1346</v>
      </c>
      <c r="AA3436" s="90" t="s">
        <v>1675</v>
      </c>
      <c r="AD3436" s="90">
        <v>1.61</v>
      </c>
      <c r="AE3436" s="90">
        <v>47</v>
      </c>
      <c r="AF3436" s="90">
        <v>10</v>
      </c>
      <c r="AH3436" s="55" t="s">
        <v>2618</v>
      </c>
      <c r="AI3436" s="168">
        <v>5.4</v>
      </c>
      <c r="AJ3436" s="90">
        <v>0.4</v>
      </c>
      <c r="AL3436" s="55">
        <f>0.39*0.4167</f>
        <v>0.16251300000000002</v>
      </c>
      <c r="AM3436" s="55" t="s">
        <v>3161</v>
      </c>
      <c r="AN3436" s="185" t="s">
        <v>2692</v>
      </c>
      <c r="AO3436" s="185" t="s">
        <v>5150</v>
      </c>
      <c r="AQ3436" s="55" t="s">
        <v>553</v>
      </c>
      <c r="AR3436" s="55" t="s">
        <v>1607</v>
      </c>
      <c r="AS3436" s="55" t="s">
        <v>132</v>
      </c>
      <c r="AU3436" s="181" t="s">
        <v>7494</v>
      </c>
      <c r="AV3436" s="185" t="s">
        <v>176</v>
      </c>
      <c r="AX3436" s="185" t="s">
        <v>176</v>
      </c>
      <c r="BE3436" s="226" t="s">
        <v>2700</v>
      </c>
      <c r="BF3436" s="191" t="s">
        <v>176</v>
      </c>
      <c r="BG3436" s="191" t="s">
        <v>176</v>
      </c>
      <c r="BH3436" s="226" t="s">
        <v>2700</v>
      </c>
      <c r="BI3436" s="191" t="s">
        <v>176</v>
      </c>
      <c r="BJ3436" s="55" t="s">
        <v>176</v>
      </c>
      <c r="BK3436" s="55" t="s">
        <v>6333</v>
      </c>
      <c r="BM3436" s="192" t="s">
        <v>3158</v>
      </c>
      <c r="BN3436" s="55">
        <v>3</v>
      </c>
      <c r="BO3436" s="55">
        <v>3</v>
      </c>
      <c r="BQ3436" s="55" t="s">
        <v>141</v>
      </c>
      <c r="GD3436" s="65">
        <v>447.31</v>
      </c>
      <c r="GE3436" s="65">
        <v>493.8</v>
      </c>
      <c r="GH3436" s="65" t="s">
        <v>3165</v>
      </c>
      <c r="GP3436" s="292" t="s">
        <v>7494</v>
      </c>
      <c r="JU3436" s="55" t="s">
        <v>3164</v>
      </c>
    </row>
    <row r="3437" spans="1:281" x14ac:dyDescent="0.25">
      <c r="A3437" s="55">
        <v>3436</v>
      </c>
      <c r="B3437" s="12" t="s">
        <v>7067</v>
      </c>
      <c r="C3437" s="155">
        <v>160</v>
      </c>
      <c r="D3437" s="55" t="s">
        <v>3160</v>
      </c>
      <c r="E3437" s="90" t="s">
        <v>3144</v>
      </c>
      <c r="G3437" s="55" t="s">
        <v>3145</v>
      </c>
      <c r="H3437" s="55">
        <v>2003</v>
      </c>
      <c r="I3437" s="55">
        <v>1999</v>
      </c>
      <c r="J3437" s="55" t="s">
        <v>2688</v>
      </c>
      <c r="K3437" s="55" t="s">
        <v>3159</v>
      </c>
      <c r="L3437" s="55" t="s">
        <v>2750</v>
      </c>
      <c r="M3437" s="90">
        <f>-13-38/60</f>
        <v>-13.633333333333333</v>
      </c>
      <c r="N3437" s="90">
        <f>32+34/60</f>
        <v>32.56666666666667</v>
      </c>
      <c r="O3437" s="90">
        <v>1025</v>
      </c>
      <c r="R3437" s="55">
        <v>813</v>
      </c>
      <c r="S3437" s="90">
        <v>977</v>
      </c>
      <c r="U3437" s="55" t="s">
        <v>1805</v>
      </c>
      <c r="V3437" s="55" t="s">
        <v>1688</v>
      </c>
      <c r="Y3437" s="55" t="s">
        <v>3036</v>
      </c>
      <c r="Z3437" s="55" t="s">
        <v>1346</v>
      </c>
      <c r="AA3437" s="90" t="s">
        <v>1675</v>
      </c>
      <c r="AD3437" s="90">
        <v>1.61</v>
      </c>
      <c r="AE3437" s="90">
        <v>47</v>
      </c>
      <c r="AF3437" s="90">
        <v>10</v>
      </c>
      <c r="AH3437" s="55" t="s">
        <v>2618</v>
      </c>
      <c r="AI3437" s="168">
        <v>5.4</v>
      </c>
      <c r="AJ3437" s="90">
        <v>0.4</v>
      </c>
      <c r="AL3437" s="55">
        <f>0.39*0.4167</f>
        <v>0.16251300000000002</v>
      </c>
      <c r="AM3437" s="55" t="s">
        <v>3161</v>
      </c>
      <c r="AN3437" s="185" t="s">
        <v>2692</v>
      </c>
      <c r="AO3437" s="185" t="s">
        <v>5150</v>
      </c>
      <c r="AQ3437" s="55" t="s">
        <v>553</v>
      </c>
      <c r="AR3437" s="55" t="s">
        <v>1607</v>
      </c>
      <c r="AS3437" s="55" t="s">
        <v>132</v>
      </c>
      <c r="AU3437" s="181" t="s">
        <v>7494</v>
      </c>
      <c r="AV3437" s="185" t="s">
        <v>176</v>
      </c>
      <c r="AX3437" s="185" t="s">
        <v>176</v>
      </c>
      <c r="BE3437" s="226" t="s">
        <v>2700</v>
      </c>
      <c r="BF3437" s="191" t="s">
        <v>176</v>
      </c>
      <c r="BG3437" s="191" t="s">
        <v>176</v>
      </c>
      <c r="BH3437" s="226" t="s">
        <v>2700</v>
      </c>
      <c r="BI3437" s="191" t="s">
        <v>176</v>
      </c>
      <c r="BJ3437" s="55" t="s">
        <v>176</v>
      </c>
      <c r="BK3437" s="55" t="s">
        <v>6333</v>
      </c>
      <c r="BM3437" s="192" t="s">
        <v>3158</v>
      </c>
      <c r="BN3437" s="55">
        <v>3</v>
      </c>
      <c r="BO3437" s="55">
        <v>3</v>
      </c>
      <c r="BQ3437" s="55" t="s">
        <v>141</v>
      </c>
      <c r="GD3437" s="65">
        <v>447.64</v>
      </c>
      <c r="GE3437" s="65">
        <v>494.1</v>
      </c>
      <c r="GH3437" s="65" t="s">
        <v>3165</v>
      </c>
      <c r="GP3437" s="292" t="s">
        <v>7494</v>
      </c>
      <c r="JU3437" s="55" t="s">
        <v>3164</v>
      </c>
    </row>
    <row r="3438" spans="1:281" x14ac:dyDescent="0.25">
      <c r="A3438" s="55">
        <v>3437</v>
      </c>
      <c r="B3438" s="12" t="s">
        <v>7067</v>
      </c>
      <c r="C3438" s="155">
        <v>160</v>
      </c>
      <c r="D3438" s="55" t="s">
        <v>3160</v>
      </c>
      <c r="E3438" s="90" t="s">
        <v>3144</v>
      </c>
      <c r="G3438" s="55" t="s">
        <v>3145</v>
      </c>
      <c r="H3438" s="55">
        <v>2003</v>
      </c>
      <c r="I3438" s="55">
        <v>1999</v>
      </c>
      <c r="J3438" s="55" t="s">
        <v>2688</v>
      </c>
      <c r="K3438" s="55" t="s">
        <v>3159</v>
      </c>
      <c r="L3438" s="55" t="s">
        <v>2750</v>
      </c>
      <c r="M3438" s="90">
        <f>-13-38/60</f>
        <v>-13.633333333333333</v>
      </c>
      <c r="N3438" s="90">
        <f>32+34/60</f>
        <v>32.56666666666667</v>
      </c>
      <c r="O3438" s="90">
        <v>1025</v>
      </c>
      <c r="R3438" s="55">
        <v>813</v>
      </c>
      <c r="S3438" s="90">
        <v>977</v>
      </c>
      <c r="U3438" s="55" t="s">
        <v>1805</v>
      </c>
      <c r="V3438" s="55" t="s">
        <v>1688</v>
      </c>
      <c r="Y3438" s="55" t="s">
        <v>3036</v>
      </c>
      <c r="Z3438" s="55" t="s">
        <v>1346</v>
      </c>
      <c r="AA3438" s="90" t="s">
        <v>1675</v>
      </c>
      <c r="AD3438" s="90">
        <v>1.61</v>
      </c>
      <c r="AE3438" s="90">
        <v>47</v>
      </c>
      <c r="AF3438" s="90">
        <v>10</v>
      </c>
      <c r="AH3438" s="55" t="s">
        <v>2618</v>
      </c>
      <c r="AI3438" s="168">
        <v>5.4</v>
      </c>
      <c r="AJ3438" s="90">
        <v>0.4</v>
      </c>
      <c r="AL3438" s="55">
        <f>0.39*0.4167</f>
        <v>0.16251300000000002</v>
      </c>
      <c r="AM3438" s="55" t="s">
        <v>3161</v>
      </c>
      <c r="AN3438" s="185" t="s">
        <v>2692</v>
      </c>
      <c r="AO3438" s="185" t="s">
        <v>5150</v>
      </c>
      <c r="AQ3438" s="55" t="s">
        <v>553</v>
      </c>
      <c r="AR3438" s="55" t="s">
        <v>1607</v>
      </c>
      <c r="AS3438" s="55" t="s">
        <v>132</v>
      </c>
      <c r="AU3438" s="181" t="s">
        <v>7494</v>
      </c>
      <c r="AV3438" s="185" t="s">
        <v>176</v>
      </c>
      <c r="AX3438" s="185" t="s">
        <v>176</v>
      </c>
      <c r="BE3438" s="226" t="s">
        <v>2700</v>
      </c>
      <c r="BF3438" s="191" t="s">
        <v>176</v>
      </c>
      <c r="BG3438" s="191" t="s">
        <v>176</v>
      </c>
      <c r="BH3438" s="226" t="s">
        <v>2700</v>
      </c>
      <c r="BI3438" s="191" t="s">
        <v>176</v>
      </c>
      <c r="BJ3438" s="55" t="s">
        <v>176</v>
      </c>
      <c r="BK3438" s="55" t="s">
        <v>6333</v>
      </c>
      <c r="BM3438" s="192" t="s">
        <v>3158</v>
      </c>
      <c r="BN3438" s="55">
        <v>3</v>
      </c>
      <c r="BO3438" s="55">
        <v>3</v>
      </c>
      <c r="BQ3438" s="55" t="s">
        <v>141</v>
      </c>
      <c r="GD3438" s="65">
        <v>476.28</v>
      </c>
      <c r="GE3438" s="65">
        <v>532</v>
      </c>
      <c r="GH3438" s="65" t="s">
        <v>3165</v>
      </c>
      <c r="GP3438" s="292" t="s">
        <v>7494</v>
      </c>
      <c r="JU3438" s="55" t="s">
        <v>3164</v>
      </c>
    </row>
    <row r="3439" spans="1:281" x14ac:dyDescent="0.25">
      <c r="A3439" s="55">
        <v>3438</v>
      </c>
      <c r="B3439" s="12" t="s">
        <v>7067</v>
      </c>
      <c r="C3439" s="155">
        <v>160</v>
      </c>
      <c r="D3439" s="55" t="s">
        <v>3160</v>
      </c>
      <c r="E3439" s="90" t="s">
        <v>3144</v>
      </c>
      <c r="G3439" s="55" t="s">
        <v>3145</v>
      </c>
      <c r="H3439" s="55">
        <v>2003</v>
      </c>
      <c r="I3439" s="55">
        <v>1999</v>
      </c>
      <c r="J3439" s="55" t="s">
        <v>2688</v>
      </c>
      <c r="K3439" s="55" t="s">
        <v>3159</v>
      </c>
      <c r="L3439" s="55" t="s">
        <v>2750</v>
      </c>
      <c r="M3439" s="90">
        <f>-13-38/60</f>
        <v>-13.633333333333333</v>
      </c>
      <c r="N3439" s="90">
        <f>32+34/60</f>
        <v>32.56666666666667</v>
      </c>
      <c r="O3439" s="90">
        <v>1025</v>
      </c>
      <c r="R3439" s="55">
        <v>813</v>
      </c>
      <c r="S3439" s="90">
        <v>977</v>
      </c>
      <c r="U3439" s="55" t="s">
        <v>1805</v>
      </c>
      <c r="V3439" s="55" t="s">
        <v>1688</v>
      </c>
      <c r="Y3439" s="55" t="s">
        <v>3036</v>
      </c>
      <c r="Z3439" s="55" t="s">
        <v>1346</v>
      </c>
      <c r="AA3439" s="90" t="s">
        <v>1675</v>
      </c>
      <c r="AD3439" s="90">
        <v>1.61</v>
      </c>
      <c r="AE3439" s="90">
        <v>47</v>
      </c>
      <c r="AF3439" s="90">
        <v>10</v>
      </c>
      <c r="AH3439" s="55" t="s">
        <v>2618</v>
      </c>
      <c r="AI3439" s="168">
        <v>5.4</v>
      </c>
      <c r="AJ3439" s="90">
        <v>0.4</v>
      </c>
      <c r="AL3439" s="55">
        <f>0.39*0.4167</f>
        <v>0.16251300000000002</v>
      </c>
      <c r="AM3439" s="55" t="s">
        <v>3161</v>
      </c>
      <c r="AN3439" s="185" t="s">
        <v>2692</v>
      </c>
      <c r="AO3439" s="185" t="s">
        <v>5150</v>
      </c>
      <c r="AQ3439" s="55" t="s">
        <v>553</v>
      </c>
      <c r="AR3439" s="55" t="s">
        <v>1607</v>
      </c>
      <c r="AS3439" s="55" t="s">
        <v>132</v>
      </c>
      <c r="AU3439" s="181" t="s">
        <v>7494</v>
      </c>
      <c r="AV3439" s="185" t="s">
        <v>176</v>
      </c>
      <c r="AX3439" s="185" t="s">
        <v>176</v>
      </c>
      <c r="BE3439" s="226" t="s">
        <v>2700</v>
      </c>
      <c r="BF3439" s="191" t="s">
        <v>176</v>
      </c>
      <c r="BG3439" s="191" t="s">
        <v>176</v>
      </c>
      <c r="BH3439" s="226" t="s">
        <v>2700</v>
      </c>
      <c r="BI3439" s="191" t="s">
        <v>176</v>
      </c>
      <c r="BJ3439" s="55" t="s">
        <v>176</v>
      </c>
      <c r="BK3439" s="55" t="s">
        <v>6333</v>
      </c>
      <c r="BM3439" s="192" t="s">
        <v>3158</v>
      </c>
      <c r="BN3439" s="55">
        <v>3</v>
      </c>
      <c r="BO3439" s="55">
        <v>3</v>
      </c>
      <c r="BQ3439" s="55" t="s">
        <v>141</v>
      </c>
      <c r="GD3439" s="65">
        <v>456.39</v>
      </c>
      <c r="GE3439" s="65">
        <v>513</v>
      </c>
      <c r="GH3439" s="65" t="s">
        <v>3165</v>
      </c>
      <c r="GP3439" s="292" t="s">
        <v>7494</v>
      </c>
      <c r="JU3439" s="55" t="s">
        <v>3164</v>
      </c>
    </row>
    <row r="3440" spans="1:281" x14ac:dyDescent="0.25">
      <c r="A3440" s="55">
        <v>3439</v>
      </c>
      <c r="B3440" s="12" t="s">
        <v>7067</v>
      </c>
      <c r="C3440" s="155">
        <v>160</v>
      </c>
      <c r="D3440" s="55" t="s">
        <v>3160</v>
      </c>
      <c r="E3440" s="90" t="s">
        <v>3144</v>
      </c>
      <c r="G3440" s="55" t="s">
        <v>3145</v>
      </c>
      <c r="H3440" s="55">
        <v>2003</v>
      </c>
      <c r="I3440" s="55">
        <v>1999</v>
      </c>
      <c r="J3440" s="55" t="s">
        <v>2688</v>
      </c>
      <c r="K3440" s="55" t="s">
        <v>3159</v>
      </c>
      <c r="L3440" s="55" t="s">
        <v>2750</v>
      </c>
      <c r="M3440" s="90">
        <f>-13-38/60</f>
        <v>-13.633333333333333</v>
      </c>
      <c r="N3440" s="90">
        <f>32+34/60</f>
        <v>32.56666666666667</v>
      </c>
      <c r="O3440" s="90">
        <v>1025</v>
      </c>
      <c r="R3440" s="55">
        <v>813</v>
      </c>
      <c r="S3440" s="90">
        <v>977</v>
      </c>
      <c r="U3440" s="55" t="s">
        <v>1805</v>
      </c>
      <c r="V3440" s="55" t="s">
        <v>1688</v>
      </c>
      <c r="Y3440" s="55" t="s">
        <v>3036</v>
      </c>
      <c r="Z3440" s="55" t="s">
        <v>1346</v>
      </c>
      <c r="AA3440" s="90" t="s">
        <v>1675</v>
      </c>
      <c r="AD3440" s="90">
        <v>1.61</v>
      </c>
      <c r="AE3440" s="90">
        <v>47</v>
      </c>
      <c r="AF3440" s="90">
        <v>10</v>
      </c>
      <c r="AH3440" s="55" t="s">
        <v>2618</v>
      </c>
      <c r="AI3440" s="168">
        <v>5.4</v>
      </c>
      <c r="AJ3440" s="90">
        <v>0.4</v>
      </c>
      <c r="AL3440" s="55">
        <f>0.39*0.4167</f>
        <v>0.16251300000000002</v>
      </c>
      <c r="AM3440" s="55" t="s">
        <v>3161</v>
      </c>
      <c r="AN3440" s="185" t="s">
        <v>2692</v>
      </c>
      <c r="AO3440" s="185" t="s">
        <v>5150</v>
      </c>
      <c r="AQ3440" s="55" t="s">
        <v>553</v>
      </c>
      <c r="AR3440" s="55" t="s">
        <v>1607</v>
      </c>
      <c r="AS3440" s="55" t="s">
        <v>132</v>
      </c>
      <c r="AU3440" s="181" t="s">
        <v>7494</v>
      </c>
      <c r="AV3440" s="185" t="s">
        <v>176</v>
      </c>
      <c r="AX3440" s="185" t="s">
        <v>176</v>
      </c>
      <c r="BE3440" s="226" t="s">
        <v>2700</v>
      </c>
      <c r="BF3440" s="191" t="s">
        <v>176</v>
      </c>
      <c r="BG3440" s="191" t="s">
        <v>176</v>
      </c>
      <c r="BH3440" s="226" t="s">
        <v>2700</v>
      </c>
      <c r="BI3440" s="191" t="s">
        <v>176</v>
      </c>
      <c r="BJ3440" s="55" t="s">
        <v>176</v>
      </c>
      <c r="BK3440" s="55" t="s">
        <v>6333</v>
      </c>
      <c r="BM3440" s="192" t="s">
        <v>3158</v>
      </c>
      <c r="BN3440" s="55">
        <v>3</v>
      </c>
      <c r="BO3440" s="55">
        <v>3</v>
      </c>
      <c r="BQ3440" s="55" t="s">
        <v>141</v>
      </c>
      <c r="GD3440" s="65">
        <v>424.41</v>
      </c>
      <c r="GE3440" s="65">
        <v>446.6</v>
      </c>
      <c r="GH3440" s="65" t="s">
        <v>3165</v>
      </c>
      <c r="GP3440" s="292" t="s">
        <v>7494</v>
      </c>
      <c r="JU3440" s="55" t="s">
        <v>3164</v>
      </c>
    </row>
    <row r="3441" spans="1:281" x14ac:dyDescent="0.25">
      <c r="A3441" s="55">
        <v>3440</v>
      </c>
      <c r="B3441" s="12" t="s">
        <v>7067</v>
      </c>
      <c r="C3441" s="155">
        <v>160</v>
      </c>
      <c r="D3441" s="55" t="s">
        <v>3160</v>
      </c>
      <c r="E3441" s="90" t="s">
        <v>3144</v>
      </c>
      <c r="G3441" s="55" t="s">
        <v>3145</v>
      </c>
      <c r="H3441" s="55">
        <v>2003</v>
      </c>
      <c r="I3441" s="55">
        <v>1999</v>
      </c>
      <c r="J3441" s="55" t="s">
        <v>2688</v>
      </c>
      <c r="K3441" s="55" t="s">
        <v>3159</v>
      </c>
      <c r="L3441" s="55" t="s">
        <v>2750</v>
      </c>
      <c r="M3441" s="90">
        <f>-13-38/60</f>
        <v>-13.633333333333333</v>
      </c>
      <c r="N3441" s="90">
        <f>32+34/60</f>
        <v>32.56666666666667</v>
      </c>
      <c r="O3441" s="90">
        <v>1025</v>
      </c>
      <c r="R3441" s="55">
        <v>813</v>
      </c>
      <c r="S3441" s="90">
        <v>977</v>
      </c>
      <c r="U3441" s="55" t="s">
        <v>1805</v>
      </c>
      <c r="V3441" s="55" t="s">
        <v>1688</v>
      </c>
      <c r="Y3441" s="55" t="s">
        <v>3036</v>
      </c>
      <c r="Z3441" s="55" t="s">
        <v>1346</v>
      </c>
      <c r="AA3441" s="90" t="s">
        <v>1675</v>
      </c>
      <c r="AD3441" s="90">
        <v>1.61</v>
      </c>
      <c r="AE3441" s="90">
        <v>47</v>
      </c>
      <c r="AF3441" s="90">
        <v>10</v>
      </c>
      <c r="AH3441" s="55" t="s">
        <v>2618</v>
      </c>
      <c r="AI3441" s="168">
        <v>5.4</v>
      </c>
      <c r="AJ3441" s="90">
        <v>0.4</v>
      </c>
      <c r="AL3441" s="55">
        <f>0.39*0.4167</f>
        <v>0.16251300000000002</v>
      </c>
      <c r="AM3441" s="55" t="s">
        <v>3161</v>
      </c>
      <c r="AN3441" s="185" t="s">
        <v>2692</v>
      </c>
      <c r="AO3441" s="185" t="s">
        <v>5150</v>
      </c>
      <c r="AQ3441" s="55" t="s">
        <v>553</v>
      </c>
      <c r="AR3441" s="55" t="s">
        <v>1607</v>
      </c>
      <c r="AS3441" s="55" t="s">
        <v>132</v>
      </c>
      <c r="AU3441" s="181" t="s">
        <v>7494</v>
      </c>
      <c r="AV3441" s="185" t="s">
        <v>176</v>
      </c>
      <c r="AX3441" s="185" t="s">
        <v>176</v>
      </c>
      <c r="BE3441" s="226" t="s">
        <v>2700</v>
      </c>
      <c r="BF3441" s="191" t="s">
        <v>176</v>
      </c>
      <c r="BG3441" s="191" t="s">
        <v>176</v>
      </c>
      <c r="BH3441" s="226" t="s">
        <v>2700</v>
      </c>
      <c r="BI3441" s="191" t="s">
        <v>176</v>
      </c>
      <c r="BJ3441" s="55" t="s">
        <v>176</v>
      </c>
      <c r="BK3441" s="55" t="s">
        <v>6333</v>
      </c>
      <c r="BM3441" s="192" t="s">
        <v>3158</v>
      </c>
      <c r="BN3441" s="55">
        <v>3</v>
      </c>
      <c r="BO3441" s="55">
        <v>3</v>
      </c>
      <c r="BQ3441" s="55" t="s">
        <v>141</v>
      </c>
      <c r="GD3441" s="65">
        <v>406.57</v>
      </c>
      <c r="GE3441" s="65">
        <v>412</v>
      </c>
      <c r="GH3441" s="65" t="s">
        <v>3165</v>
      </c>
      <c r="GP3441" s="292" t="s">
        <v>7494</v>
      </c>
      <c r="JU3441" s="55" t="s">
        <v>3164</v>
      </c>
    </row>
    <row r="3442" spans="1:281" x14ac:dyDescent="0.25">
      <c r="A3442" s="55">
        <v>3441</v>
      </c>
      <c r="B3442" s="12" t="s">
        <v>7067</v>
      </c>
      <c r="C3442" s="155">
        <v>160</v>
      </c>
      <c r="D3442" s="55" t="s">
        <v>3160</v>
      </c>
      <c r="E3442" s="90" t="s">
        <v>3144</v>
      </c>
      <c r="G3442" s="55" t="s">
        <v>3145</v>
      </c>
      <c r="H3442" s="55">
        <v>2003</v>
      </c>
      <c r="I3442" s="55">
        <v>1999</v>
      </c>
      <c r="J3442" s="55" t="s">
        <v>2688</v>
      </c>
      <c r="K3442" s="55" t="s">
        <v>3159</v>
      </c>
      <c r="L3442" s="55" t="s">
        <v>2750</v>
      </c>
      <c r="M3442" s="90">
        <f>-13-38/60</f>
        <v>-13.633333333333333</v>
      </c>
      <c r="N3442" s="90">
        <f>32+34/60</f>
        <v>32.56666666666667</v>
      </c>
      <c r="O3442" s="90">
        <v>1025</v>
      </c>
      <c r="R3442" s="55">
        <v>813</v>
      </c>
      <c r="S3442" s="90">
        <v>977</v>
      </c>
      <c r="U3442" s="55" t="s">
        <v>1805</v>
      </c>
      <c r="V3442" s="55" t="s">
        <v>1688</v>
      </c>
      <c r="Y3442" s="55" t="s">
        <v>3036</v>
      </c>
      <c r="Z3442" s="55" t="s">
        <v>1346</v>
      </c>
      <c r="AA3442" s="90" t="s">
        <v>1675</v>
      </c>
      <c r="AD3442" s="90">
        <v>1.61</v>
      </c>
      <c r="AE3442" s="90">
        <v>47</v>
      </c>
      <c r="AF3442" s="90">
        <v>10</v>
      </c>
      <c r="AH3442" s="55" t="s">
        <v>2618</v>
      </c>
      <c r="AI3442" s="168">
        <v>5.4</v>
      </c>
      <c r="AJ3442" s="90">
        <v>0.4</v>
      </c>
      <c r="AL3442" s="55">
        <f>0.39*0.4167</f>
        <v>0.16251300000000002</v>
      </c>
      <c r="AM3442" s="55" t="s">
        <v>3161</v>
      </c>
      <c r="AN3442" s="185" t="s">
        <v>2692</v>
      </c>
      <c r="AO3442" s="185" t="s">
        <v>5150</v>
      </c>
      <c r="AQ3442" s="55" t="s">
        <v>553</v>
      </c>
      <c r="AR3442" s="55" t="s">
        <v>1607</v>
      </c>
      <c r="AS3442" s="55" t="s">
        <v>132</v>
      </c>
      <c r="AU3442" s="181" t="s">
        <v>7494</v>
      </c>
      <c r="AV3442" s="185" t="s">
        <v>176</v>
      </c>
      <c r="AX3442" s="185" t="s">
        <v>176</v>
      </c>
      <c r="BE3442" s="226" t="s">
        <v>2700</v>
      </c>
      <c r="BF3442" s="191" t="s">
        <v>176</v>
      </c>
      <c r="BG3442" s="191" t="s">
        <v>176</v>
      </c>
      <c r="BH3442" s="226" t="s">
        <v>2700</v>
      </c>
      <c r="BI3442" s="191" t="s">
        <v>176</v>
      </c>
      <c r="BJ3442" s="55" t="s">
        <v>176</v>
      </c>
      <c r="BK3442" s="55" t="s">
        <v>6333</v>
      </c>
      <c r="BM3442" s="192" t="s">
        <v>3158</v>
      </c>
      <c r="BN3442" s="55">
        <v>3</v>
      </c>
      <c r="BO3442" s="55">
        <v>3</v>
      </c>
      <c r="BQ3442" s="55" t="s">
        <v>141</v>
      </c>
      <c r="GD3442" s="65">
        <v>403.2</v>
      </c>
      <c r="GE3442" s="65">
        <v>400</v>
      </c>
      <c r="GH3442" s="65" t="s">
        <v>3165</v>
      </c>
      <c r="GP3442" s="292" t="s">
        <v>7494</v>
      </c>
      <c r="JU3442" s="55" t="s">
        <v>3164</v>
      </c>
    </row>
    <row r="3443" spans="1:281" x14ac:dyDescent="0.25">
      <c r="A3443" s="55">
        <v>3442</v>
      </c>
      <c r="B3443" s="12" t="s">
        <v>7067</v>
      </c>
      <c r="C3443" s="155">
        <v>160</v>
      </c>
      <c r="D3443" s="55" t="s">
        <v>3160</v>
      </c>
      <c r="E3443" s="90" t="s">
        <v>3144</v>
      </c>
      <c r="G3443" s="55" t="s">
        <v>3145</v>
      </c>
      <c r="H3443" s="55">
        <v>2003</v>
      </c>
      <c r="I3443" s="55">
        <v>1999</v>
      </c>
      <c r="J3443" s="55" t="s">
        <v>2688</v>
      </c>
      <c r="K3443" s="55" t="s">
        <v>3159</v>
      </c>
      <c r="L3443" s="55" t="s">
        <v>2750</v>
      </c>
      <c r="M3443" s="90">
        <f>-13-38/60</f>
        <v>-13.633333333333333</v>
      </c>
      <c r="N3443" s="90">
        <f>32+34/60</f>
        <v>32.56666666666667</v>
      </c>
      <c r="O3443" s="90">
        <v>1025</v>
      </c>
      <c r="R3443" s="55">
        <v>813</v>
      </c>
      <c r="S3443" s="90">
        <v>977</v>
      </c>
      <c r="U3443" s="55" t="s">
        <v>1805</v>
      </c>
      <c r="V3443" s="55" t="s">
        <v>1688</v>
      </c>
      <c r="Y3443" s="55" t="s">
        <v>3036</v>
      </c>
      <c r="Z3443" s="55" t="s">
        <v>1346</v>
      </c>
      <c r="AA3443" s="90" t="s">
        <v>1675</v>
      </c>
      <c r="AD3443" s="90">
        <v>1.61</v>
      </c>
      <c r="AE3443" s="90">
        <v>47</v>
      </c>
      <c r="AF3443" s="90">
        <v>10</v>
      </c>
      <c r="AH3443" s="55" t="s">
        <v>2618</v>
      </c>
      <c r="AI3443" s="168">
        <v>5.4</v>
      </c>
      <c r="AJ3443" s="90">
        <v>0.4</v>
      </c>
      <c r="AL3443" s="55">
        <f>0.39*0.4167</f>
        <v>0.16251300000000002</v>
      </c>
      <c r="AM3443" s="55" t="s">
        <v>3161</v>
      </c>
      <c r="AN3443" s="185" t="s">
        <v>2692</v>
      </c>
      <c r="AO3443" s="185" t="s">
        <v>5150</v>
      </c>
      <c r="AQ3443" s="55" t="s">
        <v>553</v>
      </c>
      <c r="AR3443" s="55" t="s">
        <v>1607</v>
      </c>
      <c r="AS3443" s="55" t="s">
        <v>132</v>
      </c>
      <c r="AU3443" s="181" t="s">
        <v>7494</v>
      </c>
      <c r="AV3443" s="185" t="s">
        <v>176</v>
      </c>
      <c r="AX3443" s="185" t="s">
        <v>176</v>
      </c>
      <c r="BE3443" s="226" t="s">
        <v>2700</v>
      </c>
      <c r="BF3443" s="191" t="s">
        <v>176</v>
      </c>
      <c r="BG3443" s="191" t="s">
        <v>176</v>
      </c>
      <c r="BH3443" s="226" t="s">
        <v>2700</v>
      </c>
      <c r="BI3443" s="191" t="s">
        <v>176</v>
      </c>
      <c r="BJ3443" s="55" t="s">
        <v>176</v>
      </c>
      <c r="BK3443" s="55" t="s">
        <v>6333</v>
      </c>
      <c r="BM3443" s="192" t="s">
        <v>3158</v>
      </c>
      <c r="BN3443" s="55">
        <v>3</v>
      </c>
      <c r="BO3443" s="55">
        <v>3</v>
      </c>
      <c r="BQ3443" s="55" t="s">
        <v>141</v>
      </c>
      <c r="GD3443" s="65">
        <v>398</v>
      </c>
      <c r="GE3443" s="65">
        <v>399</v>
      </c>
      <c r="GH3443" s="65" t="s">
        <v>3165</v>
      </c>
      <c r="GP3443" s="292" t="s">
        <v>7494</v>
      </c>
      <c r="JU3443" s="55" t="s">
        <v>3164</v>
      </c>
    </row>
    <row r="3444" spans="1:281" x14ac:dyDescent="0.25">
      <c r="A3444" s="55">
        <v>3443</v>
      </c>
      <c r="B3444" s="12" t="s">
        <v>7067</v>
      </c>
      <c r="C3444" s="155">
        <v>160</v>
      </c>
      <c r="D3444" s="55" t="s">
        <v>3160</v>
      </c>
      <c r="E3444" s="90" t="s">
        <v>3144</v>
      </c>
      <c r="G3444" s="55" t="s">
        <v>3145</v>
      </c>
      <c r="H3444" s="55">
        <v>2003</v>
      </c>
      <c r="I3444" s="55">
        <v>1999</v>
      </c>
      <c r="J3444" s="55" t="s">
        <v>2688</v>
      </c>
      <c r="K3444" s="55" t="s">
        <v>3159</v>
      </c>
      <c r="L3444" s="55" t="s">
        <v>2750</v>
      </c>
      <c r="M3444" s="90">
        <f>-13-38/60</f>
        <v>-13.633333333333333</v>
      </c>
      <c r="N3444" s="90">
        <f>32+34/60</f>
        <v>32.56666666666667</v>
      </c>
      <c r="O3444" s="90">
        <v>1025</v>
      </c>
      <c r="R3444" s="55">
        <v>813</v>
      </c>
      <c r="S3444" s="90">
        <v>977</v>
      </c>
      <c r="U3444" s="55" t="s">
        <v>1805</v>
      </c>
      <c r="V3444" s="55" t="s">
        <v>1688</v>
      </c>
      <c r="Y3444" s="55" t="s">
        <v>3036</v>
      </c>
      <c r="Z3444" s="55" t="s">
        <v>1346</v>
      </c>
      <c r="AA3444" s="90" t="s">
        <v>1675</v>
      </c>
      <c r="AD3444" s="90">
        <v>1.61</v>
      </c>
      <c r="AE3444" s="90">
        <v>47</v>
      </c>
      <c r="AF3444" s="90">
        <v>10</v>
      </c>
      <c r="AH3444" s="55" t="s">
        <v>2618</v>
      </c>
      <c r="AI3444" s="168">
        <v>5.4</v>
      </c>
      <c r="AJ3444" s="90">
        <v>0.4</v>
      </c>
      <c r="AL3444" s="55">
        <f>0.39*0.4167</f>
        <v>0.16251300000000002</v>
      </c>
      <c r="AM3444" s="55" t="s">
        <v>3161</v>
      </c>
      <c r="AN3444" s="185" t="s">
        <v>2692</v>
      </c>
      <c r="AO3444" s="185" t="s">
        <v>5150</v>
      </c>
      <c r="AQ3444" s="55" t="s">
        <v>553</v>
      </c>
      <c r="AR3444" s="55" t="s">
        <v>1607</v>
      </c>
      <c r="AS3444" s="55" t="s">
        <v>132</v>
      </c>
      <c r="AU3444" s="181" t="s">
        <v>7494</v>
      </c>
      <c r="AV3444" s="185" t="s">
        <v>176</v>
      </c>
      <c r="AX3444" s="185" t="s">
        <v>176</v>
      </c>
      <c r="BE3444" s="226" t="s">
        <v>2700</v>
      </c>
      <c r="BF3444" s="191" t="s">
        <v>176</v>
      </c>
      <c r="BG3444" s="191" t="s">
        <v>176</v>
      </c>
      <c r="BH3444" s="226" t="s">
        <v>2700</v>
      </c>
      <c r="BI3444" s="191" t="s">
        <v>176</v>
      </c>
      <c r="BJ3444" s="55" t="s">
        <v>176</v>
      </c>
      <c r="BK3444" s="55" t="s">
        <v>6333</v>
      </c>
      <c r="BM3444" s="192" t="s">
        <v>3158</v>
      </c>
      <c r="BN3444" s="55">
        <v>3</v>
      </c>
      <c r="BO3444" s="55">
        <v>3</v>
      </c>
      <c r="BQ3444" s="55" t="s">
        <v>141</v>
      </c>
      <c r="GD3444" s="65">
        <v>394.78</v>
      </c>
      <c r="GE3444" s="65">
        <v>399</v>
      </c>
      <c r="GH3444" s="65" t="s">
        <v>3165</v>
      </c>
      <c r="GP3444" s="292" t="s">
        <v>7494</v>
      </c>
      <c r="JU3444" s="55" t="s">
        <v>3164</v>
      </c>
    </row>
    <row r="3445" spans="1:281" x14ac:dyDescent="0.25">
      <c r="A3445" s="55">
        <v>3444</v>
      </c>
      <c r="B3445" s="12" t="s">
        <v>7067</v>
      </c>
      <c r="C3445" s="155">
        <v>160</v>
      </c>
      <c r="D3445" s="55" t="s">
        <v>3160</v>
      </c>
      <c r="E3445" s="90" t="s">
        <v>3144</v>
      </c>
      <c r="G3445" s="55" t="s">
        <v>3145</v>
      </c>
      <c r="H3445" s="55">
        <v>2003</v>
      </c>
      <c r="I3445" s="55">
        <v>1999</v>
      </c>
      <c r="J3445" s="55" t="s">
        <v>2688</v>
      </c>
      <c r="K3445" s="55" t="s">
        <v>3159</v>
      </c>
      <c r="L3445" s="55" t="s">
        <v>2750</v>
      </c>
      <c r="M3445" s="90">
        <f>-13-38/60</f>
        <v>-13.633333333333333</v>
      </c>
      <c r="N3445" s="90">
        <f>32+34/60</f>
        <v>32.56666666666667</v>
      </c>
      <c r="O3445" s="90">
        <v>1025</v>
      </c>
      <c r="R3445" s="55">
        <v>813</v>
      </c>
      <c r="S3445" s="90">
        <v>977</v>
      </c>
      <c r="U3445" s="55" t="s">
        <v>1805</v>
      </c>
      <c r="V3445" s="55" t="s">
        <v>1688</v>
      </c>
      <c r="Y3445" s="55" t="s">
        <v>3036</v>
      </c>
      <c r="Z3445" s="55" t="s">
        <v>1346</v>
      </c>
      <c r="AA3445" s="90" t="s">
        <v>1675</v>
      </c>
      <c r="AD3445" s="90">
        <v>1.61</v>
      </c>
      <c r="AE3445" s="90">
        <v>47</v>
      </c>
      <c r="AF3445" s="90">
        <v>10</v>
      </c>
      <c r="AH3445" s="55" t="s">
        <v>2618</v>
      </c>
      <c r="AI3445" s="168">
        <v>5.4</v>
      </c>
      <c r="AJ3445" s="90">
        <v>0.4</v>
      </c>
      <c r="AL3445" s="55">
        <f>0.39*0.4167</f>
        <v>0.16251300000000002</v>
      </c>
      <c r="AM3445" s="55" t="s">
        <v>3161</v>
      </c>
      <c r="AN3445" s="185" t="s">
        <v>2692</v>
      </c>
      <c r="AO3445" s="185" t="s">
        <v>5150</v>
      </c>
      <c r="AQ3445" s="55" t="s">
        <v>553</v>
      </c>
      <c r="AR3445" s="55" t="s">
        <v>1607</v>
      </c>
      <c r="AS3445" s="55" t="s">
        <v>132</v>
      </c>
      <c r="AU3445" s="181" t="s">
        <v>7494</v>
      </c>
      <c r="AV3445" s="185" t="s">
        <v>176</v>
      </c>
      <c r="AX3445" s="185" t="s">
        <v>176</v>
      </c>
      <c r="BE3445" s="226" t="s">
        <v>2700</v>
      </c>
      <c r="BF3445" s="191" t="s">
        <v>176</v>
      </c>
      <c r="BG3445" s="191" t="s">
        <v>176</v>
      </c>
      <c r="BH3445" s="226" t="s">
        <v>2700</v>
      </c>
      <c r="BI3445" s="191" t="s">
        <v>176</v>
      </c>
      <c r="BJ3445" s="55" t="s">
        <v>176</v>
      </c>
      <c r="BK3445" s="55" t="s">
        <v>6333</v>
      </c>
      <c r="BM3445" s="192" t="s">
        <v>3158</v>
      </c>
      <c r="BN3445" s="55">
        <v>3</v>
      </c>
      <c r="BO3445" s="55">
        <v>3</v>
      </c>
      <c r="BQ3445" s="55" t="s">
        <v>141</v>
      </c>
      <c r="GD3445" s="65">
        <v>393</v>
      </c>
      <c r="GE3445" s="65">
        <v>396</v>
      </c>
      <c r="GH3445" s="65" t="s">
        <v>3165</v>
      </c>
      <c r="GP3445" s="292" t="s">
        <v>7494</v>
      </c>
      <c r="JU3445" s="55" t="s">
        <v>3164</v>
      </c>
    </row>
    <row r="3446" spans="1:281" x14ac:dyDescent="0.25">
      <c r="A3446" s="55">
        <v>3445</v>
      </c>
      <c r="B3446" s="12" t="s">
        <v>7067</v>
      </c>
      <c r="C3446" s="155">
        <v>160</v>
      </c>
      <c r="D3446" s="55" t="s">
        <v>3160</v>
      </c>
      <c r="E3446" s="90" t="s">
        <v>3144</v>
      </c>
      <c r="G3446" s="55" t="s">
        <v>3145</v>
      </c>
      <c r="H3446" s="55">
        <v>2003</v>
      </c>
      <c r="I3446" s="55">
        <v>1999</v>
      </c>
      <c r="J3446" s="55" t="s">
        <v>2688</v>
      </c>
      <c r="K3446" s="55" t="s">
        <v>3159</v>
      </c>
      <c r="L3446" s="55" t="s">
        <v>2750</v>
      </c>
      <c r="M3446" s="90">
        <f>-13-38/60</f>
        <v>-13.633333333333333</v>
      </c>
      <c r="N3446" s="90">
        <f>32+34/60</f>
        <v>32.56666666666667</v>
      </c>
      <c r="O3446" s="90">
        <v>1025</v>
      </c>
      <c r="R3446" s="55">
        <v>813</v>
      </c>
      <c r="S3446" s="90">
        <v>977</v>
      </c>
      <c r="U3446" s="55" t="s">
        <v>1805</v>
      </c>
      <c r="V3446" s="55" t="s">
        <v>1688</v>
      </c>
      <c r="Y3446" s="55" t="s">
        <v>3036</v>
      </c>
      <c r="Z3446" s="55" t="s">
        <v>1346</v>
      </c>
      <c r="AA3446" s="90" t="s">
        <v>1675</v>
      </c>
      <c r="AD3446" s="90">
        <v>1.61</v>
      </c>
      <c r="AE3446" s="90">
        <v>47</v>
      </c>
      <c r="AF3446" s="90">
        <v>10</v>
      </c>
      <c r="AH3446" s="55" t="s">
        <v>2618</v>
      </c>
      <c r="AI3446" s="168">
        <v>5.4</v>
      </c>
      <c r="AJ3446" s="90">
        <v>0.4</v>
      </c>
      <c r="AL3446" s="55">
        <f>0.39*0.4167</f>
        <v>0.16251300000000002</v>
      </c>
      <c r="AM3446" s="55" t="s">
        <v>3161</v>
      </c>
      <c r="AN3446" s="185" t="s">
        <v>2692</v>
      </c>
      <c r="AO3446" s="185" t="s">
        <v>5150</v>
      </c>
      <c r="AQ3446" s="55" t="s">
        <v>553</v>
      </c>
      <c r="AR3446" s="55" t="s">
        <v>1607</v>
      </c>
      <c r="AS3446" s="55" t="s">
        <v>132</v>
      </c>
      <c r="AU3446" s="181" t="s">
        <v>7494</v>
      </c>
      <c r="AV3446" s="185" t="s">
        <v>176</v>
      </c>
      <c r="AX3446" s="185" t="s">
        <v>176</v>
      </c>
      <c r="BE3446" s="226" t="s">
        <v>2700</v>
      </c>
      <c r="BF3446" s="191" t="s">
        <v>176</v>
      </c>
      <c r="BG3446" s="191" t="s">
        <v>176</v>
      </c>
      <c r="BH3446" s="226" t="s">
        <v>2700</v>
      </c>
      <c r="BI3446" s="191" t="s">
        <v>176</v>
      </c>
      <c r="BJ3446" s="55" t="s">
        <v>176</v>
      </c>
      <c r="BK3446" s="55" t="s">
        <v>6333</v>
      </c>
      <c r="BM3446" s="192" t="s">
        <v>3158</v>
      </c>
      <c r="BN3446" s="55">
        <v>3</v>
      </c>
      <c r="BO3446" s="55">
        <v>3</v>
      </c>
      <c r="BQ3446" s="55" t="s">
        <v>141</v>
      </c>
      <c r="GD3446" s="65">
        <v>390</v>
      </c>
      <c r="GE3446" s="65">
        <v>394</v>
      </c>
      <c r="GH3446" s="65" t="s">
        <v>3165</v>
      </c>
      <c r="GP3446" s="292" t="s">
        <v>7494</v>
      </c>
      <c r="JU3446" s="55" t="s">
        <v>3164</v>
      </c>
    </row>
    <row r="3447" spans="1:281" x14ac:dyDescent="0.25">
      <c r="A3447" s="55">
        <v>3446</v>
      </c>
      <c r="B3447" s="12" t="s">
        <v>7067</v>
      </c>
      <c r="C3447" s="155">
        <v>161</v>
      </c>
      <c r="D3447" s="55" t="s">
        <v>3173</v>
      </c>
      <c r="E3447" s="90" t="s">
        <v>3171</v>
      </c>
      <c r="G3447" s="55" t="s">
        <v>3172</v>
      </c>
      <c r="H3447" s="55">
        <v>2001</v>
      </c>
      <c r="I3447" s="55" t="s">
        <v>3181</v>
      </c>
      <c r="J3447" s="55" t="s">
        <v>2619</v>
      </c>
      <c r="K3447" s="55" t="s">
        <v>2833</v>
      </c>
      <c r="L3447" s="55" t="s">
        <v>2757</v>
      </c>
      <c r="M3447" s="90">
        <v>0.28999999999999998</v>
      </c>
      <c r="N3447" s="90">
        <f>34+44/60</f>
        <v>34.733333333333334</v>
      </c>
      <c r="O3447" s="90">
        <v>1420</v>
      </c>
      <c r="R3447" s="55">
        <f>1145+770</f>
        <v>1915</v>
      </c>
      <c r="S3447" s="90">
        <v>1800</v>
      </c>
      <c r="U3447" s="55" t="s">
        <v>1805</v>
      </c>
      <c r="V3447" s="55" t="s">
        <v>1816</v>
      </c>
      <c r="Y3447" s="55" t="s">
        <v>1920</v>
      </c>
      <c r="Z3447" s="55" t="s">
        <v>1349</v>
      </c>
      <c r="AA3447" s="90" t="s">
        <v>1677</v>
      </c>
      <c r="AE3447" s="90">
        <v>43</v>
      </c>
      <c r="AF3447" s="90">
        <v>30</v>
      </c>
      <c r="AH3447" s="55" t="s">
        <v>494</v>
      </c>
      <c r="AI3447" s="168">
        <v>5.3</v>
      </c>
      <c r="AJ3447" s="90">
        <v>1.71</v>
      </c>
      <c r="AM3447" s="55" t="s">
        <v>2908</v>
      </c>
      <c r="AN3447" s="185" t="s">
        <v>2841</v>
      </c>
      <c r="AO3447" s="185" t="s">
        <v>5150</v>
      </c>
      <c r="AQ3447" s="55" t="s">
        <v>553</v>
      </c>
      <c r="AR3447" s="55" t="s">
        <v>1607</v>
      </c>
      <c r="AS3447" s="55" t="s">
        <v>132</v>
      </c>
      <c r="AU3447" s="181" t="s">
        <v>7494</v>
      </c>
      <c r="AV3447" s="185" t="s">
        <v>176</v>
      </c>
      <c r="AX3447" s="185" t="s">
        <v>176</v>
      </c>
      <c r="BE3447" s="226" t="s">
        <v>3174</v>
      </c>
      <c r="BF3447" s="191" t="s">
        <v>176</v>
      </c>
      <c r="BG3447" s="191" t="s">
        <v>176</v>
      </c>
      <c r="BH3447" s="226" t="s">
        <v>3174</v>
      </c>
      <c r="BI3447" s="191" t="s">
        <v>176</v>
      </c>
      <c r="BJ3447" s="55" t="s">
        <v>176</v>
      </c>
      <c r="BK3447" s="55" t="s">
        <v>5976</v>
      </c>
      <c r="BM3447" s="192" t="s">
        <v>3166</v>
      </c>
      <c r="BN3447" s="55">
        <v>4</v>
      </c>
      <c r="BO3447" s="55">
        <v>4</v>
      </c>
      <c r="BQ3447" s="55" t="s">
        <v>141</v>
      </c>
      <c r="BV3447" s="55" t="s">
        <v>3179</v>
      </c>
      <c r="BW3447" s="65">
        <v>1240</v>
      </c>
      <c r="BX3447" s="65">
        <v>3300</v>
      </c>
      <c r="CA3447" s="65" t="s">
        <v>2861</v>
      </c>
      <c r="CB3447" s="66">
        <v>310</v>
      </c>
      <c r="CC3447" s="66">
        <v>1600</v>
      </c>
      <c r="GP3447" s="292" t="s">
        <v>7494</v>
      </c>
    </row>
    <row r="3448" spans="1:281" x14ac:dyDescent="0.25">
      <c r="A3448" s="55">
        <v>3447</v>
      </c>
      <c r="B3448" s="12" t="s">
        <v>7067</v>
      </c>
      <c r="C3448" s="155">
        <v>161</v>
      </c>
      <c r="D3448" s="55" t="s">
        <v>3173</v>
      </c>
      <c r="E3448" s="90" t="s">
        <v>3171</v>
      </c>
      <c r="G3448" s="55" t="s">
        <v>3172</v>
      </c>
      <c r="H3448" s="55">
        <v>2001</v>
      </c>
      <c r="I3448" s="55" t="s">
        <v>3181</v>
      </c>
      <c r="J3448" s="55" t="s">
        <v>2619</v>
      </c>
      <c r="K3448" s="55" t="s">
        <v>2833</v>
      </c>
      <c r="L3448" s="55" t="s">
        <v>2757</v>
      </c>
      <c r="M3448" s="90">
        <v>0.28999999999999998</v>
      </c>
      <c r="N3448" s="90">
        <f>34+44/60</f>
        <v>34.733333333333334</v>
      </c>
      <c r="O3448" s="90">
        <v>1420</v>
      </c>
      <c r="R3448" s="55">
        <f>1145+770</f>
        <v>1915</v>
      </c>
      <c r="S3448" s="90">
        <v>1800</v>
      </c>
      <c r="U3448" s="55" t="s">
        <v>1805</v>
      </c>
      <c r="V3448" s="55" t="s">
        <v>1816</v>
      </c>
      <c r="Y3448" s="55" t="s">
        <v>1920</v>
      </c>
      <c r="Z3448" s="55" t="s">
        <v>1349</v>
      </c>
      <c r="AA3448" s="90" t="s">
        <v>1677</v>
      </c>
      <c r="AE3448" s="90">
        <v>43</v>
      </c>
      <c r="AF3448" s="90">
        <v>30</v>
      </c>
      <c r="AH3448" s="55" t="s">
        <v>494</v>
      </c>
      <c r="AI3448" s="168">
        <v>5.3</v>
      </c>
      <c r="AJ3448" s="90">
        <v>1.71</v>
      </c>
      <c r="AM3448" s="55" t="s">
        <v>2908</v>
      </c>
      <c r="AN3448" s="185" t="s">
        <v>2841</v>
      </c>
      <c r="AO3448" s="185" t="s">
        <v>5150</v>
      </c>
      <c r="AQ3448" s="55" t="s">
        <v>553</v>
      </c>
      <c r="AR3448" s="55" t="s">
        <v>1607</v>
      </c>
      <c r="AS3448" s="55" t="s">
        <v>132</v>
      </c>
      <c r="AU3448" s="181" t="s">
        <v>7494</v>
      </c>
      <c r="AV3448" s="185" t="s">
        <v>176</v>
      </c>
      <c r="AX3448" s="185" t="s">
        <v>176</v>
      </c>
      <c r="BE3448" s="226" t="s">
        <v>3176</v>
      </c>
      <c r="BF3448" s="191" t="s">
        <v>176</v>
      </c>
      <c r="BG3448" s="191" t="s">
        <v>479</v>
      </c>
      <c r="BH3448" s="226" t="s">
        <v>3176</v>
      </c>
      <c r="BI3448" s="191" t="s">
        <v>479</v>
      </c>
      <c r="BJ3448" s="55" t="s">
        <v>176</v>
      </c>
      <c r="BK3448" s="55" t="s">
        <v>5976</v>
      </c>
      <c r="BM3448" s="192" t="s">
        <v>3166</v>
      </c>
      <c r="BN3448" s="55">
        <v>4</v>
      </c>
      <c r="BO3448" s="55">
        <v>4</v>
      </c>
      <c r="BQ3448" s="55" t="s">
        <v>141</v>
      </c>
      <c r="BV3448" s="55" t="s">
        <v>3179</v>
      </c>
      <c r="BW3448" s="65">
        <v>3260</v>
      </c>
      <c r="BX3448" s="65">
        <v>6230</v>
      </c>
      <c r="CA3448" s="65" t="s">
        <v>2861</v>
      </c>
      <c r="CB3448" s="66">
        <v>670</v>
      </c>
      <c r="CC3448" s="66">
        <v>2110</v>
      </c>
      <c r="GP3448" s="292" t="s">
        <v>7494</v>
      </c>
    </row>
    <row r="3449" spans="1:281" x14ac:dyDescent="0.25">
      <c r="A3449" s="55">
        <v>3448</v>
      </c>
      <c r="B3449" s="12" t="s">
        <v>7067</v>
      </c>
      <c r="C3449" s="155">
        <v>161</v>
      </c>
      <c r="D3449" s="55" t="s">
        <v>3173</v>
      </c>
      <c r="E3449" s="90" t="s">
        <v>3171</v>
      </c>
      <c r="G3449" s="55" t="s">
        <v>3172</v>
      </c>
      <c r="H3449" s="55">
        <v>2001</v>
      </c>
      <c r="I3449" s="55" t="s">
        <v>3181</v>
      </c>
      <c r="J3449" s="55" t="s">
        <v>2619</v>
      </c>
      <c r="K3449" s="55" t="s">
        <v>2833</v>
      </c>
      <c r="L3449" s="55" t="s">
        <v>2757</v>
      </c>
      <c r="M3449" s="90">
        <v>0.28999999999999998</v>
      </c>
      <c r="N3449" s="90">
        <f>34+44/60</f>
        <v>34.733333333333334</v>
      </c>
      <c r="O3449" s="90">
        <v>1420</v>
      </c>
      <c r="R3449" s="55">
        <f>1145+770</f>
        <v>1915</v>
      </c>
      <c r="S3449" s="90">
        <v>1800</v>
      </c>
      <c r="U3449" s="55" t="s">
        <v>1805</v>
      </c>
      <c r="V3449" s="55" t="s">
        <v>1816</v>
      </c>
      <c r="Y3449" s="55" t="s">
        <v>1920</v>
      </c>
      <c r="Z3449" s="55" t="s">
        <v>1349</v>
      </c>
      <c r="AA3449" s="90" t="s">
        <v>1677</v>
      </c>
      <c r="AE3449" s="90">
        <v>43</v>
      </c>
      <c r="AF3449" s="90">
        <v>30</v>
      </c>
      <c r="AH3449" s="55" t="s">
        <v>494</v>
      </c>
      <c r="AI3449" s="168">
        <v>5.3</v>
      </c>
      <c r="AJ3449" s="90">
        <v>1.71</v>
      </c>
      <c r="AM3449" s="55" t="s">
        <v>2908</v>
      </c>
      <c r="AN3449" s="185" t="s">
        <v>2841</v>
      </c>
      <c r="AO3449" s="185" t="s">
        <v>5150</v>
      </c>
      <c r="AQ3449" s="55" t="s">
        <v>553</v>
      </c>
      <c r="AR3449" s="55" t="s">
        <v>1607</v>
      </c>
      <c r="AS3449" s="55" t="s">
        <v>132</v>
      </c>
      <c r="AU3449" s="181" t="s">
        <v>7494</v>
      </c>
      <c r="AV3449" s="185" t="s">
        <v>176</v>
      </c>
      <c r="AX3449" s="185" t="s">
        <v>176</v>
      </c>
      <c r="BE3449" s="226" t="s">
        <v>3177</v>
      </c>
      <c r="BF3449" s="191" t="s">
        <v>479</v>
      </c>
      <c r="BG3449" s="191" t="s">
        <v>479</v>
      </c>
      <c r="BH3449" s="226" t="s">
        <v>3177</v>
      </c>
      <c r="BI3449" s="191" t="s">
        <v>479</v>
      </c>
      <c r="BJ3449" s="55" t="s">
        <v>176</v>
      </c>
      <c r="BK3449" s="55" t="s">
        <v>5976</v>
      </c>
      <c r="BM3449" s="192" t="s">
        <v>3166</v>
      </c>
      <c r="BN3449" s="55">
        <v>4</v>
      </c>
      <c r="BO3449" s="55">
        <v>4</v>
      </c>
      <c r="BQ3449" s="55" t="s">
        <v>141</v>
      </c>
      <c r="BV3449" s="55" t="s">
        <v>3179</v>
      </c>
      <c r="BW3449" s="65">
        <v>1800</v>
      </c>
      <c r="BX3449" s="65">
        <v>3720</v>
      </c>
      <c r="CA3449" s="65" t="s">
        <v>2861</v>
      </c>
      <c r="CB3449" s="66">
        <v>340</v>
      </c>
      <c r="CC3449" s="66">
        <v>1260</v>
      </c>
      <c r="GP3449" s="292" t="s">
        <v>7494</v>
      </c>
    </row>
    <row r="3450" spans="1:281" x14ac:dyDescent="0.25">
      <c r="A3450" s="55">
        <v>3449</v>
      </c>
      <c r="B3450" s="12" t="s">
        <v>7067</v>
      </c>
      <c r="C3450" s="155">
        <v>161</v>
      </c>
      <c r="D3450" s="55" t="s">
        <v>3173</v>
      </c>
      <c r="E3450" s="90" t="s">
        <v>3171</v>
      </c>
      <c r="G3450" s="55" t="s">
        <v>3172</v>
      </c>
      <c r="H3450" s="55">
        <v>2001</v>
      </c>
      <c r="I3450" s="55" t="s">
        <v>3181</v>
      </c>
      <c r="J3450" s="55" t="s">
        <v>2619</v>
      </c>
      <c r="K3450" s="55" t="s">
        <v>2833</v>
      </c>
      <c r="L3450" s="55" t="s">
        <v>2757</v>
      </c>
      <c r="M3450" s="90">
        <v>0.28999999999999998</v>
      </c>
      <c r="N3450" s="90">
        <f>34+44/60</f>
        <v>34.733333333333334</v>
      </c>
      <c r="O3450" s="90">
        <v>1420</v>
      </c>
      <c r="R3450" s="55">
        <f>1145+770</f>
        <v>1915</v>
      </c>
      <c r="S3450" s="90">
        <v>1800</v>
      </c>
      <c r="U3450" s="55" t="s">
        <v>1805</v>
      </c>
      <c r="V3450" s="55" t="s">
        <v>1816</v>
      </c>
      <c r="Y3450" s="55" t="s">
        <v>1920</v>
      </c>
      <c r="Z3450" s="55" t="s">
        <v>1349</v>
      </c>
      <c r="AA3450" s="90" t="s">
        <v>1677</v>
      </c>
      <c r="AE3450" s="90">
        <v>43</v>
      </c>
      <c r="AF3450" s="90">
        <v>30</v>
      </c>
      <c r="AH3450" s="55" t="s">
        <v>494</v>
      </c>
      <c r="AI3450" s="168">
        <v>5.3</v>
      </c>
      <c r="AJ3450" s="90">
        <v>1.71</v>
      </c>
      <c r="AM3450" s="55" t="s">
        <v>2908</v>
      </c>
      <c r="AN3450" s="185" t="s">
        <v>2841</v>
      </c>
      <c r="AO3450" s="185" t="s">
        <v>5150</v>
      </c>
      <c r="AQ3450" s="55" t="s">
        <v>553</v>
      </c>
      <c r="AR3450" s="55" t="s">
        <v>1607</v>
      </c>
      <c r="AS3450" s="55" t="s">
        <v>132</v>
      </c>
      <c r="AU3450" s="181" t="s">
        <v>7494</v>
      </c>
      <c r="AV3450" s="185" t="s">
        <v>176</v>
      </c>
      <c r="AX3450" s="185" t="s">
        <v>176</v>
      </c>
      <c r="BE3450" s="226" t="s">
        <v>3178</v>
      </c>
      <c r="BF3450" s="191" t="s">
        <v>479</v>
      </c>
      <c r="BG3450" s="191" t="s">
        <v>479</v>
      </c>
      <c r="BH3450" s="226" t="s">
        <v>3178</v>
      </c>
      <c r="BI3450" s="191" t="s">
        <v>479</v>
      </c>
      <c r="BJ3450" s="55" t="s">
        <v>176</v>
      </c>
      <c r="BK3450" s="55" t="s">
        <v>5976</v>
      </c>
      <c r="BM3450" s="192" t="s">
        <v>3166</v>
      </c>
      <c r="BN3450" s="55">
        <v>4</v>
      </c>
      <c r="BO3450" s="55">
        <v>4</v>
      </c>
      <c r="BQ3450" s="55" t="s">
        <v>141</v>
      </c>
      <c r="BV3450" s="55" t="s">
        <v>3179</v>
      </c>
      <c r="BW3450" s="65">
        <v>5250</v>
      </c>
      <c r="BX3450" s="65">
        <v>6870</v>
      </c>
      <c r="CA3450" s="65" t="s">
        <v>2861</v>
      </c>
      <c r="CB3450" s="66">
        <v>750</v>
      </c>
      <c r="CC3450" s="66">
        <v>1970</v>
      </c>
      <c r="GP3450" s="292" t="s">
        <v>7494</v>
      </c>
    </row>
    <row r="3451" spans="1:281" x14ac:dyDescent="0.25">
      <c r="A3451" s="55">
        <v>3450</v>
      </c>
      <c r="B3451" s="12" t="s">
        <v>7067</v>
      </c>
      <c r="C3451" s="155">
        <v>161</v>
      </c>
      <c r="D3451" s="55" t="s">
        <v>3173</v>
      </c>
      <c r="E3451" s="90" t="s">
        <v>3171</v>
      </c>
      <c r="G3451" s="55" t="s">
        <v>3172</v>
      </c>
      <c r="H3451" s="55">
        <v>2001</v>
      </c>
      <c r="I3451" s="55" t="s">
        <v>3181</v>
      </c>
      <c r="J3451" s="55" t="s">
        <v>2619</v>
      </c>
      <c r="K3451" s="55" t="s">
        <v>2833</v>
      </c>
      <c r="L3451" s="55" t="s">
        <v>2757</v>
      </c>
      <c r="M3451" s="90">
        <v>0.28999999999999998</v>
      </c>
      <c r="N3451" s="90">
        <f>34+44/60</f>
        <v>34.733333333333334</v>
      </c>
      <c r="O3451" s="90">
        <v>1420</v>
      </c>
      <c r="R3451" s="55">
        <v>1915</v>
      </c>
      <c r="S3451" s="90">
        <v>1800</v>
      </c>
      <c r="U3451" s="55" t="s">
        <v>1805</v>
      </c>
      <c r="V3451" s="55" t="s">
        <v>1816</v>
      </c>
      <c r="Y3451" s="55" t="s">
        <v>1920</v>
      </c>
      <c r="Z3451" s="55" t="s">
        <v>1349</v>
      </c>
      <c r="AA3451" s="90" t="s">
        <v>1677</v>
      </c>
      <c r="AE3451" s="90">
        <v>43</v>
      </c>
      <c r="AF3451" s="90">
        <v>30</v>
      </c>
      <c r="AH3451" s="55" t="s">
        <v>494</v>
      </c>
      <c r="AI3451" s="168">
        <v>5.3</v>
      </c>
      <c r="AJ3451" s="90">
        <v>1.71</v>
      </c>
      <c r="AM3451" s="55" t="s">
        <v>2908</v>
      </c>
      <c r="AN3451" s="185" t="s">
        <v>2841</v>
      </c>
      <c r="AO3451" s="185" t="s">
        <v>5150</v>
      </c>
      <c r="AQ3451" s="55" t="s">
        <v>553</v>
      </c>
      <c r="AR3451" s="55" t="s">
        <v>1607</v>
      </c>
      <c r="AS3451" s="55" t="s">
        <v>132</v>
      </c>
      <c r="AU3451" s="181" t="s">
        <v>7494</v>
      </c>
      <c r="AV3451" s="185" t="s">
        <v>176</v>
      </c>
      <c r="AX3451" s="185" t="s">
        <v>176</v>
      </c>
      <c r="BE3451" s="226" t="s">
        <v>3174</v>
      </c>
      <c r="BF3451" s="191" t="s">
        <v>176</v>
      </c>
      <c r="BG3451" s="191" t="s">
        <v>176</v>
      </c>
      <c r="BH3451" s="226" t="s">
        <v>3174</v>
      </c>
      <c r="BI3451" s="191" t="s">
        <v>176</v>
      </c>
      <c r="BJ3451" s="55" t="s">
        <v>176</v>
      </c>
      <c r="BK3451" s="55" t="s">
        <v>5976</v>
      </c>
      <c r="BM3451" s="192" t="s">
        <v>3166</v>
      </c>
      <c r="BN3451" s="55">
        <v>4</v>
      </c>
      <c r="BO3451" s="55">
        <v>4</v>
      </c>
      <c r="BQ3451" s="55" t="s">
        <v>141</v>
      </c>
      <c r="BV3451" s="55" t="s">
        <v>3180</v>
      </c>
      <c r="BW3451" s="65">
        <v>530</v>
      </c>
      <c r="BX3451" s="65">
        <v>900</v>
      </c>
      <c r="CA3451" s="65" t="s">
        <v>2861</v>
      </c>
      <c r="CB3451" s="66">
        <v>480</v>
      </c>
      <c r="CC3451" s="66">
        <v>490</v>
      </c>
      <c r="GP3451" s="292" t="s">
        <v>7494</v>
      </c>
    </row>
    <row r="3452" spans="1:281" x14ac:dyDescent="0.25">
      <c r="A3452" s="55">
        <v>3451</v>
      </c>
      <c r="B3452" s="12" t="s">
        <v>7067</v>
      </c>
      <c r="C3452" s="155">
        <v>161</v>
      </c>
      <c r="D3452" s="55" t="s">
        <v>3173</v>
      </c>
      <c r="E3452" s="90" t="s">
        <v>3171</v>
      </c>
      <c r="G3452" s="55" t="s">
        <v>3172</v>
      </c>
      <c r="H3452" s="55">
        <v>2001</v>
      </c>
      <c r="I3452" s="55" t="s">
        <v>3181</v>
      </c>
      <c r="J3452" s="55" t="s">
        <v>2619</v>
      </c>
      <c r="K3452" s="55" t="s">
        <v>2833</v>
      </c>
      <c r="L3452" s="55" t="s">
        <v>2757</v>
      </c>
      <c r="M3452" s="90">
        <v>0.28999999999999998</v>
      </c>
      <c r="N3452" s="90">
        <f>34+44/60</f>
        <v>34.733333333333334</v>
      </c>
      <c r="O3452" s="90">
        <v>1420</v>
      </c>
      <c r="R3452" s="55">
        <v>1915</v>
      </c>
      <c r="S3452" s="90">
        <v>1800</v>
      </c>
      <c r="U3452" s="55" t="s">
        <v>1805</v>
      </c>
      <c r="V3452" s="55" t="s">
        <v>1816</v>
      </c>
      <c r="Y3452" s="55" t="s">
        <v>1920</v>
      </c>
      <c r="Z3452" s="55" t="s">
        <v>1349</v>
      </c>
      <c r="AA3452" s="90" t="s">
        <v>1677</v>
      </c>
      <c r="AE3452" s="90">
        <v>43</v>
      </c>
      <c r="AF3452" s="90">
        <v>30</v>
      </c>
      <c r="AH3452" s="55" t="s">
        <v>494</v>
      </c>
      <c r="AI3452" s="168">
        <v>5.3</v>
      </c>
      <c r="AJ3452" s="90">
        <v>1.71</v>
      </c>
      <c r="AM3452" s="55" t="s">
        <v>2908</v>
      </c>
      <c r="AN3452" s="185" t="s">
        <v>2841</v>
      </c>
      <c r="AO3452" s="185" t="s">
        <v>5150</v>
      </c>
      <c r="AQ3452" s="55" t="s">
        <v>553</v>
      </c>
      <c r="AR3452" s="55" t="s">
        <v>1607</v>
      </c>
      <c r="AS3452" s="55" t="s">
        <v>132</v>
      </c>
      <c r="AU3452" s="181" t="s">
        <v>7494</v>
      </c>
      <c r="AV3452" s="185" t="s">
        <v>176</v>
      </c>
      <c r="AX3452" s="185" t="s">
        <v>176</v>
      </c>
      <c r="BE3452" s="226" t="s">
        <v>3176</v>
      </c>
      <c r="BF3452" s="191" t="s">
        <v>176</v>
      </c>
      <c r="BG3452" s="191" t="s">
        <v>479</v>
      </c>
      <c r="BH3452" s="226" t="s">
        <v>3176</v>
      </c>
      <c r="BI3452" s="191" t="s">
        <v>479</v>
      </c>
      <c r="BJ3452" s="55" t="s">
        <v>176</v>
      </c>
      <c r="BK3452" s="55" t="s">
        <v>5976</v>
      </c>
      <c r="BM3452" s="192" t="s">
        <v>3166</v>
      </c>
      <c r="BN3452" s="55">
        <v>4</v>
      </c>
      <c r="BO3452" s="55">
        <v>4</v>
      </c>
      <c r="BQ3452" s="55" t="s">
        <v>141</v>
      </c>
      <c r="BV3452" s="55" t="s">
        <v>3180</v>
      </c>
      <c r="BW3452" s="65">
        <v>1070</v>
      </c>
      <c r="BX3452" s="65">
        <v>2070</v>
      </c>
      <c r="CA3452" s="65" t="s">
        <v>2861</v>
      </c>
      <c r="CB3452" s="66">
        <v>890</v>
      </c>
      <c r="CC3452" s="66">
        <v>1800</v>
      </c>
      <c r="GP3452" s="292" t="s">
        <v>7494</v>
      </c>
    </row>
    <row r="3453" spans="1:281" x14ac:dyDescent="0.25">
      <c r="A3453" s="55">
        <v>3452</v>
      </c>
      <c r="B3453" s="12" t="s">
        <v>7067</v>
      </c>
      <c r="C3453" s="155">
        <v>161</v>
      </c>
      <c r="D3453" s="55" t="s">
        <v>3173</v>
      </c>
      <c r="E3453" s="90" t="s">
        <v>3171</v>
      </c>
      <c r="G3453" s="55" t="s">
        <v>3172</v>
      </c>
      <c r="H3453" s="55">
        <v>2001</v>
      </c>
      <c r="I3453" s="55" t="s">
        <v>3181</v>
      </c>
      <c r="J3453" s="55" t="s">
        <v>2619</v>
      </c>
      <c r="K3453" s="55" t="s">
        <v>2833</v>
      </c>
      <c r="L3453" s="55" t="s">
        <v>2757</v>
      </c>
      <c r="M3453" s="90">
        <v>0.28999999999999998</v>
      </c>
      <c r="N3453" s="90">
        <f>34+44/60</f>
        <v>34.733333333333334</v>
      </c>
      <c r="O3453" s="90">
        <v>1420</v>
      </c>
      <c r="R3453" s="55">
        <v>1915</v>
      </c>
      <c r="S3453" s="90">
        <v>1800</v>
      </c>
      <c r="U3453" s="55" t="s">
        <v>1805</v>
      </c>
      <c r="V3453" s="55" t="s">
        <v>1816</v>
      </c>
      <c r="Y3453" s="55" t="s">
        <v>1920</v>
      </c>
      <c r="Z3453" s="55" t="s">
        <v>1349</v>
      </c>
      <c r="AA3453" s="90" t="s">
        <v>1677</v>
      </c>
      <c r="AE3453" s="90">
        <v>43</v>
      </c>
      <c r="AF3453" s="90">
        <v>30</v>
      </c>
      <c r="AH3453" s="55" t="s">
        <v>494</v>
      </c>
      <c r="AI3453" s="168">
        <v>5.3</v>
      </c>
      <c r="AJ3453" s="90">
        <v>1.71</v>
      </c>
      <c r="AM3453" s="55" t="s">
        <v>2908</v>
      </c>
      <c r="AN3453" s="185" t="s">
        <v>2841</v>
      </c>
      <c r="AO3453" s="185" t="s">
        <v>5150</v>
      </c>
      <c r="AQ3453" s="55" t="s">
        <v>553</v>
      </c>
      <c r="AR3453" s="55" t="s">
        <v>1607</v>
      </c>
      <c r="AS3453" s="55" t="s">
        <v>132</v>
      </c>
      <c r="AU3453" s="181" t="s">
        <v>7494</v>
      </c>
      <c r="AV3453" s="185" t="s">
        <v>176</v>
      </c>
      <c r="AX3453" s="185" t="s">
        <v>176</v>
      </c>
      <c r="BE3453" s="226" t="s">
        <v>3177</v>
      </c>
      <c r="BF3453" s="191" t="s">
        <v>479</v>
      </c>
      <c r="BG3453" s="191" t="s">
        <v>479</v>
      </c>
      <c r="BH3453" s="226" t="s">
        <v>3177</v>
      </c>
      <c r="BI3453" s="191" t="s">
        <v>479</v>
      </c>
      <c r="BJ3453" s="55" t="s">
        <v>176</v>
      </c>
      <c r="BK3453" s="55" t="s">
        <v>5976</v>
      </c>
      <c r="BM3453" s="192" t="s">
        <v>3166</v>
      </c>
      <c r="BN3453" s="55">
        <v>4</v>
      </c>
      <c r="BO3453" s="55">
        <v>4</v>
      </c>
      <c r="BQ3453" s="55" t="s">
        <v>141</v>
      </c>
      <c r="BV3453" s="55" t="s">
        <v>3180</v>
      </c>
      <c r="BW3453" s="65">
        <v>750</v>
      </c>
      <c r="BX3453" s="65">
        <v>670</v>
      </c>
      <c r="CA3453" s="65" t="s">
        <v>2861</v>
      </c>
      <c r="CB3453" s="66">
        <v>200</v>
      </c>
      <c r="CC3453" s="66">
        <v>380</v>
      </c>
      <c r="GP3453" s="292" t="s">
        <v>7494</v>
      </c>
    </row>
    <row r="3454" spans="1:281" x14ac:dyDescent="0.25">
      <c r="A3454" s="55">
        <v>3453</v>
      </c>
      <c r="B3454" s="12" t="s">
        <v>7067</v>
      </c>
      <c r="C3454" s="155">
        <v>161</v>
      </c>
      <c r="D3454" s="55" t="s">
        <v>3173</v>
      </c>
      <c r="E3454" s="90" t="s">
        <v>3171</v>
      </c>
      <c r="G3454" s="55" t="s">
        <v>3172</v>
      </c>
      <c r="H3454" s="55">
        <v>2001</v>
      </c>
      <c r="I3454" s="55" t="s">
        <v>3181</v>
      </c>
      <c r="J3454" s="55" t="s">
        <v>2619</v>
      </c>
      <c r="K3454" s="55" t="s">
        <v>2833</v>
      </c>
      <c r="L3454" s="55" t="s">
        <v>2757</v>
      </c>
      <c r="M3454" s="90">
        <v>0.28999999999999998</v>
      </c>
      <c r="N3454" s="90">
        <f>34+44/60</f>
        <v>34.733333333333334</v>
      </c>
      <c r="O3454" s="90">
        <v>1420</v>
      </c>
      <c r="R3454" s="55">
        <v>1915</v>
      </c>
      <c r="S3454" s="90">
        <v>1800</v>
      </c>
      <c r="U3454" s="55" t="s">
        <v>1805</v>
      </c>
      <c r="V3454" s="55" t="s">
        <v>1816</v>
      </c>
      <c r="Y3454" s="55" t="s">
        <v>1920</v>
      </c>
      <c r="Z3454" s="55" t="s">
        <v>1349</v>
      </c>
      <c r="AA3454" s="90" t="s">
        <v>1677</v>
      </c>
      <c r="AE3454" s="90">
        <v>43</v>
      </c>
      <c r="AF3454" s="90">
        <v>30</v>
      </c>
      <c r="AH3454" s="55" t="s">
        <v>494</v>
      </c>
      <c r="AI3454" s="168">
        <v>5.3</v>
      </c>
      <c r="AJ3454" s="90">
        <v>1.71</v>
      </c>
      <c r="AM3454" s="55" t="s">
        <v>2908</v>
      </c>
      <c r="AN3454" s="185" t="s">
        <v>2841</v>
      </c>
      <c r="AO3454" s="185" t="s">
        <v>5150</v>
      </c>
      <c r="AQ3454" s="55" t="s">
        <v>553</v>
      </c>
      <c r="AR3454" s="55" t="s">
        <v>1607</v>
      </c>
      <c r="AS3454" s="55" t="s">
        <v>132</v>
      </c>
      <c r="AU3454" s="181" t="s">
        <v>7494</v>
      </c>
      <c r="AV3454" s="185" t="s">
        <v>176</v>
      </c>
      <c r="AX3454" s="185" t="s">
        <v>176</v>
      </c>
      <c r="BE3454" s="226" t="s">
        <v>3178</v>
      </c>
      <c r="BF3454" s="191" t="s">
        <v>479</v>
      </c>
      <c r="BG3454" s="191" t="s">
        <v>479</v>
      </c>
      <c r="BH3454" s="226" t="s">
        <v>3178</v>
      </c>
      <c r="BI3454" s="191" t="s">
        <v>479</v>
      </c>
      <c r="BJ3454" s="55" t="s">
        <v>176</v>
      </c>
      <c r="BK3454" s="55" t="s">
        <v>5976</v>
      </c>
      <c r="BM3454" s="192" t="s">
        <v>3166</v>
      </c>
      <c r="BN3454" s="55">
        <v>4</v>
      </c>
      <c r="BO3454" s="55">
        <v>4</v>
      </c>
      <c r="BQ3454" s="55" t="s">
        <v>141</v>
      </c>
      <c r="BV3454" s="55" t="s">
        <v>3180</v>
      </c>
      <c r="BW3454" s="65">
        <v>2050</v>
      </c>
      <c r="BX3454" s="65">
        <v>2330</v>
      </c>
      <c r="CA3454" s="65" t="s">
        <v>2861</v>
      </c>
      <c r="CB3454" s="66">
        <v>1500</v>
      </c>
      <c r="CC3454" s="66">
        <v>2420</v>
      </c>
      <c r="GP3454" s="292" t="s">
        <v>7494</v>
      </c>
    </row>
    <row r="3455" spans="1:281" x14ac:dyDescent="0.25">
      <c r="A3455" s="55">
        <v>3454</v>
      </c>
      <c r="B3455" s="12" t="s">
        <v>7067</v>
      </c>
      <c r="C3455" s="155">
        <v>161</v>
      </c>
      <c r="D3455" s="55" t="s">
        <v>3182</v>
      </c>
      <c r="E3455" s="90" t="s">
        <v>3171</v>
      </c>
      <c r="G3455" s="55" t="s">
        <v>3172</v>
      </c>
      <c r="H3455" s="55">
        <v>2001</v>
      </c>
      <c r="I3455" s="55" t="s">
        <v>1934</v>
      </c>
      <c r="J3455" s="55" t="s">
        <v>2619</v>
      </c>
      <c r="K3455" s="55" t="s">
        <v>3134</v>
      </c>
      <c r="L3455" s="55" t="s">
        <v>2757</v>
      </c>
      <c r="M3455" s="90">
        <v>-7.0000000000000001E-3</v>
      </c>
      <c r="N3455" s="90">
        <v>34.6</v>
      </c>
      <c r="O3455" s="90">
        <v>1523.8</v>
      </c>
      <c r="R3455" s="55">
        <f>1145+770</f>
        <v>1915</v>
      </c>
      <c r="S3455" s="90">
        <v>1800</v>
      </c>
      <c r="U3455" s="55" t="s">
        <v>1688</v>
      </c>
      <c r="V3455" s="55" t="s">
        <v>1816</v>
      </c>
      <c r="Y3455" s="55" t="s">
        <v>1920</v>
      </c>
      <c r="Z3455" s="55" t="s">
        <v>1349</v>
      </c>
      <c r="AA3455" s="90" t="s">
        <v>1677</v>
      </c>
      <c r="AE3455" s="90">
        <v>43</v>
      </c>
      <c r="AF3455" s="90">
        <v>30</v>
      </c>
      <c r="AH3455" s="55" t="s">
        <v>494</v>
      </c>
      <c r="AI3455" s="168">
        <v>5.3</v>
      </c>
      <c r="AJ3455" s="90">
        <v>1.71</v>
      </c>
      <c r="AM3455" s="55" t="s">
        <v>2908</v>
      </c>
      <c r="AN3455" s="185" t="s">
        <v>2841</v>
      </c>
      <c r="AO3455" s="185" t="s">
        <v>5150</v>
      </c>
      <c r="AQ3455" s="55" t="s">
        <v>553</v>
      </c>
      <c r="AR3455" s="55" t="s">
        <v>1607</v>
      </c>
      <c r="AS3455" s="55" t="s">
        <v>132</v>
      </c>
      <c r="AU3455" s="181" t="s">
        <v>7494</v>
      </c>
      <c r="AV3455" s="185" t="s">
        <v>176</v>
      </c>
      <c r="AX3455" s="185" t="s">
        <v>176</v>
      </c>
      <c r="BE3455" s="226" t="s">
        <v>3174</v>
      </c>
      <c r="BF3455" s="191" t="s">
        <v>176</v>
      </c>
      <c r="BG3455" s="191" t="s">
        <v>176</v>
      </c>
      <c r="BH3455" s="226" t="s">
        <v>3174</v>
      </c>
      <c r="BI3455" s="191" t="s">
        <v>176</v>
      </c>
      <c r="BJ3455" s="55" t="s">
        <v>176</v>
      </c>
      <c r="BK3455" s="55" t="s">
        <v>5976</v>
      </c>
      <c r="BM3455" s="192" t="s">
        <v>3166</v>
      </c>
      <c r="BN3455" s="55">
        <v>4</v>
      </c>
      <c r="BO3455" s="55">
        <v>4</v>
      </c>
      <c r="BQ3455" s="55" t="s">
        <v>141</v>
      </c>
      <c r="BV3455" s="55" t="s">
        <v>3183</v>
      </c>
      <c r="BW3455" s="65">
        <v>2080</v>
      </c>
      <c r="BX3455" s="65">
        <v>2370</v>
      </c>
      <c r="CA3455" s="65" t="s">
        <v>2861</v>
      </c>
      <c r="CB3455" s="66">
        <v>1160</v>
      </c>
      <c r="CC3455" s="66">
        <v>1220</v>
      </c>
      <c r="GP3455" s="292" t="s">
        <v>7494</v>
      </c>
    </row>
    <row r="3456" spans="1:281" x14ac:dyDescent="0.25">
      <c r="A3456" s="55">
        <v>3455</v>
      </c>
      <c r="B3456" s="12" t="s">
        <v>7067</v>
      </c>
      <c r="C3456" s="155">
        <v>161</v>
      </c>
      <c r="D3456" s="55" t="s">
        <v>3182</v>
      </c>
      <c r="E3456" s="90" t="s">
        <v>3171</v>
      </c>
      <c r="G3456" s="55" t="s">
        <v>3172</v>
      </c>
      <c r="H3456" s="55">
        <v>2001</v>
      </c>
      <c r="I3456" s="55" t="s">
        <v>1934</v>
      </c>
      <c r="J3456" s="55" t="s">
        <v>2619</v>
      </c>
      <c r="K3456" s="55" t="s">
        <v>3134</v>
      </c>
      <c r="L3456" s="55" t="s">
        <v>2757</v>
      </c>
      <c r="M3456" s="90">
        <v>-7.0000000000000001E-3</v>
      </c>
      <c r="N3456" s="90">
        <v>34.6</v>
      </c>
      <c r="O3456" s="90">
        <v>1523.8</v>
      </c>
      <c r="R3456" s="55">
        <f>1145+770</f>
        <v>1915</v>
      </c>
      <c r="S3456" s="90">
        <v>1800</v>
      </c>
      <c r="U3456" s="55" t="s">
        <v>1688</v>
      </c>
      <c r="V3456" s="55" t="s">
        <v>1816</v>
      </c>
      <c r="Y3456" s="55" t="s">
        <v>1920</v>
      </c>
      <c r="Z3456" s="55" t="s">
        <v>1349</v>
      </c>
      <c r="AA3456" s="90" t="s">
        <v>1677</v>
      </c>
      <c r="AE3456" s="90">
        <v>43</v>
      </c>
      <c r="AF3456" s="90">
        <v>30</v>
      </c>
      <c r="AH3456" s="55" t="s">
        <v>494</v>
      </c>
      <c r="AI3456" s="168">
        <v>5.3</v>
      </c>
      <c r="AJ3456" s="90">
        <v>1.71</v>
      </c>
      <c r="AM3456" s="55" t="s">
        <v>2908</v>
      </c>
      <c r="AN3456" s="185" t="s">
        <v>2841</v>
      </c>
      <c r="AO3456" s="185" t="s">
        <v>5150</v>
      </c>
      <c r="AQ3456" s="55" t="s">
        <v>553</v>
      </c>
      <c r="AR3456" s="55" t="s">
        <v>1607</v>
      </c>
      <c r="AS3456" s="55" t="s">
        <v>132</v>
      </c>
      <c r="AU3456" s="181" t="s">
        <v>7494</v>
      </c>
      <c r="AV3456" s="185" t="s">
        <v>176</v>
      </c>
      <c r="AX3456" s="185" t="s">
        <v>176</v>
      </c>
      <c r="BE3456" s="226" t="s">
        <v>3176</v>
      </c>
      <c r="BF3456" s="191" t="s">
        <v>176</v>
      </c>
      <c r="BG3456" s="191" t="s">
        <v>479</v>
      </c>
      <c r="BH3456" s="226" t="s">
        <v>3176</v>
      </c>
      <c r="BI3456" s="191" t="s">
        <v>479</v>
      </c>
      <c r="BJ3456" s="55" t="s">
        <v>176</v>
      </c>
      <c r="BK3456" s="55" t="s">
        <v>5976</v>
      </c>
      <c r="BM3456" s="192" t="s">
        <v>3166</v>
      </c>
      <c r="BN3456" s="55">
        <v>4</v>
      </c>
      <c r="BO3456" s="55">
        <v>4</v>
      </c>
      <c r="BQ3456" s="55" t="s">
        <v>141</v>
      </c>
      <c r="BV3456" s="55" t="s">
        <v>3183</v>
      </c>
      <c r="BW3456" s="65">
        <v>5270</v>
      </c>
      <c r="BX3456" s="65">
        <v>5200</v>
      </c>
      <c r="CA3456" s="65" t="s">
        <v>2861</v>
      </c>
      <c r="CB3456" s="66">
        <v>3500</v>
      </c>
      <c r="CC3456" s="66">
        <v>3670</v>
      </c>
      <c r="GP3456" s="292" t="s">
        <v>7494</v>
      </c>
    </row>
    <row r="3457" spans="1:198" x14ac:dyDescent="0.25">
      <c r="A3457" s="55">
        <v>3456</v>
      </c>
      <c r="B3457" s="12" t="s">
        <v>7067</v>
      </c>
      <c r="C3457" s="155">
        <v>161</v>
      </c>
      <c r="D3457" s="55" t="s">
        <v>3182</v>
      </c>
      <c r="E3457" s="90" t="s">
        <v>3171</v>
      </c>
      <c r="G3457" s="55" t="s">
        <v>3172</v>
      </c>
      <c r="H3457" s="55">
        <v>2001</v>
      </c>
      <c r="I3457" s="55" t="s">
        <v>1934</v>
      </c>
      <c r="J3457" s="55" t="s">
        <v>2619</v>
      </c>
      <c r="K3457" s="55" t="s">
        <v>3134</v>
      </c>
      <c r="L3457" s="55" t="s">
        <v>2757</v>
      </c>
      <c r="M3457" s="90">
        <v>-7.0000000000000001E-3</v>
      </c>
      <c r="N3457" s="90">
        <v>34.6</v>
      </c>
      <c r="O3457" s="90">
        <v>1523.8</v>
      </c>
      <c r="R3457" s="55">
        <f>1145+770</f>
        <v>1915</v>
      </c>
      <c r="S3457" s="90">
        <v>1800</v>
      </c>
      <c r="U3457" s="55" t="s">
        <v>1688</v>
      </c>
      <c r="V3457" s="55" t="s">
        <v>1816</v>
      </c>
      <c r="Y3457" s="55" t="s">
        <v>1920</v>
      </c>
      <c r="Z3457" s="55" t="s">
        <v>1349</v>
      </c>
      <c r="AA3457" s="90" t="s">
        <v>1677</v>
      </c>
      <c r="AE3457" s="90">
        <v>43</v>
      </c>
      <c r="AF3457" s="90">
        <v>30</v>
      </c>
      <c r="AH3457" s="55" t="s">
        <v>494</v>
      </c>
      <c r="AI3457" s="168">
        <v>5.3</v>
      </c>
      <c r="AJ3457" s="90">
        <v>1.71</v>
      </c>
      <c r="AM3457" s="55" t="s">
        <v>2908</v>
      </c>
      <c r="AN3457" s="185" t="s">
        <v>2841</v>
      </c>
      <c r="AO3457" s="185" t="s">
        <v>5150</v>
      </c>
      <c r="AQ3457" s="55" t="s">
        <v>553</v>
      </c>
      <c r="AR3457" s="55" t="s">
        <v>1607</v>
      </c>
      <c r="AS3457" s="55" t="s">
        <v>132</v>
      </c>
      <c r="AU3457" s="181" t="s">
        <v>7494</v>
      </c>
      <c r="AV3457" s="185" t="s">
        <v>176</v>
      </c>
      <c r="AX3457" s="185" t="s">
        <v>176</v>
      </c>
      <c r="BE3457" s="226" t="s">
        <v>3177</v>
      </c>
      <c r="BF3457" s="191" t="s">
        <v>479</v>
      </c>
      <c r="BG3457" s="191" t="s">
        <v>479</v>
      </c>
      <c r="BH3457" s="226" t="s">
        <v>3177</v>
      </c>
      <c r="BI3457" s="191" t="s">
        <v>479</v>
      </c>
      <c r="BJ3457" s="55" t="s">
        <v>176</v>
      </c>
      <c r="BK3457" s="55" t="s">
        <v>5976</v>
      </c>
      <c r="BM3457" s="192" t="s">
        <v>3166</v>
      </c>
      <c r="BN3457" s="55">
        <v>4</v>
      </c>
      <c r="BO3457" s="55">
        <v>4</v>
      </c>
      <c r="BQ3457" s="55" t="s">
        <v>141</v>
      </c>
      <c r="BV3457" s="55" t="s">
        <v>3183</v>
      </c>
      <c r="BW3457" s="65">
        <v>2600</v>
      </c>
      <c r="BX3457" s="65">
        <v>2420</v>
      </c>
      <c r="CA3457" s="65" t="s">
        <v>2861</v>
      </c>
      <c r="CB3457" s="66">
        <v>1050</v>
      </c>
      <c r="CC3457" s="66">
        <v>850</v>
      </c>
      <c r="GP3457" s="292" t="s">
        <v>7494</v>
      </c>
    </row>
    <row r="3458" spans="1:198" x14ac:dyDescent="0.25">
      <c r="A3458" s="55">
        <v>3457</v>
      </c>
      <c r="B3458" s="12" t="s">
        <v>7067</v>
      </c>
      <c r="C3458" s="155">
        <v>161</v>
      </c>
      <c r="D3458" s="55" t="s">
        <v>3182</v>
      </c>
      <c r="E3458" s="90" t="s">
        <v>3171</v>
      </c>
      <c r="G3458" s="55" t="s">
        <v>3172</v>
      </c>
      <c r="H3458" s="55">
        <v>2001</v>
      </c>
      <c r="I3458" s="55" t="s">
        <v>1934</v>
      </c>
      <c r="J3458" s="55" t="s">
        <v>2619</v>
      </c>
      <c r="K3458" s="55" t="s">
        <v>3134</v>
      </c>
      <c r="L3458" s="55" t="s">
        <v>2757</v>
      </c>
      <c r="M3458" s="90">
        <v>-7.0000000000000001E-3</v>
      </c>
      <c r="N3458" s="90">
        <v>34.6</v>
      </c>
      <c r="O3458" s="90">
        <v>1523.8</v>
      </c>
      <c r="R3458" s="55">
        <f>1145+770</f>
        <v>1915</v>
      </c>
      <c r="S3458" s="90">
        <v>1800</v>
      </c>
      <c r="U3458" s="55" t="s">
        <v>1688</v>
      </c>
      <c r="V3458" s="55" t="s">
        <v>1816</v>
      </c>
      <c r="Y3458" s="55" t="s">
        <v>1920</v>
      </c>
      <c r="Z3458" s="55" t="s">
        <v>1349</v>
      </c>
      <c r="AA3458" s="90" t="s">
        <v>1677</v>
      </c>
      <c r="AE3458" s="90">
        <v>43</v>
      </c>
      <c r="AF3458" s="90">
        <v>30</v>
      </c>
      <c r="AH3458" s="55" t="s">
        <v>494</v>
      </c>
      <c r="AI3458" s="168">
        <v>5.3</v>
      </c>
      <c r="AJ3458" s="90">
        <v>1.71</v>
      </c>
      <c r="AM3458" s="55" t="s">
        <v>2908</v>
      </c>
      <c r="AN3458" s="185" t="s">
        <v>2841</v>
      </c>
      <c r="AO3458" s="185" t="s">
        <v>5150</v>
      </c>
      <c r="AQ3458" s="55" t="s">
        <v>553</v>
      </c>
      <c r="AR3458" s="55" t="s">
        <v>1607</v>
      </c>
      <c r="AS3458" s="55" t="s">
        <v>132</v>
      </c>
      <c r="AU3458" s="181" t="s">
        <v>7494</v>
      </c>
      <c r="AV3458" s="185" t="s">
        <v>176</v>
      </c>
      <c r="AX3458" s="185" t="s">
        <v>176</v>
      </c>
      <c r="BE3458" s="226" t="s">
        <v>3178</v>
      </c>
      <c r="BF3458" s="191" t="s">
        <v>479</v>
      </c>
      <c r="BG3458" s="191" t="s">
        <v>479</v>
      </c>
      <c r="BH3458" s="226" t="s">
        <v>3178</v>
      </c>
      <c r="BI3458" s="191" t="s">
        <v>479</v>
      </c>
      <c r="BJ3458" s="55" t="s">
        <v>176</v>
      </c>
      <c r="BK3458" s="55" t="s">
        <v>5976</v>
      </c>
      <c r="BM3458" s="192" t="s">
        <v>3166</v>
      </c>
      <c r="BN3458" s="55">
        <v>4</v>
      </c>
      <c r="BO3458" s="55">
        <v>4</v>
      </c>
      <c r="BQ3458" s="55" t="s">
        <v>141</v>
      </c>
      <c r="BV3458" s="55" t="s">
        <v>3183</v>
      </c>
      <c r="BW3458" s="65">
        <v>7920</v>
      </c>
      <c r="BX3458" s="65">
        <v>7250</v>
      </c>
      <c r="CA3458" s="65" t="s">
        <v>2861</v>
      </c>
      <c r="CB3458" s="66">
        <v>5310</v>
      </c>
      <c r="CC3458" s="66">
        <v>5760</v>
      </c>
      <c r="GP3458" s="292" t="s">
        <v>7494</v>
      </c>
    </row>
    <row r="3459" spans="1:198" x14ac:dyDescent="0.25">
      <c r="A3459" s="55">
        <v>3458</v>
      </c>
      <c r="B3459" s="12" t="s">
        <v>7067</v>
      </c>
      <c r="C3459" s="155">
        <v>161</v>
      </c>
      <c r="D3459" s="55" t="s">
        <v>3182</v>
      </c>
      <c r="E3459" s="90" t="s">
        <v>3171</v>
      </c>
      <c r="G3459" s="55" t="s">
        <v>3172</v>
      </c>
      <c r="H3459" s="55">
        <v>2001</v>
      </c>
      <c r="I3459" s="55" t="s">
        <v>1934</v>
      </c>
      <c r="J3459" s="55" t="s">
        <v>2619</v>
      </c>
      <c r="K3459" s="55" t="s">
        <v>3134</v>
      </c>
      <c r="L3459" s="55" t="s">
        <v>2757</v>
      </c>
      <c r="M3459" s="90">
        <v>-7.0000000000000001E-3</v>
      </c>
      <c r="N3459" s="90">
        <v>34.6</v>
      </c>
      <c r="O3459" s="90">
        <v>1523.8</v>
      </c>
      <c r="R3459" s="55">
        <v>1915</v>
      </c>
      <c r="S3459" s="90">
        <v>1800</v>
      </c>
      <c r="U3459" s="55" t="s">
        <v>1688</v>
      </c>
      <c r="V3459" s="55" t="s">
        <v>1816</v>
      </c>
      <c r="Y3459" s="55" t="s">
        <v>1920</v>
      </c>
      <c r="Z3459" s="55" t="s">
        <v>1349</v>
      </c>
      <c r="AA3459" s="90" t="s">
        <v>1677</v>
      </c>
      <c r="AE3459" s="90">
        <v>43</v>
      </c>
      <c r="AF3459" s="90">
        <v>30</v>
      </c>
      <c r="AH3459" s="55" t="s">
        <v>494</v>
      </c>
      <c r="AI3459" s="168">
        <v>5.3</v>
      </c>
      <c r="AJ3459" s="90">
        <v>1.71</v>
      </c>
      <c r="AM3459" s="55" t="s">
        <v>2908</v>
      </c>
      <c r="AN3459" s="185" t="s">
        <v>2841</v>
      </c>
      <c r="AO3459" s="185" t="s">
        <v>5150</v>
      </c>
      <c r="AQ3459" s="55" t="s">
        <v>553</v>
      </c>
      <c r="AR3459" s="55" t="s">
        <v>1607</v>
      </c>
      <c r="AS3459" s="55" t="s">
        <v>132</v>
      </c>
      <c r="AU3459" s="181" t="s">
        <v>7494</v>
      </c>
      <c r="AV3459" s="185" t="s">
        <v>176</v>
      </c>
      <c r="AX3459" s="185" t="s">
        <v>176</v>
      </c>
      <c r="BE3459" s="226" t="s">
        <v>3174</v>
      </c>
      <c r="BF3459" s="191" t="s">
        <v>176</v>
      </c>
      <c r="BG3459" s="191" t="s">
        <v>176</v>
      </c>
      <c r="BH3459" s="226" t="s">
        <v>3174</v>
      </c>
      <c r="BI3459" s="191" t="s">
        <v>176</v>
      </c>
      <c r="BJ3459" s="55" t="s">
        <v>176</v>
      </c>
      <c r="BK3459" s="55" t="s">
        <v>5976</v>
      </c>
      <c r="BM3459" s="192" t="s">
        <v>3166</v>
      </c>
      <c r="BN3459" s="55">
        <v>4</v>
      </c>
      <c r="BO3459" s="55">
        <v>4</v>
      </c>
      <c r="BQ3459" s="55" t="s">
        <v>141</v>
      </c>
      <c r="BV3459" s="55" t="s">
        <v>3184</v>
      </c>
      <c r="BW3459" s="65">
        <v>520</v>
      </c>
      <c r="BX3459" s="65">
        <v>550</v>
      </c>
      <c r="CA3459" s="65" t="s">
        <v>2861</v>
      </c>
      <c r="CB3459" s="66">
        <v>400</v>
      </c>
      <c r="CC3459" s="66">
        <v>340</v>
      </c>
      <c r="GP3459" s="292" t="s">
        <v>7494</v>
      </c>
    </row>
    <row r="3460" spans="1:198" x14ac:dyDescent="0.25">
      <c r="A3460" s="55">
        <v>3459</v>
      </c>
      <c r="B3460" s="12" t="s">
        <v>7067</v>
      </c>
      <c r="C3460" s="155">
        <v>161</v>
      </c>
      <c r="D3460" s="55" t="s">
        <v>3182</v>
      </c>
      <c r="E3460" s="90" t="s">
        <v>3171</v>
      </c>
      <c r="G3460" s="55" t="s">
        <v>3172</v>
      </c>
      <c r="H3460" s="55">
        <v>2001</v>
      </c>
      <c r="I3460" s="55" t="s">
        <v>1934</v>
      </c>
      <c r="J3460" s="55" t="s">
        <v>2619</v>
      </c>
      <c r="K3460" s="55" t="s">
        <v>3134</v>
      </c>
      <c r="L3460" s="55" t="s">
        <v>2757</v>
      </c>
      <c r="M3460" s="90">
        <v>-7.0000000000000001E-3</v>
      </c>
      <c r="N3460" s="90">
        <v>34.6</v>
      </c>
      <c r="O3460" s="90">
        <v>1523.8</v>
      </c>
      <c r="R3460" s="55">
        <v>1915</v>
      </c>
      <c r="S3460" s="90">
        <v>1800</v>
      </c>
      <c r="U3460" s="55" t="s">
        <v>1688</v>
      </c>
      <c r="V3460" s="55" t="s">
        <v>1816</v>
      </c>
      <c r="Y3460" s="55" t="s">
        <v>1920</v>
      </c>
      <c r="Z3460" s="55" t="s">
        <v>1349</v>
      </c>
      <c r="AA3460" s="90" t="s">
        <v>1677</v>
      </c>
      <c r="AE3460" s="90">
        <v>43</v>
      </c>
      <c r="AF3460" s="90">
        <v>30</v>
      </c>
      <c r="AH3460" s="55" t="s">
        <v>494</v>
      </c>
      <c r="AI3460" s="168">
        <v>5.3</v>
      </c>
      <c r="AJ3460" s="90">
        <v>1.71</v>
      </c>
      <c r="AM3460" s="55" t="s">
        <v>2908</v>
      </c>
      <c r="AN3460" s="185" t="s">
        <v>2841</v>
      </c>
      <c r="AO3460" s="185" t="s">
        <v>5150</v>
      </c>
      <c r="AQ3460" s="55" t="s">
        <v>553</v>
      </c>
      <c r="AR3460" s="55" t="s">
        <v>1607</v>
      </c>
      <c r="AS3460" s="55" t="s">
        <v>132</v>
      </c>
      <c r="AU3460" s="181" t="s">
        <v>7494</v>
      </c>
      <c r="AV3460" s="185" t="s">
        <v>176</v>
      </c>
      <c r="AX3460" s="185" t="s">
        <v>176</v>
      </c>
      <c r="BE3460" s="226" t="s">
        <v>3176</v>
      </c>
      <c r="BF3460" s="191" t="s">
        <v>176</v>
      </c>
      <c r="BG3460" s="191" t="s">
        <v>479</v>
      </c>
      <c r="BH3460" s="226" t="s">
        <v>3176</v>
      </c>
      <c r="BI3460" s="191" t="s">
        <v>479</v>
      </c>
      <c r="BJ3460" s="55" t="s">
        <v>176</v>
      </c>
      <c r="BK3460" s="55" t="s">
        <v>5976</v>
      </c>
      <c r="BM3460" s="192" t="s">
        <v>3166</v>
      </c>
      <c r="BN3460" s="55">
        <v>4</v>
      </c>
      <c r="BO3460" s="55">
        <v>4</v>
      </c>
      <c r="BQ3460" s="55" t="s">
        <v>141</v>
      </c>
      <c r="BV3460" s="55" t="s">
        <v>3184</v>
      </c>
      <c r="BW3460" s="65">
        <v>890</v>
      </c>
      <c r="BX3460" s="65">
        <v>1160</v>
      </c>
      <c r="CA3460" s="65" t="s">
        <v>2861</v>
      </c>
      <c r="CB3460" s="66">
        <v>530</v>
      </c>
      <c r="CC3460" s="66">
        <v>1060</v>
      </c>
      <c r="GP3460" s="292" t="s">
        <v>7494</v>
      </c>
    </row>
    <row r="3461" spans="1:198" x14ac:dyDescent="0.25">
      <c r="A3461" s="55">
        <v>3460</v>
      </c>
      <c r="B3461" s="12" t="s">
        <v>7067</v>
      </c>
      <c r="C3461" s="155">
        <v>161</v>
      </c>
      <c r="D3461" s="55" t="s">
        <v>3182</v>
      </c>
      <c r="E3461" s="90" t="s">
        <v>3171</v>
      </c>
      <c r="G3461" s="55" t="s">
        <v>3172</v>
      </c>
      <c r="H3461" s="55">
        <v>2001</v>
      </c>
      <c r="I3461" s="55" t="s">
        <v>1934</v>
      </c>
      <c r="J3461" s="55" t="s">
        <v>2619</v>
      </c>
      <c r="K3461" s="55" t="s">
        <v>3134</v>
      </c>
      <c r="L3461" s="55" t="s">
        <v>2757</v>
      </c>
      <c r="M3461" s="90">
        <v>-7.0000000000000001E-3</v>
      </c>
      <c r="N3461" s="90">
        <v>34.6</v>
      </c>
      <c r="O3461" s="90">
        <v>1523.8</v>
      </c>
      <c r="R3461" s="55">
        <v>1915</v>
      </c>
      <c r="S3461" s="90">
        <v>1800</v>
      </c>
      <c r="U3461" s="55" t="s">
        <v>1688</v>
      </c>
      <c r="V3461" s="55" t="s">
        <v>1816</v>
      </c>
      <c r="Y3461" s="55" t="s">
        <v>1920</v>
      </c>
      <c r="Z3461" s="55" t="s">
        <v>1349</v>
      </c>
      <c r="AA3461" s="90" t="s">
        <v>1677</v>
      </c>
      <c r="AE3461" s="90">
        <v>43</v>
      </c>
      <c r="AF3461" s="90">
        <v>30</v>
      </c>
      <c r="AH3461" s="55" t="s">
        <v>494</v>
      </c>
      <c r="AI3461" s="168">
        <v>5.3</v>
      </c>
      <c r="AJ3461" s="90">
        <v>1.71</v>
      </c>
      <c r="AM3461" s="55" t="s">
        <v>2908</v>
      </c>
      <c r="AN3461" s="185" t="s">
        <v>2841</v>
      </c>
      <c r="AO3461" s="185" t="s">
        <v>5150</v>
      </c>
      <c r="AQ3461" s="55" t="s">
        <v>553</v>
      </c>
      <c r="AR3461" s="55" t="s">
        <v>1607</v>
      </c>
      <c r="AS3461" s="55" t="s">
        <v>132</v>
      </c>
      <c r="AU3461" s="181" t="s">
        <v>7494</v>
      </c>
      <c r="AV3461" s="185" t="s">
        <v>176</v>
      </c>
      <c r="AX3461" s="185" t="s">
        <v>176</v>
      </c>
      <c r="BE3461" s="226" t="s">
        <v>3177</v>
      </c>
      <c r="BF3461" s="191" t="s">
        <v>479</v>
      </c>
      <c r="BG3461" s="191" t="s">
        <v>479</v>
      </c>
      <c r="BH3461" s="226" t="s">
        <v>3177</v>
      </c>
      <c r="BI3461" s="191" t="s">
        <v>479</v>
      </c>
      <c r="BJ3461" s="55" t="s">
        <v>176</v>
      </c>
      <c r="BK3461" s="55" t="s">
        <v>5976</v>
      </c>
      <c r="BM3461" s="192" t="s">
        <v>3166</v>
      </c>
      <c r="BN3461" s="55">
        <v>4</v>
      </c>
      <c r="BO3461" s="55">
        <v>4</v>
      </c>
      <c r="BQ3461" s="55" t="s">
        <v>141</v>
      </c>
      <c r="BV3461" s="55" t="s">
        <v>3184</v>
      </c>
      <c r="BW3461" s="65">
        <v>670</v>
      </c>
      <c r="BX3461" s="65">
        <v>660</v>
      </c>
      <c r="CA3461" s="65" t="s">
        <v>2861</v>
      </c>
      <c r="CB3461" s="66">
        <v>360</v>
      </c>
      <c r="CC3461" s="66">
        <v>300</v>
      </c>
      <c r="GP3461" s="292" t="s">
        <v>7494</v>
      </c>
    </row>
    <row r="3462" spans="1:198" x14ac:dyDescent="0.25">
      <c r="A3462" s="55">
        <v>3461</v>
      </c>
      <c r="B3462" s="12" t="s">
        <v>7067</v>
      </c>
      <c r="C3462" s="155">
        <v>161</v>
      </c>
      <c r="D3462" s="55" t="s">
        <v>3182</v>
      </c>
      <c r="E3462" s="90" t="s">
        <v>3171</v>
      </c>
      <c r="G3462" s="55" t="s">
        <v>3172</v>
      </c>
      <c r="H3462" s="55">
        <v>2001</v>
      </c>
      <c r="I3462" s="55" t="s">
        <v>1934</v>
      </c>
      <c r="J3462" s="55" t="s">
        <v>2619</v>
      </c>
      <c r="K3462" s="55" t="s">
        <v>3134</v>
      </c>
      <c r="L3462" s="55" t="s">
        <v>2757</v>
      </c>
      <c r="M3462" s="90">
        <v>-7.0000000000000001E-3</v>
      </c>
      <c r="N3462" s="90">
        <v>34.6</v>
      </c>
      <c r="O3462" s="90">
        <v>1523.8</v>
      </c>
      <c r="R3462" s="55">
        <v>1915</v>
      </c>
      <c r="S3462" s="90">
        <v>1800</v>
      </c>
      <c r="U3462" s="55" t="s">
        <v>1688</v>
      </c>
      <c r="V3462" s="55" t="s">
        <v>1816</v>
      </c>
      <c r="Y3462" s="55" t="s">
        <v>1920</v>
      </c>
      <c r="Z3462" s="55" t="s">
        <v>1349</v>
      </c>
      <c r="AA3462" s="90" t="s">
        <v>1677</v>
      </c>
      <c r="AE3462" s="90">
        <v>43</v>
      </c>
      <c r="AF3462" s="90">
        <v>30</v>
      </c>
      <c r="AH3462" s="55" t="s">
        <v>494</v>
      </c>
      <c r="AI3462" s="168">
        <v>5.3</v>
      </c>
      <c r="AJ3462" s="90">
        <v>1.71</v>
      </c>
      <c r="AM3462" s="55" t="s">
        <v>2908</v>
      </c>
      <c r="AN3462" s="185" t="s">
        <v>2841</v>
      </c>
      <c r="AO3462" s="185" t="s">
        <v>5150</v>
      </c>
      <c r="AQ3462" s="55" t="s">
        <v>553</v>
      </c>
      <c r="AR3462" s="55" t="s">
        <v>1607</v>
      </c>
      <c r="AS3462" s="55" t="s">
        <v>132</v>
      </c>
      <c r="AU3462" s="181" t="s">
        <v>7494</v>
      </c>
      <c r="AV3462" s="185" t="s">
        <v>176</v>
      </c>
      <c r="AX3462" s="185" t="s">
        <v>176</v>
      </c>
      <c r="BE3462" s="226" t="s">
        <v>3178</v>
      </c>
      <c r="BF3462" s="191" t="s">
        <v>479</v>
      </c>
      <c r="BG3462" s="191" t="s">
        <v>479</v>
      </c>
      <c r="BH3462" s="226" t="s">
        <v>3178</v>
      </c>
      <c r="BI3462" s="191" t="s">
        <v>479</v>
      </c>
      <c r="BJ3462" s="55" t="s">
        <v>176</v>
      </c>
      <c r="BK3462" s="55" t="s">
        <v>5976</v>
      </c>
      <c r="BM3462" s="192" t="s">
        <v>3166</v>
      </c>
      <c r="BN3462" s="55">
        <v>4</v>
      </c>
      <c r="BO3462" s="55">
        <v>4</v>
      </c>
      <c r="BQ3462" s="55" t="s">
        <v>141</v>
      </c>
      <c r="BV3462" s="55" t="s">
        <v>3184</v>
      </c>
      <c r="BW3462" s="65">
        <v>2530</v>
      </c>
      <c r="BX3462" s="65">
        <v>2810</v>
      </c>
      <c r="CA3462" s="65" t="s">
        <v>2861</v>
      </c>
      <c r="CB3462" s="66">
        <v>3140</v>
      </c>
      <c r="CC3462" s="66">
        <v>2810</v>
      </c>
      <c r="GP3462" s="292" t="s">
        <v>7494</v>
      </c>
    </row>
    <row r="3463" spans="1:198" x14ac:dyDescent="0.25">
      <c r="A3463" s="55">
        <v>3462</v>
      </c>
      <c r="B3463" s="12" t="s">
        <v>7067</v>
      </c>
      <c r="C3463" s="155">
        <v>161</v>
      </c>
      <c r="D3463" s="55" t="s">
        <v>3182</v>
      </c>
      <c r="E3463" s="90" t="s">
        <v>3171</v>
      </c>
      <c r="G3463" s="55" t="s">
        <v>3172</v>
      </c>
      <c r="H3463" s="55">
        <v>2001</v>
      </c>
      <c r="I3463" s="55" t="s">
        <v>2847</v>
      </c>
      <c r="J3463" s="55" t="s">
        <v>2619</v>
      </c>
      <c r="K3463" s="55" t="s">
        <v>3134</v>
      </c>
      <c r="L3463" s="55" t="s">
        <v>2757</v>
      </c>
      <c r="M3463" s="90">
        <v>-7.0000000000000001E-3</v>
      </c>
      <c r="N3463" s="90">
        <v>34.6</v>
      </c>
      <c r="O3463" s="90">
        <v>1523.8</v>
      </c>
      <c r="R3463" s="55">
        <f>1145+770</f>
        <v>1915</v>
      </c>
      <c r="S3463" s="90">
        <v>1800</v>
      </c>
      <c r="U3463" s="55" t="s">
        <v>1816</v>
      </c>
      <c r="V3463" s="55" t="s">
        <v>1816</v>
      </c>
      <c r="Y3463" s="55" t="s">
        <v>1920</v>
      </c>
      <c r="Z3463" s="55" t="s">
        <v>1349</v>
      </c>
      <c r="AA3463" s="90" t="s">
        <v>1677</v>
      </c>
      <c r="AE3463" s="90">
        <v>43</v>
      </c>
      <c r="AF3463" s="90">
        <v>30</v>
      </c>
      <c r="AH3463" s="55" t="s">
        <v>494</v>
      </c>
      <c r="AI3463" s="168">
        <v>5.3</v>
      </c>
      <c r="AJ3463" s="90">
        <v>1.71</v>
      </c>
      <c r="AM3463" s="55" t="s">
        <v>2908</v>
      </c>
      <c r="AN3463" s="185" t="s">
        <v>2841</v>
      </c>
      <c r="AO3463" s="185" t="s">
        <v>5150</v>
      </c>
      <c r="AQ3463" s="55" t="s">
        <v>553</v>
      </c>
      <c r="AR3463" s="55" t="s">
        <v>1607</v>
      </c>
      <c r="AS3463" s="55" t="s">
        <v>132</v>
      </c>
      <c r="AU3463" s="181" t="s">
        <v>7494</v>
      </c>
      <c r="AV3463" s="185" t="s">
        <v>176</v>
      </c>
      <c r="AX3463" s="185" t="s">
        <v>176</v>
      </c>
      <c r="BE3463" s="226" t="s">
        <v>3174</v>
      </c>
      <c r="BF3463" s="191" t="s">
        <v>176</v>
      </c>
      <c r="BG3463" s="191" t="s">
        <v>176</v>
      </c>
      <c r="BH3463" s="226" t="s">
        <v>3174</v>
      </c>
      <c r="BI3463" s="191" t="s">
        <v>176</v>
      </c>
      <c r="BJ3463" s="55" t="s">
        <v>176</v>
      </c>
      <c r="BK3463" s="55" t="s">
        <v>5976</v>
      </c>
      <c r="BM3463" s="192" t="s">
        <v>3166</v>
      </c>
      <c r="BN3463" s="55">
        <v>4</v>
      </c>
      <c r="BO3463" s="55">
        <v>4</v>
      </c>
      <c r="BQ3463" s="55" t="s">
        <v>141</v>
      </c>
      <c r="BV3463" s="55" t="s">
        <v>3183</v>
      </c>
      <c r="CA3463" s="65" t="s">
        <v>2861</v>
      </c>
      <c r="CB3463" s="66">
        <v>1080</v>
      </c>
      <c r="CC3463" s="66">
        <v>1360</v>
      </c>
      <c r="GP3463" s="292" t="s">
        <v>7494</v>
      </c>
    </row>
    <row r="3464" spans="1:198" x14ac:dyDescent="0.25">
      <c r="A3464" s="55">
        <v>3463</v>
      </c>
      <c r="B3464" s="12" t="s">
        <v>7067</v>
      </c>
      <c r="C3464" s="155">
        <v>161</v>
      </c>
      <c r="D3464" s="55" t="s">
        <v>3182</v>
      </c>
      <c r="E3464" s="90" t="s">
        <v>3171</v>
      </c>
      <c r="G3464" s="55" t="s">
        <v>3172</v>
      </c>
      <c r="H3464" s="55">
        <v>2001</v>
      </c>
      <c r="I3464" s="55" t="s">
        <v>2847</v>
      </c>
      <c r="J3464" s="55" t="s">
        <v>2619</v>
      </c>
      <c r="K3464" s="55" t="s">
        <v>3134</v>
      </c>
      <c r="L3464" s="55" t="s">
        <v>2757</v>
      </c>
      <c r="M3464" s="90">
        <v>-7.0000000000000001E-3</v>
      </c>
      <c r="N3464" s="90">
        <v>34.6</v>
      </c>
      <c r="O3464" s="90">
        <v>1523.8</v>
      </c>
      <c r="R3464" s="55">
        <f>1145+770</f>
        <v>1915</v>
      </c>
      <c r="S3464" s="90">
        <v>1800</v>
      </c>
      <c r="U3464" s="55" t="s">
        <v>1816</v>
      </c>
      <c r="V3464" s="55" t="s">
        <v>1816</v>
      </c>
      <c r="Y3464" s="55" t="s">
        <v>1920</v>
      </c>
      <c r="Z3464" s="55" t="s">
        <v>1349</v>
      </c>
      <c r="AA3464" s="90" t="s">
        <v>1677</v>
      </c>
      <c r="AE3464" s="90">
        <v>43</v>
      </c>
      <c r="AF3464" s="90">
        <v>30</v>
      </c>
      <c r="AH3464" s="55" t="s">
        <v>494</v>
      </c>
      <c r="AI3464" s="168">
        <v>5.3</v>
      </c>
      <c r="AJ3464" s="90">
        <v>1.71</v>
      </c>
      <c r="AM3464" s="55" t="s">
        <v>2908</v>
      </c>
      <c r="AN3464" s="185" t="s">
        <v>2841</v>
      </c>
      <c r="AO3464" s="185" t="s">
        <v>5150</v>
      </c>
      <c r="AQ3464" s="55" t="s">
        <v>553</v>
      </c>
      <c r="AR3464" s="55" t="s">
        <v>1607</v>
      </c>
      <c r="AS3464" s="55" t="s">
        <v>132</v>
      </c>
      <c r="AU3464" s="181" t="s">
        <v>7494</v>
      </c>
      <c r="AV3464" s="185" t="s">
        <v>176</v>
      </c>
      <c r="AX3464" s="185" t="s">
        <v>176</v>
      </c>
      <c r="BE3464" s="226" t="s">
        <v>3176</v>
      </c>
      <c r="BF3464" s="191" t="s">
        <v>176</v>
      </c>
      <c r="BG3464" s="191" t="s">
        <v>479</v>
      </c>
      <c r="BH3464" s="226" t="s">
        <v>3176</v>
      </c>
      <c r="BI3464" s="191" t="s">
        <v>479</v>
      </c>
      <c r="BJ3464" s="55" t="s">
        <v>176</v>
      </c>
      <c r="BK3464" s="55" t="s">
        <v>5976</v>
      </c>
      <c r="BM3464" s="192" t="s">
        <v>3166</v>
      </c>
      <c r="BN3464" s="55">
        <v>4</v>
      </c>
      <c r="BO3464" s="55">
        <v>4</v>
      </c>
      <c r="BQ3464" s="55" t="s">
        <v>141</v>
      </c>
      <c r="BV3464" s="55" t="s">
        <v>3183</v>
      </c>
      <c r="CA3464" s="65" t="s">
        <v>2861</v>
      </c>
      <c r="CB3464" s="66">
        <v>2750</v>
      </c>
      <c r="CC3464" s="66">
        <v>2900</v>
      </c>
      <c r="GP3464" s="292" t="s">
        <v>7494</v>
      </c>
    </row>
    <row r="3465" spans="1:198" x14ac:dyDescent="0.25">
      <c r="A3465" s="55">
        <v>3464</v>
      </c>
      <c r="B3465" s="12" t="s">
        <v>7067</v>
      </c>
      <c r="C3465" s="155">
        <v>161</v>
      </c>
      <c r="D3465" s="55" t="s">
        <v>3182</v>
      </c>
      <c r="E3465" s="90" t="s">
        <v>3171</v>
      </c>
      <c r="G3465" s="55" t="s">
        <v>3172</v>
      </c>
      <c r="H3465" s="55">
        <v>2001</v>
      </c>
      <c r="I3465" s="55" t="s">
        <v>2847</v>
      </c>
      <c r="J3465" s="55" t="s">
        <v>2619</v>
      </c>
      <c r="K3465" s="55" t="s">
        <v>3134</v>
      </c>
      <c r="L3465" s="55" t="s">
        <v>2757</v>
      </c>
      <c r="M3465" s="90">
        <v>-7.0000000000000001E-3</v>
      </c>
      <c r="N3465" s="90">
        <v>34.6</v>
      </c>
      <c r="O3465" s="90">
        <v>1523.8</v>
      </c>
      <c r="R3465" s="55">
        <f>1145+770</f>
        <v>1915</v>
      </c>
      <c r="S3465" s="90">
        <v>1800</v>
      </c>
      <c r="U3465" s="55" t="s">
        <v>1816</v>
      </c>
      <c r="V3465" s="55" t="s">
        <v>1816</v>
      </c>
      <c r="Y3465" s="55" t="s">
        <v>1920</v>
      </c>
      <c r="Z3465" s="55" t="s">
        <v>1349</v>
      </c>
      <c r="AA3465" s="90" t="s">
        <v>1677</v>
      </c>
      <c r="AE3465" s="90">
        <v>43</v>
      </c>
      <c r="AF3465" s="90">
        <v>30</v>
      </c>
      <c r="AH3465" s="55" t="s">
        <v>494</v>
      </c>
      <c r="AI3465" s="168">
        <v>5.3</v>
      </c>
      <c r="AJ3465" s="90">
        <v>1.71</v>
      </c>
      <c r="AM3465" s="55" t="s">
        <v>2908</v>
      </c>
      <c r="AN3465" s="185" t="s">
        <v>2841</v>
      </c>
      <c r="AO3465" s="185" t="s">
        <v>5150</v>
      </c>
      <c r="AQ3465" s="55" t="s">
        <v>553</v>
      </c>
      <c r="AR3465" s="55" t="s">
        <v>1607</v>
      </c>
      <c r="AS3465" s="55" t="s">
        <v>132</v>
      </c>
      <c r="AU3465" s="181" t="s">
        <v>7494</v>
      </c>
      <c r="AV3465" s="185" t="s">
        <v>176</v>
      </c>
      <c r="AX3465" s="185" t="s">
        <v>176</v>
      </c>
      <c r="BE3465" s="226" t="s">
        <v>3177</v>
      </c>
      <c r="BF3465" s="191" t="s">
        <v>479</v>
      </c>
      <c r="BG3465" s="191" t="s">
        <v>479</v>
      </c>
      <c r="BH3465" s="226" t="s">
        <v>3177</v>
      </c>
      <c r="BI3465" s="191" t="s">
        <v>479</v>
      </c>
      <c r="BJ3465" s="55" t="s">
        <v>176</v>
      </c>
      <c r="BK3465" s="55" t="s">
        <v>5976</v>
      </c>
      <c r="BM3465" s="192" t="s">
        <v>3166</v>
      </c>
      <c r="BN3465" s="55">
        <v>4</v>
      </c>
      <c r="BO3465" s="55">
        <v>4</v>
      </c>
      <c r="BQ3465" s="55" t="s">
        <v>141</v>
      </c>
      <c r="BV3465" s="55" t="s">
        <v>3183</v>
      </c>
      <c r="CA3465" s="65" t="s">
        <v>2861</v>
      </c>
      <c r="CB3465" s="66">
        <v>1630</v>
      </c>
      <c r="CC3465" s="66">
        <v>860</v>
      </c>
      <c r="GP3465" s="292" t="s">
        <v>7494</v>
      </c>
    </row>
    <row r="3466" spans="1:198" x14ac:dyDescent="0.25">
      <c r="A3466" s="55">
        <v>3465</v>
      </c>
      <c r="B3466" s="12" t="s">
        <v>7067</v>
      </c>
      <c r="C3466" s="155">
        <v>161</v>
      </c>
      <c r="D3466" s="55" t="s">
        <v>3182</v>
      </c>
      <c r="E3466" s="90" t="s">
        <v>3171</v>
      </c>
      <c r="G3466" s="55" t="s">
        <v>3172</v>
      </c>
      <c r="H3466" s="55">
        <v>2001</v>
      </c>
      <c r="I3466" s="55" t="s">
        <v>2847</v>
      </c>
      <c r="J3466" s="55" t="s">
        <v>2619</v>
      </c>
      <c r="K3466" s="55" t="s">
        <v>3134</v>
      </c>
      <c r="L3466" s="55" t="s">
        <v>2757</v>
      </c>
      <c r="M3466" s="90">
        <v>-7.0000000000000001E-3</v>
      </c>
      <c r="N3466" s="90">
        <v>34.6</v>
      </c>
      <c r="O3466" s="90">
        <v>1523.8</v>
      </c>
      <c r="R3466" s="55">
        <f>1145+770</f>
        <v>1915</v>
      </c>
      <c r="S3466" s="90">
        <v>1800</v>
      </c>
      <c r="U3466" s="55" t="s">
        <v>1816</v>
      </c>
      <c r="V3466" s="55" t="s">
        <v>1816</v>
      </c>
      <c r="Y3466" s="55" t="s">
        <v>1920</v>
      </c>
      <c r="Z3466" s="55" t="s">
        <v>1349</v>
      </c>
      <c r="AA3466" s="90" t="s">
        <v>1677</v>
      </c>
      <c r="AE3466" s="90">
        <v>43</v>
      </c>
      <c r="AF3466" s="90">
        <v>30</v>
      </c>
      <c r="AH3466" s="55" t="s">
        <v>494</v>
      </c>
      <c r="AI3466" s="168">
        <v>5.3</v>
      </c>
      <c r="AJ3466" s="90">
        <v>1.71</v>
      </c>
      <c r="AM3466" s="55" t="s">
        <v>2908</v>
      </c>
      <c r="AN3466" s="185" t="s">
        <v>2841</v>
      </c>
      <c r="AO3466" s="185" t="s">
        <v>5150</v>
      </c>
      <c r="AQ3466" s="55" t="s">
        <v>553</v>
      </c>
      <c r="AR3466" s="55" t="s">
        <v>1607</v>
      </c>
      <c r="AS3466" s="55" t="s">
        <v>132</v>
      </c>
      <c r="AU3466" s="181" t="s">
        <v>7494</v>
      </c>
      <c r="AV3466" s="185" t="s">
        <v>176</v>
      </c>
      <c r="AX3466" s="185" t="s">
        <v>176</v>
      </c>
      <c r="BE3466" s="226" t="s">
        <v>3178</v>
      </c>
      <c r="BF3466" s="191" t="s">
        <v>479</v>
      </c>
      <c r="BG3466" s="191" t="s">
        <v>479</v>
      </c>
      <c r="BH3466" s="226" t="s">
        <v>3178</v>
      </c>
      <c r="BI3466" s="191" t="s">
        <v>479</v>
      </c>
      <c r="BJ3466" s="55" t="s">
        <v>176</v>
      </c>
      <c r="BK3466" s="55" t="s">
        <v>5976</v>
      </c>
      <c r="BM3466" s="192" t="s">
        <v>3166</v>
      </c>
      <c r="BN3466" s="55">
        <v>4</v>
      </c>
      <c r="BO3466" s="55">
        <v>4</v>
      </c>
      <c r="BQ3466" s="55" t="s">
        <v>141</v>
      </c>
      <c r="BV3466" s="55" t="s">
        <v>3183</v>
      </c>
      <c r="CA3466" s="65" t="s">
        <v>2861</v>
      </c>
      <c r="CB3466" s="66">
        <v>4700</v>
      </c>
      <c r="CC3466" s="66">
        <v>4210</v>
      </c>
      <c r="GP3466" s="292" t="s">
        <v>7494</v>
      </c>
    </row>
    <row r="3467" spans="1:198" x14ac:dyDescent="0.25">
      <c r="A3467" s="55">
        <v>3466</v>
      </c>
      <c r="B3467" s="12" t="s">
        <v>7067</v>
      </c>
      <c r="C3467" s="155">
        <v>161</v>
      </c>
      <c r="D3467" s="55" t="s">
        <v>3182</v>
      </c>
      <c r="E3467" s="90" t="s">
        <v>3171</v>
      </c>
      <c r="G3467" s="55" t="s">
        <v>3172</v>
      </c>
      <c r="H3467" s="55">
        <v>2001</v>
      </c>
      <c r="I3467" s="55" t="s">
        <v>2847</v>
      </c>
      <c r="J3467" s="55" t="s">
        <v>2619</v>
      </c>
      <c r="K3467" s="55" t="s">
        <v>3134</v>
      </c>
      <c r="L3467" s="55" t="s">
        <v>2757</v>
      </c>
      <c r="M3467" s="90">
        <v>-7.0000000000000001E-3</v>
      </c>
      <c r="N3467" s="90">
        <v>34.6</v>
      </c>
      <c r="O3467" s="90">
        <v>1523.8</v>
      </c>
      <c r="R3467" s="55">
        <v>1915</v>
      </c>
      <c r="S3467" s="90">
        <v>1800</v>
      </c>
      <c r="U3467" s="55" t="s">
        <v>1816</v>
      </c>
      <c r="V3467" s="55" t="s">
        <v>1816</v>
      </c>
      <c r="Y3467" s="55" t="s">
        <v>1920</v>
      </c>
      <c r="Z3467" s="55" t="s">
        <v>1349</v>
      </c>
      <c r="AA3467" s="90" t="s">
        <v>1677</v>
      </c>
      <c r="AE3467" s="90">
        <v>43</v>
      </c>
      <c r="AF3467" s="90">
        <v>30</v>
      </c>
      <c r="AH3467" s="55" t="s">
        <v>494</v>
      </c>
      <c r="AI3467" s="168">
        <v>5.3</v>
      </c>
      <c r="AJ3467" s="90">
        <v>1.71</v>
      </c>
      <c r="AM3467" s="55" t="s">
        <v>2908</v>
      </c>
      <c r="AN3467" s="185" t="s">
        <v>2841</v>
      </c>
      <c r="AO3467" s="185" t="s">
        <v>5150</v>
      </c>
      <c r="AQ3467" s="55" t="s">
        <v>553</v>
      </c>
      <c r="AR3467" s="55" t="s">
        <v>1607</v>
      </c>
      <c r="AS3467" s="55" t="s">
        <v>132</v>
      </c>
      <c r="AU3467" s="181" t="s">
        <v>7494</v>
      </c>
      <c r="AV3467" s="185" t="s">
        <v>176</v>
      </c>
      <c r="AX3467" s="185" t="s">
        <v>176</v>
      </c>
      <c r="BE3467" s="226" t="s">
        <v>3174</v>
      </c>
      <c r="BF3467" s="191" t="s">
        <v>176</v>
      </c>
      <c r="BG3467" s="191" t="s">
        <v>176</v>
      </c>
      <c r="BH3467" s="226" t="s">
        <v>3174</v>
      </c>
      <c r="BI3467" s="191" t="s">
        <v>176</v>
      </c>
      <c r="BJ3467" s="55" t="s">
        <v>176</v>
      </c>
      <c r="BK3467" s="55" t="s">
        <v>5976</v>
      </c>
      <c r="BM3467" s="192" t="s">
        <v>3166</v>
      </c>
      <c r="BN3467" s="55">
        <v>4</v>
      </c>
      <c r="BO3467" s="55">
        <v>4</v>
      </c>
      <c r="BQ3467" s="55" t="s">
        <v>141</v>
      </c>
      <c r="BV3467" s="55" t="s">
        <v>3184</v>
      </c>
      <c r="CA3467" s="65" t="s">
        <v>2861</v>
      </c>
      <c r="CB3467" s="66">
        <v>3080</v>
      </c>
      <c r="CC3467" s="66">
        <v>2670</v>
      </c>
      <c r="GP3467" s="292" t="s">
        <v>7494</v>
      </c>
    </row>
    <row r="3468" spans="1:198" x14ac:dyDescent="0.25">
      <c r="A3468" s="55">
        <v>3467</v>
      </c>
      <c r="B3468" s="12" t="s">
        <v>7067</v>
      </c>
      <c r="C3468" s="155">
        <v>161</v>
      </c>
      <c r="D3468" s="55" t="s">
        <v>3182</v>
      </c>
      <c r="E3468" s="90" t="s">
        <v>3171</v>
      </c>
      <c r="G3468" s="55" t="s">
        <v>3172</v>
      </c>
      <c r="H3468" s="55">
        <v>2001</v>
      </c>
      <c r="I3468" s="55" t="s">
        <v>2847</v>
      </c>
      <c r="J3468" s="55" t="s">
        <v>2619</v>
      </c>
      <c r="K3468" s="55" t="s">
        <v>3134</v>
      </c>
      <c r="L3468" s="55" t="s">
        <v>2757</v>
      </c>
      <c r="M3468" s="90">
        <v>-7.0000000000000001E-3</v>
      </c>
      <c r="N3468" s="90">
        <v>34.6</v>
      </c>
      <c r="O3468" s="90">
        <v>1523.8</v>
      </c>
      <c r="R3468" s="55">
        <v>1915</v>
      </c>
      <c r="S3468" s="90">
        <v>1800</v>
      </c>
      <c r="U3468" s="55" t="s">
        <v>1816</v>
      </c>
      <c r="V3468" s="55" t="s">
        <v>1816</v>
      </c>
      <c r="Y3468" s="55" t="s">
        <v>1920</v>
      </c>
      <c r="Z3468" s="55" t="s">
        <v>1349</v>
      </c>
      <c r="AA3468" s="90" t="s">
        <v>1677</v>
      </c>
      <c r="AE3468" s="90">
        <v>43</v>
      </c>
      <c r="AF3468" s="90">
        <v>30</v>
      </c>
      <c r="AH3468" s="55" t="s">
        <v>494</v>
      </c>
      <c r="AI3468" s="168">
        <v>5.3</v>
      </c>
      <c r="AJ3468" s="90">
        <v>1.71</v>
      </c>
      <c r="AM3468" s="55" t="s">
        <v>2908</v>
      </c>
      <c r="AN3468" s="185" t="s">
        <v>2841</v>
      </c>
      <c r="AO3468" s="185" t="s">
        <v>5150</v>
      </c>
      <c r="AQ3468" s="55" t="s">
        <v>553</v>
      </c>
      <c r="AR3468" s="55" t="s">
        <v>1607</v>
      </c>
      <c r="AS3468" s="55" t="s">
        <v>132</v>
      </c>
      <c r="AU3468" s="181" t="s">
        <v>7494</v>
      </c>
      <c r="AV3468" s="185" t="s">
        <v>176</v>
      </c>
      <c r="AX3468" s="185" t="s">
        <v>176</v>
      </c>
      <c r="BE3468" s="226" t="s">
        <v>3176</v>
      </c>
      <c r="BF3468" s="191" t="s">
        <v>176</v>
      </c>
      <c r="BG3468" s="191" t="s">
        <v>479</v>
      </c>
      <c r="BH3468" s="226" t="s">
        <v>3176</v>
      </c>
      <c r="BI3468" s="191" t="s">
        <v>479</v>
      </c>
      <c r="BJ3468" s="55" t="s">
        <v>176</v>
      </c>
      <c r="BK3468" s="55" t="s">
        <v>5976</v>
      </c>
      <c r="BM3468" s="192" t="s">
        <v>3166</v>
      </c>
      <c r="BN3468" s="55">
        <v>4</v>
      </c>
      <c r="BO3468" s="55">
        <v>4</v>
      </c>
      <c r="BQ3468" s="55" t="s">
        <v>141</v>
      </c>
      <c r="BV3468" s="55" t="s">
        <v>3184</v>
      </c>
      <c r="CA3468" s="65" t="s">
        <v>2861</v>
      </c>
      <c r="CB3468" s="66">
        <v>3850</v>
      </c>
      <c r="CC3468" s="66">
        <v>3930</v>
      </c>
      <c r="GP3468" s="292" t="s">
        <v>7494</v>
      </c>
    </row>
    <row r="3469" spans="1:198" x14ac:dyDescent="0.25">
      <c r="A3469" s="55">
        <v>3468</v>
      </c>
      <c r="B3469" s="12" t="s">
        <v>7067</v>
      </c>
      <c r="C3469" s="155">
        <v>161</v>
      </c>
      <c r="D3469" s="55" t="s">
        <v>3182</v>
      </c>
      <c r="E3469" s="90" t="s">
        <v>3171</v>
      </c>
      <c r="G3469" s="55" t="s">
        <v>3172</v>
      </c>
      <c r="H3469" s="55">
        <v>2001</v>
      </c>
      <c r="I3469" s="55" t="s">
        <v>2847</v>
      </c>
      <c r="J3469" s="55" t="s">
        <v>2619</v>
      </c>
      <c r="K3469" s="55" t="s">
        <v>3134</v>
      </c>
      <c r="L3469" s="55" t="s">
        <v>2757</v>
      </c>
      <c r="M3469" s="90">
        <v>-7.0000000000000001E-3</v>
      </c>
      <c r="N3469" s="90">
        <v>34.6</v>
      </c>
      <c r="O3469" s="90">
        <v>1523.8</v>
      </c>
      <c r="R3469" s="55">
        <v>1915</v>
      </c>
      <c r="S3469" s="90">
        <v>1800</v>
      </c>
      <c r="U3469" s="55" t="s">
        <v>1816</v>
      </c>
      <c r="V3469" s="55" t="s">
        <v>1816</v>
      </c>
      <c r="Y3469" s="55" t="s">
        <v>1920</v>
      </c>
      <c r="Z3469" s="55" t="s">
        <v>1349</v>
      </c>
      <c r="AA3469" s="90" t="s">
        <v>1677</v>
      </c>
      <c r="AE3469" s="90">
        <v>43</v>
      </c>
      <c r="AF3469" s="90">
        <v>30</v>
      </c>
      <c r="AH3469" s="55" t="s">
        <v>494</v>
      </c>
      <c r="AI3469" s="168">
        <v>5.3</v>
      </c>
      <c r="AJ3469" s="90">
        <v>1.71</v>
      </c>
      <c r="AM3469" s="55" t="s">
        <v>2908</v>
      </c>
      <c r="AN3469" s="185" t="s">
        <v>2841</v>
      </c>
      <c r="AO3469" s="185" t="s">
        <v>5150</v>
      </c>
      <c r="AQ3469" s="55" t="s">
        <v>553</v>
      </c>
      <c r="AR3469" s="55" t="s">
        <v>1607</v>
      </c>
      <c r="AS3469" s="55" t="s">
        <v>132</v>
      </c>
      <c r="AU3469" s="181" t="s">
        <v>7494</v>
      </c>
      <c r="AV3469" s="185" t="s">
        <v>176</v>
      </c>
      <c r="AX3469" s="185" t="s">
        <v>176</v>
      </c>
      <c r="BE3469" s="226" t="s">
        <v>3177</v>
      </c>
      <c r="BF3469" s="191" t="s">
        <v>479</v>
      </c>
      <c r="BG3469" s="191" t="s">
        <v>479</v>
      </c>
      <c r="BH3469" s="226" t="s">
        <v>3177</v>
      </c>
      <c r="BI3469" s="191" t="s">
        <v>479</v>
      </c>
      <c r="BJ3469" s="55" t="s">
        <v>176</v>
      </c>
      <c r="BK3469" s="55" t="s">
        <v>5976</v>
      </c>
      <c r="BM3469" s="192" t="s">
        <v>3166</v>
      </c>
      <c r="BN3469" s="55">
        <v>4</v>
      </c>
      <c r="BO3469" s="55">
        <v>4</v>
      </c>
      <c r="BQ3469" s="55" t="s">
        <v>141</v>
      </c>
      <c r="BV3469" s="55" t="s">
        <v>3184</v>
      </c>
      <c r="CA3469" s="65" t="s">
        <v>2861</v>
      </c>
      <c r="CB3469" s="66">
        <v>2920</v>
      </c>
      <c r="CC3469" s="66">
        <v>2550</v>
      </c>
      <c r="GP3469" s="292" t="s">
        <v>7494</v>
      </c>
    </row>
    <row r="3470" spans="1:198" x14ac:dyDescent="0.25">
      <c r="A3470" s="55">
        <v>3469</v>
      </c>
      <c r="B3470" s="12" t="s">
        <v>7067</v>
      </c>
      <c r="C3470" s="155">
        <v>161</v>
      </c>
      <c r="D3470" s="55" t="s">
        <v>3182</v>
      </c>
      <c r="E3470" s="90" t="s">
        <v>3171</v>
      </c>
      <c r="G3470" s="55" t="s">
        <v>3172</v>
      </c>
      <c r="H3470" s="55">
        <v>2001</v>
      </c>
      <c r="I3470" s="55" t="s">
        <v>2847</v>
      </c>
      <c r="J3470" s="55" t="s">
        <v>2619</v>
      </c>
      <c r="K3470" s="55" t="s">
        <v>3134</v>
      </c>
      <c r="L3470" s="55" t="s">
        <v>2757</v>
      </c>
      <c r="M3470" s="90">
        <v>-7.0000000000000001E-3</v>
      </c>
      <c r="N3470" s="90">
        <v>34.6</v>
      </c>
      <c r="O3470" s="90">
        <v>1523.8</v>
      </c>
      <c r="R3470" s="55">
        <v>1915</v>
      </c>
      <c r="S3470" s="90">
        <v>1800</v>
      </c>
      <c r="U3470" s="55" t="s">
        <v>1816</v>
      </c>
      <c r="V3470" s="55" t="s">
        <v>1816</v>
      </c>
      <c r="Y3470" s="55" t="s">
        <v>1920</v>
      </c>
      <c r="Z3470" s="55" t="s">
        <v>1349</v>
      </c>
      <c r="AA3470" s="90" t="s">
        <v>1677</v>
      </c>
      <c r="AE3470" s="90">
        <v>43</v>
      </c>
      <c r="AF3470" s="90">
        <v>30</v>
      </c>
      <c r="AH3470" s="55" t="s">
        <v>494</v>
      </c>
      <c r="AI3470" s="168">
        <v>5.3</v>
      </c>
      <c r="AJ3470" s="90">
        <v>1.71</v>
      </c>
      <c r="AM3470" s="55" t="s">
        <v>2908</v>
      </c>
      <c r="AN3470" s="185" t="s">
        <v>2841</v>
      </c>
      <c r="AO3470" s="185" t="s">
        <v>5150</v>
      </c>
      <c r="AQ3470" s="55" t="s">
        <v>553</v>
      </c>
      <c r="AR3470" s="55" t="s">
        <v>1607</v>
      </c>
      <c r="AS3470" s="55" t="s">
        <v>132</v>
      </c>
      <c r="AU3470" s="181" t="s">
        <v>7494</v>
      </c>
      <c r="AV3470" s="185" t="s">
        <v>176</v>
      </c>
      <c r="AX3470" s="185" t="s">
        <v>176</v>
      </c>
      <c r="BE3470" s="226" t="s">
        <v>3178</v>
      </c>
      <c r="BF3470" s="191" t="s">
        <v>479</v>
      </c>
      <c r="BG3470" s="191" t="s">
        <v>479</v>
      </c>
      <c r="BH3470" s="226" t="s">
        <v>3178</v>
      </c>
      <c r="BI3470" s="191" t="s">
        <v>479</v>
      </c>
      <c r="BJ3470" s="55" t="s">
        <v>176</v>
      </c>
      <c r="BK3470" s="55" t="s">
        <v>5976</v>
      </c>
      <c r="BM3470" s="192" t="s">
        <v>3166</v>
      </c>
      <c r="BN3470" s="55">
        <v>4</v>
      </c>
      <c r="BO3470" s="55">
        <v>4</v>
      </c>
      <c r="BQ3470" s="55" t="s">
        <v>141</v>
      </c>
      <c r="BV3470" s="55" t="s">
        <v>3184</v>
      </c>
      <c r="CA3470" s="65" t="s">
        <v>2861</v>
      </c>
      <c r="CB3470" s="66">
        <v>5170</v>
      </c>
      <c r="CC3470" s="66">
        <v>4330</v>
      </c>
      <c r="GP3470" s="292" t="s">
        <v>7494</v>
      </c>
    </row>
    <row r="3471" spans="1:198" x14ac:dyDescent="0.25">
      <c r="A3471" s="55">
        <v>3470</v>
      </c>
      <c r="B3471" s="12" t="s">
        <v>7067</v>
      </c>
      <c r="C3471" s="155">
        <v>161</v>
      </c>
      <c r="D3471" s="55" t="s">
        <v>3188</v>
      </c>
      <c r="E3471" s="90" t="s">
        <v>3171</v>
      </c>
      <c r="G3471" s="55" t="s">
        <v>3172</v>
      </c>
      <c r="H3471" s="55">
        <v>2001</v>
      </c>
      <c r="I3471" s="55" t="s">
        <v>3181</v>
      </c>
      <c r="J3471" s="55" t="s">
        <v>2619</v>
      </c>
      <c r="K3471" s="55" t="s">
        <v>3134</v>
      </c>
      <c r="L3471" s="55" t="s">
        <v>2757</v>
      </c>
      <c r="M3471" s="90">
        <v>-7.0000000000000001E-3</v>
      </c>
      <c r="N3471" s="90">
        <v>34.6</v>
      </c>
      <c r="O3471" s="90">
        <v>1523.8</v>
      </c>
      <c r="R3471" s="55">
        <f>1145+770</f>
        <v>1915</v>
      </c>
      <c r="S3471" s="90">
        <v>1800</v>
      </c>
      <c r="U3471" s="55" t="s">
        <v>1805</v>
      </c>
      <c r="V3471" s="55" t="s">
        <v>1816</v>
      </c>
      <c r="Y3471" s="55" t="s">
        <v>1920</v>
      </c>
      <c r="Z3471" s="55" t="s">
        <v>1349</v>
      </c>
      <c r="AA3471" s="90" t="s">
        <v>1677</v>
      </c>
      <c r="AE3471" s="90">
        <v>43</v>
      </c>
      <c r="AF3471" s="90">
        <v>30</v>
      </c>
      <c r="AH3471" s="55" t="s">
        <v>494</v>
      </c>
      <c r="AI3471" s="168">
        <v>5.3</v>
      </c>
      <c r="AJ3471" s="90">
        <v>1.71</v>
      </c>
      <c r="AM3471" s="55" t="s">
        <v>2908</v>
      </c>
      <c r="AN3471" s="185" t="s">
        <v>2841</v>
      </c>
      <c r="AO3471" s="185" t="s">
        <v>5150</v>
      </c>
      <c r="AQ3471" s="55" t="s">
        <v>553</v>
      </c>
      <c r="AR3471" s="55" t="s">
        <v>2788</v>
      </c>
      <c r="AS3471" s="55" t="s">
        <v>227</v>
      </c>
      <c r="AU3471" s="181" t="s">
        <v>7494</v>
      </c>
      <c r="AV3471" s="185" t="s">
        <v>176</v>
      </c>
      <c r="AX3471" s="185" t="s">
        <v>176</v>
      </c>
      <c r="BE3471" s="226" t="s">
        <v>3167</v>
      </c>
      <c r="BF3471" s="191"/>
      <c r="BG3471" s="191" t="s">
        <v>176</v>
      </c>
      <c r="BH3471" s="226" t="s">
        <v>3167</v>
      </c>
      <c r="BI3471" s="191" t="s">
        <v>176</v>
      </c>
      <c r="BJ3471" s="55" t="s">
        <v>176</v>
      </c>
      <c r="BK3471" s="55" t="s">
        <v>5976</v>
      </c>
      <c r="BM3471" s="192" t="s">
        <v>3166</v>
      </c>
      <c r="BN3471" s="55">
        <v>4</v>
      </c>
      <c r="BO3471" s="55">
        <v>4</v>
      </c>
      <c r="BQ3471" s="55" t="s">
        <v>141</v>
      </c>
      <c r="BV3471" s="55" t="s">
        <v>3184</v>
      </c>
      <c r="CA3471" s="65" t="s">
        <v>2861</v>
      </c>
      <c r="CB3471" s="66">
        <v>191</v>
      </c>
      <c r="CC3471" s="66">
        <v>171</v>
      </c>
      <c r="GP3471" s="292" t="s">
        <v>7494</v>
      </c>
    </row>
    <row r="3472" spans="1:198" x14ac:dyDescent="0.25">
      <c r="A3472" s="55">
        <v>3471</v>
      </c>
      <c r="B3472" s="12" t="s">
        <v>7067</v>
      </c>
      <c r="C3472" s="155">
        <v>161</v>
      </c>
      <c r="D3472" s="55" t="s">
        <v>3188</v>
      </c>
      <c r="E3472" s="90" t="s">
        <v>3171</v>
      </c>
      <c r="G3472" s="55" t="s">
        <v>3172</v>
      </c>
      <c r="H3472" s="55">
        <v>2001</v>
      </c>
      <c r="I3472" s="55" t="s">
        <v>3181</v>
      </c>
      <c r="J3472" s="55" t="s">
        <v>2619</v>
      </c>
      <c r="K3472" s="55" t="s">
        <v>3134</v>
      </c>
      <c r="L3472" s="55" t="s">
        <v>2757</v>
      </c>
      <c r="M3472" s="90">
        <v>-7.0000000000000001E-3</v>
      </c>
      <c r="N3472" s="90">
        <v>34.6</v>
      </c>
      <c r="O3472" s="90">
        <v>1523.8</v>
      </c>
      <c r="R3472" s="55">
        <f>1145+770</f>
        <v>1915</v>
      </c>
      <c r="S3472" s="90">
        <v>1800</v>
      </c>
      <c r="U3472" s="55" t="s">
        <v>1805</v>
      </c>
      <c r="V3472" s="55" t="s">
        <v>1816</v>
      </c>
      <c r="Y3472" s="55" t="s">
        <v>1920</v>
      </c>
      <c r="Z3472" s="55" t="s">
        <v>1349</v>
      </c>
      <c r="AA3472" s="90" t="s">
        <v>1677</v>
      </c>
      <c r="AE3472" s="90">
        <v>43</v>
      </c>
      <c r="AF3472" s="90">
        <v>30</v>
      </c>
      <c r="AH3472" s="55" t="s">
        <v>494</v>
      </c>
      <c r="AI3472" s="168">
        <v>5.3</v>
      </c>
      <c r="AJ3472" s="90">
        <v>1.71</v>
      </c>
      <c r="AM3472" s="55" t="s">
        <v>2908</v>
      </c>
      <c r="AN3472" s="185" t="s">
        <v>2841</v>
      </c>
      <c r="AO3472" s="185" t="s">
        <v>5150</v>
      </c>
      <c r="AQ3472" s="55" t="s">
        <v>553</v>
      </c>
      <c r="AR3472" s="55" t="s">
        <v>2788</v>
      </c>
      <c r="AS3472" s="55" t="s">
        <v>227</v>
      </c>
      <c r="AU3472" s="181" t="s">
        <v>7494</v>
      </c>
      <c r="AV3472" s="185" t="s">
        <v>176</v>
      </c>
      <c r="AX3472" s="185" t="s">
        <v>176</v>
      </c>
      <c r="BE3472" s="226" t="s">
        <v>3175</v>
      </c>
      <c r="BF3472" s="191"/>
      <c r="BG3472" s="191" t="s">
        <v>479</v>
      </c>
      <c r="BH3472" s="226" t="s">
        <v>3175</v>
      </c>
      <c r="BI3472" s="191" t="s">
        <v>479</v>
      </c>
      <c r="BJ3472" s="55" t="s">
        <v>176</v>
      </c>
      <c r="BK3472" s="55" t="s">
        <v>5976</v>
      </c>
      <c r="BM3472" s="192" t="s">
        <v>3166</v>
      </c>
      <c r="BN3472" s="55">
        <v>4</v>
      </c>
      <c r="BO3472" s="55">
        <v>4</v>
      </c>
      <c r="BQ3472" s="55" t="s">
        <v>141</v>
      </c>
      <c r="BV3472" s="55" t="s">
        <v>3185</v>
      </c>
      <c r="CA3472" s="65" t="s">
        <v>2861</v>
      </c>
      <c r="CB3472" s="66">
        <v>375</v>
      </c>
      <c r="CC3472" s="66">
        <v>487</v>
      </c>
      <c r="GP3472" s="292" t="s">
        <v>7494</v>
      </c>
    </row>
    <row r="3473" spans="1:198" x14ac:dyDescent="0.25">
      <c r="A3473" s="55">
        <v>3472</v>
      </c>
      <c r="B3473" s="12" t="s">
        <v>7067</v>
      </c>
      <c r="C3473" s="155">
        <v>161</v>
      </c>
      <c r="D3473" s="55" t="s">
        <v>3188</v>
      </c>
      <c r="E3473" s="90" t="s">
        <v>3171</v>
      </c>
      <c r="G3473" s="55" t="s">
        <v>3172</v>
      </c>
      <c r="H3473" s="55">
        <v>2001</v>
      </c>
      <c r="I3473" s="55" t="s">
        <v>1934</v>
      </c>
      <c r="J3473" s="55" t="s">
        <v>2619</v>
      </c>
      <c r="K3473" s="55" t="s">
        <v>3134</v>
      </c>
      <c r="L3473" s="55" t="s">
        <v>2757</v>
      </c>
      <c r="M3473" s="90">
        <v>-7.0000000000000001E-3</v>
      </c>
      <c r="N3473" s="90">
        <v>34.6</v>
      </c>
      <c r="O3473" s="90">
        <v>1523.8</v>
      </c>
      <c r="R3473" s="55">
        <f>1145+770</f>
        <v>1915</v>
      </c>
      <c r="S3473" s="90">
        <v>1800</v>
      </c>
      <c r="U3473" s="55" t="s">
        <v>1688</v>
      </c>
      <c r="V3473" s="55" t="s">
        <v>1816</v>
      </c>
      <c r="Y3473" s="55" t="s">
        <v>1920</v>
      </c>
      <c r="Z3473" s="55" t="s">
        <v>1349</v>
      </c>
      <c r="AA3473" s="90" t="s">
        <v>1677</v>
      </c>
      <c r="AE3473" s="90">
        <v>43</v>
      </c>
      <c r="AF3473" s="90">
        <v>30</v>
      </c>
      <c r="AH3473" s="55" t="s">
        <v>494</v>
      </c>
      <c r="AI3473" s="168">
        <v>5.3</v>
      </c>
      <c r="AJ3473" s="90">
        <v>1.71</v>
      </c>
      <c r="AM3473" s="55" t="s">
        <v>2908</v>
      </c>
      <c r="AN3473" s="185" t="s">
        <v>2841</v>
      </c>
      <c r="AO3473" s="185" t="s">
        <v>5150</v>
      </c>
      <c r="AQ3473" s="55" t="s">
        <v>553</v>
      </c>
      <c r="AR3473" s="55" t="s">
        <v>2788</v>
      </c>
      <c r="AS3473" s="55" t="s">
        <v>227</v>
      </c>
      <c r="AU3473" s="181" t="s">
        <v>7494</v>
      </c>
      <c r="AV3473" s="185" t="s">
        <v>176</v>
      </c>
      <c r="AX3473" s="185" t="s">
        <v>176</v>
      </c>
      <c r="BE3473" s="226" t="s">
        <v>3167</v>
      </c>
      <c r="BG3473" s="191" t="s">
        <v>176</v>
      </c>
      <c r="BH3473" s="226" t="s">
        <v>3167</v>
      </c>
      <c r="BI3473" s="191" t="s">
        <v>176</v>
      </c>
      <c r="BJ3473" s="55" t="s">
        <v>176</v>
      </c>
      <c r="BK3473" s="55" t="s">
        <v>5976</v>
      </c>
      <c r="BM3473" s="192" t="s">
        <v>3166</v>
      </c>
      <c r="BN3473" s="55">
        <v>4</v>
      </c>
      <c r="BO3473" s="55">
        <v>4</v>
      </c>
      <c r="BQ3473" s="55" t="s">
        <v>141</v>
      </c>
      <c r="BV3473" s="55" t="s">
        <v>3183</v>
      </c>
      <c r="CA3473" s="65" t="s">
        <v>2861</v>
      </c>
      <c r="CB3473" s="66">
        <v>161</v>
      </c>
      <c r="CC3473" s="66">
        <v>144</v>
      </c>
      <c r="GP3473" s="292" t="s">
        <v>7494</v>
      </c>
    </row>
    <row r="3474" spans="1:198" x14ac:dyDescent="0.25">
      <c r="A3474" s="55">
        <v>3473</v>
      </c>
      <c r="B3474" s="12" t="s">
        <v>7067</v>
      </c>
      <c r="C3474" s="155">
        <v>161</v>
      </c>
      <c r="D3474" s="55" t="s">
        <v>3188</v>
      </c>
      <c r="E3474" s="90" t="s">
        <v>3171</v>
      </c>
      <c r="G3474" s="55" t="s">
        <v>3172</v>
      </c>
      <c r="H3474" s="55">
        <v>2001</v>
      </c>
      <c r="I3474" s="55" t="s">
        <v>1934</v>
      </c>
      <c r="J3474" s="55" t="s">
        <v>2619</v>
      </c>
      <c r="K3474" s="55" t="s">
        <v>3134</v>
      </c>
      <c r="L3474" s="55" t="s">
        <v>2757</v>
      </c>
      <c r="M3474" s="90">
        <v>-7.0000000000000001E-3</v>
      </c>
      <c r="N3474" s="90">
        <v>34.6</v>
      </c>
      <c r="O3474" s="90">
        <v>1523.8</v>
      </c>
      <c r="R3474" s="55">
        <f>1145+770</f>
        <v>1915</v>
      </c>
      <c r="S3474" s="90">
        <v>1800</v>
      </c>
      <c r="U3474" s="55" t="s">
        <v>1688</v>
      </c>
      <c r="V3474" s="55" t="s">
        <v>1816</v>
      </c>
      <c r="Y3474" s="55" t="s">
        <v>1920</v>
      </c>
      <c r="Z3474" s="55" t="s">
        <v>1349</v>
      </c>
      <c r="AA3474" s="90" t="s">
        <v>1677</v>
      </c>
      <c r="AE3474" s="90">
        <v>43</v>
      </c>
      <c r="AF3474" s="90">
        <v>30</v>
      </c>
      <c r="AH3474" s="55" t="s">
        <v>494</v>
      </c>
      <c r="AI3474" s="168">
        <v>5.3</v>
      </c>
      <c r="AJ3474" s="90">
        <v>1.71</v>
      </c>
      <c r="AM3474" s="55" t="s">
        <v>2908</v>
      </c>
      <c r="AN3474" s="185" t="s">
        <v>2841</v>
      </c>
      <c r="AO3474" s="185" t="s">
        <v>5150</v>
      </c>
      <c r="AQ3474" s="55" t="s">
        <v>553</v>
      </c>
      <c r="AR3474" s="55" t="s">
        <v>2788</v>
      </c>
      <c r="AS3474" s="55" t="s">
        <v>227</v>
      </c>
      <c r="AU3474" s="181" t="s">
        <v>7494</v>
      </c>
      <c r="AV3474" s="185" t="s">
        <v>176</v>
      </c>
      <c r="AX3474" s="185" t="s">
        <v>176</v>
      </c>
      <c r="BE3474" s="226" t="s">
        <v>3175</v>
      </c>
      <c r="BG3474" s="191" t="s">
        <v>479</v>
      </c>
      <c r="BH3474" s="226" t="s">
        <v>3175</v>
      </c>
      <c r="BI3474" s="191" t="s">
        <v>479</v>
      </c>
      <c r="BJ3474" s="55" t="s">
        <v>176</v>
      </c>
      <c r="BK3474" s="55" t="s">
        <v>5976</v>
      </c>
      <c r="BM3474" s="192" t="s">
        <v>3166</v>
      </c>
      <c r="BN3474" s="55">
        <v>4</v>
      </c>
      <c r="BO3474" s="55">
        <v>4</v>
      </c>
      <c r="BQ3474" s="55" t="s">
        <v>141</v>
      </c>
      <c r="BV3474" s="55" t="s">
        <v>3183</v>
      </c>
      <c r="CA3474" s="65" t="s">
        <v>2861</v>
      </c>
      <c r="CB3474" s="66">
        <v>445</v>
      </c>
      <c r="CC3474" s="66">
        <v>551</v>
      </c>
      <c r="GP3474" s="292" t="s">
        <v>7494</v>
      </c>
    </row>
    <row r="3475" spans="1:198" x14ac:dyDescent="0.25">
      <c r="A3475" s="55">
        <v>3474</v>
      </c>
      <c r="B3475" s="12" t="s">
        <v>7067</v>
      </c>
      <c r="C3475" s="155">
        <v>161</v>
      </c>
      <c r="D3475" s="55" t="s">
        <v>3188</v>
      </c>
      <c r="E3475" s="90" t="s">
        <v>3171</v>
      </c>
      <c r="G3475" s="55" t="s">
        <v>3172</v>
      </c>
      <c r="H3475" s="55">
        <v>2001</v>
      </c>
      <c r="I3475" s="55" t="s">
        <v>1934</v>
      </c>
      <c r="J3475" s="55" t="s">
        <v>2619</v>
      </c>
      <c r="K3475" s="55" t="s">
        <v>3134</v>
      </c>
      <c r="L3475" s="55" t="s">
        <v>2757</v>
      </c>
      <c r="M3475" s="90">
        <v>-7.0000000000000001E-3</v>
      </c>
      <c r="N3475" s="90">
        <v>34.6</v>
      </c>
      <c r="O3475" s="90">
        <v>1523.8</v>
      </c>
      <c r="R3475" s="55">
        <v>1915</v>
      </c>
      <c r="S3475" s="90">
        <v>1800</v>
      </c>
      <c r="U3475" s="55" t="s">
        <v>1688</v>
      </c>
      <c r="V3475" s="55" t="s">
        <v>1816</v>
      </c>
      <c r="Y3475" s="55" t="s">
        <v>1920</v>
      </c>
      <c r="Z3475" s="55" t="s">
        <v>1349</v>
      </c>
      <c r="AA3475" s="90" t="s">
        <v>1677</v>
      </c>
      <c r="AE3475" s="90">
        <v>43</v>
      </c>
      <c r="AF3475" s="90">
        <v>30</v>
      </c>
      <c r="AH3475" s="55" t="s">
        <v>494</v>
      </c>
      <c r="AI3475" s="168">
        <v>5.3</v>
      </c>
      <c r="AJ3475" s="90">
        <v>1.71</v>
      </c>
      <c r="AM3475" s="55" t="s">
        <v>2908</v>
      </c>
      <c r="AN3475" s="185" t="s">
        <v>2841</v>
      </c>
      <c r="AO3475" s="185" t="s">
        <v>5150</v>
      </c>
      <c r="AQ3475" s="55" t="s">
        <v>553</v>
      </c>
      <c r="AR3475" s="55" t="s">
        <v>2788</v>
      </c>
      <c r="AS3475" s="55" t="s">
        <v>227</v>
      </c>
      <c r="AU3475" s="181" t="s">
        <v>7494</v>
      </c>
      <c r="AV3475" s="185" t="s">
        <v>176</v>
      </c>
      <c r="AX3475" s="185" t="s">
        <v>176</v>
      </c>
      <c r="BE3475" s="226" t="s">
        <v>3167</v>
      </c>
      <c r="BG3475" s="191" t="s">
        <v>176</v>
      </c>
      <c r="BH3475" s="226" t="s">
        <v>3167</v>
      </c>
      <c r="BI3475" s="191" t="s">
        <v>176</v>
      </c>
      <c r="BJ3475" s="55" t="s">
        <v>176</v>
      </c>
      <c r="BK3475" s="55" t="s">
        <v>5976</v>
      </c>
      <c r="BM3475" s="192" t="s">
        <v>3166</v>
      </c>
      <c r="BN3475" s="55">
        <v>4</v>
      </c>
      <c r="BO3475" s="55">
        <v>4</v>
      </c>
      <c r="BQ3475" s="55" t="s">
        <v>141</v>
      </c>
      <c r="BV3475" s="55" t="s">
        <v>3184</v>
      </c>
      <c r="CA3475" s="65" t="s">
        <v>2861</v>
      </c>
      <c r="CB3475" s="66">
        <v>78</v>
      </c>
      <c r="CC3475" s="66">
        <v>82</v>
      </c>
      <c r="GP3475" s="292" t="s">
        <v>7494</v>
      </c>
    </row>
    <row r="3476" spans="1:198" x14ac:dyDescent="0.25">
      <c r="A3476" s="55">
        <v>3475</v>
      </c>
      <c r="B3476" s="12" t="s">
        <v>7067</v>
      </c>
      <c r="C3476" s="155">
        <v>161</v>
      </c>
      <c r="D3476" s="55" t="s">
        <v>3188</v>
      </c>
      <c r="E3476" s="90" t="s">
        <v>3171</v>
      </c>
      <c r="G3476" s="55" t="s">
        <v>3172</v>
      </c>
      <c r="H3476" s="55">
        <v>2001</v>
      </c>
      <c r="I3476" s="55" t="s">
        <v>1934</v>
      </c>
      <c r="J3476" s="55" t="s">
        <v>2619</v>
      </c>
      <c r="K3476" s="55" t="s">
        <v>3134</v>
      </c>
      <c r="L3476" s="55" t="s">
        <v>2757</v>
      </c>
      <c r="M3476" s="90">
        <v>-7.0000000000000001E-3</v>
      </c>
      <c r="N3476" s="90">
        <v>34.6</v>
      </c>
      <c r="O3476" s="90">
        <v>1523.8</v>
      </c>
      <c r="R3476" s="55">
        <v>1915</v>
      </c>
      <c r="S3476" s="90">
        <v>1800</v>
      </c>
      <c r="U3476" s="55" t="s">
        <v>1688</v>
      </c>
      <c r="V3476" s="55" t="s">
        <v>1816</v>
      </c>
      <c r="Y3476" s="55" t="s">
        <v>1920</v>
      </c>
      <c r="Z3476" s="55" t="s">
        <v>1349</v>
      </c>
      <c r="AA3476" s="90" t="s">
        <v>1677</v>
      </c>
      <c r="AE3476" s="90">
        <v>43</v>
      </c>
      <c r="AF3476" s="90">
        <v>30</v>
      </c>
      <c r="AH3476" s="55" t="s">
        <v>494</v>
      </c>
      <c r="AI3476" s="168">
        <v>5.3</v>
      </c>
      <c r="AJ3476" s="90">
        <v>1.71</v>
      </c>
      <c r="AM3476" s="55" t="s">
        <v>2908</v>
      </c>
      <c r="AN3476" s="185" t="s">
        <v>2841</v>
      </c>
      <c r="AO3476" s="185" t="s">
        <v>5150</v>
      </c>
      <c r="AQ3476" s="55" t="s">
        <v>553</v>
      </c>
      <c r="AR3476" s="55" t="s">
        <v>2788</v>
      </c>
      <c r="AS3476" s="55" t="s">
        <v>227</v>
      </c>
      <c r="AU3476" s="181" t="s">
        <v>7494</v>
      </c>
      <c r="AV3476" s="185" t="s">
        <v>176</v>
      </c>
      <c r="AX3476" s="185" t="s">
        <v>176</v>
      </c>
      <c r="BE3476" s="226" t="s">
        <v>3175</v>
      </c>
      <c r="BG3476" s="191" t="s">
        <v>479</v>
      </c>
      <c r="BH3476" s="226" t="s">
        <v>3175</v>
      </c>
      <c r="BI3476" s="191" t="s">
        <v>479</v>
      </c>
      <c r="BJ3476" s="55" t="s">
        <v>176</v>
      </c>
      <c r="BK3476" s="55" t="s">
        <v>5976</v>
      </c>
      <c r="BM3476" s="192" t="s">
        <v>3166</v>
      </c>
      <c r="BN3476" s="55">
        <v>4</v>
      </c>
      <c r="BO3476" s="55">
        <v>4</v>
      </c>
      <c r="BQ3476" s="55" t="s">
        <v>141</v>
      </c>
      <c r="BV3476" s="55" t="s">
        <v>3184</v>
      </c>
      <c r="CA3476" s="65" t="s">
        <v>2861</v>
      </c>
      <c r="CB3476" s="66">
        <v>305</v>
      </c>
      <c r="CC3476" s="66">
        <v>393</v>
      </c>
      <c r="GP3476" s="292" t="s">
        <v>7494</v>
      </c>
    </row>
    <row r="3477" spans="1:198" x14ac:dyDescent="0.25">
      <c r="A3477" s="55">
        <v>3476</v>
      </c>
      <c r="B3477" s="12" t="s">
        <v>7067</v>
      </c>
      <c r="C3477" s="155">
        <v>161</v>
      </c>
      <c r="D3477" s="55" t="s">
        <v>3188</v>
      </c>
      <c r="E3477" s="90" t="s">
        <v>3171</v>
      </c>
      <c r="G3477" s="55" t="s">
        <v>3172</v>
      </c>
      <c r="H3477" s="55">
        <v>2001</v>
      </c>
      <c r="I3477" s="55" t="s">
        <v>2847</v>
      </c>
      <c r="J3477" s="55" t="s">
        <v>2619</v>
      </c>
      <c r="K3477" s="55" t="s">
        <v>3134</v>
      </c>
      <c r="L3477" s="55" t="s">
        <v>2757</v>
      </c>
      <c r="M3477" s="90">
        <v>-7.0000000000000001E-3</v>
      </c>
      <c r="N3477" s="90">
        <v>34.6</v>
      </c>
      <c r="O3477" s="90">
        <v>1523.8</v>
      </c>
      <c r="R3477" s="55">
        <v>1915</v>
      </c>
      <c r="S3477" s="90">
        <v>1800</v>
      </c>
      <c r="U3477" s="55" t="s">
        <v>1816</v>
      </c>
      <c r="V3477" s="55" t="s">
        <v>1816</v>
      </c>
      <c r="Y3477" s="55" t="s">
        <v>1920</v>
      </c>
      <c r="Z3477" s="55" t="s">
        <v>1349</v>
      </c>
      <c r="AA3477" s="90" t="s">
        <v>1677</v>
      </c>
      <c r="AE3477" s="90">
        <v>43</v>
      </c>
      <c r="AF3477" s="90">
        <v>30</v>
      </c>
      <c r="AH3477" s="55" t="s">
        <v>494</v>
      </c>
      <c r="AI3477" s="168">
        <v>5.3</v>
      </c>
      <c r="AJ3477" s="90">
        <v>1.71</v>
      </c>
      <c r="AM3477" s="55" t="s">
        <v>2908</v>
      </c>
      <c r="AN3477" s="185" t="s">
        <v>2841</v>
      </c>
      <c r="AO3477" s="185" t="s">
        <v>5150</v>
      </c>
      <c r="AQ3477" s="55" t="s">
        <v>553</v>
      </c>
      <c r="AR3477" s="55" t="s">
        <v>2788</v>
      </c>
      <c r="AS3477" s="55" t="s">
        <v>227</v>
      </c>
      <c r="AU3477" s="181" t="s">
        <v>7494</v>
      </c>
      <c r="AV3477" s="185" t="s">
        <v>176</v>
      </c>
      <c r="AX3477" s="185" t="s">
        <v>176</v>
      </c>
      <c r="BE3477" s="226" t="s">
        <v>3167</v>
      </c>
      <c r="BG3477" s="191" t="s">
        <v>176</v>
      </c>
      <c r="BH3477" s="226" t="s">
        <v>3167</v>
      </c>
      <c r="BI3477" s="191" t="s">
        <v>176</v>
      </c>
      <c r="BJ3477" s="55" t="s">
        <v>176</v>
      </c>
      <c r="BK3477" s="55" t="s">
        <v>5976</v>
      </c>
      <c r="BM3477" s="192" t="s">
        <v>3166</v>
      </c>
      <c r="BN3477" s="55">
        <v>4</v>
      </c>
      <c r="BO3477" s="55">
        <v>4</v>
      </c>
      <c r="BQ3477" s="55" t="s">
        <v>141</v>
      </c>
      <c r="BV3477" s="55" t="s">
        <v>3186</v>
      </c>
      <c r="CA3477" s="65" t="s">
        <v>2861</v>
      </c>
      <c r="CB3477" s="66">
        <v>147</v>
      </c>
      <c r="CC3477" s="66">
        <v>134</v>
      </c>
      <c r="GP3477" s="292" t="s">
        <v>7494</v>
      </c>
    </row>
    <row r="3478" spans="1:198" x14ac:dyDescent="0.25">
      <c r="A3478" s="55">
        <v>3477</v>
      </c>
      <c r="B3478" s="12" t="s">
        <v>7067</v>
      </c>
      <c r="C3478" s="155">
        <v>161</v>
      </c>
      <c r="D3478" s="55" t="s">
        <v>3188</v>
      </c>
      <c r="E3478" s="90" t="s">
        <v>3171</v>
      </c>
      <c r="G3478" s="55" t="s">
        <v>3172</v>
      </c>
      <c r="H3478" s="55">
        <v>2001</v>
      </c>
      <c r="I3478" s="55" t="s">
        <v>2847</v>
      </c>
      <c r="J3478" s="55" t="s">
        <v>2619</v>
      </c>
      <c r="K3478" s="55" t="s">
        <v>3134</v>
      </c>
      <c r="L3478" s="55" t="s">
        <v>2757</v>
      </c>
      <c r="M3478" s="90">
        <v>-7.0000000000000001E-3</v>
      </c>
      <c r="N3478" s="90">
        <v>34.6</v>
      </c>
      <c r="O3478" s="90">
        <v>1523.8</v>
      </c>
      <c r="R3478" s="55">
        <v>1915</v>
      </c>
      <c r="S3478" s="90">
        <v>1800</v>
      </c>
      <c r="U3478" s="55" t="s">
        <v>1816</v>
      </c>
      <c r="V3478" s="55" t="s">
        <v>1816</v>
      </c>
      <c r="Y3478" s="55" t="s">
        <v>1920</v>
      </c>
      <c r="Z3478" s="55" t="s">
        <v>1349</v>
      </c>
      <c r="AA3478" s="90" t="s">
        <v>1677</v>
      </c>
      <c r="AE3478" s="90">
        <v>43</v>
      </c>
      <c r="AF3478" s="90">
        <v>30</v>
      </c>
      <c r="AH3478" s="55" t="s">
        <v>494</v>
      </c>
      <c r="AI3478" s="168">
        <v>5.3</v>
      </c>
      <c r="AJ3478" s="90">
        <v>1.71</v>
      </c>
      <c r="AM3478" s="55" t="s">
        <v>2908</v>
      </c>
      <c r="AN3478" s="185" t="s">
        <v>2841</v>
      </c>
      <c r="AO3478" s="185" t="s">
        <v>5150</v>
      </c>
      <c r="AQ3478" s="55" t="s">
        <v>553</v>
      </c>
      <c r="AR3478" s="55" t="s">
        <v>2788</v>
      </c>
      <c r="AS3478" s="55" t="s">
        <v>227</v>
      </c>
      <c r="AU3478" s="181" t="s">
        <v>7494</v>
      </c>
      <c r="AV3478" s="185" t="s">
        <v>176</v>
      </c>
      <c r="AX3478" s="185" t="s">
        <v>176</v>
      </c>
      <c r="BE3478" s="226" t="s">
        <v>3175</v>
      </c>
      <c r="BG3478" s="191" t="s">
        <v>479</v>
      </c>
      <c r="BH3478" s="226" t="s">
        <v>3175</v>
      </c>
      <c r="BI3478" s="191" t="s">
        <v>479</v>
      </c>
      <c r="BJ3478" s="55" t="s">
        <v>176</v>
      </c>
      <c r="BK3478" s="55" t="s">
        <v>5976</v>
      </c>
      <c r="BM3478" s="192" t="s">
        <v>3166</v>
      </c>
      <c r="BN3478" s="55">
        <v>4</v>
      </c>
      <c r="BO3478" s="55">
        <v>4</v>
      </c>
      <c r="BQ3478" s="55" t="s">
        <v>141</v>
      </c>
      <c r="BV3478" s="55" t="s">
        <v>3187</v>
      </c>
      <c r="CA3478" s="65" t="s">
        <v>2861</v>
      </c>
      <c r="CB3478" s="66">
        <v>370</v>
      </c>
      <c r="CC3478" s="66">
        <v>479</v>
      </c>
      <c r="GP3478" s="292" t="s">
        <v>7494</v>
      </c>
    </row>
    <row r="3479" spans="1:198" x14ac:dyDescent="0.25">
      <c r="A3479" s="55">
        <v>3478</v>
      </c>
      <c r="B3479" s="12" t="s">
        <v>7067</v>
      </c>
      <c r="C3479" s="155">
        <v>162</v>
      </c>
      <c r="D3479" s="55" t="s">
        <v>3201</v>
      </c>
      <c r="E3479" s="90" t="s">
        <v>3191</v>
      </c>
      <c r="G3479" s="55" t="s">
        <v>3192</v>
      </c>
      <c r="H3479" s="55">
        <v>2006</v>
      </c>
      <c r="I3479" s="55">
        <v>2002</v>
      </c>
      <c r="J3479" s="55" t="s">
        <v>2635</v>
      </c>
      <c r="K3479" s="55" t="s">
        <v>3195</v>
      </c>
      <c r="L3479" s="55" t="s">
        <v>3108</v>
      </c>
      <c r="M3479" s="90">
        <f>-6-13/60</f>
        <v>-6.2166666666666668</v>
      </c>
      <c r="N3479" s="90">
        <f>36+53/60</f>
        <v>36.883333333333333</v>
      </c>
      <c r="O3479" s="90">
        <v>1353</v>
      </c>
      <c r="R3479" s="55">
        <f>115.6+172+160.9</f>
        <v>448.5</v>
      </c>
      <c r="U3479" s="55" t="s">
        <v>1805</v>
      </c>
      <c r="V3479" s="55" t="s">
        <v>1682</v>
      </c>
      <c r="Y3479" s="55" t="s">
        <v>3200</v>
      </c>
      <c r="Z3479" s="55" t="s">
        <v>1349</v>
      </c>
      <c r="AA3479" s="90" t="s">
        <v>1677</v>
      </c>
      <c r="AM3479" s="55" t="s">
        <v>3198</v>
      </c>
      <c r="AN3479" s="185" t="s">
        <v>2656</v>
      </c>
      <c r="AO3479" s="185" t="s">
        <v>5150</v>
      </c>
      <c r="AQ3479" s="55" t="s">
        <v>553</v>
      </c>
      <c r="AR3479" s="55" t="s">
        <v>1607</v>
      </c>
      <c r="AS3479" s="55" t="s">
        <v>132</v>
      </c>
      <c r="AU3479" s="181" t="s">
        <v>7494</v>
      </c>
      <c r="AV3479" s="185" t="s">
        <v>176</v>
      </c>
      <c r="AX3479" s="185" t="s">
        <v>176</v>
      </c>
      <c r="BK3479" s="55" t="s">
        <v>5976</v>
      </c>
      <c r="BN3479" s="55">
        <v>4</v>
      </c>
      <c r="BO3479" s="55">
        <v>4</v>
      </c>
      <c r="BP3479" s="55">
        <v>5</v>
      </c>
      <c r="BQ3479" s="55" t="s">
        <v>141</v>
      </c>
      <c r="BW3479" s="65">
        <v>1723</v>
      </c>
      <c r="BX3479" s="65">
        <v>1831</v>
      </c>
      <c r="CA3479" s="65" t="s">
        <v>2861</v>
      </c>
      <c r="CB3479" s="66">
        <v>4880</v>
      </c>
      <c r="CC3479" s="66">
        <v>4792</v>
      </c>
      <c r="CM3479" s="65">
        <v>1.35</v>
      </c>
      <c r="CN3479" s="65">
        <v>1.42</v>
      </c>
      <c r="CO3479" s="65">
        <f>1.46-CM3479</f>
        <v>0.10999999999999988</v>
      </c>
      <c r="CP3479" s="65">
        <f>1.52-CN3479</f>
        <v>0.10000000000000009</v>
      </c>
      <c r="CQ3479" s="65" t="s">
        <v>3206</v>
      </c>
      <c r="DA3479" s="65" t="s">
        <v>4456</v>
      </c>
      <c r="DB3479" s="65">
        <v>1.21</v>
      </c>
      <c r="DC3479" s="65">
        <v>1.27</v>
      </c>
      <c r="DD3479" s="65">
        <f>1.26-DB3479</f>
        <v>5.0000000000000044E-2</v>
      </c>
      <c r="DE3479" s="65">
        <f>1.33-DC3479</f>
        <v>6.0000000000000053E-2</v>
      </c>
      <c r="DF3479" s="65" t="s">
        <v>3205</v>
      </c>
      <c r="GP3479" s="292" t="s">
        <v>7494</v>
      </c>
    </row>
    <row r="3480" spans="1:198" x14ac:dyDescent="0.25">
      <c r="A3480" s="55">
        <v>3479</v>
      </c>
      <c r="B3480" s="12" t="s">
        <v>7067</v>
      </c>
      <c r="C3480" s="155">
        <v>162</v>
      </c>
      <c r="D3480" s="55" t="s">
        <v>3202</v>
      </c>
      <c r="E3480" s="90" t="s">
        <v>3191</v>
      </c>
      <c r="G3480" s="55" t="s">
        <v>3192</v>
      </c>
      <c r="H3480" s="55">
        <v>2006</v>
      </c>
      <c r="I3480" s="55">
        <v>2002</v>
      </c>
      <c r="J3480" s="55" t="s">
        <v>2635</v>
      </c>
      <c r="K3480" s="55" t="s">
        <v>3196</v>
      </c>
      <c r="L3480" s="55" t="s">
        <v>3108</v>
      </c>
      <c r="M3480" s="90">
        <f>-4-14/60</f>
        <v>-4.2333333333333334</v>
      </c>
      <c r="N3480" s="90">
        <f>35+35/60</f>
        <v>35.583333333333336</v>
      </c>
      <c r="O3480" s="90">
        <v>1628</v>
      </c>
      <c r="R3480" s="55">
        <f>5+115+251+76.8+296.6+78+18.6+1</f>
        <v>842.00000000000011</v>
      </c>
      <c r="U3480" s="55" t="s">
        <v>1805</v>
      </c>
      <c r="V3480" s="55" t="s">
        <v>1682</v>
      </c>
      <c r="Y3480" s="55" t="s">
        <v>3200</v>
      </c>
      <c r="Z3480" s="55" t="s">
        <v>1349</v>
      </c>
      <c r="AA3480" s="90" t="s">
        <v>1677</v>
      </c>
      <c r="AM3480" s="55" t="s">
        <v>3197</v>
      </c>
      <c r="AN3480" s="185" t="s">
        <v>2656</v>
      </c>
      <c r="AO3480" s="185" t="s">
        <v>5150</v>
      </c>
      <c r="AQ3480" s="55" t="s">
        <v>553</v>
      </c>
      <c r="AR3480" s="55" t="s">
        <v>1607</v>
      </c>
      <c r="AS3480" s="55" t="s">
        <v>132</v>
      </c>
      <c r="AU3480" s="181" t="s">
        <v>7494</v>
      </c>
      <c r="AV3480" s="185" t="s">
        <v>176</v>
      </c>
      <c r="AX3480" s="185" t="s">
        <v>176</v>
      </c>
      <c r="BK3480" s="55" t="s">
        <v>5976</v>
      </c>
      <c r="BN3480" s="55">
        <v>4</v>
      </c>
      <c r="BO3480" s="55">
        <v>4</v>
      </c>
      <c r="BP3480" s="55">
        <v>5</v>
      </c>
      <c r="BQ3480" s="55" t="s">
        <v>141</v>
      </c>
      <c r="BW3480" s="65">
        <v>2559</v>
      </c>
      <c r="BX3480" s="65">
        <v>2316</v>
      </c>
      <c r="CA3480" s="65" t="s">
        <v>2861</v>
      </c>
      <c r="CB3480" s="66">
        <v>2277</v>
      </c>
      <c r="CC3480" s="66">
        <v>1910</v>
      </c>
      <c r="CM3480" s="65">
        <v>1.1599999999999999</v>
      </c>
      <c r="CN3480" s="65">
        <v>1.22</v>
      </c>
      <c r="CO3480" s="65">
        <f>1.24-CM3480</f>
        <v>8.0000000000000071E-2</v>
      </c>
      <c r="CP3480" s="65">
        <f>1.31-CN3480</f>
        <v>9.000000000000008E-2</v>
      </c>
      <c r="CQ3480" s="65" t="s">
        <v>3206</v>
      </c>
      <c r="DA3480" s="65" t="s">
        <v>4456</v>
      </c>
      <c r="DB3480" s="65">
        <v>1.34</v>
      </c>
      <c r="DC3480" s="65">
        <v>1.43</v>
      </c>
      <c r="DD3480" s="65">
        <f>1.42-DB3480</f>
        <v>7.9999999999999849E-2</v>
      </c>
      <c r="DE3480" s="65">
        <f>1.5-DC3480</f>
        <v>7.0000000000000062E-2</v>
      </c>
      <c r="DF3480" s="65" t="s">
        <v>3205</v>
      </c>
      <c r="GP3480" s="292" t="s">
        <v>7494</v>
      </c>
    </row>
    <row r="3481" spans="1:198" x14ac:dyDescent="0.25">
      <c r="A3481" s="55">
        <v>3480</v>
      </c>
      <c r="B3481" s="12" t="s">
        <v>7067</v>
      </c>
      <c r="C3481" s="155">
        <v>162</v>
      </c>
      <c r="D3481" s="55" t="s">
        <v>3203</v>
      </c>
      <c r="E3481" s="90" t="s">
        <v>3191</v>
      </c>
      <c r="G3481" s="55" t="s">
        <v>3192</v>
      </c>
      <c r="H3481" s="55">
        <v>2006</v>
      </c>
      <c r="I3481" s="55">
        <v>2002</v>
      </c>
      <c r="J3481" s="55" t="s">
        <v>2635</v>
      </c>
      <c r="K3481" s="55" t="s">
        <v>3193</v>
      </c>
      <c r="L3481" s="55" t="s">
        <v>2748</v>
      </c>
      <c r="M3481" s="90">
        <f>-14-39/60</f>
        <v>-14.65</v>
      </c>
      <c r="N3481" s="90">
        <f>35+35/60</f>
        <v>35.583333333333336</v>
      </c>
      <c r="O3481" s="90">
        <v>834</v>
      </c>
      <c r="R3481" s="55">
        <f>38.7+269.3+249.1+346.2+52.4+34.9</f>
        <v>990.59999999999991</v>
      </c>
      <c r="U3481" s="55" t="s">
        <v>1805</v>
      </c>
      <c r="V3481" s="55" t="s">
        <v>1682</v>
      </c>
      <c r="Y3481" s="55" t="s">
        <v>3200</v>
      </c>
      <c r="Z3481" s="55" t="s">
        <v>1349</v>
      </c>
      <c r="AA3481" s="90" t="s">
        <v>1677</v>
      </c>
      <c r="AM3481" s="55" t="s">
        <v>3199</v>
      </c>
      <c r="AN3481" s="185" t="s">
        <v>2656</v>
      </c>
      <c r="AO3481" s="185" t="s">
        <v>5150</v>
      </c>
      <c r="AQ3481" s="55" t="s">
        <v>553</v>
      </c>
      <c r="AR3481" s="55" t="s">
        <v>1607</v>
      </c>
      <c r="AS3481" s="55" t="s">
        <v>132</v>
      </c>
      <c r="AU3481" s="181" t="s">
        <v>7494</v>
      </c>
      <c r="AV3481" s="185" t="s">
        <v>176</v>
      </c>
      <c r="AX3481" s="185" t="s">
        <v>176</v>
      </c>
      <c r="BK3481" s="55" t="s">
        <v>5976</v>
      </c>
      <c r="BN3481" s="55">
        <v>4</v>
      </c>
      <c r="BO3481" s="55">
        <v>4</v>
      </c>
      <c r="BP3481" s="55">
        <v>5</v>
      </c>
      <c r="BQ3481" s="55" t="s">
        <v>141</v>
      </c>
      <c r="BW3481" s="65">
        <v>3558</v>
      </c>
      <c r="BX3481" s="65">
        <v>3250</v>
      </c>
      <c r="CA3481" s="65" t="s">
        <v>2861</v>
      </c>
      <c r="CB3481" s="66">
        <v>1266</v>
      </c>
      <c r="CC3481" s="66">
        <v>1191</v>
      </c>
      <c r="CM3481" s="65">
        <v>1.1399999999999999</v>
      </c>
      <c r="CN3481" s="65">
        <v>1.1599999999999999</v>
      </c>
      <c r="CO3481" s="65">
        <f>1.3-CM3481</f>
        <v>0.16000000000000014</v>
      </c>
      <c r="CP3481" s="65">
        <f>1.277-CN3481</f>
        <v>0.11699999999999999</v>
      </c>
      <c r="CQ3481" s="65" t="s">
        <v>3206</v>
      </c>
      <c r="DA3481" s="65" t="s">
        <v>4456</v>
      </c>
      <c r="DB3481" s="65">
        <v>0.51</v>
      </c>
      <c r="DC3481" s="65">
        <v>0.43</v>
      </c>
      <c r="DD3481" s="65">
        <f>0.56-DB3481</f>
        <v>5.0000000000000044E-2</v>
      </c>
      <c r="DE3481" s="65">
        <f>0.49-DC3481</f>
        <v>0.06</v>
      </c>
      <c r="DF3481" s="65" t="s">
        <v>3205</v>
      </c>
      <c r="GP3481" s="292" t="s">
        <v>7494</v>
      </c>
    </row>
    <row r="3482" spans="1:198" x14ac:dyDescent="0.25">
      <c r="A3482" s="55">
        <v>3481</v>
      </c>
      <c r="B3482" s="12" t="s">
        <v>7067</v>
      </c>
      <c r="C3482" s="155">
        <v>162</v>
      </c>
      <c r="D3482" s="55" t="s">
        <v>3204</v>
      </c>
      <c r="E3482" s="90" t="s">
        <v>3191</v>
      </c>
      <c r="G3482" s="55" t="s">
        <v>3192</v>
      </c>
      <c r="H3482" s="55">
        <v>2006</v>
      </c>
      <c r="I3482" s="55">
        <v>2002</v>
      </c>
      <c r="J3482" s="55" t="s">
        <v>2635</v>
      </c>
      <c r="K3482" s="55" t="s">
        <v>3194</v>
      </c>
      <c r="L3482" s="55" t="s">
        <v>2748</v>
      </c>
      <c r="M3482" s="90">
        <f>-15-53/60</f>
        <v>-15.883333333333333</v>
      </c>
      <c r="N3482" s="90">
        <f>34+57/60</f>
        <v>34.950000000000003</v>
      </c>
      <c r="O3482" s="90">
        <v>866.6</v>
      </c>
      <c r="R3482" s="55">
        <f>74+46+215+356.9+180.2+246.7</f>
        <v>1118.8</v>
      </c>
      <c r="U3482" s="55" t="s">
        <v>1805</v>
      </c>
      <c r="V3482" s="55" t="s">
        <v>1682</v>
      </c>
      <c r="Y3482" s="55" t="s">
        <v>3200</v>
      </c>
      <c r="Z3482" s="55" t="s">
        <v>1349</v>
      </c>
      <c r="AA3482" s="90" t="s">
        <v>1677</v>
      </c>
      <c r="AM3482" s="55" t="s">
        <v>3197</v>
      </c>
      <c r="AN3482" s="185" t="s">
        <v>2656</v>
      </c>
      <c r="AO3482" s="185" t="s">
        <v>5150</v>
      </c>
      <c r="AQ3482" s="55" t="s">
        <v>553</v>
      </c>
      <c r="AR3482" s="55" t="s">
        <v>1607</v>
      </c>
      <c r="AS3482" s="55" t="s">
        <v>132</v>
      </c>
      <c r="AU3482" s="181" t="s">
        <v>7494</v>
      </c>
      <c r="AV3482" s="185" t="s">
        <v>176</v>
      </c>
      <c r="AX3482" s="185" t="s">
        <v>176</v>
      </c>
      <c r="BK3482" s="55" t="s">
        <v>5976</v>
      </c>
      <c r="BN3482" s="55">
        <v>4</v>
      </c>
      <c r="BO3482" s="55">
        <v>4</v>
      </c>
      <c r="BP3482" s="55">
        <v>5</v>
      </c>
      <c r="BQ3482" s="55" t="s">
        <v>141</v>
      </c>
      <c r="BW3482" s="65">
        <v>5231</v>
      </c>
      <c r="BX3482" s="65">
        <v>4800</v>
      </c>
      <c r="CA3482" s="65" t="s">
        <v>2861</v>
      </c>
      <c r="CB3482" s="66">
        <v>691</v>
      </c>
      <c r="CC3482" s="66">
        <v>629</v>
      </c>
      <c r="CM3482" s="65">
        <v>0.81</v>
      </c>
      <c r="CN3482" s="65">
        <v>0.73</v>
      </c>
      <c r="CO3482" s="65">
        <f>0.9-CM3482</f>
        <v>8.9999999999999969E-2</v>
      </c>
      <c r="CP3482" s="65">
        <f>0.801-CN3482</f>
        <v>7.1000000000000063E-2</v>
      </c>
      <c r="CQ3482" s="65" t="s">
        <v>3206</v>
      </c>
      <c r="DA3482" s="65" t="s">
        <v>4456</v>
      </c>
      <c r="DB3482" s="65">
        <v>0.63</v>
      </c>
      <c r="DC3482" s="65">
        <v>0.67</v>
      </c>
      <c r="DD3482" s="65">
        <f>0.72-DB3482</f>
        <v>8.9999999999999969E-2</v>
      </c>
      <c r="DE3482" s="65">
        <f>0.75-DC3482</f>
        <v>7.999999999999996E-2</v>
      </c>
      <c r="DF3482" s="65" t="s">
        <v>3205</v>
      </c>
      <c r="GP3482" s="292" t="s">
        <v>7494</v>
      </c>
    </row>
    <row r="3483" spans="1:198" x14ac:dyDescent="0.25">
      <c r="A3483" s="55">
        <v>3482</v>
      </c>
      <c r="B3483" s="12" t="s">
        <v>7067</v>
      </c>
      <c r="C3483" s="155">
        <v>162</v>
      </c>
      <c r="D3483" s="55" t="s">
        <v>3201</v>
      </c>
      <c r="E3483" s="90" t="s">
        <v>3191</v>
      </c>
      <c r="G3483" s="55" t="s">
        <v>3192</v>
      </c>
      <c r="H3483" s="55">
        <v>2006</v>
      </c>
      <c r="I3483" s="55">
        <v>2003</v>
      </c>
      <c r="J3483" s="55" t="s">
        <v>2635</v>
      </c>
      <c r="K3483" s="55" t="s">
        <v>3195</v>
      </c>
      <c r="L3483" s="55" t="s">
        <v>3108</v>
      </c>
      <c r="M3483" s="90">
        <f>-6-13/60</f>
        <v>-6.2166666666666668</v>
      </c>
      <c r="N3483" s="90">
        <f>36+53/60</f>
        <v>36.883333333333333</v>
      </c>
      <c r="O3483" s="90">
        <v>1353</v>
      </c>
      <c r="R3483" s="55">
        <f>41.8+24.4+21+103+45.9+120.2+49.2+57.2+26.2+2</f>
        <v>490.9</v>
      </c>
      <c r="U3483" s="55" t="s">
        <v>1688</v>
      </c>
      <c r="V3483" s="55" t="s">
        <v>1682</v>
      </c>
      <c r="Y3483" s="55" t="s">
        <v>3200</v>
      </c>
      <c r="Z3483" s="55" t="s">
        <v>1349</v>
      </c>
      <c r="AA3483" s="90" t="s">
        <v>1677</v>
      </c>
      <c r="AM3483" s="55" t="s">
        <v>3198</v>
      </c>
      <c r="AN3483" s="185" t="s">
        <v>2656</v>
      </c>
      <c r="AO3483" s="185" t="s">
        <v>5150</v>
      </c>
      <c r="AQ3483" s="55" t="s">
        <v>553</v>
      </c>
      <c r="AR3483" s="55" t="s">
        <v>1607</v>
      </c>
      <c r="AS3483" s="55" t="s">
        <v>132</v>
      </c>
      <c r="AU3483" s="181" t="s">
        <v>7494</v>
      </c>
      <c r="AV3483" s="185" t="s">
        <v>176</v>
      </c>
      <c r="AX3483" s="185" t="s">
        <v>176</v>
      </c>
      <c r="BK3483" s="55" t="s">
        <v>5976</v>
      </c>
      <c r="BN3483" s="55">
        <v>4</v>
      </c>
      <c r="BO3483" s="55">
        <v>4</v>
      </c>
      <c r="BP3483" s="55">
        <v>5</v>
      </c>
      <c r="BQ3483" s="55" t="s">
        <v>141</v>
      </c>
      <c r="BW3483" s="65">
        <v>3514</v>
      </c>
      <c r="BX3483" s="65">
        <v>3759</v>
      </c>
      <c r="CA3483" s="65" t="s">
        <v>2861</v>
      </c>
      <c r="CB3483" s="66">
        <v>2890</v>
      </c>
      <c r="CC3483" s="66">
        <v>3084</v>
      </c>
      <c r="GP3483" s="292" t="s">
        <v>7494</v>
      </c>
    </row>
    <row r="3484" spans="1:198" x14ac:dyDescent="0.25">
      <c r="A3484" s="55">
        <v>3483</v>
      </c>
      <c r="B3484" s="12" t="s">
        <v>7067</v>
      </c>
      <c r="C3484" s="155">
        <v>162</v>
      </c>
      <c r="D3484" s="55" t="s">
        <v>3202</v>
      </c>
      <c r="E3484" s="90" t="s">
        <v>3191</v>
      </c>
      <c r="G3484" s="55" t="s">
        <v>3192</v>
      </c>
      <c r="H3484" s="55">
        <v>2006</v>
      </c>
      <c r="I3484" s="55">
        <v>2003</v>
      </c>
      <c r="J3484" s="55" t="s">
        <v>2635</v>
      </c>
      <c r="K3484" s="55" t="s">
        <v>3196</v>
      </c>
      <c r="L3484" s="55" t="s">
        <v>3108</v>
      </c>
      <c r="M3484" s="90">
        <f>-4-14/60</f>
        <v>-4.2333333333333334</v>
      </c>
      <c r="N3484" s="90">
        <f>35+35/60</f>
        <v>35.583333333333336</v>
      </c>
      <c r="O3484" s="90">
        <v>1628</v>
      </c>
      <c r="R3484" s="55">
        <f>24+185.4+290.6+42.2+208.3+171.1+150+99.3+0.2</f>
        <v>1171.0999999999999</v>
      </c>
      <c r="U3484" s="55" t="s">
        <v>1688</v>
      </c>
      <c r="V3484" s="55" t="s">
        <v>1682</v>
      </c>
      <c r="Y3484" s="55" t="s">
        <v>3200</v>
      </c>
      <c r="Z3484" s="55" t="s">
        <v>1349</v>
      </c>
      <c r="AA3484" s="90" t="s">
        <v>1677</v>
      </c>
      <c r="AM3484" s="55" t="s">
        <v>3197</v>
      </c>
      <c r="AN3484" s="185" t="s">
        <v>2656</v>
      </c>
      <c r="AO3484" s="185" t="s">
        <v>5150</v>
      </c>
      <c r="AQ3484" s="55" t="s">
        <v>553</v>
      </c>
      <c r="AR3484" s="55" t="s">
        <v>1607</v>
      </c>
      <c r="AS3484" s="55" t="s">
        <v>132</v>
      </c>
      <c r="AU3484" s="181" t="s">
        <v>7494</v>
      </c>
      <c r="AV3484" s="185" t="s">
        <v>176</v>
      </c>
      <c r="AX3484" s="185" t="s">
        <v>176</v>
      </c>
      <c r="BK3484" s="55" t="s">
        <v>5976</v>
      </c>
      <c r="BN3484" s="55">
        <v>4</v>
      </c>
      <c r="BO3484" s="55">
        <v>4</v>
      </c>
      <c r="BP3484" s="55">
        <v>5</v>
      </c>
      <c r="BQ3484" s="55" t="s">
        <v>141</v>
      </c>
      <c r="BW3484" s="65">
        <v>1234</v>
      </c>
      <c r="BX3484" s="65">
        <v>905</v>
      </c>
      <c r="CA3484" s="65" t="s">
        <v>2861</v>
      </c>
      <c r="CB3484" s="66">
        <v>851</v>
      </c>
      <c r="CC3484" s="66">
        <v>641</v>
      </c>
      <c r="GP3484" s="292" t="s">
        <v>7494</v>
      </c>
    </row>
    <row r="3485" spans="1:198" x14ac:dyDescent="0.25">
      <c r="A3485" s="55">
        <v>3484</v>
      </c>
      <c r="B3485" s="12" t="s">
        <v>7067</v>
      </c>
      <c r="C3485" s="155">
        <v>162</v>
      </c>
      <c r="D3485" s="55" t="s">
        <v>3203</v>
      </c>
      <c r="E3485" s="90" t="s">
        <v>3191</v>
      </c>
      <c r="G3485" s="55" t="s">
        <v>3192</v>
      </c>
      <c r="H3485" s="55">
        <v>2006</v>
      </c>
      <c r="I3485" s="55">
        <v>2003</v>
      </c>
      <c r="J3485" s="55" t="s">
        <v>2635</v>
      </c>
      <c r="K3485" s="55" t="s">
        <v>3193</v>
      </c>
      <c r="L3485" s="55" t="s">
        <v>2748</v>
      </c>
      <c r="M3485" s="90">
        <f>-14-39/60</f>
        <v>-14.65</v>
      </c>
      <c r="N3485" s="90">
        <f>35+35/60</f>
        <v>35.583333333333336</v>
      </c>
      <c r="O3485" s="90">
        <v>834</v>
      </c>
      <c r="R3485" s="55">
        <f>7.5+115.1+246.6+178.9+198.4+64.7</f>
        <v>811.2</v>
      </c>
      <c r="U3485" s="55" t="s">
        <v>1688</v>
      </c>
      <c r="V3485" s="55" t="s">
        <v>1682</v>
      </c>
      <c r="Y3485" s="55" t="s">
        <v>3200</v>
      </c>
      <c r="Z3485" s="55" t="s">
        <v>1349</v>
      </c>
      <c r="AA3485" s="90" t="s">
        <v>1677</v>
      </c>
      <c r="AM3485" s="55" t="s">
        <v>3199</v>
      </c>
      <c r="AN3485" s="185" t="s">
        <v>2656</v>
      </c>
      <c r="AO3485" s="185" t="s">
        <v>5150</v>
      </c>
      <c r="AQ3485" s="55" t="s">
        <v>553</v>
      </c>
      <c r="AR3485" s="55" t="s">
        <v>1607</v>
      </c>
      <c r="AS3485" s="55" t="s">
        <v>132</v>
      </c>
      <c r="AU3485" s="181" t="s">
        <v>7494</v>
      </c>
      <c r="AV3485" s="185" t="s">
        <v>176</v>
      </c>
      <c r="AX3485" s="185" t="s">
        <v>176</v>
      </c>
      <c r="BK3485" s="55" t="s">
        <v>5976</v>
      </c>
      <c r="BN3485" s="55">
        <v>4</v>
      </c>
      <c r="BO3485" s="55">
        <v>4</v>
      </c>
      <c r="BP3485" s="55">
        <v>5</v>
      </c>
      <c r="BQ3485" s="55" t="s">
        <v>141</v>
      </c>
      <c r="BW3485" s="65">
        <v>2056</v>
      </c>
      <c r="BX3485" s="65">
        <v>2511</v>
      </c>
      <c r="CA3485" s="65" t="s">
        <v>2861</v>
      </c>
      <c r="CB3485" s="66">
        <v>1346</v>
      </c>
      <c r="CC3485" s="66">
        <v>1461</v>
      </c>
      <c r="GP3485" s="292" t="s">
        <v>7494</v>
      </c>
    </row>
    <row r="3486" spans="1:198" x14ac:dyDescent="0.25">
      <c r="A3486" s="55">
        <v>3485</v>
      </c>
      <c r="B3486" s="12" t="s">
        <v>7067</v>
      </c>
      <c r="C3486" s="155">
        <v>162</v>
      </c>
      <c r="D3486" s="55" t="s">
        <v>3204</v>
      </c>
      <c r="E3486" s="90" t="s">
        <v>3191</v>
      </c>
      <c r="G3486" s="55" t="s">
        <v>3192</v>
      </c>
      <c r="H3486" s="55">
        <v>2006</v>
      </c>
      <c r="I3486" s="55">
        <v>2003</v>
      </c>
      <c r="J3486" s="55" t="s">
        <v>2635</v>
      </c>
      <c r="K3486" s="55" t="s">
        <v>3194</v>
      </c>
      <c r="L3486" s="55" t="s">
        <v>2748</v>
      </c>
      <c r="M3486" s="90">
        <f>-15-53/60</f>
        <v>-15.883333333333333</v>
      </c>
      <c r="N3486" s="90">
        <f>34+57/60</f>
        <v>34.950000000000003</v>
      </c>
      <c r="O3486" s="90">
        <v>866.6</v>
      </c>
      <c r="R3486" s="55">
        <f>7.5+115.1+246.6+178.9+398.4</f>
        <v>946.5</v>
      </c>
      <c r="U3486" s="55" t="s">
        <v>1688</v>
      </c>
      <c r="V3486" s="55" t="s">
        <v>1682</v>
      </c>
      <c r="Y3486" s="55" t="s">
        <v>3200</v>
      </c>
      <c r="Z3486" s="55" t="s">
        <v>1349</v>
      </c>
      <c r="AA3486" s="90" t="s">
        <v>1677</v>
      </c>
      <c r="AM3486" s="55" t="s">
        <v>3197</v>
      </c>
      <c r="AN3486" s="185" t="s">
        <v>2656</v>
      </c>
      <c r="AO3486" s="185" t="s">
        <v>5150</v>
      </c>
      <c r="AQ3486" s="55" t="s">
        <v>553</v>
      </c>
      <c r="AR3486" s="55" t="s">
        <v>1607</v>
      </c>
      <c r="AS3486" s="55" t="s">
        <v>132</v>
      </c>
      <c r="AU3486" s="181" t="s">
        <v>7494</v>
      </c>
      <c r="AV3486" s="185" t="s">
        <v>176</v>
      </c>
      <c r="AX3486" s="185" t="s">
        <v>176</v>
      </c>
      <c r="BK3486" s="55" t="s">
        <v>5976</v>
      </c>
      <c r="BN3486" s="55">
        <v>4</v>
      </c>
      <c r="BO3486" s="55">
        <v>4</v>
      </c>
      <c r="BP3486" s="55">
        <v>5</v>
      </c>
      <c r="BQ3486" s="55" t="s">
        <v>141</v>
      </c>
      <c r="BW3486" s="65">
        <v>2074</v>
      </c>
      <c r="BX3486" s="65">
        <v>2365</v>
      </c>
      <c r="CA3486" s="65" t="s">
        <v>2861</v>
      </c>
      <c r="CB3486" s="66">
        <v>832</v>
      </c>
      <c r="CC3486" s="66">
        <v>974</v>
      </c>
      <c r="GP3486" s="292" t="s">
        <v>7494</v>
      </c>
    </row>
    <row r="3487" spans="1:198" x14ac:dyDescent="0.25">
      <c r="A3487" s="55">
        <v>3486</v>
      </c>
      <c r="B3487" s="12" t="s">
        <v>7067</v>
      </c>
      <c r="C3487" s="155">
        <v>162</v>
      </c>
      <c r="D3487" s="55" t="s">
        <v>3201</v>
      </c>
      <c r="E3487" s="90" t="s">
        <v>3191</v>
      </c>
      <c r="G3487" s="55" t="s">
        <v>3192</v>
      </c>
      <c r="H3487" s="55">
        <v>2006</v>
      </c>
      <c r="I3487" s="55">
        <v>2004</v>
      </c>
      <c r="J3487" s="55" t="s">
        <v>2635</v>
      </c>
      <c r="K3487" s="55" t="s">
        <v>3195</v>
      </c>
      <c r="L3487" s="55" t="s">
        <v>3108</v>
      </c>
      <c r="M3487" s="90">
        <f>-6-13/60</f>
        <v>-6.2166666666666668</v>
      </c>
      <c r="N3487" s="90">
        <f>36+53/60</f>
        <v>36.883333333333333</v>
      </c>
      <c r="O3487" s="90">
        <v>1353</v>
      </c>
      <c r="R3487" s="55">
        <f>107.8+192.2+302.4+210.8+124.6</f>
        <v>937.80000000000007</v>
      </c>
      <c r="U3487" s="55" t="s">
        <v>1816</v>
      </c>
      <c r="V3487" s="55" t="s">
        <v>1682</v>
      </c>
      <c r="Y3487" s="55" t="s">
        <v>3200</v>
      </c>
      <c r="Z3487" s="55" t="s">
        <v>1349</v>
      </c>
      <c r="AA3487" s="90" t="s">
        <v>1677</v>
      </c>
      <c r="AM3487" s="55" t="s">
        <v>3198</v>
      </c>
      <c r="AN3487" s="185" t="s">
        <v>2656</v>
      </c>
      <c r="AO3487" s="185" t="s">
        <v>5150</v>
      </c>
      <c r="AQ3487" s="55" t="s">
        <v>553</v>
      </c>
      <c r="AR3487" s="55" t="s">
        <v>1607</v>
      </c>
      <c r="AS3487" s="55" t="s">
        <v>132</v>
      </c>
      <c r="AU3487" s="181" t="s">
        <v>7494</v>
      </c>
      <c r="AV3487" s="185" t="s">
        <v>176</v>
      </c>
      <c r="AX3487" s="185" t="s">
        <v>176</v>
      </c>
      <c r="BK3487" s="55" t="s">
        <v>5976</v>
      </c>
      <c r="BN3487" s="55">
        <v>4</v>
      </c>
      <c r="BO3487" s="55">
        <v>4</v>
      </c>
      <c r="BP3487" s="55">
        <v>5</v>
      </c>
      <c r="BQ3487" s="55" t="s">
        <v>141</v>
      </c>
      <c r="CA3487" s="65" t="s">
        <v>2861</v>
      </c>
      <c r="CB3487" s="66">
        <v>2742</v>
      </c>
      <c r="CC3487" s="66">
        <v>2854</v>
      </c>
      <c r="GP3487" s="292" t="s">
        <v>7494</v>
      </c>
    </row>
    <row r="3488" spans="1:198" x14ac:dyDescent="0.25">
      <c r="A3488" s="55">
        <v>3487</v>
      </c>
      <c r="B3488" s="12" t="s">
        <v>7067</v>
      </c>
      <c r="C3488" s="155">
        <v>162</v>
      </c>
      <c r="D3488" s="55" t="s">
        <v>3202</v>
      </c>
      <c r="E3488" s="90" t="s">
        <v>3191</v>
      </c>
      <c r="G3488" s="55" t="s">
        <v>3192</v>
      </c>
      <c r="H3488" s="55">
        <v>2006</v>
      </c>
      <c r="I3488" s="55">
        <v>2004</v>
      </c>
      <c r="J3488" s="55" t="s">
        <v>2635</v>
      </c>
      <c r="K3488" s="55" t="s">
        <v>3196</v>
      </c>
      <c r="L3488" s="55" t="s">
        <v>3108</v>
      </c>
      <c r="M3488" s="90">
        <f>-4-14/60</f>
        <v>-4.2333333333333334</v>
      </c>
      <c r="N3488" s="90">
        <f>35+35/60</f>
        <v>35.583333333333336</v>
      </c>
      <c r="O3488" s="90">
        <v>1628</v>
      </c>
      <c r="R3488" s="55">
        <v>842</v>
      </c>
      <c r="U3488" s="55" t="s">
        <v>1816</v>
      </c>
      <c r="V3488" s="55" t="s">
        <v>1682</v>
      </c>
      <c r="Y3488" s="55" t="s">
        <v>3200</v>
      </c>
      <c r="Z3488" s="55" t="s">
        <v>1349</v>
      </c>
      <c r="AA3488" s="90" t="s">
        <v>1677</v>
      </c>
      <c r="AM3488" s="55" t="s">
        <v>3197</v>
      </c>
      <c r="AN3488" s="185" t="s">
        <v>2656</v>
      </c>
      <c r="AO3488" s="185" t="s">
        <v>5150</v>
      </c>
      <c r="AQ3488" s="55" t="s">
        <v>553</v>
      </c>
      <c r="AR3488" s="55" t="s">
        <v>1607</v>
      </c>
      <c r="AS3488" s="55" t="s">
        <v>132</v>
      </c>
      <c r="AU3488" s="181" t="s">
        <v>7494</v>
      </c>
      <c r="AV3488" s="185" t="s">
        <v>176</v>
      </c>
      <c r="AX3488" s="185" t="s">
        <v>176</v>
      </c>
      <c r="BK3488" s="55" t="s">
        <v>5976</v>
      </c>
      <c r="BN3488" s="55">
        <v>4</v>
      </c>
      <c r="BO3488" s="55">
        <v>4</v>
      </c>
      <c r="BP3488" s="55">
        <v>5</v>
      </c>
      <c r="BQ3488" s="55" t="s">
        <v>141</v>
      </c>
      <c r="CA3488" s="65" t="s">
        <v>2861</v>
      </c>
      <c r="CB3488" s="66">
        <v>1719</v>
      </c>
      <c r="CC3488" s="66">
        <v>1808</v>
      </c>
      <c r="GP3488" s="292" t="s">
        <v>7494</v>
      </c>
    </row>
    <row r="3489" spans="1:198" x14ac:dyDescent="0.25">
      <c r="A3489" s="55">
        <v>3488</v>
      </c>
      <c r="B3489" s="12" t="s">
        <v>7067</v>
      </c>
      <c r="C3489" s="155">
        <v>162</v>
      </c>
      <c r="D3489" s="55" t="s">
        <v>3203</v>
      </c>
      <c r="E3489" s="90" t="s">
        <v>3191</v>
      </c>
      <c r="G3489" s="55" t="s">
        <v>3192</v>
      </c>
      <c r="H3489" s="55">
        <v>2006</v>
      </c>
      <c r="I3489" s="55">
        <v>2004</v>
      </c>
      <c r="J3489" s="55" t="s">
        <v>2635</v>
      </c>
      <c r="K3489" s="55" t="s">
        <v>3193</v>
      </c>
      <c r="L3489" s="55" t="s">
        <v>2748</v>
      </c>
      <c r="M3489" s="90">
        <f>-14-39/60</f>
        <v>-14.65</v>
      </c>
      <c r="N3489" s="90">
        <f>35+35/60</f>
        <v>35.583333333333336</v>
      </c>
      <c r="O3489" s="90">
        <v>834</v>
      </c>
      <c r="R3489" s="55">
        <f>69.5+123.9+158+152+86.8+88.5+11</f>
        <v>689.69999999999993</v>
      </c>
      <c r="U3489" s="55" t="s">
        <v>1816</v>
      </c>
      <c r="V3489" s="55" t="s">
        <v>1682</v>
      </c>
      <c r="Y3489" s="55" t="s">
        <v>3200</v>
      </c>
      <c r="Z3489" s="55" t="s">
        <v>1349</v>
      </c>
      <c r="AA3489" s="90" t="s">
        <v>1677</v>
      </c>
      <c r="AM3489" s="55" t="s">
        <v>3199</v>
      </c>
      <c r="AN3489" s="185" t="s">
        <v>2656</v>
      </c>
      <c r="AO3489" s="185" t="s">
        <v>5150</v>
      </c>
      <c r="AQ3489" s="55" t="s">
        <v>553</v>
      </c>
      <c r="AR3489" s="55" t="s">
        <v>1607</v>
      </c>
      <c r="AS3489" s="55" t="s">
        <v>132</v>
      </c>
      <c r="AU3489" s="181" t="s">
        <v>7494</v>
      </c>
      <c r="AV3489" s="185" t="s">
        <v>176</v>
      </c>
      <c r="AX3489" s="185" t="s">
        <v>176</v>
      </c>
      <c r="BK3489" s="55" t="s">
        <v>5976</v>
      </c>
      <c r="BN3489" s="55">
        <v>4</v>
      </c>
      <c r="BO3489" s="55">
        <v>4</v>
      </c>
      <c r="BP3489" s="55">
        <v>5</v>
      </c>
      <c r="BQ3489" s="55" t="s">
        <v>141</v>
      </c>
      <c r="BW3489" s="65">
        <v>2074</v>
      </c>
      <c r="BX3489" s="65">
        <v>2511</v>
      </c>
      <c r="CA3489" s="65" t="s">
        <v>2861</v>
      </c>
      <c r="CB3489" s="66">
        <v>1947</v>
      </c>
      <c r="CC3489" s="66">
        <v>1942</v>
      </c>
      <c r="GP3489" s="292" t="s">
        <v>7494</v>
      </c>
    </row>
    <row r="3490" spans="1:198" x14ac:dyDescent="0.25">
      <c r="A3490" s="55">
        <v>3489</v>
      </c>
      <c r="B3490" s="12" t="s">
        <v>7067</v>
      </c>
      <c r="C3490" s="155">
        <v>162</v>
      </c>
      <c r="D3490" s="55" t="s">
        <v>3204</v>
      </c>
      <c r="E3490" s="90" t="s">
        <v>3191</v>
      </c>
      <c r="G3490" s="55" t="s">
        <v>3192</v>
      </c>
      <c r="H3490" s="55">
        <v>2006</v>
      </c>
      <c r="I3490" s="55">
        <v>2004</v>
      </c>
      <c r="J3490" s="55" t="s">
        <v>2635</v>
      </c>
      <c r="K3490" s="55" t="s">
        <v>3194</v>
      </c>
      <c r="L3490" s="55" t="s">
        <v>2748</v>
      </c>
      <c r="M3490" s="90">
        <f>-15-53/60</f>
        <v>-15.883333333333333</v>
      </c>
      <c r="N3490" s="90">
        <f>34+57/60</f>
        <v>34.950000000000003</v>
      </c>
      <c r="O3490" s="90">
        <v>866.6</v>
      </c>
      <c r="R3490" s="55">
        <f>71.2+94.8+385.6+199.6+165.9+132.1+3+14+7.2</f>
        <v>1073.4000000000001</v>
      </c>
      <c r="U3490" s="55" t="s">
        <v>1816</v>
      </c>
      <c r="V3490" s="55" t="s">
        <v>1682</v>
      </c>
      <c r="Y3490" s="55" t="s">
        <v>3200</v>
      </c>
      <c r="Z3490" s="55" t="s">
        <v>1349</v>
      </c>
      <c r="AA3490" s="90" t="s">
        <v>1677</v>
      </c>
      <c r="AM3490" s="55" t="s">
        <v>3197</v>
      </c>
      <c r="AN3490" s="185" t="s">
        <v>2656</v>
      </c>
      <c r="AO3490" s="185" t="s">
        <v>5150</v>
      </c>
      <c r="AQ3490" s="55" t="s">
        <v>553</v>
      </c>
      <c r="AR3490" s="55" t="s">
        <v>1607</v>
      </c>
      <c r="AS3490" s="55" t="s">
        <v>132</v>
      </c>
      <c r="AU3490" s="181" t="s">
        <v>7494</v>
      </c>
      <c r="AV3490" s="185" t="s">
        <v>176</v>
      </c>
      <c r="AX3490" s="185" t="s">
        <v>176</v>
      </c>
      <c r="BK3490" s="55" t="s">
        <v>5976</v>
      </c>
      <c r="BN3490" s="55">
        <v>4</v>
      </c>
      <c r="BO3490" s="55">
        <v>4</v>
      </c>
      <c r="BP3490" s="55">
        <v>5</v>
      </c>
      <c r="BQ3490" s="55" t="s">
        <v>141</v>
      </c>
      <c r="BW3490" s="65">
        <v>2738</v>
      </c>
      <c r="BX3490" s="65">
        <v>3527</v>
      </c>
      <c r="CA3490" s="65" t="s">
        <v>2861</v>
      </c>
      <c r="CB3490" s="66">
        <v>1156</v>
      </c>
      <c r="CC3490" s="66">
        <v>1760</v>
      </c>
      <c r="GP3490" s="292" t="s">
        <v>7494</v>
      </c>
    </row>
    <row r="3491" spans="1:198" x14ac:dyDescent="0.25">
      <c r="A3491" s="55">
        <v>3490</v>
      </c>
      <c r="B3491" s="12" t="s">
        <v>7067</v>
      </c>
      <c r="C3491" s="155">
        <v>162</v>
      </c>
      <c r="D3491" s="55" t="s">
        <v>3201</v>
      </c>
      <c r="E3491" s="90" t="s">
        <v>3191</v>
      </c>
      <c r="G3491" s="55" t="s">
        <v>3192</v>
      </c>
      <c r="H3491" s="55">
        <v>2006</v>
      </c>
      <c r="I3491" s="55">
        <v>2005</v>
      </c>
      <c r="J3491" s="55" t="s">
        <v>2635</v>
      </c>
      <c r="K3491" s="55" t="s">
        <v>3195</v>
      </c>
      <c r="L3491" s="55" t="s">
        <v>3108</v>
      </c>
      <c r="M3491" s="90">
        <f>-6-13/60</f>
        <v>-6.2166666666666668</v>
      </c>
      <c r="N3491" s="90">
        <f>36+53/60</f>
        <v>36.883333333333333</v>
      </c>
      <c r="O3491" s="90">
        <v>1353</v>
      </c>
      <c r="R3491" s="55">
        <v>937.80000000000007</v>
      </c>
      <c r="U3491" s="55" t="s">
        <v>1682</v>
      </c>
      <c r="V3491" s="55" t="s">
        <v>1682</v>
      </c>
      <c r="Y3491" s="55" t="s">
        <v>3200</v>
      </c>
      <c r="Z3491" s="55" t="s">
        <v>1349</v>
      </c>
      <c r="AA3491" s="90" t="s">
        <v>1677</v>
      </c>
      <c r="AM3491" s="55" t="s">
        <v>3198</v>
      </c>
      <c r="AN3491" s="185" t="s">
        <v>2656</v>
      </c>
      <c r="AO3491" s="185" t="s">
        <v>5150</v>
      </c>
      <c r="AQ3491" s="55" t="s">
        <v>553</v>
      </c>
      <c r="AR3491" s="55" t="s">
        <v>1607</v>
      </c>
      <c r="AS3491" s="55" t="s">
        <v>132</v>
      </c>
      <c r="AU3491" s="181" t="s">
        <v>7494</v>
      </c>
      <c r="AV3491" s="185" t="s">
        <v>176</v>
      </c>
      <c r="AX3491" s="185" t="s">
        <v>176</v>
      </c>
      <c r="BK3491" s="55" t="s">
        <v>5976</v>
      </c>
      <c r="BN3491" s="55">
        <v>4</v>
      </c>
      <c r="BO3491" s="55">
        <v>4</v>
      </c>
      <c r="BP3491" s="55">
        <v>5</v>
      </c>
      <c r="BQ3491" s="55" t="s">
        <v>141</v>
      </c>
      <c r="CA3491" s="65" t="s">
        <v>2861</v>
      </c>
      <c r="GP3491" s="292" t="s">
        <v>7494</v>
      </c>
    </row>
    <row r="3492" spans="1:198" x14ac:dyDescent="0.25">
      <c r="A3492" s="55">
        <v>3491</v>
      </c>
      <c r="B3492" s="12" t="s">
        <v>7067</v>
      </c>
      <c r="C3492" s="155">
        <v>162</v>
      </c>
      <c r="D3492" s="55" t="s">
        <v>3202</v>
      </c>
      <c r="E3492" s="90" t="s">
        <v>3191</v>
      </c>
      <c r="G3492" s="55" t="s">
        <v>3192</v>
      </c>
      <c r="H3492" s="55">
        <v>2006</v>
      </c>
      <c r="I3492" s="55">
        <v>2005</v>
      </c>
      <c r="J3492" s="55" t="s">
        <v>2635</v>
      </c>
      <c r="K3492" s="55" t="s">
        <v>3196</v>
      </c>
      <c r="L3492" s="55" t="s">
        <v>3108</v>
      </c>
      <c r="M3492" s="90">
        <f>-4-14/60</f>
        <v>-4.2333333333333334</v>
      </c>
      <c r="N3492" s="90">
        <f>35+35/60</f>
        <v>35.583333333333336</v>
      </c>
      <c r="O3492" s="90">
        <v>1628</v>
      </c>
      <c r="R3492" s="55">
        <v>842</v>
      </c>
      <c r="U3492" s="55" t="s">
        <v>1682</v>
      </c>
      <c r="V3492" s="55" t="s">
        <v>1682</v>
      </c>
      <c r="Y3492" s="55" t="s">
        <v>3200</v>
      </c>
      <c r="Z3492" s="55" t="s">
        <v>1349</v>
      </c>
      <c r="AA3492" s="90" t="s">
        <v>1677</v>
      </c>
      <c r="AM3492" s="55" t="s">
        <v>3197</v>
      </c>
      <c r="AN3492" s="185" t="s">
        <v>2656</v>
      </c>
      <c r="AO3492" s="185" t="s">
        <v>5150</v>
      </c>
      <c r="AQ3492" s="55" t="s">
        <v>553</v>
      </c>
      <c r="AR3492" s="55" t="s">
        <v>1607</v>
      </c>
      <c r="AS3492" s="55" t="s">
        <v>132</v>
      </c>
      <c r="AU3492" s="181" t="s">
        <v>7494</v>
      </c>
      <c r="AV3492" s="185" t="s">
        <v>176</v>
      </c>
      <c r="AX3492" s="185" t="s">
        <v>176</v>
      </c>
      <c r="BK3492" s="55" t="s">
        <v>5976</v>
      </c>
      <c r="BN3492" s="55">
        <v>4</v>
      </c>
      <c r="BO3492" s="55">
        <v>4</v>
      </c>
      <c r="BP3492" s="55">
        <v>5</v>
      </c>
      <c r="BQ3492" s="55" t="s">
        <v>141</v>
      </c>
      <c r="CA3492" s="65" t="s">
        <v>2861</v>
      </c>
      <c r="GP3492" s="292" t="s">
        <v>7494</v>
      </c>
    </row>
    <row r="3493" spans="1:198" x14ac:dyDescent="0.25">
      <c r="A3493" s="55">
        <v>3492</v>
      </c>
      <c r="B3493" s="12" t="s">
        <v>7067</v>
      </c>
      <c r="C3493" s="155">
        <v>162</v>
      </c>
      <c r="D3493" s="55" t="s">
        <v>3203</v>
      </c>
      <c r="E3493" s="90" t="s">
        <v>3191</v>
      </c>
      <c r="G3493" s="55" t="s">
        <v>3192</v>
      </c>
      <c r="H3493" s="55">
        <v>2006</v>
      </c>
      <c r="I3493" s="55">
        <v>2005</v>
      </c>
      <c r="J3493" s="55" t="s">
        <v>2635</v>
      </c>
      <c r="K3493" s="55" t="s">
        <v>3193</v>
      </c>
      <c r="L3493" s="55" t="s">
        <v>2748</v>
      </c>
      <c r="M3493" s="90">
        <f>-14-39/60</f>
        <v>-14.65</v>
      </c>
      <c r="N3493" s="90">
        <f>35+35/60</f>
        <v>35.583333333333336</v>
      </c>
      <c r="O3493" s="90">
        <v>834</v>
      </c>
      <c r="R3493" s="55">
        <v>689.69999999999993</v>
      </c>
      <c r="U3493" s="55" t="s">
        <v>1682</v>
      </c>
      <c r="V3493" s="55" t="s">
        <v>1682</v>
      </c>
      <c r="Y3493" s="55" t="s">
        <v>3200</v>
      </c>
      <c r="Z3493" s="55" t="s">
        <v>1349</v>
      </c>
      <c r="AA3493" s="90" t="s">
        <v>1677</v>
      </c>
      <c r="AM3493" s="55" t="s">
        <v>3199</v>
      </c>
      <c r="AN3493" s="185" t="s">
        <v>2656</v>
      </c>
      <c r="AO3493" s="185" t="s">
        <v>5150</v>
      </c>
      <c r="AQ3493" s="55" t="s">
        <v>553</v>
      </c>
      <c r="AR3493" s="55" t="s">
        <v>1607</v>
      </c>
      <c r="AS3493" s="55" t="s">
        <v>132</v>
      </c>
      <c r="AU3493" s="181" t="s">
        <v>7494</v>
      </c>
      <c r="AV3493" s="185" t="s">
        <v>176</v>
      </c>
      <c r="AX3493" s="185" t="s">
        <v>176</v>
      </c>
      <c r="BK3493" s="55" t="s">
        <v>5976</v>
      </c>
      <c r="BN3493" s="55">
        <v>4</v>
      </c>
      <c r="BO3493" s="55">
        <v>4</v>
      </c>
      <c r="BP3493" s="55">
        <v>5</v>
      </c>
      <c r="BQ3493" s="55" t="s">
        <v>141</v>
      </c>
      <c r="CA3493" s="65" t="s">
        <v>2861</v>
      </c>
      <c r="CB3493" s="66">
        <v>2384</v>
      </c>
      <c r="CC3493" s="66">
        <v>2435</v>
      </c>
      <c r="GP3493" s="292" t="s">
        <v>7494</v>
      </c>
    </row>
    <row r="3494" spans="1:198" x14ac:dyDescent="0.25">
      <c r="A3494" s="55">
        <v>3493</v>
      </c>
      <c r="B3494" s="12" t="s">
        <v>7067</v>
      </c>
      <c r="C3494" s="155">
        <v>162</v>
      </c>
      <c r="D3494" s="55" t="s">
        <v>3204</v>
      </c>
      <c r="E3494" s="90" t="s">
        <v>3191</v>
      </c>
      <c r="G3494" s="55" t="s">
        <v>3192</v>
      </c>
      <c r="H3494" s="55">
        <v>2006</v>
      </c>
      <c r="I3494" s="55">
        <v>2005</v>
      </c>
      <c r="J3494" s="55" t="s">
        <v>2635</v>
      </c>
      <c r="K3494" s="55" t="s">
        <v>3194</v>
      </c>
      <c r="L3494" s="55" t="s">
        <v>2748</v>
      </c>
      <c r="M3494" s="90">
        <f>-15-53/60</f>
        <v>-15.883333333333333</v>
      </c>
      <c r="N3494" s="90">
        <f>34+57/60</f>
        <v>34.950000000000003</v>
      </c>
      <c r="O3494" s="90">
        <v>866.6</v>
      </c>
      <c r="R3494" s="55">
        <v>1073.4000000000001</v>
      </c>
      <c r="U3494" s="55" t="s">
        <v>1682</v>
      </c>
      <c r="V3494" s="55" t="s">
        <v>1682</v>
      </c>
      <c r="Y3494" s="55" t="s">
        <v>3200</v>
      </c>
      <c r="Z3494" s="55" t="s">
        <v>1349</v>
      </c>
      <c r="AA3494" s="90" t="s">
        <v>1677</v>
      </c>
      <c r="AM3494" s="55" t="s">
        <v>3197</v>
      </c>
      <c r="AN3494" s="185" t="s">
        <v>2656</v>
      </c>
      <c r="AO3494" s="185" t="s">
        <v>5150</v>
      </c>
      <c r="AQ3494" s="55" t="s">
        <v>553</v>
      </c>
      <c r="AR3494" s="55" t="s">
        <v>1607</v>
      </c>
      <c r="AS3494" s="55" t="s">
        <v>132</v>
      </c>
      <c r="AU3494" s="181" t="s">
        <v>7494</v>
      </c>
      <c r="AV3494" s="185" t="s">
        <v>176</v>
      </c>
      <c r="AX3494" s="185" t="s">
        <v>176</v>
      </c>
      <c r="BK3494" s="55" t="s">
        <v>5976</v>
      </c>
      <c r="BN3494" s="55">
        <v>4</v>
      </c>
      <c r="BO3494" s="55">
        <v>4</v>
      </c>
      <c r="BP3494" s="55">
        <v>5</v>
      </c>
      <c r="BQ3494" s="55" t="s">
        <v>141</v>
      </c>
      <c r="CA3494" s="65" t="s">
        <v>2861</v>
      </c>
      <c r="CB3494" s="66">
        <v>2694</v>
      </c>
      <c r="CC3494" s="66">
        <v>3120</v>
      </c>
      <c r="GP3494" s="292" t="s">
        <v>7494</v>
      </c>
    </row>
    <row r="3495" spans="1:198" x14ac:dyDescent="0.25">
      <c r="A3495" s="55">
        <v>3494</v>
      </c>
      <c r="B3495" s="12" t="s">
        <v>7067</v>
      </c>
      <c r="C3495" s="155">
        <v>163</v>
      </c>
      <c r="D3495" s="55" t="s">
        <v>3222</v>
      </c>
      <c r="E3495" s="90" t="s">
        <v>3207</v>
      </c>
      <c r="G3495" s="55" t="s">
        <v>3208</v>
      </c>
      <c r="H3495" s="55">
        <v>2003</v>
      </c>
      <c r="I3495" s="55">
        <v>1998</v>
      </c>
      <c r="J3495" s="55" t="s">
        <v>350</v>
      </c>
      <c r="K3495" s="55" t="s">
        <v>3211</v>
      </c>
      <c r="L3495" s="55" t="s">
        <v>2748</v>
      </c>
      <c r="M3495" s="90">
        <f>-(14+21/60)</f>
        <v>-14.35</v>
      </c>
      <c r="N3495" s="90">
        <f>-(-34-25/60)</f>
        <v>34.416666666666664</v>
      </c>
      <c r="O3495" s="90">
        <v>1583</v>
      </c>
      <c r="S3495" s="90">
        <f>(800+1270)/2</f>
        <v>1035</v>
      </c>
      <c r="U3495" s="55" t="s">
        <v>1688</v>
      </c>
      <c r="V3495" s="55" t="s">
        <v>1816</v>
      </c>
      <c r="Y3495" s="55" t="s">
        <v>3209</v>
      </c>
      <c r="AI3495" s="168">
        <v>5.9</v>
      </c>
      <c r="AJ3495" s="90">
        <v>1.8</v>
      </c>
      <c r="AM3495" s="55" t="s">
        <v>3216</v>
      </c>
      <c r="AN3495" s="185" t="s">
        <v>2664</v>
      </c>
      <c r="AO3495" s="185" t="s">
        <v>5150</v>
      </c>
      <c r="AQ3495" s="55" t="s">
        <v>553</v>
      </c>
      <c r="AR3495" s="55" t="s">
        <v>1607</v>
      </c>
      <c r="AS3495" s="55" t="s">
        <v>132</v>
      </c>
      <c r="AU3495" s="181" t="s">
        <v>7494</v>
      </c>
      <c r="AV3495" s="185" t="s">
        <v>176</v>
      </c>
      <c r="AX3495" s="185" t="s">
        <v>176</v>
      </c>
      <c r="BK3495" s="55" t="s">
        <v>5976</v>
      </c>
      <c r="BM3495" s="192" t="s">
        <v>3210</v>
      </c>
      <c r="BN3495" s="55">
        <v>3</v>
      </c>
      <c r="BO3495" s="55">
        <v>3</v>
      </c>
      <c r="BQ3495" s="55" t="s">
        <v>2875</v>
      </c>
      <c r="BS3495" s="55">
        <v>1800</v>
      </c>
      <c r="BT3495" s="55">
        <f>(9.8+30.8)/2</f>
        <v>20.3</v>
      </c>
      <c r="BV3495" s="55" t="s">
        <v>3220</v>
      </c>
      <c r="CB3495" s="66">
        <v>1100</v>
      </c>
      <c r="CC3495" s="66">
        <v>1300</v>
      </c>
      <c r="GP3495" s="292" t="s">
        <v>7494</v>
      </c>
    </row>
    <row r="3496" spans="1:198" x14ac:dyDescent="0.25">
      <c r="A3496" s="55">
        <v>3495</v>
      </c>
      <c r="B3496" s="12" t="s">
        <v>7067</v>
      </c>
      <c r="C3496" s="155">
        <v>163</v>
      </c>
      <c r="D3496" s="55" t="s">
        <v>3223</v>
      </c>
      <c r="E3496" s="90" t="s">
        <v>3207</v>
      </c>
      <c r="G3496" s="55" t="s">
        <v>3208</v>
      </c>
      <c r="H3496" s="55">
        <v>2003</v>
      </c>
      <c r="I3496" s="55">
        <v>1998</v>
      </c>
      <c r="J3496" s="55" t="s">
        <v>350</v>
      </c>
      <c r="K3496" s="55" t="s">
        <v>3212</v>
      </c>
      <c r="L3496" s="55" t="s">
        <v>2748</v>
      </c>
      <c r="M3496" s="90">
        <f>-(16+1/60)</f>
        <v>-16.016666666666666</v>
      </c>
      <c r="N3496" s="90">
        <f>-(-35-21/60)</f>
        <v>35.35</v>
      </c>
      <c r="O3496" s="90">
        <v>1200</v>
      </c>
      <c r="S3496" s="90">
        <f>2200</f>
        <v>2200</v>
      </c>
      <c r="U3496" s="55" t="s">
        <v>1688</v>
      </c>
      <c r="V3496" s="55" t="s">
        <v>1816</v>
      </c>
      <c r="Y3496" s="55" t="s">
        <v>3209</v>
      </c>
      <c r="AI3496" s="168">
        <v>5.8</v>
      </c>
      <c r="AJ3496" s="90">
        <v>1</v>
      </c>
      <c r="AM3496" s="55" t="s">
        <v>3216</v>
      </c>
      <c r="AN3496" s="185" t="s">
        <v>2664</v>
      </c>
      <c r="AO3496" s="185" t="s">
        <v>5150</v>
      </c>
      <c r="AQ3496" s="55" t="s">
        <v>553</v>
      </c>
      <c r="AR3496" s="55" t="s">
        <v>1607</v>
      </c>
      <c r="AS3496" s="55" t="s">
        <v>132</v>
      </c>
      <c r="AU3496" s="181" t="s">
        <v>7494</v>
      </c>
      <c r="AV3496" s="185" t="s">
        <v>176</v>
      </c>
      <c r="AX3496" s="185" t="s">
        <v>176</v>
      </c>
      <c r="BK3496" s="55" t="s">
        <v>5976</v>
      </c>
      <c r="BM3496" s="192" t="s">
        <v>3210</v>
      </c>
      <c r="BN3496" s="55">
        <v>3</v>
      </c>
      <c r="BO3496" s="55">
        <v>3</v>
      </c>
      <c r="BQ3496" s="55" t="s">
        <v>2875</v>
      </c>
      <c r="BS3496" s="55">
        <v>1200</v>
      </c>
      <c r="BT3496" s="55">
        <f>(9.8+30.8)/2</f>
        <v>20.3</v>
      </c>
      <c r="BV3496" s="55" t="s">
        <v>3220</v>
      </c>
      <c r="CB3496" s="66">
        <v>1900</v>
      </c>
      <c r="CC3496" s="66">
        <v>2400</v>
      </c>
      <c r="GP3496" s="292" t="s">
        <v>7494</v>
      </c>
    </row>
    <row r="3497" spans="1:198" x14ac:dyDescent="0.25">
      <c r="A3497" s="55">
        <v>3496</v>
      </c>
      <c r="B3497" s="12" t="s">
        <v>7067</v>
      </c>
      <c r="C3497" s="155">
        <v>163</v>
      </c>
      <c r="D3497" s="55" t="s">
        <v>3224</v>
      </c>
      <c r="E3497" s="90" t="s">
        <v>3207</v>
      </c>
      <c r="G3497" s="55" t="s">
        <v>3208</v>
      </c>
      <c r="H3497" s="55">
        <v>2003</v>
      </c>
      <c r="I3497" s="55">
        <v>1998</v>
      </c>
      <c r="J3497" s="55" t="s">
        <v>350</v>
      </c>
      <c r="K3497" s="55" t="s">
        <v>3213</v>
      </c>
      <c r="L3497" s="55" t="s">
        <v>2748</v>
      </c>
      <c r="M3497" s="90">
        <f>-(12+7/60)</f>
        <v>-12.116666666666667</v>
      </c>
      <c r="N3497" s="90">
        <f>-(-33-25/60)</f>
        <v>33.416666666666664</v>
      </c>
      <c r="O3497" s="90">
        <v>1231</v>
      </c>
      <c r="S3497" s="90">
        <f>(700+1200)/2</f>
        <v>950</v>
      </c>
      <c r="U3497" s="55" t="s">
        <v>1688</v>
      </c>
      <c r="V3497" s="55" t="s">
        <v>1816</v>
      </c>
      <c r="Y3497" s="55" t="s">
        <v>3209</v>
      </c>
      <c r="AI3497" s="168">
        <v>5.3</v>
      </c>
      <c r="AJ3497" s="90">
        <v>1.8</v>
      </c>
      <c r="AM3497" s="55" t="s">
        <v>3217</v>
      </c>
      <c r="AN3497" s="185" t="s">
        <v>2664</v>
      </c>
      <c r="AO3497" s="185" t="s">
        <v>5150</v>
      </c>
      <c r="AQ3497" s="55" t="s">
        <v>553</v>
      </c>
      <c r="AR3497" s="55" t="s">
        <v>1607</v>
      </c>
      <c r="AS3497" s="55" t="s">
        <v>132</v>
      </c>
      <c r="AU3497" s="181" t="s">
        <v>7494</v>
      </c>
      <c r="AV3497" s="185" t="s">
        <v>176</v>
      </c>
      <c r="AX3497" s="185" t="s">
        <v>176</v>
      </c>
      <c r="BK3497" s="55" t="s">
        <v>5976</v>
      </c>
      <c r="BM3497" s="192" t="s">
        <v>3210</v>
      </c>
      <c r="BN3497" s="55">
        <v>3</v>
      </c>
      <c r="BO3497" s="55">
        <v>3</v>
      </c>
      <c r="BQ3497" s="55" t="s">
        <v>2875</v>
      </c>
      <c r="BV3497" s="55" t="s">
        <v>3220</v>
      </c>
      <c r="CB3497" s="66">
        <v>2600</v>
      </c>
      <c r="CC3497" s="66">
        <v>3100</v>
      </c>
      <c r="GP3497" s="292" t="s">
        <v>7494</v>
      </c>
    </row>
    <row r="3498" spans="1:198" x14ac:dyDescent="0.25">
      <c r="A3498" s="55">
        <v>3497</v>
      </c>
      <c r="B3498" s="12" t="s">
        <v>7067</v>
      </c>
      <c r="C3498" s="155">
        <v>163</v>
      </c>
      <c r="D3498" s="55" t="s">
        <v>3225</v>
      </c>
      <c r="E3498" s="90" t="s">
        <v>3207</v>
      </c>
      <c r="G3498" s="55" t="s">
        <v>3208</v>
      </c>
      <c r="H3498" s="55">
        <v>2003</v>
      </c>
      <c r="I3498" s="55">
        <v>1998</v>
      </c>
      <c r="J3498" s="55" t="s">
        <v>350</v>
      </c>
      <c r="K3498" s="55" t="s">
        <v>3214</v>
      </c>
      <c r="L3498" s="55" t="s">
        <v>2748</v>
      </c>
      <c r="M3498" s="90">
        <f>-(13+59/60)</f>
        <v>-13.983333333333333</v>
      </c>
      <c r="N3498" s="90">
        <f>-(-33-38/60)</f>
        <v>33.633333333333333</v>
      </c>
      <c r="O3498" s="90">
        <v>1141</v>
      </c>
      <c r="S3498" s="90">
        <f>950</f>
        <v>950</v>
      </c>
      <c r="U3498" s="55" t="s">
        <v>1688</v>
      </c>
      <c r="V3498" s="55" t="s">
        <v>1816</v>
      </c>
      <c r="Y3498" s="55" t="s">
        <v>3209</v>
      </c>
      <c r="AI3498" s="168">
        <v>6.2</v>
      </c>
      <c r="AJ3498" s="90">
        <v>2.1</v>
      </c>
      <c r="AM3498" s="55" t="s">
        <v>3218</v>
      </c>
      <c r="AN3498" s="185" t="s">
        <v>2664</v>
      </c>
      <c r="AO3498" s="185" t="s">
        <v>5150</v>
      </c>
      <c r="AQ3498" s="55" t="s">
        <v>553</v>
      </c>
      <c r="AR3498" s="55" t="s">
        <v>1607</v>
      </c>
      <c r="AS3498" s="55" t="s">
        <v>132</v>
      </c>
      <c r="AU3498" s="181" t="s">
        <v>7494</v>
      </c>
      <c r="AV3498" s="185" t="s">
        <v>176</v>
      </c>
      <c r="AX3498" s="185" t="s">
        <v>176</v>
      </c>
      <c r="BK3498" s="55" t="s">
        <v>5976</v>
      </c>
      <c r="BM3498" s="192" t="s">
        <v>3210</v>
      </c>
      <c r="BN3498" s="55">
        <v>3</v>
      </c>
      <c r="BO3498" s="55">
        <v>3</v>
      </c>
      <c r="BQ3498" s="55" t="s">
        <v>2875</v>
      </c>
      <c r="BS3498" s="55">
        <v>1100</v>
      </c>
      <c r="BT3498" s="55">
        <f>(9.8+30.8)/2</f>
        <v>20.3</v>
      </c>
      <c r="BV3498" s="55" t="s">
        <v>3219</v>
      </c>
      <c r="CB3498" s="66">
        <v>2500</v>
      </c>
      <c r="CC3498" s="66">
        <v>4400</v>
      </c>
      <c r="GP3498" s="292" t="s">
        <v>7494</v>
      </c>
    </row>
    <row r="3499" spans="1:198" x14ac:dyDescent="0.25">
      <c r="A3499" s="55">
        <v>3498</v>
      </c>
      <c r="B3499" s="12" t="s">
        <v>7067</v>
      </c>
      <c r="C3499" s="155">
        <v>163</v>
      </c>
      <c r="D3499" s="55" t="s">
        <v>3226</v>
      </c>
      <c r="E3499" s="90" t="s">
        <v>3207</v>
      </c>
      <c r="G3499" s="55" t="s">
        <v>3208</v>
      </c>
      <c r="H3499" s="55">
        <v>2003</v>
      </c>
      <c r="I3499" s="55">
        <v>1998</v>
      </c>
      <c r="J3499" s="55" t="s">
        <v>350</v>
      </c>
      <c r="K3499" s="55" t="s">
        <v>3215</v>
      </c>
      <c r="L3499" s="55" t="s">
        <v>2748</v>
      </c>
      <c r="M3499" s="90">
        <f>-(13+50/60)</f>
        <v>-13.833333333333334</v>
      </c>
      <c r="N3499" s="90">
        <f>-(-38-2/60)</f>
        <v>38.033333333333331</v>
      </c>
      <c r="O3499" s="90">
        <v>1067</v>
      </c>
      <c r="S3499" s="90">
        <v>900</v>
      </c>
      <c r="U3499" s="55" t="s">
        <v>1688</v>
      </c>
      <c r="V3499" s="55" t="s">
        <v>1816</v>
      </c>
      <c r="Y3499" s="55" t="s">
        <v>3209</v>
      </c>
      <c r="AM3499" s="55" t="s">
        <v>3217</v>
      </c>
      <c r="AN3499" s="185" t="s">
        <v>2664</v>
      </c>
      <c r="AO3499" s="185" t="s">
        <v>5150</v>
      </c>
      <c r="AQ3499" s="55" t="s">
        <v>553</v>
      </c>
      <c r="AR3499" s="55" t="s">
        <v>1607</v>
      </c>
      <c r="AS3499" s="55" t="s">
        <v>132</v>
      </c>
      <c r="AU3499" s="181" t="s">
        <v>7494</v>
      </c>
      <c r="AV3499" s="185" t="s">
        <v>176</v>
      </c>
      <c r="AX3499" s="185" t="s">
        <v>176</v>
      </c>
      <c r="BK3499" s="55" t="s">
        <v>5976</v>
      </c>
      <c r="BM3499" s="192" t="s">
        <v>3210</v>
      </c>
      <c r="BN3499" s="55">
        <v>3</v>
      </c>
      <c r="BO3499" s="55">
        <v>3</v>
      </c>
      <c r="BQ3499" s="55" t="s">
        <v>2875</v>
      </c>
      <c r="BS3499" s="55">
        <v>2500</v>
      </c>
      <c r="BT3499" s="55">
        <f>(9.8+30.8)/2</f>
        <v>20.3</v>
      </c>
      <c r="BV3499" s="55" t="s">
        <v>3219</v>
      </c>
      <c r="CB3499" s="66">
        <v>1500</v>
      </c>
      <c r="CC3499" s="66">
        <v>1700</v>
      </c>
      <c r="GP3499" s="292" t="s">
        <v>7494</v>
      </c>
    </row>
    <row r="3500" spans="1:198" x14ac:dyDescent="0.25">
      <c r="A3500" s="55">
        <v>3499</v>
      </c>
      <c r="B3500" s="12" t="s">
        <v>7067</v>
      </c>
      <c r="C3500" s="155">
        <v>163</v>
      </c>
      <c r="D3500" s="55" t="s">
        <v>3222</v>
      </c>
      <c r="E3500" s="90" t="s">
        <v>3207</v>
      </c>
      <c r="G3500" s="55" t="s">
        <v>3208</v>
      </c>
      <c r="H3500" s="55">
        <v>2003</v>
      </c>
      <c r="I3500" s="55">
        <v>1998</v>
      </c>
      <c r="J3500" s="55" t="s">
        <v>350</v>
      </c>
      <c r="K3500" s="55" t="s">
        <v>3211</v>
      </c>
      <c r="L3500" s="55" t="s">
        <v>2748</v>
      </c>
      <c r="M3500" s="90">
        <f>-(14+21/60)</f>
        <v>-14.35</v>
      </c>
      <c r="N3500" s="90">
        <f>-(-34-25/60)</f>
        <v>34.416666666666664</v>
      </c>
      <c r="O3500" s="90">
        <v>1583</v>
      </c>
      <c r="S3500" s="90">
        <f>(800+1270)/2</f>
        <v>1035</v>
      </c>
      <c r="U3500" s="55" t="s">
        <v>1688</v>
      </c>
      <c r="V3500" s="55" t="s">
        <v>1816</v>
      </c>
      <c r="Y3500" s="55" t="s">
        <v>3209</v>
      </c>
      <c r="AI3500" s="168">
        <v>5.9</v>
      </c>
      <c r="AJ3500" s="90">
        <v>1.8</v>
      </c>
      <c r="AM3500" s="55" t="s">
        <v>3216</v>
      </c>
      <c r="AN3500" s="185" t="s">
        <v>2664</v>
      </c>
      <c r="AO3500" s="185" t="s">
        <v>5150</v>
      </c>
      <c r="AQ3500" s="55" t="s">
        <v>553</v>
      </c>
      <c r="AR3500" s="55" t="s">
        <v>1607</v>
      </c>
      <c r="AS3500" s="55" t="s">
        <v>132</v>
      </c>
      <c r="AU3500" s="181" t="s">
        <v>7494</v>
      </c>
      <c r="AV3500" s="185" t="s">
        <v>176</v>
      </c>
      <c r="AX3500" s="185" t="s">
        <v>176</v>
      </c>
      <c r="BK3500" s="55" t="s">
        <v>5976</v>
      </c>
      <c r="BM3500" s="192" t="s">
        <v>3210</v>
      </c>
      <c r="BN3500" s="55">
        <v>3</v>
      </c>
      <c r="BO3500" s="55">
        <v>3</v>
      </c>
      <c r="BQ3500" s="55" t="s">
        <v>2875</v>
      </c>
      <c r="BS3500" s="55">
        <v>1800</v>
      </c>
      <c r="BT3500" s="55">
        <f>(9.8+30.8)/2</f>
        <v>20.3</v>
      </c>
      <c r="BV3500" s="55" t="s">
        <v>3220</v>
      </c>
      <c r="CB3500" s="66">
        <v>1100</v>
      </c>
      <c r="CC3500" s="66">
        <v>1800</v>
      </c>
      <c r="GP3500" s="292" t="s">
        <v>7494</v>
      </c>
    </row>
    <row r="3501" spans="1:198" x14ac:dyDescent="0.25">
      <c r="A3501" s="55">
        <v>3500</v>
      </c>
      <c r="B3501" s="12" t="s">
        <v>7067</v>
      </c>
      <c r="C3501" s="155">
        <v>163</v>
      </c>
      <c r="D3501" s="55" t="s">
        <v>3223</v>
      </c>
      <c r="E3501" s="90" t="s">
        <v>3207</v>
      </c>
      <c r="G3501" s="55" t="s">
        <v>3208</v>
      </c>
      <c r="H3501" s="55">
        <v>2003</v>
      </c>
      <c r="I3501" s="55">
        <v>1998</v>
      </c>
      <c r="J3501" s="55" t="s">
        <v>350</v>
      </c>
      <c r="K3501" s="55" t="s">
        <v>3212</v>
      </c>
      <c r="L3501" s="55" t="s">
        <v>2748</v>
      </c>
      <c r="M3501" s="90">
        <f>-(16+1/60)</f>
        <v>-16.016666666666666</v>
      </c>
      <c r="N3501" s="90">
        <f>-(-35-21/60)</f>
        <v>35.35</v>
      </c>
      <c r="O3501" s="90">
        <v>1200</v>
      </c>
      <c r="S3501" s="90">
        <f>2200</f>
        <v>2200</v>
      </c>
      <c r="U3501" s="55" t="s">
        <v>1688</v>
      </c>
      <c r="V3501" s="55" t="s">
        <v>1816</v>
      </c>
      <c r="Y3501" s="55" t="s">
        <v>3209</v>
      </c>
      <c r="AI3501" s="168">
        <v>5.8</v>
      </c>
      <c r="AJ3501" s="90">
        <v>1</v>
      </c>
      <c r="AM3501" s="55" t="s">
        <v>3216</v>
      </c>
      <c r="AN3501" s="185" t="s">
        <v>2664</v>
      </c>
      <c r="AO3501" s="185" t="s">
        <v>5150</v>
      </c>
      <c r="AQ3501" s="55" t="s">
        <v>553</v>
      </c>
      <c r="AR3501" s="55" t="s">
        <v>1607</v>
      </c>
      <c r="AS3501" s="55" t="s">
        <v>132</v>
      </c>
      <c r="AU3501" s="181" t="s">
        <v>7494</v>
      </c>
      <c r="AV3501" s="185" t="s">
        <v>176</v>
      </c>
      <c r="AX3501" s="185" t="s">
        <v>176</v>
      </c>
      <c r="BK3501" s="55" t="s">
        <v>5976</v>
      </c>
      <c r="BM3501" s="192" t="s">
        <v>3210</v>
      </c>
      <c r="BN3501" s="55">
        <v>3</v>
      </c>
      <c r="BO3501" s="55">
        <v>3</v>
      </c>
      <c r="BQ3501" s="55" t="s">
        <v>2875</v>
      </c>
      <c r="BS3501" s="55">
        <v>1200</v>
      </c>
      <c r="BT3501" s="55">
        <f>(9.8+30.8)/2</f>
        <v>20.3</v>
      </c>
      <c r="BV3501" s="55" t="s">
        <v>3220</v>
      </c>
      <c r="CB3501" s="66">
        <v>1900</v>
      </c>
      <c r="CC3501" s="66">
        <v>2300</v>
      </c>
      <c r="GP3501" s="292" t="s">
        <v>7494</v>
      </c>
    </row>
    <row r="3502" spans="1:198" x14ac:dyDescent="0.25">
      <c r="A3502" s="55">
        <v>3501</v>
      </c>
      <c r="B3502" s="12" t="s">
        <v>7067</v>
      </c>
      <c r="C3502" s="155">
        <v>163</v>
      </c>
      <c r="D3502" s="55" t="s">
        <v>3224</v>
      </c>
      <c r="E3502" s="90" t="s">
        <v>3207</v>
      </c>
      <c r="G3502" s="55" t="s">
        <v>3208</v>
      </c>
      <c r="H3502" s="55">
        <v>2003</v>
      </c>
      <c r="I3502" s="55">
        <v>1998</v>
      </c>
      <c r="J3502" s="55" t="s">
        <v>350</v>
      </c>
      <c r="K3502" s="55" t="s">
        <v>3213</v>
      </c>
      <c r="L3502" s="55" t="s">
        <v>2748</v>
      </c>
      <c r="M3502" s="90">
        <f>-(12+7/60)</f>
        <v>-12.116666666666667</v>
      </c>
      <c r="N3502" s="90">
        <f>-(-33-25/60)</f>
        <v>33.416666666666664</v>
      </c>
      <c r="O3502" s="90">
        <v>1231</v>
      </c>
      <c r="S3502" s="90">
        <f>(700+1200)/2</f>
        <v>950</v>
      </c>
      <c r="U3502" s="55" t="s">
        <v>1688</v>
      </c>
      <c r="V3502" s="55" t="s">
        <v>1816</v>
      </c>
      <c r="Y3502" s="55" t="s">
        <v>3209</v>
      </c>
      <c r="AI3502" s="168">
        <v>5.3</v>
      </c>
      <c r="AJ3502" s="90">
        <v>1.8</v>
      </c>
      <c r="AM3502" s="55" t="s">
        <v>3217</v>
      </c>
      <c r="AN3502" s="185" t="s">
        <v>2664</v>
      </c>
      <c r="AO3502" s="185" t="s">
        <v>5150</v>
      </c>
      <c r="AQ3502" s="55" t="s">
        <v>553</v>
      </c>
      <c r="AR3502" s="55" t="s">
        <v>1607</v>
      </c>
      <c r="AS3502" s="55" t="s">
        <v>132</v>
      </c>
      <c r="AU3502" s="181" t="s">
        <v>7494</v>
      </c>
      <c r="AV3502" s="185" t="s">
        <v>176</v>
      </c>
      <c r="AX3502" s="185" t="s">
        <v>176</v>
      </c>
      <c r="BK3502" s="55" t="s">
        <v>5976</v>
      </c>
      <c r="BM3502" s="192" t="s">
        <v>3210</v>
      </c>
      <c r="BN3502" s="55">
        <v>3</v>
      </c>
      <c r="BO3502" s="55">
        <v>3</v>
      </c>
      <c r="BQ3502" s="55" t="s">
        <v>2875</v>
      </c>
      <c r="BV3502" s="55" t="s">
        <v>3220</v>
      </c>
      <c r="CB3502" s="66">
        <v>2600</v>
      </c>
      <c r="CC3502" s="66">
        <v>3400</v>
      </c>
      <c r="GP3502" s="292" t="s">
        <v>7494</v>
      </c>
    </row>
    <row r="3503" spans="1:198" x14ac:dyDescent="0.25">
      <c r="A3503" s="55">
        <v>3502</v>
      </c>
      <c r="B3503" s="12" t="s">
        <v>7067</v>
      </c>
      <c r="C3503" s="155">
        <v>163</v>
      </c>
      <c r="D3503" s="55" t="s">
        <v>3225</v>
      </c>
      <c r="E3503" s="90" t="s">
        <v>3207</v>
      </c>
      <c r="G3503" s="55" t="s">
        <v>3208</v>
      </c>
      <c r="H3503" s="55">
        <v>2003</v>
      </c>
      <c r="I3503" s="55">
        <v>1998</v>
      </c>
      <c r="J3503" s="55" t="s">
        <v>350</v>
      </c>
      <c r="K3503" s="55" t="s">
        <v>3214</v>
      </c>
      <c r="L3503" s="55" t="s">
        <v>2748</v>
      </c>
      <c r="M3503" s="90">
        <f>-(13+59/60)</f>
        <v>-13.983333333333333</v>
      </c>
      <c r="N3503" s="90">
        <f>-(-33-38/60)</f>
        <v>33.633333333333333</v>
      </c>
      <c r="O3503" s="90">
        <v>1141</v>
      </c>
      <c r="S3503" s="90">
        <f>950</f>
        <v>950</v>
      </c>
      <c r="U3503" s="55" t="s">
        <v>1688</v>
      </c>
      <c r="V3503" s="55" t="s">
        <v>1816</v>
      </c>
      <c r="Y3503" s="55" t="s">
        <v>3209</v>
      </c>
      <c r="AI3503" s="168">
        <v>6.2</v>
      </c>
      <c r="AJ3503" s="90">
        <v>2.1</v>
      </c>
      <c r="AM3503" s="55" t="s">
        <v>3218</v>
      </c>
      <c r="AN3503" s="185" t="s">
        <v>2664</v>
      </c>
      <c r="AO3503" s="185" t="s">
        <v>5150</v>
      </c>
      <c r="AQ3503" s="55" t="s">
        <v>553</v>
      </c>
      <c r="AR3503" s="55" t="s">
        <v>1607</v>
      </c>
      <c r="AS3503" s="55" t="s">
        <v>132</v>
      </c>
      <c r="AU3503" s="181" t="s">
        <v>7494</v>
      </c>
      <c r="AV3503" s="185" t="s">
        <v>176</v>
      </c>
      <c r="AX3503" s="185" t="s">
        <v>176</v>
      </c>
      <c r="BK3503" s="55" t="s">
        <v>5976</v>
      </c>
      <c r="BM3503" s="192" t="s">
        <v>3210</v>
      </c>
      <c r="BN3503" s="55">
        <v>3</v>
      </c>
      <c r="BO3503" s="55">
        <v>3</v>
      </c>
      <c r="BQ3503" s="55" t="s">
        <v>2875</v>
      </c>
      <c r="BS3503" s="55">
        <v>1100</v>
      </c>
      <c r="BT3503" s="55">
        <f>(9.8+30.8)/2</f>
        <v>20.3</v>
      </c>
      <c r="BV3503" s="55" t="s">
        <v>3219</v>
      </c>
      <c r="CB3503" s="66">
        <v>2500</v>
      </c>
      <c r="CC3503" s="66">
        <v>3500</v>
      </c>
      <c r="GP3503" s="292" t="s">
        <v>7494</v>
      </c>
    </row>
    <row r="3504" spans="1:198" x14ac:dyDescent="0.25">
      <c r="A3504" s="55">
        <v>3503</v>
      </c>
      <c r="B3504" s="12" t="s">
        <v>7067</v>
      </c>
      <c r="C3504" s="155">
        <v>163</v>
      </c>
      <c r="D3504" s="55" t="s">
        <v>3226</v>
      </c>
      <c r="E3504" s="90" t="s">
        <v>3207</v>
      </c>
      <c r="G3504" s="55" t="s">
        <v>3208</v>
      </c>
      <c r="H3504" s="55">
        <v>2003</v>
      </c>
      <c r="I3504" s="55">
        <v>1998</v>
      </c>
      <c r="J3504" s="55" t="s">
        <v>350</v>
      </c>
      <c r="K3504" s="55" t="s">
        <v>3215</v>
      </c>
      <c r="L3504" s="55" t="s">
        <v>2748</v>
      </c>
      <c r="M3504" s="90">
        <f>-(13+50/60)</f>
        <v>-13.833333333333334</v>
      </c>
      <c r="N3504" s="90">
        <f>-(-38-2/60)</f>
        <v>38.033333333333331</v>
      </c>
      <c r="O3504" s="90">
        <v>1067</v>
      </c>
      <c r="S3504" s="90">
        <v>900</v>
      </c>
      <c r="U3504" s="55" t="s">
        <v>1688</v>
      </c>
      <c r="V3504" s="55" t="s">
        <v>1816</v>
      </c>
      <c r="Y3504" s="55" t="s">
        <v>3209</v>
      </c>
      <c r="AM3504" s="55" t="s">
        <v>3217</v>
      </c>
      <c r="AN3504" s="185" t="s">
        <v>2664</v>
      </c>
      <c r="AO3504" s="185" t="s">
        <v>5150</v>
      </c>
      <c r="AQ3504" s="55" t="s">
        <v>553</v>
      </c>
      <c r="AR3504" s="55" t="s">
        <v>1607</v>
      </c>
      <c r="AS3504" s="55" t="s">
        <v>132</v>
      </c>
      <c r="AU3504" s="181" t="s">
        <v>7494</v>
      </c>
      <c r="AV3504" s="185" t="s">
        <v>176</v>
      </c>
      <c r="AX3504" s="185" t="s">
        <v>176</v>
      </c>
      <c r="BK3504" s="55" t="s">
        <v>5976</v>
      </c>
      <c r="BM3504" s="192" t="s">
        <v>3210</v>
      </c>
      <c r="BN3504" s="55">
        <v>3</v>
      </c>
      <c r="BO3504" s="55">
        <v>3</v>
      </c>
      <c r="BQ3504" s="55" t="s">
        <v>2875</v>
      </c>
      <c r="BS3504" s="55">
        <v>2500</v>
      </c>
      <c r="BT3504" s="55">
        <f>(9.8+30.8)/2</f>
        <v>20.3</v>
      </c>
      <c r="BV3504" s="55" t="s">
        <v>3219</v>
      </c>
      <c r="CB3504" s="66">
        <v>1500</v>
      </c>
      <c r="CC3504" s="66">
        <v>1900</v>
      </c>
      <c r="GP3504" s="292" t="s">
        <v>7494</v>
      </c>
    </row>
    <row r="3505" spans="1:198" x14ac:dyDescent="0.25">
      <c r="A3505" s="55">
        <v>3504</v>
      </c>
      <c r="B3505" s="12" t="s">
        <v>7067</v>
      </c>
      <c r="C3505" s="155">
        <v>163</v>
      </c>
      <c r="D3505" s="55" t="s">
        <v>3222</v>
      </c>
      <c r="E3505" s="90" t="s">
        <v>3207</v>
      </c>
      <c r="G3505" s="55" t="s">
        <v>3208</v>
      </c>
      <c r="H3505" s="55">
        <v>2003</v>
      </c>
      <c r="I3505" s="55">
        <v>1998</v>
      </c>
      <c r="J3505" s="55" t="s">
        <v>350</v>
      </c>
      <c r="K3505" s="55" t="s">
        <v>3211</v>
      </c>
      <c r="L3505" s="55" t="s">
        <v>2748</v>
      </c>
      <c r="M3505" s="90">
        <f>-(14+21/60)</f>
        <v>-14.35</v>
      </c>
      <c r="N3505" s="90">
        <f>-(-34-25/60)</f>
        <v>34.416666666666664</v>
      </c>
      <c r="O3505" s="90">
        <v>1583</v>
      </c>
      <c r="S3505" s="90">
        <f>(800+1270)/2</f>
        <v>1035</v>
      </c>
      <c r="U3505" s="55" t="s">
        <v>1688</v>
      </c>
      <c r="V3505" s="55" t="s">
        <v>1816</v>
      </c>
      <c r="Y3505" s="55" t="s">
        <v>3209</v>
      </c>
      <c r="AI3505" s="168">
        <v>5.9</v>
      </c>
      <c r="AJ3505" s="90">
        <v>1.8</v>
      </c>
      <c r="AM3505" s="55" t="s">
        <v>3216</v>
      </c>
      <c r="AN3505" s="185" t="s">
        <v>2666</v>
      </c>
      <c r="AO3505" s="185" t="s">
        <v>5150</v>
      </c>
      <c r="AQ3505" s="55" t="s">
        <v>553</v>
      </c>
      <c r="AR3505" s="55" t="s">
        <v>1607</v>
      </c>
      <c r="AS3505" s="55" t="s">
        <v>132</v>
      </c>
      <c r="AU3505" s="181" t="s">
        <v>7494</v>
      </c>
      <c r="AV3505" s="185" t="s">
        <v>176</v>
      </c>
      <c r="AX3505" s="185" t="s">
        <v>176</v>
      </c>
      <c r="BK3505" s="55" t="s">
        <v>5976</v>
      </c>
      <c r="BM3505" s="192" t="s">
        <v>3210</v>
      </c>
      <c r="BN3505" s="55">
        <v>3</v>
      </c>
      <c r="BO3505" s="55">
        <v>3</v>
      </c>
      <c r="BQ3505" s="55" t="s">
        <v>2875</v>
      </c>
      <c r="BS3505" s="55">
        <v>1700</v>
      </c>
      <c r="BT3505" s="55">
        <f>(8+32.1)/2</f>
        <v>20.05</v>
      </c>
      <c r="BV3505" s="55" t="s">
        <v>3220</v>
      </c>
      <c r="CB3505" s="66">
        <v>1100</v>
      </c>
      <c r="CC3505" s="66">
        <v>1900</v>
      </c>
      <c r="GP3505" s="292" t="s">
        <v>7494</v>
      </c>
    </row>
    <row r="3506" spans="1:198" x14ac:dyDescent="0.25">
      <c r="A3506" s="55">
        <v>3505</v>
      </c>
      <c r="B3506" s="12" t="s">
        <v>7067</v>
      </c>
      <c r="C3506" s="155">
        <v>163</v>
      </c>
      <c r="D3506" s="55" t="s">
        <v>3223</v>
      </c>
      <c r="E3506" s="90" t="s">
        <v>3207</v>
      </c>
      <c r="G3506" s="55" t="s">
        <v>3208</v>
      </c>
      <c r="H3506" s="55">
        <v>2003</v>
      </c>
      <c r="I3506" s="55">
        <v>1998</v>
      </c>
      <c r="J3506" s="55" t="s">
        <v>350</v>
      </c>
      <c r="K3506" s="55" t="s">
        <v>3212</v>
      </c>
      <c r="L3506" s="55" t="s">
        <v>2748</v>
      </c>
      <c r="M3506" s="90">
        <f>-(16+1/60)</f>
        <v>-16.016666666666666</v>
      </c>
      <c r="N3506" s="90">
        <f>-(-35-21/60)</f>
        <v>35.35</v>
      </c>
      <c r="O3506" s="90">
        <v>1200</v>
      </c>
      <c r="S3506" s="90">
        <f>2200</f>
        <v>2200</v>
      </c>
      <c r="U3506" s="55" t="s">
        <v>1688</v>
      </c>
      <c r="V3506" s="55" t="s">
        <v>1816</v>
      </c>
      <c r="Y3506" s="55" t="s">
        <v>3209</v>
      </c>
      <c r="AI3506" s="168">
        <v>5.8</v>
      </c>
      <c r="AJ3506" s="90">
        <v>1</v>
      </c>
      <c r="AM3506" s="55" t="s">
        <v>3216</v>
      </c>
      <c r="AN3506" s="185" t="s">
        <v>2666</v>
      </c>
      <c r="AO3506" s="185" t="s">
        <v>5150</v>
      </c>
      <c r="AQ3506" s="55" t="s">
        <v>553</v>
      </c>
      <c r="AR3506" s="55" t="s">
        <v>1607</v>
      </c>
      <c r="AS3506" s="55" t="s">
        <v>132</v>
      </c>
      <c r="AU3506" s="181" t="s">
        <v>7494</v>
      </c>
      <c r="AV3506" s="185" t="s">
        <v>176</v>
      </c>
      <c r="AX3506" s="185" t="s">
        <v>176</v>
      </c>
      <c r="BK3506" s="55" t="s">
        <v>5976</v>
      </c>
      <c r="BM3506" s="192" t="s">
        <v>3210</v>
      </c>
      <c r="BN3506" s="55">
        <v>3</v>
      </c>
      <c r="BO3506" s="55">
        <v>3</v>
      </c>
      <c r="BQ3506" s="55" t="s">
        <v>2875</v>
      </c>
      <c r="BS3506" s="55">
        <v>500</v>
      </c>
      <c r="BT3506" s="55">
        <f>(8+32.1)/2</f>
        <v>20.05</v>
      </c>
      <c r="BV3506" s="55" t="s">
        <v>3220</v>
      </c>
      <c r="CB3506" s="66">
        <v>1900</v>
      </c>
      <c r="CC3506" s="66">
        <v>2800</v>
      </c>
      <c r="GP3506" s="292" t="s">
        <v>7494</v>
      </c>
    </row>
    <row r="3507" spans="1:198" x14ac:dyDescent="0.25">
      <c r="A3507" s="55">
        <v>3506</v>
      </c>
      <c r="B3507" s="12" t="s">
        <v>7067</v>
      </c>
      <c r="C3507" s="155">
        <v>163</v>
      </c>
      <c r="D3507" s="55" t="s">
        <v>3224</v>
      </c>
      <c r="E3507" s="90" t="s">
        <v>3207</v>
      </c>
      <c r="G3507" s="55" t="s">
        <v>3208</v>
      </c>
      <c r="H3507" s="55">
        <v>2003</v>
      </c>
      <c r="I3507" s="55">
        <v>1998</v>
      </c>
      <c r="J3507" s="55" t="s">
        <v>350</v>
      </c>
      <c r="K3507" s="55" t="s">
        <v>3213</v>
      </c>
      <c r="L3507" s="55" t="s">
        <v>2748</v>
      </c>
      <c r="M3507" s="90">
        <f>-(12+7/60)</f>
        <v>-12.116666666666667</v>
      </c>
      <c r="N3507" s="90">
        <f>-(-33-25/60)</f>
        <v>33.416666666666664</v>
      </c>
      <c r="O3507" s="90">
        <v>1231</v>
      </c>
      <c r="S3507" s="90">
        <f>(700+1200)/2</f>
        <v>950</v>
      </c>
      <c r="U3507" s="55" t="s">
        <v>1688</v>
      </c>
      <c r="V3507" s="55" t="s">
        <v>1816</v>
      </c>
      <c r="Y3507" s="55" t="s">
        <v>3209</v>
      </c>
      <c r="AI3507" s="168">
        <v>5.3</v>
      </c>
      <c r="AJ3507" s="90">
        <v>1.8</v>
      </c>
      <c r="AM3507" s="55" t="s">
        <v>3217</v>
      </c>
      <c r="AN3507" s="185" t="s">
        <v>2666</v>
      </c>
      <c r="AO3507" s="185" t="s">
        <v>5150</v>
      </c>
      <c r="AQ3507" s="55" t="s">
        <v>553</v>
      </c>
      <c r="AR3507" s="55" t="s">
        <v>1607</v>
      </c>
      <c r="AS3507" s="55" t="s">
        <v>132</v>
      </c>
      <c r="AU3507" s="181" t="s">
        <v>7494</v>
      </c>
      <c r="AV3507" s="185" t="s">
        <v>176</v>
      </c>
      <c r="AX3507" s="185" t="s">
        <v>176</v>
      </c>
      <c r="BK3507" s="55" t="s">
        <v>5976</v>
      </c>
      <c r="BM3507" s="192" t="s">
        <v>3210</v>
      </c>
      <c r="BN3507" s="55">
        <v>3</v>
      </c>
      <c r="BO3507" s="55">
        <v>3</v>
      </c>
      <c r="BQ3507" s="55" t="s">
        <v>2875</v>
      </c>
      <c r="BS3507" s="55">
        <v>500</v>
      </c>
      <c r="BT3507" s="55">
        <f>(8+32.1)/2</f>
        <v>20.05</v>
      </c>
      <c r="BV3507" s="55" t="s">
        <v>3220</v>
      </c>
      <c r="CB3507" s="66">
        <v>2600</v>
      </c>
      <c r="CC3507" s="66">
        <v>3700</v>
      </c>
      <c r="GP3507" s="292" t="s">
        <v>7494</v>
      </c>
    </row>
    <row r="3508" spans="1:198" x14ac:dyDescent="0.25">
      <c r="A3508" s="55">
        <v>3507</v>
      </c>
      <c r="B3508" s="12" t="s">
        <v>7067</v>
      </c>
      <c r="C3508" s="155">
        <v>163</v>
      </c>
      <c r="D3508" s="55" t="s">
        <v>3225</v>
      </c>
      <c r="E3508" s="90" t="s">
        <v>3207</v>
      </c>
      <c r="G3508" s="55" t="s">
        <v>3208</v>
      </c>
      <c r="H3508" s="55">
        <v>2003</v>
      </c>
      <c r="I3508" s="55">
        <v>1998</v>
      </c>
      <c r="J3508" s="55" t="s">
        <v>350</v>
      </c>
      <c r="K3508" s="55" t="s">
        <v>3214</v>
      </c>
      <c r="L3508" s="55" t="s">
        <v>2748</v>
      </c>
      <c r="M3508" s="90">
        <f>-(13+59/60)</f>
        <v>-13.983333333333333</v>
      </c>
      <c r="N3508" s="90">
        <f>-(-33-38/60)</f>
        <v>33.633333333333333</v>
      </c>
      <c r="O3508" s="90">
        <v>1141</v>
      </c>
      <c r="S3508" s="90">
        <f>950</f>
        <v>950</v>
      </c>
      <c r="U3508" s="55" t="s">
        <v>1688</v>
      </c>
      <c r="V3508" s="55" t="s">
        <v>1816</v>
      </c>
      <c r="Y3508" s="55" t="s">
        <v>3209</v>
      </c>
      <c r="AI3508" s="168">
        <v>6.2</v>
      </c>
      <c r="AJ3508" s="90">
        <v>2.1</v>
      </c>
      <c r="AM3508" s="55" t="s">
        <v>3218</v>
      </c>
      <c r="AN3508" s="185" t="s">
        <v>2666</v>
      </c>
      <c r="AO3508" s="185" t="s">
        <v>5150</v>
      </c>
      <c r="AQ3508" s="55" t="s">
        <v>553</v>
      </c>
      <c r="AR3508" s="55" t="s">
        <v>1607</v>
      </c>
      <c r="AS3508" s="55" t="s">
        <v>132</v>
      </c>
      <c r="AU3508" s="181" t="s">
        <v>7494</v>
      </c>
      <c r="AV3508" s="185" t="s">
        <v>176</v>
      </c>
      <c r="AX3508" s="185" t="s">
        <v>176</v>
      </c>
      <c r="BK3508" s="55" t="s">
        <v>5976</v>
      </c>
      <c r="BM3508" s="192" t="s">
        <v>3210</v>
      </c>
      <c r="BN3508" s="55">
        <v>3</v>
      </c>
      <c r="BO3508" s="55">
        <v>3</v>
      </c>
      <c r="BQ3508" s="55" t="s">
        <v>2875</v>
      </c>
      <c r="BS3508" s="55">
        <v>100</v>
      </c>
      <c r="BT3508" s="55">
        <f>(8+32.1)/2</f>
        <v>20.05</v>
      </c>
      <c r="BV3508" s="55" t="s">
        <v>3219</v>
      </c>
      <c r="CB3508" s="66">
        <v>2500</v>
      </c>
      <c r="CC3508" s="66">
        <v>4200</v>
      </c>
      <c r="GP3508" s="292" t="s">
        <v>7494</v>
      </c>
    </row>
    <row r="3509" spans="1:198" x14ac:dyDescent="0.25">
      <c r="A3509" s="55">
        <v>3508</v>
      </c>
      <c r="B3509" s="12" t="s">
        <v>7067</v>
      </c>
      <c r="C3509" s="155">
        <v>163</v>
      </c>
      <c r="D3509" s="55" t="s">
        <v>3226</v>
      </c>
      <c r="E3509" s="90" t="s">
        <v>3207</v>
      </c>
      <c r="G3509" s="55" t="s">
        <v>3208</v>
      </c>
      <c r="H3509" s="55">
        <v>2003</v>
      </c>
      <c r="I3509" s="55">
        <v>1998</v>
      </c>
      <c r="J3509" s="55" t="s">
        <v>350</v>
      </c>
      <c r="K3509" s="55" t="s">
        <v>3215</v>
      </c>
      <c r="L3509" s="55" t="s">
        <v>2748</v>
      </c>
      <c r="M3509" s="90">
        <f>-(13+50/60)</f>
        <v>-13.833333333333334</v>
      </c>
      <c r="N3509" s="90">
        <f>-(-38-2/60)</f>
        <v>38.033333333333331</v>
      </c>
      <c r="O3509" s="90">
        <v>1067</v>
      </c>
      <c r="S3509" s="90">
        <v>900</v>
      </c>
      <c r="U3509" s="55" t="s">
        <v>1688</v>
      </c>
      <c r="V3509" s="55" t="s">
        <v>1816</v>
      </c>
      <c r="Y3509" s="55" t="s">
        <v>3209</v>
      </c>
      <c r="AM3509" s="55" t="s">
        <v>3217</v>
      </c>
      <c r="AN3509" s="185" t="s">
        <v>2666</v>
      </c>
      <c r="AO3509" s="185" t="s">
        <v>5150</v>
      </c>
      <c r="AQ3509" s="55" t="s">
        <v>553</v>
      </c>
      <c r="AR3509" s="55" t="s">
        <v>1607</v>
      </c>
      <c r="AS3509" s="55" t="s">
        <v>132</v>
      </c>
      <c r="AU3509" s="181" t="s">
        <v>7494</v>
      </c>
      <c r="AV3509" s="185" t="s">
        <v>176</v>
      </c>
      <c r="AX3509" s="185" t="s">
        <v>176</v>
      </c>
      <c r="BK3509" s="55" t="s">
        <v>5976</v>
      </c>
      <c r="BM3509" s="192" t="s">
        <v>3210</v>
      </c>
      <c r="BN3509" s="55">
        <v>3</v>
      </c>
      <c r="BO3509" s="55">
        <v>3</v>
      </c>
      <c r="BQ3509" s="55" t="s">
        <v>2875</v>
      </c>
      <c r="BS3509" s="55">
        <v>500</v>
      </c>
      <c r="BT3509" s="55">
        <f>(8+32.1)/2</f>
        <v>20.05</v>
      </c>
      <c r="BV3509" s="55" t="s">
        <v>3219</v>
      </c>
      <c r="CB3509" s="66">
        <v>1500</v>
      </c>
      <c r="CC3509" s="66">
        <v>1900</v>
      </c>
      <c r="GP3509" s="292" t="s">
        <v>7494</v>
      </c>
    </row>
    <row r="3510" spans="1:198" x14ac:dyDescent="0.25">
      <c r="A3510" s="55">
        <v>3509</v>
      </c>
      <c r="B3510" s="12" t="s">
        <v>7067</v>
      </c>
      <c r="C3510" s="155">
        <v>163</v>
      </c>
      <c r="D3510" s="55" t="s">
        <v>3222</v>
      </c>
      <c r="E3510" s="90" t="s">
        <v>3207</v>
      </c>
      <c r="G3510" s="55" t="s">
        <v>3208</v>
      </c>
      <c r="H3510" s="55">
        <v>2003</v>
      </c>
      <c r="I3510" s="55">
        <v>1998</v>
      </c>
      <c r="J3510" s="55" t="s">
        <v>350</v>
      </c>
      <c r="K3510" s="55" t="s">
        <v>3211</v>
      </c>
      <c r="L3510" s="55" t="s">
        <v>2748</v>
      </c>
      <c r="M3510" s="90">
        <f>-(14+21/60)</f>
        <v>-14.35</v>
      </c>
      <c r="N3510" s="90">
        <f>-(-34-25/60)</f>
        <v>34.416666666666664</v>
      </c>
      <c r="O3510" s="90">
        <v>1583</v>
      </c>
      <c r="S3510" s="90">
        <f>(800+1270)/2</f>
        <v>1035</v>
      </c>
      <c r="U3510" s="55" t="s">
        <v>1688</v>
      </c>
      <c r="V3510" s="55" t="s">
        <v>1816</v>
      </c>
      <c r="Y3510" s="55" t="s">
        <v>3209</v>
      </c>
      <c r="AI3510" s="168">
        <v>5.9</v>
      </c>
      <c r="AJ3510" s="90">
        <v>1.8</v>
      </c>
      <c r="AM3510" s="55" t="s">
        <v>3216</v>
      </c>
      <c r="AN3510" s="185" t="s">
        <v>2666</v>
      </c>
      <c r="AO3510" s="185" t="s">
        <v>5150</v>
      </c>
      <c r="AQ3510" s="55" t="s">
        <v>553</v>
      </c>
      <c r="AR3510" s="55" t="s">
        <v>1607</v>
      </c>
      <c r="AS3510" s="55" t="s">
        <v>132</v>
      </c>
      <c r="AU3510" s="181" t="s">
        <v>7494</v>
      </c>
      <c r="AV3510" s="185" t="s">
        <v>176</v>
      </c>
      <c r="AX3510" s="185" t="s">
        <v>176</v>
      </c>
      <c r="BK3510" s="55" t="s">
        <v>5976</v>
      </c>
      <c r="BM3510" s="192" t="s">
        <v>3210</v>
      </c>
      <c r="BN3510" s="55">
        <v>3</v>
      </c>
      <c r="BO3510" s="55">
        <v>3</v>
      </c>
      <c r="BQ3510" s="55" t="s">
        <v>2875</v>
      </c>
      <c r="BS3510" s="55">
        <v>1700</v>
      </c>
      <c r="BT3510" s="55">
        <f>(8+32.1)/2</f>
        <v>20.05</v>
      </c>
      <c r="BV3510" s="55" t="s">
        <v>3220</v>
      </c>
      <c r="CB3510" s="66">
        <v>1100</v>
      </c>
      <c r="CC3510" s="66">
        <v>900</v>
      </c>
      <c r="GP3510" s="292" t="s">
        <v>7494</v>
      </c>
    </row>
    <row r="3511" spans="1:198" x14ac:dyDescent="0.25">
      <c r="A3511" s="55">
        <v>3510</v>
      </c>
      <c r="B3511" s="12" t="s">
        <v>7067</v>
      </c>
      <c r="C3511" s="155">
        <v>163</v>
      </c>
      <c r="D3511" s="55" t="s">
        <v>3223</v>
      </c>
      <c r="E3511" s="90" t="s">
        <v>3207</v>
      </c>
      <c r="G3511" s="55" t="s">
        <v>3208</v>
      </c>
      <c r="H3511" s="55">
        <v>2003</v>
      </c>
      <c r="I3511" s="55">
        <v>1998</v>
      </c>
      <c r="J3511" s="55" t="s">
        <v>350</v>
      </c>
      <c r="K3511" s="55" t="s">
        <v>3212</v>
      </c>
      <c r="L3511" s="55" t="s">
        <v>2748</v>
      </c>
      <c r="M3511" s="90">
        <f>-(16+1/60)</f>
        <v>-16.016666666666666</v>
      </c>
      <c r="N3511" s="90">
        <f>-(-35-21/60)</f>
        <v>35.35</v>
      </c>
      <c r="O3511" s="90">
        <v>1200</v>
      </c>
      <c r="S3511" s="90">
        <f>2200</f>
        <v>2200</v>
      </c>
      <c r="U3511" s="55" t="s">
        <v>1688</v>
      </c>
      <c r="V3511" s="55" t="s">
        <v>1816</v>
      </c>
      <c r="Y3511" s="55" t="s">
        <v>3209</v>
      </c>
      <c r="AI3511" s="168">
        <v>5.8</v>
      </c>
      <c r="AJ3511" s="90">
        <v>1</v>
      </c>
      <c r="AM3511" s="55" t="s">
        <v>3216</v>
      </c>
      <c r="AN3511" s="185" t="s">
        <v>2666</v>
      </c>
      <c r="AO3511" s="185" t="s">
        <v>5150</v>
      </c>
      <c r="AQ3511" s="55" t="s">
        <v>553</v>
      </c>
      <c r="AR3511" s="55" t="s">
        <v>1607</v>
      </c>
      <c r="AS3511" s="55" t="s">
        <v>132</v>
      </c>
      <c r="AU3511" s="181" t="s">
        <v>7494</v>
      </c>
      <c r="AV3511" s="185" t="s">
        <v>176</v>
      </c>
      <c r="AX3511" s="185" t="s">
        <v>176</v>
      </c>
      <c r="BK3511" s="55" t="s">
        <v>5976</v>
      </c>
      <c r="BM3511" s="192" t="s">
        <v>3210</v>
      </c>
      <c r="BN3511" s="55">
        <v>3</v>
      </c>
      <c r="BO3511" s="55">
        <v>3</v>
      </c>
      <c r="BQ3511" s="55" t="s">
        <v>2875</v>
      </c>
      <c r="BS3511" s="55">
        <v>500</v>
      </c>
      <c r="BT3511" s="55">
        <f>(8+32.1)/2</f>
        <v>20.05</v>
      </c>
      <c r="BV3511" s="55" t="s">
        <v>3220</v>
      </c>
      <c r="CB3511" s="66">
        <v>1900</v>
      </c>
      <c r="CC3511" s="66">
        <v>2600</v>
      </c>
      <c r="GP3511" s="292" t="s">
        <v>7494</v>
      </c>
    </row>
    <row r="3512" spans="1:198" x14ac:dyDescent="0.25">
      <c r="A3512" s="55">
        <v>3511</v>
      </c>
      <c r="B3512" s="12" t="s">
        <v>7067</v>
      </c>
      <c r="C3512" s="155">
        <v>163</v>
      </c>
      <c r="D3512" s="55" t="s">
        <v>3224</v>
      </c>
      <c r="E3512" s="90" t="s">
        <v>3207</v>
      </c>
      <c r="G3512" s="55" t="s">
        <v>3208</v>
      </c>
      <c r="H3512" s="55">
        <v>2003</v>
      </c>
      <c r="I3512" s="55">
        <v>1998</v>
      </c>
      <c r="J3512" s="55" t="s">
        <v>350</v>
      </c>
      <c r="K3512" s="55" t="s">
        <v>3213</v>
      </c>
      <c r="L3512" s="55" t="s">
        <v>2748</v>
      </c>
      <c r="M3512" s="90">
        <f>-(12+7/60)</f>
        <v>-12.116666666666667</v>
      </c>
      <c r="N3512" s="90">
        <f>-(-33-25/60)</f>
        <v>33.416666666666664</v>
      </c>
      <c r="O3512" s="90">
        <v>1231</v>
      </c>
      <c r="S3512" s="90">
        <f>(700+1200)/2</f>
        <v>950</v>
      </c>
      <c r="U3512" s="55" t="s">
        <v>1688</v>
      </c>
      <c r="V3512" s="55" t="s">
        <v>1816</v>
      </c>
      <c r="Y3512" s="55" t="s">
        <v>3209</v>
      </c>
      <c r="AI3512" s="168">
        <v>5.3</v>
      </c>
      <c r="AJ3512" s="90">
        <v>1.8</v>
      </c>
      <c r="AM3512" s="55" t="s">
        <v>3217</v>
      </c>
      <c r="AN3512" s="185" t="s">
        <v>2666</v>
      </c>
      <c r="AO3512" s="185" t="s">
        <v>5150</v>
      </c>
      <c r="AQ3512" s="55" t="s">
        <v>553</v>
      </c>
      <c r="AR3512" s="55" t="s">
        <v>1607</v>
      </c>
      <c r="AS3512" s="55" t="s">
        <v>132</v>
      </c>
      <c r="AU3512" s="181" t="s">
        <v>7494</v>
      </c>
      <c r="AV3512" s="185" t="s">
        <v>176</v>
      </c>
      <c r="AX3512" s="185" t="s">
        <v>176</v>
      </c>
      <c r="BK3512" s="55" t="s">
        <v>5976</v>
      </c>
      <c r="BM3512" s="192" t="s">
        <v>3210</v>
      </c>
      <c r="BN3512" s="55">
        <v>3</v>
      </c>
      <c r="BO3512" s="55">
        <v>3</v>
      </c>
      <c r="BQ3512" s="55" t="s">
        <v>2875</v>
      </c>
      <c r="BS3512" s="55">
        <v>500</v>
      </c>
      <c r="BT3512" s="55">
        <f>(8+32.1)/2</f>
        <v>20.05</v>
      </c>
      <c r="BV3512" s="55" t="s">
        <v>3220</v>
      </c>
      <c r="CB3512" s="66">
        <v>2600</v>
      </c>
      <c r="CC3512" s="66">
        <v>3500</v>
      </c>
      <c r="GP3512" s="292" t="s">
        <v>7494</v>
      </c>
    </row>
    <row r="3513" spans="1:198" x14ac:dyDescent="0.25">
      <c r="A3513" s="55">
        <v>3512</v>
      </c>
      <c r="B3513" s="12" t="s">
        <v>7067</v>
      </c>
      <c r="C3513" s="155">
        <v>163</v>
      </c>
      <c r="D3513" s="55" t="s">
        <v>3225</v>
      </c>
      <c r="E3513" s="90" t="s">
        <v>3207</v>
      </c>
      <c r="G3513" s="55" t="s">
        <v>3208</v>
      </c>
      <c r="H3513" s="55">
        <v>2003</v>
      </c>
      <c r="I3513" s="55">
        <v>1998</v>
      </c>
      <c r="J3513" s="55" t="s">
        <v>350</v>
      </c>
      <c r="K3513" s="55" t="s">
        <v>3214</v>
      </c>
      <c r="L3513" s="55" t="s">
        <v>2748</v>
      </c>
      <c r="M3513" s="90">
        <f>-(13+59/60)</f>
        <v>-13.983333333333333</v>
      </c>
      <c r="N3513" s="90">
        <f>-(-33-38/60)</f>
        <v>33.633333333333333</v>
      </c>
      <c r="O3513" s="90">
        <v>1141</v>
      </c>
      <c r="S3513" s="90">
        <f>950</f>
        <v>950</v>
      </c>
      <c r="U3513" s="55" t="s">
        <v>1688</v>
      </c>
      <c r="V3513" s="55" t="s">
        <v>1816</v>
      </c>
      <c r="Y3513" s="55" t="s">
        <v>3209</v>
      </c>
      <c r="AI3513" s="168">
        <v>6.2</v>
      </c>
      <c r="AJ3513" s="90">
        <v>2.1</v>
      </c>
      <c r="AM3513" s="55" t="s">
        <v>3218</v>
      </c>
      <c r="AN3513" s="185" t="s">
        <v>2666</v>
      </c>
      <c r="AO3513" s="185" t="s">
        <v>5150</v>
      </c>
      <c r="AQ3513" s="55" t="s">
        <v>553</v>
      </c>
      <c r="AR3513" s="55" t="s">
        <v>1607</v>
      </c>
      <c r="AS3513" s="55" t="s">
        <v>132</v>
      </c>
      <c r="AU3513" s="181" t="s">
        <v>7494</v>
      </c>
      <c r="AV3513" s="185" t="s">
        <v>176</v>
      </c>
      <c r="AX3513" s="185" t="s">
        <v>176</v>
      </c>
      <c r="BK3513" s="55" t="s">
        <v>5976</v>
      </c>
      <c r="BM3513" s="192" t="s">
        <v>3210</v>
      </c>
      <c r="BN3513" s="55">
        <v>3</v>
      </c>
      <c r="BO3513" s="55">
        <v>3</v>
      </c>
      <c r="BQ3513" s="55" t="s">
        <v>2875</v>
      </c>
      <c r="BS3513" s="55">
        <v>100</v>
      </c>
      <c r="BT3513" s="55">
        <f>(8+32.1)/2</f>
        <v>20.05</v>
      </c>
      <c r="BV3513" s="55" t="s">
        <v>3219</v>
      </c>
      <c r="CB3513" s="66">
        <v>2500</v>
      </c>
      <c r="CC3513" s="66">
        <v>3600</v>
      </c>
      <c r="GP3513" s="292" t="s">
        <v>7494</v>
      </c>
    </row>
    <row r="3514" spans="1:198" x14ac:dyDescent="0.25">
      <c r="A3514" s="55">
        <v>3513</v>
      </c>
      <c r="B3514" s="12" t="s">
        <v>7067</v>
      </c>
      <c r="C3514" s="155">
        <v>163</v>
      </c>
      <c r="D3514" s="55" t="s">
        <v>3226</v>
      </c>
      <c r="E3514" s="90" t="s">
        <v>3207</v>
      </c>
      <c r="G3514" s="55" t="s">
        <v>3208</v>
      </c>
      <c r="H3514" s="55">
        <v>2003</v>
      </c>
      <c r="I3514" s="55">
        <v>1998</v>
      </c>
      <c r="J3514" s="55" t="s">
        <v>350</v>
      </c>
      <c r="K3514" s="55" t="s">
        <v>3215</v>
      </c>
      <c r="L3514" s="55" t="s">
        <v>2748</v>
      </c>
      <c r="M3514" s="90">
        <f>-(13+50/60)</f>
        <v>-13.833333333333334</v>
      </c>
      <c r="N3514" s="90">
        <f>-(-38-2/60)</f>
        <v>38.033333333333331</v>
      </c>
      <c r="O3514" s="90">
        <v>1067</v>
      </c>
      <c r="S3514" s="90">
        <v>900</v>
      </c>
      <c r="U3514" s="55" t="s">
        <v>1688</v>
      </c>
      <c r="V3514" s="55" t="s">
        <v>1816</v>
      </c>
      <c r="Y3514" s="55" t="s">
        <v>3209</v>
      </c>
      <c r="AM3514" s="55" t="s">
        <v>3217</v>
      </c>
      <c r="AN3514" s="185" t="s">
        <v>2666</v>
      </c>
      <c r="AO3514" s="185" t="s">
        <v>5150</v>
      </c>
      <c r="AQ3514" s="55" t="s">
        <v>553</v>
      </c>
      <c r="AR3514" s="55" t="s">
        <v>1607</v>
      </c>
      <c r="AS3514" s="55" t="s">
        <v>132</v>
      </c>
      <c r="AU3514" s="181" t="s">
        <v>7494</v>
      </c>
      <c r="AV3514" s="185" t="s">
        <v>176</v>
      </c>
      <c r="AX3514" s="185" t="s">
        <v>176</v>
      </c>
      <c r="BK3514" s="55" t="s">
        <v>5976</v>
      </c>
      <c r="BM3514" s="192" t="s">
        <v>3210</v>
      </c>
      <c r="BN3514" s="55">
        <v>3</v>
      </c>
      <c r="BO3514" s="55">
        <v>3</v>
      </c>
      <c r="BQ3514" s="55" t="s">
        <v>2875</v>
      </c>
      <c r="BS3514" s="55">
        <v>500</v>
      </c>
      <c r="BT3514" s="55">
        <f>(8+32.1)/2</f>
        <v>20.05</v>
      </c>
      <c r="BV3514" s="55" t="s">
        <v>3219</v>
      </c>
      <c r="CB3514" s="66">
        <v>1500</v>
      </c>
      <c r="CC3514" s="66">
        <v>2000</v>
      </c>
      <c r="GP3514" s="292" t="s">
        <v>7494</v>
      </c>
    </row>
    <row r="3515" spans="1:198" x14ac:dyDescent="0.25">
      <c r="A3515" s="55">
        <v>3514</v>
      </c>
      <c r="B3515" s="12" t="s">
        <v>7067</v>
      </c>
      <c r="C3515" s="155">
        <v>163</v>
      </c>
      <c r="D3515" s="55" t="s">
        <v>3222</v>
      </c>
      <c r="E3515" s="90" t="s">
        <v>3207</v>
      </c>
      <c r="G3515" s="55" t="s">
        <v>3208</v>
      </c>
      <c r="H3515" s="55">
        <v>2003</v>
      </c>
      <c r="I3515" s="55">
        <v>1998</v>
      </c>
      <c r="J3515" s="55" t="s">
        <v>350</v>
      </c>
      <c r="K3515" s="55" t="s">
        <v>3211</v>
      </c>
      <c r="L3515" s="55" t="s">
        <v>2748</v>
      </c>
      <c r="M3515" s="90">
        <f>-(14+21/60)</f>
        <v>-14.35</v>
      </c>
      <c r="N3515" s="90">
        <f>-(-34-25/60)</f>
        <v>34.416666666666664</v>
      </c>
      <c r="O3515" s="90">
        <v>1583</v>
      </c>
      <c r="S3515" s="90">
        <f>(800+1270)/2</f>
        <v>1035</v>
      </c>
      <c r="U3515" s="55" t="s">
        <v>1688</v>
      </c>
      <c r="V3515" s="55" t="s">
        <v>1816</v>
      </c>
      <c r="Y3515" s="55" t="s">
        <v>3209</v>
      </c>
      <c r="AI3515" s="168">
        <v>5.9</v>
      </c>
      <c r="AJ3515" s="90">
        <v>1.8</v>
      </c>
      <c r="AM3515" s="55" t="s">
        <v>3216</v>
      </c>
      <c r="AN3515" s="185" t="s">
        <v>3221</v>
      </c>
      <c r="AO3515" s="185" t="s">
        <v>5150</v>
      </c>
      <c r="AQ3515" s="55" t="s">
        <v>553</v>
      </c>
      <c r="AR3515" s="55" t="s">
        <v>1607</v>
      </c>
      <c r="AS3515" s="55" t="s">
        <v>132</v>
      </c>
      <c r="AU3515" s="181" t="s">
        <v>7494</v>
      </c>
      <c r="AV3515" s="185" t="s">
        <v>176</v>
      </c>
      <c r="AX3515" s="185" t="s">
        <v>176</v>
      </c>
      <c r="BK3515" s="55" t="s">
        <v>5976</v>
      </c>
      <c r="BM3515" s="192" t="s">
        <v>3210</v>
      </c>
      <c r="BN3515" s="55">
        <v>3</v>
      </c>
      <c r="BO3515" s="55">
        <v>3</v>
      </c>
      <c r="BQ3515" s="55" t="s">
        <v>2875</v>
      </c>
      <c r="BV3515" s="55" t="s">
        <v>3220</v>
      </c>
      <c r="CB3515" s="66">
        <v>1100</v>
      </c>
      <c r="CC3515" s="66">
        <v>2000</v>
      </c>
      <c r="GP3515" s="292" t="s">
        <v>7494</v>
      </c>
    </row>
    <row r="3516" spans="1:198" x14ac:dyDescent="0.25">
      <c r="A3516" s="55">
        <v>3515</v>
      </c>
      <c r="B3516" s="12" t="s">
        <v>7067</v>
      </c>
      <c r="C3516" s="155">
        <v>163</v>
      </c>
      <c r="D3516" s="55" t="s">
        <v>3223</v>
      </c>
      <c r="E3516" s="90" t="s">
        <v>3207</v>
      </c>
      <c r="G3516" s="55" t="s">
        <v>3208</v>
      </c>
      <c r="H3516" s="55">
        <v>2003</v>
      </c>
      <c r="I3516" s="55">
        <v>1998</v>
      </c>
      <c r="J3516" s="55" t="s">
        <v>350</v>
      </c>
      <c r="K3516" s="55" t="s">
        <v>3212</v>
      </c>
      <c r="L3516" s="55" t="s">
        <v>2748</v>
      </c>
      <c r="M3516" s="90">
        <f>-(16+1/60)</f>
        <v>-16.016666666666666</v>
      </c>
      <c r="N3516" s="90">
        <f>-(-35-21/60)</f>
        <v>35.35</v>
      </c>
      <c r="O3516" s="90">
        <v>1200</v>
      </c>
      <c r="S3516" s="90">
        <f>2200</f>
        <v>2200</v>
      </c>
      <c r="U3516" s="55" t="s">
        <v>1688</v>
      </c>
      <c r="V3516" s="55" t="s">
        <v>1816</v>
      </c>
      <c r="Y3516" s="55" t="s">
        <v>3209</v>
      </c>
      <c r="AI3516" s="168">
        <v>5.8</v>
      </c>
      <c r="AJ3516" s="90">
        <v>1</v>
      </c>
      <c r="AM3516" s="55" t="s">
        <v>3216</v>
      </c>
      <c r="AN3516" s="185" t="s">
        <v>3221</v>
      </c>
      <c r="AO3516" s="185" t="s">
        <v>5150</v>
      </c>
      <c r="AQ3516" s="55" t="s">
        <v>553</v>
      </c>
      <c r="AR3516" s="55" t="s">
        <v>1607</v>
      </c>
      <c r="AS3516" s="55" t="s">
        <v>132</v>
      </c>
      <c r="AU3516" s="181" t="s">
        <v>7494</v>
      </c>
      <c r="AV3516" s="185" t="s">
        <v>176</v>
      </c>
      <c r="AX3516" s="185" t="s">
        <v>176</v>
      </c>
      <c r="BK3516" s="55" t="s">
        <v>5976</v>
      </c>
      <c r="BM3516" s="192" t="s">
        <v>3210</v>
      </c>
      <c r="BN3516" s="55">
        <v>3</v>
      </c>
      <c r="BO3516" s="55">
        <v>3</v>
      </c>
      <c r="BQ3516" s="55" t="s">
        <v>2875</v>
      </c>
      <c r="BV3516" s="55" t="s">
        <v>3220</v>
      </c>
      <c r="CB3516" s="66">
        <v>1900</v>
      </c>
      <c r="CC3516" s="66">
        <v>1400</v>
      </c>
      <c r="GP3516" s="292" t="s">
        <v>7494</v>
      </c>
    </row>
    <row r="3517" spans="1:198" x14ac:dyDescent="0.25">
      <c r="A3517" s="55">
        <v>3516</v>
      </c>
      <c r="B3517" s="12" t="s">
        <v>7067</v>
      </c>
      <c r="C3517" s="155">
        <v>163</v>
      </c>
      <c r="D3517" s="55" t="s">
        <v>3224</v>
      </c>
      <c r="E3517" s="90" t="s">
        <v>3207</v>
      </c>
      <c r="G3517" s="55" t="s">
        <v>3208</v>
      </c>
      <c r="H3517" s="55">
        <v>2003</v>
      </c>
      <c r="I3517" s="55">
        <v>1998</v>
      </c>
      <c r="J3517" s="55" t="s">
        <v>350</v>
      </c>
      <c r="K3517" s="55" t="s">
        <v>3213</v>
      </c>
      <c r="L3517" s="55" t="s">
        <v>2748</v>
      </c>
      <c r="M3517" s="90">
        <f>-(12+7/60)</f>
        <v>-12.116666666666667</v>
      </c>
      <c r="N3517" s="90">
        <f>-(-33-25/60)</f>
        <v>33.416666666666664</v>
      </c>
      <c r="O3517" s="90">
        <v>1231</v>
      </c>
      <c r="S3517" s="90">
        <f>(700+1200)/2</f>
        <v>950</v>
      </c>
      <c r="U3517" s="55" t="s">
        <v>1688</v>
      </c>
      <c r="V3517" s="55" t="s">
        <v>1816</v>
      </c>
      <c r="Y3517" s="55" t="s">
        <v>3209</v>
      </c>
      <c r="AI3517" s="168">
        <v>5.3</v>
      </c>
      <c r="AJ3517" s="90">
        <v>1.8</v>
      </c>
      <c r="AM3517" s="55" t="s">
        <v>3217</v>
      </c>
      <c r="AN3517" s="185" t="s">
        <v>3221</v>
      </c>
      <c r="AO3517" s="185" t="s">
        <v>5150</v>
      </c>
      <c r="AQ3517" s="55" t="s">
        <v>553</v>
      </c>
      <c r="AR3517" s="55" t="s">
        <v>1607</v>
      </c>
      <c r="AS3517" s="55" t="s">
        <v>132</v>
      </c>
      <c r="AU3517" s="181" t="s">
        <v>7494</v>
      </c>
      <c r="AV3517" s="185" t="s">
        <v>176</v>
      </c>
      <c r="AX3517" s="185" t="s">
        <v>176</v>
      </c>
      <c r="BK3517" s="55" t="s">
        <v>5976</v>
      </c>
      <c r="BM3517" s="192" t="s">
        <v>3210</v>
      </c>
      <c r="BN3517" s="55">
        <v>3</v>
      </c>
      <c r="BO3517" s="55">
        <v>3</v>
      </c>
      <c r="BQ3517" s="55" t="s">
        <v>2875</v>
      </c>
      <c r="BV3517" s="55" t="s">
        <v>3220</v>
      </c>
      <c r="CB3517" s="66">
        <v>2600</v>
      </c>
      <c r="CC3517" s="66">
        <v>3400</v>
      </c>
      <c r="GP3517" s="292" t="s">
        <v>7494</v>
      </c>
    </row>
    <row r="3518" spans="1:198" x14ac:dyDescent="0.25">
      <c r="A3518" s="55">
        <v>3517</v>
      </c>
      <c r="B3518" s="12" t="s">
        <v>7067</v>
      </c>
      <c r="C3518" s="155">
        <v>163</v>
      </c>
      <c r="D3518" s="55" t="s">
        <v>3225</v>
      </c>
      <c r="E3518" s="90" t="s">
        <v>3207</v>
      </c>
      <c r="G3518" s="55" t="s">
        <v>3208</v>
      </c>
      <c r="H3518" s="55">
        <v>2003</v>
      </c>
      <c r="I3518" s="55">
        <v>1998</v>
      </c>
      <c r="J3518" s="55" t="s">
        <v>350</v>
      </c>
      <c r="K3518" s="55" t="s">
        <v>3214</v>
      </c>
      <c r="L3518" s="55" t="s">
        <v>2748</v>
      </c>
      <c r="M3518" s="90">
        <f>-(13+59/60)</f>
        <v>-13.983333333333333</v>
      </c>
      <c r="N3518" s="90">
        <f>-(-33-38/60)</f>
        <v>33.633333333333333</v>
      </c>
      <c r="O3518" s="90">
        <v>1141</v>
      </c>
      <c r="S3518" s="90">
        <f>950</f>
        <v>950</v>
      </c>
      <c r="U3518" s="55" t="s">
        <v>1688</v>
      </c>
      <c r="V3518" s="55" t="s">
        <v>1816</v>
      </c>
      <c r="Y3518" s="55" t="s">
        <v>3209</v>
      </c>
      <c r="AI3518" s="168">
        <v>6.2</v>
      </c>
      <c r="AJ3518" s="90">
        <v>2.1</v>
      </c>
      <c r="AM3518" s="55" t="s">
        <v>3218</v>
      </c>
      <c r="AN3518" s="185" t="s">
        <v>3221</v>
      </c>
      <c r="AO3518" s="185" t="s">
        <v>5150</v>
      </c>
      <c r="AQ3518" s="55" t="s">
        <v>553</v>
      </c>
      <c r="AR3518" s="55" t="s">
        <v>1607</v>
      </c>
      <c r="AS3518" s="55" t="s">
        <v>132</v>
      </c>
      <c r="AU3518" s="181" t="s">
        <v>7494</v>
      </c>
      <c r="AV3518" s="185" t="s">
        <v>176</v>
      </c>
      <c r="AX3518" s="185" t="s">
        <v>176</v>
      </c>
      <c r="BK3518" s="55" t="s">
        <v>5976</v>
      </c>
      <c r="BM3518" s="192" t="s">
        <v>3210</v>
      </c>
      <c r="BN3518" s="55">
        <v>3</v>
      </c>
      <c r="BO3518" s="55">
        <v>3</v>
      </c>
      <c r="BQ3518" s="55" t="s">
        <v>2875</v>
      </c>
      <c r="BV3518" s="55" t="s">
        <v>3219</v>
      </c>
      <c r="CB3518" s="66">
        <v>2500</v>
      </c>
      <c r="CC3518" s="66">
        <v>4200</v>
      </c>
      <c r="GP3518" s="292" t="s">
        <v>7494</v>
      </c>
    </row>
    <row r="3519" spans="1:198" x14ac:dyDescent="0.25">
      <c r="A3519" s="55">
        <v>3518</v>
      </c>
      <c r="B3519" s="12" t="s">
        <v>7067</v>
      </c>
      <c r="C3519" s="155">
        <v>163</v>
      </c>
      <c r="D3519" s="55" t="s">
        <v>3226</v>
      </c>
      <c r="E3519" s="90" t="s">
        <v>3207</v>
      </c>
      <c r="G3519" s="55" t="s">
        <v>3208</v>
      </c>
      <c r="H3519" s="55">
        <v>2003</v>
      </c>
      <c r="I3519" s="55">
        <v>1998</v>
      </c>
      <c r="J3519" s="55" t="s">
        <v>350</v>
      </c>
      <c r="K3519" s="55" t="s">
        <v>3215</v>
      </c>
      <c r="L3519" s="55" t="s">
        <v>2748</v>
      </c>
      <c r="M3519" s="90">
        <f>-(13+50/60)</f>
        <v>-13.833333333333334</v>
      </c>
      <c r="N3519" s="90">
        <f>-(-38-2/60)</f>
        <v>38.033333333333331</v>
      </c>
      <c r="O3519" s="90">
        <v>1067</v>
      </c>
      <c r="S3519" s="90">
        <v>900</v>
      </c>
      <c r="U3519" s="55" t="s">
        <v>1688</v>
      </c>
      <c r="V3519" s="55" t="s">
        <v>1816</v>
      </c>
      <c r="Y3519" s="55" t="s">
        <v>3209</v>
      </c>
      <c r="AM3519" s="55" t="s">
        <v>3217</v>
      </c>
      <c r="AN3519" s="185" t="s">
        <v>3221</v>
      </c>
      <c r="AO3519" s="185" t="s">
        <v>5150</v>
      </c>
      <c r="AQ3519" s="55" t="s">
        <v>553</v>
      </c>
      <c r="AR3519" s="55" t="s">
        <v>1607</v>
      </c>
      <c r="AS3519" s="55" t="s">
        <v>132</v>
      </c>
      <c r="AU3519" s="181" t="s">
        <v>7494</v>
      </c>
      <c r="AV3519" s="185" t="s">
        <v>176</v>
      </c>
      <c r="AX3519" s="185" t="s">
        <v>176</v>
      </c>
      <c r="BK3519" s="55" t="s">
        <v>5976</v>
      </c>
      <c r="BM3519" s="192" t="s">
        <v>3210</v>
      </c>
      <c r="BN3519" s="55">
        <v>3</v>
      </c>
      <c r="BO3519" s="55">
        <v>3</v>
      </c>
      <c r="BQ3519" s="55" t="s">
        <v>2875</v>
      </c>
      <c r="BV3519" s="55" t="s">
        <v>3219</v>
      </c>
      <c r="CB3519" s="66">
        <v>1500</v>
      </c>
      <c r="CC3519" s="66">
        <v>2000</v>
      </c>
      <c r="GP3519" s="292" t="s">
        <v>7494</v>
      </c>
    </row>
    <row r="3520" spans="1:198" x14ac:dyDescent="0.25">
      <c r="A3520" s="55">
        <v>3519</v>
      </c>
      <c r="B3520" s="12" t="s">
        <v>7067</v>
      </c>
      <c r="C3520" s="155">
        <v>163</v>
      </c>
      <c r="D3520" s="55" t="s">
        <v>3222</v>
      </c>
      <c r="E3520" s="90" t="s">
        <v>3207</v>
      </c>
      <c r="G3520" s="55" t="s">
        <v>3208</v>
      </c>
      <c r="H3520" s="55">
        <v>2003</v>
      </c>
      <c r="I3520" s="55">
        <v>1998</v>
      </c>
      <c r="J3520" s="55" t="s">
        <v>350</v>
      </c>
      <c r="K3520" s="55" t="s">
        <v>3211</v>
      </c>
      <c r="L3520" s="55" t="s">
        <v>2748</v>
      </c>
      <c r="M3520" s="90">
        <f>-(14+21/60)</f>
        <v>-14.35</v>
      </c>
      <c r="N3520" s="90">
        <f>-(-34-25/60)</f>
        <v>34.416666666666664</v>
      </c>
      <c r="O3520" s="90">
        <v>1583</v>
      </c>
      <c r="S3520" s="90">
        <f>(800+1270)/2</f>
        <v>1035</v>
      </c>
      <c r="U3520" s="55" t="s">
        <v>1688</v>
      </c>
      <c r="V3520" s="55" t="s">
        <v>1816</v>
      </c>
      <c r="Y3520" s="55" t="s">
        <v>3209</v>
      </c>
      <c r="AI3520" s="168">
        <v>5.9</v>
      </c>
      <c r="AJ3520" s="90">
        <v>1.8</v>
      </c>
      <c r="AM3520" s="55" t="s">
        <v>3216</v>
      </c>
      <c r="AN3520" s="185" t="s">
        <v>3221</v>
      </c>
      <c r="AO3520" s="185" t="s">
        <v>5150</v>
      </c>
      <c r="AQ3520" s="55" t="s">
        <v>553</v>
      </c>
      <c r="AR3520" s="55" t="s">
        <v>1607</v>
      </c>
      <c r="AS3520" s="55" t="s">
        <v>132</v>
      </c>
      <c r="AU3520" s="181" t="s">
        <v>7494</v>
      </c>
      <c r="AV3520" s="185" t="s">
        <v>176</v>
      </c>
      <c r="AX3520" s="185" t="s">
        <v>176</v>
      </c>
      <c r="BK3520" s="55" t="s">
        <v>5976</v>
      </c>
      <c r="BM3520" s="192" t="s">
        <v>3210</v>
      </c>
      <c r="BN3520" s="55">
        <v>3</v>
      </c>
      <c r="BO3520" s="55">
        <v>3</v>
      </c>
      <c r="BQ3520" s="55" t="s">
        <v>2875</v>
      </c>
      <c r="BV3520" s="55" t="s">
        <v>3220</v>
      </c>
      <c r="CB3520" s="66">
        <v>1100</v>
      </c>
      <c r="CC3520" s="66">
        <v>1300</v>
      </c>
      <c r="GP3520" s="292" t="s">
        <v>7494</v>
      </c>
    </row>
    <row r="3521" spans="1:198" x14ac:dyDescent="0.25">
      <c r="A3521" s="55">
        <v>3520</v>
      </c>
      <c r="B3521" s="12" t="s">
        <v>7067</v>
      </c>
      <c r="C3521" s="155">
        <v>163</v>
      </c>
      <c r="D3521" s="55" t="s">
        <v>3223</v>
      </c>
      <c r="E3521" s="90" t="s">
        <v>3207</v>
      </c>
      <c r="G3521" s="55" t="s">
        <v>3208</v>
      </c>
      <c r="H3521" s="55">
        <v>2003</v>
      </c>
      <c r="I3521" s="55">
        <v>1998</v>
      </c>
      <c r="J3521" s="55" t="s">
        <v>350</v>
      </c>
      <c r="K3521" s="55" t="s">
        <v>3212</v>
      </c>
      <c r="L3521" s="55" t="s">
        <v>2748</v>
      </c>
      <c r="M3521" s="90">
        <f>-(16+1/60)</f>
        <v>-16.016666666666666</v>
      </c>
      <c r="N3521" s="90">
        <f>-(-35-21/60)</f>
        <v>35.35</v>
      </c>
      <c r="O3521" s="90">
        <v>1200</v>
      </c>
      <c r="S3521" s="90">
        <f>2200</f>
        <v>2200</v>
      </c>
      <c r="U3521" s="55" t="s">
        <v>1688</v>
      </c>
      <c r="V3521" s="55" t="s">
        <v>1816</v>
      </c>
      <c r="Y3521" s="55" t="s">
        <v>3209</v>
      </c>
      <c r="AI3521" s="168">
        <v>5.8</v>
      </c>
      <c r="AJ3521" s="90">
        <v>1</v>
      </c>
      <c r="AM3521" s="55" t="s">
        <v>3216</v>
      </c>
      <c r="AN3521" s="185" t="s">
        <v>3221</v>
      </c>
      <c r="AO3521" s="185" t="s">
        <v>5150</v>
      </c>
      <c r="AQ3521" s="55" t="s">
        <v>553</v>
      </c>
      <c r="AR3521" s="55" t="s">
        <v>1607</v>
      </c>
      <c r="AS3521" s="55" t="s">
        <v>132</v>
      </c>
      <c r="AU3521" s="181" t="s">
        <v>7494</v>
      </c>
      <c r="AV3521" s="185" t="s">
        <v>176</v>
      </c>
      <c r="AX3521" s="185" t="s">
        <v>176</v>
      </c>
      <c r="BK3521" s="55" t="s">
        <v>5976</v>
      </c>
      <c r="BM3521" s="192" t="s">
        <v>3210</v>
      </c>
      <c r="BN3521" s="55">
        <v>3</v>
      </c>
      <c r="BO3521" s="55">
        <v>3</v>
      </c>
      <c r="BQ3521" s="55" t="s">
        <v>2875</v>
      </c>
      <c r="BV3521" s="55" t="s">
        <v>3220</v>
      </c>
      <c r="CB3521" s="66">
        <v>1900</v>
      </c>
      <c r="CC3521" s="66">
        <v>1800</v>
      </c>
      <c r="GP3521" s="292" t="s">
        <v>7494</v>
      </c>
    </row>
    <row r="3522" spans="1:198" x14ac:dyDescent="0.25">
      <c r="A3522" s="55">
        <v>3521</v>
      </c>
      <c r="B3522" s="12" t="s">
        <v>7067</v>
      </c>
      <c r="C3522" s="155">
        <v>163</v>
      </c>
      <c r="D3522" s="55" t="s">
        <v>3224</v>
      </c>
      <c r="E3522" s="90" t="s">
        <v>3207</v>
      </c>
      <c r="G3522" s="55" t="s">
        <v>3208</v>
      </c>
      <c r="H3522" s="55">
        <v>2003</v>
      </c>
      <c r="I3522" s="55">
        <v>1998</v>
      </c>
      <c r="J3522" s="55" t="s">
        <v>350</v>
      </c>
      <c r="K3522" s="55" t="s">
        <v>3213</v>
      </c>
      <c r="L3522" s="55" t="s">
        <v>2748</v>
      </c>
      <c r="M3522" s="90">
        <f>-(12+7/60)</f>
        <v>-12.116666666666667</v>
      </c>
      <c r="N3522" s="90">
        <f>-(-33-25/60)</f>
        <v>33.416666666666664</v>
      </c>
      <c r="O3522" s="90">
        <v>1231</v>
      </c>
      <c r="S3522" s="90">
        <f>(700+1200)/2</f>
        <v>950</v>
      </c>
      <c r="U3522" s="55" t="s">
        <v>1688</v>
      </c>
      <c r="V3522" s="55" t="s">
        <v>1816</v>
      </c>
      <c r="Y3522" s="55" t="s">
        <v>3209</v>
      </c>
      <c r="AI3522" s="168">
        <v>5.3</v>
      </c>
      <c r="AJ3522" s="90">
        <v>1.8</v>
      </c>
      <c r="AM3522" s="55" t="s">
        <v>3217</v>
      </c>
      <c r="AN3522" s="185" t="s">
        <v>3221</v>
      </c>
      <c r="AO3522" s="185" t="s">
        <v>5150</v>
      </c>
      <c r="AQ3522" s="55" t="s">
        <v>553</v>
      </c>
      <c r="AR3522" s="55" t="s">
        <v>1607</v>
      </c>
      <c r="AS3522" s="55" t="s">
        <v>132</v>
      </c>
      <c r="AU3522" s="181" t="s">
        <v>7494</v>
      </c>
      <c r="AV3522" s="185" t="s">
        <v>176</v>
      </c>
      <c r="AX3522" s="185" t="s">
        <v>176</v>
      </c>
      <c r="BK3522" s="55" t="s">
        <v>5976</v>
      </c>
      <c r="BM3522" s="192" t="s">
        <v>3210</v>
      </c>
      <c r="BN3522" s="55">
        <v>3</v>
      </c>
      <c r="BO3522" s="55">
        <v>3</v>
      </c>
      <c r="BQ3522" s="55" t="s">
        <v>2875</v>
      </c>
      <c r="BV3522" s="55" t="s">
        <v>3220</v>
      </c>
      <c r="CB3522" s="66">
        <v>2600</v>
      </c>
      <c r="CC3522" s="66">
        <v>3100</v>
      </c>
      <c r="GP3522" s="292" t="s">
        <v>7494</v>
      </c>
    </row>
    <row r="3523" spans="1:198" x14ac:dyDescent="0.25">
      <c r="A3523" s="55">
        <v>3522</v>
      </c>
      <c r="B3523" s="12" t="s">
        <v>7067</v>
      </c>
      <c r="C3523" s="155">
        <v>163</v>
      </c>
      <c r="D3523" s="55" t="s">
        <v>3225</v>
      </c>
      <c r="E3523" s="90" t="s">
        <v>3207</v>
      </c>
      <c r="G3523" s="55" t="s">
        <v>3208</v>
      </c>
      <c r="H3523" s="55">
        <v>2003</v>
      </c>
      <c r="I3523" s="55">
        <v>1998</v>
      </c>
      <c r="J3523" s="55" t="s">
        <v>350</v>
      </c>
      <c r="K3523" s="55" t="s">
        <v>3214</v>
      </c>
      <c r="L3523" s="55" t="s">
        <v>2748</v>
      </c>
      <c r="M3523" s="90">
        <f>-(13+59/60)</f>
        <v>-13.983333333333333</v>
      </c>
      <c r="N3523" s="90">
        <f>-(-33-38/60)</f>
        <v>33.633333333333333</v>
      </c>
      <c r="O3523" s="90">
        <v>1141</v>
      </c>
      <c r="S3523" s="90">
        <f>950</f>
        <v>950</v>
      </c>
      <c r="U3523" s="55" t="s">
        <v>1688</v>
      </c>
      <c r="V3523" s="55" t="s">
        <v>1816</v>
      </c>
      <c r="Y3523" s="55" t="s">
        <v>3209</v>
      </c>
      <c r="AI3523" s="168">
        <v>6.2</v>
      </c>
      <c r="AJ3523" s="90">
        <v>2.1</v>
      </c>
      <c r="AM3523" s="55" t="s">
        <v>3218</v>
      </c>
      <c r="AN3523" s="185" t="s">
        <v>3221</v>
      </c>
      <c r="AO3523" s="185" t="s">
        <v>5150</v>
      </c>
      <c r="AQ3523" s="55" t="s">
        <v>553</v>
      </c>
      <c r="AR3523" s="55" t="s">
        <v>1607</v>
      </c>
      <c r="AS3523" s="55" t="s">
        <v>132</v>
      </c>
      <c r="AU3523" s="181" t="s">
        <v>7494</v>
      </c>
      <c r="AV3523" s="185" t="s">
        <v>176</v>
      </c>
      <c r="AX3523" s="185" t="s">
        <v>176</v>
      </c>
      <c r="BK3523" s="55" t="s">
        <v>5976</v>
      </c>
      <c r="BM3523" s="192" t="s">
        <v>3210</v>
      </c>
      <c r="BN3523" s="55">
        <v>3</v>
      </c>
      <c r="BO3523" s="55">
        <v>3</v>
      </c>
      <c r="BQ3523" s="55" t="s">
        <v>2875</v>
      </c>
      <c r="BV3523" s="55" t="s">
        <v>3219</v>
      </c>
      <c r="CB3523" s="66">
        <v>2500</v>
      </c>
      <c r="CC3523" s="66">
        <v>4000</v>
      </c>
      <c r="GP3523" s="292" t="s">
        <v>7494</v>
      </c>
    </row>
    <row r="3524" spans="1:198" x14ac:dyDescent="0.25">
      <c r="A3524" s="55">
        <v>3523</v>
      </c>
      <c r="B3524" s="12" t="s">
        <v>7067</v>
      </c>
      <c r="C3524" s="155">
        <v>163</v>
      </c>
      <c r="D3524" s="55" t="s">
        <v>3226</v>
      </c>
      <c r="E3524" s="90" t="s">
        <v>3207</v>
      </c>
      <c r="G3524" s="55" t="s">
        <v>3208</v>
      </c>
      <c r="H3524" s="55">
        <v>2003</v>
      </c>
      <c r="I3524" s="55">
        <v>1998</v>
      </c>
      <c r="J3524" s="55" t="s">
        <v>350</v>
      </c>
      <c r="K3524" s="55" t="s">
        <v>3215</v>
      </c>
      <c r="L3524" s="55" t="s">
        <v>2748</v>
      </c>
      <c r="M3524" s="90">
        <f>-(13+50/60)</f>
        <v>-13.833333333333334</v>
      </c>
      <c r="N3524" s="90">
        <f>-(-38-2/60)</f>
        <v>38.033333333333331</v>
      </c>
      <c r="O3524" s="90">
        <v>1067</v>
      </c>
      <c r="S3524" s="90">
        <v>900</v>
      </c>
      <c r="U3524" s="55" t="s">
        <v>1688</v>
      </c>
      <c r="V3524" s="55" t="s">
        <v>1816</v>
      </c>
      <c r="Y3524" s="55" t="s">
        <v>3209</v>
      </c>
      <c r="AM3524" s="55" t="s">
        <v>3217</v>
      </c>
      <c r="AN3524" s="185" t="s">
        <v>3221</v>
      </c>
      <c r="AO3524" s="185" t="s">
        <v>5150</v>
      </c>
      <c r="AQ3524" s="55" t="s">
        <v>553</v>
      </c>
      <c r="AR3524" s="55" t="s">
        <v>1607</v>
      </c>
      <c r="AS3524" s="55" t="s">
        <v>132</v>
      </c>
      <c r="AU3524" s="181" t="s">
        <v>7494</v>
      </c>
      <c r="AV3524" s="185" t="s">
        <v>176</v>
      </c>
      <c r="AX3524" s="185" t="s">
        <v>176</v>
      </c>
      <c r="BK3524" s="55" t="s">
        <v>5976</v>
      </c>
      <c r="BM3524" s="192" t="s">
        <v>3210</v>
      </c>
      <c r="BN3524" s="55">
        <v>3</v>
      </c>
      <c r="BO3524" s="55">
        <v>3</v>
      </c>
      <c r="BQ3524" s="55" t="s">
        <v>2875</v>
      </c>
      <c r="BV3524" s="55" t="s">
        <v>3219</v>
      </c>
      <c r="CB3524" s="66">
        <v>1500</v>
      </c>
      <c r="CC3524" s="66">
        <v>1900</v>
      </c>
      <c r="GP3524" s="292" t="s">
        <v>7494</v>
      </c>
    </row>
    <row r="3525" spans="1:198" x14ac:dyDescent="0.25">
      <c r="A3525" s="55">
        <v>3524</v>
      </c>
      <c r="B3525" s="12" t="s">
        <v>7067</v>
      </c>
      <c r="C3525" s="155">
        <v>163</v>
      </c>
      <c r="D3525" s="55" t="s">
        <v>3230</v>
      </c>
      <c r="E3525" s="90" t="s">
        <v>3207</v>
      </c>
      <c r="G3525" s="55" t="s">
        <v>3208</v>
      </c>
      <c r="H3525" s="55">
        <v>2003</v>
      </c>
      <c r="I3525" s="55">
        <v>1998</v>
      </c>
      <c r="J3525" s="55" t="s">
        <v>350</v>
      </c>
      <c r="K3525" s="55" t="s">
        <v>3229</v>
      </c>
      <c r="L3525" s="55" t="s">
        <v>2748</v>
      </c>
      <c r="M3525" s="90">
        <f>AVERAGE(M3495,M3496,M3497,M3498,M3499)</f>
        <v>-14.059999999999999</v>
      </c>
      <c r="N3525" s="90">
        <f>AVERAGE(N3495,N3496,N3497,N3498,N3499)</f>
        <v>34.97</v>
      </c>
      <c r="O3525" s="90">
        <v>1583</v>
      </c>
      <c r="S3525" s="90">
        <f>(800+1270)/2</f>
        <v>1035</v>
      </c>
      <c r="U3525" s="55" t="s">
        <v>1688</v>
      </c>
      <c r="V3525" s="55" t="s">
        <v>1816</v>
      </c>
      <c r="Y3525" s="55" t="s">
        <v>3209</v>
      </c>
      <c r="AI3525" s="168">
        <v>5.9</v>
      </c>
      <c r="AJ3525" s="90">
        <v>1.8</v>
      </c>
      <c r="AM3525" s="55" t="s">
        <v>3216</v>
      </c>
      <c r="AN3525" s="185" t="s">
        <v>2664</v>
      </c>
      <c r="AO3525" s="185" t="s">
        <v>5150</v>
      </c>
      <c r="AQ3525" s="55" t="s">
        <v>553</v>
      </c>
      <c r="AR3525" s="55" t="s">
        <v>1607</v>
      </c>
      <c r="AS3525" s="55" t="s">
        <v>132</v>
      </c>
      <c r="AU3525" s="181" t="s">
        <v>7494</v>
      </c>
      <c r="AV3525" s="185" t="s">
        <v>176</v>
      </c>
      <c r="AX3525" s="185" t="s">
        <v>176</v>
      </c>
      <c r="BE3525" s="226">
        <v>0</v>
      </c>
      <c r="BF3525" s="191" t="s">
        <v>176</v>
      </c>
      <c r="BG3525" s="191" t="s">
        <v>176</v>
      </c>
      <c r="BH3525" s="226">
        <v>0</v>
      </c>
      <c r="BI3525" s="191" t="s">
        <v>176</v>
      </c>
      <c r="BJ3525" s="55" t="s">
        <v>176</v>
      </c>
      <c r="BK3525" s="55" t="s">
        <v>5976</v>
      </c>
      <c r="BM3525" s="192" t="s">
        <v>3210</v>
      </c>
      <c r="BN3525" s="55">
        <v>3</v>
      </c>
      <c r="BO3525" s="55">
        <v>3</v>
      </c>
      <c r="BQ3525" s="55" t="s">
        <v>2875</v>
      </c>
      <c r="BV3525" s="55" t="s">
        <v>3220</v>
      </c>
      <c r="CB3525" s="66">
        <v>1200</v>
      </c>
      <c r="CC3525" s="66">
        <v>2100</v>
      </c>
      <c r="GP3525" s="292" t="s">
        <v>7494</v>
      </c>
    </row>
    <row r="3526" spans="1:198" x14ac:dyDescent="0.25">
      <c r="A3526" s="55">
        <v>3525</v>
      </c>
      <c r="B3526" s="12" t="s">
        <v>7067</v>
      </c>
      <c r="C3526" s="155">
        <v>163</v>
      </c>
      <c r="D3526" s="55" t="s">
        <v>3230</v>
      </c>
      <c r="E3526" s="90" t="s">
        <v>3207</v>
      </c>
      <c r="G3526" s="55" t="s">
        <v>3208</v>
      </c>
      <c r="H3526" s="55">
        <v>2003</v>
      </c>
      <c r="I3526" s="55">
        <v>1998</v>
      </c>
      <c r="J3526" s="55" t="s">
        <v>350</v>
      </c>
      <c r="K3526" s="55" t="s">
        <v>3229</v>
      </c>
      <c r="L3526" s="55" t="s">
        <v>2748</v>
      </c>
      <c r="M3526" s="90">
        <f>AVERAGE(M3496,M3497,M3498,M3499,M3500)</f>
        <v>-14.059999999999999</v>
      </c>
      <c r="N3526" s="90">
        <f>AVERAGE(N3496,N3497,N3498,N3499,N3500)</f>
        <v>34.97</v>
      </c>
      <c r="O3526" s="90">
        <v>1583</v>
      </c>
      <c r="S3526" s="90">
        <f>(800+1270)/2</f>
        <v>1035</v>
      </c>
      <c r="U3526" s="55" t="s">
        <v>1688</v>
      </c>
      <c r="V3526" s="55" t="s">
        <v>1816</v>
      </c>
      <c r="Y3526" s="55" t="s">
        <v>3209</v>
      </c>
      <c r="AI3526" s="168">
        <v>5.9</v>
      </c>
      <c r="AJ3526" s="90">
        <v>1.8</v>
      </c>
      <c r="AM3526" s="55" t="s">
        <v>3216</v>
      </c>
      <c r="AN3526" s="185" t="s">
        <v>2664</v>
      </c>
      <c r="AO3526" s="185" t="s">
        <v>5150</v>
      </c>
      <c r="AQ3526" s="55" t="s">
        <v>553</v>
      </c>
      <c r="AR3526" s="55" t="s">
        <v>1607</v>
      </c>
      <c r="AS3526" s="55" t="s">
        <v>132</v>
      </c>
      <c r="AU3526" s="181" t="s">
        <v>7494</v>
      </c>
      <c r="AV3526" s="185" t="s">
        <v>176</v>
      </c>
      <c r="AX3526" s="185" t="s">
        <v>176</v>
      </c>
      <c r="BE3526" s="226" t="s">
        <v>3227</v>
      </c>
      <c r="BF3526" s="191" t="s">
        <v>479</v>
      </c>
      <c r="BG3526" s="191" t="s">
        <v>479</v>
      </c>
      <c r="BH3526" s="226" t="s">
        <v>3227</v>
      </c>
      <c r="BI3526" s="191" t="s">
        <v>479</v>
      </c>
      <c r="BJ3526" s="55" t="s">
        <v>176</v>
      </c>
      <c r="BK3526" s="55" t="s">
        <v>5976</v>
      </c>
      <c r="BM3526" s="192" t="s">
        <v>3210</v>
      </c>
      <c r="BN3526" s="55">
        <v>3</v>
      </c>
      <c r="BO3526" s="55">
        <v>3</v>
      </c>
      <c r="BQ3526" s="55" t="s">
        <v>2875</v>
      </c>
      <c r="BV3526" s="55" t="s">
        <v>3220</v>
      </c>
      <c r="CB3526" s="66">
        <v>2200</v>
      </c>
      <c r="CC3526" s="66">
        <v>2600</v>
      </c>
      <c r="GP3526" s="292" t="s">
        <v>7494</v>
      </c>
    </row>
    <row r="3527" spans="1:198" x14ac:dyDescent="0.25">
      <c r="A3527" s="55">
        <v>3526</v>
      </c>
      <c r="B3527" s="12" t="s">
        <v>7067</v>
      </c>
      <c r="C3527" s="155">
        <v>163</v>
      </c>
      <c r="D3527" s="55" t="s">
        <v>3230</v>
      </c>
      <c r="E3527" s="90" t="s">
        <v>3207</v>
      </c>
      <c r="G3527" s="55" t="s">
        <v>3208</v>
      </c>
      <c r="H3527" s="55">
        <v>2003</v>
      </c>
      <c r="I3527" s="55">
        <v>1998</v>
      </c>
      <c r="J3527" s="55" t="s">
        <v>350</v>
      </c>
      <c r="K3527" s="55" t="s">
        <v>3229</v>
      </c>
      <c r="L3527" s="55" t="s">
        <v>2748</v>
      </c>
      <c r="M3527" s="90">
        <f>AVERAGE(M3497,M3498,M3499,M3500,M3501)</f>
        <v>-14.060000000000002</v>
      </c>
      <c r="N3527" s="90">
        <f>AVERAGE(N3497,N3498,N3499,N3500,N3501)</f>
        <v>34.97</v>
      </c>
      <c r="O3527" s="90">
        <v>1583</v>
      </c>
      <c r="S3527" s="90">
        <f>(800+1270)/2</f>
        <v>1035</v>
      </c>
      <c r="U3527" s="55" t="s">
        <v>1688</v>
      </c>
      <c r="V3527" s="55" t="s">
        <v>1816</v>
      </c>
      <c r="Y3527" s="55" t="s">
        <v>3209</v>
      </c>
      <c r="AI3527" s="168">
        <v>5.9</v>
      </c>
      <c r="AJ3527" s="90">
        <v>1.8</v>
      </c>
      <c r="AM3527" s="55" t="s">
        <v>3216</v>
      </c>
      <c r="AN3527" s="185" t="s">
        <v>2664</v>
      </c>
      <c r="AO3527" s="185" t="s">
        <v>5150</v>
      </c>
      <c r="AQ3527" s="55" t="s">
        <v>553</v>
      </c>
      <c r="AR3527" s="55" t="s">
        <v>1607</v>
      </c>
      <c r="AS3527" s="55" t="s">
        <v>132</v>
      </c>
      <c r="AU3527" s="181" t="s">
        <v>7494</v>
      </c>
      <c r="AV3527" s="185" t="s">
        <v>176</v>
      </c>
      <c r="AX3527" s="185" t="s">
        <v>176</v>
      </c>
      <c r="BE3527" s="226" t="s">
        <v>3228</v>
      </c>
      <c r="BF3527" s="191" t="s">
        <v>479</v>
      </c>
      <c r="BG3527" s="191" t="s">
        <v>479</v>
      </c>
      <c r="BH3527" s="226" t="s">
        <v>3228</v>
      </c>
      <c r="BI3527" s="191" t="s">
        <v>479</v>
      </c>
      <c r="BJ3527" s="55" t="s">
        <v>176</v>
      </c>
      <c r="BK3527" s="55" t="s">
        <v>5976</v>
      </c>
      <c r="BM3527" s="192" t="s">
        <v>3210</v>
      </c>
      <c r="BN3527" s="55">
        <v>3</v>
      </c>
      <c r="BO3527" s="55">
        <v>3</v>
      </c>
      <c r="BQ3527" s="55" t="s">
        <v>2875</v>
      </c>
      <c r="BV3527" s="55" t="s">
        <v>3220</v>
      </c>
      <c r="CB3527" s="66">
        <v>2700</v>
      </c>
      <c r="CC3527" s="66">
        <v>3500</v>
      </c>
      <c r="GP3527" s="292" t="s">
        <v>7494</v>
      </c>
    </row>
    <row r="3528" spans="1:198" x14ac:dyDescent="0.25">
      <c r="A3528" s="55">
        <v>3527</v>
      </c>
      <c r="B3528" s="12" t="s">
        <v>7067</v>
      </c>
      <c r="C3528" s="155">
        <v>163</v>
      </c>
      <c r="D3528" s="55" t="s">
        <v>3230</v>
      </c>
      <c r="E3528" s="90" t="s">
        <v>3207</v>
      </c>
      <c r="G3528" s="55" t="s">
        <v>3208</v>
      </c>
      <c r="H3528" s="55">
        <v>2003</v>
      </c>
      <c r="I3528" s="55">
        <v>1998</v>
      </c>
      <c r="J3528" s="55" t="s">
        <v>350</v>
      </c>
      <c r="K3528" s="55" t="s">
        <v>3229</v>
      </c>
      <c r="L3528" s="55" t="s">
        <v>2748</v>
      </c>
      <c r="M3528" s="90">
        <f>AVERAGE(M3498,M3499,M3500,M3501,M3502)</f>
        <v>-14.059999999999999</v>
      </c>
      <c r="N3528" s="90">
        <f>AVERAGE(N3498,N3499,N3500,N3501,N3502)</f>
        <v>34.969999999999992</v>
      </c>
      <c r="O3528" s="90">
        <v>1583</v>
      </c>
      <c r="S3528" s="90">
        <f>(800+1270)/2</f>
        <v>1035</v>
      </c>
      <c r="U3528" s="55" t="s">
        <v>1688</v>
      </c>
      <c r="V3528" s="55" t="s">
        <v>1816</v>
      </c>
      <c r="Y3528" s="55" t="s">
        <v>3209</v>
      </c>
      <c r="AI3528" s="168">
        <v>5.9</v>
      </c>
      <c r="AJ3528" s="90">
        <v>1.8</v>
      </c>
      <c r="AM3528" s="55" t="s">
        <v>3216</v>
      </c>
      <c r="AN3528" s="185" t="s">
        <v>2664</v>
      </c>
      <c r="AO3528" s="185" t="s">
        <v>5150</v>
      </c>
      <c r="AQ3528" s="55" t="s">
        <v>553</v>
      </c>
      <c r="AR3528" s="55" t="s">
        <v>1607</v>
      </c>
      <c r="AS3528" s="55" t="s">
        <v>132</v>
      </c>
      <c r="AU3528" s="181" t="s">
        <v>7494</v>
      </c>
      <c r="AV3528" s="185" t="s">
        <v>176</v>
      </c>
      <c r="AX3528" s="185" t="s">
        <v>176</v>
      </c>
      <c r="BE3528" s="226">
        <v>0</v>
      </c>
      <c r="BF3528" s="191" t="s">
        <v>176</v>
      </c>
      <c r="BG3528" s="191" t="s">
        <v>176</v>
      </c>
      <c r="BH3528" s="226">
        <v>0</v>
      </c>
      <c r="BI3528" s="191" t="s">
        <v>176</v>
      </c>
      <c r="BJ3528" s="55" t="s">
        <v>176</v>
      </c>
      <c r="BK3528" s="55" t="s">
        <v>5976</v>
      </c>
      <c r="BM3528" s="192" t="s">
        <v>3210</v>
      </c>
      <c r="BN3528" s="55">
        <v>3</v>
      </c>
      <c r="BO3528" s="55">
        <v>3</v>
      </c>
      <c r="BQ3528" s="55" t="s">
        <v>2875</v>
      </c>
      <c r="BV3528" s="55" t="s">
        <v>3219</v>
      </c>
      <c r="CB3528" s="66">
        <v>1200</v>
      </c>
      <c r="CC3528" s="66">
        <v>2200</v>
      </c>
      <c r="GP3528" s="292" t="s">
        <v>7494</v>
      </c>
    </row>
    <row r="3529" spans="1:198" x14ac:dyDescent="0.25">
      <c r="A3529" s="55">
        <v>3528</v>
      </c>
      <c r="B3529" s="12" t="s">
        <v>7067</v>
      </c>
      <c r="C3529" s="155">
        <v>163</v>
      </c>
      <c r="D3529" s="55" t="s">
        <v>3230</v>
      </c>
      <c r="E3529" s="90" t="s">
        <v>3207</v>
      </c>
      <c r="G3529" s="55" t="s">
        <v>3208</v>
      </c>
      <c r="H3529" s="55">
        <v>2003</v>
      </c>
      <c r="I3529" s="55">
        <v>1998</v>
      </c>
      <c r="J3529" s="55" t="s">
        <v>350</v>
      </c>
      <c r="K3529" s="55" t="s">
        <v>3229</v>
      </c>
      <c r="L3529" s="55" t="s">
        <v>2748</v>
      </c>
      <c r="M3529" s="90">
        <f>AVERAGE(M3499,M3500,M3501,M3502,M3503)</f>
        <v>-14.059999999999999</v>
      </c>
      <c r="N3529" s="90">
        <f>AVERAGE(N3499,N3500,N3501,N3502,N3503)</f>
        <v>34.969999999999992</v>
      </c>
      <c r="O3529" s="90">
        <v>1583</v>
      </c>
      <c r="S3529" s="90">
        <f>(800+1270)/2</f>
        <v>1035</v>
      </c>
      <c r="U3529" s="55" t="s">
        <v>1688</v>
      </c>
      <c r="V3529" s="55" t="s">
        <v>1816</v>
      </c>
      <c r="Y3529" s="55" t="s">
        <v>3209</v>
      </c>
      <c r="AI3529" s="168">
        <v>5.9</v>
      </c>
      <c r="AJ3529" s="90">
        <v>1.8</v>
      </c>
      <c r="AM3529" s="55" t="s">
        <v>3216</v>
      </c>
      <c r="AN3529" s="185" t="s">
        <v>2664</v>
      </c>
      <c r="AO3529" s="185" t="s">
        <v>5150</v>
      </c>
      <c r="AQ3529" s="55" t="s">
        <v>553</v>
      </c>
      <c r="AR3529" s="55" t="s">
        <v>1607</v>
      </c>
      <c r="AS3529" s="55" t="s">
        <v>132</v>
      </c>
      <c r="AU3529" s="181" t="s">
        <v>7494</v>
      </c>
      <c r="AV3529" s="185" t="s">
        <v>176</v>
      </c>
      <c r="AX3529" s="185" t="s">
        <v>176</v>
      </c>
      <c r="BE3529" s="226" t="s">
        <v>3227</v>
      </c>
      <c r="BF3529" s="191" t="s">
        <v>479</v>
      </c>
      <c r="BG3529" s="191" t="s">
        <v>479</v>
      </c>
      <c r="BH3529" s="226" t="s">
        <v>3227</v>
      </c>
      <c r="BI3529" s="191" t="s">
        <v>479</v>
      </c>
      <c r="BJ3529" s="55" t="s">
        <v>176</v>
      </c>
      <c r="BK3529" s="55" t="s">
        <v>5976</v>
      </c>
      <c r="BM3529" s="192" t="s">
        <v>3210</v>
      </c>
      <c r="BN3529" s="55">
        <v>3</v>
      </c>
      <c r="BO3529" s="55">
        <v>3</v>
      </c>
      <c r="BQ3529" s="55" t="s">
        <v>2875</v>
      </c>
      <c r="BV3529" s="55" t="s">
        <v>3219</v>
      </c>
      <c r="CB3529" s="66">
        <v>2200</v>
      </c>
      <c r="CC3529" s="66">
        <v>2600</v>
      </c>
      <c r="GP3529" s="292" t="s">
        <v>7494</v>
      </c>
    </row>
    <row r="3530" spans="1:198" x14ac:dyDescent="0.25">
      <c r="A3530" s="55">
        <v>3529</v>
      </c>
      <c r="B3530" s="12" t="s">
        <v>7067</v>
      </c>
      <c r="C3530" s="155">
        <v>163</v>
      </c>
      <c r="D3530" s="55" t="s">
        <v>3230</v>
      </c>
      <c r="E3530" s="90" t="s">
        <v>3207</v>
      </c>
      <c r="G3530" s="55" t="s">
        <v>3208</v>
      </c>
      <c r="H3530" s="55">
        <v>2003</v>
      </c>
      <c r="I3530" s="55">
        <v>1998</v>
      </c>
      <c r="J3530" s="55" t="s">
        <v>350</v>
      </c>
      <c r="K3530" s="55" t="s">
        <v>3229</v>
      </c>
      <c r="L3530" s="55" t="s">
        <v>2748</v>
      </c>
      <c r="M3530" s="90">
        <f>AVERAGE(M3500,M3501,M3502,M3503,M3504)</f>
        <v>-14.059999999999999</v>
      </c>
      <c r="N3530" s="90">
        <f>AVERAGE(N3500,N3501,N3502,N3503,N3504)</f>
        <v>34.97</v>
      </c>
      <c r="O3530" s="90">
        <v>1583</v>
      </c>
      <c r="S3530" s="90">
        <f>(800+1270)/2</f>
        <v>1035</v>
      </c>
      <c r="U3530" s="55" t="s">
        <v>1688</v>
      </c>
      <c r="V3530" s="55" t="s">
        <v>1816</v>
      </c>
      <c r="Y3530" s="55" t="s">
        <v>3209</v>
      </c>
      <c r="AI3530" s="168">
        <v>5.9</v>
      </c>
      <c r="AJ3530" s="90">
        <v>1.8</v>
      </c>
      <c r="AM3530" s="55" t="s">
        <v>3216</v>
      </c>
      <c r="AN3530" s="185" t="s">
        <v>2664</v>
      </c>
      <c r="AO3530" s="185" t="s">
        <v>5150</v>
      </c>
      <c r="AQ3530" s="55" t="s">
        <v>553</v>
      </c>
      <c r="AR3530" s="55" t="s">
        <v>1607</v>
      </c>
      <c r="AS3530" s="55" t="s">
        <v>132</v>
      </c>
      <c r="AU3530" s="181" t="s">
        <v>7494</v>
      </c>
      <c r="AV3530" s="185" t="s">
        <v>176</v>
      </c>
      <c r="AX3530" s="185" t="s">
        <v>176</v>
      </c>
      <c r="BE3530" s="226" t="s">
        <v>3228</v>
      </c>
      <c r="BF3530" s="191" t="s">
        <v>479</v>
      </c>
      <c r="BG3530" s="191" t="s">
        <v>479</v>
      </c>
      <c r="BH3530" s="226" t="s">
        <v>3228</v>
      </c>
      <c r="BI3530" s="191" t="s">
        <v>479</v>
      </c>
      <c r="BJ3530" s="55" t="s">
        <v>176</v>
      </c>
      <c r="BK3530" s="55" t="s">
        <v>5976</v>
      </c>
      <c r="BM3530" s="192" t="s">
        <v>3210</v>
      </c>
      <c r="BN3530" s="55">
        <v>3</v>
      </c>
      <c r="BO3530" s="55">
        <v>3</v>
      </c>
      <c r="BQ3530" s="55" t="s">
        <v>2875</v>
      </c>
      <c r="BV3530" s="55" t="s">
        <v>3219</v>
      </c>
      <c r="CB3530" s="66">
        <v>2700</v>
      </c>
      <c r="CC3530" s="66">
        <v>3500</v>
      </c>
      <c r="GP3530" s="292" t="s">
        <v>7494</v>
      </c>
    </row>
    <row r="3531" spans="1:198" x14ac:dyDescent="0.25">
      <c r="A3531" s="55">
        <v>3530</v>
      </c>
      <c r="B3531" s="12" t="s">
        <v>7067</v>
      </c>
      <c r="C3531" s="155">
        <v>163</v>
      </c>
      <c r="D3531" s="55" t="s">
        <v>3230</v>
      </c>
      <c r="E3531" s="90" t="s">
        <v>3207</v>
      </c>
      <c r="G3531" s="55" t="s">
        <v>3208</v>
      </c>
      <c r="H3531" s="55">
        <v>2003</v>
      </c>
      <c r="I3531" s="55">
        <v>1998</v>
      </c>
      <c r="J3531" s="55" t="s">
        <v>350</v>
      </c>
      <c r="K3531" s="55" t="s">
        <v>3229</v>
      </c>
      <c r="L3531" s="55" t="s">
        <v>2748</v>
      </c>
      <c r="M3531" s="90">
        <f>AVERAGE(M3501,M3502,M3503,M3504,M3505)</f>
        <v>-14.059999999999999</v>
      </c>
      <c r="N3531" s="90">
        <f>AVERAGE(N3501,N3502,N3503,N3504,N3505)</f>
        <v>34.97</v>
      </c>
      <c r="O3531" s="90">
        <v>1583</v>
      </c>
      <c r="S3531" s="90">
        <f>(800+1270)/2</f>
        <v>1035</v>
      </c>
      <c r="U3531" s="55" t="s">
        <v>1688</v>
      </c>
      <c r="V3531" s="55" t="s">
        <v>1816</v>
      </c>
      <c r="Y3531" s="55" t="s">
        <v>3209</v>
      </c>
      <c r="AI3531" s="168">
        <v>5.9</v>
      </c>
      <c r="AJ3531" s="90">
        <v>1.8</v>
      </c>
      <c r="AM3531" s="55" t="s">
        <v>3216</v>
      </c>
      <c r="AN3531" s="185" t="s">
        <v>2666</v>
      </c>
      <c r="AO3531" s="185" t="s">
        <v>5150</v>
      </c>
      <c r="AQ3531" s="55" t="s">
        <v>553</v>
      </c>
      <c r="AR3531" s="55" t="s">
        <v>1607</v>
      </c>
      <c r="AS3531" s="55" t="s">
        <v>132</v>
      </c>
      <c r="AU3531" s="181" t="s">
        <v>7494</v>
      </c>
      <c r="AV3531" s="185" t="s">
        <v>176</v>
      </c>
      <c r="AX3531" s="185" t="s">
        <v>176</v>
      </c>
      <c r="BE3531" s="226">
        <v>0</v>
      </c>
      <c r="BF3531" s="191" t="s">
        <v>176</v>
      </c>
      <c r="BG3531" s="191" t="s">
        <v>176</v>
      </c>
      <c r="BH3531" s="226">
        <v>0</v>
      </c>
      <c r="BI3531" s="191" t="s">
        <v>176</v>
      </c>
      <c r="BJ3531" s="55" t="s">
        <v>176</v>
      </c>
      <c r="BK3531" s="55" t="s">
        <v>5976</v>
      </c>
      <c r="BM3531" s="192" t="s">
        <v>3210</v>
      </c>
      <c r="BN3531" s="55">
        <v>3</v>
      </c>
      <c r="BO3531" s="55">
        <v>3</v>
      </c>
      <c r="BQ3531" s="55" t="s">
        <v>2875</v>
      </c>
      <c r="BV3531" s="55" t="s">
        <v>3220</v>
      </c>
      <c r="CB3531" s="66">
        <v>1200</v>
      </c>
      <c r="CC3531" s="66">
        <v>2200</v>
      </c>
      <c r="GP3531" s="292" t="s">
        <v>7494</v>
      </c>
    </row>
    <row r="3532" spans="1:198" x14ac:dyDescent="0.25">
      <c r="A3532" s="55">
        <v>3531</v>
      </c>
      <c r="B3532" s="12" t="s">
        <v>7067</v>
      </c>
      <c r="C3532" s="155">
        <v>163</v>
      </c>
      <c r="D3532" s="55" t="s">
        <v>3230</v>
      </c>
      <c r="E3532" s="90" t="s">
        <v>3207</v>
      </c>
      <c r="G3532" s="55" t="s">
        <v>3208</v>
      </c>
      <c r="H3532" s="55">
        <v>2003</v>
      </c>
      <c r="I3532" s="55">
        <v>1998</v>
      </c>
      <c r="J3532" s="55" t="s">
        <v>350</v>
      </c>
      <c r="K3532" s="55" t="s">
        <v>3229</v>
      </c>
      <c r="L3532" s="55" t="s">
        <v>2748</v>
      </c>
      <c r="M3532" s="90">
        <f>AVERAGE(M3502,M3503,M3504,M3505,M3506)</f>
        <v>-14.060000000000002</v>
      </c>
      <c r="N3532" s="90">
        <f>AVERAGE(N3502,N3503,N3504,N3505,N3506)</f>
        <v>34.97</v>
      </c>
      <c r="O3532" s="90">
        <v>1583</v>
      </c>
      <c r="S3532" s="90">
        <f>(800+1270)/2</f>
        <v>1035</v>
      </c>
      <c r="U3532" s="55" t="s">
        <v>1688</v>
      </c>
      <c r="V3532" s="55" t="s">
        <v>1816</v>
      </c>
      <c r="Y3532" s="55" t="s">
        <v>3209</v>
      </c>
      <c r="AI3532" s="168">
        <v>5.9</v>
      </c>
      <c r="AJ3532" s="90">
        <v>1.8</v>
      </c>
      <c r="AM3532" s="55" t="s">
        <v>3216</v>
      </c>
      <c r="AN3532" s="185" t="s">
        <v>2666</v>
      </c>
      <c r="AO3532" s="185" t="s">
        <v>5150</v>
      </c>
      <c r="AQ3532" s="55" t="s">
        <v>553</v>
      </c>
      <c r="AR3532" s="55" t="s">
        <v>1607</v>
      </c>
      <c r="AS3532" s="55" t="s">
        <v>132</v>
      </c>
      <c r="AU3532" s="181" t="s">
        <v>7494</v>
      </c>
      <c r="AV3532" s="185" t="s">
        <v>176</v>
      </c>
      <c r="AX3532" s="185" t="s">
        <v>176</v>
      </c>
      <c r="BE3532" s="226" t="s">
        <v>3227</v>
      </c>
      <c r="BF3532" s="191" t="s">
        <v>479</v>
      </c>
      <c r="BG3532" s="191" t="s">
        <v>479</v>
      </c>
      <c r="BH3532" s="226" t="s">
        <v>3227</v>
      </c>
      <c r="BI3532" s="191" t="s">
        <v>479</v>
      </c>
      <c r="BJ3532" s="55" t="s">
        <v>176</v>
      </c>
      <c r="BK3532" s="55" t="s">
        <v>5976</v>
      </c>
      <c r="BM3532" s="192" t="s">
        <v>3210</v>
      </c>
      <c r="BN3532" s="55">
        <v>3</v>
      </c>
      <c r="BO3532" s="55">
        <v>3</v>
      </c>
      <c r="BQ3532" s="55" t="s">
        <v>2875</v>
      </c>
      <c r="BV3532" s="55" t="s">
        <v>3220</v>
      </c>
      <c r="CB3532" s="66">
        <v>2200</v>
      </c>
      <c r="CC3532" s="66">
        <v>3100</v>
      </c>
      <c r="GP3532" s="292" t="s">
        <v>7494</v>
      </c>
    </row>
    <row r="3533" spans="1:198" x14ac:dyDescent="0.25">
      <c r="A3533" s="55">
        <v>3532</v>
      </c>
      <c r="B3533" s="12" t="s">
        <v>7067</v>
      </c>
      <c r="C3533" s="155">
        <v>163</v>
      </c>
      <c r="D3533" s="55" t="s">
        <v>3230</v>
      </c>
      <c r="E3533" s="90" t="s">
        <v>3207</v>
      </c>
      <c r="G3533" s="55" t="s">
        <v>3208</v>
      </c>
      <c r="H3533" s="55">
        <v>2003</v>
      </c>
      <c r="I3533" s="55">
        <v>1998</v>
      </c>
      <c r="J3533" s="55" t="s">
        <v>350</v>
      </c>
      <c r="K3533" s="55" t="s">
        <v>3229</v>
      </c>
      <c r="L3533" s="55" t="s">
        <v>2748</v>
      </c>
      <c r="M3533" s="90">
        <f>AVERAGE(M3503,M3504,M3505,M3506,M3507)</f>
        <v>-14.059999999999999</v>
      </c>
      <c r="N3533" s="90">
        <f>AVERAGE(N3503,N3504,N3505,N3506,N3507)</f>
        <v>34.969999999999992</v>
      </c>
      <c r="O3533" s="90">
        <v>1583</v>
      </c>
      <c r="S3533" s="90">
        <f>(800+1270)/2</f>
        <v>1035</v>
      </c>
      <c r="U3533" s="55" t="s">
        <v>1688</v>
      </c>
      <c r="V3533" s="55" t="s">
        <v>1816</v>
      </c>
      <c r="Y3533" s="55" t="s">
        <v>3209</v>
      </c>
      <c r="AI3533" s="168">
        <v>5.9</v>
      </c>
      <c r="AJ3533" s="90">
        <v>1.8</v>
      </c>
      <c r="AM3533" s="55" t="s">
        <v>3216</v>
      </c>
      <c r="AN3533" s="185" t="s">
        <v>2666</v>
      </c>
      <c r="AO3533" s="185" t="s">
        <v>5150</v>
      </c>
      <c r="AQ3533" s="55" t="s">
        <v>553</v>
      </c>
      <c r="AR3533" s="55" t="s">
        <v>1607</v>
      </c>
      <c r="AS3533" s="55" t="s">
        <v>132</v>
      </c>
      <c r="AU3533" s="181" t="s">
        <v>7494</v>
      </c>
      <c r="AV3533" s="185" t="s">
        <v>176</v>
      </c>
      <c r="AX3533" s="185" t="s">
        <v>176</v>
      </c>
      <c r="BE3533" s="226" t="s">
        <v>3228</v>
      </c>
      <c r="BF3533" s="191" t="s">
        <v>479</v>
      </c>
      <c r="BG3533" s="191" t="s">
        <v>479</v>
      </c>
      <c r="BH3533" s="226" t="s">
        <v>3228</v>
      </c>
      <c r="BI3533" s="191" t="s">
        <v>479</v>
      </c>
      <c r="BJ3533" s="55" t="s">
        <v>176</v>
      </c>
      <c r="BK3533" s="55" t="s">
        <v>5976</v>
      </c>
      <c r="BM3533" s="192" t="s">
        <v>3210</v>
      </c>
      <c r="BN3533" s="55">
        <v>3</v>
      </c>
      <c r="BO3533" s="55">
        <v>3</v>
      </c>
      <c r="BQ3533" s="55" t="s">
        <v>2875</v>
      </c>
      <c r="BV3533" s="55" t="s">
        <v>3220</v>
      </c>
      <c r="CB3533" s="66">
        <v>2700</v>
      </c>
      <c r="CC3533" s="66">
        <v>3700</v>
      </c>
      <c r="GP3533" s="292" t="s">
        <v>7494</v>
      </c>
    </row>
    <row r="3534" spans="1:198" x14ac:dyDescent="0.25">
      <c r="A3534" s="55">
        <v>3533</v>
      </c>
      <c r="B3534" s="12" t="s">
        <v>7067</v>
      </c>
      <c r="C3534" s="155">
        <v>163</v>
      </c>
      <c r="D3534" s="55" t="s">
        <v>3230</v>
      </c>
      <c r="E3534" s="90" t="s">
        <v>3207</v>
      </c>
      <c r="G3534" s="55" t="s">
        <v>3208</v>
      </c>
      <c r="H3534" s="55">
        <v>2003</v>
      </c>
      <c r="I3534" s="55">
        <v>1998</v>
      </c>
      <c r="J3534" s="55" t="s">
        <v>350</v>
      </c>
      <c r="K3534" s="55" t="s">
        <v>3229</v>
      </c>
      <c r="L3534" s="55" t="s">
        <v>2748</v>
      </c>
      <c r="M3534" s="90">
        <f>AVERAGE(M3504,M3505,M3506,M3507,M3508)</f>
        <v>-14.059999999999999</v>
      </c>
      <c r="N3534" s="90">
        <f>AVERAGE(N3504,N3505,N3506,N3507,N3508)</f>
        <v>34.969999999999992</v>
      </c>
      <c r="O3534" s="90">
        <v>1583</v>
      </c>
      <c r="S3534" s="90">
        <f>(800+1270)/2</f>
        <v>1035</v>
      </c>
      <c r="U3534" s="55" t="s">
        <v>1688</v>
      </c>
      <c r="V3534" s="55" t="s">
        <v>1816</v>
      </c>
      <c r="Y3534" s="55" t="s">
        <v>3209</v>
      </c>
      <c r="AI3534" s="168">
        <v>5.9</v>
      </c>
      <c r="AJ3534" s="90">
        <v>1.8</v>
      </c>
      <c r="AM3534" s="55" t="s">
        <v>3216</v>
      </c>
      <c r="AN3534" s="185" t="s">
        <v>2666</v>
      </c>
      <c r="AO3534" s="185" t="s">
        <v>5150</v>
      </c>
      <c r="AQ3534" s="55" t="s">
        <v>553</v>
      </c>
      <c r="AR3534" s="55" t="s">
        <v>1607</v>
      </c>
      <c r="AS3534" s="55" t="s">
        <v>132</v>
      </c>
      <c r="AU3534" s="181" t="s">
        <v>7494</v>
      </c>
      <c r="AV3534" s="185" t="s">
        <v>176</v>
      </c>
      <c r="AX3534" s="185" t="s">
        <v>176</v>
      </c>
      <c r="BE3534" s="226">
        <v>0</v>
      </c>
      <c r="BF3534" s="191" t="s">
        <v>176</v>
      </c>
      <c r="BG3534" s="191" t="s">
        <v>176</v>
      </c>
      <c r="BH3534" s="226">
        <v>0</v>
      </c>
      <c r="BI3534" s="191" t="s">
        <v>176</v>
      </c>
      <c r="BJ3534" s="55" t="s">
        <v>176</v>
      </c>
      <c r="BK3534" s="55" t="s">
        <v>5976</v>
      </c>
      <c r="BM3534" s="192" t="s">
        <v>3210</v>
      </c>
      <c r="BN3534" s="55">
        <v>3</v>
      </c>
      <c r="BO3534" s="55">
        <v>3</v>
      </c>
      <c r="BQ3534" s="55" t="s">
        <v>2875</v>
      </c>
      <c r="BV3534" s="55" t="s">
        <v>3219</v>
      </c>
      <c r="CB3534" s="66">
        <v>1200</v>
      </c>
      <c r="CC3534" s="66">
        <v>1800</v>
      </c>
      <c r="GP3534" s="292" t="s">
        <v>7494</v>
      </c>
    </row>
    <row r="3535" spans="1:198" x14ac:dyDescent="0.25">
      <c r="A3535" s="55">
        <v>3534</v>
      </c>
      <c r="B3535" s="12" t="s">
        <v>7067</v>
      </c>
      <c r="C3535" s="155">
        <v>163</v>
      </c>
      <c r="D3535" s="55" t="s">
        <v>3230</v>
      </c>
      <c r="E3535" s="90" t="s">
        <v>3207</v>
      </c>
      <c r="G3535" s="55" t="s">
        <v>3208</v>
      </c>
      <c r="H3535" s="55">
        <v>2003</v>
      </c>
      <c r="I3535" s="55">
        <v>1998</v>
      </c>
      <c r="J3535" s="55" t="s">
        <v>350</v>
      </c>
      <c r="K3535" s="55" t="s">
        <v>3229</v>
      </c>
      <c r="L3535" s="55" t="s">
        <v>2748</v>
      </c>
      <c r="M3535" s="90">
        <f>AVERAGE(M3505,M3506,M3507,M3508,M3509)</f>
        <v>-14.059999999999999</v>
      </c>
      <c r="N3535" s="90">
        <f>AVERAGE(N3505,N3506,N3507,N3508,N3509)</f>
        <v>34.97</v>
      </c>
      <c r="O3535" s="90">
        <v>1583</v>
      </c>
      <c r="S3535" s="90">
        <f>(800+1270)/2</f>
        <v>1035</v>
      </c>
      <c r="U3535" s="55" t="s">
        <v>1688</v>
      </c>
      <c r="V3535" s="55" t="s">
        <v>1816</v>
      </c>
      <c r="Y3535" s="55" t="s">
        <v>3209</v>
      </c>
      <c r="AI3535" s="168">
        <v>5.9</v>
      </c>
      <c r="AJ3535" s="90">
        <v>1.8</v>
      </c>
      <c r="AM3535" s="55" t="s">
        <v>3216</v>
      </c>
      <c r="AN3535" s="185" t="s">
        <v>2666</v>
      </c>
      <c r="AO3535" s="185" t="s">
        <v>5150</v>
      </c>
      <c r="AQ3535" s="55" t="s">
        <v>553</v>
      </c>
      <c r="AR3535" s="55" t="s">
        <v>1607</v>
      </c>
      <c r="AS3535" s="55" t="s">
        <v>132</v>
      </c>
      <c r="AU3535" s="181" t="s">
        <v>7494</v>
      </c>
      <c r="AV3535" s="185" t="s">
        <v>176</v>
      </c>
      <c r="AX3535" s="185" t="s">
        <v>176</v>
      </c>
      <c r="BE3535" s="226" t="s">
        <v>3227</v>
      </c>
      <c r="BF3535" s="191" t="s">
        <v>479</v>
      </c>
      <c r="BG3535" s="191" t="s">
        <v>479</v>
      </c>
      <c r="BH3535" s="226" t="s">
        <v>3227</v>
      </c>
      <c r="BI3535" s="191" t="s">
        <v>479</v>
      </c>
      <c r="BJ3535" s="55" t="s">
        <v>176</v>
      </c>
      <c r="BK3535" s="55" t="s">
        <v>5976</v>
      </c>
      <c r="BM3535" s="192" t="s">
        <v>3210</v>
      </c>
      <c r="BN3535" s="55">
        <v>3</v>
      </c>
      <c r="BO3535" s="55">
        <v>3</v>
      </c>
      <c r="BQ3535" s="55" t="s">
        <v>2875</v>
      </c>
      <c r="BV3535" s="55" t="s">
        <v>3219</v>
      </c>
      <c r="CB3535" s="66">
        <v>2200</v>
      </c>
      <c r="CC3535" s="66">
        <v>2900</v>
      </c>
      <c r="GP3535" s="292" t="s">
        <v>7494</v>
      </c>
    </row>
    <row r="3536" spans="1:198" x14ac:dyDescent="0.25">
      <c r="A3536" s="55">
        <v>3535</v>
      </c>
      <c r="B3536" s="12" t="s">
        <v>7067</v>
      </c>
      <c r="C3536" s="155">
        <v>163</v>
      </c>
      <c r="D3536" s="55" t="s">
        <v>3230</v>
      </c>
      <c r="E3536" s="90" t="s">
        <v>3207</v>
      </c>
      <c r="G3536" s="55" t="s">
        <v>3208</v>
      </c>
      <c r="H3536" s="55">
        <v>2003</v>
      </c>
      <c r="I3536" s="55">
        <v>1998</v>
      </c>
      <c r="J3536" s="55" t="s">
        <v>350</v>
      </c>
      <c r="K3536" s="55" t="s">
        <v>3229</v>
      </c>
      <c r="L3536" s="55" t="s">
        <v>2748</v>
      </c>
      <c r="M3536" s="90">
        <f>AVERAGE(M3506,M3507,M3508,M3509,M3510)</f>
        <v>-14.059999999999999</v>
      </c>
      <c r="N3536" s="90">
        <f>AVERAGE(N3506,N3507,N3508,N3509,N3510)</f>
        <v>34.97</v>
      </c>
      <c r="O3536" s="90">
        <v>1583</v>
      </c>
      <c r="S3536" s="90">
        <f>(800+1270)/2</f>
        <v>1035</v>
      </c>
      <c r="U3536" s="55" t="s">
        <v>1688</v>
      </c>
      <c r="V3536" s="55" t="s">
        <v>1816</v>
      </c>
      <c r="Y3536" s="55" t="s">
        <v>3209</v>
      </c>
      <c r="AI3536" s="168">
        <v>5.9</v>
      </c>
      <c r="AJ3536" s="90">
        <v>1.8</v>
      </c>
      <c r="AM3536" s="55" t="s">
        <v>3216</v>
      </c>
      <c r="AN3536" s="185" t="s">
        <v>2666</v>
      </c>
      <c r="AO3536" s="185" t="s">
        <v>5150</v>
      </c>
      <c r="AQ3536" s="55" t="s">
        <v>553</v>
      </c>
      <c r="AR3536" s="55" t="s">
        <v>1607</v>
      </c>
      <c r="AS3536" s="55" t="s">
        <v>132</v>
      </c>
      <c r="AU3536" s="181" t="s">
        <v>7494</v>
      </c>
      <c r="AV3536" s="185" t="s">
        <v>176</v>
      </c>
      <c r="AX3536" s="185" t="s">
        <v>176</v>
      </c>
      <c r="BE3536" s="226" t="s">
        <v>3228</v>
      </c>
      <c r="BF3536" s="191" t="s">
        <v>479</v>
      </c>
      <c r="BG3536" s="191" t="s">
        <v>479</v>
      </c>
      <c r="BH3536" s="226" t="s">
        <v>3228</v>
      </c>
      <c r="BI3536" s="191" t="s">
        <v>479</v>
      </c>
      <c r="BJ3536" s="55" t="s">
        <v>176</v>
      </c>
      <c r="BK3536" s="55" t="s">
        <v>5976</v>
      </c>
      <c r="BM3536" s="192" t="s">
        <v>3210</v>
      </c>
      <c r="BN3536" s="55">
        <v>3</v>
      </c>
      <c r="BO3536" s="55">
        <v>3</v>
      </c>
      <c r="BQ3536" s="55" t="s">
        <v>2875</v>
      </c>
      <c r="BV3536" s="55" t="s">
        <v>3219</v>
      </c>
      <c r="CB3536" s="66">
        <v>2700</v>
      </c>
      <c r="CC3536" s="66">
        <v>3600</v>
      </c>
      <c r="GP3536" s="292" t="s">
        <v>7494</v>
      </c>
    </row>
    <row r="3537" spans="1:206" x14ac:dyDescent="0.25">
      <c r="A3537" s="55">
        <v>3536</v>
      </c>
      <c r="B3537" s="12" t="s">
        <v>7067</v>
      </c>
      <c r="C3537" s="155">
        <v>163</v>
      </c>
      <c r="D3537" s="55" t="s">
        <v>3230</v>
      </c>
      <c r="E3537" s="90" t="s">
        <v>3207</v>
      </c>
      <c r="G3537" s="55" t="s">
        <v>3208</v>
      </c>
      <c r="H3537" s="55">
        <v>2003</v>
      </c>
      <c r="I3537" s="55">
        <v>1998</v>
      </c>
      <c r="J3537" s="55" t="s">
        <v>350</v>
      </c>
      <c r="K3537" s="55" t="s">
        <v>3229</v>
      </c>
      <c r="L3537" s="55" t="s">
        <v>2748</v>
      </c>
      <c r="M3537" s="90">
        <f>AVERAGE(M3507,M3508,M3509,M3510,M3511)</f>
        <v>-14.060000000000002</v>
      </c>
      <c r="N3537" s="90">
        <f>AVERAGE(N3507,N3508,N3509,N3510,N3511)</f>
        <v>34.97</v>
      </c>
      <c r="O3537" s="90">
        <v>1583</v>
      </c>
      <c r="S3537" s="90">
        <f>(800+1270)/2</f>
        <v>1035</v>
      </c>
      <c r="U3537" s="55" t="s">
        <v>1688</v>
      </c>
      <c r="V3537" s="55" t="s">
        <v>1816</v>
      </c>
      <c r="Y3537" s="55" t="s">
        <v>3209</v>
      </c>
      <c r="AI3537" s="168">
        <v>5.9</v>
      </c>
      <c r="AJ3537" s="90">
        <v>1.8</v>
      </c>
      <c r="AM3537" s="55" t="s">
        <v>3216</v>
      </c>
      <c r="AN3537" s="185" t="s">
        <v>3221</v>
      </c>
      <c r="AO3537" s="185" t="s">
        <v>5150</v>
      </c>
      <c r="AQ3537" s="55" t="s">
        <v>553</v>
      </c>
      <c r="AR3537" s="55" t="s">
        <v>1607</v>
      </c>
      <c r="AS3537" s="55" t="s">
        <v>132</v>
      </c>
      <c r="AU3537" s="181" t="s">
        <v>7494</v>
      </c>
      <c r="AV3537" s="185" t="s">
        <v>176</v>
      </c>
      <c r="AX3537" s="185" t="s">
        <v>176</v>
      </c>
      <c r="BE3537" s="226">
        <v>0</v>
      </c>
      <c r="BF3537" s="191" t="s">
        <v>176</v>
      </c>
      <c r="BG3537" s="191" t="s">
        <v>176</v>
      </c>
      <c r="BH3537" s="226">
        <v>0</v>
      </c>
      <c r="BI3537" s="191" t="s">
        <v>176</v>
      </c>
      <c r="BJ3537" s="55" t="s">
        <v>176</v>
      </c>
      <c r="BK3537" s="55" t="s">
        <v>5976</v>
      </c>
      <c r="BM3537" s="192" t="s">
        <v>3210</v>
      </c>
      <c r="BN3537" s="55">
        <v>3</v>
      </c>
      <c r="BO3537" s="55">
        <v>3</v>
      </c>
      <c r="BQ3537" s="55" t="s">
        <v>2875</v>
      </c>
      <c r="BV3537" s="55" t="s">
        <v>3220</v>
      </c>
      <c r="CB3537" s="66">
        <v>1200</v>
      </c>
      <c r="CC3537" s="66">
        <v>2000</v>
      </c>
      <c r="GP3537" s="292" t="s">
        <v>7494</v>
      </c>
    </row>
    <row r="3538" spans="1:206" x14ac:dyDescent="0.25">
      <c r="A3538" s="55">
        <v>3537</v>
      </c>
      <c r="B3538" s="12" t="s">
        <v>7067</v>
      </c>
      <c r="C3538" s="155">
        <v>163</v>
      </c>
      <c r="D3538" s="55" t="s">
        <v>3230</v>
      </c>
      <c r="E3538" s="90" t="s">
        <v>3207</v>
      </c>
      <c r="G3538" s="55" t="s">
        <v>3208</v>
      </c>
      <c r="H3538" s="55">
        <v>2003</v>
      </c>
      <c r="I3538" s="55">
        <v>1998</v>
      </c>
      <c r="J3538" s="55" t="s">
        <v>350</v>
      </c>
      <c r="K3538" s="55" t="s">
        <v>3229</v>
      </c>
      <c r="L3538" s="55" t="s">
        <v>2748</v>
      </c>
      <c r="M3538" s="90">
        <f>AVERAGE(M3508,M3509,M3510,M3511,M3512)</f>
        <v>-14.059999999999999</v>
      </c>
      <c r="N3538" s="90">
        <f>AVERAGE(N3508,N3509,N3510,N3511,N3512)</f>
        <v>34.969999999999992</v>
      </c>
      <c r="O3538" s="90">
        <v>1583</v>
      </c>
      <c r="S3538" s="90">
        <f>(800+1270)/2</f>
        <v>1035</v>
      </c>
      <c r="U3538" s="55" t="s">
        <v>1688</v>
      </c>
      <c r="V3538" s="55" t="s">
        <v>1816</v>
      </c>
      <c r="Y3538" s="55" t="s">
        <v>3209</v>
      </c>
      <c r="AI3538" s="168">
        <v>5.9</v>
      </c>
      <c r="AJ3538" s="90">
        <v>1.8</v>
      </c>
      <c r="AM3538" s="55" t="s">
        <v>3216</v>
      </c>
      <c r="AN3538" s="185" t="s">
        <v>3221</v>
      </c>
      <c r="AO3538" s="185" t="s">
        <v>5150</v>
      </c>
      <c r="AQ3538" s="55" t="s">
        <v>553</v>
      </c>
      <c r="AR3538" s="55" t="s">
        <v>1607</v>
      </c>
      <c r="AS3538" s="55" t="s">
        <v>132</v>
      </c>
      <c r="AU3538" s="181" t="s">
        <v>7494</v>
      </c>
      <c r="AV3538" s="185" t="s">
        <v>176</v>
      </c>
      <c r="AX3538" s="185" t="s">
        <v>176</v>
      </c>
      <c r="BE3538" s="226" t="s">
        <v>3227</v>
      </c>
      <c r="BF3538" s="191" t="s">
        <v>479</v>
      </c>
      <c r="BG3538" s="191" t="s">
        <v>479</v>
      </c>
      <c r="BH3538" s="226" t="s">
        <v>3227</v>
      </c>
      <c r="BI3538" s="191" t="s">
        <v>479</v>
      </c>
      <c r="BJ3538" s="55" t="s">
        <v>176</v>
      </c>
      <c r="BK3538" s="55" t="s">
        <v>5976</v>
      </c>
      <c r="BM3538" s="192" t="s">
        <v>3210</v>
      </c>
      <c r="BN3538" s="55">
        <v>3</v>
      </c>
      <c r="BO3538" s="55">
        <v>3</v>
      </c>
      <c r="BQ3538" s="55" t="s">
        <v>2875</v>
      </c>
      <c r="BV3538" s="55" t="s">
        <v>3220</v>
      </c>
      <c r="CB3538" s="66">
        <v>2200</v>
      </c>
      <c r="CC3538" s="66">
        <v>2800</v>
      </c>
      <c r="GP3538" s="292" t="s">
        <v>7494</v>
      </c>
    </row>
    <row r="3539" spans="1:206" x14ac:dyDescent="0.25">
      <c r="A3539" s="55">
        <v>3538</v>
      </c>
      <c r="B3539" s="12" t="s">
        <v>7067</v>
      </c>
      <c r="C3539" s="155">
        <v>163</v>
      </c>
      <c r="D3539" s="55" t="s">
        <v>3230</v>
      </c>
      <c r="E3539" s="90" t="s">
        <v>3207</v>
      </c>
      <c r="G3539" s="55" t="s">
        <v>3208</v>
      </c>
      <c r="H3539" s="55">
        <v>2003</v>
      </c>
      <c r="I3539" s="55">
        <v>1998</v>
      </c>
      <c r="J3539" s="55" t="s">
        <v>350</v>
      </c>
      <c r="K3539" s="55" t="s">
        <v>3229</v>
      </c>
      <c r="L3539" s="55" t="s">
        <v>2748</v>
      </c>
      <c r="M3539" s="90">
        <f>AVERAGE(M3509,M3510,M3511,M3512,M3513)</f>
        <v>-14.059999999999999</v>
      </c>
      <c r="N3539" s="90">
        <f>AVERAGE(N3509,N3510,N3511,N3512,N3513)</f>
        <v>34.969999999999992</v>
      </c>
      <c r="O3539" s="90">
        <v>1583</v>
      </c>
      <c r="S3539" s="90">
        <f>(800+1270)/2</f>
        <v>1035</v>
      </c>
      <c r="U3539" s="55" t="s">
        <v>1688</v>
      </c>
      <c r="V3539" s="55" t="s">
        <v>1816</v>
      </c>
      <c r="Y3539" s="55" t="s">
        <v>3209</v>
      </c>
      <c r="AI3539" s="168">
        <v>5.9</v>
      </c>
      <c r="AJ3539" s="90">
        <v>1.8</v>
      </c>
      <c r="AM3539" s="55" t="s">
        <v>3216</v>
      </c>
      <c r="AN3539" s="185" t="s">
        <v>3221</v>
      </c>
      <c r="AO3539" s="185" t="s">
        <v>5150</v>
      </c>
      <c r="AQ3539" s="55" t="s">
        <v>553</v>
      </c>
      <c r="AR3539" s="55" t="s">
        <v>1607</v>
      </c>
      <c r="AS3539" s="55" t="s">
        <v>132</v>
      </c>
      <c r="AU3539" s="181" t="s">
        <v>7494</v>
      </c>
      <c r="AV3539" s="185" t="s">
        <v>176</v>
      </c>
      <c r="AX3539" s="185" t="s">
        <v>176</v>
      </c>
      <c r="BE3539" s="226" t="s">
        <v>3228</v>
      </c>
      <c r="BF3539" s="191" t="s">
        <v>479</v>
      </c>
      <c r="BG3539" s="191" t="s">
        <v>479</v>
      </c>
      <c r="BH3539" s="226" t="s">
        <v>3228</v>
      </c>
      <c r="BI3539" s="191" t="s">
        <v>479</v>
      </c>
      <c r="BJ3539" s="55" t="s">
        <v>176</v>
      </c>
      <c r="BK3539" s="55" t="s">
        <v>5976</v>
      </c>
      <c r="BM3539" s="192" t="s">
        <v>3210</v>
      </c>
      <c r="BN3539" s="55">
        <v>3</v>
      </c>
      <c r="BO3539" s="55">
        <v>3</v>
      </c>
      <c r="BQ3539" s="55" t="s">
        <v>2875</v>
      </c>
      <c r="BV3539" s="55" t="s">
        <v>3220</v>
      </c>
      <c r="CB3539" s="66">
        <v>2700</v>
      </c>
      <c r="CC3539" s="66">
        <v>3400</v>
      </c>
      <c r="GP3539" s="292" t="s">
        <v>7494</v>
      </c>
    </row>
    <row r="3540" spans="1:206" x14ac:dyDescent="0.25">
      <c r="A3540" s="55">
        <v>3539</v>
      </c>
      <c r="B3540" s="12" t="s">
        <v>7067</v>
      </c>
      <c r="C3540" s="155">
        <v>163</v>
      </c>
      <c r="D3540" s="55" t="s">
        <v>3230</v>
      </c>
      <c r="E3540" s="90" t="s">
        <v>3207</v>
      </c>
      <c r="G3540" s="55" t="s">
        <v>3208</v>
      </c>
      <c r="H3540" s="55">
        <v>2003</v>
      </c>
      <c r="I3540" s="55">
        <v>1998</v>
      </c>
      <c r="J3540" s="55" t="s">
        <v>350</v>
      </c>
      <c r="K3540" s="55" t="s">
        <v>3229</v>
      </c>
      <c r="L3540" s="55" t="s">
        <v>2748</v>
      </c>
      <c r="M3540" s="90">
        <f>AVERAGE(M3510,M3511,M3512,M3513,M3514)</f>
        <v>-14.059999999999999</v>
      </c>
      <c r="N3540" s="90">
        <f>AVERAGE(N3510,N3511,N3512,N3513,N3514)</f>
        <v>34.97</v>
      </c>
      <c r="O3540" s="90">
        <v>1583</v>
      </c>
      <c r="S3540" s="90">
        <f>(800+1270)/2</f>
        <v>1035</v>
      </c>
      <c r="U3540" s="55" t="s">
        <v>1688</v>
      </c>
      <c r="V3540" s="55" t="s">
        <v>1816</v>
      </c>
      <c r="Y3540" s="55" t="s">
        <v>3209</v>
      </c>
      <c r="AI3540" s="168">
        <v>5.9</v>
      </c>
      <c r="AJ3540" s="90">
        <v>1.8</v>
      </c>
      <c r="AM3540" s="55" t="s">
        <v>3216</v>
      </c>
      <c r="AN3540" s="185" t="s">
        <v>3221</v>
      </c>
      <c r="AO3540" s="185" t="s">
        <v>5150</v>
      </c>
      <c r="AQ3540" s="55" t="s">
        <v>553</v>
      </c>
      <c r="AR3540" s="55" t="s">
        <v>1607</v>
      </c>
      <c r="AS3540" s="55" t="s">
        <v>132</v>
      </c>
      <c r="AU3540" s="181" t="s">
        <v>7494</v>
      </c>
      <c r="AV3540" s="185" t="s">
        <v>176</v>
      </c>
      <c r="AX3540" s="185" t="s">
        <v>176</v>
      </c>
      <c r="BE3540" s="226">
        <v>0</v>
      </c>
      <c r="BF3540" s="191" t="s">
        <v>176</v>
      </c>
      <c r="BG3540" s="191" t="s">
        <v>176</v>
      </c>
      <c r="BH3540" s="226">
        <v>0</v>
      </c>
      <c r="BI3540" s="191" t="s">
        <v>176</v>
      </c>
      <c r="BJ3540" s="55" t="s">
        <v>176</v>
      </c>
      <c r="BK3540" s="55" t="s">
        <v>5976</v>
      </c>
      <c r="BM3540" s="192" t="s">
        <v>3210</v>
      </c>
      <c r="BN3540" s="55">
        <v>3</v>
      </c>
      <c r="BO3540" s="55">
        <v>3</v>
      </c>
      <c r="BQ3540" s="55" t="s">
        <v>2875</v>
      </c>
      <c r="BV3540" s="55" t="s">
        <v>3219</v>
      </c>
      <c r="CB3540" s="66">
        <v>1200</v>
      </c>
      <c r="CC3540" s="66">
        <v>1700</v>
      </c>
      <c r="GP3540" s="292" t="s">
        <v>7494</v>
      </c>
    </row>
    <row r="3541" spans="1:206" x14ac:dyDescent="0.25">
      <c r="A3541" s="55">
        <v>3540</v>
      </c>
      <c r="B3541" s="12" t="s">
        <v>7067</v>
      </c>
      <c r="C3541" s="155">
        <v>163</v>
      </c>
      <c r="D3541" s="55" t="s">
        <v>3230</v>
      </c>
      <c r="E3541" s="90" t="s">
        <v>3207</v>
      </c>
      <c r="G3541" s="55" t="s">
        <v>3208</v>
      </c>
      <c r="H3541" s="55">
        <v>2003</v>
      </c>
      <c r="I3541" s="55">
        <v>1998</v>
      </c>
      <c r="J3541" s="55" t="s">
        <v>350</v>
      </c>
      <c r="K3541" s="55" t="s">
        <v>3229</v>
      </c>
      <c r="L3541" s="55" t="s">
        <v>2748</v>
      </c>
      <c r="M3541" s="90">
        <f>AVERAGE(M3511,M3512,M3513,M3514,M3515)</f>
        <v>-14.059999999999999</v>
      </c>
      <c r="N3541" s="90">
        <f>AVERAGE(N3511,N3512,N3513,N3514,N3515)</f>
        <v>34.97</v>
      </c>
      <c r="O3541" s="90">
        <v>1583</v>
      </c>
      <c r="S3541" s="90">
        <f>(800+1270)/2</f>
        <v>1035</v>
      </c>
      <c r="U3541" s="55" t="s">
        <v>1688</v>
      </c>
      <c r="V3541" s="55" t="s">
        <v>1816</v>
      </c>
      <c r="Y3541" s="55" t="s">
        <v>3209</v>
      </c>
      <c r="AI3541" s="168">
        <v>5.9</v>
      </c>
      <c r="AJ3541" s="90">
        <v>1.8</v>
      </c>
      <c r="AM3541" s="55" t="s">
        <v>3216</v>
      </c>
      <c r="AN3541" s="185" t="s">
        <v>3221</v>
      </c>
      <c r="AO3541" s="185" t="s">
        <v>5150</v>
      </c>
      <c r="AQ3541" s="55" t="s">
        <v>553</v>
      </c>
      <c r="AR3541" s="55" t="s">
        <v>1607</v>
      </c>
      <c r="AS3541" s="55" t="s">
        <v>132</v>
      </c>
      <c r="AU3541" s="181" t="s">
        <v>7494</v>
      </c>
      <c r="AV3541" s="185" t="s">
        <v>176</v>
      </c>
      <c r="AX3541" s="185" t="s">
        <v>176</v>
      </c>
      <c r="BE3541" s="226" t="s">
        <v>3227</v>
      </c>
      <c r="BF3541" s="191" t="s">
        <v>479</v>
      </c>
      <c r="BG3541" s="191" t="s">
        <v>479</v>
      </c>
      <c r="BH3541" s="226" t="s">
        <v>3227</v>
      </c>
      <c r="BI3541" s="191" t="s">
        <v>479</v>
      </c>
      <c r="BJ3541" s="55" t="s">
        <v>176</v>
      </c>
      <c r="BK3541" s="55" t="s">
        <v>5976</v>
      </c>
      <c r="BM3541" s="192" t="s">
        <v>3210</v>
      </c>
      <c r="BN3541" s="55">
        <v>3</v>
      </c>
      <c r="BO3541" s="55">
        <v>3</v>
      </c>
      <c r="BQ3541" s="55" t="s">
        <v>2875</v>
      </c>
      <c r="BV3541" s="55" t="s">
        <v>3219</v>
      </c>
      <c r="CB3541" s="66">
        <v>2200</v>
      </c>
      <c r="CC3541" s="66">
        <v>2900</v>
      </c>
      <c r="GP3541" s="292" t="s">
        <v>7494</v>
      </c>
    </row>
    <row r="3542" spans="1:206" x14ac:dyDescent="0.25">
      <c r="A3542" s="55">
        <v>3541</v>
      </c>
      <c r="B3542" s="12" t="s">
        <v>7067</v>
      </c>
      <c r="C3542" s="155">
        <v>163</v>
      </c>
      <c r="D3542" s="55" t="s">
        <v>3230</v>
      </c>
      <c r="E3542" s="90" t="s">
        <v>3207</v>
      </c>
      <c r="G3542" s="55" t="s">
        <v>3208</v>
      </c>
      <c r="H3542" s="55">
        <v>2003</v>
      </c>
      <c r="I3542" s="55">
        <v>1998</v>
      </c>
      <c r="J3542" s="55" t="s">
        <v>350</v>
      </c>
      <c r="K3542" s="55" t="s">
        <v>3229</v>
      </c>
      <c r="L3542" s="55" t="s">
        <v>2748</v>
      </c>
      <c r="M3542" s="90">
        <f>AVERAGE(M3512,M3513,M3514,M3515,M3516)</f>
        <v>-14.060000000000002</v>
      </c>
      <c r="N3542" s="90">
        <f>AVERAGE(N3512,N3513,N3514,N3515,N3516)</f>
        <v>34.97</v>
      </c>
      <c r="O3542" s="90">
        <v>1583</v>
      </c>
      <c r="S3542" s="90">
        <f>(800+1270)/2</f>
        <v>1035</v>
      </c>
      <c r="U3542" s="55" t="s">
        <v>1688</v>
      </c>
      <c r="V3542" s="55" t="s">
        <v>1816</v>
      </c>
      <c r="Y3542" s="55" t="s">
        <v>3209</v>
      </c>
      <c r="AI3542" s="168">
        <v>5.9</v>
      </c>
      <c r="AJ3542" s="90">
        <v>1.8</v>
      </c>
      <c r="AM3542" s="55" t="s">
        <v>3216</v>
      </c>
      <c r="AN3542" s="185" t="s">
        <v>3221</v>
      </c>
      <c r="AO3542" s="185" t="s">
        <v>5150</v>
      </c>
      <c r="AQ3542" s="55" t="s">
        <v>553</v>
      </c>
      <c r="AR3542" s="55" t="s">
        <v>1607</v>
      </c>
      <c r="AS3542" s="55" t="s">
        <v>132</v>
      </c>
      <c r="AU3542" s="181" t="s">
        <v>7494</v>
      </c>
      <c r="AV3542" s="185" t="s">
        <v>176</v>
      </c>
      <c r="AX3542" s="185" t="s">
        <v>176</v>
      </c>
      <c r="BE3542" s="226" t="s">
        <v>3228</v>
      </c>
      <c r="BF3542" s="191" t="s">
        <v>479</v>
      </c>
      <c r="BG3542" s="191" t="s">
        <v>479</v>
      </c>
      <c r="BH3542" s="226" t="s">
        <v>3228</v>
      </c>
      <c r="BI3542" s="191" t="s">
        <v>479</v>
      </c>
      <c r="BJ3542" s="55" t="s">
        <v>176</v>
      </c>
      <c r="BK3542" s="55" t="s">
        <v>5976</v>
      </c>
      <c r="BM3542" s="192" t="s">
        <v>3210</v>
      </c>
      <c r="BN3542" s="55">
        <v>3</v>
      </c>
      <c r="BO3542" s="55">
        <v>3</v>
      </c>
      <c r="BQ3542" s="55" t="s">
        <v>2875</v>
      </c>
      <c r="BV3542" s="55" t="s">
        <v>3219</v>
      </c>
      <c r="CB3542" s="66">
        <v>2700</v>
      </c>
      <c r="CC3542" s="66">
        <v>3400</v>
      </c>
      <c r="GP3542" s="292" t="s">
        <v>7494</v>
      </c>
    </row>
    <row r="3543" spans="1:206" x14ac:dyDescent="0.25">
      <c r="A3543" s="55">
        <v>3542</v>
      </c>
      <c r="B3543" s="12" t="s">
        <v>7067</v>
      </c>
      <c r="C3543" s="155">
        <v>164</v>
      </c>
      <c r="D3543" s="55" t="s">
        <v>3239</v>
      </c>
      <c r="E3543" s="90" t="s">
        <v>3231</v>
      </c>
      <c r="G3543" s="55" t="s">
        <v>3232</v>
      </c>
      <c r="H3543" s="55">
        <v>2000</v>
      </c>
      <c r="I3543" s="55">
        <v>1995</v>
      </c>
      <c r="J3543" s="55" t="s">
        <v>3233</v>
      </c>
      <c r="K3543" s="55" t="s">
        <v>3242</v>
      </c>
      <c r="L3543" s="55" t="s">
        <v>3108</v>
      </c>
      <c r="M3543" s="90">
        <v>-5.04</v>
      </c>
      <c r="N3543" s="90">
        <v>32.82</v>
      </c>
      <c r="O3543" s="90">
        <v>1235</v>
      </c>
      <c r="R3543" s="55">
        <v>663</v>
      </c>
      <c r="S3543" s="90">
        <v>880</v>
      </c>
      <c r="U3543" s="55" t="s">
        <v>1935</v>
      </c>
      <c r="V3543" s="55" t="s">
        <v>1816</v>
      </c>
      <c r="Y3543" s="55" t="s">
        <v>1920</v>
      </c>
      <c r="Z3543" s="55" t="s">
        <v>1349</v>
      </c>
      <c r="AA3543" s="90" t="s">
        <v>1677</v>
      </c>
      <c r="AN3543" s="185" t="s">
        <v>2692</v>
      </c>
      <c r="AO3543" s="185" t="s">
        <v>5150</v>
      </c>
      <c r="AQ3543" s="55" t="s">
        <v>553</v>
      </c>
      <c r="AR3543" s="55" t="s">
        <v>3234</v>
      </c>
      <c r="AS3543" s="55" t="s">
        <v>5133</v>
      </c>
      <c r="AT3543" s="181" t="s">
        <v>3236</v>
      </c>
      <c r="AU3543" s="181" t="s">
        <v>5150</v>
      </c>
      <c r="AV3543" s="185" t="s">
        <v>176</v>
      </c>
      <c r="AW3543" s="55" t="s">
        <v>3236</v>
      </c>
      <c r="AX3543" s="185" t="s">
        <v>176</v>
      </c>
      <c r="AY3543" s="55" t="s">
        <v>176</v>
      </c>
      <c r="BF3543" s="191"/>
      <c r="BG3543" s="191"/>
      <c r="BK3543" s="55" t="s">
        <v>6333</v>
      </c>
      <c r="BM3543" s="192" t="s">
        <v>2702</v>
      </c>
      <c r="BN3543" s="55">
        <v>3</v>
      </c>
      <c r="BO3543" s="55">
        <v>3</v>
      </c>
      <c r="BP3543" s="55">
        <v>3</v>
      </c>
      <c r="BQ3543" s="55" t="s">
        <v>141</v>
      </c>
      <c r="GP3543" s="292" t="s">
        <v>7494</v>
      </c>
      <c r="GT3543" s="65">
        <v>0.01</v>
      </c>
      <c r="GU3543" s="65">
        <v>0.33</v>
      </c>
      <c r="GX3543" s="65" t="s">
        <v>3235</v>
      </c>
    </row>
    <row r="3544" spans="1:206" x14ac:dyDescent="0.25">
      <c r="A3544" s="55">
        <v>3543</v>
      </c>
      <c r="B3544" s="12" t="s">
        <v>7067</v>
      </c>
      <c r="C3544" s="155">
        <v>164</v>
      </c>
      <c r="D3544" s="55" t="s">
        <v>3239</v>
      </c>
      <c r="E3544" s="90" t="s">
        <v>3231</v>
      </c>
      <c r="G3544" s="55" t="s">
        <v>3232</v>
      </c>
      <c r="H3544" s="55">
        <v>2000</v>
      </c>
      <c r="I3544" s="55">
        <v>1996</v>
      </c>
      <c r="J3544" s="55" t="s">
        <v>3233</v>
      </c>
      <c r="K3544" s="55" t="s">
        <v>3242</v>
      </c>
      <c r="L3544" s="55" t="s">
        <v>3108</v>
      </c>
      <c r="M3544" s="90">
        <v>-5.04</v>
      </c>
      <c r="N3544" s="90">
        <v>32.82</v>
      </c>
      <c r="O3544" s="90">
        <v>1235</v>
      </c>
      <c r="R3544" s="55">
        <v>663</v>
      </c>
      <c r="S3544" s="90">
        <v>880</v>
      </c>
      <c r="U3544" s="55" t="s">
        <v>1805</v>
      </c>
      <c r="V3544" s="55" t="s">
        <v>1816</v>
      </c>
      <c r="Y3544" s="55" t="s">
        <v>1920</v>
      </c>
      <c r="Z3544" s="55" t="s">
        <v>1349</v>
      </c>
      <c r="AA3544" s="90" t="s">
        <v>1677</v>
      </c>
      <c r="AN3544" s="185" t="s">
        <v>2692</v>
      </c>
      <c r="AO3544" s="185" t="s">
        <v>5150</v>
      </c>
      <c r="AQ3544" s="55" t="s">
        <v>553</v>
      </c>
      <c r="AR3544" s="55" t="s">
        <v>3234</v>
      </c>
      <c r="AS3544" s="55" t="s">
        <v>5133</v>
      </c>
      <c r="AT3544" s="181" t="s">
        <v>3236</v>
      </c>
      <c r="AU3544" s="181" t="s">
        <v>5150</v>
      </c>
      <c r="AV3544" s="185" t="s">
        <v>176</v>
      </c>
      <c r="AW3544" s="55" t="s">
        <v>3236</v>
      </c>
      <c r="AX3544" s="185" t="s">
        <v>176</v>
      </c>
      <c r="AY3544" s="55" t="s">
        <v>176</v>
      </c>
      <c r="BK3544" s="55" t="s">
        <v>6333</v>
      </c>
      <c r="BM3544" s="192" t="s">
        <v>2702</v>
      </c>
      <c r="BN3544" s="55">
        <v>3</v>
      </c>
      <c r="BO3544" s="55">
        <v>3</v>
      </c>
      <c r="BP3544" s="55">
        <v>3</v>
      </c>
      <c r="BQ3544" s="55" t="s">
        <v>141</v>
      </c>
      <c r="CB3544" s="66">
        <v>972</v>
      </c>
      <c r="CC3544" s="66">
        <v>426</v>
      </c>
      <c r="CG3544" s="65" t="s">
        <v>3238</v>
      </c>
      <c r="GP3544" s="292" t="s">
        <v>7494</v>
      </c>
      <c r="GT3544" s="65">
        <v>3.67</v>
      </c>
      <c r="GU3544" s="65">
        <v>5</v>
      </c>
      <c r="GX3544" s="65" t="s">
        <v>3235</v>
      </c>
    </row>
    <row r="3545" spans="1:206" x14ac:dyDescent="0.25">
      <c r="A3545" s="55">
        <v>3544</v>
      </c>
      <c r="B3545" s="12" t="s">
        <v>7067</v>
      </c>
      <c r="C3545" s="155">
        <v>164</v>
      </c>
      <c r="D3545" s="55" t="s">
        <v>3239</v>
      </c>
      <c r="E3545" s="90" t="s">
        <v>3231</v>
      </c>
      <c r="G3545" s="55" t="s">
        <v>3232</v>
      </c>
      <c r="H3545" s="55">
        <v>2000</v>
      </c>
      <c r="I3545" s="55">
        <v>1997</v>
      </c>
      <c r="J3545" s="55" t="s">
        <v>3233</v>
      </c>
      <c r="K3545" s="55" t="s">
        <v>3242</v>
      </c>
      <c r="L3545" s="55" t="s">
        <v>3108</v>
      </c>
      <c r="M3545" s="90">
        <v>-5.04</v>
      </c>
      <c r="N3545" s="90">
        <v>32.82</v>
      </c>
      <c r="O3545" s="90">
        <v>1235</v>
      </c>
      <c r="R3545" s="55">
        <v>663</v>
      </c>
      <c r="S3545" s="90">
        <v>880</v>
      </c>
      <c r="U3545" s="55" t="s">
        <v>1688</v>
      </c>
      <c r="V3545" s="55" t="s">
        <v>1816</v>
      </c>
      <c r="Y3545" s="55" t="s">
        <v>1920</v>
      </c>
      <c r="Z3545" s="55" t="s">
        <v>1349</v>
      </c>
      <c r="AA3545" s="90" t="s">
        <v>1677</v>
      </c>
      <c r="AN3545" s="185" t="s">
        <v>2692</v>
      </c>
      <c r="AO3545" s="185" t="s">
        <v>5150</v>
      </c>
      <c r="AQ3545" s="55" t="s">
        <v>553</v>
      </c>
      <c r="AR3545" s="55" t="s">
        <v>3234</v>
      </c>
      <c r="AS3545" s="55" t="s">
        <v>5133</v>
      </c>
      <c r="AT3545" s="181" t="s">
        <v>3236</v>
      </c>
      <c r="AU3545" s="181" t="s">
        <v>5150</v>
      </c>
      <c r="AV3545" s="185" t="s">
        <v>176</v>
      </c>
      <c r="AW3545" s="55" t="s">
        <v>3236</v>
      </c>
      <c r="AX3545" s="185" t="s">
        <v>176</v>
      </c>
      <c r="AY3545" s="55" t="s">
        <v>176</v>
      </c>
      <c r="BK3545" s="55" t="s">
        <v>6333</v>
      </c>
      <c r="BM3545" s="192" t="s">
        <v>2702</v>
      </c>
      <c r="BN3545" s="55">
        <v>3</v>
      </c>
      <c r="BO3545" s="55">
        <v>3</v>
      </c>
      <c r="BP3545" s="55">
        <v>3</v>
      </c>
      <c r="BQ3545" s="55" t="s">
        <v>141</v>
      </c>
      <c r="CB3545" s="66">
        <v>289</v>
      </c>
      <c r="CC3545" s="66">
        <v>228</v>
      </c>
      <c r="CG3545" s="65" t="s">
        <v>3238</v>
      </c>
      <c r="GP3545" s="292" t="s">
        <v>7494</v>
      </c>
      <c r="GT3545" s="65">
        <v>5.67</v>
      </c>
      <c r="GU3545" s="65">
        <v>6</v>
      </c>
      <c r="GX3545" s="65" t="s">
        <v>3235</v>
      </c>
    </row>
    <row r="3546" spans="1:206" x14ac:dyDescent="0.25">
      <c r="A3546" s="55">
        <v>3545</v>
      </c>
      <c r="B3546" s="12" t="s">
        <v>7067</v>
      </c>
      <c r="C3546" s="155">
        <v>164</v>
      </c>
      <c r="D3546" s="55" t="s">
        <v>3239</v>
      </c>
      <c r="E3546" s="90" t="s">
        <v>3231</v>
      </c>
      <c r="G3546" s="55" t="s">
        <v>3232</v>
      </c>
      <c r="H3546" s="55">
        <v>2000</v>
      </c>
      <c r="I3546" s="55">
        <v>1995</v>
      </c>
      <c r="J3546" s="55" t="s">
        <v>3233</v>
      </c>
      <c r="K3546" s="55" t="s">
        <v>3242</v>
      </c>
      <c r="L3546" s="55" t="s">
        <v>3108</v>
      </c>
      <c r="M3546" s="90">
        <v>-5.04</v>
      </c>
      <c r="N3546" s="90">
        <v>32.82</v>
      </c>
      <c r="O3546" s="90">
        <v>1235</v>
      </c>
      <c r="R3546" s="55">
        <v>663</v>
      </c>
      <c r="S3546" s="90">
        <v>880</v>
      </c>
      <c r="U3546" s="55" t="s">
        <v>1935</v>
      </c>
      <c r="V3546" s="55" t="s">
        <v>1816</v>
      </c>
      <c r="Y3546" s="55" t="s">
        <v>1920</v>
      </c>
      <c r="Z3546" s="55" t="s">
        <v>1349</v>
      </c>
      <c r="AA3546" s="90" t="s">
        <v>1677</v>
      </c>
      <c r="AN3546" s="185" t="s">
        <v>2692</v>
      </c>
      <c r="AO3546" s="185" t="s">
        <v>5150</v>
      </c>
      <c r="AQ3546" s="55" t="s">
        <v>553</v>
      </c>
      <c r="AR3546" s="55" t="s">
        <v>3234</v>
      </c>
      <c r="AS3546" s="55" t="s">
        <v>5133</v>
      </c>
      <c r="AT3546" s="181" t="s">
        <v>3236</v>
      </c>
      <c r="AU3546" s="181" t="s">
        <v>5150</v>
      </c>
      <c r="AV3546" s="185" t="s">
        <v>176</v>
      </c>
      <c r="AW3546" s="55" t="s">
        <v>3236</v>
      </c>
      <c r="AX3546" s="185" t="s">
        <v>176</v>
      </c>
      <c r="AY3546" s="55" t="s">
        <v>176</v>
      </c>
      <c r="BK3546" s="55" t="s">
        <v>6333</v>
      </c>
      <c r="BM3546" s="192" t="s">
        <v>2702</v>
      </c>
      <c r="BN3546" s="55">
        <v>3</v>
      </c>
      <c r="BO3546" s="55">
        <v>3</v>
      </c>
      <c r="BP3546" s="55">
        <v>3</v>
      </c>
      <c r="BQ3546" s="55" t="s">
        <v>141</v>
      </c>
      <c r="CB3546" s="66">
        <v>314</v>
      </c>
      <c r="CC3546" s="66">
        <v>240</v>
      </c>
      <c r="CG3546" s="65" t="s">
        <v>3238</v>
      </c>
      <c r="GP3546" s="292" t="s">
        <v>7494</v>
      </c>
      <c r="GT3546" s="65">
        <v>0.67</v>
      </c>
      <c r="GU3546" s="65">
        <v>1.67</v>
      </c>
      <c r="GX3546" s="65" t="s">
        <v>3235</v>
      </c>
    </row>
    <row r="3547" spans="1:206" x14ac:dyDescent="0.25">
      <c r="A3547" s="55">
        <v>3546</v>
      </c>
      <c r="B3547" s="12" t="s">
        <v>7067</v>
      </c>
      <c r="C3547" s="155">
        <v>164</v>
      </c>
      <c r="D3547" s="55" t="s">
        <v>3239</v>
      </c>
      <c r="E3547" s="90" t="s">
        <v>3231</v>
      </c>
      <c r="G3547" s="55" t="s">
        <v>3232</v>
      </c>
      <c r="H3547" s="55">
        <v>2000</v>
      </c>
      <c r="I3547" s="55">
        <v>1996</v>
      </c>
      <c r="J3547" s="55" t="s">
        <v>3233</v>
      </c>
      <c r="K3547" s="55" t="s">
        <v>3242</v>
      </c>
      <c r="L3547" s="55" t="s">
        <v>3108</v>
      </c>
      <c r="M3547" s="90">
        <v>-5.04</v>
      </c>
      <c r="N3547" s="90">
        <v>32.82</v>
      </c>
      <c r="O3547" s="90">
        <v>1235</v>
      </c>
      <c r="R3547" s="55">
        <v>663</v>
      </c>
      <c r="S3547" s="90">
        <v>880</v>
      </c>
      <c r="U3547" s="55" t="s">
        <v>1805</v>
      </c>
      <c r="V3547" s="55" t="s">
        <v>1816</v>
      </c>
      <c r="Y3547" s="55" t="s">
        <v>1920</v>
      </c>
      <c r="Z3547" s="55" t="s">
        <v>1349</v>
      </c>
      <c r="AA3547" s="90" t="s">
        <v>1677</v>
      </c>
      <c r="AN3547" s="185" t="s">
        <v>2692</v>
      </c>
      <c r="AO3547" s="185" t="s">
        <v>5150</v>
      </c>
      <c r="AQ3547" s="55" t="s">
        <v>553</v>
      </c>
      <c r="AR3547" s="55" t="s">
        <v>3234</v>
      </c>
      <c r="AS3547" s="55" t="s">
        <v>5133</v>
      </c>
      <c r="AT3547" s="181" t="s">
        <v>3236</v>
      </c>
      <c r="AU3547" s="181" t="s">
        <v>5150</v>
      </c>
      <c r="AV3547" s="185" t="s">
        <v>176</v>
      </c>
      <c r="AW3547" s="55" t="s">
        <v>3236</v>
      </c>
      <c r="AX3547" s="185" t="s">
        <v>176</v>
      </c>
      <c r="AY3547" s="55" t="s">
        <v>176</v>
      </c>
      <c r="BK3547" s="55" t="s">
        <v>6333</v>
      </c>
      <c r="BM3547" s="192" t="s">
        <v>2702</v>
      </c>
      <c r="BN3547" s="55">
        <v>3</v>
      </c>
      <c r="BO3547" s="55">
        <v>3</v>
      </c>
      <c r="BP3547" s="55">
        <v>3</v>
      </c>
      <c r="BQ3547" s="55" t="s">
        <v>141</v>
      </c>
      <c r="GP3547" s="292" t="s">
        <v>7494</v>
      </c>
      <c r="GT3547" s="65">
        <v>5.67</v>
      </c>
      <c r="GU3547" s="65">
        <v>7.33</v>
      </c>
      <c r="GX3547" s="65" t="s">
        <v>3235</v>
      </c>
    </row>
    <row r="3548" spans="1:206" x14ac:dyDescent="0.25">
      <c r="A3548" s="55">
        <v>3547</v>
      </c>
      <c r="B3548" s="12" t="s">
        <v>7067</v>
      </c>
      <c r="C3548" s="155">
        <v>164</v>
      </c>
      <c r="D3548" s="55" t="s">
        <v>3239</v>
      </c>
      <c r="E3548" s="90" t="s">
        <v>3231</v>
      </c>
      <c r="G3548" s="55" t="s">
        <v>3232</v>
      </c>
      <c r="H3548" s="55">
        <v>2000</v>
      </c>
      <c r="I3548" s="55">
        <v>1997</v>
      </c>
      <c r="J3548" s="55" t="s">
        <v>3233</v>
      </c>
      <c r="K3548" s="55" t="s">
        <v>3242</v>
      </c>
      <c r="L3548" s="55" t="s">
        <v>3108</v>
      </c>
      <c r="M3548" s="90">
        <v>-5.04</v>
      </c>
      <c r="N3548" s="90">
        <v>32.82</v>
      </c>
      <c r="O3548" s="90">
        <v>1235</v>
      </c>
      <c r="R3548" s="55">
        <v>663</v>
      </c>
      <c r="S3548" s="90">
        <v>880</v>
      </c>
      <c r="U3548" s="55" t="s">
        <v>1688</v>
      </c>
      <c r="V3548" s="55" t="s">
        <v>1816</v>
      </c>
      <c r="Y3548" s="55" t="s">
        <v>1920</v>
      </c>
      <c r="Z3548" s="55" t="s">
        <v>1349</v>
      </c>
      <c r="AA3548" s="90" t="s">
        <v>1677</v>
      </c>
      <c r="AN3548" s="185" t="s">
        <v>2692</v>
      </c>
      <c r="AO3548" s="185" t="s">
        <v>5150</v>
      </c>
      <c r="AQ3548" s="55" t="s">
        <v>553</v>
      </c>
      <c r="AR3548" s="55" t="s">
        <v>3234</v>
      </c>
      <c r="AS3548" s="55" t="s">
        <v>5133</v>
      </c>
      <c r="AT3548" s="181" t="s">
        <v>3236</v>
      </c>
      <c r="AU3548" s="181" t="s">
        <v>5150</v>
      </c>
      <c r="AV3548" s="185" t="s">
        <v>176</v>
      </c>
      <c r="AW3548" s="55" t="s">
        <v>3236</v>
      </c>
      <c r="AX3548" s="185" t="s">
        <v>176</v>
      </c>
      <c r="AY3548" s="55" t="s">
        <v>176</v>
      </c>
      <c r="BK3548" s="55" t="s">
        <v>6333</v>
      </c>
      <c r="BM3548" s="192" t="s">
        <v>2702</v>
      </c>
      <c r="BN3548" s="55">
        <v>3</v>
      </c>
      <c r="BO3548" s="55">
        <v>3</v>
      </c>
      <c r="BP3548" s="55">
        <v>3</v>
      </c>
      <c r="BQ3548" s="55" t="s">
        <v>141</v>
      </c>
      <c r="GP3548" s="292" t="s">
        <v>7494</v>
      </c>
      <c r="GT3548" s="65">
        <v>6</v>
      </c>
      <c r="GU3548" s="65">
        <v>6.67</v>
      </c>
      <c r="GX3548" s="65" t="s">
        <v>3235</v>
      </c>
    </row>
    <row r="3549" spans="1:206" x14ac:dyDescent="0.25">
      <c r="A3549" s="55">
        <v>3548</v>
      </c>
      <c r="B3549" s="12" t="s">
        <v>7067</v>
      </c>
      <c r="C3549" s="155">
        <v>164</v>
      </c>
      <c r="D3549" s="55" t="s">
        <v>3239</v>
      </c>
      <c r="E3549" s="90" t="s">
        <v>3231</v>
      </c>
      <c r="G3549" s="55" t="s">
        <v>3232</v>
      </c>
      <c r="H3549" s="55">
        <v>2000</v>
      </c>
      <c r="I3549" s="55">
        <v>1995</v>
      </c>
      <c r="J3549" s="55" t="s">
        <v>3233</v>
      </c>
      <c r="K3549" s="55" t="s">
        <v>3242</v>
      </c>
      <c r="L3549" s="55" t="s">
        <v>3108</v>
      </c>
      <c r="M3549" s="90">
        <v>-5.04</v>
      </c>
      <c r="N3549" s="90">
        <v>32.82</v>
      </c>
      <c r="O3549" s="90">
        <v>1235</v>
      </c>
      <c r="R3549" s="55">
        <v>663</v>
      </c>
      <c r="S3549" s="90">
        <v>880</v>
      </c>
      <c r="U3549" s="55" t="s">
        <v>1935</v>
      </c>
      <c r="V3549" s="55" t="s">
        <v>1816</v>
      </c>
      <c r="Y3549" s="55" t="s">
        <v>1920</v>
      </c>
      <c r="Z3549" s="55" t="s">
        <v>1349</v>
      </c>
      <c r="AA3549" s="90" t="s">
        <v>1677</v>
      </c>
      <c r="AN3549" s="185" t="s">
        <v>2692</v>
      </c>
      <c r="AO3549" s="185" t="s">
        <v>5150</v>
      </c>
      <c r="AQ3549" s="55" t="s">
        <v>553</v>
      </c>
      <c r="AR3549" s="55" t="s">
        <v>3234</v>
      </c>
      <c r="AS3549" s="55" t="s">
        <v>5133</v>
      </c>
      <c r="AT3549" s="181" t="s">
        <v>3236</v>
      </c>
      <c r="AU3549" s="181" t="s">
        <v>5150</v>
      </c>
      <c r="AV3549" s="185" t="s">
        <v>176</v>
      </c>
      <c r="AW3549" s="55" t="s">
        <v>3236</v>
      </c>
      <c r="AX3549" s="185" t="s">
        <v>176</v>
      </c>
      <c r="AY3549" s="55" t="s">
        <v>176</v>
      </c>
      <c r="BK3549" s="55" t="s">
        <v>6333</v>
      </c>
      <c r="BM3549" s="192" t="s">
        <v>2702</v>
      </c>
      <c r="BN3549" s="55">
        <v>3</v>
      </c>
      <c r="BO3549" s="55">
        <v>3</v>
      </c>
      <c r="BP3549" s="55">
        <v>3</v>
      </c>
      <c r="BQ3549" s="55" t="s">
        <v>141</v>
      </c>
      <c r="GP3549" s="292" t="s">
        <v>7494</v>
      </c>
      <c r="GT3549" s="65">
        <v>1.33</v>
      </c>
      <c r="GU3549" s="65">
        <v>3.33</v>
      </c>
      <c r="GX3549" s="65" t="s">
        <v>3235</v>
      </c>
    </row>
    <row r="3550" spans="1:206" x14ac:dyDescent="0.25">
      <c r="A3550" s="55">
        <v>3549</v>
      </c>
      <c r="B3550" s="12" t="s">
        <v>7067</v>
      </c>
      <c r="C3550" s="155">
        <v>164</v>
      </c>
      <c r="D3550" s="55" t="s">
        <v>3239</v>
      </c>
      <c r="E3550" s="90" t="s">
        <v>3231</v>
      </c>
      <c r="G3550" s="55" t="s">
        <v>3232</v>
      </c>
      <c r="H3550" s="55">
        <v>2000</v>
      </c>
      <c r="I3550" s="55">
        <v>1996</v>
      </c>
      <c r="J3550" s="55" t="s">
        <v>3233</v>
      </c>
      <c r="K3550" s="55" t="s">
        <v>3242</v>
      </c>
      <c r="L3550" s="55" t="s">
        <v>3108</v>
      </c>
      <c r="M3550" s="90">
        <v>-5.04</v>
      </c>
      <c r="N3550" s="90">
        <v>32.82</v>
      </c>
      <c r="O3550" s="90">
        <v>1235</v>
      </c>
      <c r="R3550" s="55">
        <v>663</v>
      </c>
      <c r="S3550" s="90">
        <v>880</v>
      </c>
      <c r="U3550" s="55" t="s">
        <v>1805</v>
      </c>
      <c r="V3550" s="55" t="s">
        <v>1816</v>
      </c>
      <c r="Y3550" s="55" t="s">
        <v>1920</v>
      </c>
      <c r="Z3550" s="55" t="s">
        <v>1349</v>
      </c>
      <c r="AA3550" s="90" t="s">
        <v>1677</v>
      </c>
      <c r="AN3550" s="185" t="s">
        <v>2692</v>
      </c>
      <c r="AO3550" s="185" t="s">
        <v>5150</v>
      </c>
      <c r="AQ3550" s="55" t="s">
        <v>553</v>
      </c>
      <c r="AR3550" s="55" t="s">
        <v>3234</v>
      </c>
      <c r="AS3550" s="55" t="s">
        <v>5133</v>
      </c>
      <c r="AT3550" s="181" t="s">
        <v>3236</v>
      </c>
      <c r="AU3550" s="181" t="s">
        <v>5150</v>
      </c>
      <c r="AV3550" s="185" t="s">
        <v>176</v>
      </c>
      <c r="AW3550" s="55" t="s">
        <v>3236</v>
      </c>
      <c r="AX3550" s="185" t="s">
        <v>176</v>
      </c>
      <c r="AY3550" s="55" t="s">
        <v>176</v>
      </c>
      <c r="BK3550" s="55" t="s">
        <v>6333</v>
      </c>
      <c r="BM3550" s="192" t="s">
        <v>2702</v>
      </c>
      <c r="BN3550" s="55">
        <v>3</v>
      </c>
      <c r="BO3550" s="55">
        <v>3</v>
      </c>
      <c r="BP3550" s="55">
        <v>3</v>
      </c>
      <c r="BQ3550" s="55" t="s">
        <v>141</v>
      </c>
      <c r="GP3550" s="292" t="s">
        <v>7494</v>
      </c>
      <c r="GT3550" s="65">
        <v>7</v>
      </c>
      <c r="GU3550" s="65">
        <v>7.33</v>
      </c>
      <c r="GX3550" s="65" t="s">
        <v>3235</v>
      </c>
    </row>
    <row r="3551" spans="1:206" x14ac:dyDescent="0.25">
      <c r="A3551" s="55">
        <v>3550</v>
      </c>
      <c r="B3551" s="12" t="s">
        <v>7067</v>
      </c>
      <c r="C3551" s="155">
        <v>164</v>
      </c>
      <c r="D3551" s="55" t="s">
        <v>3239</v>
      </c>
      <c r="E3551" s="90" t="s">
        <v>3231</v>
      </c>
      <c r="G3551" s="55" t="s">
        <v>3232</v>
      </c>
      <c r="H3551" s="55">
        <v>2000</v>
      </c>
      <c r="I3551" s="55">
        <v>1997</v>
      </c>
      <c r="J3551" s="55" t="s">
        <v>3233</v>
      </c>
      <c r="K3551" s="55" t="s">
        <v>3242</v>
      </c>
      <c r="L3551" s="55" t="s">
        <v>3108</v>
      </c>
      <c r="M3551" s="90">
        <v>-5.04</v>
      </c>
      <c r="N3551" s="90">
        <v>32.82</v>
      </c>
      <c r="O3551" s="90">
        <v>1235</v>
      </c>
      <c r="R3551" s="55">
        <v>663</v>
      </c>
      <c r="S3551" s="90">
        <v>880</v>
      </c>
      <c r="U3551" s="55" t="s">
        <v>1688</v>
      </c>
      <c r="V3551" s="55" t="s">
        <v>1816</v>
      </c>
      <c r="Y3551" s="55" t="s">
        <v>1920</v>
      </c>
      <c r="Z3551" s="55" t="s">
        <v>1349</v>
      </c>
      <c r="AA3551" s="90" t="s">
        <v>1677</v>
      </c>
      <c r="AN3551" s="185" t="s">
        <v>2692</v>
      </c>
      <c r="AO3551" s="185" t="s">
        <v>5150</v>
      </c>
      <c r="AQ3551" s="55" t="s">
        <v>553</v>
      </c>
      <c r="AR3551" s="55" t="s">
        <v>3234</v>
      </c>
      <c r="AS3551" s="55" t="s">
        <v>5133</v>
      </c>
      <c r="AT3551" s="181" t="s">
        <v>3236</v>
      </c>
      <c r="AU3551" s="181" t="s">
        <v>5150</v>
      </c>
      <c r="AV3551" s="185" t="s">
        <v>176</v>
      </c>
      <c r="AW3551" s="55" t="s">
        <v>3236</v>
      </c>
      <c r="AX3551" s="185" t="s">
        <v>176</v>
      </c>
      <c r="AY3551" s="55" t="s">
        <v>176</v>
      </c>
      <c r="BK3551" s="55" t="s">
        <v>6333</v>
      </c>
      <c r="BM3551" s="192" t="s">
        <v>2702</v>
      </c>
      <c r="BN3551" s="55">
        <v>3</v>
      </c>
      <c r="BO3551" s="55">
        <v>3</v>
      </c>
      <c r="BP3551" s="55">
        <v>3</v>
      </c>
      <c r="BQ3551" s="55" t="s">
        <v>141</v>
      </c>
      <c r="GP3551" s="292" t="s">
        <v>7494</v>
      </c>
      <c r="GT3551" s="65">
        <v>7.67</v>
      </c>
      <c r="GU3551" s="65">
        <v>7.33</v>
      </c>
      <c r="GX3551" s="65" t="s">
        <v>3235</v>
      </c>
    </row>
    <row r="3552" spans="1:206" x14ac:dyDescent="0.25">
      <c r="A3552" s="55">
        <v>3551</v>
      </c>
      <c r="B3552" s="12" t="s">
        <v>7067</v>
      </c>
      <c r="C3552" s="155">
        <v>164</v>
      </c>
      <c r="D3552" s="55" t="s">
        <v>3239</v>
      </c>
      <c r="E3552" s="90" t="s">
        <v>3231</v>
      </c>
      <c r="G3552" s="55" t="s">
        <v>3232</v>
      </c>
      <c r="H3552" s="55">
        <v>2000</v>
      </c>
      <c r="I3552" s="55">
        <v>1995</v>
      </c>
      <c r="J3552" s="55" t="s">
        <v>3233</v>
      </c>
      <c r="K3552" s="55" t="s">
        <v>3242</v>
      </c>
      <c r="L3552" s="55" t="s">
        <v>3108</v>
      </c>
      <c r="M3552" s="90">
        <v>-5.04</v>
      </c>
      <c r="N3552" s="90">
        <v>32.82</v>
      </c>
      <c r="O3552" s="90">
        <v>1235</v>
      </c>
      <c r="R3552" s="55">
        <v>663</v>
      </c>
      <c r="S3552" s="90">
        <v>880</v>
      </c>
      <c r="U3552" s="55" t="s">
        <v>1935</v>
      </c>
      <c r="V3552" s="55" t="s">
        <v>1816</v>
      </c>
      <c r="Y3552" s="55" t="s">
        <v>1920</v>
      </c>
      <c r="Z3552" s="55" t="s">
        <v>1349</v>
      </c>
      <c r="AA3552" s="90" t="s">
        <v>1677</v>
      </c>
      <c r="AN3552" s="185" t="s">
        <v>2692</v>
      </c>
      <c r="AO3552" s="185" t="s">
        <v>5150</v>
      </c>
      <c r="AQ3552" s="55" t="s">
        <v>553</v>
      </c>
      <c r="AR3552" s="55" t="s">
        <v>1607</v>
      </c>
      <c r="AS3552" s="55" t="s">
        <v>132</v>
      </c>
      <c r="AT3552" s="181" t="s">
        <v>3237</v>
      </c>
      <c r="AU3552" s="181" t="s">
        <v>5150</v>
      </c>
      <c r="AV3552" s="185" t="s">
        <v>176</v>
      </c>
      <c r="AW3552" s="55" t="s">
        <v>3237</v>
      </c>
      <c r="AX3552" s="185" t="s">
        <v>176</v>
      </c>
      <c r="AY3552" s="55" t="s">
        <v>176</v>
      </c>
      <c r="BK3552" s="55" t="s">
        <v>6333</v>
      </c>
      <c r="BM3552" s="192" t="s">
        <v>2702</v>
      </c>
      <c r="BN3552" s="55">
        <v>3</v>
      </c>
      <c r="BO3552" s="55">
        <v>3</v>
      </c>
      <c r="BP3552" s="55">
        <v>3</v>
      </c>
      <c r="BQ3552" s="55" t="s">
        <v>141</v>
      </c>
      <c r="GP3552" s="292" t="s">
        <v>7494</v>
      </c>
      <c r="GT3552" s="65">
        <v>0.01</v>
      </c>
      <c r="GU3552" s="65">
        <v>0.33</v>
      </c>
      <c r="GX3552" s="65" t="s">
        <v>3235</v>
      </c>
    </row>
    <row r="3553" spans="1:206" x14ac:dyDescent="0.25">
      <c r="A3553" s="55">
        <v>3552</v>
      </c>
      <c r="B3553" s="12" t="s">
        <v>7067</v>
      </c>
      <c r="C3553" s="155">
        <v>164</v>
      </c>
      <c r="D3553" s="55" t="s">
        <v>3239</v>
      </c>
      <c r="E3553" s="90" t="s">
        <v>3231</v>
      </c>
      <c r="G3553" s="55" t="s">
        <v>3232</v>
      </c>
      <c r="H3553" s="55">
        <v>2000</v>
      </c>
      <c r="I3553" s="55">
        <v>1996</v>
      </c>
      <c r="J3553" s="55" t="s">
        <v>3233</v>
      </c>
      <c r="K3553" s="55" t="s">
        <v>3242</v>
      </c>
      <c r="L3553" s="55" t="s">
        <v>3108</v>
      </c>
      <c r="M3553" s="90">
        <v>-5.04</v>
      </c>
      <c r="N3553" s="90">
        <v>32.82</v>
      </c>
      <c r="O3553" s="90">
        <v>1235</v>
      </c>
      <c r="R3553" s="55">
        <v>663</v>
      </c>
      <c r="S3553" s="90">
        <v>880</v>
      </c>
      <c r="U3553" s="55" t="s">
        <v>1805</v>
      </c>
      <c r="V3553" s="55" t="s">
        <v>1816</v>
      </c>
      <c r="Y3553" s="55" t="s">
        <v>1920</v>
      </c>
      <c r="Z3553" s="55" t="s">
        <v>1349</v>
      </c>
      <c r="AA3553" s="90" t="s">
        <v>1677</v>
      </c>
      <c r="AN3553" s="185" t="s">
        <v>2692</v>
      </c>
      <c r="AO3553" s="185" t="s">
        <v>5150</v>
      </c>
      <c r="AQ3553" s="55" t="s">
        <v>553</v>
      </c>
      <c r="AR3553" s="55" t="s">
        <v>1607</v>
      </c>
      <c r="AS3553" s="55" t="s">
        <v>132</v>
      </c>
      <c r="AT3553" s="181" t="s">
        <v>3237</v>
      </c>
      <c r="AU3553" s="181" t="s">
        <v>5150</v>
      </c>
      <c r="AV3553" s="185" t="s">
        <v>176</v>
      </c>
      <c r="AW3553" s="55" t="s">
        <v>3237</v>
      </c>
      <c r="AX3553" s="185" t="s">
        <v>176</v>
      </c>
      <c r="AY3553" s="55" t="s">
        <v>176</v>
      </c>
      <c r="BK3553" s="55" t="s">
        <v>6333</v>
      </c>
      <c r="BM3553" s="192" t="s">
        <v>2702</v>
      </c>
      <c r="BN3553" s="55">
        <v>3</v>
      </c>
      <c r="BO3553" s="55">
        <v>3</v>
      </c>
      <c r="BP3553" s="55">
        <v>3</v>
      </c>
      <c r="BQ3553" s="55" t="s">
        <v>141</v>
      </c>
      <c r="BW3553" s="65">
        <v>4071</v>
      </c>
      <c r="BX3553" s="65">
        <v>2806</v>
      </c>
      <c r="CA3553" s="65" t="s">
        <v>2861</v>
      </c>
      <c r="CB3553" s="66">
        <v>1239</v>
      </c>
      <c r="CC3553" s="66">
        <v>965</v>
      </c>
      <c r="GP3553" s="292" t="s">
        <v>7494</v>
      </c>
      <c r="GT3553" s="65">
        <v>1.67</v>
      </c>
      <c r="GU3553" s="65">
        <v>1.67</v>
      </c>
      <c r="GX3553" s="65" t="s">
        <v>3235</v>
      </c>
    </row>
    <row r="3554" spans="1:206" x14ac:dyDescent="0.25">
      <c r="A3554" s="55">
        <v>3553</v>
      </c>
      <c r="B3554" s="12" t="s">
        <v>7067</v>
      </c>
      <c r="C3554" s="155">
        <v>164</v>
      </c>
      <c r="D3554" s="55" t="s">
        <v>3239</v>
      </c>
      <c r="E3554" s="90" t="s">
        <v>3231</v>
      </c>
      <c r="G3554" s="55" t="s">
        <v>3232</v>
      </c>
      <c r="H3554" s="55">
        <v>2000</v>
      </c>
      <c r="I3554" s="55">
        <v>1997</v>
      </c>
      <c r="J3554" s="55" t="s">
        <v>3233</v>
      </c>
      <c r="K3554" s="55" t="s">
        <v>3242</v>
      </c>
      <c r="L3554" s="55" t="s">
        <v>3108</v>
      </c>
      <c r="M3554" s="90">
        <v>-5.04</v>
      </c>
      <c r="N3554" s="90">
        <v>32.82</v>
      </c>
      <c r="O3554" s="90">
        <v>1235</v>
      </c>
      <c r="R3554" s="55">
        <v>663</v>
      </c>
      <c r="S3554" s="90">
        <v>880</v>
      </c>
      <c r="U3554" s="55" t="s">
        <v>1688</v>
      </c>
      <c r="V3554" s="55" t="s">
        <v>1816</v>
      </c>
      <c r="Y3554" s="55" t="s">
        <v>1920</v>
      </c>
      <c r="Z3554" s="55" t="s">
        <v>1349</v>
      </c>
      <c r="AA3554" s="90" t="s">
        <v>1677</v>
      </c>
      <c r="AN3554" s="185" t="s">
        <v>2692</v>
      </c>
      <c r="AO3554" s="185" t="s">
        <v>5150</v>
      </c>
      <c r="AQ3554" s="55" t="s">
        <v>553</v>
      </c>
      <c r="AR3554" s="55" t="s">
        <v>1607</v>
      </c>
      <c r="AS3554" s="55" t="s">
        <v>132</v>
      </c>
      <c r="AT3554" s="181" t="s">
        <v>3237</v>
      </c>
      <c r="AU3554" s="181" t="s">
        <v>5150</v>
      </c>
      <c r="AV3554" s="185" t="s">
        <v>176</v>
      </c>
      <c r="AW3554" s="55" t="s">
        <v>3237</v>
      </c>
      <c r="AX3554" s="185" t="s">
        <v>176</v>
      </c>
      <c r="AY3554" s="55" t="s">
        <v>176</v>
      </c>
      <c r="BK3554" s="55" t="s">
        <v>6333</v>
      </c>
      <c r="BM3554" s="192" t="s">
        <v>2702</v>
      </c>
      <c r="BN3554" s="55">
        <v>3</v>
      </c>
      <c r="BO3554" s="55">
        <v>3</v>
      </c>
      <c r="BP3554" s="55">
        <v>3</v>
      </c>
      <c r="BQ3554" s="55" t="s">
        <v>141</v>
      </c>
      <c r="GP3554" s="292" t="s">
        <v>7494</v>
      </c>
      <c r="GT3554" s="65">
        <v>4</v>
      </c>
      <c r="GU3554" s="65">
        <v>3.67</v>
      </c>
      <c r="GX3554" s="65" t="s">
        <v>3235</v>
      </c>
    </row>
    <row r="3555" spans="1:206" x14ac:dyDescent="0.25">
      <c r="A3555" s="55">
        <v>3554</v>
      </c>
      <c r="B3555" s="12" t="s">
        <v>7067</v>
      </c>
      <c r="C3555" s="155">
        <v>164</v>
      </c>
      <c r="D3555" s="55" t="s">
        <v>3239</v>
      </c>
      <c r="E3555" s="90" t="s">
        <v>3231</v>
      </c>
      <c r="G3555" s="55" t="s">
        <v>3232</v>
      </c>
      <c r="H3555" s="55">
        <v>2000</v>
      </c>
      <c r="I3555" s="55">
        <v>1995</v>
      </c>
      <c r="J3555" s="55" t="s">
        <v>3233</v>
      </c>
      <c r="K3555" s="55" t="s">
        <v>3242</v>
      </c>
      <c r="L3555" s="55" t="s">
        <v>3108</v>
      </c>
      <c r="M3555" s="90">
        <v>-5.04</v>
      </c>
      <c r="N3555" s="90">
        <v>32.82</v>
      </c>
      <c r="O3555" s="90">
        <v>1235</v>
      </c>
      <c r="R3555" s="55">
        <v>663</v>
      </c>
      <c r="S3555" s="90">
        <v>880</v>
      </c>
      <c r="U3555" s="55" t="s">
        <v>1935</v>
      </c>
      <c r="V3555" s="55" t="s">
        <v>1816</v>
      </c>
      <c r="Y3555" s="55" t="s">
        <v>1920</v>
      </c>
      <c r="Z3555" s="55" t="s">
        <v>1349</v>
      </c>
      <c r="AA3555" s="90" t="s">
        <v>1677</v>
      </c>
      <c r="AN3555" s="185" t="s">
        <v>2692</v>
      </c>
      <c r="AO3555" s="185" t="s">
        <v>5150</v>
      </c>
      <c r="AQ3555" s="55" t="s">
        <v>553</v>
      </c>
      <c r="AR3555" s="55" t="s">
        <v>1607</v>
      </c>
      <c r="AS3555" s="55" t="s">
        <v>132</v>
      </c>
      <c r="AT3555" s="181" t="s">
        <v>3237</v>
      </c>
      <c r="AU3555" s="181" t="s">
        <v>5150</v>
      </c>
      <c r="AV3555" s="185" t="s">
        <v>176</v>
      </c>
      <c r="AW3555" s="55" t="s">
        <v>3237</v>
      </c>
      <c r="AX3555" s="185" t="s">
        <v>176</v>
      </c>
      <c r="AY3555" s="55" t="s">
        <v>176</v>
      </c>
      <c r="BK3555" s="55" t="s">
        <v>6333</v>
      </c>
      <c r="BM3555" s="192" t="s">
        <v>2702</v>
      </c>
      <c r="BN3555" s="55">
        <v>3</v>
      </c>
      <c r="BO3555" s="55">
        <v>3</v>
      </c>
      <c r="BP3555" s="55">
        <v>3</v>
      </c>
      <c r="BQ3555" s="55" t="s">
        <v>141</v>
      </c>
      <c r="GP3555" s="292" t="s">
        <v>7494</v>
      </c>
      <c r="GT3555" s="65">
        <v>1.67</v>
      </c>
      <c r="GU3555" s="65">
        <v>2.33</v>
      </c>
      <c r="GX3555" s="65" t="s">
        <v>3235</v>
      </c>
    </row>
    <row r="3556" spans="1:206" x14ac:dyDescent="0.25">
      <c r="A3556" s="55">
        <v>3555</v>
      </c>
      <c r="B3556" s="12" t="s">
        <v>7067</v>
      </c>
      <c r="C3556" s="155">
        <v>164</v>
      </c>
      <c r="D3556" s="55" t="s">
        <v>3239</v>
      </c>
      <c r="E3556" s="90" t="s">
        <v>3231</v>
      </c>
      <c r="G3556" s="55" t="s">
        <v>3232</v>
      </c>
      <c r="H3556" s="55">
        <v>2000</v>
      </c>
      <c r="I3556" s="55">
        <v>1996</v>
      </c>
      <c r="J3556" s="55" t="s">
        <v>3233</v>
      </c>
      <c r="K3556" s="55" t="s">
        <v>3242</v>
      </c>
      <c r="L3556" s="55" t="s">
        <v>3108</v>
      </c>
      <c r="M3556" s="90">
        <v>-5.04</v>
      </c>
      <c r="N3556" s="90">
        <v>32.82</v>
      </c>
      <c r="O3556" s="90">
        <v>1235</v>
      </c>
      <c r="R3556" s="55">
        <v>663</v>
      </c>
      <c r="S3556" s="90">
        <v>880</v>
      </c>
      <c r="U3556" s="55" t="s">
        <v>1805</v>
      </c>
      <c r="V3556" s="55" t="s">
        <v>1816</v>
      </c>
      <c r="Y3556" s="55" t="s">
        <v>1920</v>
      </c>
      <c r="Z3556" s="55" t="s">
        <v>1349</v>
      </c>
      <c r="AA3556" s="90" t="s">
        <v>1677</v>
      </c>
      <c r="AN3556" s="185" t="s">
        <v>2692</v>
      </c>
      <c r="AO3556" s="185" t="s">
        <v>5150</v>
      </c>
      <c r="AQ3556" s="55" t="s">
        <v>553</v>
      </c>
      <c r="AR3556" s="55" t="s">
        <v>1607</v>
      </c>
      <c r="AS3556" s="55" t="s">
        <v>132</v>
      </c>
      <c r="AT3556" s="181" t="s">
        <v>3237</v>
      </c>
      <c r="AU3556" s="181" t="s">
        <v>5150</v>
      </c>
      <c r="AV3556" s="185" t="s">
        <v>176</v>
      </c>
      <c r="AW3556" s="55" t="s">
        <v>3237</v>
      </c>
      <c r="AX3556" s="185" t="s">
        <v>176</v>
      </c>
      <c r="AY3556" s="55" t="s">
        <v>176</v>
      </c>
      <c r="BK3556" s="55" t="s">
        <v>6333</v>
      </c>
      <c r="BM3556" s="192" t="s">
        <v>2702</v>
      </c>
      <c r="BN3556" s="55">
        <v>3</v>
      </c>
      <c r="BO3556" s="55">
        <v>3</v>
      </c>
      <c r="BP3556" s="55">
        <v>3</v>
      </c>
      <c r="BQ3556" s="55" t="s">
        <v>141</v>
      </c>
      <c r="GP3556" s="292" t="s">
        <v>7494</v>
      </c>
      <c r="GT3556" s="65">
        <v>1.67</v>
      </c>
      <c r="GU3556" s="65">
        <v>3.33</v>
      </c>
      <c r="GX3556" s="65" t="s">
        <v>3235</v>
      </c>
    </row>
    <row r="3557" spans="1:206" x14ac:dyDescent="0.25">
      <c r="A3557" s="55">
        <v>3556</v>
      </c>
      <c r="B3557" s="12" t="s">
        <v>7067</v>
      </c>
      <c r="C3557" s="155">
        <v>164</v>
      </c>
      <c r="D3557" s="55" t="s">
        <v>3239</v>
      </c>
      <c r="E3557" s="90" t="s">
        <v>3231</v>
      </c>
      <c r="G3557" s="55" t="s">
        <v>3232</v>
      </c>
      <c r="H3557" s="55">
        <v>2000</v>
      </c>
      <c r="I3557" s="55">
        <v>1997</v>
      </c>
      <c r="J3557" s="55" t="s">
        <v>3233</v>
      </c>
      <c r="K3557" s="55" t="s">
        <v>3242</v>
      </c>
      <c r="L3557" s="55" t="s">
        <v>3108</v>
      </c>
      <c r="M3557" s="90">
        <v>-5.04</v>
      </c>
      <c r="N3557" s="90">
        <v>32.82</v>
      </c>
      <c r="O3557" s="90">
        <v>1235</v>
      </c>
      <c r="R3557" s="55">
        <v>663</v>
      </c>
      <c r="S3557" s="90">
        <v>880</v>
      </c>
      <c r="U3557" s="55" t="s">
        <v>1688</v>
      </c>
      <c r="V3557" s="55" t="s">
        <v>1816</v>
      </c>
      <c r="Y3557" s="55" t="s">
        <v>1920</v>
      </c>
      <c r="Z3557" s="55" t="s">
        <v>1349</v>
      </c>
      <c r="AA3557" s="90" t="s">
        <v>1677</v>
      </c>
      <c r="AN3557" s="185" t="s">
        <v>2692</v>
      </c>
      <c r="AO3557" s="185" t="s">
        <v>5150</v>
      </c>
      <c r="AQ3557" s="55" t="s">
        <v>553</v>
      </c>
      <c r="AR3557" s="55" t="s">
        <v>1607</v>
      </c>
      <c r="AS3557" s="55" t="s">
        <v>132</v>
      </c>
      <c r="AT3557" s="181" t="s">
        <v>3237</v>
      </c>
      <c r="AU3557" s="181" t="s">
        <v>5150</v>
      </c>
      <c r="AV3557" s="185" t="s">
        <v>176</v>
      </c>
      <c r="AW3557" s="55" t="s">
        <v>3237</v>
      </c>
      <c r="AX3557" s="185" t="s">
        <v>176</v>
      </c>
      <c r="AY3557" s="55" t="s">
        <v>176</v>
      </c>
      <c r="BK3557" s="55" t="s">
        <v>6333</v>
      </c>
      <c r="BM3557" s="192" t="s">
        <v>2702</v>
      </c>
      <c r="BN3557" s="55">
        <v>3</v>
      </c>
      <c r="BO3557" s="55">
        <v>3</v>
      </c>
      <c r="BP3557" s="55">
        <v>3</v>
      </c>
      <c r="BQ3557" s="55" t="s">
        <v>141</v>
      </c>
      <c r="GP3557" s="292" t="s">
        <v>7494</v>
      </c>
      <c r="GT3557" s="65">
        <v>4</v>
      </c>
      <c r="GU3557" s="65">
        <v>5.33</v>
      </c>
      <c r="GX3557" s="65" t="s">
        <v>3235</v>
      </c>
    </row>
    <row r="3558" spans="1:206" x14ac:dyDescent="0.25">
      <c r="A3558" s="55">
        <v>3557</v>
      </c>
      <c r="B3558" s="12" t="s">
        <v>7067</v>
      </c>
      <c r="C3558" s="155">
        <v>164</v>
      </c>
      <c r="D3558" s="55" t="s">
        <v>3239</v>
      </c>
      <c r="E3558" s="90" t="s">
        <v>3231</v>
      </c>
      <c r="G3558" s="55" t="s">
        <v>3232</v>
      </c>
      <c r="H3558" s="55">
        <v>2000</v>
      </c>
      <c r="I3558" s="55">
        <v>1995</v>
      </c>
      <c r="J3558" s="55" t="s">
        <v>3233</v>
      </c>
      <c r="K3558" s="55" t="s">
        <v>3242</v>
      </c>
      <c r="L3558" s="55" t="s">
        <v>3108</v>
      </c>
      <c r="M3558" s="90">
        <v>-5.04</v>
      </c>
      <c r="N3558" s="90">
        <v>32.82</v>
      </c>
      <c r="O3558" s="90">
        <v>1235</v>
      </c>
      <c r="R3558" s="55">
        <v>663</v>
      </c>
      <c r="S3558" s="90">
        <v>880</v>
      </c>
      <c r="U3558" s="55" t="s">
        <v>1935</v>
      </c>
      <c r="V3558" s="55" t="s">
        <v>1816</v>
      </c>
      <c r="Y3558" s="55" t="s">
        <v>1920</v>
      </c>
      <c r="Z3558" s="55" t="s">
        <v>1349</v>
      </c>
      <c r="AA3558" s="90" t="s">
        <v>1677</v>
      </c>
      <c r="AN3558" s="185" t="s">
        <v>2692</v>
      </c>
      <c r="AO3558" s="185" t="s">
        <v>5150</v>
      </c>
      <c r="AQ3558" s="55" t="s">
        <v>553</v>
      </c>
      <c r="AR3558" s="55" t="s">
        <v>1607</v>
      </c>
      <c r="AS3558" s="55" t="s">
        <v>132</v>
      </c>
      <c r="AT3558" s="181" t="s">
        <v>3237</v>
      </c>
      <c r="AU3558" s="181" t="s">
        <v>5150</v>
      </c>
      <c r="AV3558" s="185" t="s">
        <v>176</v>
      </c>
      <c r="AW3558" s="55" t="s">
        <v>3237</v>
      </c>
      <c r="AX3558" s="185" t="s">
        <v>176</v>
      </c>
      <c r="AY3558" s="55" t="s">
        <v>176</v>
      </c>
      <c r="BK3558" s="55" t="s">
        <v>6333</v>
      </c>
      <c r="BM3558" s="192" t="s">
        <v>2702</v>
      </c>
      <c r="BN3558" s="55">
        <v>3</v>
      </c>
      <c r="BO3558" s="55">
        <v>3</v>
      </c>
      <c r="BP3558" s="55">
        <v>3</v>
      </c>
      <c r="BQ3558" s="55" t="s">
        <v>141</v>
      </c>
      <c r="GP3558" s="292" t="s">
        <v>7494</v>
      </c>
      <c r="GT3558" s="65">
        <v>2.33</v>
      </c>
      <c r="GU3558" s="65">
        <v>2.67</v>
      </c>
      <c r="GX3558" s="65" t="s">
        <v>3235</v>
      </c>
    </row>
    <row r="3559" spans="1:206" x14ac:dyDescent="0.25">
      <c r="A3559" s="55">
        <v>3558</v>
      </c>
      <c r="B3559" s="12" t="s">
        <v>7067</v>
      </c>
      <c r="C3559" s="155">
        <v>164</v>
      </c>
      <c r="D3559" s="55" t="s">
        <v>3239</v>
      </c>
      <c r="E3559" s="90" t="s">
        <v>3231</v>
      </c>
      <c r="G3559" s="55" t="s">
        <v>3232</v>
      </c>
      <c r="H3559" s="55">
        <v>2000</v>
      </c>
      <c r="I3559" s="55">
        <v>1996</v>
      </c>
      <c r="J3559" s="55" t="s">
        <v>3233</v>
      </c>
      <c r="K3559" s="55" t="s">
        <v>3242</v>
      </c>
      <c r="L3559" s="55" t="s">
        <v>3108</v>
      </c>
      <c r="M3559" s="90">
        <v>-5.04</v>
      </c>
      <c r="N3559" s="90">
        <v>32.82</v>
      </c>
      <c r="O3559" s="90">
        <v>1235</v>
      </c>
      <c r="R3559" s="55">
        <v>663</v>
      </c>
      <c r="S3559" s="90">
        <v>880</v>
      </c>
      <c r="U3559" s="55" t="s">
        <v>1805</v>
      </c>
      <c r="V3559" s="55" t="s">
        <v>1816</v>
      </c>
      <c r="Y3559" s="55" t="s">
        <v>1920</v>
      </c>
      <c r="Z3559" s="55" t="s">
        <v>1349</v>
      </c>
      <c r="AA3559" s="90" t="s">
        <v>1677</v>
      </c>
      <c r="AN3559" s="185" t="s">
        <v>2692</v>
      </c>
      <c r="AO3559" s="185" t="s">
        <v>5150</v>
      </c>
      <c r="AQ3559" s="55" t="s">
        <v>553</v>
      </c>
      <c r="AR3559" s="55" t="s">
        <v>1607</v>
      </c>
      <c r="AS3559" s="55" t="s">
        <v>132</v>
      </c>
      <c r="AT3559" s="181" t="s">
        <v>3237</v>
      </c>
      <c r="AU3559" s="181" t="s">
        <v>5150</v>
      </c>
      <c r="AV3559" s="185" t="s">
        <v>176</v>
      </c>
      <c r="AW3559" s="55" t="s">
        <v>3237</v>
      </c>
      <c r="AX3559" s="185" t="s">
        <v>176</v>
      </c>
      <c r="AY3559" s="55" t="s">
        <v>176</v>
      </c>
      <c r="BK3559" s="55" t="s">
        <v>6333</v>
      </c>
      <c r="BM3559" s="192" t="s">
        <v>2702</v>
      </c>
      <c r="BN3559" s="55">
        <v>3</v>
      </c>
      <c r="BO3559" s="55">
        <v>3</v>
      </c>
      <c r="BP3559" s="55">
        <v>3</v>
      </c>
      <c r="BQ3559" s="55" t="s">
        <v>141</v>
      </c>
      <c r="GP3559" s="292" t="s">
        <v>7494</v>
      </c>
      <c r="GT3559" s="65">
        <v>2</v>
      </c>
      <c r="GU3559" s="65">
        <v>3.33</v>
      </c>
      <c r="GX3559" s="65" t="s">
        <v>3235</v>
      </c>
    </row>
    <row r="3560" spans="1:206" x14ac:dyDescent="0.25">
      <c r="A3560" s="55">
        <v>3559</v>
      </c>
      <c r="B3560" s="12" t="s">
        <v>7067</v>
      </c>
      <c r="C3560" s="155">
        <v>164</v>
      </c>
      <c r="D3560" s="55" t="s">
        <v>3239</v>
      </c>
      <c r="E3560" s="90" t="s">
        <v>3231</v>
      </c>
      <c r="G3560" s="55" t="s">
        <v>3232</v>
      </c>
      <c r="H3560" s="55">
        <v>2000</v>
      </c>
      <c r="I3560" s="55">
        <v>1997</v>
      </c>
      <c r="J3560" s="55" t="s">
        <v>3233</v>
      </c>
      <c r="K3560" s="55" t="s">
        <v>3242</v>
      </c>
      <c r="L3560" s="55" t="s">
        <v>3108</v>
      </c>
      <c r="M3560" s="90">
        <v>-5.04</v>
      </c>
      <c r="N3560" s="90">
        <v>32.82</v>
      </c>
      <c r="O3560" s="90">
        <v>1235</v>
      </c>
      <c r="R3560" s="55">
        <v>663</v>
      </c>
      <c r="S3560" s="90">
        <v>880</v>
      </c>
      <c r="U3560" s="55" t="s">
        <v>1688</v>
      </c>
      <c r="V3560" s="55" t="s">
        <v>1816</v>
      </c>
      <c r="Y3560" s="55" t="s">
        <v>1920</v>
      </c>
      <c r="Z3560" s="55" t="s">
        <v>1349</v>
      </c>
      <c r="AA3560" s="90" t="s">
        <v>1677</v>
      </c>
      <c r="AN3560" s="185" t="s">
        <v>2692</v>
      </c>
      <c r="AO3560" s="185" t="s">
        <v>5150</v>
      </c>
      <c r="AQ3560" s="55" t="s">
        <v>553</v>
      </c>
      <c r="AR3560" s="55" t="s">
        <v>1607</v>
      </c>
      <c r="AS3560" s="55" t="s">
        <v>132</v>
      </c>
      <c r="AT3560" s="181" t="s">
        <v>3237</v>
      </c>
      <c r="AU3560" s="181" t="s">
        <v>5150</v>
      </c>
      <c r="AV3560" s="185" t="s">
        <v>176</v>
      </c>
      <c r="AW3560" s="55" t="s">
        <v>3237</v>
      </c>
      <c r="AX3560" s="185" t="s">
        <v>176</v>
      </c>
      <c r="AY3560" s="55" t="s">
        <v>176</v>
      </c>
      <c r="BK3560" s="55" t="s">
        <v>6333</v>
      </c>
      <c r="BM3560" s="192" t="s">
        <v>2702</v>
      </c>
      <c r="BN3560" s="55">
        <v>3</v>
      </c>
      <c r="BO3560" s="55">
        <v>3</v>
      </c>
      <c r="BP3560" s="55">
        <v>3</v>
      </c>
      <c r="BQ3560" s="55" t="s">
        <v>141</v>
      </c>
      <c r="GP3560" s="292" t="s">
        <v>7494</v>
      </c>
      <c r="GT3560" s="65">
        <v>4.33</v>
      </c>
      <c r="GU3560" s="65">
        <v>6</v>
      </c>
      <c r="GX3560" s="65" t="s">
        <v>3235</v>
      </c>
    </row>
    <row r="3561" spans="1:206" x14ac:dyDescent="0.25">
      <c r="A3561" s="55">
        <v>3560</v>
      </c>
      <c r="B3561" s="12" t="s">
        <v>7067</v>
      </c>
      <c r="C3561" s="155">
        <v>164</v>
      </c>
      <c r="D3561" s="55" t="s">
        <v>3239</v>
      </c>
      <c r="E3561" s="90" t="s">
        <v>3231</v>
      </c>
      <c r="G3561" s="55" t="s">
        <v>3232</v>
      </c>
      <c r="H3561" s="55">
        <v>2000</v>
      </c>
      <c r="I3561" s="55">
        <v>1995</v>
      </c>
      <c r="J3561" s="55" t="s">
        <v>3233</v>
      </c>
      <c r="K3561" s="55" t="s">
        <v>3242</v>
      </c>
      <c r="L3561" s="55" t="s">
        <v>3108</v>
      </c>
      <c r="M3561" s="90">
        <v>-5.04</v>
      </c>
      <c r="N3561" s="90">
        <v>32.82</v>
      </c>
      <c r="O3561" s="90">
        <v>1235</v>
      </c>
      <c r="R3561" s="55">
        <v>663</v>
      </c>
      <c r="S3561" s="90">
        <v>880</v>
      </c>
      <c r="U3561" s="55" t="s">
        <v>1935</v>
      </c>
      <c r="V3561" s="55" t="s">
        <v>1816</v>
      </c>
      <c r="Y3561" s="55" t="s">
        <v>1920</v>
      </c>
      <c r="Z3561" s="55" t="s">
        <v>1349</v>
      </c>
      <c r="AA3561" s="90" t="s">
        <v>1677</v>
      </c>
      <c r="AN3561" s="185" t="s">
        <v>2692</v>
      </c>
      <c r="AO3561" s="185" t="s">
        <v>5150</v>
      </c>
      <c r="AQ3561" s="55" t="s">
        <v>553</v>
      </c>
      <c r="AR3561" s="55" t="s">
        <v>3234</v>
      </c>
      <c r="AS3561" s="55" t="s">
        <v>5133</v>
      </c>
      <c r="AT3561" s="181" t="s">
        <v>3234</v>
      </c>
      <c r="AU3561" s="181" t="s">
        <v>5150</v>
      </c>
      <c r="AV3561" s="185" t="s">
        <v>176</v>
      </c>
      <c r="AW3561" s="55" t="s">
        <v>3234</v>
      </c>
      <c r="AX3561" s="185" t="s">
        <v>176</v>
      </c>
      <c r="AY3561" s="55" t="s">
        <v>176</v>
      </c>
      <c r="BK3561" s="55" t="s">
        <v>6333</v>
      </c>
      <c r="BM3561" s="192" t="s">
        <v>2702</v>
      </c>
      <c r="BN3561" s="55">
        <v>3</v>
      </c>
      <c r="BO3561" s="55">
        <v>3</v>
      </c>
      <c r="BP3561" s="55">
        <v>3</v>
      </c>
      <c r="BQ3561" s="55" t="s">
        <v>141</v>
      </c>
      <c r="GP3561" s="292" t="s">
        <v>7494</v>
      </c>
      <c r="GT3561" s="65">
        <v>0.01</v>
      </c>
      <c r="GU3561" s="65">
        <v>0.33</v>
      </c>
      <c r="GX3561" s="65" t="s">
        <v>3235</v>
      </c>
    </row>
    <row r="3562" spans="1:206" x14ac:dyDescent="0.25">
      <c r="A3562" s="55">
        <v>3561</v>
      </c>
      <c r="B3562" s="12" t="s">
        <v>7067</v>
      </c>
      <c r="C3562" s="155">
        <v>164</v>
      </c>
      <c r="D3562" s="55" t="s">
        <v>3239</v>
      </c>
      <c r="E3562" s="90" t="s">
        <v>3231</v>
      </c>
      <c r="G3562" s="55" t="s">
        <v>3232</v>
      </c>
      <c r="H3562" s="55">
        <v>2000</v>
      </c>
      <c r="I3562" s="55">
        <v>1996</v>
      </c>
      <c r="J3562" s="55" t="s">
        <v>3233</v>
      </c>
      <c r="K3562" s="55" t="s">
        <v>3242</v>
      </c>
      <c r="L3562" s="55" t="s">
        <v>3108</v>
      </c>
      <c r="M3562" s="90">
        <v>-5.04</v>
      </c>
      <c r="N3562" s="90">
        <v>32.82</v>
      </c>
      <c r="O3562" s="90">
        <v>1235</v>
      </c>
      <c r="R3562" s="55">
        <v>663</v>
      </c>
      <c r="S3562" s="90">
        <v>880</v>
      </c>
      <c r="U3562" s="55" t="s">
        <v>1805</v>
      </c>
      <c r="V3562" s="55" t="s">
        <v>1816</v>
      </c>
      <c r="Y3562" s="55" t="s">
        <v>1920</v>
      </c>
      <c r="Z3562" s="55" t="s">
        <v>1349</v>
      </c>
      <c r="AA3562" s="90" t="s">
        <v>1677</v>
      </c>
      <c r="AN3562" s="185" t="s">
        <v>2692</v>
      </c>
      <c r="AO3562" s="185" t="s">
        <v>5150</v>
      </c>
      <c r="AQ3562" s="55" t="s">
        <v>553</v>
      </c>
      <c r="AR3562" s="55" t="s">
        <v>3234</v>
      </c>
      <c r="AS3562" s="55" t="s">
        <v>5133</v>
      </c>
      <c r="AT3562" s="181" t="s">
        <v>3234</v>
      </c>
      <c r="AU3562" s="181" t="s">
        <v>5150</v>
      </c>
      <c r="AV3562" s="185" t="s">
        <v>176</v>
      </c>
      <c r="AW3562" s="55" t="s">
        <v>3234</v>
      </c>
      <c r="AX3562" s="185" t="s">
        <v>176</v>
      </c>
      <c r="AY3562" s="55" t="s">
        <v>176</v>
      </c>
      <c r="BK3562" s="55" t="s">
        <v>6333</v>
      </c>
      <c r="BM3562" s="192" t="s">
        <v>2702</v>
      </c>
      <c r="BN3562" s="55">
        <v>3</v>
      </c>
      <c r="BO3562" s="55">
        <v>3</v>
      </c>
      <c r="BP3562" s="55">
        <v>3</v>
      </c>
      <c r="BQ3562" s="55" t="s">
        <v>141</v>
      </c>
      <c r="GP3562" s="292" t="s">
        <v>7494</v>
      </c>
      <c r="GT3562" s="65">
        <v>1.67</v>
      </c>
      <c r="GU3562" s="65">
        <v>6.33</v>
      </c>
      <c r="GX3562" s="65" t="s">
        <v>3235</v>
      </c>
    </row>
    <row r="3563" spans="1:206" x14ac:dyDescent="0.25">
      <c r="A3563" s="55">
        <v>3562</v>
      </c>
      <c r="B3563" s="12" t="s">
        <v>7067</v>
      </c>
      <c r="C3563" s="155">
        <v>164</v>
      </c>
      <c r="D3563" s="55" t="s">
        <v>3239</v>
      </c>
      <c r="E3563" s="90" t="s">
        <v>3231</v>
      </c>
      <c r="G3563" s="55" t="s">
        <v>3232</v>
      </c>
      <c r="H3563" s="55">
        <v>2000</v>
      </c>
      <c r="I3563" s="55">
        <v>1997</v>
      </c>
      <c r="J3563" s="55" t="s">
        <v>3233</v>
      </c>
      <c r="K3563" s="55" t="s">
        <v>3242</v>
      </c>
      <c r="L3563" s="55" t="s">
        <v>3108</v>
      </c>
      <c r="M3563" s="90">
        <v>-5.04</v>
      </c>
      <c r="N3563" s="90">
        <v>32.82</v>
      </c>
      <c r="O3563" s="90">
        <v>1235</v>
      </c>
      <c r="R3563" s="55">
        <v>663</v>
      </c>
      <c r="S3563" s="90">
        <v>880</v>
      </c>
      <c r="U3563" s="55" t="s">
        <v>1688</v>
      </c>
      <c r="V3563" s="55" t="s">
        <v>1816</v>
      </c>
      <c r="Y3563" s="55" t="s">
        <v>1920</v>
      </c>
      <c r="Z3563" s="55" t="s">
        <v>1349</v>
      </c>
      <c r="AA3563" s="90" t="s">
        <v>1677</v>
      </c>
      <c r="AN3563" s="185" t="s">
        <v>2692</v>
      </c>
      <c r="AO3563" s="185" t="s">
        <v>5150</v>
      </c>
      <c r="AQ3563" s="55" t="s">
        <v>553</v>
      </c>
      <c r="AR3563" s="55" t="s">
        <v>3234</v>
      </c>
      <c r="AS3563" s="55" t="s">
        <v>5133</v>
      </c>
      <c r="AT3563" s="181" t="s">
        <v>3234</v>
      </c>
      <c r="AU3563" s="181" t="s">
        <v>5150</v>
      </c>
      <c r="AV3563" s="185" t="s">
        <v>176</v>
      </c>
      <c r="AW3563" s="55" t="s">
        <v>3234</v>
      </c>
      <c r="AX3563" s="185" t="s">
        <v>176</v>
      </c>
      <c r="AY3563" s="55" t="s">
        <v>176</v>
      </c>
      <c r="BK3563" s="55" t="s">
        <v>6333</v>
      </c>
      <c r="BM3563" s="192" t="s">
        <v>2702</v>
      </c>
      <c r="BN3563" s="55">
        <v>3</v>
      </c>
      <c r="BO3563" s="55">
        <v>3</v>
      </c>
      <c r="BP3563" s="55">
        <v>3</v>
      </c>
      <c r="BQ3563" s="55" t="s">
        <v>141</v>
      </c>
      <c r="CB3563" s="66">
        <v>364</v>
      </c>
      <c r="CC3563" s="66">
        <v>197</v>
      </c>
      <c r="CG3563" s="65" t="s">
        <v>3238</v>
      </c>
      <c r="GP3563" s="292" t="s">
        <v>7494</v>
      </c>
      <c r="GT3563" s="65">
        <v>3.67</v>
      </c>
      <c r="GU3563" s="65">
        <v>5.67</v>
      </c>
      <c r="GX3563" s="65" t="s">
        <v>3235</v>
      </c>
    </row>
    <row r="3564" spans="1:206" x14ac:dyDescent="0.25">
      <c r="A3564" s="55">
        <v>3563</v>
      </c>
      <c r="B3564" s="12" t="s">
        <v>7067</v>
      </c>
      <c r="C3564" s="155">
        <v>164</v>
      </c>
      <c r="D3564" s="55" t="s">
        <v>3239</v>
      </c>
      <c r="E3564" s="90" t="s">
        <v>3231</v>
      </c>
      <c r="G3564" s="55" t="s">
        <v>3232</v>
      </c>
      <c r="H3564" s="55">
        <v>2000</v>
      </c>
      <c r="I3564" s="55">
        <v>1995</v>
      </c>
      <c r="J3564" s="55" t="s">
        <v>3233</v>
      </c>
      <c r="K3564" s="55" t="s">
        <v>3242</v>
      </c>
      <c r="L3564" s="55" t="s">
        <v>3108</v>
      </c>
      <c r="M3564" s="90">
        <v>-5.04</v>
      </c>
      <c r="N3564" s="90">
        <v>32.82</v>
      </c>
      <c r="O3564" s="90">
        <v>1235</v>
      </c>
      <c r="R3564" s="55">
        <v>663</v>
      </c>
      <c r="S3564" s="90">
        <v>880</v>
      </c>
      <c r="U3564" s="55" t="s">
        <v>1935</v>
      </c>
      <c r="V3564" s="55" t="s">
        <v>1816</v>
      </c>
      <c r="Y3564" s="55" t="s">
        <v>1920</v>
      </c>
      <c r="Z3564" s="55" t="s">
        <v>1349</v>
      </c>
      <c r="AA3564" s="90" t="s">
        <v>1677</v>
      </c>
      <c r="AN3564" s="185" t="s">
        <v>2692</v>
      </c>
      <c r="AO3564" s="185" t="s">
        <v>5150</v>
      </c>
      <c r="AQ3564" s="55" t="s">
        <v>553</v>
      </c>
      <c r="AR3564" s="55" t="s">
        <v>3234</v>
      </c>
      <c r="AS3564" s="55" t="s">
        <v>5133</v>
      </c>
      <c r="AT3564" s="181" t="s">
        <v>3234</v>
      </c>
      <c r="AU3564" s="181" t="s">
        <v>5150</v>
      </c>
      <c r="AV3564" s="185" t="s">
        <v>176</v>
      </c>
      <c r="AW3564" s="55" t="s">
        <v>3234</v>
      </c>
      <c r="AX3564" s="185" t="s">
        <v>176</v>
      </c>
      <c r="AY3564" s="55" t="s">
        <v>176</v>
      </c>
      <c r="BK3564" s="55" t="s">
        <v>6333</v>
      </c>
      <c r="BM3564" s="192" t="s">
        <v>2702</v>
      </c>
      <c r="BN3564" s="55">
        <v>3</v>
      </c>
      <c r="BO3564" s="55">
        <v>3</v>
      </c>
      <c r="BP3564" s="55">
        <v>3</v>
      </c>
      <c r="BQ3564" s="55" t="s">
        <v>141</v>
      </c>
      <c r="GP3564" s="292" t="s">
        <v>7494</v>
      </c>
      <c r="GT3564" s="65">
        <v>0.33</v>
      </c>
      <c r="GU3564" s="65">
        <v>1.67</v>
      </c>
      <c r="GX3564" s="65" t="s">
        <v>3235</v>
      </c>
    </row>
    <row r="3565" spans="1:206" x14ac:dyDescent="0.25">
      <c r="A3565" s="55">
        <v>3564</v>
      </c>
      <c r="B3565" s="12" t="s">
        <v>7067</v>
      </c>
      <c r="C3565" s="155">
        <v>164</v>
      </c>
      <c r="D3565" s="55" t="s">
        <v>3239</v>
      </c>
      <c r="E3565" s="90" t="s">
        <v>3231</v>
      </c>
      <c r="G3565" s="55" t="s">
        <v>3232</v>
      </c>
      <c r="H3565" s="55">
        <v>2000</v>
      </c>
      <c r="I3565" s="55">
        <v>1996</v>
      </c>
      <c r="J3565" s="55" t="s">
        <v>3233</v>
      </c>
      <c r="K3565" s="55" t="s">
        <v>3242</v>
      </c>
      <c r="L3565" s="55" t="s">
        <v>3108</v>
      </c>
      <c r="M3565" s="90">
        <v>-5.04</v>
      </c>
      <c r="N3565" s="90">
        <v>32.82</v>
      </c>
      <c r="O3565" s="90">
        <v>1235</v>
      </c>
      <c r="R3565" s="55">
        <v>663</v>
      </c>
      <c r="S3565" s="90">
        <v>880</v>
      </c>
      <c r="U3565" s="55" t="s">
        <v>1805</v>
      </c>
      <c r="V3565" s="55" t="s">
        <v>1816</v>
      </c>
      <c r="Y3565" s="55" t="s">
        <v>1920</v>
      </c>
      <c r="Z3565" s="55" t="s">
        <v>1349</v>
      </c>
      <c r="AA3565" s="90" t="s">
        <v>1677</v>
      </c>
      <c r="AN3565" s="185" t="s">
        <v>2692</v>
      </c>
      <c r="AO3565" s="185" t="s">
        <v>5150</v>
      </c>
      <c r="AQ3565" s="55" t="s">
        <v>553</v>
      </c>
      <c r="AR3565" s="55" t="s">
        <v>3234</v>
      </c>
      <c r="AS3565" s="55" t="s">
        <v>5133</v>
      </c>
      <c r="AT3565" s="181" t="s">
        <v>3234</v>
      </c>
      <c r="AU3565" s="181" t="s">
        <v>5150</v>
      </c>
      <c r="AV3565" s="185" t="s">
        <v>176</v>
      </c>
      <c r="AW3565" s="55" t="s">
        <v>3234</v>
      </c>
      <c r="AX3565" s="185" t="s">
        <v>176</v>
      </c>
      <c r="AY3565" s="55" t="s">
        <v>176</v>
      </c>
      <c r="BK3565" s="55" t="s">
        <v>6333</v>
      </c>
      <c r="BM3565" s="192" t="s">
        <v>2702</v>
      </c>
      <c r="BN3565" s="55">
        <v>3</v>
      </c>
      <c r="BO3565" s="55">
        <v>3</v>
      </c>
      <c r="BP3565" s="55">
        <v>3</v>
      </c>
      <c r="BQ3565" s="55" t="s">
        <v>141</v>
      </c>
      <c r="GP3565" s="292" t="s">
        <v>7494</v>
      </c>
      <c r="GT3565" s="65">
        <v>1.67</v>
      </c>
      <c r="GU3565" s="65">
        <v>7.67</v>
      </c>
      <c r="GX3565" s="65" t="s">
        <v>3235</v>
      </c>
    </row>
    <row r="3566" spans="1:206" x14ac:dyDescent="0.25">
      <c r="A3566" s="55">
        <v>3565</v>
      </c>
      <c r="B3566" s="12" t="s">
        <v>7067</v>
      </c>
      <c r="C3566" s="155">
        <v>164</v>
      </c>
      <c r="D3566" s="55" t="s">
        <v>3239</v>
      </c>
      <c r="E3566" s="90" t="s">
        <v>3231</v>
      </c>
      <c r="G3566" s="55" t="s">
        <v>3232</v>
      </c>
      <c r="H3566" s="55">
        <v>2000</v>
      </c>
      <c r="I3566" s="55">
        <v>1997</v>
      </c>
      <c r="J3566" s="55" t="s">
        <v>3233</v>
      </c>
      <c r="K3566" s="55" t="s">
        <v>3242</v>
      </c>
      <c r="L3566" s="55" t="s">
        <v>3108</v>
      </c>
      <c r="M3566" s="90">
        <v>-5.04</v>
      </c>
      <c r="N3566" s="90">
        <v>32.82</v>
      </c>
      <c r="O3566" s="90">
        <v>1235</v>
      </c>
      <c r="R3566" s="55">
        <v>663</v>
      </c>
      <c r="S3566" s="90">
        <v>880</v>
      </c>
      <c r="U3566" s="55" t="s">
        <v>1688</v>
      </c>
      <c r="V3566" s="55" t="s">
        <v>1816</v>
      </c>
      <c r="Y3566" s="55" t="s">
        <v>1920</v>
      </c>
      <c r="Z3566" s="55" t="s">
        <v>1349</v>
      </c>
      <c r="AA3566" s="90" t="s">
        <v>1677</v>
      </c>
      <c r="AN3566" s="185" t="s">
        <v>2692</v>
      </c>
      <c r="AO3566" s="185" t="s">
        <v>5150</v>
      </c>
      <c r="AQ3566" s="55" t="s">
        <v>553</v>
      </c>
      <c r="AR3566" s="55" t="s">
        <v>3234</v>
      </c>
      <c r="AS3566" s="55" t="s">
        <v>5133</v>
      </c>
      <c r="AT3566" s="181" t="s">
        <v>3234</v>
      </c>
      <c r="AU3566" s="181" t="s">
        <v>5150</v>
      </c>
      <c r="AV3566" s="185" t="s">
        <v>176</v>
      </c>
      <c r="AW3566" s="55" t="s">
        <v>3234</v>
      </c>
      <c r="AX3566" s="185" t="s">
        <v>176</v>
      </c>
      <c r="AY3566" s="55" t="s">
        <v>176</v>
      </c>
      <c r="BK3566" s="55" t="s">
        <v>6333</v>
      </c>
      <c r="BM3566" s="192" t="s">
        <v>2702</v>
      </c>
      <c r="BN3566" s="55">
        <v>3</v>
      </c>
      <c r="BO3566" s="55">
        <v>3</v>
      </c>
      <c r="BP3566" s="55">
        <v>3</v>
      </c>
      <c r="BQ3566" s="55" t="s">
        <v>141</v>
      </c>
      <c r="GP3566" s="292" t="s">
        <v>7494</v>
      </c>
      <c r="GT3566" s="65">
        <v>4</v>
      </c>
      <c r="GU3566" s="65">
        <v>6.33</v>
      </c>
      <c r="GX3566" s="65" t="s">
        <v>3235</v>
      </c>
    </row>
    <row r="3567" spans="1:206" x14ac:dyDescent="0.25">
      <c r="A3567" s="55">
        <v>3566</v>
      </c>
      <c r="B3567" s="12" t="s">
        <v>7067</v>
      </c>
      <c r="C3567" s="155">
        <v>164</v>
      </c>
      <c r="D3567" s="55" t="s">
        <v>3239</v>
      </c>
      <c r="E3567" s="90" t="s">
        <v>3231</v>
      </c>
      <c r="G3567" s="55" t="s">
        <v>3232</v>
      </c>
      <c r="H3567" s="55">
        <v>2000</v>
      </c>
      <c r="I3567" s="55">
        <v>1995</v>
      </c>
      <c r="J3567" s="55" t="s">
        <v>3233</v>
      </c>
      <c r="K3567" s="55" t="s">
        <v>3242</v>
      </c>
      <c r="L3567" s="55" t="s">
        <v>3108</v>
      </c>
      <c r="M3567" s="90">
        <v>-5.04</v>
      </c>
      <c r="N3567" s="90">
        <v>32.82</v>
      </c>
      <c r="O3567" s="90">
        <v>1235</v>
      </c>
      <c r="R3567" s="55">
        <v>663</v>
      </c>
      <c r="S3567" s="90">
        <v>880</v>
      </c>
      <c r="U3567" s="55" t="s">
        <v>1935</v>
      </c>
      <c r="V3567" s="55" t="s">
        <v>1816</v>
      </c>
      <c r="Y3567" s="55" t="s">
        <v>1920</v>
      </c>
      <c r="Z3567" s="55" t="s">
        <v>1349</v>
      </c>
      <c r="AA3567" s="90" t="s">
        <v>1677</v>
      </c>
      <c r="AN3567" s="185" t="s">
        <v>2692</v>
      </c>
      <c r="AO3567" s="185" t="s">
        <v>5150</v>
      </c>
      <c r="AQ3567" s="55" t="s">
        <v>553</v>
      </c>
      <c r="AR3567" s="55" t="s">
        <v>3234</v>
      </c>
      <c r="AS3567" s="55" t="s">
        <v>5133</v>
      </c>
      <c r="AT3567" s="181" t="s">
        <v>3234</v>
      </c>
      <c r="AU3567" s="181" t="s">
        <v>5150</v>
      </c>
      <c r="AV3567" s="185" t="s">
        <v>176</v>
      </c>
      <c r="AW3567" s="55" t="s">
        <v>3234</v>
      </c>
      <c r="AX3567" s="185" t="s">
        <v>176</v>
      </c>
      <c r="AY3567" s="55" t="s">
        <v>176</v>
      </c>
      <c r="BK3567" s="55" t="s">
        <v>6333</v>
      </c>
      <c r="BM3567" s="192" t="s">
        <v>2702</v>
      </c>
      <c r="BN3567" s="55">
        <v>3</v>
      </c>
      <c r="BO3567" s="55">
        <v>3</v>
      </c>
      <c r="BP3567" s="55">
        <v>3</v>
      </c>
      <c r="BQ3567" s="55" t="s">
        <v>141</v>
      </c>
      <c r="GP3567" s="292" t="s">
        <v>7494</v>
      </c>
      <c r="GT3567" s="65">
        <v>1</v>
      </c>
      <c r="GU3567" s="65">
        <v>3</v>
      </c>
      <c r="GX3567" s="65" t="s">
        <v>3235</v>
      </c>
    </row>
    <row r="3568" spans="1:206" x14ac:dyDescent="0.25">
      <c r="A3568" s="55">
        <v>3567</v>
      </c>
      <c r="B3568" s="12" t="s">
        <v>7067</v>
      </c>
      <c r="C3568" s="155">
        <v>164</v>
      </c>
      <c r="D3568" s="55" t="s">
        <v>3239</v>
      </c>
      <c r="E3568" s="90" t="s">
        <v>3231</v>
      </c>
      <c r="G3568" s="55" t="s">
        <v>3232</v>
      </c>
      <c r="H3568" s="55">
        <v>2000</v>
      </c>
      <c r="I3568" s="55">
        <v>1996</v>
      </c>
      <c r="J3568" s="55" t="s">
        <v>3233</v>
      </c>
      <c r="K3568" s="55" t="s">
        <v>3242</v>
      </c>
      <c r="L3568" s="55" t="s">
        <v>3108</v>
      </c>
      <c r="M3568" s="90">
        <v>-5.04</v>
      </c>
      <c r="N3568" s="90">
        <v>32.82</v>
      </c>
      <c r="O3568" s="90">
        <v>1235</v>
      </c>
      <c r="R3568" s="55">
        <v>663</v>
      </c>
      <c r="S3568" s="90">
        <v>880</v>
      </c>
      <c r="U3568" s="55" t="s">
        <v>1805</v>
      </c>
      <c r="V3568" s="55" t="s">
        <v>1816</v>
      </c>
      <c r="Y3568" s="55" t="s">
        <v>1920</v>
      </c>
      <c r="Z3568" s="55" t="s">
        <v>1349</v>
      </c>
      <c r="AA3568" s="90" t="s">
        <v>1677</v>
      </c>
      <c r="AN3568" s="185" t="s">
        <v>2692</v>
      </c>
      <c r="AO3568" s="185" t="s">
        <v>5150</v>
      </c>
      <c r="AQ3568" s="55" t="s">
        <v>553</v>
      </c>
      <c r="AR3568" s="55" t="s">
        <v>3234</v>
      </c>
      <c r="AS3568" s="55" t="s">
        <v>5133</v>
      </c>
      <c r="AT3568" s="181" t="s">
        <v>3234</v>
      </c>
      <c r="AU3568" s="181" t="s">
        <v>5150</v>
      </c>
      <c r="AV3568" s="185" t="s">
        <v>176</v>
      </c>
      <c r="AW3568" s="55" t="s">
        <v>3234</v>
      </c>
      <c r="AX3568" s="185" t="s">
        <v>176</v>
      </c>
      <c r="AY3568" s="55" t="s">
        <v>176</v>
      </c>
      <c r="BK3568" s="55" t="s">
        <v>6333</v>
      </c>
      <c r="BM3568" s="192" t="s">
        <v>2702</v>
      </c>
      <c r="BN3568" s="55">
        <v>3</v>
      </c>
      <c r="BO3568" s="55">
        <v>3</v>
      </c>
      <c r="BP3568" s="55">
        <v>3</v>
      </c>
      <c r="BQ3568" s="55" t="s">
        <v>141</v>
      </c>
      <c r="GP3568" s="292" t="s">
        <v>7494</v>
      </c>
      <c r="GT3568" s="65">
        <v>1.33</v>
      </c>
      <c r="GU3568" s="65">
        <v>8</v>
      </c>
      <c r="GX3568" s="65" t="s">
        <v>3235</v>
      </c>
    </row>
    <row r="3569" spans="1:281" x14ac:dyDescent="0.25">
      <c r="A3569" s="55">
        <v>3568</v>
      </c>
      <c r="B3569" s="12" t="s">
        <v>7067</v>
      </c>
      <c r="C3569" s="155">
        <v>164</v>
      </c>
      <c r="D3569" s="55" t="s">
        <v>3239</v>
      </c>
      <c r="E3569" s="90" t="s">
        <v>3231</v>
      </c>
      <c r="G3569" s="55" t="s">
        <v>3232</v>
      </c>
      <c r="H3569" s="55">
        <v>2000</v>
      </c>
      <c r="I3569" s="55">
        <v>1997</v>
      </c>
      <c r="J3569" s="55" t="s">
        <v>3233</v>
      </c>
      <c r="K3569" s="55" t="s">
        <v>3242</v>
      </c>
      <c r="L3569" s="55" t="s">
        <v>3108</v>
      </c>
      <c r="M3569" s="90">
        <v>-5.04</v>
      </c>
      <c r="N3569" s="90">
        <v>32.82</v>
      </c>
      <c r="O3569" s="90">
        <v>1235</v>
      </c>
      <c r="R3569" s="55">
        <v>663</v>
      </c>
      <c r="S3569" s="90">
        <v>880</v>
      </c>
      <c r="U3569" s="55" t="s">
        <v>1688</v>
      </c>
      <c r="V3569" s="55" t="s">
        <v>1816</v>
      </c>
      <c r="Y3569" s="55" t="s">
        <v>1920</v>
      </c>
      <c r="Z3569" s="55" t="s">
        <v>1349</v>
      </c>
      <c r="AA3569" s="90" t="s">
        <v>1677</v>
      </c>
      <c r="AN3569" s="185" t="s">
        <v>2692</v>
      </c>
      <c r="AO3569" s="185" t="s">
        <v>5150</v>
      </c>
      <c r="AQ3569" s="55" t="s">
        <v>553</v>
      </c>
      <c r="AR3569" s="55" t="s">
        <v>3234</v>
      </c>
      <c r="AS3569" s="55" t="s">
        <v>5133</v>
      </c>
      <c r="AT3569" s="181" t="s">
        <v>3234</v>
      </c>
      <c r="AU3569" s="181" t="s">
        <v>5150</v>
      </c>
      <c r="AV3569" s="185" t="s">
        <v>176</v>
      </c>
      <c r="AW3569" s="55" t="s">
        <v>3234</v>
      </c>
      <c r="AX3569" s="185" t="s">
        <v>176</v>
      </c>
      <c r="AY3569" s="55" t="s">
        <v>176</v>
      </c>
      <c r="BK3569" s="55" t="s">
        <v>6333</v>
      </c>
      <c r="BM3569" s="192" t="s">
        <v>2702</v>
      </c>
      <c r="BN3569" s="55">
        <v>3</v>
      </c>
      <c r="BO3569" s="55">
        <v>3</v>
      </c>
      <c r="BP3569" s="55">
        <v>3</v>
      </c>
      <c r="BQ3569" s="55" t="s">
        <v>141</v>
      </c>
      <c r="GP3569" s="292" t="s">
        <v>7494</v>
      </c>
      <c r="GT3569" s="65">
        <v>5</v>
      </c>
      <c r="GU3569" s="65">
        <v>7</v>
      </c>
      <c r="GX3569" s="65" t="s">
        <v>3235</v>
      </c>
    </row>
    <row r="3570" spans="1:281" x14ac:dyDescent="0.25">
      <c r="A3570" s="55">
        <v>3569</v>
      </c>
      <c r="B3570" s="12" t="s">
        <v>7067</v>
      </c>
      <c r="C3570" s="155">
        <v>165</v>
      </c>
      <c r="D3570" s="55" t="s">
        <v>3257</v>
      </c>
      <c r="E3570" s="90" t="s">
        <v>3240</v>
      </c>
      <c r="G3570" s="55" t="s">
        <v>3241</v>
      </c>
      <c r="H3570" s="55">
        <v>2002</v>
      </c>
      <c r="I3570" s="55">
        <v>2001</v>
      </c>
      <c r="J3570" s="55" t="s">
        <v>112</v>
      </c>
      <c r="K3570" s="55" t="s">
        <v>3243</v>
      </c>
      <c r="L3570" s="55" t="s">
        <v>2750</v>
      </c>
      <c r="M3570" s="90">
        <f>-13-39/60</f>
        <v>-13.65</v>
      </c>
      <c r="N3570" s="90">
        <f>32+34/60</f>
        <v>32.56666666666667</v>
      </c>
      <c r="O3570" s="90">
        <v>1028</v>
      </c>
      <c r="Q3570" s="55">
        <v>20.5</v>
      </c>
      <c r="S3570" s="90">
        <v>960</v>
      </c>
      <c r="U3570" s="55" t="s">
        <v>1816</v>
      </c>
      <c r="V3570" s="55" t="s">
        <v>1682</v>
      </c>
      <c r="Y3570" s="55" t="s">
        <v>1947</v>
      </c>
      <c r="Z3570" s="55" t="s">
        <v>1346</v>
      </c>
      <c r="AA3570" s="90" t="s">
        <v>1675</v>
      </c>
      <c r="AE3570" s="90">
        <v>61</v>
      </c>
      <c r="AF3570" s="90">
        <v>11</v>
      </c>
      <c r="AH3570" s="55" t="s">
        <v>238</v>
      </c>
      <c r="AI3570" s="168">
        <v>5.3</v>
      </c>
      <c r="AJ3570" s="90">
        <v>1.02</v>
      </c>
      <c r="AM3570" s="55" t="s">
        <v>2677</v>
      </c>
      <c r="AN3570" s="185" t="s">
        <v>2773</v>
      </c>
      <c r="AO3570" s="185" t="s">
        <v>5150</v>
      </c>
      <c r="AQ3570" s="55" t="s">
        <v>553</v>
      </c>
      <c r="AR3570" s="55" t="s">
        <v>1607</v>
      </c>
      <c r="AS3570" s="55" t="s">
        <v>132</v>
      </c>
      <c r="AU3570" s="181" t="s">
        <v>7494</v>
      </c>
      <c r="AV3570" s="185" t="s">
        <v>176</v>
      </c>
      <c r="AX3570" s="185" t="s">
        <v>176</v>
      </c>
      <c r="BK3570" s="55" t="s">
        <v>6333</v>
      </c>
      <c r="BM3570" s="192" t="s">
        <v>2702</v>
      </c>
      <c r="BN3570" s="55">
        <v>3</v>
      </c>
      <c r="BO3570" s="55">
        <v>3</v>
      </c>
      <c r="BQ3570" s="55" t="s">
        <v>141</v>
      </c>
      <c r="BV3570" s="55" t="s">
        <v>3251</v>
      </c>
      <c r="BW3570" s="65">
        <v>2100</v>
      </c>
      <c r="BX3570" s="65">
        <v>4300</v>
      </c>
      <c r="CA3570" s="65" t="s">
        <v>2861</v>
      </c>
      <c r="CB3570" s="66">
        <v>900</v>
      </c>
      <c r="CC3570" s="66">
        <v>3900</v>
      </c>
      <c r="CM3570" s="65">
        <v>1.2</v>
      </c>
      <c r="CN3570" s="65">
        <v>1.5</v>
      </c>
      <c r="DA3570" s="65" t="s">
        <v>4458</v>
      </c>
      <c r="DB3570" s="65">
        <v>15.9</v>
      </c>
      <c r="DC3570" s="65">
        <v>22.7</v>
      </c>
      <c r="DF3570" s="65" t="s">
        <v>3252</v>
      </c>
      <c r="DG3570" s="65">
        <v>13.9</v>
      </c>
      <c r="DH3570" s="65">
        <v>12.4</v>
      </c>
      <c r="DK3570" s="65" t="s">
        <v>2242</v>
      </c>
      <c r="DL3570" s="65">
        <v>0.28999999999999998</v>
      </c>
      <c r="DM3570" s="65">
        <v>0.28999999999999998</v>
      </c>
      <c r="DP3570" s="65" t="s">
        <v>3253</v>
      </c>
      <c r="DQ3570" s="165">
        <v>4.2</v>
      </c>
      <c r="DR3570" s="165">
        <v>4.2</v>
      </c>
      <c r="DV3570" s="65">
        <f>1.8+0.43</f>
        <v>2.23</v>
      </c>
      <c r="DW3570" s="65">
        <v>1.93</v>
      </c>
      <c r="DZ3570" s="65" t="s">
        <v>3254</v>
      </c>
      <c r="GP3570" s="292" t="s">
        <v>7494</v>
      </c>
      <c r="GY3570" s="65">
        <v>1.2</v>
      </c>
      <c r="GZ3570" s="65">
        <v>3.6</v>
      </c>
      <c r="HC3570" s="65" t="s">
        <v>3255</v>
      </c>
      <c r="JU3570" s="55" t="s">
        <v>3256</v>
      </c>
    </row>
    <row r="3571" spans="1:281" x14ac:dyDescent="0.25">
      <c r="A3571" s="55">
        <v>3570</v>
      </c>
      <c r="B3571" s="12" t="s">
        <v>7067</v>
      </c>
      <c r="C3571" s="155">
        <v>165</v>
      </c>
      <c r="D3571" s="55" t="s">
        <v>3257</v>
      </c>
      <c r="E3571" s="90" t="s">
        <v>3240</v>
      </c>
      <c r="G3571" s="55" t="s">
        <v>3241</v>
      </c>
      <c r="H3571" s="55">
        <v>2002</v>
      </c>
      <c r="I3571" s="55">
        <v>2001</v>
      </c>
      <c r="J3571" s="55" t="s">
        <v>112</v>
      </c>
      <c r="K3571" s="55" t="s">
        <v>3243</v>
      </c>
      <c r="L3571" s="55" t="s">
        <v>2750</v>
      </c>
      <c r="M3571" s="90">
        <f>-13-39/60</f>
        <v>-13.65</v>
      </c>
      <c r="N3571" s="90">
        <f>32+34/60</f>
        <v>32.56666666666667</v>
      </c>
      <c r="O3571" s="90">
        <v>1028</v>
      </c>
      <c r="Q3571" s="55">
        <v>20.5</v>
      </c>
      <c r="S3571" s="90">
        <v>960</v>
      </c>
      <c r="U3571" s="55" t="s">
        <v>1816</v>
      </c>
      <c r="V3571" s="55" t="s">
        <v>1682</v>
      </c>
      <c r="Y3571" s="55" t="s">
        <v>1947</v>
      </c>
      <c r="Z3571" s="55" t="s">
        <v>1346</v>
      </c>
      <c r="AA3571" s="90" t="s">
        <v>1675</v>
      </c>
      <c r="AE3571" s="90">
        <v>61</v>
      </c>
      <c r="AF3571" s="90">
        <v>11</v>
      </c>
      <c r="AH3571" s="55" t="s">
        <v>238</v>
      </c>
      <c r="AI3571" s="168">
        <v>5.3</v>
      </c>
      <c r="AJ3571" s="90">
        <v>1.02</v>
      </c>
      <c r="AM3571" s="55" t="s">
        <v>2677</v>
      </c>
      <c r="AN3571" s="185" t="s">
        <v>2692</v>
      </c>
      <c r="AO3571" s="185" t="s">
        <v>5150</v>
      </c>
      <c r="AQ3571" s="55" t="s">
        <v>553</v>
      </c>
      <c r="AR3571" s="55" t="s">
        <v>1607</v>
      </c>
      <c r="AS3571" s="55" t="s">
        <v>132</v>
      </c>
      <c r="AU3571" s="181" t="s">
        <v>7494</v>
      </c>
      <c r="AV3571" s="185" t="s">
        <v>176</v>
      </c>
      <c r="AX3571" s="185" t="s">
        <v>176</v>
      </c>
      <c r="BK3571" s="55" t="s">
        <v>6333</v>
      </c>
      <c r="BM3571" s="192" t="s">
        <v>2702</v>
      </c>
      <c r="BN3571" s="55">
        <v>3</v>
      </c>
      <c r="BO3571" s="55">
        <v>3</v>
      </c>
      <c r="BQ3571" s="55" t="s">
        <v>141</v>
      </c>
      <c r="BV3571" s="55" t="s">
        <v>3251</v>
      </c>
      <c r="BW3571" s="65">
        <v>2100</v>
      </c>
      <c r="BX3571" s="65">
        <v>4500</v>
      </c>
      <c r="CA3571" s="65" t="s">
        <v>2861</v>
      </c>
      <c r="CB3571" s="66">
        <v>900</v>
      </c>
      <c r="CC3571" s="66">
        <v>3500</v>
      </c>
      <c r="CM3571" s="65">
        <v>1.2</v>
      </c>
      <c r="CN3571" s="65">
        <v>1.1000000000000001</v>
      </c>
      <c r="DA3571" s="65" t="s">
        <v>4458</v>
      </c>
      <c r="DB3571" s="65">
        <v>15.9</v>
      </c>
      <c r="DC3571" s="65">
        <v>19.600000000000001</v>
      </c>
      <c r="DF3571" s="65" t="s">
        <v>3252</v>
      </c>
      <c r="DG3571" s="65">
        <v>13.9</v>
      </c>
      <c r="DH3571" s="65">
        <v>12.1</v>
      </c>
      <c r="DK3571" s="65" t="s">
        <v>2242</v>
      </c>
      <c r="DL3571" s="65">
        <v>0.28999999999999998</v>
      </c>
      <c r="DM3571" s="65">
        <v>0.18</v>
      </c>
      <c r="DP3571" s="65" t="s">
        <v>3253</v>
      </c>
      <c r="DQ3571" s="165">
        <v>4.2</v>
      </c>
      <c r="DR3571" s="165">
        <v>4.4000000000000004</v>
      </c>
      <c r="DV3571" s="65">
        <f>1.8+0.43</f>
        <v>2.23</v>
      </c>
      <c r="DW3571" s="65">
        <v>1.4</v>
      </c>
      <c r="DZ3571" s="65" t="s">
        <v>3254</v>
      </c>
      <c r="GP3571" s="292" t="s">
        <v>7494</v>
      </c>
      <c r="GY3571" s="65">
        <v>1.2</v>
      </c>
      <c r="GZ3571" s="65">
        <v>2.7</v>
      </c>
      <c r="HC3571" s="65" t="s">
        <v>3255</v>
      </c>
      <c r="JU3571" s="55" t="s">
        <v>3256</v>
      </c>
    </row>
    <row r="3572" spans="1:281" x14ac:dyDescent="0.25">
      <c r="A3572" s="55">
        <v>3571</v>
      </c>
      <c r="B3572" s="12" t="s">
        <v>7067</v>
      </c>
      <c r="C3572" s="155">
        <v>165</v>
      </c>
      <c r="D3572" s="55" t="s">
        <v>3257</v>
      </c>
      <c r="E3572" s="90" t="s">
        <v>3240</v>
      </c>
      <c r="G3572" s="55" t="s">
        <v>3241</v>
      </c>
      <c r="H3572" s="55">
        <v>2002</v>
      </c>
      <c r="I3572" s="55">
        <v>2001</v>
      </c>
      <c r="J3572" s="55" t="s">
        <v>112</v>
      </c>
      <c r="K3572" s="55" t="s">
        <v>3243</v>
      </c>
      <c r="L3572" s="55" t="s">
        <v>2750</v>
      </c>
      <c r="M3572" s="90">
        <f>-13-39/60</f>
        <v>-13.65</v>
      </c>
      <c r="N3572" s="90">
        <f>32+34/60</f>
        <v>32.56666666666667</v>
      </c>
      <c r="O3572" s="90">
        <v>1028</v>
      </c>
      <c r="Q3572" s="55">
        <v>20.5</v>
      </c>
      <c r="S3572" s="90">
        <v>960</v>
      </c>
      <c r="U3572" s="55" t="s">
        <v>1816</v>
      </c>
      <c r="V3572" s="55" t="s">
        <v>1682</v>
      </c>
      <c r="Y3572" s="55" t="s">
        <v>1947</v>
      </c>
      <c r="Z3572" s="55" t="s">
        <v>1346</v>
      </c>
      <c r="AA3572" s="90" t="s">
        <v>1675</v>
      </c>
      <c r="AE3572" s="90">
        <v>61</v>
      </c>
      <c r="AF3572" s="90">
        <v>11</v>
      </c>
      <c r="AH3572" s="55" t="s">
        <v>238</v>
      </c>
      <c r="AI3572" s="168">
        <v>5.3</v>
      </c>
      <c r="AJ3572" s="90">
        <v>1.02</v>
      </c>
      <c r="AM3572" s="55" t="s">
        <v>2677</v>
      </c>
      <c r="AN3572" s="185" t="s">
        <v>3244</v>
      </c>
      <c r="AO3572" s="185" t="s">
        <v>5150</v>
      </c>
      <c r="AQ3572" s="55" t="s">
        <v>1547</v>
      </c>
      <c r="AR3572" s="55" t="s">
        <v>1607</v>
      </c>
      <c r="AS3572" s="55" t="s">
        <v>132</v>
      </c>
      <c r="AU3572" s="181" t="s">
        <v>7494</v>
      </c>
      <c r="AV3572" s="185" t="s">
        <v>176</v>
      </c>
      <c r="AX3572" s="185" t="s">
        <v>176</v>
      </c>
      <c r="BK3572" s="55" t="s">
        <v>6333</v>
      </c>
      <c r="BM3572" s="192" t="s">
        <v>2702</v>
      </c>
      <c r="BN3572" s="55">
        <v>3</v>
      </c>
      <c r="BO3572" s="55">
        <v>3</v>
      </c>
      <c r="BQ3572" s="55" t="s">
        <v>141</v>
      </c>
      <c r="BV3572" s="55" t="s">
        <v>3251</v>
      </c>
      <c r="BW3572" s="65">
        <v>2100</v>
      </c>
      <c r="BX3572" s="65">
        <v>4600</v>
      </c>
      <c r="CA3572" s="65" t="s">
        <v>2861</v>
      </c>
      <c r="CB3572" s="66">
        <v>900</v>
      </c>
      <c r="CC3572" s="66">
        <v>3600</v>
      </c>
      <c r="CM3572" s="65">
        <v>1.2</v>
      </c>
      <c r="CN3572" s="65">
        <v>1.3</v>
      </c>
      <c r="DA3572" s="65" t="s">
        <v>4458</v>
      </c>
      <c r="DB3572" s="65">
        <v>15.9</v>
      </c>
      <c r="DC3572" s="65">
        <v>17.899999999999999</v>
      </c>
      <c r="DF3572" s="65" t="s">
        <v>3252</v>
      </c>
      <c r="DG3572" s="65">
        <v>13.9</v>
      </c>
      <c r="DH3572" s="65">
        <v>12</v>
      </c>
      <c r="DK3572" s="65" t="s">
        <v>2242</v>
      </c>
      <c r="DL3572" s="65">
        <v>0.28999999999999998</v>
      </c>
      <c r="DM3572" s="65">
        <v>0.24</v>
      </c>
      <c r="DP3572" s="65" t="s">
        <v>3253</v>
      </c>
      <c r="DQ3572" s="165">
        <v>4.2</v>
      </c>
      <c r="DR3572" s="165">
        <v>4.2</v>
      </c>
      <c r="DV3572" s="65">
        <f>1.8+0.43</f>
        <v>2.23</v>
      </c>
      <c r="DW3572" s="65">
        <v>2.13</v>
      </c>
      <c r="DZ3572" s="65" t="s">
        <v>3254</v>
      </c>
      <c r="GP3572" s="292" t="s">
        <v>7494</v>
      </c>
      <c r="GY3572" s="65">
        <v>1.2</v>
      </c>
      <c r="GZ3572" s="65">
        <v>3.9</v>
      </c>
      <c r="HC3572" s="65" t="s">
        <v>3255</v>
      </c>
      <c r="JU3572" s="55" t="s">
        <v>3256</v>
      </c>
    </row>
    <row r="3573" spans="1:281" x14ac:dyDescent="0.25">
      <c r="A3573" s="55">
        <v>3572</v>
      </c>
      <c r="B3573" s="12" t="s">
        <v>7067</v>
      </c>
      <c r="C3573" s="155">
        <v>165</v>
      </c>
      <c r="D3573" s="55" t="s">
        <v>3257</v>
      </c>
      <c r="E3573" s="90" t="s">
        <v>3240</v>
      </c>
      <c r="G3573" s="55" t="s">
        <v>3241</v>
      </c>
      <c r="H3573" s="55">
        <v>2002</v>
      </c>
      <c r="I3573" s="55">
        <v>2001</v>
      </c>
      <c r="J3573" s="55" t="s">
        <v>112</v>
      </c>
      <c r="K3573" s="55" t="s">
        <v>3243</v>
      </c>
      <c r="L3573" s="55" t="s">
        <v>2750</v>
      </c>
      <c r="M3573" s="90">
        <f>-13-39/60</f>
        <v>-13.65</v>
      </c>
      <c r="N3573" s="90">
        <f>32+34/60</f>
        <v>32.56666666666667</v>
      </c>
      <c r="O3573" s="90">
        <v>1028</v>
      </c>
      <c r="Q3573" s="55">
        <v>20.5</v>
      </c>
      <c r="S3573" s="90">
        <v>960</v>
      </c>
      <c r="U3573" s="55" t="s">
        <v>1816</v>
      </c>
      <c r="V3573" s="55" t="s">
        <v>1682</v>
      </c>
      <c r="Y3573" s="55" t="s">
        <v>1947</v>
      </c>
      <c r="Z3573" s="55" t="s">
        <v>1346</v>
      </c>
      <c r="AA3573" s="90" t="s">
        <v>1675</v>
      </c>
      <c r="AE3573" s="90">
        <v>61</v>
      </c>
      <c r="AF3573" s="90">
        <v>11</v>
      </c>
      <c r="AH3573" s="55" t="s">
        <v>238</v>
      </c>
      <c r="AI3573" s="168">
        <v>5.3</v>
      </c>
      <c r="AJ3573" s="90">
        <v>1.02</v>
      </c>
      <c r="AM3573" s="55" t="s">
        <v>2677</v>
      </c>
      <c r="AN3573" s="185" t="s">
        <v>3245</v>
      </c>
      <c r="AO3573" s="185" t="s">
        <v>5150</v>
      </c>
      <c r="AQ3573" s="55" t="s">
        <v>1547</v>
      </c>
      <c r="AR3573" s="55" t="s">
        <v>1607</v>
      </c>
      <c r="AS3573" s="55" t="s">
        <v>132</v>
      </c>
      <c r="AU3573" s="181" t="s">
        <v>7494</v>
      </c>
      <c r="AV3573" s="185" t="s">
        <v>176</v>
      </c>
      <c r="AX3573" s="185" t="s">
        <v>176</v>
      </c>
      <c r="BK3573" s="55" t="s">
        <v>6333</v>
      </c>
      <c r="BM3573" s="192" t="s">
        <v>2702</v>
      </c>
      <c r="BN3573" s="55">
        <v>3</v>
      </c>
      <c r="BO3573" s="55">
        <v>3</v>
      </c>
      <c r="BQ3573" s="55" t="s">
        <v>141</v>
      </c>
      <c r="BV3573" s="55" t="s">
        <v>3251</v>
      </c>
      <c r="BW3573" s="65">
        <v>2100</v>
      </c>
      <c r="BX3573" s="65">
        <v>5500</v>
      </c>
      <c r="CA3573" s="65" t="s">
        <v>2861</v>
      </c>
      <c r="CB3573" s="66">
        <v>900</v>
      </c>
      <c r="CC3573" s="66">
        <v>4000</v>
      </c>
      <c r="CM3573" s="65">
        <v>1.2</v>
      </c>
      <c r="CN3573" s="65">
        <v>1.3</v>
      </c>
      <c r="DA3573" s="65" t="s">
        <v>4458</v>
      </c>
      <c r="DB3573" s="65">
        <v>15.9</v>
      </c>
      <c r="DC3573" s="65">
        <v>19.8</v>
      </c>
      <c r="DF3573" s="65" t="s">
        <v>3252</v>
      </c>
      <c r="DG3573" s="65">
        <v>13.9</v>
      </c>
      <c r="DH3573" s="65">
        <v>11.9</v>
      </c>
      <c r="DK3573" s="65" t="s">
        <v>2242</v>
      </c>
      <c r="DL3573" s="65">
        <v>0.28999999999999998</v>
      </c>
      <c r="DM3573" s="65">
        <v>0.3</v>
      </c>
      <c r="DP3573" s="65" t="s">
        <v>3253</v>
      </c>
      <c r="DQ3573" s="165">
        <v>4.2</v>
      </c>
      <c r="DR3573" s="165">
        <v>4.3</v>
      </c>
      <c r="DV3573" s="65">
        <f>1.8+0.43</f>
        <v>2.23</v>
      </c>
      <c r="DW3573" s="65">
        <v>2.8</v>
      </c>
      <c r="DZ3573" s="65" t="s">
        <v>3254</v>
      </c>
      <c r="GP3573" s="292" t="s">
        <v>7494</v>
      </c>
      <c r="GY3573" s="65">
        <v>1.2</v>
      </c>
      <c r="GZ3573" s="65">
        <v>3.4</v>
      </c>
      <c r="HC3573" s="65" t="s">
        <v>3255</v>
      </c>
      <c r="JU3573" s="55" t="s">
        <v>3256</v>
      </c>
    </row>
    <row r="3574" spans="1:281" x14ac:dyDescent="0.25">
      <c r="A3574" s="55">
        <v>3573</v>
      </c>
      <c r="B3574" s="12" t="s">
        <v>7067</v>
      </c>
      <c r="C3574" s="155">
        <v>165</v>
      </c>
      <c r="D3574" s="55" t="s">
        <v>3257</v>
      </c>
      <c r="E3574" s="90" t="s">
        <v>3240</v>
      </c>
      <c r="G3574" s="55" t="s">
        <v>3241</v>
      </c>
      <c r="H3574" s="55">
        <v>2002</v>
      </c>
      <c r="I3574" s="55">
        <v>2001</v>
      </c>
      <c r="J3574" s="55" t="s">
        <v>112</v>
      </c>
      <c r="K3574" s="55" t="s">
        <v>3243</v>
      </c>
      <c r="L3574" s="55" t="s">
        <v>2750</v>
      </c>
      <c r="M3574" s="90">
        <f>-13-39/60</f>
        <v>-13.65</v>
      </c>
      <c r="N3574" s="90">
        <f>32+34/60</f>
        <v>32.56666666666667</v>
      </c>
      <c r="O3574" s="90">
        <v>1028</v>
      </c>
      <c r="Q3574" s="55">
        <v>20.5</v>
      </c>
      <c r="S3574" s="90">
        <v>960</v>
      </c>
      <c r="U3574" s="55" t="s">
        <v>1816</v>
      </c>
      <c r="V3574" s="55" t="s">
        <v>1682</v>
      </c>
      <c r="Y3574" s="55" t="s">
        <v>1947</v>
      </c>
      <c r="Z3574" s="55" t="s">
        <v>1346</v>
      </c>
      <c r="AA3574" s="90" t="s">
        <v>1675</v>
      </c>
      <c r="AE3574" s="90">
        <v>61</v>
      </c>
      <c r="AF3574" s="90">
        <v>11</v>
      </c>
      <c r="AH3574" s="55" t="s">
        <v>238</v>
      </c>
      <c r="AI3574" s="168">
        <v>5.3</v>
      </c>
      <c r="AJ3574" s="90">
        <v>1.02</v>
      </c>
      <c r="AM3574" s="55" t="s">
        <v>2677</v>
      </c>
      <c r="AN3574" s="185" t="s">
        <v>3246</v>
      </c>
      <c r="AO3574" s="185" t="s">
        <v>5150</v>
      </c>
      <c r="AQ3574" s="55" t="s">
        <v>1547</v>
      </c>
      <c r="AR3574" s="55" t="s">
        <v>1607</v>
      </c>
      <c r="AS3574" s="55" t="s">
        <v>132</v>
      </c>
      <c r="AU3574" s="181" t="s">
        <v>7494</v>
      </c>
      <c r="AV3574" s="185" t="s">
        <v>176</v>
      </c>
      <c r="AX3574" s="185" t="s">
        <v>176</v>
      </c>
      <c r="BK3574" s="55" t="s">
        <v>6333</v>
      </c>
      <c r="BM3574" s="192" t="s">
        <v>2702</v>
      </c>
      <c r="BN3574" s="55">
        <v>3</v>
      </c>
      <c r="BO3574" s="55">
        <v>3</v>
      </c>
      <c r="BQ3574" s="55" t="s">
        <v>141</v>
      </c>
      <c r="BV3574" s="55" t="s">
        <v>3251</v>
      </c>
      <c r="BW3574" s="65">
        <v>2100</v>
      </c>
      <c r="BX3574" s="65">
        <v>4600</v>
      </c>
      <c r="CA3574" s="65" t="s">
        <v>2861</v>
      </c>
      <c r="CB3574" s="66">
        <v>900</v>
      </c>
      <c r="CC3574" s="66">
        <v>4500</v>
      </c>
      <c r="CM3574" s="65">
        <v>1.2</v>
      </c>
      <c r="CN3574" s="65">
        <v>1.2</v>
      </c>
      <c r="DA3574" s="65" t="s">
        <v>4458</v>
      </c>
      <c r="DB3574" s="65">
        <v>15.9</v>
      </c>
      <c r="DC3574" s="65">
        <v>17.399999999999999</v>
      </c>
      <c r="DF3574" s="65" t="s">
        <v>3252</v>
      </c>
      <c r="DG3574" s="65">
        <v>13.9</v>
      </c>
      <c r="DH3574" s="65">
        <v>13.7</v>
      </c>
      <c r="DK3574" s="65" t="s">
        <v>2242</v>
      </c>
      <c r="DL3574" s="65">
        <v>0.28999999999999998</v>
      </c>
      <c r="DM3574" s="65">
        <v>0.28000000000000003</v>
      </c>
      <c r="DP3574" s="65" t="s">
        <v>3253</v>
      </c>
      <c r="DQ3574" s="165">
        <v>4.2</v>
      </c>
      <c r="DR3574" s="165">
        <v>4.7</v>
      </c>
      <c r="DV3574" s="65">
        <f>1.8+0.43</f>
        <v>2.23</v>
      </c>
      <c r="DW3574" s="65">
        <v>2.17</v>
      </c>
      <c r="DZ3574" s="65" t="s">
        <v>3254</v>
      </c>
      <c r="GP3574" s="292" t="s">
        <v>7494</v>
      </c>
      <c r="GY3574" s="65">
        <v>1.2</v>
      </c>
      <c r="GZ3574" s="65">
        <v>3.6</v>
      </c>
      <c r="HC3574" s="65" t="s">
        <v>3255</v>
      </c>
      <c r="JU3574" s="55" t="s">
        <v>3256</v>
      </c>
    </row>
    <row r="3575" spans="1:281" x14ac:dyDescent="0.25">
      <c r="A3575" s="55">
        <v>3574</v>
      </c>
      <c r="B3575" s="12" t="s">
        <v>7067</v>
      </c>
      <c r="C3575" s="155">
        <v>165</v>
      </c>
      <c r="D3575" s="55" t="s">
        <v>3257</v>
      </c>
      <c r="E3575" s="90" t="s">
        <v>3240</v>
      </c>
      <c r="G3575" s="55" t="s">
        <v>3241</v>
      </c>
      <c r="H3575" s="55">
        <v>2002</v>
      </c>
      <c r="I3575" s="55">
        <v>2001</v>
      </c>
      <c r="J3575" s="55" t="s">
        <v>112</v>
      </c>
      <c r="K3575" s="55" t="s">
        <v>3243</v>
      </c>
      <c r="L3575" s="55" t="s">
        <v>2750</v>
      </c>
      <c r="M3575" s="90">
        <f>-13-39/60</f>
        <v>-13.65</v>
      </c>
      <c r="N3575" s="90">
        <f>32+34/60</f>
        <v>32.56666666666667</v>
      </c>
      <c r="O3575" s="90">
        <v>1028</v>
      </c>
      <c r="Q3575" s="55">
        <v>20.5</v>
      </c>
      <c r="S3575" s="90">
        <v>960</v>
      </c>
      <c r="U3575" s="55" t="s">
        <v>1816</v>
      </c>
      <c r="V3575" s="55" t="s">
        <v>1682</v>
      </c>
      <c r="Y3575" s="55" t="s">
        <v>1947</v>
      </c>
      <c r="Z3575" s="55" t="s">
        <v>1346</v>
      </c>
      <c r="AA3575" s="90" t="s">
        <v>1675</v>
      </c>
      <c r="AE3575" s="90">
        <v>61</v>
      </c>
      <c r="AF3575" s="90">
        <v>11</v>
      </c>
      <c r="AH3575" s="55" t="s">
        <v>238</v>
      </c>
      <c r="AI3575" s="168">
        <v>5.3</v>
      </c>
      <c r="AJ3575" s="90">
        <v>1.02</v>
      </c>
      <c r="AM3575" s="55" t="s">
        <v>2677</v>
      </c>
      <c r="AN3575" s="185" t="s">
        <v>3247</v>
      </c>
      <c r="AO3575" s="185" t="s">
        <v>5150</v>
      </c>
      <c r="AQ3575" s="55" t="s">
        <v>1547</v>
      </c>
      <c r="AR3575" s="55" t="s">
        <v>1607</v>
      </c>
      <c r="AS3575" s="55" t="s">
        <v>132</v>
      </c>
      <c r="AU3575" s="181" t="s">
        <v>7494</v>
      </c>
      <c r="AV3575" s="185" t="s">
        <v>176</v>
      </c>
      <c r="AX3575" s="185" t="s">
        <v>176</v>
      </c>
      <c r="BK3575" s="55" t="s">
        <v>6333</v>
      </c>
      <c r="BM3575" s="192" t="s">
        <v>2702</v>
      </c>
      <c r="BN3575" s="55">
        <v>3</v>
      </c>
      <c r="BO3575" s="55">
        <v>3</v>
      </c>
      <c r="BQ3575" s="55" t="s">
        <v>141</v>
      </c>
      <c r="BV3575" s="55" t="s">
        <v>3251</v>
      </c>
      <c r="BW3575" s="65">
        <v>2100</v>
      </c>
      <c r="BX3575" s="65">
        <v>4500</v>
      </c>
      <c r="CA3575" s="65" t="s">
        <v>2861</v>
      </c>
      <c r="CB3575" s="66">
        <v>900</v>
      </c>
      <c r="CC3575" s="66">
        <v>4700</v>
      </c>
      <c r="CM3575" s="65">
        <v>1.2</v>
      </c>
      <c r="CN3575" s="65">
        <v>1.2</v>
      </c>
      <c r="DA3575" s="65" t="s">
        <v>4458</v>
      </c>
      <c r="DB3575" s="65">
        <v>15.9</v>
      </c>
      <c r="DC3575" s="65">
        <v>15.3</v>
      </c>
      <c r="DF3575" s="65" t="s">
        <v>3252</v>
      </c>
      <c r="DG3575" s="65">
        <v>13.9</v>
      </c>
      <c r="DH3575" s="65">
        <v>12.5</v>
      </c>
      <c r="DK3575" s="65" t="s">
        <v>2242</v>
      </c>
      <c r="DL3575" s="65">
        <v>0.28999999999999998</v>
      </c>
      <c r="DM3575" s="65">
        <v>0.22</v>
      </c>
      <c r="DP3575" s="65" t="s">
        <v>3253</v>
      </c>
      <c r="DQ3575" s="165">
        <v>4.2</v>
      </c>
      <c r="DR3575" s="165">
        <v>4.2</v>
      </c>
      <c r="DV3575" s="65">
        <f>1.8+0.43</f>
        <v>2.23</v>
      </c>
      <c r="DW3575" s="65">
        <v>2.1</v>
      </c>
      <c r="DZ3575" s="65" t="s">
        <v>3254</v>
      </c>
      <c r="GP3575" s="292" t="s">
        <v>7494</v>
      </c>
      <c r="GY3575" s="65">
        <v>1.2</v>
      </c>
      <c r="GZ3575" s="65">
        <v>3.4</v>
      </c>
      <c r="HC3575" s="65" t="s">
        <v>3255</v>
      </c>
      <c r="JU3575" s="55" t="s">
        <v>3256</v>
      </c>
    </row>
    <row r="3576" spans="1:281" x14ac:dyDescent="0.25">
      <c r="A3576" s="55">
        <v>3575</v>
      </c>
      <c r="B3576" s="12" t="s">
        <v>7067</v>
      </c>
      <c r="C3576" s="155">
        <v>165</v>
      </c>
      <c r="D3576" s="55" t="s">
        <v>3257</v>
      </c>
      <c r="E3576" s="90" t="s">
        <v>3240</v>
      </c>
      <c r="G3576" s="55" t="s">
        <v>3241</v>
      </c>
      <c r="H3576" s="55">
        <v>2002</v>
      </c>
      <c r="I3576" s="55">
        <v>2001</v>
      </c>
      <c r="J3576" s="55" t="s">
        <v>112</v>
      </c>
      <c r="K3576" s="55" t="s">
        <v>3243</v>
      </c>
      <c r="L3576" s="55" t="s">
        <v>2750</v>
      </c>
      <c r="M3576" s="90">
        <f>-13-39/60</f>
        <v>-13.65</v>
      </c>
      <c r="N3576" s="90">
        <f>32+34/60</f>
        <v>32.56666666666667</v>
      </c>
      <c r="O3576" s="90">
        <v>1028</v>
      </c>
      <c r="Q3576" s="55">
        <v>20.5</v>
      </c>
      <c r="S3576" s="90">
        <v>960</v>
      </c>
      <c r="U3576" s="55" t="s">
        <v>1816</v>
      </c>
      <c r="V3576" s="55" t="s">
        <v>1682</v>
      </c>
      <c r="Y3576" s="55" t="s">
        <v>1947</v>
      </c>
      <c r="Z3576" s="55" t="s">
        <v>1346</v>
      </c>
      <c r="AA3576" s="90" t="s">
        <v>1675</v>
      </c>
      <c r="AE3576" s="90">
        <v>61</v>
      </c>
      <c r="AF3576" s="90">
        <v>11</v>
      </c>
      <c r="AH3576" s="55" t="s">
        <v>238</v>
      </c>
      <c r="AI3576" s="168">
        <v>5.3</v>
      </c>
      <c r="AJ3576" s="90">
        <v>1.02</v>
      </c>
      <c r="AM3576" s="55" t="s">
        <v>2677</v>
      </c>
      <c r="AN3576" s="185" t="s">
        <v>3248</v>
      </c>
      <c r="AO3576" s="185" t="s">
        <v>5150</v>
      </c>
      <c r="AQ3576" s="55" t="s">
        <v>1547</v>
      </c>
      <c r="AR3576" s="55" t="s">
        <v>1607</v>
      </c>
      <c r="AS3576" s="55" t="s">
        <v>132</v>
      </c>
      <c r="AU3576" s="181" t="s">
        <v>7494</v>
      </c>
      <c r="AV3576" s="185" t="s">
        <v>176</v>
      </c>
      <c r="AX3576" s="185" t="s">
        <v>176</v>
      </c>
      <c r="BK3576" s="55" t="s">
        <v>6333</v>
      </c>
      <c r="BM3576" s="192" t="s">
        <v>2702</v>
      </c>
      <c r="BN3576" s="55">
        <v>3</v>
      </c>
      <c r="BO3576" s="55">
        <v>3</v>
      </c>
      <c r="BQ3576" s="55" t="s">
        <v>141</v>
      </c>
      <c r="BV3576" s="55" t="s">
        <v>3251</v>
      </c>
      <c r="BW3576" s="65">
        <v>2100</v>
      </c>
      <c r="BX3576" s="65">
        <v>3900</v>
      </c>
      <c r="CA3576" s="65" t="s">
        <v>2861</v>
      </c>
      <c r="CB3576" s="66">
        <v>900</v>
      </c>
      <c r="CC3576" s="66">
        <v>3300</v>
      </c>
      <c r="CM3576" s="65">
        <v>1.2</v>
      </c>
      <c r="CN3576" s="65">
        <v>1.6</v>
      </c>
      <c r="DA3576" s="65" t="s">
        <v>4458</v>
      </c>
      <c r="DB3576" s="65">
        <v>15.9</v>
      </c>
      <c r="DC3576" s="65">
        <v>13.5</v>
      </c>
      <c r="DF3576" s="65" t="s">
        <v>3252</v>
      </c>
      <c r="DG3576" s="65">
        <v>13.9</v>
      </c>
      <c r="DH3576" s="65">
        <v>12.1</v>
      </c>
      <c r="DK3576" s="65" t="s">
        <v>2242</v>
      </c>
      <c r="DL3576" s="65">
        <v>0.28999999999999998</v>
      </c>
      <c r="DM3576" s="65">
        <v>0.23</v>
      </c>
      <c r="DP3576" s="65" t="s">
        <v>3253</v>
      </c>
      <c r="DQ3576" s="165">
        <v>4.2</v>
      </c>
      <c r="DR3576" s="165">
        <v>4.3</v>
      </c>
      <c r="DV3576" s="65">
        <f>1.8+0.43</f>
        <v>2.23</v>
      </c>
      <c r="DW3576" s="65">
        <v>2.37</v>
      </c>
      <c r="DZ3576" s="65" t="s">
        <v>3254</v>
      </c>
      <c r="GP3576" s="292" t="s">
        <v>7494</v>
      </c>
      <c r="GY3576" s="65">
        <v>1.2</v>
      </c>
      <c r="GZ3576" s="65">
        <v>1.8</v>
      </c>
      <c r="HC3576" s="65" t="s">
        <v>3255</v>
      </c>
      <c r="JU3576" s="55" t="s">
        <v>3256</v>
      </c>
    </row>
    <row r="3577" spans="1:281" x14ac:dyDescent="0.25">
      <c r="A3577" s="55">
        <v>3576</v>
      </c>
      <c r="B3577" s="12" t="s">
        <v>7067</v>
      </c>
      <c r="C3577" s="155">
        <v>165</v>
      </c>
      <c r="D3577" s="55" t="s">
        <v>3257</v>
      </c>
      <c r="E3577" s="90" t="s">
        <v>3240</v>
      </c>
      <c r="G3577" s="55" t="s">
        <v>3241</v>
      </c>
      <c r="H3577" s="55">
        <v>2002</v>
      </c>
      <c r="I3577" s="55">
        <v>2001</v>
      </c>
      <c r="J3577" s="55" t="s">
        <v>112</v>
      </c>
      <c r="K3577" s="55" t="s">
        <v>3243</v>
      </c>
      <c r="L3577" s="55" t="s">
        <v>2750</v>
      </c>
      <c r="M3577" s="90">
        <f>-13-39/60</f>
        <v>-13.65</v>
      </c>
      <c r="N3577" s="90">
        <f>32+34/60</f>
        <v>32.56666666666667</v>
      </c>
      <c r="O3577" s="90">
        <v>1028</v>
      </c>
      <c r="Q3577" s="55">
        <v>20.5</v>
      </c>
      <c r="S3577" s="90">
        <v>960</v>
      </c>
      <c r="U3577" s="55" t="s">
        <v>1816</v>
      </c>
      <c r="V3577" s="55" t="s">
        <v>1682</v>
      </c>
      <c r="Y3577" s="55" t="s">
        <v>1947</v>
      </c>
      <c r="Z3577" s="55" t="s">
        <v>1346</v>
      </c>
      <c r="AA3577" s="90" t="s">
        <v>1675</v>
      </c>
      <c r="AE3577" s="90">
        <v>61</v>
      </c>
      <c r="AF3577" s="90">
        <v>11</v>
      </c>
      <c r="AH3577" s="55" t="s">
        <v>238</v>
      </c>
      <c r="AI3577" s="168">
        <v>5.3</v>
      </c>
      <c r="AJ3577" s="90">
        <v>1.02</v>
      </c>
      <c r="AM3577" s="55" t="s">
        <v>2677</v>
      </c>
      <c r="AN3577" s="185" t="s">
        <v>2599</v>
      </c>
      <c r="AO3577" s="185" t="s">
        <v>5150</v>
      </c>
      <c r="AQ3577" s="55" t="s">
        <v>553</v>
      </c>
      <c r="AR3577" s="55" t="s">
        <v>1607</v>
      </c>
      <c r="AS3577" s="55" t="s">
        <v>132</v>
      </c>
      <c r="AU3577" s="181" t="s">
        <v>7494</v>
      </c>
      <c r="AV3577" s="185" t="s">
        <v>176</v>
      </c>
      <c r="AX3577" s="185" t="s">
        <v>176</v>
      </c>
      <c r="BK3577" s="55" t="s">
        <v>6333</v>
      </c>
      <c r="BM3577" s="192" t="s">
        <v>2702</v>
      </c>
      <c r="BN3577" s="55">
        <v>3</v>
      </c>
      <c r="BO3577" s="55">
        <v>3</v>
      </c>
      <c r="BQ3577" s="55" t="s">
        <v>141</v>
      </c>
      <c r="BV3577" s="55" t="s">
        <v>3251</v>
      </c>
      <c r="BW3577" s="65">
        <v>2100</v>
      </c>
      <c r="BX3577" s="65">
        <v>4000</v>
      </c>
      <c r="CA3577" s="65" t="s">
        <v>2861</v>
      </c>
      <c r="CB3577" s="66">
        <v>900</v>
      </c>
      <c r="CC3577" s="66">
        <v>2700</v>
      </c>
      <c r="CM3577" s="65">
        <v>1.2</v>
      </c>
      <c r="CN3577" s="65">
        <v>1.2</v>
      </c>
      <c r="DA3577" s="65" t="s">
        <v>4458</v>
      </c>
      <c r="DB3577" s="65">
        <v>15.9</v>
      </c>
      <c r="DC3577" s="65">
        <v>14.2</v>
      </c>
      <c r="DF3577" s="65" t="s">
        <v>3252</v>
      </c>
      <c r="DG3577" s="65">
        <v>13.9</v>
      </c>
      <c r="DH3577" s="65">
        <v>12.5</v>
      </c>
      <c r="DK3577" s="65" t="s">
        <v>2242</v>
      </c>
      <c r="DL3577" s="65">
        <v>0.28999999999999998</v>
      </c>
      <c r="DM3577" s="65">
        <v>0.22</v>
      </c>
      <c r="DP3577" s="65" t="s">
        <v>3253</v>
      </c>
      <c r="DQ3577" s="165">
        <v>4.2</v>
      </c>
      <c r="DR3577" s="165">
        <v>4.8</v>
      </c>
      <c r="DV3577" s="65">
        <f>1.8+0.43</f>
        <v>2.23</v>
      </c>
      <c r="DW3577" s="65">
        <v>3.9</v>
      </c>
      <c r="DZ3577" s="65" t="s">
        <v>3254</v>
      </c>
      <c r="GP3577" s="292" t="s">
        <v>7494</v>
      </c>
      <c r="GY3577" s="65">
        <v>1.2</v>
      </c>
      <c r="GZ3577" s="65">
        <v>1.7</v>
      </c>
      <c r="HC3577" s="65" t="s">
        <v>3255</v>
      </c>
      <c r="JU3577" s="55" t="s">
        <v>3256</v>
      </c>
    </row>
    <row r="3578" spans="1:281" x14ac:dyDescent="0.25">
      <c r="A3578" s="55">
        <v>3577</v>
      </c>
      <c r="B3578" s="12" t="s">
        <v>7067</v>
      </c>
      <c r="C3578" s="155">
        <v>165</v>
      </c>
      <c r="D3578" s="55" t="s">
        <v>3257</v>
      </c>
      <c r="E3578" s="90" t="s">
        <v>3240</v>
      </c>
      <c r="G3578" s="55" t="s">
        <v>3241</v>
      </c>
      <c r="H3578" s="55">
        <v>2002</v>
      </c>
      <c r="I3578" s="55">
        <v>2001</v>
      </c>
      <c r="J3578" s="55" t="s">
        <v>112</v>
      </c>
      <c r="K3578" s="55" t="s">
        <v>3243</v>
      </c>
      <c r="L3578" s="55" t="s">
        <v>2750</v>
      </c>
      <c r="M3578" s="90">
        <f>-13-39/60</f>
        <v>-13.65</v>
      </c>
      <c r="N3578" s="90">
        <f>32+34/60</f>
        <v>32.56666666666667</v>
      </c>
      <c r="O3578" s="90">
        <v>1028</v>
      </c>
      <c r="Q3578" s="55">
        <v>20.5</v>
      </c>
      <c r="S3578" s="90">
        <v>960</v>
      </c>
      <c r="U3578" s="55" t="s">
        <v>1816</v>
      </c>
      <c r="V3578" s="55" t="s">
        <v>1682</v>
      </c>
      <c r="Y3578" s="55" t="s">
        <v>1947</v>
      </c>
      <c r="Z3578" s="55" t="s">
        <v>1346</v>
      </c>
      <c r="AA3578" s="90" t="s">
        <v>1675</v>
      </c>
      <c r="AE3578" s="90">
        <v>61</v>
      </c>
      <c r="AF3578" s="90">
        <v>11</v>
      </c>
      <c r="AH3578" s="55" t="s">
        <v>238</v>
      </c>
      <c r="AI3578" s="168">
        <v>5.3</v>
      </c>
      <c r="AJ3578" s="90">
        <v>1.02</v>
      </c>
      <c r="AM3578" s="55" t="s">
        <v>2677</v>
      </c>
      <c r="AN3578" s="185" t="s">
        <v>2666</v>
      </c>
      <c r="AO3578" s="185" t="s">
        <v>5150</v>
      </c>
      <c r="AQ3578" s="55" t="s">
        <v>553</v>
      </c>
      <c r="AR3578" s="55" t="s">
        <v>1607</v>
      </c>
      <c r="AS3578" s="55" t="s">
        <v>132</v>
      </c>
      <c r="AU3578" s="181" t="s">
        <v>7494</v>
      </c>
      <c r="AV3578" s="185" t="s">
        <v>176</v>
      </c>
      <c r="AX3578" s="185" t="s">
        <v>176</v>
      </c>
      <c r="BK3578" s="55" t="s">
        <v>6333</v>
      </c>
      <c r="BM3578" s="192" t="s">
        <v>2702</v>
      </c>
      <c r="BN3578" s="55">
        <v>3</v>
      </c>
      <c r="BO3578" s="55">
        <v>3</v>
      </c>
      <c r="BQ3578" s="55" t="s">
        <v>141</v>
      </c>
      <c r="BV3578" s="55" t="s">
        <v>3251</v>
      </c>
      <c r="BW3578" s="65">
        <v>2100</v>
      </c>
      <c r="BX3578" s="65">
        <v>3500</v>
      </c>
      <c r="CA3578" s="65" t="s">
        <v>2861</v>
      </c>
      <c r="CB3578" s="66">
        <v>900</v>
      </c>
      <c r="CC3578" s="66">
        <v>2400</v>
      </c>
      <c r="CM3578" s="65">
        <v>1.2</v>
      </c>
      <c r="CN3578" s="65">
        <v>1.2</v>
      </c>
      <c r="DA3578" s="65" t="s">
        <v>4458</v>
      </c>
      <c r="DB3578" s="65">
        <v>15.9</v>
      </c>
      <c r="DC3578" s="65">
        <v>14.6</v>
      </c>
      <c r="DF3578" s="65" t="s">
        <v>3252</v>
      </c>
      <c r="DG3578" s="65">
        <v>13.9</v>
      </c>
      <c r="DH3578" s="65">
        <v>12.4</v>
      </c>
      <c r="DK3578" s="65" t="s">
        <v>2242</v>
      </c>
      <c r="DL3578" s="65">
        <v>0.28999999999999998</v>
      </c>
      <c r="DM3578" s="65">
        <v>0.3</v>
      </c>
      <c r="DP3578" s="65" t="s">
        <v>3253</v>
      </c>
      <c r="DQ3578" s="165">
        <v>4.2</v>
      </c>
      <c r="DR3578" s="165">
        <v>4.5</v>
      </c>
      <c r="DV3578" s="65">
        <f>1.8+0.43</f>
        <v>2.23</v>
      </c>
      <c r="DW3578" s="65">
        <v>2.5</v>
      </c>
      <c r="DZ3578" s="65" t="s">
        <v>3254</v>
      </c>
      <c r="GP3578" s="292" t="s">
        <v>7494</v>
      </c>
      <c r="GY3578" s="65">
        <v>1.2</v>
      </c>
      <c r="GZ3578" s="65">
        <v>1.6</v>
      </c>
      <c r="HC3578" s="65" t="s">
        <v>3255</v>
      </c>
      <c r="JU3578" s="55" t="s">
        <v>3256</v>
      </c>
    </row>
    <row r="3579" spans="1:281" x14ac:dyDescent="0.25">
      <c r="A3579" s="55">
        <v>3578</v>
      </c>
      <c r="B3579" s="12" t="s">
        <v>7067</v>
      </c>
      <c r="C3579" s="155">
        <v>165</v>
      </c>
      <c r="D3579" s="55" t="s">
        <v>3257</v>
      </c>
      <c r="E3579" s="90" t="s">
        <v>3240</v>
      </c>
      <c r="G3579" s="55" t="s">
        <v>3241</v>
      </c>
      <c r="H3579" s="55">
        <v>2002</v>
      </c>
      <c r="I3579" s="55">
        <v>2001</v>
      </c>
      <c r="J3579" s="55" t="s">
        <v>112</v>
      </c>
      <c r="K3579" s="55" t="s">
        <v>3243</v>
      </c>
      <c r="L3579" s="55" t="s">
        <v>2750</v>
      </c>
      <c r="M3579" s="90">
        <f>-13-39/60</f>
        <v>-13.65</v>
      </c>
      <c r="N3579" s="90">
        <f>32+34/60</f>
        <v>32.56666666666667</v>
      </c>
      <c r="O3579" s="90">
        <v>1028</v>
      </c>
      <c r="Q3579" s="55">
        <v>20.5</v>
      </c>
      <c r="S3579" s="90">
        <v>960</v>
      </c>
      <c r="U3579" s="55" t="s">
        <v>1816</v>
      </c>
      <c r="V3579" s="55" t="s">
        <v>1682</v>
      </c>
      <c r="Y3579" s="55" t="s">
        <v>1947</v>
      </c>
      <c r="Z3579" s="55" t="s">
        <v>1346</v>
      </c>
      <c r="AA3579" s="90" t="s">
        <v>1675</v>
      </c>
      <c r="AE3579" s="90">
        <v>61</v>
      </c>
      <c r="AF3579" s="90">
        <v>11</v>
      </c>
      <c r="AH3579" s="55" t="s">
        <v>238</v>
      </c>
      <c r="AI3579" s="168">
        <v>5.3</v>
      </c>
      <c r="AJ3579" s="90">
        <v>1.02</v>
      </c>
      <c r="AM3579" s="55" t="s">
        <v>2677</v>
      </c>
      <c r="AN3579" s="185" t="s">
        <v>3249</v>
      </c>
      <c r="AO3579" s="185" t="s">
        <v>5150</v>
      </c>
      <c r="AQ3579" s="55" t="s">
        <v>1547</v>
      </c>
      <c r="AR3579" s="55" t="s">
        <v>1607</v>
      </c>
      <c r="AS3579" s="55" t="s">
        <v>132</v>
      </c>
      <c r="AU3579" s="181" t="s">
        <v>7494</v>
      </c>
      <c r="AV3579" s="185" t="s">
        <v>176</v>
      </c>
      <c r="AX3579" s="185" t="s">
        <v>176</v>
      </c>
      <c r="BK3579" s="55" t="s">
        <v>6333</v>
      </c>
      <c r="BM3579" s="192" t="s">
        <v>2702</v>
      </c>
      <c r="BN3579" s="55">
        <v>3</v>
      </c>
      <c r="BO3579" s="55">
        <v>3</v>
      </c>
      <c r="BQ3579" s="55" t="s">
        <v>141</v>
      </c>
      <c r="BV3579" s="55" t="s">
        <v>3251</v>
      </c>
      <c r="BW3579" s="65">
        <v>2100</v>
      </c>
      <c r="BX3579" s="65">
        <v>4400</v>
      </c>
      <c r="CA3579" s="65" t="s">
        <v>2861</v>
      </c>
      <c r="CB3579" s="66">
        <v>900</v>
      </c>
      <c r="CC3579" s="66">
        <v>3600</v>
      </c>
      <c r="CM3579" s="65">
        <v>1.2</v>
      </c>
      <c r="CN3579" s="65">
        <v>1.1000000000000001</v>
      </c>
      <c r="DA3579" s="65" t="s">
        <v>4458</v>
      </c>
      <c r="DB3579" s="65">
        <v>15.9</v>
      </c>
      <c r="DC3579" s="65">
        <v>12.8</v>
      </c>
      <c r="DF3579" s="65" t="s">
        <v>3252</v>
      </c>
      <c r="DG3579" s="65">
        <v>13.9</v>
      </c>
      <c r="DH3579" s="65">
        <v>13</v>
      </c>
      <c r="DK3579" s="65" t="s">
        <v>2242</v>
      </c>
      <c r="DL3579" s="65">
        <v>0.28999999999999998</v>
      </c>
      <c r="DM3579" s="65">
        <v>0.18</v>
      </c>
      <c r="DP3579" s="65" t="s">
        <v>3253</v>
      </c>
      <c r="DQ3579" s="165">
        <v>4.2</v>
      </c>
      <c r="DR3579" s="165">
        <v>4.2</v>
      </c>
      <c r="DV3579" s="65">
        <f>1.8+0.43</f>
        <v>2.23</v>
      </c>
      <c r="DW3579" s="65">
        <v>2.37</v>
      </c>
      <c r="DZ3579" s="65" t="s">
        <v>3254</v>
      </c>
      <c r="GP3579" s="292" t="s">
        <v>7494</v>
      </c>
      <c r="GY3579" s="65">
        <v>1.2</v>
      </c>
      <c r="GZ3579" s="65">
        <v>1.7</v>
      </c>
      <c r="HC3579" s="65" t="s">
        <v>3255</v>
      </c>
      <c r="JU3579" s="55" t="s">
        <v>3256</v>
      </c>
    </row>
    <row r="3580" spans="1:281" x14ac:dyDescent="0.25">
      <c r="A3580" s="55">
        <v>3579</v>
      </c>
      <c r="B3580" s="12" t="s">
        <v>7067</v>
      </c>
      <c r="C3580" s="155">
        <v>165</v>
      </c>
      <c r="D3580" s="55" t="s">
        <v>3258</v>
      </c>
      <c r="E3580" s="90" t="s">
        <v>3240</v>
      </c>
      <c r="G3580" s="55" t="s">
        <v>3241</v>
      </c>
      <c r="H3580" s="55">
        <v>2002</v>
      </c>
      <c r="I3580" s="55">
        <v>2001</v>
      </c>
      <c r="J3580" s="55" t="s">
        <v>112</v>
      </c>
      <c r="K3580" s="55" t="s">
        <v>3243</v>
      </c>
      <c r="L3580" s="55" t="s">
        <v>2750</v>
      </c>
      <c r="M3580" s="90">
        <f>-13-39/60</f>
        <v>-13.65</v>
      </c>
      <c r="N3580" s="90">
        <f>32+34/60</f>
        <v>32.56666666666667</v>
      </c>
      <c r="O3580" s="90">
        <v>1028</v>
      </c>
      <c r="Q3580" s="55">
        <v>20.5</v>
      </c>
      <c r="S3580" s="90">
        <v>960</v>
      </c>
      <c r="U3580" s="55" t="s">
        <v>1816</v>
      </c>
      <c r="V3580" s="55" t="s">
        <v>1682</v>
      </c>
      <c r="Y3580" s="55" t="s">
        <v>1947</v>
      </c>
      <c r="Z3580" s="55" t="s">
        <v>1346</v>
      </c>
      <c r="AA3580" s="90" t="s">
        <v>1675</v>
      </c>
      <c r="AE3580" s="90">
        <v>61</v>
      </c>
      <c r="AF3580" s="90">
        <v>11</v>
      </c>
      <c r="AH3580" s="55" t="s">
        <v>238</v>
      </c>
      <c r="AI3580" s="168">
        <v>5.3</v>
      </c>
      <c r="AJ3580" s="90">
        <v>1.02</v>
      </c>
      <c r="AM3580" s="55" t="s">
        <v>2677</v>
      </c>
      <c r="AN3580" s="185" t="s">
        <v>2773</v>
      </c>
      <c r="AO3580" s="185" t="s">
        <v>5150</v>
      </c>
      <c r="AQ3580" s="55" t="s">
        <v>553</v>
      </c>
      <c r="AR3580" s="55" t="s">
        <v>1607</v>
      </c>
      <c r="AS3580" s="55" t="s">
        <v>132</v>
      </c>
      <c r="AU3580" s="181" t="s">
        <v>7494</v>
      </c>
      <c r="AV3580" s="185" t="s">
        <v>176</v>
      </c>
      <c r="AX3580" s="185" t="s">
        <v>176</v>
      </c>
      <c r="BK3580" s="55" t="s">
        <v>6333</v>
      </c>
      <c r="BM3580" s="192" t="s">
        <v>3250</v>
      </c>
      <c r="BN3580" s="55">
        <v>3</v>
      </c>
      <c r="BO3580" s="55">
        <v>3</v>
      </c>
      <c r="BQ3580" s="55" t="s">
        <v>141</v>
      </c>
      <c r="BV3580" s="55" t="s">
        <v>3251</v>
      </c>
      <c r="BW3580" s="65">
        <v>2600</v>
      </c>
      <c r="BX3580" s="65">
        <v>4300</v>
      </c>
      <c r="CA3580" s="65" t="s">
        <v>2861</v>
      </c>
      <c r="CB3580" s="66">
        <v>1300</v>
      </c>
      <c r="CC3580" s="66">
        <v>3900</v>
      </c>
      <c r="CM3580" s="65">
        <v>1</v>
      </c>
      <c r="CN3580" s="65">
        <v>1.5</v>
      </c>
      <c r="DA3580" s="65" t="s">
        <v>4458</v>
      </c>
      <c r="DB3580" s="65">
        <v>10.1</v>
      </c>
      <c r="DC3580" s="65">
        <v>22.7</v>
      </c>
      <c r="DF3580" s="65" t="s">
        <v>3252</v>
      </c>
      <c r="DG3580" s="65">
        <v>9.3000000000000007</v>
      </c>
      <c r="DH3580" s="65">
        <v>12.4</v>
      </c>
      <c r="DK3580" s="65" t="s">
        <v>2242</v>
      </c>
      <c r="DL3580" s="65">
        <v>0.25</v>
      </c>
      <c r="DM3580" s="65">
        <v>0.28999999999999998</v>
      </c>
      <c r="DP3580" s="65" t="s">
        <v>3253</v>
      </c>
      <c r="DQ3580" s="165">
        <v>4.4000000000000004</v>
      </c>
      <c r="DR3580" s="165">
        <v>4.2</v>
      </c>
      <c r="DV3580" s="65">
        <f>2.53</f>
        <v>2.5299999999999998</v>
      </c>
      <c r="DW3580" s="65">
        <v>1.93</v>
      </c>
      <c r="DZ3580" s="65" t="s">
        <v>3254</v>
      </c>
      <c r="GP3580" s="292" t="s">
        <v>7494</v>
      </c>
      <c r="GY3580" s="65">
        <v>1.3</v>
      </c>
      <c r="GZ3580" s="65">
        <v>3.6</v>
      </c>
      <c r="HC3580" s="65" t="s">
        <v>3255</v>
      </c>
      <c r="JU3580" s="55" t="s">
        <v>3256</v>
      </c>
    </row>
    <row r="3581" spans="1:281" x14ac:dyDescent="0.25">
      <c r="A3581" s="55">
        <v>3580</v>
      </c>
      <c r="B3581" s="12" t="s">
        <v>7067</v>
      </c>
      <c r="C3581" s="155">
        <v>165</v>
      </c>
      <c r="D3581" s="55" t="s">
        <v>3258</v>
      </c>
      <c r="E3581" s="90" t="s">
        <v>3240</v>
      </c>
      <c r="G3581" s="55" t="s">
        <v>3241</v>
      </c>
      <c r="H3581" s="55">
        <v>2002</v>
      </c>
      <c r="I3581" s="55">
        <v>2001</v>
      </c>
      <c r="J3581" s="55" t="s">
        <v>112</v>
      </c>
      <c r="K3581" s="55" t="s">
        <v>3243</v>
      </c>
      <c r="L3581" s="55" t="s">
        <v>2750</v>
      </c>
      <c r="M3581" s="90">
        <f>-13-39/60</f>
        <v>-13.65</v>
      </c>
      <c r="N3581" s="90">
        <f>32+34/60</f>
        <v>32.56666666666667</v>
      </c>
      <c r="O3581" s="90">
        <v>1028</v>
      </c>
      <c r="Q3581" s="55">
        <v>20.5</v>
      </c>
      <c r="S3581" s="90">
        <v>960</v>
      </c>
      <c r="U3581" s="55" t="s">
        <v>1816</v>
      </c>
      <c r="V3581" s="55" t="s">
        <v>1682</v>
      </c>
      <c r="Y3581" s="55" t="s">
        <v>1947</v>
      </c>
      <c r="Z3581" s="55" t="s">
        <v>1346</v>
      </c>
      <c r="AA3581" s="90" t="s">
        <v>1675</v>
      </c>
      <c r="AE3581" s="90">
        <v>61</v>
      </c>
      <c r="AF3581" s="90">
        <v>11</v>
      </c>
      <c r="AH3581" s="55" t="s">
        <v>238</v>
      </c>
      <c r="AI3581" s="168">
        <v>5.3</v>
      </c>
      <c r="AJ3581" s="90">
        <v>1.02</v>
      </c>
      <c r="AM3581" s="55" t="s">
        <v>2677</v>
      </c>
      <c r="AN3581" s="185" t="s">
        <v>2692</v>
      </c>
      <c r="AO3581" s="185" t="s">
        <v>5150</v>
      </c>
      <c r="AQ3581" s="55" t="s">
        <v>553</v>
      </c>
      <c r="AR3581" s="55" t="s">
        <v>1607</v>
      </c>
      <c r="AS3581" s="55" t="s">
        <v>132</v>
      </c>
      <c r="AU3581" s="181" t="s">
        <v>7494</v>
      </c>
      <c r="AV3581" s="185" t="s">
        <v>176</v>
      </c>
      <c r="AX3581" s="185" t="s">
        <v>176</v>
      </c>
      <c r="BK3581" s="55" t="s">
        <v>6333</v>
      </c>
      <c r="BM3581" s="192" t="s">
        <v>3250</v>
      </c>
      <c r="BN3581" s="55">
        <v>3</v>
      </c>
      <c r="BO3581" s="55">
        <v>3</v>
      </c>
      <c r="BQ3581" s="55" t="s">
        <v>141</v>
      </c>
      <c r="BV3581" s="55" t="s">
        <v>3251</v>
      </c>
      <c r="BW3581" s="65">
        <v>2600</v>
      </c>
      <c r="BX3581" s="65">
        <v>4500</v>
      </c>
      <c r="CA3581" s="65" t="s">
        <v>2861</v>
      </c>
      <c r="CB3581" s="66">
        <v>1300</v>
      </c>
      <c r="CC3581" s="66">
        <v>3500</v>
      </c>
      <c r="CM3581" s="65">
        <v>1</v>
      </c>
      <c r="CN3581" s="65">
        <v>1.1000000000000001</v>
      </c>
      <c r="DA3581" s="65" t="s">
        <v>4458</v>
      </c>
      <c r="DB3581" s="65">
        <v>10.1</v>
      </c>
      <c r="DC3581" s="65">
        <v>19.600000000000001</v>
      </c>
      <c r="DF3581" s="65" t="s">
        <v>3252</v>
      </c>
      <c r="DG3581" s="65">
        <v>9.3000000000000007</v>
      </c>
      <c r="DH3581" s="65">
        <v>12.1</v>
      </c>
      <c r="DK3581" s="65" t="s">
        <v>2242</v>
      </c>
      <c r="DL3581" s="65">
        <v>0.25</v>
      </c>
      <c r="DM3581" s="65">
        <v>0.18</v>
      </c>
      <c r="DP3581" s="65" t="s">
        <v>3253</v>
      </c>
      <c r="DQ3581" s="165">
        <v>4.4000000000000004</v>
      </c>
      <c r="DR3581" s="165">
        <v>4.4000000000000004</v>
      </c>
      <c r="DV3581" s="65">
        <f>2.53</f>
        <v>2.5299999999999998</v>
      </c>
      <c r="DW3581" s="65">
        <v>1.4</v>
      </c>
      <c r="DZ3581" s="65" t="s">
        <v>3254</v>
      </c>
      <c r="GP3581" s="292" t="s">
        <v>7494</v>
      </c>
      <c r="GY3581" s="65">
        <v>1.3</v>
      </c>
      <c r="GZ3581" s="65">
        <v>2.7</v>
      </c>
      <c r="HC3581" s="65" t="s">
        <v>3255</v>
      </c>
      <c r="JU3581" s="55" t="s">
        <v>3256</v>
      </c>
    </row>
    <row r="3582" spans="1:281" x14ac:dyDescent="0.25">
      <c r="A3582" s="55">
        <v>3581</v>
      </c>
      <c r="B3582" s="12" t="s">
        <v>7067</v>
      </c>
      <c r="C3582" s="155">
        <v>165</v>
      </c>
      <c r="D3582" s="55" t="s">
        <v>3258</v>
      </c>
      <c r="E3582" s="90" t="s">
        <v>3240</v>
      </c>
      <c r="G3582" s="55" t="s">
        <v>3241</v>
      </c>
      <c r="H3582" s="55">
        <v>2002</v>
      </c>
      <c r="I3582" s="55">
        <v>2001</v>
      </c>
      <c r="J3582" s="55" t="s">
        <v>112</v>
      </c>
      <c r="K3582" s="55" t="s">
        <v>3243</v>
      </c>
      <c r="L3582" s="55" t="s">
        <v>2750</v>
      </c>
      <c r="M3582" s="90">
        <f>-13-39/60</f>
        <v>-13.65</v>
      </c>
      <c r="N3582" s="90">
        <f>32+34/60</f>
        <v>32.56666666666667</v>
      </c>
      <c r="O3582" s="90">
        <v>1028</v>
      </c>
      <c r="Q3582" s="55">
        <v>20.5</v>
      </c>
      <c r="S3582" s="90">
        <v>960</v>
      </c>
      <c r="U3582" s="55" t="s">
        <v>1816</v>
      </c>
      <c r="V3582" s="55" t="s">
        <v>1682</v>
      </c>
      <c r="Y3582" s="55" t="s">
        <v>1947</v>
      </c>
      <c r="Z3582" s="55" t="s">
        <v>1346</v>
      </c>
      <c r="AA3582" s="90" t="s">
        <v>1675</v>
      </c>
      <c r="AE3582" s="90">
        <v>61</v>
      </c>
      <c r="AF3582" s="90">
        <v>11</v>
      </c>
      <c r="AH3582" s="55" t="s">
        <v>238</v>
      </c>
      <c r="AI3582" s="168">
        <v>5.3</v>
      </c>
      <c r="AJ3582" s="90">
        <v>1.02</v>
      </c>
      <c r="AM3582" s="55" t="s">
        <v>2677</v>
      </c>
      <c r="AN3582" s="185" t="s">
        <v>3244</v>
      </c>
      <c r="AO3582" s="185" t="s">
        <v>5150</v>
      </c>
      <c r="AQ3582" s="55" t="s">
        <v>1547</v>
      </c>
      <c r="AR3582" s="55" t="s">
        <v>1607</v>
      </c>
      <c r="AS3582" s="55" t="s">
        <v>132</v>
      </c>
      <c r="AU3582" s="181" t="s">
        <v>7494</v>
      </c>
      <c r="AV3582" s="185" t="s">
        <v>176</v>
      </c>
      <c r="AX3582" s="185" t="s">
        <v>176</v>
      </c>
      <c r="BK3582" s="55" t="s">
        <v>6333</v>
      </c>
      <c r="BM3582" s="192" t="s">
        <v>3250</v>
      </c>
      <c r="BN3582" s="55">
        <v>3</v>
      </c>
      <c r="BO3582" s="55">
        <v>3</v>
      </c>
      <c r="BQ3582" s="55" t="s">
        <v>141</v>
      </c>
      <c r="BV3582" s="55" t="s">
        <v>3251</v>
      </c>
      <c r="BW3582" s="65">
        <v>2600</v>
      </c>
      <c r="BX3582" s="65">
        <v>4600</v>
      </c>
      <c r="CA3582" s="65" t="s">
        <v>2861</v>
      </c>
      <c r="CB3582" s="66">
        <v>1300</v>
      </c>
      <c r="CC3582" s="66">
        <v>3600</v>
      </c>
      <c r="CM3582" s="65">
        <v>1</v>
      </c>
      <c r="CN3582" s="65">
        <v>1.3</v>
      </c>
      <c r="DA3582" s="65" t="s">
        <v>4458</v>
      </c>
      <c r="DB3582" s="65">
        <v>10.1</v>
      </c>
      <c r="DC3582" s="65">
        <v>17.899999999999999</v>
      </c>
      <c r="DF3582" s="65" t="s">
        <v>3252</v>
      </c>
      <c r="DG3582" s="65">
        <v>9.3000000000000007</v>
      </c>
      <c r="DH3582" s="65">
        <v>12</v>
      </c>
      <c r="DK3582" s="65" t="s">
        <v>2242</v>
      </c>
      <c r="DL3582" s="65">
        <v>0.25</v>
      </c>
      <c r="DM3582" s="65">
        <v>0.24</v>
      </c>
      <c r="DP3582" s="65" t="s">
        <v>3253</v>
      </c>
      <c r="DQ3582" s="165">
        <v>4.4000000000000004</v>
      </c>
      <c r="DR3582" s="165">
        <v>4.2</v>
      </c>
      <c r="DV3582" s="65">
        <f>2.53</f>
        <v>2.5299999999999998</v>
      </c>
      <c r="DW3582" s="65">
        <v>2.13</v>
      </c>
      <c r="DZ3582" s="65" t="s">
        <v>3254</v>
      </c>
      <c r="GP3582" s="292" t="s">
        <v>7494</v>
      </c>
      <c r="GY3582" s="65">
        <v>1.3</v>
      </c>
      <c r="GZ3582" s="65">
        <v>3.9</v>
      </c>
      <c r="HC3582" s="65" t="s">
        <v>3255</v>
      </c>
      <c r="JU3582" s="55" t="s">
        <v>3256</v>
      </c>
    </row>
    <row r="3583" spans="1:281" x14ac:dyDescent="0.25">
      <c r="A3583" s="55">
        <v>3582</v>
      </c>
      <c r="B3583" s="12" t="s">
        <v>7067</v>
      </c>
      <c r="C3583" s="155">
        <v>165</v>
      </c>
      <c r="D3583" s="55" t="s">
        <v>3258</v>
      </c>
      <c r="E3583" s="90" t="s">
        <v>3240</v>
      </c>
      <c r="G3583" s="55" t="s">
        <v>3241</v>
      </c>
      <c r="H3583" s="55">
        <v>2002</v>
      </c>
      <c r="I3583" s="55">
        <v>2001</v>
      </c>
      <c r="J3583" s="55" t="s">
        <v>112</v>
      </c>
      <c r="K3583" s="55" t="s">
        <v>3243</v>
      </c>
      <c r="L3583" s="55" t="s">
        <v>2750</v>
      </c>
      <c r="M3583" s="90">
        <f>-13-39/60</f>
        <v>-13.65</v>
      </c>
      <c r="N3583" s="90">
        <f>32+34/60</f>
        <v>32.56666666666667</v>
      </c>
      <c r="O3583" s="90">
        <v>1028</v>
      </c>
      <c r="Q3583" s="55">
        <v>20.5</v>
      </c>
      <c r="S3583" s="90">
        <v>960</v>
      </c>
      <c r="U3583" s="55" t="s">
        <v>1816</v>
      </c>
      <c r="V3583" s="55" t="s">
        <v>1682</v>
      </c>
      <c r="Y3583" s="55" t="s">
        <v>1947</v>
      </c>
      <c r="Z3583" s="55" t="s">
        <v>1346</v>
      </c>
      <c r="AA3583" s="90" t="s">
        <v>1675</v>
      </c>
      <c r="AE3583" s="90">
        <v>61</v>
      </c>
      <c r="AF3583" s="90">
        <v>11</v>
      </c>
      <c r="AH3583" s="55" t="s">
        <v>238</v>
      </c>
      <c r="AI3583" s="168">
        <v>5.3</v>
      </c>
      <c r="AJ3583" s="90">
        <v>1.02</v>
      </c>
      <c r="AM3583" s="55" t="s">
        <v>2677</v>
      </c>
      <c r="AN3583" s="185" t="s">
        <v>3245</v>
      </c>
      <c r="AO3583" s="185" t="s">
        <v>5150</v>
      </c>
      <c r="AQ3583" s="55" t="s">
        <v>1547</v>
      </c>
      <c r="AR3583" s="55" t="s">
        <v>1607</v>
      </c>
      <c r="AS3583" s="55" t="s">
        <v>132</v>
      </c>
      <c r="AU3583" s="181" t="s">
        <v>7494</v>
      </c>
      <c r="AV3583" s="185" t="s">
        <v>176</v>
      </c>
      <c r="AX3583" s="185" t="s">
        <v>176</v>
      </c>
      <c r="BK3583" s="55" t="s">
        <v>6333</v>
      </c>
      <c r="BM3583" s="192" t="s">
        <v>3250</v>
      </c>
      <c r="BN3583" s="55">
        <v>3</v>
      </c>
      <c r="BO3583" s="55">
        <v>3</v>
      </c>
      <c r="BQ3583" s="55" t="s">
        <v>141</v>
      </c>
      <c r="BV3583" s="55" t="s">
        <v>3251</v>
      </c>
      <c r="BW3583" s="65">
        <v>2600</v>
      </c>
      <c r="BX3583" s="65">
        <v>5500</v>
      </c>
      <c r="CA3583" s="65" t="s">
        <v>2861</v>
      </c>
      <c r="CB3583" s="66">
        <v>1300</v>
      </c>
      <c r="CC3583" s="66">
        <v>4000</v>
      </c>
      <c r="CM3583" s="65">
        <v>1</v>
      </c>
      <c r="CN3583" s="65">
        <v>1.3</v>
      </c>
      <c r="DA3583" s="65" t="s">
        <v>4458</v>
      </c>
      <c r="DB3583" s="65">
        <v>10.1</v>
      </c>
      <c r="DC3583" s="65">
        <v>19.8</v>
      </c>
      <c r="DF3583" s="65" t="s">
        <v>3252</v>
      </c>
      <c r="DG3583" s="65">
        <v>9.3000000000000007</v>
      </c>
      <c r="DH3583" s="65">
        <v>11.9</v>
      </c>
      <c r="DK3583" s="65" t="s">
        <v>2242</v>
      </c>
      <c r="DL3583" s="65">
        <v>0.25</v>
      </c>
      <c r="DM3583" s="65">
        <v>0.3</v>
      </c>
      <c r="DP3583" s="65" t="s">
        <v>3253</v>
      </c>
      <c r="DQ3583" s="165">
        <v>4.4000000000000004</v>
      </c>
      <c r="DR3583" s="165">
        <v>4.3</v>
      </c>
      <c r="DV3583" s="65">
        <f>2.53</f>
        <v>2.5299999999999998</v>
      </c>
      <c r="DW3583" s="65">
        <v>2.8</v>
      </c>
      <c r="DZ3583" s="65" t="s">
        <v>3254</v>
      </c>
      <c r="GP3583" s="292" t="s">
        <v>7494</v>
      </c>
      <c r="GY3583" s="65">
        <v>1.3</v>
      </c>
      <c r="GZ3583" s="65">
        <v>3.4</v>
      </c>
      <c r="HC3583" s="65" t="s">
        <v>3255</v>
      </c>
      <c r="JU3583" s="55" t="s">
        <v>3256</v>
      </c>
    </row>
    <row r="3584" spans="1:281" x14ac:dyDescent="0.25">
      <c r="A3584" s="55">
        <v>3583</v>
      </c>
      <c r="B3584" s="12" t="s">
        <v>7067</v>
      </c>
      <c r="C3584" s="155">
        <v>165</v>
      </c>
      <c r="D3584" s="55" t="s">
        <v>3258</v>
      </c>
      <c r="E3584" s="90" t="s">
        <v>3240</v>
      </c>
      <c r="G3584" s="55" t="s">
        <v>3241</v>
      </c>
      <c r="H3584" s="55">
        <v>2002</v>
      </c>
      <c r="I3584" s="55">
        <v>2001</v>
      </c>
      <c r="J3584" s="55" t="s">
        <v>112</v>
      </c>
      <c r="K3584" s="55" t="s">
        <v>3243</v>
      </c>
      <c r="L3584" s="55" t="s">
        <v>2750</v>
      </c>
      <c r="M3584" s="90">
        <f>-13-39/60</f>
        <v>-13.65</v>
      </c>
      <c r="N3584" s="90">
        <f>32+34/60</f>
        <v>32.56666666666667</v>
      </c>
      <c r="O3584" s="90">
        <v>1028</v>
      </c>
      <c r="Q3584" s="55">
        <v>20.5</v>
      </c>
      <c r="S3584" s="90">
        <v>960</v>
      </c>
      <c r="U3584" s="55" t="s">
        <v>1816</v>
      </c>
      <c r="V3584" s="55" t="s">
        <v>1682</v>
      </c>
      <c r="Y3584" s="55" t="s">
        <v>1947</v>
      </c>
      <c r="Z3584" s="55" t="s">
        <v>1346</v>
      </c>
      <c r="AA3584" s="90" t="s">
        <v>1675</v>
      </c>
      <c r="AE3584" s="90">
        <v>61</v>
      </c>
      <c r="AF3584" s="90">
        <v>11</v>
      </c>
      <c r="AH3584" s="55" t="s">
        <v>238</v>
      </c>
      <c r="AI3584" s="168">
        <v>5.3</v>
      </c>
      <c r="AJ3584" s="90">
        <v>1.02</v>
      </c>
      <c r="AM3584" s="55" t="s">
        <v>2677</v>
      </c>
      <c r="AN3584" s="185" t="s">
        <v>3246</v>
      </c>
      <c r="AO3584" s="185" t="s">
        <v>5150</v>
      </c>
      <c r="AQ3584" s="55" t="s">
        <v>1547</v>
      </c>
      <c r="AR3584" s="55" t="s">
        <v>1607</v>
      </c>
      <c r="AS3584" s="55" t="s">
        <v>132</v>
      </c>
      <c r="AU3584" s="181" t="s">
        <v>7494</v>
      </c>
      <c r="AV3584" s="185" t="s">
        <v>176</v>
      </c>
      <c r="AX3584" s="185" t="s">
        <v>176</v>
      </c>
      <c r="BK3584" s="55" t="s">
        <v>6333</v>
      </c>
      <c r="BM3584" s="192" t="s">
        <v>3250</v>
      </c>
      <c r="BN3584" s="55">
        <v>3</v>
      </c>
      <c r="BO3584" s="55">
        <v>3</v>
      </c>
      <c r="BQ3584" s="55" t="s">
        <v>141</v>
      </c>
      <c r="BV3584" s="55" t="s">
        <v>3251</v>
      </c>
      <c r="BW3584" s="65">
        <v>2600</v>
      </c>
      <c r="BX3584" s="65">
        <v>4600</v>
      </c>
      <c r="CA3584" s="65" t="s">
        <v>2861</v>
      </c>
      <c r="CB3584" s="66">
        <v>1300</v>
      </c>
      <c r="CC3584" s="66">
        <v>4500</v>
      </c>
      <c r="CM3584" s="65">
        <v>1</v>
      </c>
      <c r="CN3584" s="65">
        <v>1.2</v>
      </c>
      <c r="DA3584" s="65" t="s">
        <v>4458</v>
      </c>
      <c r="DB3584" s="65">
        <v>10.1</v>
      </c>
      <c r="DC3584" s="65">
        <v>17.399999999999999</v>
      </c>
      <c r="DF3584" s="65" t="s">
        <v>3252</v>
      </c>
      <c r="DG3584" s="65">
        <v>9.3000000000000007</v>
      </c>
      <c r="DH3584" s="65">
        <v>13.7</v>
      </c>
      <c r="DK3584" s="65" t="s">
        <v>2242</v>
      </c>
      <c r="DL3584" s="65">
        <v>0.25</v>
      </c>
      <c r="DM3584" s="65">
        <v>0.28000000000000003</v>
      </c>
      <c r="DP3584" s="65" t="s">
        <v>3253</v>
      </c>
      <c r="DQ3584" s="165">
        <v>4.4000000000000004</v>
      </c>
      <c r="DR3584" s="165">
        <v>4.7</v>
      </c>
      <c r="DV3584" s="65">
        <f>2.53</f>
        <v>2.5299999999999998</v>
      </c>
      <c r="DW3584" s="65">
        <v>2.17</v>
      </c>
      <c r="DZ3584" s="65" t="s">
        <v>3254</v>
      </c>
      <c r="GP3584" s="292" t="s">
        <v>7494</v>
      </c>
      <c r="GY3584" s="65">
        <v>1.3</v>
      </c>
      <c r="GZ3584" s="65">
        <v>3.6</v>
      </c>
      <c r="HC3584" s="65" t="s">
        <v>3255</v>
      </c>
      <c r="JU3584" s="55" t="s">
        <v>3256</v>
      </c>
    </row>
    <row r="3585" spans="1:281" x14ac:dyDescent="0.25">
      <c r="A3585" s="55">
        <v>3584</v>
      </c>
      <c r="B3585" s="12" t="s">
        <v>7067</v>
      </c>
      <c r="C3585" s="155">
        <v>165</v>
      </c>
      <c r="D3585" s="55" t="s">
        <v>3258</v>
      </c>
      <c r="E3585" s="90" t="s">
        <v>3240</v>
      </c>
      <c r="G3585" s="55" t="s">
        <v>3241</v>
      </c>
      <c r="H3585" s="55">
        <v>2002</v>
      </c>
      <c r="I3585" s="55">
        <v>2001</v>
      </c>
      <c r="J3585" s="55" t="s">
        <v>112</v>
      </c>
      <c r="K3585" s="55" t="s">
        <v>3243</v>
      </c>
      <c r="L3585" s="55" t="s">
        <v>2750</v>
      </c>
      <c r="M3585" s="90">
        <f>-13-39/60</f>
        <v>-13.65</v>
      </c>
      <c r="N3585" s="90">
        <f>32+34/60</f>
        <v>32.56666666666667</v>
      </c>
      <c r="O3585" s="90">
        <v>1028</v>
      </c>
      <c r="Q3585" s="55">
        <v>20.5</v>
      </c>
      <c r="S3585" s="90">
        <v>960</v>
      </c>
      <c r="U3585" s="55" t="s">
        <v>1816</v>
      </c>
      <c r="V3585" s="55" t="s">
        <v>1682</v>
      </c>
      <c r="Y3585" s="55" t="s">
        <v>1947</v>
      </c>
      <c r="Z3585" s="55" t="s">
        <v>1346</v>
      </c>
      <c r="AA3585" s="90" t="s">
        <v>1675</v>
      </c>
      <c r="AE3585" s="90">
        <v>61</v>
      </c>
      <c r="AF3585" s="90">
        <v>11</v>
      </c>
      <c r="AH3585" s="55" t="s">
        <v>238</v>
      </c>
      <c r="AI3585" s="168">
        <v>5.3</v>
      </c>
      <c r="AJ3585" s="90">
        <v>1.02</v>
      </c>
      <c r="AM3585" s="55" t="s">
        <v>2677</v>
      </c>
      <c r="AN3585" s="185" t="s">
        <v>3247</v>
      </c>
      <c r="AO3585" s="185" t="s">
        <v>5150</v>
      </c>
      <c r="AQ3585" s="55" t="s">
        <v>1547</v>
      </c>
      <c r="AR3585" s="55" t="s">
        <v>1607</v>
      </c>
      <c r="AS3585" s="55" t="s">
        <v>132</v>
      </c>
      <c r="AU3585" s="181" t="s">
        <v>7494</v>
      </c>
      <c r="AV3585" s="185" t="s">
        <v>176</v>
      </c>
      <c r="AX3585" s="185" t="s">
        <v>176</v>
      </c>
      <c r="BK3585" s="55" t="s">
        <v>6333</v>
      </c>
      <c r="BM3585" s="192" t="s">
        <v>3250</v>
      </c>
      <c r="BN3585" s="55">
        <v>3</v>
      </c>
      <c r="BO3585" s="55">
        <v>3</v>
      </c>
      <c r="BQ3585" s="55" t="s">
        <v>141</v>
      </c>
      <c r="BV3585" s="55" t="s">
        <v>3251</v>
      </c>
      <c r="BW3585" s="65">
        <v>2600</v>
      </c>
      <c r="BX3585" s="65">
        <v>4500</v>
      </c>
      <c r="CA3585" s="65" t="s">
        <v>2861</v>
      </c>
      <c r="CB3585" s="66">
        <v>1300</v>
      </c>
      <c r="CC3585" s="66">
        <v>4700</v>
      </c>
      <c r="CM3585" s="65">
        <v>1</v>
      </c>
      <c r="CN3585" s="65">
        <v>1.2</v>
      </c>
      <c r="DA3585" s="65" t="s">
        <v>4458</v>
      </c>
      <c r="DB3585" s="65">
        <v>10.1</v>
      </c>
      <c r="DC3585" s="65">
        <v>15.3</v>
      </c>
      <c r="DF3585" s="65" t="s">
        <v>3252</v>
      </c>
      <c r="DG3585" s="65">
        <v>9.3000000000000007</v>
      </c>
      <c r="DH3585" s="65">
        <v>12.5</v>
      </c>
      <c r="DK3585" s="65" t="s">
        <v>2242</v>
      </c>
      <c r="DL3585" s="65">
        <v>0.25</v>
      </c>
      <c r="DM3585" s="65">
        <v>0.22</v>
      </c>
      <c r="DP3585" s="65" t="s">
        <v>3253</v>
      </c>
      <c r="DQ3585" s="165">
        <v>4.4000000000000004</v>
      </c>
      <c r="DR3585" s="165">
        <v>4.2</v>
      </c>
      <c r="DV3585" s="65">
        <f>2.53</f>
        <v>2.5299999999999998</v>
      </c>
      <c r="DW3585" s="65">
        <v>2.1</v>
      </c>
      <c r="DZ3585" s="65" t="s">
        <v>3254</v>
      </c>
      <c r="GP3585" s="292" t="s">
        <v>7494</v>
      </c>
      <c r="GY3585" s="65">
        <v>1.3</v>
      </c>
      <c r="GZ3585" s="65">
        <v>3.4</v>
      </c>
      <c r="HC3585" s="65" t="s">
        <v>3255</v>
      </c>
      <c r="JU3585" s="55" t="s">
        <v>3256</v>
      </c>
    </row>
    <row r="3586" spans="1:281" x14ac:dyDescent="0.25">
      <c r="A3586" s="55">
        <v>3585</v>
      </c>
      <c r="B3586" s="12" t="s">
        <v>7067</v>
      </c>
      <c r="C3586" s="155">
        <v>165</v>
      </c>
      <c r="D3586" s="55" t="s">
        <v>3258</v>
      </c>
      <c r="E3586" s="90" t="s">
        <v>3240</v>
      </c>
      <c r="G3586" s="55" t="s">
        <v>3241</v>
      </c>
      <c r="H3586" s="55">
        <v>2002</v>
      </c>
      <c r="I3586" s="55">
        <v>2001</v>
      </c>
      <c r="J3586" s="55" t="s">
        <v>112</v>
      </c>
      <c r="K3586" s="55" t="s">
        <v>3243</v>
      </c>
      <c r="L3586" s="55" t="s">
        <v>2750</v>
      </c>
      <c r="M3586" s="90">
        <f>-13-39/60</f>
        <v>-13.65</v>
      </c>
      <c r="N3586" s="90">
        <f>32+34/60</f>
        <v>32.56666666666667</v>
      </c>
      <c r="O3586" s="90">
        <v>1028</v>
      </c>
      <c r="Q3586" s="55">
        <v>20.5</v>
      </c>
      <c r="S3586" s="90">
        <v>960</v>
      </c>
      <c r="U3586" s="55" t="s">
        <v>1816</v>
      </c>
      <c r="V3586" s="55" t="s">
        <v>1682</v>
      </c>
      <c r="Y3586" s="55" t="s">
        <v>1947</v>
      </c>
      <c r="Z3586" s="55" t="s">
        <v>1346</v>
      </c>
      <c r="AA3586" s="90" t="s">
        <v>1675</v>
      </c>
      <c r="AE3586" s="90">
        <v>61</v>
      </c>
      <c r="AF3586" s="90">
        <v>11</v>
      </c>
      <c r="AH3586" s="55" t="s">
        <v>238</v>
      </c>
      <c r="AI3586" s="168">
        <v>5.3</v>
      </c>
      <c r="AJ3586" s="90">
        <v>1.02</v>
      </c>
      <c r="AM3586" s="55" t="s">
        <v>2677</v>
      </c>
      <c r="AN3586" s="185" t="s">
        <v>3248</v>
      </c>
      <c r="AO3586" s="185" t="s">
        <v>5150</v>
      </c>
      <c r="AQ3586" s="55" t="s">
        <v>1547</v>
      </c>
      <c r="AR3586" s="55" t="s">
        <v>1607</v>
      </c>
      <c r="AS3586" s="55" t="s">
        <v>132</v>
      </c>
      <c r="AU3586" s="181" t="s">
        <v>7494</v>
      </c>
      <c r="AV3586" s="185" t="s">
        <v>176</v>
      </c>
      <c r="AX3586" s="185" t="s">
        <v>176</v>
      </c>
      <c r="BK3586" s="55" t="s">
        <v>6333</v>
      </c>
      <c r="BM3586" s="192" t="s">
        <v>3250</v>
      </c>
      <c r="BN3586" s="55">
        <v>3</v>
      </c>
      <c r="BO3586" s="55">
        <v>3</v>
      </c>
      <c r="BQ3586" s="55" t="s">
        <v>141</v>
      </c>
      <c r="BV3586" s="55" t="s">
        <v>3251</v>
      </c>
      <c r="BW3586" s="65">
        <v>2600</v>
      </c>
      <c r="BX3586" s="65">
        <v>3900</v>
      </c>
      <c r="CA3586" s="65" t="s">
        <v>2861</v>
      </c>
      <c r="CB3586" s="66">
        <v>1300</v>
      </c>
      <c r="CC3586" s="66">
        <v>3300</v>
      </c>
      <c r="CM3586" s="65">
        <v>1</v>
      </c>
      <c r="CN3586" s="65">
        <v>1.6</v>
      </c>
      <c r="DA3586" s="65" t="s">
        <v>4458</v>
      </c>
      <c r="DB3586" s="65">
        <v>10.1</v>
      </c>
      <c r="DC3586" s="65">
        <v>13.5</v>
      </c>
      <c r="DF3586" s="65" t="s">
        <v>3252</v>
      </c>
      <c r="DG3586" s="65">
        <v>9.3000000000000007</v>
      </c>
      <c r="DH3586" s="65">
        <v>12.1</v>
      </c>
      <c r="DK3586" s="65" t="s">
        <v>2242</v>
      </c>
      <c r="DL3586" s="65">
        <v>0.25</v>
      </c>
      <c r="DM3586" s="65">
        <v>0.23</v>
      </c>
      <c r="DP3586" s="65" t="s">
        <v>3253</v>
      </c>
      <c r="DQ3586" s="165">
        <v>4.4000000000000004</v>
      </c>
      <c r="DR3586" s="165">
        <v>4.3</v>
      </c>
      <c r="DV3586" s="65">
        <f>2.53</f>
        <v>2.5299999999999998</v>
      </c>
      <c r="DW3586" s="65">
        <v>2.37</v>
      </c>
      <c r="DZ3586" s="65" t="s">
        <v>3254</v>
      </c>
      <c r="GP3586" s="292" t="s">
        <v>7494</v>
      </c>
      <c r="GY3586" s="65">
        <v>1.3</v>
      </c>
      <c r="GZ3586" s="65">
        <v>1.8</v>
      </c>
      <c r="HC3586" s="65" t="s">
        <v>3255</v>
      </c>
      <c r="JU3586" s="55" t="s">
        <v>3256</v>
      </c>
    </row>
    <row r="3587" spans="1:281" x14ac:dyDescent="0.25">
      <c r="A3587" s="55">
        <v>3586</v>
      </c>
      <c r="B3587" s="12" t="s">
        <v>7067</v>
      </c>
      <c r="C3587" s="155">
        <v>165</v>
      </c>
      <c r="D3587" s="55" t="s">
        <v>3258</v>
      </c>
      <c r="E3587" s="90" t="s">
        <v>3240</v>
      </c>
      <c r="G3587" s="55" t="s">
        <v>3241</v>
      </c>
      <c r="H3587" s="55">
        <v>2002</v>
      </c>
      <c r="I3587" s="55">
        <v>2001</v>
      </c>
      <c r="J3587" s="55" t="s">
        <v>112</v>
      </c>
      <c r="K3587" s="55" t="s">
        <v>3243</v>
      </c>
      <c r="L3587" s="55" t="s">
        <v>2750</v>
      </c>
      <c r="M3587" s="90">
        <f>-13-39/60</f>
        <v>-13.65</v>
      </c>
      <c r="N3587" s="90">
        <f>32+34/60</f>
        <v>32.56666666666667</v>
      </c>
      <c r="O3587" s="90">
        <v>1028</v>
      </c>
      <c r="Q3587" s="55">
        <v>20.5</v>
      </c>
      <c r="S3587" s="90">
        <v>960</v>
      </c>
      <c r="U3587" s="55" t="s">
        <v>1816</v>
      </c>
      <c r="V3587" s="55" t="s">
        <v>1682</v>
      </c>
      <c r="Y3587" s="55" t="s">
        <v>1947</v>
      </c>
      <c r="Z3587" s="55" t="s">
        <v>1346</v>
      </c>
      <c r="AA3587" s="90" t="s">
        <v>1675</v>
      </c>
      <c r="AE3587" s="90">
        <v>61</v>
      </c>
      <c r="AF3587" s="90">
        <v>11</v>
      </c>
      <c r="AH3587" s="55" t="s">
        <v>238</v>
      </c>
      <c r="AI3587" s="168">
        <v>5.3</v>
      </c>
      <c r="AJ3587" s="90">
        <v>1.02</v>
      </c>
      <c r="AM3587" s="55" t="s">
        <v>2677</v>
      </c>
      <c r="AN3587" s="185" t="s">
        <v>2599</v>
      </c>
      <c r="AO3587" s="185" t="s">
        <v>5150</v>
      </c>
      <c r="AQ3587" s="55" t="s">
        <v>553</v>
      </c>
      <c r="AR3587" s="55" t="s">
        <v>1607</v>
      </c>
      <c r="AS3587" s="55" t="s">
        <v>132</v>
      </c>
      <c r="AU3587" s="181" t="s">
        <v>7494</v>
      </c>
      <c r="AV3587" s="185" t="s">
        <v>176</v>
      </c>
      <c r="AX3587" s="185" t="s">
        <v>176</v>
      </c>
      <c r="BK3587" s="55" t="s">
        <v>6333</v>
      </c>
      <c r="BM3587" s="192" t="s">
        <v>3250</v>
      </c>
      <c r="BN3587" s="55">
        <v>3</v>
      </c>
      <c r="BO3587" s="55">
        <v>3</v>
      </c>
      <c r="BQ3587" s="55" t="s">
        <v>141</v>
      </c>
      <c r="BV3587" s="55" t="s">
        <v>3251</v>
      </c>
      <c r="BW3587" s="65">
        <v>2600</v>
      </c>
      <c r="BX3587" s="65">
        <v>4000</v>
      </c>
      <c r="CA3587" s="65" t="s">
        <v>2861</v>
      </c>
      <c r="CB3587" s="66">
        <v>1300</v>
      </c>
      <c r="CC3587" s="66">
        <v>2700</v>
      </c>
      <c r="CM3587" s="65">
        <v>1</v>
      </c>
      <c r="CN3587" s="65">
        <v>1.2</v>
      </c>
      <c r="DA3587" s="65" t="s">
        <v>4458</v>
      </c>
      <c r="DB3587" s="65">
        <v>10.1</v>
      </c>
      <c r="DC3587" s="65">
        <v>14.2</v>
      </c>
      <c r="DF3587" s="65" t="s">
        <v>3252</v>
      </c>
      <c r="DG3587" s="65">
        <v>9.3000000000000007</v>
      </c>
      <c r="DH3587" s="65">
        <v>12.5</v>
      </c>
      <c r="DK3587" s="65" t="s">
        <v>2242</v>
      </c>
      <c r="DL3587" s="65">
        <v>0.25</v>
      </c>
      <c r="DM3587" s="65">
        <v>0.22</v>
      </c>
      <c r="DP3587" s="65" t="s">
        <v>3253</v>
      </c>
      <c r="DQ3587" s="165">
        <v>4.4000000000000004</v>
      </c>
      <c r="DR3587" s="165">
        <v>4.8</v>
      </c>
      <c r="DV3587" s="65">
        <f>2.53</f>
        <v>2.5299999999999998</v>
      </c>
      <c r="DW3587" s="65">
        <v>3.9</v>
      </c>
      <c r="DZ3587" s="65" t="s">
        <v>3254</v>
      </c>
      <c r="GP3587" s="292" t="s">
        <v>7494</v>
      </c>
      <c r="GY3587" s="65">
        <v>1.3</v>
      </c>
      <c r="GZ3587" s="65">
        <v>1.7</v>
      </c>
      <c r="HC3587" s="65" t="s">
        <v>3255</v>
      </c>
      <c r="JU3587" s="55" t="s">
        <v>3256</v>
      </c>
    </row>
    <row r="3588" spans="1:281" x14ac:dyDescent="0.25">
      <c r="A3588" s="55">
        <v>3587</v>
      </c>
      <c r="B3588" s="12" t="s">
        <v>7067</v>
      </c>
      <c r="C3588" s="155">
        <v>165</v>
      </c>
      <c r="D3588" s="55" t="s">
        <v>3258</v>
      </c>
      <c r="E3588" s="90" t="s">
        <v>3240</v>
      </c>
      <c r="G3588" s="55" t="s">
        <v>3241</v>
      </c>
      <c r="H3588" s="55">
        <v>2002</v>
      </c>
      <c r="I3588" s="55">
        <v>2001</v>
      </c>
      <c r="J3588" s="55" t="s">
        <v>112</v>
      </c>
      <c r="K3588" s="55" t="s">
        <v>3243</v>
      </c>
      <c r="L3588" s="55" t="s">
        <v>2750</v>
      </c>
      <c r="M3588" s="90">
        <f>-13-39/60</f>
        <v>-13.65</v>
      </c>
      <c r="N3588" s="90">
        <f>32+34/60</f>
        <v>32.56666666666667</v>
      </c>
      <c r="O3588" s="90">
        <v>1028</v>
      </c>
      <c r="Q3588" s="55">
        <v>20.5</v>
      </c>
      <c r="S3588" s="90">
        <v>960</v>
      </c>
      <c r="U3588" s="55" t="s">
        <v>1816</v>
      </c>
      <c r="V3588" s="55" t="s">
        <v>1682</v>
      </c>
      <c r="Y3588" s="55" t="s">
        <v>1947</v>
      </c>
      <c r="Z3588" s="55" t="s">
        <v>1346</v>
      </c>
      <c r="AA3588" s="90" t="s">
        <v>1675</v>
      </c>
      <c r="AE3588" s="90">
        <v>61</v>
      </c>
      <c r="AF3588" s="90">
        <v>11</v>
      </c>
      <c r="AH3588" s="55" t="s">
        <v>238</v>
      </c>
      <c r="AI3588" s="168">
        <v>5.3</v>
      </c>
      <c r="AJ3588" s="90">
        <v>1.02</v>
      </c>
      <c r="AM3588" s="55" t="s">
        <v>2677</v>
      </c>
      <c r="AN3588" s="185" t="s">
        <v>2666</v>
      </c>
      <c r="AO3588" s="185" t="s">
        <v>5150</v>
      </c>
      <c r="AQ3588" s="55" t="s">
        <v>553</v>
      </c>
      <c r="AR3588" s="55" t="s">
        <v>1607</v>
      </c>
      <c r="AS3588" s="55" t="s">
        <v>132</v>
      </c>
      <c r="AU3588" s="181" t="s">
        <v>7494</v>
      </c>
      <c r="AV3588" s="185" t="s">
        <v>176</v>
      </c>
      <c r="AX3588" s="185" t="s">
        <v>176</v>
      </c>
      <c r="BK3588" s="55" t="s">
        <v>6333</v>
      </c>
      <c r="BM3588" s="192" t="s">
        <v>3250</v>
      </c>
      <c r="BN3588" s="55">
        <v>3</v>
      </c>
      <c r="BO3588" s="55">
        <v>3</v>
      </c>
      <c r="BQ3588" s="55" t="s">
        <v>141</v>
      </c>
      <c r="BV3588" s="55" t="s">
        <v>3251</v>
      </c>
      <c r="BW3588" s="65">
        <v>2600</v>
      </c>
      <c r="BX3588" s="65">
        <v>3500</v>
      </c>
      <c r="CA3588" s="65" t="s">
        <v>2861</v>
      </c>
      <c r="CB3588" s="66">
        <v>1300</v>
      </c>
      <c r="CC3588" s="66">
        <v>2400</v>
      </c>
      <c r="CM3588" s="65">
        <v>1</v>
      </c>
      <c r="CN3588" s="65">
        <v>1.2</v>
      </c>
      <c r="DA3588" s="65" t="s">
        <v>4458</v>
      </c>
      <c r="DB3588" s="65">
        <v>10.1</v>
      </c>
      <c r="DC3588" s="65">
        <v>14.6</v>
      </c>
      <c r="DF3588" s="65" t="s">
        <v>3252</v>
      </c>
      <c r="DG3588" s="65">
        <v>9.3000000000000007</v>
      </c>
      <c r="DH3588" s="65">
        <v>12.4</v>
      </c>
      <c r="DK3588" s="65" t="s">
        <v>2242</v>
      </c>
      <c r="DL3588" s="65">
        <v>0.25</v>
      </c>
      <c r="DM3588" s="65">
        <v>0.3</v>
      </c>
      <c r="DP3588" s="65" t="s">
        <v>3253</v>
      </c>
      <c r="DQ3588" s="165">
        <v>4.4000000000000004</v>
      </c>
      <c r="DR3588" s="165">
        <v>4.5</v>
      </c>
      <c r="DV3588" s="65">
        <f>2.53</f>
        <v>2.5299999999999998</v>
      </c>
      <c r="DW3588" s="65">
        <v>2.5</v>
      </c>
      <c r="DZ3588" s="65" t="s">
        <v>3254</v>
      </c>
      <c r="GP3588" s="292" t="s">
        <v>7494</v>
      </c>
      <c r="GY3588" s="65">
        <v>1.3</v>
      </c>
      <c r="GZ3588" s="65">
        <v>1.6</v>
      </c>
      <c r="HC3588" s="65" t="s">
        <v>3255</v>
      </c>
      <c r="JU3588" s="55" t="s">
        <v>3256</v>
      </c>
    </row>
    <row r="3589" spans="1:281" x14ac:dyDescent="0.25">
      <c r="A3589" s="55">
        <v>3588</v>
      </c>
      <c r="B3589" s="12" t="s">
        <v>7067</v>
      </c>
      <c r="C3589" s="155">
        <v>165</v>
      </c>
      <c r="D3589" s="55" t="s">
        <v>3258</v>
      </c>
      <c r="E3589" s="90" t="s">
        <v>3240</v>
      </c>
      <c r="G3589" s="55" t="s">
        <v>3241</v>
      </c>
      <c r="H3589" s="55">
        <v>2002</v>
      </c>
      <c r="I3589" s="55">
        <v>2001</v>
      </c>
      <c r="J3589" s="55" t="s">
        <v>112</v>
      </c>
      <c r="K3589" s="55" t="s">
        <v>3243</v>
      </c>
      <c r="L3589" s="55" t="s">
        <v>2750</v>
      </c>
      <c r="M3589" s="90">
        <f>-13-39/60</f>
        <v>-13.65</v>
      </c>
      <c r="N3589" s="90">
        <f>32+34/60</f>
        <v>32.56666666666667</v>
      </c>
      <c r="O3589" s="90">
        <v>1028</v>
      </c>
      <c r="Q3589" s="55">
        <v>20.5</v>
      </c>
      <c r="S3589" s="90">
        <v>960</v>
      </c>
      <c r="U3589" s="55" t="s">
        <v>1816</v>
      </c>
      <c r="V3589" s="55" t="s">
        <v>1682</v>
      </c>
      <c r="Y3589" s="55" t="s">
        <v>1947</v>
      </c>
      <c r="Z3589" s="55" t="s">
        <v>1346</v>
      </c>
      <c r="AA3589" s="90" t="s">
        <v>1675</v>
      </c>
      <c r="AE3589" s="90">
        <v>61</v>
      </c>
      <c r="AF3589" s="90">
        <v>11</v>
      </c>
      <c r="AH3589" s="55" t="s">
        <v>238</v>
      </c>
      <c r="AI3589" s="168">
        <v>5.3</v>
      </c>
      <c r="AJ3589" s="90">
        <v>1.02</v>
      </c>
      <c r="AM3589" s="55" t="s">
        <v>2677</v>
      </c>
      <c r="AN3589" s="185" t="s">
        <v>3249</v>
      </c>
      <c r="AO3589" s="185" t="s">
        <v>5150</v>
      </c>
      <c r="AQ3589" s="55" t="s">
        <v>1547</v>
      </c>
      <c r="AR3589" s="55" t="s">
        <v>1607</v>
      </c>
      <c r="AS3589" s="55" t="s">
        <v>132</v>
      </c>
      <c r="AU3589" s="181" t="s">
        <v>7494</v>
      </c>
      <c r="AV3589" s="185" t="s">
        <v>176</v>
      </c>
      <c r="AX3589" s="185" t="s">
        <v>176</v>
      </c>
      <c r="BK3589" s="55" t="s">
        <v>6333</v>
      </c>
      <c r="BM3589" s="192" t="s">
        <v>3250</v>
      </c>
      <c r="BN3589" s="55">
        <v>3</v>
      </c>
      <c r="BO3589" s="55">
        <v>3</v>
      </c>
      <c r="BQ3589" s="55" t="s">
        <v>141</v>
      </c>
      <c r="BV3589" s="55" t="s">
        <v>3251</v>
      </c>
      <c r="BW3589" s="65">
        <v>2600</v>
      </c>
      <c r="BX3589" s="65">
        <v>4400</v>
      </c>
      <c r="CA3589" s="65" t="s">
        <v>2861</v>
      </c>
      <c r="CB3589" s="66">
        <v>1300</v>
      </c>
      <c r="CC3589" s="66">
        <v>3600</v>
      </c>
      <c r="CM3589" s="65">
        <v>1</v>
      </c>
      <c r="CN3589" s="65">
        <v>1.1000000000000001</v>
      </c>
      <c r="DA3589" s="65" t="s">
        <v>4458</v>
      </c>
      <c r="DB3589" s="65">
        <v>10.1</v>
      </c>
      <c r="DC3589" s="65">
        <v>12.8</v>
      </c>
      <c r="DF3589" s="65" t="s">
        <v>3252</v>
      </c>
      <c r="DG3589" s="65">
        <v>9.3000000000000007</v>
      </c>
      <c r="DH3589" s="65">
        <v>13</v>
      </c>
      <c r="DK3589" s="65" t="s">
        <v>2242</v>
      </c>
      <c r="DL3589" s="65">
        <v>0.25</v>
      </c>
      <c r="DM3589" s="65">
        <v>0.18</v>
      </c>
      <c r="DP3589" s="65" t="s">
        <v>3253</v>
      </c>
      <c r="DQ3589" s="165">
        <v>4.4000000000000004</v>
      </c>
      <c r="DR3589" s="165">
        <v>4.2</v>
      </c>
      <c r="DV3589" s="65">
        <f>2.53</f>
        <v>2.5299999999999998</v>
      </c>
      <c r="DW3589" s="65">
        <v>2.37</v>
      </c>
      <c r="DZ3589" s="65" t="s">
        <v>3254</v>
      </c>
      <c r="GP3589" s="292" t="s">
        <v>7494</v>
      </c>
      <c r="GY3589" s="65">
        <v>1.3</v>
      </c>
      <c r="GZ3589" s="65">
        <v>1.7</v>
      </c>
      <c r="HC3589" s="65" t="s">
        <v>3255</v>
      </c>
      <c r="JU3589" s="55" t="s">
        <v>3256</v>
      </c>
    </row>
    <row r="3590" spans="1:281" x14ac:dyDescent="0.25">
      <c r="A3590" s="55">
        <v>3589</v>
      </c>
      <c r="B3590" s="12" t="s">
        <v>7067</v>
      </c>
      <c r="C3590" s="155">
        <v>166</v>
      </c>
      <c r="D3590" s="55" t="s">
        <v>3261</v>
      </c>
      <c r="E3590" s="90" t="s">
        <v>3240</v>
      </c>
      <c r="G3590" s="55" t="s">
        <v>3241</v>
      </c>
      <c r="H3590" s="55">
        <v>2006</v>
      </c>
      <c r="I3590" s="55">
        <v>1996</v>
      </c>
      <c r="J3590" s="55" t="s">
        <v>3260</v>
      </c>
      <c r="K3590" s="55" t="s">
        <v>3243</v>
      </c>
      <c r="L3590" s="55" t="s">
        <v>2750</v>
      </c>
      <c r="M3590" s="90">
        <v>-13.65</v>
      </c>
      <c r="N3590" s="90">
        <v>32.56666666666667</v>
      </c>
      <c r="O3590" s="90">
        <v>1028</v>
      </c>
      <c r="Q3590" s="55">
        <v>20.5</v>
      </c>
      <c r="R3590" s="55">
        <v>1163</v>
      </c>
      <c r="S3590" s="90">
        <v>960</v>
      </c>
      <c r="U3590" s="55" t="s">
        <v>1682</v>
      </c>
      <c r="V3590" s="55" t="s">
        <v>1875</v>
      </c>
      <c r="Y3590" s="55" t="s">
        <v>3259</v>
      </c>
      <c r="Z3590" s="55" t="s">
        <v>1367</v>
      </c>
      <c r="AA3590" s="90" t="s">
        <v>1687</v>
      </c>
      <c r="AE3590" s="90">
        <v>61</v>
      </c>
      <c r="AF3590" s="90">
        <v>11</v>
      </c>
      <c r="AH3590" s="55" t="s">
        <v>238</v>
      </c>
      <c r="AI3590" s="168">
        <v>5.3</v>
      </c>
      <c r="AJ3590" s="90">
        <v>1.02</v>
      </c>
      <c r="AM3590" s="55" t="s">
        <v>2677</v>
      </c>
      <c r="AN3590" s="185" t="s">
        <v>2620</v>
      </c>
      <c r="AO3590" s="185" t="s">
        <v>5150</v>
      </c>
      <c r="AQ3590" s="55" t="s">
        <v>553</v>
      </c>
      <c r="AR3590" s="55" t="s">
        <v>1607</v>
      </c>
      <c r="AS3590" s="55" t="s">
        <v>132</v>
      </c>
      <c r="AU3590" s="181" t="s">
        <v>7494</v>
      </c>
      <c r="AV3590" s="185" t="s">
        <v>176</v>
      </c>
      <c r="AX3590" s="185" t="s">
        <v>176</v>
      </c>
      <c r="BK3590" s="55" t="s">
        <v>6333</v>
      </c>
      <c r="BM3590" s="192" t="s">
        <v>3262</v>
      </c>
      <c r="BN3590" s="55">
        <v>3</v>
      </c>
      <c r="BO3590" s="55">
        <v>3</v>
      </c>
      <c r="BQ3590" s="55" t="s">
        <v>141</v>
      </c>
      <c r="BV3590" s="55" t="s">
        <v>3081</v>
      </c>
      <c r="CB3590" s="66">
        <v>2295</v>
      </c>
      <c r="CC3590" s="66">
        <v>4299</v>
      </c>
      <c r="CE3590" s="65">
        <f>2600-CB3590</f>
        <v>305</v>
      </c>
      <c r="CF3590" s="65">
        <f>4603-CC3590</f>
        <v>304</v>
      </c>
      <c r="CH3590" s="90">
        <v>1.52</v>
      </c>
      <c r="CI3590" s="90">
        <v>1.45</v>
      </c>
      <c r="EZ3590" s="65">
        <f>16*6</f>
        <v>96</v>
      </c>
      <c r="FA3590" s="65">
        <f>38*6</f>
        <v>228</v>
      </c>
      <c r="FD3590" s="65" t="s">
        <v>3265</v>
      </c>
      <c r="GP3590" s="292" t="s">
        <v>7494</v>
      </c>
      <c r="HD3590" s="65">
        <v>818.7</v>
      </c>
      <c r="HE3590" s="65">
        <v>265.3</v>
      </c>
      <c r="HH3590" s="65" t="s">
        <v>3266</v>
      </c>
    </row>
    <row r="3591" spans="1:281" x14ac:dyDescent="0.25">
      <c r="A3591" s="55">
        <v>3590</v>
      </c>
      <c r="B3591" s="12" t="s">
        <v>7067</v>
      </c>
      <c r="C3591" s="155">
        <v>166</v>
      </c>
      <c r="D3591" s="55" t="s">
        <v>3261</v>
      </c>
      <c r="E3591" s="90" t="s">
        <v>3240</v>
      </c>
      <c r="G3591" s="55" t="s">
        <v>3241</v>
      </c>
      <c r="H3591" s="55">
        <v>2006</v>
      </c>
      <c r="I3591" s="55">
        <v>1997</v>
      </c>
      <c r="J3591" s="55" t="s">
        <v>3260</v>
      </c>
      <c r="K3591" s="55" t="s">
        <v>3243</v>
      </c>
      <c r="L3591" s="55" t="s">
        <v>2750</v>
      </c>
      <c r="M3591" s="90">
        <v>-13.65</v>
      </c>
      <c r="N3591" s="90">
        <v>32.56666666666667</v>
      </c>
      <c r="O3591" s="90">
        <v>1028</v>
      </c>
      <c r="Q3591" s="55">
        <v>20.5</v>
      </c>
      <c r="R3591" s="55">
        <v>930</v>
      </c>
      <c r="S3591" s="90">
        <v>960</v>
      </c>
      <c r="U3591" s="55" t="s">
        <v>1801</v>
      </c>
      <c r="V3591" s="55" t="s">
        <v>1875</v>
      </c>
      <c r="Y3591" s="55" t="s">
        <v>3259</v>
      </c>
      <c r="Z3591" s="55" t="s">
        <v>1367</v>
      </c>
      <c r="AA3591" s="90" t="s">
        <v>1687</v>
      </c>
      <c r="AE3591" s="90">
        <v>61</v>
      </c>
      <c r="AF3591" s="90">
        <v>11</v>
      </c>
      <c r="AH3591" s="55" t="s">
        <v>238</v>
      </c>
      <c r="AI3591" s="168">
        <v>5.3</v>
      </c>
      <c r="AJ3591" s="90">
        <v>1.02</v>
      </c>
      <c r="AM3591" s="55" t="s">
        <v>2677</v>
      </c>
      <c r="AN3591" s="185" t="s">
        <v>2620</v>
      </c>
      <c r="AO3591" s="185" t="s">
        <v>5150</v>
      </c>
      <c r="AQ3591" s="55" t="s">
        <v>553</v>
      </c>
      <c r="AR3591" s="55" t="s">
        <v>1607</v>
      </c>
      <c r="AS3591" s="55" t="s">
        <v>132</v>
      </c>
      <c r="AU3591" s="181" t="s">
        <v>7494</v>
      </c>
      <c r="AV3591" s="185" t="s">
        <v>176</v>
      </c>
      <c r="AX3591" s="185" t="s">
        <v>176</v>
      </c>
      <c r="BK3591" s="55" t="s">
        <v>6333</v>
      </c>
      <c r="BM3591" s="192" t="s">
        <v>3262</v>
      </c>
      <c r="BN3591" s="55">
        <v>3</v>
      </c>
      <c r="BO3591" s="55">
        <v>3</v>
      </c>
      <c r="BQ3591" s="55" t="s">
        <v>141</v>
      </c>
      <c r="BV3591" s="55" t="s">
        <v>3081</v>
      </c>
      <c r="CB3591" s="66">
        <v>1483</v>
      </c>
      <c r="CC3591" s="66">
        <v>3817</v>
      </c>
      <c r="CE3591" s="65">
        <f>1661-CB3591</f>
        <v>178</v>
      </c>
      <c r="CF3591" s="65">
        <f>4096-CC3591</f>
        <v>279</v>
      </c>
      <c r="GP3591" s="292" t="s">
        <v>7494</v>
      </c>
    </row>
    <row r="3592" spans="1:281" x14ac:dyDescent="0.25">
      <c r="A3592" s="55">
        <v>3591</v>
      </c>
      <c r="B3592" s="12" t="s">
        <v>7067</v>
      </c>
      <c r="C3592" s="155">
        <v>166</v>
      </c>
      <c r="D3592" s="55" t="s">
        <v>3261</v>
      </c>
      <c r="E3592" s="90" t="s">
        <v>3240</v>
      </c>
      <c r="G3592" s="55" t="s">
        <v>3241</v>
      </c>
      <c r="H3592" s="55">
        <v>2006</v>
      </c>
      <c r="I3592" s="55">
        <v>1998</v>
      </c>
      <c r="J3592" s="55" t="s">
        <v>3260</v>
      </c>
      <c r="K3592" s="55" t="s">
        <v>3243</v>
      </c>
      <c r="L3592" s="55" t="s">
        <v>2750</v>
      </c>
      <c r="M3592" s="90">
        <v>-13.65</v>
      </c>
      <c r="N3592" s="90">
        <v>32.56666666666667</v>
      </c>
      <c r="O3592" s="90">
        <v>1028</v>
      </c>
      <c r="Q3592" s="55">
        <v>20.5</v>
      </c>
      <c r="R3592" s="55">
        <v>1074</v>
      </c>
      <c r="S3592" s="90">
        <v>960</v>
      </c>
      <c r="U3592" s="55" t="s">
        <v>1694</v>
      </c>
      <c r="V3592" s="55" t="s">
        <v>1875</v>
      </c>
      <c r="Y3592" s="55" t="s">
        <v>3259</v>
      </c>
      <c r="Z3592" s="55" t="s">
        <v>1367</v>
      </c>
      <c r="AA3592" s="90" t="s">
        <v>1687</v>
      </c>
      <c r="AE3592" s="90">
        <v>61</v>
      </c>
      <c r="AF3592" s="90">
        <v>11</v>
      </c>
      <c r="AH3592" s="55" t="s">
        <v>238</v>
      </c>
      <c r="AI3592" s="168">
        <v>5.3</v>
      </c>
      <c r="AJ3592" s="90">
        <v>1.02</v>
      </c>
      <c r="AM3592" s="55" t="s">
        <v>2677</v>
      </c>
      <c r="AN3592" s="185" t="s">
        <v>2620</v>
      </c>
      <c r="AO3592" s="185" t="s">
        <v>5150</v>
      </c>
      <c r="AQ3592" s="55" t="s">
        <v>553</v>
      </c>
      <c r="AR3592" s="55" t="s">
        <v>1607</v>
      </c>
      <c r="AS3592" s="55" t="s">
        <v>132</v>
      </c>
      <c r="AU3592" s="181" t="s">
        <v>7494</v>
      </c>
      <c r="AV3592" s="185" t="s">
        <v>176</v>
      </c>
      <c r="AX3592" s="185" t="s">
        <v>176</v>
      </c>
      <c r="BK3592" s="55" t="s">
        <v>6333</v>
      </c>
      <c r="BM3592" s="192" t="s">
        <v>3262</v>
      </c>
      <c r="BN3592" s="55">
        <v>3</v>
      </c>
      <c r="BO3592" s="55">
        <v>3</v>
      </c>
      <c r="BQ3592" s="55" t="s">
        <v>141</v>
      </c>
      <c r="BV3592" s="55" t="s">
        <v>3081</v>
      </c>
      <c r="CB3592" s="66">
        <v>900</v>
      </c>
      <c r="CC3592" s="66">
        <v>2955</v>
      </c>
      <c r="CE3592" s="65">
        <f>1000-CB3592</f>
        <v>100</v>
      </c>
      <c r="CF3592" s="65">
        <f>3233-CC3592</f>
        <v>278</v>
      </c>
      <c r="CH3592" s="90">
        <v>1.4</v>
      </c>
      <c r="CI3592" s="90">
        <v>1.36</v>
      </c>
      <c r="GP3592" s="292" t="s">
        <v>7494</v>
      </c>
    </row>
    <row r="3593" spans="1:281" x14ac:dyDescent="0.25">
      <c r="A3593" s="55">
        <v>3592</v>
      </c>
      <c r="B3593" s="12" t="s">
        <v>7067</v>
      </c>
      <c r="C3593" s="155">
        <v>166</v>
      </c>
      <c r="D3593" s="55" t="s">
        <v>3261</v>
      </c>
      <c r="E3593" s="90" t="s">
        <v>3240</v>
      </c>
      <c r="G3593" s="55" t="s">
        <v>3241</v>
      </c>
      <c r="H3593" s="55">
        <v>2006</v>
      </c>
      <c r="I3593" s="55">
        <v>1999</v>
      </c>
      <c r="J3593" s="55" t="s">
        <v>3260</v>
      </c>
      <c r="K3593" s="55" t="s">
        <v>3243</v>
      </c>
      <c r="L3593" s="55" t="s">
        <v>2750</v>
      </c>
      <c r="M3593" s="90">
        <v>-13.65</v>
      </c>
      <c r="N3593" s="90">
        <v>32.56666666666667</v>
      </c>
      <c r="O3593" s="90">
        <v>1028</v>
      </c>
      <c r="Q3593" s="55">
        <v>20.5</v>
      </c>
      <c r="R3593" s="55">
        <v>1207</v>
      </c>
      <c r="S3593" s="90">
        <v>960</v>
      </c>
      <c r="U3593" s="55" t="s">
        <v>1940</v>
      </c>
      <c r="V3593" s="55" t="s">
        <v>1875</v>
      </c>
      <c r="Y3593" s="55" t="s">
        <v>3259</v>
      </c>
      <c r="Z3593" s="55" t="s">
        <v>1367</v>
      </c>
      <c r="AA3593" s="90" t="s">
        <v>1687</v>
      </c>
      <c r="AE3593" s="90">
        <v>61</v>
      </c>
      <c r="AF3593" s="90">
        <v>11</v>
      </c>
      <c r="AH3593" s="55" t="s">
        <v>238</v>
      </c>
      <c r="AI3593" s="168">
        <v>5.3</v>
      </c>
      <c r="AJ3593" s="90">
        <v>1.02</v>
      </c>
      <c r="AM3593" s="55" t="s">
        <v>2677</v>
      </c>
      <c r="AN3593" s="185" t="s">
        <v>2620</v>
      </c>
      <c r="AO3593" s="185" t="s">
        <v>5150</v>
      </c>
      <c r="AQ3593" s="55" t="s">
        <v>553</v>
      </c>
      <c r="AR3593" s="55" t="s">
        <v>1607</v>
      </c>
      <c r="AS3593" s="55" t="s">
        <v>132</v>
      </c>
      <c r="AU3593" s="181" t="s">
        <v>7494</v>
      </c>
      <c r="AV3593" s="185" t="s">
        <v>176</v>
      </c>
      <c r="AX3593" s="185" t="s">
        <v>176</v>
      </c>
      <c r="BK3593" s="55" t="s">
        <v>6333</v>
      </c>
      <c r="BM3593" s="192" t="s">
        <v>3262</v>
      </c>
      <c r="BN3593" s="55">
        <v>3</v>
      </c>
      <c r="BO3593" s="55">
        <v>3</v>
      </c>
      <c r="BQ3593" s="55" t="s">
        <v>141</v>
      </c>
      <c r="BV3593" s="55" t="s">
        <v>3081</v>
      </c>
      <c r="CB3593" s="66">
        <v>723</v>
      </c>
      <c r="CC3593" s="66">
        <v>3665</v>
      </c>
      <c r="CE3593" s="65">
        <v>100</v>
      </c>
      <c r="CF3593" s="65">
        <f>3944-CC3593</f>
        <v>279</v>
      </c>
      <c r="GP3593" s="292" t="s">
        <v>7494</v>
      </c>
    </row>
    <row r="3594" spans="1:281" x14ac:dyDescent="0.25">
      <c r="A3594" s="55">
        <v>3593</v>
      </c>
      <c r="B3594" s="12" t="s">
        <v>7067</v>
      </c>
      <c r="C3594" s="155">
        <v>166</v>
      </c>
      <c r="D3594" s="55" t="s">
        <v>3261</v>
      </c>
      <c r="E3594" s="90" t="s">
        <v>3240</v>
      </c>
      <c r="G3594" s="55" t="s">
        <v>3241</v>
      </c>
      <c r="H3594" s="55">
        <v>2006</v>
      </c>
      <c r="I3594" s="55">
        <v>2000</v>
      </c>
      <c r="J3594" s="55" t="s">
        <v>3260</v>
      </c>
      <c r="K3594" s="55" t="s">
        <v>3243</v>
      </c>
      <c r="L3594" s="55" t="s">
        <v>2750</v>
      </c>
      <c r="M3594" s="90">
        <v>-13.65</v>
      </c>
      <c r="N3594" s="90">
        <v>32.56666666666667</v>
      </c>
      <c r="O3594" s="90">
        <v>1028</v>
      </c>
      <c r="Q3594" s="55">
        <v>20.5</v>
      </c>
      <c r="R3594" s="55">
        <v>796</v>
      </c>
      <c r="S3594" s="90">
        <v>960</v>
      </c>
      <c r="U3594" s="55" t="s">
        <v>1933</v>
      </c>
      <c r="V3594" s="55" t="s">
        <v>1875</v>
      </c>
      <c r="Y3594" s="55" t="s">
        <v>3259</v>
      </c>
      <c r="Z3594" s="55" t="s">
        <v>1367</v>
      </c>
      <c r="AA3594" s="90" t="s">
        <v>1687</v>
      </c>
      <c r="AE3594" s="90">
        <v>61</v>
      </c>
      <c r="AF3594" s="90">
        <v>11</v>
      </c>
      <c r="AH3594" s="55" t="s">
        <v>238</v>
      </c>
      <c r="AI3594" s="168">
        <v>5.3</v>
      </c>
      <c r="AJ3594" s="90">
        <v>1.02</v>
      </c>
      <c r="AM3594" s="55" t="s">
        <v>2677</v>
      </c>
      <c r="AN3594" s="185" t="s">
        <v>2620</v>
      </c>
      <c r="AO3594" s="185" t="s">
        <v>5150</v>
      </c>
      <c r="AQ3594" s="55" t="s">
        <v>553</v>
      </c>
      <c r="AR3594" s="55" t="s">
        <v>1607</v>
      </c>
      <c r="AS3594" s="55" t="s">
        <v>132</v>
      </c>
      <c r="AU3594" s="181" t="s">
        <v>7494</v>
      </c>
      <c r="AV3594" s="185" t="s">
        <v>176</v>
      </c>
      <c r="AX3594" s="185" t="s">
        <v>176</v>
      </c>
      <c r="BK3594" s="55" t="s">
        <v>6333</v>
      </c>
      <c r="BM3594" s="192" t="s">
        <v>3262</v>
      </c>
      <c r="BN3594" s="55">
        <v>3</v>
      </c>
      <c r="BO3594" s="55">
        <v>3</v>
      </c>
      <c r="BQ3594" s="55" t="s">
        <v>141</v>
      </c>
      <c r="BV3594" s="55" t="s">
        <v>3081</v>
      </c>
      <c r="CB3594" s="66">
        <v>926</v>
      </c>
      <c r="CC3594" s="66">
        <v>4121</v>
      </c>
      <c r="CE3594" s="65">
        <v>100</v>
      </c>
      <c r="CF3594" s="65">
        <f>4679-CC3594</f>
        <v>558</v>
      </c>
      <c r="GP3594" s="292" t="s">
        <v>7494</v>
      </c>
    </row>
    <row r="3595" spans="1:281" x14ac:dyDescent="0.25">
      <c r="A3595" s="55">
        <v>3594</v>
      </c>
      <c r="B3595" s="12" t="s">
        <v>7067</v>
      </c>
      <c r="C3595" s="155">
        <v>166</v>
      </c>
      <c r="D3595" s="55" t="s">
        <v>3261</v>
      </c>
      <c r="E3595" s="90" t="s">
        <v>3240</v>
      </c>
      <c r="G3595" s="55" t="s">
        <v>3241</v>
      </c>
      <c r="H3595" s="55">
        <v>2006</v>
      </c>
      <c r="I3595" s="55">
        <v>2001</v>
      </c>
      <c r="J3595" s="55" t="s">
        <v>3260</v>
      </c>
      <c r="K3595" s="55" t="s">
        <v>3243</v>
      </c>
      <c r="L3595" s="55" t="s">
        <v>2750</v>
      </c>
      <c r="M3595" s="90">
        <v>-13.65</v>
      </c>
      <c r="N3595" s="90">
        <v>32.56666666666667</v>
      </c>
      <c r="O3595" s="90">
        <v>1028</v>
      </c>
      <c r="Q3595" s="55">
        <v>20.5</v>
      </c>
      <c r="R3595" s="55">
        <v>1337</v>
      </c>
      <c r="S3595" s="90">
        <v>960</v>
      </c>
      <c r="U3595" s="55" t="s">
        <v>1679</v>
      </c>
      <c r="V3595" s="55" t="s">
        <v>1875</v>
      </c>
      <c r="Y3595" s="55" t="s">
        <v>3259</v>
      </c>
      <c r="Z3595" s="55" t="s">
        <v>1367</v>
      </c>
      <c r="AA3595" s="90" t="s">
        <v>1687</v>
      </c>
      <c r="AE3595" s="90">
        <v>61</v>
      </c>
      <c r="AF3595" s="90">
        <v>11</v>
      </c>
      <c r="AH3595" s="55" t="s">
        <v>238</v>
      </c>
      <c r="AI3595" s="168">
        <v>5.3</v>
      </c>
      <c r="AJ3595" s="90">
        <v>1.02</v>
      </c>
      <c r="AM3595" s="55" t="s">
        <v>2677</v>
      </c>
      <c r="AN3595" s="185" t="s">
        <v>2620</v>
      </c>
      <c r="AO3595" s="185" t="s">
        <v>5150</v>
      </c>
      <c r="AQ3595" s="55" t="s">
        <v>553</v>
      </c>
      <c r="AR3595" s="55" t="s">
        <v>1607</v>
      </c>
      <c r="AS3595" s="55" t="s">
        <v>132</v>
      </c>
      <c r="AU3595" s="181" t="s">
        <v>7494</v>
      </c>
      <c r="AV3595" s="185" t="s">
        <v>176</v>
      </c>
      <c r="AX3595" s="185" t="s">
        <v>176</v>
      </c>
      <c r="BK3595" s="55" t="s">
        <v>6333</v>
      </c>
      <c r="BM3595" s="192" t="s">
        <v>3262</v>
      </c>
      <c r="BN3595" s="55">
        <v>3</v>
      </c>
      <c r="BO3595" s="55">
        <v>3</v>
      </c>
      <c r="BQ3595" s="55" t="s">
        <v>141</v>
      </c>
      <c r="BV3595" s="55" t="s">
        <v>3081</v>
      </c>
      <c r="CB3595" s="66">
        <v>520</v>
      </c>
      <c r="CC3595" s="66">
        <v>1966</v>
      </c>
      <c r="CE3595" s="65">
        <v>100</v>
      </c>
      <c r="CF3595" s="65">
        <f>2193-CC3595</f>
        <v>227</v>
      </c>
      <c r="GP3595" s="292" t="s">
        <v>7494</v>
      </c>
    </row>
    <row r="3596" spans="1:281" x14ac:dyDescent="0.25">
      <c r="A3596" s="55">
        <v>3595</v>
      </c>
      <c r="B3596" s="12" t="s">
        <v>7067</v>
      </c>
      <c r="C3596" s="155">
        <v>166</v>
      </c>
      <c r="D3596" s="55" t="s">
        <v>3261</v>
      </c>
      <c r="E3596" s="90" t="s">
        <v>3240</v>
      </c>
      <c r="G3596" s="55" t="s">
        <v>3241</v>
      </c>
      <c r="H3596" s="55">
        <v>2006</v>
      </c>
      <c r="I3596" s="55">
        <v>2002</v>
      </c>
      <c r="J3596" s="55" t="s">
        <v>3260</v>
      </c>
      <c r="K3596" s="55" t="s">
        <v>3243</v>
      </c>
      <c r="L3596" s="55" t="s">
        <v>2750</v>
      </c>
      <c r="M3596" s="90">
        <v>-13.65</v>
      </c>
      <c r="N3596" s="90">
        <v>32.56666666666667</v>
      </c>
      <c r="O3596" s="90">
        <v>1028</v>
      </c>
      <c r="Q3596" s="55">
        <v>20.5</v>
      </c>
      <c r="R3596" s="55">
        <v>830</v>
      </c>
      <c r="S3596" s="90">
        <v>960</v>
      </c>
      <c r="U3596" s="55" t="s">
        <v>1818</v>
      </c>
      <c r="V3596" s="55" t="s">
        <v>1875</v>
      </c>
      <c r="Y3596" s="55" t="s">
        <v>3259</v>
      </c>
      <c r="Z3596" s="55" t="s">
        <v>1367</v>
      </c>
      <c r="AA3596" s="90" t="s">
        <v>1687</v>
      </c>
      <c r="AE3596" s="90">
        <v>61</v>
      </c>
      <c r="AF3596" s="90">
        <v>11</v>
      </c>
      <c r="AH3596" s="55" t="s">
        <v>238</v>
      </c>
      <c r="AI3596" s="168">
        <v>5.3</v>
      </c>
      <c r="AJ3596" s="90">
        <v>1.02</v>
      </c>
      <c r="AM3596" s="55" t="s">
        <v>2677</v>
      </c>
      <c r="AN3596" s="185" t="s">
        <v>2620</v>
      </c>
      <c r="AO3596" s="185" t="s">
        <v>5150</v>
      </c>
      <c r="AQ3596" s="55" t="s">
        <v>553</v>
      </c>
      <c r="AR3596" s="55" t="s">
        <v>1607</v>
      </c>
      <c r="AS3596" s="55" t="s">
        <v>132</v>
      </c>
      <c r="AU3596" s="181" t="s">
        <v>7494</v>
      </c>
      <c r="AV3596" s="185" t="s">
        <v>176</v>
      </c>
      <c r="AX3596" s="185" t="s">
        <v>176</v>
      </c>
      <c r="BK3596" s="55" t="s">
        <v>6333</v>
      </c>
      <c r="BM3596" s="192" t="s">
        <v>3262</v>
      </c>
      <c r="BN3596" s="55">
        <v>3</v>
      </c>
      <c r="BO3596" s="55">
        <v>3</v>
      </c>
      <c r="BQ3596" s="55" t="s">
        <v>141</v>
      </c>
      <c r="BV3596" s="55" t="s">
        <v>3081</v>
      </c>
      <c r="CB3596" s="66">
        <v>900</v>
      </c>
      <c r="CC3596" s="66">
        <v>3005</v>
      </c>
      <c r="CE3596" s="65">
        <f>1000-CB3596</f>
        <v>100</v>
      </c>
      <c r="CF3596" s="65">
        <f>3208-CC3596</f>
        <v>203</v>
      </c>
      <c r="GP3596" s="292" t="s">
        <v>7494</v>
      </c>
    </row>
    <row r="3597" spans="1:281" x14ac:dyDescent="0.25">
      <c r="A3597" s="55">
        <v>3596</v>
      </c>
      <c r="B3597" s="12" t="s">
        <v>7067</v>
      </c>
      <c r="C3597" s="155">
        <v>166</v>
      </c>
      <c r="D3597" s="55" t="s">
        <v>3261</v>
      </c>
      <c r="E3597" s="90" t="s">
        <v>3240</v>
      </c>
      <c r="G3597" s="55" t="s">
        <v>3241</v>
      </c>
      <c r="H3597" s="55">
        <v>2006</v>
      </c>
      <c r="I3597" s="55">
        <v>2003</v>
      </c>
      <c r="J3597" s="55" t="s">
        <v>3260</v>
      </c>
      <c r="K3597" s="55" t="s">
        <v>3243</v>
      </c>
      <c r="L3597" s="55" t="s">
        <v>2750</v>
      </c>
      <c r="M3597" s="90">
        <v>-13.65</v>
      </c>
      <c r="N3597" s="90">
        <v>32.56666666666667</v>
      </c>
      <c r="O3597" s="90">
        <v>1028</v>
      </c>
      <c r="Q3597" s="55">
        <v>20.5</v>
      </c>
      <c r="R3597" s="55">
        <v>1396</v>
      </c>
      <c r="S3597" s="90">
        <v>960</v>
      </c>
      <c r="U3597" s="55" t="s">
        <v>1889</v>
      </c>
      <c r="V3597" s="55" t="s">
        <v>1875</v>
      </c>
      <c r="Y3597" s="55" t="s">
        <v>3259</v>
      </c>
      <c r="Z3597" s="55" t="s">
        <v>1367</v>
      </c>
      <c r="AA3597" s="90" t="s">
        <v>1687</v>
      </c>
      <c r="AE3597" s="90">
        <v>61</v>
      </c>
      <c r="AF3597" s="90">
        <v>11</v>
      </c>
      <c r="AH3597" s="55" t="s">
        <v>238</v>
      </c>
      <c r="AI3597" s="168">
        <v>5.3</v>
      </c>
      <c r="AJ3597" s="90">
        <v>1.02</v>
      </c>
      <c r="AM3597" s="55" t="s">
        <v>2677</v>
      </c>
      <c r="AN3597" s="185" t="s">
        <v>2620</v>
      </c>
      <c r="AO3597" s="185" t="s">
        <v>5150</v>
      </c>
      <c r="AQ3597" s="55" t="s">
        <v>553</v>
      </c>
      <c r="AR3597" s="55" t="s">
        <v>1607</v>
      </c>
      <c r="AS3597" s="55" t="s">
        <v>132</v>
      </c>
      <c r="AU3597" s="181" t="s">
        <v>7494</v>
      </c>
      <c r="AV3597" s="185" t="s">
        <v>176</v>
      </c>
      <c r="AX3597" s="185" t="s">
        <v>176</v>
      </c>
      <c r="BK3597" s="55" t="s">
        <v>6333</v>
      </c>
      <c r="BM3597" s="192" t="s">
        <v>3262</v>
      </c>
      <c r="BN3597" s="55">
        <v>3</v>
      </c>
      <c r="BO3597" s="55">
        <v>3</v>
      </c>
      <c r="BQ3597" s="55" t="s">
        <v>141</v>
      </c>
      <c r="BV3597" s="55" t="s">
        <v>3081</v>
      </c>
      <c r="CB3597" s="66">
        <v>621</v>
      </c>
      <c r="CC3597" s="66">
        <v>1864</v>
      </c>
      <c r="CE3597" s="65">
        <v>100</v>
      </c>
      <c r="CF3597" s="65">
        <f>2016-CC3597</f>
        <v>152</v>
      </c>
      <c r="CH3597" s="90">
        <v>1.56</v>
      </c>
      <c r="CI3597" s="90">
        <v>1.47</v>
      </c>
      <c r="GP3597" s="292" t="s">
        <v>7494</v>
      </c>
    </row>
    <row r="3598" spans="1:281" x14ac:dyDescent="0.25">
      <c r="A3598" s="55">
        <v>3597</v>
      </c>
      <c r="B3598" s="12" t="s">
        <v>7067</v>
      </c>
      <c r="C3598" s="155">
        <v>166</v>
      </c>
      <c r="D3598" s="55" t="s">
        <v>3261</v>
      </c>
      <c r="E3598" s="90" t="s">
        <v>3240</v>
      </c>
      <c r="G3598" s="55" t="s">
        <v>3241</v>
      </c>
      <c r="H3598" s="55">
        <v>2006</v>
      </c>
      <c r="I3598" s="55">
        <v>2004</v>
      </c>
      <c r="J3598" s="55" t="s">
        <v>3260</v>
      </c>
      <c r="K3598" s="55" t="s">
        <v>3243</v>
      </c>
      <c r="L3598" s="55" t="s">
        <v>2750</v>
      </c>
      <c r="M3598" s="90">
        <v>-13.65</v>
      </c>
      <c r="N3598" s="90">
        <v>32.56666666666667</v>
      </c>
      <c r="O3598" s="90">
        <v>1028</v>
      </c>
      <c r="Q3598" s="55">
        <v>20.5</v>
      </c>
      <c r="R3598" s="55">
        <v>993</v>
      </c>
      <c r="S3598" s="90">
        <v>960</v>
      </c>
      <c r="U3598" s="55" t="s">
        <v>1875</v>
      </c>
      <c r="V3598" s="55" t="s">
        <v>1875</v>
      </c>
      <c r="Y3598" s="55" t="s">
        <v>3259</v>
      </c>
      <c r="Z3598" s="55" t="s">
        <v>1367</v>
      </c>
      <c r="AA3598" s="90" t="s">
        <v>1687</v>
      </c>
      <c r="AE3598" s="90">
        <v>61</v>
      </c>
      <c r="AF3598" s="90">
        <v>11</v>
      </c>
      <c r="AH3598" s="55" t="s">
        <v>238</v>
      </c>
      <c r="AI3598" s="168">
        <v>5.3</v>
      </c>
      <c r="AJ3598" s="90">
        <v>1.02</v>
      </c>
      <c r="AM3598" s="55" t="s">
        <v>2677</v>
      </c>
      <c r="AN3598" s="185" t="s">
        <v>2620</v>
      </c>
      <c r="AO3598" s="185" t="s">
        <v>5150</v>
      </c>
      <c r="AQ3598" s="55" t="s">
        <v>553</v>
      </c>
      <c r="AR3598" s="55" t="s">
        <v>1607</v>
      </c>
      <c r="AS3598" s="55" t="s">
        <v>132</v>
      </c>
      <c r="AU3598" s="181" t="s">
        <v>7494</v>
      </c>
      <c r="AV3598" s="185" t="s">
        <v>176</v>
      </c>
      <c r="AX3598" s="185" t="s">
        <v>176</v>
      </c>
      <c r="BK3598" s="55" t="s">
        <v>6333</v>
      </c>
      <c r="BM3598" s="192" t="s">
        <v>3262</v>
      </c>
      <c r="BN3598" s="55">
        <v>3</v>
      </c>
      <c r="BO3598" s="55">
        <v>3</v>
      </c>
      <c r="BQ3598" s="55" t="s">
        <v>141</v>
      </c>
      <c r="BV3598" s="55" t="s">
        <v>3081</v>
      </c>
      <c r="CB3598" s="66">
        <v>926</v>
      </c>
      <c r="CC3598" s="66">
        <v>2447</v>
      </c>
      <c r="CE3598" s="65">
        <f>1230-CB3598</f>
        <v>304</v>
      </c>
      <c r="CF3598" s="65">
        <f>2878-CC3598</f>
        <v>431</v>
      </c>
      <c r="GP3598" s="292" t="s">
        <v>7494</v>
      </c>
    </row>
    <row r="3599" spans="1:281" x14ac:dyDescent="0.25">
      <c r="A3599" s="55">
        <v>3598</v>
      </c>
      <c r="B3599" s="12" t="s">
        <v>7067</v>
      </c>
      <c r="C3599" s="155">
        <v>166</v>
      </c>
      <c r="D3599" s="55" t="s">
        <v>3261</v>
      </c>
      <c r="E3599" s="90" t="s">
        <v>3240</v>
      </c>
      <c r="G3599" s="55" t="s">
        <v>3241</v>
      </c>
      <c r="H3599" s="55">
        <v>2006</v>
      </c>
      <c r="I3599" s="55">
        <v>1996</v>
      </c>
      <c r="J3599" s="55" t="s">
        <v>3260</v>
      </c>
      <c r="K3599" s="55" t="s">
        <v>3243</v>
      </c>
      <c r="L3599" s="55" t="s">
        <v>2750</v>
      </c>
      <c r="M3599" s="90">
        <v>-13.65</v>
      </c>
      <c r="N3599" s="90">
        <v>32.56666666666667</v>
      </c>
      <c r="O3599" s="90">
        <v>1028</v>
      </c>
      <c r="Q3599" s="55">
        <v>20.5</v>
      </c>
      <c r="R3599" s="55">
        <v>1163</v>
      </c>
      <c r="S3599" s="90">
        <v>960</v>
      </c>
      <c r="U3599" s="55" t="s">
        <v>1682</v>
      </c>
      <c r="V3599" s="55" t="s">
        <v>1875</v>
      </c>
      <c r="Y3599" s="55" t="s">
        <v>3259</v>
      </c>
      <c r="Z3599" s="55" t="s">
        <v>1367</v>
      </c>
      <c r="AA3599" s="90" t="s">
        <v>1687</v>
      </c>
      <c r="AE3599" s="90">
        <v>61</v>
      </c>
      <c r="AF3599" s="90">
        <v>11</v>
      </c>
      <c r="AH3599" s="55" t="s">
        <v>238</v>
      </c>
      <c r="AI3599" s="168">
        <v>5.3</v>
      </c>
      <c r="AJ3599" s="90">
        <v>1.02</v>
      </c>
      <c r="AM3599" s="55" t="s">
        <v>2677</v>
      </c>
      <c r="AN3599" s="185" t="s">
        <v>2693</v>
      </c>
      <c r="AO3599" s="185" t="s">
        <v>5150</v>
      </c>
      <c r="AQ3599" s="55" t="s">
        <v>553</v>
      </c>
      <c r="AR3599" s="55" t="s">
        <v>1607</v>
      </c>
      <c r="AS3599" s="55" t="s">
        <v>132</v>
      </c>
      <c r="AU3599" s="181" t="s">
        <v>7494</v>
      </c>
      <c r="AV3599" s="185" t="s">
        <v>176</v>
      </c>
      <c r="AX3599" s="185" t="s">
        <v>176</v>
      </c>
      <c r="BK3599" s="55" t="s">
        <v>6333</v>
      </c>
      <c r="BM3599" s="192" t="s">
        <v>3262</v>
      </c>
      <c r="BN3599" s="55">
        <v>3</v>
      </c>
      <c r="BO3599" s="55">
        <v>3</v>
      </c>
      <c r="BQ3599" s="55" t="s">
        <v>141</v>
      </c>
      <c r="BV3599" s="55" t="s">
        <v>3081</v>
      </c>
      <c r="CB3599" s="66">
        <v>2295</v>
      </c>
      <c r="CC3599" s="66">
        <v>4223</v>
      </c>
      <c r="CE3599" s="65">
        <v>305</v>
      </c>
      <c r="CF3599" s="65">
        <f>CC3599-3462</f>
        <v>761</v>
      </c>
      <c r="CH3599" s="90">
        <v>1.52</v>
      </c>
      <c r="CI3599" s="90">
        <v>1.42</v>
      </c>
      <c r="EZ3599" s="65">
        <v>96</v>
      </c>
      <c r="FA3599" s="65">
        <f>41*6</f>
        <v>246</v>
      </c>
      <c r="FD3599" s="65" t="s">
        <v>3265</v>
      </c>
      <c r="GP3599" s="292" t="s">
        <v>7494</v>
      </c>
      <c r="HD3599" s="65">
        <v>818.7</v>
      </c>
      <c r="HE3599" s="65">
        <v>334.7</v>
      </c>
      <c r="HH3599" s="65" t="s">
        <v>3266</v>
      </c>
    </row>
    <row r="3600" spans="1:281" x14ac:dyDescent="0.25">
      <c r="A3600" s="55">
        <v>3599</v>
      </c>
      <c r="B3600" s="12" t="s">
        <v>7067</v>
      </c>
      <c r="C3600" s="155">
        <v>166</v>
      </c>
      <c r="D3600" s="55" t="s">
        <v>3261</v>
      </c>
      <c r="E3600" s="90" t="s">
        <v>3240</v>
      </c>
      <c r="G3600" s="55" t="s">
        <v>3241</v>
      </c>
      <c r="H3600" s="55">
        <v>2006</v>
      </c>
      <c r="I3600" s="55">
        <v>1997</v>
      </c>
      <c r="J3600" s="55" t="s">
        <v>3260</v>
      </c>
      <c r="K3600" s="55" t="s">
        <v>3243</v>
      </c>
      <c r="L3600" s="55" t="s">
        <v>2750</v>
      </c>
      <c r="M3600" s="90">
        <v>-13.65</v>
      </c>
      <c r="N3600" s="90">
        <v>32.56666666666667</v>
      </c>
      <c r="O3600" s="90">
        <v>1028</v>
      </c>
      <c r="Q3600" s="55">
        <v>20.5</v>
      </c>
      <c r="R3600" s="55">
        <v>930</v>
      </c>
      <c r="S3600" s="90">
        <v>960</v>
      </c>
      <c r="U3600" s="55" t="s">
        <v>1801</v>
      </c>
      <c r="V3600" s="55" t="s">
        <v>1875</v>
      </c>
      <c r="Y3600" s="55" t="s">
        <v>3259</v>
      </c>
      <c r="Z3600" s="55" t="s">
        <v>1367</v>
      </c>
      <c r="AA3600" s="90" t="s">
        <v>1687</v>
      </c>
      <c r="AE3600" s="90">
        <v>61</v>
      </c>
      <c r="AF3600" s="90">
        <v>11</v>
      </c>
      <c r="AH3600" s="55" t="s">
        <v>238</v>
      </c>
      <c r="AI3600" s="168">
        <v>5.3</v>
      </c>
      <c r="AJ3600" s="90">
        <v>1.02</v>
      </c>
      <c r="AM3600" s="55" t="s">
        <v>2677</v>
      </c>
      <c r="AN3600" s="185" t="s">
        <v>2693</v>
      </c>
      <c r="AO3600" s="185" t="s">
        <v>5150</v>
      </c>
      <c r="AQ3600" s="55" t="s">
        <v>553</v>
      </c>
      <c r="AR3600" s="55" t="s">
        <v>1607</v>
      </c>
      <c r="AS3600" s="55" t="s">
        <v>132</v>
      </c>
      <c r="AU3600" s="181" t="s">
        <v>7494</v>
      </c>
      <c r="AV3600" s="185" t="s">
        <v>176</v>
      </c>
      <c r="AX3600" s="185" t="s">
        <v>176</v>
      </c>
      <c r="BK3600" s="55" t="s">
        <v>6333</v>
      </c>
      <c r="BM3600" s="192" t="s">
        <v>3262</v>
      </c>
      <c r="BN3600" s="55">
        <v>3</v>
      </c>
      <c r="BO3600" s="55">
        <v>3</v>
      </c>
      <c r="BQ3600" s="55" t="s">
        <v>141</v>
      </c>
      <c r="BV3600" s="55" t="s">
        <v>3081</v>
      </c>
      <c r="CB3600" s="66">
        <v>1483</v>
      </c>
      <c r="CC3600" s="66">
        <v>3335</v>
      </c>
      <c r="CE3600" s="65">
        <v>178</v>
      </c>
      <c r="CF3600" s="65">
        <f>CC3600-2879</f>
        <v>456</v>
      </c>
      <c r="GP3600" s="292" t="s">
        <v>7494</v>
      </c>
    </row>
    <row r="3601" spans="1:216" x14ac:dyDescent="0.25">
      <c r="A3601" s="55">
        <v>3600</v>
      </c>
      <c r="B3601" s="12" t="s">
        <v>7067</v>
      </c>
      <c r="C3601" s="155">
        <v>166</v>
      </c>
      <c r="D3601" s="55" t="s">
        <v>3261</v>
      </c>
      <c r="E3601" s="90" t="s">
        <v>3240</v>
      </c>
      <c r="G3601" s="55" t="s">
        <v>3241</v>
      </c>
      <c r="H3601" s="55">
        <v>2006</v>
      </c>
      <c r="I3601" s="55">
        <v>1998</v>
      </c>
      <c r="J3601" s="55" t="s">
        <v>3260</v>
      </c>
      <c r="K3601" s="55" t="s">
        <v>3243</v>
      </c>
      <c r="L3601" s="55" t="s">
        <v>2750</v>
      </c>
      <c r="M3601" s="90">
        <v>-13.65</v>
      </c>
      <c r="N3601" s="90">
        <v>32.56666666666667</v>
      </c>
      <c r="O3601" s="90">
        <v>1028</v>
      </c>
      <c r="Q3601" s="55">
        <v>20.5</v>
      </c>
      <c r="R3601" s="55">
        <v>1074</v>
      </c>
      <c r="S3601" s="90">
        <v>960</v>
      </c>
      <c r="U3601" s="55" t="s">
        <v>1694</v>
      </c>
      <c r="V3601" s="55" t="s">
        <v>1875</v>
      </c>
      <c r="Y3601" s="55" t="s">
        <v>3259</v>
      </c>
      <c r="Z3601" s="55" t="s">
        <v>1367</v>
      </c>
      <c r="AA3601" s="90" t="s">
        <v>1687</v>
      </c>
      <c r="AE3601" s="90">
        <v>61</v>
      </c>
      <c r="AF3601" s="90">
        <v>11</v>
      </c>
      <c r="AH3601" s="55" t="s">
        <v>238</v>
      </c>
      <c r="AI3601" s="168">
        <v>5.3</v>
      </c>
      <c r="AJ3601" s="90">
        <v>1.02</v>
      </c>
      <c r="AM3601" s="55" t="s">
        <v>2677</v>
      </c>
      <c r="AN3601" s="185" t="s">
        <v>2693</v>
      </c>
      <c r="AO3601" s="185" t="s">
        <v>5150</v>
      </c>
      <c r="AQ3601" s="55" t="s">
        <v>553</v>
      </c>
      <c r="AR3601" s="55" t="s">
        <v>1607</v>
      </c>
      <c r="AS3601" s="55" t="s">
        <v>132</v>
      </c>
      <c r="AU3601" s="181" t="s">
        <v>7494</v>
      </c>
      <c r="AV3601" s="185" t="s">
        <v>176</v>
      </c>
      <c r="AX3601" s="185" t="s">
        <v>176</v>
      </c>
      <c r="BK3601" s="55" t="s">
        <v>6333</v>
      </c>
      <c r="BM3601" s="192" t="s">
        <v>3262</v>
      </c>
      <c r="BN3601" s="55">
        <v>3</v>
      </c>
      <c r="BO3601" s="55">
        <v>3</v>
      </c>
      <c r="BQ3601" s="55" t="s">
        <v>141</v>
      </c>
      <c r="BV3601" s="55" t="s">
        <v>3081</v>
      </c>
      <c r="CB3601" s="66">
        <v>900</v>
      </c>
      <c r="CC3601" s="66">
        <v>2447</v>
      </c>
      <c r="CE3601" s="65">
        <v>100</v>
      </c>
      <c r="CF3601" s="65">
        <f>2828-CC3601</f>
        <v>381</v>
      </c>
      <c r="CH3601" s="90">
        <v>1.4</v>
      </c>
      <c r="CI3601" s="90">
        <v>1.3</v>
      </c>
      <c r="GP3601" s="292" t="s">
        <v>7494</v>
      </c>
    </row>
    <row r="3602" spans="1:216" x14ac:dyDescent="0.25">
      <c r="A3602" s="55">
        <v>3601</v>
      </c>
      <c r="B3602" s="12" t="s">
        <v>7067</v>
      </c>
      <c r="C3602" s="155">
        <v>166</v>
      </c>
      <c r="D3602" s="55" t="s">
        <v>3261</v>
      </c>
      <c r="E3602" s="90" t="s">
        <v>3240</v>
      </c>
      <c r="G3602" s="55" t="s">
        <v>3241</v>
      </c>
      <c r="H3602" s="55">
        <v>2006</v>
      </c>
      <c r="I3602" s="55">
        <v>1999</v>
      </c>
      <c r="J3602" s="55" t="s">
        <v>3260</v>
      </c>
      <c r="K3602" s="55" t="s">
        <v>3243</v>
      </c>
      <c r="L3602" s="55" t="s">
        <v>2750</v>
      </c>
      <c r="M3602" s="90">
        <v>-13.65</v>
      </c>
      <c r="N3602" s="90">
        <v>32.56666666666667</v>
      </c>
      <c r="O3602" s="90">
        <v>1028</v>
      </c>
      <c r="Q3602" s="55">
        <v>20.5</v>
      </c>
      <c r="R3602" s="55">
        <v>1207</v>
      </c>
      <c r="S3602" s="90">
        <v>960</v>
      </c>
      <c r="U3602" s="55" t="s">
        <v>1940</v>
      </c>
      <c r="V3602" s="55" t="s">
        <v>1875</v>
      </c>
      <c r="Y3602" s="55" t="s">
        <v>3259</v>
      </c>
      <c r="Z3602" s="55" t="s">
        <v>1367</v>
      </c>
      <c r="AA3602" s="90" t="s">
        <v>1687</v>
      </c>
      <c r="AE3602" s="90">
        <v>61</v>
      </c>
      <c r="AF3602" s="90">
        <v>11</v>
      </c>
      <c r="AH3602" s="55" t="s">
        <v>238</v>
      </c>
      <c r="AI3602" s="168">
        <v>5.3</v>
      </c>
      <c r="AJ3602" s="90">
        <v>1.02</v>
      </c>
      <c r="AM3602" s="55" t="s">
        <v>2677</v>
      </c>
      <c r="AN3602" s="185" t="s">
        <v>2693</v>
      </c>
      <c r="AO3602" s="185" t="s">
        <v>5150</v>
      </c>
      <c r="AQ3602" s="55" t="s">
        <v>553</v>
      </c>
      <c r="AR3602" s="55" t="s">
        <v>1607</v>
      </c>
      <c r="AS3602" s="55" t="s">
        <v>132</v>
      </c>
      <c r="AU3602" s="181" t="s">
        <v>7494</v>
      </c>
      <c r="AV3602" s="185" t="s">
        <v>176</v>
      </c>
      <c r="AX3602" s="185" t="s">
        <v>176</v>
      </c>
      <c r="BK3602" s="55" t="s">
        <v>6333</v>
      </c>
      <c r="BM3602" s="192" t="s">
        <v>3262</v>
      </c>
      <c r="BN3602" s="55">
        <v>3</v>
      </c>
      <c r="BO3602" s="55">
        <v>3</v>
      </c>
      <c r="BQ3602" s="55" t="s">
        <v>141</v>
      </c>
      <c r="BV3602" s="55" t="s">
        <v>3081</v>
      </c>
      <c r="CB3602" s="66">
        <v>723</v>
      </c>
      <c r="CC3602" s="66">
        <v>3031</v>
      </c>
      <c r="CE3602" s="65">
        <v>100</v>
      </c>
      <c r="CF3602" s="65">
        <f>3487-CC3602</f>
        <v>456</v>
      </c>
      <c r="GP3602" s="292" t="s">
        <v>7494</v>
      </c>
    </row>
    <row r="3603" spans="1:216" x14ac:dyDescent="0.25">
      <c r="A3603" s="55">
        <v>3602</v>
      </c>
      <c r="B3603" s="12" t="s">
        <v>7067</v>
      </c>
      <c r="C3603" s="155">
        <v>166</v>
      </c>
      <c r="D3603" s="55" t="s">
        <v>3261</v>
      </c>
      <c r="E3603" s="90" t="s">
        <v>3240</v>
      </c>
      <c r="G3603" s="55" t="s">
        <v>3241</v>
      </c>
      <c r="H3603" s="55">
        <v>2006</v>
      </c>
      <c r="I3603" s="55">
        <v>2000</v>
      </c>
      <c r="J3603" s="55" t="s">
        <v>3260</v>
      </c>
      <c r="K3603" s="55" t="s">
        <v>3243</v>
      </c>
      <c r="L3603" s="55" t="s">
        <v>2750</v>
      </c>
      <c r="M3603" s="90">
        <v>-13.65</v>
      </c>
      <c r="N3603" s="90">
        <v>32.56666666666667</v>
      </c>
      <c r="O3603" s="90">
        <v>1028</v>
      </c>
      <c r="Q3603" s="55">
        <v>20.5</v>
      </c>
      <c r="R3603" s="55">
        <v>796</v>
      </c>
      <c r="S3603" s="90">
        <v>960</v>
      </c>
      <c r="U3603" s="55" t="s">
        <v>1933</v>
      </c>
      <c r="V3603" s="55" t="s">
        <v>1875</v>
      </c>
      <c r="Y3603" s="55" t="s">
        <v>3259</v>
      </c>
      <c r="Z3603" s="55" t="s">
        <v>1367</v>
      </c>
      <c r="AA3603" s="90" t="s">
        <v>1687</v>
      </c>
      <c r="AE3603" s="90">
        <v>61</v>
      </c>
      <c r="AF3603" s="90">
        <v>11</v>
      </c>
      <c r="AH3603" s="55" t="s">
        <v>238</v>
      </c>
      <c r="AI3603" s="168">
        <v>5.3</v>
      </c>
      <c r="AJ3603" s="90">
        <v>1.02</v>
      </c>
      <c r="AM3603" s="55" t="s">
        <v>2677</v>
      </c>
      <c r="AN3603" s="185" t="s">
        <v>2693</v>
      </c>
      <c r="AO3603" s="185" t="s">
        <v>5150</v>
      </c>
      <c r="AQ3603" s="55" t="s">
        <v>553</v>
      </c>
      <c r="AR3603" s="55" t="s">
        <v>1607</v>
      </c>
      <c r="AS3603" s="55" t="s">
        <v>132</v>
      </c>
      <c r="AU3603" s="181" t="s">
        <v>7494</v>
      </c>
      <c r="AV3603" s="185" t="s">
        <v>176</v>
      </c>
      <c r="AX3603" s="185" t="s">
        <v>176</v>
      </c>
      <c r="BK3603" s="55" t="s">
        <v>6333</v>
      </c>
      <c r="BM3603" s="192" t="s">
        <v>3262</v>
      </c>
      <c r="BN3603" s="55">
        <v>3</v>
      </c>
      <c r="BO3603" s="55">
        <v>3</v>
      </c>
      <c r="BQ3603" s="55" t="s">
        <v>141</v>
      </c>
      <c r="BV3603" s="55" t="s">
        <v>3081</v>
      </c>
      <c r="CB3603" s="66">
        <v>926</v>
      </c>
      <c r="CC3603" s="66">
        <v>3284</v>
      </c>
      <c r="CE3603" s="65">
        <v>100</v>
      </c>
      <c r="CF3603" s="65">
        <f>3944-CC3603</f>
        <v>660</v>
      </c>
      <c r="GP3603" s="292" t="s">
        <v>7494</v>
      </c>
    </row>
    <row r="3604" spans="1:216" x14ac:dyDescent="0.25">
      <c r="A3604" s="55">
        <v>3603</v>
      </c>
      <c r="B3604" s="12" t="s">
        <v>7067</v>
      </c>
      <c r="C3604" s="155">
        <v>166</v>
      </c>
      <c r="D3604" s="55" t="s">
        <v>3261</v>
      </c>
      <c r="E3604" s="90" t="s">
        <v>3240</v>
      </c>
      <c r="G3604" s="55" t="s">
        <v>3241</v>
      </c>
      <c r="H3604" s="55">
        <v>2006</v>
      </c>
      <c r="I3604" s="55">
        <v>2001</v>
      </c>
      <c r="J3604" s="55" t="s">
        <v>3260</v>
      </c>
      <c r="K3604" s="55" t="s">
        <v>3243</v>
      </c>
      <c r="L3604" s="55" t="s">
        <v>2750</v>
      </c>
      <c r="M3604" s="90">
        <v>-13.65</v>
      </c>
      <c r="N3604" s="90">
        <v>32.56666666666667</v>
      </c>
      <c r="O3604" s="90">
        <v>1028</v>
      </c>
      <c r="Q3604" s="55">
        <v>20.5</v>
      </c>
      <c r="R3604" s="55">
        <v>1337</v>
      </c>
      <c r="S3604" s="90">
        <v>960</v>
      </c>
      <c r="U3604" s="55" t="s">
        <v>1679</v>
      </c>
      <c r="V3604" s="55" t="s">
        <v>1875</v>
      </c>
      <c r="Y3604" s="55" t="s">
        <v>3259</v>
      </c>
      <c r="Z3604" s="55" t="s">
        <v>1367</v>
      </c>
      <c r="AA3604" s="90" t="s">
        <v>1687</v>
      </c>
      <c r="AE3604" s="90">
        <v>61</v>
      </c>
      <c r="AF3604" s="90">
        <v>11</v>
      </c>
      <c r="AH3604" s="55" t="s">
        <v>238</v>
      </c>
      <c r="AI3604" s="168">
        <v>5.3</v>
      </c>
      <c r="AJ3604" s="90">
        <v>1.02</v>
      </c>
      <c r="AM3604" s="55" t="s">
        <v>2677</v>
      </c>
      <c r="AN3604" s="185" t="s">
        <v>2693</v>
      </c>
      <c r="AO3604" s="185" t="s">
        <v>5150</v>
      </c>
      <c r="AQ3604" s="55" t="s">
        <v>553</v>
      </c>
      <c r="AR3604" s="55" t="s">
        <v>1607</v>
      </c>
      <c r="AS3604" s="55" t="s">
        <v>132</v>
      </c>
      <c r="AU3604" s="181" t="s">
        <v>7494</v>
      </c>
      <c r="AV3604" s="185" t="s">
        <v>176</v>
      </c>
      <c r="AX3604" s="185" t="s">
        <v>176</v>
      </c>
      <c r="BK3604" s="55" t="s">
        <v>6333</v>
      </c>
      <c r="BM3604" s="192" t="s">
        <v>3262</v>
      </c>
      <c r="BN3604" s="55">
        <v>3</v>
      </c>
      <c r="BO3604" s="55">
        <v>3</v>
      </c>
      <c r="BQ3604" s="55" t="s">
        <v>141</v>
      </c>
      <c r="BV3604" s="55" t="s">
        <v>3081</v>
      </c>
      <c r="CB3604" s="66">
        <v>520</v>
      </c>
      <c r="CC3604" s="66">
        <v>1636</v>
      </c>
      <c r="CE3604" s="65">
        <v>100</v>
      </c>
      <c r="CF3604" s="65">
        <f>1788-CC3604</f>
        <v>152</v>
      </c>
      <c r="GP3604" s="292" t="s">
        <v>7494</v>
      </c>
    </row>
    <row r="3605" spans="1:216" x14ac:dyDescent="0.25">
      <c r="A3605" s="55">
        <v>3604</v>
      </c>
      <c r="B3605" s="12" t="s">
        <v>7067</v>
      </c>
      <c r="C3605" s="155">
        <v>166</v>
      </c>
      <c r="D3605" s="55" t="s">
        <v>3261</v>
      </c>
      <c r="E3605" s="90" t="s">
        <v>3240</v>
      </c>
      <c r="G3605" s="55" t="s">
        <v>3241</v>
      </c>
      <c r="H3605" s="55">
        <v>2006</v>
      </c>
      <c r="I3605" s="55">
        <v>2002</v>
      </c>
      <c r="J3605" s="55" t="s">
        <v>3260</v>
      </c>
      <c r="K3605" s="55" t="s">
        <v>3243</v>
      </c>
      <c r="L3605" s="55" t="s">
        <v>2750</v>
      </c>
      <c r="M3605" s="90">
        <v>-13.65</v>
      </c>
      <c r="N3605" s="90">
        <v>32.56666666666667</v>
      </c>
      <c r="O3605" s="90">
        <v>1028</v>
      </c>
      <c r="Q3605" s="55">
        <v>20.5</v>
      </c>
      <c r="R3605" s="55">
        <v>830</v>
      </c>
      <c r="S3605" s="90">
        <v>960</v>
      </c>
      <c r="U3605" s="55" t="s">
        <v>1818</v>
      </c>
      <c r="V3605" s="55" t="s">
        <v>1875</v>
      </c>
      <c r="Y3605" s="55" t="s">
        <v>3259</v>
      </c>
      <c r="Z3605" s="55" t="s">
        <v>1367</v>
      </c>
      <c r="AA3605" s="90" t="s">
        <v>1687</v>
      </c>
      <c r="AE3605" s="90">
        <v>61</v>
      </c>
      <c r="AF3605" s="90">
        <v>11</v>
      </c>
      <c r="AH3605" s="55" t="s">
        <v>238</v>
      </c>
      <c r="AI3605" s="168">
        <v>5.3</v>
      </c>
      <c r="AJ3605" s="90">
        <v>1.02</v>
      </c>
      <c r="AM3605" s="55" t="s">
        <v>2677</v>
      </c>
      <c r="AN3605" s="185" t="s">
        <v>2693</v>
      </c>
      <c r="AO3605" s="185" t="s">
        <v>5150</v>
      </c>
      <c r="AQ3605" s="55" t="s">
        <v>553</v>
      </c>
      <c r="AR3605" s="55" t="s">
        <v>1607</v>
      </c>
      <c r="AS3605" s="55" t="s">
        <v>132</v>
      </c>
      <c r="AU3605" s="181" t="s">
        <v>7494</v>
      </c>
      <c r="AV3605" s="185" t="s">
        <v>176</v>
      </c>
      <c r="AX3605" s="185" t="s">
        <v>176</v>
      </c>
      <c r="BK3605" s="55" t="s">
        <v>6333</v>
      </c>
      <c r="BM3605" s="192" t="s">
        <v>3262</v>
      </c>
      <c r="BN3605" s="55">
        <v>3</v>
      </c>
      <c r="BO3605" s="55">
        <v>3</v>
      </c>
      <c r="BQ3605" s="55" t="s">
        <v>141</v>
      </c>
      <c r="BV3605" s="55" t="s">
        <v>3081</v>
      </c>
      <c r="CB3605" s="66">
        <v>900</v>
      </c>
      <c r="CC3605" s="66">
        <v>2625</v>
      </c>
      <c r="CE3605" s="65">
        <v>100</v>
      </c>
      <c r="CF3605" s="65">
        <f>CC3605-2194</f>
        <v>431</v>
      </c>
      <c r="GP3605" s="292" t="s">
        <v>7494</v>
      </c>
    </row>
    <row r="3606" spans="1:216" x14ac:dyDescent="0.25">
      <c r="A3606" s="55">
        <v>3605</v>
      </c>
      <c r="B3606" s="12" t="s">
        <v>7067</v>
      </c>
      <c r="C3606" s="155">
        <v>166</v>
      </c>
      <c r="D3606" s="55" t="s">
        <v>3261</v>
      </c>
      <c r="E3606" s="90" t="s">
        <v>3240</v>
      </c>
      <c r="G3606" s="55" t="s">
        <v>3241</v>
      </c>
      <c r="H3606" s="55">
        <v>2006</v>
      </c>
      <c r="I3606" s="55">
        <v>2003</v>
      </c>
      <c r="J3606" s="55" t="s">
        <v>3260</v>
      </c>
      <c r="K3606" s="55" t="s">
        <v>3243</v>
      </c>
      <c r="L3606" s="55" t="s">
        <v>2750</v>
      </c>
      <c r="M3606" s="90">
        <v>-13.65</v>
      </c>
      <c r="N3606" s="90">
        <v>32.56666666666667</v>
      </c>
      <c r="O3606" s="90">
        <v>1028</v>
      </c>
      <c r="Q3606" s="55">
        <v>20.5</v>
      </c>
      <c r="R3606" s="55">
        <v>1396</v>
      </c>
      <c r="S3606" s="90">
        <v>960</v>
      </c>
      <c r="U3606" s="55" t="s">
        <v>1889</v>
      </c>
      <c r="V3606" s="55" t="s">
        <v>1875</v>
      </c>
      <c r="Y3606" s="55" t="s">
        <v>3259</v>
      </c>
      <c r="Z3606" s="55" t="s">
        <v>1367</v>
      </c>
      <c r="AA3606" s="90" t="s">
        <v>1687</v>
      </c>
      <c r="AE3606" s="90">
        <v>61</v>
      </c>
      <c r="AF3606" s="90">
        <v>11</v>
      </c>
      <c r="AH3606" s="55" t="s">
        <v>238</v>
      </c>
      <c r="AI3606" s="168">
        <v>5.3</v>
      </c>
      <c r="AJ3606" s="90">
        <v>1.02</v>
      </c>
      <c r="AM3606" s="55" t="s">
        <v>2677</v>
      </c>
      <c r="AN3606" s="185" t="s">
        <v>2693</v>
      </c>
      <c r="AO3606" s="185" t="s">
        <v>5150</v>
      </c>
      <c r="AQ3606" s="55" t="s">
        <v>553</v>
      </c>
      <c r="AR3606" s="55" t="s">
        <v>1607</v>
      </c>
      <c r="AS3606" s="55" t="s">
        <v>132</v>
      </c>
      <c r="AU3606" s="181" t="s">
        <v>7494</v>
      </c>
      <c r="AV3606" s="185" t="s">
        <v>176</v>
      </c>
      <c r="AX3606" s="185" t="s">
        <v>176</v>
      </c>
      <c r="BK3606" s="55" t="s">
        <v>6333</v>
      </c>
      <c r="BM3606" s="192" t="s">
        <v>3262</v>
      </c>
      <c r="BN3606" s="55">
        <v>3</v>
      </c>
      <c r="BO3606" s="55">
        <v>3</v>
      </c>
      <c r="BQ3606" s="55" t="s">
        <v>141</v>
      </c>
      <c r="BV3606" s="55" t="s">
        <v>3081</v>
      </c>
      <c r="CB3606" s="66">
        <v>621</v>
      </c>
      <c r="CC3606" s="66">
        <v>1737</v>
      </c>
      <c r="CE3606" s="65">
        <v>100</v>
      </c>
      <c r="CF3606" s="65">
        <f>2042-CC3606</f>
        <v>305</v>
      </c>
      <c r="CH3606" s="90">
        <v>1.56</v>
      </c>
      <c r="CI3606" s="90">
        <v>1.44</v>
      </c>
      <c r="GP3606" s="292" t="s">
        <v>7494</v>
      </c>
    </row>
    <row r="3607" spans="1:216" x14ac:dyDescent="0.25">
      <c r="A3607" s="55">
        <v>3606</v>
      </c>
      <c r="B3607" s="12" t="s">
        <v>7067</v>
      </c>
      <c r="C3607" s="155">
        <v>166</v>
      </c>
      <c r="D3607" s="55" t="s">
        <v>3261</v>
      </c>
      <c r="E3607" s="90" t="s">
        <v>3240</v>
      </c>
      <c r="G3607" s="55" t="s">
        <v>3241</v>
      </c>
      <c r="H3607" s="55">
        <v>2006</v>
      </c>
      <c r="I3607" s="55">
        <v>2004</v>
      </c>
      <c r="J3607" s="55" t="s">
        <v>3260</v>
      </c>
      <c r="K3607" s="55" t="s">
        <v>3243</v>
      </c>
      <c r="L3607" s="55" t="s">
        <v>2750</v>
      </c>
      <c r="M3607" s="90">
        <v>-13.65</v>
      </c>
      <c r="N3607" s="90">
        <v>32.56666666666667</v>
      </c>
      <c r="O3607" s="90">
        <v>1028</v>
      </c>
      <c r="Q3607" s="55">
        <v>20.5</v>
      </c>
      <c r="R3607" s="55">
        <v>993</v>
      </c>
      <c r="S3607" s="90">
        <v>960</v>
      </c>
      <c r="U3607" s="55" t="s">
        <v>1875</v>
      </c>
      <c r="V3607" s="55" t="s">
        <v>1875</v>
      </c>
      <c r="Y3607" s="55" t="s">
        <v>3259</v>
      </c>
      <c r="Z3607" s="55" t="s">
        <v>1367</v>
      </c>
      <c r="AA3607" s="90" t="s">
        <v>1687</v>
      </c>
      <c r="AE3607" s="90">
        <v>61</v>
      </c>
      <c r="AF3607" s="90">
        <v>11</v>
      </c>
      <c r="AH3607" s="55" t="s">
        <v>238</v>
      </c>
      <c r="AI3607" s="168">
        <v>5.3</v>
      </c>
      <c r="AJ3607" s="90">
        <v>1.02</v>
      </c>
      <c r="AM3607" s="55" t="s">
        <v>2677</v>
      </c>
      <c r="AN3607" s="185" t="s">
        <v>2693</v>
      </c>
      <c r="AO3607" s="185" t="s">
        <v>5150</v>
      </c>
      <c r="AQ3607" s="55" t="s">
        <v>553</v>
      </c>
      <c r="AR3607" s="55" t="s">
        <v>1607</v>
      </c>
      <c r="AS3607" s="55" t="s">
        <v>132</v>
      </c>
      <c r="AU3607" s="181" t="s">
        <v>7494</v>
      </c>
      <c r="AV3607" s="185" t="s">
        <v>176</v>
      </c>
      <c r="AX3607" s="185" t="s">
        <v>176</v>
      </c>
      <c r="BK3607" s="55" t="s">
        <v>6333</v>
      </c>
      <c r="BM3607" s="192" t="s">
        <v>3262</v>
      </c>
      <c r="BN3607" s="55">
        <v>3</v>
      </c>
      <c r="BO3607" s="55">
        <v>3</v>
      </c>
      <c r="BQ3607" s="55" t="s">
        <v>141</v>
      </c>
      <c r="BV3607" s="55" t="s">
        <v>3081</v>
      </c>
      <c r="CB3607" s="66">
        <v>926</v>
      </c>
      <c r="CC3607" s="66">
        <v>2092</v>
      </c>
      <c r="CE3607" s="65">
        <v>304</v>
      </c>
      <c r="CF3607" s="65">
        <f>2472-CC3607</f>
        <v>380</v>
      </c>
      <c r="GP3607" s="292" t="s">
        <v>7494</v>
      </c>
    </row>
    <row r="3608" spans="1:216" x14ac:dyDescent="0.25">
      <c r="A3608" s="55">
        <v>3607</v>
      </c>
      <c r="B3608" s="12" t="s">
        <v>7067</v>
      </c>
      <c r="C3608" s="155">
        <v>166</v>
      </c>
      <c r="D3608" s="55" t="s">
        <v>3263</v>
      </c>
      <c r="E3608" s="90" t="s">
        <v>3240</v>
      </c>
      <c r="G3608" s="55" t="s">
        <v>3241</v>
      </c>
      <c r="H3608" s="55">
        <v>2006</v>
      </c>
      <c r="I3608" s="55">
        <v>2001</v>
      </c>
      <c r="J3608" s="55" t="s">
        <v>3260</v>
      </c>
      <c r="K3608" s="55" t="s">
        <v>3243</v>
      </c>
      <c r="L3608" s="55" t="s">
        <v>2750</v>
      </c>
      <c r="M3608" s="90">
        <v>-13.5</v>
      </c>
      <c r="N3608" s="90">
        <v>32.56666666666667</v>
      </c>
      <c r="O3608" s="90">
        <v>1028</v>
      </c>
      <c r="Q3608" s="55">
        <v>20.5</v>
      </c>
      <c r="R3608" s="55">
        <v>1337</v>
      </c>
      <c r="S3608" s="90">
        <v>960</v>
      </c>
      <c r="U3608" s="55" t="s">
        <v>1679</v>
      </c>
      <c r="V3608" s="55" t="s">
        <v>1875</v>
      </c>
      <c r="Y3608" s="55" t="s">
        <v>3259</v>
      </c>
      <c r="Z3608" s="55" t="s">
        <v>1367</v>
      </c>
      <c r="AA3608" s="90" t="s">
        <v>1687</v>
      </c>
      <c r="AE3608" s="90">
        <v>61</v>
      </c>
      <c r="AF3608" s="90">
        <v>11</v>
      </c>
      <c r="AH3608" s="55" t="s">
        <v>238</v>
      </c>
      <c r="AI3608" s="168">
        <v>5.3</v>
      </c>
      <c r="AJ3608" s="90">
        <v>1.02</v>
      </c>
      <c r="AM3608" s="55" t="s">
        <v>2677</v>
      </c>
      <c r="AN3608" s="185" t="s">
        <v>2620</v>
      </c>
      <c r="AO3608" s="185" t="s">
        <v>5150</v>
      </c>
      <c r="AQ3608" s="55" t="s">
        <v>553</v>
      </c>
      <c r="AR3608" s="55" t="s">
        <v>1607</v>
      </c>
      <c r="AS3608" s="55" t="s">
        <v>132</v>
      </c>
      <c r="AU3608" s="181" t="s">
        <v>7494</v>
      </c>
      <c r="AV3608" s="185" t="s">
        <v>176</v>
      </c>
      <c r="AX3608" s="185" t="s">
        <v>176</v>
      </c>
      <c r="BK3608" s="55" t="s">
        <v>6333</v>
      </c>
      <c r="BM3608" s="192" t="s">
        <v>3262</v>
      </c>
      <c r="BN3608" s="55">
        <v>3</v>
      </c>
      <c r="BO3608" s="55">
        <v>3</v>
      </c>
      <c r="BQ3608" s="55" t="s">
        <v>141</v>
      </c>
      <c r="BV3608" s="55" t="s">
        <v>3082</v>
      </c>
      <c r="CB3608" s="66">
        <v>450</v>
      </c>
      <c r="CC3608" s="66">
        <v>1857.69</v>
      </c>
      <c r="CE3608" s="65">
        <f>(1073-773)/2*SQRT(3)</f>
        <v>259.8076211353316</v>
      </c>
      <c r="CF3608" s="65">
        <f>(2112-CC3608)*SQRT(3)</f>
        <v>440.47784087284106</v>
      </c>
      <c r="GP3608" s="292" t="s">
        <v>7494</v>
      </c>
      <c r="HD3608" s="65">
        <v>122.7</v>
      </c>
      <c r="HE3608" s="65">
        <v>373.3</v>
      </c>
      <c r="HH3608" s="65" t="s">
        <v>3266</v>
      </c>
    </row>
    <row r="3609" spans="1:216" x14ac:dyDescent="0.25">
      <c r="A3609" s="55">
        <v>3608</v>
      </c>
      <c r="B3609" s="12" t="s">
        <v>7067</v>
      </c>
      <c r="C3609" s="155">
        <v>166</v>
      </c>
      <c r="D3609" s="55" t="s">
        <v>3263</v>
      </c>
      <c r="E3609" s="90" t="s">
        <v>3240</v>
      </c>
      <c r="G3609" s="55" t="s">
        <v>3241</v>
      </c>
      <c r="H3609" s="55">
        <v>2006</v>
      </c>
      <c r="I3609" s="55">
        <v>2002</v>
      </c>
      <c r="J3609" s="55" t="s">
        <v>3260</v>
      </c>
      <c r="K3609" s="55" t="s">
        <v>3243</v>
      </c>
      <c r="L3609" s="55" t="s">
        <v>2750</v>
      </c>
      <c r="M3609" s="90">
        <v>-13.5</v>
      </c>
      <c r="N3609" s="90">
        <v>32.56666666666667</v>
      </c>
      <c r="O3609" s="90">
        <v>1028</v>
      </c>
      <c r="Q3609" s="55">
        <v>20.5</v>
      </c>
      <c r="R3609" s="55">
        <v>830</v>
      </c>
      <c r="S3609" s="90">
        <v>960</v>
      </c>
      <c r="U3609" s="55" t="s">
        <v>1818</v>
      </c>
      <c r="V3609" s="55" t="s">
        <v>1875</v>
      </c>
      <c r="Y3609" s="55" t="s">
        <v>3259</v>
      </c>
      <c r="Z3609" s="55" t="s">
        <v>1367</v>
      </c>
      <c r="AA3609" s="90" t="s">
        <v>1687</v>
      </c>
      <c r="AE3609" s="90">
        <v>61</v>
      </c>
      <c r="AF3609" s="90">
        <v>11</v>
      </c>
      <c r="AH3609" s="55" t="s">
        <v>238</v>
      </c>
      <c r="AI3609" s="168">
        <v>5.3</v>
      </c>
      <c r="AJ3609" s="90">
        <v>1.02</v>
      </c>
      <c r="AM3609" s="55" t="s">
        <v>2677</v>
      </c>
      <c r="AN3609" s="185" t="s">
        <v>2620</v>
      </c>
      <c r="AO3609" s="185" t="s">
        <v>5150</v>
      </c>
      <c r="AQ3609" s="55" t="s">
        <v>553</v>
      </c>
      <c r="AR3609" s="55" t="s">
        <v>1607</v>
      </c>
      <c r="AS3609" s="55" t="s">
        <v>132</v>
      </c>
      <c r="AU3609" s="181" t="s">
        <v>7494</v>
      </c>
      <c r="AV3609" s="185" t="s">
        <v>176</v>
      </c>
      <c r="AX3609" s="185" t="s">
        <v>176</v>
      </c>
      <c r="BK3609" s="55" t="s">
        <v>6333</v>
      </c>
      <c r="BM3609" s="192" t="s">
        <v>3262</v>
      </c>
      <c r="BN3609" s="55">
        <v>3</v>
      </c>
      <c r="BO3609" s="55">
        <v>3</v>
      </c>
      <c r="BQ3609" s="55" t="s">
        <v>141</v>
      </c>
      <c r="BV3609" s="55" t="s">
        <v>3082</v>
      </c>
      <c r="CB3609" s="66">
        <v>219</v>
      </c>
      <c r="CC3609" s="66">
        <v>2503.8000000000002</v>
      </c>
      <c r="CE3609" s="65">
        <f>(1073-773)/2*SQRT(3)</f>
        <v>259.8076211353316</v>
      </c>
      <c r="CF3609" s="65">
        <f>(2758-CC3609)*SQRT(3)</f>
        <v>440.28731528400829</v>
      </c>
      <c r="GP3609" s="292" t="s">
        <v>7494</v>
      </c>
    </row>
    <row r="3610" spans="1:216" x14ac:dyDescent="0.25">
      <c r="A3610" s="55">
        <v>3609</v>
      </c>
      <c r="B3610" s="12" t="s">
        <v>7067</v>
      </c>
      <c r="C3610" s="155">
        <v>166</v>
      </c>
      <c r="D3610" s="55" t="s">
        <v>3263</v>
      </c>
      <c r="E3610" s="90" t="s">
        <v>3240</v>
      </c>
      <c r="G3610" s="55" t="s">
        <v>3241</v>
      </c>
      <c r="H3610" s="55">
        <v>2006</v>
      </c>
      <c r="I3610" s="55">
        <v>2003</v>
      </c>
      <c r="J3610" s="55" t="s">
        <v>3260</v>
      </c>
      <c r="K3610" s="55" t="s">
        <v>3243</v>
      </c>
      <c r="L3610" s="55" t="s">
        <v>2750</v>
      </c>
      <c r="M3610" s="90">
        <v>-13.5</v>
      </c>
      <c r="N3610" s="90">
        <v>32.56666666666667</v>
      </c>
      <c r="O3610" s="90">
        <v>1028</v>
      </c>
      <c r="Q3610" s="55">
        <v>20.5</v>
      </c>
      <c r="R3610" s="55">
        <v>1396</v>
      </c>
      <c r="S3610" s="90">
        <v>960</v>
      </c>
      <c r="U3610" s="55" t="s">
        <v>1889</v>
      </c>
      <c r="V3610" s="55" t="s">
        <v>1875</v>
      </c>
      <c r="Y3610" s="55" t="s">
        <v>3259</v>
      </c>
      <c r="Z3610" s="55" t="s">
        <v>1367</v>
      </c>
      <c r="AA3610" s="90" t="s">
        <v>1687</v>
      </c>
      <c r="AE3610" s="90">
        <v>61</v>
      </c>
      <c r="AF3610" s="90">
        <v>11</v>
      </c>
      <c r="AH3610" s="55" t="s">
        <v>238</v>
      </c>
      <c r="AI3610" s="168">
        <v>5.3</v>
      </c>
      <c r="AJ3610" s="90">
        <v>1.02</v>
      </c>
      <c r="AM3610" s="55" t="s">
        <v>2677</v>
      </c>
      <c r="AN3610" s="185" t="s">
        <v>2620</v>
      </c>
      <c r="AO3610" s="185" t="s">
        <v>5150</v>
      </c>
      <c r="AQ3610" s="55" t="s">
        <v>553</v>
      </c>
      <c r="AR3610" s="55" t="s">
        <v>1607</v>
      </c>
      <c r="AS3610" s="55" t="s">
        <v>132</v>
      </c>
      <c r="AU3610" s="181" t="s">
        <v>7494</v>
      </c>
      <c r="AV3610" s="185" t="s">
        <v>176</v>
      </c>
      <c r="AX3610" s="185" t="s">
        <v>176</v>
      </c>
      <c r="BK3610" s="55" t="s">
        <v>6333</v>
      </c>
      <c r="BM3610" s="192" t="s">
        <v>3262</v>
      </c>
      <c r="BN3610" s="55">
        <v>3</v>
      </c>
      <c r="BO3610" s="55">
        <v>3</v>
      </c>
      <c r="BQ3610" s="55" t="s">
        <v>141</v>
      </c>
      <c r="BV3610" s="55" t="s">
        <v>3082</v>
      </c>
      <c r="CB3610" s="66">
        <v>127</v>
      </c>
      <c r="CC3610" s="66">
        <v>1626.9</v>
      </c>
      <c r="CE3610" s="65">
        <f>(1073-773)/2*SQRT(3)</f>
        <v>259.8076211353316</v>
      </c>
      <c r="GP3610" s="292" t="s">
        <v>7494</v>
      </c>
    </row>
    <row r="3611" spans="1:216" x14ac:dyDescent="0.25">
      <c r="A3611" s="55">
        <v>3610</v>
      </c>
      <c r="B3611" s="12" t="s">
        <v>7067</v>
      </c>
      <c r="C3611" s="155">
        <v>166</v>
      </c>
      <c r="D3611" s="55" t="s">
        <v>3263</v>
      </c>
      <c r="E3611" s="90" t="s">
        <v>3240</v>
      </c>
      <c r="G3611" s="55" t="s">
        <v>3241</v>
      </c>
      <c r="H3611" s="55">
        <v>2006</v>
      </c>
      <c r="I3611" s="55">
        <v>2004</v>
      </c>
      <c r="J3611" s="55" t="s">
        <v>3260</v>
      </c>
      <c r="K3611" s="55" t="s">
        <v>3243</v>
      </c>
      <c r="L3611" s="55" t="s">
        <v>2750</v>
      </c>
      <c r="M3611" s="90">
        <v>-13.5</v>
      </c>
      <c r="N3611" s="90">
        <v>32.56666666666667</v>
      </c>
      <c r="O3611" s="90">
        <v>1028</v>
      </c>
      <c r="Q3611" s="55">
        <v>20.5</v>
      </c>
      <c r="R3611" s="55">
        <v>993</v>
      </c>
      <c r="S3611" s="90">
        <v>960</v>
      </c>
      <c r="U3611" s="55" t="s">
        <v>1875</v>
      </c>
      <c r="V3611" s="55" t="s">
        <v>1875</v>
      </c>
      <c r="Y3611" s="55" t="s">
        <v>3259</v>
      </c>
      <c r="Z3611" s="55" t="s">
        <v>1367</v>
      </c>
      <c r="AA3611" s="90" t="s">
        <v>1687</v>
      </c>
      <c r="AE3611" s="90">
        <v>61</v>
      </c>
      <c r="AF3611" s="90">
        <v>11</v>
      </c>
      <c r="AH3611" s="55" t="s">
        <v>238</v>
      </c>
      <c r="AI3611" s="168">
        <v>5.3</v>
      </c>
      <c r="AJ3611" s="90">
        <v>1.02</v>
      </c>
      <c r="AM3611" s="55" t="s">
        <v>2677</v>
      </c>
      <c r="AN3611" s="185" t="s">
        <v>2620</v>
      </c>
      <c r="AO3611" s="185" t="s">
        <v>5150</v>
      </c>
      <c r="AQ3611" s="55" t="s">
        <v>553</v>
      </c>
      <c r="AR3611" s="55" t="s">
        <v>1607</v>
      </c>
      <c r="AS3611" s="55" t="s">
        <v>132</v>
      </c>
      <c r="AU3611" s="181" t="s">
        <v>7494</v>
      </c>
      <c r="AV3611" s="185" t="s">
        <v>176</v>
      </c>
      <c r="AX3611" s="185" t="s">
        <v>176</v>
      </c>
      <c r="BK3611" s="55" t="s">
        <v>6333</v>
      </c>
      <c r="BM3611" s="192" t="s">
        <v>3262</v>
      </c>
      <c r="BN3611" s="55">
        <v>3</v>
      </c>
      <c r="BO3611" s="55">
        <v>3</v>
      </c>
      <c r="BQ3611" s="55" t="s">
        <v>141</v>
      </c>
      <c r="BV3611" s="55" t="s">
        <v>3082</v>
      </c>
      <c r="CB3611" s="66">
        <v>150</v>
      </c>
      <c r="CC3611" s="66">
        <v>1142.31</v>
      </c>
      <c r="CE3611" s="65">
        <f>(1073-773)/2*SQRT(3)</f>
        <v>259.8076211353316</v>
      </c>
      <c r="GP3611" s="292" t="s">
        <v>7494</v>
      </c>
    </row>
    <row r="3612" spans="1:216" x14ac:dyDescent="0.25">
      <c r="A3612" s="55">
        <v>3611</v>
      </c>
      <c r="B3612" s="12" t="s">
        <v>7067</v>
      </c>
      <c r="C3612" s="155">
        <v>166</v>
      </c>
      <c r="D3612" s="55" t="s">
        <v>3263</v>
      </c>
      <c r="E3612" s="90" t="s">
        <v>3240</v>
      </c>
      <c r="G3612" s="55" t="s">
        <v>3241</v>
      </c>
      <c r="H3612" s="55">
        <v>2006</v>
      </c>
      <c r="I3612" s="55">
        <v>2001</v>
      </c>
      <c r="J3612" s="55" t="s">
        <v>3260</v>
      </c>
      <c r="K3612" s="55" t="s">
        <v>3243</v>
      </c>
      <c r="L3612" s="55" t="s">
        <v>2750</v>
      </c>
      <c r="M3612" s="90">
        <v>-13.5</v>
      </c>
      <c r="N3612" s="90">
        <v>32.56666666666667</v>
      </c>
      <c r="O3612" s="90">
        <v>1028</v>
      </c>
      <c r="Q3612" s="55">
        <v>20.5</v>
      </c>
      <c r="R3612" s="55">
        <v>1337</v>
      </c>
      <c r="S3612" s="90">
        <v>960</v>
      </c>
      <c r="U3612" s="55" t="s">
        <v>1679</v>
      </c>
      <c r="V3612" s="55" t="s">
        <v>1875</v>
      </c>
      <c r="Y3612" s="55" t="s">
        <v>3259</v>
      </c>
      <c r="Z3612" s="55" t="s">
        <v>1367</v>
      </c>
      <c r="AA3612" s="90" t="s">
        <v>1687</v>
      </c>
      <c r="AE3612" s="90">
        <v>61</v>
      </c>
      <c r="AF3612" s="90">
        <v>11</v>
      </c>
      <c r="AH3612" s="55" t="s">
        <v>238</v>
      </c>
      <c r="AI3612" s="168">
        <v>5.3</v>
      </c>
      <c r="AJ3612" s="90">
        <v>1.02</v>
      </c>
      <c r="AM3612" s="55" t="s">
        <v>2677</v>
      </c>
      <c r="AN3612" s="185" t="s">
        <v>2693</v>
      </c>
      <c r="AO3612" s="185" t="s">
        <v>5150</v>
      </c>
      <c r="AQ3612" s="55" t="s">
        <v>553</v>
      </c>
      <c r="AR3612" s="55" t="s">
        <v>1607</v>
      </c>
      <c r="AS3612" s="55" t="s">
        <v>132</v>
      </c>
      <c r="AU3612" s="181" t="s">
        <v>7494</v>
      </c>
      <c r="AV3612" s="185" t="s">
        <v>176</v>
      </c>
      <c r="AX3612" s="185" t="s">
        <v>176</v>
      </c>
      <c r="BK3612" s="55" t="s">
        <v>6333</v>
      </c>
      <c r="BM3612" s="192" t="s">
        <v>3262</v>
      </c>
      <c r="BN3612" s="55">
        <v>3</v>
      </c>
      <c r="BO3612" s="55">
        <v>3</v>
      </c>
      <c r="BQ3612" s="55" t="s">
        <v>141</v>
      </c>
      <c r="BV3612" s="55" t="s">
        <v>3082</v>
      </c>
      <c r="CB3612" s="66">
        <v>450</v>
      </c>
      <c r="CC3612" s="66">
        <v>2019</v>
      </c>
      <c r="CE3612" s="65">
        <v>259.8076211353316</v>
      </c>
      <c r="CF3612" s="65">
        <f>(2135-CC3612)*SQRT(3)</f>
        <v>200.91789367798975</v>
      </c>
      <c r="GP3612" s="292" t="s">
        <v>7494</v>
      </c>
      <c r="HD3612" s="65">
        <v>122.7</v>
      </c>
      <c r="HE3612" s="65">
        <v>149.30000000000001</v>
      </c>
      <c r="HH3612" s="65" t="s">
        <v>3266</v>
      </c>
    </row>
    <row r="3613" spans="1:216" x14ac:dyDescent="0.25">
      <c r="A3613" s="55">
        <v>3612</v>
      </c>
      <c r="B3613" s="12" t="s">
        <v>7067</v>
      </c>
      <c r="C3613" s="155">
        <v>166</v>
      </c>
      <c r="D3613" s="55" t="s">
        <v>3263</v>
      </c>
      <c r="E3613" s="90" t="s">
        <v>3240</v>
      </c>
      <c r="G3613" s="55" t="s">
        <v>3241</v>
      </c>
      <c r="H3613" s="55">
        <v>2006</v>
      </c>
      <c r="I3613" s="55">
        <v>2002</v>
      </c>
      <c r="J3613" s="55" t="s">
        <v>3260</v>
      </c>
      <c r="K3613" s="55" t="s">
        <v>3243</v>
      </c>
      <c r="L3613" s="55" t="s">
        <v>2750</v>
      </c>
      <c r="M3613" s="90">
        <v>-13.5</v>
      </c>
      <c r="N3613" s="90">
        <v>32.56666666666667</v>
      </c>
      <c r="O3613" s="90">
        <v>1028</v>
      </c>
      <c r="Q3613" s="55">
        <v>20.5</v>
      </c>
      <c r="R3613" s="55">
        <v>830</v>
      </c>
      <c r="S3613" s="90">
        <v>960</v>
      </c>
      <c r="U3613" s="55" t="s">
        <v>1818</v>
      </c>
      <c r="V3613" s="55" t="s">
        <v>1875</v>
      </c>
      <c r="Y3613" s="55" t="s">
        <v>3259</v>
      </c>
      <c r="Z3613" s="55" t="s">
        <v>1367</v>
      </c>
      <c r="AA3613" s="90" t="s">
        <v>1687</v>
      </c>
      <c r="AE3613" s="90">
        <v>61</v>
      </c>
      <c r="AF3613" s="90">
        <v>11</v>
      </c>
      <c r="AH3613" s="55" t="s">
        <v>238</v>
      </c>
      <c r="AI3613" s="168">
        <v>5.3</v>
      </c>
      <c r="AJ3613" s="90">
        <v>1.02</v>
      </c>
      <c r="AM3613" s="55" t="s">
        <v>2677</v>
      </c>
      <c r="AN3613" s="185" t="s">
        <v>2693</v>
      </c>
      <c r="AO3613" s="185" t="s">
        <v>5150</v>
      </c>
      <c r="AQ3613" s="55" t="s">
        <v>553</v>
      </c>
      <c r="AR3613" s="55" t="s">
        <v>1607</v>
      </c>
      <c r="AS3613" s="55" t="s">
        <v>132</v>
      </c>
      <c r="AU3613" s="181" t="s">
        <v>7494</v>
      </c>
      <c r="AV3613" s="185" t="s">
        <v>176</v>
      </c>
      <c r="AX3613" s="185" t="s">
        <v>176</v>
      </c>
      <c r="BK3613" s="55" t="s">
        <v>6333</v>
      </c>
      <c r="BM3613" s="192" t="s">
        <v>3262</v>
      </c>
      <c r="BN3613" s="55">
        <v>3</v>
      </c>
      <c r="BO3613" s="55">
        <v>3</v>
      </c>
      <c r="BQ3613" s="55" t="s">
        <v>141</v>
      </c>
      <c r="BV3613" s="55" t="s">
        <v>3082</v>
      </c>
      <c r="CB3613" s="66">
        <v>219</v>
      </c>
      <c r="CC3613" s="66">
        <v>1535</v>
      </c>
      <c r="CE3613" s="65">
        <v>259.8076211353316</v>
      </c>
      <c r="CF3613" s="65">
        <f>(1650-CC3613)*SQRT(3)</f>
        <v>199.18584287042088</v>
      </c>
      <c r="GP3613" s="292" t="s">
        <v>7494</v>
      </c>
    </row>
    <row r="3614" spans="1:216" x14ac:dyDescent="0.25">
      <c r="A3614" s="55">
        <v>3613</v>
      </c>
      <c r="B3614" s="12" t="s">
        <v>7067</v>
      </c>
      <c r="C3614" s="155">
        <v>166</v>
      </c>
      <c r="D3614" s="55" t="s">
        <v>3263</v>
      </c>
      <c r="E3614" s="90" t="s">
        <v>3240</v>
      </c>
      <c r="G3614" s="55" t="s">
        <v>3241</v>
      </c>
      <c r="H3614" s="55">
        <v>2006</v>
      </c>
      <c r="I3614" s="55">
        <v>2003</v>
      </c>
      <c r="J3614" s="55" t="s">
        <v>3260</v>
      </c>
      <c r="K3614" s="55" t="s">
        <v>3243</v>
      </c>
      <c r="L3614" s="55" t="s">
        <v>2750</v>
      </c>
      <c r="M3614" s="90">
        <v>-13.5</v>
      </c>
      <c r="N3614" s="90">
        <v>32.56666666666667</v>
      </c>
      <c r="O3614" s="90">
        <v>1028</v>
      </c>
      <c r="Q3614" s="55">
        <v>20.5</v>
      </c>
      <c r="R3614" s="55">
        <v>1396</v>
      </c>
      <c r="S3614" s="90">
        <v>960</v>
      </c>
      <c r="U3614" s="55" t="s">
        <v>1889</v>
      </c>
      <c r="V3614" s="55" t="s">
        <v>1875</v>
      </c>
      <c r="Y3614" s="55" t="s">
        <v>3259</v>
      </c>
      <c r="Z3614" s="55" t="s">
        <v>1367</v>
      </c>
      <c r="AA3614" s="90" t="s">
        <v>1687</v>
      </c>
      <c r="AE3614" s="90">
        <v>61</v>
      </c>
      <c r="AF3614" s="90">
        <v>11</v>
      </c>
      <c r="AH3614" s="55" t="s">
        <v>238</v>
      </c>
      <c r="AI3614" s="168">
        <v>5.3</v>
      </c>
      <c r="AJ3614" s="90">
        <v>1.02</v>
      </c>
      <c r="AM3614" s="55" t="s">
        <v>2677</v>
      </c>
      <c r="AN3614" s="185" t="s">
        <v>2693</v>
      </c>
      <c r="AO3614" s="185" t="s">
        <v>5150</v>
      </c>
      <c r="AQ3614" s="55" t="s">
        <v>553</v>
      </c>
      <c r="AR3614" s="55" t="s">
        <v>1607</v>
      </c>
      <c r="AS3614" s="55" t="s">
        <v>132</v>
      </c>
      <c r="AU3614" s="181" t="s">
        <v>7494</v>
      </c>
      <c r="AV3614" s="185" t="s">
        <v>176</v>
      </c>
      <c r="AX3614" s="185" t="s">
        <v>176</v>
      </c>
      <c r="BK3614" s="55" t="s">
        <v>6333</v>
      </c>
      <c r="BM3614" s="192" t="s">
        <v>3262</v>
      </c>
      <c r="BN3614" s="55">
        <v>3</v>
      </c>
      <c r="BO3614" s="55">
        <v>3</v>
      </c>
      <c r="BQ3614" s="55" t="s">
        <v>141</v>
      </c>
      <c r="BV3614" s="55" t="s">
        <v>3082</v>
      </c>
      <c r="CB3614" s="66">
        <v>127</v>
      </c>
      <c r="CC3614" s="66">
        <v>773</v>
      </c>
      <c r="CE3614" s="65">
        <v>259.8076211353316</v>
      </c>
      <c r="GP3614" s="292" t="s">
        <v>7494</v>
      </c>
    </row>
    <row r="3615" spans="1:216" x14ac:dyDescent="0.25">
      <c r="A3615" s="55">
        <v>3614</v>
      </c>
      <c r="B3615" s="12" t="s">
        <v>7067</v>
      </c>
      <c r="C3615" s="155">
        <v>166</v>
      </c>
      <c r="D3615" s="55" t="s">
        <v>3263</v>
      </c>
      <c r="E3615" s="90" t="s">
        <v>3240</v>
      </c>
      <c r="G3615" s="55" t="s">
        <v>3241</v>
      </c>
      <c r="H3615" s="55">
        <v>2006</v>
      </c>
      <c r="I3615" s="55">
        <v>2004</v>
      </c>
      <c r="J3615" s="55" t="s">
        <v>3260</v>
      </c>
      <c r="K3615" s="55" t="s">
        <v>3243</v>
      </c>
      <c r="L3615" s="55" t="s">
        <v>2750</v>
      </c>
      <c r="M3615" s="90">
        <v>-13.5</v>
      </c>
      <c r="N3615" s="90">
        <v>32.56666666666667</v>
      </c>
      <c r="O3615" s="90">
        <v>1028</v>
      </c>
      <c r="Q3615" s="55">
        <v>20.5</v>
      </c>
      <c r="R3615" s="55">
        <v>993</v>
      </c>
      <c r="S3615" s="90">
        <v>960</v>
      </c>
      <c r="U3615" s="55" t="s">
        <v>1875</v>
      </c>
      <c r="V3615" s="55" t="s">
        <v>1875</v>
      </c>
      <c r="Y3615" s="55" t="s">
        <v>3259</v>
      </c>
      <c r="Z3615" s="55" t="s">
        <v>1367</v>
      </c>
      <c r="AA3615" s="90" t="s">
        <v>1687</v>
      </c>
      <c r="AE3615" s="90">
        <v>61</v>
      </c>
      <c r="AF3615" s="90">
        <v>11</v>
      </c>
      <c r="AH3615" s="55" t="s">
        <v>238</v>
      </c>
      <c r="AI3615" s="168">
        <v>5.3</v>
      </c>
      <c r="AJ3615" s="90">
        <v>1.02</v>
      </c>
      <c r="AM3615" s="55" t="s">
        <v>2677</v>
      </c>
      <c r="AN3615" s="185" t="s">
        <v>2693</v>
      </c>
      <c r="AO3615" s="185" t="s">
        <v>5150</v>
      </c>
      <c r="AQ3615" s="55" t="s">
        <v>553</v>
      </c>
      <c r="AR3615" s="55" t="s">
        <v>1607</v>
      </c>
      <c r="AS3615" s="55" t="s">
        <v>132</v>
      </c>
      <c r="AU3615" s="181" t="s">
        <v>7494</v>
      </c>
      <c r="AV3615" s="185" t="s">
        <v>176</v>
      </c>
      <c r="AX3615" s="185" t="s">
        <v>176</v>
      </c>
      <c r="BK3615" s="55" t="s">
        <v>6333</v>
      </c>
      <c r="BM3615" s="192" t="s">
        <v>3262</v>
      </c>
      <c r="BN3615" s="55">
        <v>3</v>
      </c>
      <c r="BO3615" s="55">
        <v>3</v>
      </c>
      <c r="BQ3615" s="55" t="s">
        <v>141</v>
      </c>
      <c r="BV3615" s="55" t="s">
        <v>3082</v>
      </c>
      <c r="CB3615" s="66">
        <v>150</v>
      </c>
      <c r="CC3615" s="66">
        <v>542</v>
      </c>
      <c r="CE3615" s="65">
        <v>259.8076211353316</v>
      </c>
      <c r="GP3615" s="292" t="s">
        <v>7494</v>
      </c>
    </row>
    <row r="3616" spans="1:216" x14ac:dyDescent="0.25">
      <c r="A3616" s="55">
        <v>3615</v>
      </c>
      <c r="B3616" s="12" t="s">
        <v>7067</v>
      </c>
      <c r="C3616" s="155">
        <v>166</v>
      </c>
      <c r="D3616" s="55" t="s">
        <v>3267</v>
      </c>
      <c r="E3616" s="90" t="s">
        <v>3240</v>
      </c>
      <c r="G3616" s="55" t="s">
        <v>3241</v>
      </c>
      <c r="H3616" s="55">
        <v>2006</v>
      </c>
      <c r="I3616" s="55">
        <v>1993</v>
      </c>
      <c r="J3616" s="55" t="s">
        <v>3260</v>
      </c>
      <c r="K3616" s="55" t="s">
        <v>3243</v>
      </c>
      <c r="L3616" s="55" t="s">
        <v>2750</v>
      </c>
      <c r="M3616" s="90">
        <v>-13.5</v>
      </c>
      <c r="N3616" s="90">
        <v>32.56666666666667</v>
      </c>
      <c r="O3616" s="90">
        <v>1028</v>
      </c>
      <c r="Q3616" s="55">
        <v>20.5</v>
      </c>
      <c r="S3616" s="90">
        <v>960</v>
      </c>
      <c r="U3616" s="55" t="s">
        <v>1805</v>
      </c>
      <c r="V3616" s="55" t="s">
        <v>1805</v>
      </c>
      <c r="Y3616" s="55" t="s">
        <v>1958</v>
      </c>
      <c r="Z3616" s="55" t="s">
        <v>1367</v>
      </c>
      <c r="AA3616" s="90" t="s">
        <v>1687</v>
      </c>
      <c r="AE3616" s="90">
        <v>61</v>
      </c>
      <c r="AF3616" s="90">
        <v>11</v>
      </c>
      <c r="AH3616" s="55" t="s">
        <v>238</v>
      </c>
      <c r="AI3616" s="168">
        <v>5.3</v>
      </c>
      <c r="AJ3616" s="90">
        <v>1.02</v>
      </c>
      <c r="AM3616" s="55" t="s">
        <v>2677</v>
      </c>
      <c r="AN3616" s="185" t="s">
        <v>3268</v>
      </c>
      <c r="AO3616" s="185" t="s">
        <v>5150</v>
      </c>
      <c r="AQ3616" s="55" t="s">
        <v>1547</v>
      </c>
      <c r="AR3616" s="55" t="s">
        <v>1607</v>
      </c>
      <c r="AS3616" s="55" t="s">
        <v>132</v>
      </c>
      <c r="AU3616" s="181" t="s">
        <v>7494</v>
      </c>
      <c r="AV3616" s="185" t="s">
        <v>176</v>
      </c>
      <c r="AX3616" s="185" t="s">
        <v>176</v>
      </c>
      <c r="BK3616" s="55" t="s">
        <v>6333</v>
      </c>
      <c r="BM3616" s="192" t="s">
        <v>3262</v>
      </c>
      <c r="BN3616" s="55">
        <v>3</v>
      </c>
      <c r="BO3616" s="55">
        <v>3</v>
      </c>
      <c r="BQ3616" s="55" t="s">
        <v>141</v>
      </c>
      <c r="BV3616" s="55" t="s">
        <v>3083</v>
      </c>
      <c r="GP3616" s="292" t="s">
        <v>7494</v>
      </c>
      <c r="HD3616" s="65">
        <v>128</v>
      </c>
      <c r="HE3616" s="65">
        <v>90.7</v>
      </c>
      <c r="HH3616" s="65" t="s">
        <v>3266</v>
      </c>
    </row>
    <row r="3617" spans="1:216" x14ac:dyDescent="0.25">
      <c r="A3617" s="55">
        <v>3616</v>
      </c>
      <c r="B3617" s="12" t="s">
        <v>7067</v>
      </c>
      <c r="C3617" s="155">
        <v>166</v>
      </c>
      <c r="D3617" s="55" t="s">
        <v>3267</v>
      </c>
      <c r="E3617" s="90" t="s">
        <v>3240</v>
      </c>
      <c r="G3617" s="55" t="s">
        <v>3241</v>
      </c>
      <c r="H3617" s="55">
        <v>2006</v>
      </c>
      <c r="I3617" s="55">
        <v>1993</v>
      </c>
      <c r="J3617" s="55" t="s">
        <v>3260</v>
      </c>
      <c r="K3617" s="55" t="s">
        <v>3243</v>
      </c>
      <c r="L3617" s="55" t="s">
        <v>2750</v>
      </c>
      <c r="M3617" s="90">
        <v>-13.5</v>
      </c>
      <c r="N3617" s="90">
        <v>32.56666666666667</v>
      </c>
      <c r="O3617" s="90">
        <v>1028</v>
      </c>
      <c r="Q3617" s="55">
        <v>20.5</v>
      </c>
      <c r="S3617" s="90">
        <v>960</v>
      </c>
      <c r="U3617" s="55" t="s">
        <v>1805</v>
      </c>
      <c r="V3617" s="55" t="s">
        <v>1805</v>
      </c>
      <c r="Y3617" s="55" t="s">
        <v>1958</v>
      </c>
      <c r="Z3617" s="55" t="s">
        <v>1367</v>
      </c>
      <c r="AA3617" s="90" t="s">
        <v>1687</v>
      </c>
      <c r="AE3617" s="90">
        <v>61</v>
      </c>
      <c r="AF3617" s="90">
        <v>11</v>
      </c>
      <c r="AH3617" s="55" t="s">
        <v>238</v>
      </c>
      <c r="AI3617" s="168">
        <v>5.3</v>
      </c>
      <c r="AJ3617" s="90">
        <v>1.02</v>
      </c>
      <c r="AM3617" s="55" t="s">
        <v>2677</v>
      </c>
      <c r="AN3617" s="185" t="s">
        <v>3269</v>
      </c>
      <c r="AO3617" s="185" t="s">
        <v>5150</v>
      </c>
      <c r="AQ3617" s="55" t="s">
        <v>553</v>
      </c>
      <c r="AR3617" s="55" t="s">
        <v>1607</v>
      </c>
      <c r="AS3617" s="55" t="s">
        <v>132</v>
      </c>
      <c r="AU3617" s="181" t="s">
        <v>7494</v>
      </c>
      <c r="AV3617" s="185" t="s">
        <v>176</v>
      </c>
      <c r="AX3617" s="185" t="s">
        <v>176</v>
      </c>
      <c r="BK3617" s="55" t="s">
        <v>6333</v>
      </c>
      <c r="BM3617" s="192" t="s">
        <v>3262</v>
      </c>
      <c r="BN3617" s="55">
        <v>3</v>
      </c>
      <c r="BO3617" s="55">
        <v>3</v>
      </c>
      <c r="BQ3617" s="55" t="s">
        <v>141</v>
      </c>
      <c r="BV3617" s="55" t="s">
        <v>3083</v>
      </c>
      <c r="GP3617" s="292" t="s">
        <v>7494</v>
      </c>
      <c r="HD3617" s="65">
        <v>128</v>
      </c>
      <c r="HE3617" s="65">
        <v>184</v>
      </c>
      <c r="HH3617" s="65" t="s">
        <v>3266</v>
      </c>
    </row>
    <row r="3618" spans="1:216" x14ac:dyDescent="0.25">
      <c r="A3618" s="55">
        <v>3617</v>
      </c>
      <c r="B3618" s="12" t="s">
        <v>7067</v>
      </c>
      <c r="C3618" s="155">
        <v>166</v>
      </c>
      <c r="D3618" s="55" t="s">
        <v>3267</v>
      </c>
      <c r="E3618" s="90" t="s">
        <v>3240</v>
      </c>
      <c r="G3618" s="55" t="s">
        <v>3241</v>
      </c>
      <c r="H3618" s="55">
        <v>2006</v>
      </c>
      <c r="I3618" s="55">
        <v>1993</v>
      </c>
      <c r="J3618" s="55" t="s">
        <v>3260</v>
      </c>
      <c r="K3618" s="55" t="s">
        <v>3243</v>
      </c>
      <c r="L3618" s="55" t="s">
        <v>2750</v>
      </c>
      <c r="M3618" s="90">
        <v>-13.5</v>
      </c>
      <c r="N3618" s="90">
        <v>32.56666666666667</v>
      </c>
      <c r="O3618" s="90">
        <v>1028</v>
      </c>
      <c r="Q3618" s="55">
        <v>20.5</v>
      </c>
      <c r="S3618" s="90">
        <v>960</v>
      </c>
      <c r="U3618" s="55" t="s">
        <v>1805</v>
      </c>
      <c r="V3618" s="55" t="s">
        <v>1805</v>
      </c>
      <c r="Y3618" s="55" t="s">
        <v>1958</v>
      </c>
      <c r="Z3618" s="55" t="s">
        <v>1367</v>
      </c>
      <c r="AA3618" s="90" t="s">
        <v>1687</v>
      </c>
      <c r="AE3618" s="90">
        <v>61</v>
      </c>
      <c r="AF3618" s="90">
        <v>11</v>
      </c>
      <c r="AH3618" s="55" t="s">
        <v>238</v>
      </c>
      <c r="AI3618" s="168">
        <v>5.3</v>
      </c>
      <c r="AJ3618" s="90">
        <v>1.02</v>
      </c>
      <c r="AM3618" s="55" t="s">
        <v>2677</v>
      </c>
      <c r="AN3618" s="185" t="s">
        <v>3270</v>
      </c>
      <c r="AO3618" s="185" t="s">
        <v>5150</v>
      </c>
      <c r="AQ3618" s="55" t="s">
        <v>1547</v>
      </c>
      <c r="AR3618" s="55" t="s">
        <v>1607</v>
      </c>
      <c r="AS3618" s="55" t="s">
        <v>132</v>
      </c>
      <c r="AU3618" s="181" t="s">
        <v>7494</v>
      </c>
      <c r="AV3618" s="185" t="s">
        <v>176</v>
      </c>
      <c r="AX3618" s="185" t="s">
        <v>176</v>
      </c>
      <c r="BK3618" s="55" t="s">
        <v>6333</v>
      </c>
      <c r="BM3618" s="192" t="s">
        <v>3262</v>
      </c>
      <c r="BN3618" s="55">
        <v>3</v>
      </c>
      <c r="BO3618" s="55">
        <v>3</v>
      </c>
      <c r="BQ3618" s="55" t="s">
        <v>141</v>
      </c>
      <c r="BV3618" s="55" t="s">
        <v>3083</v>
      </c>
      <c r="GP3618" s="292" t="s">
        <v>7494</v>
      </c>
      <c r="HD3618" s="65">
        <v>128</v>
      </c>
      <c r="HE3618" s="65">
        <v>422</v>
      </c>
      <c r="HH3618" s="65" t="s">
        <v>3266</v>
      </c>
    </row>
    <row r="3619" spans="1:216" x14ac:dyDescent="0.25">
      <c r="A3619" s="55">
        <v>3618</v>
      </c>
      <c r="B3619" s="12" t="s">
        <v>7067</v>
      </c>
      <c r="C3619" s="155">
        <v>166</v>
      </c>
      <c r="D3619" s="55" t="s">
        <v>3267</v>
      </c>
      <c r="E3619" s="90" t="s">
        <v>3240</v>
      </c>
      <c r="G3619" s="55" t="s">
        <v>3241</v>
      </c>
      <c r="H3619" s="55">
        <v>2006</v>
      </c>
      <c r="I3619" s="55">
        <v>1993</v>
      </c>
      <c r="J3619" s="55" t="s">
        <v>3260</v>
      </c>
      <c r="K3619" s="55" t="s">
        <v>3243</v>
      </c>
      <c r="L3619" s="55" t="s">
        <v>2750</v>
      </c>
      <c r="M3619" s="90">
        <v>-13.5</v>
      </c>
      <c r="N3619" s="90">
        <v>32.56666666666667</v>
      </c>
      <c r="O3619" s="90">
        <v>1028</v>
      </c>
      <c r="Q3619" s="55">
        <v>20.5</v>
      </c>
      <c r="S3619" s="90">
        <v>960</v>
      </c>
      <c r="U3619" s="55" t="s">
        <v>1805</v>
      </c>
      <c r="V3619" s="55" t="s">
        <v>1805</v>
      </c>
      <c r="Y3619" s="55" t="s">
        <v>1958</v>
      </c>
      <c r="Z3619" s="55" t="s">
        <v>1367</v>
      </c>
      <c r="AA3619" s="90" t="s">
        <v>1687</v>
      </c>
      <c r="AE3619" s="90">
        <v>61</v>
      </c>
      <c r="AF3619" s="90">
        <v>11</v>
      </c>
      <c r="AH3619" s="55" t="s">
        <v>238</v>
      </c>
      <c r="AI3619" s="168">
        <v>5.3</v>
      </c>
      <c r="AJ3619" s="90">
        <v>1.02</v>
      </c>
      <c r="AM3619" s="55" t="s">
        <v>2677</v>
      </c>
      <c r="AN3619" s="185" t="s">
        <v>3271</v>
      </c>
      <c r="AO3619" s="185" t="s">
        <v>5150</v>
      </c>
      <c r="AQ3619" s="55" t="s">
        <v>1547</v>
      </c>
      <c r="AR3619" s="55" t="s">
        <v>1607</v>
      </c>
      <c r="AS3619" s="55" t="s">
        <v>132</v>
      </c>
      <c r="AU3619" s="181" t="s">
        <v>7494</v>
      </c>
      <c r="AV3619" s="185" t="s">
        <v>176</v>
      </c>
      <c r="AX3619" s="185" t="s">
        <v>176</v>
      </c>
      <c r="BK3619" s="55" t="s">
        <v>6333</v>
      </c>
      <c r="BM3619" s="192" t="s">
        <v>3262</v>
      </c>
      <c r="BN3619" s="55">
        <v>3</v>
      </c>
      <c r="BO3619" s="55">
        <v>3</v>
      </c>
      <c r="BQ3619" s="55" t="s">
        <v>141</v>
      </c>
      <c r="BV3619" s="55" t="s">
        <v>3083</v>
      </c>
      <c r="GP3619" s="292" t="s">
        <v>7494</v>
      </c>
      <c r="HD3619" s="65">
        <v>128</v>
      </c>
      <c r="HE3619" s="65">
        <v>426</v>
      </c>
      <c r="HH3619" s="65" t="s">
        <v>3266</v>
      </c>
    </row>
    <row r="3620" spans="1:216" x14ac:dyDescent="0.25">
      <c r="A3620" s="55">
        <v>3619</v>
      </c>
      <c r="B3620" s="12" t="s">
        <v>7067</v>
      </c>
      <c r="C3620" s="155">
        <v>166</v>
      </c>
      <c r="D3620" s="55" t="s">
        <v>3267</v>
      </c>
      <c r="E3620" s="90" t="s">
        <v>3240</v>
      </c>
      <c r="G3620" s="55" t="s">
        <v>3241</v>
      </c>
      <c r="H3620" s="55">
        <v>2006</v>
      </c>
      <c r="I3620" s="55">
        <v>1993</v>
      </c>
      <c r="J3620" s="55" t="s">
        <v>3260</v>
      </c>
      <c r="K3620" s="55" t="s">
        <v>3243</v>
      </c>
      <c r="L3620" s="55" t="s">
        <v>2750</v>
      </c>
      <c r="M3620" s="90">
        <v>-13.5</v>
      </c>
      <c r="N3620" s="90">
        <v>32.56666666666667</v>
      </c>
      <c r="O3620" s="90">
        <v>1028</v>
      </c>
      <c r="Q3620" s="55">
        <v>20.5</v>
      </c>
      <c r="S3620" s="90">
        <v>960</v>
      </c>
      <c r="U3620" s="55" t="s">
        <v>1805</v>
      </c>
      <c r="V3620" s="55" t="s">
        <v>1805</v>
      </c>
      <c r="Y3620" s="55" t="s">
        <v>1958</v>
      </c>
      <c r="Z3620" s="55" t="s">
        <v>1367</v>
      </c>
      <c r="AA3620" s="90" t="s">
        <v>1687</v>
      </c>
      <c r="AE3620" s="90">
        <v>61</v>
      </c>
      <c r="AF3620" s="90">
        <v>11</v>
      </c>
      <c r="AH3620" s="55" t="s">
        <v>238</v>
      </c>
      <c r="AI3620" s="168">
        <v>5.3</v>
      </c>
      <c r="AJ3620" s="90">
        <v>1.02</v>
      </c>
      <c r="AM3620" s="55" t="s">
        <v>2677</v>
      </c>
      <c r="AN3620" s="185" t="s">
        <v>3272</v>
      </c>
      <c r="AO3620" s="185" t="s">
        <v>5150</v>
      </c>
      <c r="AQ3620" s="55" t="s">
        <v>553</v>
      </c>
      <c r="AR3620" s="55" t="s">
        <v>1607</v>
      </c>
      <c r="AS3620" s="55" t="s">
        <v>132</v>
      </c>
      <c r="AU3620" s="181" t="s">
        <v>7494</v>
      </c>
      <c r="AV3620" s="185" t="s">
        <v>176</v>
      </c>
      <c r="AX3620" s="185" t="s">
        <v>176</v>
      </c>
      <c r="BK3620" s="55" t="s">
        <v>6333</v>
      </c>
      <c r="BM3620" s="192" t="s">
        <v>3262</v>
      </c>
      <c r="BN3620" s="55">
        <v>3</v>
      </c>
      <c r="BO3620" s="55">
        <v>3</v>
      </c>
      <c r="BQ3620" s="55" t="s">
        <v>141</v>
      </c>
      <c r="BV3620" s="55" t="s">
        <v>3083</v>
      </c>
      <c r="GP3620" s="292" t="s">
        <v>7494</v>
      </c>
      <c r="HD3620" s="65">
        <v>128</v>
      </c>
      <c r="HE3620" s="65">
        <v>230</v>
      </c>
      <c r="HH3620" s="65" t="s">
        <v>3266</v>
      </c>
    </row>
    <row r="3621" spans="1:216" x14ac:dyDescent="0.25">
      <c r="A3621" s="55">
        <v>3620</v>
      </c>
      <c r="B3621" s="12" t="s">
        <v>7067</v>
      </c>
      <c r="C3621" s="155">
        <v>166</v>
      </c>
      <c r="D3621" s="55" t="s">
        <v>3267</v>
      </c>
      <c r="E3621" s="90" t="s">
        <v>3240</v>
      </c>
      <c r="G3621" s="55" t="s">
        <v>3241</v>
      </c>
      <c r="H3621" s="55">
        <v>2006</v>
      </c>
      <c r="I3621" s="55">
        <v>1993</v>
      </c>
      <c r="J3621" s="55" t="s">
        <v>3260</v>
      </c>
      <c r="K3621" s="55" t="s">
        <v>3243</v>
      </c>
      <c r="L3621" s="55" t="s">
        <v>2750</v>
      </c>
      <c r="M3621" s="90">
        <v>-13.5</v>
      </c>
      <c r="N3621" s="90">
        <v>32.56666666666667</v>
      </c>
      <c r="O3621" s="90">
        <v>1028</v>
      </c>
      <c r="Q3621" s="55">
        <v>20.5</v>
      </c>
      <c r="S3621" s="90">
        <v>960</v>
      </c>
      <c r="U3621" s="55" t="s">
        <v>1805</v>
      </c>
      <c r="V3621" s="55" t="s">
        <v>1805</v>
      </c>
      <c r="Y3621" s="55" t="s">
        <v>1958</v>
      </c>
      <c r="Z3621" s="55" t="s">
        <v>1367</v>
      </c>
      <c r="AA3621" s="90" t="s">
        <v>1687</v>
      </c>
      <c r="AE3621" s="90">
        <v>61</v>
      </c>
      <c r="AF3621" s="90">
        <v>11</v>
      </c>
      <c r="AH3621" s="55" t="s">
        <v>238</v>
      </c>
      <c r="AI3621" s="168">
        <v>5.3</v>
      </c>
      <c r="AJ3621" s="90">
        <v>1.02</v>
      </c>
      <c r="AM3621" s="55" t="s">
        <v>2677</v>
      </c>
      <c r="AN3621" s="185" t="s">
        <v>3273</v>
      </c>
      <c r="AO3621" s="185" t="s">
        <v>5150</v>
      </c>
      <c r="AQ3621" s="55" t="s">
        <v>553</v>
      </c>
      <c r="AR3621" s="55" t="s">
        <v>1607</v>
      </c>
      <c r="AS3621" s="55" t="s">
        <v>132</v>
      </c>
      <c r="AU3621" s="181" t="s">
        <v>7494</v>
      </c>
      <c r="AV3621" s="185" t="s">
        <v>176</v>
      </c>
      <c r="AX3621" s="185" t="s">
        <v>176</v>
      </c>
      <c r="BK3621" s="55" t="s">
        <v>6333</v>
      </c>
      <c r="BM3621" s="192" t="s">
        <v>3262</v>
      </c>
      <c r="BN3621" s="55">
        <v>3</v>
      </c>
      <c r="BO3621" s="55">
        <v>3</v>
      </c>
      <c r="BQ3621" s="55" t="s">
        <v>141</v>
      </c>
      <c r="BV3621" s="55" t="s">
        <v>3083</v>
      </c>
      <c r="GP3621" s="292" t="s">
        <v>7494</v>
      </c>
      <c r="HD3621" s="65">
        <v>128</v>
      </c>
      <c r="HE3621" s="65">
        <v>120</v>
      </c>
      <c r="HH3621" s="65" t="s">
        <v>3266</v>
      </c>
    </row>
    <row r="3622" spans="1:216" x14ac:dyDescent="0.25">
      <c r="A3622" s="55">
        <v>3621</v>
      </c>
      <c r="B3622" s="12" t="s">
        <v>7067</v>
      </c>
      <c r="C3622" s="155">
        <v>166</v>
      </c>
      <c r="D3622" s="55" t="s">
        <v>3267</v>
      </c>
      <c r="E3622" s="90" t="s">
        <v>3240</v>
      </c>
      <c r="G3622" s="55" t="s">
        <v>3241</v>
      </c>
      <c r="H3622" s="55">
        <v>2006</v>
      </c>
      <c r="I3622" s="55">
        <v>1993</v>
      </c>
      <c r="J3622" s="55" t="s">
        <v>3260</v>
      </c>
      <c r="K3622" s="55" t="s">
        <v>3243</v>
      </c>
      <c r="L3622" s="55" t="s">
        <v>2750</v>
      </c>
      <c r="M3622" s="90">
        <v>-13.5</v>
      </c>
      <c r="N3622" s="90">
        <v>32.56666666666667</v>
      </c>
      <c r="O3622" s="90">
        <v>1028</v>
      </c>
      <c r="Q3622" s="55">
        <v>20.5</v>
      </c>
      <c r="S3622" s="90">
        <v>960</v>
      </c>
      <c r="U3622" s="55" t="s">
        <v>1805</v>
      </c>
      <c r="V3622" s="55" t="s">
        <v>1805</v>
      </c>
      <c r="Y3622" s="55" t="s">
        <v>1958</v>
      </c>
      <c r="Z3622" s="55" t="s">
        <v>1367</v>
      </c>
      <c r="AA3622" s="90" t="s">
        <v>1687</v>
      </c>
      <c r="AE3622" s="90">
        <v>61</v>
      </c>
      <c r="AF3622" s="90">
        <v>11</v>
      </c>
      <c r="AH3622" s="55" t="s">
        <v>238</v>
      </c>
      <c r="AI3622" s="168">
        <v>5.3</v>
      </c>
      <c r="AJ3622" s="90">
        <v>1.02</v>
      </c>
      <c r="AM3622" s="55" t="s">
        <v>2677</v>
      </c>
      <c r="AN3622" s="185" t="s">
        <v>3274</v>
      </c>
      <c r="AO3622" s="185" t="s">
        <v>5150</v>
      </c>
      <c r="AQ3622" s="55" t="s">
        <v>553</v>
      </c>
      <c r="AR3622" s="55" t="s">
        <v>1607</v>
      </c>
      <c r="AS3622" s="55" t="s">
        <v>132</v>
      </c>
      <c r="AU3622" s="181" t="s">
        <v>7494</v>
      </c>
      <c r="AV3622" s="185" t="s">
        <v>176</v>
      </c>
      <c r="AX3622" s="185" t="s">
        <v>176</v>
      </c>
      <c r="BK3622" s="55" t="s">
        <v>6333</v>
      </c>
      <c r="BM3622" s="192" t="s">
        <v>3262</v>
      </c>
      <c r="BN3622" s="55">
        <v>3</v>
      </c>
      <c r="BO3622" s="55">
        <v>3</v>
      </c>
      <c r="BQ3622" s="55" t="s">
        <v>141</v>
      </c>
      <c r="BV3622" s="55" t="s">
        <v>3083</v>
      </c>
      <c r="GP3622" s="292" t="s">
        <v>7494</v>
      </c>
      <c r="HD3622" s="65">
        <v>128</v>
      </c>
      <c r="HE3622" s="65">
        <v>204</v>
      </c>
      <c r="HH3622" s="65" t="s">
        <v>3266</v>
      </c>
    </row>
    <row r="3623" spans="1:216" x14ac:dyDescent="0.25">
      <c r="A3623" s="55">
        <v>3622</v>
      </c>
      <c r="B3623" s="12" t="s">
        <v>7067</v>
      </c>
      <c r="C3623" s="155">
        <v>167</v>
      </c>
      <c r="D3623" s="55" t="s">
        <v>3276</v>
      </c>
      <c r="E3623" s="90" t="s">
        <v>3240</v>
      </c>
      <c r="G3623" s="55" t="s">
        <v>3275</v>
      </c>
      <c r="H3623" s="55">
        <v>2006</v>
      </c>
      <c r="I3623" s="55" t="s">
        <v>3291</v>
      </c>
      <c r="J3623" s="55" t="s">
        <v>112</v>
      </c>
      <c r="K3623" s="55" t="s">
        <v>3243</v>
      </c>
      <c r="L3623" s="55" t="s">
        <v>2750</v>
      </c>
      <c r="M3623" s="90">
        <v>-13.5</v>
      </c>
      <c r="N3623" s="90">
        <v>32.56666666666667</v>
      </c>
      <c r="O3623" s="90">
        <v>1028</v>
      </c>
      <c r="Q3623" s="55">
        <v>20.5</v>
      </c>
      <c r="S3623" s="90">
        <v>960</v>
      </c>
      <c r="U3623" s="55" t="s">
        <v>1805</v>
      </c>
      <c r="V3623" s="55" t="s">
        <v>1688</v>
      </c>
      <c r="Y3623" s="55" t="s">
        <v>1952</v>
      </c>
      <c r="Z3623" s="55" t="s">
        <v>1367</v>
      </c>
      <c r="AA3623" s="90" t="s">
        <v>1687</v>
      </c>
      <c r="AE3623" s="90">
        <v>64</v>
      </c>
      <c r="AF3623" s="90">
        <v>12</v>
      </c>
      <c r="AH3623" s="55" t="s">
        <v>238</v>
      </c>
      <c r="AI3623" s="168">
        <v>4.7</v>
      </c>
      <c r="AJ3623" s="90">
        <v>1.4</v>
      </c>
      <c r="AM3623" s="55" t="s">
        <v>2677</v>
      </c>
      <c r="AN3623" s="185" t="s">
        <v>2696</v>
      </c>
      <c r="AO3623" s="185" t="s">
        <v>5150</v>
      </c>
      <c r="AQ3623" s="55" t="s">
        <v>553</v>
      </c>
      <c r="AR3623" s="55" t="s">
        <v>1607</v>
      </c>
      <c r="AS3623" s="55" t="s">
        <v>132</v>
      </c>
      <c r="AU3623" s="181" t="s">
        <v>7494</v>
      </c>
      <c r="AV3623" s="185" t="s">
        <v>176</v>
      </c>
      <c r="AX3623" s="185" t="s">
        <v>176</v>
      </c>
      <c r="BK3623" s="55" t="s">
        <v>6333</v>
      </c>
      <c r="BM3623" s="192" t="s">
        <v>3262</v>
      </c>
      <c r="BN3623" s="55">
        <v>3</v>
      </c>
      <c r="BO3623" s="55">
        <v>3</v>
      </c>
      <c r="BQ3623" s="55" t="s">
        <v>141</v>
      </c>
      <c r="BS3623" s="55">
        <v>4400</v>
      </c>
      <c r="BV3623" s="55" t="s">
        <v>575</v>
      </c>
      <c r="CB3623" s="66">
        <v>4300</v>
      </c>
      <c r="CC3623" s="66">
        <v>2400</v>
      </c>
      <c r="EZ3623" s="65">
        <f>1.7*6</f>
        <v>10.199999999999999</v>
      </c>
      <c r="FA3623" s="65">
        <f>1.9*6</f>
        <v>11.399999999999999</v>
      </c>
      <c r="GP3623" s="292" t="s">
        <v>7494</v>
      </c>
      <c r="HD3623" s="65">
        <v>7.1</v>
      </c>
      <c r="HE3623" s="65">
        <v>8.9</v>
      </c>
      <c r="HH3623" s="65" t="s">
        <v>3282</v>
      </c>
    </row>
    <row r="3624" spans="1:216" x14ac:dyDescent="0.25">
      <c r="A3624" s="55">
        <v>3623</v>
      </c>
      <c r="B3624" s="12" t="s">
        <v>7067</v>
      </c>
      <c r="C3624" s="155">
        <v>167</v>
      </c>
      <c r="D3624" s="55" t="s">
        <v>3276</v>
      </c>
      <c r="E3624" s="90" t="s">
        <v>3240</v>
      </c>
      <c r="G3624" s="55" t="s">
        <v>3275</v>
      </c>
      <c r="H3624" s="55">
        <v>2006</v>
      </c>
      <c r="I3624" s="55" t="s">
        <v>3291</v>
      </c>
      <c r="J3624" s="55" t="s">
        <v>112</v>
      </c>
      <c r="K3624" s="55" t="s">
        <v>3243</v>
      </c>
      <c r="L3624" s="55" t="s">
        <v>2750</v>
      </c>
      <c r="M3624" s="90">
        <v>-13.5</v>
      </c>
      <c r="N3624" s="90">
        <v>32.56666666666667</v>
      </c>
      <c r="O3624" s="90">
        <v>1028</v>
      </c>
      <c r="Q3624" s="55">
        <v>20.5</v>
      </c>
      <c r="S3624" s="90">
        <v>960</v>
      </c>
      <c r="U3624" s="55" t="s">
        <v>1805</v>
      </c>
      <c r="V3624" s="55" t="s">
        <v>1688</v>
      </c>
      <c r="Y3624" s="55" t="s">
        <v>1952</v>
      </c>
      <c r="Z3624" s="55" t="s">
        <v>1367</v>
      </c>
      <c r="AA3624" s="90" t="s">
        <v>1687</v>
      </c>
      <c r="AE3624" s="90">
        <v>64</v>
      </c>
      <c r="AF3624" s="90">
        <v>12</v>
      </c>
      <c r="AH3624" s="55" t="s">
        <v>238</v>
      </c>
      <c r="AI3624" s="168">
        <v>4.7</v>
      </c>
      <c r="AJ3624" s="90">
        <v>1.4</v>
      </c>
      <c r="AM3624" s="55" t="s">
        <v>2677</v>
      </c>
      <c r="AN3624" s="185" t="s">
        <v>3280</v>
      </c>
      <c r="AO3624" s="185" t="s">
        <v>5150</v>
      </c>
      <c r="AQ3624" s="55" t="s">
        <v>553</v>
      </c>
      <c r="AR3624" s="55" t="s">
        <v>1607</v>
      </c>
      <c r="AS3624" s="55" t="s">
        <v>132</v>
      </c>
      <c r="AU3624" s="181" t="s">
        <v>7494</v>
      </c>
      <c r="AV3624" s="185" t="s">
        <v>176</v>
      </c>
      <c r="AX3624" s="185" t="s">
        <v>176</v>
      </c>
      <c r="BK3624" s="55" t="s">
        <v>6333</v>
      </c>
      <c r="BM3624" s="192" t="s">
        <v>3262</v>
      </c>
      <c r="BN3624" s="55">
        <v>3</v>
      </c>
      <c r="BO3624" s="55">
        <v>3</v>
      </c>
      <c r="BQ3624" s="55" t="s">
        <v>141</v>
      </c>
      <c r="BS3624" s="55">
        <v>3700</v>
      </c>
      <c r="BV3624" s="55" t="s">
        <v>575</v>
      </c>
      <c r="CB3624" s="66">
        <v>4300</v>
      </c>
      <c r="CC3624" s="66">
        <v>1500</v>
      </c>
      <c r="EZ3624" s="65">
        <f>1.7*6</f>
        <v>10.199999999999999</v>
      </c>
      <c r="FA3624" s="65">
        <f>2.1*6</f>
        <v>12.600000000000001</v>
      </c>
      <c r="GP3624" s="292" t="s">
        <v>7494</v>
      </c>
      <c r="HD3624" s="65">
        <v>7.1</v>
      </c>
      <c r="HE3624" s="65">
        <v>10.7</v>
      </c>
      <c r="HH3624" s="65" t="s">
        <v>3282</v>
      </c>
    </row>
    <row r="3625" spans="1:216" x14ac:dyDescent="0.25">
      <c r="A3625" s="55">
        <v>3624</v>
      </c>
      <c r="B3625" s="12" t="s">
        <v>7067</v>
      </c>
      <c r="C3625" s="155">
        <v>167</v>
      </c>
      <c r="D3625" s="55" t="s">
        <v>3276</v>
      </c>
      <c r="E3625" s="90" t="s">
        <v>3240</v>
      </c>
      <c r="G3625" s="55" t="s">
        <v>3275</v>
      </c>
      <c r="H3625" s="55">
        <v>2006</v>
      </c>
      <c r="I3625" s="55" t="s">
        <v>3291</v>
      </c>
      <c r="J3625" s="55" t="s">
        <v>112</v>
      </c>
      <c r="K3625" s="55" t="s">
        <v>3243</v>
      </c>
      <c r="L3625" s="55" t="s">
        <v>2750</v>
      </c>
      <c r="M3625" s="90">
        <v>-13.5</v>
      </c>
      <c r="N3625" s="90">
        <v>32.56666666666667</v>
      </c>
      <c r="O3625" s="90">
        <v>1028</v>
      </c>
      <c r="Q3625" s="55">
        <v>20.5</v>
      </c>
      <c r="S3625" s="90">
        <v>960</v>
      </c>
      <c r="U3625" s="55" t="s">
        <v>1805</v>
      </c>
      <c r="V3625" s="55" t="s">
        <v>1688</v>
      </c>
      <c r="Y3625" s="55" t="s">
        <v>1952</v>
      </c>
      <c r="Z3625" s="55" t="s">
        <v>1367</v>
      </c>
      <c r="AA3625" s="90" t="s">
        <v>1687</v>
      </c>
      <c r="AE3625" s="90">
        <v>64</v>
      </c>
      <c r="AF3625" s="90">
        <v>12</v>
      </c>
      <c r="AH3625" s="55" t="s">
        <v>238</v>
      </c>
      <c r="AI3625" s="168">
        <v>4.7</v>
      </c>
      <c r="AJ3625" s="90">
        <v>1.4</v>
      </c>
      <c r="AM3625" s="55" t="s">
        <v>2677</v>
      </c>
      <c r="AN3625" s="185" t="s">
        <v>2620</v>
      </c>
      <c r="AO3625" s="185" t="s">
        <v>5150</v>
      </c>
      <c r="AQ3625" s="55" t="s">
        <v>553</v>
      </c>
      <c r="AR3625" s="55" t="s">
        <v>1607</v>
      </c>
      <c r="AS3625" s="55" t="s">
        <v>132</v>
      </c>
      <c r="AU3625" s="181" t="s">
        <v>7494</v>
      </c>
      <c r="AV3625" s="185" t="s">
        <v>176</v>
      </c>
      <c r="AX3625" s="185" t="s">
        <v>176</v>
      </c>
      <c r="BK3625" s="55" t="s">
        <v>6333</v>
      </c>
      <c r="BM3625" s="192" t="s">
        <v>3262</v>
      </c>
      <c r="BN3625" s="55">
        <v>3</v>
      </c>
      <c r="BO3625" s="55">
        <v>3</v>
      </c>
      <c r="BQ3625" s="55" t="s">
        <v>141</v>
      </c>
      <c r="BS3625" s="55">
        <v>3800</v>
      </c>
      <c r="BV3625" s="55" t="s">
        <v>575</v>
      </c>
      <c r="CB3625" s="66">
        <v>4300</v>
      </c>
      <c r="CC3625" s="66">
        <v>2400</v>
      </c>
      <c r="EZ3625" s="65">
        <f>1.7*6</f>
        <v>10.199999999999999</v>
      </c>
      <c r="FA3625" s="65">
        <f>2*6</f>
        <v>12</v>
      </c>
      <c r="GP3625" s="292" t="s">
        <v>7494</v>
      </c>
      <c r="HD3625" s="65">
        <v>7.1</v>
      </c>
      <c r="HE3625" s="65">
        <v>3.6</v>
      </c>
      <c r="HH3625" s="65" t="s">
        <v>3282</v>
      </c>
    </row>
    <row r="3626" spans="1:216" x14ac:dyDescent="0.25">
      <c r="A3626" s="55">
        <v>3625</v>
      </c>
      <c r="B3626" s="12" t="s">
        <v>7067</v>
      </c>
      <c r="C3626" s="155">
        <v>167</v>
      </c>
      <c r="D3626" s="55" t="s">
        <v>3276</v>
      </c>
      <c r="E3626" s="90" t="s">
        <v>3240</v>
      </c>
      <c r="G3626" s="55" t="s">
        <v>3275</v>
      </c>
      <c r="H3626" s="55">
        <v>2006</v>
      </c>
      <c r="I3626" s="55" t="s">
        <v>3291</v>
      </c>
      <c r="J3626" s="55" t="s">
        <v>112</v>
      </c>
      <c r="K3626" s="55" t="s">
        <v>3243</v>
      </c>
      <c r="L3626" s="55" t="s">
        <v>2750</v>
      </c>
      <c r="M3626" s="90">
        <v>-13.5</v>
      </c>
      <c r="N3626" s="90">
        <v>32.56666666666667</v>
      </c>
      <c r="O3626" s="90">
        <v>1028</v>
      </c>
      <c r="Q3626" s="55">
        <v>20.5</v>
      </c>
      <c r="S3626" s="90">
        <v>960</v>
      </c>
      <c r="U3626" s="55" t="s">
        <v>1805</v>
      </c>
      <c r="V3626" s="55" t="s">
        <v>1688</v>
      </c>
      <c r="Y3626" s="55" t="s">
        <v>1952</v>
      </c>
      <c r="Z3626" s="55" t="s">
        <v>1367</v>
      </c>
      <c r="AA3626" s="90" t="s">
        <v>1687</v>
      </c>
      <c r="AE3626" s="90">
        <v>64</v>
      </c>
      <c r="AF3626" s="90">
        <v>12</v>
      </c>
      <c r="AH3626" s="55" t="s">
        <v>238</v>
      </c>
      <c r="AI3626" s="168">
        <v>4.7</v>
      </c>
      <c r="AJ3626" s="90">
        <v>1.4</v>
      </c>
      <c r="AM3626" s="55" t="s">
        <v>2677</v>
      </c>
      <c r="AN3626" s="185" t="s">
        <v>2693</v>
      </c>
      <c r="AO3626" s="185" t="s">
        <v>5150</v>
      </c>
      <c r="AQ3626" s="55" t="s">
        <v>553</v>
      </c>
      <c r="AR3626" s="55" t="s">
        <v>1607</v>
      </c>
      <c r="AS3626" s="55" t="s">
        <v>132</v>
      </c>
      <c r="AU3626" s="181" t="s">
        <v>7494</v>
      </c>
      <c r="AV3626" s="185" t="s">
        <v>176</v>
      </c>
      <c r="AX3626" s="185" t="s">
        <v>176</v>
      </c>
      <c r="BK3626" s="55" t="s">
        <v>6333</v>
      </c>
      <c r="BM3626" s="192" t="s">
        <v>3262</v>
      </c>
      <c r="BN3626" s="55">
        <v>3</v>
      </c>
      <c r="BO3626" s="55">
        <v>3</v>
      </c>
      <c r="BQ3626" s="55" t="s">
        <v>141</v>
      </c>
      <c r="BS3626" s="55">
        <v>4600</v>
      </c>
      <c r="BV3626" s="55" t="s">
        <v>575</v>
      </c>
      <c r="CB3626" s="66">
        <v>4300</v>
      </c>
      <c r="CC3626" s="66">
        <v>2100</v>
      </c>
      <c r="EZ3626" s="65">
        <f>1.7*6</f>
        <v>10.199999999999999</v>
      </c>
      <c r="FA3626" s="65">
        <f>2.9*6</f>
        <v>17.399999999999999</v>
      </c>
      <c r="GP3626" s="292" t="s">
        <v>7494</v>
      </c>
      <c r="HD3626" s="65">
        <v>7.1</v>
      </c>
      <c r="HE3626" s="65">
        <v>5.3</v>
      </c>
      <c r="HH3626" s="65" t="s">
        <v>3282</v>
      </c>
    </row>
    <row r="3627" spans="1:216" x14ac:dyDescent="0.25">
      <c r="A3627" s="55">
        <v>3626</v>
      </c>
      <c r="B3627" s="12" t="s">
        <v>7067</v>
      </c>
      <c r="C3627" s="155">
        <v>167</v>
      </c>
      <c r="D3627" s="55" t="s">
        <v>3276</v>
      </c>
      <c r="E3627" s="90" t="s">
        <v>3240</v>
      </c>
      <c r="G3627" s="55" t="s">
        <v>3275</v>
      </c>
      <c r="H3627" s="55">
        <v>2006</v>
      </c>
      <c r="I3627" s="55" t="s">
        <v>3291</v>
      </c>
      <c r="J3627" s="55" t="s">
        <v>112</v>
      </c>
      <c r="K3627" s="55" t="s">
        <v>3243</v>
      </c>
      <c r="L3627" s="55" t="s">
        <v>2750</v>
      </c>
      <c r="M3627" s="90">
        <v>-13.5</v>
      </c>
      <c r="N3627" s="90">
        <v>32.56666666666667</v>
      </c>
      <c r="O3627" s="90">
        <v>1028</v>
      </c>
      <c r="Q3627" s="55">
        <v>20.5</v>
      </c>
      <c r="S3627" s="90">
        <v>960</v>
      </c>
      <c r="U3627" s="55">
        <v>2</v>
      </c>
      <c r="V3627" s="55" t="s">
        <v>1688</v>
      </c>
      <c r="Y3627" s="55" t="s">
        <v>1952</v>
      </c>
      <c r="Z3627" s="55" t="s">
        <v>1367</v>
      </c>
      <c r="AA3627" s="90" t="s">
        <v>1687</v>
      </c>
      <c r="AE3627" s="90">
        <v>64</v>
      </c>
      <c r="AF3627" s="90">
        <v>12</v>
      </c>
      <c r="AH3627" s="55" t="s">
        <v>238</v>
      </c>
      <c r="AI3627" s="168">
        <v>4.7</v>
      </c>
      <c r="AJ3627" s="90">
        <v>1.4</v>
      </c>
      <c r="AM3627" s="55" t="s">
        <v>2677</v>
      </c>
      <c r="AN3627" s="185" t="s">
        <v>2696</v>
      </c>
      <c r="AO3627" s="185" t="s">
        <v>5150</v>
      </c>
      <c r="AQ3627" s="55" t="s">
        <v>553</v>
      </c>
      <c r="AR3627" s="55" t="s">
        <v>1607</v>
      </c>
      <c r="AS3627" s="55" t="s">
        <v>132</v>
      </c>
      <c r="AU3627" s="181" t="s">
        <v>7494</v>
      </c>
      <c r="AV3627" s="185" t="s">
        <v>176</v>
      </c>
      <c r="AX3627" s="185" t="s">
        <v>176</v>
      </c>
      <c r="BK3627" s="55" t="s">
        <v>6333</v>
      </c>
      <c r="BM3627" s="192" t="s">
        <v>3262</v>
      </c>
      <c r="BN3627" s="55">
        <v>3</v>
      </c>
      <c r="BO3627" s="55">
        <v>3</v>
      </c>
      <c r="BQ3627" s="55" t="s">
        <v>141</v>
      </c>
      <c r="BS3627" s="55">
        <v>4400</v>
      </c>
      <c r="BV3627" s="55" t="s">
        <v>3279</v>
      </c>
      <c r="GP3627" s="292" t="s">
        <v>7494</v>
      </c>
      <c r="HD3627" s="65">
        <v>1.6</v>
      </c>
      <c r="HE3627" s="65">
        <v>10</v>
      </c>
      <c r="HH3627" s="65" t="s">
        <v>3282</v>
      </c>
    </row>
    <row r="3628" spans="1:216" x14ac:dyDescent="0.25">
      <c r="A3628" s="55">
        <v>3627</v>
      </c>
      <c r="B3628" s="12" t="s">
        <v>7067</v>
      </c>
      <c r="C3628" s="155">
        <v>167</v>
      </c>
      <c r="D3628" s="55" t="s">
        <v>3276</v>
      </c>
      <c r="E3628" s="90" t="s">
        <v>3240</v>
      </c>
      <c r="G3628" s="55" t="s">
        <v>3275</v>
      </c>
      <c r="H3628" s="55">
        <v>2006</v>
      </c>
      <c r="I3628" s="55" t="s">
        <v>3291</v>
      </c>
      <c r="J3628" s="55" t="s">
        <v>112</v>
      </c>
      <c r="K3628" s="55" t="s">
        <v>3243</v>
      </c>
      <c r="L3628" s="55" t="s">
        <v>2750</v>
      </c>
      <c r="M3628" s="90">
        <v>-13.5</v>
      </c>
      <c r="N3628" s="90">
        <v>32.56666666666667</v>
      </c>
      <c r="O3628" s="90">
        <v>1028</v>
      </c>
      <c r="Q3628" s="55">
        <v>20.5</v>
      </c>
      <c r="S3628" s="90">
        <v>960</v>
      </c>
      <c r="U3628" s="55">
        <v>2</v>
      </c>
      <c r="V3628" s="55" t="s">
        <v>1688</v>
      </c>
      <c r="Y3628" s="55" t="s">
        <v>1952</v>
      </c>
      <c r="Z3628" s="55" t="s">
        <v>1367</v>
      </c>
      <c r="AA3628" s="90" t="s">
        <v>1687</v>
      </c>
      <c r="AE3628" s="90">
        <v>64</v>
      </c>
      <c r="AF3628" s="90">
        <v>12</v>
      </c>
      <c r="AH3628" s="55" t="s">
        <v>238</v>
      </c>
      <c r="AI3628" s="168">
        <v>4.7</v>
      </c>
      <c r="AJ3628" s="90">
        <v>1.4</v>
      </c>
      <c r="AM3628" s="55" t="s">
        <v>2677</v>
      </c>
      <c r="AN3628" s="185" t="s">
        <v>3280</v>
      </c>
      <c r="AO3628" s="185" t="s">
        <v>5150</v>
      </c>
      <c r="AQ3628" s="55" t="s">
        <v>553</v>
      </c>
      <c r="AR3628" s="55" t="s">
        <v>1607</v>
      </c>
      <c r="AS3628" s="55" t="s">
        <v>132</v>
      </c>
      <c r="AU3628" s="181" t="s">
        <v>7494</v>
      </c>
      <c r="AV3628" s="185" t="s">
        <v>176</v>
      </c>
      <c r="AX3628" s="185" t="s">
        <v>176</v>
      </c>
      <c r="BK3628" s="55" t="s">
        <v>6333</v>
      </c>
      <c r="BM3628" s="192" t="s">
        <v>3262</v>
      </c>
      <c r="BN3628" s="55">
        <v>3</v>
      </c>
      <c r="BO3628" s="55">
        <v>3</v>
      </c>
      <c r="BQ3628" s="55" t="s">
        <v>141</v>
      </c>
      <c r="BS3628" s="55">
        <v>3700</v>
      </c>
      <c r="BV3628" s="55" t="s">
        <v>3279</v>
      </c>
      <c r="GP3628" s="292" t="s">
        <v>7494</v>
      </c>
      <c r="HD3628" s="65">
        <v>1.6</v>
      </c>
      <c r="HE3628" s="65">
        <v>3.6</v>
      </c>
      <c r="HH3628" s="65" t="s">
        <v>3282</v>
      </c>
    </row>
    <row r="3629" spans="1:216" x14ac:dyDescent="0.25">
      <c r="A3629" s="55">
        <v>3628</v>
      </c>
      <c r="B3629" s="12" t="s">
        <v>7067</v>
      </c>
      <c r="C3629" s="155">
        <v>167</v>
      </c>
      <c r="D3629" s="55" t="s">
        <v>3276</v>
      </c>
      <c r="E3629" s="90" t="s">
        <v>3240</v>
      </c>
      <c r="G3629" s="55" t="s">
        <v>3275</v>
      </c>
      <c r="H3629" s="55">
        <v>2006</v>
      </c>
      <c r="I3629" s="55" t="s">
        <v>3291</v>
      </c>
      <c r="J3629" s="55" t="s">
        <v>112</v>
      </c>
      <c r="K3629" s="55" t="s">
        <v>3243</v>
      </c>
      <c r="L3629" s="55" t="s">
        <v>2750</v>
      </c>
      <c r="M3629" s="90">
        <v>-13.5</v>
      </c>
      <c r="N3629" s="90">
        <v>32.56666666666667</v>
      </c>
      <c r="O3629" s="90">
        <v>1028</v>
      </c>
      <c r="Q3629" s="55">
        <v>20.5</v>
      </c>
      <c r="S3629" s="90">
        <v>960</v>
      </c>
      <c r="U3629" s="55">
        <v>2</v>
      </c>
      <c r="V3629" s="55" t="s">
        <v>1688</v>
      </c>
      <c r="Y3629" s="55" t="s">
        <v>1952</v>
      </c>
      <c r="Z3629" s="55" t="s">
        <v>1367</v>
      </c>
      <c r="AA3629" s="90" t="s">
        <v>1687</v>
      </c>
      <c r="AE3629" s="90">
        <v>64</v>
      </c>
      <c r="AF3629" s="90">
        <v>12</v>
      </c>
      <c r="AH3629" s="55" t="s">
        <v>238</v>
      </c>
      <c r="AI3629" s="168">
        <v>4.7</v>
      </c>
      <c r="AJ3629" s="90">
        <v>1.4</v>
      </c>
      <c r="AM3629" s="55" t="s">
        <v>2677</v>
      </c>
      <c r="AN3629" s="185" t="s">
        <v>2620</v>
      </c>
      <c r="AO3629" s="185" t="s">
        <v>5150</v>
      </c>
      <c r="AQ3629" s="55" t="s">
        <v>553</v>
      </c>
      <c r="AR3629" s="55" t="s">
        <v>1607</v>
      </c>
      <c r="AS3629" s="55" t="s">
        <v>132</v>
      </c>
      <c r="AU3629" s="181" t="s">
        <v>7494</v>
      </c>
      <c r="AV3629" s="185" t="s">
        <v>176</v>
      </c>
      <c r="AX3629" s="185" t="s">
        <v>176</v>
      </c>
      <c r="BK3629" s="55" t="s">
        <v>6333</v>
      </c>
      <c r="BM3629" s="192" t="s">
        <v>3262</v>
      </c>
      <c r="BN3629" s="55">
        <v>3</v>
      </c>
      <c r="BO3629" s="55">
        <v>3</v>
      </c>
      <c r="BQ3629" s="55" t="s">
        <v>141</v>
      </c>
      <c r="BS3629" s="55">
        <v>3800</v>
      </c>
      <c r="BV3629" s="55" t="s">
        <v>3279</v>
      </c>
      <c r="GP3629" s="292" t="s">
        <v>7494</v>
      </c>
      <c r="HD3629" s="65">
        <v>1.6</v>
      </c>
      <c r="HE3629" s="65">
        <v>3.6</v>
      </c>
      <c r="HH3629" s="65" t="s">
        <v>3282</v>
      </c>
    </row>
    <row r="3630" spans="1:216" x14ac:dyDescent="0.25">
      <c r="A3630" s="55">
        <v>3629</v>
      </c>
      <c r="B3630" s="12" t="s">
        <v>7067</v>
      </c>
      <c r="C3630" s="155">
        <v>167</v>
      </c>
      <c r="D3630" s="55" t="s">
        <v>3276</v>
      </c>
      <c r="E3630" s="90" t="s">
        <v>3240</v>
      </c>
      <c r="G3630" s="55" t="s">
        <v>3275</v>
      </c>
      <c r="H3630" s="55">
        <v>2006</v>
      </c>
      <c r="I3630" s="55" t="s">
        <v>3291</v>
      </c>
      <c r="J3630" s="55" t="s">
        <v>112</v>
      </c>
      <c r="K3630" s="55" t="s">
        <v>3243</v>
      </c>
      <c r="L3630" s="55" t="s">
        <v>2750</v>
      </c>
      <c r="M3630" s="90">
        <v>-13.5</v>
      </c>
      <c r="N3630" s="90">
        <v>32.56666666666667</v>
      </c>
      <c r="O3630" s="90">
        <v>1028</v>
      </c>
      <c r="Q3630" s="55">
        <v>20.5</v>
      </c>
      <c r="S3630" s="90">
        <v>960</v>
      </c>
      <c r="U3630" s="55">
        <v>2</v>
      </c>
      <c r="V3630" s="55" t="s">
        <v>1688</v>
      </c>
      <c r="Y3630" s="55" t="s">
        <v>1952</v>
      </c>
      <c r="Z3630" s="55" t="s">
        <v>1367</v>
      </c>
      <c r="AA3630" s="90" t="s">
        <v>1687</v>
      </c>
      <c r="AE3630" s="90">
        <v>64</v>
      </c>
      <c r="AF3630" s="90">
        <v>12</v>
      </c>
      <c r="AH3630" s="55" t="s">
        <v>238</v>
      </c>
      <c r="AI3630" s="168">
        <v>4.7</v>
      </c>
      <c r="AJ3630" s="90">
        <v>1.4</v>
      </c>
      <c r="AM3630" s="55" t="s">
        <v>2677</v>
      </c>
      <c r="AN3630" s="185" t="s">
        <v>2693</v>
      </c>
      <c r="AO3630" s="185" t="s">
        <v>5150</v>
      </c>
      <c r="AQ3630" s="55" t="s">
        <v>553</v>
      </c>
      <c r="AR3630" s="55" t="s">
        <v>1607</v>
      </c>
      <c r="AS3630" s="55" t="s">
        <v>132</v>
      </c>
      <c r="AU3630" s="181" t="s">
        <v>7494</v>
      </c>
      <c r="AV3630" s="185" t="s">
        <v>176</v>
      </c>
      <c r="AX3630" s="185" t="s">
        <v>176</v>
      </c>
      <c r="BK3630" s="55" t="s">
        <v>6333</v>
      </c>
      <c r="BM3630" s="192" t="s">
        <v>3262</v>
      </c>
      <c r="BN3630" s="55">
        <v>3</v>
      </c>
      <c r="BO3630" s="55">
        <v>3</v>
      </c>
      <c r="BQ3630" s="55" t="s">
        <v>141</v>
      </c>
      <c r="BS3630" s="55">
        <v>4600</v>
      </c>
      <c r="BV3630" s="55" t="s">
        <v>3279</v>
      </c>
      <c r="GP3630" s="292" t="s">
        <v>7494</v>
      </c>
      <c r="HD3630" s="65">
        <v>1.6</v>
      </c>
      <c r="HE3630" s="65">
        <v>3.2</v>
      </c>
      <c r="HH3630" s="65" t="s">
        <v>3282</v>
      </c>
    </row>
    <row r="3631" spans="1:216" x14ac:dyDescent="0.25">
      <c r="A3631" s="55">
        <v>3630</v>
      </c>
      <c r="B3631" s="12" t="s">
        <v>7067</v>
      </c>
      <c r="C3631" s="155">
        <v>167</v>
      </c>
      <c r="D3631" s="55" t="s">
        <v>3276</v>
      </c>
      <c r="E3631" s="90" t="s">
        <v>3240</v>
      </c>
      <c r="G3631" s="55" t="s">
        <v>3275</v>
      </c>
      <c r="H3631" s="55">
        <v>2006</v>
      </c>
      <c r="I3631" s="55" t="s">
        <v>3291</v>
      </c>
      <c r="J3631" s="55" t="s">
        <v>112</v>
      </c>
      <c r="K3631" s="55" t="s">
        <v>3243</v>
      </c>
      <c r="L3631" s="55" t="s">
        <v>2750</v>
      </c>
      <c r="M3631" s="90">
        <v>-13.5</v>
      </c>
      <c r="N3631" s="90">
        <v>32.56666666666667</v>
      </c>
      <c r="O3631" s="90">
        <v>1028</v>
      </c>
      <c r="Q3631" s="55">
        <v>20.5</v>
      </c>
      <c r="S3631" s="90">
        <v>960</v>
      </c>
      <c r="U3631" s="55">
        <v>2</v>
      </c>
      <c r="V3631" s="55" t="s">
        <v>1688</v>
      </c>
      <c r="Y3631" s="55" t="s">
        <v>1952</v>
      </c>
      <c r="Z3631" s="55" t="s">
        <v>1367</v>
      </c>
      <c r="AA3631" s="90" t="s">
        <v>1687</v>
      </c>
      <c r="AE3631" s="90">
        <v>64</v>
      </c>
      <c r="AF3631" s="90">
        <v>12</v>
      </c>
      <c r="AH3631" s="55" t="s">
        <v>238</v>
      </c>
      <c r="AI3631" s="168">
        <v>4.7</v>
      </c>
      <c r="AJ3631" s="90">
        <v>1.4</v>
      </c>
      <c r="AM3631" s="55" t="s">
        <v>2677</v>
      </c>
      <c r="AN3631" s="185" t="s">
        <v>2696</v>
      </c>
      <c r="AO3631" s="185" t="s">
        <v>5150</v>
      </c>
      <c r="AQ3631" s="55" t="s">
        <v>553</v>
      </c>
      <c r="AR3631" s="55" t="s">
        <v>1607</v>
      </c>
      <c r="AS3631" s="55" t="s">
        <v>132</v>
      </c>
      <c r="AU3631" s="181" t="s">
        <v>7494</v>
      </c>
      <c r="AV3631" s="185" t="s">
        <v>176</v>
      </c>
      <c r="AX3631" s="185" t="s">
        <v>176</v>
      </c>
      <c r="BK3631" s="55" t="s">
        <v>6333</v>
      </c>
      <c r="BM3631" s="192" t="s">
        <v>3262</v>
      </c>
      <c r="BN3631" s="55">
        <v>3</v>
      </c>
      <c r="BO3631" s="55">
        <v>3</v>
      </c>
      <c r="BQ3631" s="55" t="s">
        <v>141</v>
      </c>
      <c r="BS3631" s="55">
        <v>4400</v>
      </c>
      <c r="BV3631" s="55" t="s">
        <v>224</v>
      </c>
      <c r="GP3631" s="292" t="s">
        <v>7494</v>
      </c>
      <c r="HD3631" s="65">
        <v>2.2000000000000002</v>
      </c>
      <c r="HE3631" s="65">
        <v>1.3</v>
      </c>
      <c r="HH3631" s="65" t="s">
        <v>3283</v>
      </c>
    </row>
    <row r="3632" spans="1:216" x14ac:dyDescent="0.25">
      <c r="A3632" s="55">
        <v>3631</v>
      </c>
      <c r="B3632" s="12" t="s">
        <v>7067</v>
      </c>
      <c r="C3632" s="155">
        <v>167</v>
      </c>
      <c r="D3632" s="55" t="s">
        <v>3276</v>
      </c>
      <c r="E3632" s="90" t="s">
        <v>3240</v>
      </c>
      <c r="G3632" s="55" t="s">
        <v>3275</v>
      </c>
      <c r="H3632" s="55">
        <v>2006</v>
      </c>
      <c r="I3632" s="55" t="s">
        <v>3291</v>
      </c>
      <c r="J3632" s="55" t="s">
        <v>112</v>
      </c>
      <c r="K3632" s="55" t="s">
        <v>3243</v>
      </c>
      <c r="L3632" s="55" t="s">
        <v>2750</v>
      </c>
      <c r="M3632" s="90">
        <v>-13.5</v>
      </c>
      <c r="N3632" s="90">
        <v>32.56666666666667</v>
      </c>
      <c r="O3632" s="90">
        <v>1028</v>
      </c>
      <c r="Q3632" s="55">
        <v>20.5</v>
      </c>
      <c r="S3632" s="90">
        <v>960</v>
      </c>
      <c r="U3632" s="55">
        <v>2</v>
      </c>
      <c r="V3632" s="55" t="s">
        <v>1688</v>
      </c>
      <c r="Y3632" s="55" t="s">
        <v>1952</v>
      </c>
      <c r="Z3632" s="55" t="s">
        <v>1367</v>
      </c>
      <c r="AA3632" s="90" t="s">
        <v>1687</v>
      </c>
      <c r="AE3632" s="90">
        <v>64</v>
      </c>
      <c r="AF3632" s="90">
        <v>12</v>
      </c>
      <c r="AH3632" s="55" t="s">
        <v>238</v>
      </c>
      <c r="AI3632" s="168">
        <v>4.7</v>
      </c>
      <c r="AJ3632" s="90">
        <v>1.4</v>
      </c>
      <c r="AM3632" s="55" t="s">
        <v>2677</v>
      </c>
      <c r="AN3632" s="185" t="s">
        <v>3280</v>
      </c>
      <c r="AO3632" s="185" t="s">
        <v>5150</v>
      </c>
      <c r="AQ3632" s="55" t="s">
        <v>553</v>
      </c>
      <c r="AR3632" s="55" t="s">
        <v>1607</v>
      </c>
      <c r="AS3632" s="55" t="s">
        <v>132</v>
      </c>
      <c r="AU3632" s="181" t="s">
        <v>7494</v>
      </c>
      <c r="AV3632" s="185" t="s">
        <v>176</v>
      </c>
      <c r="AX3632" s="185" t="s">
        <v>176</v>
      </c>
      <c r="BK3632" s="55" t="s">
        <v>6333</v>
      </c>
      <c r="BM3632" s="192" t="s">
        <v>3262</v>
      </c>
      <c r="BN3632" s="55">
        <v>3</v>
      </c>
      <c r="BO3632" s="55">
        <v>3</v>
      </c>
      <c r="BQ3632" s="55" t="s">
        <v>141</v>
      </c>
      <c r="BS3632" s="55">
        <v>3700</v>
      </c>
      <c r="BV3632" s="55" t="s">
        <v>224</v>
      </c>
      <c r="GP3632" s="292" t="s">
        <v>7494</v>
      </c>
      <c r="HD3632" s="65">
        <v>2.2000000000000002</v>
      </c>
      <c r="HE3632" s="65">
        <v>2.1</v>
      </c>
      <c r="HH3632" s="65" t="s">
        <v>3283</v>
      </c>
    </row>
    <row r="3633" spans="1:216" x14ac:dyDescent="0.25">
      <c r="A3633" s="55">
        <v>3632</v>
      </c>
      <c r="B3633" s="12" t="s">
        <v>7067</v>
      </c>
      <c r="C3633" s="155">
        <v>167</v>
      </c>
      <c r="D3633" s="55" t="s">
        <v>3276</v>
      </c>
      <c r="E3633" s="90" t="s">
        <v>3240</v>
      </c>
      <c r="G3633" s="55" t="s">
        <v>3275</v>
      </c>
      <c r="H3633" s="55">
        <v>2006</v>
      </c>
      <c r="I3633" s="55" t="s">
        <v>3291</v>
      </c>
      <c r="J3633" s="55" t="s">
        <v>112</v>
      </c>
      <c r="K3633" s="55" t="s">
        <v>3243</v>
      </c>
      <c r="L3633" s="55" t="s">
        <v>2750</v>
      </c>
      <c r="M3633" s="90">
        <v>-13.5</v>
      </c>
      <c r="N3633" s="90">
        <v>32.56666666666667</v>
      </c>
      <c r="O3633" s="90">
        <v>1028</v>
      </c>
      <c r="Q3633" s="55">
        <v>20.5</v>
      </c>
      <c r="S3633" s="90">
        <v>960</v>
      </c>
      <c r="U3633" s="55">
        <v>2</v>
      </c>
      <c r="V3633" s="55" t="s">
        <v>1688</v>
      </c>
      <c r="Y3633" s="55" t="s">
        <v>1952</v>
      </c>
      <c r="Z3633" s="55" t="s">
        <v>1367</v>
      </c>
      <c r="AA3633" s="90" t="s">
        <v>1687</v>
      </c>
      <c r="AE3633" s="90">
        <v>64</v>
      </c>
      <c r="AF3633" s="90">
        <v>12</v>
      </c>
      <c r="AH3633" s="55" t="s">
        <v>238</v>
      </c>
      <c r="AI3633" s="168">
        <v>4.7</v>
      </c>
      <c r="AJ3633" s="90">
        <v>1.4</v>
      </c>
      <c r="AM3633" s="55" t="s">
        <v>2677</v>
      </c>
      <c r="AN3633" s="185" t="s">
        <v>2620</v>
      </c>
      <c r="AO3633" s="185" t="s">
        <v>5150</v>
      </c>
      <c r="AQ3633" s="55" t="s">
        <v>553</v>
      </c>
      <c r="AR3633" s="55" t="s">
        <v>1607</v>
      </c>
      <c r="AS3633" s="55" t="s">
        <v>132</v>
      </c>
      <c r="AU3633" s="181" t="s">
        <v>7494</v>
      </c>
      <c r="AV3633" s="185" t="s">
        <v>176</v>
      </c>
      <c r="AX3633" s="185" t="s">
        <v>176</v>
      </c>
      <c r="BK3633" s="55" t="s">
        <v>6333</v>
      </c>
      <c r="BM3633" s="192" t="s">
        <v>3262</v>
      </c>
      <c r="BN3633" s="55">
        <v>3</v>
      </c>
      <c r="BO3633" s="55">
        <v>3</v>
      </c>
      <c r="BQ3633" s="55" t="s">
        <v>141</v>
      </c>
      <c r="BS3633" s="55">
        <v>3800</v>
      </c>
      <c r="BV3633" s="55" t="s">
        <v>224</v>
      </c>
      <c r="GP3633" s="292" t="s">
        <v>7494</v>
      </c>
      <c r="HD3633" s="65">
        <v>2.2000000000000002</v>
      </c>
      <c r="HE3633" s="65">
        <v>2.4</v>
      </c>
      <c r="HH3633" s="65" t="s">
        <v>3283</v>
      </c>
    </row>
    <row r="3634" spans="1:216" x14ac:dyDescent="0.25">
      <c r="A3634" s="55">
        <v>3633</v>
      </c>
      <c r="B3634" s="12" t="s">
        <v>7067</v>
      </c>
      <c r="C3634" s="155">
        <v>167</v>
      </c>
      <c r="D3634" s="55" t="s">
        <v>3276</v>
      </c>
      <c r="E3634" s="90" t="s">
        <v>3240</v>
      </c>
      <c r="G3634" s="55" t="s">
        <v>3275</v>
      </c>
      <c r="H3634" s="55">
        <v>2006</v>
      </c>
      <c r="I3634" s="55" t="s">
        <v>3291</v>
      </c>
      <c r="J3634" s="55" t="s">
        <v>112</v>
      </c>
      <c r="K3634" s="55" t="s">
        <v>3243</v>
      </c>
      <c r="L3634" s="55" t="s">
        <v>2750</v>
      </c>
      <c r="M3634" s="90">
        <v>-13.5</v>
      </c>
      <c r="N3634" s="90">
        <v>32.56666666666667</v>
      </c>
      <c r="O3634" s="90">
        <v>1028</v>
      </c>
      <c r="Q3634" s="55">
        <v>20.5</v>
      </c>
      <c r="S3634" s="90">
        <v>960</v>
      </c>
      <c r="U3634" s="55">
        <v>2</v>
      </c>
      <c r="V3634" s="55" t="s">
        <v>1688</v>
      </c>
      <c r="Y3634" s="55" t="s">
        <v>1952</v>
      </c>
      <c r="Z3634" s="55" t="s">
        <v>1367</v>
      </c>
      <c r="AA3634" s="90" t="s">
        <v>1687</v>
      </c>
      <c r="AE3634" s="90">
        <v>64</v>
      </c>
      <c r="AF3634" s="90">
        <v>12</v>
      </c>
      <c r="AH3634" s="55" t="s">
        <v>238</v>
      </c>
      <c r="AI3634" s="168">
        <v>4.7</v>
      </c>
      <c r="AJ3634" s="90">
        <v>1.4</v>
      </c>
      <c r="AM3634" s="55" t="s">
        <v>2677</v>
      </c>
      <c r="AN3634" s="185" t="s">
        <v>2693</v>
      </c>
      <c r="AO3634" s="185" t="s">
        <v>5150</v>
      </c>
      <c r="AQ3634" s="55" t="s">
        <v>553</v>
      </c>
      <c r="AR3634" s="55" t="s">
        <v>1607</v>
      </c>
      <c r="AS3634" s="55" t="s">
        <v>132</v>
      </c>
      <c r="AU3634" s="181" t="s">
        <v>7494</v>
      </c>
      <c r="AV3634" s="185" t="s">
        <v>176</v>
      </c>
      <c r="AX3634" s="185" t="s">
        <v>176</v>
      </c>
      <c r="BK3634" s="55" t="s">
        <v>6333</v>
      </c>
      <c r="BM3634" s="192" t="s">
        <v>3262</v>
      </c>
      <c r="BN3634" s="55">
        <v>3</v>
      </c>
      <c r="BO3634" s="55">
        <v>3</v>
      </c>
      <c r="BQ3634" s="55" t="s">
        <v>141</v>
      </c>
      <c r="BS3634" s="55">
        <v>4600</v>
      </c>
      <c r="BV3634" s="55" t="s">
        <v>224</v>
      </c>
      <c r="GP3634" s="292" t="s">
        <v>7494</v>
      </c>
      <c r="HD3634" s="65">
        <v>2.2000000000000002</v>
      </c>
      <c r="HE3634" s="65">
        <v>1</v>
      </c>
      <c r="HH3634" s="65" t="s">
        <v>3283</v>
      </c>
    </row>
    <row r="3635" spans="1:216" x14ac:dyDescent="0.25">
      <c r="A3635" s="55">
        <v>3634</v>
      </c>
      <c r="B3635" s="12" t="s">
        <v>7067</v>
      </c>
      <c r="C3635" s="155">
        <v>167</v>
      </c>
      <c r="D3635" s="55" t="s">
        <v>3277</v>
      </c>
      <c r="E3635" s="90" t="s">
        <v>3240</v>
      </c>
      <c r="G3635" s="55" t="s">
        <v>3275</v>
      </c>
      <c r="H3635" s="55">
        <v>2006</v>
      </c>
      <c r="I3635" s="55" t="s">
        <v>3291</v>
      </c>
      <c r="J3635" s="55" t="s">
        <v>112</v>
      </c>
      <c r="K3635" s="55" t="s">
        <v>3278</v>
      </c>
      <c r="L3635" s="55" t="s">
        <v>2750</v>
      </c>
      <c r="M3635" s="90">
        <f>-13-15/60</f>
        <v>-13.25</v>
      </c>
      <c r="N3635" s="90">
        <f>32+36/60</f>
        <v>32.6</v>
      </c>
      <c r="O3635" s="90">
        <v>1015</v>
      </c>
      <c r="Q3635" s="55">
        <v>20.5</v>
      </c>
      <c r="S3635" s="90">
        <v>960</v>
      </c>
      <c r="U3635" s="55">
        <v>2</v>
      </c>
      <c r="V3635" s="55" t="s">
        <v>1688</v>
      </c>
      <c r="Y3635" s="55" t="s">
        <v>1952</v>
      </c>
      <c r="Z3635" s="55" t="s">
        <v>1367</v>
      </c>
      <c r="AA3635" s="90" t="s">
        <v>1687</v>
      </c>
      <c r="AE3635" s="90">
        <v>85</v>
      </c>
      <c r="AF3635" s="90">
        <v>7</v>
      </c>
      <c r="AH3635" s="55" t="s">
        <v>201</v>
      </c>
      <c r="AI3635" s="168">
        <v>4.7</v>
      </c>
      <c r="AJ3635" s="90">
        <v>1</v>
      </c>
      <c r="AM3635" s="55" t="s">
        <v>2677</v>
      </c>
      <c r="AN3635" s="185" t="s">
        <v>2696</v>
      </c>
      <c r="AO3635" s="185" t="s">
        <v>5150</v>
      </c>
      <c r="AQ3635" s="55" t="s">
        <v>553</v>
      </c>
      <c r="AR3635" s="55" t="s">
        <v>1607</v>
      </c>
      <c r="AS3635" s="55" t="s">
        <v>132</v>
      </c>
      <c r="AU3635" s="181" t="s">
        <v>7494</v>
      </c>
      <c r="AV3635" s="185" t="s">
        <v>176</v>
      </c>
      <c r="AX3635" s="185" t="s">
        <v>176</v>
      </c>
      <c r="BK3635" s="55" t="s">
        <v>6333</v>
      </c>
      <c r="BM3635" s="192" t="s">
        <v>3262</v>
      </c>
      <c r="BN3635" s="55">
        <v>3</v>
      </c>
      <c r="BO3635" s="55">
        <v>3</v>
      </c>
      <c r="BQ3635" s="55" t="s">
        <v>141</v>
      </c>
      <c r="BS3635" s="55">
        <v>5000</v>
      </c>
      <c r="BV3635" s="55" t="s">
        <v>575</v>
      </c>
      <c r="CB3635" s="66">
        <v>6200</v>
      </c>
      <c r="CC3635" s="66">
        <v>2600</v>
      </c>
      <c r="EZ3635" s="65">
        <f>3.6*6</f>
        <v>21.6</v>
      </c>
      <c r="FA3635" s="65">
        <f>4*6</f>
        <v>24</v>
      </c>
      <c r="GP3635" s="292" t="s">
        <v>7494</v>
      </c>
      <c r="HD3635" s="65">
        <v>1</v>
      </c>
      <c r="HE3635" s="65">
        <v>2.2999999999999998</v>
      </c>
      <c r="HH3635" s="65" t="s">
        <v>3283</v>
      </c>
    </row>
    <row r="3636" spans="1:216" x14ac:dyDescent="0.25">
      <c r="A3636" s="55">
        <v>3635</v>
      </c>
      <c r="B3636" s="12" t="s">
        <v>7067</v>
      </c>
      <c r="C3636" s="155">
        <v>167</v>
      </c>
      <c r="D3636" s="55" t="s">
        <v>3277</v>
      </c>
      <c r="E3636" s="90" t="s">
        <v>3240</v>
      </c>
      <c r="G3636" s="55" t="s">
        <v>3275</v>
      </c>
      <c r="H3636" s="55">
        <v>2006</v>
      </c>
      <c r="I3636" s="55" t="s">
        <v>3291</v>
      </c>
      <c r="J3636" s="55" t="s">
        <v>112</v>
      </c>
      <c r="K3636" s="55" t="s">
        <v>3278</v>
      </c>
      <c r="L3636" s="55" t="s">
        <v>2750</v>
      </c>
      <c r="M3636" s="90">
        <f>-13-15/60</f>
        <v>-13.25</v>
      </c>
      <c r="N3636" s="90">
        <f>32+36/60</f>
        <v>32.6</v>
      </c>
      <c r="O3636" s="90">
        <v>1015</v>
      </c>
      <c r="Q3636" s="55">
        <v>20.5</v>
      </c>
      <c r="S3636" s="90">
        <v>960</v>
      </c>
      <c r="U3636" s="55">
        <v>2</v>
      </c>
      <c r="V3636" s="55" t="s">
        <v>1688</v>
      </c>
      <c r="Y3636" s="55" t="s">
        <v>1952</v>
      </c>
      <c r="Z3636" s="55" t="s">
        <v>1367</v>
      </c>
      <c r="AA3636" s="90" t="s">
        <v>1687</v>
      </c>
      <c r="AE3636" s="90">
        <v>85</v>
      </c>
      <c r="AF3636" s="90">
        <v>7</v>
      </c>
      <c r="AH3636" s="55" t="s">
        <v>201</v>
      </c>
      <c r="AI3636" s="168">
        <v>4.7</v>
      </c>
      <c r="AJ3636" s="90">
        <v>1</v>
      </c>
      <c r="AM3636" s="55" t="s">
        <v>2677</v>
      </c>
      <c r="AN3636" s="185" t="s">
        <v>3280</v>
      </c>
      <c r="AO3636" s="185" t="s">
        <v>5150</v>
      </c>
      <c r="AQ3636" s="55" t="s">
        <v>553</v>
      </c>
      <c r="AR3636" s="55" t="s">
        <v>1607</v>
      </c>
      <c r="AS3636" s="55" t="s">
        <v>132</v>
      </c>
      <c r="AU3636" s="181" t="s">
        <v>7494</v>
      </c>
      <c r="AV3636" s="185" t="s">
        <v>176</v>
      </c>
      <c r="AX3636" s="185" t="s">
        <v>176</v>
      </c>
      <c r="BK3636" s="55" t="s">
        <v>6333</v>
      </c>
      <c r="BM3636" s="192" t="s">
        <v>3262</v>
      </c>
      <c r="BN3636" s="55">
        <v>3</v>
      </c>
      <c r="BO3636" s="55">
        <v>3</v>
      </c>
      <c r="BQ3636" s="55" t="s">
        <v>141</v>
      </c>
      <c r="BS3636" s="55">
        <v>5200</v>
      </c>
      <c r="BV3636" s="55" t="s">
        <v>575</v>
      </c>
      <c r="CB3636" s="66">
        <v>6200</v>
      </c>
      <c r="CC3636" s="66">
        <v>1400</v>
      </c>
      <c r="EZ3636" s="65">
        <f>3.6*6</f>
        <v>21.6</v>
      </c>
      <c r="FA3636" s="65">
        <f>3.4*6</f>
        <v>20.399999999999999</v>
      </c>
      <c r="GP3636" s="292" t="s">
        <v>7494</v>
      </c>
      <c r="HD3636" s="65">
        <v>1</v>
      </c>
      <c r="HE3636" s="65">
        <v>3.6</v>
      </c>
      <c r="HH3636" s="65" t="s">
        <v>3283</v>
      </c>
    </row>
    <row r="3637" spans="1:216" x14ac:dyDescent="0.25">
      <c r="A3637" s="55">
        <v>3636</v>
      </c>
      <c r="B3637" s="12" t="s">
        <v>7067</v>
      </c>
      <c r="C3637" s="155">
        <v>167</v>
      </c>
      <c r="D3637" s="55" t="s">
        <v>3277</v>
      </c>
      <c r="E3637" s="90" t="s">
        <v>3240</v>
      </c>
      <c r="G3637" s="55" t="s">
        <v>3275</v>
      </c>
      <c r="H3637" s="55">
        <v>2006</v>
      </c>
      <c r="I3637" s="55" t="s">
        <v>3291</v>
      </c>
      <c r="J3637" s="55" t="s">
        <v>112</v>
      </c>
      <c r="K3637" s="55" t="s">
        <v>3278</v>
      </c>
      <c r="L3637" s="55" t="s">
        <v>2750</v>
      </c>
      <c r="M3637" s="90">
        <f>-13-15/60</f>
        <v>-13.25</v>
      </c>
      <c r="N3637" s="90">
        <f>32+36/60</f>
        <v>32.6</v>
      </c>
      <c r="O3637" s="90">
        <v>1015</v>
      </c>
      <c r="Q3637" s="55">
        <v>20.5</v>
      </c>
      <c r="S3637" s="90">
        <v>960</v>
      </c>
      <c r="U3637" s="55">
        <v>2</v>
      </c>
      <c r="V3637" s="55" t="s">
        <v>1688</v>
      </c>
      <c r="Y3637" s="55" t="s">
        <v>1952</v>
      </c>
      <c r="Z3637" s="55" t="s">
        <v>1367</v>
      </c>
      <c r="AA3637" s="90" t="s">
        <v>1687</v>
      </c>
      <c r="AE3637" s="90">
        <v>85</v>
      </c>
      <c r="AF3637" s="90">
        <v>7</v>
      </c>
      <c r="AH3637" s="55" t="s">
        <v>201</v>
      </c>
      <c r="AI3637" s="168">
        <v>4.7</v>
      </c>
      <c r="AJ3637" s="90">
        <v>1</v>
      </c>
      <c r="AM3637" s="55" t="s">
        <v>2677</v>
      </c>
      <c r="AN3637" s="185" t="s">
        <v>2620</v>
      </c>
      <c r="AO3637" s="185" t="s">
        <v>5150</v>
      </c>
      <c r="AQ3637" s="55" t="s">
        <v>553</v>
      </c>
      <c r="AR3637" s="55" t="s">
        <v>1607</v>
      </c>
      <c r="AS3637" s="55" t="s">
        <v>132</v>
      </c>
      <c r="AU3637" s="181" t="s">
        <v>7494</v>
      </c>
      <c r="AV3637" s="185" t="s">
        <v>176</v>
      </c>
      <c r="AX3637" s="185" t="s">
        <v>176</v>
      </c>
      <c r="BK3637" s="55" t="s">
        <v>6333</v>
      </c>
      <c r="BM3637" s="192" t="s">
        <v>3262</v>
      </c>
      <c r="BN3637" s="55">
        <v>3</v>
      </c>
      <c r="BO3637" s="55">
        <v>3</v>
      </c>
      <c r="BQ3637" s="55" t="s">
        <v>141</v>
      </c>
      <c r="BS3637" s="55">
        <v>6100</v>
      </c>
      <c r="BV3637" s="55" t="s">
        <v>575</v>
      </c>
      <c r="CB3637" s="66">
        <v>6200</v>
      </c>
      <c r="CC3637" s="66">
        <v>4300</v>
      </c>
      <c r="EZ3637" s="65">
        <f>3.6*6</f>
        <v>21.6</v>
      </c>
      <c r="FA3637" s="65">
        <f>3.9*6</f>
        <v>23.4</v>
      </c>
      <c r="GP3637" s="292" t="s">
        <v>7494</v>
      </c>
      <c r="HD3637" s="65">
        <v>1</v>
      </c>
      <c r="HE3637" s="65">
        <v>3.7</v>
      </c>
      <c r="HH3637" s="65" t="s">
        <v>3283</v>
      </c>
    </row>
    <row r="3638" spans="1:216" x14ac:dyDescent="0.25">
      <c r="A3638" s="55">
        <v>3637</v>
      </c>
      <c r="B3638" s="12" t="s">
        <v>7067</v>
      </c>
      <c r="C3638" s="155">
        <v>167</v>
      </c>
      <c r="D3638" s="55" t="s">
        <v>3277</v>
      </c>
      <c r="E3638" s="90" t="s">
        <v>3240</v>
      </c>
      <c r="G3638" s="55" t="s">
        <v>3275</v>
      </c>
      <c r="H3638" s="55">
        <v>2006</v>
      </c>
      <c r="I3638" s="55" t="s">
        <v>3291</v>
      </c>
      <c r="J3638" s="55" t="s">
        <v>112</v>
      </c>
      <c r="K3638" s="55" t="s">
        <v>3278</v>
      </c>
      <c r="L3638" s="55" t="s">
        <v>2750</v>
      </c>
      <c r="M3638" s="90">
        <f>-13-15/60</f>
        <v>-13.25</v>
      </c>
      <c r="N3638" s="90">
        <f>32+36/60</f>
        <v>32.6</v>
      </c>
      <c r="O3638" s="90">
        <v>1015</v>
      </c>
      <c r="Q3638" s="55">
        <v>20.5</v>
      </c>
      <c r="S3638" s="90">
        <v>960</v>
      </c>
      <c r="U3638" s="55">
        <v>2</v>
      </c>
      <c r="V3638" s="55" t="s">
        <v>1688</v>
      </c>
      <c r="Y3638" s="55" t="s">
        <v>1952</v>
      </c>
      <c r="Z3638" s="55" t="s">
        <v>3281</v>
      </c>
      <c r="AA3638" s="90" t="s">
        <v>1687</v>
      </c>
      <c r="AE3638" s="90">
        <v>85</v>
      </c>
      <c r="AF3638" s="90">
        <v>7</v>
      </c>
      <c r="AH3638" s="55" t="s">
        <v>201</v>
      </c>
      <c r="AI3638" s="168">
        <v>4.7</v>
      </c>
      <c r="AJ3638" s="90">
        <v>1</v>
      </c>
      <c r="AM3638" s="55" t="s">
        <v>2677</v>
      </c>
      <c r="AN3638" s="185" t="s">
        <v>2693</v>
      </c>
      <c r="AO3638" s="185" t="s">
        <v>5150</v>
      </c>
      <c r="AQ3638" s="55" t="s">
        <v>553</v>
      </c>
      <c r="AR3638" s="55" t="s">
        <v>1607</v>
      </c>
      <c r="AS3638" s="55" t="s">
        <v>132</v>
      </c>
      <c r="AU3638" s="181" t="s">
        <v>7494</v>
      </c>
      <c r="AV3638" s="185" t="s">
        <v>176</v>
      </c>
      <c r="AX3638" s="185" t="s">
        <v>176</v>
      </c>
      <c r="BK3638" s="55" t="s">
        <v>6333</v>
      </c>
      <c r="BM3638" s="192" t="s">
        <v>3262</v>
      </c>
      <c r="BN3638" s="55">
        <v>3</v>
      </c>
      <c r="BO3638" s="55">
        <v>3</v>
      </c>
      <c r="BQ3638" s="55" t="s">
        <v>141</v>
      </c>
      <c r="BS3638" s="55">
        <v>6200</v>
      </c>
      <c r="BV3638" s="55" t="s">
        <v>575</v>
      </c>
      <c r="CB3638" s="66">
        <v>6200</v>
      </c>
      <c r="CC3638" s="66">
        <v>2000</v>
      </c>
      <c r="EZ3638" s="65">
        <f>3.6*6</f>
        <v>21.6</v>
      </c>
      <c r="FA3638" s="65">
        <f>3.8*6</f>
        <v>22.799999999999997</v>
      </c>
      <c r="GP3638" s="292" t="s">
        <v>7494</v>
      </c>
      <c r="HD3638" s="65">
        <v>1</v>
      </c>
      <c r="HE3638" s="65">
        <v>2.6</v>
      </c>
      <c r="HH3638" s="65" t="s">
        <v>3283</v>
      </c>
    </row>
    <row r="3639" spans="1:216" x14ac:dyDescent="0.25">
      <c r="A3639" s="55">
        <v>3638</v>
      </c>
      <c r="B3639" s="12" t="s">
        <v>7067</v>
      </c>
      <c r="C3639" s="155">
        <v>168</v>
      </c>
      <c r="D3639" s="55" t="s">
        <v>3300</v>
      </c>
      <c r="E3639" s="90" t="s">
        <v>3240</v>
      </c>
      <c r="G3639" s="55" t="s">
        <v>3275</v>
      </c>
      <c r="H3639" s="55">
        <v>2005</v>
      </c>
      <c r="I3639" s="55">
        <v>2002</v>
      </c>
      <c r="J3639" s="55" t="s">
        <v>3284</v>
      </c>
      <c r="K3639" s="55" t="s">
        <v>2689</v>
      </c>
      <c r="L3639" s="55" t="s">
        <v>2750</v>
      </c>
      <c r="M3639" s="90">
        <v>-14.25</v>
      </c>
      <c r="N3639" s="90">
        <v>32</v>
      </c>
      <c r="O3639" s="90">
        <v>988</v>
      </c>
      <c r="S3639" s="90">
        <v>850</v>
      </c>
      <c r="U3639" s="55" t="s">
        <v>1805</v>
      </c>
      <c r="V3639" s="55" t="s">
        <v>1688</v>
      </c>
      <c r="Y3639" s="55" t="s">
        <v>1822</v>
      </c>
      <c r="Z3639" s="55" t="s">
        <v>1349</v>
      </c>
      <c r="AA3639" s="90" t="s">
        <v>1677</v>
      </c>
      <c r="AE3639" s="90">
        <v>82</v>
      </c>
      <c r="AF3639" s="90">
        <v>6</v>
      </c>
      <c r="AH3639" s="55" t="s">
        <v>174</v>
      </c>
      <c r="AI3639" s="168">
        <v>4.51</v>
      </c>
      <c r="AJ3639" s="90">
        <v>0.42</v>
      </c>
      <c r="AM3639" s="55" t="s">
        <v>3290</v>
      </c>
      <c r="AN3639" s="185" t="s">
        <v>3294</v>
      </c>
      <c r="AO3639" s="185" t="s">
        <v>5150</v>
      </c>
      <c r="AQ3639" s="55" t="s">
        <v>553</v>
      </c>
      <c r="AR3639" s="55" t="s">
        <v>1607</v>
      </c>
      <c r="AS3639" s="55" t="s">
        <v>132</v>
      </c>
      <c r="AU3639" s="181" t="s">
        <v>7494</v>
      </c>
      <c r="AV3639" s="185" t="s">
        <v>176</v>
      </c>
      <c r="AX3639" s="185" t="s">
        <v>176</v>
      </c>
      <c r="BK3639" s="55" t="s">
        <v>6333</v>
      </c>
      <c r="BM3639" s="192" t="s">
        <v>3292</v>
      </c>
      <c r="BN3639" s="55">
        <v>4</v>
      </c>
      <c r="BO3639" s="55">
        <v>4</v>
      </c>
      <c r="BQ3639" s="55" t="s">
        <v>141</v>
      </c>
      <c r="CB3639" s="66">
        <v>300</v>
      </c>
      <c r="CC3639" s="66">
        <v>700</v>
      </c>
      <c r="GP3639" s="292" t="s">
        <v>7494</v>
      </c>
      <c r="GY3639" s="65">
        <v>4.5</v>
      </c>
      <c r="GZ3639" s="65">
        <v>8.8000000000000007</v>
      </c>
      <c r="HC3639" s="65" t="s">
        <v>3304</v>
      </c>
    </row>
    <row r="3640" spans="1:216" x14ac:dyDescent="0.25">
      <c r="A3640" s="55">
        <v>3639</v>
      </c>
      <c r="B3640" s="12" t="s">
        <v>7067</v>
      </c>
      <c r="C3640" s="155">
        <v>168</v>
      </c>
      <c r="D3640" s="55" t="s">
        <v>3300</v>
      </c>
      <c r="E3640" s="90" t="s">
        <v>3240</v>
      </c>
      <c r="G3640" s="55" t="s">
        <v>3275</v>
      </c>
      <c r="H3640" s="55">
        <v>2005</v>
      </c>
      <c r="I3640" s="55">
        <v>2002</v>
      </c>
      <c r="J3640" s="55" t="s">
        <v>3284</v>
      </c>
      <c r="K3640" s="55" t="s">
        <v>2689</v>
      </c>
      <c r="L3640" s="55" t="s">
        <v>2750</v>
      </c>
      <c r="M3640" s="90">
        <v>-14.25</v>
      </c>
      <c r="N3640" s="90">
        <v>32</v>
      </c>
      <c r="O3640" s="90">
        <v>988</v>
      </c>
      <c r="S3640" s="90">
        <v>850</v>
      </c>
      <c r="U3640" s="55" t="s">
        <v>1805</v>
      </c>
      <c r="V3640" s="55" t="s">
        <v>1688</v>
      </c>
      <c r="Y3640" s="55" t="s">
        <v>1822</v>
      </c>
      <c r="Z3640" s="55" t="s">
        <v>1349</v>
      </c>
      <c r="AA3640" s="90" t="s">
        <v>1677</v>
      </c>
      <c r="AE3640" s="90">
        <v>82</v>
      </c>
      <c r="AF3640" s="90">
        <v>6</v>
      </c>
      <c r="AH3640" s="55" t="s">
        <v>174</v>
      </c>
      <c r="AI3640" s="168">
        <v>4.51</v>
      </c>
      <c r="AJ3640" s="90">
        <v>0.42</v>
      </c>
      <c r="AM3640" s="55" t="s">
        <v>3290</v>
      </c>
      <c r="AN3640" s="185" t="s">
        <v>2838</v>
      </c>
      <c r="AO3640" s="185" t="s">
        <v>5150</v>
      </c>
      <c r="AQ3640" s="55" t="s">
        <v>553</v>
      </c>
      <c r="AR3640" s="55" t="s">
        <v>1607</v>
      </c>
      <c r="AS3640" s="55" t="s">
        <v>132</v>
      </c>
      <c r="AU3640" s="181" t="s">
        <v>7494</v>
      </c>
      <c r="AV3640" s="185" t="s">
        <v>176</v>
      </c>
      <c r="AX3640" s="185" t="s">
        <v>176</v>
      </c>
      <c r="BK3640" s="55" t="s">
        <v>6333</v>
      </c>
      <c r="BM3640" s="192" t="s">
        <v>3292</v>
      </c>
      <c r="BN3640" s="55">
        <v>4</v>
      </c>
      <c r="BO3640" s="55">
        <v>4</v>
      </c>
      <c r="BQ3640" s="55" t="s">
        <v>141</v>
      </c>
      <c r="CB3640" s="66">
        <v>300</v>
      </c>
      <c r="CC3640" s="66">
        <v>500</v>
      </c>
      <c r="GP3640" s="292" t="s">
        <v>7494</v>
      </c>
      <c r="GY3640" s="65">
        <v>4.5</v>
      </c>
      <c r="GZ3640" s="65">
        <v>2.1</v>
      </c>
      <c r="HC3640" s="65" t="s">
        <v>3304</v>
      </c>
    </row>
    <row r="3641" spans="1:216" x14ac:dyDescent="0.25">
      <c r="A3641" s="55">
        <v>3640</v>
      </c>
      <c r="B3641" s="12" t="s">
        <v>7067</v>
      </c>
      <c r="C3641" s="155">
        <v>168</v>
      </c>
      <c r="D3641" s="55" t="s">
        <v>3300</v>
      </c>
      <c r="E3641" s="90" t="s">
        <v>3240</v>
      </c>
      <c r="G3641" s="55" t="s">
        <v>3275</v>
      </c>
      <c r="H3641" s="55">
        <v>2005</v>
      </c>
      <c r="I3641" s="55">
        <v>2002</v>
      </c>
      <c r="J3641" s="55" t="s">
        <v>3284</v>
      </c>
      <c r="K3641" s="55" t="s">
        <v>2689</v>
      </c>
      <c r="L3641" s="55" t="s">
        <v>2750</v>
      </c>
      <c r="M3641" s="90">
        <v>-14.25</v>
      </c>
      <c r="N3641" s="90">
        <v>32</v>
      </c>
      <c r="O3641" s="90">
        <v>988</v>
      </c>
      <c r="S3641" s="90">
        <v>850</v>
      </c>
      <c r="U3641" s="55" t="s">
        <v>1805</v>
      </c>
      <c r="V3641" s="55" t="s">
        <v>1688</v>
      </c>
      <c r="Y3641" s="55" t="s">
        <v>1822</v>
      </c>
      <c r="Z3641" s="55" t="s">
        <v>1349</v>
      </c>
      <c r="AA3641" s="90" t="s">
        <v>1677</v>
      </c>
      <c r="AE3641" s="90">
        <v>82</v>
      </c>
      <c r="AF3641" s="90">
        <v>6</v>
      </c>
      <c r="AH3641" s="55" t="s">
        <v>174</v>
      </c>
      <c r="AI3641" s="168">
        <v>4.51</v>
      </c>
      <c r="AJ3641" s="90">
        <v>0.42</v>
      </c>
      <c r="AM3641" s="55" t="s">
        <v>3290</v>
      </c>
      <c r="AN3641" s="185" t="s">
        <v>3084</v>
      </c>
      <c r="AO3641" s="185" t="s">
        <v>5150</v>
      </c>
      <c r="AQ3641" s="55" t="s">
        <v>553</v>
      </c>
      <c r="AR3641" s="55" t="s">
        <v>1607</v>
      </c>
      <c r="AS3641" s="55" t="s">
        <v>132</v>
      </c>
      <c r="AU3641" s="181" t="s">
        <v>7494</v>
      </c>
      <c r="AV3641" s="185" t="s">
        <v>176</v>
      </c>
      <c r="AX3641" s="185" t="s">
        <v>176</v>
      </c>
      <c r="BK3641" s="55" t="s">
        <v>6333</v>
      </c>
      <c r="BM3641" s="192" t="s">
        <v>3292</v>
      </c>
      <c r="BN3641" s="55">
        <v>4</v>
      </c>
      <c r="BO3641" s="55">
        <v>4</v>
      </c>
      <c r="BQ3641" s="55" t="s">
        <v>141</v>
      </c>
      <c r="CB3641" s="66">
        <v>300</v>
      </c>
      <c r="CC3641" s="66">
        <v>900</v>
      </c>
      <c r="GP3641" s="292" t="s">
        <v>7494</v>
      </c>
      <c r="GY3641" s="65">
        <v>4.5</v>
      </c>
      <c r="GZ3641" s="65">
        <v>5.3</v>
      </c>
      <c r="HC3641" s="65" t="s">
        <v>3304</v>
      </c>
    </row>
    <row r="3642" spans="1:216" x14ac:dyDescent="0.25">
      <c r="A3642" s="55">
        <v>3641</v>
      </c>
      <c r="B3642" s="12" t="s">
        <v>7067</v>
      </c>
      <c r="C3642" s="155">
        <v>168</v>
      </c>
      <c r="D3642" s="55" t="s">
        <v>3300</v>
      </c>
      <c r="E3642" s="90" t="s">
        <v>3240</v>
      </c>
      <c r="G3642" s="55" t="s">
        <v>3275</v>
      </c>
      <c r="H3642" s="55">
        <v>2005</v>
      </c>
      <c r="I3642" s="55">
        <v>2002</v>
      </c>
      <c r="J3642" s="55" t="s">
        <v>3284</v>
      </c>
      <c r="K3642" s="55" t="s">
        <v>2689</v>
      </c>
      <c r="L3642" s="55" t="s">
        <v>2750</v>
      </c>
      <c r="M3642" s="90">
        <v>-14.25</v>
      </c>
      <c r="N3642" s="90">
        <v>32</v>
      </c>
      <c r="O3642" s="90">
        <v>988</v>
      </c>
      <c r="S3642" s="90">
        <v>850</v>
      </c>
      <c r="U3642" s="55" t="s">
        <v>1805</v>
      </c>
      <c r="V3642" s="55" t="s">
        <v>1688</v>
      </c>
      <c r="Y3642" s="55" t="s">
        <v>1822</v>
      </c>
      <c r="Z3642" s="55" t="s">
        <v>1349</v>
      </c>
      <c r="AA3642" s="90" t="s">
        <v>1677</v>
      </c>
      <c r="AE3642" s="90">
        <v>82</v>
      </c>
      <c r="AF3642" s="90">
        <v>6</v>
      </c>
      <c r="AH3642" s="55" t="s">
        <v>174</v>
      </c>
      <c r="AI3642" s="168">
        <v>4.51</v>
      </c>
      <c r="AJ3642" s="90">
        <v>0.42</v>
      </c>
      <c r="AM3642" s="55" t="s">
        <v>3290</v>
      </c>
      <c r="AN3642" s="185" t="s">
        <v>3295</v>
      </c>
      <c r="AO3642" s="185" t="s">
        <v>5150</v>
      </c>
      <c r="AQ3642" s="55" t="s">
        <v>553</v>
      </c>
      <c r="AR3642" s="55" t="s">
        <v>1607</v>
      </c>
      <c r="AS3642" s="55" t="s">
        <v>132</v>
      </c>
      <c r="AU3642" s="181" t="s">
        <v>7494</v>
      </c>
      <c r="AV3642" s="185" t="s">
        <v>176</v>
      </c>
      <c r="AX3642" s="185" t="s">
        <v>176</v>
      </c>
      <c r="BK3642" s="55" t="s">
        <v>6333</v>
      </c>
      <c r="BM3642" s="192" t="s">
        <v>3292</v>
      </c>
      <c r="BN3642" s="55">
        <v>4</v>
      </c>
      <c r="BO3642" s="55">
        <v>4</v>
      </c>
      <c r="BQ3642" s="55" t="s">
        <v>141</v>
      </c>
      <c r="CB3642" s="66">
        <v>300</v>
      </c>
      <c r="CC3642" s="66">
        <v>500</v>
      </c>
      <c r="GP3642" s="292" t="s">
        <v>7494</v>
      </c>
      <c r="GY3642" s="65">
        <v>4.5</v>
      </c>
      <c r="GZ3642" s="65">
        <v>0.9</v>
      </c>
      <c r="HC3642" s="65" t="s">
        <v>3304</v>
      </c>
    </row>
    <row r="3643" spans="1:216" x14ac:dyDescent="0.25">
      <c r="A3643" s="55">
        <v>3642</v>
      </c>
      <c r="B3643" s="12" t="s">
        <v>7067</v>
      </c>
      <c r="C3643" s="155">
        <v>168</v>
      </c>
      <c r="D3643" s="55" t="s">
        <v>3300</v>
      </c>
      <c r="E3643" s="90" t="s">
        <v>3240</v>
      </c>
      <c r="G3643" s="55" t="s">
        <v>3275</v>
      </c>
      <c r="H3643" s="55">
        <v>2005</v>
      </c>
      <c r="I3643" s="55">
        <v>2002</v>
      </c>
      <c r="J3643" s="55" t="s">
        <v>3284</v>
      </c>
      <c r="K3643" s="55" t="s">
        <v>2689</v>
      </c>
      <c r="L3643" s="55" t="s">
        <v>2750</v>
      </c>
      <c r="M3643" s="90">
        <v>-14.25</v>
      </c>
      <c r="N3643" s="90">
        <v>32</v>
      </c>
      <c r="O3643" s="90">
        <v>988</v>
      </c>
      <c r="S3643" s="90">
        <v>850</v>
      </c>
      <c r="U3643" s="55" t="s">
        <v>1805</v>
      </c>
      <c r="V3643" s="55" t="s">
        <v>1688</v>
      </c>
      <c r="Y3643" s="55" t="s">
        <v>1822</v>
      </c>
      <c r="Z3643" s="55" t="s">
        <v>1349</v>
      </c>
      <c r="AA3643" s="90" t="s">
        <v>1677</v>
      </c>
      <c r="AE3643" s="90">
        <v>82</v>
      </c>
      <c r="AF3643" s="90">
        <v>6</v>
      </c>
      <c r="AH3643" s="55" t="s">
        <v>174</v>
      </c>
      <c r="AI3643" s="168">
        <v>4.51</v>
      </c>
      <c r="AJ3643" s="90">
        <v>0.42</v>
      </c>
      <c r="AM3643" s="55" t="s">
        <v>3290</v>
      </c>
      <c r="AN3643" s="185" t="s">
        <v>3296</v>
      </c>
      <c r="AO3643" s="185" t="s">
        <v>5150</v>
      </c>
      <c r="AQ3643" s="55" t="s">
        <v>553</v>
      </c>
      <c r="AR3643" s="55" t="s">
        <v>1607</v>
      </c>
      <c r="AS3643" s="55" t="s">
        <v>132</v>
      </c>
      <c r="AU3643" s="181" t="s">
        <v>7494</v>
      </c>
      <c r="AV3643" s="185" t="s">
        <v>176</v>
      </c>
      <c r="AX3643" s="185" t="s">
        <v>176</v>
      </c>
      <c r="BK3643" s="55" t="s">
        <v>6333</v>
      </c>
      <c r="BM3643" s="192" t="s">
        <v>3292</v>
      </c>
      <c r="BN3643" s="55">
        <v>4</v>
      </c>
      <c r="BO3643" s="55">
        <v>4</v>
      </c>
      <c r="BQ3643" s="55" t="s">
        <v>141</v>
      </c>
      <c r="CB3643" s="66">
        <v>300</v>
      </c>
      <c r="CC3643" s="66">
        <v>1700</v>
      </c>
      <c r="GP3643" s="292" t="s">
        <v>7494</v>
      </c>
      <c r="GY3643" s="65">
        <v>4.5</v>
      </c>
      <c r="GZ3643" s="65">
        <v>3.2</v>
      </c>
      <c r="HC3643" s="65" t="s">
        <v>3304</v>
      </c>
    </row>
    <row r="3644" spans="1:216" x14ac:dyDescent="0.25">
      <c r="A3644" s="55">
        <v>3643</v>
      </c>
      <c r="B3644" s="12" t="s">
        <v>7067</v>
      </c>
      <c r="C3644" s="155">
        <v>168</v>
      </c>
      <c r="D3644" s="55" t="s">
        <v>3300</v>
      </c>
      <c r="E3644" s="90" t="s">
        <v>3240</v>
      </c>
      <c r="G3644" s="55" t="s">
        <v>3275</v>
      </c>
      <c r="H3644" s="55">
        <v>2005</v>
      </c>
      <c r="I3644" s="55">
        <v>2002</v>
      </c>
      <c r="J3644" s="55" t="s">
        <v>3284</v>
      </c>
      <c r="K3644" s="55" t="s">
        <v>2689</v>
      </c>
      <c r="L3644" s="55" t="s">
        <v>2750</v>
      </c>
      <c r="M3644" s="90">
        <v>-14.25</v>
      </c>
      <c r="N3644" s="90">
        <v>32</v>
      </c>
      <c r="O3644" s="90">
        <v>988</v>
      </c>
      <c r="S3644" s="90">
        <v>850</v>
      </c>
      <c r="U3644" s="55" t="s">
        <v>1805</v>
      </c>
      <c r="V3644" s="55" t="s">
        <v>1688</v>
      </c>
      <c r="Y3644" s="55" t="s">
        <v>1822</v>
      </c>
      <c r="Z3644" s="55" t="s">
        <v>1349</v>
      </c>
      <c r="AA3644" s="90" t="s">
        <v>1677</v>
      </c>
      <c r="AE3644" s="90">
        <v>82</v>
      </c>
      <c r="AF3644" s="90">
        <v>6</v>
      </c>
      <c r="AH3644" s="55" t="s">
        <v>174</v>
      </c>
      <c r="AI3644" s="168">
        <v>4.51</v>
      </c>
      <c r="AJ3644" s="90">
        <v>0.42</v>
      </c>
      <c r="AM3644" s="55" t="s">
        <v>3290</v>
      </c>
      <c r="AN3644" s="185" t="s">
        <v>3297</v>
      </c>
      <c r="AO3644" s="185" t="s">
        <v>5150</v>
      </c>
      <c r="AQ3644" s="55" t="s">
        <v>553</v>
      </c>
      <c r="AR3644" s="55" t="s">
        <v>1607</v>
      </c>
      <c r="AS3644" s="55" t="s">
        <v>132</v>
      </c>
      <c r="AU3644" s="181" t="s">
        <v>7494</v>
      </c>
      <c r="AV3644" s="185" t="s">
        <v>176</v>
      </c>
      <c r="AX3644" s="185" t="s">
        <v>176</v>
      </c>
      <c r="BK3644" s="55" t="s">
        <v>6333</v>
      </c>
      <c r="BM3644" s="192" t="s">
        <v>3292</v>
      </c>
      <c r="BN3644" s="55">
        <v>4</v>
      </c>
      <c r="BO3644" s="55">
        <v>4</v>
      </c>
      <c r="BQ3644" s="55" t="s">
        <v>141</v>
      </c>
      <c r="CB3644" s="66">
        <v>300</v>
      </c>
      <c r="CC3644" s="66">
        <v>800</v>
      </c>
      <c r="GP3644" s="292" t="s">
        <v>7494</v>
      </c>
      <c r="GY3644" s="65">
        <v>4.5</v>
      </c>
      <c r="GZ3644" s="65">
        <v>3.3</v>
      </c>
      <c r="HC3644" s="65" t="s">
        <v>3304</v>
      </c>
    </row>
    <row r="3645" spans="1:216" x14ac:dyDescent="0.25">
      <c r="A3645" s="55">
        <v>3644</v>
      </c>
      <c r="B3645" s="12" t="s">
        <v>7067</v>
      </c>
      <c r="C3645" s="155">
        <v>168</v>
      </c>
      <c r="D3645" s="55" t="s">
        <v>3300</v>
      </c>
      <c r="E3645" s="90" t="s">
        <v>3240</v>
      </c>
      <c r="G3645" s="55" t="s">
        <v>3275</v>
      </c>
      <c r="H3645" s="55">
        <v>2005</v>
      </c>
      <c r="I3645" s="55">
        <v>2002</v>
      </c>
      <c r="J3645" s="55" t="s">
        <v>3284</v>
      </c>
      <c r="K3645" s="55" t="s">
        <v>2689</v>
      </c>
      <c r="L3645" s="55" t="s">
        <v>2750</v>
      </c>
      <c r="M3645" s="90">
        <v>-14.25</v>
      </c>
      <c r="N3645" s="90">
        <v>32</v>
      </c>
      <c r="O3645" s="90">
        <v>988</v>
      </c>
      <c r="S3645" s="90">
        <v>850</v>
      </c>
      <c r="U3645" s="55" t="s">
        <v>1805</v>
      </c>
      <c r="V3645" s="55" t="s">
        <v>1688</v>
      </c>
      <c r="Y3645" s="55" t="s">
        <v>1822</v>
      </c>
      <c r="Z3645" s="55" t="s">
        <v>1349</v>
      </c>
      <c r="AA3645" s="90" t="s">
        <v>1677</v>
      </c>
      <c r="AE3645" s="90">
        <v>82</v>
      </c>
      <c r="AF3645" s="90">
        <v>6</v>
      </c>
      <c r="AH3645" s="55" t="s">
        <v>174</v>
      </c>
      <c r="AI3645" s="168">
        <v>4.51</v>
      </c>
      <c r="AJ3645" s="90">
        <v>0.42</v>
      </c>
      <c r="AM3645" s="55" t="s">
        <v>3290</v>
      </c>
      <c r="AN3645" s="185" t="s">
        <v>3298</v>
      </c>
      <c r="AO3645" s="185" t="s">
        <v>5150</v>
      </c>
      <c r="AQ3645" s="55" t="s">
        <v>553</v>
      </c>
      <c r="AR3645" s="55" t="s">
        <v>1607</v>
      </c>
      <c r="AS3645" s="55" t="s">
        <v>132</v>
      </c>
      <c r="AU3645" s="181" t="s">
        <v>7494</v>
      </c>
      <c r="AV3645" s="185" t="s">
        <v>176</v>
      </c>
      <c r="AX3645" s="185" t="s">
        <v>176</v>
      </c>
      <c r="BK3645" s="55" t="s">
        <v>6333</v>
      </c>
      <c r="BM3645" s="192" t="s">
        <v>3292</v>
      </c>
      <c r="BN3645" s="55">
        <v>4</v>
      </c>
      <c r="BO3645" s="55">
        <v>4</v>
      </c>
      <c r="BQ3645" s="55" t="s">
        <v>141</v>
      </c>
      <c r="CB3645" s="66">
        <v>300</v>
      </c>
      <c r="CC3645" s="66">
        <v>600</v>
      </c>
      <c r="GP3645" s="292" t="s">
        <v>7494</v>
      </c>
      <c r="GY3645" s="65">
        <v>4.5</v>
      </c>
      <c r="GZ3645" s="65">
        <v>1.2</v>
      </c>
      <c r="HC3645" s="65" t="s">
        <v>3304</v>
      </c>
    </row>
    <row r="3646" spans="1:216" x14ac:dyDescent="0.25">
      <c r="A3646" s="55">
        <v>3645</v>
      </c>
      <c r="B3646" s="12" t="s">
        <v>7067</v>
      </c>
      <c r="C3646" s="155">
        <v>168</v>
      </c>
      <c r="D3646" s="55" t="s">
        <v>3300</v>
      </c>
      <c r="E3646" s="90" t="s">
        <v>3240</v>
      </c>
      <c r="G3646" s="55" t="s">
        <v>3275</v>
      </c>
      <c r="H3646" s="55">
        <v>2005</v>
      </c>
      <c r="I3646" s="55">
        <v>2002</v>
      </c>
      <c r="J3646" s="55" t="s">
        <v>3284</v>
      </c>
      <c r="K3646" s="55" t="s">
        <v>2689</v>
      </c>
      <c r="L3646" s="55" t="s">
        <v>2750</v>
      </c>
      <c r="M3646" s="90">
        <v>-14.25</v>
      </c>
      <c r="N3646" s="90">
        <v>32</v>
      </c>
      <c r="O3646" s="90">
        <v>988</v>
      </c>
      <c r="S3646" s="90">
        <v>850</v>
      </c>
      <c r="U3646" s="55" t="s">
        <v>1805</v>
      </c>
      <c r="V3646" s="55" t="s">
        <v>1688</v>
      </c>
      <c r="Y3646" s="55" t="s">
        <v>1822</v>
      </c>
      <c r="Z3646" s="55" t="s">
        <v>1349</v>
      </c>
      <c r="AA3646" s="90" t="s">
        <v>1677</v>
      </c>
      <c r="AE3646" s="90">
        <v>82</v>
      </c>
      <c r="AF3646" s="90">
        <v>6</v>
      </c>
      <c r="AH3646" s="55" t="s">
        <v>174</v>
      </c>
      <c r="AI3646" s="168">
        <v>4.51</v>
      </c>
      <c r="AJ3646" s="90">
        <v>0.42</v>
      </c>
      <c r="AM3646" s="55" t="s">
        <v>3290</v>
      </c>
      <c r="AN3646" s="185" t="s">
        <v>3299</v>
      </c>
      <c r="AO3646" s="185" t="s">
        <v>5150</v>
      </c>
      <c r="AQ3646" s="55" t="s">
        <v>553</v>
      </c>
      <c r="AR3646" s="55" t="s">
        <v>1607</v>
      </c>
      <c r="AS3646" s="55" t="s">
        <v>132</v>
      </c>
      <c r="AU3646" s="181" t="s">
        <v>7494</v>
      </c>
      <c r="AV3646" s="185" t="s">
        <v>176</v>
      </c>
      <c r="AX3646" s="185" t="s">
        <v>176</v>
      </c>
      <c r="BK3646" s="55" t="s">
        <v>6333</v>
      </c>
      <c r="BM3646" s="192" t="s">
        <v>3292</v>
      </c>
      <c r="BN3646" s="55">
        <v>4</v>
      </c>
      <c r="BO3646" s="55">
        <v>4</v>
      </c>
      <c r="BQ3646" s="55" t="s">
        <v>141</v>
      </c>
      <c r="CB3646" s="66">
        <v>300</v>
      </c>
      <c r="CC3646" s="66">
        <v>600</v>
      </c>
      <c r="GP3646" s="292" t="s">
        <v>7494</v>
      </c>
      <c r="GY3646" s="65">
        <v>4.5</v>
      </c>
      <c r="GZ3646" s="65">
        <v>1.5</v>
      </c>
      <c r="HC3646" s="65" t="s">
        <v>3304</v>
      </c>
    </row>
    <row r="3647" spans="1:216" x14ac:dyDescent="0.25">
      <c r="A3647" s="55">
        <v>3646</v>
      </c>
      <c r="B3647" s="12" t="s">
        <v>7067</v>
      </c>
      <c r="C3647" s="155">
        <v>168</v>
      </c>
      <c r="D3647" s="55" t="s">
        <v>3300</v>
      </c>
      <c r="E3647" s="90" t="s">
        <v>3240</v>
      </c>
      <c r="G3647" s="55" t="s">
        <v>3275</v>
      </c>
      <c r="H3647" s="55">
        <v>2005</v>
      </c>
      <c r="I3647" s="55">
        <v>2002</v>
      </c>
      <c r="J3647" s="55" t="s">
        <v>3284</v>
      </c>
      <c r="K3647" s="55" t="s">
        <v>2689</v>
      </c>
      <c r="L3647" s="55" t="s">
        <v>2750</v>
      </c>
      <c r="M3647" s="90">
        <v>-14.25</v>
      </c>
      <c r="N3647" s="90">
        <v>32</v>
      </c>
      <c r="O3647" s="90">
        <v>988</v>
      </c>
      <c r="S3647" s="90">
        <v>850</v>
      </c>
      <c r="U3647" s="55" t="s">
        <v>1805</v>
      </c>
      <c r="V3647" s="55" t="s">
        <v>1688</v>
      </c>
      <c r="Y3647" s="55" t="s">
        <v>1822</v>
      </c>
      <c r="Z3647" s="55" t="s">
        <v>1349</v>
      </c>
      <c r="AA3647" s="90" t="s">
        <v>1677</v>
      </c>
      <c r="AE3647" s="90">
        <v>82</v>
      </c>
      <c r="AF3647" s="90">
        <v>6</v>
      </c>
      <c r="AH3647" s="55" t="s">
        <v>174</v>
      </c>
      <c r="AI3647" s="168">
        <v>4.51</v>
      </c>
      <c r="AJ3647" s="90">
        <v>0.42</v>
      </c>
      <c r="AM3647" s="55" t="s">
        <v>3290</v>
      </c>
      <c r="AN3647" s="185" t="s">
        <v>3294</v>
      </c>
      <c r="AO3647" s="185" t="s">
        <v>5150</v>
      </c>
      <c r="AQ3647" s="55" t="s">
        <v>553</v>
      </c>
      <c r="AR3647" s="55" t="s">
        <v>1607</v>
      </c>
      <c r="AS3647" s="55" t="s">
        <v>132</v>
      </c>
      <c r="AU3647" s="181" t="s">
        <v>7494</v>
      </c>
      <c r="AV3647" s="185" t="s">
        <v>176</v>
      </c>
      <c r="AX3647" s="185" t="s">
        <v>176</v>
      </c>
      <c r="BK3647" s="55" t="s">
        <v>6333</v>
      </c>
      <c r="BM3647" s="192" t="s">
        <v>3293</v>
      </c>
      <c r="BN3647" s="55">
        <v>4</v>
      </c>
      <c r="BO3647" s="55">
        <v>4</v>
      </c>
      <c r="BQ3647" s="55" t="s">
        <v>141</v>
      </c>
      <c r="CB3647" s="66">
        <v>300</v>
      </c>
      <c r="CC3647" s="66">
        <v>700</v>
      </c>
      <c r="GP3647" s="292" t="s">
        <v>7494</v>
      </c>
      <c r="GY3647" s="65">
        <v>3.3</v>
      </c>
      <c r="GZ3647" s="65">
        <v>8.8000000000000007</v>
      </c>
      <c r="HC3647" s="65" t="s">
        <v>3304</v>
      </c>
    </row>
    <row r="3648" spans="1:216" x14ac:dyDescent="0.25">
      <c r="A3648" s="55">
        <v>3647</v>
      </c>
      <c r="B3648" s="12" t="s">
        <v>7067</v>
      </c>
      <c r="C3648" s="155">
        <v>168</v>
      </c>
      <c r="D3648" s="55" t="s">
        <v>3300</v>
      </c>
      <c r="E3648" s="90" t="s">
        <v>3240</v>
      </c>
      <c r="G3648" s="55" t="s">
        <v>3275</v>
      </c>
      <c r="H3648" s="55">
        <v>2005</v>
      </c>
      <c r="I3648" s="55">
        <v>2002</v>
      </c>
      <c r="J3648" s="55" t="s">
        <v>3284</v>
      </c>
      <c r="K3648" s="55" t="s">
        <v>2689</v>
      </c>
      <c r="L3648" s="55" t="s">
        <v>2750</v>
      </c>
      <c r="M3648" s="90">
        <v>-14.25</v>
      </c>
      <c r="N3648" s="90">
        <v>32</v>
      </c>
      <c r="O3648" s="90">
        <v>988</v>
      </c>
      <c r="S3648" s="90">
        <v>850</v>
      </c>
      <c r="U3648" s="55" t="s">
        <v>1805</v>
      </c>
      <c r="V3648" s="55" t="s">
        <v>1688</v>
      </c>
      <c r="Y3648" s="55" t="s">
        <v>1822</v>
      </c>
      <c r="Z3648" s="55" t="s">
        <v>1349</v>
      </c>
      <c r="AA3648" s="90" t="s">
        <v>1677</v>
      </c>
      <c r="AE3648" s="90">
        <v>82</v>
      </c>
      <c r="AF3648" s="90">
        <v>6</v>
      </c>
      <c r="AH3648" s="55" t="s">
        <v>174</v>
      </c>
      <c r="AI3648" s="168">
        <v>4.51</v>
      </c>
      <c r="AJ3648" s="90">
        <v>0.42</v>
      </c>
      <c r="AM3648" s="55" t="s">
        <v>3290</v>
      </c>
      <c r="AN3648" s="185" t="s">
        <v>2838</v>
      </c>
      <c r="AO3648" s="185" t="s">
        <v>5150</v>
      </c>
      <c r="AQ3648" s="55" t="s">
        <v>553</v>
      </c>
      <c r="AR3648" s="55" t="s">
        <v>1607</v>
      </c>
      <c r="AS3648" s="55" t="s">
        <v>132</v>
      </c>
      <c r="AU3648" s="181" t="s">
        <v>7494</v>
      </c>
      <c r="AV3648" s="185" t="s">
        <v>176</v>
      </c>
      <c r="AX3648" s="185" t="s">
        <v>176</v>
      </c>
      <c r="BK3648" s="55" t="s">
        <v>6333</v>
      </c>
      <c r="BM3648" s="192" t="s">
        <v>3293</v>
      </c>
      <c r="BN3648" s="55">
        <v>4</v>
      </c>
      <c r="BO3648" s="55">
        <v>4</v>
      </c>
      <c r="BQ3648" s="55" t="s">
        <v>141</v>
      </c>
      <c r="CB3648" s="66">
        <v>300</v>
      </c>
      <c r="CC3648" s="66">
        <v>500</v>
      </c>
      <c r="GP3648" s="292" t="s">
        <v>7494</v>
      </c>
      <c r="GY3648" s="65">
        <v>3.3</v>
      </c>
      <c r="GZ3648" s="65">
        <v>2.1</v>
      </c>
      <c r="HC3648" s="65" t="s">
        <v>3304</v>
      </c>
    </row>
    <row r="3649" spans="1:211" x14ac:dyDescent="0.25">
      <c r="A3649" s="55">
        <v>3648</v>
      </c>
      <c r="B3649" s="12" t="s">
        <v>7067</v>
      </c>
      <c r="C3649" s="155">
        <v>168</v>
      </c>
      <c r="D3649" s="55" t="s">
        <v>3300</v>
      </c>
      <c r="E3649" s="90" t="s">
        <v>3240</v>
      </c>
      <c r="G3649" s="55" t="s">
        <v>3275</v>
      </c>
      <c r="H3649" s="55">
        <v>2005</v>
      </c>
      <c r="I3649" s="55">
        <v>2002</v>
      </c>
      <c r="J3649" s="55" t="s">
        <v>3284</v>
      </c>
      <c r="K3649" s="55" t="s">
        <v>2689</v>
      </c>
      <c r="L3649" s="55" t="s">
        <v>2750</v>
      </c>
      <c r="M3649" s="90">
        <v>-14.25</v>
      </c>
      <c r="N3649" s="90">
        <v>32</v>
      </c>
      <c r="O3649" s="90">
        <v>988</v>
      </c>
      <c r="S3649" s="90">
        <v>850</v>
      </c>
      <c r="U3649" s="55" t="s">
        <v>1805</v>
      </c>
      <c r="V3649" s="55" t="s">
        <v>1688</v>
      </c>
      <c r="Y3649" s="55" t="s">
        <v>1822</v>
      </c>
      <c r="Z3649" s="55" t="s">
        <v>1349</v>
      </c>
      <c r="AA3649" s="90" t="s">
        <v>1677</v>
      </c>
      <c r="AE3649" s="90">
        <v>82</v>
      </c>
      <c r="AF3649" s="90">
        <v>6</v>
      </c>
      <c r="AH3649" s="55" t="s">
        <v>174</v>
      </c>
      <c r="AI3649" s="168">
        <v>4.51</v>
      </c>
      <c r="AJ3649" s="90">
        <v>0.42</v>
      </c>
      <c r="AM3649" s="55" t="s">
        <v>3290</v>
      </c>
      <c r="AN3649" s="185" t="s">
        <v>3084</v>
      </c>
      <c r="AO3649" s="185" t="s">
        <v>5150</v>
      </c>
      <c r="AQ3649" s="55" t="s">
        <v>553</v>
      </c>
      <c r="AR3649" s="55" t="s">
        <v>1607</v>
      </c>
      <c r="AS3649" s="55" t="s">
        <v>132</v>
      </c>
      <c r="AU3649" s="181" t="s">
        <v>7494</v>
      </c>
      <c r="AV3649" s="185" t="s">
        <v>176</v>
      </c>
      <c r="AX3649" s="185" t="s">
        <v>176</v>
      </c>
      <c r="BK3649" s="55" t="s">
        <v>6333</v>
      </c>
      <c r="BM3649" s="192" t="s">
        <v>3293</v>
      </c>
      <c r="BN3649" s="55">
        <v>4</v>
      </c>
      <c r="BO3649" s="55">
        <v>4</v>
      </c>
      <c r="BQ3649" s="55" t="s">
        <v>141</v>
      </c>
      <c r="CB3649" s="66">
        <v>300</v>
      </c>
      <c r="CC3649" s="66">
        <v>900</v>
      </c>
      <c r="GP3649" s="292" t="s">
        <v>7494</v>
      </c>
      <c r="GY3649" s="65">
        <v>3.3</v>
      </c>
      <c r="GZ3649" s="65">
        <v>5.3</v>
      </c>
      <c r="HC3649" s="65" t="s">
        <v>3304</v>
      </c>
    </row>
    <row r="3650" spans="1:211" x14ac:dyDescent="0.25">
      <c r="A3650" s="55">
        <v>3649</v>
      </c>
      <c r="B3650" s="12" t="s">
        <v>7067</v>
      </c>
      <c r="C3650" s="155">
        <v>168</v>
      </c>
      <c r="D3650" s="55" t="s">
        <v>3300</v>
      </c>
      <c r="E3650" s="90" t="s">
        <v>3240</v>
      </c>
      <c r="G3650" s="55" t="s">
        <v>3275</v>
      </c>
      <c r="H3650" s="55">
        <v>2005</v>
      </c>
      <c r="I3650" s="55">
        <v>2002</v>
      </c>
      <c r="J3650" s="55" t="s">
        <v>3284</v>
      </c>
      <c r="K3650" s="55" t="s">
        <v>2689</v>
      </c>
      <c r="L3650" s="55" t="s">
        <v>2750</v>
      </c>
      <c r="M3650" s="90">
        <v>-14.25</v>
      </c>
      <c r="N3650" s="90">
        <v>32</v>
      </c>
      <c r="O3650" s="90">
        <v>988</v>
      </c>
      <c r="S3650" s="90">
        <v>850</v>
      </c>
      <c r="U3650" s="55" t="s">
        <v>1805</v>
      </c>
      <c r="V3650" s="55" t="s">
        <v>1688</v>
      </c>
      <c r="Y3650" s="55" t="s">
        <v>1822</v>
      </c>
      <c r="Z3650" s="55" t="s">
        <v>1349</v>
      </c>
      <c r="AA3650" s="90" t="s">
        <v>1677</v>
      </c>
      <c r="AE3650" s="90">
        <v>82</v>
      </c>
      <c r="AF3650" s="90">
        <v>6</v>
      </c>
      <c r="AH3650" s="55" t="s">
        <v>174</v>
      </c>
      <c r="AI3650" s="168">
        <v>4.51</v>
      </c>
      <c r="AJ3650" s="90">
        <v>0.42</v>
      </c>
      <c r="AM3650" s="55" t="s">
        <v>3290</v>
      </c>
      <c r="AN3650" s="185" t="s">
        <v>3295</v>
      </c>
      <c r="AO3650" s="185" t="s">
        <v>5150</v>
      </c>
      <c r="AQ3650" s="55" t="s">
        <v>553</v>
      </c>
      <c r="AR3650" s="55" t="s">
        <v>1607</v>
      </c>
      <c r="AS3650" s="55" t="s">
        <v>132</v>
      </c>
      <c r="AU3650" s="181" t="s">
        <v>7494</v>
      </c>
      <c r="AV3650" s="185" t="s">
        <v>176</v>
      </c>
      <c r="AX3650" s="185" t="s">
        <v>176</v>
      </c>
      <c r="BK3650" s="55" t="s">
        <v>6333</v>
      </c>
      <c r="BM3650" s="192" t="s">
        <v>3293</v>
      </c>
      <c r="BN3650" s="55">
        <v>4</v>
      </c>
      <c r="BO3650" s="55">
        <v>4</v>
      </c>
      <c r="BQ3650" s="55" t="s">
        <v>141</v>
      </c>
      <c r="CB3650" s="66">
        <v>300</v>
      </c>
      <c r="CC3650" s="66">
        <v>500</v>
      </c>
      <c r="GP3650" s="292" t="s">
        <v>7494</v>
      </c>
      <c r="GY3650" s="65">
        <v>3.3</v>
      </c>
      <c r="GZ3650" s="65">
        <v>0.9</v>
      </c>
      <c r="HC3650" s="65" t="s">
        <v>3304</v>
      </c>
    </row>
    <row r="3651" spans="1:211" x14ac:dyDescent="0.25">
      <c r="A3651" s="55">
        <v>3650</v>
      </c>
      <c r="B3651" s="12" t="s">
        <v>7067</v>
      </c>
      <c r="C3651" s="155">
        <v>168</v>
      </c>
      <c r="D3651" s="55" t="s">
        <v>3300</v>
      </c>
      <c r="E3651" s="90" t="s">
        <v>3240</v>
      </c>
      <c r="G3651" s="55" t="s">
        <v>3275</v>
      </c>
      <c r="H3651" s="55">
        <v>2005</v>
      </c>
      <c r="I3651" s="55">
        <v>2002</v>
      </c>
      <c r="J3651" s="55" t="s">
        <v>3284</v>
      </c>
      <c r="K3651" s="55" t="s">
        <v>2689</v>
      </c>
      <c r="L3651" s="55" t="s">
        <v>2750</v>
      </c>
      <c r="M3651" s="90">
        <v>-14.25</v>
      </c>
      <c r="N3651" s="90">
        <v>32</v>
      </c>
      <c r="O3651" s="90">
        <v>988</v>
      </c>
      <c r="S3651" s="90">
        <v>850</v>
      </c>
      <c r="U3651" s="55" t="s">
        <v>1805</v>
      </c>
      <c r="V3651" s="55" t="s">
        <v>1688</v>
      </c>
      <c r="Y3651" s="55" t="s">
        <v>1822</v>
      </c>
      <c r="Z3651" s="55" t="s">
        <v>1349</v>
      </c>
      <c r="AA3651" s="90" t="s">
        <v>1677</v>
      </c>
      <c r="AE3651" s="90">
        <v>82</v>
      </c>
      <c r="AF3651" s="90">
        <v>6</v>
      </c>
      <c r="AH3651" s="55" t="s">
        <v>174</v>
      </c>
      <c r="AI3651" s="168">
        <v>4.51</v>
      </c>
      <c r="AJ3651" s="90">
        <v>0.42</v>
      </c>
      <c r="AM3651" s="55" t="s">
        <v>3290</v>
      </c>
      <c r="AN3651" s="185" t="s">
        <v>3296</v>
      </c>
      <c r="AO3651" s="185" t="s">
        <v>5150</v>
      </c>
      <c r="AQ3651" s="55" t="s">
        <v>553</v>
      </c>
      <c r="AR3651" s="55" t="s">
        <v>1607</v>
      </c>
      <c r="AS3651" s="55" t="s">
        <v>132</v>
      </c>
      <c r="AU3651" s="181" t="s">
        <v>7494</v>
      </c>
      <c r="AV3651" s="185" t="s">
        <v>176</v>
      </c>
      <c r="AX3651" s="185" t="s">
        <v>176</v>
      </c>
      <c r="BK3651" s="55" t="s">
        <v>6333</v>
      </c>
      <c r="BM3651" s="192" t="s">
        <v>3293</v>
      </c>
      <c r="BN3651" s="55">
        <v>4</v>
      </c>
      <c r="BO3651" s="55">
        <v>4</v>
      </c>
      <c r="BQ3651" s="55" t="s">
        <v>141</v>
      </c>
      <c r="CB3651" s="66">
        <v>300</v>
      </c>
      <c r="CC3651" s="66">
        <v>1700</v>
      </c>
      <c r="GP3651" s="292" t="s">
        <v>7494</v>
      </c>
      <c r="GY3651" s="65">
        <v>3.3</v>
      </c>
      <c r="GZ3651" s="65">
        <v>3.2</v>
      </c>
      <c r="HC3651" s="65" t="s">
        <v>3304</v>
      </c>
    </row>
    <row r="3652" spans="1:211" x14ac:dyDescent="0.25">
      <c r="A3652" s="55">
        <v>3651</v>
      </c>
      <c r="B3652" s="12" t="s">
        <v>7067</v>
      </c>
      <c r="C3652" s="155">
        <v>168</v>
      </c>
      <c r="D3652" s="55" t="s">
        <v>3300</v>
      </c>
      <c r="E3652" s="90" t="s">
        <v>3240</v>
      </c>
      <c r="G3652" s="55" t="s">
        <v>3275</v>
      </c>
      <c r="H3652" s="55">
        <v>2005</v>
      </c>
      <c r="I3652" s="55">
        <v>2002</v>
      </c>
      <c r="J3652" s="55" t="s">
        <v>3284</v>
      </c>
      <c r="K3652" s="55" t="s">
        <v>2689</v>
      </c>
      <c r="L3652" s="55" t="s">
        <v>2750</v>
      </c>
      <c r="M3652" s="90">
        <v>-14.25</v>
      </c>
      <c r="N3652" s="90">
        <v>32</v>
      </c>
      <c r="O3652" s="90">
        <v>988</v>
      </c>
      <c r="S3652" s="90">
        <v>850</v>
      </c>
      <c r="U3652" s="55" t="s">
        <v>1805</v>
      </c>
      <c r="V3652" s="55" t="s">
        <v>1688</v>
      </c>
      <c r="Y3652" s="55" t="s">
        <v>1822</v>
      </c>
      <c r="Z3652" s="55" t="s">
        <v>1349</v>
      </c>
      <c r="AA3652" s="90" t="s">
        <v>1677</v>
      </c>
      <c r="AE3652" s="90">
        <v>82</v>
      </c>
      <c r="AF3652" s="90">
        <v>6</v>
      </c>
      <c r="AH3652" s="55" t="s">
        <v>174</v>
      </c>
      <c r="AI3652" s="168">
        <v>4.51</v>
      </c>
      <c r="AJ3652" s="90">
        <v>0.42</v>
      </c>
      <c r="AM3652" s="55" t="s">
        <v>3290</v>
      </c>
      <c r="AN3652" s="185" t="s">
        <v>3297</v>
      </c>
      <c r="AO3652" s="185" t="s">
        <v>5150</v>
      </c>
      <c r="AQ3652" s="55" t="s">
        <v>553</v>
      </c>
      <c r="AR3652" s="55" t="s">
        <v>1607</v>
      </c>
      <c r="AS3652" s="55" t="s">
        <v>132</v>
      </c>
      <c r="AU3652" s="181" t="s">
        <v>7494</v>
      </c>
      <c r="AV3652" s="185" t="s">
        <v>176</v>
      </c>
      <c r="AX3652" s="185" t="s">
        <v>176</v>
      </c>
      <c r="BK3652" s="55" t="s">
        <v>6333</v>
      </c>
      <c r="BM3652" s="192" t="s">
        <v>3293</v>
      </c>
      <c r="BN3652" s="55">
        <v>4</v>
      </c>
      <c r="BO3652" s="55">
        <v>4</v>
      </c>
      <c r="BQ3652" s="55" t="s">
        <v>141</v>
      </c>
      <c r="CB3652" s="66">
        <v>300</v>
      </c>
      <c r="CC3652" s="66">
        <v>800</v>
      </c>
      <c r="GP3652" s="292" t="s">
        <v>7494</v>
      </c>
      <c r="GY3652" s="65">
        <v>3.3</v>
      </c>
      <c r="GZ3652" s="65">
        <v>3.3</v>
      </c>
      <c r="HC3652" s="65" t="s">
        <v>3304</v>
      </c>
    </row>
    <row r="3653" spans="1:211" x14ac:dyDescent="0.25">
      <c r="A3653" s="55">
        <v>3652</v>
      </c>
      <c r="B3653" s="12" t="s">
        <v>7067</v>
      </c>
      <c r="C3653" s="155">
        <v>168</v>
      </c>
      <c r="D3653" s="55" t="s">
        <v>3300</v>
      </c>
      <c r="E3653" s="90" t="s">
        <v>3240</v>
      </c>
      <c r="G3653" s="55" t="s">
        <v>3275</v>
      </c>
      <c r="H3653" s="55">
        <v>2005</v>
      </c>
      <c r="I3653" s="55">
        <v>2002</v>
      </c>
      <c r="J3653" s="55" t="s">
        <v>3284</v>
      </c>
      <c r="K3653" s="55" t="s">
        <v>2689</v>
      </c>
      <c r="L3653" s="55" t="s">
        <v>2750</v>
      </c>
      <c r="M3653" s="90">
        <v>-14.25</v>
      </c>
      <c r="N3653" s="90">
        <v>32</v>
      </c>
      <c r="O3653" s="90">
        <v>988</v>
      </c>
      <c r="S3653" s="90">
        <v>850</v>
      </c>
      <c r="U3653" s="55" t="s">
        <v>1805</v>
      </c>
      <c r="V3653" s="55" t="s">
        <v>1688</v>
      </c>
      <c r="Y3653" s="55" t="s">
        <v>1822</v>
      </c>
      <c r="Z3653" s="55" t="s">
        <v>1349</v>
      </c>
      <c r="AA3653" s="90" t="s">
        <v>1677</v>
      </c>
      <c r="AE3653" s="90">
        <v>82</v>
      </c>
      <c r="AF3653" s="90">
        <v>6</v>
      </c>
      <c r="AH3653" s="55" t="s">
        <v>174</v>
      </c>
      <c r="AI3653" s="168">
        <v>4.51</v>
      </c>
      <c r="AJ3653" s="90">
        <v>0.42</v>
      </c>
      <c r="AM3653" s="55" t="s">
        <v>3290</v>
      </c>
      <c r="AN3653" s="185" t="s">
        <v>3298</v>
      </c>
      <c r="AO3653" s="185" t="s">
        <v>5150</v>
      </c>
      <c r="AQ3653" s="55" t="s">
        <v>553</v>
      </c>
      <c r="AR3653" s="55" t="s">
        <v>1607</v>
      </c>
      <c r="AS3653" s="55" t="s">
        <v>132</v>
      </c>
      <c r="AU3653" s="181" t="s">
        <v>7494</v>
      </c>
      <c r="AV3653" s="185" t="s">
        <v>176</v>
      </c>
      <c r="AX3653" s="185" t="s">
        <v>176</v>
      </c>
      <c r="BK3653" s="55" t="s">
        <v>6333</v>
      </c>
      <c r="BM3653" s="192" t="s">
        <v>3293</v>
      </c>
      <c r="BN3653" s="55">
        <v>4</v>
      </c>
      <c r="BO3653" s="55">
        <v>4</v>
      </c>
      <c r="BQ3653" s="55" t="s">
        <v>141</v>
      </c>
      <c r="CB3653" s="66">
        <v>300</v>
      </c>
      <c r="CC3653" s="66">
        <v>600</v>
      </c>
      <c r="GP3653" s="292" t="s">
        <v>7494</v>
      </c>
      <c r="GY3653" s="65">
        <v>3.3</v>
      </c>
      <c r="GZ3653" s="65">
        <v>1.2</v>
      </c>
      <c r="HC3653" s="65" t="s">
        <v>3304</v>
      </c>
    </row>
    <row r="3654" spans="1:211" x14ac:dyDescent="0.25">
      <c r="A3654" s="55">
        <v>3653</v>
      </c>
      <c r="B3654" s="12" t="s">
        <v>7067</v>
      </c>
      <c r="C3654" s="155">
        <v>168</v>
      </c>
      <c r="D3654" s="55" t="s">
        <v>3300</v>
      </c>
      <c r="E3654" s="90" t="s">
        <v>3240</v>
      </c>
      <c r="G3654" s="55" t="s">
        <v>3275</v>
      </c>
      <c r="H3654" s="55">
        <v>2005</v>
      </c>
      <c r="I3654" s="55">
        <v>2002</v>
      </c>
      <c r="J3654" s="55" t="s">
        <v>3284</v>
      </c>
      <c r="K3654" s="55" t="s">
        <v>2689</v>
      </c>
      <c r="L3654" s="55" t="s">
        <v>2750</v>
      </c>
      <c r="M3654" s="90">
        <v>-14.25</v>
      </c>
      <c r="N3654" s="90">
        <v>32</v>
      </c>
      <c r="O3654" s="90">
        <v>988</v>
      </c>
      <c r="S3654" s="90">
        <v>850</v>
      </c>
      <c r="U3654" s="55" t="s">
        <v>1805</v>
      </c>
      <c r="V3654" s="55" t="s">
        <v>1688</v>
      </c>
      <c r="Y3654" s="55" t="s">
        <v>1822</v>
      </c>
      <c r="Z3654" s="55" t="s">
        <v>1349</v>
      </c>
      <c r="AA3654" s="90" t="s">
        <v>1677</v>
      </c>
      <c r="AE3654" s="90">
        <v>82</v>
      </c>
      <c r="AF3654" s="90">
        <v>6</v>
      </c>
      <c r="AH3654" s="55" t="s">
        <v>174</v>
      </c>
      <c r="AI3654" s="168">
        <v>4.51</v>
      </c>
      <c r="AJ3654" s="90">
        <v>0.42</v>
      </c>
      <c r="AM3654" s="55" t="s">
        <v>3290</v>
      </c>
      <c r="AN3654" s="185" t="s">
        <v>3299</v>
      </c>
      <c r="AO3654" s="185" t="s">
        <v>5150</v>
      </c>
      <c r="AQ3654" s="55" t="s">
        <v>553</v>
      </c>
      <c r="AR3654" s="55" t="s">
        <v>1607</v>
      </c>
      <c r="AS3654" s="55" t="s">
        <v>132</v>
      </c>
      <c r="AU3654" s="181" t="s">
        <v>7494</v>
      </c>
      <c r="AV3654" s="185" t="s">
        <v>176</v>
      </c>
      <c r="AX3654" s="185" t="s">
        <v>176</v>
      </c>
      <c r="BK3654" s="55" t="s">
        <v>6333</v>
      </c>
      <c r="BM3654" s="192" t="s">
        <v>3293</v>
      </c>
      <c r="BN3654" s="55">
        <v>4</v>
      </c>
      <c r="BO3654" s="55">
        <v>4</v>
      </c>
      <c r="BQ3654" s="55" t="s">
        <v>141</v>
      </c>
      <c r="CB3654" s="66">
        <v>300</v>
      </c>
      <c r="CC3654" s="66">
        <v>600</v>
      </c>
      <c r="GP3654" s="292" t="s">
        <v>7494</v>
      </c>
      <c r="GY3654" s="65">
        <v>3.3</v>
      </c>
      <c r="GZ3654" s="65">
        <v>1.5</v>
      </c>
      <c r="HC3654" s="65" t="s">
        <v>3304</v>
      </c>
    </row>
    <row r="3655" spans="1:211" x14ac:dyDescent="0.25">
      <c r="A3655" s="55">
        <v>3654</v>
      </c>
      <c r="B3655" s="12" t="s">
        <v>7067</v>
      </c>
      <c r="C3655" s="155">
        <v>168</v>
      </c>
      <c r="D3655" s="55" t="s">
        <v>3301</v>
      </c>
      <c r="E3655" s="90" t="s">
        <v>3240</v>
      </c>
      <c r="G3655" s="55" t="s">
        <v>3275</v>
      </c>
      <c r="H3655" s="55">
        <v>2005</v>
      </c>
      <c r="I3655" s="55">
        <v>2002</v>
      </c>
      <c r="J3655" s="55" t="s">
        <v>3284</v>
      </c>
      <c r="K3655" s="55" t="s">
        <v>3285</v>
      </c>
      <c r="L3655" s="55" t="s">
        <v>2750</v>
      </c>
      <c r="M3655" s="90">
        <v>-13.13</v>
      </c>
      <c r="N3655" s="90">
        <v>27.85</v>
      </c>
      <c r="O3655" s="90">
        <v>1204.5</v>
      </c>
      <c r="S3655" s="90">
        <v>850</v>
      </c>
      <c r="U3655" s="55" t="s">
        <v>1805</v>
      </c>
      <c r="V3655" s="55" t="s">
        <v>1688</v>
      </c>
      <c r="Y3655" s="55" t="s">
        <v>1822</v>
      </c>
      <c r="Z3655" s="55" t="s">
        <v>1349</v>
      </c>
      <c r="AA3655" s="90" t="s">
        <v>1677</v>
      </c>
      <c r="AE3655" s="90">
        <v>64</v>
      </c>
      <c r="AF3655" s="90">
        <v>14</v>
      </c>
      <c r="AH3655" s="55" t="s">
        <v>238</v>
      </c>
      <c r="AI3655" s="168">
        <v>5.08</v>
      </c>
      <c r="AJ3655" s="90">
        <v>0.44</v>
      </c>
      <c r="AN3655" s="185" t="s">
        <v>3294</v>
      </c>
      <c r="AO3655" s="185" t="s">
        <v>5150</v>
      </c>
      <c r="AQ3655" s="55" t="s">
        <v>553</v>
      </c>
      <c r="AR3655" s="55" t="s">
        <v>1607</v>
      </c>
      <c r="AS3655" s="55" t="s">
        <v>132</v>
      </c>
      <c r="AU3655" s="181" t="s">
        <v>7494</v>
      </c>
      <c r="AV3655" s="185" t="s">
        <v>176</v>
      </c>
      <c r="AX3655" s="185" t="s">
        <v>176</v>
      </c>
      <c r="BK3655" s="55" t="s">
        <v>6333</v>
      </c>
      <c r="BM3655" s="192" t="s">
        <v>3292</v>
      </c>
      <c r="BN3655" s="55">
        <v>4</v>
      </c>
      <c r="BO3655" s="55">
        <v>4</v>
      </c>
      <c r="BQ3655" s="55" t="s">
        <v>141</v>
      </c>
      <c r="CB3655" s="66">
        <v>2100</v>
      </c>
      <c r="CC3655" s="66">
        <v>2800</v>
      </c>
      <c r="GP3655" s="292" t="s">
        <v>7494</v>
      </c>
      <c r="GY3655" s="65">
        <v>7.7</v>
      </c>
      <c r="GZ3655" s="65">
        <v>26.2</v>
      </c>
      <c r="HC3655" s="65" t="s">
        <v>3304</v>
      </c>
    </row>
    <row r="3656" spans="1:211" x14ac:dyDescent="0.25">
      <c r="A3656" s="55">
        <v>3655</v>
      </c>
      <c r="B3656" s="12" t="s">
        <v>7067</v>
      </c>
      <c r="C3656" s="155">
        <v>168</v>
      </c>
      <c r="D3656" s="55" t="s">
        <v>3301</v>
      </c>
      <c r="E3656" s="90" t="s">
        <v>3240</v>
      </c>
      <c r="G3656" s="55" t="s">
        <v>3275</v>
      </c>
      <c r="H3656" s="55">
        <v>2005</v>
      </c>
      <c r="I3656" s="55">
        <v>2002</v>
      </c>
      <c r="J3656" s="55" t="s">
        <v>3284</v>
      </c>
      <c r="K3656" s="55" t="s">
        <v>3285</v>
      </c>
      <c r="L3656" s="55" t="s">
        <v>2750</v>
      </c>
      <c r="M3656" s="90">
        <v>-13.13</v>
      </c>
      <c r="N3656" s="90">
        <v>27.85</v>
      </c>
      <c r="O3656" s="90">
        <v>1204.5</v>
      </c>
      <c r="S3656" s="90">
        <v>850</v>
      </c>
      <c r="U3656" s="55" t="s">
        <v>1805</v>
      </c>
      <c r="V3656" s="55" t="s">
        <v>1688</v>
      </c>
      <c r="Y3656" s="55" t="s">
        <v>1822</v>
      </c>
      <c r="Z3656" s="55" t="s">
        <v>1349</v>
      </c>
      <c r="AA3656" s="90" t="s">
        <v>1677</v>
      </c>
      <c r="AE3656" s="90">
        <v>64</v>
      </c>
      <c r="AF3656" s="90">
        <v>14</v>
      </c>
      <c r="AH3656" s="55" t="s">
        <v>238</v>
      </c>
      <c r="AI3656" s="168">
        <v>5.08</v>
      </c>
      <c r="AJ3656" s="90">
        <v>0.44</v>
      </c>
      <c r="AN3656" s="185" t="s">
        <v>2838</v>
      </c>
      <c r="AO3656" s="185" t="s">
        <v>5150</v>
      </c>
      <c r="AQ3656" s="55" t="s">
        <v>553</v>
      </c>
      <c r="AR3656" s="55" t="s">
        <v>1607</v>
      </c>
      <c r="AS3656" s="55" t="s">
        <v>132</v>
      </c>
      <c r="AU3656" s="181" t="s">
        <v>7494</v>
      </c>
      <c r="AV3656" s="185" t="s">
        <v>176</v>
      </c>
      <c r="AX3656" s="185" t="s">
        <v>176</v>
      </c>
      <c r="BK3656" s="55" t="s">
        <v>6333</v>
      </c>
      <c r="BM3656" s="192" t="s">
        <v>3292</v>
      </c>
      <c r="BN3656" s="55">
        <v>4</v>
      </c>
      <c r="BO3656" s="55">
        <v>4</v>
      </c>
      <c r="BQ3656" s="55" t="s">
        <v>141</v>
      </c>
      <c r="CB3656" s="66">
        <v>2100</v>
      </c>
      <c r="CC3656" s="66">
        <v>4700</v>
      </c>
      <c r="GP3656" s="292" t="s">
        <v>7494</v>
      </c>
      <c r="GY3656" s="65">
        <v>7.7</v>
      </c>
      <c r="GZ3656" s="65">
        <v>11.5</v>
      </c>
      <c r="HC3656" s="65" t="s">
        <v>3304</v>
      </c>
    </row>
    <row r="3657" spans="1:211" x14ac:dyDescent="0.25">
      <c r="A3657" s="55">
        <v>3656</v>
      </c>
      <c r="B3657" s="12" t="s">
        <v>7067</v>
      </c>
      <c r="C3657" s="155">
        <v>168</v>
      </c>
      <c r="D3657" s="55" t="s">
        <v>3301</v>
      </c>
      <c r="E3657" s="90" t="s">
        <v>3240</v>
      </c>
      <c r="G3657" s="55" t="s">
        <v>3275</v>
      </c>
      <c r="H3657" s="55">
        <v>2005</v>
      </c>
      <c r="I3657" s="55">
        <v>2002</v>
      </c>
      <c r="J3657" s="55" t="s">
        <v>3284</v>
      </c>
      <c r="K3657" s="55" t="s">
        <v>3285</v>
      </c>
      <c r="L3657" s="55" t="s">
        <v>2750</v>
      </c>
      <c r="M3657" s="90">
        <v>-13.13</v>
      </c>
      <c r="N3657" s="90">
        <v>27.85</v>
      </c>
      <c r="O3657" s="90">
        <v>1204.5</v>
      </c>
      <c r="S3657" s="90">
        <v>850</v>
      </c>
      <c r="U3657" s="55" t="s">
        <v>1805</v>
      </c>
      <c r="V3657" s="55" t="s">
        <v>1688</v>
      </c>
      <c r="Y3657" s="55" t="s">
        <v>1822</v>
      </c>
      <c r="Z3657" s="55" t="s">
        <v>1349</v>
      </c>
      <c r="AA3657" s="90" t="s">
        <v>1677</v>
      </c>
      <c r="AE3657" s="90">
        <v>64</v>
      </c>
      <c r="AF3657" s="90">
        <v>14</v>
      </c>
      <c r="AH3657" s="55" t="s">
        <v>238</v>
      </c>
      <c r="AI3657" s="168">
        <v>5.08</v>
      </c>
      <c r="AJ3657" s="90">
        <v>0.44</v>
      </c>
      <c r="AN3657" s="185" t="s">
        <v>3084</v>
      </c>
      <c r="AO3657" s="185" t="s">
        <v>5150</v>
      </c>
      <c r="AQ3657" s="55" t="s">
        <v>553</v>
      </c>
      <c r="AR3657" s="55" t="s">
        <v>1607</v>
      </c>
      <c r="AS3657" s="55" t="s">
        <v>132</v>
      </c>
      <c r="AU3657" s="181" t="s">
        <v>7494</v>
      </c>
      <c r="AV3657" s="185" t="s">
        <v>176</v>
      </c>
      <c r="AX3657" s="185" t="s">
        <v>176</v>
      </c>
      <c r="BK3657" s="55" t="s">
        <v>6333</v>
      </c>
      <c r="BM3657" s="192" t="s">
        <v>3292</v>
      </c>
      <c r="BN3657" s="55">
        <v>4</v>
      </c>
      <c r="BO3657" s="55">
        <v>4</v>
      </c>
      <c r="BQ3657" s="55" t="s">
        <v>141</v>
      </c>
      <c r="CB3657" s="66">
        <v>2100</v>
      </c>
      <c r="CC3657" s="66">
        <v>3200</v>
      </c>
      <c r="GP3657" s="292" t="s">
        <v>7494</v>
      </c>
      <c r="GY3657" s="65">
        <v>7.7</v>
      </c>
      <c r="GZ3657" s="65">
        <v>10.8</v>
      </c>
      <c r="HC3657" s="65" t="s">
        <v>3304</v>
      </c>
    </row>
    <row r="3658" spans="1:211" x14ac:dyDescent="0.25">
      <c r="A3658" s="55">
        <v>3657</v>
      </c>
      <c r="B3658" s="12" t="s">
        <v>7067</v>
      </c>
      <c r="C3658" s="155">
        <v>168</v>
      </c>
      <c r="D3658" s="55" t="s">
        <v>3301</v>
      </c>
      <c r="E3658" s="90" t="s">
        <v>3240</v>
      </c>
      <c r="G3658" s="55" t="s">
        <v>3275</v>
      </c>
      <c r="H3658" s="55">
        <v>2005</v>
      </c>
      <c r="I3658" s="55">
        <v>2002</v>
      </c>
      <c r="J3658" s="55" t="s">
        <v>3284</v>
      </c>
      <c r="K3658" s="55" t="s">
        <v>3285</v>
      </c>
      <c r="L3658" s="55" t="s">
        <v>2750</v>
      </c>
      <c r="M3658" s="90">
        <v>-13.13</v>
      </c>
      <c r="N3658" s="90">
        <v>27.85</v>
      </c>
      <c r="O3658" s="90">
        <v>1204.5</v>
      </c>
      <c r="S3658" s="90">
        <v>850</v>
      </c>
      <c r="U3658" s="55" t="s">
        <v>1805</v>
      </c>
      <c r="V3658" s="55" t="s">
        <v>1688</v>
      </c>
      <c r="Y3658" s="55" t="s">
        <v>1822</v>
      </c>
      <c r="Z3658" s="55" t="s">
        <v>1349</v>
      </c>
      <c r="AA3658" s="90" t="s">
        <v>1677</v>
      </c>
      <c r="AE3658" s="90">
        <v>64</v>
      </c>
      <c r="AF3658" s="90">
        <v>14</v>
      </c>
      <c r="AH3658" s="55" t="s">
        <v>238</v>
      </c>
      <c r="AI3658" s="168">
        <v>5.08</v>
      </c>
      <c r="AJ3658" s="90">
        <v>0.44</v>
      </c>
      <c r="AN3658" s="185" t="s">
        <v>3295</v>
      </c>
      <c r="AO3658" s="185" t="s">
        <v>5150</v>
      </c>
      <c r="AQ3658" s="55" t="s">
        <v>553</v>
      </c>
      <c r="AR3658" s="55" t="s">
        <v>1607</v>
      </c>
      <c r="AS3658" s="55" t="s">
        <v>132</v>
      </c>
      <c r="AU3658" s="181" t="s">
        <v>7494</v>
      </c>
      <c r="AV3658" s="185" t="s">
        <v>176</v>
      </c>
      <c r="AX3658" s="185" t="s">
        <v>176</v>
      </c>
      <c r="BK3658" s="55" t="s">
        <v>6333</v>
      </c>
      <c r="BM3658" s="192" t="s">
        <v>3292</v>
      </c>
      <c r="BN3658" s="55">
        <v>4</v>
      </c>
      <c r="BO3658" s="55">
        <v>4</v>
      </c>
      <c r="BQ3658" s="55" t="s">
        <v>141</v>
      </c>
      <c r="CB3658" s="66">
        <v>2100</v>
      </c>
      <c r="CC3658" s="66">
        <v>3000</v>
      </c>
      <c r="GP3658" s="292" t="s">
        <v>7494</v>
      </c>
      <c r="GY3658" s="65">
        <v>7.7</v>
      </c>
      <c r="GZ3658" s="65">
        <v>6.8</v>
      </c>
      <c r="HC3658" s="65" t="s">
        <v>3304</v>
      </c>
    </row>
    <row r="3659" spans="1:211" x14ac:dyDescent="0.25">
      <c r="A3659" s="55">
        <v>3658</v>
      </c>
      <c r="B3659" s="12" t="s">
        <v>7067</v>
      </c>
      <c r="C3659" s="155">
        <v>168</v>
      </c>
      <c r="D3659" s="55" t="s">
        <v>3301</v>
      </c>
      <c r="E3659" s="90" t="s">
        <v>3240</v>
      </c>
      <c r="G3659" s="55" t="s">
        <v>3275</v>
      </c>
      <c r="H3659" s="55">
        <v>2005</v>
      </c>
      <c r="I3659" s="55">
        <v>2002</v>
      </c>
      <c r="J3659" s="55" t="s">
        <v>3284</v>
      </c>
      <c r="K3659" s="55" t="s">
        <v>3285</v>
      </c>
      <c r="L3659" s="55" t="s">
        <v>2750</v>
      </c>
      <c r="M3659" s="90">
        <v>-13.13</v>
      </c>
      <c r="N3659" s="90">
        <v>27.85</v>
      </c>
      <c r="O3659" s="90">
        <v>1204.5</v>
      </c>
      <c r="S3659" s="90">
        <v>850</v>
      </c>
      <c r="U3659" s="55" t="s">
        <v>1805</v>
      </c>
      <c r="V3659" s="55" t="s">
        <v>1688</v>
      </c>
      <c r="Y3659" s="55" t="s">
        <v>1822</v>
      </c>
      <c r="Z3659" s="55" t="s">
        <v>1349</v>
      </c>
      <c r="AA3659" s="90" t="s">
        <v>1677</v>
      </c>
      <c r="AE3659" s="90">
        <v>64</v>
      </c>
      <c r="AF3659" s="90">
        <v>14</v>
      </c>
      <c r="AH3659" s="55" t="s">
        <v>238</v>
      </c>
      <c r="AI3659" s="168">
        <v>5.08</v>
      </c>
      <c r="AJ3659" s="90">
        <v>0.44</v>
      </c>
      <c r="AN3659" s="185" t="s">
        <v>3296</v>
      </c>
      <c r="AO3659" s="185" t="s">
        <v>5150</v>
      </c>
      <c r="AQ3659" s="55" t="s">
        <v>553</v>
      </c>
      <c r="AR3659" s="55" t="s">
        <v>1607</v>
      </c>
      <c r="AS3659" s="55" t="s">
        <v>132</v>
      </c>
      <c r="AU3659" s="181" t="s">
        <v>7494</v>
      </c>
      <c r="AV3659" s="185" t="s">
        <v>176</v>
      </c>
      <c r="AX3659" s="185" t="s">
        <v>176</v>
      </c>
      <c r="BK3659" s="55" t="s">
        <v>6333</v>
      </c>
      <c r="BM3659" s="192" t="s">
        <v>3292</v>
      </c>
      <c r="BN3659" s="55">
        <v>4</v>
      </c>
      <c r="BO3659" s="55">
        <v>4</v>
      </c>
      <c r="BQ3659" s="55" t="s">
        <v>141</v>
      </c>
      <c r="CB3659" s="66">
        <v>2100</v>
      </c>
      <c r="CC3659" s="66">
        <v>3500</v>
      </c>
      <c r="GP3659" s="292" t="s">
        <v>7494</v>
      </c>
      <c r="GY3659" s="65">
        <v>7.7</v>
      </c>
      <c r="GZ3659" s="65">
        <v>9</v>
      </c>
      <c r="HC3659" s="65" t="s">
        <v>3304</v>
      </c>
    </row>
    <row r="3660" spans="1:211" x14ac:dyDescent="0.25">
      <c r="A3660" s="55">
        <v>3659</v>
      </c>
      <c r="B3660" s="12" t="s">
        <v>7067</v>
      </c>
      <c r="C3660" s="155">
        <v>168</v>
      </c>
      <c r="D3660" s="55" t="s">
        <v>3301</v>
      </c>
      <c r="E3660" s="90" t="s">
        <v>3240</v>
      </c>
      <c r="G3660" s="55" t="s">
        <v>3275</v>
      </c>
      <c r="H3660" s="55">
        <v>2005</v>
      </c>
      <c r="I3660" s="55">
        <v>2002</v>
      </c>
      <c r="J3660" s="55" t="s">
        <v>3284</v>
      </c>
      <c r="K3660" s="55" t="s">
        <v>3285</v>
      </c>
      <c r="L3660" s="55" t="s">
        <v>2750</v>
      </c>
      <c r="M3660" s="90">
        <v>-13.13</v>
      </c>
      <c r="N3660" s="90">
        <v>27.85</v>
      </c>
      <c r="O3660" s="90">
        <v>1204.5</v>
      </c>
      <c r="S3660" s="90">
        <v>850</v>
      </c>
      <c r="U3660" s="55" t="s">
        <v>1805</v>
      </c>
      <c r="V3660" s="55" t="s">
        <v>1688</v>
      </c>
      <c r="Y3660" s="55" t="s">
        <v>1822</v>
      </c>
      <c r="Z3660" s="55" t="s">
        <v>1349</v>
      </c>
      <c r="AA3660" s="90" t="s">
        <v>1677</v>
      </c>
      <c r="AE3660" s="90">
        <v>64</v>
      </c>
      <c r="AF3660" s="90">
        <v>14</v>
      </c>
      <c r="AH3660" s="55" t="s">
        <v>238</v>
      </c>
      <c r="AI3660" s="168">
        <v>5.08</v>
      </c>
      <c r="AJ3660" s="90">
        <v>0.44</v>
      </c>
      <c r="AN3660" s="185" t="s">
        <v>3297</v>
      </c>
      <c r="AO3660" s="185" t="s">
        <v>5150</v>
      </c>
      <c r="AQ3660" s="55" t="s">
        <v>553</v>
      </c>
      <c r="AR3660" s="55" t="s">
        <v>1607</v>
      </c>
      <c r="AS3660" s="55" t="s">
        <v>132</v>
      </c>
      <c r="AU3660" s="181" t="s">
        <v>7494</v>
      </c>
      <c r="AV3660" s="185" t="s">
        <v>176</v>
      </c>
      <c r="AX3660" s="185" t="s">
        <v>176</v>
      </c>
      <c r="BK3660" s="55" t="s">
        <v>6333</v>
      </c>
      <c r="BM3660" s="192" t="s">
        <v>3292</v>
      </c>
      <c r="BN3660" s="55">
        <v>4</v>
      </c>
      <c r="BO3660" s="55">
        <v>4</v>
      </c>
      <c r="BQ3660" s="55" t="s">
        <v>141</v>
      </c>
      <c r="CB3660" s="66">
        <v>2100</v>
      </c>
      <c r="CC3660" s="66">
        <v>3600</v>
      </c>
      <c r="GP3660" s="292" t="s">
        <v>7494</v>
      </c>
      <c r="GY3660" s="65">
        <v>7.7</v>
      </c>
      <c r="GZ3660" s="65">
        <v>12</v>
      </c>
      <c r="HC3660" s="65" t="s">
        <v>3304</v>
      </c>
    </row>
    <row r="3661" spans="1:211" x14ac:dyDescent="0.25">
      <c r="A3661" s="55">
        <v>3660</v>
      </c>
      <c r="B3661" s="12" t="s">
        <v>7067</v>
      </c>
      <c r="C3661" s="155">
        <v>168</v>
      </c>
      <c r="D3661" s="55" t="s">
        <v>3301</v>
      </c>
      <c r="E3661" s="90" t="s">
        <v>3240</v>
      </c>
      <c r="G3661" s="55" t="s">
        <v>3275</v>
      </c>
      <c r="H3661" s="55">
        <v>2005</v>
      </c>
      <c r="I3661" s="55">
        <v>2002</v>
      </c>
      <c r="J3661" s="55" t="s">
        <v>3284</v>
      </c>
      <c r="K3661" s="55" t="s">
        <v>3285</v>
      </c>
      <c r="L3661" s="55" t="s">
        <v>2750</v>
      </c>
      <c r="M3661" s="90">
        <v>-13.13</v>
      </c>
      <c r="N3661" s="90">
        <v>27.85</v>
      </c>
      <c r="O3661" s="90">
        <v>1204.5</v>
      </c>
      <c r="S3661" s="90">
        <v>850</v>
      </c>
      <c r="U3661" s="55" t="s">
        <v>1805</v>
      </c>
      <c r="V3661" s="55" t="s">
        <v>1688</v>
      </c>
      <c r="Y3661" s="55" t="s">
        <v>1822</v>
      </c>
      <c r="Z3661" s="55" t="s">
        <v>1349</v>
      </c>
      <c r="AA3661" s="90" t="s">
        <v>1677</v>
      </c>
      <c r="AE3661" s="90">
        <v>64</v>
      </c>
      <c r="AF3661" s="90">
        <v>14</v>
      </c>
      <c r="AH3661" s="55" t="s">
        <v>238</v>
      </c>
      <c r="AI3661" s="168">
        <v>5.08</v>
      </c>
      <c r="AJ3661" s="90">
        <v>0.44</v>
      </c>
      <c r="AN3661" s="185" t="s">
        <v>3298</v>
      </c>
      <c r="AO3661" s="185" t="s">
        <v>5150</v>
      </c>
      <c r="AQ3661" s="55" t="s">
        <v>553</v>
      </c>
      <c r="AR3661" s="55" t="s">
        <v>1607</v>
      </c>
      <c r="AS3661" s="55" t="s">
        <v>132</v>
      </c>
      <c r="AU3661" s="181" t="s">
        <v>7494</v>
      </c>
      <c r="AV3661" s="185" t="s">
        <v>176</v>
      </c>
      <c r="AX3661" s="185" t="s">
        <v>176</v>
      </c>
      <c r="BK3661" s="55" t="s">
        <v>6333</v>
      </c>
      <c r="BM3661" s="192" t="s">
        <v>3292</v>
      </c>
      <c r="BN3661" s="55">
        <v>4</v>
      </c>
      <c r="BO3661" s="55">
        <v>4</v>
      </c>
      <c r="BQ3661" s="55" t="s">
        <v>141</v>
      </c>
      <c r="CB3661" s="66">
        <v>2100</v>
      </c>
      <c r="CC3661" s="66">
        <v>3600</v>
      </c>
      <c r="GP3661" s="292" t="s">
        <v>7494</v>
      </c>
      <c r="GY3661" s="65">
        <v>7.7</v>
      </c>
      <c r="GZ3661" s="65">
        <v>8.3000000000000007</v>
      </c>
      <c r="HC3661" s="65" t="s">
        <v>3304</v>
      </c>
    </row>
    <row r="3662" spans="1:211" x14ac:dyDescent="0.25">
      <c r="A3662" s="55">
        <v>3661</v>
      </c>
      <c r="B3662" s="12" t="s">
        <v>7067</v>
      </c>
      <c r="C3662" s="155">
        <v>168</v>
      </c>
      <c r="D3662" s="55" t="s">
        <v>3301</v>
      </c>
      <c r="E3662" s="90" t="s">
        <v>3240</v>
      </c>
      <c r="G3662" s="55" t="s">
        <v>3275</v>
      </c>
      <c r="H3662" s="55">
        <v>2005</v>
      </c>
      <c r="I3662" s="55">
        <v>2002</v>
      </c>
      <c r="J3662" s="55" t="s">
        <v>3284</v>
      </c>
      <c r="K3662" s="55" t="s">
        <v>3285</v>
      </c>
      <c r="L3662" s="55" t="s">
        <v>2750</v>
      </c>
      <c r="M3662" s="90">
        <v>-13.13</v>
      </c>
      <c r="N3662" s="90">
        <v>27.85</v>
      </c>
      <c r="O3662" s="90">
        <v>1204.5</v>
      </c>
      <c r="S3662" s="90">
        <v>850</v>
      </c>
      <c r="U3662" s="55" t="s">
        <v>1805</v>
      </c>
      <c r="V3662" s="55" t="s">
        <v>1688</v>
      </c>
      <c r="Y3662" s="55" t="s">
        <v>1822</v>
      </c>
      <c r="Z3662" s="55" t="s">
        <v>1349</v>
      </c>
      <c r="AA3662" s="90" t="s">
        <v>1677</v>
      </c>
      <c r="AE3662" s="90">
        <v>64</v>
      </c>
      <c r="AF3662" s="90">
        <v>14</v>
      </c>
      <c r="AH3662" s="55" t="s">
        <v>238</v>
      </c>
      <c r="AI3662" s="168">
        <v>5.08</v>
      </c>
      <c r="AJ3662" s="90">
        <v>0.44</v>
      </c>
      <c r="AN3662" s="185" t="s">
        <v>3299</v>
      </c>
      <c r="AO3662" s="185" t="s">
        <v>5150</v>
      </c>
      <c r="AQ3662" s="55" t="s">
        <v>553</v>
      </c>
      <c r="AR3662" s="55" t="s">
        <v>1607</v>
      </c>
      <c r="AS3662" s="55" t="s">
        <v>132</v>
      </c>
      <c r="AU3662" s="181" t="s">
        <v>7494</v>
      </c>
      <c r="AV3662" s="185" t="s">
        <v>176</v>
      </c>
      <c r="AX3662" s="185" t="s">
        <v>176</v>
      </c>
      <c r="BK3662" s="55" t="s">
        <v>6333</v>
      </c>
      <c r="BM3662" s="192" t="s">
        <v>3292</v>
      </c>
      <c r="BN3662" s="55">
        <v>4</v>
      </c>
      <c r="BO3662" s="55">
        <v>4</v>
      </c>
      <c r="BQ3662" s="55" t="s">
        <v>141</v>
      </c>
      <c r="CB3662" s="66">
        <v>2100</v>
      </c>
      <c r="CC3662" s="66">
        <v>3500</v>
      </c>
      <c r="GP3662" s="292" t="s">
        <v>7494</v>
      </c>
      <c r="GY3662" s="65">
        <v>7.7</v>
      </c>
      <c r="GZ3662" s="65">
        <v>3.9</v>
      </c>
      <c r="HC3662" s="65" t="s">
        <v>3304</v>
      </c>
    </row>
    <row r="3663" spans="1:211" x14ac:dyDescent="0.25">
      <c r="A3663" s="55">
        <v>3662</v>
      </c>
      <c r="B3663" s="12" t="s">
        <v>7067</v>
      </c>
      <c r="C3663" s="155">
        <v>168</v>
      </c>
      <c r="D3663" s="55" t="s">
        <v>3301</v>
      </c>
      <c r="E3663" s="90" t="s">
        <v>3240</v>
      </c>
      <c r="G3663" s="55" t="s">
        <v>3275</v>
      </c>
      <c r="H3663" s="55">
        <v>2005</v>
      </c>
      <c r="I3663" s="55">
        <v>2002</v>
      </c>
      <c r="J3663" s="55" t="s">
        <v>3284</v>
      </c>
      <c r="K3663" s="55" t="s">
        <v>3285</v>
      </c>
      <c r="L3663" s="55" t="s">
        <v>2750</v>
      </c>
      <c r="M3663" s="90">
        <v>-13.13</v>
      </c>
      <c r="N3663" s="90">
        <v>27.85</v>
      </c>
      <c r="O3663" s="90">
        <v>1204.5</v>
      </c>
      <c r="S3663" s="90">
        <v>850</v>
      </c>
      <c r="U3663" s="55" t="s">
        <v>1805</v>
      </c>
      <c r="V3663" s="55" t="s">
        <v>1688</v>
      </c>
      <c r="Y3663" s="55" t="s">
        <v>1822</v>
      </c>
      <c r="Z3663" s="55" t="s">
        <v>1349</v>
      </c>
      <c r="AA3663" s="90" t="s">
        <v>1677</v>
      </c>
      <c r="AE3663" s="90">
        <v>64</v>
      </c>
      <c r="AF3663" s="90">
        <v>14</v>
      </c>
      <c r="AH3663" s="55" t="s">
        <v>238</v>
      </c>
      <c r="AI3663" s="168">
        <v>5.08</v>
      </c>
      <c r="AJ3663" s="90">
        <v>0.44</v>
      </c>
      <c r="AN3663" s="185" t="s">
        <v>3294</v>
      </c>
      <c r="AO3663" s="185" t="s">
        <v>5150</v>
      </c>
      <c r="AQ3663" s="55" t="s">
        <v>553</v>
      </c>
      <c r="AR3663" s="55" t="s">
        <v>1607</v>
      </c>
      <c r="AS3663" s="55" t="s">
        <v>132</v>
      </c>
      <c r="AU3663" s="181" t="s">
        <v>7494</v>
      </c>
      <c r="AV3663" s="185" t="s">
        <v>176</v>
      </c>
      <c r="AX3663" s="185" t="s">
        <v>176</v>
      </c>
      <c r="BK3663" s="55" t="s">
        <v>6333</v>
      </c>
      <c r="BM3663" s="192" t="s">
        <v>3293</v>
      </c>
      <c r="BN3663" s="55">
        <v>4</v>
      </c>
      <c r="BO3663" s="55">
        <v>4</v>
      </c>
      <c r="BQ3663" s="55" t="s">
        <v>141</v>
      </c>
      <c r="CB3663" s="66">
        <v>1500</v>
      </c>
      <c r="CC3663" s="66">
        <v>2800</v>
      </c>
      <c r="GP3663" s="292" t="s">
        <v>7494</v>
      </c>
      <c r="GY3663" s="65">
        <v>12.9</v>
      </c>
      <c r="GZ3663" s="65">
        <v>26.2</v>
      </c>
      <c r="HC3663" s="65" t="s">
        <v>3304</v>
      </c>
    </row>
    <row r="3664" spans="1:211" x14ac:dyDescent="0.25">
      <c r="A3664" s="55">
        <v>3663</v>
      </c>
      <c r="B3664" s="12" t="s">
        <v>7067</v>
      </c>
      <c r="C3664" s="155">
        <v>168</v>
      </c>
      <c r="D3664" s="55" t="s">
        <v>3301</v>
      </c>
      <c r="E3664" s="90" t="s">
        <v>3240</v>
      </c>
      <c r="G3664" s="55" t="s">
        <v>3275</v>
      </c>
      <c r="H3664" s="55">
        <v>2005</v>
      </c>
      <c r="I3664" s="55">
        <v>2002</v>
      </c>
      <c r="J3664" s="55" t="s">
        <v>3284</v>
      </c>
      <c r="K3664" s="55" t="s">
        <v>3285</v>
      </c>
      <c r="L3664" s="55" t="s">
        <v>2750</v>
      </c>
      <c r="M3664" s="90">
        <v>-13.13</v>
      </c>
      <c r="N3664" s="90">
        <v>27.85</v>
      </c>
      <c r="O3664" s="90">
        <v>1204.5</v>
      </c>
      <c r="S3664" s="90">
        <v>850</v>
      </c>
      <c r="U3664" s="55" t="s">
        <v>1805</v>
      </c>
      <c r="V3664" s="55" t="s">
        <v>1688</v>
      </c>
      <c r="Y3664" s="55" t="s">
        <v>1822</v>
      </c>
      <c r="Z3664" s="55" t="s">
        <v>1349</v>
      </c>
      <c r="AA3664" s="90" t="s">
        <v>1677</v>
      </c>
      <c r="AE3664" s="90">
        <v>64</v>
      </c>
      <c r="AF3664" s="90">
        <v>14</v>
      </c>
      <c r="AH3664" s="55" t="s">
        <v>238</v>
      </c>
      <c r="AI3664" s="168">
        <v>5.08</v>
      </c>
      <c r="AJ3664" s="90">
        <v>0.44</v>
      </c>
      <c r="AN3664" s="185" t="s">
        <v>2838</v>
      </c>
      <c r="AO3664" s="185" t="s">
        <v>5150</v>
      </c>
      <c r="AQ3664" s="55" t="s">
        <v>553</v>
      </c>
      <c r="AR3664" s="55" t="s">
        <v>1607</v>
      </c>
      <c r="AS3664" s="55" t="s">
        <v>132</v>
      </c>
      <c r="AU3664" s="181" t="s">
        <v>7494</v>
      </c>
      <c r="AV3664" s="185" t="s">
        <v>176</v>
      </c>
      <c r="AX3664" s="185" t="s">
        <v>176</v>
      </c>
      <c r="BK3664" s="55" t="s">
        <v>6333</v>
      </c>
      <c r="BM3664" s="192" t="s">
        <v>3293</v>
      </c>
      <c r="BN3664" s="55">
        <v>4</v>
      </c>
      <c r="BO3664" s="55">
        <v>4</v>
      </c>
      <c r="BQ3664" s="55" t="s">
        <v>141</v>
      </c>
      <c r="CB3664" s="66">
        <v>1500</v>
      </c>
      <c r="CC3664" s="66">
        <v>4700</v>
      </c>
      <c r="GP3664" s="292" t="s">
        <v>7494</v>
      </c>
      <c r="GY3664" s="65">
        <v>12.9</v>
      </c>
      <c r="GZ3664" s="65">
        <v>11.5</v>
      </c>
      <c r="HC3664" s="65" t="s">
        <v>3304</v>
      </c>
    </row>
    <row r="3665" spans="1:211" x14ac:dyDescent="0.25">
      <c r="A3665" s="55">
        <v>3664</v>
      </c>
      <c r="B3665" s="12" t="s">
        <v>7067</v>
      </c>
      <c r="C3665" s="155">
        <v>168</v>
      </c>
      <c r="D3665" s="55" t="s">
        <v>3301</v>
      </c>
      <c r="E3665" s="90" t="s">
        <v>3240</v>
      </c>
      <c r="G3665" s="55" t="s">
        <v>3275</v>
      </c>
      <c r="H3665" s="55">
        <v>2005</v>
      </c>
      <c r="I3665" s="55">
        <v>2002</v>
      </c>
      <c r="J3665" s="55" t="s">
        <v>3284</v>
      </c>
      <c r="K3665" s="55" t="s">
        <v>3285</v>
      </c>
      <c r="L3665" s="55" t="s">
        <v>2750</v>
      </c>
      <c r="M3665" s="90">
        <v>-13.13</v>
      </c>
      <c r="N3665" s="90">
        <v>27.85</v>
      </c>
      <c r="O3665" s="90">
        <v>1204.5</v>
      </c>
      <c r="S3665" s="90">
        <v>850</v>
      </c>
      <c r="U3665" s="55" t="s">
        <v>1805</v>
      </c>
      <c r="V3665" s="55" t="s">
        <v>1688</v>
      </c>
      <c r="Y3665" s="55" t="s">
        <v>1822</v>
      </c>
      <c r="Z3665" s="55" t="s">
        <v>1349</v>
      </c>
      <c r="AA3665" s="90" t="s">
        <v>1677</v>
      </c>
      <c r="AE3665" s="90">
        <v>64</v>
      </c>
      <c r="AF3665" s="90">
        <v>14</v>
      </c>
      <c r="AH3665" s="55" t="s">
        <v>238</v>
      </c>
      <c r="AI3665" s="168">
        <v>5.08</v>
      </c>
      <c r="AJ3665" s="90">
        <v>0.44</v>
      </c>
      <c r="AN3665" s="185" t="s">
        <v>3084</v>
      </c>
      <c r="AO3665" s="185" t="s">
        <v>5150</v>
      </c>
      <c r="AQ3665" s="55" t="s">
        <v>553</v>
      </c>
      <c r="AR3665" s="55" t="s">
        <v>1607</v>
      </c>
      <c r="AS3665" s="55" t="s">
        <v>132</v>
      </c>
      <c r="AU3665" s="181" t="s">
        <v>7494</v>
      </c>
      <c r="AV3665" s="185" t="s">
        <v>176</v>
      </c>
      <c r="AX3665" s="185" t="s">
        <v>176</v>
      </c>
      <c r="BK3665" s="55" t="s">
        <v>6333</v>
      </c>
      <c r="BM3665" s="192" t="s">
        <v>3293</v>
      </c>
      <c r="BN3665" s="55">
        <v>4</v>
      </c>
      <c r="BO3665" s="55">
        <v>4</v>
      </c>
      <c r="BQ3665" s="55" t="s">
        <v>141</v>
      </c>
      <c r="CB3665" s="66">
        <v>1500</v>
      </c>
      <c r="CC3665" s="66">
        <v>3200</v>
      </c>
      <c r="GP3665" s="292" t="s">
        <v>7494</v>
      </c>
      <c r="GY3665" s="65">
        <v>12.9</v>
      </c>
      <c r="GZ3665" s="65">
        <v>10.8</v>
      </c>
      <c r="HC3665" s="65" t="s">
        <v>3304</v>
      </c>
    </row>
    <row r="3666" spans="1:211" x14ac:dyDescent="0.25">
      <c r="A3666" s="55">
        <v>3665</v>
      </c>
      <c r="B3666" s="12" t="s">
        <v>7067</v>
      </c>
      <c r="C3666" s="155">
        <v>168</v>
      </c>
      <c r="D3666" s="55" t="s">
        <v>3301</v>
      </c>
      <c r="E3666" s="90" t="s">
        <v>3240</v>
      </c>
      <c r="G3666" s="55" t="s">
        <v>3275</v>
      </c>
      <c r="H3666" s="55">
        <v>2005</v>
      </c>
      <c r="I3666" s="55">
        <v>2002</v>
      </c>
      <c r="J3666" s="55" t="s">
        <v>3284</v>
      </c>
      <c r="K3666" s="55" t="s">
        <v>3285</v>
      </c>
      <c r="L3666" s="55" t="s">
        <v>2750</v>
      </c>
      <c r="M3666" s="90">
        <v>-13.13</v>
      </c>
      <c r="N3666" s="90">
        <v>27.85</v>
      </c>
      <c r="O3666" s="90">
        <v>1204.5</v>
      </c>
      <c r="S3666" s="90">
        <v>850</v>
      </c>
      <c r="U3666" s="55" t="s">
        <v>1805</v>
      </c>
      <c r="V3666" s="55" t="s">
        <v>1688</v>
      </c>
      <c r="Y3666" s="55" t="s">
        <v>1822</v>
      </c>
      <c r="Z3666" s="55" t="s">
        <v>1349</v>
      </c>
      <c r="AA3666" s="90" t="s">
        <v>1677</v>
      </c>
      <c r="AE3666" s="90">
        <v>64</v>
      </c>
      <c r="AF3666" s="90">
        <v>14</v>
      </c>
      <c r="AH3666" s="55" t="s">
        <v>238</v>
      </c>
      <c r="AI3666" s="168">
        <v>5.08</v>
      </c>
      <c r="AJ3666" s="90">
        <v>0.44</v>
      </c>
      <c r="AN3666" s="185" t="s">
        <v>3295</v>
      </c>
      <c r="AO3666" s="185" t="s">
        <v>5150</v>
      </c>
      <c r="AQ3666" s="55" t="s">
        <v>553</v>
      </c>
      <c r="AR3666" s="55" t="s">
        <v>1607</v>
      </c>
      <c r="AS3666" s="55" t="s">
        <v>132</v>
      </c>
      <c r="AU3666" s="181" t="s">
        <v>7494</v>
      </c>
      <c r="AV3666" s="185" t="s">
        <v>176</v>
      </c>
      <c r="AX3666" s="185" t="s">
        <v>176</v>
      </c>
      <c r="BK3666" s="55" t="s">
        <v>6333</v>
      </c>
      <c r="BM3666" s="192" t="s">
        <v>3293</v>
      </c>
      <c r="BN3666" s="55">
        <v>4</v>
      </c>
      <c r="BO3666" s="55">
        <v>4</v>
      </c>
      <c r="BQ3666" s="55" t="s">
        <v>141</v>
      </c>
      <c r="CB3666" s="66">
        <v>1500</v>
      </c>
      <c r="CC3666" s="66">
        <v>3000</v>
      </c>
      <c r="GP3666" s="292" t="s">
        <v>7494</v>
      </c>
      <c r="GY3666" s="65">
        <v>12.9</v>
      </c>
      <c r="GZ3666" s="65">
        <v>6.8</v>
      </c>
      <c r="HC3666" s="65" t="s">
        <v>3304</v>
      </c>
    </row>
    <row r="3667" spans="1:211" x14ac:dyDescent="0.25">
      <c r="A3667" s="55">
        <v>3666</v>
      </c>
      <c r="B3667" s="12" t="s">
        <v>7067</v>
      </c>
      <c r="C3667" s="155">
        <v>168</v>
      </c>
      <c r="D3667" s="55" t="s">
        <v>3301</v>
      </c>
      <c r="E3667" s="90" t="s">
        <v>3240</v>
      </c>
      <c r="G3667" s="55" t="s">
        <v>3275</v>
      </c>
      <c r="H3667" s="55">
        <v>2005</v>
      </c>
      <c r="I3667" s="55">
        <v>2002</v>
      </c>
      <c r="J3667" s="55" t="s">
        <v>3284</v>
      </c>
      <c r="K3667" s="55" t="s">
        <v>3285</v>
      </c>
      <c r="L3667" s="55" t="s">
        <v>2750</v>
      </c>
      <c r="M3667" s="90">
        <v>-13.13</v>
      </c>
      <c r="N3667" s="90">
        <v>27.85</v>
      </c>
      <c r="O3667" s="90">
        <v>1204.5</v>
      </c>
      <c r="S3667" s="90">
        <v>850</v>
      </c>
      <c r="U3667" s="55" t="s">
        <v>1805</v>
      </c>
      <c r="V3667" s="55" t="s">
        <v>1688</v>
      </c>
      <c r="Y3667" s="55" t="s">
        <v>1822</v>
      </c>
      <c r="Z3667" s="55" t="s">
        <v>1349</v>
      </c>
      <c r="AA3667" s="90" t="s">
        <v>1677</v>
      </c>
      <c r="AE3667" s="90">
        <v>64</v>
      </c>
      <c r="AF3667" s="90">
        <v>14</v>
      </c>
      <c r="AH3667" s="55" t="s">
        <v>238</v>
      </c>
      <c r="AI3667" s="168">
        <v>5.08</v>
      </c>
      <c r="AJ3667" s="90">
        <v>0.44</v>
      </c>
      <c r="AN3667" s="185" t="s">
        <v>3296</v>
      </c>
      <c r="AO3667" s="185" t="s">
        <v>5150</v>
      </c>
      <c r="AQ3667" s="55" t="s">
        <v>553</v>
      </c>
      <c r="AR3667" s="55" t="s">
        <v>1607</v>
      </c>
      <c r="AS3667" s="55" t="s">
        <v>132</v>
      </c>
      <c r="AU3667" s="181" t="s">
        <v>7494</v>
      </c>
      <c r="AV3667" s="185" t="s">
        <v>176</v>
      </c>
      <c r="AX3667" s="185" t="s">
        <v>176</v>
      </c>
      <c r="BK3667" s="55" t="s">
        <v>6333</v>
      </c>
      <c r="BM3667" s="192" t="s">
        <v>3293</v>
      </c>
      <c r="BN3667" s="55">
        <v>4</v>
      </c>
      <c r="BO3667" s="55">
        <v>4</v>
      </c>
      <c r="BQ3667" s="55" t="s">
        <v>141</v>
      </c>
      <c r="CB3667" s="66">
        <v>1500</v>
      </c>
      <c r="CC3667" s="66">
        <v>3500</v>
      </c>
      <c r="GP3667" s="292" t="s">
        <v>7494</v>
      </c>
      <c r="GY3667" s="65">
        <v>12.9</v>
      </c>
      <c r="GZ3667" s="65">
        <v>9</v>
      </c>
      <c r="HC3667" s="65" t="s">
        <v>3304</v>
      </c>
    </row>
    <row r="3668" spans="1:211" x14ac:dyDescent="0.25">
      <c r="A3668" s="55">
        <v>3667</v>
      </c>
      <c r="B3668" s="12" t="s">
        <v>7067</v>
      </c>
      <c r="C3668" s="155">
        <v>168</v>
      </c>
      <c r="D3668" s="55" t="s">
        <v>3301</v>
      </c>
      <c r="E3668" s="90" t="s">
        <v>3240</v>
      </c>
      <c r="G3668" s="55" t="s">
        <v>3275</v>
      </c>
      <c r="H3668" s="55">
        <v>2005</v>
      </c>
      <c r="I3668" s="55">
        <v>2002</v>
      </c>
      <c r="J3668" s="55" t="s">
        <v>3284</v>
      </c>
      <c r="K3668" s="55" t="s">
        <v>3285</v>
      </c>
      <c r="L3668" s="55" t="s">
        <v>2750</v>
      </c>
      <c r="M3668" s="90">
        <v>-13.13</v>
      </c>
      <c r="N3668" s="90">
        <v>27.85</v>
      </c>
      <c r="O3668" s="90">
        <v>1204.5</v>
      </c>
      <c r="S3668" s="90">
        <v>850</v>
      </c>
      <c r="U3668" s="55" t="s">
        <v>1805</v>
      </c>
      <c r="V3668" s="55" t="s">
        <v>1688</v>
      </c>
      <c r="Y3668" s="55" t="s">
        <v>1822</v>
      </c>
      <c r="Z3668" s="55" t="s">
        <v>1349</v>
      </c>
      <c r="AA3668" s="90" t="s">
        <v>1677</v>
      </c>
      <c r="AE3668" s="90">
        <v>64</v>
      </c>
      <c r="AF3668" s="90">
        <v>14</v>
      </c>
      <c r="AH3668" s="55" t="s">
        <v>238</v>
      </c>
      <c r="AI3668" s="168">
        <v>5.08</v>
      </c>
      <c r="AJ3668" s="90">
        <v>0.44</v>
      </c>
      <c r="AN3668" s="185" t="s">
        <v>3297</v>
      </c>
      <c r="AO3668" s="185" t="s">
        <v>5150</v>
      </c>
      <c r="AQ3668" s="55" t="s">
        <v>553</v>
      </c>
      <c r="AR3668" s="55" t="s">
        <v>1607</v>
      </c>
      <c r="AS3668" s="55" t="s">
        <v>132</v>
      </c>
      <c r="AU3668" s="181" t="s">
        <v>7494</v>
      </c>
      <c r="AV3668" s="185" t="s">
        <v>176</v>
      </c>
      <c r="AX3668" s="185" t="s">
        <v>176</v>
      </c>
      <c r="BK3668" s="55" t="s">
        <v>6333</v>
      </c>
      <c r="BM3668" s="192" t="s">
        <v>3293</v>
      </c>
      <c r="BN3668" s="55">
        <v>4</v>
      </c>
      <c r="BO3668" s="55">
        <v>4</v>
      </c>
      <c r="BQ3668" s="55" t="s">
        <v>141</v>
      </c>
      <c r="CB3668" s="66">
        <v>1500</v>
      </c>
      <c r="CC3668" s="66">
        <v>3600</v>
      </c>
      <c r="GP3668" s="292" t="s">
        <v>7494</v>
      </c>
      <c r="GY3668" s="65">
        <v>12.9</v>
      </c>
      <c r="GZ3668" s="65">
        <v>12</v>
      </c>
      <c r="HC3668" s="65" t="s">
        <v>3304</v>
      </c>
    </row>
    <row r="3669" spans="1:211" x14ac:dyDescent="0.25">
      <c r="A3669" s="55">
        <v>3668</v>
      </c>
      <c r="B3669" s="12" t="s">
        <v>7067</v>
      </c>
      <c r="C3669" s="155">
        <v>168</v>
      </c>
      <c r="D3669" s="55" t="s">
        <v>3301</v>
      </c>
      <c r="E3669" s="90" t="s">
        <v>3240</v>
      </c>
      <c r="G3669" s="55" t="s">
        <v>3275</v>
      </c>
      <c r="H3669" s="55">
        <v>2005</v>
      </c>
      <c r="I3669" s="55">
        <v>2002</v>
      </c>
      <c r="J3669" s="55" t="s">
        <v>3284</v>
      </c>
      <c r="K3669" s="55" t="s">
        <v>3285</v>
      </c>
      <c r="L3669" s="55" t="s">
        <v>2750</v>
      </c>
      <c r="M3669" s="90">
        <v>-13.13</v>
      </c>
      <c r="N3669" s="90">
        <v>27.85</v>
      </c>
      <c r="O3669" s="90">
        <v>1204.5</v>
      </c>
      <c r="S3669" s="90">
        <v>850</v>
      </c>
      <c r="U3669" s="55" t="s">
        <v>1805</v>
      </c>
      <c r="V3669" s="55" t="s">
        <v>1688</v>
      </c>
      <c r="Y3669" s="55" t="s">
        <v>1822</v>
      </c>
      <c r="Z3669" s="55" t="s">
        <v>1349</v>
      </c>
      <c r="AA3669" s="90" t="s">
        <v>1677</v>
      </c>
      <c r="AE3669" s="90">
        <v>64</v>
      </c>
      <c r="AF3669" s="90">
        <v>14</v>
      </c>
      <c r="AH3669" s="55" t="s">
        <v>238</v>
      </c>
      <c r="AI3669" s="168">
        <v>5.08</v>
      </c>
      <c r="AJ3669" s="90">
        <v>0.44</v>
      </c>
      <c r="AN3669" s="185" t="s">
        <v>3298</v>
      </c>
      <c r="AO3669" s="185" t="s">
        <v>5150</v>
      </c>
      <c r="AQ3669" s="55" t="s">
        <v>553</v>
      </c>
      <c r="AR3669" s="55" t="s">
        <v>1607</v>
      </c>
      <c r="AS3669" s="55" t="s">
        <v>132</v>
      </c>
      <c r="AU3669" s="181" t="s">
        <v>7494</v>
      </c>
      <c r="AV3669" s="185" t="s">
        <v>176</v>
      </c>
      <c r="AX3669" s="185" t="s">
        <v>176</v>
      </c>
      <c r="BK3669" s="55" t="s">
        <v>6333</v>
      </c>
      <c r="BM3669" s="192" t="s">
        <v>3293</v>
      </c>
      <c r="BN3669" s="55">
        <v>4</v>
      </c>
      <c r="BO3669" s="55">
        <v>4</v>
      </c>
      <c r="BQ3669" s="55" t="s">
        <v>141</v>
      </c>
      <c r="CB3669" s="66">
        <v>1500</v>
      </c>
      <c r="CC3669" s="66">
        <v>3600</v>
      </c>
      <c r="GP3669" s="292" t="s">
        <v>7494</v>
      </c>
      <c r="GY3669" s="65">
        <v>12.9</v>
      </c>
      <c r="GZ3669" s="65">
        <v>8.3000000000000007</v>
      </c>
      <c r="HC3669" s="65" t="s">
        <v>3304</v>
      </c>
    </row>
    <row r="3670" spans="1:211" x14ac:dyDescent="0.25">
      <c r="A3670" s="55">
        <v>3669</v>
      </c>
      <c r="B3670" s="12" t="s">
        <v>7067</v>
      </c>
      <c r="C3670" s="155">
        <v>168</v>
      </c>
      <c r="D3670" s="55" t="s">
        <v>3301</v>
      </c>
      <c r="E3670" s="90" t="s">
        <v>3240</v>
      </c>
      <c r="G3670" s="55" t="s">
        <v>3275</v>
      </c>
      <c r="H3670" s="55">
        <v>2005</v>
      </c>
      <c r="I3670" s="55">
        <v>2002</v>
      </c>
      <c r="J3670" s="55" t="s">
        <v>3284</v>
      </c>
      <c r="K3670" s="55" t="s">
        <v>3285</v>
      </c>
      <c r="L3670" s="55" t="s">
        <v>2750</v>
      </c>
      <c r="M3670" s="90">
        <v>-13.13</v>
      </c>
      <c r="N3670" s="90">
        <v>27.85</v>
      </c>
      <c r="O3670" s="90">
        <v>1204.5</v>
      </c>
      <c r="S3670" s="90">
        <v>850</v>
      </c>
      <c r="U3670" s="55" t="s">
        <v>1805</v>
      </c>
      <c r="V3670" s="55" t="s">
        <v>1688</v>
      </c>
      <c r="Y3670" s="55" t="s">
        <v>1822</v>
      </c>
      <c r="Z3670" s="55" t="s">
        <v>1349</v>
      </c>
      <c r="AA3670" s="90" t="s">
        <v>1677</v>
      </c>
      <c r="AE3670" s="90">
        <v>64</v>
      </c>
      <c r="AF3670" s="90">
        <v>14</v>
      </c>
      <c r="AH3670" s="55" t="s">
        <v>238</v>
      </c>
      <c r="AI3670" s="168">
        <v>5.08</v>
      </c>
      <c r="AJ3670" s="90">
        <v>0.44</v>
      </c>
      <c r="AN3670" s="185" t="s">
        <v>3299</v>
      </c>
      <c r="AO3670" s="185" t="s">
        <v>5150</v>
      </c>
      <c r="AQ3670" s="55" t="s">
        <v>553</v>
      </c>
      <c r="AR3670" s="55" t="s">
        <v>1607</v>
      </c>
      <c r="AS3670" s="55" t="s">
        <v>132</v>
      </c>
      <c r="AU3670" s="181" t="s">
        <v>7494</v>
      </c>
      <c r="AV3670" s="185" t="s">
        <v>176</v>
      </c>
      <c r="AX3670" s="185" t="s">
        <v>176</v>
      </c>
      <c r="BK3670" s="55" t="s">
        <v>6333</v>
      </c>
      <c r="BM3670" s="192" t="s">
        <v>3293</v>
      </c>
      <c r="BN3670" s="55">
        <v>4</v>
      </c>
      <c r="BO3670" s="55">
        <v>4</v>
      </c>
      <c r="BQ3670" s="55" t="s">
        <v>141</v>
      </c>
      <c r="CB3670" s="66">
        <v>1500</v>
      </c>
      <c r="CC3670" s="66">
        <v>3500</v>
      </c>
      <c r="GP3670" s="292" t="s">
        <v>7494</v>
      </c>
      <c r="GY3670" s="65">
        <v>12.9</v>
      </c>
      <c r="GZ3670" s="65">
        <v>3.9</v>
      </c>
      <c r="HC3670" s="65" t="s">
        <v>3304</v>
      </c>
    </row>
    <row r="3671" spans="1:211" x14ac:dyDescent="0.25">
      <c r="A3671" s="55">
        <v>3670</v>
      </c>
      <c r="B3671" s="12" t="s">
        <v>7067</v>
      </c>
      <c r="C3671" s="155">
        <v>168</v>
      </c>
      <c r="D3671" s="55" t="s">
        <v>3302</v>
      </c>
      <c r="E3671" s="90" t="s">
        <v>3240</v>
      </c>
      <c r="G3671" s="55" t="s">
        <v>3275</v>
      </c>
      <c r="H3671" s="55">
        <v>2005</v>
      </c>
      <c r="I3671" s="55">
        <v>2002</v>
      </c>
      <c r="J3671" s="55" t="s">
        <v>3284</v>
      </c>
      <c r="K3671" s="55" t="s">
        <v>3286</v>
      </c>
      <c r="L3671" s="55" t="s">
        <v>2750</v>
      </c>
      <c r="M3671" s="90">
        <v>-13.25</v>
      </c>
      <c r="N3671" s="90">
        <v>32.6</v>
      </c>
      <c r="O3671" s="90">
        <v>1015</v>
      </c>
      <c r="Q3671" s="55">
        <v>20.5</v>
      </c>
      <c r="S3671" s="90">
        <v>960</v>
      </c>
      <c r="U3671" s="55" t="s">
        <v>1805</v>
      </c>
      <c r="V3671" s="55" t="s">
        <v>1688</v>
      </c>
      <c r="Y3671" s="55" t="s">
        <v>1822</v>
      </c>
      <c r="Z3671" s="55" t="s">
        <v>1349</v>
      </c>
      <c r="AA3671" s="90" t="s">
        <v>1677</v>
      </c>
      <c r="AE3671" s="90">
        <v>71</v>
      </c>
      <c r="AF3671" s="90">
        <v>12</v>
      </c>
      <c r="AH3671" s="55" t="s">
        <v>174</v>
      </c>
      <c r="AI3671" s="168">
        <v>4.51</v>
      </c>
      <c r="AJ3671" s="90">
        <v>0.74</v>
      </c>
      <c r="AM3671" s="55" t="s">
        <v>2677</v>
      </c>
      <c r="AN3671" s="185" t="s">
        <v>3294</v>
      </c>
      <c r="AO3671" s="185" t="s">
        <v>5150</v>
      </c>
      <c r="AQ3671" s="55" t="s">
        <v>553</v>
      </c>
      <c r="AR3671" s="55" t="s">
        <v>1607</v>
      </c>
      <c r="AS3671" s="55" t="s">
        <v>132</v>
      </c>
      <c r="AU3671" s="181" t="s">
        <v>7494</v>
      </c>
      <c r="AV3671" s="185" t="s">
        <v>176</v>
      </c>
      <c r="AX3671" s="185" t="s">
        <v>176</v>
      </c>
      <c r="BK3671" s="55" t="s">
        <v>6333</v>
      </c>
      <c r="BM3671" s="192" t="s">
        <v>3292</v>
      </c>
      <c r="BN3671" s="55">
        <v>4</v>
      </c>
      <c r="BO3671" s="55">
        <v>4</v>
      </c>
      <c r="BQ3671" s="55" t="s">
        <v>141</v>
      </c>
      <c r="CB3671" s="66">
        <v>800</v>
      </c>
      <c r="CC3671" s="66">
        <v>2800</v>
      </c>
      <c r="GP3671" s="292" t="s">
        <v>7494</v>
      </c>
      <c r="GY3671" s="65">
        <v>13.1</v>
      </c>
      <c r="GZ3671" s="65">
        <v>8.8000000000000007</v>
      </c>
      <c r="HC3671" s="65" t="s">
        <v>3304</v>
      </c>
    </row>
    <row r="3672" spans="1:211" x14ac:dyDescent="0.25">
      <c r="A3672" s="55">
        <v>3671</v>
      </c>
      <c r="B3672" s="12" t="s">
        <v>7067</v>
      </c>
      <c r="C3672" s="155">
        <v>168</v>
      </c>
      <c r="D3672" s="55" t="s">
        <v>3302</v>
      </c>
      <c r="E3672" s="90" t="s">
        <v>3240</v>
      </c>
      <c r="G3672" s="55" t="s">
        <v>3275</v>
      </c>
      <c r="H3672" s="55">
        <v>2005</v>
      </c>
      <c r="I3672" s="55">
        <v>2002</v>
      </c>
      <c r="J3672" s="55" t="s">
        <v>3284</v>
      </c>
      <c r="K3672" s="55" t="s">
        <v>3286</v>
      </c>
      <c r="L3672" s="55" t="s">
        <v>2750</v>
      </c>
      <c r="M3672" s="90">
        <v>-13.25</v>
      </c>
      <c r="N3672" s="90">
        <v>32.6</v>
      </c>
      <c r="O3672" s="90">
        <v>1015</v>
      </c>
      <c r="Q3672" s="55">
        <v>20.5</v>
      </c>
      <c r="S3672" s="90">
        <v>960</v>
      </c>
      <c r="U3672" s="55" t="s">
        <v>1805</v>
      </c>
      <c r="V3672" s="55" t="s">
        <v>1688</v>
      </c>
      <c r="Y3672" s="55" t="s">
        <v>1822</v>
      </c>
      <c r="Z3672" s="55" t="s">
        <v>1349</v>
      </c>
      <c r="AA3672" s="90" t="s">
        <v>1677</v>
      </c>
      <c r="AE3672" s="90">
        <v>71</v>
      </c>
      <c r="AF3672" s="90">
        <v>12</v>
      </c>
      <c r="AH3672" s="55" t="s">
        <v>174</v>
      </c>
      <c r="AI3672" s="168">
        <v>4.51</v>
      </c>
      <c r="AJ3672" s="90">
        <v>0.74</v>
      </c>
      <c r="AM3672" s="55" t="s">
        <v>2677</v>
      </c>
      <c r="AN3672" s="185" t="s">
        <v>2838</v>
      </c>
      <c r="AO3672" s="185" t="s">
        <v>5150</v>
      </c>
      <c r="AQ3672" s="55" t="s">
        <v>553</v>
      </c>
      <c r="AR3672" s="55" t="s">
        <v>1607</v>
      </c>
      <c r="AS3672" s="55" t="s">
        <v>132</v>
      </c>
      <c r="AU3672" s="181" t="s">
        <v>7494</v>
      </c>
      <c r="AV3672" s="185" t="s">
        <v>176</v>
      </c>
      <c r="AX3672" s="185" t="s">
        <v>176</v>
      </c>
      <c r="BK3672" s="55" t="s">
        <v>6333</v>
      </c>
      <c r="BM3672" s="192" t="s">
        <v>3292</v>
      </c>
      <c r="BN3672" s="55">
        <v>4</v>
      </c>
      <c r="BO3672" s="55">
        <v>4</v>
      </c>
      <c r="BQ3672" s="55" t="s">
        <v>141</v>
      </c>
      <c r="CB3672" s="66">
        <v>800</v>
      </c>
      <c r="CC3672" s="66">
        <v>4400</v>
      </c>
      <c r="GP3672" s="292" t="s">
        <v>7494</v>
      </c>
      <c r="GY3672" s="65">
        <v>13.1</v>
      </c>
      <c r="GZ3672" s="65">
        <v>6</v>
      </c>
      <c r="HC3672" s="65" t="s">
        <v>3304</v>
      </c>
    </row>
    <row r="3673" spans="1:211" x14ac:dyDescent="0.25">
      <c r="A3673" s="55">
        <v>3672</v>
      </c>
      <c r="B3673" s="12" t="s">
        <v>7067</v>
      </c>
      <c r="C3673" s="155">
        <v>168</v>
      </c>
      <c r="D3673" s="55" t="s">
        <v>3302</v>
      </c>
      <c r="E3673" s="90" t="s">
        <v>3240</v>
      </c>
      <c r="G3673" s="55" t="s">
        <v>3275</v>
      </c>
      <c r="H3673" s="55">
        <v>2005</v>
      </c>
      <c r="I3673" s="55">
        <v>2002</v>
      </c>
      <c r="J3673" s="55" t="s">
        <v>3284</v>
      </c>
      <c r="K3673" s="55" t="s">
        <v>3286</v>
      </c>
      <c r="L3673" s="55" t="s">
        <v>2750</v>
      </c>
      <c r="M3673" s="90">
        <v>-13.25</v>
      </c>
      <c r="N3673" s="90">
        <v>32.6</v>
      </c>
      <c r="O3673" s="90">
        <v>1015</v>
      </c>
      <c r="Q3673" s="55">
        <v>20.5</v>
      </c>
      <c r="S3673" s="90">
        <v>960</v>
      </c>
      <c r="U3673" s="55" t="s">
        <v>1805</v>
      </c>
      <c r="V3673" s="55" t="s">
        <v>1688</v>
      </c>
      <c r="Y3673" s="55" t="s">
        <v>1822</v>
      </c>
      <c r="Z3673" s="55" t="s">
        <v>1349</v>
      </c>
      <c r="AA3673" s="90" t="s">
        <v>1677</v>
      </c>
      <c r="AE3673" s="90">
        <v>71</v>
      </c>
      <c r="AF3673" s="90">
        <v>12</v>
      </c>
      <c r="AH3673" s="55" t="s">
        <v>174</v>
      </c>
      <c r="AI3673" s="168">
        <v>4.51</v>
      </c>
      <c r="AJ3673" s="90">
        <v>0.74</v>
      </c>
      <c r="AM3673" s="55" t="s">
        <v>2677</v>
      </c>
      <c r="AN3673" s="185" t="s">
        <v>3084</v>
      </c>
      <c r="AO3673" s="185" t="s">
        <v>5150</v>
      </c>
      <c r="AQ3673" s="55" t="s">
        <v>553</v>
      </c>
      <c r="AR3673" s="55" t="s">
        <v>1607</v>
      </c>
      <c r="AS3673" s="55" t="s">
        <v>132</v>
      </c>
      <c r="AU3673" s="181" t="s">
        <v>7494</v>
      </c>
      <c r="AV3673" s="185" t="s">
        <v>176</v>
      </c>
      <c r="AX3673" s="185" t="s">
        <v>176</v>
      </c>
      <c r="BK3673" s="55" t="s">
        <v>6333</v>
      </c>
      <c r="BM3673" s="192" t="s">
        <v>3292</v>
      </c>
      <c r="BN3673" s="55">
        <v>4</v>
      </c>
      <c r="BO3673" s="55">
        <v>4</v>
      </c>
      <c r="BQ3673" s="55" t="s">
        <v>141</v>
      </c>
      <c r="CB3673" s="66">
        <v>800</v>
      </c>
      <c r="CC3673" s="66">
        <v>3300</v>
      </c>
      <c r="GP3673" s="292" t="s">
        <v>7494</v>
      </c>
      <c r="GY3673" s="65">
        <v>13.1</v>
      </c>
      <c r="GZ3673" s="65">
        <v>13.4</v>
      </c>
      <c r="HC3673" s="65" t="s">
        <v>3304</v>
      </c>
    </row>
    <row r="3674" spans="1:211" x14ac:dyDescent="0.25">
      <c r="A3674" s="55">
        <v>3673</v>
      </c>
      <c r="B3674" s="12" t="s">
        <v>7067</v>
      </c>
      <c r="C3674" s="155">
        <v>168</v>
      </c>
      <c r="D3674" s="55" t="s">
        <v>3302</v>
      </c>
      <c r="E3674" s="90" t="s">
        <v>3240</v>
      </c>
      <c r="G3674" s="55" t="s">
        <v>3275</v>
      </c>
      <c r="H3674" s="55">
        <v>2005</v>
      </c>
      <c r="I3674" s="55">
        <v>2002</v>
      </c>
      <c r="J3674" s="55" t="s">
        <v>3284</v>
      </c>
      <c r="K3674" s="55" t="s">
        <v>3286</v>
      </c>
      <c r="L3674" s="55" t="s">
        <v>2750</v>
      </c>
      <c r="M3674" s="90">
        <v>-13.25</v>
      </c>
      <c r="N3674" s="90">
        <v>32.6</v>
      </c>
      <c r="O3674" s="90">
        <v>1015</v>
      </c>
      <c r="Q3674" s="55">
        <v>20.5</v>
      </c>
      <c r="S3674" s="90">
        <v>960</v>
      </c>
      <c r="U3674" s="55" t="s">
        <v>1805</v>
      </c>
      <c r="V3674" s="55" t="s">
        <v>1688</v>
      </c>
      <c r="Y3674" s="55" t="s">
        <v>1822</v>
      </c>
      <c r="Z3674" s="55" t="s">
        <v>1349</v>
      </c>
      <c r="AA3674" s="90" t="s">
        <v>1677</v>
      </c>
      <c r="AE3674" s="90">
        <v>71</v>
      </c>
      <c r="AF3674" s="90">
        <v>12</v>
      </c>
      <c r="AH3674" s="55" t="s">
        <v>174</v>
      </c>
      <c r="AI3674" s="168">
        <v>4.51</v>
      </c>
      <c r="AJ3674" s="90">
        <v>0.74</v>
      </c>
      <c r="AM3674" s="55" t="s">
        <v>2677</v>
      </c>
      <c r="AN3674" s="185" t="s">
        <v>3295</v>
      </c>
      <c r="AO3674" s="185" t="s">
        <v>5150</v>
      </c>
      <c r="AQ3674" s="55" t="s">
        <v>553</v>
      </c>
      <c r="AR3674" s="55" t="s">
        <v>1607</v>
      </c>
      <c r="AS3674" s="55" t="s">
        <v>132</v>
      </c>
      <c r="AU3674" s="181" t="s">
        <v>7494</v>
      </c>
      <c r="AV3674" s="185" t="s">
        <v>176</v>
      </c>
      <c r="AX3674" s="185" t="s">
        <v>176</v>
      </c>
      <c r="BK3674" s="55" t="s">
        <v>6333</v>
      </c>
      <c r="BM3674" s="192" t="s">
        <v>3292</v>
      </c>
      <c r="BN3674" s="55">
        <v>4</v>
      </c>
      <c r="BO3674" s="55">
        <v>4</v>
      </c>
      <c r="BQ3674" s="55" t="s">
        <v>141</v>
      </c>
      <c r="CB3674" s="66">
        <v>800</v>
      </c>
      <c r="CC3674" s="66">
        <v>2800</v>
      </c>
      <c r="GP3674" s="292" t="s">
        <v>7494</v>
      </c>
      <c r="GY3674" s="65">
        <v>13.1</v>
      </c>
      <c r="GZ3674" s="65">
        <v>18</v>
      </c>
      <c r="HC3674" s="65" t="s">
        <v>3304</v>
      </c>
    </row>
    <row r="3675" spans="1:211" x14ac:dyDescent="0.25">
      <c r="A3675" s="55">
        <v>3674</v>
      </c>
      <c r="B3675" s="12" t="s">
        <v>7067</v>
      </c>
      <c r="C3675" s="155">
        <v>168</v>
      </c>
      <c r="D3675" s="55" t="s">
        <v>3302</v>
      </c>
      <c r="E3675" s="90" t="s">
        <v>3240</v>
      </c>
      <c r="G3675" s="55" t="s">
        <v>3275</v>
      </c>
      <c r="H3675" s="55">
        <v>2005</v>
      </c>
      <c r="I3675" s="55">
        <v>2002</v>
      </c>
      <c r="J3675" s="55" t="s">
        <v>3284</v>
      </c>
      <c r="K3675" s="55" t="s">
        <v>3286</v>
      </c>
      <c r="L3675" s="55" t="s">
        <v>2750</v>
      </c>
      <c r="M3675" s="90">
        <v>-13.25</v>
      </c>
      <c r="N3675" s="90">
        <v>32.6</v>
      </c>
      <c r="O3675" s="90">
        <v>1015</v>
      </c>
      <c r="Q3675" s="55">
        <v>20.5</v>
      </c>
      <c r="S3675" s="90">
        <v>960</v>
      </c>
      <c r="U3675" s="55" t="s">
        <v>1805</v>
      </c>
      <c r="V3675" s="55" t="s">
        <v>1688</v>
      </c>
      <c r="Y3675" s="55" t="s">
        <v>1822</v>
      </c>
      <c r="Z3675" s="55" t="s">
        <v>1349</v>
      </c>
      <c r="AA3675" s="90" t="s">
        <v>1677</v>
      </c>
      <c r="AE3675" s="90">
        <v>71</v>
      </c>
      <c r="AF3675" s="90">
        <v>12</v>
      </c>
      <c r="AH3675" s="55" t="s">
        <v>174</v>
      </c>
      <c r="AI3675" s="168">
        <v>4.51</v>
      </c>
      <c r="AJ3675" s="90">
        <v>0.74</v>
      </c>
      <c r="AM3675" s="55" t="s">
        <v>2677</v>
      </c>
      <c r="AN3675" s="185" t="s">
        <v>3296</v>
      </c>
      <c r="AO3675" s="185" t="s">
        <v>5150</v>
      </c>
      <c r="AQ3675" s="55" t="s">
        <v>553</v>
      </c>
      <c r="AR3675" s="55" t="s">
        <v>1607</v>
      </c>
      <c r="AS3675" s="55" t="s">
        <v>132</v>
      </c>
      <c r="AU3675" s="181" t="s">
        <v>7494</v>
      </c>
      <c r="AV3675" s="185" t="s">
        <v>176</v>
      </c>
      <c r="AX3675" s="185" t="s">
        <v>176</v>
      </c>
      <c r="BK3675" s="55" t="s">
        <v>6333</v>
      </c>
      <c r="BM3675" s="192" t="s">
        <v>3292</v>
      </c>
      <c r="BN3675" s="55">
        <v>4</v>
      </c>
      <c r="BO3675" s="55">
        <v>4</v>
      </c>
      <c r="BQ3675" s="55" t="s">
        <v>141</v>
      </c>
      <c r="CB3675" s="66">
        <v>800</v>
      </c>
      <c r="CC3675" s="66">
        <v>3200</v>
      </c>
      <c r="GP3675" s="292" t="s">
        <v>7494</v>
      </c>
      <c r="GY3675" s="65">
        <v>13.1</v>
      </c>
      <c r="GZ3675" s="65">
        <v>11.3</v>
      </c>
      <c r="HC3675" s="65" t="s">
        <v>3304</v>
      </c>
    </row>
    <row r="3676" spans="1:211" x14ac:dyDescent="0.25">
      <c r="A3676" s="55">
        <v>3675</v>
      </c>
      <c r="B3676" s="12" t="s">
        <v>7067</v>
      </c>
      <c r="C3676" s="155">
        <v>168</v>
      </c>
      <c r="D3676" s="55" t="s">
        <v>3302</v>
      </c>
      <c r="E3676" s="90" t="s">
        <v>3240</v>
      </c>
      <c r="G3676" s="55" t="s">
        <v>3275</v>
      </c>
      <c r="H3676" s="55">
        <v>2005</v>
      </c>
      <c r="I3676" s="55">
        <v>2002</v>
      </c>
      <c r="J3676" s="55" t="s">
        <v>3284</v>
      </c>
      <c r="K3676" s="55" t="s">
        <v>3286</v>
      </c>
      <c r="L3676" s="55" t="s">
        <v>2750</v>
      </c>
      <c r="M3676" s="90">
        <v>-13.25</v>
      </c>
      <c r="N3676" s="90">
        <v>32.6</v>
      </c>
      <c r="O3676" s="90">
        <v>1015</v>
      </c>
      <c r="Q3676" s="55">
        <v>20.5</v>
      </c>
      <c r="S3676" s="90">
        <v>960</v>
      </c>
      <c r="U3676" s="55" t="s">
        <v>1805</v>
      </c>
      <c r="V3676" s="55" t="s">
        <v>1688</v>
      </c>
      <c r="Y3676" s="55" t="s">
        <v>1822</v>
      </c>
      <c r="Z3676" s="55" t="s">
        <v>1349</v>
      </c>
      <c r="AA3676" s="90" t="s">
        <v>1677</v>
      </c>
      <c r="AE3676" s="90">
        <v>71</v>
      </c>
      <c r="AF3676" s="90">
        <v>12</v>
      </c>
      <c r="AH3676" s="55" t="s">
        <v>174</v>
      </c>
      <c r="AI3676" s="168">
        <v>4.51</v>
      </c>
      <c r="AJ3676" s="90">
        <v>0.74</v>
      </c>
      <c r="AM3676" s="55" t="s">
        <v>2677</v>
      </c>
      <c r="AN3676" s="185" t="s">
        <v>3297</v>
      </c>
      <c r="AO3676" s="185" t="s">
        <v>5150</v>
      </c>
      <c r="AQ3676" s="55" t="s">
        <v>553</v>
      </c>
      <c r="AR3676" s="55" t="s">
        <v>1607</v>
      </c>
      <c r="AS3676" s="55" t="s">
        <v>132</v>
      </c>
      <c r="AU3676" s="181" t="s">
        <v>7494</v>
      </c>
      <c r="AV3676" s="185" t="s">
        <v>176</v>
      </c>
      <c r="AX3676" s="185" t="s">
        <v>176</v>
      </c>
      <c r="BK3676" s="55" t="s">
        <v>6333</v>
      </c>
      <c r="BM3676" s="192" t="s">
        <v>3292</v>
      </c>
      <c r="BN3676" s="55">
        <v>4</v>
      </c>
      <c r="BO3676" s="55">
        <v>4</v>
      </c>
      <c r="BQ3676" s="55" t="s">
        <v>141</v>
      </c>
      <c r="CB3676" s="66">
        <v>800</v>
      </c>
      <c r="CC3676" s="66">
        <v>2300</v>
      </c>
      <c r="GP3676" s="292" t="s">
        <v>7494</v>
      </c>
      <c r="GY3676" s="65">
        <v>13.1</v>
      </c>
      <c r="GZ3676" s="65">
        <v>8.1</v>
      </c>
      <c r="HC3676" s="65" t="s">
        <v>3304</v>
      </c>
    </row>
    <row r="3677" spans="1:211" x14ac:dyDescent="0.25">
      <c r="A3677" s="55">
        <v>3676</v>
      </c>
      <c r="B3677" s="12" t="s">
        <v>7067</v>
      </c>
      <c r="C3677" s="155">
        <v>168</v>
      </c>
      <c r="D3677" s="55" t="s">
        <v>3302</v>
      </c>
      <c r="E3677" s="90" t="s">
        <v>3240</v>
      </c>
      <c r="G3677" s="55" t="s">
        <v>3275</v>
      </c>
      <c r="H3677" s="55">
        <v>2005</v>
      </c>
      <c r="I3677" s="55">
        <v>2002</v>
      </c>
      <c r="J3677" s="55" t="s">
        <v>3284</v>
      </c>
      <c r="K3677" s="55" t="s">
        <v>3286</v>
      </c>
      <c r="L3677" s="55" t="s">
        <v>2750</v>
      </c>
      <c r="M3677" s="90">
        <v>-13.25</v>
      </c>
      <c r="N3677" s="90">
        <v>32.6</v>
      </c>
      <c r="O3677" s="90">
        <v>1015</v>
      </c>
      <c r="Q3677" s="55">
        <v>20.5</v>
      </c>
      <c r="S3677" s="90">
        <v>960</v>
      </c>
      <c r="U3677" s="55" t="s">
        <v>1805</v>
      </c>
      <c r="V3677" s="55" t="s">
        <v>1688</v>
      </c>
      <c r="Y3677" s="55" t="s">
        <v>1822</v>
      </c>
      <c r="Z3677" s="55" t="s">
        <v>1349</v>
      </c>
      <c r="AA3677" s="90" t="s">
        <v>1677</v>
      </c>
      <c r="AE3677" s="90">
        <v>71</v>
      </c>
      <c r="AF3677" s="90">
        <v>12</v>
      </c>
      <c r="AH3677" s="55" t="s">
        <v>174</v>
      </c>
      <c r="AI3677" s="168">
        <v>4.51</v>
      </c>
      <c r="AJ3677" s="90">
        <v>0.74</v>
      </c>
      <c r="AM3677" s="55" t="s">
        <v>2677</v>
      </c>
      <c r="AN3677" s="185" t="s">
        <v>3298</v>
      </c>
      <c r="AO3677" s="185" t="s">
        <v>5150</v>
      </c>
      <c r="AQ3677" s="55" t="s">
        <v>553</v>
      </c>
      <c r="AR3677" s="55" t="s">
        <v>1607</v>
      </c>
      <c r="AS3677" s="55" t="s">
        <v>132</v>
      </c>
      <c r="AU3677" s="181" t="s">
        <v>7494</v>
      </c>
      <c r="AV3677" s="185" t="s">
        <v>176</v>
      </c>
      <c r="AX3677" s="185" t="s">
        <v>176</v>
      </c>
      <c r="BK3677" s="55" t="s">
        <v>6333</v>
      </c>
      <c r="BM3677" s="192" t="s">
        <v>3292</v>
      </c>
      <c r="BN3677" s="55">
        <v>4</v>
      </c>
      <c r="BO3677" s="55">
        <v>4</v>
      </c>
      <c r="BQ3677" s="55" t="s">
        <v>141</v>
      </c>
      <c r="CB3677" s="66">
        <v>800</v>
      </c>
      <c r="CC3677" s="66">
        <v>3400</v>
      </c>
      <c r="GP3677" s="292" t="s">
        <v>7494</v>
      </c>
      <c r="GY3677" s="65">
        <v>13.1</v>
      </c>
      <c r="GZ3677" s="65">
        <v>9.3000000000000007</v>
      </c>
      <c r="HC3677" s="65" t="s">
        <v>3304</v>
      </c>
    </row>
    <row r="3678" spans="1:211" x14ac:dyDescent="0.25">
      <c r="A3678" s="55">
        <v>3677</v>
      </c>
      <c r="B3678" s="12" t="s">
        <v>7067</v>
      </c>
      <c r="C3678" s="155">
        <v>168</v>
      </c>
      <c r="D3678" s="55" t="s">
        <v>3302</v>
      </c>
      <c r="E3678" s="90" t="s">
        <v>3240</v>
      </c>
      <c r="G3678" s="55" t="s">
        <v>3275</v>
      </c>
      <c r="H3678" s="55">
        <v>2005</v>
      </c>
      <c r="I3678" s="55">
        <v>2002</v>
      </c>
      <c r="J3678" s="55" t="s">
        <v>3284</v>
      </c>
      <c r="K3678" s="55" t="s">
        <v>3286</v>
      </c>
      <c r="L3678" s="55" t="s">
        <v>2750</v>
      </c>
      <c r="M3678" s="90">
        <v>-13.25</v>
      </c>
      <c r="N3678" s="90">
        <v>32.6</v>
      </c>
      <c r="O3678" s="90">
        <v>1015</v>
      </c>
      <c r="Q3678" s="55">
        <v>20.5</v>
      </c>
      <c r="S3678" s="90">
        <v>960</v>
      </c>
      <c r="U3678" s="55" t="s">
        <v>1805</v>
      </c>
      <c r="V3678" s="55" t="s">
        <v>1688</v>
      </c>
      <c r="Y3678" s="55" t="s">
        <v>1822</v>
      </c>
      <c r="Z3678" s="55" t="s">
        <v>1349</v>
      </c>
      <c r="AA3678" s="90" t="s">
        <v>1677</v>
      </c>
      <c r="AE3678" s="90">
        <v>71</v>
      </c>
      <c r="AF3678" s="90">
        <v>12</v>
      </c>
      <c r="AH3678" s="55" t="s">
        <v>174</v>
      </c>
      <c r="AI3678" s="168">
        <v>4.51</v>
      </c>
      <c r="AJ3678" s="90">
        <v>0.74</v>
      </c>
      <c r="AM3678" s="55" t="s">
        <v>2677</v>
      </c>
      <c r="AN3678" s="185" t="s">
        <v>3299</v>
      </c>
      <c r="AO3678" s="185" t="s">
        <v>5150</v>
      </c>
      <c r="AQ3678" s="55" t="s">
        <v>553</v>
      </c>
      <c r="AR3678" s="55" t="s">
        <v>1607</v>
      </c>
      <c r="AS3678" s="55" t="s">
        <v>132</v>
      </c>
      <c r="AU3678" s="181" t="s">
        <v>7494</v>
      </c>
      <c r="AV3678" s="185" t="s">
        <v>176</v>
      </c>
      <c r="AX3678" s="185" t="s">
        <v>176</v>
      </c>
      <c r="BK3678" s="55" t="s">
        <v>6333</v>
      </c>
      <c r="BM3678" s="192" t="s">
        <v>3292</v>
      </c>
      <c r="BN3678" s="55">
        <v>4</v>
      </c>
      <c r="BO3678" s="55">
        <v>4</v>
      </c>
      <c r="BQ3678" s="55" t="s">
        <v>141</v>
      </c>
      <c r="CB3678" s="66">
        <v>800</v>
      </c>
      <c r="CC3678" s="66">
        <v>2900</v>
      </c>
      <c r="GP3678" s="292" t="s">
        <v>7494</v>
      </c>
      <c r="GY3678" s="65">
        <v>13.1</v>
      </c>
      <c r="GZ3678" s="65">
        <v>4.9000000000000004</v>
      </c>
      <c r="HC3678" s="65" t="s">
        <v>3304</v>
      </c>
    </row>
    <row r="3679" spans="1:211" x14ac:dyDescent="0.25">
      <c r="A3679" s="55">
        <v>3678</v>
      </c>
      <c r="B3679" s="12" t="s">
        <v>7067</v>
      </c>
      <c r="C3679" s="155">
        <v>168</v>
      </c>
      <c r="D3679" s="55" t="s">
        <v>3302</v>
      </c>
      <c r="E3679" s="90" t="s">
        <v>3240</v>
      </c>
      <c r="G3679" s="55" t="s">
        <v>3275</v>
      </c>
      <c r="H3679" s="55">
        <v>2005</v>
      </c>
      <c r="I3679" s="55">
        <v>2002</v>
      </c>
      <c r="J3679" s="55" t="s">
        <v>3284</v>
      </c>
      <c r="K3679" s="55" t="s">
        <v>3286</v>
      </c>
      <c r="L3679" s="55" t="s">
        <v>2750</v>
      </c>
      <c r="M3679" s="90">
        <v>-13.25</v>
      </c>
      <c r="N3679" s="90">
        <v>32.6</v>
      </c>
      <c r="O3679" s="90">
        <v>1015</v>
      </c>
      <c r="Q3679" s="55">
        <v>20.5</v>
      </c>
      <c r="S3679" s="90">
        <v>960</v>
      </c>
      <c r="U3679" s="55" t="s">
        <v>1805</v>
      </c>
      <c r="V3679" s="55" t="s">
        <v>1688</v>
      </c>
      <c r="Y3679" s="55" t="s">
        <v>1822</v>
      </c>
      <c r="Z3679" s="55" t="s">
        <v>1349</v>
      </c>
      <c r="AA3679" s="90" t="s">
        <v>1677</v>
      </c>
      <c r="AE3679" s="90">
        <v>71</v>
      </c>
      <c r="AF3679" s="90">
        <v>12</v>
      </c>
      <c r="AH3679" s="55" t="s">
        <v>174</v>
      </c>
      <c r="AI3679" s="168">
        <v>4.51</v>
      </c>
      <c r="AJ3679" s="90">
        <v>0.74</v>
      </c>
      <c r="AM3679" s="55" t="s">
        <v>2677</v>
      </c>
      <c r="AN3679" s="185" t="s">
        <v>3294</v>
      </c>
      <c r="AO3679" s="185" t="s">
        <v>5150</v>
      </c>
      <c r="AQ3679" s="55" t="s">
        <v>553</v>
      </c>
      <c r="AR3679" s="55" t="s">
        <v>1607</v>
      </c>
      <c r="AS3679" s="55" t="s">
        <v>132</v>
      </c>
      <c r="AU3679" s="181" t="s">
        <v>7494</v>
      </c>
      <c r="AV3679" s="185" t="s">
        <v>176</v>
      </c>
      <c r="AX3679" s="185" t="s">
        <v>176</v>
      </c>
      <c r="BK3679" s="55" t="s">
        <v>6333</v>
      </c>
      <c r="BM3679" s="192" t="s">
        <v>3293</v>
      </c>
      <c r="BN3679" s="55">
        <v>4</v>
      </c>
      <c r="BO3679" s="55">
        <v>4</v>
      </c>
      <c r="BQ3679" s="55" t="s">
        <v>141</v>
      </c>
      <c r="CB3679" s="66">
        <v>1700</v>
      </c>
      <c r="CC3679" s="66">
        <v>2800</v>
      </c>
      <c r="GP3679" s="292" t="s">
        <v>7494</v>
      </c>
      <c r="GY3679" s="65">
        <v>4.0999999999999996</v>
      </c>
      <c r="GZ3679" s="65">
        <v>8.8000000000000007</v>
      </c>
      <c r="HC3679" s="65" t="s">
        <v>3304</v>
      </c>
    </row>
    <row r="3680" spans="1:211" x14ac:dyDescent="0.25">
      <c r="A3680" s="55">
        <v>3679</v>
      </c>
      <c r="B3680" s="12" t="s">
        <v>7067</v>
      </c>
      <c r="C3680" s="155">
        <v>168</v>
      </c>
      <c r="D3680" s="55" t="s">
        <v>3302</v>
      </c>
      <c r="E3680" s="90" t="s">
        <v>3240</v>
      </c>
      <c r="G3680" s="55" t="s">
        <v>3275</v>
      </c>
      <c r="H3680" s="55">
        <v>2005</v>
      </c>
      <c r="I3680" s="55">
        <v>2002</v>
      </c>
      <c r="J3680" s="55" t="s">
        <v>3284</v>
      </c>
      <c r="K3680" s="55" t="s">
        <v>3286</v>
      </c>
      <c r="L3680" s="55" t="s">
        <v>2750</v>
      </c>
      <c r="M3680" s="90">
        <v>-13.25</v>
      </c>
      <c r="N3680" s="90">
        <v>32.6</v>
      </c>
      <c r="O3680" s="90">
        <v>1015</v>
      </c>
      <c r="Q3680" s="55">
        <v>20.5</v>
      </c>
      <c r="S3680" s="90">
        <v>960</v>
      </c>
      <c r="U3680" s="55" t="s">
        <v>1805</v>
      </c>
      <c r="V3680" s="55" t="s">
        <v>1688</v>
      </c>
      <c r="Y3680" s="55" t="s">
        <v>1822</v>
      </c>
      <c r="Z3680" s="55" t="s">
        <v>1349</v>
      </c>
      <c r="AA3680" s="90" t="s">
        <v>1677</v>
      </c>
      <c r="AE3680" s="90">
        <v>71</v>
      </c>
      <c r="AF3680" s="90">
        <v>12</v>
      </c>
      <c r="AH3680" s="55" t="s">
        <v>174</v>
      </c>
      <c r="AI3680" s="168">
        <v>4.51</v>
      </c>
      <c r="AJ3680" s="90">
        <v>0.74</v>
      </c>
      <c r="AM3680" s="55" t="s">
        <v>2677</v>
      </c>
      <c r="AN3680" s="185" t="s">
        <v>2838</v>
      </c>
      <c r="AO3680" s="185" t="s">
        <v>5150</v>
      </c>
      <c r="AQ3680" s="55" t="s">
        <v>553</v>
      </c>
      <c r="AR3680" s="55" t="s">
        <v>1607</v>
      </c>
      <c r="AS3680" s="55" t="s">
        <v>132</v>
      </c>
      <c r="AU3680" s="181" t="s">
        <v>7494</v>
      </c>
      <c r="AV3680" s="185" t="s">
        <v>176</v>
      </c>
      <c r="AX3680" s="185" t="s">
        <v>176</v>
      </c>
      <c r="BK3680" s="55" t="s">
        <v>6333</v>
      </c>
      <c r="BM3680" s="192" t="s">
        <v>3293</v>
      </c>
      <c r="BN3680" s="55">
        <v>4</v>
      </c>
      <c r="BO3680" s="55">
        <v>4</v>
      </c>
      <c r="BQ3680" s="55" t="s">
        <v>141</v>
      </c>
      <c r="CB3680" s="66">
        <v>1700</v>
      </c>
      <c r="CC3680" s="66">
        <v>4400</v>
      </c>
      <c r="GP3680" s="292" t="s">
        <v>7494</v>
      </c>
      <c r="GY3680" s="65">
        <v>4.0999999999999996</v>
      </c>
      <c r="GZ3680" s="65">
        <v>6</v>
      </c>
      <c r="HC3680" s="65" t="s">
        <v>3304</v>
      </c>
    </row>
    <row r="3681" spans="1:211" x14ac:dyDescent="0.25">
      <c r="A3681" s="55">
        <v>3680</v>
      </c>
      <c r="B3681" s="12" t="s">
        <v>7067</v>
      </c>
      <c r="C3681" s="155">
        <v>168</v>
      </c>
      <c r="D3681" s="55" t="s">
        <v>3302</v>
      </c>
      <c r="E3681" s="90" t="s">
        <v>3240</v>
      </c>
      <c r="G3681" s="55" t="s">
        <v>3275</v>
      </c>
      <c r="H3681" s="55">
        <v>2005</v>
      </c>
      <c r="I3681" s="55">
        <v>2002</v>
      </c>
      <c r="J3681" s="55" t="s">
        <v>3284</v>
      </c>
      <c r="K3681" s="55" t="s">
        <v>3286</v>
      </c>
      <c r="L3681" s="55" t="s">
        <v>2750</v>
      </c>
      <c r="M3681" s="90">
        <v>-13.25</v>
      </c>
      <c r="N3681" s="90">
        <v>32.6</v>
      </c>
      <c r="O3681" s="90">
        <v>1015</v>
      </c>
      <c r="Q3681" s="55">
        <v>20.5</v>
      </c>
      <c r="S3681" s="90">
        <v>960</v>
      </c>
      <c r="U3681" s="55" t="s">
        <v>1805</v>
      </c>
      <c r="V3681" s="55" t="s">
        <v>1688</v>
      </c>
      <c r="Y3681" s="55" t="s">
        <v>1822</v>
      </c>
      <c r="Z3681" s="55" t="s">
        <v>1349</v>
      </c>
      <c r="AA3681" s="90" t="s">
        <v>1677</v>
      </c>
      <c r="AE3681" s="90">
        <v>71</v>
      </c>
      <c r="AF3681" s="90">
        <v>12</v>
      </c>
      <c r="AH3681" s="55" t="s">
        <v>174</v>
      </c>
      <c r="AI3681" s="168">
        <v>4.51</v>
      </c>
      <c r="AJ3681" s="90">
        <v>0.74</v>
      </c>
      <c r="AM3681" s="55" t="s">
        <v>2677</v>
      </c>
      <c r="AN3681" s="185" t="s">
        <v>3084</v>
      </c>
      <c r="AO3681" s="185" t="s">
        <v>5150</v>
      </c>
      <c r="AQ3681" s="55" t="s">
        <v>553</v>
      </c>
      <c r="AR3681" s="55" t="s">
        <v>1607</v>
      </c>
      <c r="AS3681" s="55" t="s">
        <v>132</v>
      </c>
      <c r="AU3681" s="181" t="s">
        <v>7494</v>
      </c>
      <c r="AV3681" s="185" t="s">
        <v>176</v>
      </c>
      <c r="AX3681" s="185" t="s">
        <v>176</v>
      </c>
      <c r="BK3681" s="55" t="s">
        <v>6333</v>
      </c>
      <c r="BM3681" s="192" t="s">
        <v>3293</v>
      </c>
      <c r="BN3681" s="55">
        <v>4</v>
      </c>
      <c r="BO3681" s="55">
        <v>4</v>
      </c>
      <c r="BQ3681" s="55" t="s">
        <v>141</v>
      </c>
      <c r="CB3681" s="66">
        <v>1700</v>
      </c>
      <c r="CC3681" s="66">
        <v>3300</v>
      </c>
      <c r="GP3681" s="292" t="s">
        <v>7494</v>
      </c>
      <c r="GY3681" s="65">
        <v>4.0999999999999996</v>
      </c>
      <c r="GZ3681" s="65">
        <v>13.4</v>
      </c>
      <c r="HC3681" s="65" t="s">
        <v>3304</v>
      </c>
    </row>
    <row r="3682" spans="1:211" x14ac:dyDescent="0.25">
      <c r="A3682" s="55">
        <v>3681</v>
      </c>
      <c r="B3682" s="12" t="s">
        <v>7067</v>
      </c>
      <c r="C3682" s="155">
        <v>168</v>
      </c>
      <c r="D3682" s="55" t="s">
        <v>3302</v>
      </c>
      <c r="E3682" s="90" t="s">
        <v>3240</v>
      </c>
      <c r="G3682" s="55" t="s">
        <v>3275</v>
      </c>
      <c r="H3682" s="55">
        <v>2005</v>
      </c>
      <c r="I3682" s="55">
        <v>2002</v>
      </c>
      <c r="J3682" s="55" t="s">
        <v>3284</v>
      </c>
      <c r="K3682" s="55" t="s">
        <v>3286</v>
      </c>
      <c r="L3682" s="55" t="s">
        <v>2750</v>
      </c>
      <c r="M3682" s="90">
        <v>-13.25</v>
      </c>
      <c r="N3682" s="90">
        <v>32.6</v>
      </c>
      <c r="O3682" s="90">
        <v>1015</v>
      </c>
      <c r="Q3682" s="55">
        <v>20.5</v>
      </c>
      <c r="S3682" s="90">
        <v>960</v>
      </c>
      <c r="U3682" s="55" t="s">
        <v>1805</v>
      </c>
      <c r="V3682" s="55" t="s">
        <v>1688</v>
      </c>
      <c r="Y3682" s="55" t="s">
        <v>1822</v>
      </c>
      <c r="Z3682" s="55" t="s">
        <v>1349</v>
      </c>
      <c r="AA3682" s="90" t="s">
        <v>1677</v>
      </c>
      <c r="AE3682" s="90">
        <v>71</v>
      </c>
      <c r="AF3682" s="90">
        <v>12</v>
      </c>
      <c r="AH3682" s="55" t="s">
        <v>174</v>
      </c>
      <c r="AI3682" s="168">
        <v>4.51</v>
      </c>
      <c r="AJ3682" s="90">
        <v>0.74</v>
      </c>
      <c r="AM3682" s="55" t="s">
        <v>2677</v>
      </c>
      <c r="AN3682" s="185" t="s">
        <v>3295</v>
      </c>
      <c r="AO3682" s="185" t="s">
        <v>5150</v>
      </c>
      <c r="AQ3682" s="55" t="s">
        <v>553</v>
      </c>
      <c r="AR3682" s="55" t="s">
        <v>1607</v>
      </c>
      <c r="AS3682" s="55" t="s">
        <v>132</v>
      </c>
      <c r="AU3682" s="181" t="s">
        <v>7494</v>
      </c>
      <c r="AV3682" s="185" t="s">
        <v>176</v>
      </c>
      <c r="AX3682" s="185" t="s">
        <v>176</v>
      </c>
      <c r="BK3682" s="55" t="s">
        <v>6333</v>
      </c>
      <c r="BM3682" s="192" t="s">
        <v>3293</v>
      </c>
      <c r="BN3682" s="55">
        <v>4</v>
      </c>
      <c r="BO3682" s="55">
        <v>4</v>
      </c>
      <c r="BQ3682" s="55" t="s">
        <v>141</v>
      </c>
      <c r="CB3682" s="66">
        <v>1700</v>
      </c>
      <c r="CC3682" s="66">
        <v>2800</v>
      </c>
      <c r="GP3682" s="292" t="s">
        <v>7494</v>
      </c>
      <c r="GY3682" s="65">
        <v>4.0999999999999996</v>
      </c>
      <c r="GZ3682" s="65">
        <v>18</v>
      </c>
      <c r="HC3682" s="65" t="s">
        <v>3304</v>
      </c>
    </row>
    <row r="3683" spans="1:211" x14ac:dyDescent="0.25">
      <c r="A3683" s="55">
        <v>3682</v>
      </c>
      <c r="B3683" s="12" t="s">
        <v>7067</v>
      </c>
      <c r="C3683" s="155">
        <v>168</v>
      </c>
      <c r="D3683" s="55" t="s">
        <v>3302</v>
      </c>
      <c r="E3683" s="90" t="s">
        <v>3240</v>
      </c>
      <c r="G3683" s="55" t="s">
        <v>3275</v>
      </c>
      <c r="H3683" s="55">
        <v>2005</v>
      </c>
      <c r="I3683" s="55">
        <v>2002</v>
      </c>
      <c r="J3683" s="55" t="s">
        <v>3284</v>
      </c>
      <c r="K3683" s="55" t="s">
        <v>3286</v>
      </c>
      <c r="L3683" s="55" t="s">
        <v>2750</v>
      </c>
      <c r="M3683" s="90">
        <v>-13.25</v>
      </c>
      <c r="N3683" s="90">
        <v>32.6</v>
      </c>
      <c r="O3683" s="90">
        <v>1015</v>
      </c>
      <c r="Q3683" s="55">
        <v>20.5</v>
      </c>
      <c r="S3683" s="90">
        <v>960</v>
      </c>
      <c r="U3683" s="55" t="s">
        <v>1805</v>
      </c>
      <c r="V3683" s="55" t="s">
        <v>1688</v>
      </c>
      <c r="Y3683" s="55" t="s">
        <v>1822</v>
      </c>
      <c r="Z3683" s="55" t="s">
        <v>1349</v>
      </c>
      <c r="AA3683" s="90" t="s">
        <v>1677</v>
      </c>
      <c r="AE3683" s="90">
        <v>71</v>
      </c>
      <c r="AF3683" s="90">
        <v>12</v>
      </c>
      <c r="AH3683" s="55" t="s">
        <v>174</v>
      </c>
      <c r="AI3683" s="168">
        <v>4.51</v>
      </c>
      <c r="AJ3683" s="90">
        <v>0.74</v>
      </c>
      <c r="AM3683" s="55" t="s">
        <v>2677</v>
      </c>
      <c r="AN3683" s="185" t="s">
        <v>3296</v>
      </c>
      <c r="AO3683" s="185" t="s">
        <v>5150</v>
      </c>
      <c r="AQ3683" s="55" t="s">
        <v>553</v>
      </c>
      <c r="AR3683" s="55" t="s">
        <v>1607</v>
      </c>
      <c r="AS3683" s="55" t="s">
        <v>132</v>
      </c>
      <c r="AU3683" s="181" t="s">
        <v>7494</v>
      </c>
      <c r="AV3683" s="185" t="s">
        <v>176</v>
      </c>
      <c r="AX3683" s="185" t="s">
        <v>176</v>
      </c>
      <c r="BK3683" s="55" t="s">
        <v>6333</v>
      </c>
      <c r="BM3683" s="192" t="s">
        <v>3293</v>
      </c>
      <c r="BN3683" s="55">
        <v>4</v>
      </c>
      <c r="BO3683" s="55">
        <v>4</v>
      </c>
      <c r="BQ3683" s="55" t="s">
        <v>141</v>
      </c>
      <c r="CB3683" s="66">
        <v>1700</v>
      </c>
      <c r="CC3683" s="66">
        <v>3200</v>
      </c>
      <c r="GP3683" s="292" t="s">
        <v>7494</v>
      </c>
      <c r="GY3683" s="65">
        <v>4.0999999999999996</v>
      </c>
      <c r="GZ3683" s="65">
        <v>11.3</v>
      </c>
      <c r="HC3683" s="65" t="s">
        <v>3304</v>
      </c>
    </row>
    <row r="3684" spans="1:211" x14ac:dyDescent="0.25">
      <c r="A3684" s="55">
        <v>3683</v>
      </c>
      <c r="B3684" s="12" t="s">
        <v>7067</v>
      </c>
      <c r="C3684" s="155">
        <v>168</v>
      </c>
      <c r="D3684" s="55" t="s">
        <v>3302</v>
      </c>
      <c r="E3684" s="90" t="s">
        <v>3240</v>
      </c>
      <c r="G3684" s="55" t="s">
        <v>3275</v>
      </c>
      <c r="H3684" s="55">
        <v>2005</v>
      </c>
      <c r="I3684" s="55">
        <v>2002</v>
      </c>
      <c r="J3684" s="55" t="s">
        <v>3284</v>
      </c>
      <c r="K3684" s="55" t="s">
        <v>3286</v>
      </c>
      <c r="L3684" s="55" t="s">
        <v>2750</v>
      </c>
      <c r="M3684" s="90">
        <v>-13.25</v>
      </c>
      <c r="N3684" s="90">
        <v>32.6</v>
      </c>
      <c r="O3684" s="90">
        <v>1015</v>
      </c>
      <c r="Q3684" s="55">
        <v>20.5</v>
      </c>
      <c r="S3684" s="90">
        <v>960</v>
      </c>
      <c r="U3684" s="55" t="s">
        <v>1805</v>
      </c>
      <c r="V3684" s="55" t="s">
        <v>1688</v>
      </c>
      <c r="Y3684" s="55" t="s">
        <v>1822</v>
      </c>
      <c r="Z3684" s="55" t="s">
        <v>1349</v>
      </c>
      <c r="AA3684" s="90" t="s">
        <v>1677</v>
      </c>
      <c r="AE3684" s="90">
        <v>71</v>
      </c>
      <c r="AF3684" s="90">
        <v>12</v>
      </c>
      <c r="AH3684" s="55" t="s">
        <v>174</v>
      </c>
      <c r="AI3684" s="168">
        <v>4.51</v>
      </c>
      <c r="AJ3684" s="90">
        <v>0.74</v>
      </c>
      <c r="AM3684" s="55" t="s">
        <v>2677</v>
      </c>
      <c r="AN3684" s="185" t="s">
        <v>3297</v>
      </c>
      <c r="AO3684" s="185" t="s">
        <v>5150</v>
      </c>
      <c r="AQ3684" s="55" t="s">
        <v>553</v>
      </c>
      <c r="AR3684" s="55" t="s">
        <v>1607</v>
      </c>
      <c r="AS3684" s="55" t="s">
        <v>132</v>
      </c>
      <c r="AU3684" s="181" t="s">
        <v>7494</v>
      </c>
      <c r="AV3684" s="185" t="s">
        <v>176</v>
      </c>
      <c r="AX3684" s="185" t="s">
        <v>176</v>
      </c>
      <c r="BK3684" s="55" t="s">
        <v>6333</v>
      </c>
      <c r="BM3684" s="192" t="s">
        <v>3293</v>
      </c>
      <c r="BN3684" s="55">
        <v>4</v>
      </c>
      <c r="BO3684" s="55">
        <v>4</v>
      </c>
      <c r="BQ3684" s="55" t="s">
        <v>141</v>
      </c>
      <c r="CB3684" s="66">
        <v>1700</v>
      </c>
      <c r="CC3684" s="66">
        <v>2300</v>
      </c>
      <c r="GP3684" s="292" t="s">
        <v>7494</v>
      </c>
      <c r="GY3684" s="65">
        <v>4.0999999999999996</v>
      </c>
      <c r="GZ3684" s="65">
        <v>8.1</v>
      </c>
      <c r="HC3684" s="65" t="s">
        <v>3304</v>
      </c>
    </row>
    <row r="3685" spans="1:211" x14ac:dyDescent="0.25">
      <c r="A3685" s="55">
        <v>3684</v>
      </c>
      <c r="B3685" s="12" t="s">
        <v>7067</v>
      </c>
      <c r="C3685" s="155">
        <v>168</v>
      </c>
      <c r="D3685" s="55" t="s">
        <v>3302</v>
      </c>
      <c r="E3685" s="90" t="s">
        <v>3240</v>
      </c>
      <c r="G3685" s="55" t="s">
        <v>3275</v>
      </c>
      <c r="H3685" s="55">
        <v>2005</v>
      </c>
      <c r="I3685" s="55">
        <v>2002</v>
      </c>
      <c r="J3685" s="55" t="s">
        <v>3284</v>
      </c>
      <c r="K3685" s="55" t="s">
        <v>3286</v>
      </c>
      <c r="L3685" s="55" t="s">
        <v>2750</v>
      </c>
      <c r="M3685" s="90">
        <v>-13.25</v>
      </c>
      <c r="N3685" s="90">
        <v>32.6</v>
      </c>
      <c r="O3685" s="90">
        <v>1015</v>
      </c>
      <c r="Q3685" s="55">
        <v>20.5</v>
      </c>
      <c r="S3685" s="90">
        <v>960</v>
      </c>
      <c r="U3685" s="55" t="s">
        <v>1805</v>
      </c>
      <c r="V3685" s="55" t="s">
        <v>1688</v>
      </c>
      <c r="Y3685" s="55" t="s">
        <v>1822</v>
      </c>
      <c r="Z3685" s="55" t="s">
        <v>1349</v>
      </c>
      <c r="AA3685" s="90" t="s">
        <v>1677</v>
      </c>
      <c r="AE3685" s="90">
        <v>71</v>
      </c>
      <c r="AF3685" s="90">
        <v>12</v>
      </c>
      <c r="AH3685" s="55" t="s">
        <v>174</v>
      </c>
      <c r="AI3685" s="168">
        <v>4.51</v>
      </c>
      <c r="AJ3685" s="90">
        <v>0.74</v>
      </c>
      <c r="AM3685" s="55" t="s">
        <v>2677</v>
      </c>
      <c r="AN3685" s="185" t="s">
        <v>3298</v>
      </c>
      <c r="AO3685" s="185" t="s">
        <v>5150</v>
      </c>
      <c r="AQ3685" s="55" t="s">
        <v>553</v>
      </c>
      <c r="AR3685" s="55" t="s">
        <v>1607</v>
      </c>
      <c r="AS3685" s="55" t="s">
        <v>132</v>
      </c>
      <c r="AU3685" s="181" t="s">
        <v>7494</v>
      </c>
      <c r="AV3685" s="185" t="s">
        <v>176</v>
      </c>
      <c r="AX3685" s="185" t="s">
        <v>176</v>
      </c>
      <c r="BK3685" s="55" t="s">
        <v>6333</v>
      </c>
      <c r="BM3685" s="192" t="s">
        <v>3293</v>
      </c>
      <c r="BN3685" s="55">
        <v>4</v>
      </c>
      <c r="BO3685" s="55">
        <v>4</v>
      </c>
      <c r="BQ3685" s="55" t="s">
        <v>141</v>
      </c>
      <c r="CB3685" s="66">
        <v>1700</v>
      </c>
      <c r="CC3685" s="66">
        <v>3400</v>
      </c>
      <c r="GP3685" s="292" t="s">
        <v>7494</v>
      </c>
      <c r="GY3685" s="65">
        <v>4.0999999999999996</v>
      </c>
      <c r="GZ3685" s="65">
        <v>9.3000000000000007</v>
      </c>
      <c r="HC3685" s="65" t="s">
        <v>3304</v>
      </c>
    </row>
    <row r="3686" spans="1:211" x14ac:dyDescent="0.25">
      <c r="A3686" s="55">
        <v>3685</v>
      </c>
      <c r="B3686" s="12" t="s">
        <v>7067</v>
      </c>
      <c r="C3686" s="155">
        <v>168</v>
      </c>
      <c r="D3686" s="55" t="s">
        <v>3302</v>
      </c>
      <c r="E3686" s="90" t="s">
        <v>3240</v>
      </c>
      <c r="G3686" s="55" t="s">
        <v>3275</v>
      </c>
      <c r="H3686" s="55">
        <v>2005</v>
      </c>
      <c r="I3686" s="55">
        <v>2002</v>
      </c>
      <c r="J3686" s="55" t="s">
        <v>3284</v>
      </c>
      <c r="K3686" s="55" t="s">
        <v>3286</v>
      </c>
      <c r="L3686" s="55" t="s">
        <v>2750</v>
      </c>
      <c r="M3686" s="90">
        <v>-13.25</v>
      </c>
      <c r="N3686" s="90">
        <v>32.6</v>
      </c>
      <c r="O3686" s="90">
        <v>1015</v>
      </c>
      <c r="Q3686" s="55">
        <v>20.5</v>
      </c>
      <c r="S3686" s="90">
        <v>960</v>
      </c>
      <c r="U3686" s="55" t="s">
        <v>1805</v>
      </c>
      <c r="V3686" s="55" t="s">
        <v>1688</v>
      </c>
      <c r="Y3686" s="55" t="s">
        <v>1822</v>
      </c>
      <c r="Z3686" s="55" t="s">
        <v>1349</v>
      </c>
      <c r="AA3686" s="90" t="s">
        <v>1677</v>
      </c>
      <c r="AE3686" s="90">
        <v>71</v>
      </c>
      <c r="AF3686" s="90">
        <v>12</v>
      </c>
      <c r="AH3686" s="55" t="s">
        <v>174</v>
      </c>
      <c r="AI3686" s="168">
        <v>4.51</v>
      </c>
      <c r="AJ3686" s="90">
        <v>0.74</v>
      </c>
      <c r="AM3686" s="55" t="s">
        <v>2677</v>
      </c>
      <c r="AN3686" s="185" t="s">
        <v>3299</v>
      </c>
      <c r="AO3686" s="185" t="s">
        <v>5150</v>
      </c>
      <c r="AQ3686" s="55" t="s">
        <v>553</v>
      </c>
      <c r="AR3686" s="55" t="s">
        <v>1607</v>
      </c>
      <c r="AS3686" s="55" t="s">
        <v>132</v>
      </c>
      <c r="AU3686" s="181" t="s">
        <v>7494</v>
      </c>
      <c r="AV3686" s="185" t="s">
        <v>176</v>
      </c>
      <c r="AX3686" s="185" t="s">
        <v>176</v>
      </c>
      <c r="BK3686" s="55" t="s">
        <v>6333</v>
      </c>
      <c r="BM3686" s="192" t="s">
        <v>3293</v>
      </c>
      <c r="BN3686" s="55">
        <v>4</v>
      </c>
      <c r="BO3686" s="55">
        <v>4</v>
      </c>
      <c r="BQ3686" s="55" t="s">
        <v>141</v>
      </c>
      <c r="CB3686" s="66">
        <v>1700</v>
      </c>
      <c r="CC3686" s="66">
        <v>2900</v>
      </c>
      <c r="GP3686" s="292" t="s">
        <v>7494</v>
      </c>
      <c r="GY3686" s="65">
        <v>4.0999999999999996</v>
      </c>
      <c r="GZ3686" s="65">
        <v>4.9000000000000004</v>
      </c>
      <c r="HC3686" s="65" t="s">
        <v>3304</v>
      </c>
    </row>
    <row r="3687" spans="1:211" x14ac:dyDescent="0.25">
      <c r="A3687" s="55">
        <v>3686</v>
      </c>
      <c r="B3687" s="12" t="s">
        <v>7067</v>
      </c>
      <c r="C3687" s="155">
        <v>168</v>
      </c>
      <c r="D3687" s="55" t="s">
        <v>3303</v>
      </c>
      <c r="E3687" s="90" t="s">
        <v>3240</v>
      </c>
      <c r="G3687" s="55" t="s">
        <v>3275</v>
      </c>
      <c r="H3687" s="55">
        <v>2005</v>
      </c>
      <c r="I3687" s="55">
        <v>2002</v>
      </c>
      <c r="J3687" s="55" t="s">
        <v>3284</v>
      </c>
      <c r="K3687" s="55" t="s">
        <v>3287</v>
      </c>
      <c r="L3687" s="55" t="s">
        <v>2750</v>
      </c>
      <c r="M3687" s="90">
        <v>-13.14</v>
      </c>
      <c r="N3687" s="90">
        <v>27.84</v>
      </c>
      <c r="O3687" s="90">
        <v>1204</v>
      </c>
      <c r="S3687" s="90">
        <v>960</v>
      </c>
      <c r="U3687" s="55" t="s">
        <v>1805</v>
      </c>
      <c r="V3687" s="55" t="s">
        <v>1688</v>
      </c>
      <c r="Y3687" s="55" t="s">
        <v>1822</v>
      </c>
      <c r="Z3687" s="55" t="s">
        <v>1349</v>
      </c>
      <c r="AA3687" s="90" t="s">
        <v>1677</v>
      </c>
      <c r="AE3687" s="90">
        <v>84</v>
      </c>
      <c r="AF3687" s="90">
        <v>9</v>
      </c>
      <c r="AH3687" s="55" t="s">
        <v>201</v>
      </c>
      <c r="AI3687" s="168">
        <v>4.96</v>
      </c>
      <c r="AJ3687" s="90">
        <v>0.56000000000000005</v>
      </c>
      <c r="AN3687" s="185" t="s">
        <v>3294</v>
      </c>
      <c r="AO3687" s="185" t="s">
        <v>5150</v>
      </c>
      <c r="AQ3687" s="55" t="s">
        <v>553</v>
      </c>
      <c r="AR3687" s="55" t="s">
        <v>1607</v>
      </c>
      <c r="AS3687" s="55" t="s">
        <v>132</v>
      </c>
      <c r="AU3687" s="181" t="s">
        <v>7494</v>
      </c>
      <c r="AV3687" s="185" t="s">
        <v>176</v>
      </c>
      <c r="AX3687" s="185" t="s">
        <v>176</v>
      </c>
      <c r="BK3687" s="55" t="s">
        <v>6333</v>
      </c>
      <c r="BM3687" s="192" t="s">
        <v>3292</v>
      </c>
      <c r="BN3687" s="55">
        <v>4</v>
      </c>
      <c r="BO3687" s="55">
        <v>4</v>
      </c>
      <c r="BQ3687" s="55" t="s">
        <v>141</v>
      </c>
      <c r="CB3687" s="66">
        <v>700</v>
      </c>
      <c r="CC3687" s="66">
        <v>1200</v>
      </c>
      <c r="GP3687" s="292" t="s">
        <v>7494</v>
      </c>
      <c r="GY3687" s="65">
        <v>12.6</v>
      </c>
      <c r="GZ3687" s="65">
        <v>8.3000000000000007</v>
      </c>
      <c r="HC3687" s="65" t="s">
        <v>3304</v>
      </c>
    </row>
    <row r="3688" spans="1:211" x14ac:dyDescent="0.25">
      <c r="A3688" s="55">
        <v>3687</v>
      </c>
      <c r="B3688" s="12" t="s">
        <v>7067</v>
      </c>
      <c r="C3688" s="155">
        <v>168</v>
      </c>
      <c r="D3688" s="55" t="s">
        <v>3303</v>
      </c>
      <c r="E3688" s="90" t="s">
        <v>3240</v>
      </c>
      <c r="G3688" s="55" t="s">
        <v>3275</v>
      </c>
      <c r="H3688" s="55">
        <v>2005</v>
      </c>
      <c r="I3688" s="55">
        <v>2002</v>
      </c>
      <c r="J3688" s="55" t="s">
        <v>3284</v>
      </c>
      <c r="K3688" s="55" t="s">
        <v>3287</v>
      </c>
      <c r="L3688" s="55" t="s">
        <v>2750</v>
      </c>
      <c r="M3688" s="90">
        <v>-13.14</v>
      </c>
      <c r="N3688" s="90">
        <v>27.84</v>
      </c>
      <c r="O3688" s="90">
        <v>1204</v>
      </c>
      <c r="S3688" s="90">
        <v>960</v>
      </c>
      <c r="U3688" s="55" t="s">
        <v>1805</v>
      </c>
      <c r="V3688" s="55" t="s">
        <v>1688</v>
      </c>
      <c r="Y3688" s="55" t="s">
        <v>1822</v>
      </c>
      <c r="Z3688" s="55" t="s">
        <v>1349</v>
      </c>
      <c r="AA3688" s="90" t="s">
        <v>1677</v>
      </c>
      <c r="AE3688" s="90">
        <v>84</v>
      </c>
      <c r="AF3688" s="90">
        <v>9</v>
      </c>
      <c r="AH3688" s="55" t="s">
        <v>201</v>
      </c>
      <c r="AI3688" s="168">
        <v>4.96</v>
      </c>
      <c r="AJ3688" s="90">
        <v>0.56000000000000005</v>
      </c>
      <c r="AN3688" s="185" t="s">
        <v>2838</v>
      </c>
      <c r="AO3688" s="185" t="s">
        <v>5150</v>
      </c>
      <c r="AQ3688" s="55" t="s">
        <v>553</v>
      </c>
      <c r="AR3688" s="55" t="s">
        <v>1607</v>
      </c>
      <c r="AS3688" s="55" t="s">
        <v>132</v>
      </c>
      <c r="AU3688" s="181" t="s">
        <v>7494</v>
      </c>
      <c r="AV3688" s="185" t="s">
        <v>176</v>
      </c>
      <c r="AX3688" s="185" t="s">
        <v>176</v>
      </c>
      <c r="BK3688" s="55" t="s">
        <v>6333</v>
      </c>
      <c r="BM3688" s="192" t="s">
        <v>3292</v>
      </c>
      <c r="BN3688" s="55">
        <v>4</v>
      </c>
      <c r="BO3688" s="55">
        <v>4</v>
      </c>
      <c r="BQ3688" s="55" t="s">
        <v>141</v>
      </c>
      <c r="CB3688" s="66">
        <v>700</v>
      </c>
      <c r="CC3688" s="66">
        <v>2300</v>
      </c>
      <c r="GP3688" s="292" t="s">
        <v>7494</v>
      </c>
      <c r="GY3688" s="65">
        <v>12.6</v>
      </c>
      <c r="GZ3688" s="65">
        <v>18.5</v>
      </c>
      <c r="HC3688" s="65" t="s">
        <v>3304</v>
      </c>
    </row>
    <row r="3689" spans="1:211" x14ac:dyDescent="0.25">
      <c r="A3689" s="55">
        <v>3688</v>
      </c>
      <c r="B3689" s="12" t="s">
        <v>7067</v>
      </c>
      <c r="C3689" s="155">
        <v>168</v>
      </c>
      <c r="D3689" s="55" t="s">
        <v>3303</v>
      </c>
      <c r="E3689" s="90" t="s">
        <v>3240</v>
      </c>
      <c r="G3689" s="55" t="s">
        <v>3275</v>
      </c>
      <c r="H3689" s="55">
        <v>2005</v>
      </c>
      <c r="I3689" s="55">
        <v>2002</v>
      </c>
      <c r="J3689" s="55" t="s">
        <v>3284</v>
      </c>
      <c r="K3689" s="55" t="s">
        <v>3287</v>
      </c>
      <c r="L3689" s="55" t="s">
        <v>2750</v>
      </c>
      <c r="M3689" s="90">
        <v>-13.14</v>
      </c>
      <c r="N3689" s="90">
        <v>27.84</v>
      </c>
      <c r="O3689" s="90">
        <v>1204</v>
      </c>
      <c r="S3689" s="90">
        <v>960</v>
      </c>
      <c r="U3689" s="55" t="s">
        <v>1805</v>
      </c>
      <c r="V3689" s="55" t="s">
        <v>1688</v>
      </c>
      <c r="Y3689" s="55" t="s">
        <v>1822</v>
      </c>
      <c r="Z3689" s="55" t="s">
        <v>1349</v>
      </c>
      <c r="AA3689" s="90" t="s">
        <v>1677</v>
      </c>
      <c r="AE3689" s="90">
        <v>84</v>
      </c>
      <c r="AF3689" s="90">
        <v>9</v>
      </c>
      <c r="AH3689" s="55" t="s">
        <v>201</v>
      </c>
      <c r="AI3689" s="168">
        <v>4.96</v>
      </c>
      <c r="AJ3689" s="90">
        <v>0.56000000000000005</v>
      </c>
      <c r="AN3689" s="185" t="s">
        <v>3084</v>
      </c>
      <c r="AO3689" s="185" t="s">
        <v>5150</v>
      </c>
      <c r="AQ3689" s="55" t="s">
        <v>553</v>
      </c>
      <c r="AR3689" s="55" t="s">
        <v>1607</v>
      </c>
      <c r="AS3689" s="55" t="s">
        <v>132</v>
      </c>
      <c r="AU3689" s="181" t="s">
        <v>7494</v>
      </c>
      <c r="AV3689" s="185" t="s">
        <v>176</v>
      </c>
      <c r="AX3689" s="185" t="s">
        <v>176</v>
      </c>
      <c r="BK3689" s="55" t="s">
        <v>6333</v>
      </c>
      <c r="BM3689" s="192" t="s">
        <v>3292</v>
      </c>
      <c r="BN3689" s="55">
        <v>4</v>
      </c>
      <c r="BO3689" s="55">
        <v>4</v>
      </c>
      <c r="BQ3689" s="55" t="s">
        <v>141</v>
      </c>
      <c r="CB3689" s="66">
        <v>700</v>
      </c>
      <c r="CC3689" s="66">
        <v>1500</v>
      </c>
      <c r="GP3689" s="292" t="s">
        <v>7494</v>
      </c>
      <c r="GY3689" s="65">
        <v>12.6</v>
      </c>
      <c r="GZ3689" s="65">
        <v>1.4</v>
      </c>
      <c r="HC3689" s="65" t="s">
        <v>3304</v>
      </c>
    </row>
    <row r="3690" spans="1:211" x14ac:dyDescent="0.25">
      <c r="A3690" s="55">
        <v>3689</v>
      </c>
      <c r="B3690" s="12" t="s">
        <v>7067</v>
      </c>
      <c r="C3690" s="155">
        <v>168</v>
      </c>
      <c r="D3690" s="55" t="s">
        <v>3303</v>
      </c>
      <c r="E3690" s="90" t="s">
        <v>3240</v>
      </c>
      <c r="G3690" s="55" t="s">
        <v>3275</v>
      </c>
      <c r="H3690" s="55">
        <v>2005</v>
      </c>
      <c r="I3690" s="55">
        <v>2002</v>
      </c>
      <c r="J3690" s="55" t="s">
        <v>3284</v>
      </c>
      <c r="K3690" s="55" t="s">
        <v>3287</v>
      </c>
      <c r="L3690" s="55" t="s">
        <v>2750</v>
      </c>
      <c r="M3690" s="90">
        <v>-13.14</v>
      </c>
      <c r="N3690" s="90">
        <v>27.84</v>
      </c>
      <c r="O3690" s="90">
        <v>1204</v>
      </c>
      <c r="S3690" s="90">
        <v>960</v>
      </c>
      <c r="U3690" s="55" t="s">
        <v>1805</v>
      </c>
      <c r="V3690" s="55" t="s">
        <v>1688</v>
      </c>
      <c r="Y3690" s="55" t="s">
        <v>1822</v>
      </c>
      <c r="Z3690" s="55" t="s">
        <v>1349</v>
      </c>
      <c r="AA3690" s="90" t="s">
        <v>1677</v>
      </c>
      <c r="AE3690" s="90">
        <v>84</v>
      </c>
      <c r="AF3690" s="90">
        <v>9</v>
      </c>
      <c r="AH3690" s="55" t="s">
        <v>201</v>
      </c>
      <c r="AI3690" s="168">
        <v>4.96</v>
      </c>
      <c r="AJ3690" s="90">
        <v>0.56000000000000005</v>
      </c>
      <c r="AN3690" s="185" t="s">
        <v>3295</v>
      </c>
      <c r="AO3690" s="185" t="s">
        <v>5150</v>
      </c>
      <c r="AQ3690" s="55" t="s">
        <v>553</v>
      </c>
      <c r="AR3690" s="55" t="s">
        <v>1607</v>
      </c>
      <c r="AS3690" s="55" t="s">
        <v>132</v>
      </c>
      <c r="AU3690" s="181" t="s">
        <v>7494</v>
      </c>
      <c r="AV3690" s="185" t="s">
        <v>176</v>
      </c>
      <c r="AX3690" s="185" t="s">
        <v>176</v>
      </c>
      <c r="BK3690" s="55" t="s">
        <v>6333</v>
      </c>
      <c r="BM3690" s="192" t="s">
        <v>3292</v>
      </c>
      <c r="BN3690" s="55">
        <v>4</v>
      </c>
      <c r="BO3690" s="55">
        <v>4</v>
      </c>
      <c r="BQ3690" s="55" t="s">
        <v>141</v>
      </c>
      <c r="CB3690" s="66">
        <v>700</v>
      </c>
      <c r="CC3690" s="66">
        <v>1000</v>
      </c>
      <c r="GP3690" s="292" t="s">
        <v>7494</v>
      </c>
      <c r="GY3690" s="65">
        <v>12.6</v>
      </c>
      <c r="GZ3690" s="65">
        <v>8.4</v>
      </c>
      <c r="HC3690" s="65" t="s">
        <v>3304</v>
      </c>
    </row>
    <row r="3691" spans="1:211" x14ac:dyDescent="0.25">
      <c r="A3691" s="55">
        <v>3690</v>
      </c>
      <c r="B3691" s="12" t="s">
        <v>7067</v>
      </c>
      <c r="C3691" s="155">
        <v>168</v>
      </c>
      <c r="D3691" s="55" t="s">
        <v>3303</v>
      </c>
      <c r="E3691" s="90" t="s">
        <v>3240</v>
      </c>
      <c r="G3691" s="55" t="s">
        <v>3275</v>
      </c>
      <c r="H3691" s="55">
        <v>2005</v>
      </c>
      <c r="I3691" s="55">
        <v>2002</v>
      </c>
      <c r="J3691" s="55" t="s">
        <v>3284</v>
      </c>
      <c r="K3691" s="55" t="s">
        <v>3287</v>
      </c>
      <c r="L3691" s="55" t="s">
        <v>2750</v>
      </c>
      <c r="M3691" s="90">
        <v>-13.14</v>
      </c>
      <c r="N3691" s="90">
        <v>27.84</v>
      </c>
      <c r="O3691" s="90">
        <v>1204</v>
      </c>
      <c r="S3691" s="90">
        <v>960</v>
      </c>
      <c r="U3691" s="55" t="s">
        <v>1805</v>
      </c>
      <c r="V3691" s="55" t="s">
        <v>1688</v>
      </c>
      <c r="Y3691" s="55" t="s">
        <v>1822</v>
      </c>
      <c r="Z3691" s="55" t="s">
        <v>1349</v>
      </c>
      <c r="AA3691" s="90" t="s">
        <v>1677</v>
      </c>
      <c r="AE3691" s="90">
        <v>84</v>
      </c>
      <c r="AF3691" s="90">
        <v>9</v>
      </c>
      <c r="AH3691" s="55" t="s">
        <v>201</v>
      </c>
      <c r="AI3691" s="168">
        <v>4.96</v>
      </c>
      <c r="AJ3691" s="90">
        <v>0.56000000000000005</v>
      </c>
      <c r="AN3691" s="185" t="s">
        <v>3296</v>
      </c>
      <c r="AO3691" s="185" t="s">
        <v>5150</v>
      </c>
      <c r="AQ3691" s="55" t="s">
        <v>553</v>
      </c>
      <c r="AR3691" s="55" t="s">
        <v>1607</v>
      </c>
      <c r="AS3691" s="55" t="s">
        <v>132</v>
      </c>
      <c r="AU3691" s="181" t="s">
        <v>7494</v>
      </c>
      <c r="AV3691" s="185" t="s">
        <v>176</v>
      </c>
      <c r="AX3691" s="185" t="s">
        <v>176</v>
      </c>
      <c r="BK3691" s="55" t="s">
        <v>6333</v>
      </c>
      <c r="BM3691" s="192" t="s">
        <v>3292</v>
      </c>
      <c r="BN3691" s="55">
        <v>4</v>
      </c>
      <c r="BO3691" s="55">
        <v>4</v>
      </c>
      <c r="BQ3691" s="55" t="s">
        <v>141</v>
      </c>
      <c r="CB3691" s="66">
        <v>700</v>
      </c>
      <c r="CC3691" s="66">
        <v>800</v>
      </c>
      <c r="GP3691" s="292" t="s">
        <v>7494</v>
      </c>
      <c r="GY3691" s="65">
        <v>12.6</v>
      </c>
      <c r="GZ3691" s="65">
        <v>4.7</v>
      </c>
      <c r="HC3691" s="65" t="s">
        <v>3304</v>
      </c>
    </row>
    <row r="3692" spans="1:211" x14ac:dyDescent="0.25">
      <c r="A3692" s="55">
        <v>3691</v>
      </c>
      <c r="B3692" s="12" t="s">
        <v>7067</v>
      </c>
      <c r="C3692" s="155">
        <v>168</v>
      </c>
      <c r="D3692" s="55" t="s">
        <v>3303</v>
      </c>
      <c r="E3692" s="90" t="s">
        <v>3240</v>
      </c>
      <c r="G3692" s="55" t="s">
        <v>3275</v>
      </c>
      <c r="H3692" s="55">
        <v>2005</v>
      </c>
      <c r="I3692" s="55">
        <v>2002</v>
      </c>
      <c r="J3692" s="55" t="s">
        <v>3284</v>
      </c>
      <c r="K3692" s="55" t="s">
        <v>3287</v>
      </c>
      <c r="L3692" s="55" t="s">
        <v>2750</v>
      </c>
      <c r="M3692" s="90">
        <v>-13.14</v>
      </c>
      <c r="N3692" s="90">
        <v>27.84</v>
      </c>
      <c r="O3692" s="90">
        <v>1204</v>
      </c>
      <c r="S3692" s="90">
        <v>960</v>
      </c>
      <c r="U3692" s="55" t="s">
        <v>1805</v>
      </c>
      <c r="V3692" s="55" t="s">
        <v>1688</v>
      </c>
      <c r="Y3692" s="55" t="s">
        <v>1822</v>
      </c>
      <c r="Z3692" s="55" t="s">
        <v>1349</v>
      </c>
      <c r="AA3692" s="90" t="s">
        <v>1677</v>
      </c>
      <c r="AE3692" s="90">
        <v>84</v>
      </c>
      <c r="AF3692" s="90">
        <v>9</v>
      </c>
      <c r="AH3692" s="55" t="s">
        <v>201</v>
      </c>
      <c r="AI3692" s="168">
        <v>4.96</v>
      </c>
      <c r="AJ3692" s="90">
        <v>0.56000000000000005</v>
      </c>
      <c r="AN3692" s="185" t="s">
        <v>3297</v>
      </c>
      <c r="AO3692" s="185" t="s">
        <v>5150</v>
      </c>
      <c r="AQ3692" s="55" t="s">
        <v>553</v>
      </c>
      <c r="AR3692" s="55" t="s">
        <v>1607</v>
      </c>
      <c r="AS3692" s="55" t="s">
        <v>132</v>
      </c>
      <c r="AU3692" s="181" t="s">
        <v>7494</v>
      </c>
      <c r="AV3692" s="185" t="s">
        <v>176</v>
      </c>
      <c r="AX3692" s="185" t="s">
        <v>176</v>
      </c>
      <c r="BK3692" s="55" t="s">
        <v>6333</v>
      </c>
      <c r="BM3692" s="192" t="s">
        <v>3292</v>
      </c>
      <c r="BN3692" s="55">
        <v>4</v>
      </c>
      <c r="BO3692" s="55">
        <v>4</v>
      </c>
      <c r="BQ3692" s="55" t="s">
        <v>141</v>
      </c>
      <c r="CB3692" s="66">
        <v>700</v>
      </c>
      <c r="CC3692" s="66">
        <v>1100</v>
      </c>
      <c r="GP3692" s="292" t="s">
        <v>7494</v>
      </c>
      <c r="GY3692" s="65">
        <v>12.6</v>
      </c>
      <c r="GZ3692" s="65">
        <v>2.6</v>
      </c>
      <c r="HC3692" s="65" t="s">
        <v>3304</v>
      </c>
    </row>
    <row r="3693" spans="1:211" x14ac:dyDescent="0.25">
      <c r="A3693" s="55">
        <v>3692</v>
      </c>
      <c r="B3693" s="12" t="s">
        <v>7067</v>
      </c>
      <c r="C3693" s="155">
        <v>168</v>
      </c>
      <c r="D3693" s="55" t="s">
        <v>3303</v>
      </c>
      <c r="E3693" s="90" t="s">
        <v>3240</v>
      </c>
      <c r="G3693" s="55" t="s">
        <v>3275</v>
      </c>
      <c r="H3693" s="55">
        <v>2005</v>
      </c>
      <c r="I3693" s="55">
        <v>2002</v>
      </c>
      <c r="J3693" s="55" t="s">
        <v>3284</v>
      </c>
      <c r="K3693" s="55" t="s">
        <v>3287</v>
      </c>
      <c r="L3693" s="55" t="s">
        <v>2750</v>
      </c>
      <c r="M3693" s="90">
        <v>-13.14</v>
      </c>
      <c r="N3693" s="90">
        <v>27.84</v>
      </c>
      <c r="O3693" s="90">
        <v>1204</v>
      </c>
      <c r="S3693" s="90">
        <v>960</v>
      </c>
      <c r="U3693" s="55" t="s">
        <v>1805</v>
      </c>
      <c r="V3693" s="55" t="s">
        <v>1688</v>
      </c>
      <c r="Y3693" s="55" t="s">
        <v>1822</v>
      </c>
      <c r="Z3693" s="55" t="s">
        <v>1349</v>
      </c>
      <c r="AA3693" s="90" t="s">
        <v>1677</v>
      </c>
      <c r="AE3693" s="90">
        <v>84</v>
      </c>
      <c r="AF3693" s="90">
        <v>9</v>
      </c>
      <c r="AH3693" s="55" t="s">
        <v>201</v>
      </c>
      <c r="AI3693" s="168">
        <v>4.96</v>
      </c>
      <c r="AJ3693" s="90">
        <v>0.56000000000000005</v>
      </c>
      <c r="AN3693" s="185" t="s">
        <v>3298</v>
      </c>
      <c r="AO3693" s="185" t="s">
        <v>5150</v>
      </c>
      <c r="AQ3693" s="55" t="s">
        <v>553</v>
      </c>
      <c r="AR3693" s="55" t="s">
        <v>1607</v>
      </c>
      <c r="AS3693" s="55" t="s">
        <v>132</v>
      </c>
      <c r="AU3693" s="181" t="s">
        <v>7494</v>
      </c>
      <c r="AV3693" s="185" t="s">
        <v>176</v>
      </c>
      <c r="AX3693" s="185" t="s">
        <v>176</v>
      </c>
      <c r="BK3693" s="55" t="s">
        <v>6333</v>
      </c>
      <c r="BM3693" s="192" t="s">
        <v>3292</v>
      </c>
      <c r="BN3693" s="55">
        <v>4</v>
      </c>
      <c r="BO3693" s="55">
        <v>4</v>
      </c>
      <c r="BQ3693" s="55" t="s">
        <v>141</v>
      </c>
      <c r="CB3693" s="66">
        <v>700</v>
      </c>
      <c r="CC3693" s="66">
        <v>1100</v>
      </c>
      <c r="GP3693" s="292" t="s">
        <v>7494</v>
      </c>
      <c r="GY3693" s="65">
        <v>12.6</v>
      </c>
      <c r="GZ3693" s="65">
        <v>4.8</v>
      </c>
      <c r="HC3693" s="65" t="s">
        <v>3304</v>
      </c>
    </row>
    <row r="3694" spans="1:211" x14ac:dyDescent="0.25">
      <c r="A3694" s="55">
        <v>3693</v>
      </c>
      <c r="B3694" s="12" t="s">
        <v>7067</v>
      </c>
      <c r="C3694" s="155">
        <v>168</v>
      </c>
      <c r="D3694" s="55" t="s">
        <v>3303</v>
      </c>
      <c r="E3694" s="90" t="s">
        <v>3240</v>
      </c>
      <c r="G3694" s="55" t="s">
        <v>3275</v>
      </c>
      <c r="H3694" s="55">
        <v>2005</v>
      </c>
      <c r="I3694" s="55">
        <v>2002</v>
      </c>
      <c r="J3694" s="55" t="s">
        <v>3284</v>
      </c>
      <c r="K3694" s="55" t="s">
        <v>3287</v>
      </c>
      <c r="L3694" s="55" t="s">
        <v>2750</v>
      </c>
      <c r="M3694" s="90">
        <v>-13.14</v>
      </c>
      <c r="N3694" s="90">
        <v>27.84</v>
      </c>
      <c r="O3694" s="90">
        <v>1204</v>
      </c>
      <c r="S3694" s="90">
        <v>960</v>
      </c>
      <c r="U3694" s="55" t="s">
        <v>1805</v>
      </c>
      <c r="V3694" s="55" t="s">
        <v>1688</v>
      </c>
      <c r="Y3694" s="55" t="s">
        <v>1822</v>
      </c>
      <c r="Z3694" s="55" t="s">
        <v>1349</v>
      </c>
      <c r="AA3694" s="90" t="s">
        <v>1677</v>
      </c>
      <c r="AE3694" s="90">
        <v>84</v>
      </c>
      <c r="AF3694" s="90">
        <v>9</v>
      </c>
      <c r="AH3694" s="55" t="s">
        <v>201</v>
      </c>
      <c r="AI3694" s="168">
        <v>4.96</v>
      </c>
      <c r="AJ3694" s="90">
        <v>0.56000000000000005</v>
      </c>
      <c r="AN3694" s="185" t="s">
        <v>3299</v>
      </c>
      <c r="AO3694" s="185" t="s">
        <v>5150</v>
      </c>
      <c r="AQ3694" s="55" t="s">
        <v>553</v>
      </c>
      <c r="AR3694" s="55" t="s">
        <v>1607</v>
      </c>
      <c r="AS3694" s="55" t="s">
        <v>132</v>
      </c>
      <c r="AU3694" s="181" t="s">
        <v>7494</v>
      </c>
      <c r="AV3694" s="185" t="s">
        <v>176</v>
      </c>
      <c r="AX3694" s="185" t="s">
        <v>176</v>
      </c>
      <c r="BK3694" s="55" t="s">
        <v>6333</v>
      </c>
      <c r="BM3694" s="192" t="s">
        <v>3292</v>
      </c>
      <c r="BN3694" s="55">
        <v>4</v>
      </c>
      <c r="BO3694" s="55">
        <v>4</v>
      </c>
      <c r="BQ3694" s="55" t="s">
        <v>141</v>
      </c>
      <c r="CB3694" s="66">
        <v>700</v>
      </c>
      <c r="CC3694" s="66">
        <v>900</v>
      </c>
      <c r="GP3694" s="292" t="s">
        <v>7494</v>
      </c>
      <c r="GY3694" s="65">
        <v>12.6</v>
      </c>
      <c r="GZ3694" s="65">
        <v>5.6</v>
      </c>
      <c r="HC3694" s="65" t="s">
        <v>3304</v>
      </c>
    </row>
    <row r="3695" spans="1:211" x14ac:dyDescent="0.25">
      <c r="A3695" s="55">
        <v>3694</v>
      </c>
      <c r="B3695" s="12" t="s">
        <v>7067</v>
      </c>
      <c r="C3695" s="155">
        <v>168</v>
      </c>
      <c r="D3695" s="55" t="s">
        <v>3303</v>
      </c>
      <c r="E3695" s="90" t="s">
        <v>3240</v>
      </c>
      <c r="G3695" s="55" t="s">
        <v>3275</v>
      </c>
      <c r="H3695" s="55">
        <v>2005</v>
      </c>
      <c r="I3695" s="55">
        <v>2002</v>
      </c>
      <c r="J3695" s="55" t="s">
        <v>3284</v>
      </c>
      <c r="K3695" s="55" t="s">
        <v>3287</v>
      </c>
      <c r="L3695" s="55" t="s">
        <v>2750</v>
      </c>
      <c r="M3695" s="90">
        <v>-13.14</v>
      </c>
      <c r="N3695" s="90">
        <v>27.84</v>
      </c>
      <c r="O3695" s="90">
        <v>1204</v>
      </c>
      <c r="S3695" s="90">
        <v>960</v>
      </c>
      <c r="U3695" s="55" t="s">
        <v>1805</v>
      </c>
      <c r="V3695" s="55" t="s">
        <v>1688</v>
      </c>
      <c r="Y3695" s="55" t="s">
        <v>1822</v>
      </c>
      <c r="Z3695" s="55" t="s">
        <v>1349</v>
      </c>
      <c r="AA3695" s="90" t="s">
        <v>1677</v>
      </c>
      <c r="AE3695" s="90">
        <v>84</v>
      </c>
      <c r="AF3695" s="90">
        <v>9</v>
      </c>
      <c r="AH3695" s="55" t="s">
        <v>201</v>
      </c>
      <c r="AI3695" s="168">
        <v>4.96</v>
      </c>
      <c r="AJ3695" s="90">
        <v>0.56000000000000005</v>
      </c>
      <c r="AN3695" s="185" t="s">
        <v>3294</v>
      </c>
      <c r="AO3695" s="185" t="s">
        <v>5150</v>
      </c>
      <c r="AQ3695" s="55" t="s">
        <v>553</v>
      </c>
      <c r="AR3695" s="55" t="s">
        <v>1607</v>
      </c>
      <c r="AS3695" s="55" t="s">
        <v>132</v>
      </c>
      <c r="AU3695" s="181" t="s">
        <v>7494</v>
      </c>
      <c r="AV3695" s="185" t="s">
        <v>176</v>
      </c>
      <c r="AX3695" s="185" t="s">
        <v>176</v>
      </c>
      <c r="BK3695" s="55" t="s">
        <v>6333</v>
      </c>
      <c r="BM3695" s="192" t="s">
        <v>3293</v>
      </c>
      <c r="BN3695" s="55">
        <v>4</v>
      </c>
      <c r="BO3695" s="55">
        <v>4</v>
      </c>
      <c r="BQ3695" s="55" t="s">
        <v>141</v>
      </c>
      <c r="CB3695" s="66">
        <v>700</v>
      </c>
      <c r="CC3695" s="66">
        <v>1200</v>
      </c>
      <c r="GP3695" s="292" t="s">
        <v>7494</v>
      </c>
      <c r="GY3695" s="65">
        <v>11.7</v>
      </c>
      <c r="GZ3695" s="65">
        <v>8.3000000000000007</v>
      </c>
      <c r="HC3695" s="65" t="s">
        <v>3304</v>
      </c>
    </row>
    <row r="3696" spans="1:211" x14ac:dyDescent="0.25">
      <c r="A3696" s="55">
        <v>3695</v>
      </c>
      <c r="B3696" s="12" t="s">
        <v>7067</v>
      </c>
      <c r="C3696" s="155">
        <v>168</v>
      </c>
      <c r="D3696" s="55" t="s">
        <v>3303</v>
      </c>
      <c r="E3696" s="90" t="s">
        <v>3240</v>
      </c>
      <c r="G3696" s="55" t="s">
        <v>3275</v>
      </c>
      <c r="H3696" s="55">
        <v>2005</v>
      </c>
      <c r="I3696" s="55">
        <v>2002</v>
      </c>
      <c r="J3696" s="55" t="s">
        <v>3284</v>
      </c>
      <c r="K3696" s="55" t="s">
        <v>3287</v>
      </c>
      <c r="L3696" s="55" t="s">
        <v>2750</v>
      </c>
      <c r="M3696" s="90">
        <v>-13.14</v>
      </c>
      <c r="N3696" s="90">
        <v>27.84</v>
      </c>
      <c r="O3696" s="90">
        <v>1204</v>
      </c>
      <c r="S3696" s="90">
        <v>960</v>
      </c>
      <c r="U3696" s="55" t="s">
        <v>1805</v>
      </c>
      <c r="V3696" s="55" t="s">
        <v>1688</v>
      </c>
      <c r="Y3696" s="55" t="s">
        <v>1822</v>
      </c>
      <c r="Z3696" s="55" t="s">
        <v>1349</v>
      </c>
      <c r="AA3696" s="90" t="s">
        <v>1677</v>
      </c>
      <c r="AE3696" s="90">
        <v>84</v>
      </c>
      <c r="AF3696" s="90">
        <v>9</v>
      </c>
      <c r="AH3696" s="55" t="s">
        <v>201</v>
      </c>
      <c r="AI3696" s="168">
        <v>4.96</v>
      </c>
      <c r="AJ3696" s="90">
        <v>0.56000000000000005</v>
      </c>
      <c r="AN3696" s="185" t="s">
        <v>2838</v>
      </c>
      <c r="AO3696" s="185" t="s">
        <v>5150</v>
      </c>
      <c r="AQ3696" s="55" t="s">
        <v>553</v>
      </c>
      <c r="AR3696" s="55" t="s">
        <v>1607</v>
      </c>
      <c r="AS3696" s="55" t="s">
        <v>132</v>
      </c>
      <c r="AU3696" s="181" t="s">
        <v>7494</v>
      </c>
      <c r="AV3696" s="185" t="s">
        <v>176</v>
      </c>
      <c r="AX3696" s="185" t="s">
        <v>176</v>
      </c>
      <c r="BK3696" s="55" t="s">
        <v>6333</v>
      </c>
      <c r="BM3696" s="192" t="s">
        <v>3293</v>
      </c>
      <c r="BN3696" s="55">
        <v>4</v>
      </c>
      <c r="BO3696" s="55">
        <v>4</v>
      </c>
      <c r="BQ3696" s="55" t="s">
        <v>141</v>
      </c>
      <c r="CB3696" s="66">
        <v>700</v>
      </c>
      <c r="CC3696" s="66">
        <v>2300</v>
      </c>
      <c r="GP3696" s="292" t="s">
        <v>7494</v>
      </c>
      <c r="GY3696" s="65">
        <v>11.7</v>
      </c>
      <c r="GZ3696" s="65">
        <v>18.5</v>
      </c>
      <c r="HC3696" s="65" t="s">
        <v>3304</v>
      </c>
    </row>
    <row r="3697" spans="1:211" x14ac:dyDescent="0.25">
      <c r="A3697" s="55">
        <v>3696</v>
      </c>
      <c r="B3697" s="12" t="s">
        <v>7067</v>
      </c>
      <c r="C3697" s="155">
        <v>168</v>
      </c>
      <c r="D3697" s="55" t="s">
        <v>3303</v>
      </c>
      <c r="E3697" s="90" t="s">
        <v>3240</v>
      </c>
      <c r="G3697" s="55" t="s">
        <v>3275</v>
      </c>
      <c r="H3697" s="55">
        <v>2005</v>
      </c>
      <c r="I3697" s="55">
        <v>2002</v>
      </c>
      <c r="J3697" s="55" t="s">
        <v>3284</v>
      </c>
      <c r="K3697" s="55" t="s">
        <v>3287</v>
      </c>
      <c r="L3697" s="55" t="s">
        <v>2750</v>
      </c>
      <c r="M3697" s="90">
        <v>-13.14</v>
      </c>
      <c r="N3697" s="90">
        <v>27.84</v>
      </c>
      <c r="O3697" s="90">
        <v>1204</v>
      </c>
      <c r="S3697" s="90">
        <v>960</v>
      </c>
      <c r="U3697" s="55" t="s">
        <v>1805</v>
      </c>
      <c r="V3697" s="55" t="s">
        <v>1688</v>
      </c>
      <c r="Y3697" s="55" t="s">
        <v>1822</v>
      </c>
      <c r="Z3697" s="55" t="s">
        <v>1349</v>
      </c>
      <c r="AA3697" s="90" t="s">
        <v>1677</v>
      </c>
      <c r="AE3697" s="90">
        <v>84</v>
      </c>
      <c r="AF3697" s="90">
        <v>9</v>
      </c>
      <c r="AH3697" s="55" t="s">
        <v>201</v>
      </c>
      <c r="AI3697" s="168">
        <v>4.96</v>
      </c>
      <c r="AJ3697" s="90">
        <v>0.56000000000000005</v>
      </c>
      <c r="AN3697" s="185" t="s">
        <v>3084</v>
      </c>
      <c r="AO3697" s="185" t="s">
        <v>5150</v>
      </c>
      <c r="AQ3697" s="55" t="s">
        <v>553</v>
      </c>
      <c r="AR3697" s="55" t="s">
        <v>1607</v>
      </c>
      <c r="AS3697" s="55" t="s">
        <v>132</v>
      </c>
      <c r="AU3697" s="181" t="s">
        <v>7494</v>
      </c>
      <c r="AV3697" s="185" t="s">
        <v>176</v>
      </c>
      <c r="AX3697" s="185" t="s">
        <v>176</v>
      </c>
      <c r="BK3697" s="55" t="s">
        <v>6333</v>
      </c>
      <c r="BM3697" s="192" t="s">
        <v>3293</v>
      </c>
      <c r="BN3697" s="55">
        <v>4</v>
      </c>
      <c r="BO3697" s="55">
        <v>4</v>
      </c>
      <c r="BQ3697" s="55" t="s">
        <v>141</v>
      </c>
      <c r="CB3697" s="66">
        <v>700</v>
      </c>
      <c r="CC3697" s="66">
        <v>1500</v>
      </c>
      <c r="GP3697" s="292" t="s">
        <v>7494</v>
      </c>
      <c r="GY3697" s="65">
        <v>11.7</v>
      </c>
      <c r="GZ3697" s="65">
        <v>1.4</v>
      </c>
      <c r="HC3697" s="65" t="s">
        <v>3304</v>
      </c>
    </row>
    <row r="3698" spans="1:211" x14ac:dyDescent="0.25">
      <c r="A3698" s="55">
        <v>3697</v>
      </c>
      <c r="B3698" s="12" t="s">
        <v>7067</v>
      </c>
      <c r="C3698" s="155">
        <v>168</v>
      </c>
      <c r="D3698" s="55" t="s">
        <v>3303</v>
      </c>
      <c r="E3698" s="90" t="s">
        <v>3240</v>
      </c>
      <c r="G3698" s="55" t="s">
        <v>3275</v>
      </c>
      <c r="H3698" s="55">
        <v>2005</v>
      </c>
      <c r="I3698" s="55">
        <v>2002</v>
      </c>
      <c r="J3698" s="55" t="s">
        <v>3284</v>
      </c>
      <c r="K3698" s="55" t="s">
        <v>3287</v>
      </c>
      <c r="L3698" s="55" t="s">
        <v>2750</v>
      </c>
      <c r="M3698" s="90">
        <v>-13.14</v>
      </c>
      <c r="N3698" s="90">
        <v>27.84</v>
      </c>
      <c r="O3698" s="90">
        <v>1204</v>
      </c>
      <c r="S3698" s="90">
        <v>960</v>
      </c>
      <c r="U3698" s="55" t="s">
        <v>1805</v>
      </c>
      <c r="V3698" s="55" t="s">
        <v>1688</v>
      </c>
      <c r="Y3698" s="55" t="s">
        <v>1822</v>
      </c>
      <c r="Z3698" s="55" t="s">
        <v>1349</v>
      </c>
      <c r="AA3698" s="90" t="s">
        <v>1677</v>
      </c>
      <c r="AE3698" s="90">
        <v>84</v>
      </c>
      <c r="AF3698" s="90">
        <v>9</v>
      </c>
      <c r="AH3698" s="55" t="s">
        <v>201</v>
      </c>
      <c r="AI3698" s="168">
        <v>4.96</v>
      </c>
      <c r="AJ3698" s="90">
        <v>0.56000000000000005</v>
      </c>
      <c r="AN3698" s="185" t="s">
        <v>3295</v>
      </c>
      <c r="AO3698" s="185" t="s">
        <v>5150</v>
      </c>
      <c r="AQ3698" s="55" t="s">
        <v>553</v>
      </c>
      <c r="AR3698" s="55" t="s">
        <v>1607</v>
      </c>
      <c r="AS3698" s="55" t="s">
        <v>132</v>
      </c>
      <c r="AU3698" s="181" t="s">
        <v>7494</v>
      </c>
      <c r="AV3698" s="185" t="s">
        <v>176</v>
      </c>
      <c r="AX3698" s="185" t="s">
        <v>176</v>
      </c>
      <c r="BK3698" s="55" t="s">
        <v>6333</v>
      </c>
      <c r="BM3698" s="192" t="s">
        <v>3293</v>
      </c>
      <c r="BN3698" s="55">
        <v>4</v>
      </c>
      <c r="BO3698" s="55">
        <v>4</v>
      </c>
      <c r="BQ3698" s="55" t="s">
        <v>141</v>
      </c>
      <c r="CB3698" s="66">
        <v>700</v>
      </c>
      <c r="CC3698" s="66">
        <v>1000</v>
      </c>
      <c r="GP3698" s="292" t="s">
        <v>7494</v>
      </c>
      <c r="GY3698" s="65">
        <v>11.7</v>
      </c>
      <c r="GZ3698" s="65">
        <v>8.4</v>
      </c>
      <c r="HC3698" s="65" t="s">
        <v>3304</v>
      </c>
    </row>
    <row r="3699" spans="1:211" x14ac:dyDescent="0.25">
      <c r="A3699" s="55">
        <v>3698</v>
      </c>
      <c r="B3699" s="12" t="s">
        <v>7067</v>
      </c>
      <c r="C3699" s="155">
        <v>168</v>
      </c>
      <c r="D3699" s="55" t="s">
        <v>3303</v>
      </c>
      <c r="E3699" s="90" t="s">
        <v>3240</v>
      </c>
      <c r="G3699" s="55" t="s">
        <v>3275</v>
      </c>
      <c r="H3699" s="55">
        <v>2005</v>
      </c>
      <c r="I3699" s="55">
        <v>2002</v>
      </c>
      <c r="J3699" s="55" t="s">
        <v>3284</v>
      </c>
      <c r="K3699" s="55" t="s">
        <v>3287</v>
      </c>
      <c r="L3699" s="55" t="s">
        <v>2750</v>
      </c>
      <c r="M3699" s="90">
        <v>-13.14</v>
      </c>
      <c r="N3699" s="90">
        <v>27.84</v>
      </c>
      <c r="O3699" s="90">
        <v>1204</v>
      </c>
      <c r="S3699" s="90">
        <v>960</v>
      </c>
      <c r="U3699" s="55" t="s">
        <v>1805</v>
      </c>
      <c r="V3699" s="55" t="s">
        <v>1688</v>
      </c>
      <c r="Y3699" s="55" t="s">
        <v>1822</v>
      </c>
      <c r="Z3699" s="55" t="s">
        <v>1349</v>
      </c>
      <c r="AA3699" s="90" t="s">
        <v>1677</v>
      </c>
      <c r="AE3699" s="90">
        <v>84</v>
      </c>
      <c r="AF3699" s="90">
        <v>9</v>
      </c>
      <c r="AH3699" s="55" t="s">
        <v>201</v>
      </c>
      <c r="AI3699" s="168">
        <v>4.96</v>
      </c>
      <c r="AJ3699" s="90">
        <v>0.56000000000000005</v>
      </c>
      <c r="AN3699" s="185" t="s">
        <v>3296</v>
      </c>
      <c r="AO3699" s="185" t="s">
        <v>5150</v>
      </c>
      <c r="AQ3699" s="55" t="s">
        <v>553</v>
      </c>
      <c r="AR3699" s="55" t="s">
        <v>1607</v>
      </c>
      <c r="AS3699" s="55" t="s">
        <v>132</v>
      </c>
      <c r="AU3699" s="181" t="s">
        <v>7494</v>
      </c>
      <c r="AV3699" s="185" t="s">
        <v>176</v>
      </c>
      <c r="AX3699" s="185" t="s">
        <v>176</v>
      </c>
      <c r="BK3699" s="55" t="s">
        <v>6333</v>
      </c>
      <c r="BM3699" s="192" t="s">
        <v>3293</v>
      </c>
      <c r="BN3699" s="55">
        <v>4</v>
      </c>
      <c r="BO3699" s="55">
        <v>4</v>
      </c>
      <c r="BQ3699" s="55" t="s">
        <v>141</v>
      </c>
      <c r="CB3699" s="66">
        <v>700</v>
      </c>
      <c r="CC3699" s="66">
        <v>800</v>
      </c>
      <c r="GP3699" s="292" t="s">
        <v>7494</v>
      </c>
      <c r="GY3699" s="65">
        <v>11.7</v>
      </c>
      <c r="GZ3699" s="65">
        <v>4.7</v>
      </c>
      <c r="HC3699" s="65" t="s">
        <v>3304</v>
      </c>
    </row>
    <row r="3700" spans="1:211" x14ac:dyDescent="0.25">
      <c r="A3700" s="55">
        <v>3699</v>
      </c>
      <c r="B3700" s="12" t="s">
        <v>7067</v>
      </c>
      <c r="C3700" s="155">
        <v>168</v>
      </c>
      <c r="D3700" s="55" t="s">
        <v>3303</v>
      </c>
      <c r="E3700" s="90" t="s">
        <v>3240</v>
      </c>
      <c r="G3700" s="55" t="s">
        <v>3275</v>
      </c>
      <c r="H3700" s="55">
        <v>2005</v>
      </c>
      <c r="I3700" s="55">
        <v>2002</v>
      </c>
      <c r="J3700" s="55" t="s">
        <v>3284</v>
      </c>
      <c r="K3700" s="55" t="s">
        <v>3287</v>
      </c>
      <c r="L3700" s="55" t="s">
        <v>2750</v>
      </c>
      <c r="M3700" s="90">
        <v>-13.14</v>
      </c>
      <c r="N3700" s="90">
        <v>27.84</v>
      </c>
      <c r="O3700" s="90">
        <v>1204</v>
      </c>
      <c r="S3700" s="90">
        <v>960</v>
      </c>
      <c r="U3700" s="55" t="s">
        <v>1805</v>
      </c>
      <c r="V3700" s="55" t="s">
        <v>1688</v>
      </c>
      <c r="Y3700" s="55" t="s">
        <v>1822</v>
      </c>
      <c r="Z3700" s="55" t="s">
        <v>1349</v>
      </c>
      <c r="AA3700" s="90" t="s">
        <v>1677</v>
      </c>
      <c r="AE3700" s="90">
        <v>84</v>
      </c>
      <c r="AF3700" s="90">
        <v>9</v>
      </c>
      <c r="AH3700" s="55" t="s">
        <v>201</v>
      </c>
      <c r="AI3700" s="168">
        <v>4.96</v>
      </c>
      <c r="AJ3700" s="90">
        <v>0.56000000000000005</v>
      </c>
      <c r="AN3700" s="185" t="s">
        <v>3297</v>
      </c>
      <c r="AO3700" s="185" t="s">
        <v>5150</v>
      </c>
      <c r="AQ3700" s="55" t="s">
        <v>553</v>
      </c>
      <c r="AR3700" s="55" t="s">
        <v>1607</v>
      </c>
      <c r="AS3700" s="55" t="s">
        <v>132</v>
      </c>
      <c r="AU3700" s="181" t="s">
        <v>7494</v>
      </c>
      <c r="AV3700" s="185" t="s">
        <v>176</v>
      </c>
      <c r="AX3700" s="185" t="s">
        <v>176</v>
      </c>
      <c r="BK3700" s="55" t="s">
        <v>6333</v>
      </c>
      <c r="BM3700" s="192" t="s">
        <v>3293</v>
      </c>
      <c r="BN3700" s="55">
        <v>4</v>
      </c>
      <c r="BO3700" s="55">
        <v>4</v>
      </c>
      <c r="BQ3700" s="55" t="s">
        <v>141</v>
      </c>
      <c r="CB3700" s="66">
        <v>700</v>
      </c>
      <c r="CC3700" s="66">
        <v>1100</v>
      </c>
      <c r="GP3700" s="292" t="s">
        <v>7494</v>
      </c>
      <c r="GY3700" s="65">
        <v>11.7</v>
      </c>
      <c r="GZ3700" s="65">
        <v>2.6</v>
      </c>
      <c r="HC3700" s="65" t="s">
        <v>3304</v>
      </c>
    </row>
    <row r="3701" spans="1:211" x14ac:dyDescent="0.25">
      <c r="A3701" s="55">
        <v>3700</v>
      </c>
      <c r="B3701" s="12" t="s">
        <v>7067</v>
      </c>
      <c r="C3701" s="155">
        <v>168</v>
      </c>
      <c r="D3701" s="55" t="s">
        <v>3303</v>
      </c>
      <c r="E3701" s="90" t="s">
        <v>3240</v>
      </c>
      <c r="G3701" s="55" t="s">
        <v>3275</v>
      </c>
      <c r="H3701" s="55">
        <v>2005</v>
      </c>
      <c r="I3701" s="55">
        <v>2002</v>
      </c>
      <c r="J3701" s="55" t="s">
        <v>3284</v>
      </c>
      <c r="K3701" s="55" t="s">
        <v>3287</v>
      </c>
      <c r="L3701" s="55" t="s">
        <v>2750</v>
      </c>
      <c r="M3701" s="90">
        <v>-13.14</v>
      </c>
      <c r="N3701" s="90">
        <v>27.84</v>
      </c>
      <c r="O3701" s="90">
        <v>1204</v>
      </c>
      <c r="S3701" s="90">
        <v>960</v>
      </c>
      <c r="U3701" s="55" t="s">
        <v>1805</v>
      </c>
      <c r="V3701" s="55" t="s">
        <v>1688</v>
      </c>
      <c r="Y3701" s="55" t="s">
        <v>1822</v>
      </c>
      <c r="Z3701" s="55" t="s">
        <v>1349</v>
      </c>
      <c r="AA3701" s="90" t="s">
        <v>1677</v>
      </c>
      <c r="AE3701" s="90">
        <v>84</v>
      </c>
      <c r="AF3701" s="90">
        <v>9</v>
      </c>
      <c r="AH3701" s="55" t="s">
        <v>201</v>
      </c>
      <c r="AI3701" s="168">
        <v>4.96</v>
      </c>
      <c r="AJ3701" s="90">
        <v>0.56000000000000005</v>
      </c>
      <c r="AN3701" s="185" t="s">
        <v>3298</v>
      </c>
      <c r="AO3701" s="185" t="s">
        <v>5150</v>
      </c>
      <c r="AQ3701" s="55" t="s">
        <v>553</v>
      </c>
      <c r="AR3701" s="55" t="s">
        <v>1607</v>
      </c>
      <c r="AS3701" s="55" t="s">
        <v>132</v>
      </c>
      <c r="AU3701" s="181" t="s">
        <v>7494</v>
      </c>
      <c r="AV3701" s="185" t="s">
        <v>176</v>
      </c>
      <c r="AX3701" s="185" t="s">
        <v>176</v>
      </c>
      <c r="BK3701" s="55" t="s">
        <v>6333</v>
      </c>
      <c r="BM3701" s="192" t="s">
        <v>3293</v>
      </c>
      <c r="BN3701" s="55">
        <v>4</v>
      </c>
      <c r="BO3701" s="55">
        <v>4</v>
      </c>
      <c r="BQ3701" s="55" t="s">
        <v>141</v>
      </c>
      <c r="CB3701" s="66">
        <v>700</v>
      </c>
      <c r="CC3701" s="66">
        <v>1100</v>
      </c>
      <c r="GP3701" s="292" t="s">
        <v>7494</v>
      </c>
      <c r="GY3701" s="65">
        <v>11.7</v>
      </c>
      <c r="GZ3701" s="65">
        <v>4.8</v>
      </c>
      <c r="HC3701" s="65" t="s">
        <v>3304</v>
      </c>
    </row>
    <row r="3702" spans="1:211" x14ac:dyDescent="0.25">
      <c r="A3702" s="55">
        <v>3701</v>
      </c>
      <c r="B3702" s="12" t="s">
        <v>7067</v>
      </c>
      <c r="C3702" s="155">
        <v>168</v>
      </c>
      <c r="D3702" s="55" t="s">
        <v>3303</v>
      </c>
      <c r="E3702" s="90" t="s">
        <v>3240</v>
      </c>
      <c r="G3702" s="55" t="s">
        <v>3275</v>
      </c>
      <c r="H3702" s="55">
        <v>2005</v>
      </c>
      <c r="I3702" s="55">
        <v>2002</v>
      </c>
      <c r="J3702" s="55" t="s">
        <v>3284</v>
      </c>
      <c r="K3702" s="55" t="s">
        <v>3287</v>
      </c>
      <c r="L3702" s="55" t="s">
        <v>2750</v>
      </c>
      <c r="M3702" s="90">
        <v>-13.14</v>
      </c>
      <c r="N3702" s="90">
        <v>27.84</v>
      </c>
      <c r="O3702" s="90">
        <v>1204</v>
      </c>
      <c r="S3702" s="90">
        <v>960</v>
      </c>
      <c r="U3702" s="55" t="s">
        <v>1805</v>
      </c>
      <c r="V3702" s="55" t="s">
        <v>1688</v>
      </c>
      <c r="Y3702" s="55" t="s">
        <v>1822</v>
      </c>
      <c r="Z3702" s="55" t="s">
        <v>1349</v>
      </c>
      <c r="AA3702" s="90" t="s">
        <v>1677</v>
      </c>
      <c r="AE3702" s="90">
        <v>84</v>
      </c>
      <c r="AF3702" s="90">
        <v>9</v>
      </c>
      <c r="AH3702" s="55" t="s">
        <v>201</v>
      </c>
      <c r="AI3702" s="168">
        <v>4.96</v>
      </c>
      <c r="AJ3702" s="90">
        <v>0.56000000000000005</v>
      </c>
      <c r="AN3702" s="185" t="s">
        <v>3299</v>
      </c>
      <c r="AO3702" s="185" t="s">
        <v>5150</v>
      </c>
      <c r="AQ3702" s="55" t="s">
        <v>553</v>
      </c>
      <c r="AR3702" s="55" t="s">
        <v>1607</v>
      </c>
      <c r="AS3702" s="55" t="s">
        <v>132</v>
      </c>
      <c r="AU3702" s="181" t="s">
        <v>7494</v>
      </c>
      <c r="AV3702" s="185" t="s">
        <v>176</v>
      </c>
      <c r="AX3702" s="185" t="s">
        <v>176</v>
      </c>
      <c r="BK3702" s="55" t="s">
        <v>6333</v>
      </c>
      <c r="BM3702" s="192" t="s">
        <v>3293</v>
      </c>
      <c r="BN3702" s="55">
        <v>4</v>
      </c>
      <c r="BO3702" s="55">
        <v>4</v>
      </c>
      <c r="BQ3702" s="55" t="s">
        <v>141</v>
      </c>
      <c r="CB3702" s="66">
        <v>700</v>
      </c>
      <c r="CC3702" s="66">
        <v>900</v>
      </c>
      <c r="GP3702" s="292" t="s">
        <v>7494</v>
      </c>
      <c r="GY3702" s="65">
        <v>11.7</v>
      </c>
      <c r="GZ3702" s="65">
        <v>5.6</v>
      </c>
      <c r="HC3702" s="65" t="s">
        <v>3304</v>
      </c>
    </row>
    <row r="3703" spans="1:211" x14ac:dyDescent="0.25">
      <c r="A3703" s="55">
        <v>3702</v>
      </c>
      <c r="B3703" s="12" t="s">
        <v>7067</v>
      </c>
      <c r="C3703" s="155">
        <v>168</v>
      </c>
      <c r="D3703" s="55" t="s">
        <v>3305</v>
      </c>
      <c r="E3703" s="90" t="s">
        <v>3240</v>
      </c>
      <c r="G3703" s="55" t="s">
        <v>3275</v>
      </c>
      <c r="H3703" s="55">
        <v>2005</v>
      </c>
      <c r="I3703" s="55">
        <v>2001</v>
      </c>
      <c r="J3703" s="55" t="s">
        <v>3284</v>
      </c>
      <c r="K3703" s="55" t="s">
        <v>3288</v>
      </c>
      <c r="L3703" s="55" t="s">
        <v>2750</v>
      </c>
      <c r="M3703" s="90">
        <v>-13.5</v>
      </c>
      <c r="N3703" s="90">
        <v>32.56666666666667</v>
      </c>
      <c r="O3703" s="90">
        <v>1028</v>
      </c>
      <c r="Q3703" s="55">
        <v>20.5</v>
      </c>
      <c r="S3703" s="90">
        <v>960</v>
      </c>
      <c r="U3703" s="55" t="s">
        <v>1935</v>
      </c>
      <c r="V3703" s="55" t="s">
        <v>1688</v>
      </c>
      <c r="Y3703" s="55" t="s">
        <v>1822</v>
      </c>
      <c r="Z3703" s="55" t="s">
        <v>1349</v>
      </c>
      <c r="AA3703" s="90" t="s">
        <v>1677</v>
      </c>
      <c r="AE3703" s="90">
        <v>61</v>
      </c>
      <c r="AF3703" s="90">
        <v>11</v>
      </c>
      <c r="AH3703" s="55" t="s">
        <v>238</v>
      </c>
      <c r="AI3703" s="168">
        <v>5.3</v>
      </c>
      <c r="AJ3703" s="90">
        <v>1.02</v>
      </c>
      <c r="AM3703" s="55" t="s">
        <v>2677</v>
      </c>
      <c r="AO3703" s="185" t="s">
        <v>7494</v>
      </c>
      <c r="AQ3703" s="55" t="s">
        <v>553</v>
      </c>
      <c r="AR3703" s="55" t="s">
        <v>1607</v>
      </c>
      <c r="AS3703" s="55" t="s">
        <v>132</v>
      </c>
      <c r="AU3703" s="181" t="s">
        <v>7494</v>
      </c>
      <c r="AV3703" s="185" t="s">
        <v>176</v>
      </c>
      <c r="AX3703" s="185" t="s">
        <v>176</v>
      </c>
      <c r="BK3703" s="55" t="s">
        <v>6333</v>
      </c>
      <c r="BM3703" s="192" t="s">
        <v>3292</v>
      </c>
      <c r="BN3703" s="55">
        <v>4</v>
      </c>
      <c r="BO3703" s="55">
        <v>4</v>
      </c>
      <c r="BQ3703" s="55" t="s">
        <v>141</v>
      </c>
      <c r="CB3703" s="66">
        <v>600</v>
      </c>
      <c r="CC3703" s="66">
        <v>1500</v>
      </c>
      <c r="GP3703" s="292" t="s">
        <v>7494</v>
      </c>
      <c r="GY3703" s="65">
        <v>48.2</v>
      </c>
      <c r="GZ3703" s="65">
        <v>36</v>
      </c>
      <c r="HC3703" s="65" t="s">
        <v>3304</v>
      </c>
    </row>
    <row r="3704" spans="1:211" x14ac:dyDescent="0.25">
      <c r="A3704" s="55">
        <v>3703</v>
      </c>
      <c r="B3704" s="12" t="s">
        <v>7067</v>
      </c>
      <c r="C3704" s="155">
        <v>168</v>
      </c>
      <c r="D3704" s="55" t="s">
        <v>3305</v>
      </c>
      <c r="E3704" s="90" t="s">
        <v>3240</v>
      </c>
      <c r="G3704" s="55" t="s">
        <v>3275</v>
      </c>
      <c r="H3704" s="55">
        <v>2005</v>
      </c>
      <c r="I3704" s="55">
        <v>2001</v>
      </c>
      <c r="J3704" s="55" t="s">
        <v>3284</v>
      </c>
      <c r="K3704" s="55" t="s">
        <v>3288</v>
      </c>
      <c r="L3704" s="55" t="s">
        <v>2750</v>
      </c>
      <c r="M3704" s="90">
        <v>-13.5</v>
      </c>
      <c r="N3704" s="90">
        <v>32.56666666666667</v>
      </c>
      <c r="O3704" s="90">
        <v>1028</v>
      </c>
      <c r="Q3704" s="55">
        <v>20.5</v>
      </c>
      <c r="S3704" s="90">
        <v>960</v>
      </c>
      <c r="U3704" s="55" t="s">
        <v>1935</v>
      </c>
      <c r="V3704" s="55" t="s">
        <v>1688</v>
      </c>
      <c r="Y3704" s="55" t="s">
        <v>1822</v>
      </c>
      <c r="Z3704" s="55" t="s">
        <v>1349</v>
      </c>
      <c r="AA3704" s="90" t="s">
        <v>1677</v>
      </c>
      <c r="AE3704" s="90">
        <v>61</v>
      </c>
      <c r="AF3704" s="90">
        <v>11</v>
      </c>
      <c r="AH3704" s="55" t="s">
        <v>238</v>
      </c>
      <c r="AI3704" s="168">
        <v>5.3</v>
      </c>
      <c r="AJ3704" s="90">
        <v>1.02</v>
      </c>
      <c r="AM3704" s="55" t="s">
        <v>2677</v>
      </c>
      <c r="AO3704" s="185" t="s">
        <v>7494</v>
      </c>
      <c r="AQ3704" s="55" t="s">
        <v>553</v>
      </c>
      <c r="AR3704" s="55" t="s">
        <v>1607</v>
      </c>
      <c r="AS3704" s="55" t="s">
        <v>132</v>
      </c>
      <c r="AU3704" s="181" t="s">
        <v>7494</v>
      </c>
      <c r="AV3704" s="185" t="s">
        <v>176</v>
      </c>
      <c r="AX3704" s="185" t="s">
        <v>176</v>
      </c>
      <c r="BK3704" s="55" t="s">
        <v>6333</v>
      </c>
      <c r="BM3704" s="192" t="s">
        <v>3292</v>
      </c>
      <c r="BN3704" s="55">
        <v>4</v>
      </c>
      <c r="BO3704" s="55">
        <v>4</v>
      </c>
      <c r="BQ3704" s="55" t="s">
        <v>141</v>
      </c>
      <c r="CB3704" s="66">
        <v>600</v>
      </c>
      <c r="CC3704" s="66">
        <v>1500</v>
      </c>
      <c r="GP3704" s="292" t="s">
        <v>7494</v>
      </c>
      <c r="GY3704" s="65">
        <v>48.2</v>
      </c>
      <c r="GZ3704" s="65">
        <v>30.2</v>
      </c>
      <c r="HC3704" s="65" t="s">
        <v>3304</v>
      </c>
    </row>
    <row r="3705" spans="1:211" x14ac:dyDescent="0.25">
      <c r="A3705" s="55">
        <v>3704</v>
      </c>
      <c r="B3705" s="12" t="s">
        <v>7067</v>
      </c>
      <c r="C3705" s="155">
        <v>168</v>
      </c>
      <c r="D3705" s="55" t="s">
        <v>3305</v>
      </c>
      <c r="E3705" s="90" t="s">
        <v>3240</v>
      </c>
      <c r="G3705" s="55" t="s">
        <v>3275</v>
      </c>
      <c r="H3705" s="55">
        <v>2005</v>
      </c>
      <c r="I3705" s="55">
        <v>2001</v>
      </c>
      <c r="J3705" s="55" t="s">
        <v>3284</v>
      </c>
      <c r="K3705" s="55" t="s">
        <v>3288</v>
      </c>
      <c r="L3705" s="55" t="s">
        <v>2750</v>
      </c>
      <c r="M3705" s="90">
        <v>-13.5</v>
      </c>
      <c r="N3705" s="90">
        <v>32.56666666666667</v>
      </c>
      <c r="O3705" s="90">
        <v>1028</v>
      </c>
      <c r="Q3705" s="55">
        <v>20.5</v>
      </c>
      <c r="S3705" s="90">
        <v>960</v>
      </c>
      <c r="U3705" s="55" t="s">
        <v>1935</v>
      </c>
      <c r="V3705" s="55" t="s">
        <v>1688</v>
      </c>
      <c r="Y3705" s="55" t="s">
        <v>1822</v>
      </c>
      <c r="Z3705" s="55" t="s">
        <v>1349</v>
      </c>
      <c r="AA3705" s="90" t="s">
        <v>1677</v>
      </c>
      <c r="AE3705" s="90">
        <v>61</v>
      </c>
      <c r="AF3705" s="90">
        <v>11</v>
      </c>
      <c r="AH3705" s="55" t="s">
        <v>238</v>
      </c>
      <c r="AI3705" s="168">
        <v>5.3</v>
      </c>
      <c r="AJ3705" s="90">
        <v>1.02</v>
      </c>
      <c r="AM3705" s="55" t="s">
        <v>2677</v>
      </c>
      <c r="AO3705" s="185" t="s">
        <v>7494</v>
      </c>
      <c r="AQ3705" s="55" t="s">
        <v>553</v>
      </c>
      <c r="AR3705" s="55" t="s">
        <v>1607</v>
      </c>
      <c r="AS3705" s="55" t="s">
        <v>132</v>
      </c>
      <c r="AU3705" s="181" t="s">
        <v>7494</v>
      </c>
      <c r="AV3705" s="185" t="s">
        <v>176</v>
      </c>
      <c r="AX3705" s="185" t="s">
        <v>176</v>
      </c>
      <c r="BK3705" s="55" t="s">
        <v>6333</v>
      </c>
      <c r="BM3705" s="192" t="s">
        <v>3292</v>
      </c>
      <c r="BN3705" s="55">
        <v>4</v>
      </c>
      <c r="BO3705" s="55">
        <v>4</v>
      </c>
      <c r="BQ3705" s="55" t="s">
        <v>141</v>
      </c>
      <c r="CB3705" s="66">
        <v>600</v>
      </c>
      <c r="CC3705" s="66">
        <v>3700</v>
      </c>
      <c r="GP3705" s="292" t="s">
        <v>7494</v>
      </c>
      <c r="GY3705" s="65">
        <v>48.2</v>
      </c>
      <c r="GZ3705" s="65">
        <v>23.4</v>
      </c>
      <c r="HC3705" s="65" t="s">
        <v>3304</v>
      </c>
    </row>
    <row r="3706" spans="1:211" x14ac:dyDescent="0.25">
      <c r="A3706" s="55">
        <v>3705</v>
      </c>
      <c r="B3706" s="12" t="s">
        <v>7067</v>
      </c>
      <c r="C3706" s="155">
        <v>168</v>
      </c>
      <c r="D3706" s="55" t="s">
        <v>3305</v>
      </c>
      <c r="E3706" s="90" t="s">
        <v>3240</v>
      </c>
      <c r="G3706" s="55" t="s">
        <v>3275</v>
      </c>
      <c r="H3706" s="55">
        <v>2005</v>
      </c>
      <c r="I3706" s="55">
        <v>2001</v>
      </c>
      <c r="J3706" s="55" t="s">
        <v>3284</v>
      </c>
      <c r="K3706" s="55" t="s">
        <v>3288</v>
      </c>
      <c r="L3706" s="55" t="s">
        <v>2750</v>
      </c>
      <c r="M3706" s="90">
        <v>-13.5</v>
      </c>
      <c r="N3706" s="90">
        <v>32.56666666666667</v>
      </c>
      <c r="O3706" s="90">
        <v>1028</v>
      </c>
      <c r="Q3706" s="55">
        <v>20.5</v>
      </c>
      <c r="S3706" s="90">
        <v>960</v>
      </c>
      <c r="U3706" s="55" t="s">
        <v>1935</v>
      </c>
      <c r="V3706" s="55" t="s">
        <v>1688</v>
      </c>
      <c r="Y3706" s="55" t="s">
        <v>1822</v>
      </c>
      <c r="Z3706" s="55" t="s">
        <v>1349</v>
      </c>
      <c r="AA3706" s="90" t="s">
        <v>1677</v>
      </c>
      <c r="AE3706" s="90">
        <v>61</v>
      </c>
      <c r="AF3706" s="90">
        <v>11</v>
      </c>
      <c r="AH3706" s="55" t="s">
        <v>238</v>
      </c>
      <c r="AI3706" s="168">
        <v>5.3</v>
      </c>
      <c r="AJ3706" s="90">
        <v>1.02</v>
      </c>
      <c r="AM3706" s="55" t="s">
        <v>2677</v>
      </c>
      <c r="AO3706" s="185" t="s">
        <v>7494</v>
      </c>
      <c r="AQ3706" s="55" t="s">
        <v>553</v>
      </c>
      <c r="AR3706" s="55" t="s">
        <v>1607</v>
      </c>
      <c r="AS3706" s="55" t="s">
        <v>132</v>
      </c>
      <c r="AU3706" s="181" t="s">
        <v>7494</v>
      </c>
      <c r="AV3706" s="185" t="s">
        <v>176</v>
      </c>
      <c r="AX3706" s="185" t="s">
        <v>176</v>
      </c>
      <c r="BK3706" s="55" t="s">
        <v>6333</v>
      </c>
      <c r="BM3706" s="192" t="s">
        <v>3292</v>
      </c>
      <c r="BN3706" s="55">
        <v>4</v>
      </c>
      <c r="BO3706" s="55">
        <v>4</v>
      </c>
      <c r="BQ3706" s="55" t="s">
        <v>141</v>
      </c>
      <c r="CB3706" s="66">
        <v>600</v>
      </c>
      <c r="CC3706" s="66">
        <v>2500</v>
      </c>
      <c r="GP3706" s="292" t="s">
        <v>7494</v>
      </c>
      <c r="GY3706" s="65">
        <v>48.2</v>
      </c>
      <c r="GZ3706" s="65">
        <v>27.8</v>
      </c>
      <c r="HC3706" s="65" t="s">
        <v>3304</v>
      </c>
    </row>
    <row r="3707" spans="1:211" x14ac:dyDescent="0.25">
      <c r="A3707" s="55">
        <v>3706</v>
      </c>
      <c r="B3707" s="12" t="s">
        <v>7067</v>
      </c>
      <c r="C3707" s="155">
        <v>168</v>
      </c>
      <c r="D3707" s="55" t="s">
        <v>3305</v>
      </c>
      <c r="E3707" s="90" t="s">
        <v>3240</v>
      </c>
      <c r="G3707" s="55" t="s">
        <v>3275</v>
      </c>
      <c r="H3707" s="55">
        <v>2005</v>
      </c>
      <c r="I3707" s="55">
        <v>2001</v>
      </c>
      <c r="J3707" s="55" t="s">
        <v>3284</v>
      </c>
      <c r="K3707" s="55" t="s">
        <v>3288</v>
      </c>
      <c r="L3707" s="55" t="s">
        <v>2750</v>
      </c>
      <c r="M3707" s="90">
        <v>-13.5</v>
      </c>
      <c r="N3707" s="90">
        <v>32.56666666666667</v>
      </c>
      <c r="O3707" s="90">
        <v>1028</v>
      </c>
      <c r="Q3707" s="55">
        <v>20.5</v>
      </c>
      <c r="S3707" s="90">
        <v>960</v>
      </c>
      <c r="U3707" s="55" t="s">
        <v>1935</v>
      </c>
      <c r="V3707" s="55" t="s">
        <v>1688</v>
      </c>
      <c r="Y3707" s="55" t="s">
        <v>1822</v>
      </c>
      <c r="Z3707" s="55" t="s">
        <v>1349</v>
      </c>
      <c r="AA3707" s="90" t="s">
        <v>1677</v>
      </c>
      <c r="AE3707" s="90">
        <v>61</v>
      </c>
      <c r="AF3707" s="90">
        <v>11</v>
      </c>
      <c r="AH3707" s="55" t="s">
        <v>238</v>
      </c>
      <c r="AI3707" s="168">
        <v>5.3</v>
      </c>
      <c r="AJ3707" s="90">
        <v>1.02</v>
      </c>
      <c r="AM3707" s="55" t="s">
        <v>2677</v>
      </c>
      <c r="AO3707" s="185" t="s">
        <v>7494</v>
      </c>
      <c r="AQ3707" s="55" t="s">
        <v>553</v>
      </c>
      <c r="AR3707" s="55" t="s">
        <v>1607</v>
      </c>
      <c r="AS3707" s="55" t="s">
        <v>132</v>
      </c>
      <c r="AU3707" s="181" t="s">
        <v>7494</v>
      </c>
      <c r="AV3707" s="185" t="s">
        <v>176</v>
      </c>
      <c r="AX3707" s="185" t="s">
        <v>176</v>
      </c>
      <c r="BK3707" s="55" t="s">
        <v>6333</v>
      </c>
      <c r="BM3707" s="192" t="s">
        <v>3292</v>
      </c>
      <c r="BN3707" s="55">
        <v>4</v>
      </c>
      <c r="BO3707" s="55">
        <v>4</v>
      </c>
      <c r="BQ3707" s="55" t="s">
        <v>141</v>
      </c>
      <c r="CB3707" s="66">
        <v>600</v>
      </c>
      <c r="CC3707" s="66">
        <v>1600</v>
      </c>
      <c r="GP3707" s="292" t="s">
        <v>7494</v>
      </c>
      <c r="GY3707" s="65">
        <v>48.2</v>
      </c>
      <c r="GZ3707" s="65">
        <v>19.8</v>
      </c>
      <c r="HC3707" s="65" t="s">
        <v>3304</v>
      </c>
    </row>
    <row r="3708" spans="1:211" x14ac:dyDescent="0.25">
      <c r="A3708" s="55">
        <v>3707</v>
      </c>
      <c r="B3708" s="12" t="s">
        <v>7067</v>
      </c>
      <c r="C3708" s="155">
        <v>168</v>
      </c>
      <c r="D3708" s="55" t="s">
        <v>3305</v>
      </c>
      <c r="E3708" s="90" t="s">
        <v>3240</v>
      </c>
      <c r="G3708" s="55" t="s">
        <v>3275</v>
      </c>
      <c r="H3708" s="55">
        <v>2005</v>
      </c>
      <c r="I3708" s="55">
        <v>2001</v>
      </c>
      <c r="J3708" s="55" t="s">
        <v>3284</v>
      </c>
      <c r="K3708" s="55" t="s">
        <v>3288</v>
      </c>
      <c r="L3708" s="55" t="s">
        <v>2750</v>
      </c>
      <c r="M3708" s="90">
        <v>-13.5</v>
      </c>
      <c r="N3708" s="90">
        <v>32.56666666666667</v>
      </c>
      <c r="O3708" s="90">
        <v>1028</v>
      </c>
      <c r="Q3708" s="55">
        <v>20.5</v>
      </c>
      <c r="S3708" s="90">
        <v>960</v>
      </c>
      <c r="U3708" s="55" t="s">
        <v>1935</v>
      </c>
      <c r="V3708" s="55" t="s">
        <v>1688</v>
      </c>
      <c r="Y3708" s="55" t="s">
        <v>1822</v>
      </c>
      <c r="Z3708" s="55" t="s">
        <v>1349</v>
      </c>
      <c r="AA3708" s="90" t="s">
        <v>1677</v>
      </c>
      <c r="AE3708" s="90">
        <v>61</v>
      </c>
      <c r="AF3708" s="90">
        <v>11</v>
      </c>
      <c r="AH3708" s="55" t="s">
        <v>238</v>
      </c>
      <c r="AI3708" s="168">
        <v>5.3</v>
      </c>
      <c r="AJ3708" s="90">
        <v>1.02</v>
      </c>
      <c r="AM3708" s="55" t="s">
        <v>2677</v>
      </c>
      <c r="AO3708" s="185" t="s">
        <v>7494</v>
      </c>
      <c r="AQ3708" s="55" t="s">
        <v>553</v>
      </c>
      <c r="AR3708" s="55" t="s">
        <v>1607</v>
      </c>
      <c r="AS3708" s="55" t="s">
        <v>132</v>
      </c>
      <c r="AU3708" s="181" t="s">
        <v>7494</v>
      </c>
      <c r="AV3708" s="185" t="s">
        <v>176</v>
      </c>
      <c r="AX3708" s="185" t="s">
        <v>176</v>
      </c>
      <c r="BK3708" s="55" t="s">
        <v>6333</v>
      </c>
      <c r="BM3708" s="192" t="s">
        <v>3293</v>
      </c>
      <c r="BN3708" s="55">
        <v>4</v>
      </c>
      <c r="BO3708" s="55">
        <v>4</v>
      </c>
      <c r="BQ3708" s="55" t="s">
        <v>141</v>
      </c>
      <c r="CB3708" s="66">
        <v>200</v>
      </c>
      <c r="CC3708" s="66">
        <v>1500</v>
      </c>
      <c r="GP3708" s="292" t="s">
        <v>7494</v>
      </c>
      <c r="GY3708" s="65">
        <v>53.9</v>
      </c>
      <c r="GZ3708" s="65">
        <v>36</v>
      </c>
      <c r="HC3708" s="65" t="s">
        <v>3304</v>
      </c>
    </row>
    <row r="3709" spans="1:211" x14ac:dyDescent="0.25">
      <c r="A3709" s="55">
        <v>3708</v>
      </c>
      <c r="B3709" s="12" t="s">
        <v>7067</v>
      </c>
      <c r="C3709" s="155">
        <v>168</v>
      </c>
      <c r="D3709" s="55" t="s">
        <v>3305</v>
      </c>
      <c r="E3709" s="90" t="s">
        <v>3240</v>
      </c>
      <c r="G3709" s="55" t="s">
        <v>3275</v>
      </c>
      <c r="H3709" s="55">
        <v>2005</v>
      </c>
      <c r="I3709" s="55">
        <v>2001</v>
      </c>
      <c r="J3709" s="55" t="s">
        <v>3284</v>
      </c>
      <c r="K3709" s="55" t="s">
        <v>3288</v>
      </c>
      <c r="L3709" s="55" t="s">
        <v>2750</v>
      </c>
      <c r="M3709" s="90">
        <v>-13.5</v>
      </c>
      <c r="N3709" s="90">
        <v>32.56666666666667</v>
      </c>
      <c r="O3709" s="90">
        <v>1028</v>
      </c>
      <c r="Q3709" s="55">
        <v>20.5</v>
      </c>
      <c r="S3709" s="90">
        <v>960</v>
      </c>
      <c r="U3709" s="55" t="s">
        <v>1935</v>
      </c>
      <c r="V3709" s="55" t="s">
        <v>1688</v>
      </c>
      <c r="Y3709" s="55" t="s">
        <v>1822</v>
      </c>
      <c r="Z3709" s="55" t="s">
        <v>1349</v>
      </c>
      <c r="AA3709" s="90" t="s">
        <v>1677</v>
      </c>
      <c r="AE3709" s="90">
        <v>61</v>
      </c>
      <c r="AF3709" s="90">
        <v>11</v>
      </c>
      <c r="AH3709" s="55" t="s">
        <v>238</v>
      </c>
      <c r="AI3709" s="168">
        <v>5.3</v>
      </c>
      <c r="AJ3709" s="90">
        <v>1.02</v>
      </c>
      <c r="AM3709" s="55" t="s">
        <v>2677</v>
      </c>
      <c r="AO3709" s="185" t="s">
        <v>7494</v>
      </c>
      <c r="AQ3709" s="55" t="s">
        <v>553</v>
      </c>
      <c r="AR3709" s="55" t="s">
        <v>1607</v>
      </c>
      <c r="AS3709" s="55" t="s">
        <v>132</v>
      </c>
      <c r="AU3709" s="181" t="s">
        <v>7494</v>
      </c>
      <c r="AV3709" s="185" t="s">
        <v>176</v>
      </c>
      <c r="AX3709" s="185" t="s">
        <v>176</v>
      </c>
      <c r="BK3709" s="55" t="s">
        <v>6333</v>
      </c>
      <c r="BM3709" s="192" t="s">
        <v>3293</v>
      </c>
      <c r="BN3709" s="55">
        <v>4</v>
      </c>
      <c r="BO3709" s="55">
        <v>4</v>
      </c>
      <c r="BQ3709" s="55" t="s">
        <v>141</v>
      </c>
      <c r="CB3709" s="66">
        <v>200</v>
      </c>
      <c r="CC3709" s="66">
        <v>1500</v>
      </c>
      <c r="GP3709" s="292" t="s">
        <v>7494</v>
      </c>
      <c r="GY3709" s="65">
        <v>53.9</v>
      </c>
      <c r="GZ3709" s="65">
        <v>30.2</v>
      </c>
      <c r="HC3709" s="65" t="s">
        <v>3304</v>
      </c>
    </row>
    <row r="3710" spans="1:211" x14ac:dyDescent="0.25">
      <c r="A3710" s="55">
        <v>3709</v>
      </c>
      <c r="B3710" s="12" t="s">
        <v>7067</v>
      </c>
      <c r="C3710" s="155">
        <v>168</v>
      </c>
      <c r="D3710" s="55" t="s">
        <v>3305</v>
      </c>
      <c r="E3710" s="90" t="s">
        <v>3240</v>
      </c>
      <c r="G3710" s="55" t="s">
        <v>3275</v>
      </c>
      <c r="H3710" s="55">
        <v>2005</v>
      </c>
      <c r="I3710" s="55">
        <v>2001</v>
      </c>
      <c r="J3710" s="55" t="s">
        <v>3284</v>
      </c>
      <c r="K3710" s="55" t="s">
        <v>3288</v>
      </c>
      <c r="L3710" s="55" t="s">
        <v>2750</v>
      </c>
      <c r="M3710" s="90">
        <v>-13.5</v>
      </c>
      <c r="N3710" s="90">
        <v>32.56666666666667</v>
      </c>
      <c r="O3710" s="90">
        <v>1028</v>
      </c>
      <c r="Q3710" s="55">
        <v>20.5</v>
      </c>
      <c r="S3710" s="90">
        <v>960</v>
      </c>
      <c r="U3710" s="55" t="s">
        <v>1935</v>
      </c>
      <c r="V3710" s="55" t="s">
        <v>1688</v>
      </c>
      <c r="Y3710" s="55" t="s">
        <v>1822</v>
      </c>
      <c r="Z3710" s="55" t="s">
        <v>1349</v>
      </c>
      <c r="AA3710" s="90" t="s">
        <v>1677</v>
      </c>
      <c r="AE3710" s="90">
        <v>61</v>
      </c>
      <c r="AF3710" s="90">
        <v>11</v>
      </c>
      <c r="AH3710" s="55" t="s">
        <v>238</v>
      </c>
      <c r="AI3710" s="168">
        <v>5.3</v>
      </c>
      <c r="AJ3710" s="90">
        <v>1.02</v>
      </c>
      <c r="AM3710" s="55" t="s">
        <v>2677</v>
      </c>
      <c r="AO3710" s="185" t="s">
        <v>7494</v>
      </c>
      <c r="AQ3710" s="55" t="s">
        <v>553</v>
      </c>
      <c r="AR3710" s="55" t="s">
        <v>1607</v>
      </c>
      <c r="AS3710" s="55" t="s">
        <v>132</v>
      </c>
      <c r="AU3710" s="181" t="s">
        <v>7494</v>
      </c>
      <c r="AV3710" s="185" t="s">
        <v>176</v>
      </c>
      <c r="AX3710" s="185" t="s">
        <v>176</v>
      </c>
      <c r="BK3710" s="55" t="s">
        <v>6333</v>
      </c>
      <c r="BM3710" s="192" t="s">
        <v>3293</v>
      </c>
      <c r="BN3710" s="55">
        <v>4</v>
      </c>
      <c r="BO3710" s="55">
        <v>4</v>
      </c>
      <c r="BQ3710" s="55" t="s">
        <v>141</v>
      </c>
      <c r="CB3710" s="66">
        <v>200</v>
      </c>
      <c r="CC3710" s="66">
        <v>3700</v>
      </c>
      <c r="GP3710" s="292" t="s">
        <v>7494</v>
      </c>
      <c r="GY3710" s="65">
        <v>53.9</v>
      </c>
      <c r="GZ3710" s="65">
        <v>23.4</v>
      </c>
      <c r="HC3710" s="65" t="s">
        <v>3304</v>
      </c>
    </row>
    <row r="3711" spans="1:211" x14ac:dyDescent="0.25">
      <c r="A3711" s="55">
        <v>3710</v>
      </c>
      <c r="B3711" s="12" t="s">
        <v>7067</v>
      </c>
      <c r="C3711" s="155">
        <v>168</v>
      </c>
      <c r="D3711" s="55" t="s">
        <v>3305</v>
      </c>
      <c r="E3711" s="90" t="s">
        <v>3240</v>
      </c>
      <c r="G3711" s="55" t="s">
        <v>3275</v>
      </c>
      <c r="H3711" s="55">
        <v>2005</v>
      </c>
      <c r="I3711" s="55">
        <v>2001</v>
      </c>
      <c r="J3711" s="55" t="s">
        <v>3284</v>
      </c>
      <c r="K3711" s="55" t="s">
        <v>3288</v>
      </c>
      <c r="L3711" s="55" t="s">
        <v>2750</v>
      </c>
      <c r="M3711" s="90">
        <v>-13.5</v>
      </c>
      <c r="N3711" s="90">
        <v>32.56666666666667</v>
      </c>
      <c r="O3711" s="90">
        <v>1028</v>
      </c>
      <c r="Q3711" s="55">
        <v>20.5</v>
      </c>
      <c r="S3711" s="90">
        <v>960</v>
      </c>
      <c r="U3711" s="55" t="s">
        <v>1935</v>
      </c>
      <c r="V3711" s="55" t="s">
        <v>1688</v>
      </c>
      <c r="Y3711" s="55" t="s">
        <v>1822</v>
      </c>
      <c r="Z3711" s="55" t="s">
        <v>1349</v>
      </c>
      <c r="AA3711" s="90" t="s">
        <v>1677</v>
      </c>
      <c r="AE3711" s="90">
        <v>61</v>
      </c>
      <c r="AF3711" s="90">
        <v>11</v>
      </c>
      <c r="AH3711" s="55" t="s">
        <v>238</v>
      </c>
      <c r="AI3711" s="168">
        <v>5.3</v>
      </c>
      <c r="AJ3711" s="90">
        <v>1.02</v>
      </c>
      <c r="AM3711" s="55" t="s">
        <v>2677</v>
      </c>
      <c r="AO3711" s="185" t="s">
        <v>7494</v>
      </c>
      <c r="AQ3711" s="55" t="s">
        <v>553</v>
      </c>
      <c r="AR3711" s="55" t="s">
        <v>1607</v>
      </c>
      <c r="AS3711" s="55" t="s">
        <v>132</v>
      </c>
      <c r="AU3711" s="181" t="s">
        <v>7494</v>
      </c>
      <c r="AV3711" s="185" t="s">
        <v>176</v>
      </c>
      <c r="AX3711" s="185" t="s">
        <v>176</v>
      </c>
      <c r="BK3711" s="55" t="s">
        <v>6333</v>
      </c>
      <c r="BM3711" s="192" t="s">
        <v>3293</v>
      </c>
      <c r="BN3711" s="55">
        <v>4</v>
      </c>
      <c r="BO3711" s="55">
        <v>4</v>
      </c>
      <c r="BQ3711" s="55" t="s">
        <v>141</v>
      </c>
      <c r="CB3711" s="66">
        <v>200</v>
      </c>
      <c r="CC3711" s="66">
        <v>2500</v>
      </c>
      <c r="GP3711" s="292" t="s">
        <v>7494</v>
      </c>
      <c r="GY3711" s="65">
        <v>53.9</v>
      </c>
      <c r="GZ3711" s="65">
        <v>27.8</v>
      </c>
      <c r="HC3711" s="65" t="s">
        <v>3304</v>
      </c>
    </row>
    <row r="3712" spans="1:211" x14ac:dyDescent="0.25">
      <c r="A3712" s="55">
        <v>3711</v>
      </c>
      <c r="B3712" s="12" t="s">
        <v>7067</v>
      </c>
      <c r="C3712" s="155">
        <v>168</v>
      </c>
      <c r="D3712" s="55" t="s">
        <v>3305</v>
      </c>
      <c r="E3712" s="90" t="s">
        <v>3240</v>
      </c>
      <c r="G3712" s="55" t="s">
        <v>3275</v>
      </c>
      <c r="H3712" s="55">
        <v>2005</v>
      </c>
      <c r="I3712" s="55">
        <v>2001</v>
      </c>
      <c r="J3712" s="55" t="s">
        <v>3284</v>
      </c>
      <c r="K3712" s="55" t="s">
        <v>3288</v>
      </c>
      <c r="L3712" s="55" t="s">
        <v>2750</v>
      </c>
      <c r="M3712" s="90">
        <v>-13.5</v>
      </c>
      <c r="N3712" s="90">
        <v>32.56666666666667</v>
      </c>
      <c r="O3712" s="90">
        <v>1028</v>
      </c>
      <c r="Q3712" s="55">
        <v>20.5</v>
      </c>
      <c r="S3712" s="90">
        <v>960</v>
      </c>
      <c r="U3712" s="55" t="s">
        <v>1935</v>
      </c>
      <c r="V3712" s="55" t="s">
        <v>1688</v>
      </c>
      <c r="Y3712" s="55" t="s">
        <v>1822</v>
      </c>
      <c r="Z3712" s="55" t="s">
        <v>1349</v>
      </c>
      <c r="AA3712" s="90" t="s">
        <v>1677</v>
      </c>
      <c r="AE3712" s="90">
        <v>61</v>
      </c>
      <c r="AF3712" s="90">
        <v>11</v>
      </c>
      <c r="AH3712" s="55" t="s">
        <v>238</v>
      </c>
      <c r="AI3712" s="168">
        <v>5.3</v>
      </c>
      <c r="AJ3712" s="90">
        <v>1.02</v>
      </c>
      <c r="AM3712" s="55" t="s">
        <v>2677</v>
      </c>
      <c r="AO3712" s="185" t="s">
        <v>7494</v>
      </c>
      <c r="AQ3712" s="55" t="s">
        <v>553</v>
      </c>
      <c r="AR3712" s="55" t="s">
        <v>1607</v>
      </c>
      <c r="AS3712" s="55" t="s">
        <v>132</v>
      </c>
      <c r="AU3712" s="181" t="s">
        <v>7494</v>
      </c>
      <c r="AV3712" s="185" t="s">
        <v>176</v>
      </c>
      <c r="AX3712" s="185" t="s">
        <v>176</v>
      </c>
      <c r="BK3712" s="55" t="s">
        <v>6333</v>
      </c>
      <c r="BM3712" s="192" t="s">
        <v>3293</v>
      </c>
      <c r="BN3712" s="55">
        <v>4</v>
      </c>
      <c r="BO3712" s="55">
        <v>4</v>
      </c>
      <c r="BQ3712" s="55" t="s">
        <v>141</v>
      </c>
      <c r="CB3712" s="66">
        <v>200</v>
      </c>
      <c r="CC3712" s="66">
        <v>1600</v>
      </c>
      <c r="GP3712" s="292" t="s">
        <v>7494</v>
      </c>
      <c r="GY3712" s="65">
        <v>53.9</v>
      </c>
      <c r="GZ3712" s="65">
        <v>19.8</v>
      </c>
      <c r="HC3712" s="65" t="s">
        <v>3304</v>
      </c>
    </row>
    <row r="3713" spans="1:211" x14ac:dyDescent="0.25">
      <c r="A3713" s="55">
        <v>3712</v>
      </c>
      <c r="B3713" s="12" t="s">
        <v>7067</v>
      </c>
      <c r="C3713" s="155">
        <v>168</v>
      </c>
      <c r="D3713" s="55" t="s">
        <v>3305</v>
      </c>
      <c r="E3713" s="90" t="s">
        <v>3240</v>
      </c>
      <c r="G3713" s="55" t="s">
        <v>3275</v>
      </c>
      <c r="H3713" s="55">
        <v>2005</v>
      </c>
      <c r="I3713" s="55">
        <v>2002</v>
      </c>
      <c r="J3713" s="55" t="s">
        <v>3284</v>
      </c>
      <c r="K3713" s="55" t="s">
        <v>3288</v>
      </c>
      <c r="L3713" s="55" t="s">
        <v>2750</v>
      </c>
      <c r="M3713" s="90">
        <v>-13.5</v>
      </c>
      <c r="N3713" s="90">
        <v>32.56666666666667</v>
      </c>
      <c r="O3713" s="90">
        <v>1028</v>
      </c>
      <c r="Q3713" s="55">
        <v>20.5</v>
      </c>
      <c r="S3713" s="90">
        <v>960</v>
      </c>
      <c r="U3713" s="55" t="s">
        <v>1805</v>
      </c>
      <c r="V3713" s="55" t="s">
        <v>1688</v>
      </c>
      <c r="Y3713" s="55" t="s">
        <v>1822</v>
      </c>
      <c r="Z3713" s="55" t="s">
        <v>1349</v>
      </c>
      <c r="AA3713" s="90" t="s">
        <v>1677</v>
      </c>
      <c r="AE3713" s="90">
        <v>61</v>
      </c>
      <c r="AF3713" s="90">
        <v>11</v>
      </c>
      <c r="AH3713" s="55" t="s">
        <v>238</v>
      </c>
      <c r="AI3713" s="168">
        <v>5.3</v>
      </c>
      <c r="AJ3713" s="90">
        <v>1.02</v>
      </c>
      <c r="AM3713" s="55" t="s">
        <v>2677</v>
      </c>
      <c r="AO3713" s="185" t="s">
        <v>7494</v>
      </c>
      <c r="AQ3713" s="55" t="s">
        <v>553</v>
      </c>
      <c r="AR3713" s="55" t="s">
        <v>1607</v>
      </c>
      <c r="AS3713" s="55" t="s">
        <v>132</v>
      </c>
      <c r="AU3713" s="181" t="s">
        <v>7494</v>
      </c>
      <c r="AV3713" s="185" t="s">
        <v>176</v>
      </c>
      <c r="AX3713" s="185" t="s">
        <v>176</v>
      </c>
      <c r="BK3713" s="55" t="s">
        <v>6333</v>
      </c>
      <c r="BM3713" s="192" t="s">
        <v>3292</v>
      </c>
      <c r="BN3713" s="55">
        <v>4</v>
      </c>
      <c r="BO3713" s="55">
        <v>4</v>
      </c>
      <c r="BQ3713" s="55" t="s">
        <v>141</v>
      </c>
      <c r="CB3713" s="66">
        <v>500</v>
      </c>
      <c r="CC3713" s="66">
        <v>700</v>
      </c>
      <c r="GP3713" s="292" t="s">
        <v>7494</v>
      </c>
      <c r="GY3713" s="65">
        <v>16.7</v>
      </c>
      <c r="GZ3713" s="65">
        <v>21.1</v>
      </c>
      <c r="HC3713" s="65" t="s">
        <v>3304</v>
      </c>
    </row>
    <row r="3714" spans="1:211" x14ac:dyDescent="0.25">
      <c r="A3714" s="55">
        <v>3713</v>
      </c>
      <c r="B3714" s="12" t="s">
        <v>7067</v>
      </c>
      <c r="C3714" s="155">
        <v>168</v>
      </c>
      <c r="D3714" s="55" t="s">
        <v>3305</v>
      </c>
      <c r="E3714" s="90" t="s">
        <v>3240</v>
      </c>
      <c r="G3714" s="55" t="s">
        <v>3275</v>
      </c>
      <c r="H3714" s="55">
        <v>2005</v>
      </c>
      <c r="I3714" s="55">
        <v>2002</v>
      </c>
      <c r="J3714" s="55" t="s">
        <v>3284</v>
      </c>
      <c r="K3714" s="55" t="s">
        <v>3288</v>
      </c>
      <c r="L3714" s="55" t="s">
        <v>2750</v>
      </c>
      <c r="M3714" s="90">
        <v>-13.5</v>
      </c>
      <c r="N3714" s="90">
        <v>32.56666666666667</v>
      </c>
      <c r="O3714" s="90">
        <v>1028</v>
      </c>
      <c r="Q3714" s="55">
        <v>20.5</v>
      </c>
      <c r="S3714" s="90">
        <v>960</v>
      </c>
      <c r="U3714" s="55" t="s">
        <v>1805</v>
      </c>
      <c r="V3714" s="55" t="s">
        <v>1688</v>
      </c>
      <c r="Y3714" s="55" t="s">
        <v>1822</v>
      </c>
      <c r="Z3714" s="55" t="s">
        <v>1349</v>
      </c>
      <c r="AA3714" s="90" t="s">
        <v>1677</v>
      </c>
      <c r="AE3714" s="90">
        <v>61</v>
      </c>
      <c r="AF3714" s="90">
        <v>11</v>
      </c>
      <c r="AH3714" s="55" t="s">
        <v>238</v>
      </c>
      <c r="AI3714" s="168">
        <v>5.3</v>
      </c>
      <c r="AJ3714" s="90">
        <v>1.02</v>
      </c>
      <c r="AM3714" s="55" t="s">
        <v>2677</v>
      </c>
      <c r="AO3714" s="185" t="s">
        <v>7494</v>
      </c>
      <c r="AQ3714" s="55" t="s">
        <v>553</v>
      </c>
      <c r="AR3714" s="55" t="s">
        <v>1607</v>
      </c>
      <c r="AS3714" s="55" t="s">
        <v>132</v>
      </c>
      <c r="AU3714" s="181" t="s">
        <v>7494</v>
      </c>
      <c r="AV3714" s="185" t="s">
        <v>176</v>
      </c>
      <c r="AX3714" s="185" t="s">
        <v>176</v>
      </c>
      <c r="BK3714" s="55" t="s">
        <v>6333</v>
      </c>
      <c r="BM3714" s="192" t="s">
        <v>3292</v>
      </c>
      <c r="BN3714" s="55">
        <v>4</v>
      </c>
      <c r="BO3714" s="55">
        <v>4</v>
      </c>
      <c r="BQ3714" s="55" t="s">
        <v>141</v>
      </c>
      <c r="CB3714" s="66">
        <v>500</v>
      </c>
      <c r="CC3714" s="66">
        <v>1200</v>
      </c>
      <c r="GP3714" s="292" t="s">
        <v>7494</v>
      </c>
      <c r="GY3714" s="65">
        <v>16.7</v>
      </c>
      <c r="GZ3714" s="65">
        <v>34</v>
      </c>
      <c r="HC3714" s="65" t="s">
        <v>3304</v>
      </c>
    </row>
    <row r="3715" spans="1:211" x14ac:dyDescent="0.25">
      <c r="A3715" s="55">
        <v>3714</v>
      </c>
      <c r="B3715" s="12" t="s">
        <v>7067</v>
      </c>
      <c r="C3715" s="155">
        <v>168</v>
      </c>
      <c r="D3715" s="55" t="s">
        <v>3305</v>
      </c>
      <c r="E3715" s="90" t="s">
        <v>3240</v>
      </c>
      <c r="G3715" s="55" t="s">
        <v>3275</v>
      </c>
      <c r="H3715" s="55">
        <v>2005</v>
      </c>
      <c r="I3715" s="55">
        <v>2002</v>
      </c>
      <c r="J3715" s="55" t="s">
        <v>3284</v>
      </c>
      <c r="K3715" s="55" t="s">
        <v>3288</v>
      </c>
      <c r="L3715" s="55" t="s">
        <v>2750</v>
      </c>
      <c r="M3715" s="90">
        <v>-13.5</v>
      </c>
      <c r="N3715" s="90">
        <v>32.56666666666667</v>
      </c>
      <c r="O3715" s="90">
        <v>1028</v>
      </c>
      <c r="Q3715" s="55">
        <v>20.5</v>
      </c>
      <c r="S3715" s="90">
        <v>960</v>
      </c>
      <c r="U3715" s="55" t="s">
        <v>1805</v>
      </c>
      <c r="V3715" s="55" t="s">
        <v>1688</v>
      </c>
      <c r="Y3715" s="55" t="s">
        <v>1822</v>
      </c>
      <c r="Z3715" s="55" t="s">
        <v>1349</v>
      </c>
      <c r="AA3715" s="90" t="s">
        <v>1677</v>
      </c>
      <c r="AE3715" s="90">
        <v>61</v>
      </c>
      <c r="AF3715" s="90">
        <v>11</v>
      </c>
      <c r="AH3715" s="55" t="s">
        <v>238</v>
      </c>
      <c r="AI3715" s="168">
        <v>5.3</v>
      </c>
      <c r="AJ3715" s="90">
        <v>1.02</v>
      </c>
      <c r="AM3715" s="55" t="s">
        <v>2677</v>
      </c>
      <c r="AO3715" s="185" t="s">
        <v>7494</v>
      </c>
      <c r="AQ3715" s="55" t="s">
        <v>553</v>
      </c>
      <c r="AR3715" s="55" t="s">
        <v>1607</v>
      </c>
      <c r="AS3715" s="55" t="s">
        <v>132</v>
      </c>
      <c r="AU3715" s="181" t="s">
        <v>7494</v>
      </c>
      <c r="AV3715" s="185" t="s">
        <v>176</v>
      </c>
      <c r="AX3715" s="185" t="s">
        <v>176</v>
      </c>
      <c r="BK3715" s="55" t="s">
        <v>6333</v>
      </c>
      <c r="BM3715" s="192" t="s">
        <v>3292</v>
      </c>
      <c r="BN3715" s="55">
        <v>4</v>
      </c>
      <c r="BO3715" s="55">
        <v>4</v>
      </c>
      <c r="BQ3715" s="55" t="s">
        <v>141</v>
      </c>
      <c r="CB3715" s="66">
        <v>500</v>
      </c>
      <c r="CC3715" s="66">
        <v>3500</v>
      </c>
      <c r="GP3715" s="292" t="s">
        <v>7494</v>
      </c>
      <c r="GY3715" s="65">
        <v>16.7</v>
      </c>
      <c r="GZ3715" s="65">
        <v>18.7</v>
      </c>
      <c r="HC3715" s="65" t="s">
        <v>3304</v>
      </c>
    </row>
    <row r="3716" spans="1:211" x14ac:dyDescent="0.25">
      <c r="A3716" s="55">
        <v>3715</v>
      </c>
      <c r="B3716" s="12" t="s">
        <v>7067</v>
      </c>
      <c r="C3716" s="155">
        <v>168</v>
      </c>
      <c r="D3716" s="55" t="s">
        <v>3305</v>
      </c>
      <c r="E3716" s="90" t="s">
        <v>3240</v>
      </c>
      <c r="G3716" s="55" t="s">
        <v>3275</v>
      </c>
      <c r="H3716" s="55">
        <v>2005</v>
      </c>
      <c r="I3716" s="55">
        <v>2002</v>
      </c>
      <c r="J3716" s="55" t="s">
        <v>3284</v>
      </c>
      <c r="K3716" s="55" t="s">
        <v>3288</v>
      </c>
      <c r="L3716" s="55" t="s">
        <v>2750</v>
      </c>
      <c r="M3716" s="90">
        <v>-13.5</v>
      </c>
      <c r="N3716" s="90">
        <v>32.56666666666667</v>
      </c>
      <c r="O3716" s="90">
        <v>1028</v>
      </c>
      <c r="Q3716" s="55">
        <v>20.5</v>
      </c>
      <c r="S3716" s="90">
        <v>960</v>
      </c>
      <c r="U3716" s="55" t="s">
        <v>1805</v>
      </c>
      <c r="V3716" s="55" t="s">
        <v>1688</v>
      </c>
      <c r="Y3716" s="55" t="s">
        <v>1822</v>
      </c>
      <c r="Z3716" s="55" t="s">
        <v>1349</v>
      </c>
      <c r="AA3716" s="90" t="s">
        <v>1677</v>
      </c>
      <c r="AE3716" s="90">
        <v>61</v>
      </c>
      <c r="AF3716" s="90">
        <v>11</v>
      </c>
      <c r="AH3716" s="55" t="s">
        <v>238</v>
      </c>
      <c r="AI3716" s="168">
        <v>5.3</v>
      </c>
      <c r="AJ3716" s="90">
        <v>1.02</v>
      </c>
      <c r="AM3716" s="55" t="s">
        <v>2677</v>
      </c>
      <c r="AO3716" s="185" t="s">
        <v>7494</v>
      </c>
      <c r="AQ3716" s="55" t="s">
        <v>553</v>
      </c>
      <c r="AR3716" s="55" t="s">
        <v>1607</v>
      </c>
      <c r="AS3716" s="55" t="s">
        <v>132</v>
      </c>
      <c r="AU3716" s="181" t="s">
        <v>7494</v>
      </c>
      <c r="AV3716" s="185" t="s">
        <v>176</v>
      </c>
      <c r="AX3716" s="185" t="s">
        <v>176</v>
      </c>
      <c r="BK3716" s="55" t="s">
        <v>6333</v>
      </c>
      <c r="BM3716" s="192" t="s">
        <v>3292</v>
      </c>
      <c r="BN3716" s="55">
        <v>4</v>
      </c>
      <c r="BO3716" s="55">
        <v>4</v>
      </c>
      <c r="BQ3716" s="55" t="s">
        <v>141</v>
      </c>
      <c r="CB3716" s="66">
        <v>500</v>
      </c>
      <c r="CC3716" s="66">
        <v>1600</v>
      </c>
      <c r="GP3716" s="292" t="s">
        <v>7494</v>
      </c>
      <c r="GY3716" s="65">
        <v>16.7</v>
      </c>
      <c r="GZ3716" s="65">
        <v>15.3</v>
      </c>
      <c r="HC3716" s="65" t="s">
        <v>3304</v>
      </c>
    </row>
    <row r="3717" spans="1:211" x14ac:dyDescent="0.25">
      <c r="A3717" s="55">
        <v>3716</v>
      </c>
      <c r="B3717" s="12" t="s">
        <v>7067</v>
      </c>
      <c r="C3717" s="155">
        <v>168</v>
      </c>
      <c r="D3717" s="55" t="s">
        <v>3305</v>
      </c>
      <c r="E3717" s="90" t="s">
        <v>3240</v>
      </c>
      <c r="G3717" s="55" t="s">
        <v>3275</v>
      </c>
      <c r="H3717" s="55">
        <v>2005</v>
      </c>
      <c r="I3717" s="55">
        <v>2002</v>
      </c>
      <c r="J3717" s="55" t="s">
        <v>3284</v>
      </c>
      <c r="K3717" s="55" t="s">
        <v>3288</v>
      </c>
      <c r="L3717" s="55" t="s">
        <v>2750</v>
      </c>
      <c r="M3717" s="90">
        <v>-13.5</v>
      </c>
      <c r="N3717" s="90">
        <v>32.56666666666667</v>
      </c>
      <c r="O3717" s="90">
        <v>1028</v>
      </c>
      <c r="Q3717" s="55">
        <v>20.5</v>
      </c>
      <c r="S3717" s="90">
        <v>960</v>
      </c>
      <c r="U3717" s="55" t="s">
        <v>1805</v>
      </c>
      <c r="V3717" s="55" t="s">
        <v>1688</v>
      </c>
      <c r="Y3717" s="55" t="s">
        <v>1822</v>
      </c>
      <c r="Z3717" s="55" t="s">
        <v>1349</v>
      </c>
      <c r="AA3717" s="90" t="s">
        <v>1677</v>
      </c>
      <c r="AE3717" s="90">
        <v>61</v>
      </c>
      <c r="AF3717" s="90">
        <v>11</v>
      </c>
      <c r="AH3717" s="55" t="s">
        <v>238</v>
      </c>
      <c r="AI3717" s="168">
        <v>5.3</v>
      </c>
      <c r="AJ3717" s="90">
        <v>1.02</v>
      </c>
      <c r="AM3717" s="55" t="s">
        <v>2677</v>
      </c>
      <c r="AO3717" s="185" t="s">
        <v>7494</v>
      </c>
      <c r="AQ3717" s="55" t="s">
        <v>553</v>
      </c>
      <c r="AR3717" s="55" t="s">
        <v>1607</v>
      </c>
      <c r="AS3717" s="55" t="s">
        <v>132</v>
      </c>
      <c r="AU3717" s="181" t="s">
        <v>7494</v>
      </c>
      <c r="AV3717" s="185" t="s">
        <v>176</v>
      </c>
      <c r="AX3717" s="185" t="s">
        <v>176</v>
      </c>
      <c r="BK3717" s="55" t="s">
        <v>6333</v>
      </c>
      <c r="BM3717" s="192" t="s">
        <v>3292</v>
      </c>
      <c r="BN3717" s="55">
        <v>4</v>
      </c>
      <c r="BO3717" s="55">
        <v>4</v>
      </c>
      <c r="BQ3717" s="55" t="s">
        <v>141</v>
      </c>
      <c r="CB3717" s="66">
        <v>500</v>
      </c>
      <c r="CC3717" s="66">
        <v>1000</v>
      </c>
      <c r="GP3717" s="292" t="s">
        <v>7494</v>
      </c>
      <c r="GY3717" s="65">
        <v>16.7</v>
      </c>
      <c r="GZ3717" s="65">
        <v>25</v>
      </c>
      <c r="HC3717" s="65" t="s">
        <v>3304</v>
      </c>
    </row>
    <row r="3718" spans="1:211" x14ac:dyDescent="0.25">
      <c r="A3718" s="55">
        <v>3717</v>
      </c>
      <c r="B3718" s="12" t="s">
        <v>7067</v>
      </c>
      <c r="C3718" s="155">
        <v>168</v>
      </c>
      <c r="D3718" s="55" t="s">
        <v>3305</v>
      </c>
      <c r="E3718" s="90" t="s">
        <v>3240</v>
      </c>
      <c r="G3718" s="55" t="s">
        <v>3275</v>
      </c>
      <c r="H3718" s="55">
        <v>2005</v>
      </c>
      <c r="I3718" s="55">
        <v>2002</v>
      </c>
      <c r="J3718" s="55" t="s">
        <v>3284</v>
      </c>
      <c r="K3718" s="55" t="s">
        <v>3288</v>
      </c>
      <c r="L3718" s="55" t="s">
        <v>2750</v>
      </c>
      <c r="M3718" s="90">
        <v>-13.5</v>
      </c>
      <c r="N3718" s="90">
        <v>32.56666666666667</v>
      </c>
      <c r="O3718" s="90">
        <v>1028</v>
      </c>
      <c r="Q3718" s="55">
        <v>20.5</v>
      </c>
      <c r="S3718" s="90">
        <v>960</v>
      </c>
      <c r="U3718" s="55" t="s">
        <v>1805</v>
      </c>
      <c r="V3718" s="55" t="s">
        <v>1688</v>
      </c>
      <c r="Y3718" s="55" t="s">
        <v>1822</v>
      </c>
      <c r="Z3718" s="55" t="s">
        <v>1349</v>
      </c>
      <c r="AA3718" s="90" t="s">
        <v>1677</v>
      </c>
      <c r="AE3718" s="90">
        <v>61</v>
      </c>
      <c r="AF3718" s="90">
        <v>11</v>
      </c>
      <c r="AH3718" s="55" t="s">
        <v>238</v>
      </c>
      <c r="AI3718" s="168">
        <v>5.3</v>
      </c>
      <c r="AJ3718" s="90">
        <v>1.02</v>
      </c>
      <c r="AM3718" s="55" t="s">
        <v>2677</v>
      </c>
      <c r="AO3718" s="185" t="s">
        <v>7494</v>
      </c>
      <c r="AQ3718" s="55" t="s">
        <v>553</v>
      </c>
      <c r="AR3718" s="55" t="s">
        <v>1607</v>
      </c>
      <c r="AS3718" s="55" t="s">
        <v>132</v>
      </c>
      <c r="AU3718" s="181" t="s">
        <v>7494</v>
      </c>
      <c r="AV3718" s="185" t="s">
        <v>176</v>
      </c>
      <c r="AX3718" s="185" t="s">
        <v>176</v>
      </c>
      <c r="BK3718" s="55" t="s">
        <v>6333</v>
      </c>
      <c r="BM3718" s="192" t="s">
        <v>3293</v>
      </c>
      <c r="BN3718" s="55">
        <v>4</v>
      </c>
      <c r="BO3718" s="55">
        <v>4</v>
      </c>
      <c r="BQ3718" s="55" t="s">
        <v>141</v>
      </c>
      <c r="CB3718" s="66">
        <v>100</v>
      </c>
      <c r="CC3718" s="66">
        <v>700</v>
      </c>
      <c r="GP3718" s="292" t="s">
        <v>7494</v>
      </c>
      <c r="GY3718" s="65">
        <v>6.5</v>
      </c>
      <c r="GZ3718" s="65">
        <v>21.1</v>
      </c>
      <c r="HC3718" s="65" t="s">
        <v>3304</v>
      </c>
    </row>
    <row r="3719" spans="1:211" x14ac:dyDescent="0.25">
      <c r="A3719" s="55">
        <v>3718</v>
      </c>
      <c r="B3719" s="12" t="s">
        <v>7067</v>
      </c>
      <c r="C3719" s="155">
        <v>168</v>
      </c>
      <c r="D3719" s="55" t="s">
        <v>3305</v>
      </c>
      <c r="E3719" s="90" t="s">
        <v>3240</v>
      </c>
      <c r="G3719" s="55" t="s">
        <v>3275</v>
      </c>
      <c r="H3719" s="55">
        <v>2005</v>
      </c>
      <c r="I3719" s="55">
        <v>2002</v>
      </c>
      <c r="J3719" s="55" t="s">
        <v>3284</v>
      </c>
      <c r="K3719" s="55" t="s">
        <v>3288</v>
      </c>
      <c r="L3719" s="55" t="s">
        <v>2750</v>
      </c>
      <c r="M3719" s="90">
        <v>-13.5</v>
      </c>
      <c r="N3719" s="90">
        <v>32.56666666666667</v>
      </c>
      <c r="O3719" s="90">
        <v>1028</v>
      </c>
      <c r="Q3719" s="55">
        <v>20.5</v>
      </c>
      <c r="S3719" s="90">
        <v>960</v>
      </c>
      <c r="U3719" s="55" t="s">
        <v>1805</v>
      </c>
      <c r="V3719" s="55" t="s">
        <v>1688</v>
      </c>
      <c r="Y3719" s="55" t="s">
        <v>1822</v>
      </c>
      <c r="Z3719" s="55" t="s">
        <v>1349</v>
      </c>
      <c r="AA3719" s="90" t="s">
        <v>1677</v>
      </c>
      <c r="AE3719" s="90">
        <v>61</v>
      </c>
      <c r="AF3719" s="90">
        <v>11</v>
      </c>
      <c r="AH3719" s="55" t="s">
        <v>238</v>
      </c>
      <c r="AI3719" s="168">
        <v>5.3</v>
      </c>
      <c r="AJ3719" s="90">
        <v>1.02</v>
      </c>
      <c r="AM3719" s="55" t="s">
        <v>2677</v>
      </c>
      <c r="AO3719" s="185" t="s">
        <v>7494</v>
      </c>
      <c r="AQ3719" s="55" t="s">
        <v>553</v>
      </c>
      <c r="AR3719" s="55" t="s">
        <v>1607</v>
      </c>
      <c r="AS3719" s="55" t="s">
        <v>132</v>
      </c>
      <c r="AU3719" s="181" t="s">
        <v>7494</v>
      </c>
      <c r="AV3719" s="185" t="s">
        <v>176</v>
      </c>
      <c r="AX3719" s="185" t="s">
        <v>176</v>
      </c>
      <c r="BK3719" s="55" t="s">
        <v>6333</v>
      </c>
      <c r="BM3719" s="192" t="s">
        <v>3293</v>
      </c>
      <c r="BN3719" s="55">
        <v>4</v>
      </c>
      <c r="BO3719" s="55">
        <v>4</v>
      </c>
      <c r="BQ3719" s="55" t="s">
        <v>141</v>
      </c>
      <c r="CB3719" s="66">
        <v>100</v>
      </c>
      <c r="CC3719" s="66">
        <v>1200</v>
      </c>
      <c r="GP3719" s="292" t="s">
        <v>7494</v>
      </c>
      <c r="GY3719" s="65">
        <v>6.5</v>
      </c>
      <c r="GZ3719" s="65">
        <v>34</v>
      </c>
      <c r="HC3719" s="65" t="s">
        <v>3304</v>
      </c>
    </row>
    <row r="3720" spans="1:211" x14ac:dyDescent="0.25">
      <c r="A3720" s="55">
        <v>3719</v>
      </c>
      <c r="B3720" s="12" t="s">
        <v>7067</v>
      </c>
      <c r="C3720" s="155">
        <v>168</v>
      </c>
      <c r="D3720" s="55" t="s">
        <v>3305</v>
      </c>
      <c r="E3720" s="90" t="s">
        <v>3240</v>
      </c>
      <c r="G3720" s="55" t="s">
        <v>3275</v>
      </c>
      <c r="H3720" s="55">
        <v>2005</v>
      </c>
      <c r="I3720" s="55">
        <v>2002</v>
      </c>
      <c r="J3720" s="55" t="s">
        <v>3284</v>
      </c>
      <c r="K3720" s="55" t="s">
        <v>3288</v>
      </c>
      <c r="L3720" s="55" t="s">
        <v>2750</v>
      </c>
      <c r="M3720" s="90">
        <v>-13.5</v>
      </c>
      <c r="N3720" s="90">
        <v>32.56666666666667</v>
      </c>
      <c r="O3720" s="90">
        <v>1028</v>
      </c>
      <c r="Q3720" s="55">
        <v>20.5</v>
      </c>
      <c r="S3720" s="90">
        <v>960</v>
      </c>
      <c r="U3720" s="55" t="s">
        <v>1805</v>
      </c>
      <c r="V3720" s="55" t="s">
        <v>1688</v>
      </c>
      <c r="Y3720" s="55" t="s">
        <v>1822</v>
      </c>
      <c r="Z3720" s="55" t="s">
        <v>1349</v>
      </c>
      <c r="AA3720" s="90" t="s">
        <v>1677</v>
      </c>
      <c r="AE3720" s="90">
        <v>61</v>
      </c>
      <c r="AF3720" s="90">
        <v>11</v>
      </c>
      <c r="AH3720" s="55" t="s">
        <v>238</v>
      </c>
      <c r="AI3720" s="168">
        <v>5.3</v>
      </c>
      <c r="AJ3720" s="90">
        <v>1.02</v>
      </c>
      <c r="AM3720" s="55" t="s">
        <v>2677</v>
      </c>
      <c r="AO3720" s="185" t="s">
        <v>7494</v>
      </c>
      <c r="AQ3720" s="55" t="s">
        <v>553</v>
      </c>
      <c r="AR3720" s="55" t="s">
        <v>1607</v>
      </c>
      <c r="AS3720" s="55" t="s">
        <v>132</v>
      </c>
      <c r="AU3720" s="181" t="s">
        <v>7494</v>
      </c>
      <c r="AV3720" s="185" t="s">
        <v>176</v>
      </c>
      <c r="AX3720" s="185" t="s">
        <v>176</v>
      </c>
      <c r="BK3720" s="55" t="s">
        <v>6333</v>
      </c>
      <c r="BM3720" s="192" t="s">
        <v>3293</v>
      </c>
      <c r="BN3720" s="55">
        <v>4</v>
      </c>
      <c r="BO3720" s="55">
        <v>4</v>
      </c>
      <c r="BQ3720" s="55" t="s">
        <v>141</v>
      </c>
      <c r="CB3720" s="66">
        <v>100</v>
      </c>
      <c r="CC3720" s="66">
        <v>3500</v>
      </c>
      <c r="GP3720" s="292" t="s">
        <v>7494</v>
      </c>
      <c r="GY3720" s="65">
        <v>6.5</v>
      </c>
      <c r="GZ3720" s="65">
        <v>18.7</v>
      </c>
      <c r="HC3720" s="65" t="s">
        <v>3304</v>
      </c>
    </row>
    <row r="3721" spans="1:211" x14ac:dyDescent="0.25">
      <c r="A3721" s="55">
        <v>3720</v>
      </c>
      <c r="B3721" s="12" t="s">
        <v>7067</v>
      </c>
      <c r="C3721" s="155">
        <v>168</v>
      </c>
      <c r="D3721" s="55" t="s">
        <v>3305</v>
      </c>
      <c r="E3721" s="90" t="s">
        <v>3240</v>
      </c>
      <c r="G3721" s="55" t="s">
        <v>3275</v>
      </c>
      <c r="H3721" s="55">
        <v>2005</v>
      </c>
      <c r="I3721" s="55">
        <v>2002</v>
      </c>
      <c r="J3721" s="55" t="s">
        <v>3284</v>
      </c>
      <c r="K3721" s="55" t="s">
        <v>3288</v>
      </c>
      <c r="L3721" s="55" t="s">
        <v>2750</v>
      </c>
      <c r="M3721" s="90">
        <v>-13.5</v>
      </c>
      <c r="N3721" s="90">
        <v>32.56666666666667</v>
      </c>
      <c r="O3721" s="90">
        <v>1028</v>
      </c>
      <c r="Q3721" s="55">
        <v>20.5</v>
      </c>
      <c r="S3721" s="90">
        <v>960</v>
      </c>
      <c r="U3721" s="55" t="s">
        <v>1805</v>
      </c>
      <c r="V3721" s="55" t="s">
        <v>1688</v>
      </c>
      <c r="Y3721" s="55" t="s">
        <v>1822</v>
      </c>
      <c r="Z3721" s="55" t="s">
        <v>1349</v>
      </c>
      <c r="AA3721" s="90" t="s">
        <v>1677</v>
      </c>
      <c r="AE3721" s="90">
        <v>61</v>
      </c>
      <c r="AF3721" s="90">
        <v>11</v>
      </c>
      <c r="AH3721" s="55" t="s">
        <v>238</v>
      </c>
      <c r="AI3721" s="168">
        <v>5.3</v>
      </c>
      <c r="AJ3721" s="90">
        <v>1.02</v>
      </c>
      <c r="AM3721" s="55" t="s">
        <v>2677</v>
      </c>
      <c r="AO3721" s="185" t="s">
        <v>7494</v>
      </c>
      <c r="AQ3721" s="55" t="s">
        <v>553</v>
      </c>
      <c r="AR3721" s="55" t="s">
        <v>1607</v>
      </c>
      <c r="AS3721" s="55" t="s">
        <v>132</v>
      </c>
      <c r="AU3721" s="181" t="s">
        <v>7494</v>
      </c>
      <c r="AV3721" s="185" t="s">
        <v>176</v>
      </c>
      <c r="AX3721" s="185" t="s">
        <v>176</v>
      </c>
      <c r="BK3721" s="55" t="s">
        <v>6333</v>
      </c>
      <c r="BM3721" s="192" t="s">
        <v>3293</v>
      </c>
      <c r="BN3721" s="55">
        <v>4</v>
      </c>
      <c r="BO3721" s="55">
        <v>4</v>
      </c>
      <c r="BQ3721" s="55" t="s">
        <v>141</v>
      </c>
      <c r="CB3721" s="66">
        <v>100</v>
      </c>
      <c r="CC3721" s="66">
        <v>1600</v>
      </c>
      <c r="GP3721" s="292" t="s">
        <v>7494</v>
      </c>
      <c r="GY3721" s="65">
        <v>6.5</v>
      </c>
      <c r="GZ3721" s="65">
        <v>15.3</v>
      </c>
      <c r="HC3721" s="65" t="s">
        <v>3304</v>
      </c>
    </row>
    <row r="3722" spans="1:211" x14ac:dyDescent="0.25">
      <c r="A3722" s="55">
        <v>3721</v>
      </c>
      <c r="B3722" s="12" t="s">
        <v>7067</v>
      </c>
      <c r="C3722" s="155">
        <v>168</v>
      </c>
      <c r="D3722" s="55" t="s">
        <v>3305</v>
      </c>
      <c r="E3722" s="90" t="s">
        <v>3240</v>
      </c>
      <c r="G3722" s="55" t="s">
        <v>3275</v>
      </c>
      <c r="H3722" s="55">
        <v>2005</v>
      </c>
      <c r="I3722" s="55">
        <v>2002</v>
      </c>
      <c r="J3722" s="55" t="s">
        <v>3284</v>
      </c>
      <c r="K3722" s="55" t="s">
        <v>3288</v>
      </c>
      <c r="L3722" s="55" t="s">
        <v>2750</v>
      </c>
      <c r="M3722" s="90">
        <v>-13.5</v>
      </c>
      <c r="N3722" s="90">
        <v>32.56666666666667</v>
      </c>
      <c r="O3722" s="90">
        <v>1028</v>
      </c>
      <c r="Q3722" s="55">
        <v>20.5</v>
      </c>
      <c r="S3722" s="90">
        <v>960</v>
      </c>
      <c r="U3722" s="55" t="s">
        <v>1805</v>
      </c>
      <c r="V3722" s="55" t="s">
        <v>1688</v>
      </c>
      <c r="Y3722" s="55" t="s">
        <v>1822</v>
      </c>
      <c r="Z3722" s="55" t="s">
        <v>1349</v>
      </c>
      <c r="AA3722" s="90" t="s">
        <v>1677</v>
      </c>
      <c r="AE3722" s="90">
        <v>61</v>
      </c>
      <c r="AF3722" s="90">
        <v>11</v>
      </c>
      <c r="AH3722" s="55" t="s">
        <v>238</v>
      </c>
      <c r="AI3722" s="168">
        <v>5.3</v>
      </c>
      <c r="AJ3722" s="90">
        <v>1.02</v>
      </c>
      <c r="AM3722" s="55" t="s">
        <v>2677</v>
      </c>
      <c r="AO3722" s="185" t="s">
        <v>7494</v>
      </c>
      <c r="AQ3722" s="55" t="s">
        <v>553</v>
      </c>
      <c r="AR3722" s="55" t="s">
        <v>1607</v>
      </c>
      <c r="AS3722" s="55" t="s">
        <v>132</v>
      </c>
      <c r="AU3722" s="181" t="s">
        <v>7494</v>
      </c>
      <c r="AV3722" s="185" t="s">
        <v>176</v>
      </c>
      <c r="AX3722" s="185" t="s">
        <v>176</v>
      </c>
      <c r="BK3722" s="55" t="s">
        <v>6333</v>
      </c>
      <c r="BM3722" s="192" t="s">
        <v>3293</v>
      </c>
      <c r="BN3722" s="55">
        <v>4</v>
      </c>
      <c r="BO3722" s="55">
        <v>4</v>
      </c>
      <c r="BQ3722" s="55" t="s">
        <v>141</v>
      </c>
      <c r="CB3722" s="66">
        <v>100</v>
      </c>
      <c r="CC3722" s="66">
        <v>1000</v>
      </c>
      <c r="GP3722" s="292" t="s">
        <v>7494</v>
      </c>
      <c r="GY3722" s="65">
        <v>6.5</v>
      </c>
      <c r="GZ3722" s="65">
        <v>25</v>
      </c>
      <c r="HC3722" s="65" t="s">
        <v>3304</v>
      </c>
    </row>
    <row r="3723" spans="1:211" x14ac:dyDescent="0.25">
      <c r="A3723" s="55">
        <v>3722</v>
      </c>
      <c r="B3723" s="12" t="s">
        <v>7067</v>
      </c>
      <c r="C3723" s="155">
        <v>168</v>
      </c>
      <c r="D3723" s="55" t="s">
        <v>3306</v>
      </c>
      <c r="E3723" s="90" t="s">
        <v>3240</v>
      </c>
      <c r="G3723" s="55" t="s">
        <v>3275</v>
      </c>
      <c r="H3723" s="55">
        <v>2005</v>
      </c>
      <c r="I3723" s="55">
        <v>2002</v>
      </c>
      <c r="J3723" s="55" t="s">
        <v>3284</v>
      </c>
      <c r="K3723" s="55" t="s">
        <v>3289</v>
      </c>
      <c r="L3723" s="55" t="s">
        <v>2750</v>
      </c>
      <c r="M3723" s="90">
        <v>-13.25</v>
      </c>
      <c r="N3723" s="90">
        <v>32.6</v>
      </c>
      <c r="O3723" s="90">
        <v>1015</v>
      </c>
      <c r="Q3723" s="55">
        <v>20.5</v>
      </c>
      <c r="S3723" s="90">
        <v>960</v>
      </c>
      <c r="U3723" s="55" t="s">
        <v>1805</v>
      </c>
      <c r="V3723" s="55" t="s">
        <v>1688</v>
      </c>
      <c r="Y3723" s="55" t="s">
        <v>1822</v>
      </c>
      <c r="Z3723" s="55" t="s">
        <v>1349</v>
      </c>
      <c r="AA3723" s="90" t="s">
        <v>1677</v>
      </c>
      <c r="AE3723" s="90">
        <v>68</v>
      </c>
      <c r="AF3723" s="90">
        <v>16</v>
      </c>
      <c r="AH3723" s="55" t="s">
        <v>238</v>
      </c>
      <c r="AI3723" s="168">
        <v>4.3499999999999996</v>
      </c>
      <c r="AJ3723" s="90">
        <v>0.97</v>
      </c>
      <c r="AM3723" s="55" t="s">
        <v>2677</v>
      </c>
      <c r="AN3723" s="185" t="s">
        <v>3307</v>
      </c>
      <c r="AO3723" s="185" t="s">
        <v>5150</v>
      </c>
      <c r="AQ3723" s="55" t="s">
        <v>553</v>
      </c>
      <c r="AR3723" s="55" t="s">
        <v>1607</v>
      </c>
      <c r="AS3723" s="55" t="s">
        <v>132</v>
      </c>
      <c r="AU3723" s="181" t="s">
        <v>7494</v>
      </c>
      <c r="AV3723" s="185" t="s">
        <v>176</v>
      </c>
      <c r="AX3723" s="185" t="s">
        <v>176</v>
      </c>
      <c r="BK3723" s="55" t="s">
        <v>6333</v>
      </c>
      <c r="BM3723" s="192" t="s">
        <v>3292</v>
      </c>
      <c r="BN3723" s="55">
        <v>4</v>
      </c>
      <c r="BO3723" s="55">
        <v>4</v>
      </c>
      <c r="BQ3723" s="55" t="s">
        <v>141</v>
      </c>
      <c r="BS3723" s="55">
        <v>500</v>
      </c>
      <c r="CB3723" s="66">
        <v>2500</v>
      </c>
      <c r="CC3723" s="66">
        <v>3700</v>
      </c>
      <c r="DB3723" s="65">
        <v>10.8</v>
      </c>
      <c r="DC3723" s="65">
        <v>14.2</v>
      </c>
      <c r="DF3723" s="65" t="s">
        <v>442</v>
      </c>
      <c r="GD3723" s="65">
        <v>16.2</v>
      </c>
      <c r="GE3723" s="65">
        <v>15.6</v>
      </c>
      <c r="GH3723" s="65" t="s">
        <v>3317</v>
      </c>
      <c r="GP3723" s="292" t="s">
        <v>7494</v>
      </c>
      <c r="GY3723" s="65">
        <v>8.4</v>
      </c>
      <c r="GZ3723" s="65">
        <v>16.3</v>
      </c>
      <c r="HC3723" s="65" t="s">
        <v>3304</v>
      </c>
    </row>
    <row r="3724" spans="1:211" x14ac:dyDescent="0.25">
      <c r="A3724" s="55">
        <v>3723</v>
      </c>
      <c r="B3724" s="12" t="s">
        <v>7067</v>
      </c>
      <c r="C3724" s="155">
        <v>168</v>
      </c>
      <c r="D3724" s="55" t="s">
        <v>3306</v>
      </c>
      <c r="E3724" s="90" t="s">
        <v>3240</v>
      </c>
      <c r="G3724" s="55" t="s">
        <v>3275</v>
      </c>
      <c r="H3724" s="55">
        <v>2005</v>
      </c>
      <c r="I3724" s="55">
        <v>2002</v>
      </c>
      <c r="J3724" s="55" t="s">
        <v>3284</v>
      </c>
      <c r="K3724" s="55" t="s">
        <v>3289</v>
      </c>
      <c r="L3724" s="55" t="s">
        <v>2750</v>
      </c>
      <c r="M3724" s="90">
        <v>-13.25</v>
      </c>
      <c r="N3724" s="90">
        <v>32.6</v>
      </c>
      <c r="O3724" s="90">
        <v>1015</v>
      </c>
      <c r="Q3724" s="55">
        <v>20.5</v>
      </c>
      <c r="S3724" s="90">
        <v>960</v>
      </c>
      <c r="U3724" s="55" t="s">
        <v>1805</v>
      </c>
      <c r="V3724" s="55" t="s">
        <v>1688</v>
      </c>
      <c r="Y3724" s="55" t="s">
        <v>1822</v>
      </c>
      <c r="Z3724" s="55" t="s">
        <v>1349</v>
      </c>
      <c r="AA3724" s="90" t="s">
        <v>1677</v>
      </c>
      <c r="AE3724" s="90">
        <v>68</v>
      </c>
      <c r="AF3724" s="90">
        <v>16</v>
      </c>
      <c r="AH3724" s="55" t="s">
        <v>238</v>
      </c>
      <c r="AI3724" s="168">
        <v>4.3499999999999996</v>
      </c>
      <c r="AJ3724" s="90">
        <v>0.97</v>
      </c>
      <c r="AM3724" s="55" t="s">
        <v>2677</v>
      </c>
      <c r="AN3724" s="185" t="s">
        <v>3308</v>
      </c>
      <c r="AO3724" s="185" t="s">
        <v>5150</v>
      </c>
      <c r="AQ3724" s="55" t="s">
        <v>553</v>
      </c>
      <c r="AR3724" s="55" t="s">
        <v>1607</v>
      </c>
      <c r="AS3724" s="55" t="s">
        <v>132</v>
      </c>
      <c r="AU3724" s="181" t="s">
        <v>7494</v>
      </c>
      <c r="AV3724" s="185" t="s">
        <v>176</v>
      </c>
      <c r="AX3724" s="185" t="s">
        <v>176</v>
      </c>
      <c r="BK3724" s="55" t="s">
        <v>6333</v>
      </c>
      <c r="BM3724" s="192" t="s">
        <v>3292</v>
      </c>
      <c r="BN3724" s="55">
        <v>4</v>
      </c>
      <c r="BO3724" s="55">
        <v>4</v>
      </c>
      <c r="BQ3724" s="55" t="s">
        <v>141</v>
      </c>
      <c r="BS3724" s="55">
        <v>800</v>
      </c>
      <c r="CB3724" s="66">
        <v>2500</v>
      </c>
      <c r="CC3724" s="66">
        <v>3600</v>
      </c>
      <c r="DB3724" s="65">
        <v>10.8</v>
      </c>
      <c r="DC3724" s="65">
        <v>8.8000000000000007</v>
      </c>
      <c r="DF3724" s="65" t="s">
        <v>442</v>
      </c>
      <c r="GD3724" s="65">
        <v>16.2</v>
      </c>
      <c r="GE3724" s="65">
        <v>15.1</v>
      </c>
      <c r="GH3724" s="65" t="s">
        <v>3317</v>
      </c>
      <c r="GP3724" s="292" t="s">
        <v>7494</v>
      </c>
      <c r="GY3724" s="65">
        <v>8.4</v>
      </c>
      <c r="GZ3724" s="65">
        <v>8.9</v>
      </c>
      <c r="HC3724" s="65" t="s">
        <v>3304</v>
      </c>
    </row>
    <row r="3725" spans="1:211" x14ac:dyDescent="0.25">
      <c r="A3725" s="55">
        <v>3724</v>
      </c>
      <c r="B3725" s="12" t="s">
        <v>7067</v>
      </c>
      <c r="C3725" s="155">
        <v>168</v>
      </c>
      <c r="D3725" s="55" t="s">
        <v>3306</v>
      </c>
      <c r="E3725" s="90" t="s">
        <v>3240</v>
      </c>
      <c r="G3725" s="55" t="s">
        <v>3275</v>
      </c>
      <c r="H3725" s="55">
        <v>2005</v>
      </c>
      <c r="I3725" s="55">
        <v>2002</v>
      </c>
      <c r="J3725" s="55" t="s">
        <v>3284</v>
      </c>
      <c r="K3725" s="55" t="s">
        <v>3289</v>
      </c>
      <c r="L3725" s="55" t="s">
        <v>2750</v>
      </c>
      <c r="M3725" s="90">
        <v>-13.25</v>
      </c>
      <c r="N3725" s="90">
        <v>32.6</v>
      </c>
      <c r="O3725" s="90">
        <v>1015</v>
      </c>
      <c r="Q3725" s="55">
        <v>20.5</v>
      </c>
      <c r="S3725" s="90">
        <v>960</v>
      </c>
      <c r="U3725" s="55" t="s">
        <v>1805</v>
      </c>
      <c r="V3725" s="55" t="s">
        <v>1688</v>
      </c>
      <c r="Y3725" s="55" t="s">
        <v>1822</v>
      </c>
      <c r="Z3725" s="55" t="s">
        <v>1349</v>
      </c>
      <c r="AA3725" s="90" t="s">
        <v>1677</v>
      </c>
      <c r="AE3725" s="90">
        <v>68</v>
      </c>
      <c r="AF3725" s="90">
        <v>16</v>
      </c>
      <c r="AH3725" s="55" t="s">
        <v>238</v>
      </c>
      <c r="AI3725" s="168">
        <v>4.3499999999999996</v>
      </c>
      <c r="AJ3725" s="90">
        <v>0.97</v>
      </c>
      <c r="AM3725" s="55" t="s">
        <v>2677</v>
      </c>
      <c r="AN3725" s="185" t="s">
        <v>3312</v>
      </c>
      <c r="AO3725" s="185" t="s">
        <v>5150</v>
      </c>
      <c r="AQ3725" s="55" t="s">
        <v>1547</v>
      </c>
      <c r="AR3725" s="55" t="s">
        <v>1607</v>
      </c>
      <c r="AS3725" s="55" t="s">
        <v>132</v>
      </c>
      <c r="AU3725" s="181" t="s">
        <v>7494</v>
      </c>
      <c r="AV3725" s="185" t="s">
        <v>176</v>
      </c>
      <c r="AX3725" s="185" t="s">
        <v>176</v>
      </c>
      <c r="BK3725" s="55" t="s">
        <v>6333</v>
      </c>
      <c r="BM3725" s="192" t="s">
        <v>3292</v>
      </c>
      <c r="BN3725" s="55">
        <v>4</v>
      </c>
      <c r="BO3725" s="55">
        <v>4</v>
      </c>
      <c r="BQ3725" s="55" t="s">
        <v>141</v>
      </c>
      <c r="BS3725" s="55">
        <v>500</v>
      </c>
      <c r="CB3725" s="66">
        <v>2500</v>
      </c>
      <c r="CC3725" s="66">
        <v>3300</v>
      </c>
      <c r="DB3725" s="65">
        <v>10.8</v>
      </c>
      <c r="DC3725" s="65">
        <v>11.7</v>
      </c>
      <c r="DF3725" s="65" t="s">
        <v>442</v>
      </c>
      <c r="GD3725" s="65">
        <v>16.2</v>
      </c>
      <c r="GE3725" s="65">
        <v>15.8</v>
      </c>
      <c r="GH3725" s="65" t="s">
        <v>3317</v>
      </c>
      <c r="GP3725" s="292" t="s">
        <v>7494</v>
      </c>
      <c r="GY3725" s="65">
        <v>8.4</v>
      </c>
      <c r="GZ3725" s="65">
        <v>8.1999999999999993</v>
      </c>
      <c r="HC3725" s="65" t="s">
        <v>3304</v>
      </c>
    </row>
    <row r="3726" spans="1:211" x14ac:dyDescent="0.25">
      <c r="A3726" s="55">
        <v>3725</v>
      </c>
      <c r="B3726" s="12" t="s">
        <v>7067</v>
      </c>
      <c r="C3726" s="155">
        <v>168</v>
      </c>
      <c r="D3726" s="55" t="s">
        <v>3306</v>
      </c>
      <c r="E3726" s="90" t="s">
        <v>3240</v>
      </c>
      <c r="G3726" s="55" t="s">
        <v>3275</v>
      </c>
      <c r="H3726" s="55">
        <v>2005</v>
      </c>
      <c r="I3726" s="55">
        <v>2002</v>
      </c>
      <c r="J3726" s="55" t="s">
        <v>3284</v>
      </c>
      <c r="K3726" s="55" t="s">
        <v>3289</v>
      </c>
      <c r="L3726" s="55" t="s">
        <v>2750</v>
      </c>
      <c r="M3726" s="90">
        <v>-13.25</v>
      </c>
      <c r="N3726" s="90">
        <v>32.6</v>
      </c>
      <c r="O3726" s="90">
        <v>1015</v>
      </c>
      <c r="Q3726" s="55">
        <v>20.5</v>
      </c>
      <c r="S3726" s="90">
        <v>960</v>
      </c>
      <c r="U3726" s="55" t="s">
        <v>1805</v>
      </c>
      <c r="V3726" s="55" t="s">
        <v>1688</v>
      </c>
      <c r="Y3726" s="55" t="s">
        <v>1822</v>
      </c>
      <c r="Z3726" s="55" t="s">
        <v>1349</v>
      </c>
      <c r="AA3726" s="90" t="s">
        <v>1677</v>
      </c>
      <c r="AE3726" s="90">
        <v>68</v>
      </c>
      <c r="AF3726" s="90">
        <v>16</v>
      </c>
      <c r="AH3726" s="55" t="s">
        <v>238</v>
      </c>
      <c r="AI3726" s="168">
        <v>4.3499999999999996</v>
      </c>
      <c r="AJ3726" s="90">
        <v>0.97</v>
      </c>
      <c r="AM3726" s="55" t="s">
        <v>2677</v>
      </c>
      <c r="AN3726" s="185" t="s">
        <v>3316</v>
      </c>
      <c r="AO3726" s="185" t="s">
        <v>5150</v>
      </c>
      <c r="AQ3726" s="55" t="s">
        <v>1547</v>
      </c>
      <c r="AR3726" s="55" t="s">
        <v>1607</v>
      </c>
      <c r="AS3726" s="55" t="s">
        <v>132</v>
      </c>
      <c r="AU3726" s="181" t="s">
        <v>7494</v>
      </c>
      <c r="AV3726" s="185" t="s">
        <v>176</v>
      </c>
      <c r="AX3726" s="185" t="s">
        <v>176</v>
      </c>
      <c r="BK3726" s="55" t="s">
        <v>6333</v>
      </c>
      <c r="BM3726" s="192" t="s">
        <v>3292</v>
      </c>
      <c r="BN3726" s="55">
        <v>4</v>
      </c>
      <c r="BO3726" s="55">
        <v>4</v>
      </c>
      <c r="BQ3726" s="55" t="s">
        <v>141</v>
      </c>
      <c r="BS3726" s="55">
        <v>500</v>
      </c>
      <c r="CB3726" s="66">
        <v>2500</v>
      </c>
      <c r="CC3726" s="66">
        <v>4300</v>
      </c>
      <c r="DB3726" s="65">
        <v>10.8</v>
      </c>
      <c r="DC3726" s="65">
        <v>10.5</v>
      </c>
      <c r="DF3726" s="65" t="s">
        <v>442</v>
      </c>
      <c r="GD3726" s="65">
        <v>16.2</v>
      </c>
      <c r="GE3726" s="65">
        <v>16.2</v>
      </c>
      <c r="GH3726" s="65" t="s">
        <v>3317</v>
      </c>
      <c r="GP3726" s="292" t="s">
        <v>7494</v>
      </c>
      <c r="GY3726" s="65">
        <v>8.4</v>
      </c>
      <c r="GZ3726" s="65">
        <v>7.7</v>
      </c>
      <c r="HC3726" s="65" t="s">
        <v>3304</v>
      </c>
    </row>
    <row r="3727" spans="1:211" x14ac:dyDescent="0.25">
      <c r="A3727" s="55">
        <v>3726</v>
      </c>
      <c r="B3727" s="12" t="s">
        <v>7067</v>
      </c>
      <c r="C3727" s="155">
        <v>168</v>
      </c>
      <c r="D3727" s="55" t="s">
        <v>3306</v>
      </c>
      <c r="E3727" s="90" t="s">
        <v>3240</v>
      </c>
      <c r="G3727" s="55" t="s">
        <v>3275</v>
      </c>
      <c r="H3727" s="55">
        <v>2005</v>
      </c>
      <c r="I3727" s="55">
        <v>2002</v>
      </c>
      <c r="J3727" s="55" t="s">
        <v>3284</v>
      </c>
      <c r="K3727" s="55" t="s">
        <v>3289</v>
      </c>
      <c r="L3727" s="55" t="s">
        <v>2750</v>
      </c>
      <c r="M3727" s="90">
        <v>-13.25</v>
      </c>
      <c r="N3727" s="90">
        <v>32.6</v>
      </c>
      <c r="O3727" s="90">
        <v>1015</v>
      </c>
      <c r="Q3727" s="55">
        <v>20.5</v>
      </c>
      <c r="S3727" s="90">
        <v>960</v>
      </c>
      <c r="U3727" s="55" t="s">
        <v>1805</v>
      </c>
      <c r="V3727" s="55" t="s">
        <v>1688</v>
      </c>
      <c r="Y3727" s="55" t="s">
        <v>1822</v>
      </c>
      <c r="Z3727" s="55" t="s">
        <v>1349</v>
      </c>
      <c r="AA3727" s="90" t="s">
        <v>1677</v>
      </c>
      <c r="AE3727" s="90">
        <v>68</v>
      </c>
      <c r="AF3727" s="90">
        <v>16</v>
      </c>
      <c r="AH3727" s="55" t="s">
        <v>238</v>
      </c>
      <c r="AI3727" s="168">
        <v>4.3499999999999996</v>
      </c>
      <c r="AJ3727" s="90">
        <v>0.97</v>
      </c>
      <c r="AM3727" s="55" t="s">
        <v>2677</v>
      </c>
      <c r="AN3727" s="185" t="s">
        <v>3313</v>
      </c>
      <c r="AO3727" s="185" t="s">
        <v>5150</v>
      </c>
      <c r="AQ3727" s="55" t="s">
        <v>1547</v>
      </c>
      <c r="AR3727" s="55" t="s">
        <v>1607</v>
      </c>
      <c r="AS3727" s="55" t="s">
        <v>132</v>
      </c>
      <c r="AU3727" s="181" t="s">
        <v>7494</v>
      </c>
      <c r="AV3727" s="185" t="s">
        <v>176</v>
      </c>
      <c r="AX3727" s="185" t="s">
        <v>176</v>
      </c>
      <c r="BK3727" s="55" t="s">
        <v>6333</v>
      </c>
      <c r="BM3727" s="192" t="s">
        <v>3292</v>
      </c>
      <c r="BN3727" s="55">
        <v>4</v>
      </c>
      <c r="BO3727" s="55">
        <v>4</v>
      </c>
      <c r="BQ3727" s="55" t="s">
        <v>141</v>
      </c>
      <c r="BS3727" s="55">
        <v>500</v>
      </c>
      <c r="CB3727" s="66">
        <v>2500</v>
      </c>
      <c r="CC3727" s="66">
        <v>4600</v>
      </c>
      <c r="DB3727" s="65">
        <v>10.8</v>
      </c>
      <c r="DC3727" s="65">
        <v>13.5</v>
      </c>
      <c r="DF3727" s="65" t="s">
        <v>442</v>
      </c>
      <c r="GD3727" s="65">
        <v>16.2</v>
      </c>
      <c r="GE3727" s="65">
        <v>15.5</v>
      </c>
      <c r="GH3727" s="65" t="s">
        <v>3317</v>
      </c>
      <c r="GP3727" s="292" t="s">
        <v>7494</v>
      </c>
      <c r="GY3727" s="65">
        <v>8.4</v>
      </c>
      <c r="GZ3727" s="65">
        <v>6.5</v>
      </c>
      <c r="HC3727" s="65" t="s">
        <v>3304</v>
      </c>
    </row>
    <row r="3728" spans="1:211" x14ac:dyDescent="0.25">
      <c r="A3728" s="55">
        <v>3727</v>
      </c>
      <c r="B3728" s="12" t="s">
        <v>7067</v>
      </c>
      <c r="C3728" s="155">
        <v>168</v>
      </c>
      <c r="D3728" s="55" t="s">
        <v>3306</v>
      </c>
      <c r="E3728" s="90" t="s">
        <v>3240</v>
      </c>
      <c r="G3728" s="55" t="s">
        <v>3275</v>
      </c>
      <c r="H3728" s="55">
        <v>2005</v>
      </c>
      <c r="I3728" s="55">
        <v>2002</v>
      </c>
      <c r="J3728" s="55" t="s">
        <v>3284</v>
      </c>
      <c r="K3728" s="55" t="s">
        <v>3289</v>
      </c>
      <c r="L3728" s="55" t="s">
        <v>2750</v>
      </c>
      <c r="M3728" s="90">
        <v>-13.25</v>
      </c>
      <c r="N3728" s="90">
        <v>32.6</v>
      </c>
      <c r="O3728" s="90">
        <v>1015</v>
      </c>
      <c r="Q3728" s="55">
        <v>20.5</v>
      </c>
      <c r="S3728" s="90">
        <v>960</v>
      </c>
      <c r="U3728" s="55" t="s">
        <v>1805</v>
      </c>
      <c r="V3728" s="55" t="s">
        <v>1688</v>
      </c>
      <c r="Y3728" s="55" t="s">
        <v>1822</v>
      </c>
      <c r="Z3728" s="55" t="s">
        <v>1349</v>
      </c>
      <c r="AA3728" s="90" t="s">
        <v>1677</v>
      </c>
      <c r="AE3728" s="90">
        <v>68</v>
      </c>
      <c r="AF3728" s="90">
        <v>16</v>
      </c>
      <c r="AH3728" s="55" t="s">
        <v>238</v>
      </c>
      <c r="AI3728" s="168">
        <v>4.3499999999999996</v>
      </c>
      <c r="AJ3728" s="90">
        <v>0.97</v>
      </c>
      <c r="AM3728" s="55" t="s">
        <v>2677</v>
      </c>
      <c r="AN3728" s="185" t="s">
        <v>3309</v>
      </c>
      <c r="AO3728" s="185" t="s">
        <v>5150</v>
      </c>
      <c r="AQ3728" s="55" t="s">
        <v>553</v>
      </c>
      <c r="AR3728" s="55" t="s">
        <v>1607</v>
      </c>
      <c r="AS3728" s="55" t="s">
        <v>132</v>
      </c>
      <c r="AU3728" s="181" t="s">
        <v>7494</v>
      </c>
      <c r="AV3728" s="185" t="s">
        <v>176</v>
      </c>
      <c r="AX3728" s="185" t="s">
        <v>176</v>
      </c>
      <c r="BK3728" s="55" t="s">
        <v>6333</v>
      </c>
      <c r="BM3728" s="192" t="s">
        <v>3292</v>
      </c>
      <c r="BN3728" s="55">
        <v>4</v>
      </c>
      <c r="BO3728" s="55">
        <v>4</v>
      </c>
      <c r="BQ3728" s="55" t="s">
        <v>141</v>
      </c>
      <c r="BS3728" s="55">
        <v>400</v>
      </c>
      <c r="CB3728" s="66">
        <v>2500</v>
      </c>
      <c r="CC3728" s="66">
        <v>4300</v>
      </c>
      <c r="DB3728" s="65">
        <v>10.8</v>
      </c>
      <c r="DC3728" s="65">
        <v>10.199999999999999</v>
      </c>
      <c r="DF3728" s="65" t="s">
        <v>442</v>
      </c>
      <c r="GD3728" s="65">
        <v>16.2</v>
      </c>
      <c r="GE3728" s="65">
        <v>16</v>
      </c>
      <c r="GH3728" s="65" t="s">
        <v>3317</v>
      </c>
      <c r="GP3728" s="292" t="s">
        <v>7494</v>
      </c>
      <c r="GY3728" s="65">
        <v>8.4</v>
      </c>
      <c r="GZ3728" s="65">
        <v>5.8</v>
      </c>
      <c r="HC3728" s="65" t="s">
        <v>3304</v>
      </c>
    </row>
    <row r="3729" spans="1:211" x14ac:dyDescent="0.25">
      <c r="A3729" s="55">
        <v>3728</v>
      </c>
      <c r="B3729" s="12" t="s">
        <v>7067</v>
      </c>
      <c r="C3729" s="155">
        <v>168</v>
      </c>
      <c r="D3729" s="55" t="s">
        <v>3306</v>
      </c>
      <c r="E3729" s="90" t="s">
        <v>3240</v>
      </c>
      <c r="G3729" s="55" t="s">
        <v>3275</v>
      </c>
      <c r="H3729" s="55">
        <v>2005</v>
      </c>
      <c r="I3729" s="55">
        <v>2002</v>
      </c>
      <c r="J3729" s="55" t="s">
        <v>3284</v>
      </c>
      <c r="K3729" s="55" t="s">
        <v>3289</v>
      </c>
      <c r="L3729" s="55" t="s">
        <v>2750</v>
      </c>
      <c r="M3729" s="90">
        <v>-13.25</v>
      </c>
      <c r="N3729" s="90">
        <v>32.6</v>
      </c>
      <c r="O3729" s="90">
        <v>1015</v>
      </c>
      <c r="Q3729" s="55">
        <v>20.5</v>
      </c>
      <c r="S3729" s="90">
        <v>960</v>
      </c>
      <c r="U3729" s="55" t="s">
        <v>1805</v>
      </c>
      <c r="V3729" s="55" t="s">
        <v>1688</v>
      </c>
      <c r="Y3729" s="55" t="s">
        <v>1822</v>
      </c>
      <c r="Z3729" s="55" t="s">
        <v>1349</v>
      </c>
      <c r="AA3729" s="90" t="s">
        <v>1677</v>
      </c>
      <c r="AE3729" s="90">
        <v>68</v>
      </c>
      <c r="AF3729" s="90">
        <v>16</v>
      </c>
      <c r="AH3729" s="55" t="s">
        <v>238</v>
      </c>
      <c r="AI3729" s="168">
        <v>4.3499999999999996</v>
      </c>
      <c r="AJ3729" s="90">
        <v>0.97</v>
      </c>
      <c r="AM3729" s="55" t="s">
        <v>2677</v>
      </c>
      <c r="AN3729" s="185" t="s">
        <v>3310</v>
      </c>
      <c r="AO3729" s="185" t="s">
        <v>5150</v>
      </c>
      <c r="AQ3729" s="55" t="s">
        <v>553</v>
      </c>
      <c r="AR3729" s="55" t="s">
        <v>1607</v>
      </c>
      <c r="AS3729" s="55" t="s">
        <v>132</v>
      </c>
      <c r="AU3729" s="181" t="s">
        <v>7494</v>
      </c>
      <c r="AV3729" s="185" t="s">
        <v>176</v>
      </c>
      <c r="AX3729" s="185" t="s">
        <v>176</v>
      </c>
      <c r="BK3729" s="55" t="s">
        <v>6333</v>
      </c>
      <c r="BM3729" s="192" t="s">
        <v>3292</v>
      </c>
      <c r="BN3729" s="55">
        <v>4</v>
      </c>
      <c r="BO3729" s="55">
        <v>4</v>
      </c>
      <c r="BQ3729" s="55" t="s">
        <v>141</v>
      </c>
      <c r="BS3729" s="55">
        <v>300</v>
      </c>
      <c r="CB3729" s="66">
        <v>2500</v>
      </c>
      <c r="CC3729" s="66">
        <v>3900</v>
      </c>
      <c r="DB3729" s="65">
        <v>10.8</v>
      </c>
      <c r="DC3729" s="65">
        <v>14.9</v>
      </c>
      <c r="DF3729" s="65" t="s">
        <v>442</v>
      </c>
      <c r="GD3729" s="65">
        <v>16.2</v>
      </c>
      <c r="GE3729" s="65">
        <v>15.3</v>
      </c>
      <c r="GH3729" s="65" t="s">
        <v>3317</v>
      </c>
      <c r="GP3729" s="292" t="s">
        <v>7494</v>
      </c>
      <c r="GY3729" s="65">
        <v>8.4</v>
      </c>
      <c r="GZ3729" s="65">
        <v>4.8</v>
      </c>
      <c r="HC3729" s="65" t="s">
        <v>3304</v>
      </c>
    </row>
    <row r="3730" spans="1:211" x14ac:dyDescent="0.25">
      <c r="A3730" s="55">
        <v>3729</v>
      </c>
      <c r="B3730" s="12" t="s">
        <v>7067</v>
      </c>
      <c r="C3730" s="155">
        <v>168</v>
      </c>
      <c r="D3730" s="55" t="s">
        <v>3306</v>
      </c>
      <c r="E3730" s="90" t="s">
        <v>3240</v>
      </c>
      <c r="G3730" s="55" t="s">
        <v>3275</v>
      </c>
      <c r="H3730" s="55">
        <v>2005</v>
      </c>
      <c r="I3730" s="55">
        <v>2002</v>
      </c>
      <c r="J3730" s="55" t="s">
        <v>3284</v>
      </c>
      <c r="K3730" s="55" t="s">
        <v>3289</v>
      </c>
      <c r="L3730" s="55" t="s">
        <v>2750</v>
      </c>
      <c r="M3730" s="90">
        <v>-13.25</v>
      </c>
      <c r="N3730" s="90">
        <v>32.6</v>
      </c>
      <c r="O3730" s="90">
        <v>1015</v>
      </c>
      <c r="Q3730" s="55">
        <v>20.5</v>
      </c>
      <c r="S3730" s="90">
        <v>960</v>
      </c>
      <c r="U3730" s="55" t="s">
        <v>1805</v>
      </c>
      <c r="V3730" s="55" t="s">
        <v>1688</v>
      </c>
      <c r="Y3730" s="55" t="s">
        <v>1822</v>
      </c>
      <c r="Z3730" s="55" t="s">
        <v>1349</v>
      </c>
      <c r="AA3730" s="90" t="s">
        <v>1677</v>
      </c>
      <c r="AE3730" s="90">
        <v>68</v>
      </c>
      <c r="AF3730" s="90">
        <v>16</v>
      </c>
      <c r="AH3730" s="55" t="s">
        <v>238</v>
      </c>
      <c r="AI3730" s="168">
        <v>4.3499999999999996</v>
      </c>
      <c r="AJ3730" s="90">
        <v>0.97</v>
      </c>
      <c r="AM3730" s="55" t="s">
        <v>2677</v>
      </c>
      <c r="AN3730" s="185" t="s">
        <v>3314</v>
      </c>
      <c r="AO3730" s="185" t="s">
        <v>5150</v>
      </c>
      <c r="AQ3730" s="55" t="s">
        <v>1547</v>
      </c>
      <c r="AR3730" s="55" t="s">
        <v>1607</v>
      </c>
      <c r="AS3730" s="55" t="s">
        <v>132</v>
      </c>
      <c r="AU3730" s="181" t="s">
        <v>7494</v>
      </c>
      <c r="AV3730" s="185" t="s">
        <v>176</v>
      </c>
      <c r="AX3730" s="185" t="s">
        <v>176</v>
      </c>
      <c r="BK3730" s="55" t="s">
        <v>6333</v>
      </c>
      <c r="BM3730" s="192" t="s">
        <v>3292</v>
      </c>
      <c r="BN3730" s="55">
        <v>4</v>
      </c>
      <c r="BO3730" s="55">
        <v>4</v>
      </c>
      <c r="BQ3730" s="55" t="s">
        <v>141</v>
      </c>
      <c r="BS3730" s="55">
        <v>600</v>
      </c>
      <c r="CB3730" s="66">
        <v>2500</v>
      </c>
      <c r="CC3730" s="66">
        <v>4300</v>
      </c>
      <c r="DB3730" s="65">
        <v>10.8</v>
      </c>
      <c r="DC3730" s="65">
        <v>20.5</v>
      </c>
      <c r="DF3730" s="65" t="s">
        <v>442</v>
      </c>
      <c r="GD3730" s="65">
        <v>16.2</v>
      </c>
      <c r="GE3730" s="65">
        <v>15.8</v>
      </c>
      <c r="GH3730" s="65" t="s">
        <v>3317</v>
      </c>
      <c r="GP3730" s="292" t="s">
        <v>7494</v>
      </c>
      <c r="GY3730" s="65">
        <v>8.4</v>
      </c>
      <c r="GZ3730" s="65">
        <v>4.5999999999999996</v>
      </c>
      <c r="HC3730" s="65" t="s">
        <v>3304</v>
      </c>
    </row>
    <row r="3731" spans="1:211" x14ac:dyDescent="0.25">
      <c r="A3731" s="55">
        <v>3730</v>
      </c>
      <c r="B3731" s="12" t="s">
        <v>7067</v>
      </c>
      <c r="C3731" s="155">
        <v>168</v>
      </c>
      <c r="D3731" s="55" t="s">
        <v>3306</v>
      </c>
      <c r="E3731" s="90" t="s">
        <v>3240</v>
      </c>
      <c r="G3731" s="55" t="s">
        <v>3275</v>
      </c>
      <c r="H3731" s="55">
        <v>2005</v>
      </c>
      <c r="I3731" s="55">
        <v>2002</v>
      </c>
      <c r="J3731" s="55" t="s">
        <v>3284</v>
      </c>
      <c r="K3731" s="55" t="s">
        <v>3289</v>
      </c>
      <c r="L3731" s="55" t="s">
        <v>2750</v>
      </c>
      <c r="M3731" s="90">
        <v>-13.25</v>
      </c>
      <c r="N3731" s="90">
        <v>32.6</v>
      </c>
      <c r="O3731" s="90">
        <v>1015</v>
      </c>
      <c r="Q3731" s="55">
        <v>20.5</v>
      </c>
      <c r="S3731" s="90">
        <v>960</v>
      </c>
      <c r="U3731" s="55" t="s">
        <v>1805</v>
      </c>
      <c r="V3731" s="55" t="s">
        <v>1688</v>
      </c>
      <c r="Y3731" s="55" t="s">
        <v>1822</v>
      </c>
      <c r="Z3731" s="55" t="s">
        <v>1349</v>
      </c>
      <c r="AA3731" s="90" t="s">
        <v>1677</v>
      </c>
      <c r="AE3731" s="90">
        <v>68</v>
      </c>
      <c r="AF3731" s="90">
        <v>16</v>
      </c>
      <c r="AH3731" s="55" t="s">
        <v>238</v>
      </c>
      <c r="AI3731" s="168">
        <v>4.3499999999999996</v>
      </c>
      <c r="AJ3731" s="90">
        <v>0.97</v>
      </c>
      <c r="AM3731" s="55" t="s">
        <v>2677</v>
      </c>
      <c r="AN3731" s="185" t="s">
        <v>3311</v>
      </c>
      <c r="AO3731" s="185" t="s">
        <v>5150</v>
      </c>
      <c r="AQ3731" s="55" t="s">
        <v>553</v>
      </c>
      <c r="AR3731" s="55" t="s">
        <v>1607</v>
      </c>
      <c r="AS3731" s="55" t="s">
        <v>132</v>
      </c>
      <c r="AU3731" s="181" t="s">
        <v>7494</v>
      </c>
      <c r="AV3731" s="185" t="s">
        <v>176</v>
      </c>
      <c r="AX3731" s="185" t="s">
        <v>176</v>
      </c>
      <c r="BK3731" s="55" t="s">
        <v>6333</v>
      </c>
      <c r="BM3731" s="192" t="s">
        <v>3292</v>
      </c>
      <c r="BN3731" s="55">
        <v>4</v>
      </c>
      <c r="BO3731" s="55">
        <v>4</v>
      </c>
      <c r="BQ3731" s="55" t="s">
        <v>141</v>
      </c>
      <c r="BS3731" s="55">
        <v>800</v>
      </c>
      <c r="CB3731" s="66">
        <v>2500</v>
      </c>
      <c r="CC3731" s="66">
        <v>4100</v>
      </c>
      <c r="DB3731" s="65">
        <v>10.8</v>
      </c>
      <c r="DC3731" s="65">
        <v>15.9</v>
      </c>
      <c r="DF3731" s="65" t="s">
        <v>442</v>
      </c>
      <c r="GD3731" s="65">
        <v>16.2</v>
      </c>
      <c r="GE3731" s="65">
        <v>15.7</v>
      </c>
      <c r="GH3731" s="65" t="s">
        <v>3317</v>
      </c>
      <c r="GP3731" s="292" t="s">
        <v>7494</v>
      </c>
      <c r="GY3731" s="65">
        <v>8.4</v>
      </c>
      <c r="GZ3731" s="65">
        <v>4</v>
      </c>
      <c r="HC3731" s="65" t="s">
        <v>3304</v>
      </c>
    </row>
    <row r="3732" spans="1:211" x14ac:dyDescent="0.25">
      <c r="A3732" s="55">
        <v>3731</v>
      </c>
      <c r="B3732" s="12" t="s">
        <v>7067</v>
      </c>
      <c r="C3732" s="155">
        <v>168</v>
      </c>
      <c r="D3732" s="55" t="s">
        <v>3306</v>
      </c>
      <c r="E3732" s="90" t="s">
        <v>3240</v>
      </c>
      <c r="G3732" s="55" t="s">
        <v>3275</v>
      </c>
      <c r="H3732" s="55">
        <v>2005</v>
      </c>
      <c r="I3732" s="55">
        <v>2002</v>
      </c>
      <c r="J3732" s="55" t="s">
        <v>3284</v>
      </c>
      <c r="K3732" s="55" t="s">
        <v>3289</v>
      </c>
      <c r="L3732" s="55" t="s">
        <v>2750</v>
      </c>
      <c r="M3732" s="90">
        <v>-13.25</v>
      </c>
      <c r="N3732" s="90">
        <v>32.6</v>
      </c>
      <c r="O3732" s="90">
        <v>1015</v>
      </c>
      <c r="Q3732" s="55">
        <v>20.5</v>
      </c>
      <c r="S3732" s="90">
        <v>960</v>
      </c>
      <c r="U3732" s="55" t="s">
        <v>1805</v>
      </c>
      <c r="V3732" s="55" t="s">
        <v>1688</v>
      </c>
      <c r="Y3732" s="55" t="s">
        <v>1822</v>
      </c>
      <c r="Z3732" s="55" t="s">
        <v>1349</v>
      </c>
      <c r="AA3732" s="90" t="s">
        <v>1677</v>
      </c>
      <c r="AE3732" s="90">
        <v>68</v>
      </c>
      <c r="AF3732" s="90">
        <v>16</v>
      </c>
      <c r="AH3732" s="55" t="s">
        <v>238</v>
      </c>
      <c r="AI3732" s="168">
        <v>4.3499999999999996</v>
      </c>
      <c r="AJ3732" s="90">
        <v>0.97</v>
      </c>
      <c r="AM3732" s="55" t="s">
        <v>2677</v>
      </c>
      <c r="AN3732" s="185" t="s">
        <v>3315</v>
      </c>
      <c r="AO3732" s="185" t="s">
        <v>5150</v>
      </c>
      <c r="AQ3732" s="55" t="s">
        <v>1547</v>
      </c>
      <c r="AR3732" s="55" t="s">
        <v>1607</v>
      </c>
      <c r="AS3732" s="55" t="s">
        <v>132</v>
      </c>
      <c r="AU3732" s="181" t="s">
        <v>7494</v>
      </c>
      <c r="AV3732" s="185" t="s">
        <v>176</v>
      </c>
      <c r="AX3732" s="185" t="s">
        <v>176</v>
      </c>
      <c r="BK3732" s="55" t="s">
        <v>6333</v>
      </c>
      <c r="BM3732" s="192" t="s">
        <v>3292</v>
      </c>
      <c r="BN3732" s="55">
        <v>4</v>
      </c>
      <c r="BO3732" s="55">
        <v>4</v>
      </c>
      <c r="BQ3732" s="55" t="s">
        <v>141</v>
      </c>
      <c r="BS3732" s="55">
        <v>600</v>
      </c>
      <c r="CB3732" s="66">
        <v>2500</v>
      </c>
      <c r="CC3732" s="66">
        <v>4600</v>
      </c>
      <c r="DB3732" s="65">
        <v>10.8</v>
      </c>
      <c r="DC3732" s="65">
        <v>17.100000000000001</v>
      </c>
      <c r="DF3732" s="65" t="s">
        <v>442</v>
      </c>
      <c r="GD3732" s="65">
        <v>16.2</v>
      </c>
      <c r="GE3732" s="65">
        <v>15</v>
      </c>
      <c r="GH3732" s="65" t="s">
        <v>3317</v>
      </c>
      <c r="GP3732" s="292" t="s">
        <v>7494</v>
      </c>
      <c r="GY3732" s="65">
        <v>8.4</v>
      </c>
      <c r="GZ3732" s="65">
        <v>2.7</v>
      </c>
      <c r="HC3732" s="65" t="s">
        <v>3304</v>
      </c>
    </row>
    <row r="3733" spans="1:211" x14ac:dyDescent="0.25">
      <c r="A3733" s="55">
        <v>3732</v>
      </c>
      <c r="B3733" s="12" t="s">
        <v>7067</v>
      </c>
      <c r="C3733" s="155">
        <v>168</v>
      </c>
      <c r="D3733" s="55" t="s">
        <v>3306</v>
      </c>
      <c r="E3733" s="90" t="s">
        <v>3240</v>
      </c>
      <c r="G3733" s="55" t="s">
        <v>3275</v>
      </c>
      <c r="H3733" s="55">
        <v>2005</v>
      </c>
      <c r="I3733" s="55">
        <v>2002</v>
      </c>
      <c r="J3733" s="55" t="s">
        <v>3284</v>
      </c>
      <c r="K3733" s="55" t="s">
        <v>3289</v>
      </c>
      <c r="L3733" s="55" t="s">
        <v>2750</v>
      </c>
      <c r="M3733" s="90">
        <v>-13.25</v>
      </c>
      <c r="N3733" s="90">
        <v>32.6</v>
      </c>
      <c r="O3733" s="90">
        <v>1015</v>
      </c>
      <c r="Q3733" s="55">
        <v>20.5</v>
      </c>
      <c r="S3733" s="90">
        <v>960</v>
      </c>
      <c r="U3733" s="55" t="s">
        <v>1805</v>
      </c>
      <c r="V3733" s="55" t="s">
        <v>1688</v>
      </c>
      <c r="Y3733" s="55" t="s">
        <v>1822</v>
      </c>
      <c r="Z3733" s="55" t="s">
        <v>1349</v>
      </c>
      <c r="AA3733" s="90" t="s">
        <v>1677</v>
      </c>
      <c r="AE3733" s="90">
        <v>68</v>
      </c>
      <c r="AF3733" s="90">
        <v>16</v>
      </c>
      <c r="AH3733" s="55" t="s">
        <v>238</v>
      </c>
      <c r="AI3733" s="168">
        <v>4.3499999999999996</v>
      </c>
      <c r="AJ3733" s="90">
        <v>0.97</v>
      </c>
      <c r="AM3733" s="55" t="s">
        <v>2677</v>
      </c>
      <c r="AN3733" s="185" t="s">
        <v>3307</v>
      </c>
      <c r="AO3733" s="185" t="s">
        <v>5150</v>
      </c>
      <c r="AQ3733" s="55" t="s">
        <v>553</v>
      </c>
      <c r="AR3733" s="55" t="s">
        <v>1607</v>
      </c>
      <c r="AS3733" s="55" t="s">
        <v>132</v>
      </c>
      <c r="AU3733" s="181" t="s">
        <v>7494</v>
      </c>
      <c r="AV3733" s="185" t="s">
        <v>176</v>
      </c>
      <c r="AX3733" s="185" t="s">
        <v>176</v>
      </c>
      <c r="BK3733" s="55" t="s">
        <v>6333</v>
      </c>
      <c r="BM3733" s="192" t="s">
        <v>3293</v>
      </c>
      <c r="BN3733" s="55">
        <v>4</v>
      </c>
      <c r="BO3733" s="55">
        <v>4</v>
      </c>
      <c r="BQ3733" s="55" t="s">
        <v>141</v>
      </c>
      <c r="BS3733" s="55">
        <v>500</v>
      </c>
      <c r="CB3733" s="66">
        <v>1700</v>
      </c>
      <c r="CC3733" s="66">
        <v>3700</v>
      </c>
      <c r="DB3733" s="65">
        <v>4.4000000000000004</v>
      </c>
      <c r="DC3733" s="65">
        <v>14.2</v>
      </c>
      <c r="DF3733" s="65" t="s">
        <v>442</v>
      </c>
      <c r="GD3733" s="65">
        <v>10.3</v>
      </c>
      <c r="GE3733" s="65">
        <v>15.6</v>
      </c>
      <c r="GH3733" s="65" t="s">
        <v>3317</v>
      </c>
      <c r="GP3733" s="292" t="s">
        <v>7494</v>
      </c>
      <c r="GY3733" s="65">
        <v>14.7</v>
      </c>
      <c r="GZ3733" s="65">
        <v>16.3</v>
      </c>
      <c r="HC3733" s="65" t="s">
        <v>3304</v>
      </c>
    </row>
    <row r="3734" spans="1:211" x14ac:dyDescent="0.25">
      <c r="A3734" s="55">
        <v>3733</v>
      </c>
      <c r="B3734" s="12" t="s">
        <v>7067</v>
      </c>
      <c r="C3734" s="155">
        <v>168</v>
      </c>
      <c r="D3734" s="55" t="s">
        <v>3306</v>
      </c>
      <c r="E3734" s="90" t="s">
        <v>3240</v>
      </c>
      <c r="G3734" s="55" t="s">
        <v>3275</v>
      </c>
      <c r="H3734" s="55">
        <v>2005</v>
      </c>
      <c r="I3734" s="55">
        <v>2002</v>
      </c>
      <c r="J3734" s="55" t="s">
        <v>3284</v>
      </c>
      <c r="K3734" s="55" t="s">
        <v>3289</v>
      </c>
      <c r="L3734" s="55" t="s">
        <v>2750</v>
      </c>
      <c r="M3734" s="90">
        <v>-13.25</v>
      </c>
      <c r="N3734" s="90">
        <v>32.6</v>
      </c>
      <c r="O3734" s="90">
        <v>1015</v>
      </c>
      <c r="Q3734" s="55">
        <v>20.5</v>
      </c>
      <c r="S3734" s="90">
        <v>960</v>
      </c>
      <c r="U3734" s="55" t="s">
        <v>1805</v>
      </c>
      <c r="V3734" s="55" t="s">
        <v>1688</v>
      </c>
      <c r="Y3734" s="55" t="s">
        <v>1822</v>
      </c>
      <c r="Z3734" s="55" t="s">
        <v>1349</v>
      </c>
      <c r="AA3734" s="90" t="s">
        <v>1677</v>
      </c>
      <c r="AE3734" s="90">
        <v>68</v>
      </c>
      <c r="AF3734" s="90">
        <v>16</v>
      </c>
      <c r="AH3734" s="55" t="s">
        <v>238</v>
      </c>
      <c r="AI3734" s="168">
        <v>4.3499999999999996</v>
      </c>
      <c r="AJ3734" s="90">
        <v>0.97</v>
      </c>
      <c r="AM3734" s="55" t="s">
        <v>2677</v>
      </c>
      <c r="AN3734" s="185" t="s">
        <v>3308</v>
      </c>
      <c r="AO3734" s="185" t="s">
        <v>5150</v>
      </c>
      <c r="AQ3734" s="55" t="s">
        <v>553</v>
      </c>
      <c r="AR3734" s="55" t="s">
        <v>1607</v>
      </c>
      <c r="AS3734" s="55" t="s">
        <v>132</v>
      </c>
      <c r="AU3734" s="181" t="s">
        <v>7494</v>
      </c>
      <c r="AV3734" s="185" t="s">
        <v>176</v>
      </c>
      <c r="AX3734" s="185" t="s">
        <v>176</v>
      </c>
      <c r="BK3734" s="55" t="s">
        <v>6333</v>
      </c>
      <c r="BM3734" s="192" t="s">
        <v>3293</v>
      </c>
      <c r="BN3734" s="55">
        <v>4</v>
      </c>
      <c r="BO3734" s="55">
        <v>4</v>
      </c>
      <c r="BQ3734" s="55" t="s">
        <v>141</v>
      </c>
      <c r="BS3734" s="55">
        <v>800</v>
      </c>
      <c r="CB3734" s="66">
        <v>1700</v>
      </c>
      <c r="CC3734" s="66">
        <v>3600</v>
      </c>
      <c r="DB3734" s="65">
        <v>4.4000000000000004</v>
      </c>
      <c r="DC3734" s="65">
        <v>8.8000000000000007</v>
      </c>
      <c r="DF3734" s="65" t="s">
        <v>442</v>
      </c>
      <c r="GD3734" s="65">
        <v>10.3</v>
      </c>
      <c r="GE3734" s="65">
        <v>15.1</v>
      </c>
      <c r="GH3734" s="65" t="s">
        <v>3317</v>
      </c>
      <c r="GP3734" s="292" t="s">
        <v>7494</v>
      </c>
      <c r="GY3734" s="65">
        <v>14.7</v>
      </c>
      <c r="GZ3734" s="65">
        <v>8.9</v>
      </c>
      <c r="HC3734" s="65" t="s">
        <v>3304</v>
      </c>
    </row>
    <row r="3735" spans="1:211" x14ac:dyDescent="0.25">
      <c r="A3735" s="55">
        <v>3734</v>
      </c>
      <c r="B3735" s="12" t="s">
        <v>7067</v>
      </c>
      <c r="C3735" s="155">
        <v>168</v>
      </c>
      <c r="D3735" s="55" t="s">
        <v>3306</v>
      </c>
      <c r="E3735" s="90" t="s">
        <v>3240</v>
      </c>
      <c r="G3735" s="55" t="s">
        <v>3275</v>
      </c>
      <c r="H3735" s="55">
        <v>2005</v>
      </c>
      <c r="I3735" s="55">
        <v>2002</v>
      </c>
      <c r="J3735" s="55" t="s">
        <v>3284</v>
      </c>
      <c r="K3735" s="55" t="s">
        <v>3289</v>
      </c>
      <c r="L3735" s="55" t="s">
        <v>2750</v>
      </c>
      <c r="M3735" s="90">
        <v>-13.25</v>
      </c>
      <c r="N3735" s="90">
        <v>32.6</v>
      </c>
      <c r="O3735" s="90">
        <v>1015</v>
      </c>
      <c r="Q3735" s="55">
        <v>20.5</v>
      </c>
      <c r="S3735" s="90">
        <v>960</v>
      </c>
      <c r="U3735" s="55" t="s">
        <v>1805</v>
      </c>
      <c r="V3735" s="55" t="s">
        <v>1688</v>
      </c>
      <c r="Y3735" s="55" t="s">
        <v>1822</v>
      </c>
      <c r="Z3735" s="55" t="s">
        <v>1349</v>
      </c>
      <c r="AA3735" s="90" t="s">
        <v>1677</v>
      </c>
      <c r="AE3735" s="90">
        <v>68</v>
      </c>
      <c r="AF3735" s="90">
        <v>16</v>
      </c>
      <c r="AH3735" s="55" t="s">
        <v>238</v>
      </c>
      <c r="AI3735" s="168">
        <v>4.3499999999999996</v>
      </c>
      <c r="AJ3735" s="90">
        <v>0.97</v>
      </c>
      <c r="AM3735" s="55" t="s">
        <v>2677</v>
      </c>
      <c r="AN3735" s="185" t="s">
        <v>3312</v>
      </c>
      <c r="AO3735" s="185" t="s">
        <v>5150</v>
      </c>
      <c r="AQ3735" s="55" t="s">
        <v>1547</v>
      </c>
      <c r="AR3735" s="55" t="s">
        <v>1607</v>
      </c>
      <c r="AS3735" s="55" t="s">
        <v>132</v>
      </c>
      <c r="AU3735" s="181" t="s">
        <v>7494</v>
      </c>
      <c r="AV3735" s="185" t="s">
        <v>176</v>
      </c>
      <c r="AX3735" s="185" t="s">
        <v>176</v>
      </c>
      <c r="BK3735" s="55" t="s">
        <v>6333</v>
      </c>
      <c r="BM3735" s="192" t="s">
        <v>3293</v>
      </c>
      <c r="BN3735" s="55">
        <v>4</v>
      </c>
      <c r="BO3735" s="55">
        <v>4</v>
      </c>
      <c r="BQ3735" s="55" t="s">
        <v>141</v>
      </c>
      <c r="BS3735" s="55">
        <v>500</v>
      </c>
      <c r="CB3735" s="66">
        <v>1700</v>
      </c>
      <c r="CC3735" s="66">
        <v>3300</v>
      </c>
      <c r="DB3735" s="65">
        <v>4.4000000000000004</v>
      </c>
      <c r="DC3735" s="65">
        <v>11.7</v>
      </c>
      <c r="DF3735" s="65" t="s">
        <v>442</v>
      </c>
      <c r="GD3735" s="65">
        <v>10.3</v>
      </c>
      <c r="GE3735" s="65">
        <v>15.8</v>
      </c>
      <c r="GH3735" s="65" t="s">
        <v>3317</v>
      </c>
      <c r="GP3735" s="292" t="s">
        <v>7494</v>
      </c>
      <c r="GY3735" s="65">
        <v>14.7</v>
      </c>
      <c r="GZ3735" s="65">
        <v>8.1999999999999993</v>
      </c>
      <c r="HC3735" s="65" t="s">
        <v>3304</v>
      </c>
    </row>
    <row r="3736" spans="1:211" x14ac:dyDescent="0.25">
      <c r="A3736" s="55">
        <v>3735</v>
      </c>
      <c r="B3736" s="12" t="s">
        <v>7067</v>
      </c>
      <c r="C3736" s="155">
        <v>168</v>
      </c>
      <c r="D3736" s="55" t="s">
        <v>3306</v>
      </c>
      <c r="E3736" s="90" t="s">
        <v>3240</v>
      </c>
      <c r="G3736" s="55" t="s">
        <v>3275</v>
      </c>
      <c r="H3736" s="55">
        <v>2005</v>
      </c>
      <c r="I3736" s="55">
        <v>2002</v>
      </c>
      <c r="J3736" s="55" t="s">
        <v>3284</v>
      </c>
      <c r="K3736" s="55" t="s">
        <v>3289</v>
      </c>
      <c r="L3736" s="55" t="s">
        <v>2750</v>
      </c>
      <c r="M3736" s="90">
        <v>-13.25</v>
      </c>
      <c r="N3736" s="90">
        <v>32.6</v>
      </c>
      <c r="O3736" s="90">
        <v>1015</v>
      </c>
      <c r="Q3736" s="55">
        <v>20.5</v>
      </c>
      <c r="S3736" s="90">
        <v>960</v>
      </c>
      <c r="U3736" s="55" t="s">
        <v>1805</v>
      </c>
      <c r="V3736" s="55" t="s">
        <v>1688</v>
      </c>
      <c r="Y3736" s="55" t="s">
        <v>1822</v>
      </c>
      <c r="Z3736" s="55" t="s">
        <v>1349</v>
      </c>
      <c r="AA3736" s="90" t="s">
        <v>1677</v>
      </c>
      <c r="AE3736" s="90">
        <v>68</v>
      </c>
      <c r="AF3736" s="90">
        <v>16</v>
      </c>
      <c r="AH3736" s="55" t="s">
        <v>238</v>
      </c>
      <c r="AI3736" s="168">
        <v>4.3499999999999996</v>
      </c>
      <c r="AJ3736" s="90">
        <v>0.97</v>
      </c>
      <c r="AM3736" s="55" t="s">
        <v>2677</v>
      </c>
      <c r="AN3736" s="185" t="s">
        <v>3316</v>
      </c>
      <c r="AO3736" s="185" t="s">
        <v>5150</v>
      </c>
      <c r="AQ3736" s="55" t="s">
        <v>1547</v>
      </c>
      <c r="AR3736" s="55" t="s">
        <v>1607</v>
      </c>
      <c r="AS3736" s="55" t="s">
        <v>132</v>
      </c>
      <c r="AU3736" s="181" t="s">
        <v>7494</v>
      </c>
      <c r="AV3736" s="185" t="s">
        <v>176</v>
      </c>
      <c r="AX3736" s="185" t="s">
        <v>176</v>
      </c>
      <c r="BK3736" s="55" t="s">
        <v>6333</v>
      </c>
      <c r="BM3736" s="192" t="s">
        <v>3293</v>
      </c>
      <c r="BN3736" s="55">
        <v>4</v>
      </c>
      <c r="BO3736" s="55">
        <v>4</v>
      </c>
      <c r="BQ3736" s="55" t="s">
        <v>141</v>
      </c>
      <c r="BS3736" s="55">
        <v>500</v>
      </c>
      <c r="CB3736" s="66">
        <v>1700</v>
      </c>
      <c r="CC3736" s="66">
        <v>4300</v>
      </c>
      <c r="DB3736" s="65">
        <v>4.4000000000000004</v>
      </c>
      <c r="DC3736" s="65">
        <v>10.5</v>
      </c>
      <c r="DF3736" s="65" t="s">
        <v>442</v>
      </c>
      <c r="GD3736" s="65">
        <v>10.3</v>
      </c>
      <c r="GE3736" s="65">
        <v>16.2</v>
      </c>
      <c r="GH3736" s="65" t="s">
        <v>3317</v>
      </c>
      <c r="GP3736" s="292" t="s">
        <v>7494</v>
      </c>
      <c r="GY3736" s="65">
        <v>14.7</v>
      </c>
      <c r="GZ3736" s="65">
        <v>7.7</v>
      </c>
      <c r="HC3736" s="65" t="s">
        <v>3304</v>
      </c>
    </row>
    <row r="3737" spans="1:211" x14ac:dyDescent="0.25">
      <c r="A3737" s="55">
        <v>3736</v>
      </c>
      <c r="B3737" s="12" t="s">
        <v>7067</v>
      </c>
      <c r="C3737" s="155">
        <v>168</v>
      </c>
      <c r="D3737" s="55" t="s">
        <v>3306</v>
      </c>
      <c r="E3737" s="90" t="s">
        <v>3240</v>
      </c>
      <c r="G3737" s="55" t="s">
        <v>3275</v>
      </c>
      <c r="H3737" s="55">
        <v>2005</v>
      </c>
      <c r="I3737" s="55">
        <v>2002</v>
      </c>
      <c r="J3737" s="55" t="s">
        <v>3284</v>
      </c>
      <c r="K3737" s="55" t="s">
        <v>3289</v>
      </c>
      <c r="L3737" s="55" t="s">
        <v>2750</v>
      </c>
      <c r="M3737" s="90">
        <v>-13.25</v>
      </c>
      <c r="N3737" s="90">
        <v>32.6</v>
      </c>
      <c r="O3737" s="90">
        <v>1015</v>
      </c>
      <c r="Q3737" s="55">
        <v>20.5</v>
      </c>
      <c r="S3737" s="90">
        <v>960</v>
      </c>
      <c r="U3737" s="55" t="s">
        <v>1805</v>
      </c>
      <c r="V3737" s="55" t="s">
        <v>1688</v>
      </c>
      <c r="Y3737" s="55" t="s">
        <v>1822</v>
      </c>
      <c r="Z3737" s="55" t="s">
        <v>1349</v>
      </c>
      <c r="AA3737" s="90" t="s">
        <v>1677</v>
      </c>
      <c r="AE3737" s="90">
        <v>68</v>
      </c>
      <c r="AF3737" s="90">
        <v>16</v>
      </c>
      <c r="AH3737" s="55" t="s">
        <v>238</v>
      </c>
      <c r="AI3737" s="168">
        <v>4.3499999999999996</v>
      </c>
      <c r="AJ3737" s="90">
        <v>0.97</v>
      </c>
      <c r="AM3737" s="55" t="s">
        <v>2677</v>
      </c>
      <c r="AN3737" s="185" t="s">
        <v>3313</v>
      </c>
      <c r="AO3737" s="185" t="s">
        <v>5150</v>
      </c>
      <c r="AQ3737" s="55" t="s">
        <v>1547</v>
      </c>
      <c r="AR3737" s="55" t="s">
        <v>1607</v>
      </c>
      <c r="AS3737" s="55" t="s">
        <v>132</v>
      </c>
      <c r="AU3737" s="181" t="s">
        <v>7494</v>
      </c>
      <c r="AV3737" s="185" t="s">
        <v>176</v>
      </c>
      <c r="AX3737" s="185" t="s">
        <v>176</v>
      </c>
      <c r="BK3737" s="55" t="s">
        <v>6333</v>
      </c>
      <c r="BM3737" s="192" t="s">
        <v>3293</v>
      </c>
      <c r="BN3737" s="55">
        <v>4</v>
      </c>
      <c r="BO3737" s="55">
        <v>4</v>
      </c>
      <c r="BQ3737" s="55" t="s">
        <v>141</v>
      </c>
      <c r="BS3737" s="55">
        <v>500</v>
      </c>
      <c r="CB3737" s="66">
        <v>1700</v>
      </c>
      <c r="CC3737" s="66">
        <v>4600</v>
      </c>
      <c r="DB3737" s="65">
        <v>4.4000000000000004</v>
      </c>
      <c r="DC3737" s="65">
        <v>13.5</v>
      </c>
      <c r="DF3737" s="65" t="s">
        <v>442</v>
      </c>
      <c r="GD3737" s="65">
        <v>10.3</v>
      </c>
      <c r="GE3737" s="65">
        <v>15.5</v>
      </c>
      <c r="GH3737" s="65" t="s">
        <v>3317</v>
      </c>
      <c r="GP3737" s="292" t="s">
        <v>7494</v>
      </c>
      <c r="GY3737" s="65">
        <v>14.7</v>
      </c>
      <c r="GZ3737" s="65">
        <v>6.5</v>
      </c>
      <c r="HC3737" s="65" t="s">
        <v>3304</v>
      </c>
    </row>
    <row r="3738" spans="1:211" x14ac:dyDescent="0.25">
      <c r="A3738" s="55">
        <v>3737</v>
      </c>
      <c r="B3738" s="12" t="s">
        <v>7067</v>
      </c>
      <c r="C3738" s="155">
        <v>168</v>
      </c>
      <c r="D3738" s="55" t="s">
        <v>3306</v>
      </c>
      <c r="E3738" s="90" t="s">
        <v>3240</v>
      </c>
      <c r="G3738" s="55" t="s">
        <v>3275</v>
      </c>
      <c r="H3738" s="55">
        <v>2005</v>
      </c>
      <c r="I3738" s="55">
        <v>2002</v>
      </c>
      <c r="J3738" s="55" t="s">
        <v>3284</v>
      </c>
      <c r="K3738" s="55" t="s">
        <v>3289</v>
      </c>
      <c r="L3738" s="55" t="s">
        <v>2750</v>
      </c>
      <c r="M3738" s="90">
        <v>-13.25</v>
      </c>
      <c r="N3738" s="90">
        <v>32.6</v>
      </c>
      <c r="O3738" s="90">
        <v>1015</v>
      </c>
      <c r="Q3738" s="55">
        <v>20.5</v>
      </c>
      <c r="S3738" s="90">
        <v>960</v>
      </c>
      <c r="U3738" s="55" t="s">
        <v>1805</v>
      </c>
      <c r="V3738" s="55" t="s">
        <v>1688</v>
      </c>
      <c r="Y3738" s="55" t="s">
        <v>1822</v>
      </c>
      <c r="Z3738" s="55" t="s">
        <v>1349</v>
      </c>
      <c r="AA3738" s="90" t="s">
        <v>1677</v>
      </c>
      <c r="AE3738" s="90">
        <v>68</v>
      </c>
      <c r="AF3738" s="90">
        <v>16</v>
      </c>
      <c r="AH3738" s="55" t="s">
        <v>238</v>
      </c>
      <c r="AI3738" s="168">
        <v>4.3499999999999996</v>
      </c>
      <c r="AJ3738" s="90">
        <v>0.97</v>
      </c>
      <c r="AM3738" s="55" t="s">
        <v>2677</v>
      </c>
      <c r="AN3738" s="185" t="s">
        <v>3309</v>
      </c>
      <c r="AO3738" s="185" t="s">
        <v>5150</v>
      </c>
      <c r="AQ3738" s="55" t="s">
        <v>553</v>
      </c>
      <c r="AR3738" s="55" t="s">
        <v>1607</v>
      </c>
      <c r="AS3738" s="55" t="s">
        <v>132</v>
      </c>
      <c r="AU3738" s="181" t="s">
        <v>7494</v>
      </c>
      <c r="AV3738" s="185" t="s">
        <v>176</v>
      </c>
      <c r="AX3738" s="185" t="s">
        <v>176</v>
      </c>
      <c r="BK3738" s="55" t="s">
        <v>6333</v>
      </c>
      <c r="BM3738" s="192" t="s">
        <v>3293</v>
      </c>
      <c r="BN3738" s="55">
        <v>4</v>
      </c>
      <c r="BO3738" s="55">
        <v>4</v>
      </c>
      <c r="BQ3738" s="55" t="s">
        <v>141</v>
      </c>
      <c r="BS3738" s="55">
        <v>400</v>
      </c>
      <c r="CB3738" s="66">
        <v>1700</v>
      </c>
      <c r="CC3738" s="66">
        <v>4300</v>
      </c>
      <c r="DB3738" s="65">
        <v>4.4000000000000004</v>
      </c>
      <c r="DC3738" s="65">
        <v>10.199999999999999</v>
      </c>
      <c r="DF3738" s="65" t="s">
        <v>442</v>
      </c>
      <c r="GD3738" s="65">
        <v>10.3</v>
      </c>
      <c r="GE3738" s="65">
        <v>16</v>
      </c>
      <c r="GH3738" s="65" t="s">
        <v>3317</v>
      </c>
      <c r="GP3738" s="292" t="s">
        <v>7494</v>
      </c>
      <c r="GY3738" s="65">
        <v>14.7</v>
      </c>
      <c r="GZ3738" s="65">
        <v>5.8</v>
      </c>
      <c r="HC3738" s="65" t="s">
        <v>3304</v>
      </c>
    </row>
    <row r="3739" spans="1:211" x14ac:dyDescent="0.25">
      <c r="A3739" s="55">
        <v>3738</v>
      </c>
      <c r="B3739" s="12" t="s">
        <v>7067</v>
      </c>
      <c r="C3739" s="155">
        <v>168</v>
      </c>
      <c r="D3739" s="55" t="s">
        <v>3306</v>
      </c>
      <c r="E3739" s="90" t="s">
        <v>3240</v>
      </c>
      <c r="G3739" s="55" t="s">
        <v>3275</v>
      </c>
      <c r="H3739" s="55">
        <v>2005</v>
      </c>
      <c r="I3739" s="55">
        <v>2002</v>
      </c>
      <c r="J3739" s="55" t="s">
        <v>3284</v>
      </c>
      <c r="K3739" s="55" t="s">
        <v>3289</v>
      </c>
      <c r="L3739" s="55" t="s">
        <v>2750</v>
      </c>
      <c r="M3739" s="90">
        <v>-13.25</v>
      </c>
      <c r="N3739" s="90">
        <v>32.6</v>
      </c>
      <c r="O3739" s="90">
        <v>1015</v>
      </c>
      <c r="Q3739" s="55">
        <v>20.5</v>
      </c>
      <c r="S3739" s="90">
        <v>960</v>
      </c>
      <c r="U3739" s="55" t="s">
        <v>1805</v>
      </c>
      <c r="V3739" s="55" t="s">
        <v>1688</v>
      </c>
      <c r="Y3739" s="55" t="s">
        <v>1822</v>
      </c>
      <c r="Z3739" s="55" t="s">
        <v>1349</v>
      </c>
      <c r="AA3739" s="90" t="s">
        <v>1677</v>
      </c>
      <c r="AE3739" s="90">
        <v>68</v>
      </c>
      <c r="AF3739" s="90">
        <v>16</v>
      </c>
      <c r="AH3739" s="55" t="s">
        <v>238</v>
      </c>
      <c r="AI3739" s="168">
        <v>4.3499999999999996</v>
      </c>
      <c r="AJ3739" s="90">
        <v>0.97</v>
      </c>
      <c r="AM3739" s="55" t="s">
        <v>2677</v>
      </c>
      <c r="AN3739" s="185" t="s">
        <v>3310</v>
      </c>
      <c r="AO3739" s="185" t="s">
        <v>5150</v>
      </c>
      <c r="AQ3739" s="55" t="s">
        <v>553</v>
      </c>
      <c r="AR3739" s="55" t="s">
        <v>1607</v>
      </c>
      <c r="AS3739" s="55" t="s">
        <v>132</v>
      </c>
      <c r="AU3739" s="181" t="s">
        <v>7494</v>
      </c>
      <c r="AV3739" s="185" t="s">
        <v>176</v>
      </c>
      <c r="AX3739" s="185" t="s">
        <v>176</v>
      </c>
      <c r="BK3739" s="55" t="s">
        <v>6333</v>
      </c>
      <c r="BM3739" s="192" t="s">
        <v>3293</v>
      </c>
      <c r="BN3739" s="55">
        <v>4</v>
      </c>
      <c r="BO3739" s="55">
        <v>4</v>
      </c>
      <c r="BQ3739" s="55" t="s">
        <v>141</v>
      </c>
      <c r="BS3739" s="55">
        <v>300</v>
      </c>
      <c r="CB3739" s="66">
        <v>1700</v>
      </c>
      <c r="CC3739" s="66">
        <v>3900</v>
      </c>
      <c r="DB3739" s="65">
        <v>4.4000000000000004</v>
      </c>
      <c r="DC3739" s="65">
        <v>14.9</v>
      </c>
      <c r="DF3739" s="65" t="s">
        <v>442</v>
      </c>
      <c r="GD3739" s="65">
        <v>10.3</v>
      </c>
      <c r="GE3739" s="65">
        <v>15.3</v>
      </c>
      <c r="GH3739" s="65" t="s">
        <v>3317</v>
      </c>
      <c r="GP3739" s="292" t="s">
        <v>7494</v>
      </c>
      <c r="GY3739" s="65">
        <v>14.7</v>
      </c>
      <c r="GZ3739" s="65">
        <v>4.8</v>
      </c>
      <c r="HC3739" s="65" t="s">
        <v>3304</v>
      </c>
    </row>
    <row r="3740" spans="1:211" x14ac:dyDescent="0.25">
      <c r="A3740" s="55">
        <v>3739</v>
      </c>
      <c r="B3740" s="12" t="s">
        <v>7067</v>
      </c>
      <c r="C3740" s="155">
        <v>168</v>
      </c>
      <c r="D3740" s="55" t="s">
        <v>3306</v>
      </c>
      <c r="E3740" s="90" t="s">
        <v>3240</v>
      </c>
      <c r="G3740" s="55" t="s">
        <v>3275</v>
      </c>
      <c r="H3740" s="55">
        <v>2005</v>
      </c>
      <c r="I3740" s="55">
        <v>2002</v>
      </c>
      <c r="J3740" s="55" t="s">
        <v>3284</v>
      </c>
      <c r="K3740" s="55" t="s">
        <v>3289</v>
      </c>
      <c r="L3740" s="55" t="s">
        <v>2750</v>
      </c>
      <c r="M3740" s="90">
        <v>-13.25</v>
      </c>
      <c r="N3740" s="90">
        <v>32.6</v>
      </c>
      <c r="O3740" s="90">
        <v>1015</v>
      </c>
      <c r="Q3740" s="55">
        <v>20.5</v>
      </c>
      <c r="S3740" s="90">
        <v>960</v>
      </c>
      <c r="U3740" s="55" t="s">
        <v>1805</v>
      </c>
      <c r="V3740" s="55" t="s">
        <v>1688</v>
      </c>
      <c r="Y3740" s="55" t="s">
        <v>1822</v>
      </c>
      <c r="Z3740" s="55" t="s">
        <v>1349</v>
      </c>
      <c r="AA3740" s="90" t="s">
        <v>1677</v>
      </c>
      <c r="AE3740" s="90">
        <v>68</v>
      </c>
      <c r="AF3740" s="90">
        <v>16</v>
      </c>
      <c r="AH3740" s="55" t="s">
        <v>238</v>
      </c>
      <c r="AI3740" s="168">
        <v>4.3499999999999996</v>
      </c>
      <c r="AJ3740" s="90">
        <v>0.97</v>
      </c>
      <c r="AM3740" s="55" t="s">
        <v>2677</v>
      </c>
      <c r="AN3740" s="185" t="s">
        <v>3314</v>
      </c>
      <c r="AO3740" s="185" t="s">
        <v>5150</v>
      </c>
      <c r="AQ3740" s="55" t="s">
        <v>1547</v>
      </c>
      <c r="AR3740" s="55" t="s">
        <v>1607</v>
      </c>
      <c r="AS3740" s="55" t="s">
        <v>132</v>
      </c>
      <c r="AU3740" s="181" t="s">
        <v>7494</v>
      </c>
      <c r="AV3740" s="185" t="s">
        <v>176</v>
      </c>
      <c r="AX3740" s="185" t="s">
        <v>176</v>
      </c>
      <c r="BK3740" s="55" t="s">
        <v>6333</v>
      </c>
      <c r="BM3740" s="192" t="s">
        <v>3293</v>
      </c>
      <c r="BN3740" s="55">
        <v>4</v>
      </c>
      <c r="BO3740" s="55">
        <v>4</v>
      </c>
      <c r="BQ3740" s="55" t="s">
        <v>141</v>
      </c>
      <c r="BS3740" s="55">
        <v>600</v>
      </c>
      <c r="CB3740" s="66">
        <v>1700</v>
      </c>
      <c r="CC3740" s="66">
        <v>4300</v>
      </c>
      <c r="DB3740" s="65">
        <v>4.4000000000000004</v>
      </c>
      <c r="DC3740" s="65">
        <v>20.5</v>
      </c>
      <c r="DF3740" s="65" t="s">
        <v>442</v>
      </c>
      <c r="GD3740" s="65">
        <v>10.3</v>
      </c>
      <c r="GE3740" s="65">
        <v>15.8</v>
      </c>
      <c r="GH3740" s="65" t="s">
        <v>3317</v>
      </c>
      <c r="GP3740" s="292" t="s">
        <v>7494</v>
      </c>
      <c r="GY3740" s="65">
        <v>14.7</v>
      </c>
      <c r="GZ3740" s="65">
        <v>4.5999999999999996</v>
      </c>
      <c r="HC3740" s="65" t="s">
        <v>3304</v>
      </c>
    </row>
    <row r="3741" spans="1:211" x14ac:dyDescent="0.25">
      <c r="A3741" s="55">
        <v>3740</v>
      </c>
      <c r="B3741" s="12" t="s">
        <v>7067</v>
      </c>
      <c r="C3741" s="155">
        <v>168</v>
      </c>
      <c r="D3741" s="55" t="s">
        <v>3306</v>
      </c>
      <c r="E3741" s="90" t="s">
        <v>3240</v>
      </c>
      <c r="G3741" s="55" t="s">
        <v>3275</v>
      </c>
      <c r="H3741" s="55">
        <v>2005</v>
      </c>
      <c r="I3741" s="55">
        <v>2002</v>
      </c>
      <c r="J3741" s="55" t="s">
        <v>3284</v>
      </c>
      <c r="K3741" s="55" t="s">
        <v>3289</v>
      </c>
      <c r="L3741" s="55" t="s">
        <v>2750</v>
      </c>
      <c r="M3741" s="90">
        <v>-13.25</v>
      </c>
      <c r="N3741" s="90">
        <v>32.6</v>
      </c>
      <c r="O3741" s="90">
        <v>1015</v>
      </c>
      <c r="Q3741" s="55">
        <v>20.5</v>
      </c>
      <c r="S3741" s="90">
        <v>960</v>
      </c>
      <c r="U3741" s="55" t="s">
        <v>1805</v>
      </c>
      <c r="V3741" s="55" t="s">
        <v>1688</v>
      </c>
      <c r="Y3741" s="55" t="s">
        <v>1822</v>
      </c>
      <c r="Z3741" s="55" t="s">
        <v>1349</v>
      </c>
      <c r="AA3741" s="90" t="s">
        <v>1677</v>
      </c>
      <c r="AE3741" s="90">
        <v>68</v>
      </c>
      <c r="AF3741" s="90">
        <v>16</v>
      </c>
      <c r="AH3741" s="55" t="s">
        <v>238</v>
      </c>
      <c r="AI3741" s="168">
        <v>4.3499999999999996</v>
      </c>
      <c r="AJ3741" s="90">
        <v>0.97</v>
      </c>
      <c r="AM3741" s="55" t="s">
        <v>2677</v>
      </c>
      <c r="AN3741" s="185" t="s">
        <v>3311</v>
      </c>
      <c r="AO3741" s="185" t="s">
        <v>5150</v>
      </c>
      <c r="AQ3741" s="55" t="s">
        <v>553</v>
      </c>
      <c r="AR3741" s="55" t="s">
        <v>1607</v>
      </c>
      <c r="AS3741" s="55" t="s">
        <v>132</v>
      </c>
      <c r="AU3741" s="181" t="s">
        <v>7494</v>
      </c>
      <c r="AV3741" s="185" t="s">
        <v>176</v>
      </c>
      <c r="AX3741" s="185" t="s">
        <v>176</v>
      </c>
      <c r="BK3741" s="55" t="s">
        <v>6333</v>
      </c>
      <c r="BM3741" s="192" t="s">
        <v>3293</v>
      </c>
      <c r="BN3741" s="55">
        <v>4</v>
      </c>
      <c r="BO3741" s="55">
        <v>4</v>
      </c>
      <c r="BQ3741" s="55" t="s">
        <v>141</v>
      </c>
      <c r="BS3741" s="55">
        <v>800</v>
      </c>
      <c r="CB3741" s="66">
        <v>1700</v>
      </c>
      <c r="CC3741" s="66">
        <v>4100</v>
      </c>
      <c r="DB3741" s="65">
        <v>4.4000000000000004</v>
      </c>
      <c r="DC3741" s="65">
        <v>15.9</v>
      </c>
      <c r="DF3741" s="65" t="s">
        <v>442</v>
      </c>
      <c r="GD3741" s="65">
        <v>10.3</v>
      </c>
      <c r="GE3741" s="65">
        <v>15.7</v>
      </c>
      <c r="GH3741" s="65" t="s">
        <v>3317</v>
      </c>
      <c r="GP3741" s="292" t="s">
        <v>7494</v>
      </c>
      <c r="GY3741" s="65">
        <v>14.7</v>
      </c>
      <c r="GZ3741" s="65">
        <v>4</v>
      </c>
      <c r="HC3741" s="65" t="s">
        <v>3304</v>
      </c>
    </row>
    <row r="3742" spans="1:211" x14ac:dyDescent="0.25">
      <c r="A3742" s="55">
        <v>3741</v>
      </c>
      <c r="B3742" s="12" t="s">
        <v>7067</v>
      </c>
      <c r="C3742" s="155">
        <v>168</v>
      </c>
      <c r="D3742" s="55" t="s">
        <v>3306</v>
      </c>
      <c r="E3742" s="90" t="s">
        <v>3240</v>
      </c>
      <c r="G3742" s="55" t="s">
        <v>3275</v>
      </c>
      <c r="H3742" s="55">
        <v>2005</v>
      </c>
      <c r="I3742" s="55">
        <v>2002</v>
      </c>
      <c r="J3742" s="55" t="s">
        <v>3284</v>
      </c>
      <c r="K3742" s="55" t="s">
        <v>3289</v>
      </c>
      <c r="L3742" s="55" t="s">
        <v>2750</v>
      </c>
      <c r="M3742" s="90">
        <v>-13.25</v>
      </c>
      <c r="N3742" s="90">
        <v>32.6</v>
      </c>
      <c r="O3742" s="90">
        <v>1015</v>
      </c>
      <c r="Q3742" s="55">
        <v>20.5</v>
      </c>
      <c r="S3742" s="90">
        <v>960</v>
      </c>
      <c r="U3742" s="55" t="s">
        <v>1805</v>
      </c>
      <c r="V3742" s="55" t="s">
        <v>1688</v>
      </c>
      <c r="Y3742" s="55" t="s">
        <v>1822</v>
      </c>
      <c r="Z3742" s="55" t="s">
        <v>1349</v>
      </c>
      <c r="AA3742" s="90" t="s">
        <v>1677</v>
      </c>
      <c r="AE3742" s="90">
        <v>68</v>
      </c>
      <c r="AF3742" s="90">
        <v>16</v>
      </c>
      <c r="AH3742" s="55" t="s">
        <v>238</v>
      </c>
      <c r="AI3742" s="168">
        <v>4.3499999999999996</v>
      </c>
      <c r="AJ3742" s="90">
        <v>0.97</v>
      </c>
      <c r="AM3742" s="55" t="s">
        <v>2677</v>
      </c>
      <c r="AN3742" s="185" t="s">
        <v>3315</v>
      </c>
      <c r="AO3742" s="185" t="s">
        <v>5150</v>
      </c>
      <c r="AQ3742" s="55" t="s">
        <v>1547</v>
      </c>
      <c r="AR3742" s="55" t="s">
        <v>1607</v>
      </c>
      <c r="AS3742" s="55" t="s">
        <v>132</v>
      </c>
      <c r="AU3742" s="181" t="s">
        <v>7494</v>
      </c>
      <c r="AV3742" s="185" t="s">
        <v>176</v>
      </c>
      <c r="AX3742" s="185" t="s">
        <v>176</v>
      </c>
      <c r="BK3742" s="55" t="s">
        <v>6333</v>
      </c>
      <c r="BM3742" s="192" t="s">
        <v>3293</v>
      </c>
      <c r="BN3742" s="55">
        <v>4</v>
      </c>
      <c r="BO3742" s="55">
        <v>4</v>
      </c>
      <c r="BQ3742" s="55" t="s">
        <v>141</v>
      </c>
      <c r="BS3742" s="55">
        <v>600</v>
      </c>
      <c r="CB3742" s="66">
        <v>1700</v>
      </c>
      <c r="CC3742" s="66">
        <v>4600</v>
      </c>
      <c r="DB3742" s="65">
        <v>4.4000000000000004</v>
      </c>
      <c r="DC3742" s="65">
        <v>17.100000000000001</v>
      </c>
      <c r="DF3742" s="65" t="s">
        <v>442</v>
      </c>
      <c r="GD3742" s="65">
        <v>10.3</v>
      </c>
      <c r="GE3742" s="65">
        <v>15</v>
      </c>
      <c r="GH3742" s="65" t="s">
        <v>3317</v>
      </c>
      <c r="GP3742" s="292" t="s">
        <v>7494</v>
      </c>
      <c r="GY3742" s="65">
        <v>14.7</v>
      </c>
      <c r="GZ3742" s="65">
        <v>2.7</v>
      </c>
      <c r="HC3742" s="65" t="s">
        <v>3304</v>
      </c>
    </row>
    <row r="3743" spans="1:211" x14ac:dyDescent="0.25">
      <c r="A3743" s="55">
        <v>3742</v>
      </c>
      <c r="B3743" s="12" t="s">
        <v>7067</v>
      </c>
      <c r="C3743" s="155">
        <v>169</v>
      </c>
      <c r="D3743" s="55" t="s">
        <v>3324</v>
      </c>
      <c r="E3743" s="90" t="s">
        <v>3318</v>
      </c>
      <c r="G3743" s="55" t="s">
        <v>3319</v>
      </c>
      <c r="H3743" s="55">
        <v>2002</v>
      </c>
      <c r="I3743" s="55">
        <v>1998</v>
      </c>
      <c r="J3743" s="55" t="s">
        <v>2688</v>
      </c>
      <c r="K3743" s="55" t="s">
        <v>3320</v>
      </c>
      <c r="L3743" s="55" t="s">
        <v>2757</v>
      </c>
      <c r="M3743" s="90">
        <f>0+6/60</f>
        <v>0.1</v>
      </c>
      <c r="N3743" s="90">
        <f>34+34/60</f>
        <v>34.56666666666667</v>
      </c>
      <c r="O3743" s="90">
        <v>1240</v>
      </c>
      <c r="S3743" s="90">
        <v>1800</v>
      </c>
      <c r="U3743" s="55" t="s">
        <v>1805</v>
      </c>
      <c r="V3743" s="55" t="s">
        <v>1805</v>
      </c>
      <c r="Y3743" s="55" t="s">
        <v>2789</v>
      </c>
      <c r="Z3743" s="55" t="s">
        <v>1349</v>
      </c>
      <c r="AA3743" s="90" t="s">
        <v>1677</v>
      </c>
      <c r="AE3743" s="90">
        <v>30</v>
      </c>
      <c r="AF3743" s="90">
        <f>100-30-49</f>
        <v>21</v>
      </c>
      <c r="AH3743" s="55" t="s">
        <v>769</v>
      </c>
      <c r="AI3743" s="168">
        <v>5.5</v>
      </c>
      <c r="AJ3743" s="90">
        <v>1.5</v>
      </c>
      <c r="AM3743" s="55" t="s">
        <v>6993</v>
      </c>
      <c r="AN3743" s="185" t="s">
        <v>3321</v>
      </c>
      <c r="AO3743" s="185" t="s">
        <v>5150</v>
      </c>
      <c r="AQ3743" s="55" t="s">
        <v>1097</v>
      </c>
      <c r="AR3743" s="55" t="s">
        <v>1607</v>
      </c>
      <c r="AS3743" s="55" t="s">
        <v>132</v>
      </c>
      <c r="AU3743" s="181" t="s">
        <v>7494</v>
      </c>
      <c r="AV3743" s="185" t="s">
        <v>176</v>
      </c>
      <c r="AX3743" s="185" t="s">
        <v>176</v>
      </c>
      <c r="BK3743" s="55" t="s">
        <v>5976</v>
      </c>
      <c r="BM3743" s="192" t="s">
        <v>3210</v>
      </c>
      <c r="BN3743" s="55">
        <v>4</v>
      </c>
      <c r="BO3743" s="55">
        <v>4</v>
      </c>
      <c r="BP3743" s="55">
        <v>4</v>
      </c>
      <c r="BQ3743" s="55" t="s">
        <v>141</v>
      </c>
      <c r="CM3743" s="65">
        <v>1.92</v>
      </c>
      <c r="CN3743" s="65">
        <v>2.0699999999999998</v>
      </c>
      <c r="CO3743" s="65">
        <f>0.05*SQRT(16)</f>
        <v>0.2</v>
      </c>
      <c r="CP3743" s="65">
        <f>0.05*SQRT(16)</f>
        <v>0.2</v>
      </c>
      <c r="CQ3743" s="65" t="s">
        <v>164</v>
      </c>
      <c r="DA3743" s="65" t="s">
        <v>4458</v>
      </c>
      <c r="DB3743" s="65">
        <v>1.59</v>
      </c>
      <c r="DC3743" s="65">
        <v>1.74</v>
      </c>
      <c r="DD3743" s="65">
        <f>0.04*SQRT(14)</f>
        <v>0.14966629547095767</v>
      </c>
      <c r="DE3743" s="65">
        <f>0.04*SQRT(14)</f>
        <v>0.14966629547095767</v>
      </c>
      <c r="DF3743" s="65" t="s">
        <v>232</v>
      </c>
      <c r="DG3743" s="65">
        <v>0.69</v>
      </c>
      <c r="DH3743" s="65">
        <v>0.72</v>
      </c>
      <c r="DI3743" s="65">
        <f>0.01*SQRT(16)</f>
        <v>0.04</v>
      </c>
      <c r="DJ3743" s="65">
        <f>0.01*SQRT(16)</f>
        <v>0.04</v>
      </c>
      <c r="DK3743" s="65" t="s">
        <v>3323</v>
      </c>
      <c r="GP3743" s="292" t="s">
        <v>7494</v>
      </c>
    </row>
    <row r="3744" spans="1:211" x14ac:dyDescent="0.25">
      <c r="A3744" s="55">
        <v>3743</v>
      </c>
      <c r="B3744" s="12" t="s">
        <v>7067</v>
      </c>
      <c r="C3744" s="155">
        <v>169</v>
      </c>
      <c r="D3744" s="55" t="s">
        <v>3324</v>
      </c>
      <c r="E3744" s="90" t="s">
        <v>3318</v>
      </c>
      <c r="G3744" s="55" t="s">
        <v>3319</v>
      </c>
      <c r="H3744" s="55">
        <v>2002</v>
      </c>
      <c r="I3744" s="55">
        <v>1998</v>
      </c>
      <c r="J3744" s="55" t="s">
        <v>2688</v>
      </c>
      <c r="K3744" s="55" t="s">
        <v>3320</v>
      </c>
      <c r="L3744" s="55" t="s">
        <v>2757</v>
      </c>
      <c r="M3744" s="90">
        <f>0+6/60</f>
        <v>0.1</v>
      </c>
      <c r="N3744" s="90">
        <f>34+34/60</f>
        <v>34.56666666666667</v>
      </c>
      <c r="O3744" s="90">
        <v>1240</v>
      </c>
      <c r="S3744" s="90">
        <v>1800</v>
      </c>
      <c r="U3744" s="55" t="s">
        <v>1805</v>
      </c>
      <c r="V3744" s="55" t="s">
        <v>1805</v>
      </c>
      <c r="Y3744" s="55" t="s">
        <v>2789</v>
      </c>
      <c r="Z3744" s="55" t="s">
        <v>1349</v>
      </c>
      <c r="AA3744" s="90" t="s">
        <v>1677</v>
      </c>
      <c r="AE3744" s="90">
        <v>30</v>
      </c>
      <c r="AF3744" s="90">
        <f>100-30-49</f>
        <v>21</v>
      </c>
      <c r="AH3744" s="55" t="s">
        <v>769</v>
      </c>
      <c r="AI3744" s="168">
        <v>5.5</v>
      </c>
      <c r="AJ3744" s="90">
        <v>1.5</v>
      </c>
      <c r="AM3744" s="55" t="s">
        <v>6993</v>
      </c>
      <c r="AN3744" s="185" t="s">
        <v>2666</v>
      </c>
      <c r="AO3744" s="185" t="s">
        <v>5150</v>
      </c>
      <c r="AQ3744" s="55" t="s">
        <v>553</v>
      </c>
      <c r="AR3744" s="55" t="s">
        <v>1607</v>
      </c>
      <c r="AS3744" s="55" t="s">
        <v>132</v>
      </c>
      <c r="AU3744" s="181" t="s">
        <v>7494</v>
      </c>
      <c r="AV3744" s="185" t="s">
        <v>176</v>
      </c>
      <c r="AX3744" s="185" t="s">
        <v>176</v>
      </c>
      <c r="BK3744" s="55" t="s">
        <v>5976</v>
      </c>
      <c r="BM3744" s="192" t="s">
        <v>3210</v>
      </c>
      <c r="BN3744" s="55">
        <v>4</v>
      </c>
      <c r="BO3744" s="55">
        <v>4</v>
      </c>
      <c r="BP3744" s="55">
        <v>4</v>
      </c>
      <c r="BQ3744" s="55" t="s">
        <v>141</v>
      </c>
      <c r="CM3744" s="65">
        <v>1.92</v>
      </c>
      <c r="CN3744" s="65">
        <v>2.08</v>
      </c>
      <c r="CO3744" s="65">
        <f>0.05*SQRT(16)</f>
        <v>0.2</v>
      </c>
      <c r="CP3744" s="65">
        <f>0.05*SQRT(16)</f>
        <v>0.2</v>
      </c>
      <c r="CQ3744" s="65" t="s">
        <v>164</v>
      </c>
      <c r="DA3744" s="65" t="s">
        <v>4458</v>
      </c>
      <c r="DB3744" s="65">
        <v>1.59</v>
      </c>
      <c r="DC3744" s="65">
        <v>1.76</v>
      </c>
      <c r="DD3744" s="65">
        <f>0.04*SQRT(14)</f>
        <v>0.14966629547095767</v>
      </c>
      <c r="DE3744" s="65">
        <f>0.04*SQRT(14)</f>
        <v>0.14966629547095767</v>
      </c>
      <c r="DF3744" s="65" t="s">
        <v>232</v>
      </c>
      <c r="DG3744" s="65">
        <v>0.69</v>
      </c>
      <c r="DH3744" s="65">
        <v>0.72</v>
      </c>
      <c r="DI3744" s="65">
        <f>0.01*SQRT(16)</f>
        <v>0.04</v>
      </c>
      <c r="DJ3744" s="65">
        <f>0.01*SQRT(16)</f>
        <v>0.04</v>
      </c>
      <c r="DK3744" s="65" t="s">
        <v>3323</v>
      </c>
      <c r="GP3744" s="292" t="s">
        <v>7494</v>
      </c>
    </row>
    <row r="3745" spans="1:198" x14ac:dyDescent="0.25">
      <c r="A3745" s="55">
        <v>3744</v>
      </c>
      <c r="B3745" s="12" t="s">
        <v>7067</v>
      </c>
      <c r="C3745" s="155">
        <v>169</v>
      </c>
      <c r="D3745" s="55" t="s">
        <v>3324</v>
      </c>
      <c r="E3745" s="90" t="s">
        <v>3318</v>
      </c>
      <c r="G3745" s="55" t="s">
        <v>3319</v>
      </c>
      <c r="H3745" s="55">
        <v>2002</v>
      </c>
      <c r="I3745" s="55">
        <v>1998</v>
      </c>
      <c r="J3745" s="55" t="s">
        <v>2688</v>
      </c>
      <c r="K3745" s="55" t="s">
        <v>3320</v>
      </c>
      <c r="L3745" s="55" t="s">
        <v>2757</v>
      </c>
      <c r="M3745" s="90">
        <f>0+6/60</f>
        <v>0.1</v>
      </c>
      <c r="N3745" s="90">
        <f>34+34/60</f>
        <v>34.56666666666667</v>
      </c>
      <c r="O3745" s="90">
        <v>1240</v>
      </c>
      <c r="S3745" s="90">
        <v>1800</v>
      </c>
      <c r="U3745" s="55" t="s">
        <v>1805</v>
      </c>
      <c r="V3745" s="55" t="s">
        <v>1805</v>
      </c>
      <c r="Y3745" s="55" t="s">
        <v>2789</v>
      </c>
      <c r="Z3745" s="55" t="s">
        <v>1349</v>
      </c>
      <c r="AA3745" s="90" t="s">
        <v>1677</v>
      </c>
      <c r="AE3745" s="90">
        <v>30</v>
      </c>
      <c r="AF3745" s="90">
        <f>100-30-49</f>
        <v>21</v>
      </c>
      <c r="AH3745" s="55" t="s">
        <v>769</v>
      </c>
      <c r="AI3745" s="168">
        <v>5.5</v>
      </c>
      <c r="AJ3745" s="90">
        <v>1.5</v>
      </c>
      <c r="AM3745" s="55" t="s">
        <v>6993</v>
      </c>
      <c r="AN3745" s="185" t="s">
        <v>3321</v>
      </c>
      <c r="AO3745" s="185" t="s">
        <v>5150</v>
      </c>
      <c r="AQ3745" s="55" t="s">
        <v>1097</v>
      </c>
      <c r="AR3745" s="55" t="s">
        <v>1607</v>
      </c>
      <c r="AS3745" s="55" t="s">
        <v>132</v>
      </c>
      <c r="AU3745" s="181" t="s">
        <v>7494</v>
      </c>
      <c r="AV3745" s="185" t="s">
        <v>176</v>
      </c>
      <c r="AX3745" s="185" t="s">
        <v>176</v>
      </c>
      <c r="BK3745" s="55" t="s">
        <v>5976</v>
      </c>
      <c r="BM3745" s="192" t="s">
        <v>3322</v>
      </c>
      <c r="BN3745" s="55">
        <v>4</v>
      </c>
      <c r="BO3745" s="55">
        <v>4</v>
      </c>
      <c r="BP3745" s="55">
        <v>4</v>
      </c>
      <c r="BQ3745" s="55" t="s">
        <v>141</v>
      </c>
      <c r="CM3745" s="65">
        <v>1.91</v>
      </c>
      <c r="CN3745" s="65">
        <v>2.0699999999999998</v>
      </c>
      <c r="CO3745" s="65">
        <f>0.05*SQRT(16)</f>
        <v>0.2</v>
      </c>
      <c r="CP3745" s="65">
        <f>0.05*SQRT(16)</f>
        <v>0.2</v>
      </c>
      <c r="CQ3745" s="65" t="s">
        <v>164</v>
      </c>
      <c r="DA3745" s="65" t="s">
        <v>4458</v>
      </c>
      <c r="DB3745" s="65">
        <v>1.59</v>
      </c>
      <c r="DC3745" s="65">
        <v>1.74</v>
      </c>
      <c r="DD3745" s="65">
        <f>0.04*SQRT(14)</f>
        <v>0.14966629547095767</v>
      </c>
      <c r="DE3745" s="65">
        <f>0.04*SQRT(14)</f>
        <v>0.14966629547095767</v>
      </c>
      <c r="DF3745" s="65" t="s">
        <v>232</v>
      </c>
      <c r="DG3745" s="65">
        <v>0.7</v>
      </c>
      <c r="DH3745" s="65">
        <v>0.72</v>
      </c>
      <c r="DI3745" s="65">
        <f>0.01*SQRT(16)</f>
        <v>0.04</v>
      </c>
      <c r="DJ3745" s="65">
        <f>0.01*SQRT(16)</f>
        <v>0.04</v>
      </c>
      <c r="DK3745" s="65" t="s">
        <v>3323</v>
      </c>
      <c r="GP3745" s="292" t="s">
        <v>7494</v>
      </c>
    </row>
    <row r="3746" spans="1:198" x14ac:dyDescent="0.25">
      <c r="A3746" s="55">
        <v>3745</v>
      </c>
      <c r="B3746" s="12" t="s">
        <v>7067</v>
      </c>
      <c r="C3746" s="155">
        <v>169</v>
      </c>
      <c r="D3746" s="55" t="s">
        <v>3324</v>
      </c>
      <c r="E3746" s="90" t="s">
        <v>3318</v>
      </c>
      <c r="G3746" s="55" t="s">
        <v>3319</v>
      </c>
      <c r="H3746" s="55">
        <v>2002</v>
      </c>
      <c r="I3746" s="55">
        <v>1998</v>
      </c>
      <c r="J3746" s="55" t="s">
        <v>2688</v>
      </c>
      <c r="K3746" s="55" t="s">
        <v>3320</v>
      </c>
      <c r="L3746" s="55" t="s">
        <v>2757</v>
      </c>
      <c r="M3746" s="90">
        <f>0+6/60</f>
        <v>0.1</v>
      </c>
      <c r="N3746" s="90">
        <f>34+34/60</f>
        <v>34.56666666666667</v>
      </c>
      <c r="O3746" s="90">
        <v>1240</v>
      </c>
      <c r="S3746" s="90">
        <v>1800</v>
      </c>
      <c r="U3746" s="55" t="s">
        <v>1805</v>
      </c>
      <c r="V3746" s="55" t="s">
        <v>1805</v>
      </c>
      <c r="Y3746" s="55" t="s">
        <v>2789</v>
      </c>
      <c r="Z3746" s="55" t="s">
        <v>1349</v>
      </c>
      <c r="AA3746" s="90" t="s">
        <v>1677</v>
      </c>
      <c r="AE3746" s="90">
        <v>30</v>
      </c>
      <c r="AF3746" s="90">
        <f>100-30-49</f>
        <v>21</v>
      </c>
      <c r="AH3746" s="55" t="s">
        <v>769</v>
      </c>
      <c r="AI3746" s="168">
        <v>5.5</v>
      </c>
      <c r="AJ3746" s="90">
        <v>1.5</v>
      </c>
      <c r="AM3746" s="55" t="s">
        <v>6993</v>
      </c>
      <c r="AN3746" s="185" t="s">
        <v>2666</v>
      </c>
      <c r="AO3746" s="185" t="s">
        <v>5150</v>
      </c>
      <c r="AQ3746" s="55" t="s">
        <v>553</v>
      </c>
      <c r="AR3746" s="55" t="s">
        <v>1607</v>
      </c>
      <c r="AS3746" s="55" t="s">
        <v>132</v>
      </c>
      <c r="AU3746" s="181" t="s">
        <v>7494</v>
      </c>
      <c r="AV3746" s="185" t="s">
        <v>176</v>
      </c>
      <c r="AX3746" s="185" t="s">
        <v>176</v>
      </c>
      <c r="BK3746" s="55" t="s">
        <v>5976</v>
      </c>
      <c r="BM3746" s="192" t="s">
        <v>3322</v>
      </c>
      <c r="BN3746" s="55">
        <v>4</v>
      </c>
      <c r="BO3746" s="55">
        <v>4</v>
      </c>
      <c r="BP3746" s="55">
        <v>4</v>
      </c>
      <c r="BQ3746" s="55" t="s">
        <v>141</v>
      </c>
      <c r="CM3746" s="65">
        <v>1.91</v>
      </c>
      <c r="CN3746" s="65">
        <v>2.08</v>
      </c>
      <c r="CO3746" s="65">
        <f>0.05*SQRT(16)</f>
        <v>0.2</v>
      </c>
      <c r="CP3746" s="65">
        <f>0.05*SQRT(16)</f>
        <v>0.2</v>
      </c>
      <c r="CQ3746" s="65" t="s">
        <v>164</v>
      </c>
      <c r="DA3746" s="65" t="s">
        <v>4458</v>
      </c>
      <c r="DB3746" s="65">
        <v>1.59</v>
      </c>
      <c r="DC3746" s="65">
        <v>1.76</v>
      </c>
      <c r="DD3746" s="65">
        <f>0.04*SQRT(14)</f>
        <v>0.14966629547095767</v>
      </c>
      <c r="DE3746" s="65">
        <f>0.04*SQRT(14)</f>
        <v>0.14966629547095767</v>
      </c>
      <c r="DF3746" s="65" t="s">
        <v>232</v>
      </c>
      <c r="DG3746" s="65">
        <v>0.7</v>
      </c>
      <c r="DH3746" s="65">
        <v>0.72</v>
      </c>
      <c r="DI3746" s="65">
        <f>0.01*SQRT(16)</f>
        <v>0.04</v>
      </c>
      <c r="DJ3746" s="65">
        <f>0.01*SQRT(16)</f>
        <v>0.04</v>
      </c>
      <c r="DK3746" s="65" t="s">
        <v>3323</v>
      </c>
      <c r="GP3746" s="292" t="s">
        <v>7494</v>
      </c>
    </row>
    <row r="3747" spans="1:198" x14ac:dyDescent="0.25">
      <c r="A3747" s="55">
        <v>3746</v>
      </c>
      <c r="B3747" s="12" t="s">
        <v>7067</v>
      </c>
      <c r="C3747" s="155">
        <v>170</v>
      </c>
      <c r="D3747" s="55" t="s">
        <v>3330</v>
      </c>
      <c r="E3747" s="90" t="s">
        <v>3325</v>
      </c>
      <c r="G3747" s="55" t="s">
        <v>3326</v>
      </c>
      <c r="H3747" s="55">
        <v>2006</v>
      </c>
      <c r="I3747" s="55">
        <v>2002</v>
      </c>
      <c r="J3747" s="55" t="s">
        <v>282</v>
      </c>
      <c r="K3747" s="55" t="s">
        <v>3327</v>
      </c>
      <c r="L3747" s="55" t="s">
        <v>2812</v>
      </c>
      <c r="M3747" s="90">
        <f>6+22/60</f>
        <v>6.3666666666666663</v>
      </c>
      <c r="N3747" s="90">
        <f>1+13/60</f>
        <v>1.2166666666666668</v>
      </c>
      <c r="O3747" s="90">
        <v>50</v>
      </c>
      <c r="S3747" s="90">
        <v>950</v>
      </c>
      <c r="U3747" s="55" t="s">
        <v>1935</v>
      </c>
      <c r="V3747" s="55" t="s">
        <v>1805</v>
      </c>
      <c r="Y3747" s="55" t="s">
        <v>1954</v>
      </c>
      <c r="Z3747" s="55" t="s">
        <v>1349</v>
      </c>
      <c r="AA3747" s="90" t="s">
        <v>1677</v>
      </c>
      <c r="AI3747" s="168">
        <f>(5.2+6.8)/2</f>
        <v>6</v>
      </c>
      <c r="AJ3747" s="90">
        <v>0.8</v>
      </c>
      <c r="AN3747" s="185" t="s">
        <v>2664</v>
      </c>
      <c r="AO3747" s="185" t="s">
        <v>5150</v>
      </c>
      <c r="AQ3747" s="55" t="s">
        <v>553</v>
      </c>
      <c r="AR3747" s="55" t="s">
        <v>1607</v>
      </c>
      <c r="AS3747" s="55" t="s">
        <v>132</v>
      </c>
      <c r="AU3747" s="181" t="s">
        <v>7494</v>
      </c>
      <c r="AV3747" s="185" t="s">
        <v>176</v>
      </c>
      <c r="AX3747" s="185" t="s">
        <v>176</v>
      </c>
      <c r="BK3747" s="55" t="s">
        <v>6333</v>
      </c>
      <c r="BM3747" s="192" t="s">
        <v>160</v>
      </c>
      <c r="BN3747" s="55">
        <v>3</v>
      </c>
      <c r="BO3747" s="55">
        <v>3</v>
      </c>
      <c r="BQ3747" s="55" t="s">
        <v>2875</v>
      </c>
      <c r="CB3747" s="66">
        <v>6100</v>
      </c>
      <c r="CC3747" s="66">
        <v>6200</v>
      </c>
      <c r="CG3747" s="65" t="s">
        <v>3332</v>
      </c>
      <c r="GP3747" s="292" t="s">
        <v>7494</v>
      </c>
    </row>
    <row r="3748" spans="1:198" x14ac:dyDescent="0.25">
      <c r="A3748" s="55">
        <v>3747</v>
      </c>
      <c r="B3748" s="12" t="s">
        <v>7067</v>
      </c>
      <c r="C3748" s="155">
        <v>170</v>
      </c>
      <c r="D3748" s="55" t="s">
        <v>3330</v>
      </c>
      <c r="E3748" s="90" t="s">
        <v>3325</v>
      </c>
      <c r="G3748" s="55" t="s">
        <v>3326</v>
      </c>
      <c r="H3748" s="55">
        <v>2006</v>
      </c>
      <c r="I3748" s="55">
        <v>2002</v>
      </c>
      <c r="J3748" s="55" t="s">
        <v>282</v>
      </c>
      <c r="K3748" s="55" t="s">
        <v>3327</v>
      </c>
      <c r="L3748" s="55" t="s">
        <v>2812</v>
      </c>
      <c r="M3748" s="90">
        <f>6+22/60</f>
        <v>6.3666666666666663</v>
      </c>
      <c r="N3748" s="90">
        <f>1+13/60</f>
        <v>1.2166666666666668</v>
      </c>
      <c r="O3748" s="90">
        <v>50</v>
      </c>
      <c r="S3748" s="90">
        <v>950</v>
      </c>
      <c r="U3748" s="55" t="s">
        <v>1935</v>
      </c>
      <c r="V3748" s="55" t="s">
        <v>1805</v>
      </c>
      <c r="Y3748" s="55" t="s">
        <v>1954</v>
      </c>
      <c r="Z3748" s="55" t="s">
        <v>1349</v>
      </c>
      <c r="AA3748" s="90" t="s">
        <v>1677</v>
      </c>
      <c r="AI3748" s="168">
        <f>(5.2+6.8)/2</f>
        <v>6</v>
      </c>
      <c r="AJ3748" s="90">
        <v>0.8</v>
      </c>
      <c r="AN3748" s="185" t="s">
        <v>2664</v>
      </c>
      <c r="AO3748" s="185" t="s">
        <v>5150</v>
      </c>
      <c r="AQ3748" s="55" t="s">
        <v>553</v>
      </c>
      <c r="AR3748" s="55" t="s">
        <v>1607</v>
      </c>
      <c r="AS3748" s="55" t="s">
        <v>132</v>
      </c>
      <c r="AU3748" s="181" t="s">
        <v>7494</v>
      </c>
      <c r="AV3748" s="185" t="s">
        <v>176</v>
      </c>
      <c r="AX3748" s="185" t="s">
        <v>176</v>
      </c>
      <c r="BK3748" s="55" t="s">
        <v>6333</v>
      </c>
      <c r="BM3748" s="192" t="s">
        <v>160</v>
      </c>
      <c r="BN3748" s="55">
        <v>3</v>
      </c>
      <c r="BO3748" s="55">
        <v>3</v>
      </c>
      <c r="BQ3748" s="55" t="s">
        <v>2875</v>
      </c>
      <c r="CB3748" s="66">
        <v>6300</v>
      </c>
      <c r="CC3748" s="66">
        <v>6500</v>
      </c>
      <c r="CG3748" s="65" t="s">
        <v>3332</v>
      </c>
      <c r="GP3748" s="292" t="s">
        <v>7494</v>
      </c>
    </row>
    <row r="3749" spans="1:198" x14ac:dyDescent="0.25">
      <c r="A3749" s="55">
        <v>3748</v>
      </c>
      <c r="B3749" s="12" t="s">
        <v>7067</v>
      </c>
      <c r="C3749" s="155">
        <v>170</v>
      </c>
      <c r="D3749" s="55" t="s">
        <v>3330</v>
      </c>
      <c r="E3749" s="90" t="s">
        <v>3325</v>
      </c>
      <c r="G3749" s="55" t="s">
        <v>3326</v>
      </c>
      <c r="H3749" s="55">
        <v>2006</v>
      </c>
      <c r="I3749" s="55">
        <v>2002</v>
      </c>
      <c r="J3749" s="55" t="s">
        <v>282</v>
      </c>
      <c r="K3749" s="55" t="s">
        <v>3327</v>
      </c>
      <c r="L3749" s="55" t="s">
        <v>2812</v>
      </c>
      <c r="M3749" s="90">
        <f>6+22/60</f>
        <v>6.3666666666666663</v>
      </c>
      <c r="N3749" s="90">
        <f>1+13/60</f>
        <v>1.2166666666666668</v>
      </c>
      <c r="O3749" s="90">
        <v>50</v>
      </c>
      <c r="S3749" s="90">
        <v>950</v>
      </c>
      <c r="U3749" s="55" t="s">
        <v>1935</v>
      </c>
      <c r="V3749" s="55" t="s">
        <v>1805</v>
      </c>
      <c r="Y3749" s="55" t="s">
        <v>1954</v>
      </c>
      <c r="Z3749" s="55" t="s">
        <v>1349</v>
      </c>
      <c r="AA3749" s="90" t="s">
        <v>1677</v>
      </c>
      <c r="AI3749" s="168">
        <f>(5.2+6.8)/2</f>
        <v>6</v>
      </c>
      <c r="AJ3749" s="90">
        <v>0.8</v>
      </c>
      <c r="AN3749" s="185" t="s">
        <v>2664</v>
      </c>
      <c r="AO3749" s="185" t="s">
        <v>5150</v>
      </c>
      <c r="AQ3749" s="55" t="s">
        <v>553</v>
      </c>
      <c r="AR3749" s="55" t="s">
        <v>1607</v>
      </c>
      <c r="AS3749" s="55" t="s">
        <v>132</v>
      </c>
      <c r="AU3749" s="181" t="s">
        <v>7494</v>
      </c>
      <c r="AV3749" s="185" t="s">
        <v>176</v>
      </c>
      <c r="AX3749" s="185" t="s">
        <v>176</v>
      </c>
      <c r="BK3749" s="55" t="s">
        <v>6333</v>
      </c>
      <c r="BM3749" s="192" t="s">
        <v>160</v>
      </c>
      <c r="BN3749" s="55">
        <v>3</v>
      </c>
      <c r="BO3749" s="55">
        <v>3</v>
      </c>
      <c r="BQ3749" s="55" t="s">
        <v>2875</v>
      </c>
      <c r="CB3749" s="66">
        <v>6300</v>
      </c>
      <c r="CC3749" s="66">
        <v>6200</v>
      </c>
      <c r="CG3749" s="65" t="s">
        <v>3332</v>
      </c>
      <c r="GP3749" s="292" t="s">
        <v>7494</v>
      </c>
    </row>
    <row r="3750" spans="1:198" x14ac:dyDescent="0.25">
      <c r="A3750" s="55">
        <v>3749</v>
      </c>
      <c r="B3750" s="12" t="s">
        <v>7067</v>
      </c>
      <c r="C3750" s="155">
        <v>170</v>
      </c>
      <c r="D3750" s="55" t="s">
        <v>3330</v>
      </c>
      <c r="E3750" s="90" t="s">
        <v>3325</v>
      </c>
      <c r="G3750" s="55" t="s">
        <v>3326</v>
      </c>
      <c r="H3750" s="55">
        <v>2006</v>
      </c>
      <c r="I3750" s="55">
        <v>2002</v>
      </c>
      <c r="J3750" s="55" t="s">
        <v>282</v>
      </c>
      <c r="K3750" s="55" t="s">
        <v>3327</v>
      </c>
      <c r="L3750" s="55" t="s">
        <v>2812</v>
      </c>
      <c r="M3750" s="90">
        <f>6+22/60</f>
        <v>6.3666666666666663</v>
      </c>
      <c r="N3750" s="90">
        <f>1+13/60</f>
        <v>1.2166666666666668</v>
      </c>
      <c r="O3750" s="90">
        <v>50</v>
      </c>
      <c r="S3750" s="90">
        <v>950</v>
      </c>
      <c r="U3750" s="55" t="s">
        <v>1935</v>
      </c>
      <c r="V3750" s="55" t="s">
        <v>1805</v>
      </c>
      <c r="Y3750" s="55" t="s">
        <v>1954</v>
      </c>
      <c r="Z3750" s="55" t="s">
        <v>1349</v>
      </c>
      <c r="AA3750" s="90" t="s">
        <v>1677</v>
      </c>
      <c r="AI3750" s="168">
        <f>(5.2+6.8)/2</f>
        <v>6</v>
      </c>
      <c r="AJ3750" s="90">
        <v>0.8</v>
      </c>
      <c r="AN3750" s="185" t="s">
        <v>2664</v>
      </c>
      <c r="AO3750" s="185" t="s">
        <v>5150</v>
      </c>
      <c r="AQ3750" s="55" t="s">
        <v>553</v>
      </c>
      <c r="AR3750" s="55" t="s">
        <v>1607</v>
      </c>
      <c r="AS3750" s="55" t="s">
        <v>132</v>
      </c>
      <c r="AU3750" s="181" t="s">
        <v>7494</v>
      </c>
      <c r="AV3750" s="185" t="s">
        <v>176</v>
      </c>
      <c r="AX3750" s="185" t="s">
        <v>176</v>
      </c>
      <c r="BK3750" s="55" t="s">
        <v>6333</v>
      </c>
      <c r="BM3750" s="192" t="s">
        <v>160</v>
      </c>
      <c r="BN3750" s="55">
        <v>3</v>
      </c>
      <c r="BO3750" s="55">
        <v>3</v>
      </c>
      <c r="BQ3750" s="55" t="s">
        <v>2875</v>
      </c>
      <c r="CB3750" s="66">
        <v>6500</v>
      </c>
      <c r="CC3750" s="66">
        <v>6500</v>
      </c>
      <c r="CG3750" s="65" t="s">
        <v>3332</v>
      </c>
      <c r="GP3750" s="292" t="s">
        <v>7494</v>
      </c>
    </row>
    <row r="3751" spans="1:198" x14ac:dyDescent="0.25">
      <c r="A3751" s="55">
        <v>3750</v>
      </c>
      <c r="B3751" s="12" t="s">
        <v>7067</v>
      </c>
      <c r="C3751" s="155">
        <v>170</v>
      </c>
      <c r="D3751" s="55" t="s">
        <v>3330</v>
      </c>
      <c r="E3751" s="90" t="s">
        <v>3325</v>
      </c>
      <c r="G3751" s="55" t="s">
        <v>3326</v>
      </c>
      <c r="H3751" s="55">
        <v>2006</v>
      </c>
      <c r="I3751" s="55">
        <v>2002</v>
      </c>
      <c r="J3751" s="55" t="s">
        <v>282</v>
      </c>
      <c r="K3751" s="55" t="s">
        <v>3327</v>
      </c>
      <c r="L3751" s="55" t="s">
        <v>2812</v>
      </c>
      <c r="M3751" s="90">
        <f>6+22/60</f>
        <v>6.3666666666666663</v>
      </c>
      <c r="N3751" s="90">
        <f>1+13/60</f>
        <v>1.2166666666666668</v>
      </c>
      <c r="O3751" s="90">
        <v>50</v>
      </c>
      <c r="S3751" s="90">
        <v>950</v>
      </c>
      <c r="U3751" s="55" t="s">
        <v>1935</v>
      </c>
      <c r="V3751" s="55" t="s">
        <v>1805</v>
      </c>
      <c r="Y3751" s="55" t="s">
        <v>1954</v>
      </c>
      <c r="Z3751" s="55" t="s">
        <v>1349</v>
      </c>
      <c r="AA3751" s="90" t="s">
        <v>1677</v>
      </c>
      <c r="AI3751" s="168">
        <f>(5.2+6.8)/2</f>
        <v>6</v>
      </c>
      <c r="AJ3751" s="90">
        <v>0.8</v>
      </c>
      <c r="AN3751" s="185" t="s">
        <v>2664</v>
      </c>
      <c r="AO3751" s="185" t="s">
        <v>5150</v>
      </c>
      <c r="AQ3751" s="55" t="s">
        <v>553</v>
      </c>
      <c r="AR3751" s="55" t="s">
        <v>1607</v>
      </c>
      <c r="AS3751" s="55" t="s">
        <v>132</v>
      </c>
      <c r="AU3751" s="181" t="s">
        <v>7494</v>
      </c>
      <c r="AV3751" s="185" t="s">
        <v>176</v>
      </c>
      <c r="AX3751" s="185" t="s">
        <v>176</v>
      </c>
      <c r="BK3751" s="55" t="s">
        <v>6333</v>
      </c>
      <c r="BM3751" s="192" t="s">
        <v>160</v>
      </c>
      <c r="BN3751" s="55">
        <v>3</v>
      </c>
      <c r="BO3751" s="55">
        <v>3</v>
      </c>
      <c r="BQ3751" s="55" t="s">
        <v>2875</v>
      </c>
      <c r="CB3751" s="66">
        <v>6500</v>
      </c>
      <c r="CC3751" s="66">
        <v>6300</v>
      </c>
      <c r="CG3751" s="65" t="s">
        <v>3332</v>
      </c>
      <c r="GP3751" s="292" t="s">
        <v>7494</v>
      </c>
    </row>
    <row r="3752" spans="1:198" x14ac:dyDescent="0.25">
      <c r="A3752" s="55">
        <v>3751</v>
      </c>
      <c r="B3752" s="12" t="s">
        <v>7067</v>
      </c>
      <c r="C3752" s="155">
        <v>170</v>
      </c>
      <c r="D3752" s="55" t="s">
        <v>3330</v>
      </c>
      <c r="E3752" s="90" t="s">
        <v>3325</v>
      </c>
      <c r="G3752" s="55" t="s">
        <v>3326</v>
      </c>
      <c r="H3752" s="55">
        <v>2006</v>
      </c>
      <c r="I3752" s="55">
        <v>2003</v>
      </c>
      <c r="J3752" s="55" t="s">
        <v>282</v>
      </c>
      <c r="K3752" s="55" t="s">
        <v>3327</v>
      </c>
      <c r="L3752" s="55" t="s">
        <v>2812</v>
      </c>
      <c r="M3752" s="90">
        <f>6+22/60</f>
        <v>6.3666666666666663</v>
      </c>
      <c r="N3752" s="90">
        <f>1+13/60</f>
        <v>1.2166666666666668</v>
      </c>
      <c r="O3752" s="90">
        <v>50</v>
      </c>
      <c r="S3752" s="90">
        <v>950</v>
      </c>
      <c r="U3752" s="55" t="s">
        <v>1805</v>
      </c>
      <c r="V3752" s="55" t="s">
        <v>1805</v>
      </c>
      <c r="Y3752" s="55" t="s">
        <v>1954</v>
      </c>
      <c r="Z3752" s="55" t="s">
        <v>1349</v>
      </c>
      <c r="AA3752" s="90" t="s">
        <v>1677</v>
      </c>
      <c r="AI3752" s="168">
        <f>(5.2+6.8)/2</f>
        <v>6</v>
      </c>
      <c r="AJ3752" s="90">
        <v>0.8</v>
      </c>
      <c r="AN3752" s="185" t="s">
        <v>2664</v>
      </c>
      <c r="AO3752" s="185" t="s">
        <v>5150</v>
      </c>
      <c r="AQ3752" s="55" t="s">
        <v>553</v>
      </c>
      <c r="AR3752" s="55" t="s">
        <v>1607</v>
      </c>
      <c r="AS3752" s="55" t="s">
        <v>132</v>
      </c>
      <c r="AU3752" s="181" t="s">
        <v>7494</v>
      </c>
      <c r="AV3752" s="185" t="s">
        <v>176</v>
      </c>
      <c r="AX3752" s="185" t="s">
        <v>176</v>
      </c>
      <c r="BK3752" s="55" t="s">
        <v>6333</v>
      </c>
      <c r="BM3752" s="192" t="s">
        <v>160</v>
      </c>
      <c r="BN3752" s="55">
        <v>3</v>
      </c>
      <c r="BO3752" s="55">
        <v>3</v>
      </c>
      <c r="BQ3752" s="55" t="s">
        <v>2875</v>
      </c>
      <c r="CB3752" s="66">
        <v>4500</v>
      </c>
      <c r="CC3752" s="66">
        <v>6900</v>
      </c>
      <c r="CG3752" s="65" t="s">
        <v>3333</v>
      </c>
      <c r="GP3752" s="292" t="s">
        <v>7494</v>
      </c>
    </row>
    <row r="3753" spans="1:198" x14ac:dyDescent="0.25">
      <c r="A3753" s="55">
        <v>3752</v>
      </c>
      <c r="B3753" s="12" t="s">
        <v>7067</v>
      </c>
      <c r="C3753" s="155">
        <v>170</v>
      </c>
      <c r="D3753" s="55" t="s">
        <v>3330</v>
      </c>
      <c r="E3753" s="90" t="s">
        <v>3325</v>
      </c>
      <c r="G3753" s="55" t="s">
        <v>3326</v>
      </c>
      <c r="H3753" s="55">
        <v>2006</v>
      </c>
      <c r="I3753" s="55">
        <v>2003</v>
      </c>
      <c r="J3753" s="55" t="s">
        <v>282</v>
      </c>
      <c r="K3753" s="55" t="s">
        <v>3327</v>
      </c>
      <c r="L3753" s="55" t="s">
        <v>2812</v>
      </c>
      <c r="M3753" s="90">
        <f>6+22/60</f>
        <v>6.3666666666666663</v>
      </c>
      <c r="N3753" s="90">
        <f>1+13/60</f>
        <v>1.2166666666666668</v>
      </c>
      <c r="O3753" s="90">
        <v>50</v>
      </c>
      <c r="S3753" s="90">
        <v>950</v>
      </c>
      <c r="U3753" s="55" t="s">
        <v>1805</v>
      </c>
      <c r="V3753" s="55" t="s">
        <v>1805</v>
      </c>
      <c r="Y3753" s="55" t="s">
        <v>1954</v>
      </c>
      <c r="Z3753" s="55" t="s">
        <v>1349</v>
      </c>
      <c r="AA3753" s="90" t="s">
        <v>1677</v>
      </c>
      <c r="AI3753" s="168">
        <f>(5.2+6.8)/2</f>
        <v>6</v>
      </c>
      <c r="AJ3753" s="90">
        <v>0.8</v>
      </c>
      <c r="AN3753" s="185" t="s">
        <v>2664</v>
      </c>
      <c r="AO3753" s="185" t="s">
        <v>5150</v>
      </c>
      <c r="AQ3753" s="55" t="s">
        <v>553</v>
      </c>
      <c r="AR3753" s="55" t="s">
        <v>1607</v>
      </c>
      <c r="AS3753" s="55" t="s">
        <v>132</v>
      </c>
      <c r="AU3753" s="181" t="s">
        <v>7494</v>
      </c>
      <c r="AV3753" s="185" t="s">
        <v>176</v>
      </c>
      <c r="AX3753" s="185" t="s">
        <v>176</v>
      </c>
      <c r="BK3753" s="55" t="s">
        <v>6333</v>
      </c>
      <c r="BM3753" s="192" t="s">
        <v>160</v>
      </c>
      <c r="BN3753" s="55">
        <v>3</v>
      </c>
      <c r="BO3753" s="55">
        <v>3</v>
      </c>
      <c r="BQ3753" s="55" t="s">
        <v>2875</v>
      </c>
      <c r="CB3753" s="66">
        <v>5700</v>
      </c>
      <c r="CC3753" s="66">
        <v>6800</v>
      </c>
      <c r="CG3753" s="65" t="s">
        <v>3333</v>
      </c>
      <c r="GP3753" s="292" t="s">
        <v>7494</v>
      </c>
    </row>
    <row r="3754" spans="1:198" x14ac:dyDescent="0.25">
      <c r="A3754" s="55">
        <v>3753</v>
      </c>
      <c r="B3754" s="12" t="s">
        <v>7067</v>
      </c>
      <c r="C3754" s="155">
        <v>170</v>
      </c>
      <c r="D3754" s="55" t="s">
        <v>3330</v>
      </c>
      <c r="E3754" s="90" t="s">
        <v>3325</v>
      </c>
      <c r="G3754" s="55" t="s">
        <v>3326</v>
      </c>
      <c r="H3754" s="55">
        <v>2006</v>
      </c>
      <c r="I3754" s="55">
        <v>2003</v>
      </c>
      <c r="J3754" s="55" t="s">
        <v>282</v>
      </c>
      <c r="K3754" s="55" t="s">
        <v>3327</v>
      </c>
      <c r="L3754" s="55" t="s">
        <v>2812</v>
      </c>
      <c r="M3754" s="90">
        <f>6+22/60</f>
        <v>6.3666666666666663</v>
      </c>
      <c r="N3754" s="90">
        <f>1+13/60</f>
        <v>1.2166666666666668</v>
      </c>
      <c r="O3754" s="90">
        <v>50</v>
      </c>
      <c r="S3754" s="90">
        <v>950</v>
      </c>
      <c r="U3754" s="55" t="s">
        <v>1805</v>
      </c>
      <c r="V3754" s="55" t="s">
        <v>1805</v>
      </c>
      <c r="Y3754" s="55" t="s">
        <v>1954</v>
      </c>
      <c r="Z3754" s="55" t="s">
        <v>1349</v>
      </c>
      <c r="AA3754" s="90" t="s">
        <v>1677</v>
      </c>
      <c r="AI3754" s="168">
        <f>(5.2+6.8)/2</f>
        <v>6</v>
      </c>
      <c r="AJ3754" s="90">
        <v>0.8</v>
      </c>
      <c r="AN3754" s="185" t="s">
        <v>2664</v>
      </c>
      <c r="AO3754" s="185" t="s">
        <v>5150</v>
      </c>
      <c r="AQ3754" s="55" t="s">
        <v>553</v>
      </c>
      <c r="AR3754" s="55" t="s">
        <v>1607</v>
      </c>
      <c r="AS3754" s="55" t="s">
        <v>132</v>
      </c>
      <c r="AU3754" s="181" t="s">
        <v>7494</v>
      </c>
      <c r="AV3754" s="185" t="s">
        <v>176</v>
      </c>
      <c r="AX3754" s="185" t="s">
        <v>176</v>
      </c>
      <c r="BK3754" s="55" t="s">
        <v>6333</v>
      </c>
      <c r="BM3754" s="192" t="s">
        <v>160</v>
      </c>
      <c r="BN3754" s="55">
        <v>3</v>
      </c>
      <c r="BO3754" s="55">
        <v>3</v>
      </c>
      <c r="BQ3754" s="55" t="s">
        <v>2875</v>
      </c>
      <c r="CB3754" s="66">
        <v>5600</v>
      </c>
      <c r="CC3754" s="66">
        <v>7000</v>
      </c>
      <c r="CG3754" s="65" t="s">
        <v>3333</v>
      </c>
      <c r="GP3754" s="292" t="s">
        <v>7494</v>
      </c>
    </row>
    <row r="3755" spans="1:198" x14ac:dyDescent="0.25">
      <c r="A3755" s="55">
        <v>3754</v>
      </c>
      <c r="B3755" s="12" t="s">
        <v>7067</v>
      </c>
      <c r="C3755" s="155">
        <v>170</v>
      </c>
      <c r="D3755" s="55" t="s">
        <v>3330</v>
      </c>
      <c r="E3755" s="90" t="s">
        <v>3325</v>
      </c>
      <c r="G3755" s="55" t="s">
        <v>3326</v>
      </c>
      <c r="H3755" s="55">
        <v>2006</v>
      </c>
      <c r="I3755" s="55">
        <v>2003</v>
      </c>
      <c r="J3755" s="55" t="s">
        <v>282</v>
      </c>
      <c r="K3755" s="55" t="s">
        <v>3327</v>
      </c>
      <c r="L3755" s="55" t="s">
        <v>2812</v>
      </c>
      <c r="M3755" s="90">
        <f>6+22/60</f>
        <v>6.3666666666666663</v>
      </c>
      <c r="N3755" s="90">
        <f>1+13/60</f>
        <v>1.2166666666666668</v>
      </c>
      <c r="O3755" s="90">
        <v>50</v>
      </c>
      <c r="S3755" s="90">
        <v>950</v>
      </c>
      <c r="U3755" s="55" t="s">
        <v>1805</v>
      </c>
      <c r="V3755" s="55" t="s">
        <v>1805</v>
      </c>
      <c r="Y3755" s="55" t="s">
        <v>1954</v>
      </c>
      <c r="Z3755" s="55" t="s">
        <v>1349</v>
      </c>
      <c r="AA3755" s="90" t="s">
        <v>1677</v>
      </c>
      <c r="AI3755" s="168">
        <f>(5.2+6.8)/2</f>
        <v>6</v>
      </c>
      <c r="AJ3755" s="90">
        <v>0.8</v>
      </c>
      <c r="AN3755" s="185" t="s">
        <v>2664</v>
      </c>
      <c r="AO3755" s="185" t="s">
        <v>5150</v>
      </c>
      <c r="AQ3755" s="55" t="s">
        <v>553</v>
      </c>
      <c r="AR3755" s="55" t="s">
        <v>1607</v>
      </c>
      <c r="AS3755" s="55" t="s">
        <v>132</v>
      </c>
      <c r="AU3755" s="181" t="s">
        <v>7494</v>
      </c>
      <c r="AV3755" s="185" t="s">
        <v>176</v>
      </c>
      <c r="AX3755" s="185" t="s">
        <v>176</v>
      </c>
      <c r="BK3755" s="55" t="s">
        <v>6333</v>
      </c>
      <c r="BM3755" s="192" t="s">
        <v>160</v>
      </c>
      <c r="BN3755" s="55">
        <v>3</v>
      </c>
      <c r="BO3755" s="55">
        <v>3</v>
      </c>
      <c r="BQ3755" s="55" t="s">
        <v>2875</v>
      </c>
      <c r="CB3755" s="66">
        <v>5900</v>
      </c>
      <c r="CC3755" s="66">
        <v>7000</v>
      </c>
      <c r="CG3755" s="65" t="s">
        <v>3333</v>
      </c>
      <c r="GP3755" s="292" t="s">
        <v>7494</v>
      </c>
    </row>
    <row r="3756" spans="1:198" x14ac:dyDescent="0.25">
      <c r="A3756" s="55">
        <v>3755</v>
      </c>
      <c r="B3756" s="12" t="s">
        <v>7067</v>
      </c>
      <c r="C3756" s="155">
        <v>170</v>
      </c>
      <c r="D3756" s="55" t="s">
        <v>3330</v>
      </c>
      <c r="E3756" s="90" t="s">
        <v>3325</v>
      </c>
      <c r="G3756" s="55" t="s">
        <v>3326</v>
      </c>
      <c r="H3756" s="55">
        <v>2006</v>
      </c>
      <c r="I3756" s="55">
        <v>2003</v>
      </c>
      <c r="J3756" s="55" t="s">
        <v>282</v>
      </c>
      <c r="K3756" s="55" t="s">
        <v>3327</v>
      </c>
      <c r="L3756" s="55" t="s">
        <v>2812</v>
      </c>
      <c r="M3756" s="90">
        <f>6+22/60</f>
        <v>6.3666666666666663</v>
      </c>
      <c r="N3756" s="90">
        <f>1+13/60</f>
        <v>1.2166666666666668</v>
      </c>
      <c r="O3756" s="90">
        <v>50</v>
      </c>
      <c r="S3756" s="90">
        <v>950</v>
      </c>
      <c r="U3756" s="55" t="s">
        <v>1805</v>
      </c>
      <c r="V3756" s="55" t="s">
        <v>1805</v>
      </c>
      <c r="Y3756" s="55" t="s">
        <v>1954</v>
      </c>
      <c r="Z3756" s="55" t="s">
        <v>1349</v>
      </c>
      <c r="AA3756" s="90" t="s">
        <v>1677</v>
      </c>
      <c r="AI3756" s="168">
        <f>(5.2+6.8)/2</f>
        <v>6</v>
      </c>
      <c r="AJ3756" s="90">
        <v>0.8</v>
      </c>
      <c r="AN3756" s="185" t="s">
        <v>2664</v>
      </c>
      <c r="AO3756" s="185" t="s">
        <v>5150</v>
      </c>
      <c r="AQ3756" s="55" t="s">
        <v>553</v>
      </c>
      <c r="AR3756" s="55" t="s">
        <v>1607</v>
      </c>
      <c r="AS3756" s="55" t="s">
        <v>132</v>
      </c>
      <c r="AU3756" s="181" t="s">
        <v>7494</v>
      </c>
      <c r="AV3756" s="185" t="s">
        <v>176</v>
      </c>
      <c r="AX3756" s="185" t="s">
        <v>176</v>
      </c>
      <c r="BK3756" s="55" t="s">
        <v>6333</v>
      </c>
      <c r="BM3756" s="192" t="s">
        <v>160</v>
      </c>
      <c r="BN3756" s="55">
        <v>3</v>
      </c>
      <c r="BO3756" s="55">
        <v>3</v>
      </c>
      <c r="BQ3756" s="55" t="s">
        <v>2875</v>
      </c>
      <c r="CB3756" s="66">
        <v>5400</v>
      </c>
      <c r="CC3756" s="66">
        <v>6900</v>
      </c>
      <c r="CG3756" s="65" t="s">
        <v>3333</v>
      </c>
      <c r="GP3756" s="292" t="s">
        <v>7494</v>
      </c>
    </row>
    <row r="3757" spans="1:198" x14ac:dyDescent="0.25">
      <c r="A3757" s="55">
        <v>3756</v>
      </c>
      <c r="B3757" s="12" t="s">
        <v>7067</v>
      </c>
      <c r="C3757" s="155">
        <v>170</v>
      </c>
      <c r="D3757" s="55" t="s">
        <v>3331</v>
      </c>
      <c r="E3757" s="90" t="s">
        <v>3325</v>
      </c>
      <c r="G3757" s="55" t="s">
        <v>3326</v>
      </c>
      <c r="H3757" s="55">
        <v>2006</v>
      </c>
      <c r="I3757" s="55">
        <v>2002</v>
      </c>
      <c r="J3757" s="55" t="s">
        <v>282</v>
      </c>
      <c r="K3757" s="55" t="s">
        <v>3327</v>
      </c>
      <c r="L3757" s="55" t="s">
        <v>2812</v>
      </c>
      <c r="M3757" s="90">
        <f>6+22/60</f>
        <v>6.3666666666666663</v>
      </c>
      <c r="N3757" s="90">
        <f>1+13/60</f>
        <v>1.2166666666666668</v>
      </c>
      <c r="O3757" s="90">
        <v>50</v>
      </c>
      <c r="S3757" s="90">
        <v>950</v>
      </c>
      <c r="U3757" s="55" t="s">
        <v>1935</v>
      </c>
      <c r="V3757" s="55" t="s">
        <v>1805</v>
      </c>
      <c r="Y3757" s="55" t="s">
        <v>1954</v>
      </c>
      <c r="Z3757" s="55" t="s">
        <v>1349</v>
      </c>
      <c r="AA3757" s="90" t="s">
        <v>1677</v>
      </c>
      <c r="AI3757" s="168">
        <f>(5.2+6.8)/2</f>
        <v>6</v>
      </c>
      <c r="AJ3757" s="90">
        <v>0.8</v>
      </c>
      <c r="AN3757" s="185" t="s">
        <v>3329</v>
      </c>
      <c r="AO3757" s="185" t="s">
        <v>5150</v>
      </c>
      <c r="AQ3757" s="55" t="s">
        <v>1547</v>
      </c>
      <c r="AR3757" s="55" t="s">
        <v>1607</v>
      </c>
      <c r="AS3757" s="55" t="s">
        <v>132</v>
      </c>
      <c r="AU3757" s="181" t="s">
        <v>7494</v>
      </c>
      <c r="AV3757" s="185" t="s">
        <v>176</v>
      </c>
      <c r="AX3757" s="185" t="s">
        <v>176</v>
      </c>
      <c r="BK3757" s="55" t="s">
        <v>6333</v>
      </c>
      <c r="BM3757" s="192" t="s">
        <v>160</v>
      </c>
      <c r="BN3757" s="55">
        <v>3</v>
      </c>
      <c r="BO3757" s="55">
        <v>3</v>
      </c>
      <c r="BQ3757" s="55" t="s">
        <v>2875</v>
      </c>
      <c r="CB3757" s="66">
        <v>6100</v>
      </c>
      <c r="CC3757" s="66">
        <v>6200</v>
      </c>
      <c r="CG3757" s="65" t="s">
        <v>3332</v>
      </c>
      <c r="GP3757" s="292" t="s">
        <v>7494</v>
      </c>
    </row>
    <row r="3758" spans="1:198" x14ac:dyDescent="0.25">
      <c r="A3758" s="55">
        <v>3757</v>
      </c>
      <c r="B3758" s="12" t="s">
        <v>7067</v>
      </c>
      <c r="C3758" s="155">
        <v>170</v>
      </c>
      <c r="D3758" s="55" t="s">
        <v>3331</v>
      </c>
      <c r="E3758" s="90" t="s">
        <v>3325</v>
      </c>
      <c r="G3758" s="55" t="s">
        <v>3326</v>
      </c>
      <c r="H3758" s="55">
        <v>2006</v>
      </c>
      <c r="I3758" s="55">
        <v>2002</v>
      </c>
      <c r="J3758" s="55" t="s">
        <v>282</v>
      </c>
      <c r="K3758" s="55" t="s">
        <v>3327</v>
      </c>
      <c r="L3758" s="55" t="s">
        <v>2812</v>
      </c>
      <c r="M3758" s="90">
        <f>6+22/60</f>
        <v>6.3666666666666663</v>
      </c>
      <c r="N3758" s="90">
        <f>1+13/60</f>
        <v>1.2166666666666668</v>
      </c>
      <c r="O3758" s="90">
        <v>50</v>
      </c>
      <c r="S3758" s="90">
        <v>950</v>
      </c>
      <c r="U3758" s="55" t="s">
        <v>1935</v>
      </c>
      <c r="V3758" s="55" t="s">
        <v>1805</v>
      </c>
      <c r="Y3758" s="55" t="s">
        <v>1954</v>
      </c>
      <c r="Z3758" s="55" t="s">
        <v>1349</v>
      </c>
      <c r="AA3758" s="90" t="s">
        <v>1677</v>
      </c>
      <c r="AI3758" s="168">
        <f>(5.2+6.8)/2</f>
        <v>6</v>
      </c>
      <c r="AJ3758" s="90">
        <v>0.8</v>
      </c>
      <c r="AN3758" s="185" t="s">
        <v>3329</v>
      </c>
      <c r="AO3758" s="185" t="s">
        <v>5150</v>
      </c>
      <c r="AQ3758" s="55" t="s">
        <v>1547</v>
      </c>
      <c r="AR3758" s="55" t="s">
        <v>1607</v>
      </c>
      <c r="AS3758" s="55" t="s">
        <v>132</v>
      </c>
      <c r="AU3758" s="181" t="s">
        <v>7494</v>
      </c>
      <c r="AV3758" s="185" t="s">
        <v>176</v>
      </c>
      <c r="AX3758" s="185" t="s">
        <v>176</v>
      </c>
      <c r="BK3758" s="55" t="s">
        <v>6333</v>
      </c>
      <c r="BM3758" s="192" t="s">
        <v>160</v>
      </c>
      <c r="BN3758" s="55">
        <v>3</v>
      </c>
      <c r="BO3758" s="55">
        <v>3</v>
      </c>
      <c r="BQ3758" s="55" t="s">
        <v>2875</v>
      </c>
      <c r="CB3758" s="66">
        <v>6300</v>
      </c>
      <c r="CC3758" s="66">
        <v>6500</v>
      </c>
      <c r="CG3758" s="65" t="s">
        <v>3332</v>
      </c>
      <c r="GP3758" s="292" t="s">
        <v>7494</v>
      </c>
    </row>
    <row r="3759" spans="1:198" x14ac:dyDescent="0.25">
      <c r="A3759" s="55">
        <v>3758</v>
      </c>
      <c r="B3759" s="12" t="s">
        <v>7067</v>
      </c>
      <c r="C3759" s="155">
        <v>170</v>
      </c>
      <c r="D3759" s="55" t="s">
        <v>3331</v>
      </c>
      <c r="E3759" s="90" t="s">
        <v>3325</v>
      </c>
      <c r="G3759" s="55" t="s">
        <v>3326</v>
      </c>
      <c r="H3759" s="55">
        <v>2006</v>
      </c>
      <c r="I3759" s="55">
        <v>2002</v>
      </c>
      <c r="J3759" s="55" t="s">
        <v>282</v>
      </c>
      <c r="K3759" s="55" t="s">
        <v>3327</v>
      </c>
      <c r="L3759" s="55" t="s">
        <v>2812</v>
      </c>
      <c r="M3759" s="90">
        <f>6+22/60</f>
        <v>6.3666666666666663</v>
      </c>
      <c r="N3759" s="90">
        <f>1+13/60</f>
        <v>1.2166666666666668</v>
      </c>
      <c r="O3759" s="90">
        <v>50</v>
      </c>
      <c r="S3759" s="90">
        <v>950</v>
      </c>
      <c r="U3759" s="55" t="s">
        <v>1935</v>
      </c>
      <c r="V3759" s="55" t="s">
        <v>1805</v>
      </c>
      <c r="Y3759" s="55" t="s">
        <v>1954</v>
      </c>
      <c r="Z3759" s="55" t="s">
        <v>1349</v>
      </c>
      <c r="AA3759" s="90" t="s">
        <v>1677</v>
      </c>
      <c r="AI3759" s="168">
        <f>(5.2+6.8)/2</f>
        <v>6</v>
      </c>
      <c r="AJ3759" s="90">
        <v>0.8</v>
      </c>
      <c r="AN3759" s="185" t="s">
        <v>3329</v>
      </c>
      <c r="AO3759" s="185" t="s">
        <v>5150</v>
      </c>
      <c r="AQ3759" s="55" t="s">
        <v>1547</v>
      </c>
      <c r="AR3759" s="55" t="s">
        <v>1607</v>
      </c>
      <c r="AS3759" s="55" t="s">
        <v>132</v>
      </c>
      <c r="AU3759" s="181" t="s">
        <v>7494</v>
      </c>
      <c r="AV3759" s="185" t="s">
        <v>176</v>
      </c>
      <c r="AX3759" s="185" t="s">
        <v>176</v>
      </c>
      <c r="BK3759" s="55" t="s">
        <v>6333</v>
      </c>
      <c r="BM3759" s="192" t="s">
        <v>160</v>
      </c>
      <c r="BN3759" s="55">
        <v>3</v>
      </c>
      <c r="BO3759" s="55">
        <v>3</v>
      </c>
      <c r="BQ3759" s="55" t="s">
        <v>2875</v>
      </c>
      <c r="CB3759" s="66">
        <v>6300</v>
      </c>
      <c r="CC3759" s="66">
        <v>6200</v>
      </c>
      <c r="CG3759" s="65" t="s">
        <v>3332</v>
      </c>
      <c r="GP3759" s="292" t="s">
        <v>7494</v>
      </c>
    </row>
    <row r="3760" spans="1:198" x14ac:dyDescent="0.25">
      <c r="A3760" s="55">
        <v>3759</v>
      </c>
      <c r="B3760" s="12" t="s">
        <v>7067</v>
      </c>
      <c r="C3760" s="155">
        <v>170</v>
      </c>
      <c r="D3760" s="55" t="s">
        <v>3331</v>
      </c>
      <c r="E3760" s="90" t="s">
        <v>3325</v>
      </c>
      <c r="G3760" s="55" t="s">
        <v>3326</v>
      </c>
      <c r="H3760" s="55">
        <v>2006</v>
      </c>
      <c r="I3760" s="55">
        <v>2002</v>
      </c>
      <c r="J3760" s="55" t="s">
        <v>282</v>
      </c>
      <c r="K3760" s="55" t="s">
        <v>3327</v>
      </c>
      <c r="L3760" s="55" t="s">
        <v>2812</v>
      </c>
      <c r="M3760" s="90">
        <f>6+22/60</f>
        <v>6.3666666666666663</v>
      </c>
      <c r="N3760" s="90">
        <f>1+13/60</f>
        <v>1.2166666666666668</v>
      </c>
      <c r="O3760" s="90">
        <v>50</v>
      </c>
      <c r="S3760" s="90">
        <v>950</v>
      </c>
      <c r="U3760" s="55" t="s">
        <v>1935</v>
      </c>
      <c r="V3760" s="55" t="s">
        <v>1805</v>
      </c>
      <c r="Y3760" s="55" t="s">
        <v>1954</v>
      </c>
      <c r="Z3760" s="55" t="s">
        <v>1349</v>
      </c>
      <c r="AA3760" s="90" t="s">
        <v>1677</v>
      </c>
      <c r="AI3760" s="168">
        <f>(5.2+6.8)/2</f>
        <v>6</v>
      </c>
      <c r="AJ3760" s="90">
        <v>0.8</v>
      </c>
      <c r="AN3760" s="185" t="s">
        <v>3329</v>
      </c>
      <c r="AO3760" s="185" t="s">
        <v>5150</v>
      </c>
      <c r="AQ3760" s="55" t="s">
        <v>1547</v>
      </c>
      <c r="AR3760" s="55" t="s">
        <v>1607</v>
      </c>
      <c r="AS3760" s="55" t="s">
        <v>132</v>
      </c>
      <c r="AU3760" s="181" t="s">
        <v>7494</v>
      </c>
      <c r="AV3760" s="185" t="s">
        <v>176</v>
      </c>
      <c r="AX3760" s="185" t="s">
        <v>176</v>
      </c>
      <c r="BK3760" s="55" t="s">
        <v>6333</v>
      </c>
      <c r="BM3760" s="192" t="s">
        <v>160</v>
      </c>
      <c r="BN3760" s="55">
        <v>3</v>
      </c>
      <c r="BO3760" s="55">
        <v>3</v>
      </c>
      <c r="BQ3760" s="55" t="s">
        <v>2875</v>
      </c>
      <c r="CB3760" s="66">
        <v>6500</v>
      </c>
      <c r="CC3760" s="66">
        <v>6500</v>
      </c>
      <c r="CG3760" s="65" t="s">
        <v>3332</v>
      </c>
      <c r="GP3760" s="292" t="s">
        <v>7494</v>
      </c>
    </row>
    <row r="3761" spans="1:198" x14ac:dyDescent="0.25">
      <c r="A3761" s="55">
        <v>3760</v>
      </c>
      <c r="B3761" s="12" t="s">
        <v>7067</v>
      </c>
      <c r="C3761" s="155">
        <v>170</v>
      </c>
      <c r="D3761" s="55" t="s">
        <v>3331</v>
      </c>
      <c r="E3761" s="90" t="s">
        <v>3325</v>
      </c>
      <c r="G3761" s="55" t="s">
        <v>3326</v>
      </c>
      <c r="H3761" s="55">
        <v>2006</v>
      </c>
      <c r="I3761" s="55">
        <v>2002</v>
      </c>
      <c r="J3761" s="55" t="s">
        <v>282</v>
      </c>
      <c r="K3761" s="55" t="s">
        <v>3327</v>
      </c>
      <c r="L3761" s="55" t="s">
        <v>2812</v>
      </c>
      <c r="M3761" s="90">
        <f>6+22/60</f>
        <v>6.3666666666666663</v>
      </c>
      <c r="N3761" s="90">
        <f>1+13/60</f>
        <v>1.2166666666666668</v>
      </c>
      <c r="O3761" s="90">
        <v>50</v>
      </c>
      <c r="S3761" s="90">
        <v>950</v>
      </c>
      <c r="U3761" s="55" t="s">
        <v>1935</v>
      </c>
      <c r="V3761" s="55" t="s">
        <v>1805</v>
      </c>
      <c r="Y3761" s="55" t="s">
        <v>1954</v>
      </c>
      <c r="Z3761" s="55" t="s">
        <v>1349</v>
      </c>
      <c r="AA3761" s="90" t="s">
        <v>1677</v>
      </c>
      <c r="AI3761" s="168">
        <f>(5.2+6.8)/2</f>
        <v>6</v>
      </c>
      <c r="AJ3761" s="90">
        <v>0.8</v>
      </c>
      <c r="AN3761" s="185" t="s">
        <v>3329</v>
      </c>
      <c r="AO3761" s="185" t="s">
        <v>5150</v>
      </c>
      <c r="AQ3761" s="55" t="s">
        <v>1547</v>
      </c>
      <c r="AR3761" s="55" t="s">
        <v>1607</v>
      </c>
      <c r="AS3761" s="55" t="s">
        <v>132</v>
      </c>
      <c r="AU3761" s="181" t="s">
        <v>7494</v>
      </c>
      <c r="AV3761" s="185" t="s">
        <v>176</v>
      </c>
      <c r="AX3761" s="185" t="s">
        <v>176</v>
      </c>
      <c r="BK3761" s="55" t="s">
        <v>6333</v>
      </c>
      <c r="BM3761" s="192" t="s">
        <v>160</v>
      </c>
      <c r="BN3761" s="55">
        <v>3</v>
      </c>
      <c r="BO3761" s="55">
        <v>3</v>
      </c>
      <c r="BQ3761" s="55" t="s">
        <v>2875</v>
      </c>
      <c r="CB3761" s="66">
        <v>6500</v>
      </c>
      <c r="CC3761" s="66">
        <v>6300</v>
      </c>
      <c r="CG3761" s="65" t="s">
        <v>3332</v>
      </c>
      <c r="GP3761" s="292" t="s">
        <v>7494</v>
      </c>
    </row>
    <row r="3762" spans="1:198" x14ac:dyDescent="0.25">
      <c r="A3762" s="55">
        <v>3761</v>
      </c>
      <c r="B3762" s="12" t="s">
        <v>7067</v>
      </c>
      <c r="C3762" s="155">
        <v>170</v>
      </c>
      <c r="D3762" s="55" t="s">
        <v>3331</v>
      </c>
      <c r="E3762" s="90" t="s">
        <v>3325</v>
      </c>
      <c r="G3762" s="55" t="s">
        <v>3326</v>
      </c>
      <c r="H3762" s="55">
        <v>2006</v>
      </c>
      <c r="I3762" s="55">
        <v>2003</v>
      </c>
      <c r="J3762" s="55" t="s">
        <v>282</v>
      </c>
      <c r="K3762" s="55" t="s">
        <v>3327</v>
      </c>
      <c r="L3762" s="55" t="s">
        <v>2812</v>
      </c>
      <c r="M3762" s="90">
        <f>6+22/60</f>
        <v>6.3666666666666663</v>
      </c>
      <c r="N3762" s="90">
        <f>1+13/60</f>
        <v>1.2166666666666668</v>
      </c>
      <c r="O3762" s="90">
        <v>50</v>
      </c>
      <c r="S3762" s="90">
        <v>950</v>
      </c>
      <c r="U3762" s="55" t="s">
        <v>1805</v>
      </c>
      <c r="V3762" s="55" t="s">
        <v>1805</v>
      </c>
      <c r="Y3762" s="55" t="s">
        <v>1954</v>
      </c>
      <c r="Z3762" s="55" t="s">
        <v>1349</v>
      </c>
      <c r="AA3762" s="90" t="s">
        <v>1677</v>
      </c>
      <c r="AI3762" s="168">
        <f>(5.2+6.8)/2</f>
        <v>6</v>
      </c>
      <c r="AJ3762" s="90">
        <v>0.8</v>
      </c>
      <c r="AN3762" s="185" t="s">
        <v>3329</v>
      </c>
      <c r="AO3762" s="185" t="s">
        <v>5150</v>
      </c>
      <c r="AQ3762" s="55" t="s">
        <v>1547</v>
      </c>
      <c r="AR3762" s="55" t="s">
        <v>1607</v>
      </c>
      <c r="AS3762" s="55" t="s">
        <v>132</v>
      </c>
      <c r="AU3762" s="181" t="s">
        <v>7494</v>
      </c>
      <c r="AV3762" s="185" t="s">
        <v>176</v>
      </c>
      <c r="AX3762" s="185" t="s">
        <v>176</v>
      </c>
      <c r="BK3762" s="55" t="s">
        <v>6333</v>
      </c>
      <c r="BM3762" s="192" t="s">
        <v>160</v>
      </c>
      <c r="BN3762" s="55">
        <v>3</v>
      </c>
      <c r="BO3762" s="55">
        <v>3</v>
      </c>
      <c r="BQ3762" s="55" t="s">
        <v>2875</v>
      </c>
      <c r="CB3762" s="66">
        <v>4500</v>
      </c>
      <c r="CC3762" s="66">
        <v>6900</v>
      </c>
      <c r="CG3762" s="65" t="s">
        <v>3333</v>
      </c>
      <c r="GP3762" s="292" t="s">
        <v>7494</v>
      </c>
    </row>
    <row r="3763" spans="1:198" x14ac:dyDescent="0.25">
      <c r="A3763" s="55">
        <v>3762</v>
      </c>
      <c r="B3763" s="12" t="s">
        <v>7067</v>
      </c>
      <c r="C3763" s="155">
        <v>170</v>
      </c>
      <c r="D3763" s="55" t="s">
        <v>3331</v>
      </c>
      <c r="E3763" s="90" t="s">
        <v>3325</v>
      </c>
      <c r="G3763" s="55" t="s">
        <v>3326</v>
      </c>
      <c r="H3763" s="55">
        <v>2006</v>
      </c>
      <c r="I3763" s="55">
        <v>2003</v>
      </c>
      <c r="J3763" s="55" t="s">
        <v>282</v>
      </c>
      <c r="K3763" s="55" t="s">
        <v>3327</v>
      </c>
      <c r="L3763" s="55" t="s">
        <v>2812</v>
      </c>
      <c r="M3763" s="90">
        <f>6+22/60</f>
        <v>6.3666666666666663</v>
      </c>
      <c r="N3763" s="90">
        <f>1+13/60</f>
        <v>1.2166666666666668</v>
      </c>
      <c r="O3763" s="90">
        <v>50</v>
      </c>
      <c r="S3763" s="90">
        <v>950</v>
      </c>
      <c r="U3763" s="55" t="s">
        <v>1805</v>
      </c>
      <c r="V3763" s="55" t="s">
        <v>1805</v>
      </c>
      <c r="Y3763" s="55" t="s">
        <v>1954</v>
      </c>
      <c r="Z3763" s="55" t="s">
        <v>1349</v>
      </c>
      <c r="AA3763" s="90" t="s">
        <v>1677</v>
      </c>
      <c r="AI3763" s="168">
        <f>(5.2+6.8)/2</f>
        <v>6</v>
      </c>
      <c r="AJ3763" s="90">
        <v>0.8</v>
      </c>
      <c r="AN3763" s="185" t="s">
        <v>3329</v>
      </c>
      <c r="AO3763" s="185" t="s">
        <v>5150</v>
      </c>
      <c r="AQ3763" s="55" t="s">
        <v>1547</v>
      </c>
      <c r="AR3763" s="55" t="s">
        <v>1607</v>
      </c>
      <c r="AS3763" s="55" t="s">
        <v>132</v>
      </c>
      <c r="AU3763" s="181" t="s">
        <v>7494</v>
      </c>
      <c r="AV3763" s="185" t="s">
        <v>176</v>
      </c>
      <c r="AX3763" s="185" t="s">
        <v>176</v>
      </c>
      <c r="BK3763" s="55" t="s">
        <v>6333</v>
      </c>
      <c r="BM3763" s="192" t="s">
        <v>160</v>
      </c>
      <c r="BN3763" s="55">
        <v>3</v>
      </c>
      <c r="BO3763" s="55">
        <v>3</v>
      </c>
      <c r="BQ3763" s="55" t="s">
        <v>2875</v>
      </c>
      <c r="CB3763" s="66">
        <v>5700</v>
      </c>
      <c r="CC3763" s="66">
        <v>6800</v>
      </c>
      <c r="CG3763" s="65" t="s">
        <v>3333</v>
      </c>
      <c r="GP3763" s="292" t="s">
        <v>7494</v>
      </c>
    </row>
    <row r="3764" spans="1:198" x14ac:dyDescent="0.25">
      <c r="A3764" s="55">
        <v>3763</v>
      </c>
      <c r="B3764" s="12" t="s">
        <v>7067</v>
      </c>
      <c r="C3764" s="155">
        <v>170</v>
      </c>
      <c r="D3764" s="55" t="s">
        <v>3331</v>
      </c>
      <c r="E3764" s="90" t="s">
        <v>3325</v>
      </c>
      <c r="G3764" s="55" t="s">
        <v>3326</v>
      </c>
      <c r="H3764" s="55">
        <v>2006</v>
      </c>
      <c r="I3764" s="55">
        <v>2003</v>
      </c>
      <c r="J3764" s="55" t="s">
        <v>282</v>
      </c>
      <c r="K3764" s="55" t="s">
        <v>3327</v>
      </c>
      <c r="L3764" s="55" t="s">
        <v>2812</v>
      </c>
      <c r="M3764" s="90">
        <f>6+22/60</f>
        <v>6.3666666666666663</v>
      </c>
      <c r="N3764" s="90">
        <f>1+13/60</f>
        <v>1.2166666666666668</v>
      </c>
      <c r="O3764" s="90">
        <v>50</v>
      </c>
      <c r="S3764" s="90">
        <v>950</v>
      </c>
      <c r="U3764" s="55" t="s">
        <v>1805</v>
      </c>
      <c r="V3764" s="55" t="s">
        <v>1805</v>
      </c>
      <c r="Y3764" s="55" t="s">
        <v>1954</v>
      </c>
      <c r="Z3764" s="55" t="s">
        <v>1349</v>
      </c>
      <c r="AA3764" s="90" t="s">
        <v>1677</v>
      </c>
      <c r="AI3764" s="168">
        <f>(5.2+6.8)/2</f>
        <v>6</v>
      </c>
      <c r="AJ3764" s="90">
        <v>0.8</v>
      </c>
      <c r="AN3764" s="185" t="s">
        <v>3329</v>
      </c>
      <c r="AO3764" s="185" t="s">
        <v>5150</v>
      </c>
      <c r="AQ3764" s="55" t="s">
        <v>1547</v>
      </c>
      <c r="AR3764" s="55" t="s">
        <v>1607</v>
      </c>
      <c r="AS3764" s="55" t="s">
        <v>132</v>
      </c>
      <c r="AU3764" s="181" t="s">
        <v>7494</v>
      </c>
      <c r="AV3764" s="185" t="s">
        <v>176</v>
      </c>
      <c r="AX3764" s="185" t="s">
        <v>176</v>
      </c>
      <c r="BK3764" s="55" t="s">
        <v>6333</v>
      </c>
      <c r="BM3764" s="192" t="s">
        <v>160</v>
      </c>
      <c r="BN3764" s="55">
        <v>3</v>
      </c>
      <c r="BO3764" s="55">
        <v>3</v>
      </c>
      <c r="BQ3764" s="55" t="s">
        <v>2875</v>
      </c>
      <c r="CB3764" s="66">
        <v>5600</v>
      </c>
      <c r="CC3764" s="66">
        <v>7000</v>
      </c>
      <c r="CG3764" s="65" t="s">
        <v>3333</v>
      </c>
      <c r="GP3764" s="292" t="s">
        <v>7494</v>
      </c>
    </row>
    <row r="3765" spans="1:198" x14ac:dyDescent="0.25">
      <c r="A3765" s="55">
        <v>3764</v>
      </c>
      <c r="B3765" s="12" t="s">
        <v>7067</v>
      </c>
      <c r="C3765" s="155">
        <v>170</v>
      </c>
      <c r="D3765" s="55" t="s">
        <v>3331</v>
      </c>
      <c r="E3765" s="90" t="s">
        <v>3325</v>
      </c>
      <c r="G3765" s="55" t="s">
        <v>3326</v>
      </c>
      <c r="H3765" s="55">
        <v>2006</v>
      </c>
      <c r="I3765" s="55">
        <v>2003</v>
      </c>
      <c r="J3765" s="55" t="s">
        <v>282</v>
      </c>
      <c r="K3765" s="55" t="s">
        <v>3327</v>
      </c>
      <c r="L3765" s="55" t="s">
        <v>2812</v>
      </c>
      <c r="M3765" s="90">
        <f>6+22/60</f>
        <v>6.3666666666666663</v>
      </c>
      <c r="N3765" s="90">
        <f>1+13/60</f>
        <v>1.2166666666666668</v>
      </c>
      <c r="O3765" s="90">
        <v>50</v>
      </c>
      <c r="S3765" s="90">
        <v>950</v>
      </c>
      <c r="U3765" s="55" t="s">
        <v>1805</v>
      </c>
      <c r="V3765" s="55" t="s">
        <v>1805</v>
      </c>
      <c r="Y3765" s="55" t="s">
        <v>1954</v>
      </c>
      <c r="Z3765" s="55" t="s">
        <v>1349</v>
      </c>
      <c r="AA3765" s="90" t="s">
        <v>1677</v>
      </c>
      <c r="AI3765" s="168">
        <f>(5.2+6.8)/2</f>
        <v>6</v>
      </c>
      <c r="AJ3765" s="90">
        <v>0.8</v>
      </c>
      <c r="AN3765" s="185" t="s">
        <v>3329</v>
      </c>
      <c r="AO3765" s="185" t="s">
        <v>5150</v>
      </c>
      <c r="AQ3765" s="55" t="s">
        <v>1547</v>
      </c>
      <c r="AR3765" s="55" t="s">
        <v>1607</v>
      </c>
      <c r="AS3765" s="55" t="s">
        <v>132</v>
      </c>
      <c r="AU3765" s="181" t="s">
        <v>7494</v>
      </c>
      <c r="AV3765" s="185" t="s">
        <v>176</v>
      </c>
      <c r="AX3765" s="185" t="s">
        <v>176</v>
      </c>
      <c r="BK3765" s="55" t="s">
        <v>6333</v>
      </c>
      <c r="BM3765" s="192" t="s">
        <v>160</v>
      </c>
      <c r="BN3765" s="55">
        <v>3</v>
      </c>
      <c r="BO3765" s="55">
        <v>3</v>
      </c>
      <c r="BQ3765" s="55" t="s">
        <v>2875</v>
      </c>
      <c r="CB3765" s="66">
        <v>5900</v>
      </c>
      <c r="CC3765" s="66">
        <v>7000</v>
      </c>
      <c r="CG3765" s="65" t="s">
        <v>3333</v>
      </c>
      <c r="GP3765" s="292" t="s">
        <v>7494</v>
      </c>
    </row>
    <row r="3766" spans="1:198" x14ac:dyDescent="0.25">
      <c r="A3766" s="55">
        <v>3765</v>
      </c>
      <c r="B3766" s="12" t="s">
        <v>7067</v>
      </c>
      <c r="C3766" s="155">
        <v>170</v>
      </c>
      <c r="D3766" s="55" t="s">
        <v>3331</v>
      </c>
      <c r="E3766" s="90" t="s">
        <v>3325</v>
      </c>
      <c r="G3766" s="55" t="s">
        <v>3326</v>
      </c>
      <c r="H3766" s="55">
        <v>2006</v>
      </c>
      <c r="I3766" s="55">
        <v>2003</v>
      </c>
      <c r="J3766" s="55" t="s">
        <v>282</v>
      </c>
      <c r="K3766" s="55" t="s">
        <v>3327</v>
      </c>
      <c r="L3766" s="55" t="s">
        <v>2812</v>
      </c>
      <c r="M3766" s="90">
        <f>6+22/60</f>
        <v>6.3666666666666663</v>
      </c>
      <c r="N3766" s="90">
        <f>1+13/60</f>
        <v>1.2166666666666668</v>
      </c>
      <c r="O3766" s="90">
        <v>50</v>
      </c>
      <c r="S3766" s="90">
        <v>950</v>
      </c>
      <c r="U3766" s="55" t="s">
        <v>1805</v>
      </c>
      <c r="V3766" s="55" t="s">
        <v>1805</v>
      </c>
      <c r="Y3766" s="55" t="s">
        <v>1954</v>
      </c>
      <c r="Z3766" s="55" t="s">
        <v>1349</v>
      </c>
      <c r="AA3766" s="90" t="s">
        <v>1677</v>
      </c>
      <c r="AI3766" s="168">
        <f>(5.2+6.8)/2</f>
        <v>6</v>
      </c>
      <c r="AJ3766" s="90">
        <v>0.8</v>
      </c>
      <c r="AN3766" s="185" t="s">
        <v>3329</v>
      </c>
      <c r="AO3766" s="185" t="s">
        <v>5150</v>
      </c>
      <c r="AQ3766" s="55" t="s">
        <v>1547</v>
      </c>
      <c r="AR3766" s="55" t="s">
        <v>1607</v>
      </c>
      <c r="AS3766" s="55" t="s">
        <v>132</v>
      </c>
      <c r="AU3766" s="181" t="s">
        <v>7494</v>
      </c>
      <c r="AV3766" s="185" t="s">
        <v>176</v>
      </c>
      <c r="AX3766" s="185" t="s">
        <v>176</v>
      </c>
      <c r="BK3766" s="55" t="s">
        <v>6333</v>
      </c>
      <c r="BM3766" s="192" t="s">
        <v>160</v>
      </c>
      <c r="BN3766" s="55">
        <v>3</v>
      </c>
      <c r="BO3766" s="55">
        <v>3</v>
      </c>
      <c r="BQ3766" s="55" t="s">
        <v>2875</v>
      </c>
      <c r="CB3766" s="66">
        <v>5400</v>
      </c>
      <c r="CC3766" s="66">
        <v>6900</v>
      </c>
      <c r="CG3766" s="65" t="s">
        <v>3333</v>
      </c>
      <c r="GP3766" s="292" t="s">
        <v>7494</v>
      </c>
    </row>
    <row r="3767" spans="1:198" x14ac:dyDescent="0.25">
      <c r="A3767" s="55">
        <v>3766</v>
      </c>
      <c r="B3767" s="12" t="s">
        <v>7067</v>
      </c>
      <c r="C3767" s="155">
        <v>170</v>
      </c>
      <c r="D3767" s="55" t="s">
        <v>3330</v>
      </c>
      <c r="E3767" s="90" t="s">
        <v>3325</v>
      </c>
      <c r="G3767" s="55" t="s">
        <v>3326</v>
      </c>
      <c r="H3767" s="55">
        <v>2006</v>
      </c>
      <c r="I3767" s="55">
        <v>2002</v>
      </c>
      <c r="J3767" s="55" t="s">
        <v>282</v>
      </c>
      <c r="K3767" s="55" t="s">
        <v>3327</v>
      </c>
      <c r="L3767" s="55" t="s">
        <v>2812</v>
      </c>
      <c r="M3767" s="90">
        <f>6+22/60</f>
        <v>6.3666666666666663</v>
      </c>
      <c r="N3767" s="90">
        <f>1+13/60</f>
        <v>1.2166666666666668</v>
      </c>
      <c r="O3767" s="90">
        <v>50</v>
      </c>
      <c r="S3767" s="90">
        <v>950</v>
      </c>
      <c r="U3767" s="55" t="s">
        <v>1935</v>
      </c>
      <c r="V3767" s="55" t="s">
        <v>1805</v>
      </c>
      <c r="Y3767" s="55" t="s">
        <v>1954</v>
      </c>
      <c r="Z3767" s="55" t="s">
        <v>1349</v>
      </c>
      <c r="AA3767" s="90" t="s">
        <v>1677</v>
      </c>
      <c r="AI3767" s="168">
        <f>(5.2+6.8)/2</f>
        <v>6</v>
      </c>
      <c r="AJ3767" s="90">
        <v>0.8</v>
      </c>
      <c r="AN3767" s="185" t="s">
        <v>3328</v>
      </c>
      <c r="AO3767" s="185" t="s">
        <v>5150</v>
      </c>
      <c r="AQ3767" s="55" t="s">
        <v>553</v>
      </c>
      <c r="AR3767" s="55" t="s">
        <v>1607</v>
      </c>
      <c r="AS3767" s="55" t="s">
        <v>132</v>
      </c>
      <c r="AU3767" s="181" t="s">
        <v>7494</v>
      </c>
      <c r="AV3767" s="185" t="s">
        <v>176</v>
      </c>
      <c r="AX3767" s="185" t="s">
        <v>176</v>
      </c>
      <c r="BK3767" s="55" t="s">
        <v>6333</v>
      </c>
      <c r="BM3767" s="192" t="s">
        <v>160</v>
      </c>
      <c r="BN3767" s="55">
        <v>3</v>
      </c>
      <c r="BO3767" s="55">
        <v>3</v>
      </c>
      <c r="BQ3767" s="55" t="s">
        <v>2875</v>
      </c>
      <c r="CB3767" s="66">
        <v>6100</v>
      </c>
      <c r="CC3767" s="66">
        <v>6300</v>
      </c>
      <c r="CG3767" s="65" t="s">
        <v>3332</v>
      </c>
      <c r="GP3767" s="292" t="s">
        <v>7494</v>
      </c>
    </row>
    <row r="3768" spans="1:198" x14ac:dyDescent="0.25">
      <c r="A3768" s="55">
        <v>3767</v>
      </c>
      <c r="B3768" s="12" t="s">
        <v>7067</v>
      </c>
      <c r="C3768" s="155">
        <v>170</v>
      </c>
      <c r="D3768" s="55" t="s">
        <v>3330</v>
      </c>
      <c r="E3768" s="90" t="s">
        <v>3325</v>
      </c>
      <c r="G3768" s="55" t="s">
        <v>3326</v>
      </c>
      <c r="H3768" s="55">
        <v>2006</v>
      </c>
      <c r="I3768" s="55">
        <v>2002</v>
      </c>
      <c r="J3768" s="55" t="s">
        <v>282</v>
      </c>
      <c r="K3768" s="55" t="s">
        <v>3327</v>
      </c>
      <c r="L3768" s="55" t="s">
        <v>2812</v>
      </c>
      <c r="M3768" s="90">
        <f>6+22/60</f>
        <v>6.3666666666666663</v>
      </c>
      <c r="N3768" s="90">
        <f>1+13/60</f>
        <v>1.2166666666666668</v>
      </c>
      <c r="O3768" s="90">
        <v>50</v>
      </c>
      <c r="S3768" s="90">
        <v>950</v>
      </c>
      <c r="U3768" s="55" t="s">
        <v>1935</v>
      </c>
      <c r="V3768" s="55" t="s">
        <v>1805</v>
      </c>
      <c r="Y3768" s="55" t="s">
        <v>1954</v>
      </c>
      <c r="Z3768" s="55" t="s">
        <v>1349</v>
      </c>
      <c r="AA3768" s="90" t="s">
        <v>1677</v>
      </c>
      <c r="AI3768" s="168">
        <f>(5.2+6.8)/2</f>
        <v>6</v>
      </c>
      <c r="AJ3768" s="90">
        <v>0.8</v>
      </c>
      <c r="AN3768" s="185" t="s">
        <v>3328</v>
      </c>
      <c r="AO3768" s="185" t="s">
        <v>5150</v>
      </c>
      <c r="AQ3768" s="55" t="s">
        <v>553</v>
      </c>
      <c r="AR3768" s="55" t="s">
        <v>1607</v>
      </c>
      <c r="AS3768" s="55" t="s">
        <v>132</v>
      </c>
      <c r="AU3768" s="181" t="s">
        <v>7494</v>
      </c>
      <c r="AV3768" s="185" t="s">
        <v>176</v>
      </c>
      <c r="AX3768" s="185" t="s">
        <v>176</v>
      </c>
      <c r="BK3768" s="55" t="s">
        <v>6333</v>
      </c>
      <c r="BM3768" s="192" t="s">
        <v>160</v>
      </c>
      <c r="BN3768" s="55">
        <v>3</v>
      </c>
      <c r="BO3768" s="55">
        <v>3</v>
      </c>
      <c r="BQ3768" s="55" t="s">
        <v>2875</v>
      </c>
      <c r="CB3768" s="66">
        <v>6300</v>
      </c>
      <c r="CC3768" s="66">
        <v>6400</v>
      </c>
      <c r="CG3768" s="65" t="s">
        <v>3332</v>
      </c>
      <c r="GP3768" s="292" t="s">
        <v>7494</v>
      </c>
    </row>
    <row r="3769" spans="1:198" x14ac:dyDescent="0.25">
      <c r="A3769" s="55">
        <v>3768</v>
      </c>
      <c r="B3769" s="12" t="s">
        <v>7067</v>
      </c>
      <c r="C3769" s="155">
        <v>170</v>
      </c>
      <c r="D3769" s="55" t="s">
        <v>3330</v>
      </c>
      <c r="E3769" s="90" t="s">
        <v>3325</v>
      </c>
      <c r="G3769" s="55" t="s">
        <v>3326</v>
      </c>
      <c r="H3769" s="55">
        <v>2006</v>
      </c>
      <c r="I3769" s="55">
        <v>2002</v>
      </c>
      <c r="J3769" s="55" t="s">
        <v>282</v>
      </c>
      <c r="K3769" s="55" t="s">
        <v>3327</v>
      </c>
      <c r="L3769" s="55" t="s">
        <v>2812</v>
      </c>
      <c r="M3769" s="90">
        <f>6+22/60</f>
        <v>6.3666666666666663</v>
      </c>
      <c r="N3769" s="90">
        <f>1+13/60</f>
        <v>1.2166666666666668</v>
      </c>
      <c r="O3769" s="90">
        <v>50</v>
      </c>
      <c r="S3769" s="90">
        <v>950</v>
      </c>
      <c r="U3769" s="55" t="s">
        <v>1935</v>
      </c>
      <c r="V3769" s="55" t="s">
        <v>1805</v>
      </c>
      <c r="Y3769" s="55" t="s">
        <v>1954</v>
      </c>
      <c r="Z3769" s="55" t="s">
        <v>1349</v>
      </c>
      <c r="AA3769" s="90" t="s">
        <v>1677</v>
      </c>
      <c r="AI3769" s="168">
        <f>(5.2+6.8)/2</f>
        <v>6</v>
      </c>
      <c r="AJ3769" s="90">
        <v>0.8</v>
      </c>
      <c r="AN3769" s="185" t="s">
        <v>3328</v>
      </c>
      <c r="AO3769" s="185" t="s">
        <v>5150</v>
      </c>
      <c r="AQ3769" s="55" t="s">
        <v>553</v>
      </c>
      <c r="AR3769" s="55" t="s">
        <v>1607</v>
      </c>
      <c r="AS3769" s="55" t="s">
        <v>132</v>
      </c>
      <c r="AU3769" s="181" t="s">
        <v>7494</v>
      </c>
      <c r="AV3769" s="185" t="s">
        <v>176</v>
      </c>
      <c r="AX3769" s="185" t="s">
        <v>176</v>
      </c>
      <c r="BK3769" s="55" t="s">
        <v>6333</v>
      </c>
      <c r="BM3769" s="192" t="s">
        <v>160</v>
      </c>
      <c r="BN3769" s="55">
        <v>3</v>
      </c>
      <c r="BO3769" s="55">
        <v>3</v>
      </c>
      <c r="BQ3769" s="55" t="s">
        <v>2875</v>
      </c>
      <c r="CB3769" s="66">
        <v>6300</v>
      </c>
      <c r="CC3769" s="66">
        <v>6300</v>
      </c>
      <c r="CG3769" s="65" t="s">
        <v>3332</v>
      </c>
      <c r="GP3769" s="292" t="s">
        <v>7494</v>
      </c>
    </row>
    <row r="3770" spans="1:198" x14ac:dyDescent="0.25">
      <c r="A3770" s="55">
        <v>3769</v>
      </c>
      <c r="B3770" s="12" t="s">
        <v>7067</v>
      </c>
      <c r="C3770" s="155">
        <v>170</v>
      </c>
      <c r="D3770" s="55" t="s">
        <v>3330</v>
      </c>
      <c r="E3770" s="90" t="s">
        <v>3325</v>
      </c>
      <c r="G3770" s="55" t="s">
        <v>3326</v>
      </c>
      <c r="H3770" s="55">
        <v>2006</v>
      </c>
      <c r="I3770" s="55">
        <v>2002</v>
      </c>
      <c r="J3770" s="55" t="s">
        <v>282</v>
      </c>
      <c r="K3770" s="55" t="s">
        <v>3327</v>
      </c>
      <c r="L3770" s="55" t="s">
        <v>2812</v>
      </c>
      <c r="M3770" s="90">
        <f>6+22/60</f>
        <v>6.3666666666666663</v>
      </c>
      <c r="N3770" s="90">
        <f>1+13/60</f>
        <v>1.2166666666666668</v>
      </c>
      <c r="O3770" s="90">
        <v>50</v>
      </c>
      <c r="S3770" s="90">
        <v>950</v>
      </c>
      <c r="U3770" s="55" t="s">
        <v>1935</v>
      </c>
      <c r="V3770" s="55" t="s">
        <v>1805</v>
      </c>
      <c r="Y3770" s="55" t="s">
        <v>1954</v>
      </c>
      <c r="Z3770" s="55" t="s">
        <v>1349</v>
      </c>
      <c r="AA3770" s="90" t="s">
        <v>1677</v>
      </c>
      <c r="AI3770" s="168">
        <f>(5.2+6.8)/2</f>
        <v>6</v>
      </c>
      <c r="AJ3770" s="90">
        <v>0.8</v>
      </c>
      <c r="AN3770" s="185" t="s">
        <v>3328</v>
      </c>
      <c r="AO3770" s="185" t="s">
        <v>5150</v>
      </c>
      <c r="AQ3770" s="55" t="s">
        <v>553</v>
      </c>
      <c r="AR3770" s="55" t="s">
        <v>1607</v>
      </c>
      <c r="AS3770" s="55" t="s">
        <v>132</v>
      </c>
      <c r="AU3770" s="181" t="s">
        <v>7494</v>
      </c>
      <c r="AV3770" s="185" t="s">
        <v>176</v>
      </c>
      <c r="AX3770" s="185" t="s">
        <v>176</v>
      </c>
      <c r="BK3770" s="55" t="s">
        <v>6333</v>
      </c>
      <c r="BM3770" s="192" t="s">
        <v>160</v>
      </c>
      <c r="BN3770" s="55">
        <v>3</v>
      </c>
      <c r="BO3770" s="55">
        <v>3</v>
      </c>
      <c r="BQ3770" s="55" t="s">
        <v>2875</v>
      </c>
      <c r="CB3770" s="66">
        <v>6500</v>
      </c>
      <c r="CC3770" s="66">
        <v>6200</v>
      </c>
      <c r="CG3770" s="65" t="s">
        <v>3332</v>
      </c>
      <c r="GP3770" s="292" t="s">
        <v>7494</v>
      </c>
    </row>
    <row r="3771" spans="1:198" x14ac:dyDescent="0.25">
      <c r="A3771" s="55">
        <v>3770</v>
      </c>
      <c r="B3771" s="12" t="s">
        <v>7067</v>
      </c>
      <c r="C3771" s="155">
        <v>170</v>
      </c>
      <c r="D3771" s="55" t="s">
        <v>3330</v>
      </c>
      <c r="E3771" s="90" t="s">
        <v>3325</v>
      </c>
      <c r="G3771" s="55" t="s">
        <v>3326</v>
      </c>
      <c r="H3771" s="55">
        <v>2006</v>
      </c>
      <c r="I3771" s="55">
        <v>2002</v>
      </c>
      <c r="J3771" s="55" t="s">
        <v>282</v>
      </c>
      <c r="K3771" s="55" t="s">
        <v>3327</v>
      </c>
      <c r="L3771" s="55" t="s">
        <v>2812</v>
      </c>
      <c r="M3771" s="90">
        <f>6+22/60</f>
        <v>6.3666666666666663</v>
      </c>
      <c r="N3771" s="90">
        <f>1+13/60</f>
        <v>1.2166666666666668</v>
      </c>
      <c r="O3771" s="90">
        <v>50</v>
      </c>
      <c r="S3771" s="90">
        <v>950</v>
      </c>
      <c r="U3771" s="55" t="s">
        <v>1935</v>
      </c>
      <c r="V3771" s="55" t="s">
        <v>1805</v>
      </c>
      <c r="Y3771" s="55" t="s">
        <v>1954</v>
      </c>
      <c r="Z3771" s="55" t="s">
        <v>1349</v>
      </c>
      <c r="AA3771" s="90" t="s">
        <v>1677</v>
      </c>
      <c r="AI3771" s="168">
        <f>(5.2+6.8)/2</f>
        <v>6</v>
      </c>
      <c r="AJ3771" s="90">
        <v>0.8</v>
      </c>
      <c r="AN3771" s="185" t="s">
        <v>3328</v>
      </c>
      <c r="AO3771" s="185" t="s">
        <v>5150</v>
      </c>
      <c r="AQ3771" s="55" t="s">
        <v>553</v>
      </c>
      <c r="AR3771" s="55" t="s">
        <v>1607</v>
      </c>
      <c r="AS3771" s="55" t="s">
        <v>132</v>
      </c>
      <c r="AU3771" s="181" t="s">
        <v>7494</v>
      </c>
      <c r="AV3771" s="185" t="s">
        <v>176</v>
      </c>
      <c r="AX3771" s="185" t="s">
        <v>176</v>
      </c>
      <c r="BK3771" s="55" t="s">
        <v>6333</v>
      </c>
      <c r="BM3771" s="192" t="s">
        <v>160</v>
      </c>
      <c r="BN3771" s="55">
        <v>3</v>
      </c>
      <c r="BO3771" s="55">
        <v>3</v>
      </c>
      <c r="BQ3771" s="55" t="s">
        <v>2875</v>
      </c>
      <c r="CB3771" s="66">
        <v>6500</v>
      </c>
      <c r="CC3771" s="66">
        <v>6300</v>
      </c>
      <c r="CG3771" s="65" t="s">
        <v>3332</v>
      </c>
      <c r="GP3771" s="292" t="s">
        <v>7494</v>
      </c>
    </row>
    <row r="3772" spans="1:198" x14ac:dyDescent="0.25">
      <c r="A3772" s="55">
        <v>3771</v>
      </c>
      <c r="B3772" s="12" t="s">
        <v>7067</v>
      </c>
      <c r="C3772" s="155">
        <v>170</v>
      </c>
      <c r="D3772" s="55" t="s">
        <v>3330</v>
      </c>
      <c r="E3772" s="90" t="s">
        <v>3325</v>
      </c>
      <c r="G3772" s="55" t="s">
        <v>3326</v>
      </c>
      <c r="H3772" s="55">
        <v>2006</v>
      </c>
      <c r="I3772" s="55">
        <v>2003</v>
      </c>
      <c r="J3772" s="55" t="s">
        <v>282</v>
      </c>
      <c r="K3772" s="55" t="s">
        <v>3327</v>
      </c>
      <c r="L3772" s="55" t="s">
        <v>2812</v>
      </c>
      <c r="M3772" s="90">
        <f>6+22/60</f>
        <v>6.3666666666666663</v>
      </c>
      <c r="N3772" s="90">
        <f>1+13/60</f>
        <v>1.2166666666666668</v>
      </c>
      <c r="O3772" s="90">
        <v>50</v>
      </c>
      <c r="S3772" s="90">
        <v>950</v>
      </c>
      <c r="U3772" s="55" t="s">
        <v>1805</v>
      </c>
      <c r="V3772" s="55" t="s">
        <v>1805</v>
      </c>
      <c r="Y3772" s="55" t="s">
        <v>1954</v>
      </c>
      <c r="Z3772" s="55" t="s">
        <v>1349</v>
      </c>
      <c r="AA3772" s="90" t="s">
        <v>1677</v>
      </c>
      <c r="AI3772" s="168">
        <f>(5.2+6.8)/2</f>
        <v>6</v>
      </c>
      <c r="AJ3772" s="90">
        <v>0.8</v>
      </c>
      <c r="AN3772" s="185" t="s">
        <v>3328</v>
      </c>
      <c r="AO3772" s="185" t="s">
        <v>5150</v>
      </c>
      <c r="AQ3772" s="55" t="s">
        <v>553</v>
      </c>
      <c r="AR3772" s="55" t="s">
        <v>1607</v>
      </c>
      <c r="AS3772" s="55" t="s">
        <v>132</v>
      </c>
      <c r="AU3772" s="181" t="s">
        <v>7494</v>
      </c>
      <c r="AV3772" s="185" t="s">
        <v>176</v>
      </c>
      <c r="AX3772" s="185" t="s">
        <v>176</v>
      </c>
      <c r="BK3772" s="55" t="s">
        <v>6333</v>
      </c>
      <c r="BM3772" s="192" t="s">
        <v>160</v>
      </c>
      <c r="BN3772" s="55">
        <v>3</v>
      </c>
      <c r="BO3772" s="55">
        <v>3</v>
      </c>
      <c r="BQ3772" s="55" t="s">
        <v>2875</v>
      </c>
      <c r="CB3772" s="66">
        <v>4500</v>
      </c>
      <c r="CC3772" s="66">
        <v>6600</v>
      </c>
      <c r="CG3772" s="65" t="s">
        <v>3333</v>
      </c>
      <c r="GP3772" s="292" t="s">
        <v>7494</v>
      </c>
    </row>
    <row r="3773" spans="1:198" x14ac:dyDescent="0.25">
      <c r="A3773" s="55">
        <v>3772</v>
      </c>
      <c r="B3773" s="12" t="s">
        <v>7067</v>
      </c>
      <c r="C3773" s="155">
        <v>170</v>
      </c>
      <c r="D3773" s="55" t="s">
        <v>3330</v>
      </c>
      <c r="E3773" s="90" t="s">
        <v>3325</v>
      </c>
      <c r="G3773" s="55" t="s">
        <v>3326</v>
      </c>
      <c r="H3773" s="55">
        <v>2006</v>
      </c>
      <c r="I3773" s="55">
        <v>2003</v>
      </c>
      <c r="J3773" s="55" t="s">
        <v>282</v>
      </c>
      <c r="K3773" s="55" t="s">
        <v>3327</v>
      </c>
      <c r="L3773" s="55" t="s">
        <v>2812</v>
      </c>
      <c r="M3773" s="90">
        <f>6+22/60</f>
        <v>6.3666666666666663</v>
      </c>
      <c r="N3773" s="90">
        <f>1+13/60</f>
        <v>1.2166666666666668</v>
      </c>
      <c r="O3773" s="90">
        <v>50</v>
      </c>
      <c r="S3773" s="90">
        <v>950</v>
      </c>
      <c r="U3773" s="55" t="s">
        <v>1805</v>
      </c>
      <c r="V3773" s="55" t="s">
        <v>1805</v>
      </c>
      <c r="Y3773" s="55" t="s">
        <v>1954</v>
      </c>
      <c r="Z3773" s="55" t="s">
        <v>1349</v>
      </c>
      <c r="AA3773" s="90" t="s">
        <v>1677</v>
      </c>
      <c r="AI3773" s="168">
        <f>(5.2+6.8)/2</f>
        <v>6</v>
      </c>
      <c r="AJ3773" s="90">
        <v>0.8</v>
      </c>
      <c r="AN3773" s="185" t="s">
        <v>3328</v>
      </c>
      <c r="AO3773" s="185" t="s">
        <v>5150</v>
      </c>
      <c r="AQ3773" s="55" t="s">
        <v>553</v>
      </c>
      <c r="AR3773" s="55" t="s">
        <v>1607</v>
      </c>
      <c r="AS3773" s="55" t="s">
        <v>132</v>
      </c>
      <c r="AU3773" s="181" t="s">
        <v>7494</v>
      </c>
      <c r="AV3773" s="185" t="s">
        <v>176</v>
      </c>
      <c r="AX3773" s="185" t="s">
        <v>176</v>
      </c>
      <c r="BK3773" s="55" t="s">
        <v>6333</v>
      </c>
      <c r="BM3773" s="192" t="s">
        <v>160</v>
      </c>
      <c r="BN3773" s="55">
        <v>3</v>
      </c>
      <c r="BO3773" s="55">
        <v>3</v>
      </c>
      <c r="BQ3773" s="55" t="s">
        <v>2875</v>
      </c>
      <c r="CB3773" s="66">
        <v>5700</v>
      </c>
      <c r="CC3773" s="66">
        <v>6700</v>
      </c>
      <c r="CG3773" s="65" t="s">
        <v>3333</v>
      </c>
      <c r="GP3773" s="292" t="s">
        <v>7494</v>
      </c>
    </row>
    <row r="3774" spans="1:198" x14ac:dyDescent="0.25">
      <c r="A3774" s="55">
        <v>3773</v>
      </c>
      <c r="B3774" s="12" t="s">
        <v>7067</v>
      </c>
      <c r="C3774" s="155">
        <v>170</v>
      </c>
      <c r="D3774" s="55" t="s">
        <v>3330</v>
      </c>
      <c r="E3774" s="90" t="s">
        <v>3325</v>
      </c>
      <c r="G3774" s="55" t="s">
        <v>3326</v>
      </c>
      <c r="H3774" s="55">
        <v>2006</v>
      </c>
      <c r="I3774" s="55">
        <v>2003</v>
      </c>
      <c r="J3774" s="55" t="s">
        <v>282</v>
      </c>
      <c r="K3774" s="55" t="s">
        <v>3327</v>
      </c>
      <c r="L3774" s="55" t="s">
        <v>2812</v>
      </c>
      <c r="M3774" s="90">
        <f>6+22/60</f>
        <v>6.3666666666666663</v>
      </c>
      <c r="N3774" s="90">
        <f>1+13/60</f>
        <v>1.2166666666666668</v>
      </c>
      <c r="O3774" s="90">
        <v>50</v>
      </c>
      <c r="S3774" s="90">
        <v>950</v>
      </c>
      <c r="U3774" s="55" t="s">
        <v>1805</v>
      </c>
      <c r="V3774" s="55" t="s">
        <v>1805</v>
      </c>
      <c r="Y3774" s="55" t="s">
        <v>1954</v>
      </c>
      <c r="Z3774" s="55" t="s">
        <v>1349</v>
      </c>
      <c r="AA3774" s="90" t="s">
        <v>1677</v>
      </c>
      <c r="AI3774" s="168">
        <f>(5.2+6.8)/2</f>
        <v>6</v>
      </c>
      <c r="AJ3774" s="90">
        <v>0.8</v>
      </c>
      <c r="AN3774" s="185" t="s">
        <v>3328</v>
      </c>
      <c r="AO3774" s="185" t="s">
        <v>5150</v>
      </c>
      <c r="AQ3774" s="55" t="s">
        <v>553</v>
      </c>
      <c r="AR3774" s="55" t="s">
        <v>1607</v>
      </c>
      <c r="AS3774" s="55" t="s">
        <v>132</v>
      </c>
      <c r="AU3774" s="181" t="s">
        <v>7494</v>
      </c>
      <c r="AV3774" s="185" t="s">
        <v>176</v>
      </c>
      <c r="AX3774" s="185" t="s">
        <v>176</v>
      </c>
      <c r="BK3774" s="55" t="s">
        <v>6333</v>
      </c>
      <c r="BM3774" s="192" t="s">
        <v>160</v>
      </c>
      <c r="BN3774" s="55">
        <v>3</v>
      </c>
      <c r="BO3774" s="55">
        <v>3</v>
      </c>
      <c r="BQ3774" s="55" t="s">
        <v>2875</v>
      </c>
      <c r="CB3774" s="66">
        <v>5600</v>
      </c>
      <c r="CC3774" s="66">
        <v>6600</v>
      </c>
      <c r="CG3774" s="65" t="s">
        <v>3333</v>
      </c>
      <c r="GP3774" s="292" t="s">
        <v>7494</v>
      </c>
    </row>
    <row r="3775" spans="1:198" x14ac:dyDescent="0.25">
      <c r="A3775" s="55">
        <v>3774</v>
      </c>
      <c r="B3775" s="12" t="s">
        <v>7067</v>
      </c>
      <c r="C3775" s="155">
        <v>170</v>
      </c>
      <c r="D3775" s="55" t="s">
        <v>3330</v>
      </c>
      <c r="E3775" s="90" t="s">
        <v>3325</v>
      </c>
      <c r="G3775" s="55" t="s">
        <v>3326</v>
      </c>
      <c r="H3775" s="55">
        <v>2006</v>
      </c>
      <c r="I3775" s="55">
        <v>2003</v>
      </c>
      <c r="J3775" s="55" t="s">
        <v>282</v>
      </c>
      <c r="K3775" s="55" t="s">
        <v>3327</v>
      </c>
      <c r="L3775" s="55" t="s">
        <v>2812</v>
      </c>
      <c r="M3775" s="90">
        <f>6+22/60</f>
        <v>6.3666666666666663</v>
      </c>
      <c r="N3775" s="90">
        <f>1+13/60</f>
        <v>1.2166666666666668</v>
      </c>
      <c r="O3775" s="90">
        <v>50</v>
      </c>
      <c r="S3775" s="90">
        <v>950</v>
      </c>
      <c r="U3775" s="55" t="s">
        <v>1805</v>
      </c>
      <c r="V3775" s="55" t="s">
        <v>1805</v>
      </c>
      <c r="Y3775" s="55" t="s">
        <v>1954</v>
      </c>
      <c r="Z3775" s="55" t="s">
        <v>1349</v>
      </c>
      <c r="AA3775" s="90" t="s">
        <v>1677</v>
      </c>
      <c r="AI3775" s="168">
        <f>(5.2+6.8)/2</f>
        <v>6</v>
      </c>
      <c r="AJ3775" s="90">
        <v>0.8</v>
      </c>
      <c r="AN3775" s="185" t="s">
        <v>3328</v>
      </c>
      <c r="AO3775" s="185" t="s">
        <v>5150</v>
      </c>
      <c r="AQ3775" s="55" t="s">
        <v>553</v>
      </c>
      <c r="AR3775" s="55" t="s">
        <v>1607</v>
      </c>
      <c r="AS3775" s="55" t="s">
        <v>132</v>
      </c>
      <c r="AU3775" s="181" t="s">
        <v>7494</v>
      </c>
      <c r="AV3775" s="185" t="s">
        <v>176</v>
      </c>
      <c r="AX3775" s="185" t="s">
        <v>176</v>
      </c>
      <c r="BK3775" s="55" t="s">
        <v>6333</v>
      </c>
      <c r="BM3775" s="192" t="s">
        <v>160</v>
      </c>
      <c r="BN3775" s="55">
        <v>3</v>
      </c>
      <c r="BO3775" s="55">
        <v>3</v>
      </c>
      <c r="BQ3775" s="55" t="s">
        <v>2875</v>
      </c>
      <c r="CB3775" s="66">
        <v>5900</v>
      </c>
      <c r="CC3775" s="66">
        <v>6700</v>
      </c>
      <c r="CG3775" s="65" t="s">
        <v>3333</v>
      </c>
      <c r="GP3775" s="292" t="s">
        <v>7494</v>
      </c>
    </row>
    <row r="3776" spans="1:198" x14ac:dyDescent="0.25">
      <c r="A3776" s="55">
        <v>3775</v>
      </c>
      <c r="B3776" s="12" t="s">
        <v>7067</v>
      </c>
      <c r="C3776" s="155">
        <v>170</v>
      </c>
      <c r="D3776" s="55" t="s">
        <v>3330</v>
      </c>
      <c r="E3776" s="90" t="s">
        <v>3325</v>
      </c>
      <c r="G3776" s="55" t="s">
        <v>3326</v>
      </c>
      <c r="H3776" s="55">
        <v>2006</v>
      </c>
      <c r="I3776" s="55">
        <v>2003</v>
      </c>
      <c r="J3776" s="55" t="s">
        <v>282</v>
      </c>
      <c r="K3776" s="55" t="s">
        <v>3327</v>
      </c>
      <c r="L3776" s="55" t="s">
        <v>2812</v>
      </c>
      <c r="M3776" s="90">
        <f>6+22/60</f>
        <v>6.3666666666666663</v>
      </c>
      <c r="N3776" s="90">
        <f>1+13/60</f>
        <v>1.2166666666666668</v>
      </c>
      <c r="O3776" s="90">
        <v>50</v>
      </c>
      <c r="S3776" s="90">
        <v>950</v>
      </c>
      <c r="U3776" s="55" t="s">
        <v>1805</v>
      </c>
      <c r="V3776" s="55" t="s">
        <v>1805</v>
      </c>
      <c r="Y3776" s="55" t="s">
        <v>1954</v>
      </c>
      <c r="Z3776" s="55" t="s">
        <v>1349</v>
      </c>
      <c r="AA3776" s="90" t="s">
        <v>1677</v>
      </c>
      <c r="AI3776" s="168">
        <f>(5.2+6.8)/2</f>
        <v>6</v>
      </c>
      <c r="AJ3776" s="90">
        <v>0.8</v>
      </c>
      <c r="AN3776" s="185" t="s">
        <v>3328</v>
      </c>
      <c r="AO3776" s="185" t="s">
        <v>5150</v>
      </c>
      <c r="AQ3776" s="55" t="s">
        <v>553</v>
      </c>
      <c r="AR3776" s="55" t="s">
        <v>1607</v>
      </c>
      <c r="AS3776" s="55" t="s">
        <v>132</v>
      </c>
      <c r="AU3776" s="181" t="s">
        <v>7494</v>
      </c>
      <c r="AV3776" s="185" t="s">
        <v>176</v>
      </c>
      <c r="AX3776" s="185" t="s">
        <v>176</v>
      </c>
      <c r="BK3776" s="55" t="s">
        <v>6333</v>
      </c>
      <c r="BM3776" s="192" t="s">
        <v>160</v>
      </c>
      <c r="BN3776" s="55">
        <v>3</v>
      </c>
      <c r="BO3776" s="55">
        <v>3</v>
      </c>
      <c r="BQ3776" s="55" t="s">
        <v>2875</v>
      </c>
      <c r="CB3776" s="66">
        <v>5400</v>
      </c>
      <c r="CC3776" s="66">
        <v>6600</v>
      </c>
      <c r="CG3776" s="65" t="s">
        <v>3333</v>
      </c>
      <c r="GP3776" s="292" t="s">
        <v>7494</v>
      </c>
    </row>
    <row r="3777" spans="1:198" x14ac:dyDescent="0.25">
      <c r="A3777" s="55">
        <v>3776</v>
      </c>
      <c r="B3777" s="12" t="s">
        <v>7067</v>
      </c>
      <c r="C3777" s="155">
        <v>170</v>
      </c>
      <c r="D3777" s="55" t="s">
        <v>3331</v>
      </c>
      <c r="E3777" s="90" t="s">
        <v>3325</v>
      </c>
      <c r="G3777" s="55" t="s">
        <v>3326</v>
      </c>
      <c r="H3777" s="55">
        <v>2006</v>
      </c>
      <c r="I3777" s="55">
        <v>2002</v>
      </c>
      <c r="J3777" s="55" t="s">
        <v>282</v>
      </c>
      <c r="K3777" s="55" t="s">
        <v>3327</v>
      </c>
      <c r="L3777" s="55" t="s">
        <v>2812</v>
      </c>
      <c r="M3777" s="90">
        <f>6+22/60</f>
        <v>6.3666666666666663</v>
      </c>
      <c r="N3777" s="90">
        <f>1+13/60</f>
        <v>1.2166666666666668</v>
      </c>
      <c r="O3777" s="90">
        <v>50</v>
      </c>
      <c r="S3777" s="90">
        <v>950</v>
      </c>
      <c r="U3777" s="55" t="s">
        <v>1935</v>
      </c>
      <c r="V3777" s="55" t="s">
        <v>1805</v>
      </c>
      <c r="Y3777" s="55" t="s">
        <v>1954</v>
      </c>
      <c r="Z3777" s="55" t="s">
        <v>1349</v>
      </c>
      <c r="AA3777" s="90" t="s">
        <v>1677</v>
      </c>
      <c r="AI3777" s="168">
        <f>(5.2+6.8)/2</f>
        <v>6</v>
      </c>
      <c r="AJ3777" s="90">
        <v>0.8</v>
      </c>
      <c r="AN3777" s="185" t="s">
        <v>3329</v>
      </c>
      <c r="AO3777" s="185" t="s">
        <v>5150</v>
      </c>
      <c r="AQ3777" s="55" t="s">
        <v>1547</v>
      </c>
      <c r="AR3777" s="55" t="s">
        <v>1607</v>
      </c>
      <c r="AS3777" s="55" t="s">
        <v>132</v>
      </c>
      <c r="AU3777" s="181" t="s">
        <v>7494</v>
      </c>
      <c r="AV3777" s="185" t="s">
        <v>176</v>
      </c>
      <c r="AX3777" s="185" t="s">
        <v>176</v>
      </c>
      <c r="BK3777" s="55" t="s">
        <v>6333</v>
      </c>
      <c r="BM3777" s="192" t="s">
        <v>160</v>
      </c>
      <c r="BN3777" s="55">
        <v>3</v>
      </c>
      <c r="BO3777" s="55">
        <v>3</v>
      </c>
      <c r="BQ3777" s="55" t="s">
        <v>2875</v>
      </c>
      <c r="CB3777" s="66">
        <v>6100</v>
      </c>
      <c r="CC3777" s="66">
        <v>6300</v>
      </c>
      <c r="CG3777" s="65" t="s">
        <v>3332</v>
      </c>
      <c r="GP3777" s="292" t="s">
        <v>7494</v>
      </c>
    </row>
    <row r="3778" spans="1:198" x14ac:dyDescent="0.25">
      <c r="A3778" s="55">
        <v>3777</v>
      </c>
      <c r="B3778" s="12" t="s">
        <v>7067</v>
      </c>
      <c r="C3778" s="155">
        <v>170</v>
      </c>
      <c r="D3778" s="55" t="s">
        <v>3331</v>
      </c>
      <c r="E3778" s="90" t="s">
        <v>3325</v>
      </c>
      <c r="G3778" s="55" t="s">
        <v>3326</v>
      </c>
      <c r="H3778" s="55">
        <v>2006</v>
      </c>
      <c r="I3778" s="55">
        <v>2002</v>
      </c>
      <c r="J3778" s="55" t="s">
        <v>282</v>
      </c>
      <c r="K3778" s="55" t="s">
        <v>3327</v>
      </c>
      <c r="L3778" s="55" t="s">
        <v>2812</v>
      </c>
      <c r="M3778" s="90">
        <f>6+22/60</f>
        <v>6.3666666666666663</v>
      </c>
      <c r="N3778" s="90">
        <f>1+13/60</f>
        <v>1.2166666666666668</v>
      </c>
      <c r="O3778" s="90">
        <v>50</v>
      </c>
      <c r="S3778" s="90">
        <v>950</v>
      </c>
      <c r="U3778" s="55" t="s">
        <v>1935</v>
      </c>
      <c r="V3778" s="55" t="s">
        <v>1805</v>
      </c>
      <c r="Y3778" s="55" t="s">
        <v>1954</v>
      </c>
      <c r="Z3778" s="55" t="s">
        <v>1349</v>
      </c>
      <c r="AA3778" s="90" t="s">
        <v>1677</v>
      </c>
      <c r="AI3778" s="168">
        <f>(5.2+6.8)/2</f>
        <v>6</v>
      </c>
      <c r="AJ3778" s="90">
        <v>0.8</v>
      </c>
      <c r="AN3778" s="185" t="s">
        <v>3329</v>
      </c>
      <c r="AO3778" s="185" t="s">
        <v>5150</v>
      </c>
      <c r="AQ3778" s="55" t="s">
        <v>1547</v>
      </c>
      <c r="AR3778" s="55" t="s">
        <v>1607</v>
      </c>
      <c r="AS3778" s="55" t="s">
        <v>132</v>
      </c>
      <c r="AU3778" s="181" t="s">
        <v>7494</v>
      </c>
      <c r="AV3778" s="185" t="s">
        <v>176</v>
      </c>
      <c r="AX3778" s="185" t="s">
        <v>176</v>
      </c>
      <c r="BK3778" s="55" t="s">
        <v>6333</v>
      </c>
      <c r="BM3778" s="192" t="s">
        <v>160</v>
      </c>
      <c r="BN3778" s="55">
        <v>3</v>
      </c>
      <c r="BO3778" s="55">
        <v>3</v>
      </c>
      <c r="BQ3778" s="55" t="s">
        <v>2875</v>
      </c>
      <c r="CB3778" s="66">
        <v>6300</v>
      </c>
      <c r="CC3778" s="66">
        <v>6400</v>
      </c>
      <c r="CG3778" s="65" t="s">
        <v>3332</v>
      </c>
      <c r="GP3778" s="292" t="s">
        <v>7494</v>
      </c>
    </row>
    <row r="3779" spans="1:198" x14ac:dyDescent="0.25">
      <c r="A3779" s="55">
        <v>3778</v>
      </c>
      <c r="B3779" s="12" t="s">
        <v>7067</v>
      </c>
      <c r="C3779" s="155">
        <v>170</v>
      </c>
      <c r="D3779" s="55" t="s">
        <v>3331</v>
      </c>
      <c r="E3779" s="90" t="s">
        <v>3325</v>
      </c>
      <c r="G3779" s="55" t="s">
        <v>3326</v>
      </c>
      <c r="H3779" s="55">
        <v>2006</v>
      </c>
      <c r="I3779" s="55">
        <v>2002</v>
      </c>
      <c r="J3779" s="55" t="s">
        <v>282</v>
      </c>
      <c r="K3779" s="55" t="s">
        <v>3327</v>
      </c>
      <c r="L3779" s="55" t="s">
        <v>2812</v>
      </c>
      <c r="M3779" s="90">
        <f>6+22/60</f>
        <v>6.3666666666666663</v>
      </c>
      <c r="N3779" s="90">
        <f>1+13/60</f>
        <v>1.2166666666666668</v>
      </c>
      <c r="O3779" s="90">
        <v>50</v>
      </c>
      <c r="S3779" s="90">
        <v>950</v>
      </c>
      <c r="U3779" s="55" t="s">
        <v>1935</v>
      </c>
      <c r="V3779" s="55" t="s">
        <v>1805</v>
      </c>
      <c r="Y3779" s="55" t="s">
        <v>1954</v>
      </c>
      <c r="Z3779" s="55" t="s">
        <v>1349</v>
      </c>
      <c r="AA3779" s="90" t="s">
        <v>1677</v>
      </c>
      <c r="AI3779" s="168">
        <f>(5.2+6.8)/2</f>
        <v>6</v>
      </c>
      <c r="AJ3779" s="90">
        <v>0.8</v>
      </c>
      <c r="AN3779" s="185" t="s">
        <v>3329</v>
      </c>
      <c r="AO3779" s="185" t="s">
        <v>5150</v>
      </c>
      <c r="AQ3779" s="55" t="s">
        <v>1547</v>
      </c>
      <c r="AR3779" s="55" t="s">
        <v>1607</v>
      </c>
      <c r="AS3779" s="55" t="s">
        <v>132</v>
      </c>
      <c r="AU3779" s="181" t="s">
        <v>7494</v>
      </c>
      <c r="AV3779" s="185" t="s">
        <v>176</v>
      </c>
      <c r="AX3779" s="185" t="s">
        <v>176</v>
      </c>
      <c r="BK3779" s="55" t="s">
        <v>6333</v>
      </c>
      <c r="BM3779" s="192" t="s">
        <v>160</v>
      </c>
      <c r="BN3779" s="55">
        <v>3</v>
      </c>
      <c r="BO3779" s="55">
        <v>3</v>
      </c>
      <c r="BQ3779" s="55" t="s">
        <v>2875</v>
      </c>
      <c r="CB3779" s="66">
        <v>6300</v>
      </c>
      <c r="CC3779" s="66">
        <v>6300</v>
      </c>
      <c r="CG3779" s="65" t="s">
        <v>3332</v>
      </c>
      <c r="GP3779" s="292" t="s">
        <v>7494</v>
      </c>
    </row>
    <row r="3780" spans="1:198" x14ac:dyDescent="0.25">
      <c r="A3780" s="55">
        <v>3779</v>
      </c>
      <c r="B3780" s="12" t="s">
        <v>7067</v>
      </c>
      <c r="C3780" s="155">
        <v>170</v>
      </c>
      <c r="D3780" s="55" t="s">
        <v>3331</v>
      </c>
      <c r="E3780" s="90" t="s">
        <v>3325</v>
      </c>
      <c r="G3780" s="55" t="s">
        <v>3326</v>
      </c>
      <c r="H3780" s="55">
        <v>2006</v>
      </c>
      <c r="I3780" s="55">
        <v>2002</v>
      </c>
      <c r="J3780" s="55" t="s">
        <v>282</v>
      </c>
      <c r="K3780" s="55" t="s">
        <v>3327</v>
      </c>
      <c r="L3780" s="55" t="s">
        <v>2812</v>
      </c>
      <c r="M3780" s="90">
        <f>6+22/60</f>
        <v>6.3666666666666663</v>
      </c>
      <c r="N3780" s="90">
        <f>1+13/60</f>
        <v>1.2166666666666668</v>
      </c>
      <c r="O3780" s="90">
        <v>50</v>
      </c>
      <c r="S3780" s="90">
        <v>950</v>
      </c>
      <c r="U3780" s="55" t="s">
        <v>1935</v>
      </c>
      <c r="V3780" s="55" t="s">
        <v>1805</v>
      </c>
      <c r="Y3780" s="55" t="s">
        <v>1954</v>
      </c>
      <c r="Z3780" s="55" t="s">
        <v>1349</v>
      </c>
      <c r="AA3780" s="90" t="s">
        <v>1677</v>
      </c>
      <c r="AI3780" s="168">
        <f>(5.2+6.8)/2</f>
        <v>6</v>
      </c>
      <c r="AJ3780" s="90">
        <v>0.8</v>
      </c>
      <c r="AN3780" s="185" t="s">
        <v>3329</v>
      </c>
      <c r="AO3780" s="185" t="s">
        <v>5150</v>
      </c>
      <c r="AQ3780" s="55" t="s">
        <v>1547</v>
      </c>
      <c r="AR3780" s="55" t="s">
        <v>1607</v>
      </c>
      <c r="AS3780" s="55" t="s">
        <v>132</v>
      </c>
      <c r="AU3780" s="181" t="s">
        <v>7494</v>
      </c>
      <c r="AV3780" s="185" t="s">
        <v>176</v>
      </c>
      <c r="AX3780" s="185" t="s">
        <v>176</v>
      </c>
      <c r="BK3780" s="55" t="s">
        <v>6333</v>
      </c>
      <c r="BM3780" s="192" t="s">
        <v>160</v>
      </c>
      <c r="BN3780" s="55">
        <v>3</v>
      </c>
      <c r="BO3780" s="55">
        <v>3</v>
      </c>
      <c r="BQ3780" s="55" t="s">
        <v>2875</v>
      </c>
      <c r="CB3780" s="66">
        <v>6500</v>
      </c>
      <c r="CC3780" s="66">
        <v>6200</v>
      </c>
      <c r="CG3780" s="65" t="s">
        <v>3332</v>
      </c>
      <c r="GP3780" s="292" t="s">
        <v>7494</v>
      </c>
    </row>
    <row r="3781" spans="1:198" x14ac:dyDescent="0.25">
      <c r="A3781" s="55">
        <v>3780</v>
      </c>
      <c r="B3781" s="12" t="s">
        <v>7067</v>
      </c>
      <c r="C3781" s="155">
        <v>170</v>
      </c>
      <c r="D3781" s="55" t="s">
        <v>3331</v>
      </c>
      <c r="E3781" s="90" t="s">
        <v>3325</v>
      </c>
      <c r="G3781" s="55" t="s">
        <v>3326</v>
      </c>
      <c r="H3781" s="55">
        <v>2006</v>
      </c>
      <c r="I3781" s="55">
        <v>2002</v>
      </c>
      <c r="J3781" s="55" t="s">
        <v>282</v>
      </c>
      <c r="K3781" s="55" t="s">
        <v>3327</v>
      </c>
      <c r="L3781" s="55" t="s">
        <v>2812</v>
      </c>
      <c r="M3781" s="90">
        <f>6+22/60</f>
        <v>6.3666666666666663</v>
      </c>
      <c r="N3781" s="90">
        <f>1+13/60</f>
        <v>1.2166666666666668</v>
      </c>
      <c r="O3781" s="90">
        <v>50</v>
      </c>
      <c r="S3781" s="90">
        <v>950</v>
      </c>
      <c r="U3781" s="55" t="s">
        <v>1935</v>
      </c>
      <c r="V3781" s="55" t="s">
        <v>1805</v>
      </c>
      <c r="Y3781" s="55" t="s">
        <v>1954</v>
      </c>
      <c r="Z3781" s="55" t="s">
        <v>1349</v>
      </c>
      <c r="AA3781" s="90" t="s">
        <v>1677</v>
      </c>
      <c r="AI3781" s="168">
        <f>(5.2+6.8)/2</f>
        <v>6</v>
      </c>
      <c r="AJ3781" s="90">
        <v>0.8</v>
      </c>
      <c r="AN3781" s="185" t="s">
        <v>3329</v>
      </c>
      <c r="AO3781" s="185" t="s">
        <v>5150</v>
      </c>
      <c r="AQ3781" s="55" t="s">
        <v>1547</v>
      </c>
      <c r="AR3781" s="55" t="s">
        <v>1607</v>
      </c>
      <c r="AS3781" s="55" t="s">
        <v>132</v>
      </c>
      <c r="AU3781" s="181" t="s">
        <v>7494</v>
      </c>
      <c r="AV3781" s="185" t="s">
        <v>176</v>
      </c>
      <c r="AX3781" s="185" t="s">
        <v>176</v>
      </c>
      <c r="BK3781" s="55" t="s">
        <v>6333</v>
      </c>
      <c r="BM3781" s="192" t="s">
        <v>160</v>
      </c>
      <c r="BN3781" s="55">
        <v>3</v>
      </c>
      <c r="BO3781" s="55">
        <v>3</v>
      </c>
      <c r="BQ3781" s="55" t="s">
        <v>2875</v>
      </c>
      <c r="CB3781" s="66">
        <v>6500</v>
      </c>
      <c r="CC3781" s="66">
        <v>6300</v>
      </c>
      <c r="CG3781" s="65" t="s">
        <v>3332</v>
      </c>
      <c r="GP3781" s="292" t="s">
        <v>7494</v>
      </c>
    </row>
    <row r="3782" spans="1:198" x14ac:dyDescent="0.25">
      <c r="A3782" s="55">
        <v>3781</v>
      </c>
      <c r="B3782" s="12" t="s">
        <v>7067</v>
      </c>
      <c r="C3782" s="155">
        <v>170</v>
      </c>
      <c r="D3782" s="55" t="s">
        <v>3331</v>
      </c>
      <c r="E3782" s="90" t="s">
        <v>3325</v>
      </c>
      <c r="G3782" s="55" t="s">
        <v>3326</v>
      </c>
      <c r="H3782" s="55">
        <v>2006</v>
      </c>
      <c r="I3782" s="55">
        <v>2003</v>
      </c>
      <c r="J3782" s="55" t="s">
        <v>282</v>
      </c>
      <c r="K3782" s="55" t="s">
        <v>3327</v>
      </c>
      <c r="L3782" s="55" t="s">
        <v>2812</v>
      </c>
      <c r="M3782" s="90">
        <f>6+22/60</f>
        <v>6.3666666666666663</v>
      </c>
      <c r="N3782" s="90">
        <f>1+13/60</f>
        <v>1.2166666666666668</v>
      </c>
      <c r="O3782" s="90">
        <v>50</v>
      </c>
      <c r="S3782" s="90">
        <v>950</v>
      </c>
      <c r="U3782" s="55" t="s">
        <v>1805</v>
      </c>
      <c r="V3782" s="55" t="s">
        <v>1805</v>
      </c>
      <c r="Y3782" s="55" t="s">
        <v>1954</v>
      </c>
      <c r="Z3782" s="55" t="s">
        <v>1349</v>
      </c>
      <c r="AA3782" s="90" t="s">
        <v>1677</v>
      </c>
      <c r="AI3782" s="168">
        <f>(5.2+6.8)/2</f>
        <v>6</v>
      </c>
      <c r="AJ3782" s="90">
        <v>0.8</v>
      </c>
      <c r="AN3782" s="185" t="s">
        <v>3329</v>
      </c>
      <c r="AO3782" s="185" t="s">
        <v>5150</v>
      </c>
      <c r="AQ3782" s="55" t="s">
        <v>1547</v>
      </c>
      <c r="AR3782" s="55" t="s">
        <v>1607</v>
      </c>
      <c r="AS3782" s="55" t="s">
        <v>132</v>
      </c>
      <c r="AU3782" s="181" t="s">
        <v>7494</v>
      </c>
      <c r="AV3782" s="185" t="s">
        <v>176</v>
      </c>
      <c r="AX3782" s="185" t="s">
        <v>176</v>
      </c>
      <c r="BK3782" s="55" t="s">
        <v>6333</v>
      </c>
      <c r="BM3782" s="192" t="s">
        <v>160</v>
      </c>
      <c r="BN3782" s="55">
        <v>3</v>
      </c>
      <c r="BO3782" s="55">
        <v>3</v>
      </c>
      <c r="BQ3782" s="55" t="s">
        <v>2875</v>
      </c>
      <c r="CB3782" s="66">
        <v>4500</v>
      </c>
      <c r="CC3782" s="66">
        <v>6600</v>
      </c>
      <c r="CG3782" s="65" t="s">
        <v>3333</v>
      </c>
      <c r="GP3782" s="292" t="s">
        <v>7494</v>
      </c>
    </row>
    <row r="3783" spans="1:198" x14ac:dyDescent="0.25">
      <c r="A3783" s="55">
        <v>3782</v>
      </c>
      <c r="B3783" s="12" t="s">
        <v>7067</v>
      </c>
      <c r="C3783" s="155">
        <v>170</v>
      </c>
      <c r="D3783" s="55" t="s">
        <v>3331</v>
      </c>
      <c r="E3783" s="90" t="s">
        <v>3325</v>
      </c>
      <c r="G3783" s="55" t="s">
        <v>3326</v>
      </c>
      <c r="H3783" s="55">
        <v>2006</v>
      </c>
      <c r="I3783" s="55">
        <v>2003</v>
      </c>
      <c r="J3783" s="55" t="s">
        <v>282</v>
      </c>
      <c r="K3783" s="55" t="s">
        <v>3327</v>
      </c>
      <c r="L3783" s="55" t="s">
        <v>2812</v>
      </c>
      <c r="M3783" s="90">
        <f>6+22/60</f>
        <v>6.3666666666666663</v>
      </c>
      <c r="N3783" s="90">
        <f>1+13/60</f>
        <v>1.2166666666666668</v>
      </c>
      <c r="O3783" s="90">
        <v>50</v>
      </c>
      <c r="S3783" s="90">
        <v>950</v>
      </c>
      <c r="U3783" s="55" t="s">
        <v>1805</v>
      </c>
      <c r="V3783" s="55" t="s">
        <v>1805</v>
      </c>
      <c r="Y3783" s="55" t="s">
        <v>1954</v>
      </c>
      <c r="Z3783" s="55" t="s">
        <v>1349</v>
      </c>
      <c r="AA3783" s="90" t="s">
        <v>1677</v>
      </c>
      <c r="AI3783" s="168">
        <f>(5.2+6.8)/2</f>
        <v>6</v>
      </c>
      <c r="AJ3783" s="90">
        <v>0.8</v>
      </c>
      <c r="AN3783" s="185" t="s">
        <v>3329</v>
      </c>
      <c r="AO3783" s="185" t="s">
        <v>5150</v>
      </c>
      <c r="AQ3783" s="55" t="s">
        <v>1547</v>
      </c>
      <c r="AR3783" s="55" t="s">
        <v>1607</v>
      </c>
      <c r="AS3783" s="55" t="s">
        <v>132</v>
      </c>
      <c r="AU3783" s="181" t="s">
        <v>7494</v>
      </c>
      <c r="AV3783" s="185" t="s">
        <v>176</v>
      </c>
      <c r="AX3783" s="185" t="s">
        <v>176</v>
      </c>
      <c r="BK3783" s="55" t="s">
        <v>6333</v>
      </c>
      <c r="BM3783" s="192" t="s">
        <v>160</v>
      </c>
      <c r="BN3783" s="55">
        <v>3</v>
      </c>
      <c r="BO3783" s="55">
        <v>3</v>
      </c>
      <c r="BQ3783" s="55" t="s">
        <v>2875</v>
      </c>
      <c r="CB3783" s="66">
        <v>5700</v>
      </c>
      <c r="CC3783" s="66">
        <v>6700</v>
      </c>
      <c r="CG3783" s="65" t="s">
        <v>3333</v>
      </c>
      <c r="GP3783" s="292" t="s">
        <v>7494</v>
      </c>
    </row>
    <row r="3784" spans="1:198" x14ac:dyDescent="0.25">
      <c r="A3784" s="55">
        <v>3783</v>
      </c>
      <c r="B3784" s="12" t="s">
        <v>7067</v>
      </c>
      <c r="C3784" s="155">
        <v>170</v>
      </c>
      <c r="D3784" s="55" t="s">
        <v>3331</v>
      </c>
      <c r="E3784" s="90" t="s">
        <v>3325</v>
      </c>
      <c r="G3784" s="55" t="s">
        <v>3326</v>
      </c>
      <c r="H3784" s="55">
        <v>2006</v>
      </c>
      <c r="I3784" s="55">
        <v>2003</v>
      </c>
      <c r="J3784" s="55" t="s">
        <v>282</v>
      </c>
      <c r="K3784" s="55" t="s">
        <v>3327</v>
      </c>
      <c r="L3784" s="55" t="s">
        <v>2812</v>
      </c>
      <c r="M3784" s="90">
        <f>6+22/60</f>
        <v>6.3666666666666663</v>
      </c>
      <c r="N3784" s="90">
        <f>1+13/60</f>
        <v>1.2166666666666668</v>
      </c>
      <c r="O3784" s="90">
        <v>50</v>
      </c>
      <c r="S3784" s="90">
        <v>950</v>
      </c>
      <c r="U3784" s="55" t="s">
        <v>1805</v>
      </c>
      <c r="V3784" s="55" t="s">
        <v>1805</v>
      </c>
      <c r="Y3784" s="55" t="s">
        <v>1954</v>
      </c>
      <c r="Z3784" s="55" t="s">
        <v>1349</v>
      </c>
      <c r="AA3784" s="90" t="s">
        <v>1677</v>
      </c>
      <c r="AI3784" s="168">
        <f>(5.2+6.8)/2</f>
        <v>6</v>
      </c>
      <c r="AJ3784" s="90">
        <v>0.8</v>
      </c>
      <c r="AN3784" s="185" t="s">
        <v>3329</v>
      </c>
      <c r="AO3784" s="185" t="s">
        <v>5150</v>
      </c>
      <c r="AQ3784" s="55" t="s">
        <v>1547</v>
      </c>
      <c r="AR3784" s="55" t="s">
        <v>1607</v>
      </c>
      <c r="AS3784" s="55" t="s">
        <v>132</v>
      </c>
      <c r="AU3784" s="181" t="s">
        <v>7494</v>
      </c>
      <c r="AV3784" s="185" t="s">
        <v>176</v>
      </c>
      <c r="AX3784" s="185" t="s">
        <v>176</v>
      </c>
      <c r="BK3784" s="55" t="s">
        <v>6333</v>
      </c>
      <c r="BM3784" s="192" t="s">
        <v>160</v>
      </c>
      <c r="BN3784" s="55">
        <v>3</v>
      </c>
      <c r="BO3784" s="55">
        <v>3</v>
      </c>
      <c r="BQ3784" s="55" t="s">
        <v>2875</v>
      </c>
      <c r="CB3784" s="66">
        <v>5600</v>
      </c>
      <c r="CC3784" s="66">
        <v>6600</v>
      </c>
      <c r="CG3784" s="65" t="s">
        <v>3333</v>
      </c>
      <c r="GP3784" s="292" t="s">
        <v>7494</v>
      </c>
    </row>
    <row r="3785" spans="1:198" x14ac:dyDescent="0.25">
      <c r="A3785" s="55">
        <v>3784</v>
      </c>
      <c r="B3785" s="12" t="s">
        <v>7067</v>
      </c>
      <c r="C3785" s="155">
        <v>170</v>
      </c>
      <c r="D3785" s="55" t="s">
        <v>3331</v>
      </c>
      <c r="E3785" s="90" t="s">
        <v>3325</v>
      </c>
      <c r="G3785" s="55" t="s">
        <v>3326</v>
      </c>
      <c r="H3785" s="55">
        <v>2006</v>
      </c>
      <c r="I3785" s="55">
        <v>2003</v>
      </c>
      <c r="J3785" s="55" t="s">
        <v>282</v>
      </c>
      <c r="K3785" s="55" t="s">
        <v>3327</v>
      </c>
      <c r="L3785" s="55" t="s">
        <v>2812</v>
      </c>
      <c r="M3785" s="90">
        <f>6+22/60</f>
        <v>6.3666666666666663</v>
      </c>
      <c r="N3785" s="90">
        <f>1+13/60</f>
        <v>1.2166666666666668</v>
      </c>
      <c r="O3785" s="90">
        <v>50</v>
      </c>
      <c r="S3785" s="90">
        <v>950</v>
      </c>
      <c r="U3785" s="55" t="s">
        <v>1805</v>
      </c>
      <c r="V3785" s="55" t="s">
        <v>1805</v>
      </c>
      <c r="Y3785" s="55" t="s">
        <v>1954</v>
      </c>
      <c r="Z3785" s="55" t="s">
        <v>1349</v>
      </c>
      <c r="AA3785" s="90" t="s">
        <v>1677</v>
      </c>
      <c r="AI3785" s="168">
        <f>(5.2+6.8)/2</f>
        <v>6</v>
      </c>
      <c r="AJ3785" s="90">
        <v>0.8</v>
      </c>
      <c r="AN3785" s="185" t="s">
        <v>3329</v>
      </c>
      <c r="AO3785" s="185" t="s">
        <v>5150</v>
      </c>
      <c r="AQ3785" s="55" t="s">
        <v>1547</v>
      </c>
      <c r="AR3785" s="55" t="s">
        <v>1607</v>
      </c>
      <c r="AS3785" s="55" t="s">
        <v>132</v>
      </c>
      <c r="AU3785" s="181" t="s">
        <v>7494</v>
      </c>
      <c r="AV3785" s="185" t="s">
        <v>176</v>
      </c>
      <c r="AX3785" s="185" t="s">
        <v>176</v>
      </c>
      <c r="BK3785" s="55" t="s">
        <v>6333</v>
      </c>
      <c r="BM3785" s="192" t="s">
        <v>160</v>
      </c>
      <c r="BN3785" s="55">
        <v>3</v>
      </c>
      <c r="BO3785" s="55">
        <v>3</v>
      </c>
      <c r="BQ3785" s="55" t="s">
        <v>2875</v>
      </c>
      <c r="CB3785" s="66">
        <v>5900</v>
      </c>
      <c r="CC3785" s="66">
        <v>6700</v>
      </c>
      <c r="CG3785" s="65" t="s">
        <v>3333</v>
      </c>
      <c r="GP3785" s="292" t="s">
        <v>7494</v>
      </c>
    </row>
    <row r="3786" spans="1:198" x14ac:dyDescent="0.25">
      <c r="A3786" s="55">
        <v>3785</v>
      </c>
      <c r="B3786" s="12" t="s">
        <v>7067</v>
      </c>
      <c r="C3786" s="155">
        <v>170</v>
      </c>
      <c r="D3786" s="55" t="s">
        <v>3331</v>
      </c>
      <c r="E3786" s="90" t="s">
        <v>3325</v>
      </c>
      <c r="G3786" s="55" t="s">
        <v>3326</v>
      </c>
      <c r="H3786" s="55">
        <v>2006</v>
      </c>
      <c r="I3786" s="55">
        <v>2003</v>
      </c>
      <c r="J3786" s="55" t="s">
        <v>282</v>
      </c>
      <c r="K3786" s="55" t="s">
        <v>3327</v>
      </c>
      <c r="L3786" s="55" t="s">
        <v>2812</v>
      </c>
      <c r="M3786" s="90">
        <f>6+22/60</f>
        <v>6.3666666666666663</v>
      </c>
      <c r="N3786" s="90">
        <f>1+13/60</f>
        <v>1.2166666666666668</v>
      </c>
      <c r="O3786" s="90">
        <v>50</v>
      </c>
      <c r="S3786" s="90">
        <v>950</v>
      </c>
      <c r="U3786" s="55" t="s">
        <v>1805</v>
      </c>
      <c r="V3786" s="55" t="s">
        <v>1805</v>
      </c>
      <c r="Y3786" s="55" t="s">
        <v>1954</v>
      </c>
      <c r="Z3786" s="55" t="s">
        <v>1349</v>
      </c>
      <c r="AA3786" s="90" t="s">
        <v>1677</v>
      </c>
      <c r="AI3786" s="168">
        <f>(5.2+6.8)/2</f>
        <v>6</v>
      </c>
      <c r="AJ3786" s="90">
        <v>0.8</v>
      </c>
      <c r="AN3786" s="185" t="s">
        <v>3329</v>
      </c>
      <c r="AO3786" s="185" t="s">
        <v>5150</v>
      </c>
      <c r="AQ3786" s="55" t="s">
        <v>1547</v>
      </c>
      <c r="AR3786" s="55" t="s">
        <v>1607</v>
      </c>
      <c r="AS3786" s="55" t="s">
        <v>132</v>
      </c>
      <c r="AU3786" s="181" t="s">
        <v>7494</v>
      </c>
      <c r="AV3786" s="185" t="s">
        <v>176</v>
      </c>
      <c r="AX3786" s="185" t="s">
        <v>176</v>
      </c>
      <c r="BK3786" s="55" t="s">
        <v>6333</v>
      </c>
      <c r="BM3786" s="192" t="s">
        <v>160</v>
      </c>
      <c r="BN3786" s="55">
        <v>3</v>
      </c>
      <c r="BO3786" s="55">
        <v>3</v>
      </c>
      <c r="BQ3786" s="55" t="s">
        <v>2875</v>
      </c>
      <c r="CB3786" s="66">
        <v>5400</v>
      </c>
      <c r="CC3786" s="66">
        <v>6600</v>
      </c>
      <c r="CG3786" s="65" t="s">
        <v>3333</v>
      </c>
      <c r="GP3786" s="292" t="s">
        <v>7494</v>
      </c>
    </row>
    <row r="3787" spans="1:198" x14ac:dyDescent="0.25">
      <c r="A3787" s="55">
        <v>3786</v>
      </c>
      <c r="B3787" s="12" t="s">
        <v>7067</v>
      </c>
      <c r="C3787" s="155">
        <v>171</v>
      </c>
      <c r="D3787" s="55" t="s">
        <v>3330</v>
      </c>
      <c r="E3787" s="90" t="s">
        <v>3334</v>
      </c>
      <c r="G3787" s="55" t="s">
        <v>3275</v>
      </c>
      <c r="H3787" s="55">
        <v>2000</v>
      </c>
      <c r="I3787" s="55">
        <v>1995</v>
      </c>
      <c r="J3787" s="55" t="s">
        <v>2853</v>
      </c>
      <c r="K3787" s="55" t="s">
        <v>3335</v>
      </c>
      <c r="L3787" s="55" t="s">
        <v>2744</v>
      </c>
      <c r="M3787" s="90">
        <f>7+35/60</f>
        <v>7.583333333333333</v>
      </c>
      <c r="N3787" s="90">
        <f>3+52/60</f>
        <v>3.8666666666666667</v>
      </c>
      <c r="O3787" s="90">
        <v>200</v>
      </c>
      <c r="Q3787" s="55">
        <v>26.2</v>
      </c>
      <c r="S3787" s="90">
        <v>1300</v>
      </c>
      <c r="U3787" s="55" t="s">
        <v>1805</v>
      </c>
      <c r="V3787" s="55" t="s">
        <v>1688</v>
      </c>
      <c r="Y3787" s="55" t="s">
        <v>1957</v>
      </c>
      <c r="Z3787" s="55" t="s">
        <v>1346</v>
      </c>
      <c r="AA3787" s="90" t="s">
        <v>1675</v>
      </c>
      <c r="AE3787" s="90">
        <v>83.3</v>
      </c>
      <c r="AF3787" s="90">
        <v>11.2</v>
      </c>
      <c r="AH3787" s="55" t="s">
        <v>174</v>
      </c>
      <c r="AI3787" s="168">
        <v>6</v>
      </c>
      <c r="AJ3787" s="90">
        <v>0.84</v>
      </c>
      <c r="AN3787" s="185" t="s">
        <v>3338</v>
      </c>
      <c r="AO3787" s="185" t="s">
        <v>5150</v>
      </c>
      <c r="AQ3787" s="55" t="s">
        <v>553</v>
      </c>
      <c r="AR3787" s="55" t="s">
        <v>1607</v>
      </c>
      <c r="AS3787" s="55" t="s">
        <v>132</v>
      </c>
      <c r="AU3787" s="181" t="s">
        <v>7494</v>
      </c>
      <c r="AV3787" s="185" t="s">
        <v>176</v>
      </c>
      <c r="AX3787" s="185" t="s">
        <v>176</v>
      </c>
      <c r="BK3787" s="55" t="s">
        <v>6333</v>
      </c>
      <c r="BM3787" s="192" t="s">
        <v>160</v>
      </c>
      <c r="BN3787" s="55">
        <v>3</v>
      </c>
      <c r="BO3787" s="55">
        <v>3</v>
      </c>
      <c r="BQ3787" s="55" t="s">
        <v>2875</v>
      </c>
      <c r="BT3787" s="55">
        <f>430/27.4</f>
        <v>15.693430656934307</v>
      </c>
      <c r="BV3787" s="55" t="s">
        <v>3336</v>
      </c>
      <c r="BW3787" s="65">
        <v>2380</v>
      </c>
      <c r="BX3787" s="65">
        <v>3700</v>
      </c>
      <c r="CB3787" s="66">
        <v>1050</v>
      </c>
      <c r="CC3787" s="66">
        <v>1380</v>
      </c>
      <c r="GP3787" s="292" t="s">
        <v>7494</v>
      </c>
    </row>
    <row r="3788" spans="1:198" x14ac:dyDescent="0.25">
      <c r="A3788" s="55">
        <v>3787</v>
      </c>
      <c r="B3788" s="12" t="s">
        <v>7067</v>
      </c>
      <c r="C3788" s="155">
        <v>171</v>
      </c>
      <c r="D3788" s="55" t="s">
        <v>3330</v>
      </c>
      <c r="E3788" s="90" t="s">
        <v>3334</v>
      </c>
      <c r="G3788" s="55" t="s">
        <v>3275</v>
      </c>
      <c r="H3788" s="55">
        <v>2000</v>
      </c>
      <c r="I3788" s="55">
        <v>1995</v>
      </c>
      <c r="J3788" s="55" t="s">
        <v>2853</v>
      </c>
      <c r="K3788" s="55" t="s">
        <v>3335</v>
      </c>
      <c r="L3788" s="55" t="s">
        <v>2744</v>
      </c>
      <c r="M3788" s="90">
        <f>7+35/60</f>
        <v>7.583333333333333</v>
      </c>
      <c r="N3788" s="90">
        <f>3+52/60</f>
        <v>3.8666666666666667</v>
      </c>
      <c r="O3788" s="90">
        <v>200</v>
      </c>
      <c r="Q3788" s="55">
        <v>26.2</v>
      </c>
      <c r="S3788" s="90">
        <v>1300</v>
      </c>
      <c r="U3788" s="55" t="s">
        <v>1805</v>
      </c>
      <c r="V3788" s="55" t="s">
        <v>1688</v>
      </c>
      <c r="Y3788" s="55" t="s">
        <v>1957</v>
      </c>
      <c r="Z3788" s="55" t="s">
        <v>1346</v>
      </c>
      <c r="AA3788" s="90" t="s">
        <v>1675</v>
      </c>
      <c r="AE3788" s="90">
        <v>83.3</v>
      </c>
      <c r="AF3788" s="90">
        <v>11.2</v>
      </c>
      <c r="AH3788" s="55" t="s">
        <v>174</v>
      </c>
      <c r="AI3788" s="168">
        <v>6</v>
      </c>
      <c r="AJ3788" s="90">
        <v>0.84</v>
      </c>
      <c r="AN3788" s="185" t="s">
        <v>3339</v>
      </c>
      <c r="AO3788" s="185" t="s">
        <v>5150</v>
      </c>
      <c r="AQ3788" s="55" t="s">
        <v>553</v>
      </c>
      <c r="AR3788" s="55" t="s">
        <v>1607</v>
      </c>
      <c r="AS3788" s="55" t="s">
        <v>132</v>
      </c>
      <c r="AU3788" s="181" t="s">
        <v>7494</v>
      </c>
      <c r="AV3788" s="185" t="s">
        <v>176</v>
      </c>
      <c r="AX3788" s="185" t="s">
        <v>176</v>
      </c>
      <c r="BK3788" s="55" t="s">
        <v>6333</v>
      </c>
      <c r="BM3788" s="192" t="s">
        <v>160</v>
      </c>
      <c r="BN3788" s="55">
        <v>3</v>
      </c>
      <c r="BO3788" s="55">
        <v>3</v>
      </c>
      <c r="BQ3788" s="55" t="s">
        <v>2875</v>
      </c>
      <c r="BT3788" s="55">
        <f>425/34.6</f>
        <v>12.283236994219653</v>
      </c>
      <c r="BV3788" s="55" t="s">
        <v>3336</v>
      </c>
      <c r="BW3788" s="65">
        <v>2380</v>
      </c>
      <c r="BX3788" s="65">
        <v>3180</v>
      </c>
      <c r="CB3788" s="66">
        <v>1050</v>
      </c>
      <c r="CC3788" s="66">
        <v>1460</v>
      </c>
      <c r="GP3788" s="292" t="s">
        <v>7494</v>
      </c>
    </row>
    <row r="3789" spans="1:198" x14ac:dyDescent="0.25">
      <c r="A3789" s="55">
        <v>3788</v>
      </c>
      <c r="B3789" s="12" t="s">
        <v>7067</v>
      </c>
      <c r="C3789" s="155">
        <v>171</v>
      </c>
      <c r="D3789" s="55" t="s">
        <v>3330</v>
      </c>
      <c r="E3789" s="90" t="s">
        <v>3334</v>
      </c>
      <c r="G3789" s="55" t="s">
        <v>3275</v>
      </c>
      <c r="H3789" s="55">
        <v>2000</v>
      </c>
      <c r="I3789" s="55">
        <v>1995</v>
      </c>
      <c r="J3789" s="55" t="s">
        <v>2853</v>
      </c>
      <c r="K3789" s="55" t="s">
        <v>3335</v>
      </c>
      <c r="L3789" s="55" t="s">
        <v>2744</v>
      </c>
      <c r="M3789" s="90">
        <f>7+35/60</f>
        <v>7.583333333333333</v>
      </c>
      <c r="N3789" s="90">
        <f>3+52/60</f>
        <v>3.8666666666666667</v>
      </c>
      <c r="O3789" s="90">
        <v>200</v>
      </c>
      <c r="Q3789" s="55">
        <v>26.2</v>
      </c>
      <c r="S3789" s="90">
        <v>1300</v>
      </c>
      <c r="U3789" s="55" t="s">
        <v>1805</v>
      </c>
      <c r="V3789" s="55" t="s">
        <v>1688</v>
      </c>
      <c r="Y3789" s="55" t="s">
        <v>1957</v>
      </c>
      <c r="Z3789" s="55" t="s">
        <v>1346</v>
      </c>
      <c r="AA3789" s="90" t="s">
        <v>1675</v>
      </c>
      <c r="AE3789" s="90">
        <v>83.3</v>
      </c>
      <c r="AF3789" s="90">
        <v>11.2</v>
      </c>
      <c r="AH3789" s="55" t="s">
        <v>174</v>
      </c>
      <c r="AI3789" s="168">
        <v>6</v>
      </c>
      <c r="AJ3789" s="90">
        <v>0.84</v>
      </c>
      <c r="AN3789" s="185" t="s">
        <v>3340</v>
      </c>
      <c r="AO3789" s="185" t="s">
        <v>5150</v>
      </c>
      <c r="AQ3789" s="55" t="s">
        <v>553</v>
      </c>
      <c r="AR3789" s="55" t="s">
        <v>1607</v>
      </c>
      <c r="AS3789" s="55" t="s">
        <v>132</v>
      </c>
      <c r="AU3789" s="181" t="s">
        <v>7494</v>
      </c>
      <c r="AV3789" s="185" t="s">
        <v>176</v>
      </c>
      <c r="AX3789" s="185" t="s">
        <v>176</v>
      </c>
      <c r="BK3789" s="55" t="s">
        <v>6333</v>
      </c>
      <c r="BM3789" s="192" t="s">
        <v>160</v>
      </c>
      <c r="BN3789" s="55">
        <v>3</v>
      </c>
      <c r="BO3789" s="55">
        <v>3</v>
      </c>
      <c r="BQ3789" s="55" t="s">
        <v>2875</v>
      </c>
      <c r="BT3789" s="55">
        <f>380/32.1</f>
        <v>11.838006230529594</v>
      </c>
      <c r="BV3789" s="55" t="s">
        <v>3336</v>
      </c>
      <c r="BW3789" s="65">
        <v>2380</v>
      </c>
      <c r="BX3789" s="65">
        <v>3230</v>
      </c>
      <c r="CB3789" s="66">
        <v>1050</v>
      </c>
      <c r="CC3789" s="66">
        <v>1480</v>
      </c>
      <c r="GP3789" s="292" t="s">
        <v>7494</v>
      </c>
    </row>
    <row r="3790" spans="1:198" x14ac:dyDescent="0.25">
      <c r="A3790" s="55">
        <v>3789</v>
      </c>
      <c r="B3790" s="12" t="s">
        <v>7067</v>
      </c>
      <c r="C3790" s="155">
        <v>171</v>
      </c>
      <c r="D3790" s="55" t="s">
        <v>3330</v>
      </c>
      <c r="E3790" s="90" t="s">
        <v>3334</v>
      </c>
      <c r="G3790" s="55" t="s">
        <v>3275</v>
      </c>
      <c r="H3790" s="55">
        <v>2000</v>
      </c>
      <c r="I3790" s="55">
        <v>1995</v>
      </c>
      <c r="J3790" s="55" t="s">
        <v>2853</v>
      </c>
      <c r="K3790" s="55" t="s">
        <v>3335</v>
      </c>
      <c r="L3790" s="55" t="s">
        <v>2744</v>
      </c>
      <c r="M3790" s="90">
        <f>7+35/60</f>
        <v>7.583333333333333</v>
      </c>
      <c r="N3790" s="90">
        <f>3+52/60</f>
        <v>3.8666666666666667</v>
      </c>
      <c r="O3790" s="90">
        <v>200</v>
      </c>
      <c r="Q3790" s="55">
        <v>26.2</v>
      </c>
      <c r="S3790" s="90">
        <v>1300</v>
      </c>
      <c r="U3790" s="55" t="s">
        <v>1805</v>
      </c>
      <c r="V3790" s="55" t="s">
        <v>1688</v>
      </c>
      <c r="Y3790" s="55" t="s">
        <v>1957</v>
      </c>
      <c r="Z3790" s="55" t="s">
        <v>1346</v>
      </c>
      <c r="AA3790" s="90" t="s">
        <v>1675</v>
      </c>
      <c r="AE3790" s="90">
        <v>83.3</v>
      </c>
      <c r="AF3790" s="90">
        <v>11.2</v>
      </c>
      <c r="AH3790" s="55" t="s">
        <v>174</v>
      </c>
      <c r="AI3790" s="168">
        <v>6</v>
      </c>
      <c r="AJ3790" s="90">
        <v>0.84</v>
      </c>
      <c r="AN3790" s="185" t="s">
        <v>3341</v>
      </c>
      <c r="AO3790" s="185" t="s">
        <v>5150</v>
      </c>
      <c r="AQ3790" s="55" t="s">
        <v>553</v>
      </c>
      <c r="AR3790" s="55" t="s">
        <v>1607</v>
      </c>
      <c r="AS3790" s="55" t="s">
        <v>132</v>
      </c>
      <c r="AU3790" s="181" t="s">
        <v>7494</v>
      </c>
      <c r="AV3790" s="185" t="s">
        <v>176</v>
      </c>
      <c r="AX3790" s="185" t="s">
        <v>176</v>
      </c>
      <c r="BK3790" s="55" t="s">
        <v>6333</v>
      </c>
      <c r="BM3790" s="192" t="s">
        <v>160</v>
      </c>
      <c r="BN3790" s="55">
        <v>3</v>
      </c>
      <c r="BO3790" s="55">
        <v>3</v>
      </c>
      <c r="BQ3790" s="55" t="s">
        <v>2875</v>
      </c>
      <c r="BT3790" s="55">
        <f>434/33.7</f>
        <v>12.87833827893175</v>
      </c>
      <c r="BV3790" s="55" t="s">
        <v>3336</v>
      </c>
      <c r="BW3790" s="65">
        <v>2380</v>
      </c>
      <c r="BX3790" s="65">
        <v>4200</v>
      </c>
      <c r="CB3790" s="66">
        <v>1050</v>
      </c>
      <c r="CC3790" s="66">
        <v>1890</v>
      </c>
      <c r="GP3790" s="292" t="s">
        <v>7494</v>
      </c>
    </row>
    <row r="3791" spans="1:198" x14ac:dyDescent="0.25">
      <c r="A3791" s="55">
        <v>3790</v>
      </c>
      <c r="B3791" s="12" t="s">
        <v>7067</v>
      </c>
      <c r="C3791" s="155">
        <v>171</v>
      </c>
      <c r="D3791" s="55" t="s">
        <v>3330</v>
      </c>
      <c r="E3791" s="90" t="s">
        <v>3334</v>
      </c>
      <c r="G3791" s="55" t="s">
        <v>3275</v>
      </c>
      <c r="H3791" s="55">
        <v>2000</v>
      </c>
      <c r="I3791" s="55">
        <v>1995</v>
      </c>
      <c r="J3791" s="55" t="s">
        <v>2853</v>
      </c>
      <c r="K3791" s="55" t="s">
        <v>3335</v>
      </c>
      <c r="L3791" s="55" t="s">
        <v>2744</v>
      </c>
      <c r="M3791" s="90">
        <f>7+35/60</f>
        <v>7.583333333333333</v>
      </c>
      <c r="N3791" s="90">
        <f>3+52/60</f>
        <v>3.8666666666666667</v>
      </c>
      <c r="O3791" s="90">
        <v>200</v>
      </c>
      <c r="Q3791" s="55">
        <v>26.2</v>
      </c>
      <c r="S3791" s="90">
        <v>1300</v>
      </c>
      <c r="U3791" s="55" t="s">
        <v>1805</v>
      </c>
      <c r="V3791" s="55" t="s">
        <v>1688</v>
      </c>
      <c r="Y3791" s="55" t="s">
        <v>1957</v>
      </c>
      <c r="Z3791" s="55" t="s">
        <v>1346</v>
      </c>
      <c r="AA3791" s="90" t="s">
        <v>1675</v>
      </c>
      <c r="AE3791" s="90">
        <v>83.3</v>
      </c>
      <c r="AF3791" s="90">
        <v>11.2</v>
      </c>
      <c r="AH3791" s="55" t="s">
        <v>174</v>
      </c>
      <c r="AI3791" s="168">
        <v>6</v>
      </c>
      <c r="AJ3791" s="90">
        <v>0.84</v>
      </c>
      <c r="AN3791" s="185" t="s">
        <v>3342</v>
      </c>
      <c r="AO3791" s="185" t="s">
        <v>5150</v>
      </c>
      <c r="AQ3791" s="55" t="s">
        <v>553</v>
      </c>
      <c r="AR3791" s="55" t="s">
        <v>1607</v>
      </c>
      <c r="AS3791" s="55" t="s">
        <v>132</v>
      </c>
      <c r="AU3791" s="181" t="s">
        <v>7494</v>
      </c>
      <c r="AV3791" s="185" t="s">
        <v>176</v>
      </c>
      <c r="AX3791" s="185" t="s">
        <v>176</v>
      </c>
      <c r="BK3791" s="55" t="s">
        <v>6333</v>
      </c>
      <c r="BM3791" s="192" t="s">
        <v>160</v>
      </c>
      <c r="BN3791" s="55">
        <v>3</v>
      </c>
      <c r="BO3791" s="55">
        <v>3</v>
      </c>
      <c r="BQ3791" s="55" t="s">
        <v>2875</v>
      </c>
      <c r="BT3791" s="55">
        <f>414/27.2</f>
        <v>15.220588235294118</v>
      </c>
      <c r="BV3791" s="55" t="s">
        <v>3336</v>
      </c>
      <c r="BW3791" s="65">
        <v>2380</v>
      </c>
      <c r="BX3791" s="65">
        <v>4150</v>
      </c>
      <c r="CB3791" s="66">
        <v>1050</v>
      </c>
      <c r="CC3791" s="66">
        <v>1630</v>
      </c>
      <c r="GP3791" s="292" t="s">
        <v>7494</v>
      </c>
    </row>
    <row r="3792" spans="1:198" x14ac:dyDescent="0.25">
      <c r="A3792" s="55">
        <v>3791</v>
      </c>
      <c r="B3792" s="12" t="s">
        <v>7067</v>
      </c>
      <c r="C3792" s="155">
        <v>171</v>
      </c>
      <c r="D3792" s="55" t="s">
        <v>3330</v>
      </c>
      <c r="E3792" s="90" t="s">
        <v>3334</v>
      </c>
      <c r="G3792" s="55" t="s">
        <v>3275</v>
      </c>
      <c r="H3792" s="55">
        <v>2000</v>
      </c>
      <c r="I3792" s="55">
        <v>1995</v>
      </c>
      <c r="J3792" s="55" t="s">
        <v>2853</v>
      </c>
      <c r="K3792" s="55" t="s">
        <v>3335</v>
      </c>
      <c r="L3792" s="55" t="s">
        <v>2744</v>
      </c>
      <c r="M3792" s="90">
        <f>7+35/60</f>
        <v>7.583333333333333</v>
      </c>
      <c r="N3792" s="90">
        <f>3+52/60</f>
        <v>3.8666666666666667</v>
      </c>
      <c r="O3792" s="90">
        <v>200</v>
      </c>
      <c r="Q3792" s="55">
        <v>26.2</v>
      </c>
      <c r="S3792" s="90">
        <v>1300</v>
      </c>
      <c r="U3792" s="55" t="s">
        <v>1805</v>
      </c>
      <c r="V3792" s="55" t="s">
        <v>1688</v>
      </c>
      <c r="Y3792" s="55" t="s">
        <v>1957</v>
      </c>
      <c r="Z3792" s="55" t="s">
        <v>1346</v>
      </c>
      <c r="AA3792" s="90" t="s">
        <v>1675</v>
      </c>
      <c r="AE3792" s="90">
        <v>83.3</v>
      </c>
      <c r="AF3792" s="90">
        <v>11.2</v>
      </c>
      <c r="AH3792" s="55" t="s">
        <v>174</v>
      </c>
      <c r="AI3792" s="168">
        <v>6</v>
      </c>
      <c r="AJ3792" s="90">
        <v>0.84</v>
      </c>
      <c r="AN3792" s="185" t="s">
        <v>3343</v>
      </c>
      <c r="AO3792" s="185" t="s">
        <v>5150</v>
      </c>
      <c r="AQ3792" s="55" t="s">
        <v>553</v>
      </c>
      <c r="AR3792" s="55" t="s">
        <v>1607</v>
      </c>
      <c r="AS3792" s="55" t="s">
        <v>132</v>
      </c>
      <c r="AU3792" s="181" t="s">
        <v>7494</v>
      </c>
      <c r="AV3792" s="185" t="s">
        <v>176</v>
      </c>
      <c r="AX3792" s="185" t="s">
        <v>176</v>
      </c>
      <c r="BK3792" s="55" t="s">
        <v>6333</v>
      </c>
      <c r="BM3792" s="192" t="s">
        <v>160</v>
      </c>
      <c r="BN3792" s="55">
        <v>3</v>
      </c>
      <c r="BO3792" s="55">
        <v>3</v>
      </c>
      <c r="BQ3792" s="55" t="s">
        <v>2875</v>
      </c>
      <c r="BT3792" s="55">
        <f>420/33.8</f>
        <v>12.42603550295858</v>
      </c>
      <c r="BV3792" s="55" t="s">
        <v>3336</v>
      </c>
      <c r="BW3792" s="65">
        <v>2380</v>
      </c>
      <c r="BX3792" s="65">
        <v>3400</v>
      </c>
      <c r="CB3792" s="66">
        <v>1050</v>
      </c>
      <c r="CC3792" s="66">
        <v>1450</v>
      </c>
      <c r="GP3792" s="292" t="s">
        <v>7494</v>
      </c>
    </row>
    <row r="3793" spans="1:198" x14ac:dyDescent="0.25">
      <c r="A3793" s="55">
        <v>3792</v>
      </c>
      <c r="B3793" s="12" t="s">
        <v>7067</v>
      </c>
      <c r="C3793" s="155">
        <v>171</v>
      </c>
      <c r="D3793" s="55" t="s">
        <v>3330</v>
      </c>
      <c r="E3793" s="90" t="s">
        <v>3334</v>
      </c>
      <c r="G3793" s="55" t="s">
        <v>3275</v>
      </c>
      <c r="H3793" s="55">
        <v>2000</v>
      </c>
      <c r="I3793" s="55">
        <v>1995</v>
      </c>
      <c r="J3793" s="55" t="s">
        <v>2853</v>
      </c>
      <c r="K3793" s="55" t="s">
        <v>3335</v>
      </c>
      <c r="L3793" s="55" t="s">
        <v>2744</v>
      </c>
      <c r="M3793" s="90">
        <f>7+35/60</f>
        <v>7.583333333333333</v>
      </c>
      <c r="N3793" s="90">
        <f>3+52/60</f>
        <v>3.8666666666666667</v>
      </c>
      <c r="O3793" s="90">
        <v>200</v>
      </c>
      <c r="Q3793" s="55">
        <v>26.2</v>
      </c>
      <c r="S3793" s="90">
        <v>1300</v>
      </c>
      <c r="U3793" s="55" t="s">
        <v>1805</v>
      </c>
      <c r="V3793" s="55" t="s">
        <v>1688</v>
      </c>
      <c r="Y3793" s="55" t="s">
        <v>1957</v>
      </c>
      <c r="Z3793" s="55" t="s">
        <v>1346</v>
      </c>
      <c r="AA3793" s="90" t="s">
        <v>1675</v>
      </c>
      <c r="AE3793" s="90">
        <v>83.3</v>
      </c>
      <c r="AF3793" s="90">
        <v>11.2</v>
      </c>
      <c r="AH3793" s="55" t="s">
        <v>174</v>
      </c>
      <c r="AI3793" s="168">
        <v>6</v>
      </c>
      <c r="AJ3793" s="90">
        <v>0.84</v>
      </c>
      <c r="AN3793" s="185" t="s">
        <v>3344</v>
      </c>
      <c r="AO3793" s="185" t="s">
        <v>5150</v>
      </c>
      <c r="AQ3793" s="55" t="s">
        <v>553</v>
      </c>
      <c r="AR3793" s="55" t="s">
        <v>1607</v>
      </c>
      <c r="AS3793" s="55" t="s">
        <v>132</v>
      </c>
      <c r="AU3793" s="181" t="s">
        <v>7494</v>
      </c>
      <c r="AV3793" s="185" t="s">
        <v>176</v>
      </c>
      <c r="AX3793" s="185" t="s">
        <v>176</v>
      </c>
      <c r="BK3793" s="55" t="s">
        <v>6333</v>
      </c>
      <c r="BM3793" s="192" t="s">
        <v>160</v>
      </c>
      <c r="BN3793" s="55">
        <v>3</v>
      </c>
      <c r="BO3793" s="55">
        <v>3</v>
      </c>
      <c r="BQ3793" s="55" t="s">
        <v>2875</v>
      </c>
      <c r="BT3793" s="55">
        <f>425/31.4</f>
        <v>13.535031847133759</v>
      </c>
      <c r="BV3793" s="55" t="s">
        <v>3336</v>
      </c>
      <c r="BW3793" s="65">
        <v>2380</v>
      </c>
      <c r="BX3793" s="65">
        <v>3200</v>
      </c>
      <c r="CB3793" s="66">
        <v>1050</v>
      </c>
      <c r="CC3793" s="66">
        <v>1310</v>
      </c>
      <c r="GP3793" s="292" t="s">
        <v>7494</v>
      </c>
    </row>
    <row r="3794" spans="1:198" x14ac:dyDescent="0.25">
      <c r="A3794" s="55">
        <v>3793</v>
      </c>
      <c r="B3794" s="12" t="s">
        <v>7067</v>
      </c>
      <c r="C3794" s="155">
        <v>171</v>
      </c>
      <c r="D3794" s="55" t="s">
        <v>3330</v>
      </c>
      <c r="E3794" s="90" t="s">
        <v>3334</v>
      </c>
      <c r="G3794" s="55" t="s">
        <v>3275</v>
      </c>
      <c r="H3794" s="55">
        <v>2000</v>
      </c>
      <c r="I3794" s="55">
        <v>1995</v>
      </c>
      <c r="J3794" s="55" t="s">
        <v>2853</v>
      </c>
      <c r="K3794" s="55" t="s">
        <v>3335</v>
      </c>
      <c r="L3794" s="55" t="s">
        <v>2744</v>
      </c>
      <c r="M3794" s="90">
        <f>7+35/60</f>
        <v>7.583333333333333</v>
      </c>
      <c r="N3794" s="90">
        <f>3+52/60</f>
        <v>3.8666666666666667</v>
      </c>
      <c r="O3794" s="90">
        <v>200</v>
      </c>
      <c r="Q3794" s="55">
        <v>26.2</v>
      </c>
      <c r="S3794" s="90">
        <v>1300</v>
      </c>
      <c r="U3794" s="55" t="s">
        <v>1805</v>
      </c>
      <c r="V3794" s="55" t="s">
        <v>1688</v>
      </c>
      <c r="Y3794" s="55" t="s">
        <v>1957</v>
      </c>
      <c r="Z3794" s="55" t="s">
        <v>1346</v>
      </c>
      <c r="AA3794" s="90" t="s">
        <v>1675</v>
      </c>
      <c r="AE3794" s="90">
        <v>83.3</v>
      </c>
      <c r="AF3794" s="90">
        <v>11.2</v>
      </c>
      <c r="AH3794" s="55" t="s">
        <v>174</v>
      </c>
      <c r="AI3794" s="168">
        <v>6</v>
      </c>
      <c r="AJ3794" s="90">
        <v>0.84</v>
      </c>
      <c r="AN3794" s="185" t="s">
        <v>3345</v>
      </c>
      <c r="AO3794" s="185" t="s">
        <v>5150</v>
      </c>
      <c r="AQ3794" s="55" t="s">
        <v>553</v>
      </c>
      <c r="AR3794" s="55" t="s">
        <v>1607</v>
      </c>
      <c r="AS3794" s="55" t="s">
        <v>132</v>
      </c>
      <c r="AU3794" s="181" t="s">
        <v>7494</v>
      </c>
      <c r="AV3794" s="185" t="s">
        <v>176</v>
      </c>
      <c r="AX3794" s="185" t="s">
        <v>176</v>
      </c>
      <c r="BK3794" s="55" t="s">
        <v>6333</v>
      </c>
      <c r="BM3794" s="192" t="s">
        <v>160</v>
      </c>
      <c r="BN3794" s="55">
        <v>3</v>
      </c>
      <c r="BO3794" s="55">
        <v>3</v>
      </c>
      <c r="BQ3794" s="55" t="s">
        <v>2875</v>
      </c>
      <c r="BT3794" s="55">
        <f>438/28.1</f>
        <v>15.587188612099643</v>
      </c>
      <c r="BV3794" s="55" t="s">
        <v>3336</v>
      </c>
      <c r="BW3794" s="65">
        <v>2380</v>
      </c>
      <c r="BX3794" s="65">
        <v>5930</v>
      </c>
      <c r="CB3794" s="66">
        <v>1050</v>
      </c>
      <c r="CC3794" s="66">
        <v>2230</v>
      </c>
      <c r="GP3794" s="292" t="s">
        <v>7494</v>
      </c>
    </row>
    <row r="3795" spans="1:198" x14ac:dyDescent="0.25">
      <c r="A3795" s="55">
        <v>3794</v>
      </c>
      <c r="B3795" s="12" t="s">
        <v>7067</v>
      </c>
      <c r="C3795" s="155">
        <v>171</v>
      </c>
      <c r="D3795" s="55" t="s">
        <v>3330</v>
      </c>
      <c r="E3795" s="90" t="s">
        <v>3334</v>
      </c>
      <c r="G3795" s="55" t="s">
        <v>3275</v>
      </c>
      <c r="H3795" s="55">
        <v>2000</v>
      </c>
      <c r="I3795" s="55">
        <v>1995</v>
      </c>
      <c r="J3795" s="55" t="s">
        <v>2853</v>
      </c>
      <c r="K3795" s="55" t="s">
        <v>3335</v>
      </c>
      <c r="L3795" s="55" t="s">
        <v>2744</v>
      </c>
      <c r="M3795" s="90">
        <f>7+35/60</f>
        <v>7.583333333333333</v>
      </c>
      <c r="N3795" s="90">
        <f>3+52/60</f>
        <v>3.8666666666666667</v>
      </c>
      <c r="O3795" s="90">
        <v>200</v>
      </c>
      <c r="Q3795" s="55">
        <v>26.2</v>
      </c>
      <c r="S3795" s="90">
        <v>1300</v>
      </c>
      <c r="U3795" s="55" t="s">
        <v>1805</v>
      </c>
      <c r="V3795" s="55" t="s">
        <v>1688</v>
      </c>
      <c r="Y3795" s="55" t="s">
        <v>1957</v>
      </c>
      <c r="Z3795" s="55" t="s">
        <v>1346</v>
      </c>
      <c r="AA3795" s="90" t="s">
        <v>1675</v>
      </c>
      <c r="AE3795" s="90">
        <v>83.3</v>
      </c>
      <c r="AF3795" s="90">
        <v>11.2</v>
      </c>
      <c r="AH3795" s="55" t="s">
        <v>174</v>
      </c>
      <c r="AI3795" s="168">
        <v>6</v>
      </c>
      <c r="AJ3795" s="90">
        <v>0.84</v>
      </c>
      <c r="AN3795" s="185" t="s">
        <v>3346</v>
      </c>
      <c r="AO3795" s="185" t="s">
        <v>5150</v>
      </c>
      <c r="AQ3795" s="55" t="s">
        <v>553</v>
      </c>
      <c r="AR3795" s="55" t="s">
        <v>1607</v>
      </c>
      <c r="AS3795" s="55" t="s">
        <v>132</v>
      </c>
      <c r="AU3795" s="181" t="s">
        <v>7494</v>
      </c>
      <c r="AV3795" s="185" t="s">
        <v>176</v>
      </c>
      <c r="AX3795" s="185" t="s">
        <v>176</v>
      </c>
      <c r="BK3795" s="55" t="s">
        <v>6333</v>
      </c>
      <c r="BM3795" s="192" t="s">
        <v>160</v>
      </c>
      <c r="BN3795" s="55">
        <v>3</v>
      </c>
      <c r="BO3795" s="55">
        <v>3</v>
      </c>
      <c r="BQ3795" s="55" t="s">
        <v>2875</v>
      </c>
      <c r="BT3795" s="55">
        <f>416/35.5</f>
        <v>11.71830985915493</v>
      </c>
      <c r="BV3795" s="55" t="s">
        <v>3336</v>
      </c>
      <c r="BW3795" s="65">
        <v>2380</v>
      </c>
      <c r="BX3795" s="65">
        <v>6100</v>
      </c>
      <c r="CB3795" s="66">
        <v>1050</v>
      </c>
      <c r="CC3795" s="66">
        <v>2090</v>
      </c>
      <c r="GP3795" s="292" t="s">
        <v>7494</v>
      </c>
    </row>
    <row r="3796" spans="1:198" x14ac:dyDescent="0.25">
      <c r="A3796" s="55">
        <v>3795</v>
      </c>
      <c r="B3796" s="12" t="s">
        <v>7067</v>
      </c>
      <c r="C3796" s="155">
        <v>171</v>
      </c>
      <c r="D3796" s="55" t="s">
        <v>3330</v>
      </c>
      <c r="E3796" s="90" t="s">
        <v>3334</v>
      </c>
      <c r="G3796" s="55" t="s">
        <v>3275</v>
      </c>
      <c r="H3796" s="55">
        <v>2000</v>
      </c>
      <c r="I3796" s="55">
        <v>1995</v>
      </c>
      <c r="J3796" s="55" t="s">
        <v>2853</v>
      </c>
      <c r="K3796" s="55" t="s">
        <v>3335</v>
      </c>
      <c r="L3796" s="55" t="s">
        <v>2744</v>
      </c>
      <c r="M3796" s="90">
        <f>7+35/60</f>
        <v>7.583333333333333</v>
      </c>
      <c r="N3796" s="90">
        <f>3+52/60</f>
        <v>3.8666666666666667</v>
      </c>
      <c r="O3796" s="90">
        <v>200</v>
      </c>
      <c r="Q3796" s="55">
        <v>26.2</v>
      </c>
      <c r="S3796" s="90">
        <v>1300</v>
      </c>
      <c r="U3796" s="55" t="s">
        <v>1805</v>
      </c>
      <c r="V3796" s="55" t="s">
        <v>1688</v>
      </c>
      <c r="Y3796" s="55" t="s">
        <v>1957</v>
      </c>
      <c r="Z3796" s="55" t="s">
        <v>1346</v>
      </c>
      <c r="AA3796" s="90" t="s">
        <v>1675</v>
      </c>
      <c r="AE3796" s="90">
        <v>83.3</v>
      </c>
      <c r="AF3796" s="90">
        <v>11.2</v>
      </c>
      <c r="AH3796" s="55" t="s">
        <v>174</v>
      </c>
      <c r="AI3796" s="168">
        <v>6</v>
      </c>
      <c r="AJ3796" s="90">
        <v>0.84</v>
      </c>
      <c r="AN3796" s="185" t="s">
        <v>3347</v>
      </c>
      <c r="AO3796" s="185" t="s">
        <v>5150</v>
      </c>
      <c r="AQ3796" s="55" t="s">
        <v>553</v>
      </c>
      <c r="AR3796" s="55" t="s">
        <v>1607</v>
      </c>
      <c r="AS3796" s="55" t="s">
        <v>132</v>
      </c>
      <c r="AU3796" s="181" t="s">
        <v>7494</v>
      </c>
      <c r="AV3796" s="185" t="s">
        <v>176</v>
      </c>
      <c r="AX3796" s="185" t="s">
        <v>176</v>
      </c>
      <c r="BK3796" s="55" t="s">
        <v>6333</v>
      </c>
      <c r="BM3796" s="192" t="s">
        <v>160</v>
      </c>
      <c r="BN3796" s="55">
        <v>3</v>
      </c>
      <c r="BO3796" s="55">
        <v>3</v>
      </c>
      <c r="BQ3796" s="55" t="s">
        <v>2875</v>
      </c>
      <c r="BT3796" s="55">
        <f>450/37.5</f>
        <v>12</v>
      </c>
      <c r="BV3796" s="55" t="s">
        <v>3336</v>
      </c>
      <c r="BW3796" s="65">
        <v>2380</v>
      </c>
      <c r="BX3796" s="65">
        <v>4730</v>
      </c>
      <c r="CB3796" s="66">
        <v>1050</v>
      </c>
      <c r="CC3796" s="66">
        <v>1610</v>
      </c>
      <c r="GP3796" s="292" t="s">
        <v>7494</v>
      </c>
    </row>
    <row r="3797" spans="1:198" x14ac:dyDescent="0.25">
      <c r="A3797" s="55">
        <v>3796</v>
      </c>
      <c r="B3797" s="12" t="s">
        <v>7067</v>
      </c>
      <c r="C3797" s="155">
        <v>171</v>
      </c>
      <c r="D3797" s="55" t="s">
        <v>3331</v>
      </c>
      <c r="E3797" s="90" t="s">
        <v>3334</v>
      </c>
      <c r="G3797" s="55" t="s">
        <v>3275</v>
      </c>
      <c r="H3797" s="55">
        <v>2000</v>
      </c>
      <c r="I3797" s="55">
        <v>1995</v>
      </c>
      <c r="J3797" s="55" t="s">
        <v>2853</v>
      </c>
      <c r="K3797" s="55" t="s">
        <v>3335</v>
      </c>
      <c r="L3797" s="55" t="s">
        <v>2744</v>
      </c>
      <c r="M3797" s="90">
        <f>7+35/60</f>
        <v>7.583333333333333</v>
      </c>
      <c r="N3797" s="90">
        <f>3+52/60</f>
        <v>3.8666666666666667</v>
      </c>
      <c r="O3797" s="90">
        <v>200</v>
      </c>
      <c r="Q3797" s="55">
        <v>26.2</v>
      </c>
      <c r="S3797" s="90">
        <v>1300</v>
      </c>
      <c r="U3797" s="55" t="s">
        <v>1805</v>
      </c>
      <c r="V3797" s="55" t="s">
        <v>1688</v>
      </c>
      <c r="Y3797" s="55" t="s">
        <v>1957</v>
      </c>
      <c r="Z3797" s="55" t="s">
        <v>1346</v>
      </c>
      <c r="AA3797" s="90" t="s">
        <v>1675</v>
      </c>
      <c r="AE3797" s="90">
        <v>81.8</v>
      </c>
      <c r="AF3797" s="90">
        <v>11</v>
      </c>
      <c r="AH3797" s="55" t="s">
        <v>174</v>
      </c>
      <c r="AI3797" s="168">
        <v>6.2</v>
      </c>
      <c r="AJ3797" s="90">
        <v>0.66</v>
      </c>
      <c r="AN3797" s="185" t="s">
        <v>3338</v>
      </c>
      <c r="AO3797" s="185" t="s">
        <v>5150</v>
      </c>
      <c r="AQ3797" s="55" t="s">
        <v>553</v>
      </c>
      <c r="AR3797" s="55" t="s">
        <v>1607</v>
      </c>
      <c r="AS3797" s="55" t="s">
        <v>132</v>
      </c>
      <c r="AU3797" s="181" t="s">
        <v>7494</v>
      </c>
      <c r="AV3797" s="185" t="s">
        <v>176</v>
      </c>
      <c r="AX3797" s="185" t="s">
        <v>176</v>
      </c>
      <c r="BK3797" s="55" t="s">
        <v>6333</v>
      </c>
      <c r="BM3797" s="192" t="s">
        <v>160</v>
      </c>
      <c r="BN3797" s="55">
        <v>3</v>
      </c>
      <c r="BO3797" s="55">
        <v>3</v>
      </c>
      <c r="BQ3797" s="55" t="s">
        <v>2875</v>
      </c>
      <c r="BT3797" s="55">
        <f>430/28.6</f>
        <v>15.034965034965035</v>
      </c>
      <c r="BV3797" s="55" t="s">
        <v>3337</v>
      </c>
      <c r="BW3797" s="65">
        <v>2000</v>
      </c>
      <c r="BX3797" s="65">
        <v>3010</v>
      </c>
      <c r="CB3797" s="66">
        <v>570</v>
      </c>
      <c r="CC3797" s="66">
        <v>1060</v>
      </c>
      <c r="GP3797" s="292" t="s">
        <v>7494</v>
      </c>
    </row>
    <row r="3798" spans="1:198" x14ac:dyDescent="0.25">
      <c r="A3798" s="55">
        <v>3797</v>
      </c>
      <c r="B3798" s="12" t="s">
        <v>7067</v>
      </c>
      <c r="C3798" s="155">
        <v>171</v>
      </c>
      <c r="D3798" s="55" t="s">
        <v>3331</v>
      </c>
      <c r="E3798" s="90" t="s">
        <v>3334</v>
      </c>
      <c r="G3798" s="55" t="s">
        <v>3275</v>
      </c>
      <c r="H3798" s="55">
        <v>2000</v>
      </c>
      <c r="I3798" s="55">
        <v>1995</v>
      </c>
      <c r="J3798" s="55" t="s">
        <v>2853</v>
      </c>
      <c r="K3798" s="55" t="s">
        <v>3335</v>
      </c>
      <c r="L3798" s="55" t="s">
        <v>2744</v>
      </c>
      <c r="M3798" s="90">
        <f>7+35/60</f>
        <v>7.583333333333333</v>
      </c>
      <c r="N3798" s="90">
        <f>3+52/60</f>
        <v>3.8666666666666667</v>
      </c>
      <c r="O3798" s="90">
        <v>200</v>
      </c>
      <c r="Q3798" s="55">
        <v>26.2</v>
      </c>
      <c r="S3798" s="90">
        <v>1300</v>
      </c>
      <c r="U3798" s="55" t="s">
        <v>1805</v>
      </c>
      <c r="V3798" s="55" t="s">
        <v>1688</v>
      </c>
      <c r="Y3798" s="55" t="s">
        <v>1957</v>
      </c>
      <c r="Z3798" s="55" t="s">
        <v>1346</v>
      </c>
      <c r="AA3798" s="90" t="s">
        <v>1675</v>
      </c>
      <c r="AE3798" s="90">
        <v>81.8</v>
      </c>
      <c r="AF3798" s="90">
        <v>11.2</v>
      </c>
      <c r="AH3798" s="55" t="s">
        <v>174</v>
      </c>
      <c r="AI3798" s="168">
        <v>6.2</v>
      </c>
      <c r="AJ3798" s="90">
        <v>0.66</v>
      </c>
      <c r="AN3798" s="185" t="s">
        <v>3339</v>
      </c>
      <c r="AO3798" s="185" t="s">
        <v>5150</v>
      </c>
      <c r="AQ3798" s="55" t="s">
        <v>553</v>
      </c>
      <c r="AR3798" s="55" t="s">
        <v>1607</v>
      </c>
      <c r="AS3798" s="55" t="s">
        <v>132</v>
      </c>
      <c r="AU3798" s="181" t="s">
        <v>7494</v>
      </c>
      <c r="AV3798" s="185" t="s">
        <v>176</v>
      </c>
      <c r="AX3798" s="185" t="s">
        <v>176</v>
      </c>
      <c r="BK3798" s="55" t="s">
        <v>6333</v>
      </c>
      <c r="BM3798" s="192" t="s">
        <v>160</v>
      </c>
      <c r="BN3798" s="55">
        <v>3</v>
      </c>
      <c r="BO3798" s="55">
        <v>3</v>
      </c>
      <c r="BQ3798" s="55" t="s">
        <v>2875</v>
      </c>
      <c r="BT3798" s="55">
        <f>425/29.6</f>
        <v>14.358108108108107</v>
      </c>
      <c r="BV3798" s="55" t="s">
        <v>3337</v>
      </c>
      <c r="BW3798" s="65">
        <v>2000</v>
      </c>
      <c r="BX3798" s="65">
        <v>3030</v>
      </c>
      <c r="CB3798" s="66">
        <v>570</v>
      </c>
      <c r="CC3798" s="66">
        <v>950</v>
      </c>
      <c r="GP3798" s="292" t="s">
        <v>7494</v>
      </c>
    </row>
    <row r="3799" spans="1:198" x14ac:dyDescent="0.25">
      <c r="A3799" s="55">
        <v>3798</v>
      </c>
      <c r="B3799" s="12" t="s">
        <v>7067</v>
      </c>
      <c r="C3799" s="155">
        <v>171</v>
      </c>
      <c r="D3799" s="55" t="s">
        <v>3331</v>
      </c>
      <c r="E3799" s="90" t="s">
        <v>3334</v>
      </c>
      <c r="G3799" s="55" t="s">
        <v>3275</v>
      </c>
      <c r="H3799" s="55">
        <v>2000</v>
      </c>
      <c r="I3799" s="55">
        <v>1995</v>
      </c>
      <c r="J3799" s="55" t="s">
        <v>2853</v>
      </c>
      <c r="K3799" s="55" t="s">
        <v>3335</v>
      </c>
      <c r="L3799" s="55" t="s">
        <v>2744</v>
      </c>
      <c r="M3799" s="90">
        <f>7+35/60</f>
        <v>7.583333333333333</v>
      </c>
      <c r="N3799" s="90">
        <f>3+52/60</f>
        <v>3.8666666666666667</v>
      </c>
      <c r="O3799" s="90">
        <v>200</v>
      </c>
      <c r="Q3799" s="55">
        <v>26.2</v>
      </c>
      <c r="S3799" s="90">
        <v>1300</v>
      </c>
      <c r="U3799" s="55" t="s">
        <v>1805</v>
      </c>
      <c r="V3799" s="55" t="s">
        <v>1688</v>
      </c>
      <c r="Y3799" s="55" t="s">
        <v>1957</v>
      </c>
      <c r="Z3799" s="55" t="s">
        <v>1346</v>
      </c>
      <c r="AA3799" s="90" t="s">
        <v>1675</v>
      </c>
      <c r="AE3799" s="90">
        <v>81.8</v>
      </c>
      <c r="AF3799" s="90">
        <v>11.2</v>
      </c>
      <c r="AH3799" s="55" t="s">
        <v>174</v>
      </c>
      <c r="AI3799" s="168">
        <v>6.2</v>
      </c>
      <c r="AJ3799" s="90">
        <v>0.66</v>
      </c>
      <c r="AN3799" s="185" t="s">
        <v>3340</v>
      </c>
      <c r="AO3799" s="185" t="s">
        <v>5150</v>
      </c>
      <c r="AQ3799" s="55" t="s">
        <v>553</v>
      </c>
      <c r="AR3799" s="55" t="s">
        <v>1607</v>
      </c>
      <c r="AS3799" s="55" t="s">
        <v>132</v>
      </c>
      <c r="AU3799" s="181" t="s">
        <v>7494</v>
      </c>
      <c r="AV3799" s="185" t="s">
        <v>176</v>
      </c>
      <c r="AX3799" s="185" t="s">
        <v>176</v>
      </c>
      <c r="BK3799" s="55" t="s">
        <v>6333</v>
      </c>
      <c r="BM3799" s="192" t="s">
        <v>160</v>
      </c>
      <c r="BN3799" s="55">
        <v>3</v>
      </c>
      <c r="BO3799" s="55">
        <v>3</v>
      </c>
      <c r="BQ3799" s="55" t="s">
        <v>2875</v>
      </c>
      <c r="BT3799" s="55">
        <f>380/27.8</f>
        <v>13.669064748201439</v>
      </c>
      <c r="BV3799" s="55" t="s">
        <v>3337</v>
      </c>
      <c r="BW3799" s="65">
        <v>2000</v>
      </c>
      <c r="BX3799" s="65">
        <v>3110</v>
      </c>
      <c r="CB3799" s="66">
        <v>570</v>
      </c>
      <c r="CC3799" s="66">
        <v>1200</v>
      </c>
      <c r="GP3799" s="292" t="s">
        <v>7494</v>
      </c>
    </row>
    <row r="3800" spans="1:198" x14ac:dyDescent="0.25">
      <c r="A3800" s="55">
        <v>3799</v>
      </c>
      <c r="B3800" s="12" t="s">
        <v>7067</v>
      </c>
      <c r="C3800" s="155">
        <v>171</v>
      </c>
      <c r="D3800" s="55" t="s">
        <v>3331</v>
      </c>
      <c r="E3800" s="90" t="s">
        <v>3334</v>
      </c>
      <c r="G3800" s="55" t="s">
        <v>3275</v>
      </c>
      <c r="H3800" s="55">
        <v>2000</v>
      </c>
      <c r="I3800" s="55">
        <v>1995</v>
      </c>
      <c r="J3800" s="55" t="s">
        <v>2853</v>
      </c>
      <c r="K3800" s="55" t="s">
        <v>3335</v>
      </c>
      <c r="L3800" s="55" t="s">
        <v>2744</v>
      </c>
      <c r="M3800" s="90">
        <f>7+35/60</f>
        <v>7.583333333333333</v>
      </c>
      <c r="N3800" s="90">
        <f>3+52/60</f>
        <v>3.8666666666666667</v>
      </c>
      <c r="O3800" s="90">
        <v>200</v>
      </c>
      <c r="Q3800" s="55">
        <v>26.2</v>
      </c>
      <c r="S3800" s="90">
        <v>1300</v>
      </c>
      <c r="U3800" s="55" t="s">
        <v>1805</v>
      </c>
      <c r="V3800" s="55" t="s">
        <v>1688</v>
      </c>
      <c r="Y3800" s="55" t="s">
        <v>1957</v>
      </c>
      <c r="Z3800" s="55" t="s">
        <v>1346</v>
      </c>
      <c r="AA3800" s="90" t="s">
        <v>1675</v>
      </c>
      <c r="AE3800" s="90">
        <v>81.8</v>
      </c>
      <c r="AF3800" s="90">
        <v>11.2</v>
      </c>
      <c r="AH3800" s="55" t="s">
        <v>174</v>
      </c>
      <c r="AI3800" s="168">
        <v>6.2</v>
      </c>
      <c r="AJ3800" s="90">
        <v>0.66</v>
      </c>
      <c r="AN3800" s="185" t="s">
        <v>3341</v>
      </c>
      <c r="AO3800" s="185" t="s">
        <v>5150</v>
      </c>
      <c r="AQ3800" s="55" t="s">
        <v>553</v>
      </c>
      <c r="AR3800" s="55" t="s">
        <v>1607</v>
      </c>
      <c r="AS3800" s="55" t="s">
        <v>132</v>
      </c>
      <c r="AU3800" s="181" t="s">
        <v>7494</v>
      </c>
      <c r="AV3800" s="185" t="s">
        <v>176</v>
      </c>
      <c r="AX3800" s="185" t="s">
        <v>176</v>
      </c>
      <c r="BK3800" s="55" t="s">
        <v>6333</v>
      </c>
      <c r="BM3800" s="192" t="s">
        <v>160</v>
      </c>
      <c r="BN3800" s="55">
        <v>3</v>
      </c>
      <c r="BO3800" s="55">
        <v>3</v>
      </c>
      <c r="BQ3800" s="55" t="s">
        <v>2875</v>
      </c>
      <c r="BT3800" s="55">
        <f>434/33.8</f>
        <v>12.840236686390533</v>
      </c>
      <c r="BV3800" s="55" t="s">
        <v>3337</v>
      </c>
      <c r="BW3800" s="65">
        <v>2000</v>
      </c>
      <c r="BX3800" s="65">
        <v>3600</v>
      </c>
      <c r="CB3800" s="66">
        <v>570</v>
      </c>
      <c r="CC3800" s="66">
        <v>1110</v>
      </c>
      <c r="GP3800" s="292" t="s">
        <v>7494</v>
      </c>
    </row>
    <row r="3801" spans="1:198" x14ac:dyDescent="0.25">
      <c r="A3801" s="55">
        <v>3800</v>
      </c>
      <c r="B3801" s="12" t="s">
        <v>7067</v>
      </c>
      <c r="C3801" s="155">
        <v>171</v>
      </c>
      <c r="D3801" s="55" t="s">
        <v>3331</v>
      </c>
      <c r="E3801" s="90" t="s">
        <v>3334</v>
      </c>
      <c r="G3801" s="55" t="s">
        <v>3275</v>
      </c>
      <c r="H3801" s="55">
        <v>2000</v>
      </c>
      <c r="I3801" s="55">
        <v>1995</v>
      </c>
      <c r="J3801" s="55" t="s">
        <v>2853</v>
      </c>
      <c r="K3801" s="55" t="s">
        <v>3335</v>
      </c>
      <c r="L3801" s="55" t="s">
        <v>2744</v>
      </c>
      <c r="M3801" s="90">
        <f>7+35/60</f>
        <v>7.583333333333333</v>
      </c>
      <c r="N3801" s="90">
        <f>3+52/60</f>
        <v>3.8666666666666667</v>
      </c>
      <c r="O3801" s="90">
        <v>200</v>
      </c>
      <c r="Q3801" s="55">
        <v>26.2</v>
      </c>
      <c r="S3801" s="90">
        <v>1300</v>
      </c>
      <c r="U3801" s="55" t="s">
        <v>1805</v>
      </c>
      <c r="V3801" s="55" t="s">
        <v>1688</v>
      </c>
      <c r="Y3801" s="55" t="s">
        <v>1957</v>
      </c>
      <c r="Z3801" s="55" t="s">
        <v>1346</v>
      </c>
      <c r="AA3801" s="90" t="s">
        <v>1675</v>
      </c>
      <c r="AE3801" s="90">
        <v>81.8</v>
      </c>
      <c r="AF3801" s="90">
        <v>11.2</v>
      </c>
      <c r="AH3801" s="55" t="s">
        <v>174</v>
      </c>
      <c r="AI3801" s="168">
        <v>6.2</v>
      </c>
      <c r="AJ3801" s="90">
        <v>0.66</v>
      </c>
      <c r="AN3801" s="185" t="s">
        <v>3342</v>
      </c>
      <c r="AO3801" s="185" t="s">
        <v>5150</v>
      </c>
      <c r="AQ3801" s="55" t="s">
        <v>553</v>
      </c>
      <c r="AR3801" s="55" t="s">
        <v>1607</v>
      </c>
      <c r="AS3801" s="55" t="s">
        <v>132</v>
      </c>
      <c r="AU3801" s="181" t="s">
        <v>7494</v>
      </c>
      <c r="AV3801" s="185" t="s">
        <v>176</v>
      </c>
      <c r="AX3801" s="185" t="s">
        <v>176</v>
      </c>
      <c r="BK3801" s="55" t="s">
        <v>6333</v>
      </c>
      <c r="BM3801" s="192" t="s">
        <v>160</v>
      </c>
      <c r="BN3801" s="55">
        <v>3</v>
      </c>
      <c r="BO3801" s="55">
        <v>3</v>
      </c>
      <c r="BQ3801" s="55" t="s">
        <v>2875</v>
      </c>
      <c r="BT3801" s="55">
        <f>414/27</f>
        <v>15.333333333333334</v>
      </c>
      <c r="BV3801" s="55" t="s">
        <v>3337</v>
      </c>
      <c r="BW3801" s="65">
        <v>2000</v>
      </c>
      <c r="BX3801" s="65">
        <v>2910</v>
      </c>
      <c r="CB3801" s="66">
        <v>570</v>
      </c>
      <c r="CC3801" s="66">
        <v>1050</v>
      </c>
      <c r="GP3801" s="292" t="s">
        <v>7494</v>
      </c>
    </row>
    <row r="3802" spans="1:198" x14ac:dyDescent="0.25">
      <c r="A3802" s="55">
        <v>3801</v>
      </c>
      <c r="B3802" s="12" t="s">
        <v>7067</v>
      </c>
      <c r="C3802" s="155">
        <v>171</v>
      </c>
      <c r="D3802" s="55" t="s">
        <v>3331</v>
      </c>
      <c r="E3802" s="90" t="s">
        <v>3334</v>
      </c>
      <c r="G3802" s="55" t="s">
        <v>3275</v>
      </c>
      <c r="H3802" s="55">
        <v>2000</v>
      </c>
      <c r="I3802" s="55">
        <v>1995</v>
      </c>
      <c r="J3802" s="55" t="s">
        <v>2853</v>
      </c>
      <c r="K3802" s="55" t="s">
        <v>3335</v>
      </c>
      <c r="L3802" s="55" t="s">
        <v>2744</v>
      </c>
      <c r="M3802" s="90">
        <f>7+35/60</f>
        <v>7.583333333333333</v>
      </c>
      <c r="N3802" s="90">
        <f>3+52/60</f>
        <v>3.8666666666666667</v>
      </c>
      <c r="O3802" s="90">
        <v>200</v>
      </c>
      <c r="Q3802" s="55">
        <v>26.2</v>
      </c>
      <c r="S3802" s="90">
        <v>1300</v>
      </c>
      <c r="U3802" s="55" t="s">
        <v>1805</v>
      </c>
      <c r="V3802" s="55" t="s">
        <v>1688</v>
      </c>
      <c r="Y3802" s="55" t="s">
        <v>1957</v>
      </c>
      <c r="Z3802" s="55" t="s">
        <v>1346</v>
      </c>
      <c r="AA3802" s="90" t="s">
        <v>1675</v>
      </c>
      <c r="AE3802" s="90">
        <v>81.8</v>
      </c>
      <c r="AF3802" s="90">
        <v>11.2</v>
      </c>
      <c r="AH3802" s="55" t="s">
        <v>174</v>
      </c>
      <c r="AI3802" s="168">
        <v>6.2</v>
      </c>
      <c r="AJ3802" s="90">
        <v>0.66</v>
      </c>
      <c r="AN3802" s="185" t="s">
        <v>3343</v>
      </c>
      <c r="AO3802" s="185" t="s">
        <v>5150</v>
      </c>
      <c r="AQ3802" s="55" t="s">
        <v>553</v>
      </c>
      <c r="AR3802" s="55" t="s">
        <v>1607</v>
      </c>
      <c r="AS3802" s="55" t="s">
        <v>132</v>
      </c>
      <c r="AU3802" s="181" t="s">
        <v>7494</v>
      </c>
      <c r="AV3802" s="185" t="s">
        <v>176</v>
      </c>
      <c r="AX3802" s="185" t="s">
        <v>176</v>
      </c>
      <c r="BK3802" s="55" t="s">
        <v>6333</v>
      </c>
      <c r="BM3802" s="192" t="s">
        <v>160</v>
      </c>
      <c r="BN3802" s="55">
        <v>3</v>
      </c>
      <c r="BO3802" s="55">
        <v>3</v>
      </c>
      <c r="BQ3802" s="55" t="s">
        <v>2875</v>
      </c>
      <c r="BT3802" s="55">
        <f>420/31.1</f>
        <v>13.504823151125402</v>
      </c>
      <c r="BV3802" s="55" t="s">
        <v>3337</v>
      </c>
      <c r="BW3802" s="65">
        <v>2000</v>
      </c>
      <c r="BX3802" s="65">
        <v>2660</v>
      </c>
      <c r="CB3802" s="66">
        <v>570</v>
      </c>
      <c r="CC3802" s="66">
        <v>750</v>
      </c>
      <c r="GP3802" s="292" t="s">
        <v>7494</v>
      </c>
    </row>
    <row r="3803" spans="1:198" x14ac:dyDescent="0.25">
      <c r="A3803" s="55">
        <v>3802</v>
      </c>
      <c r="B3803" s="12" t="s">
        <v>7067</v>
      </c>
      <c r="C3803" s="155">
        <v>171</v>
      </c>
      <c r="D3803" s="55" t="s">
        <v>3331</v>
      </c>
      <c r="E3803" s="90" t="s">
        <v>3334</v>
      </c>
      <c r="G3803" s="55" t="s">
        <v>3275</v>
      </c>
      <c r="H3803" s="55">
        <v>2000</v>
      </c>
      <c r="I3803" s="55">
        <v>1995</v>
      </c>
      <c r="J3803" s="55" t="s">
        <v>2853</v>
      </c>
      <c r="K3803" s="55" t="s">
        <v>3335</v>
      </c>
      <c r="L3803" s="55" t="s">
        <v>2744</v>
      </c>
      <c r="M3803" s="90">
        <f>7+35/60</f>
        <v>7.583333333333333</v>
      </c>
      <c r="N3803" s="90">
        <f>3+52/60</f>
        <v>3.8666666666666667</v>
      </c>
      <c r="O3803" s="90">
        <v>200</v>
      </c>
      <c r="Q3803" s="55">
        <v>26.2</v>
      </c>
      <c r="S3803" s="90">
        <v>1300</v>
      </c>
      <c r="U3803" s="55" t="s">
        <v>1805</v>
      </c>
      <c r="V3803" s="55" t="s">
        <v>1688</v>
      </c>
      <c r="Y3803" s="55" t="s">
        <v>1957</v>
      </c>
      <c r="Z3803" s="55" t="s">
        <v>1346</v>
      </c>
      <c r="AA3803" s="90" t="s">
        <v>1675</v>
      </c>
      <c r="AE3803" s="90">
        <v>81.8</v>
      </c>
      <c r="AF3803" s="90">
        <v>11.2</v>
      </c>
      <c r="AH3803" s="55" t="s">
        <v>174</v>
      </c>
      <c r="AI3803" s="168">
        <v>6.2</v>
      </c>
      <c r="AJ3803" s="90">
        <v>0.66</v>
      </c>
      <c r="AN3803" s="185" t="s">
        <v>3344</v>
      </c>
      <c r="AO3803" s="185" t="s">
        <v>5150</v>
      </c>
      <c r="AQ3803" s="55" t="s">
        <v>553</v>
      </c>
      <c r="AR3803" s="55" t="s">
        <v>1607</v>
      </c>
      <c r="AS3803" s="55" t="s">
        <v>132</v>
      </c>
      <c r="AU3803" s="181" t="s">
        <v>7494</v>
      </c>
      <c r="AV3803" s="185" t="s">
        <v>176</v>
      </c>
      <c r="AX3803" s="185" t="s">
        <v>176</v>
      </c>
      <c r="BK3803" s="55" t="s">
        <v>6333</v>
      </c>
      <c r="BM3803" s="192" t="s">
        <v>160</v>
      </c>
      <c r="BN3803" s="55">
        <v>3</v>
      </c>
      <c r="BO3803" s="55">
        <v>3</v>
      </c>
      <c r="BQ3803" s="55" t="s">
        <v>2875</v>
      </c>
      <c r="BT3803" s="55">
        <f>425/21.2</f>
        <v>20.047169811320757</v>
      </c>
      <c r="BV3803" s="55" t="s">
        <v>3337</v>
      </c>
      <c r="BW3803" s="65">
        <v>2000</v>
      </c>
      <c r="BX3803" s="65">
        <v>2290</v>
      </c>
      <c r="CB3803" s="66">
        <v>570</v>
      </c>
      <c r="CC3803" s="66">
        <v>860</v>
      </c>
      <c r="GP3803" s="292" t="s">
        <v>7494</v>
      </c>
    </row>
    <row r="3804" spans="1:198" x14ac:dyDescent="0.25">
      <c r="A3804" s="55">
        <v>3803</v>
      </c>
      <c r="B3804" s="12" t="s">
        <v>7067</v>
      </c>
      <c r="C3804" s="155">
        <v>171</v>
      </c>
      <c r="D3804" s="55" t="s">
        <v>3331</v>
      </c>
      <c r="E3804" s="90" t="s">
        <v>3334</v>
      </c>
      <c r="G3804" s="55" t="s">
        <v>3275</v>
      </c>
      <c r="H3804" s="55">
        <v>2000</v>
      </c>
      <c r="I3804" s="55">
        <v>1995</v>
      </c>
      <c r="J3804" s="55" t="s">
        <v>2853</v>
      </c>
      <c r="K3804" s="55" t="s">
        <v>3335</v>
      </c>
      <c r="L3804" s="55" t="s">
        <v>2744</v>
      </c>
      <c r="M3804" s="90">
        <f>7+35/60</f>
        <v>7.583333333333333</v>
      </c>
      <c r="N3804" s="90">
        <f>3+52/60</f>
        <v>3.8666666666666667</v>
      </c>
      <c r="O3804" s="90">
        <v>200</v>
      </c>
      <c r="Q3804" s="55">
        <v>26.2</v>
      </c>
      <c r="S3804" s="90">
        <v>1300</v>
      </c>
      <c r="U3804" s="55" t="s">
        <v>1805</v>
      </c>
      <c r="V3804" s="55" t="s">
        <v>1688</v>
      </c>
      <c r="Y3804" s="55" t="s">
        <v>1957</v>
      </c>
      <c r="Z3804" s="55" t="s">
        <v>1346</v>
      </c>
      <c r="AA3804" s="90" t="s">
        <v>1675</v>
      </c>
      <c r="AE3804" s="90">
        <v>81.8</v>
      </c>
      <c r="AF3804" s="90">
        <v>11.2</v>
      </c>
      <c r="AH3804" s="55" t="s">
        <v>174</v>
      </c>
      <c r="AI3804" s="168">
        <v>6.2</v>
      </c>
      <c r="AJ3804" s="90">
        <v>0.66</v>
      </c>
      <c r="AN3804" s="185" t="s">
        <v>3345</v>
      </c>
      <c r="AO3804" s="185" t="s">
        <v>5150</v>
      </c>
      <c r="AQ3804" s="55" t="s">
        <v>553</v>
      </c>
      <c r="AR3804" s="55" t="s">
        <v>1607</v>
      </c>
      <c r="AS3804" s="55" t="s">
        <v>132</v>
      </c>
      <c r="AU3804" s="181" t="s">
        <v>7494</v>
      </c>
      <c r="AV3804" s="185" t="s">
        <v>176</v>
      </c>
      <c r="AX3804" s="185" t="s">
        <v>176</v>
      </c>
      <c r="BK3804" s="55" t="s">
        <v>6333</v>
      </c>
      <c r="BM3804" s="192" t="s">
        <v>160</v>
      </c>
      <c r="BN3804" s="55">
        <v>3</v>
      </c>
      <c r="BO3804" s="55">
        <v>3</v>
      </c>
      <c r="BQ3804" s="55" t="s">
        <v>2875</v>
      </c>
      <c r="BT3804" s="55">
        <f>438/27.4</f>
        <v>15.985401459854016</v>
      </c>
      <c r="BV3804" s="55" t="s">
        <v>3337</v>
      </c>
      <c r="BW3804" s="65">
        <v>2000</v>
      </c>
      <c r="BX3804" s="65">
        <v>3330</v>
      </c>
      <c r="CB3804" s="66">
        <v>570</v>
      </c>
      <c r="CC3804" s="66">
        <v>1000</v>
      </c>
      <c r="GP3804" s="292" t="s">
        <v>7494</v>
      </c>
    </row>
    <row r="3805" spans="1:198" x14ac:dyDescent="0.25">
      <c r="A3805" s="55">
        <v>3804</v>
      </c>
      <c r="B3805" s="12" t="s">
        <v>7067</v>
      </c>
      <c r="C3805" s="155">
        <v>171</v>
      </c>
      <c r="D3805" s="55" t="s">
        <v>3331</v>
      </c>
      <c r="E3805" s="90" t="s">
        <v>3334</v>
      </c>
      <c r="G3805" s="55" t="s">
        <v>3275</v>
      </c>
      <c r="H3805" s="55">
        <v>2000</v>
      </c>
      <c r="I3805" s="55">
        <v>1995</v>
      </c>
      <c r="J3805" s="55" t="s">
        <v>2853</v>
      </c>
      <c r="K3805" s="55" t="s">
        <v>3335</v>
      </c>
      <c r="L3805" s="55" t="s">
        <v>2744</v>
      </c>
      <c r="M3805" s="90">
        <f>7+35/60</f>
        <v>7.583333333333333</v>
      </c>
      <c r="N3805" s="90">
        <f>3+52/60</f>
        <v>3.8666666666666667</v>
      </c>
      <c r="O3805" s="90">
        <v>200</v>
      </c>
      <c r="Q3805" s="55">
        <v>26.2</v>
      </c>
      <c r="S3805" s="90">
        <v>1300</v>
      </c>
      <c r="U3805" s="55" t="s">
        <v>1805</v>
      </c>
      <c r="V3805" s="55" t="s">
        <v>1688</v>
      </c>
      <c r="Y3805" s="55" t="s">
        <v>1957</v>
      </c>
      <c r="Z3805" s="55" t="s">
        <v>1346</v>
      </c>
      <c r="AA3805" s="90" t="s">
        <v>1675</v>
      </c>
      <c r="AE3805" s="90">
        <v>81.8</v>
      </c>
      <c r="AF3805" s="90">
        <v>11.2</v>
      </c>
      <c r="AH3805" s="55" t="s">
        <v>174</v>
      </c>
      <c r="AI3805" s="168">
        <v>6.2</v>
      </c>
      <c r="AJ3805" s="90">
        <v>0.66</v>
      </c>
      <c r="AN3805" s="185" t="s">
        <v>3346</v>
      </c>
      <c r="AO3805" s="185" t="s">
        <v>5150</v>
      </c>
      <c r="AQ3805" s="55" t="s">
        <v>553</v>
      </c>
      <c r="AR3805" s="55" t="s">
        <v>1607</v>
      </c>
      <c r="AS3805" s="55" t="s">
        <v>132</v>
      </c>
      <c r="AU3805" s="181" t="s">
        <v>7494</v>
      </c>
      <c r="AV3805" s="185" t="s">
        <v>176</v>
      </c>
      <c r="AX3805" s="185" t="s">
        <v>176</v>
      </c>
      <c r="BK3805" s="55" t="s">
        <v>6333</v>
      </c>
      <c r="BM3805" s="192" t="s">
        <v>160</v>
      </c>
      <c r="BN3805" s="55">
        <v>3</v>
      </c>
      <c r="BO3805" s="55">
        <v>3</v>
      </c>
      <c r="BQ3805" s="55" t="s">
        <v>2875</v>
      </c>
      <c r="BT3805" s="55">
        <f>416/34.8</f>
        <v>11.954022988505749</v>
      </c>
      <c r="BV3805" s="55" t="s">
        <v>3337</v>
      </c>
      <c r="BW3805" s="65">
        <v>2000</v>
      </c>
      <c r="BX3805" s="65">
        <v>3200</v>
      </c>
      <c r="CB3805" s="66">
        <v>570</v>
      </c>
      <c r="CC3805" s="66">
        <v>1090</v>
      </c>
      <c r="GP3805" s="292" t="s">
        <v>7494</v>
      </c>
    </row>
    <row r="3806" spans="1:198" x14ac:dyDescent="0.25">
      <c r="A3806" s="55">
        <v>3805</v>
      </c>
      <c r="B3806" s="12" t="s">
        <v>7067</v>
      </c>
      <c r="C3806" s="155">
        <v>171</v>
      </c>
      <c r="D3806" s="55" t="s">
        <v>3331</v>
      </c>
      <c r="E3806" s="90" t="s">
        <v>3334</v>
      </c>
      <c r="G3806" s="55" t="s">
        <v>3275</v>
      </c>
      <c r="H3806" s="55">
        <v>2000</v>
      </c>
      <c r="I3806" s="55">
        <v>1995</v>
      </c>
      <c r="J3806" s="55" t="s">
        <v>2853</v>
      </c>
      <c r="K3806" s="55" t="s">
        <v>3335</v>
      </c>
      <c r="L3806" s="55" t="s">
        <v>2744</v>
      </c>
      <c r="M3806" s="90">
        <f>7+35/60</f>
        <v>7.583333333333333</v>
      </c>
      <c r="N3806" s="90">
        <f>3+52/60</f>
        <v>3.8666666666666667</v>
      </c>
      <c r="O3806" s="90">
        <v>200</v>
      </c>
      <c r="Q3806" s="55">
        <v>26.2</v>
      </c>
      <c r="S3806" s="90">
        <v>1300</v>
      </c>
      <c r="U3806" s="55" t="s">
        <v>1805</v>
      </c>
      <c r="V3806" s="55" t="s">
        <v>1688</v>
      </c>
      <c r="Y3806" s="55" t="s">
        <v>1957</v>
      </c>
      <c r="Z3806" s="55" t="s">
        <v>1346</v>
      </c>
      <c r="AA3806" s="90" t="s">
        <v>1675</v>
      </c>
      <c r="AE3806" s="90">
        <v>81.8</v>
      </c>
      <c r="AF3806" s="90">
        <v>11.2</v>
      </c>
      <c r="AH3806" s="55" t="s">
        <v>174</v>
      </c>
      <c r="AI3806" s="168">
        <v>6.2</v>
      </c>
      <c r="AJ3806" s="90">
        <v>0.66</v>
      </c>
      <c r="AN3806" s="185" t="s">
        <v>3347</v>
      </c>
      <c r="AO3806" s="185" t="s">
        <v>5150</v>
      </c>
      <c r="AQ3806" s="55" t="s">
        <v>553</v>
      </c>
      <c r="AR3806" s="55" t="s">
        <v>1607</v>
      </c>
      <c r="AS3806" s="55" t="s">
        <v>132</v>
      </c>
      <c r="AU3806" s="181" t="s">
        <v>7494</v>
      </c>
      <c r="AV3806" s="185" t="s">
        <v>176</v>
      </c>
      <c r="AX3806" s="185" t="s">
        <v>176</v>
      </c>
      <c r="BK3806" s="55" t="s">
        <v>6333</v>
      </c>
      <c r="BM3806" s="192" t="s">
        <v>160</v>
      </c>
      <c r="BN3806" s="55">
        <v>3</v>
      </c>
      <c r="BO3806" s="55">
        <v>3</v>
      </c>
      <c r="BQ3806" s="55" t="s">
        <v>2875</v>
      </c>
      <c r="BT3806" s="55">
        <f>450/34.8</f>
        <v>12.931034482758621</v>
      </c>
      <c r="BV3806" s="55" t="s">
        <v>3337</v>
      </c>
      <c r="BW3806" s="65">
        <v>2000</v>
      </c>
      <c r="BX3806" s="65">
        <v>3540</v>
      </c>
      <c r="CB3806" s="66">
        <v>570</v>
      </c>
      <c r="CC3806" s="66">
        <v>1270</v>
      </c>
      <c r="GP3806" s="292" t="s">
        <v>7494</v>
      </c>
    </row>
    <row r="3807" spans="1:198" x14ac:dyDescent="0.25">
      <c r="A3807" s="55">
        <v>3806</v>
      </c>
      <c r="B3807" s="12" t="s">
        <v>7067</v>
      </c>
      <c r="C3807" s="155">
        <v>171</v>
      </c>
      <c r="D3807" s="55" t="s">
        <v>3331</v>
      </c>
      <c r="E3807" s="90" t="s">
        <v>3334</v>
      </c>
      <c r="G3807" s="55" t="s">
        <v>3275</v>
      </c>
      <c r="H3807" s="55">
        <v>2000</v>
      </c>
      <c r="I3807" s="55">
        <v>1995</v>
      </c>
      <c r="J3807" s="55" t="s">
        <v>2853</v>
      </c>
      <c r="K3807" s="55" t="s">
        <v>3335</v>
      </c>
      <c r="L3807" s="55" t="s">
        <v>2744</v>
      </c>
      <c r="M3807" s="90">
        <f>7+35/60</f>
        <v>7.583333333333333</v>
      </c>
      <c r="N3807" s="90">
        <f>3+52/60</f>
        <v>3.8666666666666667</v>
      </c>
      <c r="O3807" s="90">
        <v>200</v>
      </c>
      <c r="Q3807" s="55">
        <v>26.2</v>
      </c>
      <c r="S3807" s="90">
        <v>1300</v>
      </c>
      <c r="U3807" s="55" t="s">
        <v>1805</v>
      </c>
      <c r="V3807" s="55" t="s">
        <v>1688</v>
      </c>
      <c r="Y3807" s="55" t="s">
        <v>1957</v>
      </c>
      <c r="Z3807" s="55" t="s">
        <v>1346</v>
      </c>
      <c r="AA3807" s="90" t="s">
        <v>1675</v>
      </c>
      <c r="AE3807" s="90">
        <v>81.8</v>
      </c>
      <c r="AF3807" s="90">
        <v>11.2</v>
      </c>
      <c r="AH3807" s="55" t="s">
        <v>174</v>
      </c>
      <c r="AI3807" s="168">
        <v>6.2</v>
      </c>
      <c r="AJ3807" s="90">
        <v>0.66</v>
      </c>
      <c r="AN3807" s="185" t="s">
        <v>3348</v>
      </c>
      <c r="AO3807" s="185" t="s">
        <v>5150</v>
      </c>
      <c r="AQ3807" s="55" t="s">
        <v>553</v>
      </c>
      <c r="AR3807" s="55" t="s">
        <v>1607</v>
      </c>
      <c r="AS3807" s="55" t="s">
        <v>132</v>
      </c>
      <c r="AU3807" s="181" t="s">
        <v>7494</v>
      </c>
      <c r="AV3807" s="185" t="s">
        <v>176</v>
      </c>
      <c r="AX3807" s="185" t="s">
        <v>176</v>
      </c>
      <c r="BK3807" s="55" t="s">
        <v>6333</v>
      </c>
      <c r="BM3807" s="192" t="s">
        <v>160</v>
      </c>
      <c r="BN3807" s="55">
        <v>3</v>
      </c>
      <c r="BO3807" s="55">
        <v>3</v>
      </c>
      <c r="BQ3807" s="55" t="s">
        <v>2875</v>
      </c>
      <c r="BT3807" s="55">
        <f>478/27.8</f>
        <v>17.194244604316545</v>
      </c>
      <c r="BV3807" s="55" t="s">
        <v>3337</v>
      </c>
      <c r="BW3807" s="65">
        <v>2000</v>
      </c>
      <c r="BX3807" s="65">
        <v>3910</v>
      </c>
      <c r="CB3807" s="66">
        <v>570</v>
      </c>
      <c r="CC3807" s="66">
        <v>1330</v>
      </c>
      <c r="GP3807" s="292" t="s">
        <v>7494</v>
      </c>
    </row>
    <row r="3808" spans="1:198" x14ac:dyDescent="0.25">
      <c r="A3808" s="55">
        <v>3807</v>
      </c>
      <c r="B3808" s="12" t="s">
        <v>7067</v>
      </c>
      <c r="C3808" s="155">
        <v>171</v>
      </c>
      <c r="D3808" s="55" t="s">
        <v>3331</v>
      </c>
      <c r="E3808" s="90" t="s">
        <v>3334</v>
      </c>
      <c r="G3808" s="55" t="s">
        <v>3275</v>
      </c>
      <c r="H3808" s="55">
        <v>2000</v>
      </c>
      <c r="I3808" s="55">
        <v>1995</v>
      </c>
      <c r="J3808" s="55" t="s">
        <v>2853</v>
      </c>
      <c r="K3808" s="55" t="s">
        <v>3335</v>
      </c>
      <c r="L3808" s="55" t="s">
        <v>2744</v>
      </c>
      <c r="M3808" s="90">
        <f>7+35/60</f>
        <v>7.583333333333333</v>
      </c>
      <c r="N3808" s="90">
        <f>3+52/60</f>
        <v>3.8666666666666667</v>
      </c>
      <c r="O3808" s="90">
        <v>200</v>
      </c>
      <c r="Q3808" s="55">
        <v>26.2</v>
      </c>
      <c r="S3808" s="90">
        <v>1300</v>
      </c>
      <c r="U3808" s="55" t="s">
        <v>1805</v>
      </c>
      <c r="V3808" s="55" t="s">
        <v>1688</v>
      </c>
      <c r="Y3808" s="55" t="s">
        <v>1957</v>
      </c>
      <c r="Z3808" s="55" t="s">
        <v>1346</v>
      </c>
      <c r="AA3808" s="90" t="s">
        <v>1675</v>
      </c>
      <c r="AE3808" s="90">
        <v>81.8</v>
      </c>
      <c r="AF3808" s="90">
        <v>11.2</v>
      </c>
      <c r="AH3808" s="55" t="s">
        <v>174</v>
      </c>
      <c r="AI3808" s="168">
        <v>6.2</v>
      </c>
      <c r="AJ3808" s="90">
        <v>0.66</v>
      </c>
      <c r="AN3808" s="185" t="s">
        <v>3349</v>
      </c>
      <c r="AO3808" s="185" t="s">
        <v>5150</v>
      </c>
      <c r="AQ3808" s="55" t="s">
        <v>553</v>
      </c>
      <c r="AR3808" s="55" t="s">
        <v>1607</v>
      </c>
      <c r="AS3808" s="55" t="s">
        <v>132</v>
      </c>
      <c r="AU3808" s="181" t="s">
        <v>7494</v>
      </c>
      <c r="AV3808" s="185" t="s">
        <v>176</v>
      </c>
      <c r="AX3808" s="185" t="s">
        <v>176</v>
      </c>
      <c r="BK3808" s="55" t="s">
        <v>6333</v>
      </c>
      <c r="BM3808" s="192" t="s">
        <v>160</v>
      </c>
      <c r="BN3808" s="55">
        <v>3</v>
      </c>
      <c r="BO3808" s="55">
        <v>3</v>
      </c>
      <c r="BQ3808" s="55" t="s">
        <v>2875</v>
      </c>
      <c r="BT3808" s="55">
        <f>437/28.7</f>
        <v>15.226480836236934</v>
      </c>
      <c r="BV3808" s="55" t="s">
        <v>3337</v>
      </c>
      <c r="BW3808" s="65">
        <v>2000</v>
      </c>
      <c r="BX3808" s="65">
        <v>2440</v>
      </c>
      <c r="CB3808" s="66">
        <v>570</v>
      </c>
      <c r="CC3808" s="66">
        <v>620</v>
      </c>
      <c r="GP3808" s="292" t="s">
        <v>7494</v>
      </c>
    </row>
    <row r="3809" spans="1:198" x14ac:dyDescent="0.25">
      <c r="A3809" s="55">
        <v>3808</v>
      </c>
      <c r="B3809" s="12" t="s">
        <v>7067</v>
      </c>
      <c r="C3809" s="155">
        <v>171</v>
      </c>
      <c r="D3809" s="55" t="s">
        <v>3331</v>
      </c>
      <c r="E3809" s="90" t="s">
        <v>3334</v>
      </c>
      <c r="G3809" s="55" t="s">
        <v>3275</v>
      </c>
      <c r="H3809" s="55">
        <v>2000</v>
      </c>
      <c r="I3809" s="55">
        <v>1995</v>
      </c>
      <c r="J3809" s="55" t="s">
        <v>2853</v>
      </c>
      <c r="K3809" s="55" t="s">
        <v>3335</v>
      </c>
      <c r="L3809" s="55" t="s">
        <v>2744</v>
      </c>
      <c r="M3809" s="90">
        <f>7+35/60</f>
        <v>7.583333333333333</v>
      </c>
      <c r="N3809" s="90">
        <f>3+52/60</f>
        <v>3.8666666666666667</v>
      </c>
      <c r="O3809" s="90">
        <v>200</v>
      </c>
      <c r="Q3809" s="55">
        <v>26.2</v>
      </c>
      <c r="S3809" s="90">
        <v>1300</v>
      </c>
      <c r="U3809" s="55" t="s">
        <v>1805</v>
      </c>
      <c r="V3809" s="55" t="s">
        <v>1688</v>
      </c>
      <c r="Y3809" s="55" t="s">
        <v>1957</v>
      </c>
      <c r="Z3809" s="55" t="s">
        <v>1346</v>
      </c>
      <c r="AA3809" s="90" t="s">
        <v>1675</v>
      </c>
      <c r="AE3809" s="90">
        <v>81.8</v>
      </c>
      <c r="AF3809" s="90">
        <v>11.2</v>
      </c>
      <c r="AH3809" s="55" t="s">
        <v>174</v>
      </c>
      <c r="AI3809" s="168">
        <v>6.2</v>
      </c>
      <c r="AJ3809" s="90">
        <v>0.66</v>
      </c>
      <c r="AN3809" s="185" t="s">
        <v>3350</v>
      </c>
      <c r="AO3809" s="185" t="s">
        <v>5150</v>
      </c>
      <c r="AQ3809" s="55" t="s">
        <v>553</v>
      </c>
      <c r="AR3809" s="55" t="s">
        <v>1607</v>
      </c>
      <c r="AS3809" s="55" t="s">
        <v>132</v>
      </c>
      <c r="AU3809" s="181" t="s">
        <v>7494</v>
      </c>
      <c r="AV3809" s="185" t="s">
        <v>176</v>
      </c>
      <c r="AX3809" s="185" t="s">
        <v>176</v>
      </c>
      <c r="BK3809" s="55" t="s">
        <v>6333</v>
      </c>
      <c r="BM3809" s="192" t="s">
        <v>160</v>
      </c>
      <c r="BN3809" s="55">
        <v>3</v>
      </c>
      <c r="BO3809" s="55">
        <v>3</v>
      </c>
      <c r="BQ3809" s="55" t="s">
        <v>2875</v>
      </c>
      <c r="BT3809" s="55">
        <f>433/26.3</f>
        <v>16.463878326996198</v>
      </c>
      <c r="BV3809" s="55" t="s">
        <v>3337</v>
      </c>
      <c r="BW3809" s="65">
        <v>2000</v>
      </c>
      <c r="BX3809" s="65">
        <v>2760</v>
      </c>
      <c r="CB3809" s="66">
        <v>570</v>
      </c>
      <c r="CC3809" s="66">
        <v>1160</v>
      </c>
      <c r="GP3809" s="292" t="s">
        <v>7494</v>
      </c>
    </row>
    <row r="3810" spans="1:198" x14ac:dyDescent="0.25">
      <c r="A3810" s="55">
        <v>3809</v>
      </c>
      <c r="B3810" s="12" t="s">
        <v>7067</v>
      </c>
      <c r="C3810" s="155">
        <v>172</v>
      </c>
      <c r="D3810" s="55" t="s">
        <v>3355</v>
      </c>
      <c r="E3810" s="90" t="s">
        <v>3334</v>
      </c>
      <c r="G3810" s="55" t="s">
        <v>3275</v>
      </c>
      <c r="H3810" s="55">
        <v>2005</v>
      </c>
      <c r="I3810" s="55">
        <v>1989</v>
      </c>
      <c r="J3810" s="55" t="s">
        <v>2660</v>
      </c>
      <c r="K3810" s="55" t="s">
        <v>3351</v>
      </c>
      <c r="L3810" s="55" t="s">
        <v>2744</v>
      </c>
      <c r="M3810" s="90">
        <v>7.5</v>
      </c>
      <c r="N3810" s="90">
        <f>3+54/60</f>
        <v>3.9</v>
      </c>
      <c r="O3810" s="90">
        <v>213</v>
      </c>
      <c r="S3810" s="90">
        <v>1247</v>
      </c>
      <c r="U3810" s="55" t="s">
        <v>1935</v>
      </c>
      <c r="V3810" s="55" t="s">
        <v>1889</v>
      </c>
      <c r="Y3810" s="55" t="s">
        <v>3354</v>
      </c>
      <c r="Z3810" s="55" t="s">
        <v>1361</v>
      </c>
      <c r="AA3810" s="90" t="s">
        <v>1682</v>
      </c>
      <c r="AE3810" s="90">
        <v>77.2</v>
      </c>
      <c r="AF3810" s="90">
        <v>11</v>
      </c>
      <c r="AH3810" s="55" t="s">
        <v>174</v>
      </c>
      <c r="AI3810" s="168">
        <v>7.8</v>
      </c>
      <c r="AJ3810" s="90">
        <v>2.17</v>
      </c>
      <c r="AM3810" s="55" t="s">
        <v>3352</v>
      </c>
      <c r="AN3810" s="185" t="s">
        <v>3353</v>
      </c>
      <c r="AO3810" s="185" t="s">
        <v>5150</v>
      </c>
      <c r="AQ3810" s="55" t="s">
        <v>553</v>
      </c>
      <c r="AR3810" s="55" t="s">
        <v>1607</v>
      </c>
      <c r="AS3810" s="55" t="s">
        <v>132</v>
      </c>
      <c r="AU3810" s="181" t="s">
        <v>7494</v>
      </c>
      <c r="AV3810" s="185" t="s">
        <v>176</v>
      </c>
      <c r="AX3810" s="185" t="s">
        <v>176</v>
      </c>
      <c r="BK3810" s="55" t="s">
        <v>6333</v>
      </c>
      <c r="BM3810" s="192" t="s">
        <v>3210</v>
      </c>
      <c r="CB3810" s="66">
        <v>1300</v>
      </c>
      <c r="CC3810" s="66">
        <v>1530</v>
      </c>
      <c r="CM3810" s="65">
        <v>1.1299999999999999</v>
      </c>
      <c r="CN3810" s="65">
        <v>1.27</v>
      </c>
      <c r="DA3810" s="65" t="s">
        <v>4458</v>
      </c>
      <c r="DG3810" s="65">
        <v>5.7</v>
      </c>
      <c r="DH3810" s="65">
        <v>5.9</v>
      </c>
      <c r="DK3810" s="65" t="s">
        <v>3359</v>
      </c>
      <c r="DL3810" s="65">
        <v>0.25</v>
      </c>
      <c r="DM3810" s="65">
        <v>0.23</v>
      </c>
      <c r="DP3810" s="65" t="s">
        <v>3360</v>
      </c>
      <c r="DQ3810" s="165">
        <v>6.4</v>
      </c>
      <c r="DR3810" s="165">
        <v>6.4</v>
      </c>
      <c r="DV3810" s="65">
        <f>3.2+0.56+0.25</f>
        <v>4.01</v>
      </c>
      <c r="DW3810" s="65">
        <f>3.9+0.57+0.23</f>
        <v>4.7</v>
      </c>
      <c r="DZ3810" s="65" t="s">
        <v>2623</v>
      </c>
      <c r="GP3810" s="292" t="s">
        <v>7494</v>
      </c>
    </row>
    <row r="3811" spans="1:198" x14ac:dyDescent="0.25">
      <c r="A3811" s="55">
        <v>3810</v>
      </c>
      <c r="B3811" s="12" t="s">
        <v>7067</v>
      </c>
      <c r="C3811" s="155">
        <v>172</v>
      </c>
      <c r="D3811" s="55" t="s">
        <v>3355</v>
      </c>
      <c r="E3811" s="90" t="s">
        <v>3334</v>
      </c>
      <c r="G3811" s="55" t="s">
        <v>3275</v>
      </c>
      <c r="H3811" s="55">
        <v>2005</v>
      </c>
      <c r="I3811" s="55">
        <v>1989</v>
      </c>
      <c r="J3811" s="55" t="s">
        <v>2660</v>
      </c>
      <c r="K3811" s="55" t="s">
        <v>3351</v>
      </c>
      <c r="L3811" s="55" t="s">
        <v>2744</v>
      </c>
      <c r="M3811" s="90">
        <v>7.5</v>
      </c>
      <c r="N3811" s="90">
        <f>3+54/60</f>
        <v>3.9</v>
      </c>
      <c r="O3811" s="90">
        <v>213</v>
      </c>
      <c r="S3811" s="90">
        <v>1247</v>
      </c>
      <c r="U3811" s="55" t="s">
        <v>1935</v>
      </c>
      <c r="V3811" s="55" t="s">
        <v>1889</v>
      </c>
      <c r="Y3811" s="55" t="s">
        <v>3354</v>
      </c>
      <c r="Z3811" s="55" t="s">
        <v>1361</v>
      </c>
      <c r="AA3811" s="90" t="s">
        <v>1682</v>
      </c>
      <c r="AE3811" s="90">
        <v>77.2</v>
      </c>
      <c r="AF3811" s="90">
        <v>11</v>
      </c>
      <c r="AH3811" s="55" t="s">
        <v>174</v>
      </c>
      <c r="AI3811" s="168">
        <v>7.8</v>
      </c>
      <c r="AJ3811" s="90">
        <v>2.17</v>
      </c>
      <c r="AM3811" s="55" t="s">
        <v>3352</v>
      </c>
      <c r="AN3811" s="185" t="s">
        <v>3353</v>
      </c>
      <c r="AO3811" s="185" t="s">
        <v>5150</v>
      </c>
      <c r="AQ3811" s="55" t="s">
        <v>553</v>
      </c>
      <c r="AR3811" s="55" t="s">
        <v>1607</v>
      </c>
      <c r="AS3811" s="55" t="s">
        <v>132</v>
      </c>
      <c r="AU3811" s="181" t="s">
        <v>7494</v>
      </c>
      <c r="AV3811" s="185" t="s">
        <v>176</v>
      </c>
      <c r="AX3811" s="185" t="s">
        <v>176</v>
      </c>
      <c r="BK3811" s="55" t="s">
        <v>6333</v>
      </c>
      <c r="BM3811" s="192" t="s">
        <v>3210</v>
      </c>
      <c r="CB3811" s="66">
        <v>1420</v>
      </c>
      <c r="CC3811" s="66">
        <v>1600</v>
      </c>
      <c r="CM3811" s="65">
        <v>1.1299999999999999</v>
      </c>
      <c r="CN3811" s="65">
        <v>1.52</v>
      </c>
      <c r="DA3811" s="65" t="s">
        <v>4458</v>
      </c>
      <c r="DG3811" s="65">
        <v>5.7</v>
      </c>
      <c r="DH3811" s="65">
        <v>7.2</v>
      </c>
      <c r="DK3811" s="65" t="s">
        <v>3359</v>
      </c>
      <c r="DL3811" s="65">
        <v>0.25</v>
      </c>
      <c r="DM3811" s="65">
        <v>0.31</v>
      </c>
      <c r="DP3811" s="65" t="s">
        <v>3360</v>
      </c>
      <c r="DQ3811" s="165">
        <v>6.4</v>
      </c>
      <c r="DR3811" s="165">
        <v>6.4</v>
      </c>
      <c r="DV3811" s="65">
        <f>3.2+0.56+0.25</f>
        <v>4.01</v>
      </c>
      <c r="DW3811" s="65">
        <f>3.3+0.7+0.31</f>
        <v>4.3099999999999996</v>
      </c>
      <c r="DZ3811" s="65" t="s">
        <v>2623</v>
      </c>
      <c r="GP3811" s="292" t="s">
        <v>7494</v>
      </c>
    </row>
    <row r="3812" spans="1:198" x14ac:dyDescent="0.25">
      <c r="A3812" s="55">
        <v>3811</v>
      </c>
      <c r="B3812" s="12" t="s">
        <v>7067</v>
      </c>
      <c r="C3812" s="155">
        <v>172</v>
      </c>
      <c r="D3812" s="55" t="s">
        <v>3355</v>
      </c>
      <c r="E3812" s="90" t="s">
        <v>3334</v>
      </c>
      <c r="G3812" s="55" t="s">
        <v>3275</v>
      </c>
      <c r="H3812" s="55">
        <v>2005</v>
      </c>
      <c r="I3812" s="55">
        <v>1989</v>
      </c>
      <c r="J3812" s="55" t="s">
        <v>2660</v>
      </c>
      <c r="K3812" s="55" t="s">
        <v>3351</v>
      </c>
      <c r="L3812" s="55" t="s">
        <v>2744</v>
      </c>
      <c r="M3812" s="90">
        <v>7.5</v>
      </c>
      <c r="N3812" s="90">
        <f>3+54/60</f>
        <v>3.9</v>
      </c>
      <c r="O3812" s="90">
        <v>213</v>
      </c>
      <c r="S3812" s="90">
        <v>1247</v>
      </c>
      <c r="U3812" s="55" t="s">
        <v>1935</v>
      </c>
      <c r="V3812" s="55" t="s">
        <v>1889</v>
      </c>
      <c r="Y3812" s="55" t="s">
        <v>3354</v>
      </c>
      <c r="Z3812" s="55" t="s">
        <v>1361</v>
      </c>
      <c r="AA3812" s="90" t="s">
        <v>1682</v>
      </c>
      <c r="AE3812" s="90">
        <v>77.2</v>
      </c>
      <c r="AF3812" s="90">
        <v>11</v>
      </c>
      <c r="AH3812" s="55" t="s">
        <v>174</v>
      </c>
      <c r="AI3812" s="168">
        <v>7.8</v>
      </c>
      <c r="AJ3812" s="90">
        <v>2.17</v>
      </c>
      <c r="AM3812" s="55" t="s">
        <v>3352</v>
      </c>
      <c r="AN3812" s="185" t="s">
        <v>3353</v>
      </c>
      <c r="AO3812" s="185" t="s">
        <v>5150</v>
      </c>
      <c r="AQ3812" s="55" t="s">
        <v>553</v>
      </c>
      <c r="AR3812" s="55" t="s">
        <v>1607</v>
      </c>
      <c r="AS3812" s="55" t="s">
        <v>132</v>
      </c>
      <c r="AU3812" s="181" t="s">
        <v>7494</v>
      </c>
      <c r="AV3812" s="185" t="s">
        <v>176</v>
      </c>
      <c r="AX3812" s="185" t="s">
        <v>176</v>
      </c>
      <c r="BK3812" s="55" t="s">
        <v>6333</v>
      </c>
      <c r="BM3812" s="192" t="s">
        <v>3210</v>
      </c>
      <c r="CB3812" s="66">
        <v>1350</v>
      </c>
      <c r="CC3812" s="66">
        <v>1730</v>
      </c>
      <c r="CM3812" s="65">
        <v>1.1299999999999999</v>
      </c>
      <c r="CN3812" s="65">
        <v>1.55</v>
      </c>
      <c r="DA3812" s="65" t="s">
        <v>4458</v>
      </c>
      <c r="DG3812" s="65">
        <v>5.7</v>
      </c>
      <c r="DH3812" s="65">
        <v>9.1999999999999993</v>
      </c>
      <c r="DK3812" s="65" t="s">
        <v>3359</v>
      </c>
      <c r="DL3812" s="65">
        <v>0.25</v>
      </c>
      <c r="DM3812" s="65">
        <v>0.38</v>
      </c>
      <c r="DP3812" s="65" t="s">
        <v>3360</v>
      </c>
      <c r="DQ3812" s="165">
        <v>6.4</v>
      </c>
      <c r="DR3812" s="165">
        <v>6.6</v>
      </c>
      <c r="DV3812" s="65">
        <f>3.2+0.56+0.25</f>
        <v>4.01</v>
      </c>
      <c r="DW3812" s="65">
        <f>4+0.82+0.38</f>
        <v>5.2</v>
      </c>
      <c r="DZ3812" s="65" t="s">
        <v>2623</v>
      </c>
      <c r="GP3812" s="292" t="s">
        <v>7494</v>
      </c>
    </row>
    <row r="3813" spans="1:198" x14ac:dyDescent="0.25">
      <c r="A3813" s="55">
        <v>3812</v>
      </c>
      <c r="B3813" s="12" t="s">
        <v>7067</v>
      </c>
      <c r="C3813" s="155">
        <v>172</v>
      </c>
      <c r="D3813" s="55" t="s">
        <v>3355</v>
      </c>
      <c r="E3813" s="90" t="s">
        <v>3334</v>
      </c>
      <c r="G3813" s="55" t="s">
        <v>3275</v>
      </c>
      <c r="H3813" s="55">
        <v>2005</v>
      </c>
      <c r="I3813" s="55">
        <v>1989</v>
      </c>
      <c r="J3813" s="55" t="s">
        <v>2660</v>
      </c>
      <c r="K3813" s="55" t="s">
        <v>3351</v>
      </c>
      <c r="L3813" s="55" t="s">
        <v>2744</v>
      </c>
      <c r="M3813" s="90">
        <v>7.5</v>
      </c>
      <c r="N3813" s="90">
        <f>3+54/60</f>
        <v>3.9</v>
      </c>
      <c r="O3813" s="90">
        <v>213</v>
      </c>
      <c r="S3813" s="90">
        <v>1247</v>
      </c>
      <c r="U3813" s="55" t="s">
        <v>1935</v>
      </c>
      <c r="V3813" s="55" t="s">
        <v>1889</v>
      </c>
      <c r="Y3813" s="55" t="s">
        <v>3354</v>
      </c>
      <c r="Z3813" s="55" t="s">
        <v>1349</v>
      </c>
      <c r="AA3813" s="90" t="s">
        <v>1677</v>
      </c>
      <c r="AE3813" s="90">
        <v>77.2</v>
      </c>
      <c r="AF3813" s="90">
        <v>11</v>
      </c>
      <c r="AH3813" s="55" t="s">
        <v>174</v>
      </c>
      <c r="AI3813" s="168">
        <v>7.8</v>
      </c>
      <c r="AJ3813" s="90">
        <v>2.17</v>
      </c>
      <c r="AM3813" s="55" t="s">
        <v>3352</v>
      </c>
      <c r="AN3813" s="185" t="s">
        <v>3353</v>
      </c>
      <c r="AO3813" s="185" t="s">
        <v>5150</v>
      </c>
      <c r="AQ3813" s="55" t="s">
        <v>553</v>
      </c>
      <c r="AR3813" s="55" t="s">
        <v>1607</v>
      </c>
      <c r="AS3813" s="55" t="s">
        <v>132</v>
      </c>
      <c r="AU3813" s="181" t="s">
        <v>7494</v>
      </c>
      <c r="AV3813" s="185" t="s">
        <v>176</v>
      </c>
      <c r="AX3813" s="185" t="s">
        <v>176</v>
      </c>
      <c r="BK3813" s="55" t="s">
        <v>6333</v>
      </c>
      <c r="BM3813" s="192" t="s">
        <v>3210</v>
      </c>
      <c r="CB3813" s="66">
        <v>1400</v>
      </c>
      <c r="CC3813" s="66">
        <v>1300</v>
      </c>
      <c r="GP3813" s="292" t="s">
        <v>7494</v>
      </c>
    </row>
    <row r="3814" spans="1:198" x14ac:dyDescent="0.25">
      <c r="A3814" s="55">
        <v>3813</v>
      </c>
      <c r="B3814" s="12" t="s">
        <v>7067</v>
      </c>
      <c r="C3814" s="155">
        <v>172</v>
      </c>
      <c r="D3814" s="55" t="s">
        <v>3355</v>
      </c>
      <c r="E3814" s="90" t="s">
        <v>3334</v>
      </c>
      <c r="G3814" s="55" t="s">
        <v>3275</v>
      </c>
      <c r="H3814" s="55">
        <v>2005</v>
      </c>
      <c r="I3814" s="55">
        <v>1990</v>
      </c>
      <c r="J3814" s="55" t="s">
        <v>2660</v>
      </c>
      <c r="K3814" s="55" t="s">
        <v>3351</v>
      </c>
      <c r="L3814" s="55" t="s">
        <v>2744</v>
      </c>
      <c r="M3814" s="90">
        <v>7.5</v>
      </c>
      <c r="N3814" s="90">
        <f>3+54/60</f>
        <v>3.9</v>
      </c>
      <c r="O3814" s="90">
        <v>213</v>
      </c>
      <c r="S3814" s="90">
        <v>1247</v>
      </c>
      <c r="U3814" s="55" t="s">
        <v>1805</v>
      </c>
      <c r="V3814" s="55" t="s">
        <v>1889</v>
      </c>
      <c r="Y3814" s="55" t="s">
        <v>3354</v>
      </c>
      <c r="Z3814" s="55" t="s">
        <v>1379</v>
      </c>
      <c r="AA3814" s="90" t="s">
        <v>1679</v>
      </c>
      <c r="AE3814" s="90">
        <v>77.2</v>
      </c>
      <c r="AF3814" s="90">
        <v>11</v>
      </c>
      <c r="AH3814" s="55" t="s">
        <v>174</v>
      </c>
      <c r="AI3814" s="168">
        <v>7.8</v>
      </c>
      <c r="AJ3814" s="90">
        <v>2.17</v>
      </c>
      <c r="AM3814" s="55" t="s">
        <v>3352</v>
      </c>
      <c r="AN3814" s="185" t="s">
        <v>3353</v>
      </c>
      <c r="AO3814" s="185" t="s">
        <v>5150</v>
      </c>
      <c r="AQ3814" s="55" t="s">
        <v>553</v>
      </c>
      <c r="AR3814" s="55" t="s">
        <v>1607</v>
      </c>
      <c r="AS3814" s="55" t="s">
        <v>132</v>
      </c>
      <c r="AU3814" s="181" t="s">
        <v>7494</v>
      </c>
      <c r="AV3814" s="185" t="s">
        <v>176</v>
      </c>
      <c r="AX3814" s="185" t="s">
        <v>176</v>
      </c>
      <c r="BK3814" s="55" t="s">
        <v>6333</v>
      </c>
      <c r="BM3814" s="192" t="s">
        <v>3210</v>
      </c>
      <c r="CB3814" s="66">
        <v>1880</v>
      </c>
      <c r="CC3814" s="66">
        <v>1900</v>
      </c>
      <c r="CM3814" s="65">
        <v>0.85</v>
      </c>
      <c r="CN3814" s="65">
        <v>0.79</v>
      </c>
      <c r="DA3814" s="65" t="s">
        <v>4458</v>
      </c>
      <c r="DG3814" s="65">
        <v>2.2999999999999998</v>
      </c>
      <c r="DH3814" s="65">
        <v>2.8</v>
      </c>
      <c r="DK3814" s="65" t="s">
        <v>3359</v>
      </c>
      <c r="DL3814" s="65">
        <v>0.18</v>
      </c>
      <c r="DM3814" s="65">
        <v>0.15</v>
      </c>
      <c r="DP3814" s="65" t="s">
        <v>3360</v>
      </c>
      <c r="DQ3814" s="165">
        <v>6</v>
      </c>
      <c r="DR3814" s="165">
        <v>6.1</v>
      </c>
      <c r="DV3814" s="65">
        <f>2.9+0.45+0.18</f>
        <v>3.5300000000000002</v>
      </c>
      <c r="DW3814" s="65">
        <f>3.4+0.48+0.15</f>
        <v>4.03</v>
      </c>
      <c r="DZ3814" s="65" t="s">
        <v>2623</v>
      </c>
      <c r="GP3814" s="292" t="s">
        <v>7494</v>
      </c>
    </row>
    <row r="3815" spans="1:198" x14ac:dyDescent="0.25">
      <c r="A3815" s="55">
        <v>3814</v>
      </c>
      <c r="B3815" s="12" t="s">
        <v>7067</v>
      </c>
      <c r="C3815" s="155">
        <v>172</v>
      </c>
      <c r="D3815" s="55" t="s">
        <v>3355</v>
      </c>
      <c r="E3815" s="90" t="s">
        <v>3334</v>
      </c>
      <c r="G3815" s="55" t="s">
        <v>3275</v>
      </c>
      <c r="H3815" s="55">
        <v>2005</v>
      </c>
      <c r="I3815" s="55">
        <v>1990</v>
      </c>
      <c r="J3815" s="55" t="s">
        <v>2660</v>
      </c>
      <c r="K3815" s="55" t="s">
        <v>3351</v>
      </c>
      <c r="L3815" s="55" t="s">
        <v>2744</v>
      </c>
      <c r="M3815" s="90">
        <v>7.5</v>
      </c>
      <c r="N3815" s="90">
        <f>3+54/60</f>
        <v>3.9</v>
      </c>
      <c r="O3815" s="90">
        <v>213</v>
      </c>
      <c r="S3815" s="90">
        <v>1247</v>
      </c>
      <c r="U3815" s="55" t="s">
        <v>1805</v>
      </c>
      <c r="V3815" s="55" t="s">
        <v>1889</v>
      </c>
      <c r="Y3815" s="55" t="s">
        <v>3354</v>
      </c>
      <c r="Z3815" s="55" t="s">
        <v>1379</v>
      </c>
      <c r="AA3815" s="90" t="s">
        <v>1679</v>
      </c>
      <c r="AE3815" s="90">
        <v>77.2</v>
      </c>
      <c r="AF3815" s="90">
        <v>11</v>
      </c>
      <c r="AH3815" s="55" t="s">
        <v>174</v>
      </c>
      <c r="AI3815" s="168">
        <v>7.8</v>
      </c>
      <c r="AJ3815" s="90">
        <v>2.17</v>
      </c>
      <c r="AM3815" s="55" t="s">
        <v>3352</v>
      </c>
      <c r="AN3815" s="185" t="s">
        <v>3353</v>
      </c>
      <c r="AO3815" s="185" t="s">
        <v>5150</v>
      </c>
      <c r="AQ3815" s="55" t="s">
        <v>553</v>
      </c>
      <c r="AR3815" s="55" t="s">
        <v>1607</v>
      </c>
      <c r="AS3815" s="55" t="s">
        <v>132</v>
      </c>
      <c r="AU3815" s="181" t="s">
        <v>7494</v>
      </c>
      <c r="AV3815" s="185" t="s">
        <v>176</v>
      </c>
      <c r="AX3815" s="185" t="s">
        <v>176</v>
      </c>
      <c r="BK3815" s="55" t="s">
        <v>6333</v>
      </c>
      <c r="BM3815" s="192" t="s">
        <v>3210</v>
      </c>
      <c r="CM3815" s="65">
        <v>0.85</v>
      </c>
      <c r="CN3815" s="65">
        <v>0.87</v>
      </c>
      <c r="DA3815" s="65" t="s">
        <v>4458</v>
      </c>
      <c r="DG3815" s="65">
        <v>2.2999999999999998</v>
      </c>
      <c r="DH3815" s="65">
        <v>2.4</v>
      </c>
      <c r="DK3815" s="65" t="s">
        <v>3359</v>
      </c>
      <c r="DL3815" s="65">
        <v>0.18</v>
      </c>
      <c r="DM3815" s="65">
        <v>0.2</v>
      </c>
      <c r="DP3815" s="65" t="s">
        <v>3360</v>
      </c>
      <c r="DQ3815" s="165">
        <v>6</v>
      </c>
      <c r="DR3815" s="165">
        <v>6.1</v>
      </c>
      <c r="DV3815" s="65">
        <f>2.9+0.45+0.18</f>
        <v>3.5300000000000002</v>
      </c>
      <c r="DW3815" s="65">
        <f>2.8+0.48+0.2</f>
        <v>3.48</v>
      </c>
      <c r="DZ3815" s="65" t="s">
        <v>2623</v>
      </c>
      <c r="GP3815" s="292" t="s">
        <v>7494</v>
      </c>
    </row>
    <row r="3816" spans="1:198" x14ac:dyDescent="0.25">
      <c r="A3816" s="55">
        <v>3815</v>
      </c>
      <c r="B3816" s="12" t="s">
        <v>7067</v>
      </c>
      <c r="C3816" s="155">
        <v>172</v>
      </c>
      <c r="D3816" s="55" t="s">
        <v>3355</v>
      </c>
      <c r="E3816" s="90" t="s">
        <v>3334</v>
      </c>
      <c r="G3816" s="55" t="s">
        <v>3275</v>
      </c>
      <c r="H3816" s="55">
        <v>2005</v>
      </c>
      <c r="I3816" s="55">
        <v>1990</v>
      </c>
      <c r="J3816" s="55" t="s">
        <v>2660</v>
      </c>
      <c r="K3816" s="55" t="s">
        <v>3351</v>
      </c>
      <c r="L3816" s="55" t="s">
        <v>2744</v>
      </c>
      <c r="M3816" s="90">
        <v>7.5</v>
      </c>
      <c r="N3816" s="90">
        <f>3+54/60</f>
        <v>3.9</v>
      </c>
      <c r="O3816" s="90">
        <v>213</v>
      </c>
      <c r="S3816" s="90">
        <v>1247</v>
      </c>
      <c r="U3816" s="55" t="s">
        <v>1805</v>
      </c>
      <c r="V3816" s="55" t="s">
        <v>1889</v>
      </c>
      <c r="Y3816" s="55" t="s">
        <v>3354</v>
      </c>
      <c r="Z3816" s="55" t="s">
        <v>1379</v>
      </c>
      <c r="AA3816" s="90" t="s">
        <v>1679</v>
      </c>
      <c r="AE3816" s="90">
        <v>77.2</v>
      </c>
      <c r="AF3816" s="90">
        <v>11</v>
      </c>
      <c r="AH3816" s="55" t="s">
        <v>174</v>
      </c>
      <c r="AI3816" s="168">
        <v>7.8</v>
      </c>
      <c r="AJ3816" s="90">
        <v>2.17</v>
      </c>
      <c r="AM3816" s="55" t="s">
        <v>3352</v>
      </c>
      <c r="AN3816" s="185" t="s">
        <v>3353</v>
      </c>
      <c r="AO3816" s="185" t="s">
        <v>5150</v>
      </c>
      <c r="AQ3816" s="55" t="s">
        <v>553</v>
      </c>
      <c r="AR3816" s="55" t="s">
        <v>1607</v>
      </c>
      <c r="AS3816" s="55" t="s">
        <v>132</v>
      </c>
      <c r="AU3816" s="181" t="s">
        <v>7494</v>
      </c>
      <c r="AV3816" s="185" t="s">
        <v>176</v>
      </c>
      <c r="AX3816" s="185" t="s">
        <v>176</v>
      </c>
      <c r="BK3816" s="55" t="s">
        <v>6333</v>
      </c>
      <c r="BM3816" s="192" t="s">
        <v>3210</v>
      </c>
      <c r="CM3816" s="65">
        <v>0.85</v>
      </c>
      <c r="CN3816" s="65">
        <v>0.99</v>
      </c>
      <c r="DA3816" s="65" t="s">
        <v>4458</v>
      </c>
      <c r="DG3816" s="65">
        <v>2.2999999999999998</v>
      </c>
      <c r="DH3816" s="65">
        <v>3.1</v>
      </c>
      <c r="DK3816" s="65" t="s">
        <v>3359</v>
      </c>
      <c r="DL3816" s="65">
        <v>0.18</v>
      </c>
      <c r="DM3816" s="65">
        <v>0.2</v>
      </c>
      <c r="DP3816" s="65" t="s">
        <v>3360</v>
      </c>
      <c r="DQ3816" s="165">
        <v>6</v>
      </c>
      <c r="DR3816" s="165">
        <v>6.2</v>
      </c>
      <c r="DV3816" s="65">
        <f>2.9+0.45+0.18</f>
        <v>3.5300000000000002</v>
      </c>
      <c r="DW3816" s="65">
        <f>3.2+0.55+0.2</f>
        <v>3.95</v>
      </c>
      <c r="DZ3816" s="65" t="s">
        <v>2623</v>
      </c>
      <c r="GP3816" s="292" t="s">
        <v>7494</v>
      </c>
    </row>
    <row r="3817" spans="1:198" x14ac:dyDescent="0.25">
      <c r="A3817" s="55">
        <v>3816</v>
      </c>
      <c r="B3817" s="12" t="s">
        <v>7067</v>
      </c>
      <c r="C3817" s="155">
        <v>172</v>
      </c>
      <c r="D3817" s="55" t="s">
        <v>3355</v>
      </c>
      <c r="E3817" s="90" t="s">
        <v>3334</v>
      </c>
      <c r="G3817" s="55" t="s">
        <v>3275</v>
      </c>
      <c r="H3817" s="55">
        <v>2005</v>
      </c>
      <c r="I3817" s="55">
        <v>1990</v>
      </c>
      <c r="J3817" s="55" t="s">
        <v>2660</v>
      </c>
      <c r="K3817" s="55" t="s">
        <v>3351</v>
      </c>
      <c r="L3817" s="55" t="s">
        <v>2744</v>
      </c>
      <c r="M3817" s="90">
        <v>7.5</v>
      </c>
      <c r="N3817" s="90">
        <f>3+54/60</f>
        <v>3.9</v>
      </c>
      <c r="O3817" s="90">
        <v>213</v>
      </c>
      <c r="S3817" s="90">
        <v>1247</v>
      </c>
      <c r="U3817" s="55" t="s">
        <v>1805</v>
      </c>
      <c r="V3817" s="55" t="s">
        <v>1889</v>
      </c>
      <c r="Y3817" s="55" t="s">
        <v>3354</v>
      </c>
      <c r="Z3817" s="55" t="s">
        <v>1349</v>
      </c>
      <c r="AA3817" s="90" t="s">
        <v>1677</v>
      </c>
      <c r="AE3817" s="90">
        <v>77.2</v>
      </c>
      <c r="AF3817" s="90">
        <v>11</v>
      </c>
      <c r="AH3817" s="55" t="s">
        <v>174</v>
      </c>
      <c r="AI3817" s="168">
        <v>7.8</v>
      </c>
      <c r="AJ3817" s="90">
        <v>2.17</v>
      </c>
      <c r="AM3817" s="55" t="s">
        <v>3352</v>
      </c>
      <c r="AN3817" s="185" t="s">
        <v>3353</v>
      </c>
      <c r="AO3817" s="185" t="s">
        <v>5150</v>
      </c>
      <c r="AQ3817" s="55" t="s">
        <v>553</v>
      </c>
      <c r="AR3817" s="55" t="s">
        <v>1607</v>
      </c>
      <c r="AS3817" s="55" t="s">
        <v>132</v>
      </c>
      <c r="AU3817" s="181" t="s">
        <v>7494</v>
      </c>
      <c r="AV3817" s="185" t="s">
        <v>176</v>
      </c>
      <c r="AX3817" s="185" t="s">
        <v>176</v>
      </c>
      <c r="BK3817" s="55" t="s">
        <v>6333</v>
      </c>
      <c r="BM3817" s="192" t="s">
        <v>3210</v>
      </c>
      <c r="GP3817" s="292" t="s">
        <v>7494</v>
      </c>
    </row>
    <row r="3818" spans="1:198" x14ac:dyDescent="0.25">
      <c r="A3818" s="55">
        <v>3817</v>
      </c>
      <c r="B3818" s="12" t="s">
        <v>7067</v>
      </c>
      <c r="C3818" s="155">
        <v>172</v>
      </c>
      <c r="D3818" s="55" t="s">
        <v>3355</v>
      </c>
      <c r="E3818" s="90" t="s">
        <v>3334</v>
      </c>
      <c r="G3818" s="55" t="s">
        <v>3275</v>
      </c>
      <c r="H3818" s="55">
        <v>2005</v>
      </c>
      <c r="I3818" s="55">
        <v>1991</v>
      </c>
      <c r="J3818" s="55" t="s">
        <v>2660</v>
      </c>
      <c r="K3818" s="55" t="s">
        <v>3351</v>
      </c>
      <c r="L3818" s="55" t="s">
        <v>2744</v>
      </c>
      <c r="M3818" s="90">
        <v>7.5</v>
      </c>
      <c r="N3818" s="90">
        <f>3+54/60</f>
        <v>3.9</v>
      </c>
      <c r="O3818" s="90">
        <v>213</v>
      </c>
      <c r="S3818" s="90">
        <v>1247</v>
      </c>
      <c r="U3818" s="55" t="s">
        <v>1688</v>
      </c>
      <c r="V3818" s="55" t="s">
        <v>1889</v>
      </c>
      <c r="Y3818" s="55" t="s">
        <v>3354</v>
      </c>
      <c r="Z3818" s="55" t="s">
        <v>1361</v>
      </c>
      <c r="AA3818" s="90" t="s">
        <v>1682</v>
      </c>
      <c r="AE3818" s="90">
        <v>77.2</v>
      </c>
      <c r="AF3818" s="90">
        <v>11</v>
      </c>
      <c r="AH3818" s="55" t="s">
        <v>174</v>
      </c>
      <c r="AI3818" s="168">
        <v>7.8</v>
      </c>
      <c r="AJ3818" s="90">
        <v>2.17</v>
      </c>
      <c r="AM3818" s="55" t="s">
        <v>3352</v>
      </c>
      <c r="AN3818" s="185" t="s">
        <v>3353</v>
      </c>
      <c r="AO3818" s="185" t="s">
        <v>5150</v>
      </c>
      <c r="AQ3818" s="55" t="s">
        <v>553</v>
      </c>
      <c r="AR3818" s="55" t="s">
        <v>1607</v>
      </c>
      <c r="AS3818" s="55" t="s">
        <v>132</v>
      </c>
      <c r="AU3818" s="181" t="s">
        <v>7494</v>
      </c>
      <c r="AV3818" s="185" t="s">
        <v>176</v>
      </c>
      <c r="AX3818" s="185" t="s">
        <v>176</v>
      </c>
      <c r="BK3818" s="55" t="s">
        <v>6333</v>
      </c>
      <c r="BM3818" s="192" t="s">
        <v>3210</v>
      </c>
      <c r="BW3818" s="65">
        <v>2720</v>
      </c>
      <c r="BX3818" s="65">
        <v>1890</v>
      </c>
      <c r="CB3818" s="66">
        <v>2330</v>
      </c>
      <c r="CC3818" s="66">
        <v>2470</v>
      </c>
      <c r="CM3818" s="65">
        <v>1.07</v>
      </c>
      <c r="CN3818" s="65">
        <v>1.17</v>
      </c>
      <c r="DA3818" s="65" t="s">
        <v>4458</v>
      </c>
      <c r="DG3818" s="65">
        <v>6.6</v>
      </c>
      <c r="DH3818" s="65">
        <v>7.2</v>
      </c>
      <c r="DK3818" s="65" t="s">
        <v>3359</v>
      </c>
      <c r="DL3818" s="65">
        <v>0.3</v>
      </c>
      <c r="DM3818" s="65">
        <v>0.22</v>
      </c>
      <c r="DP3818" s="65" t="s">
        <v>3360</v>
      </c>
      <c r="DQ3818" s="165">
        <v>6</v>
      </c>
      <c r="DR3818" s="165">
        <v>6.4</v>
      </c>
      <c r="DV3818" s="65">
        <f>3.2+0.66+0.3</f>
        <v>4.16</v>
      </c>
      <c r="DW3818" s="65">
        <f>2.8+0.52+0.22</f>
        <v>3.54</v>
      </c>
      <c r="DZ3818" s="65" t="s">
        <v>2623</v>
      </c>
      <c r="GP3818" s="292" t="s">
        <v>7494</v>
      </c>
    </row>
    <row r="3819" spans="1:198" x14ac:dyDescent="0.25">
      <c r="A3819" s="55">
        <v>3818</v>
      </c>
      <c r="B3819" s="12" t="s">
        <v>7067</v>
      </c>
      <c r="C3819" s="155">
        <v>172</v>
      </c>
      <c r="D3819" s="55" t="s">
        <v>3355</v>
      </c>
      <c r="E3819" s="90" t="s">
        <v>3334</v>
      </c>
      <c r="G3819" s="55" t="s">
        <v>3275</v>
      </c>
      <c r="H3819" s="55">
        <v>2005</v>
      </c>
      <c r="I3819" s="55">
        <v>1991</v>
      </c>
      <c r="J3819" s="55" t="s">
        <v>2660</v>
      </c>
      <c r="K3819" s="55" t="s">
        <v>3351</v>
      </c>
      <c r="L3819" s="55" t="s">
        <v>2744</v>
      </c>
      <c r="M3819" s="90">
        <v>7.5</v>
      </c>
      <c r="N3819" s="90">
        <f>3+54/60</f>
        <v>3.9</v>
      </c>
      <c r="O3819" s="90">
        <v>213</v>
      </c>
      <c r="S3819" s="90">
        <v>1247</v>
      </c>
      <c r="U3819" s="55" t="s">
        <v>1688</v>
      </c>
      <c r="V3819" s="55" t="s">
        <v>1889</v>
      </c>
      <c r="Y3819" s="55" t="s">
        <v>3354</v>
      </c>
      <c r="Z3819" s="55" t="s">
        <v>1361</v>
      </c>
      <c r="AA3819" s="90" t="s">
        <v>1682</v>
      </c>
      <c r="AE3819" s="90">
        <v>77.2</v>
      </c>
      <c r="AF3819" s="90">
        <v>11</v>
      </c>
      <c r="AH3819" s="55" t="s">
        <v>174</v>
      </c>
      <c r="AI3819" s="168">
        <v>7.8</v>
      </c>
      <c r="AJ3819" s="90">
        <v>2.17</v>
      </c>
      <c r="AM3819" s="55" t="s">
        <v>3352</v>
      </c>
      <c r="AN3819" s="185" t="s">
        <v>3353</v>
      </c>
      <c r="AO3819" s="185" t="s">
        <v>5150</v>
      </c>
      <c r="AQ3819" s="55" t="s">
        <v>553</v>
      </c>
      <c r="AR3819" s="55" t="s">
        <v>1607</v>
      </c>
      <c r="AS3819" s="55" t="s">
        <v>132</v>
      </c>
      <c r="AU3819" s="181" t="s">
        <v>7494</v>
      </c>
      <c r="AV3819" s="185" t="s">
        <v>176</v>
      </c>
      <c r="AX3819" s="185" t="s">
        <v>176</v>
      </c>
      <c r="BK3819" s="55" t="s">
        <v>6333</v>
      </c>
      <c r="BM3819" s="192" t="s">
        <v>3210</v>
      </c>
      <c r="BW3819" s="65">
        <v>3140</v>
      </c>
      <c r="BX3819" s="65">
        <v>3700</v>
      </c>
      <c r="CB3819" s="66">
        <v>3010</v>
      </c>
      <c r="CC3819" s="66">
        <v>2850</v>
      </c>
      <c r="CM3819" s="65">
        <v>1.07</v>
      </c>
      <c r="CN3819" s="65">
        <v>1.1200000000000001</v>
      </c>
      <c r="DA3819" s="65" t="s">
        <v>4458</v>
      </c>
      <c r="DG3819" s="65">
        <v>6.6</v>
      </c>
      <c r="DH3819" s="65">
        <v>7.5</v>
      </c>
      <c r="DK3819" s="65" t="s">
        <v>3359</v>
      </c>
      <c r="DL3819" s="65">
        <v>0.3</v>
      </c>
      <c r="DM3819" s="65">
        <v>0.25</v>
      </c>
      <c r="DP3819" s="65" t="s">
        <v>3360</v>
      </c>
      <c r="DQ3819" s="165">
        <v>6</v>
      </c>
      <c r="DR3819" s="165">
        <v>6.2</v>
      </c>
      <c r="DV3819" s="65">
        <f>3.2+0.66+0.3</f>
        <v>4.16</v>
      </c>
      <c r="DW3819" s="65">
        <f>3.1+0.58+0.25</f>
        <v>3.93</v>
      </c>
      <c r="DZ3819" s="65" t="s">
        <v>2623</v>
      </c>
      <c r="GP3819" s="292" t="s">
        <v>7494</v>
      </c>
    </row>
    <row r="3820" spans="1:198" x14ac:dyDescent="0.25">
      <c r="A3820" s="55">
        <v>3819</v>
      </c>
      <c r="B3820" s="12" t="s">
        <v>7067</v>
      </c>
      <c r="C3820" s="155">
        <v>172</v>
      </c>
      <c r="D3820" s="55" t="s">
        <v>3355</v>
      </c>
      <c r="E3820" s="90" t="s">
        <v>3334</v>
      </c>
      <c r="G3820" s="55" t="s">
        <v>3275</v>
      </c>
      <c r="H3820" s="55">
        <v>2005</v>
      </c>
      <c r="I3820" s="55">
        <v>1991</v>
      </c>
      <c r="J3820" s="55" t="s">
        <v>2660</v>
      </c>
      <c r="K3820" s="55" t="s">
        <v>3351</v>
      </c>
      <c r="L3820" s="55" t="s">
        <v>2744</v>
      </c>
      <c r="M3820" s="90">
        <v>7.5</v>
      </c>
      <c r="N3820" s="90">
        <f>3+54/60</f>
        <v>3.9</v>
      </c>
      <c r="O3820" s="90">
        <v>213</v>
      </c>
      <c r="S3820" s="90">
        <v>1247</v>
      </c>
      <c r="U3820" s="55" t="s">
        <v>1688</v>
      </c>
      <c r="V3820" s="55" t="s">
        <v>1889</v>
      </c>
      <c r="Y3820" s="55" t="s">
        <v>3354</v>
      </c>
      <c r="Z3820" s="55" t="s">
        <v>1361</v>
      </c>
      <c r="AA3820" s="90" t="s">
        <v>1682</v>
      </c>
      <c r="AE3820" s="90">
        <v>77.2</v>
      </c>
      <c r="AF3820" s="90">
        <v>11</v>
      </c>
      <c r="AH3820" s="55" t="s">
        <v>174</v>
      </c>
      <c r="AI3820" s="168">
        <v>7.8</v>
      </c>
      <c r="AJ3820" s="90">
        <v>2.17</v>
      </c>
      <c r="AM3820" s="55" t="s">
        <v>3352</v>
      </c>
      <c r="AN3820" s="185" t="s">
        <v>3353</v>
      </c>
      <c r="AO3820" s="185" t="s">
        <v>5150</v>
      </c>
      <c r="AQ3820" s="55" t="s">
        <v>553</v>
      </c>
      <c r="AR3820" s="55" t="s">
        <v>1607</v>
      </c>
      <c r="AS3820" s="55" t="s">
        <v>132</v>
      </c>
      <c r="AU3820" s="181" t="s">
        <v>7494</v>
      </c>
      <c r="AV3820" s="185" t="s">
        <v>176</v>
      </c>
      <c r="AX3820" s="185" t="s">
        <v>176</v>
      </c>
      <c r="BK3820" s="55" t="s">
        <v>6333</v>
      </c>
      <c r="BM3820" s="192" t="s">
        <v>3210</v>
      </c>
      <c r="CM3820" s="65">
        <v>1.07</v>
      </c>
      <c r="CN3820" s="65">
        <v>1.29</v>
      </c>
      <c r="DA3820" s="65" t="s">
        <v>4458</v>
      </c>
      <c r="DG3820" s="65">
        <v>6.6</v>
      </c>
      <c r="DH3820" s="65">
        <v>4.7</v>
      </c>
      <c r="DK3820" s="65" t="s">
        <v>3359</v>
      </c>
      <c r="DL3820" s="65">
        <v>0.3</v>
      </c>
      <c r="DM3820" s="65">
        <v>0.26</v>
      </c>
      <c r="DP3820" s="65" t="s">
        <v>3360</v>
      </c>
      <c r="DQ3820" s="165">
        <v>6</v>
      </c>
      <c r="DR3820" s="165">
        <v>6.1</v>
      </c>
      <c r="DV3820" s="65">
        <f>3.2+0.66+0.3</f>
        <v>4.16</v>
      </c>
      <c r="DW3820" s="65">
        <f>2.4+0.55+0.25</f>
        <v>3.2</v>
      </c>
      <c r="DZ3820" s="65" t="s">
        <v>2623</v>
      </c>
      <c r="GP3820" s="292" t="s">
        <v>7494</v>
      </c>
    </row>
    <row r="3821" spans="1:198" x14ac:dyDescent="0.25">
      <c r="A3821" s="55">
        <v>3820</v>
      </c>
      <c r="B3821" s="12" t="s">
        <v>7067</v>
      </c>
      <c r="C3821" s="155">
        <v>172</v>
      </c>
      <c r="D3821" s="55" t="s">
        <v>3355</v>
      </c>
      <c r="E3821" s="90" t="s">
        <v>3334</v>
      </c>
      <c r="G3821" s="55" t="s">
        <v>3275</v>
      </c>
      <c r="H3821" s="55">
        <v>2005</v>
      </c>
      <c r="I3821" s="55">
        <v>1991</v>
      </c>
      <c r="J3821" s="55" t="s">
        <v>2660</v>
      </c>
      <c r="K3821" s="55" t="s">
        <v>3351</v>
      </c>
      <c r="L3821" s="55" t="s">
        <v>2744</v>
      </c>
      <c r="M3821" s="90">
        <v>7.5</v>
      </c>
      <c r="N3821" s="90">
        <f>3+54/60</f>
        <v>3.9</v>
      </c>
      <c r="O3821" s="90">
        <v>213</v>
      </c>
      <c r="S3821" s="90">
        <v>1247</v>
      </c>
      <c r="U3821" s="55" t="s">
        <v>1688</v>
      </c>
      <c r="V3821" s="55" t="s">
        <v>1889</v>
      </c>
      <c r="Y3821" s="55" t="s">
        <v>3354</v>
      </c>
      <c r="Z3821" s="55" t="s">
        <v>1349</v>
      </c>
      <c r="AA3821" s="90" t="s">
        <v>1677</v>
      </c>
      <c r="AE3821" s="90">
        <v>77.2</v>
      </c>
      <c r="AF3821" s="90">
        <v>11</v>
      </c>
      <c r="AH3821" s="55" t="s">
        <v>174</v>
      </c>
      <c r="AI3821" s="168">
        <v>7.8</v>
      </c>
      <c r="AJ3821" s="90">
        <v>2.17</v>
      </c>
      <c r="AM3821" s="55" t="s">
        <v>3352</v>
      </c>
      <c r="AN3821" s="185" t="s">
        <v>3353</v>
      </c>
      <c r="AO3821" s="185" t="s">
        <v>5150</v>
      </c>
      <c r="AQ3821" s="55" t="s">
        <v>553</v>
      </c>
      <c r="AR3821" s="55" t="s">
        <v>1607</v>
      </c>
      <c r="AS3821" s="55" t="s">
        <v>132</v>
      </c>
      <c r="AU3821" s="181" t="s">
        <v>7494</v>
      </c>
      <c r="AV3821" s="185" t="s">
        <v>176</v>
      </c>
      <c r="AX3821" s="185" t="s">
        <v>176</v>
      </c>
      <c r="BK3821" s="55" t="s">
        <v>6333</v>
      </c>
      <c r="BM3821" s="192" t="s">
        <v>3210</v>
      </c>
      <c r="GP3821" s="292" t="s">
        <v>7494</v>
      </c>
    </row>
    <row r="3822" spans="1:198" x14ac:dyDescent="0.25">
      <c r="A3822" s="55">
        <v>3821</v>
      </c>
      <c r="B3822" s="12" t="s">
        <v>7067</v>
      </c>
      <c r="C3822" s="155">
        <v>172</v>
      </c>
      <c r="D3822" s="55" t="s">
        <v>3355</v>
      </c>
      <c r="E3822" s="90" t="s">
        <v>3334</v>
      </c>
      <c r="G3822" s="55" t="s">
        <v>3275</v>
      </c>
      <c r="H3822" s="55">
        <v>2005</v>
      </c>
      <c r="I3822" s="55">
        <v>1992</v>
      </c>
      <c r="J3822" s="55" t="s">
        <v>2660</v>
      </c>
      <c r="K3822" s="55" t="s">
        <v>3351</v>
      </c>
      <c r="L3822" s="55" t="s">
        <v>2744</v>
      </c>
      <c r="M3822" s="90">
        <v>7.5</v>
      </c>
      <c r="N3822" s="90">
        <f>3+54/60</f>
        <v>3.9</v>
      </c>
      <c r="O3822" s="90">
        <v>213</v>
      </c>
      <c r="S3822" s="90">
        <v>1247</v>
      </c>
      <c r="U3822" s="55" t="s">
        <v>1816</v>
      </c>
      <c r="V3822" s="55" t="s">
        <v>1889</v>
      </c>
      <c r="Y3822" s="55" t="s">
        <v>3354</v>
      </c>
      <c r="Z3822" s="55" t="s">
        <v>1379</v>
      </c>
      <c r="AA3822" s="90" t="s">
        <v>1679</v>
      </c>
      <c r="AE3822" s="90">
        <v>77.2</v>
      </c>
      <c r="AF3822" s="90">
        <v>11</v>
      </c>
      <c r="AH3822" s="55" t="s">
        <v>174</v>
      </c>
      <c r="AI3822" s="168">
        <v>7.8</v>
      </c>
      <c r="AJ3822" s="90">
        <v>2.17</v>
      </c>
      <c r="AM3822" s="55" t="s">
        <v>3352</v>
      </c>
      <c r="AN3822" s="185" t="s">
        <v>3353</v>
      </c>
      <c r="AO3822" s="185" t="s">
        <v>5150</v>
      </c>
      <c r="AQ3822" s="55" t="s">
        <v>553</v>
      </c>
      <c r="AR3822" s="55" t="s">
        <v>1607</v>
      </c>
      <c r="AS3822" s="55" t="s">
        <v>132</v>
      </c>
      <c r="AU3822" s="181" t="s">
        <v>7494</v>
      </c>
      <c r="AV3822" s="185" t="s">
        <v>176</v>
      </c>
      <c r="AX3822" s="185" t="s">
        <v>176</v>
      </c>
      <c r="BK3822" s="55" t="s">
        <v>6333</v>
      </c>
      <c r="BM3822" s="192" t="s">
        <v>3210</v>
      </c>
      <c r="BW3822" s="65">
        <v>1470</v>
      </c>
      <c r="BX3822" s="65">
        <v>2370</v>
      </c>
      <c r="CB3822" s="66">
        <v>1210</v>
      </c>
      <c r="CC3822" s="66">
        <v>710</v>
      </c>
      <c r="CM3822" s="65">
        <v>0.59</v>
      </c>
      <c r="CN3822" s="65">
        <v>0.62</v>
      </c>
      <c r="DA3822" s="65" t="s">
        <v>4458</v>
      </c>
      <c r="DG3822" s="65">
        <v>2.4</v>
      </c>
      <c r="DH3822" s="65">
        <v>2.2000000000000002</v>
      </c>
      <c r="DK3822" s="65" t="s">
        <v>3359</v>
      </c>
      <c r="DL3822" s="65">
        <v>0.28000000000000003</v>
      </c>
      <c r="DM3822" s="65">
        <v>0.13</v>
      </c>
      <c r="DP3822" s="65" t="s">
        <v>3360</v>
      </c>
      <c r="DQ3822" s="165">
        <v>6</v>
      </c>
      <c r="DR3822" s="165">
        <v>5.9</v>
      </c>
      <c r="DV3822" s="65">
        <f>3.5+0.5+0.28</f>
        <v>4.28</v>
      </c>
      <c r="DW3822" s="65">
        <f>2.5+0.43+0.13</f>
        <v>3.06</v>
      </c>
      <c r="DZ3822" s="65" t="s">
        <v>2623</v>
      </c>
      <c r="GP3822" s="292" t="s">
        <v>7494</v>
      </c>
    </row>
    <row r="3823" spans="1:198" x14ac:dyDescent="0.25">
      <c r="A3823" s="55">
        <v>3822</v>
      </c>
      <c r="B3823" s="12" t="s">
        <v>7067</v>
      </c>
      <c r="C3823" s="155">
        <v>172</v>
      </c>
      <c r="D3823" s="55" t="s">
        <v>3355</v>
      </c>
      <c r="E3823" s="90" t="s">
        <v>3334</v>
      </c>
      <c r="G3823" s="55" t="s">
        <v>3275</v>
      </c>
      <c r="H3823" s="55">
        <v>2005</v>
      </c>
      <c r="I3823" s="55">
        <v>1992</v>
      </c>
      <c r="J3823" s="55" t="s">
        <v>2660</v>
      </c>
      <c r="K3823" s="55" t="s">
        <v>3351</v>
      </c>
      <c r="L3823" s="55" t="s">
        <v>2744</v>
      </c>
      <c r="M3823" s="90">
        <v>7.5</v>
      </c>
      <c r="N3823" s="90">
        <f>3+54/60</f>
        <v>3.9</v>
      </c>
      <c r="O3823" s="90">
        <v>213</v>
      </c>
      <c r="S3823" s="90">
        <v>1247</v>
      </c>
      <c r="U3823" s="55" t="s">
        <v>1816</v>
      </c>
      <c r="V3823" s="55" t="s">
        <v>1889</v>
      </c>
      <c r="Y3823" s="55" t="s">
        <v>3354</v>
      </c>
      <c r="Z3823" s="55" t="s">
        <v>1379</v>
      </c>
      <c r="AA3823" s="90" t="s">
        <v>1679</v>
      </c>
      <c r="AE3823" s="90">
        <v>77.2</v>
      </c>
      <c r="AF3823" s="90">
        <v>11</v>
      </c>
      <c r="AH3823" s="55" t="s">
        <v>174</v>
      </c>
      <c r="AI3823" s="168">
        <v>7.8</v>
      </c>
      <c r="AJ3823" s="90">
        <v>2.17</v>
      </c>
      <c r="AM3823" s="55" t="s">
        <v>3352</v>
      </c>
      <c r="AN3823" s="185" t="s">
        <v>3353</v>
      </c>
      <c r="AO3823" s="185" t="s">
        <v>5150</v>
      </c>
      <c r="AQ3823" s="55" t="s">
        <v>553</v>
      </c>
      <c r="AR3823" s="55" t="s">
        <v>1607</v>
      </c>
      <c r="AS3823" s="55" t="s">
        <v>132</v>
      </c>
      <c r="AU3823" s="181" t="s">
        <v>7494</v>
      </c>
      <c r="AV3823" s="185" t="s">
        <v>176</v>
      </c>
      <c r="AX3823" s="185" t="s">
        <v>176</v>
      </c>
      <c r="BK3823" s="55" t="s">
        <v>6333</v>
      </c>
      <c r="BM3823" s="192" t="s">
        <v>3210</v>
      </c>
      <c r="BW3823" s="65">
        <v>2290</v>
      </c>
      <c r="BX3823" s="65">
        <v>3320</v>
      </c>
      <c r="CB3823" s="66">
        <v>2120</v>
      </c>
      <c r="CC3823" s="66">
        <v>1410</v>
      </c>
      <c r="CM3823" s="65">
        <v>0.59</v>
      </c>
      <c r="CN3823" s="65">
        <v>0.7</v>
      </c>
      <c r="DA3823" s="65" t="s">
        <v>4458</v>
      </c>
      <c r="DG3823" s="65">
        <v>2.4</v>
      </c>
      <c r="DH3823" s="65">
        <v>2.2000000000000002</v>
      </c>
      <c r="DK3823" s="65" t="s">
        <v>3359</v>
      </c>
      <c r="DL3823" s="65">
        <v>0.28000000000000003</v>
      </c>
      <c r="DM3823" s="65">
        <v>0.15</v>
      </c>
      <c r="DP3823" s="65" t="s">
        <v>3360</v>
      </c>
      <c r="DQ3823" s="165">
        <v>6</v>
      </c>
      <c r="DR3823" s="165">
        <v>5.6</v>
      </c>
      <c r="DV3823" s="65">
        <f>3.5+0.5+0.28</f>
        <v>4.28</v>
      </c>
      <c r="DW3823" s="65">
        <f>2.5+0.45+0.15</f>
        <v>3.1</v>
      </c>
      <c r="DZ3823" s="65" t="s">
        <v>2623</v>
      </c>
      <c r="GP3823" s="292" t="s">
        <v>7494</v>
      </c>
    </row>
    <row r="3824" spans="1:198" x14ac:dyDescent="0.25">
      <c r="A3824" s="55">
        <v>3823</v>
      </c>
      <c r="B3824" s="12" t="s">
        <v>7067</v>
      </c>
      <c r="C3824" s="155">
        <v>172</v>
      </c>
      <c r="D3824" s="55" t="s">
        <v>3355</v>
      </c>
      <c r="E3824" s="90" t="s">
        <v>3334</v>
      </c>
      <c r="G3824" s="55" t="s">
        <v>3275</v>
      </c>
      <c r="H3824" s="55">
        <v>2005</v>
      </c>
      <c r="I3824" s="55">
        <v>1992</v>
      </c>
      <c r="J3824" s="55" t="s">
        <v>2660</v>
      </c>
      <c r="K3824" s="55" t="s">
        <v>3351</v>
      </c>
      <c r="L3824" s="55" t="s">
        <v>2744</v>
      </c>
      <c r="M3824" s="90">
        <v>7.5</v>
      </c>
      <c r="N3824" s="90">
        <f>3+54/60</f>
        <v>3.9</v>
      </c>
      <c r="O3824" s="90">
        <v>213</v>
      </c>
      <c r="S3824" s="90">
        <v>1247</v>
      </c>
      <c r="U3824" s="55" t="s">
        <v>1816</v>
      </c>
      <c r="V3824" s="55" t="s">
        <v>1889</v>
      </c>
      <c r="Y3824" s="55" t="s">
        <v>3354</v>
      </c>
      <c r="Z3824" s="55" t="s">
        <v>1379</v>
      </c>
      <c r="AA3824" s="90" t="s">
        <v>1679</v>
      </c>
      <c r="AE3824" s="90">
        <v>77.2</v>
      </c>
      <c r="AF3824" s="90">
        <v>11</v>
      </c>
      <c r="AH3824" s="55" t="s">
        <v>174</v>
      </c>
      <c r="AI3824" s="168">
        <v>7.8</v>
      </c>
      <c r="AJ3824" s="90">
        <v>2.17</v>
      </c>
      <c r="AM3824" s="55" t="s">
        <v>3352</v>
      </c>
      <c r="AN3824" s="185" t="s">
        <v>3353</v>
      </c>
      <c r="AO3824" s="185" t="s">
        <v>5150</v>
      </c>
      <c r="AQ3824" s="55" t="s">
        <v>553</v>
      </c>
      <c r="AR3824" s="55" t="s">
        <v>1607</v>
      </c>
      <c r="AS3824" s="55" t="s">
        <v>132</v>
      </c>
      <c r="AU3824" s="181" t="s">
        <v>7494</v>
      </c>
      <c r="AV3824" s="185" t="s">
        <v>176</v>
      </c>
      <c r="AX3824" s="185" t="s">
        <v>176</v>
      </c>
      <c r="BK3824" s="55" t="s">
        <v>6333</v>
      </c>
      <c r="BM3824" s="192" t="s">
        <v>3210</v>
      </c>
      <c r="BW3824" s="65">
        <v>3170</v>
      </c>
      <c r="BX3824" s="65">
        <v>3050</v>
      </c>
      <c r="CB3824" s="66">
        <v>3520</v>
      </c>
      <c r="CC3824" s="66">
        <v>2390</v>
      </c>
      <c r="CM3824" s="65">
        <v>0.59</v>
      </c>
      <c r="CN3824" s="65">
        <v>0.75</v>
      </c>
      <c r="DA3824" s="65" t="s">
        <v>4458</v>
      </c>
      <c r="DG3824" s="65">
        <v>2.4</v>
      </c>
      <c r="DH3824" s="65">
        <v>2.4</v>
      </c>
      <c r="DK3824" s="65" t="s">
        <v>3359</v>
      </c>
      <c r="DL3824" s="65">
        <v>0.28000000000000003</v>
      </c>
      <c r="DM3824" s="65">
        <v>0.18</v>
      </c>
      <c r="DP3824" s="65" t="s">
        <v>3360</v>
      </c>
      <c r="DQ3824" s="165">
        <v>6</v>
      </c>
      <c r="DR3824" s="165">
        <v>5.8</v>
      </c>
      <c r="DV3824" s="65">
        <f>3.5+0.5+0.28</f>
        <v>4.28</v>
      </c>
      <c r="DW3824" s="65">
        <f>2.1+0.4+0.18</f>
        <v>2.68</v>
      </c>
      <c r="DZ3824" s="65" t="s">
        <v>2623</v>
      </c>
      <c r="GP3824" s="292" t="s">
        <v>7494</v>
      </c>
    </row>
    <row r="3825" spans="1:198" x14ac:dyDescent="0.25">
      <c r="A3825" s="55">
        <v>3824</v>
      </c>
      <c r="B3825" s="12" t="s">
        <v>7067</v>
      </c>
      <c r="C3825" s="155">
        <v>172</v>
      </c>
      <c r="D3825" s="55" t="s">
        <v>3355</v>
      </c>
      <c r="E3825" s="90" t="s">
        <v>3334</v>
      </c>
      <c r="G3825" s="55" t="s">
        <v>3275</v>
      </c>
      <c r="H3825" s="55">
        <v>2005</v>
      </c>
      <c r="I3825" s="55">
        <v>1992</v>
      </c>
      <c r="J3825" s="55" t="s">
        <v>2660</v>
      </c>
      <c r="K3825" s="55" t="s">
        <v>3351</v>
      </c>
      <c r="L3825" s="55" t="s">
        <v>2744</v>
      </c>
      <c r="M3825" s="90">
        <v>7.5</v>
      </c>
      <c r="N3825" s="90">
        <f>3+54/60</f>
        <v>3.9</v>
      </c>
      <c r="O3825" s="90">
        <v>213</v>
      </c>
      <c r="S3825" s="90">
        <v>1247</v>
      </c>
      <c r="U3825" s="55" t="s">
        <v>1816</v>
      </c>
      <c r="V3825" s="55" t="s">
        <v>1889</v>
      </c>
      <c r="Y3825" s="55" t="s">
        <v>3354</v>
      </c>
      <c r="Z3825" s="55" t="s">
        <v>1349</v>
      </c>
      <c r="AA3825" s="90" t="s">
        <v>1677</v>
      </c>
      <c r="AE3825" s="90">
        <v>77.2</v>
      </c>
      <c r="AF3825" s="90">
        <v>11</v>
      </c>
      <c r="AH3825" s="55" t="s">
        <v>174</v>
      </c>
      <c r="AI3825" s="168">
        <v>7.8</v>
      </c>
      <c r="AJ3825" s="90">
        <v>2.17</v>
      </c>
      <c r="AM3825" s="55" t="s">
        <v>3352</v>
      </c>
      <c r="AN3825" s="185" t="s">
        <v>3353</v>
      </c>
      <c r="AO3825" s="185" t="s">
        <v>5150</v>
      </c>
      <c r="AQ3825" s="55" t="s">
        <v>553</v>
      </c>
      <c r="AR3825" s="55" t="s">
        <v>1607</v>
      </c>
      <c r="AS3825" s="55" t="s">
        <v>132</v>
      </c>
      <c r="AU3825" s="181" t="s">
        <v>7494</v>
      </c>
      <c r="AV3825" s="185" t="s">
        <v>176</v>
      </c>
      <c r="AX3825" s="185" t="s">
        <v>176</v>
      </c>
      <c r="BK3825" s="55" t="s">
        <v>6333</v>
      </c>
      <c r="BM3825" s="192" t="s">
        <v>3210</v>
      </c>
      <c r="GP3825" s="292" t="s">
        <v>7494</v>
      </c>
    </row>
    <row r="3826" spans="1:198" x14ac:dyDescent="0.25">
      <c r="A3826" s="55">
        <v>3825</v>
      </c>
      <c r="B3826" s="12" t="s">
        <v>7067</v>
      </c>
      <c r="C3826" s="155">
        <v>172</v>
      </c>
      <c r="D3826" s="55" t="s">
        <v>3355</v>
      </c>
      <c r="E3826" s="90" t="s">
        <v>3334</v>
      </c>
      <c r="G3826" s="55" t="s">
        <v>3275</v>
      </c>
      <c r="H3826" s="55">
        <v>2005</v>
      </c>
      <c r="I3826" s="55">
        <v>1993</v>
      </c>
      <c r="J3826" s="55" t="s">
        <v>2660</v>
      </c>
      <c r="K3826" s="55" t="s">
        <v>3351</v>
      </c>
      <c r="L3826" s="55" t="s">
        <v>2744</v>
      </c>
      <c r="M3826" s="90">
        <v>7.5</v>
      </c>
      <c r="N3826" s="90">
        <f>3+54/60</f>
        <v>3.9</v>
      </c>
      <c r="O3826" s="90">
        <v>213</v>
      </c>
      <c r="S3826" s="90">
        <v>1247</v>
      </c>
      <c r="U3826" s="55" t="s">
        <v>1682</v>
      </c>
      <c r="V3826" s="55" t="s">
        <v>1889</v>
      </c>
      <c r="Y3826" s="55" t="s">
        <v>3354</v>
      </c>
      <c r="Z3826" s="55" t="s">
        <v>1349</v>
      </c>
      <c r="AA3826" s="90" t="s">
        <v>1677</v>
      </c>
      <c r="AE3826" s="90">
        <v>77.2</v>
      </c>
      <c r="AF3826" s="90">
        <v>11</v>
      </c>
      <c r="AH3826" s="55" t="s">
        <v>174</v>
      </c>
      <c r="AI3826" s="168">
        <v>7.8</v>
      </c>
      <c r="AJ3826" s="90">
        <v>2.17</v>
      </c>
      <c r="AM3826" s="55" t="s">
        <v>3352</v>
      </c>
      <c r="AN3826" s="185" t="s">
        <v>3353</v>
      </c>
      <c r="AO3826" s="185" t="s">
        <v>5150</v>
      </c>
      <c r="AQ3826" s="55" t="s">
        <v>553</v>
      </c>
      <c r="AR3826" s="55" t="s">
        <v>1607</v>
      </c>
      <c r="AS3826" s="55" t="s">
        <v>132</v>
      </c>
      <c r="AU3826" s="181" t="s">
        <v>7494</v>
      </c>
      <c r="AV3826" s="185" t="s">
        <v>176</v>
      </c>
      <c r="AX3826" s="185" t="s">
        <v>176</v>
      </c>
      <c r="BK3826" s="55" t="s">
        <v>6333</v>
      </c>
      <c r="BM3826" s="192" t="s">
        <v>3210</v>
      </c>
      <c r="BW3826" s="65">
        <v>1310</v>
      </c>
      <c r="BX3826" s="65">
        <v>1580</v>
      </c>
      <c r="CB3826" s="66">
        <v>1160</v>
      </c>
      <c r="CC3826" s="66">
        <v>1490</v>
      </c>
      <c r="GP3826" s="292" t="s">
        <v>7494</v>
      </c>
    </row>
    <row r="3827" spans="1:198" x14ac:dyDescent="0.25">
      <c r="A3827" s="55">
        <v>3826</v>
      </c>
      <c r="B3827" s="12" t="s">
        <v>7067</v>
      </c>
      <c r="C3827" s="155">
        <v>172</v>
      </c>
      <c r="D3827" s="55" t="s">
        <v>3355</v>
      </c>
      <c r="E3827" s="90" t="s">
        <v>3334</v>
      </c>
      <c r="G3827" s="55" t="s">
        <v>3275</v>
      </c>
      <c r="H3827" s="55">
        <v>2005</v>
      </c>
      <c r="I3827" s="55">
        <v>1993</v>
      </c>
      <c r="J3827" s="55" t="s">
        <v>2660</v>
      </c>
      <c r="K3827" s="55" t="s">
        <v>3351</v>
      </c>
      <c r="L3827" s="55" t="s">
        <v>2744</v>
      </c>
      <c r="M3827" s="90">
        <v>7.5</v>
      </c>
      <c r="N3827" s="90">
        <f>3+54/60</f>
        <v>3.9</v>
      </c>
      <c r="O3827" s="90">
        <v>213</v>
      </c>
      <c r="S3827" s="90">
        <v>1247</v>
      </c>
      <c r="U3827" s="55" t="s">
        <v>1682</v>
      </c>
      <c r="V3827" s="55" t="s">
        <v>1889</v>
      </c>
      <c r="Y3827" s="55" t="s">
        <v>3354</v>
      </c>
      <c r="Z3827" s="55" t="s">
        <v>1349</v>
      </c>
      <c r="AA3827" s="90" t="s">
        <v>1677</v>
      </c>
      <c r="AE3827" s="90">
        <v>77.2</v>
      </c>
      <c r="AF3827" s="90">
        <v>11</v>
      </c>
      <c r="AH3827" s="55" t="s">
        <v>174</v>
      </c>
      <c r="AI3827" s="168">
        <v>7.8</v>
      </c>
      <c r="AJ3827" s="90">
        <v>2.17</v>
      </c>
      <c r="AM3827" s="55" t="s">
        <v>3352</v>
      </c>
      <c r="AN3827" s="185" t="s">
        <v>3353</v>
      </c>
      <c r="AO3827" s="185" t="s">
        <v>5150</v>
      </c>
      <c r="AQ3827" s="55" t="s">
        <v>553</v>
      </c>
      <c r="AR3827" s="55" t="s">
        <v>1607</v>
      </c>
      <c r="AS3827" s="55" t="s">
        <v>132</v>
      </c>
      <c r="AU3827" s="181" t="s">
        <v>7494</v>
      </c>
      <c r="AV3827" s="185" t="s">
        <v>176</v>
      </c>
      <c r="AX3827" s="185" t="s">
        <v>176</v>
      </c>
      <c r="BK3827" s="55" t="s">
        <v>6333</v>
      </c>
      <c r="BM3827" s="192" t="s">
        <v>3210</v>
      </c>
      <c r="BW3827" s="65">
        <v>2620</v>
      </c>
      <c r="BX3827" s="65">
        <v>3320</v>
      </c>
      <c r="CB3827" s="66">
        <v>2460</v>
      </c>
      <c r="CC3827" s="66">
        <v>2410</v>
      </c>
      <c r="GP3827" s="292" t="s">
        <v>7494</v>
      </c>
    </row>
    <row r="3828" spans="1:198" x14ac:dyDescent="0.25">
      <c r="A3828" s="55">
        <v>3827</v>
      </c>
      <c r="B3828" s="12" t="s">
        <v>7067</v>
      </c>
      <c r="C3828" s="155">
        <v>172</v>
      </c>
      <c r="D3828" s="55" t="s">
        <v>3355</v>
      </c>
      <c r="E3828" s="90" t="s">
        <v>3334</v>
      </c>
      <c r="G3828" s="55" t="s">
        <v>3275</v>
      </c>
      <c r="H3828" s="55">
        <v>2005</v>
      </c>
      <c r="I3828" s="55">
        <v>1993</v>
      </c>
      <c r="J3828" s="55" t="s">
        <v>2660</v>
      </c>
      <c r="K3828" s="55" t="s">
        <v>3351</v>
      </c>
      <c r="L3828" s="55" t="s">
        <v>2744</v>
      </c>
      <c r="M3828" s="90">
        <v>7.5</v>
      </c>
      <c r="N3828" s="90">
        <f>3+54/60</f>
        <v>3.9</v>
      </c>
      <c r="O3828" s="90">
        <v>213</v>
      </c>
      <c r="S3828" s="90">
        <v>1247</v>
      </c>
      <c r="U3828" s="55" t="s">
        <v>1682</v>
      </c>
      <c r="V3828" s="55" t="s">
        <v>1889</v>
      </c>
      <c r="Y3828" s="55" t="s">
        <v>3354</v>
      </c>
      <c r="Z3828" s="55" t="s">
        <v>1349</v>
      </c>
      <c r="AA3828" s="90" t="s">
        <v>1677</v>
      </c>
      <c r="AE3828" s="90">
        <v>77.2</v>
      </c>
      <c r="AF3828" s="90">
        <v>11</v>
      </c>
      <c r="AH3828" s="55" t="s">
        <v>174</v>
      </c>
      <c r="AI3828" s="168">
        <v>7.8</v>
      </c>
      <c r="AJ3828" s="90">
        <v>2.17</v>
      </c>
      <c r="AM3828" s="55" t="s">
        <v>3352</v>
      </c>
      <c r="AN3828" s="185" t="s">
        <v>3353</v>
      </c>
      <c r="AO3828" s="185" t="s">
        <v>5150</v>
      </c>
      <c r="AQ3828" s="55" t="s">
        <v>553</v>
      </c>
      <c r="AR3828" s="55" t="s">
        <v>1607</v>
      </c>
      <c r="AS3828" s="55" t="s">
        <v>132</v>
      </c>
      <c r="AU3828" s="181" t="s">
        <v>7494</v>
      </c>
      <c r="AV3828" s="185" t="s">
        <v>176</v>
      </c>
      <c r="AX3828" s="185" t="s">
        <v>176</v>
      </c>
      <c r="BK3828" s="55" t="s">
        <v>6333</v>
      </c>
      <c r="BM3828" s="192" t="s">
        <v>3210</v>
      </c>
      <c r="BW3828" s="65">
        <v>3900</v>
      </c>
      <c r="BX3828" s="65">
        <v>3730</v>
      </c>
      <c r="CB3828" s="66">
        <v>3250</v>
      </c>
      <c r="CC3828" s="66">
        <v>3150</v>
      </c>
      <c r="GP3828" s="292" t="s">
        <v>7494</v>
      </c>
    </row>
    <row r="3829" spans="1:198" x14ac:dyDescent="0.25">
      <c r="A3829" s="55">
        <v>3828</v>
      </c>
      <c r="B3829" s="12" t="s">
        <v>7067</v>
      </c>
      <c r="C3829" s="155">
        <v>172</v>
      </c>
      <c r="D3829" s="55" t="s">
        <v>3355</v>
      </c>
      <c r="E3829" s="90" t="s">
        <v>3334</v>
      </c>
      <c r="G3829" s="55" t="s">
        <v>3275</v>
      </c>
      <c r="H3829" s="55">
        <v>2005</v>
      </c>
      <c r="I3829" s="55">
        <v>1993</v>
      </c>
      <c r="J3829" s="55" t="s">
        <v>2660</v>
      </c>
      <c r="K3829" s="55" t="s">
        <v>3351</v>
      </c>
      <c r="L3829" s="55" t="s">
        <v>2744</v>
      </c>
      <c r="M3829" s="90">
        <v>7.5</v>
      </c>
      <c r="N3829" s="90">
        <f>3+54/60</f>
        <v>3.9</v>
      </c>
      <c r="O3829" s="90">
        <v>213</v>
      </c>
      <c r="S3829" s="90">
        <v>1247</v>
      </c>
      <c r="U3829" s="55" t="s">
        <v>1682</v>
      </c>
      <c r="V3829" s="55" t="s">
        <v>1889</v>
      </c>
      <c r="Y3829" s="55" t="s">
        <v>3354</v>
      </c>
      <c r="Z3829" s="55" t="s">
        <v>1349</v>
      </c>
      <c r="AA3829" s="90" t="s">
        <v>1677</v>
      </c>
      <c r="AE3829" s="90">
        <v>77.2</v>
      </c>
      <c r="AF3829" s="90">
        <v>11</v>
      </c>
      <c r="AH3829" s="55" t="s">
        <v>174</v>
      </c>
      <c r="AI3829" s="168">
        <v>7.8</v>
      </c>
      <c r="AJ3829" s="90">
        <v>2.17</v>
      </c>
      <c r="AM3829" s="55" t="s">
        <v>3352</v>
      </c>
      <c r="AN3829" s="185" t="s">
        <v>3353</v>
      </c>
      <c r="AO3829" s="185" t="s">
        <v>5150</v>
      </c>
      <c r="AQ3829" s="55" t="s">
        <v>553</v>
      </c>
      <c r="AR3829" s="55" t="s">
        <v>1607</v>
      </c>
      <c r="AS3829" s="55" t="s">
        <v>132</v>
      </c>
      <c r="AU3829" s="181" t="s">
        <v>7494</v>
      </c>
      <c r="AV3829" s="185" t="s">
        <v>176</v>
      </c>
      <c r="AX3829" s="185" t="s">
        <v>176</v>
      </c>
      <c r="BK3829" s="55" t="s">
        <v>6333</v>
      </c>
      <c r="BM3829" s="192" t="s">
        <v>3210</v>
      </c>
      <c r="BW3829" s="65">
        <v>3440</v>
      </c>
      <c r="BX3829" s="65">
        <v>3780</v>
      </c>
      <c r="CB3829" s="66">
        <v>3190</v>
      </c>
      <c r="CC3829" s="66">
        <v>3120</v>
      </c>
      <c r="GP3829" s="292" t="s">
        <v>7494</v>
      </c>
    </row>
    <row r="3830" spans="1:198" x14ac:dyDescent="0.25">
      <c r="A3830" s="55">
        <v>3829</v>
      </c>
      <c r="B3830" s="12" t="s">
        <v>7067</v>
      </c>
      <c r="C3830" s="155">
        <v>172</v>
      </c>
      <c r="D3830" s="55" t="s">
        <v>3355</v>
      </c>
      <c r="E3830" s="90" t="s">
        <v>3334</v>
      </c>
      <c r="G3830" s="55" t="s">
        <v>3275</v>
      </c>
      <c r="H3830" s="55">
        <v>2005</v>
      </c>
      <c r="I3830" s="55">
        <v>1994</v>
      </c>
      <c r="J3830" s="55" t="s">
        <v>2660</v>
      </c>
      <c r="K3830" s="55" t="s">
        <v>3351</v>
      </c>
      <c r="L3830" s="55" t="s">
        <v>2744</v>
      </c>
      <c r="M3830" s="90">
        <v>7.5</v>
      </c>
      <c r="N3830" s="90">
        <f>3+54/60</f>
        <v>3.9</v>
      </c>
      <c r="O3830" s="90">
        <v>213</v>
      </c>
      <c r="S3830" s="90">
        <v>1247</v>
      </c>
      <c r="U3830" s="55" t="s">
        <v>1801</v>
      </c>
      <c r="V3830" s="55" t="s">
        <v>1889</v>
      </c>
      <c r="Y3830" s="55" t="s">
        <v>3354</v>
      </c>
      <c r="Z3830" s="55" t="s">
        <v>1349</v>
      </c>
      <c r="AA3830" s="90" t="s">
        <v>1677</v>
      </c>
      <c r="AE3830" s="90">
        <v>77.2</v>
      </c>
      <c r="AF3830" s="90">
        <v>11</v>
      </c>
      <c r="AH3830" s="55" t="s">
        <v>174</v>
      </c>
      <c r="AI3830" s="168">
        <v>7.8</v>
      </c>
      <c r="AJ3830" s="90">
        <v>2.17</v>
      </c>
      <c r="AM3830" s="55" t="s">
        <v>3352</v>
      </c>
      <c r="AN3830" s="185" t="s">
        <v>3353</v>
      </c>
      <c r="AO3830" s="185" t="s">
        <v>5150</v>
      </c>
      <c r="AQ3830" s="55" t="s">
        <v>553</v>
      </c>
      <c r="AR3830" s="55" t="s">
        <v>1607</v>
      </c>
      <c r="AS3830" s="55" t="s">
        <v>132</v>
      </c>
      <c r="AU3830" s="181" t="s">
        <v>7494</v>
      </c>
      <c r="AV3830" s="185" t="s">
        <v>176</v>
      </c>
      <c r="AX3830" s="185" t="s">
        <v>176</v>
      </c>
      <c r="BK3830" s="55" t="s">
        <v>6333</v>
      </c>
      <c r="BM3830" s="192" t="s">
        <v>3210</v>
      </c>
      <c r="BW3830" s="65">
        <v>1360</v>
      </c>
      <c r="BX3830" s="65">
        <v>1390</v>
      </c>
      <c r="CB3830" s="66">
        <v>1100</v>
      </c>
      <c r="CC3830" s="66">
        <v>1280</v>
      </c>
      <c r="GP3830" s="292" t="s">
        <v>7494</v>
      </c>
    </row>
    <row r="3831" spans="1:198" x14ac:dyDescent="0.25">
      <c r="A3831" s="55">
        <v>3830</v>
      </c>
      <c r="B3831" s="12" t="s">
        <v>7067</v>
      </c>
      <c r="C3831" s="155">
        <v>172</v>
      </c>
      <c r="D3831" s="55" t="s">
        <v>3355</v>
      </c>
      <c r="E3831" s="90" t="s">
        <v>3334</v>
      </c>
      <c r="G3831" s="55" t="s">
        <v>3275</v>
      </c>
      <c r="H3831" s="55">
        <v>2005</v>
      </c>
      <c r="I3831" s="55">
        <v>1994</v>
      </c>
      <c r="J3831" s="55" t="s">
        <v>2660</v>
      </c>
      <c r="K3831" s="55" t="s">
        <v>3351</v>
      </c>
      <c r="L3831" s="55" t="s">
        <v>2744</v>
      </c>
      <c r="M3831" s="90">
        <v>7.5</v>
      </c>
      <c r="N3831" s="90">
        <f>3+54/60</f>
        <v>3.9</v>
      </c>
      <c r="O3831" s="90">
        <v>213</v>
      </c>
      <c r="S3831" s="90">
        <v>1247</v>
      </c>
      <c r="U3831" s="55" t="s">
        <v>1801</v>
      </c>
      <c r="V3831" s="55" t="s">
        <v>1889</v>
      </c>
      <c r="Y3831" s="55" t="s">
        <v>3354</v>
      </c>
      <c r="Z3831" s="55" t="s">
        <v>1349</v>
      </c>
      <c r="AA3831" s="90" t="s">
        <v>1677</v>
      </c>
      <c r="AE3831" s="90">
        <v>77.2</v>
      </c>
      <c r="AF3831" s="90">
        <v>11</v>
      </c>
      <c r="AH3831" s="55" t="s">
        <v>174</v>
      </c>
      <c r="AI3831" s="168">
        <v>7.8</v>
      </c>
      <c r="AJ3831" s="90">
        <v>2.17</v>
      </c>
      <c r="AM3831" s="55" t="s">
        <v>3352</v>
      </c>
      <c r="AN3831" s="185" t="s">
        <v>3353</v>
      </c>
      <c r="AO3831" s="185" t="s">
        <v>5150</v>
      </c>
      <c r="AQ3831" s="55" t="s">
        <v>553</v>
      </c>
      <c r="AR3831" s="55" t="s">
        <v>1607</v>
      </c>
      <c r="AS3831" s="55" t="s">
        <v>132</v>
      </c>
      <c r="AU3831" s="181" t="s">
        <v>7494</v>
      </c>
      <c r="AV3831" s="185" t="s">
        <v>176</v>
      </c>
      <c r="AX3831" s="185" t="s">
        <v>176</v>
      </c>
      <c r="BK3831" s="55" t="s">
        <v>6333</v>
      </c>
      <c r="BM3831" s="192" t="s">
        <v>3210</v>
      </c>
      <c r="BW3831" s="65">
        <v>2110</v>
      </c>
      <c r="BX3831" s="65">
        <v>2850</v>
      </c>
      <c r="CB3831" s="66">
        <v>2090</v>
      </c>
      <c r="CC3831" s="66">
        <v>2050</v>
      </c>
      <c r="GP3831" s="292" t="s">
        <v>7494</v>
      </c>
    </row>
    <row r="3832" spans="1:198" x14ac:dyDescent="0.25">
      <c r="A3832" s="55">
        <v>3831</v>
      </c>
      <c r="B3832" s="12" t="s">
        <v>7067</v>
      </c>
      <c r="C3832" s="155">
        <v>172</v>
      </c>
      <c r="D3832" s="55" t="s">
        <v>3355</v>
      </c>
      <c r="E3832" s="90" t="s">
        <v>3334</v>
      </c>
      <c r="G3832" s="55" t="s">
        <v>3275</v>
      </c>
      <c r="H3832" s="55">
        <v>2005</v>
      </c>
      <c r="I3832" s="55">
        <v>1994</v>
      </c>
      <c r="J3832" s="55" t="s">
        <v>2660</v>
      </c>
      <c r="K3832" s="55" t="s">
        <v>3351</v>
      </c>
      <c r="L3832" s="55" t="s">
        <v>2744</v>
      </c>
      <c r="M3832" s="90">
        <v>7.5</v>
      </c>
      <c r="N3832" s="90">
        <f>3+54/60</f>
        <v>3.9</v>
      </c>
      <c r="O3832" s="90">
        <v>213</v>
      </c>
      <c r="S3832" s="90">
        <v>1247</v>
      </c>
      <c r="U3832" s="55" t="s">
        <v>1801</v>
      </c>
      <c r="V3832" s="55" t="s">
        <v>1889</v>
      </c>
      <c r="Y3832" s="55" t="s">
        <v>3354</v>
      </c>
      <c r="Z3832" s="55" t="s">
        <v>1349</v>
      </c>
      <c r="AA3832" s="90" t="s">
        <v>1677</v>
      </c>
      <c r="AE3832" s="90">
        <v>77.2</v>
      </c>
      <c r="AF3832" s="90">
        <v>11</v>
      </c>
      <c r="AH3832" s="55" t="s">
        <v>174</v>
      </c>
      <c r="AI3832" s="168">
        <v>7.8</v>
      </c>
      <c r="AJ3832" s="90">
        <v>2.17</v>
      </c>
      <c r="AM3832" s="55" t="s">
        <v>3352</v>
      </c>
      <c r="AN3832" s="185" t="s">
        <v>3353</v>
      </c>
      <c r="AO3832" s="185" t="s">
        <v>5150</v>
      </c>
      <c r="AQ3832" s="55" t="s">
        <v>553</v>
      </c>
      <c r="AR3832" s="55" t="s">
        <v>1607</v>
      </c>
      <c r="AS3832" s="55" t="s">
        <v>132</v>
      </c>
      <c r="AU3832" s="181" t="s">
        <v>7494</v>
      </c>
      <c r="AV3832" s="185" t="s">
        <v>176</v>
      </c>
      <c r="AX3832" s="185" t="s">
        <v>176</v>
      </c>
      <c r="BK3832" s="55" t="s">
        <v>6333</v>
      </c>
      <c r="BM3832" s="192" t="s">
        <v>3210</v>
      </c>
      <c r="BW3832" s="65">
        <v>2920</v>
      </c>
      <c r="BX3832" s="65">
        <v>3270</v>
      </c>
      <c r="CB3832" s="66">
        <v>2780</v>
      </c>
      <c r="CC3832" s="66">
        <v>2790</v>
      </c>
      <c r="GP3832" s="292" t="s">
        <v>7494</v>
      </c>
    </row>
    <row r="3833" spans="1:198" x14ac:dyDescent="0.25">
      <c r="A3833" s="55">
        <v>3832</v>
      </c>
      <c r="B3833" s="12" t="s">
        <v>7067</v>
      </c>
      <c r="C3833" s="155">
        <v>172</v>
      </c>
      <c r="D3833" s="55" t="s">
        <v>3355</v>
      </c>
      <c r="E3833" s="90" t="s">
        <v>3334</v>
      </c>
      <c r="G3833" s="55" t="s">
        <v>3275</v>
      </c>
      <c r="H3833" s="55">
        <v>2005</v>
      </c>
      <c r="I3833" s="55">
        <v>1994</v>
      </c>
      <c r="J3833" s="55" t="s">
        <v>2660</v>
      </c>
      <c r="K3833" s="55" t="s">
        <v>3351</v>
      </c>
      <c r="L3833" s="55" t="s">
        <v>2744</v>
      </c>
      <c r="M3833" s="90">
        <v>7.5</v>
      </c>
      <c r="N3833" s="90">
        <f>3+54/60</f>
        <v>3.9</v>
      </c>
      <c r="O3833" s="90">
        <v>213</v>
      </c>
      <c r="S3833" s="90">
        <v>1247</v>
      </c>
      <c r="U3833" s="55" t="s">
        <v>1801</v>
      </c>
      <c r="V3833" s="55" t="s">
        <v>1889</v>
      </c>
      <c r="Y3833" s="55" t="s">
        <v>3354</v>
      </c>
      <c r="Z3833" s="55" t="s">
        <v>1349</v>
      </c>
      <c r="AA3833" s="90" t="s">
        <v>1677</v>
      </c>
      <c r="AE3833" s="90">
        <v>77.2</v>
      </c>
      <c r="AF3833" s="90">
        <v>11</v>
      </c>
      <c r="AH3833" s="55" t="s">
        <v>174</v>
      </c>
      <c r="AI3833" s="168">
        <v>7.8</v>
      </c>
      <c r="AJ3833" s="90">
        <v>2.17</v>
      </c>
      <c r="AM3833" s="55" t="s">
        <v>3352</v>
      </c>
      <c r="AN3833" s="185" t="s">
        <v>3353</v>
      </c>
      <c r="AO3833" s="185" t="s">
        <v>5150</v>
      </c>
      <c r="AQ3833" s="55" t="s">
        <v>553</v>
      </c>
      <c r="AR3833" s="55" t="s">
        <v>1607</v>
      </c>
      <c r="AS3833" s="55" t="s">
        <v>132</v>
      </c>
      <c r="AU3833" s="181" t="s">
        <v>7494</v>
      </c>
      <c r="AV3833" s="185" t="s">
        <v>176</v>
      </c>
      <c r="AX3833" s="185" t="s">
        <v>176</v>
      </c>
      <c r="BK3833" s="55" t="s">
        <v>6333</v>
      </c>
      <c r="BM3833" s="192" t="s">
        <v>3210</v>
      </c>
      <c r="BW3833" s="65">
        <v>3460</v>
      </c>
      <c r="BX3833" s="65">
        <v>4540</v>
      </c>
      <c r="CB3833" s="66">
        <v>2960</v>
      </c>
      <c r="CC3833" s="66">
        <v>2610</v>
      </c>
      <c r="GP3833" s="292" t="s">
        <v>7494</v>
      </c>
    </row>
    <row r="3834" spans="1:198" x14ac:dyDescent="0.25">
      <c r="A3834" s="55">
        <v>3833</v>
      </c>
      <c r="B3834" s="12" t="s">
        <v>7067</v>
      </c>
      <c r="C3834" s="155">
        <v>172</v>
      </c>
      <c r="D3834" s="55" t="s">
        <v>3355</v>
      </c>
      <c r="E3834" s="90" t="s">
        <v>3334</v>
      </c>
      <c r="G3834" s="55" t="s">
        <v>3275</v>
      </c>
      <c r="H3834" s="55">
        <v>2005</v>
      </c>
      <c r="I3834" s="55">
        <v>1995</v>
      </c>
      <c r="J3834" s="55" t="s">
        <v>2660</v>
      </c>
      <c r="K3834" s="55" t="s">
        <v>3351</v>
      </c>
      <c r="L3834" s="55" t="s">
        <v>2744</v>
      </c>
      <c r="M3834" s="90">
        <v>7.5</v>
      </c>
      <c r="N3834" s="90">
        <f>3+54/60</f>
        <v>3.9</v>
      </c>
      <c r="O3834" s="90">
        <v>213</v>
      </c>
      <c r="S3834" s="90">
        <v>1247</v>
      </c>
      <c r="U3834" s="55" t="s">
        <v>1694</v>
      </c>
      <c r="V3834" s="55" t="s">
        <v>1889</v>
      </c>
      <c r="Y3834" s="55" t="s">
        <v>3354</v>
      </c>
      <c r="Z3834" s="55" t="s">
        <v>1349</v>
      </c>
      <c r="AA3834" s="90" t="s">
        <v>1677</v>
      </c>
      <c r="AE3834" s="90">
        <v>77.2</v>
      </c>
      <c r="AF3834" s="90">
        <v>11</v>
      </c>
      <c r="AH3834" s="55" t="s">
        <v>174</v>
      </c>
      <c r="AI3834" s="168">
        <v>7.8</v>
      </c>
      <c r="AJ3834" s="90">
        <v>2.17</v>
      </c>
      <c r="AM3834" s="55" t="s">
        <v>3352</v>
      </c>
      <c r="AN3834" s="185" t="s">
        <v>3353</v>
      </c>
      <c r="AO3834" s="185" t="s">
        <v>5150</v>
      </c>
      <c r="AQ3834" s="55" t="s">
        <v>553</v>
      </c>
      <c r="AR3834" s="55" t="s">
        <v>1607</v>
      </c>
      <c r="AS3834" s="55" t="s">
        <v>132</v>
      </c>
      <c r="AU3834" s="181" t="s">
        <v>7494</v>
      </c>
      <c r="AV3834" s="185" t="s">
        <v>176</v>
      </c>
      <c r="AX3834" s="185" t="s">
        <v>176</v>
      </c>
      <c r="BK3834" s="55" t="s">
        <v>6333</v>
      </c>
      <c r="BM3834" s="192" t="s">
        <v>3210</v>
      </c>
      <c r="CB3834" s="66">
        <v>630</v>
      </c>
      <c r="CC3834" s="66">
        <v>1020</v>
      </c>
      <c r="GP3834" s="292" t="s">
        <v>7494</v>
      </c>
    </row>
    <row r="3835" spans="1:198" x14ac:dyDescent="0.25">
      <c r="A3835" s="55">
        <v>3834</v>
      </c>
      <c r="B3835" s="12" t="s">
        <v>7067</v>
      </c>
      <c r="C3835" s="155">
        <v>172</v>
      </c>
      <c r="D3835" s="55" t="s">
        <v>3355</v>
      </c>
      <c r="E3835" s="90" t="s">
        <v>3334</v>
      </c>
      <c r="G3835" s="55" t="s">
        <v>3275</v>
      </c>
      <c r="H3835" s="55">
        <v>2005</v>
      </c>
      <c r="I3835" s="55">
        <v>1995</v>
      </c>
      <c r="J3835" s="55" t="s">
        <v>2660</v>
      </c>
      <c r="K3835" s="55" t="s">
        <v>3351</v>
      </c>
      <c r="L3835" s="55" t="s">
        <v>2744</v>
      </c>
      <c r="M3835" s="90">
        <v>7.5</v>
      </c>
      <c r="N3835" s="90">
        <f>3+54/60</f>
        <v>3.9</v>
      </c>
      <c r="O3835" s="90">
        <v>213</v>
      </c>
      <c r="S3835" s="90">
        <v>1247</v>
      </c>
      <c r="U3835" s="55" t="s">
        <v>1694</v>
      </c>
      <c r="V3835" s="55" t="s">
        <v>1889</v>
      </c>
      <c r="Y3835" s="55" t="s">
        <v>3354</v>
      </c>
      <c r="Z3835" s="55" t="s">
        <v>1349</v>
      </c>
      <c r="AA3835" s="90" t="s">
        <v>1677</v>
      </c>
      <c r="AE3835" s="90">
        <v>77.2</v>
      </c>
      <c r="AF3835" s="90">
        <v>11</v>
      </c>
      <c r="AH3835" s="55" t="s">
        <v>174</v>
      </c>
      <c r="AI3835" s="168">
        <v>7.8</v>
      </c>
      <c r="AJ3835" s="90">
        <v>2.17</v>
      </c>
      <c r="AM3835" s="55" t="s">
        <v>3352</v>
      </c>
      <c r="AN3835" s="185" t="s">
        <v>3353</v>
      </c>
      <c r="AO3835" s="185" t="s">
        <v>5150</v>
      </c>
      <c r="AQ3835" s="55" t="s">
        <v>553</v>
      </c>
      <c r="AR3835" s="55" t="s">
        <v>1607</v>
      </c>
      <c r="AS3835" s="55" t="s">
        <v>132</v>
      </c>
      <c r="AU3835" s="181" t="s">
        <v>7494</v>
      </c>
      <c r="AV3835" s="185" t="s">
        <v>176</v>
      </c>
      <c r="AX3835" s="185" t="s">
        <v>176</v>
      </c>
      <c r="BK3835" s="55" t="s">
        <v>6333</v>
      </c>
      <c r="BM3835" s="192" t="s">
        <v>3210</v>
      </c>
      <c r="CB3835" s="66">
        <v>1380</v>
      </c>
      <c r="CC3835" s="66">
        <v>1370</v>
      </c>
      <c r="GP3835" s="292" t="s">
        <v>7494</v>
      </c>
    </row>
    <row r="3836" spans="1:198" x14ac:dyDescent="0.25">
      <c r="A3836" s="55">
        <v>3835</v>
      </c>
      <c r="B3836" s="12" t="s">
        <v>7067</v>
      </c>
      <c r="C3836" s="155">
        <v>172</v>
      </c>
      <c r="D3836" s="55" t="s">
        <v>3355</v>
      </c>
      <c r="E3836" s="90" t="s">
        <v>3334</v>
      </c>
      <c r="G3836" s="55" t="s">
        <v>3275</v>
      </c>
      <c r="H3836" s="55">
        <v>2005</v>
      </c>
      <c r="I3836" s="55">
        <v>1995</v>
      </c>
      <c r="J3836" s="55" t="s">
        <v>2660</v>
      </c>
      <c r="K3836" s="55" t="s">
        <v>3351</v>
      </c>
      <c r="L3836" s="55" t="s">
        <v>2744</v>
      </c>
      <c r="M3836" s="90">
        <v>7.5</v>
      </c>
      <c r="N3836" s="90">
        <f>3+54/60</f>
        <v>3.9</v>
      </c>
      <c r="O3836" s="90">
        <v>213</v>
      </c>
      <c r="S3836" s="90">
        <v>1247</v>
      </c>
      <c r="U3836" s="55" t="s">
        <v>1694</v>
      </c>
      <c r="V3836" s="55" t="s">
        <v>1889</v>
      </c>
      <c r="Y3836" s="55" t="s">
        <v>3354</v>
      </c>
      <c r="Z3836" s="55" t="s">
        <v>1349</v>
      </c>
      <c r="AA3836" s="90" t="s">
        <v>1677</v>
      </c>
      <c r="AE3836" s="90">
        <v>77.2</v>
      </c>
      <c r="AF3836" s="90">
        <v>11</v>
      </c>
      <c r="AH3836" s="55" t="s">
        <v>174</v>
      </c>
      <c r="AI3836" s="168">
        <v>7.8</v>
      </c>
      <c r="AJ3836" s="90">
        <v>2.17</v>
      </c>
      <c r="AM3836" s="55" t="s">
        <v>3352</v>
      </c>
      <c r="AN3836" s="185" t="s">
        <v>3353</v>
      </c>
      <c r="AO3836" s="185" t="s">
        <v>5150</v>
      </c>
      <c r="AQ3836" s="55" t="s">
        <v>553</v>
      </c>
      <c r="AR3836" s="55" t="s">
        <v>1607</v>
      </c>
      <c r="AS3836" s="55" t="s">
        <v>132</v>
      </c>
      <c r="AU3836" s="181" t="s">
        <v>7494</v>
      </c>
      <c r="AV3836" s="185" t="s">
        <v>176</v>
      </c>
      <c r="AX3836" s="185" t="s">
        <v>176</v>
      </c>
      <c r="BK3836" s="55" t="s">
        <v>6333</v>
      </c>
      <c r="BM3836" s="192" t="s">
        <v>3210</v>
      </c>
      <c r="CB3836" s="66">
        <v>1970</v>
      </c>
      <c r="CC3836" s="66">
        <v>1740</v>
      </c>
      <c r="GP3836" s="292" t="s">
        <v>7494</v>
      </c>
    </row>
    <row r="3837" spans="1:198" x14ac:dyDescent="0.25">
      <c r="A3837" s="55">
        <v>3836</v>
      </c>
      <c r="B3837" s="12" t="s">
        <v>7067</v>
      </c>
      <c r="C3837" s="155">
        <v>172</v>
      </c>
      <c r="D3837" s="55" t="s">
        <v>3355</v>
      </c>
      <c r="E3837" s="90" t="s">
        <v>3334</v>
      </c>
      <c r="G3837" s="55" t="s">
        <v>3275</v>
      </c>
      <c r="H3837" s="55">
        <v>2005</v>
      </c>
      <c r="I3837" s="55">
        <v>1995</v>
      </c>
      <c r="J3837" s="55" t="s">
        <v>2660</v>
      </c>
      <c r="K3837" s="55" t="s">
        <v>3351</v>
      </c>
      <c r="L3837" s="55" t="s">
        <v>2744</v>
      </c>
      <c r="M3837" s="90">
        <v>7.5</v>
      </c>
      <c r="N3837" s="90">
        <f>3+54/60</f>
        <v>3.9</v>
      </c>
      <c r="O3837" s="90">
        <v>213</v>
      </c>
      <c r="S3837" s="90">
        <v>1247</v>
      </c>
      <c r="U3837" s="55" t="s">
        <v>1694</v>
      </c>
      <c r="V3837" s="55" t="s">
        <v>1889</v>
      </c>
      <c r="Y3837" s="55" t="s">
        <v>3354</v>
      </c>
      <c r="Z3837" s="55" t="s">
        <v>1349</v>
      </c>
      <c r="AA3837" s="90" t="s">
        <v>1677</v>
      </c>
      <c r="AE3837" s="90">
        <v>77.2</v>
      </c>
      <c r="AF3837" s="90">
        <v>11</v>
      </c>
      <c r="AH3837" s="55" t="s">
        <v>174</v>
      </c>
      <c r="AI3837" s="168">
        <v>7.8</v>
      </c>
      <c r="AJ3837" s="90">
        <v>2.17</v>
      </c>
      <c r="AM3837" s="55" t="s">
        <v>3352</v>
      </c>
      <c r="AN3837" s="185" t="s">
        <v>3353</v>
      </c>
      <c r="AO3837" s="185" t="s">
        <v>5150</v>
      </c>
      <c r="AQ3837" s="55" t="s">
        <v>553</v>
      </c>
      <c r="AR3837" s="55" t="s">
        <v>1607</v>
      </c>
      <c r="AS3837" s="55" t="s">
        <v>132</v>
      </c>
      <c r="AU3837" s="181" t="s">
        <v>7494</v>
      </c>
      <c r="AV3837" s="185" t="s">
        <v>176</v>
      </c>
      <c r="AX3837" s="185" t="s">
        <v>176</v>
      </c>
      <c r="BK3837" s="55" t="s">
        <v>6333</v>
      </c>
      <c r="BM3837" s="192" t="s">
        <v>3210</v>
      </c>
      <c r="CB3837" s="66">
        <v>1940</v>
      </c>
      <c r="CC3837" s="66">
        <v>2080</v>
      </c>
      <c r="GP3837" s="292" t="s">
        <v>7494</v>
      </c>
    </row>
    <row r="3838" spans="1:198" x14ac:dyDescent="0.25">
      <c r="A3838" s="55">
        <v>3837</v>
      </c>
      <c r="B3838" s="12" t="s">
        <v>7067</v>
      </c>
      <c r="C3838" s="155">
        <v>172</v>
      </c>
      <c r="D3838" s="55" t="s">
        <v>3355</v>
      </c>
      <c r="E3838" s="90" t="s">
        <v>3334</v>
      </c>
      <c r="G3838" s="55" t="s">
        <v>3275</v>
      </c>
      <c r="H3838" s="55">
        <v>2005</v>
      </c>
      <c r="I3838" s="55">
        <v>1996</v>
      </c>
      <c r="J3838" s="55" t="s">
        <v>2660</v>
      </c>
      <c r="K3838" s="55" t="s">
        <v>3351</v>
      </c>
      <c r="L3838" s="55" t="s">
        <v>2744</v>
      </c>
      <c r="M3838" s="90">
        <v>7.5</v>
      </c>
      <c r="N3838" s="90">
        <f>3+54/60</f>
        <v>3.9</v>
      </c>
      <c r="O3838" s="90">
        <v>213</v>
      </c>
      <c r="S3838" s="90">
        <v>1247</v>
      </c>
      <c r="U3838" s="55" t="s">
        <v>1940</v>
      </c>
      <c r="V3838" s="55" t="s">
        <v>1889</v>
      </c>
      <c r="Y3838" s="55" t="s">
        <v>3354</v>
      </c>
      <c r="Z3838" s="55" t="s">
        <v>1349</v>
      </c>
      <c r="AA3838" s="90" t="s">
        <v>1677</v>
      </c>
      <c r="AE3838" s="90">
        <v>77.2</v>
      </c>
      <c r="AF3838" s="90">
        <v>11</v>
      </c>
      <c r="AH3838" s="55" t="s">
        <v>174</v>
      </c>
      <c r="AI3838" s="168">
        <v>7.8</v>
      </c>
      <c r="AJ3838" s="90">
        <v>2.17</v>
      </c>
      <c r="AM3838" s="55" t="s">
        <v>3352</v>
      </c>
      <c r="AN3838" s="185" t="s">
        <v>3353</v>
      </c>
      <c r="AO3838" s="185" t="s">
        <v>5150</v>
      </c>
      <c r="AQ3838" s="55" t="s">
        <v>553</v>
      </c>
      <c r="AR3838" s="55" t="s">
        <v>1607</v>
      </c>
      <c r="AS3838" s="55" t="s">
        <v>132</v>
      </c>
      <c r="AU3838" s="181" t="s">
        <v>7494</v>
      </c>
      <c r="AV3838" s="185" t="s">
        <v>176</v>
      </c>
      <c r="AX3838" s="185" t="s">
        <v>176</v>
      </c>
      <c r="BK3838" s="55" t="s">
        <v>6333</v>
      </c>
      <c r="BM3838" s="192" t="s">
        <v>3210</v>
      </c>
      <c r="CB3838" s="66">
        <v>320</v>
      </c>
      <c r="CC3838" s="66">
        <v>290</v>
      </c>
      <c r="GP3838" s="292" t="s">
        <v>7494</v>
      </c>
    </row>
    <row r="3839" spans="1:198" x14ac:dyDescent="0.25">
      <c r="A3839" s="55">
        <v>3838</v>
      </c>
      <c r="B3839" s="12" t="s">
        <v>7067</v>
      </c>
      <c r="C3839" s="155">
        <v>172</v>
      </c>
      <c r="D3839" s="55" t="s">
        <v>3355</v>
      </c>
      <c r="E3839" s="90" t="s">
        <v>3334</v>
      </c>
      <c r="G3839" s="55" t="s">
        <v>3275</v>
      </c>
      <c r="H3839" s="55">
        <v>2005</v>
      </c>
      <c r="I3839" s="55">
        <v>1996</v>
      </c>
      <c r="J3839" s="55" t="s">
        <v>2660</v>
      </c>
      <c r="K3839" s="55" t="s">
        <v>3351</v>
      </c>
      <c r="L3839" s="55" t="s">
        <v>2744</v>
      </c>
      <c r="M3839" s="90">
        <v>7.5</v>
      </c>
      <c r="N3839" s="90">
        <f>3+54/60</f>
        <v>3.9</v>
      </c>
      <c r="O3839" s="90">
        <v>213</v>
      </c>
      <c r="S3839" s="90">
        <v>1247</v>
      </c>
      <c r="U3839" s="55" t="s">
        <v>1940</v>
      </c>
      <c r="V3839" s="55" t="s">
        <v>1889</v>
      </c>
      <c r="Y3839" s="55" t="s">
        <v>3354</v>
      </c>
      <c r="Z3839" s="55" t="s">
        <v>1349</v>
      </c>
      <c r="AA3839" s="90" t="s">
        <v>1677</v>
      </c>
      <c r="AE3839" s="90">
        <v>77.2</v>
      </c>
      <c r="AF3839" s="90">
        <v>11</v>
      </c>
      <c r="AH3839" s="55" t="s">
        <v>174</v>
      </c>
      <c r="AI3839" s="168">
        <v>7.8</v>
      </c>
      <c r="AJ3839" s="90">
        <v>2.17</v>
      </c>
      <c r="AM3839" s="55" t="s">
        <v>3352</v>
      </c>
      <c r="AN3839" s="185" t="s">
        <v>3353</v>
      </c>
      <c r="AO3839" s="185" t="s">
        <v>5150</v>
      </c>
      <c r="AQ3839" s="55" t="s">
        <v>553</v>
      </c>
      <c r="AR3839" s="55" t="s">
        <v>1607</v>
      </c>
      <c r="AS3839" s="55" t="s">
        <v>132</v>
      </c>
      <c r="AU3839" s="181" t="s">
        <v>7494</v>
      </c>
      <c r="AV3839" s="185" t="s">
        <v>176</v>
      </c>
      <c r="AX3839" s="185" t="s">
        <v>176</v>
      </c>
      <c r="BK3839" s="55" t="s">
        <v>6333</v>
      </c>
      <c r="BM3839" s="192" t="s">
        <v>3210</v>
      </c>
      <c r="CB3839" s="66">
        <v>1440</v>
      </c>
      <c r="CC3839" s="66">
        <v>900</v>
      </c>
      <c r="GP3839" s="292" t="s">
        <v>7494</v>
      </c>
    </row>
    <row r="3840" spans="1:198" x14ac:dyDescent="0.25">
      <c r="A3840" s="55">
        <v>3839</v>
      </c>
      <c r="B3840" s="12" t="s">
        <v>7067</v>
      </c>
      <c r="C3840" s="155">
        <v>172</v>
      </c>
      <c r="D3840" s="55" t="s">
        <v>3355</v>
      </c>
      <c r="E3840" s="90" t="s">
        <v>3334</v>
      </c>
      <c r="G3840" s="55" t="s">
        <v>3275</v>
      </c>
      <c r="H3840" s="55">
        <v>2005</v>
      </c>
      <c r="I3840" s="55">
        <v>1996</v>
      </c>
      <c r="J3840" s="55" t="s">
        <v>2660</v>
      </c>
      <c r="K3840" s="55" t="s">
        <v>3351</v>
      </c>
      <c r="L3840" s="55" t="s">
        <v>2744</v>
      </c>
      <c r="M3840" s="90">
        <v>7.5</v>
      </c>
      <c r="N3840" s="90">
        <f>3+54/60</f>
        <v>3.9</v>
      </c>
      <c r="O3840" s="90">
        <v>213</v>
      </c>
      <c r="S3840" s="90">
        <v>1247</v>
      </c>
      <c r="U3840" s="55" t="s">
        <v>1940</v>
      </c>
      <c r="V3840" s="55" t="s">
        <v>1889</v>
      </c>
      <c r="Y3840" s="55" t="s">
        <v>3354</v>
      </c>
      <c r="Z3840" s="55" t="s">
        <v>1349</v>
      </c>
      <c r="AA3840" s="90" t="s">
        <v>1677</v>
      </c>
      <c r="AE3840" s="90">
        <v>77.2</v>
      </c>
      <c r="AF3840" s="90">
        <v>11</v>
      </c>
      <c r="AH3840" s="55" t="s">
        <v>174</v>
      </c>
      <c r="AI3840" s="168">
        <v>7.8</v>
      </c>
      <c r="AJ3840" s="90">
        <v>2.17</v>
      </c>
      <c r="AM3840" s="55" t="s">
        <v>3352</v>
      </c>
      <c r="AN3840" s="185" t="s">
        <v>3353</v>
      </c>
      <c r="AO3840" s="185" t="s">
        <v>5150</v>
      </c>
      <c r="AQ3840" s="55" t="s">
        <v>553</v>
      </c>
      <c r="AR3840" s="55" t="s">
        <v>1607</v>
      </c>
      <c r="AS3840" s="55" t="s">
        <v>132</v>
      </c>
      <c r="AU3840" s="181" t="s">
        <v>7494</v>
      </c>
      <c r="AV3840" s="185" t="s">
        <v>176</v>
      </c>
      <c r="AX3840" s="185" t="s">
        <v>176</v>
      </c>
      <c r="BK3840" s="55" t="s">
        <v>6333</v>
      </c>
      <c r="BM3840" s="192" t="s">
        <v>3210</v>
      </c>
      <c r="CB3840" s="66">
        <v>2640</v>
      </c>
      <c r="CC3840" s="66">
        <v>1340</v>
      </c>
      <c r="GP3840" s="292" t="s">
        <v>7494</v>
      </c>
    </row>
    <row r="3841" spans="1:198" x14ac:dyDescent="0.25">
      <c r="A3841" s="55">
        <v>3840</v>
      </c>
      <c r="B3841" s="12" t="s">
        <v>7067</v>
      </c>
      <c r="C3841" s="155">
        <v>172</v>
      </c>
      <c r="D3841" s="55" t="s">
        <v>3355</v>
      </c>
      <c r="E3841" s="90" t="s">
        <v>3334</v>
      </c>
      <c r="G3841" s="55" t="s">
        <v>3275</v>
      </c>
      <c r="H3841" s="55">
        <v>2005</v>
      </c>
      <c r="I3841" s="55">
        <v>1996</v>
      </c>
      <c r="J3841" s="55" t="s">
        <v>2660</v>
      </c>
      <c r="K3841" s="55" t="s">
        <v>3351</v>
      </c>
      <c r="L3841" s="55" t="s">
        <v>2744</v>
      </c>
      <c r="M3841" s="90">
        <v>7.5</v>
      </c>
      <c r="N3841" s="90">
        <f>3+54/60</f>
        <v>3.9</v>
      </c>
      <c r="O3841" s="90">
        <v>213</v>
      </c>
      <c r="S3841" s="90">
        <v>1247</v>
      </c>
      <c r="U3841" s="55" t="s">
        <v>1940</v>
      </c>
      <c r="V3841" s="55" t="s">
        <v>1889</v>
      </c>
      <c r="Y3841" s="55" t="s">
        <v>3354</v>
      </c>
      <c r="Z3841" s="55" t="s">
        <v>1349</v>
      </c>
      <c r="AA3841" s="90" t="s">
        <v>1677</v>
      </c>
      <c r="AE3841" s="90">
        <v>77.2</v>
      </c>
      <c r="AF3841" s="90">
        <v>11</v>
      </c>
      <c r="AH3841" s="55" t="s">
        <v>174</v>
      </c>
      <c r="AI3841" s="168">
        <v>7.8</v>
      </c>
      <c r="AJ3841" s="90">
        <v>2.17</v>
      </c>
      <c r="AM3841" s="55" t="s">
        <v>3352</v>
      </c>
      <c r="AN3841" s="185" t="s">
        <v>3353</v>
      </c>
      <c r="AO3841" s="185" t="s">
        <v>5150</v>
      </c>
      <c r="AQ3841" s="55" t="s">
        <v>553</v>
      </c>
      <c r="AR3841" s="55" t="s">
        <v>1607</v>
      </c>
      <c r="AS3841" s="55" t="s">
        <v>132</v>
      </c>
      <c r="AU3841" s="181" t="s">
        <v>7494</v>
      </c>
      <c r="AV3841" s="185" t="s">
        <v>176</v>
      </c>
      <c r="AX3841" s="185" t="s">
        <v>176</v>
      </c>
      <c r="BK3841" s="55" t="s">
        <v>6333</v>
      </c>
      <c r="BM3841" s="192" t="s">
        <v>3210</v>
      </c>
      <c r="CB3841" s="66">
        <v>2650</v>
      </c>
      <c r="CC3841" s="66">
        <v>2120</v>
      </c>
      <c r="GP3841" s="292" t="s">
        <v>7494</v>
      </c>
    </row>
    <row r="3842" spans="1:198" x14ac:dyDescent="0.25">
      <c r="A3842" s="55">
        <v>3841</v>
      </c>
      <c r="B3842" s="12" t="s">
        <v>7067</v>
      </c>
      <c r="C3842" s="155">
        <v>172</v>
      </c>
      <c r="D3842" s="55" t="s">
        <v>3355</v>
      </c>
      <c r="E3842" s="90" t="s">
        <v>3334</v>
      </c>
      <c r="G3842" s="55" t="s">
        <v>3275</v>
      </c>
      <c r="H3842" s="55">
        <v>2005</v>
      </c>
      <c r="I3842" s="55">
        <v>1997</v>
      </c>
      <c r="J3842" s="55" t="s">
        <v>2660</v>
      </c>
      <c r="K3842" s="55" t="s">
        <v>3351</v>
      </c>
      <c r="L3842" s="55" t="s">
        <v>2744</v>
      </c>
      <c r="M3842" s="90">
        <v>7.5</v>
      </c>
      <c r="N3842" s="90">
        <f>3+54/60</f>
        <v>3.9</v>
      </c>
      <c r="O3842" s="90">
        <v>213</v>
      </c>
      <c r="S3842" s="90">
        <v>1247</v>
      </c>
      <c r="U3842" s="55" t="s">
        <v>1933</v>
      </c>
      <c r="V3842" s="55" t="s">
        <v>1889</v>
      </c>
      <c r="Y3842" s="55" t="s">
        <v>3354</v>
      </c>
      <c r="Z3842" s="55" t="s">
        <v>1349</v>
      </c>
      <c r="AA3842" s="90" t="s">
        <v>1677</v>
      </c>
      <c r="AE3842" s="90">
        <v>77.2</v>
      </c>
      <c r="AF3842" s="90">
        <v>11</v>
      </c>
      <c r="AH3842" s="55" t="s">
        <v>174</v>
      </c>
      <c r="AI3842" s="168">
        <v>7.8</v>
      </c>
      <c r="AJ3842" s="90">
        <v>2.17</v>
      </c>
      <c r="AM3842" s="55" t="s">
        <v>3352</v>
      </c>
      <c r="AN3842" s="185" t="s">
        <v>3353</v>
      </c>
      <c r="AO3842" s="185" t="s">
        <v>5150</v>
      </c>
      <c r="AQ3842" s="55" t="s">
        <v>553</v>
      </c>
      <c r="AR3842" s="55" t="s">
        <v>1607</v>
      </c>
      <c r="AS3842" s="55" t="s">
        <v>132</v>
      </c>
      <c r="AU3842" s="181" t="s">
        <v>7494</v>
      </c>
      <c r="AV3842" s="185" t="s">
        <v>176</v>
      </c>
      <c r="AX3842" s="185" t="s">
        <v>176</v>
      </c>
      <c r="BK3842" s="55" t="s">
        <v>6333</v>
      </c>
      <c r="BM3842" s="192" t="s">
        <v>3210</v>
      </c>
      <c r="BW3842" s="65">
        <v>470</v>
      </c>
      <c r="BX3842" s="65">
        <v>650</v>
      </c>
      <c r="CB3842" s="66">
        <v>310</v>
      </c>
      <c r="CC3842" s="66">
        <v>320</v>
      </c>
      <c r="GP3842" s="292" t="s">
        <v>7494</v>
      </c>
    </row>
    <row r="3843" spans="1:198" x14ac:dyDescent="0.25">
      <c r="A3843" s="55">
        <v>3842</v>
      </c>
      <c r="B3843" s="12" t="s">
        <v>7067</v>
      </c>
      <c r="C3843" s="155">
        <v>172</v>
      </c>
      <c r="D3843" s="55" t="s">
        <v>3355</v>
      </c>
      <c r="E3843" s="90" t="s">
        <v>3334</v>
      </c>
      <c r="G3843" s="55" t="s">
        <v>3275</v>
      </c>
      <c r="H3843" s="55">
        <v>2005</v>
      </c>
      <c r="I3843" s="55">
        <v>1997</v>
      </c>
      <c r="J3843" s="55" t="s">
        <v>2660</v>
      </c>
      <c r="K3843" s="55" t="s">
        <v>3351</v>
      </c>
      <c r="L3843" s="55" t="s">
        <v>2744</v>
      </c>
      <c r="M3843" s="90">
        <v>7.5</v>
      </c>
      <c r="N3843" s="90">
        <f>3+54/60</f>
        <v>3.9</v>
      </c>
      <c r="O3843" s="90">
        <v>213</v>
      </c>
      <c r="S3843" s="90">
        <v>1247</v>
      </c>
      <c r="U3843" s="55" t="s">
        <v>1933</v>
      </c>
      <c r="V3843" s="55" t="s">
        <v>1889</v>
      </c>
      <c r="Y3843" s="55" t="s">
        <v>3354</v>
      </c>
      <c r="Z3843" s="55" t="s">
        <v>1349</v>
      </c>
      <c r="AA3843" s="90" t="s">
        <v>1677</v>
      </c>
      <c r="AE3843" s="90">
        <v>77.2</v>
      </c>
      <c r="AF3843" s="90">
        <v>11</v>
      </c>
      <c r="AH3843" s="55" t="s">
        <v>174</v>
      </c>
      <c r="AI3843" s="168">
        <v>7.8</v>
      </c>
      <c r="AJ3843" s="90">
        <v>2.17</v>
      </c>
      <c r="AM3843" s="55" t="s">
        <v>3352</v>
      </c>
      <c r="AN3843" s="185" t="s">
        <v>3353</v>
      </c>
      <c r="AO3843" s="185" t="s">
        <v>5150</v>
      </c>
      <c r="AQ3843" s="55" t="s">
        <v>553</v>
      </c>
      <c r="AR3843" s="55" t="s">
        <v>1607</v>
      </c>
      <c r="AS3843" s="55" t="s">
        <v>132</v>
      </c>
      <c r="AU3843" s="181" t="s">
        <v>7494</v>
      </c>
      <c r="AV3843" s="185" t="s">
        <v>176</v>
      </c>
      <c r="AX3843" s="185" t="s">
        <v>176</v>
      </c>
      <c r="BK3843" s="55" t="s">
        <v>6333</v>
      </c>
      <c r="BM3843" s="192" t="s">
        <v>3210</v>
      </c>
      <c r="BW3843" s="65">
        <v>1180</v>
      </c>
      <c r="BX3843" s="65">
        <v>1390</v>
      </c>
      <c r="CB3843" s="66">
        <v>780</v>
      </c>
      <c r="CC3843" s="66">
        <v>440</v>
      </c>
      <c r="GP3843" s="292" t="s">
        <v>7494</v>
      </c>
    </row>
    <row r="3844" spans="1:198" x14ac:dyDescent="0.25">
      <c r="A3844" s="55">
        <v>3843</v>
      </c>
      <c r="B3844" s="12" t="s">
        <v>7067</v>
      </c>
      <c r="C3844" s="155">
        <v>172</v>
      </c>
      <c r="D3844" s="55" t="s">
        <v>3355</v>
      </c>
      <c r="E3844" s="90" t="s">
        <v>3334</v>
      </c>
      <c r="G3844" s="55" t="s">
        <v>3275</v>
      </c>
      <c r="H3844" s="55">
        <v>2005</v>
      </c>
      <c r="I3844" s="55">
        <v>1997</v>
      </c>
      <c r="J3844" s="55" t="s">
        <v>2660</v>
      </c>
      <c r="K3844" s="55" t="s">
        <v>3351</v>
      </c>
      <c r="L3844" s="55" t="s">
        <v>2744</v>
      </c>
      <c r="M3844" s="90">
        <v>7.5</v>
      </c>
      <c r="N3844" s="90">
        <f>3+54/60</f>
        <v>3.9</v>
      </c>
      <c r="O3844" s="90">
        <v>213</v>
      </c>
      <c r="S3844" s="90">
        <v>1247</v>
      </c>
      <c r="U3844" s="55" t="s">
        <v>1933</v>
      </c>
      <c r="V3844" s="55" t="s">
        <v>1889</v>
      </c>
      <c r="Y3844" s="55" t="s">
        <v>3354</v>
      </c>
      <c r="Z3844" s="55" t="s">
        <v>1349</v>
      </c>
      <c r="AA3844" s="90" t="s">
        <v>1677</v>
      </c>
      <c r="AE3844" s="90">
        <v>77.2</v>
      </c>
      <c r="AF3844" s="90">
        <v>11</v>
      </c>
      <c r="AH3844" s="55" t="s">
        <v>174</v>
      </c>
      <c r="AI3844" s="168">
        <v>7.8</v>
      </c>
      <c r="AJ3844" s="90">
        <v>2.17</v>
      </c>
      <c r="AM3844" s="55" t="s">
        <v>3352</v>
      </c>
      <c r="AN3844" s="185" t="s">
        <v>3353</v>
      </c>
      <c r="AO3844" s="185" t="s">
        <v>5150</v>
      </c>
      <c r="AQ3844" s="55" t="s">
        <v>553</v>
      </c>
      <c r="AR3844" s="55" t="s">
        <v>1607</v>
      </c>
      <c r="AS3844" s="55" t="s">
        <v>132</v>
      </c>
      <c r="AU3844" s="181" t="s">
        <v>7494</v>
      </c>
      <c r="AV3844" s="185" t="s">
        <v>176</v>
      </c>
      <c r="AX3844" s="185" t="s">
        <v>176</v>
      </c>
      <c r="BK3844" s="55" t="s">
        <v>6333</v>
      </c>
      <c r="BM3844" s="192" t="s">
        <v>3210</v>
      </c>
      <c r="BW3844" s="65">
        <v>2210</v>
      </c>
      <c r="BX3844" s="65">
        <v>2050</v>
      </c>
      <c r="CB3844" s="66">
        <v>1610</v>
      </c>
      <c r="CC3844" s="66">
        <v>1180</v>
      </c>
      <c r="GP3844" s="292" t="s">
        <v>7494</v>
      </c>
    </row>
    <row r="3845" spans="1:198" x14ac:dyDescent="0.25">
      <c r="A3845" s="55">
        <v>3844</v>
      </c>
      <c r="B3845" s="12" t="s">
        <v>7067</v>
      </c>
      <c r="C3845" s="155">
        <v>172</v>
      </c>
      <c r="D3845" s="55" t="s">
        <v>3355</v>
      </c>
      <c r="E3845" s="90" t="s">
        <v>3334</v>
      </c>
      <c r="G3845" s="55" t="s">
        <v>3275</v>
      </c>
      <c r="H3845" s="55">
        <v>2005</v>
      </c>
      <c r="I3845" s="55">
        <v>1997</v>
      </c>
      <c r="J3845" s="55" t="s">
        <v>2660</v>
      </c>
      <c r="K3845" s="55" t="s">
        <v>3351</v>
      </c>
      <c r="L3845" s="55" t="s">
        <v>2744</v>
      </c>
      <c r="M3845" s="90">
        <v>7.5</v>
      </c>
      <c r="N3845" s="90">
        <f>3+54/60</f>
        <v>3.9</v>
      </c>
      <c r="O3845" s="90">
        <v>213</v>
      </c>
      <c r="S3845" s="90">
        <v>1247</v>
      </c>
      <c r="U3845" s="55" t="s">
        <v>1933</v>
      </c>
      <c r="V3845" s="55" t="s">
        <v>1889</v>
      </c>
      <c r="Y3845" s="55" t="s">
        <v>3354</v>
      </c>
      <c r="Z3845" s="55" t="s">
        <v>1349</v>
      </c>
      <c r="AA3845" s="90" t="s">
        <v>1677</v>
      </c>
      <c r="AE3845" s="90">
        <v>77.2</v>
      </c>
      <c r="AF3845" s="90">
        <v>11</v>
      </c>
      <c r="AH3845" s="55" t="s">
        <v>174</v>
      </c>
      <c r="AI3845" s="168">
        <v>7.8</v>
      </c>
      <c r="AJ3845" s="90">
        <v>2.17</v>
      </c>
      <c r="AM3845" s="55" t="s">
        <v>3352</v>
      </c>
      <c r="AN3845" s="185" t="s">
        <v>3353</v>
      </c>
      <c r="AO3845" s="185" t="s">
        <v>5150</v>
      </c>
      <c r="AQ3845" s="55" t="s">
        <v>553</v>
      </c>
      <c r="AR3845" s="55" t="s">
        <v>1607</v>
      </c>
      <c r="AS3845" s="55" t="s">
        <v>132</v>
      </c>
      <c r="AU3845" s="181" t="s">
        <v>7494</v>
      </c>
      <c r="AV3845" s="185" t="s">
        <v>176</v>
      </c>
      <c r="AX3845" s="185" t="s">
        <v>176</v>
      </c>
      <c r="BK3845" s="55" t="s">
        <v>6333</v>
      </c>
      <c r="BM3845" s="192" t="s">
        <v>3210</v>
      </c>
      <c r="BW3845" s="65">
        <v>2280</v>
      </c>
      <c r="BX3845" s="65">
        <v>270</v>
      </c>
      <c r="CB3845" s="66">
        <v>1660</v>
      </c>
      <c r="CC3845" s="66">
        <v>960</v>
      </c>
      <c r="GP3845" s="292" t="s">
        <v>7494</v>
      </c>
    </row>
    <row r="3846" spans="1:198" x14ac:dyDescent="0.25">
      <c r="A3846" s="55">
        <v>3845</v>
      </c>
      <c r="B3846" s="12" t="s">
        <v>7067</v>
      </c>
      <c r="C3846" s="155">
        <v>172</v>
      </c>
      <c r="D3846" s="55" t="s">
        <v>3355</v>
      </c>
      <c r="E3846" s="90" t="s">
        <v>3334</v>
      </c>
      <c r="G3846" s="55" t="s">
        <v>3275</v>
      </c>
      <c r="H3846" s="55">
        <v>2005</v>
      </c>
      <c r="I3846" s="55">
        <v>1998</v>
      </c>
      <c r="J3846" s="55" t="s">
        <v>2660</v>
      </c>
      <c r="K3846" s="55" t="s">
        <v>3351</v>
      </c>
      <c r="L3846" s="55" t="s">
        <v>2744</v>
      </c>
      <c r="M3846" s="90">
        <v>7.5</v>
      </c>
      <c r="N3846" s="90">
        <f>3+54/60</f>
        <v>3.9</v>
      </c>
      <c r="O3846" s="90">
        <v>213</v>
      </c>
      <c r="S3846" s="90">
        <v>1247</v>
      </c>
      <c r="U3846" s="55" t="s">
        <v>1679</v>
      </c>
      <c r="V3846" s="55" t="s">
        <v>1889</v>
      </c>
      <c r="Y3846" s="55" t="s">
        <v>3354</v>
      </c>
      <c r="Z3846" s="55" t="s">
        <v>1349</v>
      </c>
      <c r="AA3846" s="90" t="s">
        <v>1677</v>
      </c>
      <c r="AE3846" s="90">
        <v>77.2</v>
      </c>
      <c r="AF3846" s="90">
        <v>11</v>
      </c>
      <c r="AH3846" s="55" t="s">
        <v>174</v>
      </c>
      <c r="AI3846" s="168">
        <v>7.8</v>
      </c>
      <c r="AJ3846" s="90">
        <v>2.17</v>
      </c>
      <c r="AM3846" s="55" t="s">
        <v>3352</v>
      </c>
      <c r="AN3846" s="185" t="s">
        <v>3353</v>
      </c>
      <c r="AO3846" s="185" t="s">
        <v>5150</v>
      </c>
      <c r="AQ3846" s="55" t="s">
        <v>553</v>
      </c>
      <c r="AR3846" s="55" t="s">
        <v>1607</v>
      </c>
      <c r="AS3846" s="55" t="s">
        <v>132</v>
      </c>
      <c r="AU3846" s="181" t="s">
        <v>7494</v>
      </c>
      <c r="AV3846" s="185" t="s">
        <v>176</v>
      </c>
      <c r="AX3846" s="185" t="s">
        <v>176</v>
      </c>
      <c r="BK3846" s="55" t="s">
        <v>6333</v>
      </c>
      <c r="BM3846" s="192" t="s">
        <v>3210</v>
      </c>
      <c r="BW3846" s="65">
        <v>1340</v>
      </c>
      <c r="BX3846" s="65">
        <v>1670</v>
      </c>
      <c r="CB3846" s="66">
        <v>570</v>
      </c>
      <c r="CC3846" s="66">
        <v>470</v>
      </c>
      <c r="GP3846" s="292" t="s">
        <v>7494</v>
      </c>
    </row>
    <row r="3847" spans="1:198" x14ac:dyDescent="0.25">
      <c r="A3847" s="55">
        <v>3846</v>
      </c>
      <c r="B3847" s="12" t="s">
        <v>7067</v>
      </c>
      <c r="C3847" s="155">
        <v>172</v>
      </c>
      <c r="D3847" s="55" t="s">
        <v>3355</v>
      </c>
      <c r="E3847" s="90" t="s">
        <v>3334</v>
      </c>
      <c r="G3847" s="55" t="s">
        <v>3275</v>
      </c>
      <c r="H3847" s="55">
        <v>2005</v>
      </c>
      <c r="I3847" s="55">
        <v>1998</v>
      </c>
      <c r="J3847" s="55" t="s">
        <v>2660</v>
      </c>
      <c r="K3847" s="55" t="s">
        <v>3351</v>
      </c>
      <c r="L3847" s="55" t="s">
        <v>2744</v>
      </c>
      <c r="M3847" s="90">
        <v>7.5</v>
      </c>
      <c r="N3847" s="90">
        <f>3+54/60</f>
        <v>3.9</v>
      </c>
      <c r="O3847" s="90">
        <v>213</v>
      </c>
      <c r="S3847" s="90">
        <v>1247</v>
      </c>
      <c r="U3847" s="55" t="s">
        <v>1679</v>
      </c>
      <c r="V3847" s="55" t="s">
        <v>1889</v>
      </c>
      <c r="Y3847" s="55" t="s">
        <v>3354</v>
      </c>
      <c r="Z3847" s="55" t="s">
        <v>1349</v>
      </c>
      <c r="AA3847" s="90" t="s">
        <v>1677</v>
      </c>
      <c r="AE3847" s="90">
        <v>77.2</v>
      </c>
      <c r="AF3847" s="90">
        <v>11</v>
      </c>
      <c r="AH3847" s="55" t="s">
        <v>174</v>
      </c>
      <c r="AI3847" s="168">
        <v>7.8</v>
      </c>
      <c r="AJ3847" s="90">
        <v>2.17</v>
      </c>
      <c r="AM3847" s="55" t="s">
        <v>3352</v>
      </c>
      <c r="AN3847" s="185" t="s">
        <v>3353</v>
      </c>
      <c r="AO3847" s="185" t="s">
        <v>5150</v>
      </c>
      <c r="AQ3847" s="55" t="s">
        <v>553</v>
      </c>
      <c r="AR3847" s="55" t="s">
        <v>1607</v>
      </c>
      <c r="AS3847" s="55" t="s">
        <v>132</v>
      </c>
      <c r="AU3847" s="181" t="s">
        <v>7494</v>
      </c>
      <c r="AV3847" s="185" t="s">
        <v>176</v>
      </c>
      <c r="AX3847" s="185" t="s">
        <v>176</v>
      </c>
      <c r="BK3847" s="55" t="s">
        <v>6333</v>
      </c>
      <c r="BM3847" s="192" t="s">
        <v>3210</v>
      </c>
      <c r="BW3847" s="65">
        <v>2260</v>
      </c>
      <c r="BX3847" s="65">
        <v>2260</v>
      </c>
      <c r="CB3847" s="66">
        <v>2090</v>
      </c>
      <c r="CC3847" s="66">
        <v>850</v>
      </c>
      <c r="GP3847" s="292" t="s">
        <v>7494</v>
      </c>
    </row>
    <row r="3848" spans="1:198" x14ac:dyDescent="0.25">
      <c r="A3848" s="55">
        <v>3847</v>
      </c>
      <c r="B3848" s="12" t="s">
        <v>7067</v>
      </c>
      <c r="C3848" s="155">
        <v>172</v>
      </c>
      <c r="D3848" s="55" t="s">
        <v>3355</v>
      </c>
      <c r="E3848" s="90" t="s">
        <v>3334</v>
      </c>
      <c r="G3848" s="55" t="s">
        <v>3275</v>
      </c>
      <c r="H3848" s="55">
        <v>2005</v>
      </c>
      <c r="I3848" s="55">
        <v>1998</v>
      </c>
      <c r="J3848" s="55" t="s">
        <v>2660</v>
      </c>
      <c r="K3848" s="55" t="s">
        <v>3351</v>
      </c>
      <c r="L3848" s="55" t="s">
        <v>2744</v>
      </c>
      <c r="M3848" s="90">
        <v>7.5</v>
      </c>
      <c r="N3848" s="90">
        <f>3+54/60</f>
        <v>3.9</v>
      </c>
      <c r="O3848" s="90">
        <v>213</v>
      </c>
      <c r="S3848" s="90">
        <v>1247</v>
      </c>
      <c r="U3848" s="55" t="s">
        <v>1679</v>
      </c>
      <c r="V3848" s="55" t="s">
        <v>1889</v>
      </c>
      <c r="Y3848" s="55" t="s">
        <v>3354</v>
      </c>
      <c r="Z3848" s="55" t="s">
        <v>1349</v>
      </c>
      <c r="AA3848" s="90" t="s">
        <v>1677</v>
      </c>
      <c r="AE3848" s="90">
        <v>77.2</v>
      </c>
      <c r="AF3848" s="90">
        <v>11</v>
      </c>
      <c r="AH3848" s="55" t="s">
        <v>174</v>
      </c>
      <c r="AI3848" s="168">
        <v>7.8</v>
      </c>
      <c r="AJ3848" s="90">
        <v>2.17</v>
      </c>
      <c r="AM3848" s="55" t="s">
        <v>3352</v>
      </c>
      <c r="AN3848" s="185" t="s">
        <v>3353</v>
      </c>
      <c r="AO3848" s="185" t="s">
        <v>5150</v>
      </c>
      <c r="AQ3848" s="55" t="s">
        <v>553</v>
      </c>
      <c r="AR3848" s="55" t="s">
        <v>1607</v>
      </c>
      <c r="AS3848" s="55" t="s">
        <v>132</v>
      </c>
      <c r="AU3848" s="181" t="s">
        <v>7494</v>
      </c>
      <c r="AV3848" s="185" t="s">
        <v>176</v>
      </c>
      <c r="AX3848" s="185" t="s">
        <v>176</v>
      </c>
      <c r="BK3848" s="55" t="s">
        <v>6333</v>
      </c>
      <c r="BM3848" s="192" t="s">
        <v>3210</v>
      </c>
      <c r="BW3848" s="65">
        <v>2180</v>
      </c>
      <c r="BX3848" s="65">
        <v>2220</v>
      </c>
      <c r="CB3848" s="66">
        <v>1760</v>
      </c>
      <c r="CC3848" s="66">
        <v>1010</v>
      </c>
      <c r="GP3848" s="292" t="s">
        <v>7494</v>
      </c>
    </row>
    <row r="3849" spans="1:198" x14ac:dyDescent="0.25">
      <c r="A3849" s="55">
        <v>3848</v>
      </c>
      <c r="B3849" s="12" t="s">
        <v>7067</v>
      </c>
      <c r="C3849" s="155">
        <v>172</v>
      </c>
      <c r="D3849" s="55" t="s">
        <v>3355</v>
      </c>
      <c r="E3849" s="90" t="s">
        <v>3334</v>
      </c>
      <c r="G3849" s="55" t="s">
        <v>3275</v>
      </c>
      <c r="H3849" s="55">
        <v>2005</v>
      </c>
      <c r="I3849" s="55">
        <v>1998</v>
      </c>
      <c r="J3849" s="55" t="s">
        <v>2660</v>
      </c>
      <c r="K3849" s="55" t="s">
        <v>3351</v>
      </c>
      <c r="L3849" s="55" t="s">
        <v>2744</v>
      </c>
      <c r="M3849" s="90">
        <v>7.5</v>
      </c>
      <c r="N3849" s="90">
        <f>3+54/60</f>
        <v>3.9</v>
      </c>
      <c r="O3849" s="90">
        <v>213</v>
      </c>
      <c r="S3849" s="90">
        <v>1247</v>
      </c>
      <c r="U3849" s="55" t="s">
        <v>1679</v>
      </c>
      <c r="V3849" s="55" t="s">
        <v>1889</v>
      </c>
      <c r="Y3849" s="55" t="s">
        <v>3354</v>
      </c>
      <c r="Z3849" s="55" t="s">
        <v>1349</v>
      </c>
      <c r="AA3849" s="90" t="s">
        <v>1677</v>
      </c>
      <c r="AE3849" s="90">
        <v>77.2</v>
      </c>
      <c r="AF3849" s="90">
        <v>11</v>
      </c>
      <c r="AH3849" s="55" t="s">
        <v>174</v>
      </c>
      <c r="AI3849" s="168">
        <v>7.8</v>
      </c>
      <c r="AJ3849" s="90">
        <v>2.17</v>
      </c>
      <c r="AM3849" s="55" t="s">
        <v>3352</v>
      </c>
      <c r="AN3849" s="185" t="s">
        <v>3353</v>
      </c>
      <c r="AO3849" s="185" t="s">
        <v>5150</v>
      </c>
      <c r="AQ3849" s="55" t="s">
        <v>553</v>
      </c>
      <c r="AR3849" s="55" t="s">
        <v>1607</v>
      </c>
      <c r="AS3849" s="55" t="s">
        <v>132</v>
      </c>
      <c r="AU3849" s="181" t="s">
        <v>7494</v>
      </c>
      <c r="AV3849" s="185" t="s">
        <v>176</v>
      </c>
      <c r="AX3849" s="185" t="s">
        <v>176</v>
      </c>
      <c r="BK3849" s="55" t="s">
        <v>6333</v>
      </c>
      <c r="BM3849" s="192" t="s">
        <v>3210</v>
      </c>
      <c r="BW3849" s="65">
        <v>2600</v>
      </c>
      <c r="BX3849" s="65">
        <v>2630</v>
      </c>
      <c r="CB3849" s="66">
        <v>2280</v>
      </c>
      <c r="CC3849" s="66">
        <v>1430</v>
      </c>
      <c r="GP3849" s="292" t="s">
        <v>7494</v>
      </c>
    </row>
    <row r="3850" spans="1:198" x14ac:dyDescent="0.25">
      <c r="A3850" s="55">
        <v>3849</v>
      </c>
      <c r="B3850" s="12" t="s">
        <v>7067</v>
      </c>
      <c r="C3850" s="155">
        <v>172</v>
      </c>
      <c r="D3850" s="55" t="s">
        <v>3355</v>
      </c>
      <c r="E3850" s="90" t="s">
        <v>3334</v>
      </c>
      <c r="G3850" s="55" t="s">
        <v>3275</v>
      </c>
      <c r="H3850" s="55">
        <v>2005</v>
      </c>
      <c r="I3850" s="55">
        <v>1999</v>
      </c>
      <c r="J3850" s="55" t="s">
        <v>2660</v>
      </c>
      <c r="K3850" s="55" t="s">
        <v>3351</v>
      </c>
      <c r="L3850" s="55" t="s">
        <v>2744</v>
      </c>
      <c r="M3850" s="90">
        <v>7.5</v>
      </c>
      <c r="N3850" s="90">
        <f>3+54/60</f>
        <v>3.9</v>
      </c>
      <c r="O3850" s="90">
        <v>213</v>
      </c>
      <c r="S3850" s="90">
        <v>1247</v>
      </c>
      <c r="U3850" s="55" t="s">
        <v>1818</v>
      </c>
      <c r="V3850" s="55" t="s">
        <v>1889</v>
      </c>
      <c r="Y3850" s="55" t="s">
        <v>3354</v>
      </c>
      <c r="Z3850" s="55" t="s">
        <v>1349</v>
      </c>
      <c r="AA3850" s="90" t="s">
        <v>1677</v>
      </c>
      <c r="AE3850" s="90">
        <v>77.2</v>
      </c>
      <c r="AF3850" s="90">
        <v>11</v>
      </c>
      <c r="AH3850" s="55" t="s">
        <v>174</v>
      </c>
      <c r="AI3850" s="168">
        <v>7.8</v>
      </c>
      <c r="AJ3850" s="90">
        <v>2.17</v>
      </c>
      <c r="AM3850" s="55" t="s">
        <v>3352</v>
      </c>
      <c r="AN3850" s="185" t="s">
        <v>3353</v>
      </c>
      <c r="AO3850" s="185" t="s">
        <v>5150</v>
      </c>
      <c r="AQ3850" s="55" t="s">
        <v>553</v>
      </c>
      <c r="AR3850" s="55" t="s">
        <v>1607</v>
      </c>
      <c r="AS3850" s="55" t="s">
        <v>132</v>
      </c>
      <c r="AU3850" s="181" t="s">
        <v>7494</v>
      </c>
      <c r="AV3850" s="185" t="s">
        <v>176</v>
      </c>
      <c r="AX3850" s="185" t="s">
        <v>176</v>
      </c>
      <c r="BK3850" s="55" t="s">
        <v>6333</v>
      </c>
      <c r="BM3850" s="192" t="s">
        <v>3210</v>
      </c>
      <c r="BW3850" s="65">
        <v>610</v>
      </c>
      <c r="BX3850" s="65">
        <v>1190</v>
      </c>
      <c r="GP3850" s="292" t="s">
        <v>7494</v>
      </c>
    </row>
    <row r="3851" spans="1:198" x14ac:dyDescent="0.25">
      <c r="A3851" s="55">
        <v>3850</v>
      </c>
      <c r="B3851" s="12" t="s">
        <v>7067</v>
      </c>
      <c r="C3851" s="155">
        <v>172</v>
      </c>
      <c r="D3851" s="55" t="s">
        <v>3355</v>
      </c>
      <c r="E3851" s="90" t="s">
        <v>3334</v>
      </c>
      <c r="G3851" s="55" t="s">
        <v>3275</v>
      </c>
      <c r="H3851" s="55">
        <v>2005</v>
      </c>
      <c r="I3851" s="55">
        <v>1999</v>
      </c>
      <c r="J3851" s="55" t="s">
        <v>2660</v>
      </c>
      <c r="K3851" s="55" t="s">
        <v>3351</v>
      </c>
      <c r="L3851" s="55" t="s">
        <v>2744</v>
      </c>
      <c r="M3851" s="90">
        <v>7.5</v>
      </c>
      <c r="N3851" s="90">
        <f>3+54/60</f>
        <v>3.9</v>
      </c>
      <c r="O3851" s="90">
        <v>213</v>
      </c>
      <c r="S3851" s="90">
        <v>1247</v>
      </c>
      <c r="U3851" s="55" t="s">
        <v>1818</v>
      </c>
      <c r="V3851" s="55" t="s">
        <v>1889</v>
      </c>
      <c r="Y3851" s="55" t="s">
        <v>3354</v>
      </c>
      <c r="Z3851" s="55" t="s">
        <v>1349</v>
      </c>
      <c r="AA3851" s="90" t="s">
        <v>1677</v>
      </c>
      <c r="AE3851" s="90">
        <v>77.2</v>
      </c>
      <c r="AF3851" s="90">
        <v>11</v>
      </c>
      <c r="AH3851" s="55" t="s">
        <v>174</v>
      </c>
      <c r="AI3851" s="168">
        <v>7.8</v>
      </c>
      <c r="AJ3851" s="90">
        <v>2.17</v>
      </c>
      <c r="AM3851" s="55" t="s">
        <v>3352</v>
      </c>
      <c r="AN3851" s="185" t="s">
        <v>3353</v>
      </c>
      <c r="AO3851" s="185" t="s">
        <v>5150</v>
      </c>
      <c r="AQ3851" s="55" t="s">
        <v>553</v>
      </c>
      <c r="AR3851" s="55" t="s">
        <v>1607</v>
      </c>
      <c r="AS3851" s="55" t="s">
        <v>132</v>
      </c>
      <c r="AU3851" s="181" t="s">
        <v>7494</v>
      </c>
      <c r="AV3851" s="185" t="s">
        <v>176</v>
      </c>
      <c r="AX3851" s="185" t="s">
        <v>176</v>
      </c>
      <c r="BK3851" s="55" t="s">
        <v>6333</v>
      </c>
      <c r="BM3851" s="192" t="s">
        <v>3210</v>
      </c>
      <c r="BW3851" s="65">
        <v>900</v>
      </c>
      <c r="BX3851" s="65">
        <v>1170</v>
      </c>
      <c r="GP3851" s="292" t="s">
        <v>7494</v>
      </c>
    </row>
    <row r="3852" spans="1:198" x14ac:dyDescent="0.25">
      <c r="A3852" s="55">
        <v>3851</v>
      </c>
      <c r="B3852" s="12" t="s">
        <v>7067</v>
      </c>
      <c r="C3852" s="155">
        <v>172</v>
      </c>
      <c r="D3852" s="55" t="s">
        <v>3355</v>
      </c>
      <c r="E3852" s="90" t="s">
        <v>3334</v>
      </c>
      <c r="G3852" s="55" t="s">
        <v>3275</v>
      </c>
      <c r="H3852" s="55">
        <v>2005</v>
      </c>
      <c r="I3852" s="55">
        <v>1999</v>
      </c>
      <c r="J3852" s="55" t="s">
        <v>2660</v>
      </c>
      <c r="K3852" s="55" t="s">
        <v>3351</v>
      </c>
      <c r="L3852" s="55" t="s">
        <v>2744</v>
      </c>
      <c r="M3852" s="90">
        <v>7.5</v>
      </c>
      <c r="N3852" s="90">
        <f>3+54/60</f>
        <v>3.9</v>
      </c>
      <c r="O3852" s="90">
        <v>213</v>
      </c>
      <c r="S3852" s="90">
        <v>1247</v>
      </c>
      <c r="U3852" s="55" t="s">
        <v>1818</v>
      </c>
      <c r="V3852" s="55" t="s">
        <v>1889</v>
      </c>
      <c r="Y3852" s="55" t="s">
        <v>3354</v>
      </c>
      <c r="Z3852" s="55" t="s">
        <v>1349</v>
      </c>
      <c r="AA3852" s="90" t="s">
        <v>1677</v>
      </c>
      <c r="AE3852" s="90">
        <v>77.2</v>
      </c>
      <c r="AF3852" s="90">
        <v>11</v>
      </c>
      <c r="AH3852" s="55" t="s">
        <v>174</v>
      </c>
      <c r="AI3852" s="168">
        <v>7.8</v>
      </c>
      <c r="AJ3852" s="90">
        <v>2.17</v>
      </c>
      <c r="AM3852" s="55" t="s">
        <v>3352</v>
      </c>
      <c r="AN3852" s="185" t="s">
        <v>3353</v>
      </c>
      <c r="AO3852" s="185" t="s">
        <v>5150</v>
      </c>
      <c r="AQ3852" s="55" t="s">
        <v>553</v>
      </c>
      <c r="AR3852" s="55" t="s">
        <v>1607</v>
      </c>
      <c r="AS3852" s="55" t="s">
        <v>132</v>
      </c>
      <c r="AU3852" s="181" t="s">
        <v>7494</v>
      </c>
      <c r="AV3852" s="185" t="s">
        <v>176</v>
      </c>
      <c r="AX3852" s="185" t="s">
        <v>176</v>
      </c>
      <c r="BK3852" s="55" t="s">
        <v>6333</v>
      </c>
      <c r="BM3852" s="192" t="s">
        <v>3210</v>
      </c>
      <c r="BW3852" s="65">
        <v>1480</v>
      </c>
      <c r="BX3852" s="65">
        <v>1020</v>
      </c>
      <c r="GP3852" s="292" t="s">
        <v>7494</v>
      </c>
    </row>
    <row r="3853" spans="1:198" x14ac:dyDescent="0.25">
      <c r="A3853" s="55">
        <v>3852</v>
      </c>
      <c r="B3853" s="12" t="s">
        <v>7067</v>
      </c>
      <c r="C3853" s="155">
        <v>172</v>
      </c>
      <c r="D3853" s="55" t="s">
        <v>3355</v>
      </c>
      <c r="E3853" s="90" t="s">
        <v>3334</v>
      </c>
      <c r="G3853" s="55" t="s">
        <v>3275</v>
      </c>
      <c r="H3853" s="55">
        <v>2005</v>
      </c>
      <c r="I3853" s="55">
        <v>1999</v>
      </c>
      <c r="J3853" s="55" t="s">
        <v>2660</v>
      </c>
      <c r="K3853" s="55" t="s">
        <v>3351</v>
      </c>
      <c r="L3853" s="55" t="s">
        <v>2744</v>
      </c>
      <c r="M3853" s="90">
        <v>7.5</v>
      </c>
      <c r="N3853" s="90">
        <f>3+54/60</f>
        <v>3.9</v>
      </c>
      <c r="O3853" s="90">
        <v>213</v>
      </c>
      <c r="S3853" s="90">
        <v>1247</v>
      </c>
      <c r="U3853" s="55" t="s">
        <v>1818</v>
      </c>
      <c r="V3853" s="55" t="s">
        <v>1889</v>
      </c>
      <c r="Y3853" s="55" t="s">
        <v>3354</v>
      </c>
      <c r="Z3853" s="55" t="s">
        <v>1349</v>
      </c>
      <c r="AA3853" s="90" t="s">
        <v>1677</v>
      </c>
      <c r="AE3853" s="90">
        <v>77.2</v>
      </c>
      <c r="AF3853" s="90">
        <v>11</v>
      </c>
      <c r="AH3853" s="55" t="s">
        <v>174</v>
      </c>
      <c r="AI3853" s="168">
        <v>7.8</v>
      </c>
      <c r="AJ3853" s="90">
        <v>2.17</v>
      </c>
      <c r="AM3853" s="55" t="s">
        <v>3352</v>
      </c>
      <c r="AN3853" s="185" t="s">
        <v>3353</v>
      </c>
      <c r="AO3853" s="185" t="s">
        <v>5150</v>
      </c>
      <c r="AQ3853" s="55" t="s">
        <v>553</v>
      </c>
      <c r="AR3853" s="55" t="s">
        <v>1607</v>
      </c>
      <c r="AS3853" s="55" t="s">
        <v>132</v>
      </c>
      <c r="AU3853" s="181" t="s">
        <v>7494</v>
      </c>
      <c r="AV3853" s="185" t="s">
        <v>176</v>
      </c>
      <c r="AX3853" s="185" t="s">
        <v>176</v>
      </c>
      <c r="BK3853" s="55" t="s">
        <v>6333</v>
      </c>
      <c r="BM3853" s="192" t="s">
        <v>3210</v>
      </c>
      <c r="BW3853" s="65">
        <v>1500</v>
      </c>
      <c r="BX3853" s="65">
        <v>1300</v>
      </c>
      <c r="GP3853" s="292" t="s">
        <v>7494</v>
      </c>
    </row>
    <row r="3854" spans="1:198" x14ac:dyDescent="0.25">
      <c r="A3854" s="55">
        <v>3853</v>
      </c>
      <c r="B3854" s="12" t="s">
        <v>7067</v>
      </c>
      <c r="C3854" s="155">
        <v>172</v>
      </c>
      <c r="D3854" s="55" t="s">
        <v>3355</v>
      </c>
      <c r="E3854" s="90" t="s">
        <v>3334</v>
      </c>
      <c r="G3854" s="55" t="s">
        <v>3275</v>
      </c>
      <c r="H3854" s="55">
        <v>2005</v>
      </c>
      <c r="I3854" s="55">
        <v>2000</v>
      </c>
      <c r="J3854" s="55" t="s">
        <v>2660</v>
      </c>
      <c r="K3854" s="55" t="s">
        <v>3351</v>
      </c>
      <c r="L3854" s="55" t="s">
        <v>2744</v>
      </c>
      <c r="M3854" s="90">
        <v>7.5</v>
      </c>
      <c r="N3854" s="90">
        <f>3+54/60</f>
        <v>3.9</v>
      </c>
      <c r="O3854" s="90">
        <v>213</v>
      </c>
      <c r="S3854" s="90">
        <v>1247</v>
      </c>
      <c r="U3854" s="55" t="s">
        <v>1889</v>
      </c>
      <c r="V3854" s="55" t="s">
        <v>1889</v>
      </c>
      <c r="Y3854" s="55" t="s">
        <v>3354</v>
      </c>
      <c r="Z3854" s="55" t="s">
        <v>1349</v>
      </c>
      <c r="AA3854" s="90" t="s">
        <v>1677</v>
      </c>
      <c r="AE3854" s="90">
        <v>77.2</v>
      </c>
      <c r="AF3854" s="90">
        <v>11</v>
      </c>
      <c r="AH3854" s="55" t="s">
        <v>174</v>
      </c>
      <c r="AI3854" s="168">
        <v>7.8</v>
      </c>
      <c r="AJ3854" s="90">
        <v>2.17</v>
      </c>
      <c r="AM3854" s="55" t="s">
        <v>3352</v>
      </c>
      <c r="AN3854" s="185" t="s">
        <v>3353</v>
      </c>
      <c r="AO3854" s="185" t="s">
        <v>5150</v>
      </c>
      <c r="AQ3854" s="55" t="s">
        <v>553</v>
      </c>
      <c r="AR3854" s="55" t="s">
        <v>1607</v>
      </c>
      <c r="AS3854" s="55" t="s">
        <v>132</v>
      </c>
      <c r="AU3854" s="181" t="s">
        <v>7494</v>
      </c>
      <c r="AV3854" s="185" t="s">
        <v>176</v>
      </c>
      <c r="AX3854" s="185" t="s">
        <v>176</v>
      </c>
      <c r="BK3854" s="55" t="s">
        <v>6333</v>
      </c>
      <c r="BM3854" s="192" t="s">
        <v>3210</v>
      </c>
      <c r="BW3854" s="65">
        <v>760</v>
      </c>
      <c r="BX3854" s="65">
        <v>910</v>
      </c>
      <c r="CB3854" s="66">
        <v>210</v>
      </c>
      <c r="CC3854" s="66">
        <v>500</v>
      </c>
      <c r="GP3854" s="292" t="s">
        <v>7494</v>
      </c>
    </row>
    <row r="3855" spans="1:198" x14ac:dyDescent="0.25">
      <c r="A3855" s="55">
        <v>3854</v>
      </c>
      <c r="B3855" s="12" t="s">
        <v>7067</v>
      </c>
      <c r="C3855" s="155">
        <v>172</v>
      </c>
      <c r="D3855" s="55" t="s">
        <v>3355</v>
      </c>
      <c r="E3855" s="90" t="s">
        <v>3334</v>
      </c>
      <c r="G3855" s="55" t="s">
        <v>3275</v>
      </c>
      <c r="H3855" s="55">
        <v>2005</v>
      </c>
      <c r="I3855" s="55">
        <v>2000</v>
      </c>
      <c r="J3855" s="55" t="s">
        <v>2660</v>
      </c>
      <c r="K3855" s="55" t="s">
        <v>3351</v>
      </c>
      <c r="L3855" s="55" t="s">
        <v>2744</v>
      </c>
      <c r="M3855" s="90">
        <v>7.5</v>
      </c>
      <c r="N3855" s="90">
        <f>3+54/60</f>
        <v>3.9</v>
      </c>
      <c r="O3855" s="90">
        <v>213</v>
      </c>
      <c r="S3855" s="90">
        <v>1247</v>
      </c>
      <c r="U3855" s="55" t="s">
        <v>1889</v>
      </c>
      <c r="V3855" s="55" t="s">
        <v>1889</v>
      </c>
      <c r="Y3855" s="55" t="s">
        <v>3354</v>
      </c>
      <c r="Z3855" s="55" t="s">
        <v>1349</v>
      </c>
      <c r="AA3855" s="90" t="s">
        <v>1677</v>
      </c>
      <c r="AE3855" s="90">
        <v>77.2</v>
      </c>
      <c r="AF3855" s="90">
        <v>11</v>
      </c>
      <c r="AH3855" s="55" t="s">
        <v>174</v>
      </c>
      <c r="AI3855" s="168">
        <v>7.8</v>
      </c>
      <c r="AJ3855" s="90">
        <v>2.17</v>
      </c>
      <c r="AM3855" s="55" t="s">
        <v>3352</v>
      </c>
      <c r="AN3855" s="185" t="s">
        <v>3353</v>
      </c>
      <c r="AO3855" s="185" t="s">
        <v>5150</v>
      </c>
      <c r="AQ3855" s="55" t="s">
        <v>553</v>
      </c>
      <c r="AR3855" s="55" t="s">
        <v>1607</v>
      </c>
      <c r="AS3855" s="55" t="s">
        <v>132</v>
      </c>
      <c r="AU3855" s="181" t="s">
        <v>7494</v>
      </c>
      <c r="AV3855" s="185" t="s">
        <v>176</v>
      </c>
      <c r="AX3855" s="185" t="s">
        <v>176</v>
      </c>
      <c r="BK3855" s="55" t="s">
        <v>6333</v>
      </c>
      <c r="BM3855" s="192" t="s">
        <v>3210</v>
      </c>
      <c r="BW3855" s="65">
        <v>1230</v>
      </c>
      <c r="BX3855" s="65">
        <v>1670</v>
      </c>
      <c r="CB3855" s="66">
        <v>800</v>
      </c>
      <c r="CC3855" s="66">
        <v>1110</v>
      </c>
      <c r="GP3855" s="292" t="s">
        <v>7494</v>
      </c>
    </row>
    <row r="3856" spans="1:198" x14ac:dyDescent="0.25">
      <c r="A3856" s="55">
        <v>3855</v>
      </c>
      <c r="B3856" s="12" t="s">
        <v>7067</v>
      </c>
      <c r="C3856" s="155">
        <v>172</v>
      </c>
      <c r="D3856" s="55" t="s">
        <v>3355</v>
      </c>
      <c r="E3856" s="90" t="s">
        <v>3334</v>
      </c>
      <c r="G3856" s="55" t="s">
        <v>3275</v>
      </c>
      <c r="H3856" s="55">
        <v>2005</v>
      </c>
      <c r="I3856" s="55">
        <v>2000</v>
      </c>
      <c r="J3856" s="55" t="s">
        <v>2660</v>
      </c>
      <c r="K3856" s="55" t="s">
        <v>3351</v>
      </c>
      <c r="L3856" s="55" t="s">
        <v>2744</v>
      </c>
      <c r="M3856" s="90">
        <v>7.5</v>
      </c>
      <c r="N3856" s="90">
        <f>3+54/60</f>
        <v>3.9</v>
      </c>
      <c r="O3856" s="90">
        <v>213</v>
      </c>
      <c r="S3856" s="90">
        <v>1247</v>
      </c>
      <c r="U3856" s="55" t="s">
        <v>1889</v>
      </c>
      <c r="V3856" s="55" t="s">
        <v>1889</v>
      </c>
      <c r="Y3856" s="55" t="s">
        <v>3354</v>
      </c>
      <c r="Z3856" s="55" t="s">
        <v>1349</v>
      </c>
      <c r="AA3856" s="90" t="s">
        <v>1677</v>
      </c>
      <c r="AE3856" s="90">
        <v>77.2</v>
      </c>
      <c r="AF3856" s="90">
        <v>11</v>
      </c>
      <c r="AH3856" s="55" t="s">
        <v>174</v>
      </c>
      <c r="AI3856" s="168">
        <v>7.8</v>
      </c>
      <c r="AJ3856" s="90">
        <v>2.17</v>
      </c>
      <c r="AM3856" s="55" t="s">
        <v>3352</v>
      </c>
      <c r="AN3856" s="185" t="s">
        <v>3353</v>
      </c>
      <c r="AO3856" s="185" t="s">
        <v>5150</v>
      </c>
      <c r="AQ3856" s="55" t="s">
        <v>553</v>
      </c>
      <c r="AR3856" s="55" t="s">
        <v>1607</v>
      </c>
      <c r="AS3856" s="55" t="s">
        <v>132</v>
      </c>
      <c r="AU3856" s="181" t="s">
        <v>7494</v>
      </c>
      <c r="AV3856" s="185" t="s">
        <v>176</v>
      </c>
      <c r="AX3856" s="185" t="s">
        <v>176</v>
      </c>
      <c r="BK3856" s="55" t="s">
        <v>6333</v>
      </c>
      <c r="BM3856" s="192" t="s">
        <v>3210</v>
      </c>
      <c r="BW3856" s="65">
        <v>2350</v>
      </c>
      <c r="BX3856" s="65">
        <v>1970</v>
      </c>
      <c r="CB3856" s="66">
        <v>2120</v>
      </c>
      <c r="CC3856" s="66">
        <v>1590</v>
      </c>
      <c r="GP3856" s="292" t="s">
        <v>7494</v>
      </c>
    </row>
    <row r="3857" spans="1:198" x14ac:dyDescent="0.25">
      <c r="A3857" s="55">
        <v>3856</v>
      </c>
      <c r="B3857" s="12" t="s">
        <v>7067</v>
      </c>
      <c r="C3857" s="155">
        <v>172</v>
      </c>
      <c r="D3857" s="55" t="s">
        <v>3355</v>
      </c>
      <c r="E3857" s="90" t="s">
        <v>3334</v>
      </c>
      <c r="G3857" s="55" t="s">
        <v>3275</v>
      </c>
      <c r="H3857" s="55">
        <v>2005</v>
      </c>
      <c r="I3857" s="55">
        <v>2000</v>
      </c>
      <c r="J3857" s="55" t="s">
        <v>2660</v>
      </c>
      <c r="K3857" s="55" t="s">
        <v>3351</v>
      </c>
      <c r="L3857" s="55" t="s">
        <v>2744</v>
      </c>
      <c r="M3857" s="90">
        <v>7.5</v>
      </c>
      <c r="N3857" s="90">
        <f>3+54/60</f>
        <v>3.9</v>
      </c>
      <c r="O3857" s="90">
        <v>213</v>
      </c>
      <c r="S3857" s="90">
        <v>1247</v>
      </c>
      <c r="U3857" s="55" t="s">
        <v>1889</v>
      </c>
      <c r="V3857" s="55" t="s">
        <v>1889</v>
      </c>
      <c r="Y3857" s="55" t="s">
        <v>3354</v>
      </c>
      <c r="Z3857" s="55" t="s">
        <v>1349</v>
      </c>
      <c r="AA3857" s="90" t="s">
        <v>1677</v>
      </c>
      <c r="AE3857" s="90">
        <v>77.2</v>
      </c>
      <c r="AF3857" s="90">
        <v>11</v>
      </c>
      <c r="AH3857" s="55" t="s">
        <v>174</v>
      </c>
      <c r="AI3857" s="168">
        <v>7.8</v>
      </c>
      <c r="AJ3857" s="90">
        <v>2.17</v>
      </c>
      <c r="AM3857" s="55" t="s">
        <v>3352</v>
      </c>
      <c r="AN3857" s="185" t="s">
        <v>3353</v>
      </c>
      <c r="AO3857" s="185" t="s">
        <v>5150</v>
      </c>
      <c r="AQ3857" s="55" t="s">
        <v>553</v>
      </c>
      <c r="AR3857" s="55" t="s">
        <v>1607</v>
      </c>
      <c r="AS3857" s="55" t="s">
        <v>132</v>
      </c>
      <c r="AU3857" s="181" t="s">
        <v>7494</v>
      </c>
      <c r="AV3857" s="185" t="s">
        <v>176</v>
      </c>
      <c r="AX3857" s="185" t="s">
        <v>176</v>
      </c>
      <c r="BK3857" s="55" t="s">
        <v>6333</v>
      </c>
      <c r="BM3857" s="192" t="s">
        <v>3210</v>
      </c>
      <c r="BW3857" s="65">
        <v>2790</v>
      </c>
      <c r="BX3857" s="65">
        <v>1470</v>
      </c>
      <c r="CB3857" s="66">
        <v>2260</v>
      </c>
      <c r="CC3857" s="66">
        <v>1340</v>
      </c>
      <c r="GP3857" s="292" t="s">
        <v>7494</v>
      </c>
    </row>
    <row r="3858" spans="1:198" x14ac:dyDescent="0.25">
      <c r="A3858" s="55">
        <v>3857</v>
      </c>
      <c r="B3858" s="12" t="s">
        <v>7067</v>
      </c>
      <c r="C3858" s="155">
        <v>172</v>
      </c>
      <c r="D3858" s="55" t="s">
        <v>3356</v>
      </c>
      <c r="E3858" s="90" t="s">
        <v>3334</v>
      </c>
      <c r="G3858" s="55" t="s">
        <v>3275</v>
      </c>
      <c r="H3858" s="55">
        <v>2005</v>
      </c>
      <c r="I3858" s="55">
        <v>1989</v>
      </c>
      <c r="J3858" s="55" t="s">
        <v>2660</v>
      </c>
      <c r="K3858" s="55" t="s">
        <v>3351</v>
      </c>
      <c r="L3858" s="55" t="s">
        <v>2744</v>
      </c>
      <c r="M3858" s="90">
        <v>7.5</v>
      </c>
      <c r="N3858" s="90">
        <f>3+54/60</f>
        <v>3.9</v>
      </c>
      <c r="O3858" s="90">
        <v>213</v>
      </c>
      <c r="S3858" s="90">
        <v>1247</v>
      </c>
      <c r="U3858" s="55" t="s">
        <v>1935</v>
      </c>
      <c r="V3858" s="55" t="s">
        <v>1889</v>
      </c>
      <c r="Y3858" s="55" t="s">
        <v>3354</v>
      </c>
      <c r="Z3858" s="55" t="s">
        <v>1361</v>
      </c>
      <c r="AA3858" s="90" t="s">
        <v>1682</v>
      </c>
      <c r="AE3858" s="90">
        <v>77.2</v>
      </c>
      <c r="AF3858" s="90">
        <v>11</v>
      </c>
      <c r="AH3858" s="55" t="s">
        <v>174</v>
      </c>
      <c r="AI3858" s="168">
        <v>7.8</v>
      </c>
      <c r="AJ3858" s="90">
        <v>2.17</v>
      </c>
      <c r="AM3858" s="55" t="s">
        <v>3352</v>
      </c>
      <c r="AN3858" s="185" t="s">
        <v>2722</v>
      </c>
      <c r="AO3858" s="185" t="s">
        <v>5150</v>
      </c>
      <c r="AQ3858" s="55" t="s">
        <v>4233</v>
      </c>
      <c r="AR3858" s="55" t="s">
        <v>1607</v>
      </c>
      <c r="AS3858" s="55" t="s">
        <v>132</v>
      </c>
      <c r="AU3858" s="181" t="s">
        <v>7494</v>
      </c>
      <c r="AV3858" s="185" t="s">
        <v>176</v>
      </c>
      <c r="AX3858" s="185" t="s">
        <v>176</v>
      </c>
      <c r="BK3858" s="55" t="s">
        <v>6333</v>
      </c>
      <c r="BM3858" s="192" t="s">
        <v>3210</v>
      </c>
      <c r="CB3858" s="66">
        <v>1300</v>
      </c>
      <c r="CC3858" s="66">
        <v>1400</v>
      </c>
      <c r="CM3858" s="65">
        <v>1.1599999999999999</v>
      </c>
      <c r="CN3858" s="65">
        <v>1.42</v>
      </c>
      <c r="DA3858" s="65" t="s">
        <v>4458</v>
      </c>
      <c r="DG3858" s="65">
        <v>7</v>
      </c>
      <c r="DH3858" s="65">
        <v>6.8</v>
      </c>
      <c r="DK3858" s="65" t="s">
        <v>3359</v>
      </c>
      <c r="DL3858" s="65">
        <v>0.27</v>
      </c>
      <c r="DM3858" s="65">
        <v>0.38</v>
      </c>
      <c r="DP3858" s="65" t="s">
        <v>3360</v>
      </c>
      <c r="DQ3858" s="165">
        <v>6</v>
      </c>
      <c r="DR3858" s="165">
        <v>6.1</v>
      </c>
      <c r="DV3858" s="65">
        <f>2.7+0.55+0.27</f>
        <v>3.52</v>
      </c>
      <c r="DW3858" s="65">
        <f>3.5+0.82+0.38</f>
        <v>4.7</v>
      </c>
      <c r="DZ3858" s="65" t="s">
        <v>2623</v>
      </c>
      <c r="GP3858" s="292" t="s">
        <v>7494</v>
      </c>
    </row>
    <row r="3859" spans="1:198" x14ac:dyDescent="0.25">
      <c r="A3859" s="55">
        <v>3858</v>
      </c>
      <c r="B3859" s="12" t="s">
        <v>7067</v>
      </c>
      <c r="C3859" s="155">
        <v>172</v>
      </c>
      <c r="D3859" s="55" t="s">
        <v>3356</v>
      </c>
      <c r="E3859" s="90" t="s">
        <v>3334</v>
      </c>
      <c r="G3859" s="55" t="s">
        <v>3275</v>
      </c>
      <c r="H3859" s="55">
        <v>2005</v>
      </c>
      <c r="I3859" s="55">
        <v>1989</v>
      </c>
      <c r="J3859" s="55" t="s">
        <v>2660</v>
      </c>
      <c r="K3859" s="55" t="s">
        <v>3351</v>
      </c>
      <c r="L3859" s="55" t="s">
        <v>2744</v>
      </c>
      <c r="M3859" s="90">
        <v>7.5</v>
      </c>
      <c r="N3859" s="90">
        <f>3+54/60</f>
        <v>3.9</v>
      </c>
      <c r="O3859" s="90">
        <v>213</v>
      </c>
      <c r="S3859" s="90">
        <v>1247</v>
      </c>
      <c r="U3859" s="55" t="s">
        <v>1935</v>
      </c>
      <c r="V3859" s="55" t="s">
        <v>1889</v>
      </c>
      <c r="Y3859" s="55" t="s">
        <v>3354</v>
      </c>
      <c r="Z3859" s="55" t="s">
        <v>1361</v>
      </c>
      <c r="AA3859" s="90" t="s">
        <v>1682</v>
      </c>
      <c r="AE3859" s="90">
        <v>77.2</v>
      </c>
      <c r="AF3859" s="90">
        <v>11</v>
      </c>
      <c r="AH3859" s="55" t="s">
        <v>174</v>
      </c>
      <c r="AI3859" s="168">
        <v>7.8</v>
      </c>
      <c r="AJ3859" s="90">
        <v>2.17</v>
      </c>
      <c r="AM3859" s="55" t="s">
        <v>3352</v>
      </c>
      <c r="AN3859" s="185" t="s">
        <v>2722</v>
      </c>
      <c r="AO3859" s="185" t="s">
        <v>5150</v>
      </c>
      <c r="AQ3859" s="55" t="s">
        <v>4233</v>
      </c>
      <c r="AR3859" s="55" t="s">
        <v>1607</v>
      </c>
      <c r="AS3859" s="55" t="s">
        <v>132</v>
      </c>
      <c r="AU3859" s="181" t="s">
        <v>7494</v>
      </c>
      <c r="AV3859" s="185" t="s">
        <v>176</v>
      </c>
      <c r="AX3859" s="185" t="s">
        <v>176</v>
      </c>
      <c r="BK3859" s="55" t="s">
        <v>6333</v>
      </c>
      <c r="BM3859" s="192" t="s">
        <v>3210</v>
      </c>
      <c r="CB3859" s="66">
        <v>1420</v>
      </c>
      <c r="CC3859" s="66">
        <v>1450</v>
      </c>
      <c r="CM3859" s="65">
        <v>1.1599999999999999</v>
      </c>
      <c r="CN3859" s="65">
        <v>1.56</v>
      </c>
      <c r="DA3859" s="65" t="s">
        <v>4458</v>
      </c>
      <c r="DG3859" s="65">
        <v>7</v>
      </c>
      <c r="DH3859" s="65">
        <v>7</v>
      </c>
      <c r="DK3859" s="65" t="s">
        <v>3359</v>
      </c>
      <c r="DL3859" s="65">
        <v>0.27</v>
      </c>
      <c r="DM3859" s="65">
        <v>0.27</v>
      </c>
      <c r="DP3859" s="65" t="s">
        <v>3360</v>
      </c>
      <c r="DQ3859" s="165">
        <v>6</v>
      </c>
      <c r="DR3859" s="165">
        <v>6.2</v>
      </c>
      <c r="DV3859" s="65">
        <f>2.7+0.55+0.27</f>
        <v>3.52</v>
      </c>
      <c r="DW3859" s="65">
        <f>3.3+0.79+0.27</f>
        <v>4.3599999999999994</v>
      </c>
      <c r="DZ3859" s="65" t="s">
        <v>2623</v>
      </c>
      <c r="GP3859" s="292" t="s">
        <v>7494</v>
      </c>
    </row>
    <row r="3860" spans="1:198" x14ac:dyDescent="0.25">
      <c r="A3860" s="55">
        <v>3859</v>
      </c>
      <c r="B3860" s="12" t="s">
        <v>7067</v>
      </c>
      <c r="C3860" s="155">
        <v>172</v>
      </c>
      <c r="D3860" s="55" t="s">
        <v>3356</v>
      </c>
      <c r="E3860" s="90" t="s">
        <v>3334</v>
      </c>
      <c r="G3860" s="55" t="s">
        <v>3275</v>
      </c>
      <c r="H3860" s="55">
        <v>2005</v>
      </c>
      <c r="I3860" s="55">
        <v>1989</v>
      </c>
      <c r="J3860" s="55" t="s">
        <v>2660</v>
      </c>
      <c r="K3860" s="55" t="s">
        <v>3351</v>
      </c>
      <c r="L3860" s="55" t="s">
        <v>2744</v>
      </c>
      <c r="M3860" s="90">
        <v>7.5</v>
      </c>
      <c r="N3860" s="90">
        <f>3+54/60</f>
        <v>3.9</v>
      </c>
      <c r="O3860" s="90">
        <v>213</v>
      </c>
      <c r="S3860" s="90">
        <v>1247</v>
      </c>
      <c r="U3860" s="55" t="s">
        <v>1935</v>
      </c>
      <c r="V3860" s="55" t="s">
        <v>1889</v>
      </c>
      <c r="Y3860" s="55" t="s">
        <v>3354</v>
      </c>
      <c r="Z3860" s="55" t="s">
        <v>1361</v>
      </c>
      <c r="AA3860" s="90" t="s">
        <v>1682</v>
      </c>
      <c r="AE3860" s="90">
        <v>77.2</v>
      </c>
      <c r="AF3860" s="90">
        <v>11</v>
      </c>
      <c r="AH3860" s="55" t="s">
        <v>174</v>
      </c>
      <c r="AI3860" s="168">
        <v>7.8</v>
      </c>
      <c r="AJ3860" s="90">
        <v>2.17</v>
      </c>
      <c r="AM3860" s="55" t="s">
        <v>3352</v>
      </c>
      <c r="AN3860" s="185" t="s">
        <v>2722</v>
      </c>
      <c r="AO3860" s="185" t="s">
        <v>5150</v>
      </c>
      <c r="AQ3860" s="55" t="s">
        <v>4233</v>
      </c>
      <c r="AR3860" s="55" t="s">
        <v>1607</v>
      </c>
      <c r="AS3860" s="55" t="s">
        <v>132</v>
      </c>
      <c r="AU3860" s="181" t="s">
        <v>7494</v>
      </c>
      <c r="AV3860" s="185" t="s">
        <v>176</v>
      </c>
      <c r="AX3860" s="185" t="s">
        <v>176</v>
      </c>
      <c r="BK3860" s="55" t="s">
        <v>6333</v>
      </c>
      <c r="BM3860" s="192" t="s">
        <v>3210</v>
      </c>
      <c r="CB3860" s="66">
        <v>1350</v>
      </c>
      <c r="CC3860" s="66">
        <v>1510</v>
      </c>
      <c r="CM3860" s="65">
        <v>1.1599999999999999</v>
      </c>
      <c r="CN3860" s="65">
        <v>1.44</v>
      </c>
      <c r="DA3860" s="65" t="s">
        <v>4458</v>
      </c>
      <c r="DG3860" s="65">
        <v>7</v>
      </c>
      <c r="DH3860" s="65">
        <v>12.7</v>
      </c>
      <c r="DK3860" s="65" t="s">
        <v>3359</v>
      </c>
      <c r="DL3860" s="65">
        <v>0.27</v>
      </c>
      <c r="DM3860" s="65">
        <v>0.35</v>
      </c>
      <c r="DP3860" s="65" t="s">
        <v>3360</v>
      </c>
      <c r="DQ3860" s="165">
        <v>6</v>
      </c>
      <c r="DR3860" s="165">
        <v>6.2</v>
      </c>
      <c r="DV3860" s="65">
        <f>2.7+0.55+0.27</f>
        <v>3.52</v>
      </c>
      <c r="DW3860" s="65">
        <f>3.8+1.13+0.35</f>
        <v>5.2799999999999994</v>
      </c>
      <c r="DZ3860" s="65" t="s">
        <v>2623</v>
      </c>
      <c r="GP3860" s="292" t="s">
        <v>7494</v>
      </c>
    </row>
    <row r="3861" spans="1:198" x14ac:dyDescent="0.25">
      <c r="A3861" s="55">
        <v>3860</v>
      </c>
      <c r="B3861" s="12" t="s">
        <v>7067</v>
      </c>
      <c r="C3861" s="155">
        <v>172</v>
      </c>
      <c r="D3861" s="55" t="s">
        <v>3356</v>
      </c>
      <c r="E3861" s="90" t="s">
        <v>3334</v>
      </c>
      <c r="G3861" s="55" t="s">
        <v>3275</v>
      </c>
      <c r="H3861" s="55">
        <v>2005</v>
      </c>
      <c r="I3861" s="55">
        <v>1989</v>
      </c>
      <c r="J3861" s="55" t="s">
        <v>2660</v>
      </c>
      <c r="K3861" s="55" t="s">
        <v>3351</v>
      </c>
      <c r="L3861" s="55" t="s">
        <v>2744</v>
      </c>
      <c r="M3861" s="90">
        <v>7.5</v>
      </c>
      <c r="N3861" s="90">
        <f>3+54/60</f>
        <v>3.9</v>
      </c>
      <c r="O3861" s="90">
        <v>213</v>
      </c>
      <c r="S3861" s="90">
        <v>1247</v>
      </c>
      <c r="U3861" s="55" t="s">
        <v>1935</v>
      </c>
      <c r="V3861" s="55" t="s">
        <v>1889</v>
      </c>
      <c r="Y3861" s="55" t="s">
        <v>3354</v>
      </c>
      <c r="Z3861" s="55" t="s">
        <v>1349</v>
      </c>
      <c r="AA3861" s="90" t="s">
        <v>1677</v>
      </c>
      <c r="AE3861" s="90">
        <v>77.2</v>
      </c>
      <c r="AF3861" s="90">
        <v>11</v>
      </c>
      <c r="AH3861" s="55" t="s">
        <v>174</v>
      </c>
      <c r="AI3861" s="168">
        <v>7.8</v>
      </c>
      <c r="AJ3861" s="90">
        <v>2.17</v>
      </c>
      <c r="AM3861" s="55" t="s">
        <v>3352</v>
      </c>
      <c r="AN3861" s="185" t="s">
        <v>2722</v>
      </c>
      <c r="AO3861" s="185" t="s">
        <v>5150</v>
      </c>
      <c r="AQ3861" s="55" t="s">
        <v>4233</v>
      </c>
      <c r="AR3861" s="55" t="s">
        <v>1607</v>
      </c>
      <c r="AS3861" s="55" t="s">
        <v>132</v>
      </c>
      <c r="AU3861" s="181" t="s">
        <v>7494</v>
      </c>
      <c r="AV3861" s="185" t="s">
        <v>176</v>
      </c>
      <c r="AX3861" s="185" t="s">
        <v>176</v>
      </c>
      <c r="BK3861" s="55" t="s">
        <v>6333</v>
      </c>
      <c r="BM3861" s="192" t="s">
        <v>3210</v>
      </c>
      <c r="CB3861" s="66">
        <v>1400</v>
      </c>
      <c r="CC3861" s="66">
        <v>1370</v>
      </c>
      <c r="GP3861" s="292" t="s">
        <v>7494</v>
      </c>
    </row>
    <row r="3862" spans="1:198" x14ac:dyDescent="0.25">
      <c r="A3862" s="55">
        <v>3861</v>
      </c>
      <c r="B3862" s="12" t="s">
        <v>7067</v>
      </c>
      <c r="C3862" s="155">
        <v>172</v>
      </c>
      <c r="D3862" s="55" t="s">
        <v>3356</v>
      </c>
      <c r="E3862" s="90" t="s">
        <v>3334</v>
      </c>
      <c r="G3862" s="55" t="s">
        <v>3275</v>
      </c>
      <c r="H3862" s="55">
        <v>2005</v>
      </c>
      <c r="I3862" s="55">
        <v>1990</v>
      </c>
      <c r="J3862" s="55" t="s">
        <v>2660</v>
      </c>
      <c r="K3862" s="55" t="s">
        <v>3351</v>
      </c>
      <c r="L3862" s="55" t="s">
        <v>2744</v>
      </c>
      <c r="M3862" s="90">
        <v>7.5</v>
      </c>
      <c r="N3862" s="90">
        <f>3+54/60</f>
        <v>3.9</v>
      </c>
      <c r="O3862" s="90">
        <v>213</v>
      </c>
      <c r="S3862" s="90">
        <v>1247</v>
      </c>
      <c r="U3862" s="55" t="s">
        <v>1805</v>
      </c>
      <c r="V3862" s="55" t="s">
        <v>1889</v>
      </c>
      <c r="Y3862" s="55" t="s">
        <v>3354</v>
      </c>
      <c r="Z3862" s="55" t="s">
        <v>1379</v>
      </c>
      <c r="AA3862" s="90" t="s">
        <v>1679</v>
      </c>
      <c r="AE3862" s="90">
        <v>77.2</v>
      </c>
      <c r="AF3862" s="90">
        <v>11</v>
      </c>
      <c r="AH3862" s="55" t="s">
        <v>174</v>
      </c>
      <c r="AI3862" s="168">
        <v>7.8</v>
      </c>
      <c r="AJ3862" s="90">
        <v>2.17</v>
      </c>
      <c r="AM3862" s="55" t="s">
        <v>3352</v>
      </c>
      <c r="AN3862" s="185" t="s">
        <v>2722</v>
      </c>
      <c r="AO3862" s="185" t="s">
        <v>5150</v>
      </c>
      <c r="AQ3862" s="55" t="s">
        <v>4233</v>
      </c>
      <c r="AR3862" s="55" t="s">
        <v>1607</v>
      </c>
      <c r="AS3862" s="55" t="s">
        <v>132</v>
      </c>
      <c r="AU3862" s="181" t="s">
        <v>7494</v>
      </c>
      <c r="AV3862" s="185" t="s">
        <v>176</v>
      </c>
      <c r="AX3862" s="185" t="s">
        <v>176</v>
      </c>
      <c r="BK3862" s="55" t="s">
        <v>6333</v>
      </c>
      <c r="BM3862" s="192" t="s">
        <v>3210</v>
      </c>
      <c r="CB3862" s="66">
        <v>1880</v>
      </c>
      <c r="CC3862" s="66">
        <v>1670</v>
      </c>
      <c r="CM3862" s="65">
        <v>0.69</v>
      </c>
      <c r="CN3862" s="65">
        <v>0.73</v>
      </c>
      <c r="DA3862" s="65" t="s">
        <v>4458</v>
      </c>
      <c r="DG3862" s="65">
        <v>3.6</v>
      </c>
      <c r="DH3862" s="65">
        <v>3.5</v>
      </c>
      <c r="DK3862" s="65" t="s">
        <v>3359</v>
      </c>
      <c r="DL3862" s="65">
        <v>0.23</v>
      </c>
      <c r="DM3862" s="65">
        <v>0.13</v>
      </c>
      <c r="DP3862" s="65" t="s">
        <v>3360</v>
      </c>
      <c r="DQ3862" s="165">
        <v>6.1</v>
      </c>
      <c r="DR3862" s="165">
        <v>6.1</v>
      </c>
      <c r="DV3862" s="65">
        <f>3+0.45+0.23</f>
        <v>3.68</v>
      </c>
      <c r="DW3862" s="65">
        <f>2.2+0.5+0.13</f>
        <v>2.83</v>
      </c>
      <c r="DZ3862" s="65" t="s">
        <v>2623</v>
      </c>
      <c r="GP3862" s="292" t="s">
        <v>7494</v>
      </c>
    </row>
    <row r="3863" spans="1:198" x14ac:dyDescent="0.25">
      <c r="A3863" s="55">
        <v>3862</v>
      </c>
      <c r="B3863" s="12" t="s">
        <v>7067</v>
      </c>
      <c r="C3863" s="155">
        <v>172</v>
      </c>
      <c r="D3863" s="55" t="s">
        <v>3356</v>
      </c>
      <c r="E3863" s="90" t="s">
        <v>3334</v>
      </c>
      <c r="G3863" s="55" t="s">
        <v>3275</v>
      </c>
      <c r="H3863" s="55">
        <v>2005</v>
      </c>
      <c r="I3863" s="55">
        <v>1990</v>
      </c>
      <c r="J3863" s="55" t="s">
        <v>2660</v>
      </c>
      <c r="K3863" s="55" t="s">
        <v>3351</v>
      </c>
      <c r="L3863" s="55" t="s">
        <v>2744</v>
      </c>
      <c r="M3863" s="90">
        <v>7.5</v>
      </c>
      <c r="N3863" s="90">
        <f>3+54/60</f>
        <v>3.9</v>
      </c>
      <c r="O3863" s="90">
        <v>213</v>
      </c>
      <c r="S3863" s="90">
        <v>1247</v>
      </c>
      <c r="U3863" s="55" t="s">
        <v>1805</v>
      </c>
      <c r="V3863" s="55" t="s">
        <v>1889</v>
      </c>
      <c r="Y3863" s="55" t="s">
        <v>3354</v>
      </c>
      <c r="Z3863" s="55" t="s">
        <v>1379</v>
      </c>
      <c r="AA3863" s="90" t="s">
        <v>1679</v>
      </c>
      <c r="AE3863" s="90">
        <v>77.2</v>
      </c>
      <c r="AF3863" s="90">
        <v>11</v>
      </c>
      <c r="AH3863" s="55" t="s">
        <v>174</v>
      </c>
      <c r="AI3863" s="168">
        <v>7.8</v>
      </c>
      <c r="AJ3863" s="90">
        <v>2.17</v>
      </c>
      <c r="AM3863" s="55" t="s">
        <v>3352</v>
      </c>
      <c r="AN3863" s="185" t="s">
        <v>2722</v>
      </c>
      <c r="AO3863" s="185" t="s">
        <v>5150</v>
      </c>
      <c r="AQ3863" s="55" t="s">
        <v>4233</v>
      </c>
      <c r="AR3863" s="55" t="s">
        <v>1607</v>
      </c>
      <c r="AS3863" s="55" t="s">
        <v>132</v>
      </c>
      <c r="AU3863" s="181" t="s">
        <v>7494</v>
      </c>
      <c r="AV3863" s="185" t="s">
        <v>176</v>
      </c>
      <c r="AX3863" s="185" t="s">
        <v>176</v>
      </c>
      <c r="BK3863" s="55" t="s">
        <v>6333</v>
      </c>
      <c r="BM3863" s="192" t="s">
        <v>3210</v>
      </c>
      <c r="CM3863" s="65">
        <v>0.69</v>
      </c>
      <c r="CN3863" s="65">
        <v>0.66</v>
      </c>
      <c r="DA3863" s="65" t="s">
        <v>4458</v>
      </c>
      <c r="DG3863" s="65">
        <v>3.6</v>
      </c>
      <c r="DH3863" s="65">
        <v>3.4</v>
      </c>
      <c r="DK3863" s="65" t="s">
        <v>3359</v>
      </c>
      <c r="DL3863" s="65">
        <v>0.23</v>
      </c>
      <c r="DM3863" s="65">
        <v>0.13</v>
      </c>
      <c r="DP3863" s="65" t="s">
        <v>3360</v>
      </c>
      <c r="DQ3863" s="165">
        <v>6.1</v>
      </c>
      <c r="DR3863" s="165">
        <v>6.2</v>
      </c>
      <c r="DV3863" s="65">
        <f>3+0.45+0.23</f>
        <v>3.68</v>
      </c>
      <c r="DW3863" s="65">
        <f>2.4+0.45+0.13</f>
        <v>2.98</v>
      </c>
      <c r="DZ3863" s="65" t="s">
        <v>2623</v>
      </c>
      <c r="GP3863" s="292" t="s">
        <v>7494</v>
      </c>
    </row>
    <row r="3864" spans="1:198" x14ac:dyDescent="0.25">
      <c r="A3864" s="55">
        <v>3863</v>
      </c>
      <c r="B3864" s="12" t="s">
        <v>7067</v>
      </c>
      <c r="C3864" s="155">
        <v>172</v>
      </c>
      <c r="D3864" s="55" t="s">
        <v>3356</v>
      </c>
      <c r="E3864" s="90" t="s">
        <v>3334</v>
      </c>
      <c r="G3864" s="55" t="s">
        <v>3275</v>
      </c>
      <c r="H3864" s="55">
        <v>2005</v>
      </c>
      <c r="I3864" s="55">
        <v>1990</v>
      </c>
      <c r="J3864" s="55" t="s">
        <v>2660</v>
      </c>
      <c r="K3864" s="55" t="s">
        <v>3351</v>
      </c>
      <c r="L3864" s="55" t="s">
        <v>2744</v>
      </c>
      <c r="M3864" s="90">
        <v>7.5</v>
      </c>
      <c r="N3864" s="90">
        <f>3+54/60</f>
        <v>3.9</v>
      </c>
      <c r="O3864" s="90">
        <v>213</v>
      </c>
      <c r="S3864" s="90">
        <v>1247</v>
      </c>
      <c r="U3864" s="55" t="s">
        <v>1805</v>
      </c>
      <c r="V3864" s="55" t="s">
        <v>1889</v>
      </c>
      <c r="Y3864" s="55" t="s">
        <v>3354</v>
      </c>
      <c r="Z3864" s="55" t="s">
        <v>1379</v>
      </c>
      <c r="AA3864" s="90" t="s">
        <v>1679</v>
      </c>
      <c r="AE3864" s="90">
        <v>77.2</v>
      </c>
      <c r="AF3864" s="90">
        <v>11</v>
      </c>
      <c r="AH3864" s="55" t="s">
        <v>174</v>
      </c>
      <c r="AI3864" s="168">
        <v>7.8</v>
      </c>
      <c r="AJ3864" s="90">
        <v>2.17</v>
      </c>
      <c r="AM3864" s="55" t="s">
        <v>3352</v>
      </c>
      <c r="AN3864" s="185" t="s">
        <v>2722</v>
      </c>
      <c r="AO3864" s="185" t="s">
        <v>5150</v>
      </c>
      <c r="AQ3864" s="55" t="s">
        <v>4233</v>
      </c>
      <c r="AR3864" s="55" t="s">
        <v>1607</v>
      </c>
      <c r="AS3864" s="55" t="s">
        <v>132</v>
      </c>
      <c r="AU3864" s="181" t="s">
        <v>7494</v>
      </c>
      <c r="AV3864" s="185" t="s">
        <v>176</v>
      </c>
      <c r="AX3864" s="185" t="s">
        <v>176</v>
      </c>
      <c r="BK3864" s="55" t="s">
        <v>6333</v>
      </c>
      <c r="BM3864" s="192" t="s">
        <v>3210</v>
      </c>
      <c r="CM3864" s="65">
        <v>0.69</v>
      </c>
      <c r="CN3864" s="65">
        <v>0.92</v>
      </c>
      <c r="DA3864" s="65" t="s">
        <v>4458</v>
      </c>
      <c r="DG3864" s="65">
        <v>3.6</v>
      </c>
      <c r="DH3864" s="65">
        <v>2.2999999999999998</v>
      </c>
      <c r="DK3864" s="65" t="s">
        <v>3359</v>
      </c>
      <c r="DL3864" s="65">
        <v>0.23</v>
      </c>
      <c r="DM3864" s="65">
        <v>0.15</v>
      </c>
      <c r="DP3864" s="65" t="s">
        <v>3360</v>
      </c>
      <c r="DQ3864" s="165">
        <v>6.1</v>
      </c>
      <c r="DR3864" s="165">
        <v>6.1</v>
      </c>
      <c r="DV3864" s="65">
        <f>3+0.45+0.23</f>
        <v>3.68</v>
      </c>
      <c r="DW3864" s="65">
        <f>2.7+0.5+0.15</f>
        <v>3.35</v>
      </c>
      <c r="DZ3864" s="65" t="s">
        <v>2623</v>
      </c>
      <c r="GP3864" s="292" t="s">
        <v>7494</v>
      </c>
    </row>
    <row r="3865" spans="1:198" x14ac:dyDescent="0.25">
      <c r="A3865" s="55">
        <v>3864</v>
      </c>
      <c r="B3865" s="12" t="s">
        <v>7067</v>
      </c>
      <c r="C3865" s="155">
        <v>172</v>
      </c>
      <c r="D3865" s="55" t="s">
        <v>3356</v>
      </c>
      <c r="E3865" s="90" t="s">
        <v>3334</v>
      </c>
      <c r="G3865" s="55" t="s">
        <v>3275</v>
      </c>
      <c r="H3865" s="55">
        <v>2005</v>
      </c>
      <c r="I3865" s="55">
        <v>1990</v>
      </c>
      <c r="J3865" s="55" t="s">
        <v>2660</v>
      </c>
      <c r="K3865" s="55" t="s">
        <v>3351</v>
      </c>
      <c r="L3865" s="55" t="s">
        <v>2744</v>
      </c>
      <c r="M3865" s="90">
        <v>7.5</v>
      </c>
      <c r="N3865" s="90">
        <f>3+54/60</f>
        <v>3.9</v>
      </c>
      <c r="O3865" s="90">
        <v>213</v>
      </c>
      <c r="S3865" s="90">
        <v>1247</v>
      </c>
      <c r="U3865" s="55" t="s">
        <v>1805</v>
      </c>
      <c r="V3865" s="55" t="s">
        <v>1889</v>
      </c>
      <c r="Y3865" s="55" t="s">
        <v>3354</v>
      </c>
      <c r="Z3865" s="55" t="s">
        <v>1349</v>
      </c>
      <c r="AA3865" s="90" t="s">
        <v>1677</v>
      </c>
      <c r="AE3865" s="90">
        <v>77.2</v>
      </c>
      <c r="AF3865" s="90">
        <v>11</v>
      </c>
      <c r="AH3865" s="55" t="s">
        <v>174</v>
      </c>
      <c r="AI3865" s="168">
        <v>7.8</v>
      </c>
      <c r="AJ3865" s="90">
        <v>2.17</v>
      </c>
      <c r="AM3865" s="55" t="s">
        <v>3352</v>
      </c>
      <c r="AN3865" s="185" t="s">
        <v>2722</v>
      </c>
      <c r="AO3865" s="185" t="s">
        <v>5150</v>
      </c>
      <c r="AQ3865" s="55" t="s">
        <v>4233</v>
      </c>
      <c r="AR3865" s="55" t="s">
        <v>1607</v>
      </c>
      <c r="AS3865" s="55" t="s">
        <v>132</v>
      </c>
      <c r="AU3865" s="181" t="s">
        <v>7494</v>
      </c>
      <c r="AV3865" s="185" t="s">
        <v>176</v>
      </c>
      <c r="AX3865" s="185" t="s">
        <v>176</v>
      </c>
      <c r="BK3865" s="55" t="s">
        <v>6333</v>
      </c>
      <c r="BM3865" s="192" t="s">
        <v>3210</v>
      </c>
      <c r="GP3865" s="292" t="s">
        <v>7494</v>
      </c>
    </row>
    <row r="3866" spans="1:198" x14ac:dyDescent="0.25">
      <c r="A3866" s="55">
        <v>3865</v>
      </c>
      <c r="B3866" s="12" t="s">
        <v>7067</v>
      </c>
      <c r="C3866" s="155">
        <v>172</v>
      </c>
      <c r="D3866" s="55" t="s">
        <v>3356</v>
      </c>
      <c r="E3866" s="90" t="s">
        <v>3334</v>
      </c>
      <c r="G3866" s="55" t="s">
        <v>3275</v>
      </c>
      <c r="H3866" s="55">
        <v>2005</v>
      </c>
      <c r="I3866" s="55">
        <v>1991</v>
      </c>
      <c r="J3866" s="55" t="s">
        <v>2660</v>
      </c>
      <c r="K3866" s="55" t="s">
        <v>3351</v>
      </c>
      <c r="L3866" s="55" t="s">
        <v>2744</v>
      </c>
      <c r="M3866" s="90">
        <v>7.5</v>
      </c>
      <c r="N3866" s="90">
        <f>3+54/60</f>
        <v>3.9</v>
      </c>
      <c r="O3866" s="90">
        <v>213</v>
      </c>
      <c r="S3866" s="90">
        <v>1247</v>
      </c>
      <c r="U3866" s="55" t="s">
        <v>1688</v>
      </c>
      <c r="V3866" s="55" t="s">
        <v>1889</v>
      </c>
      <c r="Y3866" s="55" t="s">
        <v>3354</v>
      </c>
      <c r="Z3866" s="55" t="s">
        <v>1361</v>
      </c>
      <c r="AA3866" s="90" t="s">
        <v>1682</v>
      </c>
      <c r="AE3866" s="90">
        <v>77.2</v>
      </c>
      <c r="AF3866" s="90">
        <v>11</v>
      </c>
      <c r="AH3866" s="55" t="s">
        <v>174</v>
      </c>
      <c r="AI3866" s="168">
        <v>7.8</v>
      </c>
      <c r="AJ3866" s="90">
        <v>2.17</v>
      </c>
      <c r="AM3866" s="55" t="s">
        <v>3352</v>
      </c>
      <c r="AN3866" s="185" t="s">
        <v>2722</v>
      </c>
      <c r="AO3866" s="185" t="s">
        <v>5150</v>
      </c>
      <c r="AQ3866" s="55" t="s">
        <v>4233</v>
      </c>
      <c r="AR3866" s="55" t="s">
        <v>1607</v>
      </c>
      <c r="AS3866" s="55" t="s">
        <v>132</v>
      </c>
      <c r="AU3866" s="181" t="s">
        <v>7494</v>
      </c>
      <c r="AV3866" s="185" t="s">
        <v>176</v>
      </c>
      <c r="AX3866" s="185" t="s">
        <v>176</v>
      </c>
      <c r="BK3866" s="55" t="s">
        <v>6333</v>
      </c>
      <c r="BM3866" s="192" t="s">
        <v>3210</v>
      </c>
      <c r="BW3866" s="65">
        <v>2720</v>
      </c>
      <c r="BX3866" s="65">
        <v>2800</v>
      </c>
      <c r="CB3866" s="66">
        <v>2330</v>
      </c>
      <c r="CC3866" s="66">
        <v>2170</v>
      </c>
      <c r="CM3866" s="65">
        <v>1.1200000000000001</v>
      </c>
      <c r="CN3866" s="65">
        <v>1.29</v>
      </c>
      <c r="DA3866" s="65" t="s">
        <v>4458</v>
      </c>
      <c r="DG3866" s="65">
        <v>6.4</v>
      </c>
      <c r="DH3866" s="65">
        <v>6.6</v>
      </c>
      <c r="DK3866" s="65" t="s">
        <v>3359</v>
      </c>
      <c r="DL3866" s="65">
        <v>0.27</v>
      </c>
      <c r="DM3866" s="65">
        <v>0.28000000000000003</v>
      </c>
      <c r="DP3866" s="65" t="s">
        <v>3360</v>
      </c>
      <c r="DQ3866" s="165">
        <v>6.1</v>
      </c>
      <c r="DR3866" s="165">
        <v>6.3</v>
      </c>
      <c r="DV3866" s="65">
        <f>3+0.59+0.27</f>
        <v>3.86</v>
      </c>
      <c r="DW3866" s="65">
        <f>3.4+0.64+0.28</f>
        <v>4.32</v>
      </c>
      <c r="DZ3866" s="65" t="s">
        <v>2623</v>
      </c>
      <c r="GP3866" s="292" t="s">
        <v>7494</v>
      </c>
    </row>
    <row r="3867" spans="1:198" x14ac:dyDescent="0.25">
      <c r="A3867" s="55">
        <v>3866</v>
      </c>
      <c r="B3867" s="12" t="s">
        <v>7067</v>
      </c>
      <c r="C3867" s="155">
        <v>172</v>
      </c>
      <c r="D3867" s="55" t="s">
        <v>3356</v>
      </c>
      <c r="E3867" s="90" t="s">
        <v>3334</v>
      </c>
      <c r="G3867" s="55" t="s">
        <v>3275</v>
      </c>
      <c r="H3867" s="55">
        <v>2005</v>
      </c>
      <c r="I3867" s="55">
        <v>1991</v>
      </c>
      <c r="J3867" s="55" t="s">
        <v>2660</v>
      </c>
      <c r="K3867" s="55" t="s">
        <v>3351</v>
      </c>
      <c r="L3867" s="55" t="s">
        <v>2744</v>
      </c>
      <c r="M3867" s="90">
        <v>7.5</v>
      </c>
      <c r="N3867" s="90">
        <f>3+54/60</f>
        <v>3.9</v>
      </c>
      <c r="O3867" s="90">
        <v>213</v>
      </c>
      <c r="S3867" s="90">
        <v>1247</v>
      </c>
      <c r="U3867" s="55" t="s">
        <v>1688</v>
      </c>
      <c r="V3867" s="55" t="s">
        <v>1889</v>
      </c>
      <c r="Y3867" s="55" t="s">
        <v>3354</v>
      </c>
      <c r="Z3867" s="55" t="s">
        <v>1361</v>
      </c>
      <c r="AA3867" s="90" t="s">
        <v>1682</v>
      </c>
      <c r="AE3867" s="90">
        <v>77.2</v>
      </c>
      <c r="AF3867" s="90">
        <v>11</v>
      </c>
      <c r="AH3867" s="55" t="s">
        <v>174</v>
      </c>
      <c r="AI3867" s="168">
        <v>7.8</v>
      </c>
      <c r="AJ3867" s="90">
        <v>2.17</v>
      </c>
      <c r="AM3867" s="55" t="s">
        <v>3352</v>
      </c>
      <c r="AN3867" s="185" t="s">
        <v>2722</v>
      </c>
      <c r="AO3867" s="185" t="s">
        <v>5150</v>
      </c>
      <c r="AQ3867" s="55" t="s">
        <v>4233</v>
      </c>
      <c r="AR3867" s="55" t="s">
        <v>1607</v>
      </c>
      <c r="AS3867" s="55" t="s">
        <v>132</v>
      </c>
      <c r="AU3867" s="181" t="s">
        <v>7494</v>
      </c>
      <c r="AV3867" s="185" t="s">
        <v>176</v>
      </c>
      <c r="AX3867" s="185" t="s">
        <v>176</v>
      </c>
      <c r="BK3867" s="55" t="s">
        <v>6333</v>
      </c>
      <c r="BM3867" s="192" t="s">
        <v>3210</v>
      </c>
      <c r="BW3867" s="65">
        <v>3140</v>
      </c>
      <c r="BX3867" s="65">
        <v>3100</v>
      </c>
      <c r="CB3867" s="66">
        <v>3010</v>
      </c>
      <c r="CC3867" s="66">
        <v>2980</v>
      </c>
      <c r="CM3867" s="65">
        <v>1.1200000000000001</v>
      </c>
      <c r="CN3867" s="65">
        <v>1.4</v>
      </c>
      <c r="DA3867" s="65" t="s">
        <v>4458</v>
      </c>
      <c r="DG3867" s="65">
        <v>6.4</v>
      </c>
      <c r="DH3867" s="65">
        <v>7.2</v>
      </c>
      <c r="DK3867" s="65" t="s">
        <v>3359</v>
      </c>
      <c r="DL3867" s="65">
        <v>0.27</v>
      </c>
      <c r="DM3867" s="65">
        <v>0.28000000000000003</v>
      </c>
      <c r="DP3867" s="65" t="s">
        <v>3360</v>
      </c>
      <c r="DQ3867" s="165">
        <v>6.1</v>
      </c>
      <c r="DR3867" s="165">
        <v>6.3</v>
      </c>
      <c r="DV3867" s="65">
        <f>3+0.59+0.27</f>
        <v>3.86</v>
      </c>
      <c r="DW3867" s="65">
        <f>3.2+0.69+0.28</f>
        <v>4.17</v>
      </c>
      <c r="DZ3867" s="65" t="s">
        <v>2623</v>
      </c>
      <c r="GP3867" s="292" t="s">
        <v>7494</v>
      </c>
    </row>
    <row r="3868" spans="1:198" x14ac:dyDescent="0.25">
      <c r="A3868" s="55">
        <v>3867</v>
      </c>
      <c r="B3868" s="12" t="s">
        <v>7067</v>
      </c>
      <c r="C3868" s="155">
        <v>172</v>
      </c>
      <c r="D3868" s="55" t="s">
        <v>3356</v>
      </c>
      <c r="E3868" s="90" t="s">
        <v>3334</v>
      </c>
      <c r="G3868" s="55" t="s">
        <v>3275</v>
      </c>
      <c r="H3868" s="55">
        <v>2005</v>
      </c>
      <c r="I3868" s="55">
        <v>1991</v>
      </c>
      <c r="J3868" s="55" t="s">
        <v>2660</v>
      </c>
      <c r="K3868" s="55" t="s">
        <v>3351</v>
      </c>
      <c r="L3868" s="55" t="s">
        <v>2744</v>
      </c>
      <c r="M3868" s="90">
        <v>7.5</v>
      </c>
      <c r="N3868" s="90">
        <f>3+54/60</f>
        <v>3.9</v>
      </c>
      <c r="O3868" s="90">
        <v>213</v>
      </c>
      <c r="S3868" s="90">
        <v>1247</v>
      </c>
      <c r="U3868" s="55" t="s">
        <v>1688</v>
      </c>
      <c r="V3868" s="55" t="s">
        <v>1889</v>
      </c>
      <c r="Y3868" s="55" t="s">
        <v>3354</v>
      </c>
      <c r="Z3868" s="55" t="s">
        <v>1361</v>
      </c>
      <c r="AA3868" s="90" t="s">
        <v>1682</v>
      </c>
      <c r="AE3868" s="90">
        <v>77.2</v>
      </c>
      <c r="AF3868" s="90">
        <v>11</v>
      </c>
      <c r="AH3868" s="55" t="s">
        <v>174</v>
      </c>
      <c r="AI3868" s="168">
        <v>7.8</v>
      </c>
      <c r="AJ3868" s="90">
        <v>2.17</v>
      </c>
      <c r="AM3868" s="55" t="s">
        <v>3352</v>
      </c>
      <c r="AN3868" s="185" t="s">
        <v>2722</v>
      </c>
      <c r="AO3868" s="185" t="s">
        <v>5150</v>
      </c>
      <c r="AQ3868" s="55" t="s">
        <v>4233</v>
      </c>
      <c r="AR3868" s="55" t="s">
        <v>1607</v>
      </c>
      <c r="AS3868" s="55" t="s">
        <v>132</v>
      </c>
      <c r="AU3868" s="181" t="s">
        <v>7494</v>
      </c>
      <c r="AV3868" s="185" t="s">
        <v>176</v>
      </c>
      <c r="AX3868" s="185" t="s">
        <v>176</v>
      </c>
      <c r="BK3868" s="55" t="s">
        <v>6333</v>
      </c>
      <c r="BM3868" s="192" t="s">
        <v>3210</v>
      </c>
      <c r="CM3868" s="65">
        <v>1.1200000000000001</v>
      </c>
      <c r="CN3868" s="65">
        <v>1.43</v>
      </c>
      <c r="DA3868" s="65" t="s">
        <v>4458</v>
      </c>
      <c r="DG3868" s="65">
        <v>6.4</v>
      </c>
      <c r="DH3868" s="65">
        <v>8.9</v>
      </c>
      <c r="DK3868" s="65" t="s">
        <v>3359</v>
      </c>
      <c r="DL3868" s="65">
        <v>0.27</v>
      </c>
      <c r="DM3868" s="65">
        <v>0.33</v>
      </c>
      <c r="DP3868" s="65" t="s">
        <v>3360</v>
      </c>
      <c r="DQ3868" s="165">
        <v>6.1</v>
      </c>
      <c r="DR3868" s="165">
        <v>6.3</v>
      </c>
      <c r="DV3868" s="65">
        <f>3+0.59+0.27</f>
        <v>3.86</v>
      </c>
      <c r="DW3868" s="65">
        <f>3.4+0.83+0.33</f>
        <v>4.5599999999999996</v>
      </c>
      <c r="DZ3868" s="65" t="s">
        <v>2623</v>
      </c>
      <c r="GP3868" s="292" t="s">
        <v>7494</v>
      </c>
    </row>
    <row r="3869" spans="1:198" x14ac:dyDescent="0.25">
      <c r="A3869" s="55">
        <v>3868</v>
      </c>
      <c r="B3869" s="12" t="s">
        <v>7067</v>
      </c>
      <c r="C3869" s="155">
        <v>172</v>
      </c>
      <c r="D3869" s="55" t="s">
        <v>3356</v>
      </c>
      <c r="E3869" s="90" t="s">
        <v>3334</v>
      </c>
      <c r="G3869" s="55" t="s">
        <v>3275</v>
      </c>
      <c r="H3869" s="55">
        <v>2005</v>
      </c>
      <c r="I3869" s="55">
        <v>1991</v>
      </c>
      <c r="J3869" s="55" t="s">
        <v>2660</v>
      </c>
      <c r="K3869" s="55" t="s">
        <v>3351</v>
      </c>
      <c r="L3869" s="55" t="s">
        <v>2744</v>
      </c>
      <c r="M3869" s="90">
        <v>7.5</v>
      </c>
      <c r="N3869" s="90">
        <f>3+54/60</f>
        <v>3.9</v>
      </c>
      <c r="O3869" s="90">
        <v>213</v>
      </c>
      <c r="S3869" s="90">
        <v>1247</v>
      </c>
      <c r="U3869" s="55" t="s">
        <v>1688</v>
      </c>
      <c r="V3869" s="55" t="s">
        <v>1889</v>
      </c>
      <c r="Y3869" s="55" t="s">
        <v>3354</v>
      </c>
      <c r="Z3869" s="55" t="s">
        <v>1349</v>
      </c>
      <c r="AA3869" s="90" t="s">
        <v>1677</v>
      </c>
      <c r="AE3869" s="90">
        <v>77.2</v>
      </c>
      <c r="AF3869" s="90">
        <v>11</v>
      </c>
      <c r="AH3869" s="55" t="s">
        <v>174</v>
      </c>
      <c r="AI3869" s="168">
        <v>7.8</v>
      </c>
      <c r="AJ3869" s="90">
        <v>2.17</v>
      </c>
      <c r="AM3869" s="55" t="s">
        <v>3352</v>
      </c>
      <c r="AN3869" s="185" t="s">
        <v>2722</v>
      </c>
      <c r="AO3869" s="185" t="s">
        <v>5150</v>
      </c>
      <c r="AQ3869" s="55" t="s">
        <v>4233</v>
      </c>
      <c r="AR3869" s="55" t="s">
        <v>1607</v>
      </c>
      <c r="AS3869" s="55" t="s">
        <v>132</v>
      </c>
      <c r="AU3869" s="181" t="s">
        <v>7494</v>
      </c>
      <c r="AV3869" s="185" t="s">
        <v>176</v>
      </c>
      <c r="AX3869" s="185" t="s">
        <v>176</v>
      </c>
      <c r="BK3869" s="55" t="s">
        <v>6333</v>
      </c>
      <c r="BM3869" s="192" t="s">
        <v>3210</v>
      </c>
      <c r="GP3869" s="292" t="s">
        <v>7494</v>
      </c>
    </row>
    <row r="3870" spans="1:198" x14ac:dyDescent="0.25">
      <c r="A3870" s="55">
        <v>3869</v>
      </c>
      <c r="B3870" s="12" t="s">
        <v>7067</v>
      </c>
      <c r="C3870" s="155">
        <v>172</v>
      </c>
      <c r="D3870" s="55" t="s">
        <v>3356</v>
      </c>
      <c r="E3870" s="90" t="s">
        <v>3334</v>
      </c>
      <c r="G3870" s="55" t="s">
        <v>3275</v>
      </c>
      <c r="H3870" s="55">
        <v>2005</v>
      </c>
      <c r="I3870" s="55">
        <v>1992</v>
      </c>
      <c r="J3870" s="55" t="s">
        <v>2660</v>
      </c>
      <c r="K3870" s="55" t="s">
        <v>3351</v>
      </c>
      <c r="L3870" s="55" t="s">
        <v>2744</v>
      </c>
      <c r="M3870" s="90">
        <v>7.5</v>
      </c>
      <c r="N3870" s="90">
        <f>3+54/60</f>
        <v>3.9</v>
      </c>
      <c r="O3870" s="90">
        <v>213</v>
      </c>
      <c r="S3870" s="90">
        <v>1247</v>
      </c>
      <c r="U3870" s="55" t="s">
        <v>1816</v>
      </c>
      <c r="V3870" s="55" t="s">
        <v>1889</v>
      </c>
      <c r="Y3870" s="55" t="s">
        <v>3354</v>
      </c>
      <c r="Z3870" s="55" t="s">
        <v>1379</v>
      </c>
      <c r="AA3870" s="90" t="s">
        <v>1679</v>
      </c>
      <c r="AE3870" s="90">
        <v>77.2</v>
      </c>
      <c r="AF3870" s="90">
        <v>11</v>
      </c>
      <c r="AH3870" s="55" t="s">
        <v>174</v>
      </c>
      <c r="AI3870" s="168">
        <v>7.8</v>
      </c>
      <c r="AJ3870" s="90">
        <v>2.17</v>
      </c>
      <c r="AM3870" s="55" t="s">
        <v>3352</v>
      </c>
      <c r="AN3870" s="185" t="s">
        <v>2722</v>
      </c>
      <c r="AO3870" s="185" t="s">
        <v>5150</v>
      </c>
      <c r="AQ3870" s="55" t="s">
        <v>4233</v>
      </c>
      <c r="AR3870" s="55" t="s">
        <v>1607</v>
      </c>
      <c r="AS3870" s="55" t="s">
        <v>132</v>
      </c>
      <c r="AU3870" s="181" t="s">
        <v>7494</v>
      </c>
      <c r="AV3870" s="185" t="s">
        <v>176</v>
      </c>
      <c r="AX3870" s="185" t="s">
        <v>176</v>
      </c>
      <c r="BK3870" s="55" t="s">
        <v>6333</v>
      </c>
      <c r="BM3870" s="192" t="s">
        <v>3210</v>
      </c>
      <c r="BW3870" s="65">
        <v>1470</v>
      </c>
      <c r="BX3870" s="65">
        <v>790</v>
      </c>
      <c r="CB3870" s="66">
        <v>1210</v>
      </c>
      <c r="CC3870" s="66">
        <v>1330</v>
      </c>
      <c r="CM3870" s="65">
        <v>0.7</v>
      </c>
      <c r="CN3870" s="65">
        <v>0.72</v>
      </c>
      <c r="DA3870" s="65" t="s">
        <v>4458</v>
      </c>
      <c r="DG3870" s="65">
        <v>2.8</v>
      </c>
      <c r="DH3870" s="65">
        <v>2.8</v>
      </c>
      <c r="DK3870" s="65" t="s">
        <v>3359</v>
      </c>
      <c r="DL3870" s="65">
        <v>0.23</v>
      </c>
      <c r="DM3870" s="65">
        <v>0.14000000000000001</v>
      </c>
      <c r="DP3870" s="65" t="s">
        <v>3360</v>
      </c>
      <c r="DQ3870" s="165">
        <v>6</v>
      </c>
      <c r="DR3870" s="165">
        <v>6</v>
      </c>
      <c r="DV3870" s="65">
        <f>3.1+0.47+0.23</f>
        <v>3.8000000000000003</v>
      </c>
      <c r="DW3870" s="65">
        <f>2.7+0.47+0.14</f>
        <v>3.31</v>
      </c>
      <c r="DZ3870" s="65" t="s">
        <v>2623</v>
      </c>
      <c r="GP3870" s="292" t="s">
        <v>7494</v>
      </c>
    </row>
    <row r="3871" spans="1:198" x14ac:dyDescent="0.25">
      <c r="A3871" s="55">
        <v>3870</v>
      </c>
      <c r="B3871" s="12" t="s">
        <v>7067</v>
      </c>
      <c r="C3871" s="155">
        <v>172</v>
      </c>
      <c r="D3871" s="55" t="s">
        <v>3356</v>
      </c>
      <c r="E3871" s="90" t="s">
        <v>3334</v>
      </c>
      <c r="G3871" s="55" t="s">
        <v>3275</v>
      </c>
      <c r="H3871" s="55">
        <v>2005</v>
      </c>
      <c r="I3871" s="55">
        <v>1992</v>
      </c>
      <c r="J3871" s="55" t="s">
        <v>2660</v>
      </c>
      <c r="K3871" s="55" t="s">
        <v>3351</v>
      </c>
      <c r="L3871" s="55" t="s">
        <v>2744</v>
      </c>
      <c r="M3871" s="90">
        <v>7.5</v>
      </c>
      <c r="N3871" s="90">
        <f>3+54/60</f>
        <v>3.9</v>
      </c>
      <c r="O3871" s="90">
        <v>213</v>
      </c>
      <c r="S3871" s="90">
        <v>1247</v>
      </c>
      <c r="U3871" s="55" t="s">
        <v>1816</v>
      </c>
      <c r="V3871" s="55" t="s">
        <v>1889</v>
      </c>
      <c r="Y3871" s="55" t="s">
        <v>3354</v>
      </c>
      <c r="Z3871" s="55" t="s">
        <v>1379</v>
      </c>
      <c r="AA3871" s="90" t="s">
        <v>1679</v>
      </c>
      <c r="AE3871" s="90">
        <v>77.2</v>
      </c>
      <c r="AF3871" s="90">
        <v>11</v>
      </c>
      <c r="AH3871" s="55" t="s">
        <v>174</v>
      </c>
      <c r="AI3871" s="168">
        <v>7.8</v>
      </c>
      <c r="AJ3871" s="90">
        <v>2.17</v>
      </c>
      <c r="AM3871" s="55" t="s">
        <v>3352</v>
      </c>
      <c r="AN3871" s="185" t="s">
        <v>2722</v>
      </c>
      <c r="AO3871" s="185" t="s">
        <v>5150</v>
      </c>
      <c r="AQ3871" s="55" t="s">
        <v>4233</v>
      </c>
      <c r="AR3871" s="55" t="s">
        <v>1607</v>
      </c>
      <c r="AS3871" s="55" t="s">
        <v>132</v>
      </c>
      <c r="AU3871" s="181" t="s">
        <v>7494</v>
      </c>
      <c r="AV3871" s="185" t="s">
        <v>176</v>
      </c>
      <c r="AX3871" s="185" t="s">
        <v>176</v>
      </c>
      <c r="BK3871" s="55" t="s">
        <v>6333</v>
      </c>
      <c r="BM3871" s="192" t="s">
        <v>3210</v>
      </c>
      <c r="BW3871" s="65">
        <v>2290</v>
      </c>
      <c r="BX3871" s="65">
        <v>1640</v>
      </c>
      <c r="CB3871" s="66">
        <v>2120</v>
      </c>
      <c r="CC3871" s="66">
        <v>2160</v>
      </c>
      <c r="CM3871" s="65">
        <v>0.7</v>
      </c>
      <c r="CN3871" s="65">
        <v>0.74</v>
      </c>
      <c r="DA3871" s="65" t="s">
        <v>4458</v>
      </c>
      <c r="DG3871" s="65">
        <v>2.8</v>
      </c>
      <c r="DH3871" s="65">
        <v>2.7</v>
      </c>
      <c r="DK3871" s="65" t="s">
        <v>3359</v>
      </c>
      <c r="DL3871" s="65">
        <v>0.23</v>
      </c>
      <c r="DM3871" s="65">
        <v>0.16</v>
      </c>
      <c r="DP3871" s="65" t="s">
        <v>3360</v>
      </c>
      <c r="DQ3871" s="165">
        <v>6</v>
      </c>
      <c r="DR3871" s="165">
        <v>6</v>
      </c>
      <c r="DV3871" s="65">
        <f>3.1+0.47+0.23</f>
        <v>3.8000000000000003</v>
      </c>
      <c r="DW3871" s="65">
        <f>2.6+0.46+0.16</f>
        <v>3.22</v>
      </c>
      <c r="DZ3871" s="65" t="s">
        <v>2623</v>
      </c>
      <c r="GP3871" s="292" t="s">
        <v>7494</v>
      </c>
    </row>
    <row r="3872" spans="1:198" x14ac:dyDescent="0.25">
      <c r="A3872" s="55">
        <v>3871</v>
      </c>
      <c r="B3872" s="12" t="s">
        <v>7067</v>
      </c>
      <c r="C3872" s="155">
        <v>172</v>
      </c>
      <c r="D3872" s="55" t="s">
        <v>3356</v>
      </c>
      <c r="E3872" s="90" t="s">
        <v>3334</v>
      </c>
      <c r="G3872" s="55" t="s">
        <v>3275</v>
      </c>
      <c r="H3872" s="55">
        <v>2005</v>
      </c>
      <c r="I3872" s="55">
        <v>1992</v>
      </c>
      <c r="J3872" s="55" t="s">
        <v>2660</v>
      </c>
      <c r="K3872" s="55" t="s">
        <v>3351</v>
      </c>
      <c r="L3872" s="55" t="s">
        <v>2744</v>
      </c>
      <c r="M3872" s="90">
        <v>7.5</v>
      </c>
      <c r="N3872" s="90">
        <f>3+54/60</f>
        <v>3.9</v>
      </c>
      <c r="O3872" s="90">
        <v>213</v>
      </c>
      <c r="S3872" s="90">
        <v>1247</v>
      </c>
      <c r="U3872" s="55" t="s">
        <v>1816</v>
      </c>
      <c r="V3872" s="55" t="s">
        <v>1889</v>
      </c>
      <c r="Y3872" s="55" t="s">
        <v>3354</v>
      </c>
      <c r="Z3872" s="55" t="s">
        <v>1379</v>
      </c>
      <c r="AA3872" s="90" t="s">
        <v>1679</v>
      </c>
      <c r="AE3872" s="90">
        <v>77.2</v>
      </c>
      <c r="AF3872" s="90">
        <v>11</v>
      </c>
      <c r="AH3872" s="55" t="s">
        <v>174</v>
      </c>
      <c r="AI3872" s="168">
        <v>7.8</v>
      </c>
      <c r="AJ3872" s="90">
        <v>2.17</v>
      </c>
      <c r="AM3872" s="55" t="s">
        <v>3352</v>
      </c>
      <c r="AN3872" s="185" t="s">
        <v>2722</v>
      </c>
      <c r="AO3872" s="185" t="s">
        <v>5150</v>
      </c>
      <c r="AQ3872" s="55" t="s">
        <v>4233</v>
      </c>
      <c r="AR3872" s="55" t="s">
        <v>1607</v>
      </c>
      <c r="AS3872" s="55" t="s">
        <v>132</v>
      </c>
      <c r="AU3872" s="181" t="s">
        <v>7494</v>
      </c>
      <c r="AV3872" s="185" t="s">
        <v>176</v>
      </c>
      <c r="AX3872" s="185" t="s">
        <v>176</v>
      </c>
      <c r="BK3872" s="55" t="s">
        <v>6333</v>
      </c>
      <c r="BM3872" s="192" t="s">
        <v>3210</v>
      </c>
      <c r="BW3872" s="65">
        <v>3170</v>
      </c>
      <c r="BX3872" s="65">
        <v>2600</v>
      </c>
      <c r="CB3872" s="66">
        <v>3520</v>
      </c>
      <c r="CC3872" s="66">
        <v>2890</v>
      </c>
      <c r="CM3872" s="65">
        <v>0.7</v>
      </c>
      <c r="CN3872" s="65">
        <v>0.88</v>
      </c>
      <c r="DA3872" s="65" t="s">
        <v>4458</v>
      </c>
      <c r="DG3872" s="65">
        <v>2.8</v>
      </c>
      <c r="DH3872" s="65">
        <v>2.6</v>
      </c>
      <c r="DK3872" s="65" t="s">
        <v>3359</v>
      </c>
      <c r="DL3872" s="65">
        <v>0.23</v>
      </c>
      <c r="DM3872" s="65">
        <v>0.18</v>
      </c>
      <c r="DP3872" s="65" t="s">
        <v>3360</v>
      </c>
      <c r="DQ3872" s="165">
        <v>6</v>
      </c>
      <c r="DR3872" s="165">
        <v>6</v>
      </c>
      <c r="DV3872" s="65">
        <f>3.1+0.47+0.23</f>
        <v>3.8000000000000003</v>
      </c>
      <c r="DW3872" s="65">
        <f>2.7+0.48+0.18</f>
        <v>3.3600000000000003</v>
      </c>
      <c r="DZ3872" s="65" t="s">
        <v>2623</v>
      </c>
      <c r="GP3872" s="292" t="s">
        <v>7494</v>
      </c>
    </row>
    <row r="3873" spans="1:198" x14ac:dyDescent="0.25">
      <c r="A3873" s="55">
        <v>3872</v>
      </c>
      <c r="B3873" s="12" t="s">
        <v>7067</v>
      </c>
      <c r="C3873" s="155">
        <v>172</v>
      </c>
      <c r="D3873" s="55" t="s">
        <v>3356</v>
      </c>
      <c r="E3873" s="90" t="s">
        <v>3334</v>
      </c>
      <c r="G3873" s="55" t="s">
        <v>3275</v>
      </c>
      <c r="H3873" s="55">
        <v>2005</v>
      </c>
      <c r="I3873" s="55">
        <v>1992</v>
      </c>
      <c r="J3873" s="55" t="s">
        <v>2660</v>
      </c>
      <c r="K3873" s="55" t="s">
        <v>3351</v>
      </c>
      <c r="L3873" s="55" t="s">
        <v>2744</v>
      </c>
      <c r="M3873" s="90">
        <v>7.5</v>
      </c>
      <c r="N3873" s="90">
        <f>3+54/60</f>
        <v>3.9</v>
      </c>
      <c r="O3873" s="90">
        <v>213</v>
      </c>
      <c r="S3873" s="90">
        <v>1247</v>
      </c>
      <c r="U3873" s="55" t="s">
        <v>1816</v>
      </c>
      <c r="V3873" s="55" t="s">
        <v>1889</v>
      </c>
      <c r="Y3873" s="55" t="s">
        <v>3354</v>
      </c>
      <c r="Z3873" s="55" t="s">
        <v>1349</v>
      </c>
      <c r="AA3873" s="90" t="s">
        <v>1677</v>
      </c>
      <c r="AE3873" s="90">
        <v>77.2</v>
      </c>
      <c r="AF3873" s="90">
        <v>11</v>
      </c>
      <c r="AH3873" s="55" t="s">
        <v>174</v>
      </c>
      <c r="AI3873" s="168">
        <v>7.8</v>
      </c>
      <c r="AJ3873" s="90">
        <v>2.17</v>
      </c>
      <c r="AM3873" s="55" t="s">
        <v>3352</v>
      </c>
      <c r="AN3873" s="185" t="s">
        <v>2722</v>
      </c>
      <c r="AO3873" s="185" t="s">
        <v>5150</v>
      </c>
      <c r="AQ3873" s="55" t="s">
        <v>4233</v>
      </c>
      <c r="AR3873" s="55" t="s">
        <v>1607</v>
      </c>
      <c r="AS3873" s="55" t="s">
        <v>132</v>
      </c>
      <c r="AU3873" s="181" t="s">
        <v>7494</v>
      </c>
      <c r="AV3873" s="185" t="s">
        <v>176</v>
      </c>
      <c r="AX3873" s="185" t="s">
        <v>176</v>
      </c>
      <c r="BK3873" s="55" t="s">
        <v>6333</v>
      </c>
      <c r="BM3873" s="192" t="s">
        <v>3210</v>
      </c>
      <c r="GP3873" s="292" t="s">
        <v>7494</v>
      </c>
    </row>
    <row r="3874" spans="1:198" x14ac:dyDescent="0.25">
      <c r="A3874" s="55">
        <v>3873</v>
      </c>
      <c r="B3874" s="12" t="s">
        <v>7067</v>
      </c>
      <c r="C3874" s="155">
        <v>172</v>
      </c>
      <c r="D3874" s="55" t="s">
        <v>3356</v>
      </c>
      <c r="E3874" s="90" t="s">
        <v>3334</v>
      </c>
      <c r="G3874" s="55" t="s">
        <v>3275</v>
      </c>
      <c r="H3874" s="55">
        <v>2005</v>
      </c>
      <c r="I3874" s="55">
        <v>1993</v>
      </c>
      <c r="J3874" s="55" t="s">
        <v>2660</v>
      </c>
      <c r="K3874" s="55" t="s">
        <v>3351</v>
      </c>
      <c r="L3874" s="55" t="s">
        <v>2744</v>
      </c>
      <c r="M3874" s="90">
        <v>7.5</v>
      </c>
      <c r="N3874" s="90">
        <f>3+54/60</f>
        <v>3.9</v>
      </c>
      <c r="O3874" s="90">
        <v>213</v>
      </c>
      <c r="S3874" s="90">
        <v>1247</v>
      </c>
      <c r="U3874" s="55" t="s">
        <v>1682</v>
      </c>
      <c r="V3874" s="55" t="s">
        <v>1889</v>
      </c>
      <c r="Y3874" s="55" t="s">
        <v>3354</v>
      </c>
      <c r="Z3874" s="55" t="s">
        <v>1349</v>
      </c>
      <c r="AA3874" s="90" t="s">
        <v>1677</v>
      </c>
      <c r="AE3874" s="90">
        <v>77.2</v>
      </c>
      <c r="AF3874" s="90">
        <v>11</v>
      </c>
      <c r="AH3874" s="55" t="s">
        <v>174</v>
      </c>
      <c r="AI3874" s="168">
        <v>7.8</v>
      </c>
      <c r="AJ3874" s="90">
        <v>2.17</v>
      </c>
      <c r="AM3874" s="55" t="s">
        <v>3352</v>
      </c>
      <c r="AN3874" s="185" t="s">
        <v>2722</v>
      </c>
      <c r="AO3874" s="185" t="s">
        <v>5150</v>
      </c>
      <c r="AQ3874" s="55" t="s">
        <v>4233</v>
      </c>
      <c r="AR3874" s="55" t="s">
        <v>1607</v>
      </c>
      <c r="AS3874" s="55" t="s">
        <v>132</v>
      </c>
      <c r="AU3874" s="181" t="s">
        <v>7494</v>
      </c>
      <c r="AV3874" s="185" t="s">
        <v>176</v>
      </c>
      <c r="AX3874" s="185" t="s">
        <v>176</v>
      </c>
      <c r="BK3874" s="55" t="s">
        <v>6333</v>
      </c>
      <c r="BM3874" s="192" t="s">
        <v>3210</v>
      </c>
      <c r="BW3874" s="65">
        <v>1310</v>
      </c>
      <c r="BX3874" s="65">
        <v>1630</v>
      </c>
      <c r="CB3874" s="66">
        <v>1160</v>
      </c>
      <c r="CC3874" s="66">
        <v>1350</v>
      </c>
      <c r="GP3874" s="292" t="s">
        <v>7494</v>
      </c>
    </row>
    <row r="3875" spans="1:198" x14ac:dyDescent="0.25">
      <c r="A3875" s="55">
        <v>3874</v>
      </c>
      <c r="B3875" s="12" t="s">
        <v>7067</v>
      </c>
      <c r="C3875" s="155">
        <v>172</v>
      </c>
      <c r="D3875" s="55" t="s">
        <v>3356</v>
      </c>
      <c r="E3875" s="90" t="s">
        <v>3334</v>
      </c>
      <c r="G3875" s="55" t="s">
        <v>3275</v>
      </c>
      <c r="H3875" s="55">
        <v>2005</v>
      </c>
      <c r="I3875" s="55">
        <v>1993</v>
      </c>
      <c r="J3875" s="55" t="s">
        <v>2660</v>
      </c>
      <c r="K3875" s="55" t="s">
        <v>3351</v>
      </c>
      <c r="L3875" s="55" t="s">
        <v>2744</v>
      </c>
      <c r="M3875" s="90">
        <v>7.5</v>
      </c>
      <c r="N3875" s="90">
        <f>3+54/60</f>
        <v>3.9</v>
      </c>
      <c r="O3875" s="90">
        <v>213</v>
      </c>
      <c r="S3875" s="90">
        <v>1247</v>
      </c>
      <c r="U3875" s="55" t="s">
        <v>1682</v>
      </c>
      <c r="V3875" s="55" t="s">
        <v>1889</v>
      </c>
      <c r="Y3875" s="55" t="s">
        <v>3354</v>
      </c>
      <c r="Z3875" s="55" t="s">
        <v>1349</v>
      </c>
      <c r="AA3875" s="90" t="s">
        <v>1677</v>
      </c>
      <c r="AE3875" s="90">
        <v>77.2</v>
      </c>
      <c r="AF3875" s="90">
        <v>11</v>
      </c>
      <c r="AH3875" s="55" t="s">
        <v>174</v>
      </c>
      <c r="AI3875" s="168">
        <v>7.8</v>
      </c>
      <c r="AJ3875" s="90">
        <v>2.17</v>
      </c>
      <c r="AM3875" s="55" t="s">
        <v>3352</v>
      </c>
      <c r="AN3875" s="185" t="s">
        <v>2722</v>
      </c>
      <c r="AO3875" s="185" t="s">
        <v>5150</v>
      </c>
      <c r="AQ3875" s="55" t="s">
        <v>4233</v>
      </c>
      <c r="AR3875" s="55" t="s">
        <v>1607</v>
      </c>
      <c r="AS3875" s="55" t="s">
        <v>132</v>
      </c>
      <c r="AU3875" s="181" t="s">
        <v>7494</v>
      </c>
      <c r="AV3875" s="185" t="s">
        <v>176</v>
      </c>
      <c r="AX3875" s="185" t="s">
        <v>176</v>
      </c>
      <c r="BK3875" s="55" t="s">
        <v>6333</v>
      </c>
      <c r="BM3875" s="192" t="s">
        <v>3210</v>
      </c>
      <c r="BW3875" s="65">
        <v>2620</v>
      </c>
      <c r="BX3875" s="65">
        <v>2620</v>
      </c>
      <c r="CB3875" s="66">
        <v>2460</v>
      </c>
      <c r="CC3875" s="66">
        <v>2640</v>
      </c>
      <c r="GP3875" s="292" t="s">
        <v>7494</v>
      </c>
    </row>
    <row r="3876" spans="1:198" x14ac:dyDescent="0.25">
      <c r="A3876" s="55">
        <v>3875</v>
      </c>
      <c r="B3876" s="12" t="s">
        <v>7067</v>
      </c>
      <c r="C3876" s="155">
        <v>172</v>
      </c>
      <c r="D3876" s="55" t="s">
        <v>3356</v>
      </c>
      <c r="E3876" s="90" t="s">
        <v>3334</v>
      </c>
      <c r="G3876" s="55" t="s">
        <v>3275</v>
      </c>
      <c r="H3876" s="55">
        <v>2005</v>
      </c>
      <c r="I3876" s="55">
        <v>1993</v>
      </c>
      <c r="J3876" s="55" t="s">
        <v>2660</v>
      </c>
      <c r="K3876" s="55" t="s">
        <v>3351</v>
      </c>
      <c r="L3876" s="55" t="s">
        <v>2744</v>
      </c>
      <c r="M3876" s="90">
        <v>7.5</v>
      </c>
      <c r="N3876" s="90">
        <f>3+54/60</f>
        <v>3.9</v>
      </c>
      <c r="O3876" s="90">
        <v>213</v>
      </c>
      <c r="S3876" s="90">
        <v>1247</v>
      </c>
      <c r="U3876" s="55" t="s">
        <v>1682</v>
      </c>
      <c r="V3876" s="55" t="s">
        <v>1889</v>
      </c>
      <c r="Y3876" s="55" t="s">
        <v>3354</v>
      </c>
      <c r="Z3876" s="55" t="s">
        <v>1349</v>
      </c>
      <c r="AA3876" s="90" t="s">
        <v>1677</v>
      </c>
      <c r="AE3876" s="90">
        <v>77.2</v>
      </c>
      <c r="AF3876" s="90">
        <v>11</v>
      </c>
      <c r="AH3876" s="55" t="s">
        <v>174</v>
      </c>
      <c r="AI3876" s="168">
        <v>7.8</v>
      </c>
      <c r="AJ3876" s="90">
        <v>2.17</v>
      </c>
      <c r="AM3876" s="55" t="s">
        <v>3352</v>
      </c>
      <c r="AN3876" s="185" t="s">
        <v>2722</v>
      </c>
      <c r="AO3876" s="185" t="s">
        <v>5150</v>
      </c>
      <c r="AQ3876" s="55" t="s">
        <v>4233</v>
      </c>
      <c r="AR3876" s="55" t="s">
        <v>1607</v>
      </c>
      <c r="AS3876" s="55" t="s">
        <v>132</v>
      </c>
      <c r="AU3876" s="181" t="s">
        <v>7494</v>
      </c>
      <c r="AV3876" s="185" t="s">
        <v>176</v>
      </c>
      <c r="AX3876" s="185" t="s">
        <v>176</v>
      </c>
      <c r="BK3876" s="55" t="s">
        <v>6333</v>
      </c>
      <c r="BM3876" s="192" t="s">
        <v>3210</v>
      </c>
      <c r="BW3876" s="65">
        <v>3900</v>
      </c>
      <c r="BX3876" s="65">
        <v>3700</v>
      </c>
      <c r="CB3876" s="66">
        <v>3250</v>
      </c>
      <c r="CC3876" s="66">
        <v>3210</v>
      </c>
      <c r="GP3876" s="292" t="s">
        <v>7494</v>
      </c>
    </row>
    <row r="3877" spans="1:198" x14ac:dyDescent="0.25">
      <c r="A3877" s="55">
        <v>3876</v>
      </c>
      <c r="B3877" s="12" t="s">
        <v>7067</v>
      </c>
      <c r="C3877" s="155">
        <v>172</v>
      </c>
      <c r="D3877" s="55" t="s">
        <v>3356</v>
      </c>
      <c r="E3877" s="90" t="s">
        <v>3334</v>
      </c>
      <c r="G3877" s="55" t="s">
        <v>3275</v>
      </c>
      <c r="H3877" s="55">
        <v>2005</v>
      </c>
      <c r="I3877" s="55">
        <v>1993</v>
      </c>
      <c r="J3877" s="55" t="s">
        <v>2660</v>
      </c>
      <c r="K3877" s="55" t="s">
        <v>3351</v>
      </c>
      <c r="L3877" s="55" t="s">
        <v>2744</v>
      </c>
      <c r="M3877" s="90">
        <v>7.5</v>
      </c>
      <c r="N3877" s="90">
        <f>3+54/60</f>
        <v>3.9</v>
      </c>
      <c r="O3877" s="90">
        <v>213</v>
      </c>
      <c r="S3877" s="90">
        <v>1247</v>
      </c>
      <c r="U3877" s="55" t="s">
        <v>1682</v>
      </c>
      <c r="V3877" s="55" t="s">
        <v>1889</v>
      </c>
      <c r="Y3877" s="55" t="s">
        <v>3354</v>
      </c>
      <c r="Z3877" s="55" t="s">
        <v>1349</v>
      </c>
      <c r="AA3877" s="90" t="s">
        <v>1677</v>
      </c>
      <c r="AE3877" s="90">
        <v>77.2</v>
      </c>
      <c r="AF3877" s="90">
        <v>11</v>
      </c>
      <c r="AH3877" s="55" t="s">
        <v>174</v>
      </c>
      <c r="AI3877" s="168">
        <v>7.8</v>
      </c>
      <c r="AJ3877" s="90">
        <v>2.17</v>
      </c>
      <c r="AM3877" s="55" t="s">
        <v>3352</v>
      </c>
      <c r="AN3877" s="185" t="s">
        <v>2722</v>
      </c>
      <c r="AO3877" s="185" t="s">
        <v>5150</v>
      </c>
      <c r="AQ3877" s="55" t="s">
        <v>4233</v>
      </c>
      <c r="AR3877" s="55" t="s">
        <v>1607</v>
      </c>
      <c r="AS3877" s="55" t="s">
        <v>132</v>
      </c>
      <c r="AU3877" s="181" t="s">
        <v>7494</v>
      </c>
      <c r="AV3877" s="185" t="s">
        <v>176</v>
      </c>
      <c r="AX3877" s="185" t="s">
        <v>176</v>
      </c>
      <c r="BK3877" s="55" t="s">
        <v>6333</v>
      </c>
      <c r="BM3877" s="192" t="s">
        <v>3210</v>
      </c>
      <c r="BW3877" s="65">
        <v>3440</v>
      </c>
      <c r="BX3877" s="65">
        <v>3350</v>
      </c>
      <c r="CB3877" s="66">
        <v>3190</v>
      </c>
      <c r="CC3877" s="66">
        <v>3260</v>
      </c>
      <c r="GP3877" s="292" t="s">
        <v>7494</v>
      </c>
    </row>
    <row r="3878" spans="1:198" x14ac:dyDescent="0.25">
      <c r="A3878" s="55">
        <v>3877</v>
      </c>
      <c r="B3878" s="12" t="s">
        <v>7067</v>
      </c>
      <c r="C3878" s="155">
        <v>172</v>
      </c>
      <c r="D3878" s="55" t="s">
        <v>3356</v>
      </c>
      <c r="E3878" s="90" t="s">
        <v>3334</v>
      </c>
      <c r="G3878" s="55" t="s">
        <v>3275</v>
      </c>
      <c r="H3878" s="55">
        <v>2005</v>
      </c>
      <c r="I3878" s="55">
        <v>1994</v>
      </c>
      <c r="J3878" s="55" t="s">
        <v>2660</v>
      </c>
      <c r="K3878" s="55" t="s">
        <v>3351</v>
      </c>
      <c r="L3878" s="55" t="s">
        <v>2744</v>
      </c>
      <c r="M3878" s="90">
        <v>7.5</v>
      </c>
      <c r="N3878" s="90">
        <f>3+54/60</f>
        <v>3.9</v>
      </c>
      <c r="O3878" s="90">
        <v>213</v>
      </c>
      <c r="S3878" s="90">
        <v>1247</v>
      </c>
      <c r="U3878" s="55" t="s">
        <v>1801</v>
      </c>
      <c r="V3878" s="55" t="s">
        <v>1889</v>
      </c>
      <c r="Y3878" s="55" t="s">
        <v>3354</v>
      </c>
      <c r="Z3878" s="55" t="s">
        <v>1349</v>
      </c>
      <c r="AA3878" s="90" t="s">
        <v>1677</v>
      </c>
      <c r="AE3878" s="90">
        <v>77.2</v>
      </c>
      <c r="AF3878" s="90">
        <v>11</v>
      </c>
      <c r="AH3878" s="55" t="s">
        <v>174</v>
      </c>
      <c r="AI3878" s="168">
        <v>7.8</v>
      </c>
      <c r="AJ3878" s="90">
        <v>2.17</v>
      </c>
      <c r="AM3878" s="55" t="s">
        <v>3352</v>
      </c>
      <c r="AN3878" s="185" t="s">
        <v>2722</v>
      </c>
      <c r="AO3878" s="185" t="s">
        <v>5150</v>
      </c>
      <c r="AQ3878" s="55" t="s">
        <v>4233</v>
      </c>
      <c r="AR3878" s="55" t="s">
        <v>1607</v>
      </c>
      <c r="AS3878" s="55" t="s">
        <v>132</v>
      </c>
      <c r="AU3878" s="181" t="s">
        <v>7494</v>
      </c>
      <c r="AV3878" s="185" t="s">
        <v>176</v>
      </c>
      <c r="AX3878" s="185" t="s">
        <v>176</v>
      </c>
      <c r="BK3878" s="55" t="s">
        <v>6333</v>
      </c>
      <c r="BM3878" s="192" t="s">
        <v>3210</v>
      </c>
      <c r="BW3878" s="65">
        <v>1360</v>
      </c>
      <c r="BX3878" s="65">
        <v>1510</v>
      </c>
      <c r="CB3878" s="66">
        <v>1100</v>
      </c>
      <c r="CC3878" s="66">
        <v>1190</v>
      </c>
      <c r="GP3878" s="292" t="s">
        <v>7494</v>
      </c>
    </row>
    <row r="3879" spans="1:198" x14ac:dyDescent="0.25">
      <c r="A3879" s="55">
        <v>3878</v>
      </c>
      <c r="B3879" s="12" t="s">
        <v>7067</v>
      </c>
      <c r="C3879" s="155">
        <v>172</v>
      </c>
      <c r="D3879" s="55" t="s">
        <v>3356</v>
      </c>
      <c r="E3879" s="90" t="s">
        <v>3334</v>
      </c>
      <c r="G3879" s="55" t="s">
        <v>3275</v>
      </c>
      <c r="H3879" s="55">
        <v>2005</v>
      </c>
      <c r="I3879" s="55">
        <v>1994</v>
      </c>
      <c r="J3879" s="55" t="s">
        <v>2660</v>
      </c>
      <c r="K3879" s="55" t="s">
        <v>3351</v>
      </c>
      <c r="L3879" s="55" t="s">
        <v>2744</v>
      </c>
      <c r="M3879" s="90">
        <v>7.5</v>
      </c>
      <c r="N3879" s="90">
        <f>3+54/60</f>
        <v>3.9</v>
      </c>
      <c r="O3879" s="90">
        <v>213</v>
      </c>
      <c r="S3879" s="90">
        <v>1247</v>
      </c>
      <c r="U3879" s="55" t="s">
        <v>1801</v>
      </c>
      <c r="V3879" s="55" t="s">
        <v>1889</v>
      </c>
      <c r="Y3879" s="55" t="s">
        <v>3354</v>
      </c>
      <c r="Z3879" s="55" t="s">
        <v>1349</v>
      </c>
      <c r="AA3879" s="90" t="s">
        <v>1677</v>
      </c>
      <c r="AE3879" s="90">
        <v>77.2</v>
      </c>
      <c r="AF3879" s="90">
        <v>11</v>
      </c>
      <c r="AH3879" s="55" t="s">
        <v>174</v>
      </c>
      <c r="AI3879" s="168">
        <v>7.8</v>
      </c>
      <c r="AJ3879" s="90">
        <v>2.17</v>
      </c>
      <c r="AM3879" s="55" t="s">
        <v>3352</v>
      </c>
      <c r="AN3879" s="185" t="s">
        <v>2722</v>
      </c>
      <c r="AO3879" s="185" t="s">
        <v>5150</v>
      </c>
      <c r="AQ3879" s="55" t="s">
        <v>4233</v>
      </c>
      <c r="AR3879" s="55" t="s">
        <v>1607</v>
      </c>
      <c r="AS3879" s="55" t="s">
        <v>132</v>
      </c>
      <c r="AU3879" s="181" t="s">
        <v>7494</v>
      </c>
      <c r="AV3879" s="185" t="s">
        <v>176</v>
      </c>
      <c r="AX3879" s="185" t="s">
        <v>176</v>
      </c>
      <c r="BK3879" s="55" t="s">
        <v>6333</v>
      </c>
      <c r="BM3879" s="192" t="s">
        <v>3210</v>
      </c>
      <c r="BW3879" s="65">
        <v>2110</v>
      </c>
      <c r="BX3879" s="65">
        <v>2600</v>
      </c>
      <c r="CB3879" s="66">
        <v>2090</v>
      </c>
      <c r="CC3879" s="66">
        <v>2230</v>
      </c>
      <c r="GP3879" s="292" t="s">
        <v>7494</v>
      </c>
    </row>
    <row r="3880" spans="1:198" x14ac:dyDescent="0.25">
      <c r="A3880" s="55">
        <v>3879</v>
      </c>
      <c r="B3880" s="12" t="s">
        <v>7067</v>
      </c>
      <c r="C3880" s="155">
        <v>172</v>
      </c>
      <c r="D3880" s="55" t="s">
        <v>3356</v>
      </c>
      <c r="E3880" s="90" t="s">
        <v>3334</v>
      </c>
      <c r="G3880" s="55" t="s">
        <v>3275</v>
      </c>
      <c r="H3880" s="55">
        <v>2005</v>
      </c>
      <c r="I3880" s="55">
        <v>1994</v>
      </c>
      <c r="J3880" s="55" t="s">
        <v>2660</v>
      </c>
      <c r="K3880" s="55" t="s">
        <v>3351</v>
      </c>
      <c r="L3880" s="55" t="s">
        <v>2744</v>
      </c>
      <c r="M3880" s="90">
        <v>7.5</v>
      </c>
      <c r="N3880" s="90">
        <f>3+54/60</f>
        <v>3.9</v>
      </c>
      <c r="O3880" s="90">
        <v>213</v>
      </c>
      <c r="S3880" s="90">
        <v>1247</v>
      </c>
      <c r="U3880" s="55" t="s">
        <v>1801</v>
      </c>
      <c r="V3880" s="55" t="s">
        <v>1889</v>
      </c>
      <c r="Y3880" s="55" t="s">
        <v>3354</v>
      </c>
      <c r="Z3880" s="55" t="s">
        <v>1349</v>
      </c>
      <c r="AA3880" s="90" t="s">
        <v>1677</v>
      </c>
      <c r="AE3880" s="90">
        <v>77.2</v>
      </c>
      <c r="AF3880" s="90">
        <v>11</v>
      </c>
      <c r="AH3880" s="55" t="s">
        <v>174</v>
      </c>
      <c r="AI3880" s="168">
        <v>7.8</v>
      </c>
      <c r="AJ3880" s="90">
        <v>2.17</v>
      </c>
      <c r="AM3880" s="55" t="s">
        <v>3352</v>
      </c>
      <c r="AN3880" s="185" t="s">
        <v>2722</v>
      </c>
      <c r="AO3880" s="185" t="s">
        <v>5150</v>
      </c>
      <c r="AQ3880" s="55" t="s">
        <v>4233</v>
      </c>
      <c r="AR3880" s="55" t="s">
        <v>1607</v>
      </c>
      <c r="AS3880" s="55" t="s">
        <v>132</v>
      </c>
      <c r="AU3880" s="181" t="s">
        <v>7494</v>
      </c>
      <c r="AV3880" s="185" t="s">
        <v>176</v>
      </c>
      <c r="AX3880" s="185" t="s">
        <v>176</v>
      </c>
      <c r="BK3880" s="55" t="s">
        <v>6333</v>
      </c>
      <c r="BM3880" s="192" t="s">
        <v>3210</v>
      </c>
      <c r="BW3880" s="65">
        <v>2920</v>
      </c>
      <c r="BX3880" s="65">
        <v>3380</v>
      </c>
      <c r="CB3880" s="66">
        <v>2780</v>
      </c>
      <c r="CC3880" s="66">
        <v>2880</v>
      </c>
      <c r="GP3880" s="292" t="s">
        <v>7494</v>
      </c>
    </row>
    <row r="3881" spans="1:198" x14ac:dyDescent="0.25">
      <c r="A3881" s="55">
        <v>3880</v>
      </c>
      <c r="B3881" s="12" t="s">
        <v>7067</v>
      </c>
      <c r="C3881" s="155">
        <v>172</v>
      </c>
      <c r="D3881" s="55" t="s">
        <v>3356</v>
      </c>
      <c r="E3881" s="90" t="s">
        <v>3334</v>
      </c>
      <c r="G3881" s="55" t="s">
        <v>3275</v>
      </c>
      <c r="H3881" s="55">
        <v>2005</v>
      </c>
      <c r="I3881" s="55">
        <v>1994</v>
      </c>
      <c r="J3881" s="55" t="s">
        <v>2660</v>
      </c>
      <c r="K3881" s="55" t="s">
        <v>3351</v>
      </c>
      <c r="L3881" s="55" t="s">
        <v>2744</v>
      </c>
      <c r="M3881" s="90">
        <v>7.5</v>
      </c>
      <c r="N3881" s="90">
        <f>3+54/60</f>
        <v>3.9</v>
      </c>
      <c r="O3881" s="90">
        <v>213</v>
      </c>
      <c r="S3881" s="90">
        <v>1247</v>
      </c>
      <c r="U3881" s="55" t="s">
        <v>1801</v>
      </c>
      <c r="V3881" s="55" t="s">
        <v>1889</v>
      </c>
      <c r="Y3881" s="55" t="s">
        <v>3354</v>
      </c>
      <c r="Z3881" s="55" t="s">
        <v>1349</v>
      </c>
      <c r="AA3881" s="90" t="s">
        <v>1677</v>
      </c>
      <c r="AE3881" s="90">
        <v>77.2</v>
      </c>
      <c r="AF3881" s="90">
        <v>11</v>
      </c>
      <c r="AH3881" s="55" t="s">
        <v>174</v>
      </c>
      <c r="AI3881" s="168">
        <v>7.8</v>
      </c>
      <c r="AJ3881" s="90">
        <v>2.17</v>
      </c>
      <c r="AM3881" s="55" t="s">
        <v>3352</v>
      </c>
      <c r="AN3881" s="185" t="s">
        <v>2722</v>
      </c>
      <c r="AO3881" s="185" t="s">
        <v>5150</v>
      </c>
      <c r="AQ3881" s="55" t="s">
        <v>4233</v>
      </c>
      <c r="AR3881" s="55" t="s">
        <v>1607</v>
      </c>
      <c r="AS3881" s="55" t="s">
        <v>132</v>
      </c>
      <c r="AU3881" s="181" t="s">
        <v>7494</v>
      </c>
      <c r="AV3881" s="185" t="s">
        <v>176</v>
      </c>
      <c r="AX3881" s="185" t="s">
        <v>176</v>
      </c>
      <c r="BK3881" s="55" t="s">
        <v>6333</v>
      </c>
      <c r="BM3881" s="192" t="s">
        <v>3210</v>
      </c>
      <c r="BW3881" s="65">
        <v>3460</v>
      </c>
      <c r="BX3881" s="65">
        <v>3000</v>
      </c>
      <c r="CB3881" s="66">
        <v>2960</v>
      </c>
      <c r="CC3881" s="66">
        <v>3120</v>
      </c>
      <c r="GP3881" s="292" t="s">
        <v>7494</v>
      </c>
    </row>
    <row r="3882" spans="1:198" x14ac:dyDescent="0.25">
      <c r="A3882" s="55">
        <v>3881</v>
      </c>
      <c r="B3882" s="12" t="s">
        <v>7067</v>
      </c>
      <c r="C3882" s="155">
        <v>172</v>
      </c>
      <c r="D3882" s="55" t="s">
        <v>3356</v>
      </c>
      <c r="E3882" s="90" t="s">
        <v>3334</v>
      </c>
      <c r="G3882" s="55" t="s">
        <v>3275</v>
      </c>
      <c r="H3882" s="55">
        <v>2005</v>
      </c>
      <c r="I3882" s="55">
        <v>1995</v>
      </c>
      <c r="J3882" s="55" t="s">
        <v>2660</v>
      </c>
      <c r="K3882" s="55" t="s">
        <v>3351</v>
      </c>
      <c r="L3882" s="55" t="s">
        <v>2744</v>
      </c>
      <c r="M3882" s="90">
        <v>7.5</v>
      </c>
      <c r="N3882" s="90">
        <f>3+54/60</f>
        <v>3.9</v>
      </c>
      <c r="O3882" s="90">
        <v>213</v>
      </c>
      <c r="S3882" s="90">
        <v>1247</v>
      </c>
      <c r="U3882" s="55" t="s">
        <v>1694</v>
      </c>
      <c r="V3882" s="55" t="s">
        <v>1889</v>
      </c>
      <c r="Y3882" s="55" t="s">
        <v>3354</v>
      </c>
      <c r="Z3882" s="55" t="s">
        <v>1349</v>
      </c>
      <c r="AA3882" s="90" t="s">
        <v>1677</v>
      </c>
      <c r="AE3882" s="90">
        <v>77.2</v>
      </c>
      <c r="AF3882" s="90">
        <v>11</v>
      </c>
      <c r="AH3882" s="55" t="s">
        <v>174</v>
      </c>
      <c r="AI3882" s="168">
        <v>7.8</v>
      </c>
      <c r="AJ3882" s="90">
        <v>2.17</v>
      </c>
      <c r="AM3882" s="55" t="s">
        <v>3352</v>
      </c>
      <c r="AN3882" s="185" t="s">
        <v>2722</v>
      </c>
      <c r="AO3882" s="185" t="s">
        <v>5150</v>
      </c>
      <c r="AQ3882" s="55" t="s">
        <v>4233</v>
      </c>
      <c r="AR3882" s="55" t="s">
        <v>1607</v>
      </c>
      <c r="AS3882" s="55" t="s">
        <v>132</v>
      </c>
      <c r="AU3882" s="181" t="s">
        <v>7494</v>
      </c>
      <c r="AV3882" s="185" t="s">
        <v>176</v>
      </c>
      <c r="AX3882" s="185" t="s">
        <v>176</v>
      </c>
      <c r="BK3882" s="55" t="s">
        <v>6333</v>
      </c>
      <c r="BM3882" s="192" t="s">
        <v>3210</v>
      </c>
      <c r="CB3882" s="66">
        <v>630</v>
      </c>
      <c r="CC3882" s="66">
        <v>860</v>
      </c>
      <c r="GP3882" s="292" t="s">
        <v>7494</v>
      </c>
    </row>
    <row r="3883" spans="1:198" x14ac:dyDescent="0.25">
      <c r="A3883" s="55">
        <v>3882</v>
      </c>
      <c r="B3883" s="12" t="s">
        <v>7067</v>
      </c>
      <c r="C3883" s="155">
        <v>172</v>
      </c>
      <c r="D3883" s="55" t="s">
        <v>3356</v>
      </c>
      <c r="E3883" s="90" t="s">
        <v>3334</v>
      </c>
      <c r="G3883" s="55" t="s">
        <v>3275</v>
      </c>
      <c r="H3883" s="55">
        <v>2005</v>
      </c>
      <c r="I3883" s="55">
        <v>1995</v>
      </c>
      <c r="J3883" s="55" t="s">
        <v>2660</v>
      </c>
      <c r="K3883" s="55" t="s">
        <v>3351</v>
      </c>
      <c r="L3883" s="55" t="s">
        <v>2744</v>
      </c>
      <c r="M3883" s="90">
        <v>7.5</v>
      </c>
      <c r="N3883" s="90">
        <f>3+54/60</f>
        <v>3.9</v>
      </c>
      <c r="O3883" s="90">
        <v>213</v>
      </c>
      <c r="S3883" s="90">
        <v>1247</v>
      </c>
      <c r="U3883" s="55" t="s">
        <v>1694</v>
      </c>
      <c r="V3883" s="55" t="s">
        <v>1889</v>
      </c>
      <c r="Y3883" s="55" t="s">
        <v>3354</v>
      </c>
      <c r="Z3883" s="55" t="s">
        <v>1349</v>
      </c>
      <c r="AA3883" s="90" t="s">
        <v>1677</v>
      </c>
      <c r="AE3883" s="90">
        <v>77.2</v>
      </c>
      <c r="AF3883" s="90">
        <v>11</v>
      </c>
      <c r="AH3883" s="55" t="s">
        <v>174</v>
      </c>
      <c r="AI3883" s="168">
        <v>7.8</v>
      </c>
      <c r="AJ3883" s="90">
        <v>2.17</v>
      </c>
      <c r="AM3883" s="55" t="s">
        <v>3352</v>
      </c>
      <c r="AN3883" s="185" t="s">
        <v>2722</v>
      </c>
      <c r="AO3883" s="185" t="s">
        <v>5150</v>
      </c>
      <c r="AQ3883" s="55" t="s">
        <v>4233</v>
      </c>
      <c r="AR3883" s="55" t="s">
        <v>1607</v>
      </c>
      <c r="AS3883" s="55" t="s">
        <v>132</v>
      </c>
      <c r="AU3883" s="181" t="s">
        <v>7494</v>
      </c>
      <c r="AV3883" s="185" t="s">
        <v>176</v>
      </c>
      <c r="AX3883" s="185" t="s">
        <v>176</v>
      </c>
      <c r="BK3883" s="55" t="s">
        <v>6333</v>
      </c>
      <c r="BM3883" s="192" t="s">
        <v>3210</v>
      </c>
      <c r="CB3883" s="66">
        <v>1380</v>
      </c>
      <c r="CC3883" s="66">
        <v>1470</v>
      </c>
      <c r="GP3883" s="292" t="s">
        <v>7494</v>
      </c>
    </row>
    <row r="3884" spans="1:198" x14ac:dyDescent="0.25">
      <c r="A3884" s="55">
        <v>3883</v>
      </c>
      <c r="B3884" s="12" t="s">
        <v>7067</v>
      </c>
      <c r="C3884" s="155">
        <v>172</v>
      </c>
      <c r="D3884" s="55" t="s">
        <v>3356</v>
      </c>
      <c r="E3884" s="90" t="s">
        <v>3334</v>
      </c>
      <c r="G3884" s="55" t="s">
        <v>3275</v>
      </c>
      <c r="H3884" s="55">
        <v>2005</v>
      </c>
      <c r="I3884" s="55">
        <v>1995</v>
      </c>
      <c r="J3884" s="55" t="s">
        <v>2660</v>
      </c>
      <c r="K3884" s="55" t="s">
        <v>3351</v>
      </c>
      <c r="L3884" s="55" t="s">
        <v>2744</v>
      </c>
      <c r="M3884" s="90">
        <v>7.5</v>
      </c>
      <c r="N3884" s="90">
        <f>3+54/60</f>
        <v>3.9</v>
      </c>
      <c r="O3884" s="90">
        <v>213</v>
      </c>
      <c r="S3884" s="90">
        <v>1247</v>
      </c>
      <c r="U3884" s="55" t="s">
        <v>1694</v>
      </c>
      <c r="V3884" s="55" t="s">
        <v>1889</v>
      </c>
      <c r="Y3884" s="55" t="s">
        <v>3354</v>
      </c>
      <c r="Z3884" s="55" t="s">
        <v>1349</v>
      </c>
      <c r="AA3884" s="90" t="s">
        <v>1677</v>
      </c>
      <c r="AE3884" s="90">
        <v>77.2</v>
      </c>
      <c r="AF3884" s="90">
        <v>11</v>
      </c>
      <c r="AH3884" s="55" t="s">
        <v>174</v>
      </c>
      <c r="AI3884" s="168">
        <v>7.8</v>
      </c>
      <c r="AJ3884" s="90">
        <v>2.17</v>
      </c>
      <c r="AM3884" s="55" t="s">
        <v>3352</v>
      </c>
      <c r="AN3884" s="185" t="s">
        <v>2722</v>
      </c>
      <c r="AO3884" s="185" t="s">
        <v>5150</v>
      </c>
      <c r="AQ3884" s="55" t="s">
        <v>4233</v>
      </c>
      <c r="AR3884" s="55" t="s">
        <v>1607</v>
      </c>
      <c r="AS3884" s="55" t="s">
        <v>132</v>
      </c>
      <c r="AU3884" s="181" t="s">
        <v>7494</v>
      </c>
      <c r="AV3884" s="185" t="s">
        <v>176</v>
      </c>
      <c r="AX3884" s="185" t="s">
        <v>176</v>
      </c>
      <c r="BK3884" s="55" t="s">
        <v>6333</v>
      </c>
      <c r="BM3884" s="192" t="s">
        <v>3210</v>
      </c>
      <c r="CB3884" s="66">
        <v>1970</v>
      </c>
      <c r="CC3884" s="66">
        <v>1850</v>
      </c>
      <c r="GP3884" s="292" t="s">
        <v>7494</v>
      </c>
    </row>
    <row r="3885" spans="1:198" x14ac:dyDescent="0.25">
      <c r="A3885" s="55">
        <v>3884</v>
      </c>
      <c r="B3885" s="12" t="s">
        <v>7067</v>
      </c>
      <c r="C3885" s="155">
        <v>172</v>
      </c>
      <c r="D3885" s="55" t="s">
        <v>3356</v>
      </c>
      <c r="E3885" s="90" t="s">
        <v>3334</v>
      </c>
      <c r="G3885" s="55" t="s">
        <v>3275</v>
      </c>
      <c r="H3885" s="55">
        <v>2005</v>
      </c>
      <c r="I3885" s="55">
        <v>1995</v>
      </c>
      <c r="J3885" s="55" t="s">
        <v>2660</v>
      </c>
      <c r="K3885" s="55" t="s">
        <v>3351</v>
      </c>
      <c r="L3885" s="55" t="s">
        <v>2744</v>
      </c>
      <c r="M3885" s="90">
        <v>7.5</v>
      </c>
      <c r="N3885" s="90">
        <f>3+54/60</f>
        <v>3.9</v>
      </c>
      <c r="O3885" s="90">
        <v>213</v>
      </c>
      <c r="S3885" s="90">
        <v>1247</v>
      </c>
      <c r="U3885" s="55" t="s">
        <v>1694</v>
      </c>
      <c r="V3885" s="55" t="s">
        <v>1889</v>
      </c>
      <c r="Y3885" s="55" t="s">
        <v>3354</v>
      </c>
      <c r="Z3885" s="55" t="s">
        <v>1349</v>
      </c>
      <c r="AA3885" s="90" t="s">
        <v>1677</v>
      </c>
      <c r="AE3885" s="90">
        <v>77.2</v>
      </c>
      <c r="AF3885" s="90">
        <v>11</v>
      </c>
      <c r="AH3885" s="55" t="s">
        <v>174</v>
      </c>
      <c r="AI3885" s="168">
        <v>7.8</v>
      </c>
      <c r="AJ3885" s="90">
        <v>2.17</v>
      </c>
      <c r="AM3885" s="55" t="s">
        <v>3352</v>
      </c>
      <c r="AN3885" s="185" t="s">
        <v>2722</v>
      </c>
      <c r="AO3885" s="185" t="s">
        <v>5150</v>
      </c>
      <c r="AQ3885" s="55" t="s">
        <v>4233</v>
      </c>
      <c r="AR3885" s="55" t="s">
        <v>1607</v>
      </c>
      <c r="AS3885" s="55" t="s">
        <v>132</v>
      </c>
      <c r="AU3885" s="181" t="s">
        <v>7494</v>
      </c>
      <c r="AV3885" s="185" t="s">
        <v>176</v>
      </c>
      <c r="AX3885" s="185" t="s">
        <v>176</v>
      </c>
      <c r="BK3885" s="55" t="s">
        <v>6333</v>
      </c>
      <c r="BM3885" s="192" t="s">
        <v>3210</v>
      </c>
      <c r="CB3885" s="66">
        <v>1940</v>
      </c>
      <c r="CC3885" s="66">
        <v>2040</v>
      </c>
      <c r="GP3885" s="292" t="s">
        <v>7494</v>
      </c>
    </row>
    <row r="3886" spans="1:198" x14ac:dyDescent="0.25">
      <c r="A3886" s="55">
        <v>3885</v>
      </c>
      <c r="B3886" s="12" t="s">
        <v>7067</v>
      </c>
      <c r="C3886" s="155">
        <v>172</v>
      </c>
      <c r="D3886" s="55" t="s">
        <v>3356</v>
      </c>
      <c r="E3886" s="90" t="s">
        <v>3334</v>
      </c>
      <c r="G3886" s="55" t="s">
        <v>3275</v>
      </c>
      <c r="H3886" s="55">
        <v>2005</v>
      </c>
      <c r="I3886" s="55">
        <v>1996</v>
      </c>
      <c r="J3886" s="55" t="s">
        <v>2660</v>
      </c>
      <c r="K3886" s="55" t="s">
        <v>3351</v>
      </c>
      <c r="L3886" s="55" t="s">
        <v>2744</v>
      </c>
      <c r="M3886" s="90">
        <v>7.5</v>
      </c>
      <c r="N3886" s="90">
        <f>3+54/60</f>
        <v>3.9</v>
      </c>
      <c r="O3886" s="90">
        <v>213</v>
      </c>
      <c r="S3886" s="90">
        <v>1247</v>
      </c>
      <c r="U3886" s="55" t="s">
        <v>1940</v>
      </c>
      <c r="V3886" s="55" t="s">
        <v>1889</v>
      </c>
      <c r="Y3886" s="55" t="s">
        <v>3354</v>
      </c>
      <c r="Z3886" s="55" t="s">
        <v>1349</v>
      </c>
      <c r="AA3886" s="90" t="s">
        <v>1677</v>
      </c>
      <c r="AE3886" s="90">
        <v>77.2</v>
      </c>
      <c r="AF3886" s="90">
        <v>11</v>
      </c>
      <c r="AH3886" s="55" t="s">
        <v>174</v>
      </c>
      <c r="AI3886" s="168">
        <v>7.8</v>
      </c>
      <c r="AJ3886" s="90">
        <v>2.17</v>
      </c>
      <c r="AM3886" s="55" t="s">
        <v>3352</v>
      </c>
      <c r="AN3886" s="185" t="s">
        <v>2722</v>
      </c>
      <c r="AO3886" s="185" t="s">
        <v>5150</v>
      </c>
      <c r="AQ3886" s="55" t="s">
        <v>4233</v>
      </c>
      <c r="AR3886" s="55" t="s">
        <v>1607</v>
      </c>
      <c r="AS3886" s="55" t="s">
        <v>132</v>
      </c>
      <c r="AU3886" s="181" t="s">
        <v>7494</v>
      </c>
      <c r="AV3886" s="185" t="s">
        <v>176</v>
      </c>
      <c r="AX3886" s="185" t="s">
        <v>176</v>
      </c>
      <c r="BK3886" s="55" t="s">
        <v>6333</v>
      </c>
      <c r="BM3886" s="192" t="s">
        <v>3210</v>
      </c>
      <c r="CB3886" s="66">
        <v>320</v>
      </c>
      <c r="CC3886" s="66">
        <v>420</v>
      </c>
      <c r="GP3886" s="292" t="s">
        <v>7494</v>
      </c>
    </row>
    <row r="3887" spans="1:198" x14ac:dyDescent="0.25">
      <c r="A3887" s="55">
        <v>3886</v>
      </c>
      <c r="B3887" s="12" t="s">
        <v>7067</v>
      </c>
      <c r="C3887" s="155">
        <v>172</v>
      </c>
      <c r="D3887" s="55" t="s">
        <v>3356</v>
      </c>
      <c r="E3887" s="90" t="s">
        <v>3334</v>
      </c>
      <c r="G3887" s="55" t="s">
        <v>3275</v>
      </c>
      <c r="H3887" s="55">
        <v>2005</v>
      </c>
      <c r="I3887" s="55">
        <v>1996</v>
      </c>
      <c r="J3887" s="55" t="s">
        <v>2660</v>
      </c>
      <c r="K3887" s="55" t="s">
        <v>3351</v>
      </c>
      <c r="L3887" s="55" t="s">
        <v>2744</v>
      </c>
      <c r="M3887" s="90">
        <v>7.5</v>
      </c>
      <c r="N3887" s="90">
        <f>3+54/60</f>
        <v>3.9</v>
      </c>
      <c r="O3887" s="90">
        <v>213</v>
      </c>
      <c r="S3887" s="90">
        <v>1247</v>
      </c>
      <c r="U3887" s="55" t="s">
        <v>1940</v>
      </c>
      <c r="V3887" s="55" t="s">
        <v>1889</v>
      </c>
      <c r="Y3887" s="55" t="s">
        <v>3354</v>
      </c>
      <c r="Z3887" s="55" t="s">
        <v>1349</v>
      </c>
      <c r="AA3887" s="90" t="s">
        <v>1677</v>
      </c>
      <c r="AE3887" s="90">
        <v>77.2</v>
      </c>
      <c r="AF3887" s="90">
        <v>11</v>
      </c>
      <c r="AH3887" s="55" t="s">
        <v>174</v>
      </c>
      <c r="AI3887" s="168">
        <v>7.8</v>
      </c>
      <c r="AJ3887" s="90">
        <v>2.17</v>
      </c>
      <c r="AM3887" s="55" t="s">
        <v>3352</v>
      </c>
      <c r="AN3887" s="185" t="s">
        <v>2722</v>
      </c>
      <c r="AO3887" s="185" t="s">
        <v>5150</v>
      </c>
      <c r="AQ3887" s="55" t="s">
        <v>4233</v>
      </c>
      <c r="AR3887" s="55" t="s">
        <v>1607</v>
      </c>
      <c r="AS3887" s="55" t="s">
        <v>132</v>
      </c>
      <c r="AU3887" s="181" t="s">
        <v>7494</v>
      </c>
      <c r="AV3887" s="185" t="s">
        <v>176</v>
      </c>
      <c r="AX3887" s="185" t="s">
        <v>176</v>
      </c>
      <c r="BK3887" s="55" t="s">
        <v>6333</v>
      </c>
      <c r="BM3887" s="192" t="s">
        <v>3210</v>
      </c>
      <c r="CB3887" s="66">
        <v>1440</v>
      </c>
      <c r="CC3887" s="66">
        <v>1600</v>
      </c>
      <c r="GP3887" s="292" t="s">
        <v>7494</v>
      </c>
    </row>
    <row r="3888" spans="1:198" x14ac:dyDescent="0.25">
      <c r="A3888" s="55">
        <v>3887</v>
      </c>
      <c r="B3888" s="12" t="s">
        <v>7067</v>
      </c>
      <c r="C3888" s="155">
        <v>172</v>
      </c>
      <c r="D3888" s="55" t="s">
        <v>3356</v>
      </c>
      <c r="E3888" s="90" t="s">
        <v>3334</v>
      </c>
      <c r="G3888" s="55" t="s">
        <v>3275</v>
      </c>
      <c r="H3888" s="55">
        <v>2005</v>
      </c>
      <c r="I3888" s="55">
        <v>1996</v>
      </c>
      <c r="J3888" s="55" t="s">
        <v>2660</v>
      </c>
      <c r="K3888" s="55" t="s">
        <v>3351</v>
      </c>
      <c r="L3888" s="55" t="s">
        <v>2744</v>
      </c>
      <c r="M3888" s="90">
        <v>7.5</v>
      </c>
      <c r="N3888" s="90">
        <f>3+54/60</f>
        <v>3.9</v>
      </c>
      <c r="O3888" s="90">
        <v>213</v>
      </c>
      <c r="S3888" s="90">
        <v>1247</v>
      </c>
      <c r="U3888" s="55" t="s">
        <v>1940</v>
      </c>
      <c r="V3888" s="55" t="s">
        <v>1889</v>
      </c>
      <c r="Y3888" s="55" t="s">
        <v>3354</v>
      </c>
      <c r="Z3888" s="55" t="s">
        <v>1349</v>
      </c>
      <c r="AA3888" s="90" t="s">
        <v>1677</v>
      </c>
      <c r="AE3888" s="90">
        <v>77.2</v>
      </c>
      <c r="AF3888" s="90">
        <v>11</v>
      </c>
      <c r="AH3888" s="55" t="s">
        <v>174</v>
      </c>
      <c r="AI3888" s="168">
        <v>7.8</v>
      </c>
      <c r="AJ3888" s="90">
        <v>2.17</v>
      </c>
      <c r="AM3888" s="55" t="s">
        <v>3352</v>
      </c>
      <c r="AN3888" s="185" t="s">
        <v>2722</v>
      </c>
      <c r="AO3888" s="185" t="s">
        <v>5150</v>
      </c>
      <c r="AQ3888" s="55" t="s">
        <v>4233</v>
      </c>
      <c r="AR3888" s="55" t="s">
        <v>1607</v>
      </c>
      <c r="AS3888" s="55" t="s">
        <v>132</v>
      </c>
      <c r="AU3888" s="181" t="s">
        <v>7494</v>
      </c>
      <c r="AV3888" s="185" t="s">
        <v>176</v>
      </c>
      <c r="AX3888" s="185" t="s">
        <v>176</v>
      </c>
      <c r="BK3888" s="55" t="s">
        <v>6333</v>
      </c>
      <c r="BM3888" s="192" t="s">
        <v>3210</v>
      </c>
      <c r="CB3888" s="66">
        <v>2640</v>
      </c>
      <c r="CC3888" s="66">
        <v>2110</v>
      </c>
      <c r="GP3888" s="292" t="s">
        <v>7494</v>
      </c>
    </row>
    <row r="3889" spans="1:198" x14ac:dyDescent="0.25">
      <c r="A3889" s="55">
        <v>3888</v>
      </c>
      <c r="B3889" s="12" t="s">
        <v>7067</v>
      </c>
      <c r="C3889" s="155">
        <v>172</v>
      </c>
      <c r="D3889" s="55" t="s">
        <v>3356</v>
      </c>
      <c r="E3889" s="90" t="s">
        <v>3334</v>
      </c>
      <c r="G3889" s="55" t="s">
        <v>3275</v>
      </c>
      <c r="H3889" s="55">
        <v>2005</v>
      </c>
      <c r="I3889" s="55">
        <v>1996</v>
      </c>
      <c r="J3889" s="55" t="s">
        <v>2660</v>
      </c>
      <c r="K3889" s="55" t="s">
        <v>3351</v>
      </c>
      <c r="L3889" s="55" t="s">
        <v>2744</v>
      </c>
      <c r="M3889" s="90">
        <v>7.5</v>
      </c>
      <c r="N3889" s="90">
        <f>3+54/60</f>
        <v>3.9</v>
      </c>
      <c r="O3889" s="90">
        <v>213</v>
      </c>
      <c r="S3889" s="90">
        <v>1247</v>
      </c>
      <c r="U3889" s="55" t="s">
        <v>1940</v>
      </c>
      <c r="V3889" s="55" t="s">
        <v>1889</v>
      </c>
      <c r="Y3889" s="55" t="s">
        <v>3354</v>
      </c>
      <c r="Z3889" s="55" t="s">
        <v>1349</v>
      </c>
      <c r="AA3889" s="90" t="s">
        <v>1677</v>
      </c>
      <c r="AE3889" s="90">
        <v>77.2</v>
      </c>
      <c r="AF3889" s="90">
        <v>11</v>
      </c>
      <c r="AH3889" s="55" t="s">
        <v>174</v>
      </c>
      <c r="AI3889" s="168">
        <v>7.8</v>
      </c>
      <c r="AJ3889" s="90">
        <v>2.17</v>
      </c>
      <c r="AM3889" s="55" t="s">
        <v>3352</v>
      </c>
      <c r="AN3889" s="185" t="s">
        <v>2722</v>
      </c>
      <c r="AO3889" s="185" t="s">
        <v>5150</v>
      </c>
      <c r="AQ3889" s="55" t="s">
        <v>4233</v>
      </c>
      <c r="AR3889" s="55" t="s">
        <v>1607</v>
      </c>
      <c r="AS3889" s="55" t="s">
        <v>132</v>
      </c>
      <c r="AU3889" s="181" t="s">
        <v>7494</v>
      </c>
      <c r="AV3889" s="185" t="s">
        <v>176</v>
      </c>
      <c r="AX3889" s="185" t="s">
        <v>176</v>
      </c>
      <c r="BK3889" s="55" t="s">
        <v>6333</v>
      </c>
      <c r="BM3889" s="192" t="s">
        <v>3210</v>
      </c>
      <c r="CB3889" s="66">
        <v>2650</v>
      </c>
      <c r="CC3889" s="66">
        <v>2370</v>
      </c>
      <c r="GP3889" s="292" t="s">
        <v>7494</v>
      </c>
    </row>
    <row r="3890" spans="1:198" x14ac:dyDescent="0.25">
      <c r="A3890" s="55">
        <v>3889</v>
      </c>
      <c r="B3890" s="12" t="s">
        <v>7067</v>
      </c>
      <c r="C3890" s="155">
        <v>172</v>
      </c>
      <c r="D3890" s="55" t="s">
        <v>3356</v>
      </c>
      <c r="E3890" s="90" t="s">
        <v>3334</v>
      </c>
      <c r="G3890" s="55" t="s">
        <v>3275</v>
      </c>
      <c r="H3890" s="55">
        <v>2005</v>
      </c>
      <c r="I3890" s="55">
        <v>1997</v>
      </c>
      <c r="J3890" s="55" t="s">
        <v>2660</v>
      </c>
      <c r="K3890" s="55" t="s">
        <v>3351</v>
      </c>
      <c r="L3890" s="55" t="s">
        <v>2744</v>
      </c>
      <c r="M3890" s="90">
        <v>7.5</v>
      </c>
      <c r="N3890" s="90">
        <f>3+54/60</f>
        <v>3.9</v>
      </c>
      <c r="O3890" s="90">
        <v>213</v>
      </c>
      <c r="S3890" s="90">
        <v>1247</v>
      </c>
      <c r="U3890" s="55" t="s">
        <v>1933</v>
      </c>
      <c r="V3890" s="55" t="s">
        <v>1889</v>
      </c>
      <c r="Y3890" s="55" t="s">
        <v>3354</v>
      </c>
      <c r="Z3890" s="55" t="s">
        <v>1349</v>
      </c>
      <c r="AA3890" s="90" t="s">
        <v>1677</v>
      </c>
      <c r="AE3890" s="90">
        <v>77.2</v>
      </c>
      <c r="AF3890" s="90">
        <v>11</v>
      </c>
      <c r="AH3890" s="55" t="s">
        <v>174</v>
      </c>
      <c r="AI3890" s="168">
        <v>7.8</v>
      </c>
      <c r="AJ3890" s="90">
        <v>2.17</v>
      </c>
      <c r="AM3890" s="55" t="s">
        <v>3352</v>
      </c>
      <c r="AN3890" s="185" t="s">
        <v>2722</v>
      </c>
      <c r="AO3890" s="185" t="s">
        <v>5150</v>
      </c>
      <c r="AQ3890" s="55" t="s">
        <v>4233</v>
      </c>
      <c r="AR3890" s="55" t="s">
        <v>1607</v>
      </c>
      <c r="AS3890" s="55" t="s">
        <v>132</v>
      </c>
      <c r="AU3890" s="181" t="s">
        <v>7494</v>
      </c>
      <c r="AV3890" s="185" t="s">
        <v>176</v>
      </c>
      <c r="AX3890" s="185" t="s">
        <v>176</v>
      </c>
      <c r="BK3890" s="55" t="s">
        <v>6333</v>
      </c>
      <c r="BM3890" s="192" t="s">
        <v>3210</v>
      </c>
      <c r="BW3890" s="65">
        <v>470</v>
      </c>
      <c r="BX3890" s="65">
        <v>580</v>
      </c>
      <c r="CB3890" s="66">
        <v>310</v>
      </c>
      <c r="CC3890" s="66">
        <v>370</v>
      </c>
      <c r="GP3890" s="292" t="s">
        <v>7494</v>
      </c>
    </row>
    <row r="3891" spans="1:198" x14ac:dyDescent="0.25">
      <c r="A3891" s="55">
        <v>3890</v>
      </c>
      <c r="B3891" s="12" t="s">
        <v>7067</v>
      </c>
      <c r="C3891" s="155">
        <v>172</v>
      </c>
      <c r="D3891" s="55" t="s">
        <v>3356</v>
      </c>
      <c r="E3891" s="90" t="s">
        <v>3334</v>
      </c>
      <c r="G3891" s="55" t="s">
        <v>3275</v>
      </c>
      <c r="H3891" s="55">
        <v>2005</v>
      </c>
      <c r="I3891" s="55">
        <v>1997</v>
      </c>
      <c r="J3891" s="55" t="s">
        <v>2660</v>
      </c>
      <c r="K3891" s="55" t="s">
        <v>3351</v>
      </c>
      <c r="L3891" s="55" t="s">
        <v>2744</v>
      </c>
      <c r="M3891" s="90">
        <v>7.5</v>
      </c>
      <c r="N3891" s="90">
        <f>3+54/60</f>
        <v>3.9</v>
      </c>
      <c r="O3891" s="90">
        <v>213</v>
      </c>
      <c r="S3891" s="90">
        <v>1247</v>
      </c>
      <c r="U3891" s="55" t="s">
        <v>1933</v>
      </c>
      <c r="V3891" s="55" t="s">
        <v>1889</v>
      </c>
      <c r="Y3891" s="55" t="s">
        <v>3354</v>
      </c>
      <c r="Z3891" s="55" t="s">
        <v>1349</v>
      </c>
      <c r="AA3891" s="90" t="s">
        <v>1677</v>
      </c>
      <c r="AE3891" s="90">
        <v>77.2</v>
      </c>
      <c r="AF3891" s="90">
        <v>11</v>
      </c>
      <c r="AH3891" s="55" t="s">
        <v>174</v>
      </c>
      <c r="AI3891" s="168">
        <v>7.8</v>
      </c>
      <c r="AJ3891" s="90">
        <v>2.17</v>
      </c>
      <c r="AM3891" s="55" t="s">
        <v>3352</v>
      </c>
      <c r="AN3891" s="185" t="s">
        <v>2722</v>
      </c>
      <c r="AO3891" s="185" t="s">
        <v>5150</v>
      </c>
      <c r="AQ3891" s="55" t="s">
        <v>4233</v>
      </c>
      <c r="AR3891" s="55" t="s">
        <v>1607</v>
      </c>
      <c r="AS3891" s="55" t="s">
        <v>132</v>
      </c>
      <c r="AU3891" s="181" t="s">
        <v>7494</v>
      </c>
      <c r="AV3891" s="185" t="s">
        <v>176</v>
      </c>
      <c r="AX3891" s="185" t="s">
        <v>176</v>
      </c>
      <c r="BK3891" s="55" t="s">
        <v>6333</v>
      </c>
      <c r="BM3891" s="192" t="s">
        <v>3210</v>
      </c>
      <c r="BW3891" s="65">
        <v>1180</v>
      </c>
      <c r="BX3891" s="65">
        <v>590</v>
      </c>
      <c r="CB3891" s="66">
        <v>780</v>
      </c>
      <c r="CC3891" s="66">
        <v>740</v>
      </c>
      <c r="GP3891" s="292" t="s">
        <v>7494</v>
      </c>
    </row>
    <row r="3892" spans="1:198" x14ac:dyDescent="0.25">
      <c r="A3892" s="55">
        <v>3891</v>
      </c>
      <c r="B3892" s="12" t="s">
        <v>7067</v>
      </c>
      <c r="C3892" s="155">
        <v>172</v>
      </c>
      <c r="D3892" s="55" t="s">
        <v>3356</v>
      </c>
      <c r="E3892" s="90" t="s">
        <v>3334</v>
      </c>
      <c r="G3892" s="55" t="s">
        <v>3275</v>
      </c>
      <c r="H3892" s="55">
        <v>2005</v>
      </c>
      <c r="I3892" s="55">
        <v>1997</v>
      </c>
      <c r="J3892" s="55" t="s">
        <v>2660</v>
      </c>
      <c r="K3892" s="55" t="s">
        <v>3351</v>
      </c>
      <c r="L3892" s="55" t="s">
        <v>2744</v>
      </c>
      <c r="M3892" s="90">
        <v>7.5</v>
      </c>
      <c r="N3892" s="90">
        <f>3+54/60</f>
        <v>3.9</v>
      </c>
      <c r="O3892" s="90">
        <v>213</v>
      </c>
      <c r="S3892" s="90">
        <v>1247</v>
      </c>
      <c r="U3892" s="55" t="s">
        <v>1933</v>
      </c>
      <c r="V3892" s="55" t="s">
        <v>1889</v>
      </c>
      <c r="Y3892" s="55" t="s">
        <v>3354</v>
      </c>
      <c r="Z3892" s="55" t="s">
        <v>1349</v>
      </c>
      <c r="AA3892" s="90" t="s">
        <v>1677</v>
      </c>
      <c r="AE3892" s="90">
        <v>77.2</v>
      </c>
      <c r="AF3892" s="90">
        <v>11</v>
      </c>
      <c r="AH3892" s="55" t="s">
        <v>174</v>
      </c>
      <c r="AI3892" s="168">
        <v>7.8</v>
      </c>
      <c r="AJ3892" s="90">
        <v>2.17</v>
      </c>
      <c r="AM3892" s="55" t="s">
        <v>3352</v>
      </c>
      <c r="AN3892" s="185" t="s">
        <v>2722</v>
      </c>
      <c r="AO3892" s="185" t="s">
        <v>5150</v>
      </c>
      <c r="AQ3892" s="55" t="s">
        <v>4233</v>
      </c>
      <c r="AR3892" s="55" t="s">
        <v>1607</v>
      </c>
      <c r="AS3892" s="55" t="s">
        <v>132</v>
      </c>
      <c r="AU3892" s="181" t="s">
        <v>7494</v>
      </c>
      <c r="AV3892" s="185" t="s">
        <v>176</v>
      </c>
      <c r="AX3892" s="185" t="s">
        <v>176</v>
      </c>
      <c r="BK3892" s="55" t="s">
        <v>6333</v>
      </c>
      <c r="BM3892" s="192" t="s">
        <v>3210</v>
      </c>
      <c r="BW3892" s="65">
        <v>2210</v>
      </c>
      <c r="BX3892" s="65">
        <v>1800</v>
      </c>
      <c r="CB3892" s="66">
        <v>1610</v>
      </c>
      <c r="CC3892" s="66">
        <v>1440</v>
      </c>
      <c r="GP3892" s="292" t="s">
        <v>7494</v>
      </c>
    </row>
    <row r="3893" spans="1:198" x14ac:dyDescent="0.25">
      <c r="A3893" s="55">
        <v>3892</v>
      </c>
      <c r="B3893" s="12" t="s">
        <v>7067</v>
      </c>
      <c r="C3893" s="155">
        <v>172</v>
      </c>
      <c r="D3893" s="55" t="s">
        <v>3356</v>
      </c>
      <c r="E3893" s="90" t="s">
        <v>3334</v>
      </c>
      <c r="G3893" s="55" t="s">
        <v>3275</v>
      </c>
      <c r="H3893" s="55">
        <v>2005</v>
      </c>
      <c r="I3893" s="55">
        <v>1997</v>
      </c>
      <c r="J3893" s="55" t="s">
        <v>2660</v>
      </c>
      <c r="K3893" s="55" t="s">
        <v>3351</v>
      </c>
      <c r="L3893" s="55" t="s">
        <v>2744</v>
      </c>
      <c r="M3893" s="90">
        <v>7.5</v>
      </c>
      <c r="N3893" s="90">
        <f>3+54/60</f>
        <v>3.9</v>
      </c>
      <c r="O3893" s="90">
        <v>213</v>
      </c>
      <c r="S3893" s="90">
        <v>1247</v>
      </c>
      <c r="U3893" s="55" t="s">
        <v>1933</v>
      </c>
      <c r="V3893" s="55" t="s">
        <v>1889</v>
      </c>
      <c r="Y3893" s="55" t="s">
        <v>3354</v>
      </c>
      <c r="Z3893" s="55" t="s">
        <v>1349</v>
      </c>
      <c r="AA3893" s="90" t="s">
        <v>1677</v>
      </c>
      <c r="AE3893" s="90">
        <v>77.2</v>
      </c>
      <c r="AF3893" s="90">
        <v>11</v>
      </c>
      <c r="AH3893" s="55" t="s">
        <v>174</v>
      </c>
      <c r="AI3893" s="168">
        <v>7.8</v>
      </c>
      <c r="AJ3893" s="90">
        <v>2.17</v>
      </c>
      <c r="AM3893" s="55" t="s">
        <v>3352</v>
      </c>
      <c r="AN3893" s="185" t="s">
        <v>2722</v>
      </c>
      <c r="AO3893" s="185" t="s">
        <v>5150</v>
      </c>
      <c r="AQ3893" s="55" t="s">
        <v>4233</v>
      </c>
      <c r="AR3893" s="55" t="s">
        <v>1607</v>
      </c>
      <c r="AS3893" s="55" t="s">
        <v>132</v>
      </c>
      <c r="AU3893" s="181" t="s">
        <v>7494</v>
      </c>
      <c r="AV3893" s="185" t="s">
        <v>176</v>
      </c>
      <c r="AX3893" s="185" t="s">
        <v>176</v>
      </c>
      <c r="BK3893" s="55" t="s">
        <v>6333</v>
      </c>
      <c r="BM3893" s="192" t="s">
        <v>3210</v>
      </c>
      <c r="BW3893" s="65">
        <v>2280</v>
      </c>
      <c r="BX3893" s="65">
        <v>1860</v>
      </c>
      <c r="CB3893" s="66">
        <v>1660</v>
      </c>
      <c r="CC3893" s="66">
        <v>1410</v>
      </c>
      <c r="GP3893" s="292" t="s">
        <v>7494</v>
      </c>
    </row>
    <row r="3894" spans="1:198" x14ac:dyDescent="0.25">
      <c r="A3894" s="55">
        <v>3893</v>
      </c>
      <c r="B3894" s="12" t="s">
        <v>7067</v>
      </c>
      <c r="C3894" s="155">
        <v>172</v>
      </c>
      <c r="D3894" s="55" t="s">
        <v>3356</v>
      </c>
      <c r="E3894" s="90" t="s">
        <v>3334</v>
      </c>
      <c r="G3894" s="55" t="s">
        <v>3275</v>
      </c>
      <c r="H3894" s="55">
        <v>2005</v>
      </c>
      <c r="I3894" s="55">
        <v>1998</v>
      </c>
      <c r="J3894" s="55" t="s">
        <v>2660</v>
      </c>
      <c r="K3894" s="55" t="s">
        <v>3351</v>
      </c>
      <c r="L3894" s="55" t="s">
        <v>2744</v>
      </c>
      <c r="M3894" s="90">
        <v>7.5</v>
      </c>
      <c r="N3894" s="90">
        <f>3+54/60</f>
        <v>3.9</v>
      </c>
      <c r="O3894" s="90">
        <v>213</v>
      </c>
      <c r="S3894" s="90">
        <v>1247</v>
      </c>
      <c r="U3894" s="55" t="s">
        <v>1679</v>
      </c>
      <c r="V3894" s="55" t="s">
        <v>1889</v>
      </c>
      <c r="Y3894" s="55" t="s">
        <v>3354</v>
      </c>
      <c r="Z3894" s="55" t="s">
        <v>1349</v>
      </c>
      <c r="AA3894" s="90" t="s">
        <v>1677</v>
      </c>
      <c r="AE3894" s="90">
        <v>77.2</v>
      </c>
      <c r="AF3894" s="90">
        <v>11</v>
      </c>
      <c r="AH3894" s="55" t="s">
        <v>174</v>
      </c>
      <c r="AI3894" s="168">
        <v>7.8</v>
      </c>
      <c r="AJ3894" s="90">
        <v>2.17</v>
      </c>
      <c r="AM3894" s="55" t="s">
        <v>3352</v>
      </c>
      <c r="AN3894" s="185" t="s">
        <v>2722</v>
      </c>
      <c r="AO3894" s="185" t="s">
        <v>5150</v>
      </c>
      <c r="AQ3894" s="55" t="s">
        <v>4233</v>
      </c>
      <c r="AR3894" s="55" t="s">
        <v>1607</v>
      </c>
      <c r="AS3894" s="55" t="s">
        <v>132</v>
      </c>
      <c r="AU3894" s="181" t="s">
        <v>7494</v>
      </c>
      <c r="AV3894" s="185" t="s">
        <v>176</v>
      </c>
      <c r="AX3894" s="185" t="s">
        <v>176</v>
      </c>
      <c r="BK3894" s="55" t="s">
        <v>6333</v>
      </c>
      <c r="BM3894" s="192" t="s">
        <v>3210</v>
      </c>
      <c r="BW3894" s="65">
        <v>1340</v>
      </c>
      <c r="BX3894" s="65">
        <v>930</v>
      </c>
      <c r="CB3894" s="66">
        <v>570</v>
      </c>
      <c r="CC3894" s="66">
        <v>560</v>
      </c>
      <c r="GP3894" s="292" t="s">
        <v>7494</v>
      </c>
    </row>
    <row r="3895" spans="1:198" x14ac:dyDescent="0.25">
      <c r="A3895" s="55">
        <v>3894</v>
      </c>
      <c r="B3895" s="12" t="s">
        <v>7067</v>
      </c>
      <c r="C3895" s="155">
        <v>172</v>
      </c>
      <c r="D3895" s="55" t="s">
        <v>3356</v>
      </c>
      <c r="E3895" s="90" t="s">
        <v>3334</v>
      </c>
      <c r="G3895" s="55" t="s">
        <v>3275</v>
      </c>
      <c r="H3895" s="55">
        <v>2005</v>
      </c>
      <c r="I3895" s="55">
        <v>1998</v>
      </c>
      <c r="J3895" s="55" t="s">
        <v>2660</v>
      </c>
      <c r="K3895" s="55" t="s">
        <v>3351</v>
      </c>
      <c r="L3895" s="55" t="s">
        <v>2744</v>
      </c>
      <c r="M3895" s="90">
        <v>7.5</v>
      </c>
      <c r="N3895" s="90">
        <f>3+54/60</f>
        <v>3.9</v>
      </c>
      <c r="O3895" s="90">
        <v>213</v>
      </c>
      <c r="S3895" s="90">
        <v>1247</v>
      </c>
      <c r="U3895" s="55" t="s">
        <v>1679</v>
      </c>
      <c r="V3895" s="55" t="s">
        <v>1889</v>
      </c>
      <c r="Y3895" s="55" t="s">
        <v>3354</v>
      </c>
      <c r="Z3895" s="55" t="s">
        <v>1349</v>
      </c>
      <c r="AA3895" s="90" t="s">
        <v>1677</v>
      </c>
      <c r="AE3895" s="90">
        <v>77.2</v>
      </c>
      <c r="AF3895" s="90">
        <v>11</v>
      </c>
      <c r="AH3895" s="55" t="s">
        <v>174</v>
      </c>
      <c r="AI3895" s="168">
        <v>7.8</v>
      </c>
      <c r="AJ3895" s="90">
        <v>2.17</v>
      </c>
      <c r="AM3895" s="55" t="s">
        <v>3352</v>
      </c>
      <c r="AN3895" s="185" t="s">
        <v>2722</v>
      </c>
      <c r="AO3895" s="185" t="s">
        <v>5150</v>
      </c>
      <c r="AQ3895" s="55" t="s">
        <v>4233</v>
      </c>
      <c r="AR3895" s="55" t="s">
        <v>1607</v>
      </c>
      <c r="AS3895" s="55" t="s">
        <v>132</v>
      </c>
      <c r="AU3895" s="181" t="s">
        <v>7494</v>
      </c>
      <c r="AV3895" s="185" t="s">
        <v>176</v>
      </c>
      <c r="AX3895" s="185" t="s">
        <v>176</v>
      </c>
      <c r="BK3895" s="55" t="s">
        <v>6333</v>
      </c>
      <c r="BM3895" s="192" t="s">
        <v>3210</v>
      </c>
      <c r="BW3895" s="65">
        <v>2260</v>
      </c>
      <c r="BX3895" s="65">
        <v>860</v>
      </c>
      <c r="CB3895" s="66">
        <v>2090</v>
      </c>
      <c r="CC3895" s="66">
        <v>1610</v>
      </c>
      <c r="GP3895" s="292" t="s">
        <v>7494</v>
      </c>
    </row>
    <row r="3896" spans="1:198" x14ac:dyDescent="0.25">
      <c r="A3896" s="55">
        <v>3895</v>
      </c>
      <c r="B3896" s="12" t="s">
        <v>7067</v>
      </c>
      <c r="C3896" s="155">
        <v>172</v>
      </c>
      <c r="D3896" s="55" t="s">
        <v>3356</v>
      </c>
      <c r="E3896" s="90" t="s">
        <v>3334</v>
      </c>
      <c r="G3896" s="55" t="s">
        <v>3275</v>
      </c>
      <c r="H3896" s="55">
        <v>2005</v>
      </c>
      <c r="I3896" s="55">
        <v>1998</v>
      </c>
      <c r="J3896" s="55" t="s">
        <v>2660</v>
      </c>
      <c r="K3896" s="55" t="s">
        <v>3351</v>
      </c>
      <c r="L3896" s="55" t="s">
        <v>2744</v>
      </c>
      <c r="M3896" s="90">
        <v>7.5</v>
      </c>
      <c r="N3896" s="90">
        <f>3+54/60</f>
        <v>3.9</v>
      </c>
      <c r="O3896" s="90">
        <v>213</v>
      </c>
      <c r="S3896" s="90">
        <v>1247</v>
      </c>
      <c r="U3896" s="55" t="s">
        <v>1679</v>
      </c>
      <c r="V3896" s="55" t="s">
        <v>1889</v>
      </c>
      <c r="Y3896" s="55" t="s">
        <v>3354</v>
      </c>
      <c r="Z3896" s="55" t="s">
        <v>1349</v>
      </c>
      <c r="AA3896" s="90" t="s">
        <v>1677</v>
      </c>
      <c r="AE3896" s="90">
        <v>77.2</v>
      </c>
      <c r="AF3896" s="90">
        <v>11</v>
      </c>
      <c r="AH3896" s="55" t="s">
        <v>174</v>
      </c>
      <c r="AI3896" s="168">
        <v>7.8</v>
      </c>
      <c r="AJ3896" s="90">
        <v>2.17</v>
      </c>
      <c r="AM3896" s="55" t="s">
        <v>3352</v>
      </c>
      <c r="AN3896" s="185" t="s">
        <v>2722</v>
      </c>
      <c r="AO3896" s="185" t="s">
        <v>5150</v>
      </c>
      <c r="AQ3896" s="55" t="s">
        <v>4233</v>
      </c>
      <c r="AR3896" s="55" t="s">
        <v>1607</v>
      </c>
      <c r="AS3896" s="55" t="s">
        <v>132</v>
      </c>
      <c r="AU3896" s="181" t="s">
        <v>7494</v>
      </c>
      <c r="AV3896" s="185" t="s">
        <v>176</v>
      </c>
      <c r="AX3896" s="185" t="s">
        <v>176</v>
      </c>
      <c r="BK3896" s="55" t="s">
        <v>6333</v>
      </c>
      <c r="BM3896" s="192" t="s">
        <v>3210</v>
      </c>
      <c r="BW3896" s="65">
        <v>2180</v>
      </c>
      <c r="BX3896" s="65">
        <v>1420</v>
      </c>
      <c r="CB3896" s="66">
        <v>1760</v>
      </c>
      <c r="CC3896" s="66">
        <v>1620</v>
      </c>
      <c r="GP3896" s="292" t="s">
        <v>7494</v>
      </c>
    </row>
    <row r="3897" spans="1:198" x14ac:dyDescent="0.25">
      <c r="A3897" s="55">
        <v>3896</v>
      </c>
      <c r="B3897" s="12" t="s">
        <v>7067</v>
      </c>
      <c r="C3897" s="155">
        <v>172</v>
      </c>
      <c r="D3897" s="55" t="s">
        <v>3356</v>
      </c>
      <c r="E3897" s="90" t="s">
        <v>3334</v>
      </c>
      <c r="G3897" s="55" t="s">
        <v>3275</v>
      </c>
      <c r="H3897" s="55">
        <v>2005</v>
      </c>
      <c r="I3897" s="55">
        <v>1998</v>
      </c>
      <c r="J3897" s="55" t="s">
        <v>2660</v>
      </c>
      <c r="K3897" s="55" t="s">
        <v>3351</v>
      </c>
      <c r="L3897" s="55" t="s">
        <v>2744</v>
      </c>
      <c r="M3897" s="90">
        <v>7.5</v>
      </c>
      <c r="N3897" s="90">
        <f>3+54/60</f>
        <v>3.9</v>
      </c>
      <c r="O3897" s="90">
        <v>213</v>
      </c>
      <c r="S3897" s="90">
        <v>1247</v>
      </c>
      <c r="U3897" s="55" t="s">
        <v>1679</v>
      </c>
      <c r="V3897" s="55" t="s">
        <v>1889</v>
      </c>
      <c r="Y3897" s="55" t="s">
        <v>3354</v>
      </c>
      <c r="Z3897" s="55" t="s">
        <v>1349</v>
      </c>
      <c r="AA3897" s="90" t="s">
        <v>1677</v>
      </c>
      <c r="AE3897" s="90">
        <v>77.2</v>
      </c>
      <c r="AF3897" s="90">
        <v>11</v>
      </c>
      <c r="AH3897" s="55" t="s">
        <v>174</v>
      </c>
      <c r="AI3897" s="168">
        <v>7.8</v>
      </c>
      <c r="AJ3897" s="90">
        <v>2.17</v>
      </c>
      <c r="AM3897" s="55" t="s">
        <v>3352</v>
      </c>
      <c r="AN3897" s="185" t="s">
        <v>2722</v>
      </c>
      <c r="AO3897" s="185" t="s">
        <v>5150</v>
      </c>
      <c r="AQ3897" s="55" t="s">
        <v>4233</v>
      </c>
      <c r="AR3897" s="55" t="s">
        <v>1607</v>
      </c>
      <c r="AS3897" s="55" t="s">
        <v>132</v>
      </c>
      <c r="AU3897" s="181" t="s">
        <v>7494</v>
      </c>
      <c r="AV3897" s="185" t="s">
        <v>176</v>
      </c>
      <c r="AX3897" s="185" t="s">
        <v>176</v>
      </c>
      <c r="BK3897" s="55" t="s">
        <v>6333</v>
      </c>
      <c r="BM3897" s="192" t="s">
        <v>3210</v>
      </c>
      <c r="BW3897" s="65">
        <v>2600</v>
      </c>
      <c r="BX3897" s="65">
        <v>1570</v>
      </c>
      <c r="CB3897" s="66">
        <v>2280</v>
      </c>
      <c r="CC3897" s="66">
        <v>2050</v>
      </c>
      <c r="GP3897" s="292" t="s">
        <v>7494</v>
      </c>
    </row>
    <row r="3898" spans="1:198" x14ac:dyDescent="0.25">
      <c r="A3898" s="55">
        <v>3897</v>
      </c>
      <c r="B3898" s="12" t="s">
        <v>7067</v>
      </c>
      <c r="C3898" s="155">
        <v>172</v>
      </c>
      <c r="D3898" s="55" t="s">
        <v>3356</v>
      </c>
      <c r="E3898" s="90" t="s">
        <v>3334</v>
      </c>
      <c r="G3898" s="55" t="s">
        <v>3275</v>
      </c>
      <c r="H3898" s="55">
        <v>2005</v>
      </c>
      <c r="I3898" s="55">
        <v>1999</v>
      </c>
      <c r="J3898" s="55" t="s">
        <v>2660</v>
      </c>
      <c r="K3898" s="55" t="s">
        <v>3351</v>
      </c>
      <c r="L3898" s="55" t="s">
        <v>2744</v>
      </c>
      <c r="M3898" s="90">
        <v>7.5</v>
      </c>
      <c r="N3898" s="90">
        <f>3+54/60</f>
        <v>3.9</v>
      </c>
      <c r="O3898" s="90">
        <v>213</v>
      </c>
      <c r="S3898" s="90">
        <v>1247</v>
      </c>
      <c r="U3898" s="55" t="s">
        <v>1818</v>
      </c>
      <c r="V3898" s="55" t="s">
        <v>1889</v>
      </c>
      <c r="Y3898" s="55" t="s">
        <v>3354</v>
      </c>
      <c r="Z3898" s="55" t="s">
        <v>1349</v>
      </c>
      <c r="AA3898" s="90" t="s">
        <v>1677</v>
      </c>
      <c r="AE3898" s="90">
        <v>77.2</v>
      </c>
      <c r="AF3898" s="90">
        <v>11</v>
      </c>
      <c r="AH3898" s="55" t="s">
        <v>174</v>
      </c>
      <c r="AI3898" s="168">
        <v>7.8</v>
      </c>
      <c r="AJ3898" s="90">
        <v>2.17</v>
      </c>
      <c r="AM3898" s="55" t="s">
        <v>3352</v>
      </c>
      <c r="AN3898" s="185" t="s">
        <v>2722</v>
      </c>
      <c r="AO3898" s="185" t="s">
        <v>5150</v>
      </c>
      <c r="AQ3898" s="55" t="s">
        <v>4233</v>
      </c>
      <c r="AR3898" s="55" t="s">
        <v>1607</v>
      </c>
      <c r="AS3898" s="55" t="s">
        <v>132</v>
      </c>
      <c r="AU3898" s="181" t="s">
        <v>7494</v>
      </c>
      <c r="AV3898" s="185" t="s">
        <v>176</v>
      </c>
      <c r="AX3898" s="185" t="s">
        <v>176</v>
      </c>
      <c r="BK3898" s="55" t="s">
        <v>6333</v>
      </c>
      <c r="BM3898" s="192" t="s">
        <v>3210</v>
      </c>
      <c r="CB3898" s="66">
        <v>260</v>
      </c>
      <c r="CC3898" s="66">
        <v>560</v>
      </c>
      <c r="GP3898" s="292" t="s">
        <v>7494</v>
      </c>
    </row>
    <row r="3899" spans="1:198" x14ac:dyDescent="0.25">
      <c r="A3899" s="55">
        <v>3898</v>
      </c>
      <c r="B3899" s="12" t="s">
        <v>7067</v>
      </c>
      <c r="C3899" s="155">
        <v>172</v>
      </c>
      <c r="D3899" s="55" t="s">
        <v>3356</v>
      </c>
      <c r="E3899" s="90" t="s">
        <v>3334</v>
      </c>
      <c r="G3899" s="55" t="s">
        <v>3275</v>
      </c>
      <c r="H3899" s="55">
        <v>2005</v>
      </c>
      <c r="I3899" s="55">
        <v>1999</v>
      </c>
      <c r="J3899" s="55" t="s">
        <v>2660</v>
      </c>
      <c r="K3899" s="55" t="s">
        <v>3351</v>
      </c>
      <c r="L3899" s="55" t="s">
        <v>2744</v>
      </c>
      <c r="M3899" s="90">
        <v>7.5</v>
      </c>
      <c r="N3899" s="90">
        <f>3+54/60</f>
        <v>3.9</v>
      </c>
      <c r="O3899" s="90">
        <v>213</v>
      </c>
      <c r="S3899" s="90">
        <v>1247</v>
      </c>
      <c r="U3899" s="55" t="s">
        <v>1818</v>
      </c>
      <c r="V3899" s="55" t="s">
        <v>1889</v>
      </c>
      <c r="Y3899" s="55" t="s">
        <v>3354</v>
      </c>
      <c r="Z3899" s="55" t="s">
        <v>1349</v>
      </c>
      <c r="AA3899" s="90" t="s">
        <v>1677</v>
      </c>
      <c r="AE3899" s="90">
        <v>77.2</v>
      </c>
      <c r="AF3899" s="90">
        <v>11</v>
      </c>
      <c r="AH3899" s="55" t="s">
        <v>174</v>
      </c>
      <c r="AI3899" s="168">
        <v>7.8</v>
      </c>
      <c r="AJ3899" s="90">
        <v>2.17</v>
      </c>
      <c r="AM3899" s="55" t="s">
        <v>3352</v>
      </c>
      <c r="AN3899" s="185" t="s">
        <v>2722</v>
      </c>
      <c r="AO3899" s="185" t="s">
        <v>5150</v>
      </c>
      <c r="AQ3899" s="55" t="s">
        <v>4233</v>
      </c>
      <c r="AR3899" s="55" t="s">
        <v>1607</v>
      </c>
      <c r="AS3899" s="55" t="s">
        <v>132</v>
      </c>
      <c r="AU3899" s="181" t="s">
        <v>7494</v>
      </c>
      <c r="AV3899" s="185" t="s">
        <v>176</v>
      </c>
      <c r="AX3899" s="185" t="s">
        <v>176</v>
      </c>
      <c r="BK3899" s="55" t="s">
        <v>6333</v>
      </c>
      <c r="BM3899" s="192" t="s">
        <v>3210</v>
      </c>
      <c r="CB3899" s="66">
        <v>750</v>
      </c>
      <c r="CC3899" s="66">
        <v>870</v>
      </c>
      <c r="GP3899" s="292" t="s">
        <v>7494</v>
      </c>
    </row>
    <row r="3900" spans="1:198" x14ac:dyDescent="0.25">
      <c r="A3900" s="55">
        <v>3899</v>
      </c>
      <c r="B3900" s="12" t="s">
        <v>7067</v>
      </c>
      <c r="C3900" s="155">
        <v>172</v>
      </c>
      <c r="D3900" s="55" t="s">
        <v>3356</v>
      </c>
      <c r="E3900" s="90" t="s">
        <v>3334</v>
      </c>
      <c r="G3900" s="55" t="s">
        <v>3275</v>
      </c>
      <c r="H3900" s="55">
        <v>2005</v>
      </c>
      <c r="I3900" s="55">
        <v>1999</v>
      </c>
      <c r="J3900" s="55" t="s">
        <v>2660</v>
      </c>
      <c r="K3900" s="55" t="s">
        <v>3351</v>
      </c>
      <c r="L3900" s="55" t="s">
        <v>2744</v>
      </c>
      <c r="M3900" s="90">
        <v>7.5</v>
      </c>
      <c r="N3900" s="90">
        <f>3+54/60</f>
        <v>3.9</v>
      </c>
      <c r="O3900" s="90">
        <v>213</v>
      </c>
      <c r="S3900" s="90">
        <v>1247</v>
      </c>
      <c r="U3900" s="55" t="s">
        <v>1818</v>
      </c>
      <c r="V3900" s="55" t="s">
        <v>1889</v>
      </c>
      <c r="Y3900" s="55" t="s">
        <v>3354</v>
      </c>
      <c r="Z3900" s="55" t="s">
        <v>1349</v>
      </c>
      <c r="AA3900" s="90" t="s">
        <v>1677</v>
      </c>
      <c r="AE3900" s="90">
        <v>77.2</v>
      </c>
      <c r="AF3900" s="90">
        <v>11</v>
      </c>
      <c r="AH3900" s="55" t="s">
        <v>174</v>
      </c>
      <c r="AI3900" s="168">
        <v>7.8</v>
      </c>
      <c r="AJ3900" s="90">
        <v>2.17</v>
      </c>
      <c r="AM3900" s="55" t="s">
        <v>3352</v>
      </c>
      <c r="AN3900" s="185" t="s">
        <v>2722</v>
      </c>
      <c r="AO3900" s="185" t="s">
        <v>5150</v>
      </c>
      <c r="AQ3900" s="55" t="s">
        <v>4233</v>
      </c>
      <c r="AR3900" s="55" t="s">
        <v>1607</v>
      </c>
      <c r="AS3900" s="55" t="s">
        <v>132</v>
      </c>
      <c r="AU3900" s="181" t="s">
        <v>7494</v>
      </c>
      <c r="AV3900" s="185" t="s">
        <v>176</v>
      </c>
      <c r="AX3900" s="185" t="s">
        <v>176</v>
      </c>
      <c r="BK3900" s="55" t="s">
        <v>6333</v>
      </c>
      <c r="BM3900" s="192" t="s">
        <v>3210</v>
      </c>
      <c r="CB3900" s="66">
        <v>1620</v>
      </c>
      <c r="CC3900" s="66">
        <v>1300</v>
      </c>
      <c r="GP3900" s="292" t="s">
        <v>7494</v>
      </c>
    </row>
    <row r="3901" spans="1:198" x14ac:dyDescent="0.25">
      <c r="A3901" s="55">
        <v>3900</v>
      </c>
      <c r="B3901" s="12" t="s">
        <v>7067</v>
      </c>
      <c r="C3901" s="155">
        <v>172</v>
      </c>
      <c r="D3901" s="55" t="s">
        <v>3356</v>
      </c>
      <c r="E3901" s="90" t="s">
        <v>3334</v>
      </c>
      <c r="G3901" s="55" t="s">
        <v>3275</v>
      </c>
      <c r="H3901" s="55">
        <v>2005</v>
      </c>
      <c r="I3901" s="55">
        <v>1999</v>
      </c>
      <c r="J3901" s="55" t="s">
        <v>2660</v>
      </c>
      <c r="K3901" s="55" t="s">
        <v>3351</v>
      </c>
      <c r="L3901" s="55" t="s">
        <v>2744</v>
      </c>
      <c r="M3901" s="90">
        <v>7.5</v>
      </c>
      <c r="N3901" s="90">
        <f>3+54/60</f>
        <v>3.9</v>
      </c>
      <c r="O3901" s="90">
        <v>213</v>
      </c>
      <c r="S3901" s="90">
        <v>1247</v>
      </c>
      <c r="U3901" s="55" t="s">
        <v>1818</v>
      </c>
      <c r="V3901" s="55" t="s">
        <v>1889</v>
      </c>
      <c r="Y3901" s="55" t="s">
        <v>3354</v>
      </c>
      <c r="Z3901" s="55" t="s">
        <v>1349</v>
      </c>
      <c r="AA3901" s="90" t="s">
        <v>1677</v>
      </c>
      <c r="AE3901" s="90">
        <v>77.2</v>
      </c>
      <c r="AF3901" s="90">
        <v>11</v>
      </c>
      <c r="AH3901" s="55" t="s">
        <v>174</v>
      </c>
      <c r="AI3901" s="168">
        <v>7.8</v>
      </c>
      <c r="AJ3901" s="90">
        <v>2.17</v>
      </c>
      <c r="AM3901" s="55" t="s">
        <v>3352</v>
      </c>
      <c r="AN3901" s="185" t="s">
        <v>2722</v>
      </c>
      <c r="AO3901" s="185" t="s">
        <v>5150</v>
      </c>
      <c r="AQ3901" s="55" t="s">
        <v>4233</v>
      </c>
      <c r="AR3901" s="55" t="s">
        <v>1607</v>
      </c>
      <c r="AS3901" s="55" t="s">
        <v>132</v>
      </c>
      <c r="AU3901" s="181" t="s">
        <v>7494</v>
      </c>
      <c r="AV3901" s="185" t="s">
        <v>176</v>
      </c>
      <c r="AX3901" s="185" t="s">
        <v>176</v>
      </c>
      <c r="BK3901" s="55" t="s">
        <v>6333</v>
      </c>
      <c r="BM3901" s="192" t="s">
        <v>3210</v>
      </c>
      <c r="CB3901" s="66">
        <v>1720</v>
      </c>
      <c r="CC3901" s="66">
        <v>1690</v>
      </c>
      <c r="GP3901" s="292" t="s">
        <v>7494</v>
      </c>
    </row>
    <row r="3902" spans="1:198" x14ac:dyDescent="0.25">
      <c r="A3902" s="55">
        <v>3901</v>
      </c>
      <c r="B3902" s="12" t="s">
        <v>7067</v>
      </c>
      <c r="C3902" s="155">
        <v>172</v>
      </c>
      <c r="D3902" s="55" t="s">
        <v>3356</v>
      </c>
      <c r="E3902" s="90" t="s">
        <v>3334</v>
      </c>
      <c r="G3902" s="55" t="s">
        <v>3275</v>
      </c>
      <c r="H3902" s="55">
        <v>2005</v>
      </c>
      <c r="I3902" s="55">
        <v>2000</v>
      </c>
      <c r="J3902" s="55" t="s">
        <v>2660</v>
      </c>
      <c r="K3902" s="55" t="s">
        <v>3351</v>
      </c>
      <c r="L3902" s="55" t="s">
        <v>2744</v>
      </c>
      <c r="M3902" s="90">
        <v>7.5</v>
      </c>
      <c r="N3902" s="90">
        <f>3+54/60</f>
        <v>3.9</v>
      </c>
      <c r="O3902" s="90">
        <v>213</v>
      </c>
      <c r="S3902" s="90">
        <v>1247</v>
      </c>
      <c r="U3902" s="55" t="s">
        <v>1889</v>
      </c>
      <c r="V3902" s="55" t="s">
        <v>1889</v>
      </c>
      <c r="Y3902" s="55" t="s">
        <v>3354</v>
      </c>
      <c r="Z3902" s="55" t="s">
        <v>1349</v>
      </c>
      <c r="AA3902" s="90" t="s">
        <v>1677</v>
      </c>
      <c r="AE3902" s="90">
        <v>77.2</v>
      </c>
      <c r="AF3902" s="90">
        <v>11</v>
      </c>
      <c r="AH3902" s="55" t="s">
        <v>174</v>
      </c>
      <c r="AI3902" s="168">
        <v>7.8</v>
      </c>
      <c r="AJ3902" s="90">
        <v>2.17</v>
      </c>
      <c r="AM3902" s="55" t="s">
        <v>3352</v>
      </c>
      <c r="AN3902" s="185" t="s">
        <v>2722</v>
      </c>
      <c r="AO3902" s="185" t="s">
        <v>5150</v>
      </c>
      <c r="AQ3902" s="55" t="s">
        <v>4233</v>
      </c>
      <c r="AR3902" s="55" t="s">
        <v>1607</v>
      </c>
      <c r="AS3902" s="55" t="s">
        <v>132</v>
      </c>
      <c r="AU3902" s="181" t="s">
        <v>7494</v>
      </c>
      <c r="AV3902" s="185" t="s">
        <v>176</v>
      </c>
      <c r="AX3902" s="185" t="s">
        <v>176</v>
      </c>
      <c r="BK3902" s="55" t="s">
        <v>6333</v>
      </c>
      <c r="BM3902" s="192" t="s">
        <v>3210</v>
      </c>
      <c r="BW3902" s="65">
        <v>760</v>
      </c>
      <c r="BX3902" s="65">
        <v>820</v>
      </c>
      <c r="CB3902" s="66">
        <v>210</v>
      </c>
      <c r="CC3902" s="66">
        <v>500</v>
      </c>
      <c r="GP3902" s="292" t="s">
        <v>7494</v>
      </c>
    </row>
    <row r="3903" spans="1:198" x14ac:dyDescent="0.25">
      <c r="A3903" s="55">
        <v>3902</v>
      </c>
      <c r="B3903" s="12" t="s">
        <v>7067</v>
      </c>
      <c r="C3903" s="155">
        <v>172</v>
      </c>
      <c r="D3903" s="55" t="s">
        <v>3356</v>
      </c>
      <c r="E3903" s="90" t="s">
        <v>3334</v>
      </c>
      <c r="G3903" s="55" t="s">
        <v>3275</v>
      </c>
      <c r="H3903" s="55">
        <v>2005</v>
      </c>
      <c r="I3903" s="55">
        <v>2000</v>
      </c>
      <c r="J3903" s="55" t="s">
        <v>2660</v>
      </c>
      <c r="K3903" s="55" t="s">
        <v>3351</v>
      </c>
      <c r="L3903" s="55" t="s">
        <v>2744</v>
      </c>
      <c r="M3903" s="90">
        <v>7.5</v>
      </c>
      <c r="N3903" s="90">
        <f>3+54/60</f>
        <v>3.9</v>
      </c>
      <c r="O3903" s="90">
        <v>213</v>
      </c>
      <c r="S3903" s="90">
        <v>1247</v>
      </c>
      <c r="U3903" s="55" t="s">
        <v>1889</v>
      </c>
      <c r="V3903" s="55" t="s">
        <v>1889</v>
      </c>
      <c r="Y3903" s="55" t="s">
        <v>3354</v>
      </c>
      <c r="Z3903" s="55" t="s">
        <v>1349</v>
      </c>
      <c r="AA3903" s="90" t="s">
        <v>1677</v>
      </c>
      <c r="AE3903" s="90">
        <v>77.2</v>
      </c>
      <c r="AF3903" s="90">
        <v>11</v>
      </c>
      <c r="AH3903" s="55" t="s">
        <v>174</v>
      </c>
      <c r="AI3903" s="168">
        <v>7.8</v>
      </c>
      <c r="AJ3903" s="90">
        <v>2.17</v>
      </c>
      <c r="AM3903" s="55" t="s">
        <v>3352</v>
      </c>
      <c r="AN3903" s="185" t="s">
        <v>2722</v>
      </c>
      <c r="AO3903" s="185" t="s">
        <v>5150</v>
      </c>
      <c r="AQ3903" s="55" t="s">
        <v>4233</v>
      </c>
      <c r="AR3903" s="55" t="s">
        <v>1607</v>
      </c>
      <c r="AS3903" s="55" t="s">
        <v>132</v>
      </c>
      <c r="AU3903" s="181" t="s">
        <v>7494</v>
      </c>
      <c r="AV3903" s="185" t="s">
        <v>176</v>
      </c>
      <c r="AX3903" s="185" t="s">
        <v>176</v>
      </c>
      <c r="BK3903" s="55" t="s">
        <v>6333</v>
      </c>
      <c r="BM3903" s="192" t="s">
        <v>3210</v>
      </c>
      <c r="BW3903" s="65">
        <v>1230</v>
      </c>
      <c r="BX3903" s="65">
        <v>1370</v>
      </c>
      <c r="CB3903" s="66">
        <v>800</v>
      </c>
      <c r="CC3903" s="66">
        <v>1150</v>
      </c>
      <c r="GP3903" s="292" t="s">
        <v>7494</v>
      </c>
    </row>
    <row r="3904" spans="1:198" x14ac:dyDescent="0.25">
      <c r="A3904" s="55">
        <v>3903</v>
      </c>
      <c r="B3904" s="12" t="s">
        <v>7067</v>
      </c>
      <c r="C3904" s="155">
        <v>172</v>
      </c>
      <c r="D3904" s="55" t="s">
        <v>3356</v>
      </c>
      <c r="E3904" s="90" t="s">
        <v>3334</v>
      </c>
      <c r="G3904" s="55" t="s">
        <v>3275</v>
      </c>
      <c r="H3904" s="55">
        <v>2005</v>
      </c>
      <c r="I3904" s="55">
        <v>2000</v>
      </c>
      <c r="J3904" s="55" t="s">
        <v>2660</v>
      </c>
      <c r="K3904" s="55" t="s">
        <v>3351</v>
      </c>
      <c r="L3904" s="55" t="s">
        <v>2744</v>
      </c>
      <c r="M3904" s="90">
        <v>7.5</v>
      </c>
      <c r="N3904" s="90">
        <f>3+54/60</f>
        <v>3.9</v>
      </c>
      <c r="O3904" s="90">
        <v>213</v>
      </c>
      <c r="S3904" s="90">
        <v>1247</v>
      </c>
      <c r="U3904" s="55" t="s">
        <v>1889</v>
      </c>
      <c r="V3904" s="55" t="s">
        <v>1889</v>
      </c>
      <c r="Y3904" s="55" t="s">
        <v>3354</v>
      </c>
      <c r="Z3904" s="55" t="s">
        <v>1349</v>
      </c>
      <c r="AA3904" s="90" t="s">
        <v>1677</v>
      </c>
      <c r="AE3904" s="90">
        <v>77.2</v>
      </c>
      <c r="AF3904" s="90">
        <v>11</v>
      </c>
      <c r="AH3904" s="55" t="s">
        <v>174</v>
      </c>
      <c r="AI3904" s="168">
        <v>7.8</v>
      </c>
      <c r="AJ3904" s="90">
        <v>2.17</v>
      </c>
      <c r="AM3904" s="55" t="s">
        <v>3352</v>
      </c>
      <c r="AN3904" s="185" t="s">
        <v>2722</v>
      </c>
      <c r="AO3904" s="185" t="s">
        <v>5150</v>
      </c>
      <c r="AQ3904" s="55" t="s">
        <v>4233</v>
      </c>
      <c r="AR3904" s="55" t="s">
        <v>1607</v>
      </c>
      <c r="AS3904" s="55" t="s">
        <v>132</v>
      </c>
      <c r="AU3904" s="181" t="s">
        <v>7494</v>
      </c>
      <c r="AV3904" s="185" t="s">
        <v>176</v>
      </c>
      <c r="AX3904" s="185" t="s">
        <v>176</v>
      </c>
      <c r="BK3904" s="55" t="s">
        <v>6333</v>
      </c>
      <c r="BM3904" s="192" t="s">
        <v>3210</v>
      </c>
      <c r="BW3904" s="65">
        <v>2350</v>
      </c>
      <c r="BX3904" s="65">
        <v>1900</v>
      </c>
      <c r="CB3904" s="66">
        <v>2120</v>
      </c>
      <c r="CC3904" s="66">
        <v>1690</v>
      </c>
      <c r="GP3904" s="292" t="s">
        <v>7494</v>
      </c>
    </row>
    <row r="3905" spans="1:198" x14ac:dyDescent="0.25">
      <c r="A3905" s="55">
        <v>3904</v>
      </c>
      <c r="B3905" s="12" t="s">
        <v>7067</v>
      </c>
      <c r="C3905" s="155">
        <v>172</v>
      </c>
      <c r="D3905" s="55" t="s">
        <v>3356</v>
      </c>
      <c r="E3905" s="90" t="s">
        <v>3334</v>
      </c>
      <c r="G3905" s="55" t="s">
        <v>3275</v>
      </c>
      <c r="H3905" s="55">
        <v>2005</v>
      </c>
      <c r="I3905" s="55">
        <v>2000</v>
      </c>
      <c r="J3905" s="55" t="s">
        <v>2660</v>
      </c>
      <c r="K3905" s="55" t="s">
        <v>3351</v>
      </c>
      <c r="L3905" s="55" t="s">
        <v>2744</v>
      </c>
      <c r="M3905" s="90">
        <v>7.5</v>
      </c>
      <c r="N3905" s="90">
        <f>3+54/60</f>
        <v>3.9</v>
      </c>
      <c r="O3905" s="90">
        <v>213</v>
      </c>
      <c r="S3905" s="90">
        <v>1247</v>
      </c>
      <c r="U3905" s="55" t="s">
        <v>1889</v>
      </c>
      <c r="V3905" s="55" t="s">
        <v>1889</v>
      </c>
      <c r="Y3905" s="55" t="s">
        <v>3354</v>
      </c>
      <c r="Z3905" s="55" t="s">
        <v>1349</v>
      </c>
      <c r="AA3905" s="90" t="s">
        <v>1677</v>
      </c>
      <c r="AE3905" s="90">
        <v>77.2</v>
      </c>
      <c r="AF3905" s="90">
        <v>11</v>
      </c>
      <c r="AH3905" s="55" t="s">
        <v>174</v>
      </c>
      <c r="AI3905" s="168">
        <v>7.8</v>
      </c>
      <c r="AJ3905" s="90">
        <v>2.17</v>
      </c>
      <c r="AM3905" s="55" t="s">
        <v>3352</v>
      </c>
      <c r="AN3905" s="185" t="s">
        <v>2722</v>
      </c>
      <c r="AO3905" s="185" t="s">
        <v>5150</v>
      </c>
      <c r="AQ3905" s="55" t="s">
        <v>4233</v>
      </c>
      <c r="AR3905" s="55" t="s">
        <v>1607</v>
      </c>
      <c r="AS3905" s="55" t="s">
        <v>132</v>
      </c>
      <c r="AU3905" s="181" t="s">
        <v>7494</v>
      </c>
      <c r="AV3905" s="185" t="s">
        <v>176</v>
      </c>
      <c r="AX3905" s="185" t="s">
        <v>176</v>
      </c>
      <c r="BK3905" s="55" t="s">
        <v>6333</v>
      </c>
      <c r="BM3905" s="192" t="s">
        <v>3210</v>
      </c>
      <c r="BW3905" s="65">
        <v>2790</v>
      </c>
      <c r="BX3905" s="65">
        <v>2260</v>
      </c>
      <c r="CB3905" s="66">
        <v>2260</v>
      </c>
      <c r="CC3905" s="66">
        <v>1630</v>
      </c>
      <c r="GP3905" s="292" t="s">
        <v>7494</v>
      </c>
    </row>
    <row r="3906" spans="1:198" x14ac:dyDescent="0.25">
      <c r="A3906" s="55">
        <v>3905</v>
      </c>
      <c r="B3906" s="12" t="s">
        <v>7067</v>
      </c>
      <c r="C3906" s="155">
        <v>172</v>
      </c>
      <c r="D3906" s="55" t="s">
        <v>3357</v>
      </c>
      <c r="E3906" s="90" t="s">
        <v>3334</v>
      </c>
      <c r="G3906" s="55" t="s">
        <v>3275</v>
      </c>
      <c r="H3906" s="55">
        <v>2005</v>
      </c>
      <c r="I3906" s="55">
        <v>1989</v>
      </c>
      <c r="J3906" s="55" t="s">
        <v>2660</v>
      </c>
      <c r="K3906" s="55" t="s">
        <v>3351</v>
      </c>
      <c r="L3906" s="55" t="s">
        <v>2744</v>
      </c>
      <c r="M3906" s="90">
        <v>7.5</v>
      </c>
      <c r="N3906" s="90">
        <f>3+54/60</f>
        <v>3.9</v>
      </c>
      <c r="O3906" s="90">
        <v>213</v>
      </c>
      <c r="S3906" s="90">
        <v>1247</v>
      </c>
      <c r="U3906" s="55" t="s">
        <v>1935</v>
      </c>
      <c r="V3906" s="55" t="s">
        <v>1889</v>
      </c>
      <c r="Y3906" s="55" t="s">
        <v>3354</v>
      </c>
      <c r="Z3906" s="55" t="s">
        <v>1349</v>
      </c>
      <c r="AA3906" s="90" t="s">
        <v>1677</v>
      </c>
      <c r="AE3906" s="90">
        <v>77.2</v>
      </c>
      <c r="AF3906" s="90">
        <v>11</v>
      </c>
      <c r="AH3906" s="55" t="s">
        <v>174</v>
      </c>
      <c r="AI3906" s="168">
        <v>7.8</v>
      </c>
      <c r="AJ3906" s="90">
        <v>2.17</v>
      </c>
      <c r="AM3906" s="55" t="s">
        <v>3352</v>
      </c>
      <c r="AN3906" s="185" t="s">
        <v>3353</v>
      </c>
      <c r="AO3906" s="185" t="s">
        <v>5150</v>
      </c>
      <c r="AQ3906" s="55" t="s">
        <v>553</v>
      </c>
      <c r="AR3906" s="55" t="s">
        <v>2283</v>
      </c>
      <c r="AS3906" s="55" t="s">
        <v>227</v>
      </c>
      <c r="AU3906" s="181" t="s">
        <v>7494</v>
      </c>
      <c r="AV3906" s="185" t="s">
        <v>176</v>
      </c>
      <c r="AX3906" s="185" t="s">
        <v>176</v>
      </c>
      <c r="BK3906" s="55" t="s">
        <v>6333</v>
      </c>
      <c r="BM3906" s="192" t="s">
        <v>3210</v>
      </c>
      <c r="CB3906" s="66">
        <v>2500</v>
      </c>
      <c r="CC3906" s="66">
        <v>2600</v>
      </c>
      <c r="GP3906" s="292" t="s">
        <v>7494</v>
      </c>
    </row>
    <row r="3907" spans="1:198" x14ac:dyDescent="0.25">
      <c r="A3907" s="55">
        <v>3906</v>
      </c>
      <c r="B3907" s="12" t="s">
        <v>7067</v>
      </c>
      <c r="C3907" s="155">
        <v>172</v>
      </c>
      <c r="D3907" s="55" t="s">
        <v>3357</v>
      </c>
      <c r="E3907" s="90" t="s">
        <v>3334</v>
      </c>
      <c r="G3907" s="55" t="s">
        <v>3275</v>
      </c>
      <c r="H3907" s="55">
        <v>2005</v>
      </c>
      <c r="I3907" s="55">
        <v>1989</v>
      </c>
      <c r="J3907" s="55" t="s">
        <v>2660</v>
      </c>
      <c r="K3907" s="55" t="s">
        <v>3351</v>
      </c>
      <c r="L3907" s="55" t="s">
        <v>2744</v>
      </c>
      <c r="M3907" s="90">
        <v>7.5</v>
      </c>
      <c r="N3907" s="90">
        <f>3+54/60</f>
        <v>3.9</v>
      </c>
      <c r="O3907" s="90">
        <v>213</v>
      </c>
      <c r="S3907" s="90">
        <v>1247</v>
      </c>
      <c r="U3907" s="55" t="s">
        <v>1935</v>
      </c>
      <c r="V3907" s="55" t="s">
        <v>1889</v>
      </c>
      <c r="Y3907" s="55" t="s">
        <v>3354</v>
      </c>
      <c r="Z3907" s="55" t="s">
        <v>1349</v>
      </c>
      <c r="AA3907" s="90" t="s">
        <v>1677</v>
      </c>
      <c r="AE3907" s="90">
        <v>77.2</v>
      </c>
      <c r="AF3907" s="90">
        <v>11</v>
      </c>
      <c r="AH3907" s="55" t="s">
        <v>174</v>
      </c>
      <c r="AI3907" s="168">
        <v>7.8</v>
      </c>
      <c r="AJ3907" s="90">
        <v>2.17</v>
      </c>
      <c r="AM3907" s="55" t="s">
        <v>3352</v>
      </c>
      <c r="AN3907" s="185" t="s">
        <v>3353</v>
      </c>
      <c r="AO3907" s="185" t="s">
        <v>5150</v>
      </c>
      <c r="AQ3907" s="55" t="s">
        <v>553</v>
      </c>
      <c r="AR3907" s="55" t="s">
        <v>2283</v>
      </c>
      <c r="AS3907" s="55" t="s">
        <v>227</v>
      </c>
      <c r="AU3907" s="181" t="s">
        <v>7494</v>
      </c>
      <c r="AV3907" s="185" t="s">
        <v>176</v>
      </c>
      <c r="AX3907" s="185" t="s">
        <v>176</v>
      </c>
      <c r="BK3907" s="55" t="s">
        <v>6333</v>
      </c>
      <c r="BM3907" s="192" t="s">
        <v>3210</v>
      </c>
      <c r="CB3907" s="66">
        <v>3700</v>
      </c>
      <c r="CC3907" s="66">
        <v>6300</v>
      </c>
      <c r="GP3907" s="292" t="s">
        <v>7494</v>
      </c>
    </row>
    <row r="3908" spans="1:198" x14ac:dyDescent="0.25">
      <c r="A3908" s="55">
        <v>3907</v>
      </c>
      <c r="B3908" s="12" t="s">
        <v>7067</v>
      </c>
      <c r="C3908" s="155">
        <v>172</v>
      </c>
      <c r="D3908" s="55" t="s">
        <v>3357</v>
      </c>
      <c r="E3908" s="90" t="s">
        <v>3334</v>
      </c>
      <c r="G3908" s="55" t="s">
        <v>3275</v>
      </c>
      <c r="H3908" s="55">
        <v>2005</v>
      </c>
      <c r="I3908" s="55">
        <v>1989</v>
      </c>
      <c r="J3908" s="55" t="s">
        <v>2660</v>
      </c>
      <c r="K3908" s="55" t="s">
        <v>3351</v>
      </c>
      <c r="L3908" s="55" t="s">
        <v>2744</v>
      </c>
      <c r="M3908" s="90">
        <v>7.5</v>
      </c>
      <c r="N3908" s="90">
        <f>3+54/60</f>
        <v>3.9</v>
      </c>
      <c r="O3908" s="90">
        <v>213</v>
      </c>
      <c r="S3908" s="90">
        <v>1247</v>
      </c>
      <c r="U3908" s="55" t="s">
        <v>1935</v>
      </c>
      <c r="V3908" s="55" t="s">
        <v>1889</v>
      </c>
      <c r="Y3908" s="55" t="s">
        <v>3354</v>
      </c>
      <c r="Z3908" s="55" t="s">
        <v>1349</v>
      </c>
      <c r="AA3908" s="90" t="s">
        <v>1677</v>
      </c>
      <c r="AE3908" s="90">
        <v>77.2</v>
      </c>
      <c r="AF3908" s="90">
        <v>11</v>
      </c>
      <c r="AH3908" s="55" t="s">
        <v>174</v>
      </c>
      <c r="AI3908" s="168">
        <v>7.8</v>
      </c>
      <c r="AJ3908" s="90">
        <v>2.17</v>
      </c>
      <c r="AM3908" s="55" t="s">
        <v>3352</v>
      </c>
      <c r="AN3908" s="185" t="s">
        <v>3353</v>
      </c>
      <c r="AO3908" s="185" t="s">
        <v>5150</v>
      </c>
      <c r="AQ3908" s="55" t="s">
        <v>553</v>
      </c>
      <c r="AR3908" s="55" t="s">
        <v>2283</v>
      </c>
      <c r="AS3908" s="55" t="s">
        <v>227</v>
      </c>
      <c r="AU3908" s="181" t="s">
        <v>7494</v>
      </c>
      <c r="AV3908" s="185" t="s">
        <v>176</v>
      </c>
      <c r="AX3908" s="185" t="s">
        <v>176</v>
      </c>
      <c r="BK3908" s="55" t="s">
        <v>6333</v>
      </c>
      <c r="BM3908" s="192" t="s">
        <v>3210</v>
      </c>
      <c r="CB3908" s="66">
        <v>4400</v>
      </c>
      <c r="CC3908" s="66">
        <v>3300</v>
      </c>
      <c r="GP3908" s="292" t="s">
        <v>7494</v>
      </c>
    </row>
    <row r="3909" spans="1:198" x14ac:dyDescent="0.25">
      <c r="A3909" s="55">
        <v>3908</v>
      </c>
      <c r="B3909" s="12" t="s">
        <v>7067</v>
      </c>
      <c r="C3909" s="155">
        <v>172</v>
      </c>
      <c r="D3909" s="55" t="s">
        <v>3357</v>
      </c>
      <c r="E3909" s="90" t="s">
        <v>3334</v>
      </c>
      <c r="G3909" s="55" t="s">
        <v>3275</v>
      </c>
      <c r="H3909" s="55">
        <v>2005</v>
      </c>
      <c r="I3909" s="55">
        <v>1989</v>
      </c>
      <c r="J3909" s="55" t="s">
        <v>2660</v>
      </c>
      <c r="K3909" s="55" t="s">
        <v>3351</v>
      </c>
      <c r="L3909" s="55" t="s">
        <v>2744</v>
      </c>
      <c r="M3909" s="90">
        <v>7.5</v>
      </c>
      <c r="N3909" s="90">
        <f>3+54/60</f>
        <v>3.9</v>
      </c>
      <c r="O3909" s="90">
        <v>213</v>
      </c>
      <c r="S3909" s="90">
        <v>1247</v>
      </c>
      <c r="U3909" s="55" t="s">
        <v>1935</v>
      </c>
      <c r="V3909" s="55" t="s">
        <v>1889</v>
      </c>
      <c r="Y3909" s="55" t="s">
        <v>3354</v>
      </c>
      <c r="Z3909" s="55" t="s">
        <v>1349</v>
      </c>
      <c r="AA3909" s="90" t="s">
        <v>1677</v>
      </c>
      <c r="AE3909" s="90">
        <v>77.2</v>
      </c>
      <c r="AF3909" s="90">
        <v>11</v>
      </c>
      <c r="AH3909" s="55" t="s">
        <v>174</v>
      </c>
      <c r="AI3909" s="168">
        <v>7.8</v>
      </c>
      <c r="AJ3909" s="90">
        <v>2.17</v>
      </c>
      <c r="AM3909" s="55" t="s">
        <v>3352</v>
      </c>
      <c r="AN3909" s="185" t="s">
        <v>3353</v>
      </c>
      <c r="AO3909" s="185" t="s">
        <v>5150</v>
      </c>
      <c r="AQ3909" s="55" t="s">
        <v>553</v>
      </c>
      <c r="AR3909" s="55" t="s">
        <v>2283</v>
      </c>
      <c r="AS3909" s="55" t="s">
        <v>227</v>
      </c>
      <c r="AU3909" s="181" t="s">
        <v>7494</v>
      </c>
      <c r="AV3909" s="185" t="s">
        <v>176</v>
      </c>
      <c r="AX3909" s="185" t="s">
        <v>176</v>
      </c>
      <c r="BK3909" s="55" t="s">
        <v>6333</v>
      </c>
      <c r="BM3909" s="192" t="s">
        <v>3210</v>
      </c>
      <c r="CB3909" s="66">
        <v>2900</v>
      </c>
      <c r="CC3909" s="66">
        <v>4500</v>
      </c>
      <c r="GP3909" s="292" t="s">
        <v>7494</v>
      </c>
    </row>
    <row r="3910" spans="1:198" x14ac:dyDescent="0.25">
      <c r="A3910" s="55">
        <v>3909</v>
      </c>
      <c r="B3910" s="12" t="s">
        <v>7067</v>
      </c>
      <c r="C3910" s="155">
        <v>172</v>
      </c>
      <c r="D3910" s="55" t="s">
        <v>3357</v>
      </c>
      <c r="E3910" s="90" t="s">
        <v>3334</v>
      </c>
      <c r="G3910" s="55" t="s">
        <v>3275</v>
      </c>
      <c r="H3910" s="55">
        <v>2005</v>
      </c>
      <c r="I3910" s="55">
        <v>1990</v>
      </c>
      <c r="J3910" s="55" t="s">
        <v>2660</v>
      </c>
      <c r="K3910" s="55" t="s">
        <v>3351</v>
      </c>
      <c r="L3910" s="55" t="s">
        <v>2744</v>
      </c>
      <c r="M3910" s="90">
        <v>7.5</v>
      </c>
      <c r="N3910" s="90">
        <f>3+54/60</f>
        <v>3.9</v>
      </c>
      <c r="O3910" s="90">
        <v>213</v>
      </c>
      <c r="S3910" s="90">
        <v>1247</v>
      </c>
      <c r="U3910" s="55" t="s">
        <v>1805</v>
      </c>
      <c r="V3910" s="55" t="s">
        <v>1889</v>
      </c>
      <c r="Y3910" s="55" t="s">
        <v>3354</v>
      </c>
      <c r="Z3910" s="55" t="s">
        <v>1349</v>
      </c>
      <c r="AA3910" s="90" t="s">
        <v>1677</v>
      </c>
      <c r="AE3910" s="90">
        <v>77.2</v>
      </c>
      <c r="AF3910" s="90">
        <v>11</v>
      </c>
      <c r="AH3910" s="55" t="s">
        <v>174</v>
      </c>
      <c r="AI3910" s="168">
        <v>7.8</v>
      </c>
      <c r="AJ3910" s="90">
        <v>2.17</v>
      </c>
      <c r="AM3910" s="55" t="s">
        <v>3352</v>
      </c>
      <c r="AN3910" s="185" t="s">
        <v>3353</v>
      </c>
      <c r="AO3910" s="185" t="s">
        <v>5150</v>
      </c>
      <c r="AQ3910" s="55" t="s">
        <v>553</v>
      </c>
      <c r="AR3910" s="55" t="s">
        <v>2283</v>
      </c>
      <c r="AS3910" s="55" t="s">
        <v>227</v>
      </c>
      <c r="AU3910" s="181" t="s">
        <v>7494</v>
      </c>
      <c r="AV3910" s="185" t="s">
        <v>176</v>
      </c>
      <c r="AX3910" s="185" t="s">
        <v>176</v>
      </c>
      <c r="BK3910" s="55" t="s">
        <v>6333</v>
      </c>
      <c r="BM3910" s="192" t="s">
        <v>3210</v>
      </c>
      <c r="GP3910" s="292" t="s">
        <v>7494</v>
      </c>
    </row>
    <row r="3911" spans="1:198" x14ac:dyDescent="0.25">
      <c r="A3911" s="55">
        <v>3910</v>
      </c>
      <c r="B3911" s="12" t="s">
        <v>7067</v>
      </c>
      <c r="C3911" s="155">
        <v>172</v>
      </c>
      <c r="D3911" s="55" t="s">
        <v>3357</v>
      </c>
      <c r="E3911" s="90" t="s">
        <v>3334</v>
      </c>
      <c r="G3911" s="55" t="s">
        <v>3275</v>
      </c>
      <c r="H3911" s="55">
        <v>2005</v>
      </c>
      <c r="I3911" s="55">
        <v>1990</v>
      </c>
      <c r="J3911" s="55" t="s">
        <v>2660</v>
      </c>
      <c r="K3911" s="55" t="s">
        <v>3351</v>
      </c>
      <c r="L3911" s="55" t="s">
        <v>2744</v>
      </c>
      <c r="M3911" s="90">
        <v>7.5</v>
      </c>
      <c r="N3911" s="90">
        <f>3+54/60</f>
        <v>3.9</v>
      </c>
      <c r="O3911" s="90">
        <v>213</v>
      </c>
      <c r="S3911" s="90">
        <v>1247</v>
      </c>
      <c r="U3911" s="55" t="s">
        <v>1805</v>
      </c>
      <c r="V3911" s="55" t="s">
        <v>1889</v>
      </c>
      <c r="Y3911" s="55" t="s">
        <v>3354</v>
      </c>
      <c r="Z3911" s="55" t="s">
        <v>1349</v>
      </c>
      <c r="AA3911" s="90" t="s">
        <v>1677</v>
      </c>
      <c r="AE3911" s="90">
        <v>77.2</v>
      </c>
      <c r="AF3911" s="90">
        <v>11</v>
      </c>
      <c r="AH3911" s="55" t="s">
        <v>174</v>
      </c>
      <c r="AI3911" s="168">
        <v>7.8</v>
      </c>
      <c r="AJ3911" s="90">
        <v>2.17</v>
      </c>
      <c r="AM3911" s="55" t="s">
        <v>3352</v>
      </c>
      <c r="AN3911" s="185" t="s">
        <v>3353</v>
      </c>
      <c r="AO3911" s="185" t="s">
        <v>5150</v>
      </c>
      <c r="AQ3911" s="55" t="s">
        <v>553</v>
      </c>
      <c r="AR3911" s="55" t="s">
        <v>2283</v>
      </c>
      <c r="AS3911" s="55" t="s">
        <v>227</v>
      </c>
      <c r="AU3911" s="181" t="s">
        <v>7494</v>
      </c>
      <c r="AV3911" s="185" t="s">
        <v>176</v>
      </c>
      <c r="AX3911" s="185" t="s">
        <v>176</v>
      </c>
      <c r="BK3911" s="55" t="s">
        <v>6333</v>
      </c>
      <c r="BM3911" s="192" t="s">
        <v>3210</v>
      </c>
      <c r="GP3911" s="292" t="s">
        <v>7494</v>
      </c>
    </row>
    <row r="3912" spans="1:198" x14ac:dyDescent="0.25">
      <c r="A3912" s="55">
        <v>3911</v>
      </c>
      <c r="B3912" s="12" t="s">
        <v>7067</v>
      </c>
      <c r="C3912" s="155">
        <v>172</v>
      </c>
      <c r="D3912" s="55" t="s">
        <v>3357</v>
      </c>
      <c r="E3912" s="90" t="s">
        <v>3334</v>
      </c>
      <c r="G3912" s="55" t="s">
        <v>3275</v>
      </c>
      <c r="H3912" s="55">
        <v>2005</v>
      </c>
      <c r="I3912" s="55">
        <v>1990</v>
      </c>
      <c r="J3912" s="55" t="s">
        <v>2660</v>
      </c>
      <c r="K3912" s="55" t="s">
        <v>3351</v>
      </c>
      <c r="L3912" s="55" t="s">
        <v>2744</v>
      </c>
      <c r="M3912" s="90">
        <v>7.5</v>
      </c>
      <c r="N3912" s="90">
        <f>3+54/60</f>
        <v>3.9</v>
      </c>
      <c r="O3912" s="90">
        <v>213</v>
      </c>
      <c r="S3912" s="90">
        <v>1247</v>
      </c>
      <c r="U3912" s="55" t="s">
        <v>1805</v>
      </c>
      <c r="V3912" s="55" t="s">
        <v>1889</v>
      </c>
      <c r="Y3912" s="55" t="s">
        <v>3354</v>
      </c>
      <c r="Z3912" s="55" t="s">
        <v>1349</v>
      </c>
      <c r="AA3912" s="90" t="s">
        <v>1677</v>
      </c>
      <c r="AE3912" s="90">
        <v>77.2</v>
      </c>
      <c r="AF3912" s="90">
        <v>11</v>
      </c>
      <c r="AH3912" s="55" t="s">
        <v>174</v>
      </c>
      <c r="AI3912" s="168">
        <v>7.8</v>
      </c>
      <c r="AJ3912" s="90">
        <v>2.17</v>
      </c>
      <c r="AM3912" s="55" t="s">
        <v>3352</v>
      </c>
      <c r="AN3912" s="185" t="s">
        <v>3353</v>
      </c>
      <c r="AO3912" s="185" t="s">
        <v>5150</v>
      </c>
      <c r="AQ3912" s="55" t="s">
        <v>553</v>
      </c>
      <c r="AR3912" s="55" t="s">
        <v>2283</v>
      </c>
      <c r="AS3912" s="55" t="s">
        <v>227</v>
      </c>
      <c r="AU3912" s="181" t="s">
        <v>7494</v>
      </c>
      <c r="AV3912" s="185" t="s">
        <v>176</v>
      </c>
      <c r="AX3912" s="185" t="s">
        <v>176</v>
      </c>
      <c r="BK3912" s="55" t="s">
        <v>6333</v>
      </c>
      <c r="BM3912" s="192" t="s">
        <v>3210</v>
      </c>
      <c r="GP3912" s="292" t="s">
        <v>7494</v>
      </c>
    </row>
    <row r="3913" spans="1:198" x14ac:dyDescent="0.25">
      <c r="A3913" s="55">
        <v>3912</v>
      </c>
      <c r="B3913" s="12" t="s">
        <v>7067</v>
      </c>
      <c r="C3913" s="155">
        <v>172</v>
      </c>
      <c r="D3913" s="55" t="s">
        <v>3357</v>
      </c>
      <c r="E3913" s="90" t="s">
        <v>3334</v>
      </c>
      <c r="G3913" s="55" t="s">
        <v>3275</v>
      </c>
      <c r="H3913" s="55">
        <v>2005</v>
      </c>
      <c r="I3913" s="55">
        <v>1990</v>
      </c>
      <c r="J3913" s="55" t="s">
        <v>2660</v>
      </c>
      <c r="K3913" s="55" t="s">
        <v>3351</v>
      </c>
      <c r="L3913" s="55" t="s">
        <v>2744</v>
      </c>
      <c r="M3913" s="90">
        <v>7.5</v>
      </c>
      <c r="N3913" s="90">
        <f>3+54/60</f>
        <v>3.9</v>
      </c>
      <c r="O3913" s="90">
        <v>213</v>
      </c>
      <c r="S3913" s="90">
        <v>1247</v>
      </c>
      <c r="U3913" s="55" t="s">
        <v>1805</v>
      </c>
      <c r="V3913" s="55" t="s">
        <v>1889</v>
      </c>
      <c r="Y3913" s="55" t="s">
        <v>3354</v>
      </c>
      <c r="Z3913" s="55" t="s">
        <v>1349</v>
      </c>
      <c r="AA3913" s="90" t="s">
        <v>1677</v>
      </c>
      <c r="AE3913" s="90">
        <v>77.2</v>
      </c>
      <c r="AF3913" s="90">
        <v>11</v>
      </c>
      <c r="AH3913" s="55" t="s">
        <v>174</v>
      </c>
      <c r="AI3913" s="168">
        <v>7.8</v>
      </c>
      <c r="AJ3913" s="90">
        <v>2.17</v>
      </c>
      <c r="AM3913" s="55" t="s">
        <v>3352</v>
      </c>
      <c r="AN3913" s="185" t="s">
        <v>3353</v>
      </c>
      <c r="AO3913" s="185" t="s">
        <v>5150</v>
      </c>
      <c r="AQ3913" s="55" t="s">
        <v>553</v>
      </c>
      <c r="AR3913" s="55" t="s">
        <v>2283</v>
      </c>
      <c r="AS3913" s="55" t="s">
        <v>227</v>
      </c>
      <c r="AU3913" s="181" t="s">
        <v>7494</v>
      </c>
      <c r="AV3913" s="185" t="s">
        <v>176</v>
      </c>
      <c r="AX3913" s="185" t="s">
        <v>176</v>
      </c>
      <c r="BK3913" s="55" t="s">
        <v>6333</v>
      </c>
      <c r="BM3913" s="192" t="s">
        <v>3210</v>
      </c>
      <c r="GP3913" s="292" t="s">
        <v>7494</v>
      </c>
    </row>
    <row r="3914" spans="1:198" x14ac:dyDescent="0.25">
      <c r="A3914" s="55">
        <v>3913</v>
      </c>
      <c r="B3914" s="12" t="s">
        <v>7067</v>
      </c>
      <c r="C3914" s="155">
        <v>172</v>
      </c>
      <c r="D3914" s="55" t="s">
        <v>3357</v>
      </c>
      <c r="E3914" s="90" t="s">
        <v>3334</v>
      </c>
      <c r="G3914" s="55" t="s">
        <v>3275</v>
      </c>
      <c r="H3914" s="55">
        <v>2005</v>
      </c>
      <c r="I3914" s="55">
        <v>1991</v>
      </c>
      <c r="J3914" s="55" t="s">
        <v>2660</v>
      </c>
      <c r="K3914" s="55" t="s">
        <v>3351</v>
      </c>
      <c r="L3914" s="55" t="s">
        <v>2744</v>
      </c>
      <c r="M3914" s="90">
        <v>7.5</v>
      </c>
      <c r="N3914" s="90">
        <f>3+54/60</f>
        <v>3.9</v>
      </c>
      <c r="O3914" s="90">
        <v>213</v>
      </c>
      <c r="S3914" s="90">
        <v>1247</v>
      </c>
      <c r="U3914" s="55" t="s">
        <v>1688</v>
      </c>
      <c r="V3914" s="55" t="s">
        <v>1889</v>
      </c>
      <c r="Y3914" s="55" t="s">
        <v>3354</v>
      </c>
      <c r="Z3914" s="55" t="s">
        <v>1349</v>
      </c>
      <c r="AA3914" s="90" t="s">
        <v>1677</v>
      </c>
      <c r="AE3914" s="90">
        <v>77.2</v>
      </c>
      <c r="AF3914" s="90">
        <v>11</v>
      </c>
      <c r="AH3914" s="55" t="s">
        <v>174</v>
      </c>
      <c r="AI3914" s="168">
        <v>7.8</v>
      </c>
      <c r="AJ3914" s="90">
        <v>2.17</v>
      </c>
      <c r="AM3914" s="55" t="s">
        <v>3352</v>
      </c>
      <c r="AN3914" s="185" t="s">
        <v>3353</v>
      </c>
      <c r="AO3914" s="185" t="s">
        <v>5150</v>
      </c>
      <c r="AQ3914" s="55" t="s">
        <v>553</v>
      </c>
      <c r="AR3914" s="55" t="s">
        <v>2283</v>
      </c>
      <c r="AS3914" s="55" t="s">
        <v>227</v>
      </c>
      <c r="AU3914" s="181" t="s">
        <v>7494</v>
      </c>
      <c r="AV3914" s="185" t="s">
        <v>176</v>
      </c>
      <c r="AX3914" s="185" t="s">
        <v>176</v>
      </c>
      <c r="BK3914" s="55" t="s">
        <v>6333</v>
      </c>
      <c r="BM3914" s="192" t="s">
        <v>3210</v>
      </c>
      <c r="CB3914" s="66">
        <v>5800</v>
      </c>
      <c r="CC3914" s="66">
        <v>1400</v>
      </c>
      <c r="GP3914" s="292" t="s">
        <v>7494</v>
      </c>
    </row>
    <row r="3915" spans="1:198" x14ac:dyDescent="0.25">
      <c r="A3915" s="55">
        <v>3914</v>
      </c>
      <c r="B3915" s="12" t="s">
        <v>7067</v>
      </c>
      <c r="C3915" s="155">
        <v>172</v>
      </c>
      <c r="D3915" s="55" t="s">
        <v>3357</v>
      </c>
      <c r="E3915" s="90" t="s">
        <v>3334</v>
      </c>
      <c r="G3915" s="55" t="s">
        <v>3275</v>
      </c>
      <c r="H3915" s="55">
        <v>2005</v>
      </c>
      <c r="I3915" s="55">
        <v>1991</v>
      </c>
      <c r="J3915" s="55" t="s">
        <v>2660</v>
      </c>
      <c r="K3915" s="55" t="s">
        <v>3351</v>
      </c>
      <c r="L3915" s="55" t="s">
        <v>2744</v>
      </c>
      <c r="M3915" s="90">
        <v>7.5</v>
      </c>
      <c r="N3915" s="90">
        <f>3+54/60</f>
        <v>3.9</v>
      </c>
      <c r="O3915" s="90">
        <v>213</v>
      </c>
      <c r="S3915" s="90">
        <v>1247</v>
      </c>
      <c r="U3915" s="55" t="s">
        <v>1688</v>
      </c>
      <c r="V3915" s="55" t="s">
        <v>1889</v>
      </c>
      <c r="Y3915" s="55" t="s">
        <v>3354</v>
      </c>
      <c r="Z3915" s="55" t="s">
        <v>1349</v>
      </c>
      <c r="AA3915" s="90" t="s">
        <v>1677</v>
      </c>
      <c r="AE3915" s="90">
        <v>77.2</v>
      </c>
      <c r="AF3915" s="90">
        <v>11</v>
      </c>
      <c r="AH3915" s="55" t="s">
        <v>174</v>
      </c>
      <c r="AI3915" s="168">
        <v>7.8</v>
      </c>
      <c r="AJ3915" s="90">
        <v>2.17</v>
      </c>
      <c r="AM3915" s="55" t="s">
        <v>3352</v>
      </c>
      <c r="AN3915" s="185" t="s">
        <v>3353</v>
      </c>
      <c r="AO3915" s="185" t="s">
        <v>5150</v>
      </c>
      <c r="AQ3915" s="55" t="s">
        <v>553</v>
      </c>
      <c r="AR3915" s="55" t="s">
        <v>2283</v>
      </c>
      <c r="AS3915" s="55" t="s">
        <v>227</v>
      </c>
      <c r="AU3915" s="181" t="s">
        <v>7494</v>
      </c>
      <c r="AV3915" s="185" t="s">
        <v>176</v>
      </c>
      <c r="AX3915" s="185" t="s">
        <v>176</v>
      </c>
      <c r="BK3915" s="55" t="s">
        <v>6333</v>
      </c>
      <c r="BM3915" s="192" t="s">
        <v>3210</v>
      </c>
      <c r="CB3915" s="66">
        <v>8900</v>
      </c>
      <c r="CC3915" s="66">
        <v>3200</v>
      </c>
      <c r="GP3915" s="292" t="s">
        <v>7494</v>
      </c>
    </row>
    <row r="3916" spans="1:198" x14ac:dyDescent="0.25">
      <c r="A3916" s="55">
        <v>3915</v>
      </c>
      <c r="B3916" s="12" t="s">
        <v>7067</v>
      </c>
      <c r="C3916" s="155">
        <v>172</v>
      </c>
      <c r="D3916" s="55" t="s">
        <v>3357</v>
      </c>
      <c r="E3916" s="90" t="s">
        <v>3334</v>
      </c>
      <c r="G3916" s="55" t="s">
        <v>3275</v>
      </c>
      <c r="H3916" s="55">
        <v>2005</v>
      </c>
      <c r="I3916" s="55">
        <v>1991</v>
      </c>
      <c r="J3916" s="55" t="s">
        <v>2660</v>
      </c>
      <c r="K3916" s="55" t="s">
        <v>3351</v>
      </c>
      <c r="L3916" s="55" t="s">
        <v>2744</v>
      </c>
      <c r="M3916" s="90">
        <v>7.5</v>
      </c>
      <c r="N3916" s="90">
        <f>3+54/60</f>
        <v>3.9</v>
      </c>
      <c r="O3916" s="90">
        <v>213</v>
      </c>
      <c r="S3916" s="90">
        <v>1247</v>
      </c>
      <c r="U3916" s="55" t="s">
        <v>1688</v>
      </c>
      <c r="V3916" s="55" t="s">
        <v>1889</v>
      </c>
      <c r="Y3916" s="55" t="s">
        <v>3354</v>
      </c>
      <c r="Z3916" s="55" t="s">
        <v>1349</v>
      </c>
      <c r="AA3916" s="90" t="s">
        <v>1677</v>
      </c>
      <c r="AE3916" s="90">
        <v>77.2</v>
      </c>
      <c r="AF3916" s="90">
        <v>11</v>
      </c>
      <c r="AH3916" s="55" t="s">
        <v>174</v>
      </c>
      <c r="AI3916" s="168">
        <v>7.8</v>
      </c>
      <c r="AJ3916" s="90">
        <v>2.17</v>
      </c>
      <c r="AM3916" s="55" t="s">
        <v>3352</v>
      </c>
      <c r="AN3916" s="185" t="s">
        <v>3353</v>
      </c>
      <c r="AO3916" s="185" t="s">
        <v>5150</v>
      </c>
      <c r="AQ3916" s="55" t="s">
        <v>553</v>
      </c>
      <c r="AR3916" s="55" t="s">
        <v>2283</v>
      </c>
      <c r="AS3916" s="55" t="s">
        <v>227</v>
      </c>
      <c r="AU3916" s="181" t="s">
        <v>7494</v>
      </c>
      <c r="AV3916" s="185" t="s">
        <v>176</v>
      </c>
      <c r="AX3916" s="185" t="s">
        <v>176</v>
      </c>
      <c r="BK3916" s="55" t="s">
        <v>6333</v>
      </c>
      <c r="BM3916" s="192" t="s">
        <v>3210</v>
      </c>
      <c r="GP3916" s="292" t="s">
        <v>7494</v>
      </c>
    </row>
    <row r="3917" spans="1:198" x14ac:dyDescent="0.25">
      <c r="A3917" s="55">
        <v>3916</v>
      </c>
      <c r="B3917" s="12" t="s">
        <v>7067</v>
      </c>
      <c r="C3917" s="155">
        <v>172</v>
      </c>
      <c r="D3917" s="55" t="s">
        <v>3357</v>
      </c>
      <c r="E3917" s="90" t="s">
        <v>3334</v>
      </c>
      <c r="G3917" s="55" t="s">
        <v>3275</v>
      </c>
      <c r="H3917" s="55">
        <v>2005</v>
      </c>
      <c r="I3917" s="55">
        <v>1991</v>
      </c>
      <c r="J3917" s="55" t="s">
        <v>2660</v>
      </c>
      <c r="K3917" s="55" t="s">
        <v>3351</v>
      </c>
      <c r="L3917" s="55" t="s">
        <v>2744</v>
      </c>
      <c r="M3917" s="90">
        <v>7.5</v>
      </c>
      <c r="N3917" s="90">
        <f>3+54/60</f>
        <v>3.9</v>
      </c>
      <c r="O3917" s="90">
        <v>213</v>
      </c>
      <c r="S3917" s="90">
        <v>1247</v>
      </c>
      <c r="U3917" s="55" t="s">
        <v>1688</v>
      </c>
      <c r="V3917" s="55" t="s">
        <v>1889</v>
      </c>
      <c r="Y3917" s="55" t="s">
        <v>3354</v>
      </c>
      <c r="Z3917" s="55" t="s">
        <v>1349</v>
      </c>
      <c r="AA3917" s="90" t="s">
        <v>1677</v>
      </c>
      <c r="AE3917" s="90">
        <v>77.2</v>
      </c>
      <c r="AF3917" s="90">
        <v>11</v>
      </c>
      <c r="AH3917" s="55" t="s">
        <v>174</v>
      </c>
      <c r="AI3917" s="168">
        <v>7.8</v>
      </c>
      <c r="AJ3917" s="90">
        <v>2.17</v>
      </c>
      <c r="AM3917" s="55" t="s">
        <v>3352</v>
      </c>
      <c r="AN3917" s="185" t="s">
        <v>3353</v>
      </c>
      <c r="AO3917" s="185" t="s">
        <v>5150</v>
      </c>
      <c r="AQ3917" s="55" t="s">
        <v>553</v>
      </c>
      <c r="AR3917" s="55" t="s">
        <v>2283</v>
      </c>
      <c r="AS3917" s="55" t="s">
        <v>227</v>
      </c>
      <c r="AU3917" s="181" t="s">
        <v>7494</v>
      </c>
      <c r="AV3917" s="185" t="s">
        <v>176</v>
      </c>
      <c r="AX3917" s="185" t="s">
        <v>176</v>
      </c>
      <c r="BK3917" s="55" t="s">
        <v>6333</v>
      </c>
      <c r="BM3917" s="192" t="s">
        <v>3210</v>
      </c>
      <c r="GP3917" s="292" t="s">
        <v>7494</v>
      </c>
    </row>
    <row r="3918" spans="1:198" x14ac:dyDescent="0.25">
      <c r="A3918" s="55">
        <v>3917</v>
      </c>
      <c r="B3918" s="12" t="s">
        <v>7067</v>
      </c>
      <c r="C3918" s="155">
        <v>172</v>
      </c>
      <c r="D3918" s="55" t="s">
        <v>3357</v>
      </c>
      <c r="E3918" s="90" t="s">
        <v>3334</v>
      </c>
      <c r="G3918" s="55" t="s">
        <v>3275</v>
      </c>
      <c r="H3918" s="55">
        <v>2005</v>
      </c>
      <c r="I3918" s="55">
        <v>1992</v>
      </c>
      <c r="J3918" s="55" t="s">
        <v>2660</v>
      </c>
      <c r="K3918" s="55" t="s">
        <v>3351</v>
      </c>
      <c r="L3918" s="55" t="s">
        <v>2744</v>
      </c>
      <c r="M3918" s="90">
        <v>7.5</v>
      </c>
      <c r="N3918" s="90">
        <f>3+54/60</f>
        <v>3.9</v>
      </c>
      <c r="O3918" s="90">
        <v>213</v>
      </c>
      <c r="S3918" s="90">
        <v>1247</v>
      </c>
      <c r="U3918" s="55" t="s">
        <v>1816</v>
      </c>
      <c r="V3918" s="55" t="s">
        <v>1889</v>
      </c>
      <c r="Y3918" s="55" t="s">
        <v>3354</v>
      </c>
      <c r="Z3918" s="55" t="s">
        <v>1349</v>
      </c>
      <c r="AA3918" s="90" t="s">
        <v>1677</v>
      </c>
      <c r="AE3918" s="90">
        <v>77.2</v>
      </c>
      <c r="AF3918" s="90">
        <v>11</v>
      </c>
      <c r="AH3918" s="55" t="s">
        <v>174</v>
      </c>
      <c r="AI3918" s="168">
        <v>7.8</v>
      </c>
      <c r="AJ3918" s="90">
        <v>2.17</v>
      </c>
      <c r="AM3918" s="55" t="s">
        <v>3352</v>
      </c>
      <c r="AN3918" s="185" t="s">
        <v>3353</v>
      </c>
      <c r="AO3918" s="185" t="s">
        <v>5150</v>
      </c>
      <c r="AQ3918" s="55" t="s">
        <v>553</v>
      </c>
      <c r="AR3918" s="55" t="s">
        <v>2283</v>
      </c>
      <c r="AS3918" s="55" t="s">
        <v>227</v>
      </c>
      <c r="AU3918" s="181" t="s">
        <v>7494</v>
      </c>
      <c r="AV3918" s="185" t="s">
        <v>176</v>
      </c>
      <c r="AX3918" s="185" t="s">
        <v>176</v>
      </c>
      <c r="BK3918" s="55" t="s">
        <v>6333</v>
      </c>
      <c r="BM3918" s="192" t="s">
        <v>3210</v>
      </c>
      <c r="CB3918" s="66">
        <v>5100</v>
      </c>
      <c r="CC3918" s="66">
        <v>2900</v>
      </c>
      <c r="GP3918" s="292" t="s">
        <v>7494</v>
      </c>
    </row>
    <row r="3919" spans="1:198" x14ac:dyDescent="0.25">
      <c r="A3919" s="55">
        <v>3918</v>
      </c>
      <c r="B3919" s="12" t="s">
        <v>7067</v>
      </c>
      <c r="C3919" s="155">
        <v>172</v>
      </c>
      <c r="D3919" s="55" t="s">
        <v>3357</v>
      </c>
      <c r="E3919" s="90" t="s">
        <v>3334</v>
      </c>
      <c r="G3919" s="55" t="s">
        <v>3275</v>
      </c>
      <c r="H3919" s="55">
        <v>2005</v>
      </c>
      <c r="I3919" s="55">
        <v>1992</v>
      </c>
      <c r="J3919" s="55" t="s">
        <v>2660</v>
      </c>
      <c r="K3919" s="55" t="s">
        <v>3351</v>
      </c>
      <c r="L3919" s="55" t="s">
        <v>2744</v>
      </c>
      <c r="M3919" s="90">
        <v>7.5</v>
      </c>
      <c r="N3919" s="90">
        <f>3+54/60</f>
        <v>3.9</v>
      </c>
      <c r="O3919" s="90">
        <v>213</v>
      </c>
      <c r="S3919" s="90">
        <v>1247</v>
      </c>
      <c r="U3919" s="55" t="s">
        <v>1816</v>
      </c>
      <c r="V3919" s="55" t="s">
        <v>1889</v>
      </c>
      <c r="Y3919" s="55" t="s">
        <v>3354</v>
      </c>
      <c r="Z3919" s="55" t="s">
        <v>1349</v>
      </c>
      <c r="AA3919" s="90" t="s">
        <v>1677</v>
      </c>
      <c r="AE3919" s="90">
        <v>77.2</v>
      </c>
      <c r="AF3919" s="90">
        <v>11</v>
      </c>
      <c r="AH3919" s="55" t="s">
        <v>174</v>
      </c>
      <c r="AI3919" s="168">
        <v>7.8</v>
      </c>
      <c r="AJ3919" s="90">
        <v>2.17</v>
      </c>
      <c r="AM3919" s="55" t="s">
        <v>3352</v>
      </c>
      <c r="AN3919" s="185" t="s">
        <v>3353</v>
      </c>
      <c r="AO3919" s="185" t="s">
        <v>5150</v>
      </c>
      <c r="AQ3919" s="55" t="s">
        <v>553</v>
      </c>
      <c r="AR3919" s="55" t="s">
        <v>2283</v>
      </c>
      <c r="AS3919" s="55" t="s">
        <v>227</v>
      </c>
      <c r="AU3919" s="181" t="s">
        <v>7494</v>
      </c>
      <c r="AV3919" s="185" t="s">
        <v>176</v>
      </c>
      <c r="AX3919" s="185" t="s">
        <v>176</v>
      </c>
      <c r="BK3919" s="55" t="s">
        <v>6333</v>
      </c>
      <c r="BM3919" s="192" t="s">
        <v>3210</v>
      </c>
      <c r="CB3919" s="66">
        <v>5600</v>
      </c>
      <c r="CC3919" s="66">
        <v>3300</v>
      </c>
      <c r="GP3919" s="292" t="s">
        <v>7494</v>
      </c>
    </row>
    <row r="3920" spans="1:198" x14ac:dyDescent="0.25">
      <c r="A3920" s="55">
        <v>3919</v>
      </c>
      <c r="B3920" s="12" t="s">
        <v>7067</v>
      </c>
      <c r="C3920" s="155">
        <v>172</v>
      </c>
      <c r="D3920" s="55" t="s">
        <v>3357</v>
      </c>
      <c r="E3920" s="90" t="s">
        <v>3334</v>
      </c>
      <c r="G3920" s="55" t="s">
        <v>3275</v>
      </c>
      <c r="H3920" s="55">
        <v>2005</v>
      </c>
      <c r="I3920" s="55">
        <v>1992</v>
      </c>
      <c r="J3920" s="55" t="s">
        <v>2660</v>
      </c>
      <c r="K3920" s="55" t="s">
        <v>3351</v>
      </c>
      <c r="L3920" s="55" t="s">
        <v>2744</v>
      </c>
      <c r="M3920" s="90">
        <v>7.5</v>
      </c>
      <c r="N3920" s="90">
        <f>3+54/60</f>
        <v>3.9</v>
      </c>
      <c r="O3920" s="90">
        <v>213</v>
      </c>
      <c r="S3920" s="90">
        <v>1247</v>
      </c>
      <c r="U3920" s="55" t="s">
        <v>1816</v>
      </c>
      <c r="V3920" s="55" t="s">
        <v>1889</v>
      </c>
      <c r="Y3920" s="55" t="s">
        <v>3354</v>
      </c>
      <c r="Z3920" s="55" t="s">
        <v>1349</v>
      </c>
      <c r="AA3920" s="90" t="s">
        <v>1677</v>
      </c>
      <c r="AE3920" s="90">
        <v>77.2</v>
      </c>
      <c r="AF3920" s="90">
        <v>11</v>
      </c>
      <c r="AH3920" s="55" t="s">
        <v>174</v>
      </c>
      <c r="AI3920" s="168">
        <v>7.8</v>
      </c>
      <c r="AJ3920" s="90">
        <v>2.17</v>
      </c>
      <c r="AM3920" s="55" t="s">
        <v>3352</v>
      </c>
      <c r="AN3920" s="185" t="s">
        <v>3353</v>
      </c>
      <c r="AO3920" s="185" t="s">
        <v>5150</v>
      </c>
      <c r="AQ3920" s="55" t="s">
        <v>553</v>
      </c>
      <c r="AR3920" s="55" t="s">
        <v>2283</v>
      </c>
      <c r="AS3920" s="55" t="s">
        <v>227</v>
      </c>
      <c r="AU3920" s="181" t="s">
        <v>7494</v>
      </c>
      <c r="AV3920" s="185" t="s">
        <v>176</v>
      </c>
      <c r="AX3920" s="185" t="s">
        <v>176</v>
      </c>
      <c r="BK3920" s="55" t="s">
        <v>6333</v>
      </c>
      <c r="BM3920" s="192" t="s">
        <v>3210</v>
      </c>
      <c r="CB3920" s="66">
        <v>9500</v>
      </c>
      <c r="CC3920" s="66">
        <v>3900</v>
      </c>
      <c r="GP3920" s="292" t="s">
        <v>7494</v>
      </c>
    </row>
    <row r="3921" spans="1:198" x14ac:dyDescent="0.25">
      <c r="A3921" s="55">
        <v>3920</v>
      </c>
      <c r="B3921" s="12" t="s">
        <v>7067</v>
      </c>
      <c r="C3921" s="155">
        <v>172</v>
      </c>
      <c r="D3921" s="55" t="s">
        <v>3357</v>
      </c>
      <c r="E3921" s="90" t="s">
        <v>3334</v>
      </c>
      <c r="G3921" s="55" t="s">
        <v>3275</v>
      </c>
      <c r="H3921" s="55">
        <v>2005</v>
      </c>
      <c r="I3921" s="55">
        <v>1992</v>
      </c>
      <c r="J3921" s="55" t="s">
        <v>2660</v>
      </c>
      <c r="K3921" s="55" t="s">
        <v>3351</v>
      </c>
      <c r="L3921" s="55" t="s">
        <v>2744</v>
      </c>
      <c r="M3921" s="90">
        <v>7.5</v>
      </c>
      <c r="N3921" s="90">
        <f>3+54/60</f>
        <v>3.9</v>
      </c>
      <c r="O3921" s="90">
        <v>213</v>
      </c>
      <c r="S3921" s="90">
        <v>1247</v>
      </c>
      <c r="U3921" s="55" t="s">
        <v>1816</v>
      </c>
      <c r="V3921" s="55" t="s">
        <v>1889</v>
      </c>
      <c r="Y3921" s="55" t="s">
        <v>3354</v>
      </c>
      <c r="Z3921" s="55" t="s">
        <v>1349</v>
      </c>
      <c r="AA3921" s="90" t="s">
        <v>1677</v>
      </c>
      <c r="AE3921" s="90">
        <v>77.2</v>
      </c>
      <c r="AF3921" s="90">
        <v>11</v>
      </c>
      <c r="AH3921" s="55" t="s">
        <v>174</v>
      </c>
      <c r="AI3921" s="168">
        <v>7.8</v>
      </c>
      <c r="AJ3921" s="90">
        <v>2.17</v>
      </c>
      <c r="AM3921" s="55" t="s">
        <v>3352</v>
      </c>
      <c r="AN3921" s="185" t="s">
        <v>3353</v>
      </c>
      <c r="AO3921" s="185" t="s">
        <v>5150</v>
      </c>
      <c r="AQ3921" s="55" t="s">
        <v>553</v>
      </c>
      <c r="AR3921" s="55" t="s">
        <v>2283</v>
      </c>
      <c r="AS3921" s="55" t="s">
        <v>227</v>
      </c>
      <c r="AU3921" s="181" t="s">
        <v>7494</v>
      </c>
      <c r="AV3921" s="185" t="s">
        <v>176</v>
      </c>
      <c r="AX3921" s="185" t="s">
        <v>176</v>
      </c>
      <c r="BK3921" s="55" t="s">
        <v>6333</v>
      </c>
      <c r="BM3921" s="192" t="s">
        <v>3210</v>
      </c>
      <c r="GP3921" s="292" t="s">
        <v>7494</v>
      </c>
    </row>
    <row r="3922" spans="1:198" x14ac:dyDescent="0.25">
      <c r="A3922" s="55">
        <v>3921</v>
      </c>
      <c r="B3922" s="12" t="s">
        <v>7067</v>
      </c>
      <c r="C3922" s="155">
        <v>172</v>
      </c>
      <c r="D3922" s="55" t="s">
        <v>3357</v>
      </c>
      <c r="E3922" s="90" t="s">
        <v>3334</v>
      </c>
      <c r="G3922" s="55" t="s">
        <v>3275</v>
      </c>
      <c r="H3922" s="55">
        <v>2005</v>
      </c>
      <c r="I3922" s="55">
        <v>1993</v>
      </c>
      <c r="J3922" s="55" t="s">
        <v>2660</v>
      </c>
      <c r="K3922" s="55" t="s">
        <v>3351</v>
      </c>
      <c r="L3922" s="55" t="s">
        <v>2744</v>
      </c>
      <c r="M3922" s="90">
        <v>7.5</v>
      </c>
      <c r="N3922" s="90">
        <f>3+54/60</f>
        <v>3.9</v>
      </c>
      <c r="O3922" s="90">
        <v>213</v>
      </c>
      <c r="S3922" s="90">
        <v>1247</v>
      </c>
      <c r="U3922" s="55" t="s">
        <v>1682</v>
      </c>
      <c r="V3922" s="55" t="s">
        <v>1889</v>
      </c>
      <c r="Y3922" s="55" t="s">
        <v>3354</v>
      </c>
      <c r="Z3922" s="55" t="s">
        <v>1349</v>
      </c>
      <c r="AA3922" s="90" t="s">
        <v>1677</v>
      </c>
      <c r="AE3922" s="90">
        <v>77.2</v>
      </c>
      <c r="AF3922" s="90">
        <v>11</v>
      </c>
      <c r="AH3922" s="55" t="s">
        <v>174</v>
      </c>
      <c r="AI3922" s="168">
        <v>7.8</v>
      </c>
      <c r="AJ3922" s="90">
        <v>2.17</v>
      </c>
      <c r="AM3922" s="55" t="s">
        <v>3352</v>
      </c>
      <c r="AN3922" s="185" t="s">
        <v>3353</v>
      </c>
      <c r="AO3922" s="185" t="s">
        <v>5150</v>
      </c>
      <c r="AQ3922" s="55" t="s">
        <v>553</v>
      </c>
      <c r="AR3922" s="55" t="s">
        <v>2283</v>
      </c>
      <c r="AS3922" s="55" t="s">
        <v>227</v>
      </c>
      <c r="AU3922" s="181" t="s">
        <v>7494</v>
      </c>
      <c r="AV3922" s="185" t="s">
        <v>176</v>
      </c>
      <c r="AX3922" s="185" t="s">
        <v>176</v>
      </c>
      <c r="BK3922" s="55" t="s">
        <v>6333</v>
      </c>
      <c r="BM3922" s="192" t="s">
        <v>3210</v>
      </c>
      <c r="CB3922" s="66">
        <v>6600</v>
      </c>
      <c r="CC3922" s="66">
        <v>8500</v>
      </c>
      <c r="GP3922" s="292" t="s">
        <v>7494</v>
      </c>
    </row>
    <row r="3923" spans="1:198" x14ac:dyDescent="0.25">
      <c r="A3923" s="55">
        <v>3922</v>
      </c>
      <c r="B3923" s="12" t="s">
        <v>7067</v>
      </c>
      <c r="C3923" s="155">
        <v>172</v>
      </c>
      <c r="D3923" s="55" t="s">
        <v>3357</v>
      </c>
      <c r="E3923" s="90" t="s">
        <v>3334</v>
      </c>
      <c r="G3923" s="55" t="s">
        <v>3275</v>
      </c>
      <c r="H3923" s="55">
        <v>2005</v>
      </c>
      <c r="I3923" s="55">
        <v>1993</v>
      </c>
      <c r="J3923" s="55" t="s">
        <v>2660</v>
      </c>
      <c r="K3923" s="55" t="s">
        <v>3351</v>
      </c>
      <c r="L3923" s="55" t="s">
        <v>2744</v>
      </c>
      <c r="M3923" s="90">
        <v>7.5</v>
      </c>
      <c r="N3923" s="90">
        <f>3+54/60</f>
        <v>3.9</v>
      </c>
      <c r="O3923" s="90">
        <v>213</v>
      </c>
      <c r="S3923" s="90">
        <v>1247</v>
      </c>
      <c r="U3923" s="55" t="s">
        <v>1682</v>
      </c>
      <c r="V3923" s="55" t="s">
        <v>1889</v>
      </c>
      <c r="Y3923" s="55" t="s">
        <v>3354</v>
      </c>
      <c r="Z3923" s="55" t="s">
        <v>1349</v>
      </c>
      <c r="AA3923" s="90" t="s">
        <v>1677</v>
      </c>
      <c r="AE3923" s="90">
        <v>77.2</v>
      </c>
      <c r="AF3923" s="90">
        <v>11</v>
      </c>
      <c r="AH3923" s="55" t="s">
        <v>174</v>
      </c>
      <c r="AI3923" s="168">
        <v>7.8</v>
      </c>
      <c r="AJ3923" s="90">
        <v>2.17</v>
      </c>
      <c r="AM3923" s="55" t="s">
        <v>3352</v>
      </c>
      <c r="AN3923" s="185" t="s">
        <v>3353</v>
      </c>
      <c r="AO3923" s="185" t="s">
        <v>5150</v>
      </c>
      <c r="AQ3923" s="55" t="s">
        <v>553</v>
      </c>
      <c r="AR3923" s="55" t="s">
        <v>2283</v>
      </c>
      <c r="AS3923" s="55" t="s">
        <v>227</v>
      </c>
      <c r="AU3923" s="181" t="s">
        <v>7494</v>
      </c>
      <c r="AV3923" s="185" t="s">
        <v>176</v>
      </c>
      <c r="AX3923" s="185" t="s">
        <v>176</v>
      </c>
      <c r="BK3923" s="55" t="s">
        <v>6333</v>
      </c>
      <c r="BM3923" s="192" t="s">
        <v>3210</v>
      </c>
      <c r="CB3923" s="66">
        <v>12000</v>
      </c>
      <c r="CC3923" s="66">
        <v>9400</v>
      </c>
      <c r="GP3923" s="292" t="s">
        <v>7494</v>
      </c>
    </row>
    <row r="3924" spans="1:198" x14ac:dyDescent="0.25">
      <c r="A3924" s="55">
        <v>3923</v>
      </c>
      <c r="B3924" s="12" t="s">
        <v>7067</v>
      </c>
      <c r="C3924" s="155">
        <v>172</v>
      </c>
      <c r="D3924" s="55" t="s">
        <v>3357</v>
      </c>
      <c r="E3924" s="90" t="s">
        <v>3334</v>
      </c>
      <c r="G3924" s="55" t="s">
        <v>3275</v>
      </c>
      <c r="H3924" s="55">
        <v>2005</v>
      </c>
      <c r="I3924" s="55">
        <v>1993</v>
      </c>
      <c r="J3924" s="55" t="s">
        <v>2660</v>
      </c>
      <c r="K3924" s="55" t="s">
        <v>3351</v>
      </c>
      <c r="L3924" s="55" t="s">
        <v>2744</v>
      </c>
      <c r="M3924" s="90">
        <v>7.5</v>
      </c>
      <c r="N3924" s="90">
        <f>3+54/60</f>
        <v>3.9</v>
      </c>
      <c r="O3924" s="90">
        <v>213</v>
      </c>
      <c r="S3924" s="90">
        <v>1247</v>
      </c>
      <c r="U3924" s="55" t="s">
        <v>1682</v>
      </c>
      <c r="V3924" s="55" t="s">
        <v>1889</v>
      </c>
      <c r="Y3924" s="55" t="s">
        <v>3354</v>
      </c>
      <c r="Z3924" s="55" t="s">
        <v>1349</v>
      </c>
      <c r="AA3924" s="90" t="s">
        <v>1677</v>
      </c>
      <c r="AE3924" s="90">
        <v>77.2</v>
      </c>
      <c r="AF3924" s="90">
        <v>11</v>
      </c>
      <c r="AH3924" s="55" t="s">
        <v>174</v>
      </c>
      <c r="AI3924" s="168">
        <v>7.8</v>
      </c>
      <c r="AJ3924" s="90">
        <v>2.17</v>
      </c>
      <c r="AM3924" s="55" t="s">
        <v>3352</v>
      </c>
      <c r="AN3924" s="185" t="s">
        <v>3353</v>
      </c>
      <c r="AO3924" s="185" t="s">
        <v>5150</v>
      </c>
      <c r="AQ3924" s="55" t="s">
        <v>553</v>
      </c>
      <c r="AR3924" s="55" t="s">
        <v>2283</v>
      </c>
      <c r="AS3924" s="55" t="s">
        <v>227</v>
      </c>
      <c r="AU3924" s="181" t="s">
        <v>7494</v>
      </c>
      <c r="AV3924" s="185" t="s">
        <v>176</v>
      </c>
      <c r="AX3924" s="185" t="s">
        <v>176</v>
      </c>
      <c r="BK3924" s="55" t="s">
        <v>6333</v>
      </c>
      <c r="BM3924" s="192" t="s">
        <v>3210</v>
      </c>
      <c r="CB3924" s="66">
        <v>12700</v>
      </c>
      <c r="CC3924" s="66">
        <v>11100</v>
      </c>
      <c r="GP3924" s="292" t="s">
        <v>7494</v>
      </c>
    </row>
    <row r="3925" spans="1:198" x14ac:dyDescent="0.25">
      <c r="A3925" s="55">
        <v>3924</v>
      </c>
      <c r="B3925" s="12" t="s">
        <v>7067</v>
      </c>
      <c r="C3925" s="155">
        <v>172</v>
      </c>
      <c r="D3925" s="55" t="s">
        <v>3357</v>
      </c>
      <c r="E3925" s="90" t="s">
        <v>3334</v>
      </c>
      <c r="G3925" s="55" t="s">
        <v>3275</v>
      </c>
      <c r="H3925" s="55">
        <v>2005</v>
      </c>
      <c r="I3925" s="55">
        <v>1993</v>
      </c>
      <c r="J3925" s="55" t="s">
        <v>2660</v>
      </c>
      <c r="K3925" s="55" t="s">
        <v>3351</v>
      </c>
      <c r="L3925" s="55" t="s">
        <v>2744</v>
      </c>
      <c r="M3925" s="90">
        <v>7.5</v>
      </c>
      <c r="N3925" s="90">
        <f>3+54/60</f>
        <v>3.9</v>
      </c>
      <c r="O3925" s="90">
        <v>213</v>
      </c>
      <c r="S3925" s="90">
        <v>1247</v>
      </c>
      <c r="U3925" s="55" t="s">
        <v>1682</v>
      </c>
      <c r="V3925" s="55" t="s">
        <v>1889</v>
      </c>
      <c r="Y3925" s="55" t="s">
        <v>3354</v>
      </c>
      <c r="Z3925" s="55" t="s">
        <v>1349</v>
      </c>
      <c r="AA3925" s="90" t="s">
        <v>1677</v>
      </c>
      <c r="AE3925" s="90">
        <v>77.2</v>
      </c>
      <c r="AF3925" s="90">
        <v>11</v>
      </c>
      <c r="AH3925" s="55" t="s">
        <v>174</v>
      </c>
      <c r="AI3925" s="168">
        <v>7.8</v>
      </c>
      <c r="AJ3925" s="90">
        <v>2.17</v>
      </c>
      <c r="AM3925" s="55" t="s">
        <v>3352</v>
      </c>
      <c r="AN3925" s="185" t="s">
        <v>3353</v>
      </c>
      <c r="AO3925" s="185" t="s">
        <v>5150</v>
      </c>
      <c r="AQ3925" s="55" t="s">
        <v>553</v>
      </c>
      <c r="AR3925" s="55" t="s">
        <v>2283</v>
      </c>
      <c r="AS3925" s="55" t="s">
        <v>227</v>
      </c>
      <c r="AU3925" s="181" t="s">
        <v>7494</v>
      </c>
      <c r="AV3925" s="185" t="s">
        <v>176</v>
      </c>
      <c r="AX3925" s="185" t="s">
        <v>176</v>
      </c>
      <c r="BK3925" s="55" t="s">
        <v>6333</v>
      </c>
      <c r="BM3925" s="192" t="s">
        <v>3210</v>
      </c>
      <c r="CB3925" s="66">
        <v>11500</v>
      </c>
      <c r="CC3925" s="66">
        <v>12500</v>
      </c>
      <c r="GP3925" s="292" t="s">
        <v>7494</v>
      </c>
    </row>
    <row r="3926" spans="1:198" x14ac:dyDescent="0.25">
      <c r="A3926" s="55">
        <v>3925</v>
      </c>
      <c r="B3926" s="12" t="s">
        <v>7067</v>
      </c>
      <c r="C3926" s="155">
        <v>172</v>
      </c>
      <c r="D3926" s="55" t="s">
        <v>3357</v>
      </c>
      <c r="E3926" s="90" t="s">
        <v>3334</v>
      </c>
      <c r="G3926" s="55" t="s">
        <v>3275</v>
      </c>
      <c r="H3926" s="55">
        <v>2005</v>
      </c>
      <c r="I3926" s="55">
        <v>1994</v>
      </c>
      <c r="J3926" s="55" t="s">
        <v>2660</v>
      </c>
      <c r="K3926" s="55" t="s">
        <v>3351</v>
      </c>
      <c r="L3926" s="55" t="s">
        <v>2744</v>
      </c>
      <c r="M3926" s="90">
        <v>7.5</v>
      </c>
      <c r="N3926" s="90">
        <f>3+54/60</f>
        <v>3.9</v>
      </c>
      <c r="O3926" s="90">
        <v>213</v>
      </c>
      <c r="S3926" s="90">
        <v>1247</v>
      </c>
      <c r="U3926" s="55" t="s">
        <v>1801</v>
      </c>
      <c r="V3926" s="55" t="s">
        <v>1889</v>
      </c>
      <c r="Y3926" s="55" t="s">
        <v>3354</v>
      </c>
      <c r="Z3926" s="55" t="s">
        <v>1349</v>
      </c>
      <c r="AA3926" s="90" t="s">
        <v>1677</v>
      </c>
      <c r="AE3926" s="90">
        <v>77.2</v>
      </c>
      <c r="AF3926" s="90">
        <v>11</v>
      </c>
      <c r="AH3926" s="55" t="s">
        <v>174</v>
      </c>
      <c r="AI3926" s="168">
        <v>7.8</v>
      </c>
      <c r="AJ3926" s="90">
        <v>2.17</v>
      </c>
      <c r="AM3926" s="55" t="s">
        <v>3352</v>
      </c>
      <c r="AN3926" s="185" t="s">
        <v>3353</v>
      </c>
      <c r="AO3926" s="185" t="s">
        <v>5150</v>
      </c>
      <c r="AQ3926" s="55" t="s">
        <v>553</v>
      </c>
      <c r="AR3926" s="55" t="s">
        <v>2283</v>
      </c>
      <c r="AS3926" s="55" t="s">
        <v>227</v>
      </c>
      <c r="AU3926" s="181" t="s">
        <v>7494</v>
      </c>
      <c r="AV3926" s="185" t="s">
        <v>176</v>
      </c>
      <c r="AX3926" s="185" t="s">
        <v>176</v>
      </c>
      <c r="BK3926" s="55" t="s">
        <v>6333</v>
      </c>
      <c r="BM3926" s="192" t="s">
        <v>3210</v>
      </c>
      <c r="CB3926" s="66">
        <v>3800</v>
      </c>
      <c r="CC3926" s="66">
        <v>3300</v>
      </c>
      <c r="GP3926" s="292" t="s">
        <v>7494</v>
      </c>
    </row>
    <row r="3927" spans="1:198" x14ac:dyDescent="0.25">
      <c r="A3927" s="55">
        <v>3926</v>
      </c>
      <c r="B3927" s="12" t="s">
        <v>7067</v>
      </c>
      <c r="C3927" s="155">
        <v>172</v>
      </c>
      <c r="D3927" s="55" t="s">
        <v>3357</v>
      </c>
      <c r="E3927" s="90" t="s">
        <v>3334</v>
      </c>
      <c r="G3927" s="55" t="s">
        <v>3275</v>
      </c>
      <c r="H3927" s="55">
        <v>2005</v>
      </c>
      <c r="I3927" s="55">
        <v>1994</v>
      </c>
      <c r="J3927" s="55" t="s">
        <v>2660</v>
      </c>
      <c r="K3927" s="55" t="s">
        <v>3351</v>
      </c>
      <c r="L3927" s="55" t="s">
        <v>2744</v>
      </c>
      <c r="M3927" s="90">
        <v>7.5</v>
      </c>
      <c r="N3927" s="90">
        <f>3+54/60</f>
        <v>3.9</v>
      </c>
      <c r="O3927" s="90">
        <v>213</v>
      </c>
      <c r="S3927" s="90">
        <v>1247</v>
      </c>
      <c r="U3927" s="55" t="s">
        <v>1801</v>
      </c>
      <c r="V3927" s="55" t="s">
        <v>1889</v>
      </c>
      <c r="Y3927" s="55" t="s">
        <v>3354</v>
      </c>
      <c r="Z3927" s="55" t="s">
        <v>1349</v>
      </c>
      <c r="AA3927" s="90" t="s">
        <v>1677</v>
      </c>
      <c r="AE3927" s="90">
        <v>77.2</v>
      </c>
      <c r="AF3927" s="90">
        <v>11</v>
      </c>
      <c r="AH3927" s="55" t="s">
        <v>174</v>
      </c>
      <c r="AI3927" s="168">
        <v>7.8</v>
      </c>
      <c r="AJ3927" s="90">
        <v>2.17</v>
      </c>
      <c r="AM3927" s="55" t="s">
        <v>3352</v>
      </c>
      <c r="AN3927" s="185" t="s">
        <v>3353</v>
      </c>
      <c r="AO3927" s="185" t="s">
        <v>5150</v>
      </c>
      <c r="AQ3927" s="55" t="s">
        <v>553</v>
      </c>
      <c r="AR3927" s="55" t="s">
        <v>2283</v>
      </c>
      <c r="AS3927" s="55" t="s">
        <v>227</v>
      </c>
      <c r="AU3927" s="181" t="s">
        <v>7494</v>
      </c>
      <c r="AV3927" s="185" t="s">
        <v>176</v>
      </c>
      <c r="AX3927" s="185" t="s">
        <v>176</v>
      </c>
      <c r="BK3927" s="55" t="s">
        <v>6333</v>
      </c>
      <c r="BM3927" s="192" t="s">
        <v>3210</v>
      </c>
      <c r="CB3927" s="66">
        <v>8800</v>
      </c>
      <c r="CC3927" s="66">
        <v>6200</v>
      </c>
      <c r="GP3927" s="292" t="s">
        <v>7494</v>
      </c>
    </row>
    <row r="3928" spans="1:198" x14ac:dyDescent="0.25">
      <c r="A3928" s="55">
        <v>3927</v>
      </c>
      <c r="B3928" s="12" t="s">
        <v>7067</v>
      </c>
      <c r="C3928" s="155">
        <v>172</v>
      </c>
      <c r="D3928" s="55" t="s">
        <v>3357</v>
      </c>
      <c r="E3928" s="90" t="s">
        <v>3334</v>
      </c>
      <c r="G3928" s="55" t="s">
        <v>3275</v>
      </c>
      <c r="H3928" s="55">
        <v>2005</v>
      </c>
      <c r="I3928" s="55">
        <v>1994</v>
      </c>
      <c r="J3928" s="55" t="s">
        <v>2660</v>
      </c>
      <c r="K3928" s="55" t="s">
        <v>3351</v>
      </c>
      <c r="L3928" s="55" t="s">
        <v>2744</v>
      </c>
      <c r="M3928" s="90">
        <v>7.5</v>
      </c>
      <c r="N3928" s="90">
        <f>3+54/60</f>
        <v>3.9</v>
      </c>
      <c r="O3928" s="90">
        <v>213</v>
      </c>
      <c r="S3928" s="90">
        <v>1247</v>
      </c>
      <c r="U3928" s="55" t="s">
        <v>1801</v>
      </c>
      <c r="V3928" s="55" t="s">
        <v>1889</v>
      </c>
      <c r="Y3928" s="55" t="s">
        <v>3354</v>
      </c>
      <c r="Z3928" s="55" t="s">
        <v>1349</v>
      </c>
      <c r="AA3928" s="90" t="s">
        <v>1677</v>
      </c>
      <c r="AE3928" s="90">
        <v>77.2</v>
      </c>
      <c r="AF3928" s="90">
        <v>11</v>
      </c>
      <c r="AH3928" s="55" t="s">
        <v>174</v>
      </c>
      <c r="AI3928" s="168">
        <v>7.8</v>
      </c>
      <c r="AJ3928" s="90">
        <v>2.17</v>
      </c>
      <c r="AM3928" s="55" t="s">
        <v>3352</v>
      </c>
      <c r="AN3928" s="185" t="s">
        <v>3353</v>
      </c>
      <c r="AO3928" s="185" t="s">
        <v>5150</v>
      </c>
      <c r="AQ3928" s="55" t="s">
        <v>553</v>
      </c>
      <c r="AR3928" s="55" t="s">
        <v>2283</v>
      </c>
      <c r="AS3928" s="55" t="s">
        <v>227</v>
      </c>
      <c r="AU3928" s="181" t="s">
        <v>7494</v>
      </c>
      <c r="AV3928" s="185" t="s">
        <v>176</v>
      </c>
      <c r="AX3928" s="185" t="s">
        <v>176</v>
      </c>
      <c r="BK3928" s="55" t="s">
        <v>6333</v>
      </c>
      <c r="BM3928" s="192" t="s">
        <v>3210</v>
      </c>
      <c r="CB3928" s="66">
        <v>10200</v>
      </c>
      <c r="CC3928" s="66">
        <v>8800</v>
      </c>
      <c r="GP3928" s="292" t="s">
        <v>7494</v>
      </c>
    </row>
    <row r="3929" spans="1:198" x14ac:dyDescent="0.25">
      <c r="A3929" s="55">
        <v>3928</v>
      </c>
      <c r="B3929" s="12" t="s">
        <v>7067</v>
      </c>
      <c r="C3929" s="155">
        <v>172</v>
      </c>
      <c r="D3929" s="55" t="s">
        <v>3357</v>
      </c>
      <c r="E3929" s="90" t="s">
        <v>3334</v>
      </c>
      <c r="G3929" s="55" t="s">
        <v>3275</v>
      </c>
      <c r="H3929" s="55">
        <v>2005</v>
      </c>
      <c r="I3929" s="55">
        <v>1994</v>
      </c>
      <c r="J3929" s="55" t="s">
        <v>2660</v>
      </c>
      <c r="K3929" s="55" t="s">
        <v>3351</v>
      </c>
      <c r="L3929" s="55" t="s">
        <v>2744</v>
      </c>
      <c r="M3929" s="90">
        <v>7.5</v>
      </c>
      <c r="N3929" s="90">
        <f>3+54/60</f>
        <v>3.9</v>
      </c>
      <c r="O3929" s="90">
        <v>213</v>
      </c>
      <c r="S3929" s="90">
        <v>1247</v>
      </c>
      <c r="U3929" s="55" t="s">
        <v>1801</v>
      </c>
      <c r="V3929" s="55" t="s">
        <v>1889</v>
      </c>
      <c r="Y3929" s="55" t="s">
        <v>3354</v>
      </c>
      <c r="Z3929" s="55" t="s">
        <v>1349</v>
      </c>
      <c r="AA3929" s="90" t="s">
        <v>1677</v>
      </c>
      <c r="AE3929" s="90">
        <v>77.2</v>
      </c>
      <c r="AF3929" s="90">
        <v>11</v>
      </c>
      <c r="AH3929" s="55" t="s">
        <v>174</v>
      </c>
      <c r="AI3929" s="168">
        <v>7.8</v>
      </c>
      <c r="AJ3929" s="90">
        <v>2.17</v>
      </c>
      <c r="AM3929" s="55" t="s">
        <v>3352</v>
      </c>
      <c r="AN3929" s="185" t="s">
        <v>3353</v>
      </c>
      <c r="AO3929" s="185" t="s">
        <v>5150</v>
      </c>
      <c r="AQ3929" s="55" t="s">
        <v>553</v>
      </c>
      <c r="AR3929" s="55" t="s">
        <v>2283</v>
      </c>
      <c r="AS3929" s="55" t="s">
        <v>227</v>
      </c>
      <c r="AU3929" s="181" t="s">
        <v>7494</v>
      </c>
      <c r="AV3929" s="185" t="s">
        <v>176</v>
      </c>
      <c r="AX3929" s="185" t="s">
        <v>176</v>
      </c>
      <c r="BK3929" s="55" t="s">
        <v>6333</v>
      </c>
      <c r="BM3929" s="192" t="s">
        <v>3210</v>
      </c>
      <c r="CB3929" s="66">
        <v>10400</v>
      </c>
      <c r="CC3929" s="66">
        <v>9500</v>
      </c>
      <c r="GP3929" s="292" t="s">
        <v>7494</v>
      </c>
    </row>
    <row r="3930" spans="1:198" x14ac:dyDescent="0.25">
      <c r="A3930" s="55">
        <v>3929</v>
      </c>
      <c r="B3930" s="12" t="s">
        <v>7067</v>
      </c>
      <c r="C3930" s="155">
        <v>172</v>
      </c>
      <c r="D3930" s="55" t="s">
        <v>3357</v>
      </c>
      <c r="E3930" s="90" t="s">
        <v>3334</v>
      </c>
      <c r="G3930" s="55" t="s">
        <v>3275</v>
      </c>
      <c r="H3930" s="55">
        <v>2005</v>
      </c>
      <c r="I3930" s="55">
        <v>1995</v>
      </c>
      <c r="J3930" s="55" t="s">
        <v>2660</v>
      </c>
      <c r="K3930" s="55" t="s">
        <v>3351</v>
      </c>
      <c r="L3930" s="55" t="s">
        <v>2744</v>
      </c>
      <c r="M3930" s="90">
        <v>7.5</v>
      </c>
      <c r="N3930" s="90">
        <f>3+54/60</f>
        <v>3.9</v>
      </c>
      <c r="O3930" s="90">
        <v>213</v>
      </c>
      <c r="S3930" s="90">
        <v>1247</v>
      </c>
      <c r="U3930" s="55" t="s">
        <v>1694</v>
      </c>
      <c r="V3930" s="55" t="s">
        <v>1889</v>
      </c>
      <c r="Y3930" s="55" t="s">
        <v>3354</v>
      </c>
      <c r="Z3930" s="55" t="s">
        <v>1349</v>
      </c>
      <c r="AA3930" s="90" t="s">
        <v>1677</v>
      </c>
      <c r="AE3930" s="90">
        <v>77.2</v>
      </c>
      <c r="AF3930" s="90">
        <v>11</v>
      </c>
      <c r="AH3930" s="55" t="s">
        <v>174</v>
      </c>
      <c r="AI3930" s="168">
        <v>7.8</v>
      </c>
      <c r="AJ3930" s="90">
        <v>2.17</v>
      </c>
      <c r="AM3930" s="55" t="s">
        <v>3352</v>
      </c>
      <c r="AN3930" s="185" t="s">
        <v>3353</v>
      </c>
      <c r="AO3930" s="185" t="s">
        <v>5150</v>
      </c>
      <c r="AQ3930" s="55" t="s">
        <v>553</v>
      </c>
      <c r="AR3930" s="55" t="s">
        <v>2283</v>
      </c>
      <c r="AS3930" s="55" t="s">
        <v>227</v>
      </c>
      <c r="AU3930" s="181" t="s">
        <v>7494</v>
      </c>
      <c r="AV3930" s="185" t="s">
        <v>176</v>
      </c>
      <c r="AX3930" s="185" t="s">
        <v>176</v>
      </c>
      <c r="BK3930" s="55" t="s">
        <v>6333</v>
      </c>
      <c r="BM3930" s="192" t="s">
        <v>3210</v>
      </c>
      <c r="CB3930" s="66">
        <v>8100</v>
      </c>
      <c r="CC3930" s="66">
        <v>6500</v>
      </c>
      <c r="GP3930" s="292" t="s">
        <v>7494</v>
      </c>
    </row>
    <row r="3931" spans="1:198" x14ac:dyDescent="0.25">
      <c r="A3931" s="55">
        <v>3930</v>
      </c>
      <c r="B3931" s="12" t="s">
        <v>7067</v>
      </c>
      <c r="C3931" s="155">
        <v>172</v>
      </c>
      <c r="D3931" s="55" t="s">
        <v>3357</v>
      </c>
      <c r="E3931" s="90" t="s">
        <v>3334</v>
      </c>
      <c r="G3931" s="55" t="s">
        <v>3275</v>
      </c>
      <c r="H3931" s="55">
        <v>2005</v>
      </c>
      <c r="I3931" s="55">
        <v>1995</v>
      </c>
      <c r="J3931" s="55" t="s">
        <v>2660</v>
      </c>
      <c r="K3931" s="55" t="s">
        <v>3351</v>
      </c>
      <c r="L3931" s="55" t="s">
        <v>2744</v>
      </c>
      <c r="M3931" s="90">
        <v>7.5</v>
      </c>
      <c r="N3931" s="90">
        <f>3+54/60</f>
        <v>3.9</v>
      </c>
      <c r="O3931" s="90">
        <v>213</v>
      </c>
      <c r="S3931" s="90">
        <v>1247</v>
      </c>
      <c r="U3931" s="55" t="s">
        <v>1694</v>
      </c>
      <c r="V3931" s="55" t="s">
        <v>1889</v>
      </c>
      <c r="Y3931" s="55" t="s">
        <v>3354</v>
      </c>
      <c r="Z3931" s="55" t="s">
        <v>1349</v>
      </c>
      <c r="AA3931" s="90" t="s">
        <v>1677</v>
      </c>
      <c r="AE3931" s="90">
        <v>77.2</v>
      </c>
      <c r="AF3931" s="90">
        <v>11</v>
      </c>
      <c r="AH3931" s="55" t="s">
        <v>174</v>
      </c>
      <c r="AI3931" s="168">
        <v>7.8</v>
      </c>
      <c r="AJ3931" s="90">
        <v>2.17</v>
      </c>
      <c r="AM3931" s="55" t="s">
        <v>3352</v>
      </c>
      <c r="AN3931" s="185" t="s">
        <v>3353</v>
      </c>
      <c r="AO3931" s="185" t="s">
        <v>5150</v>
      </c>
      <c r="AQ3931" s="55" t="s">
        <v>553</v>
      </c>
      <c r="AR3931" s="55" t="s">
        <v>2283</v>
      </c>
      <c r="AS3931" s="55" t="s">
        <v>227</v>
      </c>
      <c r="AU3931" s="181" t="s">
        <v>7494</v>
      </c>
      <c r="AV3931" s="185" t="s">
        <v>176</v>
      </c>
      <c r="AX3931" s="185" t="s">
        <v>176</v>
      </c>
      <c r="BK3931" s="55" t="s">
        <v>6333</v>
      </c>
      <c r="BM3931" s="192" t="s">
        <v>3210</v>
      </c>
      <c r="CB3931" s="66">
        <v>8900</v>
      </c>
      <c r="CC3931" s="66">
        <v>7300</v>
      </c>
      <c r="GP3931" s="292" t="s">
        <v>7494</v>
      </c>
    </row>
    <row r="3932" spans="1:198" x14ac:dyDescent="0.25">
      <c r="A3932" s="55">
        <v>3931</v>
      </c>
      <c r="B3932" s="12" t="s">
        <v>7067</v>
      </c>
      <c r="C3932" s="155">
        <v>172</v>
      </c>
      <c r="D3932" s="55" t="s">
        <v>3357</v>
      </c>
      <c r="E3932" s="90" t="s">
        <v>3334</v>
      </c>
      <c r="G3932" s="55" t="s">
        <v>3275</v>
      </c>
      <c r="H3932" s="55">
        <v>2005</v>
      </c>
      <c r="I3932" s="55">
        <v>1995</v>
      </c>
      <c r="J3932" s="55" t="s">
        <v>2660</v>
      </c>
      <c r="K3932" s="55" t="s">
        <v>3351</v>
      </c>
      <c r="L3932" s="55" t="s">
        <v>2744</v>
      </c>
      <c r="M3932" s="90">
        <v>7.5</v>
      </c>
      <c r="N3932" s="90">
        <f>3+54/60</f>
        <v>3.9</v>
      </c>
      <c r="O3932" s="90">
        <v>213</v>
      </c>
      <c r="S3932" s="90">
        <v>1247</v>
      </c>
      <c r="U3932" s="55" t="s">
        <v>1694</v>
      </c>
      <c r="V3932" s="55" t="s">
        <v>1889</v>
      </c>
      <c r="Y3932" s="55" t="s">
        <v>3354</v>
      </c>
      <c r="Z3932" s="55" t="s">
        <v>1349</v>
      </c>
      <c r="AA3932" s="90" t="s">
        <v>1677</v>
      </c>
      <c r="AE3932" s="90">
        <v>77.2</v>
      </c>
      <c r="AF3932" s="90">
        <v>11</v>
      </c>
      <c r="AH3932" s="55" t="s">
        <v>174</v>
      </c>
      <c r="AI3932" s="168">
        <v>7.8</v>
      </c>
      <c r="AJ3932" s="90">
        <v>2.17</v>
      </c>
      <c r="AM3932" s="55" t="s">
        <v>3352</v>
      </c>
      <c r="AN3932" s="185" t="s">
        <v>3353</v>
      </c>
      <c r="AO3932" s="185" t="s">
        <v>5150</v>
      </c>
      <c r="AQ3932" s="55" t="s">
        <v>553</v>
      </c>
      <c r="AR3932" s="55" t="s">
        <v>2283</v>
      </c>
      <c r="AS3932" s="55" t="s">
        <v>227</v>
      </c>
      <c r="AU3932" s="181" t="s">
        <v>7494</v>
      </c>
      <c r="AV3932" s="185" t="s">
        <v>176</v>
      </c>
      <c r="AX3932" s="185" t="s">
        <v>176</v>
      </c>
      <c r="BK3932" s="55" t="s">
        <v>6333</v>
      </c>
      <c r="BM3932" s="192" t="s">
        <v>3210</v>
      </c>
      <c r="CB3932" s="66">
        <v>9500</v>
      </c>
      <c r="CC3932" s="66">
        <v>8300</v>
      </c>
      <c r="GP3932" s="292" t="s">
        <v>7494</v>
      </c>
    </row>
    <row r="3933" spans="1:198" x14ac:dyDescent="0.25">
      <c r="A3933" s="55">
        <v>3932</v>
      </c>
      <c r="B3933" s="12" t="s">
        <v>7067</v>
      </c>
      <c r="C3933" s="155">
        <v>172</v>
      </c>
      <c r="D3933" s="55" t="s">
        <v>3357</v>
      </c>
      <c r="E3933" s="90" t="s">
        <v>3334</v>
      </c>
      <c r="G3933" s="55" t="s">
        <v>3275</v>
      </c>
      <c r="H3933" s="55">
        <v>2005</v>
      </c>
      <c r="I3933" s="55">
        <v>1995</v>
      </c>
      <c r="J3933" s="55" t="s">
        <v>2660</v>
      </c>
      <c r="K3933" s="55" t="s">
        <v>3351</v>
      </c>
      <c r="L3933" s="55" t="s">
        <v>2744</v>
      </c>
      <c r="M3933" s="90">
        <v>7.5</v>
      </c>
      <c r="N3933" s="90">
        <f>3+54/60</f>
        <v>3.9</v>
      </c>
      <c r="O3933" s="90">
        <v>213</v>
      </c>
      <c r="S3933" s="90">
        <v>1247</v>
      </c>
      <c r="U3933" s="55" t="s">
        <v>1694</v>
      </c>
      <c r="V3933" s="55" t="s">
        <v>1889</v>
      </c>
      <c r="Y3933" s="55" t="s">
        <v>3354</v>
      </c>
      <c r="Z3933" s="55" t="s">
        <v>1349</v>
      </c>
      <c r="AA3933" s="90" t="s">
        <v>1677</v>
      </c>
      <c r="AE3933" s="90">
        <v>77.2</v>
      </c>
      <c r="AF3933" s="90">
        <v>11</v>
      </c>
      <c r="AH3933" s="55" t="s">
        <v>174</v>
      </c>
      <c r="AI3933" s="168">
        <v>7.8</v>
      </c>
      <c r="AJ3933" s="90">
        <v>2.17</v>
      </c>
      <c r="AM3933" s="55" t="s">
        <v>3352</v>
      </c>
      <c r="AN3933" s="185" t="s">
        <v>3353</v>
      </c>
      <c r="AO3933" s="185" t="s">
        <v>5150</v>
      </c>
      <c r="AQ3933" s="55" t="s">
        <v>553</v>
      </c>
      <c r="AR3933" s="55" t="s">
        <v>2283</v>
      </c>
      <c r="AS3933" s="55" t="s">
        <v>227</v>
      </c>
      <c r="AU3933" s="181" t="s">
        <v>7494</v>
      </c>
      <c r="AV3933" s="185" t="s">
        <v>176</v>
      </c>
      <c r="AX3933" s="185" t="s">
        <v>176</v>
      </c>
      <c r="BK3933" s="55" t="s">
        <v>6333</v>
      </c>
      <c r="BM3933" s="192" t="s">
        <v>3210</v>
      </c>
      <c r="CB3933" s="66">
        <v>11000</v>
      </c>
      <c r="CC3933" s="66">
        <v>10300</v>
      </c>
      <c r="GP3933" s="292" t="s">
        <v>7494</v>
      </c>
    </row>
    <row r="3934" spans="1:198" x14ac:dyDescent="0.25">
      <c r="A3934" s="55">
        <v>3933</v>
      </c>
      <c r="B3934" s="12" t="s">
        <v>7067</v>
      </c>
      <c r="C3934" s="155">
        <v>172</v>
      </c>
      <c r="D3934" s="55" t="s">
        <v>3357</v>
      </c>
      <c r="E3934" s="90" t="s">
        <v>3334</v>
      </c>
      <c r="G3934" s="55" t="s">
        <v>3275</v>
      </c>
      <c r="H3934" s="55">
        <v>2005</v>
      </c>
      <c r="I3934" s="55">
        <v>1996</v>
      </c>
      <c r="J3934" s="55" t="s">
        <v>2660</v>
      </c>
      <c r="K3934" s="55" t="s">
        <v>3351</v>
      </c>
      <c r="L3934" s="55" t="s">
        <v>2744</v>
      </c>
      <c r="M3934" s="90">
        <v>7.5</v>
      </c>
      <c r="N3934" s="90">
        <f>3+54/60</f>
        <v>3.9</v>
      </c>
      <c r="O3934" s="90">
        <v>213</v>
      </c>
      <c r="S3934" s="90">
        <v>1247</v>
      </c>
      <c r="U3934" s="55" t="s">
        <v>1940</v>
      </c>
      <c r="V3934" s="55" t="s">
        <v>1889</v>
      </c>
      <c r="Y3934" s="55" t="s">
        <v>3354</v>
      </c>
      <c r="Z3934" s="55" t="s">
        <v>1349</v>
      </c>
      <c r="AA3934" s="90" t="s">
        <v>1677</v>
      </c>
      <c r="AE3934" s="90">
        <v>77.2</v>
      </c>
      <c r="AF3934" s="90">
        <v>11</v>
      </c>
      <c r="AH3934" s="55" t="s">
        <v>174</v>
      </c>
      <c r="AI3934" s="168">
        <v>7.8</v>
      </c>
      <c r="AJ3934" s="90">
        <v>2.17</v>
      </c>
      <c r="AM3934" s="55" t="s">
        <v>3352</v>
      </c>
      <c r="AN3934" s="185" t="s">
        <v>3353</v>
      </c>
      <c r="AO3934" s="185" t="s">
        <v>5150</v>
      </c>
      <c r="AQ3934" s="55" t="s">
        <v>553</v>
      </c>
      <c r="AR3934" s="55" t="s">
        <v>2283</v>
      </c>
      <c r="AS3934" s="55" t="s">
        <v>227</v>
      </c>
      <c r="AU3934" s="181" t="s">
        <v>7494</v>
      </c>
      <c r="AV3934" s="185" t="s">
        <v>176</v>
      </c>
      <c r="AX3934" s="185" t="s">
        <v>176</v>
      </c>
      <c r="BK3934" s="55" t="s">
        <v>6333</v>
      </c>
      <c r="BM3934" s="192" t="s">
        <v>3210</v>
      </c>
      <c r="CB3934" s="66">
        <v>6600</v>
      </c>
      <c r="CC3934" s="66">
        <v>7500</v>
      </c>
      <c r="GP3934" s="292" t="s">
        <v>7494</v>
      </c>
    </row>
    <row r="3935" spans="1:198" x14ac:dyDescent="0.25">
      <c r="A3935" s="55">
        <v>3934</v>
      </c>
      <c r="B3935" s="12" t="s">
        <v>7067</v>
      </c>
      <c r="C3935" s="155">
        <v>172</v>
      </c>
      <c r="D3935" s="55" t="s">
        <v>3357</v>
      </c>
      <c r="E3935" s="90" t="s">
        <v>3334</v>
      </c>
      <c r="G3935" s="55" t="s">
        <v>3275</v>
      </c>
      <c r="H3935" s="55">
        <v>2005</v>
      </c>
      <c r="I3935" s="55">
        <v>1996</v>
      </c>
      <c r="J3935" s="55" t="s">
        <v>2660</v>
      </c>
      <c r="K3935" s="55" t="s">
        <v>3351</v>
      </c>
      <c r="L3935" s="55" t="s">
        <v>2744</v>
      </c>
      <c r="M3935" s="90">
        <v>7.5</v>
      </c>
      <c r="N3935" s="90">
        <f>3+54/60</f>
        <v>3.9</v>
      </c>
      <c r="O3935" s="90">
        <v>213</v>
      </c>
      <c r="S3935" s="90">
        <v>1247</v>
      </c>
      <c r="U3935" s="55" t="s">
        <v>1940</v>
      </c>
      <c r="V3935" s="55" t="s">
        <v>1889</v>
      </c>
      <c r="Y3935" s="55" t="s">
        <v>3354</v>
      </c>
      <c r="Z3935" s="55" t="s">
        <v>1349</v>
      </c>
      <c r="AA3935" s="90" t="s">
        <v>1677</v>
      </c>
      <c r="AE3935" s="90">
        <v>77.2</v>
      </c>
      <c r="AF3935" s="90">
        <v>11</v>
      </c>
      <c r="AH3935" s="55" t="s">
        <v>174</v>
      </c>
      <c r="AI3935" s="168">
        <v>7.8</v>
      </c>
      <c r="AJ3935" s="90">
        <v>2.17</v>
      </c>
      <c r="AM3935" s="55" t="s">
        <v>3352</v>
      </c>
      <c r="AN3935" s="185" t="s">
        <v>3353</v>
      </c>
      <c r="AO3935" s="185" t="s">
        <v>5150</v>
      </c>
      <c r="AQ3935" s="55" t="s">
        <v>553</v>
      </c>
      <c r="AR3935" s="55" t="s">
        <v>2283</v>
      </c>
      <c r="AS3935" s="55" t="s">
        <v>227</v>
      </c>
      <c r="AU3935" s="181" t="s">
        <v>7494</v>
      </c>
      <c r="AV3935" s="185" t="s">
        <v>176</v>
      </c>
      <c r="AX3935" s="185" t="s">
        <v>176</v>
      </c>
      <c r="BK3935" s="55" t="s">
        <v>6333</v>
      </c>
      <c r="BM3935" s="192" t="s">
        <v>3210</v>
      </c>
      <c r="CB3935" s="66">
        <v>10100</v>
      </c>
      <c r="CC3935" s="66">
        <v>14200</v>
      </c>
      <c r="GP3935" s="292" t="s">
        <v>7494</v>
      </c>
    </row>
    <row r="3936" spans="1:198" x14ac:dyDescent="0.25">
      <c r="A3936" s="55">
        <v>3935</v>
      </c>
      <c r="B3936" s="12" t="s">
        <v>7067</v>
      </c>
      <c r="C3936" s="155">
        <v>172</v>
      </c>
      <c r="D3936" s="55" t="s">
        <v>3357</v>
      </c>
      <c r="E3936" s="90" t="s">
        <v>3334</v>
      </c>
      <c r="G3936" s="55" t="s">
        <v>3275</v>
      </c>
      <c r="H3936" s="55">
        <v>2005</v>
      </c>
      <c r="I3936" s="55">
        <v>1996</v>
      </c>
      <c r="J3936" s="55" t="s">
        <v>2660</v>
      </c>
      <c r="K3936" s="55" t="s">
        <v>3351</v>
      </c>
      <c r="L3936" s="55" t="s">
        <v>2744</v>
      </c>
      <c r="M3936" s="90">
        <v>7.5</v>
      </c>
      <c r="N3936" s="90">
        <f>3+54/60</f>
        <v>3.9</v>
      </c>
      <c r="O3936" s="90">
        <v>213</v>
      </c>
      <c r="S3936" s="90">
        <v>1247</v>
      </c>
      <c r="U3936" s="55" t="s">
        <v>1940</v>
      </c>
      <c r="V3936" s="55" t="s">
        <v>1889</v>
      </c>
      <c r="Y3936" s="55" t="s">
        <v>3354</v>
      </c>
      <c r="Z3936" s="55" t="s">
        <v>1349</v>
      </c>
      <c r="AA3936" s="90" t="s">
        <v>1677</v>
      </c>
      <c r="AE3936" s="90">
        <v>77.2</v>
      </c>
      <c r="AF3936" s="90">
        <v>11</v>
      </c>
      <c r="AH3936" s="55" t="s">
        <v>174</v>
      </c>
      <c r="AI3936" s="168">
        <v>7.8</v>
      </c>
      <c r="AJ3936" s="90">
        <v>2.17</v>
      </c>
      <c r="AM3936" s="55" t="s">
        <v>3352</v>
      </c>
      <c r="AN3936" s="185" t="s">
        <v>3353</v>
      </c>
      <c r="AO3936" s="185" t="s">
        <v>5150</v>
      </c>
      <c r="AQ3936" s="55" t="s">
        <v>553</v>
      </c>
      <c r="AR3936" s="55" t="s">
        <v>2283</v>
      </c>
      <c r="AS3936" s="55" t="s">
        <v>227</v>
      </c>
      <c r="AU3936" s="181" t="s">
        <v>7494</v>
      </c>
      <c r="AV3936" s="185" t="s">
        <v>176</v>
      </c>
      <c r="AX3936" s="185" t="s">
        <v>176</v>
      </c>
      <c r="BK3936" s="55" t="s">
        <v>6333</v>
      </c>
      <c r="BM3936" s="192" t="s">
        <v>3210</v>
      </c>
      <c r="CB3936" s="66">
        <v>8900</v>
      </c>
      <c r="CC3936" s="66">
        <v>13300</v>
      </c>
      <c r="GP3936" s="292" t="s">
        <v>7494</v>
      </c>
    </row>
    <row r="3937" spans="1:198" x14ac:dyDescent="0.25">
      <c r="A3937" s="55">
        <v>3936</v>
      </c>
      <c r="B3937" s="12" t="s">
        <v>7067</v>
      </c>
      <c r="C3937" s="155">
        <v>172</v>
      </c>
      <c r="D3937" s="55" t="s">
        <v>3357</v>
      </c>
      <c r="E3937" s="90" t="s">
        <v>3334</v>
      </c>
      <c r="G3937" s="55" t="s">
        <v>3275</v>
      </c>
      <c r="H3937" s="55">
        <v>2005</v>
      </c>
      <c r="I3937" s="55">
        <v>1996</v>
      </c>
      <c r="J3937" s="55" t="s">
        <v>2660</v>
      </c>
      <c r="K3937" s="55" t="s">
        <v>3351</v>
      </c>
      <c r="L3937" s="55" t="s">
        <v>2744</v>
      </c>
      <c r="M3937" s="90">
        <v>7.5</v>
      </c>
      <c r="N3937" s="90">
        <f>3+54/60</f>
        <v>3.9</v>
      </c>
      <c r="O3937" s="90">
        <v>213</v>
      </c>
      <c r="S3937" s="90">
        <v>1247</v>
      </c>
      <c r="U3937" s="55" t="s">
        <v>1940</v>
      </c>
      <c r="V3937" s="55" t="s">
        <v>1889</v>
      </c>
      <c r="Y3937" s="55" t="s">
        <v>3354</v>
      </c>
      <c r="Z3937" s="55" t="s">
        <v>1349</v>
      </c>
      <c r="AA3937" s="90" t="s">
        <v>1677</v>
      </c>
      <c r="AE3937" s="90">
        <v>77.2</v>
      </c>
      <c r="AF3937" s="90">
        <v>11</v>
      </c>
      <c r="AH3937" s="55" t="s">
        <v>174</v>
      </c>
      <c r="AI3937" s="168">
        <v>7.8</v>
      </c>
      <c r="AJ3937" s="90">
        <v>2.17</v>
      </c>
      <c r="AM3937" s="55" t="s">
        <v>3352</v>
      </c>
      <c r="AN3937" s="185" t="s">
        <v>3353</v>
      </c>
      <c r="AO3937" s="185" t="s">
        <v>5150</v>
      </c>
      <c r="AQ3937" s="55" t="s">
        <v>553</v>
      </c>
      <c r="AR3937" s="55" t="s">
        <v>2283</v>
      </c>
      <c r="AS3937" s="55" t="s">
        <v>227</v>
      </c>
      <c r="AU3937" s="181" t="s">
        <v>7494</v>
      </c>
      <c r="AV3937" s="185" t="s">
        <v>176</v>
      </c>
      <c r="AX3937" s="185" t="s">
        <v>176</v>
      </c>
      <c r="BK3937" s="55" t="s">
        <v>6333</v>
      </c>
      <c r="BM3937" s="192" t="s">
        <v>3210</v>
      </c>
      <c r="CB3937" s="66">
        <v>11400</v>
      </c>
      <c r="CC3937" s="66">
        <v>12200</v>
      </c>
      <c r="GP3937" s="292" t="s">
        <v>7494</v>
      </c>
    </row>
    <row r="3938" spans="1:198" x14ac:dyDescent="0.25">
      <c r="A3938" s="55">
        <v>3937</v>
      </c>
      <c r="B3938" s="12" t="s">
        <v>7067</v>
      </c>
      <c r="C3938" s="155">
        <v>172</v>
      </c>
      <c r="D3938" s="55" t="s">
        <v>3357</v>
      </c>
      <c r="E3938" s="90" t="s">
        <v>3334</v>
      </c>
      <c r="G3938" s="55" t="s">
        <v>3275</v>
      </c>
      <c r="H3938" s="55">
        <v>2005</v>
      </c>
      <c r="I3938" s="55">
        <v>1997</v>
      </c>
      <c r="J3938" s="55" t="s">
        <v>2660</v>
      </c>
      <c r="K3938" s="55" t="s">
        <v>3351</v>
      </c>
      <c r="L3938" s="55" t="s">
        <v>2744</v>
      </c>
      <c r="M3938" s="90">
        <v>7.5</v>
      </c>
      <c r="N3938" s="90">
        <f>3+54/60</f>
        <v>3.9</v>
      </c>
      <c r="O3938" s="90">
        <v>213</v>
      </c>
      <c r="S3938" s="90">
        <v>1247</v>
      </c>
      <c r="U3938" s="55" t="s">
        <v>1933</v>
      </c>
      <c r="V3938" s="55" t="s">
        <v>1889</v>
      </c>
      <c r="Y3938" s="55" t="s">
        <v>3354</v>
      </c>
      <c r="Z3938" s="55" t="s">
        <v>1349</v>
      </c>
      <c r="AA3938" s="90" t="s">
        <v>1677</v>
      </c>
      <c r="AE3938" s="90">
        <v>77.2</v>
      </c>
      <c r="AF3938" s="90">
        <v>11</v>
      </c>
      <c r="AH3938" s="55" t="s">
        <v>174</v>
      </c>
      <c r="AI3938" s="168">
        <v>7.8</v>
      </c>
      <c r="AJ3938" s="90">
        <v>2.17</v>
      </c>
      <c r="AM3938" s="55" t="s">
        <v>3352</v>
      </c>
      <c r="AN3938" s="185" t="s">
        <v>3353</v>
      </c>
      <c r="AO3938" s="185" t="s">
        <v>5150</v>
      </c>
      <c r="AQ3938" s="55" t="s">
        <v>553</v>
      </c>
      <c r="AR3938" s="55" t="s">
        <v>2283</v>
      </c>
      <c r="AS3938" s="55" t="s">
        <v>227</v>
      </c>
      <c r="AU3938" s="181" t="s">
        <v>7494</v>
      </c>
      <c r="AV3938" s="185" t="s">
        <v>176</v>
      </c>
      <c r="AX3938" s="185" t="s">
        <v>176</v>
      </c>
      <c r="BK3938" s="55" t="s">
        <v>6333</v>
      </c>
      <c r="BM3938" s="192" t="s">
        <v>3210</v>
      </c>
      <c r="CB3938" s="66">
        <v>4000</v>
      </c>
      <c r="CC3938" s="66">
        <v>3500</v>
      </c>
      <c r="GP3938" s="292" t="s">
        <v>7494</v>
      </c>
    </row>
    <row r="3939" spans="1:198" x14ac:dyDescent="0.25">
      <c r="A3939" s="55">
        <v>3938</v>
      </c>
      <c r="B3939" s="12" t="s">
        <v>7067</v>
      </c>
      <c r="C3939" s="155">
        <v>172</v>
      </c>
      <c r="D3939" s="55" t="s">
        <v>3357</v>
      </c>
      <c r="E3939" s="90" t="s">
        <v>3334</v>
      </c>
      <c r="G3939" s="55" t="s">
        <v>3275</v>
      </c>
      <c r="H3939" s="55">
        <v>2005</v>
      </c>
      <c r="I3939" s="55">
        <v>1997</v>
      </c>
      <c r="J3939" s="55" t="s">
        <v>2660</v>
      </c>
      <c r="K3939" s="55" t="s">
        <v>3351</v>
      </c>
      <c r="L3939" s="55" t="s">
        <v>2744</v>
      </c>
      <c r="M3939" s="90">
        <v>7.5</v>
      </c>
      <c r="N3939" s="90">
        <f>3+54/60</f>
        <v>3.9</v>
      </c>
      <c r="O3939" s="90">
        <v>213</v>
      </c>
      <c r="S3939" s="90">
        <v>1247</v>
      </c>
      <c r="U3939" s="55" t="s">
        <v>1933</v>
      </c>
      <c r="V3939" s="55" t="s">
        <v>1889</v>
      </c>
      <c r="Y3939" s="55" t="s">
        <v>3354</v>
      </c>
      <c r="Z3939" s="55" t="s">
        <v>1349</v>
      </c>
      <c r="AA3939" s="90" t="s">
        <v>1677</v>
      </c>
      <c r="AE3939" s="90">
        <v>77.2</v>
      </c>
      <c r="AF3939" s="90">
        <v>11</v>
      </c>
      <c r="AH3939" s="55" t="s">
        <v>174</v>
      </c>
      <c r="AI3939" s="168">
        <v>7.8</v>
      </c>
      <c r="AJ3939" s="90">
        <v>2.17</v>
      </c>
      <c r="AM3939" s="55" t="s">
        <v>3352</v>
      </c>
      <c r="AN3939" s="185" t="s">
        <v>3353</v>
      </c>
      <c r="AO3939" s="185" t="s">
        <v>5150</v>
      </c>
      <c r="AQ3939" s="55" t="s">
        <v>553</v>
      </c>
      <c r="AR3939" s="55" t="s">
        <v>2283</v>
      </c>
      <c r="AS3939" s="55" t="s">
        <v>227</v>
      </c>
      <c r="AU3939" s="181" t="s">
        <v>7494</v>
      </c>
      <c r="AV3939" s="185" t="s">
        <v>176</v>
      </c>
      <c r="AX3939" s="185" t="s">
        <v>176</v>
      </c>
      <c r="BK3939" s="55" t="s">
        <v>6333</v>
      </c>
      <c r="BM3939" s="192" t="s">
        <v>3210</v>
      </c>
      <c r="CB3939" s="66">
        <v>8800</v>
      </c>
      <c r="CC3939" s="66">
        <v>5900</v>
      </c>
      <c r="GP3939" s="292" t="s">
        <v>7494</v>
      </c>
    </row>
    <row r="3940" spans="1:198" x14ac:dyDescent="0.25">
      <c r="A3940" s="55">
        <v>3939</v>
      </c>
      <c r="B3940" s="12" t="s">
        <v>7067</v>
      </c>
      <c r="C3940" s="155">
        <v>172</v>
      </c>
      <c r="D3940" s="55" t="s">
        <v>3357</v>
      </c>
      <c r="E3940" s="90" t="s">
        <v>3334</v>
      </c>
      <c r="G3940" s="55" t="s">
        <v>3275</v>
      </c>
      <c r="H3940" s="55">
        <v>2005</v>
      </c>
      <c r="I3940" s="55">
        <v>1997</v>
      </c>
      <c r="J3940" s="55" t="s">
        <v>2660</v>
      </c>
      <c r="K3940" s="55" t="s">
        <v>3351</v>
      </c>
      <c r="L3940" s="55" t="s">
        <v>2744</v>
      </c>
      <c r="M3940" s="90">
        <v>7.5</v>
      </c>
      <c r="N3940" s="90">
        <f>3+54/60</f>
        <v>3.9</v>
      </c>
      <c r="O3940" s="90">
        <v>213</v>
      </c>
      <c r="S3940" s="90">
        <v>1247</v>
      </c>
      <c r="U3940" s="55" t="s">
        <v>1933</v>
      </c>
      <c r="V3940" s="55" t="s">
        <v>1889</v>
      </c>
      <c r="Y3940" s="55" t="s">
        <v>3354</v>
      </c>
      <c r="Z3940" s="55" t="s">
        <v>1349</v>
      </c>
      <c r="AA3940" s="90" t="s">
        <v>1677</v>
      </c>
      <c r="AE3940" s="90">
        <v>77.2</v>
      </c>
      <c r="AF3940" s="90">
        <v>11</v>
      </c>
      <c r="AH3940" s="55" t="s">
        <v>174</v>
      </c>
      <c r="AI3940" s="168">
        <v>7.8</v>
      </c>
      <c r="AJ3940" s="90">
        <v>2.17</v>
      </c>
      <c r="AM3940" s="55" t="s">
        <v>3352</v>
      </c>
      <c r="AN3940" s="185" t="s">
        <v>3353</v>
      </c>
      <c r="AO3940" s="185" t="s">
        <v>5150</v>
      </c>
      <c r="AQ3940" s="55" t="s">
        <v>553</v>
      </c>
      <c r="AR3940" s="55" t="s">
        <v>2283</v>
      </c>
      <c r="AS3940" s="55" t="s">
        <v>227</v>
      </c>
      <c r="AU3940" s="181" t="s">
        <v>7494</v>
      </c>
      <c r="AV3940" s="185" t="s">
        <v>176</v>
      </c>
      <c r="AX3940" s="185" t="s">
        <v>176</v>
      </c>
      <c r="BK3940" s="55" t="s">
        <v>6333</v>
      </c>
      <c r="BM3940" s="192" t="s">
        <v>3210</v>
      </c>
      <c r="CB3940" s="66">
        <v>6900</v>
      </c>
      <c r="CC3940" s="66">
        <v>5700</v>
      </c>
      <c r="GP3940" s="292" t="s">
        <v>7494</v>
      </c>
    </row>
    <row r="3941" spans="1:198" x14ac:dyDescent="0.25">
      <c r="A3941" s="55">
        <v>3940</v>
      </c>
      <c r="B3941" s="12" t="s">
        <v>7067</v>
      </c>
      <c r="C3941" s="155">
        <v>172</v>
      </c>
      <c r="D3941" s="55" t="s">
        <v>3357</v>
      </c>
      <c r="E3941" s="90" t="s">
        <v>3334</v>
      </c>
      <c r="G3941" s="55" t="s">
        <v>3275</v>
      </c>
      <c r="H3941" s="55">
        <v>2005</v>
      </c>
      <c r="I3941" s="55">
        <v>1997</v>
      </c>
      <c r="J3941" s="55" t="s">
        <v>2660</v>
      </c>
      <c r="K3941" s="55" t="s">
        <v>3351</v>
      </c>
      <c r="L3941" s="55" t="s">
        <v>2744</v>
      </c>
      <c r="M3941" s="90">
        <v>7.5</v>
      </c>
      <c r="N3941" s="90">
        <f>3+54/60</f>
        <v>3.9</v>
      </c>
      <c r="O3941" s="90">
        <v>213</v>
      </c>
      <c r="S3941" s="90">
        <v>1247</v>
      </c>
      <c r="U3941" s="55" t="s">
        <v>1933</v>
      </c>
      <c r="V3941" s="55" t="s">
        <v>1889</v>
      </c>
      <c r="Y3941" s="55" t="s">
        <v>3354</v>
      </c>
      <c r="Z3941" s="55" t="s">
        <v>1349</v>
      </c>
      <c r="AA3941" s="90" t="s">
        <v>1677</v>
      </c>
      <c r="AE3941" s="90">
        <v>77.2</v>
      </c>
      <c r="AF3941" s="90">
        <v>11</v>
      </c>
      <c r="AH3941" s="55" t="s">
        <v>174</v>
      </c>
      <c r="AI3941" s="168">
        <v>7.8</v>
      </c>
      <c r="AJ3941" s="90">
        <v>2.17</v>
      </c>
      <c r="AM3941" s="55" t="s">
        <v>3352</v>
      </c>
      <c r="AN3941" s="185" t="s">
        <v>3353</v>
      </c>
      <c r="AO3941" s="185" t="s">
        <v>5150</v>
      </c>
      <c r="AQ3941" s="55" t="s">
        <v>553</v>
      </c>
      <c r="AR3941" s="55" t="s">
        <v>2283</v>
      </c>
      <c r="AS3941" s="55" t="s">
        <v>227</v>
      </c>
      <c r="AU3941" s="181" t="s">
        <v>7494</v>
      </c>
      <c r="AV3941" s="185" t="s">
        <v>176</v>
      </c>
      <c r="AX3941" s="185" t="s">
        <v>176</v>
      </c>
      <c r="BK3941" s="55" t="s">
        <v>6333</v>
      </c>
      <c r="BM3941" s="192" t="s">
        <v>3210</v>
      </c>
      <c r="CB3941" s="66">
        <v>6800</v>
      </c>
      <c r="CC3941" s="66">
        <v>5900</v>
      </c>
      <c r="GP3941" s="292" t="s">
        <v>7494</v>
      </c>
    </row>
    <row r="3942" spans="1:198" x14ac:dyDescent="0.25">
      <c r="A3942" s="55">
        <v>3941</v>
      </c>
      <c r="B3942" s="12" t="s">
        <v>7067</v>
      </c>
      <c r="C3942" s="155">
        <v>172</v>
      </c>
      <c r="D3942" s="55" t="s">
        <v>3357</v>
      </c>
      <c r="E3942" s="90" t="s">
        <v>3334</v>
      </c>
      <c r="G3942" s="55" t="s">
        <v>3275</v>
      </c>
      <c r="H3942" s="55">
        <v>2005</v>
      </c>
      <c r="I3942" s="55">
        <v>1998</v>
      </c>
      <c r="J3942" s="55" t="s">
        <v>2660</v>
      </c>
      <c r="K3942" s="55" t="s">
        <v>3351</v>
      </c>
      <c r="L3942" s="55" t="s">
        <v>2744</v>
      </c>
      <c r="M3942" s="90">
        <v>7.5</v>
      </c>
      <c r="N3942" s="90">
        <f>3+54/60</f>
        <v>3.9</v>
      </c>
      <c r="O3942" s="90">
        <v>213</v>
      </c>
      <c r="S3942" s="90">
        <v>1247</v>
      </c>
      <c r="U3942" s="55" t="s">
        <v>1679</v>
      </c>
      <c r="V3942" s="55" t="s">
        <v>1889</v>
      </c>
      <c r="Y3942" s="55" t="s">
        <v>3354</v>
      </c>
      <c r="Z3942" s="55" t="s">
        <v>1349</v>
      </c>
      <c r="AA3942" s="90" t="s">
        <v>1677</v>
      </c>
      <c r="AE3942" s="90">
        <v>77.2</v>
      </c>
      <c r="AF3942" s="90">
        <v>11</v>
      </c>
      <c r="AH3942" s="55" t="s">
        <v>174</v>
      </c>
      <c r="AI3942" s="168">
        <v>7.8</v>
      </c>
      <c r="AJ3942" s="90">
        <v>2.17</v>
      </c>
      <c r="AM3942" s="55" t="s">
        <v>3352</v>
      </c>
      <c r="AN3942" s="185" t="s">
        <v>3353</v>
      </c>
      <c r="AO3942" s="185" t="s">
        <v>5150</v>
      </c>
      <c r="AQ3942" s="55" t="s">
        <v>553</v>
      </c>
      <c r="AR3942" s="55" t="s">
        <v>2283</v>
      </c>
      <c r="AS3942" s="55" t="s">
        <v>227</v>
      </c>
      <c r="AU3942" s="181" t="s">
        <v>7494</v>
      </c>
      <c r="AV3942" s="185" t="s">
        <v>176</v>
      </c>
      <c r="AX3942" s="185" t="s">
        <v>176</v>
      </c>
      <c r="BK3942" s="55" t="s">
        <v>6333</v>
      </c>
      <c r="BM3942" s="192" t="s">
        <v>3210</v>
      </c>
      <c r="CB3942" s="66">
        <v>6400</v>
      </c>
      <c r="CC3942" s="66">
        <v>2600</v>
      </c>
      <c r="GP3942" s="292" t="s">
        <v>7494</v>
      </c>
    </row>
    <row r="3943" spans="1:198" x14ac:dyDescent="0.25">
      <c r="A3943" s="55">
        <v>3942</v>
      </c>
      <c r="B3943" s="12" t="s">
        <v>7067</v>
      </c>
      <c r="C3943" s="155">
        <v>172</v>
      </c>
      <c r="D3943" s="55" t="s">
        <v>3357</v>
      </c>
      <c r="E3943" s="90" t="s">
        <v>3334</v>
      </c>
      <c r="G3943" s="55" t="s">
        <v>3275</v>
      </c>
      <c r="H3943" s="55">
        <v>2005</v>
      </c>
      <c r="I3943" s="55">
        <v>1998</v>
      </c>
      <c r="J3943" s="55" t="s">
        <v>2660</v>
      </c>
      <c r="K3943" s="55" t="s">
        <v>3351</v>
      </c>
      <c r="L3943" s="55" t="s">
        <v>2744</v>
      </c>
      <c r="M3943" s="90">
        <v>7.5</v>
      </c>
      <c r="N3943" s="90">
        <f>3+54/60</f>
        <v>3.9</v>
      </c>
      <c r="O3943" s="90">
        <v>213</v>
      </c>
      <c r="S3943" s="90">
        <v>1247</v>
      </c>
      <c r="U3943" s="55" t="s">
        <v>1679</v>
      </c>
      <c r="V3943" s="55" t="s">
        <v>1889</v>
      </c>
      <c r="Y3943" s="55" t="s">
        <v>3354</v>
      </c>
      <c r="Z3943" s="55" t="s">
        <v>1349</v>
      </c>
      <c r="AA3943" s="90" t="s">
        <v>1677</v>
      </c>
      <c r="AE3943" s="90">
        <v>77.2</v>
      </c>
      <c r="AF3943" s="90">
        <v>11</v>
      </c>
      <c r="AH3943" s="55" t="s">
        <v>174</v>
      </c>
      <c r="AI3943" s="168">
        <v>7.8</v>
      </c>
      <c r="AJ3943" s="90">
        <v>2.17</v>
      </c>
      <c r="AM3943" s="55" t="s">
        <v>3352</v>
      </c>
      <c r="AN3943" s="185" t="s">
        <v>3353</v>
      </c>
      <c r="AO3943" s="185" t="s">
        <v>5150</v>
      </c>
      <c r="AQ3943" s="55" t="s">
        <v>553</v>
      </c>
      <c r="AR3943" s="55" t="s">
        <v>2283</v>
      </c>
      <c r="AS3943" s="55" t="s">
        <v>227</v>
      </c>
      <c r="AU3943" s="181" t="s">
        <v>7494</v>
      </c>
      <c r="AV3943" s="185" t="s">
        <v>176</v>
      </c>
      <c r="AX3943" s="185" t="s">
        <v>176</v>
      </c>
      <c r="BK3943" s="55" t="s">
        <v>6333</v>
      </c>
      <c r="BM3943" s="192" t="s">
        <v>3210</v>
      </c>
      <c r="CB3943" s="66">
        <v>5400</v>
      </c>
      <c r="CC3943" s="66">
        <v>5600</v>
      </c>
      <c r="GP3943" s="292" t="s">
        <v>7494</v>
      </c>
    </row>
    <row r="3944" spans="1:198" x14ac:dyDescent="0.25">
      <c r="A3944" s="55">
        <v>3943</v>
      </c>
      <c r="B3944" s="12" t="s">
        <v>7067</v>
      </c>
      <c r="C3944" s="155">
        <v>172</v>
      </c>
      <c r="D3944" s="55" t="s">
        <v>3357</v>
      </c>
      <c r="E3944" s="90" t="s">
        <v>3334</v>
      </c>
      <c r="G3944" s="55" t="s">
        <v>3275</v>
      </c>
      <c r="H3944" s="55">
        <v>2005</v>
      </c>
      <c r="I3944" s="55">
        <v>1998</v>
      </c>
      <c r="J3944" s="55" t="s">
        <v>2660</v>
      </c>
      <c r="K3944" s="55" t="s">
        <v>3351</v>
      </c>
      <c r="L3944" s="55" t="s">
        <v>2744</v>
      </c>
      <c r="M3944" s="90">
        <v>7.5</v>
      </c>
      <c r="N3944" s="90">
        <f>3+54/60</f>
        <v>3.9</v>
      </c>
      <c r="O3944" s="90">
        <v>213</v>
      </c>
      <c r="S3944" s="90">
        <v>1247</v>
      </c>
      <c r="U3944" s="55" t="s">
        <v>1679</v>
      </c>
      <c r="V3944" s="55" t="s">
        <v>1889</v>
      </c>
      <c r="Y3944" s="55" t="s">
        <v>3354</v>
      </c>
      <c r="Z3944" s="55" t="s">
        <v>1349</v>
      </c>
      <c r="AA3944" s="90" t="s">
        <v>1677</v>
      </c>
      <c r="AE3944" s="90">
        <v>77.2</v>
      </c>
      <c r="AF3944" s="90">
        <v>11</v>
      </c>
      <c r="AH3944" s="55" t="s">
        <v>174</v>
      </c>
      <c r="AI3944" s="168">
        <v>7.8</v>
      </c>
      <c r="AJ3944" s="90">
        <v>2.17</v>
      </c>
      <c r="AM3944" s="55" t="s">
        <v>3352</v>
      </c>
      <c r="AN3944" s="185" t="s">
        <v>3353</v>
      </c>
      <c r="AO3944" s="185" t="s">
        <v>5150</v>
      </c>
      <c r="AQ3944" s="55" t="s">
        <v>553</v>
      </c>
      <c r="AR3944" s="55" t="s">
        <v>2283</v>
      </c>
      <c r="AS3944" s="55" t="s">
        <v>227</v>
      </c>
      <c r="AU3944" s="181" t="s">
        <v>7494</v>
      </c>
      <c r="AV3944" s="185" t="s">
        <v>176</v>
      </c>
      <c r="AX3944" s="185" t="s">
        <v>176</v>
      </c>
      <c r="BK3944" s="55" t="s">
        <v>6333</v>
      </c>
      <c r="BM3944" s="192" t="s">
        <v>3210</v>
      </c>
      <c r="CB3944" s="66">
        <v>13500</v>
      </c>
      <c r="CC3944" s="66">
        <v>9700</v>
      </c>
      <c r="GP3944" s="292" t="s">
        <v>7494</v>
      </c>
    </row>
    <row r="3945" spans="1:198" x14ac:dyDescent="0.25">
      <c r="A3945" s="55">
        <v>3944</v>
      </c>
      <c r="B3945" s="12" t="s">
        <v>7067</v>
      </c>
      <c r="C3945" s="155">
        <v>172</v>
      </c>
      <c r="D3945" s="55" t="s">
        <v>3357</v>
      </c>
      <c r="E3945" s="90" t="s">
        <v>3334</v>
      </c>
      <c r="G3945" s="55" t="s">
        <v>3275</v>
      </c>
      <c r="H3945" s="55">
        <v>2005</v>
      </c>
      <c r="I3945" s="55">
        <v>1998</v>
      </c>
      <c r="J3945" s="55" t="s">
        <v>2660</v>
      </c>
      <c r="K3945" s="55" t="s">
        <v>3351</v>
      </c>
      <c r="L3945" s="55" t="s">
        <v>2744</v>
      </c>
      <c r="M3945" s="90">
        <v>7.5</v>
      </c>
      <c r="N3945" s="90">
        <f>3+54/60</f>
        <v>3.9</v>
      </c>
      <c r="O3945" s="90">
        <v>213</v>
      </c>
      <c r="S3945" s="90">
        <v>1247</v>
      </c>
      <c r="U3945" s="55" t="s">
        <v>1679</v>
      </c>
      <c r="V3945" s="55" t="s">
        <v>1889</v>
      </c>
      <c r="Y3945" s="55" t="s">
        <v>3354</v>
      </c>
      <c r="Z3945" s="55" t="s">
        <v>1349</v>
      </c>
      <c r="AA3945" s="90" t="s">
        <v>1677</v>
      </c>
      <c r="AE3945" s="90">
        <v>77.2</v>
      </c>
      <c r="AF3945" s="90">
        <v>11</v>
      </c>
      <c r="AH3945" s="55" t="s">
        <v>174</v>
      </c>
      <c r="AI3945" s="168">
        <v>7.8</v>
      </c>
      <c r="AJ3945" s="90">
        <v>2.17</v>
      </c>
      <c r="AM3945" s="55" t="s">
        <v>3352</v>
      </c>
      <c r="AN3945" s="185" t="s">
        <v>3353</v>
      </c>
      <c r="AO3945" s="185" t="s">
        <v>5150</v>
      </c>
      <c r="AQ3945" s="55" t="s">
        <v>553</v>
      </c>
      <c r="AR3945" s="55" t="s">
        <v>2283</v>
      </c>
      <c r="AS3945" s="55" t="s">
        <v>227</v>
      </c>
      <c r="AU3945" s="181" t="s">
        <v>7494</v>
      </c>
      <c r="AV3945" s="185" t="s">
        <v>176</v>
      </c>
      <c r="AX3945" s="185" t="s">
        <v>176</v>
      </c>
      <c r="BK3945" s="55" t="s">
        <v>6333</v>
      </c>
      <c r="BM3945" s="192" t="s">
        <v>3210</v>
      </c>
      <c r="CB3945" s="66">
        <v>9900</v>
      </c>
      <c r="CC3945" s="66">
        <v>10300</v>
      </c>
      <c r="GP3945" s="292" t="s">
        <v>7494</v>
      </c>
    </row>
    <row r="3946" spans="1:198" x14ac:dyDescent="0.25">
      <c r="A3946" s="55">
        <v>3945</v>
      </c>
      <c r="B3946" s="12" t="s">
        <v>7067</v>
      </c>
      <c r="C3946" s="155">
        <v>172</v>
      </c>
      <c r="D3946" s="55" t="s">
        <v>3357</v>
      </c>
      <c r="E3946" s="90" t="s">
        <v>3334</v>
      </c>
      <c r="G3946" s="55" t="s">
        <v>3275</v>
      </c>
      <c r="H3946" s="55">
        <v>2005</v>
      </c>
      <c r="I3946" s="55">
        <v>1999</v>
      </c>
      <c r="J3946" s="55" t="s">
        <v>2660</v>
      </c>
      <c r="K3946" s="55" t="s">
        <v>3351</v>
      </c>
      <c r="L3946" s="55" t="s">
        <v>2744</v>
      </c>
      <c r="M3946" s="90">
        <v>7.5</v>
      </c>
      <c r="N3946" s="90">
        <f>3+54/60</f>
        <v>3.9</v>
      </c>
      <c r="O3946" s="90">
        <v>213</v>
      </c>
      <c r="S3946" s="90">
        <v>1247</v>
      </c>
      <c r="U3946" s="55" t="s">
        <v>1818</v>
      </c>
      <c r="V3946" s="55" t="s">
        <v>1889</v>
      </c>
      <c r="Y3946" s="55" t="s">
        <v>3354</v>
      </c>
      <c r="Z3946" s="55" t="s">
        <v>1349</v>
      </c>
      <c r="AA3946" s="90" t="s">
        <v>1677</v>
      </c>
      <c r="AE3946" s="90">
        <v>77.2</v>
      </c>
      <c r="AF3946" s="90">
        <v>11</v>
      </c>
      <c r="AH3946" s="55" t="s">
        <v>174</v>
      </c>
      <c r="AI3946" s="168">
        <v>7.8</v>
      </c>
      <c r="AJ3946" s="90">
        <v>2.17</v>
      </c>
      <c r="AM3946" s="55" t="s">
        <v>3352</v>
      </c>
      <c r="AN3946" s="185" t="s">
        <v>3353</v>
      </c>
      <c r="AO3946" s="185" t="s">
        <v>5150</v>
      </c>
      <c r="AQ3946" s="55" t="s">
        <v>553</v>
      </c>
      <c r="AR3946" s="55" t="s">
        <v>2283</v>
      </c>
      <c r="AS3946" s="55" t="s">
        <v>227</v>
      </c>
      <c r="AU3946" s="181" t="s">
        <v>7494</v>
      </c>
      <c r="AV3946" s="185" t="s">
        <v>176</v>
      </c>
      <c r="AX3946" s="185" t="s">
        <v>176</v>
      </c>
      <c r="BK3946" s="55" t="s">
        <v>6333</v>
      </c>
      <c r="BM3946" s="192" t="s">
        <v>3210</v>
      </c>
      <c r="CB3946" s="66">
        <v>7600</v>
      </c>
      <c r="CC3946" s="66">
        <v>8300</v>
      </c>
      <c r="GP3946" s="292" t="s">
        <v>7494</v>
      </c>
    </row>
    <row r="3947" spans="1:198" x14ac:dyDescent="0.25">
      <c r="A3947" s="55">
        <v>3946</v>
      </c>
      <c r="B3947" s="12" t="s">
        <v>7067</v>
      </c>
      <c r="C3947" s="155">
        <v>172</v>
      </c>
      <c r="D3947" s="55" t="s">
        <v>3357</v>
      </c>
      <c r="E3947" s="90" t="s">
        <v>3334</v>
      </c>
      <c r="G3947" s="55" t="s">
        <v>3275</v>
      </c>
      <c r="H3947" s="55">
        <v>2005</v>
      </c>
      <c r="I3947" s="55">
        <v>1999</v>
      </c>
      <c r="J3947" s="55" t="s">
        <v>2660</v>
      </c>
      <c r="K3947" s="55" t="s">
        <v>3351</v>
      </c>
      <c r="L3947" s="55" t="s">
        <v>2744</v>
      </c>
      <c r="M3947" s="90">
        <v>7.5</v>
      </c>
      <c r="N3947" s="90">
        <f>3+54/60</f>
        <v>3.9</v>
      </c>
      <c r="O3947" s="90">
        <v>213</v>
      </c>
      <c r="S3947" s="90">
        <v>1247</v>
      </c>
      <c r="U3947" s="55" t="s">
        <v>1818</v>
      </c>
      <c r="V3947" s="55" t="s">
        <v>1889</v>
      </c>
      <c r="Y3947" s="55" t="s">
        <v>3354</v>
      </c>
      <c r="Z3947" s="55" t="s">
        <v>1349</v>
      </c>
      <c r="AA3947" s="90" t="s">
        <v>1677</v>
      </c>
      <c r="AE3947" s="90">
        <v>77.2</v>
      </c>
      <c r="AF3947" s="90">
        <v>11</v>
      </c>
      <c r="AH3947" s="55" t="s">
        <v>174</v>
      </c>
      <c r="AI3947" s="168">
        <v>7.8</v>
      </c>
      <c r="AJ3947" s="90">
        <v>2.17</v>
      </c>
      <c r="AM3947" s="55" t="s">
        <v>3352</v>
      </c>
      <c r="AN3947" s="185" t="s">
        <v>3353</v>
      </c>
      <c r="AO3947" s="185" t="s">
        <v>5150</v>
      </c>
      <c r="AQ3947" s="55" t="s">
        <v>553</v>
      </c>
      <c r="AR3947" s="55" t="s">
        <v>2283</v>
      </c>
      <c r="AS3947" s="55" t="s">
        <v>227</v>
      </c>
      <c r="AU3947" s="181" t="s">
        <v>7494</v>
      </c>
      <c r="AV3947" s="185" t="s">
        <v>176</v>
      </c>
      <c r="AX3947" s="185" t="s">
        <v>176</v>
      </c>
      <c r="BK3947" s="55" t="s">
        <v>6333</v>
      </c>
      <c r="BM3947" s="192" t="s">
        <v>3210</v>
      </c>
      <c r="CB3947" s="66">
        <v>12900</v>
      </c>
      <c r="CC3947" s="66">
        <v>13300</v>
      </c>
      <c r="GP3947" s="292" t="s">
        <v>7494</v>
      </c>
    </row>
    <row r="3948" spans="1:198" x14ac:dyDescent="0.25">
      <c r="A3948" s="55">
        <v>3947</v>
      </c>
      <c r="B3948" s="12" t="s">
        <v>7067</v>
      </c>
      <c r="C3948" s="155">
        <v>172</v>
      </c>
      <c r="D3948" s="55" t="s">
        <v>3357</v>
      </c>
      <c r="E3948" s="90" t="s">
        <v>3334</v>
      </c>
      <c r="G3948" s="55" t="s">
        <v>3275</v>
      </c>
      <c r="H3948" s="55">
        <v>2005</v>
      </c>
      <c r="I3948" s="55">
        <v>1999</v>
      </c>
      <c r="J3948" s="55" t="s">
        <v>2660</v>
      </c>
      <c r="K3948" s="55" t="s">
        <v>3351</v>
      </c>
      <c r="L3948" s="55" t="s">
        <v>2744</v>
      </c>
      <c r="M3948" s="90">
        <v>7.5</v>
      </c>
      <c r="N3948" s="90">
        <f>3+54/60</f>
        <v>3.9</v>
      </c>
      <c r="O3948" s="90">
        <v>213</v>
      </c>
      <c r="S3948" s="90">
        <v>1247</v>
      </c>
      <c r="U3948" s="55" t="s">
        <v>1818</v>
      </c>
      <c r="V3948" s="55" t="s">
        <v>1889</v>
      </c>
      <c r="Y3948" s="55" t="s">
        <v>3354</v>
      </c>
      <c r="Z3948" s="55" t="s">
        <v>1349</v>
      </c>
      <c r="AA3948" s="90" t="s">
        <v>1677</v>
      </c>
      <c r="AE3948" s="90">
        <v>77.2</v>
      </c>
      <c r="AF3948" s="90">
        <v>11</v>
      </c>
      <c r="AH3948" s="55" t="s">
        <v>174</v>
      </c>
      <c r="AI3948" s="168">
        <v>7.8</v>
      </c>
      <c r="AJ3948" s="90">
        <v>2.17</v>
      </c>
      <c r="AM3948" s="55" t="s">
        <v>3352</v>
      </c>
      <c r="AN3948" s="185" t="s">
        <v>3353</v>
      </c>
      <c r="AO3948" s="185" t="s">
        <v>5150</v>
      </c>
      <c r="AQ3948" s="55" t="s">
        <v>553</v>
      </c>
      <c r="AR3948" s="55" t="s">
        <v>2283</v>
      </c>
      <c r="AS3948" s="55" t="s">
        <v>227</v>
      </c>
      <c r="AU3948" s="181" t="s">
        <v>7494</v>
      </c>
      <c r="AV3948" s="185" t="s">
        <v>176</v>
      </c>
      <c r="AX3948" s="185" t="s">
        <v>176</v>
      </c>
      <c r="BK3948" s="55" t="s">
        <v>6333</v>
      </c>
      <c r="BM3948" s="192" t="s">
        <v>3210</v>
      </c>
      <c r="CB3948" s="66">
        <v>17600</v>
      </c>
      <c r="CC3948" s="66">
        <v>15400</v>
      </c>
      <c r="GP3948" s="292" t="s">
        <v>7494</v>
      </c>
    </row>
    <row r="3949" spans="1:198" x14ac:dyDescent="0.25">
      <c r="A3949" s="55">
        <v>3948</v>
      </c>
      <c r="B3949" s="12" t="s">
        <v>7067</v>
      </c>
      <c r="C3949" s="155">
        <v>172</v>
      </c>
      <c r="D3949" s="55" t="s">
        <v>3357</v>
      </c>
      <c r="E3949" s="90" t="s">
        <v>3334</v>
      </c>
      <c r="G3949" s="55" t="s">
        <v>3275</v>
      </c>
      <c r="H3949" s="55">
        <v>2005</v>
      </c>
      <c r="I3949" s="55">
        <v>1999</v>
      </c>
      <c r="J3949" s="55" t="s">
        <v>2660</v>
      </c>
      <c r="K3949" s="55" t="s">
        <v>3351</v>
      </c>
      <c r="L3949" s="55" t="s">
        <v>2744</v>
      </c>
      <c r="M3949" s="90">
        <v>7.5</v>
      </c>
      <c r="N3949" s="90">
        <f>3+54/60</f>
        <v>3.9</v>
      </c>
      <c r="O3949" s="90">
        <v>213</v>
      </c>
      <c r="S3949" s="90">
        <v>1247</v>
      </c>
      <c r="U3949" s="55" t="s">
        <v>1818</v>
      </c>
      <c r="V3949" s="55" t="s">
        <v>1889</v>
      </c>
      <c r="Y3949" s="55" t="s">
        <v>3354</v>
      </c>
      <c r="Z3949" s="55" t="s">
        <v>1349</v>
      </c>
      <c r="AA3949" s="90" t="s">
        <v>1677</v>
      </c>
      <c r="AE3949" s="90">
        <v>77.2</v>
      </c>
      <c r="AF3949" s="90">
        <v>11</v>
      </c>
      <c r="AH3949" s="55" t="s">
        <v>174</v>
      </c>
      <c r="AI3949" s="168">
        <v>7.8</v>
      </c>
      <c r="AJ3949" s="90">
        <v>2.17</v>
      </c>
      <c r="AM3949" s="55" t="s">
        <v>3352</v>
      </c>
      <c r="AN3949" s="185" t="s">
        <v>3353</v>
      </c>
      <c r="AO3949" s="185" t="s">
        <v>5150</v>
      </c>
      <c r="AQ3949" s="55" t="s">
        <v>553</v>
      </c>
      <c r="AR3949" s="55" t="s">
        <v>2283</v>
      </c>
      <c r="AS3949" s="55" t="s">
        <v>227</v>
      </c>
      <c r="AU3949" s="181" t="s">
        <v>7494</v>
      </c>
      <c r="AV3949" s="185" t="s">
        <v>176</v>
      </c>
      <c r="AX3949" s="185" t="s">
        <v>176</v>
      </c>
      <c r="BK3949" s="55" t="s">
        <v>6333</v>
      </c>
      <c r="BM3949" s="192" t="s">
        <v>3210</v>
      </c>
      <c r="CB3949" s="66">
        <v>17900</v>
      </c>
      <c r="CC3949" s="66">
        <v>18800</v>
      </c>
      <c r="GP3949" s="292" t="s">
        <v>7494</v>
      </c>
    </row>
    <row r="3950" spans="1:198" x14ac:dyDescent="0.25">
      <c r="A3950" s="55">
        <v>3949</v>
      </c>
      <c r="B3950" s="12" t="s">
        <v>7067</v>
      </c>
      <c r="C3950" s="155">
        <v>172</v>
      </c>
      <c r="D3950" s="55" t="s">
        <v>3357</v>
      </c>
      <c r="E3950" s="90" t="s">
        <v>3334</v>
      </c>
      <c r="G3950" s="55" t="s">
        <v>3275</v>
      </c>
      <c r="H3950" s="55">
        <v>2005</v>
      </c>
      <c r="I3950" s="55">
        <v>2000</v>
      </c>
      <c r="J3950" s="55" t="s">
        <v>2660</v>
      </c>
      <c r="K3950" s="55" t="s">
        <v>3351</v>
      </c>
      <c r="L3950" s="55" t="s">
        <v>2744</v>
      </c>
      <c r="M3950" s="90">
        <v>7.5</v>
      </c>
      <c r="N3950" s="90">
        <f>3+54/60</f>
        <v>3.9</v>
      </c>
      <c r="O3950" s="90">
        <v>213</v>
      </c>
      <c r="S3950" s="90">
        <v>1247</v>
      </c>
      <c r="U3950" s="55" t="s">
        <v>1889</v>
      </c>
      <c r="V3950" s="55" t="s">
        <v>1889</v>
      </c>
      <c r="Y3950" s="55" t="s">
        <v>3354</v>
      </c>
      <c r="Z3950" s="55" t="s">
        <v>1349</v>
      </c>
      <c r="AA3950" s="90" t="s">
        <v>1677</v>
      </c>
      <c r="AE3950" s="90">
        <v>77.2</v>
      </c>
      <c r="AF3950" s="90">
        <v>11</v>
      </c>
      <c r="AH3950" s="55" t="s">
        <v>174</v>
      </c>
      <c r="AI3950" s="168">
        <v>7.8</v>
      </c>
      <c r="AJ3950" s="90">
        <v>2.17</v>
      </c>
      <c r="AM3950" s="55" t="s">
        <v>3352</v>
      </c>
      <c r="AN3950" s="185" t="s">
        <v>3353</v>
      </c>
      <c r="AO3950" s="185" t="s">
        <v>5150</v>
      </c>
      <c r="AQ3950" s="55" t="s">
        <v>553</v>
      </c>
      <c r="AR3950" s="55" t="s">
        <v>2283</v>
      </c>
      <c r="AS3950" s="55" t="s">
        <v>227</v>
      </c>
      <c r="AU3950" s="181" t="s">
        <v>7494</v>
      </c>
      <c r="AV3950" s="185" t="s">
        <v>176</v>
      </c>
      <c r="AX3950" s="185" t="s">
        <v>176</v>
      </c>
      <c r="BK3950" s="55" t="s">
        <v>6333</v>
      </c>
      <c r="BM3950" s="192" t="s">
        <v>3210</v>
      </c>
      <c r="CB3950" s="66">
        <v>2000</v>
      </c>
      <c r="CC3950" s="66">
        <v>2100</v>
      </c>
      <c r="GP3950" s="292" t="s">
        <v>7494</v>
      </c>
    </row>
    <row r="3951" spans="1:198" x14ac:dyDescent="0.25">
      <c r="A3951" s="55">
        <v>3950</v>
      </c>
      <c r="B3951" s="12" t="s">
        <v>7067</v>
      </c>
      <c r="C3951" s="155">
        <v>172</v>
      </c>
      <c r="D3951" s="55" t="s">
        <v>3357</v>
      </c>
      <c r="E3951" s="90" t="s">
        <v>3334</v>
      </c>
      <c r="G3951" s="55" t="s">
        <v>3275</v>
      </c>
      <c r="H3951" s="55">
        <v>2005</v>
      </c>
      <c r="I3951" s="55">
        <v>2000</v>
      </c>
      <c r="J3951" s="55" t="s">
        <v>2660</v>
      </c>
      <c r="K3951" s="55" t="s">
        <v>3351</v>
      </c>
      <c r="L3951" s="55" t="s">
        <v>2744</v>
      </c>
      <c r="M3951" s="90">
        <v>7.5</v>
      </c>
      <c r="N3951" s="90">
        <f>3+54/60</f>
        <v>3.9</v>
      </c>
      <c r="O3951" s="90">
        <v>213</v>
      </c>
      <c r="S3951" s="90">
        <v>1247</v>
      </c>
      <c r="U3951" s="55" t="s">
        <v>1889</v>
      </c>
      <c r="V3951" s="55" t="s">
        <v>1889</v>
      </c>
      <c r="Y3951" s="55" t="s">
        <v>3354</v>
      </c>
      <c r="Z3951" s="55" t="s">
        <v>1349</v>
      </c>
      <c r="AA3951" s="90" t="s">
        <v>1677</v>
      </c>
      <c r="AE3951" s="90">
        <v>77.2</v>
      </c>
      <c r="AF3951" s="90">
        <v>11</v>
      </c>
      <c r="AH3951" s="55" t="s">
        <v>174</v>
      </c>
      <c r="AI3951" s="168">
        <v>7.8</v>
      </c>
      <c r="AJ3951" s="90">
        <v>2.17</v>
      </c>
      <c r="AM3951" s="55" t="s">
        <v>3352</v>
      </c>
      <c r="AN3951" s="185" t="s">
        <v>3353</v>
      </c>
      <c r="AO3951" s="185" t="s">
        <v>5150</v>
      </c>
      <c r="AQ3951" s="55" t="s">
        <v>553</v>
      </c>
      <c r="AR3951" s="55" t="s">
        <v>2283</v>
      </c>
      <c r="AS3951" s="55" t="s">
        <v>227</v>
      </c>
      <c r="AU3951" s="181" t="s">
        <v>7494</v>
      </c>
      <c r="AV3951" s="185" t="s">
        <v>176</v>
      </c>
      <c r="AX3951" s="185" t="s">
        <v>176</v>
      </c>
      <c r="BK3951" s="55" t="s">
        <v>6333</v>
      </c>
      <c r="BM3951" s="192" t="s">
        <v>3210</v>
      </c>
      <c r="CB3951" s="66">
        <v>2800</v>
      </c>
      <c r="CC3951" s="66">
        <v>4600</v>
      </c>
      <c r="GP3951" s="292" t="s">
        <v>7494</v>
      </c>
    </row>
    <row r="3952" spans="1:198" x14ac:dyDescent="0.25">
      <c r="A3952" s="55">
        <v>3951</v>
      </c>
      <c r="B3952" s="12" t="s">
        <v>7067</v>
      </c>
      <c r="C3952" s="155">
        <v>172</v>
      </c>
      <c r="D3952" s="55" t="s">
        <v>3357</v>
      </c>
      <c r="E3952" s="90" t="s">
        <v>3334</v>
      </c>
      <c r="G3952" s="55" t="s">
        <v>3275</v>
      </c>
      <c r="H3952" s="55">
        <v>2005</v>
      </c>
      <c r="I3952" s="55">
        <v>2000</v>
      </c>
      <c r="J3952" s="55" t="s">
        <v>2660</v>
      </c>
      <c r="K3952" s="55" t="s">
        <v>3351</v>
      </c>
      <c r="L3952" s="55" t="s">
        <v>2744</v>
      </c>
      <c r="M3952" s="90">
        <v>7.5</v>
      </c>
      <c r="N3952" s="90">
        <f>3+54/60</f>
        <v>3.9</v>
      </c>
      <c r="O3952" s="90">
        <v>213</v>
      </c>
      <c r="S3952" s="90">
        <v>1247</v>
      </c>
      <c r="U3952" s="55" t="s">
        <v>1889</v>
      </c>
      <c r="V3952" s="55" t="s">
        <v>1889</v>
      </c>
      <c r="Y3952" s="55" t="s">
        <v>3354</v>
      </c>
      <c r="Z3952" s="55" t="s">
        <v>1349</v>
      </c>
      <c r="AA3952" s="90" t="s">
        <v>1677</v>
      </c>
      <c r="AE3952" s="90">
        <v>77.2</v>
      </c>
      <c r="AF3952" s="90">
        <v>11</v>
      </c>
      <c r="AH3952" s="55" t="s">
        <v>174</v>
      </c>
      <c r="AI3952" s="168">
        <v>7.8</v>
      </c>
      <c r="AJ3952" s="90">
        <v>2.17</v>
      </c>
      <c r="AM3952" s="55" t="s">
        <v>3352</v>
      </c>
      <c r="AN3952" s="185" t="s">
        <v>3353</v>
      </c>
      <c r="AO3952" s="185" t="s">
        <v>5150</v>
      </c>
      <c r="AQ3952" s="55" t="s">
        <v>553</v>
      </c>
      <c r="AR3952" s="55" t="s">
        <v>2283</v>
      </c>
      <c r="AS3952" s="55" t="s">
        <v>227</v>
      </c>
      <c r="AU3952" s="181" t="s">
        <v>7494</v>
      </c>
      <c r="AV3952" s="185" t="s">
        <v>176</v>
      </c>
      <c r="AX3952" s="185" t="s">
        <v>176</v>
      </c>
      <c r="BK3952" s="55" t="s">
        <v>6333</v>
      </c>
      <c r="BM3952" s="192" t="s">
        <v>3210</v>
      </c>
      <c r="CB3952" s="66">
        <v>5000</v>
      </c>
      <c r="CC3952" s="66">
        <v>5000</v>
      </c>
      <c r="GP3952" s="292" t="s">
        <v>7494</v>
      </c>
    </row>
    <row r="3953" spans="1:198" x14ac:dyDescent="0.25">
      <c r="A3953" s="55">
        <v>3952</v>
      </c>
      <c r="B3953" s="12" t="s">
        <v>7067</v>
      </c>
      <c r="C3953" s="155">
        <v>172</v>
      </c>
      <c r="D3953" s="55" t="s">
        <v>3357</v>
      </c>
      <c r="E3953" s="90" t="s">
        <v>3334</v>
      </c>
      <c r="G3953" s="55" t="s">
        <v>3275</v>
      </c>
      <c r="H3953" s="55">
        <v>2005</v>
      </c>
      <c r="I3953" s="55">
        <v>2000</v>
      </c>
      <c r="J3953" s="55" t="s">
        <v>2660</v>
      </c>
      <c r="K3953" s="55" t="s">
        <v>3351</v>
      </c>
      <c r="L3953" s="55" t="s">
        <v>2744</v>
      </c>
      <c r="M3953" s="90">
        <v>7.5</v>
      </c>
      <c r="N3953" s="90">
        <f>3+54/60</f>
        <v>3.9</v>
      </c>
      <c r="O3953" s="90">
        <v>213</v>
      </c>
      <c r="S3953" s="90">
        <v>1247</v>
      </c>
      <c r="U3953" s="55" t="s">
        <v>1889</v>
      </c>
      <c r="V3953" s="55" t="s">
        <v>1889</v>
      </c>
      <c r="Y3953" s="55" t="s">
        <v>3354</v>
      </c>
      <c r="Z3953" s="55" t="s">
        <v>1349</v>
      </c>
      <c r="AA3953" s="90" t="s">
        <v>1677</v>
      </c>
      <c r="AE3953" s="90">
        <v>77.2</v>
      </c>
      <c r="AF3953" s="90">
        <v>11</v>
      </c>
      <c r="AH3953" s="55" t="s">
        <v>174</v>
      </c>
      <c r="AI3953" s="168">
        <v>7.8</v>
      </c>
      <c r="AJ3953" s="90">
        <v>2.17</v>
      </c>
      <c r="AM3953" s="55" t="s">
        <v>3352</v>
      </c>
      <c r="AN3953" s="185" t="s">
        <v>3353</v>
      </c>
      <c r="AO3953" s="185" t="s">
        <v>5150</v>
      </c>
      <c r="AQ3953" s="55" t="s">
        <v>553</v>
      </c>
      <c r="AR3953" s="55" t="s">
        <v>2283</v>
      </c>
      <c r="AS3953" s="55" t="s">
        <v>227</v>
      </c>
      <c r="AU3953" s="181" t="s">
        <v>7494</v>
      </c>
      <c r="AV3953" s="185" t="s">
        <v>176</v>
      </c>
      <c r="AX3953" s="185" t="s">
        <v>176</v>
      </c>
      <c r="BK3953" s="55" t="s">
        <v>6333</v>
      </c>
      <c r="BM3953" s="192" t="s">
        <v>3210</v>
      </c>
      <c r="CB3953" s="66">
        <v>7500</v>
      </c>
      <c r="CC3953" s="66">
        <v>5000</v>
      </c>
      <c r="GP3953" s="292" t="s">
        <v>7494</v>
      </c>
    </row>
    <row r="3954" spans="1:198" x14ac:dyDescent="0.25">
      <c r="A3954" s="55">
        <v>3953</v>
      </c>
      <c r="B3954" s="12" t="s">
        <v>7067</v>
      </c>
      <c r="C3954" s="155">
        <v>172</v>
      </c>
      <c r="D3954" s="55" t="s">
        <v>3358</v>
      </c>
      <c r="E3954" s="90" t="s">
        <v>3334</v>
      </c>
      <c r="G3954" s="55" t="s">
        <v>3275</v>
      </c>
      <c r="H3954" s="55">
        <v>2005</v>
      </c>
      <c r="I3954" s="55">
        <v>1989</v>
      </c>
      <c r="J3954" s="55" t="s">
        <v>2660</v>
      </c>
      <c r="K3954" s="55" t="s">
        <v>3351</v>
      </c>
      <c r="L3954" s="55" t="s">
        <v>2744</v>
      </c>
      <c r="M3954" s="90">
        <v>7.5</v>
      </c>
      <c r="N3954" s="90">
        <f>3+54/60</f>
        <v>3.9</v>
      </c>
      <c r="O3954" s="90">
        <v>213</v>
      </c>
      <c r="S3954" s="90">
        <v>1247</v>
      </c>
      <c r="U3954" s="55" t="s">
        <v>1935</v>
      </c>
      <c r="V3954" s="55" t="s">
        <v>1889</v>
      </c>
      <c r="Y3954" s="55" t="s">
        <v>3354</v>
      </c>
      <c r="Z3954" s="55" t="s">
        <v>1349</v>
      </c>
      <c r="AA3954" s="90" t="s">
        <v>1677</v>
      </c>
      <c r="AE3954" s="90">
        <v>77.2</v>
      </c>
      <c r="AF3954" s="90">
        <v>11</v>
      </c>
      <c r="AH3954" s="55" t="s">
        <v>174</v>
      </c>
      <c r="AI3954" s="168">
        <v>7.8</v>
      </c>
      <c r="AJ3954" s="90">
        <v>2.17</v>
      </c>
      <c r="AM3954" s="55" t="s">
        <v>3352</v>
      </c>
      <c r="AN3954" s="185" t="s">
        <v>2722</v>
      </c>
      <c r="AO3954" s="185" t="s">
        <v>5150</v>
      </c>
      <c r="AQ3954" s="55" t="s">
        <v>4233</v>
      </c>
      <c r="AR3954" s="55" t="s">
        <v>2283</v>
      </c>
      <c r="AS3954" s="55" t="s">
        <v>227</v>
      </c>
      <c r="AU3954" s="181" t="s">
        <v>7494</v>
      </c>
      <c r="AV3954" s="185" t="s">
        <v>176</v>
      </c>
      <c r="AX3954" s="185" t="s">
        <v>176</v>
      </c>
      <c r="BK3954" s="55" t="s">
        <v>6333</v>
      </c>
      <c r="BM3954" s="192" t="s">
        <v>3210</v>
      </c>
      <c r="CB3954" s="66">
        <v>2500</v>
      </c>
      <c r="CC3954" s="66">
        <v>3000</v>
      </c>
      <c r="GP3954" s="292" t="s">
        <v>7494</v>
      </c>
    </row>
    <row r="3955" spans="1:198" x14ac:dyDescent="0.25">
      <c r="A3955" s="55">
        <v>3954</v>
      </c>
      <c r="B3955" s="12" t="s">
        <v>7067</v>
      </c>
      <c r="C3955" s="155">
        <v>172</v>
      </c>
      <c r="D3955" s="55" t="s">
        <v>3358</v>
      </c>
      <c r="E3955" s="90" t="s">
        <v>3334</v>
      </c>
      <c r="G3955" s="55" t="s">
        <v>3275</v>
      </c>
      <c r="H3955" s="55">
        <v>2005</v>
      </c>
      <c r="I3955" s="55">
        <v>1989</v>
      </c>
      <c r="J3955" s="55" t="s">
        <v>2660</v>
      </c>
      <c r="K3955" s="55" t="s">
        <v>3351</v>
      </c>
      <c r="L3955" s="55" t="s">
        <v>2744</v>
      </c>
      <c r="M3955" s="90">
        <v>7.5</v>
      </c>
      <c r="N3955" s="90">
        <f>3+54/60</f>
        <v>3.9</v>
      </c>
      <c r="O3955" s="90">
        <v>213</v>
      </c>
      <c r="S3955" s="90">
        <v>1247</v>
      </c>
      <c r="U3955" s="55" t="s">
        <v>1935</v>
      </c>
      <c r="V3955" s="55" t="s">
        <v>1889</v>
      </c>
      <c r="Y3955" s="55" t="s">
        <v>3354</v>
      </c>
      <c r="Z3955" s="55" t="s">
        <v>1349</v>
      </c>
      <c r="AA3955" s="90" t="s">
        <v>1677</v>
      </c>
      <c r="AE3955" s="90">
        <v>77.2</v>
      </c>
      <c r="AF3955" s="90">
        <v>11</v>
      </c>
      <c r="AH3955" s="55" t="s">
        <v>174</v>
      </c>
      <c r="AI3955" s="168">
        <v>7.8</v>
      </c>
      <c r="AJ3955" s="90">
        <v>2.17</v>
      </c>
      <c r="AM3955" s="55" t="s">
        <v>3352</v>
      </c>
      <c r="AN3955" s="185" t="s">
        <v>2722</v>
      </c>
      <c r="AO3955" s="185" t="s">
        <v>5150</v>
      </c>
      <c r="AQ3955" s="55" t="s">
        <v>4233</v>
      </c>
      <c r="AR3955" s="55" t="s">
        <v>2283</v>
      </c>
      <c r="AS3955" s="55" t="s">
        <v>227</v>
      </c>
      <c r="AU3955" s="181" t="s">
        <v>7494</v>
      </c>
      <c r="AV3955" s="185" t="s">
        <v>176</v>
      </c>
      <c r="AX3955" s="185" t="s">
        <v>176</v>
      </c>
      <c r="BK3955" s="55" t="s">
        <v>6333</v>
      </c>
      <c r="BM3955" s="192" t="s">
        <v>3210</v>
      </c>
      <c r="CB3955" s="66">
        <v>3700</v>
      </c>
      <c r="CC3955" s="66">
        <v>4900</v>
      </c>
      <c r="GP3955" s="292" t="s">
        <v>7494</v>
      </c>
    </row>
    <row r="3956" spans="1:198" x14ac:dyDescent="0.25">
      <c r="A3956" s="55">
        <v>3955</v>
      </c>
      <c r="B3956" s="12" t="s">
        <v>7067</v>
      </c>
      <c r="C3956" s="155">
        <v>172</v>
      </c>
      <c r="D3956" s="55" t="s">
        <v>3358</v>
      </c>
      <c r="E3956" s="90" t="s">
        <v>3334</v>
      </c>
      <c r="G3956" s="55" t="s">
        <v>3275</v>
      </c>
      <c r="H3956" s="55">
        <v>2005</v>
      </c>
      <c r="I3956" s="55">
        <v>1989</v>
      </c>
      <c r="J3956" s="55" t="s">
        <v>2660</v>
      </c>
      <c r="K3956" s="55" t="s">
        <v>3351</v>
      </c>
      <c r="L3956" s="55" t="s">
        <v>2744</v>
      </c>
      <c r="M3956" s="90">
        <v>7.5</v>
      </c>
      <c r="N3956" s="90">
        <f>3+54/60</f>
        <v>3.9</v>
      </c>
      <c r="O3956" s="90">
        <v>213</v>
      </c>
      <c r="S3956" s="90">
        <v>1247</v>
      </c>
      <c r="U3956" s="55" t="s">
        <v>1935</v>
      </c>
      <c r="V3956" s="55" t="s">
        <v>1889</v>
      </c>
      <c r="Y3956" s="55" t="s">
        <v>3354</v>
      </c>
      <c r="Z3956" s="55" t="s">
        <v>1349</v>
      </c>
      <c r="AA3956" s="90" t="s">
        <v>1677</v>
      </c>
      <c r="AE3956" s="90">
        <v>77.2</v>
      </c>
      <c r="AF3956" s="90">
        <v>11</v>
      </c>
      <c r="AH3956" s="55" t="s">
        <v>174</v>
      </c>
      <c r="AI3956" s="168">
        <v>7.8</v>
      </c>
      <c r="AJ3956" s="90">
        <v>2.17</v>
      </c>
      <c r="AM3956" s="55" t="s">
        <v>3352</v>
      </c>
      <c r="AN3956" s="185" t="s">
        <v>2722</v>
      </c>
      <c r="AO3956" s="185" t="s">
        <v>5150</v>
      </c>
      <c r="AQ3956" s="55" t="s">
        <v>4233</v>
      </c>
      <c r="AR3956" s="55" t="s">
        <v>2283</v>
      </c>
      <c r="AS3956" s="55" t="s">
        <v>227</v>
      </c>
      <c r="AU3956" s="181" t="s">
        <v>7494</v>
      </c>
      <c r="AV3956" s="185" t="s">
        <v>176</v>
      </c>
      <c r="AX3956" s="185" t="s">
        <v>176</v>
      </c>
      <c r="BK3956" s="55" t="s">
        <v>6333</v>
      </c>
      <c r="BM3956" s="192" t="s">
        <v>3210</v>
      </c>
      <c r="CB3956" s="66">
        <v>4400</v>
      </c>
      <c r="CC3956" s="66">
        <v>4200</v>
      </c>
      <c r="GP3956" s="292" t="s">
        <v>7494</v>
      </c>
    </row>
    <row r="3957" spans="1:198" x14ac:dyDescent="0.25">
      <c r="A3957" s="55">
        <v>3956</v>
      </c>
      <c r="B3957" s="12" t="s">
        <v>7067</v>
      </c>
      <c r="C3957" s="155">
        <v>172</v>
      </c>
      <c r="D3957" s="55" t="s">
        <v>3358</v>
      </c>
      <c r="E3957" s="90" t="s">
        <v>3334</v>
      </c>
      <c r="G3957" s="55" t="s">
        <v>3275</v>
      </c>
      <c r="H3957" s="55">
        <v>2005</v>
      </c>
      <c r="I3957" s="55">
        <v>1989</v>
      </c>
      <c r="J3957" s="55" t="s">
        <v>2660</v>
      </c>
      <c r="K3957" s="55" t="s">
        <v>3351</v>
      </c>
      <c r="L3957" s="55" t="s">
        <v>2744</v>
      </c>
      <c r="M3957" s="90">
        <v>7.5</v>
      </c>
      <c r="N3957" s="90">
        <f>3+54/60</f>
        <v>3.9</v>
      </c>
      <c r="O3957" s="90">
        <v>213</v>
      </c>
      <c r="S3957" s="90">
        <v>1247</v>
      </c>
      <c r="U3957" s="55" t="s">
        <v>1935</v>
      </c>
      <c r="V3957" s="55" t="s">
        <v>1889</v>
      </c>
      <c r="Y3957" s="55" t="s">
        <v>3354</v>
      </c>
      <c r="Z3957" s="55" t="s">
        <v>1349</v>
      </c>
      <c r="AA3957" s="90" t="s">
        <v>1677</v>
      </c>
      <c r="AE3957" s="90">
        <v>77.2</v>
      </c>
      <c r="AF3957" s="90">
        <v>11</v>
      </c>
      <c r="AH3957" s="55" t="s">
        <v>174</v>
      </c>
      <c r="AI3957" s="168">
        <v>7.8</v>
      </c>
      <c r="AJ3957" s="90">
        <v>2.17</v>
      </c>
      <c r="AM3957" s="55" t="s">
        <v>3352</v>
      </c>
      <c r="AN3957" s="185" t="s">
        <v>2722</v>
      </c>
      <c r="AO3957" s="185" t="s">
        <v>5150</v>
      </c>
      <c r="AQ3957" s="55" t="s">
        <v>4233</v>
      </c>
      <c r="AR3957" s="55" t="s">
        <v>2283</v>
      </c>
      <c r="AS3957" s="55" t="s">
        <v>227</v>
      </c>
      <c r="AU3957" s="181" t="s">
        <v>7494</v>
      </c>
      <c r="AV3957" s="185" t="s">
        <v>176</v>
      </c>
      <c r="AX3957" s="185" t="s">
        <v>176</v>
      </c>
      <c r="BK3957" s="55" t="s">
        <v>6333</v>
      </c>
      <c r="BM3957" s="192" t="s">
        <v>3210</v>
      </c>
      <c r="CB3957" s="66">
        <v>2900</v>
      </c>
      <c r="CC3957" s="66">
        <v>4500</v>
      </c>
      <c r="GP3957" s="292" t="s">
        <v>7494</v>
      </c>
    </row>
    <row r="3958" spans="1:198" x14ac:dyDescent="0.25">
      <c r="A3958" s="55">
        <v>3957</v>
      </c>
      <c r="B3958" s="12" t="s">
        <v>7067</v>
      </c>
      <c r="C3958" s="155">
        <v>172</v>
      </c>
      <c r="D3958" s="55" t="s">
        <v>3358</v>
      </c>
      <c r="E3958" s="90" t="s">
        <v>3334</v>
      </c>
      <c r="G3958" s="55" t="s">
        <v>3275</v>
      </c>
      <c r="H3958" s="55">
        <v>2005</v>
      </c>
      <c r="I3958" s="55">
        <v>1990</v>
      </c>
      <c r="J3958" s="55" t="s">
        <v>2660</v>
      </c>
      <c r="K3958" s="55" t="s">
        <v>3351</v>
      </c>
      <c r="L3958" s="55" t="s">
        <v>2744</v>
      </c>
      <c r="M3958" s="90">
        <v>7.5</v>
      </c>
      <c r="N3958" s="90">
        <f>3+54/60</f>
        <v>3.9</v>
      </c>
      <c r="O3958" s="90">
        <v>213</v>
      </c>
      <c r="S3958" s="90">
        <v>1247</v>
      </c>
      <c r="U3958" s="55" t="s">
        <v>1805</v>
      </c>
      <c r="V3958" s="55" t="s">
        <v>1889</v>
      </c>
      <c r="Y3958" s="55" t="s">
        <v>3354</v>
      </c>
      <c r="Z3958" s="55" t="s">
        <v>1349</v>
      </c>
      <c r="AA3958" s="90" t="s">
        <v>1677</v>
      </c>
      <c r="AE3958" s="90">
        <v>77.2</v>
      </c>
      <c r="AF3958" s="90">
        <v>11</v>
      </c>
      <c r="AH3958" s="55" t="s">
        <v>174</v>
      </c>
      <c r="AI3958" s="168">
        <v>7.8</v>
      </c>
      <c r="AJ3958" s="90">
        <v>2.17</v>
      </c>
      <c r="AM3958" s="55" t="s">
        <v>3352</v>
      </c>
      <c r="AN3958" s="185" t="s">
        <v>2722</v>
      </c>
      <c r="AO3958" s="185" t="s">
        <v>5150</v>
      </c>
      <c r="AQ3958" s="55" t="s">
        <v>4233</v>
      </c>
      <c r="AR3958" s="55" t="s">
        <v>2283</v>
      </c>
      <c r="AS3958" s="55" t="s">
        <v>227</v>
      </c>
      <c r="AU3958" s="181" t="s">
        <v>7494</v>
      </c>
      <c r="AV3958" s="185" t="s">
        <v>176</v>
      </c>
      <c r="AX3958" s="185" t="s">
        <v>176</v>
      </c>
      <c r="BK3958" s="55" t="s">
        <v>6333</v>
      </c>
      <c r="BM3958" s="192" t="s">
        <v>3210</v>
      </c>
      <c r="GP3958" s="292" t="s">
        <v>7494</v>
      </c>
    </row>
    <row r="3959" spans="1:198" x14ac:dyDescent="0.25">
      <c r="A3959" s="55">
        <v>3958</v>
      </c>
      <c r="B3959" s="12" t="s">
        <v>7067</v>
      </c>
      <c r="C3959" s="155">
        <v>172</v>
      </c>
      <c r="D3959" s="55" t="s">
        <v>3358</v>
      </c>
      <c r="E3959" s="90" t="s">
        <v>3334</v>
      </c>
      <c r="G3959" s="55" t="s">
        <v>3275</v>
      </c>
      <c r="H3959" s="55">
        <v>2005</v>
      </c>
      <c r="I3959" s="55">
        <v>1990</v>
      </c>
      <c r="J3959" s="55" t="s">
        <v>2660</v>
      </c>
      <c r="K3959" s="55" t="s">
        <v>3351</v>
      </c>
      <c r="L3959" s="55" t="s">
        <v>2744</v>
      </c>
      <c r="M3959" s="90">
        <v>7.5</v>
      </c>
      <c r="N3959" s="90">
        <f>3+54/60</f>
        <v>3.9</v>
      </c>
      <c r="O3959" s="90">
        <v>213</v>
      </c>
      <c r="S3959" s="90">
        <v>1247</v>
      </c>
      <c r="U3959" s="55" t="s">
        <v>1805</v>
      </c>
      <c r="V3959" s="55" t="s">
        <v>1889</v>
      </c>
      <c r="Y3959" s="55" t="s">
        <v>3354</v>
      </c>
      <c r="Z3959" s="55" t="s">
        <v>1349</v>
      </c>
      <c r="AA3959" s="90" t="s">
        <v>1677</v>
      </c>
      <c r="AE3959" s="90">
        <v>77.2</v>
      </c>
      <c r="AF3959" s="90">
        <v>11</v>
      </c>
      <c r="AH3959" s="55" t="s">
        <v>174</v>
      </c>
      <c r="AI3959" s="168">
        <v>7.8</v>
      </c>
      <c r="AJ3959" s="90">
        <v>2.17</v>
      </c>
      <c r="AM3959" s="55" t="s">
        <v>3352</v>
      </c>
      <c r="AN3959" s="185" t="s">
        <v>2722</v>
      </c>
      <c r="AO3959" s="185" t="s">
        <v>5150</v>
      </c>
      <c r="AQ3959" s="55" t="s">
        <v>4233</v>
      </c>
      <c r="AR3959" s="55" t="s">
        <v>2283</v>
      </c>
      <c r="AS3959" s="55" t="s">
        <v>227</v>
      </c>
      <c r="AU3959" s="181" t="s">
        <v>7494</v>
      </c>
      <c r="AV3959" s="185" t="s">
        <v>176</v>
      </c>
      <c r="AX3959" s="185" t="s">
        <v>176</v>
      </c>
      <c r="BK3959" s="55" t="s">
        <v>6333</v>
      </c>
      <c r="BM3959" s="192" t="s">
        <v>3210</v>
      </c>
      <c r="GP3959" s="292" t="s">
        <v>7494</v>
      </c>
    </row>
    <row r="3960" spans="1:198" x14ac:dyDescent="0.25">
      <c r="A3960" s="55">
        <v>3959</v>
      </c>
      <c r="B3960" s="12" t="s">
        <v>7067</v>
      </c>
      <c r="C3960" s="155">
        <v>172</v>
      </c>
      <c r="D3960" s="55" t="s">
        <v>3358</v>
      </c>
      <c r="E3960" s="90" t="s">
        <v>3334</v>
      </c>
      <c r="G3960" s="55" t="s">
        <v>3275</v>
      </c>
      <c r="H3960" s="55">
        <v>2005</v>
      </c>
      <c r="I3960" s="55">
        <v>1990</v>
      </c>
      <c r="J3960" s="55" t="s">
        <v>2660</v>
      </c>
      <c r="K3960" s="55" t="s">
        <v>3351</v>
      </c>
      <c r="L3960" s="55" t="s">
        <v>2744</v>
      </c>
      <c r="M3960" s="90">
        <v>7.5</v>
      </c>
      <c r="N3960" s="90">
        <f>3+54/60</f>
        <v>3.9</v>
      </c>
      <c r="O3960" s="90">
        <v>213</v>
      </c>
      <c r="S3960" s="90">
        <v>1247</v>
      </c>
      <c r="U3960" s="55" t="s">
        <v>1805</v>
      </c>
      <c r="V3960" s="55" t="s">
        <v>1889</v>
      </c>
      <c r="Y3960" s="55" t="s">
        <v>3354</v>
      </c>
      <c r="Z3960" s="55" t="s">
        <v>1349</v>
      </c>
      <c r="AA3960" s="90" t="s">
        <v>1677</v>
      </c>
      <c r="AE3960" s="90">
        <v>77.2</v>
      </c>
      <c r="AF3960" s="90">
        <v>11</v>
      </c>
      <c r="AH3960" s="55" t="s">
        <v>174</v>
      </c>
      <c r="AI3960" s="168">
        <v>7.8</v>
      </c>
      <c r="AJ3960" s="90">
        <v>2.17</v>
      </c>
      <c r="AM3960" s="55" t="s">
        <v>3352</v>
      </c>
      <c r="AN3960" s="185" t="s">
        <v>2722</v>
      </c>
      <c r="AO3960" s="185" t="s">
        <v>5150</v>
      </c>
      <c r="AQ3960" s="55" t="s">
        <v>4233</v>
      </c>
      <c r="AR3960" s="55" t="s">
        <v>2283</v>
      </c>
      <c r="AS3960" s="55" t="s">
        <v>227</v>
      </c>
      <c r="AU3960" s="181" t="s">
        <v>7494</v>
      </c>
      <c r="AV3960" s="185" t="s">
        <v>176</v>
      </c>
      <c r="AX3960" s="185" t="s">
        <v>176</v>
      </c>
      <c r="BK3960" s="55" t="s">
        <v>6333</v>
      </c>
      <c r="BM3960" s="192" t="s">
        <v>3210</v>
      </c>
      <c r="GP3960" s="292" t="s">
        <v>7494</v>
      </c>
    </row>
    <row r="3961" spans="1:198" x14ac:dyDescent="0.25">
      <c r="A3961" s="55">
        <v>3960</v>
      </c>
      <c r="B3961" s="12" t="s">
        <v>7067</v>
      </c>
      <c r="C3961" s="155">
        <v>172</v>
      </c>
      <c r="D3961" s="55" t="s">
        <v>3358</v>
      </c>
      <c r="E3961" s="90" t="s">
        <v>3334</v>
      </c>
      <c r="G3961" s="55" t="s">
        <v>3275</v>
      </c>
      <c r="H3961" s="55">
        <v>2005</v>
      </c>
      <c r="I3961" s="55">
        <v>1990</v>
      </c>
      <c r="J3961" s="55" t="s">
        <v>2660</v>
      </c>
      <c r="K3961" s="55" t="s">
        <v>3351</v>
      </c>
      <c r="L3961" s="55" t="s">
        <v>2744</v>
      </c>
      <c r="M3961" s="90">
        <v>7.5</v>
      </c>
      <c r="N3961" s="90">
        <f>3+54/60</f>
        <v>3.9</v>
      </c>
      <c r="O3961" s="90">
        <v>213</v>
      </c>
      <c r="S3961" s="90">
        <v>1247</v>
      </c>
      <c r="U3961" s="55" t="s">
        <v>1805</v>
      </c>
      <c r="V3961" s="55" t="s">
        <v>1889</v>
      </c>
      <c r="Y3961" s="55" t="s">
        <v>3354</v>
      </c>
      <c r="Z3961" s="55" t="s">
        <v>1349</v>
      </c>
      <c r="AA3961" s="90" t="s">
        <v>1677</v>
      </c>
      <c r="AE3961" s="90">
        <v>77.2</v>
      </c>
      <c r="AF3961" s="90">
        <v>11</v>
      </c>
      <c r="AH3961" s="55" t="s">
        <v>174</v>
      </c>
      <c r="AI3961" s="168">
        <v>7.8</v>
      </c>
      <c r="AJ3961" s="90">
        <v>2.17</v>
      </c>
      <c r="AM3961" s="55" t="s">
        <v>3352</v>
      </c>
      <c r="AN3961" s="185" t="s">
        <v>2722</v>
      </c>
      <c r="AO3961" s="185" t="s">
        <v>5150</v>
      </c>
      <c r="AQ3961" s="55" t="s">
        <v>4233</v>
      </c>
      <c r="AR3961" s="55" t="s">
        <v>2283</v>
      </c>
      <c r="AS3961" s="55" t="s">
        <v>227</v>
      </c>
      <c r="AU3961" s="181" t="s">
        <v>7494</v>
      </c>
      <c r="AV3961" s="185" t="s">
        <v>176</v>
      </c>
      <c r="AX3961" s="185" t="s">
        <v>176</v>
      </c>
      <c r="BK3961" s="55" t="s">
        <v>6333</v>
      </c>
      <c r="BM3961" s="192" t="s">
        <v>3210</v>
      </c>
      <c r="GP3961" s="292" t="s">
        <v>7494</v>
      </c>
    </row>
    <row r="3962" spans="1:198" x14ac:dyDescent="0.25">
      <c r="A3962" s="55">
        <v>3961</v>
      </c>
      <c r="B3962" s="12" t="s">
        <v>7067</v>
      </c>
      <c r="C3962" s="155">
        <v>172</v>
      </c>
      <c r="D3962" s="55" t="s">
        <v>3358</v>
      </c>
      <c r="E3962" s="90" t="s">
        <v>3334</v>
      </c>
      <c r="G3962" s="55" t="s">
        <v>3275</v>
      </c>
      <c r="H3962" s="55">
        <v>2005</v>
      </c>
      <c r="I3962" s="55">
        <v>1991</v>
      </c>
      <c r="J3962" s="55" t="s">
        <v>2660</v>
      </c>
      <c r="K3962" s="55" t="s">
        <v>3351</v>
      </c>
      <c r="L3962" s="55" t="s">
        <v>2744</v>
      </c>
      <c r="M3962" s="90">
        <v>7.5</v>
      </c>
      <c r="N3962" s="90">
        <f>3+54/60</f>
        <v>3.9</v>
      </c>
      <c r="O3962" s="90">
        <v>213</v>
      </c>
      <c r="S3962" s="90">
        <v>1247</v>
      </c>
      <c r="U3962" s="55" t="s">
        <v>1688</v>
      </c>
      <c r="V3962" s="55" t="s">
        <v>1889</v>
      </c>
      <c r="Y3962" s="55" t="s">
        <v>3354</v>
      </c>
      <c r="Z3962" s="55" t="s">
        <v>1349</v>
      </c>
      <c r="AA3962" s="90" t="s">
        <v>1677</v>
      </c>
      <c r="AE3962" s="90">
        <v>77.2</v>
      </c>
      <c r="AF3962" s="90">
        <v>11</v>
      </c>
      <c r="AH3962" s="55" t="s">
        <v>174</v>
      </c>
      <c r="AI3962" s="168">
        <v>7.8</v>
      </c>
      <c r="AJ3962" s="90">
        <v>2.17</v>
      </c>
      <c r="AM3962" s="55" t="s">
        <v>3352</v>
      </c>
      <c r="AN3962" s="185" t="s">
        <v>2722</v>
      </c>
      <c r="AO3962" s="185" t="s">
        <v>5150</v>
      </c>
      <c r="AQ3962" s="55" t="s">
        <v>4233</v>
      </c>
      <c r="AR3962" s="55" t="s">
        <v>2283</v>
      </c>
      <c r="AS3962" s="55" t="s">
        <v>227</v>
      </c>
      <c r="AU3962" s="181" t="s">
        <v>7494</v>
      </c>
      <c r="AV3962" s="185" t="s">
        <v>176</v>
      </c>
      <c r="AX3962" s="185" t="s">
        <v>176</v>
      </c>
      <c r="BK3962" s="55" t="s">
        <v>6333</v>
      </c>
      <c r="BM3962" s="192" t="s">
        <v>3210</v>
      </c>
      <c r="CB3962" s="66">
        <v>5800</v>
      </c>
      <c r="CC3962" s="66">
        <v>5200</v>
      </c>
      <c r="GP3962" s="292" t="s">
        <v>7494</v>
      </c>
    </row>
    <row r="3963" spans="1:198" x14ac:dyDescent="0.25">
      <c r="A3963" s="55">
        <v>3962</v>
      </c>
      <c r="B3963" s="12" t="s">
        <v>7067</v>
      </c>
      <c r="C3963" s="155">
        <v>172</v>
      </c>
      <c r="D3963" s="55" t="s">
        <v>3358</v>
      </c>
      <c r="E3963" s="90" t="s">
        <v>3334</v>
      </c>
      <c r="G3963" s="55" t="s">
        <v>3275</v>
      </c>
      <c r="H3963" s="55">
        <v>2005</v>
      </c>
      <c r="I3963" s="55">
        <v>1991</v>
      </c>
      <c r="J3963" s="55" t="s">
        <v>2660</v>
      </c>
      <c r="K3963" s="55" t="s">
        <v>3351</v>
      </c>
      <c r="L3963" s="55" t="s">
        <v>2744</v>
      </c>
      <c r="M3963" s="90">
        <v>7.5</v>
      </c>
      <c r="N3963" s="90">
        <f>3+54/60</f>
        <v>3.9</v>
      </c>
      <c r="O3963" s="90">
        <v>213</v>
      </c>
      <c r="S3963" s="90">
        <v>1247</v>
      </c>
      <c r="U3963" s="55" t="s">
        <v>1688</v>
      </c>
      <c r="V3963" s="55" t="s">
        <v>1889</v>
      </c>
      <c r="Y3963" s="55" t="s">
        <v>3354</v>
      </c>
      <c r="Z3963" s="55" t="s">
        <v>1349</v>
      </c>
      <c r="AA3963" s="90" t="s">
        <v>1677</v>
      </c>
      <c r="AE3963" s="90">
        <v>77.2</v>
      </c>
      <c r="AF3963" s="90">
        <v>11</v>
      </c>
      <c r="AH3963" s="55" t="s">
        <v>174</v>
      </c>
      <c r="AI3963" s="168">
        <v>7.8</v>
      </c>
      <c r="AJ3963" s="90">
        <v>2.17</v>
      </c>
      <c r="AM3963" s="55" t="s">
        <v>3352</v>
      </c>
      <c r="AN3963" s="185" t="s">
        <v>2722</v>
      </c>
      <c r="AO3963" s="185" t="s">
        <v>5150</v>
      </c>
      <c r="AQ3963" s="55" t="s">
        <v>4233</v>
      </c>
      <c r="AR3963" s="55" t="s">
        <v>2283</v>
      </c>
      <c r="AS3963" s="55" t="s">
        <v>227</v>
      </c>
      <c r="AU3963" s="181" t="s">
        <v>7494</v>
      </c>
      <c r="AV3963" s="185" t="s">
        <v>176</v>
      </c>
      <c r="AX3963" s="185" t="s">
        <v>176</v>
      </c>
      <c r="BK3963" s="55" t="s">
        <v>6333</v>
      </c>
      <c r="BM3963" s="192" t="s">
        <v>3210</v>
      </c>
      <c r="CB3963" s="66">
        <v>8900</v>
      </c>
      <c r="CC3963" s="66">
        <v>6100</v>
      </c>
      <c r="GP3963" s="292" t="s">
        <v>7494</v>
      </c>
    </row>
    <row r="3964" spans="1:198" x14ac:dyDescent="0.25">
      <c r="A3964" s="55">
        <v>3963</v>
      </c>
      <c r="B3964" s="12" t="s">
        <v>7067</v>
      </c>
      <c r="C3964" s="155">
        <v>172</v>
      </c>
      <c r="D3964" s="55" t="s">
        <v>3358</v>
      </c>
      <c r="E3964" s="90" t="s">
        <v>3334</v>
      </c>
      <c r="G3964" s="55" t="s">
        <v>3275</v>
      </c>
      <c r="H3964" s="55">
        <v>2005</v>
      </c>
      <c r="I3964" s="55">
        <v>1991</v>
      </c>
      <c r="J3964" s="55" t="s">
        <v>2660</v>
      </c>
      <c r="K3964" s="55" t="s">
        <v>3351</v>
      </c>
      <c r="L3964" s="55" t="s">
        <v>2744</v>
      </c>
      <c r="M3964" s="90">
        <v>7.5</v>
      </c>
      <c r="N3964" s="90">
        <f>3+54/60</f>
        <v>3.9</v>
      </c>
      <c r="O3964" s="90">
        <v>213</v>
      </c>
      <c r="S3964" s="90">
        <v>1247</v>
      </c>
      <c r="U3964" s="55" t="s">
        <v>1688</v>
      </c>
      <c r="V3964" s="55" t="s">
        <v>1889</v>
      </c>
      <c r="Y3964" s="55" t="s">
        <v>3354</v>
      </c>
      <c r="Z3964" s="55" t="s">
        <v>1349</v>
      </c>
      <c r="AA3964" s="90" t="s">
        <v>1677</v>
      </c>
      <c r="AE3964" s="90">
        <v>77.2</v>
      </c>
      <c r="AF3964" s="90">
        <v>11</v>
      </c>
      <c r="AH3964" s="55" t="s">
        <v>174</v>
      </c>
      <c r="AI3964" s="168">
        <v>7.8</v>
      </c>
      <c r="AJ3964" s="90">
        <v>2.17</v>
      </c>
      <c r="AM3964" s="55" t="s">
        <v>3352</v>
      </c>
      <c r="AN3964" s="185" t="s">
        <v>2722</v>
      </c>
      <c r="AO3964" s="185" t="s">
        <v>5150</v>
      </c>
      <c r="AQ3964" s="55" t="s">
        <v>4233</v>
      </c>
      <c r="AR3964" s="55" t="s">
        <v>2283</v>
      </c>
      <c r="AS3964" s="55" t="s">
        <v>227</v>
      </c>
      <c r="AU3964" s="181" t="s">
        <v>7494</v>
      </c>
      <c r="AV3964" s="185" t="s">
        <v>176</v>
      </c>
      <c r="AX3964" s="185" t="s">
        <v>176</v>
      </c>
      <c r="BK3964" s="55" t="s">
        <v>6333</v>
      </c>
      <c r="BM3964" s="192" t="s">
        <v>3210</v>
      </c>
      <c r="GP3964" s="292" t="s">
        <v>7494</v>
      </c>
    </row>
    <row r="3965" spans="1:198" x14ac:dyDescent="0.25">
      <c r="A3965" s="55">
        <v>3964</v>
      </c>
      <c r="B3965" s="12" t="s">
        <v>7067</v>
      </c>
      <c r="C3965" s="155">
        <v>172</v>
      </c>
      <c r="D3965" s="55" t="s">
        <v>3358</v>
      </c>
      <c r="E3965" s="90" t="s">
        <v>3334</v>
      </c>
      <c r="G3965" s="55" t="s">
        <v>3275</v>
      </c>
      <c r="H3965" s="55">
        <v>2005</v>
      </c>
      <c r="I3965" s="55">
        <v>1991</v>
      </c>
      <c r="J3965" s="55" t="s">
        <v>2660</v>
      </c>
      <c r="K3965" s="55" t="s">
        <v>3351</v>
      </c>
      <c r="L3965" s="55" t="s">
        <v>2744</v>
      </c>
      <c r="M3965" s="90">
        <v>7.5</v>
      </c>
      <c r="N3965" s="90">
        <f>3+54/60</f>
        <v>3.9</v>
      </c>
      <c r="O3965" s="90">
        <v>213</v>
      </c>
      <c r="S3965" s="90">
        <v>1247</v>
      </c>
      <c r="U3965" s="55" t="s">
        <v>1688</v>
      </c>
      <c r="V3965" s="55" t="s">
        <v>1889</v>
      </c>
      <c r="Y3965" s="55" t="s">
        <v>3354</v>
      </c>
      <c r="Z3965" s="55" t="s">
        <v>1349</v>
      </c>
      <c r="AA3965" s="90" t="s">
        <v>1677</v>
      </c>
      <c r="AE3965" s="90">
        <v>77.2</v>
      </c>
      <c r="AF3965" s="90">
        <v>11</v>
      </c>
      <c r="AH3965" s="55" t="s">
        <v>174</v>
      </c>
      <c r="AI3965" s="168">
        <v>7.8</v>
      </c>
      <c r="AJ3965" s="90">
        <v>2.17</v>
      </c>
      <c r="AM3965" s="55" t="s">
        <v>3352</v>
      </c>
      <c r="AN3965" s="185" t="s">
        <v>2722</v>
      </c>
      <c r="AO3965" s="185" t="s">
        <v>5150</v>
      </c>
      <c r="AQ3965" s="55" t="s">
        <v>4233</v>
      </c>
      <c r="AR3965" s="55" t="s">
        <v>2283</v>
      </c>
      <c r="AS3965" s="55" t="s">
        <v>227</v>
      </c>
      <c r="AU3965" s="181" t="s">
        <v>7494</v>
      </c>
      <c r="AV3965" s="185" t="s">
        <v>176</v>
      </c>
      <c r="AX3965" s="185" t="s">
        <v>176</v>
      </c>
      <c r="BK3965" s="55" t="s">
        <v>6333</v>
      </c>
      <c r="BM3965" s="192" t="s">
        <v>3210</v>
      </c>
      <c r="GP3965" s="292" t="s">
        <v>7494</v>
      </c>
    </row>
    <row r="3966" spans="1:198" x14ac:dyDescent="0.25">
      <c r="A3966" s="55">
        <v>3965</v>
      </c>
      <c r="B3966" s="12" t="s">
        <v>7067</v>
      </c>
      <c r="C3966" s="155">
        <v>172</v>
      </c>
      <c r="D3966" s="55" t="s">
        <v>3358</v>
      </c>
      <c r="E3966" s="90" t="s">
        <v>3334</v>
      </c>
      <c r="G3966" s="55" t="s">
        <v>3275</v>
      </c>
      <c r="H3966" s="55">
        <v>2005</v>
      </c>
      <c r="I3966" s="55">
        <v>1992</v>
      </c>
      <c r="J3966" s="55" t="s">
        <v>2660</v>
      </c>
      <c r="K3966" s="55" t="s">
        <v>3351</v>
      </c>
      <c r="L3966" s="55" t="s">
        <v>2744</v>
      </c>
      <c r="M3966" s="90">
        <v>7.5</v>
      </c>
      <c r="N3966" s="90">
        <f>3+54/60</f>
        <v>3.9</v>
      </c>
      <c r="O3966" s="90">
        <v>213</v>
      </c>
      <c r="S3966" s="90">
        <v>1247</v>
      </c>
      <c r="U3966" s="55" t="s">
        <v>1816</v>
      </c>
      <c r="V3966" s="55" t="s">
        <v>1889</v>
      </c>
      <c r="Y3966" s="55" t="s">
        <v>3354</v>
      </c>
      <c r="Z3966" s="55" t="s">
        <v>1349</v>
      </c>
      <c r="AA3966" s="90" t="s">
        <v>1677</v>
      </c>
      <c r="AE3966" s="90">
        <v>77.2</v>
      </c>
      <c r="AF3966" s="90">
        <v>11</v>
      </c>
      <c r="AH3966" s="55" t="s">
        <v>174</v>
      </c>
      <c r="AI3966" s="168">
        <v>7.8</v>
      </c>
      <c r="AJ3966" s="90">
        <v>2.17</v>
      </c>
      <c r="AM3966" s="55" t="s">
        <v>3352</v>
      </c>
      <c r="AN3966" s="185" t="s">
        <v>2722</v>
      </c>
      <c r="AO3966" s="185" t="s">
        <v>5150</v>
      </c>
      <c r="AQ3966" s="55" t="s">
        <v>4233</v>
      </c>
      <c r="AR3966" s="55" t="s">
        <v>2283</v>
      </c>
      <c r="AS3966" s="55" t="s">
        <v>227</v>
      </c>
      <c r="AU3966" s="181" t="s">
        <v>7494</v>
      </c>
      <c r="AV3966" s="185" t="s">
        <v>176</v>
      </c>
      <c r="AX3966" s="185" t="s">
        <v>176</v>
      </c>
      <c r="BK3966" s="55" t="s">
        <v>6333</v>
      </c>
      <c r="BM3966" s="192" t="s">
        <v>3210</v>
      </c>
      <c r="CB3966" s="66">
        <v>5100</v>
      </c>
      <c r="CC3966" s="66">
        <v>4200</v>
      </c>
      <c r="GP3966" s="292" t="s">
        <v>7494</v>
      </c>
    </row>
    <row r="3967" spans="1:198" x14ac:dyDescent="0.25">
      <c r="A3967" s="55">
        <v>3966</v>
      </c>
      <c r="B3967" s="12" t="s">
        <v>7067</v>
      </c>
      <c r="C3967" s="155">
        <v>172</v>
      </c>
      <c r="D3967" s="55" t="s">
        <v>3358</v>
      </c>
      <c r="E3967" s="90" t="s">
        <v>3334</v>
      </c>
      <c r="G3967" s="55" t="s">
        <v>3275</v>
      </c>
      <c r="H3967" s="55">
        <v>2005</v>
      </c>
      <c r="I3967" s="55">
        <v>1992</v>
      </c>
      <c r="J3967" s="55" t="s">
        <v>2660</v>
      </c>
      <c r="K3967" s="55" t="s">
        <v>3351</v>
      </c>
      <c r="L3967" s="55" t="s">
        <v>2744</v>
      </c>
      <c r="M3967" s="90">
        <v>7.5</v>
      </c>
      <c r="N3967" s="90">
        <f>3+54/60</f>
        <v>3.9</v>
      </c>
      <c r="O3967" s="90">
        <v>213</v>
      </c>
      <c r="S3967" s="90">
        <v>1247</v>
      </c>
      <c r="U3967" s="55" t="s">
        <v>1816</v>
      </c>
      <c r="V3967" s="55" t="s">
        <v>1889</v>
      </c>
      <c r="Y3967" s="55" t="s">
        <v>3354</v>
      </c>
      <c r="Z3967" s="55" t="s">
        <v>1349</v>
      </c>
      <c r="AA3967" s="90" t="s">
        <v>1677</v>
      </c>
      <c r="AE3967" s="90">
        <v>77.2</v>
      </c>
      <c r="AF3967" s="90">
        <v>11</v>
      </c>
      <c r="AH3967" s="55" t="s">
        <v>174</v>
      </c>
      <c r="AI3967" s="168">
        <v>7.8</v>
      </c>
      <c r="AJ3967" s="90">
        <v>2.17</v>
      </c>
      <c r="AM3967" s="55" t="s">
        <v>3352</v>
      </c>
      <c r="AN3967" s="185" t="s">
        <v>2722</v>
      </c>
      <c r="AO3967" s="185" t="s">
        <v>5150</v>
      </c>
      <c r="AQ3967" s="55" t="s">
        <v>4233</v>
      </c>
      <c r="AR3967" s="55" t="s">
        <v>2283</v>
      </c>
      <c r="AS3967" s="55" t="s">
        <v>227</v>
      </c>
      <c r="AU3967" s="181" t="s">
        <v>7494</v>
      </c>
      <c r="AV3967" s="185" t="s">
        <v>176</v>
      </c>
      <c r="AX3967" s="185" t="s">
        <v>176</v>
      </c>
      <c r="BK3967" s="55" t="s">
        <v>6333</v>
      </c>
      <c r="BM3967" s="192" t="s">
        <v>3210</v>
      </c>
      <c r="CB3967" s="66">
        <v>5600</v>
      </c>
      <c r="CC3967" s="66">
        <v>6200</v>
      </c>
      <c r="GP3967" s="292" t="s">
        <v>7494</v>
      </c>
    </row>
    <row r="3968" spans="1:198" x14ac:dyDescent="0.25">
      <c r="A3968" s="55">
        <v>3967</v>
      </c>
      <c r="B3968" s="12" t="s">
        <v>7067</v>
      </c>
      <c r="C3968" s="155">
        <v>172</v>
      </c>
      <c r="D3968" s="55" t="s">
        <v>3358</v>
      </c>
      <c r="E3968" s="90" t="s">
        <v>3334</v>
      </c>
      <c r="G3968" s="55" t="s">
        <v>3275</v>
      </c>
      <c r="H3968" s="55">
        <v>2005</v>
      </c>
      <c r="I3968" s="55">
        <v>1992</v>
      </c>
      <c r="J3968" s="55" t="s">
        <v>2660</v>
      </c>
      <c r="K3968" s="55" t="s">
        <v>3351</v>
      </c>
      <c r="L3968" s="55" t="s">
        <v>2744</v>
      </c>
      <c r="M3968" s="90">
        <v>7.5</v>
      </c>
      <c r="N3968" s="90">
        <f>3+54/60</f>
        <v>3.9</v>
      </c>
      <c r="O3968" s="90">
        <v>213</v>
      </c>
      <c r="S3968" s="90">
        <v>1247</v>
      </c>
      <c r="U3968" s="55" t="s">
        <v>1816</v>
      </c>
      <c r="V3968" s="55" t="s">
        <v>1889</v>
      </c>
      <c r="Y3968" s="55" t="s">
        <v>3354</v>
      </c>
      <c r="Z3968" s="55" t="s">
        <v>1349</v>
      </c>
      <c r="AA3968" s="90" t="s">
        <v>1677</v>
      </c>
      <c r="AE3968" s="90">
        <v>77.2</v>
      </c>
      <c r="AF3968" s="90">
        <v>11</v>
      </c>
      <c r="AH3968" s="55" t="s">
        <v>174</v>
      </c>
      <c r="AI3968" s="168">
        <v>7.8</v>
      </c>
      <c r="AJ3968" s="90">
        <v>2.17</v>
      </c>
      <c r="AM3968" s="55" t="s">
        <v>3352</v>
      </c>
      <c r="AN3968" s="185" t="s">
        <v>2722</v>
      </c>
      <c r="AO3968" s="185" t="s">
        <v>5150</v>
      </c>
      <c r="AQ3968" s="55" t="s">
        <v>4233</v>
      </c>
      <c r="AR3968" s="55" t="s">
        <v>2283</v>
      </c>
      <c r="AS3968" s="55" t="s">
        <v>227</v>
      </c>
      <c r="AU3968" s="181" t="s">
        <v>7494</v>
      </c>
      <c r="AV3968" s="185" t="s">
        <v>176</v>
      </c>
      <c r="AX3968" s="185" t="s">
        <v>176</v>
      </c>
      <c r="BK3968" s="55" t="s">
        <v>6333</v>
      </c>
      <c r="BM3968" s="192" t="s">
        <v>3210</v>
      </c>
      <c r="CB3968" s="66">
        <v>9500</v>
      </c>
      <c r="CC3968" s="66">
        <v>5500</v>
      </c>
      <c r="GP3968" s="292" t="s">
        <v>7494</v>
      </c>
    </row>
    <row r="3969" spans="1:198" x14ac:dyDescent="0.25">
      <c r="A3969" s="55">
        <v>3968</v>
      </c>
      <c r="B3969" s="12" t="s">
        <v>7067</v>
      </c>
      <c r="C3969" s="155">
        <v>172</v>
      </c>
      <c r="D3969" s="55" t="s">
        <v>3358</v>
      </c>
      <c r="E3969" s="90" t="s">
        <v>3334</v>
      </c>
      <c r="G3969" s="55" t="s">
        <v>3275</v>
      </c>
      <c r="H3969" s="55">
        <v>2005</v>
      </c>
      <c r="I3969" s="55">
        <v>1992</v>
      </c>
      <c r="J3969" s="55" t="s">
        <v>2660</v>
      </c>
      <c r="K3969" s="55" t="s">
        <v>3351</v>
      </c>
      <c r="L3969" s="55" t="s">
        <v>2744</v>
      </c>
      <c r="M3969" s="90">
        <v>7.5</v>
      </c>
      <c r="N3969" s="90">
        <f>3+54/60</f>
        <v>3.9</v>
      </c>
      <c r="O3969" s="90">
        <v>213</v>
      </c>
      <c r="S3969" s="90">
        <v>1247</v>
      </c>
      <c r="U3969" s="55" t="s">
        <v>1816</v>
      </c>
      <c r="V3969" s="55" t="s">
        <v>1889</v>
      </c>
      <c r="Y3969" s="55" t="s">
        <v>3354</v>
      </c>
      <c r="Z3969" s="55" t="s">
        <v>1349</v>
      </c>
      <c r="AA3969" s="90" t="s">
        <v>1677</v>
      </c>
      <c r="AE3969" s="90">
        <v>77.2</v>
      </c>
      <c r="AF3969" s="90">
        <v>11</v>
      </c>
      <c r="AH3969" s="55" t="s">
        <v>174</v>
      </c>
      <c r="AI3969" s="168">
        <v>7.8</v>
      </c>
      <c r="AJ3969" s="90">
        <v>2.17</v>
      </c>
      <c r="AM3969" s="55" t="s">
        <v>3352</v>
      </c>
      <c r="AN3969" s="185" t="s">
        <v>2722</v>
      </c>
      <c r="AO3969" s="185" t="s">
        <v>5150</v>
      </c>
      <c r="AQ3969" s="55" t="s">
        <v>4233</v>
      </c>
      <c r="AR3969" s="55" t="s">
        <v>2283</v>
      </c>
      <c r="AS3969" s="55" t="s">
        <v>227</v>
      </c>
      <c r="AU3969" s="181" t="s">
        <v>7494</v>
      </c>
      <c r="AV3969" s="185" t="s">
        <v>176</v>
      </c>
      <c r="AX3969" s="185" t="s">
        <v>176</v>
      </c>
      <c r="BK3969" s="55" t="s">
        <v>6333</v>
      </c>
      <c r="BM3969" s="192" t="s">
        <v>3210</v>
      </c>
      <c r="GP3969" s="292" t="s">
        <v>7494</v>
      </c>
    </row>
    <row r="3970" spans="1:198" x14ac:dyDescent="0.25">
      <c r="A3970" s="55">
        <v>3969</v>
      </c>
      <c r="B3970" s="12" t="s">
        <v>7067</v>
      </c>
      <c r="C3970" s="155">
        <v>172</v>
      </c>
      <c r="D3970" s="55" t="s">
        <v>3358</v>
      </c>
      <c r="E3970" s="90" t="s">
        <v>3334</v>
      </c>
      <c r="G3970" s="55" t="s">
        <v>3275</v>
      </c>
      <c r="H3970" s="55">
        <v>2005</v>
      </c>
      <c r="I3970" s="55">
        <v>1993</v>
      </c>
      <c r="J3970" s="55" t="s">
        <v>2660</v>
      </c>
      <c r="K3970" s="55" t="s">
        <v>3351</v>
      </c>
      <c r="L3970" s="55" t="s">
        <v>2744</v>
      </c>
      <c r="M3970" s="90">
        <v>7.5</v>
      </c>
      <c r="N3970" s="90">
        <f>3+54/60</f>
        <v>3.9</v>
      </c>
      <c r="O3970" s="90">
        <v>213</v>
      </c>
      <c r="S3970" s="90">
        <v>1247</v>
      </c>
      <c r="U3970" s="55" t="s">
        <v>1682</v>
      </c>
      <c r="V3970" s="55" t="s">
        <v>1889</v>
      </c>
      <c r="Y3970" s="55" t="s">
        <v>3354</v>
      </c>
      <c r="Z3970" s="55" t="s">
        <v>1349</v>
      </c>
      <c r="AA3970" s="90" t="s">
        <v>1677</v>
      </c>
      <c r="AE3970" s="90">
        <v>77.2</v>
      </c>
      <c r="AF3970" s="90">
        <v>11</v>
      </c>
      <c r="AH3970" s="55" t="s">
        <v>174</v>
      </c>
      <c r="AI3970" s="168">
        <v>7.8</v>
      </c>
      <c r="AJ3970" s="90">
        <v>2.17</v>
      </c>
      <c r="AM3970" s="55" t="s">
        <v>3352</v>
      </c>
      <c r="AN3970" s="185" t="s">
        <v>2722</v>
      </c>
      <c r="AO3970" s="185" t="s">
        <v>5150</v>
      </c>
      <c r="AQ3970" s="55" t="s">
        <v>4233</v>
      </c>
      <c r="AR3970" s="55" t="s">
        <v>2283</v>
      </c>
      <c r="AS3970" s="55" t="s">
        <v>227</v>
      </c>
      <c r="AU3970" s="181" t="s">
        <v>7494</v>
      </c>
      <c r="AV3970" s="185" t="s">
        <v>176</v>
      </c>
      <c r="AX3970" s="185" t="s">
        <v>176</v>
      </c>
      <c r="BK3970" s="55" t="s">
        <v>6333</v>
      </c>
      <c r="BM3970" s="192" t="s">
        <v>3210</v>
      </c>
      <c r="CB3970" s="66">
        <v>6600</v>
      </c>
      <c r="CC3970" s="66">
        <v>4600</v>
      </c>
      <c r="GP3970" s="292" t="s">
        <v>7494</v>
      </c>
    </row>
    <row r="3971" spans="1:198" x14ac:dyDescent="0.25">
      <c r="A3971" s="55">
        <v>3970</v>
      </c>
      <c r="B3971" s="12" t="s">
        <v>7067</v>
      </c>
      <c r="C3971" s="155">
        <v>172</v>
      </c>
      <c r="D3971" s="55" t="s">
        <v>3358</v>
      </c>
      <c r="E3971" s="90" t="s">
        <v>3334</v>
      </c>
      <c r="G3971" s="55" t="s">
        <v>3275</v>
      </c>
      <c r="H3971" s="55">
        <v>2005</v>
      </c>
      <c r="I3971" s="55">
        <v>1993</v>
      </c>
      <c r="J3971" s="55" t="s">
        <v>2660</v>
      </c>
      <c r="K3971" s="55" t="s">
        <v>3351</v>
      </c>
      <c r="L3971" s="55" t="s">
        <v>2744</v>
      </c>
      <c r="M3971" s="90">
        <v>7.5</v>
      </c>
      <c r="N3971" s="90">
        <f>3+54/60</f>
        <v>3.9</v>
      </c>
      <c r="O3971" s="90">
        <v>213</v>
      </c>
      <c r="S3971" s="90">
        <v>1247</v>
      </c>
      <c r="U3971" s="55" t="s">
        <v>1682</v>
      </c>
      <c r="V3971" s="55" t="s">
        <v>1889</v>
      </c>
      <c r="Y3971" s="55" t="s">
        <v>3354</v>
      </c>
      <c r="Z3971" s="55" t="s">
        <v>1349</v>
      </c>
      <c r="AA3971" s="90" t="s">
        <v>1677</v>
      </c>
      <c r="AE3971" s="90">
        <v>77.2</v>
      </c>
      <c r="AF3971" s="90">
        <v>11</v>
      </c>
      <c r="AH3971" s="55" t="s">
        <v>174</v>
      </c>
      <c r="AI3971" s="168">
        <v>7.8</v>
      </c>
      <c r="AJ3971" s="90">
        <v>2.17</v>
      </c>
      <c r="AM3971" s="55" t="s">
        <v>3352</v>
      </c>
      <c r="AN3971" s="185" t="s">
        <v>2722</v>
      </c>
      <c r="AO3971" s="185" t="s">
        <v>5150</v>
      </c>
      <c r="AQ3971" s="55" t="s">
        <v>4233</v>
      </c>
      <c r="AR3971" s="55" t="s">
        <v>2283</v>
      </c>
      <c r="AS3971" s="55" t="s">
        <v>227</v>
      </c>
      <c r="AU3971" s="181" t="s">
        <v>7494</v>
      </c>
      <c r="AV3971" s="185" t="s">
        <v>176</v>
      </c>
      <c r="AX3971" s="185" t="s">
        <v>176</v>
      </c>
      <c r="BK3971" s="55" t="s">
        <v>6333</v>
      </c>
      <c r="BM3971" s="192" t="s">
        <v>3210</v>
      </c>
      <c r="CB3971" s="66">
        <v>12000</v>
      </c>
      <c r="CC3971" s="66">
        <v>7900</v>
      </c>
      <c r="GP3971" s="292" t="s">
        <v>7494</v>
      </c>
    </row>
    <row r="3972" spans="1:198" x14ac:dyDescent="0.25">
      <c r="A3972" s="55">
        <v>3971</v>
      </c>
      <c r="B3972" s="12" t="s">
        <v>7067</v>
      </c>
      <c r="C3972" s="155">
        <v>172</v>
      </c>
      <c r="D3972" s="55" t="s">
        <v>3358</v>
      </c>
      <c r="E3972" s="90" t="s">
        <v>3334</v>
      </c>
      <c r="G3972" s="55" t="s">
        <v>3275</v>
      </c>
      <c r="H3972" s="55">
        <v>2005</v>
      </c>
      <c r="I3972" s="55">
        <v>1993</v>
      </c>
      <c r="J3972" s="55" t="s">
        <v>2660</v>
      </c>
      <c r="K3972" s="55" t="s">
        <v>3351</v>
      </c>
      <c r="L3972" s="55" t="s">
        <v>2744</v>
      </c>
      <c r="M3972" s="90">
        <v>7.5</v>
      </c>
      <c r="N3972" s="90">
        <f>3+54/60</f>
        <v>3.9</v>
      </c>
      <c r="O3972" s="90">
        <v>213</v>
      </c>
      <c r="S3972" s="90">
        <v>1247</v>
      </c>
      <c r="U3972" s="55" t="s">
        <v>1682</v>
      </c>
      <c r="V3972" s="55" t="s">
        <v>1889</v>
      </c>
      <c r="Y3972" s="55" t="s">
        <v>3354</v>
      </c>
      <c r="Z3972" s="55" t="s">
        <v>1349</v>
      </c>
      <c r="AA3972" s="90" t="s">
        <v>1677</v>
      </c>
      <c r="AE3972" s="90">
        <v>77.2</v>
      </c>
      <c r="AF3972" s="90">
        <v>11</v>
      </c>
      <c r="AH3972" s="55" t="s">
        <v>174</v>
      </c>
      <c r="AI3972" s="168">
        <v>7.8</v>
      </c>
      <c r="AJ3972" s="90">
        <v>2.17</v>
      </c>
      <c r="AM3972" s="55" t="s">
        <v>3352</v>
      </c>
      <c r="AN3972" s="185" t="s">
        <v>2722</v>
      </c>
      <c r="AO3972" s="185" t="s">
        <v>5150</v>
      </c>
      <c r="AQ3972" s="55" t="s">
        <v>4233</v>
      </c>
      <c r="AR3972" s="55" t="s">
        <v>2283</v>
      </c>
      <c r="AS3972" s="55" t="s">
        <v>227</v>
      </c>
      <c r="AU3972" s="181" t="s">
        <v>7494</v>
      </c>
      <c r="AV3972" s="185" t="s">
        <v>176</v>
      </c>
      <c r="AX3972" s="185" t="s">
        <v>176</v>
      </c>
      <c r="BK3972" s="55" t="s">
        <v>6333</v>
      </c>
      <c r="BM3972" s="192" t="s">
        <v>3210</v>
      </c>
      <c r="CB3972" s="66">
        <v>12700</v>
      </c>
      <c r="CC3972" s="66">
        <v>9800</v>
      </c>
      <c r="GP3972" s="292" t="s">
        <v>7494</v>
      </c>
    </row>
    <row r="3973" spans="1:198" x14ac:dyDescent="0.25">
      <c r="A3973" s="55">
        <v>3972</v>
      </c>
      <c r="B3973" s="12" t="s">
        <v>7067</v>
      </c>
      <c r="C3973" s="155">
        <v>172</v>
      </c>
      <c r="D3973" s="55" t="s">
        <v>3358</v>
      </c>
      <c r="E3973" s="90" t="s">
        <v>3334</v>
      </c>
      <c r="G3973" s="55" t="s">
        <v>3275</v>
      </c>
      <c r="H3973" s="55">
        <v>2005</v>
      </c>
      <c r="I3973" s="55">
        <v>1993</v>
      </c>
      <c r="J3973" s="55" t="s">
        <v>2660</v>
      </c>
      <c r="K3973" s="55" t="s">
        <v>3351</v>
      </c>
      <c r="L3973" s="55" t="s">
        <v>2744</v>
      </c>
      <c r="M3973" s="90">
        <v>7.5</v>
      </c>
      <c r="N3973" s="90">
        <f>3+54/60</f>
        <v>3.9</v>
      </c>
      <c r="O3973" s="90">
        <v>213</v>
      </c>
      <c r="S3973" s="90">
        <v>1247</v>
      </c>
      <c r="U3973" s="55" t="s">
        <v>1682</v>
      </c>
      <c r="V3973" s="55" t="s">
        <v>1889</v>
      </c>
      <c r="Y3973" s="55" t="s">
        <v>3354</v>
      </c>
      <c r="Z3973" s="55" t="s">
        <v>1349</v>
      </c>
      <c r="AA3973" s="90" t="s">
        <v>1677</v>
      </c>
      <c r="AE3973" s="90">
        <v>77.2</v>
      </c>
      <c r="AF3973" s="90">
        <v>11</v>
      </c>
      <c r="AH3973" s="55" t="s">
        <v>174</v>
      </c>
      <c r="AI3973" s="168">
        <v>7.8</v>
      </c>
      <c r="AJ3973" s="90">
        <v>2.17</v>
      </c>
      <c r="AM3973" s="55" t="s">
        <v>3352</v>
      </c>
      <c r="AN3973" s="185" t="s">
        <v>2722</v>
      </c>
      <c r="AO3973" s="185" t="s">
        <v>5150</v>
      </c>
      <c r="AQ3973" s="55" t="s">
        <v>4233</v>
      </c>
      <c r="AR3973" s="55" t="s">
        <v>2283</v>
      </c>
      <c r="AS3973" s="55" t="s">
        <v>227</v>
      </c>
      <c r="AU3973" s="181" t="s">
        <v>7494</v>
      </c>
      <c r="AV3973" s="185" t="s">
        <v>176</v>
      </c>
      <c r="AX3973" s="185" t="s">
        <v>176</v>
      </c>
      <c r="BK3973" s="55" t="s">
        <v>6333</v>
      </c>
      <c r="BM3973" s="192" t="s">
        <v>3210</v>
      </c>
      <c r="CB3973" s="66">
        <v>11500</v>
      </c>
      <c r="CC3973" s="66">
        <v>10700</v>
      </c>
      <c r="GP3973" s="292" t="s">
        <v>7494</v>
      </c>
    </row>
    <row r="3974" spans="1:198" x14ac:dyDescent="0.25">
      <c r="A3974" s="55">
        <v>3973</v>
      </c>
      <c r="B3974" s="12" t="s">
        <v>7067</v>
      </c>
      <c r="C3974" s="155">
        <v>172</v>
      </c>
      <c r="D3974" s="55" t="s">
        <v>3358</v>
      </c>
      <c r="E3974" s="90" t="s">
        <v>3334</v>
      </c>
      <c r="G3974" s="55" t="s">
        <v>3275</v>
      </c>
      <c r="H3974" s="55">
        <v>2005</v>
      </c>
      <c r="I3974" s="55">
        <v>1994</v>
      </c>
      <c r="J3974" s="55" t="s">
        <v>2660</v>
      </c>
      <c r="K3974" s="55" t="s">
        <v>3351</v>
      </c>
      <c r="L3974" s="55" t="s">
        <v>2744</v>
      </c>
      <c r="M3974" s="90">
        <v>7.5</v>
      </c>
      <c r="N3974" s="90">
        <f>3+54/60</f>
        <v>3.9</v>
      </c>
      <c r="O3974" s="90">
        <v>213</v>
      </c>
      <c r="S3974" s="90">
        <v>1247</v>
      </c>
      <c r="U3974" s="55" t="s">
        <v>1801</v>
      </c>
      <c r="V3974" s="55" t="s">
        <v>1889</v>
      </c>
      <c r="Y3974" s="55" t="s">
        <v>3354</v>
      </c>
      <c r="Z3974" s="55" t="s">
        <v>1349</v>
      </c>
      <c r="AA3974" s="90" t="s">
        <v>1677</v>
      </c>
      <c r="AE3974" s="90">
        <v>77.2</v>
      </c>
      <c r="AF3974" s="90">
        <v>11</v>
      </c>
      <c r="AH3974" s="55" t="s">
        <v>174</v>
      </c>
      <c r="AI3974" s="168">
        <v>7.8</v>
      </c>
      <c r="AJ3974" s="90">
        <v>2.17</v>
      </c>
      <c r="AM3974" s="55" t="s">
        <v>3352</v>
      </c>
      <c r="AN3974" s="185" t="s">
        <v>2722</v>
      </c>
      <c r="AO3974" s="185" t="s">
        <v>5150</v>
      </c>
      <c r="AQ3974" s="55" t="s">
        <v>4233</v>
      </c>
      <c r="AR3974" s="55" t="s">
        <v>2283</v>
      </c>
      <c r="AS3974" s="55" t="s">
        <v>227</v>
      </c>
      <c r="AU3974" s="181" t="s">
        <v>7494</v>
      </c>
      <c r="AV3974" s="185" t="s">
        <v>176</v>
      </c>
      <c r="AX3974" s="185" t="s">
        <v>176</v>
      </c>
      <c r="BK3974" s="55" t="s">
        <v>6333</v>
      </c>
      <c r="BM3974" s="192" t="s">
        <v>3210</v>
      </c>
      <c r="CB3974" s="66">
        <v>3800</v>
      </c>
      <c r="CC3974" s="66">
        <v>3200</v>
      </c>
      <c r="GP3974" s="292" t="s">
        <v>7494</v>
      </c>
    </row>
    <row r="3975" spans="1:198" x14ac:dyDescent="0.25">
      <c r="A3975" s="55">
        <v>3974</v>
      </c>
      <c r="B3975" s="12" t="s">
        <v>7067</v>
      </c>
      <c r="C3975" s="155">
        <v>172</v>
      </c>
      <c r="D3975" s="55" t="s">
        <v>3358</v>
      </c>
      <c r="E3975" s="90" t="s">
        <v>3334</v>
      </c>
      <c r="G3975" s="55" t="s">
        <v>3275</v>
      </c>
      <c r="H3975" s="55">
        <v>2005</v>
      </c>
      <c r="I3975" s="55">
        <v>1994</v>
      </c>
      <c r="J3975" s="55" t="s">
        <v>2660</v>
      </c>
      <c r="K3975" s="55" t="s">
        <v>3351</v>
      </c>
      <c r="L3975" s="55" t="s">
        <v>2744</v>
      </c>
      <c r="M3975" s="90">
        <v>7.5</v>
      </c>
      <c r="N3975" s="90">
        <f>3+54/60</f>
        <v>3.9</v>
      </c>
      <c r="O3975" s="90">
        <v>213</v>
      </c>
      <c r="S3975" s="90">
        <v>1247</v>
      </c>
      <c r="U3975" s="55" t="s">
        <v>1801</v>
      </c>
      <c r="V3975" s="55" t="s">
        <v>1889</v>
      </c>
      <c r="Y3975" s="55" t="s">
        <v>3354</v>
      </c>
      <c r="Z3975" s="55" t="s">
        <v>1349</v>
      </c>
      <c r="AA3975" s="90" t="s">
        <v>1677</v>
      </c>
      <c r="AE3975" s="90">
        <v>77.2</v>
      </c>
      <c r="AF3975" s="90">
        <v>11</v>
      </c>
      <c r="AH3975" s="55" t="s">
        <v>174</v>
      </c>
      <c r="AI3975" s="168">
        <v>7.8</v>
      </c>
      <c r="AJ3975" s="90">
        <v>2.17</v>
      </c>
      <c r="AM3975" s="55" t="s">
        <v>3352</v>
      </c>
      <c r="AN3975" s="185" t="s">
        <v>2722</v>
      </c>
      <c r="AO3975" s="185" t="s">
        <v>5150</v>
      </c>
      <c r="AQ3975" s="55" t="s">
        <v>4233</v>
      </c>
      <c r="AR3975" s="55" t="s">
        <v>2283</v>
      </c>
      <c r="AS3975" s="55" t="s">
        <v>227</v>
      </c>
      <c r="AU3975" s="181" t="s">
        <v>7494</v>
      </c>
      <c r="AV3975" s="185" t="s">
        <v>176</v>
      </c>
      <c r="AX3975" s="185" t="s">
        <v>176</v>
      </c>
      <c r="BK3975" s="55" t="s">
        <v>6333</v>
      </c>
      <c r="BM3975" s="192" t="s">
        <v>3210</v>
      </c>
      <c r="CB3975" s="66">
        <v>8800</v>
      </c>
      <c r="CC3975" s="66">
        <v>5600</v>
      </c>
      <c r="GP3975" s="292" t="s">
        <v>7494</v>
      </c>
    </row>
    <row r="3976" spans="1:198" x14ac:dyDescent="0.25">
      <c r="A3976" s="55">
        <v>3975</v>
      </c>
      <c r="B3976" s="12" t="s">
        <v>7067</v>
      </c>
      <c r="C3976" s="155">
        <v>172</v>
      </c>
      <c r="D3976" s="55" t="s">
        <v>3358</v>
      </c>
      <c r="E3976" s="90" t="s">
        <v>3334</v>
      </c>
      <c r="G3976" s="55" t="s">
        <v>3275</v>
      </c>
      <c r="H3976" s="55">
        <v>2005</v>
      </c>
      <c r="I3976" s="55">
        <v>1994</v>
      </c>
      <c r="J3976" s="55" t="s">
        <v>2660</v>
      </c>
      <c r="K3976" s="55" t="s">
        <v>3351</v>
      </c>
      <c r="L3976" s="55" t="s">
        <v>2744</v>
      </c>
      <c r="M3976" s="90">
        <v>7.5</v>
      </c>
      <c r="N3976" s="90">
        <f>3+54/60</f>
        <v>3.9</v>
      </c>
      <c r="O3976" s="90">
        <v>213</v>
      </c>
      <c r="S3976" s="90">
        <v>1247</v>
      </c>
      <c r="U3976" s="55" t="s">
        <v>1801</v>
      </c>
      <c r="V3976" s="55" t="s">
        <v>1889</v>
      </c>
      <c r="Y3976" s="55" t="s">
        <v>3354</v>
      </c>
      <c r="Z3976" s="55" t="s">
        <v>1349</v>
      </c>
      <c r="AA3976" s="90" t="s">
        <v>1677</v>
      </c>
      <c r="AE3976" s="90">
        <v>77.2</v>
      </c>
      <c r="AF3976" s="90">
        <v>11</v>
      </c>
      <c r="AH3976" s="55" t="s">
        <v>174</v>
      </c>
      <c r="AI3976" s="168">
        <v>7.8</v>
      </c>
      <c r="AJ3976" s="90">
        <v>2.17</v>
      </c>
      <c r="AM3976" s="55" t="s">
        <v>3352</v>
      </c>
      <c r="AN3976" s="185" t="s">
        <v>2722</v>
      </c>
      <c r="AO3976" s="185" t="s">
        <v>5150</v>
      </c>
      <c r="AQ3976" s="55" t="s">
        <v>4233</v>
      </c>
      <c r="AR3976" s="55" t="s">
        <v>2283</v>
      </c>
      <c r="AS3976" s="55" t="s">
        <v>227</v>
      </c>
      <c r="AU3976" s="181" t="s">
        <v>7494</v>
      </c>
      <c r="AV3976" s="185" t="s">
        <v>176</v>
      </c>
      <c r="AX3976" s="185" t="s">
        <v>176</v>
      </c>
      <c r="BK3976" s="55" t="s">
        <v>6333</v>
      </c>
      <c r="BM3976" s="192" t="s">
        <v>3210</v>
      </c>
      <c r="CB3976" s="66">
        <v>10200</v>
      </c>
      <c r="CC3976" s="66">
        <v>6300</v>
      </c>
      <c r="GP3976" s="292" t="s">
        <v>7494</v>
      </c>
    </row>
    <row r="3977" spans="1:198" x14ac:dyDescent="0.25">
      <c r="A3977" s="55">
        <v>3976</v>
      </c>
      <c r="B3977" s="12" t="s">
        <v>7067</v>
      </c>
      <c r="C3977" s="155">
        <v>172</v>
      </c>
      <c r="D3977" s="55" t="s">
        <v>3358</v>
      </c>
      <c r="E3977" s="90" t="s">
        <v>3334</v>
      </c>
      <c r="G3977" s="55" t="s">
        <v>3275</v>
      </c>
      <c r="H3977" s="55">
        <v>2005</v>
      </c>
      <c r="I3977" s="55">
        <v>1994</v>
      </c>
      <c r="J3977" s="55" t="s">
        <v>2660</v>
      </c>
      <c r="K3977" s="55" t="s">
        <v>3351</v>
      </c>
      <c r="L3977" s="55" t="s">
        <v>2744</v>
      </c>
      <c r="M3977" s="90">
        <v>7.5</v>
      </c>
      <c r="N3977" s="90">
        <f>3+54/60</f>
        <v>3.9</v>
      </c>
      <c r="O3977" s="90">
        <v>213</v>
      </c>
      <c r="S3977" s="90">
        <v>1247</v>
      </c>
      <c r="U3977" s="55" t="s">
        <v>1801</v>
      </c>
      <c r="V3977" s="55" t="s">
        <v>1889</v>
      </c>
      <c r="Y3977" s="55" t="s">
        <v>3354</v>
      </c>
      <c r="Z3977" s="55" t="s">
        <v>1349</v>
      </c>
      <c r="AA3977" s="90" t="s">
        <v>1677</v>
      </c>
      <c r="AE3977" s="90">
        <v>77.2</v>
      </c>
      <c r="AF3977" s="90">
        <v>11</v>
      </c>
      <c r="AH3977" s="55" t="s">
        <v>174</v>
      </c>
      <c r="AI3977" s="168">
        <v>7.8</v>
      </c>
      <c r="AJ3977" s="90">
        <v>2.17</v>
      </c>
      <c r="AM3977" s="55" t="s">
        <v>3352</v>
      </c>
      <c r="AN3977" s="185" t="s">
        <v>2722</v>
      </c>
      <c r="AO3977" s="185" t="s">
        <v>5150</v>
      </c>
      <c r="AQ3977" s="55" t="s">
        <v>4233</v>
      </c>
      <c r="AR3977" s="55" t="s">
        <v>2283</v>
      </c>
      <c r="AS3977" s="55" t="s">
        <v>227</v>
      </c>
      <c r="AU3977" s="181" t="s">
        <v>7494</v>
      </c>
      <c r="AV3977" s="185" t="s">
        <v>176</v>
      </c>
      <c r="AX3977" s="185" t="s">
        <v>176</v>
      </c>
      <c r="BK3977" s="55" t="s">
        <v>6333</v>
      </c>
      <c r="BM3977" s="192" t="s">
        <v>3210</v>
      </c>
      <c r="CB3977" s="66">
        <v>10400</v>
      </c>
      <c r="CC3977" s="66">
        <v>6000</v>
      </c>
      <c r="GP3977" s="292" t="s">
        <v>7494</v>
      </c>
    </row>
    <row r="3978" spans="1:198" x14ac:dyDescent="0.25">
      <c r="A3978" s="55">
        <v>3977</v>
      </c>
      <c r="B3978" s="12" t="s">
        <v>7067</v>
      </c>
      <c r="C3978" s="155">
        <v>172</v>
      </c>
      <c r="D3978" s="55" t="s">
        <v>3358</v>
      </c>
      <c r="E3978" s="90" t="s">
        <v>3334</v>
      </c>
      <c r="G3978" s="55" t="s">
        <v>3275</v>
      </c>
      <c r="H3978" s="55">
        <v>2005</v>
      </c>
      <c r="I3978" s="55">
        <v>1995</v>
      </c>
      <c r="J3978" s="55" t="s">
        <v>2660</v>
      </c>
      <c r="K3978" s="55" t="s">
        <v>3351</v>
      </c>
      <c r="L3978" s="55" t="s">
        <v>2744</v>
      </c>
      <c r="M3978" s="90">
        <v>7.5</v>
      </c>
      <c r="N3978" s="90">
        <f>3+54/60</f>
        <v>3.9</v>
      </c>
      <c r="O3978" s="90">
        <v>213</v>
      </c>
      <c r="S3978" s="90">
        <v>1247</v>
      </c>
      <c r="U3978" s="55" t="s">
        <v>1694</v>
      </c>
      <c r="V3978" s="55" t="s">
        <v>1889</v>
      </c>
      <c r="Y3978" s="55" t="s">
        <v>3354</v>
      </c>
      <c r="Z3978" s="55" t="s">
        <v>1349</v>
      </c>
      <c r="AA3978" s="90" t="s">
        <v>1677</v>
      </c>
      <c r="AE3978" s="90">
        <v>77.2</v>
      </c>
      <c r="AF3978" s="90">
        <v>11</v>
      </c>
      <c r="AH3978" s="55" t="s">
        <v>174</v>
      </c>
      <c r="AI3978" s="168">
        <v>7.8</v>
      </c>
      <c r="AJ3978" s="90">
        <v>2.17</v>
      </c>
      <c r="AM3978" s="55" t="s">
        <v>3352</v>
      </c>
      <c r="AN3978" s="185" t="s">
        <v>2722</v>
      </c>
      <c r="AO3978" s="185" t="s">
        <v>5150</v>
      </c>
      <c r="AQ3978" s="55" t="s">
        <v>4233</v>
      </c>
      <c r="AR3978" s="55" t="s">
        <v>2283</v>
      </c>
      <c r="AS3978" s="55" t="s">
        <v>227</v>
      </c>
      <c r="AU3978" s="181" t="s">
        <v>7494</v>
      </c>
      <c r="AV3978" s="185" t="s">
        <v>176</v>
      </c>
      <c r="AX3978" s="185" t="s">
        <v>176</v>
      </c>
      <c r="BK3978" s="55" t="s">
        <v>6333</v>
      </c>
      <c r="BM3978" s="192" t="s">
        <v>3210</v>
      </c>
      <c r="CB3978" s="66">
        <v>8100</v>
      </c>
      <c r="CC3978" s="66">
        <v>7000</v>
      </c>
      <c r="GP3978" s="292" t="s">
        <v>7494</v>
      </c>
    </row>
    <row r="3979" spans="1:198" x14ac:dyDescent="0.25">
      <c r="A3979" s="55">
        <v>3978</v>
      </c>
      <c r="B3979" s="12" t="s">
        <v>7067</v>
      </c>
      <c r="C3979" s="155">
        <v>172</v>
      </c>
      <c r="D3979" s="55" t="s">
        <v>3358</v>
      </c>
      <c r="E3979" s="90" t="s">
        <v>3334</v>
      </c>
      <c r="G3979" s="55" t="s">
        <v>3275</v>
      </c>
      <c r="H3979" s="55">
        <v>2005</v>
      </c>
      <c r="I3979" s="55">
        <v>1995</v>
      </c>
      <c r="J3979" s="55" t="s">
        <v>2660</v>
      </c>
      <c r="K3979" s="55" t="s">
        <v>3351</v>
      </c>
      <c r="L3979" s="55" t="s">
        <v>2744</v>
      </c>
      <c r="M3979" s="90">
        <v>7.5</v>
      </c>
      <c r="N3979" s="90">
        <f>3+54/60</f>
        <v>3.9</v>
      </c>
      <c r="O3979" s="90">
        <v>213</v>
      </c>
      <c r="S3979" s="90">
        <v>1247</v>
      </c>
      <c r="U3979" s="55" t="s">
        <v>1694</v>
      </c>
      <c r="V3979" s="55" t="s">
        <v>1889</v>
      </c>
      <c r="Y3979" s="55" t="s">
        <v>3354</v>
      </c>
      <c r="Z3979" s="55" t="s">
        <v>1349</v>
      </c>
      <c r="AA3979" s="90" t="s">
        <v>1677</v>
      </c>
      <c r="AE3979" s="90">
        <v>77.2</v>
      </c>
      <c r="AF3979" s="90">
        <v>11</v>
      </c>
      <c r="AH3979" s="55" t="s">
        <v>174</v>
      </c>
      <c r="AI3979" s="168">
        <v>7.8</v>
      </c>
      <c r="AJ3979" s="90">
        <v>2.17</v>
      </c>
      <c r="AM3979" s="55" t="s">
        <v>3352</v>
      </c>
      <c r="AN3979" s="185" t="s">
        <v>2722</v>
      </c>
      <c r="AO3979" s="185" t="s">
        <v>5150</v>
      </c>
      <c r="AQ3979" s="55" t="s">
        <v>4233</v>
      </c>
      <c r="AR3979" s="55" t="s">
        <v>2283</v>
      </c>
      <c r="AS3979" s="55" t="s">
        <v>227</v>
      </c>
      <c r="AU3979" s="181" t="s">
        <v>7494</v>
      </c>
      <c r="AV3979" s="185" t="s">
        <v>176</v>
      </c>
      <c r="AX3979" s="185" t="s">
        <v>176</v>
      </c>
      <c r="BK3979" s="55" t="s">
        <v>6333</v>
      </c>
      <c r="BM3979" s="192" t="s">
        <v>3210</v>
      </c>
      <c r="CB3979" s="66">
        <v>8900</v>
      </c>
      <c r="CC3979" s="66">
        <v>6800</v>
      </c>
      <c r="GP3979" s="292" t="s">
        <v>7494</v>
      </c>
    </row>
    <row r="3980" spans="1:198" x14ac:dyDescent="0.25">
      <c r="A3980" s="55">
        <v>3979</v>
      </c>
      <c r="B3980" s="12" t="s">
        <v>7067</v>
      </c>
      <c r="C3980" s="155">
        <v>172</v>
      </c>
      <c r="D3980" s="55" t="s">
        <v>3358</v>
      </c>
      <c r="E3980" s="90" t="s">
        <v>3334</v>
      </c>
      <c r="G3980" s="55" t="s">
        <v>3275</v>
      </c>
      <c r="H3980" s="55">
        <v>2005</v>
      </c>
      <c r="I3980" s="55">
        <v>1995</v>
      </c>
      <c r="J3980" s="55" t="s">
        <v>2660</v>
      </c>
      <c r="K3980" s="55" t="s">
        <v>3351</v>
      </c>
      <c r="L3980" s="55" t="s">
        <v>2744</v>
      </c>
      <c r="M3980" s="90">
        <v>7.5</v>
      </c>
      <c r="N3980" s="90">
        <f>3+54/60</f>
        <v>3.9</v>
      </c>
      <c r="O3980" s="90">
        <v>213</v>
      </c>
      <c r="S3980" s="90">
        <v>1247</v>
      </c>
      <c r="U3980" s="55" t="s">
        <v>1694</v>
      </c>
      <c r="V3980" s="55" t="s">
        <v>1889</v>
      </c>
      <c r="Y3980" s="55" t="s">
        <v>3354</v>
      </c>
      <c r="Z3980" s="55" t="s">
        <v>1349</v>
      </c>
      <c r="AA3980" s="90" t="s">
        <v>1677</v>
      </c>
      <c r="AE3980" s="90">
        <v>77.2</v>
      </c>
      <c r="AF3980" s="90">
        <v>11</v>
      </c>
      <c r="AH3980" s="55" t="s">
        <v>174</v>
      </c>
      <c r="AI3980" s="168">
        <v>7.8</v>
      </c>
      <c r="AJ3980" s="90">
        <v>2.17</v>
      </c>
      <c r="AM3980" s="55" t="s">
        <v>3352</v>
      </c>
      <c r="AN3980" s="185" t="s">
        <v>2722</v>
      </c>
      <c r="AO3980" s="185" t="s">
        <v>5150</v>
      </c>
      <c r="AQ3980" s="55" t="s">
        <v>4233</v>
      </c>
      <c r="AR3980" s="55" t="s">
        <v>2283</v>
      </c>
      <c r="AS3980" s="55" t="s">
        <v>227</v>
      </c>
      <c r="AU3980" s="181" t="s">
        <v>7494</v>
      </c>
      <c r="AV3980" s="185" t="s">
        <v>176</v>
      </c>
      <c r="AX3980" s="185" t="s">
        <v>176</v>
      </c>
      <c r="BK3980" s="55" t="s">
        <v>6333</v>
      </c>
      <c r="BM3980" s="192" t="s">
        <v>3210</v>
      </c>
      <c r="CB3980" s="66">
        <v>9500</v>
      </c>
      <c r="CC3980" s="66">
        <v>7500</v>
      </c>
      <c r="GP3980" s="292" t="s">
        <v>7494</v>
      </c>
    </row>
    <row r="3981" spans="1:198" x14ac:dyDescent="0.25">
      <c r="A3981" s="55">
        <v>3980</v>
      </c>
      <c r="B3981" s="12" t="s">
        <v>7067</v>
      </c>
      <c r="C3981" s="155">
        <v>172</v>
      </c>
      <c r="D3981" s="55" t="s">
        <v>3358</v>
      </c>
      <c r="E3981" s="90" t="s">
        <v>3334</v>
      </c>
      <c r="G3981" s="55" t="s">
        <v>3275</v>
      </c>
      <c r="H3981" s="55">
        <v>2005</v>
      </c>
      <c r="I3981" s="55">
        <v>1995</v>
      </c>
      <c r="J3981" s="55" t="s">
        <v>2660</v>
      </c>
      <c r="K3981" s="55" t="s">
        <v>3351</v>
      </c>
      <c r="L3981" s="55" t="s">
        <v>2744</v>
      </c>
      <c r="M3981" s="90">
        <v>7.5</v>
      </c>
      <c r="N3981" s="90">
        <f>3+54/60</f>
        <v>3.9</v>
      </c>
      <c r="O3981" s="90">
        <v>213</v>
      </c>
      <c r="S3981" s="90">
        <v>1247</v>
      </c>
      <c r="U3981" s="55" t="s">
        <v>1694</v>
      </c>
      <c r="V3981" s="55" t="s">
        <v>1889</v>
      </c>
      <c r="Y3981" s="55" t="s">
        <v>3354</v>
      </c>
      <c r="Z3981" s="55" t="s">
        <v>1349</v>
      </c>
      <c r="AA3981" s="90" t="s">
        <v>1677</v>
      </c>
      <c r="AE3981" s="90">
        <v>77.2</v>
      </c>
      <c r="AF3981" s="90">
        <v>11</v>
      </c>
      <c r="AH3981" s="55" t="s">
        <v>174</v>
      </c>
      <c r="AI3981" s="168">
        <v>7.8</v>
      </c>
      <c r="AJ3981" s="90">
        <v>2.17</v>
      </c>
      <c r="AM3981" s="55" t="s">
        <v>3352</v>
      </c>
      <c r="AN3981" s="185" t="s">
        <v>2722</v>
      </c>
      <c r="AO3981" s="185" t="s">
        <v>5150</v>
      </c>
      <c r="AQ3981" s="55" t="s">
        <v>4233</v>
      </c>
      <c r="AR3981" s="55" t="s">
        <v>2283</v>
      </c>
      <c r="AS3981" s="55" t="s">
        <v>227</v>
      </c>
      <c r="AU3981" s="181" t="s">
        <v>7494</v>
      </c>
      <c r="AV3981" s="185" t="s">
        <v>176</v>
      </c>
      <c r="AX3981" s="185" t="s">
        <v>176</v>
      </c>
      <c r="BK3981" s="55" t="s">
        <v>6333</v>
      </c>
      <c r="BM3981" s="192" t="s">
        <v>3210</v>
      </c>
      <c r="CB3981" s="66">
        <v>11000</v>
      </c>
      <c r="CC3981" s="66">
        <v>8400</v>
      </c>
      <c r="GP3981" s="292" t="s">
        <v>7494</v>
      </c>
    </row>
    <row r="3982" spans="1:198" x14ac:dyDescent="0.25">
      <c r="A3982" s="55">
        <v>3981</v>
      </c>
      <c r="B3982" s="12" t="s">
        <v>7067</v>
      </c>
      <c r="C3982" s="155">
        <v>172</v>
      </c>
      <c r="D3982" s="55" t="s">
        <v>3358</v>
      </c>
      <c r="E3982" s="90" t="s">
        <v>3334</v>
      </c>
      <c r="G3982" s="55" t="s">
        <v>3275</v>
      </c>
      <c r="H3982" s="55">
        <v>2005</v>
      </c>
      <c r="I3982" s="55">
        <v>1996</v>
      </c>
      <c r="J3982" s="55" t="s">
        <v>2660</v>
      </c>
      <c r="K3982" s="55" t="s">
        <v>3351</v>
      </c>
      <c r="L3982" s="55" t="s">
        <v>2744</v>
      </c>
      <c r="M3982" s="90">
        <v>7.5</v>
      </c>
      <c r="N3982" s="90">
        <f>3+54/60</f>
        <v>3.9</v>
      </c>
      <c r="O3982" s="90">
        <v>213</v>
      </c>
      <c r="S3982" s="90">
        <v>1247</v>
      </c>
      <c r="U3982" s="55" t="s">
        <v>1940</v>
      </c>
      <c r="V3982" s="55" t="s">
        <v>1889</v>
      </c>
      <c r="Y3982" s="55" t="s">
        <v>3354</v>
      </c>
      <c r="Z3982" s="55" t="s">
        <v>1349</v>
      </c>
      <c r="AA3982" s="90" t="s">
        <v>1677</v>
      </c>
      <c r="AE3982" s="90">
        <v>77.2</v>
      </c>
      <c r="AF3982" s="90">
        <v>11</v>
      </c>
      <c r="AH3982" s="55" t="s">
        <v>174</v>
      </c>
      <c r="AI3982" s="168">
        <v>7.8</v>
      </c>
      <c r="AJ3982" s="90">
        <v>2.17</v>
      </c>
      <c r="AM3982" s="55" t="s">
        <v>3352</v>
      </c>
      <c r="AN3982" s="185" t="s">
        <v>2722</v>
      </c>
      <c r="AO3982" s="185" t="s">
        <v>5150</v>
      </c>
      <c r="AQ3982" s="55" t="s">
        <v>4233</v>
      </c>
      <c r="AR3982" s="55" t="s">
        <v>2283</v>
      </c>
      <c r="AS3982" s="55" t="s">
        <v>227</v>
      </c>
      <c r="AU3982" s="181" t="s">
        <v>7494</v>
      </c>
      <c r="AV3982" s="185" t="s">
        <v>176</v>
      </c>
      <c r="AX3982" s="185" t="s">
        <v>176</v>
      </c>
      <c r="BK3982" s="55" t="s">
        <v>6333</v>
      </c>
      <c r="BM3982" s="192" t="s">
        <v>3210</v>
      </c>
      <c r="CB3982" s="66">
        <v>6600</v>
      </c>
      <c r="CC3982" s="66">
        <v>5200</v>
      </c>
      <c r="GP3982" s="292" t="s">
        <v>7494</v>
      </c>
    </row>
    <row r="3983" spans="1:198" x14ac:dyDescent="0.25">
      <c r="A3983" s="55">
        <v>3982</v>
      </c>
      <c r="B3983" s="12" t="s">
        <v>7067</v>
      </c>
      <c r="C3983" s="155">
        <v>172</v>
      </c>
      <c r="D3983" s="55" t="s">
        <v>3358</v>
      </c>
      <c r="E3983" s="90" t="s">
        <v>3334</v>
      </c>
      <c r="G3983" s="55" t="s">
        <v>3275</v>
      </c>
      <c r="H3983" s="55">
        <v>2005</v>
      </c>
      <c r="I3983" s="55">
        <v>1996</v>
      </c>
      <c r="J3983" s="55" t="s">
        <v>2660</v>
      </c>
      <c r="K3983" s="55" t="s">
        <v>3351</v>
      </c>
      <c r="L3983" s="55" t="s">
        <v>2744</v>
      </c>
      <c r="M3983" s="90">
        <v>7.5</v>
      </c>
      <c r="N3983" s="90">
        <f>3+54/60</f>
        <v>3.9</v>
      </c>
      <c r="O3983" s="90">
        <v>213</v>
      </c>
      <c r="S3983" s="90">
        <v>1247</v>
      </c>
      <c r="U3983" s="55" t="s">
        <v>1940</v>
      </c>
      <c r="V3983" s="55" t="s">
        <v>1889</v>
      </c>
      <c r="Y3983" s="55" t="s">
        <v>3354</v>
      </c>
      <c r="Z3983" s="55" t="s">
        <v>1349</v>
      </c>
      <c r="AA3983" s="90" t="s">
        <v>1677</v>
      </c>
      <c r="AE3983" s="90">
        <v>77.2</v>
      </c>
      <c r="AF3983" s="90">
        <v>11</v>
      </c>
      <c r="AH3983" s="55" t="s">
        <v>174</v>
      </c>
      <c r="AI3983" s="168">
        <v>7.8</v>
      </c>
      <c r="AJ3983" s="90">
        <v>2.17</v>
      </c>
      <c r="AM3983" s="55" t="s">
        <v>3352</v>
      </c>
      <c r="AN3983" s="185" t="s">
        <v>2722</v>
      </c>
      <c r="AO3983" s="185" t="s">
        <v>5150</v>
      </c>
      <c r="AQ3983" s="55" t="s">
        <v>4233</v>
      </c>
      <c r="AR3983" s="55" t="s">
        <v>2283</v>
      </c>
      <c r="AS3983" s="55" t="s">
        <v>227</v>
      </c>
      <c r="AU3983" s="181" t="s">
        <v>7494</v>
      </c>
      <c r="AV3983" s="185" t="s">
        <v>176</v>
      </c>
      <c r="AX3983" s="185" t="s">
        <v>176</v>
      </c>
      <c r="BK3983" s="55" t="s">
        <v>6333</v>
      </c>
      <c r="BM3983" s="192" t="s">
        <v>3210</v>
      </c>
      <c r="CB3983" s="66">
        <v>10100</v>
      </c>
      <c r="CC3983" s="66">
        <v>6100</v>
      </c>
      <c r="GP3983" s="292" t="s">
        <v>7494</v>
      </c>
    </row>
    <row r="3984" spans="1:198" x14ac:dyDescent="0.25">
      <c r="A3984" s="55">
        <v>3983</v>
      </c>
      <c r="B3984" s="12" t="s">
        <v>7067</v>
      </c>
      <c r="C3984" s="155">
        <v>172</v>
      </c>
      <c r="D3984" s="55" t="s">
        <v>3358</v>
      </c>
      <c r="E3984" s="90" t="s">
        <v>3334</v>
      </c>
      <c r="G3984" s="55" t="s">
        <v>3275</v>
      </c>
      <c r="H3984" s="55">
        <v>2005</v>
      </c>
      <c r="I3984" s="55">
        <v>1996</v>
      </c>
      <c r="J3984" s="55" t="s">
        <v>2660</v>
      </c>
      <c r="K3984" s="55" t="s">
        <v>3351</v>
      </c>
      <c r="L3984" s="55" t="s">
        <v>2744</v>
      </c>
      <c r="M3984" s="90">
        <v>7.5</v>
      </c>
      <c r="N3984" s="90">
        <f>3+54/60</f>
        <v>3.9</v>
      </c>
      <c r="O3984" s="90">
        <v>213</v>
      </c>
      <c r="S3984" s="90">
        <v>1247</v>
      </c>
      <c r="U3984" s="55" t="s">
        <v>1940</v>
      </c>
      <c r="V3984" s="55" t="s">
        <v>1889</v>
      </c>
      <c r="Y3984" s="55" t="s">
        <v>3354</v>
      </c>
      <c r="Z3984" s="55" t="s">
        <v>1349</v>
      </c>
      <c r="AA3984" s="90" t="s">
        <v>1677</v>
      </c>
      <c r="AE3984" s="90">
        <v>77.2</v>
      </c>
      <c r="AF3984" s="90">
        <v>11</v>
      </c>
      <c r="AH3984" s="55" t="s">
        <v>174</v>
      </c>
      <c r="AI3984" s="168">
        <v>7.8</v>
      </c>
      <c r="AJ3984" s="90">
        <v>2.17</v>
      </c>
      <c r="AM3984" s="55" t="s">
        <v>3352</v>
      </c>
      <c r="AN3984" s="185" t="s">
        <v>2722</v>
      </c>
      <c r="AO3984" s="185" t="s">
        <v>5150</v>
      </c>
      <c r="AQ3984" s="55" t="s">
        <v>4233</v>
      </c>
      <c r="AR3984" s="55" t="s">
        <v>2283</v>
      </c>
      <c r="AS3984" s="55" t="s">
        <v>227</v>
      </c>
      <c r="AU3984" s="181" t="s">
        <v>7494</v>
      </c>
      <c r="AV3984" s="185" t="s">
        <v>176</v>
      </c>
      <c r="AX3984" s="185" t="s">
        <v>176</v>
      </c>
      <c r="BK3984" s="55" t="s">
        <v>6333</v>
      </c>
      <c r="BM3984" s="192" t="s">
        <v>3210</v>
      </c>
      <c r="CB3984" s="66">
        <v>8900</v>
      </c>
      <c r="CC3984" s="66">
        <v>6000</v>
      </c>
      <c r="GP3984" s="292" t="s">
        <v>7494</v>
      </c>
    </row>
    <row r="3985" spans="1:198" x14ac:dyDescent="0.25">
      <c r="A3985" s="55">
        <v>3984</v>
      </c>
      <c r="B3985" s="12" t="s">
        <v>7067</v>
      </c>
      <c r="C3985" s="155">
        <v>172</v>
      </c>
      <c r="D3985" s="55" t="s">
        <v>3358</v>
      </c>
      <c r="E3985" s="90" t="s">
        <v>3334</v>
      </c>
      <c r="G3985" s="55" t="s">
        <v>3275</v>
      </c>
      <c r="H3985" s="55">
        <v>2005</v>
      </c>
      <c r="I3985" s="55">
        <v>1996</v>
      </c>
      <c r="J3985" s="55" t="s">
        <v>2660</v>
      </c>
      <c r="K3985" s="55" t="s">
        <v>3351</v>
      </c>
      <c r="L3985" s="55" t="s">
        <v>2744</v>
      </c>
      <c r="M3985" s="90">
        <v>7.5</v>
      </c>
      <c r="N3985" s="90">
        <f>3+54/60</f>
        <v>3.9</v>
      </c>
      <c r="O3985" s="90">
        <v>213</v>
      </c>
      <c r="S3985" s="90">
        <v>1247</v>
      </c>
      <c r="U3985" s="55" t="s">
        <v>1940</v>
      </c>
      <c r="V3985" s="55" t="s">
        <v>1889</v>
      </c>
      <c r="Y3985" s="55" t="s">
        <v>3354</v>
      </c>
      <c r="Z3985" s="55" t="s">
        <v>1349</v>
      </c>
      <c r="AA3985" s="90" t="s">
        <v>1677</v>
      </c>
      <c r="AE3985" s="90">
        <v>77.2</v>
      </c>
      <c r="AF3985" s="90">
        <v>11</v>
      </c>
      <c r="AH3985" s="55" t="s">
        <v>174</v>
      </c>
      <c r="AI3985" s="168">
        <v>7.8</v>
      </c>
      <c r="AJ3985" s="90">
        <v>2.17</v>
      </c>
      <c r="AM3985" s="55" t="s">
        <v>3352</v>
      </c>
      <c r="AN3985" s="185" t="s">
        <v>2722</v>
      </c>
      <c r="AO3985" s="185" t="s">
        <v>5150</v>
      </c>
      <c r="AQ3985" s="55" t="s">
        <v>4233</v>
      </c>
      <c r="AR3985" s="55" t="s">
        <v>2283</v>
      </c>
      <c r="AS3985" s="55" t="s">
        <v>227</v>
      </c>
      <c r="AU3985" s="181" t="s">
        <v>7494</v>
      </c>
      <c r="AV3985" s="185" t="s">
        <v>176</v>
      </c>
      <c r="AX3985" s="185" t="s">
        <v>176</v>
      </c>
      <c r="BK3985" s="55" t="s">
        <v>6333</v>
      </c>
      <c r="BM3985" s="192" t="s">
        <v>3210</v>
      </c>
      <c r="CB3985" s="66">
        <v>11400</v>
      </c>
      <c r="CC3985" s="66">
        <v>7200</v>
      </c>
      <c r="GP3985" s="292" t="s">
        <v>7494</v>
      </c>
    </row>
    <row r="3986" spans="1:198" x14ac:dyDescent="0.25">
      <c r="A3986" s="55">
        <v>3985</v>
      </c>
      <c r="B3986" s="12" t="s">
        <v>7067</v>
      </c>
      <c r="C3986" s="155">
        <v>172</v>
      </c>
      <c r="D3986" s="55" t="s">
        <v>3358</v>
      </c>
      <c r="E3986" s="90" t="s">
        <v>3334</v>
      </c>
      <c r="G3986" s="55" t="s">
        <v>3275</v>
      </c>
      <c r="H3986" s="55">
        <v>2005</v>
      </c>
      <c r="I3986" s="55">
        <v>1997</v>
      </c>
      <c r="J3986" s="55" t="s">
        <v>2660</v>
      </c>
      <c r="K3986" s="55" t="s">
        <v>3351</v>
      </c>
      <c r="L3986" s="55" t="s">
        <v>2744</v>
      </c>
      <c r="M3986" s="90">
        <v>7.5</v>
      </c>
      <c r="N3986" s="90">
        <f>3+54/60</f>
        <v>3.9</v>
      </c>
      <c r="O3986" s="90">
        <v>213</v>
      </c>
      <c r="S3986" s="90">
        <v>1247</v>
      </c>
      <c r="U3986" s="55" t="s">
        <v>1933</v>
      </c>
      <c r="V3986" s="55" t="s">
        <v>1889</v>
      </c>
      <c r="Y3986" s="55" t="s">
        <v>3354</v>
      </c>
      <c r="Z3986" s="55" t="s">
        <v>1349</v>
      </c>
      <c r="AA3986" s="90" t="s">
        <v>1677</v>
      </c>
      <c r="AE3986" s="90">
        <v>77.2</v>
      </c>
      <c r="AF3986" s="90">
        <v>11</v>
      </c>
      <c r="AH3986" s="55" t="s">
        <v>174</v>
      </c>
      <c r="AI3986" s="168">
        <v>7.8</v>
      </c>
      <c r="AJ3986" s="90">
        <v>2.17</v>
      </c>
      <c r="AM3986" s="55" t="s">
        <v>3352</v>
      </c>
      <c r="AN3986" s="185" t="s">
        <v>2722</v>
      </c>
      <c r="AO3986" s="185" t="s">
        <v>5150</v>
      </c>
      <c r="AQ3986" s="55" t="s">
        <v>4233</v>
      </c>
      <c r="AR3986" s="55" t="s">
        <v>2283</v>
      </c>
      <c r="AS3986" s="55" t="s">
        <v>227</v>
      </c>
      <c r="AU3986" s="181" t="s">
        <v>7494</v>
      </c>
      <c r="AV3986" s="185" t="s">
        <v>176</v>
      </c>
      <c r="AX3986" s="185" t="s">
        <v>176</v>
      </c>
      <c r="BK3986" s="55" t="s">
        <v>6333</v>
      </c>
      <c r="BM3986" s="192" t="s">
        <v>3210</v>
      </c>
      <c r="CB3986" s="66">
        <v>4000</v>
      </c>
      <c r="CC3986" s="66">
        <v>5200</v>
      </c>
      <c r="GP3986" s="292" t="s">
        <v>7494</v>
      </c>
    </row>
    <row r="3987" spans="1:198" x14ac:dyDescent="0.25">
      <c r="A3987" s="55">
        <v>3986</v>
      </c>
      <c r="B3987" s="12" t="s">
        <v>7067</v>
      </c>
      <c r="C3987" s="155">
        <v>172</v>
      </c>
      <c r="D3987" s="55" t="s">
        <v>3358</v>
      </c>
      <c r="E3987" s="90" t="s">
        <v>3334</v>
      </c>
      <c r="G3987" s="55" t="s">
        <v>3275</v>
      </c>
      <c r="H3987" s="55">
        <v>2005</v>
      </c>
      <c r="I3987" s="55">
        <v>1997</v>
      </c>
      <c r="J3987" s="55" t="s">
        <v>2660</v>
      </c>
      <c r="K3987" s="55" t="s">
        <v>3351</v>
      </c>
      <c r="L3987" s="55" t="s">
        <v>2744</v>
      </c>
      <c r="M3987" s="90">
        <v>7.5</v>
      </c>
      <c r="N3987" s="90">
        <f>3+54/60</f>
        <v>3.9</v>
      </c>
      <c r="O3987" s="90">
        <v>213</v>
      </c>
      <c r="S3987" s="90">
        <v>1247</v>
      </c>
      <c r="U3987" s="55" t="s">
        <v>1933</v>
      </c>
      <c r="V3987" s="55" t="s">
        <v>1889</v>
      </c>
      <c r="Y3987" s="55" t="s">
        <v>3354</v>
      </c>
      <c r="Z3987" s="55" t="s">
        <v>1349</v>
      </c>
      <c r="AA3987" s="90" t="s">
        <v>1677</v>
      </c>
      <c r="AE3987" s="90">
        <v>77.2</v>
      </c>
      <c r="AF3987" s="90">
        <v>11</v>
      </c>
      <c r="AH3987" s="55" t="s">
        <v>174</v>
      </c>
      <c r="AI3987" s="168">
        <v>7.8</v>
      </c>
      <c r="AJ3987" s="90">
        <v>2.17</v>
      </c>
      <c r="AM3987" s="55" t="s">
        <v>3352</v>
      </c>
      <c r="AN3987" s="185" t="s">
        <v>2722</v>
      </c>
      <c r="AO3987" s="185" t="s">
        <v>5150</v>
      </c>
      <c r="AQ3987" s="55" t="s">
        <v>4233</v>
      </c>
      <c r="AR3987" s="55" t="s">
        <v>2283</v>
      </c>
      <c r="AS3987" s="55" t="s">
        <v>227</v>
      </c>
      <c r="AU3987" s="181" t="s">
        <v>7494</v>
      </c>
      <c r="AV3987" s="185" t="s">
        <v>176</v>
      </c>
      <c r="AX3987" s="185" t="s">
        <v>176</v>
      </c>
      <c r="BK3987" s="55" t="s">
        <v>6333</v>
      </c>
      <c r="BM3987" s="192" t="s">
        <v>3210</v>
      </c>
      <c r="CB3987" s="66">
        <v>8800</v>
      </c>
      <c r="CC3987" s="66">
        <v>3600</v>
      </c>
      <c r="GP3987" s="292" t="s">
        <v>7494</v>
      </c>
    </row>
    <row r="3988" spans="1:198" x14ac:dyDescent="0.25">
      <c r="A3988" s="55">
        <v>3987</v>
      </c>
      <c r="B3988" s="12" t="s">
        <v>7067</v>
      </c>
      <c r="C3988" s="155">
        <v>172</v>
      </c>
      <c r="D3988" s="55" t="s">
        <v>3358</v>
      </c>
      <c r="E3988" s="90" t="s">
        <v>3334</v>
      </c>
      <c r="G3988" s="55" t="s">
        <v>3275</v>
      </c>
      <c r="H3988" s="55">
        <v>2005</v>
      </c>
      <c r="I3988" s="55">
        <v>1997</v>
      </c>
      <c r="J3988" s="55" t="s">
        <v>2660</v>
      </c>
      <c r="K3988" s="55" t="s">
        <v>3351</v>
      </c>
      <c r="L3988" s="55" t="s">
        <v>2744</v>
      </c>
      <c r="M3988" s="90">
        <v>7.5</v>
      </c>
      <c r="N3988" s="90">
        <f>3+54/60</f>
        <v>3.9</v>
      </c>
      <c r="O3988" s="90">
        <v>213</v>
      </c>
      <c r="S3988" s="90">
        <v>1247</v>
      </c>
      <c r="U3988" s="55" t="s">
        <v>1933</v>
      </c>
      <c r="V3988" s="55" t="s">
        <v>1889</v>
      </c>
      <c r="Y3988" s="55" t="s">
        <v>3354</v>
      </c>
      <c r="Z3988" s="55" t="s">
        <v>1349</v>
      </c>
      <c r="AA3988" s="90" t="s">
        <v>1677</v>
      </c>
      <c r="AE3988" s="90">
        <v>77.2</v>
      </c>
      <c r="AF3988" s="90">
        <v>11</v>
      </c>
      <c r="AH3988" s="55" t="s">
        <v>174</v>
      </c>
      <c r="AI3988" s="168">
        <v>7.8</v>
      </c>
      <c r="AJ3988" s="90">
        <v>2.17</v>
      </c>
      <c r="AM3988" s="55" t="s">
        <v>3352</v>
      </c>
      <c r="AN3988" s="185" t="s">
        <v>2722</v>
      </c>
      <c r="AO3988" s="185" t="s">
        <v>5150</v>
      </c>
      <c r="AQ3988" s="55" t="s">
        <v>4233</v>
      </c>
      <c r="AR3988" s="55" t="s">
        <v>2283</v>
      </c>
      <c r="AS3988" s="55" t="s">
        <v>227</v>
      </c>
      <c r="AU3988" s="181" t="s">
        <v>7494</v>
      </c>
      <c r="AV3988" s="185" t="s">
        <v>176</v>
      </c>
      <c r="AX3988" s="185" t="s">
        <v>176</v>
      </c>
      <c r="BK3988" s="55" t="s">
        <v>6333</v>
      </c>
      <c r="BM3988" s="192" t="s">
        <v>3210</v>
      </c>
      <c r="CB3988" s="66">
        <v>6900</v>
      </c>
      <c r="CC3988" s="66">
        <v>4000</v>
      </c>
      <c r="GP3988" s="292" t="s">
        <v>7494</v>
      </c>
    </row>
    <row r="3989" spans="1:198" x14ac:dyDescent="0.25">
      <c r="A3989" s="55">
        <v>3988</v>
      </c>
      <c r="B3989" s="12" t="s">
        <v>7067</v>
      </c>
      <c r="C3989" s="155">
        <v>172</v>
      </c>
      <c r="D3989" s="55" t="s">
        <v>3358</v>
      </c>
      <c r="E3989" s="90" t="s">
        <v>3334</v>
      </c>
      <c r="G3989" s="55" t="s">
        <v>3275</v>
      </c>
      <c r="H3989" s="55">
        <v>2005</v>
      </c>
      <c r="I3989" s="55">
        <v>1997</v>
      </c>
      <c r="J3989" s="55" t="s">
        <v>2660</v>
      </c>
      <c r="K3989" s="55" t="s">
        <v>3351</v>
      </c>
      <c r="L3989" s="55" t="s">
        <v>2744</v>
      </c>
      <c r="M3989" s="90">
        <v>7.5</v>
      </c>
      <c r="N3989" s="90">
        <f>3+54/60</f>
        <v>3.9</v>
      </c>
      <c r="O3989" s="90">
        <v>213</v>
      </c>
      <c r="S3989" s="90">
        <v>1247</v>
      </c>
      <c r="U3989" s="55" t="s">
        <v>1933</v>
      </c>
      <c r="V3989" s="55" t="s">
        <v>1889</v>
      </c>
      <c r="Y3989" s="55" t="s">
        <v>3354</v>
      </c>
      <c r="Z3989" s="55" t="s">
        <v>1349</v>
      </c>
      <c r="AA3989" s="90" t="s">
        <v>1677</v>
      </c>
      <c r="AE3989" s="90">
        <v>77.2</v>
      </c>
      <c r="AF3989" s="90">
        <v>11</v>
      </c>
      <c r="AH3989" s="55" t="s">
        <v>174</v>
      </c>
      <c r="AI3989" s="168">
        <v>7.8</v>
      </c>
      <c r="AJ3989" s="90">
        <v>2.17</v>
      </c>
      <c r="AM3989" s="55" t="s">
        <v>3352</v>
      </c>
      <c r="AN3989" s="185" t="s">
        <v>2722</v>
      </c>
      <c r="AO3989" s="185" t="s">
        <v>5150</v>
      </c>
      <c r="AQ3989" s="55" t="s">
        <v>4233</v>
      </c>
      <c r="AR3989" s="55" t="s">
        <v>2283</v>
      </c>
      <c r="AS3989" s="55" t="s">
        <v>227</v>
      </c>
      <c r="AU3989" s="181" t="s">
        <v>7494</v>
      </c>
      <c r="AV3989" s="185" t="s">
        <v>176</v>
      </c>
      <c r="AX3989" s="185" t="s">
        <v>176</v>
      </c>
      <c r="BK3989" s="55" t="s">
        <v>6333</v>
      </c>
      <c r="BM3989" s="192" t="s">
        <v>3210</v>
      </c>
      <c r="CB3989" s="66">
        <v>6800</v>
      </c>
      <c r="CC3989" s="66">
        <v>4900</v>
      </c>
      <c r="GP3989" s="292" t="s">
        <v>7494</v>
      </c>
    </row>
    <row r="3990" spans="1:198" x14ac:dyDescent="0.25">
      <c r="A3990" s="55">
        <v>3989</v>
      </c>
      <c r="B3990" s="12" t="s">
        <v>7067</v>
      </c>
      <c r="C3990" s="155">
        <v>172</v>
      </c>
      <c r="D3990" s="55" t="s">
        <v>3358</v>
      </c>
      <c r="E3990" s="90" t="s">
        <v>3334</v>
      </c>
      <c r="G3990" s="55" t="s">
        <v>3275</v>
      </c>
      <c r="H3990" s="55">
        <v>2005</v>
      </c>
      <c r="I3990" s="55">
        <v>1998</v>
      </c>
      <c r="J3990" s="55" t="s">
        <v>2660</v>
      </c>
      <c r="K3990" s="55" t="s">
        <v>3351</v>
      </c>
      <c r="L3990" s="55" t="s">
        <v>2744</v>
      </c>
      <c r="M3990" s="90">
        <v>7.5</v>
      </c>
      <c r="N3990" s="90">
        <f>3+54/60</f>
        <v>3.9</v>
      </c>
      <c r="O3990" s="90">
        <v>213</v>
      </c>
      <c r="S3990" s="90">
        <v>1247</v>
      </c>
      <c r="U3990" s="55" t="s">
        <v>1679</v>
      </c>
      <c r="V3990" s="55" t="s">
        <v>1889</v>
      </c>
      <c r="Y3990" s="55" t="s">
        <v>3354</v>
      </c>
      <c r="Z3990" s="55" t="s">
        <v>1349</v>
      </c>
      <c r="AA3990" s="90" t="s">
        <v>1677</v>
      </c>
      <c r="AE3990" s="90">
        <v>77.2</v>
      </c>
      <c r="AF3990" s="90">
        <v>11</v>
      </c>
      <c r="AH3990" s="55" t="s">
        <v>174</v>
      </c>
      <c r="AI3990" s="168">
        <v>7.8</v>
      </c>
      <c r="AJ3990" s="90">
        <v>2.17</v>
      </c>
      <c r="AM3990" s="55" t="s">
        <v>3352</v>
      </c>
      <c r="AN3990" s="185" t="s">
        <v>2722</v>
      </c>
      <c r="AO3990" s="185" t="s">
        <v>5150</v>
      </c>
      <c r="AQ3990" s="55" t="s">
        <v>4233</v>
      </c>
      <c r="AR3990" s="55" t="s">
        <v>2283</v>
      </c>
      <c r="AS3990" s="55" t="s">
        <v>227</v>
      </c>
      <c r="AU3990" s="181" t="s">
        <v>7494</v>
      </c>
      <c r="AV3990" s="185" t="s">
        <v>176</v>
      </c>
      <c r="AX3990" s="185" t="s">
        <v>176</v>
      </c>
      <c r="BK3990" s="55" t="s">
        <v>6333</v>
      </c>
      <c r="BM3990" s="192" t="s">
        <v>3210</v>
      </c>
      <c r="CB3990" s="66">
        <v>6400</v>
      </c>
      <c r="CC3990" s="66">
        <v>2400</v>
      </c>
      <c r="GP3990" s="292" t="s">
        <v>7494</v>
      </c>
    </row>
    <row r="3991" spans="1:198" x14ac:dyDescent="0.25">
      <c r="A3991" s="55">
        <v>3990</v>
      </c>
      <c r="B3991" s="12" t="s">
        <v>7067</v>
      </c>
      <c r="C3991" s="155">
        <v>172</v>
      </c>
      <c r="D3991" s="55" t="s">
        <v>3358</v>
      </c>
      <c r="E3991" s="90" t="s">
        <v>3334</v>
      </c>
      <c r="G3991" s="55" t="s">
        <v>3275</v>
      </c>
      <c r="H3991" s="55">
        <v>2005</v>
      </c>
      <c r="I3991" s="55">
        <v>1998</v>
      </c>
      <c r="J3991" s="55" t="s">
        <v>2660</v>
      </c>
      <c r="K3991" s="55" t="s">
        <v>3351</v>
      </c>
      <c r="L3991" s="55" t="s">
        <v>2744</v>
      </c>
      <c r="M3991" s="90">
        <v>7.5</v>
      </c>
      <c r="N3991" s="90">
        <f>3+54/60</f>
        <v>3.9</v>
      </c>
      <c r="O3991" s="90">
        <v>213</v>
      </c>
      <c r="S3991" s="90">
        <v>1247</v>
      </c>
      <c r="U3991" s="55" t="s">
        <v>1679</v>
      </c>
      <c r="V3991" s="55" t="s">
        <v>1889</v>
      </c>
      <c r="Y3991" s="55" t="s">
        <v>3354</v>
      </c>
      <c r="Z3991" s="55" t="s">
        <v>1349</v>
      </c>
      <c r="AA3991" s="90" t="s">
        <v>1677</v>
      </c>
      <c r="AE3991" s="90">
        <v>77.2</v>
      </c>
      <c r="AF3991" s="90">
        <v>11</v>
      </c>
      <c r="AH3991" s="55" t="s">
        <v>174</v>
      </c>
      <c r="AI3991" s="168">
        <v>7.8</v>
      </c>
      <c r="AJ3991" s="90">
        <v>2.17</v>
      </c>
      <c r="AM3991" s="55" t="s">
        <v>3352</v>
      </c>
      <c r="AN3991" s="185" t="s">
        <v>2722</v>
      </c>
      <c r="AO3991" s="185" t="s">
        <v>5150</v>
      </c>
      <c r="AQ3991" s="55" t="s">
        <v>4233</v>
      </c>
      <c r="AR3991" s="55" t="s">
        <v>2283</v>
      </c>
      <c r="AS3991" s="55" t="s">
        <v>227</v>
      </c>
      <c r="AU3991" s="181" t="s">
        <v>7494</v>
      </c>
      <c r="AV3991" s="185" t="s">
        <v>176</v>
      </c>
      <c r="AX3991" s="185" t="s">
        <v>176</v>
      </c>
      <c r="BK3991" s="55" t="s">
        <v>6333</v>
      </c>
      <c r="BM3991" s="192" t="s">
        <v>3210</v>
      </c>
      <c r="CB3991" s="66">
        <v>5400</v>
      </c>
      <c r="CC3991" s="66">
        <v>5400</v>
      </c>
      <c r="GP3991" s="292" t="s">
        <v>7494</v>
      </c>
    </row>
    <row r="3992" spans="1:198" x14ac:dyDescent="0.25">
      <c r="A3992" s="55">
        <v>3991</v>
      </c>
      <c r="B3992" s="12" t="s">
        <v>7067</v>
      </c>
      <c r="C3992" s="155">
        <v>172</v>
      </c>
      <c r="D3992" s="55" t="s">
        <v>3358</v>
      </c>
      <c r="E3992" s="90" t="s">
        <v>3334</v>
      </c>
      <c r="G3992" s="55" t="s">
        <v>3275</v>
      </c>
      <c r="H3992" s="55">
        <v>2005</v>
      </c>
      <c r="I3992" s="55">
        <v>1998</v>
      </c>
      <c r="J3992" s="55" t="s">
        <v>2660</v>
      </c>
      <c r="K3992" s="55" t="s">
        <v>3351</v>
      </c>
      <c r="L3992" s="55" t="s">
        <v>2744</v>
      </c>
      <c r="M3992" s="90">
        <v>7.5</v>
      </c>
      <c r="N3992" s="90">
        <f>3+54/60</f>
        <v>3.9</v>
      </c>
      <c r="O3992" s="90">
        <v>213</v>
      </c>
      <c r="S3992" s="90">
        <v>1247</v>
      </c>
      <c r="U3992" s="55" t="s">
        <v>1679</v>
      </c>
      <c r="V3992" s="55" t="s">
        <v>1889</v>
      </c>
      <c r="Y3992" s="55" t="s">
        <v>3354</v>
      </c>
      <c r="Z3992" s="55" t="s">
        <v>1349</v>
      </c>
      <c r="AA3992" s="90" t="s">
        <v>1677</v>
      </c>
      <c r="AE3992" s="90">
        <v>77.2</v>
      </c>
      <c r="AF3992" s="90">
        <v>11</v>
      </c>
      <c r="AH3992" s="55" t="s">
        <v>174</v>
      </c>
      <c r="AI3992" s="168">
        <v>7.8</v>
      </c>
      <c r="AJ3992" s="90">
        <v>2.17</v>
      </c>
      <c r="AM3992" s="55" t="s">
        <v>3352</v>
      </c>
      <c r="AN3992" s="185" t="s">
        <v>2722</v>
      </c>
      <c r="AO3992" s="185" t="s">
        <v>5150</v>
      </c>
      <c r="AQ3992" s="55" t="s">
        <v>4233</v>
      </c>
      <c r="AR3992" s="55" t="s">
        <v>2283</v>
      </c>
      <c r="AS3992" s="55" t="s">
        <v>227</v>
      </c>
      <c r="AU3992" s="181" t="s">
        <v>7494</v>
      </c>
      <c r="AV3992" s="185" t="s">
        <v>176</v>
      </c>
      <c r="AX3992" s="185" t="s">
        <v>176</v>
      </c>
      <c r="BK3992" s="55" t="s">
        <v>6333</v>
      </c>
      <c r="BM3992" s="192" t="s">
        <v>3210</v>
      </c>
      <c r="CB3992" s="66">
        <v>13500</v>
      </c>
      <c r="CC3992" s="66">
        <v>6000</v>
      </c>
      <c r="GP3992" s="292" t="s">
        <v>7494</v>
      </c>
    </row>
    <row r="3993" spans="1:198" x14ac:dyDescent="0.25">
      <c r="A3993" s="55">
        <v>3992</v>
      </c>
      <c r="B3993" s="12" t="s">
        <v>7067</v>
      </c>
      <c r="C3993" s="155">
        <v>172</v>
      </c>
      <c r="D3993" s="55" t="s">
        <v>3358</v>
      </c>
      <c r="E3993" s="90" t="s">
        <v>3334</v>
      </c>
      <c r="G3993" s="55" t="s">
        <v>3275</v>
      </c>
      <c r="H3993" s="55">
        <v>2005</v>
      </c>
      <c r="I3993" s="55">
        <v>1998</v>
      </c>
      <c r="J3993" s="55" t="s">
        <v>2660</v>
      </c>
      <c r="K3993" s="55" t="s">
        <v>3351</v>
      </c>
      <c r="L3993" s="55" t="s">
        <v>2744</v>
      </c>
      <c r="M3993" s="90">
        <v>7.5</v>
      </c>
      <c r="N3993" s="90">
        <f>3+54/60</f>
        <v>3.9</v>
      </c>
      <c r="O3993" s="90">
        <v>213</v>
      </c>
      <c r="S3993" s="90">
        <v>1247</v>
      </c>
      <c r="U3993" s="55" t="s">
        <v>1679</v>
      </c>
      <c r="V3993" s="55" t="s">
        <v>1889</v>
      </c>
      <c r="Y3993" s="55" t="s">
        <v>3354</v>
      </c>
      <c r="Z3993" s="55" t="s">
        <v>1349</v>
      </c>
      <c r="AA3993" s="90" t="s">
        <v>1677</v>
      </c>
      <c r="AE3993" s="90">
        <v>77.2</v>
      </c>
      <c r="AF3993" s="90">
        <v>11</v>
      </c>
      <c r="AH3993" s="55" t="s">
        <v>174</v>
      </c>
      <c r="AI3993" s="168">
        <v>7.8</v>
      </c>
      <c r="AJ3993" s="90">
        <v>2.17</v>
      </c>
      <c r="AM3993" s="55" t="s">
        <v>3352</v>
      </c>
      <c r="AN3993" s="185" t="s">
        <v>2722</v>
      </c>
      <c r="AO3993" s="185" t="s">
        <v>5150</v>
      </c>
      <c r="AQ3993" s="55" t="s">
        <v>4233</v>
      </c>
      <c r="AR3993" s="55" t="s">
        <v>2283</v>
      </c>
      <c r="AS3993" s="55" t="s">
        <v>227</v>
      </c>
      <c r="AU3993" s="181" t="s">
        <v>7494</v>
      </c>
      <c r="AV3993" s="185" t="s">
        <v>176</v>
      </c>
      <c r="AX3993" s="185" t="s">
        <v>176</v>
      </c>
      <c r="BK3993" s="55" t="s">
        <v>6333</v>
      </c>
      <c r="BM3993" s="192" t="s">
        <v>3210</v>
      </c>
      <c r="CB3993" s="66">
        <v>9900</v>
      </c>
      <c r="CC3993" s="66">
        <v>6500</v>
      </c>
      <c r="GP3993" s="292" t="s">
        <v>7494</v>
      </c>
    </row>
    <row r="3994" spans="1:198" x14ac:dyDescent="0.25">
      <c r="A3994" s="55">
        <v>3993</v>
      </c>
      <c r="B3994" s="12" t="s">
        <v>7067</v>
      </c>
      <c r="C3994" s="155">
        <v>172</v>
      </c>
      <c r="D3994" s="55" t="s">
        <v>3358</v>
      </c>
      <c r="E3994" s="90" t="s">
        <v>3334</v>
      </c>
      <c r="G3994" s="55" t="s">
        <v>3275</v>
      </c>
      <c r="H3994" s="55">
        <v>2005</v>
      </c>
      <c r="I3994" s="55">
        <v>1999</v>
      </c>
      <c r="J3994" s="55" t="s">
        <v>2660</v>
      </c>
      <c r="K3994" s="55" t="s">
        <v>3351</v>
      </c>
      <c r="L3994" s="55" t="s">
        <v>2744</v>
      </c>
      <c r="M3994" s="90">
        <v>7.5</v>
      </c>
      <c r="N3994" s="90">
        <f>3+54/60</f>
        <v>3.9</v>
      </c>
      <c r="O3994" s="90">
        <v>213</v>
      </c>
      <c r="S3994" s="90">
        <v>1247</v>
      </c>
      <c r="U3994" s="55" t="s">
        <v>1818</v>
      </c>
      <c r="V3994" s="55" t="s">
        <v>1889</v>
      </c>
      <c r="Y3994" s="55" t="s">
        <v>3354</v>
      </c>
      <c r="Z3994" s="55" t="s">
        <v>1349</v>
      </c>
      <c r="AA3994" s="90" t="s">
        <v>1677</v>
      </c>
      <c r="AE3994" s="90">
        <v>77.2</v>
      </c>
      <c r="AF3994" s="90">
        <v>11</v>
      </c>
      <c r="AH3994" s="55" t="s">
        <v>174</v>
      </c>
      <c r="AI3994" s="168">
        <v>7.8</v>
      </c>
      <c r="AJ3994" s="90">
        <v>2.17</v>
      </c>
      <c r="AM3994" s="55" t="s">
        <v>3352</v>
      </c>
      <c r="AN3994" s="185" t="s">
        <v>2722</v>
      </c>
      <c r="AO3994" s="185" t="s">
        <v>5150</v>
      </c>
      <c r="AQ3994" s="55" t="s">
        <v>4233</v>
      </c>
      <c r="AR3994" s="55" t="s">
        <v>2283</v>
      </c>
      <c r="AS3994" s="55" t="s">
        <v>227</v>
      </c>
      <c r="AU3994" s="181" t="s">
        <v>7494</v>
      </c>
      <c r="AV3994" s="185" t="s">
        <v>176</v>
      </c>
      <c r="AX3994" s="185" t="s">
        <v>176</v>
      </c>
      <c r="BK3994" s="55" t="s">
        <v>6333</v>
      </c>
      <c r="BM3994" s="192" t="s">
        <v>3210</v>
      </c>
      <c r="GP3994" s="292" t="s">
        <v>7494</v>
      </c>
    </row>
    <row r="3995" spans="1:198" x14ac:dyDescent="0.25">
      <c r="A3995" s="55">
        <v>3994</v>
      </c>
      <c r="B3995" s="12" t="s">
        <v>7067</v>
      </c>
      <c r="C3995" s="155">
        <v>172</v>
      </c>
      <c r="D3995" s="55" t="s">
        <v>3358</v>
      </c>
      <c r="E3995" s="90" t="s">
        <v>3334</v>
      </c>
      <c r="G3995" s="55" t="s">
        <v>3275</v>
      </c>
      <c r="H3995" s="55">
        <v>2005</v>
      </c>
      <c r="I3995" s="55">
        <v>1999</v>
      </c>
      <c r="J3995" s="55" t="s">
        <v>2660</v>
      </c>
      <c r="K3995" s="55" t="s">
        <v>3351</v>
      </c>
      <c r="L3995" s="55" t="s">
        <v>2744</v>
      </c>
      <c r="M3995" s="90">
        <v>7.5</v>
      </c>
      <c r="N3995" s="90">
        <f>3+54/60</f>
        <v>3.9</v>
      </c>
      <c r="O3995" s="90">
        <v>213</v>
      </c>
      <c r="S3995" s="90">
        <v>1247</v>
      </c>
      <c r="U3995" s="55" t="s">
        <v>1818</v>
      </c>
      <c r="V3995" s="55" t="s">
        <v>1889</v>
      </c>
      <c r="Y3995" s="55" t="s">
        <v>3354</v>
      </c>
      <c r="Z3995" s="55" t="s">
        <v>1349</v>
      </c>
      <c r="AA3995" s="90" t="s">
        <v>1677</v>
      </c>
      <c r="AE3995" s="90">
        <v>77.2</v>
      </c>
      <c r="AF3995" s="90">
        <v>11</v>
      </c>
      <c r="AH3995" s="55" t="s">
        <v>174</v>
      </c>
      <c r="AI3995" s="168">
        <v>7.8</v>
      </c>
      <c r="AJ3995" s="90">
        <v>2.17</v>
      </c>
      <c r="AM3995" s="55" t="s">
        <v>3352</v>
      </c>
      <c r="AN3995" s="185" t="s">
        <v>2722</v>
      </c>
      <c r="AO3995" s="185" t="s">
        <v>5150</v>
      </c>
      <c r="AQ3995" s="55" t="s">
        <v>4233</v>
      </c>
      <c r="AR3995" s="55" t="s">
        <v>2283</v>
      </c>
      <c r="AS3995" s="55" t="s">
        <v>227</v>
      </c>
      <c r="AU3995" s="181" t="s">
        <v>7494</v>
      </c>
      <c r="AV3995" s="185" t="s">
        <v>176</v>
      </c>
      <c r="AX3995" s="185" t="s">
        <v>176</v>
      </c>
      <c r="BK3995" s="55" t="s">
        <v>6333</v>
      </c>
      <c r="BM3995" s="192" t="s">
        <v>3210</v>
      </c>
      <c r="GP3995" s="292" t="s">
        <v>7494</v>
      </c>
    </row>
    <row r="3996" spans="1:198" x14ac:dyDescent="0.25">
      <c r="A3996" s="55">
        <v>3995</v>
      </c>
      <c r="B3996" s="12" t="s">
        <v>7067</v>
      </c>
      <c r="C3996" s="155">
        <v>172</v>
      </c>
      <c r="D3996" s="55" t="s">
        <v>3358</v>
      </c>
      <c r="E3996" s="90" t="s">
        <v>3334</v>
      </c>
      <c r="G3996" s="55" t="s">
        <v>3275</v>
      </c>
      <c r="H3996" s="55">
        <v>2005</v>
      </c>
      <c r="I3996" s="55">
        <v>1999</v>
      </c>
      <c r="J3996" s="55" t="s">
        <v>2660</v>
      </c>
      <c r="K3996" s="55" t="s">
        <v>3351</v>
      </c>
      <c r="L3996" s="55" t="s">
        <v>2744</v>
      </c>
      <c r="M3996" s="90">
        <v>7.5</v>
      </c>
      <c r="N3996" s="90">
        <f>3+54/60</f>
        <v>3.9</v>
      </c>
      <c r="O3996" s="90">
        <v>213</v>
      </c>
      <c r="S3996" s="90">
        <v>1247</v>
      </c>
      <c r="U3996" s="55" t="s">
        <v>1818</v>
      </c>
      <c r="V3996" s="55" t="s">
        <v>1889</v>
      </c>
      <c r="Y3996" s="55" t="s">
        <v>3354</v>
      </c>
      <c r="Z3996" s="55" t="s">
        <v>1349</v>
      </c>
      <c r="AA3996" s="90" t="s">
        <v>1677</v>
      </c>
      <c r="AE3996" s="90">
        <v>77.2</v>
      </c>
      <c r="AF3996" s="90">
        <v>11</v>
      </c>
      <c r="AH3996" s="55" t="s">
        <v>174</v>
      </c>
      <c r="AI3996" s="168">
        <v>7.8</v>
      </c>
      <c r="AJ3996" s="90">
        <v>2.17</v>
      </c>
      <c r="AM3996" s="55" t="s">
        <v>3352</v>
      </c>
      <c r="AN3996" s="185" t="s">
        <v>2722</v>
      </c>
      <c r="AO3996" s="185" t="s">
        <v>5150</v>
      </c>
      <c r="AQ3996" s="55" t="s">
        <v>4233</v>
      </c>
      <c r="AR3996" s="55" t="s">
        <v>2283</v>
      </c>
      <c r="AS3996" s="55" t="s">
        <v>227</v>
      </c>
      <c r="AU3996" s="181" t="s">
        <v>7494</v>
      </c>
      <c r="AV3996" s="185" t="s">
        <v>176</v>
      </c>
      <c r="AX3996" s="185" t="s">
        <v>176</v>
      </c>
      <c r="BK3996" s="55" t="s">
        <v>6333</v>
      </c>
      <c r="BM3996" s="192" t="s">
        <v>3210</v>
      </c>
      <c r="GP3996" s="292" t="s">
        <v>7494</v>
      </c>
    </row>
    <row r="3997" spans="1:198" x14ac:dyDescent="0.25">
      <c r="A3997" s="55">
        <v>3996</v>
      </c>
      <c r="B3997" s="12" t="s">
        <v>7067</v>
      </c>
      <c r="C3997" s="155">
        <v>172</v>
      </c>
      <c r="D3997" s="55" t="s">
        <v>3358</v>
      </c>
      <c r="E3997" s="90" t="s">
        <v>3334</v>
      </c>
      <c r="G3997" s="55" t="s">
        <v>3275</v>
      </c>
      <c r="H3997" s="55">
        <v>2005</v>
      </c>
      <c r="I3997" s="55">
        <v>1999</v>
      </c>
      <c r="J3997" s="55" t="s">
        <v>2660</v>
      </c>
      <c r="K3997" s="55" t="s">
        <v>3351</v>
      </c>
      <c r="L3997" s="55" t="s">
        <v>2744</v>
      </c>
      <c r="M3997" s="90">
        <v>7.5</v>
      </c>
      <c r="N3997" s="90">
        <f>3+54/60</f>
        <v>3.9</v>
      </c>
      <c r="O3997" s="90">
        <v>213</v>
      </c>
      <c r="S3997" s="90">
        <v>1247</v>
      </c>
      <c r="U3997" s="55" t="s">
        <v>1818</v>
      </c>
      <c r="V3997" s="55" t="s">
        <v>1889</v>
      </c>
      <c r="Y3997" s="55" t="s">
        <v>3354</v>
      </c>
      <c r="Z3997" s="55" t="s">
        <v>1349</v>
      </c>
      <c r="AA3997" s="90" t="s">
        <v>1677</v>
      </c>
      <c r="AE3997" s="90">
        <v>77.2</v>
      </c>
      <c r="AF3997" s="90">
        <v>11</v>
      </c>
      <c r="AH3997" s="55" t="s">
        <v>174</v>
      </c>
      <c r="AI3997" s="168">
        <v>7.8</v>
      </c>
      <c r="AJ3997" s="90">
        <v>2.17</v>
      </c>
      <c r="AM3997" s="55" t="s">
        <v>3352</v>
      </c>
      <c r="AN3997" s="185" t="s">
        <v>2722</v>
      </c>
      <c r="AO3997" s="185" t="s">
        <v>5150</v>
      </c>
      <c r="AQ3997" s="55" t="s">
        <v>4233</v>
      </c>
      <c r="AR3997" s="55" t="s">
        <v>2283</v>
      </c>
      <c r="AS3997" s="55" t="s">
        <v>227</v>
      </c>
      <c r="AU3997" s="181" t="s">
        <v>7494</v>
      </c>
      <c r="AV3997" s="185" t="s">
        <v>176</v>
      </c>
      <c r="AX3997" s="185" t="s">
        <v>176</v>
      </c>
      <c r="BK3997" s="55" t="s">
        <v>6333</v>
      </c>
      <c r="BM3997" s="192" t="s">
        <v>3210</v>
      </c>
      <c r="GP3997" s="292" t="s">
        <v>7494</v>
      </c>
    </row>
    <row r="3998" spans="1:198" x14ac:dyDescent="0.25">
      <c r="A3998" s="55">
        <v>3997</v>
      </c>
      <c r="B3998" s="12" t="s">
        <v>7067</v>
      </c>
      <c r="C3998" s="155">
        <v>172</v>
      </c>
      <c r="D3998" s="55" t="s">
        <v>3358</v>
      </c>
      <c r="E3998" s="90" t="s">
        <v>3334</v>
      </c>
      <c r="G3998" s="55" t="s">
        <v>3275</v>
      </c>
      <c r="H3998" s="55">
        <v>2005</v>
      </c>
      <c r="I3998" s="55">
        <v>2000</v>
      </c>
      <c r="J3998" s="55" t="s">
        <v>2660</v>
      </c>
      <c r="K3998" s="55" t="s">
        <v>3351</v>
      </c>
      <c r="L3998" s="55" t="s">
        <v>2744</v>
      </c>
      <c r="M3998" s="90">
        <v>7.5</v>
      </c>
      <c r="N3998" s="90">
        <f>3+54/60</f>
        <v>3.9</v>
      </c>
      <c r="O3998" s="90">
        <v>213</v>
      </c>
      <c r="S3998" s="90">
        <v>1247</v>
      </c>
      <c r="U3998" s="55" t="s">
        <v>1889</v>
      </c>
      <c r="V3998" s="55" t="s">
        <v>1889</v>
      </c>
      <c r="Y3998" s="55" t="s">
        <v>3354</v>
      </c>
      <c r="Z3998" s="55" t="s">
        <v>1349</v>
      </c>
      <c r="AA3998" s="90" t="s">
        <v>1677</v>
      </c>
      <c r="AE3998" s="90">
        <v>77.2</v>
      </c>
      <c r="AF3998" s="90">
        <v>11</v>
      </c>
      <c r="AH3998" s="55" t="s">
        <v>174</v>
      </c>
      <c r="AI3998" s="168">
        <v>7.8</v>
      </c>
      <c r="AJ3998" s="90">
        <v>2.17</v>
      </c>
      <c r="AM3998" s="55" t="s">
        <v>3352</v>
      </c>
      <c r="AN3998" s="185" t="s">
        <v>2722</v>
      </c>
      <c r="AO3998" s="185" t="s">
        <v>5150</v>
      </c>
      <c r="AQ3998" s="55" t="s">
        <v>4233</v>
      </c>
      <c r="AR3998" s="55" t="s">
        <v>2283</v>
      </c>
      <c r="AS3998" s="55" t="s">
        <v>227</v>
      </c>
      <c r="AU3998" s="181" t="s">
        <v>7494</v>
      </c>
      <c r="AV3998" s="185" t="s">
        <v>176</v>
      </c>
      <c r="AX3998" s="185" t="s">
        <v>176</v>
      </c>
      <c r="BK3998" s="55" t="s">
        <v>6333</v>
      </c>
      <c r="BM3998" s="192" t="s">
        <v>3210</v>
      </c>
      <c r="CB3998" s="66">
        <v>2000</v>
      </c>
      <c r="CC3998" s="66">
        <v>2600</v>
      </c>
      <c r="GP3998" s="292" t="s">
        <v>7494</v>
      </c>
    </row>
    <row r="3999" spans="1:198" x14ac:dyDescent="0.25">
      <c r="A3999" s="55">
        <v>3998</v>
      </c>
      <c r="B3999" s="12" t="s">
        <v>7067</v>
      </c>
      <c r="C3999" s="155">
        <v>172</v>
      </c>
      <c r="D3999" s="55" t="s">
        <v>3358</v>
      </c>
      <c r="E3999" s="90" t="s">
        <v>3334</v>
      </c>
      <c r="G3999" s="55" t="s">
        <v>3275</v>
      </c>
      <c r="H3999" s="55">
        <v>2005</v>
      </c>
      <c r="I3999" s="55">
        <v>2000</v>
      </c>
      <c r="J3999" s="55" t="s">
        <v>2660</v>
      </c>
      <c r="K3999" s="55" t="s">
        <v>3351</v>
      </c>
      <c r="L3999" s="55" t="s">
        <v>2744</v>
      </c>
      <c r="M3999" s="90">
        <v>7.5</v>
      </c>
      <c r="N3999" s="90">
        <f>3+54/60</f>
        <v>3.9</v>
      </c>
      <c r="O3999" s="90">
        <v>213</v>
      </c>
      <c r="S3999" s="90">
        <v>1247</v>
      </c>
      <c r="U3999" s="55" t="s">
        <v>1889</v>
      </c>
      <c r="V3999" s="55" t="s">
        <v>1889</v>
      </c>
      <c r="Y3999" s="55" t="s">
        <v>3354</v>
      </c>
      <c r="Z3999" s="55" t="s">
        <v>1349</v>
      </c>
      <c r="AA3999" s="90" t="s">
        <v>1677</v>
      </c>
      <c r="AE3999" s="90">
        <v>77.2</v>
      </c>
      <c r="AF3999" s="90">
        <v>11</v>
      </c>
      <c r="AH3999" s="55" t="s">
        <v>174</v>
      </c>
      <c r="AI3999" s="168">
        <v>7.8</v>
      </c>
      <c r="AJ3999" s="90">
        <v>2.17</v>
      </c>
      <c r="AM3999" s="55" t="s">
        <v>3352</v>
      </c>
      <c r="AN3999" s="185" t="s">
        <v>2722</v>
      </c>
      <c r="AO3999" s="185" t="s">
        <v>5150</v>
      </c>
      <c r="AQ3999" s="55" t="s">
        <v>4233</v>
      </c>
      <c r="AR3999" s="55" t="s">
        <v>2283</v>
      </c>
      <c r="AS3999" s="55" t="s">
        <v>227</v>
      </c>
      <c r="AU3999" s="181" t="s">
        <v>7494</v>
      </c>
      <c r="AV3999" s="185" t="s">
        <v>176</v>
      </c>
      <c r="AX3999" s="185" t="s">
        <v>176</v>
      </c>
      <c r="BK3999" s="55" t="s">
        <v>6333</v>
      </c>
      <c r="BM3999" s="192" t="s">
        <v>3210</v>
      </c>
      <c r="CB3999" s="66">
        <v>2800</v>
      </c>
      <c r="CC3999" s="66">
        <v>3200</v>
      </c>
      <c r="GP3999" s="292" t="s">
        <v>7494</v>
      </c>
    </row>
    <row r="4000" spans="1:198" x14ac:dyDescent="0.25">
      <c r="A4000" s="55">
        <v>3999</v>
      </c>
      <c r="B4000" s="12" t="s">
        <v>7067</v>
      </c>
      <c r="C4000" s="155">
        <v>172</v>
      </c>
      <c r="D4000" s="55" t="s">
        <v>3358</v>
      </c>
      <c r="E4000" s="90" t="s">
        <v>3334</v>
      </c>
      <c r="G4000" s="55" t="s">
        <v>3275</v>
      </c>
      <c r="H4000" s="55">
        <v>2005</v>
      </c>
      <c r="I4000" s="55">
        <v>2000</v>
      </c>
      <c r="J4000" s="55" t="s">
        <v>2660</v>
      </c>
      <c r="K4000" s="55" t="s">
        <v>3351</v>
      </c>
      <c r="L4000" s="55" t="s">
        <v>2744</v>
      </c>
      <c r="M4000" s="90">
        <v>7.5</v>
      </c>
      <c r="N4000" s="90">
        <f>3+54/60</f>
        <v>3.9</v>
      </c>
      <c r="O4000" s="90">
        <v>213</v>
      </c>
      <c r="S4000" s="90">
        <v>1247</v>
      </c>
      <c r="U4000" s="55" t="s">
        <v>1889</v>
      </c>
      <c r="V4000" s="55" t="s">
        <v>1889</v>
      </c>
      <c r="Y4000" s="55" t="s">
        <v>3354</v>
      </c>
      <c r="Z4000" s="55" t="s">
        <v>1349</v>
      </c>
      <c r="AA4000" s="90" t="s">
        <v>1677</v>
      </c>
      <c r="AE4000" s="90">
        <v>77.2</v>
      </c>
      <c r="AF4000" s="90">
        <v>11</v>
      </c>
      <c r="AH4000" s="55" t="s">
        <v>174</v>
      </c>
      <c r="AI4000" s="168">
        <v>7.8</v>
      </c>
      <c r="AJ4000" s="90">
        <v>2.17</v>
      </c>
      <c r="AM4000" s="55" t="s">
        <v>3352</v>
      </c>
      <c r="AN4000" s="185" t="s">
        <v>2722</v>
      </c>
      <c r="AO4000" s="185" t="s">
        <v>5150</v>
      </c>
      <c r="AQ4000" s="55" t="s">
        <v>4233</v>
      </c>
      <c r="AR4000" s="55" t="s">
        <v>2283</v>
      </c>
      <c r="AS4000" s="55" t="s">
        <v>227</v>
      </c>
      <c r="AU4000" s="181" t="s">
        <v>7494</v>
      </c>
      <c r="AV4000" s="185" t="s">
        <v>176</v>
      </c>
      <c r="AX4000" s="185" t="s">
        <v>176</v>
      </c>
      <c r="BK4000" s="55" t="s">
        <v>6333</v>
      </c>
      <c r="BM4000" s="192" t="s">
        <v>3210</v>
      </c>
      <c r="CB4000" s="66">
        <v>5000</v>
      </c>
      <c r="CC4000" s="66">
        <v>4200</v>
      </c>
      <c r="GP4000" s="292" t="s">
        <v>7494</v>
      </c>
    </row>
    <row r="4001" spans="1:211" x14ac:dyDescent="0.25">
      <c r="A4001" s="55">
        <v>4000</v>
      </c>
      <c r="B4001" s="12" t="s">
        <v>7067</v>
      </c>
      <c r="C4001" s="155">
        <v>172</v>
      </c>
      <c r="D4001" s="55" t="s">
        <v>3358</v>
      </c>
      <c r="E4001" s="90" t="s">
        <v>3334</v>
      </c>
      <c r="G4001" s="55" t="s">
        <v>3275</v>
      </c>
      <c r="H4001" s="55">
        <v>2005</v>
      </c>
      <c r="I4001" s="55">
        <v>2000</v>
      </c>
      <c r="J4001" s="55" t="s">
        <v>2660</v>
      </c>
      <c r="K4001" s="55" t="s">
        <v>3351</v>
      </c>
      <c r="L4001" s="55" t="s">
        <v>2744</v>
      </c>
      <c r="M4001" s="90">
        <v>7.5</v>
      </c>
      <c r="N4001" s="90">
        <f>3+54/60</f>
        <v>3.9</v>
      </c>
      <c r="O4001" s="90">
        <v>213</v>
      </c>
      <c r="S4001" s="90">
        <v>1247</v>
      </c>
      <c r="U4001" s="55" t="s">
        <v>1889</v>
      </c>
      <c r="V4001" s="55" t="s">
        <v>1889</v>
      </c>
      <c r="Y4001" s="55" t="s">
        <v>3354</v>
      </c>
      <c r="Z4001" s="55" t="s">
        <v>1349</v>
      </c>
      <c r="AA4001" s="90" t="s">
        <v>1677</v>
      </c>
      <c r="AE4001" s="90">
        <v>77.2</v>
      </c>
      <c r="AF4001" s="90">
        <v>11</v>
      </c>
      <c r="AH4001" s="55" t="s">
        <v>174</v>
      </c>
      <c r="AI4001" s="168">
        <v>7.8</v>
      </c>
      <c r="AJ4001" s="90">
        <v>2.17</v>
      </c>
      <c r="AM4001" s="55" t="s">
        <v>3352</v>
      </c>
      <c r="AN4001" s="185" t="s">
        <v>2722</v>
      </c>
      <c r="AO4001" s="185" t="s">
        <v>5150</v>
      </c>
      <c r="AQ4001" s="55" t="s">
        <v>4233</v>
      </c>
      <c r="AR4001" s="55" t="s">
        <v>2283</v>
      </c>
      <c r="AS4001" s="55" t="s">
        <v>227</v>
      </c>
      <c r="AU4001" s="181" t="s">
        <v>7494</v>
      </c>
      <c r="AV4001" s="185" t="s">
        <v>176</v>
      </c>
      <c r="AX4001" s="185" t="s">
        <v>176</v>
      </c>
      <c r="BK4001" s="55" t="s">
        <v>6333</v>
      </c>
      <c r="BM4001" s="192" t="s">
        <v>3210</v>
      </c>
      <c r="CB4001" s="66">
        <v>7500</v>
      </c>
      <c r="CC4001" s="66">
        <v>3000</v>
      </c>
      <c r="GP4001" s="292" t="s">
        <v>7494</v>
      </c>
    </row>
    <row r="4002" spans="1:211" x14ac:dyDescent="0.25">
      <c r="A4002" s="55">
        <v>4001</v>
      </c>
      <c r="B4002" s="12" t="s">
        <v>7067</v>
      </c>
      <c r="C4002" s="155">
        <v>173</v>
      </c>
      <c r="D4002" s="55" t="s">
        <v>3369</v>
      </c>
      <c r="E4002" s="90" t="s">
        <v>3361</v>
      </c>
      <c r="G4002" s="55" t="s">
        <v>3362</v>
      </c>
      <c r="H4002" s="55">
        <v>1996</v>
      </c>
      <c r="I4002" s="55">
        <v>1992</v>
      </c>
      <c r="J4002" s="55" t="s">
        <v>2688</v>
      </c>
      <c r="K4002" s="55" t="s">
        <v>3364</v>
      </c>
      <c r="L4002" s="55" t="s">
        <v>2750</v>
      </c>
      <c r="M4002" s="90">
        <f>-13-39/60</f>
        <v>-13.65</v>
      </c>
      <c r="N4002" s="90">
        <f>32+34/60</f>
        <v>32.56666666666667</v>
      </c>
      <c r="O4002" s="90">
        <v>1030</v>
      </c>
      <c r="Q4002" s="55">
        <v>21</v>
      </c>
      <c r="S4002" s="90">
        <v>1000</v>
      </c>
      <c r="U4002" s="55" t="s">
        <v>1935</v>
      </c>
      <c r="V4002" s="55" t="s">
        <v>1682</v>
      </c>
      <c r="Y4002" s="55" t="s">
        <v>3363</v>
      </c>
      <c r="Z4002" s="55" t="s">
        <v>1367</v>
      </c>
      <c r="AA4002" s="90" t="s">
        <v>1687</v>
      </c>
      <c r="AD4002" s="90">
        <v>1.18</v>
      </c>
      <c r="AM4002" s="55" t="s">
        <v>3365</v>
      </c>
      <c r="AN4002" s="185" t="s">
        <v>2838</v>
      </c>
      <c r="AO4002" s="185" t="s">
        <v>5150</v>
      </c>
      <c r="AQ4002" s="55" t="s">
        <v>553</v>
      </c>
      <c r="AR4002" s="55" t="s">
        <v>1607</v>
      </c>
      <c r="AS4002" s="55" t="s">
        <v>132</v>
      </c>
      <c r="AU4002" s="181" t="s">
        <v>7494</v>
      </c>
      <c r="AV4002" s="185" t="s">
        <v>176</v>
      </c>
      <c r="AX4002" s="185" t="s">
        <v>176</v>
      </c>
      <c r="BK4002" s="55" t="s">
        <v>6333</v>
      </c>
      <c r="BM4002" s="192" t="s">
        <v>160</v>
      </c>
      <c r="BN4002" s="55">
        <v>4</v>
      </c>
      <c r="BO4002" s="55">
        <v>4</v>
      </c>
      <c r="BQ4002" s="55" t="s">
        <v>141</v>
      </c>
      <c r="CB4002" s="66">
        <v>1860</v>
      </c>
      <c r="CC4002" s="66">
        <v>2890</v>
      </c>
      <c r="CE4002" s="65">
        <v>420</v>
      </c>
      <c r="CF4002" s="65">
        <v>420</v>
      </c>
      <c r="CH4002" s="90">
        <v>1.32</v>
      </c>
      <c r="CI4002" s="90">
        <v>1.18</v>
      </c>
      <c r="CJ4002" s="65">
        <v>0.08</v>
      </c>
      <c r="CK4002" s="65">
        <v>0.08</v>
      </c>
      <c r="CM4002" s="65">
        <v>1.27</v>
      </c>
      <c r="CN4002" s="65">
        <v>1.26</v>
      </c>
      <c r="CO4002" s="65">
        <v>0.12</v>
      </c>
      <c r="CP4002" s="65">
        <v>0.12</v>
      </c>
      <c r="DA4002" s="65" t="s">
        <v>4458</v>
      </c>
      <c r="EU4002" s="65">
        <v>0.57999999999999996</v>
      </c>
      <c r="EV4002" s="65">
        <v>0.53</v>
      </c>
      <c r="EY4002" s="65" t="s">
        <v>2367</v>
      </c>
      <c r="GP4002" s="292" t="s">
        <v>7494</v>
      </c>
    </row>
    <row r="4003" spans="1:211" x14ac:dyDescent="0.25">
      <c r="A4003" s="55">
        <v>4002</v>
      </c>
      <c r="B4003" s="12" t="s">
        <v>7067</v>
      </c>
      <c r="C4003" s="155">
        <v>173</v>
      </c>
      <c r="D4003" s="55" t="s">
        <v>3369</v>
      </c>
      <c r="E4003" s="90" t="s">
        <v>3361</v>
      </c>
      <c r="G4003" s="55" t="s">
        <v>3362</v>
      </c>
      <c r="H4003" s="55">
        <v>1996</v>
      </c>
      <c r="I4003" s="55">
        <v>1992</v>
      </c>
      <c r="J4003" s="55" t="s">
        <v>2688</v>
      </c>
      <c r="K4003" s="55" t="s">
        <v>3364</v>
      </c>
      <c r="L4003" s="55" t="s">
        <v>2750</v>
      </c>
      <c r="M4003" s="90">
        <f>-13-39/60</f>
        <v>-13.65</v>
      </c>
      <c r="N4003" s="90">
        <f>32+34/60</f>
        <v>32.56666666666667</v>
      </c>
      <c r="O4003" s="90">
        <v>1030</v>
      </c>
      <c r="Q4003" s="55">
        <v>21</v>
      </c>
      <c r="S4003" s="90">
        <v>1000</v>
      </c>
      <c r="U4003" s="55" t="s">
        <v>1935</v>
      </c>
      <c r="V4003" s="55" t="s">
        <v>1682</v>
      </c>
      <c r="Y4003" s="55" t="s">
        <v>3363</v>
      </c>
      <c r="Z4003" s="55" t="s">
        <v>1372</v>
      </c>
      <c r="AA4003" s="90" t="s">
        <v>1687</v>
      </c>
      <c r="AD4003" s="90">
        <v>1.18</v>
      </c>
      <c r="AM4003" s="55" t="s">
        <v>3365</v>
      </c>
      <c r="AN4003" s="185" t="s">
        <v>2838</v>
      </c>
      <c r="AO4003" s="185" t="s">
        <v>5150</v>
      </c>
      <c r="AQ4003" s="55" t="s">
        <v>553</v>
      </c>
      <c r="AR4003" s="55" t="s">
        <v>1607</v>
      </c>
      <c r="AS4003" s="55" t="s">
        <v>132</v>
      </c>
      <c r="AU4003" s="181" t="s">
        <v>7494</v>
      </c>
      <c r="AV4003" s="185" t="s">
        <v>176</v>
      </c>
      <c r="AX4003" s="185" t="s">
        <v>176</v>
      </c>
      <c r="BK4003" s="55" t="s">
        <v>6333</v>
      </c>
      <c r="BM4003" s="192" t="s">
        <v>160</v>
      </c>
      <c r="BN4003" s="55">
        <v>4</v>
      </c>
      <c r="BO4003" s="55">
        <v>4</v>
      </c>
      <c r="BQ4003" s="55" t="s">
        <v>141</v>
      </c>
      <c r="CB4003" s="66">
        <v>1020</v>
      </c>
      <c r="CC4003" s="66">
        <v>1870</v>
      </c>
      <c r="CE4003" s="65">
        <v>420</v>
      </c>
      <c r="CF4003" s="65">
        <v>420</v>
      </c>
      <c r="CH4003" s="90">
        <v>1.22</v>
      </c>
      <c r="CI4003" s="90">
        <v>1.01</v>
      </c>
      <c r="CJ4003" s="65">
        <v>0.08</v>
      </c>
      <c r="CK4003" s="65">
        <v>0.08</v>
      </c>
      <c r="CM4003" s="65">
        <v>0.91</v>
      </c>
      <c r="CN4003" s="65">
        <v>0.98</v>
      </c>
      <c r="CO4003" s="65">
        <v>0.12</v>
      </c>
      <c r="CP4003" s="65">
        <v>0.12</v>
      </c>
      <c r="DA4003" s="65" t="s">
        <v>4458</v>
      </c>
      <c r="GP4003" s="292" t="s">
        <v>7494</v>
      </c>
    </row>
    <row r="4004" spans="1:211" x14ac:dyDescent="0.25">
      <c r="A4004" s="55">
        <v>4003</v>
      </c>
      <c r="B4004" s="12" t="s">
        <v>7067</v>
      </c>
      <c r="C4004" s="155">
        <v>173</v>
      </c>
      <c r="D4004" s="55" t="s">
        <v>3369</v>
      </c>
      <c r="E4004" s="90" t="s">
        <v>3361</v>
      </c>
      <c r="G4004" s="55" t="s">
        <v>3362</v>
      </c>
      <c r="H4004" s="55">
        <v>1996</v>
      </c>
      <c r="I4004" s="55">
        <v>1992</v>
      </c>
      <c r="J4004" s="55" t="s">
        <v>2688</v>
      </c>
      <c r="K4004" s="55" t="s">
        <v>3364</v>
      </c>
      <c r="L4004" s="55" t="s">
        <v>2750</v>
      </c>
      <c r="M4004" s="90">
        <f>-13-39/60</f>
        <v>-13.65</v>
      </c>
      <c r="N4004" s="90">
        <f>32+34/60</f>
        <v>32.56666666666667</v>
      </c>
      <c r="O4004" s="90">
        <v>1030</v>
      </c>
      <c r="Q4004" s="55">
        <v>21</v>
      </c>
      <c r="S4004" s="90">
        <v>1000</v>
      </c>
      <c r="U4004" s="55" t="s">
        <v>1935</v>
      </c>
      <c r="V4004" s="55" t="s">
        <v>1682</v>
      </c>
      <c r="Y4004" s="55" t="s">
        <v>3363</v>
      </c>
      <c r="Z4004" s="55" t="s">
        <v>3368</v>
      </c>
      <c r="AA4004" s="90" t="s">
        <v>1687</v>
      </c>
      <c r="AD4004" s="90">
        <v>1.18</v>
      </c>
      <c r="AM4004" s="55" t="s">
        <v>3365</v>
      </c>
      <c r="AN4004" s="185" t="s">
        <v>2838</v>
      </c>
      <c r="AO4004" s="185" t="s">
        <v>5150</v>
      </c>
      <c r="AQ4004" s="55" t="s">
        <v>553</v>
      </c>
      <c r="AR4004" s="55" t="s">
        <v>1607</v>
      </c>
      <c r="AS4004" s="55" t="s">
        <v>132</v>
      </c>
      <c r="AU4004" s="181" t="s">
        <v>7494</v>
      </c>
      <c r="AV4004" s="185" t="s">
        <v>176</v>
      </c>
      <c r="AX4004" s="185" t="s">
        <v>176</v>
      </c>
      <c r="BK4004" s="55" t="s">
        <v>6333</v>
      </c>
      <c r="BM4004" s="192" t="s">
        <v>160</v>
      </c>
      <c r="BN4004" s="55">
        <v>4</v>
      </c>
      <c r="BO4004" s="55">
        <v>4</v>
      </c>
      <c r="BQ4004" s="55" t="s">
        <v>141</v>
      </c>
      <c r="CM4004" s="65">
        <v>0.76</v>
      </c>
      <c r="CN4004" s="65">
        <v>0.76</v>
      </c>
      <c r="CO4004" s="65">
        <v>0.12</v>
      </c>
      <c r="CP4004" s="65">
        <v>0.12</v>
      </c>
      <c r="DA4004" s="65" t="s">
        <v>4458</v>
      </c>
      <c r="GP4004" s="292" t="s">
        <v>7494</v>
      </c>
    </row>
    <row r="4005" spans="1:211" x14ac:dyDescent="0.25">
      <c r="A4005" s="55">
        <v>4004</v>
      </c>
      <c r="B4005" s="12" t="s">
        <v>7067</v>
      </c>
      <c r="C4005" s="155">
        <v>173</v>
      </c>
      <c r="D4005" s="55" t="s">
        <v>3369</v>
      </c>
      <c r="E4005" s="90" t="s">
        <v>3361</v>
      </c>
      <c r="G4005" s="55" t="s">
        <v>3362</v>
      </c>
      <c r="H4005" s="55">
        <v>1996</v>
      </c>
      <c r="I4005" s="55">
        <v>1993</v>
      </c>
      <c r="J4005" s="55" t="s">
        <v>2688</v>
      </c>
      <c r="K4005" s="55" t="s">
        <v>3364</v>
      </c>
      <c r="L4005" s="55" t="s">
        <v>2750</v>
      </c>
      <c r="M4005" s="90">
        <f>-13-39/60</f>
        <v>-13.65</v>
      </c>
      <c r="N4005" s="90">
        <f>32+34/60</f>
        <v>32.56666666666667</v>
      </c>
      <c r="O4005" s="90">
        <v>1030</v>
      </c>
      <c r="Q4005" s="55">
        <v>21</v>
      </c>
      <c r="S4005" s="90">
        <v>1000</v>
      </c>
      <c r="U4005" s="55" t="s">
        <v>1935</v>
      </c>
      <c r="V4005" s="55" t="s">
        <v>1682</v>
      </c>
      <c r="Y4005" s="55" t="s">
        <v>3363</v>
      </c>
      <c r="Z4005" s="55" t="s">
        <v>1367</v>
      </c>
      <c r="AA4005" s="90" t="s">
        <v>1687</v>
      </c>
      <c r="AD4005" s="90">
        <v>1.18</v>
      </c>
      <c r="AM4005" s="55" t="s">
        <v>3365</v>
      </c>
      <c r="AN4005" s="185" t="s">
        <v>2838</v>
      </c>
      <c r="AO4005" s="185" t="s">
        <v>5150</v>
      </c>
      <c r="AQ4005" s="55" t="s">
        <v>553</v>
      </c>
      <c r="AR4005" s="55" t="s">
        <v>1607</v>
      </c>
      <c r="AS4005" s="55" t="s">
        <v>132</v>
      </c>
      <c r="AU4005" s="181" t="s">
        <v>7494</v>
      </c>
      <c r="AV4005" s="185" t="s">
        <v>176</v>
      </c>
      <c r="AX4005" s="185" t="s">
        <v>176</v>
      </c>
      <c r="BK4005" s="55" t="s">
        <v>6333</v>
      </c>
      <c r="BM4005" s="192" t="s">
        <v>160</v>
      </c>
      <c r="BN4005" s="55">
        <v>4</v>
      </c>
      <c r="BO4005" s="55">
        <v>4</v>
      </c>
      <c r="BQ4005" s="55" t="s">
        <v>141</v>
      </c>
      <c r="BV4005" s="55" t="s">
        <v>3366</v>
      </c>
      <c r="CB4005" s="66">
        <v>1860</v>
      </c>
      <c r="CC4005" s="66">
        <v>4670</v>
      </c>
      <c r="CE4005" s="65">
        <v>400</v>
      </c>
      <c r="CF4005" s="65">
        <v>400</v>
      </c>
      <c r="CH4005" s="90">
        <v>1.54</v>
      </c>
      <c r="CI4005" s="90">
        <v>1.55</v>
      </c>
      <c r="CJ4005" s="65">
        <v>0.18</v>
      </c>
      <c r="CK4005" s="65">
        <v>0.18</v>
      </c>
      <c r="CM4005" s="65">
        <v>1.27</v>
      </c>
      <c r="CN4005" s="65">
        <v>1.1599999999999999</v>
      </c>
      <c r="CO4005" s="65">
        <v>0.12</v>
      </c>
      <c r="CP4005" s="65">
        <v>0.12</v>
      </c>
      <c r="DA4005" s="65" t="s">
        <v>4458</v>
      </c>
      <c r="EU4005" s="65">
        <v>0.57999999999999996</v>
      </c>
      <c r="EV4005" s="65">
        <v>0.44</v>
      </c>
      <c r="EY4005" s="65" t="s">
        <v>2367</v>
      </c>
      <c r="GP4005" s="292" t="s">
        <v>7494</v>
      </c>
    </row>
    <row r="4006" spans="1:211" x14ac:dyDescent="0.25">
      <c r="A4006" s="55">
        <v>4005</v>
      </c>
      <c r="B4006" s="12" t="s">
        <v>7067</v>
      </c>
      <c r="C4006" s="155">
        <v>173</v>
      </c>
      <c r="D4006" s="55" t="s">
        <v>3369</v>
      </c>
      <c r="E4006" s="90" t="s">
        <v>3361</v>
      </c>
      <c r="G4006" s="55" t="s">
        <v>3362</v>
      </c>
      <c r="H4006" s="55">
        <v>1996</v>
      </c>
      <c r="I4006" s="55">
        <v>1993</v>
      </c>
      <c r="J4006" s="55" t="s">
        <v>2688</v>
      </c>
      <c r="K4006" s="55" t="s">
        <v>3364</v>
      </c>
      <c r="L4006" s="55" t="s">
        <v>2750</v>
      </c>
      <c r="M4006" s="90">
        <f>-13-39/60</f>
        <v>-13.65</v>
      </c>
      <c r="N4006" s="90">
        <f>32+34/60</f>
        <v>32.56666666666667</v>
      </c>
      <c r="O4006" s="90">
        <v>1030</v>
      </c>
      <c r="Q4006" s="55">
        <v>21</v>
      </c>
      <c r="S4006" s="90">
        <v>1000</v>
      </c>
      <c r="U4006" s="55" t="s">
        <v>1935</v>
      </c>
      <c r="V4006" s="55" t="s">
        <v>1682</v>
      </c>
      <c r="Y4006" s="55" t="s">
        <v>3363</v>
      </c>
      <c r="Z4006" s="55" t="s">
        <v>1372</v>
      </c>
      <c r="AA4006" s="90" t="s">
        <v>1687</v>
      </c>
      <c r="AD4006" s="90">
        <v>1.18</v>
      </c>
      <c r="AM4006" s="55" t="s">
        <v>3365</v>
      </c>
      <c r="AN4006" s="185" t="s">
        <v>2838</v>
      </c>
      <c r="AO4006" s="185" t="s">
        <v>5150</v>
      </c>
      <c r="AQ4006" s="55" t="s">
        <v>553</v>
      </c>
      <c r="AR4006" s="55" t="s">
        <v>1607</v>
      </c>
      <c r="AS4006" s="55" t="s">
        <v>132</v>
      </c>
      <c r="AU4006" s="181" t="s">
        <v>7494</v>
      </c>
      <c r="AV4006" s="185" t="s">
        <v>176</v>
      </c>
      <c r="AX4006" s="185" t="s">
        <v>176</v>
      </c>
      <c r="BK4006" s="55" t="s">
        <v>6333</v>
      </c>
      <c r="BM4006" s="192" t="s">
        <v>160</v>
      </c>
      <c r="BN4006" s="55">
        <v>4</v>
      </c>
      <c r="BO4006" s="55">
        <v>4</v>
      </c>
      <c r="BQ4006" s="55" t="s">
        <v>141</v>
      </c>
      <c r="BV4006" s="55" t="s">
        <v>3366</v>
      </c>
      <c r="CB4006" s="66">
        <v>1020</v>
      </c>
      <c r="CC4006" s="66">
        <v>3360</v>
      </c>
      <c r="CE4006" s="65">
        <v>400</v>
      </c>
      <c r="CF4006" s="65">
        <v>400</v>
      </c>
      <c r="CH4006" s="90">
        <v>1.2</v>
      </c>
      <c r="CI4006" s="90">
        <v>1.49</v>
      </c>
      <c r="CJ4006" s="65">
        <v>0.18</v>
      </c>
      <c r="CK4006" s="65">
        <v>0.18</v>
      </c>
      <c r="CM4006" s="65">
        <v>0.91</v>
      </c>
      <c r="CN4006" s="65">
        <v>1.03</v>
      </c>
      <c r="CO4006" s="65">
        <v>0.12</v>
      </c>
      <c r="CP4006" s="65">
        <v>0.12</v>
      </c>
      <c r="DA4006" s="65" t="s">
        <v>4458</v>
      </c>
      <c r="GP4006" s="292" t="s">
        <v>7494</v>
      </c>
    </row>
    <row r="4007" spans="1:211" x14ac:dyDescent="0.25">
      <c r="A4007" s="55">
        <v>4006</v>
      </c>
      <c r="B4007" s="12" t="s">
        <v>7067</v>
      </c>
      <c r="C4007" s="155">
        <v>173</v>
      </c>
      <c r="D4007" s="55" t="s">
        <v>3369</v>
      </c>
      <c r="E4007" s="90" t="s">
        <v>3361</v>
      </c>
      <c r="G4007" s="55" t="s">
        <v>3362</v>
      </c>
      <c r="H4007" s="55">
        <v>1996</v>
      </c>
      <c r="I4007" s="55">
        <v>1993</v>
      </c>
      <c r="J4007" s="55" t="s">
        <v>2688</v>
      </c>
      <c r="K4007" s="55" t="s">
        <v>3364</v>
      </c>
      <c r="L4007" s="55" t="s">
        <v>2750</v>
      </c>
      <c r="M4007" s="90">
        <f>-13-39/60</f>
        <v>-13.65</v>
      </c>
      <c r="N4007" s="90">
        <f>32+34/60</f>
        <v>32.56666666666667</v>
      </c>
      <c r="O4007" s="90">
        <v>1030</v>
      </c>
      <c r="Q4007" s="55">
        <v>21</v>
      </c>
      <c r="S4007" s="90">
        <v>1000</v>
      </c>
      <c r="U4007" s="55" t="s">
        <v>1935</v>
      </c>
      <c r="V4007" s="55" t="s">
        <v>1682</v>
      </c>
      <c r="Y4007" s="55" t="s">
        <v>3363</v>
      </c>
      <c r="Z4007" s="55" t="s">
        <v>3368</v>
      </c>
      <c r="AA4007" s="90" t="s">
        <v>1687</v>
      </c>
      <c r="AD4007" s="90">
        <v>1.18</v>
      </c>
      <c r="AM4007" s="55" t="s">
        <v>3365</v>
      </c>
      <c r="AN4007" s="185" t="s">
        <v>2838</v>
      </c>
      <c r="AO4007" s="185" t="s">
        <v>5150</v>
      </c>
      <c r="AQ4007" s="55" t="s">
        <v>553</v>
      </c>
      <c r="AR4007" s="55" t="s">
        <v>1607</v>
      </c>
      <c r="AS4007" s="55" t="s">
        <v>132</v>
      </c>
      <c r="AU4007" s="181" t="s">
        <v>7494</v>
      </c>
      <c r="AV4007" s="185" t="s">
        <v>176</v>
      </c>
      <c r="AX4007" s="185" t="s">
        <v>176</v>
      </c>
      <c r="BK4007" s="55" t="s">
        <v>6333</v>
      </c>
      <c r="BM4007" s="192" t="s">
        <v>160</v>
      </c>
      <c r="BN4007" s="55">
        <v>4</v>
      </c>
      <c r="BO4007" s="55">
        <v>4</v>
      </c>
      <c r="BQ4007" s="55" t="s">
        <v>141</v>
      </c>
      <c r="BV4007" s="55" t="s">
        <v>3366</v>
      </c>
      <c r="CM4007" s="65">
        <v>0.76</v>
      </c>
      <c r="CN4007" s="65">
        <v>0.89</v>
      </c>
      <c r="CO4007" s="65">
        <v>0.12</v>
      </c>
      <c r="CP4007" s="65">
        <v>0.12</v>
      </c>
      <c r="DA4007" s="65" t="s">
        <v>4458</v>
      </c>
      <c r="GP4007" s="292" t="s">
        <v>7494</v>
      </c>
    </row>
    <row r="4008" spans="1:211" x14ac:dyDescent="0.25">
      <c r="A4008" s="55">
        <v>4007</v>
      </c>
      <c r="B4008" s="12" t="s">
        <v>7067</v>
      </c>
      <c r="C4008" s="155">
        <v>173</v>
      </c>
      <c r="D4008" s="55" t="s">
        <v>3369</v>
      </c>
      <c r="E4008" s="90" t="s">
        <v>3361</v>
      </c>
      <c r="G4008" s="55" t="s">
        <v>3362</v>
      </c>
      <c r="H4008" s="55">
        <v>1996</v>
      </c>
      <c r="I4008" s="55">
        <v>1993</v>
      </c>
      <c r="J4008" s="55" t="s">
        <v>2688</v>
      </c>
      <c r="K4008" s="55" t="s">
        <v>3364</v>
      </c>
      <c r="L4008" s="55" t="s">
        <v>2750</v>
      </c>
      <c r="M4008" s="90">
        <f>-13-39/60</f>
        <v>-13.65</v>
      </c>
      <c r="N4008" s="90">
        <f>32+34/60</f>
        <v>32.56666666666667</v>
      </c>
      <c r="O4008" s="90">
        <v>1030</v>
      </c>
      <c r="Q4008" s="55">
        <v>21</v>
      </c>
      <c r="S4008" s="90">
        <v>1000</v>
      </c>
      <c r="U4008" s="55" t="s">
        <v>1935</v>
      </c>
      <c r="V4008" s="55" t="s">
        <v>1682</v>
      </c>
      <c r="Y4008" s="55" t="s">
        <v>3363</v>
      </c>
      <c r="Z4008" s="55" t="s">
        <v>1367</v>
      </c>
      <c r="AA4008" s="90" t="s">
        <v>1687</v>
      </c>
      <c r="AD4008" s="90">
        <v>1.18</v>
      </c>
      <c r="AM4008" s="55" t="s">
        <v>3365</v>
      </c>
      <c r="AN4008" s="185" t="s">
        <v>2838</v>
      </c>
      <c r="AO4008" s="185" t="s">
        <v>5150</v>
      </c>
      <c r="AQ4008" s="55" t="s">
        <v>553</v>
      </c>
      <c r="AR4008" s="55" t="s">
        <v>1607</v>
      </c>
      <c r="AS4008" s="55" t="s">
        <v>132</v>
      </c>
      <c r="AU4008" s="181" t="s">
        <v>7494</v>
      </c>
      <c r="AV4008" s="185" t="s">
        <v>176</v>
      </c>
      <c r="AX4008" s="185" t="s">
        <v>176</v>
      </c>
      <c r="BK4008" s="55" t="s">
        <v>6333</v>
      </c>
      <c r="BM4008" s="192" t="s">
        <v>160</v>
      </c>
      <c r="BN4008" s="55">
        <v>4</v>
      </c>
      <c r="BO4008" s="55">
        <v>4</v>
      </c>
      <c r="BQ4008" s="55" t="s">
        <v>141</v>
      </c>
      <c r="BV4008" s="55" t="s">
        <v>3367</v>
      </c>
      <c r="CH4008" s="90">
        <v>1.04</v>
      </c>
      <c r="CI4008" s="90">
        <v>1.1499999999999999</v>
      </c>
      <c r="CJ4008" s="65">
        <v>0.15</v>
      </c>
      <c r="CK4008" s="65">
        <v>0.15</v>
      </c>
      <c r="EU4008" s="65">
        <v>0.46</v>
      </c>
      <c r="EV4008" s="65">
        <v>0.44</v>
      </c>
      <c r="EY4008" s="65" t="s">
        <v>2367</v>
      </c>
      <c r="GP4008" s="292" t="s">
        <v>7494</v>
      </c>
    </row>
    <row r="4009" spans="1:211" x14ac:dyDescent="0.25">
      <c r="A4009" s="55">
        <v>4008</v>
      </c>
      <c r="B4009" s="12" t="s">
        <v>7067</v>
      </c>
      <c r="C4009" s="155">
        <v>173</v>
      </c>
      <c r="D4009" s="55" t="s">
        <v>3369</v>
      </c>
      <c r="E4009" s="90" t="s">
        <v>3361</v>
      </c>
      <c r="G4009" s="55" t="s">
        <v>3362</v>
      </c>
      <c r="H4009" s="55">
        <v>1996</v>
      </c>
      <c r="I4009" s="55">
        <v>1993</v>
      </c>
      <c r="J4009" s="55" t="s">
        <v>2688</v>
      </c>
      <c r="K4009" s="55" t="s">
        <v>3364</v>
      </c>
      <c r="L4009" s="55" t="s">
        <v>2750</v>
      </c>
      <c r="M4009" s="90">
        <f>-13-39/60</f>
        <v>-13.65</v>
      </c>
      <c r="N4009" s="90">
        <f>32+34/60</f>
        <v>32.56666666666667</v>
      </c>
      <c r="O4009" s="90">
        <v>1030</v>
      </c>
      <c r="Q4009" s="55">
        <v>21</v>
      </c>
      <c r="S4009" s="90">
        <v>1000</v>
      </c>
      <c r="U4009" s="55" t="s">
        <v>1935</v>
      </c>
      <c r="V4009" s="55" t="s">
        <v>1682</v>
      </c>
      <c r="Y4009" s="55" t="s">
        <v>3363</v>
      </c>
      <c r="Z4009" s="55" t="s">
        <v>1372</v>
      </c>
      <c r="AA4009" s="90" t="s">
        <v>1687</v>
      </c>
      <c r="AD4009" s="90">
        <v>1.18</v>
      </c>
      <c r="AM4009" s="55" t="s">
        <v>3365</v>
      </c>
      <c r="AN4009" s="185" t="s">
        <v>2838</v>
      </c>
      <c r="AO4009" s="185" t="s">
        <v>5150</v>
      </c>
      <c r="AQ4009" s="55" t="s">
        <v>553</v>
      </c>
      <c r="AR4009" s="55" t="s">
        <v>1607</v>
      </c>
      <c r="AS4009" s="55" t="s">
        <v>132</v>
      </c>
      <c r="AU4009" s="181" t="s">
        <v>7494</v>
      </c>
      <c r="AV4009" s="185" t="s">
        <v>176</v>
      </c>
      <c r="AX4009" s="185" t="s">
        <v>176</v>
      </c>
      <c r="BK4009" s="55" t="s">
        <v>6333</v>
      </c>
      <c r="BM4009" s="192" t="s">
        <v>160</v>
      </c>
      <c r="BN4009" s="55">
        <v>4</v>
      </c>
      <c r="BO4009" s="55">
        <v>4</v>
      </c>
      <c r="BQ4009" s="55" t="s">
        <v>141</v>
      </c>
      <c r="BV4009" s="55" t="s">
        <v>3367</v>
      </c>
      <c r="CH4009" s="90">
        <v>1.39</v>
      </c>
      <c r="CI4009" s="90">
        <v>1.1299999999999999</v>
      </c>
      <c r="CJ4009" s="65">
        <v>0.15</v>
      </c>
      <c r="CK4009" s="65">
        <v>0.15</v>
      </c>
      <c r="GP4009" s="292" t="s">
        <v>7494</v>
      </c>
    </row>
    <row r="4010" spans="1:211" x14ac:dyDescent="0.25">
      <c r="A4010" s="55">
        <v>4009</v>
      </c>
      <c r="B4010" s="12" t="s">
        <v>7067</v>
      </c>
      <c r="C4010" s="155">
        <v>173</v>
      </c>
      <c r="D4010" s="55" t="s">
        <v>3369</v>
      </c>
      <c r="E4010" s="90" t="s">
        <v>3361</v>
      </c>
      <c r="G4010" s="55" t="s">
        <v>3362</v>
      </c>
      <c r="H4010" s="55">
        <v>1996</v>
      </c>
      <c r="I4010" s="55">
        <v>1992</v>
      </c>
      <c r="J4010" s="55" t="s">
        <v>2688</v>
      </c>
      <c r="K4010" s="55" t="s">
        <v>3364</v>
      </c>
      <c r="L4010" s="55" t="s">
        <v>2750</v>
      </c>
      <c r="M4010" s="90">
        <f>-13-39/60</f>
        <v>-13.65</v>
      </c>
      <c r="N4010" s="90">
        <f>32+34/60</f>
        <v>32.56666666666667</v>
      </c>
      <c r="O4010" s="90">
        <v>1030</v>
      </c>
      <c r="Q4010" s="55">
        <v>21</v>
      </c>
      <c r="S4010" s="90">
        <v>1000</v>
      </c>
      <c r="U4010" s="55" t="s">
        <v>1935</v>
      </c>
      <c r="V4010" s="55" t="s">
        <v>1682</v>
      </c>
      <c r="Y4010" s="55" t="s">
        <v>3363</v>
      </c>
      <c r="Z4010" s="55" t="s">
        <v>1367</v>
      </c>
      <c r="AA4010" s="90" t="s">
        <v>1687</v>
      </c>
      <c r="AD4010" s="90">
        <v>1.18</v>
      </c>
      <c r="AM4010" s="55" t="s">
        <v>3365</v>
      </c>
      <c r="AN4010" s="185" t="s">
        <v>2838</v>
      </c>
      <c r="AO4010" s="185" t="s">
        <v>5150</v>
      </c>
      <c r="AQ4010" s="55" t="s">
        <v>553</v>
      </c>
      <c r="AR4010" s="55" t="s">
        <v>1607</v>
      </c>
      <c r="AS4010" s="55" t="s">
        <v>132</v>
      </c>
      <c r="AU4010" s="181" t="s">
        <v>7494</v>
      </c>
      <c r="AV4010" s="185" t="s">
        <v>176</v>
      </c>
      <c r="AX4010" s="185" t="s">
        <v>176</v>
      </c>
      <c r="BK4010" s="55" t="s">
        <v>6333</v>
      </c>
      <c r="BM4010" s="192" t="s">
        <v>160</v>
      </c>
      <c r="BN4010" s="55">
        <v>4</v>
      </c>
      <c r="BO4010" s="55">
        <v>4</v>
      </c>
      <c r="BQ4010" s="55" t="s">
        <v>141</v>
      </c>
      <c r="CH4010" s="90">
        <v>1.32</v>
      </c>
      <c r="CI4010" s="90">
        <v>1.19</v>
      </c>
      <c r="CJ4010" s="65">
        <v>0.08</v>
      </c>
      <c r="CK4010" s="65">
        <v>0.08</v>
      </c>
      <c r="EU4010" s="65">
        <v>0.46</v>
      </c>
      <c r="EV4010" s="65">
        <v>0.37</v>
      </c>
      <c r="EY4010" s="65" t="s">
        <v>2367</v>
      </c>
      <c r="GP4010" s="292" t="s">
        <v>7494</v>
      </c>
    </row>
    <row r="4011" spans="1:211" x14ac:dyDescent="0.25">
      <c r="A4011" s="55">
        <v>4010</v>
      </c>
      <c r="B4011" s="12" t="s">
        <v>7067</v>
      </c>
      <c r="C4011" s="155">
        <v>173</v>
      </c>
      <c r="D4011" s="55" t="s">
        <v>3369</v>
      </c>
      <c r="E4011" s="90" t="s">
        <v>3361</v>
      </c>
      <c r="G4011" s="55" t="s">
        <v>3362</v>
      </c>
      <c r="H4011" s="55">
        <v>1996</v>
      </c>
      <c r="I4011" s="55">
        <v>1992</v>
      </c>
      <c r="J4011" s="55" t="s">
        <v>2688</v>
      </c>
      <c r="K4011" s="55" t="s">
        <v>3364</v>
      </c>
      <c r="L4011" s="55" t="s">
        <v>2750</v>
      </c>
      <c r="M4011" s="90">
        <f>-13-39/60</f>
        <v>-13.65</v>
      </c>
      <c r="N4011" s="90">
        <f>32+34/60</f>
        <v>32.56666666666667</v>
      </c>
      <c r="O4011" s="90">
        <v>1030</v>
      </c>
      <c r="Q4011" s="55">
        <v>21</v>
      </c>
      <c r="S4011" s="90">
        <v>1000</v>
      </c>
      <c r="U4011" s="55" t="s">
        <v>1935</v>
      </c>
      <c r="V4011" s="55" t="s">
        <v>1682</v>
      </c>
      <c r="Y4011" s="55" t="s">
        <v>3363</v>
      </c>
      <c r="Z4011" s="55" t="s">
        <v>1372</v>
      </c>
      <c r="AA4011" s="90" t="s">
        <v>1687</v>
      </c>
      <c r="AD4011" s="90">
        <v>1.18</v>
      </c>
      <c r="AM4011" s="55" t="s">
        <v>3365</v>
      </c>
      <c r="AN4011" s="185" t="s">
        <v>2838</v>
      </c>
      <c r="AO4011" s="185" t="s">
        <v>5150</v>
      </c>
      <c r="AQ4011" s="55" t="s">
        <v>553</v>
      </c>
      <c r="AR4011" s="55" t="s">
        <v>1607</v>
      </c>
      <c r="AS4011" s="55" t="s">
        <v>132</v>
      </c>
      <c r="AU4011" s="181" t="s">
        <v>7494</v>
      </c>
      <c r="AV4011" s="185" t="s">
        <v>176</v>
      </c>
      <c r="AX4011" s="185" t="s">
        <v>176</v>
      </c>
      <c r="BK4011" s="55" t="s">
        <v>6333</v>
      </c>
      <c r="BM4011" s="192" t="s">
        <v>160</v>
      </c>
      <c r="BN4011" s="55">
        <v>4</v>
      </c>
      <c r="BO4011" s="55">
        <v>4</v>
      </c>
      <c r="BQ4011" s="55" t="s">
        <v>141</v>
      </c>
      <c r="CH4011" s="90">
        <v>1.22</v>
      </c>
      <c r="CI4011" s="90">
        <v>1.1000000000000001</v>
      </c>
      <c r="CJ4011" s="65">
        <v>0.08</v>
      </c>
      <c r="CK4011" s="65">
        <v>0.08</v>
      </c>
      <c r="GP4011" s="292" t="s">
        <v>7494</v>
      </c>
    </row>
    <row r="4012" spans="1:211" x14ac:dyDescent="0.25">
      <c r="A4012" s="55">
        <v>4011</v>
      </c>
      <c r="B4012" s="12" t="s">
        <v>7067</v>
      </c>
      <c r="C4012" s="155">
        <v>173</v>
      </c>
      <c r="D4012" s="55" t="s">
        <v>3369</v>
      </c>
      <c r="E4012" s="90" t="s">
        <v>3361</v>
      </c>
      <c r="G4012" s="55" t="s">
        <v>3362</v>
      </c>
      <c r="H4012" s="55">
        <v>1996</v>
      </c>
      <c r="I4012" s="55">
        <v>1993</v>
      </c>
      <c r="J4012" s="55" t="s">
        <v>2688</v>
      </c>
      <c r="K4012" s="55" t="s">
        <v>3364</v>
      </c>
      <c r="L4012" s="55" t="s">
        <v>2750</v>
      </c>
      <c r="M4012" s="90">
        <f>-13-39/60</f>
        <v>-13.65</v>
      </c>
      <c r="N4012" s="90">
        <f>32+34/60</f>
        <v>32.56666666666667</v>
      </c>
      <c r="O4012" s="90">
        <v>1030</v>
      </c>
      <c r="Q4012" s="55">
        <v>21</v>
      </c>
      <c r="S4012" s="90">
        <v>1000</v>
      </c>
      <c r="U4012" s="55" t="s">
        <v>1935</v>
      </c>
      <c r="V4012" s="55" t="s">
        <v>1682</v>
      </c>
      <c r="Y4012" s="55" t="s">
        <v>3363</v>
      </c>
      <c r="Z4012" s="55" t="s">
        <v>1367</v>
      </c>
      <c r="AA4012" s="90" t="s">
        <v>1687</v>
      </c>
      <c r="AD4012" s="90">
        <v>1.18</v>
      </c>
      <c r="AM4012" s="55" t="s">
        <v>3365</v>
      </c>
      <c r="AN4012" s="185" t="s">
        <v>2838</v>
      </c>
      <c r="AO4012" s="185" t="s">
        <v>5150</v>
      </c>
      <c r="AQ4012" s="55" t="s">
        <v>553</v>
      </c>
      <c r="AR4012" s="55" t="s">
        <v>1607</v>
      </c>
      <c r="AS4012" s="55" t="s">
        <v>132</v>
      </c>
      <c r="AU4012" s="181" t="s">
        <v>7494</v>
      </c>
      <c r="AV4012" s="185" t="s">
        <v>176</v>
      </c>
      <c r="AX4012" s="185" t="s">
        <v>176</v>
      </c>
      <c r="BK4012" s="55" t="s">
        <v>6333</v>
      </c>
      <c r="BM4012" s="192" t="s">
        <v>160</v>
      </c>
      <c r="BN4012" s="55">
        <v>4</v>
      </c>
      <c r="BO4012" s="55">
        <v>4</v>
      </c>
      <c r="BQ4012" s="55" t="s">
        <v>141</v>
      </c>
      <c r="BV4012" s="55" t="s">
        <v>3366</v>
      </c>
      <c r="CH4012" s="90">
        <v>1.54</v>
      </c>
      <c r="CI4012" s="90">
        <v>1.52</v>
      </c>
      <c r="CJ4012" s="65">
        <v>0.18</v>
      </c>
      <c r="CK4012" s="65">
        <v>0.18</v>
      </c>
      <c r="GP4012" s="292" t="s">
        <v>7494</v>
      </c>
    </row>
    <row r="4013" spans="1:211" x14ac:dyDescent="0.25">
      <c r="A4013" s="55">
        <v>4012</v>
      </c>
      <c r="B4013" s="12" t="s">
        <v>7067</v>
      </c>
      <c r="C4013" s="155">
        <v>173</v>
      </c>
      <c r="D4013" s="55" t="s">
        <v>3369</v>
      </c>
      <c r="E4013" s="90" t="s">
        <v>3361</v>
      </c>
      <c r="G4013" s="55" t="s">
        <v>3362</v>
      </c>
      <c r="H4013" s="55">
        <v>1996</v>
      </c>
      <c r="I4013" s="55">
        <v>1993</v>
      </c>
      <c r="J4013" s="55" t="s">
        <v>2688</v>
      </c>
      <c r="K4013" s="55" t="s">
        <v>3364</v>
      </c>
      <c r="L4013" s="55" t="s">
        <v>2750</v>
      </c>
      <c r="M4013" s="90">
        <f>-13-39/60</f>
        <v>-13.65</v>
      </c>
      <c r="N4013" s="90">
        <f>32+34/60</f>
        <v>32.56666666666667</v>
      </c>
      <c r="O4013" s="90">
        <v>1030</v>
      </c>
      <c r="Q4013" s="55">
        <v>21</v>
      </c>
      <c r="S4013" s="90">
        <v>1000</v>
      </c>
      <c r="U4013" s="55" t="s">
        <v>1935</v>
      </c>
      <c r="V4013" s="55" t="s">
        <v>1682</v>
      </c>
      <c r="Y4013" s="55" t="s">
        <v>3363</v>
      </c>
      <c r="Z4013" s="55" t="s">
        <v>1372</v>
      </c>
      <c r="AA4013" s="90" t="s">
        <v>1687</v>
      </c>
      <c r="AD4013" s="90">
        <v>1.18</v>
      </c>
      <c r="AM4013" s="55" t="s">
        <v>3365</v>
      </c>
      <c r="AN4013" s="185" t="s">
        <v>2838</v>
      </c>
      <c r="AO4013" s="185" t="s">
        <v>5150</v>
      </c>
      <c r="AQ4013" s="55" t="s">
        <v>553</v>
      </c>
      <c r="AR4013" s="55" t="s">
        <v>1607</v>
      </c>
      <c r="AS4013" s="55" t="s">
        <v>132</v>
      </c>
      <c r="AU4013" s="181" t="s">
        <v>7494</v>
      </c>
      <c r="AV4013" s="185" t="s">
        <v>176</v>
      </c>
      <c r="AX4013" s="185" t="s">
        <v>176</v>
      </c>
      <c r="BK4013" s="55" t="s">
        <v>6333</v>
      </c>
      <c r="BM4013" s="192" t="s">
        <v>160</v>
      </c>
      <c r="BN4013" s="55">
        <v>4</v>
      </c>
      <c r="BO4013" s="55">
        <v>4</v>
      </c>
      <c r="BQ4013" s="55" t="s">
        <v>141</v>
      </c>
      <c r="BV4013" s="55" t="s">
        <v>3366</v>
      </c>
      <c r="CH4013" s="90">
        <v>1.2</v>
      </c>
      <c r="CI4013" s="90">
        <v>1.51</v>
      </c>
      <c r="CJ4013" s="65">
        <v>0.18</v>
      </c>
      <c r="CK4013" s="65">
        <v>0.18</v>
      </c>
      <c r="GP4013" s="292" t="s">
        <v>7494</v>
      </c>
    </row>
    <row r="4014" spans="1:211" x14ac:dyDescent="0.25">
      <c r="A4014" s="55">
        <v>4013</v>
      </c>
      <c r="B4014" s="12" t="s">
        <v>7067</v>
      </c>
      <c r="C4014" s="155">
        <v>173</v>
      </c>
      <c r="D4014" s="55" t="s">
        <v>3369</v>
      </c>
      <c r="E4014" s="90" t="s">
        <v>3361</v>
      </c>
      <c r="G4014" s="55" t="s">
        <v>3362</v>
      </c>
      <c r="H4014" s="55">
        <v>1996</v>
      </c>
      <c r="I4014" s="55">
        <v>1993</v>
      </c>
      <c r="J4014" s="55" t="s">
        <v>2688</v>
      </c>
      <c r="K4014" s="55" t="s">
        <v>3364</v>
      </c>
      <c r="L4014" s="55" t="s">
        <v>2750</v>
      </c>
      <c r="M4014" s="90">
        <f>-13-39/60</f>
        <v>-13.65</v>
      </c>
      <c r="N4014" s="90">
        <f>32+34/60</f>
        <v>32.56666666666667</v>
      </c>
      <c r="O4014" s="90">
        <v>1030</v>
      </c>
      <c r="Q4014" s="55">
        <v>21</v>
      </c>
      <c r="S4014" s="90">
        <v>1000</v>
      </c>
      <c r="U4014" s="55" t="s">
        <v>1935</v>
      </c>
      <c r="V4014" s="55" t="s">
        <v>1682</v>
      </c>
      <c r="Y4014" s="55" t="s">
        <v>3363</v>
      </c>
      <c r="Z4014" s="55" t="s">
        <v>1367</v>
      </c>
      <c r="AA4014" s="90" t="s">
        <v>1687</v>
      </c>
      <c r="AD4014" s="90">
        <v>1.18</v>
      </c>
      <c r="AM4014" s="55" t="s">
        <v>3365</v>
      </c>
      <c r="AN4014" s="185" t="s">
        <v>2838</v>
      </c>
      <c r="AO4014" s="185" t="s">
        <v>5150</v>
      </c>
      <c r="AQ4014" s="55" t="s">
        <v>553</v>
      </c>
      <c r="AR4014" s="55" t="s">
        <v>1607</v>
      </c>
      <c r="AS4014" s="55" t="s">
        <v>132</v>
      </c>
      <c r="AU4014" s="181" t="s">
        <v>7494</v>
      </c>
      <c r="AV4014" s="185" t="s">
        <v>176</v>
      </c>
      <c r="AX4014" s="185" t="s">
        <v>176</v>
      </c>
      <c r="BK4014" s="55" t="s">
        <v>6333</v>
      </c>
      <c r="BM4014" s="192" t="s">
        <v>160</v>
      </c>
      <c r="BN4014" s="55">
        <v>4</v>
      </c>
      <c r="BO4014" s="55">
        <v>4</v>
      </c>
      <c r="BQ4014" s="55" t="s">
        <v>141</v>
      </c>
      <c r="BV4014" s="55" t="s">
        <v>3367</v>
      </c>
      <c r="CH4014" s="90">
        <v>1.04</v>
      </c>
      <c r="CI4014" s="90">
        <v>1.1499999999999999</v>
      </c>
      <c r="CJ4014" s="65">
        <v>0.15</v>
      </c>
      <c r="CK4014" s="65">
        <v>0.15</v>
      </c>
      <c r="GP4014" s="292" t="s">
        <v>7494</v>
      </c>
    </row>
    <row r="4015" spans="1:211" x14ac:dyDescent="0.25">
      <c r="A4015" s="55">
        <v>4014</v>
      </c>
      <c r="B4015" s="12" t="s">
        <v>7067</v>
      </c>
      <c r="C4015" s="155">
        <v>173</v>
      </c>
      <c r="D4015" s="55" t="s">
        <v>3369</v>
      </c>
      <c r="E4015" s="90" t="s">
        <v>3361</v>
      </c>
      <c r="G4015" s="55" t="s">
        <v>3362</v>
      </c>
      <c r="H4015" s="55">
        <v>1996</v>
      </c>
      <c r="I4015" s="55">
        <v>1993</v>
      </c>
      <c r="J4015" s="55" t="s">
        <v>2688</v>
      </c>
      <c r="K4015" s="55" t="s">
        <v>3364</v>
      </c>
      <c r="L4015" s="55" t="s">
        <v>2750</v>
      </c>
      <c r="M4015" s="90">
        <f>-13-39/60</f>
        <v>-13.65</v>
      </c>
      <c r="N4015" s="90">
        <f>32+34/60</f>
        <v>32.56666666666667</v>
      </c>
      <c r="O4015" s="90">
        <v>1030</v>
      </c>
      <c r="Q4015" s="55">
        <v>21</v>
      </c>
      <c r="S4015" s="90">
        <v>1000</v>
      </c>
      <c r="U4015" s="55" t="s">
        <v>1935</v>
      </c>
      <c r="V4015" s="55" t="s">
        <v>1682</v>
      </c>
      <c r="Y4015" s="55" t="s">
        <v>3363</v>
      </c>
      <c r="Z4015" s="55" t="s">
        <v>1372</v>
      </c>
      <c r="AA4015" s="90" t="s">
        <v>1687</v>
      </c>
      <c r="AD4015" s="90">
        <v>1.18</v>
      </c>
      <c r="AM4015" s="55" t="s">
        <v>3365</v>
      </c>
      <c r="AN4015" s="185" t="s">
        <v>2838</v>
      </c>
      <c r="AO4015" s="185" t="s">
        <v>5150</v>
      </c>
      <c r="AQ4015" s="55" t="s">
        <v>553</v>
      </c>
      <c r="AR4015" s="55" t="s">
        <v>1607</v>
      </c>
      <c r="AS4015" s="55" t="s">
        <v>132</v>
      </c>
      <c r="AU4015" s="181" t="s">
        <v>7494</v>
      </c>
      <c r="AV4015" s="185" t="s">
        <v>176</v>
      </c>
      <c r="AX4015" s="185" t="s">
        <v>176</v>
      </c>
      <c r="BK4015" s="55" t="s">
        <v>6333</v>
      </c>
      <c r="BM4015" s="192" t="s">
        <v>160</v>
      </c>
      <c r="BN4015" s="55">
        <v>4</v>
      </c>
      <c r="BO4015" s="55">
        <v>4</v>
      </c>
      <c r="BQ4015" s="55" t="s">
        <v>141</v>
      </c>
      <c r="BV4015" s="55" t="s">
        <v>3367</v>
      </c>
      <c r="CH4015" s="90">
        <v>1.39</v>
      </c>
      <c r="CI4015" s="90">
        <v>1.18</v>
      </c>
      <c r="CJ4015" s="65">
        <v>0.15</v>
      </c>
      <c r="CK4015" s="65">
        <v>0.15</v>
      </c>
      <c r="GP4015" s="292" t="s">
        <v>7494</v>
      </c>
    </row>
    <row r="4016" spans="1:211" x14ac:dyDescent="0.25">
      <c r="A4016" s="55">
        <v>4015</v>
      </c>
      <c r="B4016" s="12" t="s">
        <v>7067</v>
      </c>
      <c r="C4016" s="155">
        <v>174</v>
      </c>
      <c r="D4016" s="55" t="s">
        <v>3383</v>
      </c>
      <c r="E4016" s="90" t="s">
        <v>3373</v>
      </c>
      <c r="G4016" s="55" t="s">
        <v>3374</v>
      </c>
      <c r="H4016" s="55">
        <v>2011</v>
      </c>
      <c r="I4016" s="55">
        <v>2006</v>
      </c>
      <c r="J4016" s="55" t="s">
        <v>3375</v>
      </c>
      <c r="K4016" s="55" t="s">
        <v>3376</v>
      </c>
      <c r="L4016" s="55" t="s">
        <v>3377</v>
      </c>
      <c r="M4016" s="90">
        <f>27+38.514/60</f>
        <v>27.6419</v>
      </c>
      <c r="N4016" s="90">
        <f>117+54.5/60</f>
        <v>117.90833333333333</v>
      </c>
      <c r="O4016" s="90">
        <v>736</v>
      </c>
      <c r="Q4016" s="55">
        <v>16.2</v>
      </c>
      <c r="S4016" s="90">
        <v>2190</v>
      </c>
      <c r="U4016" s="55" t="s">
        <v>1935</v>
      </c>
      <c r="V4016" s="55" t="s">
        <v>1688</v>
      </c>
      <c r="Y4016" s="55" t="s">
        <v>3378</v>
      </c>
      <c r="AI4016" s="168">
        <v>4.25</v>
      </c>
      <c r="AJ4016" s="90">
        <v>2.09</v>
      </c>
      <c r="AN4016" s="185" t="s">
        <v>3381</v>
      </c>
      <c r="AO4016" s="185" t="s">
        <v>5150</v>
      </c>
      <c r="AQ4016" s="55" t="s">
        <v>1545</v>
      </c>
      <c r="AR4016" s="55" t="s">
        <v>3379</v>
      </c>
      <c r="AS4016" s="55" t="s">
        <v>5133</v>
      </c>
      <c r="AU4016" s="181" t="s">
        <v>7494</v>
      </c>
      <c r="AV4016" s="185" t="s">
        <v>176</v>
      </c>
      <c r="AX4016" s="185" t="s">
        <v>176</v>
      </c>
      <c r="BK4016" s="55" t="s">
        <v>6333</v>
      </c>
      <c r="BM4016" s="192" t="s">
        <v>3384</v>
      </c>
      <c r="BN4016" s="55">
        <v>3</v>
      </c>
      <c r="BO4016" s="55">
        <v>3</v>
      </c>
      <c r="BP4016" s="55">
        <v>5</v>
      </c>
      <c r="BV4016" s="55" t="s">
        <v>3385</v>
      </c>
      <c r="GP4016" s="292" t="s">
        <v>7494</v>
      </c>
      <c r="GY4016" s="65">
        <v>2.95</v>
      </c>
      <c r="GZ4016" s="65">
        <v>3.07</v>
      </c>
      <c r="HA4016" s="65">
        <f>(3.07-GY4016)*SQRT(3)</f>
        <v>0.20784609690826467</v>
      </c>
      <c r="HB4016" s="65">
        <f>(3.2-GZ4016)*SQRT(3)</f>
        <v>0.22516660498395463</v>
      </c>
      <c r="HC4016" s="65" t="s">
        <v>3386</v>
      </c>
    </row>
    <row r="4017" spans="1:231" x14ac:dyDescent="0.25">
      <c r="A4017" s="55">
        <v>4016</v>
      </c>
      <c r="B4017" s="12" t="s">
        <v>7067</v>
      </c>
      <c r="C4017" s="155">
        <v>174</v>
      </c>
      <c r="D4017" s="55" t="s">
        <v>3383</v>
      </c>
      <c r="E4017" s="90" t="s">
        <v>3373</v>
      </c>
      <c r="G4017" s="55" t="s">
        <v>3374</v>
      </c>
      <c r="H4017" s="55">
        <v>2011</v>
      </c>
      <c r="I4017" s="55">
        <v>2006</v>
      </c>
      <c r="J4017" s="55" t="s">
        <v>3375</v>
      </c>
      <c r="K4017" s="55" t="s">
        <v>3376</v>
      </c>
      <c r="L4017" s="55" t="s">
        <v>3377</v>
      </c>
      <c r="M4017" s="90">
        <f>27+38.514/60</f>
        <v>27.6419</v>
      </c>
      <c r="N4017" s="90">
        <f>117+54.5/60</f>
        <v>117.90833333333333</v>
      </c>
      <c r="O4017" s="90">
        <v>736</v>
      </c>
      <c r="Q4017" s="55">
        <v>16.2</v>
      </c>
      <c r="S4017" s="90">
        <v>2190</v>
      </c>
      <c r="U4017" s="55" t="s">
        <v>1935</v>
      </c>
      <c r="V4017" s="55" t="s">
        <v>1688</v>
      </c>
      <c r="Y4017" s="55" t="s">
        <v>3378</v>
      </c>
      <c r="AI4017" s="168">
        <v>4.25</v>
      </c>
      <c r="AJ4017" s="90">
        <v>2.09</v>
      </c>
      <c r="AN4017" s="185" t="s">
        <v>3382</v>
      </c>
      <c r="AO4017" s="185" t="s">
        <v>5150</v>
      </c>
      <c r="AQ4017" s="55" t="s">
        <v>553</v>
      </c>
      <c r="AR4017" s="55" t="s">
        <v>3379</v>
      </c>
      <c r="AS4017" s="55" t="s">
        <v>5133</v>
      </c>
      <c r="AU4017" s="181" t="s">
        <v>7494</v>
      </c>
      <c r="AV4017" s="185" t="s">
        <v>176</v>
      </c>
      <c r="AX4017" s="185" t="s">
        <v>176</v>
      </c>
      <c r="BK4017" s="55" t="s">
        <v>6333</v>
      </c>
      <c r="BM4017" s="192" t="s">
        <v>3384</v>
      </c>
      <c r="BN4017" s="55">
        <v>3</v>
      </c>
      <c r="BO4017" s="55">
        <v>3</v>
      </c>
      <c r="BP4017" s="55">
        <v>5</v>
      </c>
      <c r="BV4017" s="55" t="s">
        <v>3385</v>
      </c>
      <c r="GP4017" s="292" t="s">
        <v>7494</v>
      </c>
      <c r="GY4017" s="65">
        <v>2.95</v>
      </c>
      <c r="GZ4017" s="65">
        <v>3.02</v>
      </c>
      <c r="HA4017" s="65">
        <f>(3.07-GY4017)*SQRT(3)</f>
        <v>0.20784609690826467</v>
      </c>
      <c r="HB4017" s="65">
        <f>(3.14-GZ4017)*SQRT(3)</f>
        <v>0.20784609690826544</v>
      </c>
      <c r="HC4017" s="65" t="s">
        <v>3386</v>
      </c>
    </row>
    <row r="4018" spans="1:231" x14ac:dyDescent="0.25">
      <c r="A4018" s="55">
        <v>4017</v>
      </c>
      <c r="B4018" s="12" t="s">
        <v>7067</v>
      </c>
      <c r="C4018" s="155">
        <v>174</v>
      </c>
      <c r="D4018" s="55" t="s">
        <v>3383</v>
      </c>
      <c r="E4018" s="90" t="s">
        <v>3373</v>
      </c>
      <c r="G4018" s="55" t="s">
        <v>3374</v>
      </c>
      <c r="H4018" s="55">
        <v>2011</v>
      </c>
      <c r="I4018" s="55">
        <v>2006</v>
      </c>
      <c r="J4018" s="55" t="s">
        <v>3375</v>
      </c>
      <c r="K4018" s="55" t="s">
        <v>3376</v>
      </c>
      <c r="L4018" s="55" t="s">
        <v>3377</v>
      </c>
      <c r="M4018" s="90">
        <f>27+38.514/60</f>
        <v>27.6419</v>
      </c>
      <c r="N4018" s="90">
        <f>117+54.5/60</f>
        <v>117.90833333333333</v>
      </c>
      <c r="O4018" s="90">
        <v>736</v>
      </c>
      <c r="Q4018" s="55">
        <v>16.2</v>
      </c>
      <c r="S4018" s="90">
        <v>2190</v>
      </c>
      <c r="U4018" s="55" t="s">
        <v>1935</v>
      </c>
      <c r="V4018" s="55" t="s">
        <v>1688</v>
      </c>
      <c r="Y4018" s="55" t="s">
        <v>3378</v>
      </c>
      <c r="AI4018" s="168">
        <v>4.25</v>
      </c>
      <c r="AJ4018" s="90">
        <v>2.09</v>
      </c>
      <c r="AN4018" s="185" t="s">
        <v>3380</v>
      </c>
      <c r="AO4018" s="185" t="s">
        <v>5150</v>
      </c>
      <c r="AQ4018" s="55" t="s">
        <v>1565</v>
      </c>
      <c r="AR4018" s="55" t="s">
        <v>3379</v>
      </c>
      <c r="AS4018" s="55" t="s">
        <v>5133</v>
      </c>
      <c r="AU4018" s="181" t="s">
        <v>7494</v>
      </c>
      <c r="AV4018" s="185" t="s">
        <v>176</v>
      </c>
      <c r="AX4018" s="185" t="s">
        <v>176</v>
      </c>
      <c r="BK4018" s="55" t="s">
        <v>6333</v>
      </c>
      <c r="BM4018" s="192" t="s">
        <v>3384</v>
      </c>
      <c r="BN4018" s="55">
        <v>3</v>
      </c>
      <c r="BO4018" s="55">
        <v>3</v>
      </c>
      <c r="BP4018" s="55">
        <v>5</v>
      </c>
      <c r="BV4018" s="55" t="s">
        <v>3385</v>
      </c>
      <c r="GP4018" s="292" t="s">
        <v>7494</v>
      </c>
      <c r="GY4018" s="65">
        <v>2.95</v>
      </c>
      <c r="GZ4018" s="65">
        <v>3.05</v>
      </c>
      <c r="HA4018" s="65">
        <f>(3.07-GY4018)*SQRT(3)</f>
        <v>0.20784609690826467</v>
      </c>
      <c r="HB4018" s="65">
        <f>(3.18-GZ4018)*SQRT(3)</f>
        <v>0.22516660498395463</v>
      </c>
      <c r="HC4018" s="65" t="s">
        <v>3386</v>
      </c>
    </row>
    <row r="4019" spans="1:231" x14ac:dyDescent="0.25">
      <c r="A4019" s="55">
        <v>4018</v>
      </c>
      <c r="B4019" s="12" t="s">
        <v>7067</v>
      </c>
      <c r="C4019" s="155">
        <v>174</v>
      </c>
      <c r="D4019" s="55" t="s">
        <v>3383</v>
      </c>
      <c r="E4019" s="90" t="s">
        <v>3373</v>
      </c>
      <c r="G4019" s="55" t="s">
        <v>3374</v>
      </c>
      <c r="H4019" s="55">
        <v>2011</v>
      </c>
      <c r="I4019" s="55">
        <v>2007</v>
      </c>
      <c r="J4019" s="55" t="s">
        <v>3375</v>
      </c>
      <c r="K4019" s="55" t="s">
        <v>3376</v>
      </c>
      <c r="L4019" s="55" t="s">
        <v>3377</v>
      </c>
      <c r="M4019" s="90">
        <f>27+38.514/60</f>
        <v>27.6419</v>
      </c>
      <c r="N4019" s="90">
        <f>117+54.5/60</f>
        <v>117.90833333333333</v>
      </c>
      <c r="O4019" s="90">
        <v>736</v>
      </c>
      <c r="Q4019" s="55">
        <v>16.2</v>
      </c>
      <c r="S4019" s="90">
        <v>2190</v>
      </c>
      <c r="U4019" s="55" t="s">
        <v>1805</v>
      </c>
      <c r="V4019" s="55" t="s">
        <v>1688</v>
      </c>
      <c r="Y4019" s="55" t="s">
        <v>3378</v>
      </c>
      <c r="AI4019" s="168">
        <v>4.25</v>
      </c>
      <c r="AJ4019" s="90">
        <v>2.09</v>
      </c>
      <c r="AN4019" s="185" t="s">
        <v>3381</v>
      </c>
      <c r="AO4019" s="185" t="s">
        <v>5150</v>
      </c>
      <c r="AQ4019" s="55" t="s">
        <v>1545</v>
      </c>
      <c r="AR4019" s="55" t="s">
        <v>3379</v>
      </c>
      <c r="AS4019" s="55" t="s">
        <v>5133</v>
      </c>
      <c r="AU4019" s="181" t="s">
        <v>7494</v>
      </c>
      <c r="AV4019" s="185" t="s">
        <v>176</v>
      </c>
      <c r="AX4019" s="185" t="s">
        <v>176</v>
      </c>
      <c r="BK4019" s="55" t="s">
        <v>6333</v>
      </c>
      <c r="BM4019" s="192" t="s">
        <v>3384</v>
      </c>
      <c r="BN4019" s="55">
        <v>3</v>
      </c>
      <c r="BO4019" s="55">
        <v>3</v>
      </c>
      <c r="BP4019" s="55">
        <v>5</v>
      </c>
      <c r="BV4019" s="55" t="s">
        <v>3385</v>
      </c>
      <c r="GP4019" s="292" t="s">
        <v>7494</v>
      </c>
      <c r="GY4019" s="65">
        <v>2.96</v>
      </c>
      <c r="GZ4019" s="65">
        <v>3.19</v>
      </c>
      <c r="HA4019" s="65">
        <f>(3.11-GY4019)*SQRT(3)</f>
        <v>0.2598076211353314</v>
      </c>
      <c r="HB4019" s="65">
        <f>(3.35-GZ4019)*SQRT(3)</f>
        <v>0.27712812921102059</v>
      </c>
      <c r="HC4019" s="65" t="s">
        <v>3386</v>
      </c>
    </row>
    <row r="4020" spans="1:231" x14ac:dyDescent="0.25">
      <c r="A4020" s="55">
        <v>4019</v>
      </c>
      <c r="B4020" s="12" t="s">
        <v>7067</v>
      </c>
      <c r="C4020" s="155">
        <v>174</v>
      </c>
      <c r="D4020" s="55" t="s">
        <v>3383</v>
      </c>
      <c r="E4020" s="90" t="s">
        <v>3373</v>
      </c>
      <c r="G4020" s="55" t="s">
        <v>3374</v>
      </c>
      <c r="H4020" s="55">
        <v>2011</v>
      </c>
      <c r="I4020" s="55">
        <v>2007</v>
      </c>
      <c r="J4020" s="55" t="s">
        <v>3375</v>
      </c>
      <c r="K4020" s="55" t="s">
        <v>3376</v>
      </c>
      <c r="L4020" s="55" t="s">
        <v>3377</v>
      </c>
      <c r="M4020" s="90">
        <f>27+38.514/60</f>
        <v>27.6419</v>
      </c>
      <c r="N4020" s="90">
        <f>117+54.5/60</f>
        <v>117.90833333333333</v>
      </c>
      <c r="O4020" s="90">
        <v>736</v>
      </c>
      <c r="Q4020" s="55">
        <v>16.2</v>
      </c>
      <c r="S4020" s="90">
        <v>2190</v>
      </c>
      <c r="U4020" s="55" t="s">
        <v>1805</v>
      </c>
      <c r="V4020" s="55" t="s">
        <v>1688</v>
      </c>
      <c r="Y4020" s="55" t="s">
        <v>3378</v>
      </c>
      <c r="AI4020" s="168">
        <v>4.25</v>
      </c>
      <c r="AJ4020" s="90">
        <v>2.09</v>
      </c>
      <c r="AN4020" s="185" t="s">
        <v>3382</v>
      </c>
      <c r="AO4020" s="185" t="s">
        <v>5150</v>
      </c>
      <c r="AQ4020" s="55" t="s">
        <v>553</v>
      </c>
      <c r="AR4020" s="55" t="s">
        <v>3379</v>
      </c>
      <c r="AS4020" s="55" t="s">
        <v>5133</v>
      </c>
      <c r="AU4020" s="181" t="s">
        <v>7494</v>
      </c>
      <c r="AV4020" s="185" t="s">
        <v>176</v>
      </c>
      <c r="AX4020" s="185" t="s">
        <v>176</v>
      </c>
      <c r="BK4020" s="55" t="s">
        <v>6333</v>
      </c>
      <c r="BM4020" s="192" t="s">
        <v>3384</v>
      </c>
      <c r="BN4020" s="55">
        <v>3</v>
      </c>
      <c r="BO4020" s="55">
        <v>3</v>
      </c>
      <c r="BP4020" s="55">
        <v>5</v>
      </c>
      <c r="BV4020" s="55" t="s">
        <v>3385</v>
      </c>
      <c r="GP4020" s="292" t="s">
        <v>7494</v>
      </c>
      <c r="GY4020" s="65">
        <v>2.96</v>
      </c>
      <c r="GZ4020" s="65">
        <v>2.92</v>
      </c>
      <c r="HA4020" s="65">
        <f>(3.11-GY4020)*SQRT(3)</f>
        <v>0.2598076211353314</v>
      </c>
      <c r="HB4020" s="65">
        <f>(3.1-GZ4020)*SQRT(3)</f>
        <v>0.31176914536239819</v>
      </c>
      <c r="HC4020" s="65" t="s">
        <v>3386</v>
      </c>
    </row>
    <row r="4021" spans="1:231" x14ac:dyDescent="0.25">
      <c r="A4021" s="55">
        <v>4020</v>
      </c>
      <c r="B4021" s="12" t="s">
        <v>7067</v>
      </c>
      <c r="C4021" s="155">
        <v>174</v>
      </c>
      <c r="D4021" s="55" t="s">
        <v>3383</v>
      </c>
      <c r="E4021" s="90" t="s">
        <v>3373</v>
      </c>
      <c r="G4021" s="55" t="s">
        <v>3374</v>
      </c>
      <c r="H4021" s="55">
        <v>2011</v>
      </c>
      <c r="I4021" s="55">
        <v>2007</v>
      </c>
      <c r="J4021" s="55" t="s">
        <v>3375</v>
      </c>
      <c r="K4021" s="55" t="s">
        <v>3376</v>
      </c>
      <c r="L4021" s="55" t="s">
        <v>3377</v>
      </c>
      <c r="M4021" s="90">
        <f>27+38.514/60</f>
        <v>27.6419</v>
      </c>
      <c r="N4021" s="90">
        <f>117+54.5/60</f>
        <v>117.90833333333333</v>
      </c>
      <c r="O4021" s="90">
        <v>736</v>
      </c>
      <c r="Q4021" s="55">
        <v>16.2</v>
      </c>
      <c r="S4021" s="90">
        <v>2190</v>
      </c>
      <c r="U4021" s="55" t="s">
        <v>1805</v>
      </c>
      <c r="V4021" s="55" t="s">
        <v>1688</v>
      </c>
      <c r="Y4021" s="55" t="s">
        <v>3378</v>
      </c>
      <c r="AI4021" s="168">
        <v>4.25</v>
      </c>
      <c r="AJ4021" s="90">
        <v>2.09</v>
      </c>
      <c r="AN4021" s="185" t="s">
        <v>3380</v>
      </c>
      <c r="AO4021" s="185" t="s">
        <v>5150</v>
      </c>
      <c r="AQ4021" s="55" t="s">
        <v>1565</v>
      </c>
      <c r="AR4021" s="55" t="s">
        <v>3379</v>
      </c>
      <c r="AS4021" s="55" t="s">
        <v>5133</v>
      </c>
      <c r="AU4021" s="181" t="s">
        <v>7494</v>
      </c>
      <c r="AV4021" s="185" t="s">
        <v>176</v>
      </c>
      <c r="AX4021" s="185" t="s">
        <v>176</v>
      </c>
      <c r="BK4021" s="55" t="s">
        <v>6333</v>
      </c>
      <c r="BM4021" s="192" t="s">
        <v>3384</v>
      </c>
      <c r="BN4021" s="55">
        <v>3</v>
      </c>
      <c r="BO4021" s="55">
        <v>3</v>
      </c>
      <c r="BP4021" s="55">
        <v>5</v>
      </c>
      <c r="BV4021" s="55" t="s">
        <v>3385</v>
      </c>
      <c r="GP4021" s="292" t="s">
        <v>7494</v>
      </c>
      <c r="GY4021" s="65">
        <v>2.96</v>
      </c>
      <c r="GZ4021" s="65">
        <v>3.1</v>
      </c>
      <c r="HA4021" s="65">
        <f>(3.11-GY4021)*SQRT(3)</f>
        <v>0.2598076211353314</v>
      </c>
      <c r="HB4021" s="65">
        <f>(3.26-GZ4021)*SQRT(3)</f>
        <v>0.27712812921101981</v>
      </c>
      <c r="HC4021" s="65" t="s">
        <v>3386</v>
      </c>
    </row>
    <row r="4022" spans="1:231" x14ac:dyDescent="0.25">
      <c r="A4022" s="55">
        <v>4021</v>
      </c>
      <c r="B4022" s="12" t="s">
        <v>7067</v>
      </c>
      <c r="C4022" s="155">
        <v>175</v>
      </c>
      <c r="D4022" s="55" t="s">
        <v>3393</v>
      </c>
      <c r="E4022" s="90" t="s">
        <v>3387</v>
      </c>
      <c r="G4022" s="55" t="s">
        <v>3388</v>
      </c>
      <c r="H4022" s="55">
        <v>2015</v>
      </c>
      <c r="I4022" s="55">
        <v>2011</v>
      </c>
      <c r="J4022" s="55" t="s">
        <v>127</v>
      </c>
      <c r="K4022" s="55" t="s">
        <v>3389</v>
      </c>
      <c r="L4022" s="55" t="s">
        <v>3377</v>
      </c>
      <c r="M4022" s="90">
        <f>22+41/60</f>
        <v>22.683333333333334</v>
      </c>
      <c r="N4022" s="90">
        <f>112+54/60</f>
        <v>112.9</v>
      </c>
      <c r="O4022" s="90">
        <v>65</v>
      </c>
      <c r="U4022" s="55" t="s">
        <v>1805</v>
      </c>
      <c r="V4022" s="55" t="s">
        <v>1688</v>
      </c>
      <c r="Y4022" s="55" t="s">
        <v>1924</v>
      </c>
      <c r="Z4022" s="55" t="s">
        <v>1346</v>
      </c>
      <c r="AA4022" s="90" t="s">
        <v>1675</v>
      </c>
      <c r="AN4022" s="185" t="s">
        <v>3390</v>
      </c>
      <c r="AO4022" s="185" t="s">
        <v>5150</v>
      </c>
      <c r="AQ4022" s="55" t="s">
        <v>1545</v>
      </c>
      <c r="AR4022" s="55" t="s">
        <v>3392</v>
      </c>
      <c r="AS4022" s="55" t="s">
        <v>3471</v>
      </c>
      <c r="AU4022" s="181" t="s">
        <v>7494</v>
      </c>
      <c r="AV4022" s="185" t="s">
        <v>176</v>
      </c>
      <c r="AX4022" s="185" t="s">
        <v>176</v>
      </c>
      <c r="BK4022" s="55" t="s">
        <v>6333</v>
      </c>
      <c r="BM4022" s="192" t="s">
        <v>923</v>
      </c>
      <c r="BN4022" s="55">
        <v>3</v>
      </c>
      <c r="BO4022" s="55">
        <v>3</v>
      </c>
      <c r="BP4022" s="55">
        <v>2</v>
      </c>
      <c r="CM4022" s="65">
        <f>1.707</f>
        <v>1.7070000000000001</v>
      </c>
      <c r="CN4022" s="65">
        <f>1.797</f>
        <v>1.7969999999999999</v>
      </c>
      <c r="CO4022" s="65">
        <f>0.105*SQRT(6)</f>
        <v>0.25719642299223366</v>
      </c>
      <c r="CP4022" s="65">
        <f>0.102*SQRT(6)</f>
        <v>0.24984795376388413</v>
      </c>
      <c r="CQ4022" s="65" t="s">
        <v>163</v>
      </c>
      <c r="DA4022" s="65" t="s">
        <v>4454</v>
      </c>
      <c r="DG4022" s="65">
        <v>353.3</v>
      </c>
      <c r="DH4022" s="65">
        <v>360.4</v>
      </c>
      <c r="DI4022" s="65">
        <f>57.1*SQRT(6)</f>
        <v>139.86586431291946</v>
      </c>
      <c r="DJ4022" s="65">
        <f>62.5*SQRT(6)</f>
        <v>153.09310892394862</v>
      </c>
      <c r="DK4022" s="65" t="s">
        <v>3395</v>
      </c>
      <c r="DQ4022" s="165">
        <v>4.7300000000000004</v>
      </c>
      <c r="DR4022" s="165">
        <v>4.88</v>
      </c>
      <c r="DS4022" s="162">
        <f>0.08*SQRT(6)</f>
        <v>0.19595917942265423</v>
      </c>
      <c r="DT4022" s="162">
        <f>0.13*SQRT(6)</f>
        <v>0.31843366656181316</v>
      </c>
      <c r="GP4022" s="292" t="s">
        <v>7494</v>
      </c>
      <c r="HI4022" s="65">
        <v>13.63</v>
      </c>
      <c r="HJ4022" s="65">
        <v>13.73</v>
      </c>
      <c r="HK4022" s="65">
        <f>(14.14-HI4022)*SQRT(6)</f>
        <v>1.2492397688194201</v>
      </c>
      <c r="HL4022" s="65">
        <f>(14.08-HJ4022)*SQRT(6)</f>
        <v>0.85732140997411144</v>
      </c>
      <c r="HM4022" s="65" t="s">
        <v>3397</v>
      </c>
      <c r="HS4022" s="65">
        <v>2.4700000000000002</v>
      </c>
      <c r="HT4022" s="65">
        <v>2.46</v>
      </c>
      <c r="HU4022" s="65">
        <v>0.15</v>
      </c>
      <c r="HV4022" s="65">
        <f>(2.54-HT4022)*SQRT(6)</f>
        <v>0.19595917942265439</v>
      </c>
      <c r="HW4022" s="65" t="s">
        <v>3396</v>
      </c>
    </row>
    <row r="4023" spans="1:231" x14ac:dyDescent="0.25">
      <c r="A4023" s="55">
        <v>4022</v>
      </c>
      <c r="B4023" s="12" t="s">
        <v>7067</v>
      </c>
      <c r="C4023" s="155">
        <v>175</v>
      </c>
      <c r="D4023" s="55" t="s">
        <v>3394</v>
      </c>
      <c r="E4023" s="90" t="s">
        <v>3387</v>
      </c>
      <c r="G4023" s="55" t="s">
        <v>3388</v>
      </c>
      <c r="H4023" s="55">
        <v>2015</v>
      </c>
      <c r="I4023" s="55">
        <v>2011</v>
      </c>
      <c r="J4023" s="55" t="s">
        <v>127</v>
      </c>
      <c r="K4023" s="55" t="s">
        <v>3389</v>
      </c>
      <c r="L4023" s="55" t="s">
        <v>3377</v>
      </c>
      <c r="M4023" s="90">
        <f>22+41/60</f>
        <v>22.683333333333334</v>
      </c>
      <c r="N4023" s="90">
        <f>112+54/60</f>
        <v>112.9</v>
      </c>
      <c r="O4023" s="90">
        <v>65</v>
      </c>
      <c r="U4023" s="55" t="s">
        <v>1805</v>
      </c>
      <c r="V4023" s="55" t="s">
        <v>1688</v>
      </c>
      <c r="Y4023" s="55" t="s">
        <v>1924</v>
      </c>
      <c r="Z4023" s="55" t="s">
        <v>1346</v>
      </c>
      <c r="AA4023" s="90" t="s">
        <v>1675</v>
      </c>
      <c r="AN4023" s="185" t="s">
        <v>3391</v>
      </c>
      <c r="AO4023" s="185" t="s">
        <v>5150</v>
      </c>
      <c r="AQ4023" s="55" t="s">
        <v>553</v>
      </c>
      <c r="AR4023" s="55" t="s">
        <v>3392</v>
      </c>
      <c r="AS4023" s="55" t="s">
        <v>3471</v>
      </c>
      <c r="AU4023" s="181" t="s">
        <v>7494</v>
      </c>
      <c r="AV4023" s="185" t="s">
        <v>176</v>
      </c>
      <c r="AX4023" s="185" t="s">
        <v>176</v>
      </c>
      <c r="BK4023" s="55" t="s">
        <v>6333</v>
      </c>
      <c r="BM4023" s="192" t="s">
        <v>923</v>
      </c>
      <c r="BN4023" s="55">
        <v>3</v>
      </c>
      <c r="BO4023" s="55">
        <v>3</v>
      </c>
      <c r="BP4023" s="55">
        <v>2</v>
      </c>
      <c r="CM4023" s="65">
        <f>1.707</f>
        <v>1.7070000000000001</v>
      </c>
      <c r="CN4023" s="65">
        <v>1.83</v>
      </c>
      <c r="CO4023" s="65">
        <f>0.105*SQRT(6)</f>
        <v>0.25719642299223366</v>
      </c>
      <c r="CP4023" s="65">
        <f>0.136*SQRT(6)</f>
        <v>0.33313060501851222</v>
      </c>
      <c r="CQ4023" s="65" t="s">
        <v>163</v>
      </c>
      <c r="DA4023" s="65" t="s">
        <v>4454</v>
      </c>
      <c r="DG4023" s="65">
        <v>353.3</v>
      </c>
      <c r="DH4023" s="65">
        <v>364.1</v>
      </c>
      <c r="DI4023" s="65">
        <f>57.1*SQRT(6)</f>
        <v>139.86586431291946</v>
      </c>
      <c r="DJ4023" s="65">
        <f>45.6*SQRT(6)</f>
        <v>111.69673227091292</v>
      </c>
      <c r="DK4023" s="65" t="s">
        <v>3395</v>
      </c>
      <c r="DQ4023" s="165">
        <v>4.7300000000000004</v>
      </c>
      <c r="DR4023" s="165">
        <v>4.82</v>
      </c>
      <c r="DS4023" s="162">
        <f>0.08*SQRT(6)</f>
        <v>0.19595917942265423</v>
      </c>
      <c r="DT4023" s="162">
        <f>0.07*SQRT(6)</f>
        <v>0.17146428199482247</v>
      </c>
      <c r="GP4023" s="292" t="s">
        <v>7494</v>
      </c>
      <c r="HI4023" s="65">
        <v>13.63</v>
      </c>
      <c r="HJ4023" s="65">
        <v>14.86</v>
      </c>
      <c r="HK4023" s="65">
        <f>(14.14-HI4023)*SQRT(6)</f>
        <v>1.2492397688194201</v>
      </c>
      <c r="HL4023" s="65">
        <f>(15.68-HJ4023)*SQRT(6)</f>
        <v>2.0085815890822065</v>
      </c>
      <c r="HM4023" s="65" t="s">
        <v>3397</v>
      </c>
      <c r="HS4023" s="65">
        <v>2.4700000000000002</v>
      </c>
      <c r="HT4023" s="65">
        <v>2.35</v>
      </c>
      <c r="HU4023" s="65">
        <v>0.15</v>
      </c>
      <c r="HV4023" s="65">
        <f>(2.54-HT4023)*SQRT(6)</f>
        <v>0.46540305112880365</v>
      </c>
      <c r="HW4023" s="65" t="s">
        <v>3396</v>
      </c>
    </row>
    <row r="4024" spans="1:231" x14ac:dyDescent="0.25">
      <c r="A4024" s="55">
        <v>4023</v>
      </c>
      <c r="B4024" s="12" t="s">
        <v>7067</v>
      </c>
      <c r="C4024" s="155">
        <v>176</v>
      </c>
      <c r="D4024" s="55" t="s">
        <v>3422</v>
      </c>
      <c r="E4024" s="90" t="s">
        <v>3398</v>
      </c>
      <c r="G4024" s="55" t="s">
        <v>3399</v>
      </c>
      <c r="H4024" s="55">
        <v>2015</v>
      </c>
      <c r="I4024" s="55">
        <v>2008</v>
      </c>
      <c r="J4024" s="55" t="s">
        <v>2853</v>
      </c>
      <c r="K4024" s="55" t="s">
        <v>3400</v>
      </c>
      <c r="L4024" s="55" t="s">
        <v>3377</v>
      </c>
      <c r="M4024" s="90">
        <f>36+58/60</f>
        <v>36.966666666666669</v>
      </c>
      <c r="N4024" s="90">
        <f>109+18/60</f>
        <v>109.3</v>
      </c>
      <c r="O4024" s="90">
        <v>1275</v>
      </c>
      <c r="Q4024" s="55">
        <v>8.8000000000000007</v>
      </c>
      <c r="S4024" s="90">
        <v>535</v>
      </c>
      <c r="U4024" s="55" t="s">
        <v>1816</v>
      </c>
      <c r="V4024" s="55" t="s">
        <v>1940</v>
      </c>
      <c r="Y4024" s="55" t="s">
        <v>3403</v>
      </c>
      <c r="Z4024" s="55" t="s">
        <v>1383</v>
      </c>
      <c r="AA4024" s="90" t="s">
        <v>1684</v>
      </c>
      <c r="AD4024" s="90">
        <v>1.1599999999999999</v>
      </c>
      <c r="AE4024" s="90">
        <v>21.05</v>
      </c>
      <c r="AF4024" s="90">
        <v>74.489999999999995</v>
      </c>
      <c r="AH4024" s="55" t="s">
        <v>6378</v>
      </c>
      <c r="AI4024" s="168">
        <v>8.1999999999999993</v>
      </c>
      <c r="AJ4024" s="90">
        <v>0.46500000000000002</v>
      </c>
      <c r="AN4024" s="185" t="s">
        <v>3402</v>
      </c>
      <c r="AO4024" s="185" t="s">
        <v>5150</v>
      </c>
      <c r="AQ4024" s="55" t="s">
        <v>553</v>
      </c>
      <c r="AR4024" s="55" t="s">
        <v>3401</v>
      </c>
      <c r="AS4024" s="55" t="s">
        <v>3471</v>
      </c>
      <c r="AU4024" s="181" t="s">
        <v>7494</v>
      </c>
      <c r="AV4024" s="185" t="s">
        <v>176</v>
      </c>
      <c r="AX4024" s="185" t="s">
        <v>176</v>
      </c>
      <c r="BK4024" s="55" t="s">
        <v>6333</v>
      </c>
      <c r="BM4024" s="192" t="s">
        <v>160</v>
      </c>
      <c r="BU4024" s="55" t="s">
        <v>3410</v>
      </c>
      <c r="BV4024" s="55" t="s">
        <v>3406</v>
      </c>
      <c r="GD4024" s="65">
        <f>1.16*0.1*91</f>
        <v>10.555999999999999</v>
      </c>
      <c r="GE4024" s="65">
        <f>1.16*0.1*84</f>
        <v>9.7439999999999998</v>
      </c>
      <c r="GH4024" s="65" t="s">
        <v>3413</v>
      </c>
      <c r="GP4024" s="292" t="s">
        <v>7494</v>
      </c>
    </row>
    <row r="4025" spans="1:231" x14ac:dyDescent="0.25">
      <c r="A4025" s="55">
        <v>4024</v>
      </c>
      <c r="B4025" s="12" t="s">
        <v>7067</v>
      </c>
      <c r="C4025" s="155">
        <v>176</v>
      </c>
      <c r="D4025" s="55" t="s">
        <v>3423</v>
      </c>
      <c r="E4025" s="90" t="s">
        <v>3398</v>
      </c>
      <c r="G4025" s="55" t="s">
        <v>3399</v>
      </c>
      <c r="H4025" s="55">
        <v>2015</v>
      </c>
      <c r="I4025" s="55">
        <v>2008</v>
      </c>
      <c r="J4025" s="55" t="s">
        <v>2853</v>
      </c>
      <c r="K4025" s="55" t="s">
        <v>3400</v>
      </c>
      <c r="L4025" s="55" t="s">
        <v>3377</v>
      </c>
      <c r="M4025" s="90">
        <f>36+58/60</f>
        <v>36.966666666666669</v>
      </c>
      <c r="N4025" s="90">
        <f>109+18/60</f>
        <v>109.3</v>
      </c>
      <c r="O4025" s="90">
        <v>1275</v>
      </c>
      <c r="Q4025" s="55">
        <v>8.8000000000000007</v>
      </c>
      <c r="S4025" s="90">
        <v>535</v>
      </c>
      <c r="U4025" s="55" t="s">
        <v>1816</v>
      </c>
      <c r="V4025" s="55" t="s">
        <v>1940</v>
      </c>
      <c r="Y4025" s="55" t="s">
        <v>3403</v>
      </c>
      <c r="Z4025" s="55" t="s">
        <v>1383</v>
      </c>
      <c r="AA4025" s="90" t="s">
        <v>1684</v>
      </c>
      <c r="AD4025" s="90">
        <v>1.1599999999999999</v>
      </c>
      <c r="AE4025" s="90">
        <v>21.05</v>
      </c>
      <c r="AF4025" s="90">
        <v>74.489999999999995</v>
      </c>
      <c r="AH4025" s="55" t="s">
        <v>6378</v>
      </c>
      <c r="AI4025" s="168">
        <v>8.1999999999999993</v>
      </c>
      <c r="AJ4025" s="90">
        <v>0.46500000000000002</v>
      </c>
      <c r="AN4025" s="185" t="s">
        <v>3402</v>
      </c>
      <c r="AO4025" s="185" t="s">
        <v>5150</v>
      </c>
      <c r="AQ4025" s="55" t="s">
        <v>553</v>
      </c>
      <c r="AR4025" s="55" t="s">
        <v>3401</v>
      </c>
      <c r="AS4025" s="55" t="s">
        <v>3471</v>
      </c>
      <c r="AU4025" s="181" t="s">
        <v>7494</v>
      </c>
      <c r="AV4025" s="185" t="s">
        <v>176</v>
      </c>
      <c r="AX4025" s="185" t="s">
        <v>176</v>
      </c>
      <c r="BK4025" s="55" t="s">
        <v>6333</v>
      </c>
      <c r="BM4025" s="192" t="s">
        <v>160</v>
      </c>
      <c r="BU4025" s="55" t="s">
        <v>3411</v>
      </c>
      <c r="BV4025" s="55" t="s">
        <v>3406</v>
      </c>
      <c r="GD4025" s="65">
        <f>1.16*0.1*91</f>
        <v>10.555999999999999</v>
      </c>
      <c r="GE4025" s="65">
        <f>1.16*0.1*79</f>
        <v>9.1639999999999997</v>
      </c>
      <c r="GH4025" s="65" t="s">
        <v>3413</v>
      </c>
      <c r="GP4025" s="292" t="s">
        <v>7494</v>
      </c>
    </row>
    <row r="4026" spans="1:231" x14ac:dyDescent="0.25">
      <c r="A4026" s="55">
        <v>4025</v>
      </c>
      <c r="B4026" s="12" t="s">
        <v>7067</v>
      </c>
      <c r="C4026" s="155">
        <v>176</v>
      </c>
      <c r="D4026" s="55" t="s">
        <v>3424</v>
      </c>
      <c r="E4026" s="90" t="s">
        <v>3398</v>
      </c>
      <c r="G4026" s="55" t="s">
        <v>3399</v>
      </c>
      <c r="H4026" s="55">
        <v>2015</v>
      </c>
      <c r="I4026" s="55">
        <v>2008</v>
      </c>
      <c r="J4026" s="55" t="s">
        <v>2853</v>
      </c>
      <c r="K4026" s="55" t="s">
        <v>3400</v>
      </c>
      <c r="L4026" s="55" t="s">
        <v>3377</v>
      </c>
      <c r="M4026" s="90">
        <f>36+58/60</f>
        <v>36.966666666666669</v>
      </c>
      <c r="N4026" s="90">
        <f>109+18/60</f>
        <v>109.3</v>
      </c>
      <c r="O4026" s="90">
        <v>1275</v>
      </c>
      <c r="Q4026" s="55">
        <v>8.8000000000000007</v>
      </c>
      <c r="S4026" s="90">
        <v>535</v>
      </c>
      <c r="U4026" s="55" t="s">
        <v>1816</v>
      </c>
      <c r="V4026" s="55" t="s">
        <v>1940</v>
      </c>
      <c r="Y4026" s="55" t="s">
        <v>3403</v>
      </c>
      <c r="Z4026" s="55" t="s">
        <v>1383</v>
      </c>
      <c r="AA4026" s="90" t="s">
        <v>1684</v>
      </c>
      <c r="AD4026" s="90">
        <v>1.1599999999999999</v>
      </c>
      <c r="AE4026" s="90">
        <v>21.05</v>
      </c>
      <c r="AF4026" s="90">
        <v>74.489999999999995</v>
      </c>
      <c r="AH4026" s="55" t="s">
        <v>6378</v>
      </c>
      <c r="AI4026" s="168">
        <v>8.1999999999999993</v>
      </c>
      <c r="AJ4026" s="90">
        <v>0.46500000000000002</v>
      </c>
      <c r="AN4026" s="185" t="s">
        <v>3402</v>
      </c>
      <c r="AO4026" s="185" t="s">
        <v>5150</v>
      </c>
      <c r="AQ4026" s="55" t="s">
        <v>553</v>
      </c>
      <c r="AR4026" s="55" t="s">
        <v>3401</v>
      </c>
      <c r="AS4026" s="55" t="s">
        <v>3471</v>
      </c>
      <c r="AU4026" s="181" t="s">
        <v>7494</v>
      </c>
      <c r="AV4026" s="185" t="s">
        <v>176</v>
      </c>
      <c r="AX4026" s="185" t="s">
        <v>176</v>
      </c>
      <c r="BK4026" s="55" t="s">
        <v>6333</v>
      </c>
      <c r="BM4026" s="192" t="s">
        <v>160</v>
      </c>
      <c r="BU4026" s="55" t="s">
        <v>3412</v>
      </c>
      <c r="BV4026" s="55" t="s">
        <v>3406</v>
      </c>
      <c r="GD4026" s="65">
        <f>1.16*0.1*91</f>
        <v>10.555999999999999</v>
      </c>
      <c r="GE4026" s="65">
        <f>1.16*0.1*99</f>
        <v>11.484</v>
      </c>
      <c r="GH4026" s="65" t="s">
        <v>3413</v>
      </c>
      <c r="GP4026" s="292" t="s">
        <v>7494</v>
      </c>
    </row>
    <row r="4027" spans="1:231" x14ac:dyDescent="0.25">
      <c r="A4027" s="55">
        <v>4026</v>
      </c>
      <c r="B4027" s="12" t="s">
        <v>7067</v>
      </c>
      <c r="C4027" s="155">
        <v>176</v>
      </c>
      <c r="D4027" s="55" t="s">
        <v>3425</v>
      </c>
      <c r="E4027" s="90" t="s">
        <v>3398</v>
      </c>
      <c r="G4027" s="55" t="s">
        <v>3399</v>
      </c>
      <c r="H4027" s="55">
        <v>2015</v>
      </c>
      <c r="I4027" s="55">
        <v>2008</v>
      </c>
      <c r="J4027" s="55" t="s">
        <v>2853</v>
      </c>
      <c r="K4027" s="55" t="s">
        <v>3400</v>
      </c>
      <c r="L4027" s="55" t="s">
        <v>3377</v>
      </c>
      <c r="M4027" s="90">
        <f>36+58/60</f>
        <v>36.966666666666669</v>
      </c>
      <c r="N4027" s="90">
        <f>109+18/60</f>
        <v>109.3</v>
      </c>
      <c r="O4027" s="90">
        <v>1275</v>
      </c>
      <c r="Q4027" s="55">
        <v>8.8000000000000007</v>
      </c>
      <c r="S4027" s="90">
        <v>535</v>
      </c>
      <c r="U4027" s="55" t="s">
        <v>1816</v>
      </c>
      <c r="V4027" s="55" t="s">
        <v>1940</v>
      </c>
      <c r="Y4027" s="55" t="s">
        <v>3403</v>
      </c>
      <c r="Z4027" s="55" t="s">
        <v>3404</v>
      </c>
      <c r="AA4027" s="90" t="s">
        <v>3414</v>
      </c>
      <c r="AD4027" s="90">
        <v>1.1599999999999999</v>
      </c>
      <c r="AE4027" s="90">
        <v>21.05</v>
      </c>
      <c r="AF4027" s="90">
        <v>74.489999999999995</v>
      </c>
      <c r="AH4027" s="55" t="s">
        <v>6378</v>
      </c>
      <c r="AI4027" s="168">
        <v>8.1999999999999993</v>
      </c>
      <c r="AJ4027" s="90">
        <v>0.46500000000000002</v>
      </c>
      <c r="AN4027" s="185" t="s">
        <v>3402</v>
      </c>
      <c r="AO4027" s="185" t="s">
        <v>5150</v>
      </c>
      <c r="AQ4027" s="55" t="s">
        <v>553</v>
      </c>
      <c r="AR4027" s="55" t="s">
        <v>3401</v>
      </c>
      <c r="AS4027" s="55" t="s">
        <v>3471</v>
      </c>
      <c r="AU4027" s="181" t="s">
        <v>7494</v>
      </c>
      <c r="AV4027" s="185" t="s">
        <v>176</v>
      </c>
      <c r="AX4027" s="185" t="s">
        <v>176</v>
      </c>
      <c r="BK4027" s="55" t="s">
        <v>6333</v>
      </c>
      <c r="BM4027" s="192" t="s">
        <v>160</v>
      </c>
      <c r="BU4027" s="55" t="s">
        <v>3410</v>
      </c>
      <c r="BV4027" s="55" t="s">
        <v>3406</v>
      </c>
      <c r="GD4027" s="65">
        <f>1.16*0.1*95</f>
        <v>11.02</v>
      </c>
      <c r="GE4027" s="65">
        <f>1.16*0.1*77</f>
        <v>8.9319999999999986</v>
      </c>
      <c r="GH4027" s="65" t="s">
        <v>3413</v>
      </c>
      <c r="GP4027" s="292" t="s">
        <v>7494</v>
      </c>
    </row>
    <row r="4028" spans="1:231" x14ac:dyDescent="0.25">
      <c r="A4028" s="55">
        <v>4027</v>
      </c>
      <c r="B4028" s="12" t="s">
        <v>7067</v>
      </c>
      <c r="C4028" s="155">
        <v>176</v>
      </c>
      <c r="D4028" s="55" t="s">
        <v>3426</v>
      </c>
      <c r="E4028" s="90" t="s">
        <v>3398</v>
      </c>
      <c r="G4028" s="55" t="s">
        <v>3399</v>
      </c>
      <c r="H4028" s="55">
        <v>2015</v>
      </c>
      <c r="I4028" s="55">
        <v>2008</v>
      </c>
      <c r="J4028" s="55" t="s">
        <v>2853</v>
      </c>
      <c r="K4028" s="55" t="s">
        <v>3400</v>
      </c>
      <c r="L4028" s="55" t="s">
        <v>3377</v>
      </c>
      <c r="M4028" s="90">
        <f>36+58/60</f>
        <v>36.966666666666669</v>
      </c>
      <c r="N4028" s="90">
        <f>109+18/60</f>
        <v>109.3</v>
      </c>
      <c r="O4028" s="90">
        <v>1275</v>
      </c>
      <c r="Q4028" s="55">
        <v>8.8000000000000007</v>
      </c>
      <c r="S4028" s="90">
        <v>535</v>
      </c>
      <c r="U4028" s="55" t="s">
        <v>1816</v>
      </c>
      <c r="V4028" s="55" t="s">
        <v>1940</v>
      </c>
      <c r="Y4028" s="55" t="s">
        <v>3403</v>
      </c>
      <c r="Z4028" s="55" t="s">
        <v>3404</v>
      </c>
      <c r="AA4028" s="90" t="s">
        <v>3414</v>
      </c>
      <c r="AD4028" s="90">
        <v>1.1599999999999999</v>
      </c>
      <c r="AE4028" s="90">
        <v>21.05</v>
      </c>
      <c r="AF4028" s="90">
        <v>74.489999999999995</v>
      </c>
      <c r="AH4028" s="55" t="s">
        <v>6378</v>
      </c>
      <c r="AI4028" s="168">
        <v>8.1999999999999993</v>
      </c>
      <c r="AJ4028" s="90">
        <v>0.46500000000000002</v>
      </c>
      <c r="AN4028" s="185" t="s">
        <v>3402</v>
      </c>
      <c r="AO4028" s="185" t="s">
        <v>5150</v>
      </c>
      <c r="AQ4028" s="55" t="s">
        <v>553</v>
      </c>
      <c r="AR4028" s="55" t="s">
        <v>3401</v>
      </c>
      <c r="AS4028" s="55" t="s">
        <v>3471</v>
      </c>
      <c r="AU4028" s="181" t="s">
        <v>7494</v>
      </c>
      <c r="AV4028" s="185" t="s">
        <v>176</v>
      </c>
      <c r="AX4028" s="185" t="s">
        <v>176</v>
      </c>
      <c r="BK4028" s="55" t="s">
        <v>6333</v>
      </c>
      <c r="BM4028" s="192" t="s">
        <v>160</v>
      </c>
      <c r="BU4028" s="55" t="s">
        <v>3411</v>
      </c>
      <c r="BV4028" s="55" t="s">
        <v>3406</v>
      </c>
      <c r="GD4028" s="65">
        <f>1.16*0.1*95</f>
        <v>11.02</v>
      </c>
      <c r="GE4028" s="65">
        <f>1.16*0.1*69</f>
        <v>8.0039999999999996</v>
      </c>
      <c r="GH4028" s="65" t="s">
        <v>3413</v>
      </c>
      <c r="GP4028" s="292" t="s">
        <v>7494</v>
      </c>
    </row>
    <row r="4029" spans="1:231" x14ac:dyDescent="0.25">
      <c r="A4029" s="55">
        <v>4028</v>
      </c>
      <c r="B4029" s="12" t="s">
        <v>7067</v>
      </c>
      <c r="C4029" s="155">
        <v>176</v>
      </c>
      <c r="D4029" s="55" t="s">
        <v>3427</v>
      </c>
      <c r="E4029" s="90" t="s">
        <v>3398</v>
      </c>
      <c r="G4029" s="55" t="s">
        <v>3399</v>
      </c>
      <c r="H4029" s="55">
        <v>2015</v>
      </c>
      <c r="I4029" s="55">
        <v>2008</v>
      </c>
      <c r="J4029" s="55" t="s">
        <v>2853</v>
      </c>
      <c r="K4029" s="55" t="s">
        <v>3400</v>
      </c>
      <c r="L4029" s="55" t="s">
        <v>3377</v>
      </c>
      <c r="M4029" s="90">
        <f>36+58/60</f>
        <v>36.966666666666669</v>
      </c>
      <c r="N4029" s="90">
        <f>109+18/60</f>
        <v>109.3</v>
      </c>
      <c r="O4029" s="90">
        <v>1275</v>
      </c>
      <c r="Q4029" s="55">
        <v>8.8000000000000007</v>
      </c>
      <c r="S4029" s="90">
        <v>535</v>
      </c>
      <c r="U4029" s="55" t="s">
        <v>1816</v>
      </c>
      <c r="V4029" s="55" t="s">
        <v>1940</v>
      </c>
      <c r="Y4029" s="55" t="s">
        <v>3403</v>
      </c>
      <c r="Z4029" s="55" t="s">
        <v>3404</v>
      </c>
      <c r="AA4029" s="90" t="s">
        <v>3414</v>
      </c>
      <c r="AD4029" s="90">
        <v>1.1599999999999999</v>
      </c>
      <c r="AE4029" s="90">
        <v>21.05</v>
      </c>
      <c r="AF4029" s="90">
        <v>74.489999999999995</v>
      </c>
      <c r="AH4029" s="55" t="s">
        <v>6378</v>
      </c>
      <c r="AI4029" s="168">
        <v>8.1999999999999993</v>
      </c>
      <c r="AJ4029" s="90">
        <v>0.46500000000000002</v>
      </c>
      <c r="AN4029" s="185" t="s">
        <v>3402</v>
      </c>
      <c r="AO4029" s="185" t="s">
        <v>5150</v>
      </c>
      <c r="AQ4029" s="55" t="s">
        <v>553</v>
      </c>
      <c r="AR4029" s="55" t="s">
        <v>3401</v>
      </c>
      <c r="AS4029" s="55" t="s">
        <v>3471</v>
      </c>
      <c r="AU4029" s="181" t="s">
        <v>7494</v>
      </c>
      <c r="AV4029" s="185" t="s">
        <v>176</v>
      </c>
      <c r="AX4029" s="185" t="s">
        <v>176</v>
      </c>
      <c r="BK4029" s="55" t="s">
        <v>6333</v>
      </c>
      <c r="BM4029" s="192" t="s">
        <v>160</v>
      </c>
      <c r="BU4029" s="55" t="s">
        <v>3412</v>
      </c>
      <c r="BV4029" s="55" t="s">
        <v>3406</v>
      </c>
      <c r="GD4029" s="65">
        <f>1.16*0.1*95</f>
        <v>11.02</v>
      </c>
      <c r="GE4029" s="65">
        <f>1.16*0.1*96</f>
        <v>11.135999999999999</v>
      </c>
      <c r="GH4029" s="65" t="s">
        <v>3413</v>
      </c>
      <c r="GP4029" s="292" t="s">
        <v>7494</v>
      </c>
    </row>
    <row r="4030" spans="1:231" x14ac:dyDescent="0.25">
      <c r="A4030" s="55">
        <v>4029</v>
      </c>
      <c r="B4030" s="12" t="s">
        <v>7067</v>
      </c>
      <c r="C4030" s="155">
        <v>176</v>
      </c>
      <c r="D4030" s="55" t="s">
        <v>3428</v>
      </c>
      <c r="E4030" s="90" t="s">
        <v>3398</v>
      </c>
      <c r="G4030" s="55" t="s">
        <v>3399</v>
      </c>
      <c r="H4030" s="55">
        <v>2015</v>
      </c>
      <c r="I4030" s="55">
        <v>2008</v>
      </c>
      <c r="J4030" s="55" t="s">
        <v>2853</v>
      </c>
      <c r="K4030" s="55" t="s">
        <v>3400</v>
      </c>
      <c r="L4030" s="55" t="s">
        <v>3377</v>
      </c>
      <c r="M4030" s="90">
        <f>36+58/60</f>
        <v>36.966666666666669</v>
      </c>
      <c r="N4030" s="90">
        <f>109+18/60</f>
        <v>109.3</v>
      </c>
      <c r="O4030" s="90">
        <v>1275</v>
      </c>
      <c r="Q4030" s="55">
        <v>8.8000000000000007</v>
      </c>
      <c r="S4030" s="90">
        <v>535</v>
      </c>
      <c r="U4030" s="55" t="s">
        <v>1816</v>
      </c>
      <c r="V4030" s="55" t="s">
        <v>1940</v>
      </c>
      <c r="Y4030" s="55" t="s">
        <v>3403</v>
      </c>
      <c r="Z4030" s="55" t="s">
        <v>3405</v>
      </c>
      <c r="AA4030" s="90" t="s">
        <v>3415</v>
      </c>
      <c r="AD4030" s="90">
        <v>1.1599999999999999</v>
      </c>
      <c r="AE4030" s="90">
        <v>21.05</v>
      </c>
      <c r="AF4030" s="90">
        <v>74.489999999999995</v>
      </c>
      <c r="AH4030" s="55" t="s">
        <v>6378</v>
      </c>
      <c r="AI4030" s="168">
        <v>8.1999999999999993</v>
      </c>
      <c r="AJ4030" s="90">
        <v>0.46500000000000002</v>
      </c>
      <c r="AN4030" s="185" t="s">
        <v>3402</v>
      </c>
      <c r="AO4030" s="185" t="s">
        <v>5150</v>
      </c>
      <c r="AQ4030" s="55" t="s">
        <v>553</v>
      </c>
      <c r="AR4030" s="55" t="s">
        <v>3401</v>
      </c>
      <c r="AS4030" s="55" t="s">
        <v>3471</v>
      </c>
      <c r="AU4030" s="181" t="s">
        <v>7494</v>
      </c>
      <c r="AV4030" s="185" t="s">
        <v>176</v>
      </c>
      <c r="AX4030" s="185" t="s">
        <v>176</v>
      </c>
      <c r="BK4030" s="55" t="s">
        <v>6333</v>
      </c>
      <c r="BM4030" s="192" t="s">
        <v>160</v>
      </c>
      <c r="BU4030" s="55" t="s">
        <v>3410</v>
      </c>
      <c r="BV4030" s="55" t="s">
        <v>3406</v>
      </c>
      <c r="GD4030" s="65">
        <f>1.16*0.1*98</f>
        <v>11.367999999999999</v>
      </c>
      <c r="GE4030" s="65">
        <f>1.16*0.1*84</f>
        <v>9.7439999999999998</v>
      </c>
      <c r="GH4030" s="65" t="s">
        <v>3413</v>
      </c>
      <c r="GP4030" s="292" t="s">
        <v>7494</v>
      </c>
    </row>
    <row r="4031" spans="1:231" x14ac:dyDescent="0.25">
      <c r="A4031" s="55">
        <v>4030</v>
      </c>
      <c r="B4031" s="12" t="s">
        <v>7067</v>
      </c>
      <c r="C4031" s="155">
        <v>176</v>
      </c>
      <c r="D4031" s="55" t="s">
        <v>3429</v>
      </c>
      <c r="E4031" s="90" t="s">
        <v>3398</v>
      </c>
      <c r="G4031" s="55" t="s">
        <v>3399</v>
      </c>
      <c r="H4031" s="55">
        <v>2015</v>
      </c>
      <c r="I4031" s="55">
        <v>2008</v>
      </c>
      <c r="J4031" s="55" t="s">
        <v>2853</v>
      </c>
      <c r="K4031" s="55" t="s">
        <v>3400</v>
      </c>
      <c r="L4031" s="55" t="s">
        <v>3377</v>
      </c>
      <c r="M4031" s="90">
        <f>36+58/60</f>
        <v>36.966666666666669</v>
      </c>
      <c r="N4031" s="90">
        <f>109+18/60</f>
        <v>109.3</v>
      </c>
      <c r="O4031" s="90">
        <v>1275</v>
      </c>
      <c r="Q4031" s="55">
        <v>8.8000000000000007</v>
      </c>
      <c r="S4031" s="90">
        <v>535</v>
      </c>
      <c r="U4031" s="55" t="s">
        <v>1816</v>
      </c>
      <c r="V4031" s="55" t="s">
        <v>1940</v>
      </c>
      <c r="Y4031" s="55" t="s">
        <v>3403</v>
      </c>
      <c r="Z4031" s="55" t="s">
        <v>3405</v>
      </c>
      <c r="AA4031" s="90" t="s">
        <v>3415</v>
      </c>
      <c r="AD4031" s="90">
        <v>1.1599999999999999</v>
      </c>
      <c r="AE4031" s="90">
        <v>21.05</v>
      </c>
      <c r="AF4031" s="90">
        <v>74.489999999999995</v>
      </c>
      <c r="AH4031" s="55" t="s">
        <v>6378</v>
      </c>
      <c r="AI4031" s="168">
        <v>8.1999999999999993</v>
      </c>
      <c r="AJ4031" s="90">
        <v>0.46500000000000002</v>
      </c>
      <c r="AN4031" s="185" t="s">
        <v>3402</v>
      </c>
      <c r="AO4031" s="185" t="s">
        <v>5150</v>
      </c>
      <c r="AQ4031" s="55" t="s">
        <v>553</v>
      </c>
      <c r="AR4031" s="55" t="s">
        <v>3401</v>
      </c>
      <c r="AS4031" s="55" t="s">
        <v>3471</v>
      </c>
      <c r="AU4031" s="181" t="s">
        <v>7494</v>
      </c>
      <c r="AV4031" s="185" t="s">
        <v>176</v>
      </c>
      <c r="AX4031" s="185" t="s">
        <v>176</v>
      </c>
      <c r="BK4031" s="55" t="s">
        <v>6333</v>
      </c>
      <c r="BM4031" s="192" t="s">
        <v>160</v>
      </c>
      <c r="BU4031" s="55" t="s">
        <v>3411</v>
      </c>
      <c r="BV4031" s="55" t="s">
        <v>3406</v>
      </c>
      <c r="GD4031" s="65">
        <f>1.16*0.1*98</f>
        <v>11.367999999999999</v>
      </c>
      <c r="GE4031" s="65">
        <f>1.16*0.1*71</f>
        <v>8.2359999999999989</v>
      </c>
      <c r="GH4031" s="65" t="s">
        <v>3413</v>
      </c>
      <c r="GP4031" s="292" t="s">
        <v>7494</v>
      </c>
    </row>
    <row r="4032" spans="1:231" x14ac:dyDescent="0.25">
      <c r="A4032" s="55">
        <v>4031</v>
      </c>
      <c r="B4032" s="12" t="s">
        <v>7067</v>
      </c>
      <c r="C4032" s="155">
        <v>176</v>
      </c>
      <c r="D4032" s="55" t="s">
        <v>3430</v>
      </c>
      <c r="E4032" s="90" t="s">
        <v>3398</v>
      </c>
      <c r="G4032" s="55" t="s">
        <v>3399</v>
      </c>
      <c r="H4032" s="55">
        <v>2015</v>
      </c>
      <c r="I4032" s="55">
        <v>2008</v>
      </c>
      <c r="J4032" s="55" t="s">
        <v>2853</v>
      </c>
      <c r="K4032" s="55" t="s">
        <v>3400</v>
      </c>
      <c r="L4032" s="55" t="s">
        <v>3377</v>
      </c>
      <c r="M4032" s="90">
        <f>36+58/60</f>
        <v>36.966666666666669</v>
      </c>
      <c r="N4032" s="90">
        <f>109+18/60</f>
        <v>109.3</v>
      </c>
      <c r="O4032" s="90">
        <v>1275</v>
      </c>
      <c r="Q4032" s="55">
        <v>8.8000000000000007</v>
      </c>
      <c r="S4032" s="90">
        <v>535</v>
      </c>
      <c r="U4032" s="55" t="s">
        <v>1816</v>
      </c>
      <c r="V4032" s="55" t="s">
        <v>1940</v>
      </c>
      <c r="Y4032" s="55" t="s">
        <v>3403</v>
      </c>
      <c r="Z4032" s="55" t="s">
        <v>3405</v>
      </c>
      <c r="AA4032" s="90" t="s">
        <v>3415</v>
      </c>
      <c r="AD4032" s="90">
        <v>1.1599999999999999</v>
      </c>
      <c r="AE4032" s="90">
        <v>21.05</v>
      </c>
      <c r="AF4032" s="90">
        <v>74.489999999999995</v>
      </c>
      <c r="AH4032" s="55" t="s">
        <v>6378</v>
      </c>
      <c r="AI4032" s="168">
        <v>8.1999999999999993</v>
      </c>
      <c r="AJ4032" s="90">
        <v>0.46500000000000002</v>
      </c>
      <c r="AN4032" s="185" t="s">
        <v>3402</v>
      </c>
      <c r="AO4032" s="185" t="s">
        <v>5150</v>
      </c>
      <c r="AQ4032" s="55" t="s">
        <v>553</v>
      </c>
      <c r="AR4032" s="55" t="s">
        <v>3401</v>
      </c>
      <c r="AS4032" s="55" t="s">
        <v>3471</v>
      </c>
      <c r="AU4032" s="181" t="s">
        <v>7494</v>
      </c>
      <c r="AV4032" s="185" t="s">
        <v>176</v>
      </c>
      <c r="AX4032" s="185" t="s">
        <v>176</v>
      </c>
      <c r="BK4032" s="55" t="s">
        <v>6333</v>
      </c>
      <c r="BM4032" s="192" t="s">
        <v>160</v>
      </c>
      <c r="BU4032" s="55" t="s">
        <v>3412</v>
      </c>
      <c r="BV4032" s="55" t="s">
        <v>3406</v>
      </c>
      <c r="GD4032" s="65">
        <f>1.16*0.1*98</f>
        <v>11.367999999999999</v>
      </c>
      <c r="GE4032" s="65">
        <f>1.16*0.1*97</f>
        <v>11.251999999999999</v>
      </c>
      <c r="GH4032" s="65" t="s">
        <v>3413</v>
      </c>
      <c r="GP4032" s="292" t="s">
        <v>7494</v>
      </c>
    </row>
    <row r="4033" spans="1:198" x14ac:dyDescent="0.25">
      <c r="A4033" s="55">
        <v>4032</v>
      </c>
      <c r="B4033" s="12" t="s">
        <v>7067</v>
      </c>
      <c r="C4033" s="155">
        <v>176</v>
      </c>
      <c r="D4033" s="55" t="s">
        <v>3431</v>
      </c>
      <c r="E4033" s="90" t="s">
        <v>3398</v>
      </c>
      <c r="G4033" s="55" t="s">
        <v>3399</v>
      </c>
      <c r="H4033" s="55">
        <v>2015</v>
      </c>
      <c r="I4033" s="55">
        <v>2008</v>
      </c>
      <c r="J4033" s="55" t="s">
        <v>2853</v>
      </c>
      <c r="K4033" s="55" t="s">
        <v>3400</v>
      </c>
      <c r="L4033" s="55" t="s">
        <v>3377</v>
      </c>
      <c r="M4033" s="90">
        <f>36+58/60</f>
        <v>36.966666666666669</v>
      </c>
      <c r="N4033" s="90">
        <f>109+18/60</f>
        <v>109.3</v>
      </c>
      <c r="O4033" s="90">
        <v>1275</v>
      </c>
      <c r="Q4033" s="55">
        <v>8.8000000000000007</v>
      </c>
      <c r="S4033" s="90">
        <v>535</v>
      </c>
      <c r="U4033" s="55" t="s">
        <v>1816</v>
      </c>
      <c r="V4033" s="55" t="s">
        <v>1940</v>
      </c>
      <c r="Y4033" s="55" t="s">
        <v>3403</v>
      </c>
      <c r="Z4033" s="55" t="s">
        <v>1383</v>
      </c>
      <c r="AA4033" s="90" t="s">
        <v>1684</v>
      </c>
      <c r="AD4033" s="90">
        <v>1.1599999999999999</v>
      </c>
      <c r="AE4033" s="90">
        <v>21.05</v>
      </c>
      <c r="AF4033" s="90">
        <v>74.489999999999995</v>
      </c>
      <c r="AH4033" s="55" t="s">
        <v>6378</v>
      </c>
      <c r="AI4033" s="168">
        <v>8.1999999999999993</v>
      </c>
      <c r="AJ4033" s="90">
        <v>0.46500000000000002</v>
      </c>
      <c r="AN4033" s="185" t="s">
        <v>3402</v>
      </c>
      <c r="AO4033" s="185" t="s">
        <v>5150</v>
      </c>
      <c r="AQ4033" s="55" t="s">
        <v>553</v>
      </c>
      <c r="AR4033" s="55" t="s">
        <v>3401</v>
      </c>
      <c r="AS4033" s="55" t="s">
        <v>3471</v>
      </c>
      <c r="AU4033" s="181" t="s">
        <v>7494</v>
      </c>
      <c r="AV4033" s="185" t="s">
        <v>176</v>
      </c>
      <c r="AX4033" s="185" t="s">
        <v>176</v>
      </c>
      <c r="BK4033" s="55" t="s">
        <v>6333</v>
      </c>
      <c r="BM4033" s="192" t="s">
        <v>160</v>
      </c>
      <c r="BU4033" s="55" t="s">
        <v>3410</v>
      </c>
      <c r="BV4033" s="55" t="s">
        <v>3407</v>
      </c>
      <c r="GD4033" s="65">
        <f>1.16*0.1*63</f>
        <v>7.3079999999999998</v>
      </c>
      <c r="GE4033" s="65">
        <f>1.16*0.1*57</f>
        <v>6.6119999999999992</v>
      </c>
      <c r="GH4033" s="65" t="s">
        <v>3413</v>
      </c>
      <c r="GP4033" s="292" t="s">
        <v>7494</v>
      </c>
    </row>
    <row r="4034" spans="1:198" x14ac:dyDescent="0.25">
      <c r="A4034" s="55">
        <v>4033</v>
      </c>
      <c r="B4034" s="12" t="s">
        <v>7067</v>
      </c>
      <c r="C4034" s="155">
        <v>176</v>
      </c>
      <c r="D4034" s="55" t="s">
        <v>3432</v>
      </c>
      <c r="E4034" s="90" t="s">
        <v>3398</v>
      </c>
      <c r="G4034" s="55" t="s">
        <v>3399</v>
      </c>
      <c r="H4034" s="55">
        <v>2015</v>
      </c>
      <c r="I4034" s="55">
        <v>2008</v>
      </c>
      <c r="J4034" s="55" t="s">
        <v>2853</v>
      </c>
      <c r="K4034" s="55" t="s">
        <v>3400</v>
      </c>
      <c r="L4034" s="55" t="s">
        <v>3377</v>
      </c>
      <c r="M4034" s="90">
        <f>36+58/60</f>
        <v>36.966666666666669</v>
      </c>
      <c r="N4034" s="90">
        <f>109+18/60</f>
        <v>109.3</v>
      </c>
      <c r="O4034" s="90">
        <v>1275</v>
      </c>
      <c r="Q4034" s="55">
        <v>8.8000000000000007</v>
      </c>
      <c r="S4034" s="90">
        <v>535</v>
      </c>
      <c r="U4034" s="55" t="s">
        <v>1816</v>
      </c>
      <c r="V4034" s="55" t="s">
        <v>1940</v>
      </c>
      <c r="Y4034" s="55" t="s">
        <v>3403</v>
      </c>
      <c r="Z4034" s="55" t="s">
        <v>1383</v>
      </c>
      <c r="AA4034" s="90" t="s">
        <v>1684</v>
      </c>
      <c r="AD4034" s="90">
        <v>1.1599999999999999</v>
      </c>
      <c r="AE4034" s="90">
        <v>21.05</v>
      </c>
      <c r="AF4034" s="90">
        <v>74.489999999999995</v>
      </c>
      <c r="AH4034" s="55" t="s">
        <v>6378</v>
      </c>
      <c r="AI4034" s="168">
        <v>8.1999999999999993</v>
      </c>
      <c r="AJ4034" s="90">
        <v>0.46500000000000002</v>
      </c>
      <c r="AN4034" s="185" t="s">
        <v>3402</v>
      </c>
      <c r="AO4034" s="185" t="s">
        <v>5150</v>
      </c>
      <c r="AQ4034" s="55" t="s">
        <v>553</v>
      </c>
      <c r="AR4034" s="55" t="s">
        <v>3401</v>
      </c>
      <c r="AS4034" s="55" t="s">
        <v>3471</v>
      </c>
      <c r="AU4034" s="181" t="s">
        <v>7494</v>
      </c>
      <c r="AV4034" s="185" t="s">
        <v>176</v>
      </c>
      <c r="AX4034" s="185" t="s">
        <v>176</v>
      </c>
      <c r="BK4034" s="55" t="s">
        <v>6333</v>
      </c>
      <c r="BM4034" s="192" t="s">
        <v>160</v>
      </c>
      <c r="BU4034" s="55" t="s">
        <v>3411</v>
      </c>
      <c r="BV4034" s="55" t="s">
        <v>3407</v>
      </c>
      <c r="GD4034" s="65">
        <f>1.16*0.1*63</f>
        <v>7.3079999999999998</v>
      </c>
      <c r="GE4034" s="65">
        <f>1.16*0.1*51</f>
        <v>5.9159999999999995</v>
      </c>
      <c r="GH4034" s="65" t="s">
        <v>3413</v>
      </c>
      <c r="GP4034" s="292" t="s">
        <v>7494</v>
      </c>
    </row>
    <row r="4035" spans="1:198" x14ac:dyDescent="0.25">
      <c r="A4035" s="55">
        <v>4034</v>
      </c>
      <c r="B4035" s="12" t="s">
        <v>7067</v>
      </c>
      <c r="C4035" s="155">
        <v>176</v>
      </c>
      <c r="D4035" s="55" t="s">
        <v>3433</v>
      </c>
      <c r="E4035" s="90" t="s">
        <v>3398</v>
      </c>
      <c r="G4035" s="55" t="s">
        <v>3399</v>
      </c>
      <c r="H4035" s="55">
        <v>2015</v>
      </c>
      <c r="I4035" s="55">
        <v>2008</v>
      </c>
      <c r="J4035" s="55" t="s">
        <v>2853</v>
      </c>
      <c r="K4035" s="55" t="s">
        <v>3400</v>
      </c>
      <c r="L4035" s="55" t="s">
        <v>3377</v>
      </c>
      <c r="M4035" s="90">
        <f>36+58/60</f>
        <v>36.966666666666669</v>
      </c>
      <c r="N4035" s="90">
        <f>109+18/60</f>
        <v>109.3</v>
      </c>
      <c r="O4035" s="90">
        <v>1275</v>
      </c>
      <c r="Q4035" s="55">
        <v>8.8000000000000007</v>
      </c>
      <c r="S4035" s="90">
        <v>535</v>
      </c>
      <c r="U4035" s="55" t="s">
        <v>1816</v>
      </c>
      <c r="V4035" s="55" t="s">
        <v>1940</v>
      </c>
      <c r="Y4035" s="55" t="s">
        <v>3403</v>
      </c>
      <c r="Z4035" s="55" t="s">
        <v>1383</v>
      </c>
      <c r="AA4035" s="90" t="s">
        <v>1684</v>
      </c>
      <c r="AD4035" s="90">
        <v>1.1599999999999999</v>
      </c>
      <c r="AE4035" s="90">
        <v>21.05</v>
      </c>
      <c r="AF4035" s="90">
        <v>74.489999999999995</v>
      </c>
      <c r="AH4035" s="55" t="s">
        <v>6378</v>
      </c>
      <c r="AI4035" s="168">
        <v>8.1999999999999993</v>
      </c>
      <c r="AJ4035" s="90">
        <v>0.46500000000000002</v>
      </c>
      <c r="AN4035" s="185" t="s">
        <v>3402</v>
      </c>
      <c r="AO4035" s="185" t="s">
        <v>5150</v>
      </c>
      <c r="AQ4035" s="55" t="s">
        <v>553</v>
      </c>
      <c r="AR4035" s="55" t="s">
        <v>3401</v>
      </c>
      <c r="AS4035" s="55" t="s">
        <v>3471</v>
      </c>
      <c r="AU4035" s="181" t="s">
        <v>7494</v>
      </c>
      <c r="AV4035" s="185" t="s">
        <v>176</v>
      </c>
      <c r="AX4035" s="185" t="s">
        <v>176</v>
      </c>
      <c r="BK4035" s="55" t="s">
        <v>6333</v>
      </c>
      <c r="BM4035" s="192" t="s">
        <v>160</v>
      </c>
      <c r="BU4035" s="55" t="s">
        <v>3412</v>
      </c>
      <c r="BV4035" s="55" t="s">
        <v>3407</v>
      </c>
      <c r="GD4035" s="65">
        <f>1.16*0.1*63</f>
        <v>7.3079999999999998</v>
      </c>
      <c r="GE4035" s="65">
        <f>1.16*0.1*69</f>
        <v>8.0039999999999996</v>
      </c>
      <c r="GH4035" s="65" t="s">
        <v>3413</v>
      </c>
      <c r="GP4035" s="292" t="s">
        <v>7494</v>
      </c>
    </row>
    <row r="4036" spans="1:198" x14ac:dyDescent="0.25">
      <c r="A4036" s="55">
        <v>4035</v>
      </c>
      <c r="B4036" s="12" t="s">
        <v>7067</v>
      </c>
      <c r="C4036" s="155">
        <v>176</v>
      </c>
      <c r="D4036" s="55" t="s">
        <v>3434</v>
      </c>
      <c r="E4036" s="90" t="s">
        <v>3398</v>
      </c>
      <c r="G4036" s="55" t="s">
        <v>3399</v>
      </c>
      <c r="H4036" s="55">
        <v>2015</v>
      </c>
      <c r="I4036" s="55">
        <v>2008</v>
      </c>
      <c r="J4036" s="55" t="s">
        <v>2853</v>
      </c>
      <c r="K4036" s="55" t="s">
        <v>3400</v>
      </c>
      <c r="L4036" s="55" t="s">
        <v>3377</v>
      </c>
      <c r="M4036" s="90">
        <f>36+58/60</f>
        <v>36.966666666666669</v>
      </c>
      <c r="N4036" s="90">
        <f>109+18/60</f>
        <v>109.3</v>
      </c>
      <c r="O4036" s="90">
        <v>1275</v>
      </c>
      <c r="Q4036" s="55">
        <v>8.8000000000000007</v>
      </c>
      <c r="S4036" s="90">
        <v>535</v>
      </c>
      <c r="U4036" s="55" t="s">
        <v>1816</v>
      </c>
      <c r="V4036" s="55" t="s">
        <v>1940</v>
      </c>
      <c r="Y4036" s="55" t="s">
        <v>3403</v>
      </c>
      <c r="Z4036" s="55" t="s">
        <v>3404</v>
      </c>
      <c r="AA4036" s="90" t="s">
        <v>3414</v>
      </c>
      <c r="AD4036" s="90">
        <v>1.1599999999999999</v>
      </c>
      <c r="AE4036" s="90">
        <v>21.05</v>
      </c>
      <c r="AF4036" s="90">
        <v>74.489999999999995</v>
      </c>
      <c r="AH4036" s="55" t="s">
        <v>6378</v>
      </c>
      <c r="AI4036" s="168">
        <v>8.1999999999999993</v>
      </c>
      <c r="AJ4036" s="90">
        <v>0.46500000000000002</v>
      </c>
      <c r="AN4036" s="185" t="s">
        <v>3402</v>
      </c>
      <c r="AO4036" s="185" t="s">
        <v>5150</v>
      </c>
      <c r="AQ4036" s="55" t="s">
        <v>553</v>
      </c>
      <c r="AR4036" s="55" t="s">
        <v>3401</v>
      </c>
      <c r="AS4036" s="55" t="s">
        <v>3471</v>
      </c>
      <c r="AU4036" s="181" t="s">
        <v>7494</v>
      </c>
      <c r="AV4036" s="185" t="s">
        <v>176</v>
      </c>
      <c r="AX4036" s="185" t="s">
        <v>176</v>
      </c>
      <c r="BK4036" s="55" t="s">
        <v>6333</v>
      </c>
      <c r="BM4036" s="192" t="s">
        <v>160</v>
      </c>
      <c r="BU4036" s="55" t="s">
        <v>3410</v>
      </c>
      <c r="BV4036" s="55" t="s">
        <v>3407</v>
      </c>
      <c r="GD4036" s="65">
        <f>1.16*0.1*70</f>
        <v>8.1199999999999992</v>
      </c>
      <c r="GE4036" s="65">
        <f>1.16*0.1*65</f>
        <v>7.5399999999999991</v>
      </c>
      <c r="GH4036" s="65" t="s">
        <v>3413</v>
      </c>
      <c r="GP4036" s="292" t="s">
        <v>7494</v>
      </c>
    </row>
    <row r="4037" spans="1:198" x14ac:dyDescent="0.25">
      <c r="A4037" s="55">
        <v>4036</v>
      </c>
      <c r="B4037" s="12" t="s">
        <v>7067</v>
      </c>
      <c r="C4037" s="155">
        <v>176</v>
      </c>
      <c r="D4037" s="55" t="s">
        <v>3435</v>
      </c>
      <c r="E4037" s="90" t="s">
        <v>3398</v>
      </c>
      <c r="G4037" s="55" t="s">
        <v>3399</v>
      </c>
      <c r="H4037" s="55">
        <v>2015</v>
      </c>
      <c r="I4037" s="55">
        <v>2008</v>
      </c>
      <c r="J4037" s="55" t="s">
        <v>2853</v>
      </c>
      <c r="K4037" s="55" t="s">
        <v>3400</v>
      </c>
      <c r="L4037" s="55" t="s">
        <v>3377</v>
      </c>
      <c r="M4037" s="90">
        <f>36+58/60</f>
        <v>36.966666666666669</v>
      </c>
      <c r="N4037" s="90">
        <f>109+18/60</f>
        <v>109.3</v>
      </c>
      <c r="O4037" s="90">
        <v>1275</v>
      </c>
      <c r="Q4037" s="55">
        <v>8.8000000000000007</v>
      </c>
      <c r="S4037" s="90">
        <v>535</v>
      </c>
      <c r="U4037" s="55" t="s">
        <v>1816</v>
      </c>
      <c r="V4037" s="55" t="s">
        <v>1940</v>
      </c>
      <c r="Y4037" s="55" t="s">
        <v>3403</v>
      </c>
      <c r="Z4037" s="55" t="s">
        <v>3404</v>
      </c>
      <c r="AA4037" s="90" t="s">
        <v>3414</v>
      </c>
      <c r="AD4037" s="90">
        <v>1.1599999999999999</v>
      </c>
      <c r="AE4037" s="90">
        <v>21.05</v>
      </c>
      <c r="AF4037" s="90">
        <v>74.489999999999995</v>
      </c>
      <c r="AH4037" s="55" t="s">
        <v>6378</v>
      </c>
      <c r="AI4037" s="168">
        <v>8.1999999999999993</v>
      </c>
      <c r="AJ4037" s="90">
        <v>0.46500000000000002</v>
      </c>
      <c r="AN4037" s="185" t="s">
        <v>3402</v>
      </c>
      <c r="AO4037" s="185" t="s">
        <v>5150</v>
      </c>
      <c r="AQ4037" s="55" t="s">
        <v>553</v>
      </c>
      <c r="AR4037" s="55" t="s">
        <v>3401</v>
      </c>
      <c r="AS4037" s="55" t="s">
        <v>3471</v>
      </c>
      <c r="AU4037" s="181" t="s">
        <v>7494</v>
      </c>
      <c r="AV4037" s="185" t="s">
        <v>176</v>
      </c>
      <c r="AX4037" s="185" t="s">
        <v>176</v>
      </c>
      <c r="BK4037" s="55" t="s">
        <v>6333</v>
      </c>
      <c r="BM4037" s="192" t="s">
        <v>160</v>
      </c>
      <c r="BU4037" s="55" t="s">
        <v>3411</v>
      </c>
      <c r="BV4037" s="55" t="s">
        <v>3407</v>
      </c>
      <c r="GD4037" s="65">
        <f>1.16*0.1*70</f>
        <v>8.1199999999999992</v>
      </c>
      <c r="GE4037" s="65">
        <f>1.16*0.1*60</f>
        <v>6.9599999999999991</v>
      </c>
      <c r="GH4037" s="65" t="s">
        <v>3413</v>
      </c>
      <c r="GP4037" s="292" t="s">
        <v>7494</v>
      </c>
    </row>
    <row r="4038" spans="1:198" x14ac:dyDescent="0.25">
      <c r="A4038" s="55">
        <v>4037</v>
      </c>
      <c r="B4038" s="12" t="s">
        <v>7067</v>
      </c>
      <c r="C4038" s="155">
        <v>176</v>
      </c>
      <c r="D4038" s="55" t="s">
        <v>3436</v>
      </c>
      <c r="E4038" s="90" t="s">
        <v>3398</v>
      </c>
      <c r="G4038" s="55" t="s">
        <v>3399</v>
      </c>
      <c r="H4038" s="55">
        <v>2015</v>
      </c>
      <c r="I4038" s="55">
        <v>2008</v>
      </c>
      <c r="J4038" s="55" t="s">
        <v>2853</v>
      </c>
      <c r="K4038" s="55" t="s">
        <v>3400</v>
      </c>
      <c r="L4038" s="55" t="s">
        <v>3377</v>
      </c>
      <c r="M4038" s="90">
        <f>36+58/60</f>
        <v>36.966666666666669</v>
      </c>
      <c r="N4038" s="90">
        <f>109+18/60</f>
        <v>109.3</v>
      </c>
      <c r="O4038" s="90">
        <v>1275</v>
      </c>
      <c r="Q4038" s="55">
        <v>8.8000000000000007</v>
      </c>
      <c r="S4038" s="90">
        <v>535</v>
      </c>
      <c r="U4038" s="55" t="s">
        <v>1816</v>
      </c>
      <c r="V4038" s="55" t="s">
        <v>1940</v>
      </c>
      <c r="Y4038" s="55" t="s">
        <v>3403</v>
      </c>
      <c r="Z4038" s="55" t="s">
        <v>3404</v>
      </c>
      <c r="AA4038" s="90" t="s">
        <v>3414</v>
      </c>
      <c r="AD4038" s="90">
        <v>1.1599999999999999</v>
      </c>
      <c r="AE4038" s="90">
        <v>21.05</v>
      </c>
      <c r="AF4038" s="90">
        <v>74.489999999999995</v>
      </c>
      <c r="AH4038" s="55" t="s">
        <v>6378</v>
      </c>
      <c r="AI4038" s="168">
        <v>8.1999999999999993</v>
      </c>
      <c r="AJ4038" s="90">
        <v>0.46500000000000002</v>
      </c>
      <c r="AN4038" s="185" t="s">
        <v>3402</v>
      </c>
      <c r="AO4038" s="185" t="s">
        <v>5150</v>
      </c>
      <c r="AQ4038" s="55" t="s">
        <v>553</v>
      </c>
      <c r="AR4038" s="55" t="s">
        <v>3401</v>
      </c>
      <c r="AS4038" s="55" t="s">
        <v>3471</v>
      </c>
      <c r="AU4038" s="181" t="s">
        <v>7494</v>
      </c>
      <c r="AV4038" s="185" t="s">
        <v>176</v>
      </c>
      <c r="AX4038" s="185" t="s">
        <v>176</v>
      </c>
      <c r="BK4038" s="55" t="s">
        <v>6333</v>
      </c>
      <c r="BM4038" s="192" t="s">
        <v>160</v>
      </c>
      <c r="BU4038" s="55" t="s">
        <v>3412</v>
      </c>
      <c r="BV4038" s="55" t="s">
        <v>3407</v>
      </c>
      <c r="GD4038" s="65">
        <f>1.16*0.1*70</f>
        <v>8.1199999999999992</v>
      </c>
      <c r="GE4038" s="65">
        <f>1.16*0.1*71</f>
        <v>8.2359999999999989</v>
      </c>
      <c r="GH4038" s="65" t="s">
        <v>3413</v>
      </c>
      <c r="GP4038" s="292" t="s">
        <v>7494</v>
      </c>
    </row>
    <row r="4039" spans="1:198" x14ac:dyDescent="0.25">
      <c r="A4039" s="55">
        <v>4038</v>
      </c>
      <c r="B4039" s="12" t="s">
        <v>7067</v>
      </c>
      <c r="C4039" s="155">
        <v>176</v>
      </c>
      <c r="D4039" s="55" t="s">
        <v>3437</v>
      </c>
      <c r="E4039" s="90" t="s">
        <v>3398</v>
      </c>
      <c r="G4039" s="55" t="s">
        <v>3399</v>
      </c>
      <c r="H4039" s="55">
        <v>2015</v>
      </c>
      <c r="I4039" s="55">
        <v>2008</v>
      </c>
      <c r="J4039" s="55" t="s">
        <v>2853</v>
      </c>
      <c r="K4039" s="55" t="s">
        <v>3400</v>
      </c>
      <c r="L4039" s="55" t="s">
        <v>3377</v>
      </c>
      <c r="M4039" s="90">
        <f>36+58/60</f>
        <v>36.966666666666669</v>
      </c>
      <c r="N4039" s="90">
        <f>109+18/60</f>
        <v>109.3</v>
      </c>
      <c r="O4039" s="90">
        <v>1275</v>
      </c>
      <c r="Q4039" s="55">
        <v>8.8000000000000007</v>
      </c>
      <c r="S4039" s="90">
        <v>535</v>
      </c>
      <c r="U4039" s="55" t="s">
        <v>1816</v>
      </c>
      <c r="V4039" s="55" t="s">
        <v>1940</v>
      </c>
      <c r="Y4039" s="55" t="s">
        <v>3403</v>
      </c>
      <c r="Z4039" s="55" t="s">
        <v>3405</v>
      </c>
      <c r="AA4039" s="90" t="s">
        <v>3415</v>
      </c>
      <c r="AD4039" s="90">
        <v>1.1599999999999999</v>
      </c>
      <c r="AE4039" s="90">
        <v>21.05</v>
      </c>
      <c r="AF4039" s="90">
        <v>74.489999999999995</v>
      </c>
      <c r="AH4039" s="55" t="s">
        <v>6378</v>
      </c>
      <c r="AI4039" s="168">
        <v>8.1999999999999993</v>
      </c>
      <c r="AJ4039" s="90">
        <v>0.46500000000000002</v>
      </c>
      <c r="AN4039" s="185" t="s">
        <v>3402</v>
      </c>
      <c r="AO4039" s="185" t="s">
        <v>5150</v>
      </c>
      <c r="AQ4039" s="55" t="s">
        <v>553</v>
      </c>
      <c r="AR4039" s="55" t="s">
        <v>3401</v>
      </c>
      <c r="AS4039" s="55" t="s">
        <v>3471</v>
      </c>
      <c r="AU4039" s="181" t="s">
        <v>7494</v>
      </c>
      <c r="AV4039" s="185" t="s">
        <v>176</v>
      </c>
      <c r="AX4039" s="185" t="s">
        <v>176</v>
      </c>
      <c r="BK4039" s="55" t="s">
        <v>6333</v>
      </c>
      <c r="BM4039" s="192" t="s">
        <v>160</v>
      </c>
      <c r="BU4039" s="55" t="s">
        <v>3410</v>
      </c>
      <c r="BV4039" s="55" t="s">
        <v>3407</v>
      </c>
      <c r="GD4039" s="65">
        <f>1.16*0.1*72</f>
        <v>8.3520000000000003</v>
      </c>
      <c r="GE4039" s="65">
        <f>1.16*0.1*68</f>
        <v>7.8879999999999999</v>
      </c>
      <c r="GH4039" s="65" t="s">
        <v>3413</v>
      </c>
      <c r="GP4039" s="292" t="s">
        <v>7494</v>
      </c>
    </row>
    <row r="4040" spans="1:198" x14ac:dyDescent="0.25">
      <c r="A4040" s="55">
        <v>4039</v>
      </c>
      <c r="B4040" s="12" t="s">
        <v>7067</v>
      </c>
      <c r="C4040" s="155">
        <v>176</v>
      </c>
      <c r="D4040" s="55" t="s">
        <v>3438</v>
      </c>
      <c r="E4040" s="90" t="s">
        <v>3398</v>
      </c>
      <c r="G4040" s="55" t="s">
        <v>3399</v>
      </c>
      <c r="H4040" s="55">
        <v>2015</v>
      </c>
      <c r="I4040" s="55">
        <v>2008</v>
      </c>
      <c r="J4040" s="55" t="s">
        <v>2853</v>
      </c>
      <c r="K4040" s="55" t="s">
        <v>3400</v>
      </c>
      <c r="L4040" s="55" t="s">
        <v>3377</v>
      </c>
      <c r="M4040" s="90">
        <f>36+58/60</f>
        <v>36.966666666666669</v>
      </c>
      <c r="N4040" s="90">
        <f>109+18/60</f>
        <v>109.3</v>
      </c>
      <c r="O4040" s="90">
        <v>1275</v>
      </c>
      <c r="Q4040" s="55">
        <v>8.8000000000000007</v>
      </c>
      <c r="S4040" s="90">
        <v>535</v>
      </c>
      <c r="U4040" s="55" t="s">
        <v>1816</v>
      </c>
      <c r="V4040" s="55" t="s">
        <v>1940</v>
      </c>
      <c r="Y4040" s="55" t="s">
        <v>3403</v>
      </c>
      <c r="Z4040" s="55" t="s">
        <v>3405</v>
      </c>
      <c r="AA4040" s="90" t="s">
        <v>3415</v>
      </c>
      <c r="AD4040" s="90">
        <v>1.1599999999999999</v>
      </c>
      <c r="AE4040" s="90">
        <v>21.05</v>
      </c>
      <c r="AF4040" s="90">
        <v>74.489999999999995</v>
      </c>
      <c r="AH4040" s="55" t="s">
        <v>6378</v>
      </c>
      <c r="AI4040" s="168">
        <v>8.1999999999999993</v>
      </c>
      <c r="AJ4040" s="90">
        <v>0.46500000000000002</v>
      </c>
      <c r="AN4040" s="185" t="s">
        <v>3402</v>
      </c>
      <c r="AO4040" s="185" t="s">
        <v>5150</v>
      </c>
      <c r="AQ4040" s="55" t="s">
        <v>553</v>
      </c>
      <c r="AR4040" s="55" t="s">
        <v>3401</v>
      </c>
      <c r="AS4040" s="55" t="s">
        <v>3471</v>
      </c>
      <c r="AU4040" s="181" t="s">
        <v>7494</v>
      </c>
      <c r="AV4040" s="185" t="s">
        <v>176</v>
      </c>
      <c r="AX4040" s="185" t="s">
        <v>176</v>
      </c>
      <c r="BK4040" s="55" t="s">
        <v>6333</v>
      </c>
      <c r="BM4040" s="192" t="s">
        <v>160</v>
      </c>
      <c r="BU4040" s="55" t="s">
        <v>3411</v>
      </c>
      <c r="BV4040" s="55" t="s">
        <v>3407</v>
      </c>
      <c r="GD4040" s="65">
        <f>1.16*0.1*72</f>
        <v>8.3520000000000003</v>
      </c>
      <c r="GE4040" s="65">
        <f>1.16*0.1*63</f>
        <v>7.3079999999999998</v>
      </c>
      <c r="GH4040" s="65" t="s">
        <v>3413</v>
      </c>
      <c r="GP4040" s="292" t="s">
        <v>7494</v>
      </c>
    </row>
    <row r="4041" spans="1:198" x14ac:dyDescent="0.25">
      <c r="A4041" s="55">
        <v>4040</v>
      </c>
      <c r="B4041" s="12" t="s">
        <v>7067</v>
      </c>
      <c r="C4041" s="155">
        <v>176</v>
      </c>
      <c r="D4041" s="55" t="s">
        <v>3439</v>
      </c>
      <c r="E4041" s="90" t="s">
        <v>3398</v>
      </c>
      <c r="G4041" s="55" t="s">
        <v>3399</v>
      </c>
      <c r="H4041" s="55">
        <v>2015</v>
      </c>
      <c r="I4041" s="55">
        <v>2008</v>
      </c>
      <c r="J4041" s="55" t="s">
        <v>2853</v>
      </c>
      <c r="K4041" s="55" t="s">
        <v>3400</v>
      </c>
      <c r="L4041" s="55" t="s">
        <v>3377</v>
      </c>
      <c r="M4041" s="90">
        <f>36+58/60</f>
        <v>36.966666666666669</v>
      </c>
      <c r="N4041" s="90">
        <f>109+18/60</f>
        <v>109.3</v>
      </c>
      <c r="O4041" s="90">
        <v>1275</v>
      </c>
      <c r="Q4041" s="55">
        <v>8.8000000000000007</v>
      </c>
      <c r="S4041" s="90">
        <v>535</v>
      </c>
      <c r="U4041" s="55" t="s">
        <v>1816</v>
      </c>
      <c r="V4041" s="55" t="s">
        <v>1940</v>
      </c>
      <c r="Y4041" s="55" t="s">
        <v>3403</v>
      </c>
      <c r="Z4041" s="55" t="s">
        <v>3405</v>
      </c>
      <c r="AA4041" s="90" t="s">
        <v>3415</v>
      </c>
      <c r="AD4041" s="90">
        <v>1.1599999999999999</v>
      </c>
      <c r="AE4041" s="90">
        <v>21.05</v>
      </c>
      <c r="AF4041" s="90">
        <v>74.489999999999995</v>
      </c>
      <c r="AH4041" s="55" t="s">
        <v>6378</v>
      </c>
      <c r="AI4041" s="168">
        <v>8.1999999999999993</v>
      </c>
      <c r="AJ4041" s="90">
        <v>0.46500000000000002</v>
      </c>
      <c r="AN4041" s="185" t="s">
        <v>3402</v>
      </c>
      <c r="AO4041" s="185" t="s">
        <v>5150</v>
      </c>
      <c r="AQ4041" s="55" t="s">
        <v>553</v>
      </c>
      <c r="AR4041" s="55" t="s">
        <v>3401</v>
      </c>
      <c r="AS4041" s="55" t="s">
        <v>3471</v>
      </c>
      <c r="AU4041" s="181" t="s">
        <v>7494</v>
      </c>
      <c r="AV4041" s="185" t="s">
        <v>176</v>
      </c>
      <c r="AX4041" s="185" t="s">
        <v>176</v>
      </c>
      <c r="BK4041" s="55" t="s">
        <v>6333</v>
      </c>
      <c r="BM4041" s="192" t="s">
        <v>160</v>
      </c>
      <c r="BU4041" s="55" t="s">
        <v>3412</v>
      </c>
      <c r="BV4041" s="55" t="s">
        <v>3407</v>
      </c>
      <c r="GD4041" s="65">
        <f>1.16*0.1*72</f>
        <v>8.3520000000000003</v>
      </c>
      <c r="GE4041" s="65">
        <f>1.16*0.1*72</f>
        <v>8.3520000000000003</v>
      </c>
      <c r="GH4041" s="65" t="s">
        <v>3413</v>
      </c>
      <c r="GP4041" s="292" t="s">
        <v>7494</v>
      </c>
    </row>
    <row r="4042" spans="1:198" x14ac:dyDescent="0.25">
      <c r="A4042" s="55">
        <v>4041</v>
      </c>
      <c r="B4042" s="12" t="s">
        <v>7067</v>
      </c>
      <c r="C4042" s="155">
        <v>176</v>
      </c>
      <c r="D4042" s="55" t="s">
        <v>3440</v>
      </c>
      <c r="E4042" s="90" t="s">
        <v>3398</v>
      </c>
      <c r="G4042" s="55" t="s">
        <v>3399</v>
      </c>
      <c r="H4042" s="55">
        <v>2015</v>
      </c>
      <c r="I4042" s="55">
        <v>2008</v>
      </c>
      <c r="J4042" s="55" t="s">
        <v>2853</v>
      </c>
      <c r="K4042" s="55" t="s">
        <v>3400</v>
      </c>
      <c r="L4042" s="55" t="s">
        <v>3377</v>
      </c>
      <c r="M4042" s="90">
        <f>36+58/60</f>
        <v>36.966666666666669</v>
      </c>
      <c r="N4042" s="90">
        <f>109+18/60</f>
        <v>109.3</v>
      </c>
      <c r="O4042" s="90">
        <v>1275</v>
      </c>
      <c r="Q4042" s="55">
        <v>8.8000000000000007</v>
      </c>
      <c r="S4042" s="90">
        <v>535</v>
      </c>
      <c r="U4042" s="55" t="s">
        <v>1816</v>
      </c>
      <c r="V4042" s="55" t="s">
        <v>1940</v>
      </c>
      <c r="Y4042" s="55" t="s">
        <v>3403</v>
      </c>
      <c r="Z4042" s="55" t="s">
        <v>1383</v>
      </c>
      <c r="AA4042" s="90" t="s">
        <v>1684</v>
      </c>
      <c r="AD4042" s="90">
        <v>1.1599999999999999</v>
      </c>
      <c r="AE4042" s="90">
        <v>21.05</v>
      </c>
      <c r="AF4042" s="90">
        <v>74.489999999999995</v>
      </c>
      <c r="AH4042" s="55" t="s">
        <v>6378</v>
      </c>
      <c r="AI4042" s="168">
        <v>8.1999999999999993</v>
      </c>
      <c r="AJ4042" s="90">
        <v>0.46500000000000002</v>
      </c>
      <c r="AN4042" s="185" t="s">
        <v>3402</v>
      </c>
      <c r="AO4042" s="185" t="s">
        <v>5150</v>
      </c>
      <c r="AQ4042" s="55" t="s">
        <v>553</v>
      </c>
      <c r="AR4042" s="55" t="s">
        <v>3401</v>
      </c>
      <c r="AS4042" s="55" t="s">
        <v>3471</v>
      </c>
      <c r="AU4042" s="181" t="s">
        <v>7494</v>
      </c>
      <c r="AV4042" s="185" t="s">
        <v>176</v>
      </c>
      <c r="AX4042" s="185" t="s">
        <v>176</v>
      </c>
      <c r="BK4042" s="55" t="s">
        <v>6333</v>
      </c>
      <c r="BM4042" s="192" t="s">
        <v>160</v>
      </c>
      <c r="BU4042" s="55" t="s">
        <v>3410</v>
      </c>
      <c r="BV4042" s="55" t="s">
        <v>3408</v>
      </c>
      <c r="GD4042" s="65">
        <f>1.16*0.1*128</f>
        <v>14.847999999999999</v>
      </c>
      <c r="GE4042" s="65">
        <f>1.16*0.1*118</f>
        <v>13.687999999999999</v>
      </c>
      <c r="GH4042" s="65" t="s">
        <v>3413</v>
      </c>
      <c r="GP4042" s="292" t="s">
        <v>7494</v>
      </c>
    </row>
    <row r="4043" spans="1:198" x14ac:dyDescent="0.25">
      <c r="A4043" s="55">
        <v>4042</v>
      </c>
      <c r="B4043" s="12" t="s">
        <v>7067</v>
      </c>
      <c r="C4043" s="155">
        <v>176</v>
      </c>
      <c r="D4043" s="55" t="s">
        <v>3441</v>
      </c>
      <c r="E4043" s="90" t="s">
        <v>3398</v>
      </c>
      <c r="G4043" s="55" t="s">
        <v>3399</v>
      </c>
      <c r="H4043" s="55">
        <v>2015</v>
      </c>
      <c r="I4043" s="55">
        <v>2008</v>
      </c>
      <c r="J4043" s="55" t="s">
        <v>2853</v>
      </c>
      <c r="K4043" s="55" t="s">
        <v>3400</v>
      </c>
      <c r="L4043" s="55" t="s">
        <v>3377</v>
      </c>
      <c r="M4043" s="90">
        <f>36+58/60</f>
        <v>36.966666666666669</v>
      </c>
      <c r="N4043" s="90">
        <f>109+18/60</f>
        <v>109.3</v>
      </c>
      <c r="O4043" s="90">
        <v>1275</v>
      </c>
      <c r="Q4043" s="55">
        <v>8.8000000000000007</v>
      </c>
      <c r="S4043" s="90">
        <v>535</v>
      </c>
      <c r="U4043" s="55" t="s">
        <v>1816</v>
      </c>
      <c r="V4043" s="55" t="s">
        <v>1940</v>
      </c>
      <c r="Y4043" s="55" t="s">
        <v>3403</v>
      </c>
      <c r="Z4043" s="55" t="s">
        <v>1383</v>
      </c>
      <c r="AA4043" s="90" t="s">
        <v>1684</v>
      </c>
      <c r="AD4043" s="90">
        <v>1.1599999999999999</v>
      </c>
      <c r="AE4043" s="90">
        <v>21.05</v>
      </c>
      <c r="AF4043" s="90">
        <v>74.489999999999995</v>
      </c>
      <c r="AH4043" s="55" t="s">
        <v>6378</v>
      </c>
      <c r="AI4043" s="168">
        <v>8.1999999999999993</v>
      </c>
      <c r="AJ4043" s="90">
        <v>0.46500000000000002</v>
      </c>
      <c r="AN4043" s="185" t="s">
        <v>3402</v>
      </c>
      <c r="AO4043" s="185" t="s">
        <v>5150</v>
      </c>
      <c r="AQ4043" s="55" t="s">
        <v>553</v>
      </c>
      <c r="AR4043" s="55" t="s">
        <v>3401</v>
      </c>
      <c r="AS4043" s="55" t="s">
        <v>3471</v>
      </c>
      <c r="AU4043" s="181" t="s">
        <v>7494</v>
      </c>
      <c r="AV4043" s="185" t="s">
        <v>176</v>
      </c>
      <c r="AX4043" s="185" t="s">
        <v>176</v>
      </c>
      <c r="BK4043" s="55" t="s">
        <v>6333</v>
      </c>
      <c r="BM4043" s="192" t="s">
        <v>160</v>
      </c>
      <c r="BU4043" s="55" t="s">
        <v>3411</v>
      </c>
      <c r="BV4043" s="55" t="s">
        <v>3408</v>
      </c>
      <c r="GD4043" s="65">
        <f>1.16*0.1*128</f>
        <v>14.847999999999999</v>
      </c>
      <c r="GE4043" s="65">
        <f>1.16*0.1*109</f>
        <v>12.643999999999998</v>
      </c>
      <c r="GH4043" s="65" t="s">
        <v>3413</v>
      </c>
      <c r="GP4043" s="292" t="s">
        <v>7494</v>
      </c>
    </row>
    <row r="4044" spans="1:198" x14ac:dyDescent="0.25">
      <c r="A4044" s="55">
        <v>4043</v>
      </c>
      <c r="B4044" s="12" t="s">
        <v>7067</v>
      </c>
      <c r="C4044" s="155">
        <v>176</v>
      </c>
      <c r="D4044" s="55" t="s">
        <v>3442</v>
      </c>
      <c r="E4044" s="90" t="s">
        <v>3398</v>
      </c>
      <c r="G4044" s="55" t="s">
        <v>3399</v>
      </c>
      <c r="H4044" s="55">
        <v>2015</v>
      </c>
      <c r="I4044" s="55">
        <v>2008</v>
      </c>
      <c r="J4044" s="55" t="s">
        <v>2853</v>
      </c>
      <c r="K4044" s="55" t="s">
        <v>3400</v>
      </c>
      <c r="L4044" s="55" t="s">
        <v>3377</v>
      </c>
      <c r="M4044" s="90">
        <f>36+58/60</f>
        <v>36.966666666666669</v>
      </c>
      <c r="N4044" s="90">
        <f>109+18/60</f>
        <v>109.3</v>
      </c>
      <c r="O4044" s="90">
        <v>1275</v>
      </c>
      <c r="Q4044" s="55">
        <v>8.8000000000000007</v>
      </c>
      <c r="S4044" s="90">
        <v>535</v>
      </c>
      <c r="U4044" s="55" t="s">
        <v>1816</v>
      </c>
      <c r="V4044" s="55" t="s">
        <v>1940</v>
      </c>
      <c r="Y4044" s="55" t="s">
        <v>3403</v>
      </c>
      <c r="Z4044" s="55" t="s">
        <v>1383</v>
      </c>
      <c r="AA4044" s="90" t="s">
        <v>1684</v>
      </c>
      <c r="AD4044" s="90">
        <v>1.1599999999999999</v>
      </c>
      <c r="AE4044" s="90">
        <v>21.05</v>
      </c>
      <c r="AF4044" s="90">
        <v>74.489999999999995</v>
      </c>
      <c r="AH4044" s="55" t="s">
        <v>6378</v>
      </c>
      <c r="AI4044" s="168">
        <v>8.1999999999999993</v>
      </c>
      <c r="AJ4044" s="90">
        <v>0.46500000000000002</v>
      </c>
      <c r="AN4044" s="185" t="s">
        <v>3402</v>
      </c>
      <c r="AO4044" s="185" t="s">
        <v>5150</v>
      </c>
      <c r="AQ4044" s="55" t="s">
        <v>553</v>
      </c>
      <c r="AR4044" s="55" t="s">
        <v>3401</v>
      </c>
      <c r="AS4044" s="55" t="s">
        <v>3471</v>
      </c>
      <c r="AU4044" s="181" t="s">
        <v>7494</v>
      </c>
      <c r="AV4044" s="185" t="s">
        <v>176</v>
      </c>
      <c r="AX4044" s="185" t="s">
        <v>176</v>
      </c>
      <c r="BK4044" s="55" t="s">
        <v>6333</v>
      </c>
      <c r="BM4044" s="192" t="s">
        <v>160</v>
      </c>
      <c r="BU4044" s="55" t="s">
        <v>3412</v>
      </c>
      <c r="BV4044" s="55" t="s">
        <v>3408</v>
      </c>
      <c r="GD4044" s="65">
        <f>1.16*0.1*128</f>
        <v>14.847999999999999</v>
      </c>
      <c r="GE4044" s="65">
        <f>1.16*0.1*137</f>
        <v>15.891999999999999</v>
      </c>
      <c r="GH4044" s="65" t="s">
        <v>3413</v>
      </c>
      <c r="GP4044" s="292" t="s">
        <v>7494</v>
      </c>
    </row>
    <row r="4045" spans="1:198" x14ac:dyDescent="0.25">
      <c r="A4045" s="55">
        <v>4044</v>
      </c>
      <c r="B4045" s="12" t="s">
        <v>7067</v>
      </c>
      <c r="C4045" s="155">
        <v>176</v>
      </c>
      <c r="D4045" s="55" t="s">
        <v>3443</v>
      </c>
      <c r="E4045" s="90" t="s">
        <v>3398</v>
      </c>
      <c r="G4045" s="55" t="s">
        <v>3399</v>
      </c>
      <c r="H4045" s="55">
        <v>2015</v>
      </c>
      <c r="I4045" s="55">
        <v>2008</v>
      </c>
      <c r="J4045" s="55" t="s">
        <v>2853</v>
      </c>
      <c r="K4045" s="55" t="s">
        <v>3400</v>
      </c>
      <c r="L4045" s="55" t="s">
        <v>3377</v>
      </c>
      <c r="M4045" s="90">
        <f>36+58/60</f>
        <v>36.966666666666669</v>
      </c>
      <c r="N4045" s="90">
        <f>109+18/60</f>
        <v>109.3</v>
      </c>
      <c r="O4045" s="90">
        <v>1275</v>
      </c>
      <c r="Q4045" s="55">
        <v>8.8000000000000007</v>
      </c>
      <c r="S4045" s="90">
        <v>535</v>
      </c>
      <c r="U4045" s="55" t="s">
        <v>1816</v>
      </c>
      <c r="V4045" s="55" t="s">
        <v>1940</v>
      </c>
      <c r="Y4045" s="55" t="s">
        <v>3403</v>
      </c>
      <c r="Z4045" s="55" t="s">
        <v>3404</v>
      </c>
      <c r="AA4045" s="90" t="s">
        <v>3414</v>
      </c>
      <c r="AD4045" s="90">
        <v>1.1599999999999999</v>
      </c>
      <c r="AE4045" s="90">
        <v>21.05</v>
      </c>
      <c r="AF4045" s="90">
        <v>74.489999999999995</v>
      </c>
      <c r="AH4045" s="55" t="s">
        <v>6378</v>
      </c>
      <c r="AI4045" s="168">
        <v>8.1999999999999993</v>
      </c>
      <c r="AJ4045" s="90">
        <v>0.46500000000000002</v>
      </c>
      <c r="AN4045" s="185" t="s">
        <v>3402</v>
      </c>
      <c r="AO4045" s="185" t="s">
        <v>5150</v>
      </c>
      <c r="AQ4045" s="55" t="s">
        <v>553</v>
      </c>
      <c r="AR4045" s="55" t="s">
        <v>3401</v>
      </c>
      <c r="AS4045" s="55" t="s">
        <v>3471</v>
      </c>
      <c r="AU4045" s="181" t="s">
        <v>7494</v>
      </c>
      <c r="AV4045" s="185" t="s">
        <v>176</v>
      </c>
      <c r="AX4045" s="185" t="s">
        <v>176</v>
      </c>
      <c r="BK4045" s="55" t="s">
        <v>6333</v>
      </c>
      <c r="BM4045" s="192" t="s">
        <v>160</v>
      </c>
      <c r="BU4045" s="55" t="s">
        <v>3410</v>
      </c>
      <c r="BV4045" s="55" t="s">
        <v>3408</v>
      </c>
      <c r="GD4045" s="65">
        <f>1.16*0.1*71</f>
        <v>8.2359999999999989</v>
      </c>
      <c r="GE4045" s="65">
        <f>1.16*0.1*67</f>
        <v>7.7719999999999994</v>
      </c>
      <c r="GH4045" s="65" t="s">
        <v>3413</v>
      </c>
      <c r="GP4045" s="292" t="s">
        <v>7494</v>
      </c>
    </row>
    <row r="4046" spans="1:198" x14ac:dyDescent="0.25">
      <c r="A4046" s="55">
        <v>4045</v>
      </c>
      <c r="B4046" s="12" t="s">
        <v>7067</v>
      </c>
      <c r="C4046" s="155">
        <v>176</v>
      </c>
      <c r="D4046" s="55" t="s">
        <v>3444</v>
      </c>
      <c r="E4046" s="90" t="s">
        <v>3398</v>
      </c>
      <c r="G4046" s="55" t="s">
        <v>3399</v>
      </c>
      <c r="H4046" s="55">
        <v>2015</v>
      </c>
      <c r="I4046" s="55">
        <v>2008</v>
      </c>
      <c r="J4046" s="55" t="s">
        <v>2853</v>
      </c>
      <c r="K4046" s="55" t="s">
        <v>3400</v>
      </c>
      <c r="L4046" s="55" t="s">
        <v>3377</v>
      </c>
      <c r="M4046" s="90">
        <f>36+58/60</f>
        <v>36.966666666666669</v>
      </c>
      <c r="N4046" s="90">
        <f>109+18/60</f>
        <v>109.3</v>
      </c>
      <c r="O4046" s="90">
        <v>1275</v>
      </c>
      <c r="Q4046" s="55">
        <v>8.8000000000000007</v>
      </c>
      <c r="S4046" s="90">
        <v>535</v>
      </c>
      <c r="U4046" s="55" t="s">
        <v>1816</v>
      </c>
      <c r="V4046" s="55" t="s">
        <v>1940</v>
      </c>
      <c r="Y4046" s="55" t="s">
        <v>3403</v>
      </c>
      <c r="Z4046" s="55" t="s">
        <v>3404</v>
      </c>
      <c r="AA4046" s="90" t="s">
        <v>3414</v>
      </c>
      <c r="AD4046" s="90">
        <v>1.1599999999999999</v>
      </c>
      <c r="AE4046" s="90">
        <v>21.05</v>
      </c>
      <c r="AF4046" s="90">
        <v>74.489999999999995</v>
      </c>
      <c r="AH4046" s="55" t="s">
        <v>6378</v>
      </c>
      <c r="AI4046" s="168">
        <v>8.1999999999999993</v>
      </c>
      <c r="AJ4046" s="90">
        <v>0.46500000000000002</v>
      </c>
      <c r="AN4046" s="185" t="s">
        <v>3402</v>
      </c>
      <c r="AO4046" s="185" t="s">
        <v>5150</v>
      </c>
      <c r="AQ4046" s="55" t="s">
        <v>553</v>
      </c>
      <c r="AR4046" s="55" t="s">
        <v>3401</v>
      </c>
      <c r="AS4046" s="55" t="s">
        <v>3471</v>
      </c>
      <c r="AU4046" s="181" t="s">
        <v>7494</v>
      </c>
      <c r="AV4046" s="185" t="s">
        <v>176</v>
      </c>
      <c r="AX4046" s="185" t="s">
        <v>176</v>
      </c>
      <c r="BK4046" s="55" t="s">
        <v>6333</v>
      </c>
      <c r="BM4046" s="192" t="s">
        <v>160</v>
      </c>
      <c r="BU4046" s="55" t="s">
        <v>3411</v>
      </c>
      <c r="BV4046" s="55" t="s">
        <v>3408</v>
      </c>
      <c r="GD4046" s="65">
        <f>1.16*0.1*71</f>
        <v>8.2359999999999989</v>
      </c>
      <c r="GE4046" s="65">
        <f>1.16*0.1*63</f>
        <v>7.3079999999999998</v>
      </c>
      <c r="GH4046" s="65" t="s">
        <v>3413</v>
      </c>
      <c r="GP4046" s="292" t="s">
        <v>7494</v>
      </c>
    </row>
    <row r="4047" spans="1:198" x14ac:dyDescent="0.25">
      <c r="A4047" s="55">
        <v>4046</v>
      </c>
      <c r="B4047" s="12" t="s">
        <v>7067</v>
      </c>
      <c r="C4047" s="155">
        <v>176</v>
      </c>
      <c r="D4047" s="55" t="s">
        <v>3445</v>
      </c>
      <c r="E4047" s="90" t="s">
        <v>3398</v>
      </c>
      <c r="G4047" s="55" t="s">
        <v>3399</v>
      </c>
      <c r="H4047" s="55">
        <v>2015</v>
      </c>
      <c r="I4047" s="55">
        <v>2008</v>
      </c>
      <c r="J4047" s="55" t="s">
        <v>2853</v>
      </c>
      <c r="K4047" s="55" t="s">
        <v>3400</v>
      </c>
      <c r="L4047" s="55" t="s">
        <v>3377</v>
      </c>
      <c r="M4047" s="90">
        <f>36+58/60</f>
        <v>36.966666666666669</v>
      </c>
      <c r="N4047" s="90">
        <f>109+18/60</f>
        <v>109.3</v>
      </c>
      <c r="O4047" s="90">
        <v>1275</v>
      </c>
      <c r="Q4047" s="55">
        <v>8.8000000000000007</v>
      </c>
      <c r="S4047" s="90">
        <v>535</v>
      </c>
      <c r="U4047" s="55" t="s">
        <v>1816</v>
      </c>
      <c r="V4047" s="55" t="s">
        <v>1940</v>
      </c>
      <c r="Y4047" s="55" t="s">
        <v>3403</v>
      </c>
      <c r="Z4047" s="55" t="s">
        <v>3404</v>
      </c>
      <c r="AA4047" s="90" t="s">
        <v>3414</v>
      </c>
      <c r="AD4047" s="90">
        <v>1.1599999999999999</v>
      </c>
      <c r="AE4047" s="90">
        <v>21.05</v>
      </c>
      <c r="AF4047" s="90">
        <v>74.489999999999995</v>
      </c>
      <c r="AH4047" s="55" t="s">
        <v>6378</v>
      </c>
      <c r="AI4047" s="168">
        <v>8.1999999999999993</v>
      </c>
      <c r="AJ4047" s="90">
        <v>0.46500000000000002</v>
      </c>
      <c r="AN4047" s="185" t="s">
        <v>3402</v>
      </c>
      <c r="AO4047" s="185" t="s">
        <v>5150</v>
      </c>
      <c r="AQ4047" s="55" t="s">
        <v>553</v>
      </c>
      <c r="AR4047" s="55" t="s">
        <v>3401</v>
      </c>
      <c r="AS4047" s="55" t="s">
        <v>3471</v>
      </c>
      <c r="AU4047" s="181" t="s">
        <v>7494</v>
      </c>
      <c r="AV4047" s="185" t="s">
        <v>176</v>
      </c>
      <c r="AX4047" s="185" t="s">
        <v>176</v>
      </c>
      <c r="BK4047" s="55" t="s">
        <v>6333</v>
      </c>
      <c r="BM4047" s="192" t="s">
        <v>160</v>
      </c>
      <c r="BU4047" s="55" t="s">
        <v>3412</v>
      </c>
      <c r="BV4047" s="55" t="s">
        <v>3408</v>
      </c>
      <c r="GD4047" s="65">
        <f>1.16*0.1*71</f>
        <v>8.2359999999999989</v>
      </c>
      <c r="GE4047" s="65">
        <f>1.16*0.1*73</f>
        <v>8.468</v>
      </c>
      <c r="GH4047" s="65" t="s">
        <v>3413</v>
      </c>
      <c r="GP4047" s="292" t="s">
        <v>7494</v>
      </c>
    </row>
    <row r="4048" spans="1:198" x14ac:dyDescent="0.25">
      <c r="A4048" s="55">
        <v>4047</v>
      </c>
      <c r="B4048" s="12" t="s">
        <v>7067</v>
      </c>
      <c r="C4048" s="155">
        <v>176</v>
      </c>
      <c r="D4048" s="55" t="s">
        <v>3446</v>
      </c>
      <c r="E4048" s="90" t="s">
        <v>3398</v>
      </c>
      <c r="G4048" s="55" t="s">
        <v>3399</v>
      </c>
      <c r="H4048" s="55">
        <v>2015</v>
      </c>
      <c r="I4048" s="55">
        <v>2008</v>
      </c>
      <c r="J4048" s="55" t="s">
        <v>2853</v>
      </c>
      <c r="K4048" s="55" t="s">
        <v>3400</v>
      </c>
      <c r="L4048" s="55" t="s">
        <v>3377</v>
      </c>
      <c r="M4048" s="90">
        <f>36+58/60</f>
        <v>36.966666666666669</v>
      </c>
      <c r="N4048" s="90">
        <f>109+18/60</f>
        <v>109.3</v>
      </c>
      <c r="O4048" s="90">
        <v>1275</v>
      </c>
      <c r="Q4048" s="55">
        <v>8.8000000000000007</v>
      </c>
      <c r="S4048" s="90">
        <v>535</v>
      </c>
      <c r="U4048" s="55" t="s">
        <v>1816</v>
      </c>
      <c r="V4048" s="55" t="s">
        <v>1940</v>
      </c>
      <c r="Y4048" s="55" t="s">
        <v>3403</v>
      </c>
      <c r="Z4048" s="55" t="s">
        <v>3405</v>
      </c>
      <c r="AA4048" s="90" t="s">
        <v>3415</v>
      </c>
      <c r="AD4048" s="90">
        <v>1.1599999999999999</v>
      </c>
      <c r="AE4048" s="90">
        <v>21.05</v>
      </c>
      <c r="AF4048" s="90">
        <v>74.489999999999995</v>
      </c>
      <c r="AH4048" s="55" t="s">
        <v>6378</v>
      </c>
      <c r="AI4048" s="168">
        <v>8.1999999999999993</v>
      </c>
      <c r="AJ4048" s="90">
        <v>0.46500000000000002</v>
      </c>
      <c r="AN4048" s="185" t="s">
        <v>3402</v>
      </c>
      <c r="AO4048" s="185" t="s">
        <v>5150</v>
      </c>
      <c r="AQ4048" s="55" t="s">
        <v>553</v>
      </c>
      <c r="AR4048" s="55" t="s">
        <v>3401</v>
      </c>
      <c r="AS4048" s="55" t="s">
        <v>3471</v>
      </c>
      <c r="AU4048" s="181" t="s">
        <v>7494</v>
      </c>
      <c r="AV4048" s="185" t="s">
        <v>176</v>
      </c>
      <c r="AX4048" s="185" t="s">
        <v>176</v>
      </c>
      <c r="BK4048" s="55" t="s">
        <v>6333</v>
      </c>
      <c r="BM4048" s="192" t="s">
        <v>160</v>
      </c>
      <c r="BU4048" s="55" t="s">
        <v>3410</v>
      </c>
      <c r="BV4048" s="55" t="s">
        <v>3408</v>
      </c>
      <c r="GD4048" s="65">
        <f>1.16*0.1*72</f>
        <v>8.3520000000000003</v>
      </c>
      <c r="GE4048" s="65">
        <f>1.16*0.1*68</f>
        <v>7.8879999999999999</v>
      </c>
      <c r="GH4048" s="65" t="s">
        <v>3413</v>
      </c>
      <c r="GP4048" s="292" t="s">
        <v>7494</v>
      </c>
    </row>
    <row r="4049" spans="1:198" x14ac:dyDescent="0.25">
      <c r="A4049" s="55">
        <v>4048</v>
      </c>
      <c r="B4049" s="12" t="s">
        <v>7067</v>
      </c>
      <c r="C4049" s="155">
        <v>176</v>
      </c>
      <c r="D4049" s="55" t="s">
        <v>3447</v>
      </c>
      <c r="E4049" s="90" t="s">
        <v>3398</v>
      </c>
      <c r="G4049" s="55" t="s">
        <v>3399</v>
      </c>
      <c r="H4049" s="55">
        <v>2015</v>
      </c>
      <c r="I4049" s="55">
        <v>2008</v>
      </c>
      <c r="J4049" s="55" t="s">
        <v>2853</v>
      </c>
      <c r="K4049" s="55" t="s">
        <v>3400</v>
      </c>
      <c r="L4049" s="55" t="s">
        <v>3377</v>
      </c>
      <c r="M4049" s="90">
        <f>36+58/60</f>
        <v>36.966666666666669</v>
      </c>
      <c r="N4049" s="90">
        <f>109+18/60</f>
        <v>109.3</v>
      </c>
      <c r="O4049" s="90">
        <v>1275</v>
      </c>
      <c r="Q4049" s="55">
        <v>8.8000000000000007</v>
      </c>
      <c r="S4049" s="90">
        <v>535</v>
      </c>
      <c r="U4049" s="55" t="s">
        <v>1816</v>
      </c>
      <c r="V4049" s="55" t="s">
        <v>1940</v>
      </c>
      <c r="Y4049" s="55" t="s">
        <v>3403</v>
      </c>
      <c r="Z4049" s="55" t="s">
        <v>3405</v>
      </c>
      <c r="AA4049" s="90" t="s">
        <v>3415</v>
      </c>
      <c r="AD4049" s="90">
        <v>1.1599999999999999</v>
      </c>
      <c r="AE4049" s="90">
        <v>21.05</v>
      </c>
      <c r="AF4049" s="90">
        <v>74.489999999999995</v>
      </c>
      <c r="AH4049" s="55" t="s">
        <v>6378</v>
      </c>
      <c r="AI4049" s="168">
        <v>8.1999999999999993</v>
      </c>
      <c r="AJ4049" s="90">
        <v>0.46500000000000002</v>
      </c>
      <c r="AN4049" s="185" t="s">
        <v>3402</v>
      </c>
      <c r="AO4049" s="185" t="s">
        <v>5150</v>
      </c>
      <c r="AQ4049" s="55" t="s">
        <v>553</v>
      </c>
      <c r="AR4049" s="55" t="s">
        <v>3401</v>
      </c>
      <c r="AS4049" s="55" t="s">
        <v>3471</v>
      </c>
      <c r="AU4049" s="181" t="s">
        <v>7494</v>
      </c>
      <c r="AV4049" s="185" t="s">
        <v>176</v>
      </c>
      <c r="AX4049" s="185" t="s">
        <v>176</v>
      </c>
      <c r="BK4049" s="55" t="s">
        <v>6333</v>
      </c>
      <c r="BM4049" s="192" t="s">
        <v>160</v>
      </c>
      <c r="BU4049" s="55" t="s">
        <v>3411</v>
      </c>
      <c r="BV4049" s="55" t="s">
        <v>3408</v>
      </c>
      <c r="GD4049" s="65">
        <f>1.16*0.1*72</f>
        <v>8.3520000000000003</v>
      </c>
      <c r="GE4049" s="65">
        <f>1.16*0.1*63</f>
        <v>7.3079999999999998</v>
      </c>
      <c r="GH4049" s="65" t="s">
        <v>3413</v>
      </c>
      <c r="GP4049" s="292" t="s">
        <v>7494</v>
      </c>
    </row>
    <row r="4050" spans="1:198" x14ac:dyDescent="0.25">
      <c r="A4050" s="55">
        <v>4049</v>
      </c>
      <c r="B4050" s="12" t="s">
        <v>7067</v>
      </c>
      <c r="C4050" s="155">
        <v>176</v>
      </c>
      <c r="D4050" s="55" t="s">
        <v>3448</v>
      </c>
      <c r="E4050" s="90" t="s">
        <v>3398</v>
      </c>
      <c r="G4050" s="55" t="s">
        <v>3399</v>
      </c>
      <c r="H4050" s="55">
        <v>2015</v>
      </c>
      <c r="I4050" s="55">
        <v>2008</v>
      </c>
      <c r="J4050" s="55" t="s">
        <v>2853</v>
      </c>
      <c r="K4050" s="55" t="s">
        <v>3400</v>
      </c>
      <c r="L4050" s="55" t="s">
        <v>3377</v>
      </c>
      <c r="M4050" s="90">
        <f>36+58/60</f>
        <v>36.966666666666669</v>
      </c>
      <c r="N4050" s="90">
        <f>109+18/60</f>
        <v>109.3</v>
      </c>
      <c r="O4050" s="90">
        <v>1275</v>
      </c>
      <c r="Q4050" s="55">
        <v>8.8000000000000007</v>
      </c>
      <c r="S4050" s="90">
        <v>535</v>
      </c>
      <c r="U4050" s="55" t="s">
        <v>1816</v>
      </c>
      <c r="V4050" s="55" t="s">
        <v>1940</v>
      </c>
      <c r="Y4050" s="55" t="s">
        <v>3403</v>
      </c>
      <c r="Z4050" s="55" t="s">
        <v>3405</v>
      </c>
      <c r="AA4050" s="90" t="s">
        <v>3415</v>
      </c>
      <c r="AD4050" s="90">
        <v>1.1599999999999999</v>
      </c>
      <c r="AE4050" s="90">
        <v>21.05</v>
      </c>
      <c r="AF4050" s="90">
        <v>74.489999999999995</v>
      </c>
      <c r="AH4050" s="55" t="s">
        <v>6378</v>
      </c>
      <c r="AI4050" s="168">
        <v>8.1999999999999993</v>
      </c>
      <c r="AJ4050" s="90">
        <v>0.46500000000000002</v>
      </c>
      <c r="AN4050" s="185" t="s">
        <v>3402</v>
      </c>
      <c r="AO4050" s="185" t="s">
        <v>5150</v>
      </c>
      <c r="AQ4050" s="55" t="s">
        <v>553</v>
      </c>
      <c r="AR4050" s="55" t="s">
        <v>3401</v>
      </c>
      <c r="AS4050" s="55" t="s">
        <v>3471</v>
      </c>
      <c r="AU4050" s="181" t="s">
        <v>7494</v>
      </c>
      <c r="AV4050" s="185" t="s">
        <v>176</v>
      </c>
      <c r="AX4050" s="185" t="s">
        <v>176</v>
      </c>
      <c r="BK4050" s="55" t="s">
        <v>6333</v>
      </c>
      <c r="BM4050" s="192" t="s">
        <v>160</v>
      </c>
      <c r="BU4050" s="55" t="s">
        <v>3412</v>
      </c>
      <c r="BV4050" s="55" t="s">
        <v>3408</v>
      </c>
      <c r="GD4050" s="65">
        <f>1.16*0.1*72</f>
        <v>8.3520000000000003</v>
      </c>
      <c r="GE4050" s="65">
        <f>1.16*0.1*72</f>
        <v>8.3520000000000003</v>
      </c>
      <c r="GH4050" s="65" t="s">
        <v>3413</v>
      </c>
      <c r="GP4050" s="292" t="s">
        <v>7494</v>
      </c>
    </row>
    <row r="4051" spans="1:198" x14ac:dyDescent="0.25">
      <c r="A4051" s="55">
        <v>4050</v>
      </c>
      <c r="B4051" s="12" t="s">
        <v>7067</v>
      </c>
      <c r="C4051" s="155">
        <v>176</v>
      </c>
      <c r="D4051" s="55" t="s">
        <v>3449</v>
      </c>
      <c r="E4051" s="90" t="s">
        <v>3398</v>
      </c>
      <c r="G4051" s="55" t="s">
        <v>3399</v>
      </c>
      <c r="H4051" s="55">
        <v>2015</v>
      </c>
      <c r="I4051" s="55">
        <v>2008</v>
      </c>
      <c r="J4051" s="55" t="s">
        <v>2853</v>
      </c>
      <c r="K4051" s="55" t="s">
        <v>3400</v>
      </c>
      <c r="L4051" s="55" t="s">
        <v>3377</v>
      </c>
      <c r="M4051" s="90">
        <f>36+58/60</f>
        <v>36.966666666666669</v>
      </c>
      <c r="N4051" s="90">
        <f>109+18/60</f>
        <v>109.3</v>
      </c>
      <c r="O4051" s="90">
        <v>1275</v>
      </c>
      <c r="Q4051" s="55">
        <v>8.8000000000000007</v>
      </c>
      <c r="S4051" s="90">
        <v>535</v>
      </c>
      <c r="U4051" s="55" t="s">
        <v>1816</v>
      </c>
      <c r="V4051" s="55" t="s">
        <v>1940</v>
      </c>
      <c r="Y4051" s="55" t="s">
        <v>3403</v>
      </c>
      <c r="Z4051" s="55" t="s">
        <v>1383</v>
      </c>
      <c r="AA4051" s="90" t="s">
        <v>1684</v>
      </c>
      <c r="AD4051" s="90">
        <v>1.1599999999999999</v>
      </c>
      <c r="AE4051" s="90">
        <v>21.05</v>
      </c>
      <c r="AF4051" s="90">
        <v>74.489999999999995</v>
      </c>
      <c r="AH4051" s="55" t="s">
        <v>6378</v>
      </c>
      <c r="AI4051" s="168">
        <v>8.1999999999999993</v>
      </c>
      <c r="AJ4051" s="90">
        <v>0.46500000000000002</v>
      </c>
      <c r="AN4051" s="185" t="s">
        <v>3402</v>
      </c>
      <c r="AO4051" s="185" t="s">
        <v>5150</v>
      </c>
      <c r="AQ4051" s="55" t="s">
        <v>553</v>
      </c>
      <c r="AR4051" s="55" t="s">
        <v>3401</v>
      </c>
      <c r="AS4051" s="55" t="s">
        <v>3471</v>
      </c>
      <c r="AU4051" s="181" t="s">
        <v>7494</v>
      </c>
      <c r="AV4051" s="185" t="s">
        <v>176</v>
      </c>
      <c r="AX4051" s="185" t="s">
        <v>176</v>
      </c>
      <c r="BK4051" s="55" t="s">
        <v>6333</v>
      </c>
      <c r="BM4051" s="192" t="s">
        <v>160</v>
      </c>
      <c r="BU4051" s="55" t="s">
        <v>3410</v>
      </c>
      <c r="BV4051" s="55" t="s">
        <v>3409</v>
      </c>
      <c r="GD4051" s="65">
        <v>13.34</v>
      </c>
      <c r="GE4051" s="65">
        <f>1.16*0.1*106</f>
        <v>12.295999999999999</v>
      </c>
      <c r="GH4051" s="65" t="s">
        <v>3413</v>
      </c>
      <c r="GP4051" s="292" t="s">
        <v>7494</v>
      </c>
    </row>
    <row r="4052" spans="1:198" x14ac:dyDescent="0.25">
      <c r="A4052" s="55">
        <v>4051</v>
      </c>
      <c r="B4052" s="12" t="s">
        <v>7067</v>
      </c>
      <c r="C4052" s="155">
        <v>176</v>
      </c>
      <c r="D4052" s="55" t="s">
        <v>3450</v>
      </c>
      <c r="E4052" s="90" t="s">
        <v>3398</v>
      </c>
      <c r="G4052" s="55" t="s">
        <v>3399</v>
      </c>
      <c r="H4052" s="55">
        <v>2015</v>
      </c>
      <c r="I4052" s="55">
        <v>2008</v>
      </c>
      <c r="J4052" s="55" t="s">
        <v>2853</v>
      </c>
      <c r="K4052" s="55" t="s">
        <v>3400</v>
      </c>
      <c r="L4052" s="55" t="s">
        <v>3377</v>
      </c>
      <c r="M4052" s="90">
        <f>36+58/60</f>
        <v>36.966666666666669</v>
      </c>
      <c r="N4052" s="90">
        <f>109+18/60</f>
        <v>109.3</v>
      </c>
      <c r="O4052" s="90">
        <v>1275</v>
      </c>
      <c r="Q4052" s="55">
        <v>8.8000000000000007</v>
      </c>
      <c r="S4052" s="90">
        <v>535</v>
      </c>
      <c r="U4052" s="55" t="s">
        <v>1816</v>
      </c>
      <c r="V4052" s="55" t="s">
        <v>1940</v>
      </c>
      <c r="Y4052" s="55" t="s">
        <v>3403</v>
      </c>
      <c r="Z4052" s="55" t="s">
        <v>1383</v>
      </c>
      <c r="AA4052" s="90" t="s">
        <v>1684</v>
      </c>
      <c r="AD4052" s="90">
        <v>1.1599999999999999</v>
      </c>
      <c r="AE4052" s="90">
        <v>21.05</v>
      </c>
      <c r="AF4052" s="90">
        <v>74.489999999999995</v>
      </c>
      <c r="AH4052" s="55" t="s">
        <v>6378</v>
      </c>
      <c r="AI4052" s="168">
        <v>8.1999999999999993</v>
      </c>
      <c r="AJ4052" s="90">
        <v>0.46500000000000002</v>
      </c>
      <c r="AN4052" s="185" t="s">
        <v>3402</v>
      </c>
      <c r="AO4052" s="185" t="s">
        <v>5150</v>
      </c>
      <c r="AQ4052" s="55" t="s">
        <v>553</v>
      </c>
      <c r="AR4052" s="55" t="s">
        <v>3401</v>
      </c>
      <c r="AS4052" s="55" t="s">
        <v>3471</v>
      </c>
      <c r="AU4052" s="181" t="s">
        <v>7494</v>
      </c>
      <c r="AV4052" s="185" t="s">
        <v>176</v>
      </c>
      <c r="AX4052" s="185" t="s">
        <v>176</v>
      </c>
      <c r="BK4052" s="55" t="s">
        <v>6333</v>
      </c>
      <c r="BM4052" s="192" t="s">
        <v>160</v>
      </c>
      <c r="BU4052" s="55" t="s">
        <v>3411</v>
      </c>
      <c r="BV4052" s="55" t="s">
        <v>3409</v>
      </c>
      <c r="GD4052" s="65">
        <v>13.34</v>
      </c>
      <c r="GE4052" s="65">
        <f>1.16*0.1*100</f>
        <v>11.6</v>
      </c>
      <c r="GH4052" s="65" t="s">
        <v>3413</v>
      </c>
      <c r="GP4052" s="292" t="s">
        <v>7494</v>
      </c>
    </row>
    <row r="4053" spans="1:198" x14ac:dyDescent="0.25">
      <c r="A4053" s="55">
        <v>4052</v>
      </c>
      <c r="B4053" s="12" t="s">
        <v>7067</v>
      </c>
      <c r="C4053" s="155">
        <v>176</v>
      </c>
      <c r="D4053" s="55" t="s">
        <v>3451</v>
      </c>
      <c r="E4053" s="90" t="s">
        <v>3398</v>
      </c>
      <c r="G4053" s="55" t="s">
        <v>3399</v>
      </c>
      <c r="H4053" s="55">
        <v>2015</v>
      </c>
      <c r="I4053" s="55">
        <v>2008</v>
      </c>
      <c r="J4053" s="55" t="s">
        <v>2853</v>
      </c>
      <c r="K4053" s="55" t="s">
        <v>3400</v>
      </c>
      <c r="L4053" s="55" t="s">
        <v>3377</v>
      </c>
      <c r="M4053" s="90">
        <f>36+58/60</f>
        <v>36.966666666666669</v>
      </c>
      <c r="N4053" s="90">
        <f>109+18/60</f>
        <v>109.3</v>
      </c>
      <c r="O4053" s="90">
        <v>1275</v>
      </c>
      <c r="Q4053" s="55">
        <v>8.8000000000000007</v>
      </c>
      <c r="S4053" s="90">
        <v>535</v>
      </c>
      <c r="U4053" s="55" t="s">
        <v>1816</v>
      </c>
      <c r="V4053" s="55" t="s">
        <v>1940</v>
      </c>
      <c r="Y4053" s="55" t="s">
        <v>3403</v>
      </c>
      <c r="Z4053" s="55" t="s">
        <v>1383</v>
      </c>
      <c r="AA4053" s="90" t="s">
        <v>1684</v>
      </c>
      <c r="AD4053" s="90">
        <v>1.1599999999999999</v>
      </c>
      <c r="AE4053" s="90">
        <v>21.05</v>
      </c>
      <c r="AF4053" s="90">
        <v>74.489999999999995</v>
      </c>
      <c r="AH4053" s="55" t="s">
        <v>6378</v>
      </c>
      <c r="AI4053" s="168">
        <v>8.1999999999999993</v>
      </c>
      <c r="AJ4053" s="90">
        <v>0.46500000000000002</v>
      </c>
      <c r="AN4053" s="185" t="s">
        <v>3402</v>
      </c>
      <c r="AO4053" s="185" t="s">
        <v>5150</v>
      </c>
      <c r="AQ4053" s="55" t="s">
        <v>553</v>
      </c>
      <c r="AR4053" s="55" t="s">
        <v>3401</v>
      </c>
      <c r="AS4053" s="55" t="s">
        <v>3471</v>
      </c>
      <c r="AU4053" s="181" t="s">
        <v>7494</v>
      </c>
      <c r="AV4053" s="185" t="s">
        <v>176</v>
      </c>
      <c r="AX4053" s="185" t="s">
        <v>176</v>
      </c>
      <c r="BK4053" s="55" t="s">
        <v>6333</v>
      </c>
      <c r="BM4053" s="192" t="s">
        <v>160</v>
      </c>
      <c r="BU4053" s="55" t="s">
        <v>3412</v>
      </c>
      <c r="BV4053" s="55" t="s">
        <v>3409</v>
      </c>
      <c r="GD4053" s="65">
        <v>13.34</v>
      </c>
      <c r="GE4053" s="65">
        <f>1.16*0.1*123</f>
        <v>14.267999999999999</v>
      </c>
      <c r="GH4053" s="65" t="s">
        <v>3413</v>
      </c>
      <c r="GP4053" s="292" t="s">
        <v>7494</v>
      </c>
    </row>
    <row r="4054" spans="1:198" x14ac:dyDescent="0.25">
      <c r="A4054" s="55">
        <v>4053</v>
      </c>
      <c r="B4054" s="12" t="s">
        <v>7067</v>
      </c>
      <c r="C4054" s="155">
        <v>176</v>
      </c>
      <c r="D4054" s="55" t="s">
        <v>3452</v>
      </c>
      <c r="E4054" s="90" t="s">
        <v>3398</v>
      </c>
      <c r="G4054" s="55" t="s">
        <v>3399</v>
      </c>
      <c r="H4054" s="55">
        <v>2015</v>
      </c>
      <c r="I4054" s="55">
        <v>2008</v>
      </c>
      <c r="J4054" s="55" t="s">
        <v>2853</v>
      </c>
      <c r="K4054" s="55" t="s">
        <v>3400</v>
      </c>
      <c r="L4054" s="55" t="s">
        <v>3377</v>
      </c>
      <c r="M4054" s="90">
        <f>36+58/60</f>
        <v>36.966666666666669</v>
      </c>
      <c r="N4054" s="90">
        <f>109+18/60</f>
        <v>109.3</v>
      </c>
      <c r="O4054" s="90">
        <v>1275</v>
      </c>
      <c r="Q4054" s="55">
        <v>8.8000000000000007</v>
      </c>
      <c r="S4054" s="90">
        <v>535</v>
      </c>
      <c r="U4054" s="55" t="s">
        <v>1816</v>
      </c>
      <c r="V4054" s="55" t="s">
        <v>1940</v>
      </c>
      <c r="Y4054" s="55" t="s">
        <v>3403</v>
      </c>
      <c r="Z4054" s="55" t="s">
        <v>3404</v>
      </c>
      <c r="AA4054" s="90" t="s">
        <v>3414</v>
      </c>
      <c r="AD4054" s="90">
        <v>1.1599999999999999</v>
      </c>
      <c r="AE4054" s="90">
        <v>21.05</v>
      </c>
      <c r="AF4054" s="90">
        <v>74.489999999999995</v>
      </c>
      <c r="AH4054" s="55" t="s">
        <v>6378</v>
      </c>
      <c r="AI4054" s="168">
        <v>8.1999999999999993</v>
      </c>
      <c r="AJ4054" s="90">
        <v>0.46500000000000002</v>
      </c>
      <c r="AN4054" s="185" t="s">
        <v>3402</v>
      </c>
      <c r="AO4054" s="185" t="s">
        <v>5150</v>
      </c>
      <c r="AQ4054" s="55" t="s">
        <v>553</v>
      </c>
      <c r="AR4054" s="55" t="s">
        <v>3401</v>
      </c>
      <c r="AS4054" s="55" t="s">
        <v>3471</v>
      </c>
      <c r="AU4054" s="181" t="s">
        <v>7494</v>
      </c>
      <c r="AV4054" s="185" t="s">
        <v>176</v>
      </c>
      <c r="AX4054" s="185" t="s">
        <v>176</v>
      </c>
      <c r="BK4054" s="55" t="s">
        <v>6333</v>
      </c>
      <c r="BM4054" s="192" t="s">
        <v>160</v>
      </c>
      <c r="BU4054" s="55" t="s">
        <v>3410</v>
      </c>
      <c r="BV4054" s="55" t="s">
        <v>3409</v>
      </c>
      <c r="GD4054" s="65">
        <v>15.659999999999998</v>
      </c>
      <c r="GE4054" s="65">
        <f>1.16*0.1*125</f>
        <v>14.499999999999998</v>
      </c>
      <c r="GH4054" s="65" t="s">
        <v>3413</v>
      </c>
      <c r="GP4054" s="292" t="s">
        <v>7494</v>
      </c>
    </row>
    <row r="4055" spans="1:198" x14ac:dyDescent="0.25">
      <c r="A4055" s="55">
        <v>4054</v>
      </c>
      <c r="B4055" s="12" t="s">
        <v>7067</v>
      </c>
      <c r="C4055" s="155">
        <v>176</v>
      </c>
      <c r="D4055" s="55" t="s">
        <v>3453</v>
      </c>
      <c r="E4055" s="90" t="s">
        <v>3398</v>
      </c>
      <c r="G4055" s="55" t="s">
        <v>3399</v>
      </c>
      <c r="H4055" s="55">
        <v>2015</v>
      </c>
      <c r="I4055" s="55">
        <v>2008</v>
      </c>
      <c r="J4055" s="55" t="s">
        <v>2853</v>
      </c>
      <c r="K4055" s="55" t="s">
        <v>3400</v>
      </c>
      <c r="L4055" s="55" t="s">
        <v>3377</v>
      </c>
      <c r="M4055" s="90">
        <f>36+58/60</f>
        <v>36.966666666666669</v>
      </c>
      <c r="N4055" s="90">
        <f>109+18/60</f>
        <v>109.3</v>
      </c>
      <c r="O4055" s="90">
        <v>1275</v>
      </c>
      <c r="Q4055" s="55">
        <v>8.8000000000000007</v>
      </c>
      <c r="S4055" s="90">
        <v>535</v>
      </c>
      <c r="U4055" s="55" t="s">
        <v>1816</v>
      </c>
      <c r="V4055" s="55" t="s">
        <v>1940</v>
      </c>
      <c r="Y4055" s="55" t="s">
        <v>3403</v>
      </c>
      <c r="Z4055" s="55" t="s">
        <v>3404</v>
      </c>
      <c r="AA4055" s="90" t="s">
        <v>3414</v>
      </c>
      <c r="AD4055" s="90">
        <v>1.1599999999999999</v>
      </c>
      <c r="AE4055" s="90">
        <v>21.05</v>
      </c>
      <c r="AF4055" s="90">
        <v>74.489999999999995</v>
      </c>
      <c r="AH4055" s="55" t="s">
        <v>6378</v>
      </c>
      <c r="AI4055" s="168">
        <v>8.1999999999999993</v>
      </c>
      <c r="AJ4055" s="90">
        <v>0.46500000000000002</v>
      </c>
      <c r="AN4055" s="185" t="s">
        <v>3402</v>
      </c>
      <c r="AO4055" s="185" t="s">
        <v>5150</v>
      </c>
      <c r="AQ4055" s="55" t="s">
        <v>553</v>
      </c>
      <c r="AR4055" s="55" t="s">
        <v>3401</v>
      </c>
      <c r="AS4055" s="55" t="s">
        <v>3471</v>
      </c>
      <c r="AU4055" s="181" t="s">
        <v>7494</v>
      </c>
      <c r="AV4055" s="185" t="s">
        <v>176</v>
      </c>
      <c r="AX4055" s="185" t="s">
        <v>176</v>
      </c>
      <c r="BK4055" s="55" t="s">
        <v>6333</v>
      </c>
      <c r="BM4055" s="192" t="s">
        <v>160</v>
      </c>
      <c r="BU4055" s="55" t="s">
        <v>3411</v>
      </c>
      <c r="BV4055" s="55" t="s">
        <v>3409</v>
      </c>
      <c r="GD4055" s="65">
        <v>15.659999999999998</v>
      </c>
      <c r="GE4055" s="65">
        <f>1.16*0.1*114</f>
        <v>13.223999999999998</v>
      </c>
      <c r="GH4055" s="65" t="s">
        <v>3413</v>
      </c>
      <c r="GP4055" s="292" t="s">
        <v>7494</v>
      </c>
    </row>
    <row r="4056" spans="1:198" x14ac:dyDescent="0.25">
      <c r="A4056" s="55">
        <v>4055</v>
      </c>
      <c r="B4056" s="12" t="s">
        <v>7067</v>
      </c>
      <c r="C4056" s="155">
        <v>176</v>
      </c>
      <c r="D4056" s="55" t="s">
        <v>3454</v>
      </c>
      <c r="E4056" s="90" t="s">
        <v>3398</v>
      </c>
      <c r="G4056" s="55" t="s">
        <v>3399</v>
      </c>
      <c r="H4056" s="55">
        <v>2015</v>
      </c>
      <c r="I4056" s="55">
        <v>2008</v>
      </c>
      <c r="J4056" s="55" t="s">
        <v>2853</v>
      </c>
      <c r="K4056" s="55" t="s">
        <v>3400</v>
      </c>
      <c r="L4056" s="55" t="s">
        <v>3377</v>
      </c>
      <c r="M4056" s="90">
        <f>36+58/60</f>
        <v>36.966666666666669</v>
      </c>
      <c r="N4056" s="90">
        <f>109+18/60</f>
        <v>109.3</v>
      </c>
      <c r="O4056" s="90">
        <v>1275</v>
      </c>
      <c r="Q4056" s="55">
        <v>8.8000000000000007</v>
      </c>
      <c r="S4056" s="90">
        <v>535</v>
      </c>
      <c r="U4056" s="55" t="s">
        <v>1816</v>
      </c>
      <c r="V4056" s="55" t="s">
        <v>1940</v>
      </c>
      <c r="Y4056" s="55" t="s">
        <v>3403</v>
      </c>
      <c r="Z4056" s="55" t="s">
        <v>3404</v>
      </c>
      <c r="AA4056" s="90" t="s">
        <v>3414</v>
      </c>
      <c r="AD4056" s="90">
        <v>1.1599999999999999</v>
      </c>
      <c r="AE4056" s="90">
        <v>21.05</v>
      </c>
      <c r="AF4056" s="90">
        <v>74.489999999999995</v>
      </c>
      <c r="AH4056" s="55" t="s">
        <v>6378</v>
      </c>
      <c r="AI4056" s="168">
        <v>8.1999999999999993</v>
      </c>
      <c r="AJ4056" s="90">
        <v>0.46500000000000002</v>
      </c>
      <c r="AN4056" s="185" t="s">
        <v>3402</v>
      </c>
      <c r="AO4056" s="185" t="s">
        <v>5150</v>
      </c>
      <c r="AQ4056" s="55" t="s">
        <v>553</v>
      </c>
      <c r="AR4056" s="55" t="s">
        <v>3401</v>
      </c>
      <c r="AS4056" s="55" t="s">
        <v>3471</v>
      </c>
      <c r="AU4056" s="181" t="s">
        <v>7494</v>
      </c>
      <c r="AV4056" s="185" t="s">
        <v>176</v>
      </c>
      <c r="AX4056" s="185" t="s">
        <v>176</v>
      </c>
      <c r="BK4056" s="55" t="s">
        <v>6333</v>
      </c>
      <c r="BM4056" s="192" t="s">
        <v>160</v>
      </c>
      <c r="BU4056" s="55" t="s">
        <v>3412</v>
      </c>
      <c r="BV4056" s="55" t="s">
        <v>3409</v>
      </c>
      <c r="GD4056" s="65">
        <v>15.659999999999998</v>
      </c>
      <c r="GE4056" s="65">
        <f>1.16*0.1*135</f>
        <v>15.659999999999998</v>
      </c>
      <c r="GH4056" s="65" t="s">
        <v>3413</v>
      </c>
      <c r="GP4056" s="292" t="s">
        <v>7494</v>
      </c>
    </row>
    <row r="4057" spans="1:198" x14ac:dyDescent="0.25">
      <c r="A4057" s="55">
        <v>4056</v>
      </c>
      <c r="B4057" s="12" t="s">
        <v>7067</v>
      </c>
      <c r="C4057" s="155">
        <v>176</v>
      </c>
      <c r="D4057" s="55" t="s">
        <v>3455</v>
      </c>
      <c r="E4057" s="90" t="s">
        <v>3398</v>
      </c>
      <c r="G4057" s="55" t="s">
        <v>3399</v>
      </c>
      <c r="H4057" s="55">
        <v>2015</v>
      </c>
      <c r="I4057" s="55">
        <v>2008</v>
      </c>
      <c r="J4057" s="55" t="s">
        <v>2853</v>
      </c>
      <c r="K4057" s="55" t="s">
        <v>3400</v>
      </c>
      <c r="L4057" s="55" t="s">
        <v>3377</v>
      </c>
      <c r="M4057" s="90">
        <f>36+58/60</f>
        <v>36.966666666666669</v>
      </c>
      <c r="N4057" s="90">
        <f>109+18/60</f>
        <v>109.3</v>
      </c>
      <c r="O4057" s="90">
        <v>1275</v>
      </c>
      <c r="Q4057" s="55">
        <v>8.8000000000000007</v>
      </c>
      <c r="S4057" s="90">
        <v>535</v>
      </c>
      <c r="U4057" s="55" t="s">
        <v>1816</v>
      </c>
      <c r="V4057" s="55" t="s">
        <v>1940</v>
      </c>
      <c r="Y4057" s="55" t="s">
        <v>3403</v>
      </c>
      <c r="Z4057" s="55" t="s">
        <v>3405</v>
      </c>
      <c r="AA4057" s="90" t="s">
        <v>3415</v>
      </c>
      <c r="AD4057" s="90">
        <v>1.1599999999999999</v>
      </c>
      <c r="AE4057" s="90">
        <v>21.05</v>
      </c>
      <c r="AF4057" s="90">
        <v>74.489999999999995</v>
      </c>
      <c r="AH4057" s="55" t="s">
        <v>6378</v>
      </c>
      <c r="AI4057" s="168">
        <v>8.1999999999999993</v>
      </c>
      <c r="AJ4057" s="90">
        <v>0.46500000000000002</v>
      </c>
      <c r="AN4057" s="185" t="s">
        <v>3402</v>
      </c>
      <c r="AO4057" s="185" t="s">
        <v>5150</v>
      </c>
      <c r="AQ4057" s="55" t="s">
        <v>553</v>
      </c>
      <c r="AR4057" s="55" t="s">
        <v>3401</v>
      </c>
      <c r="AS4057" s="55" t="s">
        <v>3471</v>
      </c>
      <c r="AU4057" s="181" t="s">
        <v>7494</v>
      </c>
      <c r="AV4057" s="185" t="s">
        <v>176</v>
      </c>
      <c r="AX4057" s="185" t="s">
        <v>176</v>
      </c>
      <c r="BK4057" s="55" t="s">
        <v>6333</v>
      </c>
      <c r="BM4057" s="192" t="s">
        <v>160</v>
      </c>
      <c r="BU4057" s="55" t="s">
        <v>3410</v>
      </c>
      <c r="BV4057" s="55" t="s">
        <v>3409</v>
      </c>
      <c r="GD4057" s="65">
        <v>15.543999999999999</v>
      </c>
      <c r="GE4057" s="65">
        <f>1.16*0.1*115</f>
        <v>13.34</v>
      </c>
      <c r="GH4057" s="65" t="s">
        <v>3413</v>
      </c>
      <c r="GP4057" s="292" t="s">
        <v>7494</v>
      </c>
    </row>
    <row r="4058" spans="1:198" x14ac:dyDescent="0.25">
      <c r="A4058" s="55">
        <v>4057</v>
      </c>
      <c r="B4058" s="12" t="s">
        <v>7067</v>
      </c>
      <c r="C4058" s="155">
        <v>176</v>
      </c>
      <c r="D4058" s="55" t="s">
        <v>3456</v>
      </c>
      <c r="E4058" s="90" t="s">
        <v>3398</v>
      </c>
      <c r="G4058" s="55" t="s">
        <v>3399</v>
      </c>
      <c r="H4058" s="55">
        <v>2015</v>
      </c>
      <c r="I4058" s="55">
        <v>2008</v>
      </c>
      <c r="J4058" s="55" t="s">
        <v>2853</v>
      </c>
      <c r="K4058" s="55" t="s">
        <v>3400</v>
      </c>
      <c r="L4058" s="55" t="s">
        <v>3377</v>
      </c>
      <c r="M4058" s="90">
        <f>36+58/60</f>
        <v>36.966666666666669</v>
      </c>
      <c r="N4058" s="90">
        <f>109+18/60</f>
        <v>109.3</v>
      </c>
      <c r="O4058" s="90">
        <v>1275</v>
      </c>
      <c r="Q4058" s="55">
        <v>8.8000000000000007</v>
      </c>
      <c r="S4058" s="90">
        <v>535</v>
      </c>
      <c r="U4058" s="55" t="s">
        <v>1816</v>
      </c>
      <c r="V4058" s="55" t="s">
        <v>1940</v>
      </c>
      <c r="Y4058" s="55" t="s">
        <v>3403</v>
      </c>
      <c r="Z4058" s="55" t="s">
        <v>3405</v>
      </c>
      <c r="AA4058" s="90" t="s">
        <v>3415</v>
      </c>
      <c r="AD4058" s="90">
        <v>1.1599999999999999</v>
      </c>
      <c r="AE4058" s="90">
        <v>21.05</v>
      </c>
      <c r="AF4058" s="90">
        <v>74.489999999999995</v>
      </c>
      <c r="AH4058" s="55" t="s">
        <v>6378</v>
      </c>
      <c r="AI4058" s="168">
        <v>8.1999999999999993</v>
      </c>
      <c r="AJ4058" s="90">
        <v>0.46500000000000002</v>
      </c>
      <c r="AN4058" s="185" t="s">
        <v>3402</v>
      </c>
      <c r="AO4058" s="185" t="s">
        <v>5150</v>
      </c>
      <c r="AQ4058" s="55" t="s">
        <v>553</v>
      </c>
      <c r="AR4058" s="55" t="s">
        <v>3401</v>
      </c>
      <c r="AS4058" s="55" t="s">
        <v>3471</v>
      </c>
      <c r="AU4058" s="181" t="s">
        <v>7494</v>
      </c>
      <c r="AV4058" s="185" t="s">
        <v>176</v>
      </c>
      <c r="AX4058" s="185" t="s">
        <v>176</v>
      </c>
      <c r="BK4058" s="55" t="s">
        <v>6333</v>
      </c>
      <c r="BM4058" s="192" t="s">
        <v>160</v>
      </c>
      <c r="BU4058" s="55" t="s">
        <v>3411</v>
      </c>
      <c r="BV4058" s="55" t="s">
        <v>3409</v>
      </c>
      <c r="GD4058" s="65">
        <v>15.543999999999999</v>
      </c>
      <c r="GE4058" s="65">
        <f>1.16*0.1*99</f>
        <v>11.484</v>
      </c>
      <c r="GH4058" s="65" t="s">
        <v>3413</v>
      </c>
      <c r="GP4058" s="292" t="s">
        <v>7494</v>
      </c>
    </row>
    <row r="4059" spans="1:198" x14ac:dyDescent="0.25">
      <c r="A4059" s="55">
        <v>4058</v>
      </c>
      <c r="B4059" s="12" t="s">
        <v>7067</v>
      </c>
      <c r="C4059" s="155">
        <v>176</v>
      </c>
      <c r="D4059" s="55" t="s">
        <v>3457</v>
      </c>
      <c r="E4059" s="90" t="s">
        <v>3398</v>
      </c>
      <c r="G4059" s="55" t="s">
        <v>3399</v>
      </c>
      <c r="H4059" s="55">
        <v>2015</v>
      </c>
      <c r="I4059" s="55">
        <v>2008</v>
      </c>
      <c r="J4059" s="55" t="s">
        <v>2853</v>
      </c>
      <c r="K4059" s="55" t="s">
        <v>3400</v>
      </c>
      <c r="L4059" s="55" t="s">
        <v>3377</v>
      </c>
      <c r="M4059" s="90">
        <f>36+58/60</f>
        <v>36.966666666666669</v>
      </c>
      <c r="N4059" s="90">
        <f>109+18/60</f>
        <v>109.3</v>
      </c>
      <c r="O4059" s="90">
        <v>1275</v>
      </c>
      <c r="Q4059" s="55">
        <v>8.8000000000000007</v>
      </c>
      <c r="S4059" s="90">
        <v>535</v>
      </c>
      <c r="U4059" s="55" t="s">
        <v>1816</v>
      </c>
      <c r="V4059" s="55" t="s">
        <v>1940</v>
      </c>
      <c r="Y4059" s="55" t="s">
        <v>3403</v>
      </c>
      <c r="Z4059" s="55" t="s">
        <v>3405</v>
      </c>
      <c r="AA4059" s="90" t="s">
        <v>3415</v>
      </c>
      <c r="AD4059" s="90">
        <v>1.1599999999999999</v>
      </c>
      <c r="AE4059" s="90">
        <v>21.05</v>
      </c>
      <c r="AF4059" s="90">
        <v>74.489999999999995</v>
      </c>
      <c r="AH4059" s="55" t="s">
        <v>6378</v>
      </c>
      <c r="AI4059" s="168">
        <v>8.1999999999999993</v>
      </c>
      <c r="AJ4059" s="90">
        <v>0.46500000000000002</v>
      </c>
      <c r="AN4059" s="185" t="s">
        <v>3402</v>
      </c>
      <c r="AO4059" s="185" t="s">
        <v>5150</v>
      </c>
      <c r="AQ4059" s="55" t="s">
        <v>553</v>
      </c>
      <c r="AR4059" s="55" t="s">
        <v>3401</v>
      </c>
      <c r="AS4059" s="55" t="s">
        <v>3471</v>
      </c>
      <c r="AU4059" s="181" t="s">
        <v>7494</v>
      </c>
      <c r="AV4059" s="185" t="s">
        <v>176</v>
      </c>
      <c r="AX4059" s="185" t="s">
        <v>176</v>
      </c>
      <c r="BK4059" s="55" t="s">
        <v>6333</v>
      </c>
      <c r="BM4059" s="192" t="s">
        <v>160</v>
      </c>
      <c r="BU4059" s="55" t="s">
        <v>3412</v>
      </c>
      <c r="BV4059" s="55" t="s">
        <v>3409</v>
      </c>
      <c r="GD4059" s="65">
        <v>15.543999999999999</v>
      </c>
      <c r="GE4059" s="65">
        <f>1.16*0.1*135</f>
        <v>15.659999999999998</v>
      </c>
      <c r="GH4059" s="65" t="s">
        <v>3413</v>
      </c>
      <c r="GP4059" s="292" t="s">
        <v>7494</v>
      </c>
    </row>
    <row r="4060" spans="1:198" x14ac:dyDescent="0.25">
      <c r="A4060" s="55">
        <v>4059</v>
      </c>
      <c r="B4060" s="12" t="s">
        <v>7067</v>
      </c>
      <c r="C4060" s="155">
        <v>176</v>
      </c>
      <c r="D4060" s="55" t="s">
        <v>3458</v>
      </c>
      <c r="E4060" s="90" t="s">
        <v>3398</v>
      </c>
      <c r="G4060" s="55" t="s">
        <v>3399</v>
      </c>
      <c r="H4060" s="55">
        <v>2015</v>
      </c>
      <c r="I4060" s="55">
        <v>2008</v>
      </c>
      <c r="J4060" s="55" t="s">
        <v>2853</v>
      </c>
      <c r="K4060" s="55" t="s">
        <v>3400</v>
      </c>
      <c r="L4060" s="55" t="s">
        <v>3377</v>
      </c>
      <c r="M4060" s="90">
        <f>36+58/60</f>
        <v>36.966666666666669</v>
      </c>
      <c r="N4060" s="90">
        <f>109+18/60</f>
        <v>109.3</v>
      </c>
      <c r="O4060" s="90">
        <v>1275</v>
      </c>
      <c r="Q4060" s="55">
        <v>8.8000000000000007</v>
      </c>
      <c r="S4060" s="90">
        <v>535</v>
      </c>
      <c r="U4060" s="55" t="s">
        <v>1816</v>
      </c>
      <c r="V4060" s="55" t="s">
        <v>1940</v>
      </c>
      <c r="Y4060" s="55" t="s">
        <v>3403</v>
      </c>
      <c r="Z4060" s="55" t="s">
        <v>1346</v>
      </c>
      <c r="AA4060" s="90" t="s">
        <v>1675</v>
      </c>
      <c r="AD4060" s="90">
        <v>1.1599999999999999</v>
      </c>
      <c r="AE4060" s="90">
        <v>21.05</v>
      </c>
      <c r="AF4060" s="90">
        <v>74.489999999999995</v>
      </c>
      <c r="AH4060" s="55" t="s">
        <v>6378</v>
      </c>
      <c r="AI4060" s="168">
        <v>8.1999999999999993</v>
      </c>
      <c r="AJ4060" s="90">
        <v>0.46500000000000002</v>
      </c>
      <c r="AN4060" s="185" t="s">
        <v>3402</v>
      </c>
      <c r="AO4060" s="185" t="s">
        <v>5150</v>
      </c>
      <c r="AQ4060" s="55" t="s">
        <v>553</v>
      </c>
      <c r="AR4060" s="55" t="s">
        <v>3401</v>
      </c>
      <c r="AS4060" s="55" t="s">
        <v>3471</v>
      </c>
      <c r="AU4060" s="181" t="s">
        <v>7494</v>
      </c>
      <c r="AV4060" s="185" t="s">
        <v>176</v>
      </c>
      <c r="AX4060" s="185" t="s">
        <v>176</v>
      </c>
      <c r="BK4060" s="55" t="s">
        <v>6333</v>
      </c>
      <c r="BM4060" s="192" t="s">
        <v>160</v>
      </c>
      <c r="BU4060" s="55" t="s">
        <v>3410</v>
      </c>
      <c r="BV4060" s="55" t="s">
        <v>3406</v>
      </c>
      <c r="CB4060" s="66">
        <v>4260</v>
      </c>
      <c r="CC4060" s="66">
        <v>3250</v>
      </c>
      <c r="CG4060" s="65" t="s">
        <v>3421</v>
      </c>
      <c r="CM4060" s="65">
        <v>0.442</v>
      </c>
      <c r="CN4060" s="65">
        <v>0.69799999999999995</v>
      </c>
      <c r="CQ4060" s="65" t="s">
        <v>3418</v>
      </c>
      <c r="DA4060" s="65" t="s">
        <v>4457</v>
      </c>
      <c r="DB4060" s="65">
        <v>350</v>
      </c>
      <c r="DC4060" s="65">
        <v>430</v>
      </c>
      <c r="DF4060" s="65" t="s">
        <v>3419</v>
      </c>
      <c r="DG4060" s="65">
        <v>570</v>
      </c>
      <c r="DH4060" s="65">
        <v>590</v>
      </c>
      <c r="DK4060" s="65" t="s">
        <v>3420</v>
      </c>
      <c r="GP4060" s="292" t="s">
        <v>7494</v>
      </c>
    </row>
    <row r="4061" spans="1:198" x14ac:dyDescent="0.25">
      <c r="A4061" s="55">
        <v>4060</v>
      </c>
      <c r="B4061" s="12" t="s">
        <v>7067</v>
      </c>
      <c r="C4061" s="155">
        <v>176</v>
      </c>
      <c r="D4061" s="55" t="s">
        <v>3459</v>
      </c>
      <c r="E4061" s="90" t="s">
        <v>3398</v>
      </c>
      <c r="G4061" s="55" t="s">
        <v>3399</v>
      </c>
      <c r="H4061" s="55">
        <v>2015</v>
      </c>
      <c r="I4061" s="55">
        <v>2008</v>
      </c>
      <c r="J4061" s="55" t="s">
        <v>2853</v>
      </c>
      <c r="K4061" s="55" t="s">
        <v>3400</v>
      </c>
      <c r="L4061" s="55" t="s">
        <v>3377</v>
      </c>
      <c r="M4061" s="90">
        <f>36+58/60</f>
        <v>36.966666666666669</v>
      </c>
      <c r="N4061" s="90">
        <f>109+18/60</f>
        <v>109.3</v>
      </c>
      <c r="O4061" s="90">
        <v>1275</v>
      </c>
      <c r="Q4061" s="55">
        <v>8.8000000000000007</v>
      </c>
      <c r="S4061" s="90">
        <v>535</v>
      </c>
      <c r="U4061" s="55" t="s">
        <v>1816</v>
      </c>
      <c r="V4061" s="55" t="s">
        <v>1940</v>
      </c>
      <c r="Y4061" s="55" t="s">
        <v>3403</v>
      </c>
      <c r="Z4061" s="55" t="s">
        <v>1346</v>
      </c>
      <c r="AA4061" s="90" t="s">
        <v>1675</v>
      </c>
      <c r="AD4061" s="90">
        <v>1.1599999999999999</v>
      </c>
      <c r="AE4061" s="90">
        <v>21.05</v>
      </c>
      <c r="AF4061" s="90">
        <v>74.489999999999995</v>
      </c>
      <c r="AH4061" s="55" t="s">
        <v>6378</v>
      </c>
      <c r="AI4061" s="168">
        <v>8.1999999999999993</v>
      </c>
      <c r="AJ4061" s="90">
        <v>0.46500000000000002</v>
      </c>
      <c r="AN4061" s="185" t="s">
        <v>3402</v>
      </c>
      <c r="AO4061" s="185" t="s">
        <v>5150</v>
      </c>
      <c r="AQ4061" s="55" t="s">
        <v>553</v>
      </c>
      <c r="AR4061" s="55" t="s">
        <v>3401</v>
      </c>
      <c r="AS4061" s="55" t="s">
        <v>3471</v>
      </c>
      <c r="AU4061" s="181" t="s">
        <v>7494</v>
      </c>
      <c r="AV4061" s="185" t="s">
        <v>176</v>
      </c>
      <c r="AX4061" s="185" t="s">
        <v>176</v>
      </c>
      <c r="BK4061" s="55" t="s">
        <v>6333</v>
      </c>
      <c r="BM4061" s="192" t="s">
        <v>160</v>
      </c>
      <c r="BU4061" s="55" t="s">
        <v>3411</v>
      </c>
      <c r="BV4061" s="55" t="s">
        <v>3406</v>
      </c>
      <c r="CB4061" s="66">
        <v>4260</v>
      </c>
      <c r="CC4061" s="66">
        <v>2140</v>
      </c>
      <c r="CG4061" s="65" t="s">
        <v>3421</v>
      </c>
      <c r="CM4061" s="65">
        <v>0.442</v>
      </c>
      <c r="CN4061" s="65">
        <v>0.54900000000000004</v>
      </c>
      <c r="CQ4061" s="65" t="s">
        <v>3418</v>
      </c>
      <c r="DA4061" s="65" t="s">
        <v>4457</v>
      </c>
      <c r="DB4061" s="65">
        <v>350</v>
      </c>
      <c r="DC4061" s="65">
        <v>380</v>
      </c>
      <c r="DF4061" s="65" t="s">
        <v>3419</v>
      </c>
      <c r="DG4061" s="65">
        <v>570</v>
      </c>
      <c r="DH4061" s="65">
        <v>560</v>
      </c>
      <c r="DK4061" s="65" t="s">
        <v>3420</v>
      </c>
      <c r="GP4061" s="292" t="s">
        <v>7494</v>
      </c>
    </row>
    <row r="4062" spans="1:198" x14ac:dyDescent="0.25">
      <c r="A4062" s="55">
        <v>4061</v>
      </c>
      <c r="B4062" s="12" t="s">
        <v>7067</v>
      </c>
      <c r="C4062" s="155">
        <v>176</v>
      </c>
      <c r="D4062" s="55" t="s">
        <v>3460</v>
      </c>
      <c r="E4062" s="90" t="s">
        <v>3398</v>
      </c>
      <c r="G4062" s="55" t="s">
        <v>3399</v>
      </c>
      <c r="H4062" s="55">
        <v>2015</v>
      </c>
      <c r="I4062" s="55">
        <v>2008</v>
      </c>
      <c r="J4062" s="55" t="s">
        <v>2853</v>
      </c>
      <c r="K4062" s="55" t="s">
        <v>3400</v>
      </c>
      <c r="L4062" s="55" t="s">
        <v>3377</v>
      </c>
      <c r="M4062" s="90">
        <f>36+58/60</f>
        <v>36.966666666666669</v>
      </c>
      <c r="N4062" s="90">
        <f>109+18/60</f>
        <v>109.3</v>
      </c>
      <c r="O4062" s="90">
        <v>1275</v>
      </c>
      <c r="Q4062" s="55">
        <v>8.8000000000000007</v>
      </c>
      <c r="S4062" s="90">
        <v>535</v>
      </c>
      <c r="U4062" s="55" t="s">
        <v>1816</v>
      </c>
      <c r="V4062" s="55" t="s">
        <v>1940</v>
      </c>
      <c r="Y4062" s="55" t="s">
        <v>3403</v>
      </c>
      <c r="Z4062" s="55" t="s">
        <v>1346</v>
      </c>
      <c r="AA4062" s="90" t="s">
        <v>1675</v>
      </c>
      <c r="AD4062" s="90">
        <v>1.1599999999999999</v>
      </c>
      <c r="AE4062" s="90">
        <v>21.05</v>
      </c>
      <c r="AF4062" s="90">
        <v>74.489999999999995</v>
      </c>
      <c r="AH4062" s="55" t="s">
        <v>6378</v>
      </c>
      <c r="AI4062" s="168">
        <v>8.1999999999999993</v>
      </c>
      <c r="AJ4062" s="90">
        <v>0.46500000000000002</v>
      </c>
      <c r="AN4062" s="185" t="s">
        <v>3402</v>
      </c>
      <c r="AO4062" s="185" t="s">
        <v>5150</v>
      </c>
      <c r="AQ4062" s="55" t="s">
        <v>553</v>
      </c>
      <c r="AR4062" s="55" t="s">
        <v>3401</v>
      </c>
      <c r="AS4062" s="55" t="s">
        <v>3471</v>
      </c>
      <c r="AU4062" s="181" t="s">
        <v>7494</v>
      </c>
      <c r="AV4062" s="185" t="s">
        <v>176</v>
      </c>
      <c r="AX4062" s="185" t="s">
        <v>176</v>
      </c>
      <c r="BK4062" s="55" t="s">
        <v>6333</v>
      </c>
      <c r="BM4062" s="192" t="s">
        <v>160</v>
      </c>
      <c r="BU4062" s="55" t="s">
        <v>3412</v>
      </c>
      <c r="BV4062" s="55" t="s">
        <v>3406</v>
      </c>
      <c r="CB4062" s="66">
        <v>4260</v>
      </c>
      <c r="CC4062" s="66">
        <v>4890</v>
      </c>
      <c r="CG4062" s="65" t="s">
        <v>3421</v>
      </c>
      <c r="CM4062" s="65">
        <v>0.442</v>
      </c>
      <c r="CN4062" s="65">
        <v>0.65300000000000002</v>
      </c>
      <c r="CQ4062" s="65" t="s">
        <v>3418</v>
      </c>
      <c r="DA4062" s="65" t="s">
        <v>4457</v>
      </c>
      <c r="DB4062" s="65">
        <v>350</v>
      </c>
      <c r="DC4062" s="65">
        <v>410</v>
      </c>
      <c r="DF4062" s="65" t="s">
        <v>3419</v>
      </c>
      <c r="DG4062" s="65">
        <v>570</v>
      </c>
      <c r="DH4062" s="65">
        <v>580</v>
      </c>
      <c r="DK4062" s="65" t="s">
        <v>3420</v>
      </c>
      <c r="GP4062" s="292" t="s">
        <v>7494</v>
      </c>
    </row>
    <row r="4063" spans="1:198" x14ac:dyDescent="0.25">
      <c r="A4063" s="55">
        <v>4062</v>
      </c>
      <c r="B4063" s="12" t="s">
        <v>7067</v>
      </c>
      <c r="C4063" s="155">
        <v>176</v>
      </c>
      <c r="D4063" s="55" t="s">
        <v>3461</v>
      </c>
      <c r="E4063" s="90" t="s">
        <v>3398</v>
      </c>
      <c r="G4063" s="55" t="s">
        <v>3399</v>
      </c>
      <c r="H4063" s="55">
        <v>2015</v>
      </c>
      <c r="I4063" s="55">
        <v>2008</v>
      </c>
      <c r="J4063" s="55" t="s">
        <v>2853</v>
      </c>
      <c r="K4063" s="55" t="s">
        <v>3400</v>
      </c>
      <c r="L4063" s="55" t="s">
        <v>3377</v>
      </c>
      <c r="M4063" s="90">
        <f>36+58/60</f>
        <v>36.966666666666669</v>
      </c>
      <c r="N4063" s="90">
        <f>109+18/60</f>
        <v>109.3</v>
      </c>
      <c r="O4063" s="90">
        <v>1275</v>
      </c>
      <c r="Q4063" s="55">
        <v>8.8000000000000007</v>
      </c>
      <c r="S4063" s="90">
        <v>535</v>
      </c>
      <c r="U4063" s="55" t="s">
        <v>1816</v>
      </c>
      <c r="V4063" s="55" t="s">
        <v>1940</v>
      </c>
      <c r="Y4063" s="55" t="s">
        <v>3403</v>
      </c>
      <c r="Z4063" s="55" t="s">
        <v>4464</v>
      </c>
      <c r="AA4063" s="90" t="s">
        <v>1684</v>
      </c>
      <c r="AD4063" s="90">
        <v>1.1599999999999999</v>
      </c>
      <c r="AE4063" s="90">
        <v>21.05</v>
      </c>
      <c r="AF4063" s="90">
        <v>74.489999999999995</v>
      </c>
      <c r="AH4063" s="55" t="s">
        <v>6378</v>
      </c>
      <c r="AI4063" s="168">
        <v>8.1999999999999993</v>
      </c>
      <c r="AJ4063" s="90">
        <v>0.46500000000000002</v>
      </c>
      <c r="AN4063" s="185" t="s">
        <v>3402</v>
      </c>
      <c r="AO4063" s="185" t="s">
        <v>5150</v>
      </c>
      <c r="AQ4063" s="55" t="s">
        <v>553</v>
      </c>
      <c r="AR4063" s="55" t="s">
        <v>3401</v>
      </c>
      <c r="AS4063" s="55" t="s">
        <v>3471</v>
      </c>
      <c r="AU4063" s="181" t="s">
        <v>7494</v>
      </c>
      <c r="AV4063" s="185" t="s">
        <v>176</v>
      </c>
      <c r="AX4063" s="185" t="s">
        <v>176</v>
      </c>
      <c r="BK4063" s="55" t="s">
        <v>6333</v>
      </c>
      <c r="BM4063" s="192" t="s">
        <v>160</v>
      </c>
      <c r="BU4063" s="55" t="s">
        <v>3410</v>
      </c>
      <c r="BV4063" s="55" t="s">
        <v>3406</v>
      </c>
      <c r="CB4063" s="66">
        <v>4790</v>
      </c>
      <c r="CC4063" s="66">
        <v>2320</v>
      </c>
      <c r="CG4063" s="65" t="s">
        <v>3421</v>
      </c>
      <c r="CM4063" s="65">
        <v>0.30199999999999999</v>
      </c>
      <c r="CN4063" s="65">
        <v>0.36699999999999999</v>
      </c>
      <c r="CQ4063" s="65" t="s">
        <v>3418</v>
      </c>
      <c r="DA4063" s="65" t="s">
        <v>4457</v>
      </c>
      <c r="DB4063" s="65">
        <v>260</v>
      </c>
      <c r="DC4063" s="65">
        <v>290</v>
      </c>
      <c r="DF4063" s="65" t="s">
        <v>3419</v>
      </c>
      <c r="DG4063" s="65">
        <v>540</v>
      </c>
      <c r="DH4063" s="65">
        <v>540</v>
      </c>
      <c r="DK4063" s="65" t="s">
        <v>3420</v>
      </c>
      <c r="GP4063" s="292" t="s">
        <v>7494</v>
      </c>
    </row>
    <row r="4064" spans="1:198" x14ac:dyDescent="0.25">
      <c r="A4064" s="55">
        <v>4063</v>
      </c>
      <c r="B4064" s="12" t="s">
        <v>7067</v>
      </c>
      <c r="C4064" s="155">
        <v>176</v>
      </c>
      <c r="D4064" s="55" t="s">
        <v>3462</v>
      </c>
      <c r="E4064" s="90" t="s">
        <v>3398</v>
      </c>
      <c r="G4064" s="55" t="s">
        <v>3399</v>
      </c>
      <c r="H4064" s="55">
        <v>2015</v>
      </c>
      <c r="I4064" s="55">
        <v>2008</v>
      </c>
      <c r="J4064" s="55" t="s">
        <v>2853</v>
      </c>
      <c r="K4064" s="55" t="s">
        <v>3400</v>
      </c>
      <c r="L4064" s="55" t="s">
        <v>3377</v>
      </c>
      <c r="M4064" s="90">
        <f>36+58/60</f>
        <v>36.966666666666669</v>
      </c>
      <c r="N4064" s="90">
        <f>109+18/60</f>
        <v>109.3</v>
      </c>
      <c r="O4064" s="90">
        <v>1275</v>
      </c>
      <c r="Q4064" s="55">
        <v>8.8000000000000007</v>
      </c>
      <c r="S4064" s="90">
        <v>535</v>
      </c>
      <c r="U4064" s="55" t="s">
        <v>1816</v>
      </c>
      <c r="V4064" s="55" t="s">
        <v>1940</v>
      </c>
      <c r="Y4064" s="55" t="s">
        <v>3403</v>
      </c>
      <c r="Z4064" s="55" t="s">
        <v>4464</v>
      </c>
      <c r="AA4064" s="90" t="s">
        <v>1684</v>
      </c>
      <c r="AD4064" s="90">
        <v>1.1599999999999999</v>
      </c>
      <c r="AE4064" s="90">
        <v>21.05</v>
      </c>
      <c r="AF4064" s="90">
        <v>74.489999999999995</v>
      </c>
      <c r="AH4064" s="55" t="s">
        <v>6378</v>
      </c>
      <c r="AI4064" s="168">
        <v>8.1999999999999993</v>
      </c>
      <c r="AJ4064" s="90">
        <v>0.46500000000000002</v>
      </c>
      <c r="AN4064" s="185" t="s">
        <v>3402</v>
      </c>
      <c r="AO4064" s="185" t="s">
        <v>5150</v>
      </c>
      <c r="AQ4064" s="55" t="s">
        <v>553</v>
      </c>
      <c r="AR4064" s="55" t="s">
        <v>3401</v>
      </c>
      <c r="AS4064" s="55" t="s">
        <v>3471</v>
      </c>
      <c r="AU4064" s="181" t="s">
        <v>7494</v>
      </c>
      <c r="AV4064" s="185" t="s">
        <v>176</v>
      </c>
      <c r="AX4064" s="185" t="s">
        <v>176</v>
      </c>
      <c r="BK4064" s="55" t="s">
        <v>6333</v>
      </c>
      <c r="BM4064" s="192" t="s">
        <v>160</v>
      </c>
      <c r="BU4064" s="55" t="s">
        <v>3411</v>
      </c>
      <c r="BV4064" s="55" t="s">
        <v>3406</v>
      </c>
      <c r="CB4064" s="66">
        <v>4790</v>
      </c>
      <c r="CC4064" s="66">
        <v>1640</v>
      </c>
      <c r="CG4064" s="65" t="s">
        <v>3421</v>
      </c>
      <c r="CM4064" s="65">
        <v>0.30199999999999999</v>
      </c>
      <c r="CN4064" s="65">
        <v>0.371</v>
      </c>
      <c r="CQ4064" s="65" t="s">
        <v>3418</v>
      </c>
      <c r="DA4064" s="65" t="s">
        <v>4457</v>
      </c>
      <c r="DB4064" s="65">
        <v>260</v>
      </c>
      <c r="DC4064" s="65">
        <v>290</v>
      </c>
      <c r="DF4064" s="65" t="s">
        <v>3419</v>
      </c>
      <c r="DG4064" s="65">
        <v>540</v>
      </c>
      <c r="DH4064" s="65">
        <v>530</v>
      </c>
      <c r="DK4064" s="65" t="s">
        <v>3420</v>
      </c>
      <c r="GP4064" s="292" t="s">
        <v>7494</v>
      </c>
    </row>
    <row r="4065" spans="1:282" x14ac:dyDescent="0.25">
      <c r="A4065" s="55">
        <v>4064</v>
      </c>
      <c r="B4065" s="12" t="s">
        <v>7067</v>
      </c>
      <c r="C4065" s="155">
        <v>176</v>
      </c>
      <c r="D4065" s="55" t="s">
        <v>3463</v>
      </c>
      <c r="E4065" s="90" t="s">
        <v>3398</v>
      </c>
      <c r="G4065" s="55" t="s">
        <v>3399</v>
      </c>
      <c r="H4065" s="55">
        <v>2015</v>
      </c>
      <c r="I4065" s="55">
        <v>2008</v>
      </c>
      <c r="J4065" s="55" t="s">
        <v>2853</v>
      </c>
      <c r="K4065" s="55" t="s">
        <v>3400</v>
      </c>
      <c r="L4065" s="55" t="s">
        <v>3377</v>
      </c>
      <c r="M4065" s="90">
        <f>36+58/60</f>
        <v>36.966666666666669</v>
      </c>
      <c r="N4065" s="90">
        <f>109+18/60</f>
        <v>109.3</v>
      </c>
      <c r="O4065" s="90">
        <v>1275</v>
      </c>
      <c r="Q4065" s="55">
        <v>8.8000000000000007</v>
      </c>
      <c r="S4065" s="90">
        <v>535</v>
      </c>
      <c r="U4065" s="55" t="s">
        <v>1816</v>
      </c>
      <c r="V4065" s="55" t="s">
        <v>1940</v>
      </c>
      <c r="Y4065" s="55" t="s">
        <v>3403</v>
      </c>
      <c r="Z4065" s="55" t="s">
        <v>4464</v>
      </c>
      <c r="AA4065" s="90" t="s">
        <v>1684</v>
      </c>
      <c r="AD4065" s="90">
        <v>1.1599999999999999</v>
      </c>
      <c r="AE4065" s="90">
        <v>21.05</v>
      </c>
      <c r="AF4065" s="90">
        <v>74.489999999999995</v>
      </c>
      <c r="AH4065" s="55" t="s">
        <v>6378</v>
      </c>
      <c r="AI4065" s="168">
        <v>8.1999999999999993</v>
      </c>
      <c r="AJ4065" s="90">
        <v>0.46500000000000002</v>
      </c>
      <c r="AN4065" s="185" t="s">
        <v>3402</v>
      </c>
      <c r="AO4065" s="185" t="s">
        <v>5150</v>
      </c>
      <c r="AQ4065" s="55" t="s">
        <v>553</v>
      </c>
      <c r="AR4065" s="55" t="s">
        <v>3401</v>
      </c>
      <c r="AS4065" s="55" t="s">
        <v>3471</v>
      </c>
      <c r="AU4065" s="181" t="s">
        <v>7494</v>
      </c>
      <c r="AV4065" s="185" t="s">
        <v>176</v>
      </c>
      <c r="AX4065" s="185" t="s">
        <v>176</v>
      </c>
      <c r="BK4065" s="55" t="s">
        <v>6333</v>
      </c>
      <c r="BM4065" s="192" t="s">
        <v>160</v>
      </c>
      <c r="BU4065" s="55" t="s">
        <v>3412</v>
      </c>
      <c r="BV4065" s="55" t="s">
        <v>3406</v>
      </c>
      <c r="CB4065" s="66">
        <v>4790</v>
      </c>
      <c r="CC4065" s="66">
        <v>5630</v>
      </c>
      <c r="CG4065" s="65" t="s">
        <v>3421</v>
      </c>
      <c r="CM4065" s="65">
        <v>0.30199999999999999</v>
      </c>
      <c r="CN4065" s="65">
        <v>0.309</v>
      </c>
      <c r="CQ4065" s="65" t="s">
        <v>3418</v>
      </c>
      <c r="DA4065" s="65" t="s">
        <v>4457</v>
      </c>
      <c r="DB4065" s="65">
        <v>260</v>
      </c>
      <c r="DC4065" s="65">
        <v>260</v>
      </c>
      <c r="DF4065" s="65" t="s">
        <v>3419</v>
      </c>
      <c r="DG4065" s="65">
        <v>540</v>
      </c>
      <c r="DH4065" s="65">
        <v>540</v>
      </c>
      <c r="DK4065" s="65" t="s">
        <v>3420</v>
      </c>
      <c r="GP4065" s="292" t="s">
        <v>7494</v>
      </c>
    </row>
    <row r="4066" spans="1:282" x14ac:dyDescent="0.25">
      <c r="A4066" s="55">
        <v>4065</v>
      </c>
      <c r="B4066" s="12" t="s">
        <v>7067</v>
      </c>
      <c r="C4066" s="155">
        <v>176</v>
      </c>
      <c r="D4066" s="55" t="s">
        <v>3464</v>
      </c>
      <c r="E4066" s="90" t="s">
        <v>3398</v>
      </c>
      <c r="G4066" s="55" t="s">
        <v>3399</v>
      </c>
      <c r="H4066" s="55">
        <v>2015</v>
      </c>
      <c r="I4066" s="55">
        <v>2008</v>
      </c>
      <c r="J4066" s="55" t="s">
        <v>2853</v>
      </c>
      <c r="K4066" s="55" t="s">
        <v>3400</v>
      </c>
      <c r="L4066" s="55" t="s">
        <v>3377</v>
      </c>
      <c r="M4066" s="90">
        <f>36+58/60</f>
        <v>36.966666666666669</v>
      </c>
      <c r="N4066" s="90">
        <f>109+18/60</f>
        <v>109.3</v>
      </c>
      <c r="O4066" s="90">
        <v>1275</v>
      </c>
      <c r="Q4066" s="55">
        <v>8.8000000000000007</v>
      </c>
      <c r="S4066" s="90">
        <v>535</v>
      </c>
      <c r="U4066" s="55" t="s">
        <v>1816</v>
      </c>
      <c r="V4066" s="55" t="s">
        <v>1940</v>
      </c>
      <c r="Y4066" s="55" t="s">
        <v>3403</v>
      </c>
      <c r="Z4066" s="55" t="s">
        <v>3416</v>
      </c>
      <c r="AA4066" s="90" t="s">
        <v>3417</v>
      </c>
      <c r="AD4066" s="90">
        <v>1.1599999999999999</v>
      </c>
      <c r="AE4066" s="90">
        <v>21.05</v>
      </c>
      <c r="AF4066" s="90">
        <v>74.489999999999995</v>
      </c>
      <c r="AH4066" s="55" t="s">
        <v>6378</v>
      </c>
      <c r="AI4066" s="168">
        <v>8.1999999999999993</v>
      </c>
      <c r="AJ4066" s="90">
        <v>0.46500000000000002</v>
      </c>
      <c r="AN4066" s="185" t="s">
        <v>3402</v>
      </c>
      <c r="AO4066" s="185" t="s">
        <v>5150</v>
      </c>
      <c r="AQ4066" s="55" t="s">
        <v>553</v>
      </c>
      <c r="AR4066" s="55" t="s">
        <v>3401</v>
      </c>
      <c r="AS4066" s="55" t="s">
        <v>3471</v>
      </c>
      <c r="AU4066" s="181" t="s">
        <v>7494</v>
      </c>
      <c r="AV4066" s="185" t="s">
        <v>176</v>
      </c>
      <c r="AX4066" s="185" t="s">
        <v>176</v>
      </c>
      <c r="BK4066" s="55" t="s">
        <v>6333</v>
      </c>
      <c r="BM4066" s="192" t="s">
        <v>160</v>
      </c>
      <c r="BU4066" s="55" t="s">
        <v>3410</v>
      </c>
      <c r="BV4066" s="55" t="s">
        <v>3406</v>
      </c>
      <c r="CG4066" s="65" t="s">
        <v>3421</v>
      </c>
      <c r="CM4066" s="65">
        <v>0.307</v>
      </c>
      <c r="CN4066" s="65">
        <v>0.308</v>
      </c>
      <c r="CQ4066" s="65" t="s">
        <v>3418</v>
      </c>
      <c r="DA4066" s="65" t="s">
        <v>4457</v>
      </c>
      <c r="DB4066" s="65">
        <v>260</v>
      </c>
      <c r="DC4066" s="65">
        <v>260</v>
      </c>
      <c r="DF4066" s="65" t="s">
        <v>3419</v>
      </c>
      <c r="DG4066" s="65">
        <v>540</v>
      </c>
      <c r="DH4066" s="65">
        <v>540</v>
      </c>
      <c r="DK4066" s="65" t="s">
        <v>3420</v>
      </c>
      <c r="GP4066" s="292" t="s">
        <v>7494</v>
      </c>
    </row>
    <row r="4067" spans="1:282" x14ac:dyDescent="0.25">
      <c r="A4067" s="55">
        <v>4066</v>
      </c>
      <c r="B4067" s="12" t="s">
        <v>7067</v>
      </c>
      <c r="C4067" s="155">
        <v>176</v>
      </c>
      <c r="D4067" s="55" t="s">
        <v>3465</v>
      </c>
      <c r="E4067" s="90" t="s">
        <v>3398</v>
      </c>
      <c r="G4067" s="55" t="s">
        <v>3399</v>
      </c>
      <c r="H4067" s="55">
        <v>2015</v>
      </c>
      <c r="I4067" s="55">
        <v>2008</v>
      </c>
      <c r="J4067" s="55" t="s">
        <v>2853</v>
      </c>
      <c r="K4067" s="55" t="s">
        <v>3400</v>
      </c>
      <c r="L4067" s="55" t="s">
        <v>3377</v>
      </c>
      <c r="M4067" s="90">
        <f>36+58/60</f>
        <v>36.966666666666669</v>
      </c>
      <c r="N4067" s="90">
        <f>109+18/60</f>
        <v>109.3</v>
      </c>
      <c r="O4067" s="90">
        <v>1275</v>
      </c>
      <c r="Q4067" s="55">
        <v>8.8000000000000007</v>
      </c>
      <c r="S4067" s="90">
        <v>535</v>
      </c>
      <c r="U4067" s="55" t="s">
        <v>1816</v>
      </c>
      <c r="V4067" s="55" t="s">
        <v>1940</v>
      </c>
      <c r="Y4067" s="55" t="s">
        <v>3403</v>
      </c>
      <c r="Z4067" s="55" t="s">
        <v>3416</v>
      </c>
      <c r="AA4067" s="90" t="s">
        <v>3417</v>
      </c>
      <c r="AD4067" s="90">
        <v>1.1599999999999999</v>
      </c>
      <c r="AE4067" s="90">
        <v>21.05</v>
      </c>
      <c r="AF4067" s="90">
        <v>74.489999999999995</v>
      </c>
      <c r="AH4067" s="55" t="s">
        <v>6378</v>
      </c>
      <c r="AI4067" s="168">
        <v>8.1999999999999993</v>
      </c>
      <c r="AJ4067" s="90">
        <v>0.46500000000000002</v>
      </c>
      <c r="AN4067" s="185" t="s">
        <v>3402</v>
      </c>
      <c r="AO4067" s="185" t="s">
        <v>5150</v>
      </c>
      <c r="AQ4067" s="55" t="s">
        <v>553</v>
      </c>
      <c r="AR4067" s="55" t="s">
        <v>3401</v>
      </c>
      <c r="AS4067" s="55" t="s">
        <v>3471</v>
      </c>
      <c r="AU4067" s="181" t="s">
        <v>7494</v>
      </c>
      <c r="AV4067" s="185" t="s">
        <v>176</v>
      </c>
      <c r="AX4067" s="185" t="s">
        <v>176</v>
      </c>
      <c r="BK4067" s="55" t="s">
        <v>6333</v>
      </c>
      <c r="BM4067" s="192" t="s">
        <v>160</v>
      </c>
      <c r="BU4067" s="55" t="s">
        <v>3411</v>
      </c>
      <c r="BV4067" s="55" t="s">
        <v>3406</v>
      </c>
      <c r="CG4067" s="65" t="s">
        <v>3421</v>
      </c>
      <c r="CM4067" s="65">
        <v>0.307</v>
      </c>
      <c r="CN4067" s="65">
        <v>0.31</v>
      </c>
      <c r="CQ4067" s="65" t="s">
        <v>3418</v>
      </c>
      <c r="DA4067" s="65" t="s">
        <v>4457</v>
      </c>
      <c r="DB4067" s="65">
        <v>260</v>
      </c>
      <c r="DC4067" s="65">
        <v>260</v>
      </c>
      <c r="DF4067" s="65" t="s">
        <v>3419</v>
      </c>
      <c r="DG4067" s="65">
        <v>540</v>
      </c>
      <c r="DH4067" s="65">
        <v>530</v>
      </c>
      <c r="DK4067" s="65" t="s">
        <v>3420</v>
      </c>
      <c r="GP4067" s="292" t="s">
        <v>7494</v>
      </c>
    </row>
    <row r="4068" spans="1:282" x14ac:dyDescent="0.25">
      <c r="A4068" s="55">
        <v>4067</v>
      </c>
      <c r="B4068" s="12" t="s">
        <v>7067</v>
      </c>
      <c r="C4068" s="155">
        <v>176</v>
      </c>
      <c r="D4068" s="55" t="s">
        <v>3466</v>
      </c>
      <c r="E4068" s="90" t="s">
        <v>3398</v>
      </c>
      <c r="G4068" s="55" t="s">
        <v>3399</v>
      </c>
      <c r="H4068" s="55">
        <v>2015</v>
      </c>
      <c r="I4068" s="55">
        <v>2008</v>
      </c>
      <c r="J4068" s="55" t="s">
        <v>2853</v>
      </c>
      <c r="K4068" s="55" t="s">
        <v>3400</v>
      </c>
      <c r="L4068" s="55" t="s">
        <v>3377</v>
      </c>
      <c r="M4068" s="90">
        <f>36+58/60</f>
        <v>36.966666666666669</v>
      </c>
      <c r="N4068" s="90">
        <f>109+18/60</f>
        <v>109.3</v>
      </c>
      <c r="O4068" s="90">
        <v>1275</v>
      </c>
      <c r="Q4068" s="55">
        <v>8.8000000000000007</v>
      </c>
      <c r="S4068" s="90">
        <v>535</v>
      </c>
      <c r="U4068" s="55" t="s">
        <v>1816</v>
      </c>
      <c r="V4068" s="55" t="s">
        <v>1940</v>
      </c>
      <c r="Y4068" s="55" t="s">
        <v>3403</v>
      </c>
      <c r="Z4068" s="55" t="s">
        <v>3416</v>
      </c>
      <c r="AA4068" s="90" t="s">
        <v>3417</v>
      </c>
      <c r="AD4068" s="90">
        <v>1.1599999999999999</v>
      </c>
      <c r="AE4068" s="90">
        <v>21.05</v>
      </c>
      <c r="AF4068" s="90">
        <v>74.489999999999995</v>
      </c>
      <c r="AH4068" s="55" t="s">
        <v>6378</v>
      </c>
      <c r="AI4068" s="168">
        <v>8.1999999999999993</v>
      </c>
      <c r="AJ4068" s="90">
        <v>0.46500000000000002</v>
      </c>
      <c r="AN4068" s="185" t="s">
        <v>3402</v>
      </c>
      <c r="AO4068" s="185" t="s">
        <v>5150</v>
      </c>
      <c r="AQ4068" s="55" t="s">
        <v>553</v>
      </c>
      <c r="AR4068" s="55" t="s">
        <v>3401</v>
      </c>
      <c r="AS4068" s="55" t="s">
        <v>3471</v>
      </c>
      <c r="AU4068" s="181" t="s">
        <v>7494</v>
      </c>
      <c r="AV4068" s="185" t="s">
        <v>176</v>
      </c>
      <c r="AX4068" s="185" t="s">
        <v>176</v>
      </c>
      <c r="BK4068" s="55" t="s">
        <v>6333</v>
      </c>
      <c r="BM4068" s="192" t="s">
        <v>160</v>
      </c>
      <c r="BU4068" s="55" t="s">
        <v>3412</v>
      </c>
      <c r="BV4068" s="55" t="s">
        <v>3406</v>
      </c>
      <c r="CG4068" s="65" t="s">
        <v>3421</v>
      </c>
      <c r="CM4068" s="65">
        <v>0.307</v>
      </c>
      <c r="CN4068" s="65">
        <v>0.307</v>
      </c>
      <c r="CQ4068" s="65" t="s">
        <v>3418</v>
      </c>
      <c r="DA4068" s="65" t="s">
        <v>4457</v>
      </c>
      <c r="DB4068" s="65">
        <v>260</v>
      </c>
      <c r="DC4068" s="65">
        <v>260</v>
      </c>
      <c r="DF4068" s="65" t="s">
        <v>3419</v>
      </c>
      <c r="DG4068" s="65">
        <v>540</v>
      </c>
      <c r="DH4068" s="65">
        <v>540</v>
      </c>
      <c r="DK4068" s="65" t="s">
        <v>3420</v>
      </c>
      <c r="GP4068" s="292" t="s">
        <v>7494</v>
      </c>
    </row>
    <row r="4069" spans="1:282" x14ac:dyDescent="0.25">
      <c r="A4069" s="55">
        <v>4068</v>
      </c>
      <c r="B4069" s="12" t="s">
        <v>7067</v>
      </c>
      <c r="C4069" s="155">
        <v>177</v>
      </c>
      <c r="D4069" s="55" t="s">
        <v>3488</v>
      </c>
      <c r="E4069" s="90" t="s">
        <v>3467</v>
      </c>
      <c r="G4069" s="55" t="s">
        <v>3468</v>
      </c>
      <c r="H4069" s="55">
        <v>2017</v>
      </c>
      <c r="J4069" s="55" t="s">
        <v>2635</v>
      </c>
      <c r="K4069" s="55" t="s">
        <v>3478</v>
      </c>
      <c r="L4069" s="55" t="s">
        <v>3377</v>
      </c>
      <c r="M4069" s="90">
        <f>45+41/60</f>
        <v>45.68333333333333</v>
      </c>
      <c r="N4069" s="90">
        <f>126+37/60</f>
        <v>126.61666666666666</v>
      </c>
      <c r="O4069" s="90">
        <v>170.5</v>
      </c>
      <c r="Z4069" s="55" t="s">
        <v>1349</v>
      </c>
      <c r="AA4069" s="90" t="s">
        <v>1677</v>
      </c>
      <c r="AH4069" s="55" t="s">
        <v>238</v>
      </c>
      <c r="AI4069" s="168">
        <v>6.5</v>
      </c>
      <c r="AJ4069" s="90">
        <v>6.1</v>
      </c>
      <c r="AN4069" s="185" t="s">
        <v>116</v>
      </c>
      <c r="AO4069" s="185" t="s">
        <v>5150</v>
      </c>
      <c r="AQ4069" s="55" t="s">
        <v>1545</v>
      </c>
      <c r="AR4069" s="55" t="s">
        <v>3469</v>
      </c>
      <c r="AS4069" s="55" t="s">
        <v>227</v>
      </c>
      <c r="AU4069" s="181" t="s">
        <v>7494</v>
      </c>
      <c r="AV4069" s="185" t="s">
        <v>176</v>
      </c>
      <c r="AX4069" s="185" t="s">
        <v>176</v>
      </c>
      <c r="BK4069" s="55" t="s">
        <v>5976</v>
      </c>
      <c r="BM4069" s="192" t="s">
        <v>160</v>
      </c>
      <c r="BP4069" s="55">
        <v>3</v>
      </c>
      <c r="BV4069" s="55" t="s">
        <v>3479</v>
      </c>
      <c r="BW4069" s="65">
        <v>7.9000000000000001E-2</v>
      </c>
      <c r="BX4069" s="65">
        <v>0.105</v>
      </c>
      <c r="CA4069" s="65" t="s">
        <v>3481</v>
      </c>
      <c r="CM4069" s="65">
        <v>3.7054999999999998</v>
      </c>
      <c r="CN4069" s="65">
        <v>4.1608999999999998</v>
      </c>
      <c r="CO4069" s="65">
        <v>0.22850000000000001</v>
      </c>
      <c r="CP4069" s="65">
        <v>0.25430000000000003</v>
      </c>
      <c r="CQ4069" s="65" t="s">
        <v>3486</v>
      </c>
      <c r="DA4069" s="65" t="s">
        <v>4458</v>
      </c>
      <c r="DB4069" s="65">
        <v>163.84800000000001</v>
      </c>
      <c r="DC4069" s="65">
        <v>121.154</v>
      </c>
      <c r="DD4069" s="65">
        <v>16.338000000000001</v>
      </c>
      <c r="DE4069" s="65">
        <v>9.52</v>
      </c>
      <c r="DF4069" s="65" t="s">
        <v>3487</v>
      </c>
      <c r="DG4069" s="65">
        <v>442.97300000000001</v>
      </c>
      <c r="DH4069" s="65">
        <v>319.68599999999998</v>
      </c>
      <c r="DI4069" s="65">
        <v>2.1139999999999999</v>
      </c>
      <c r="DJ4069" s="65">
        <v>14.923999999999999</v>
      </c>
      <c r="DK4069" s="65" t="s">
        <v>3491</v>
      </c>
      <c r="DL4069" s="65">
        <v>760.02700000000004</v>
      </c>
      <c r="DM4069" s="65">
        <v>613.54</v>
      </c>
      <c r="DN4069" s="65">
        <v>10.223000000000001</v>
      </c>
      <c r="DO4069" s="65">
        <v>19.190000000000001</v>
      </c>
      <c r="DP4069" s="65" t="s">
        <v>3492</v>
      </c>
      <c r="GP4069" s="292" t="s">
        <v>7494</v>
      </c>
      <c r="JU4069" s="55" t="s">
        <v>3482</v>
      </c>
      <c r="JV4069" s="55" t="s">
        <v>3495</v>
      </c>
    </row>
    <row r="4070" spans="1:282" x14ac:dyDescent="0.25">
      <c r="A4070" s="55">
        <v>4069</v>
      </c>
      <c r="B4070" s="12" t="s">
        <v>7067</v>
      </c>
      <c r="C4070" s="155">
        <v>177</v>
      </c>
      <c r="D4070" s="55" t="s">
        <v>3488</v>
      </c>
      <c r="E4070" s="90" t="s">
        <v>3467</v>
      </c>
      <c r="G4070" s="55" t="s">
        <v>3468</v>
      </c>
      <c r="H4070" s="55">
        <v>2017</v>
      </c>
      <c r="J4070" s="55" t="s">
        <v>2635</v>
      </c>
      <c r="K4070" s="55" t="s">
        <v>3478</v>
      </c>
      <c r="L4070" s="55" t="s">
        <v>3377</v>
      </c>
      <c r="M4070" s="90">
        <f>45+41/60</f>
        <v>45.68333333333333</v>
      </c>
      <c r="N4070" s="90">
        <f>126+37/60</f>
        <v>126.61666666666666</v>
      </c>
      <c r="O4070" s="90">
        <v>170.5</v>
      </c>
      <c r="Z4070" s="55" t="s">
        <v>1349</v>
      </c>
      <c r="AA4070" s="90" t="s">
        <v>1677</v>
      </c>
      <c r="AH4070" s="55" t="s">
        <v>238</v>
      </c>
      <c r="AI4070" s="168">
        <v>6.5</v>
      </c>
      <c r="AJ4070" s="90">
        <v>6.1</v>
      </c>
      <c r="AN4070" s="185" t="s">
        <v>116</v>
      </c>
      <c r="AO4070" s="185" t="s">
        <v>5150</v>
      </c>
      <c r="AQ4070" s="55" t="s">
        <v>1545</v>
      </c>
      <c r="AR4070" s="55" t="s">
        <v>3469</v>
      </c>
      <c r="AS4070" s="55" t="s">
        <v>227</v>
      </c>
      <c r="AU4070" s="181" t="s">
        <v>7494</v>
      </c>
      <c r="AV4070" s="185" t="s">
        <v>176</v>
      </c>
      <c r="AX4070" s="185" t="s">
        <v>176</v>
      </c>
      <c r="BK4070" s="55" t="s">
        <v>5976</v>
      </c>
      <c r="BM4070" s="192" t="s">
        <v>160</v>
      </c>
      <c r="BP4070" s="55">
        <v>3</v>
      </c>
      <c r="BV4070" s="55" t="s">
        <v>3479</v>
      </c>
      <c r="BW4070" s="65">
        <v>7.9000000000000001E-2</v>
      </c>
      <c r="BX4070" s="65">
        <v>9.5000000000000001E-2</v>
      </c>
      <c r="CA4070" s="65" t="s">
        <v>3481</v>
      </c>
      <c r="GP4070" s="292" t="s">
        <v>7494</v>
      </c>
      <c r="JU4070" s="55" t="s">
        <v>3482</v>
      </c>
      <c r="JV4070" s="55" t="s">
        <v>3495</v>
      </c>
    </row>
    <row r="4071" spans="1:282" x14ac:dyDescent="0.25">
      <c r="A4071" s="55">
        <v>4070</v>
      </c>
      <c r="B4071" s="12" t="s">
        <v>7067</v>
      </c>
      <c r="C4071" s="155">
        <v>177</v>
      </c>
      <c r="D4071" s="55" t="s">
        <v>3489</v>
      </c>
      <c r="E4071" s="90" t="s">
        <v>3467</v>
      </c>
      <c r="G4071" s="55" t="s">
        <v>3468</v>
      </c>
      <c r="H4071" s="55">
        <v>2017</v>
      </c>
      <c r="J4071" s="55" t="s">
        <v>2635</v>
      </c>
      <c r="K4071" s="55" t="s">
        <v>3478</v>
      </c>
      <c r="L4071" s="55" t="s">
        <v>3377</v>
      </c>
      <c r="M4071" s="90">
        <f>45+41/60</f>
        <v>45.68333333333333</v>
      </c>
      <c r="N4071" s="90">
        <f>126+37/60</f>
        <v>126.61666666666666</v>
      </c>
      <c r="O4071" s="90">
        <v>170.5</v>
      </c>
      <c r="Z4071" s="55" t="s">
        <v>1349</v>
      </c>
      <c r="AA4071" s="90" t="s">
        <v>1677</v>
      </c>
      <c r="AH4071" s="55" t="s">
        <v>238</v>
      </c>
      <c r="AI4071" s="168">
        <v>6.5</v>
      </c>
      <c r="AJ4071" s="90">
        <v>6.1</v>
      </c>
      <c r="AN4071" s="185" t="s">
        <v>116</v>
      </c>
      <c r="AO4071" s="185" t="s">
        <v>5150</v>
      </c>
      <c r="AQ4071" s="55" t="s">
        <v>1545</v>
      </c>
      <c r="AR4071" s="55" t="s">
        <v>3469</v>
      </c>
      <c r="AS4071" s="55" t="s">
        <v>227</v>
      </c>
      <c r="AU4071" s="181" t="s">
        <v>7494</v>
      </c>
      <c r="AV4071" s="185" t="s">
        <v>176</v>
      </c>
      <c r="AX4071" s="185" t="s">
        <v>176</v>
      </c>
      <c r="BK4071" s="55" t="s">
        <v>5976</v>
      </c>
      <c r="BM4071" s="192" t="s">
        <v>160</v>
      </c>
      <c r="BP4071" s="55">
        <v>3</v>
      </c>
      <c r="BV4071" s="55" t="s">
        <v>3479</v>
      </c>
      <c r="BW4071" s="65">
        <v>8.8999999999999996E-2</v>
      </c>
      <c r="BX4071" s="65">
        <v>0.16900000000000001</v>
      </c>
      <c r="CA4071" s="65" t="s">
        <v>3481</v>
      </c>
      <c r="CM4071" s="65">
        <v>3.5842000000000001</v>
      </c>
      <c r="CN4071" s="65">
        <v>3.8927</v>
      </c>
      <c r="CO4071" s="65">
        <v>0.2132</v>
      </c>
      <c r="CP4071" s="65">
        <v>0.29530000000000001</v>
      </c>
      <c r="CQ4071" s="65" t="s">
        <v>3486</v>
      </c>
      <c r="DA4071" s="65" t="s">
        <v>4458</v>
      </c>
      <c r="DB4071" s="65">
        <v>122.646</v>
      </c>
      <c r="DC4071" s="65">
        <v>103.312</v>
      </c>
      <c r="DD4071" s="65">
        <v>17.312999999999999</v>
      </c>
      <c r="DE4071" s="65">
        <v>13.45</v>
      </c>
      <c r="DF4071" s="65" t="s">
        <v>3487</v>
      </c>
      <c r="DG4071" s="65">
        <v>382.07499999999999</v>
      </c>
      <c r="DH4071" s="65">
        <v>328.40199999999999</v>
      </c>
      <c r="DI4071" s="65">
        <v>24.677</v>
      </c>
      <c r="DJ4071" s="65">
        <v>17.13</v>
      </c>
      <c r="DK4071" s="65" t="s">
        <v>3491</v>
      </c>
      <c r="DL4071" s="65">
        <v>725.06</v>
      </c>
      <c r="DM4071" s="65">
        <v>598.72</v>
      </c>
      <c r="DN4071" s="65">
        <v>12.012</v>
      </c>
      <c r="DO4071" s="65">
        <v>7.28</v>
      </c>
      <c r="DP4071" s="65" t="s">
        <v>3492</v>
      </c>
      <c r="GP4071" s="292" t="s">
        <v>7494</v>
      </c>
      <c r="JU4071" s="55" t="s">
        <v>3483</v>
      </c>
      <c r="JV4071" s="55" t="s">
        <v>3495</v>
      </c>
    </row>
    <row r="4072" spans="1:282" x14ac:dyDescent="0.25">
      <c r="A4072" s="55">
        <v>4071</v>
      </c>
      <c r="B4072" s="12" t="s">
        <v>7067</v>
      </c>
      <c r="C4072" s="155">
        <v>177</v>
      </c>
      <c r="D4072" s="55" t="s">
        <v>3489</v>
      </c>
      <c r="E4072" s="90" t="s">
        <v>3467</v>
      </c>
      <c r="G4072" s="55" t="s">
        <v>3468</v>
      </c>
      <c r="H4072" s="55">
        <v>2017</v>
      </c>
      <c r="J4072" s="55" t="s">
        <v>2635</v>
      </c>
      <c r="K4072" s="55" t="s">
        <v>3478</v>
      </c>
      <c r="L4072" s="55" t="s">
        <v>3377</v>
      </c>
      <c r="M4072" s="90">
        <f>45+41/60</f>
        <v>45.68333333333333</v>
      </c>
      <c r="N4072" s="90">
        <f>126+37/60</f>
        <v>126.61666666666666</v>
      </c>
      <c r="O4072" s="90">
        <v>170.5</v>
      </c>
      <c r="Z4072" s="55" t="s">
        <v>1349</v>
      </c>
      <c r="AA4072" s="90" t="s">
        <v>1677</v>
      </c>
      <c r="AH4072" s="55" t="s">
        <v>238</v>
      </c>
      <c r="AI4072" s="168">
        <v>6.5</v>
      </c>
      <c r="AJ4072" s="90">
        <v>6.1</v>
      </c>
      <c r="AN4072" s="185" t="s">
        <v>116</v>
      </c>
      <c r="AO4072" s="185" t="s">
        <v>5150</v>
      </c>
      <c r="AQ4072" s="55" t="s">
        <v>1545</v>
      </c>
      <c r="AR4072" s="55" t="s">
        <v>3469</v>
      </c>
      <c r="AS4072" s="55" t="s">
        <v>227</v>
      </c>
      <c r="AU4072" s="181" t="s">
        <v>7494</v>
      </c>
      <c r="AV4072" s="185" t="s">
        <v>176</v>
      </c>
      <c r="AX4072" s="185" t="s">
        <v>176</v>
      </c>
      <c r="BK4072" s="55" t="s">
        <v>5976</v>
      </c>
      <c r="BM4072" s="192" t="s">
        <v>160</v>
      </c>
      <c r="BP4072" s="55">
        <v>3</v>
      </c>
      <c r="BV4072" s="55" t="s">
        <v>3479</v>
      </c>
      <c r="BW4072" s="65">
        <v>8.8999999999999996E-2</v>
      </c>
      <c r="BX4072" s="65">
        <v>8.4000000000000005E-2</v>
      </c>
      <c r="CA4072" s="65" t="s">
        <v>3481</v>
      </c>
      <c r="GP4072" s="292" t="s">
        <v>7494</v>
      </c>
      <c r="JU4072" s="55" t="s">
        <v>3483</v>
      </c>
      <c r="JV4072" s="55" t="s">
        <v>3495</v>
      </c>
    </row>
    <row r="4073" spans="1:282" x14ac:dyDescent="0.25">
      <c r="A4073" s="55">
        <v>4072</v>
      </c>
      <c r="B4073" s="12" t="s">
        <v>7067</v>
      </c>
      <c r="C4073" s="155">
        <v>177</v>
      </c>
      <c r="D4073" s="55" t="s">
        <v>3489</v>
      </c>
      <c r="E4073" s="90" t="s">
        <v>3467</v>
      </c>
      <c r="G4073" s="55" t="s">
        <v>3468</v>
      </c>
      <c r="H4073" s="55">
        <v>2017</v>
      </c>
      <c r="J4073" s="55" t="s">
        <v>2635</v>
      </c>
      <c r="K4073" s="55" t="s">
        <v>3478</v>
      </c>
      <c r="L4073" s="55" t="s">
        <v>3377</v>
      </c>
      <c r="M4073" s="90">
        <f>45+41/60</f>
        <v>45.68333333333333</v>
      </c>
      <c r="N4073" s="90">
        <f>126+37/60</f>
        <v>126.61666666666666</v>
      </c>
      <c r="O4073" s="90">
        <v>170.5</v>
      </c>
      <c r="Z4073" s="55" t="s">
        <v>1349</v>
      </c>
      <c r="AA4073" s="90" t="s">
        <v>1677</v>
      </c>
      <c r="AH4073" s="55" t="s">
        <v>238</v>
      </c>
      <c r="AI4073" s="168">
        <v>6.5</v>
      </c>
      <c r="AJ4073" s="90">
        <v>6.1</v>
      </c>
      <c r="AN4073" s="185" t="s">
        <v>116</v>
      </c>
      <c r="AO4073" s="185" t="s">
        <v>5150</v>
      </c>
      <c r="AQ4073" s="55" t="s">
        <v>1545</v>
      </c>
      <c r="AR4073" s="55" t="s">
        <v>3469</v>
      </c>
      <c r="AS4073" s="55" t="s">
        <v>227</v>
      </c>
      <c r="AU4073" s="181" t="s">
        <v>7494</v>
      </c>
      <c r="AV4073" s="185" t="s">
        <v>176</v>
      </c>
      <c r="AX4073" s="185" t="s">
        <v>176</v>
      </c>
      <c r="BK4073" s="55" t="s">
        <v>5976</v>
      </c>
      <c r="BM4073" s="192" t="s">
        <v>160</v>
      </c>
      <c r="BP4073" s="55">
        <v>3</v>
      </c>
      <c r="BV4073" s="55" t="s">
        <v>3479</v>
      </c>
      <c r="BW4073" s="65">
        <v>8.8999999999999996E-2</v>
      </c>
      <c r="BX4073" s="65">
        <v>0.109</v>
      </c>
      <c r="CA4073" s="65" t="s">
        <v>3481</v>
      </c>
      <c r="GP4073" s="292" t="s">
        <v>7494</v>
      </c>
      <c r="JU4073" s="55" t="s">
        <v>3483</v>
      </c>
      <c r="JV4073" s="55" t="s">
        <v>3495</v>
      </c>
    </row>
    <row r="4074" spans="1:282" x14ac:dyDescent="0.25">
      <c r="A4074" s="55">
        <v>4073</v>
      </c>
      <c r="B4074" s="12" t="s">
        <v>7067</v>
      </c>
      <c r="C4074" s="155">
        <v>177</v>
      </c>
      <c r="D4074" s="55" t="s">
        <v>3493</v>
      </c>
      <c r="E4074" s="90" t="s">
        <v>3467</v>
      </c>
      <c r="G4074" s="55" t="s">
        <v>3468</v>
      </c>
      <c r="H4074" s="55">
        <v>2017</v>
      </c>
      <c r="J4074" s="55" t="s">
        <v>2635</v>
      </c>
      <c r="K4074" s="55" t="s">
        <v>3478</v>
      </c>
      <c r="L4074" s="55" t="s">
        <v>3377</v>
      </c>
      <c r="M4074" s="90">
        <f>45+41/60</f>
        <v>45.68333333333333</v>
      </c>
      <c r="N4074" s="90">
        <f>126+37/60</f>
        <v>126.61666666666666</v>
      </c>
      <c r="O4074" s="90">
        <v>170.5</v>
      </c>
      <c r="Z4074" s="55" t="s">
        <v>1349</v>
      </c>
      <c r="AA4074" s="90" t="s">
        <v>1677</v>
      </c>
      <c r="AH4074" s="55" t="s">
        <v>238</v>
      </c>
      <c r="AI4074" s="168">
        <v>6.5</v>
      </c>
      <c r="AJ4074" s="90">
        <v>6.1</v>
      </c>
      <c r="AN4074" s="185" t="s">
        <v>116</v>
      </c>
      <c r="AO4074" s="185" t="s">
        <v>5150</v>
      </c>
      <c r="AQ4074" s="55" t="s">
        <v>1545</v>
      </c>
      <c r="AR4074" s="55" t="s">
        <v>3469</v>
      </c>
      <c r="AS4074" s="55" t="s">
        <v>227</v>
      </c>
      <c r="AU4074" s="181" t="s">
        <v>7494</v>
      </c>
      <c r="AV4074" s="185" t="s">
        <v>176</v>
      </c>
      <c r="AX4074" s="185" t="s">
        <v>176</v>
      </c>
      <c r="BK4074" s="55" t="s">
        <v>5976</v>
      </c>
      <c r="BM4074" s="192" t="s">
        <v>160</v>
      </c>
      <c r="BP4074" s="55">
        <v>3</v>
      </c>
      <c r="BV4074" s="55" t="s">
        <v>3480</v>
      </c>
      <c r="BW4074" s="65">
        <v>0.30649999999999999</v>
      </c>
      <c r="BX4074" s="65">
        <v>0.378</v>
      </c>
      <c r="CA4074" s="65" t="s">
        <v>3481</v>
      </c>
      <c r="DB4074" s="65">
        <v>9.5009999999999994</v>
      </c>
      <c r="DC4074" s="65">
        <v>5.7169999999999996</v>
      </c>
      <c r="DD4074" s="65">
        <v>0.73599999999999999</v>
      </c>
      <c r="DE4074" s="65">
        <v>0.16500000000000001</v>
      </c>
      <c r="DF4074" s="65" t="s">
        <v>3490</v>
      </c>
      <c r="GP4074" s="292" t="s">
        <v>7494</v>
      </c>
      <c r="JU4074" s="55" t="s">
        <v>3482</v>
      </c>
      <c r="JV4074" s="55" t="s">
        <v>3495</v>
      </c>
    </row>
    <row r="4075" spans="1:282" x14ac:dyDescent="0.25">
      <c r="A4075" s="55">
        <v>4074</v>
      </c>
      <c r="B4075" s="12" t="s">
        <v>7067</v>
      </c>
      <c r="C4075" s="155">
        <v>177</v>
      </c>
      <c r="D4075" s="55" t="s">
        <v>3493</v>
      </c>
      <c r="E4075" s="90" t="s">
        <v>3467</v>
      </c>
      <c r="G4075" s="55" t="s">
        <v>3468</v>
      </c>
      <c r="H4075" s="55">
        <v>2017</v>
      </c>
      <c r="J4075" s="55" t="s">
        <v>2635</v>
      </c>
      <c r="K4075" s="55" t="s">
        <v>3478</v>
      </c>
      <c r="L4075" s="55" t="s">
        <v>3377</v>
      </c>
      <c r="M4075" s="90">
        <f>45+41/60</f>
        <v>45.68333333333333</v>
      </c>
      <c r="N4075" s="90">
        <f>126+37/60</f>
        <v>126.61666666666666</v>
      </c>
      <c r="O4075" s="90">
        <v>170.5</v>
      </c>
      <c r="Z4075" s="55" t="s">
        <v>1349</v>
      </c>
      <c r="AA4075" s="90" t="s">
        <v>1677</v>
      </c>
      <c r="AH4075" s="55" t="s">
        <v>238</v>
      </c>
      <c r="AI4075" s="168">
        <v>6.5</v>
      </c>
      <c r="AJ4075" s="90">
        <v>6.1</v>
      </c>
      <c r="AN4075" s="185" t="s">
        <v>116</v>
      </c>
      <c r="AO4075" s="185" t="s">
        <v>5150</v>
      </c>
      <c r="AQ4075" s="55" t="s">
        <v>1545</v>
      </c>
      <c r="AR4075" s="55" t="s">
        <v>3469</v>
      </c>
      <c r="AS4075" s="55" t="s">
        <v>227</v>
      </c>
      <c r="AU4075" s="181" t="s">
        <v>7494</v>
      </c>
      <c r="AV4075" s="185" t="s">
        <v>176</v>
      </c>
      <c r="AX4075" s="185" t="s">
        <v>176</v>
      </c>
      <c r="BK4075" s="55" t="s">
        <v>5976</v>
      </c>
      <c r="BM4075" s="192" t="s">
        <v>160</v>
      </c>
      <c r="BP4075" s="55">
        <v>3</v>
      </c>
      <c r="BV4075" s="55" t="s">
        <v>3480</v>
      </c>
      <c r="BW4075" s="65">
        <v>0.30649999999999999</v>
      </c>
      <c r="BX4075" s="65">
        <v>0.32</v>
      </c>
      <c r="CA4075" s="65" t="s">
        <v>3481</v>
      </c>
      <c r="GP4075" s="292" t="s">
        <v>7494</v>
      </c>
      <c r="JU4075" s="55" t="s">
        <v>3482</v>
      </c>
      <c r="JV4075" s="55" t="s">
        <v>3495</v>
      </c>
    </row>
    <row r="4076" spans="1:282" x14ac:dyDescent="0.25">
      <c r="A4076" s="55">
        <v>4075</v>
      </c>
      <c r="B4076" s="12" t="s">
        <v>7067</v>
      </c>
      <c r="C4076" s="155">
        <v>177</v>
      </c>
      <c r="D4076" s="55" t="s">
        <v>3494</v>
      </c>
      <c r="E4076" s="90" t="s">
        <v>3467</v>
      </c>
      <c r="G4076" s="55" t="s">
        <v>3468</v>
      </c>
      <c r="H4076" s="55">
        <v>2017</v>
      </c>
      <c r="J4076" s="55" t="s">
        <v>2635</v>
      </c>
      <c r="K4076" s="55" t="s">
        <v>3478</v>
      </c>
      <c r="L4076" s="55" t="s">
        <v>3377</v>
      </c>
      <c r="M4076" s="90">
        <f>45+41/60</f>
        <v>45.68333333333333</v>
      </c>
      <c r="N4076" s="90">
        <f>126+37/60</f>
        <v>126.61666666666666</v>
      </c>
      <c r="O4076" s="90">
        <v>170.5</v>
      </c>
      <c r="Z4076" s="55" t="s">
        <v>1349</v>
      </c>
      <c r="AA4076" s="90" t="s">
        <v>1677</v>
      </c>
      <c r="AH4076" s="55" t="s">
        <v>238</v>
      </c>
      <c r="AI4076" s="168">
        <v>6.5</v>
      </c>
      <c r="AJ4076" s="90">
        <v>6.1</v>
      </c>
      <c r="AN4076" s="185" t="s">
        <v>116</v>
      </c>
      <c r="AO4076" s="185" t="s">
        <v>5150</v>
      </c>
      <c r="AQ4076" s="55" t="s">
        <v>1545</v>
      </c>
      <c r="AR4076" s="55" t="s">
        <v>3469</v>
      </c>
      <c r="AS4076" s="55" t="s">
        <v>227</v>
      </c>
      <c r="AU4076" s="181" t="s">
        <v>7494</v>
      </c>
      <c r="AV4076" s="185" t="s">
        <v>176</v>
      </c>
      <c r="AX4076" s="185" t="s">
        <v>176</v>
      </c>
      <c r="BK4076" s="55" t="s">
        <v>5976</v>
      </c>
      <c r="BM4076" s="192" t="s">
        <v>160</v>
      </c>
      <c r="BP4076" s="55">
        <v>3</v>
      </c>
      <c r="BV4076" s="55" t="s">
        <v>3480</v>
      </c>
      <c r="BW4076" s="65">
        <v>0.20480000000000001</v>
      </c>
      <c r="BX4076" s="65">
        <v>0.59240000000000004</v>
      </c>
      <c r="CA4076" s="65" t="s">
        <v>3481</v>
      </c>
      <c r="DB4076" s="65">
        <v>6.63</v>
      </c>
      <c r="DC4076" s="65">
        <v>3.5569999999999999</v>
      </c>
      <c r="DD4076" s="65">
        <v>1.1850000000000001</v>
      </c>
      <c r="DE4076" s="65">
        <v>0.504</v>
      </c>
      <c r="DF4076" s="65" t="s">
        <v>3490</v>
      </c>
      <c r="GP4076" s="292" t="s">
        <v>7494</v>
      </c>
      <c r="JU4076" s="55" t="s">
        <v>3483</v>
      </c>
      <c r="JV4076" s="55" t="s">
        <v>3495</v>
      </c>
    </row>
    <row r="4077" spans="1:282" x14ac:dyDescent="0.25">
      <c r="A4077" s="55">
        <v>4076</v>
      </c>
      <c r="B4077" s="12" t="s">
        <v>7067</v>
      </c>
      <c r="C4077" s="155">
        <v>177</v>
      </c>
      <c r="D4077" s="55" t="s">
        <v>3494</v>
      </c>
      <c r="E4077" s="90" t="s">
        <v>3467</v>
      </c>
      <c r="G4077" s="55" t="s">
        <v>3468</v>
      </c>
      <c r="H4077" s="55">
        <v>2017</v>
      </c>
      <c r="J4077" s="55" t="s">
        <v>2635</v>
      </c>
      <c r="K4077" s="55" t="s">
        <v>3478</v>
      </c>
      <c r="L4077" s="55" t="s">
        <v>3377</v>
      </c>
      <c r="M4077" s="90">
        <f>45+41/60</f>
        <v>45.68333333333333</v>
      </c>
      <c r="N4077" s="90">
        <f>126+37/60</f>
        <v>126.61666666666666</v>
      </c>
      <c r="O4077" s="90">
        <v>170.5</v>
      </c>
      <c r="Z4077" s="55" t="s">
        <v>1349</v>
      </c>
      <c r="AA4077" s="90" t="s">
        <v>1677</v>
      </c>
      <c r="AH4077" s="55" t="s">
        <v>238</v>
      </c>
      <c r="AI4077" s="168">
        <v>6.5</v>
      </c>
      <c r="AJ4077" s="90">
        <v>6.1</v>
      </c>
      <c r="AN4077" s="185" t="s">
        <v>116</v>
      </c>
      <c r="AO4077" s="185" t="s">
        <v>5150</v>
      </c>
      <c r="AQ4077" s="55" t="s">
        <v>1545</v>
      </c>
      <c r="AR4077" s="55" t="s">
        <v>3469</v>
      </c>
      <c r="AS4077" s="55" t="s">
        <v>227</v>
      </c>
      <c r="AU4077" s="181" t="s">
        <v>7494</v>
      </c>
      <c r="AV4077" s="185" t="s">
        <v>176</v>
      </c>
      <c r="AX4077" s="185" t="s">
        <v>176</v>
      </c>
      <c r="BK4077" s="55" t="s">
        <v>5976</v>
      </c>
      <c r="BM4077" s="192" t="s">
        <v>160</v>
      </c>
      <c r="BP4077" s="55">
        <v>3</v>
      </c>
      <c r="BV4077" s="55" t="s">
        <v>3480</v>
      </c>
      <c r="BW4077" s="65">
        <v>0.20480000000000001</v>
      </c>
      <c r="BX4077" s="65">
        <v>0.29599999999999999</v>
      </c>
      <c r="CA4077" s="65" t="s">
        <v>3481</v>
      </c>
      <c r="GP4077" s="292" t="s">
        <v>7494</v>
      </c>
      <c r="JU4077" s="55" t="s">
        <v>3483</v>
      </c>
      <c r="JV4077" s="55" t="s">
        <v>3495</v>
      </c>
    </row>
    <row r="4078" spans="1:282" x14ac:dyDescent="0.25">
      <c r="A4078" s="55">
        <v>4077</v>
      </c>
      <c r="B4078" s="12" t="s">
        <v>7067</v>
      </c>
      <c r="C4078" s="155">
        <v>177</v>
      </c>
      <c r="D4078" s="55" t="s">
        <v>3494</v>
      </c>
      <c r="E4078" s="90" t="s">
        <v>3467</v>
      </c>
      <c r="G4078" s="55" t="s">
        <v>3468</v>
      </c>
      <c r="H4078" s="55">
        <v>2017</v>
      </c>
      <c r="J4078" s="55" t="s">
        <v>2635</v>
      </c>
      <c r="K4078" s="55" t="s">
        <v>3478</v>
      </c>
      <c r="L4078" s="55" t="s">
        <v>3377</v>
      </c>
      <c r="M4078" s="90">
        <f>45+41/60</f>
        <v>45.68333333333333</v>
      </c>
      <c r="N4078" s="90">
        <f>126+37/60</f>
        <v>126.61666666666666</v>
      </c>
      <c r="O4078" s="90">
        <v>170.5</v>
      </c>
      <c r="Z4078" s="55" t="s">
        <v>1349</v>
      </c>
      <c r="AA4078" s="90" t="s">
        <v>1677</v>
      </c>
      <c r="AH4078" s="55" t="s">
        <v>238</v>
      </c>
      <c r="AI4078" s="168">
        <v>6.5</v>
      </c>
      <c r="AJ4078" s="90">
        <v>6.1</v>
      </c>
      <c r="AN4078" s="185" t="s">
        <v>116</v>
      </c>
      <c r="AO4078" s="185" t="s">
        <v>5150</v>
      </c>
      <c r="AQ4078" s="55" t="s">
        <v>1545</v>
      </c>
      <c r="AR4078" s="55" t="s">
        <v>3469</v>
      </c>
      <c r="AS4078" s="55" t="s">
        <v>227</v>
      </c>
      <c r="AU4078" s="181" t="s">
        <v>7494</v>
      </c>
      <c r="AV4078" s="185" t="s">
        <v>176</v>
      </c>
      <c r="AX4078" s="185" t="s">
        <v>176</v>
      </c>
      <c r="BK4078" s="55" t="s">
        <v>5976</v>
      </c>
      <c r="BM4078" s="192" t="s">
        <v>160</v>
      </c>
      <c r="BP4078" s="55">
        <v>3</v>
      </c>
      <c r="BV4078" s="55" t="s">
        <v>3480</v>
      </c>
      <c r="BW4078" s="65">
        <v>0.20480000000000001</v>
      </c>
      <c r="BX4078" s="65">
        <v>0.38350000000000001</v>
      </c>
      <c r="CA4078" s="65" t="s">
        <v>3481</v>
      </c>
      <c r="GP4078" s="292" t="s">
        <v>7494</v>
      </c>
      <c r="JU4078" s="55" t="s">
        <v>3483</v>
      </c>
      <c r="JV4078" s="55" t="s">
        <v>3495</v>
      </c>
    </row>
    <row r="4079" spans="1:282" x14ac:dyDescent="0.25">
      <c r="A4079" s="55">
        <v>4078</v>
      </c>
      <c r="B4079" s="12" t="s">
        <v>7067</v>
      </c>
      <c r="C4079" s="155">
        <v>178</v>
      </c>
      <c r="D4079" s="55" t="s">
        <v>3503</v>
      </c>
      <c r="E4079" s="90" t="s">
        <v>3499</v>
      </c>
      <c r="G4079" s="55" t="s">
        <v>3500</v>
      </c>
      <c r="H4079" s="55">
        <v>2017</v>
      </c>
      <c r="I4079" s="55">
        <v>2014</v>
      </c>
      <c r="J4079" s="55" t="s">
        <v>3498</v>
      </c>
      <c r="K4079" s="55" t="s">
        <v>3496</v>
      </c>
      <c r="L4079" s="55" t="s">
        <v>2740</v>
      </c>
      <c r="M4079" s="90">
        <f>50+44/60</f>
        <v>50.733333333333334</v>
      </c>
      <c r="N4079" s="90">
        <f>2+22/60</f>
        <v>2.3666666666666667</v>
      </c>
      <c r="O4079" s="90">
        <v>40</v>
      </c>
      <c r="Q4079" s="55">
        <v>10.5</v>
      </c>
      <c r="S4079" s="90">
        <v>675</v>
      </c>
      <c r="U4079" s="55" t="s">
        <v>1935</v>
      </c>
      <c r="V4079" s="55" t="s">
        <v>1805</v>
      </c>
      <c r="Y4079" s="55" t="s">
        <v>1919</v>
      </c>
      <c r="Z4079" s="55" t="s">
        <v>1356</v>
      </c>
      <c r="AA4079" s="90" t="s">
        <v>1680</v>
      </c>
      <c r="AE4079" s="90">
        <f>SUM(95.2+24.6)*0.1</f>
        <v>11.980000000000002</v>
      </c>
      <c r="AF4079" s="90">
        <f>(232.3+436.3)/10</f>
        <v>66.86</v>
      </c>
      <c r="AH4079" s="55" t="s">
        <v>6378</v>
      </c>
      <c r="AI4079" s="168">
        <v>6.9</v>
      </c>
      <c r="AJ4079" s="90">
        <v>1.1599999999999999</v>
      </c>
      <c r="AN4079" s="185" t="s">
        <v>3497</v>
      </c>
      <c r="AO4079" s="185" t="s">
        <v>5150</v>
      </c>
      <c r="AQ4079" s="55" t="s">
        <v>1603</v>
      </c>
      <c r="AR4079" s="55" t="s">
        <v>116</v>
      </c>
      <c r="AS4079" s="55" t="s">
        <v>116</v>
      </c>
      <c r="AU4079" s="181" t="s">
        <v>7494</v>
      </c>
      <c r="AV4079" s="185" t="s">
        <v>176</v>
      </c>
      <c r="AX4079" s="185" t="s">
        <v>176</v>
      </c>
      <c r="AZ4079" s="55" t="s">
        <v>156</v>
      </c>
      <c r="BA4079" s="55" t="s">
        <v>156</v>
      </c>
      <c r="BB4079" s="55" t="s">
        <v>2082</v>
      </c>
      <c r="BC4079" s="55" t="s">
        <v>2082</v>
      </c>
      <c r="BD4079" s="55" t="s">
        <v>176</v>
      </c>
      <c r="BE4079" s="226">
        <v>0</v>
      </c>
      <c r="BF4079" s="191" t="s">
        <v>176</v>
      </c>
      <c r="BG4079" s="191" t="s">
        <v>176</v>
      </c>
      <c r="BH4079" s="226">
        <v>0</v>
      </c>
      <c r="BI4079" s="191" t="s">
        <v>176</v>
      </c>
      <c r="BJ4079" s="55" t="s">
        <v>176</v>
      </c>
      <c r="BK4079" s="55" t="s">
        <v>6269</v>
      </c>
      <c r="BM4079" s="192" t="s">
        <v>160</v>
      </c>
      <c r="BW4079" s="65">
        <v>3520</v>
      </c>
      <c r="BX4079" s="65">
        <v>3499</v>
      </c>
      <c r="CA4079" s="65" t="s">
        <v>545</v>
      </c>
      <c r="CB4079" s="66">
        <v>1869</v>
      </c>
      <c r="CC4079" s="66">
        <v>2467</v>
      </c>
      <c r="GP4079" s="292" t="s">
        <v>7494</v>
      </c>
      <c r="JU4079" s="55" t="s">
        <v>3509</v>
      </c>
    </row>
    <row r="4080" spans="1:282" x14ac:dyDescent="0.25">
      <c r="A4080" s="55">
        <v>4079</v>
      </c>
      <c r="B4080" s="12" t="s">
        <v>7067</v>
      </c>
      <c r="C4080" s="155">
        <v>178</v>
      </c>
      <c r="D4080" s="55" t="s">
        <v>3504</v>
      </c>
      <c r="E4080" s="90" t="s">
        <v>3499</v>
      </c>
      <c r="G4080" s="55" t="s">
        <v>3500</v>
      </c>
      <c r="H4080" s="55">
        <v>2017</v>
      </c>
      <c r="I4080" s="55">
        <v>2014</v>
      </c>
      <c r="J4080" s="55" t="s">
        <v>3498</v>
      </c>
      <c r="K4080" s="55" t="s">
        <v>3496</v>
      </c>
      <c r="L4080" s="55" t="s">
        <v>2740</v>
      </c>
      <c r="M4080" s="90">
        <f>50+44/60</f>
        <v>50.733333333333334</v>
      </c>
      <c r="N4080" s="90">
        <f>2+22/60</f>
        <v>2.3666666666666667</v>
      </c>
      <c r="O4080" s="90">
        <v>40</v>
      </c>
      <c r="Q4080" s="55">
        <v>10.5</v>
      </c>
      <c r="S4080" s="90">
        <v>675</v>
      </c>
      <c r="U4080" s="55" t="s">
        <v>1935</v>
      </c>
      <c r="V4080" s="55" t="s">
        <v>1805</v>
      </c>
      <c r="Y4080" s="55" t="s">
        <v>1919</v>
      </c>
      <c r="Z4080" s="55" t="s">
        <v>1356</v>
      </c>
      <c r="AA4080" s="90" t="s">
        <v>1680</v>
      </c>
      <c r="AE4080" s="90">
        <f>SUM(95.2+24.6)*0.1</f>
        <v>11.980000000000002</v>
      </c>
      <c r="AF4080" s="90">
        <f>(232.3+436.3)/10</f>
        <v>66.86</v>
      </c>
      <c r="AH4080" s="55" t="s">
        <v>6378</v>
      </c>
      <c r="AI4080" s="168">
        <v>6.9</v>
      </c>
      <c r="AJ4080" s="90">
        <v>1.1599999999999999</v>
      </c>
      <c r="AN4080" s="185" t="s">
        <v>3497</v>
      </c>
      <c r="AO4080" s="185" t="s">
        <v>5150</v>
      </c>
      <c r="AQ4080" s="55" t="s">
        <v>1603</v>
      </c>
      <c r="AR4080" s="55" t="s">
        <v>116</v>
      </c>
      <c r="AS4080" s="55" t="s">
        <v>116</v>
      </c>
      <c r="AU4080" s="181" t="s">
        <v>7494</v>
      </c>
      <c r="AV4080" s="185" t="s">
        <v>176</v>
      </c>
      <c r="AX4080" s="185" t="s">
        <v>176</v>
      </c>
      <c r="AZ4080" s="55" t="s">
        <v>229</v>
      </c>
      <c r="BA4080" s="55" t="s">
        <v>229</v>
      </c>
      <c r="BB4080" s="55" t="s">
        <v>2081</v>
      </c>
      <c r="BC4080" s="55" t="s">
        <v>2081</v>
      </c>
      <c r="BD4080" s="55" t="s">
        <v>176</v>
      </c>
      <c r="BE4080" s="226">
        <v>0</v>
      </c>
      <c r="BF4080" s="191" t="s">
        <v>176</v>
      </c>
      <c r="BG4080" s="191" t="s">
        <v>176</v>
      </c>
      <c r="BH4080" s="226">
        <v>0</v>
      </c>
      <c r="BI4080" s="191" t="s">
        <v>176</v>
      </c>
      <c r="BJ4080" s="55" t="s">
        <v>176</v>
      </c>
      <c r="BK4080" s="55" t="s">
        <v>5976</v>
      </c>
      <c r="BM4080" s="192" t="s">
        <v>160</v>
      </c>
      <c r="BW4080" s="65">
        <v>5868</v>
      </c>
      <c r="BX4080" s="65">
        <v>5583</v>
      </c>
      <c r="CA4080" s="65" t="s">
        <v>545</v>
      </c>
      <c r="CB4080" s="66">
        <v>2228</v>
      </c>
      <c r="CC4080" s="66">
        <v>2530</v>
      </c>
      <c r="GP4080" s="292" t="s">
        <v>7494</v>
      </c>
      <c r="JU4080" s="55" t="s">
        <v>3509</v>
      </c>
    </row>
    <row r="4081" spans="1:281" x14ac:dyDescent="0.25">
      <c r="A4081" s="55">
        <v>4080</v>
      </c>
      <c r="B4081" s="12" t="s">
        <v>7067</v>
      </c>
      <c r="C4081" s="155">
        <v>178</v>
      </c>
      <c r="D4081" s="55" t="s">
        <v>3505</v>
      </c>
      <c r="E4081" s="90" t="s">
        <v>3499</v>
      </c>
      <c r="G4081" s="55" t="s">
        <v>3500</v>
      </c>
      <c r="H4081" s="55">
        <v>2017</v>
      </c>
      <c r="I4081" s="55">
        <v>2014</v>
      </c>
      <c r="J4081" s="55" t="s">
        <v>3498</v>
      </c>
      <c r="K4081" s="55" t="s">
        <v>3496</v>
      </c>
      <c r="L4081" s="55" t="s">
        <v>2740</v>
      </c>
      <c r="M4081" s="90">
        <f>50+44/60</f>
        <v>50.733333333333334</v>
      </c>
      <c r="N4081" s="90">
        <f>2+22/60</f>
        <v>2.3666666666666667</v>
      </c>
      <c r="O4081" s="90">
        <v>40</v>
      </c>
      <c r="Q4081" s="55">
        <v>10.5</v>
      </c>
      <c r="S4081" s="90">
        <v>675</v>
      </c>
      <c r="U4081" s="55" t="s">
        <v>1935</v>
      </c>
      <c r="V4081" s="55" t="s">
        <v>1805</v>
      </c>
      <c r="Y4081" s="55" t="s">
        <v>1919</v>
      </c>
      <c r="Z4081" s="55" t="s">
        <v>1356</v>
      </c>
      <c r="AA4081" s="90" t="s">
        <v>1680</v>
      </c>
      <c r="AE4081" s="90">
        <f>SUM(95.2+24.6)*0.1</f>
        <v>11.980000000000002</v>
      </c>
      <c r="AF4081" s="90">
        <f>(232.3+436.3)/10</f>
        <v>66.86</v>
      </c>
      <c r="AH4081" s="55" t="s">
        <v>6378</v>
      </c>
      <c r="AI4081" s="168">
        <v>6.9</v>
      </c>
      <c r="AJ4081" s="90">
        <v>1.1599999999999999</v>
      </c>
      <c r="AN4081" s="185" t="s">
        <v>3497</v>
      </c>
      <c r="AO4081" s="185" t="s">
        <v>5150</v>
      </c>
      <c r="AQ4081" s="55" t="s">
        <v>1603</v>
      </c>
      <c r="AR4081" s="55" t="s">
        <v>116</v>
      </c>
      <c r="AS4081" s="55" t="s">
        <v>116</v>
      </c>
      <c r="AU4081" s="181" t="s">
        <v>7494</v>
      </c>
      <c r="AV4081" s="185" t="s">
        <v>176</v>
      </c>
      <c r="AX4081" s="185" t="s">
        <v>176</v>
      </c>
      <c r="AZ4081" s="55" t="s">
        <v>156</v>
      </c>
      <c r="BA4081" s="55" t="s">
        <v>156</v>
      </c>
      <c r="BB4081" s="55" t="s">
        <v>2082</v>
      </c>
      <c r="BC4081" s="55" t="s">
        <v>2082</v>
      </c>
      <c r="BD4081" s="55" t="s">
        <v>176</v>
      </c>
      <c r="BE4081" s="226" t="s">
        <v>3501</v>
      </c>
      <c r="BF4081" s="191" t="s">
        <v>479</v>
      </c>
      <c r="BG4081" s="191" t="s">
        <v>479</v>
      </c>
      <c r="BH4081" s="226" t="s">
        <v>3501</v>
      </c>
      <c r="BI4081" s="191" t="s">
        <v>479</v>
      </c>
      <c r="BJ4081" s="55" t="s">
        <v>176</v>
      </c>
      <c r="BK4081" s="55" t="s">
        <v>6269</v>
      </c>
      <c r="BM4081" s="192" t="s">
        <v>160</v>
      </c>
      <c r="BW4081" s="65">
        <v>13921</v>
      </c>
      <c r="BX4081" s="65">
        <v>15434</v>
      </c>
      <c r="CA4081" s="65" t="s">
        <v>545</v>
      </c>
      <c r="CB4081" s="66">
        <v>6463</v>
      </c>
      <c r="CC4081" s="66">
        <v>8109</v>
      </c>
      <c r="GP4081" s="292" t="s">
        <v>7494</v>
      </c>
      <c r="JU4081" s="55" t="s">
        <v>3509</v>
      </c>
    </row>
    <row r="4082" spans="1:281" x14ac:dyDescent="0.25">
      <c r="A4082" s="55">
        <v>4081</v>
      </c>
      <c r="B4082" s="12" t="s">
        <v>7067</v>
      </c>
      <c r="C4082" s="155">
        <v>178</v>
      </c>
      <c r="D4082" s="55" t="s">
        <v>3506</v>
      </c>
      <c r="E4082" s="90" t="s">
        <v>3499</v>
      </c>
      <c r="G4082" s="55" t="s">
        <v>3500</v>
      </c>
      <c r="H4082" s="55">
        <v>2017</v>
      </c>
      <c r="I4082" s="55">
        <v>2014</v>
      </c>
      <c r="J4082" s="55" t="s">
        <v>3498</v>
      </c>
      <c r="K4082" s="55" t="s">
        <v>3496</v>
      </c>
      <c r="L4082" s="55" t="s">
        <v>2740</v>
      </c>
      <c r="M4082" s="90">
        <f>50+44/60</f>
        <v>50.733333333333334</v>
      </c>
      <c r="N4082" s="90">
        <f>2+22/60</f>
        <v>2.3666666666666667</v>
      </c>
      <c r="O4082" s="90">
        <v>40</v>
      </c>
      <c r="Q4082" s="55">
        <v>10.5</v>
      </c>
      <c r="S4082" s="90">
        <v>675</v>
      </c>
      <c r="U4082" s="55" t="s">
        <v>1935</v>
      </c>
      <c r="V4082" s="55" t="s">
        <v>1805</v>
      </c>
      <c r="Y4082" s="55" t="s">
        <v>1919</v>
      </c>
      <c r="Z4082" s="55" t="s">
        <v>1356</v>
      </c>
      <c r="AA4082" s="90" t="s">
        <v>1680</v>
      </c>
      <c r="AE4082" s="90">
        <f>SUM(95.2+24.6)*0.1</f>
        <v>11.980000000000002</v>
      </c>
      <c r="AF4082" s="90">
        <f>(232.3+436.3)/10</f>
        <v>66.86</v>
      </c>
      <c r="AH4082" s="55" t="s">
        <v>6378</v>
      </c>
      <c r="AI4082" s="168">
        <v>6.9</v>
      </c>
      <c r="AJ4082" s="90">
        <v>1.1599999999999999</v>
      </c>
      <c r="AN4082" s="185" t="s">
        <v>3497</v>
      </c>
      <c r="AO4082" s="185" t="s">
        <v>5150</v>
      </c>
      <c r="AQ4082" s="55" t="s">
        <v>1603</v>
      </c>
      <c r="AR4082" s="55" t="s">
        <v>116</v>
      </c>
      <c r="AS4082" s="55" t="s">
        <v>116</v>
      </c>
      <c r="AU4082" s="181" t="s">
        <v>7494</v>
      </c>
      <c r="AV4082" s="185" t="s">
        <v>176</v>
      </c>
      <c r="AX4082" s="185" t="s">
        <v>176</v>
      </c>
      <c r="AZ4082" s="55" t="s">
        <v>229</v>
      </c>
      <c r="BA4082" s="55" t="s">
        <v>229</v>
      </c>
      <c r="BB4082" s="55" t="s">
        <v>2081</v>
      </c>
      <c r="BC4082" s="55" t="s">
        <v>2081</v>
      </c>
      <c r="BD4082" s="55" t="s">
        <v>176</v>
      </c>
      <c r="BE4082" s="226" t="s">
        <v>3501</v>
      </c>
      <c r="BF4082" s="191" t="s">
        <v>479</v>
      </c>
      <c r="BG4082" s="191" t="s">
        <v>479</v>
      </c>
      <c r="BH4082" s="226" t="s">
        <v>3501</v>
      </c>
      <c r="BI4082" s="191" t="s">
        <v>479</v>
      </c>
      <c r="BJ4082" s="55" t="s">
        <v>176</v>
      </c>
      <c r="BK4082" s="55" t="s">
        <v>5976</v>
      </c>
      <c r="BM4082" s="192" t="s">
        <v>160</v>
      </c>
      <c r="BW4082" s="65">
        <v>17805</v>
      </c>
      <c r="BX4082" s="65">
        <v>16231</v>
      </c>
      <c r="CA4082" s="65" t="s">
        <v>545</v>
      </c>
      <c r="CB4082" s="66">
        <v>8390</v>
      </c>
      <c r="CC4082" s="66">
        <v>8534</v>
      </c>
      <c r="GP4082" s="292" t="s">
        <v>7494</v>
      </c>
      <c r="JU4082" s="55" t="s">
        <v>3509</v>
      </c>
    </row>
    <row r="4083" spans="1:281" x14ac:dyDescent="0.25">
      <c r="A4083" s="55">
        <v>4082</v>
      </c>
      <c r="B4083" s="12" t="s">
        <v>7067</v>
      </c>
      <c r="C4083" s="155">
        <v>178</v>
      </c>
      <c r="D4083" s="55" t="s">
        <v>3507</v>
      </c>
      <c r="E4083" s="90" t="s">
        <v>3499</v>
      </c>
      <c r="G4083" s="55" t="s">
        <v>3500</v>
      </c>
      <c r="H4083" s="55">
        <v>2017</v>
      </c>
      <c r="I4083" s="55">
        <v>2014</v>
      </c>
      <c r="J4083" s="55" t="s">
        <v>3498</v>
      </c>
      <c r="K4083" s="55" t="s">
        <v>3496</v>
      </c>
      <c r="L4083" s="55" t="s">
        <v>2740</v>
      </c>
      <c r="M4083" s="90">
        <f>50+44/60</f>
        <v>50.733333333333334</v>
      </c>
      <c r="N4083" s="90">
        <f>2+22/60</f>
        <v>2.3666666666666667</v>
      </c>
      <c r="O4083" s="90">
        <v>40</v>
      </c>
      <c r="Q4083" s="55">
        <v>10.5</v>
      </c>
      <c r="S4083" s="90">
        <v>675</v>
      </c>
      <c r="U4083" s="55" t="s">
        <v>1935</v>
      </c>
      <c r="V4083" s="55" t="s">
        <v>1805</v>
      </c>
      <c r="Y4083" s="55" t="s">
        <v>1919</v>
      </c>
      <c r="Z4083" s="55" t="s">
        <v>1356</v>
      </c>
      <c r="AA4083" s="90" t="s">
        <v>1680</v>
      </c>
      <c r="AE4083" s="90">
        <f>SUM(95.2+24.6)*0.1</f>
        <v>11.980000000000002</v>
      </c>
      <c r="AF4083" s="90">
        <f>(232.3+436.3)/10</f>
        <v>66.86</v>
      </c>
      <c r="AH4083" s="55" t="s">
        <v>6378</v>
      </c>
      <c r="AI4083" s="168">
        <v>6.9</v>
      </c>
      <c r="AJ4083" s="90">
        <v>1.1599999999999999</v>
      </c>
      <c r="AN4083" s="185" t="s">
        <v>3497</v>
      </c>
      <c r="AO4083" s="185" t="s">
        <v>5150</v>
      </c>
      <c r="AQ4083" s="55" t="s">
        <v>1603</v>
      </c>
      <c r="AR4083" s="55" t="s">
        <v>116</v>
      </c>
      <c r="AS4083" s="55" t="s">
        <v>116</v>
      </c>
      <c r="AU4083" s="181" t="s">
        <v>7494</v>
      </c>
      <c r="AV4083" s="185" t="s">
        <v>176</v>
      </c>
      <c r="AX4083" s="185" t="s">
        <v>176</v>
      </c>
      <c r="AZ4083" s="55" t="s">
        <v>156</v>
      </c>
      <c r="BA4083" s="55" t="s">
        <v>156</v>
      </c>
      <c r="BB4083" s="55" t="s">
        <v>2082</v>
      </c>
      <c r="BC4083" s="55" t="s">
        <v>2082</v>
      </c>
      <c r="BD4083" s="55" t="s">
        <v>176</v>
      </c>
      <c r="BE4083" s="226" t="s">
        <v>3502</v>
      </c>
      <c r="BF4083" s="191" t="s">
        <v>479</v>
      </c>
      <c r="BG4083" s="191" t="s">
        <v>479</v>
      </c>
      <c r="BH4083" s="226" t="s">
        <v>3502</v>
      </c>
      <c r="BI4083" s="191" t="s">
        <v>479</v>
      </c>
      <c r="BJ4083" s="55" t="s">
        <v>176</v>
      </c>
      <c r="BK4083" s="55" t="s">
        <v>6269</v>
      </c>
      <c r="BM4083" s="192" t="s">
        <v>160</v>
      </c>
      <c r="BW4083" s="65">
        <v>18194</v>
      </c>
      <c r="BX4083" s="65">
        <v>17196</v>
      </c>
      <c r="CA4083" s="65" t="s">
        <v>545</v>
      </c>
      <c r="CB4083" s="66">
        <v>8967</v>
      </c>
      <c r="CC4083" s="66">
        <v>9065</v>
      </c>
      <c r="GP4083" s="292" t="s">
        <v>7494</v>
      </c>
      <c r="JU4083" s="55" t="s">
        <v>3509</v>
      </c>
    </row>
    <row r="4084" spans="1:281" x14ac:dyDescent="0.25">
      <c r="A4084" s="55">
        <v>4083</v>
      </c>
      <c r="B4084" s="12" t="s">
        <v>7067</v>
      </c>
      <c r="C4084" s="155">
        <v>178</v>
      </c>
      <c r="D4084" s="55" t="s">
        <v>3508</v>
      </c>
      <c r="E4084" s="90" t="s">
        <v>3499</v>
      </c>
      <c r="G4084" s="55" t="s">
        <v>3500</v>
      </c>
      <c r="H4084" s="55">
        <v>2017</v>
      </c>
      <c r="I4084" s="55">
        <v>2014</v>
      </c>
      <c r="J4084" s="55" t="s">
        <v>3498</v>
      </c>
      <c r="K4084" s="55" t="s">
        <v>3496</v>
      </c>
      <c r="L4084" s="55" t="s">
        <v>2740</v>
      </c>
      <c r="M4084" s="90">
        <f>50+44/60</f>
        <v>50.733333333333334</v>
      </c>
      <c r="N4084" s="90">
        <f>2+22/60</f>
        <v>2.3666666666666667</v>
      </c>
      <c r="O4084" s="90">
        <v>40</v>
      </c>
      <c r="Q4084" s="55">
        <v>10.5</v>
      </c>
      <c r="S4084" s="90">
        <v>675</v>
      </c>
      <c r="U4084" s="55" t="s">
        <v>1935</v>
      </c>
      <c r="V4084" s="55" t="s">
        <v>1805</v>
      </c>
      <c r="Y4084" s="55" t="s">
        <v>1919</v>
      </c>
      <c r="Z4084" s="55" t="s">
        <v>1356</v>
      </c>
      <c r="AA4084" s="90" t="s">
        <v>1680</v>
      </c>
      <c r="AE4084" s="90">
        <f>SUM(95.2+24.6)*0.1</f>
        <v>11.980000000000002</v>
      </c>
      <c r="AF4084" s="90">
        <f>(232.3+436.3)/10</f>
        <v>66.86</v>
      </c>
      <c r="AH4084" s="55" t="s">
        <v>6378</v>
      </c>
      <c r="AI4084" s="168">
        <v>6.9</v>
      </c>
      <c r="AJ4084" s="90">
        <v>1.1599999999999999</v>
      </c>
      <c r="AN4084" s="185" t="s">
        <v>3497</v>
      </c>
      <c r="AO4084" s="185" t="s">
        <v>5150</v>
      </c>
      <c r="AQ4084" s="55" t="s">
        <v>1603</v>
      </c>
      <c r="AR4084" s="55" t="s">
        <v>116</v>
      </c>
      <c r="AS4084" s="55" t="s">
        <v>116</v>
      </c>
      <c r="AU4084" s="181" t="s">
        <v>7494</v>
      </c>
      <c r="AV4084" s="185" t="s">
        <v>176</v>
      </c>
      <c r="AX4084" s="185" t="s">
        <v>176</v>
      </c>
      <c r="AZ4084" s="55" t="s">
        <v>229</v>
      </c>
      <c r="BA4084" s="55" t="s">
        <v>229</v>
      </c>
      <c r="BB4084" s="55" t="s">
        <v>2081</v>
      </c>
      <c r="BC4084" s="55" t="s">
        <v>2081</v>
      </c>
      <c r="BD4084" s="55" t="s">
        <v>176</v>
      </c>
      <c r="BE4084" s="226" t="s">
        <v>3502</v>
      </c>
      <c r="BF4084" s="191" t="s">
        <v>479</v>
      </c>
      <c r="BG4084" s="191" t="s">
        <v>479</v>
      </c>
      <c r="BH4084" s="226" t="s">
        <v>3502</v>
      </c>
      <c r="BI4084" s="191" t="s">
        <v>479</v>
      </c>
      <c r="BJ4084" s="55" t="s">
        <v>176</v>
      </c>
      <c r="BK4084" s="55" t="s">
        <v>5976</v>
      </c>
      <c r="BM4084" s="192" t="s">
        <v>160</v>
      </c>
      <c r="BW4084" s="65">
        <v>17409</v>
      </c>
      <c r="BX4084" s="65">
        <v>18936</v>
      </c>
      <c r="CA4084" s="65" t="s">
        <v>545</v>
      </c>
      <c r="CB4084" s="66">
        <v>8409</v>
      </c>
      <c r="CC4084" s="66">
        <v>10069</v>
      </c>
      <c r="GP4084" s="292" t="s">
        <v>7494</v>
      </c>
      <c r="JU4084" s="55" t="s">
        <v>3509</v>
      </c>
    </row>
    <row r="4085" spans="1:281" x14ac:dyDescent="0.25">
      <c r="A4085" s="55">
        <v>4084</v>
      </c>
      <c r="B4085" s="12" t="s">
        <v>7067</v>
      </c>
      <c r="C4085" s="155">
        <v>178</v>
      </c>
      <c r="D4085" s="55" t="s">
        <v>3503</v>
      </c>
      <c r="E4085" s="90" t="s">
        <v>3499</v>
      </c>
      <c r="G4085" s="55" t="s">
        <v>3500</v>
      </c>
      <c r="H4085" s="55">
        <v>2017</v>
      </c>
      <c r="I4085" s="55">
        <v>2015</v>
      </c>
      <c r="J4085" s="55" t="s">
        <v>3498</v>
      </c>
      <c r="K4085" s="55" t="s">
        <v>3496</v>
      </c>
      <c r="L4085" s="55" t="s">
        <v>2740</v>
      </c>
      <c r="M4085" s="90">
        <f>50+44/60</f>
        <v>50.733333333333334</v>
      </c>
      <c r="N4085" s="90">
        <f>2+22/60</f>
        <v>2.3666666666666667</v>
      </c>
      <c r="O4085" s="90">
        <v>40</v>
      </c>
      <c r="Q4085" s="55">
        <v>10.5</v>
      </c>
      <c r="S4085" s="90">
        <v>675</v>
      </c>
      <c r="U4085" s="55" t="s">
        <v>1805</v>
      </c>
      <c r="V4085" s="55" t="s">
        <v>1805</v>
      </c>
      <c r="Y4085" s="55" t="s">
        <v>1919</v>
      </c>
      <c r="Z4085" s="55" t="s">
        <v>1356</v>
      </c>
      <c r="AA4085" s="90" t="s">
        <v>1680</v>
      </c>
      <c r="AE4085" s="90">
        <f>SUM(95.2+24.6)*0.1</f>
        <v>11.980000000000002</v>
      </c>
      <c r="AF4085" s="90">
        <f>(232.3+436.3)/10</f>
        <v>66.86</v>
      </c>
      <c r="AH4085" s="55" t="s">
        <v>6378</v>
      </c>
      <c r="AI4085" s="168">
        <v>6.9</v>
      </c>
      <c r="AJ4085" s="90">
        <v>1.1599999999999999</v>
      </c>
      <c r="AN4085" s="185" t="s">
        <v>3497</v>
      </c>
      <c r="AO4085" s="185" t="s">
        <v>5150</v>
      </c>
      <c r="AQ4085" s="55" t="s">
        <v>1603</v>
      </c>
      <c r="AR4085" s="55" t="s">
        <v>116</v>
      </c>
      <c r="AS4085" s="55" t="s">
        <v>116</v>
      </c>
      <c r="AU4085" s="181" t="s">
        <v>7494</v>
      </c>
      <c r="AV4085" s="185" t="s">
        <v>176</v>
      </c>
      <c r="AX4085" s="185" t="s">
        <v>176</v>
      </c>
      <c r="AZ4085" s="55" t="s">
        <v>156</v>
      </c>
      <c r="BA4085" s="55" t="s">
        <v>156</v>
      </c>
      <c r="BB4085" s="55" t="s">
        <v>2082</v>
      </c>
      <c r="BC4085" s="55" t="s">
        <v>2082</v>
      </c>
      <c r="BD4085" s="55" t="s">
        <v>176</v>
      </c>
      <c r="BE4085" s="226">
        <v>0</v>
      </c>
      <c r="BF4085" s="191" t="s">
        <v>176</v>
      </c>
      <c r="BG4085" s="191" t="s">
        <v>176</v>
      </c>
      <c r="BH4085" s="226">
        <v>0</v>
      </c>
      <c r="BI4085" s="191" t="s">
        <v>176</v>
      </c>
      <c r="BJ4085" s="55" t="s">
        <v>176</v>
      </c>
      <c r="BK4085" s="55" t="s">
        <v>6269</v>
      </c>
      <c r="BM4085" s="192" t="s">
        <v>160</v>
      </c>
      <c r="BW4085" s="65">
        <v>4541</v>
      </c>
      <c r="BX4085" s="65">
        <v>5229</v>
      </c>
      <c r="CA4085" s="65" t="s">
        <v>545</v>
      </c>
      <c r="CB4085" s="66">
        <v>2298</v>
      </c>
      <c r="CC4085" s="66">
        <v>2492</v>
      </c>
      <c r="GP4085" s="292" t="s">
        <v>7494</v>
      </c>
      <c r="JU4085" s="55" t="s">
        <v>3509</v>
      </c>
    </row>
    <row r="4086" spans="1:281" x14ac:dyDescent="0.25">
      <c r="A4086" s="55">
        <v>4085</v>
      </c>
      <c r="B4086" s="12" t="s">
        <v>7067</v>
      </c>
      <c r="C4086" s="155">
        <v>178</v>
      </c>
      <c r="D4086" s="55" t="s">
        <v>3504</v>
      </c>
      <c r="E4086" s="90" t="s">
        <v>3499</v>
      </c>
      <c r="G4086" s="55" t="s">
        <v>3500</v>
      </c>
      <c r="H4086" s="55">
        <v>2017</v>
      </c>
      <c r="I4086" s="55">
        <v>2015</v>
      </c>
      <c r="J4086" s="55" t="s">
        <v>3498</v>
      </c>
      <c r="K4086" s="55" t="s">
        <v>3496</v>
      </c>
      <c r="L4086" s="55" t="s">
        <v>2740</v>
      </c>
      <c r="M4086" s="90">
        <f>50+44/60</f>
        <v>50.733333333333334</v>
      </c>
      <c r="N4086" s="90">
        <f>2+22/60</f>
        <v>2.3666666666666667</v>
      </c>
      <c r="O4086" s="90">
        <v>40</v>
      </c>
      <c r="Q4086" s="55">
        <v>10.5</v>
      </c>
      <c r="S4086" s="90">
        <v>675</v>
      </c>
      <c r="U4086" s="55" t="s">
        <v>1805</v>
      </c>
      <c r="V4086" s="55" t="s">
        <v>1805</v>
      </c>
      <c r="Y4086" s="55" t="s">
        <v>1919</v>
      </c>
      <c r="Z4086" s="55" t="s">
        <v>1356</v>
      </c>
      <c r="AA4086" s="90" t="s">
        <v>1680</v>
      </c>
      <c r="AE4086" s="90">
        <f>SUM(95.2+24.6)*0.1</f>
        <v>11.980000000000002</v>
      </c>
      <c r="AF4086" s="90">
        <f>(232.3+436.3)/10</f>
        <v>66.86</v>
      </c>
      <c r="AH4086" s="55" t="s">
        <v>6378</v>
      </c>
      <c r="AI4086" s="168">
        <v>6.9</v>
      </c>
      <c r="AJ4086" s="90">
        <v>1.1599999999999999</v>
      </c>
      <c r="AN4086" s="185" t="s">
        <v>3497</v>
      </c>
      <c r="AO4086" s="185" t="s">
        <v>5150</v>
      </c>
      <c r="AQ4086" s="55" t="s">
        <v>1603</v>
      </c>
      <c r="AR4086" s="55" t="s">
        <v>116</v>
      </c>
      <c r="AS4086" s="55" t="s">
        <v>116</v>
      </c>
      <c r="AU4086" s="181" t="s">
        <v>7494</v>
      </c>
      <c r="AV4086" s="185" t="s">
        <v>176</v>
      </c>
      <c r="AX4086" s="185" t="s">
        <v>176</v>
      </c>
      <c r="AZ4086" s="55" t="s">
        <v>229</v>
      </c>
      <c r="BA4086" s="55" t="s">
        <v>229</v>
      </c>
      <c r="BB4086" s="55" t="s">
        <v>2081</v>
      </c>
      <c r="BC4086" s="55" t="s">
        <v>2081</v>
      </c>
      <c r="BD4086" s="55" t="s">
        <v>176</v>
      </c>
      <c r="BE4086" s="226">
        <v>0</v>
      </c>
      <c r="BF4086" s="191" t="s">
        <v>176</v>
      </c>
      <c r="BG4086" s="191" t="s">
        <v>176</v>
      </c>
      <c r="BH4086" s="226">
        <v>0</v>
      </c>
      <c r="BI4086" s="191" t="s">
        <v>176</v>
      </c>
      <c r="BJ4086" s="55" t="s">
        <v>176</v>
      </c>
      <c r="BK4086" s="55" t="s">
        <v>5976</v>
      </c>
      <c r="BM4086" s="192" t="s">
        <v>160</v>
      </c>
      <c r="BW4086" s="65">
        <v>5870</v>
      </c>
      <c r="BX4086" s="65">
        <v>7192</v>
      </c>
      <c r="CA4086" s="65" t="s">
        <v>545</v>
      </c>
      <c r="CB4086" s="66">
        <v>2548</v>
      </c>
      <c r="CC4086" s="66">
        <v>3495</v>
      </c>
      <c r="GP4086" s="292" t="s">
        <v>7494</v>
      </c>
      <c r="JU4086" s="55" t="s">
        <v>3509</v>
      </c>
    </row>
    <row r="4087" spans="1:281" x14ac:dyDescent="0.25">
      <c r="A4087" s="55">
        <v>4086</v>
      </c>
      <c r="B4087" s="12" t="s">
        <v>7067</v>
      </c>
      <c r="C4087" s="155">
        <v>178</v>
      </c>
      <c r="D4087" s="55" t="s">
        <v>3505</v>
      </c>
      <c r="E4087" s="90" t="s">
        <v>3499</v>
      </c>
      <c r="G4087" s="55" t="s">
        <v>3500</v>
      </c>
      <c r="H4087" s="55">
        <v>2017</v>
      </c>
      <c r="I4087" s="55">
        <v>2015</v>
      </c>
      <c r="J4087" s="55" t="s">
        <v>3498</v>
      </c>
      <c r="K4087" s="55" t="s">
        <v>3496</v>
      </c>
      <c r="L4087" s="55" t="s">
        <v>2740</v>
      </c>
      <c r="M4087" s="90">
        <f>50+44/60</f>
        <v>50.733333333333334</v>
      </c>
      <c r="N4087" s="90">
        <f>2+22/60</f>
        <v>2.3666666666666667</v>
      </c>
      <c r="O4087" s="90">
        <v>40</v>
      </c>
      <c r="Q4087" s="55">
        <v>10.5</v>
      </c>
      <c r="S4087" s="90">
        <v>675</v>
      </c>
      <c r="U4087" s="55" t="s">
        <v>1805</v>
      </c>
      <c r="V4087" s="55" t="s">
        <v>1805</v>
      </c>
      <c r="Y4087" s="55" t="s">
        <v>1919</v>
      </c>
      <c r="Z4087" s="55" t="s">
        <v>1356</v>
      </c>
      <c r="AA4087" s="90" t="s">
        <v>1680</v>
      </c>
      <c r="AE4087" s="90">
        <f>SUM(95.2+24.6)*0.1</f>
        <v>11.980000000000002</v>
      </c>
      <c r="AF4087" s="90">
        <f>(232.3+436.3)/10</f>
        <v>66.86</v>
      </c>
      <c r="AH4087" s="55" t="s">
        <v>6378</v>
      </c>
      <c r="AI4087" s="168">
        <v>6.9</v>
      </c>
      <c r="AJ4087" s="90">
        <v>1.1599999999999999</v>
      </c>
      <c r="AN4087" s="185" t="s">
        <v>3497</v>
      </c>
      <c r="AO4087" s="185" t="s">
        <v>5150</v>
      </c>
      <c r="AQ4087" s="55" t="s">
        <v>1603</v>
      </c>
      <c r="AR4087" s="55" t="s">
        <v>116</v>
      </c>
      <c r="AS4087" s="55" t="s">
        <v>116</v>
      </c>
      <c r="AU4087" s="181" t="s">
        <v>7494</v>
      </c>
      <c r="AV4087" s="185" t="s">
        <v>176</v>
      </c>
      <c r="AX4087" s="185" t="s">
        <v>176</v>
      </c>
      <c r="AZ4087" s="55" t="s">
        <v>156</v>
      </c>
      <c r="BA4087" s="55" t="s">
        <v>156</v>
      </c>
      <c r="BB4087" s="55" t="s">
        <v>2082</v>
      </c>
      <c r="BC4087" s="55" t="s">
        <v>2082</v>
      </c>
      <c r="BD4087" s="55" t="s">
        <v>176</v>
      </c>
      <c r="BE4087" s="226" t="s">
        <v>3501</v>
      </c>
      <c r="BF4087" s="191" t="s">
        <v>479</v>
      </c>
      <c r="BG4087" s="191" t="s">
        <v>479</v>
      </c>
      <c r="BH4087" s="226" t="s">
        <v>3501</v>
      </c>
      <c r="BI4087" s="191" t="s">
        <v>479</v>
      </c>
      <c r="BJ4087" s="55" t="s">
        <v>176</v>
      </c>
      <c r="BK4087" s="55" t="s">
        <v>6269</v>
      </c>
      <c r="BM4087" s="192" t="s">
        <v>160</v>
      </c>
      <c r="BW4087" s="65">
        <v>15637</v>
      </c>
      <c r="BX4087" s="65">
        <v>19084</v>
      </c>
      <c r="CA4087" s="65" t="s">
        <v>545</v>
      </c>
      <c r="CB4087" s="66">
        <v>8907</v>
      </c>
      <c r="CC4087" s="66">
        <v>10123</v>
      </c>
      <c r="GP4087" s="292" t="s">
        <v>7494</v>
      </c>
      <c r="JU4087" s="55" t="s">
        <v>3509</v>
      </c>
    </row>
    <row r="4088" spans="1:281" x14ac:dyDescent="0.25">
      <c r="A4088" s="55">
        <v>4087</v>
      </c>
      <c r="B4088" s="12" t="s">
        <v>7067</v>
      </c>
      <c r="C4088" s="155">
        <v>178</v>
      </c>
      <c r="D4088" s="55" t="s">
        <v>3506</v>
      </c>
      <c r="E4088" s="90" t="s">
        <v>3499</v>
      </c>
      <c r="G4088" s="55" t="s">
        <v>3500</v>
      </c>
      <c r="H4088" s="55">
        <v>2017</v>
      </c>
      <c r="I4088" s="55">
        <v>2015</v>
      </c>
      <c r="J4088" s="55" t="s">
        <v>3498</v>
      </c>
      <c r="K4088" s="55" t="s">
        <v>3496</v>
      </c>
      <c r="L4088" s="55" t="s">
        <v>2740</v>
      </c>
      <c r="M4088" s="90">
        <f>50+44/60</f>
        <v>50.733333333333334</v>
      </c>
      <c r="N4088" s="90">
        <f>2+22/60</f>
        <v>2.3666666666666667</v>
      </c>
      <c r="O4088" s="90">
        <v>40</v>
      </c>
      <c r="Q4088" s="55">
        <v>10.5</v>
      </c>
      <c r="S4088" s="90">
        <v>675</v>
      </c>
      <c r="U4088" s="55" t="s">
        <v>1805</v>
      </c>
      <c r="V4088" s="55" t="s">
        <v>1805</v>
      </c>
      <c r="Y4088" s="55" t="s">
        <v>1919</v>
      </c>
      <c r="Z4088" s="55" t="s">
        <v>1356</v>
      </c>
      <c r="AA4088" s="90" t="s">
        <v>1680</v>
      </c>
      <c r="AE4088" s="90">
        <f>SUM(95.2+24.6)*0.1</f>
        <v>11.980000000000002</v>
      </c>
      <c r="AF4088" s="90">
        <f>(232.3+436.3)/10</f>
        <v>66.86</v>
      </c>
      <c r="AH4088" s="55" t="s">
        <v>6378</v>
      </c>
      <c r="AI4088" s="168">
        <v>6.9</v>
      </c>
      <c r="AJ4088" s="90">
        <v>1.1599999999999999</v>
      </c>
      <c r="AN4088" s="185" t="s">
        <v>3497</v>
      </c>
      <c r="AO4088" s="185" t="s">
        <v>5150</v>
      </c>
      <c r="AQ4088" s="55" t="s">
        <v>1603</v>
      </c>
      <c r="AR4088" s="55" t="s">
        <v>116</v>
      </c>
      <c r="AS4088" s="55" t="s">
        <v>116</v>
      </c>
      <c r="AU4088" s="181" t="s">
        <v>7494</v>
      </c>
      <c r="AV4088" s="185" t="s">
        <v>176</v>
      </c>
      <c r="AX4088" s="185" t="s">
        <v>176</v>
      </c>
      <c r="AZ4088" s="55" t="s">
        <v>229</v>
      </c>
      <c r="BA4088" s="55" t="s">
        <v>229</v>
      </c>
      <c r="BB4088" s="55" t="s">
        <v>2081</v>
      </c>
      <c r="BC4088" s="55" t="s">
        <v>2081</v>
      </c>
      <c r="BD4088" s="55" t="s">
        <v>176</v>
      </c>
      <c r="BE4088" s="226" t="s">
        <v>3501</v>
      </c>
      <c r="BF4088" s="191" t="s">
        <v>479</v>
      </c>
      <c r="BG4088" s="191" t="s">
        <v>479</v>
      </c>
      <c r="BH4088" s="226" t="s">
        <v>3501</v>
      </c>
      <c r="BI4088" s="191" t="s">
        <v>479</v>
      </c>
      <c r="BJ4088" s="55" t="s">
        <v>176</v>
      </c>
      <c r="BK4088" s="55" t="s">
        <v>5976</v>
      </c>
      <c r="BM4088" s="192" t="s">
        <v>160</v>
      </c>
      <c r="BW4088" s="65">
        <v>16039</v>
      </c>
      <c r="BX4088" s="65">
        <v>15891</v>
      </c>
      <c r="CA4088" s="65" t="s">
        <v>545</v>
      </c>
      <c r="CB4088" s="66">
        <v>7627</v>
      </c>
      <c r="CC4088" s="66">
        <v>7645</v>
      </c>
      <c r="GP4088" s="292" t="s">
        <v>7494</v>
      </c>
      <c r="JU4088" s="55" t="s">
        <v>3509</v>
      </c>
    </row>
    <row r="4089" spans="1:281" x14ac:dyDescent="0.25">
      <c r="A4089" s="55">
        <v>4088</v>
      </c>
      <c r="B4089" s="12" t="s">
        <v>7067</v>
      </c>
      <c r="C4089" s="155">
        <v>178</v>
      </c>
      <c r="D4089" s="55" t="s">
        <v>3507</v>
      </c>
      <c r="E4089" s="90" t="s">
        <v>3499</v>
      </c>
      <c r="G4089" s="55" t="s">
        <v>3500</v>
      </c>
      <c r="H4089" s="55">
        <v>2017</v>
      </c>
      <c r="I4089" s="55">
        <v>2015</v>
      </c>
      <c r="J4089" s="55" t="s">
        <v>3498</v>
      </c>
      <c r="K4089" s="55" t="s">
        <v>3496</v>
      </c>
      <c r="L4089" s="55" t="s">
        <v>2740</v>
      </c>
      <c r="M4089" s="90">
        <f>50+44/60</f>
        <v>50.733333333333334</v>
      </c>
      <c r="N4089" s="90">
        <f>2+22/60</f>
        <v>2.3666666666666667</v>
      </c>
      <c r="O4089" s="90">
        <v>40</v>
      </c>
      <c r="Q4089" s="55">
        <v>10.5</v>
      </c>
      <c r="S4089" s="90">
        <v>675</v>
      </c>
      <c r="U4089" s="55" t="s">
        <v>1805</v>
      </c>
      <c r="V4089" s="55" t="s">
        <v>1805</v>
      </c>
      <c r="Y4089" s="55" t="s">
        <v>1919</v>
      </c>
      <c r="Z4089" s="55" t="s">
        <v>1356</v>
      </c>
      <c r="AA4089" s="90" t="s">
        <v>1680</v>
      </c>
      <c r="AE4089" s="90">
        <f>SUM(95.2+24.6)*0.1</f>
        <v>11.980000000000002</v>
      </c>
      <c r="AF4089" s="90">
        <f>(232.3+436.3)/10</f>
        <v>66.86</v>
      </c>
      <c r="AH4089" s="55" t="s">
        <v>6378</v>
      </c>
      <c r="AI4089" s="168">
        <v>6.9</v>
      </c>
      <c r="AJ4089" s="90">
        <v>1.1599999999999999</v>
      </c>
      <c r="AN4089" s="185" t="s">
        <v>3497</v>
      </c>
      <c r="AO4089" s="185" t="s">
        <v>5150</v>
      </c>
      <c r="AQ4089" s="55" t="s">
        <v>1603</v>
      </c>
      <c r="AR4089" s="55" t="s">
        <v>116</v>
      </c>
      <c r="AS4089" s="55" t="s">
        <v>116</v>
      </c>
      <c r="AU4089" s="181" t="s">
        <v>7494</v>
      </c>
      <c r="AV4089" s="185" t="s">
        <v>176</v>
      </c>
      <c r="AX4089" s="185" t="s">
        <v>176</v>
      </c>
      <c r="AZ4089" s="55" t="s">
        <v>156</v>
      </c>
      <c r="BA4089" s="55" t="s">
        <v>156</v>
      </c>
      <c r="BB4089" s="55" t="s">
        <v>2082</v>
      </c>
      <c r="BC4089" s="55" t="s">
        <v>2082</v>
      </c>
      <c r="BD4089" s="55" t="s">
        <v>176</v>
      </c>
      <c r="BE4089" s="226" t="s">
        <v>3502</v>
      </c>
      <c r="BF4089" s="191" t="s">
        <v>479</v>
      </c>
      <c r="BG4089" s="191" t="s">
        <v>479</v>
      </c>
      <c r="BH4089" s="226" t="s">
        <v>3502</v>
      </c>
      <c r="BI4089" s="191" t="s">
        <v>479</v>
      </c>
      <c r="BJ4089" s="55" t="s">
        <v>176</v>
      </c>
      <c r="BK4089" s="55" t="s">
        <v>6269</v>
      </c>
      <c r="BM4089" s="192" t="s">
        <v>160</v>
      </c>
      <c r="BW4089" s="65">
        <v>21588</v>
      </c>
      <c r="BX4089" s="65">
        <v>22440</v>
      </c>
      <c r="CA4089" s="65" t="s">
        <v>545</v>
      </c>
      <c r="CB4089" s="66">
        <v>11560</v>
      </c>
      <c r="CC4089" s="66">
        <v>11816</v>
      </c>
      <c r="GP4089" s="292" t="s">
        <v>7494</v>
      </c>
      <c r="JU4089" s="55" t="s">
        <v>3509</v>
      </c>
    </row>
    <row r="4090" spans="1:281" x14ac:dyDescent="0.25">
      <c r="A4090" s="55">
        <v>4089</v>
      </c>
      <c r="B4090" s="12" t="s">
        <v>7067</v>
      </c>
      <c r="C4090" s="155">
        <v>178</v>
      </c>
      <c r="D4090" s="55" t="s">
        <v>3508</v>
      </c>
      <c r="E4090" s="90" t="s">
        <v>3499</v>
      </c>
      <c r="G4090" s="55" t="s">
        <v>3500</v>
      </c>
      <c r="H4090" s="55">
        <v>2017</v>
      </c>
      <c r="I4090" s="55">
        <v>2015</v>
      </c>
      <c r="J4090" s="55" t="s">
        <v>3498</v>
      </c>
      <c r="K4090" s="55" t="s">
        <v>3496</v>
      </c>
      <c r="L4090" s="55" t="s">
        <v>2740</v>
      </c>
      <c r="M4090" s="90">
        <f>50+44/60</f>
        <v>50.733333333333334</v>
      </c>
      <c r="N4090" s="90">
        <f>2+22/60</f>
        <v>2.3666666666666667</v>
      </c>
      <c r="O4090" s="90">
        <v>40</v>
      </c>
      <c r="Q4090" s="55">
        <v>10.5</v>
      </c>
      <c r="S4090" s="90">
        <v>675</v>
      </c>
      <c r="U4090" s="55" t="s">
        <v>1805</v>
      </c>
      <c r="V4090" s="55" t="s">
        <v>1805</v>
      </c>
      <c r="Y4090" s="55" t="s">
        <v>1919</v>
      </c>
      <c r="Z4090" s="55" t="s">
        <v>1356</v>
      </c>
      <c r="AA4090" s="90" t="s">
        <v>1680</v>
      </c>
      <c r="AE4090" s="90">
        <f>SUM(95.2+24.6)*0.1</f>
        <v>11.980000000000002</v>
      </c>
      <c r="AF4090" s="90">
        <f>(232.3+436.3)/10</f>
        <v>66.86</v>
      </c>
      <c r="AH4090" s="55" t="s">
        <v>6378</v>
      </c>
      <c r="AI4090" s="168">
        <v>6.9</v>
      </c>
      <c r="AJ4090" s="90">
        <v>1.1599999999999999</v>
      </c>
      <c r="AN4090" s="185" t="s">
        <v>3497</v>
      </c>
      <c r="AO4090" s="185" t="s">
        <v>5150</v>
      </c>
      <c r="AQ4090" s="55" t="s">
        <v>1603</v>
      </c>
      <c r="AR4090" s="55" t="s">
        <v>116</v>
      </c>
      <c r="AS4090" s="55" t="s">
        <v>116</v>
      </c>
      <c r="AU4090" s="181" t="s">
        <v>7494</v>
      </c>
      <c r="AV4090" s="185" t="s">
        <v>176</v>
      </c>
      <c r="AX4090" s="185" t="s">
        <v>176</v>
      </c>
      <c r="AZ4090" s="55" t="s">
        <v>229</v>
      </c>
      <c r="BA4090" s="55" t="s">
        <v>229</v>
      </c>
      <c r="BB4090" s="55" t="s">
        <v>2081</v>
      </c>
      <c r="BC4090" s="55" t="s">
        <v>2081</v>
      </c>
      <c r="BD4090" s="55" t="s">
        <v>176</v>
      </c>
      <c r="BE4090" s="226" t="s">
        <v>3502</v>
      </c>
      <c r="BF4090" s="191" t="s">
        <v>479</v>
      </c>
      <c r="BG4090" s="191" t="s">
        <v>479</v>
      </c>
      <c r="BH4090" s="226" t="s">
        <v>3502</v>
      </c>
      <c r="BI4090" s="191" t="s">
        <v>479</v>
      </c>
      <c r="BJ4090" s="55" t="s">
        <v>176</v>
      </c>
      <c r="BK4090" s="55" t="s">
        <v>5976</v>
      </c>
      <c r="BM4090" s="192" t="s">
        <v>160</v>
      </c>
      <c r="BW4090" s="65">
        <v>18206</v>
      </c>
      <c r="BX4090" s="65">
        <v>20453</v>
      </c>
      <c r="CA4090" s="65" t="s">
        <v>545</v>
      </c>
      <c r="CB4090" s="66">
        <v>9175</v>
      </c>
      <c r="CC4090" s="66">
        <v>11061</v>
      </c>
      <c r="GP4090" s="292" t="s">
        <v>7494</v>
      </c>
      <c r="JU4090" s="55" t="s">
        <v>3509</v>
      </c>
    </row>
    <row r="4091" spans="1:281" x14ac:dyDescent="0.25">
      <c r="A4091" s="55">
        <v>4090</v>
      </c>
      <c r="B4091" s="12" t="s">
        <v>7067</v>
      </c>
      <c r="C4091" s="155">
        <v>179</v>
      </c>
      <c r="D4091" s="55" t="s">
        <v>3517</v>
      </c>
      <c r="E4091" s="90" t="s">
        <v>3510</v>
      </c>
      <c r="G4091" s="55" t="s">
        <v>3511</v>
      </c>
      <c r="H4091" s="55">
        <v>2013</v>
      </c>
      <c r="J4091" s="55" t="s">
        <v>767</v>
      </c>
      <c r="K4091" s="55" t="s">
        <v>3513</v>
      </c>
      <c r="L4091" s="55" t="s">
        <v>3514</v>
      </c>
      <c r="M4091" s="90">
        <f>36+50/60</f>
        <v>36.833333333333336</v>
      </c>
      <c r="N4091" s="90">
        <f>128+26/60</f>
        <v>128.43333333333334</v>
      </c>
      <c r="O4091" s="90">
        <v>968.9</v>
      </c>
      <c r="U4091" s="55" t="s">
        <v>1935</v>
      </c>
      <c r="V4091" s="55" t="s">
        <v>1935</v>
      </c>
      <c r="Y4091" s="55" t="s">
        <v>3516</v>
      </c>
      <c r="Z4091" s="55" t="s">
        <v>1349</v>
      </c>
      <c r="AA4091" s="90" t="s">
        <v>1677</v>
      </c>
      <c r="AH4091" s="55" t="s">
        <v>6378</v>
      </c>
      <c r="AI4091" s="168">
        <v>6.2</v>
      </c>
      <c r="AJ4091" s="90">
        <v>2.04</v>
      </c>
      <c r="AM4091" s="55" t="s">
        <v>3515</v>
      </c>
      <c r="AN4091" s="185" t="s">
        <v>3512</v>
      </c>
      <c r="AO4091" s="185" t="s">
        <v>5150</v>
      </c>
      <c r="AQ4091" s="55" t="s">
        <v>3136</v>
      </c>
      <c r="AR4091" s="55" t="s">
        <v>1096</v>
      </c>
      <c r="AS4091" s="55" t="s">
        <v>5133</v>
      </c>
      <c r="AU4091" s="181" t="s">
        <v>7494</v>
      </c>
      <c r="AV4091" s="185" t="s">
        <v>176</v>
      </c>
      <c r="AX4091" s="185" t="s">
        <v>176</v>
      </c>
      <c r="BF4091" s="191"/>
      <c r="BK4091" s="55" t="s">
        <v>5976</v>
      </c>
      <c r="BM4091" s="192" t="s">
        <v>3525</v>
      </c>
      <c r="BN4091" s="55">
        <v>3</v>
      </c>
      <c r="BO4091" s="55">
        <v>3</v>
      </c>
      <c r="BQ4091" s="55" t="s">
        <v>141</v>
      </c>
      <c r="BV4091" s="55" t="s">
        <v>3521</v>
      </c>
      <c r="CB4091" s="66">
        <v>8400</v>
      </c>
      <c r="CC4091" s="66">
        <v>12400</v>
      </c>
      <c r="CM4091" s="65">
        <v>0.84</v>
      </c>
      <c r="CN4091" s="65">
        <v>1.24</v>
      </c>
      <c r="CQ4091" s="65" t="s">
        <v>3526</v>
      </c>
      <c r="DA4091" s="65" t="s">
        <v>4456</v>
      </c>
      <c r="DB4091" s="65">
        <v>710</v>
      </c>
      <c r="DC4091" s="65">
        <v>750</v>
      </c>
      <c r="DF4091" s="65" t="s">
        <v>2365</v>
      </c>
      <c r="DG4091" s="65">
        <v>150</v>
      </c>
      <c r="DH4091" s="65">
        <v>152</v>
      </c>
      <c r="DK4091" s="65" t="s">
        <v>3528</v>
      </c>
      <c r="DQ4091" s="165">
        <v>7.1</v>
      </c>
      <c r="DR4091" s="165">
        <v>6.4</v>
      </c>
      <c r="GP4091" s="292" t="s">
        <v>7494</v>
      </c>
      <c r="JB4091" s="65">
        <v>205</v>
      </c>
      <c r="JC4091" s="65">
        <v>367</v>
      </c>
      <c r="JF4091" s="65" t="s">
        <v>3527</v>
      </c>
    </row>
    <row r="4092" spans="1:281" x14ac:dyDescent="0.25">
      <c r="A4092" s="55">
        <v>4091</v>
      </c>
      <c r="B4092" s="12" t="s">
        <v>7067</v>
      </c>
      <c r="C4092" s="155">
        <v>179</v>
      </c>
      <c r="D4092" s="55" t="s">
        <v>3518</v>
      </c>
      <c r="E4092" s="90" t="s">
        <v>3510</v>
      </c>
      <c r="G4092" s="55" t="s">
        <v>3511</v>
      </c>
      <c r="H4092" s="55">
        <v>2013</v>
      </c>
      <c r="J4092" s="55" t="s">
        <v>767</v>
      </c>
      <c r="K4092" s="55" t="s">
        <v>3513</v>
      </c>
      <c r="L4092" s="55" t="s">
        <v>3514</v>
      </c>
      <c r="M4092" s="90">
        <f>36+50/60</f>
        <v>36.833333333333336</v>
      </c>
      <c r="N4092" s="90">
        <f>128+26/60</f>
        <v>128.43333333333334</v>
      </c>
      <c r="O4092" s="90">
        <v>968.9</v>
      </c>
      <c r="U4092" s="55" t="s">
        <v>1935</v>
      </c>
      <c r="V4092" s="55" t="s">
        <v>1935</v>
      </c>
      <c r="Y4092" s="55" t="s">
        <v>3516</v>
      </c>
      <c r="Z4092" s="55" t="s">
        <v>1349</v>
      </c>
      <c r="AA4092" s="90" t="s">
        <v>1677</v>
      </c>
      <c r="AH4092" s="55" t="s">
        <v>6378</v>
      </c>
      <c r="AI4092" s="168">
        <v>6.2</v>
      </c>
      <c r="AJ4092" s="90">
        <v>2.04</v>
      </c>
      <c r="AM4092" s="55" t="s">
        <v>3515</v>
      </c>
      <c r="AN4092" s="185" t="s">
        <v>3512</v>
      </c>
      <c r="AO4092" s="185" t="s">
        <v>5150</v>
      </c>
      <c r="AQ4092" s="55" t="s">
        <v>3136</v>
      </c>
      <c r="AR4092" s="55" t="s">
        <v>1096</v>
      </c>
      <c r="AS4092" s="55" t="s">
        <v>5133</v>
      </c>
      <c r="AU4092" s="181" t="s">
        <v>7494</v>
      </c>
      <c r="AV4092" s="185" t="s">
        <v>176</v>
      </c>
      <c r="AX4092" s="185" t="s">
        <v>176</v>
      </c>
      <c r="BF4092" s="191"/>
      <c r="BK4092" s="55" t="s">
        <v>5976</v>
      </c>
      <c r="BM4092" s="192" t="s">
        <v>3525</v>
      </c>
      <c r="BN4092" s="55">
        <v>3</v>
      </c>
      <c r="BO4092" s="55">
        <v>3</v>
      </c>
      <c r="BQ4092" s="55" t="s">
        <v>141</v>
      </c>
      <c r="BV4092" s="55" t="s">
        <v>3522</v>
      </c>
      <c r="CB4092" s="66">
        <v>8400</v>
      </c>
      <c r="CC4092" s="66">
        <v>12900</v>
      </c>
      <c r="CM4092" s="65">
        <v>0.84</v>
      </c>
      <c r="CN4092" s="65">
        <v>1.29</v>
      </c>
      <c r="CQ4092" s="65" t="s">
        <v>3526</v>
      </c>
      <c r="DA4092" s="65" t="s">
        <v>4456</v>
      </c>
      <c r="DB4092" s="65">
        <v>710</v>
      </c>
      <c r="DC4092" s="65">
        <v>770</v>
      </c>
      <c r="DF4092" s="65" t="s">
        <v>2365</v>
      </c>
      <c r="DG4092" s="65">
        <v>150</v>
      </c>
      <c r="DH4092" s="65">
        <v>155</v>
      </c>
      <c r="DK4092" s="65" t="s">
        <v>3528</v>
      </c>
      <c r="DQ4092" s="165">
        <v>7.1</v>
      </c>
      <c r="DR4092" s="165">
        <v>6.7</v>
      </c>
      <c r="GP4092" s="292" t="s">
        <v>7494</v>
      </c>
      <c r="JB4092" s="65">
        <v>205</v>
      </c>
      <c r="JC4092" s="65">
        <v>961</v>
      </c>
      <c r="JF4092" s="65" t="s">
        <v>3527</v>
      </c>
    </row>
    <row r="4093" spans="1:281" x14ac:dyDescent="0.25">
      <c r="A4093" s="55">
        <v>4092</v>
      </c>
      <c r="B4093" s="12" t="s">
        <v>7067</v>
      </c>
      <c r="C4093" s="155">
        <v>179</v>
      </c>
      <c r="D4093" s="55" t="s">
        <v>3519</v>
      </c>
      <c r="E4093" s="90" t="s">
        <v>3510</v>
      </c>
      <c r="G4093" s="55" t="s">
        <v>3511</v>
      </c>
      <c r="H4093" s="55">
        <v>2013</v>
      </c>
      <c r="J4093" s="55" t="s">
        <v>767</v>
      </c>
      <c r="K4093" s="55" t="s">
        <v>3513</v>
      </c>
      <c r="L4093" s="55" t="s">
        <v>3514</v>
      </c>
      <c r="M4093" s="90">
        <f>36+50/60</f>
        <v>36.833333333333336</v>
      </c>
      <c r="N4093" s="90">
        <f>128+26/60</f>
        <v>128.43333333333334</v>
      </c>
      <c r="O4093" s="90">
        <v>968.9</v>
      </c>
      <c r="U4093" s="55" t="s">
        <v>1935</v>
      </c>
      <c r="V4093" s="55" t="s">
        <v>1935</v>
      </c>
      <c r="Y4093" s="55" t="s">
        <v>3516</v>
      </c>
      <c r="Z4093" s="55" t="s">
        <v>1349</v>
      </c>
      <c r="AA4093" s="90" t="s">
        <v>1677</v>
      </c>
      <c r="AH4093" s="55" t="s">
        <v>6378</v>
      </c>
      <c r="AI4093" s="168">
        <v>6.2</v>
      </c>
      <c r="AJ4093" s="90">
        <v>2.04</v>
      </c>
      <c r="AM4093" s="55" t="s">
        <v>3515</v>
      </c>
      <c r="AN4093" s="185" t="s">
        <v>3512</v>
      </c>
      <c r="AO4093" s="185" t="s">
        <v>5150</v>
      </c>
      <c r="AQ4093" s="55" t="s">
        <v>3136</v>
      </c>
      <c r="AR4093" s="55" t="s">
        <v>1096</v>
      </c>
      <c r="AS4093" s="55" t="s">
        <v>5133</v>
      </c>
      <c r="AU4093" s="181" t="s">
        <v>7494</v>
      </c>
      <c r="AV4093" s="185" t="s">
        <v>176</v>
      </c>
      <c r="AX4093" s="185" t="s">
        <v>176</v>
      </c>
      <c r="BK4093" s="55" t="s">
        <v>5976</v>
      </c>
      <c r="BM4093" s="192" t="s">
        <v>3525</v>
      </c>
      <c r="BN4093" s="55">
        <v>3</v>
      </c>
      <c r="BO4093" s="55">
        <v>3</v>
      </c>
      <c r="BQ4093" s="55" t="s">
        <v>141</v>
      </c>
      <c r="BV4093" s="55" t="s">
        <v>3523</v>
      </c>
      <c r="CB4093" s="66">
        <v>8400</v>
      </c>
      <c r="CC4093" s="66">
        <v>13100</v>
      </c>
      <c r="CM4093" s="65">
        <v>0.84</v>
      </c>
      <c r="CN4093" s="65">
        <v>1.31</v>
      </c>
      <c r="CQ4093" s="65" t="s">
        <v>3526</v>
      </c>
      <c r="DA4093" s="65" t="s">
        <v>4456</v>
      </c>
      <c r="DB4093" s="65">
        <v>710</v>
      </c>
      <c r="DC4093" s="65">
        <v>800</v>
      </c>
      <c r="DF4093" s="65" t="s">
        <v>2365</v>
      </c>
      <c r="DG4093" s="65">
        <v>150</v>
      </c>
      <c r="DH4093" s="65">
        <v>157</v>
      </c>
      <c r="DK4093" s="65" t="s">
        <v>3528</v>
      </c>
      <c r="DQ4093" s="165">
        <v>7.1</v>
      </c>
      <c r="DR4093" s="165">
        <v>7</v>
      </c>
      <c r="GP4093" s="292" t="s">
        <v>7494</v>
      </c>
      <c r="JB4093" s="65">
        <v>205</v>
      </c>
      <c r="JC4093" s="65">
        <v>1268</v>
      </c>
      <c r="JF4093" s="65" t="s">
        <v>3527</v>
      </c>
    </row>
    <row r="4094" spans="1:281" x14ac:dyDescent="0.25">
      <c r="A4094" s="55">
        <v>4093</v>
      </c>
      <c r="B4094" s="12" t="s">
        <v>7067</v>
      </c>
      <c r="C4094" s="155">
        <v>179</v>
      </c>
      <c r="D4094" s="55" t="s">
        <v>3520</v>
      </c>
      <c r="E4094" s="90" t="s">
        <v>3510</v>
      </c>
      <c r="G4094" s="55" t="s">
        <v>3511</v>
      </c>
      <c r="H4094" s="55">
        <v>2013</v>
      </c>
      <c r="J4094" s="55" t="s">
        <v>767</v>
      </c>
      <c r="K4094" s="55" t="s">
        <v>3513</v>
      </c>
      <c r="L4094" s="55" t="s">
        <v>3514</v>
      </c>
      <c r="M4094" s="90">
        <f>36+50/60</f>
        <v>36.833333333333336</v>
      </c>
      <c r="N4094" s="90">
        <f>128+26/60</f>
        <v>128.43333333333334</v>
      </c>
      <c r="O4094" s="90">
        <v>968.9</v>
      </c>
      <c r="U4094" s="55" t="s">
        <v>1935</v>
      </c>
      <c r="V4094" s="55" t="s">
        <v>1935</v>
      </c>
      <c r="Y4094" s="55" t="s">
        <v>3516</v>
      </c>
      <c r="Z4094" s="55" t="s">
        <v>1349</v>
      </c>
      <c r="AA4094" s="90" t="s">
        <v>1677</v>
      </c>
      <c r="AH4094" s="55" t="s">
        <v>6378</v>
      </c>
      <c r="AI4094" s="168">
        <v>6.2</v>
      </c>
      <c r="AJ4094" s="90">
        <v>2.04</v>
      </c>
      <c r="AM4094" s="55" t="s">
        <v>3515</v>
      </c>
      <c r="AN4094" s="185" t="s">
        <v>3512</v>
      </c>
      <c r="AO4094" s="185" t="s">
        <v>5150</v>
      </c>
      <c r="AQ4094" s="55" t="s">
        <v>3136</v>
      </c>
      <c r="AR4094" s="55" t="s">
        <v>1096</v>
      </c>
      <c r="AS4094" s="55" t="s">
        <v>5133</v>
      </c>
      <c r="AU4094" s="181" t="s">
        <v>7494</v>
      </c>
      <c r="AV4094" s="185" t="s">
        <v>176</v>
      </c>
      <c r="AX4094" s="185" t="s">
        <v>176</v>
      </c>
      <c r="BK4094" s="55" t="s">
        <v>5976</v>
      </c>
      <c r="BM4094" s="192" t="s">
        <v>3525</v>
      </c>
      <c r="BN4094" s="55">
        <v>3</v>
      </c>
      <c r="BO4094" s="55">
        <v>3</v>
      </c>
      <c r="BQ4094" s="55" t="s">
        <v>141</v>
      </c>
      <c r="BV4094" s="55" t="s">
        <v>3524</v>
      </c>
      <c r="CB4094" s="66">
        <v>8400</v>
      </c>
      <c r="CC4094" s="66">
        <v>13300</v>
      </c>
      <c r="CM4094" s="65">
        <v>0.84</v>
      </c>
      <c r="CN4094" s="65">
        <v>1.33</v>
      </c>
      <c r="CQ4094" s="65" t="s">
        <v>3526</v>
      </c>
      <c r="DA4094" s="65" t="s">
        <v>4456</v>
      </c>
      <c r="DB4094" s="65">
        <v>710</v>
      </c>
      <c r="DC4094" s="65">
        <v>850</v>
      </c>
      <c r="DF4094" s="65" t="s">
        <v>2365</v>
      </c>
      <c r="DG4094" s="65">
        <v>150</v>
      </c>
      <c r="DH4094" s="65">
        <v>162</v>
      </c>
      <c r="DK4094" s="65" t="s">
        <v>3528</v>
      </c>
      <c r="DQ4094" s="165">
        <v>7.1</v>
      </c>
      <c r="DR4094" s="165">
        <v>7</v>
      </c>
      <c r="GP4094" s="292" t="s">
        <v>7494</v>
      </c>
      <c r="JB4094" s="65">
        <v>205</v>
      </c>
      <c r="JC4094" s="65">
        <v>1466</v>
      </c>
      <c r="JF4094" s="65" t="s">
        <v>3527</v>
      </c>
    </row>
    <row r="4095" spans="1:281" x14ac:dyDescent="0.25">
      <c r="A4095" s="55">
        <v>4094</v>
      </c>
      <c r="B4095" s="12" t="s">
        <v>7067</v>
      </c>
      <c r="C4095" s="155">
        <v>180</v>
      </c>
      <c r="D4095" s="55" t="s">
        <v>3546</v>
      </c>
      <c r="E4095" s="90" t="s">
        <v>3529</v>
      </c>
      <c r="G4095" s="55" t="s">
        <v>3530</v>
      </c>
      <c r="H4095" s="55">
        <v>2009</v>
      </c>
      <c r="I4095" s="55">
        <v>2005</v>
      </c>
      <c r="J4095" s="55" t="s">
        <v>337</v>
      </c>
      <c r="K4095" s="55" t="s">
        <v>3532</v>
      </c>
      <c r="L4095" s="55" t="s">
        <v>3533</v>
      </c>
      <c r="M4095" s="90">
        <v>41.28</v>
      </c>
      <c r="N4095" s="90">
        <v>36.340000000000003</v>
      </c>
      <c r="O4095" s="90">
        <v>33.6</v>
      </c>
      <c r="U4095" s="55" t="s">
        <v>1935</v>
      </c>
      <c r="V4095" s="55" t="s">
        <v>1688</v>
      </c>
      <c r="Y4095" s="55" t="s">
        <v>2543</v>
      </c>
      <c r="AH4095" s="55" t="s">
        <v>6378</v>
      </c>
      <c r="AI4095" s="168">
        <v>6.7</v>
      </c>
      <c r="AJ4095" s="90">
        <v>2.5</v>
      </c>
      <c r="AN4095" s="185" t="s">
        <v>3534</v>
      </c>
      <c r="AO4095" s="185" t="s">
        <v>5150</v>
      </c>
      <c r="AQ4095" s="55" t="s">
        <v>1545</v>
      </c>
      <c r="AR4095" s="55" t="s">
        <v>3531</v>
      </c>
      <c r="AS4095" s="55" t="s">
        <v>227</v>
      </c>
      <c r="AU4095" s="181" t="s">
        <v>7494</v>
      </c>
      <c r="AV4095" s="185" t="s">
        <v>176</v>
      </c>
      <c r="AX4095" s="185" t="s">
        <v>176</v>
      </c>
      <c r="BK4095" s="55" t="s">
        <v>5976</v>
      </c>
      <c r="BM4095" s="192" t="s">
        <v>2946</v>
      </c>
      <c r="BN4095" s="55">
        <v>4</v>
      </c>
      <c r="BO4095" s="55">
        <v>4</v>
      </c>
      <c r="BQ4095" s="55" t="s">
        <v>141</v>
      </c>
      <c r="BV4095" s="55" t="s">
        <v>3542</v>
      </c>
      <c r="CB4095" s="66">
        <v>12314.4</v>
      </c>
      <c r="CC4095" s="66">
        <v>22445.4</v>
      </c>
      <c r="CE4095" s="65">
        <f>(13362.4-CB4095)*SQRT(3)</f>
        <v>1815.1892463321833</v>
      </c>
      <c r="CF4095" s="65">
        <f>(23842.79-CC4095)*SQRT(3)</f>
        <v>2420.3504779886721</v>
      </c>
      <c r="GN4095" s="294">
        <v>41.5</v>
      </c>
      <c r="GO4095" s="294">
        <v>19.2</v>
      </c>
      <c r="GP4095" s="292" t="s">
        <v>5150</v>
      </c>
      <c r="GS4095" s="65" t="s">
        <v>3554</v>
      </c>
    </row>
    <row r="4096" spans="1:281" x14ac:dyDescent="0.25">
      <c r="A4096" s="55">
        <v>4095</v>
      </c>
      <c r="B4096" s="12" t="s">
        <v>7067</v>
      </c>
      <c r="C4096" s="155">
        <v>180</v>
      </c>
      <c r="D4096" s="55" t="s">
        <v>3546</v>
      </c>
      <c r="E4096" s="90" t="s">
        <v>3529</v>
      </c>
      <c r="G4096" s="55" t="s">
        <v>3530</v>
      </c>
      <c r="H4096" s="55">
        <v>2009</v>
      </c>
      <c r="I4096" s="55">
        <v>2005</v>
      </c>
      <c r="J4096" s="55" t="s">
        <v>337</v>
      </c>
      <c r="K4096" s="55" t="s">
        <v>3532</v>
      </c>
      <c r="L4096" s="55" t="s">
        <v>3533</v>
      </c>
      <c r="M4096" s="90">
        <v>41.28</v>
      </c>
      <c r="N4096" s="90">
        <v>36.340000000000003</v>
      </c>
      <c r="O4096" s="90">
        <v>33.6</v>
      </c>
      <c r="U4096" s="55" t="s">
        <v>1935</v>
      </c>
      <c r="V4096" s="55" t="s">
        <v>1688</v>
      </c>
      <c r="Y4096" s="55" t="s">
        <v>2543</v>
      </c>
      <c r="AH4096" s="55" t="s">
        <v>6378</v>
      </c>
      <c r="AI4096" s="168">
        <v>6.7</v>
      </c>
      <c r="AJ4096" s="90">
        <v>2.5</v>
      </c>
      <c r="AN4096" s="185" t="s">
        <v>3535</v>
      </c>
      <c r="AO4096" s="185" t="s">
        <v>5150</v>
      </c>
      <c r="AQ4096" s="55" t="s">
        <v>1545</v>
      </c>
      <c r="AR4096" s="55" t="s">
        <v>3531</v>
      </c>
      <c r="AS4096" s="55" t="s">
        <v>227</v>
      </c>
      <c r="AU4096" s="181" t="s">
        <v>7494</v>
      </c>
      <c r="AV4096" s="185" t="s">
        <v>176</v>
      </c>
      <c r="AX4096" s="185" t="s">
        <v>176</v>
      </c>
      <c r="BK4096" s="55" t="s">
        <v>5976</v>
      </c>
      <c r="BM4096" s="192" t="s">
        <v>2946</v>
      </c>
      <c r="BN4096" s="55">
        <v>4</v>
      </c>
      <c r="BO4096" s="55">
        <v>4</v>
      </c>
      <c r="BQ4096" s="55" t="s">
        <v>141</v>
      </c>
      <c r="BV4096" s="55" t="s">
        <v>3542</v>
      </c>
      <c r="CB4096" s="66">
        <v>12314.4</v>
      </c>
      <c r="CC4096" s="66">
        <v>21572</v>
      </c>
      <c r="CE4096" s="65">
        <f>(13362.4-CB4096)*SQRT(3)</f>
        <v>1815.1892463321833</v>
      </c>
      <c r="CF4096" s="65">
        <f>(23144.1-CC4096)*SQRT(3)</f>
        <v>2722.9570745790293</v>
      </c>
      <c r="GN4096" s="294">
        <v>41.5</v>
      </c>
      <c r="GO4096" s="294">
        <v>8.5</v>
      </c>
      <c r="GP4096" s="292" t="s">
        <v>5150</v>
      </c>
      <c r="GS4096" s="65" t="s">
        <v>3554</v>
      </c>
    </row>
    <row r="4097" spans="1:201" x14ac:dyDescent="0.25">
      <c r="A4097" s="55">
        <v>4096</v>
      </c>
      <c r="B4097" s="12" t="s">
        <v>7067</v>
      </c>
      <c r="C4097" s="155">
        <v>180</v>
      </c>
      <c r="D4097" s="55" t="s">
        <v>3546</v>
      </c>
      <c r="E4097" s="90" t="s">
        <v>3529</v>
      </c>
      <c r="G4097" s="55" t="s">
        <v>3530</v>
      </c>
      <c r="H4097" s="55">
        <v>2009</v>
      </c>
      <c r="I4097" s="55">
        <v>2005</v>
      </c>
      <c r="J4097" s="55" t="s">
        <v>337</v>
      </c>
      <c r="K4097" s="55" t="s">
        <v>3532</v>
      </c>
      <c r="L4097" s="55" t="s">
        <v>3533</v>
      </c>
      <c r="M4097" s="90">
        <v>41.28</v>
      </c>
      <c r="N4097" s="90">
        <v>36.340000000000003</v>
      </c>
      <c r="O4097" s="90">
        <v>33.6</v>
      </c>
      <c r="U4097" s="55" t="s">
        <v>1935</v>
      </c>
      <c r="V4097" s="55" t="s">
        <v>1688</v>
      </c>
      <c r="Y4097" s="55" t="s">
        <v>2543</v>
      </c>
      <c r="AH4097" s="55" t="s">
        <v>6378</v>
      </c>
      <c r="AI4097" s="168">
        <v>6.7</v>
      </c>
      <c r="AJ4097" s="90">
        <v>2.5</v>
      </c>
      <c r="AN4097" s="185" t="s">
        <v>3536</v>
      </c>
      <c r="AO4097" s="185" t="s">
        <v>5150</v>
      </c>
      <c r="AQ4097" s="55" t="s">
        <v>1545</v>
      </c>
      <c r="AR4097" s="55" t="s">
        <v>3531</v>
      </c>
      <c r="AS4097" s="55" t="s">
        <v>227</v>
      </c>
      <c r="AU4097" s="181" t="s">
        <v>7494</v>
      </c>
      <c r="AV4097" s="185" t="s">
        <v>176</v>
      </c>
      <c r="AX4097" s="185" t="s">
        <v>176</v>
      </c>
      <c r="BK4097" s="55" t="s">
        <v>5976</v>
      </c>
      <c r="BM4097" s="192" t="s">
        <v>2946</v>
      </c>
      <c r="BN4097" s="55">
        <v>4</v>
      </c>
      <c r="BO4097" s="55">
        <v>4</v>
      </c>
      <c r="BQ4097" s="55" t="s">
        <v>141</v>
      </c>
      <c r="BV4097" s="55" t="s">
        <v>3542</v>
      </c>
      <c r="CB4097" s="66">
        <v>12314.4</v>
      </c>
      <c r="CC4097" s="66">
        <v>25414.799999999999</v>
      </c>
      <c r="CE4097" s="65">
        <f>(13362.4-CB4097)*SQRT(3)</f>
        <v>1815.1892463321833</v>
      </c>
      <c r="CF4097" s="65">
        <f>(26812-CC4097)*SQRT(3)</f>
        <v>2420.0213883352367</v>
      </c>
      <c r="GN4097" s="294">
        <v>41.5</v>
      </c>
      <c r="GO4097" s="294">
        <v>9.1999999999999993</v>
      </c>
      <c r="GP4097" s="292" t="s">
        <v>5150</v>
      </c>
      <c r="GS4097" s="65" t="s">
        <v>3554</v>
      </c>
    </row>
    <row r="4098" spans="1:201" x14ac:dyDescent="0.25">
      <c r="A4098" s="55">
        <v>4097</v>
      </c>
      <c r="B4098" s="12" t="s">
        <v>7067</v>
      </c>
      <c r="C4098" s="155">
        <v>180</v>
      </c>
      <c r="D4098" s="55" t="s">
        <v>3546</v>
      </c>
      <c r="E4098" s="90" t="s">
        <v>3529</v>
      </c>
      <c r="G4098" s="55" t="s">
        <v>3530</v>
      </c>
      <c r="H4098" s="55">
        <v>2009</v>
      </c>
      <c r="I4098" s="55">
        <v>2005</v>
      </c>
      <c r="J4098" s="55" t="s">
        <v>337</v>
      </c>
      <c r="K4098" s="55" t="s">
        <v>3532</v>
      </c>
      <c r="L4098" s="55" t="s">
        <v>3533</v>
      </c>
      <c r="M4098" s="90">
        <v>41.28</v>
      </c>
      <c r="N4098" s="90">
        <v>36.340000000000003</v>
      </c>
      <c r="O4098" s="90">
        <v>33.6</v>
      </c>
      <c r="U4098" s="55" t="s">
        <v>1935</v>
      </c>
      <c r="V4098" s="55" t="s">
        <v>1688</v>
      </c>
      <c r="Y4098" s="55" t="s">
        <v>2543</v>
      </c>
      <c r="AH4098" s="55" t="s">
        <v>6378</v>
      </c>
      <c r="AI4098" s="168">
        <v>6.7</v>
      </c>
      <c r="AJ4098" s="90">
        <v>2.5</v>
      </c>
      <c r="AN4098" s="185" t="s">
        <v>3537</v>
      </c>
      <c r="AO4098" s="185" t="s">
        <v>5150</v>
      </c>
      <c r="AQ4098" s="55" t="s">
        <v>1545</v>
      </c>
      <c r="AR4098" s="55" t="s">
        <v>3531</v>
      </c>
      <c r="AS4098" s="55" t="s">
        <v>227</v>
      </c>
      <c r="AU4098" s="181" t="s">
        <v>7494</v>
      </c>
      <c r="AV4098" s="185" t="s">
        <v>176</v>
      </c>
      <c r="AX4098" s="185" t="s">
        <v>176</v>
      </c>
      <c r="BK4098" s="55" t="s">
        <v>5976</v>
      </c>
      <c r="BM4098" s="192" t="s">
        <v>2946</v>
      </c>
      <c r="BN4098" s="55">
        <v>4</v>
      </c>
      <c r="BO4098" s="55">
        <v>4</v>
      </c>
      <c r="BQ4098" s="55" t="s">
        <v>141</v>
      </c>
      <c r="BV4098" s="55" t="s">
        <v>3542</v>
      </c>
      <c r="CB4098" s="66">
        <v>12314.4</v>
      </c>
      <c r="CC4098" s="66">
        <v>16593.900000000001</v>
      </c>
      <c r="CE4098" s="65">
        <f>(13362.4-CB4098)*SQRT(3)</f>
        <v>1815.1892463321833</v>
      </c>
      <c r="CF4098" s="65">
        <f>(17642-CC4098)*SQRT(3)</f>
        <v>1815.3624514129376</v>
      </c>
      <c r="GN4098" s="294">
        <v>41.5</v>
      </c>
      <c r="GO4098" s="294">
        <v>19.2</v>
      </c>
      <c r="GP4098" s="292" t="s">
        <v>5150</v>
      </c>
      <c r="GS4098" s="65" t="s">
        <v>3554</v>
      </c>
    </row>
    <row r="4099" spans="1:201" x14ac:dyDescent="0.25">
      <c r="A4099" s="55">
        <v>4098</v>
      </c>
      <c r="B4099" s="12" t="s">
        <v>7067</v>
      </c>
      <c r="C4099" s="155">
        <v>180</v>
      </c>
      <c r="D4099" s="55" t="s">
        <v>3546</v>
      </c>
      <c r="E4099" s="90" t="s">
        <v>3529</v>
      </c>
      <c r="G4099" s="55" t="s">
        <v>3530</v>
      </c>
      <c r="H4099" s="55">
        <v>2009</v>
      </c>
      <c r="I4099" s="55">
        <v>2005</v>
      </c>
      <c r="J4099" s="55" t="s">
        <v>337</v>
      </c>
      <c r="K4099" s="55" t="s">
        <v>3532</v>
      </c>
      <c r="L4099" s="55" t="s">
        <v>3533</v>
      </c>
      <c r="M4099" s="90">
        <v>41.28</v>
      </c>
      <c r="N4099" s="90">
        <v>36.340000000000003</v>
      </c>
      <c r="O4099" s="90">
        <v>33.6</v>
      </c>
      <c r="U4099" s="55" t="s">
        <v>1935</v>
      </c>
      <c r="V4099" s="55" t="s">
        <v>1688</v>
      </c>
      <c r="Y4099" s="55" t="s">
        <v>2543</v>
      </c>
      <c r="AH4099" s="55" t="s">
        <v>6378</v>
      </c>
      <c r="AI4099" s="168">
        <v>6.7</v>
      </c>
      <c r="AJ4099" s="90">
        <v>2.5</v>
      </c>
      <c r="AN4099" s="185" t="s">
        <v>3538</v>
      </c>
      <c r="AO4099" s="185" t="s">
        <v>5150</v>
      </c>
      <c r="AQ4099" s="55" t="s">
        <v>1545</v>
      </c>
      <c r="AR4099" s="55" t="s">
        <v>3531</v>
      </c>
      <c r="AS4099" s="55" t="s">
        <v>227</v>
      </c>
      <c r="AU4099" s="181" t="s">
        <v>7494</v>
      </c>
      <c r="AV4099" s="185" t="s">
        <v>176</v>
      </c>
      <c r="AX4099" s="185" t="s">
        <v>176</v>
      </c>
      <c r="BK4099" s="55" t="s">
        <v>5976</v>
      </c>
      <c r="BM4099" s="192" t="s">
        <v>2946</v>
      </c>
      <c r="BN4099" s="55">
        <v>4</v>
      </c>
      <c r="BO4099" s="55">
        <v>4</v>
      </c>
      <c r="BQ4099" s="55" t="s">
        <v>141</v>
      </c>
      <c r="BV4099" s="55" t="s">
        <v>3542</v>
      </c>
      <c r="CB4099" s="66">
        <v>12314.4</v>
      </c>
      <c r="CC4099" s="66">
        <v>21834.1</v>
      </c>
      <c r="CE4099" s="65">
        <f>(13362.4-CB4099)*SQRT(3)</f>
        <v>1815.1892463321833</v>
      </c>
      <c r="CF4099" s="65">
        <f>(23056.7-CC4099)*SQRT(3)</f>
        <v>2117.6053173337132</v>
      </c>
      <c r="GN4099" s="294">
        <v>41.5</v>
      </c>
      <c r="GO4099" s="294">
        <v>21.5</v>
      </c>
      <c r="GP4099" s="292" t="s">
        <v>5150</v>
      </c>
      <c r="GS4099" s="65" t="s">
        <v>3554</v>
      </c>
    </row>
    <row r="4100" spans="1:201" x14ac:dyDescent="0.25">
      <c r="A4100" s="55">
        <v>4099</v>
      </c>
      <c r="B4100" s="12" t="s">
        <v>7067</v>
      </c>
      <c r="C4100" s="155">
        <v>180</v>
      </c>
      <c r="D4100" s="55" t="s">
        <v>3546</v>
      </c>
      <c r="E4100" s="90" t="s">
        <v>3529</v>
      </c>
      <c r="G4100" s="55" t="s">
        <v>3530</v>
      </c>
      <c r="H4100" s="55">
        <v>2009</v>
      </c>
      <c r="I4100" s="55">
        <v>2005</v>
      </c>
      <c r="J4100" s="55" t="s">
        <v>337</v>
      </c>
      <c r="K4100" s="55" t="s">
        <v>3532</v>
      </c>
      <c r="L4100" s="55" t="s">
        <v>3533</v>
      </c>
      <c r="M4100" s="90">
        <v>41.28</v>
      </c>
      <c r="N4100" s="90">
        <v>36.340000000000003</v>
      </c>
      <c r="O4100" s="90">
        <v>33.6</v>
      </c>
      <c r="U4100" s="55" t="s">
        <v>1935</v>
      </c>
      <c r="V4100" s="55" t="s">
        <v>1688</v>
      </c>
      <c r="Y4100" s="55" t="s">
        <v>2543</v>
      </c>
      <c r="AH4100" s="55" t="s">
        <v>6378</v>
      </c>
      <c r="AI4100" s="168">
        <v>6.7</v>
      </c>
      <c r="AJ4100" s="90">
        <v>2.5</v>
      </c>
      <c r="AN4100" s="185" t="s">
        <v>3539</v>
      </c>
      <c r="AO4100" s="185" t="s">
        <v>5150</v>
      </c>
      <c r="AQ4100" s="55" t="s">
        <v>1545</v>
      </c>
      <c r="AR4100" s="55" t="s">
        <v>3531</v>
      </c>
      <c r="AS4100" s="55" t="s">
        <v>227</v>
      </c>
      <c r="AU4100" s="181" t="s">
        <v>7494</v>
      </c>
      <c r="AV4100" s="185" t="s">
        <v>176</v>
      </c>
      <c r="AX4100" s="185" t="s">
        <v>176</v>
      </c>
      <c r="BK4100" s="55" t="s">
        <v>5976</v>
      </c>
      <c r="BM4100" s="192" t="s">
        <v>2946</v>
      </c>
      <c r="BN4100" s="55">
        <v>4</v>
      </c>
      <c r="BO4100" s="55">
        <v>4</v>
      </c>
      <c r="BQ4100" s="55" t="s">
        <v>141</v>
      </c>
      <c r="BV4100" s="55" t="s">
        <v>3542</v>
      </c>
      <c r="CB4100" s="66">
        <v>12314.4</v>
      </c>
      <c r="CC4100" s="66">
        <v>12139.7</v>
      </c>
      <c r="CE4100" s="65">
        <f>(13362.4-CB4100)*SQRT(3)</f>
        <v>1815.1892463321833</v>
      </c>
      <c r="CF4100" s="65">
        <f>(13362.4-CC4100)*SQRT(3)</f>
        <v>2117.7785224144641</v>
      </c>
      <c r="GN4100" s="294">
        <v>41.5</v>
      </c>
      <c r="GO4100" s="294">
        <v>25.5</v>
      </c>
      <c r="GP4100" s="292" t="s">
        <v>5150</v>
      </c>
      <c r="GS4100" s="65" t="s">
        <v>3554</v>
      </c>
    </row>
    <row r="4101" spans="1:201" x14ac:dyDescent="0.25">
      <c r="A4101" s="55">
        <v>4100</v>
      </c>
      <c r="B4101" s="12" t="s">
        <v>7067</v>
      </c>
      <c r="C4101" s="155">
        <v>180</v>
      </c>
      <c r="D4101" s="55" t="s">
        <v>3547</v>
      </c>
      <c r="E4101" s="90" t="s">
        <v>3529</v>
      </c>
      <c r="G4101" s="55" t="s">
        <v>3530</v>
      </c>
      <c r="H4101" s="55">
        <v>2009</v>
      </c>
      <c r="I4101" s="55">
        <v>2005</v>
      </c>
      <c r="J4101" s="55" t="s">
        <v>337</v>
      </c>
      <c r="K4101" s="55" t="s">
        <v>3532</v>
      </c>
      <c r="L4101" s="55" t="s">
        <v>3533</v>
      </c>
      <c r="M4101" s="90">
        <v>41.28</v>
      </c>
      <c r="N4101" s="90">
        <v>36.340000000000003</v>
      </c>
      <c r="O4101" s="90">
        <v>33.6</v>
      </c>
      <c r="U4101" s="55" t="s">
        <v>1935</v>
      </c>
      <c r="V4101" s="55" t="s">
        <v>1688</v>
      </c>
      <c r="Y4101" s="55" t="s">
        <v>2543</v>
      </c>
      <c r="AH4101" s="55" t="s">
        <v>6378</v>
      </c>
      <c r="AI4101" s="168">
        <v>6.7</v>
      </c>
      <c r="AJ4101" s="90">
        <v>2.5</v>
      </c>
      <c r="AN4101" s="185" t="s">
        <v>3540</v>
      </c>
      <c r="AO4101" s="185" t="s">
        <v>5150</v>
      </c>
      <c r="AQ4101" s="55" t="s">
        <v>553</v>
      </c>
      <c r="AR4101" s="55" t="s">
        <v>3531</v>
      </c>
      <c r="AS4101" s="55" t="s">
        <v>227</v>
      </c>
      <c r="AU4101" s="181" t="s">
        <v>7494</v>
      </c>
      <c r="AV4101" s="185" t="s">
        <v>176</v>
      </c>
      <c r="AX4101" s="185" t="s">
        <v>176</v>
      </c>
      <c r="BK4101" s="55" t="s">
        <v>5976</v>
      </c>
      <c r="BM4101" s="192" t="s">
        <v>2946</v>
      </c>
      <c r="BN4101" s="55">
        <v>4</v>
      </c>
      <c r="BO4101" s="55">
        <v>4</v>
      </c>
      <c r="BQ4101" s="55" t="s">
        <v>141</v>
      </c>
      <c r="BV4101" s="55" t="s">
        <v>3542</v>
      </c>
      <c r="CB4101" s="66">
        <v>12314.4</v>
      </c>
      <c r="CC4101" s="66">
        <v>24716.2</v>
      </c>
      <c r="CE4101" s="65">
        <f>(13362.4-CB4101)*SQRT(3)</f>
        <v>1815.1892463321833</v>
      </c>
      <c r="CF4101" s="65">
        <f>(25938.9-CC4101)*SQRT(3)</f>
        <v>2117.7785224144673</v>
      </c>
      <c r="GN4101" s="294">
        <v>41.5</v>
      </c>
      <c r="GO4101" s="294">
        <v>8.5</v>
      </c>
      <c r="GP4101" s="292" t="s">
        <v>5150</v>
      </c>
      <c r="GS4101" s="65" t="s">
        <v>3554</v>
      </c>
    </row>
    <row r="4102" spans="1:201" x14ac:dyDescent="0.25">
      <c r="A4102" s="55">
        <v>4101</v>
      </c>
      <c r="B4102" s="12" t="s">
        <v>7067</v>
      </c>
      <c r="C4102" s="155">
        <v>180</v>
      </c>
      <c r="D4102" s="55" t="s">
        <v>3547</v>
      </c>
      <c r="E4102" s="90" t="s">
        <v>3529</v>
      </c>
      <c r="G4102" s="55" t="s">
        <v>3530</v>
      </c>
      <c r="H4102" s="55">
        <v>2009</v>
      </c>
      <c r="I4102" s="55">
        <v>2005</v>
      </c>
      <c r="J4102" s="55" t="s">
        <v>337</v>
      </c>
      <c r="K4102" s="55" t="s">
        <v>3532</v>
      </c>
      <c r="L4102" s="55" t="s">
        <v>3533</v>
      </c>
      <c r="M4102" s="90">
        <v>41.28</v>
      </c>
      <c r="N4102" s="90">
        <v>36.340000000000003</v>
      </c>
      <c r="O4102" s="90">
        <v>33.6</v>
      </c>
      <c r="U4102" s="55" t="s">
        <v>1935</v>
      </c>
      <c r="V4102" s="55" t="s">
        <v>1688</v>
      </c>
      <c r="Y4102" s="55" t="s">
        <v>2543</v>
      </c>
      <c r="AH4102" s="55" t="s">
        <v>6378</v>
      </c>
      <c r="AI4102" s="168">
        <v>6.7</v>
      </c>
      <c r="AJ4102" s="90">
        <v>2.5</v>
      </c>
      <c r="AN4102" s="185" t="s">
        <v>3541</v>
      </c>
      <c r="AO4102" s="185" t="s">
        <v>5150</v>
      </c>
      <c r="AQ4102" s="55" t="s">
        <v>553</v>
      </c>
      <c r="AR4102" s="55" t="s">
        <v>3531</v>
      </c>
      <c r="AS4102" s="55" t="s">
        <v>227</v>
      </c>
      <c r="AU4102" s="181" t="s">
        <v>7494</v>
      </c>
      <c r="AV4102" s="185" t="s">
        <v>176</v>
      </c>
      <c r="AX4102" s="185" t="s">
        <v>176</v>
      </c>
      <c r="BK4102" s="55" t="s">
        <v>5976</v>
      </c>
      <c r="BM4102" s="192" t="s">
        <v>2946</v>
      </c>
      <c r="BN4102" s="55">
        <v>4</v>
      </c>
      <c r="BO4102" s="55">
        <v>4</v>
      </c>
      <c r="BQ4102" s="55" t="s">
        <v>141</v>
      </c>
      <c r="BV4102" s="55" t="s">
        <v>3542</v>
      </c>
      <c r="CB4102" s="66">
        <v>12314.4</v>
      </c>
      <c r="CC4102" s="66">
        <v>26550.2</v>
      </c>
      <c r="CE4102" s="65">
        <f>(13362.4-CB4102)*SQRT(3)</f>
        <v>1815.1892463321833</v>
      </c>
      <c r="CF4102" s="65">
        <f>(28646-CC4102)*SQRT(3)</f>
        <v>3630.0320825028516</v>
      </c>
      <c r="GN4102" s="294">
        <v>41.5</v>
      </c>
      <c r="GO4102" s="294">
        <v>9</v>
      </c>
      <c r="GP4102" s="292" t="s">
        <v>5150</v>
      </c>
      <c r="GS4102" s="65" t="s">
        <v>3554</v>
      </c>
    </row>
    <row r="4103" spans="1:201" x14ac:dyDescent="0.25">
      <c r="A4103" s="55">
        <v>4102</v>
      </c>
      <c r="B4103" s="12" t="s">
        <v>7067</v>
      </c>
      <c r="C4103" s="155">
        <v>180</v>
      </c>
      <c r="D4103" s="55" t="s">
        <v>3548</v>
      </c>
      <c r="E4103" s="90" t="s">
        <v>3529</v>
      </c>
      <c r="G4103" s="55" t="s">
        <v>3530</v>
      </c>
      <c r="H4103" s="55">
        <v>2009</v>
      </c>
      <c r="I4103" s="55">
        <v>2006</v>
      </c>
      <c r="J4103" s="55" t="s">
        <v>337</v>
      </c>
      <c r="K4103" s="55" t="s">
        <v>3532</v>
      </c>
      <c r="L4103" s="55" t="s">
        <v>3533</v>
      </c>
      <c r="M4103" s="90">
        <v>41.28</v>
      </c>
      <c r="N4103" s="90">
        <v>36.340000000000003</v>
      </c>
      <c r="O4103" s="90">
        <v>33.6</v>
      </c>
      <c r="U4103" s="55" t="s">
        <v>1805</v>
      </c>
      <c r="V4103" s="55" t="s">
        <v>1688</v>
      </c>
      <c r="Y4103" s="55" t="s">
        <v>2543</v>
      </c>
      <c r="AH4103" s="55" t="s">
        <v>6378</v>
      </c>
      <c r="AI4103" s="168">
        <v>6.7</v>
      </c>
      <c r="AJ4103" s="90">
        <v>2.5</v>
      </c>
      <c r="AN4103" s="185" t="s">
        <v>3534</v>
      </c>
      <c r="AO4103" s="185" t="s">
        <v>5150</v>
      </c>
      <c r="AQ4103" s="55" t="s">
        <v>1545</v>
      </c>
      <c r="AR4103" s="55" t="s">
        <v>3531</v>
      </c>
      <c r="AS4103" s="55" t="s">
        <v>227</v>
      </c>
      <c r="AU4103" s="181" t="s">
        <v>7494</v>
      </c>
      <c r="AV4103" s="185" t="s">
        <v>176</v>
      </c>
      <c r="AX4103" s="185" t="s">
        <v>176</v>
      </c>
      <c r="BK4103" s="55" t="s">
        <v>5976</v>
      </c>
      <c r="BM4103" s="192" t="s">
        <v>2946</v>
      </c>
      <c r="BN4103" s="55">
        <v>4</v>
      </c>
      <c r="BO4103" s="55">
        <v>4</v>
      </c>
      <c r="BQ4103" s="55" t="s">
        <v>141</v>
      </c>
      <c r="BV4103" s="55" t="s">
        <v>3543</v>
      </c>
      <c r="CB4103" s="66">
        <v>16157.2</v>
      </c>
      <c r="CC4103" s="66">
        <v>26986.9</v>
      </c>
      <c r="CE4103" s="65">
        <f>(18253.3-CB4103)*SQRT(3)</f>
        <v>3630.5516977451211</v>
      </c>
      <c r="CF4103" s="65">
        <f>(29083-CC4103)*SQRT(3)</f>
        <v>3630.5516977451211</v>
      </c>
      <c r="GN4103" s="294">
        <v>9.5</v>
      </c>
      <c r="GO4103" s="294">
        <v>7</v>
      </c>
      <c r="GP4103" s="292" t="s">
        <v>5150</v>
      </c>
      <c r="GS4103" s="65" t="s">
        <v>3554</v>
      </c>
    </row>
    <row r="4104" spans="1:201" x14ac:dyDescent="0.25">
      <c r="A4104" s="55">
        <v>4103</v>
      </c>
      <c r="B4104" s="12" t="s">
        <v>7067</v>
      </c>
      <c r="C4104" s="155">
        <v>180</v>
      </c>
      <c r="D4104" s="55" t="s">
        <v>3548</v>
      </c>
      <c r="E4104" s="90" t="s">
        <v>3529</v>
      </c>
      <c r="G4104" s="55" t="s">
        <v>3530</v>
      </c>
      <c r="H4104" s="55">
        <v>2009</v>
      </c>
      <c r="I4104" s="55">
        <v>2006</v>
      </c>
      <c r="J4104" s="55" t="s">
        <v>337</v>
      </c>
      <c r="K4104" s="55" t="s">
        <v>3532</v>
      </c>
      <c r="L4104" s="55" t="s">
        <v>3533</v>
      </c>
      <c r="M4104" s="90">
        <v>41.28</v>
      </c>
      <c r="N4104" s="90">
        <v>36.340000000000003</v>
      </c>
      <c r="O4104" s="90">
        <v>33.6</v>
      </c>
      <c r="U4104" s="55" t="s">
        <v>1805</v>
      </c>
      <c r="V4104" s="55" t="s">
        <v>1688</v>
      </c>
      <c r="Y4104" s="55" t="s">
        <v>2543</v>
      </c>
      <c r="AH4104" s="55" t="s">
        <v>6378</v>
      </c>
      <c r="AI4104" s="168">
        <v>6.7</v>
      </c>
      <c r="AJ4104" s="90">
        <v>2.5</v>
      </c>
      <c r="AN4104" s="185" t="s">
        <v>3535</v>
      </c>
      <c r="AO4104" s="185" t="s">
        <v>5150</v>
      </c>
      <c r="AQ4104" s="55" t="s">
        <v>1545</v>
      </c>
      <c r="AR4104" s="55" t="s">
        <v>3531</v>
      </c>
      <c r="AS4104" s="55" t="s">
        <v>227</v>
      </c>
      <c r="AU4104" s="181" t="s">
        <v>7494</v>
      </c>
      <c r="AV4104" s="185" t="s">
        <v>176</v>
      </c>
      <c r="AX4104" s="185" t="s">
        <v>176</v>
      </c>
      <c r="BK4104" s="55" t="s">
        <v>5976</v>
      </c>
      <c r="BM4104" s="192" t="s">
        <v>2946</v>
      </c>
      <c r="BN4104" s="55">
        <v>4</v>
      </c>
      <c r="BO4104" s="55">
        <v>4</v>
      </c>
      <c r="BQ4104" s="55" t="s">
        <v>141</v>
      </c>
      <c r="BV4104" s="55" t="s">
        <v>3543</v>
      </c>
      <c r="CB4104" s="66">
        <v>16157.2</v>
      </c>
      <c r="CC4104" s="66">
        <v>26462.3</v>
      </c>
      <c r="CE4104" s="65">
        <f>(18253.3-CB4104)*SQRT(3)</f>
        <v>3630.5516977451211</v>
      </c>
      <c r="CF4104" s="65">
        <f>(28384-CC4104)*SQRT(3)</f>
        <v>3328.4820369051126</v>
      </c>
      <c r="GN4104" s="294">
        <v>9.5</v>
      </c>
      <c r="GO4104" s="294">
        <v>4.2</v>
      </c>
      <c r="GP4104" s="292" t="s">
        <v>5150</v>
      </c>
      <c r="GS4104" s="65" t="s">
        <v>3554</v>
      </c>
    </row>
    <row r="4105" spans="1:201" x14ac:dyDescent="0.25">
      <c r="A4105" s="55">
        <v>4104</v>
      </c>
      <c r="B4105" s="12" t="s">
        <v>7067</v>
      </c>
      <c r="C4105" s="155">
        <v>180</v>
      </c>
      <c r="D4105" s="55" t="s">
        <v>3548</v>
      </c>
      <c r="E4105" s="90" t="s">
        <v>3529</v>
      </c>
      <c r="G4105" s="55" t="s">
        <v>3530</v>
      </c>
      <c r="H4105" s="55">
        <v>2009</v>
      </c>
      <c r="I4105" s="55">
        <v>2006</v>
      </c>
      <c r="J4105" s="55" t="s">
        <v>337</v>
      </c>
      <c r="K4105" s="55" t="s">
        <v>3532</v>
      </c>
      <c r="L4105" s="55" t="s">
        <v>3533</v>
      </c>
      <c r="M4105" s="90">
        <v>41.28</v>
      </c>
      <c r="N4105" s="90">
        <v>36.340000000000003</v>
      </c>
      <c r="O4105" s="90">
        <v>33.6</v>
      </c>
      <c r="U4105" s="55" t="s">
        <v>1805</v>
      </c>
      <c r="V4105" s="55" t="s">
        <v>1688</v>
      </c>
      <c r="Y4105" s="55" t="s">
        <v>2543</v>
      </c>
      <c r="AH4105" s="55" t="s">
        <v>6378</v>
      </c>
      <c r="AI4105" s="168">
        <v>6.7</v>
      </c>
      <c r="AJ4105" s="90">
        <v>2.5</v>
      </c>
      <c r="AN4105" s="185" t="s">
        <v>3536</v>
      </c>
      <c r="AO4105" s="185" t="s">
        <v>5150</v>
      </c>
      <c r="AQ4105" s="55" t="s">
        <v>1545</v>
      </c>
      <c r="AR4105" s="55" t="s">
        <v>3531</v>
      </c>
      <c r="AS4105" s="55" t="s">
        <v>227</v>
      </c>
      <c r="AU4105" s="181" t="s">
        <v>7494</v>
      </c>
      <c r="AV4105" s="185" t="s">
        <v>176</v>
      </c>
      <c r="AX4105" s="185" t="s">
        <v>176</v>
      </c>
      <c r="BK4105" s="55" t="s">
        <v>5976</v>
      </c>
      <c r="BM4105" s="192" t="s">
        <v>2946</v>
      </c>
      <c r="BN4105" s="55">
        <v>4</v>
      </c>
      <c r="BO4105" s="55">
        <v>4</v>
      </c>
      <c r="BQ4105" s="55" t="s">
        <v>141</v>
      </c>
      <c r="BV4105" s="55" t="s">
        <v>3543</v>
      </c>
      <c r="CB4105" s="66">
        <v>16157.2</v>
      </c>
      <c r="CC4105" s="66">
        <v>29606.9</v>
      </c>
      <c r="CE4105" s="65">
        <f>(18253.3-CB4105)*SQRT(3)</f>
        <v>3630.5516977451211</v>
      </c>
      <c r="CF4105" s="65">
        <f>(31703.3-CC4105)*SQRT(3)</f>
        <v>3631.0713129873902</v>
      </c>
      <c r="GN4105" s="294">
        <v>9.5</v>
      </c>
      <c r="GO4105" s="294">
        <v>8.5</v>
      </c>
      <c r="GP4105" s="292" t="s">
        <v>5150</v>
      </c>
      <c r="GS4105" s="65" t="s">
        <v>3554</v>
      </c>
    </row>
    <row r="4106" spans="1:201" x14ac:dyDescent="0.25">
      <c r="A4106" s="55">
        <v>4105</v>
      </c>
      <c r="B4106" s="12" t="s">
        <v>7067</v>
      </c>
      <c r="C4106" s="155">
        <v>180</v>
      </c>
      <c r="D4106" s="55" t="s">
        <v>3548</v>
      </c>
      <c r="E4106" s="90" t="s">
        <v>3529</v>
      </c>
      <c r="G4106" s="55" t="s">
        <v>3530</v>
      </c>
      <c r="H4106" s="55">
        <v>2009</v>
      </c>
      <c r="I4106" s="55">
        <v>2006</v>
      </c>
      <c r="J4106" s="55" t="s">
        <v>337</v>
      </c>
      <c r="K4106" s="55" t="s">
        <v>3532</v>
      </c>
      <c r="L4106" s="55" t="s">
        <v>3533</v>
      </c>
      <c r="M4106" s="90">
        <v>41.28</v>
      </c>
      <c r="N4106" s="90">
        <v>36.340000000000003</v>
      </c>
      <c r="O4106" s="90">
        <v>33.6</v>
      </c>
      <c r="U4106" s="55" t="s">
        <v>1805</v>
      </c>
      <c r="V4106" s="55" t="s">
        <v>1688</v>
      </c>
      <c r="Y4106" s="55" t="s">
        <v>2543</v>
      </c>
      <c r="AH4106" s="55" t="s">
        <v>6378</v>
      </c>
      <c r="AI4106" s="168">
        <v>6.7</v>
      </c>
      <c r="AJ4106" s="90">
        <v>2.5</v>
      </c>
      <c r="AN4106" s="185" t="s">
        <v>3537</v>
      </c>
      <c r="AO4106" s="185" t="s">
        <v>5150</v>
      </c>
      <c r="AQ4106" s="55" t="s">
        <v>1545</v>
      </c>
      <c r="AR4106" s="55" t="s">
        <v>3531</v>
      </c>
      <c r="AS4106" s="55" t="s">
        <v>227</v>
      </c>
      <c r="AU4106" s="181" t="s">
        <v>7494</v>
      </c>
      <c r="AV4106" s="185" t="s">
        <v>176</v>
      </c>
      <c r="AX4106" s="185" t="s">
        <v>176</v>
      </c>
      <c r="BK4106" s="55" t="s">
        <v>5976</v>
      </c>
      <c r="BM4106" s="192" t="s">
        <v>2946</v>
      </c>
      <c r="BN4106" s="55">
        <v>4</v>
      </c>
      <c r="BO4106" s="55">
        <v>4</v>
      </c>
      <c r="BQ4106" s="55" t="s">
        <v>141</v>
      </c>
      <c r="BV4106" s="55" t="s">
        <v>3543</v>
      </c>
      <c r="CB4106" s="66">
        <v>16157.2</v>
      </c>
      <c r="CC4106" s="66">
        <v>21135.4</v>
      </c>
      <c r="CE4106" s="65">
        <f>(18253.3-CB4106)*SQRT(3)</f>
        <v>3630.5516977451211</v>
      </c>
      <c r="CF4106" s="65">
        <f>(22707-CC4106)*SQRT(3)</f>
        <v>2722.0910491752447</v>
      </c>
      <c r="GN4106" s="294">
        <v>9.5</v>
      </c>
      <c r="GO4106" s="294">
        <v>6</v>
      </c>
      <c r="GP4106" s="292" t="s">
        <v>5150</v>
      </c>
      <c r="GS4106" s="65" t="s">
        <v>3554</v>
      </c>
    </row>
    <row r="4107" spans="1:201" x14ac:dyDescent="0.25">
      <c r="A4107" s="55">
        <v>4106</v>
      </c>
      <c r="B4107" s="12" t="s">
        <v>7067</v>
      </c>
      <c r="C4107" s="155">
        <v>180</v>
      </c>
      <c r="D4107" s="55" t="s">
        <v>3548</v>
      </c>
      <c r="E4107" s="90" t="s">
        <v>3529</v>
      </c>
      <c r="G4107" s="55" t="s">
        <v>3530</v>
      </c>
      <c r="H4107" s="55">
        <v>2009</v>
      </c>
      <c r="I4107" s="55">
        <v>2006</v>
      </c>
      <c r="J4107" s="55" t="s">
        <v>337</v>
      </c>
      <c r="K4107" s="55" t="s">
        <v>3532</v>
      </c>
      <c r="L4107" s="55" t="s">
        <v>3533</v>
      </c>
      <c r="M4107" s="90">
        <v>41.28</v>
      </c>
      <c r="N4107" s="90">
        <v>36.340000000000003</v>
      </c>
      <c r="O4107" s="90">
        <v>33.6</v>
      </c>
      <c r="U4107" s="55" t="s">
        <v>1805</v>
      </c>
      <c r="V4107" s="55" t="s">
        <v>1688</v>
      </c>
      <c r="Y4107" s="55" t="s">
        <v>2543</v>
      </c>
      <c r="AH4107" s="55" t="s">
        <v>6378</v>
      </c>
      <c r="AI4107" s="168">
        <v>6.7</v>
      </c>
      <c r="AJ4107" s="90">
        <v>2.5</v>
      </c>
      <c r="AN4107" s="185" t="s">
        <v>3538</v>
      </c>
      <c r="AO4107" s="185" t="s">
        <v>5150</v>
      </c>
      <c r="AQ4107" s="55" t="s">
        <v>1545</v>
      </c>
      <c r="AR4107" s="55" t="s">
        <v>3531</v>
      </c>
      <c r="AS4107" s="55" t="s">
        <v>227</v>
      </c>
      <c r="AU4107" s="181" t="s">
        <v>7494</v>
      </c>
      <c r="AV4107" s="185" t="s">
        <v>176</v>
      </c>
      <c r="AX4107" s="185" t="s">
        <v>176</v>
      </c>
      <c r="BK4107" s="55" t="s">
        <v>5976</v>
      </c>
      <c r="BM4107" s="192" t="s">
        <v>2946</v>
      </c>
      <c r="BN4107" s="55">
        <v>4</v>
      </c>
      <c r="BO4107" s="55">
        <v>4</v>
      </c>
      <c r="BQ4107" s="55" t="s">
        <v>141</v>
      </c>
      <c r="BV4107" s="55" t="s">
        <v>3543</v>
      </c>
      <c r="CB4107" s="66">
        <v>16157.2</v>
      </c>
      <c r="CC4107" s="66">
        <v>21310</v>
      </c>
      <c r="CE4107" s="65">
        <f>(18253.3-CB4107)*SQRT(3)</f>
        <v>3630.5516977451211</v>
      </c>
      <c r="CF4107" s="65">
        <f>(23056.7-CC4107)*SQRT(3)</f>
        <v>3025.3731455805591</v>
      </c>
      <c r="GN4107" s="294">
        <v>9.5</v>
      </c>
      <c r="GO4107" s="294">
        <v>7</v>
      </c>
      <c r="GP4107" s="292" t="s">
        <v>5150</v>
      </c>
      <c r="GS4107" s="65" t="s">
        <v>3554</v>
      </c>
    </row>
    <row r="4108" spans="1:201" x14ac:dyDescent="0.25">
      <c r="A4108" s="55">
        <v>4107</v>
      </c>
      <c r="B4108" s="12" t="s">
        <v>7067</v>
      </c>
      <c r="C4108" s="155">
        <v>180</v>
      </c>
      <c r="D4108" s="55" t="s">
        <v>3548</v>
      </c>
      <c r="E4108" s="90" t="s">
        <v>3529</v>
      </c>
      <c r="G4108" s="55" t="s">
        <v>3530</v>
      </c>
      <c r="H4108" s="55">
        <v>2009</v>
      </c>
      <c r="I4108" s="55">
        <v>2006</v>
      </c>
      <c r="J4108" s="55" t="s">
        <v>337</v>
      </c>
      <c r="K4108" s="55" t="s">
        <v>3532</v>
      </c>
      <c r="L4108" s="55" t="s">
        <v>3533</v>
      </c>
      <c r="M4108" s="90">
        <v>41.28</v>
      </c>
      <c r="N4108" s="90">
        <v>36.340000000000003</v>
      </c>
      <c r="O4108" s="90">
        <v>33.6</v>
      </c>
      <c r="U4108" s="55" t="s">
        <v>1805</v>
      </c>
      <c r="V4108" s="55" t="s">
        <v>1688</v>
      </c>
      <c r="Y4108" s="55" t="s">
        <v>2543</v>
      </c>
      <c r="AH4108" s="55" t="s">
        <v>6378</v>
      </c>
      <c r="AI4108" s="168">
        <v>6.7</v>
      </c>
      <c r="AJ4108" s="90">
        <v>2.5</v>
      </c>
      <c r="AN4108" s="185" t="s">
        <v>3539</v>
      </c>
      <c r="AO4108" s="185" t="s">
        <v>5150</v>
      </c>
      <c r="AQ4108" s="55" t="s">
        <v>1545</v>
      </c>
      <c r="AR4108" s="55" t="s">
        <v>3531</v>
      </c>
      <c r="AS4108" s="55" t="s">
        <v>227</v>
      </c>
      <c r="AU4108" s="181" t="s">
        <v>7494</v>
      </c>
      <c r="AV4108" s="185" t="s">
        <v>176</v>
      </c>
      <c r="AX4108" s="185" t="s">
        <v>176</v>
      </c>
      <c r="BK4108" s="55" t="s">
        <v>5976</v>
      </c>
      <c r="BM4108" s="192" t="s">
        <v>2946</v>
      </c>
      <c r="BN4108" s="55">
        <v>4</v>
      </c>
      <c r="BO4108" s="55">
        <v>4</v>
      </c>
      <c r="BQ4108" s="55" t="s">
        <v>141</v>
      </c>
      <c r="BV4108" s="55" t="s">
        <v>3543</v>
      </c>
      <c r="CB4108" s="66">
        <v>16157.2</v>
      </c>
      <c r="CC4108" s="66">
        <v>15283.8</v>
      </c>
      <c r="CE4108" s="65">
        <f>(18253.3-CB4108)*SQRT(3)</f>
        <v>3630.5516977451211</v>
      </c>
      <c r="CF4108" s="65">
        <f>(17030.6-CC4108)*SQRT(3)</f>
        <v>3025.5463506613132</v>
      </c>
      <c r="GN4108" s="294">
        <v>9.5</v>
      </c>
      <c r="GO4108" s="294">
        <v>8.6999999999999993</v>
      </c>
      <c r="GP4108" s="292" t="s">
        <v>5150</v>
      </c>
      <c r="GS4108" s="65" t="s">
        <v>3554</v>
      </c>
    </row>
    <row r="4109" spans="1:201" x14ac:dyDescent="0.25">
      <c r="A4109" s="55">
        <v>4108</v>
      </c>
      <c r="B4109" s="12" t="s">
        <v>7067</v>
      </c>
      <c r="C4109" s="155">
        <v>180</v>
      </c>
      <c r="D4109" s="55" t="s">
        <v>3549</v>
      </c>
      <c r="E4109" s="90" t="s">
        <v>3529</v>
      </c>
      <c r="G4109" s="55" t="s">
        <v>3530</v>
      </c>
      <c r="H4109" s="55">
        <v>2009</v>
      </c>
      <c r="I4109" s="55">
        <v>2006</v>
      </c>
      <c r="J4109" s="55" t="s">
        <v>337</v>
      </c>
      <c r="K4109" s="55" t="s">
        <v>3532</v>
      </c>
      <c r="L4109" s="55" t="s">
        <v>3533</v>
      </c>
      <c r="M4109" s="90">
        <v>41.28</v>
      </c>
      <c r="N4109" s="90">
        <v>36.340000000000003</v>
      </c>
      <c r="O4109" s="90">
        <v>33.6</v>
      </c>
      <c r="U4109" s="55" t="s">
        <v>1805</v>
      </c>
      <c r="V4109" s="55" t="s">
        <v>1688</v>
      </c>
      <c r="Y4109" s="55" t="s">
        <v>2543</v>
      </c>
      <c r="AH4109" s="55" t="s">
        <v>6378</v>
      </c>
      <c r="AI4109" s="168">
        <v>6.7</v>
      </c>
      <c r="AJ4109" s="90">
        <v>2.5</v>
      </c>
      <c r="AN4109" s="185" t="s">
        <v>3540</v>
      </c>
      <c r="AO4109" s="185" t="s">
        <v>5150</v>
      </c>
      <c r="AQ4109" s="55" t="s">
        <v>553</v>
      </c>
      <c r="AR4109" s="55" t="s">
        <v>3531</v>
      </c>
      <c r="AS4109" s="55" t="s">
        <v>227</v>
      </c>
      <c r="AU4109" s="181" t="s">
        <v>7494</v>
      </c>
      <c r="AV4109" s="185" t="s">
        <v>176</v>
      </c>
      <c r="AX4109" s="185" t="s">
        <v>176</v>
      </c>
      <c r="BK4109" s="55" t="s">
        <v>5976</v>
      </c>
      <c r="BM4109" s="192" t="s">
        <v>2946</v>
      </c>
      <c r="BN4109" s="55">
        <v>4</v>
      </c>
      <c r="BO4109" s="55">
        <v>4</v>
      </c>
      <c r="BQ4109" s="55" t="s">
        <v>141</v>
      </c>
      <c r="BV4109" s="55" t="s">
        <v>3543</v>
      </c>
      <c r="CB4109" s="66">
        <v>16157.2</v>
      </c>
      <c r="CC4109" s="66">
        <v>30480</v>
      </c>
      <c r="CE4109" s="65">
        <f>(18253.3-CB4109)*SQRT(3)</f>
        <v>3630.5516977451211</v>
      </c>
      <c r="CF4109" s="65">
        <f>(31877.7-CC4109)*SQRT(3)</f>
        <v>2420.8874137390208</v>
      </c>
      <c r="GN4109" s="294">
        <v>9.5</v>
      </c>
      <c r="GO4109" s="294">
        <v>4.5</v>
      </c>
      <c r="GP4109" s="292" t="s">
        <v>5150</v>
      </c>
      <c r="GS4109" s="65" t="s">
        <v>3554</v>
      </c>
    </row>
    <row r="4110" spans="1:201" x14ac:dyDescent="0.25">
      <c r="A4110" s="55">
        <v>4109</v>
      </c>
      <c r="B4110" s="12" t="s">
        <v>7067</v>
      </c>
      <c r="C4110" s="155">
        <v>180</v>
      </c>
      <c r="D4110" s="55" t="s">
        <v>3549</v>
      </c>
      <c r="E4110" s="90" t="s">
        <v>3529</v>
      </c>
      <c r="G4110" s="55" t="s">
        <v>3530</v>
      </c>
      <c r="H4110" s="55">
        <v>2009</v>
      </c>
      <c r="I4110" s="55">
        <v>2006</v>
      </c>
      <c r="J4110" s="55" t="s">
        <v>337</v>
      </c>
      <c r="K4110" s="55" t="s">
        <v>3532</v>
      </c>
      <c r="L4110" s="55" t="s">
        <v>3533</v>
      </c>
      <c r="M4110" s="90">
        <v>41.28</v>
      </c>
      <c r="N4110" s="90">
        <v>36.340000000000003</v>
      </c>
      <c r="O4110" s="90">
        <v>33.6</v>
      </c>
      <c r="U4110" s="55" t="s">
        <v>1805</v>
      </c>
      <c r="V4110" s="55" t="s">
        <v>1688</v>
      </c>
      <c r="Y4110" s="55" t="s">
        <v>2543</v>
      </c>
      <c r="AH4110" s="55" t="s">
        <v>6378</v>
      </c>
      <c r="AI4110" s="168">
        <v>6.7</v>
      </c>
      <c r="AJ4110" s="90">
        <v>2.5</v>
      </c>
      <c r="AN4110" s="185" t="s">
        <v>3541</v>
      </c>
      <c r="AO4110" s="185" t="s">
        <v>5150</v>
      </c>
      <c r="AQ4110" s="55" t="s">
        <v>553</v>
      </c>
      <c r="AR4110" s="55" t="s">
        <v>3531</v>
      </c>
      <c r="AS4110" s="55" t="s">
        <v>227</v>
      </c>
      <c r="AU4110" s="181" t="s">
        <v>7494</v>
      </c>
      <c r="AV4110" s="185" t="s">
        <v>176</v>
      </c>
      <c r="AX4110" s="185" t="s">
        <v>176</v>
      </c>
      <c r="BK4110" s="55" t="s">
        <v>5976</v>
      </c>
      <c r="BM4110" s="192" t="s">
        <v>2946</v>
      </c>
      <c r="BN4110" s="55">
        <v>4</v>
      </c>
      <c r="BO4110" s="55">
        <v>4</v>
      </c>
      <c r="BQ4110" s="55" t="s">
        <v>141</v>
      </c>
      <c r="BV4110" s="55" t="s">
        <v>3543</v>
      </c>
      <c r="CB4110" s="66">
        <v>16157.2</v>
      </c>
      <c r="CC4110" s="66">
        <v>30742</v>
      </c>
      <c r="CE4110" s="65">
        <f>(18253.3-CB4110)*SQRT(3)</f>
        <v>3630.5516977451211</v>
      </c>
      <c r="CF4110" s="65">
        <f>(34410.5-CC4110)*SQRT(3)</f>
        <v>6354.0283875664263</v>
      </c>
      <c r="GN4110" s="294">
        <v>9.5</v>
      </c>
      <c r="GO4110" s="294">
        <v>4.5</v>
      </c>
      <c r="GP4110" s="292" t="s">
        <v>5150</v>
      </c>
      <c r="GS4110" s="65" t="s">
        <v>3554</v>
      </c>
    </row>
    <row r="4111" spans="1:201" x14ac:dyDescent="0.25">
      <c r="A4111" s="55">
        <v>4110</v>
      </c>
      <c r="B4111" s="12" t="s">
        <v>7067</v>
      </c>
      <c r="C4111" s="155">
        <v>180</v>
      </c>
      <c r="D4111" s="55" t="s">
        <v>3550</v>
      </c>
      <c r="E4111" s="90" t="s">
        <v>3529</v>
      </c>
      <c r="G4111" s="55" t="s">
        <v>3530</v>
      </c>
      <c r="H4111" s="55">
        <v>2009</v>
      </c>
      <c r="I4111" s="55">
        <v>2005</v>
      </c>
      <c r="J4111" s="55" t="s">
        <v>337</v>
      </c>
      <c r="K4111" s="55" t="s">
        <v>3532</v>
      </c>
      <c r="L4111" s="55" t="s">
        <v>3533</v>
      </c>
      <c r="M4111" s="90">
        <v>41.28</v>
      </c>
      <c r="N4111" s="90">
        <v>36.340000000000003</v>
      </c>
      <c r="O4111" s="90">
        <v>33.6</v>
      </c>
      <c r="U4111" s="55" t="s">
        <v>1935</v>
      </c>
      <c r="V4111" s="55" t="s">
        <v>1688</v>
      </c>
      <c r="Y4111" s="55" t="s">
        <v>2543</v>
      </c>
      <c r="AH4111" s="55" t="s">
        <v>6378</v>
      </c>
      <c r="AI4111" s="168">
        <v>6.7</v>
      </c>
      <c r="AJ4111" s="90">
        <v>2.5</v>
      </c>
      <c r="AN4111" s="185" t="s">
        <v>3534</v>
      </c>
      <c r="AO4111" s="185" t="s">
        <v>5150</v>
      </c>
      <c r="AQ4111" s="55" t="s">
        <v>1545</v>
      </c>
      <c r="AR4111" s="55" t="s">
        <v>3531</v>
      </c>
      <c r="AS4111" s="55" t="s">
        <v>227</v>
      </c>
      <c r="AU4111" s="181" t="s">
        <v>7494</v>
      </c>
      <c r="AV4111" s="185" t="s">
        <v>176</v>
      </c>
      <c r="AX4111" s="185" t="s">
        <v>176</v>
      </c>
      <c r="BK4111" s="55" t="s">
        <v>5976</v>
      </c>
      <c r="BM4111" s="192" t="s">
        <v>2946</v>
      </c>
      <c r="BN4111" s="55">
        <v>4</v>
      </c>
      <c r="BO4111" s="55">
        <v>4</v>
      </c>
      <c r="BQ4111" s="55" t="s">
        <v>141</v>
      </c>
      <c r="BV4111" s="55" t="s">
        <v>3544</v>
      </c>
      <c r="GN4111" s="294">
        <v>20.5</v>
      </c>
      <c r="GO4111" s="294">
        <v>16</v>
      </c>
      <c r="GP4111" s="292" t="s">
        <v>5150</v>
      </c>
      <c r="GS4111" s="65" t="s">
        <v>3554</v>
      </c>
    </row>
    <row r="4112" spans="1:201" x14ac:dyDescent="0.25">
      <c r="A4112" s="55">
        <v>4111</v>
      </c>
      <c r="B4112" s="12" t="s">
        <v>7067</v>
      </c>
      <c r="C4112" s="155">
        <v>180</v>
      </c>
      <c r="D4112" s="55" t="s">
        <v>3550</v>
      </c>
      <c r="E4112" s="90" t="s">
        <v>3529</v>
      </c>
      <c r="G4112" s="55" t="s">
        <v>3530</v>
      </c>
      <c r="H4112" s="55">
        <v>2009</v>
      </c>
      <c r="I4112" s="55">
        <v>2005</v>
      </c>
      <c r="J4112" s="55" t="s">
        <v>337</v>
      </c>
      <c r="K4112" s="55" t="s">
        <v>3532</v>
      </c>
      <c r="L4112" s="55" t="s">
        <v>3533</v>
      </c>
      <c r="M4112" s="90">
        <v>41.28</v>
      </c>
      <c r="N4112" s="90">
        <v>36.340000000000003</v>
      </c>
      <c r="O4112" s="90">
        <v>33.6</v>
      </c>
      <c r="U4112" s="55" t="s">
        <v>1935</v>
      </c>
      <c r="V4112" s="55" t="s">
        <v>1688</v>
      </c>
      <c r="Y4112" s="55" t="s">
        <v>2543</v>
      </c>
      <c r="AH4112" s="55" t="s">
        <v>6378</v>
      </c>
      <c r="AI4112" s="168">
        <v>6.7</v>
      </c>
      <c r="AJ4112" s="90">
        <v>2.5</v>
      </c>
      <c r="AN4112" s="185" t="s">
        <v>3535</v>
      </c>
      <c r="AO4112" s="185" t="s">
        <v>5150</v>
      </c>
      <c r="AQ4112" s="55" t="s">
        <v>1545</v>
      </c>
      <c r="AR4112" s="55" t="s">
        <v>3531</v>
      </c>
      <c r="AS4112" s="55" t="s">
        <v>227</v>
      </c>
      <c r="AU4112" s="181" t="s">
        <v>7494</v>
      </c>
      <c r="AV4112" s="185" t="s">
        <v>176</v>
      </c>
      <c r="AX4112" s="185" t="s">
        <v>176</v>
      </c>
      <c r="BK4112" s="55" t="s">
        <v>5976</v>
      </c>
      <c r="BM4112" s="192" t="s">
        <v>2946</v>
      </c>
      <c r="BN4112" s="55">
        <v>4</v>
      </c>
      <c r="BO4112" s="55">
        <v>4</v>
      </c>
      <c r="BQ4112" s="55" t="s">
        <v>141</v>
      </c>
      <c r="BV4112" s="55" t="s">
        <v>3544</v>
      </c>
      <c r="GN4112" s="294">
        <v>20.5</v>
      </c>
      <c r="GO4112" s="294">
        <v>7.7</v>
      </c>
      <c r="GP4112" s="292" t="s">
        <v>5150</v>
      </c>
      <c r="GS4112" s="65" t="s">
        <v>3554</v>
      </c>
    </row>
    <row r="4113" spans="1:266" x14ac:dyDescent="0.25">
      <c r="A4113" s="55">
        <v>4112</v>
      </c>
      <c r="B4113" s="12" t="s">
        <v>7067</v>
      </c>
      <c r="C4113" s="155">
        <v>180</v>
      </c>
      <c r="D4113" s="55" t="s">
        <v>3550</v>
      </c>
      <c r="E4113" s="90" t="s">
        <v>3529</v>
      </c>
      <c r="G4113" s="55" t="s">
        <v>3530</v>
      </c>
      <c r="H4113" s="55">
        <v>2009</v>
      </c>
      <c r="I4113" s="55">
        <v>2005</v>
      </c>
      <c r="J4113" s="55" t="s">
        <v>337</v>
      </c>
      <c r="K4113" s="55" t="s">
        <v>3532</v>
      </c>
      <c r="L4113" s="55" t="s">
        <v>3533</v>
      </c>
      <c r="M4113" s="90">
        <v>41.28</v>
      </c>
      <c r="N4113" s="90">
        <v>36.340000000000003</v>
      </c>
      <c r="O4113" s="90">
        <v>33.6</v>
      </c>
      <c r="U4113" s="55" t="s">
        <v>1935</v>
      </c>
      <c r="V4113" s="55" t="s">
        <v>1688</v>
      </c>
      <c r="Y4113" s="55" t="s">
        <v>2543</v>
      </c>
      <c r="AH4113" s="55" t="s">
        <v>6378</v>
      </c>
      <c r="AI4113" s="168">
        <v>6.7</v>
      </c>
      <c r="AJ4113" s="90">
        <v>2.5</v>
      </c>
      <c r="AN4113" s="185" t="s">
        <v>3536</v>
      </c>
      <c r="AO4113" s="185" t="s">
        <v>5150</v>
      </c>
      <c r="AQ4113" s="55" t="s">
        <v>1545</v>
      </c>
      <c r="AR4113" s="55" t="s">
        <v>3531</v>
      </c>
      <c r="AS4113" s="55" t="s">
        <v>227</v>
      </c>
      <c r="AU4113" s="181" t="s">
        <v>7494</v>
      </c>
      <c r="AV4113" s="185" t="s">
        <v>176</v>
      </c>
      <c r="AX4113" s="185" t="s">
        <v>176</v>
      </c>
      <c r="BK4113" s="55" t="s">
        <v>5976</v>
      </c>
      <c r="BM4113" s="192" t="s">
        <v>2946</v>
      </c>
      <c r="BN4113" s="55">
        <v>4</v>
      </c>
      <c r="BO4113" s="55">
        <v>4</v>
      </c>
      <c r="BQ4113" s="55" t="s">
        <v>141</v>
      </c>
      <c r="BV4113" s="55" t="s">
        <v>3544</v>
      </c>
      <c r="GN4113" s="294">
        <v>20.5</v>
      </c>
      <c r="GO4113" s="294">
        <v>9</v>
      </c>
      <c r="GP4113" s="292" t="s">
        <v>5150</v>
      </c>
      <c r="GS4113" s="65" t="s">
        <v>3554</v>
      </c>
    </row>
    <row r="4114" spans="1:266" x14ac:dyDescent="0.25">
      <c r="A4114" s="55">
        <v>4113</v>
      </c>
      <c r="B4114" s="12" t="s">
        <v>7067</v>
      </c>
      <c r="C4114" s="155">
        <v>180</v>
      </c>
      <c r="D4114" s="55" t="s">
        <v>3550</v>
      </c>
      <c r="E4114" s="90" t="s">
        <v>3529</v>
      </c>
      <c r="G4114" s="55" t="s">
        <v>3530</v>
      </c>
      <c r="H4114" s="55">
        <v>2009</v>
      </c>
      <c r="I4114" s="55">
        <v>2005</v>
      </c>
      <c r="J4114" s="55" t="s">
        <v>337</v>
      </c>
      <c r="K4114" s="55" t="s">
        <v>3532</v>
      </c>
      <c r="L4114" s="55" t="s">
        <v>3533</v>
      </c>
      <c r="M4114" s="90">
        <v>41.28</v>
      </c>
      <c r="N4114" s="90">
        <v>36.340000000000003</v>
      </c>
      <c r="O4114" s="90">
        <v>33.6</v>
      </c>
      <c r="U4114" s="55" t="s">
        <v>1935</v>
      </c>
      <c r="V4114" s="55" t="s">
        <v>1688</v>
      </c>
      <c r="Y4114" s="55" t="s">
        <v>2543</v>
      </c>
      <c r="AH4114" s="55" t="s">
        <v>6378</v>
      </c>
      <c r="AI4114" s="168">
        <v>6.7</v>
      </c>
      <c r="AJ4114" s="90">
        <v>2.5</v>
      </c>
      <c r="AN4114" s="185" t="s">
        <v>3537</v>
      </c>
      <c r="AO4114" s="185" t="s">
        <v>5150</v>
      </c>
      <c r="AQ4114" s="55" t="s">
        <v>1545</v>
      </c>
      <c r="AR4114" s="55" t="s">
        <v>3531</v>
      </c>
      <c r="AS4114" s="55" t="s">
        <v>227</v>
      </c>
      <c r="AU4114" s="181" t="s">
        <v>7494</v>
      </c>
      <c r="AV4114" s="185" t="s">
        <v>176</v>
      </c>
      <c r="AX4114" s="185" t="s">
        <v>176</v>
      </c>
      <c r="BK4114" s="55" t="s">
        <v>5976</v>
      </c>
      <c r="BM4114" s="192" t="s">
        <v>2946</v>
      </c>
      <c r="BN4114" s="55">
        <v>4</v>
      </c>
      <c r="BO4114" s="55">
        <v>4</v>
      </c>
      <c r="BQ4114" s="55" t="s">
        <v>141</v>
      </c>
      <c r="BV4114" s="55" t="s">
        <v>3544</v>
      </c>
      <c r="GN4114" s="294">
        <v>20.5</v>
      </c>
      <c r="GO4114" s="294">
        <v>10</v>
      </c>
      <c r="GP4114" s="292" t="s">
        <v>5150</v>
      </c>
      <c r="GS4114" s="65" t="s">
        <v>3554</v>
      </c>
    </row>
    <row r="4115" spans="1:266" x14ac:dyDescent="0.25">
      <c r="A4115" s="55">
        <v>4114</v>
      </c>
      <c r="B4115" s="12" t="s">
        <v>7067</v>
      </c>
      <c r="C4115" s="155">
        <v>180</v>
      </c>
      <c r="D4115" s="55" t="s">
        <v>3550</v>
      </c>
      <c r="E4115" s="90" t="s">
        <v>3529</v>
      </c>
      <c r="G4115" s="55" t="s">
        <v>3530</v>
      </c>
      <c r="H4115" s="55">
        <v>2009</v>
      </c>
      <c r="I4115" s="55">
        <v>2005</v>
      </c>
      <c r="J4115" s="55" t="s">
        <v>337</v>
      </c>
      <c r="K4115" s="55" t="s">
        <v>3532</v>
      </c>
      <c r="L4115" s="55" t="s">
        <v>3533</v>
      </c>
      <c r="M4115" s="90">
        <v>41.28</v>
      </c>
      <c r="N4115" s="90">
        <v>36.340000000000003</v>
      </c>
      <c r="O4115" s="90">
        <v>33.6</v>
      </c>
      <c r="U4115" s="55" t="s">
        <v>1935</v>
      </c>
      <c r="V4115" s="55" t="s">
        <v>1688</v>
      </c>
      <c r="Y4115" s="55" t="s">
        <v>2543</v>
      </c>
      <c r="AH4115" s="55" t="s">
        <v>6378</v>
      </c>
      <c r="AI4115" s="168">
        <v>6.7</v>
      </c>
      <c r="AJ4115" s="90">
        <v>2.5</v>
      </c>
      <c r="AN4115" s="185" t="s">
        <v>3538</v>
      </c>
      <c r="AO4115" s="185" t="s">
        <v>5150</v>
      </c>
      <c r="AQ4115" s="55" t="s">
        <v>1545</v>
      </c>
      <c r="AR4115" s="55" t="s">
        <v>3531</v>
      </c>
      <c r="AS4115" s="55" t="s">
        <v>227</v>
      </c>
      <c r="AU4115" s="181" t="s">
        <v>7494</v>
      </c>
      <c r="AV4115" s="185" t="s">
        <v>176</v>
      </c>
      <c r="AX4115" s="185" t="s">
        <v>176</v>
      </c>
      <c r="BK4115" s="55" t="s">
        <v>5976</v>
      </c>
      <c r="BM4115" s="192" t="s">
        <v>2946</v>
      </c>
      <c r="BN4115" s="55">
        <v>4</v>
      </c>
      <c r="BO4115" s="55">
        <v>4</v>
      </c>
      <c r="BQ4115" s="55" t="s">
        <v>141</v>
      </c>
      <c r="BV4115" s="55" t="s">
        <v>3544</v>
      </c>
      <c r="GN4115" s="294">
        <v>20.5</v>
      </c>
      <c r="GO4115" s="294">
        <v>13.5</v>
      </c>
      <c r="GP4115" s="292" t="s">
        <v>5150</v>
      </c>
      <c r="GS4115" s="65" t="s">
        <v>3554</v>
      </c>
    </row>
    <row r="4116" spans="1:266" x14ac:dyDescent="0.25">
      <c r="A4116" s="55">
        <v>4115</v>
      </c>
      <c r="B4116" s="12" t="s">
        <v>7067</v>
      </c>
      <c r="C4116" s="155">
        <v>180</v>
      </c>
      <c r="D4116" s="55" t="s">
        <v>3550</v>
      </c>
      <c r="E4116" s="90" t="s">
        <v>3529</v>
      </c>
      <c r="G4116" s="55" t="s">
        <v>3530</v>
      </c>
      <c r="H4116" s="55">
        <v>2009</v>
      </c>
      <c r="I4116" s="55">
        <v>2005</v>
      </c>
      <c r="J4116" s="55" t="s">
        <v>337</v>
      </c>
      <c r="K4116" s="55" t="s">
        <v>3532</v>
      </c>
      <c r="L4116" s="55" t="s">
        <v>3533</v>
      </c>
      <c r="M4116" s="90">
        <v>41.28</v>
      </c>
      <c r="N4116" s="90">
        <v>36.340000000000003</v>
      </c>
      <c r="O4116" s="90">
        <v>33.6</v>
      </c>
      <c r="U4116" s="55" t="s">
        <v>1935</v>
      </c>
      <c r="V4116" s="55" t="s">
        <v>1688</v>
      </c>
      <c r="Y4116" s="55" t="s">
        <v>2543</v>
      </c>
      <c r="AH4116" s="55" t="s">
        <v>6378</v>
      </c>
      <c r="AI4116" s="168">
        <v>6.7</v>
      </c>
      <c r="AJ4116" s="90">
        <v>2.5</v>
      </c>
      <c r="AN4116" s="185" t="s">
        <v>3539</v>
      </c>
      <c r="AO4116" s="185" t="s">
        <v>5150</v>
      </c>
      <c r="AQ4116" s="55" t="s">
        <v>1545</v>
      </c>
      <c r="AR4116" s="55" t="s">
        <v>3531</v>
      </c>
      <c r="AS4116" s="55" t="s">
        <v>227</v>
      </c>
      <c r="AU4116" s="181" t="s">
        <v>7494</v>
      </c>
      <c r="AV4116" s="185" t="s">
        <v>176</v>
      </c>
      <c r="AX4116" s="185" t="s">
        <v>176</v>
      </c>
      <c r="BK4116" s="55" t="s">
        <v>5976</v>
      </c>
      <c r="BM4116" s="192" t="s">
        <v>2946</v>
      </c>
      <c r="BN4116" s="55">
        <v>4</v>
      </c>
      <c r="BO4116" s="55">
        <v>4</v>
      </c>
      <c r="BQ4116" s="55" t="s">
        <v>141</v>
      </c>
      <c r="BV4116" s="55" t="s">
        <v>3544</v>
      </c>
      <c r="GN4116" s="294">
        <v>20.5</v>
      </c>
      <c r="GO4116" s="294">
        <v>16.5</v>
      </c>
      <c r="GP4116" s="292" t="s">
        <v>5150</v>
      </c>
      <c r="GS4116" s="65" t="s">
        <v>3554</v>
      </c>
    </row>
    <row r="4117" spans="1:266" x14ac:dyDescent="0.25">
      <c r="A4117" s="55">
        <v>4116</v>
      </c>
      <c r="B4117" s="12" t="s">
        <v>7067</v>
      </c>
      <c r="C4117" s="155">
        <v>180</v>
      </c>
      <c r="D4117" s="55" t="s">
        <v>3551</v>
      </c>
      <c r="E4117" s="90" t="s">
        <v>3529</v>
      </c>
      <c r="G4117" s="55" t="s">
        <v>3530</v>
      </c>
      <c r="H4117" s="55">
        <v>2009</v>
      </c>
      <c r="I4117" s="55">
        <v>2005</v>
      </c>
      <c r="J4117" s="55" t="s">
        <v>337</v>
      </c>
      <c r="K4117" s="55" t="s">
        <v>3532</v>
      </c>
      <c r="L4117" s="55" t="s">
        <v>3533</v>
      </c>
      <c r="M4117" s="90">
        <v>41.28</v>
      </c>
      <c r="N4117" s="90">
        <v>36.340000000000003</v>
      </c>
      <c r="O4117" s="90">
        <v>33.6</v>
      </c>
      <c r="U4117" s="55" t="s">
        <v>1935</v>
      </c>
      <c r="V4117" s="55" t="s">
        <v>1688</v>
      </c>
      <c r="Y4117" s="55" t="s">
        <v>2543</v>
      </c>
      <c r="AH4117" s="55" t="s">
        <v>6378</v>
      </c>
      <c r="AI4117" s="168">
        <v>6.7</v>
      </c>
      <c r="AJ4117" s="90">
        <v>2.5</v>
      </c>
      <c r="AN4117" s="185" t="s">
        <v>3540</v>
      </c>
      <c r="AO4117" s="185" t="s">
        <v>5150</v>
      </c>
      <c r="AQ4117" s="55" t="s">
        <v>553</v>
      </c>
      <c r="AR4117" s="55" t="s">
        <v>3531</v>
      </c>
      <c r="AS4117" s="55" t="s">
        <v>227</v>
      </c>
      <c r="AU4117" s="181" t="s">
        <v>7494</v>
      </c>
      <c r="AV4117" s="185" t="s">
        <v>176</v>
      </c>
      <c r="AX4117" s="185" t="s">
        <v>176</v>
      </c>
      <c r="BK4117" s="55" t="s">
        <v>5976</v>
      </c>
      <c r="BM4117" s="192" t="s">
        <v>2946</v>
      </c>
      <c r="BN4117" s="55">
        <v>4</v>
      </c>
      <c r="BO4117" s="55">
        <v>4</v>
      </c>
      <c r="BQ4117" s="55" t="s">
        <v>141</v>
      </c>
      <c r="BV4117" s="55" t="s">
        <v>3544</v>
      </c>
      <c r="GN4117" s="294">
        <v>20.5</v>
      </c>
      <c r="GO4117" s="294">
        <v>8.6999999999999993</v>
      </c>
      <c r="GP4117" s="292" t="s">
        <v>5150</v>
      </c>
      <c r="GS4117" s="65" t="s">
        <v>3554</v>
      </c>
    </row>
    <row r="4118" spans="1:266" x14ac:dyDescent="0.25">
      <c r="A4118" s="55">
        <v>4117</v>
      </c>
      <c r="B4118" s="12" t="s">
        <v>7067</v>
      </c>
      <c r="C4118" s="155">
        <v>180</v>
      </c>
      <c r="D4118" s="55" t="s">
        <v>3551</v>
      </c>
      <c r="E4118" s="90" t="s">
        <v>3529</v>
      </c>
      <c r="G4118" s="55" t="s">
        <v>3530</v>
      </c>
      <c r="H4118" s="55">
        <v>2009</v>
      </c>
      <c r="I4118" s="55">
        <v>2005</v>
      </c>
      <c r="J4118" s="55" t="s">
        <v>337</v>
      </c>
      <c r="K4118" s="55" t="s">
        <v>3532</v>
      </c>
      <c r="L4118" s="55" t="s">
        <v>3533</v>
      </c>
      <c r="M4118" s="90">
        <v>41.28</v>
      </c>
      <c r="N4118" s="90">
        <v>36.340000000000003</v>
      </c>
      <c r="O4118" s="90">
        <v>33.6</v>
      </c>
      <c r="U4118" s="55" t="s">
        <v>1935</v>
      </c>
      <c r="V4118" s="55" t="s">
        <v>1688</v>
      </c>
      <c r="Y4118" s="55" t="s">
        <v>2543</v>
      </c>
      <c r="AH4118" s="55" t="s">
        <v>6378</v>
      </c>
      <c r="AI4118" s="168">
        <v>6.7</v>
      </c>
      <c r="AJ4118" s="90">
        <v>2.5</v>
      </c>
      <c r="AN4118" s="185" t="s">
        <v>3541</v>
      </c>
      <c r="AO4118" s="185" t="s">
        <v>5150</v>
      </c>
      <c r="AQ4118" s="55" t="s">
        <v>553</v>
      </c>
      <c r="AR4118" s="55" t="s">
        <v>3531</v>
      </c>
      <c r="AS4118" s="55" t="s">
        <v>227</v>
      </c>
      <c r="AU4118" s="181" t="s">
        <v>7494</v>
      </c>
      <c r="AV4118" s="185" t="s">
        <v>176</v>
      </c>
      <c r="AX4118" s="185" t="s">
        <v>176</v>
      </c>
      <c r="BK4118" s="55" t="s">
        <v>5976</v>
      </c>
      <c r="BM4118" s="192" t="s">
        <v>2946</v>
      </c>
      <c r="BN4118" s="55">
        <v>4</v>
      </c>
      <c r="BO4118" s="55">
        <v>4</v>
      </c>
      <c r="BQ4118" s="55" t="s">
        <v>141</v>
      </c>
      <c r="BV4118" s="55" t="s">
        <v>3544</v>
      </c>
      <c r="GN4118" s="294">
        <v>20.5</v>
      </c>
      <c r="GO4118" s="294">
        <v>5.5</v>
      </c>
      <c r="GP4118" s="292" t="s">
        <v>5150</v>
      </c>
      <c r="GS4118" s="65" t="s">
        <v>3554</v>
      </c>
    </row>
    <row r="4119" spans="1:266" x14ac:dyDescent="0.25">
      <c r="A4119" s="55">
        <v>4118</v>
      </c>
      <c r="B4119" s="12" t="s">
        <v>7067</v>
      </c>
      <c r="C4119" s="155">
        <v>180</v>
      </c>
      <c r="D4119" s="55" t="s">
        <v>3552</v>
      </c>
      <c r="E4119" s="90" t="s">
        <v>3529</v>
      </c>
      <c r="G4119" s="55" t="s">
        <v>3530</v>
      </c>
      <c r="H4119" s="55">
        <v>2009</v>
      </c>
      <c r="I4119" s="55">
        <v>2005</v>
      </c>
      <c r="J4119" s="55" t="s">
        <v>337</v>
      </c>
      <c r="K4119" s="55" t="s">
        <v>3532</v>
      </c>
      <c r="L4119" s="55" t="s">
        <v>3533</v>
      </c>
      <c r="M4119" s="90">
        <v>41.28</v>
      </c>
      <c r="N4119" s="90">
        <v>36.340000000000003</v>
      </c>
      <c r="O4119" s="90">
        <v>33.6</v>
      </c>
      <c r="U4119" s="55" t="s">
        <v>1935</v>
      </c>
      <c r="V4119" s="55" t="s">
        <v>1688</v>
      </c>
      <c r="Y4119" s="55" t="s">
        <v>2543</v>
      </c>
      <c r="AH4119" s="55" t="s">
        <v>6378</v>
      </c>
      <c r="AI4119" s="168">
        <v>6.7</v>
      </c>
      <c r="AJ4119" s="90">
        <v>2.5</v>
      </c>
      <c r="AN4119" s="185" t="s">
        <v>3534</v>
      </c>
      <c r="AO4119" s="185" t="s">
        <v>5150</v>
      </c>
      <c r="AQ4119" s="55" t="s">
        <v>1545</v>
      </c>
      <c r="AR4119" s="55" t="s">
        <v>3531</v>
      </c>
      <c r="AS4119" s="55" t="s">
        <v>227</v>
      </c>
      <c r="AU4119" s="181" t="s">
        <v>7494</v>
      </c>
      <c r="AV4119" s="185" t="s">
        <v>176</v>
      </c>
      <c r="AX4119" s="185" t="s">
        <v>176</v>
      </c>
      <c r="BK4119" s="55" t="s">
        <v>5976</v>
      </c>
      <c r="BM4119" s="192" t="s">
        <v>2946</v>
      </c>
      <c r="BN4119" s="55">
        <v>4</v>
      </c>
      <c r="BO4119" s="55">
        <v>4</v>
      </c>
      <c r="BQ4119" s="55" t="s">
        <v>141</v>
      </c>
      <c r="BV4119" s="55" t="s">
        <v>3545</v>
      </c>
      <c r="GN4119" s="294">
        <v>32.5</v>
      </c>
      <c r="GO4119" s="294">
        <v>15.5</v>
      </c>
      <c r="GP4119" s="292" t="s">
        <v>5150</v>
      </c>
      <c r="GS4119" s="65" t="s">
        <v>3554</v>
      </c>
    </row>
    <row r="4120" spans="1:266" x14ac:dyDescent="0.25">
      <c r="A4120" s="55">
        <v>4119</v>
      </c>
      <c r="B4120" s="12" t="s">
        <v>7067</v>
      </c>
      <c r="C4120" s="155">
        <v>180</v>
      </c>
      <c r="D4120" s="55" t="s">
        <v>3552</v>
      </c>
      <c r="E4120" s="90" t="s">
        <v>3529</v>
      </c>
      <c r="G4120" s="55" t="s">
        <v>3530</v>
      </c>
      <c r="H4120" s="55">
        <v>2009</v>
      </c>
      <c r="I4120" s="55">
        <v>2005</v>
      </c>
      <c r="J4120" s="55" t="s">
        <v>337</v>
      </c>
      <c r="K4120" s="55" t="s">
        <v>3532</v>
      </c>
      <c r="L4120" s="55" t="s">
        <v>3533</v>
      </c>
      <c r="M4120" s="90">
        <v>41.28</v>
      </c>
      <c r="N4120" s="90">
        <v>36.340000000000003</v>
      </c>
      <c r="O4120" s="90">
        <v>33.6</v>
      </c>
      <c r="U4120" s="55" t="s">
        <v>1935</v>
      </c>
      <c r="V4120" s="55" t="s">
        <v>1688</v>
      </c>
      <c r="Y4120" s="55" t="s">
        <v>2543</v>
      </c>
      <c r="AH4120" s="55" t="s">
        <v>6378</v>
      </c>
      <c r="AI4120" s="168">
        <v>6.7</v>
      </c>
      <c r="AJ4120" s="90">
        <v>2.5</v>
      </c>
      <c r="AN4120" s="185" t="s">
        <v>3535</v>
      </c>
      <c r="AO4120" s="185" t="s">
        <v>5150</v>
      </c>
      <c r="AQ4120" s="55" t="s">
        <v>1545</v>
      </c>
      <c r="AR4120" s="55" t="s">
        <v>3531</v>
      </c>
      <c r="AS4120" s="55" t="s">
        <v>227</v>
      </c>
      <c r="AU4120" s="181" t="s">
        <v>7494</v>
      </c>
      <c r="AV4120" s="185" t="s">
        <v>176</v>
      </c>
      <c r="AX4120" s="185" t="s">
        <v>176</v>
      </c>
      <c r="BK4120" s="55" t="s">
        <v>5976</v>
      </c>
      <c r="BM4120" s="192" t="s">
        <v>2946</v>
      </c>
      <c r="BN4120" s="55">
        <v>4</v>
      </c>
      <c r="BO4120" s="55">
        <v>4</v>
      </c>
      <c r="BQ4120" s="55" t="s">
        <v>141</v>
      </c>
      <c r="BV4120" s="55" t="s">
        <v>3545</v>
      </c>
      <c r="GN4120" s="294">
        <v>32.5</v>
      </c>
      <c r="GO4120" s="294">
        <v>10.7</v>
      </c>
      <c r="GP4120" s="292" t="s">
        <v>5150</v>
      </c>
      <c r="GS4120" s="65" t="s">
        <v>3554</v>
      </c>
    </row>
    <row r="4121" spans="1:266" x14ac:dyDescent="0.25">
      <c r="A4121" s="55">
        <v>4120</v>
      </c>
      <c r="B4121" s="12" t="s">
        <v>7067</v>
      </c>
      <c r="C4121" s="155">
        <v>180</v>
      </c>
      <c r="D4121" s="55" t="s">
        <v>3552</v>
      </c>
      <c r="E4121" s="90" t="s">
        <v>3529</v>
      </c>
      <c r="G4121" s="55" t="s">
        <v>3530</v>
      </c>
      <c r="H4121" s="55">
        <v>2009</v>
      </c>
      <c r="I4121" s="55">
        <v>2005</v>
      </c>
      <c r="J4121" s="55" t="s">
        <v>337</v>
      </c>
      <c r="K4121" s="55" t="s">
        <v>3532</v>
      </c>
      <c r="L4121" s="55" t="s">
        <v>3533</v>
      </c>
      <c r="M4121" s="90">
        <v>41.28</v>
      </c>
      <c r="N4121" s="90">
        <v>36.340000000000003</v>
      </c>
      <c r="O4121" s="90">
        <v>33.6</v>
      </c>
      <c r="U4121" s="55" t="s">
        <v>1935</v>
      </c>
      <c r="V4121" s="55" t="s">
        <v>1688</v>
      </c>
      <c r="Y4121" s="55" t="s">
        <v>2543</v>
      </c>
      <c r="AH4121" s="55" t="s">
        <v>6378</v>
      </c>
      <c r="AI4121" s="168">
        <v>6.7</v>
      </c>
      <c r="AJ4121" s="90">
        <v>2.5</v>
      </c>
      <c r="AN4121" s="185" t="s">
        <v>3536</v>
      </c>
      <c r="AO4121" s="185" t="s">
        <v>5150</v>
      </c>
      <c r="AQ4121" s="55" t="s">
        <v>1545</v>
      </c>
      <c r="AR4121" s="55" t="s">
        <v>3531</v>
      </c>
      <c r="AS4121" s="55" t="s">
        <v>227</v>
      </c>
      <c r="AU4121" s="181" t="s">
        <v>7494</v>
      </c>
      <c r="AV4121" s="185" t="s">
        <v>176</v>
      </c>
      <c r="AX4121" s="185" t="s">
        <v>176</v>
      </c>
      <c r="BK4121" s="55" t="s">
        <v>5976</v>
      </c>
      <c r="BM4121" s="192" t="s">
        <v>2946</v>
      </c>
      <c r="BN4121" s="55">
        <v>4</v>
      </c>
      <c r="BO4121" s="55">
        <v>4</v>
      </c>
      <c r="BQ4121" s="55" t="s">
        <v>141</v>
      </c>
      <c r="BV4121" s="55" t="s">
        <v>3545</v>
      </c>
      <c r="GN4121" s="294">
        <v>32.5</v>
      </c>
      <c r="GO4121" s="294">
        <v>12.2</v>
      </c>
      <c r="GP4121" s="292" t="s">
        <v>5150</v>
      </c>
      <c r="GS4121" s="65" t="s">
        <v>3554</v>
      </c>
    </row>
    <row r="4122" spans="1:266" x14ac:dyDescent="0.25">
      <c r="A4122" s="55">
        <v>4121</v>
      </c>
      <c r="B4122" s="12" t="s">
        <v>7067</v>
      </c>
      <c r="C4122" s="155">
        <v>180</v>
      </c>
      <c r="D4122" s="55" t="s">
        <v>3552</v>
      </c>
      <c r="E4122" s="90" t="s">
        <v>3529</v>
      </c>
      <c r="G4122" s="55" t="s">
        <v>3530</v>
      </c>
      <c r="H4122" s="55">
        <v>2009</v>
      </c>
      <c r="I4122" s="55">
        <v>2005</v>
      </c>
      <c r="J4122" s="55" t="s">
        <v>337</v>
      </c>
      <c r="K4122" s="55" t="s">
        <v>3532</v>
      </c>
      <c r="L4122" s="55" t="s">
        <v>3533</v>
      </c>
      <c r="M4122" s="90">
        <v>41.28</v>
      </c>
      <c r="N4122" s="90">
        <v>36.340000000000003</v>
      </c>
      <c r="O4122" s="90">
        <v>33.6</v>
      </c>
      <c r="U4122" s="55" t="s">
        <v>1935</v>
      </c>
      <c r="V4122" s="55" t="s">
        <v>1688</v>
      </c>
      <c r="Y4122" s="55" t="s">
        <v>2543</v>
      </c>
      <c r="AH4122" s="55" t="s">
        <v>6378</v>
      </c>
      <c r="AI4122" s="168">
        <v>6.7</v>
      </c>
      <c r="AJ4122" s="90">
        <v>2.5</v>
      </c>
      <c r="AN4122" s="185" t="s">
        <v>3537</v>
      </c>
      <c r="AO4122" s="185" t="s">
        <v>5150</v>
      </c>
      <c r="AQ4122" s="55" t="s">
        <v>1545</v>
      </c>
      <c r="AR4122" s="55" t="s">
        <v>3531</v>
      </c>
      <c r="AS4122" s="55" t="s">
        <v>227</v>
      </c>
      <c r="AU4122" s="181" t="s">
        <v>7494</v>
      </c>
      <c r="AV4122" s="185" t="s">
        <v>176</v>
      </c>
      <c r="AX4122" s="185" t="s">
        <v>176</v>
      </c>
      <c r="BK4122" s="55" t="s">
        <v>5976</v>
      </c>
      <c r="BM4122" s="192" t="s">
        <v>2946</v>
      </c>
      <c r="BN4122" s="55">
        <v>4</v>
      </c>
      <c r="BO4122" s="55">
        <v>4</v>
      </c>
      <c r="BQ4122" s="55" t="s">
        <v>141</v>
      </c>
      <c r="BV4122" s="55" t="s">
        <v>3545</v>
      </c>
      <c r="GN4122" s="294">
        <v>32.5</v>
      </c>
      <c r="GO4122" s="294">
        <v>14.5</v>
      </c>
      <c r="GP4122" s="292" t="s">
        <v>5150</v>
      </c>
      <c r="GS4122" s="65" t="s">
        <v>3554</v>
      </c>
    </row>
    <row r="4123" spans="1:266" x14ac:dyDescent="0.25">
      <c r="A4123" s="55">
        <v>4122</v>
      </c>
      <c r="B4123" s="12" t="s">
        <v>7067</v>
      </c>
      <c r="C4123" s="155">
        <v>180</v>
      </c>
      <c r="D4123" s="55" t="s">
        <v>3552</v>
      </c>
      <c r="E4123" s="90" t="s">
        <v>3529</v>
      </c>
      <c r="G4123" s="55" t="s">
        <v>3530</v>
      </c>
      <c r="H4123" s="55">
        <v>2009</v>
      </c>
      <c r="I4123" s="55">
        <v>2005</v>
      </c>
      <c r="J4123" s="55" t="s">
        <v>337</v>
      </c>
      <c r="K4123" s="55" t="s">
        <v>3532</v>
      </c>
      <c r="L4123" s="55" t="s">
        <v>3533</v>
      </c>
      <c r="M4123" s="90">
        <v>41.28</v>
      </c>
      <c r="N4123" s="90">
        <v>36.340000000000003</v>
      </c>
      <c r="O4123" s="90">
        <v>33.6</v>
      </c>
      <c r="U4123" s="55" t="s">
        <v>1935</v>
      </c>
      <c r="V4123" s="55" t="s">
        <v>1688</v>
      </c>
      <c r="Y4123" s="55" t="s">
        <v>2543</v>
      </c>
      <c r="AH4123" s="55" t="s">
        <v>6378</v>
      </c>
      <c r="AI4123" s="168">
        <v>6.7</v>
      </c>
      <c r="AJ4123" s="90">
        <v>2.5</v>
      </c>
      <c r="AN4123" s="185" t="s">
        <v>3538</v>
      </c>
      <c r="AO4123" s="185" t="s">
        <v>5150</v>
      </c>
      <c r="AQ4123" s="55" t="s">
        <v>1545</v>
      </c>
      <c r="AR4123" s="55" t="s">
        <v>3531</v>
      </c>
      <c r="AS4123" s="55" t="s">
        <v>227</v>
      </c>
      <c r="AU4123" s="181" t="s">
        <v>7494</v>
      </c>
      <c r="AV4123" s="185" t="s">
        <v>176</v>
      </c>
      <c r="AX4123" s="185" t="s">
        <v>176</v>
      </c>
      <c r="BK4123" s="55" t="s">
        <v>5976</v>
      </c>
      <c r="BM4123" s="192" t="s">
        <v>2946</v>
      </c>
      <c r="BN4123" s="55">
        <v>4</v>
      </c>
      <c r="BO4123" s="55">
        <v>4</v>
      </c>
      <c r="BQ4123" s="55" t="s">
        <v>141</v>
      </c>
      <c r="BV4123" s="55" t="s">
        <v>3545</v>
      </c>
      <c r="GN4123" s="294">
        <v>32.5</v>
      </c>
      <c r="GO4123" s="294">
        <v>22</v>
      </c>
      <c r="GP4123" s="292" t="s">
        <v>5150</v>
      </c>
      <c r="GS4123" s="65" t="s">
        <v>3554</v>
      </c>
    </row>
    <row r="4124" spans="1:266" x14ac:dyDescent="0.25">
      <c r="A4124" s="55">
        <v>4123</v>
      </c>
      <c r="B4124" s="12" t="s">
        <v>7067</v>
      </c>
      <c r="C4124" s="155">
        <v>180</v>
      </c>
      <c r="D4124" s="55" t="s">
        <v>3552</v>
      </c>
      <c r="E4124" s="90" t="s">
        <v>3529</v>
      </c>
      <c r="G4124" s="55" t="s">
        <v>3530</v>
      </c>
      <c r="H4124" s="55">
        <v>2009</v>
      </c>
      <c r="I4124" s="55">
        <v>2005</v>
      </c>
      <c r="J4124" s="55" t="s">
        <v>337</v>
      </c>
      <c r="K4124" s="55" t="s">
        <v>3532</v>
      </c>
      <c r="L4124" s="55" t="s">
        <v>3533</v>
      </c>
      <c r="M4124" s="90">
        <v>41.28</v>
      </c>
      <c r="N4124" s="90">
        <v>36.340000000000003</v>
      </c>
      <c r="O4124" s="90">
        <v>33.6</v>
      </c>
      <c r="U4124" s="55" t="s">
        <v>1935</v>
      </c>
      <c r="V4124" s="55" t="s">
        <v>1688</v>
      </c>
      <c r="Y4124" s="55" t="s">
        <v>2543</v>
      </c>
      <c r="AH4124" s="55" t="s">
        <v>6378</v>
      </c>
      <c r="AI4124" s="168">
        <v>6.7</v>
      </c>
      <c r="AJ4124" s="90">
        <v>2.5</v>
      </c>
      <c r="AN4124" s="185" t="s">
        <v>3539</v>
      </c>
      <c r="AO4124" s="185" t="s">
        <v>5150</v>
      </c>
      <c r="AQ4124" s="55" t="s">
        <v>1545</v>
      </c>
      <c r="AR4124" s="55" t="s">
        <v>3531</v>
      </c>
      <c r="AS4124" s="55" t="s">
        <v>227</v>
      </c>
      <c r="AU4124" s="181" t="s">
        <v>7494</v>
      </c>
      <c r="AV4124" s="185" t="s">
        <v>176</v>
      </c>
      <c r="AX4124" s="185" t="s">
        <v>176</v>
      </c>
      <c r="BK4124" s="55" t="s">
        <v>5976</v>
      </c>
      <c r="BM4124" s="192" t="s">
        <v>2946</v>
      </c>
      <c r="BN4124" s="55">
        <v>4</v>
      </c>
      <c r="BO4124" s="55">
        <v>4</v>
      </c>
      <c r="BQ4124" s="55" t="s">
        <v>141</v>
      </c>
      <c r="BV4124" s="55" t="s">
        <v>3545</v>
      </c>
      <c r="GN4124" s="294">
        <v>32.5</v>
      </c>
      <c r="GO4124" s="294">
        <v>23</v>
      </c>
      <c r="GP4124" s="292" t="s">
        <v>5150</v>
      </c>
      <c r="GS4124" s="65" t="s">
        <v>3554</v>
      </c>
    </row>
    <row r="4125" spans="1:266" x14ac:dyDescent="0.25">
      <c r="A4125" s="55">
        <v>4124</v>
      </c>
      <c r="B4125" s="12" t="s">
        <v>7067</v>
      </c>
      <c r="C4125" s="155">
        <v>180</v>
      </c>
      <c r="D4125" s="55" t="s">
        <v>3553</v>
      </c>
      <c r="E4125" s="90" t="s">
        <v>3529</v>
      </c>
      <c r="G4125" s="55" t="s">
        <v>3530</v>
      </c>
      <c r="H4125" s="55">
        <v>2009</v>
      </c>
      <c r="I4125" s="55">
        <v>2005</v>
      </c>
      <c r="J4125" s="55" t="s">
        <v>337</v>
      </c>
      <c r="K4125" s="55" t="s">
        <v>3532</v>
      </c>
      <c r="L4125" s="55" t="s">
        <v>3533</v>
      </c>
      <c r="M4125" s="90">
        <v>41.28</v>
      </c>
      <c r="N4125" s="90">
        <v>36.340000000000003</v>
      </c>
      <c r="O4125" s="90">
        <v>33.6</v>
      </c>
      <c r="U4125" s="55" t="s">
        <v>1935</v>
      </c>
      <c r="V4125" s="55" t="s">
        <v>1688</v>
      </c>
      <c r="Y4125" s="55" t="s">
        <v>2543</v>
      </c>
      <c r="AH4125" s="55" t="s">
        <v>6378</v>
      </c>
      <c r="AI4125" s="168">
        <v>6.7</v>
      </c>
      <c r="AJ4125" s="90">
        <v>2.5</v>
      </c>
      <c r="AN4125" s="185" t="s">
        <v>3540</v>
      </c>
      <c r="AO4125" s="185" t="s">
        <v>5150</v>
      </c>
      <c r="AQ4125" s="55" t="s">
        <v>553</v>
      </c>
      <c r="AR4125" s="55" t="s">
        <v>3531</v>
      </c>
      <c r="AS4125" s="55" t="s">
        <v>227</v>
      </c>
      <c r="AU4125" s="181" t="s">
        <v>7494</v>
      </c>
      <c r="AV4125" s="185" t="s">
        <v>176</v>
      </c>
      <c r="AX4125" s="185" t="s">
        <v>176</v>
      </c>
      <c r="BK4125" s="55" t="s">
        <v>5976</v>
      </c>
      <c r="BM4125" s="192" t="s">
        <v>2946</v>
      </c>
      <c r="BN4125" s="55">
        <v>4</v>
      </c>
      <c r="BO4125" s="55">
        <v>4</v>
      </c>
      <c r="BQ4125" s="55" t="s">
        <v>141</v>
      </c>
      <c r="BV4125" s="55" t="s">
        <v>3545</v>
      </c>
      <c r="GN4125" s="294">
        <v>32.5</v>
      </c>
      <c r="GO4125" s="294">
        <v>11.5</v>
      </c>
      <c r="GP4125" s="292" t="s">
        <v>5150</v>
      </c>
      <c r="GS4125" s="65" t="s">
        <v>3554</v>
      </c>
    </row>
    <row r="4126" spans="1:266" x14ac:dyDescent="0.25">
      <c r="A4126" s="55">
        <v>4125</v>
      </c>
      <c r="B4126" s="12" t="s">
        <v>7067</v>
      </c>
      <c r="C4126" s="155">
        <v>180</v>
      </c>
      <c r="D4126" s="55" t="s">
        <v>3553</v>
      </c>
      <c r="E4126" s="90" t="s">
        <v>3529</v>
      </c>
      <c r="G4126" s="55" t="s">
        <v>3530</v>
      </c>
      <c r="H4126" s="55">
        <v>2009</v>
      </c>
      <c r="I4126" s="55">
        <v>2005</v>
      </c>
      <c r="J4126" s="55" t="s">
        <v>337</v>
      </c>
      <c r="K4126" s="55" t="s">
        <v>3532</v>
      </c>
      <c r="L4126" s="55" t="s">
        <v>3533</v>
      </c>
      <c r="M4126" s="90">
        <v>41.28</v>
      </c>
      <c r="N4126" s="90">
        <v>36.340000000000003</v>
      </c>
      <c r="O4126" s="90">
        <v>33.6</v>
      </c>
      <c r="U4126" s="55" t="s">
        <v>1935</v>
      </c>
      <c r="V4126" s="55" t="s">
        <v>1688</v>
      </c>
      <c r="Y4126" s="55" t="s">
        <v>2543</v>
      </c>
      <c r="AH4126" s="55" t="s">
        <v>6378</v>
      </c>
      <c r="AI4126" s="168">
        <v>6.7</v>
      </c>
      <c r="AJ4126" s="90">
        <v>2.5</v>
      </c>
      <c r="AN4126" s="185" t="s">
        <v>3541</v>
      </c>
      <c r="AO4126" s="185" t="s">
        <v>5150</v>
      </c>
      <c r="AQ4126" s="55" t="s">
        <v>553</v>
      </c>
      <c r="AR4126" s="55" t="s">
        <v>3531</v>
      </c>
      <c r="AS4126" s="55" t="s">
        <v>227</v>
      </c>
      <c r="AU4126" s="181" t="s">
        <v>7494</v>
      </c>
      <c r="AV4126" s="185" t="s">
        <v>176</v>
      </c>
      <c r="AX4126" s="185" t="s">
        <v>176</v>
      </c>
      <c r="BK4126" s="55" t="s">
        <v>5976</v>
      </c>
      <c r="BM4126" s="192" t="s">
        <v>2946</v>
      </c>
      <c r="BN4126" s="55">
        <v>4</v>
      </c>
      <c r="BO4126" s="55">
        <v>4</v>
      </c>
      <c r="BQ4126" s="55" t="s">
        <v>141</v>
      </c>
      <c r="BV4126" s="55" t="s">
        <v>3545</v>
      </c>
      <c r="GN4126" s="294">
        <v>32.5</v>
      </c>
      <c r="GO4126" s="294">
        <v>8.6999999999999993</v>
      </c>
      <c r="GP4126" s="292" t="s">
        <v>5150</v>
      </c>
      <c r="GS4126" s="65" t="s">
        <v>3554</v>
      </c>
    </row>
    <row r="4127" spans="1:266" x14ac:dyDescent="0.25">
      <c r="A4127" s="55">
        <v>4126</v>
      </c>
      <c r="B4127" s="12" t="s">
        <v>7067</v>
      </c>
      <c r="C4127" s="155">
        <v>181</v>
      </c>
      <c r="D4127" s="55" t="s">
        <v>3563</v>
      </c>
      <c r="E4127" s="90" t="s">
        <v>3555</v>
      </c>
      <c r="G4127" s="55" t="s">
        <v>3556</v>
      </c>
      <c r="H4127" s="55">
        <v>2013</v>
      </c>
      <c r="I4127" s="55">
        <v>2009</v>
      </c>
      <c r="J4127" s="55" t="s">
        <v>2635</v>
      </c>
      <c r="K4127" s="55" t="s">
        <v>3557</v>
      </c>
      <c r="L4127" s="55" t="s">
        <v>3514</v>
      </c>
      <c r="M4127" s="90">
        <f>35+9/60</f>
        <v>35.15</v>
      </c>
      <c r="N4127" s="90">
        <f>128+5.4/60</f>
        <v>128.09</v>
      </c>
      <c r="O4127" s="90">
        <v>57.6</v>
      </c>
      <c r="U4127" s="55" t="s">
        <v>1935</v>
      </c>
      <c r="V4127" s="55" t="s">
        <v>1805</v>
      </c>
      <c r="Y4127" s="55" t="s">
        <v>1826</v>
      </c>
      <c r="Z4127" s="55" t="s">
        <v>1349</v>
      </c>
      <c r="AA4127" s="90" t="s">
        <v>1677</v>
      </c>
      <c r="AD4127" s="90">
        <v>1.2</v>
      </c>
      <c r="AH4127" s="55" t="s">
        <v>6378</v>
      </c>
      <c r="AI4127" s="168">
        <v>6.6</v>
      </c>
      <c r="AJ4127" s="90">
        <v>1.55</v>
      </c>
      <c r="AN4127" s="185" t="s">
        <v>131</v>
      </c>
      <c r="AO4127" s="185" t="s">
        <v>5150</v>
      </c>
      <c r="AQ4127" s="55" t="s">
        <v>1545</v>
      </c>
      <c r="AR4127" s="55" t="s">
        <v>1096</v>
      </c>
      <c r="AS4127" s="55" t="s">
        <v>5133</v>
      </c>
      <c r="AU4127" s="181" t="s">
        <v>7494</v>
      </c>
      <c r="AV4127" s="185" t="s">
        <v>176</v>
      </c>
      <c r="AX4127" s="185" t="s">
        <v>176</v>
      </c>
      <c r="BK4127" s="55" t="s">
        <v>5976</v>
      </c>
      <c r="BM4127" s="192" t="s">
        <v>160</v>
      </c>
      <c r="BN4127" s="55">
        <v>3</v>
      </c>
      <c r="BO4127" s="55">
        <v>3</v>
      </c>
      <c r="BQ4127" s="55" t="s">
        <v>141</v>
      </c>
      <c r="CB4127" s="66">
        <v>5700</v>
      </c>
      <c r="CC4127" s="66">
        <v>6600</v>
      </c>
      <c r="CE4127" s="65">
        <v>500</v>
      </c>
      <c r="CF4127" s="65">
        <v>500</v>
      </c>
      <c r="CG4127" s="65" t="s">
        <v>3561</v>
      </c>
      <c r="CM4127" s="65">
        <v>0.87</v>
      </c>
      <c r="CN4127" s="65">
        <v>0.99</v>
      </c>
      <c r="CO4127" s="65">
        <v>0.06</v>
      </c>
      <c r="CP4127" s="65">
        <v>0.06</v>
      </c>
      <c r="CQ4127" s="65" t="s">
        <v>3558</v>
      </c>
      <c r="DA4127" s="65" t="s">
        <v>4456</v>
      </c>
      <c r="DB4127" s="65">
        <v>490</v>
      </c>
      <c r="DC4127" s="65">
        <v>500</v>
      </c>
      <c r="DD4127" s="65">
        <v>30</v>
      </c>
      <c r="DE4127" s="65">
        <v>30</v>
      </c>
      <c r="DF4127" s="65" t="s">
        <v>3419</v>
      </c>
      <c r="DG4127" s="65">
        <v>63</v>
      </c>
      <c r="DH4127" s="65">
        <v>62</v>
      </c>
      <c r="DI4127" s="65">
        <v>14</v>
      </c>
      <c r="DJ4127" s="65">
        <v>14</v>
      </c>
      <c r="DK4127" s="65" t="s">
        <v>3528</v>
      </c>
      <c r="DL4127" s="65">
        <v>0.3</v>
      </c>
      <c r="DM4127" s="65">
        <v>0.3</v>
      </c>
      <c r="DP4127" s="65" t="s">
        <v>3360</v>
      </c>
      <c r="DQ4127" s="165">
        <v>6.5</v>
      </c>
      <c r="DR4127" s="165">
        <v>6.6</v>
      </c>
      <c r="DV4127" s="65">
        <f>0.3+8.2+0.5</f>
        <v>9</v>
      </c>
      <c r="DW4127" s="65">
        <f>0.3+7.9+0.6</f>
        <v>8.8000000000000007</v>
      </c>
      <c r="DZ4127" s="65" t="s">
        <v>3559</v>
      </c>
      <c r="GP4127" s="292" t="s">
        <v>7494</v>
      </c>
      <c r="HI4127" s="65">
        <v>15.9</v>
      </c>
      <c r="HJ4127" s="65">
        <v>27.7</v>
      </c>
      <c r="HK4127" s="65">
        <v>12.5</v>
      </c>
      <c r="HL4127" s="65">
        <v>12.5</v>
      </c>
      <c r="HM4127" s="65" t="s">
        <v>1664</v>
      </c>
      <c r="HN4127" s="65">
        <v>138</v>
      </c>
      <c r="HO4127" s="65">
        <v>238</v>
      </c>
      <c r="HP4127" s="65">
        <v>51</v>
      </c>
      <c r="HQ4127" s="65">
        <v>51</v>
      </c>
      <c r="HR4127" s="65" t="s">
        <v>3560</v>
      </c>
      <c r="IH4127" s="65">
        <v>2.4900000000000002</v>
      </c>
      <c r="II4127" s="65">
        <v>2.2799999999999998</v>
      </c>
      <c r="IJ4127" s="65">
        <f>4.29-IH4127</f>
        <v>1.7999999999999998</v>
      </c>
      <c r="IK4127" s="65">
        <f>3.06-II4127</f>
        <v>0.78000000000000025</v>
      </c>
      <c r="IL4127" s="65" t="s">
        <v>178</v>
      </c>
      <c r="IW4127" s="65">
        <v>2125.6</v>
      </c>
      <c r="IX4127" s="65">
        <v>5623</v>
      </c>
      <c r="IY4127" s="65">
        <f>3516.9-IW4127</f>
        <v>1391.3000000000002</v>
      </c>
      <c r="IZ4127" s="65">
        <f>7227-IX4127</f>
        <v>1604</v>
      </c>
      <c r="JA4127" s="65" t="s">
        <v>3562</v>
      </c>
      <c r="JB4127" s="65">
        <v>479.4</v>
      </c>
      <c r="JC4127" s="65">
        <v>1037.4000000000001</v>
      </c>
      <c r="JD4127" s="65">
        <f>521.6-JB4127</f>
        <v>42.200000000000045</v>
      </c>
      <c r="JE4127" s="65">
        <f>1212-JC4127</f>
        <v>174.59999999999991</v>
      </c>
      <c r="JF4127" s="65" t="s">
        <v>178</v>
      </c>
    </row>
    <row r="4128" spans="1:266" x14ac:dyDescent="0.25">
      <c r="A4128" s="55">
        <v>4127</v>
      </c>
      <c r="B4128" s="12" t="s">
        <v>7067</v>
      </c>
      <c r="C4128" s="155">
        <v>181</v>
      </c>
      <c r="D4128" s="55" t="s">
        <v>3564</v>
      </c>
      <c r="E4128" s="90" t="s">
        <v>3555</v>
      </c>
      <c r="G4128" s="55" t="s">
        <v>3556</v>
      </c>
      <c r="H4128" s="55">
        <v>2013</v>
      </c>
      <c r="I4128" s="55">
        <v>2009</v>
      </c>
      <c r="J4128" s="55" t="s">
        <v>2635</v>
      </c>
      <c r="K4128" s="55" t="s">
        <v>3557</v>
      </c>
      <c r="L4128" s="55" t="s">
        <v>3514</v>
      </c>
      <c r="M4128" s="90">
        <f>35+9/60</f>
        <v>35.15</v>
      </c>
      <c r="N4128" s="90">
        <f>128+5.4/60</f>
        <v>128.09</v>
      </c>
      <c r="O4128" s="90">
        <v>57.6</v>
      </c>
      <c r="U4128" s="55" t="s">
        <v>1935</v>
      </c>
      <c r="V4128" s="55" t="s">
        <v>1805</v>
      </c>
      <c r="Y4128" s="55" t="s">
        <v>1826</v>
      </c>
      <c r="Z4128" s="55" t="s">
        <v>1349</v>
      </c>
      <c r="AA4128" s="90" t="s">
        <v>1677</v>
      </c>
      <c r="AD4128" s="90">
        <v>1.2</v>
      </c>
      <c r="AH4128" s="55" t="s">
        <v>6378</v>
      </c>
      <c r="AI4128" s="168">
        <v>6.6</v>
      </c>
      <c r="AJ4128" s="90">
        <v>1.55</v>
      </c>
      <c r="AN4128" s="185" t="s">
        <v>241</v>
      </c>
      <c r="AO4128" s="185" t="s">
        <v>5150</v>
      </c>
      <c r="AQ4128" s="55" t="s">
        <v>553</v>
      </c>
      <c r="AR4128" s="55" t="s">
        <v>1096</v>
      </c>
      <c r="AS4128" s="55" t="s">
        <v>5133</v>
      </c>
      <c r="AU4128" s="181" t="s">
        <v>7494</v>
      </c>
      <c r="AV4128" s="185" t="s">
        <v>176</v>
      </c>
      <c r="AX4128" s="185" t="s">
        <v>176</v>
      </c>
      <c r="BK4128" s="55" t="s">
        <v>5976</v>
      </c>
      <c r="BM4128" s="192" t="s">
        <v>160</v>
      </c>
      <c r="BN4128" s="55">
        <v>3</v>
      </c>
      <c r="BO4128" s="55">
        <v>3</v>
      </c>
      <c r="BQ4128" s="55" t="s">
        <v>141</v>
      </c>
      <c r="CB4128" s="66">
        <v>5700</v>
      </c>
      <c r="CC4128" s="66">
        <v>7000</v>
      </c>
      <c r="CE4128" s="65">
        <v>500</v>
      </c>
      <c r="CF4128" s="65">
        <v>500</v>
      </c>
      <c r="CG4128" s="65" t="s">
        <v>3561</v>
      </c>
      <c r="CM4128" s="65">
        <v>0.87</v>
      </c>
      <c r="CN4128" s="65">
        <v>0.92</v>
      </c>
      <c r="CO4128" s="65">
        <v>0.06</v>
      </c>
      <c r="CP4128" s="65">
        <v>0.06</v>
      </c>
      <c r="CQ4128" s="65" t="s">
        <v>3558</v>
      </c>
      <c r="DA4128" s="65" t="s">
        <v>4456</v>
      </c>
      <c r="DB4128" s="65">
        <v>490</v>
      </c>
      <c r="DC4128" s="65">
        <v>550</v>
      </c>
      <c r="DD4128" s="65">
        <v>30</v>
      </c>
      <c r="DE4128" s="65">
        <v>30</v>
      </c>
      <c r="DF4128" s="65" t="s">
        <v>3419</v>
      </c>
      <c r="DG4128" s="65">
        <v>63</v>
      </c>
      <c r="DH4128" s="65">
        <v>101</v>
      </c>
      <c r="DI4128" s="65">
        <v>14</v>
      </c>
      <c r="DJ4128" s="65">
        <v>14</v>
      </c>
      <c r="DK4128" s="65" t="s">
        <v>3528</v>
      </c>
      <c r="DL4128" s="65">
        <v>0.3</v>
      </c>
      <c r="DM4128" s="65">
        <v>0.3</v>
      </c>
      <c r="DP4128" s="65" t="s">
        <v>3360</v>
      </c>
      <c r="DQ4128" s="165">
        <v>6.5</v>
      </c>
      <c r="DR4128" s="165">
        <v>6.4</v>
      </c>
      <c r="DV4128" s="65">
        <f>0.3+8.2+0.5</f>
        <v>9</v>
      </c>
      <c r="DW4128" s="65">
        <f>0.3+8.2+0.5</f>
        <v>9</v>
      </c>
      <c r="DZ4128" s="65" t="s">
        <v>3559</v>
      </c>
      <c r="GP4128" s="292" t="s">
        <v>7494</v>
      </c>
      <c r="HI4128" s="65">
        <v>15.9</v>
      </c>
      <c r="HJ4128" s="65">
        <v>29.3</v>
      </c>
      <c r="HK4128" s="65">
        <v>12.5</v>
      </c>
      <c r="HL4128" s="65">
        <v>12.5</v>
      </c>
      <c r="HM4128" s="65" t="s">
        <v>1664</v>
      </c>
      <c r="HN4128" s="65">
        <v>138</v>
      </c>
      <c r="HO4128" s="65">
        <v>221</v>
      </c>
      <c r="HP4128" s="65">
        <v>51</v>
      </c>
      <c r="HQ4128" s="65">
        <v>51</v>
      </c>
      <c r="HR4128" s="65" t="s">
        <v>3560</v>
      </c>
      <c r="IH4128" s="65">
        <v>2.4900000000000002</v>
      </c>
      <c r="II4128" s="65">
        <v>3</v>
      </c>
      <c r="IJ4128" s="65">
        <f>4.29-IH4128</f>
        <v>1.7999999999999998</v>
      </c>
      <c r="IK4128" s="65">
        <f>3.06-II4128</f>
        <v>6.0000000000000053E-2</v>
      </c>
      <c r="IL4128" s="65" t="s">
        <v>178</v>
      </c>
      <c r="IW4128" s="65">
        <v>2125.6</v>
      </c>
      <c r="IX4128" s="65">
        <v>4135.26</v>
      </c>
      <c r="IY4128" s="65">
        <f>3516.9-IW4128</f>
        <v>1391.3000000000002</v>
      </c>
      <c r="IZ4128" s="65">
        <f>4923.5-IX4128</f>
        <v>788.23999999999978</v>
      </c>
      <c r="JA4128" s="65" t="s">
        <v>3562</v>
      </c>
      <c r="JB4128" s="65">
        <v>479.4</v>
      </c>
      <c r="JC4128" s="65">
        <v>777.9</v>
      </c>
      <c r="JD4128" s="65">
        <f>521.6-JB4128</f>
        <v>42.200000000000045</v>
      </c>
      <c r="JE4128" s="65">
        <f>789-JC4128</f>
        <v>11.100000000000023</v>
      </c>
      <c r="JF4128" s="65" t="s">
        <v>178</v>
      </c>
    </row>
    <row r="4129" spans="1:282" x14ac:dyDescent="0.25">
      <c r="A4129" s="55">
        <v>4128</v>
      </c>
      <c r="B4129" s="12" t="s">
        <v>7067</v>
      </c>
      <c r="C4129" s="155">
        <v>182</v>
      </c>
      <c r="D4129" s="55" t="s">
        <v>3570</v>
      </c>
      <c r="E4129" s="90" t="s">
        <v>3565</v>
      </c>
      <c r="G4129" s="55" t="s">
        <v>3566</v>
      </c>
      <c r="H4129" s="55">
        <v>2016</v>
      </c>
      <c r="I4129" s="55">
        <v>2012</v>
      </c>
      <c r="J4129" s="55" t="s">
        <v>3568</v>
      </c>
      <c r="K4129" s="55" t="s">
        <v>3567</v>
      </c>
      <c r="L4129" s="55" t="s">
        <v>3377</v>
      </c>
      <c r="M4129" s="90">
        <f>29+52/60</f>
        <v>29.866666666666667</v>
      </c>
      <c r="N4129" s="90">
        <f>112+55/60</f>
        <v>112.91666666666667</v>
      </c>
      <c r="O4129" s="90">
        <v>25.8</v>
      </c>
      <c r="P4129" s="55">
        <f>AVERAGE(22.35,10.9,7.45,6.63,8.7,12.7,15.97,22.58,25.63,30.71,30.09,29.57)</f>
        <v>18.606666666666666</v>
      </c>
      <c r="Q4129" s="55">
        <f>(14.7+22)/2</f>
        <v>18.350000000000001</v>
      </c>
      <c r="R4129" s="55">
        <f>SUM(25.79,65,44,29.5,64.9,141.9,175.28,232.25,275.41,75.52,142.35,142.25)</f>
        <v>1414.1499999999999</v>
      </c>
      <c r="S4129" s="90">
        <v>1232</v>
      </c>
      <c r="U4129" s="55" t="s">
        <v>1935</v>
      </c>
      <c r="V4129" s="55" t="s">
        <v>1935</v>
      </c>
      <c r="Y4129" s="55" t="s">
        <v>1807</v>
      </c>
      <c r="AD4129" s="90">
        <v>1.18</v>
      </c>
      <c r="AH4129" s="55" t="s">
        <v>769</v>
      </c>
      <c r="AI4129" s="168">
        <v>6.2</v>
      </c>
      <c r="AJ4129" s="90">
        <v>5.2</v>
      </c>
      <c r="AM4129" s="55" t="s">
        <v>3569</v>
      </c>
      <c r="AN4129" s="185" t="s">
        <v>3572</v>
      </c>
      <c r="AO4129" s="185" t="s">
        <v>5150</v>
      </c>
      <c r="AQ4129" s="55" t="s">
        <v>553</v>
      </c>
      <c r="AR4129" s="55" t="s">
        <v>1096</v>
      </c>
      <c r="AS4129" s="55" t="s">
        <v>5133</v>
      </c>
      <c r="AU4129" s="181" t="s">
        <v>7494</v>
      </c>
      <c r="AV4129" s="185" t="s">
        <v>176</v>
      </c>
      <c r="AX4129" s="185" t="s">
        <v>176</v>
      </c>
      <c r="BK4129" s="55" t="s">
        <v>5976</v>
      </c>
      <c r="BM4129" s="192" t="s">
        <v>160</v>
      </c>
      <c r="BN4129" s="55">
        <v>3</v>
      </c>
      <c r="BO4129" s="55">
        <v>3</v>
      </c>
      <c r="BQ4129" s="55" t="s">
        <v>141</v>
      </c>
      <c r="BV4129" s="55" t="s">
        <v>3573</v>
      </c>
      <c r="GP4129" s="292" t="s">
        <v>7494</v>
      </c>
      <c r="HN4129" s="65">
        <v>20.93</v>
      </c>
      <c r="HO4129" s="65">
        <v>41.54</v>
      </c>
      <c r="HP4129" s="65">
        <f>21.74-HN4129</f>
        <v>0.80999999999999872</v>
      </c>
      <c r="HQ4129" s="65">
        <f>44-HO4129</f>
        <v>2.4600000000000009</v>
      </c>
      <c r="HR4129" s="65" t="s">
        <v>3578</v>
      </c>
      <c r="JU4129" s="55" t="s">
        <v>3576</v>
      </c>
    </row>
    <row r="4130" spans="1:282" x14ac:dyDescent="0.25">
      <c r="A4130" s="55">
        <v>4129</v>
      </c>
      <c r="B4130" s="12" t="s">
        <v>7067</v>
      </c>
      <c r="C4130" s="155">
        <v>182</v>
      </c>
      <c r="D4130" s="55" t="s">
        <v>3571</v>
      </c>
      <c r="E4130" s="90" t="s">
        <v>3565</v>
      </c>
      <c r="G4130" s="55" t="s">
        <v>3566</v>
      </c>
      <c r="H4130" s="55">
        <v>2016</v>
      </c>
      <c r="I4130" s="55">
        <v>2012</v>
      </c>
      <c r="J4130" s="55" t="s">
        <v>3568</v>
      </c>
      <c r="K4130" s="55" t="s">
        <v>3567</v>
      </c>
      <c r="L4130" s="55" t="s">
        <v>3377</v>
      </c>
      <c r="M4130" s="90">
        <f>29+52/60</f>
        <v>29.866666666666667</v>
      </c>
      <c r="N4130" s="90">
        <f>112+55/60</f>
        <v>112.91666666666667</v>
      </c>
      <c r="O4130" s="90">
        <v>25.8</v>
      </c>
      <c r="P4130" s="55">
        <f>AVERAGE(22.35,10.9,7.45,6.63,8.7,12.7,15.97,22.58,25.63,30.71,30.09,29.57)</f>
        <v>18.606666666666666</v>
      </c>
      <c r="Q4130" s="55">
        <f>(14.7+22)/2</f>
        <v>18.350000000000001</v>
      </c>
      <c r="R4130" s="55">
        <f>SUM(25.79,65,44,29.5,64.9,141.9,175.28,232.25,275.41,75.52,142.35,142.25)</f>
        <v>1414.1499999999999</v>
      </c>
      <c r="S4130" s="90">
        <v>1232</v>
      </c>
      <c r="U4130" s="55" t="s">
        <v>1935</v>
      </c>
      <c r="V4130" s="55" t="s">
        <v>1935</v>
      </c>
      <c r="Y4130" s="55" t="s">
        <v>1807</v>
      </c>
      <c r="AD4130" s="90">
        <v>1.18</v>
      </c>
      <c r="AH4130" s="55" t="s">
        <v>769</v>
      </c>
      <c r="AI4130" s="168">
        <v>6.2</v>
      </c>
      <c r="AJ4130" s="90">
        <v>5.2</v>
      </c>
      <c r="AM4130" s="55" t="s">
        <v>3569</v>
      </c>
      <c r="AN4130" s="185" t="s">
        <v>115</v>
      </c>
      <c r="AO4130" s="185" t="s">
        <v>5150</v>
      </c>
      <c r="AQ4130" s="55" t="s">
        <v>1545</v>
      </c>
      <c r="AR4130" s="55" t="s">
        <v>1096</v>
      </c>
      <c r="AS4130" s="55" t="s">
        <v>5133</v>
      </c>
      <c r="AU4130" s="181" t="s">
        <v>7494</v>
      </c>
      <c r="AV4130" s="185" t="s">
        <v>176</v>
      </c>
      <c r="AX4130" s="185" t="s">
        <v>176</v>
      </c>
      <c r="BK4130" s="55" t="s">
        <v>5976</v>
      </c>
      <c r="BM4130" s="192" t="s">
        <v>160</v>
      </c>
      <c r="BN4130" s="55">
        <v>3</v>
      </c>
      <c r="BO4130" s="55">
        <v>3</v>
      </c>
      <c r="BQ4130" s="55" t="s">
        <v>141</v>
      </c>
      <c r="BV4130" s="55" t="s">
        <v>3573</v>
      </c>
      <c r="GP4130" s="292" t="s">
        <v>7494</v>
      </c>
      <c r="HN4130" s="65">
        <v>20.93</v>
      </c>
      <c r="HO4130" s="65">
        <v>39.03</v>
      </c>
      <c r="HP4130" s="65">
        <f>21.74-HN4130</f>
        <v>0.80999999999999872</v>
      </c>
      <c r="HQ4130" s="65">
        <f>43.7-HO4130</f>
        <v>4.6700000000000017</v>
      </c>
      <c r="HR4130" s="65" t="s">
        <v>3578</v>
      </c>
      <c r="JU4130" s="55" t="s">
        <v>3576</v>
      </c>
    </row>
    <row r="4131" spans="1:282" x14ac:dyDescent="0.25">
      <c r="A4131" s="55">
        <v>4130</v>
      </c>
      <c r="B4131" s="12" t="s">
        <v>7067</v>
      </c>
      <c r="C4131" s="155">
        <v>182</v>
      </c>
      <c r="D4131" s="55" t="s">
        <v>3570</v>
      </c>
      <c r="E4131" s="90" t="s">
        <v>3565</v>
      </c>
      <c r="G4131" s="55" t="s">
        <v>3566</v>
      </c>
      <c r="H4131" s="55">
        <v>2016</v>
      </c>
      <c r="I4131" s="55">
        <v>2012</v>
      </c>
      <c r="J4131" s="55" t="s">
        <v>3568</v>
      </c>
      <c r="K4131" s="55" t="s">
        <v>3567</v>
      </c>
      <c r="L4131" s="55" t="s">
        <v>3377</v>
      </c>
      <c r="M4131" s="90">
        <f>29+52/60</f>
        <v>29.866666666666667</v>
      </c>
      <c r="N4131" s="90">
        <f>112+55/60</f>
        <v>112.91666666666667</v>
      </c>
      <c r="O4131" s="90">
        <v>25.8</v>
      </c>
      <c r="P4131" s="55">
        <f>AVERAGE(22.35,10.9,7.45,6.63,8.7,12.7,15.97,22.58,25.63,30.71,30.09,29.57)</f>
        <v>18.606666666666666</v>
      </c>
      <c r="Q4131" s="55">
        <f>(14.7+22)/2</f>
        <v>18.350000000000001</v>
      </c>
      <c r="R4131" s="55">
        <f>SUM(25.79,65,44,29.5,64.9,141.9,175.28,232.25,275.41,75.52,142.35,142.25)</f>
        <v>1414.1499999999999</v>
      </c>
      <c r="S4131" s="90">
        <v>1232</v>
      </c>
      <c r="U4131" s="55" t="s">
        <v>1935</v>
      </c>
      <c r="V4131" s="55" t="s">
        <v>1935</v>
      </c>
      <c r="Y4131" s="55" t="s">
        <v>1807</v>
      </c>
      <c r="AD4131" s="90">
        <v>1.18</v>
      </c>
      <c r="AH4131" s="55" t="s">
        <v>769</v>
      </c>
      <c r="AI4131" s="168">
        <v>6.2</v>
      </c>
      <c r="AJ4131" s="90">
        <v>5.2</v>
      </c>
      <c r="AM4131" s="55" t="s">
        <v>3569</v>
      </c>
      <c r="AN4131" s="185" t="s">
        <v>3572</v>
      </c>
      <c r="AO4131" s="185" t="s">
        <v>5150</v>
      </c>
      <c r="AQ4131" s="55" t="s">
        <v>553</v>
      </c>
      <c r="AR4131" s="55" t="s">
        <v>1096</v>
      </c>
      <c r="AS4131" s="55" t="s">
        <v>5133</v>
      </c>
      <c r="AU4131" s="181" t="s">
        <v>7494</v>
      </c>
      <c r="AV4131" s="185" t="s">
        <v>176</v>
      </c>
      <c r="AX4131" s="185" t="s">
        <v>176</v>
      </c>
      <c r="BK4131" s="55" t="s">
        <v>5976</v>
      </c>
      <c r="BM4131" s="192" t="s">
        <v>160</v>
      </c>
      <c r="BN4131" s="55">
        <v>3</v>
      </c>
      <c r="BO4131" s="55">
        <v>3</v>
      </c>
      <c r="BQ4131" s="55" t="s">
        <v>141</v>
      </c>
      <c r="BV4131" s="55" t="s">
        <v>3574</v>
      </c>
      <c r="GP4131" s="292" t="s">
        <v>7494</v>
      </c>
      <c r="HN4131" s="65">
        <v>31.3</v>
      </c>
      <c r="HO4131" s="65">
        <v>82.5</v>
      </c>
      <c r="HP4131" s="65">
        <f>32.12-HN4131</f>
        <v>0.81999999999999673</v>
      </c>
      <c r="HQ4131" s="65">
        <f>85.8-HO4131</f>
        <v>3.2999999999999972</v>
      </c>
      <c r="HR4131" s="65" t="s">
        <v>3578</v>
      </c>
      <c r="JU4131" s="55" t="s">
        <v>3576</v>
      </c>
    </row>
    <row r="4132" spans="1:282" x14ac:dyDescent="0.25">
      <c r="A4132" s="55">
        <v>4131</v>
      </c>
      <c r="B4132" s="12" t="s">
        <v>7067</v>
      </c>
      <c r="C4132" s="155">
        <v>182</v>
      </c>
      <c r="D4132" s="55" t="s">
        <v>3571</v>
      </c>
      <c r="E4132" s="90" t="s">
        <v>3565</v>
      </c>
      <c r="G4132" s="55" t="s">
        <v>3566</v>
      </c>
      <c r="H4132" s="55">
        <v>2016</v>
      </c>
      <c r="I4132" s="55">
        <v>2012</v>
      </c>
      <c r="J4132" s="55" t="s">
        <v>3568</v>
      </c>
      <c r="K4132" s="55" t="s">
        <v>3567</v>
      </c>
      <c r="L4132" s="55" t="s">
        <v>3377</v>
      </c>
      <c r="M4132" s="90">
        <f>29+52/60</f>
        <v>29.866666666666667</v>
      </c>
      <c r="N4132" s="90">
        <f>112+55/60</f>
        <v>112.91666666666667</v>
      </c>
      <c r="O4132" s="90">
        <v>25.8</v>
      </c>
      <c r="P4132" s="55">
        <f>AVERAGE(22.35,10.9,7.45,6.63,8.7,12.7,15.97,22.58,25.63,30.71,30.09,29.57)</f>
        <v>18.606666666666666</v>
      </c>
      <c r="Q4132" s="55">
        <f>(14.7+22)/2</f>
        <v>18.350000000000001</v>
      </c>
      <c r="R4132" s="55">
        <f>SUM(25.79,65,44,29.5,64.9,141.9,175.28,232.25,275.41,75.52,142.35,142.25)</f>
        <v>1414.1499999999999</v>
      </c>
      <c r="S4132" s="90">
        <v>1232</v>
      </c>
      <c r="U4132" s="55" t="s">
        <v>1935</v>
      </c>
      <c r="V4132" s="55" t="s">
        <v>1935</v>
      </c>
      <c r="Y4132" s="55" t="s">
        <v>1807</v>
      </c>
      <c r="AD4132" s="90">
        <v>1.18</v>
      </c>
      <c r="AH4132" s="55" t="s">
        <v>769</v>
      </c>
      <c r="AI4132" s="168">
        <v>6.2</v>
      </c>
      <c r="AJ4132" s="90">
        <v>5.2</v>
      </c>
      <c r="AM4132" s="55" t="s">
        <v>3569</v>
      </c>
      <c r="AN4132" s="185" t="s">
        <v>115</v>
      </c>
      <c r="AO4132" s="185" t="s">
        <v>5150</v>
      </c>
      <c r="AQ4132" s="55" t="s">
        <v>1545</v>
      </c>
      <c r="AR4132" s="55" t="s">
        <v>1096</v>
      </c>
      <c r="AS4132" s="55" t="s">
        <v>5133</v>
      </c>
      <c r="AU4132" s="181" t="s">
        <v>7494</v>
      </c>
      <c r="AV4132" s="185" t="s">
        <v>176</v>
      </c>
      <c r="AX4132" s="185" t="s">
        <v>176</v>
      </c>
      <c r="BK4132" s="55" t="s">
        <v>5976</v>
      </c>
      <c r="BM4132" s="192" t="s">
        <v>160</v>
      </c>
      <c r="BN4132" s="55">
        <v>3</v>
      </c>
      <c r="BO4132" s="55">
        <v>3</v>
      </c>
      <c r="BQ4132" s="55" t="s">
        <v>141</v>
      </c>
      <c r="BV4132" s="55" t="s">
        <v>3574</v>
      </c>
      <c r="GP4132" s="292" t="s">
        <v>7494</v>
      </c>
      <c r="HN4132" s="65">
        <v>31.3</v>
      </c>
      <c r="HO4132" s="65">
        <v>84.4</v>
      </c>
      <c r="HP4132" s="65">
        <f>32.12-HN4132</f>
        <v>0.81999999999999673</v>
      </c>
      <c r="HQ4132" s="65">
        <f>86.06-HO4132</f>
        <v>1.6599999999999966</v>
      </c>
      <c r="HR4132" s="65" t="s">
        <v>3578</v>
      </c>
      <c r="JU4132" s="55" t="s">
        <v>3576</v>
      </c>
    </row>
    <row r="4133" spans="1:282" x14ac:dyDescent="0.25">
      <c r="A4133" s="55">
        <v>4132</v>
      </c>
      <c r="B4133" s="12" t="s">
        <v>7067</v>
      </c>
      <c r="C4133" s="155">
        <v>182</v>
      </c>
      <c r="D4133" s="55" t="s">
        <v>3570</v>
      </c>
      <c r="E4133" s="90" t="s">
        <v>3565</v>
      </c>
      <c r="G4133" s="55" t="s">
        <v>3566</v>
      </c>
      <c r="H4133" s="55">
        <v>2016</v>
      </c>
      <c r="I4133" s="55">
        <v>2012</v>
      </c>
      <c r="J4133" s="55" t="s">
        <v>3568</v>
      </c>
      <c r="K4133" s="55" t="s">
        <v>3567</v>
      </c>
      <c r="L4133" s="55" t="s">
        <v>3377</v>
      </c>
      <c r="M4133" s="90">
        <f>29+52/60</f>
        <v>29.866666666666667</v>
      </c>
      <c r="N4133" s="90">
        <f>112+55/60</f>
        <v>112.91666666666667</v>
      </c>
      <c r="O4133" s="90">
        <v>25.8</v>
      </c>
      <c r="P4133" s="55">
        <f>AVERAGE(22.35,10.9,7.45,6.63,8.7,12.7,15.97,22.58,25.63,30.71,30.09,29.57)</f>
        <v>18.606666666666666</v>
      </c>
      <c r="Q4133" s="55">
        <f>(14.7+22)/2</f>
        <v>18.350000000000001</v>
      </c>
      <c r="R4133" s="55">
        <f>SUM(25.79,65,44,29.5,64.9,141.9,175.28,232.25,275.41,75.52,142.35,142.25)</f>
        <v>1414.1499999999999</v>
      </c>
      <c r="S4133" s="90">
        <v>1232</v>
      </c>
      <c r="U4133" s="55" t="s">
        <v>1935</v>
      </c>
      <c r="V4133" s="55" t="s">
        <v>1935</v>
      </c>
      <c r="Y4133" s="55" t="s">
        <v>1807</v>
      </c>
      <c r="AD4133" s="90">
        <v>1.18</v>
      </c>
      <c r="AH4133" s="55" t="s">
        <v>769</v>
      </c>
      <c r="AI4133" s="168">
        <v>6.2</v>
      </c>
      <c r="AJ4133" s="90">
        <v>5.2</v>
      </c>
      <c r="AM4133" s="55" t="s">
        <v>3569</v>
      </c>
      <c r="AN4133" s="185" t="s">
        <v>3572</v>
      </c>
      <c r="AO4133" s="185" t="s">
        <v>5150</v>
      </c>
      <c r="AQ4133" s="55" t="s">
        <v>553</v>
      </c>
      <c r="AR4133" s="55" t="s">
        <v>1096</v>
      </c>
      <c r="AS4133" s="55" t="s">
        <v>5133</v>
      </c>
      <c r="AU4133" s="181" t="s">
        <v>7494</v>
      </c>
      <c r="AV4133" s="185" t="s">
        <v>176</v>
      </c>
      <c r="AX4133" s="185" t="s">
        <v>176</v>
      </c>
      <c r="BK4133" s="55" t="s">
        <v>5976</v>
      </c>
      <c r="BM4133" s="192" t="s">
        <v>160</v>
      </c>
      <c r="BN4133" s="55">
        <v>3</v>
      </c>
      <c r="BO4133" s="55">
        <v>3</v>
      </c>
      <c r="BQ4133" s="55" t="s">
        <v>141</v>
      </c>
      <c r="BV4133" s="55" t="s">
        <v>3575</v>
      </c>
      <c r="GP4133" s="292" t="s">
        <v>7494</v>
      </c>
      <c r="HN4133" s="65">
        <v>35.340000000000003</v>
      </c>
      <c r="HO4133" s="65">
        <v>95.91</v>
      </c>
      <c r="HP4133" s="65">
        <f>40-HN4133</f>
        <v>4.6599999999999966</v>
      </c>
      <c r="HQ4133" s="65">
        <f>101-HO4133</f>
        <v>5.0900000000000034</v>
      </c>
      <c r="HR4133" s="65" t="s">
        <v>3578</v>
      </c>
      <c r="JU4133" s="55" t="s">
        <v>3576</v>
      </c>
    </row>
    <row r="4134" spans="1:282" x14ac:dyDescent="0.25">
      <c r="A4134" s="55">
        <v>4133</v>
      </c>
      <c r="B4134" s="12" t="s">
        <v>7067</v>
      </c>
      <c r="C4134" s="155">
        <v>182</v>
      </c>
      <c r="D4134" s="55" t="s">
        <v>3571</v>
      </c>
      <c r="E4134" s="90" t="s">
        <v>3565</v>
      </c>
      <c r="G4134" s="55" t="s">
        <v>3566</v>
      </c>
      <c r="H4134" s="55">
        <v>2016</v>
      </c>
      <c r="I4134" s="55">
        <v>2012</v>
      </c>
      <c r="J4134" s="55" t="s">
        <v>3568</v>
      </c>
      <c r="K4134" s="55" t="s">
        <v>3567</v>
      </c>
      <c r="L4134" s="55" t="s">
        <v>3377</v>
      </c>
      <c r="M4134" s="90">
        <f>29+52/60</f>
        <v>29.866666666666667</v>
      </c>
      <c r="N4134" s="90">
        <f>112+55/60</f>
        <v>112.91666666666667</v>
      </c>
      <c r="O4134" s="90">
        <v>25.8</v>
      </c>
      <c r="P4134" s="55">
        <f>AVERAGE(22.35,10.9,7.45,6.63,8.7,12.7,15.97,22.58,25.63,30.71,30.09,29.57)</f>
        <v>18.606666666666666</v>
      </c>
      <c r="Q4134" s="55">
        <f>(14.7+22)/2</f>
        <v>18.350000000000001</v>
      </c>
      <c r="R4134" s="55">
        <f>SUM(25.79,65,44,29.5,64.9,141.9,175.28,232.25,275.41,75.52,142.35,142.25)</f>
        <v>1414.1499999999999</v>
      </c>
      <c r="S4134" s="90">
        <v>1232</v>
      </c>
      <c r="U4134" s="55" t="s">
        <v>1935</v>
      </c>
      <c r="V4134" s="55" t="s">
        <v>1935</v>
      </c>
      <c r="Y4134" s="55" t="s">
        <v>1807</v>
      </c>
      <c r="AD4134" s="90">
        <v>1.18</v>
      </c>
      <c r="AH4134" s="55" t="s">
        <v>769</v>
      </c>
      <c r="AI4134" s="168">
        <v>6.2</v>
      </c>
      <c r="AJ4134" s="90">
        <v>5.2</v>
      </c>
      <c r="AM4134" s="55" t="s">
        <v>3569</v>
      </c>
      <c r="AN4134" s="185" t="s">
        <v>115</v>
      </c>
      <c r="AO4134" s="185" t="s">
        <v>5150</v>
      </c>
      <c r="AQ4134" s="55" t="s">
        <v>1545</v>
      </c>
      <c r="AR4134" s="55" t="s">
        <v>1096</v>
      </c>
      <c r="AS4134" s="55" t="s">
        <v>5133</v>
      </c>
      <c r="AU4134" s="181" t="s">
        <v>7494</v>
      </c>
      <c r="AV4134" s="185" t="s">
        <v>176</v>
      </c>
      <c r="AX4134" s="185" t="s">
        <v>176</v>
      </c>
      <c r="BK4134" s="55" t="s">
        <v>5976</v>
      </c>
      <c r="BM4134" s="192" t="s">
        <v>160</v>
      </c>
      <c r="BN4134" s="55">
        <v>3</v>
      </c>
      <c r="BO4134" s="55">
        <v>3</v>
      </c>
      <c r="BQ4134" s="55" t="s">
        <v>141</v>
      </c>
      <c r="BV4134" s="55" t="s">
        <v>3575</v>
      </c>
      <c r="GP4134" s="292" t="s">
        <v>7494</v>
      </c>
      <c r="HN4134" s="65">
        <v>35.340000000000003</v>
      </c>
      <c r="HO4134" s="65">
        <v>91.19</v>
      </c>
      <c r="HP4134" s="65">
        <f>40-HN4134</f>
        <v>4.6599999999999966</v>
      </c>
      <c r="HQ4134" s="65">
        <f>92-HO4134</f>
        <v>0.81000000000000227</v>
      </c>
      <c r="HR4134" s="65" t="s">
        <v>3578</v>
      </c>
      <c r="JU4134" s="55" t="s">
        <v>3576</v>
      </c>
    </row>
    <row r="4135" spans="1:282" x14ac:dyDescent="0.25">
      <c r="A4135" s="55">
        <v>4134</v>
      </c>
      <c r="B4135" s="12" t="s">
        <v>7067</v>
      </c>
      <c r="C4135" s="155">
        <v>182</v>
      </c>
      <c r="D4135" s="55" t="s">
        <v>3579</v>
      </c>
      <c r="E4135" s="90" t="s">
        <v>3565</v>
      </c>
      <c r="G4135" s="55" t="s">
        <v>3566</v>
      </c>
      <c r="H4135" s="55">
        <v>2016</v>
      </c>
      <c r="I4135" s="55">
        <v>2012</v>
      </c>
      <c r="J4135" s="55" t="s">
        <v>3568</v>
      </c>
      <c r="K4135" s="55" t="s">
        <v>3567</v>
      </c>
      <c r="L4135" s="55" t="s">
        <v>3377</v>
      </c>
      <c r="M4135" s="90">
        <f>29+52/60</f>
        <v>29.866666666666667</v>
      </c>
      <c r="N4135" s="90">
        <f>112+55/60</f>
        <v>112.91666666666667</v>
      </c>
      <c r="O4135" s="90">
        <v>25.8</v>
      </c>
      <c r="P4135" s="55">
        <f>AVERAGE(22.35,10.9,7.45,6.63,8.7,12.7,15.97,22.58,25.63,30.71,30.09,29.57)</f>
        <v>18.606666666666666</v>
      </c>
      <c r="Q4135" s="55">
        <f>(14.7+22)/2</f>
        <v>18.350000000000001</v>
      </c>
      <c r="R4135" s="55">
        <f>SUM(25.79,65,44,29.5,64.9,141.9,175.28,232.25,275.41,75.52,142.35,142.25)</f>
        <v>1414.1499999999999</v>
      </c>
      <c r="S4135" s="90">
        <v>1232</v>
      </c>
      <c r="U4135" s="55" t="s">
        <v>1935</v>
      </c>
      <c r="V4135" s="55" t="s">
        <v>1935</v>
      </c>
      <c r="Y4135" s="55" t="s">
        <v>1807</v>
      </c>
      <c r="AD4135" s="90">
        <v>1.18</v>
      </c>
      <c r="AH4135" s="55" t="s">
        <v>769</v>
      </c>
      <c r="AI4135" s="168">
        <v>6.2</v>
      </c>
      <c r="AJ4135" s="90">
        <v>5.2</v>
      </c>
      <c r="AM4135" s="55" t="s">
        <v>3569</v>
      </c>
      <c r="AN4135" s="185" t="s">
        <v>3572</v>
      </c>
      <c r="AO4135" s="185" t="s">
        <v>5150</v>
      </c>
      <c r="AQ4135" s="55" t="s">
        <v>553</v>
      </c>
      <c r="AR4135" s="55" t="s">
        <v>1096</v>
      </c>
      <c r="AS4135" s="55" t="s">
        <v>5133</v>
      </c>
      <c r="AU4135" s="181" t="s">
        <v>7494</v>
      </c>
      <c r="AV4135" s="185" t="s">
        <v>176</v>
      </c>
      <c r="AX4135" s="185" t="s">
        <v>176</v>
      </c>
      <c r="BK4135" s="55" t="s">
        <v>5976</v>
      </c>
      <c r="BM4135" s="192" t="s">
        <v>160</v>
      </c>
      <c r="BN4135" s="55">
        <v>3</v>
      </c>
      <c r="BO4135" s="55">
        <v>3</v>
      </c>
      <c r="BQ4135" s="55" t="s">
        <v>141</v>
      </c>
      <c r="BV4135" s="55" t="s">
        <v>3573</v>
      </c>
      <c r="GP4135" s="292" t="s">
        <v>7494</v>
      </c>
      <c r="HN4135" s="65">
        <v>37.08</v>
      </c>
      <c r="HO4135" s="65">
        <v>94.46</v>
      </c>
      <c r="HP4135" s="65">
        <f>42.24-HN4135</f>
        <v>5.1600000000000037</v>
      </c>
      <c r="HQ4135" s="65">
        <f>98.64-HO4135</f>
        <v>4.1800000000000068</v>
      </c>
      <c r="HR4135" s="65" t="s">
        <v>3578</v>
      </c>
      <c r="JU4135" s="55" t="s">
        <v>3577</v>
      </c>
    </row>
    <row r="4136" spans="1:282" x14ac:dyDescent="0.25">
      <c r="A4136" s="55">
        <v>4135</v>
      </c>
      <c r="B4136" s="12" t="s">
        <v>7067</v>
      </c>
      <c r="C4136" s="155">
        <v>182</v>
      </c>
      <c r="D4136" s="55" t="s">
        <v>3580</v>
      </c>
      <c r="E4136" s="90" t="s">
        <v>3565</v>
      </c>
      <c r="G4136" s="55" t="s">
        <v>3566</v>
      </c>
      <c r="H4136" s="55">
        <v>2016</v>
      </c>
      <c r="I4136" s="55">
        <v>2012</v>
      </c>
      <c r="J4136" s="55" t="s">
        <v>3568</v>
      </c>
      <c r="K4136" s="55" t="s">
        <v>3567</v>
      </c>
      <c r="L4136" s="55" t="s">
        <v>3377</v>
      </c>
      <c r="M4136" s="90">
        <f>29+52/60</f>
        <v>29.866666666666667</v>
      </c>
      <c r="N4136" s="90">
        <f>112+55/60</f>
        <v>112.91666666666667</v>
      </c>
      <c r="O4136" s="90">
        <v>25.8</v>
      </c>
      <c r="P4136" s="55">
        <f>AVERAGE(22.35,10.9,7.45,6.63,8.7,12.7,15.97,22.58,25.63,30.71,30.09,29.57)</f>
        <v>18.606666666666666</v>
      </c>
      <c r="Q4136" s="55">
        <f>(14.7+22)/2</f>
        <v>18.350000000000001</v>
      </c>
      <c r="R4136" s="55">
        <f>SUM(25.79,65,44,29.5,64.9,141.9,175.28,232.25,275.41,75.52,142.35,142.25)</f>
        <v>1414.1499999999999</v>
      </c>
      <c r="S4136" s="90">
        <v>1232</v>
      </c>
      <c r="U4136" s="55" t="s">
        <v>1935</v>
      </c>
      <c r="V4136" s="55" t="s">
        <v>1935</v>
      </c>
      <c r="Y4136" s="55" t="s">
        <v>1807</v>
      </c>
      <c r="AD4136" s="90">
        <v>1.18</v>
      </c>
      <c r="AH4136" s="55" t="s">
        <v>769</v>
      </c>
      <c r="AI4136" s="168">
        <v>6.2</v>
      </c>
      <c r="AJ4136" s="90">
        <v>5.2</v>
      </c>
      <c r="AM4136" s="55" t="s">
        <v>3569</v>
      </c>
      <c r="AN4136" s="185" t="s">
        <v>115</v>
      </c>
      <c r="AO4136" s="185" t="s">
        <v>5150</v>
      </c>
      <c r="AQ4136" s="55" t="s">
        <v>1545</v>
      </c>
      <c r="AR4136" s="55" t="s">
        <v>1096</v>
      </c>
      <c r="AS4136" s="55" t="s">
        <v>5133</v>
      </c>
      <c r="AU4136" s="181" t="s">
        <v>7494</v>
      </c>
      <c r="AV4136" s="185" t="s">
        <v>176</v>
      </c>
      <c r="AX4136" s="185" t="s">
        <v>176</v>
      </c>
      <c r="BK4136" s="55" t="s">
        <v>5976</v>
      </c>
      <c r="BM4136" s="192" t="s">
        <v>160</v>
      </c>
      <c r="BN4136" s="55">
        <v>3</v>
      </c>
      <c r="BO4136" s="55">
        <v>3</v>
      </c>
      <c r="BQ4136" s="55" t="s">
        <v>141</v>
      </c>
      <c r="BV4136" s="55" t="s">
        <v>3573</v>
      </c>
      <c r="GP4136" s="292" t="s">
        <v>7494</v>
      </c>
      <c r="HN4136" s="65">
        <v>37.08</v>
      </c>
      <c r="HO4136" s="65">
        <v>89.26</v>
      </c>
      <c r="HP4136" s="65">
        <f>42.24-HN4136</f>
        <v>5.1600000000000037</v>
      </c>
      <c r="HQ4136" s="65">
        <f>90.24-HO4136</f>
        <v>0.97999999999998977</v>
      </c>
      <c r="HR4136" s="65" t="s">
        <v>3578</v>
      </c>
      <c r="JU4136" s="55" t="s">
        <v>3577</v>
      </c>
    </row>
    <row r="4137" spans="1:282" x14ac:dyDescent="0.25">
      <c r="A4137" s="55">
        <v>4136</v>
      </c>
      <c r="B4137" s="12" t="s">
        <v>7067</v>
      </c>
      <c r="C4137" s="155">
        <v>182</v>
      </c>
      <c r="D4137" s="55" t="s">
        <v>3579</v>
      </c>
      <c r="E4137" s="90" t="s">
        <v>3565</v>
      </c>
      <c r="G4137" s="55" t="s">
        <v>3566</v>
      </c>
      <c r="H4137" s="55">
        <v>2016</v>
      </c>
      <c r="I4137" s="55">
        <v>2012</v>
      </c>
      <c r="J4137" s="55" t="s">
        <v>3568</v>
      </c>
      <c r="K4137" s="55" t="s">
        <v>3567</v>
      </c>
      <c r="L4137" s="55" t="s">
        <v>3377</v>
      </c>
      <c r="M4137" s="90">
        <f>29+52/60</f>
        <v>29.866666666666667</v>
      </c>
      <c r="N4137" s="90">
        <f>112+55/60</f>
        <v>112.91666666666667</v>
      </c>
      <c r="O4137" s="90">
        <v>25.8</v>
      </c>
      <c r="P4137" s="55">
        <f>AVERAGE(22.35,10.9,7.45,6.63,8.7,12.7,15.97,22.58,25.63,30.71,30.09,29.57)</f>
        <v>18.606666666666666</v>
      </c>
      <c r="Q4137" s="55">
        <f>(14.7+22)/2</f>
        <v>18.350000000000001</v>
      </c>
      <c r="R4137" s="55">
        <f>SUM(25.79,65,44,29.5,64.9,141.9,175.28,232.25,275.41,75.52,142.35,142.25)</f>
        <v>1414.1499999999999</v>
      </c>
      <c r="S4137" s="90">
        <v>1232</v>
      </c>
      <c r="U4137" s="55" t="s">
        <v>1935</v>
      </c>
      <c r="V4137" s="55" t="s">
        <v>1935</v>
      </c>
      <c r="Y4137" s="55" t="s">
        <v>1807</v>
      </c>
      <c r="AD4137" s="90">
        <v>1.18</v>
      </c>
      <c r="AH4137" s="55" t="s">
        <v>769</v>
      </c>
      <c r="AI4137" s="168">
        <v>6.2</v>
      </c>
      <c r="AJ4137" s="90">
        <v>5.2</v>
      </c>
      <c r="AM4137" s="55" t="s">
        <v>3569</v>
      </c>
      <c r="AN4137" s="185" t="s">
        <v>3572</v>
      </c>
      <c r="AO4137" s="185" t="s">
        <v>5150</v>
      </c>
      <c r="AQ4137" s="55" t="s">
        <v>553</v>
      </c>
      <c r="AR4137" s="55" t="s">
        <v>1096</v>
      </c>
      <c r="AS4137" s="55" t="s">
        <v>5133</v>
      </c>
      <c r="AU4137" s="181" t="s">
        <v>7494</v>
      </c>
      <c r="AV4137" s="185" t="s">
        <v>176</v>
      </c>
      <c r="AX4137" s="185" t="s">
        <v>176</v>
      </c>
      <c r="BK4137" s="55" t="s">
        <v>5976</v>
      </c>
      <c r="BM4137" s="192" t="s">
        <v>160</v>
      </c>
      <c r="BN4137" s="55">
        <v>3</v>
      </c>
      <c r="BO4137" s="55">
        <v>3</v>
      </c>
      <c r="BQ4137" s="55" t="s">
        <v>141</v>
      </c>
      <c r="BV4137" s="55" t="s">
        <v>3574</v>
      </c>
      <c r="GP4137" s="292" t="s">
        <v>7494</v>
      </c>
      <c r="HN4137" s="65">
        <v>31.49</v>
      </c>
      <c r="HO4137" s="65">
        <v>80.16</v>
      </c>
      <c r="HP4137" s="65">
        <f>35.35-HN4137</f>
        <v>3.860000000000003</v>
      </c>
      <c r="HQ4137" s="65">
        <f>84.34-HO4137</f>
        <v>4.1800000000000068</v>
      </c>
      <c r="HR4137" s="65" t="s">
        <v>3578</v>
      </c>
      <c r="JU4137" s="55" t="s">
        <v>3577</v>
      </c>
    </row>
    <row r="4138" spans="1:282" x14ac:dyDescent="0.25">
      <c r="A4138" s="55">
        <v>4137</v>
      </c>
      <c r="B4138" s="12" t="s">
        <v>7067</v>
      </c>
      <c r="C4138" s="155">
        <v>182</v>
      </c>
      <c r="D4138" s="55" t="s">
        <v>3580</v>
      </c>
      <c r="E4138" s="90" t="s">
        <v>3565</v>
      </c>
      <c r="G4138" s="55" t="s">
        <v>3566</v>
      </c>
      <c r="H4138" s="55">
        <v>2016</v>
      </c>
      <c r="I4138" s="55">
        <v>2012</v>
      </c>
      <c r="J4138" s="55" t="s">
        <v>3568</v>
      </c>
      <c r="K4138" s="55" t="s">
        <v>3567</v>
      </c>
      <c r="L4138" s="55" t="s">
        <v>3377</v>
      </c>
      <c r="M4138" s="90">
        <f>29+52/60</f>
        <v>29.866666666666667</v>
      </c>
      <c r="N4138" s="90">
        <f>112+55/60</f>
        <v>112.91666666666667</v>
      </c>
      <c r="O4138" s="90">
        <v>25.8</v>
      </c>
      <c r="P4138" s="55">
        <f>AVERAGE(22.35,10.9,7.45,6.63,8.7,12.7,15.97,22.58,25.63,30.71,30.09,29.57)</f>
        <v>18.606666666666666</v>
      </c>
      <c r="Q4138" s="55">
        <f>(14.7+22)/2</f>
        <v>18.350000000000001</v>
      </c>
      <c r="R4138" s="55">
        <f>SUM(25.79,65,44,29.5,64.9,141.9,175.28,232.25,275.41,75.52,142.35,142.25)</f>
        <v>1414.1499999999999</v>
      </c>
      <c r="S4138" s="90">
        <v>1232</v>
      </c>
      <c r="U4138" s="55" t="s">
        <v>1935</v>
      </c>
      <c r="V4138" s="55" t="s">
        <v>1935</v>
      </c>
      <c r="Y4138" s="55" t="s">
        <v>1807</v>
      </c>
      <c r="AD4138" s="90">
        <v>1.18</v>
      </c>
      <c r="AH4138" s="55" t="s">
        <v>769</v>
      </c>
      <c r="AI4138" s="168">
        <v>6.2</v>
      </c>
      <c r="AJ4138" s="90">
        <v>5.2</v>
      </c>
      <c r="AM4138" s="55" t="s">
        <v>3569</v>
      </c>
      <c r="AN4138" s="185" t="s">
        <v>115</v>
      </c>
      <c r="AO4138" s="185" t="s">
        <v>5150</v>
      </c>
      <c r="AQ4138" s="55" t="s">
        <v>1545</v>
      </c>
      <c r="AR4138" s="55" t="s">
        <v>1096</v>
      </c>
      <c r="AS4138" s="55" t="s">
        <v>5133</v>
      </c>
      <c r="AU4138" s="181" t="s">
        <v>7494</v>
      </c>
      <c r="AV4138" s="185" t="s">
        <v>176</v>
      </c>
      <c r="AX4138" s="185" t="s">
        <v>176</v>
      </c>
      <c r="BK4138" s="55" t="s">
        <v>5976</v>
      </c>
      <c r="BM4138" s="192" t="s">
        <v>160</v>
      </c>
      <c r="BN4138" s="55">
        <v>3</v>
      </c>
      <c r="BO4138" s="55">
        <v>3</v>
      </c>
      <c r="BQ4138" s="55" t="s">
        <v>141</v>
      </c>
      <c r="BV4138" s="55" t="s">
        <v>3574</v>
      </c>
      <c r="GP4138" s="292" t="s">
        <v>7494</v>
      </c>
      <c r="HN4138" s="65">
        <v>31.49</v>
      </c>
      <c r="HO4138" s="65">
        <v>74.959999999999994</v>
      </c>
      <c r="HP4138" s="65">
        <f>35.35-HN4138</f>
        <v>3.860000000000003</v>
      </c>
      <c r="HQ4138" s="65">
        <f>76.26-HO4138</f>
        <v>1.3000000000000114</v>
      </c>
      <c r="HR4138" s="65" t="s">
        <v>3578</v>
      </c>
      <c r="JU4138" s="55" t="s">
        <v>3577</v>
      </c>
    </row>
    <row r="4139" spans="1:282" x14ac:dyDescent="0.25">
      <c r="A4139" s="55">
        <v>4138</v>
      </c>
      <c r="B4139" s="12" t="s">
        <v>7067</v>
      </c>
      <c r="C4139" s="155">
        <v>182</v>
      </c>
      <c r="D4139" s="55" t="s">
        <v>3579</v>
      </c>
      <c r="E4139" s="90" t="s">
        <v>3565</v>
      </c>
      <c r="G4139" s="55" t="s">
        <v>3566</v>
      </c>
      <c r="H4139" s="55">
        <v>2016</v>
      </c>
      <c r="I4139" s="55">
        <v>2012</v>
      </c>
      <c r="J4139" s="55" t="s">
        <v>3568</v>
      </c>
      <c r="K4139" s="55" t="s">
        <v>3567</v>
      </c>
      <c r="L4139" s="55" t="s">
        <v>3377</v>
      </c>
      <c r="M4139" s="90">
        <f>29+52/60</f>
        <v>29.866666666666667</v>
      </c>
      <c r="N4139" s="90">
        <f>112+55/60</f>
        <v>112.91666666666667</v>
      </c>
      <c r="O4139" s="90">
        <v>25.8</v>
      </c>
      <c r="P4139" s="55">
        <f>AVERAGE(22.35,10.9,7.45,6.63,8.7,12.7,15.97,22.58,25.63,30.71,30.09,29.57)</f>
        <v>18.606666666666666</v>
      </c>
      <c r="Q4139" s="55">
        <f>(14.7+22)/2</f>
        <v>18.350000000000001</v>
      </c>
      <c r="R4139" s="55">
        <f>SUM(25.79,65,44,29.5,64.9,141.9,175.28,232.25,275.41,75.52,142.35,142.25)</f>
        <v>1414.1499999999999</v>
      </c>
      <c r="S4139" s="90">
        <v>1232</v>
      </c>
      <c r="U4139" s="55" t="s">
        <v>1935</v>
      </c>
      <c r="V4139" s="55" t="s">
        <v>1935</v>
      </c>
      <c r="Y4139" s="55" t="s">
        <v>1807</v>
      </c>
      <c r="AD4139" s="90">
        <v>1.18</v>
      </c>
      <c r="AH4139" s="55" t="s">
        <v>769</v>
      </c>
      <c r="AI4139" s="168">
        <v>6.2</v>
      </c>
      <c r="AJ4139" s="90">
        <v>5.2</v>
      </c>
      <c r="AM4139" s="55" t="s">
        <v>3569</v>
      </c>
      <c r="AN4139" s="185" t="s">
        <v>3572</v>
      </c>
      <c r="AO4139" s="185" t="s">
        <v>5150</v>
      </c>
      <c r="AQ4139" s="55" t="s">
        <v>553</v>
      </c>
      <c r="AR4139" s="55" t="s">
        <v>1096</v>
      </c>
      <c r="AS4139" s="55" t="s">
        <v>5133</v>
      </c>
      <c r="AU4139" s="181" t="s">
        <v>7494</v>
      </c>
      <c r="AV4139" s="185" t="s">
        <v>176</v>
      </c>
      <c r="AX4139" s="185" t="s">
        <v>176</v>
      </c>
      <c r="BK4139" s="55" t="s">
        <v>5976</v>
      </c>
      <c r="BM4139" s="192" t="s">
        <v>160</v>
      </c>
      <c r="BN4139" s="55">
        <v>3</v>
      </c>
      <c r="BO4139" s="55">
        <v>3</v>
      </c>
      <c r="BQ4139" s="55" t="s">
        <v>141</v>
      </c>
      <c r="BV4139" s="55" t="s">
        <v>3575</v>
      </c>
      <c r="GP4139" s="292" t="s">
        <v>7494</v>
      </c>
      <c r="HN4139" s="65">
        <v>41.06</v>
      </c>
      <c r="HO4139" s="65">
        <v>102.63</v>
      </c>
      <c r="HP4139" s="65">
        <f>45.24-HN4139</f>
        <v>4.18</v>
      </c>
      <c r="HQ4139" s="65">
        <f>107.78-HO4139</f>
        <v>5.1500000000000057</v>
      </c>
      <c r="HR4139" s="65" t="s">
        <v>3578</v>
      </c>
      <c r="JU4139" s="55" t="s">
        <v>3577</v>
      </c>
    </row>
    <row r="4140" spans="1:282" x14ac:dyDescent="0.25">
      <c r="A4140" s="55">
        <v>4139</v>
      </c>
      <c r="B4140" s="12" t="s">
        <v>7067</v>
      </c>
      <c r="C4140" s="155">
        <v>182</v>
      </c>
      <c r="D4140" s="55" t="s">
        <v>3580</v>
      </c>
      <c r="E4140" s="90" t="s">
        <v>3565</v>
      </c>
      <c r="G4140" s="55" t="s">
        <v>3566</v>
      </c>
      <c r="H4140" s="55">
        <v>2016</v>
      </c>
      <c r="I4140" s="55">
        <v>2012</v>
      </c>
      <c r="J4140" s="55" t="s">
        <v>3568</v>
      </c>
      <c r="K4140" s="55" t="s">
        <v>3567</v>
      </c>
      <c r="L4140" s="55" t="s">
        <v>3377</v>
      </c>
      <c r="M4140" s="90">
        <f>29+52/60</f>
        <v>29.866666666666667</v>
      </c>
      <c r="N4140" s="90">
        <f>112+55/60</f>
        <v>112.91666666666667</v>
      </c>
      <c r="O4140" s="90">
        <v>25.8</v>
      </c>
      <c r="P4140" s="55">
        <f>AVERAGE(22.35,10.9,7.45,6.63,8.7,12.7,15.97,22.58,25.63,30.71,30.09,29.57)</f>
        <v>18.606666666666666</v>
      </c>
      <c r="Q4140" s="55">
        <f>(14.7+22)/2</f>
        <v>18.350000000000001</v>
      </c>
      <c r="R4140" s="55">
        <f>SUM(25.79,65,44,29.5,64.9,141.9,175.28,232.25,275.41,75.52,142.35,142.25)</f>
        <v>1414.1499999999999</v>
      </c>
      <c r="S4140" s="90">
        <v>1232</v>
      </c>
      <c r="U4140" s="55" t="s">
        <v>1935</v>
      </c>
      <c r="V4140" s="55" t="s">
        <v>1935</v>
      </c>
      <c r="Y4140" s="55" t="s">
        <v>1807</v>
      </c>
      <c r="AD4140" s="90">
        <v>1.18</v>
      </c>
      <c r="AH4140" s="55" t="s">
        <v>769</v>
      </c>
      <c r="AI4140" s="168">
        <v>6.2</v>
      </c>
      <c r="AJ4140" s="90">
        <v>5.2</v>
      </c>
      <c r="AM4140" s="55" t="s">
        <v>3569</v>
      </c>
      <c r="AN4140" s="185" t="s">
        <v>115</v>
      </c>
      <c r="AO4140" s="185" t="s">
        <v>5150</v>
      </c>
      <c r="AQ4140" s="55" t="s">
        <v>1545</v>
      </c>
      <c r="AR4140" s="55" t="s">
        <v>1096</v>
      </c>
      <c r="AS4140" s="55" t="s">
        <v>5133</v>
      </c>
      <c r="AU4140" s="181" t="s">
        <v>7494</v>
      </c>
      <c r="AV4140" s="185" t="s">
        <v>176</v>
      </c>
      <c r="AX4140" s="185" t="s">
        <v>176</v>
      </c>
      <c r="BK4140" s="55" t="s">
        <v>5976</v>
      </c>
      <c r="BM4140" s="192" t="s">
        <v>160</v>
      </c>
      <c r="BN4140" s="55">
        <v>3</v>
      </c>
      <c r="BO4140" s="55">
        <v>3</v>
      </c>
      <c r="BQ4140" s="55" t="s">
        <v>141</v>
      </c>
      <c r="BV4140" s="55" t="s">
        <v>3575</v>
      </c>
      <c r="GP4140" s="292" t="s">
        <v>7494</v>
      </c>
      <c r="HN4140" s="65">
        <v>41.06</v>
      </c>
      <c r="HO4140" s="65">
        <v>96.78</v>
      </c>
      <c r="HP4140" s="65">
        <f>45.24-HN4140</f>
        <v>4.18</v>
      </c>
      <c r="HQ4140" s="65">
        <v>0.81</v>
      </c>
      <c r="HR4140" s="65" t="s">
        <v>3578</v>
      </c>
      <c r="JU4140" s="55" t="s">
        <v>3577</v>
      </c>
    </row>
    <row r="4141" spans="1:282" x14ac:dyDescent="0.25">
      <c r="A4141" s="55">
        <v>4140</v>
      </c>
      <c r="B4141" s="12" t="s">
        <v>7067</v>
      </c>
      <c r="C4141" s="155">
        <v>183</v>
      </c>
      <c r="D4141" s="55" t="s">
        <v>3587</v>
      </c>
      <c r="E4141" s="90" t="s">
        <v>3581</v>
      </c>
      <c r="G4141" s="55" t="s">
        <v>3582</v>
      </c>
      <c r="H4141" s="55">
        <v>2011</v>
      </c>
      <c r="I4141" s="55">
        <v>2008</v>
      </c>
      <c r="J4141" s="55" t="s">
        <v>2660</v>
      </c>
      <c r="K4141" s="55" t="s">
        <v>3584</v>
      </c>
      <c r="L4141" s="55" t="s">
        <v>3377</v>
      </c>
      <c r="M4141" s="90">
        <f>31+14/60</f>
        <v>31.233333333333334</v>
      </c>
      <c r="N4141" s="90">
        <f>119+53/60</f>
        <v>119.88333333333334</v>
      </c>
      <c r="O4141" s="90">
        <v>6.9</v>
      </c>
      <c r="Q4141" s="55">
        <v>15.7</v>
      </c>
      <c r="U4141" s="55" t="s">
        <v>1935</v>
      </c>
      <c r="V4141" s="55" t="s">
        <v>1805</v>
      </c>
      <c r="Y4141" s="55" t="s">
        <v>3583</v>
      </c>
      <c r="AD4141" s="90">
        <v>1.44</v>
      </c>
      <c r="AI4141" s="168">
        <v>5.6</v>
      </c>
      <c r="AJ4141" s="90">
        <v>2.4900000000000002</v>
      </c>
      <c r="AM4141" s="55" t="s">
        <v>3585</v>
      </c>
      <c r="AN4141" s="185" t="s">
        <v>770</v>
      </c>
      <c r="AO4141" s="185" t="s">
        <v>5150</v>
      </c>
      <c r="AQ4141" s="55" t="s">
        <v>1545</v>
      </c>
      <c r="AR4141" s="55" t="s">
        <v>3469</v>
      </c>
      <c r="AS4141" s="55" t="s">
        <v>227</v>
      </c>
      <c r="AU4141" s="181" t="s">
        <v>7494</v>
      </c>
      <c r="AV4141" s="185" t="s">
        <v>176</v>
      </c>
      <c r="AX4141" s="185" t="s">
        <v>176</v>
      </c>
      <c r="BE4141" s="226" t="s">
        <v>3592</v>
      </c>
      <c r="BF4141" s="191" t="s">
        <v>176</v>
      </c>
      <c r="BG4141" s="191" t="s">
        <v>176</v>
      </c>
      <c r="BH4141" s="226" t="s">
        <v>3592</v>
      </c>
      <c r="BI4141" s="191" t="s">
        <v>176</v>
      </c>
      <c r="BJ4141" s="55" t="s">
        <v>176</v>
      </c>
      <c r="BK4141" s="55" t="s">
        <v>5976</v>
      </c>
      <c r="BM4141" s="192" t="s">
        <v>160</v>
      </c>
      <c r="BN4141" s="55">
        <v>4</v>
      </c>
      <c r="BO4141" s="55">
        <v>4</v>
      </c>
      <c r="BS4141" s="55">
        <f>AVERAGE(BS4146,BS4150)</f>
        <v>1100</v>
      </c>
      <c r="BT4141" s="55">
        <f>AVERAGE(BT4146,BT4150)</f>
        <v>70.794871794871796</v>
      </c>
      <c r="BU4141" s="55" t="s">
        <v>3586</v>
      </c>
      <c r="CB4141" s="66">
        <f>1000*16.57</f>
        <v>16570</v>
      </c>
      <c r="CC4141" s="66">
        <f>1000*16.93</f>
        <v>16930</v>
      </c>
      <c r="CE4141" s="65">
        <f>(1000*17.58-CB4141)*2</f>
        <v>2020</v>
      </c>
      <c r="CF4141" s="65">
        <f>(1000*17.97-CC4141)*2</f>
        <v>2080</v>
      </c>
      <c r="GP4141" s="292" t="s">
        <v>7494</v>
      </c>
      <c r="JU4141" s="55" t="s">
        <v>3621</v>
      </c>
      <c r="JV4141" s="55" t="s">
        <v>3623</v>
      </c>
    </row>
    <row r="4142" spans="1:282" x14ac:dyDescent="0.25">
      <c r="A4142" s="55">
        <v>4141</v>
      </c>
      <c r="B4142" s="12" t="s">
        <v>7067</v>
      </c>
      <c r="C4142" s="155">
        <v>183</v>
      </c>
      <c r="D4142" s="55" t="s">
        <v>3588</v>
      </c>
      <c r="E4142" s="90" t="s">
        <v>3581</v>
      </c>
      <c r="G4142" s="55" t="s">
        <v>3582</v>
      </c>
      <c r="H4142" s="55">
        <v>2011</v>
      </c>
      <c r="I4142" s="55">
        <v>2008</v>
      </c>
      <c r="J4142" s="55" t="s">
        <v>2660</v>
      </c>
      <c r="K4142" s="55" t="s">
        <v>3584</v>
      </c>
      <c r="L4142" s="55" t="s">
        <v>3377</v>
      </c>
      <c r="M4142" s="90">
        <f>31+14/60</f>
        <v>31.233333333333334</v>
      </c>
      <c r="N4142" s="90">
        <f>119+53/60</f>
        <v>119.88333333333334</v>
      </c>
      <c r="O4142" s="90">
        <v>6.9</v>
      </c>
      <c r="Q4142" s="55">
        <v>15.7</v>
      </c>
      <c r="U4142" s="55" t="s">
        <v>1935</v>
      </c>
      <c r="V4142" s="55" t="s">
        <v>1805</v>
      </c>
      <c r="Y4142" s="55" t="s">
        <v>3583</v>
      </c>
      <c r="AD4142" s="90">
        <v>1.44</v>
      </c>
      <c r="AI4142" s="168">
        <v>5.6</v>
      </c>
      <c r="AJ4142" s="90">
        <v>2.4900000000000002</v>
      </c>
      <c r="AM4142" s="55" t="s">
        <v>3585</v>
      </c>
      <c r="AN4142" s="185" t="s">
        <v>770</v>
      </c>
      <c r="AO4142" s="185" t="s">
        <v>5150</v>
      </c>
      <c r="AQ4142" s="55" t="s">
        <v>1545</v>
      </c>
      <c r="AR4142" s="55" t="s">
        <v>3469</v>
      </c>
      <c r="AS4142" s="55" t="s">
        <v>227</v>
      </c>
      <c r="AU4142" s="181" t="s">
        <v>7494</v>
      </c>
      <c r="AV4142" s="185" t="s">
        <v>176</v>
      </c>
      <c r="AX4142" s="185" t="s">
        <v>176</v>
      </c>
      <c r="BE4142" s="226" t="s">
        <v>3593</v>
      </c>
      <c r="BF4142" s="191" t="s">
        <v>479</v>
      </c>
      <c r="BG4142" s="191" t="s">
        <v>479</v>
      </c>
      <c r="BH4142" s="226" t="s">
        <v>3593</v>
      </c>
      <c r="BI4142" s="191" t="s">
        <v>479</v>
      </c>
      <c r="BJ4142" s="55" t="s">
        <v>176</v>
      </c>
      <c r="BK4142" s="55" t="s">
        <v>5976</v>
      </c>
      <c r="BM4142" s="192" t="s">
        <v>160</v>
      </c>
      <c r="BN4142" s="55">
        <v>4</v>
      </c>
      <c r="BO4142" s="55">
        <v>4</v>
      </c>
      <c r="BS4142" s="55">
        <f>AVERAGE(BS4154,BS4158)</f>
        <v>1800</v>
      </c>
      <c r="BT4142" s="55">
        <f>AVERAGE(BT4154,BT4158)</f>
        <v>41.572463768115938</v>
      </c>
      <c r="BU4142" s="55" t="s">
        <v>3586</v>
      </c>
      <c r="CB4142" s="66">
        <f>1000*23.07</f>
        <v>23070</v>
      </c>
      <c r="CC4142" s="66">
        <f>1000*22.59</f>
        <v>22590</v>
      </c>
      <c r="CE4142" s="65">
        <f>(1000*24.73-CB4142)*2</f>
        <v>3320</v>
      </c>
      <c r="CF4142" s="65">
        <f>(1000*23.43-CC4142)*2</f>
        <v>1680</v>
      </c>
      <c r="GP4142" s="292" t="s">
        <v>7494</v>
      </c>
      <c r="JU4142" s="55" t="s">
        <v>3621</v>
      </c>
      <c r="JV4142" s="55" t="s">
        <v>3623</v>
      </c>
    </row>
    <row r="4143" spans="1:282" x14ac:dyDescent="0.25">
      <c r="A4143" s="55">
        <v>4142</v>
      </c>
      <c r="B4143" s="12" t="s">
        <v>7067</v>
      </c>
      <c r="C4143" s="155">
        <v>183</v>
      </c>
      <c r="D4143" s="55" t="s">
        <v>3589</v>
      </c>
      <c r="E4143" s="90" t="s">
        <v>3581</v>
      </c>
      <c r="G4143" s="55" t="s">
        <v>3582</v>
      </c>
      <c r="H4143" s="55">
        <v>2011</v>
      </c>
      <c r="I4143" s="55">
        <v>2008</v>
      </c>
      <c r="J4143" s="55" t="s">
        <v>2660</v>
      </c>
      <c r="K4143" s="55" t="s">
        <v>3584</v>
      </c>
      <c r="L4143" s="55" t="s">
        <v>3377</v>
      </c>
      <c r="M4143" s="90">
        <f>31+14/60</f>
        <v>31.233333333333334</v>
      </c>
      <c r="N4143" s="90">
        <f>119+53/60</f>
        <v>119.88333333333334</v>
      </c>
      <c r="O4143" s="90">
        <v>6.9</v>
      </c>
      <c r="Q4143" s="55">
        <v>15.7</v>
      </c>
      <c r="U4143" s="55" t="s">
        <v>1935</v>
      </c>
      <c r="V4143" s="55" t="s">
        <v>1805</v>
      </c>
      <c r="Y4143" s="55" t="s">
        <v>3583</v>
      </c>
      <c r="AD4143" s="90">
        <v>1.44</v>
      </c>
      <c r="AI4143" s="168">
        <v>5.6</v>
      </c>
      <c r="AJ4143" s="90">
        <v>2.4900000000000002</v>
      </c>
      <c r="AM4143" s="55" t="s">
        <v>3585</v>
      </c>
      <c r="AN4143" s="185" t="s">
        <v>770</v>
      </c>
      <c r="AO4143" s="185" t="s">
        <v>5150</v>
      </c>
      <c r="AQ4143" s="55" t="s">
        <v>1545</v>
      </c>
      <c r="AR4143" s="55" t="s">
        <v>3469</v>
      </c>
      <c r="AS4143" s="55" t="s">
        <v>227</v>
      </c>
      <c r="AU4143" s="181" t="s">
        <v>7494</v>
      </c>
      <c r="AV4143" s="185" t="s">
        <v>176</v>
      </c>
      <c r="AX4143" s="185" t="s">
        <v>176</v>
      </c>
      <c r="BE4143" s="226" t="s">
        <v>3594</v>
      </c>
      <c r="BF4143" s="191" t="s">
        <v>479</v>
      </c>
      <c r="BG4143" s="191" t="s">
        <v>479</v>
      </c>
      <c r="BH4143" s="226" t="s">
        <v>3595</v>
      </c>
      <c r="BI4143" s="191" t="s">
        <v>479</v>
      </c>
      <c r="BJ4143" s="55" t="s">
        <v>176</v>
      </c>
      <c r="BK4143" s="55" t="s">
        <v>5976</v>
      </c>
      <c r="BM4143" s="192" t="s">
        <v>160</v>
      </c>
      <c r="BN4143" s="55">
        <v>4</v>
      </c>
      <c r="BO4143" s="55">
        <v>4</v>
      </c>
      <c r="BS4143" s="55">
        <f>AVERAGE(BS4162,BS4166)</f>
        <v>1700</v>
      </c>
      <c r="BT4143" s="55">
        <f>AVERAGE(BT4162,BT4166)</f>
        <v>40.245791245791239</v>
      </c>
      <c r="BU4143" s="55" t="s">
        <v>3586</v>
      </c>
      <c r="CB4143" s="66">
        <f>1000*33.47</f>
        <v>33470</v>
      </c>
      <c r="CC4143" s="66">
        <f>1000*33.42</f>
        <v>33420</v>
      </c>
      <c r="CE4143" s="65">
        <f>(1000*37.39-CB4143)*2</f>
        <v>7840</v>
      </c>
      <c r="CF4143" s="65">
        <f>(1000*34.67-CC4143)*2</f>
        <v>2500</v>
      </c>
      <c r="GP4143" s="292" t="s">
        <v>7494</v>
      </c>
      <c r="JU4143" s="55" t="s">
        <v>3621</v>
      </c>
      <c r="JV4143" s="55" t="s">
        <v>3623</v>
      </c>
    </row>
    <row r="4144" spans="1:282" x14ac:dyDescent="0.25">
      <c r="A4144" s="55">
        <v>4143</v>
      </c>
      <c r="B4144" s="12" t="s">
        <v>7067</v>
      </c>
      <c r="C4144" s="155">
        <v>183</v>
      </c>
      <c r="D4144" s="55" t="s">
        <v>3590</v>
      </c>
      <c r="E4144" s="90" t="s">
        <v>3581</v>
      </c>
      <c r="G4144" s="55" t="s">
        <v>3582</v>
      </c>
      <c r="H4144" s="55">
        <v>2011</v>
      </c>
      <c r="I4144" s="55">
        <v>2008</v>
      </c>
      <c r="J4144" s="55" t="s">
        <v>2660</v>
      </c>
      <c r="K4144" s="55" t="s">
        <v>3584</v>
      </c>
      <c r="L4144" s="55" t="s">
        <v>3377</v>
      </c>
      <c r="M4144" s="90">
        <f>31+14/60</f>
        <v>31.233333333333334</v>
      </c>
      <c r="N4144" s="90">
        <f>119+53/60</f>
        <v>119.88333333333334</v>
      </c>
      <c r="O4144" s="90">
        <v>6.9</v>
      </c>
      <c r="Q4144" s="55">
        <v>15.7</v>
      </c>
      <c r="U4144" s="55" t="s">
        <v>1935</v>
      </c>
      <c r="V4144" s="55" t="s">
        <v>1805</v>
      </c>
      <c r="Y4144" s="55" t="s">
        <v>3583</v>
      </c>
      <c r="AD4144" s="90">
        <v>1.44</v>
      </c>
      <c r="AI4144" s="168">
        <v>5.6</v>
      </c>
      <c r="AJ4144" s="90">
        <v>2.4900000000000002</v>
      </c>
      <c r="AM4144" s="55" t="s">
        <v>3585</v>
      </c>
      <c r="AN4144" s="185" t="s">
        <v>770</v>
      </c>
      <c r="AO4144" s="185" t="s">
        <v>5150</v>
      </c>
      <c r="AQ4144" s="55" t="s">
        <v>1545</v>
      </c>
      <c r="AR4144" s="55" t="s">
        <v>3469</v>
      </c>
      <c r="AS4144" s="55" t="s">
        <v>227</v>
      </c>
      <c r="AU4144" s="181" t="s">
        <v>7494</v>
      </c>
      <c r="AV4144" s="185" t="s">
        <v>176</v>
      </c>
      <c r="AX4144" s="185" t="s">
        <v>176</v>
      </c>
      <c r="BE4144" s="226" t="s">
        <v>3596</v>
      </c>
      <c r="BF4144" s="191" t="s">
        <v>479</v>
      </c>
      <c r="BG4144" s="191" t="s">
        <v>479</v>
      </c>
      <c r="BH4144" s="226" t="s">
        <v>3596</v>
      </c>
      <c r="BI4144" s="191" t="s">
        <v>479</v>
      </c>
      <c r="BJ4144" s="55" t="s">
        <v>176</v>
      </c>
      <c r="BK4144" s="55" t="s">
        <v>5976</v>
      </c>
      <c r="BM4144" s="192" t="s">
        <v>160</v>
      </c>
      <c r="BN4144" s="55">
        <v>4</v>
      </c>
      <c r="BO4144" s="55">
        <v>4</v>
      </c>
      <c r="BS4144" s="55">
        <f>AVERAGE(BS4170,BS4174)</f>
        <v>1850</v>
      </c>
      <c r="BT4144" s="55">
        <f>AVERAGE(BT4170,BT4174)</f>
        <v>39.833333333333329</v>
      </c>
      <c r="BU4144" s="55" t="s">
        <v>3586</v>
      </c>
      <c r="CB4144" s="66">
        <f>1000*33.99</f>
        <v>33990</v>
      </c>
      <c r="CC4144" s="66">
        <f>1000*32.49</f>
        <v>32490.000000000004</v>
      </c>
      <c r="CE4144" s="65">
        <f>(1000*36.45-CB4144)*2</f>
        <v>4920</v>
      </c>
      <c r="CF4144" s="65">
        <f>(1000*33.54-CC4144)*2</f>
        <v>2099.9999999999927</v>
      </c>
      <c r="GP4144" s="292" t="s">
        <v>7494</v>
      </c>
      <c r="JU4144" s="55" t="s">
        <v>3621</v>
      </c>
      <c r="JV4144" s="55" t="s">
        <v>3623</v>
      </c>
    </row>
    <row r="4145" spans="1:282" x14ac:dyDescent="0.25">
      <c r="A4145" s="55">
        <v>4144</v>
      </c>
      <c r="B4145" s="12" t="s">
        <v>7067</v>
      </c>
      <c r="C4145" s="155">
        <v>183</v>
      </c>
      <c r="D4145" s="55" t="s">
        <v>3591</v>
      </c>
      <c r="E4145" s="90" t="s">
        <v>3581</v>
      </c>
      <c r="G4145" s="55" t="s">
        <v>3582</v>
      </c>
      <c r="H4145" s="55">
        <v>2011</v>
      </c>
      <c r="I4145" s="55">
        <v>2008</v>
      </c>
      <c r="J4145" s="55" t="s">
        <v>2660</v>
      </c>
      <c r="K4145" s="55" t="s">
        <v>3584</v>
      </c>
      <c r="L4145" s="55" t="s">
        <v>3377</v>
      </c>
      <c r="M4145" s="90">
        <f>31+14/60</f>
        <v>31.233333333333334</v>
      </c>
      <c r="N4145" s="90">
        <f>119+53/60</f>
        <v>119.88333333333334</v>
      </c>
      <c r="O4145" s="90">
        <v>6.9</v>
      </c>
      <c r="Q4145" s="55">
        <v>15.7</v>
      </c>
      <c r="U4145" s="55" t="s">
        <v>1935</v>
      </c>
      <c r="V4145" s="55" t="s">
        <v>1805</v>
      </c>
      <c r="Y4145" s="55" t="s">
        <v>3583</v>
      </c>
      <c r="AD4145" s="90">
        <v>1.44</v>
      </c>
      <c r="AI4145" s="168">
        <v>5.6</v>
      </c>
      <c r="AJ4145" s="90">
        <v>2.4900000000000002</v>
      </c>
      <c r="AM4145" s="55" t="s">
        <v>3585</v>
      </c>
      <c r="AN4145" s="185" t="s">
        <v>770</v>
      </c>
      <c r="AO4145" s="185" t="s">
        <v>5150</v>
      </c>
      <c r="AQ4145" s="55" t="s">
        <v>1545</v>
      </c>
      <c r="AR4145" s="55" t="s">
        <v>3469</v>
      </c>
      <c r="AS4145" s="55" t="s">
        <v>227</v>
      </c>
      <c r="AU4145" s="181" t="s">
        <v>7494</v>
      </c>
      <c r="AV4145" s="185" t="s">
        <v>176</v>
      </c>
      <c r="AX4145" s="185" t="s">
        <v>176</v>
      </c>
      <c r="BE4145" s="226" t="s">
        <v>3597</v>
      </c>
      <c r="BF4145" s="191" t="s">
        <v>479</v>
      </c>
      <c r="BG4145" s="191" t="s">
        <v>479</v>
      </c>
      <c r="BH4145" s="226" t="s">
        <v>3597</v>
      </c>
      <c r="BI4145" s="191" t="s">
        <v>479</v>
      </c>
      <c r="BJ4145" s="55" t="s">
        <v>176</v>
      </c>
      <c r="BK4145" s="55" t="s">
        <v>5976</v>
      </c>
      <c r="BM4145" s="192" t="s">
        <v>160</v>
      </c>
      <c r="BN4145" s="55">
        <v>4</v>
      </c>
      <c r="BO4145" s="55">
        <v>4</v>
      </c>
      <c r="BS4145" s="55">
        <f>AVERAGE(BS4178,BS4182)</f>
        <v>2100</v>
      </c>
      <c r="BT4145" s="55">
        <f>AVERAGE(BT4178,BT4182)</f>
        <v>40.958041958041953</v>
      </c>
      <c r="BU4145" s="55" t="s">
        <v>3586</v>
      </c>
      <c r="CB4145" s="66">
        <f>1000*33.47</f>
        <v>33470</v>
      </c>
      <c r="CC4145" s="66">
        <f>1000*33.01</f>
        <v>33010</v>
      </c>
      <c r="CE4145" s="65">
        <f>(1000*35.33-CB4145)*2</f>
        <v>3720</v>
      </c>
      <c r="CF4145" s="65">
        <f>(1000*34.25-CC4145)*2</f>
        <v>2480</v>
      </c>
      <c r="GP4145" s="292" t="s">
        <v>7494</v>
      </c>
      <c r="JU4145" s="55" t="s">
        <v>3621</v>
      </c>
      <c r="JV4145" s="55" t="s">
        <v>3623</v>
      </c>
    </row>
    <row r="4146" spans="1:282" x14ac:dyDescent="0.25">
      <c r="A4146" s="55">
        <v>4145</v>
      </c>
      <c r="B4146" s="12" t="s">
        <v>7067</v>
      </c>
      <c r="C4146" s="155">
        <v>183</v>
      </c>
      <c r="D4146" s="55" t="s">
        <v>3599</v>
      </c>
      <c r="E4146" s="90" t="s">
        <v>3581</v>
      </c>
      <c r="G4146" s="55" t="s">
        <v>3582</v>
      </c>
      <c r="H4146" s="55">
        <v>2011</v>
      </c>
      <c r="I4146" s="55">
        <v>2008</v>
      </c>
      <c r="J4146" s="55" t="s">
        <v>2660</v>
      </c>
      <c r="K4146" s="55" t="s">
        <v>3584</v>
      </c>
      <c r="L4146" s="55" t="s">
        <v>3377</v>
      </c>
      <c r="M4146" s="90">
        <f>31+14/60</f>
        <v>31.233333333333334</v>
      </c>
      <c r="N4146" s="90">
        <f>119+53/60</f>
        <v>119.88333333333334</v>
      </c>
      <c r="O4146" s="90">
        <v>6.9</v>
      </c>
      <c r="Q4146" s="55">
        <v>15.7</v>
      </c>
      <c r="U4146" s="55" t="s">
        <v>1935</v>
      </c>
      <c r="V4146" s="55" t="s">
        <v>1805</v>
      </c>
      <c r="Y4146" s="55" t="s">
        <v>3583</v>
      </c>
      <c r="Z4146" s="55" t="s">
        <v>1355</v>
      </c>
      <c r="AD4146" s="90">
        <v>1.44</v>
      </c>
      <c r="AI4146" s="168">
        <v>5.6</v>
      </c>
      <c r="AJ4146" s="90">
        <v>2.4900000000000002</v>
      </c>
      <c r="AM4146" s="55" t="s">
        <v>3585</v>
      </c>
      <c r="AN4146" s="185" t="s">
        <v>770</v>
      </c>
      <c r="AO4146" s="185" t="s">
        <v>5150</v>
      </c>
      <c r="AQ4146" s="55" t="s">
        <v>1545</v>
      </c>
      <c r="AR4146" s="55" t="s">
        <v>3469</v>
      </c>
      <c r="AS4146" s="55" t="s">
        <v>227</v>
      </c>
      <c r="AU4146" s="181" t="s">
        <v>7494</v>
      </c>
      <c r="AV4146" s="185" t="s">
        <v>176</v>
      </c>
      <c r="AX4146" s="185" t="s">
        <v>176</v>
      </c>
      <c r="BE4146" s="226" t="s">
        <v>3592</v>
      </c>
      <c r="BF4146" s="191" t="s">
        <v>176</v>
      </c>
      <c r="BG4146" s="191" t="s">
        <v>176</v>
      </c>
      <c r="BH4146" s="226" t="s">
        <v>3592</v>
      </c>
      <c r="BI4146" s="191" t="s">
        <v>176</v>
      </c>
      <c r="BJ4146" s="55" t="s">
        <v>176</v>
      </c>
      <c r="BK4146" s="55" t="s">
        <v>5976</v>
      </c>
      <c r="BM4146" s="192" t="s">
        <v>160</v>
      </c>
      <c r="BN4146" s="55">
        <v>4</v>
      </c>
      <c r="BO4146" s="55">
        <v>4</v>
      </c>
      <c r="BS4146" s="55">
        <v>900</v>
      </c>
      <c r="BT4146" s="55">
        <f>(BS4146*(1-1.5%))/(BS4146*(1.5%))</f>
        <v>65.666666666666671</v>
      </c>
      <c r="BU4146" s="55" t="s">
        <v>3586</v>
      </c>
      <c r="BV4146" s="55" t="s">
        <v>3620</v>
      </c>
      <c r="DB4146" s="65">
        <v>37</v>
      </c>
      <c r="DC4146" s="65">
        <v>31</v>
      </c>
      <c r="DF4146" s="65" t="s">
        <v>3619</v>
      </c>
      <c r="FT4146" s="65">
        <v>17</v>
      </c>
      <c r="FU4146" s="65">
        <v>9</v>
      </c>
      <c r="FV4146" s="65">
        <v>4</v>
      </c>
      <c r="FW4146" s="65">
        <v>2</v>
      </c>
      <c r="FX4146" s="65" t="s">
        <v>3622</v>
      </c>
      <c r="GP4146" s="292" t="s">
        <v>7494</v>
      </c>
      <c r="JU4146" s="55" t="s">
        <v>3621</v>
      </c>
      <c r="JV4146" s="55" t="s">
        <v>3623</v>
      </c>
    </row>
    <row r="4147" spans="1:282" x14ac:dyDescent="0.25">
      <c r="A4147" s="55">
        <v>4146</v>
      </c>
      <c r="B4147" s="12" t="s">
        <v>7067</v>
      </c>
      <c r="C4147" s="155">
        <v>183</v>
      </c>
      <c r="D4147" s="55" t="s">
        <v>3600</v>
      </c>
      <c r="E4147" s="90" t="s">
        <v>3581</v>
      </c>
      <c r="G4147" s="55" t="s">
        <v>3582</v>
      </c>
      <c r="H4147" s="55">
        <v>2011</v>
      </c>
      <c r="I4147" s="55">
        <v>2008</v>
      </c>
      <c r="J4147" s="55" t="s">
        <v>2660</v>
      </c>
      <c r="K4147" s="55" t="s">
        <v>3584</v>
      </c>
      <c r="L4147" s="55" t="s">
        <v>3377</v>
      </c>
      <c r="M4147" s="90">
        <f>31+14/60</f>
        <v>31.233333333333334</v>
      </c>
      <c r="N4147" s="90">
        <f>119+53/60</f>
        <v>119.88333333333334</v>
      </c>
      <c r="O4147" s="90">
        <v>6.9</v>
      </c>
      <c r="Q4147" s="55">
        <v>15.7</v>
      </c>
      <c r="U4147" s="55" t="s">
        <v>1935</v>
      </c>
      <c r="V4147" s="55" t="s">
        <v>1805</v>
      </c>
      <c r="Y4147" s="55" t="s">
        <v>3583</v>
      </c>
      <c r="Z4147" s="55" t="s">
        <v>1359</v>
      </c>
      <c r="AD4147" s="90">
        <v>1.44</v>
      </c>
      <c r="AI4147" s="168">
        <v>5.6</v>
      </c>
      <c r="AJ4147" s="90">
        <v>2.4900000000000002</v>
      </c>
      <c r="AM4147" s="55" t="s">
        <v>3585</v>
      </c>
      <c r="AN4147" s="185" t="s">
        <v>770</v>
      </c>
      <c r="AO4147" s="185" t="s">
        <v>5150</v>
      </c>
      <c r="AQ4147" s="55" t="s">
        <v>1545</v>
      </c>
      <c r="AR4147" s="55" t="s">
        <v>3469</v>
      </c>
      <c r="AS4147" s="55" t="s">
        <v>227</v>
      </c>
      <c r="AU4147" s="181" t="s">
        <v>7494</v>
      </c>
      <c r="AV4147" s="185" t="s">
        <v>176</v>
      </c>
      <c r="AX4147" s="185" t="s">
        <v>176</v>
      </c>
      <c r="BE4147" s="226" t="s">
        <v>3592</v>
      </c>
      <c r="BF4147" s="191" t="s">
        <v>176</v>
      </c>
      <c r="BG4147" s="191" t="s">
        <v>176</v>
      </c>
      <c r="BH4147" s="226" t="s">
        <v>3592</v>
      </c>
      <c r="BI4147" s="191" t="s">
        <v>176</v>
      </c>
      <c r="BJ4147" s="55" t="s">
        <v>176</v>
      </c>
      <c r="BK4147" s="55" t="s">
        <v>5976</v>
      </c>
      <c r="BM4147" s="192" t="s">
        <v>160</v>
      </c>
      <c r="BN4147" s="55">
        <v>4</v>
      </c>
      <c r="BO4147" s="55">
        <v>4</v>
      </c>
      <c r="BS4147" s="55">
        <v>900</v>
      </c>
      <c r="BT4147" s="55">
        <f>(BS4147*(1-1.5%))/(BS4147*(1.5%))</f>
        <v>65.666666666666671</v>
      </c>
      <c r="BU4147" s="55" t="s">
        <v>3586</v>
      </c>
      <c r="BV4147" s="55" t="s">
        <v>3620</v>
      </c>
      <c r="DB4147" s="65">
        <v>11</v>
      </c>
      <c r="DC4147" s="65">
        <v>23</v>
      </c>
      <c r="DF4147" s="65" t="s">
        <v>3619</v>
      </c>
      <c r="GP4147" s="292" t="s">
        <v>7494</v>
      </c>
      <c r="JU4147" s="55" t="s">
        <v>3621</v>
      </c>
      <c r="JV4147" s="55" t="s">
        <v>3623</v>
      </c>
    </row>
    <row r="4148" spans="1:282" x14ac:dyDescent="0.25">
      <c r="A4148" s="55">
        <v>4147</v>
      </c>
      <c r="B4148" s="12" t="s">
        <v>7067</v>
      </c>
      <c r="C4148" s="155">
        <v>183</v>
      </c>
      <c r="D4148" s="55" t="s">
        <v>3601</v>
      </c>
      <c r="E4148" s="90" t="s">
        <v>3581</v>
      </c>
      <c r="G4148" s="55" t="s">
        <v>3582</v>
      </c>
      <c r="H4148" s="55">
        <v>2011</v>
      </c>
      <c r="I4148" s="55">
        <v>2008</v>
      </c>
      <c r="J4148" s="55" t="s">
        <v>2660</v>
      </c>
      <c r="K4148" s="55" t="s">
        <v>3584</v>
      </c>
      <c r="L4148" s="55" t="s">
        <v>3377</v>
      </c>
      <c r="M4148" s="90">
        <f>31+14/60</f>
        <v>31.233333333333334</v>
      </c>
      <c r="N4148" s="90">
        <f>119+53/60</f>
        <v>119.88333333333334</v>
      </c>
      <c r="O4148" s="90">
        <v>6.9</v>
      </c>
      <c r="Q4148" s="55">
        <v>15.7</v>
      </c>
      <c r="U4148" s="55" t="s">
        <v>1935</v>
      </c>
      <c r="V4148" s="55" t="s">
        <v>1805</v>
      </c>
      <c r="Y4148" s="55" t="s">
        <v>3583</v>
      </c>
      <c r="Z4148" s="55" t="s">
        <v>1350</v>
      </c>
      <c r="AD4148" s="90">
        <v>1.44</v>
      </c>
      <c r="AI4148" s="168">
        <v>5.6</v>
      </c>
      <c r="AJ4148" s="90">
        <v>2.4900000000000002</v>
      </c>
      <c r="AM4148" s="55" t="s">
        <v>3585</v>
      </c>
      <c r="AN4148" s="185" t="s">
        <v>770</v>
      </c>
      <c r="AO4148" s="185" t="s">
        <v>5150</v>
      </c>
      <c r="AQ4148" s="55" t="s">
        <v>1545</v>
      </c>
      <c r="AR4148" s="55" t="s">
        <v>3469</v>
      </c>
      <c r="AS4148" s="55" t="s">
        <v>227</v>
      </c>
      <c r="AU4148" s="181" t="s">
        <v>7494</v>
      </c>
      <c r="AV4148" s="185" t="s">
        <v>176</v>
      </c>
      <c r="AX4148" s="185" t="s">
        <v>176</v>
      </c>
      <c r="BE4148" s="226" t="s">
        <v>3592</v>
      </c>
      <c r="BF4148" s="191" t="s">
        <v>176</v>
      </c>
      <c r="BG4148" s="191" t="s">
        <v>176</v>
      </c>
      <c r="BH4148" s="226" t="s">
        <v>3592</v>
      </c>
      <c r="BI4148" s="191" t="s">
        <v>176</v>
      </c>
      <c r="BJ4148" s="55" t="s">
        <v>176</v>
      </c>
      <c r="BK4148" s="55" t="s">
        <v>5976</v>
      </c>
      <c r="BM4148" s="192" t="s">
        <v>160</v>
      </c>
      <c r="BN4148" s="55">
        <v>4</v>
      </c>
      <c r="BO4148" s="55">
        <v>4</v>
      </c>
      <c r="BS4148" s="55">
        <v>900</v>
      </c>
      <c r="BT4148" s="55">
        <f>(BS4148*(1-1.5%))/(BS4148*(1.5%))</f>
        <v>65.666666666666671</v>
      </c>
      <c r="BU4148" s="55" t="s">
        <v>3586</v>
      </c>
      <c r="BV4148" s="55" t="s">
        <v>3620</v>
      </c>
      <c r="DB4148" s="65">
        <v>5</v>
      </c>
      <c r="DC4148" s="65">
        <v>14</v>
      </c>
      <c r="DF4148" s="65" t="s">
        <v>3619</v>
      </c>
      <c r="GP4148" s="292" t="s">
        <v>7494</v>
      </c>
      <c r="JU4148" s="55" t="s">
        <v>3621</v>
      </c>
      <c r="JV4148" s="55" t="s">
        <v>3623</v>
      </c>
    </row>
    <row r="4149" spans="1:282" x14ac:dyDescent="0.25">
      <c r="A4149" s="55">
        <v>4148</v>
      </c>
      <c r="B4149" s="12" t="s">
        <v>7067</v>
      </c>
      <c r="C4149" s="155">
        <v>183</v>
      </c>
      <c r="D4149" s="55" t="s">
        <v>3602</v>
      </c>
      <c r="E4149" s="90" t="s">
        <v>3581</v>
      </c>
      <c r="G4149" s="55" t="s">
        <v>3582</v>
      </c>
      <c r="H4149" s="55">
        <v>2011</v>
      </c>
      <c r="I4149" s="55">
        <v>2008</v>
      </c>
      <c r="J4149" s="55" t="s">
        <v>2660</v>
      </c>
      <c r="K4149" s="55" t="s">
        <v>3584</v>
      </c>
      <c r="L4149" s="55" t="s">
        <v>3377</v>
      </c>
      <c r="M4149" s="90">
        <f>31+14/60</f>
        <v>31.233333333333334</v>
      </c>
      <c r="N4149" s="90">
        <f>119+53/60</f>
        <v>119.88333333333334</v>
      </c>
      <c r="O4149" s="90">
        <v>6.9</v>
      </c>
      <c r="Q4149" s="55">
        <v>15.7</v>
      </c>
      <c r="U4149" s="55" t="s">
        <v>1935</v>
      </c>
      <c r="V4149" s="55" t="s">
        <v>1805</v>
      </c>
      <c r="Y4149" s="55" t="s">
        <v>3583</v>
      </c>
      <c r="Z4149" s="55" t="s">
        <v>3598</v>
      </c>
      <c r="AD4149" s="90">
        <v>1.44</v>
      </c>
      <c r="AI4149" s="168">
        <v>5.6</v>
      </c>
      <c r="AJ4149" s="90">
        <v>2.4900000000000002</v>
      </c>
      <c r="AM4149" s="55" t="s">
        <v>3585</v>
      </c>
      <c r="AN4149" s="185" t="s">
        <v>770</v>
      </c>
      <c r="AO4149" s="185" t="s">
        <v>5150</v>
      </c>
      <c r="AQ4149" s="55" t="s">
        <v>1545</v>
      </c>
      <c r="AR4149" s="55" t="s">
        <v>3469</v>
      </c>
      <c r="AS4149" s="55" t="s">
        <v>227</v>
      </c>
      <c r="AU4149" s="181" t="s">
        <v>7494</v>
      </c>
      <c r="AV4149" s="185" t="s">
        <v>176</v>
      </c>
      <c r="AX4149" s="185" t="s">
        <v>176</v>
      </c>
      <c r="BE4149" s="226" t="s">
        <v>3592</v>
      </c>
      <c r="BF4149" s="191" t="s">
        <v>176</v>
      </c>
      <c r="BG4149" s="191" t="s">
        <v>176</v>
      </c>
      <c r="BH4149" s="226" t="s">
        <v>3592</v>
      </c>
      <c r="BI4149" s="191" t="s">
        <v>176</v>
      </c>
      <c r="BJ4149" s="55" t="s">
        <v>176</v>
      </c>
      <c r="BK4149" s="55" t="s">
        <v>5976</v>
      </c>
      <c r="BM4149" s="192" t="s">
        <v>160</v>
      </c>
      <c r="BN4149" s="55">
        <v>4</v>
      </c>
      <c r="BO4149" s="55">
        <v>4</v>
      </c>
      <c r="BS4149" s="55">
        <v>900</v>
      </c>
      <c r="BT4149" s="55">
        <f>(BS4149*(1-1.5%))/(BS4149*(1.5%))</f>
        <v>65.666666666666671</v>
      </c>
      <c r="BU4149" s="55" t="s">
        <v>3586</v>
      </c>
      <c r="BV4149" s="55" t="s">
        <v>3620</v>
      </c>
      <c r="DB4149" s="65">
        <v>3</v>
      </c>
      <c r="DC4149" s="65">
        <v>4</v>
      </c>
      <c r="DF4149" s="65" t="s">
        <v>3619</v>
      </c>
      <c r="GP4149" s="292" t="s">
        <v>7494</v>
      </c>
      <c r="JU4149" s="55" t="s">
        <v>3621</v>
      </c>
      <c r="JV4149" s="55" t="s">
        <v>3623</v>
      </c>
    </row>
    <row r="4150" spans="1:282" x14ac:dyDescent="0.25">
      <c r="A4150" s="55">
        <v>4149</v>
      </c>
      <c r="B4150" s="12" t="s">
        <v>7067</v>
      </c>
      <c r="C4150" s="155">
        <v>183</v>
      </c>
      <c r="D4150" s="55" t="s">
        <v>3599</v>
      </c>
      <c r="E4150" s="90" t="s">
        <v>3581</v>
      </c>
      <c r="G4150" s="55" t="s">
        <v>3582</v>
      </c>
      <c r="H4150" s="55">
        <v>2011</v>
      </c>
      <c r="I4150" s="55">
        <v>2009</v>
      </c>
      <c r="J4150" s="55" t="s">
        <v>2660</v>
      </c>
      <c r="K4150" s="55" t="s">
        <v>3584</v>
      </c>
      <c r="L4150" s="55" t="s">
        <v>3377</v>
      </c>
      <c r="M4150" s="90">
        <f>31+14/60</f>
        <v>31.233333333333334</v>
      </c>
      <c r="N4150" s="90">
        <f>119+53/60</f>
        <v>119.88333333333334</v>
      </c>
      <c r="O4150" s="90">
        <v>6.9</v>
      </c>
      <c r="Q4150" s="55">
        <v>15.7</v>
      </c>
      <c r="U4150" s="55" t="s">
        <v>1805</v>
      </c>
      <c r="V4150" s="55" t="s">
        <v>1805</v>
      </c>
      <c r="Y4150" s="55" t="s">
        <v>3583</v>
      </c>
      <c r="Z4150" s="55" t="s">
        <v>1355</v>
      </c>
      <c r="AD4150" s="90">
        <v>1.44</v>
      </c>
      <c r="AI4150" s="168">
        <v>5.6</v>
      </c>
      <c r="AJ4150" s="90">
        <v>2.4900000000000002</v>
      </c>
      <c r="AM4150" s="55" t="s">
        <v>3585</v>
      </c>
      <c r="AN4150" s="185" t="s">
        <v>770</v>
      </c>
      <c r="AO4150" s="185" t="s">
        <v>5150</v>
      </c>
      <c r="AQ4150" s="55" t="s">
        <v>1545</v>
      </c>
      <c r="AR4150" s="55" t="s">
        <v>3469</v>
      </c>
      <c r="AS4150" s="55" t="s">
        <v>227</v>
      </c>
      <c r="AU4150" s="181" t="s">
        <v>7494</v>
      </c>
      <c r="AV4150" s="185" t="s">
        <v>176</v>
      </c>
      <c r="AX4150" s="185" t="s">
        <v>176</v>
      </c>
      <c r="BE4150" s="226" t="s">
        <v>3592</v>
      </c>
      <c r="BF4150" s="191" t="s">
        <v>176</v>
      </c>
      <c r="BG4150" s="191" t="s">
        <v>176</v>
      </c>
      <c r="BH4150" s="226" t="s">
        <v>3592</v>
      </c>
      <c r="BI4150" s="191" t="s">
        <v>176</v>
      </c>
      <c r="BJ4150" s="55" t="s">
        <v>176</v>
      </c>
      <c r="BK4150" s="55" t="s">
        <v>5976</v>
      </c>
      <c r="BM4150" s="192" t="s">
        <v>160</v>
      </c>
      <c r="BN4150" s="55">
        <v>4</v>
      </c>
      <c r="BO4150" s="55">
        <v>4</v>
      </c>
      <c r="BS4150" s="55">
        <v>1300</v>
      </c>
      <c r="BT4150" s="55">
        <f>(BS4150*(1-1.3%))/(BS4150*(1.3%))</f>
        <v>75.923076923076906</v>
      </c>
      <c r="BU4150" s="55" t="s">
        <v>3586</v>
      </c>
      <c r="BV4150" s="55" t="s">
        <v>3620</v>
      </c>
      <c r="DB4150" s="65">
        <v>42</v>
      </c>
      <c r="DC4150" s="65">
        <v>23</v>
      </c>
      <c r="DF4150" s="65" t="s">
        <v>3619</v>
      </c>
      <c r="FT4150" s="65">
        <v>11</v>
      </c>
      <c r="FU4150" s="65">
        <v>4</v>
      </c>
      <c r="FV4150" s="65">
        <v>3</v>
      </c>
      <c r="FW4150" s="65">
        <v>1</v>
      </c>
      <c r="FX4150" s="65" t="s">
        <v>3622</v>
      </c>
      <c r="GP4150" s="292" t="s">
        <v>7494</v>
      </c>
      <c r="JU4150" s="55" t="s">
        <v>3621</v>
      </c>
      <c r="JV4150" s="55" t="s">
        <v>3623</v>
      </c>
    </row>
    <row r="4151" spans="1:282" x14ac:dyDescent="0.25">
      <c r="A4151" s="55">
        <v>4150</v>
      </c>
      <c r="B4151" s="12" t="s">
        <v>7067</v>
      </c>
      <c r="C4151" s="155">
        <v>183</v>
      </c>
      <c r="D4151" s="55" t="s">
        <v>3600</v>
      </c>
      <c r="E4151" s="90" t="s">
        <v>3581</v>
      </c>
      <c r="G4151" s="55" t="s">
        <v>3582</v>
      </c>
      <c r="H4151" s="55">
        <v>2011</v>
      </c>
      <c r="I4151" s="55">
        <v>2009</v>
      </c>
      <c r="J4151" s="55" t="s">
        <v>2660</v>
      </c>
      <c r="K4151" s="55" t="s">
        <v>3584</v>
      </c>
      <c r="L4151" s="55" t="s">
        <v>3377</v>
      </c>
      <c r="M4151" s="90">
        <f>31+14/60</f>
        <v>31.233333333333334</v>
      </c>
      <c r="N4151" s="90">
        <f>119+53/60</f>
        <v>119.88333333333334</v>
      </c>
      <c r="O4151" s="90">
        <v>6.9</v>
      </c>
      <c r="Q4151" s="55">
        <v>15.7</v>
      </c>
      <c r="U4151" s="55" t="s">
        <v>1805</v>
      </c>
      <c r="V4151" s="55" t="s">
        <v>1805</v>
      </c>
      <c r="Y4151" s="55" t="s">
        <v>3583</v>
      </c>
      <c r="Z4151" s="55" t="s">
        <v>1359</v>
      </c>
      <c r="AD4151" s="90">
        <v>1.44</v>
      </c>
      <c r="AI4151" s="168">
        <v>5.6</v>
      </c>
      <c r="AJ4151" s="90">
        <v>2.4900000000000002</v>
      </c>
      <c r="AM4151" s="55" t="s">
        <v>3585</v>
      </c>
      <c r="AN4151" s="185" t="s">
        <v>770</v>
      </c>
      <c r="AO4151" s="185" t="s">
        <v>5150</v>
      </c>
      <c r="AQ4151" s="55" t="s">
        <v>1545</v>
      </c>
      <c r="AR4151" s="55" t="s">
        <v>3469</v>
      </c>
      <c r="AS4151" s="55" t="s">
        <v>227</v>
      </c>
      <c r="AU4151" s="181" t="s">
        <v>7494</v>
      </c>
      <c r="AV4151" s="185" t="s">
        <v>176</v>
      </c>
      <c r="AX4151" s="185" t="s">
        <v>176</v>
      </c>
      <c r="BE4151" s="226" t="s">
        <v>3592</v>
      </c>
      <c r="BF4151" s="191" t="s">
        <v>176</v>
      </c>
      <c r="BG4151" s="191" t="s">
        <v>176</v>
      </c>
      <c r="BH4151" s="226" t="s">
        <v>3592</v>
      </c>
      <c r="BI4151" s="191" t="s">
        <v>176</v>
      </c>
      <c r="BJ4151" s="55" t="s">
        <v>176</v>
      </c>
      <c r="BK4151" s="55" t="s">
        <v>5976</v>
      </c>
      <c r="BM4151" s="192" t="s">
        <v>160</v>
      </c>
      <c r="BN4151" s="55">
        <v>4</v>
      </c>
      <c r="BO4151" s="55">
        <v>4</v>
      </c>
      <c r="BS4151" s="55">
        <v>1300</v>
      </c>
      <c r="BT4151" s="55">
        <f>(BS4151*(1-1.3%))/(BS4151*(1.3%))</f>
        <v>75.923076923076906</v>
      </c>
      <c r="BU4151" s="55" t="s">
        <v>3586</v>
      </c>
      <c r="BV4151" s="55" t="s">
        <v>3620</v>
      </c>
      <c r="DB4151" s="65">
        <v>7</v>
      </c>
      <c r="DC4151" s="65">
        <v>12</v>
      </c>
      <c r="DF4151" s="65" t="s">
        <v>3619</v>
      </c>
      <c r="GP4151" s="292" t="s">
        <v>7494</v>
      </c>
      <c r="JU4151" s="55" t="s">
        <v>3621</v>
      </c>
      <c r="JV4151" s="55" t="s">
        <v>3623</v>
      </c>
    </row>
    <row r="4152" spans="1:282" x14ac:dyDescent="0.25">
      <c r="A4152" s="55">
        <v>4151</v>
      </c>
      <c r="B4152" s="12" t="s">
        <v>7067</v>
      </c>
      <c r="C4152" s="155">
        <v>183</v>
      </c>
      <c r="D4152" s="55" t="s">
        <v>3601</v>
      </c>
      <c r="E4152" s="90" t="s">
        <v>3581</v>
      </c>
      <c r="G4152" s="55" t="s">
        <v>3582</v>
      </c>
      <c r="H4152" s="55">
        <v>2011</v>
      </c>
      <c r="I4152" s="55">
        <v>2009</v>
      </c>
      <c r="J4152" s="55" t="s">
        <v>2660</v>
      </c>
      <c r="K4152" s="55" t="s">
        <v>3584</v>
      </c>
      <c r="L4152" s="55" t="s">
        <v>3377</v>
      </c>
      <c r="M4152" s="90">
        <f>31+14/60</f>
        <v>31.233333333333334</v>
      </c>
      <c r="N4152" s="90">
        <f>119+53/60</f>
        <v>119.88333333333334</v>
      </c>
      <c r="O4152" s="90">
        <v>6.9</v>
      </c>
      <c r="Q4152" s="55">
        <v>15.7</v>
      </c>
      <c r="U4152" s="55" t="s">
        <v>1805</v>
      </c>
      <c r="V4152" s="55" t="s">
        <v>1805</v>
      </c>
      <c r="Y4152" s="55" t="s">
        <v>3583</v>
      </c>
      <c r="Z4152" s="55" t="s">
        <v>1350</v>
      </c>
      <c r="AD4152" s="90">
        <v>1.44</v>
      </c>
      <c r="AI4152" s="168">
        <v>5.6</v>
      </c>
      <c r="AJ4152" s="90">
        <v>2.4900000000000002</v>
      </c>
      <c r="AM4152" s="55" t="s">
        <v>3585</v>
      </c>
      <c r="AN4152" s="185" t="s">
        <v>770</v>
      </c>
      <c r="AO4152" s="185" t="s">
        <v>5150</v>
      </c>
      <c r="AQ4152" s="55" t="s">
        <v>1545</v>
      </c>
      <c r="AR4152" s="55" t="s">
        <v>3469</v>
      </c>
      <c r="AS4152" s="55" t="s">
        <v>227</v>
      </c>
      <c r="AU4152" s="181" t="s">
        <v>7494</v>
      </c>
      <c r="AV4152" s="185" t="s">
        <v>176</v>
      </c>
      <c r="AX4152" s="185" t="s">
        <v>176</v>
      </c>
      <c r="BE4152" s="226" t="s">
        <v>3592</v>
      </c>
      <c r="BF4152" s="191" t="s">
        <v>176</v>
      </c>
      <c r="BG4152" s="191" t="s">
        <v>176</v>
      </c>
      <c r="BH4152" s="226" t="s">
        <v>3592</v>
      </c>
      <c r="BI4152" s="191" t="s">
        <v>176</v>
      </c>
      <c r="BJ4152" s="55" t="s">
        <v>176</v>
      </c>
      <c r="BK4152" s="55" t="s">
        <v>5976</v>
      </c>
      <c r="BM4152" s="192" t="s">
        <v>160</v>
      </c>
      <c r="BN4152" s="55">
        <v>4</v>
      </c>
      <c r="BO4152" s="55">
        <v>4</v>
      </c>
      <c r="BS4152" s="55">
        <v>1300</v>
      </c>
      <c r="BT4152" s="55">
        <f>(BS4152*(1-1.3%))/(BS4152*(1.3%))</f>
        <v>75.923076923076906</v>
      </c>
      <c r="BU4152" s="55" t="s">
        <v>3586</v>
      </c>
      <c r="BV4152" s="55" t="s">
        <v>3620</v>
      </c>
      <c r="DB4152" s="65">
        <v>3</v>
      </c>
      <c r="DC4152" s="65">
        <v>3</v>
      </c>
      <c r="DF4152" s="65" t="s">
        <v>3619</v>
      </c>
      <c r="GP4152" s="292" t="s">
        <v>7494</v>
      </c>
      <c r="JU4152" s="55" t="s">
        <v>3621</v>
      </c>
      <c r="JV4152" s="55" t="s">
        <v>3623</v>
      </c>
    </row>
    <row r="4153" spans="1:282" x14ac:dyDescent="0.25">
      <c r="A4153" s="55">
        <v>4152</v>
      </c>
      <c r="B4153" s="12" t="s">
        <v>7067</v>
      </c>
      <c r="C4153" s="155">
        <v>183</v>
      </c>
      <c r="D4153" s="55" t="s">
        <v>3602</v>
      </c>
      <c r="E4153" s="90" t="s">
        <v>3581</v>
      </c>
      <c r="G4153" s="55" t="s">
        <v>3582</v>
      </c>
      <c r="H4153" s="55">
        <v>2011</v>
      </c>
      <c r="I4153" s="55">
        <v>2009</v>
      </c>
      <c r="J4153" s="55" t="s">
        <v>2660</v>
      </c>
      <c r="K4153" s="55" t="s">
        <v>3584</v>
      </c>
      <c r="L4153" s="55" t="s">
        <v>3377</v>
      </c>
      <c r="M4153" s="90">
        <f>31+14/60</f>
        <v>31.233333333333334</v>
      </c>
      <c r="N4153" s="90">
        <f>119+53/60</f>
        <v>119.88333333333334</v>
      </c>
      <c r="O4153" s="90">
        <v>6.9</v>
      </c>
      <c r="Q4153" s="55">
        <v>15.7</v>
      </c>
      <c r="U4153" s="55" t="s">
        <v>1805</v>
      </c>
      <c r="V4153" s="55" t="s">
        <v>1805</v>
      </c>
      <c r="Y4153" s="55" t="s">
        <v>3583</v>
      </c>
      <c r="Z4153" s="55" t="s">
        <v>3598</v>
      </c>
      <c r="AD4153" s="90">
        <v>1.44</v>
      </c>
      <c r="AI4153" s="168">
        <v>5.6</v>
      </c>
      <c r="AJ4153" s="90">
        <v>2.4900000000000002</v>
      </c>
      <c r="AM4153" s="55" t="s">
        <v>3585</v>
      </c>
      <c r="AN4153" s="185" t="s">
        <v>770</v>
      </c>
      <c r="AO4153" s="185" t="s">
        <v>5150</v>
      </c>
      <c r="AQ4153" s="55" t="s">
        <v>1545</v>
      </c>
      <c r="AR4153" s="55" t="s">
        <v>3469</v>
      </c>
      <c r="AS4153" s="55" t="s">
        <v>227</v>
      </c>
      <c r="AU4153" s="181" t="s">
        <v>7494</v>
      </c>
      <c r="AV4153" s="185" t="s">
        <v>176</v>
      </c>
      <c r="AX4153" s="185" t="s">
        <v>176</v>
      </c>
      <c r="BE4153" s="226" t="s">
        <v>3592</v>
      </c>
      <c r="BF4153" s="191" t="s">
        <v>176</v>
      </c>
      <c r="BG4153" s="191" t="s">
        <v>176</v>
      </c>
      <c r="BH4153" s="226" t="s">
        <v>3592</v>
      </c>
      <c r="BI4153" s="191" t="s">
        <v>176</v>
      </c>
      <c r="BJ4153" s="55" t="s">
        <v>176</v>
      </c>
      <c r="BK4153" s="55" t="s">
        <v>5976</v>
      </c>
      <c r="BM4153" s="192" t="s">
        <v>160</v>
      </c>
      <c r="BN4153" s="55">
        <v>4</v>
      </c>
      <c r="BO4153" s="55">
        <v>4</v>
      </c>
      <c r="BS4153" s="55">
        <v>1300</v>
      </c>
      <c r="BT4153" s="55">
        <f>(BS4153*(1-1.3%))/(BS4153*(1.3%))</f>
        <v>75.923076923076906</v>
      </c>
      <c r="BU4153" s="55" t="s">
        <v>3586</v>
      </c>
      <c r="BV4153" s="55" t="s">
        <v>3620</v>
      </c>
      <c r="DB4153" s="65">
        <v>2</v>
      </c>
      <c r="DC4153" s="65">
        <v>2</v>
      </c>
      <c r="DF4153" s="65" t="s">
        <v>3619</v>
      </c>
      <c r="GP4153" s="292" t="s">
        <v>7494</v>
      </c>
      <c r="JU4153" s="55" t="s">
        <v>3621</v>
      </c>
      <c r="JV4153" s="55" t="s">
        <v>3623</v>
      </c>
    </row>
    <row r="4154" spans="1:282" x14ac:dyDescent="0.25">
      <c r="A4154" s="55">
        <v>4153</v>
      </c>
      <c r="B4154" s="12" t="s">
        <v>7067</v>
      </c>
      <c r="C4154" s="155">
        <v>183</v>
      </c>
      <c r="D4154" s="55" t="s">
        <v>3603</v>
      </c>
      <c r="E4154" s="90" t="s">
        <v>3581</v>
      </c>
      <c r="G4154" s="55" t="s">
        <v>3582</v>
      </c>
      <c r="H4154" s="55">
        <v>2011</v>
      </c>
      <c r="I4154" s="55">
        <v>2008</v>
      </c>
      <c r="J4154" s="55" t="s">
        <v>2660</v>
      </c>
      <c r="K4154" s="55" t="s">
        <v>3584</v>
      </c>
      <c r="L4154" s="55" t="s">
        <v>3377</v>
      </c>
      <c r="M4154" s="90">
        <f>31+14/60</f>
        <v>31.233333333333334</v>
      </c>
      <c r="N4154" s="90">
        <f>119+53/60</f>
        <v>119.88333333333334</v>
      </c>
      <c r="O4154" s="90">
        <v>6.9</v>
      </c>
      <c r="Q4154" s="55">
        <v>15.7</v>
      </c>
      <c r="U4154" s="55" t="s">
        <v>1935</v>
      </c>
      <c r="V4154" s="55" t="s">
        <v>1805</v>
      </c>
      <c r="Y4154" s="55" t="s">
        <v>3583</v>
      </c>
      <c r="Z4154" s="55" t="s">
        <v>1355</v>
      </c>
      <c r="AD4154" s="90">
        <v>1.44</v>
      </c>
      <c r="AI4154" s="168">
        <v>5.6</v>
      </c>
      <c r="AJ4154" s="90">
        <v>2.4900000000000002</v>
      </c>
      <c r="AM4154" s="55" t="s">
        <v>3585</v>
      </c>
      <c r="AN4154" s="185" t="s">
        <v>770</v>
      </c>
      <c r="AO4154" s="185" t="s">
        <v>5150</v>
      </c>
      <c r="AQ4154" s="55" t="s">
        <v>1545</v>
      </c>
      <c r="AR4154" s="55" t="s">
        <v>3469</v>
      </c>
      <c r="AS4154" s="55" t="s">
        <v>227</v>
      </c>
      <c r="AU4154" s="181" t="s">
        <v>7494</v>
      </c>
      <c r="AV4154" s="185" t="s">
        <v>176</v>
      </c>
      <c r="AX4154" s="185" t="s">
        <v>176</v>
      </c>
      <c r="BE4154" s="226" t="s">
        <v>3593</v>
      </c>
      <c r="BF4154" s="191" t="s">
        <v>479</v>
      </c>
      <c r="BG4154" s="191" t="s">
        <v>479</v>
      </c>
      <c r="BH4154" s="226" t="s">
        <v>3593</v>
      </c>
      <c r="BI4154" s="191" t="s">
        <v>479</v>
      </c>
      <c r="BJ4154" s="55" t="s">
        <v>176</v>
      </c>
      <c r="BK4154" s="55" t="s">
        <v>5976</v>
      </c>
      <c r="BM4154" s="192" t="s">
        <v>160</v>
      </c>
      <c r="BN4154" s="55">
        <v>4</v>
      </c>
      <c r="BO4154" s="55">
        <v>4</v>
      </c>
      <c r="BS4154" s="55">
        <v>1200</v>
      </c>
      <c r="BT4154" s="55">
        <f>(BS4154*(1-2.4%))/(BS4154*(2.4%))</f>
        <v>40.666666666666664</v>
      </c>
      <c r="BU4154" s="55" t="s">
        <v>3586</v>
      </c>
      <c r="BV4154" s="55" t="s">
        <v>3620</v>
      </c>
      <c r="DB4154" s="65">
        <v>95</v>
      </c>
      <c r="DC4154" s="65">
        <v>95</v>
      </c>
      <c r="DF4154" s="65" t="s">
        <v>3619</v>
      </c>
      <c r="FT4154" s="65">
        <v>38</v>
      </c>
      <c r="FU4154" s="65">
        <v>22</v>
      </c>
      <c r="FV4154" s="65">
        <v>5</v>
      </c>
      <c r="FW4154" s="65">
        <v>5</v>
      </c>
      <c r="FX4154" s="65" t="s">
        <v>3622</v>
      </c>
      <c r="GP4154" s="292" t="s">
        <v>7494</v>
      </c>
      <c r="JU4154" s="55" t="s">
        <v>3621</v>
      </c>
      <c r="JV4154" s="55" t="s">
        <v>3623</v>
      </c>
    </row>
    <row r="4155" spans="1:282" x14ac:dyDescent="0.25">
      <c r="A4155" s="55">
        <v>4154</v>
      </c>
      <c r="B4155" s="12" t="s">
        <v>7067</v>
      </c>
      <c r="C4155" s="155">
        <v>183</v>
      </c>
      <c r="D4155" s="55" t="s">
        <v>3604</v>
      </c>
      <c r="E4155" s="90" t="s">
        <v>3581</v>
      </c>
      <c r="G4155" s="55" t="s">
        <v>3582</v>
      </c>
      <c r="H4155" s="55">
        <v>2011</v>
      </c>
      <c r="I4155" s="55">
        <v>2008</v>
      </c>
      <c r="J4155" s="55" t="s">
        <v>2660</v>
      </c>
      <c r="K4155" s="55" t="s">
        <v>3584</v>
      </c>
      <c r="L4155" s="55" t="s">
        <v>3377</v>
      </c>
      <c r="M4155" s="90">
        <f>31+14/60</f>
        <v>31.233333333333334</v>
      </c>
      <c r="N4155" s="90">
        <f>119+53/60</f>
        <v>119.88333333333334</v>
      </c>
      <c r="O4155" s="90">
        <v>6.9</v>
      </c>
      <c r="Q4155" s="55">
        <v>15.7</v>
      </c>
      <c r="U4155" s="55" t="s">
        <v>1935</v>
      </c>
      <c r="V4155" s="55" t="s">
        <v>1805</v>
      </c>
      <c r="Y4155" s="55" t="s">
        <v>3583</v>
      </c>
      <c r="Z4155" s="55" t="s">
        <v>1359</v>
      </c>
      <c r="AD4155" s="90">
        <v>1.44</v>
      </c>
      <c r="AI4155" s="168">
        <v>5.6</v>
      </c>
      <c r="AJ4155" s="90">
        <v>2.4900000000000002</v>
      </c>
      <c r="AM4155" s="55" t="s">
        <v>3585</v>
      </c>
      <c r="AN4155" s="185" t="s">
        <v>770</v>
      </c>
      <c r="AO4155" s="185" t="s">
        <v>5150</v>
      </c>
      <c r="AQ4155" s="55" t="s">
        <v>1545</v>
      </c>
      <c r="AR4155" s="55" t="s">
        <v>3469</v>
      </c>
      <c r="AS4155" s="55" t="s">
        <v>227</v>
      </c>
      <c r="AU4155" s="181" t="s">
        <v>7494</v>
      </c>
      <c r="AV4155" s="185" t="s">
        <v>176</v>
      </c>
      <c r="AX4155" s="185" t="s">
        <v>176</v>
      </c>
      <c r="BE4155" s="226" t="s">
        <v>3593</v>
      </c>
      <c r="BF4155" s="191" t="s">
        <v>479</v>
      </c>
      <c r="BG4155" s="191" t="s">
        <v>479</v>
      </c>
      <c r="BH4155" s="226" t="s">
        <v>3593</v>
      </c>
      <c r="BI4155" s="191" t="s">
        <v>479</v>
      </c>
      <c r="BJ4155" s="55" t="s">
        <v>176</v>
      </c>
      <c r="BK4155" s="55" t="s">
        <v>5976</v>
      </c>
      <c r="BM4155" s="192" t="s">
        <v>160</v>
      </c>
      <c r="BN4155" s="55">
        <v>4</v>
      </c>
      <c r="BO4155" s="55">
        <v>4</v>
      </c>
      <c r="BS4155" s="55">
        <v>1200</v>
      </c>
      <c r="BT4155" s="55">
        <f>(BS4155*(1-2.4%))/(BS4155*(2.4%))</f>
        <v>40.666666666666664</v>
      </c>
      <c r="BU4155" s="55" t="s">
        <v>3586</v>
      </c>
      <c r="BV4155" s="55" t="s">
        <v>3620</v>
      </c>
      <c r="DB4155" s="65">
        <v>42</v>
      </c>
      <c r="DC4155" s="65">
        <v>35</v>
      </c>
      <c r="DF4155" s="65" t="s">
        <v>3619</v>
      </c>
      <c r="GP4155" s="292" t="s">
        <v>7494</v>
      </c>
      <c r="JU4155" s="55" t="s">
        <v>3621</v>
      </c>
      <c r="JV4155" s="55" t="s">
        <v>3623</v>
      </c>
    </row>
    <row r="4156" spans="1:282" x14ac:dyDescent="0.25">
      <c r="A4156" s="55">
        <v>4155</v>
      </c>
      <c r="B4156" s="12" t="s">
        <v>7067</v>
      </c>
      <c r="C4156" s="155">
        <v>183</v>
      </c>
      <c r="D4156" s="55" t="s">
        <v>3605</v>
      </c>
      <c r="E4156" s="90" t="s">
        <v>3581</v>
      </c>
      <c r="G4156" s="55" t="s">
        <v>3582</v>
      </c>
      <c r="H4156" s="55">
        <v>2011</v>
      </c>
      <c r="I4156" s="55">
        <v>2008</v>
      </c>
      <c r="J4156" s="55" t="s">
        <v>2660</v>
      </c>
      <c r="K4156" s="55" t="s">
        <v>3584</v>
      </c>
      <c r="L4156" s="55" t="s">
        <v>3377</v>
      </c>
      <c r="M4156" s="90">
        <f>31+14/60</f>
        <v>31.233333333333334</v>
      </c>
      <c r="N4156" s="90">
        <f>119+53/60</f>
        <v>119.88333333333334</v>
      </c>
      <c r="O4156" s="90">
        <v>6.9</v>
      </c>
      <c r="Q4156" s="55">
        <v>15.7</v>
      </c>
      <c r="U4156" s="55" t="s">
        <v>1935</v>
      </c>
      <c r="V4156" s="55" t="s">
        <v>1805</v>
      </c>
      <c r="Y4156" s="55" t="s">
        <v>3583</v>
      </c>
      <c r="Z4156" s="55" t="s">
        <v>1350</v>
      </c>
      <c r="AD4156" s="90">
        <v>1.44</v>
      </c>
      <c r="AI4156" s="168">
        <v>5.6</v>
      </c>
      <c r="AJ4156" s="90">
        <v>2.4900000000000002</v>
      </c>
      <c r="AM4156" s="55" t="s">
        <v>3585</v>
      </c>
      <c r="AN4156" s="185" t="s">
        <v>770</v>
      </c>
      <c r="AO4156" s="185" t="s">
        <v>5150</v>
      </c>
      <c r="AQ4156" s="55" t="s">
        <v>1545</v>
      </c>
      <c r="AR4156" s="55" t="s">
        <v>3469</v>
      </c>
      <c r="AS4156" s="55" t="s">
        <v>227</v>
      </c>
      <c r="AU4156" s="181" t="s">
        <v>7494</v>
      </c>
      <c r="AV4156" s="185" t="s">
        <v>176</v>
      </c>
      <c r="AX4156" s="185" t="s">
        <v>176</v>
      </c>
      <c r="BE4156" s="226" t="s">
        <v>3593</v>
      </c>
      <c r="BF4156" s="191" t="s">
        <v>479</v>
      </c>
      <c r="BG4156" s="191" t="s">
        <v>479</v>
      </c>
      <c r="BH4156" s="226" t="s">
        <v>3593</v>
      </c>
      <c r="BI4156" s="191" t="s">
        <v>479</v>
      </c>
      <c r="BJ4156" s="55" t="s">
        <v>176</v>
      </c>
      <c r="BK4156" s="55" t="s">
        <v>5976</v>
      </c>
      <c r="BM4156" s="192" t="s">
        <v>160</v>
      </c>
      <c r="BN4156" s="55">
        <v>4</v>
      </c>
      <c r="BO4156" s="55">
        <v>4</v>
      </c>
      <c r="BS4156" s="55">
        <v>1200</v>
      </c>
      <c r="BT4156" s="55">
        <f>(BS4156*(1-2.4%))/(BS4156*(2.4%))</f>
        <v>40.666666666666664</v>
      </c>
      <c r="BU4156" s="55" t="s">
        <v>3586</v>
      </c>
      <c r="BV4156" s="55" t="s">
        <v>3620</v>
      </c>
      <c r="DB4156" s="65">
        <v>10</v>
      </c>
      <c r="DC4156" s="65">
        <v>14</v>
      </c>
      <c r="DF4156" s="65" t="s">
        <v>3619</v>
      </c>
      <c r="GP4156" s="292" t="s">
        <v>7494</v>
      </c>
      <c r="JU4156" s="55" t="s">
        <v>3621</v>
      </c>
      <c r="JV4156" s="55" t="s">
        <v>3623</v>
      </c>
    </row>
    <row r="4157" spans="1:282" x14ac:dyDescent="0.25">
      <c r="A4157" s="55">
        <v>4156</v>
      </c>
      <c r="B4157" s="12" t="s">
        <v>7067</v>
      </c>
      <c r="C4157" s="155">
        <v>183</v>
      </c>
      <c r="D4157" s="55" t="s">
        <v>3606</v>
      </c>
      <c r="E4157" s="90" t="s">
        <v>3581</v>
      </c>
      <c r="G4157" s="55" t="s">
        <v>3582</v>
      </c>
      <c r="H4157" s="55">
        <v>2011</v>
      </c>
      <c r="I4157" s="55">
        <v>2008</v>
      </c>
      <c r="J4157" s="55" t="s">
        <v>2660</v>
      </c>
      <c r="K4157" s="55" t="s">
        <v>3584</v>
      </c>
      <c r="L4157" s="55" t="s">
        <v>3377</v>
      </c>
      <c r="M4157" s="90">
        <f>31+14/60</f>
        <v>31.233333333333334</v>
      </c>
      <c r="N4157" s="90">
        <f>119+53/60</f>
        <v>119.88333333333334</v>
      </c>
      <c r="O4157" s="90">
        <v>6.9</v>
      </c>
      <c r="Q4157" s="55">
        <v>15.7</v>
      </c>
      <c r="U4157" s="55" t="s">
        <v>1935</v>
      </c>
      <c r="V4157" s="55" t="s">
        <v>1805</v>
      </c>
      <c r="Y4157" s="55" t="s">
        <v>3583</v>
      </c>
      <c r="Z4157" s="55" t="s">
        <v>3598</v>
      </c>
      <c r="AD4157" s="90">
        <v>1.44</v>
      </c>
      <c r="AI4157" s="168">
        <v>5.6</v>
      </c>
      <c r="AJ4157" s="90">
        <v>2.4900000000000002</v>
      </c>
      <c r="AM4157" s="55" t="s">
        <v>3585</v>
      </c>
      <c r="AN4157" s="185" t="s">
        <v>770</v>
      </c>
      <c r="AO4157" s="185" t="s">
        <v>5150</v>
      </c>
      <c r="AQ4157" s="55" t="s">
        <v>1545</v>
      </c>
      <c r="AR4157" s="55" t="s">
        <v>3469</v>
      </c>
      <c r="AS4157" s="55" t="s">
        <v>227</v>
      </c>
      <c r="AU4157" s="181" t="s">
        <v>7494</v>
      </c>
      <c r="AV4157" s="185" t="s">
        <v>176</v>
      </c>
      <c r="AX4157" s="185" t="s">
        <v>176</v>
      </c>
      <c r="BE4157" s="226" t="s">
        <v>3593</v>
      </c>
      <c r="BF4157" s="191" t="s">
        <v>479</v>
      </c>
      <c r="BG4157" s="191" t="s">
        <v>479</v>
      </c>
      <c r="BH4157" s="226" t="s">
        <v>3593</v>
      </c>
      <c r="BI4157" s="191" t="s">
        <v>479</v>
      </c>
      <c r="BJ4157" s="55" t="s">
        <v>176</v>
      </c>
      <c r="BK4157" s="55" t="s">
        <v>5976</v>
      </c>
      <c r="BM4157" s="192" t="s">
        <v>160</v>
      </c>
      <c r="BN4157" s="55">
        <v>4</v>
      </c>
      <c r="BO4157" s="55">
        <v>4</v>
      </c>
      <c r="BS4157" s="55">
        <v>1200</v>
      </c>
      <c r="BT4157" s="55">
        <f>(BS4157*(1-2.4%))/(BS4157*(2.4%))</f>
        <v>40.666666666666664</v>
      </c>
      <c r="BU4157" s="55" t="s">
        <v>3586</v>
      </c>
      <c r="BV4157" s="55" t="s">
        <v>3620</v>
      </c>
      <c r="DB4157" s="65">
        <v>5</v>
      </c>
      <c r="DC4157" s="65">
        <v>7</v>
      </c>
      <c r="DF4157" s="65" t="s">
        <v>3619</v>
      </c>
      <c r="GP4157" s="292" t="s">
        <v>7494</v>
      </c>
      <c r="JU4157" s="55" t="s">
        <v>3621</v>
      </c>
      <c r="JV4157" s="55" t="s">
        <v>3623</v>
      </c>
    </row>
    <row r="4158" spans="1:282" x14ac:dyDescent="0.25">
      <c r="A4158" s="55">
        <v>4157</v>
      </c>
      <c r="B4158" s="12" t="s">
        <v>7067</v>
      </c>
      <c r="C4158" s="155">
        <v>183</v>
      </c>
      <c r="D4158" s="55" t="s">
        <v>3603</v>
      </c>
      <c r="E4158" s="90" t="s">
        <v>3581</v>
      </c>
      <c r="G4158" s="55" t="s">
        <v>3582</v>
      </c>
      <c r="H4158" s="55">
        <v>2011</v>
      </c>
      <c r="I4158" s="55">
        <v>2009</v>
      </c>
      <c r="J4158" s="55" t="s">
        <v>2660</v>
      </c>
      <c r="K4158" s="55" t="s">
        <v>3584</v>
      </c>
      <c r="L4158" s="55" t="s">
        <v>3377</v>
      </c>
      <c r="M4158" s="90">
        <f>31+14/60</f>
        <v>31.233333333333334</v>
      </c>
      <c r="N4158" s="90">
        <f>119+53/60</f>
        <v>119.88333333333334</v>
      </c>
      <c r="O4158" s="90">
        <v>6.9</v>
      </c>
      <c r="Q4158" s="55">
        <v>15.7</v>
      </c>
      <c r="U4158" s="55" t="s">
        <v>1805</v>
      </c>
      <c r="V4158" s="55" t="s">
        <v>1805</v>
      </c>
      <c r="Y4158" s="55" t="s">
        <v>3583</v>
      </c>
      <c r="Z4158" s="55" t="s">
        <v>1355</v>
      </c>
      <c r="AD4158" s="90">
        <v>1.44</v>
      </c>
      <c r="AI4158" s="168">
        <v>5.6</v>
      </c>
      <c r="AJ4158" s="90">
        <v>2.4900000000000002</v>
      </c>
      <c r="AM4158" s="55" t="s">
        <v>3585</v>
      </c>
      <c r="AN4158" s="185" t="s">
        <v>770</v>
      </c>
      <c r="AO4158" s="185" t="s">
        <v>5150</v>
      </c>
      <c r="AQ4158" s="55" t="s">
        <v>1545</v>
      </c>
      <c r="AR4158" s="55" t="s">
        <v>3469</v>
      </c>
      <c r="AS4158" s="55" t="s">
        <v>227</v>
      </c>
      <c r="AU4158" s="181" t="s">
        <v>7494</v>
      </c>
      <c r="AV4158" s="185" t="s">
        <v>176</v>
      </c>
      <c r="AX4158" s="185" t="s">
        <v>176</v>
      </c>
      <c r="BE4158" s="226" t="s">
        <v>3593</v>
      </c>
      <c r="BF4158" s="191" t="s">
        <v>479</v>
      </c>
      <c r="BG4158" s="191" t="s">
        <v>479</v>
      </c>
      <c r="BH4158" s="226" t="s">
        <v>3593</v>
      </c>
      <c r="BI4158" s="191" t="s">
        <v>479</v>
      </c>
      <c r="BJ4158" s="55" t="s">
        <v>176</v>
      </c>
      <c r="BK4158" s="55" t="s">
        <v>5976</v>
      </c>
      <c r="BM4158" s="192" t="s">
        <v>160</v>
      </c>
      <c r="BN4158" s="55">
        <v>4</v>
      </c>
      <c r="BO4158" s="55">
        <v>4</v>
      </c>
      <c r="BS4158" s="55">
        <v>2400</v>
      </c>
      <c r="BT4158" s="55">
        <f>(BS4158*(1-2.3%))/(BS4158*(2.3%))</f>
        <v>42.478260869565219</v>
      </c>
      <c r="BU4158" s="55" t="s">
        <v>3586</v>
      </c>
      <c r="BV4158" s="55" t="s">
        <v>3620</v>
      </c>
      <c r="DB4158" s="65">
        <v>83</v>
      </c>
      <c r="DC4158" s="65">
        <v>17</v>
      </c>
      <c r="DF4158" s="65" t="s">
        <v>3619</v>
      </c>
      <c r="FT4158" s="65">
        <v>24</v>
      </c>
      <c r="FU4158" s="65">
        <v>19</v>
      </c>
      <c r="FV4158" s="65">
        <v>6</v>
      </c>
      <c r="FW4158" s="65">
        <v>5</v>
      </c>
      <c r="FX4158" s="65" t="s">
        <v>3622</v>
      </c>
      <c r="GP4158" s="292" t="s">
        <v>7494</v>
      </c>
      <c r="JU4158" s="55" t="s">
        <v>3621</v>
      </c>
      <c r="JV4158" s="55" t="s">
        <v>3623</v>
      </c>
    </row>
    <row r="4159" spans="1:282" x14ac:dyDescent="0.25">
      <c r="A4159" s="55">
        <v>4158</v>
      </c>
      <c r="B4159" s="12" t="s">
        <v>7067</v>
      </c>
      <c r="C4159" s="155">
        <v>183</v>
      </c>
      <c r="D4159" s="55" t="s">
        <v>3604</v>
      </c>
      <c r="E4159" s="90" t="s">
        <v>3581</v>
      </c>
      <c r="G4159" s="55" t="s">
        <v>3582</v>
      </c>
      <c r="H4159" s="55">
        <v>2011</v>
      </c>
      <c r="I4159" s="55">
        <v>2009</v>
      </c>
      <c r="J4159" s="55" t="s">
        <v>2660</v>
      </c>
      <c r="K4159" s="55" t="s">
        <v>3584</v>
      </c>
      <c r="L4159" s="55" t="s">
        <v>3377</v>
      </c>
      <c r="M4159" s="90">
        <f>31+14/60</f>
        <v>31.233333333333334</v>
      </c>
      <c r="N4159" s="90">
        <f>119+53/60</f>
        <v>119.88333333333334</v>
      </c>
      <c r="O4159" s="90">
        <v>6.9</v>
      </c>
      <c r="Q4159" s="55">
        <v>15.7</v>
      </c>
      <c r="U4159" s="55" t="s">
        <v>1805</v>
      </c>
      <c r="V4159" s="55" t="s">
        <v>1805</v>
      </c>
      <c r="Y4159" s="55" t="s">
        <v>3583</v>
      </c>
      <c r="Z4159" s="55" t="s">
        <v>1359</v>
      </c>
      <c r="AD4159" s="90">
        <v>1.44</v>
      </c>
      <c r="AI4159" s="168">
        <v>5.6</v>
      </c>
      <c r="AJ4159" s="90">
        <v>2.4900000000000002</v>
      </c>
      <c r="AM4159" s="55" t="s">
        <v>3585</v>
      </c>
      <c r="AN4159" s="185" t="s">
        <v>770</v>
      </c>
      <c r="AO4159" s="185" t="s">
        <v>5150</v>
      </c>
      <c r="AQ4159" s="55" t="s">
        <v>1545</v>
      </c>
      <c r="AR4159" s="55" t="s">
        <v>3469</v>
      </c>
      <c r="AS4159" s="55" t="s">
        <v>227</v>
      </c>
      <c r="AU4159" s="181" t="s">
        <v>7494</v>
      </c>
      <c r="AV4159" s="185" t="s">
        <v>176</v>
      </c>
      <c r="AX4159" s="185" t="s">
        <v>176</v>
      </c>
      <c r="BE4159" s="226" t="s">
        <v>3593</v>
      </c>
      <c r="BF4159" s="191" t="s">
        <v>479</v>
      </c>
      <c r="BG4159" s="191" t="s">
        <v>479</v>
      </c>
      <c r="BH4159" s="226" t="s">
        <v>3593</v>
      </c>
      <c r="BI4159" s="191" t="s">
        <v>479</v>
      </c>
      <c r="BJ4159" s="55" t="s">
        <v>176</v>
      </c>
      <c r="BK4159" s="55" t="s">
        <v>5976</v>
      </c>
      <c r="BM4159" s="192" t="s">
        <v>160</v>
      </c>
      <c r="BN4159" s="55">
        <v>4</v>
      </c>
      <c r="BO4159" s="55">
        <v>4</v>
      </c>
      <c r="BS4159" s="55">
        <v>2400</v>
      </c>
      <c r="BT4159" s="55">
        <f>(BS4159*(1-2.3%))/(BS4159*(2.3%))</f>
        <v>42.478260869565219</v>
      </c>
      <c r="BU4159" s="55" t="s">
        <v>3586</v>
      </c>
      <c r="BV4159" s="55" t="s">
        <v>3620</v>
      </c>
      <c r="DB4159" s="65">
        <v>17</v>
      </c>
      <c r="DC4159" s="65">
        <v>18</v>
      </c>
      <c r="DF4159" s="65" t="s">
        <v>3619</v>
      </c>
      <c r="GP4159" s="292" t="s">
        <v>7494</v>
      </c>
      <c r="JU4159" s="55" t="s">
        <v>3621</v>
      </c>
      <c r="JV4159" s="55" t="s">
        <v>3623</v>
      </c>
    </row>
    <row r="4160" spans="1:282" x14ac:dyDescent="0.25">
      <c r="A4160" s="55">
        <v>4159</v>
      </c>
      <c r="B4160" s="12" t="s">
        <v>7067</v>
      </c>
      <c r="C4160" s="155">
        <v>183</v>
      </c>
      <c r="D4160" s="55" t="s">
        <v>3605</v>
      </c>
      <c r="E4160" s="90" t="s">
        <v>3581</v>
      </c>
      <c r="G4160" s="55" t="s">
        <v>3582</v>
      </c>
      <c r="H4160" s="55">
        <v>2011</v>
      </c>
      <c r="I4160" s="55">
        <v>2009</v>
      </c>
      <c r="J4160" s="55" t="s">
        <v>2660</v>
      </c>
      <c r="K4160" s="55" t="s">
        <v>3584</v>
      </c>
      <c r="L4160" s="55" t="s">
        <v>3377</v>
      </c>
      <c r="M4160" s="90">
        <f>31+14/60</f>
        <v>31.233333333333334</v>
      </c>
      <c r="N4160" s="90">
        <f>119+53/60</f>
        <v>119.88333333333334</v>
      </c>
      <c r="O4160" s="90">
        <v>6.9</v>
      </c>
      <c r="Q4160" s="55">
        <v>15.7</v>
      </c>
      <c r="U4160" s="55" t="s">
        <v>1805</v>
      </c>
      <c r="V4160" s="55" t="s">
        <v>1805</v>
      </c>
      <c r="Y4160" s="55" t="s">
        <v>3583</v>
      </c>
      <c r="Z4160" s="55" t="s">
        <v>1350</v>
      </c>
      <c r="AD4160" s="90">
        <v>1.44</v>
      </c>
      <c r="AI4160" s="168">
        <v>5.6</v>
      </c>
      <c r="AJ4160" s="90">
        <v>2.4900000000000002</v>
      </c>
      <c r="AM4160" s="55" t="s">
        <v>3585</v>
      </c>
      <c r="AN4160" s="185" t="s">
        <v>770</v>
      </c>
      <c r="AO4160" s="185" t="s">
        <v>5150</v>
      </c>
      <c r="AQ4160" s="55" t="s">
        <v>1545</v>
      </c>
      <c r="AR4160" s="55" t="s">
        <v>3469</v>
      </c>
      <c r="AS4160" s="55" t="s">
        <v>227</v>
      </c>
      <c r="AU4160" s="181" t="s">
        <v>7494</v>
      </c>
      <c r="AV4160" s="185" t="s">
        <v>176</v>
      </c>
      <c r="AX4160" s="185" t="s">
        <v>176</v>
      </c>
      <c r="BE4160" s="226" t="s">
        <v>3593</v>
      </c>
      <c r="BF4160" s="191" t="s">
        <v>479</v>
      </c>
      <c r="BG4160" s="191" t="s">
        <v>479</v>
      </c>
      <c r="BH4160" s="226" t="s">
        <v>3593</v>
      </c>
      <c r="BI4160" s="191" t="s">
        <v>479</v>
      </c>
      <c r="BJ4160" s="55" t="s">
        <v>176</v>
      </c>
      <c r="BK4160" s="55" t="s">
        <v>5976</v>
      </c>
      <c r="BM4160" s="192" t="s">
        <v>160</v>
      </c>
      <c r="BN4160" s="55">
        <v>4</v>
      </c>
      <c r="BO4160" s="55">
        <v>4</v>
      </c>
      <c r="BS4160" s="55">
        <v>2400</v>
      </c>
      <c r="BT4160" s="55">
        <f>(BS4160*(1-2.3%))/(BS4160*(2.3%))</f>
        <v>42.478260869565219</v>
      </c>
      <c r="BU4160" s="55" t="s">
        <v>3586</v>
      </c>
      <c r="BV4160" s="55" t="s">
        <v>3620</v>
      </c>
      <c r="DB4160" s="65">
        <v>7</v>
      </c>
      <c r="DC4160" s="65">
        <v>11</v>
      </c>
      <c r="DF4160" s="65" t="s">
        <v>3619</v>
      </c>
      <c r="GP4160" s="292" t="s">
        <v>7494</v>
      </c>
      <c r="JU4160" s="55" t="s">
        <v>3621</v>
      </c>
      <c r="JV4160" s="55" t="s">
        <v>3623</v>
      </c>
    </row>
    <row r="4161" spans="1:282" x14ac:dyDescent="0.25">
      <c r="A4161" s="55">
        <v>4160</v>
      </c>
      <c r="B4161" s="12" t="s">
        <v>7067</v>
      </c>
      <c r="C4161" s="155">
        <v>183</v>
      </c>
      <c r="D4161" s="55" t="s">
        <v>3606</v>
      </c>
      <c r="E4161" s="90" t="s">
        <v>3581</v>
      </c>
      <c r="G4161" s="55" t="s">
        <v>3582</v>
      </c>
      <c r="H4161" s="55">
        <v>2011</v>
      </c>
      <c r="I4161" s="55">
        <v>2009</v>
      </c>
      <c r="J4161" s="55" t="s">
        <v>2660</v>
      </c>
      <c r="K4161" s="55" t="s">
        <v>3584</v>
      </c>
      <c r="L4161" s="55" t="s">
        <v>3377</v>
      </c>
      <c r="M4161" s="90">
        <f>31+14/60</f>
        <v>31.233333333333334</v>
      </c>
      <c r="N4161" s="90">
        <f>119+53/60</f>
        <v>119.88333333333334</v>
      </c>
      <c r="O4161" s="90">
        <v>6.9</v>
      </c>
      <c r="Q4161" s="55">
        <v>15.7</v>
      </c>
      <c r="U4161" s="55" t="s">
        <v>1805</v>
      </c>
      <c r="V4161" s="55" t="s">
        <v>1805</v>
      </c>
      <c r="Y4161" s="55" t="s">
        <v>3583</v>
      </c>
      <c r="Z4161" s="55" t="s">
        <v>3598</v>
      </c>
      <c r="AD4161" s="90">
        <v>1.44</v>
      </c>
      <c r="AI4161" s="168">
        <v>5.6</v>
      </c>
      <c r="AJ4161" s="90">
        <v>2.4900000000000002</v>
      </c>
      <c r="AM4161" s="55" t="s">
        <v>3585</v>
      </c>
      <c r="AN4161" s="185" t="s">
        <v>770</v>
      </c>
      <c r="AO4161" s="185" t="s">
        <v>5150</v>
      </c>
      <c r="AQ4161" s="55" t="s">
        <v>1545</v>
      </c>
      <c r="AR4161" s="55" t="s">
        <v>3469</v>
      </c>
      <c r="AS4161" s="55" t="s">
        <v>227</v>
      </c>
      <c r="AU4161" s="181" t="s">
        <v>7494</v>
      </c>
      <c r="AV4161" s="185" t="s">
        <v>176</v>
      </c>
      <c r="AX4161" s="185" t="s">
        <v>176</v>
      </c>
      <c r="BE4161" s="226" t="s">
        <v>3593</v>
      </c>
      <c r="BF4161" s="191" t="s">
        <v>479</v>
      </c>
      <c r="BG4161" s="191" t="s">
        <v>479</v>
      </c>
      <c r="BH4161" s="226" t="s">
        <v>3593</v>
      </c>
      <c r="BI4161" s="191" t="s">
        <v>479</v>
      </c>
      <c r="BJ4161" s="55" t="s">
        <v>176</v>
      </c>
      <c r="BK4161" s="55" t="s">
        <v>5976</v>
      </c>
      <c r="BM4161" s="192" t="s">
        <v>160</v>
      </c>
      <c r="BN4161" s="55">
        <v>4</v>
      </c>
      <c r="BO4161" s="55">
        <v>4</v>
      </c>
      <c r="BS4161" s="55">
        <v>2400</v>
      </c>
      <c r="BT4161" s="55">
        <f>(BS4161*(1-2.3%))/(BS4161*(2.3%))</f>
        <v>42.478260869565219</v>
      </c>
      <c r="BU4161" s="55" t="s">
        <v>3586</v>
      </c>
      <c r="BV4161" s="55" t="s">
        <v>3620</v>
      </c>
      <c r="DB4161" s="65">
        <v>3</v>
      </c>
      <c r="DC4161" s="65">
        <v>3</v>
      </c>
      <c r="DF4161" s="65" t="s">
        <v>3619</v>
      </c>
      <c r="GP4161" s="292" t="s">
        <v>7494</v>
      </c>
      <c r="JU4161" s="55" t="s">
        <v>3621</v>
      </c>
      <c r="JV4161" s="55" t="s">
        <v>3623</v>
      </c>
    </row>
    <row r="4162" spans="1:282" x14ac:dyDescent="0.25">
      <c r="A4162" s="55">
        <v>4161</v>
      </c>
      <c r="B4162" s="12" t="s">
        <v>7067</v>
      </c>
      <c r="C4162" s="155">
        <v>183</v>
      </c>
      <c r="D4162" s="55" t="s">
        <v>3607</v>
      </c>
      <c r="E4162" s="90" t="s">
        <v>3581</v>
      </c>
      <c r="G4162" s="55" t="s">
        <v>3582</v>
      </c>
      <c r="H4162" s="55">
        <v>2011</v>
      </c>
      <c r="I4162" s="55">
        <v>2008</v>
      </c>
      <c r="J4162" s="55" t="s">
        <v>2660</v>
      </c>
      <c r="K4162" s="55" t="s">
        <v>3584</v>
      </c>
      <c r="L4162" s="55" t="s">
        <v>3377</v>
      </c>
      <c r="M4162" s="90">
        <f>31+14/60</f>
        <v>31.233333333333334</v>
      </c>
      <c r="N4162" s="90">
        <f>119+53/60</f>
        <v>119.88333333333334</v>
      </c>
      <c r="O4162" s="90">
        <v>6.9</v>
      </c>
      <c r="Q4162" s="55">
        <v>15.7</v>
      </c>
      <c r="U4162" s="55" t="s">
        <v>1935</v>
      </c>
      <c r="V4162" s="55" t="s">
        <v>1805</v>
      </c>
      <c r="Y4162" s="55" t="s">
        <v>3583</v>
      </c>
      <c r="Z4162" s="55" t="s">
        <v>1355</v>
      </c>
      <c r="AD4162" s="90">
        <v>1.44</v>
      </c>
      <c r="AI4162" s="168">
        <v>5.6</v>
      </c>
      <c r="AJ4162" s="90">
        <v>2.4900000000000002</v>
      </c>
      <c r="AM4162" s="55" t="s">
        <v>3585</v>
      </c>
      <c r="AN4162" s="185" t="s">
        <v>770</v>
      </c>
      <c r="AO4162" s="185" t="s">
        <v>5150</v>
      </c>
      <c r="AQ4162" s="55" t="s">
        <v>1545</v>
      </c>
      <c r="AR4162" s="55" t="s">
        <v>3469</v>
      </c>
      <c r="AS4162" s="55" t="s">
        <v>227</v>
      </c>
      <c r="AU4162" s="181" t="s">
        <v>7494</v>
      </c>
      <c r="AV4162" s="185" t="s">
        <v>176</v>
      </c>
      <c r="AX4162" s="185" t="s">
        <v>176</v>
      </c>
      <c r="BE4162" s="226" t="s">
        <v>3594</v>
      </c>
      <c r="BF4162" s="191" t="s">
        <v>479</v>
      </c>
      <c r="BG4162" s="191" t="s">
        <v>479</v>
      </c>
      <c r="BH4162" s="226" t="s">
        <v>3595</v>
      </c>
      <c r="BI4162" s="191" t="s">
        <v>479</v>
      </c>
      <c r="BJ4162" s="55" t="s">
        <v>176</v>
      </c>
      <c r="BK4162" s="55" t="s">
        <v>5976</v>
      </c>
      <c r="BM4162" s="192" t="s">
        <v>160</v>
      </c>
      <c r="BN4162" s="55">
        <v>4</v>
      </c>
      <c r="BO4162" s="55">
        <v>4</v>
      </c>
      <c r="BS4162" s="55">
        <v>1200</v>
      </c>
      <c r="BT4162" s="55">
        <f>(BS4162*(1-2.2%))/(BS4162*(2.2%))</f>
        <v>44.454545454545446</v>
      </c>
      <c r="BU4162" s="55" t="s">
        <v>3586</v>
      </c>
      <c r="BV4162" s="55" t="s">
        <v>3620</v>
      </c>
      <c r="DB4162" s="65">
        <v>263</v>
      </c>
      <c r="DC4162" s="65">
        <v>137</v>
      </c>
      <c r="DF4162" s="65" t="s">
        <v>3619</v>
      </c>
      <c r="FT4162" s="65">
        <v>52</v>
      </c>
      <c r="FU4162" s="65">
        <v>34</v>
      </c>
      <c r="FV4162" s="65">
        <v>9</v>
      </c>
      <c r="FW4162" s="65">
        <v>9</v>
      </c>
      <c r="FX4162" s="65" t="s">
        <v>3622</v>
      </c>
      <c r="GP4162" s="292" t="s">
        <v>7494</v>
      </c>
      <c r="JU4162" s="55" t="s">
        <v>3621</v>
      </c>
      <c r="JV4162" s="55" t="s">
        <v>3623</v>
      </c>
    </row>
    <row r="4163" spans="1:282" x14ac:dyDescent="0.25">
      <c r="A4163" s="55">
        <v>4162</v>
      </c>
      <c r="B4163" s="12" t="s">
        <v>7067</v>
      </c>
      <c r="C4163" s="155">
        <v>183</v>
      </c>
      <c r="D4163" s="55" t="s">
        <v>3608</v>
      </c>
      <c r="E4163" s="90" t="s">
        <v>3581</v>
      </c>
      <c r="G4163" s="55" t="s">
        <v>3582</v>
      </c>
      <c r="H4163" s="55">
        <v>2011</v>
      </c>
      <c r="I4163" s="55">
        <v>2008</v>
      </c>
      <c r="J4163" s="55" t="s">
        <v>2660</v>
      </c>
      <c r="K4163" s="55" t="s">
        <v>3584</v>
      </c>
      <c r="L4163" s="55" t="s">
        <v>3377</v>
      </c>
      <c r="M4163" s="90">
        <f>31+14/60</f>
        <v>31.233333333333334</v>
      </c>
      <c r="N4163" s="90">
        <f>119+53/60</f>
        <v>119.88333333333334</v>
      </c>
      <c r="O4163" s="90">
        <v>6.9</v>
      </c>
      <c r="Q4163" s="55">
        <v>15.7</v>
      </c>
      <c r="U4163" s="55" t="s">
        <v>1935</v>
      </c>
      <c r="V4163" s="55" t="s">
        <v>1805</v>
      </c>
      <c r="Y4163" s="55" t="s">
        <v>3583</v>
      </c>
      <c r="Z4163" s="55" t="s">
        <v>1359</v>
      </c>
      <c r="AD4163" s="90">
        <v>1.44</v>
      </c>
      <c r="AI4163" s="168">
        <v>5.6</v>
      </c>
      <c r="AJ4163" s="90">
        <v>2.4900000000000002</v>
      </c>
      <c r="AM4163" s="55" t="s">
        <v>3585</v>
      </c>
      <c r="AN4163" s="185" t="s">
        <v>770</v>
      </c>
      <c r="AO4163" s="185" t="s">
        <v>5150</v>
      </c>
      <c r="AQ4163" s="55" t="s">
        <v>1545</v>
      </c>
      <c r="AR4163" s="55" t="s">
        <v>3469</v>
      </c>
      <c r="AS4163" s="55" t="s">
        <v>227</v>
      </c>
      <c r="AU4163" s="181" t="s">
        <v>7494</v>
      </c>
      <c r="AV4163" s="185" t="s">
        <v>176</v>
      </c>
      <c r="AX4163" s="185" t="s">
        <v>176</v>
      </c>
      <c r="BE4163" s="226" t="s">
        <v>3594</v>
      </c>
      <c r="BF4163" s="191" t="s">
        <v>479</v>
      </c>
      <c r="BG4163" s="191" t="s">
        <v>479</v>
      </c>
      <c r="BH4163" s="226" t="s">
        <v>3595</v>
      </c>
      <c r="BI4163" s="191" t="s">
        <v>479</v>
      </c>
      <c r="BJ4163" s="55" t="s">
        <v>176</v>
      </c>
      <c r="BK4163" s="55" t="s">
        <v>5976</v>
      </c>
      <c r="BM4163" s="192" t="s">
        <v>160</v>
      </c>
      <c r="BN4163" s="55">
        <v>4</v>
      </c>
      <c r="BO4163" s="55">
        <v>4</v>
      </c>
      <c r="BS4163" s="55">
        <v>1200</v>
      </c>
      <c r="BT4163" s="55">
        <f>(BS4163*(1-2.2%))/(BS4163*(2.2%))</f>
        <v>44.454545454545446</v>
      </c>
      <c r="BU4163" s="55" t="s">
        <v>3586</v>
      </c>
      <c r="BV4163" s="55" t="s">
        <v>3620</v>
      </c>
      <c r="DB4163" s="65">
        <v>57</v>
      </c>
      <c r="DC4163" s="65">
        <v>38</v>
      </c>
      <c r="DF4163" s="65" t="s">
        <v>3619</v>
      </c>
      <c r="GP4163" s="292" t="s">
        <v>7494</v>
      </c>
      <c r="JU4163" s="55" t="s">
        <v>3621</v>
      </c>
      <c r="JV4163" s="55" t="s">
        <v>3623</v>
      </c>
    </row>
    <row r="4164" spans="1:282" x14ac:dyDescent="0.25">
      <c r="A4164" s="55">
        <v>4163</v>
      </c>
      <c r="B4164" s="12" t="s">
        <v>7067</v>
      </c>
      <c r="C4164" s="155">
        <v>183</v>
      </c>
      <c r="D4164" s="55" t="s">
        <v>3609</v>
      </c>
      <c r="E4164" s="90" t="s">
        <v>3581</v>
      </c>
      <c r="G4164" s="55" t="s">
        <v>3582</v>
      </c>
      <c r="H4164" s="55">
        <v>2011</v>
      </c>
      <c r="I4164" s="55">
        <v>2008</v>
      </c>
      <c r="J4164" s="55" t="s">
        <v>2660</v>
      </c>
      <c r="K4164" s="55" t="s">
        <v>3584</v>
      </c>
      <c r="L4164" s="55" t="s">
        <v>3377</v>
      </c>
      <c r="M4164" s="90">
        <f>31+14/60</f>
        <v>31.233333333333334</v>
      </c>
      <c r="N4164" s="90">
        <f>119+53/60</f>
        <v>119.88333333333334</v>
      </c>
      <c r="O4164" s="90">
        <v>6.9</v>
      </c>
      <c r="Q4164" s="55">
        <v>15.7</v>
      </c>
      <c r="U4164" s="55" t="s">
        <v>1935</v>
      </c>
      <c r="V4164" s="55" t="s">
        <v>1805</v>
      </c>
      <c r="Y4164" s="55" t="s">
        <v>3583</v>
      </c>
      <c r="Z4164" s="55" t="s">
        <v>1350</v>
      </c>
      <c r="AD4164" s="90">
        <v>1.44</v>
      </c>
      <c r="AI4164" s="168">
        <v>5.6</v>
      </c>
      <c r="AJ4164" s="90">
        <v>2.4900000000000002</v>
      </c>
      <c r="AM4164" s="55" t="s">
        <v>3585</v>
      </c>
      <c r="AN4164" s="185" t="s">
        <v>770</v>
      </c>
      <c r="AO4164" s="185" t="s">
        <v>5150</v>
      </c>
      <c r="AQ4164" s="55" t="s">
        <v>1545</v>
      </c>
      <c r="AR4164" s="55" t="s">
        <v>3469</v>
      </c>
      <c r="AS4164" s="55" t="s">
        <v>227</v>
      </c>
      <c r="AU4164" s="181" t="s">
        <v>7494</v>
      </c>
      <c r="AV4164" s="185" t="s">
        <v>176</v>
      </c>
      <c r="AX4164" s="185" t="s">
        <v>176</v>
      </c>
      <c r="BE4164" s="226" t="s">
        <v>3594</v>
      </c>
      <c r="BF4164" s="191" t="s">
        <v>479</v>
      </c>
      <c r="BG4164" s="191" t="s">
        <v>479</v>
      </c>
      <c r="BH4164" s="226" t="s">
        <v>3595</v>
      </c>
      <c r="BI4164" s="191" t="s">
        <v>479</v>
      </c>
      <c r="BJ4164" s="55" t="s">
        <v>176</v>
      </c>
      <c r="BK4164" s="55" t="s">
        <v>5976</v>
      </c>
      <c r="BM4164" s="192" t="s">
        <v>160</v>
      </c>
      <c r="BN4164" s="55">
        <v>4</v>
      </c>
      <c r="BO4164" s="55">
        <v>4</v>
      </c>
      <c r="BS4164" s="55">
        <v>1200</v>
      </c>
      <c r="BT4164" s="55">
        <f>(BS4164*(1-2.2%))/(BS4164*(2.2%))</f>
        <v>44.454545454545446</v>
      </c>
      <c r="BU4164" s="55" t="s">
        <v>3586</v>
      </c>
      <c r="BV4164" s="55" t="s">
        <v>3620</v>
      </c>
      <c r="DB4164" s="65">
        <v>20</v>
      </c>
      <c r="DC4164" s="65">
        <v>17</v>
      </c>
      <c r="DF4164" s="65" t="s">
        <v>3619</v>
      </c>
      <c r="GP4164" s="292" t="s">
        <v>7494</v>
      </c>
      <c r="JU4164" s="55" t="s">
        <v>3621</v>
      </c>
      <c r="JV4164" s="55" t="s">
        <v>3623</v>
      </c>
    </row>
    <row r="4165" spans="1:282" x14ac:dyDescent="0.25">
      <c r="A4165" s="55">
        <v>4164</v>
      </c>
      <c r="B4165" s="12" t="s">
        <v>7067</v>
      </c>
      <c r="C4165" s="155">
        <v>183</v>
      </c>
      <c r="D4165" s="55" t="s">
        <v>3610</v>
      </c>
      <c r="E4165" s="90" t="s">
        <v>3581</v>
      </c>
      <c r="G4165" s="55" t="s">
        <v>3582</v>
      </c>
      <c r="H4165" s="55">
        <v>2011</v>
      </c>
      <c r="I4165" s="55">
        <v>2008</v>
      </c>
      <c r="J4165" s="55" t="s">
        <v>2660</v>
      </c>
      <c r="K4165" s="55" t="s">
        <v>3584</v>
      </c>
      <c r="L4165" s="55" t="s">
        <v>3377</v>
      </c>
      <c r="M4165" s="90">
        <f>31+14/60</f>
        <v>31.233333333333334</v>
      </c>
      <c r="N4165" s="90">
        <f>119+53/60</f>
        <v>119.88333333333334</v>
      </c>
      <c r="O4165" s="90">
        <v>6.9</v>
      </c>
      <c r="Q4165" s="55">
        <v>15.7</v>
      </c>
      <c r="U4165" s="55" t="s">
        <v>1935</v>
      </c>
      <c r="V4165" s="55" t="s">
        <v>1805</v>
      </c>
      <c r="Y4165" s="55" t="s">
        <v>3583</v>
      </c>
      <c r="Z4165" s="55" t="s">
        <v>3598</v>
      </c>
      <c r="AD4165" s="90">
        <v>1.44</v>
      </c>
      <c r="AI4165" s="168">
        <v>5.6</v>
      </c>
      <c r="AJ4165" s="90">
        <v>2.4900000000000002</v>
      </c>
      <c r="AM4165" s="55" t="s">
        <v>3585</v>
      </c>
      <c r="AN4165" s="185" t="s">
        <v>770</v>
      </c>
      <c r="AO4165" s="185" t="s">
        <v>5150</v>
      </c>
      <c r="AQ4165" s="55" t="s">
        <v>1545</v>
      </c>
      <c r="AR4165" s="55" t="s">
        <v>3469</v>
      </c>
      <c r="AS4165" s="55" t="s">
        <v>227</v>
      </c>
      <c r="AU4165" s="181" t="s">
        <v>7494</v>
      </c>
      <c r="AV4165" s="185" t="s">
        <v>176</v>
      </c>
      <c r="AX4165" s="185" t="s">
        <v>176</v>
      </c>
      <c r="BE4165" s="226" t="s">
        <v>3594</v>
      </c>
      <c r="BF4165" s="191" t="s">
        <v>479</v>
      </c>
      <c r="BG4165" s="191" t="s">
        <v>479</v>
      </c>
      <c r="BH4165" s="226" t="s">
        <v>3595</v>
      </c>
      <c r="BI4165" s="191" t="s">
        <v>479</v>
      </c>
      <c r="BJ4165" s="55" t="s">
        <v>176</v>
      </c>
      <c r="BK4165" s="55" t="s">
        <v>5976</v>
      </c>
      <c r="BM4165" s="192" t="s">
        <v>160</v>
      </c>
      <c r="BN4165" s="55">
        <v>4</v>
      </c>
      <c r="BO4165" s="55">
        <v>4</v>
      </c>
      <c r="BS4165" s="55">
        <v>1200</v>
      </c>
      <c r="BT4165" s="55">
        <f>(BS4165*(1-2.2%))/(BS4165*(2.2%))</f>
        <v>44.454545454545446</v>
      </c>
      <c r="BU4165" s="55" t="s">
        <v>3586</v>
      </c>
      <c r="BV4165" s="55" t="s">
        <v>3620</v>
      </c>
      <c r="DB4165" s="65">
        <v>16</v>
      </c>
      <c r="DC4165" s="65">
        <v>12</v>
      </c>
      <c r="DF4165" s="65" t="s">
        <v>3619</v>
      </c>
      <c r="GP4165" s="292" t="s">
        <v>7494</v>
      </c>
      <c r="JU4165" s="55" t="s">
        <v>3621</v>
      </c>
      <c r="JV4165" s="55" t="s">
        <v>3623</v>
      </c>
    </row>
    <row r="4166" spans="1:282" x14ac:dyDescent="0.25">
      <c r="A4166" s="55">
        <v>4165</v>
      </c>
      <c r="B4166" s="12" t="s">
        <v>7067</v>
      </c>
      <c r="C4166" s="155">
        <v>183</v>
      </c>
      <c r="D4166" s="55" t="s">
        <v>3607</v>
      </c>
      <c r="E4166" s="90" t="s">
        <v>3581</v>
      </c>
      <c r="G4166" s="55" t="s">
        <v>3582</v>
      </c>
      <c r="H4166" s="55">
        <v>2011</v>
      </c>
      <c r="I4166" s="55">
        <v>2009</v>
      </c>
      <c r="J4166" s="55" t="s">
        <v>2660</v>
      </c>
      <c r="K4166" s="55" t="s">
        <v>3584</v>
      </c>
      <c r="L4166" s="55" t="s">
        <v>3377</v>
      </c>
      <c r="M4166" s="90">
        <f>31+14/60</f>
        <v>31.233333333333334</v>
      </c>
      <c r="N4166" s="90">
        <f>119+53/60</f>
        <v>119.88333333333334</v>
      </c>
      <c r="O4166" s="90">
        <v>6.9</v>
      </c>
      <c r="Q4166" s="55">
        <v>15.7</v>
      </c>
      <c r="U4166" s="55" t="s">
        <v>1805</v>
      </c>
      <c r="V4166" s="55" t="s">
        <v>1805</v>
      </c>
      <c r="Y4166" s="55" t="s">
        <v>3583</v>
      </c>
      <c r="Z4166" s="55" t="s">
        <v>1355</v>
      </c>
      <c r="AD4166" s="90">
        <v>1.44</v>
      </c>
      <c r="AI4166" s="168">
        <v>5.6</v>
      </c>
      <c r="AJ4166" s="90">
        <v>2.4900000000000002</v>
      </c>
      <c r="AM4166" s="55" t="s">
        <v>3585</v>
      </c>
      <c r="AN4166" s="185" t="s">
        <v>770</v>
      </c>
      <c r="AO4166" s="185" t="s">
        <v>5150</v>
      </c>
      <c r="AQ4166" s="55" t="s">
        <v>1545</v>
      </c>
      <c r="AR4166" s="55" t="s">
        <v>3469</v>
      </c>
      <c r="AS4166" s="55" t="s">
        <v>227</v>
      </c>
      <c r="AU4166" s="181" t="s">
        <v>7494</v>
      </c>
      <c r="AV4166" s="185" t="s">
        <v>176</v>
      </c>
      <c r="AX4166" s="185" t="s">
        <v>176</v>
      </c>
      <c r="BE4166" s="226" t="s">
        <v>3594</v>
      </c>
      <c r="BF4166" s="191" t="s">
        <v>479</v>
      </c>
      <c r="BG4166" s="191" t="s">
        <v>479</v>
      </c>
      <c r="BH4166" s="226" t="s">
        <v>3595</v>
      </c>
      <c r="BI4166" s="191" t="s">
        <v>479</v>
      </c>
      <c r="BJ4166" s="55" t="s">
        <v>176</v>
      </c>
      <c r="BK4166" s="55" t="s">
        <v>5976</v>
      </c>
      <c r="BM4166" s="192" t="s">
        <v>160</v>
      </c>
      <c r="BN4166" s="55">
        <v>4</v>
      </c>
      <c r="BO4166" s="55">
        <v>4</v>
      </c>
      <c r="BS4166" s="55">
        <v>2200</v>
      </c>
      <c r="BT4166" s="55">
        <f>(BS4166*(1-2.7%))/(BS4166*(2.7%))</f>
        <v>36.037037037037031</v>
      </c>
      <c r="BU4166" s="55" t="s">
        <v>3586</v>
      </c>
      <c r="BV4166" s="55" t="s">
        <v>3620</v>
      </c>
      <c r="DB4166" s="65">
        <v>128</v>
      </c>
      <c r="DC4166" s="65">
        <v>69</v>
      </c>
      <c r="DF4166" s="65" t="s">
        <v>3619</v>
      </c>
      <c r="FT4166" s="65">
        <v>34</v>
      </c>
      <c r="FU4166" s="65">
        <v>25</v>
      </c>
      <c r="FV4166" s="65">
        <v>8</v>
      </c>
      <c r="FW4166" s="65">
        <v>7</v>
      </c>
      <c r="FX4166" s="65" t="s">
        <v>3622</v>
      </c>
      <c r="GP4166" s="292" t="s">
        <v>7494</v>
      </c>
      <c r="JU4166" s="55" t="s">
        <v>3621</v>
      </c>
      <c r="JV4166" s="55" t="s">
        <v>3623</v>
      </c>
    </row>
    <row r="4167" spans="1:282" x14ac:dyDescent="0.25">
      <c r="A4167" s="55">
        <v>4166</v>
      </c>
      <c r="B4167" s="12" t="s">
        <v>7067</v>
      </c>
      <c r="C4167" s="155">
        <v>183</v>
      </c>
      <c r="D4167" s="55" t="s">
        <v>3608</v>
      </c>
      <c r="E4167" s="90" t="s">
        <v>3581</v>
      </c>
      <c r="G4167" s="55" t="s">
        <v>3582</v>
      </c>
      <c r="H4167" s="55">
        <v>2011</v>
      </c>
      <c r="I4167" s="55">
        <v>2009</v>
      </c>
      <c r="J4167" s="55" t="s">
        <v>2660</v>
      </c>
      <c r="K4167" s="55" t="s">
        <v>3584</v>
      </c>
      <c r="L4167" s="55" t="s">
        <v>3377</v>
      </c>
      <c r="M4167" s="90">
        <f>31+14/60</f>
        <v>31.233333333333334</v>
      </c>
      <c r="N4167" s="90">
        <f>119+53/60</f>
        <v>119.88333333333334</v>
      </c>
      <c r="O4167" s="90">
        <v>6.9</v>
      </c>
      <c r="Q4167" s="55">
        <v>15.7</v>
      </c>
      <c r="U4167" s="55" t="s">
        <v>1805</v>
      </c>
      <c r="V4167" s="55" t="s">
        <v>1805</v>
      </c>
      <c r="Y4167" s="55" t="s">
        <v>3583</v>
      </c>
      <c r="Z4167" s="55" t="s">
        <v>1359</v>
      </c>
      <c r="AD4167" s="90">
        <v>1.44</v>
      </c>
      <c r="AI4167" s="168">
        <v>5.6</v>
      </c>
      <c r="AJ4167" s="90">
        <v>2.4900000000000002</v>
      </c>
      <c r="AM4167" s="55" t="s">
        <v>3585</v>
      </c>
      <c r="AN4167" s="185" t="s">
        <v>770</v>
      </c>
      <c r="AO4167" s="185" t="s">
        <v>5150</v>
      </c>
      <c r="AQ4167" s="55" t="s">
        <v>1545</v>
      </c>
      <c r="AR4167" s="55" t="s">
        <v>3469</v>
      </c>
      <c r="AS4167" s="55" t="s">
        <v>227</v>
      </c>
      <c r="AU4167" s="181" t="s">
        <v>7494</v>
      </c>
      <c r="AV4167" s="185" t="s">
        <v>176</v>
      </c>
      <c r="AX4167" s="185" t="s">
        <v>176</v>
      </c>
      <c r="BE4167" s="226" t="s">
        <v>3594</v>
      </c>
      <c r="BF4167" s="191" t="s">
        <v>479</v>
      </c>
      <c r="BG4167" s="191" t="s">
        <v>479</v>
      </c>
      <c r="BH4167" s="226" t="s">
        <v>3595</v>
      </c>
      <c r="BI4167" s="191" t="s">
        <v>479</v>
      </c>
      <c r="BJ4167" s="55" t="s">
        <v>176</v>
      </c>
      <c r="BK4167" s="55" t="s">
        <v>5976</v>
      </c>
      <c r="BM4167" s="192" t="s">
        <v>160</v>
      </c>
      <c r="BN4167" s="55">
        <v>4</v>
      </c>
      <c r="BO4167" s="55">
        <v>4</v>
      </c>
      <c r="BS4167" s="55">
        <v>2200</v>
      </c>
      <c r="BT4167" s="55">
        <f>(BS4167*(1-2.7%))/(BS4167*(2.7%))</f>
        <v>36.037037037037031</v>
      </c>
      <c r="BU4167" s="55" t="s">
        <v>3586</v>
      </c>
      <c r="BV4167" s="55" t="s">
        <v>3620</v>
      </c>
      <c r="DB4167" s="65">
        <v>36</v>
      </c>
      <c r="DC4167" s="65">
        <v>47</v>
      </c>
      <c r="DF4167" s="65" t="s">
        <v>3619</v>
      </c>
      <c r="GP4167" s="292" t="s">
        <v>7494</v>
      </c>
      <c r="JU4167" s="55" t="s">
        <v>3621</v>
      </c>
      <c r="JV4167" s="55" t="s">
        <v>3623</v>
      </c>
    </row>
    <row r="4168" spans="1:282" x14ac:dyDescent="0.25">
      <c r="A4168" s="55">
        <v>4167</v>
      </c>
      <c r="B4168" s="12" t="s">
        <v>7067</v>
      </c>
      <c r="C4168" s="155">
        <v>183</v>
      </c>
      <c r="D4168" s="55" t="s">
        <v>3609</v>
      </c>
      <c r="E4168" s="90" t="s">
        <v>3581</v>
      </c>
      <c r="G4168" s="55" t="s">
        <v>3582</v>
      </c>
      <c r="H4168" s="55">
        <v>2011</v>
      </c>
      <c r="I4168" s="55">
        <v>2009</v>
      </c>
      <c r="J4168" s="55" t="s">
        <v>2660</v>
      </c>
      <c r="K4168" s="55" t="s">
        <v>3584</v>
      </c>
      <c r="L4168" s="55" t="s">
        <v>3377</v>
      </c>
      <c r="M4168" s="90">
        <f>31+14/60</f>
        <v>31.233333333333334</v>
      </c>
      <c r="N4168" s="90">
        <f>119+53/60</f>
        <v>119.88333333333334</v>
      </c>
      <c r="O4168" s="90">
        <v>6.9</v>
      </c>
      <c r="Q4168" s="55">
        <v>15.7</v>
      </c>
      <c r="U4168" s="55" t="s">
        <v>1805</v>
      </c>
      <c r="V4168" s="55" t="s">
        <v>1805</v>
      </c>
      <c r="Y4168" s="55" t="s">
        <v>3583</v>
      </c>
      <c r="Z4168" s="55" t="s">
        <v>1350</v>
      </c>
      <c r="AD4168" s="90">
        <v>1.44</v>
      </c>
      <c r="AI4168" s="168">
        <v>5.6</v>
      </c>
      <c r="AJ4168" s="90">
        <v>2.4900000000000002</v>
      </c>
      <c r="AM4168" s="55" t="s">
        <v>3585</v>
      </c>
      <c r="AN4168" s="185" t="s">
        <v>770</v>
      </c>
      <c r="AO4168" s="185" t="s">
        <v>5150</v>
      </c>
      <c r="AQ4168" s="55" t="s">
        <v>1545</v>
      </c>
      <c r="AR4168" s="55" t="s">
        <v>3469</v>
      </c>
      <c r="AS4168" s="55" t="s">
        <v>227</v>
      </c>
      <c r="AU4168" s="181" t="s">
        <v>7494</v>
      </c>
      <c r="AV4168" s="185" t="s">
        <v>176</v>
      </c>
      <c r="AX4168" s="185" t="s">
        <v>176</v>
      </c>
      <c r="BE4168" s="226" t="s">
        <v>3594</v>
      </c>
      <c r="BF4168" s="191" t="s">
        <v>479</v>
      </c>
      <c r="BG4168" s="191" t="s">
        <v>479</v>
      </c>
      <c r="BH4168" s="226" t="s">
        <v>3595</v>
      </c>
      <c r="BI4168" s="191" t="s">
        <v>479</v>
      </c>
      <c r="BJ4168" s="55" t="s">
        <v>176</v>
      </c>
      <c r="BK4168" s="55" t="s">
        <v>5976</v>
      </c>
      <c r="BM4168" s="192" t="s">
        <v>160</v>
      </c>
      <c r="BN4168" s="55">
        <v>4</v>
      </c>
      <c r="BO4168" s="55">
        <v>4</v>
      </c>
      <c r="BS4168" s="55">
        <v>2200</v>
      </c>
      <c r="BT4168" s="55">
        <f>(BS4168*(1-2.7%))/(BS4168*(2.7%))</f>
        <v>36.037037037037031</v>
      </c>
      <c r="BU4168" s="55" t="s">
        <v>3586</v>
      </c>
      <c r="BV4168" s="55" t="s">
        <v>3620</v>
      </c>
      <c r="DB4168" s="65">
        <v>24</v>
      </c>
      <c r="DC4168" s="65">
        <v>15</v>
      </c>
      <c r="DF4168" s="65" t="s">
        <v>3619</v>
      </c>
      <c r="GP4168" s="292" t="s">
        <v>7494</v>
      </c>
      <c r="JU4168" s="55" t="s">
        <v>3621</v>
      </c>
      <c r="JV4168" s="55" t="s">
        <v>3623</v>
      </c>
    </row>
    <row r="4169" spans="1:282" x14ac:dyDescent="0.25">
      <c r="A4169" s="55">
        <v>4168</v>
      </c>
      <c r="B4169" s="12" t="s">
        <v>7067</v>
      </c>
      <c r="C4169" s="155">
        <v>183</v>
      </c>
      <c r="D4169" s="55" t="s">
        <v>3610</v>
      </c>
      <c r="E4169" s="90" t="s">
        <v>3581</v>
      </c>
      <c r="G4169" s="55" t="s">
        <v>3582</v>
      </c>
      <c r="H4169" s="55">
        <v>2011</v>
      </c>
      <c r="I4169" s="55">
        <v>2009</v>
      </c>
      <c r="J4169" s="55" t="s">
        <v>2660</v>
      </c>
      <c r="K4169" s="55" t="s">
        <v>3584</v>
      </c>
      <c r="L4169" s="55" t="s">
        <v>3377</v>
      </c>
      <c r="M4169" s="90">
        <f>31+14/60</f>
        <v>31.233333333333334</v>
      </c>
      <c r="N4169" s="90">
        <f>119+53/60</f>
        <v>119.88333333333334</v>
      </c>
      <c r="O4169" s="90">
        <v>6.9</v>
      </c>
      <c r="Q4169" s="55">
        <v>15.7</v>
      </c>
      <c r="U4169" s="55" t="s">
        <v>1805</v>
      </c>
      <c r="V4169" s="55" t="s">
        <v>1805</v>
      </c>
      <c r="Y4169" s="55" t="s">
        <v>3583</v>
      </c>
      <c r="Z4169" s="55" t="s">
        <v>3598</v>
      </c>
      <c r="AD4169" s="90">
        <v>1.44</v>
      </c>
      <c r="AI4169" s="168">
        <v>5.6</v>
      </c>
      <c r="AJ4169" s="90">
        <v>2.4900000000000002</v>
      </c>
      <c r="AM4169" s="55" t="s">
        <v>3585</v>
      </c>
      <c r="AN4169" s="185" t="s">
        <v>770</v>
      </c>
      <c r="AO4169" s="185" t="s">
        <v>5150</v>
      </c>
      <c r="AQ4169" s="55" t="s">
        <v>1545</v>
      </c>
      <c r="AR4169" s="55" t="s">
        <v>3469</v>
      </c>
      <c r="AS4169" s="55" t="s">
        <v>227</v>
      </c>
      <c r="AU4169" s="181" t="s">
        <v>7494</v>
      </c>
      <c r="AV4169" s="185" t="s">
        <v>176</v>
      </c>
      <c r="AX4169" s="185" t="s">
        <v>176</v>
      </c>
      <c r="BE4169" s="226" t="s">
        <v>3594</v>
      </c>
      <c r="BF4169" s="191" t="s">
        <v>479</v>
      </c>
      <c r="BG4169" s="191" t="s">
        <v>479</v>
      </c>
      <c r="BH4169" s="226" t="s">
        <v>3595</v>
      </c>
      <c r="BI4169" s="191" t="s">
        <v>479</v>
      </c>
      <c r="BJ4169" s="55" t="s">
        <v>176</v>
      </c>
      <c r="BK4169" s="55" t="s">
        <v>5976</v>
      </c>
      <c r="BM4169" s="192" t="s">
        <v>160</v>
      </c>
      <c r="BN4169" s="55">
        <v>4</v>
      </c>
      <c r="BO4169" s="55">
        <v>4</v>
      </c>
      <c r="BS4169" s="55">
        <v>2200</v>
      </c>
      <c r="BT4169" s="55">
        <f>(BS4169*(1-2.7%))/(BS4169*(2.7%))</f>
        <v>36.037037037037031</v>
      </c>
      <c r="BU4169" s="55" t="s">
        <v>3586</v>
      </c>
      <c r="BV4169" s="55" t="s">
        <v>3620</v>
      </c>
      <c r="DB4169" s="65">
        <v>6</v>
      </c>
      <c r="DC4169" s="65">
        <v>13</v>
      </c>
      <c r="DF4169" s="65" t="s">
        <v>3619</v>
      </c>
      <c r="GP4169" s="292" t="s">
        <v>7494</v>
      </c>
      <c r="JU4169" s="55" t="s">
        <v>3621</v>
      </c>
      <c r="JV4169" s="55" t="s">
        <v>3623</v>
      </c>
    </row>
    <row r="4170" spans="1:282" x14ac:dyDescent="0.25">
      <c r="A4170" s="55">
        <v>4169</v>
      </c>
      <c r="B4170" s="12" t="s">
        <v>7067</v>
      </c>
      <c r="C4170" s="155">
        <v>183</v>
      </c>
      <c r="D4170" s="55" t="s">
        <v>3611</v>
      </c>
      <c r="E4170" s="90" t="s">
        <v>3581</v>
      </c>
      <c r="G4170" s="55" t="s">
        <v>3582</v>
      </c>
      <c r="H4170" s="55">
        <v>2011</v>
      </c>
      <c r="I4170" s="55">
        <v>2008</v>
      </c>
      <c r="J4170" s="55" t="s">
        <v>2660</v>
      </c>
      <c r="K4170" s="55" t="s">
        <v>3584</v>
      </c>
      <c r="L4170" s="55" t="s">
        <v>3377</v>
      </c>
      <c r="M4170" s="90">
        <f>31+14/60</f>
        <v>31.233333333333334</v>
      </c>
      <c r="N4170" s="90">
        <f>119+53/60</f>
        <v>119.88333333333334</v>
      </c>
      <c r="O4170" s="90">
        <v>6.9</v>
      </c>
      <c r="Q4170" s="55">
        <v>15.7</v>
      </c>
      <c r="U4170" s="55" t="s">
        <v>1935</v>
      </c>
      <c r="V4170" s="55" t="s">
        <v>1805</v>
      </c>
      <c r="Y4170" s="55" t="s">
        <v>3583</v>
      </c>
      <c r="Z4170" s="55" t="s">
        <v>1355</v>
      </c>
      <c r="AD4170" s="90">
        <v>1.44</v>
      </c>
      <c r="AI4170" s="168">
        <v>5.6</v>
      </c>
      <c r="AJ4170" s="90">
        <v>2.4900000000000002</v>
      </c>
      <c r="AM4170" s="55" t="s">
        <v>3585</v>
      </c>
      <c r="AN4170" s="185" t="s">
        <v>770</v>
      </c>
      <c r="AO4170" s="185" t="s">
        <v>5150</v>
      </c>
      <c r="AQ4170" s="55" t="s">
        <v>1545</v>
      </c>
      <c r="AR4170" s="55" t="s">
        <v>3469</v>
      </c>
      <c r="AS4170" s="55" t="s">
        <v>227</v>
      </c>
      <c r="AU4170" s="181" t="s">
        <v>7494</v>
      </c>
      <c r="AV4170" s="185" t="s">
        <v>176</v>
      </c>
      <c r="AX4170" s="185" t="s">
        <v>176</v>
      </c>
      <c r="BE4170" s="226" t="s">
        <v>3596</v>
      </c>
      <c r="BF4170" s="191" t="s">
        <v>479</v>
      </c>
      <c r="BG4170" s="191" t="s">
        <v>479</v>
      </c>
      <c r="BH4170" s="226" t="s">
        <v>3596</v>
      </c>
      <c r="BI4170" s="191" t="s">
        <v>479</v>
      </c>
      <c r="BJ4170" s="55" t="s">
        <v>176</v>
      </c>
      <c r="BK4170" s="55" t="s">
        <v>5976</v>
      </c>
      <c r="BM4170" s="192" t="s">
        <v>160</v>
      </c>
      <c r="BN4170" s="55">
        <v>4</v>
      </c>
      <c r="BO4170" s="55">
        <v>4</v>
      </c>
      <c r="BS4170" s="55">
        <v>1300</v>
      </c>
      <c r="BT4170" s="55">
        <f>(BS4170*(1-2.4%))/(BS4170*(2.4%))</f>
        <v>40.666666666666664</v>
      </c>
      <c r="BU4170" s="55" t="s">
        <v>3586</v>
      </c>
      <c r="BV4170" s="55" t="s">
        <v>3620</v>
      </c>
      <c r="DB4170" s="65">
        <v>346</v>
      </c>
      <c r="DC4170" s="65">
        <v>210</v>
      </c>
      <c r="DF4170" s="65" t="s">
        <v>3619</v>
      </c>
      <c r="FT4170" s="65">
        <v>90</v>
      </c>
      <c r="FU4170" s="65">
        <v>54</v>
      </c>
      <c r="FV4170" s="65">
        <v>16</v>
      </c>
      <c r="FW4170" s="65">
        <v>12</v>
      </c>
      <c r="FX4170" s="65" t="s">
        <v>3622</v>
      </c>
      <c r="GP4170" s="292" t="s">
        <v>7494</v>
      </c>
      <c r="JU4170" s="55" t="s">
        <v>3621</v>
      </c>
      <c r="JV4170" s="55" t="s">
        <v>3623</v>
      </c>
    </row>
    <row r="4171" spans="1:282" x14ac:dyDescent="0.25">
      <c r="A4171" s="55">
        <v>4170</v>
      </c>
      <c r="B4171" s="12" t="s">
        <v>7067</v>
      </c>
      <c r="C4171" s="155">
        <v>183</v>
      </c>
      <c r="D4171" s="55" t="s">
        <v>3612</v>
      </c>
      <c r="E4171" s="90" t="s">
        <v>3581</v>
      </c>
      <c r="G4171" s="55" t="s">
        <v>3582</v>
      </c>
      <c r="H4171" s="55">
        <v>2011</v>
      </c>
      <c r="I4171" s="55">
        <v>2008</v>
      </c>
      <c r="J4171" s="55" t="s">
        <v>2660</v>
      </c>
      <c r="K4171" s="55" t="s">
        <v>3584</v>
      </c>
      <c r="L4171" s="55" t="s">
        <v>3377</v>
      </c>
      <c r="M4171" s="90">
        <f>31+14/60</f>
        <v>31.233333333333334</v>
      </c>
      <c r="N4171" s="90">
        <f>119+53/60</f>
        <v>119.88333333333334</v>
      </c>
      <c r="O4171" s="90">
        <v>6.9</v>
      </c>
      <c r="Q4171" s="55">
        <v>15.7</v>
      </c>
      <c r="U4171" s="55" t="s">
        <v>1935</v>
      </c>
      <c r="V4171" s="55" t="s">
        <v>1805</v>
      </c>
      <c r="Y4171" s="55" t="s">
        <v>3583</v>
      </c>
      <c r="Z4171" s="55" t="s">
        <v>1359</v>
      </c>
      <c r="AD4171" s="90">
        <v>1.44</v>
      </c>
      <c r="AI4171" s="168">
        <v>5.6</v>
      </c>
      <c r="AJ4171" s="90">
        <v>2.4900000000000002</v>
      </c>
      <c r="AM4171" s="55" t="s">
        <v>3585</v>
      </c>
      <c r="AN4171" s="185" t="s">
        <v>770</v>
      </c>
      <c r="AO4171" s="185" t="s">
        <v>5150</v>
      </c>
      <c r="AQ4171" s="55" t="s">
        <v>1545</v>
      </c>
      <c r="AR4171" s="55" t="s">
        <v>3469</v>
      </c>
      <c r="AS4171" s="55" t="s">
        <v>227</v>
      </c>
      <c r="AU4171" s="181" t="s">
        <v>7494</v>
      </c>
      <c r="AV4171" s="185" t="s">
        <v>176</v>
      </c>
      <c r="AX4171" s="185" t="s">
        <v>176</v>
      </c>
      <c r="BE4171" s="226" t="s">
        <v>3596</v>
      </c>
      <c r="BF4171" s="191" t="s">
        <v>479</v>
      </c>
      <c r="BG4171" s="191" t="s">
        <v>479</v>
      </c>
      <c r="BH4171" s="226" t="s">
        <v>3596</v>
      </c>
      <c r="BI4171" s="191" t="s">
        <v>479</v>
      </c>
      <c r="BJ4171" s="55" t="s">
        <v>176</v>
      </c>
      <c r="BK4171" s="55" t="s">
        <v>5976</v>
      </c>
      <c r="BM4171" s="192" t="s">
        <v>160</v>
      </c>
      <c r="BN4171" s="55">
        <v>4</v>
      </c>
      <c r="BO4171" s="55">
        <v>4</v>
      </c>
      <c r="BS4171" s="55">
        <v>1300</v>
      </c>
      <c r="BT4171" s="55">
        <f>(BS4171*(1-2.4%))/(BS4171*(2.4%))</f>
        <v>40.666666666666664</v>
      </c>
      <c r="BU4171" s="55" t="s">
        <v>3586</v>
      </c>
      <c r="BV4171" s="55" t="s">
        <v>3620</v>
      </c>
      <c r="DB4171" s="65">
        <v>73</v>
      </c>
      <c r="DC4171" s="65">
        <v>60</v>
      </c>
      <c r="DF4171" s="65" t="s">
        <v>3619</v>
      </c>
      <c r="GP4171" s="292" t="s">
        <v>7494</v>
      </c>
      <c r="JU4171" s="55" t="s">
        <v>3621</v>
      </c>
      <c r="JV4171" s="55" t="s">
        <v>3623</v>
      </c>
    </row>
    <row r="4172" spans="1:282" x14ac:dyDescent="0.25">
      <c r="A4172" s="55">
        <v>4171</v>
      </c>
      <c r="B4172" s="12" t="s">
        <v>7067</v>
      </c>
      <c r="C4172" s="155">
        <v>183</v>
      </c>
      <c r="D4172" s="55" t="s">
        <v>3613</v>
      </c>
      <c r="E4172" s="90" t="s">
        <v>3581</v>
      </c>
      <c r="G4172" s="55" t="s">
        <v>3582</v>
      </c>
      <c r="H4172" s="55">
        <v>2011</v>
      </c>
      <c r="I4172" s="55">
        <v>2008</v>
      </c>
      <c r="J4172" s="55" t="s">
        <v>2660</v>
      </c>
      <c r="K4172" s="55" t="s">
        <v>3584</v>
      </c>
      <c r="L4172" s="55" t="s">
        <v>3377</v>
      </c>
      <c r="M4172" s="90">
        <f>31+14/60</f>
        <v>31.233333333333334</v>
      </c>
      <c r="N4172" s="90">
        <f>119+53/60</f>
        <v>119.88333333333334</v>
      </c>
      <c r="O4172" s="90">
        <v>6.9</v>
      </c>
      <c r="Q4172" s="55">
        <v>15.7</v>
      </c>
      <c r="U4172" s="55" t="s">
        <v>1935</v>
      </c>
      <c r="V4172" s="55" t="s">
        <v>1805</v>
      </c>
      <c r="Y4172" s="55" t="s">
        <v>3583</v>
      </c>
      <c r="Z4172" s="55" t="s">
        <v>1350</v>
      </c>
      <c r="AD4172" s="90">
        <v>1.44</v>
      </c>
      <c r="AI4172" s="168">
        <v>5.6</v>
      </c>
      <c r="AJ4172" s="90">
        <v>2.4900000000000002</v>
      </c>
      <c r="AM4172" s="55" t="s">
        <v>3585</v>
      </c>
      <c r="AN4172" s="185" t="s">
        <v>770</v>
      </c>
      <c r="AO4172" s="185" t="s">
        <v>5150</v>
      </c>
      <c r="AQ4172" s="55" t="s">
        <v>1545</v>
      </c>
      <c r="AR4172" s="55" t="s">
        <v>3469</v>
      </c>
      <c r="AS4172" s="55" t="s">
        <v>227</v>
      </c>
      <c r="AU4172" s="181" t="s">
        <v>7494</v>
      </c>
      <c r="AV4172" s="185" t="s">
        <v>176</v>
      </c>
      <c r="AX4172" s="185" t="s">
        <v>176</v>
      </c>
      <c r="BE4172" s="226" t="s">
        <v>3596</v>
      </c>
      <c r="BF4172" s="191" t="s">
        <v>479</v>
      </c>
      <c r="BG4172" s="191" t="s">
        <v>479</v>
      </c>
      <c r="BH4172" s="226" t="s">
        <v>3596</v>
      </c>
      <c r="BI4172" s="191" t="s">
        <v>479</v>
      </c>
      <c r="BJ4172" s="55" t="s">
        <v>176</v>
      </c>
      <c r="BK4172" s="55" t="s">
        <v>5976</v>
      </c>
      <c r="BM4172" s="192" t="s">
        <v>160</v>
      </c>
      <c r="BN4172" s="55">
        <v>4</v>
      </c>
      <c r="BO4172" s="55">
        <v>4</v>
      </c>
      <c r="BS4172" s="55">
        <v>1300</v>
      </c>
      <c r="BT4172" s="55">
        <f>(BS4172*(1-2.4%))/(BS4172*(2.4%))</f>
        <v>40.666666666666664</v>
      </c>
      <c r="BU4172" s="55" t="s">
        <v>3586</v>
      </c>
      <c r="BV4172" s="55" t="s">
        <v>3620</v>
      </c>
      <c r="DB4172" s="65">
        <v>23</v>
      </c>
      <c r="DC4172" s="65">
        <v>20</v>
      </c>
      <c r="DF4172" s="65" t="s">
        <v>3619</v>
      </c>
      <c r="GP4172" s="292" t="s">
        <v>7494</v>
      </c>
      <c r="JU4172" s="55" t="s">
        <v>3621</v>
      </c>
      <c r="JV4172" s="55" t="s">
        <v>3623</v>
      </c>
    </row>
    <row r="4173" spans="1:282" x14ac:dyDescent="0.25">
      <c r="A4173" s="55">
        <v>4172</v>
      </c>
      <c r="B4173" s="12" t="s">
        <v>7067</v>
      </c>
      <c r="C4173" s="155">
        <v>183</v>
      </c>
      <c r="D4173" s="55" t="s">
        <v>3614</v>
      </c>
      <c r="E4173" s="90" t="s">
        <v>3581</v>
      </c>
      <c r="G4173" s="55" t="s">
        <v>3582</v>
      </c>
      <c r="H4173" s="55">
        <v>2011</v>
      </c>
      <c r="I4173" s="55">
        <v>2008</v>
      </c>
      <c r="J4173" s="55" t="s">
        <v>2660</v>
      </c>
      <c r="K4173" s="55" t="s">
        <v>3584</v>
      </c>
      <c r="L4173" s="55" t="s">
        <v>3377</v>
      </c>
      <c r="M4173" s="90">
        <f>31+14/60</f>
        <v>31.233333333333334</v>
      </c>
      <c r="N4173" s="90">
        <f>119+53/60</f>
        <v>119.88333333333334</v>
      </c>
      <c r="O4173" s="90">
        <v>6.9</v>
      </c>
      <c r="Q4173" s="55">
        <v>15.7</v>
      </c>
      <c r="U4173" s="55" t="s">
        <v>1935</v>
      </c>
      <c r="V4173" s="55" t="s">
        <v>1805</v>
      </c>
      <c r="Y4173" s="55" t="s">
        <v>3583</v>
      </c>
      <c r="Z4173" s="55" t="s">
        <v>3598</v>
      </c>
      <c r="AD4173" s="90">
        <v>1.44</v>
      </c>
      <c r="AI4173" s="168">
        <v>5.6</v>
      </c>
      <c r="AJ4173" s="90">
        <v>2.4900000000000002</v>
      </c>
      <c r="AM4173" s="55" t="s">
        <v>3585</v>
      </c>
      <c r="AN4173" s="185" t="s">
        <v>770</v>
      </c>
      <c r="AO4173" s="185" t="s">
        <v>5150</v>
      </c>
      <c r="AQ4173" s="55" t="s">
        <v>1545</v>
      </c>
      <c r="AR4173" s="55" t="s">
        <v>3469</v>
      </c>
      <c r="AS4173" s="55" t="s">
        <v>227</v>
      </c>
      <c r="AU4173" s="181" t="s">
        <v>7494</v>
      </c>
      <c r="AV4173" s="185" t="s">
        <v>176</v>
      </c>
      <c r="AX4173" s="185" t="s">
        <v>176</v>
      </c>
      <c r="BE4173" s="226" t="s">
        <v>3596</v>
      </c>
      <c r="BF4173" s="191" t="s">
        <v>479</v>
      </c>
      <c r="BG4173" s="191" t="s">
        <v>479</v>
      </c>
      <c r="BH4173" s="226" t="s">
        <v>3596</v>
      </c>
      <c r="BI4173" s="191" t="s">
        <v>479</v>
      </c>
      <c r="BJ4173" s="55" t="s">
        <v>176</v>
      </c>
      <c r="BK4173" s="55" t="s">
        <v>5976</v>
      </c>
      <c r="BM4173" s="192" t="s">
        <v>160</v>
      </c>
      <c r="BN4173" s="55">
        <v>4</v>
      </c>
      <c r="BO4173" s="55">
        <v>4</v>
      </c>
      <c r="BS4173" s="55">
        <v>1300</v>
      </c>
      <c r="BT4173" s="55">
        <f>(BS4173*(1-2.4%))/(BS4173*(2.4%))</f>
        <v>40.666666666666664</v>
      </c>
      <c r="BU4173" s="55" t="s">
        <v>3586</v>
      </c>
      <c r="BV4173" s="55" t="s">
        <v>3620</v>
      </c>
      <c r="DB4173" s="65">
        <v>18</v>
      </c>
      <c r="DC4173" s="65">
        <v>13</v>
      </c>
      <c r="DF4173" s="65" t="s">
        <v>3619</v>
      </c>
      <c r="GP4173" s="292" t="s">
        <v>7494</v>
      </c>
      <c r="JU4173" s="55" t="s">
        <v>3621</v>
      </c>
      <c r="JV4173" s="55" t="s">
        <v>3623</v>
      </c>
    </row>
    <row r="4174" spans="1:282" x14ac:dyDescent="0.25">
      <c r="A4174" s="55">
        <v>4173</v>
      </c>
      <c r="B4174" s="12" t="s">
        <v>7067</v>
      </c>
      <c r="C4174" s="155">
        <v>183</v>
      </c>
      <c r="D4174" s="55" t="s">
        <v>3611</v>
      </c>
      <c r="E4174" s="90" t="s">
        <v>3581</v>
      </c>
      <c r="G4174" s="55" t="s">
        <v>3582</v>
      </c>
      <c r="H4174" s="55">
        <v>2011</v>
      </c>
      <c r="I4174" s="55">
        <v>2009</v>
      </c>
      <c r="J4174" s="55" t="s">
        <v>2660</v>
      </c>
      <c r="K4174" s="55" t="s">
        <v>3584</v>
      </c>
      <c r="L4174" s="55" t="s">
        <v>3377</v>
      </c>
      <c r="M4174" s="90">
        <f>31+14/60</f>
        <v>31.233333333333334</v>
      </c>
      <c r="N4174" s="90">
        <f>119+53/60</f>
        <v>119.88333333333334</v>
      </c>
      <c r="O4174" s="90">
        <v>6.9</v>
      </c>
      <c r="Q4174" s="55">
        <v>15.7</v>
      </c>
      <c r="U4174" s="55" t="s">
        <v>1805</v>
      </c>
      <c r="V4174" s="55" t="s">
        <v>1805</v>
      </c>
      <c r="Y4174" s="55" t="s">
        <v>3583</v>
      </c>
      <c r="Z4174" s="55" t="s">
        <v>1355</v>
      </c>
      <c r="AD4174" s="90">
        <v>1.44</v>
      </c>
      <c r="AI4174" s="168">
        <v>5.6</v>
      </c>
      <c r="AJ4174" s="90">
        <v>2.4900000000000002</v>
      </c>
      <c r="AM4174" s="55" t="s">
        <v>3585</v>
      </c>
      <c r="AN4174" s="185" t="s">
        <v>770</v>
      </c>
      <c r="AO4174" s="185" t="s">
        <v>5150</v>
      </c>
      <c r="AQ4174" s="55" t="s">
        <v>1545</v>
      </c>
      <c r="AR4174" s="55" t="s">
        <v>3469</v>
      </c>
      <c r="AS4174" s="55" t="s">
        <v>227</v>
      </c>
      <c r="AU4174" s="181" t="s">
        <v>7494</v>
      </c>
      <c r="AV4174" s="185" t="s">
        <v>176</v>
      </c>
      <c r="AX4174" s="185" t="s">
        <v>176</v>
      </c>
      <c r="BE4174" s="226" t="s">
        <v>3596</v>
      </c>
      <c r="BF4174" s="191" t="s">
        <v>479</v>
      </c>
      <c r="BG4174" s="191" t="s">
        <v>479</v>
      </c>
      <c r="BH4174" s="226" t="s">
        <v>3596</v>
      </c>
      <c r="BI4174" s="191" t="s">
        <v>479</v>
      </c>
      <c r="BJ4174" s="55" t="s">
        <v>176</v>
      </c>
      <c r="BK4174" s="55" t="s">
        <v>5976</v>
      </c>
      <c r="BM4174" s="192" t="s">
        <v>160</v>
      </c>
      <c r="BN4174" s="55">
        <v>4</v>
      </c>
      <c r="BO4174" s="55">
        <v>4</v>
      </c>
      <c r="BS4174" s="55">
        <v>2400</v>
      </c>
      <c r="BT4174" s="55">
        <f>(BS4174*(1-2.5%))/(BS4174*(2.5%))</f>
        <v>39</v>
      </c>
      <c r="BU4174" s="55" t="s">
        <v>3586</v>
      </c>
      <c r="BV4174" s="55" t="s">
        <v>3620</v>
      </c>
      <c r="DB4174" s="65">
        <v>178</v>
      </c>
      <c r="DC4174" s="65">
        <v>124</v>
      </c>
      <c r="DF4174" s="65" t="s">
        <v>3619</v>
      </c>
      <c r="FT4174" s="65">
        <v>93</v>
      </c>
      <c r="FU4174" s="65">
        <v>56</v>
      </c>
      <c r="FV4174" s="65">
        <v>13</v>
      </c>
      <c r="FW4174" s="65">
        <v>9</v>
      </c>
      <c r="FX4174" s="65" t="s">
        <v>3622</v>
      </c>
      <c r="GP4174" s="292" t="s">
        <v>7494</v>
      </c>
      <c r="JU4174" s="55" t="s">
        <v>3621</v>
      </c>
      <c r="JV4174" s="55" t="s">
        <v>3623</v>
      </c>
    </row>
    <row r="4175" spans="1:282" x14ac:dyDescent="0.25">
      <c r="A4175" s="55">
        <v>4174</v>
      </c>
      <c r="B4175" s="12" t="s">
        <v>7067</v>
      </c>
      <c r="C4175" s="155">
        <v>183</v>
      </c>
      <c r="D4175" s="55" t="s">
        <v>3612</v>
      </c>
      <c r="E4175" s="90" t="s">
        <v>3581</v>
      </c>
      <c r="G4175" s="55" t="s">
        <v>3582</v>
      </c>
      <c r="H4175" s="55">
        <v>2011</v>
      </c>
      <c r="I4175" s="55">
        <v>2009</v>
      </c>
      <c r="J4175" s="55" t="s">
        <v>2660</v>
      </c>
      <c r="K4175" s="55" t="s">
        <v>3584</v>
      </c>
      <c r="L4175" s="55" t="s">
        <v>3377</v>
      </c>
      <c r="M4175" s="90">
        <f>31+14/60</f>
        <v>31.233333333333334</v>
      </c>
      <c r="N4175" s="90">
        <f>119+53/60</f>
        <v>119.88333333333334</v>
      </c>
      <c r="O4175" s="90">
        <v>6.9</v>
      </c>
      <c r="Q4175" s="55">
        <v>15.7</v>
      </c>
      <c r="U4175" s="55" t="s">
        <v>1805</v>
      </c>
      <c r="V4175" s="55" t="s">
        <v>1805</v>
      </c>
      <c r="Y4175" s="55" t="s">
        <v>3583</v>
      </c>
      <c r="Z4175" s="55" t="s">
        <v>1359</v>
      </c>
      <c r="AD4175" s="90">
        <v>1.44</v>
      </c>
      <c r="AI4175" s="168">
        <v>5.6</v>
      </c>
      <c r="AJ4175" s="90">
        <v>2.4900000000000002</v>
      </c>
      <c r="AM4175" s="55" t="s">
        <v>3585</v>
      </c>
      <c r="AN4175" s="185" t="s">
        <v>770</v>
      </c>
      <c r="AO4175" s="185" t="s">
        <v>5150</v>
      </c>
      <c r="AQ4175" s="55" t="s">
        <v>1545</v>
      </c>
      <c r="AR4175" s="55" t="s">
        <v>3469</v>
      </c>
      <c r="AS4175" s="55" t="s">
        <v>227</v>
      </c>
      <c r="AU4175" s="181" t="s">
        <v>7494</v>
      </c>
      <c r="AV4175" s="185" t="s">
        <v>176</v>
      </c>
      <c r="AX4175" s="185" t="s">
        <v>176</v>
      </c>
      <c r="BE4175" s="226" t="s">
        <v>3596</v>
      </c>
      <c r="BF4175" s="191" t="s">
        <v>479</v>
      </c>
      <c r="BG4175" s="191" t="s">
        <v>479</v>
      </c>
      <c r="BH4175" s="226" t="s">
        <v>3596</v>
      </c>
      <c r="BI4175" s="191" t="s">
        <v>479</v>
      </c>
      <c r="BJ4175" s="55" t="s">
        <v>176</v>
      </c>
      <c r="BK4175" s="55" t="s">
        <v>5976</v>
      </c>
      <c r="BM4175" s="192" t="s">
        <v>160</v>
      </c>
      <c r="BN4175" s="55">
        <v>4</v>
      </c>
      <c r="BO4175" s="55">
        <v>4</v>
      </c>
      <c r="BS4175" s="55">
        <v>2400</v>
      </c>
      <c r="BT4175" s="55">
        <f>(BS4175*(1-2.5%))/(BS4175*(2.5%))</f>
        <v>39</v>
      </c>
      <c r="BU4175" s="55" t="s">
        <v>3586</v>
      </c>
      <c r="BV4175" s="55" t="s">
        <v>3620</v>
      </c>
      <c r="DB4175" s="65">
        <v>83</v>
      </c>
      <c r="DC4175" s="65">
        <v>59</v>
      </c>
      <c r="DF4175" s="65" t="s">
        <v>3619</v>
      </c>
      <c r="GP4175" s="292" t="s">
        <v>7494</v>
      </c>
      <c r="JU4175" s="55" t="s">
        <v>3621</v>
      </c>
      <c r="JV4175" s="55" t="s">
        <v>3623</v>
      </c>
    </row>
    <row r="4176" spans="1:282" x14ac:dyDescent="0.25">
      <c r="A4176" s="55">
        <v>4175</v>
      </c>
      <c r="B4176" s="12" t="s">
        <v>7067</v>
      </c>
      <c r="C4176" s="155">
        <v>183</v>
      </c>
      <c r="D4176" s="55" t="s">
        <v>3613</v>
      </c>
      <c r="E4176" s="90" t="s">
        <v>3581</v>
      </c>
      <c r="G4176" s="55" t="s">
        <v>3582</v>
      </c>
      <c r="H4176" s="55">
        <v>2011</v>
      </c>
      <c r="I4176" s="55">
        <v>2009</v>
      </c>
      <c r="J4176" s="55" t="s">
        <v>2660</v>
      </c>
      <c r="K4176" s="55" t="s">
        <v>3584</v>
      </c>
      <c r="L4176" s="55" t="s">
        <v>3377</v>
      </c>
      <c r="M4176" s="90">
        <f>31+14/60</f>
        <v>31.233333333333334</v>
      </c>
      <c r="N4176" s="90">
        <f>119+53/60</f>
        <v>119.88333333333334</v>
      </c>
      <c r="O4176" s="90">
        <v>6.9</v>
      </c>
      <c r="Q4176" s="55">
        <v>15.7</v>
      </c>
      <c r="U4176" s="55" t="s">
        <v>1805</v>
      </c>
      <c r="V4176" s="55" t="s">
        <v>1805</v>
      </c>
      <c r="Y4176" s="55" t="s">
        <v>3583</v>
      </c>
      <c r="Z4176" s="55" t="s">
        <v>1350</v>
      </c>
      <c r="AD4176" s="90">
        <v>1.44</v>
      </c>
      <c r="AI4176" s="168">
        <v>5.6</v>
      </c>
      <c r="AJ4176" s="90">
        <v>2.4900000000000002</v>
      </c>
      <c r="AM4176" s="55" t="s">
        <v>3585</v>
      </c>
      <c r="AN4176" s="185" t="s">
        <v>770</v>
      </c>
      <c r="AO4176" s="185" t="s">
        <v>5150</v>
      </c>
      <c r="AQ4176" s="55" t="s">
        <v>1545</v>
      </c>
      <c r="AR4176" s="55" t="s">
        <v>3469</v>
      </c>
      <c r="AS4176" s="55" t="s">
        <v>227</v>
      </c>
      <c r="AU4176" s="181" t="s">
        <v>7494</v>
      </c>
      <c r="AV4176" s="185" t="s">
        <v>176</v>
      </c>
      <c r="AX4176" s="185" t="s">
        <v>176</v>
      </c>
      <c r="BE4176" s="226" t="s">
        <v>3596</v>
      </c>
      <c r="BF4176" s="191" t="s">
        <v>479</v>
      </c>
      <c r="BG4176" s="191" t="s">
        <v>479</v>
      </c>
      <c r="BH4176" s="226" t="s">
        <v>3596</v>
      </c>
      <c r="BI4176" s="191" t="s">
        <v>479</v>
      </c>
      <c r="BJ4176" s="55" t="s">
        <v>176</v>
      </c>
      <c r="BK4176" s="55" t="s">
        <v>5976</v>
      </c>
      <c r="BM4176" s="192" t="s">
        <v>160</v>
      </c>
      <c r="BN4176" s="55">
        <v>4</v>
      </c>
      <c r="BO4176" s="55">
        <v>4</v>
      </c>
      <c r="BS4176" s="55">
        <v>2400</v>
      </c>
      <c r="BT4176" s="55">
        <f>(BS4176*(1-2.5%))/(BS4176*(2.5%))</f>
        <v>39</v>
      </c>
      <c r="BU4176" s="55" t="s">
        <v>3586</v>
      </c>
      <c r="BV4176" s="55" t="s">
        <v>3620</v>
      </c>
      <c r="DB4176" s="65">
        <v>36</v>
      </c>
      <c r="DC4176" s="65">
        <v>31</v>
      </c>
      <c r="DF4176" s="65" t="s">
        <v>3619</v>
      </c>
      <c r="GP4176" s="292" t="s">
        <v>7494</v>
      </c>
      <c r="JU4176" s="55" t="s">
        <v>3621</v>
      </c>
      <c r="JV4176" s="55" t="s">
        <v>3623</v>
      </c>
    </row>
    <row r="4177" spans="1:282" x14ac:dyDescent="0.25">
      <c r="A4177" s="55">
        <v>4176</v>
      </c>
      <c r="B4177" s="12" t="s">
        <v>7067</v>
      </c>
      <c r="C4177" s="155">
        <v>183</v>
      </c>
      <c r="D4177" s="55" t="s">
        <v>3614</v>
      </c>
      <c r="E4177" s="90" t="s">
        <v>3581</v>
      </c>
      <c r="G4177" s="55" t="s">
        <v>3582</v>
      </c>
      <c r="H4177" s="55">
        <v>2011</v>
      </c>
      <c r="I4177" s="55">
        <v>2009</v>
      </c>
      <c r="J4177" s="55" t="s">
        <v>2660</v>
      </c>
      <c r="K4177" s="55" t="s">
        <v>3584</v>
      </c>
      <c r="L4177" s="55" t="s">
        <v>3377</v>
      </c>
      <c r="M4177" s="90">
        <f>31+14/60</f>
        <v>31.233333333333334</v>
      </c>
      <c r="N4177" s="90">
        <f>119+53/60</f>
        <v>119.88333333333334</v>
      </c>
      <c r="O4177" s="90">
        <v>6.9</v>
      </c>
      <c r="Q4177" s="55">
        <v>15.7</v>
      </c>
      <c r="U4177" s="55" t="s">
        <v>1805</v>
      </c>
      <c r="V4177" s="55" t="s">
        <v>1805</v>
      </c>
      <c r="Y4177" s="55" t="s">
        <v>3583</v>
      </c>
      <c r="Z4177" s="55" t="s">
        <v>3598</v>
      </c>
      <c r="AD4177" s="90">
        <v>1.44</v>
      </c>
      <c r="AI4177" s="168">
        <v>5.6</v>
      </c>
      <c r="AJ4177" s="90">
        <v>2.4900000000000002</v>
      </c>
      <c r="AM4177" s="55" t="s">
        <v>3585</v>
      </c>
      <c r="AN4177" s="185" t="s">
        <v>770</v>
      </c>
      <c r="AO4177" s="185" t="s">
        <v>5150</v>
      </c>
      <c r="AQ4177" s="55" t="s">
        <v>1545</v>
      </c>
      <c r="AR4177" s="55" t="s">
        <v>3469</v>
      </c>
      <c r="AS4177" s="55" t="s">
        <v>227</v>
      </c>
      <c r="AU4177" s="181" t="s">
        <v>7494</v>
      </c>
      <c r="AV4177" s="185" t="s">
        <v>176</v>
      </c>
      <c r="AX4177" s="185" t="s">
        <v>176</v>
      </c>
      <c r="BE4177" s="226" t="s">
        <v>3596</v>
      </c>
      <c r="BF4177" s="191" t="s">
        <v>479</v>
      </c>
      <c r="BG4177" s="191" t="s">
        <v>479</v>
      </c>
      <c r="BH4177" s="226" t="s">
        <v>3596</v>
      </c>
      <c r="BI4177" s="191" t="s">
        <v>479</v>
      </c>
      <c r="BJ4177" s="55" t="s">
        <v>176</v>
      </c>
      <c r="BK4177" s="55" t="s">
        <v>5976</v>
      </c>
      <c r="BM4177" s="192" t="s">
        <v>160</v>
      </c>
      <c r="BN4177" s="55">
        <v>4</v>
      </c>
      <c r="BO4177" s="55">
        <v>4</v>
      </c>
      <c r="BS4177" s="55">
        <v>2400</v>
      </c>
      <c r="BT4177" s="55">
        <f>(BS4177*(1-2.5%))/(BS4177*(2.5%))</f>
        <v>39</v>
      </c>
      <c r="BU4177" s="55" t="s">
        <v>3586</v>
      </c>
      <c r="BV4177" s="55" t="s">
        <v>3620</v>
      </c>
      <c r="DB4177" s="65">
        <v>18</v>
      </c>
      <c r="DC4177" s="65">
        <v>25</v>
      </c>
      <c r="DF4177" s="65" t="s">
        <v>3619</v>
      </c>
      <c r="GP4177" s="292" t="s">
        <v>7494</v>
      </c>
      <c r="JU4177" s="55" t="s">
        <v>3621</v>
      </c>
      <c r="JV4177" s="55" t="s">
        <v>3623</v>
      </c>
    </row>
    <row r="4178" spans="1:282" x14ac:dyDescent="0.25">
      <c r="A4178" s="55">
        <v>4177</v>
      </c>
      <c r="B4178" s="12" t="s">
        <v>7067</v>
      </c>
      <c r="C4178" s="155">
        <v>183</v>
      </c>
      <c r="D4178" s="55" t="s">
        <v>3615</v>
      </c>
      <c r="E4178" s="90" t="s">
        <v>3581</v>
      </c>
      <c r="G4178" s="55" t="s">
        <v>3582</v>
      </c>
      <c r="H4178" s="55">
        <v>2011</v>
      </c>
      <c r="I4178" s="55">
        <v>2008</v>
      </c>
      <c r="J4178" s="55" t="s">
        <v>2660</v>
      </c>
      <c r="K4178" s="55" t="s">
        <v>3584</v>
      </c>
      <c r="L4178" s="55" t="s">
        <v>3377</v>
      </c>
      <c r="M4178" s="90">
        <f>31+14/60</f>
        <v>31.233333333333334</v>
      </c>
      <c r="N4178" s="90">
        <f>119+53/60</f>
        <v>119.88333333333334</v>
      </c>
      <c r="O4178" s="90">
        <v>6.9</v>
      </c>
      <c r="Q4178" s="55">
        <v>15.7</v>
      </c>
      <c r="U4178" s="55" t="s">
        <v>1935</v>
      </c>
      <c r="V4178" s="55" t="s">
        <v>1805</v>
      </c>
      <c r="Y4178" s="55" t="s">
        <v>3583</v>
      </c>
      <c r="Z4178" s="55" t="s">
        <v>1355</v>
      </c>
      <c r="AD4178" s="90">
        <v>1.44</v>
      </c>
      <c r="AI4178" s="168">
        <v>5.6</v>
      </c>
      <c r="AJ4178" s="90">
        <v>2.4900000000000002</v>
      </c>
      <c r="AM4178" s="55" t="s">
        <v>3585</v>
      </c>
      <c r="AN4178" s="185" t="s">
        <v>770</v>
      </c>
      <c r="AO4178" s="185" t="s">
        <v>5150</v>
      </c>
      <c r="AQ4178" s="55" t="s">
        <v>1545</v>
      </c>
      <c r="AR4178" s="55" t="s">
        <v>3469</v>
      </c>
      <c r="AS4178" s="55" t="s">
        <v>227</v>
      </c>
      <c r="AU4178" s="181" t="s">
        <v>7494</v>
      </c>
      <c r="AV4178" s="185" t="s">
        <v>176</v>
      </c>
      <c r="AX4178" s="185" t="s">
        <v>176</v>
      </c>
      <c r="BE4178" s="226" t="s">
        <v>3597</v>
      </c>
      <c r="BF4178" s="191" t="s">
        <v>479</v>
      </c>
      <c r="BG4178" s="191" t="s">
        <v>479</v>
      </c>
      <c r="BH4178" s="226" t="s">
        <v>3597</v>
      </c>
      <c r="BI4178" s="191" t="s">
        <v>479</v>
      </c>
      <c r="BJ4178" s="55" t="s">
        <v>176</v>
      </c>
      <c r="BK4178" s="55" t="s">
        <v>5976</v>
      </c>
      <c r="BM4178" s="192" t="s">
        <v>160</v>
      </c>
      <c r="BN4178" s="55">
        <v>4</v>
      </c>
      <c r="BO4178" s="55">
        <v>4</v>
      </c>
      <c r="BS4178" s="55">
        <v>1700</v>
      </c>
      <c r="BT4178" s="55">
        <f>(BS4178*(1-2.6%))/(BS4178*(2.6%))</f>
        <v>37.46153846153846</v>
      </c>
      <c r="BU4178" s="55" t="s">
        <v>3586</v>
      </c>
      <c r="BV4178" s="55" t="s">
        <v>3620</v>
      </c>
      <c r="DB4178" s="65">
        <v>411</v>
      </c>
      <c r="DC4178" s="65">
        <v>224</v>
      </c>
      <c r="DF4178" s="65" t="s">
        <v>3619</v>
      </c>
      <c r="FT4178" s="65">
        <v>123</v>
      </c>
      <c r="FU4178" s="65">
        <v>76</v>
      </c>
      <c r="FV4178" s="65">
        <v>18</v>
      </c>
      <c r="FW4178" s="65">
        <v>13</v>
      </c>
      <c r="FX4178" s="65" t="s">
        <v>3622</v>
      </c>
      <c r="GP4178" s="292" t="s">
        <v>7494</v>
      </c>
      <c r="JU4178" s="55" t="s">
        <v>3621</v>
      </c>
      <c r="JV4178" s="55" t="s">
        <v>3623</v>
      </c>
    </row>
    <row r="4179" spans="1:282" x14ac:dyDescent="0.25">
      <c r="A4179" s="55">
        <v>4178</v>
      </c>
      <c r="B4179" s="12" t="s">
        <v>7067</v>
      </c>
      <c r="C4179" s="155">
        <v>183</v>
      </c>
      <c r="D4179" s="55" t="s">
        <v>3616</v>
      </c>
      <c r="E4179" s="90" t="s">
        <v>3581</v>
      </c>
      <c r="G4179" s="55" t="s">
        <v>3582</v>
      </c>
      <c r="H4179" s="55">
        <v>2011</v>
      </c>
      <c r="I4179" s="55">
        <v>2008</v>
      </c>
      <c r="J4179" s="55" t="s">
        <v>2660</v>
      </c>
      <c r="K4179" s="55" t="s">
        <v>3584</v>
      </c>
      <c r="L4179" s="55" t="s">
        <v>3377</v>
      </c>
      <c r="M4179" s="90">
        <f>31+14/60</f>
        <v>31.233333333333334</v>
      </c>
      <c r="N4179" s="90">
        <f>119+53/60</f>
        <v>119.88333333333334</v>
      </c>
      <c r="O4179" s="90">
        <v>6.9</v>
      </c>
      <c r="Q4179" s="55">
        <v>15.7</v>
      </c>
      <c r="U4179" s="55" t="s">
        <v>1935</v>
      </c>
      <c r="V4179" s="55" t="s">
        <v>1805</v>
      </c>
      <c r="Y4179" s="55" t="s">
        <v>3583</v>
      </c>
      <c r="Z4179" s="55" t="s">
        <v>1359</v>
      </c>
      <c r="AD4179" s="90">
        <v>1.44</v>
      </c>
      <c r="AI4179" s="168">
        <v>5.6</v>
      </c>
      <c r="AJ4179" s="90">
        <v>2.4900000000000002</v>
      </c>
      <c r="AM4179" s="55" t="s">
        <v>3585</v>
      </c>
      <c r="AN4179" s="185" t="s">
        <v>770</v>
      </c>
      <c r="AO4179" s="185" t="s">
        <v>5150</v>
      </c>
      <c r="AQ4179" s="55" t="s">
        <v>1545</v>
      </c>
      <c r="AR4179" s="55" t="s">
        <v>3469</v>
      </c>
      <c r="AS4179" s="55" t="s">
        <v>227</v>
      </c>
      <c r="AU4179" s="181" t="s">
        <v>7494</v>
      </c>
      <c r="AV4179" s="185" t="s">
        <v>176</v>
      </c>
      <c r="AX4179" s="185" t="s">
        <v>176</v>
      </c>
      <c r="BE4179" s="226" t="s">
        <v>3597</v>
      </c>
      <c r="BF4179" s="191" t="s">
        <v>479</v>
      </c>
      <c r="BG4179" s="191" t="s">
        <v>479</v>
      </c>
      <c r="BH4179" s="226" t="s">
        <v>3597</v>
      </c>
      <c r="BI4179" s="191" t="s">
        <v>479</v>
      </c>
      <c r="BJ4179" s="55" t="s">
        <v>176</v>
      </c>
      <c r="BK4179" s="55" t="s">
        <v>5976</v>
      </c>
      <c r="BM4179" s="192" t="s">
        <v>160</v>
      </c>
      <c r="BN4179" s="55">
        <v>4</v>
      </c>
      <c r="BO4179" s="55">
        <v>4</v>
      </c>
      <c r="BS4179" s="55">
        <v>1700</v>
      </c>
      <c r="BT4179" s="55">
        <f>(BS4179*(1-2.6%))/(BS4179*(2.6%))</f>
        <v>37.46153846153846</v>
      </c>
      <c r="BU4179" s="55" t="s">
        <v>3586</v>
      </c>
      <c r="BV4179" s="55" t="s">
        <v>3620</v>
      </c>
      <c r="DB4179" s="65">
        <v>87</v>
      </c>
      <c r="DC4179" s="65">
        <v>57</v>
      </c>
      <c r="DF4179" s="65" t="s">
        <v>3619</v>
      </c>
      <c r="GP4179" s="292" t="s">
        <v>7494</v>
      </c>
      <c r="JU4179" s="55" t="s">
        <v>3621</v>
      </c>
      <c r="JV4179" s="55" t="s">
        <v>3623</v>
      </c>
    </row>
    <row r="4180" spans="1:282" x14ac:dyDescent="0.25">
      <c r="A4180" s="55">
        <v>4179</v>
      </c>
      <c r="B4180" s="12" t="s">
        <v>7067</v>
      </c>
      <c r="C4180" s="155">
        <v>183</v>
      </c>
      <c r="D4180" s="55" t="s">
        <v>3617</v>
      </c>
      <c r="E4180" s="90" t="s">
        <v>3581</v>
      </c>
      <c r="G4180" s="55" t="s">
        <v>3582</v>
      </c>
      <c r="H4180" s="55">
        <v>2011</v>
      </c>
      <c r="I4180" s="55">
        <v>2008</v>
      </c>
      <c r="J4180" s="55" t="s">
        <v>2660</v>
      </c>
      <c r="K4180" s="55" t="s">
        <v>3584</v>
      </c>
      <c r="L4180" s="55" t="s">
        <v>3377</v>
      </c>
      <c r="M4180" s="90">
        <f>31+14/60</f>
        <v>31.233333333333334</v>
      </c>
      <c r="N4180" s="90">
        <f>119+53/60</f>
        <v>119.88333333333334</v>
      </c>
      <c r="O4180" s="90">
        <v>6.9</v>
      </c>
      <c r="Q4180" s="55">
        <v>15.7</v>
      </c>
      <c r="U4180" s="55" t="s">
        <v>1935</v>
      </c>
      <c r="V4180" s="55" t="s">
        <v>1805</v>
      </c>
      <c r="Y4180" s="55" t="s">
        <v>3583</v>
      </c>
      <c r="Z4180" s="55" t="s">
        <v>1350</v>
      </c>
      <c r="AD4180" s="90">
        <v>1.44</v>
      </c>
      <c r="AI4180" s="168">
        <v>5.6</v>
      </c>
      <c r="AJ4180" s="90">
        <v>2.4900000000000002</v>
      </c>
      <c r="AM4180" s="55" t="s">
        <v>3585</v>
      </c>
      <c r="AN4180" s="185" t="s">
        <v>770</v>
      </c>
      <c r="AO4180" s="185" t="s">
        <v>5150</v>
      </c>
      <c r="AQ4180" s="55" t="s">
        <v>1545</v>
      </c>
      <c r="AR4180" s="55" t="s">
        <v>3469</v>
      </c>
      <c r="AS4180" s="55" t="s">
        <v>227</v>
      </c>
      <c r="AU4180" s="181" t="s">
        <v>7494</v>
      </c>
      <c r="AV4180" s="185" t="s">
        <v>176</v>
      </c>
      <c r="AX4180" s="185" t="s">
        <v>176</v>
      </c>
      <c r="BE4180" s="226" t="s">
        <v>3597</v>
      </c>
      <c r="BF4180" s="191" t="s">
        <v>479</v>
      </c>
      <c r="BG4180" s="191" t="s">
        <v>479</v>
      </c>
      <c r="BH4180" s="226" t="s">
        <v>3597</v>
      </c>
      <c r="BI4180" s="191" t="s">
        <v>479</v>
      </c>
      <c r="BJ4180" s="55" t="s">
        <v>176</v>
      </c>
      <c r="BK4180" s="55" t="s">
        <v>5976</v>
      </c>
      <c r="BM4180" s="192" t="s">
        <v>160</v>
      </c>
      <c r="BN4180" s="55">
        <v>4</v>
      </c>
      <c r="BO4180" s="55">
        <v>4</v>
      </c>
      <c r="BS4180" s="55">
        <v>1700</v>
      </c>
      <c r="BT4180" s="55">
        <f>(BS4180*(1-2.6%))/(BS4180*(2.6%))</f>
        <v>37.46153846153846</v>
      </c>
      <c r="BU4180" s="55" t="s">
        <v>3586</v>
      </c>
      <c r="BV4180" s="55" t="s">
        <v>3620</v>
      </c>
      <c r="DB4180" s="65">
        <v>34</v>
      </c>
      <c r="DC4180" s="65">
        <v>27</v>
      </c>
      <c r="DF4180" s="65" t="s">
        <v>3619</v>
      </c>
      <c r="GP4180" s="292" t="s">
        <v>7494</v>
      </c>
      <c r="JU4180" s="55" t="s">
        <v>3621</v>
      </c>
      <c r="JV4180" s="55" t="s">
        <v>3623</v>
      </c>
    </row>
    <row r="4181" spans="1:282" x14ac:dyDescent="0.25">
      <c r="A4181" s="55">
        <v>4180</v>
      </c>
      <c r="B4181" s="12" t="s">
        <v>7067</v>
      </c>
      <c r="C4181" s="155">
        <v>183</v>
      </c>
      <c r="D4181" s="55" t="s">
        <v>3618</v>
      </c>
      <c r="E4181" s="90" t="s">
        <v>3581</v>
      </c>
      <c r="G4181" s="55" t="s">
        <v>3582</v>
      </c>
      <c r="H4181" s="55">
        <v>2011</v>
      </c>
      <c r="I4181" s="55">
        <v>2008</v>
      </c>
      <c r="J4181" s="55" t="s">
        <v>2660</v>
      </c>
      <c r="K4181" s="55" t="s">
        <v>3584</v>
      </c>
      <c r="L4181" s="55" t="s">
        <v>3377</v>
      </c>
      <c r="M4181" s="90">
        <f>31+14/60</f>
        <v>31.233333333333334</v>
      </c>
      <c r="N4181" s="90">
        <f>119+53/60</f>
        <v>119.88333333333334</v>
      </c>
      <c r="O4181" s="90">
        <v>6.9</v>
      </c>
      <c r="Q4181" s="55">
        <v>15.7</v>
      </c>
      <c r="U4181" s="55" t="s">
        <v>1935</v>
      </c>
      <c r="V4181" s="55" t="s">
        <v>1805</v>
      </c>
      <c r="Y4181" s="55" t="s">
        <v>3583</v>
      </c>
      <c r="Z4181" s="55" t="s">
        <v>3598</v>
      </c>
      <c r="AD4181" s="90">
        <v>1.44</v>
      </c>
      <c r="AI4181" s="168">
        <v>5.6</v>
      </c>
      <c r="AJ4181" s="90">
        <v>2.4900000000000002</v>
      </c>
      <c r="AM4181" s="55" t="s">
        <v>3585</v>
      </c>
      <c r="AN4181" s="185" t="s">
        <v>770</v>
      </c>
      <c r="AO4181" s="185" t="s">
        <v>5150</v>
      </c>
      <c r="AQ4181" s="55" t="s">
        <v>1545</v>
      </c>
      <c r="AR4181" s="55" t="s">
        <v>3469</v>
      </c>
      <c r="AS4181" s="55" t="s">
        <v>227</v>
      </c>
      <c r="AU4181" s="181" t="s">
        <v>7494</v>
      </c>
      <c r="AV4181" s="185" t="s">
        <v>176</v>
      </c>
      <c r="AX4181" s="185" t="s">
        <v>176</v>
      </c>
      <c r="BE4181" s="226" t="s">
        <v>3597</v>
      </c>
      <c r="BF4181" s="191" t="s">
        <v>479</v>
      </c>
      <c r="BG4181" s="191" t="s">
        <v>479</v>
      </c>
      <c r="BH4181" s="226" t="s">
        <v>3597</v>
      </c>
      <c r="BI4181" s="191" t="s">
        <v>479</v>
      </c>
      <c r="BJ4181" s="55" t="s">
        <v>176</v>
      </c>
      <c r="BK4181" s="55" t="s">
        <v>5976</v>
      </c>
      <c r="BM4181" s="192" t="s">
        <v>160</v>
      </c>
      <c r="BN4181" s="55">
        <v>4</v>
      </c>
      <c r="BO4181" s="55">
        <v>4</v>
      </c>
      <c r="BS4181" s="55">
        <v>1700</v>
      </c>
      <c r="BT4181" s="55">
        <f>(BS4181*(1-2.6%))/(BS4181*(2.6%))</f>
        <v>37.46153846153846</v>
      </c>
      <c r="BU4181" s="55" t="s">
        <v>3586</v>
      </c>
      <c r="BV4181" s="55" t="s">
        <v>3620</v>
      </c>
      <c r="DB4181" s="65">
        <v>24</v>
      </c>
      <c r="DC4181" s="65">
        <v>17</v>
      </c>
      <c r="DF4181" s="65" t="s">
        <v>3619</v>
      </c>
      <c r="GP4181" s="292" t="s">
        <v>7494</v>
      </c>
      <c r="JU4181" s="55" t="s">
        <v>3621</v>
      </c>
      <c r="JV4181" s="55" t="s">
        <v>3623</v>
      </c>
    </row>
    <row r="4182" spans="1:282" x14ac:dyDescent="0.25">
      <c r="A4182" s="55">
        <v>4181</v>
      </c>
      <c r="B4182" s="12" t="s">
        <v>7067</v>
      </c>
      <c r="C4182" s="155">
        <v>183</v>
      </c>
      <c r="D4182" s="55" t="s">
        <v>3615</v>
      </c>
      <c r="E4182" s="90" t="s">
        <v>3581</v>
      </c>
      <c r="G4182" s="55" t="s">
        <v>3582</v>
      </c>
      <c r="H4182" s="55">
        <v>2011</v>
      </c>
      <c r="I4182" s="55">
        <v>2009</v>
      </c>
      <c r="J4182" s="55" t="s">
        <v>2660</v>
      </c>
      <c r="K4182" s="55" t="s">
        <v>3584</v>
      </c>
      <c r="L4182" s="55" t="s">
        <v>3377</v>
      </c>
      <c r="M4182" s="90">
        <f>31+14/60</f>
        <v>31.233333333333334</v>
      </c>
      <c r="N4182" s="90">
        <f>119+53/60</f>
        <v>119.88333333333334</v>
      </c>
      <c r="O4182" s="90">
        <v>6.9</v>
      </c>
      <c r="Q4182" s="55">
        <v>15.7</v>
      </c>
      <c r="U4182" s="55" t="s">
        <v>1805</v>
      </c>
      <c r="V4182" s="55" t="s">
        <v>1805</v>
      </c>
      <c r="Y4182" s="55" t="s">
        <v>3583</v>
      </c>
      <c r="Z4182" s="55" t="s">
        <v>1355</v>
      </c>
      <c r="AD4182" s="90">
        <v>1.44</v>
      </c>
      <c r="AI4182" s="168">
        <v>5.6</v>
      </c>
      <c r="AJ4182" s="90">
        <v>2.4900000000000002</v>
      </c>
      <c r="AM4182" s="55" t="s">
        <v>3585</v>
      </c>
      <c r="AN4182" s="185" t="s">
        <v>770</v>
      </c>
      <c r="AO4182" s="185" t="s">
        <v>5150</v>
      </c>
      <c r="AQ4182" s="55" t="s">
        <v>1545</v>
      </c>
      <c r="AR4182" s="55" t="s">
        <v>3469</v>
      </c>
      <c r="AS4182" s="55" t="s">
        <v>227</v>
      </c>
      <c r="AU4182" s="181" t="s">
        <v>7494</v>
      </c>
      <c r="AV4182" s="185" t="s">
        <v>176</v>
      </c>
      <c r="AX4182" s="185" t="s">
        <v>176</v>
      </c>
      <c r="BE4182" s="226" t="s">
        <v>3597</v>
      </c>
      <c r="BF4182" s="191" t="s">
        <v>479</v>
      </c>
      <c r="BG4182" s="191" t="s">
        <v>479</v>
      </c>
      <c r="BH4182" s="226" t="s">
        <v>3597</v>
      </c>
      <c r="BI4182" s="191" t="s">
        <v>479</v>
      </c>
      <c r="BJ4182" s="55" t="s">
        <v>176</v>
      </c>
      <c r="BK4182" s="55" t="s">
        <v>5976</v>
      </c>
      <c r="BM4182" s="192" t="s">
        <v>160</v>
      </c>
      <c r="BN4182" s="55">
        <v>4</v>
      </c>
      <c r="BO4182" s="55">
        <v>4</v>
      </c>
      <c r="BS4182" s="55">
        <v>2500</v>
      </c>
      <c r="BT4182" s="55">
        <f>(BS4182*(1-2.2%))/(BS4182*(2.2%))</f>
        <v>44.454545454545446</v>
      </c>
      <c r="BU4182" s="55" t="s">
        <v>3586</v>
      </c>
      <c r="BV4182" s="55" t="s">
        <v>3620</v>
      </c>
      <c r="DB4182" s="65">
        <v>200</v>
      </c>
      <c r="DC4182" s="65">
        <v>165</v>
      </c>
      <c r="DF4182" s="65" t="s">
        <v>3619</v>
      </c>
      <c r="FT4182" s="65">
        <v>95</v>
      </c>
      <c r="FU4182" s="65">
        <v>64</v>
      </c>
      <c r="FV4182" s="65">
        <v>15</v>
      </c>
      <c r="FW4182" s="65">
        <v>10</v>
      </c>
      <c r="FX4182" s="65" t="s">
        <v>3622</v>
      </c>
      <c r="GP4182" s="292" t="s">
        <v>7494</v>
      </c>
      <c r="JU4182" s="55" t="s">
        <v>3621</v>
      </c>
      <c r="JV4182" s="55" t="s">
        <v>3623</v>
      </c>
    </row>
    <row r="4183" spans="1:282" x14ac:dyDescent="0.25">
      <c r="A4183" s="55">
        <v>4182</v>
      </c>
      <c r="B4183" s="12" t="s">
        <v>7067</v>
      </c>
      <c r="C4183" s="155">
        <v>183</v>
      </c>
      <c r="D4183" s="55" t="s">
        <v>3616</v>
      </c>
      <c r="E4183" s="90" t="s">
        <v>3581</v>
      </c>
      <c r="G4183" s="55" t="s">
        <v>3582</v>
      </c>
      <c r="H4183" s="55">
        <v>2011</v>
      </c>
      <c r="I4183" s="55">
        <v>2009</v>
      </c>
      <c r="J4183" s="55" t="s">
        <v>2660</v>
      </c>
      <c r="K4183" s="55" t="s">
        <v>3584</v>
      </c>
      <c r="L4183" s="55" t="s">
        <v>3377</v>
      </c>
      <c r="M4183" s="90">
        <f>31+14/60</f>
        <v>31.233333333333334</v>
      </c>
      <c r="N4183" s="90">
        <f>119+53/60</f>
        <v>119.88333333333334</v>
      </c>
      <c r="O4183" s="90">
        <v>6.9</v>
      </c>
      <c r="Q4183" s="55">
        <v>15.7</v>
      </c>
      <c r="U4183" s="55" t="s">
        <v>1805</v>
      </c>
      <c r="V4183" s="55" t="s">
        <v>1805</v>
      </c>
      <c r="Y4183" s="55" t="s">
        <v>3583</v>
      </c>
      <c r="Z4183" s="55" t="s">
        <v>1359</v>
      </c>
      <c r="AD4183" s="90">
        <v>1.44</v>
      </c>
      <c r="AI4183" s="168">
        <v>5.6</v>
      </c>
      <c r="AJ4183" s="90">
        <v>2.4900000000000002</v>
      </c>
      <c r="AM4183" s="55" t="s">
        <v>3585</v>
      </c>
      <c r="AN4183" s="185" t="s">
        <v>770</v>
      </c>
      <c r="AO4183" s="185" t="s">
        <v>5150</v>
      </c>
      <c r="AQ4183" s="55" t="s">
        <v>1545</v>
      </c>
      <c r="AR4183" s="55" t="s">
        <v>3469</v>
      </c>
      <c r="AS4183" s="55" t="s">
        <v>227</v>
      </c>
      <c r="AU4183" s="181" t="s">
        <v>7494</v>
      </c>
      <c r="AV4183" s="185" t="s">
        <v>176</v>
      </c>
      <c r="AX4183" s="185" t="s">
        <v>176</v>
      </c>
      <c r="BE4183" s="226" t="s">
        <v>3597</v>
      </c>
      <c r="BF4183" s="191" t="s">
        <v>479</v>
      </c>
      <c r="BG4183" s="191" t="s">
        <v>479</v>
      </c>
      <c r="BH4183" s="226" t="s">
        <v>3597</v>
      </c>
      <c r="BI4183" s="191" t="s">
        <v>479</v>
      </c>
      <c r="BJ4183" s="55" t="s">
        <v>176</v>
      </c>
      <c r="BK4183" s="55" t="s">
        <v>5976</v>
      </c>
      <c r="BM4183" s="192" t="s">
        <v>160</v>
      </c>
      <c r="BN4183" s="55">
        <v>4</v>
      </c>
      <c r="BO4183" s="55">
        <v>4</v>
      </c>
      <c r="BS4183" s="55">
        <v>2500</v>
      </c>
      <c r="BT4183" s="55">
        <f>(BS4183*(1-2.2%))/(BS4183*(2.2%))</f>
        <v>44.454545454545446</v>
      </c>
      <c r="BU4183" s="55" t="s">
        <v>3586</v>
      </c>
      <c r="BV4183" s="55" t="s">
        <v>3620</v>
      </c>
      <c r="DB4183" s="65">
        <v>120</v>
      </c>
      <c r="DC4183" s="65">
        <v>102</v>
      </c>
      <c r="DF4183" s="65" t="s">
        <v>3619</v>
      </c>
      <c r="GP4183" s="292" t="s">
        <v>7494</v>
      </c>
      <c r="JU4183" s="55" t="s">
        <v>3621</v>
      </c>
      <c r="JV4183" s="55" t="s">
        <v>3623</v>
      </c>
    </row>
    <row r="4184" spans="1:282" x14ac:dyDescent="0.25">
      <c r="A4184" s="55">
        <v>4183</v>
      </c>
      <c r="B4184" s="12" t="s">
        <v>7067</v>
      </c>
      <c r="C4184" s="155">
        <v>183</v>
      </c>
      <c r="D4184" s="55" t="s">
        <v>3617</v>
      </c>
      <c r="E4184" s="90" t="s">
        <v>3581</v>
      </c>
      <c r="G4184" s="55" t="s">
        <v>3582</v>
      </c>
      <c r="H4184" s="55">
        <v>2011</v>
      </c>
      <c r="I4184" s="55">
        <v>2009</v>
      </c>
      <c r="J4184" s="55" t="s">
        <v>2660</v>
      </c>
      <c r="K4184" s="55" t="s">
        <v>3584</v>
      </c>
      <c r="L4184" s="55" t="s">
        <v>3377</v>
      </c>
      <c r="M4184" s="90">
        <f>31+14/60</f>
        <v>31.233333333333334</v>
      </c>
      <c r="N4184" s="90">
        <f>119+53/60</f>
        <v>119.88333333333334</v>
      </c>
      <c r="O4184" s="90">
        <v>6.9</v>
      </c>
      <c r="Q4184" s="55">
        <v>15.7</v>
      </c>
      <c r="U4184" s="55" t="s">
        <v>1805</v>
      </c>
      <c r="V4184" s="55" t="s">
        <v>1805</v>
      </c>
      <c r="Y4184" s="55" t="s">
        <v>3583</v>
      </c>
      <c r="Z4184" s="55" t="s">
        <v>1350</v>
      </c>
      <c r="AD4184" s="90">
        <v>1.44</v>
      </c>
      <c r="AI4184" s="168">
        <v>5.6</v>
      </c>
      <c r="AJ4184" s="90">
        <v>2.4900000000000002</v>
      </c>
      <c r="AM4184" s="55" t="s">
        <v>3585</v>
      </c>
      <c r="AN4184" s="185" t="s">
        <v>770</v>
      </c>
      <c r="AO4184" s="185" t="s">
        <v>5150</v>
      </c>
      <c r="AQ4184" s="55" t="s">
        <v>1545</v>
      </c>
      <c r="AR4184" s="55" t="s">
        <v>3469</v>
      </c>
      <c r="AS4184" s="55" t="s">
        <v>227</v>
      </c>
      <c r="AU4184" s="181" t="s">
        <v>7494</v>
      </c>
      <c r="AV4184" s="185" t="s">
        <v>176</v>
      </c>
      <c r="AX4184" s="185" t="s">
        <v>176</v>
      </c>
      <c r="BE4184" s="226" t="s">
        <v>3597</v>
      </c>
      <c r="BF4184" s="191" t="s">
        <v>479</v>
      </c>
      <c r="BG4184" s="191" t="s">
        <v>479</v>
      </c>
      <c r="BH4184" s="226" t="s">
        <v>3597</v>
      </c>
      <c r="BI4184" s="191" t="s">
        <v>479</v>
      </c>
      <c r="BJ4184" s="55" t="s">
        <v>176</v>
      </c>
      <c r="BK4184" s="55" t="s">
        <v>5976</v>
      </c>
      <c r="BM4184" s="192" t="s">
        <v>160</v>
      </c>
      <c r="BN4184" s="55">
        <v>4</v>
      </c>
      <c r="BO4184" s="55">
        <v>4</v>
      </c>
      <c r="BS4184" s="55">
        <v>2500</v>
      </c>
      <c r="BT4184" s="55">
        <f>(BS4184*(1-2.2%))/(BS4184*(2.2%))</f>
        <v>44.454545454545446</v>
      </c>
      <c r="BU4184" s="55" t="s">
        <v>3586</v>
      </c>
      <c r="BV4184" s="55" t="s">
        <v>3620</v>
      </c>
      <c r="DB4184" s="65">
        <v>40</v>
      </c>
      <c r="DC4184" s="65">
        <v>35</v>
      </c>
      <c r="DF4184" s="65" t="s">
        <v>3619</v>
      </c>
      <c r="GP4184" s="292" t="s">
        <v>7494</v>
      </c>
      <c r="JU4184" s="55" t="s">
        <v>3621</v>
      </c>
      <c r="JV4184" s="55" t="s">
        <v>3623</v>
      </c>
    </row>
    <row r="4185" spans="1:282" x14ac:dyDescent="0.25">
      <c r="A4185" s="55">
        <v>4184</v>
      </c>
      <c r="B4185" s="12" t="s">
        <v>7067</v>
      </c>
      <c r="C4185" s="155">
        <v>183</v>
      </c>
      <c r="D4185" s="55" t="s">
        <v>3618</v>
      </c>
      <c r="E4185" s="90" t="s">
        <v>3581</v>
      </c>
      <c r="G4185" s="55" t="s">
        <v>3582</v>
      </c>
      <c r="H4185" s="55">
        <v>2011</v>
      </c>
      <c r="I4185" s="55">
        <v>2009</v>
      </c>
      <c r="J4185" s="55" t="s">
        <v>2660</v>
      </c>
      <c r="K4185" s="55" t="s">
        <v>3584</v>
      </c>
      <c r="L4185" s="55" t="s">
        <v>3377</v>
      </c>
      <c r="M4185" s="90">
        <f>31+14/60</f>
        <v>31.233333333333334</v>
      </c>
      <c r="N4185" s="90">
        <f>119+53/60</f>
        <v>119.88333333333334</v>
      </c>
      <c r="O4185" s="90">
        <v>6.9</v>
      </c>
      <c r="Q4185" s="55">
        <v>15.7</v>
      </c>
      <c r="U4185" s="55" t="s">
        <v>1805</v>
      </c>
      <c r="V4185" s="55" t="s">
        <v>1805</v>
      </c>
      <c r="Y4185" s="55" t="s">
        <v>3583</v>
      </c>
      <c r="Z4185" s="55" t="s">
        <v>3598</v>
      </c>
      <c r="AD4185" s="90">
        <v>1.44</v>
      </c>
      <c r="AI4185" s="168">
        <v>5.6</v>
      </c>
      <c r="AJ4185" s="90">
        <v>2.4900000000000002</v>
      </c>
      <c r="AM4185" s="55" t="s">
        <v>3585</v>
      </c>
      <c r="AN4185" s="185" t="s">
        <v>770</v>
      </c>
      <c r="AO4185" s="185" t="s">
        <v>5150</v>
      </c>
      <c r="AQ4185" s="55" t="s">
        <v>1545</v>
      </c>
      <c r="AR4185" s="55" t="s">
        <v>3469</v>
      </c>
      <c r="AS4185" s="55" t="s">
        <v>227</v>
      </c>
      <c r="AU4185" s="181" t="s">
        <v>7494</v>
      </c>
      <c r="AV4185" s="185" t="s">
        <v>176</v>
      </c>
      <c r="AX4185" s="185" t="s">
        <v>176</v>
      </c>
      <c r="BE4185" s="226" t="s">
        <v>3597</v>
      </c>
      <c r="BF4185" s="191" t="s">
        <v>479</v>
      </c>
      <c r="BG4185" s="191" t="s">
        <v>479</v>
      </c>
      <c r="BH4185" s="226" t="s">
        <v>3597</v>
      </c>
      <c r="BI4185" s="191" t="s">
        <v>479</v>
      </c>
      <c r="BJ4185" s="55" t="s">
        <v>176</v>
      </c>
      <c r="BK4185" s="55" t="s">
        <v>5976</v>
      </c>
      <c r="BM4185" s="192" t="s">
        <v>160</v>
      </c>
      <c r="BN4185" s="55">
        <v>4</v>
      </c>
      <c r="BO4185" s="55">
        <v>4</v>
      </c>
      <c r="BS4185" s="55">
        <v>2500</v>
      </c>
      <c r="BT4185" s="55">
        <f>(BS4185*(1-2.2%))/(BS4185*(2.2%))</f>
        <v>44.454545454545446</v>
      </c>
      <c r="BU4185" s="55" t="s">
        <v>3586</v>
      </c>
      <c r="BV4185" s="55" t="s">
        <v>3620</v>
      </c>
      <c r="DB4185" s="65">
        <v>15</v>
      </c>
      <c r="DC4185" s="65">
        <v>34</v>
      </c>
      <c r="DF4185" s="65" t="s">
        <v>3619</v>
      </c>
      <c r="GP4185" s="292" t="s">
        <v>7494</v>
      </c>
      <c r="JU4185" s="55" t="s">
        <v>3621</v>
      </c>
      <c r="JV4185" s="55" t="s">
        <v>3623</v>
      </c>
    </row>
    <row r="4186" spans="1:282" x14ac:dyDescent="0.25">
      <c r="A4186" s="55">
        <v>4185</v>
      </c>
      <c r="B4186" s="12" t="s">
        <v>7067</v>
      </c>
      <c r="C4186" s="155">
        <v>184</v>
      </c>
      <c r="D4186" s="55" t="s">
        <v>3631</v>
      </c>
      <c r="E4186" s="90" t="s">
        <v>3624</v>
      </c>
      <c r="G4186" s="55" t="s">
        <v>3625</v>
      </c>
      <c r="H4186" s="55">
        <v>2014</v>
      </c>
      <c r="I4186" s="55">
        <v>2012</v>
      </c>
      <c r="J4186" s="55" t="s">
        <v>3626</v>
      </c>
      <c r="K4186" s="55" t="s">
        <v>3627</v>
      </c>
      <c r="L4186" s="55" t="s">
        <v>3377</v>
      </c>
      <c r="M4186" s="90">
        <f>28+12/60</f>
        <v>28.2</v>
      </c>
      <c r="N4186" s="90">
        <f>113+4.8/60</f>
        <v>113.08</v>
      </c>
      <c r="O4186" s="90">
        <v>45.8</v>
      </c>
      <c r="Q4186" s="55">
        <v>17.100000000000001</v>
      </c>
      <c r="S4186" s="90">
        <v>1500</v>
      </c>
      <c r="U4186" s="55" t="s">
        <v>1933</v>
      </c>
      <c r="V4186" s="55" t="s">
        <v>1679</v>
      </c>
      <c r="Y4186" s="55" t="s">
        <v>3628</v>
      </c>
      <c r="Z4186" s="55" t="s">
        <v>1346</v>
      </c>
      <c r="AH4186" s="55" t="s">
        <v>645</v>
      </c>
      <c r="AI4186" s="168">
        <v>5.4</v>
      </c>
      <c r="AJ4186" s="90">
        <v>1.33</v>
      </c>
      <c r="AN4186" s="185" t="s">
        <v>115</v>
      </c>
      <c r="AO4186" s="185" t="s">
        <v>5150</v>
      </c>
      <c r="AQ4186" s="55" t="s">
        <v>1545</v>
      </c>
      <c r="AR4186" s="55" t="s">
        <v>1096</v>
      </c>
      <c r="AS4186" s="55" t="s">
        <v>5133</v>
      </c>
      <c r="AU4186" s="181" t="s">
        <v>7494</v>
      </c>
      <c r="AV4186" s="185" t="s">
        <v>176</v>
      </c>
      <c r="AX4186" s="185" t="s">
        <v>176</v>
      </c>
      <c r="BK4186" s="55" t="s">
        <v>5976</v>
      </c>
      <c r="BM4186" s="192" t="s">
        <v>160</v>
      </c>
      <c r="BN4186" s="55">
        <v>3</v>
      </c>
      <c r="BO4186" s="55">
        <v>3</v>
      </c>
      <c r="BQ4186" s="55" t="s">
        <v>141</v>
      </c>
      <c r="BV4186" s="55" t="s">
        <v>3629</v>
      </c>
      <c r="CB4186" s="66">
        <f>0.5*14359</f>
        <v>7179.5</v>
      </c>
      <c r="CC4186" s="66">
        <f>0.5*13800.23</f>
        <v>6900.1149999999998</v>
      </c>
      <c r="CE4186" s="65">
        <f>0.5*414.51</f>
        <v>207.255</v>
      </c>
      <c r="CF4186" s="65">
        <f>0.5*398.38</f>
        <v>199.19</v>
      </c>
      <c r="CG4186" s="65" t="s">
        <v>3637</v>
      </c>
      <c r="GP4186" s="292" t="s">
        <v>7494</v>
      </c>
      <c r="IH4186" s="65">
        <f>10*0.038</f>
        <v>0.38</v>
      </c>
      <c r="II4186" s="65">
        <f>10*0.088</f>
        <v>0.87999999999999989</v>
      </c>
      <c r="IJ4186" s="65">
        <f>10*SQRT(3)*0.001</f>
        <v>1.7320508075688773E-2</v>
      </c>
      <c r="IK4186" s="65">
        <f>10*SQRT(3)*0.003</f>
        <v>5.1961524227066312E-2</v>
      </c>
      <c r="IL4186" s="65" t="s">
        <v>3633</v>
      </c>
      <c r="JB4186" s="65">
        <f>10*6.732</f>
        <v>67.320000000000007</v>
      </c>
      <c r="JC4186" s="65">
        <f>10*14.235</f>
        <v>142.35</v>
      </c>
      <c r="JD4186" s="65">
        <f>10*SQRT(3)*0.194</f>
        <v>3.3601785666836217</v>
      </c>
      <c r="JE4186" s="65">
        <f>10*SQRT(3)*0.411</f>
        <v>7.1187288191080844</v>
      </c>
      <c r="JF4186" s="65" t="s">
        <v>3633</v>
      </c>
    </row>
    <row r="4187" spans="1:282" x14ac:dyDescent="0.25">
      <c r="A4187" s="55">
        <v>4186</v>
      </c>
      <c r="B4187" s="12" t="s">
        <v>7067</v>
      </c>
      <c r="C4187" s="155">
        <v>184</v>
      </c>
      <c r="D4187" s="55" t="s">
        <v>3632</v>
      </c>
      <c r="E4187" s="90" t="s">
        <v>3624</v>
      </c>
      <c r="G4187" s="55" t="s">
        <v>3625</v>
      </c>
      <c r="H4187" s="55">
        <v>2014</v>
      </c>
      <c r="I4187" s="55">
        <v>2012</v>
      </c>
      <c r="J4187" s="55" t="s">
        <v>3626</v>
      </c>
      <c r="K4187" s="55" t="s">
        <v>3627</v>
      </c>
      <c r="L4187" s="55" t="s">
        <v>3377</v>
      </c>
      <c r="M4187" s="90">
        <f>28+12/60</f>
        <v>28.2</v>
      </c>
      <c r="N4187" s="90">
        <f>113+4.8/60</f>
        <v>113.08</v>
      </c>
      <c r="O4187" s="90">
        <v>45.8</v>
      </c>
      <c r="Q4187" s="55">
        <v>17.100000000000001</v>
      </c>
      <c r="S4187" s="90">
        <v>1500</v>
      </c>
      <c r="U4187" s="55" t="s">
        <v>1933</v>
      </c>
      <c r="V4187" s="55" t="s">
        <v>1679</v>
      </c>
      <c r="Y4187" s="55" t="s">
        <v>3628</v>
      </c>
      <c r="Z4187" s="55" t="s">
        <v>1346</v>
      </c>
      <c r="AH4187" s="55" t="s">
        <v>645</v>
      </c>
      <c r="AI4187" s="168">
        <v>5.4</v>
      </c>
      <c r="AJ4187" s="90">
        <v>1.33</v>
      </c>
      <c r="AN4187" s="185" t="s">
        <v>3572</v>
      </c>
      <c r="AO4187" s="185" t="s">
        <v>5150</v>
      </c>
      <c r="AQ4187" s="55" t="s">
        <v>553</v>
      </c>
      <c r="AR4187" s="55" t="s">
        <v>1096</v>
      </c>
      <c r="AS4187" s="55" t="s">
        <v>5133</v>
      </c>
      <c r="AU4187" s="181" t="s">
        <v>7494</v>
      </c>
      <c r="AV4187" s="185" t="s">
        <v>176</v>
      </c>
      <c r="AX4187" s="185" t="s">
        <v>176</v>
      </c>
      <c r="BK4187" s="55" t="s">
        <v>5976</v>
      </c>
      <c r="BM4187" s="192" t="s">
        <v>160</v>
      </c>
      <c r="BN4187" s="55">
        <v>3</v>
      </c>
      <c r="BO4187" s="55">
        <v>3</v>
      </c>
      <c r="BQ4187" s="55" t="s">
        <v>141</v>
      </c>
      <c r="BV4187" s="55" t="s">
        <v>3629</v>
      </c>
      <c r="CB4187" s="66">
        <f>0.5*14359</f>
        <v>7179.5</v>
      </c>
      <c r="CC4187" s="66">
        <f>0.5*15089.3</f>
        <v>7544.65</v>
      </c>
      <c r="CE4187" s="65">
        <f>0.5*414.51</f>
        <v>207.255</v>
      </c>
      <c r="CF4187" s="65">
        <f>0.5*435.59</f>
        <v>217.79499999999999</v>
      </c>
      <c r="CG4187" s="65" t="s">
        <v>3637</v>
      </c>
      <c r="GP4187" s="292" t="s">
        <v>7494</v>
      </c>
      <c r="IH4187" s="65">
        <f>10*0.038</f>
        <v>0.38</v>
      </c>
      <c r="II4187" s="65">
        <f>10*0.101</f>
        <v>1.01</v>
      </c>
      <c r="IJ4187" s="65">
        <f>10*SQRT(3)*0.001</f>
        <v>1.7320508075688773E-2</v>
      </c>
      <c r="IK4187" s="65">
        <f>10*SQRT(3)*0.003</f>
        <v>5.1961524227066312E-2</v>
      </c>
      <c r="IL4187" s="65" t="s">
        <v>3633</v>
      </c>
      <c r="JB4187" s="65">
        <f>10*6.732</f>
        <v>67.320000000000007</v>
      </c>
      <c r="JC4187" s="65">
        <f>10*12.092</f>
        <v>120.92</v>
      </c>
      <c r="JD4187" s="65">
        <f>10*SQRT(3)*0.194</f>
        <v>3.3601785666836217</v>
      </c>
      <c r="JE4187" s="65">
        <f>10*SQRT(3)*0.349</f>
        <v>6.0448573184153807</v>
      </c>
      <c r="JF4187" s="65" t="s">
        <v>3633</v>
      </c>
    </row>
    <row r="4188" spans="1:282" x14ac:dyDescent="0.25">
      <c r="A4188" s="55">
        <v>4187</v>
      </c>
      <c r="B4188" s="12" t="s">
        <v>7067</v>
      </c>
      <c r="C4188" s="155">
        <v>184</v>
      </c>
      <c r="D4188" s="55" t="s">
        <v>3634</v>
      </c>
      <c r="E4188" s="90" t="s">
        <v>3624</v>
      </c>
      <c r="G4188" s="55" t="s">
        <v>3625</v>
      </c>
      <c r="H4188" s="55">
        <v>2014</v>
      </c>
      <c r="I4188" s="55">
        <v>2012</v>
      </c>
      <c r="J4188" s="55" t="s">
        <v>3626</v>
      </c>
      <c r="K4188" s="55" t="s">
        <v>3627</v>
      </c>
      <c r="L4188" s="55" t="s">
        <v>3377</v>
      </c>
      <c r="M4188" s="90">
        <f>28+12/60</f>
        <v>28.2</v>
      </c>
      <c r="N4188" s="90">
        <f>113+4.8/60</f>
        <v>113.08</v>
      </c>
      <c r="O4188" s="90">
        <v>45.8</v>
      </c>
      <c r="Q4188" s="55">
        <v>17.100000000000001</v>
      </c>
      <c r="S4188" s="90">
        <v>1500</v>
      </c>
      <c r="U4188" s="55" t="s">
        <v>1933</v>
      </c>
      <c r="V4188" s="55" t="s">
        <v>1679</v>
      </c>
      <c r="Y4188" s="55" t="s">
        <v>3628</v>
      </c>
      <c r="Z4188" s="55" t="s">
        <v>1346</v>
      </c>
      <c r="AH4188" s="55" t="s">
        <v>645</v>
      </c>
      <c r="AI4188" s="168">
        <v>5.4</v>
      </c>
      <c r="AJ4188" s="90">
        <v>1.33</v>
      </c>
      <c r="AN4188" s="185" t="s">
        <v>115</v>
      </c>
      <c r="AO4188" s="185" t="s">
        <v>5150</v>
      </c>
      <c r="AQ4188" s="55" t="s">
        <v>1545</v>
      </c>
      <c r="AR4188" s="55" t="s">
        <v>1096</v>
      </c>
      <c r="AS4188" s="55" t="s">
        <v>5133</v>
      </c>
      <c r="AU4188" s="181" t="s">
        <v>7494</v>
      </c>
      <c r="AV4188" s="185" t="s">
        <v>176</v>
      </c>
      <c r="AX4188" s="185" t="s">
        <v>176</v>
      </c>
      <c r="BK4188" s="55" t="s">
        <v>5976</v>
      </c>
      <c r="BM4188" s="192" t="s">
        <v>160</v>
      </c>
      <c r="BN4188" s="55">
        <v>3</v>
      </c>
      <c r="BO4188" s="55">
        <v>3</v>
      </c>
      <c r="BQ4188" s="55" t="s">
        <v>141</v>
      </c>
      <c r="BV4188" s="55" t="s">
        <v>3630</v>
      </c>
      <c r="GP4188" s="292" t="s">
        <v>7494</v>
      </c>
      <c r="IH4188" s="65">
        <f>10*0.072</f>
        <v>0.72</v>
      </c>
      <c r="II4188" s="65">
        <f>10*0.176</f>
        <v>1.7599999999999998</v>
      </c>
      <c r="IJ4188" s="65">
        <f>10*SQRT(3)*0.02</f>
        <v>0.34641016151377541</v>
      </c>
      <c r="IK4188" s="65">
        <f>10*SQRT(3)*0.05</f>
        <v>0.8660254037844386</v>
      </c>
      <c r="IL4188" s="65" t="s">
        <v>3633</v>
      </c>
      <c r="JB4188" s="65">
        <f>10*27.874</f>
        <v>278.74</v>
      </c>
      <c r="JC4188" s="65">
        <f>10*35.673</f>
        <v>356.73</v>
      </c>
      <c r="JD4188" s="65">
        <f>10*SQRT(3)*0.805</f>
        <v>13.943009000929461</v>
      </c>
      <c r="JE4188" s="65">
        <f>10*SQRT(3)*1.03</f>
        <v>17.840123317959435</v>
      </c>
      <c r="JF4188" s="65" t="s">
        <v>3633</v>
      </c>
    </row>
    <row r="4189" spans="1:282" x14ac:dyDescent="0.25">
      <c r="A4189" s="55">
        <v>4188</v>
      </c>
      <c r="B4189" s="12" t="s">
        <v>7067</v>
      </c>
      <c r="C4189" s="155">
        <v>184</v>
      </c>
      <c r="D4189" s="55" t="s">
        <v>3635</v>
      </c>
      <c r="E4189" s="90" t="s">
        <v>3624</v>
      </c>
      <c r="G4189" s="55" t="s">
        <v>3625</v>
      </c>
      <c r="H4189" s="55">
        <v>2014</v>
      </c>
      <c r="I4189" s="55">
        <v>2012</v>
      </c>
      <c r="J4189" s="55" t="s">
        <v>3626</v>
      </c>
      <c r="K4189" s="55" t="s">
        <v>3627</v>
      </c>
      <c r="L4189" s="55" t="s">
        <v>3377</v>
      </c>
      <c r="M4189" s="90">
        <f>28+12/60</f>
        <v>28.2</v>
      </c>
      <c r="N4189" s="90">
        <f>113+4.8/60</f>
        <v>113.08</v>
      </c>
      <c r="O4189" s="90">
        <v>45.8</v>
      </c>
      <c r="Q4189" s="55">
        <v>17.100000000000001</v>
      </c>
      <c r="S4189" s="90">
        <v>1500</v>
      </c>
      <c r="U4189" s="55" t="s">
        <v>1933</v>
      </c>
      <c r="V4189" s="55" t="s">
        <v>1679</v>
      </c>
      <c r="Y4189" s="55" t="s">
        <v>3628</v>
      </c>
      <c r="Z4189" s="55" t="s">
        <v>1346</v>
      </c>
      <c r="AH4189" s="55" t="s">
        <v>645</v>
      </c>
      <c r="AI4189" s="168">
        <v>5.4</v>
      </c>
      <c r="AJ4189" s="90">
        <v>1.33</v>
      </c>
      <c r="AN4189" s="185" t="s">
        <v>3572</v>
      </c>
      <c r="AO4189" s="185" t="s">
        <v>5150</v>
      </c>
      <c r="AQ4189" s="55" t="s">
        <v>553</v>
      </c>
      <c r="AR4189" s="55" t="s">
        <v>1096</v>
      </c>
      <c r="AS4189" s="55" t="s">
        <v>5133</v>
      </c>
      <c r="AU4189" s="181" t="s">
        <v>7494</v>
      </c>
      <c r="AV4189" s="185" t="s">
        <v>176</v>
      </c>
      <c r="AX4189" s="185" t="s">
        <v>176</v>
      </c>
      <c r="BK4189" s="55" t="s">
        <v>5976</v>
      </c>
      <c r="BM4189" s="192" t="s">
        <v>160</v>
      </c>
      <c r="BN4189" s="55">
        <v>3</v>
      </c>
      <c r="BO4189" s="55">
        <v>3</v>
      </c>
      <c r="BQ4189" s="55" t="s">
        <v>141</v>
      </c>
      <c r="BV4189" s="55" t="s">
        <v>3630</v>
      </c>
      <c r="GP4189" s="292" t="s">
        <v>7494</v>
      </c>
      <c r="IH4189" s="65">
        <f>10*0.072</f>
        <v>0.72</v>
      </c>
      <c r="II4189" s="65">
        <f>10*0.145</f>
        <v>1.45</v>
      </c>
      <c r="IJ4189" s="65">
        <f>10*SQRT(3)*0.02</f>
        <v>0.34641016151377541</v>
      </c>
      <c r="IK4189" s="65">
        <f>10*SQRT(3)*0.04</f>
        <v>0.69282032302755081</v>
      </c>
      <c r="IL4189" s="65" t="s">
        <v>3633</v>
      </c>
      <c r="JB4189" s="65">
        <f>10*27.874</f>
        <v>278.74</v>
      </c>
      <c r="JC4189" s="65">
        <f>10*31.542</f>
        <v>315.42</v>
      </c>
      <c r="JD4189" s="65">
        <f>10*SQRT(3)*0.805</f>
        <v>13.943009000929461</v>
      </c>
      <c r="JE4189" s="65">
        <f>10*SQRT(3)*0.912</f>
        <v>15.796303365028161</v>
      </c>
      <c r="JF4189" s="65" t="s">
        <v>3633</v>
      </c>
    </row>
    <row r="4190" spans="1:282" x14ac:dyDescent="0.25">
      <c r="A4190" s="55">
        <v>4189</v>
      </c>
      <c r="B4190" s="12" t="s">
        <v>7067</v>
      </c>
      <c r="C4190" s="155">
        <v>184</v>
      </c>
      <c r="D4190" s="55" t="s">
        <v>3631</v>
      </c>
      <c r="E4190" s="90" t="s">
        <v>3624</v>
      </c>
      <c r="G4190" s="55" t="s">
        <v>3625</v>
      </c>
      <c r="H4190" s="55">
        <v>2014</v>
      </c>
      <c r="I4190" s="55">
        <v>2013</v>
      </c>
      <c r="J4190" s="55" t="s">
        <v>3626</v>
      </c>
      <c r="K4190" s="55" t="s">
        <v>3627</v>
      </c>
      <c r="L4190" s="55" t="s">
        <v>3377</v>
      </c>
      <c r="M4190" s="90">
        <f>28+12/60</f>
        <v>28.2</v>
      </c>
      <c r="N4190" s="90">
        <f>113+4.8/60</f>
        <v>113.08</v>
      </c>
      <c r="O4190" s="90">
        <v>45.8</v>
      </c>
      <c r="Q4190" s="55">
        <v>17.100000000000001</v>
      </c>
      <c r="S4190" s="90">
        <v>1500</v>
      </c>
      <c r="U4190" s="55" t="s">
        <v>1679</v>
      </c>
      <c r="V4190" s="55" t="s">
        <v>1679</v>
      </c>
      <c r="Y4190" s="55" t="s">
        <v>3628</v>
      </c>
      <c r="Z4190" s="55" t="s">
        <v>1346</v>
      </c>
      <c r="AH4190" s="55" t="s">
        <v>645</v>
      </c>
      <c r="AI4190" s="168">
        <v>5.4</v>
      </c>
      <c r="AJ4190" s="90">
        <v>1.33</v>
      </c>
      <c r="AN4190" s="185" t="s">
        <v>115</v>
      </c>
      <c r="AO4190" s="185" t="s">
        <v>5150</v>
      </c>
      <c r="AQ4190" s="55" t="s">
        <v>1545</v>
      </c>
      <c r="AR4190" s="55" t="s">
        <v>1096</v>
      </c>
      <c r="AS4190" s="55" t="s">
        <v>5133</v>
      </c>
      <c r="AU4190" s="181" t="s">
        <v>7494</v>
      </c>
      <c r="AV4190" s="185" t="s">
        <v>176</v>
      </c>
      <c r="AX4190" s="185" t="s">
        <v>176</v>
      </c>
      <c r="BK4190" s="55" t="s">
        <v>5976</v>
      </c>
      <c r="BM4190" s="192" t="s">
        <v>160</v>
      </c>
      <c r="BN4190" s="55">
        <v>3</v>
      </c>
      <c r="BO4190" s="55">
        <v>3</v>
      </c>
      <c r="BQ4190" s="55" t="s">
        <v>141</v>
      </c>
      <c r="BV4190" s="55" t="s">
        <v>3629</v>
      </c>
      <c r="CB4190" s="66">
        <f>0.5*13625.16</f>
        <v>6812.58</v>
      </c>
      <c r="CC4190" s="66">
        <f>0.5*14738.87</f>
        <v>7369.4350000000004</v>
      </c>
      <c r="CE4190" s="65">
        <f>0.5*322.6</f>
        <v>161.30000000000001</v>
      </c>
      <c r="CF4190" s="65">
        <f>0.5*425.47</f>
        <v>212.73500000000001</v>
      </c>
      <c r="CG4190" s="65" t="s">
        <v>3637</v>
      </c>
      <c r="GP4190" s="292" t="s">
        <v>7494</v>
      </c>
      <c r="IH4190" s="65">
        <f>10*0.042</f>
        <v>0.42000000000000004</v>
      </c>
      <c r="II4190" s="65">
        <f>10*0.1</f>
        <v>1</v>
      </c>
      <c r="IJ4190" s="65">
        <f>10*SQRT(3)*0.002</f>
        <v>3.4641016151377546E-2</v>
      </c>
      <c r="IK4190" s="65">
        <f>10*SQRT(3)*0.003</f>
        <v>5.1961524227066312E-2</v>
      </c>
      <c r="IL4190" s="65" t="s">
        <v>3633</v>
      </c>
      <c r="JB4190" s="65">
        <f>10*7.535</f>
        <v>75.349999999999994</v>
      </c>
      <c r="JC4190" s="65">
        <f>10*15.906</f>
        <v>159.06</v>
      </c>
      <c r="JD4190" s="65">
        <f>10*SQRT(3)*0.218</f>
        <v>3.775870760500152</v>
      </c>
      <c r="JE4190" s="65">
        <f>10*SQRT(3)*0.459</f>
        <v>7.950113206741146</v>
      </c>
      <c r="JF4190" s="65" t="s">
        <v>3633</v>
      </c>
    </row>
    <row r="4191" spans="1:282" x14ac:dyDescent="0.25">
      <c r="A4191" s="55">
        <v>4190</v>
      </c>
      <c r="B4191" s="12" t="s">
        <v>7067</v>
      </c>
      <c r="C4191" s="155">
        <v>184</v>
      </c>
      <c r="D4191" s="55" t="s">
        <v>3632</v>
      </c>
      <c r="E4191" s="90" t="s">
        <v>3624</v>
      </c>
      <c r="G4191" s="55" t="s">
        <v>3625</v>
      </c>
      <c r="H4191" s="55">
        <v>2014</v>
      </c>
      <c r="I4191" s="55">
        <v>2013</v>
      </c>
      <c r="J4191" s="55" t="s">
        <v>3626</v>
      </c>
      <c r="K4191" s="55" t="s">
        <v>3627</v>
      </c>
      <c r="L4191" s="55" t="s">
        <v>3377</v>
      </c>
      <c r="M4191" s="90">
        <f>28+12/60</f>
        <v>28.2</v>
      </c>
      <c r="N4191" s="90">
        <f>113+4.8/60</f>
        <v>113.08</v>
      </c>
      <c r="O4191" s="90">
        <v>45.8</v>
      </c>
      <c r="Q4191" s="55">
        <v>17.100000000000001</v>
      </c>
      <c r="S4191" s="90">
        <v>1500</v>
      </c>
      <c r="U4191" s="55" t="s">
        <v>1679</v>
      </c>
      <c r="V4191" s="55" t="s">
        <v>1679</v>
      </c>
      <c r="Y4191" s="55" t="s">
        <v>3628</v>
      </c>
      <c r="Z4191" s="55" t="s">
        <v>1346</v>
      </c>
      <c r="AH4191" s="55" t="s">
        <v>645</v>
      </c>
      <c r="AI4191" s="168">
        <v>5.4</v>
      </c>
      <c r="AJ4191" s="90">
        <v>1.33</v>
      </c>
      <c r="AN4191" s="185" t="s">
        <v>3572</v>
      </c>
      <c r="AO4191" s="185" t="s">
        <v>5150</v>
      </c>
      <c r="AQ4191" s="55" t="s">
        <v>553</v>
      </c>
      <c r="AR4191" s="55" t="s">
        <v>1096</v>
      </c>
      <c r="AS4191" s="55" t="s">
        <v>5133</v>
      </c>
      <c r="AU4191" s="181" t="s">
        <v>7494</v>
      </c>
      <c r="AV4191" s="185" t="s">
        <v>176</v>
      </c>
      <c r="AX4191" s="185" t="s">
        <v>176</v>
      </c>
      <c r="BK4191" s="55" t="s">
        <v>5976</v>
      </c>
      <c r="BM4191" s="192" t="s">
        <v>160</v>
      </c>
      <c r="BN4191" s="55">
        <v>3</v>
      </c>
      <c r="BO4191" s="55">
        <v>3</v>
      </c>
      <c r="BQ4191" s="55" t="s">
        <v>141</v>
      </c>
      <c r="BV4191" s="55" t="s">
        <v>3629</v>
      </c>
      <c r="CB4191" s="66">
        <f>0.5*13625.16</f>
        <v>6812.58</v>
      </c>
      <c r="CC4191" s="66">
        <f>0.5*14896.57</f>
        <v>7448.2849999999999</v>
      </c>
      <c r="CE4191" s="65">
        <f>0.5*322.6</f>
        <v>161.30000000000001</v>
      </c>
      <c r="CF4191" s="65">
        <f>0.5*430.03</f>
        <v>215.01499999999999</v>
      </c>
      <c r="CG4191" s="65" t="s">
        <v>3637</v>
      </c>
      <c r="GP4191" s="292" t="s">
        <v>7494</v>
      </c>
      <c r="IH4191" s="65">
        <f>10*0.042</f>
        <v>0.42000000000000004</v>
      </c>
      <c r="II4191" s="65">
        <f>10*0.11</f>
        <v>1.1000000000000001</v>
      </c>
      <c r="IJ4191" s="65">
        <f>10*SQRT(3)*0.002</f>
        <v>3.4641016151377546E-2</v>
      </c>
      <c r="IK4191" s="65">
        <f>10*SQRT(3)*0.003</f>
        <v>5.1961524227066312E-2</v>
      </c>
      <c r="IL4191" s="65" t="s">
        <v>3633</v>
      </c>
      <c r="JB4191" s="65">
        <f>10*7.535</f>
        <v>75.349999999999994</v>
      </c>
      <c r="JC4191" s="65">
        <f>10*13.523</f>
        <v>135.22999999999999</v>
      </c>
      <c r="JD4191" s="65">
        <f>10*SQRT(3)*0.218</f>
        <v>3.775870760500152</v>
      </c>
      <c r="JE4191" s="65">
        <f>10*SQRT(3)*0.39</f>
        <v>6.7549981495186211</v>
      </c>
      <c r="JF4191" s="65" t="s">
        <v>3633</v>
      </c>
    </row>
    <row r="4192" spans="1:282" x14ac:dyDescent="0.25">
      <c r="A4192" s="55">
        <v>4191</v>
      </c>
      <c r="B4192" s="12" t="s">
        <v>7067</v>
      </c>
      <c r="C4192" s="155">
        <v>184</v>
      </c>
      <c r="D4192" s="55" t="s">
        <v>3634</v>
      </c>
      <c r="E4192" s="90" t="s">
        <v>3624</v>
      </c>
      <c r="G4192" s="55" t="s">
        <v>3625</v>
      </c>
      <c r="H4192" s="55">
        <v>2014</v>
      </c>
      <c r="I4192" s="55">
        <v>2013</v>
      </c>
      <c r="J4192" s="55" t="s">
        <v>3626</v>
      </c>
      <c r="K4192" s="55" t="s">
        <v>3627</v>
      </c>
      <c r="L4192" s="55" t="s">
        <v>3377</v>
      </c>
      <c r="M4192" s="90">
        <f>28+12/60</f>
        <v>28.2</v>
      </c>
      <c r="N4192" s="90">
        <f>113+4.8/60</f>
        <v>113.08</v>
      </c>
      <c r="O4192" s="90">
        <v>45.8</v>
      </c>
      <c r="Q4192" s="55">
        <v>17.100000000000001</v>
      </c>
      <c r="S4192" s="90">
        <v>1500</v>
      </c>
      <c r="U4192" s="55" t="s">
        <v>1679</v>
      </c>
      <c r="V4192" s="55" t="s">
        <v>1679</v>
      </c>
      <c r="Y4192" s="55" t="s">
        <v>3628</v>
      </c>
      <c r="Z4192" s="55" t="s">
        <v>1346</v>
      </c>
      <c r="AH4192" s="55" t="s">
        <v>645</v>
      </c>
      <c r="AI4192" s="168">
        <v>5.4</v>
      </c>
      <c r="AJ4192" s="90">
        <v>1.33</v>
      </c>
      <c r="AN4192" s="185" t="s">
        <v>115</v>
      </c>
      <c r="AO4192" s="185" t="s">
        <v>5150</v>
      </c>
      <c r="AQ4192" s="55" t="s">
        <v>1545</v>
      </c>
      <c r="AR4192" s="55" t="s">
        <v>1096</v>
      </c>
      <c r="AS4192" s="55" t="s">
        <v>5133</v>
      </c>
      <c r="AU4192" s="181" t="s">
        <v>7494</v>
      </c>
      <c r="AV4192" s="185" t="s">
        <v>176</v>
      </c>
      <c r="AX4192" s="185" t="s">
        <v>176</v>
      </c>
      <c r="BK4192" s="55" t="s">
        <v>5976</v>
      </c>
      <c r="BM4192" s="192" t="s">
        <v>160</v>
      </c>
      <c r="BN4192" s="55">
        <v>3</v>
      </c>
      <c r="BO4192" s="55">
        <v>3</v>
      </c>
      <c r="BQ4192" s="55" t="s">
        <v>141</v>
      </c>
      <c r="BV4192" s="55" t="s">
        <v>3630</v>
      </c>
      <c r="GP4192" s="292" t="s">
        <v>7494</v>
      </c>
      <c r="IH4192" s="65">
        <f>10*0.08</f>
        <v>0.8</v>
      </c>
      <c r="II4192" s="65">
        <f>10*0.188</f>
        <v>1.88</v>
      </c>
      <c r="IJ4192" s="65">
        <f>10*SQRT(3)*0.002</f>
        <v>3.4641016151377546E-2</v>
      </c>
      <c r="IK4192" s="65">
        <f>10*SQRT(3)*0.006</f>
        <v>0.10392304845413262</v>
      </c>
      <c r="IL4192" s="65" t="s">
        <v>3633</v>
      </c>
      <c r="JB4192" s="65">
        <f>10*30.55</f>
        <v>305.5</v>
      </c>
      <c r="JC4192" s="65">
        <f>10*38.606</f>
        <v>386.06</v>
      </c>
      <c r="JD4192" s="65">
        <f>10*SQRT(3)*0.882</f>
        <v>15.276688122757497</v>
      </c>
      <c r="JE4192" s="65">
        <f>10*SQRT(3)*1.11</f>
        <v>19.225763964014536</v>
      </c>
      <c r="JF4192" s="65" t="s">
        <v>3633</v>
      </c>
    </row>
    <row r="4193" spans="1:281" x14ac:dyDescent="0.25">
      <c r="A4193" s="55">
        <v>4192</v>
      </c>
      <c r="B4193" s="12" t="s">
        <v>7067</v>
      </c>
      <c r="C4193" s="155">
        <v>184</v>
      </c>
      <c r="D4193" s="55" t="s">
        <v>3635</v>
      </c>
      <c r="E4193" s="90" t="s">
        <v>3624</v>
      </c>
      <c r="G4193" s="55" t="s">
        <v>3625</v>
      </c>
      <c r="H4193" s="55">
        <v>2014</v>
      </c>
      <c r="I4193" s="55">
        <v>2013</v>
      </c>
      <c r="J4193" s="55" t="s">
        <v>3626</v>
      </c>
      <c r="K4193" s="55" t="s">
        <v>3627</v>
      </c>
      <c r="L4193" s="55" t="s">
        <v>3377</v>
      </c>
      <c r="M4193" s="90">
        <f>28+12/60</f>
        <v>28.2</v>
      </c>
      <c r="N4193" s="90">
        <f>113+4.8/60</f>
        <v>113.08</v>
      </c>
      <c r="O4193" s="90">
        <v>45.8</v>
      </c>
      <c r="Q4193" s="55">
        <v>17.100000000000001</v>
      </c>
      <c r="S4193" s="90">
        <v>1500</v>
      </c>
      <c r="U4193" s="55" t="s">
        <v>1679</v>
      </c>
      <c r="V4193" s="55" t="s">
        <v>1679</v>
      </c>
      <c r="Y4193" s="55" t="s">
        <v>3628</v>
      </c>
      <c r="Z4193" s="55" t="s">
        <v>1346</v>
      </c>
      <c r="AH4193" s="55" t="s">
        <v>645</v>
      </c>
      <c r="AI4193" s="168">
        <v>5.4</v>
      </c>
      <c r="AJ4193" s="90">
        <v>1.33</v>
      </c>
      <c r="AN4193" s="185" t="s">
        <v>3572</v>
      </c>
      <c r="AO4193" s="185" t="s">
        <v>5150</v>
      </c>
      <c r="AQ4193" s="55" t="s">
        <v>553</v>
      </c>
      <c r="AR4193" s="55" t="s">
        <v>1096</v>
      </c>
      <c r="AS4193" s="55" t="s">
        <v>5133</v>
      </c>
      <c r="AU4193" s="181" t="s">
        <v>7494</v>
      </c>
      <c r="AV4193" s="185" t="s">
        <v>176</v>
      </c>
      <c r="AX4193" s="185" t="s">
        <v>176</v>
      </c>
      <c r="BK4193" s="55" t="s">
        <v>5976</v>
      </c>
      <c r="BM4193" s="192" t="s">
        <v>160</v>
      </c>
      <c r="BN4193" s="55">
        <v>3</v>
      </c>
      <c r="BO4193" s="55">
        <v>3</v>
      </c>
      <c r="BQ4193" s="55" t="s">
        <v>141</v>
      </c>
      <c r="BV4193" s="55" t="s">
        <v>3630</v>
      </c>
      <c r="GP4193" s="292" t="s">
        <v>7494</v>
      </c>
      <c r="IH4193" s="65">
        <f>10*0.08</f>
        <v>0.8</v>
      </c>
      <c r="II4193" s="65">
        <f>10*0.156</f>
        <v>1.56</v>
      </c>
      <c r="IJ4193" s="65">
        <f>10*SQRT(3)*0.002</f>
        <v>3.4641016151377546E-2</v>
      </c>
      <c r="IK4193" s="65">
        <f>10*SQRT(3)*0.005</f>
        <v>8.6602540378443851E-2</v>
      </c>
      <c r="IL4193" s="65" t="s">
        <v>3633</v>
      </c>
      <c r="JB4193" s="65">
        <f>10*30.55</f>
        <v>305.5</v>
      </c>
      <c r="JC4193" s="65">
        <f>10*34.358</f>
        <v>343.58</v>
      </c>
      <c r="JD4193" s="65">
        <f>10*SQRT(3)*0.882</f>
        <v>15.276688122757497</v>
      </c>
      <c r="JE4193" s="65">
        <f>10*SQRT(3)*0.992</f>
        <v>17.18194401108326</v>
      </c>
      <c r="JF4193" s="65" t="s">
        <v>3633</v>
      </c>
    </row>
    <row r="4194" spans="1:281" x14ac:dyDescent="0.25">
      <c r="A4194" s="55">
        <v>4193</v>
      </c>
      <c r="B4194" s="12" t="s">
        <v>7067</v>
      </c>
      <c r="C4194" s="155">
        <v>185</v>
      </c>
      <c r="D4194" s="55" t="s">
        <v>3631</v>
      </c>
      <c r="E4194" s="90" t="s">
        <v>3624</v>
      </c>
      <c r="G4194" s="55" t="s">
        <v>3625</v>
      </c>
      <c r="H4194" s="55">
        <v>2014</v>
      </c>
      <c r="I4194" s="55">
        <v>2012</v>
      </c>
      <c r="J4194" s="55" t="s">
        <v>3626</v>
      </c>
      <c r="K4194" s="55" t="s">
        <v>3627</v>
      </c>
      <c r="L4194" s="55" t="s">
        <v>3377</v>
      </c>
      <c r="M4194" s="90">
        <f>28+12/60</f>
        <v>28.2</v>
      </c>
      <c r="N4194" s="90">
        <f>113+4.8/60</f>
        <v>113.08</v>
      </c>
      <c r="O4194" s="90">
        <v>45.8</v>
      </c>
      <c r="Q4194" s="55">
        <v>17.100000000000001</v>
      </c>
      <c r="S4194" s="90">
        <v>1500</v>
      </c>
      <c r="U4194" s="55" t="s">
        <v>1933</v>
      </c>
      <c r="V4194" s="55" t="s">
        <v>1679</v>
      </c>
      <c r="Y4194" s="55" t="s">
        <v>3628</v>
      </c>
      <c r="Z4194" s="55" t="s">
        <v>1346</v>
      </c>
      <c r="AH4194" s="55" t="s">
        <v>645</v>
      </c>
      <c r="AI4194" s="168">
        <v>5.4</v>
      </c>
      <c r="AJ4194" s="90">
        <v>1.33</v>
      </c>
      <c r="AN4194" s="185" t="s">
        <v>115</v>
      </c>
      <c r="AO4194" s="185" t="s">
        <v>5150</v>
      </c>
      <c r="AQ4194" s="55" t="s">
        <v>1545</v>
      </c>
      <c r="AR4194" s="55" t="s">
        <v>1096</v>
      </c>
      <c r="AS4194" s="55" t="s">
        <v>5133</v>
      </c>
      <c r="AU4194" s="181" t="s">
        <v>7494</v>
      </c>
      <c r="AV4194" s="185" t="s">
        <v>176</v>
      </c>
      <c r="AX4194" s="185" t="s">
        <v>176</v>
      </c>
      <c r="BK4194" s="55" t="s">
        <v>5976</v>
      </c>
      <c r="BM4194" s="192" t="s">
        <v>160</v>
      </c>
      <c r="BN4194" s="55">
        <v>3</v>
      </c>
      <c r="BO4194" s="55">
        <v>3</v>
      </c>
      <c r="BQ4194" s="55" t="s">
        <v>141</v>
      </c>
      <c r="BV4194" s="55" t="s">
        <v>3629</v>
      </c>
      <c r="GP4194" s="292" t="s">
        <v>7494</v>
      </c>
      <c r="HI4194" s="65">
        <v>2.2000000000000002</v>
      </c>
      <c r="HJ4194" s="65">
        <v>2.87</v>
      </c>
      <c r="HK4194" s="65">
        <f>SQRT(3)*0.02</f>
        <v>3.4641016151377546E-2</v>
      </c>
      <c r="HL4194" s="65">
        <f>SQRT(3)*0.05</f>
        <v>8.6602540378443865E-2</v>
      </c>
      <c r="HM4194" s="65" t="s">
        <v>3638</v>
      </c>
      <c r="HN4194" s="65">
        <v>7.13</v>
      </c>
      <c r="HO4194" s="65">
        <v>9.07</v>
      </c>
      <c r="HP4194" s="65">
        <f>SQRT(3)*0.41</f>
        <v>0.71014083110323956</v>
      </c>
      <c r="HQ4194" s="65">
        <f>SQRT(3)*0.29</f>
        <v>0.50229473419497439</v>
      </c>
      <c r="HR4194" s="65" t="s">
        <v>3640</v>
      </c>
      <c r="HS4194" s="65">
        <v>39.799999999999997</v>
      </c>
      <c r="HT4194" s="65">
        <v>29.3</v>
      </c>
      <c r="HU4194" s="65">
        <f>SQRT(3)*1.96</f>
        <v>3.3948195828349994</v>
      </c>
      <c r="HV4194" s="65">
        <f>SQRT(3)*0.78</f>
        <v>1.3509996299037244</v>
      </c>
      <c r="HW4194" s="65" t="s">
        <v>3639</v>
      </c>
      <c r="JU4194" s="55" t="s">
        <v>3642</v>
      </c>
    </row>
    <row r="4195" spans="1:281" x14ac:dyDescent="0.25">
      <c r="A4195" s="55">
        <v>4194</v>
      </c>
      <c r="B4195" s="12" t="s">
        <v>7067</v>
      </c>
      <c r="C4195" s="155">
        <v>185</v>
      </c>
      <c r="D4195" s="55" t="s">
        <v>3632</v>
      </c>
      <c r="E4195" s="90" t="s">
        <v>3624</v>
      </c>
      <c r="G4195" s="55" t="s">
        <v>3625</v>
      </c>
      <c r="H4195" s="55">
        <v>2014</v>
      </c>
      <c r="I4195" s="55">
        <v>2012</v>
      </c>
      <c r="J4195" s="55" t="s">
        <v>3626</v>
      </c>
      <c r="K4195" s="55" t="s">
        <v>3627</v>
      </c>
      <c r="L4195" s="55" t="s">
        <v>3377</v>
      </c>
      <c r="M4195" s="90">
        <f>28+12/60</f>
        <v>28.2</v>
      </c>
      <c r="N4195" s="90">
        <f>113+4.8/60</f>
        <v>113.08</v>
      </c>
      <c r="O4195" s="90">
        <v>45.8</v>
      </c>
      <c r="Q4195" s="55">
        <v>17.100000000000001</v>
      </c>
      <c r="S4195" s="90">
        <v>1500</v>
      </c>
      <c r="U4195" s="55" t="s">
        <v>1933</v>
      </c>
      <c r="V4195" s="55" t="s">
        <v>1679</v>
      </c>
      <c r="Y4195" s="55" t="s">
        <v>3628</v>
      </c>
      <c r="Z4195" s="55" t="s">
        <v>1346</v>
      </c>
      <c r="AH4195" s="55" t="s">
        <v>645</v>
      </c>
      <c r="AI4195" s="168">
        <v>5.4</v>
      </c>
      <c r="AJ4195" s="90">
        <v>1.33</v>
      </c>
      <c r="AN4195" s="185" t="s">
        <v>3572</v>
      </c>
      <c r="AO4195" s="185" t="s">
        <v>5150</v>
      </c>
      <c r="AQ4195" s="55" t="s">
        <v>553</v>
      </c>
      <c r="AR4195" s="55" t="s">
        <v>1096</v>
      </c>
      <c r="AS4195" s="55" t="s">
        <v>5133</v>
      </c>
      <c r="AU4195" s="181" t="s">
        <v>7494</v>
      </c>
      <c r="AV4195" s="185" t="s">
        <v>176</v>
      </c>
      <c r="AX4195" s="185" t="s">
        <v>176</v>
      </c>
      <c r="BK4195" s="55" t="s">
        <v>5976</v>
      </c>
      <c r="BM4195" s="192" t="s">
        <v>160</v>
      </c>
      <c r="BN4195" s="55">
        <v>3</v>
      </c>
      <c r="BO4195" s="55">
        <v>3</v>
      </c>
      <c r="BQ4195" s="55" t="s">
        <v>141</v>
      </c>
      <c r="BV4195" s="55" t="s">
        <v>3629</v>
      </c>
      <c r="GP4195" s="292" t="s">
        <v>7494</v>
      </c>
      <c r="HI4195" s="65">
        <v>2.2000000000000002</v>
      </c>
      <c r="HJ4195" s="65">
        <v>2.74</v>
      </c>
      <c r="HK4195" s="65">
        <f>SQRT(3)*0.02</f>
        <v>3.4641016151377546E-2</v>
      </c>
      <c r="HL4195" s="65">
        <f>SQRT(3)*0.03</f>
        <v>5.1961524227066312E-2</v>
      </c>
      <c r="HM4195" s="65" t="s">
        <v>3638</v>
      </c>
      <c r="HN4195" s="65">
        <v>7.13</v>
      </c>
      <c r="HO4195" s="65">
        <v>10.27</v>
      </c>
      <c r="HP4195" s="65">
        <f>SQRT(3)*0.41</f>
        <v>0.71014083110323956</v>
      </c>
      <c r="HQ4195" s="65">
        <f>SQRT(3)*0.26</f>
        <v>0.4503332099679081</v>
      </c>
      <c r="HR4195" s="65" t="s">
        <v>3640</v>
      </c>
      <c r="HS4195" s="65">
        <v>39.799999999999997</v>
      </c>
      <c r="HT4195" s="65">
        <v>31.93</v>
      </c>
      <c r="HU4195" s="65">
        <f>SQRT(3)*1.96</f>
        <v>3.3948195828349994</v>
      </c>
      <c r="HV4195" s="65">
        <f>SQRT(3)*0.55</f>
        <v>0.95262794416288255</v>
      </c>
      <c r="HW4195" s="65" t="s">
        <v>3639</v>
      </c>
      <c r="JU4195" s="55" t="s">
        <v>3642</v>
      </c>
    </row>
    <row r="4196" spans="1:281" x14ac:dyDescent="0.25">
      <c r="A4196" s="55">
        <v>4195</v>
      </c>
      <c r="B4196" s="12" t="s">
        <v>7067</v>
      </c>
      <c r="C4196" s="155">
        <v>185</v>
      </c>
      <c r="D4196" s="55" t="s">
        <v>3647</v>
      </c>
      <c r="E4196" s="90" t="s">
        <v>3624</v>
      </c>
      <c r="G4196" s="55" t="s">
        <v>3625</v>
      </c>
      <c r="H4196" s="55">
        <v>2014</v>
      </c>
      <c r="I4196" s="55">
        <v>2012</v>
      </c>
      <c r="J4196" s="55" t="s">
        <v>3626</v>
      </c>
      <c r="K4196" s="55" t="s">
        <v>3627</v>
      </c>
      <c r="L4196" s="55" t="s">
        <v>3377</v>
      </c>
      <c r="M4196" s="90">
        <f>28+12/60</f>
        <v>28.2</v>
      </c>
      <c r="N4196" s="90">
        <f>113+4.8/60</f>
        <v>113.08</v>
      </c>
      <c r="O4196" s="90">
        <v>45.8</v>
      </c>
      <c r="Q4196" s="55">
        <v>17.100000000000001</v>
      </c>
      <c r="S4196" s="90">
        <v>1500</v>
      </c>
      <c r="U4196" s="55" t="s">
        <v>1933</v>
      </c>
      <c r="V4196" s="55" t="s">
        <v>1679</v>
      </c>
      <c r="Y4196" s="55" t="s">
        <v>3628</v>
      </c>
      <c r="Z4196" s="55" t="s">
        <v>1346</v>
      </c>
      <c r="AH4196" s="55" t="s">
        <v>645</v>
      </c>
      <c r="AI4196" s="168">
        <v>5.4</v>
      </c>
      <c r="AJ4196" s="90">
        <v>1.33</v>
      </c>
      <c r="AN4196" s="185" t="s">
        <v>3641</v>
      </c>
      <c r="AO4196" s="185" t="s">
        <v>5150</v>
      </c>
      <c r="AQ4196" s="55" t="s">
        <v>1097</v>
      </c>
      <c r="AR4196" s="55" t="s">
        <v>1096</v>
      </c>
      <c r="AS4196" s="55" t="s">
        <v>5133</v>
      </c>
      <c r="AU4196" s="181" t="s">
        <v>7494</v>
      </c>
      <c r="AV4196" s="185" t="s">
        <v>176</v>
      </c>
      <c r="AX4196" s="185" t="s">
        <v>176</v>
      </c>
      <c r="BK4196" s="55" t="s">
        <v>5976</v>
      </c>
      <c r="BM4196" s="192" t="s">
        <v>160</v>
      </c>
      <c r="BN4196" s="55">
        <v>3</v>
      </c>
      <c r="BO4196" s="55">
        <v>3</v>
      </c>
      <c r="BQ4196" s="55" t="s">
        <v>141</v>
      </c>
      <c r="BV4196" s="55" t="s">
        <v>3629</v>
      </c>
      <c r="GP4196" s="292" t="s">
        <v>7494</v>
      </c>
      <c r="HI4196" s="65">
        <v>2.2000000000000002</v>
      </c>
      <c r="HJ4196" s="65">
        <v>2.99</v>
      </c>
      <c r="HK4196" s="65">
        <f>SQRT(3)*0.02</f>
        <v>3.4641016151377546E-2</v>
      </c>
      <c r="HL4196" s="65">
        <f>SQRT(3)*0.05</f>
        <v>8.6602540378443865E-2</v>
      </c>
      <c r="HM4196" s="65" t="s">
        <v>3638</v>
      </c>
      <c r="HN4196" s="65">
        <v>7.13</v>
      </c>
      <c r="HO4196" s="65">
        <v>8.1</v>
      </c>
      <c r="HP4196" s="65">
        <f>SQRT(3)*0.41</f>
        <v>0.71014083110323956</v>
      </c>
      <c r="HQ4196" s="65">
        <f>SQRT(3)*0.21</f>
        <v>0.36373066958946421</v>
      </c>
      <c r="HR4196" s="65" t="s">
        <v>3640</v>
      </c>
      <c r="HS4196" s="65">
        <v>39.799999999999997</v>
      </c>
      <c r="HT4196" s="65">
        <v>41.67</v>
      </c>
      <c r="HU4196" s="65">
        <f>SQRT(3)*1.96</f>
        <v>3.3948195828349994</v>
      </c>
      <c r="HV4196" s="65">
        <f>SQRT(3)*0.7</f>
        <v>1.2124355652982139</v>
      </c>
      <c r="HW4196" s="65" t="s">
        <v>3639</v>
      </c>
      <c r="JU4196" s="55" t="s">
        <v>3642</v>
      </c>
    </row>
    <row r="4197" spans="1:281" x14ac:dyDescent="0.25">
      <c r="A4197" s="55">
        <v>4196</v>
      </c>
      <c r="B4197" s="12" t="s">
        <v>7067</v>
      </c>
      <c r="C4197" s="155">
        <v>185</v>
      </c>
      <c r="D4197" s="55" t="s">
        <v>3631</v>
      </c>
      <c r="E4197" s="90" t="s">
        <v>3624</v>
      </c>
      <c r="G4197" s="55" t="s">
        <v>3625</v>
      </c>
      <c r="H4197" s="55">
        <v>2014</v>
      </c>
      <c r="I4197" s="55">
        <v>2012</v>
      </c>
      <c r="J4197" s="55" t="s">
        <v>3626</v>
      </c>
      <c r="K4197" s="55" t="s">
        <v>3627</v>
      </c>
      <c r="L4197" s="55" t="s">
        <v>3377</v>
      </c>
      <c r="M4197" s="90">
        <f>28+12/60</f>
        <v>28.2</v>
      </c>
      <c r="N4197" s="90">
        <f>113+4.8/60</f>
        <v>113.08</v>
      </c>
      <c r="O4197" s="90">
        <v>45.8</v>
      </c>
      <c r="Q4197" s="55">
        <v>17.100000000000001</v>
      </c>
      <c r="S4197" s="90">
        <v>1500</v>
      </c>
      <c r="U4197" s="55" t="s">
        <v>1933</v>
      </c>
      <c r="V4197" s="55" t="s">
        <v>1679</v>
      </c>
      <c r="Y4197" s="55" t="s">
        <v>3628</v>
      </c>
      <c r="Z4197" s="55" t="s">
        <v>1346</v>
      </c>
      <c r="AH4197" s="55" t="s">
        <v>645</v>
      </c>
      <c r="AI4197" s="168">
        <v>5.4</v>
      </c>
      <c r="AJ4197" s="90">
        <v>1.33</v>
      </c>
      <c r="AN4197" s="185" t="s">
        <v>115</v>
      </c>
      <c r="AO4197" s="185" t="s">
        <v>5150</v>
      </c>
      <c r="AQ4197" s="55" t="s">
        <v>1545</v>
      </c>
      <c r="AR4197" s="55" t="s">
        <v>1096</v>
      </c>
      <c r="AS4197" s="55" t="s">
        <v>5133</v>
      </c>
      <c r="AU4197" s="181" t="s">
        <v>7494</v>
      </c>
      <c r="AV4197" s="185" t="s">
        <v>176</v>
      </c>
      <c r="AX4197" s="185" t="s">
        <v>176</v>
      </c>
      <c r="BK4197" s="55" t="s">
        <v>5976</v>
      </c>
      <c r="BM4197" s="192" t="s">
        <v>160</v>
      </c>
      <c r="BN4197" s="55">
        <v>3</v>
      </c>
      <c r="BO4197" s="55">
        <v>3</v>
      </c>
      <c r="BQ4197" s="55" t="s">
        <v>141</v>
      </c>
      <c r="BV4197" s="55" t="s">
        <v>3629</v>
      </c>
      <c r="GP4197" s="292" t="s">
        <v>7494</v>
      </c>
      <c r="HI4197" s="65">
        <v>1.55</v>
      </c>
      <c r="HJ4197" s="65">
        <v>2.0299999999999998</v>
      </c>
      <c r="HK4197" s="65">
        <f>SQRT(3)*0.02</f>
        <v>3.4641016151377546E-2</v>
      </c>
      <c r="HL4197" s="65">
        <f>SQRT(3)*0.03</f>
        <v>5.1961524227066312E-2</v>
      </c>
      <c r="HM4197" s="65" t="s">
        <v>3638</v>
      </c>
      <c r="HN4197" s="65">
        <v>7.87</v>
      </c>
      <c r="HO4197" s="65">
        <v>9.4700000000000006</v>
      </c>
      <c r="HP4197" s="65">
        <f>SQRT(3)*0.43</f>
        <v>0.74478184725461716</v>
      </c>
      <c r="HQ4197" s="65">
        <f>SQRT(3)*0.25</f>
        <v>0.4330127018922193</v>
      </c>
      <c r="HR4197" s="65" t="s">
        <v>3640</v>
      </c>
      <c r="HS4197" s="65">
        <v>33.770000000000003</v>
      </c>
      <c r="HT4197" s="65">
        <v>23.8</v>
      </c>
      <c r="HU4197" s="65">
        <f>SQRT(3)*1.11</f>
        <v>1.9225763964014539</v>
      </c>
      <c r="HV4197" s="65">
        <f>SQRT(3)*0.71</f>
        <v>1.2297560733739028</v>
      </c>
      <c r="HW4197" s="65" t="s">
        <v>3639</v>
      </c>
      <c r="JU4197" s="55" t="s">
        <v>3643</v>
      </c>
    </row>
    <row r="4198" spans="1:281" x14ac:dyDescent="0.25">
      <c r="A4198" s="55">
        <v>4197</v>
      </c>
      <c r="B4198" s="12" t="s">
        <v>7067</v>
      </c>
      <c r="C4198" s="155">
        <v>185</v>
      </c>
      <c r="D4198" s="55" t="s">
        <v>3632</v>
      </c>
      <c r="E4198" s="90" t="s">
        <v>3624</v>
      </c>
      <c r="G4198" s="55" t="s">
        <v>3625</v>
      </c>
      <c r="H4198" s="55">
        <v>2014</v>
      </c>
      <c r="I4198" s="55">
        <v>2012</v>
      </c>
      <c r="J4198" s="55" t="s">
        <v>3626</v>
      </c>
      <c r="K4198" s="55" t="s">
        <v>3627</v>
      </c>
      <c r="L4198" s="55" t="s">
        <v>3377</v>
      </c>
      <c r="M4198" s="90">
        <f>28+12/60</f>
        <v>28.2</v>
      </c>
      <c r="N4198" s="90">
        <f>113+4.8/60</f>
        <v>113.08</v>
      </c>
      <c r="O4198" s="90">
        <v>45.8</v>
      </c>
      <c r="Q4198" s="55">
        <v>17.100000000000001</v>
      </c>
      <c r="S4198" s="90">
        <v>1500</v>
      </c>
      <c r="U4198" s="55" t="s">
        <v>1933</v>
      </c>
      <c r="V4198" s="55" t="s">
        <v>1679</v>
      </c>
      <c r="Y4198" s="55" t="s">
        <v>3628</v>
      </c>
      <c r="Z4198" s="55" t="s">
        <v>1346</v>
      </c>
      <c r="AH4198" s="55" t="s">
        <v>645</v>
      </c>
      <c r="AI4198" s="168">
        <v>5.4</v>
      </c>
      <c r="AJ4198" s="90">
        <v>1.33</v>
      </c>
      <c r="AN4198" s="185" t="s">
        <v>3572</v>
      </c>
      <c r="AO4198" s="185" t="s">
        <v>5150</v>
      </c>
      <c r="AQ4198" s="55" t="s">
        <v>553</v>
      </c>
      <c r="AR4198" s="55" t="s">
        <v>1096</v>
      </c>
      <c r="AS4198" s="55" t="s">
        <v>5133</v>
      </c>
      <c r="AU4198" s="181" t="s">
        <v>7494</v>
      </c>
      <c r="AV4198" s="185" t="s">
        <v>176</v>
      </c>
      <c r="AX4198" s="185" t="s">
        <v>176</v>
      </c>
      <c r="BK4198" s="55" t="s">
        <v>5976</v>
      </c>
      <c r="BM4198" s="192" t="s">
        <v>160</v>
      </c>
      <c r="BN4198" s="55">
        <v>3</v>
      </c>
      <c r="BO4198" s="55">
        <v>3</v>
      </c>
      <c r="BQ4198" s="55" t="s">
        <v>141</v>
      </c>
      <c r="BV4198" s="55" t="s">
        <v>3629</v>
      </c>
      <c r="GP4198" s="292" t="s">
        <v>7494</v>
      </c>
      <c r="HI4198" s="65">
        <v>1.55</v>
      </c>
      <c r="HJ4198" s="65">
        <v>1.9</v>
      </c>
      <c r="HK4198" s="65">
        <f>SQRT(3)*0.02</f>
        <v>3.4641016151377546E-2</v>
      </c>
      <c r="HL4198" s="65">
        <f>SQRT(3)*0.05</f>
        <v>8.6602540378443865E-2</v>
      </c>
      <c r="HM4198" s="65" t="s">
        <v>3638</v>
      </c>
      <c r="HN4198" s="65">
        <v>7.87</v>
      </c>
      <c r="HO4198" s="65">
        <v>11.5</v>
      </c>
      <c r="HP4198" s="65">
        <f>SQRT(3)*0.43</f>
        <v>0.74478184725461716</v>
      </c>
      <c r="HQ4198" s="65">
        <f>SQRT(3)*0.32</f>
        <v>0.55425625842204074</v>
      </c>
      <c r="HR4198" s="65" t="s">
        <v>3640</v>
      </c>
      <c r="HS4198" s="65">
        <v>33.770000000000003</v>
      </c>
      <c r="HT4198" s="65">
        <v>26.53</v>
      </c>
      <c r="HU4198" s="65">
        <f>SQRT(3)*1.11</f>
        <v>1.9225763964014539</v>
      </c>
      <c r="HV4198" s="65">
        <f>SQRT(3)*0.72</f>
        <v>1.2470765814495914</v>
      </c>
      <c r="HW4198" s="65" t="s">
        <v>3639</v>
      </c>
      <c r="JU4198" s="55" t="s">
        <v>3643</v>
      </c>
    </row>
    <row r="4199" spans="1:281" x14ac:dyDescent="0.25">
      <c r="A4199" s="55">
        <v>4198</v>
      </c>
      <c r="B4199" s="12" t="s">
        <v>7067</v>
      </c>
      <c r="C4199" s="155">
        <v>185</v>
      </c>
      <c r="D4199" s="55" t="s">
        <v>3647</v>
      </c>
      <c r="E4199" s="90" t="s">
        <v>3624</v>
      </c>
      <c r="G4199" s="55" t="s">
        <v>3625</v>
      </c>
      <c r="H4199" s="55">
        <v>2014</v>
      </c>
      <c r="I4199" s="55">
        <v>2012</v>
      </c>
      <c r="J4199" s="55" t="s">
        <v>3626</v>
      </c>
      <c r="K4199" s="55" t="s">
        <v>3627</v>
      </c>
      <c r="L4199" s="55" t="s">
        <v>3377</v>
      </c>
      <c r="M4199" s="90">
        <f>28+12/60</f>
        <v>28.2</v>
      </c>
      <c r="N4199" s="90">
        <f>113+4.8/60</f>
        <v>113.08</v>
      </c>
      <c r="O4199" s="90">
        <v>45.8</v>
      </c>
      <c r="Q4199" s="55">
        <v>17.100000000000001</v>
      </c>
      <c r="S4199" s="90">
        <v>1500</v>
      </c>
      <c r="U4199" s="55" t="s">
        <v>1933</v>
      </c>
      <c r="V4199" s="55" t="s">
        <v>1679</v>
      </c>
      <c r="Y4199" s="55" t="s">
        <v>3628</v>
      </c>
      <c r="Z4199" s="55" t="s">
        <v>1346</v>
      </c>
      <c r="AH4199" s="55" t="s">
        <v>645</v>
      </c>
      <c r="AI4199" s="168">
        <v>5.4</v>
      </c>
      <c r="AJ4199" s="90">
        <v>1.33</v>
      </c>
      <c r="AN4199" s="185" t="s">
        <v>3641</v>
      </c>
      <c r="AO4199" s="185" t="s">
        <v>5150</v>
      </c>
      <c r="AQ4199" s="55" t="s">
        <v>1097</v>
      </c>
      <c r="AR4199" s="55" t="s">
        <v>1096</v>
      </c>
      <c r="AS4199" s="55" t="s">
        <v>5133</v>
      </c>
      <c r="AU4199" s="181" t="s">
        <v>7494</v>
      </c>
      <c r="AV4199" s="185" t="s">
        <v>176</v>
      </c>
      <c r="AX4199" s="185" t="s">
        <v>176</v>
      </c>
      <c r="BK4199" s="55" t="s">
        <v>5976</v>
      </c>
      <c r="BM4199" s="192" t="s">
        <v>160</v>
      </c>
      <c r="BN4199" s="55">
        <v>3</v>
      </c>
      <c r="BO4199" s="55">
        <v>3</v>
      </c>
      <c r="BQ4199" s="55" t="s">
        <v>141</v>
      </c>
      <c r="BV4199" s="55" t="s">
        <v>3629</v>
      </c>
      <c r="GP4199" s="292" t="s">
        <v>7494</v>
      </c>
      <c r="HI4199" s="65">
        <v>1.55</v>
      </c>
      <c r="HJ4199" s="65">
        <v>2.44</v>
      </c>
      <c r="HK4199" s="65">
        <f>SQRT(3)*0.02</f>
        <v>3.4641016151377546E-2</v>
      </c>
      <c r="HL4199" s="65">
        <f>SQRT(3)*0.02</f>
        <v>3.4641016151377546E-2</v>
      </c>
      <c r="HM4199" s="65" t="s">
        <v>3638</v>
      </c>
      <c r="HN4199" s="65">
        <v>7.87</v>
      </c>
      <c r="HO4199" s="65">
        <v>8.73</v>
      </c>
      <c r="HP4199" s="65">
        <f>SQRT(3)*0.43</f>
        <v>0.74478184725461716</v>
      </c>
      <c r="HQ4199" s="65">
        <f>SQRT(3)*0.38</f>
        <v>0.65817930687617332</v>
      </c>
      <c r="HR4199" s="65" t="s">
        <v>3640</v>
      </c>
      <c r="HS4199" s="65">
        <v>33.770000000000003</v>
      </c>
      <c r="HT4199" s="65">
        <v>35.83</v>
      </c>
      <c r="HU4199" s="65">
        <f>SQRT(3)*1.11</f>
        <v>1.9225763964014539</v>
      </c>
      <c r="HV4199" s="65">
        <f>SQRT(3)*0.76</f>
        <v>1.3163586137523466</v>
      </c>
      <c r="HW4199" s="65" t="s">
        <v>3639</v>
      </c>
      <c r="JU4199" s="55" t="s">
        <v>3643</v>
      </c>
    </row>
    <row r="4200" spans="1:281" x14ac:dyDescent="0.25">
      <c r="A4200" s="55">
        <v>4199</v>
      </c>
      <c r="B4200" s="12" t="s">
        <v>7067</v>
      </c>
      <c r="C4200" s="155">
        <v>185</v>
      </c>
      <c r="D4200" s="55" t="s">
        <v>3631</v>
      </c>
      <c r="E4200" s="90" t="s">
        <v>3624</v>
      </c>
      <c r="G4200" s="55" t="s">
        <v>3625</v>
      </c>
      <c r="H4200" s="55">
        <v>2014</v>
      </c>
      <c r="I4200" s="55">
        <v>2012</v>
      </c>
      <c r="J4200" s="55" t="s">
        <v>3626</v>
      </c>
      <c r="K4200" s="55" t="s">
        <v>3627</v>
      </c>
      <c r="L4200" s="55" t="s">
        <v>3377</v>
      </c>
      <c r="M4200" s="90">
        <f>28+12/60</f>
        <v>28.2</v>
      </c>
      <c r="N4200" s="90">
        <f>113+4.8/60</f>
        <v>113.08</v>
      </c>
      <c r="O4200" s="90">
        <v>45.8</v>
      </c>
      <c r="Q4200" s="55">
        <v>17.100000000000001</v>
      </c>
      <c r="S4200" s="90">
        <v>1500</v>
      </c>
      <c r="U4200" s="55" t="s">
        <v>1933</v>
      </c>
      <c r="V4200" s="55" t="s">
        <v>1679</v>
      </c>
      <c r="Y4200" s="55" t="s">
        <v>3628</v>
      </c>
      <c r="Z4200" s="55" t="s">
        <v>1346</v>
      </c>
      <c r="AH4200" s="55" t="s">
        <v>645</v>
      </c>
      <c r="AI4200" s="168">
        <v>5.4</v>
      </c>
      <c r="AJ4200" s="90">
        <v>1.33</v>
      </c>
      <c r="AN4200" s="185" t="s">
        <v>115</v>
      </c>
      <c r="AO4200" s="185" t="s">
        <v>5150</v>
      </c>
      <c r="AQ4200" s="55" t="s">
        <v>1545</v>
      </c>
      <c r="AR4200" s="55" t="s">
        <v>1096</v>
      </c>
      <c r="AS4200" s="55" t="s">
        <v>5133</v>
      </c>
      <c r="AU4200" s="181" t="s">
        <v>7494</v>
      </c>
      <c r="AV4200" s="185" t="s">
        <v>176</v>
      </c>
      <c r="AX4200" s="185" t="s">
        <v>176</v>
      </c>
      <c r="BK4200" s="55" t="s">
        <v>5976</v>
      </c>
      <c r="BM4200" s="192" t="s">
        <v>160</v>
      </c>
      <c r="BN4200" s="55">
        <v>3</v>
      </c>
      <c r="BO4200" s="55">
        <v>3</v>
      </c>
      <c r="BQ4200" s="55" t="s">
        <v>141</v>
      </c>
      <c r="BV4200" s="55" t="s">
        <v>3629</v>
      </c>
      <c r="GP4200" s="292" t="s">
        <v>7494</v>
      </c>
      <c r="HI4200" s="65">
        <v>1.34</v>
      </c>
      <c r="HJ4200" s="65">
        <v>1.62</v>
      </c>
      <c r="HK4200" s="65">
        <f>SQRT(3)*0.03</f>
        <v>5.1961524227066312E-2</v>
      </c>
      <c r="HL4200" s="65">
        <f>SQRT(3)*0.04</f>
        <v>6.9282032302755092E-2</v>
      </c>
      <c r="HM4200" s="65" t="s">
        <v>3638</v>
      </c>
      <c r="HN4200" s="65">
        <v>8.5</v>
      </c>
      <c r="HO4200" s="65">
        <v>9.93</v>
      </c>
      <c r="HP4200" s="65">
        <f>SQRT(3)*0.36</f>
        <v>0.62353829072479572</v>
      </c>
      <c r="HQ4200" s="65">
        <f>SQRT(3)*0.43</f>
        <v>0.74478184725461716</v>
      </c>
      <c r="HR4200" s="65" t="s">
        <v>3640</v>
      </c>
      <c r="HS4200" s="65">
        <v>24.23</v>
      </c>
      <c r="HT4200" s="65">
        <v>21.57</v>
      </c>
      <c r="HU4200" s="65">
        <f>SQRT(3)*0.58</f>
        <v>1.0045894683899488</v>
      </c>
      <c r="HV4200" s="65">
        <f>SQRT(3)*0.57</f>
        <v>0.98726896031425992</v>
      </c>
      <c r="HW4200" s="65" t="s">
        <v>3639</v>
      </c>
      <c r="JU4200" s="55" t="s">
        <v>3644</v>
      </c>
    </row>
    <row r="4201" spans="1:281" x14ac:dyDescent="0.25">
      <c r="A4201" s="55">
        <v>4200</v>
      </c>
      <c r="B4201" s="12" t="s">
        <v>7067</v>
      </c>
      <c r="C4201" s="155">
        <v>185</v>
      </c>
      <c r="D4201" s="55" t="s">
        <v>3632</v>
      </c>
      <c r="E4201" s="90" t="s">
        <v>3624</v>
      </c>
      <c r="G4201" s="55" t="s">
        <v>3625</v>
      </c>
      <c r="H4201" s="55">
        <v>2014</v>
      </c>
      <c r="I4201" s="55">
        <v>2012</v>
      </c>
      <c r="J4201" s="55" t="s">
        <v>3626</v>
      </c>
      <c r="K4201" s="55" t="s">
        <v>3627</v>
      </c>
      <c r="L4201" s="55" t="s">
        <v>3377</v>
      </c>
      <c r="M4201" s="90">
        <f>28+12/60</f>
        <v>28.2</v>
      </c>
      <c r="N4201" s="90">
        <f>113+4.8/60</f>
        <v>113.08</v>
      </c>
      <c r="O4201" s="90">
        <v>45.8</v>
      </c>
      <c r="Q4201" s="55">
        <v>17.100000000000001</v>
      </c>
      <c r="S4201" s="90">
        <v>1500</v>
      </c>
      <c r="U4201" s="55" t="s">
        <v>1933</v>
      </c>
      <c r="V4201" s="55" t="s">
        <v>1679</v>
      </c>
      <c r="Y4201" s="55" t="s">
        <v>3628</v>
      </c>
      <c r="Z4201" s="55" t="s">
        <v>1346</v>
      </c>
      <c r="AH4201" s="55" t="s">
        <v>645</v>
      </c>
      <c r="AI4201" s="168">
        <v>5.4</v>
      </c>
      <c r="AJ4201" s="90">
        <v>1.33</v>
      </c>
      <c r="AN4201" s="185" t="s">
        <v>3572</v>
      </c>
      <c r="AO4201" s="185" t="s">
        <v>5150</v>
      </c>
      <c r="AQ4201" s="55" t="s">
        <v>553</v>
      </c>
      <c r="AR4201" s="55" t="s">
        <v>1096</v>
      </c>
      <c r="AS4201" s="55" t="s">
        <v>5133</v>
      </c>
      <c r="AU4201" s="181" t="s">
        <v>7494</v>
      </c>
      <c r="AV4201" s="185" t="s">
        <v>176</v>
      </c>
      <c r="AX4201" s="185" t="s">
        <v>176</v>
      </c>
      <c r="BK4201" s="55" t="s">
        <v>5976</v>
      </c>
      <c r="BM4201" s="192" t="s">
        <v>160</v>
      </c>
      <c r="BN4201" s="55">
        <v>3</v>
      </c>
      <c r="BO4201" s="55">
        <v>3</v>
      </c>
      <c r="BQ4201" s="55" t="s">
        <v>141</v>
      </c>
      <c r="BV4201" s="55" t="s">
        <v>3629</v>
      </c>
      <c r="GP4201" s="292" t="s">
        <v>7494</v>
      </c>
      <c r="HI4201" s="65">
        <v>1.34</v>
      </c>
      <c r="HJ4201" s="65">
        <v>1.42</v>
      </c>
      <c r="HK4201" s="65">
        <f>SQRT(3)*0.03</f>
        <v>5.1961524227066312E-2</v>
      </c>
      <c r="HL4201" s="65">
        <f>SQRT(3)*0.03</f>
        <v>5.1961524227066312E-2</v>
      </c>
      <c r="HM4201" s="65" t="s">
        <v>3638</v>
      </c>
      <c r="HN4201" s="65">
        <v>8.5</v>
      </c>
      <c r="HO4201" s="65">
        <v>12.87</v>
      </c>
      <c r="HP4201" s="65">
        <f>SQRT(3)*0.36</f>
        <v>0.62353829072479572</v>
      </c>
      <c r="HQ4201" s="65">
        <f>SQRT(3)*0.44</f>
        <v>0.76210235533030601</v>
      </c>
      <c r="HR4201" s="65" t="s">
        <v>3640</v>
      </c>
      <c r="HS4201" s="65">
        <v>24.23</v>
      </c>
      <c r="HT4201" s="65">
        <v>23.07</v>
      </c>
      <c r="HU4201" s="65">
        <f>SQRT(3)*0.58</f>
        <v>1.0045894683899488</v>
      </c>
      <c r="HV4201" s="65">
        <f>SQRT(3)*0.58</f>
        <v>1.0045894683899488</v>
      </c>
      <c r="HW4201" s="65" t="s">
        <v>3639</v>
      </c>
      <c r="JU4201" s="55" t="s">
        <v>3644</v>
      </c>
    </row>
    <row r="4202" spans="1:281" x14ac:dyDescent="0.25">
      <c r="A4202" s="55">
        <v>4201</v>
      </c>
      <c r="B4202" s="12" t="s">
        <v>7067</v>
      </c>
      <c r="C4202" s="155">
        <v>185</v>
      </c>
      <c r="D4202" s="55" t="s">
        <v>3647</v>
      </c>
      <c r="E4202" s="90" t="s">
        <v>3624</v>
      </c>
      <c r="G4202" s="55" t="s">
        <v>3625</v>
      </c>
      <c r="H4202" s="55">
        <v>2014</v>
      </c>
      <c r="I4202" s="55">
        <v>2012</v>
      </c>
      <c r="J4202" s="55" t="s">
        <v>3626</v>
      </c>
      <c r="K4202" s="55" t="s">
        <v>3627</v>
      </c>
      <c r="L4202" s="55" t="s">
        <v>3377</v>
      </c>
      <c r="M4202" s="90">
        <f>28+12/60</f>
        <v>28.2</v>
      </c>
      <c r="N4202" s="90">
        <f>113+4.8/60</f>
        <v>113.08</v>
      </c>
      <c r="O4202" s="90">
        <v>45.8</v>
      </c>
      <c r="Q4202" s="55">
        <v>17.100000000000001</v>
      </c>
      <c r="S4202" s="90">
        <v>1500</v>
      </c>
      <c r="U4202" s="55" t="s">
        <v>1933</v>
      </c>
      <c r="V4202" s="55" t="s">
        <v>1679</v>
      </c>
      <c r="Y4202" s="55" t="s">
        <v>3628</v>
      </c>
      <c r="Z4202" s="55" t="s">
        <v>1346</v>
      </c>
      <c r="AH4202" s="55" t="s">
        <v>645</v>
      </c>
      <c r="AI4202" s="168">
        <v>5.4</v>
      </c>
      <c r="AJ4202" s="90">
        <v>1.33</v>
      </c>
      <c r="AN4202" s="185" t="s">
        <v>3641</v>
      </c>
      <c r="AO4202" s="185" t="s">
        <v>5150</v>
      </c>
      <c r="AQ4202" s="55" t="s">
        <v>1097</v>
      </c>
      <c r="AR4202" s="55" t="s">
        <v>1096</v>
      </c>
      <c r="AS4202" s="55" t="s">
        <v>5133</v>
      </c>
      <c r="AU4202" s="181" t="s">
        <v>7494</v>
      </c>
      <c r="AV4202" s="185" t="s">
        <v>176</v>
      </c>
      <c r="AX4202" s="185" t="s">
        <v>176</v>
      </c>
      <c r="BK4202" s="55" t="s">
        <v>5976</v>
      </c>
      <c r="BM4202" s="192" t="s">
        <v>160</v>
      </c>
      <c r="BN4202" s="55">
        <v>3</v>
      </c>
      <c r="BO4202" s="55">
        <v>3</v>
      </c>
      <c r="BQ4202" s="55" t="s">
        <v>141</v>
      </c>
      <c r="BV4202" s="55" t="s">
        <v>3629</v>
      </c>
      <c r="GP4202" s="292" t="s">
        <v>7494</v>
      </c>
      <c r="HI4202" s="65">
        <v>1.34</v>
      </c>
      <c r="HJ4202" s="65">
        <v>2.11</v>
      </c>
      <c r="HK4202" s="65">
        <f>SQRT(3)*0.03</f>
        <v>5.1961524227066312E-2</v>
      </c>
      <c r="HL4202" s="65">
        <f>SQRT(3)*0.05</f>
        <v>8.6602540378443865E-2</v>
      </c>
      <c r="HM4202" s="65" t="s">
        <v>3638</v>
      </c>
      <c r="HN4202" s="65">
        <v>8.5</v>
      </c>
      <c r="HO4202" s="65">
        <v>9.17</v>
      </c>
      <c r="HP4202" s="65">
        <f>SQRT(3)*0.36</f>
        <v>0.62353829072479572</v>
      </c>
      <c r="HQ4202" s="65">
        <f>SQRT(3)*0.23</f>
        <v>0.39837168574084175</v>
      </c>
      <c r="HR4202" s="65" t="s">
        <v>3640</v>
      </c>
      <c r="HS4202" s="65">
        <v>24.23</v>
      </c>
      <c r="HT4202" s="65">
        <v>28.57</v>
      </c>
      <c r="HU4202" s="65">
        <f>SQRT(3)*0.58</f>
        <v>1.0045894683899488</v>
      </c>
      <c r="HV4202" s="65">
        <f>SQRT(3)*0.43</f>
        <v>0.74478184725461716</v>
      </c>
      <c r="HW4202" s="65" t="s">
        <v>3639</v>
      </c>
      <c r="JU4202" s="55" t="s">
        <v>3644</v>
      </c>
    </row>
    <row r="4203" spans="1:281" x14ac:dyDescent="0.25">
      <c r="A4203" s="55">
        <v>4202</v>
      </c>
      <c r="B4203" s="12" t="s">
        <v>7067</v>
      </c>
      <c r="C4203" s="155">
        <v>185</v>
      </c>
      <c r="D4203" s="55" t="s">
        <v>3631</v>
      </c>
      <c r="E4203" s="90" t="s">
        <v>3624</v>
      </c>
      <c r="G4203" s="55" t="s">
        <v>3625</v>
      </c>
      <c r="H4203" s="55">
        <v>2014</v>
      </c>
      <c r="I4203" s="55">
        <v>2012</v>
      </c>
      <c r="J4203" s="55" t="s">
        <v>3626</v>
      </c>
      <c r="K4203" s="55" t="s">
        <v>3627</v>
      </c>
      <c r="L4203" s="55" t="s">
        <v>3377</v>
      </c>
      <c r="M4203" s="90">
        <f>28+12/60</f>
        <v>28.2</v>
      </c>
      <c r="N4203" s="90">
        <f>113+4.8/60</f>
        <v>113.08</v>
      </c>
      <c r="O4203" s="90">
        <v>45.8</v>
      </c>
      <c r="Q4203" s="55">
        <v>17.100000000000001</v>
      </c>
      <c r="S4203" s="90">
        <v>1500</v>
      </c>
      <c r="U4203" s="55" t="s">
        <v>1933</v>
      </c>
      <c r="V4203" s="55" t="s">
        <v>1679</v>
      </c>
      <c r="Y4203" s="55" t="s">
        <v>3628</v>
      </c>
      <c r="Z4203" s="55" t="s">
        <v>1346</v>
      </c>
      <c r="AH4203" s="55" t="s">
        <v>645</v>
      </c>
      <c r="AI4203" s="168">
        <v>5.4</v>
      </c>
      <c r="AJ4203" s="90">
        <v>1.33</v>
      </c>
      <c r="AN4203" s="185" t="s">
        <v>115</v>
      </c>
      <c r="AO4203" s="185" t="s">
        <v>5150</v>
      </c>
      <c r="AQ4203" s="55" t="s">
        <v>1545</v>
      </c>
      <c r="AR4203" s="55" t="s">
        <v>1096</v>
      </c>
      <c r="AS4203" s="55" t="s">
        <v>5133</v>
      </c>
      <c r="AU4203" s="181" t="s">
        <v>7494</v>
      </c>
      <c r="AV4203" s="185" t="s">
        <v>176</v>
      </c>
      <c r="AX4203" s="185" t="s">
        <v>176</v>
      </c>
      <c r="BK4203" s="55" t="s">
        <v>5976</v>
      </c>
      <c r="BM4203" s="192" t="s">
        <v>160</v>
      </c>
      <c r="BN4203" s="55">
        <v>3</v>
      </c>
      <c r="BO4203" s="55">
        <v>3</v>
      </c>
      <c r="BQ4203" s="55" t="s">
        <v>141</v>
      </c>
      <c r="BV4203" s="55" t="s">
        <v>3629</v>
      </c>
      <c r="GP4203" s="292" t="s">
        <v>7494</v>
      </c>
      <c r="HI4203" s="65">
        <v>0.27</v>
      </c>
      <c r="HJ4203" s="65">
        <v>0.65</v>
      </c>
      <c r="HK4203" s="65">
        <f>SQRT(3)*0.04</f>
        <v>6.9282032302755092E-2</v>
      </c>
      <c r="HL4203" s="65">
        <f>SQRT(3)*0.03</f>
        <v>5.1961524227066312E-2</v>
      </c>
      <c r="HM4203" s="65" t="s">
        <v>3638</v>
      </c>
      <c r="HN4203" s="65">
        <v>10.199999999999999</v>
      </c>
      <c r="HO4203" s="65">
        <v>17.47</v>
      </c>
      <c r="HP4203" s="65">
        <f>SQRT(3)*0.26</f>
        <v>0.4503332099679081</v>
      </c>
      <c r="HQ4203" s="65">
        <f>SQRT(3)*0.35</f>
        <v>0.60621778264910697</v>
      </c>
      <c r="HR4203" s="65" t="s">
        <v>3640</v>
      </c>
      <c r="HS4203" s="65">
        <v>23.07</v>
      </c>
      <c r="HT4203" s="65">
        <v>27.33</v>
      </c>
      <c r="HU4203" s="65">
        <f>SQRT(3)*0.44</f>
        <v>0.76210235533030601</v>
      </c>
      <c r="HV4203" s="65">
        <f>SQRT(3)*0.61</f>
        <v>1.0565509926170151</v>
      </c>
      <c r="HW4203" s="65" t="s">
        <v>3639</v>
      </c>
      <c r="JU4203" s="55" t="s">
        <v>3645</v>
      </c>
    </row>
    <row r="4204" spans="1:281" x14ac:dyDescent="0.25">
      <c r="A4204" s="55">
        <v>4203</v>
      </c>
      <c r="B4204" s="12" t="s">
        <v>7067</v>
      </c>
      <c r="C4204" s="155">
        <v>185</v>
      </c>
      <c r="D4204" s="55" t="s">
        <v>3632</v>
      </c>
      <c r="E4204" s="90" t="s">
        <v>3624</v>
      </c>
      <c r="G4204" s="55" t="s">
        <v>3625</v>
      </c>
      <c r="H4204" s="55">
        <v>2014</v>
      </c>
      <c r="I4204" s="55">
        <v>2012</v>
      </c>
      <c r="J4204" s="55" t="s">
        <v>3626</v>
      </c>
      <c r="K4204" s="55" t="s">
        <v>3627</v>
      </c>
      <c r="L4204" s="55" t="s">
        <v>3377</v>
      </c>
      <c r="M4204" s="90">
        <f>28+12/60</f>
        <v>28.2</v>
      </c>
      <c r="N4204" s="90">
        <f>113+4.8/60</f>
        <v>113.08</v>
      </c>
      <c r="O4204" s="90">
        <v>45.8</v>
      </c>
      <c r="Q4204" s="55">
        <v>17.100000000000001</v>
      </c>
      <c r="S4204" s="90">
        <v>1500</v>
      </c>
      <c r="U4204" s="55" t="s">
        <v>1933</v>
      </c>
      <c r="V4204" s="55" t="s">
        <v>1679</v>
      </c>
      <c r="Y4204" s="55" t="s">
        <v>3628</v>
      </c>
      <c r="Z4204" s="55" t="s">
        <v>1346</v>
      </c>
      <c r="AH4204" s="55" t="s">
        <v>645</v>
      </c>
      <c r="AI4204" s="168">
        <v>5.4</v>
      </c>
      <c r="AJ4204" s="90">
        <v>1.33</v>
      </c>
      <c r="AN4204" s="185" t="s">
        <v>3572</v>
      </c>
      <c r="AO4204" s="185" t="s">
        <v>5150</v>
      </c>
      <c r="AQ4204" s="55" t="s">
        <v>553</v>
      </c>
      <c r="AR4204" s="55" t="s">
        <v>1096</v>
      </c>
      <c r="AS4204" s="55" t="s">
        <v>5133</v>
      </c>
      <c r="AU4204" s="181" t="s">
        <v>7494</v>
      </c>
      <c r="AV4204" s="185" t="s">
        <v>176</v>
      </c>
      <c r="AX4204" s="185" t="s">
        <v>176</v>
      </c>
      <c r="BK4204" s="55" t="s">
        <v>5976</v>
      </c>
      <c r="BM4204" s="192" t="s">
        <v>160</v>
      </c>
      <c r="BN4204" s="55">
        <v>3</v>
      </c>
      <c r="BO4204" s="55">
        <v>3</v>
      </c>
      <c r="BQ4204" s="55" t="s">
        <v>141</v>
      </c>
      <c r="BV4204" s="55" t="s">
        <v>3629</v>
      </c>
      <c r="GP4204" s="292" t="s">
        <v>7494</v>
      </c>
      <c r="HI4204" s="65">
        <v>0.27</v>
      </c>
      <c r="HJ4204" s="65">
        <v>0.59</v>
      </c>
      <c r="HK4204" s="65">
        <f>SQRT(3)*0.04</f>
        <v>6.9282032302755092E-2</v>
      </c>
      <c r="HL4204" s="65">
        <f>SQRT(3)*0.04</f>
        <v>6.9282032302755092E-2</v>
      </c>
      <c r="HM4204" s="65" t="s">
        <v>3638</v>
      </c>
      <c r="HN4204" s="65">
        <v>10.199999999999999</v>
      </c>
      <c r="HO4204" s="65">
        <v>18.47</v>
      </c>
      <c r="HP4204" s="65">
        <f>SQRT(3)*0.26</f>
        <v>0.4503332099679081</v>
      </c>
      <c r="HQ4204" s="65">
        <f>SQRT(3)*0.35</f>
        <v>0.60621778264910697</v>
      </c>
      <c r="HR4204" s="65" t="s">
        <v>3640</v>
      </c>
      <c r="HS4204" s="65">
        <v>23.07</v>
      </c>
      <c r="HT4204" s="65">
        <v>18.07</v>
      </c>
      <c r="HU4204" s="65">
        <f>SQRT(3)*0.44</f>
        <v>0.76210235533030601</v>
      </c>
      <c r="HV4204" s="65">
        <f>SQRT(3)*0.43</f>
        <v>0.74478184725461716</v>
      </c>
      <c r="HW4204" s="65" t="s">
        <v>3639</v>
      </c>
      <c r="JU4204" s="55" t="s">
        <v>3645</v>
      </c>
    </row>
    <row r="4205" spans="1:281" x14ac:dyDescent="0.25">
      <c r="A4205" s="55">
        <v>4204</v>
      </c>
      <c r="B4205" s="12" t="s">
        <v>7067</v>
      </c>
      <c r="C4205" s="155">
        <v>185</v>
      </c>
      <c r="D4205" s="55" t="s">
        <v>3647</v>
      </c>
      <c r="E4205" s="90" t="s">
        <v>3624</v>
      </c>
      <c r="G4205" s="55" t="s">
        <v>3625</v>
      </c>
      <c r="H4205" s="55">
        <v>2014</v>
      </c>
      <c r="I4205" s="55">
        <v>2012</v>
      </c>
      <c r="J4205" s="55" t="s">
        <v>3626</v>
      </c>
      <c r="K4205" s="55" t="s">
        <v>3627</v>
      </c>
      <c r="L4205" s="55" t="s">
        <v>3377</v>
      </c>
      <c r="M4205" s="90">
        <f>28+12/60</f>
        <v>28.2</v>
      </c>
      <c r="N4205" s="90">
        <f>113+4.8/60</f>
        <v>113.08</v>
      </c>
      <c r="O4205" s="90">
        <v>45.8</v>
      </c>
      <c r="Q4205" s="55">
        <v>17.100000000000001</v>
      </c>
      <c r="S4205" s="90">
        <v>1500</v>
      </c>
      <c r="U4205" s="55" t="s">
        <v>1933</v>
      </c>
      <c r="V4205" s="55" t="s">
        <v>1679</v>
      </c>
      <c r="Y4205" s="55" t="s">
        <v>3628</v>
      </c>
      <c r="Z4205" s="55" t="s">
        <v>1346</v>
      </c>
      <c r="AH4205" s="55" t="s">
        <v>645</v>
      </c>
      <c r="AI4205" s="168">
        <v>5.4</v>
      </c>
      <c r="AJ4205" s="90">
        <v>1.33</v>
      </c>
      <c r="AN4205" s="185" t="s">
        <v>3641</v>
      </c>
      <c r="AO4205" s="185" t="s">
        <v>5150</v>
      </c>
      <c r="AQ4205" s="55" t="s">
        <v>1097</v>
      </c>
      <c r="AR4205" s="55" t="s">
        <v>1096</v>
      </c>
      <c r="AS4205" s="55" t="s">
        <v>5133</v>
      </c>
      <c r="AU4205" s="181" t="s">
        <v>7494</v>
      </c>
      <c r="AV4205" s="185" t="s">
        <v>176</v>
      </c>
      <c r="AX4205" s="185" t="s">
        <v>176</v>
      </c>
      <c r="BK4205" s="55" t="s">
        <v>5976</v>
      </c>
      <c r="BM4205" s="192" t="s">
        <v>160</v>
      </c>
      <c r="BN4205" s="55">
        <v>3</v>
      </c>
      <c r="BO4205" s="55">
        <v>3</v>
      </c>
      <c r="BQ4205" s="55" t="s">
        <v>141</v>
      </c>
      <c r="BV4205" s="55" t="s">
        <v>3629</v>
      </c>
      <c r="GP4205" s="292" t="s">
        <v>7494</v>
      </c>
      <c r="HI4205" s="65">
        <v>0.27</v>
      </c>
      <c r="HJ4205" s="65">
        <v>1.0900000000000001</v>
      </c>
      <c r="HK4205" s="65">
        <f>SQRT(3)*0.04</f>
        <v>6.9282032302755092E-2</v>
      </c>
      <c r="HL4205" s="65">
        <f>SQRT(3)*0.03</f>
        <v>5.1961524227066312E-2</v>
      </c>
      <c r="HM4205" s="65" t="s">
        <v>3638</v>
      </c>
      <c r="HN4205" s="65">
        <v>10.199999999999999</v>
      </c>
      <c r="HO4205" s="65">
        <v>12.77</v>
      </c>
      <c r="HP4205" s="65">
        <f>SQRT(3)*0.26</f>
        <v>0.4503332099679081</v>
      </c>
      <c r="HQ4205" s="65">
        <f>SQRT(3)*0.43</f>
        <v>0.74478184725461716</v>
      </c>
      <c r="HR4205" s="65" t="s">
        <v>3640</v>
      </c>
      <c r="HS4205" s="65">
        <v>23.07</v>
      </c>
      <c r="HT4205" s="65">
        <v>24.93</v>
      </c>
      <c r="HU4205" s="65">
        <f>SQRT(3)*0.44</f>
        <v>0.76210235533030601</v>
      </c>
      <c r="HV4205" s="65">
        <f>SQRT(3)*0.82</f>
        <v>1.4202816622064791</v>
      </c>
      <c r="HW4205" s="65" t="s">
        <v>3639</v>
      </c>
      <c r="JU4205" s="55" t="s">
        <v>3645</v>
      </c>
    </row>
    <row r="4206" spans="1:281" x14ac:dyDescent="0.25">
      <c r="A4206" s="55">
        <v>4205</v>
      </c>
      <c r="B4206" s="12" t="s">
        <v>7067</v>
      </c>
      <c r="C4206" s="155">
        <v>185</v>
      </c>
      <c r="D4206" s="55" t="s">
        <v>3631</v>
      </c>
      <c r="E4206" s="90" t="s">
        <v>3624</v>
      </c>
      <c r="G4206" s="55" t="s">
        <v>3625</v>
      </c>
      <c r="H4206" s="55">
        <v>2014</v>
      </c>
      <c r="I4206" s="55">
        <v>2012</v>
      </c>
      <c r="J4206" s="55" t="s">
        <v>3626</v>
      </c>
      <c r="K4206" s="55" t="s">
        <v>3627</v>
      </c>
      <c r="L4206" s="55" t="s">
        <v>3377</v>
      </c>
      <c r="M4206" s="90">
        <f>28+12/60</f>
        <v>28.2</v>
      </c>
      <c r="N4206" s="90">
        <f>113+4.8/60</f>
        <v>113.08</v>
      </c>
      <c r="O4206" s="90">
        <v>45.8</v>
      </c>
      <c r="Q4206" s="55">
        <v>17.100000000000001</v>
      </c>
      <c r="S4206" s="90">
        <v>1500</v>
      </c>
      <c r="U4206" s="55" t="s">
        <v>1933</v>
      </c>
      <c r="V4206" s="55" t="s">
        <v>1679</v>
      </c>
      <c r="Y4206" s="55" t="s">
        <v>3628</v>
      </c>
      <c r="Z4206" s="55" t="s">
        <v>1346</v>
      </c>
      <c r="AH4206" s="55" t="s">
        <v>645</v>
      </c>
      <c r="AI4206" s="168">
        <v>5.4</v>
      </c>
      <c r="AJ4206" s="90">
        <v>1.33</v>
      </c>
      <c r="AN4206" s="185" t="s">
        <v>115</v>
      </c>
      <c r="AO4206" s="185" t="s">
        <v>5150</v>
      </c>
      <c r="AQ4206" s="55" t="s">
        <v>1545</v>
      </c>
      <c r="AR4206" s="55" t="s">
        <v>1096</v>
      </c>
      <c r="AS4206" s="55" t="s">
        <v>5133</v>
      </c>
      <c r="AU4206" s="181" t="s">
        <v>7494</v>
      </c>
      <c r="AV4206" s="185" t="s">
        <v>176</v>
      </c>
      <c r="AX4206" s="185" t="s">
        <v>176</v>
      </c>
      <c r="BK4206" s="55" t="s">
        <v>5976</v>
      </c>
      <c r="BM4206" s="192" t="s">
        <v>160</v>
      </c>
      <c r="BN4206" s="55">
        <v>3</v>
      </c>
      <c r="BO4206" s="55">
        <v>3</v>
      </c>
      <c r="BQ4206" s="55" t="s">
        <v>141</v>
      </c>
      <c r="BV4206" s="55" t="s">
        <v>3630</v>
      </c>
      <c r="GP4206" s="292" t="s">
        <v>7494</v>
      </c>
      <c r="HI4206" s="65">
        <v>1.94</v>
      </c>
      <c r="HJ4206" s="65">
        <v>2.5299999999999998</v>
      </c>
      <c r="HK4206" s="65">
        <f>SQRT(3)*0.02</f>
        <v>3.4641016151377546E-2</v>
      </c>
      <c r="HL4206" s="65">
        <f>SQRT(3)*0.05</f>
        <v>8.6602540378443865E-2</v>
      </c>
      <c r="HM4206" s="65" t="s">
        <v>3638</v>
      </c>
      <c r="HN4206" s="65">
        <v>4.99</v>
      </c>
      <c r="HO4206" s="65">
        <v>6.93</v>
      </c>
      <c r="HP4206" s="65">
        <f>SQRT(3)*0.41</f>
        <v>0.71014083110323956</v>
      </c>
      <c r="HQ4206" s="65">
        <f>SQRT(3)*0.28</f>
        <v>0.48497422611928565</v>
      </c>
      <c r="HR4206" s="65" t="s">
        <v>3640</v>
      </c>
      <c r="HS4206" s="65">
        <v>34.79</v>
      </c>
      <c r="HT4206" s="65">
        <v>24.29</v>
      </c>
      <c r="HU4206" s="65">
        <f>SQRT(3)*1.96</f>
        <v>3.3948195828349994</v>
      </c>
      <c r="HV4206" s="65">
        <f>SQRT(3)*0.74</f>
        <v>1.2817175976009691</v>
      </c>
      <c r="HW4206" s="65" t="s">
        <v>3639</v>
      </c>
      <c r="JU4206" s="55" t="s">
        <v>3642</v>
      </c>
    </row>
    <row r="4207" spans="1:281" x14ac:dyDescent="0.25">
      <c r="A4207" s="55">
        <v>4206</v>
      </c>
      <c r="B4207" s="12" t="s">
        <v>7067</v>
      </c>
      <c r="C4207" s="155">
        <v>185</v>
      </c>
      <c r="D4207" s="55" t="s">
        <v>3632</v>
      </c>
      <c r="E4207" s="90" t="s">
        <v>3624</v>
      </c>
      <c r="G4207" s="55" t="s">
        <v>3625</v>
      </c>
      <c r="H4207" s="55">
        <v>2014</v>
      </c>
      <c r="I4207" s="55">
        <v>2012</v>
      </c>
      <c r="J4207" s="55" t="s">
        <v>3626</v>
      </c>
      <c r="K4207" s="55" t="s">
        <v>3627</v>
      </c>
      <c r="L4207" s="55" t="s">
        <v>3377</v>
      </c>
      <c r="M4207" s="90">
        <f>28+12/60</f>
        <v>28.2</v>
      </c>
      <c r="N4207" s="90">
        <f>113+4.8/60</f>
        <v>113.08</v>
      </c>
      <c r="O4207" s="90">
        <v>45.8</v>
      </c>
      <c r="Q4207" s="55">
        <v>17.100000000000001</v>
      </c>
      <c r="S4207" s="90">
        <v>1500</v>
      </c>
      <c r="U4207" s="55" t="s">
        <v>1933</v>
      </c>
      <c r="V4207" s="55" t="s">
        <v>1679</v>
      </c>
      <c r="Y4207" s="55" t="s">
        <v>3628</v>
      </c>
      <c r="Z4207" s="55" t="s">
        <v>1346</v>
      </c>
      <c r="AH4207" s="55" t="s">
        <v>645</v>
      </c>
      <c r="AI4207" s="168">
        <v>5.4</v>
      </c>
      <c r="AJ4207" s="90">
        <v>1.33</v>
      </c>
      <c r="AN4207" s="185" t="s">
        <v>3572</v>
      </c>
      <c r="AO4207" s="185" t="s">
        <v>5150</v>
      </c>
      <c r="AQ4207" s="55" t="s">
        <v>553</v>
      </c>
      <c r="AR4207" s="55" t="s">
        <v>1096</v>
      </c>
      <c r="AS4207" s="55" t="s">
        <v>5133</v>
      </c>
      <c r="AU4207" s="181" t="s">
        <v>7494</v>
      </c>
      <c r="AV4207" s="185" t="s">
        <v>176</v>
      </c>
      <c r="AX4207" s="185" t="s">
        <v>176</v>
      </c>
      <c r="BK4207" s="55" t="s">
        <v>5976</v>
      </c>
      <c r="BM4207" s="192" t="s">
        <v>160</v>
      </c>
      <c r="BN4207" s="55">
        <v>3</v>
      </c>
      <c r="BO4207" s="55">
        <v>3</v>
      </c>
      <c r="BQ4207" s="55" t="s">
        <v>141</v>
      </c>
      <c r="BV4207" s="55" t="s">
        <v>3630</v>
      </c>
      <c r="GP4207" s="292" t="s">
        <v>7494</v>
      </c>
      <c r="HI4207" s="65">
        <v>1.94</v>
      </c>
      <c r="HJ4207" s="65">
        <v>2.42</v>
      </c>
      <c r="HK4207" s="65">
        <f>SQRT(3)*0.02</f>
        <v>3.4641016151377546E-2</v>
      </c>
      <c r="HL4207" s="65">
        <f>SQRT(3)*0.03</f>
        <v>5.1961524227066312E-2</v>
      </c>
      <c r="HM4207" s="65" t="s">
        <v>3638</v>
      </c>
      <c r="HN4207" s="65">
        <v>4.99</v>
      </c>
      <c r="HO4207" s="65">
        <v>8.1</v>
      </c>
      <c r="HP4207" s="65">
        <f>SQRT(3)*0.41</f>
        <v>0.71014083110323956</v>
      </c>
      <c r="HQ4207" s="65">
        <f>SQRT(3)*0.26</f>
        <v>0.4503332099679081</v>
      </c>
      <c r="HR4207" s="65" t="s">
        <v>3640</v>
      </c>
      <c r="HS4207" s="65">
        <v>34.79</v>
      </c>
      <c r="HT4207" s="65">
        <v>26.77</v>
      </c>
      <c r="HU4207" s="65">
        <f>SQRT(3)*1.96</f>
        <v>3.3948195828349994</v>
      </c>
      <c r="HV4207" s="65">
        <f>SQRT(3)*0.51</f>
        <v>0.88334591186012734</v>
      </c>
      <c r="HW4207" s="65" t="s">
        <v>3639</v>
      </c>
      <c r="JU4207" s="55" t="s">
        <v>3642</v>
      </c>
    </row>
    <row r="4208" spans="1:281" x14ac:dyDescent="0.25">
      <c r="A4208" s="55">
        <v>4207</v>
      </c>
      <c r="B4208" s="12" t="s">
        <v>7067</v>
      </c>
      <c r="C4208" s="155">
        <v>185</v>
      </c>
      <c r="D4208" s="55" t="s">
        <v>3647</v>
      </c>
      <c r="E4208" s="90" t="s">
        <v>3624</v>
      </c>
      <c r="G4208" s="55" t="s">
        <v>3625</v>
      </c>
      <c r="H4208" s="55">
        <v>2014</v>
      </c>
      <c r="I4208" s="55">
        <v>2012</v>
      </c>
      <c r="J4208" s="55" t="s">
        <v>3626</v>
      </c>
      <c r="K4208" s="55" t="s">
        <v>3627</v>
      </c>
      <c r="L4208" s="55" t="s">
        <v>3377</v>
      </c>
      <c r="M4208" s="90">
        <f>28+12/60</f>
        <v>28.2</v>
      </c>
      <c r="N4208" s="90">
        <f>113+4.8/60</f>
        <v>113.08</v>
      </c>
      <c r="O4208" s="90">
        <v>45.8</v>
      </c>
      <c r="Q4208" s="55">
        <v>17.100000000000001</v>
      </c>
      <c r="S4208" s="90">
        <v>1500</v>
      </c>
      <c r="U4208" s="55" t="s">
        <v>1933</v>
      </c>
      <c r="V4208" s="55" t="s">
        <v>1679</v>
      </c>
      <c r="Y4208" s="55" t="s">
        <v>3628</v>
      </c>
      <c r="Z4208" s="55" t="s">
        <v>1346</v>
      </c>
      <c r="AH4208" s="55" t="s">
        <v>645</v>
      </c>
      <c r="AI4208" s="168">
        <v>5.4</v>
      </c>
      <c r="AJ4208" s="90">
        <v>1.33</v>
      </c>
      <c r="AN4208" s="185" t="s">
        <v>3641</v>
      </c>
      <c r="AO4208" s="185" t="s">
        <v>5150</v>
      </c>
      <c r="AQ4208" s="55" t="s">
        <v>1097</v>
      </c>
      <c r="AR4208" s="55" t="s">
        <v>1096</v>
      </c>
      <c r="AS4208" s="55" t="s">
        <v>5133</v>
      </c>
      <c r="AU4208" s="181" t="s">
        <v>7494</v>
      </c>
      <c r="AV4208" s="185" t="s">
        <v>176</v>
      </c>
      <c r="AX4208" s="185" t="s">
        <v>176</v>
      </c>
      <c r="BK4208" s="55" t="s">
        <v>5976</v>
      </c>
      <c r="BM4208" s="192" t="s">
        <v>160</v>
      </c>
      <c r="BN4208" s="55">
        <v>3</v>
      </c>
      <c r="BO4208" s="55">
        <v>3</v>
      </c>
      <c r="BQ4208" s="55" t="s">
        <v>141</v>
      </c>
      <c r="BV4208" s="55" t="s">
        <v>3630</v>
      </c>
      <c r="GP4208" s="292" t="s">
        <v>7494</v>
      </c>
      <c r="HI4208" s="65">
        <v>1.94</v>
      </c>
      <c r="HJ4208" s="65">
        <v>2.72</v>
      </c>
      <c r="HK4208" s="65">
        <f>SQRT(3)*0.02</f>
        <v>3.4641016151377546E-2</v>
      </c>
      <c r="HL4208" s="65">
        <f>SQRT(3)*0.04</f>
        <v>6.9282032302755092E-2</v>
      </c>
      <c r="HM4208" s="65" t="s">
        <v>3638</v>
      </c>
      <c r="HN4208" s="65">
        <v>4.99</v>
      </c>
      <c r="HO4208" s="65">
        <v>5.93</v>
      </c>
      <c r="HP4208" s="65">
        <f>SQRT(3)*0.41</f>
        <v>0.71014083110323956</v>
      </c>
      <c r="HQ4208" s="65">
        <f>SQRT(3)*0.2</f>
        <v>0.34641016151377546</v>
      </c>
      <c r="HR4208" s="65" t="s">
        <v>3640</v>
      </c>
      <c r="HS4208" s="65">
        <v>34.79</v>
      </c>
      <c r="HT4208" s="65">
        <v>36.5</v>
      </c>
      <c r="HU4208" s="65">
        <f>SQRT(3)*1.96</f>
        <v>3.3948195828349994</v>
      </c>
      <c r="HV4208" s="65">
        <f>SQRT(3)*0.72</f>
        <v>1.2470765814495914</v>
      </c>
      <c r="HW4208" s="65" t="s">
        <v>3639</v>
      </c>
      <c r="JU4208" s="55" t="s">
        <v>3642</v>
      </c>
    </row>
    <row r="4209" spans="1:281" x14ac:dyDescent="0.25">
      <c r="A4209" s="55">
        <v>4208</v>
      </c>
      <c r="B4209" s="12" t="s">
        <v>7067</v>
      </c>
      <c r="C4209" s="155">
        <v>185</v>
      </c>
      <c r="D4209" s="55" t="s">
        <v>3631</v>
      </c>
      <c r="E4209" s="90" t="s">
        <v>3624</v>
      </c>
      <c r="G4209" s="55" t="s">
        <v>3625</v>
      </c>
      <c r="H4209" s="55">
        <v>2014</v>
      </c>
      <c r="I4209" s="55">
        <v>2012</v>
      </c>
      <c r="J4209" s="55" t="s">
        <v>3626</v>
      </c>
      <c r="K4209" s="55" t="s">
        <v>3627</v>
      </c>
      <c r="L4209" s="55" t="s">
        <v>3377</v>
      </c>
      <c r="M4209" s="90">
        <f>28+12/60</f>
        <v>28.2</v>
      </c>
      <c r="N4209" s="90">
        <f>113+4.8/60</f>
        <v>113.08</v>
      </c>
      <c r="O4209" s="90">
        <v>45.8</v>
      </c>
      <c r="Q4209" s="55">
        <v>17.100000000000001</v>
      </c>
      <c r="S4209" s="90">
        <v>1500</v>
      </c>
      <c r="U4209" s="55" t="s">
        <v>1933</v>
      </c>
      <c r="V4209" s="55" t="s">
        <v>1679</v>
      </c>
      <c r="Y4209" s="55" t="s">
        <v>3628</v>
      </c>
      <c r="Z4209" s="55" t="s">
        <v>1346</v>
      </c>
      <c r="AH4209" s="55" t="s">
        <v>645</v>
      </c>
      <c r="AI4209" s="168">
        <v>5.4</v>
      </c>
      <c r="AJ4209" s="90">
        <v>1.33</v>
      </c>
      <c r="AN4209" s="185" t="s">
        <v>115</v>
      </c>
      <c r="AO4209" s="185" t="s">
        <v>5150</v>
      </c>
      <c r="AQ4209" s="55" t="s">
        <v>1545</v>
      </c>
      <c r="AR4209" s="55" t="s">
        <v>1096</v>
      </c>
      <c r="AS4209" s="55" t="s">
        <v>5133</v>
      </c>
      <c r="AU4209" s="181" t="s">
        <v>7494</v>
      </c>
      <c r="AV4209" s="185" t="s">
        <v>176</v>
      </c>
      <c r="AX4209" s="185" t="s">
        <v>176</v>
      </c>
      <c r="BK4209" s="55" t="s">
        <v>5976</v>
      </c>
      <c r="BM4209" s="192" t="s">
        <v>160</v>
      </c>
      <c r="BN4209" s="55">
        <v>3</v>
      </c>
      <c r="BO4209" s="55">
        <v>3</v>
      </c>
      <c r="BQ4209" s="55" t="s">
        <v>141</v>
      </c>
      <c r="BV4209" s="55" t="s">
        <v>3630</v>
      </c>
      <c r="GP4209" s="292" t="s">
        <v>7494</v>
      </c>
      <c r="HI4209" s="65">
        <v>1.31</v>
      </c>
      <c r="HJ4209" s="65">
        <v>1.75</v>
      </c>
      <c r="HK4209" s="65">
        <f>SQRT(3)*0.03</f>
        <v>5.1961524227066312E-2</v>
      </c>
      <c r="HL4209" s="65">
        <f>SQRT(3)*0.04</f>
        <v>6.9282032302755092E-2</v>
      </c>
      <c r="HM4209" s="65" t="s">
        <v>3638</v>
      </c>
      <c r="HN4209" s="65">
        <v>5.62</v>
      </c>
      <c r="HO4209" s="65">
        <v>6.94</v>
      </c>
      <c r="HP4209" s="65">
        <f>SQRT(3)*0.43</f>
        <v>0.74478184725461716</v>
      </c>
      <c r="HQ4209" s="65">
        <f>SQRT(3)*0.23</f>
        <v>0.39837168574084175</v>
      </c>
      <c r="HR4209" s="65" t="s">
        <v>3640</v>
      </c>
      <c r="HS4209" s="65">
        <v>29.02</v>
      </c>
      <c r="HT4209" s="65">
        <v>19.420000000000002</v>
      </c>
      <c r="HU4209" s="65">
        <f>SQRT(3)*1.05</f>
        <v>1.818653347947321</v>
      </c>
      <c r="HV4209" s="65">
        <f>SQRT(3)*0.72</f>
        <v>1.2470765814495914</v>
      </c>
      <c r="HW4209" s="65" t="s">
        <v>3639</v>
      </c>
      <c r="JU4209" s="55" t="s">
        <v>3643</v>
      </c>
    </row>
    <row r="4210" spans="1:281" x14ac:dyDescent="0.25">
      <c r="A4210" s="55">
        <v>4209</v>
      </c>
      <c r="B4210" s="12" t="s">
        <v>7067</v>
      </c>
      <c r="C4210" s="155">
        <v>185</v>
      </c>
      <c r="D4210" s="55" t="s">
        <v>3632</v>
      </c>
      <c r="E4210" s="90" t="s">
        <v>3624</v>
      </c>
      <c r="G4210" s="55" t="s">
        <v>3625</v>
      </c>
      <c r="H4210" s="55">
        <v>2014</v>
      </c>
      <c r="I4210" s="55">
        <v>2012</v>
      </c>
      <c r="J4210" s="55" t="s">
        <v>3626</v>
      </c>
      <c r="K4210" s="55" t="s">
        <v>3627</v>
      </c>
      <c r="L4210" s="55" t="s">
        <v>3377</v>
      </c>
      <c r="M4210" s="90">
        <f>28+12/60</f>
        <v>28.2</v>
      </c>
      <c r="N4210" s="90">
        <f>113+4.8/60</f>
        <v>113.08</v>
      </c>
      <c r="O4210" s="90">
        <v>45.8</v>
      </c>
      <c r="Q4210" s="55">
        <v>17.100000000000001</v>
      </c>
      <c r="S4210" s="90">
        <v>1500</v>
      </c>
      <c r="U4210" s="55" t="s">
        <v>1933</v>
      </c>
      <c r="V4210" s="55" t="s">
        <v>1679</v>
      </c>
      <c r="Y4210" s="55" t="s">
        <v>3628</v>
      </c>
      <c r="Z4210" s="55" t="s">
        <v>1346</v>
      </c>
      <c r="AH4210" s="55" t="s">
        <v>645</v>
      </c>
      <c r="AI4210" s="168">
        <v>5.4</v>
      </c>
      <c r="AJ4210" s="90">
        <v>1.33</v>
      </c>
      <c r="AN4210" s="185" t="s">
        <v>3572</v>
      </c>
      <c r="AO4210" s="185" t="s">
        <v>5150</v>
      </c>
      <c r="AQ4210" s="55" t="s">
        <v>553</v>
      </c>
      <c r="AR4210" s="55" t="s">
        <v>1096</v>
      </c>
      <c r="AS4210" s="55" t="s">
        <v>5133</v>
      </c>
      <c r="AU4210" s="181" t="s">
        <v>7494</v>
      </c>
      <c r="AV4210" s="185" t="s">
        <v>176</v>
      </c>
      <c r="AX4210" s="185" t="s">
        <v>176</v>
      </c>
      <c r="BK4210" s="55" t="s">
        <v>5976</v>
      </c>
      <c r="BM4210" s="192" t="s">
        <v>160</v>
      </c>
      <c r="BN4210" s="55">
        <v>3</v>
      </c>
      <c r="BO4210" s="55">
        <v>3</v>
      </c>
      <c r="BQ4210" s="55" t="s">
        <v>141</v>
      </c>
      <c r="BV4210" s="55" t="s">
        <v>3630</v>
      </c>
      <c r="GP4210" s="292" t="s">
        <v>7494</v>
      </c>
      <c r="HI4210" s="65">
        <v>1.31</v>
      </c>
      <c r="HJ4210" s="65">
        <v>1.66</v>
      </c>
      <c r="HK4210" s="65">
        <f>SQRT(3)*0.03</f>
        <v>5.1961524227066312E-2</v>
      </c>
      <c r="HL4210" s="65">
        <f>SQRT(3)*0.05</f>
        <v>8.6602540378443865E-2</v>
      </c>
      <c r="HM4210" s="65" t="s">
        <v>3638</v>
      </c>
      <c r="HN4210" s="65">
        <v>5.62</v>
      </c>
      <c r="HO4210" s="65">
        <v>8.92</v>
      </c>
      <c r="HP4210" s="65">
        <f>SQRT(3)*0.43</f>
        <v>0.74478184725461716</v>
      </c>
      <c r="HQ4210" s="65">
        <f>SQRT(3)*0.32</f>
        <v>0.55425625842204074</v>
      </c>
      <c r="HR4210" s="65" t="s">
        <v>3640</v>
      </c>
      <c r="HS4210" s="65">
        <v>29.02</v>
      </c>
      <c r="HT4210" s="65">
        <v>22.33</v>
      </c>
      <c r="HU4210" s="65">
        <f>SQRT(3)*1.05</f>
        <v>1.818653347947321</v>
      </c>
      <c r="HV4210" s="65">
        <f>SQRT(3)*0.88</f>
        <v>1.524204710660612</v>
      </c>
      <c r="HW4210" s="65" t="s">
        <v>3639</v>
      </c>
      <c r="JU4210" s="55" t="s">
        <v>3643</v>
      </c>
    </row>
    <row r="4211" spans="1:281" x14ac:dyDescent="0.25">
      <c r="A4211" s="55">
        <v>4210</v>
      </c>
      <c r="B4211" s="12" t="s">
        <v>7067</v>
      </c>
      <c r="C4211" s="155">
        <v>185</v>
      </c>
      <c r="D4211" s="55" t="s">
        <v>3647</v>
      </c>
      <c r="E4211" s="90" t="s">
        <v>3624</v>
      </c>
      <c r="G4211" s="55" t="s">
        <v>3625</v>
      </c>
      <c r="H4211" s="55">
        <v>2014</v>
      </c>
      <c r="I4211" s="55">
        <v>2012</v>
      </c>
      <c r="J4211" s="55" t="s">
        <v>3626</v>
      </c>
      <c r="K4211" s="55" t="s">
        <v>3627</v>
      </c>
      <c r="L4211" s="55" t="s">
        <v>3377</v>
      </c>
      <c r="M4211" s="90">
        <f>28+12/60</f>
        <v>28.2</v>
      </c>
      <c r="N4211" s="90">
        <f>113+4.8/60</f>
        <v>113.08</v>
      </c>
      <c r="O4211" s="90">
        <v>45.8</v>
      </c>
      <c r="Q4211" s="55">
        <v>17.100000000000001</v>
      </c>
      <c r="S4211" s="90">
        <v>1500</v>
      </c>
      <c r="U4211" s="55" t="s">
        <v>1933</v>
      </c>
      <c r="V4211" s="55" t="s">
        <v>1679</v>
      </c>
      <c r="Y4211" s="55" t="s">
        <v>3628</v>
      </c>
      <c r="Z4211" s="55" t="s">
        <v>1346</v>
      </c>
      <c r="AH4211" s="55" t="s">
        <v>645</v>
      </c>
      <c r="AI4211" s="168">
        <v>5.4</v>
      </c>
      <c r="AJ4211" s="90">
        <v>1.33</v>
      </c>
      <c r="AN4211" s="185" t="s">
        <v>3641</v>
      </c>
      <c r="AO4211" s="185" t="s">
        <v>5150</v>
      </c>
      <c r="AQ4211" s="55" t="s">
        <v>1097</v>
      </c>
      <c r="AR4211" s="55" t="s">
        <v>1096</v>
      </c>
      <c r="AS4211" s="55" t="s">
        <v>5133</v>
      </c>
      <c r="AU4211" s="181" t="s">
        <v>7494</v>
      </c>
      <c r="AV4211" s="185" t="s">
        <v>176</v>
      </c>
      <c r="AX4211" s="185" t="s">
        <v>176</v>
      </c>
      <c r="BK4211" s="55" t="s">
        <v>5976</v>
      </c>
      <c r="BM4211" s="192" t="s">
        <v>160</v>
      </c>
      <c r="BN4211" s="55">
        <v>3</v>
      </c>
      <c r="BO4211" s="55">
        <v>3</v>
      </c>
      <c r="BQ4211" s="55" t="s">
        <v>141</v>
      </c>
      <c r="BV4211" s="55" t="s">
        <v>3630</v>
      </c>
      <c r="GP4211" s="292" t="s">
        <v>7494</v>
      </c>
      <c r="HI4211" s="65">
        <v>1.31</v>
      </c>
      <c r="HJ4211" s="65">
        <v>2.11</v>
      </c>
      <c r="HK4211" s="65">
        <f>SQRT(3)*0.03</f>
        <v>5.1961524227066312E-2</v>
      </c>
      <c r="HL4211" s="65">
        <f>SQRT(3)*0.02</f>
        <v>3.4641016151377546E-2</v>
      </c>
      <c r="HM4211" s="65" t="s">
        <v>3638</v>
      </c>
      <c r="HN4211" s="65">
        <v>5.62</v>
      </c>
      <c r="HO4211" s="65">
        <v>6.53</v>
      </c>
      <c r="HP4211" s="65">
        <f>SQRT(3)*0.43</f>
        <v>0.74478184725461716</v>
      </c>
      <c r="HQ4211" s="65">
        <f>SQRT(3)*0.41</f>
        <v>0.71014083110323956</v>
      </c>
      <c r="HR4211" s="65" t="s">
        <v>3640</v>
      </c>
      <c r="HS4211" s="65">
        <v>29.02</v>
      </c>
      <c r="HT4211" s="65">
        <v>31.5</v>
      </c>
      <c r="HU4211" s="65">
        <f>SQRT(3)*1.05</f>
        <v>1.818653347947321</v>
      </c>
      <c r="HV4211" s="65">
        <f>SQRT(3)*0.71</f>
        <v>1.2297560733739028</v>
      </c>
      <c r="HW4211" s="65" t="s">
        <v>3639</v>
      </c>
      <c r="JU4211" s="55" t="s">
        <v>3643</v>
      </c>
    </row>
    <row r="4212" spans="1:281" x14ac:dyDescent="0.25">
      <c r="A4212" s="55">
        <v>4211</v>
      </c>
      <c r="B4212" s="12" t="s">
        <v>7067</v>
      </c>
      <c r="C4212" s="155">
        <v>185</v>
      </c>
      <c r="D4212" s="55" t="s">
        <v>3631</v>
      </c>
      <c r="E4212" s="90" t="s">
        <v>3624</v>
      </c>
      <c r="G4212" s="55" t="s">
        <v>3625</v>
      </c>
      <c r="H4212" s="55">
        <v>2014</v>
      </c>
      <c r="I4212" s="55">
        <v>2012</v>
      </c>
      <c r="J4212" s="55" t="s">
        <v>3626</v>
      </c>
      <c r="K4212" s="55" t="s">
        <v>3627</v>
      </c>
      <c r="L4212" s="55" t="s">
        <v>3377</v>
      </c>
      <c r="M4212" s="90">
        <f>28+12/60</f>
        <v>28.2</v>
      </c>
      <c r="N4212" s="90">
        <f>113+4.8/60</f>
        <v>113.08</v>
      </c>
      <c r="O4212" s="90">
        <v>45.8</v>
      </c>
      <c r="Q4212" s="55">
        <v>17.100000000000001</v>
      </c>
      <c r="S4212" s="90">
        <v>1500</v>
      </c>
      <c r="U4212" s="55" t="s">
        <v>1933</v>
      </c>
      <c r="V4212" s="55" t="s">
        <v>1679</v>
      </c>
      <c r="Y4212" s="55" t="s">
        <v>3628</v>
      </c>
      <c r="Z4212" s="55" t="s">
        <v>1346</v>
      </c>
      <c r="AH4212" s="55" t="s">
        <v>645</v>
      </c>
      <c r="AI4212" s="168">
        <v>5.4</v>
      </c>
      <c r="AJ4212" s="90">
        <v>1.33</v>
      </c>
      <c r="AN4212" s="185" t="s">
        <v>115</v>
      </c>
      <c r="AO4212" s="185" t="s">
        <v>5150</v>
      </c>
      <c r="AQ4212" s="55" t="s">
        <v>1545</v>
      </c>
      <c r="AR4212" s="55" t="s">
        <v>1096</v>
      </c>
      <c r="AS4212" s="55" t="s">
        <v>5133</v>
      </c>
      <c r="AU4212" s="181" t="s">
        <v>7494</v>
      </c>
      <c r="AV4212" s="185" t="s">
        <v>176</v>
      </c>
      <c r="AX4212" s="185" t="s">
        <v>176</v>
      </c>
      <c r="BK4212" s="55" t="s">
        <v>5976</v>
      </c>
      <c r="BM4212" s="192" t="s">
        <v>160</v>
      </c>
      <c r="BN4212" s="55">
        <v>3</v>
      </c>
      <c r="BO4212" s="55">
        <v>3</v>
      </c>
      <c r="BQ4212" s="55" t="s">
        <v>141</v>
      </c>
      <c r="BV4212" s="55" t="s">
        <v>3630</v>
      </c>
      <c r="GP4212" s="292" t="s">
        <v>7494</v>
      </c>
      <c r="HI4212" s="65">
        <v>0.99</v>
      </c>
      <c r="HJ4212" s="65">
        <v>1.29</v>
      </c>
      <c r="HK4212" s="65">
        <f>SQRT(3)*0.04</f>
        <v>6.9282032302755092E-2</v>
      </c>
      <c r="HL4212" s="65">
        <f>SQRT(3)*0.04</f>
        <v>6.9282032302755092E-2</v>
      </c>
      <c r="HM4212" s="65" t="s">
        <v>3638</v>
      </c>
      <c r="HN4212" s="65">
        <v>5.87</v>
      </c>
      <c r="HO4212" s="65">
        <v>7.3</v>
      </c>
      <c r="HP4212" s="65">
        <f>SQRT(3)*0.36</f>
        <v>0.62353829072479572</v>
      </c>
      <c r="HQ4212" s="65">
        <f>SQRT(3)*0.46</f>
        <v>0.7967433714816835</v>
      </c>
      <c r="HR4212" s="65" t="s">
        <v>3640</v>
      </c>
      <c r="HS4212" s="65">
        <v>19.600000000000001</v>
      </c>
      <c r="HT4212" s="65">
        <v>17.36</v>
      </c>
      <c r="HU4212" s="65">
        <f>SQRT(3)*0.56</f>
        <v>0.96994845223857129</v>
      </c>
      <c r="HV4212" s="65">
        <f>SQRT(3)*0.62</f>
        <v>1.0738715006927038</v>
      </c>
      <c r="HW4212" s="65" t="s">
        <v>3639</v>
      </c>
      <c r="JU4212" s="55" t="s">
        <v>3644</v>
      </c>
    </row>
    <row r="4213" spans="1:281" x14ac:dyDescent="0.25">
      <c r="A4213" s="55">
        <v>4212</v>
      </c>
      <c r="B4213" s="12" t="s">
        <v>7067</v>
      </c>
      <c r="C4213" s="155">
        <v>185</v>
      </c>
      <c r="D4213" s="55" t="s">
        <v>3632</v>
      </c>
      <c r="E4213" s="90" t="s">
        <v>3624</v>
      </c>
      <c r="G4213" s="55" t="s">
        <v>3625</v>
      </c>
      <c r="H4213" s="55">
        <v>2014</v>
      </c>
      <c r="I4213" s="55">
        <v>2012</v>
      </c>
      <c r="J4213" s="55" t="s">
        <v>3626</v>
      </c>
      <c r="K4213" s="55" t="s">
        <v>3627</v>
      </c>
      <c r="L4213" s="55" t="s">
        <v>3377</v>
      </c>
      <c r="M4213" s="90">
        <f>28+12/60</f>
        <v>28.2</v>
      </c>
      <c r="N4213" s="90">
        <f>113+4.8/60</f>
        <v>113.08</v>
      </c>
      <c r="O4213" s="90">
        <v>45.8</v>
      </c>
      <c r="Q4213" s="55">
        <v>17.100000000000001</v>
      </c>
      <c r="S4213" s="90">
        <v>1500</v>
      </c>
      <c r="U4213" s="55" t="s">
        <v>1933</v>
      </c>
      <c r="V4213" s="55" t="s">
        <v>1679</v>
      </c>
      <c r="Y4213" s="55" t="s">
        <v>3628</v>
      </c>
      <c r="Z4213" s="55" t="s">
        <v>1346</v>
      </c>
      <c r="AH4213" s="55" t="s">
        <v>645</v>
      </c>
      <c r="AI4213" s="168">
        <v>5.4</v>
      </c>
      <c r="AJ4213" s="90">
        <v>1.33</v>
      </c>
      <c r="AN4213" s="185" t="s">
        <v>3572</v>
      </c>
      <c r="AO4213" s="185" t="s">
        <v>5150</v>
      </c>
      <c r="AQ4213" s="55" t="s">
        <v>553</v>
      </c>
      <c r="AR4213" s="55" t="s">
        <v>1096</v>
      </c>
      <c r="AS4213" s="55" t="s">
        <v>5133</v>
      </c>
      <c r="AU4213" s="181" t="s">
        <v>7494</v>
      </c>
      <c r="AV4213" s="185" t="s">
        <v>176</v>
      </c>
      <c r="AX4213" s="185" t="s">
        <v>176</v>
      </c>
      <c r="BK4213" s="55" t="s">
        <v>5976</v>
      </c>
      <c r="BM4213" s="192" t="s">
        <v>160</v>
      </c>
      <c r="BN4213" s="55">
        <v>3</v>
      </c>
      <c r="BO4213" s="55">
        <v>3</v>
      </c>
      <c r="BQ4213" s="55" t="s">
        <v>141</v>
      </c>
      <c r="BV4213" s="55" t="s">
        <v>3630</v>
      </c>
      <c r="GP4213" s="292" t="s">
        <v>7494</v>
      </c>
      <c r="HI4213" s="65">
        <v>0.99</v>
      </c>
      <c r="HJ4213" s="65">
        <v>1.06</v>
      </c>
      <c r="HK4213" s="65">
        <f>SQRT(3)*0.04</f>
        <v>6.9282032302755092E-2</v>
      </c>
      <c r="HL4213" s="65">
        <f>SQRT(3)*0.02</f>
        <v>3.4641016151377546E-2</v>
      </c>
      <c r="HM4213" s="65" t="s">
        <v>3638</v>
      </c>
      <c r="HN4213" s="65">
        <v>5.87</v>
      </c>
      <c r="HO4213" s="65">
        <v>10.16</v>
      </c>
      <c r="HP4213" s="65">
        <f>SQRT(3)*0.36</f>
        <v>0.62353829072479572</v>
      </c>
      <c r="HQ4213" s="65">
        <f>SQRT(3)*0.44</f>
        <v>0.76210235533030601</v>
      </c>
      <c r="HR4213" s="65" t="s">
        <v>3640</v>
      </c>
      <c r="HS4213" s="65">
        <v>19.600000000000001</v>
      </c>
      <c r="HT4213" s="65">
        <v>18.88</v>
      </c>
      <c r="HU4213" s="65">
        <f>SQRT(3)*0.56</f>
        <v>0.96994845223857129</v>
      </c>
      <c r="HV4213" s="65">
        <f>SQRT(3)*0.52</f>
        <v>0.9006664199358162</v>
      </c>
      <c r="HW4213" s="65" t="s">
        <v>3639</v>
      </c>
      <c r="JU4213" s="55" t="s">
        <v>3644</v>
      </c>
    </row>
    <row r="4214" spans="1:281" x14ac:dyDescent="0.25">
      <c r="A4214" s="55">
        <v>4213</v>
      </c>
      <c r="B4214" s="12" t="s">
        <v>7067</v>
      </c>
      <c r="C4214" s="155">
        <v>185</v>
      </c>
      <c r="D4214" s="55" t="s">
        <v>3647</v>
      </c>
      <c r="E4214" s="90" t="s">
        <v>3624</v>
      </c>
      <c r="G4214" s="55" t="s">
        <v>3625</v>
      </c>
      <c r="H4214" s="55">
        <v>2014</v>
      </c>
      <c r="I4214" s="55">
        <v>2012</v>
      </c>
      <c r="J4214" s="55" t="s">
        <v>3626</v>
      </c>
      <c r="K4214" s="55" t="s">
        <v>3627</v>
      </c>
      <c r="L4214" s="55" t="s">
        <v>3377</v>
      </c>
      <c r="M4214" s="90">
        <f>28+12/60</f>
        <v>28.2</v>
      </c>
      <c r="N4214" s="90">
        <f>113+4.8/60</f>
        <v>113.08</v>
      </c>
      <c r="O4214" s="90">
        <v>45.8</v>
      </c>
      <c r="Q4214" s="55">
        <v>17.100000000000001</v>
      </c>
      <c r="S4214" s="90">
        <v>1500</v>
      </c>
      <c r="U4214" s="55" t="s">
        <v>1933</v>
      </c>
      <c r="V4214" s="55" t="s">
        <v>1679</v>
      </c>
      <c r="Y4214" s="55" t="s">
        <v>3628</v>
      </c>
      <c r="Z4214" s="55" t="s">
        <v>1346</v>
      </c>
      <c r="AH4214" s="55" t="s">
        <v>645</v>
      </c>
      <c r="AI4214" s="168">
        <v>5.4</v>
      </c>
      <c r="AJ4214" s="90">
        <v>1.33</v>
      </c>
      <c r="AN4214" s="185" t="s">
        <v>3641</v>
      </c>
      <c r="AO4214" s="185" t="s">
        <v>5150</v>
      </c>
      <c r="AQ4214" s="55" t="s">
        <v>1097</v>
      </c>
      <c r="AR4214" s="55" t="s">
        <v>1096</v>
      </c>
      <c r="AS4214" s="55" t="s">
        <v>5133</v>
      </c>
      <c r="AU4214" s="181" t="s">
        <v>7494</v>
      </c>
      <c r="AV4214" s="185" t="s">
        <v>176</v>
      </c>
      <c r="AX4214" s="185" t="s">
        <v>176</v>
      </c>
      <c r="BK4214" s="55" t="s">
        <v>5976</v>
      </c>
      <c r="BM4214" s="192" t="s">
        <v>160</v>
      </c>
      <c r="BN4214" s="55">
        <v>3</v>
      </c>
      <c r="BO4214" s="55">
        <v>3</v>
      </c>
      <c r="BQ4214" s="55" t="s">
        <v>141</v>
      </c>
      <c r="BV4214" s="55" t="s">
        <v>3630</v>
      </c>
      <c r="GP4214" s="292" t="s">
        <v>7494</v>
      </c>
      <c r="HI4214" s="65">
        <v>0.99</v>
      </c>
      <c r="HJ4214" s="65">
        <v>1.74</v>
      </c>
      <c r="HK4214" s="65">
        <f>SQRT(3)*0.04</f>
        <v>6.9282032302755092E-2</v>
      </c>
      <c r="HL4214" s="65">
        <f>SQRT(3)*0.06</f>
        <v>0.10392304845413262</v>
      </c>
      <c r="HM4214" s="65" t="s">
        <v>3638</v>
      </c>
      <c r="HN4214" s="65">
        <v>5.87</v>
      </c>
      <c r="HO4214" s="65">
        <v>6.4</v>
      </c>
      <c r="HP4214" s="65">
        <f>SQRT(3)*0.36</f>
        <v>0.62353829072479572</v>
      </c>
      <c r="HQ4214" s="65">
        <f>SQRT(3)*0.23</f>
        <v>0.39837168574084175</v>
      </c>
      <c r="HR4214" s="65" t="s">
        <v>3640</v>
      </c>
      <c r="HS4214" s="65">
        <v>19.600000000000001</v>
      </c>
      <c r="HT4214" s="65">
        <v>23.8</v>
      </c>
      <c r="HU4214" s="65">
        <f>SQRT(3)*0.56</f>
        <v>0.96994845223857129</v>
      </c>
      <c r="HV4214" s="65">
        <f>SQRT(3)*0.43</f>
        <v>0.74478184725461716</v>
      </c>
      <c r="HW4214" s="65" t="s">
        <v>3639</v>
      </c>
      <c r="JU4214" s="55" t="s">
        <v>3644</v>
      </c>
    </row>
    <row r="4215" spans="1:281" x14ac:dyDescent="0.25">
      <c r="A4215" s="55">
        <v>4214</v>
      </c>
      <c r="B4215" s="12" t="s">
        <v>7067</v>
      </c>
      <c r="C4215" s="155">
        <v>185</v>
      </c>
      <c r="D4215" s="55" t="s">
        <v>3631</v>
      </c>
      <c r="E4215" s="90" t="s">
        <v>3624</v>
      </c>
      <c r="G4215" s="55" t="s">
        <v>3625</v>
      </c>
      <c r="H4215" s="55">
        <v>2014</v>
      </c>
      <c r="I4215" s="55">
        <v>2012</v>
      </c>
      <c r="J4215" s="55" t="s">
        <v>3626</v>
      </c>
      <c r="K4215" s="55" t="s">
        <v>3627</v>
      </c>
      <c r="L4215" s="55" t="s">
        <v>3377</v>
      </c>
      <c r="M4215" s="90">
        <f>28+12/60</f>
        <v>28.2</v>
      </c>
      <c r="N4215" s="90">
        <f>113+4.8/60</f>
        <v>113.08</v>
      </c>
      <c r="O4215" s="90">
        <v>45.8</v>
      </c>
      <c r="Q4215" s="55">
        <v>17.100000000000001</v>
      </c>
      <c r="S4215" s="90">
        <v>1500</v>
      </c>
      <c r="U4215" s="55" t="s">
        <v>1933</v>
      </c>
      <c r="V4215" s="55" t="s">
        <v>1679</v>
      </c>
      <c r="Y4215" s="55" t="s">
        <v>3628</v>
      </c>
      <c r="Z4215" s="55" t="s">
        <v>1346</v>
      </c>
      <c r="AH4215" s="55" t="s">
        <v>645</v>
      </c>
      <c r="AI4215" s="168">
        <v>5.4</v>
      </c>
      <c r="AJ4215" s="90">
        <v>1.33</v>
      </c>
      <c r="AN4215" s="185" t="s">
        <v>115</v>
      </c>
      <c r="AO4215" s="185" t="s">
        <v>5150</v>
      </c>
      <c r="AQ4215" s="55" t="s">
        <v>1545</v>
      </c>
      <c r="AR4215" s="55" t="s">
        <v>1096</v>
      </c>
      <c r="AS4215" s="55" t="s">
        <v>5133</v>
      </c>
      <c r="AU4215" s="181" t="s">
        <v>7494</v>
      </c>
      <c r="AV4215" s="185" t="s">
        <v>176</v>
      </c>
      <c r="AX4215" s="185" t="s">
        <v>176</v>
      </c>
      <c r="BK4215" s="55" t="s">
        <v>5976</v>
      </c>
      <c r="BM4215" s="192" t="s">
        <v>160</v>
      </c>
      <c r="BN4215" s="55">
        <v>3</v>
      </c>
      <c r="BO4215" s="55">
        <v>3</v>
      </c>
      <c r="BQ4215" s="55" t="s">
        <v>141</v>
      </c>
      <c r="BV4215" s="55" t="s">
        <v>3630</v>
      </c>
      <c r="GP4215" s="292" t="s">
        <v>7494</v>
      </c>
      <c r="HI4215" s="65">
        <v>0.19</v>
      </c>
      <c r="HJ4215" s="65">
        <v>0.4</v>
      </c>
      <c r="HK4215" s="65">
        <f>SQRT(3)*0.04</f>
        <v>6.9282032302755092E-2</v>
      </c>
      <c r="HL4215" s="65">
        <f>SQRT(3)*0.03</f>
        <v>5.1961524227066312E-2</v>
      </c>
      <c r="HM4215" s="65" t="s">
        <v>3638</v>
      </c>
      <c r="HN4215" s="65">
        <v>7.05</v>
      </c>
      <c r="HO4215" s="65">
        <v>14.32</v>
      </c>
      <c r="HP4215" s="65">
        <f>SQRT(3)*0.26</f>
        <v>0.4503332099679081</v>
      </c>
      <c r="HQ4215" s="65">
        <f>SQRT(3)*0.35</f>
        <v>0.60621778264910697</v>
      </c>
      <c r="HR4215" s="65" t="s">
        <v>3640</v>
      </c>
      <c r="HS4215" s="65">
        <v>18.010000000000002</v>
      </c>
      <c r="HT4215" s="65">
        <v>17.190000000000001</v>
      </c>
      <c r="HU4215" s="65">
        <f>SQRT(3)*0.48</f>
        <v>0.83138438763306099</v>
      </c>
      <c r="HV4215" s="65">
        <f>SQRT(3)*0.62</f>
        <v>1.0738715006927038</v>
      </c>
      <c r="HW4215" s="65" t="s">
        <v>3639</v>
      </c>
      <c r="JU4215" s="55" t="s">
        <v>3645</v>
      </c>
    </row>
    <row r="4216" spans="1:281" x14ac:dyDescent="0.25">
      <c r="A4216" s="55">
        <v>4215</v>
      </c>
      <c r="B4216" s="12" t="s">
        <v>7067</v>
      </c>
      <c r="C4216" s="155">
        <v>185</v>
      </c>
      <c r="D4216" s="55" t="s">
        <v>3632</v>
      </c>
      <c r="E4216" s="90" t="s">
        <v>3624</v>
      </c>
      <c r="G4216" s="55" t="s">
        <v>3625</v>
      </c>
      <c r="H4216" s="55">
        <v>2014</v>
      </c>
      <c r="I4216" s="55">
        <v>2012</v>
      </c>
      <c r="J4216" s="55" t="s">
        <v>3626</v>
      </c>
      <c r="K4216" s="55" t="s">
        <v>3627</v>
      </c>
      <c r="L4216" s="55" t="s">
        <v>3377</v>
      </c>
      <c r="M4216" s="90">
        <f>28+12/60</f>
        <v>28.2</v>
      </c>
      <c r="N4216" s="90">
        <f>113+4.8/60</f>
        <v>113.08</v>
      </c>
      <c r="O4216" s="90">
        <v>45.8</v>
      </c>
      <c r="Q4216" s="55">
        <v>17.100000000000001</v>
      </c>
      <c r="S4216" s="90">
        <v>1500</v>
      </c>
      <c r="U4216" s="55" t="s">
        <v>1933</v>
      </c>
      <c r="V4216" s="55" t="s">
        <v>1679</v>
      </c>
      <c r="Y4216" s="55" t="s">
        <v>3628</v>
      </c>
      <c r="Z4216" s="55" t="s">
        <v>1346</v>
      </c>
      <c r="AH4216" s="55" t="s">
        <v>645</v>
      </c>
      <c r="AI4216" s="168">
        <v>5.4</v>
      </c>
      <c r="AJ4216" s="90">
        <v>1.33</v>
      </c>
      <c r="AN4216" s="185" t="s">
        <v>3572</v>
      </c>
      <c r="AO4216" s="185" t="s">
        <v>5150</v>
      </c>
      <c r="AQ4216" s="55" t="s">
        <v>553</v>
      </c>
      <c r="AR4216" s="55" t="s">
        <v>1096</v>
      </c>
      <c r="AS4216" s="55" t="s">
        <v>5133</v>
      </c>
      <c r="AU4216" s="181" t="s">
        <v>7494</v>
      </c>
      <c r="AV4216" s="185" t="s">
        <v>176</v>
      </c>
      <c r="AX4216" s="185" t="s">
        <v>176</v>
      </c>
      <c r="BK4216" s="55" t="s">
        <v>5976</v>
      </c>
      <c r="BM4216" s="192" t="s">
        <v>160</v>
      </c>
      <c r="BN4216" s="55">
        <v>3</v>
      </c>
      <c r="BO4216" s="55">
        <v>3</v>
      </c>
      <c r="BQ4216" s="55" t="s">
        <v>141</v>
      </c>
      <c r="BV4216" s="55" t="s">
        <v>3630</v>
      </c>
      <c r="GP4216" s="292" t="s">
        <v>7494</v>
      </c>
      <c r="HI4216" s="65">
        <v>0.19</v>
      </c>
      <c r="HJ4216" s="65">
        <v>0.36</v>
      </c>
      <c r="HK4216" s="65">
        <f>SQRT(3)*0.04</f>
        <v>6.9282032302755092E-2</v>
      </c>
      <c r="HL4216" s="65">
        <f>SQRT(3)*0.04</f>
        <v>6.9282032302755092E-2</v>
      </c>
      <c r="HM4216" s="65" t="s">
        <v>3638</v>
      </c>
      <c r="HN4216" s="65">
        <v>7.05</v>
      </c>
      <c r="HO4216" s="65">
        <v>15.23</v>
      </c>
      <c r="HP4216" s="65">
        <f>SQRT(3)*0.26</f>
        <v>0.4503332099679081</v>
      </c>
      <c r="HQ4216" s="65">
        <f>SQRT(3)*0.35</f>
        <v>0.60621778264910697</v>
      </c>
      <c r="HR4216" s="65" t="s">
        <v>3640</v>
      </c>
      <c r="HS4216" s="65">
        <v>18.010000000000002</v>
      </c>
      <c r="HT4216" s="65">
        <v>14.25</v>
      </c>
      <c r="HU4216" s="65">
        <f>SQRT(3)*0.48</f>
        <v>0.83138438763306099</v>
      </c>
      <c r="HV4216" s="65">
        <f>SQRT(3)*0.59</f>
        <v>1.0219099764656374</v>
      </c>
      <c r="HW4216" s="65" t="s">
        <v>3639</v>
      </c>
      <c r="JU4216" s="55" t="s">
        <v>3645</v>
      </c>
    </row>
    <row r="4217" spans="1:281" x14ac:dyDescent="0.25">
      <c r="A4217" s="55">
        <v>4216</v>
      </c>
      <c r="B4217" s="12" t="s">
        <v>7067</v>
      </c>
      <c r="C4217" s="155">
        <v>185</v>
      </c>
      <c r="D4217" s="55" t="s">
        <v>3647</v>
      </c>
      <c r="E4217" s="90" t="s">
        <v>3624</v>
      </c>
      <c r="G4217" s="55" t="s">
        <v>3625</v>
      </c>
      <c r="H4217" s="55">
        <v>2014</v>
      </c>
      <c r="I4217" s="55">
        <v>2012</v>
      </c>
      <c r="J4217" s="55" t="s">
        <v>3626</v>
      </c>
      <c r="K4217" s="55" t="s">
        <v>3627</v>
      </c>
      <c r="L4217" s="55" t="s">
        <v>3377</v>
      </c>
      <c r="M4217" s="90">
        <f>28+12/60</f>
        <v>28.2</v>
      </c>
      <c r="N4217" s="90">
        <f>113+4.8/60</f>
        <v>113.08</v>
      </c>
      <c r="O4217" s="90">
        <v>45.8</v>
      </c>
      <c r="Q4217" s="55">
        <v>17.100000000000001</v>
      </c>
      <c r="S4217" s="90">
        <v>1500</v>
      </c>
      <c r="U4217" s="55" t="s">
        <v>1933</v>
      </c>
      <c r="V4217" s="55" t="s">
        <v>1679</v>
      </c>
      <c r="Y4217" s="55" t="s">
        <v>3628</v>
      </c>
      <c r="Z4217" s="55" t="s">
        <v>1346</v>
      </c>
      <c r="AH4217" s="55" t="s">
        <v>645</v>
      </c>
      <c r="AI4217" s="168">
        <v>5.4</v>
      </c>
      <c r="AJ4217" s="90">
        <v>1.33</v>
      </c>
      <c r="AN4217" s="185" t="s">
        <v>3641</v>
      </c>
      <c r="AO4217" s="185" t="s">
        <v>5150</v>
      </c>
      <c r="AQ4217" s="55" t="s">
        <v>1097</v>
      </c>
      <c r="AR4217" s="55" t="s">
        <v>1096</v>
      </c>
      <c r="AS4217" s="55" t="s">
        <v>5133</v>
      </c>
      <c r="AU4217" s="181" t="s">
        <v>7494</v>
      </c>
      <c r="AV4217" s="185" t="s">
        <v>176</v>
      </c>
      <c r="AX4217" s="185" t="s">
        <v>176</v>
      </c>
      <c r="BK4217" s="55" t="s">
        <v>5976</v>
      </c>
      <c r="BM4217" s="192" t="s">
        <v>160</v>
      </c>
      <c r="BN4217" s="55">
        <v>3</v>
      </c>
      <c r="BO4217" s="55">
        <v>3</v>
      </c>
      <c r="BQ4217" s="55" t="s">
        <v>141</v>
      </c>
      <c r="BV4217" s="55" t="s">
        <v>3630</v>
      </c>
      <c r="GP4217" s="292" t="s">
        <v>7494</v>
      </c>
      <c r="HI4217" s="65">
        <v>0.19</v>
      </c>
      <c r="HJ4217" s="65">
        <v>0.81</v>
      </c>
      <c r="HK4217" s="65">
        <f>SQRT(3)*0.04</f>
        <v>6.9282032302755092E-2</v>
      </c>
      <c r="HL4217" s="65">
        <f>SQRT(3)*0.03</f>
        <v>5.1961524227066312E-2</v>
      </c>
      <c r="HM4217" s="65" t="s">
        <v>3638</v>
      </c>
      <c r="HN4217" s="65">
        <v>7.05</v>
      </c>
      <c r="HO4217" s="65">
        <v>9.73</v>
      </c>
      <c r="HP4217" s="65">
        <f>SQRT(3)*0.26</f>
        <v>0.4503332099679081</v>
      </c>
      <c r="HQ4217" s="65">
        <f>SQRT(3)*0.43</f>
        <v>0.74478184725461716</v>
      </c>
      <c r="HR4217" s="65" t="s">
        <v>3640</v>
      </c>
      <c r="HS4217" s="65">
        <v>18.010000000000002</v>
      </c>
      <c r="HT4217" s="65">
        <v>18.11</v>
      </c>
      <c r="HU4217" s="65">
        <f>SQRT(3)*0.48</f>
        <v>0.83138438763306099</v>
      </c>
      <c r="HV4217" s="65">
        <f>SQRT(3)*0.59</f>
        <v>1.0219099764656374</v>
      </c>
      <c r="HW4217" s="65" t="s">
        <v>3639</v>
      </c>
      <c r="JU4217" s="55" t="s">
        <v>3645</v>
      </c>
    </row>
    <row r="4218" spans="1:281" x14ac:dyDescent="0.25">
      <c r="A4218" s="55">
        <v>4217</v>
      </c>
      <c r="B4218" s="12" t="s">
        <v>7067</v>
      </c>
      <c r="C4218" s="155">
        <v>186</v>
      </c>
      <c r="D4218" s="55" t="s">
        <v>3647</v>
      </c>
      <c r="E4218" s="90" t="s">
        <v>3624</v>
      </c>
      <c r="G4218" s="55" t="s">
        <v>3625</v>
      </c>
      <c r="H4218" s="55">
        <v>2014</v>
      </c>
      <c r="I4218" s="55">
        <v>2012</v>
      </c>
      <c r="J4218" s="55" t="s">
        <v>3626</v>
      </c>
      <c r="K4218" s="55" t="s">
        <v>3627</v>
      </c>
      <c r="L4218" s="55" t="s">
        <v>3377</v>
      </c>
      <c r="M4218" s="90">
        <f>28+12/60</f>
        <v>28.2</v>
      </c>
      <c r="N4218" s="90">
        <f>113+4.8/60</f>
        <v>113.08</v>
      </c>
      <c r="O4218" s="90">
        <v>45.8</v>
      </c>
      <c r="Q4218" s="55">
        <v>17.100000000000001</v>
      </c>
      <c r="S4218" s="90">
        <v>1500</v>
      </c>
      <c r="U4218" s="55" t="s">
        <v>1933</v>
      </c>
      <c r="V4218" s="55" t="s">
        <v>1679</v>
      </c>
      <c r="Y4218" s="55" t="s">
        <v>3628</v>
      </c>
      <c r="Z4218" s="55" t="s">
        <v>1346</v>
      </c>
      <c r="AH4218" s="55" t="s">
        <v>645</v>
      </c>
      <c r="AI4218" s="168">
        <v>5.4</v>
      </c>
      <c r="AJ4218" s="90">
        <v>1.33</v>
      </c>
      <c r="AN4218" s="185" t="s">
        <v>3641</v>
      </c>
      <c r="AO4218" s="185" t="s">
        <v>5150</v>
      </c>
      <c r="AQ4218" s="55" t="s">
        <v>1097</v>
      </c>
      <c r="AR4218" s="55" t="s">
        <v>1096</v>
      </c>
      <c r="AS4218" s="55" t="s">
        <v>5133</v>
      </c>
      <c r="AU4218" s="181" t="s">
        <v>7494</v>
      </c>
      <c r="AV4218" s="185" t="s">
        <v>176</v>
      </c>
      <c r="AX4218" s="185" t="s">
        <v>176</v>
      </c>
      <c r="BK4218" s="55" t="s">
        <v>5976</v>
      </c>
      <c r="BM4218" s="192" t="s">
        <v>160</v>
      </c>
      <c r="BN4218" s="55">
        <v>3</v>
      </c>
      <c r="BO4218" s="55">
        <v>3</v>
      </c>
      <c r="BQ4218" s="55" t="s">
        <v>141</v>
      </c>
      <c r="BV4218" s="55" t="s">
        <v>3629</v>
      </c>
      <c r="CB4218" s="66">
        <f>0.5*14359</f>
        <v>7179.5</v>
      </c>
      <c r="CC4218" s="66">
        <f>0.5*14634.25</f>
        <v>7317.125</v>
      </c>
      <c r="CE4218" s="65">
        <f>0.5*422.45</f>
        <v>211.22499999999999</v>
      </c>
      <c r="CF4218" s="65">
        <f>0.5*398.38</f>
        <v>199.19</v>
      </c>
      <c r="CG4218" s="65" t="s">
        <v>3637</v>
      </c>
      <c r="GP4218" s="292" t="s">
        <v>7494</v>
      </c>
      <c r="IH4218" s="65">
        <f>10*0.038</f>
        <v>0.38</v>
      </c>
      <c r="II4218" s="65">
        <f>10*0.077</f>
        <v>0.77</v>
      </c>
      <c r="IJ4218" s="65">
        <f>10*SQRT(3)*0.001</f>
        <v>1.7320508075688773E-2</v>
      </c>
      <c r="IK4218" s="65">
        <f>10*SQRT(3)*0.002</f>
        <v>3.4641016151377546E-2</v>
      </c>
      <c r="IL4218" s="65" t="s">
        <v>3633</v>
      </c>
      <c r="JB4218" s="65">
        <f>10*6.732</f>
        <v>67.320000000000007</v>
      </c>
      <c r="JC4218" s="65">
        <f>10*11.528</f>
        <v>115.28</v>
      </c>
      <c r="JD4218" s="65">
        <f>10*SQRT(3)*0.194</f>
        <v>3.3601785666836217</v>
      </c>
      <c r="JE4218" s="65">
        <f>10*SQRT(3)*0.538</f>
        <v>9.3184333447205603</v>
      </c>
      <c r="JF4218" s="65" t="s">
        <v>3633</v>
      </c>
    </row>
    <row r="4219" spans="1:281" x14ac:dyDescent="0.25">
      <c r="A4219" s="55">
        <v>4218</v>
      </c>
      <c r="B4219" s="12" t="s">
        <v>7067</v>
      </c>
      <c r="C4219" s="155">
        <v>186</v>
      </c>
      <c r="D4219" s="55" t="s">
        <v>3648</v>
      </c>
      <c r="E4219" s="90" t="s">
        <v>3624</v>
      </c>
      <c r="G4219" s="55" t="s">
        <v>3625</v>
      </c>
      <c r="H4219" s="55">
        <v>2014</v>
      </c>
      <c r="I4219" s="55">
        <v>2012</v>
      </c>
      <c r="J4219" s="55" t="s">
        <v>3626</v>
      </c>
      <c r="K4219" s="55" t="s">
        <v>3627</v>
      </c>
      <c r="L4219" s="55" t="s">
        <v>3377</v>
      </c>
      <c r="M4219" s="90">
        <f>28+12/60</f>
        <v>28.2</v>
      </c>
      <c r="N4219" s="90">
        <f>113+4.8/60</f>
        <v>113.08</v>
      </c>
      <c r="O4219" s="90">
        <v>45.8</v>
      </c>
      <c r="Q4219" s="55">
        <v>17.100000000000001</v>
      </c>
      <c r="S4219" s="90">
        <v>1500</v>
      </c>
      <c r="U4219" s="55" t="s">
        <v>1933</v>
      </c>
      <c r="V4219" s="55" t="s">
        <v>1679</v>
      </c>
      <c r="Y4219" s="55" t="s">
        <v>3628</v>
      </c>
      <c r="Z4219" s="55" t="s">
        <v>1346</v>
      </c>
      <c r="AH4219" s="55" t="s">
        <v>645</v>
      </c>
      <c r="AI4219" s="168">
        <v>5.4</v>
      </c>
      <c r="AJ4219" s="90">
        <v>1.33</v>
      </c>
      <c r="AN4219" s="185" t="s">
        <v>3646</v>
      </c>
      <c r="AO4219" s="185" t="s">
        <v>5150</v>
      </c>
      <c r="AQ4219" s="55" t="s">
        <v>1097</v>
      </c>
      <c r="AR4219" s="55" t="s">
        <v>1096</v>
      </c>
      <c r="AS4219" s="55" t="s">
        <v>5133</v>
      </c>
      <c r="AU4219" s="181" t="s">
        <v>7494</v>
      </c>
      <c r="AV4219" s="185" t="s">
        <v>176</v>
      </c>
      <c r="AX4219" s="185" t="s">
        <v>176</v>
      </c>
      <c r="BK4219" s="55" t="s">
        <v>5976</v>
      </c>
      <c r="BM4219" s="192" t="s">
        <v>160</v>
      </c>
      <c r="BN4219" s="55">
        <v>3</v>
      </c>
      <c r="BO4219" s="55">
        <v>3</v>
      </c>
      <c r="BQ4219" s="55" t="s">
        <v>141</v>
      </c>
      <c r="BV4219" s="55" t="s">
        <v>3629</v>
      </c>
      <c r="CB4219" s="66">
        <f>0.5*14359</f>
        <v>7179.5</v>
      </c>
      <c r="CC4219" s="66">
        <f>0.5*15620</f>
        <v>7810</v>
      </c>
      <c r="CE4219" s="65">
        <f>0.5*450.91</f>
        <v>225.45500000000001</v>
      </c>
      <c r="CF4219" s="65">
        <f>0.5*435.59</f>
        <v>217.79499999999999</v>
      </c>
      <c r="CG4219" s="65" t="s">
        <v>3637</v>
      </c>
      <c r="GP4219" s="292" t="s">
        <v>7494</v>
      </c>
      <c r="IH4219" s="65">
        <f>10*0.038</f>
        <v>0.38</v>
      </c>
      <c r="II4219" s="65">
        <f>10*0.05</f>
        <v>0.5</v>
      </c>
      <c r="IJ4219" s="65">
        <f>10*SQRT(3)*0.001</f>
        <v>1.7320508075688773E-2</v>
      </c>
      <c r="IK4219" s="65">
        <f>10*SQRT(3)*0.002</f>
        <v>3.4641016151377546E-2</v>
      </c>
      <c r="IL4219" s="65" t="s">
        <v>3633</v>
      </c>
      <c r="JB4219" s="65">
        <f>10*6.732</f>
        <v>67.320000000000007</v>
      </c>
      <c r="JC4219" s="65">
        <f>10*18.62</f>
        <v>186.20000000000002</v>
      </c>
      <c r="JD4219" s="65">
        <f>10*SQRT(3)*0.194</f>
        <v>3.3601785666836217</v>
      </c>
      <c r="JE4219" s="65">
        <f>10*SQRT(3)*0.333</f>
        <v>5.7677291892043607</v>
      </c>
      <c r="JF4219" s="65" t="s">
        <v>3633</v>
      </c>
    </row>
    <row r="4220" spans="1:281" x14ac:dyDescent="0.25">
      <c r="A4220" s="55">
        <v>4219</v>
      </c>
      <c r="B4220" s="12" t="s">
        <v>7067</v>
      </c>
      <c r="C4220" s="155">
        <v>186</v>
      </c>
      <c r="D4220" s="55" t="s">
        <v>3649</v>
      </c>
      <c r="E4220" s="90" t="s">
        <v>3624</v>
      </c>
      <c r="G4220" s="55" t="s">
        <v>3625</v>
      </c>
      <c r="H4220" s="55">
        <v>2014</v>
      </c>
      <c r="I4220" s="55">
        <v>2012</v>
      </c>
      <c r="J4220" s="55" t="s">
        <v>3626</v>
      </c>
      <c r="K4220" s="55" t="s">
        <v>3627</v>
      </c>
      <c r="L4220" s="55" t="s">
        <v>3377</v>
      </c>
      <c r="M4220" s="90">
        <f>28+12/60</f>
        <v>28.2</v>
      </c>
      <c r="N4220" s="90">
        <f>113+4.8/60</f>
        <v>113.08</v>
      </c>
      <c r="O4220" s="90">
        <v>45.8</v>
      </c>
      <c r="Q4220" s="55">
        <v>17.100000000000001</v>
      </c>
      <c r="S4220" s="90">
        <v>1500</v>
      </c>
      <c r="U4220" s="55" t="s">
        <v>1933</v>
      </c>
      <c r="V4220" s="55" t="s">
        <v>1679</v>
      </c>
      <c r="Y4220" s="55" t="s">
        <v>3628</v>
      </c>
      <c r="Z4220" s="55" t="s">
        <v>1346</v>
      </c>
      <c r="AH4220" s="55" t="s">
        <v>645</v>
      </c>
      <c r="AI4220" s="168">
        <v>5.4</v>
      </c>
      <c r="AJ4220" s="90">
        <v>1.33</v>
      </c>
      <c r="AN4220" s="185" t="s">
        <v>3641</v>
      </c>
      <c r="AO4220" s="185" t="s">
        <v>5150</v>
      </c>
      <c r="AQ4220" s="55" t="s">
        <v>1097</v>
      </c>
      <c r="AR4220" s="55" t="s">
        <v>1096</v>
      </c>
      <c r="AS4220" s="55" t="s">
        <v>5133</v>
      </c>
      <c r="AU4220" s="181" t="s">
        <v>7494</v>
      </c>
      <c r="AV4220" s="185" t="s">
        <v>176</v>
      </c>
      <c r="AX4220" s="185" t="s">
        <v>176</v>
      </c>
      <c r="BK4220" s="55" t="s">
        <v>5976</v>
      </c>
      <c r="BM4220" s="192" t="s">
        <v>160</v>
      </c>
      <c r="BN4220" s="55">
        <v>3</v>
      </c>
      <c r="BO4220" s="55">
        <v>3</v>
      </c>
      <c r="BQ4220" s="55" t="s">
        <v>141</v>
      </c>
      <c r="BV4220" s="55" t="s">
        <v>3630</v>
      </c>
      <c r="GP4220" s="292" t="s">
        <v>7494</v>
      </c>
      <c r="IH4220" s="65">
        <f>10*0.072</f>
        <v>0.72</v>
      </c>
      <c r="II4220" s="65">
        <f>10*0.154</f>
        <v>1.54</v>
      </c>
      <c r="IJ4220" s="65">
        <f>10*SQRT(3)*0.002</f>
        <v>3.4641016151377546E-2</v>
      </c>
      <c r="IK4220" s="65">
        <f>10*SQRT(3)*0.005</f>
        <v>8.6602540378443851E-2</v>
      </c>
      <c r="IL4220" s="65" t="s">
        <v>3633</v>
      </c>
      <c r="JB4220" s="65">
        <f>10*27.874</f>
        <v>278.74</v>
      </c>
      <c r="JC4220" s="65">
        <f>10*50.007</f>
        <v>500.07</v>
      </c>
      <c r="JD4220" s="65">
        <f>10*SQRT(3)*0.805</f>
        <v>13.943009000929461</v>
      </c>
      <c r="JE4220" s="65">
        <f>10*SQRT(3)*1.744</f>
        <v>30.206966084001216</v>
      </c>
      <c r="JF4220" s="65" t="s">
        <v>3633</v>
      </c>
    </row>
    <row r="4221" spans="1:281" x14ac:dyDescent="0.25">
      <c r="A4221" s="55">
        <v>4220</v>
      </c>
      <c r="B4221" s="12" t="s">
        <v>7067</v>
      </c>
      <c r="C4221" s="155">
        <v>186</v>
      </c>
      <c r="D4221" s="55" t="s">
        <v>3650</v>
      </c>
      <c r="E4221" s="90" t="s">
        <v>3624</v>
      </c>
      <c r="G4221" s="55" t="s">
        <v>3625</v>
      </c>
      <c r="H4221" s="55">
        <v>2014</v>
      </c>
      <c r="I4221" s="55">
        <v>2012</v>
      </c>
      <c r="J4221" s="55" t="s">
        <v>3626</v>
      </c>
      <c r="K4221" s="55" t="s">
        <v>3627</v>
      </c>
      <c r="L4221" s="55" t="s">
        <v>3377</v>
      </c>
      <c r="M4221" s="90">
        <f>28+12/60</f>
        <v>28.2</v>
      </c>
      <c r="N4221" s="90">
        <f>113+4.8/60</f>
        <v>113.08</v>
      </c>
      <c r="O4221" s="90">
        <v>45.8</v>
      </c>
      <c r="Q4221" s="55">
        <v>17.100000000000001</v>
      </c>
      <c r="S4221" s="90">
        <v>1500</v>
      </c>
      <c r="U4221" s="55" t="s">
        <v>1933</v>
      </c>
      <c r="V4221" s="55" t="s">
        <v>1679</v>
      </c>
      <c r="Y4221" s="55" t="s">
        <v>3628</v>
      </c>
      <c r="Z4221" s="55" t="s">
        <v>1346</v>
      </c>
      <c r="AH4221" s="55" t="s">
        <v>645</v>
      </c>
      <c r="AI4221" s="168">
        <v>5.4</v>
      </c>
      <c r="AJ4221" s="90">
        <v>1.33</v>
      </c>
      <c r="AN4221" s="185" t="s">
        <v>3646</v>
      </c>
      <c r="AO4221" s="185" t="s">
        <v>5150</v>
      </c>
      <c r="AQ4221" s="55" t="s">
        <v>1097</v>
      </c>
      <c r="AR4221" s="55" t="s">
        <v>1096</v>
      </c>
      <c r="AS4221" s="55" t="s">
        <v>5133</v>
      </c>
      <c r="AU4221" s="181" t="s">
        <v>7494</v>
      </c>
      <c r="AV4221" s="185" t="s">
        <v>176</v>
      </c>
      <c r="AX4221" s="185" t="s">
        <v>176</v>
      </c>
      <c r="BK4221" s="55" t="s">
        <v>5976</v>
      </c>
      <c r="BM4221" s="192" t="s">
        <v>160</v>
      </c>
      <c r="BN4221" s="55">
        <v>3</v>
      </c>
      <c r="BO4221" s="55">
        <v>3</v>
      </c>
      <c r="BQ4221" s="55" t="s">
        <v>141</v>
      </c>
      <c r="BV4221" s="55" t="s">
        <v>3630</v>
      </c>
      <c r="GP4221" s="292" t="s">
        <v>7494</v>
      </c>
      <c r="IH4221" s="65">
        <f>10*0.072</f>
        <v>0.72</v>
      </c>
      <c r="II4221" s="65">
        <f>10*0.098</f>
        <v>0.98</v>
      </c>
      <c r="IJ4221" s="65">
        <f>10*SQRT(3)*0.002</f>
        <v>3.4641016151377546E-2</v>
      </c>
      <c r="IK4221" s="65">
        <f>10*SQRT(3)*0.003</f>
        <v>5.1961524227066312E-2</v>
      </c>
      <c r="IL4221" s="65" t="s">
        <v>3633</v>
      </c>
      <c r="JB4221" s="65">
        <f>10*27.874</f>
        <v>278.74</v>
      </c>
      <c r="JC4221" s="65">
        <f>10*60.414</f>
        <v>604.14</v>
      </c>
      <c r="JD4221" s="65">
        <f>10*SQRT(3)*0.805</f>
        <v>13.943009000929461</v>
      </c>
      <c r="JE4221" s="65">
        <f>10*SQRT(3)*1.444</f>
        <v>25.010813661294584</v>
      </c>
      <c r="JF4221" s="65" t="s">
        <v>3633</v>
      </c>
    </row>
    <row r="4222" spans="1:281" x14ac:dyDescent="0.25">
      <c r="A4222" s="55">
        <v>4221</v>
      </c>
      <c r="B4222" s="12" t="s">
        <v>7067</v>
      </c>
      <c r="C4222" s="155">
        <v>186</v>
      </c>
      <c r="D4222" s="55" t="s">
        <v>3647</v>
      </c>
      <c r="E4222" s="90" t="s">
        <v>3624</v>
      </c>
      <c r="G4222" s="55" t="s">
        <v>3625</v>
      </c>
      <c r="H4222" s="55">
        <v>2014</v>
      </c>
      <c r="I4222" s="55">
        <v>2013</v>
      </c>
      <c r="J4222" s="55" t="s">
        <v>3626</v>
      </c>
      <c r="K4222" s="55" t="s">
        <v>3627</v>
      </c>
      <c r="L4222" s="55" t="s">
        <v>3377</v>
      </c>
      <c r="M4222" s="90">
        <f>28+12/60</f>
        <v>28.2</v>
      </c>
      <c r="N4222" s="90">
        <f>113+4.8/60</f>
        <v>113.08</v>
      </c>
      <c r="O4222" s="90">
        <v>45.8</v>
      </c>
      <c r="Q4222" s="55">
        <v>17.100000000000001</v>
      </c>
      <c r="S4222" s="90">
        <v>1500</v>
      </c>
      <c r="U4222" s="55" t="s">
        <v>1679</v>
      </c>
      <c r="V4222" s="55" t="s">
        <v>1679</v>
      </c>
      <c r="Y4222" s="55" t="s">
        <v>3628</v>
      </c>
      <c r="Z4222" s="55" t="s">
        <v>1346</v>
      </c>
      <c r="AH4222" s="55" t="s">
        <v>645</v>
      </c>
      <c r="AI4222" s="168">
        <v>5.4</v>
      </c>
      <c r="AJ4222" s="90">
        <v>1.33</v>
      </c>
      <c r="AN4222" s="185" t="s">
        <v>3641</v>
      </c>
      <c r="AO4222" s="185" t="s">
        <v>5150</v>
      </c>
      <c r="AQ4222" s="55" t="s">
        <v>1097</v>
      </c>
      <c r="AR4222" s="55" t="s">
        <v>1096</v>
      </c>
      <c r="AS4222" s="55" t="s">
        <v>5133</v>
      </c>
      <c r="AU4222" s="181" t="s">
        <v>7494</v>
      </c>
      <c r="AV4222" s="185" t="s">
        <v>176</v>
      </c>
      <c r="AX4222" s="185" t="s">
        <v>176</v>
      </c>
      <c r="BK4222" s="55" t="s">
        <v>5976</v>
      </c>
      <c r="BM4222" s="192" t="s">
        <v>160</v>
      </c>
      <c r="BN4222" s="55">
        <v>3</v>
      </c>
      <c r="BO4222" s="55">
        <v>3</v>
      </c>
      <c r="BQ4222" s="55" t="s">
        <v>141</v>
      </c>
      <c r="BV4222" s="55" t="s">
        <v>3629</v>
      </c>
      <c r="CB4222" s="66">
        <f>0.5*13625.16</f>
        <v>6812.58</v>
      </c>
      <c r="CC4222" s="66">
        <f>0.5*14805.1</f>
        <v>7402.55</v>
      </c>
      <c r="CE4222" s="65">
        <f>0.5*387.4</f>
        <v>193.7</v>
      </c>
      <c r="CF4222" s="65">
        <f>0.5*425.47</f>
        <v>212.73500000000001</v>
      </c>
      <c r="CG4222" s="65" t="s">
        <v>3637</v>
      </c>
      <c r="GP4222" s="292" t="s">
        <v>7494</v>
      </c>
      <c r="IH4222" s="65">
        <f>10*0.042</f>
        <v>0.42000000000000004</v>
      </c>
      <c r="II4222" s="65">
        <f>10*0.092</f>
        <v>0.91999999999999993</v>
      </c>
      <c r="IJ4222" s="65">
        <f>10*SQRT(3)*0.002</f>
        <v>3.4641016151377546E-2</v>
      </c>
      <c r="IK4222" s="65">
        <f>10*SQRT(3)*0.003</f>
        <v>5.1961524227066312E-2</v>
      </c>
      <c r="IL4222" s="65" t="s">
        <v>3633</v>
      </c>
      <c r="JB4222" s="65">
        <f>10*7.535</f>
        <v>75.349999999999994</v>
      </c>
      <c r="JC4222" s="65">
        <f>10*12.831</f>
        <v>128.31</v>
      </c>
      <c r="JD4222" s="65">
        <f>10*SQRT(3)*0.218</f>
        <v>3.775870760500152</v>
      </c>
      <c r="JE4222" s="65">
        <f>10*SQRT(3)*0.596</f>
        <v>10.323022813110507</v>
      </c>
      <c r="JF4222" s="65" t="s">
        <v>3633</v>
      </c>
    </row>
    <row r="4223" spans="1:281" x14ac:dyDescent="0.25">
      <c r="A4223" s="55">
        <v>4222</v>
      </c>
      <c r="B4223" s="12" t="s">
        <v>7067</v>
      </c>
      <c r="C4223" s="155">
        <v>186</v>
      </c>
      <c r="D4223" s="55" t="s">
        <v>3648</v>
      </c>
      <c r="E4223" s="90" t="s">
        <v>3624</v>
      </c>
      <c r="G4223" s="55" t="s">
        <v>3625</v>
      </c>
      <c r="H4223" s="55">
        <v>2014</v>
      </c>
      <c r="I4223" s="55">
        <v>2013</v>
      </c>
      <c r="J4223" s="55" t="s">
        <v>3626</v>
      </c>
      <c r="K4223" s="55" t="s">
        <v>3627</v>
      </c>
      <c r="L4223" s="55" t="s">
        <v>3377</v>
      </c>
      <c r="M4223" s="90">
        <f>28+12/60</f>
        <v>28.2</v>
      </c>
      <c r="N4223" s="90">
        <f>113+4.8/60</f>
        <v>113.08</v>
      </c>
      <c r="O4223" s="90">
        <v>45.8</v>
      </c>
      <c r="Q4223" s="55">
        <v>17.100000000000001</v>
      </c>
      <c r="S4223" s="90">
        <v>1500</v>
      </c>
      <c r="U4223" s="55" t="s">
        <v>1679</v>
      </c>
      <c r="V4223" s="55" t="s">
        <v>1679</v>
      </c>
      <c r="Y4223" s="55" t="s">
        <v>3628</v>
      </c>
      <c r="Z4223" s="55" t="s">
        <v>1346</v>
      </c>
      <c r="AH4223" s="55" t="s">
        <v>645</v>
      </c>
      <c r="AI4223" s="168">
        <v>5.4</v>
      </c>
      <c r="AJ4223" s="90">
        <v>1.33</v>
      </c>
      <c r="AN4223" s="185" t="s">
        <v>3646</v>
      </c>
      <c r="AO4223" s="185" t="s">
        <v>5150</v>
      </c>
      <c r="AQ4223" s="55" t="s">
        <v>1097</v>
      </c>
      <c r="AR4223" s="55" t="s">
        <v>1096</v>
      </c>
      <c r="AS4223" s="55" t="s">
        <v>5133</v>
      </c>
      <c r="AU4223" s="181" t="s">
        <v>7494</v>
      </c>
      <c r="AV4223" s="185" t="s">
        <v>176</v>
      </c>
      <c r="AX4223" s="185" t="s">
        <v>176</v>
      </c>
      <c r="BK4223" s="55" t="s">
        <v>5976</v>
      </c>
      <c r="BM4223" s="192" t="s">
        <v>160</v>
      </c>
      <c r="BN4223" s="55">
        <v>3</v>
      </c>
      <c r="BO4223" s="55">
        <v>3</v>
      </c>
      <c r="BQ4223" s="55" t="s">
        <v>141</v>
      </c>
      <c r="BV4223" s="55" t="s">
        <v>3629</v>
      </c>
      <c r="CB4223" s="66">
        <f>0.5*13625.16</f>
        <v>6812.58</v>
      </c>
      <c r="CC4223" s="66">
        <f>0.5*14962.99</f>
        <v>7481.4949999999999</v>
      </c>
      <c r="CE4223" s="65">
        <f>0.5*406.35</f>
        <v>203.17500000000001</v>
      </c>
      <c r="CF4223" s="65">
        <f>0.5*430.03</f>
        <v>215.01499999999999</v>
      </c>
      <c r="CG4223" s="65" t="s">
        <v>3637</v>
      </c>
      <c r="GP4223" s="292" t="s">
        <v>7494</v>
      </c>
      <c r="IH4223" s="65">
        <f>10*0.042</f>
        <v>0.42000000000000004</v>
      </c>
      <c r="II4223" s="65">
        <f>10*0.056</f>
        <v>0.56000000000000005</v>
      </c>
      <c r="IJ4223" s="65">
        <f>10*SQRT(3)*0.002</f>
        <v>3.4641016151377546E-2</v>
      </c>
      <c r="IK4223" s="65">
        <f>10*SQRT(3)*0.002</f>
        <v>3.4641016151377546E-2</v>
      </c>
      <c r="IL4223" s="65" t="s">
        <v>3633</v>
      </c>
      <c r="JB4223" s="65">
        <f>10*7.535</f>
        <v>75.349999999999994</v>
      </c>
      <c r="JC4223" s="65">
        <f>10*20.658</f>
        <v>206.58</v>
      </c>
      <c r="JD4223" s="65">
        <f>10*SQRT(3)*0.218</f>
        <v>3.775870760500152</v>
      </c>
      <c r="JE4223" s="65">
        <f>10*SQRT(3)*0.37</f>
        <v>6.4085879880048449</v>
      </c>
      <c r="JF4223" s="65" t="s">
        <v>3633</v>
      </c>
    </row>
    <row r="4224" spans="1:281" x14ac:dyDescent="0.25">
      <c r="A4224" s="55">
        <v>4223</v>
      </c>
      <c r="B4224" s="12" t="s">
        <v>7067</v>
      </c>
      <c r="C4224" s="155">
        <v>186</v>
      </c>
      <c r="D4224" s="55" t="s">
        <v>3649</v>
      </c>
      <c r="E4224" s="90" t="s">
        <v>3624</v>
      </c>
      <c r="G4224" s="55" t="s">
        <v>3625</v>
      </c>
      <c r="H4224" s="55">
        <v>2014</v>
      </c>
      <c r="I4224" s="55">
        <v>2013</v>
      </c>
      <c r="J4224" s="55" t="s">
        <v>3626</v>
      </c>
      <c r="K4224" s="55" t="s">
        <v>3627</v>
      </c>
      <c r="L4224" s="55" t="s">
        <v>3377</v>
      </c>
      <c r="M4224" s="90">
        <f>28+12/60</f>
        <v>28.2</v>
      </c>
      <c r="N4224" s="90">
        <f>113+4.8/60</f>
        <v>113.08</v>
      </c>
      <c r="O4224" s="90">
        <v>45.8</v>
      </c>
      <c r="Q4224" s="55">
        <v>17.100000000000001</v>
      </c>
      <c r="S4224" s="90">
        <v>1500</v>
      </c>
      <c r="U4224" s="55" t="s">
        <v>1679</v>
      </c>
      <c r="V4224" s="55" t="s">
        <v>1679</v>
      </c>
      <c r="Y4224" s="55" t="s">
        <v>3628</v>
      </c>
      <c r="Z4224" s="55" t="s">
        <v>1346</v>
      </c>
      <c r="AH4224" s="55" t="s">
        <v>645</v>
      </c>
      <c r="AI4224" s="168">
        <v>5.4</v>
      </c>
      <c r="AJ4224" s="90">
        <v>1.33</v>
      </c>
      <c r="AN4224" s="185" t="s">
        <v>3641</v>
      </c>
      <c r="AO4224" s="185" t="s">
        <v>5150</v>
      </c>
      <c r="AQ4224" s="55" t="s">
        <v>1097</v>
      </c>
      <c r="AR4224" s="55" t="s">
        <v>1096</v>
      </c>
      <c r="AS4224" s="55" t="s">
        <v>5133</v>
      </c>
      <c r="AU4224" s="181" t="s">
        <v>7494</v>
      </c>
      <c r="AV4224" s="185" t="s">
        <v>176</v>
      </c>
      <c r="AX4224" s="185" t="s">
        <v>176</v>
      </c>
      <c r="BK4224" s="55" t="s">
        <v>5976</v>
      </c>
      <c r="BM4224" s="192" t="s">
        <v>160</v>
      </c>
      <c r="BN4224" s="55">
        <v>3</v>
      </c>
      <c r="BO4224" s="55">
        <v>3</v>
      </c>
      <c r="BQ4224" s="55" t="s">
        <v>141</v>
      </c>
      <c r="BV4224" s="55" t="s">
        <v>3630</v>
      </c>
      <c r="GP4224" s="292" t="s">
        <v>7494</v>
      </c>
      <c r="IH4224" s="65">
        <f>10*0.08</f>
        <v>0.8</v>
      </c>
      <c r="II4224" s="65">
        <f>10*0.165</f>
        <v>1.6500000000000001</v>
      </c>
      <c r="IJ4224" s="65">
        <f>10*SQRT(3)*0.002</f>
        <v>3.4641016151377546E-2</v>
      </c>
      <c r="IK4224" s="65">
        <f>10*SQRT(3)*0.005</f>
        <v>8.6602540378443851E-2</v>
      </c>
      <c r="IL4224" s="65" t="s">
        <v>3633</v>
      </c>
      <c r="JB4224" s="65">
        <f>10*30.55</f>
        <v>305.5</v>
      </c>
      <c r="JC4224" s="65">
        <f>10*53.37</f>
        <v>533.69999999999993</v>
      </c>
      <c r="JD4224" s="65">
        <f>10*SQRT(3)*0.882</f>
        <v>15.276688122757497</v>
      </c>
      <c r="JE4224" s="65">
        <f>10*SQRT(3)*1.847</f>
        <v>31.990978415797159</v>
      </c>
      <c r="JF4224" s="65" t="s">
        <v>3633</v>
      </c>
    </row>
    <row r="4225" spans="1:282" x14ac:dyDescent="0.25">
      <c r="A4225" s="55">
        <v>4224</v>
      </c>
      <c r="B4225" s="12" t="s">
        <v>7067</v>
      </c>
      <c r="C4225" s="155">
        <v>186</v>
      </c>
      <c r="D4225" s="55" t="s">
        <v>3650</v>
      </c>
      <c r="E4225" s="90" t="s">
        <v>3624</v>
      </c>
      <c r="G4225" s="55" t="s">
        <v>3625</v>
      </c>
      <c r="H4225" s="55">
        <v>2014</v>
      </c>
      <c r="I4225" s="55">
        <v>2013</v>
      </c>
      <c r="J4225" s="55" t="s">
        <v>3626</v>
      </c>
      <c r="K4225" s="55" t="s">
        <v>3627</v>
      </c>
      <c r="L4225" s="55" t="s">
        <v>3377</v>
      </c>
      <c r="M4225" s="90">
        <f>28+12/60</f>
        <v>28.2</v>
      </c>
      <c r="N4225" s="90">
        <f>113+4.8/60</f>
        <v>113.08</v>
      </c>
      <c r="O4225" s="90">
        <v>45.8</v>
      </c>
      <c r="Q4225" s="55">
        <v>17.100000000000001</v>
      </c>
      <c r="S4225" s="90">
        <v>1500</v>
      </c>
      <c r="U4225" s="55" t="s">
        <v>1679</v>
      </c>
      <c r="V4225" s="55" t="s">
        <v>1679</v>
      </c>
      <c r="Y4225" s="55" t="s">
        <v>3628</v>
      </c>
      <c r="Z4225" s="55" t="s">
        <v>1346</v>
      </c>
      <c r="AH4225" s="55" t="s">
        <v>645</v>
      </c>
      <c r="AI4225" s="168">
        <v>5.4</v>
      </c>
      <c r="AJ4225" s="90">
        <v>1.33</v>
      </c>
      <c r="AN4225" s="185" t="s">
        <v>3646</v>
      </c>
      <c r="AO4225" s="185" t="s">
        <v>5150</v>
      </c>
      <c r="AQ4225" s="55" t="s">
        <v>1097</v>
      </c>
      <c r="AR4225" s="55" t="s">
        <v>1096</v>
      </c>
      <c r="AS4225" s="55" t="s">
        <v>5133</v>
      </c>
      <c r="AU4225" s="181" t="s">
        <v>7494</v>
      </c>
      <c r="AV4225" s="185" t="s">
        <v>176</v>
      </c>
      <c r="AX4225" s="185" t="s">
        <v>176</v>
      </c>
      <c r="BK4225" s="55" t="s">
        <v>5976</v>
      </c>
      <c r="BM4225" s="192" t="s">
        <v>160</v>
      </c>
      <c r="BN4225" s="55">
        <v>3</v>
      </c>
      <c r="BO4225" s="55">
        <v>3</v>
      </c>
      <c r="BQ4225" s="55" t="s">
        <v>141</v>
      </c>
      <c r="BV4225" s="55" t="s">
        <v>3630</v>
      </c>
      <c r="GP4225" s="292" t="s">
        <v>7494</v>
      </c>
      <c r="IH4225" s="65">
        <f>10*0.08</f>
        <v>0.8</v>
      </c>
      <c r="II4225" s="65">
        <f>10*0.108</f>
        <v>1.08</v>
      </c>
      <c r="IJ4225" s="65">
        <f>10*SQRT(3)*0.002</f>
        <v>3.4641016151377546E-2</v>
      </c>
      <c r="IK4225" s="65">
        <f>10*SQRT(3)*0.003</f>
        <v>5.1961524227066312E-2</v>
      </c>
      <c r="IL4225" s="65" t="s">
        <v>3633</v>
      </c>
      <c r="JB4225" s="65">
        <f>10*30.55</f>
        <v>305.5</v>
      </c>
      <c r="JC4225" s="65">
        <f>10*63.991</f>
        <v>639.91</v>
      </c>
      <c r="JD4225" s="65">
        <f>10*SQRT(3)*0.882</f>
        <v>15.276688122757497</v>
      </c>
      <c r="JE4225" s="65">
        <f>10*SQRT(3)*1.541</f>
        <v>26.690902944636395</v>
      </c>
      <c r="JF4225" s="65" t="s">
        <v>3633</v>
      </c>
    </row>
    <row r="4226" spans="1:282" x14ac:dyDescent="0.25">
      <c r="A4226" s="55">
        <v>4225</v>
      </c>
      <c r="B4226" s="12" t="s">
        <v>7067</v>
      </c>
      <c r="C4226" s="155">
        <v>187</v>
      </c>
      <c r="D4226" s="55" t="s">
        <v>3659</v>
      </c>
      <c r="E4226" s="90" t="s">
        <v>3334</v>
      </c>
      <c r="G4226" s="55" t="s">
        <v>3652</v>
      </c>
      <c r="H4226" s="55">
        <v>2011</v>
      </c>
      <c r="I4226" s="55">
        <v>2005</v>
      </c>
      <c r="J4226" s="55" t="s">
        <v>2635</v>
      </c>
      <c r="K4226" s="55" t="s">
        <v>3653</v>
      </c>
      <c r="L4226" s="55" t="s">
        <v>3377</v>
      </c>
      <c r="M4226" s="90">
        <v>40.22</v>
      </c>
      <c r="N4226" s="90">
        <v>116.23</v>
      </c>
      <c r="O4226" s="90">
        <v>67</v>
      </c>
      <c r="U4226" s="55" t="s">
        <v>1935</v>
      </c>
      <c r="V4226" s="55" t="s">
        <v>1816</v>
      </c>
      <c r="Y4226" s="55" t="s">
        <v>3651</v>
      </c>
      <c r="Z4226" s="55" t="s">
        <v>1356</v>
      </c>
      <c r="AA4226" s="90" t="s">
        <v>1680</v>
      </c>
      <c r="AD4226" s="90">
        <v>1.29</v>
      </c>
      <c r="AH4226" s="55" t="s">
        <v>6378</v>
      </c>
      <c r="AI4226" s="168">
        <v>6.36</v>
      </c>
      <c r="AJ4226" s="90">
        <v>2.81</v>
      </c>
      <c r="AN4226" s="185" t="s">
        <v>3654</v>
      </c>
      <c r="AO4226" s="185" t="s">
        <v>5150</v>
      </c>
      <c r="AQ4226" s="55" t="s">
        <v>1545</v>
      </c>
      <c r="AR4226" s="55" t="s">
        <v>3469</v>
      </c>
      <c r="AS4226" s="55" t="s">
        <v>227</v>
      </c>
      <c r="AU4226" s="181" t="s">
        <v>7494</v>
      </c>
      <c r="AV4226" s="185" t="s">
        <v>176</v>
      </c>
      <c r="AX4226" s="185" t="s">
        <v>176</v>
      </c>
      <c r="BK4226" s="55" t="s">
        <v>5976</v>
      </c>
      <c r="BM4226" s="192" t="s">
        <v>160</v>
      </c>
      <c r="BN4226" s="55">
        <v>3</v>
      </c>
      <c r="BO4226" s="55">
        <v>3</v>
      </c>
      <c r="BP4226" s="55">
        <v>6</v>
      </c>
      <c r="BQ4226" s="55" t="s">
        <v>141</v>
      </c>
      <c r="BU4226" s="55" t="s">
        <v>3672</v>
      </c>
      <c r="BV4226" s="55" t="s">
        <v>3664</v>
      </c>
      <c r="CB4226" s="66">
        <v>47000</v>
      </c>
      <c r="CC4226" s="66">
        <v>53000</v>
      </c>
      <c r="GP4226" s="292" t="s">
        <v>7494</v>
      </c>
      <c r="JV4226" s="55" t="s">
        <v>3671</v>
      </c>
    </row>
    <row r="4227" spans="1:282" x14ac:dyDescent="0.25">
      <c r="A4227" s="55">
        <v>4226</v>
      </c>
      <c r="B4227" s="12" t="s">
        <v>7067</v>
      </c>
      <c r="C4227" s="155">
        <v>187</v>
      </c>
      <c r="D4227" s="55" t="s">
        <v>3660</v>
      </c>
      <c r="E4227" s="90" t="s">
        <v>3334</v>
      </c>
      <c r="G4227" s="55" t="s">
        <v>3652</v>
      </c>
      <c r="H4227" s="55">
        <v>2011</v>
      </c>
      <c r="I4227" s="55">
        <v>2005</v>
      </c>
      <c r="J4227" s="55" t="s">
        <v>2635</v>
      </c>
      <c r="K4227" s="55" t="s">
        <v>3653</v>
      </c>
      <c r="L4227" s="55" t="s">
        <v>3377</v>
      </c>
      <c r="M4227" s="90">
        <v>40.22</v>
      </c>
      <c r="N4227" s="90">
        <v>116.23</v>
      </c>
      <c r="O4227" s="90">
        <v>67</v>
      </c>
      <c r="U4227" s="55" t="s">
        <v>1935</v>
      </c>
      <c r="V4227" s="55" t="s">
        <v>1816</v>
      </c>
      <c r="Y4227" s="55" t="s">
        <v>3651</v>
      </c>
      <c r="Z4227" s="55" t="s">
        <v>1356</v>
      </c>
      <c r="AA4227" s="90" t="s">
        <v>1680</v>
      </c>
      <c r="AD4227" s="90">
        <v>1.29</v>
      </c>
      <c r="AH4227" s="55" t="s">
        <v>6378</v>
      </c>
      <c r="AI4227" s="168">
        <v>6.36</v>
      </c>
      <c r="AJ4227" s="90">
        <v>2.81</v>
      </c>
      <c r="AN4227" s="185" t="s">
        <v>3655</v>
      </c>
      <c r="AO4227" s="185" t="s">
        <v>5150</v>
      </c>
      <c r="AQ4227" s="55" t="s">
        <v>1545</v>
      </c>
      <c r="AR4227" s="55" t="s">
        <v>3469</v>
      </c>
      <c r="AS4227" s="55" t="s">
        <v>227</v>
      </c>
      <c r="AU4227" s="181" t="s">
        <v>7494</v>
      </c>
      <c r="AV4227" s="185" t="s">
        <v>176</v>
      </c>
      <c r="AX4227" s="185" t="s">
        <v>176</v>
      </c>
      <c r="BK4227" s="55" t="s">
        <v>5976</v>
      </c>
      <c r="BM4227" s="192" t="s">
        <v>160</v>
      </c>
      <c r="BN4227" s="55">
        <v>3</v>
      </c>
      <c r="BO4227" s="55">
        <v>3</v>
      </c>
      <c r="BP4227" s="55">
        <v>6</v>
      </c>
      <c r="BQ4227" s="55" t="s">
        <v>141</v>
      </c>
      <c r="BU4227" s="55" t="s">
        <v>3672</v>
      </c>
      <c r="BV4227" s="55" t="s">
        <v>3665</v>
      </c>
      <c r="CB4227" s="66">
        <v>47000</v>
      </c>
      <c r="CC4227" s="66">
        <v>52900</v>
      </c>
      <c r="GP4227" s="292" t="s">
        <v>7494</v>
      </c>
      <c r="JV4227" s="55" t="s">
        <v>3671</v>
      </c>
    </row>
    <row r="4228" spans="1:282" x14ac:dyDescent="0.25">
      <c r="A4228" s="55">
        <v>4227</v>
      </c>
      <c r="B4228" s="12" t="s">
        <v>7067</v>
      </c>
      <c r="C4228" s="155">
        <v>187</v>
      </c>
      <c r="D4228" s="55" t="s">
        <v>3661</v>
      </c>
      <c r="E4228" s="90" t="s">
        <v>3334</v>
      </c>
      <c r="G4228" s="55" t="s">
        <v>3652</v>
      </c>
      <c r="H4228" s="55">
        <v>2011</v>
      </c>
      <c r="I4228" s="55">
        <v>2005</v>
      </c>
      <c r="J4228" s="55" t="s">
        <v>2635</v>
      </c>
      <c r="K4228" s="55" t="s">
        <v>3653</v>
      </c>
      <c r="L4228" s="55" t="s">
        <v>3377</v>
      </c>
      <c r="M4228" s="90">
        <v>40.22</v>
      </c>
      <c r="N4228" s="90">
        <v>116.23</v>
      </c>
      <c r="O4228" s="90">
        <v>67</v>
      </c>
      <c r="U4228" s="55" t="s">
        <v>1935</v>
      </c>
      <c r="V4228" s="55" t="s">
        <v>1816</v>
      </c>
      <c r="Y4228" s="55" t="s">
        <v>3651</v>
      </c>
      <c r="Z4228" s="55" t="s">
        <v>1356</v>
      </c>
      <c r="AA4228" s="90" t="s">
        <v>1680</v>
      </c>
      <c r="AD4228" s="90">
        <v>1.29</v>
      </c>
      <c r="AH4228" s="55" t="s">
        <v>6378</v>
      </c>
      <c r="AI4228" s="168">
        <v>6.36</v>
      </c>
      <c r="AJ4228" s="90">
        <v>2.81</v>
      </c>
      <c r="AN4228" s="185" t="s">
        <v>3656</v>
      </c>
      <c r="AO4228" s="185" t="s">
        <v>5150</v>
      </c>
      <c r="AQ4228" s="55" t="s">
        <v>553</v>
      </c>
      <c r="AR4228" s="55" t="s">
        <v>3469</v>
      </c>
      <c r="AS4228" s="55" t="s">
        <v>227</v>
      </c>
      <c r="AU4228" s="181" t="s">
        <v>7494</v>
      </c>
      <c r="AV4228" s="185" t="s">
        <v>176</v>
      </c>
      <c r="AX4228" s="185" t="s">
        <v>176</v>
      </c>
      <c r="BK4228" s="55" t="s">
        <v>5976</v>
      </c>
      <c r="BM4228" s="192" t="s">
        <v>160</v>
      </c>
      <c r="BN4228" s="55">
        <v>3</v>
      </c>
      <c r="BO4228" s="55">
        <v>3</v>
      </c>
      <c r="BP4228" s="55">
        <v>6</v>
      </c>
      <c r="BQ4228" s="55" t="s">
        <v>141</v>
      </c>
      <c r="BU4228" s="55" t="s">
        <v>3672</v>
      </c>
      <c r="BV4228" s="55" t="s">
        <v>3666</v>
      </c>
      <c r="CB4228" s="66">
        <v>47000</v>
      </c>
      <c r="CC4228" s="66">
        <v>48200</v>
      </c>
      <c r="GP4228" s="292" t="s">
        <v>7494</v>
      </c>
      <c r="JV4228" s="55" t="s">
        <v>3671</v>
      </c>
    </row>
    <row r="4229" spans="1:282" x14ac:dyDescent="0.25">
      <c r="A4229" s="55">
        <v>4228</v>
      </c>
      <c r="B4229" s="12" t="s">
        <v>7067</v>
      </c>
      <c r="C4229" s="155">
        <v>187</v>
      </c>
      <c r="D4229" s="55" t="s">
        <v>3662</v>
      </c>
      <c r="E4229" s="90" t="s">
        <v>3334</v>
      </c>
      <c r="G4229" s="55" t="s">
        <v>3652</v>
      </c>
      <c r="H4229" s="55">
        <v>2011</v>
      </c>
      <c r="I4229" s="55">
        <v>2005</v>
      </c>
      <c r="J4229" s="55" t="s">
        <v>2635</v>
      </c>
      <c r="K4229" s="55" t="s">
        <v>3653</v>
      </c>
      <c r="L4229" s="55" t="s">
        <v>3377</v>
      </c>
      <c r="M4229" s="90">
        <v>40.22</v>
      </c>
      <c r="N4229" s="90">
        <v>116.23</v>
      </c>
      <c r="O4229" s="90">
        <v>67</v>
      </c>
      <c r="U4229" s="55" t="s">
        <v>1935</v>
      </c>
      <c r="V4229" s="55" t="s">
        <v>1816</v>
      </c>
      <c r="Y4229" s="55" t="s">
        <v>3651</v>
      </c>
      <c r="Z4229" s="55" t="s">
        <v>1356</v>
      </c>
      <c r="AA4229" s="90" t="s">
        <v>1680</v>
      </c>
      <c r="AD4229" s="90">
        <v>1.29</v>
      </c>
      <c r="AH4229" s="55" t="s">
        <v>6378</v>
      </c>
      <c r="AI4229" s="168">
        <v>6.36</v>
      </c>
      <c r="AJ4229" s="90">
        <v>2.81</v>
      </c>
      <c r="AN4229" s="185" t="s">
        <v>3657</v>
      </c>
      <c r="AO4229" s="185" t="s">
        <v>5150</v>
      </c>
      <c r="AQ4229" s="55" t="s">
        <v>553</v>
      </c>
      <c r="AR4229" s="55" t="s">
        <v>3469</v>
      </c>
      <c r="AS4229" s="55" t="s">
        <v>227</v>
      </c>
      <c r="AU4229" s="181" t="s">
        <v>7494</v>
      </c>
      <c r="AV4229" s="185" t="s">
        <v>176</v>
      </c>
      <c r="AX4229" s="185" t="s">
        <v>176</v>
      </c>
      <c r="BK4229" s="55" t="s">
        <v>5976</v>
      </c>
      <c r="BM4229" s="192" t="s">
        <v>160</v>
      </c>
      <c r="BN4229" s="55">
        <v>3</v>
      </c>
      <c r="BO4229" s="55">
        <v>3</v>
      </c>
      <c r="BP4229" s="55">
        <v>6</v>
      </c>
      <c r="BQ4229" s="55" t="s">
        <v>141</v>
      </c>
      <c r="BU4229" s="55" t="s">
        <v>3672</v>
      </c>
      <c r="BV4229" s="55" t="s">
        <v>3665</v>
      </c>
      <c r="CB4229" s="66">
        <v>47000</v>
      </c>
      <c r="CC4229" s="66">
        <v>44100</v>
      </c>
      <c r="GP4229" s="292" t="s">
        <v>7494</v>
      </c>
      <c r="JV4229" s="55" t="s">
        <v>3671</v>
      </c>
    </row>
    <row r="4230" spans="1:282" x14ac:dyDescent="0.25">
      <c r="A4230" s="55">
        <v>4229</v>
      </c>
      <c r="B4230" s="12" t="s">
        <v>7067</v>
      </c>
      <c r="C4230" s="155">
        <v>187</v>
      </c>
      <c r="D4230" s="55" t="s">
        <v>3663</v>
      </c>
      <c r="E4230" s="90" t="s">
        <v>3334</v>
      </c>
      <c r="G4230" s="55" t="s">
        <v>3652</v>
      </c>
      <c r="H4230" s="55">
        <v>2011</v>
      </c>
      <c r="I4230" s="55">
        <v>2005</v>
      </c>
      <c r="J4230" s="55" t="s">
        <v>2635</v>
      </c>
      <c r="K4230" s="55" t="s">
        <v>3653</v>
      </c>
      <c r="L4230" s="55" t="s">
        <v>3377</v>
      </c>
      <c r="M4230" s="90">
        <v>40.22</v>
      </c>
      <c r="N4230" s="90">
        <v>116.23</v>
      </c>
      <c r="O4230" s="90">
        <v>67</v>
      </c>
      <c r="U4230" s="55" t="s">
        <v>1935</v>
      </c>
      <c r="V4230" s="55" t="s">
        <v>1816</v>
      </c>
      <c r="Y4230" s="55" t="s">
        <v>3651</v>
      </c>
      <c r="Z4230" s="55" t="s">
        <v>1356</v>
      </c>
      <c r="AA4230" s="90" t="s">
        <v>1680</v>
      </c>
      <c r="AD4230" s="90">
        <v>1.29</v>
      </c>
      <c r="AH4230" s="55" t="s">
        <v>6378</v>
      </c>
      <c r="AI4230" s="168">
        <v>6.36</v>
      </c>
      <c r="AJ4230" s="90">
        <v>2.81</v>
      </c>
      <c r="AN4230" s="185" t="s">
        <v>3658</v>
      </c>
      <c r="AO4230" s="185" t="s">
        <v>5150</v>
      </c>
      <c r="AQ4230" s="55" t="s">
        <v>3136</v>
      </c>
      <c r="AR4230" s="55" t="s">
        <v>3469</v>
      </c>
      <c r="AS4230" s="55" t="s">
        <v>227</v>
      </c>
      <c r="AU4230" s="181" t="s">
        <v>7494</v>
      </c>
      <c r="AV4230" s="185" t="s">
        <v>176</v>
      </c>
      <c r="AX4230" s="185" t="s">
        <v>176</v>
      </c>
      <c r="BK4230" s="55" t="s">
        <v>5976</v>
      </c>
      <c r="BM4230" s="192" t="s">
        <v>160</v>
      </c>
      <c r="BN4230" s="55">
        <v>3</v>
      </c>
      <c r="BO4230" s="55">
        <v>3</v>
      </c>
      <c r="BP4230" s="55">
        <v>6</v>
      </c>
      <c r="BQ4230" s="55" t="s">
        <v>141</v>
      </c>
      <c r="BU4230" s="55" t="s">
        <v>3672</v>
      </c>
      <c r="BV4230" s="55" t="s">
        <v>3664</v>
      </c>
      <c r="CB4230" s="66">
        <v>47000</v>
      </c>
      <c r="CC4230" s="66">
        <v>51300</v>
      </c>
      <c r="GP4230" s="292" t="s">
        <v>7494</v>
      </c>
      <c r="JV4230" s="55" t="s">
        <v>3671</v>
      </c>
    </row>
    <row r="4231" spans="1:282" x14ac:dyDescent="0.25">
      <c r="A4231" s="55">
        <v>4230</v>
      </c>
      <c r="B4231" s="12" t="s">
        <v>7067</v>
      </c>
      <c r="C4231" s="155">
        <v>187</v>
      </c>
      <c r="D4231" s="55" t="s">
        <v>3659</v>
      </c>
      <c r="E4231" s="90" t="s">
        <v>3334</v>
      </c>
      <c r="G4231" s="55" t="s">
        <v>3652</v>
      </c>
      <c r="H4231" s="55">
        <v>2011</v>
      </c>
      <c r="I4231" s="55">
        <v>2006</v>
      </c>
      <c r="J4231" s="55" t="s">
        <v>2635</v>
      </c>
      <c r="K4231" s="55" t="s">
        <v>3653</v>
      </c>
      <c r="L4231" s="55" t="s">
        <v>3377</v>
      </c>
      <c r="M4231" s="90">
        <v>40.22</v>
      </c>
      <c r="N4231" s="90">
        <v>116.23</v>
      </c>
      <c r="O4231" s="90">
        <v>67</v>
      </c>
      <c r="U4231" s="55" t="s">
        <v>1805</v>
      </c>
      <c r="V4231" s="55" t="s">
        <v>1816</v>
      </c>
      <c r="Y4231" s="55" t="s">
        <v>3651</v>
      </c>
      <c r="Z4231" s="55" t="s">
        <v>1356</v>
      </c>
      <c r="AA4231" s="90" t="s">
        <v>1680</v>
      </c>
      <c r="AD4231" s="90">
        <v>1.29</v>
      </c>
      <c r="AH4231" s="55" t="s">
        <v>6378</v>
      </c>
      <c r="AI4231" s="168">
        <v>6.36</v>
      </c>
      <c r="AJ4231" s="90">
        <v>2.81</v>
      </c>
      <c r="AN4231" s="185" t="s">
        <v>3654</v>
      </c>
      <c r="AO4231" s="185" t="s">
        <v>5150</v>
      </c>
      <c r="AQ4231" s="55" t="s">
        <v>1545</v>
      </c>
      <c r="AR4231" s="55" t="s">
        <v>3469</v>
      </c>
      <c r="AS4231" s="55" t="s">
        <v>227</v>
      </c>
      <c r="AU4231" s="181" t="s">
        <v>7494</v>
      </c>
      <c r="AV4231" s="185" t="s">
        <v>176</v>
      </c>
      <c r="AX4231" s="185" t="s">
        <v>176</v>
      </c>
      <c r="BK4231" s="55" t="s">
        <v>5976</v>
      </c>
      <c r="BM4231" s="192" t="s">
        <v>160</v>
      </c>
      <c r="BN4231" s="55">
        <v>3</v>
      </c>
      <c r="BO4231" s="55">
        <v>3</v>
      </c>
      <c r="BP4231" s="55">
        <v>6</v>
      </c>
      <c r="BQ4231" s="55" t="s">
        <v>141</v>
      </c>
      <c r="BU4231" s="55" t="s">
        <v>3672</v>
      </c>
      <c r="BV4231" s="55" t="s">
        <v>3664</v>
      </c>
      <c r="CB4231" s="66">
        <v>47900</v>
      </c>
      <c r="CC4231" s="66">
        <v>53200</v>
      </c>
      <c r="GP4231" s="292" t="s">
        <v>7494</v>
      </c>
      <c r="JV4231" s="55" t="s">
        <v>3671</v>
      </c>
    </row>
    <row r="4232" spans="1:282" x14ac:dyDescent="0.25">
      <c r="A4232" s="55">
        <v>4231</v>
      </c>
      <c r="B4232" s="12" t="s">
        <v>7067</v>
      </c>
      <c r="C4232" s="155">
        <v>187</v>
      </c>
      <c r="D4232" s="55" t="s">
        <v>3660</v>
      </c>
      <c r="E4232" s="90" t="s">
        <v>3334</v>
      </c>
      <c r="G4232" s="55" t="s">
        <v>3652</v>
      </c>
      <c r="H4232" s="55">
        <v>2011</v>
      </c>
      <c r="I4232" s="55">
        <v>2006</v>
      </c>
      <c r="J4232" s="55" t="s">
        <v>2635</v>
      </c>
      <c r="K4232" s="55" t="s">
        <v>3653</v>
      </c>
      <c r="L4232" s="55" t="s">
        <v>3377</v>
      </c>
      <c r="M4232" s="90">
        <v>40.22</v>
      </c>
      <c r="N4232" s="90">
        <v>116.23</v>
      </c>
      <c r="O4232" s="90">
        <v>67</v>
      </c>
      <c r="U4232" s="55" t="s">
        <v>1805</v>
      </c>
      <c r="V4232" s="55" t="s">
        <v>1816</v>
      </c>
      <c r="Y4232" s="55" t="s">
        <v>3651</v>
      </c>
      <c r="Z4232" s="55" t="s">
        <v>1356</v>
      </c>
      <c r="AA4232" s="90" t="s">
        <v>1680</v>
      </c>
      <c r="AD4232" s="90">
        <v>1.29</v>
      </c>
      <c r="AH4232" s="55" t="s">
        <v>6378</v>
      </c>
      <c r="AI4232" s="168">
        <v>6.36</v>
      </c>
      <c r="AJ4232" s="90">
        <v>2.81</v>
      </c>
      <c r="AN4232" s="185" t="s">
        <v>3655</v>
      </c>
      <c r="AO4232" s="185" t="s">
        <v>5150</v>
      </c>
      <c r="AQ4232" s="55" t="s">
        <v>1545</v>
      </c>
      <c r="AR4232" s="55" t="s">
        <v>3469</v>
      </c>
      <c r="AS4232" s="55" t="s">
        <v>227</v>
      </c>
      <c r="AU4232" s="181" t="s">
        <v>7494</v>
      </c>
      <c r="AV4232" s="185" t="s">
        <v>176</v>
      </c>
      <c r="AX4232" s="185" t="s">
        <v>176</v>
      </c>
      <c r="BK4232" s="55" t="s">
        <v>5976</v>
      </c>
      <c r="BM4232" s="192" t="s">
        <v>160</v>
      </c>
      <c r="BN4232" s="55">
        <v>3</v>
      </c>
      <c r="BO4232" s="55">
        <v>3</v>
      </c>
      <c r="BP4232" s="55">
        <v>6</v>
      </c>
      <c r="BQ4232" s="55" t="s">
        <v>141</v>
      </c>
      <c r="BU4232" s="55" t="s">
        <v>3672</v>
      </c>
      <c r="BV4232" s="55" t="s">
        <v>3665</v>
      </c>
      <c r="CB4232" s="66">
        <v>47900</v>
      </c>
      <c r="CC4232" s="66">
        <v>56300</v>
      </c>
      <c r="GP4232" s="292" t="s">
        <v>7494</v>
      </c>
      <c r="JV4232" s="55" t="s">
        <v>3671</v>
      </c>
    </row>
    <row r="4233" spans="1:282" x14ac:dyDescent="0.25">
      <c r="A4233" s="55">
        <v>4232</v>
      </c>
      <c r="B4233" s="12" t="s">
        <v>7067</v>
      </c>
      <c r="C4233" s="155">
        <v>187</v>
      </c>
      <c r="D4233" s="55" t="s">
        <v>3661</v>
      </c>
      <c r="E4233" s="90" t="s">
        <v>3334</v>
      </c>
      <c r="G4233" s="55" t="s">
        <v>3652</v>
      </c>
      <c r="H4233" s="55">
        <v>2011</v>
      </c>
      <c r="I4233" s="55">
        <v>2006</v>
      </c>
      <c r="J4233" s="55" t="s">
        <v>2635</v>
      </c>
      <c r="K4233" s="55" t="s">
        <v>3653</v>
      </c>
      <c r="L4233" s="55" t="s">
        <v>3377</v>
      </c>
      <c r="M4233" s="90">
        <v>40.22</v>
      </c>
      <c r="N4233" s="90">
        <v>116.23</v>
      </c>
      <c r="O4233" s="90">
        <v>67</v>
      </c>
      <c r="U4233" s="55" t="s">
        <v>1805</v>
      </c>
      <c r="V4233" s="55" t="s">
        <v>1816</v>
      </c>
      <c r="Y4233" s="55" t="s">
        <v>3651</v>
      </c>
      <c r="Z4233" s="55" t="s">
        <v>1356</v>
      </c>
      <c r="AA4233" s="90" t="s">
        <v>1680</v>
      </c>
      <c r="AD4233" s="90">
        <v>1.29</v>
      </c>
      <c r="AH4233" s="55" t="s">
        <v>6378</v>
      </c>
      <c r="AI4233" s="168">
        <v>6.36</v>
      </c>
      <c r="AJ4233" s="90">
        <v>2.81</v>
      </c>
      <c r="AN4233" s="185" t="s">
        <v>3656</v>
      </c>
      <c r="AO4233" s="185" t="s">
        <v>5150</v>
      </c>
      <c r="AQ4233" s="55" t="s">
        <v>553</v>
      </c>
      <c r="AR4233" s="55" t="s">
        <v>3469</v>
      </c>
      <c r="AS4233" s="55" t="s">
        <v>227</v>
      </c>
      <c r="AU4233" s="181" t="s">
        <v>7494</v>
      </c>
      <c r="AV4233" s="185" t="s">
        <v>176</v>
      </c>
      <c r="AX4233" s="185" t="s">
        <v>176</v>
      </c>
      <c r="BK4233" s="55" t="s">
        <v>5976</v>
      </c>
      <c r="BM4233" s="192" t="s">
        <v>160</v>
      </c>
      <c r="BN4233" s="55">
        <v>3</v>
      </c>
      <c r="BO4233" s="55">
        <v>3</v>
      </c>
      <c r="BP4233" s="55">
        <v>6</v>
      </c>
      <c r="BQ4233" s="55" t="s">
        <v>141</v>
      </c>
      <c r="BU4233" s="55" t="s">
        <v>3672</v>
      </c>
      <c r="BV4233" s="55" t="s">
        <v>3666</v>
      </c>
      <c r="CB4233" s="66">
        <v>47900</v>
      </c>
      <c r="CC4233" s="66">
        <v>42000</v>
      </c>
      <c r="GP4233" s="292" t="s">
        <v>7494</v>
      </c>
      <c r="JV4233" s="55" t="s">
        <v>3671</v>
      </c>
    </row>
    <row r="4234" spans="1:282" x14ac:dyDescent="0.25">
      <c r="A4234" s="55">
        <v>4233</v>
      </c>
      <c r="B4234" s="12" t="s">
        <v>7067</v>
      </c>
      <c r="C4234" s="155">
        <v>187</v>
      </c>
      <c r="D4234" s="55" t="s">
        <v>3662</v>
      </c>
      <c r="E4234" s="90" t="s">
        <v>3334</v>
      </c>
      <c r="G4234" s="55" t="s">
        <v>3652</v>
      </c>
      <c r="H4234" s="55">
        <v>2011</v>
      </c>
      <c r="I4234" s="55">
        <v>2006</v>
      </c>
      <c r="J4234" s="55" t="s">
        <v>2635</v>
      </c>
      <c r="K4234" s="55" t="s">
        <v>3653</v>
      </c>
      <c r="L4234" s="55" t="s">
        <v>3377</v>
      </c>
      <c r="M4234" s="90">
        <v>40.22</v>
      </c>
      <c r="N4234" s="90">
        <v>116.23</v>
      </c>
      <c r="O4234" s="90">
        <v>67</v>
      </c>
      <c r="U4234" s="55" t="s">
        <v>1805</v>
      </c>
      <c r="V4234" s="55" t="s">
        <v>1816</v>
      </c>
      <c r="Y4234" s="55" t="s">
        <v>3651</v>
      </c>
      <c r="Z4234" s="55" t="s">
        <v>1356</v>
      </c>
      <c r="AA4234" s="90" t="s">
        <v>1680</v>
      </c>
      <c r="AD4234" s="90">
        <v>1.29</v>
      </c>
      <c r="AH4234" s="55" t="s">
        <v>6378</v>
      </c>
      <c r="AI4234" s="168">
        <v>6.36</v>
      </c>
      <c r="AJ4234" s="90">
        <v>2.81</v>
      </c>
      <c r="AN4234" s="185" t="s">
        <v>3657</v>
      </c>
      <c r="AO4234" s="185" t="s">
        <v>5150</v>
      </c>
      <c r="AQ4234" s="55" t="s">
        <v>553</v>
      </c>
      <c r="AR4234" s="55" t="s">
        <v>3469</v>
      </c>
      <c r="AS4234" s="55" t="s">
        <v>227</v>
      </c>
      <c r="AU4234" s="181" t="s">
        <v>7494</v>
      </c>
      <c r="AV4234" s="185" t="s">
        <v>176</v>
      </c>
      <c r="AX4234" s="185" t="s">
        <v>176</v>
      </c>
      <c r="BK4234" s="55" t="s">
        <v>5976</v>
      </c>
      <c r="BM4234" s="192" t="s">
        <v>160</v>
      </c>
      <c r="BN4234" s="55">
        <v>3</v>
      </c>
      <c r="BO4234" s="55">
        <v>3</v>
      </c>
      <c r="BP4234" s="55">
        <v>6</v>
      </c>
      <c r="BQ4234" s="55" t="s">
        <v>141</v>
      </c>
      <c r="BU4234" s="55" t="s">
        <v>3672</v>
      </c>
      <c r="BV4234" s="55" t="s">
        <v>3665</v>
      </c>
      <c r="CB4234" s="66">
        <v>47900</v>
      </c>
      <c r="CC4234" s="66">
        <v>46000</v>
      </c>
      <c r="GP4234" s="292" t="s">
        <v>7494</v>
      </c>
      <c r="JV4234" s="55" t="s">
        <v>3671</v>
      </c>
    </row>
    <row r="4235" spans="1:282" x14ac:dyDescent="0.25">
      <c r="A4235" s="55">
        <v>4234</v>
      </c>
      <c r="B4235" s="12" t="s">
        <v>7067</v>
      </c>
      <c r="C4235" s="155">
        <v>187</v>
      </c>
      <c r="D4235" s="55" t="s">
        <v>3663</v>
      </c>
      <c r="E4235" s="90" t="s">
        <v>3334</v>
      </c>
      <c r="G4235" s="55" t="s">
        <v>3652</v>
      </c>
      <c r="H4235" s="55">
        <v>2011</v>
      </c>
      <c r="I4235" s="55">
        <v>2006</v>
      </c>
      <c r="J4235" s="55" t="s">
        <v>2635</v>
      </c>
      <c r="K4235" s="55" t="s">
        <v>3653</v>
      </c>
      <c r="L4235" s="55" t="s">
        <v>3377</v>
      </c>
      <c r="M4235" s="90">
        <v>40.22</v>
      </c>
      <c r="N4235" s="90">
        <v>116.23</v>
      </c>
      <c r="O4235" s="90">
        <v>67</v>
      </c>
      <c r="U4235" s="55" t="s">
        <v>1805</v>
      </c>
      <c r="V4235" s="55" t="s">
        <v>1816</v>
      </c>
      <c r="Y4235" s="55" t="s">
        <v>3651</v>
      </c>
      <c r="Z4235" s="55" t="s">
        <v>1356</v>
      </c>
      <c r="AA4235" s="90" t="s">
        <v>1680</v>
      </c>
      <c r="AD4235" s="90">
        <v>1.29</v>
      </c>
      <c r="AH4235" s="55" t="s">
        <v>6378</v>
      </c>
      <c r="AI4235" s="168">
        <v>6.36</v>
      </c>
      <c r="AJ4235" s="90">
        <v>2.81</v>
      </c>
      <c r="AN4235" s="185" t="s">
        <v>3658</v>
      </c>
      <c r="AO4235" s="185" t="s">
        <v>5150</v>
      </c>
      <c r="AQ4235" s="55" t="s">
        <v>3136</v>
      </c>
      <c r="AR4235" s="55" t="s">
        <v>3469</v>
      </c>
      <c r="AS4235" s="55" t="s">
        <v>227</v>
      </c>
      <c r="AU4235" s="181" t="s">
        <v>7494</v>
      </c>
      <c r="AV4235" s="185" t="s">
        <v>176</v>
      </c>
      <c r="AX4235" s="185" t="s">
        <v>176</v>
      </c>
      <c r="BK4235" s="55" t="s">
        <v>5976</v>
      </c>
      <c r="BM4235" s="192" t="s">
        <v>160</v>
      </c>
      <c r="BN4235" s="55">
        <v>3</v>
      </c>
      <c r="BO4235" s="55">
        <v>3</v>
      </c>
      <c r="BP4235" s="55">
        <v>6</v>
      </c>
      <c r="BQ4235" s="55" t="s">
        <v>141</v>
      </c>
      <c r="BU4235" s="55" t="s">
        <v>3672</v>
      </c>
      <c r="BV4235" s="55" t="s">
        <v>3664</v>
      </c>
      <c r="CB4235" s="66">
        <v>47900</v>
      </c>
      <c r="CC4235" s="66">
        <v>57900</v>
      </c>
      <c r="GP4235" s="292" t="s">
        <v>7494</v>
      </c>
      <c r="JV4235" s="55" t="s">
        <v>3671</v>
      </c>
    </row>
    <row r="4236" spans="1:282" x14ac:dyDescent="0.25">
      <c r="A4236" s="55">
        <v>4235</v>
      </c>
      <c r="B4236" s="12" t="s">
        <v>7067</v>
      </c>
      <c r="C4236" s="155">
        <v>187</v>
      </c>
      <c r="D4236" s="55" t="s">
        <v>3659</v>
      </c>
      <c r="E4236" s="90" t="s">
        <v>3334</v>
      </c>
      <c r="G4236" s="55" t="s">
        <v>3652</v>
      </c>
      <c r="H4236" s="55">
        <v>2011</v>
      </c>
      <c r="I4236" s="55">
        <v>2007</v>
      </c>
      <c r="J4236" s="55" t="s">
        <v>2635</v>
      </c>
      <c r="K4236" s="55" t="s">
        <v>3653</v>
      </c>
      <c r="L4236" s="55" t="s">
        <v>3377</v>
      </c>
      <c r="M4236" s="90">
        <v>40.22</v>
      </c>
      <c r="N4236" s="90">
        <v>116.23</v>
      </c>
      <c r="O4236" s="90">
        <v>67</v>
      </c>
      <c r="U4236" s="55" t="s">
        <v>1688</v>
      </c>
      <c r="V4236" s="55" t="s">
        <v>1816</v>
      </c>
      <c r="Y4236" s="55" t="s">
        <v>3651</v>
      </c>
      <c r="Z4236" s="55" t="s">
        <v>1356</v>
      </c>
      <c r="AA4236" s="90" t="s">
        <v>1680</v>
      </c>
      <c r="AD4236" s="90">
        <v>1.29</v>
      </c>
      <c r="AH4236" s="55" t="s">
        <v>6378</v>
      </c>
      <c r="AI4236" s="168">
        <v>6.36</v>
      </c>
      <c r="AJ4236" s="90">
        <v>2.81</v>
      </c>
      <c r="AN4236" s="185" t="s">
        <v>3654</v>
      </c>
      <c r="AO4236" s="185" t="s">
        <v>5150</v>
      </c>
      <c r="AQ4236" s="55" t="s">
        <v>1545</v>
      </c>
      <c r="AR4236" s="55" t="s">
        <v>3469</v>
      </c>
      <c r="AS4236" s="55" t="s">
        <v>227</v>
      </c>
      <c r="AU4236" s="181" t="s">
        <v>7494</v>
      </c>
      <c r="AV4236" s="185" t="s">
        <v>176</v>
      </c>
      <c r="AX4236" s="185" t="s">
        <v>176</v>
      </c>
      <c r="BK4236" s="55" t="s">
        <v>5976</v>
      </c>
      <c r="BM4236" s="192" t="s">
        <v>160</v>
      </c>
      <c r="BN4236" s="55">
        <v>3</v>
      </c>
      <c r="BO4236" s="55">
        <v>3</v>
      </c>
      <c r="BP4236" s="55">
        <v>6</v>
      </c>
      <c r="BQ4236" s="55" t="s">
        <v>141</v>
      </c>
      <c r="BU4236" s="55" t="s">
        <v>3672</v>
      </c>
      <c r="BV4236" s="55" t="s">
        <v>3664</v>
      </c>
      <c r="CB4236" s="66">
        <v>46500</v>
      </c>
      <c r="CC4236" s="66">
        <v>61800</v>
      </c>
      <c r="CM4236" s="65">
        <v>1.73</v>
      </c>
      <c r="CN4236" s="65">
        <v>1.51</v>
      </c>
      <c r="DA4236" s="65" t="s">
        <v>4458</v>
      </c>
      <c r="DB4236" s="65">
        <v>144</v>
      </c>
      <c r="DC4236" s="65">
        <v>146</v>
      </c>
      <c r="DF4236" s="65" t="s">
        <v>3419</v>
      </c>
      <c r="DG4236" s="65">
        <v>169</v>
      </c>
      <c r="DH4236" s="65">
        <v>137</v>
      </c>
      <c r="DK4236" s="65" t="s">
        <v>3667</v>
      </c>
      <c r="GP4236" s="292" t="s">
        <v>7494</v>
      </c>
      <c r="HI4236" s="65">
        <v>3.73</v>
      </c>
      <c r="HJ4236" s="65">
        <v>3.99</v>
      </c>
      <c r="HM4236" s="65" t="s">
        <v>3670</v>
      </c>
      <c r="HN4236" s="65">
        <v>6.5</v>
      </c>
      <c r="HO4236" s="65">
        <v>6.68</v>
      </c>
      <c r="HR4236" s="65" t="s">
        <v>3668</v>
      </c>
      <c r="HS4236" s="65">
        <v>5.93</v>
      </c>
      <c r="HT4236" s="65">
        <v>6.1</v>
      </c>
      <c r="HW4236" s="65" t="s">
        <v>3669</v>
      </c>
      <c r="JG4236" s="65">
        <v>136</v>
      </c>
      <c r="JH4236" s="65">
        <v>217</v>
      </c>
      <c r="JL4236" s="65">
        <v>48.7</v>
      </c>
      <c r="JM4236" s="65">
        <v>48.7</v>
      </c>
      <c r="JU4236" s="55" t="s">
        <v>572</v>
      </c>
      <c r="JV4236" s="55" t="s">
        <v>3671</v>
      </c>
    </row>
    <row r="4237" spans="1:282" x14ac:dyDescent="0.25">
      <c r="A4237" s="55">
        <v>4236</v>
      </c>
      <c r="B4237" s="12" t="s">
        <v>7067</v>
      </c>
      <c r="C4237" s="155">
        <v>187</v>
      </c>
      <c r="D4237" s="55" t="s">
        <v>3660</v>
      </c>
      <c r="E4237" s="90" t="s">
        <v>3334</v>
      </c>
      <c r="G4237" s="55" t="s">
        <v>3652</v>
      </c>
      <c r="H4237" s="55">
        <v>2011</v>
      </c>
      <c r="I4237" s="55">
        <v>2007</v>
      </c>
      <c r="J4237" s="55" t="s">
        <v>2635</v>
      </c>
      <c r="K4237" s="55" t="s">
        <v>3653</v>
      </c>
      <c r="L4237" s="55" t="s">
        <v>3377</v>
      </c>
      <c r="M4237" s="90">
        <v>40.22</v>
      </c>
      <c r="N4237" s="90">
        <v>116.23</v>
      </c>
      <c r="O4237" s="90">
        <v>67</v>
      </c>
      <c r="U4237" s="55" t="s">
        <v>1688</v>
      </c>
      <c r="V4237" s="55" t="s">
        <v>1816</v>
      </c>
      <c r="Y4237" s="55" t="s">
        <v>3651</v>
      </c>
      <c r="Z4237" s="55" t="s">
        <v>1356</v>
      </c>
      <c r="AA4237" s="90" t="s">
        <v>1680</v>
      </c>
      <c r="AD4237" s="90">
        <v>1.29</v>
      </c>
      <c r="AH4237" s="55" t="s">
        <v>6378</v>
      </c>
      <c r="AI4237" s="168">
        <v>6.36</v>
      </c>
      <c r="AJ4237" s="90">
        <v>2.81</v>
      </c>
      <c r="AN4237" s="185" t="s">
        <v>3655</v>
      </c>
      <c r="AO4237" s="185" t="s">
        <v>5150</v>
      </c>
      <c r="AQ4237" s="55" t="s">
        <v>1545</v>
      </c>
      <c r="AR4237" s="55" t="s">
        <v>3469</v>
      </c>
      <c r="AS4237" s="55" t="s">
        <v>227</v>
      </c>
      <c r="AU4237" s="181" t="s">
        <v>7494</v>
      </c>
      <c r="AV4237" s="185" t="s">
        <v>176</v>
      </c>
      <c r="AX4237" s="185" t="s">
        <v>176</v>
      </c>
      <c r="BK4237" s="55" t="s">
        <v>5976</v>
      </c>
      <c r="BM4237" s="192" t="s">
        <v>160</v>
      </c>
      <c r="BN4237" s="55">
        <v>3</v>
      </c>
      <c r="BO4237" s="55">
        <v>3</v>
      </c>
      <c r="BP4237" s="55">
        <v>6</v>
      </c>
      <c r="BQ4237" s="55" t="s">
        <v>141</v>
      </c>
      <c r="BU4237" s="55" t="s">
        <v>3672</v>
      </c>
      <c r="BV4237" s="55" t="s">
        <v>3665</v>
      </c>
      <c r="CB4237" s="66">
        <v>46500</v>
      </c>
      <c r="CC4237" s="66">
        <v>63300</v>
      </c>
      <c r="CM4237" s="65">
        <v>1.73</v>
      </c>
      <c r="CN4237" s="65">
        <v>1.63</v>
      </c>
      <c r="DA4237" s="65" t="s">
        <v>4458</v>
      </c>
      <c r="DB4237" s="65">
        <v>144</v>
      </c>
      <c r="DC4237" s="65">
        <v>155</v>
      </c>
      <c r="DF4237" s="65" t="s">
        <v>3419</v>
      </c>
      <c r="DG4237" s="65">
        <v>169</v>
      </c>
      <c r="DH4237" s="65">
        <v>123</v>
      </c>
      <c r="DK4237" s="65" t="s">
        <v>3667</v>
      </c>
      <c r="GP4237" s="292" t="s">
        <v>7494</v>
      </c>
      <c r="HI4237" s="65">
        <v>3.73</v>
      </c>
      <c r="HJ4237" s="65">
        <v>4.01</v>
      </c>
      <c r="HM4237" s="65" t="s">
        <v>3670</v>
      </c>
      <c r="HN4237" s="65">
        <v>6.5</v>
      </c>
      <c r="HO4237" s="65">
        <v>6.8</v>
      </c>
      <c r="HR4237" s="65" t="s">
        <v>3668</v>
      </c>
      <c r="HS4237" s="65">
        <v>5.93</v>
      </c>
      <c r="HT4237" s="65">
        <v>6.24</v>
      </c>
      <c r="HW4237" s="65" t="s">
        <v>3669</v>
      </c>
      <c r="JG4237" s="65">
        <v>136</v>
      </c>
      <c r="JH4237" s="65">
        <v>287</v>
      </c>
      <c r="JL4237" s="65">
        <v>48.7</v>
      </c>
      <c r="JM4237" s="65">
        <v>52.5</v>
      </c>
      <c r="JU4237" s="55" t="s">
        <v>572</v>
      </c>
      <c r="JV4237" s="55" t="s">
        <v>3671</v>
      </c>
    </row>
    <row r="4238" spans="1:282" x14ac:dyDescent="0.25">
      <c r="A4238" s="55">
        <v>4237</v>
      </c>
      <c r="B4238" s="12" t="s">
        <v>7067</v>
      </c>
      <c r="C4238" s="155">
        <v>187</v>
      </c>
      <c r="D4238" s="55" t="s">
        <v>3661</v>
      </c>
      <c r="E4238" s="90" t="s">
        <v>3334</v>
      </c>
      <c r="G4238" s="55" t="s">
        <v>3652</v>
      </c>
      <c r="H4238" s="55">
        <v>2011</v>
      </c>
      <c r="I4238" s="55">
        <v>2007</v>
      </c>
      <c r="J4238" s="55" t="s">
        <v>2635</v>
      </c>
      <c r="K4238" s="55" t="s">
        <v>3653</v>
      </c>
      <c r="L4238" s="55" t="s">
        <v>3377</v>
      </c>
      <c r="M4238" s="90">
        <v>40.22</v>
      </c>
      <c r="N4238" s="90">
        <v>116.23</v>
      </c>
      <c r="O4238" s="90">
        <v>67</v>
      </c>
      <c r="U4238" s="55" t="s">
        <v>1688</v>
      </c>
      <c r="V4238" s="55" t="s">
        <v>1816</v>
      </c>
      <c r="Y4238" s="55" t="s">
        <v>3651</v>
      </c>
      <c r="Z4238" s="55" t="s">
        <v>1356</v>
      </c>
      <c r="AA4238" s="90" t="s">
        <v>1680</v>
      </c>
      <c r="AD4238" s="90">
        <v>1.29</v>
      </c>
      <c r="AH4238" s="55" t="s">
        <v>6378</v>
      </c>
      <c r="AI4238" s="168">
        <v>6.36</v>
      </c>
      <c r="AJ4238" s="90">
        <v>2.81</v>
      </c>
      <c r="AN4238" s="185" t="s">
        <v>3656</v>
      </c>
      <c r="AO4238" s="185" t="s">
        <v>5150</v>
      </c>
      <c r="AQ4238" s="55" t="s">
        <v>553</v>
      </c>
      <c r="AR4238" s="55" t="s">
        <v>3469</v>
      </c>
      <c r="AS4238" s="55" t="s">
        <v>227</v>
      </c>
      <c r="AU4238" s="181" t="s">
        <v>7494</v>
      </c>
      <c r="AV4238" s="185" t="s">
        <v>176</v>
      </c>
      <c r="AX4238" s="185" t="s">
        <v>176</v>
      </c>
      <c r="BK4238" s="55" t="s">
        <v>5976</v>
      </c>
      <c r="BM4238" s="192" t="s">
        <v>160</v>
      </c>
      <c r="BN4238" s="55">
        <v>3</v>
      </c>
      <c r="BO4238" s="55">
        <v>3</v>
      </c>
      <c r="BP4238" s="55">
        <v>6</v>
      </c>
      <c r="BQ4238" s="55" t="s">
        <v>141</v>
      </c>
      <c r="BU4238" s="55" t="s">
        <v>3672</v>
      </c>
      <c r="BV4238" s="55" t="s">
        <v>3666</v>
      </c>
      <c r="CB4238" s="66">
        <v>46500</v>
      </c>
      <c r="CC4238" s="66">
        <v>31600</v>
      </c>
      <c r="CM4238" s="65">
        <v>1.73</v>
      </c>
      <c r="CN4238" s="65">
        <v>1.85</v>
      </c>
      <c r="DA4238" s="65" t="s">
        <v>4458</v>
      </c>
      <c r="DB4238" s="65">
        <v>144</v>
      </c>
      <c r="DC4238" s="65">
        <v>149</v>
      </c>
      <c r="DF4238" s="65" t="s">
        <v>3419</v>
      </c>
      <c r="DG4238" s="65">
        <v>169</v>
      </c>
      <c r="DH4238" s="65">
        <v>147</v>
      </c>
      <c r="DK4238" s="65" t="s">
        <v>3667</v>
      </c>
      <c r="GP4238" s="292" t="s">
        <v>7494</v>
      </c>
      <c r="HI4238" s="65">
        <v>3.73</v>
      </c>
      <c r="HJ4238" s="65">
        <v>4.08</v>
      </c>
      <c r="HM4238" s="65" t="s">
        <v>3670</v>
      </c>
      <c r="HN4238" s="65">
        <v>6.5</v>
      </c>
      <c r="HO4238" s="65">
        <v>6.16</v>
      </c>
      <c r="HR4238" s="65" t="s">
        <v>3668</v>
      </c>
      <c r="HS4238" s="65">
        <v>5.93</v>
      </c>
      <c r="HT4238" s="65">
        <v>5.95</v>
      </c>
      <c r="HW4238" s="65" t="s">
        <v>3669</v>
      </c>
      <c r="JG4238" s="65">
        <v>136</v>
      </c>
      <c r="JH4238" s="65">
        <v>270</v>
      </c>
      <c r="JL4238" s="65">
        <v>48.7</v>
      </c>
      <c r="JM4238" s="65">
        <v>49</v>
      </c>
      <c r="JU4238" s="55" t="s">
        <v>572</v>
      </c>
      <c r="JV4238" s="55" t="s">
        <v>3671</v>
      </c>
    </row>
    <row r="4239" spans="1:282" x14ac:dyDescent="0.25">
      <c r="A4239" s="55">
        <v>4238</v>
      </c>
      <c r="B4239" s="12" t="s">
        <v>7067</v>
      </c>
      <c r="C4239" s="155">
        <v>187</v>
      </c>
      <c r="D4239" s="55" t="s">
        <v>3662</v>
      </c>
      <c r="E4239" s="90" t="s">
        <v>3334</v>
      </c>
      <c r="G4239" s="55" t="s">
        <v>3652</v>
      </c>
      <c r="H4239" s="55">
        <v>2011</v>
      </c>
      <c r="I4239" s="55">
        <v>2007</v>
      </c>
      <c r="J4239" s="55" t="s">
        <v>2635</v>
      </c>
      <c r="K4239" s="55" t="s">
        <v>3653</v>
      </c>
      <c r="L4239" s="55" t="s">
        <v>3377</v>
      </c>
      <c r="M4239" s="90">
        <v>40.22</v>
      </c>
      <c r="N4239" s="90">
        <v>116.23</v>
      </c>
      <c r="O4239" s="90">
        <v>67</v>
      </c>
      <c r="U4239" s="55" t="s">
        <v>1688</v>
      </c>
      <c r="V4239" s="55" t="s">
        <v>1816</v>
      </c>
      <c r="Y4239" s="55" t="s">
        <v>3651</v>
      </c>
      <c r="Z4239" s="55" t="s">
        <v>1356</v>
      </c>
      <c r="AA4239" s="90" t="s">
        <v>1680</v>
      </c>
      <c r="AD4239" s="90">
        <v>1.29</v>
      </c>
      <c r="AH4239" s="55" t="s">
        <v>6378</v>
      </c>
      <c r="AI4239" s="168">
        <v>6.36</v>
      </c>
      <c r="AJ4239" s="90">
        <v>2.81</v>
      </c>
      <c r="AN4239" s="185" t="s">
        <v>3657</v>
      </c>
      <c r="AO4239" s="185" t="s">
        <v>5150</v>
      </c>
      <c r="AQ4239" s="55" t="s">
        <v>553</v>
      </c>
      <c r="AR4239" s="55" t="s">
        <v>3469</v>
      </c>
      <c r="AS4239" s="55" t="s">
        <v>227</v>
      </c>
      <c r="AU4239" s="181" t="s">
        <v>7494</v>
      </c>
      <c r="AV4239" s="185" t="s">
        <v>176</v>
      </c>
      <c r="AX4239" s="185" t="s">
        <v>176</v>
      </c>
      <c r="BK4239" s="55" t="s">
        <v>5976</v>
      </c>
      <c r="BM4239" s="192" t="s">
        <v>160</v>
      </c>
      <c r="BN4239" s="55">
        <v>3</v>
      </c>
      <c r="BO4239" s="55">
        <v>3</v>
      </c>
      <c r="BP4239" s="55">
        <v>6</v>
      </c>
      <c r="BQ4239" s="55" t="s">
        <v>141</v>
      </c>
      <c r="BU4239" s="55" t="s">
        <v>3672</v>
      </c>
      <c r="BV4239" s="55" t="s">
        <v>3665</v>
      </c>
      <c r="CB4239" s="66">
        <v>46500</v>
      </c>
      <c r="CC4239" s="66">
        <v>36800</v>
      </c>
      <c r="CM4239" s="65">
        <v>1.73</v>
      </c>
      <c r="CN4239" s="65">
        <v>1.55</v>
      </c>
      <c r="DA4239" s="65" t="s">
        <v>4458</v>
      </c>
      <c r="DB4239" s="65">
        <v>144</v>
      </c>
      <c r="DC4239" s="65">
        <v>176</v>
      </c>
      <c r="DF4239" s="65" t="s">
        <v>3419</v>
      </c>
      <c r="DG4239" s="65">
        <v>169</v>
      </c>
      <c r="DH4239" s="65">
        <v>144</v>
      </c>
      <c r="DK4239" s="65" t="s">
        <v>3667</v>
      </c>
      <c r="GP4239" s="292" t="s">
        <v>7494</v>
      </c>
      <c r="HI4239" s="65">
        <v>3.73</v>
      </c>
      <c r="HJ4239" s="65">
        <v>4.03</v>
      </c>
      <c r="HM4239" s="65" t="s">
        <v>3670</v>
      </c>
      <c r="HN4239" s="65">
        <v>6.5</v>
      </c>
      <c r="HO4239" s="65">
        <v>6.49</v>
      </c>
      <c r="HR4239" s="65" t="s">
        <v>3668</v>
      </c>
      <c r="HS4239" s="65">
        <v>5.93</v>
      </c>
      <c r="HT4239" s="65">
        <v>6.18</v>
      </c>
      <c r="HW4239" s="65" t="s">
        <v>3669</v>
      </c>
      <c r="JG4239" s="65">
        <v>136</v>
      </c>
      <c r="JH4239" s="65">
        <v>196</v>
      </c>
      <c r="JL4239" s="65">
        <v>48.7</v>
      </c>
      <c r="JM4239" s="65">
        <v>51.9</v>
      </c>
      <c r="JU4239" s="55" t="s">
        <v>572</v>
      </c>
      <c r="JV4239" s="55" t="s">
        <v>3671</v>
      </c>
    </row>
    <row r="4240" spans="1:282" x14ac:dyDescent="0.25">
      <c r="A4240" s="55">
        <v>4239</v>
      </c>
      <c r="B4240" s="12" t="s">
        <v>7067</v>
      </c>
      <c r="C4240" s="155">
        <v>187</v>
      </c>
      <c r="D4240" s="55" t="s">
        <v>3663</v>
      </c>
      <c r="E4240" s="90" t="s">
        <v>3334</v>
      </c>
      <c r="G4240" s="55" t="s">
        <v>3652</v>
      </c>
      <c r="H4240" s="55">
        <v>2011</v>
      </c>
      <c r="I4240" s="55">
        <v>2007</v>
      </c>
      <c r="J4240" s="55" t="s">
        <v>2635</v>
      </c>
      <c r="K4240" s="55" t="s">
        <v>3653</v>
      </c>
      <c r="L4240" s="55" t="s">
        <v>3377</v>
      </c>
      <c r="M4240" s="90">
        <v>40.22</v>
      </c>
      <c r="N4240" s="90">
        <v>116.23</v>
      </c>
      <c r="O4240" s="90">
        <v>67</v>
      </c>
      <c r="U4240" s="55" t="s">
        <v>1688</v>
      </c>
      <c r="V4240" s="55" t="s">
        <v>1816</v>
      </c>
      <c r="Y4240" s="55" t="s">
        <v>3651</v>
      </c>
      <c r="Z4240" s="55" t="s">
        <v>1356</v>
      </c>
      <c r="AA4240" s="90" t="s">
        <v>1680</v>
      </c>
      <c r="AD4240" s="90">
        <v>1.29</v>
      </c>
      <c r="AH4240" s="55" t="s">
        <v>6378</v>
      </c>
      <c r="AI4240" s="168">
        <v>6.36</v>
      </c>
      <c r="AJ4240" s="90">
        <v>2.81</v>
      </c>
      <c r="AN4240" s="185" t="s">
        <v>3658</v>
      </c>
      <c r="AO4240" s="185" t="s">
        <v>5150</v>
      </c>
      <c r="AQ4240" s="55" t="s">
        <v>3136</v>
      </c>
      <c r="AR4240" s="55" t="s">
        <v>3469</v>
      </c>
      <c r="AS4240" s="55" t="s">
        <v>227</v>
      </c>
      <c r="AU4240" s="181" t="s">
        <v>7494</v>
      </c>
      <c r="AV4240" s="185" t="s">
        <v>176</v>
      </c>
      <c r="AX4240" s="185" t="s">
        <v>176</v>
      </c>
      <c r="BK4240" s="55" t="s">
        <v>5976</v>
      </c>
      <c r="BM4240" s="192" t="s">
        <v>160</v>
      </c>
      <c r="BN4240" s="55">
        <v>3</v>
      </c>
      <c r="BO4240" s="55">
        <v>3</v>
      </c>
      <c r="BP4240" s="55">
        <v>6</v>
      </c>
      <c r="BQ4240" s="55" t="s">
        <v>141</v>
      </c>
      <c r="BU4240" s="55" t="s">
        <v>3672</v>
      </c>
      <c r="BV4240" s="55" t="s">
        <v>3664</v>
      </c>
      <c r="CB4240" s="66">
        <v>46500</v>
      </c>
      <c r="CC4240" s="66">
        <v>53700</v>
      </c>
      <c r="CM4240" s="65">
        <v>1.73</v>
      </c>
      <c r="CN4240" s="65">
        <v>1.43</v>
      </c>
      <c r="DA4240" s="65" t="s">
        <v>4458</v>
      </c>
      <c r="DB4240" s="65">
        <v>144</v>
      </c>
      <c r="DC4240" s="65">
        <v>160</v>
      </c>
      <c r="DF4240" s="65" t="s">
        <v>3419</v>
      </c>
      <c r="DG4240" s="65">
        <v>169</v>
      </c>
      <c r="DH4240" s="65">
        <v>137</v>
      </c>
      <c r="DK4240" s="65" t="s">
        <v>3667</v>
      </c>
      <c r="GP4240" s="292" t="s">
        <v>7494</v>
      </c>
      <c r="HI4240" s="65">
        <v>3.73</v>
      </c>
      <c r="HJ4240" s="65">
        <v>3.98</v>
      </c>
      <c r="HM4240" s="65" t="s">
        <v>3670</v>
      </c>
      <c r="HN4240" s="65">
        <v>6.5</v>
      </c>
      <c r="HO4240" s="65">
        <v>6.85</v>
      </c>
      <c r="HR4240" s="65" t="s">
        <v>3668</v>
      </c>
      <c r="HS4240" s="65">
        <v>5.93</v>
      </c>
      <c r="HT4240" s="65">
        <v>5.8</v>
      </c>
      <c r="HW4240" s="65" t="s">
        <v>3669</v>
      </c>
      <c r="JG4240" s="65">
        <v>136</v>
      </c>
      <c r="JH4240" s="65">
        <v>274</v>
      </c>
      <c r="JL4240" s="65">
        <v>48.7</v>
      </c>
      <c r="JM4240" s="65">
        <v>46.1</v>
      </c>
      <c r="JU4240" s="55" t="s">
        <v>572</v>
      </c>
      <c r="JV4240" s="55" t="s">
        <v>3671</v>
      </c>
    </row>
    <row r="4241" spans="1:282" x14ac:dyDescent="0.25">
      <c r="A4241" s="55">
        <v>4240</v>
      </c>
      <c r="B4241" s="12" t="s">
        <v>7067</v>
      </c>
      <c r="C4241" s="155">
        <v>187</v>
      </c>
      <c r="D4241" s="55" t="s">
        <v>3659</v>
      </c>
      <c r="E4241" s="90" t="s">
        <v>3334</v>
      </c>
      <c r="G4241" s="55" t="s">
        <v>3652</v>
      </c>
      <c r="H4241" s="55">
        <v>2011</v>
      </c>
      <c r="I4241" s="55">
        <v>2008</v>
      </c>
      <c r="J4241" s="55" t="s">
        <v>2635</v>
      </c>
      <c r="K4241" s="55" t="s">
        <v>3653</v>
      </c>
      <c r="L4241" s="55" t="s">
        <v>3377</v>
      </c>
      <c r="M4241" s="90">
        <v>40.22</v>
      </c>
      <c r="N4241" s="90">
        <v>116.23</v>
      </c>
      <c r="O4241" s="90">
        <v>67</v>
      </c>
      <c r="U4241" s="55" t="s">
        <v>1816</v>
      </c>
      <c r="V4241" s="55" t="s">
        <v>1816</v>
      </c>
      <c r="Y4241" s="55" t="s">
        <v>3651</v>
      </c>
      <c r="Z4241" s="55" t="s">
        <v>1356</v>
      </c>
      <c r="AA4241" s="90" t="s">
        <v>1680</v>
      </c>
      <c r="AD4241" s="90">
        <v>1.29</v>
      </c>
      <c r="AH4241" s="55" t="s">
        <v>6378</v>
      </c>
      <c r="AI4241" s="168">
        <v>6.36</v>
      </c>
      <c r="AJ4241" s="90">
        <v>2.81</v>
      </c>
      <c r="AN4241" s="185" t="s">
        <v>3654</v>
      </c>
      <c r="AO4241" s="185" t="s">
        <v>5150</v>
      </c>
      <c r="AQ4241" s="55" t="s">
        <v>1545</v>
      </c>
      <c r="AR4241" s="55" t="s">
        <v>3469</v>
      </c>
      <c r="AS4241" s="55" t="s">
        <v>227</v>
      </c>
      <c r="AU4241" s="181" t="s">
        <v>7494</v>
      </c>
      <c r="AV4241" s="185" t="s">
        <v>176</v>
      </c>
      <c r="AX4241" s="185" t="s">
        <v>176</v>
      </c>
      <c r="BK4241" s="55" t="s">
        <v>5976</v>
      </c>
      <c r="BM4241" s="192" t="s">
        <v>160</v>
      </c>
      <c r="BN4241" s="55">
        <v>3</v>
      </c>
      <c r="BO4241" s="55">
        <v>3</v>
      </c>
      <c r="BP4241" s="55">
        <v>6</v>
      </c>
      <c r="BQ4241" s="55" t="s">
        <v>141</v>
      </c>
      <c r="BU4241" s="55" t="s">
        <v>3672</v>
      </c>
      <c r="BV4241" s="55" t="s">
        <v>3664</v>
      </c>
      <c r="CB4241" s="66">
        <v>41800</v>
      </c>
      <c r="CC4241" s="66">
        <v>54700</v>
      </c>
      <c r="CM4241" s="65">
        <v>1.76</v>
      </c>
      <c r="CN4241" s="65">
        <v>1.62</v>
      </c>
      <c r="DA4241" s="65" t="s">
        <v>4458</v>
      </c>
      <c r="DB4241" s="65">
        <v>127</v>
      </c>
      <c r="DC4241" s="65">
        <v>146</v>
      </c>
      <c r="DF4241" s="65" t="s">
        <v>3419</v>
      </c>
      <c r="DG4241" s="65">
        <v>182</v>
      </c>
      <c r="DH4241" s="65">
        <v>126</v>
      </c>
      <c r="DK4241" s="65" t="s">
        <v>3667</v>
      </c>
      <c r="GP4241" s="292" t="s">
        <v>7494</v>
      </c>
      <c r="HI4241" s="65">
        <v>3.92</v>
      </c>
      <c r="HJ4241" s="65">
        <v>4.2</v>
      </c>
      <c r="HM4241" s="65" t="s">
        <v>3670</v>
      </c>
      <c r="HN4241" s="65">
        <v>6.24</v>
      </c>
      <c r="HO4241" s="65">
        <v>6.61</v>
      </c>
      <c r="HR4241" s="65" t="s">
        <v>3668</v>
      </c>
      <c r="HS4241" s="65">
        <v>5.25</v>
      </c>
      <c r="HT4241" s="65">
        <v>5.4</v>
      </c>
      <c r="HW4241" s="65" t="s">
        <v>3669</v>
      </c>
      <c r="JG4241" s="65">
        <v>115</v>
      </c>
      <c r="JH4241" s="65">
        <v>162</v>
      </c>
      <c r="JL4241" s="65">
        <v>53.5</v>
      </c>
      <c r="JM4241" s="65">
        <v>51.2</v>
      </c>
      <c r="JU4241" s="55" t="s">
        <v>572</v>
      </c>
      <c r="JV4241" s="55" t="s">
        <v>3671</v>
      </c>
    </row>
    <row r="4242" spans="1:282" x14ac:dyDescent="0.25">
      <c r="A4242" s="55">
        <v>4241</v>
      </c>
      <c r="B4242" s="12" t="s">
        <v>7067</v>
      </c>
      <c r="C4242" s="155">
        <v>187</v>
      </c>
      <c r="D4242" s="55" t="s">
        <v>3660</v>
      </c>
      <c r="E4242" s="90" t="s">
        <v>3334</v>
      </c>
      <c r="G4242" s="55" t="s">
        <v>3652</v>
      </c>
      <c r="H4242" s="55">
        <v>2011</v>
      </c>
      <c r="I4242" s="55">
        <v>2008</v>
      </c>
      <c r="J4242" s="55" t="s">
        <v>2635</v>
      </c>
      <c r="K4242" s="55" t="s">
        <v>3653</v>
      </c>
      <c r="L4242" s="55" t="s">
        <v>3377</v>
      </c>
      <c r="M4242" s="90">
        <v>40.22</v>
      </c>
      <c r="N4242" s="90">
        <v>116.23</v>
      </c>
      <c r="O4242" s="90">
        <v>67</v>
      </c>
      <c r="U4242" s="55" t="s">
        <v>1816</v>
      </c>
      <c r="V4242" s="55" t="s">
        <v>1816</v>
      </c>
      <c r="Y4242" s="55" t="s">
        <v>3651</v>
      </c>
      <c r="Z4242" s="55" t="s">
        <v>1356</v>
      </c>
      <c r="AA4242" s="90" t="s">
        <v>1680</v>
      </c>
      <c r="AD4242" s="90">
        <v>1.29</v>
      </c>
      <c r="AH4242" s="55" t="s">
        <v>6378</v>
      </c>
      <c r="AI4242" s="168">
        <v>6.36</v>
      </c>
      <c r="AJ4242" s="90">
        <v>2.81</v>
      </c>
      <c r="AN4242" s="185" t="s">
        <v>3655</v>
      </c>
      <c r="AO4242" s="185" t="s">
        <v>5150</v>
      </c>
      <c r="AQ4242" s="55" t="s">
        <v>1545</v>
      </c>
      <c r="AR4242" s="55" t="s">
        <v>3469</v>
      </c>
      <c r="AS4242" s="55" t="s">
        <v>227</v>
      </c>
      <c r="AU4242" s="181" t="s">
        <v>7494</v>
      </c>
      <c r="AV4242" s="185" t="s">
        <v>176</v>
      </c>
      <c r="AX4242" s="185" t="s">
        <v>176</v>
      </c>
      <c r="BK4242" s="55" t="s">
        <v>5976</v>
      </c>
      <c r="BM4242" s="192" t="s">
        <v>160</v>
      </c>
      <c r="BN4242" s="55">
        <v>3</v>
      </c>
      <c r="BO4242" s="55">
        <v>3</v>
      </c>
      <c r="BP4242" s="55">
        <v>6</v>
      </c>
      <c r="BQ4242" s="55" t="s">
        <v>141</v>
      </c>
      <c r="BU4242" s="55" t="s">
        <v>3672</v>
      </c>
      <c r="BV4242" s="55" t="s">
        <v>3665</v>
      </c>
      <c r="CB4242" s="66">
        <v>41800</v>
      </c>
      <c r="CC4242" s="66">
        <v>68800</v>
      </c>
      <c r="CM4242" s="65">
        <v>1.76</v>
      </c>
      <c r="CN4242" s="65">
        <v>1.89</v>
      </c>
      <c r="DA4242" s="65" t="s">
        <v>4458</v>
      </c>
      <c r="DB4242" s="65">
        <v>127</v>
      </c>
      <c r="DC4242" s="65">
        <v>167</v>
      </c>
      <c r="DF4242" s="65" t="s">
        <v>3419</v>
      </c>
      <c r="DG4242" s="65">
        <v>182</v>
      </c>
      <c r="DH4242" s="65">
        <v>144</v>
      </c>
      <c r="DK4242" s="65" t="s">
        <v>3667</v>
      </c>
      <c r="GP4242" s="292" t="s">
        <v>7494</v>
      </c>
      <c r="HI4242" s="65">
        <v>3.92</v>
      </c>
      <c r="HJ4242" s="65">
        <v>4.2699999999999996</v>
      </c>
      <c r="HM4242" s="65" t="s">
        <v>3670</v>
      </c>
      <c r="HN4242" s="65">
        <v>6.24</v>
      </c>
      <c r="HO4242" s="65">
        <v>6.58</v>
      </c>
      <c r="HR4242" s="65" t="s">
        <v>3668</v>
      </c>
      <c r="HS4242" s="65">
        <v>5.25</v>
      </c>
      <c r="HT4242" s="65">
        <v>5.62</v>
      </c>
      <c r="HW4242" s="65" t="s">
        <v>3669</v>
      </c>
      <c r="JG4242" s="65">
        <v>115</v>
      </c>
      <c r="JH4242" s="65">
        <v>317</v>
      </c>
      <c r="JL4242" s="65">
        <v>53.5</v>
      </c>
      <c r="JM4242" s="65">
        <v>57.7</v>
      </c>
      <c r="JU4242" s="55" t="s">
        <v>572</v>
      </c>
      <c r="JV4242" s="55" t="s">
        <v>3671</v>
      </c>
    </row>
    <row r="4243" spans="1:282" x14ac:dyDescent="0.25">
      <c r="A4243" s="55">
        <v>4242</v>
      </c>
      <c r="B4243" s="12" t="s">
        <v>7067</v>
      </c>
      <c r="C4243" s="155">
        <v>187</v>
      </c>
      <c r="D4243" s="55" t="s">
        <v>3661</v>
      </c>
      <c r="E4243" s="90" t="s">
        <v>3334</v>
      </c>
      <c r="G4243" s="55" t="s">
        <v>3652</v>
      </c>
      <c r="H4243" s="55">
        <v>2011</v>
      </c>
      <c r="I4243" s="55">
        <v>2008</v>
      </c>
      <c r="J4243" s="55" t="s">
        <v>2635</v>
      </c>
      <c r="K4243" s="55" t="s">
        <v>3653</v>
      </c>
      <c r="L4243" s="55" t="s">
        <v>3377</v>
      </c>
      <c r="M4243" s="90">
        <v>40.22</v>
      </c>
      <c r="N4243" s="90">
        <v>116.23</v>
      </c>
      <c r="O4243" s="90">
        <v>67</v>
      </c>
      <c r="U4243" s="55" t="s">
        <v>1816</v>
      </c>
      <c r="V4243" s="55" t="s">
        <v>1816</v>
      </c>
      <c r="Y4243" s="55" t="s">
        <v>3651</v>
      </c>
      <c r="Z4243" s="55" t="s">
        <v>1356</v>
      </c>
      <c r="AA4243" s="90" t="s">
        <v>1680</v>
      </c>
      <c r="AD4243" s="90">
        <v>1.29</v>
      </c>
      <c r="AH4243" s="55" t="s">
        <v>6378</v>
      </c>
      <c r="AI4243" s="168">
        <v>6.36</v>
      </c>
      <c r="AJ4243" s="90">
        <v>2.81</v>
      </c>
      <c r="AN4243" s="185" t="s">
        <v>3656</v>
      </c>
      <c r="AO4243" s="185" t="s">
        <v>5150</v>
      </c>
      <c r="AQ4243" s="55" t="s">
        <v>553</v>
      </c>
      <c r="AR4243" s="55" t="s">
        <v>3469</v>
      </c>
      <c r="AS4243" s="55" t="s">
        <v>227</v>
      </c>
      <c r="AU4243" s="181" t="s">
        <v>7494</v>
      </c>
      <c r="AV4243" s="185" t="s">
        <v>176</v>
      </c>
      <c r="AX4243" s="185" t="s">
        <v>176</v>
      </c>
      <c r="BK4243" s="55" t="s">
        <v>5976</v>
      </c>
      <c r="BM4243" s="192" t="s">
        <v>160</v>
      </c>
      <c r="BN4243" s="55">
        <v>3</v>
      </c>
      <c r="BO4243" s="55">
        <v>3</v>
      </c>
      <c r="BP4243" s="55">
        <v>6</v>
      </c>
      <c r="BQ4243" s="55" t="s">
        <v>141</v>
      </c>
      <c r="BU4243" s="55" t="s">
        <v>3672</v>
      </c>
      <c r="BV4243" s="55" t="s">
        <v>3666</v>
      </c>
      <c r="CB4243" s="66">
        <v>41800</v>
      </c>
      <c r="CC4243" s="66">
        <v>6700</v>
      </c>
      <c r="CM4243" s="65">
        <v>1.76</v>
      </c>
      <c r="CN4243" s="65">
        <v>1.99</v>
      </c>
      <c r="DA4243" s="65" t="s">
        <v>4458</v>
      </c>
      <c r="DB4243" s="65">
        <v>127</v>
      </c>
      <c r="DC4243" s="65">
        <v>146</v>
      </c>
      <c r="DF4243" s="65" t="s">
        <v>3419</v>
      </c>
      <c r="DG4243" s="65">
        <v>182</v>
      </c>
      <c r="DH4243" s="65">
        <v>137</v>
      </c>
      <c r="DK4243" s="65" t="s">
        <v>3667</v>
      </c>
      <c r="GP4243" s="292" t="s">
        <v>7494</v>
      </c>
      <c r="HI4243" s="65">
        <v>3.92</v>
      </c>
      <c r="HJ4243" s="65">
        <v>3.93</v>
      </c>
      <c r="HM4243" s="65" t="s">
        <v>3670</v>
      </c>
      <c r="HN4243" s="65">
        <v>6.24</v>
      </c>
      <c r="HO4243" s="65">
        <v>6.43</v>
      </c>
      <c r="HR4243" s="65" t="s">
        <v>3668</v>
      </c>
      <c r="HS4243" s="65">
        <v>5.25</v>
      </c>
      <c r="HT4243" s="65">
        <v>5.68</v>
      </c>
      <c r="HW4243" s="65" t="s">
        <v>3669</v>
      </c>
      <c r="JG4243" s="65">
        <v>115</v>
      </c>
      <c r="JH4243" s="65">
        <v>269</v>
      </c>
      <c r="JL4243" s="65">
        <v>53.5</v>
      </c>
      <c r="JM4243" s="65">
        <v>51.6</v>
      </c>
      <c r="JU4243" s="55" t="s">
        <v>572</v>
      </c>
      <c r="JV4243" s="55" t="s">
        <v>3671</v>
      </c>
    </row>
    <row r="4244" spans="1:282" x14ac:dyDescent="0.25">
      <c r="A4244" s="55">
        <v>4243</v>
      </c>
      <c r="B4244" s="12" t="s">
        <v>7067</v>
      </c>
      <c r="C4244" s="155">
        <v>187</v>
      </c>
      <c r="D4244" s="55" t="s">
        <v>3662</v>
      </c>
      <c r="E4244" s="90" t="s">
        <v>3334</v>
      </c>
      <c r="G4244" s="55" t="s">
        <v>3652</v>
      </c>
      <c r="H4244" s="55">
        <v>2011</v>
      </c>
      <c r="I4244" s="55">
        <v>2008</v>
      </c>
      <c r="J4244" s="55" t="s">
        <v>2635</v>
      </c>
      <c r="K4244" s="55" t="s">
        <v>3653</v>
      </c>
      <c r="L4244" s="55" t="s">
        <v>3377</v>
      </c>
      <c r="M4244" s="90">
        <v>40.22</v>
      </c>
      <c r="N4244" s="90">
        <v>116.23</v>
      </c>
      <c r="O4244" s="90">
        <v>67</v>
      </c>
      <c r="U4244" s="55" t="s">
        <v>1816</v>
      </c>
      <c r="V4244" s="55" t="s">
        <v>1816</v>
      </c>
      <c r="Y4244" s="55" t="s">
        <v>3651</v>
      </c>
      <c r="Z4244" s="55" t="s">
        <v>1356</v>
      </c>
      <c r="AA4244" s="90" t="s">
        <v>1680</v>
      </c>
      <c r="AD4244" s="90">
        <v>1.29</v>
      </c>
      <c r="AH4244" s="55" t="s">
        <v>6378</v>
      </c>
      <c r="AI4244" s="168">
        <v>6.36</v>
      </c>
      <c r="AJ4244" s="90">
        <v>2.81</v>
      </c>
      <c r="AN4244" s="185" t="s">
        <v>3657</v>
      </c>
      <c r="AO4244" s="185" t="s">
        <v>5150</v>
      </c>
      <c r="AQ4244" s="55" t="s">
        <v>553</v>
      </c>
      <c r="AR4244" s="55" t="s">
        <v>3469</v>
      </c>
      <c r="AS4244" s="55" t="s">
        <v>227</v>
      </c>
      <c r="AU4244" s="181" t="s">
        <v>7494</v>
      </c>
      <c r="AV4244" s="185" t="s">
        <v>176</v>
      </c>
      <c r="AX4244" s="185" t="s">
        <v>176</v>
      </c>
      <c r="BK4244" s="55" t="s">
        <v>5976</v>
      </c>
      <c r="BM4244" s="192" t="s">
        <v>160</v>
      </c>
      <c r="BN4244" s="55">
        <v>3</v>
      </c>
      <c r="BO4244" s="55">
        <v>3</v>
      </c>
      <c r="BP4244" s="55">
        <v>6</v>
      </c>
      <c r="BQ4244" s="55" t="s">
        <v>141</v>
      </c>
      <c r="BU4244" s="55" t="s">
        <v>3672</v>
      </c>
      <c r="BV4244" s="55" t="s">
        <v>3665</v>
      </c>
      <c r="CB4244" s="66">
        <v>41800</v>
      </c>
      <c r="CC4244" s="66">
        <v>16300</v>
      </c>
      <c r="CM4244" s="65">
        <v>1.76</v>
      </c>
      <c r="CN4244" s="65">
        <v>1.91</v>
      </c>
      <c r="DA4244" s="65" t="s">
        <v>4458</v>
      </c>
      <c r="DB4244" s="65">
        <v>127</v>
      </c>
      <c r="DC4244" s="65">
        <v>136</v>
      </c>
      <c r="DF4244" s="65" t="s">
        <v>3419</v>
      </c>
      <c r="DG4244" s="65">
        <v>182</v>
      </c>
      <c r="DH4244" s="65">
        <v>143</v>
      </c>
      <c r="DK4244" s="65" t="s">
        <v>3667</v>
      </c>
      <c r="GP4244" s="292" t="s">
        <v>7494</v>
      </c>
      <c r="HI4244" s="65">
        <v>3.92</v>
      </c>
      <c r="HJ4244" s="65">
        <v>4.29</v>
      </c>
      <c r="HM4244" s="65" t="s">
        <v>3670</v>
      </c>
      <c r="HN4244" s="65">
        <v>6.24</v>
      </c>
      <c r="HO4244" s="65">
        <v>6.64</v>
      </c>
      <c r="HR4244" s="65" t="s">
        <v>3668</v>
      </c>
      <c r="HS4244" s="65">
        <v>5.25</v>
      </c>
      <c r="HT4244" s="65">
        <v>5.34</v>
      </c>
      <c r="HW4244" s="65" t="s">
        <v>3669</v>
      </c>
      <c r="JG4244" s="65">
        <v>115</v>
      </c>
      <c r="JH4244" s="65">
        <v>131</v>
      </c>
      <c r="JL4244" s="65">
        <v>53.5</v>
      </c>
      <c r="JM4244" s="65">
        <v>59.9</v>
      </c>
      <c r="JU4244" s="55" t="s">
        <v>572</v>
      </c>
      <c r="JV4244" s="55" t="s">
        <v>3671</v>
      </c>
    </row>
    <row r="4245" spans="1:282" x14ac:dyDescent="0.25">
      <c r="A4245" s="55">
        <v>4244</v>
      </c>
      <c r="B4245" s="12" t="s">
        <v>7067</v>
      </c>
      <c r="C4245" s="155">
        <v>187</v>
      </c>
      <c r="D4245" s="55" t="s">
        <v>3663</v>
      </c>
      <c r="E4245" s="90" t="s">
        <v>3334</v>
      </c>
      <c r="G4245" s="55" t="s">
        <v>3652</v>
      </c>
      <c r="H4245" s="55">
        <v>2011</v>
      </c>
      <c r="I4245" s="55">
        <v>2008</v>
      </c>
      <c r="J4245" s="55" t="s">
        <v>2635</v>
      </c>
      <c r="K4245" s="55" t="s">
        <v>3653</v>
      </c>
      <c r="L4245" s="55" t="s">
        <v>3377</v>
      </c>
      <c r="M4245" s="90">
        <v>40.22</v>
      </c>
      <c r="N4245" s="90">
        <v>116.23</v>
      </c>
      <c r="O4245" s="90">
        <v>67</v>
      </c>
      <c r="U4245" s="55" t="s">
        <v>1816</v>
      </c>
      <c r="V4245" s="55" t="s">
        <v>1816</v>
      </c>
      <c r="Y4245" s="55" t="s">
        <v>3651</v>
      </c>
      <c r="Z4245" s="55" t="s">
        <v>1356</v>
      </c>
      <c r="AA4245" s="90" t="s">
        <v>1680</v>
      </c>
      <c r="AD4245" s="90">
        <v>1.29</v>
      </c>
      <c r="AH4245" s="55" t="s">
        <v>6378</v>
      </c>
      <c r="AI4245" s="168">
        <v>6.36</v>
      </c>
      <c r="AJ4245" s="90">
        <v>2.81</v>
      </c>
      <c r="AN4245" s="185" t="s">
        <v>3658</v>
      </c>
      <c r="AO4245" s="185" t="s">
        <v>5150</v>
      </c>
      <c r="AQ4245" s="55" t="s">
        <v>3136</v>
      </c>
      <c r="AR4245" s="55" t="s">
        <v>3469</v>
      </c>
      <c r="AS4245" s="55" t="s">
        <v>227</v>
      </c>
      <c r="AU4245" s="181" t="s">
        <v>7494</v>
      </c>
      <c r="AV4245" s="185" t="s">
        <v>176</v>
      </c>
      <c r="AX4245" s="185" t="s">
        <v>176</v>
      </c>
      <c r="BK4245" s="55" t="s">
        <v>5976</v>
      </c>
      <c r="BM4245" s="192" t="s">
        <v>160</v>
      </c>
      <c r="BN4245" s="55">
        <v>3</v>
      </c>
      <c r="BO4245" s="55">
        <v>3</v>
      </c>
      <c r="BP4245" s="55">
        <v>6</v>
      </c>
      <c r="BQ4245" s="55" t="s">
        <v>141</v>
      </c>
      <c r="BU4245" s="55" t="s">
        <v>3672</v>
      </c>
      <c r="BV4245" s="55" t="s">
        <v>3664</v>
      </c>
      <c r="CB4245" s="66">
        <v>41800</v>
      </c>
      <c r="CC4245" s="66">
        <v>68600</v>
      </c>
      <c r="CM4245" s="65">
        <v>1.76</v>
      </c>
      <c r="CN4245" s="65">
        <v>1.43</v>
      </c>
      <c r="DA4245" s="65" t="s">
        <v>4458</v>
      </c>
      <c r="DB4245" s="65">
        <v>127</v>
      </c>
      <c r="DC4245" s="65">
        <v>165</v>
      </c>
      <c r="DF4245" s="65" t="s">
        <v>3419</v>
      </c>
      <c r="DG4245" s="65">
        <v>182</v>
      </c>
      <c r="DH4245" s="65">
        <v>150</v>
      </c>
      <c r="DK4245" s="65" t="s">
        <v>3667</v>
      </c>
      <c r="GP4245" s="292" t="s">
        <v>7494</v>
      </c>
      <c r="HI4245" s="65">
        <v>3.92</v>
      </c>
      <c r="HJ4245" s="65">
        <v>4.13</v>
      </c>
      <c r="HM4245" s="65" t="s">
        <v>3670</v>
      </c>
      <c r="HN4245" s="65">
        <v>6.24</v>
      </c>
      <c r="HO4245" s="65">
        <v>6.75</v>
      </c>
      <c r="HR4245" s="65" t="s">
        <v>3668</v>
      </c>
      <c r="HS4245" s="65">
        <v>5.25</v>
      </c>
      <c r="HT4245" s="65">
        <v>5.49</v>
      </c>
      <c r="HW4245" s="65" t="s">
        <v>3669</v>
      </c>
      <c r="JG4245" s="65">
        <v>115</v>
      </c>
      <c r="JH4245" s="65">
        <v>215</v>
      </c>
      <c r="JL4245" s="65">
        <v>53.5</v>
      </c>
      <c r="JM4245" s="65">
        <v>59.5</v>
      </c>
      <c r="JU4245" s="55" t="s">
        <v>572</v>
      </c>
      <c r="JV4245" s="55" t="s">
        <v>3671</v>
      </c>
    </row>
    <row r="4246" spans="1:282" x14ac:dyDescent="0.25">
      <c r="A4246" s="55">
        <v>4245</v>
      </c>
      <c r="B4246" s="12" t="s">
        <v>7067</v>
      </c>
      <c r="C4246" s="155">
        <v>187</v>
      </c>
      <c r="D4246" s="55" t="s">
        <v>3659</v>
      </c>
      <c r="E4246" s="90" t="s">
        <v>3334</v>
      </c>
      <c r="G4246" s="55" t="s">
        <v>3652</v>
      </c>
      <c r="H4246" s="55">
        <v>2011</v>
      </c>
      <c r="I4246" s="55">
        <v>2007</v>
      </c>
      <c r="J4246" s="55" t="s">
        <v>2635</v>
      </c>
      <c r="K4246" s="55" t="s">
        <v>3653</v>
      </c>
      <c r="L4246" s="55" t="s">
        <v>3377</v>
      </c>
      <c r="M4246" s="90">
        <v>40.22</v>
      </c>
      <c r="N4246" s="90">
        <v>116.23</v>
      </c>
      <c r="O4246" s="90">
        <v>67</v>
      </c>
      <c r="U4246" s="55" t="s">
        <v>1688</v>
      </c>
      <c r="V4246" s="55" t="s">
        <v>1816</v>
      </c>
      <c r="Y4246" s="55" t="s">
        <v>3651</v>
      </c>
      <c r="Z4246" s="55" t="s">
        <v>1356</v>
      </c>
      <c r="AA4246" s="90" t="s">
        <v>1680</v>
      </c>
      <c r="AD4246" s="90">
        <v>1.29</v>
      </c>
      <c r="AH4246" s="55" t="s">
        <v>6378</v>
      </c>
      <c r="AI4246" s="168">
        <v>6.36</v>
      </c>
      <c r="AJ4246" s="90">
        <v>2.81</v>
      </c>
      <c r="AN4246" s="185" t="s">
        <v>3654</v>
      </c>
      <c r="AO4246" s="185" t="s">
        <v>5150</v>
      </c>
      <c r="AQ4246" s="55" t="s">
        <v>1545</v>
      </c>
      <c r="AR4246" s="55" t="s">
        <v>3469</v>
      </c>
      <c r="AS4246" s="55" t="s">
        <v>227</v>
      </c>
      <c r="AU4246" s="181" t="s">
        <v>7494</v>
      </c>
      <c r="AV4246" s="185" t="s">
        <v>176</v>
      </c>
      <c r="AX4246" s="185" t="s">
        <v>176</v>
      </c>
      <c r="BK4246" s="55" t="s">
        <v>5976</v>
      </c>
      <c r="BM4246" s="192" t="s">
        <v>160</v>
      </c>
      <c r="BN4246" s="55">
        <v>3</v>
      </c>
      <c r="BO4246" s="55">
        <v>3</v>
      </c>
      <c r="BP4246" s="55">
        <v>6</v>
      </c>
      <c r="BQ4246" s="55" t="s">
        <v>141</v>
      </c>
      <c r="BU4246" s="55" t="s">
        <v>3672</v>
      </c>
      <c r="BV4246" s="55" t="s">
        <v>3664</v>
      </c>
      <c r="DG4246" s="65">
        <v>152</v>
      </c>
      <c r="DH4246" s="65">
        <v>112</v>
      </c>
      <c r="DK4246" s="65" t="s">
        <v>3667</v>
      </c>
      <c r="GP4246" s="292" t="s">
        <v>7494</v>
      </c>
      <c r="HI4246" s="65">
        <v>3.69</v>
      </c>
      <c r="HJ4246" s="65">
        <v>3.99</v>
      </c>
      <c r="HM4246" s="65" t="s">
        <v>3670</v>
      </c>
      <c r="HN4246" s="65">
        <v>6.27</v>
      </c>
      <c r="HO4246" s="65">
        <v>6.46</v>
      </c>
      <c r="HR4246" s="65" t="s">
        <v>3668</v>
      </c>
      <c r="HS4246" s="65">
        <v>5.56</v>
      </c>
      <c r="HT4246" s="65">
        <v>5.97</v>
      </c>
      <c r="HW4246" s="65" t="s">
        <v>3669</v>
      </c>
      <c r="JG4246" s="65">
        <v>47.3</v>
      </c>
      <c r="JH4246" s="65">
        <v>77</v>
      </c>
      <c r="JL4246" s="65">
        <v>45.8</v>
      </c>
      <c r="JM4246" s="65">
        <v>45.6</v>
      </c>
      <c r="JU4246" s="55" t="s">
        <v>577</v>
      </c>
      <c r="JV4246" s="55" t="s">
        <v>3671</v>
      </c>
    </row>
    <row r="4247" spans="1:282" x14ac:dyDescent="0.25">
      <c r="A4247" s="55">
        <v>4246</v>
      </c>
      <c r="B4247" s="12" t="s">
        <v>7067</v>
      </c>
      <c r="C4247" s="155">
        <v>187</v>
      </c>
      <c r="D4247" s="55" t="s">
        <v>3660</v>
      </c>
      <c r="E4247" s="90" t="s">
        <v>3334</v>
      </c>
      <c r="G4247" s="55" t="s">
        <v>3652</v>
      </c>
      <c r="H4247" s="55">
        <v>2011</v>
      </c>
      <c r="I4247" s="55">
        <v>2007</v>
      </c>
      <c r="J4247" s="55" t="s">
        <v>2635</v>
      </c>
      <c r="K4247" s="55" t="s">
        <v>3653</v>
      </c>
      <c r="L4247" s="55" t="s">
        <v>3377</v>
      </c>
      <c r="M4247" s="90">
        <v>40.22</v>
      </c>
      <c r="N4247" s="90">
        <v>116.23</v>
      </c>
      <c r="O4247" s="90">
        <v>67</v>
      </c>
      <c r="U4247" s="55" t="s">
        <v>1688</v>
      </c>
      <c r="V4247" s="55" t="s">
        <v>1816</v>
      </c>
      <c r="Y4247" s="55" t="s">
        <v>3651</v>
      </c>
      <c r="Z4247" s="55" t="s">
        <v>1356</v>
      </c>
      <c r="AA4247" s="90" t="s">
        <v>1680</v>
      </c>
      <c r="AD4247" s="90">
        <v>1.29</v>
      </c>
      <c r="AH4247" s="55" t="s">
        <v>6378</v>
      </c>
      <c r="AI4247" s="168">
        <v>6.36</v>
      </c>
      <c r="AJ4247" s="90">
        <v>2.81</v>
      </c>
      <c r="AN4247" s="185" t="s">
        <v>3655</v>
      </c>
      <c r="AO4247" s="185" t="s">
        <v>5150</v>
      </c>
      <c r="AQ4247" s="55" t="s">
        <v>1545</v>
      </c>
      <c r="AR4247" s="55" t="s">
        <v>3469</v>
      </c>
      <c r="AS4247" s="55" t="s">
        <v>227</v>
      </c>
      <c r="AU4247" s="181" t="s">
        <v>7494</v>
      </c>
      <c r="AV4247" s="185" t="s">
        <v>176</v>
      </c>
      <c r="AX4247" s="185" t="s">
        <v>176</v>
      </c>
      <c r="BK4247" s="55" t="s">
        <v>5976</v>
      </c>
      <c r="BM4247" s="192" t="s">
        <v>160</v>
      </c>
      <c r="BN4247" s="55">
        <v>3</v>
      </c>
      <c r="BO4247" s="55">
        <v>3</v>
      </c>
      <c r="BP4247" s="55">
        <v>6</v>
      </c>
      <c r="BQ4247" s="55" t="s">
        <v>141</v>
      </c>
      <c r="BU4247" s="55" t="s">
        <v>3672</v>
      </c>
      <c r="BV4247" s="55" t="s">
        <v>3665</v>
      </c>
      <c r="DG4247" s="65">
        <v>152</v>
      </c>
      <c r="DH4247" s="65">
        <v>102</v>
      </c>
      <c r="DK4247" s="65" t="s">
        <v>3667</v>
      </c>
      <c r="GP4247" s="292" t="s">
        <v>7494</v>
      </c>
      <c r="HI4247" s="65">
        <v>3.69</v>
      </c>
      <c r="HJ4247" s="65">
        <v>4.12</v>
      </c>
      <c r="HM4247" s="65" t="s">
        <v>3670</v>
      </c>
      <c r="HN4247" s="65">
        <v>6.27</v>
      </c>
      <c r="HO4247" s="65">
        <v>6.59</v>
      </c>
      <c r="HR4247" s="65" t="s">
        <v>3668</v>
      </c>
      <c r="HS4247" s="65">
        <v>5.56</v>
      </c>
      <c r="HT4247" s="65">
        <v>6.06</v>
      </c>
      <c r="HW4247" s="65" t="s">
        <v>3669</v>
      </c>
      <c r="JG4247" s="65">
        <v>47.3</v>
      </c>
      <c r="JH4247" s="65">
        <v>212</v>
      </c>
      <c r="JL4247" s="65">
        <v>45.8</v>
      </c>
      <c r="JM4247" s="65">
        <v>48.9</v>
      </c>
      <c r="JU4247" s="55" t="s">
        <v>577</v>
      </c>
      <c r="JV4247" s="55" t="s">
        <v>3671</v>
      </c>
    </row>
    <row r="4248" spans="1:282" x14ac:dyDescent="0.25">
      <c r="A4248" s="55">
        <v>4247</v>
      </c>
      <c r="B4248" s="12" t="s">
        <v>7067</v>
      </c>
      <c r="C4248" s="155">
        <v>187</v>
      </c>
      <c r="D4248" s="55" t="s">
        <v>3661</v>
      </c>
      <c r="E4248" s="90" t="s">
        <v>3334</v>
      </c>
      <c r="G4248" s="55" t="s">
        <v>3652</v>
      </c>
      <c r="H4248" s="55">
        <v>2011</v>
      </c>
      <c r="I4248" s="55">
        <v>2007</v>
      </c>
      <c r="J4248" s="55" t="s">
        <v>2635</v>
      </c>
      <c r="K4248" s="55" t="s">
        <v>3653</v>
      </c>
      <c r="L4248" s="55" t="s">
        <v>3377</v>
      </c>
      <c r="M4248" s="90">
        <v>40.22</v>
      </c>
      <c r="N4248" s="90">
        <v>116.23</v>
      </c>
      <c r="O4248" s="90">
        <v>67</v>
      </c>
      <c r="U4248" s="55" t="s">
        <v>1688</v>
      </c>
      <c r="V4248" s="55" t="s">
        <v>1816</v>
      </c>
      <c r="Y4248" s="55" t="s">
        <v>3651</v>
      </c>
      <c r="Z4248" s="55" t="s">
        <v>1356</v>
      </c>
      <c r="AA4248" s="90" t="s">
        <v>1680</v>
      </c>
      <c r="AD4248" s="90">
        <v>1.29</v>
      </c>
      <c r="AH4248" s="55" t="s">
        <v>6378</v>
      </c>
      <c r="AI4248" s="168">
        <v>6.36</v>
      </c>
      <c r="AJ4248" s="90">
        <v>2.81</v>
      </c>
      <c r="AN4248" s="185" t="s">
        <v>3656</v>
      </c>
      <c r="AO4248" s="185" t="s">
        <v>5150</v>
      </c>
      <c r="AQ4248" s="55" t="s">
        <v>553</v>
      </c>
      <c r="AR4248" s="55" t="s">
        <v>3469</v>
      </c>
      <c r="AS4248" s="55" t="s">
        <v>227</v>
      </c>
      <c r="AU4248" s="181" t="s">
        <v>7494</v>
      </c>
      <c r="AV4248" s="185" t="s">
        <v>176</v>
      </c>
      <c r="AX4248" s="185" t="s">
        <v>176</v>
      </c>
      <c r="BK4248" s="55" t="s">
        <v>5976</v>
      </c>
      <c r="BM4248" s="192" t="s">
        <v>160</v>
      </c>
      <c r="BN4248" s="55">
        <v>3</v>
      </c>
      <c r="BO4248" s="55">
        <v>3</v>
      </c>
      <c r="BP4248" s="55">
        <v>6</v>
      </c>
      <c r="BQ4248" s="55" t="s">
        <v>141</v>
      </c>
      <c r="BU4248" s="55" t="s">
        <v>3672</v>
      </c>
      <c r="BV4248" s="55" t="s">
        <v>3666</v>
      </c>
      <c r="DG4248" s="65">
        <v>152</v>
      </c>
      <c r="DH4248" s="65">
        <v>146</v>
      </c>
      <c r="DK4248" s="65" t="s">
        <v>3667</v>
      </c>
      <c r="GP4248" s="292" t="s">
        <v>7494</v>
      </c>
      <c r="HI4248" s="65">
        <v>3.69</v>
      </c>
      <c r="HJ4248" s="65">
        <v>3.8</v>
      </c>
      <c r="HM4248" s="65" t="s">
        <v>3670</v>
      </c>
      <c r="HN4248" s="65">
        <v>6.27</v>
      </c>
      <c r="HO4248" s="65">
        <v>6.54</v>
      </c>
      <c r="HR4248" s="65" t="s">
        <v>3668</v>
      </c>
      <c r="HS4248" s="65">
        <v>5.56</v>
      </c>
      <c r="HT4248" s="65">
        <v>5.93</v>
      </c>
      <c r="HW4248" s="65" t="s">
        <v>3669</v>
      </c>
      <c r="JG4248" s="65">
        <v>47.3</v>
      </c>
      <c r="JH4248" s="65">
        <v>118</v>
      </c>
      <c r="JL4248" s="65">
        <v>45.8</v>
      </c>
      <c r="JM4248" s="65">
        <v>47.4</v>
      </c>
      <c r="JU4248" s="55" t="s">
        <v>577</v>
      </c>
      <c r="JV4248" s="55" t="s">
        <v>3671</v>
      </c>
    </row>
    <row r="4249" spans="1:282" x14ac:dyDescent="0.25">
      <c r="A4249" s="55">
        <v>4248</v>
      </c>
      <c r="B4249" s="12" t="s">
        <v>7067</v>
      </c>
      <c r="C4249" s="155">
        <v>187</v>
      </c>
      <c r="D4249" s="55" t="s">
        <v>3662</v>
      </c>
      <c r="E4249" s="90" t="s">
        <v>3334</v>
      </c>
      <c r="G4249" s="55" t="s">
        <v>3652</v>
      </c>
      <c r="H4249" s="55">
        <v>2011</v>
      </c>
      <c r="I4249" s="55">
        <v>2007</v>
      </c>
      <c r="J4249" s="55" t="s">
        <v>2635</v>
      </c>
      <c r="K4249" s="55" t="s">
        <v>3653</v>
      </c>
      <c r="L4249" s="55" t="s">
        <v>3377</v>
      </c>
      <c r="M4249" s="90">
        <v>40.22</v>
      </c>
      <c r="N4249" s="90">
        <v>116.23</v>
      </c>
      <c r="O4249" s="90">
        <v>67</v>
      </c>
      <c r="U4249" s="55" t="s">
        <v>1688</v>
      </c>
      <c r="V4249" s="55" t="s">
        <v>1816</v>
      </c>
      <c r="Y4249" s="55" t="s">
        <v>3651</v>
      </c>
      <c r="Z4249" s="55" t="s">
        <v>1356</v>
      </c>
      <c r="AA4249" s="90" t="s">
        <v>1680</v>
      </c>
      <c r="AD4249" s="90">
        <v>1.29</v>
      </c>
      <c r="AH4249" s="55" t="s">
        <v>6378</v>
      </c>
      <c r="AI4249" s="168">
        <v>6.36</v>
      </c>
      <c r="AJ4249" s="90">
        <v>2.81</v>
      </c>
      <c r="AN4249" s="185" t="s">
        <v>3657</v>
      </c>
      <c r="AO4249" s="185" t="s">
        <v>5150</v>
      </c>
      <c r="AQ4249" s="55" t="s">
        <v>553</v>
      </c>
      <c r="AR4249" s="55" t="s">
        <v>3469</v>
      </c>
      <c r="AS4249" s="55" t="s">
        <v>227</v>
      </c>
      <c r="AU4249" s="181" t="s">
        <v>7494</v>
      </c>
      <c r="AV4249" s="185" t="s">
        <v>176</v>
      </c>
      <c r="AX4249" s="185" t="s">
        <v>176</v>
      </c>
      <c r="BK4249" s="55" t="s">
        <v>5976</v>
      </c>
      <c r="BM4249" s="192" t="s">
        <v>160</v>
      </c>
      <c r="BN4249" s="55">
        <v>3</v>
      </c>
      <c r="BO4249" s="55">
        <v>3</v>
      </c>
      <c r="BP4249" s="55">
        <v>6</v>
      </c>
      <c r="BQ4249" s="55" t="s">
        <v>141</v>
      </c>
      <c r="BU4249" s="55" t="s">
        <v>3672</v>
      </c>
      <c r="BV4249" s="55" t="s">
        <v>3665</v>
      </c>
      <c r="DG4249" s="65">
        <v>152</v>
      </c>
      <c r="DH4249" s="65">
        <v>127</v>
      </c>
      <c r="DK4249" s="65" t="s">
        <v>3667</v>
      </c>
      <c r="GP4249" s="292" t="s">
        <v>7494</v>
      </c>
      <c r="HI4249" s="65">
        <v>3.69</v>
      </c>
      <c r="HJ4249" s="65">
        <v>3.66</v>
      </c>
      <c r="HM4249" s="65" t="s">
        <v>3670</v>
      </c>
      <c r="HN4249" s="65">
        <v>6.27</v>
      </c>
      <c r="HO4249" s="65">
        <v>6.74</v>
      </c>
      <c r="HR4249" s="65" t="s">
        <v>3668</v>
      </c>
      <c r="HS4249" s="65">
        <v>5.56</v>
      </c>
      <c r="HT4249" s="65">
        <v>5.84</v>
      </c>
      <c r="HW4249" s="65" t="s">
        <v>3669</v>
      </c>
      <c r="JG4249" s="65">
        <v>47.3</v>
      </c>
      <c r="JH4249" s="65">
        <v>75</v>
      </c>
      <c r="JL4249" s="65">
        <v>45.8</v>
      </c>
      <c r="JM4249" s="65">
        <v>46.7</v>
      </c>
      <c r="JU4249" s="55" t="s">
        <v>577</v>
      </c>
      <c r="JV4249" s="55" t="s">
        <v>3671</v>
      </c>
    </row>
    <row r="4250" spans="1:282" x14ac:dyDescent="0.25">
      <c r="A4250" s="55">
        <v>4249</v>
      </c>
      <c r="B4250" s="12" t="s">
        <v>7067</v>
      </c>
      <c r="C4250" s="155">
        <v>187</v>
      </c>
      <c r="D4250" s="55" t="s">
        <v>3663</v>
      </c>
      <c r="E4250" s="90" t="s">
        <v>3334</v>
      </c>
      <c r="G4250" s="55" t="s">
        <v>3652</v>
      </c>
      <c r="H4250" s="55">
        <v>2011</v>
      </c>
      <c r="I4250" s="55">
        <v>2007</v>
      </c>
      <c r="J4250" s="55" t="s">
        <v>2635</v>
      </c>
      <c r="K4250" s="55" t="s">
        <v>3653</v>
      </c>
      <c r="L4250" s="55" t="s">
        <v>3377</v>
      </c>
      <c r="M4250" s="90">
        <v>40.22</v>
      </c>
      <c r="N4250" s="90">
        <v>116.23</v>
      </c>
      <c r="O4250" s="90">
        <v>67</v>
      </c>
      <c r="U4250" s="55" t="s">
        <v>1688</v>
      </c>
      <c r="V4250" s="55" t="s">
        <v>1816</v>
      </c>
      <c r="Y4250" s="55" t="s">
        <v>3651</v>
      </c>
      <c r="Z4250" s="55" t="s">
        <v>1356</v>
      </c>
      <c r="AA4250" s="90" t="s">
        <v>1680</v>
      </c>
      <c r="AD4250" s="90">
        <v>1.29</v>
      </c>
      <c r="AH4250" s="55" t="s">
        <v>6378</v>
      </c>
      <c r="AI4250" s="168">
        <v>6.36</v>
      </c>
      <c r="AJ4250" s="90">
        <v>2.81</v>
      </c>
      <c r="AN4250" s="185" t="s">
        <v>3658</v>
      </c>
      <c r="AO4250" s="185" t="s">
        <v>5150</v>
      </c>
      <c r="AQ4250" s="55" t="s">
        <v>3136</v>
      </c>
      <c r="AR4250" s="55" t="s">
        <v>3469</v>
      </c>
      <c r="AS4250" s="55" t="s">
        <v>227</v>
      </c>
      <c r="AU4250" s="181" t="s">
        <v>7494</v>
      </c>
      <c r="AV4250" s="185" t="s">
        <v>176</v>
      </c>
      <c r="AX4250" s="185" t="s">
        <v>176</v>
      </c>
      <c r="BK4250" s="55" t="s">
        <v>5976</v>
      </c>
      <c r="BM4250" s="192" t="s">
        <v>160</v>
      </c>
      <c r="BN4250" s="55">
        <v>3</v>
      </c>
      <c r="BO4250" s="55">
        <v>3</v>
      </c>
      <c r="BP4250" s="55">
        <v>6</v>
      </c>
      <c r="BQ4250" s="55" t="s">
        <v>141</v>
      </c>
      <c r="BU4250" s="55" t="s">
        <v>3672</v>
      </c>
      <c r="BV4250" s="55" t="s">
        <v>3664</v>
      </c>
      <c r="DG4250" s="65">
        <v>152</v>
      </c>
      <c r="DH4250" s="65">
        <v>126</v>
      </c>
      <c r="DK4250" s="65" t="s">
        <v>3667</v>
      </c>
      <c r="GP4250" s="292" t="s">
        <v>7494</v>
      </c>
      <c r="HI4250" s="65">
        <v>3.69</v>
      </c>
      <c r="HJ4250" s="65">
        <v>4.0599999999999996</v>
      </c>
      <c r="HM4250" s="65" t="s">
        <v>3670</v>
      </c>
      <c r="HN4250" s="65">
        <v>6.27</v>
      </c>
      <c r="HO4250" s="65">
        <v>6.7</v>
      </c>
      <c r="HR4250" s="65" t="s">
        <v>3668</v>
      </c>
      <c r="HS4250" s="65">
        <v>5.56</v>
      </c>
      <c r="HT4250" s="65">
        <v>5.73</v>
      </c>
      <c r="HW4250" s="65" t="s">
        <v>3669</v>
      </c>
      <c r="JG4250" s="65">
        <v>47.3</v>
      </c>
      <c r="JH4250" s="65">
        <v>124</v>
      </c>
      <c r="JL4250" s="65">
        <v>45.8</v>
      </c>
      <c r="JM4250" s="65">
        <v>50.1</v>
      </c>
      <c r="JU4250" s="55" t="s">
        <v>577</v>
      </c>
      <c r="JV4250" s="55" t="s">
        <v>3671</v>
      </c>
    </row>
    <row r="4251" spans="1:282" x14ac:dyDescent="0.25">
      <c r="A4251" s="55">
        <v>4250</v>
      </c>
      <c r="B4251" s="12" t="s">
        <v>7067</v>
      </c>
      <c r="C4251" s="155">
        <v>187</v>
      </c>
      <c r="D4251" s="55" t="s">
        <v>3659</v>
      </c>
      <c r="E4251" s="90" t="s">
        <v>3334</v>
      </c>
      <c r="G4251" s="55" t="s">
        <v>3652</v>
      </c>
      <c r="H4251" s="55">
        <v>2011</v>
      </c>
      <c r="I4251" s="55">
        <v>2008</v>
      </c>
      <c r="J4251" s="55" t="s">
        <v>2635</v>
      </c>
      <c r="K4251" s="55" t="s">
        <v>3653</v>
      </c>
      <c r="L4251" s="55" t="s">
        <v>3377</v>
      </c>
      <c r="M4251" s="90">
        <v>40.22</v>
      </c>
      <c r="N4251" s="90">
        <v>116.23</v>
      </c>
      <c r="O4251" s="90">
        <v>67</v>
      </c>
      <c r="U4251" s="55" t="s">
        <v>1816</v>
      </c>
      <c r="V4251" s="55" t="s">
        <v>1816</v>
      </c>
      <c r="Y4251" s="55" t="s">
        <v>3651</v>
      </c>
      <c r="Z4251" s="55" t="s">
        <v>1356</v>
      </c>
      <c r="AA4251" s="90" t="s">
        <v>1680</v>
      </c>
      <c r="AD4251" s="90">
        <v>1.29</v>
      </c>
      <c r="AH4251" s="55" t="s">
        <v>6378</v>
      </c>
      <c r="AI4251" s="168">
        <v>6.36</v>
      </c>
      <c r="AJ4251" s="90">
        <v>2.81</v>
      </c>
      <c r="AN4251" s="185" t="s">
        <v>3654</v>
      </c>
      <c r="AO4251" s="185" t="s">
        <v>5150</v>
      </c>
      <c r="AQ4251" s="55" t="s">
        <v>1545</v>
      </c>
      <c r="AR4251" s="55" t="s">
        <v>3469</v>
      </c>
      <c r="AS4251" s="55" t="s">
        <v>227</v>
      </c>
      <c r="AU4251" s="181" t="s">
        <v>7494</v>
      </c>
      <c r="AV4251" s="185" t="s">
        <v>176</v>
      </c>
      <c r="AX4251" s="185" t="s">
        <v>176</v>
      </c>
      <c r="BK4251" s="55" t="s">
        <v>5976</v>
      </c>
      <c r="BM4251" s="192" t="s">
        <v>160</v>
      </c>
      <c r="BN4251" s="55">
        <v>3</v>
      </c>
      <c r="BO4251" s="55">
        <v>3</v>
      </c>
      <c r="BP4251" s="55">
        <v>6</v>
      </c>
      <c r="BQ4251" s="55" t="s">
        <v>141</v>
      </c>
      <c r="BU4251" s="55" t="s">
        <v>3672</v>
      </c>
      <c r="BV4251" s="55" t="s">
        <v>3664</v>
      </c>
      <c r="DG4251" s="65">
        <v>164</v>
      </c>
      <c r="DH4251" s="65">
        <v>117</v>
      </c>
      <c r="DK4251" s="65" t="s">
        <v>3667</v>
      </c>
      <c r="GP4251" s="292" t="s">
        <v>7494</v>
      </c>
      <c r="HI4251" s="65">
        <v>3.9</v>
      </c>
      <c r="HJ4251" s="65">
        <v>4.04</v>
      </c>
      <c r="HM4251" s="65" t="s">
        <v>3670</v>
      </c>
      <c r="HN4251" s="65">
        <v>6.16</v>
      </c>
      <c r="HO4251" s="65">
        <v>6.49</v>
      </c>
      <c r="HR4251" s="65" t="s">
        <v>3668</v>
      </c>
      <c r="HS4251" s="65">
        <v>5.46</v>
      </c>
      <c r="HT4251" s="65">
        <v>5.59</v>
      </c>
      <c r="HW4251" s="65" t="s">
        <v>3669</v>
      </c>
      <c r="JG4251" s="65">
        <v>47.6</v>
      </c>
      <c r="JH4251" s="65">
        <v>101</v>
      </c>
      <c r="JL4251" s="65">
        <v>41.4</v>
      </c>
      <c r="JM4251" s="65">
        <v>53.7</v>
      </c>
      <c r="JU4251" s="55" t="s">
        <v>577</v>
      </c>
      <c r="JV4251" s="55" t="s">
        <v>3671</v>
      </c>
    </row>
    <row r="4252" spans="1:282" x14ac:dyDescent="0.25">
      <c r="A4252" s="55">
        <v>4251</v>
      </c>
      <c r="B4252" s="12" t="s">
        <v>7067</v>
      </c>
      <c r="C4252" s="155">
        <v>187</v>
      </c>
      <c r="D4252" s="55" t="s">
        <v>3660</v>
      </c>
      <c r="E4252" s="90" t="s">
        <v>3334</v>
      </c>
      <c r="G4252" s="55" t="s">
        <v>3652</v>
      </c>
      <c r="H4252" s="55">
        <v>2011</v>
      </c>
      <c r="I4252" s="55">
        <v>2008</v>
      </c>
      <c r="J4252" s="55" t="s">
        <v>2635</v>
      </c>
      <c r="K4252" s="55" t="s">
        <v>3653</v>
      </c>
      <c r="L4252" s="55" t="s">
        <v>3377</v>
      </c>
      <c r="M4252" s="90">
        <v>40.22</v>
      </c>
      <c r="N4252" s="90">
        <v>116.23</v>
      </c>
      <c r="O4252" s="90">
        <v>67</v>
      </c>
      <c r="U4252" s="55" t="s">
        <v>1816</v>
      </c>
      <c r="V4252" s="55" t="s">
        <v>1816</v>
      </c>
      <c r="Y4252" s="55" t="s">
        <v>3651</v>
      </c>
      <c r="Z4252" s="55" t="s">
        <v>1356</v>
      </c>
      <c r="AA4252" s="90" t="s">
        <v>1680</v>
      </c>
      <c r="AD4252" s="90">
        <v>1.29</v>
      </c>
      <c r="AH4252" s="55" t="s">
        <v>6378</v>
      </c>
      <c r="AI4252" s="168">
        <v>6.36</v>
      </c>
      <c r="AJ4252" s="90">
        <v>2.81</v>
      </c>
      <c r="AN4252" s="185" t="s">
        <v>3655</v>
      </c>
      <c r="AO4252" s="185" t="s">
        <v>5150</v>
      </c>
      <c r="AQ4252" s="55" t="s">
        <v>1545</v>
      </c>
      <c r="AR4252" s="55" t="s">
        <v>3469</v>
      </c>
      <c r="AS4252" s="55" t="s">
        <v>227</v>
      </c>
      <c r="AU4252" s="181" t="s">
        <v>7494</v>
      </c>
      <c r="AV4252" s="185" t="s">
        <v>176</v>
      </c>
      <c r="AX4252" s="185" t="s">
        <v>176</v>
      </c>
      <c r="BK4252" s="55" t="s">
        <v>5976</v>
      </c>
      <c r="BM4252" s="192" t="s">
        <v>160</v>
      </c>
      <c r="BN4252" s="55">
        <v>3</v>
      </c>
      <c r="BO4252" s="55">
        <v>3</v>
      </c>
      <c r="BP4252" s="55">
        <v>6</v>
      </c>
      <c r="BQ4252" s="55" t="s">
        <v>141</v>
      </c>
      <c r="BU4252" s="55" t="s">
        <v>3672</v>
      </c>
      <c r="BV4252" s="55" t="s">
        <v>3665</v>
      </c>
      <c r="DG4252" s="65">
        <v>164</v>
      </c>
      <c r="DH4252" s="65">
        <v>126</v>
      </c>
      <c r="DK4252" s="65" t="s">
        <v>3667</v>
      </c>
      <c r="GP4252" s="292" t="s">
        <v>7494</v>
      </c>
      <c r="HI4252" s="65">
        <v>3.9</v>
      </c>
      <c r="HJ4252" s="65">
        <v>4.18</v>
      </c>
      <c r="HM4252" s="65" t="s">
        <v>3670</v>
      </c>
      <c r="HN4252" s="65">
        <v>6.16</v>
      </c>
      <c r="HO4252" s="65">
        <v>6.75</v>
      </c>
      <c r="HR4252" s="65" t="s">
        <v>3668</v>
      </c>
      <c r="HS4252" s="65">
        <v>5.46</v>
      </c>
      <c r="HT4252" s="65">
        <v>5.91</v>
      </c>
      <c r="HW4252" s="65" t="s">
        <v>3669</v>
      </c>
      <c r="JG4252" s="65">
        <v>47.6</v>
      </c>
      <c r="JH4252" s="65">
        <v>147</v>
      </c>
      <c r="JL4252" s="65">
        <v>41.4</v>
      </c>
      <c r="JM4252" s="65">
        <v>56.8</v>
      </c>
      <c r="JU4252" s="55" t="s">
        <v>577</v>
      </c>
      <c r="JV4252" s="55" t="s">
        <v>3671</v>
      </c>
    </row>
    <row r="4253" spans="1:282" x14ac:dyDescent="0.25">
      <c r="A4253" s="55">
        <v>4252</v>
      </c>
      <c r="B4253" s="12" t="s">
        <v>7067</v>
      </c>
      <c r="C4253" s="155">
        <v>187</v>
      </c>
      <c r="D4253" s="55" t="s">
        <v>3661</v>
      </c>
      <c r="E4253" s="90" t="s">
        <v>3334</v>
      </c>
      <c r="G4253" s="55" t="s">
        <v>3652</v>
      </c>
      <c r="H4253" s="55">
        <v>2011</v>
      </c>
      <c r="I4253" s="55">
        <v>2008</v>
      </c>
      <c r="J4253" s="55" t="s">
        <v>2635</v>
      </c>
      <c r="K4253" s="55" t="s">
        <v>3653</v>
      </c>
      <c r="L4253" s="55" t="s">
        <v>3377</v>
      </c>
      <c r="M4253" s="90">
        <v>40.22</v>
      </c>
      <c r="N4253" s="90">
        <v>116.23</v>
      </c>
      <c r="O4253" s="90">
        <v>67</v>
      </c>
      <c r="U4253" s="55" t="s">
        <v>1816</v>
      </c>
      <c r="V4253" s="55" t="s">
        <v>1816</v>
      </c>
      <c r="Y4253" s="55" t="s">
        <v>3651</v>
      </c>
      <c r="Z4253" s="55" t="s">
        <v>1356</v>
      </c>
      <c r="AA4253" s="90" t="s">
        <v>1680</v>
      </c>
      <c r="AD4253" s="90">
        <v>1.29</v>
      </c>
      <c r="AH4253" s="55" t="s">
        <v>6378</v>
      </c>
      <c r="AI4253" s="168">
        <v>6.36</v>
      </c>
      <c r="AJ4253" s="90">
        <v>2.81</v>
      </c>
      <c r="AN4253" s="185" t="s">
        <v>3656</v>
      </c>
      <c r="AO4253" s="185" t="s">
        <v>5150</v>
      </c>
      <c r="AQ4253" s="55" t="s">
        <v>553</v>
      </c>
      <c r="AR4253" s="55" t="s">
        <v>3469</v>
      </c>
      <c r="AS4253" s="55" t="s">
        <v>227</v>
      </c>
      <c r="AU4253" s="181" t="s">
        <v>7494</v>
      </c>
      <c r="AV4253" s="185" t="s">
        <v>176</v>
      </c>
      <c r="AX4253" s="185" t="s">
        <v>176</v>
      </c>
      <c r="BK4253" s="55" t="s">
        <v>5976</v>
      </c>
      <c r="BM4253" s="192" t="s">
        <v>160</v>
      </c>
      <c r="BN4253" s="55">
        <v>3</v>
      </c>
      <c r="BO4253" s="55">
        <v>3</v>
      </c>
      <c r="BP4253" s="55">
        <v>6</v>
      </c>
      <c r="BQ4253" s="55" t="s">
        <v>141</v>
      </c>
      <c r="BU4253" s="55" t="s">
        <v>3672</v>
      </c>
      <c r="BV4253" s="55" t="s">
        <v>3666</v>
      </c>
      <c r="DG4253" s="65">
        <v>164</v>
      </c>
      <c r="DH4253" s="65">
        <v>138</v>
      </c>
      <c r="DK4253" s="65" t="s">
        <v>3667</v>
      </c>
      <c r="GP4253" s="292" t="s">
        <v>7494</v>
      </c>
      <c r="HI4253" s="65">
        <v>3.9</v>
      </c>
      <c r="HJ4253" s="65">
        <v>3.84</v>
      </c>
      <c r="HM4253" s="65" t="s">
        <v>3670</v>
      </c>
      <c r="HN4253" s="65">
        <v>6.16</v>
      </c>
      <c r="HO4253" s="65">
        <v>6.41</v>
      </c>
      <c r="HR4253" s="65" t="s">
        <v>3668</v>
      </c>
      <c r="HS4253" s="65">
        <v>5.46</v>
      </c>
      <c r="HT4253" s="65">
        <v>5.81</v>
      </c>
      <c r="HW4253" s="65" t="s">
        <v>3669</v>
      </c>
      <c r="JG4253" s="65">
        <v>47.6</v>
      </c>
      <c r="JH4253" s="65">
        <v>150</v>
      </c>
      <c r="JL4253" s="65">
        <v>41.4</v>
      </c>
      <c r="JM4253" s="65">
        <v>43.5</v>
      </c>
      <c r="JU4253" s="55" t="s">
        <v>577</v>
      </c>
      <c r="JV4253" s="55" t="s">
        <v>3671</v>
      </c>
    </row>
    <row r="4254" spans="1:282" x14ac:dyDescent="0.25">
      <c r="A4254" s="55">
        <v>4253</v>
      </c>
      <c r="B4254" s="12" t="s">
        <v>7067</v>
      </c>
      <c r="C4254" s="155">
        <v>187</v>
      </c>
      <c r="D4254" s="55" t="s">
        <v>3662</v>
      </c>
      <c r="E4254" s="90" t="s">
        <v>3334</v>
      </c>
      <c r="G4254" s="55" t="s">
        <v>3652</v>
      </c>
      <c r="H4254" s="55">
        <v>2011</v>
      </c>
      <c r="I4254" s="55">
        <v>2008</v>
      </c>
      <c r="J4254" s="55" t="s">
        <v>2635</v>
      </c>
      <c r="K4254" s="55" t="s">
        <v>3653</v>
      </c>
      <c r="L4254" s="55" t="s">
        <v>3377</v>
      </c>
      <c r="M4254" s="90">
        <v>40.22</v>
      </c>
      <c r="N4254" s="90">
        <v>116.23</v>
      </c>
      <c r="O4254" s="90">
        <v>67</v>
      </c>
      <c r="U4254" s="55" t="s">
        <v>1816</v>
      </c>
      <c r="V4254" s="55" t="s">
        <v>1816</v>
      </c>
      <c r="Y4254" s="55" t="s">
        <v>3651</v>
      </c>
      <c r="Z4254" s="55" t="s">
        <v>1356</v>
      </c>
      <c r="AA4254" s="90" t="s">
        <v>1680</v>
      </c>
      <c r="AD4254" s="90">
        <v>1.29</v>
      </c>
      <c r="AH4254" s="55" t="s">
        <v>6378</v>
      </c>
      <c r="AI4254" s="168">
        <v>6.36</v>
      </c>
      <c r="AJ4254" s="90">
        <v>2.81</v>
      </c>
      <c r="AN4254" s="185" t="s">
        <v>3657</v>
      </c>
      <c r="AO4254" s="185" t="s">
        <v>5150</v>
      </c>
      <c r="AQ4254" s="55" t="s">
        <v>553</v>
      </c>
      <c r="AR4254" s="55" t="s">
        <v>3469</v>
      </c>
      <c r="AS4254" s="55" t="s">
        <v>227</v>
      </c>
      <c r="AU4254" s="181" t="s">
        <v>7494</v>
      </c>
      <c r="AV4254" s="185" t="s">
        <v>176</v>
      </c>
      <c r="AX4254" s="185" t="s">
        <v>176</v>
      </c>
      <c r="BK4254" s="55" t="s">
        <v>5976</v>
      </c>
      <c r="BM4254" s="192" t="s">
        <v>160</v>
      </c>
      <c r="BN4254" s="55">
        <v>3</v>
      </c>
      <c r="BO4254" s="55">
        <v>3</v>
      </c>
      <c r="BP4254" s="55">
        <v>6</v>
      </c>
      <c r="BQ4254" s="55" t="s">
        <v>141</v>
      </c>
      <c r="BU4254" s="55" t="s">
        <v>3672</v>
      </c>
      <c r="BV4254" s="55" t="s">
        <v>3665</v>
      </c>
      <c r="DG4254" s="65">
        <v>164</v>
      </c>
      <c r="DH4254" s="65">
        <v>138</v>
      </c>
      <c r="DK4254" s="65" t="s">
        <v>3667</v>
      </c>
      <c r="GP4254" s="292" t="s">
        <v>7494</v>
      </c>
      <c r="HI4254" s="65">
        <v>3.9</v>
      </c>
      <c r="HJ4254" s="65">
        <v>4.01</v>
      </c>
      <c r="HM4254" s="65" t="s">
        <v>3670</v>
      </c>
      <c r="HN4254" s="65">
        <v>6.16</v>
      </c>
      <c r="HO4254" s="65">
        <v>6.29</v>
      </c>
      <c r="HR4254" s="65" t="s">
        <v>3668</v>
      </c>
      <c r="HS4254" s="65">
        <v>5.46</v>
      </c>
      <c r="HT4254" s="65">
        <v>5.66</v>
      </c>
      <c r="HW4254" s="65" t="s">
        <v>3669</v>
      </c>
      <c r="JG4254" s="65">
        <v>47.6</v>
      </c>
      <c r="JH4254" s="65">
        <v>135</v>
      </c>
      <c r="JL4254" s="65">
        <v>41.4</v>
      </c>
      <c r="JM4254" s="65">
        <v>52</v>
      </c>
      <c r="JU4254" s="55" t="s">
        <v>577</v>
      </c>
      <c r="JV4254" s="55" t="s">
        <v>3671</v>
      </c>
    </row>
    <row r="4255" spans="1:282" x14ac:dyDescent="0.25">
      <c r="A4255" s="55">
        <v>4254</v>
      </c>
      <c r="B4255" s="12" t="s">
        <v>7067</v>
      </c>
      <c r="C4255" s="155">
        <v>187</v>
      </c>
      <c r="D4255" s="55" t="s">
        <v>3663</v>
      </c>
      <c r="E4255" s="90" t="s">
        <v>3334</v>
      </c>
      <c r="G4255" s="55" t="s">
        <v>3652</v>
      </c>
      <c r="H4255" s="55">
        <v>2011</v>
      </c>
      <c r="I4255" s="55">
        <v>2008</v>
      </c>
      <c r="J4255" s="55" t="s">
        <v>2635</v>
      </c>
      <c r="K4255" s="55" t="s">
        <v>3653</v>
      </c>
      <c r="L4255" s="55" t="s">
        <v>3377</v>
      </c>
      <c r="M4255" s="90">
        <v>40.22</v>
      </c>
      <c r="N4255" s="90">
        <v>116.23</v>
      </c>
      <c r="O4255" s="90">
        <v>67</v>
      </c>
      <c r="U4255" s="55" t="s">
        <v>1816</v>
      </c>
      <c r="V4255" s="55" t="s">
        <v>1816</v>
      </c>
      <c r="Y4255" s="55" t="s">
        <v>3651</v>
      </c>
      <c r="Z4255" s="55" t="s">
        <v>1356</v>
      </c>
      <c r="AA4255" s="90" t="s">
        <v>1680</v>
      </c>
      <c r="AD4255" s="90">
        <v>1.29</v>
      </c>
      <c r="AH4255" s="55" t="s">
        <v>6378</v>
      </c>
      <c r="AI4255" s="168">
        <v>6.36</v>
      </c>
      <c r="AJ4255" s="90">
        <v>2.81</v>
      </c>
      <c r="AN4255" s="185" t="s">
        <v>3658</v>
      </c>
      <c r="AO4255" s="185" t="s">
        <v>5150</v>
      </c>
      <c r="AQ4255" s="55" t="s">
        <v>3136</v>
      </c>
      <c r="AR4255" s="55" t="s">
        <v>3469</v>
      </c>
      <c r="AS4255" s="55" t="s">
        <v>227</v>
      </c>
      <c r="AU4255" s="181" t="s">
        <v>7494</v>
      </c>
      <c r="AV4255" s="185" t="s">
        <v>176</v>
      </c>
      <c r="AX4255" s="185" t="s">
        <v>176</v>
      </c>
      <c r="BK4255" s="55" t="s">
        <v>5976</v>
      </c>
      <c r="BM4255" s="192" t="s">
        <v>160</v>
      </c>
      <c r="BN4255" s="55">
        <v>3</v>
      </c>
      <c r="BO4255" s="55">
        <v>3</v>
      </c>
      <c r="BP4255" s="55">
        <v>6</v>
      </c>
      <c r="BQ4255" s="55" t="s">
        <v>141</v>
      </c>
      <c r="BU4255" s="55" t="s">
        <v>3672</v>
      </c>
      <c r="BV4255" s="55" t="s">
        <v>3664</v>
      </c>
      <c r="DG4255" s="65">
        <v>164</v>
      </c>
      <c r="DH4255" s="65">
        <v>129</v>
      </c>
      <c r="DK4255" s="65" t="s">
        <v>3667</v>
      </c>
      <c r="GP4255" s="292" t="s">
        <v>7494</v>
      </c>
      <c r="HI4255" s="65">
        <v>3.9</v>
      </c>
      <c r="HJ4255" s="65">
        <v>3.73</v>
      </c>
      <c r="HM4255" s="65" t="s">
        <v>3670</v>
      </c>
      <c r="HN4255" s="65">
        <v>6.16</v>
      </c>
      <c r="HO4255" s="65">
        <v>6.9</v>
      </c>
      <c r="HR4255" s="65" t="s">
        <v>3668</v>
      </c>
      <c r="HS4255" s="65">
        <v>5.46</v>
      </c>
      <c r="HT4255" s="65">
        <v>5.83</v>
      </c>
      <c r="HW4255" s="65" t="s">
        <v>3669</v>
      </c>
      <c r="JG4255" s="65">
        <v>47.6</v>
      </c>
      <c r="JH4255" s="65">
        <v>149</v>
      </c>
      <c r="JL4255" s="65">
        <v>41.4</v>
      </c>
      <c r="JM4255" s="65">
        <v>56.1</v>
      </c>
      <c r="JU4255" s="55" t="s">
        <v>577</v>
      </c>
      <c r="JV4255" s="55" t="s">
        <v>3671</v>
      </c>
    </row>
    <row r="4256" spans="1:282" x14ac:dyDescent="0.25">
      <c r="A4256" s="55">
        <v>4255</v>
      </c>
      <c r="B4256" s="12" t="s">
        <v>7067</v>
      </c>
      <c r="C4256" s="155">
        <v>187</v>
      </c>
      <c r="D4256" s="55" t="s">
        <v>3659</v>
      </c>
      <c r="E4256" s="90" t="s">
        <v>3334</v>
      </c>
      <c r="G4256" s="55" t="s">
        <v>3652</v>
      </c>
      <c r="H4256" s="55">
        <v>2011</v>
      </c>
      <c r="I4256" s="55">
        <v>2007</v>
      </c>
      <c r="J4256" s="55" t="s">
        <v>2635</v>
      </c>
      <c r="K4256" s="55" t="s">
        <v>3653</v>
      </c>
      <c r="L4256" s="55" t="s">
        <v>3377</v>
      </c>
      <c r="M4256" s="90">
        <v>40.22</v>
      </c>
      <c r="N4256" s="90">
        <v>116.23</v>
      </c>
      <c r="O4256" s="90">
        <v>67</v>
      </c>
      <c r="U4256" s="55" t="s">
        <v>1688</v>
      </c>
      <c r="V4256" s="55" t="s">
        <v>1816</v>
      </c>
      <c r="Y4256" s="55" t="s">
        <v>3651</v>
      </c>
      <c r="Z4256" s="55" t="s">
        <v>1356</v>
      </c>
      <c r="AA4256" s="90" t="s">
        <v>1680</v>
      </c>
      <c r="AD4256" s="90">
        <v>1.29</v>
      </c>
      <c r="AH4256" s="55" t="s">
        <v>6378</v>
      </c>
      <c r="AI4256" s="168">
        <v>6.36</v>
      </c>
      <c r="AJ4256" s="90">
        <v>2.81</v>
      </c>
      <c r="AN4256" s="185" t="s">
        <v>3654</v>
      </c>
      <c r="AO4256" s="185" t="s">
        <v>5150</v>
      </c>
      <c r="AQ4256" s="55" t="s">
        <v>1545</v>
      </c>
      <c r="AR4256" s="55" t="s">
        <v>3469</v>
      </c>
      <c r="AS4256" s="55" t="s">
        <v>227</v>
      </c>
      <c r="AU4256" s="181" t="s">
        <v>7494</v>
      </c>
      <c r="AV4256" s="185" t="s">
        <v>176</v>
      </c>
      <c r="AX4256" s="185" t="s">
        <v>176</v>
      </c>
      <c r="BK4256" s="55" t="s">
        <v>5976</v>
      </c>
      <c r="BM4256" s="192" t="s">
        <v>160</v>
      </c>
      <c r="BN4256" s="55">
        <v>3</v>
      </c>
      <c r="BO4256" s="55">
        <v>3</v>
      </c>
      <c r="BP4256" s="55">
        <v>6</v>
      </c>
      <c r="BQ4256" s="55" t="s">
        <v>141</v>
      </c>
      <c r="BU4256" s="55" t="s">
        <v>3672</v>
      </c>
      <c r="BV4256" s="55" t="s">
        <v>3664</v>
      </c>
      <c r="CM4256" s="65">
        <v>1.65</v>
      </c>
      <c r="CN4256" s="65">
        <v>1.45</v>
      </c>
      <c r="DA4256" s="65" t="s">
        <v>4458</v>
      </c>
      <c r="DB4256" s="65">
        <v>155</v>
      </c>
      <c r="DC4256" s="65">
        <v>148</v>
      </c>
      <c r="DF4256" s="65" t="s">
        <v>3419</v>
      </c>
      <c r="DG4256" s="65">
        <v>172</v>
      </c>
      <c r="DH4256" s="65">
        <v>149</v>
      </c>
      <c r="DK4256" s="65" t="s">
        <v>3667</v>
      </c>
      <c r="GP4256" s="292" t="s">
        <v>7494</v>
      </c>
      <c r="HI4256" s="65">
        <v>3.83</v>
      </c>
      <c r="HJ4256" s="65">
        <v>4.0199999999999996</v>
      </c>
      <c r="HM4256" s="65" t="s">
        <v>3670</v>
      </c>
      <c r="HN4256" s="65">
        <v>6.42</v>
      </c>
      <c r="HO4256" s="65">
        <v>6.74</v>
      </c>
      <c r="HR4256" s="65" t="s">
        <v>3668</v>
      </c>
      <c r="HS4256" s="65">
        <v>5.69</v>
      </c>
      <c r="HT4256" s="65">
        <v>5.78</v>
      </c>
      <c r="HW4256" s="65" t="s">
        <v>3669</v>
      </c>
      <c r="JG4256" s="65">
        <v>83.7</v>
      </c>
      <c r="JH4256" s="65">
        <v>135</v>
      </c>
      <c r="JL4256" s="65">
        <v>49.5</v>
      </c>
      <c r="JM4256" s="65">
        <v>63.6</v>
      </c>
      <c r="JU4256" s="55" t="s">
        <v>495</v>
      </c>
      <c r="JV4256" s="55" t="s">
        <v>3671</v>
      </c>
    </row>
    <row r="4257" spans="1:282" x14ac:dyDescent="0.25">
      <c r="A4257" s="55">
        <v>4256</v>
      </c>
      <c r="B4257" s="12" t="s">
        <v>7067</v>
      </c>
      <c r="C4257" s="155">
        <v>187</v>
      </c>
      <c r="D4257" s="55" t="s">
        <v>3660</v>
      </c>
      <c r="E4257" s="90" t="s">
        <v>3334</v>
      </c>
      <c r="G4257" s="55" t="s">
        <v>3652</v>
      </c>
      <c r="H4257" s="55">
        <v>2011</v>
      </c>
      <c r="I4257" s="55">
        <v>2007</v>
      </c>
      <c r="J4257" s="55" t="s">
        <v>2635</v>
      </c>
      <c r="K4257" s="55" t="s">
        <v>3653</v>
      </c>
      <c r="L4257" s="55" t="s">
        <v>3377</v>
      </c>
      <c r="M4257" s="90">
        <v>40.22</v>
      </c>
      <c r="N4257" s="90">
        <v>116.23</v>
      </c>
      <c r="O4257" s="90">
        <v>67</v>
      </c>
      <c r="U4257" s="55" t="s">
        <v>1688</v>
      </c>
      <c r="V4257" s="55" t="s">
        <v>1816</v>
      </c>
      <c r="Y4257" s="55" t="s">
        <v>3651</v>
      </c>
      <c r="Z4257" s="55" t="s">
        <v>1356</v>
      </c>
      <c r="AA4257" s="90" t="s">
        <v>1680</v>
      </c>
      <c r="AD4257" s="90">
        <v>1.29</v>
      </c>
      <c r="AH4257" s="55" t="s">
        <v>6378</v>
      </c>
      <c r="AI4257" s="168">
        <v>6.36</v>
      </c>
      <c r="AJ4257" s="90">
        <v>2.81</v>
      </c>
      <c r="AN4257" s="185" t="s">
        <v>3655</v>
      </c>
      <c r="AO4257" s="185" t="s">
        <v>5150</v>
      </c>
      <c r="AQ4257" s="55" t="s">
        <v>1545</v>
      </c>
      <c r="AR4257" s="55" t="s">
        <v>3469</v>
      </c>
      <c r="AS4257" s="55" t="s">
        <v>227</v>
      </c>
      <c r="AU4257" s="181" t="s">
        <v>7494</v>
      </c>
      <c r="AV4257" s="185" t="s">
        <v>176</v>
      </c>
      <c r="AX4257" s="185" t="s">
        <v>176</v>
      </c>
      <c r="BK4257" s="55" t="s">
        <v>5976</v>
      </c>
      <c r="BM4257" s="192" t="s">
        <v>160</v>
      </c>
      <c r="BN4257" s="55">
        <v>3</v>
      </c>
      <c r="BO4257" s="55">
        <v>3</v>
      </c>
      <c r="BP4257" s="55">
        <v>6</v>
      </c>
      <c r="BQ4257" s="55" t="s">
        <v>141</v>
      </c>
      <c r="BU4257" s="55" t="s">
        <v>3672</v>
      </c>
      <c r="BV4257" s="55" t="s">
        <v>3665</v>
      </c>
      <c r="CM4257" s="65">
        <v>1.65</v>
      </c>
      <c r="CN4257" s="65">
        <v>1.48</v>
      </c>
      <c r="DA4257" s="65" t="s">
        <v>4458</v>
      </c>
      <c r="DB4257" s="65">
        <v>155</v>
      </c>
      <c r="DC4257" s="65">
        <v>190</v>
      </c>
      <c r="DF4257" s="65" t="s">
        <v>3419</v>
      </c>
      <c r="DG4257" s="65">
        <v>172</v>
      </c>
      <c r="DH4257" s="65">
        <v>126</v>
      </c>
      <c r="DK4257" s="65" t="s">
        <v>3667</v>
      </c>
      <c r="GP4257" s="292" t="s">
        <v>7494</v>
      </c>
      <c r="HI4257" s="65">
        <v>3.83</v>
      </c>
      <c r="HJ4257" s="65">
        <v>4.16</v>
      </c>
      <c r="HM4257" s="65" t="s">
        <v>3670</v>
      </c>
      <c r="HN4257" s="65">
        <v>6.42</v>
      </c>
      <c r="HO4257" s="65">
        <v>6.98</v>
      </c>
      <c r="HR4257" s="65" t="s">
        <v>3668</v>
      </c>
      <c r="HS4257" s="65">
        <v>5.69</v>
      </c>
      <c r="HT4257" s="65">
        <v>6.1</v>
      </c>
      <c r="HW4257" s="65" t="s">
        <v>3669</v>
      </c>
      <c r="JG4257" s="65">
        <v>83.7</v>
      </c>
      <c r="JH4257" s="65">
        <v>215</v>
      </c>
      <c r="JL4257" s="65">
        <v>49.5</v>
      </c>
      <c r="JM4257" s="65">
        <v>68.400000000000006</v>
      </c>
      <c r="JU4257" s="55" t="s">
        <v>495</v>
      </c>
      <c r="JV4257" s="55" t="s">
        <v>3671</v>
      </c>
    </row>
    <row r="4258" spans="1:282" x14ac:dyDescent="0.25">
      <c r="A4258" s="55">
        <v>4257</v>
      </c>
      <c r="B4258" s="12" t="s">
        <v>7067</v>
      </c>
      <c r="C4258" s="155">
        <v>187</v>
      </c>
      <c r="D4258" s="55" t="s">
        <v>3661</v>
      </c>
      <c r="E4258" s="90" t="s">
        <v>3334</v>
      </c>
      <c r="G4258" s="55" t="s">
        <v>3652</v>
      </c>
      <c r="H4258" s="55">
        <v>2011</v>
      </c>
      <c r="I4258" s="55">
        <v>2007</v>
      </c>
      <c r="J4258" s="55" t="s">
        <v>2635</v>
      </c>
      <c r="K4258" s="55" t="s">
        <v>3653</v>
      </c>
      <c r="L4258" s="55" t="s">
        <v>3377</v>
      </c>
      <c r="M4258" s="90">
        <v>40.22</v>
      </c>
      <c r="N4258" s="90">
        <v>116.23</v>
      </c>
      <c r="O4258" s="90">
        <v>67</v>
      </c>
      <c r="U4258" s="55" t="s">
        <v>1688</v>
      </c>
      <c r="V4258" s="55" t="s">
        <v>1816</v>
      </c>
      <c r="Y4258" s="55" t="s">
        <v>3651</v>
      </c>
      <c r="Z4258" s="55" t="s">
        <v>1356</v>
      </c>
      <c r="AA4258" s="90" t="s">
        <v>1680</v>
      </c>
      <c r="AD4258" s="90">
        <v>1.29</v>
      </c>
      <c r="AH4258" s="55" t="s">
        <v>6378</v>
      </c>
      <c r="AI4258" s="168">
        <v>6.36</v>
      </c>
      <c r="AJ4258" s="90">
        <v>2.81</v>
      </c>
      <c r="AN4258" s="185" t="s">
        <v>3656</v>
      </c>
      <c r="AO4258" s="185" t="s">
        <v>5150</v>
      </c>
      <c r="AQ4258" s="55" t="s">
        <v>553</v>
      </c>
      <c r="AR4258" s="55" t="s">
        <v>3469</v>
      </c>
      <c r="AS4258" s="55" t="s">
        <v>227</v>
      </c>
      <c r="AU4258" s="181" t="s">
        <v>7494</v>
      </c>
      <c r="AV4258" s="185" t="s">
        <v>176</v>
      </c>
      <c r="AX4258" s="185" t="s">
        <v>176</v>
      </c>
      <c r="BK4258" s="55" t="s">
        <v>5976</v>
      </c>
      <c r="BM4258" s="192" t="s">
        <v>160</v>
      </c>
      <c r="BN4258" s="55">
        <v>3</v>
      </c>
      <c r="BO4258" s="55">
        <v>3</v>
      </c>
      <c r="BP4258" s="55">
        <v>6</v>
      </c>
      <c r="BQ4258" s="55" t="s">
        <v>141</v>
      </c>
      <c r="BU4258" s="55" t="s">
        <v>3672</v>
      </c>
      <c r="BV4258" s="55" t="s">
        <v>3666</v>
      </c>
      <c r="CM4258" s="65">
        <v>1.65</v>
      </c>
      <c r="CN4258" s="65">
        <v>1.67</v>
      </c>
      <c r="DA4258" s="65" t="s">
        <v>4458</v>
      </c>
      <c r="DB4258" s="65">
        <v>155</v>
      </c>
      <c r="DC4258" s="65">
        <v>172</v>
      </c>
      <c r="DF4258" s="65" t="s">
        <v>3419</v>
      </c>
      <c r="DG4258" s="65">
        <v>172</v>
      </c>
      <c r="DH4258" s="65">
        <v>147</v>
      </c>
      <c r="DK4258" s="65" t="s">
        <v>3667</v>
      </c>
      <c r="GP4258" s="292" t="s">
        <v>7494</v>
      </c>
      <c r="HI4258" s="65">
        <v>3.83</v>
      </c>
      <c r="HJ4258" s="65">
        <v>3.85</v>
      </c>
      <c r="HM4258" s="65" t="s">
        <v>3670</v>
      </c>
      <c r="HN4258" s="65">
        <v>6.42</v>
      </c>
      <c r="HO4258" s="65">
        <v>6.76</v>
      </c>
      <c r="HR4258" s="65" t="s">
        <v>3668</v>
      </c>
      <c r="HS4258" s="65">
        <v>5.69</v>
      </c>
      <c r="HT4258" s="65">
        <v>5.8</v>
      </c>
      <c r="HW4258" s="65" t="s">
        <v>3669</v>
      </c>
      <c r="JG4258" s="65">
        <v>83.7</v>
      </c>
      <c r="JH4258" s="65">
        <v>90.3</v>
      </c>
      <c r="JL4258" s="65">
        <v>49.5</v>
      </c>
      <c r="JM4258" s="65">
        <v>59.3</v>
      </c>
      <c r="JU4258" s="55" t="s">
        <v>495</v>
      </c>
      <c r="JV4258" s="55" t="s">
        <v>3671</v>
      </c>
    </row>
    <row r="4259" spans="1:282" x14ac:dyDescent="0.25">
      <c r="A4259" s="55">
        <v>4258</v>
      </c>
      <c r="B4259" s="12" t="s">
        <v>7067</v>
      </c>
      <c r="C4259" s="155">
        <v>187</v>
      </c>
      <c r="D4259" s="55" t="s">
        <v>3662</v>
      </c>
      <c r="E4259" s="90" t="s">
        <v>3334</v>
      </c>
      <c r="G4259" s="55" t="s">
        <v>3652</v>
      </c>
      <c r="H4259" s="55">
        <v>2011</v>
      </c>
      <c r="I4259" s="55">
        <v>2007</v>
      </c>
      <c r="J4259" s="55" t="s">
        <v>2635</v>
      </c>
      <c r="K4259" s="55" t="s">
        <v>3653</v>
      </c>
      <c r="L4259" s="55" t="s">
        <v>3377</v>
      </c>
      <c r="M4259" s="90">
        <v>40.22</v>
      </c>
      <c r="N4259" s="90">
        <v>116.23</v>
      </c>
      <c r="O4259" s="90">
        <v>67</v>
      </c>
      <c r="U4259" s="55" t="s">
        <v>1688</v>
      </c>
      <c r="V4259" s="55" t="s">
        <v>1816</v>
      </c>
      <c r="Y4259" s="55" t="s">
        <v>3651</v>
      </c>
      <c r="Z4259" s="55" t="s">
        <v>1356</v>
      </c>
      <c r="AA4259" s="90" t="s">
        <v>1680</v>
      </c>
      <c r="AD4259" s="90">
        <v>1.29</v>
      </c>
      <c r="AH4259" s="55" t="s">
        <v>6378</v>
      </c>
      <c r="AI4259" s="168">
        <v>6.36</v>
      </c>
      <c r="AJ4259" s="90">
        <v>2.81</v>
      </c>
      <c r="AN4259" s="185" t="s">
        <v>3657</v>
      </c>
      <c r="AO4259" s="185" t="s">
        <v>5150</v>
      </c>
      <c r="AQ4259" s="55" t="s">
        <v>553</v>
      </c>
      <c r="AR4259" s="55" t="s">
        <v>3469</v>
      </c>
      <c r="AS4259" s="55" t="s">
        <v>227</v>
      </c>
      <c r="AU4259" s="181" t="s">
        <v>7494</v>
      </c>
      <c r="AV4259" s="185" t="s">
        <v>176</v>
      </c>
      <c r="AX4259" s="185" t="s">
        <v>176</v>
      </c>
      <c r="BK4259" s="55" t="s">
        <v>5976</v>
      </c>
      <c r="BM4259" s="192" t="s">
        <v>160</v>
      </c>
      <c r="BN4259" s="55">
        <v>3</v>
      </c>
      <c r="BO4259" s="55">
        <v>3</v>
      </c>
      <c r="BP4259" s="55">
        <v>6</v>
      </c>
      <c r="BQ4259" s="55" t="s">
        <v>141</v>
      </c>
      <c r="BU4259" s="55" t="s">
        <v>3672</v>
      </c>
      <c r="BV4259" s="55" t="s">
        <v>3665</v>
      </c>
      <c r="CM4259" s="65">
        <v>1.65</v>
      </c>
      <c r="CN4259" s="65">
        <v>1.81</v>
      </c>
      <c r="DA4259" s="65" t="s">
        <v>4458</v>
      </c>
      <c r="DB4259" s="65">
        <v>155</v>
      </c>
      <c r="DC4259" s="65">
        <v>190</v>
      </c>
      <c r="DF4259" s="65" t="s">
        <v>3419</v>
      </c>
      <c r="DG4259" s="65">
        <v>172</v>
      </c>
      <c r="DH4259" s="65">
        <v>151</v>
      </c>
      <c r="DK4259" s="65" t="s">
        <v>3667</v>
      </c>
      <c r="GP4259" s="292" t="s">
        <v>7494</v>
      </c>
      <c r="HI4259" s="65">
        <v>3.83</v>
      </c>
      <c r="HJ4259" s="65">
        <v>3.98</v>
      </c>
      <c r="HM4259" s="65" t="s">
        <v>3670</v>
      </c>
      <c r="HN4259" s="65">
        <v>6.42</v>
      </c>
      <c r="HO4259" s="65">
        <v>6.82</v>
      </c>
      <c r="HR4259" s="65" t="s">
        <v>3668</v>
      </c>
      <c r="HS4259" s="65">
        <v>5.69</v>
      </c>
      <c r="HT4259" s="65">
        <v>5.96</v>
      </c>
      <c r="HW4259" s="65" t="s">
        <v>3669</v>
      </c>
      <c r="JG4259" s="65">
        <v>83.7</v>
      </c>
      <c r="JH4259" s="65">
        <v>154</v>
      </c>
      <c r="JL4259" s="65">
        <v>49.5</v>
      </c>
      <c r="JM4259" s="65">
        <v>62.6</v>
      </c>
      <c r="JU4259" s="55" t="s">
        <v>495</v>
      </c>
      <c r="JV4259" s="55" t="s">
        <v>3671</v>
      </c>
    </row>
    <row r="4260" spans="1:282" x14ac:dyDescent="0.25">
      <c r="A4260" s="55">
        <v>4259</v>
      </c>
      <c r="B4260" s="12" t="s">
        <v>7067</v>
      </c>
      <c r="C4260" s="155">
        <v>187</v>
      </c>
      <c r="D4260" s="55" t="s">
        <v>3663</v>
      </c>
      <c r="E4260" s="90" t="s">
        <v>3334</v>
      </c>
      <c r="G4260" s="55" t="s">
        <v>3652</v>
      </c>
      <c r="H4260" s="55">
        <v>2011</v>
      </c>
      <c r="I4260" s="55">
        <v>2007</v>
      </c>
      <c r="J4260" s="55" t="s">
        <v>2635</v>
      </c>
      <c r="K4260" s="55" t="s">
        <v>3653</v>
      </c>
      <c r="L4260" s="55" t="s">
        <v>3377</v>
      </c>
      <c r="M4260" s="90">
        <v>40.22</v>
      </c>
      <c r="N4260" s="90">
        <v>116.23</v>
      </c>
      <c r="O4260" s="90">
        <v>67</v>
      </c>
      <c r="U4260" s="55" t="s">
        <v>1688</v>
      </c>
      <c r="V4260" s="55" t="s">
        <v>1816</v>
      </c>
      <c r="Y4260" s="55" t="s">
        <v>3651</v>
      </c>
      <c r="Z4260" s="55" t="s">
        <v>1356</v>
      </c>
      <c r="AA4260" s="90" t="s">
        <v>1680</v>
      </c>
      <c r="AD4260" s="90">
        <v>1.29</v>
      </c>
      <c r="AH4260" s="55" t="s">
        <v>6378</v>
      </c>
      <c r="AI4260" s="168">
        <v>6.36</v>
      </c>
      <c r="AJ4260" s="90">
        <v>2.81</v>
      </c>
      <c r="AN4260" s="185" t="s">
        <v>3658</v>
      </c>
      <c r="AO4260" s="185" t="s">
        <v>5150</v>
      </c>
      <c r="AQ4260" s="55" t="s">
        <v>3136</v>
      </c>
      <c r="AR4260" s="55" t="s">
        <v>3469</v>
      </c>
      <c r="AS4260" s="55" t="s">
        <v>227</v>
      </c>
      <c r="AU4260" s="181" t="s">
        <v>7494</v>
      </c>
      <c r="AV4260" s="185" t="s">
        <v>176</v>
      </c>
      <c r="AX4260" s="185" t="s">
        <v>176</v>
      </c>
      <c r="BK4260" s="55" t="s">
        <v>5976</v>
      </c>
      <c r="BM4260" s="192" t="s">
        <v>160</v>
      </c>
      <c r="BN4260" s="55">
        <v>3</v>
      </c>
      <c r="BO4260" s="55">
        <v>3</v>
      </c>
      <c r="BP4260" s="55">
        <v>6</v>
      </c>
      <c r="BQ4260" s="55" t="s">
        <v>141</v>
      </c>
      <c r="BU4260" s="55" t="s">
        <v>3672</v>
      </c>
      <c r="BV4260" s="55" t="s">
        <v>3664</v>
      </c>
      <c r="CM4260" s="65">
        <v>1.65</v>
      </c>
      <c r="CN4260" s="65">
        <v>1.46</v>
      </c>
      <c r="DA4260" s="65" t="s">
        <v>4458</v>
      </c>
      <c r="DB4260" s="65">
        <v>155</v>
      </c>
      <c r="DC4260" s="65">
        <v>126</v>
      </c>
      <c r="DF4260" s="65" t="s">
        <v>3419</v>
      </c>
      <c r="DG4260" s="65">
        <v>172</v>
      </c>
      <c r="DH4260" s="65">
        <v>138</v>
      </c>
      <c r="DK4260" s="65" t="s">
        <v>3667</v>
      </c>
      <c r="GP4260" s="292" t="s">
        <v>7494</v>
      </c>
      <c r="HI4260" s="65">
        <v>3.83</v>
      </c>
      <c r="HJ4260" s="65">
        <v>3.86</v>
      </c>
      <c r="HM4260" s="65" t="s">
        <v>3670</v>
      </c>
      <c r="HN4260" s="65">
        <v>6.42</v>
      </c>
      <c r="HO4260" s="65">
        <v>7</v>
      </c>
      <c r="HR4260" s="65" t="s">
        <v>3668</v>
      </c>
      <c r="HS4260" s="65">
        <v>5.69</v>
      </c>
      <c r="HT4260" s="65">
        <v>6.36</v>
      </c>
      <c r="HW4260" s="65" t="s">
        <v>3669</v>
      </c>
      <c r="JG4260" s="65">
        <v>83.7</v>
      </c>
      <c r="JH4260" s="65">
        <v>251</v>
      </c>
      <c r="JL4260" s="65">
        <v>49.5</v>
      </c>
      <c r="JM4260" s="65">
        <v>63.1</v>
      </c>
      <c r="JU4260" s="55" t="s">
        <v>495</v>
      </c>
      <c r="JV4260" s="55" t="s">
        <v>3671</v>
      </c>
    </row>
    <row r="4261" spans="1:282" x14ac:dyDescent="0.25">
      <c r="A4261" s="55">
        <v>4260</v>
      </c>
      <c r="B4261" s="12" t="s">
        <v>7067</v>
      </c>
      <c r="C4261" s="155">
        <v>187</v>
      </c>
      <c r="D4261" s="55" t="s">
        <v>3659</v>
      </c>
      <c r="E4261" s="90" t="s">
        <v>3334</v>
      </c>
      <c r="G4261" s="55" t="s">
        <v>3652</v>
      </c>
      <c r="H4261" s="55">
        <v>2011</v>
      </c>
      <c r="I4261" s="55">
        <v>2008</v>
      </c>
      <c r="J4261" s="55" t="s">
        <v>2635</v>
      </c>
      <c r="K4261" s="55" t="s">
        <v>3653</v>
      </c>
      <c r="L4261" s="55" t="s">
        <v>3377</v>
      </c>
      <c r="M4261" s="90">
        <v>40.22</v>
      </c>
      <c r="N4261" s="90">
        <v>116.23</v>
      </c>
      <c r="O4261" s="90">
        <v>67</v>
      </c>
      <c r="U4261" s="55" t="s">
        <v>1816</v>
      </c>
      <c r="V4261" s="55" t="s">
        <v>1816</v>
      </c>
      <c r="Y4261" s="55" t="s">
        <v>3651</v>
      </c>
      <c r="Z4261" s="55" t="s">
        <v>1356</v>
      </c>
      <c r="AA4261" s="90" t="s">
        <v>1680</v>
      </c>
      <c r="AD4261" s="90">
        <v>1.29</v>
      </c>
      <c r="AH4261" s="55" t="s">
        <v>6378</v>
      </c>
      <c r="AI4261" s="168">
        <v>6.36</v>
      </c>
      <c r="AJ4261" s="90">
        <v>2.81</v>
      </c>
      <c r="AN4261" s="185" t="s">
        <v>3654</v>
      </c>
      <c r="AO4261" s="185" t="s">
        <v>5150</v>
      </c>
      <c r="AQ4261" s="55" t="s">
        <v>1545</v>
      </c>
      <c r="AR4261" s="55" t="s">
        <v>3469</v>
      </c>
      <c r="AS4261" s="55" t="s">
        <v>227</v>
      </c>
      <c r="AU4261" s="181" t="s">
        <v>7494</v>
      </c>
      <c r="AV4261" s="185" t="s">
        <v>176</v>
      </c>
      <c r="AX4261" s="185" t="s">
        <v>176</v>
      </c>
      <c r="BK4261" s="55" t="s">
        <v>5976</v>
      </c>
      <c r="BM4261" s="192" t="s">
        <v>160</v>
      </c>
      <c r="BN4261" s="55">
        <v>3</v>
      </c>
      <c r="BO4261" s="55">
        <v>3</v>
      </c>
      <c r="BP4261" s="55">
        <v>6</v>
      </c>
      <c r="BQ4261" s="55" t="s">
        <v>141</v>
      </c>
      <c r="BU4261" s="55" t="s">
        <v>3672</v>
      </c>
      <c r="BV4261" s="55" t="s">
        <v>3664</v>
      </c>
      <c r="CM4261" s="65">
        <v>1.61</v>
      </c>
      <c r="CN4261" s="65">
        <v>1.5</v>
      </c>
      <c r="DA4261" s="65" t="s">
        <v>4458</v>
      </c>
      <c r="DB4261" s="65">
        <v>173</v>
      </c>
      <c r="DC4261" s="65">
        <v>181</v>
      </c>
      <c r="DF4261" s="65" t="s">
        <v>3419</v>
      </c>
      <c r="DG4261" s="65">
        <v>186</v>
      </c>
      <c r="DH4261" s="65">
        <v>140</v>
      </c>
      <c r="DK4261" s="65" t="s">
        <v>3667</v>
      </c>
      <c r="GP4261" s="292" t="s">
        <v>7494</v>
      </c>
      <c r="HI4261" s="65">
        <v>3.53</v>
      </c>
      <c r="HJ4261" s="65">
        <v>3.83</v>
      </c>
      <c r="HM4261" s="65" t="s">
        <v>3670</v>
      </c>
      <c r="HN4261" s="65">
        <v>6.55</v>
      </c>
      <c r="HO4261" s="65">
        <v>6.88</v>
      </c>
      <c r="HR4261" s="65" t="s">
        <v>3668</v>
      </c>
      <c r="HS4261" s="65">
        <v>5.38</v>
      </c>
      <c r="HT4261" s="65">
        <v>5.68</v>
      </c>
      <c r="HW4261" s="65" t="s">
        <v>3669</v>
      </c>
      <c r="JG4261" s="65">
        <v>65.3</v>
      </c>
      <c r="JH4261" s="65">
        <v>272</v>
      </c>
      <c r="JL4261" s="65">
        <v>60.7</v>
      </c>
      <c r="JM4261" s="65">
        <v>75.7</v>
      </c>
      <c r="JU4261" s="55" t="s">
        <v>495</v>
      </c>
      <c r="JV4261" s="55" t="s">
        <v>3671</v>
      </c>
    </row>
    <row r="4262" spans="1:282" x14ac:dyDescent="0.25">
      <c r="A4262" s="55">
        <v>4261</v>
      </c>
      <c r="B4262" s="12" t="s">
        <v>7067</v>
      </c>
      <c r="C4262" s="155">
        <v>187</v>
      </c>
      <c r="D4262" s="55" t="s">
        <v>3660</v>
      </c>
      <c r="E4262" s="90" t="s">
        <v>3334</v>
      </c>
      <c r="G4262" s="55" t="s">
        <v>3652</v>
      </c>
      <c r="H4262" s="55">
        <v>2011</v>
      </c>
      <c r="I4262" s="55">
        <v>2008</v>
      </c>
      <c r="J4262" s="55" t="s">
        <v>2635</v>
      </c>
      <c r="K4262" s="55" t="s">
        <v>3653</v>
      </c>
      <c r="L4262" s="55" t="s">
        <v>3377</v>
      </c>
      <c r="M4262" s="90">
        <v>40.22</v>
      </c>
      <c r="N4262" s="90">
        <v>116.23</v>
      </c>
      <c r="O4262" s="90">
        <v>67</v>
      </c>
      <c r="U4262" s="55" t="s">
        <v>1816</v>
      </c>
      <c r="V4262" s="55" t="s">
        <v>1816</v>
      </c>
      <c r="Y4262" s="55" t="s">
        <v>3651</v>
      </c>
      <c r="Z4262" s="55" t="s">
        <v>1356</v>
      </c>
      <c r="AA4262" s="90" t="s">
        <v>1680</v>
      </c>
      <c r="AD4262" s="90">
        <v>1.29</v>
      </c>
      <c r="AH4262" s="55" t="s">
        <v>6378</v>
      </c>
      <c r="AI4262" s="168">
        <v>6.36</v>
      </c>
      <c r="AJ4262" s="90">
        <v>2.81</v>
      </c>
      <c r="AN4262" s="185" t="s">
        <v>3655</v>
      </c>
      <c r="AO4262" s="185" t="s">
        <v>5150</v>
      </c>
      <c r="AQ4262" s="55" t="s">
        <v>1545</v>
      </c>
      <c r="AR4262" s="55" t="s">
        <v>3469</v>
      </c>
      <c r="AS4262" s="55" t="s">
        <v>227</v>
      </c>
      <c r="AU4262" s="181" t="s">
        <v>7494</v>
      </c>
      <c r="AV4262" s="185" t="s">
        <v>176</v>
      </c>
      <c r="AX4262" s="185" t="s">
        <v>176</v>
      </c>
      <c r="BK4262" s="55" t="s">
        <v>5976</v>
      </c>
      <c r="BM4262" s="192" t="s">
        <v>160</v>
      </c>
      <c r="BN4262" s="55">
        <v>3</v>
      </c>
      <c r="BO4262" s="55">
        <v>3</v>
      </c>
      <c r="BP4262" s="55">
        <v>6</v>
      </c>
      <c r="BQ4262" s="55" t="s">
        <v>141</v>
      </c>
      <c r="BU4262" s="55" t="s">
        <v>3672</v>
      </c>
      <c r="BV4262" s="55" t="s">
        <v>3665</v>
      </c>
      <c r="CM4262" s="65">
        <v>1.61</v>
      </c>
      <c r="CN4262" s="65">
        <v>1.79</v>
      </c>
      <c r="DA4262" s="65" t="s">
        <v>4458</v>
      </c>
      <c r="DB4262" s="65">
        <v>173</v>
      </c>
      <c r="DC4262" s="65">
        <v>221</v>
      </c>
      <c r="DF4262" s="65" t="s">
        <v>3419</v>
      </c>
      <c r="DG4262" s="65">
        <v>186</v>
      </c>
      <c r="DH4262" s="65">
        <v>122</v>
      </c>
      <c r="DK4262" s="65" t="s">
        <v>3667</v>
      </c>
      <c r="GP4262" s="292" t="s">
        <v>7494</v>
      </c>
      <c r="HI4262" s="65">
        <v>3.53</v>
      </c>
      <c r="HJ4262" s="65">
        <v>4.34</v>
      </c>
      <c r="HM4262" s="65" t="s">
        <v>3670</v>
      </c>
      <c r="HN4262" s="65">
        <v>6.55</v>
      </c>
      <c r="HO4262" s="65">
        <v>7.26</v>
      </c>
      <c r="HR4262" s="65" t="s">
        <v>3668</v>
      </c>
      <c r="HS4262" s="65">
        <v>5.38</v>
      </c>
      <c r="HT4262" s="65">
        <v>5.55</v>
      </c>
      <c r="HW4262" s="65" t="s">
        <v>3669</v>
      </c>
      <c r="JG4262" s="65">
        <v>65.3</v>
      </c>
      <c r="JH4262" s="65">
        <v>330</v>
      </c>
      <c r="JL4262" s="65">
        <v>60.7</v>
      </c>
      <c r="JM4262" s="65">
        <v>84.9</v>
      </c>
      <c r="JU4262" s="55" t="s">
        <v>495</v>
      </c>
      <c r="JV4262" s="55" t="s">
        <v>3671</v>
      </c>
    </row>
    <row r="4263" spans="1:282" x14ac:dyDescent="0.25">
      <c r="A4263" s="55">
        <v>4262</v>
      </c>
      <c r="B4263" s="12" t="s">
        <v>7067</v>
      </c>
      <c r="C4263" s="155">
        <v>187</v>
      </c>
      <c r="D4263" s="55" t="s">
        <v>3661</v>
      </c>
      <c r="E4263" s="90" t="s">
        <v>3334</v>
      </c>
      <c r="G4263" s="55" t="s">
        <v>3652</v>
      </c>
      <c r="H4263" s="55">
        <v>2011</v>
      </c>
      <c r="I4263" s="55">
        <v>2008</v>
      </c>
      <c r="J4263" s="55" t="s">
        <v>2635</v>
      </c>
      <c r="K4263" s="55" t="s">
        <v>3653</v>
      </c>
      <c r="L4263" s="55" t="s">
        <v>3377</v>
      </c>
      <c r="M4263" s="90">
        <v>40.22</v>
      </c>
      <c r="N4263" s="90">
        <v>116.23</v>
      </c>
      <c r="O4263" s="90">
        <v>67</v>
      </c>
      <c r="U4263" s="55" t="s">
        <v>1816</v>
      </c>
      <c r="V4263" s="55" t="s">
        <v>1816</v>
      </c>
      <c r="Y4263" s="55" t="s">
        <v>3651</v>
      </c>
      <c r="Z4263" s="55" t="s">
        <v>1356</v>
      </c>
      <c r="AA4263" s="90" t="s">
        <v>1680</v>
      </c>
      <c r="AD4263" s="90">
        <v>1.29</v>
      </c>
      <c r="AH4263" s="55" t="s">
        <v>6378</v>
      </c>
      <c r="AI4263" s="168">
        <v>6.36</v>
      </c>
      <c r="AJ4263" s="90">
        <v>2.81</v>
      </c>
      <c r="AN4263" s="185" t="s">
        <v>3656</v>
      </c>
      <c r="AO4263" s="185" t="s">
        <v>5150</v>
      </c>
      <c r="AQ4263" s="55" t="s">
        <v>553</v>
      </c>
      <c r="AR4263" s="55" t="s">
        <v>3469</v>
      </c>
      <c r="AS4263" s="55" t="s">
        <v>227</v>
      </c>
      <c r="AU4263" s="181" t="s">
        <v>7494</v>
      </c>
      <c r="AV4263" s="185" t="s">
        <v>176</v>
      </c>
      <c r="AX4263" s="185" t="s">
        <v>176</v>
      </c>
      <c r="BK4263" s="55" t="s">
        <v>5976</v>
      </c>
      <c r="BM4263" s="192" t="s">
        <v>160</v>
      </c>
      <c r="BN4263" s="55">
        <v>3</v>
      </c>
      <c r="BO4263" s="55">
        <v>3</v>
      </c>
      <c r="BP4263" s="55">
        <v>6</v>
      </c>
      <c r="BQ4263" s="55" t="s">
        <v>141</v>
      </c>
      <c r="BU4263" s="55" t="s">
        <v>3672</v>
      </c>
      <c r="BV4263" s="55" t="s">
        <v>3666</v>
      </c>
      <c r="CM4263" s="65">
        <v>1.61</v>
      </c>
      <c r="CN4263" s="65">
        <v>1.78</v>
      </c>
      <c r="DA4263" s="65" t="s">
        <v>4458</v>
      </c>
      <c r="DB4263" s="65">
        <v>173</v>
      </c>
      <c r="DC4263" s="65">
        <v>138</v>
      </c>
      <c r="DF4263" s="65" t="s">
        <v>3419</v>
      </c>
      <c r="DG4263" s="65">
        <v>186</v>
      </c>
      <c r="DH4263" s="65">
        <v>154</v>
      </c>
      <c r="DK4263" s="65" t="s">
        <v>3667</v>
      </c>
      <c r="GP4263" s="292" t="s">
        <v>7494</v>
      </c>
      <c r="HI4263" s="65">
        <v>3.53</v>
      </c>
      <c r="HJ4263" s="65">
        <v>3.98</v>
      </c>
      <c r="HM4263" s="65" t="s">
        <v>3670</v>
      </c>
      <c r="HN4263" s="65">
        <v>6.55</v>
      </c>
      <c r="HO4263" s="65">
        <v>6.6</v>
      </c>
      <c r="HR4263" s="65" t="s">
        <v>3668</v>
      </c>
      <c r="HS4263" s="65">
        <v>5.38</v>
      </c>
      <c r="HT4263" s="65">
        <v>5.27</v>
      </c>
      <c r="HW4263" s="65" t="s">
        <v>3669</v>
      </c>
      <c r="JG4263" s="65">
        <v>65.3</v>
      </c>
      <c r="JH4263" s="65">
        <v>71.099999999999994</v>
      </c>
      <c r="JL4263" s="65">
        <v>60.7</v>
      </c>
      <c r="JM4263" s="65">
        <v>70.3</v>
      </c>
      <c r="JU4263" s="55" t="s">
        <v>495</v>
      </c>
      <c r="JV4263" s="55" t="s">
        <v>3671</v>
      </c>
    </row>
    <row r="4264" spans="1:282" x14ac:dyDescent="0.25">
      <c r="A4264" s="55">
        <v>4263</v>
      </c>
      <c r="B4264" s="12" t="s">
        <v>7067</v>
      </c>
      <c r="C4264" s="155">
        <v>187</v>
      </c>
      <c r="D4264" s="55" t="s">
        <v>3662</v>
      </c>
      <c r="E4264" s="90" t="s">
        <v>3334</v>
      </c>
      <c r="G4264" s="55" t="s">
        <v>3652</v>
      </c>
      <c r="H4264" s="55">
        <v>2011</v>
      </c>
      <c r="I4264" s="55">
        <v>2008</v>
      </c>
      <c r="J4264" s="55" t="s">
        <v>2635</v>
      </c>
      <c r="K4264" s="55" t="s">
        <v>3653</v>
      </c>
      <c r="L4264" s="55" t="s">
        <v>3377</v>
      </c>
      <c r="M4264" s="90">
        <v>40.22</v>
      </c>
      <c r="N4264" s="90">
        <v>116.23</v>
      </c>
      <c r="O4264" s="90">
        <v>67</v>
      </c>
      <c r="U4264" s="55" t="s">
        <v>1816</v>
      </c>
      <c r="V4264" s="55" t="s">
        <v>1816</v>
      </c>
      <c r="Y4264" s="55" t="s">
        <v>3651</v>
      </c>
      <c r="Z4264" s="55" t="s">
        <v>1356</v>
      </c>
      <c r="AA4264" s="90" t="s">
        <v>1680</v>
      </c>
      <c r="AD4264" s="90">
        <v>1.29</v>
      </c>
      <c r="AH4264" s="55" t="s">
        <v>6378</v>
      </c>
      <c r="AI4264" s="168">
        <v>6.36</v>
      </c>
      <c r="AJ4264" s="90">
        <v>2.81</v>
      </c>
      <c r="AN4264" s="185" t="s">
        <v>3657</v>
      </c>
      <c r="AO4264" s="185" t="s">
        <v>5150</v>
      </c>
      <c r="AQ4264" s="55" t="s">
        <v>553</v>
      </c>
      <c r="AR4264" s="55" t="s">
        <v>3469</v>
      </c>
      <c r="AS4264" s="55" t="s">
        <v>227</v>
      </c>
      <c r="AU4264" s="181" t="s">
        <v>7494</v>
      </c>
      <c r="AV4264" s="185" t="s">
        <v>176</v>
      </c>
      <c r="AX4264" s="185" t="s">
        <v>176</v>
      </c>
      <c r="BK4264" s="55" t="s">
        <v>5976</v>
      </c>
      <c r="BM4264" s="192" t="s">
        <v>160</v>
      </c>
      <c r="BN4264" s="55">
        <v>3</v>
      </c>
      <c r="BO4264" s="55">
        <v>3</v>
      </c>
      <c r="BP4264" s="55">
        <v>6</v>
      </c>
      <c r="BQ4264" s="55" t="s">
        <v>141</v>
      </c>
      <c r="BU4264" s="55" t="s">
        <v>3672</v>
      </c>
      <c r="BV4264" s="55" t="s">
        <v>3665</v>
      </c>
      <c r="CM4264" s="65">
        <v>1.61</v>
      </c>
      <c r="CN4264" s="65">
        <v>1.74</v>
      </c>
      <c r="DA4264" s="65" t="s">
        <v>4458</v>
      </c>
      <c r="DB4264" s="65">
        <v>173</v>
      </c>
      <c r="DC4264" s="65">
        <v>141</v>
      </c>
      <c r="DF4264" s="65" t="s">
        <v>3419</v>
      </c>
      <c r="DG4264" s="65">
        <v>186</v>
      </c>
      <c r="DH4264" s="65">
        <v>169</v>
      </c>
      <c r="DK4264" s="65" t="s">
        <v>3667</v>
      </c>
      <c r="GP4264" s="292" t="s">
        <v>7494</v>
      </c>
      <c r="HI4264" s="65">
        <v>3.53</v>
      </c>
      <c r="HJ4264" s="65">
        <v>4.49</v>
      </c>
      <c r="HM4264" s="65" t="s">
        <v>3670</v>
      </c>
      <c r="HN4264" s="65">
        <v>6.55</v>
      </c>
      <c r="HO4264" s="65">
        <v>6.95</v>
      </c>
      <c r="HR4264" s="65" t="s">
        <v>3668</v>
      </c>
      <c r="HS4264" s="65">
        <v>5.38</v>
      </c>
      <c r="HT4264" s="65">
        <v>5.31</v>
      </c>
      <c r="HW4264" s="65" t="s">
        <v>3669</v>
      </c>
      <c r="JG4264" s="65">
        <v>65.3</v>
      </c>
      <c r="JH4264" s="65">
        <v>105</v>
      </c>
      <c r="JL4264" s="65">
        <v>60.7</v>
      </c>
      <c r="JM4264" s="65">
        <v>72.2</v>
      </c>
      <c r="JU4264" s="55" t="s">
        <v>495</v>
      </c>
      <c r="JV4264" s="55" t="s">
        <v>3671</v>
      </c>
    </row>
    <row r="4265" spans="1:282" x14ac:dyDescent="0.25">
      <c r="A4265" s="55">
        <v>4264</v>
      </c>
      <c r="B4265" s="12" t="s">
        <v>7067</v>
      </c>
      <c r="C4265" s="155">
        <v>187</v>
      </c>
      <c r="D4265" s="55" t="s">
        <v>3663</v>
      </c>
      <c r="E4265" s="90" t="s">
        <v>3334</v>
      </c>
      <c r="G4265" s="55" t="s">
        <v>3652</v>
      </c>
      <c r="H4265" s="55">
        <v>2011</v>
      </c>
      <c r="I4265" s="55">
        <v>2008</v>
      </c>
      <c r="J4265" s="55" t="s">
        <v>2635</v>
      </c>
      <c r="K4265" s="55" t="s">
        <v>3653</v>
      </c>
      <c r="L4265" s="55" t="s">
        <v>3377</v>
      </c>
      <c r="M4265" s="90">
        <v>40.22</v>
      </c>
      <c r="N4265" s="90">
        <v>116.23</v>
      </c>
      <c r="O4265" s="90">
        <v>67</v>
      </c>
      <c r="U4265" s="55" t="s">
        <v>1816</v>
      </c>
      <c r="V4265" s="55" t="s">
        <v>1816</v>
      </c>
      <c r="Y4265" s="55" t="s">
        <v>3651</v>
      </c>
      <c r="Z4265" s="55" t="s">
        <v>1356</v>
      </c>
      <c r="AA4265" s="90" t="s">
        <v>1680</v>
      </c>
      <c r="AD4265" s="90">
        <v>1.29</v>
      </c>
      <c r="AH4265" s="55" t="s">
        <v>6378</v>
      </c>
      <c r="AI4265" s="168">
        <v>6.36</v>
      </c>
      <c r="AJ4265" s="90">
        <v>2.81</v>
      </c>
      <c r="AN4265" s="185" t="s">
        <v>3658</v>
      </c>
      <c r="AO4265" s="185" t="s">
        <v>5150</v>
      </c>
      <c r="AQ4265" s="55" t="s">
        <v>3136</v>
      </c>
      <c r="AR4265" s="55" t="s">
        <v>3469</v>
      </c>
      <c r="AS4265" s="55" t="s">
        <v>227</v>
      </c>
      <c r="AU4265" s="181" t="s">
        <v>7494</v>
      </c>
      <c r="AV4265" s="185" t="s">
        <v>176</v>
      </c>
      <c r="AX4265" s="185" t="s">
        <v>176</v>
      </c>
      <c r="BK4265" s="55" t="s">
        <v>5976</v>
      </c>
      <c r="BM4265" s="192" t="s">
        <v>160</v>
      </c>
      <c r="BN4265" s="55">
        <v>3</v>
      </c>
      <c r="BO4265" s="55">
        <v>3</v>
      </c>
      <c r="BP4265" s="55">
        <v>6</v>
      </c>
      <c r="BQ4265" s="55" t="s">
        <v>141</v>
      </c>
      <c r="BU4265" s="55" t="s">
        <v>3672</v>
      </c>
      <c r="BV4265" s="55" t="s">
        <v>3664</v>
      </c>
      <c r="CM4265" s="65">
        <v>1.61</v>
      </c>
      <c r="CN4265" s="65">
        <v>1.52</v>
      </c>
      <c r="DA4265" s="65" t="s">
        <v>4458</v>
      </c>
      <c r="DB4265" s="65">
        <v>173</v>
      </c>
      <c r="DC4265" s="65">
        <v>167</v>
      </c>
      <c r="DF4265" s="65" t="s">
        <v>3419</v>
      </c>
      <c r="DG4265" s="65">
        <v>186</v>
      </c>
      <c r="DH4265" s="65">
        <v>128</v>
      </c>
      <c r="DK4265" s="65" t="s">
        <v>3667</v>
      </c>
      <c r="GP4265" s="292" t="s">
        <v>7494</v>
      </c>
      <c r="HI4265" s="65">
        <v>3.53</v>
      </c>
      <c r="HJ4265" s="65">
        <v>3.8</v>
      </c>
      <c r="HM4265" s="65" t="s">
        <v>3670</v>
      </c>
      <c r="HN4265" s="65">
        <v>6.55</v>
      </c>
      <c r="HO4265" s="65">
        <v>6.93</v>
      </c>
      <c r="HR4265" s="65" t="s">
        <v>3668</v>
      </c>
      <c r="HS4265" s="65">
        <v>5.38</v>
      </c>
      <c r="HT4265" s="65">
        <v>6.04</v>
      </c>
      <c r="HW4265" s="65" t="s">
        <v>3669</v>
      </c>
      <c r="JG4265" s="65">
        <v>65.3</v>
      </c>
      <c r="JH4265" s="65">
        <v>358</v>
      </c>
      <c r="JL4265" s="65">
        <v>60.7</v>
      </c>
      <c r="JM4265" s="65">
        <v>70.2</v>
      </c>
      <c r="JU4265" s="55" t="s">
        <v>495</v>
      </c>
      <c r="JV4265" s="55" t="s">
        <v>3671</v>
      </c>
    </row>
    <row r="4266" spans="1:282" x14ac:dyDescent="0.25">
      <c r="A4266" s="55">
        <v>4265</v>
      </c>
      <c r="B4266" s="12" t="s">
        <v>7067</v>
      </c>
      <c r="C4266" s="155">
        <v>188</v>
      </c>
      <c r="D4266" s="55" t="s">
        <v>3689</v>
      </c>
      <c r="E4266" s="90" t="s">
        <v>3674</v>
      </c>
      <c r="G4266" s="55" t="s">
        <v>3675</v>
      </c>
      <c r="H4266" s="55">
        <v>2016</v>
      </c>
      <c r="I4266" s="55">
        <v>2011</v>
      </c>
      <c r="J4266" s="55" t="s">
        <v>3678</v>
      </c>
      <c r="K4266" s="55" t="s">
        <v>3677</v>
      </c>
      <c r="L4266" s="55" t="s">
        <v>3377</v>
      </c>
      <c r="M4266" s="90">
        <f>35+21/60</f>
        <v>35.35</v>
      </c>
      <c r="N4266" s="90">
        <f>109+56/60</f>
        <v>109.93333333333334</v>
      </c>
      <c r="O4266" s="90">
        <v>838</v>
      </c>
      <c r="U4266" s="55" t="s">
        <v>1935</v>
      </c>
      <c r="V4266" s="55" t="s">
        <v>1816</v>
      </c>
      <c r="Y4266" s="55" t="s">
        <v>3676</v>
      </c>
      <c r="Z4266" s="55" t="s">
        <v>1404</v>
      </c>
      <c r="AA4266" s="90" t="s">
        <v>3679</v>
      </c>
      <c r="AD4266" s="90">
        <f>(1.2+1.385)/2</f>
        <v>1.2925</v>
      </c>
      <c r="AE4266" s="90">
        <v>8</v>
      </c>
      <c r="AF4266" s="90">
        <v>67</v>
      </c>
      <c r="AH4266" s="55" t="s">
        <v>6378</v>
      </c>
      <c r="AI4266" s="168">
        <v>8.3000000000000007</v>
      </c>
      <c r="AJ4266" s="90">
        <v>1.302</v>
      </c>
      <c r="AM4266" s="55" t="s">
        <v>3112</v>
      </c>
      <c r="AN4266" s="185" t="s">
        <v>3681</v>
      </c>
      <c r="AO4266" s="185" t="s">
        <v>5150</v>
      </c>
      <c r="AQ4266" s="55" t="s">
        <v>553</v>
      </c>
      <c r="AR4266" s="55" t="s">
        <v>3680</v>
      </c>
      <c r="AS4266" s="55" t="s">
        <v>3471</v>
      </c>
      <c r="AU4266" s="181" t="s">
        <v>7494</v>
      </c>
      <c r="AV4266" s="185" t="s">
        <v>176</v>
      </c>
      <c r="AX4266" s="185" t="s">
        <v>176</v>
      </c>
      <c r="BE4266" s="226" t="s">
        <v>3068</v>
      </c>
      <c r="BF4266" s="191" t="s">
        <v>176</v>
      </c>
      <c r="BG4266" s="191" t="s">
        <v>176</v>
      </c>
      <c r="BH4266" s="226" t="s">
        <v>3068</v>
      </c>
      <c r="BI4266" s="191" t="s">
        <v>176</v>
      </c>
      <c r="BJ4266" s="55" t="s">
        <v>176</v>
      </c>
      <c r="BK4266" s="55" t="s">
        <v>5976</v>
      </c>
      <c r="BM4266" s="192" t="s">
        <v>160</v>
      </c>
      <c r="BN4266" s="55">
        <v>3</v>
      </c>
      <c r="BO4266" s="55">
        <v>3</v>
      </c>
      <c r="BP4266" s="55">
        <v>9</v>
      </c>
      <c r="BQ4266" s="55" t="s">
        <v>2077</v>
      </c>
      <c r="BV4266" s="55" t="s">
        <v>3682</v>
      </c>
      <c r="CB4266" s="66">
        <v>19700</v>
      </c>
      <c r="CC4266" s="66">
        <v>20000</v>
      </c>
      <c r="GD4266" s="65">
        <f>1/2000*100*403.6</f>
        <v>20.180000000000003</v>
      </c>
      <c r="GE4266" s="65">
        <f>1/2000*100*366.9</f>
        <v>18.344999999999999</v>
      </c>
      <c r="GH4266" s="65" t="s">
        <v>3694</v>
      </c>
      <c r="GP4266" s="292" t="s">
        <v>7494</v>
      </c>
    </row>
    <row r="4267" spans="1:282" x14ac:dyDescent="0.25">
      <c r="A4267" s="55">
        <v>4266</v>
      </c>
      <c r="B4267" s="12" t="s">
        <v>7067</v>
      </c>
      <c r="C4267" s="155">
        <v>188</v>
      </c>
      <c r="D4267" s="55" t="s">
        <v>3690</v>
      </c>
      <c r="E4267" s="90" t="s">
        <v>3674</v>
      </c>
      <c r="G4267" s="55" t="s">
        <v>3675</v>
      </c>
      <c r="H4267" s="55">
        <v>2016</v>
      </c>
      <c r="I4267" s="55">
        <v>2011</v>
      </c>
      <c r="J4267" s="55" t="s">
        <v>3678</v>
      </c>
      <c r="K4267" s="55" t="s">
        <v>3677</v>
      </c>
      <c r="L4267" s="55" t="s">
        <v>3377</v>
      </c>
      <c r="M4267" s="90">
        <f>35+21/60</f>
        <v>35.35</v>
      </c>
      <c r="N4267" s="90">
        <f>109+56/60</f>
        <v>109.93333333333334</v>
      </c>
      <c r="O4267" s="90">
        <v>838</v>
      </c>
      <c r="U4267" s="55" t="s">
        <v>1935</v>
      </c>
      <c r="V4267" s="55" t="s">
        <v>1816</v>
      </c>
      <c r="Y4267" s="55" t="s">
        <v>3676</v>
      </c>
      <c r="Z4267" s="55" t="s">
        <v>1404</v>
      </c>
      <c r="AA4267" s="90" t="s">
        <v>3679</v>
      </c>
      <c r="AD4267" s="90">
        <f>(1.2+1.385)/2</f>
        <v>1.2925</v>
      </c>
      <c r="AE4267" s="90">
        <v>8</v>
      </c>
      <c r="AF4267" s="90">
        <v>67</v>
      </c>
      <c r="AH4267" s="55" t="s">
        <v>6378</v>
      </c>
      <c r="AI4267" s="168">
        <v>8.3000000000000007</v>
      </c>
      <c r="AJ4267" s="90">
        <v>1.302</v>
      </c>
      <c r="AM4267" s="55" t="s">
        <v>3112</v>
      </c>
      <c r="AN4267" s="185" t="s">
        <v>3681</v>
      </c>
      <c r="AO4267" s="185" t="s">
        <v>5150</v>
      </c>
      <c r="AQ4267" s="55" t="s">
        <v>553</v>
      </c>
      <c r="AR4267" s="55" t="s">
        <v>3680</v>
      </c>
      <c r="AS4267" s="55" t="s">
        <v>3471</v>
      </c>
      <c r="AU4267" s="181" t="s">
        <v>7494</v>
      </c>
      <c r="AV4267" s="185" t="s">
        <v>176</v>
      </c>
      <c r="AX4267" s="185" t="s">
        <v>176</v>
      </c>
      <c r="BE4267" s="226" t="s">
        <v>3685</v>
      </c>
      <c r="BF4267" s="191" t="s">
        <v>479</v>
      </c>
      <c r="BG4267" s="191" t="s">
        <v>479</v>
      </c>
      <c r="BH4267" s="226" t="s">
        <v>3685</v>
      </c>
      <c r="BI4267" s="191" t="s">
        <v>479</v>
      </c>
      <c r="BJ4267" s="55" t="s">
        <v>176</v>
      </c>
      <c r="BK4267" s="55" t="s">
        <v>5976</v>
      </c>
      <c r="BM4267" s="192" t="s">
        <v>160</v>
      </c>
      <c r="BN4267" s="55">
        <v>3</v>
      </c>
      <c r="BO4267" s="55">
        <v>3</v>
      </c>
      <c r="BP4267" s="55">
        <v>9</v>
      </c>
      <c r="BQ4267" s="55" t="s">
        <v>2077</v>
      </c>
      <c r="BV4267" s="55" t="s">
        <v>3682</v>
      </c>
      <c r="CB4267" s="66">
        <v>23700</v>
      </c>
      <c r="CC4267" s="66">
        <v>22900</v>
      </c>
      <c r="GD4267" s="65">
        <f>1/2000*100*403.7</f>
        <v>20.185000000000002</v>
      </c>
      <c r="GE4267" s="65">
        <f>1/2000*100*379.6</f>
        <v>18.98</v>
      </c>
      <c r="GH4267" s="65" t="s">
        <v>3694</v>
      </c>
      <c r="GP4267" s="292" t="s">
        <v>7494</v>
      </c>
    </row>
    <row r="4268" spans="1:282" x14ac:dyDescent="0.25">
      <c r="A4268" s="55">
        <v>4267</v>
      </c>
      <c r="B4268" s="12" t="s">
        <v>7067</v>
      </c>
      <c r="C4268" s="155">
        <v>188</v>
      </c>
      <c r="D4268" s="55" t="s">
        <v>3691</v>
      </c>
      <c r="E4268" s="90" t="s">
        <v>3674</v>
      </c>
      <c r="G4268" s="55" t="s">
        <v>3675</v>
      </c>
      <c r="H4268" s="55">
        <v>2016</v>
      </c>
      <c r="I4268" s="55">
        <v>2011</v>
      </c>
      <c r="J4268" s="55" t="s">
        <v>3678</v>
      </c>
      <c r="K4268" s="55" t="s">
        <v>3677</v>
      </c>
      <c r="L4268" s="55" t="s">
        <v>3377</v>
      </c>
      <c r="M4268" s="90">
        <f>35+21/60</f>
        <v>35.35</v>
      </c>
      <c r="N4268" s="90">
        <f>109+56/60</f>
        <v>109.93333333333334</v>
      </c>
      <c r="O4268" s="90">
        <v>838</v>
      </c>
      <c r="U4268" s="55" t="s">
        <v>1935</v>
      </c>
      <c r="V4268" s="55" t="s">
        <v>1816</v>
      </c>
      <c r="Y4268" s="55" t="s">
        <v>3676</v>
      </c>
      <c r="Z4268" s="55" t="s">
        <v>1404</v>
      </c>
      <c r="AA4268" s="90" t="s">
        <v>3679</v>
      </c>
      <c r="AD4268" s="90">
        <f>(1.2+1.385)/2</f>
        <v>1.2925</v>
      </c>
      <c r="AE4268" s="90">
        <v>8</v>
      </c>
      <c r="AF4268" s="90">
        <v>67</v>
      </c>
      <c r="AH4268" s="55" t="s">
        <v>6378</v>
      </c>
      <c r="AI4268" s="168">
        <v>8.3000000000000007</v>
      </c>
      <c r="AJ4268" s="90">
        <v>1.302</v>
      </c>
      <c r="AM4268" s="55" t="s">
        <v>3112</v>
      </c>
      <c r="AN4268" s="185" t="s">
        <v>3681</v>
      </c>
      <c r="AO4268" s="185" t="s">
        <v>5150</v>
      </c>
      <c r="AQ4268" s="55" t="s">
        <v>553</v>
      </c>
      <c r="AR4268" s="55" t="s">
        <v>3680</v>
      </c>
      <c r="AS4268" s="55" t="s">
        <v>3471</v>
      </c>
      <c r="AU4268" s="181" t="s">
        <v>7494</v>
      </c>
      <c r="AV4268" s="185" t="s">
        <v>176</v>
      </c>
      <c r="AX4268" s="185" t="s">
        <v>176</v>
      </c>
      <c r="BE4268" s="226" t="s">
        <v>3686</v>
      </c>
      <c r="BF4268" s="191" t="s">
        <v>479</v>
      </c>
      <c r="BG4268" s="191" t="s">
        <v>479</v>
      </c>
      <c r="BH4268" s="226" t="s">
        <v>3686</v>
      </c>
      <c r="BI4268" s="191" t="s">
        <v>479</v>
      </c>
      <c r="BJ4268" s="55" t="s">
        <v>176</v>
      </c>
      <c r="BK4268" s="55" t="s">
        <v>5976</v>
      </c>
      <c r="BM4268" s="192" t="s">
        <v>160</v>
      </c>
      <c r="BN4268" s="55">
        <v>3</v>
      </c>
      <c r="BO4268" s="55">
        <v>3</v>
      </c>
      <c r="BP4268" s="55">
        <v>9</v>
      </c>
      <c r="BQ4268" s="55" t="s">
        <v>2077</v>
      </c>
      <c r="BV4268" s="55" t="s">
        <v>3682</v>
      </c>
      <c r="CB4268" s="66">
        <v>23500</v>
      </c>
      <c r="CC4268" s="66">
        <v>22300</v>
      </c>
      <c r="GD4268" s="65">
        <f>1/2000*100*502.2</f>
        <v>25.11</v>
      </c>
      <c r="GE4268" s="65">
        <f>1/2000*100*448.8</f>
        <v>22.44</v>
      </c>
      <c r="GH4268" s="65" t="s">
        <v>3694</v>
      </c>
      <c r="GP4268" s="292" t="s">
        <v>7494</v>
      </c>
    </row>
    <row r="4269" spans="1:282" x14ac:dyDescent="0.25">
      <c r="A4269" s="55">
        <v>4268</v>
      </c>
      <c r="B4269" s="12" t="s">
        <v>7067</v>
      </c>
      <c r="C4269" s="155">
        <v>188</v>
      </c>
      <c r="D4269" s="55" t="s">
        <v>3692</v>
      </c>
      <c r="E4269" s="90" t="s">
        <v>3674</v>
      </c>
      <c r="G4269" s="55" t="s">
        <v>3675</v>
      </c>
      <c r="H4269" s="55">
        <v>2016</v>
      </c>
      <c r="I4269" s="55">
        <v>2011</v>
      </c>
      <c r="J4269" s="55" t="s">
        <v>3678</v>
      </c>
      <c r="K4269" s="55" t="s">
        <v>3677</v>
      </c>
      <c r="L4269" s="55" t="s">
        <v>3377</v>
      </c>
      <c r="M4269" s="90">
        <f>35+21/60</f>
        <v>35.35</v>
      </c>
      <c r="N4269" s="90">
        <f>109+56/60</f>
        <v>109.93333333333334</v>
      </c>
      <c r="O4269" s="90">
        <v>838</v>
      </c>
      <c r="U4269" s="55" t="s">
        <v>1935</v>
      </c>
      <c r="V4269" s="55" t="s">
        <v>1816</v>
      </c>
      <c r="Y4269" s="55" t="s">
        <v>3676</v>
      </c>
      <c r="Z4269" s="55" t="s">
        <v>1404</v>
      </c>
      <c r="AA4269" s="90" t="s">
        <v>3679</v>
      </c>
      <c r="AD4269" s="90">
        <f>(1.2+1.385)/2</f>
        <v>1.2925</v>
      </c>
      <c r="AE4269" s="90">
        <v>8</v>
      </c>
      <c r="AF4269" s="90">
        <v>67</v>
      </c>
      <c r="AH4269" s="55" t="s">
        <v>6378</v>
      </c>
      <c r="AI4269" s="168">
        <v>8.3000000000000007</v>
      </c>
      <c r="AJ4269" s="90">
        <v>1.302</v>
      </c>
      <c r="AM4269" s="55" t="s">
        <v>3112</v>
      </c>
      <c r="AN4269" s="185" t="s">
        <v>3681</v>
      </c>
      <c r="AO4269" s="185" t="s">
        <v>5150</v>
      </c>
      <c r="AQ4269" s="55" t="s">
        <v>553</v>
      </c>
      <c r="AR4269" s="55" t="s">
        <v>3680</v>
      </c>
      <c r="AS4269" s="55" t="s">
        <v>3471</v>
      </c>
      <c r="AU4269" s="181" t="s">
        <v>7494</v>
      </c>
      <c r="AV4269" s="185" t="s">
        <v>176</v>
      </c>
      <c r="AX4269" s="185" t="s">
        <v>176</v>
      </c>
      <c r="BE4269" s="226" t="s">
        <v>3687</v>
      </c>
      <c r="BF4269" s="191" t="s">
        <v>479</v>
      </c>
      <c r="BG4269" s="191" t="s">
        <v>479</v>
      </c>
      <c r="BH4269" s="226" t="s">
        <v>3687</v>
      </c>
      <c r="BI4269" s="191" t="s">
        <v>479</v>
      </c>
      <c r="BJ4269" s="55" t="s">
        <v>176</v>
      </c>
      <c r="BK4269" s="55" t="s">
        <v>5976</v>
      </c>
      <c r="BM4269" s="192" t="s">
        <v>160</v>
      </c>
      <c r="BN4269" s="55">
        <v>3</v>
      </c>
      <c r="BO4269" s="55">
        <v>3</v>
      </c>
      <c r="BP4269" s="55">
        <v>9</v>
      </c>
      <c r="BQ4269" s="55" t="s">
        <v>2077</v>
      </c>
      <c r="BV4269" s="55" t="s">
        <v>3682</v>
      </c>
      <c r="CB4269" s="66">
        <v>26700</v>
      </c>
      <c r="CC4269" s="66">
        <v>24100</v>
      </c>
      <c r="GD4269" s="65">
        <f>1/2000*100*506.9</f>
        <v>25.344999999999999</v>
      </c>
      <c r="GE4269" s="65">
        <f>1/2000*100*439.6</f>
        <v>21.980000000000004</v>
      </c>
      <c r="GH4269" s="65" t="s">
        <v>3694</v>
      </c>
      <c r="GP4269" s="292" t="s">
        <v>7494</v>
      </c>
    </row>
    <row r="4270" spans="1:282" x14ac:dyDescent="0.25">
      <c r="A4270" s="55">
        <v>4269</v>
      </c>
      <c r="B4270" s="12" t="s">
        <v>7067</v>
      </c>
      <c r="C4270" s="155">
        <v>188</v>
      </c>
      <c r="D4270" s="55" t="s">
        <v>3693</v>
      </c>
      <c r="E4270" s="90" t="s">
        <v>3674</v>
      </c>
      <c r="G4270" s="55" t="s">
        <v>3675</v>
      </c>
      <c r="H4270" s="55">
        <v>2016</v>
      </c>
      <c r="I4270" s="55">
        <v>2011</v>
      </c>
      <c r="J4270" s="55" t="s">
        <v>3678</v>
      </c>
      <c r="K4270" s="55" t="s">
        <v>3677</v>
      </c>
      <c r="L4270" s="55" t="s">
        <v>3377</v>
      </c>
      <c r="M4270" s="90">
        <f>35+21/60</f>
        <v>35.35</v>
      </c>
      <c r="N4270" s="90">
        <f>109+56/60</f>
        <v>109.93333333333334</v>
      </c>
      <c r="O4270" s="90">
        <v>838</v>
      </c>
      <c r="U4270" s="55" t="s">
        <v>1935</v>
      </c>
      <c r="V4270" s="55" t="s">
        <v>1816</v>
      </c>
      <c r="Y4270" s="55" t="s">
        <v>3676</v>
      </c>
      <c r="Z4270" s="55" t="s">
        <v>1404</v>
      </c>
      <c r="AA4270" s="90" t="s">
        <v>3679</v>
      </c>
      <c r="AD4270" s="90">
        <f>(1.2+1.385)/2</f>
        <v>1.2925</v>
      </c>
      <c r="AE4270" s="90">
        <v>8</v>
      </c>
      <c r="AF4270" s="90">
        <v>67</v>
      </c>
      <c r="AH4270" s="55" t="s">
        <v>6378</v>
      </c>
      <c r="AI4270" s="168">
        <v>8.3000000000000007</v>
      </c>
      <c r="AJ4270" s="90">
        <v>1.302</v>
      </c>
      <c r="AM4270" s="55" t="s">
        <v>3112</v>
      </c>
      <c r="AN4270" s="185" t="s">
        <v>3681</v>
      </c>
      <c r="AO4270" s="185" t="s">
        <v>5150</v>
      </c>
      <c r="AQ4270" s="55" t="s">
        <v>553</v>
      </c>
      <c r="AR4270" s="55" t="s">
        <v>3680</v>
      </c>
      <c r="AS4270" s="55" t="s">
        <v>3471</v>
      </c>
      <c r="AU4270" s="181" t="s">
        <v>7494</v>
      </c>
      <c r="AV4270" s="185" t="s">
        <v>176</v>
      </c>
      <c r="AX4270" s="185" t="s">
        <v>176</v>
      </c>
      <c r="BE4270" s="226" t="s">
        <v>3688</v>
      </c>
      <c r="BF4270" s="191" t="s">
        <v>479</v>
      </c>
      <c r="BG4270" s="191" t="s">
        <v>479</v>
      </c>
      <c r="BH4270" s="226" t="s">
        <v>3688</v>
      </c>
      <c r="BI4270" s="191" t="s">
        <v>479</v>
      </c>
      <c r="BJ4270" s="55" t="s">
        <v>176</v>
      </c>
      <c r="BK4270" s="55" t="s">
        <v>5976</v>
      </c>
      <c r="BM4270" s="192" t="s">
        <v>160</v>
      </c>
      <c r="BN4270" s="55">
        <v>3</v>
      </c>
      <c r="BO4270" s="55">
        <v>3</v>
      </c>
      <c r="BP4270" s="55">
        <v>9</v>
      </c>
      <c r="BQ4270" s="55" t="s">
        <v>2077</v>
      </c>
      <c r="BV4270" s="55" t="s">
        <v>3682</v>
      </c>
      <c r="CB4270" s="66">
        <v>30100</v>
      </c>
      <c r="CC4270" s="66">
        <v>26600</v>
      </c>
      <c r="GD4270" s="65">
        <f>1/2000*100*539</f>
        <v>26.950000000000003</v>
      </c>
      <c r="GE4270" s="65">
        <f>1/2000*100*467.9</f>
        <v>23.395</v>
      </c>
      <c r="GH4270" s="65" t="s">
        <v>3694</v>
      </c>
      <c r="GP4270" s="292" t="s">
        <v>7494</v>
      </c>
    </row>
    <row r="4271" spans="1:282" x14ac:dyDescent="0.25">
      <c r="A4271" s="55">
        <v>4270</v>
      </c>
      <c r="B4271" s="12" t="s">
        <v>7067</v>
      </c>
      <c r="C4271" s="155">
        <v>188</v>
      </c>
      <c r="D4271" s="55" t="s">
        <v>3689</v>
      </c>
      <c r="E4271" s="90" t="s">
        <v>3674</v>
      </c>
      <c r="G4271" s="55" t="s">
        <v>3675</v>
      </c>
      <c r="H4271" s="55">
        <v>2016</v>
      </c>
      <c r="I4271" s="55">
        <v>2011</v>
      </c>
      <c r="J4271" s="55" t="s">
        <v>3678</v>
      </c>
      <c r="K4271" s="55" t="s">
        <v>3677</v>
      </c>
      <c r="L4271" s="55" t="s">
        <v>3377</v>
      </c>
      <c r="M4271" s="90">
        <f>35+21/60</f>
        <v>35.35</v>
      </c>
      <c r="N4271" s="90">
        <f>109+56/60</f>
        <v>109.93333333333334</v>
      </c>
      <c r="O4271" s="90">
        <v>838</v>
      </c>
      <c r="U4271" s="55" t="s">
        <v>1935</v>
      </c>
      <c r="V4271" s="55" t="s">
        <v>1816</v>
      </c>
      <c r="Y4271" s="55" t="s">
        <v>3676</v>
      </c>
      <c r="Z4271" s="55" t="s">
        <v>1404</v>
      </c>
      <c r="AA4271" s="90" t="s">
        <v>3679</v>
      </c>
      <c r="AD4271" s="90">
        <f>(1.2+1.385)/2</f>
        <v>1.2925</v>
      </c>
      <c r="AE4271" s="90">
        <v>8</v>
      </c>
      <c r="AF4271" s="90">
        <v>67</v>
      </c>
      <c r="AH4271" s="55" t="s">
        <v>6378</v>
      </c>
      <c r="AI4271" s="168">
        <v>8.3000000000000007</v>
      </c>
      <c r="AJ4271" s="90">
        <v>1.302</v>
      </c>
      <c r="AM4271" s="55" t="s">
        <v>3112</v>
      </c>
      <c r="AN4271" s="185" t="s">
        <v>3681</v>
      </c>
      <c r="AO4271" s="185" t="s">
        <v>5150</v>
      </c>
      <c r="AQ4271" s="55" t="s">
        <v>553</v>
      </c>
      <c r="AR4271" s="55" t="s">
        <v>3680</v>
      </c>
      <c r="AS4271" s="55" t="s">
        <v>3471</v>
      </c>
      <c r="AU4271" s="181" t="s">
        <v>7494</v>
      </c>
      <c r="AV4271" s="185" t="s">
        <v>176</v>
      </c>
      <c r="AX4271" s="185" t="s">
        <v>176</v>
      </c>
      <c r="BE4271" s="226" t="s">
        <v>3068</v>
      </c>
      <c r="BF4271" s="191" t="s">
        <v>176</v>
      </c>
      <c r="BG4271" s="191" t="s">
        <v>176</v>
      </c>
      <c r="BH4271" s="226" t="s">
        <v>3068</v>
      </c>
      <c r="BI4271" s="191" t="s">
        <v>176</v>
      </c>
      <c r="BJ4271" s="55" t="s">
        <v>176</v>
      </c>
      <c r="BK4271" s="55" t="s">
        <v>5976</v>
      </c>
      <c r="BM4271" s="192" t="s">
        <v>160</v>
      </c>
      <c r="BN4271" s="55">
        <v>3</v>
      </c>
      <c r="BO4271" s="55">
        <v>3</v>
      </c>
      <c r="BP4271" s="55">
        <v>9</v>
      </c>
      <c r="BQ4271" s="55" t="s">
        <v>2077</v>
      </c>
      <c r="BV4271" s="55" t="s">
        <v>3683</v>
      </c>
      <c r="GP4271" s="292" t="s">
        <v>7494</v>
      </c>
    </row>
    <row r="4272" spans="1:282" x14ac:dyDescent="0.25">
      <c r="A4272" s="55">
        <v>4271</v>
      </c>
      <c r="B4272" s="12" t="s">
        <v>7067</v>
      </c>
      <c r="C4272" s="155">
        <v>188</v>
      </c>
      <c r="D4272" s="55" t="s">
        <v>3690</v>
      </c>
      <c r="E4272" s="90" t="s">
        <v>3674</v>
      </c>
      <c r="G4272" s="55" t="s">
        <v>3675</v>
      </c>
      <c r="H4272" s="55">
        <v>2016</v>
      </c>
      <c r="I4272" s="55">
        <v>2011</v>
      </c>
      <c r="J4272" s="55" t="s">
        <v>3678</v>
      </c>
      <c r="K4272" s="55" t="s">
        <v>3677</v>
      </c>
      <c r="L4272" s="55" t="s">
        <v>3377</v>
      </c>
      <c r="M4272" s="90">
        <f>35+21/60</f>
        <v>35.35</v>
      </c>
      <c r="N4272" s="90">
        <f>109+56/60</f>
        <v>109.93333333333334</v>
      </c>
      <c r="O4272" s="90">
        <v>838</v>
      </c>
      <c r="U4272" s="55" t="s">
        <v>1935</v>
      </c>
      <c r="V4272" s="55" t="s">
        <v>1816</v>
      </c>
      <c r="Y4272" s="55" t="s">
        <v>3676</v>
      </c>
      <c r="Z4272" s="55" t="s">
        <v>1404</v>
      </c>
      <c r="AA4272" s="90" t="s">
        <v>3679</v>
      </c>
      <c r="AD4272" s="90">
        <f>(1.2+1.385)/2</f>
        <v>1.2925</v>
      </c>
      <c r="AE4272" s="90">
        <v>8</v>
      </c>
      <c r="AF4272" s="90">
        <v>67</v>
      </c>
      <c r="AH4272" s="55" t="s">
        <v>6378</v>
      </c>
      <c r="AI4272" s="168">
        <v>8.3000000000000007</v>
      </c>
      <c r="AJ4272" s="90">
        <v>1.302</v>
      </c>
      <c r="AM4272" s="55" t="s">
        <v>3112</v>
      </c>
      <c r="AN4272" s="185" t="s">
        <v>3681</v>
      </c>
      <c r="AO4272" s="185" t="s">
        <v>5150</v>
      </c>
      <c r="AQ4272" s="55" t="s">
        <v>553</v>
      </c>
      <c r="AR4272" s="55" t="s">
        <v>3680</v>
      </c>
      <c r="AS4272" s="55" t="s">
        <v>3471</v>
      </c>
      <c r="AU4272" s="181" t="s">
        <v>7494</v>
      </c>
      <c r="AV4272" s="185" t="s">
        <v>176</v>
      </c>
      <c r="AX4272" s="185" t="s">
        <v>176</v>
      </c>
      <c r="BE4272" s="226" t="s">
        <v>3685</v>
      </c>
      <c r="BF4272" s="191" t="s">
        <v>479</v>
      </c>
      <c r="BG4272" s="191" t="s">
        <v>479</v>
      </c>
      <c r="BH4272" s="226" t="s">
        <v>3685</v>
      </c>
      <c r="BI4272" s="191" t="s">
        <v>479</v>
      </c>
      <c r="BJ4272" s="55" t="s">
        <v>176</v>
      </c>
      <c r="BK4272" s="55" t="s">
        <v>5976</v>
      </c>
      <c r="BM4272" s="192" t="s">
        <v>160</v>
      </c>
      <c r="BN4272" s="55">
        <v>3</v>
      </c>
      <c r="BO4272" s="55">
        <v>3</v>
      </c>
      <c r="BP4272" s="55">
        <v>9</v>
      </c>
      <c r="BQ4272" s="55" t="s">
        <v>2077</v>
      </c>
      <c r="BV4272" s="55" t="s">
        <v>3683</v>
      </c>
      <c r="GP4272" s="292" t="s">
        <v>7494</v>
      </c>
    </row>
    <row r="4273" spans="1:198" x14ac:dyDescent="0.25">
      <c r="A4273" s="55">
        <v>4272</v>
      </c>
      <c r="B4273" s="12" t="s">
        <v>7067</v>
      </c>
      <c r="C4273" s="155">
        <v>188</v>
      </c>
      <c r="D4273" s="55" t="s">
        <v>3691</v>
      </c>
      <c r="E4273" s="90" t="s">
        <v>3674</v>
      </c>
      <c r="G4273" s="55" t="s">
        <v>3675</v>
      </c>
      <c r="H4273" s="55">
        <v>2016</v>
      </c>
      <c r="I4273" s="55">
        <v>2011</v>
      </c>
      <c r="J4273" s="55" t="s">
        <v>3678</v>
      </c>
      <c r="K4273" s="55" t="s">
        <v>3677</v>
      </c>
      <c r="L4273" s="55" t="s">
        <v>3377</v>
      </c>
      <c r="M4273" s="90">
        <f>35+21/60</f>
        <v>35.35</v>
      </c>
      <c r="N4273" s="90">
        <f>109+56/60</f>
        <v>109.93333333333334</v>
      </c>
      <c r="O4273" s="90">
        <v>838</v>
      </c>
      <c r="U4273" s="55" t="s">
        <v>1935</v>
      </c>
      <c r="V4273" s="55" t="s">
        <v>1816</v>
      </c>
      <c r="Y4273" s="55" t="s">
        <v>3676</v>
      </c>
      <c r="Z4273" s="55" t="s">
        <v>1404</v>
      </c>
      <c r="AA4273" s="90" t="s">
        <v>3679</v>
      </c>
      <c r="AD4273" s="90">
        <f>(1.2+1.385)/2</f>
        <v>1.2925</v>
      </c>
      <c r="AE4273" s="90">
        <v>8</v>
      </c>
      <c r="AF4273" s="90">
        <v>67</v>
      </c>
      <c r="AH4273" s="55" t="s">
        <v>6378</v>
      </c>
      <c r="AI4273" s="168">
        <v>8.3000000000000007</v>
      </c>
      <c r="AJ4273" s="90">
        <v>1.302</v>
      </c>
      <c r="AM4273" s="55" t="s">
        <v>3112</v>
      </c>
      <c r="AN4273" s="185" t="s">
        <v>3681</v>
      </c>
      <c r="AO4273" s="185" t="s">
        <v>5150</v>
      </c>
      <c r="AQ4273" s="55" t="s">
        <v>553</v>
      </c>
      <c r="AR4273" s="55" t="s">
        <v>3680</v>
      </c>
      <c r="AS4273" s="55" t="s">
        <v>3471</v>
      </c>
      <c r="AU4273" s="181" t="s">
        <v>7494</v>
      </c>
      <c r="AV4273" s="185" t="s">
        <v>176</v>
      </c>
      <c r="AX4273" s="185" t="s">
        <v>176</v>
      </c>
      <c r="BE4273" s="226" t="s">
        <v>3686</v>
      </c>
      <c r="BF4273" s="191" t="s">
        <v>479</v>
      </c>
      <c r="BG4273" s="191" t="s">
        <v>479</v>
      </c>
      <c r="BH4273" s="226" t="s">
        <v>3686</v>
      </c>
      <c r="BI4273" s="191" t="s">
        <v>479</v>
      </c>
      <c r="BJ4273" s="55" t="s">
        <v>176</v>
      </c>
      <c r="BK4273" s="55" t="s">
        <v>5976</v>
      </c>
      <c r="BM4273" s="192" t="s">
        <v>160</v>
      </c>
      <c r="BN4273" s="55">
        <v>3</v>
      </c>
      <c r="BO4273" s="55">
        <v>3</v>
      </c>
      <c r="BP4273" s="55">
        <v>9</v>
      </c>
      <c r="BQ4273" s="55" t="s">
        <v>2077</v>
      </c>
      <c r="BV4273" s="55" t="s">
        <v>3683</v>
      </c>
      <c r="GP4273" s="292" t="s">
        <v>7494</v>
      </c>
    </row>
    <row r="4274" spans="1:198" x14ac:dyDescent="0.25">
      <c r="A4274" s="55">
        <v>4273</v>
      </c>
      <c r="B4274" s="12" t="s">
        <v>7067</v>
      </c>
      <c r="C4274" s="155">
        <v>188</v>
      </c>
      <c r="D4274" s="55" t="s">
        <v>3692</v>
      </c>
      <c r="E4274" s="90" t="s">
        <v>3674</v>
      </c>
      <c r="G4274" s="55" t="s">
        <v>3675</v>
      </c>
      <c r="H4274" s="55">
        <v>2016</v>
      </c>
      <c r="I4274" s="55">
        <v>2011</v>
      </c>
      <c r="J4274" s="55" t="s">
        <v>3678</v>
      </c>
      <c r="K4274" s="55" t="s">
        <v>3677</v>
      </c>
      <c r="L4274" s="55" t="s">
        <v>3377</v>
      </c>
      <c r="M4274" s="90">
        <f>35+21/60</f>
        <v>35.35</v>
      </c>
      <c r="N4274" s="90">
        <f>109+56/60</f>
        <v>109.93333333333334</v>
      </c>
      <c r="O4274" s="90">
        <v>838</v>
      </c>
      <c r="U4274" s="55" t="s">
        <v>1935</v>
      </c>
      <c r="V4274" s="55" t="s">
        <v>1816</v>
      </c>
      <c r="Y4274" s="55" t="s">
        <v>3676</v>
      </c>
      <c r="Z4274" s="55" t="s">
        <v>1404</v>
      </c>
      <c r="AA4274" s="90" t="s">
        <v>3679</v>
      </c>
      <c r="AD4274" s="90">
        <f>(1.2+1.385)/2</f>
        <v>1.2925</v>
      </c>
      <c r="AE4274" s="90">
        <v>8</v>
      </c>
      <c r="AF4274" s="90">
        <v>67</v>
      </c>
      <c r="AH4274" s="55" t="s">
        <v>6378</v>
      </c>
      <c r="AI4274" s="168">
        <v>8.3000000000000007</v>
      </c>
      <c r="AJ4274" s="90">
        <v>1.302</v>
      </c>
      <c r="AM4274" s="55" t="s">
        <v>3112</v>
      </c>
      <c r="AN4274" s="185" t="s">
        <v>3681</v>
      </c>
      <c r="AO4274" s="185" t="s">
        <v>5150</v>
      </c>
      <c r="AQ4274" s="55" t="s">
        <v>553</v>
      </c>
      <c r="AR4274" s="55" t="s">
        <v>3680</v>
      </c>
      <c r="AS4274" s="55" t="s">
        <v>3471</v>
      </c>
      <c r="AU4274" s="181" t="s">
        <v>7494</v>
      </c>
      <c r="AV4274" s="185" t="s">
        <v>176</v>
      </c>
      <c r="AX4274" s="185" t="s">
        <v>176</v>
      </c>
      <c r="BE4274" s="226" t="s">
        <v>3687</v>
      </c>
      <c r="BF4274" s="191" t="s">
        <v>479</v>
      </c>
      <c r="BG4274" s="191" t="s">
        <v>479</v>
      </c>
      <c r="BH4274" s="226" t="s">
        <v>3687</v>
      </c>
      <c r="BI4274" s="191" t="s">
        <v>479</v>
      </c>
      <c r="BJ4274" s="55" t="s">
        <v>176</v>
      </c>
      <c r="BK4274" s="55" t="s">
        <v>5976</v>
      </c>
      <c r="BM4274" s="192" t="s">
        <v>160</v>
      </c>
      <c r="BN4274" s="55">
        <v>3</v>
      </c>
      <c r="BO4274" s="55">
        <v>3</v>
      </c>
      <c r="BP4274" s="55">
        <v>9</v>
      </c>
      <c r="BQ4274" s="55" t="s">
        <v>2077</v>
      </c>
      <c r="BV4274" s="55" t="s">
        <v>3683</v>
      </c>
      <c r="GP4274" s="292" t="s">
        <v>7494</v>
      </c>
    </row>
    <row r="4275" spans="1:198" x14ac:dyDescent="0.25">
      <c r="A4275" s="55">
        <v>4274</v>
      </c>
      <c r="B4275" s="12" t="s">
        <v>7067</v>
      </c>
      <c r="C4275" s="155">
        <v>188</v>
      </c>
      <c r="D4275" s="55" t="s">
        <v>3693</v>
      </c>
      <c r="E4275" s="90" t="s">
        <v>3674</v>
      </c>
      <c r="G4275" s="55" t="s">
        <v>3675</v>
      </c>
      <c r="H4275" s="55">
        <v>2016</v>
      </c>
      <c r="I4275" s="55">
        <v>2011</v>
      </c>
      <c r="J4275" s="55" t="s">
        <v>3678</v>
      </c>
      <c r="K4275" s="55" t="s">
        <v>3677</v>
      </c>
      <c r="L4275" s="55" t="s">
        <v>3377</v>
      </c>
      <c r="M4275" s="90">
        <f>35+21/60</f>
        <v>35.35</v>
      </c>
      <c r="N4275" s="90">
        <f>109+56/60</f>
        <v>109.93333333333334</v>
      </c>
      <c r="O4275" s="90">
        <v>838</v>
      </c>
      <c r="U4275" s="55" t="s">
        <v>1935</v>
      </c>
      <c r="V4275" s="55" t="s">
        <v>1816</v>
      </c>
      <c r="Y4275" s="55" t="s">
        <v>3676</v>
      </c>
      <c r="Z4275" s="55" t="s">
        <v>1404</v>
      </c>
      <c r="AA4275" s="90" t="s">
        <v>3679</v>
      </c>
      <c r="AD4275" s="90">
        <f>(1.2+1.385)/2</f>
        <v>1.2925</v>
      </c>
      <c r="AE4275" s="90">
        <v>8</v>
      </c>
      <c r="AF4275" s="90">
        <v>67</v>
      </c>
      <c r="AH4275" s="55" t="s">
        <v>6378</v>
      </c>
      <c r="AI4275" s="168">
        <v>8.3000000000000007</v>
      </c>
      <c r="AJ4275" s="90">
        <v>1.302</v>
      </c>
      <c r="AM4275" s="55" t="s">
        <v>3112</v>
      </c>
      <c r="AN4275" s="185" t="s">
        <v>3681</v>
      </c>
      <c r="AO4275" s="185" t="s">
        <v>5150</v>
      </c>
      <c r="AQ4275" s="55" t="s">
        <v>553</v>
      </c>
      <c r="AR4275" s="55" t="s">
        <v>3680</v>
      </c>
      <c r="AS4275" s="55" t="s">
        <v>3471</v>
      </c>
      <c r="AU4275" s="181" t="s">
        <v>7494</v>
      </c>
      <c r="AV4275" s="185" t="s">
        <v>176</v>
      </c>
      <c r="AX4275" s="185" t="s">
        <v>176</v>
      </c>
      <c r="BE4275" s="226" t="s">
        <v>3688</v>
      </c>
      <c r="BF4275" s="191" t="s">
        <v>479</v>
      </c>
      <c r="BG4275" s="191" t="s">
        <v>479</v>
      </c>
      <c r="BH4275" s="226" t="s">
        <v>3688</v>
      </c>
      <c r="BI4275" s="191" t="s">
        <v>479</v>
      </c>
      <c r="BJ4275" s="55" t="s">
        <v>176</v>
      </c>
      <c r="BK4275" s="55" t="s">
        <v>5976</v>
      </c>
      <c r="BM4275" s="192" t="s">
        <v>160</v>
      </c>
      <c r="BN4275" s="55">
        <v>3</v>
      </c>
      <c r="BO4275" s="55">
        <v>3</v>
      </c>
      <c r="BP4275" s="55">
        <v>9</v>
      </c>
      <c r="BQ4275" s="55" t="s">
        <v>2077</v>
      </c>
      <c r="BV4275" s="55" t="s">
        <v>3683</v>
      </c>
      <c r="GP4275" s="292" t="s">
        <v>7494</v>
      </c>
    </row>
    <row r="4276" spans="1:198" x14ac:dyDescent="0.25">
      <c r="A4276" s="55">
        <v>4275</v>
      </c>
      <c r="B4276" s="12" t="s">
        <v>7067</v>
      </c>
      <c r="C4276" s="155">
        <v>188</v>
      </c>
      <c r="D4276" s="55" t="s">
        <v>3689</v>
      </c>
      <c r="E4276" s="90" t="s">
        <v>3674</v>
      </c>
      <c r="G4276" s="55" t="s">
        <v>3675</v>
      </c>
      <c r="H4276" s="55">
        <v>2016</v>
      </c>
      <c r="I4276" s="55">
        <v>2011</v>
      </c>
      <c r="J4276" s="55" t="s">
        <v>3678</v>
      </c>
      <c r="K4276" s="55" t="s">
        <v>3677</v>
      </c>
      <c r="L4276" s="55" t="s">
        <v>3377</v>
      </c>
      <c r="M4276" s="90">
        <f>35+21/60</f>
        <v>35.35</v>
      </c>
      <c r="N4276" s="90">
        <f>109+56/60</f>
        <v>109.93333333333334</v>
      </c>
      <c r="O4276" s="90">
        <v>838</v>
      </c>
      <c r="U4276" s="55" t="s">
        <v>1935</v>
      </c>
      <c r="V4276" s="55" t="s">
        <v>1816</v>
      </c>
      <c r="Y4276" s="55" t="s">
        <v>3676</v>
      </c>
      <c r="Z4276" s="55" t="s">
        <v>1404</v>
      </c>
      <c r="AA4276" s="90" t="s">
        <v>3679</v>
      </c>
      <c r="AD4276" s="90">
        <f>(1.2+1.385)/2</f>
        <v>1.2925</v>
      </c>
      <c r="AE4276" s="90">
        <v>8</v>
      </c>
      <c r="AF4276" s="90">
        <v>67</v>
      </c>
      <c r="AH4276" s="55" t="s">
        <v>6378</v>
      </c>
      <c r="AI4276" s="168">
        <v>8.3000000000000007</v>
      </c>
      <c r="AJ4276" s="90">
        <v>1.302</v>
      </c>
      <c r="AM4276" s="55" t="s">
        <v>3112</v>
      </c>
      <c r="AN4276" s="185" t="s">
        <v>3681</v>
      </c>
      <c r="AO4276" s="185" t="s">
        <v>5150</v>
      </c>
      <c r="AQ4276" s="55" t="s">
        <v>553</v>
      </c>
      <c r="AR4276" s="55" t="s">
        <v>3680</v>
      </c>
      <c r="AS4276" s="55" t="s">
        <v>3471</v>
      </c>
      <c r="AU4276" s="181" t="s">
        <v>7494</v>
      </c>
      <c r="AV4276" s="185" t="s">
        <v>176</v>
      </c>
      <c r="AX4276" s="185" t="s">
        <v>176</v>
      </c>
      <c r="BE4276" s="226" t="s">
        <v>3068</v>
      </c>
      <c r="BF4276" s="191" t="s">
        <v>176</v>
      </c>
      <c r="BG4276" s="191" t="s">
        <v>176</v>
      </c>
      <c r="BH4276" s="226" t="s">
        <v>3068</v>
      </c>
      <c r="BI4276" s="191" t="s">
        <v>176</v>
      </c>
      <c r="BJ4276" s="55" t="s">
        <v>176</v>
      </c>
      <c r="BK4276" s="55" t="s">
        <v>5976</v>
      </c>
      <c r="BM4276" s="192" t="s">
        <v>160</v>
      </c>
      <c r="BN4276" s="55">
        <v>3</v>
      </c>
      <c r="BO4276" s="55">
        <v>3</v>
      </c>
      <c r="BP4276" s="55">
        <v>9</v>
      </c>
      <c r="BQ4276" s="55" t="s">
        <v>2077</v>
      </c>
      <c r="BV4276" s="55" t="s">
        <v>3684</v>
      </c>
      <c r="GD4276" s="65">
        <f>1/2000*100*577.2</f>
        <v>28.860000000000003</v>
      </c>
      <c r="GE4276" s="65">
        <f>1/2000*100*563.8</f>
        <v>28.189999999999998</v>
      </c>
      <c r="GH4276" s="65" t="s">
        <v>3694</v>
      </c>
      <c r="GP4276" s="292" t="s">
        <v>7494</v>
      </c>
    </row>
    <row r="4277" spans="1:198" x14ac:dyDescent="0.25">
      <c r="A4277" s="55">
        <v>4276</v>
      </c>
      <c r="B4277" s="12" t="s">
        <v>7067</v>
      </c>
      <c r="C4277" s="155">
        <v>188</v>
      </c>
      <c r="D4277" s="55" t="s">
        <v>3690</v>
      </c>
      <c r="E4277" s="90" t="s">
        <v>3674</v>
      </c>
      <c r="G4277" s="55" t="s">
        <v>3675</v>
      </c>
      <c r="H4277" s="55">
        <v>2016</v>
      </c>
      <c r="I4277" s="55">
        <v>2011</v>
      </c>
      <c r="J4277" s="55" t="s">
        <v>3678</v>
      </c>
      <c r="K4277" s="55" t="s">
        <v>3677</v>
      </c>
      <c r="L4277" s="55" t="s">
        <v>3377</v>
      </c>
      <c r="M4277" s="90">
        <f>35+21/60</f>
        <v>35.35</v>
      </c>
      <c r="N4277" s="90">
        <f>109+56/60</f>
        <v>109.93333333333334</v>
      </c>
      <c r="O4277" s="90">
        <v>838</v>
      </c>
      <c r="U4277" s="55" t="s">
        <v>1935</v>
      </c>
      <c r="V4277" s="55" t="s">
        <v>1816</v>
      </c>
      <c r="Y4277" s="55" t="s">
        <v>3676</v>
      </c>
      <c r="Z4277" s="55" t="s">
        <v>1404</v>
      </c>
      <c r="AA4277" s="90" t="s">
        <v>3679</v>
      </c>
      <c r="AD4277" s="90">
        <f>(1.2+1.385)/2</f>
        <v>1.2925</v>
      </c>
      <c r="AE4277" s="90">
        <v>8</v>
      </c>
      <c r="AF4277" s="90">
        <v>67</v>
      </c>
      <c r="AH4277" s="55" t="s">
        <v>6378</v>
      </c>
      <c r="AI4277" s="168">
        <v>8.3000000000000007</v>
      </c>
      <c r="AJ4277" s="90">
        <v>1.302</v>
      </c>
      <c r="AM4277" s="55" t="s">
        <v>3112</v>
      </c>
      <c r="AN4277" s="185" t="s">
        <v>3681</v>
      </c>
      <c r="AO4277" s="185" t="s">
        <v>5150</v>
      </c>
      <c r="AQ4277" s="55" t="s">
        <v>553</v>
      </c>
      <c r="AR4277" s="55" t="s">
        <v>3680</v>
      </c>
      <c r="AS4277" s="55" t="s">
        <v>3471</v>
      </c>
      <c r="AU4277" s="181" t="s">
        <v>7494</v>
      </c>
      <c r="AV4277" s="185" t="s">
        <v>176</v>
      </c>
      <c r="AX4277" s="185" t="s">
        <v>176</v>
      </c>
      <c r="BE4277" s="226" t="s">
        <v>3685</v>
      </c>
      <c r="BF4277" s="191" t="s">
        <v>479</v>
      </c>
      <c r="BG4277" s="191" t="s">
        <v>479</v>
      </c>
      <c r="BH4277" s="226" t="s">
        <v>3685</v>
      </c>
      <c r="BI4277" s="191" t="s">
        <v>479</v>
      </c>
      <c r="BJ4277" s="55" t="s">
        <v>176</v>
      </c>
      <c r="BK4277" s="55" t="s">
        <v>5976</v>
      </c>
      <c r="BM4277" s="192" t="s">
        <v>160</v>
      </c>
      <c r="BN4277" s="55">
        <v>3</v>
      </c>
      <c r="BO4277" s="55">
        <v>3</v>
      </c>
      <c r="BP4277" s="55">
        <v>9</v>
      </c>
      <c r="BQ4277" s="55" t="s">
        <v>2077</v>
      </c>
      <c r="BV4277" s="55" t="s">
        <v>3684</v>
      </c>
      <c r="GD4277" s="65">
        <f>1/2000*100*554.2</f>
        <v>27.710000000000004</v>
      </c>
      <c r="GE4277" s="65">
        <f>1/2000*100*568.1</f>
        <v>28.405000000000001</v>
      </c>
      <c r="GH4277" s="65" t="s">
        <v>3694</v>
      </c>
      <c r="GP4277" s="292" t="s">
        <v>7494</v>
      </c>
    </row>
    <row r="4278" spans="1:198" x14ac:dyDescent="0.25">
      <c r="A4278" s="55">
        <v>4277</v>
      </c>
      <c r="B4278" s="12" t="s">
        <v>7067</v>
      </c>
      <c r="C4278" s="155">
        <v>188</v>
      </c>
      <c r="D4278" s="55" t="s">
        <v>3691</v>
      </c>
      <c r="E4278" s="90" t="s">
        <v>3674</v>
      </c>
      <c r="G4278" s="55" t="s">
        <v>3675</v>
      </c>
      <c r="H4278" s="55">
        <v>2016</v>
      </c>
      <c r="I4278" s="55">
        <v>2011</v>
      </c>
      <c r="J4278" s="55" t="s">
        <v>3678</v>
      </c>
      <c r="K4278" s="55" t="s">
        <v>3677</v>
      </c>
      <c r="L4278" s="55" t="s">
        <v>3377</v>
      </c>
      <c r="M4278" s="90">
        <f>35+21/60</f>
        <v>35.35</v>
      </c>
      <c r="N4278" s="90">
        <f>109+56/60</f>
        <v>109.93333333333334</v>
      </c>
      <c r="O4278" s="90">
        <v>838</v>
      </c>
      <c r="U4278" s="55" t="s">
        <v>1935</v>
      </c>
      <c r="V4278" s="55" t="s">
        <v>1816</v>
      </c>
      <c r="Y4278" s="55" t="s">
        <v>3676</v>
      </c>
      <c r="Z4278" s="55" t="s">
        <v>1404</v>
      </c>
      <c r="AA4278" s="90" t="s">
        <v>3679</v>
      </c>
      <c r="AD4278" s="90">
        <f>(1.2+1.385)/2</f>
        <v>1.2925</v>
      </c>
      <c r="AE4278" s="90">
        <v>8</v>
      </c>
      <c r="AF4278" s="90">
        <v>67</v>
      </c>
      <c r="AH4278" s="55" t="s">
        <v>6378</v>
      </c>
      <c r="AI4278" s="168">
        <v>8.3000000000000007</v>
      </c>
      <c r="AJ4278" s="90">
        <v>1.302</v>
      </c>
      <c r="AM4278" s="55" t="s">
        <v>3112</v>
      </c>
      <c r="AN4278" s="185" t="s">
        <v>3681</v>
      </c>
      <c r="AO4278" s="185" t="s">
        <v>5150</v>
      </c>
      <c r="AQ4278" s="55" t="s">
        <v>553</v>
      </c>
      <c r="AR4278" s="55" t="s">
        <v>3680</v>
      </c>
      <c r="AS4278" s="55" t="s">
        <v>3471</v>
      </c>
      <c r="AU4278" s="181" t="s">
        <v>7494</v>
      </c>
      <c r="AV4278" s="185" t="s">
        <v>176</v>
      </c>
      <c r="AX4278" s="185" t="s">
        <v>176</v>
      </c>
      <c r="BE4278" s="226" t="s">
        <v>3686</v>
      </c>
      <c r="BF4278" s="191" t="s">
        <v>479</v>
      </c>
      <c r="BG4278" s="191" t="s">
        <v>479</v>
      </c>
      <c r="BH4278" s="226" t="s">
        <v>3686</v>
      </c>
      <c r="BI4278" s="191" t="s">
        <v>479</v>
      </c>
      <c r="BJ4278" s="55" t="s">
        <v>176</v>
      </c>
      <c r="BK4278" s="55" t="s">
        <v>5976</v>
      </c>
      <c r="BM4278" s="192" t="s">
        <v>160</v>
      </c>
      <c r="BN4278" s="55">
        <v>3</v>
      </c>
      <c r="BO4278" s="55">
        <v>3</v>
      </c>
      <c r="BP4278" s="55">
        <v>9</v>
      </c>
      <c r="BQ4278" s="55" t="s">
        <v>2077</v>
      </c>
      <c r="BV4278" s="55" t="s">
        <v>3684</v>
      </c>
      <c r="GD4278" s="65">
        <f>1/2000*100*582</f>
        <v>29.1</v>
      </c>
      <c r="GE4278" s="65">
        <f>1/2000*100*589.9</f>
        <v>29.495000000000001</v>
      </c>
      <c r="GH4278" s="65" t="s">
        <v>3694</v>
      </c>
      <c r="GP4278" s="292" t="s">
        <v>7494</v>
      </c>
    </row>
    <row r="4279" spans="1:198" x14ac:dyDescent="0.25">
      <c r="A4279" s="55">
        <v>4278</v>
      </c>
      <c r="B4279" s="12" t="s">
        <v>7067</v>
      </c>
      <c r="C4279" s="155">
        <v>188</v>
      </c>
      <c r="D4279" s="55" t="s">
        <v>3692</v>
      </c>
      <c r="E4279" s="90" t="s">
        <v>3674</v>
      </c>
      <c r="G4279" s="55" t="s">
        <v>3675</v>
      </c>
      <c r="H4279" s="55">
        <v>2016</v>
      </c>
      <c r="I4279" s="55">
        <v>2011</v>
      </c>
      <c r="J4279" s="55" t="s">
        <v>3678</v>
      </c>
      <c r="K4279" s="55" t="s">
        <v>3677</v>
      </c>
      <c r="L4279" s="55" t="s">
        <v>3377</v>
      </c>
      <c r="M4279" s="90">
        <f>35+21/60</f>
        <v>35.35</v>
      </c>
      <c r="N4279" s="90">
        <f>109+56/60</f>
        <v>109.93333333333334</v>
      </c>
      <c r="O4279" s="90">
        <v>838</v>
      </c>
      <c r="U4279" s="55" t="s">
        <v>1935</v>
      </c>
      <c r="V4279" s="55" t="s">
        <v>1816</v>
      </c>
      <c r="Y4279" s="55" t="s">
        <v>3676</v>
      </c>
      <c r="Z4279" s="55" t="s">
        <v>1404</v>
      </c>
      <c r="AA4279" s="90" t="s">
        <v>3679</v>
      </c>
      <c r="AD4279" s="90">
        <f>(1.2+1.385)/2</f>
        <v>1.2925</v>
      </c>
      <c r="AE4279" s="90">
        <v>8</v>
      </c>
      <c r="AF4279" s="90">
        <v>67</v>
      </c>
      <c r="AH4279" s="55" t="s">
        <v>6378</v>
      </c>
      <c r="AI4279" s="168">
        <v>8.3000000000000007</v>
      </c>
      <c r="AJ4279" s="90">
        <v>1.302</v>
      </c>
      <c r="AM4279" s="55" t="s">
        <v>3112</v>
      </c>
      <c r="AN4279" s="185" t="s">
        <v>3681</v>
      </c>
      <c r="AO4279" s="185" t="s">
        <v>5150</v>
      </c>
      <c r="AQ4279" s="55" t="s">
        <v>553</v>
      </c>
      <c r="AR4279" s="55" t="s">
        <v>3680</v>
      </c>
      <c r="AS4279" s="55" t="s">
        <v>3471</v>
      </c>
      <c r="AU4279" s="181" t="s">
        <v>7494</v>
      </c>
      <c r="AV4279" s="185" t="s">
        <v>176</v>
      </c>
      <c r="AX4279" s="185" t="s">
        <v>176</v>
      </c>
      <c r="BE4279" s="226" t="s">
        <v>3687</v>
      </c>
      <c r="BF4279" s="191" t="s">
        <v>479</v>
      </c>
      <c r="BG4279" s="191" t="s">
        <v>479</v>
      </c>
      <c r="BH4279" s="226" t="s">
        <v>3687</v>
      </c>
      <c r="BI4279" s="191" t="s">
        <v>479</v>
      </c>
      <c r="BJ4279" s="55" t="s">
        <v>176</v>
      </c>
      <c r="BK4279" s="55" t="s">
        <v>5976</v>
      </c>
      <c r="BM4279" s="192" t="s">
        <v>160</v>
      </c>
      <c r="BN4279" s="55">
        <v>3</v>
      </c>
      <c r="BO4279" s="55">
        <v>3</v>
      </c>
      <c r="BP4279" s="55">
        <v>9</v>
      </c>
      <c r="BQ4279" s="55" t="s">
        <v>2077</v>
      </c>
      <c r="BV4279" s="55" t="s">
        <v>3684</v>
      </c>
      <c r="GD4279" s="65">
        <f>1/2000*100*555.8</f>
        <v>27.79</v>
      </c>
      <c r="GE4279" s="65">
        <f>1/2000*100*571.1</f>
        <v>28.555000000000003</v>
      </c>
      <c r="GH4279" s="65" t="s">
        <v>3694</v>
      </c>
      <c r="GP4279" s="292" t="s">
        <v>7494</v>
      </c>
    </row>
    <row r="4280" spans="1:198" x14ac:dyDescent="0.25">
      <c r="A4280" s="55">
        <v>4279</v>
      </c>
      <c r="B4280" s="12" t="s">
        <v>7067</v>
      </c>
      <c r="C4280" s="155">
        <v>188</v>
      </c>
      <c r="D4280" s="55" t="s">
        <v>3693</v>
      </c>
      <c r="E4280" s="90" t="s">
        <v>3674</v>
      </c>
      <c r="G4280" s="55" t="s">
        <v>3675</v>
      </c>
      <c r="H4280" s="55">
        <v>2016</v>
      </c>
      <c r="I4280" s="55">
        <v>2011</v>
      </c>
      <c r="J4280" s="55" t="s">
        <v>3678</v>
      </c>
      <c r="K4280" s="55" t="s">
        <v>3677</v>
      </c>
      <c r="L4280" s="55" t="s">
        <v>3377</v>
      </c>
      <c r="M4280" s="90">
        <f>35+21/60</f>
        <v>35.35</v>
      </c>
      <c r="N4280" s="90">
        <f>109+56/60</f>
        <v>109.93333333333334</v>
      </c>
      <c r="O4280" s="90">
        <v>838</v>
      </c>
      <c r="U4280" s="55" t="s">
        <v>1935</v>
      </c>
      <c r="V4280" s="55" t="s">
        <v>1816</v>
      </c>
      <c r="Y4280" s="55" t="s">
        <v>3676</v>
      </c>
      <c r="Z4280" s="55" t="s">
        <v>1404</v>
      </c>
      <c r="AA4280" s="90" t="s">
        <v>3679</v>
      </c>
      <c r="AD4280" s="90">
        <f>(1.2+1.385)/2</f>
        <v>1.2925</v>
      </c>
      <c r="AE4280" s="90">
        <v>8</v>
      </c>
      <c r="AF4280" s="90">
        <v>67</v>
      </c>
      <c r="AH4280" s="55" t="s">
        <v>6378</v>
      </c>
      <c r="AI4280" s="168">
        <v>8.3000000000000007</v>
      </c>
      <c r="AJ4280" s="90">
        <v>1.302</v>
      </c>
      <c r="AM4280" s="55" t="s">
        <v>3112</v>
      </c>
      <c r="AN4280" s="185" t="s">
        <v>3681</v>
      </c>
      <c r="AO4280" s="185" t="s">
        <v>5150</v>
      </c>
      <c r="AQ4280" s="55" t="s">
        <v>553</v>
      </c>
      <c r="AR4280" s="55" t="s">
        <v>3680</v>
      </c>
      <c r="AS4280" s="55" t="s">
        <v>3471</v>
      </c>
      <c r="AU4280" s="181" t="s">
        <v>7494</v>
      </c>
      <c r="AV4280" s="185" t="s">
        <v>176</v>
      </c>
      <c r="AX4280" s="185" t="s">
        <v>176</v>
      </c>
      <c r="BE4280" s="226" t="s">
        <v>3688</v>
      </c>
      <c r="BF4280" s="191" t="s">
        <v>479</v>
      </c>
      <c r="BG4280" s="191" t="s">
        <v>479</v>
      </c>
      <c r="BH4280" s="226" t="s">
        <v>3688</v>
      </c>
      <c r="BI4280" s="191" t="s">
        <v>479</v>
      </c>
      <c r="BJ4280" s="55" t="s">
        <v>176</v>
      </c>
      <c r="BK4280" s="55" t="s">
        <v>5976</v>
      </c>
      <c r="BM4280" s="192" t="s">
        <v>160</v>
      </c>
      <c r="BN4280" s="55">
        <v>3</v>
      </c>
      <c r="BO4280" s="55">
        <v>3</v>
      </c>
      <c r="BP4280" s="55">
        <v>9</v>
      </c>
      <c r="BQ4280" s="55" t="s">
        <v>2077</v>
      </c>
      <c r="BV4280" s="55" t="s">
        <v>3684</v>
      </c>
      <c r="GD4280" s="65">
        <f>1/2000*100*583.9</f>
        <v>29.195</v>
      </c>
      <c r="GE4280" s="65">
        <f>1/2000*100*590.9</f>
        <v>29.545000000000002</v>
      </c>
      <c r="GH4280" s="65" t="s">
        <v>3694</v>
      </c>
      <c r="GP4280" s="292" t="s">
        <v>7494</v>
      </c>
    </row>
    <row r="4281" spans="1:198" x14ac:dyDescent="0.25">
      <c r="A4281" s="55">
        <v>4280</v>
      </c>
      <c r="B4281" s="12" t="s">
        <v>7067</v>
      </c>
      <c r="C4281" s="155">
        <v>188</v>
      </c>
      <c r="D4281" s="55" t="s">
        <v>3689</v>
      </c>
      <c r="E4281" s="90" t="s">
        <v>3674</v>
      </c>
      <c r="G4281" s="55" t="s">
        <v>3675</v>
      </c>
      <c r="H4281" s="55">
        <v>2016</v>
      </c>
      <c r="I4281" s="55">
        <v>2013</v>
      </c>
      <c r="J4281" s="55" t="s">
        <v>3678</v>
      </c>
      <c r="K4281" s="55" t="s">
        <v>3677</v>
      </c>
      <c r="L4281" s="55" t="s">
        <v>3377</v>
      </c>
      <c r="M4281" s="90">
        <f>35+21/60</f>
        <v>35.35</v>
      </c>
      <c r="N4281" s="90">
        <f>109+56/60</f>
        <v>109.93333333333334</v>
      </c>
      <c r="O4281" s="90">
        <v>838</v>
      </c>
      <c r="U4281" s="55" t="s">
        <v>1688</v>
      </c>
      <c r="V4281" s="55" t="s">
        <v>1816</v>
      </c>
      <c r="Y4281" s="55" t="s">
        <v>3676</v>
      </c>
      <c r="Z4281" s="55" t="s">
        <v>1346</v>
      </c>
      <c r="AA4281" s="90" t="s">
        <v>1675</v>
      </c>
      <c r="AD4281" s="90">
        <v>1.2</v>
      </c>
      <c r="AE4281" s="90">
        <v>8</v>
      </c>
      <c r="AF4281" s="90">
        <v>67</v>
      </c>
      <c r="AH4281" s="55" t="s">
        <v>6378</v>
      </c>
      <c r="AI4281" s="168">
        <v>8.3000000000000007</v>
      </c>
      <c r="AJ4281" s="90">
        <v>1.302</v>
      </c>
      <c r="AM4281" s="55" t="s">
        <v>3112</v>
      </c>
      <c r="AN4281" s="185" t="s">
        <v>3681</v>
      </c>
      <c r="AO4281" s="185" t="s">
        <v>5150</v>
      </c>
      <c r="AQ4281" s="55" t="s">
        <v>553</v>
      </c>
      <c r="AR4281" s="55" t="s">
        <v>3680</v>
      </c>
      <c r="AS4281" s="55" t="s">
        <v>3471</v>
      </c>
      <c r="AU4281" s="181" t="s">
        <v>7494</v>
      </c>
      <c r="AV4281" s="185" t="s">
        <v>176</v>
      </c>
      <c r="AX4281" s="185" t="s">
        <v>176</v>
      </c>
      <c r="BE4281" s="226" t="s">
        <v>3068</v>
      </c>
      <c r="BF4281" s="191" t="s">
        <v>176</v>
      </c>
      <c r="BG4281" s="191" t="s">
        <v>176</v>
      </c>
      <c r="BH4281" s="226" t="s">
        <v>3068</v>
      </c>
      <c r="BI4281" s="191" t="s">
        <v>176</v>
      </c>
      <c r="BJ4281" s="55" t="s">
        <v>176</v>
      </c>
      <c r="BK4281" s="55" t="s">
        <v>5976</v>
      </c>
      <c r="BM4281" s="192" t="s">
        <v>160</v>
      </c>
      <c r="BN4281" s="55">
        <v>3</v>
      </c>
      <c r="BO4281" s="55">
        <v>3</v>
      </c>
      <c r="BP4281" s="55">
        <v>9</v>
      </c>
      <c r="BQ4281" s="55" t="s">
        <v>2077</v>
      </c>
      <c r="BV4281" s="55" t="s">
        <v>3682</v>
      </c>
      <c r="CB4281" s="66">
        <v>5200</v>
      </c>
      <c r="CC4281" s="66">
        <v>13000</v>
      </c>
      <c r="CM4281" s="65">
        <v>1.36</v>
      </c>
      <c r="CN4281" s="65">
        <v>1.52</v>
      </c>
      <c r="DA4281" s="65" t="s">
        <v>4458</v>
      </c>
      <c r="GD4281" s="65">
        <f>1/2000*100*341.7</f>
        <v>17.085000000000001</v>
      </c>
      <c r="GE4281" s="65">
        <f>1/2000*100*338.2</f>
        <v>16.91</v>
      </c>
      <c r="GH4281" s="65" t="s">
        <v>3694</v>
      </c>
      <c r="GP4281" s="292" t="s">
        <v>7494</v>
      </c>
    </row>
    <row r="4282" spans="1:198" x14ac:dyDescent="0.25">
      <c r="A4282" s="55">
        <v>4281</v>
      </c>
      <c r="B4282" s="12" t="s">
        <v>7067</v>
      </c>
      <c r="C4282" s="155">
        <v>188</v>
      </c>
      <c r="D4282" s="55" t="s">
        <v>3690</v>
      </c>
      <c r="E4282" s="90" t="s">
        <v>3674</v>
      </c>
      <c r="G4282" s="55" t="s">
        <v>3675</v>
      </c>
      <c r="H4282" s="55">
        <v>2016</v>
      </c>
      <c r="I4282" s="55">
        <v>2013</v>
      </c>
      <c r="J4282" s="55" t="s">
        <v>3678</v>
      </c>
      <c r="K4282" s="55" t="s">
        <v>3677</v>
      </c>
      <c r="L4282" s="55" t="s">
        <v>3377</v>
      </c>
      <c r="M4282" s="90">
        <f>35+21/60</f>
        <v>35.35</v>
      </c>
      <c r="N4282" s="90">
        <f>109+56/60</f>
        <v>109.93333333333334</v>
      </c>
      <c r="O4282" s="90">
        <v>838</v>
      </c>
      <c r="U4282" s="55" t="s">
        <v>1688</v>
      </c>
      <c r="V4282" s="55" t="s">
        <v>1816</v>
      </c>
      <c r="Y4282" s="55" t="s">
        <v>3676</v>
      </c>
      <c r="Z4282" s="55" t="s">
        <v>1346</v>
      </c>
      <c r="AA4282" s="90" t="s">
        <v>1675</v>
      </c>
      <c r="AD4282" s="90">
        <v>1.2</v>
      </c>
      <c r="AE4282" s="90">
        <v>8</v>
      </c>
      <c r="AF4282" s="90">
        <v>67</v>
      </c>
      <c r="AH4282" s="55" t="s">
        <v>6378</v>
      </c>
      <c r="AI4282" s="168">
        <v>8.3000000000000007</v>
      </c>
      <c r="AJ4282" s="90">
        <v>1.302</v>
      </c>
      <c r="AM4282" s="55" t="s">
        <v>3112</v>
      </c>
      <c r="AN4282" s="185" t="s">
        <v>3681</v>
      </c>
      <c r="AO4282" s="185" t="s">
        <v>5150</v>
      </c>
      <c r="AQ4282" s="55" t="s">
        <v>553</v>
      </c>
      <c r="AR4282" s="55" t="s">
        <v>3680</v>
      </c>
      <c r="AS4282" s="55" t="s">
        <v>3471</v>
      </c>
      <c r="AU4282" s="181" t="s">
        <v>7494</v>
      </c>
      <c r="AV4282" s="185" t="s">
        <v>176</v>
      </c>
      <c r="AX4282" s="185" t="s">
        <v>176</v>
      </c>
      <c r="BE4282" s="226" t="s">
        <v>3685</v>
      </c>
      <c r="BF4282" s="191" t="s">
        <v>479</v>
      </c>
      <c r="BG4282" s="191" t="s">
        <v>479</v>
      </c>
      <c r="BH4282" s="226" t="s">
        <v>3685</v>
      </c>
      <c r="BI4282" s="191" t="s">
        <v>479</v>
      </c>
      <c r="BJ4282" s="55" t="s">
        <v>176</v>
      </c>
      <c r="BK4282" s="55" t="s">
        <v>5976</v>
      </c>
      <c r="BM4282" s="192" t="s">
        <v>160</v>
      </c>
      <c r="BN4282" s="55">
        <v>3</v>
      </c>
      <c r="BO4282" s="55">
        <v>3</v>
      </c>
      <c r="BP4282" s="55">
        <v>9</v>
      </c>
      <c r="BQ4282" s="55" t="s">
        <v>2077</v>
      </c>
      <c r="BV4282" s="55" t="s">
        <v>3682</v>
      </c>
      <c r="CB4282" s="66">
        <v>7800</v>
      </c>
      <c r="CC4282" s="66">
        <v>14600</v>
      </c>
      <c r="CM4282" s="65">
        <v>1.35</v>
      </c>
      <c r="CN4282" s="65">
        <v>1.65</v>
      </c>
      <c r="DA4282" s="65" t="s">
        <v>4458</v>
      </c>
      <c r="GD4282" s="65">
        <f>1/2000*100*361.7</f>
        <v>18.085000000000001</v>
      </c>
      <c r="GE4282" s="65">
        <f>1/2000*100*353.9</f>
        <v>17.695</v>
      </c>
      <c r="GH4282" s="65" t="s">
        <v>3694</v>
      </c>
      <c r="GP4282" s="292" t="s">
        <v>7494</v>
      </c>
    </row>
    <row r="4283" spans="1:198" x14ac:dyDescent="0.25">
      <c r="A4283" s="55">
        <v>4282</v>
      </c>
      <c r="B4283" s="12" t="s">
        <v>7067</v>
      </c>
      <c r="C4283" s="155">
        <v>188</v>
      </c>
      <c r="D4283" s="55" t="s">
        <v>3691</v>
      </c>
      <c r="E4283" s="90" t="s">
        <v>3674</v>
      </c>
      <c r="G4283" s="55" t="s">
        <v>3675</v>
      </c>
      <c r="H4283" s="55">
        <v>2016</v>
      </c>
      <c r="I4283" s="55">
        <v>2013</v>
      </c>
      <c r="J4283" s="55" t="s">
        <v>3678</v>
      </c>
      <c r="K4283" s="55" t="s">
        <v>3677</v>
      </c>
      <c r="L4283" s="55" t="s">
        <v>3377</v>
      </c>
      <c r="M4283" s="90">
        <f>35+21/60</f>
        <v>35.35</v>
      </c>
      <c r="N4283" s="90">
        <f>109+56/60</f>
        <v>109.93333333333334</v>
      </c>
      <c r="O4283" s="90">
        <v>838</v>
      </c>
      <c r="U4283" s="55" t="s">
        <v>1688</v>
      </c>
      <c r="V4283" s="55" t="s">
        <v>1816</v>
      </c>
      <c r="Y4283" s="55" t="s">
        <v>3676</v>
      </c>
      <c r="Z4283" s="55" t="s">
        <v>1346</v>
      </c>
      <c r="AA4283" s="90" t="s">
        <v>1675</v>
      </c>
      <c r="AD4283" s="90">
        <v>1.2</v>
      </c>
      <c r="AE4283" s="90">
        <v>8</v>
      </c>
      <c r="AF4283" s="90">
        <v>67</v>
      </c>
      <c r="AH4283" s="55" t="s">
        <v>6378</v>
      </c>
      <c r="AI4283" s="168">
        <v>8.3000000000000007</v>
      </c>
      <c r="AJ4283" s="90">
        <v>1.302</v>
      </c>
      <c r="AM4283" s="55" t="s">
        <v>3112</v>
      </c>
      <c r="AN4283" s="185" t="s">
        <v>3681</v>
      </c>
      <c r="AO4283" s="185" t="s">
        <v>5150</v>
      </c>
      <c r="AQ4283" s="55" t="s">
        <v>553</v>
      </c>
      <c r="AR4283" s="55" t="s">
        <v>3680</v>
      </c>
      <c r="AS4283" s="55" t="s">
        <v>3471</v>
      </c>
      <c r="AU4283" s="181" t="s">
        <v>7494</v>
      </c>
      <c r="AV4283" s="185" t="s">
        <v>176</v>
      </c>
      <c r="AX4283" s="185" t="s">
        <v>176</v>
      </c>
      <c r="BE4283" s="226" t="s">
        <v>3686</v>
      </c>
      <c r="BF4283" s="191" t="s">
        <v>479</v>
      </c>
      <c r="BG4283" s="191" t="s">
        <v>479</v>
      </c>
      <c r="BH4283" s="226" t="s">
        <v>3686</v>
      </c>
      <c r="BI4283" s="191" t="s">
        <v>479</v>
      </c>
      <c r="BJ4283" s="55" t="s">
        <v>176</v>
      </c>
      <c r="BK4283" s="55" t="s">
        <v>5976</v>
      </c>
      <c r="BM4283" s="192" t="s">
        <v>160</v>
      </c>
      <c r="BN4283" s="55">
        <v>3</v>
      </c>
      <c r="BO4283" s="55">
        <v>3</v>
      </c>
      <c r="BP4283" s="55">
        <v>9</v>
      </c>
      <c r="BQ4283" s="55" t="s">
        <v>2077</v>
      </c>
      <c r="BV4283" s="55" t="s">
        <v>3682</v>
      </c>
      <c r="CB4283" s="66">
        <v>9400</v>
      </c>
      <c r="CC4283" s="66">
        <v>18900</v>
      </c>
      <c r="CM4283" s="65">
        <v>1.67</v>
      </c>
      <c r="CN4283" s="65">
        <v>1.81</v>
      </c>
      <c r="DA4283" s="65" t="s">
        <v>4458</v>
      </c>
      <c r="GD4283" s="65">
        <f>1/2000*100*425.9</f>
        <v>21.295000000000002</v>
      </c>
      <c r="GE4283" s="65">
        <f>1/2000*100*428.6</f>
        <v>21.430000000000003</v>
      </c>
      <c r="GH4283" s="65" t="s">
        <v>3694</v>
      </c>
      <c r="GP4283" s="292" t="s">
        <v>7494</v>
      </c>
    </row>
    <row r="4284" spans="1:198" x14ac:dyDescent="0.25">
      <c r="A4284" s="55">
        <v>4283</v>
      </c>
      <c r="B4284" s="12" t="s">
        <v>7067</v>
      </c>
      <c r="C4284" s="155">
        <v>188</v>
      </c>
      <c r="D4284" s="55" t="s">
        <v>3692</v>
      </c>
      <c r="E4284" s="90" t="s">
        <v>3674</v>
      </c>
      <c r="G4284" s="55" t="s">
        <v>3675</v>
      </c>
      <c r="H4284" s="55">
        <v>2016</v>
      </c>
      <c r="I4284" s="55">
        <v>2013</v>
      </c>
      <c r="J4284" s="55" t="s">
        <v>3678</v>
      </c>
      <c r="K4284" s="55" t="s">
        <v>3677</v>
      </c>
      <c r="L4284" s="55" t="s">
        <v>3377</v>
      </c>
      <c r="M4284" s="90">
        <f>35+21/60</f>
        <v>35.35</v>
      </c>
      <c r="N4284" s="90">
        <f>109+56/60</f>
        <v>109.93333333333334</v>
      </c>
      <c r="O4284" s="90">
        <v>838</v>
      </c>
      <c r="U4284" s="55" t="s">
        <v>1688</v>
      </c>
      <c r="V4284" s="55" t="s">
        <v>1816</v>
      </c>
      <c r="Y4284" s="55" t="s">
        <v>3676</v>
      </c>
      <c r="Z4284" s="55" t="s">
        <v>1346</v>
      </c>
      <c r="AA4284" s="90" t="s">
        <v>1675</v>
      </c>
      <c r="AD4284" s="90">
        <v>1.2</v>
      </c>
      <c r="AE4284" s="90">
        <v>8</v>
      </c>
      <c r="AF4284" s="90">
        <v>67</v>
      </c>
      <c r="AH4284" s="55" t="s">
        <v>6378</v>
      </c>
      <c r="AI4284" s="168">
        <v>8.3000000000000007</v>
      </c>
      <c r="AJ4284" s="90">
        <v>1.302</v>
      </c>
      <c r="AM4284" s="55" t="s">
        <v>3112</v>
      </c>
      <c r="AN4284" s="185" t="s">
        <v>3681</v>
      </c>
      <c r="AO4284" s="185" t="s">
        <v>5150</v>
      </c>
      <c r="AQ4284" s="55" t="s">
        <v>553</v>
      </c>
      <c r="AR4284" s="55" t="s">
        <v>3680</v>
      </c>
      <c r="AS4284" s="55" t="s">
        <v>3471</v>
      </c>
      <c r="AU4284" s="181" t="s">
        <v>7494</v>
      </c>
      <c r="AV4284" s="185" t="s">
        <v>176</v>
      </c>
      <c r="AX4284" s="185" t="s">
        <v>176</v>
      </c>
      <c r="BE4284" s="226" t="s">
        <v>3687</v>
      </c>
      <c r="BF4284" s="191" t="s">
        <v>479</v>
      </c>
      <c r="BG4284" s="191" t="s">
        <v>479</v>
      </c>
      <c r="BH4284" s="226" t="s">
        <v>3687</v>
      </c>
      <c r="BI4284" s="191" t="s">
        <v>479</v>
      </c>
      <c r="BJ4284" s="55" t="s">
        <v>176</v>
      </c>
      <c r="BK4284" s="55" t="s">
        <v>5976</v>
      </c>
      <c r="BM4284" s="192" t="s">
        <v>160</v>
      </c>
      <c r="BN4284" s="55">
        <v>3</v>
      </c>
      <c r="BO4284" s="55">
        <v>3</v>
      </c>
      <c r="BP4284" s="55">
        <v>9</v>
      </c>
      <c r="BQ4284" s="55" t="s">
        <v>2077</v>
      </c>
      <c r="BV4284" s="55" t="s">
        <v>3682</v>
      </c>
      <c r="CB4284" s="66">
        <v>12900</v>
      </c>
      <c r="CC4284" s="66">
        <v>20800</v>
      </c>
      <c r="CM4284" s="65">
        <v>1.39</v>
      </c>
      <c r="CN4284" s="65">
        <v>1.57</v>
      </c>
      <c r="DA4284" s="65" t="s">
        <v>4458</v>
      </c>
      <c r="GD4284" s="65">
        <f>1/2000*100*358</f>
        <v>17.900000000000002</v>
      </c>
      <c r="GE4284" s="65">
        <f>1/2000*100*400.6</f>
        <v>20.03</v>
      </c>
      <c r="GH4284" s="65" t="s">
        <v>3694</v>
      </c>
      <c r="GP4284" s="292" t="s">
        <v>7494</v>
      </c>
    </row>
    <row r="4285" spans="1:198" x14ac:dyDescent="0.25">
      <c r="A4285" s="55">
        <v>4284</v>
      </c>
      <c r="B4285" s="12" t="s">
        <v>7067</v>
      </c>
      <c r="C4285" s="155">
        <v>188</v>
      </c>
      <c r="D4285" s="55" t="s">
        <v>3693</v>
      </c>
      <c r="E4285" s="90" t="s">
        <v>3674</v>
      </c>
      <c r="G4285" s="55" t="s">
        <v>3675</v>
      </c>
      <c r="H4285" s="55">
        <v>2016</v>
      </c>
      <c r="I4285" s="55">
        <v>2013</v>
      </c>
      <c r="J4285" s="55" t="s">
        <v>3678</v>
      </c>
      <c r="K4285" s="55" t="s">
        <v>3677</v>
      </c>
      <c r="L4285" s="55" t="s">
        <v>3377</v>
      </c>
      <c r="M4285" s="90">
        <f>35+21/60</f>
        <v>35.35</v>
      </c>
      <c r="N4285" s="90">
        <f>109+56/60</f>
        <v>109.93333333333334</v>
      </c>
      <c r="O4285" s="90">
        <v>838</v>
      </c>
      <c r="U4285" s="55" t="s">
        <v>1688</v>
      </c>
      <c r="V4285" s="55" t="s">
        <v>1816</v>
      </c>
      <c r="Y4285" s="55" t="s">
        <v>3676</v>
      </c>
      <c r="Z4285" s="55" t="s">
        <v>1346</v>
      </c>
      <c r="AA4285" s="90" t="s">
        <v>1675</v>
      </c>
      <c r="AD4285" s="90">
        <v>1.2</v>
      </c>
      <c r="AE4285" s="90">
        <v>8</v>
      </c>
      <c r="AF4285" s="90">
        <v>67</v>
      </c>
      <c r="AH4285" s="55" t="s">
        <v>6378</v>
      </c>
      <c r="AI4285" s="168">
        <v>8.3000000000000007</v>
      </c>
      <c r="AJ4285" s="90">
        <v>1.302</v>
      </c>
      <c r="AM4285" s="55" t="s">
        <v>3112</v>
      </c>
      <c r="AN4285" s="185" t="s">
        <v>3681</v>
      </c>
      <c r="AO4285" s="185" t="s">
        <v>5150</v>
      </c>
      <c r="AQ4285" s="55" t="s">
        <v>553</v>
      </c>
      <c r="AR4285" s="55" t="s">
        <v>3680</v>
      </c>
      <c r="AS4285" s="55" t="s">
        <v>3471</v>
      </c>
      <c r="AU4285" s="181" t="s">
        <v>7494</v>
      </c>
      <c r="AV4285" s="185" t="s">
        <v>176</v>
      </c>
      <c r="AX4285" s="185" t="s">
        <v>176</v>
      </c>
      <c r="BE4285" s="226" t="s">
        <v>3688</v>
      </c>
      <c r="BF4285" s="191" t="s">
        <v>479</v>
      </c>
      <c r="BG4285" s="191" t="s">
        <v>479</v>
      </c>
      <c r="BH4285" s="226" t="s">
        <v>3688</v>
      </c>
      <c r="BI4285" s="191" t="s">
        <v>479</v>
      </c>
      <c r="BJ4285" s="55" t="s">
        <v>176</v>
      </c>
      <c r="BK4285" s="55" t="s">
        <v>5976</v>
      </c>
      <c r="BM4285" s="192" t="s">
        <v>160</v>
      </c>
      <c r="BN4285" s="55">
        <v>3</v>
      </c>
      <c r="BO4285" s="55">
        <v>3</v>
      </c>
      <c r="BP4285" s="55">
        <v>9</v>
      </c>
      <c r="BQ4285" s="55" t="s">
        <v>2077</v>
      </c>
      <c r="BV4285" s="55" t="s">
        <v>3682</v>
      </c>
      <c r="CB4285" s="66">
        <v>17200</v>
      </c>
      <c r="CC4285" s="66">
        <v>21700</v>
      </c>
      <c r="CM4285" s="65">
        <v>1.58</v>
      </c>
      <c r="CN4285" s="65">
        <v>1.76</v>
      </c>
      <c r="DA4285" s="65" t="s">
        <v>4458</v>
      </c>
      <c r="GD4285" s="65">
        <f>1/2000*100*482</f>
        <v>24.1</v>
      </c>
      <c r="GE4285" s="65">
        <f>1/2000*100*462</f>
        <v>23.1</v>
      </c>
      <c r="GH4285" s="65" t="s">
        <v>3694</v>
      </c>
      <c r="GP4285" s="292" t="s">
        <v>7494</v>
      </c>
    </row>
    <row r="4286" spans="1:198" x14ac:dyDescent="0.25">
      <c r="A4286" s="55">
        <v>4285</v>
      </c>
      <c r="B4286" s="12" t="s">
        <v>7067</v>
      </c>
      <c r="C4286" s="155">
        <v>188</v>
      </c>
      <c r="D4286" s="55" t="s">
        <v>3689</v>
      </c>
      <c r="E4286" s="90" t="s">
        <v>3674</v>
      </c>
      <c r="G4286" s="55" t="s">
        <v>3675</v>
      </c>
      <c r="H4286" s="55">
        <v>2016</v>
      </c>
      <c r="I4286" s="55">
        <v>2013</v>
      </c>
      <c r="J4286" s="55" t="s">
        <v>3678</v>
      </c>
      <c r="K4286" s="55" t="s">
        <v>3677</v>
      </c>
      <c r="L4286" s="55" t="s">
        <v>3377</v>
      </c>
      <c r="M4286" s="90">
        <f>35+21/60</f>
        <v>35.35</v>
      </c>
      <c r="N4286" s="90">
        <f>109+56/60</f>
        <v>109.93333333333334</v>
      </c>
      <c r="O4286" s="90">
        <v>838</v>
      </c>
      <c r="U4286" s="55" t="s">
        <v>1688</v>
      </c>
      <c r="V4286" s="55" t="s">
        <v>1816</v>
      </c>
      <c r="Y4286" s="55" t="s">
        <v>3676</v>
      </c>
      <c r="Z4286" s="55" t="s">
        <v>1350</v>
      </c>
      <c r="AA4286" s="90" t="s">
        <v>1675</v>
      </c>
      <c r="AD4286" s="90">
        <v>1.385</v>
      </c>
      <c r="AE4286" s="90">
        <v>8</v>
      </c>
      <c r="AF4286" s="90">
        <v>67</v>
      </c>
      <c r="AH4286" s="55" t="s">
        <v>6378</v>
      </c>
      <c r="AI4286" s="168">
        <v>8.3000000000000007</v>
      </c>
      <c r="AJ4286" s="90">
        <v>1.302</v>
      </c>
      <c r="AM4286" s="55" t="s">
        <v>3112</v>
      </c>
      <c r="AN4286" s="185" t="s">
        <v>3681</v>
      </c>
      <c r="AO4286" s="185" t="s">
        <v>5150</v>
      </c>
      <c r="AQ4286" s="55" t="s">
        <v>553</v>
      </c>
      <c r="AR4286" s="55" t="s">
        <v>3680</v>
      </c>
      <c r="AS4286" s="55" t="s">
        <v>3471</v>
      </c>
      <c r="AU4286" s="181" t="s">
        <v>7494</v>
      </c>
      <c r="AV4286" s="185" t="s">
        <v>176</v>
      </c>
      <c r="AX4286" s="185" t="s">
        <v>176</v>
      </c>
      <c r="BE4286" s="226" t="s">
        <v>3068</v>
      </c>
      <c r="BF4286" s="191" t="s">
        <v>176</v>
      </c>
      <c r="BG4286" s="191" t="s">
        <v>176</v>
      </c>
      <c r="BH4286" s="226" t="s">
        <v>3068</v>
      </c>
      <c r="BI4286" s="191" t="s">
        <v>176</v>
      </c>
      <c r="BJ4286" s="55" t="s">
        <v>176</v>
      </c>
      <c r="BK4286" s="55" t="s">
        <v>5976</v>
      </c>
      <c r="BM4286" s="192" t="s">
        <v>160</v>
      </c>
      <c r="BN4286" s="55">
        <v>3</v>
      </c>
      <c r="BO4286" s="55">
        <v>3</v>
      </c>
      <c r="BP4286" s="55">
        <v>9</v>
      </c>
      <c r="BQ4286" s="55" t="s">
        <v>2077</v>
      </c>
      <c r="BV4286" s="55" t="s">
        <v>3683</v>
      </c>
      <c r="CM4286" s="65">
        <v>1.31</v>
      </c>
      <c r="CN4286" s="65">
        <v>1.33</v>
      </c>
      <c r="DA4286" s="65" t="s">
        <v>4458</v>
      </c>
      <c r="GD4286" s="65">
        <f>1/2000*100*354.5</f>
        <v>17.725000000000001</v>
      </c>
      <c r="GE4286" s="65">
        <f>1/2000*100*319.8</f>
        <v>15.990000000000002</v>
      </c>
      <c r="GH4286" s="65" t="s">
        <v>3694</v>
      </c>
      <c r="GP4286" s="292" t="s">
        <v>7494</v>
      </c>
    </row>
    <row r="4287" spans="1:198" x14ac:dyDescent="0.25">
      <c r="A4287" s="55">
        <v>4286</v>
      </c>
      <c r="B4287" s="12" t="s">
        <v>7067</v>
      </c>
      <c r="C4287" s="155">
        <v>188</v>
      </c>
      <c r="D4287" s="55" t="s">
        <v>3690</v>
      </c>
      <c r="E4287" s="90" t="s">
        <v>3674</v>
      </c>
      <c r="G4287" s="55" t="s">
        <v>3675</v>
      </c>
      <c r="H4287" s="55">
        <v>2016</v>
      </c>
      <c r="I4287" s="55">
        <v>2013</v>
      </c>
      <c r="J4287" s="55" t="s">
        <v>3678</v>
      </c>
      <c r="K4287" s="55" t="s">
        <v>3677</v>
      </c>
      <c r="L4287" s="55" t="s">
        <v>3377</v>
      </c>
      <c r="M4287" s="90">
        <f>35+21/60</f>
        <v>35.35</v>
      </c>
      <c r="N4287" s="90">
        <f>109+56/60</f>
        <v>109.93333333333334</v>
      </c>
      <c r="O4287" s="90">
        <v>838</v>
      </c>
      <c r="U4287" s="55" t="s">
        <v>1688</v>
      </c>
      <c r="V4287" s="55" t="s">
        <v>1816</v>
      </c>
      <c r="Y4287" s="55" t="s">
        <v>3676</v>
      </c>
      <c r="Z4287" s="55" t="s">
        <v>1350</v>
      </c>
      <c r="AA4287" s="90" t="s">
        <v>1675</v>
      </c>
      <c r="AD4287" s="90">
        <v>1.385</v>
      </c>
      <c r="AE4287" s="90">
        <v>8</v>
      </c>
      <c r="AF4287" s="90">
        <v>67</v>
      </c>
      <c r="AH4287" s="55" t="s">
        <v>6378</v>
      </c>
      <c r="AI4287" s="168">
        <v>8.3000000000000007</v>
      </c>
      <c r="AJ4287" s="90">
        <v>1.302</v>
      </c>
      <c r="AM4287" s="55" t="s">
        <v>3112</v>
      </c>
      <c r="AN4287" s="185" t="s">
        <v>3681</v>
      </c>
      <c r="AO4287" s="185" t="s">
        <v>5150</v>
      </c>
      <c r="AQ4287" s="55" t="s">
        <v>553</v>
      </c>
      <c r="AR4287" s="55" t="s">
        <v>3680</v>
      </c>
      <c r="AS4287" s="55" t="s">
        <v>3471</v>
      </c>
      <c r="AU4287" s="181" t="s">
        <v>7494</v>
      </c>
      <c r="AV4287" s="185" t="s">
        <v>176</v>
      </c>
      <c r="AX4287" s="185" t="s">
        <v>176</v>
      </c>
      <c r="BE4287" s="226" t="s">
        <v>3685</v>
      </c>
      <c r="BF4287" s="191" t="s">
        <v>479</v>
      </c>
      <c r="BG4287" s="191" t="s">
        <v>479</v>
      </c>
      <c r="BH4287" s="226" t="s">
        <v>3685</v>
      </c>
      <c r="BI4287" s="191" t="s">
        <v>479</v>
      </c>
      <c r="BJ4287" s="55" t="s">
        <v>176</v>
      </c>
      <c r="BK4287" s="55" t="s">
        <v>5976</v>
      </c>
      <c r="BM4287" s="192" t="s">
        <v>160</v>
      </c>
      <c r="BN4287" s="55">
        <v>3</v>
      </c>
      <c r="BO4287" s="55">
        <v>3</v>
      </c>
      <c r="BP4287" s="55">
        <v>9</v>
      </c>
      <c r="BQ4287" s="55" t="s">
        <v>2077</v>
      </c>
      <c r="BV4287" s="55" t="s">
        <v>3683</v>
      </c>
      <c r="CM4287" s="65">
        <v>1.33</v>
      </c>
      <c r="CN4287" s="65">
        <v>1.46</v>
      </c>
      <c r="DA4287" s="65" t="s">
        <v>4458</v>
      </c>
      <c r="GD4287" s="65">
        <f>1/2000*100*413.2</f>
        <v>20.66</v>
      </c>
      <c r="GE4287" s="65">
        <f>1/2000*100*321.8</f>
        <v>16.09</v>
      </c>
      <c r="GH4287" s="65" t="s">
        <v>3694</v>
      </c>
      <c r="GP4287" s="292" t="s">
        <v>7494</v>
      </c>
    </row>
    <row r="4288" spans="1:198" x14ac:dyDescent="0.25">
      <c r="A4288" s="55">
        <v>4287</v>
      </c>
      <c r="B4288" s="12" t="s">
        <v>7067</v>
      </c>
      <c r="C4288" s="155">
        <v>188</v>
      </c>
      <c r="D4288" s="55" t="s">
        <v>3691</v>
      </c>
      <c r="E4288" s="90" t="s">
        <v>3674</v>
      </c>
      <c r="G4288" s="55" t="s">
        <v>3675</v>
      </c>
      <c r="H4288" s="55">
        <v>2016</v>
      </c>
      <c r="I4288" s="55">
        <v>2013</v>
      </c>
      <c r="J4288" s="55" t="s">
        <v>3678</v>
      </c>
      <c r="K4288" s="55" t="s">
        <v>3677</v>
      </c>
      <c r="L4288" s="55" t="s">
        <v>3377</v>
      </c>
      <c r="M4288" s="90">
        <f>35+21/60</f>
        <v>35.35</v>
      </c>
      <c r="N4288" s="90">
        <f>109+56/60</f>
        <v>109.93333333333334</v>
      </c>
      <c r="O4288" s="90">
        <v>838</v>
      </c>
      <c r="U4288" s="55" t="s">
        <v>1688</v>
      </c>
      <c r="V4288" s="55" t="s">
        <v>1816</v>
      </c>
      <c r="Y4288" s="55" t="s">
        <v>3676</v>
      </c>
      <c r="Z4288" s="55" t="s">
        <v>1350</v>
      </c>
      <c r="AA4288" s="90" t="s">
        <v>1675</v>
      </c>
      <c r="AD4288" s="90">
        <v>1.385</v>
      </c>
      <c r="AE4288" s="90">
        <v>8</v>
      </c>
      <c r="AF4288" s="90">
        <v>67</v>
      </c>
      <c r="AH4288" s="55" t="s">
        <v>6378</v>
      </c>
      <c r="AI4288" s="168">
        <v>8.3000000000000007</v>
      </c>
      <c r="AJ4288" s="90">
        <v>1.302</v>
      </c>
      <c r="AM4288" s="55" t="s">
        <v>3112</v>
      </c>
      <c r="AN4288" s="185" t="s">
        <v>3681</v>
      </c>
      <c r="AO4288" s="185" t="s">
        <v>5150</v>
      </c>
      <c r="AQ4288" s="55" t="s">
        <v>553</v>
      </c>
      <c r="AR4288" s="55" t="s">
        <v>3680</v>
      </c>
      <c r="AS4288" s="55" t="s">
        <v>3471</v>
      </c>
      <c r="AU4288" s="181" t="s">
        <v>7494</v>
      </c>
      <c r="AV4288" s="185" t="s">
        <v>176</v>
      </c>
      <c r="AX4288" s="185" t="s">
        <v>176</v>
      </c>
      <c r="BE4288" s="226" t="s">
        <v>3686</v>
      </c>
      <c r="BF4288" s="191" t="s">
        <v>479</v>
      </c>
      <c r="BG4288" s="191" t="s">
        <v>479</v>
      </c>
      <c r="BH4288" s="226" t="s">
        <v>3686</v>
      </c>
      <c r="BI4288" s="191" t="s">
        <v>479</v>
      </c>
      <c r="BJ4288" s="55" t="s">
        <v>176</v>
      </c>
      <c r="BK4288" s="55" t="s">
        <v>5976</v>
      </c>
      <c r="BM4288" s="192" t="s">
        <v>160</v>
      </c>
      <c r="BN4288" s="55">
        <v>3</v>
      </c>
      <c r="BO4288" s="55">
        <v>3</v>
      </c>
      <c r="BP4288" s="55">
        <v>9</v>
      </c>
      <c r="BQ4288" s="55" t="s">
        <v>2077</v>
      </c>
      <c r="BV4288" s="55" t="s">
        <v>3683</v>
      </c>
      <c r="CM4288" s="65">
        <v>1.48</v>
      </c>
      <c r="CN4288" s="65">
        <v>1.59</v>
      </c>
      <c r="DA4288" s="65" t="s">
        <v>4458</v>
      </c>
      <c r="GD4288" s="65">
        <f>1/2000*100*427.7</f>
        <v>21.385000000000002</v>
      </c>
      <c r="GE4288" s="65">
        <f>1/2000*100*402.3</f>
        <v>20.115000000000002</v>
      </c>
      <c r="GH4288" s="65" t="s">
        <v>3694</v>
      </c>
      <c r="GP4288" s="292" t="s">
        <v>7494</v>
      </c>
    </row>
    <row r="4289" spans="1:198" x14ac:dyDescent="0.25">
      <c r="A4289" s="55">
        <v>4288</v>
      </c>
      <c r="B4289" s="12" t="s">
        <v>7067</v>
      </c>
      <c r="C4289" s="155">
        <v>188</v>
      </c>
      <c r="D4289" s="55" t="s">
        <v>3692</v>
      </c>
      <c r="E4289" s="90" t="s">
        <v>3674</v>
      </c>
      <c r="G4289" s="55" t="s">
        <v>3675</v>
      </c>
      <c r="H4289" s="55">
        <v>2016</v>
      </c>
      <c r="I4289" s="55">
        <v>2013</v>
      </c>
      <c r="J4289" s="55" t="s">
        <v>3678</v>
      </c>
      <c r="K4289" s="55" t="s">
        <v>3677</v>
      </c>
      <c r="L4289" s="55" t="s">
        <v>3377</v>
      </c>
      <c r="M4289" s="90">
        <f>35+21/60</f>
        <v>35.35</v>
      </c>
      <c r="N4289" s="90">
        <f>109+56/60</f>
        <v>109.93333333333334</v>
      </c>
      <c r="O4289" s="90">
        <v>838</v>
      </c>
      <c r="U4289" s="55" t="s">
        <v>1688</v>
      </c>
      <c r="V4289" s="55" t="s">
        <v>1816</v>
      </c>
      <c r="Y4289" s="55" t="s">
        <v>3676</v>
      </c>
      <c r="Z4289" s="55" t="s">
        <v>1350</v>
      </c>
      <c r="AA4289" s="90" t="s">
        <v>1675</v>
      </c>
      <c r="AD4289" s="90">
        <v>1.385</v>
      </c>
      <c r="AE4289" s="90">
        <v>8</v>
      </c>
      <c r="AF4289" s="90">
        <v>67</v>
      </c>
      <c r="AH4289" s="55" t="s">
        <v>6378</v>
      </c>
      <c r="AI4289" s="168">
        <v>8.3000000000000007</v>
      </c>
      <c r="AJ4289" s="90">
        <v>1.302</v>
      </c>
      <c r="AM4289" s="55" t="s">
        <v>3112</v>
      </c>
      <c r="AN4289" s="185" t="s">
        <v>3681</v>
      </c>
      <c r="AO4289" s="185" t="s">
        <v>5150</v>
      </c>
      <c r="AQ4289" s="55" t="s">
        <v>553</v>
      </c>
      <c r="AR4289" s="55" t="s">
        <v>3680</v>
      </c>
      <c r="AS4289" s="55" t="s">
        <v>3471</v>
      </c>
      <c r="AU4289" s="181" t="s">
        <v>7494</v>
      </c>
      <c r="AV4289" s="185" t="s">
        <v>176</v>
      </c>
      <c r="AX4289" s="185" t="s">
        <v>176</v>
      </c>
      <c r="BE4289" s="226" t="s">
        <v>3687</v>
      </c>
      <c r="BF4289" s="191" t="s">
        <v>479</v>
      </c>
      <c r="BG4289" s="191" t="s">
        <v>479</v>
      </c>
      <c r="BH4289" s="226" t="s">
        <v>3687</v>
      </c>
      <c r="BI4289" s="191" t="s">
        <v>479</v>
      </c>
      <c r="BJ4289" s="55" t="s">
        <v>176</v>
      </c>
      <c r="BK4289" s="55" t="s">
        <v>5976</v>
      </c>
      <c r="BM4289" s="192" t="s">
        <v>160</v>
      </c>
      <c r="BN4289" s="55">
        <v>3</v>
      </c>
      <c r="BO4289" s="55">
        <v>3</v>
      </c>
      <c r="BP4289" s="55">
        <v>9</v>
      </c>
      <c r="BQ4289" s="55" t="s">
        <v>2077</v>
      </c>
      <c r="BV4289" s="55" t="s">
        <v>3683</v>
      </c>
      <c r="CM4289" s="65">
        <v>1.35</v>
      </c>
      <c r="CN4289" s="65">
        <v>1.42</v>
      </c>
      <c r="DA4289" s="65" t="s">
        <v>4458</v>
      </c>
      <c r="GD4289" s="65">
        <f>1/2000*100*402</f>
        <v>20.100000000000001</v>
      </c>
      <c r="GE4289" s="65">
        <f>1/2000*100*375</f>
        <v>18.75</v>
      </c>
      <c r="GH4289" s="65" t="s">
        <v>3694</v>
      </c>
      <c r="GP4289" s="292" t="s">
        <v>7494</v>
      </c>
    </row>
    <row r="4290" spans="1:198" x14ac:dyDescent="0.25">
      <c r="A4290" s="55">
        <v>4289</v>
      </c>
      <c r="B4290" s="12" t="s">
        <v>7067</v>
      </c>
      <c r="C4290" s="155">
        <v>188</v>
      </c>
      <c r="D4290" s="55" t="s">
        <v>3693</v>
      </c>
      <c r="E4290" s="90" t="s">
        <v>3674</v>
      </c>
      <c r="G4290" s="55" t="s">
        <v>3675</v>
      </c>
      <c r="H4290" s="55">
        <v>2016</v>
      </c>
      <c r="I4290" s="55">
        <v>2013</v>
      </c>
      <c r="J4290" s="55" t="s">
        <v>3678</v>
      </c>
      <c r="K4290" s="55" t="s">
        <v>3677</v>
      </c>
      <c r="L4290" s="55" t="s">
        <v>3377</v>
      </c>
      <c r="M4290" s="90">
        <f>35+21/60</f>
        <v>35.35</v>
      </c>
      <c r="N4290" s="90">
        <f>109+56/60</f>
        <v>109.93333333333334</v>
      </c>
      <c r="O4290" s="90">
        <v>838</v>
      </c>
      <c r="U4290" s="55" t="s">
        <v>1688</v>
      </c>
      <c r="V4290" s="55" t="s">
        <v>1816</v>
      </c>
      <c r="Y4290" s="55" t="s">
        <v>3676</v>
      </c>
      <c r="Z4290" s="55" t="s">
        <v>1350</v>
      </c>
      <c r="AA4290" s="90" t="s">
        <v>1675</v>
      </c>
      <c r="AD4290" s="90">
        <v>1.385</v>
      </c>
      <c r="AE4290" s="90">
        <v>8</v>
      </c>
      <c r="AF4290" s="90">
        <v>67</v>
      </c>
      <c r="AH4290" s="55" t="s">
        <v>6378</v>
      </c>
      <c r="AI4290" s="168">
        <v>8.3000000000000007</v>
      </c>
      <c r="AJ4290" s="90">
        <v>1.302</v>
      </c>
      <c r="AM4290" s="55" t="s">
        <v>3112</v>
      </c>
      <c r="AN4290" s="185" t="s">
        <v>3681</v>
      </c>
      <c r="AO4290" s="185" t="s">
        <v>5150</v>
      </c>
      <c r="AQ4290" s="55" t="s">
        <v>553</v>
      </c>
      <c r="AR4290" s="55" t="s">
        <v>3680</v>
      </c>
      <c r="AS4290" s="55" t="s">
        <v>3471</v>
      </c>
      <c r="AU4290" s="181" t="s">
        <v>7494</v>
      </c>
      <c r="AV4290" s="185" t="s">
        <v>176</v>
      </c>
      <c r="AX4290" s="185" t="s">
        <v>176</v>
      </c>
      <c r="BE4290" s="226" t="s">
        <v>3688</v>
      </c>
      <c r="BF4290" s="191" t="s">
        <v>479</v>
      </c>
      <c r="BG4290" s="191" t="s">
        <v>479</v>
      </c>
      <c r="BH4290" s="226" t="s">
        <v>3688</v>
      </c>
      <c r="BI4290" s="191" t="s">
        <v>479</v>
      </c>
      <c r="BJ4290" s="55" t="s">
        <v>176</v>
      </c>
      <c r="BK4290" s="55" t="s">
        <v>5976</v>
      </c>
      <c r="BM4290" s="192" t="s">
        <v>160</v>
      </c>
      <c r="BN4290" s="55">
        <v>3</v>
      </c>
      <c r="BO4290" s="55">
        <v>3</v>
      </c>
      <c r="BP4290" s="55">
        <v>9</v>
      </c>
      <c r="BQ4290" s="55" t="s">
        <v>2077</v>
      </c>
      <c r="BV4290" s="55" t="s">
        <v>3683</v>
      </c>
      <c r="CM4290" s="65">
        <v>1.43</v>
      </c>
      <c r="CN4290" s="65">
        <v>1.6</v>
      </c>
      <c r="DA4290" s="65" t="s">
        <v>4458</v>
      </c>
      <c r="GD4290" s="65">
        <f>1/2000*100*475.2</f>
        <v>23.76</v>
      </c>
      <c r="GE4290" s="65">
        <f>1/2000*100*420.2</f>
        <v>21.01</v>
      </c>
      <c r="GH4290" s="65" t="s">
        <v>3694</v>
      </c>
      <c r="GP4290" s="292" t="s">
        <v>7494</v>
      </c>
    </row>
    <row r="4291" spans="1:198" x14ac:dyDescent="0.25">
      <c r="A4291" s="55">
        <v>4290</v>
      </c>
      <c r="B4291" s="12" t="s">
        <v>7067</v>
      </c>
      <c r="C4291" s="155">
        <v>188</v>
      </c>
      <c r="D4291" s="55" t="s">
        <v>3689</v>
      </c>
      <c r="E4291" s="90" t="s">
        <v>3674</v>
      </c>
      <c r="G4291" s="55" t="s">
        <v>3675</v>
      </c>
      <c r="H4291" s="55">
        <v>2016</v>
      </c>
      <c r="I4291" s="55">
        <v>2013</v>
      </c>
      <c r="J4291" s="55" t="s">
        <v>3678</v>
      </c>
      <c r="K4291" s="55" t="s">
        <v>3677</v>
      </c>
      <c r="L4291" s="55" t="s">
        <v>3377</v>
      </c>
      <c r="M4291" s="90">
        <f>35+21/60</f>
        <v>35.35</v>
      </c>
      <c r="N4291" s="90">
        <f>109+56/60</f>
        <v>109.93333333333334</v>
      </c>
      <c r="O4291" s="90">
        <v>838</v>
      </c>
      <c r="U4291" s="55" t="s">
        <v>1688</v>
      </c>
      <c r="V4291" s="55" t="s">
        <v>1816</v>
      </c>
      <c r="Y4291" s="55" t="s">
        <v>3676</v>
      </c>
      <c r="Z4291" s="55" t="s">
        <v>1404</v>
      </c>
      <c r="AA4291" s="90" t="s">
        <v>3679</v>
      </c>
      <c r="AD4291" s="90">
        <f>(1.2+1.385)/2</f>
        <v>1.2925</v>
      </c>
      <c r="AE4291" s="90">
        <v>8</v>
      </c>
      <c r="AF4291" s="90">
        <v>67</v>
      </c>
      <c r="AH4291" s="55" t="s">
        <v>6378</v>
      </c>
      <c r="AI4291" s="168">
        <v>8.3000000000000007</v>
      </c>
      <c r="AJ4291" s="90">
        <v>1.302</v>
      </c>
      <c r="AM4291" s="55" t="s">
        <v>3112</v>
      </c>
      <c r="AN4291" s="185" t="s">
        <v>3681</v>
      </c>
      <c r="AO4291" s="185" t="s">
        <v>5150</v>
      </c>
      <c r="AQ4291" s="55" t="s">
        <v>553</v>
      </c>
      <c r="AR4291" s="55" t="s">
        <v>3680</v>
      </c>
      <c r="AS4291" s="55" t="s">
        <v>3471</v>
      </c>
      <c r="AU4291" s="181" t="s">
        <v>7494</v>
      </c>
      <c r="AV4291" s="185" t="s">
        <v>176</v>
      </c>
      <c r="AX4291" s="185" t="s">
        <v>176</v>
      </c>
      <c r="BE4291" s="226" t="s">
        <v>3068</v>
      </c>
      <c r="BF4291" s="191" t="s">
        <v>176</v>
      </c>
      <c r="BG4291" s="191" t="s">
        <v>176</v>
      </c>
      <c r="BH4291" s="226" t="s">
        <v>3068</v>
      </c>
      <c r="BI4291" s="191" t="s">
        <v>176</v>
      </c>
      <c r="BJ4291" s="55" t="s">
        <v>176</v>
      </c>
      <c r="BK4291" s="55" t="s">
        <v>5976</v>
      </c>
      <c r="BM4291" s="192" t="s">
        <v>160</v>
      </c>
      <c r="BN4291" s="55">
        <v>3</v>
      </c>
      <c r="BO4291" s="55">
        <v>3</v>
      </c>
      <c r="BP4291" s="55">
        <v>9</v>
      </c>
      <c r="BQ4291" s="55" t="s">
        <v>2077</v>
      </c>
      <c r="BV4291" s="55" t="s">
        <v>3684</v>
      </c>
      <c r="GD4291" s="65">
        <f>1/2000*100*306.4</f>
        <v>15.32</v>
      </c>
      <c r="GE4291" s="65">
        <f>1/2000*100*320.7</f>
        <v>16.035</v>
      </c>
      <c r="GH4291" s="65" t="s">
        <v>3694</v>
      </c>
      <c r="GP4291" s="292" t="s">
        <v>7494</v>
      </c>
    </row>
    <row r="4292" spans="1:198" x14ac:dyDescent="0.25">
      <c r="A4292" s="55">
        <v>4291</v>
      </c>
      <c r="B4292" s="12" t="s">
        <v>7067</v>
      </c>
      <c r="C4292" s="155">
        <v>188</v>
      </c>
      <c r="D4292" s="55" t="s">
        <v>3690</v>
      </c>
      <c r="E4292" s="90" t="s">
        <v>3674</v>
      </c>
      <c r="G4292" s="55" t="s">
        <v>3675</v>
      </c>
      <c r="H4292" s="55">
        <v>2016</v>
      </c>
      <c r="I4292" s="55">
        <v>2013</v>
      </c>
      <c r="J4292" s="55" t="s">
        <v>3678</v>
      </c>
      <c r="K4292" s="55" t="s">
        <v>3677</v>
      </c>
      <c r="L4292" s="55" t="s">
        <v>3377</v>
      </c>
      <c r="M4292" s="90">
        <f>35+21/60</f>
        <v>35.35</v>
      </c>
      <c r="N4292" s="90">
        <f>109+56/60</f>
        <v>109.93333333333334</v>
      </c>
      <c r="O4292" s="90">
        <v>838</v>
      </c>
      <c r="U4292" s="55" t="s">
        <v>1688</v>
      </c>
      <c r="V4292" s="55" t="s">
        <v>1816</v>
      </c>
      <c r="Y4292" s="55" t="s">
        <v>3676</v>
      </c>
      <c r="Z4292" s="55" t="s">
        <v>1404</v>
      </c>
      <c r="AA4292" s="90" t="s">
        <v>3679</v>
      </c>
      <c r="AD4292" s="90">
        <f>(1.2+1.385)/2</f>
        <v>1.2925</v>
      </c>
      <c r="AE4292" s="90">
        <v>8</v>
      </c>
      <c r="AF4292" s="90">
        <v>67</v>
      </c>
      <c r="AH4292" s="55" t="s">
        <v>6378</v>
      </c>
      <c r="AI4292" s="168">
        <v>8.3000000000000007</v>
      </c>
      <c r="AJ4292" s="90">
        <v>1.302</v>
      </c>
      <c r="AM4292" s="55" t="s">
        <v>3112</v>
      </c>
      <c r="AN4292" s="185" t="s">
        <v>3681</v>
      </c>
      <c r="AO4292" s="185" t="s">
        <v>5150</v>
      </c>
      <c r="AQ4292" s="55" t="s">
        <v>553</v>
      </c>
      <c r="AR4292" s="55" t="s">
        <v>3680</v>
      </c>
      <c r="AS4292" s="55" t="s">
        <v>3471</v>
      </c>
      <c r="AU4292" s="181" t="s">
        <v>7494</v>
      </c>
      <c r="AV4292" s="185" t="s">
        <v>176</v>
      </c>
      <c r="AX4292" s="185" t="s">
        <v>176</v>
      </c>
      <c r="BE4292" s="226" t="s">
        <v>3685</v>
      </c>
      <c r="BF4292" s="191" t="s">
        <v>479</v>
      </c>
      <c r="BG4292" s="191" t="s">
        <v>479</v>
      </c>
      <c r="BH4292" s="226" t="s">
        <v>3685</v>
      </c>
      <c r="BI4292" s="191" t="s">
        <v>479</v>
      </c>
      <c r="BJ4292" s="55" t="s">
        <v>176</v>
      </c>
      <c r="BK4292" s="55" t="s">
        <v>5976</v>
      </c>
      <c r="BM4292" s="192" t="s">
        <v>160</v>
      </c>
      <c r="BN4292" s="55">
        <v>3</v>
      </c>
      <c r="BO4292" s="55">
        <v>3</v>
      </c>
      <c r="BP4292" s="55">
        <v>9</v>
      </c>
      <c r="BQ4292" s="55" t="s">
        <v>2077</v>
      </c>
      <c r="BV4292" s="55" t="s">
        <v>3684</v>
      </c>
      <c r="GD4292" s="65">
        <f>1/2000*100*356.9</f>
        <v>17.844999999999999</v>
      </c>
      <c r="GE4292" s="65">
        <f>1/2000*100*318.5</f>
        <v>15.925000000000001</v>
      </c>
      <c r="GH4292" s="65" t="s">
        <v>3694</v>
      </c>
      <c r="GP4292" s="292" t="s">
        <v>7494</v>
      </c>
    </row>
    <row r="4293" spans="1:198" x14ac:dyDescent="0.25">
      <c r="A4293" s="55">
        <v>4292</v>
      </c>
      <c r="B4293" s="12" t="s">
        <v>7067</v>
      </c>
      <c r="C4293" s="155">
        <v>188</v>
      </c>
      <c r="D4293" s="55" t="s">
        <v>3691</v>
      </c>
      <c r="E4293" s="90" t="s">
        <v>3674</v>
      </c>
      <c r="G4293" s="55" t="s">
        <v>3675</v>
      </c>
      <c r="H4293" s="55">
        <v>2016</v>
      </c>
      <c r="I4293" s="55">
        <v>2013</v>
      </c>
      <c r="J4293" s="55" t="s">
        <v>3678</v>
      </c>
      <c r="K4293" s="55" t="s">
        <v>3677</v>
      </c>
      <c r="L4293" s="55" t="s">
        <v>3377</v>
      </c>
      <c r="M4293" s="90">
        <f>35+21/60</f>
        <v>35.35</v>
      </c>
      <c r="N4293" s="90">
        <f>109+56/60</f>
        <v>109.93333333333334</v>
      </c>
      <c r="O4293" s="90">
        <v>838</v>
      </c>
      <c r="U4293" s="55" t="s">
        <v>1688</v>
      </c>
      <c r="V4293" s="55" t="s">
        <v>1816</v>
      </c>
      <c r="Y4293" s="55" t="s">
        <v>3676</v>
      </c>
      <c r="Z4293" s="55" t="s">
        <v>1404</v>
      </c>
      <c r="AA4293" s="90" t="s">
        <v>3679</v>
      </c>
      <c r="AD4293" s="90">
        <f>(1.2+1.385)/2</f>
        <v>1.2925</v>
      </c>
      <c r="AE4293" s="90">
        <v>8</v>
      </c>
      <c r="AF4293" s="90">
        <v>67</v>
      </c>
      <c r="AH4293" s="55" t="s">
        <v>6378</v>
      </c>
      <c r="AI4293" s="168">
        <v>8.3000000000000007</v>
      </c>
      <c r="AJ4293" s="90">
        <v>1.302</v>
      </c>
      <c r="AM4293" s="55" t="s">
        <v>3112</v>
      </c>
      <c r="AN4293" s="185" t="s">
        <v>3681</v>
      </c>
      <c r="AO4293" s="185" t="s">
        <v>5150</v>
      </c>
      <c r="AQ4293" s="55" t="s">
        <v>553</v>
      </c>
      <c r="AR4293" s="55" t="s">
        <v>3680</v>
      </c>
      <c r="AS4293" s="55" t="s">
        <v>3471</v>
      </c>
      <c r="AU4293" s="181" t="s">
        <v>7494</v>
      </c>
      <c r="AV4293" s="185" t="s">
        <v>176</v>
      </c>
      <c r="AX4293" s="185" t="s">
        <v>176</v>
      </c>
      <c r="BE4293" s="226" t="s">
        <v>3686</v>
      </c>
      <c r="BF4293" s="191" t="s">
        <v>479</v>
      </c>
      <c r="BG4293" s="191" t="s">
        <v>479</v>
      </c>
      <c r="BH4293" s="226" t="s">
        <v>3686</v>
      </c>
      <c r="BI4293" s="191" t="s">
        <v>479</v>
      </c>
      <c r="BJ4293" s="55" t="s">
        <v>176</v>
      </c>
      <c r="BK4293" s="55" t="s">
        <v>5976</v>
      </c>
      <c r="BM4293" s="192" t="s">
        <v>160</v>
      </c>
      <c r="BN4293" s="55">
        <v>3</v>
      </c>
      <c r="BO4293" s="55">
        <v>3</v>
      </c>
      <c r="BP4293" s="55">
        <v>9</v>
      </c>
      <c r="BQ4293" s="55" t="s">
        <v>2077</v>
      </c>
      <c r="BV4293" s="55" t="s">
        <v>3684</v>
      </c>
      <c r="GD4293" s="65">
        <f>1/2000*100*371.2</f>
        <v>18.559999999999999</v>
      </c>
      <c r="GE4293" s="65">
        <f>1/2000*100*396.5</f>
        <v>19.825000000000003</v>
      </c>
      <c r="GH4293" s="65" t="s">
        <v>3694</v>
      </c>
      <c r="GP4293" s="292" t="s">
        <v>7494</v>
      </c>
    </row>
    <row r="4294" spans="1:198" x14ac:dyDescent="0.25">
      <c r="A4294" s="55">
        <v>4293</v>
      </c>
      <c r="B4294" s="12" t="s">
        <v>7067</v>
      </c>
      <c r="C4294" s="155">
        <v>188</v>
      </c>
      <c r="D4294" s="55" t="s">
        <v>3692</v>
      </c>
      <c r="E4294" s="90" t="s">
        <v>3674</v>
      </c>
      <c r="G4294" s="55" t="s">
        <v>3675</v>
      </c>
      <c r="H4294" s="55">
        <v>2016</v>
      </c>
      <c r="I4294" s="55">
        <v>2013</v>
      </c>
      <c r="J4294" s="55" t="s">
        <v>3678</v>
      </c>
      <c r="K4294" s="55" t="s">
        <v>3677</v>
      </c>
      <c r="L4294" s="55" t="s">
        <v>3377</v>
      </c>
      <c r="M4294" s="90">
        <f>35+21/60</f>
        <v>35.35</v>
      </c>
      <c r="N4294" s="90">
        <f>109+56/60</f>
        <v>109.93333333333334</v>
      </c>
      <c r="O4294" s="90">
        <v>838</v>
      </c>
      <c r="U4294" s="55" t="s">
        <v>1688</v>
      </c>
      <c r="V4294" s="55" t="s">
        <v>1816</v>
      </c>
      <c r="Y4294" s="55" t="s">
        <v>3676</v>
      </c>
      <c r="Z4294" s="55" t="s">
        <v>1404</v>
      </c>
      <c r="AA4294" s="90" t="s">
        <v>3679</v>
      </c>
      <c r="AD4294" s="90">
        <f>(1.2+1.385)/2</f>
        <v>1.2925</v>
      </c>
      <c r="AE4294" s="90">
        <v>8</v>
      </c>
      <c r="AF4294" s="90">
        <v>67</v>
      </c>
      <c r="AH4294" s="55" t="s">
        <v>6378</v>
      </c>
      <c r="AI4294" s="168">
        <v>8.3000000000000007</v>
      </c>
      <c r="AJ4294" s="90">
        <v>1.302</v>
      </c>
      <c r="AM4294" s="55" t="s">
        <v>3112</v>
      </c>
      <c r="AN4294" s="185" t="s">
        <v>3681</v>
      </c>
      <c r="AO4294" s="185" t="s">
        <v>5150</v>
      </c>
      <c r="AQ4294" s="55" t="s">
        <v>553</v>
      </c>
      <c r="AR4294" s="55" t="s">
        <v>3680</v>
      </c>
      <c r="AS4294" s="55" t="s">
        <v>3471</v>
      </c>
      <c r="AU4294" s="181" t="s">
        <v>7494</v>
      </c>
      <c r="AV4294" s="185" t="s">
        <v>176</v>
      </c>
      <c r="AX4294" s="185" t="s">
        <v>176</v>
      </c>
      <c r="BE4294" s="226" t="s">
        <v>3687</v>
      </c>
      <c r="BF4294" s="191" t="s">
        <v>479</v>
      </c>
      <c r="BG4294" s="191" t="s">
        <v>479</v>
      </c>
      <c r="BH4294" s="226" t="s">
        <v>3687</v>
      </c>
      <c r="BI4294" s="191" t="s">
        <v>479</v>
      </c>
      <c r="BJ4294" s="55" t="s">
        <v>176</v>
      </c>
      <c r="BK4294" s="55" t="s">
        <v>5976</v>
      </c>
      <c r="BM4294" s="192" t="s">
        <v>160</v>
      </c>
      <c r="BN4294" s="55">
        <v>3</v>
      </c>
      <c r="BO4294" s="55">
        <v>3</v>
      </c>
      <c r="BP4294" s="55">
        <v>9</v>
      </c>
      <c r="BQ4294" s="55" t="s">
        <v>2077</v>
      </c>
      <c r="BV4294" s="55" t="s">
        <v>3684</v>
      </c>
      <c r="GD4294" s="65">
        <f>1/2000*100*321.2</f>
        <v>16.059999999999999</v>
      </c>
      <c r="GE4294" s="65">
        <f>1/2000*100*360.8</f>
        <v>18.040000000000003</v>
      </c>
      <c r="GH4294" s="65" t="s">
        <v>3694</v>
      </c>
      <c r="GP4294" s="292" t="s">
        <v>7494</v>
      </c>
    </row>
    <row r="4295" spans="1:198" x14ac:dyDescent="0.25">
      <c r="A4295" s="55">
        <v>4294</v>
      </c>
      <c r="B4295" s="12" t="s">
        <v>7067</v>
      </c>
      <c r="C4295" s="155">
        <v>188</v>
      </c>
      <c r="D4295" s="55" t="s">
        <v>3693</v>
      </c>
      <c r="E4295" s="90" t="s">
        <v>3674</v>
      </c>
      <c r="G4295" s="55" t="s">
        <v>3675</v>
      </c>
      <c r="H4295" s="55">
        <v>2016</v>
      </c>
      <c r="I4295" s="55">
        <v>2013</v>
      </c>
      <c r="J4295" s="55" t="s">
        <v>3678</v>
      </c>
      <c r="K4295" s="55" t="s">
        <v>3677</v>
      </c>
      <c r="L4295" s="55" t="s">
        <v>3377</v>
      </c>
      <c r="M4295" s="90">
        <f>35+21/60</f>
        <v>35.35</v>
      </c>
      <c r="N4295" s="90">
        <f>109+56/60</f>
        <v>109.93333333333334</v>
      </c>
      <c r="O4295" s="90">
        <v>838</v>
      </c>
      <c r="U4295" s="55" t="s">
        <v>1688</v>
      </c>
      <c r="V4295" s="55" t="s">
        <v>1816</v>
      </c>
      <c r="Y4295" s="55" t="s">
        <v>3676</v>
      </c>
      <c r="Z4295" s="55" t="s">
        <v>1404</v>
      </c>
      <c r="AA4295" s="90" t="s">
        <v>3679</v>
      </c>
      <c r="AD4295" s="90">
        <f>(1.2+1.385)/2</f>
        <v>1.2925</v>
      </c>
      <c r="AE4295" s="90">
        <v>8</v>
      </c>
      <c r="AF4295" s="90">
        <v>67</v>
      </c>
      <c r="AH4295" s="55" t="s">
        <v>6378</v>
      </c>
      <c r="AI4295" s="168">
        <v>8.3000000000000007</v>
      </c>
      <c r="AJ4295" s="90">
        <v>1.302</v>
      </c>
      <c r="AM4295" s="55" t="s">
        <v>3112</v>
      </c>
      <c r="AN4295" s="185" t="s">
        <v>3681</v>
      </c>
      <c r="AO4295" s="185" t="s">
        <v>5150</v>
      </c>
      <c r="AQ4295" s="55" t="s">
        <v>553</v>
      </c>
      <c r="AR4295" s="55" t="s">
        <v>3680</v>
      </c>
      <c r="AS4295" s="55" t="s">
        <v>3471</v>
      </c>
      <c r="AU4295" s="181" t="s">
        <v>7494</v>
      </c>
      <c r="AV4295" s="185" t="s">
        <v>176</v>
      </c>
      <c r="AX4295" s="185" t="s">
        <v>176</v>
      </c>
      <c r="BE4295" s="226" t="s">
        <v>3688</v>
      </c>
      <c r="BF4295" s="191" t="s">
        <v>479</v>
      </c>
      <c r="BG4295" s="191" t="s">
        <v>479</v>
      </c>
      <c r="BH4295" s="226" t="s">
        <v>3688</v>
      </c>
      <c r="BI4295" s="191" t="s">
        <v>479</v>
      </c>
      <c r="BJ4295" s="55" t="s">
        <v>176</v>
      </c>
      <c r="BK4295" s="55" t="s">
        <v>5976</v>
      </c>
      <c r="BM4295" s="192" t="s">
        <v>160</v>
      </c>
      <c r="BN4295" s="55">
        <v>3</v>
      </c>
      <c r="BO4295" s="55">
        <v>3</v>
      </c>
      <c r="BP4295" s="55">
        <v>9</v>
      </c>
      <c r="BQ4295" s="55" t="s">
        <v>2077</v>
      </c>
      <c r="BV4295" s="55" t="s">
        <v>3684</v>
      </c>
      <c r="GD4295" s="65">
        <f>1/2000*100*376.1</f>
        <v>18.805000000000003</v>
      </c>
      <c r="GE4295" s="65">
        <f>1/2000*100*385.6</f>
        <v>19.28</v>
      </c>
      <c r="GH4295" s="65" t="s">
        <v>3694</v>
      </c>
      <c r="GP4295" s="292" t="s">
        <v>7494</v>
      </c>
    </row>
    <row r="4296" spans="1:198" x14ac:dyDescent="0.25">
      <c r="A4296" s="55">
        <v>4295</v>
      </c>
      <c r="B4296" s="12" t="s">
        <v>7067</v>
      </c>
      <c r="C4296" s="155">
        <v>188</v>
      </c>
      <c r="D4296" s="55" t="s">
        <v>3689</v>
      </c>
      <c r="E4296" s="90" t="s">
        <v>3674</v>
      </c>
      <c r="G4296" s="55" t="s">
        <v>3675</v>
      </c>
      <c r="H4296" s="55">
        <v>2016</v>
      </c>
      <c r="I4296" s="55">
        <v>2014</v>
      </c>
      <c r="J4296" s="55" t="s">
        <v>3678</v>
      </c>
      <c r="K4296" s="55" t="s">
        <v>3677</v>
      </c>
      <c r="L4296" s="55" t="s">
        <v>3377</v>
      </c>
      <c r="M4296" s="90">
        <f>35+21/60</f>
        <v>35.35</v>
      </c>
      <c r="N4296" s="90">
        <f>109+56/60</f>
        <v>109.93333333333334</v>
      </c>
      <c r="O4296" s="90">
        <v>838</v>
      </c>
      <c r="U4296" s="55" t="s">
        <v>1816</v>
      </c>
      <c r="V4296" s="55" t="s">
        <v>1816</v>
      </c>
      <c r="Y4296" s="55" t="s">
        <v>3676</v>
      </c>
      <c r="Z4296" s="55" t="s">
        <v>1404</v>
      </c>
      <c r="AA4296" s="90" t="s">
        <v>3679</v>
      </c>
      <c r="AD4296" s="90">
        <f>(1.2+1.385)/2</f>
        <v>1.2925</v>
      </c>
      <c r="AE4296" s="90">
        <v>8</v>
      </c>
      <c r="AF4296" s="90">
        <v>67</v>
      </c>
      <c r="AH4296" s="55" t="s">
        <v>6378</v>
      </c>
      <c r="AI4296" s="168">
        <v>8.3000000000000007</v>
      </c>
      <c r="AJ4296" s="90">
        <v>1.302</v>
      </c>
      <c r="AM4296" s="55" t="s">
        <v>3112</v>
      </c>
      <c r="AN4296" s="185" t="s">
        <v>3681</v>
      </c>
      <c r="AO4296" s="185" t="s">
        <v>5150</v>
      </c>
      <c r="AQ4296" s="55" t="s">
        <v>553</v>
      </c>
      <c r="AR4296" s="55" t="s">
        <v>3680</v>
      </c>
      <c r="AS4296" s="55" t="s">
        <v>3471</v>
      </c>
      <c r="AU4296" s="181" t="s">
        <v>7494</v>
      </c>
      <c r="AV4296" s="185" t="s">
        <v>176</v>
      </c>
      <c r="AX4296" s="185" t="s">
        <v>176</v>
      </c>
      <c r="BE4296" s="226" t="s">
        <v>3068</v>
      </c>
      <c r="BF4296" s="191" t="s">
        <v>176</v>
      </c>
      <c r="BG4296" s="191" t="s">
        <v>176</v>
      </c>
      <c r="BH4296" s="226" t="s">
        <v>3068</v>
      </c>
      <c r="BI4296" s="191" t="s">
        <v>176</v>
      </c>
      <c r="BJ4296" s="55" t="s">
        <v>176</v>
      </c>
      <c r="BK4296" s="55" t="s">
        <v>5976</v>
      </c>
      <c r="BM4296" s="192" t="s">
        <v>160</v>
      </c>
      <c r="BN4296" s="55">
        <v>3</v>
      </c>
      <c r="BO4296" s="55">
        <v>3</v>
      </c>
      <c r="BP4296" s="55">
        <v>9</v>
      </c>
      <c r="BQ4296" s="55" t="s">
        <v>2077</v>
      </c>
      <c r="BV4296" s="55" t="s">
        <v>3682</v>
      </c>
      <c r="CB4296" s="66">
        <v>10300</v>
      </c>
      <c r="CC4296" s="66">
        <v>14400</v>
      </c>
      <c r="GD4296" s="65">
        <f>1/2000*100*313.1</f>
        <v>15.655000000000001</v>
      </c>
      <c r="GE4296" s="65">
        <f>1/2000*100*372.1</f>
        <v>18.605</v>
      </c>
      <c r="GH4296" s="65" t="s">
        <v>3694</v>
      </c>
      <c r="GP4296" s="292" t="s">
        <v>7494</v>
      </c>
    </row>
    <row r="4297" spans="1:198" x14ac:dyDescent="0.25">
      <c r="A4297" s="55">
        <v>4296</v>
      </c>
      <c r="B4297" s="12" t="s">
        <v>7067</v>
      </c>
      <c r="C4297" s="155">
        <v>188</v>
      </c>
      <c r="D4297" s="55" t="s">
        <v>3690</v>
      </c>
      <c r="E4297" s="90" t="s">
        <v>3674</v>
      </c>
      <c r="G4297" s="55" t="s">
        <v>3675</v>
      </c>
      <c r="H4297" s="55">
        <v>2016</v>
      </c>
      <c r="I4297" s="55">
        <v>2014</v>
      </c>
      <c r="J4297" s="55" t="s">
        <v>3678</v>
      </c>
      <c r="K4297" s="55" t="s">
        <v>3677</v>
      </c>
      <c r="L4297" s="55" t="s">
        <v>3377</v>
      </c>
      <c r="M4297" s="90">
        <f>35+21/60</f>
        <v>35.35</v>
      </c>
      <c r="N4297" s="90">
        <f>109+56/60</f>
        <v>109.93333333333334</v>
      </c>
      <c r="O4297" s="90">
        <v>838</v>
      </c>
      <c r="U4297" s="55" t="s">
        <v>1816</v>
      </c>
      <c r="V4297" s="55" t="s">
        <v>1816</v>
      </c>
      <c r="Y4297" s="55" t="s">
        <v>3676</v>
      </c>
      <c r="Z4297" s="55" t="s">
        <v>1404</v>
      </c>
      <c r="AA4297" s="90" t="s">
        <v>3679</v>
      </c>
      <c r="AD4297" s="90">
        <f>(1.2+1.385)/2</f>
        <v>1.2925</v>
      </c>
      <c r="AE4297" s="90">
        <v>8</v>
      </c>
      <c r="AF4297" s="90">
        <v>67</v>
      </c>
      <c r="AH4297" s="55" t="s">
        <v>6378</v>
      </c>
      <c r="AI4297" s="168">
        <v>8.3000000000000007</v>
      </c>
      <c r="AJ4297" s="90">
        <v>1.302</v>
      </c>
      <c r="AM4297" s="55" t="s">
        <v>3112</v>
      </c>
      <c r="AN4297" s="185" t="s">
        <v>3681</v>
      </c>
      <c r="AO4297" s="185" t="s">
        <v>5150</v>
      </c>
      <c r="AQ4297" s="55" t="s">
        <v>553</v>
      </c>
      <c r="AR4297" s="55" t="s">
        <v>3680</v>
      </c>
      <c r="AS4297" s="55" t="s">
        <v>3471</v>
      </c>
      <c r="AU4297" s="181" t="s">
        <v>7494</v>
      </c>
      <c r="AV4297" s="185" t="s">
        <v>176</v>
      </c>
      <c r="AX4297" s="185" t="s">
        <v>176</v>
      </c>
      <c r="BE4297" s="226" t="s">
        <v>3685</v>
      </c>
      <c r="BF4297" s="191" t="s">
        <v>479</v>
      </c>
      <c r="BG4297" s="191" t="s">
        <v>479</v>
      </c>
      <c r="BH4297" s="226" t="s">
        <v>3685</v>
      </c>
      <c r="BI4297" s="191" t="s">
        <v>479</v>
      </c>
      <c r="BJ4297" s="55" t="s">
        <v>176</v>
      </c>
      <c r="BK4297" s="55" t="s">
        <v>5976</v>
      </c>
      <c r="BM4297" s="192" t="s">
        <v>160</v>
      </c>
      <c r="BN4297" s="55">
        <v>3</v>
      </c>
      <c r="BO4297" s="55">
        <v>3</v>
      </c>
      <c r="BP4297" s="55">
        <v>9</v>
      </c>
      <c r="BQ4297" s="55" t="s">
        <v>2077</v>
      </c>
      <c r="BV4297" s="55" t="s">
        <v>3682</v>
      </c>
      <c r="CB4297" s="66">
        <v>14400</v>
      </c>
      <c r="CC4297" s="66">
        <v>19000</v>
      </c>
      <c r="GD4297" s="65">
        <f>1/2000*100*329.1</f>
        <v>16.455000000000002</v>
      </c>
      <c r="GE4297" s="65">
        <f>1/2000*100*471.4</f>
        <v>23.57</v>
      </c>
      <c r="GH4297" s="65" t="s">
        <v>3694</v>
      </c>
      <c r="GP4297" s="292" t="s">
        <v>7494</v>
      </c>
    </row>
    <row r="4298" spans="1:198" x14ac:dyDescent="0.25">
      <c r="A4298" s="55">
        <v>4297</v>
      </c>
      <c r="B4298" s="12" t="s">
        <v>7067</v>
      </c>
      <c r="C4298" s="155">
        <v>188</v>
      </c>
      <c r="D4298" s="55" t="s">
        <v>3691</v>
      </c>
      <c r="E4298" s="90" t="s">
        <v>3674</v>
      </c>
      <c r="G4298" s="55" t="s">
        <v>3675</v>
      </c>
      <c r="H4298" s="55">
        <v>2016</v>
      </c>
      <c r="I4298" s="55">
        <v>2014</v>
      </c>
      <c r="J4298" s="55" t="s">
        <v>3678</v>
      </c>
      <c r="K4298" s="55" t="s">
        <v>3677</v>
      </c>
      <c r="L4298" s="55" t="s">
        <v>3377</v>
      </c>
      <c r="M4298" s="90">
        <f>35+21/60</f>
        <v>35.35</v>
      </c>
      <c r="N4298" s="90">
        <f>109+56/60</f>
        <v>109.93333333333334</v>
      </c>
      <c r="O4298" s="90">
        <v>838</v>
      </c>
      <c r="U4298" s="55" t="s">
        <v>1816</v>
      </c>
      <c r="V4298" s="55" t="s">
        <v>1816</v>
      </c>
      <c r="Y4298" s="55" t="s">
        <v>3676</v>
      </c>
      <c r="Z4298" s="55" t="s">
        <v>1404</v>
      </c>
      <c r="AA4298" s="90" t="s">
        <v>3679</v>
      </c>
      <c r="AD4298" s="90">
        <f>(1.2+1.385)/2</f>
        <v>1.2925</v>
      </c>
      <c r="AE4298" s="90">
        <v>8</v>
      </c>
      <c r="AF4298" s="90">
        <v>67</v>
      </c>
      <c r="AH4298" s="55" t="s">
        <v>6378</v>
      </c>
      <c r="AI4298" s="168">
        <v>8.3000000000000007</v>
      </c>
      <c r="AJ4298" s="90">
        <v>1.302</v>
      </c>
      <c r="AM4298" s="55" t="s">
        <v>3112</v>
      </c>
      <c r="AN4298" s="185" t="s">
        <v>3681</v>
      </c>
      <c r="AO4298" s="185" t="s">
        <v>5150</v>
      </c>
      <c r="AQ4298" s="55" t="s">
        <v>553</v>
      </c>
      <c r="AR4298" s="55" t="s">
        <v>3680</v>
      </c>
      <c r="AS4298" s="55" t="s">
        <v>3471</v>
      </c>
      <c r="AU4298" s="181" t="s">
        <v>7494</v>
      </c>
      <c r="AV4298" s="185" t="s">
        <v>176</v>
      </c>
      <c r="AX4298" s="185" t="s">
        <v>176</v>
      </c>
      <c r="BE4298" s="226" t="s">
        <v>3686</v>
      </c>
      <c r="BF4298" s="191" t="s">
        <v>479</v>
      </c>
      <c r="BG4298" s="191" t="s">
        <v>479</v>
      </c>
      <c r="BH4298" s="226" t="s">
        <v>3686</v>
      </c>
      <c r="BI4298" s="191" t="s">
        <v>479</v>
      </c>
      <c r="BJ4298" s="55" t="s">
        <v>176</v>
      </c>
      <c r="BK4298" s="55" t="s">
        <v>5976</v>
      </c>
      <c r="BM4298" s="192" t="s">
        <v>160</v>
      </c>
      <c r="BN4298" s="55">
        <v>3</v>
      </c>
      <c r="BO4298" s="55">
        <v>3</v>
      </c>
      <c r="BP4298" s="55">
        <v>9</v>
      </c>
      <c r="BQ4298" s="55" t="s">
        <v>2077</v>
      </c>
      <c r="BV4298" s="55" t="s">
        <v>3682</v>
      </c>
      <c r="CB4298" s="66">
        <v>11200</v>
      </c>
      <c r="CC4298" s="66">
        <v>17200</v>
      </c>
      <c r="GD4298" s="65">
        <f>1/2000*100*380.6</f>
        <v>19.03</v>
      </c>
      <c r="GE4298" s="65">
        <f>1/2000*100*513.3</f>
        <v>25.664999999999999</v>
      </c>
      <c r="GH4298" s="65" t="s">
        <v>3694</v>
      </c>
      <c r="GP4298" s="292" t="s">
        <v>7494</v>
      </c>
    </row>
    <row r="4299" spans="1:198" x14ac:dyDescent="0.25">
      <c r="A4299" s="55">
        <v>4298</v>
      </c>
      <c r="B4299" s="12" t="s">
        <v>7067</v>
      </c>
      <c r="C4299" s="155">
        <v>188</v>
      </c>
      <c r="D4299" s="55" t="s">
        <v>3692</v>
      </c>
      <c r="E4299" s="90" t="s">
        <v>3674</v>
      </c>
      <c r="G4299" s="55" t="s">
        <v>3675</v>
      </c>
      <c r="H4299" s="55">
        <v>2016</v>
      </c>
      <c r="I4299" s="55">
        <v>2014</v>
      </c>
      <c r="J4299" s="55" t="s">
        <v>3678</v>
      </c>
      <c r="K4299" s="55" t="s">
        <v>3677</v>
      </c>
      <c r="L4299" s="55" t="s">
        <v>3377</v>
      </c>
      <c r="M4299" s="90">
        <f>35+21/60</f>
        <v>35.35</v>
      </c>
      <c r="N4299" s="90">
        <f>109+56/60</f>
        <v>109.93333333333334</v>
      </c>
      <c r="O4299" s="90">
        <v>838</v>
      </c>
      <c r="U4299" s="55" t="s">
        <v>1816</v>
      </c>
      <c r="V4299" s="55" t="s">
        <v>1816</v>
      </c>
      <c r="Y4299" s="55" t="s">
        <v>3676</v>
      </c>
      <c r="Z4299" s="55" t="s">
        <v>1404</v>
      </c>
      <c r="AA4299" s="90" t="s">
        <v>3679</v>
      </c>
      <c r="AD4299" s="90">
        <f>(1.2+1.385)/2</f>
        <v>1.2925</v>
      </c>
      <c r="AE4299" s="90">
        <v>8</v>
      </c>
      <c r="AF4299" s="90">
        <v>67</v>
      </c>
      <c r="AH4299" s="55" t="s">
        <v>6378</v>
      </c>
      <c r="AI4299" s="168">
        <v>8.3000000000000007</v>
      </c>
      <c r="AJ4299" s="90">
        <v>1.302</v>
      </c>
      <c r="AM4299" s="55" t="s">
        <v>3112</v>
      </c>
      <c r="AN4299" s="185" t="s">
        <v>3681</v>
      </c>
      <c r="AO4299" s="185" t="s">
        <v>5150</v>
      </c>
      <c r="AQ4299" s="55" t="s">
        <v>553</v>
      </c>
      <c r="AR4299" s="55" t="s">
        <v>3680</v>
      </c>
      <c r="AS4299" s="55" t="s">
        <v>3471</v>
      </c>
      <c r="AU4299" s="181" t="s">
        <v>7494</v>
      </c>
      <c r="AV4299" s="185" t="s">
        <v>176</v>
      </c>
      <c r="AX4299" s="185" t="s">
        <v>176</v>
      </c>
      <c r="BE4299" s="226" t="s">
        <v>3687</v>
      </c>
      <c r="BF4299" s="191" t="s">
        <v>479</v>
      </c>
      <c r="BG4299" s="191" t="s">
        <v>479</v>
      </c>
      <c r="BH4299" s="226" t="s">
        <v>3687</v>
      </c>
      <c r="BI4299" s="191" t="s">
        <v>479</v>
      </c>
      <c r="BJ4299" s="55" t="s">
        <v>176</v>
      </c>
      <c r="BK4299" s="55" t="s">
        <v>5976</v>
      </c>
      <c r="BM4299" s="192" t="s">
        <v>160</v>
      </c>
      <c r="BN4299" s="55">
        <v>3</v>
      </c>
      <c r="BO4299" s="55">
        <v>3</v>
      </c>
      <c r="BP4299" s="55">
        <v>9</v>
      </c>
      <c r="BQ4299" s="55" t="s">
        <v>2077</v>
      </c>
      <c r="BV4299" s="55" t="s">
        <v>3682</v>
      </c>
      <c r="CB4299" s="66">
        <v>16000</v>
      </c>
      <c r="CC4299" s="66">
        <v>18400</v>
      </c>
      <c r="GD4299" s="65">
        <f>1/2000*100*348.3</f>
        <v>17.415000000000003</v>
      </c>
      <c r="GE4299" s="65">
        <f>1/2000*100*482.9</f>
        <v>24.145</v>
      </c>
      <c r="GH4299" s="65" t="s">
        <v>3694</v>
      </c>
      <c r="GP4299" s="292" t="s">
        <v>7494</v>
      </c>
    </row>
    <row r="4300" spans="1:198" x14ac:dyDescent="0.25">
      <c r="A4300" s="55">
        <v>4299</v>
      </c>
      <c r="B4300" s="12" t="s">
        <v>7067</v>
      </c>
      <c r="C4300" s="155">
        <v>188</v>
      </c>
      <c r="D4300" s="55" t="s">
        <v>3693</v>
      </c>
      <c r="E4300" s="90" t="s">
        <v>3674</v>
      </c>
      <c r="G4300" s="55" t="s">
        <v>3675</v>
      </c>
      <c r="H4300" s="55">
        <v>2016</v>
      </c>
      <c r="I4300" s="55">
        <v>2014</v>
      </c>
      <c r="J4300" s="55" t="s">
        <v>3678</v>
      </c>
      <c r="K4300" s="55" t="s">
        <v>3677</v>
      </c>
      <c r="L4300" s="55" t="s">
        <v>3377</v>
      </c>
      <c r="M4300" s="90">
        <f>35+21/60</f>
        <v>35.35</v>
      </c>
      <c r="N4300" s="90">
        <f>109+56/60</f>
        <v>109.93333333333334</v>
      </c>
      <c r="O4300" s="90">
        <v>838</v>
      </c>
      <c r="U4300" s="55" t="s">
        <v>1816</v>
      </c>
      <c r="V4300" s="55" t="s">
        <v>1816</v>
      </c>
      <c r="Y4300" s="55" t="s">
        <v>3676</v>
      </c>
      <c r="Z4300" s="55" t="s">
        <v>1404</v>
      </c>
      <c r="AA4300" s="90" t="s">
        <v>3679</v>
      </c>
      <c r="AD4300" s="90">
        <f>(1.2+1.385)/2</f>
        <v>1.2925</v>
      </c>
      <c r="AE4300" s="90">
        <v>8</v>
      </c>
      <c r="AF4300" s="90">
        <v>67</v>
      </c>
      <c r="AH4300" s="55" t="s">
        <v>6378</v>
      </c>
      <c r="AI4300" s="168">
        <v>8.3000000000000007</v>
      </c>
      <c r="AJ4300" s="90">
        <v>1.302</v>
      </c>
      <c r="AM4300" s="55" t="s">
        <v>3112</v>
      </c>
      <c r="AN4300" s="185" t="s">
        <v>3681</v>
      </c>
      <c r="AO4300" s="185" t="s">
        <v>5150</v>
      </c>
      <c r="AQ4300" s="55" t="s">
        <v>553</v>
      </c>
      <c r="AR4300" s="55" t="s">
        <v>3680</v>
      </c>
      <c r="AS4300" s="55" t="s">
        <v>3471</v>
      </c>
      <c r="AU4300" s="181" t="s">
        <v>7494</v>
      </c>
      <c r="AV4300" s="185" t="s">
        <v>176</v>
      </c>
      <c r="AX4300" s="185" t="s">
        <v>176</v>
      </c>
      <c r="BE4300" s="226" t="s">
        <v>3688</v>
      </c>
      <c r="BF4300" s="191" t="s">
        <v>479</v>
      </c>
      <c r="BG4300" s="191" t="s">
        <v>479</v>
      </c>
      <c r="BH4300" s="226" t="s">
        <v>3688</v>
      </c>
      <c r="BI4300" s="191" t="s">
        <v>479</v>
      </c>
      <c r="BJ4300" s="55" t="s">
        <v>176</v>
      </c>
      <c r="BK4300" s="55" t="s">
        <v>5976</v>
      </c>
      <c r="BM4300" s="192" t="s">
        <v>160</v>
      </c>
      <c r="BN4300" s="55">
        <v>3</v>
      </c>
      <c r="BO4300" s="55">
        <v>3</v>
      </c>
      <c r="BP4300" s="55">
        <v>9</v>
      </c>
      <c r="BQ4300" s="55" t="s">
        <v>2077</v>
      </c>
      <c r="BV4300" s="55" t="s">
        <v>3682</v>
      </c>
      <c r="CB4300" s="66">
        <v>24000</v>
      </c>
      <c r="CC4300" s="66">
        <v>29900</v>
      </c>
      <c r="GD4300" s="65">
        <f>1/2000*100*423</f>
        <v>21.150000000000002</v>
      </c>
      <c r="GE4300" s="65">
        <f>1/2000*100*516.5</f>
        <v>25.825000000000003</v>
      </c>
      <c r="GH4300" s="65" t="s">
        <v>3694</v>
      </c>
      <c r="GP4300" s="292" t="s">
        <v>7494</v>
      </c>
    </row>
    <row r="4301" spans="1:198" x14ac:dyDescent="0.25">
      <c r="A4301" s="55">
        <v>4300</v>
      </c>
      <c r="B4301" s="12" t="s">
        <v>7067</v>
      </c>
      <c r="C4301" s="155">
        <v>188</v>
      </c>
      <c r="D4301" s="55" t="s">
        <v>3689</v>
      </c>
      <c r="E4301" s="90" t="s">
        <v>3674</v>
      </c>
      <c r="G4301" s="55" t="s">
        <v>3675</v>
      </c>
      <c r="H4301" s="55">
        <v>2016</v>
      </c>
      <c r="I4301" s="55">
        <v>2014</v>
      </c>
      <c r="J4301" s="55" t="s">
        <v>3678</v>
      </c>
      <c r="K4301" s="55" t="s">
        <v>3677</v>
      </c>
      <c r="L4301" s="55" t="s">
        <v>3377</v>
      </c>
      <c r="M4301" s="90">
        <f>35+21/60</f>
        <v>35.35</v>
      </c>
      <c r="N4301" s="90">
        <f>109+56/60</f>
        <v>109.93333333333334</v>
      </c>
      <c r="O4301" s="90">
        <v>838</v>
      </c>
      <c r="U4301" s="55" t="s">
        <v>1816</v>
      </c>
      <c r="V4301" s="55" t="s">
        <v>1816</v>
      </c>
      <c r="Y4301" s="55" t="s">
        <v>3676</v>
      </c>
      <c r="Z4301" s="55" t="s">
        <v>1404</v>
      </c>
      <c r="AA4301" s="90" t="s">
        <v>3679</v>
      </c>
      <c r="AD4301" s="90">
        <f>(1.2+1.385)/2</f>
        <v>1.2925</v>
      </c>
      <c r="AE4301" s="90">
        <v>8</v>
      </c>
      <c r="AF4301" s="90">
        <v>67</v>
      </c>
      <c r="AH4301" s="55" t="s">
        <v>6378</v>
      </c>
      <c r="AI4301" s="168">
        <v>8.3000000000000007</v>
      </c>
      <c r="AJ4301" s="90">
        <v>1.302</v>
      </c>
      <c r="AM4301" s="55" t="s">
        <v>3112</v>
      </c>
      <c r="AN4301" s="185" t="s">
        <v>3681</v>
      </c>
      <c r="AO4301" s="185" t="s">
        <v>5150</v>
      </c>
      <c r="AQ4301" s="55" t="s">
        <v>553</v>
      </c>
      <c r="AR4301" s="55" t="s">
        <v>3680</v>
      </c>
      <c r="AS4301" s="55" t="s">
        <v>3471</v>
      </c>
      <c r="AU4301" s="181" t="s">
        <v>7494</v>
      </c>
      <c r="AV4301" s="185" t="s">
        <v>176</v>
      </c>
      <c r="AX4301" s="185" t="s">
        <v>176</v>
      </c>
      <c r="BE4301" s="226" t="s">
        <v>3068</v>
      </c>
      <c r="BF4301" s="191" t="s">
        <v>176</v>
      </c>
      <c r="BG4301" s="191" t="s">
        <v>176</v>
      </c>
      <c r="BH4301" s="226" t="s">
        <v>3068</v>
      </c>
      <c r="BI4301" s="191" t="s">
        <v>176</v>
      </c>
      <c r="BJ4301" s="55" t="s">
        <v>176</v>
      </c>
      <c r="BK4301" s="55" t="s">
        <v>5976</v>
      </c>
      <c r="BM4301" s="192" t="s">
        <v>160</v>
      </c>
      <c r="BN4301" s="55">
        <v>3</v>
      </c>
      <c r="BO4301" s="55">
        <v>3</v>
      </c>
      <c r="BP4301" s="55">
        <v>9</v>
      </c>
      <c r="BQ4301" s="55" t="s">
        <v>2077</v>
      </c>
      <c r="BV4301" s="55" t="s">
        <v>3683</v>
      </c>
      <c r="GD4301" s="65">
        <f>1/2000*100*282</f>
        <v>14.100000000000001</v>
      </c>
      <c r="GE4301" s="65">
        <f>1/2000*100*312.4</f>
        <v>15.62</v>
      </c>
      <c r="GH4301" s="65" t="s">
        <v>3694</v>
      </c>
      <c r="GP4301" s="292" t="s">
        <v>7494</v>
      </c>
    </row>
    <row r="4302" spans="1:198" x14ac:dyDescent="0.25">
      <c r="A4302" s="55">
        <v>4301</v>
      </c>
      <c r="B4302" s="12" t="s">
        <v>7067</v>
      </c>
      <c r="C4302" s="155">
        <v>188</v>
      </c>
      <c r="D4302" s="55" t="s">
        <v>3690</v>
      </c>
      <c r="E4302" s="90" t="s">
        <v>3674</v>
      </c>
      <c r="G4302" s="55" t="s">
        <v>3675</v>
      </c>
      <c r="H4302" s="55">
        <v>2016</v>
      </c>
      <c r="I4302" s="55">
        <v>2014</v>
      </c>
      <c r="J4302" s="55" t="s">
        <v>3678</v>
      </c>
      <c r="K4302" s="55" t="s">
        <v>3677</v>
      </c>
      <c r="L4302" s="55" t="s">
        <v>3377</v>
      </c>
      <c r="M4302" s="90">
        <f>35+21/60</f>
        <v>35.35</v>
      </c>
      <c r="N4302" s="90">
        <f>109+56/60</f>
        <v>109.93333333333334</v>
      </c>
      <c r="O4302" s="90">
        <v>838</v>
      </c>
      <c r="U4302" s="55" t="s">
        <v>1816</v>
      </c>
      <c r="V4302" s="55" t="s">
        <v>1816</v>
      </c>
      <c r="Y4302" s="55" t="s">
        <v>3676</v>
      </c>
      <c r="Z4302" s="55" t="s">
        <v>1404</v>
      </c>
      <c r="AA4302" s="90" t="s">
        <v>3679</v>
      </c>
      <c r="AD4302" s="90">
        <f>(1.2+1.385)/2</f>
        <v>1.2925</v>
      </c>
      <c r="AE4302" s="90">
        <v>8</v>
      </c>
      <c r="AF4302" s="90">
        <v>67</v>
      </c>
      <c r="AH4302" s="55" t="s">
        <v>6378</v>
      </c>
      <c r="AI4302" s="168">
        <v>8.3000000000000007</v>
      </c>
      <c r="AJ4302" s="90">
        <v>1.302</v>
      </c>
      <c r="AM4302" s="55" t="s">
        <v>3112</v>
      </c>
      <c r="AN4302" s="185" t="s">
        <v>3681</v>
      </c>
      <c r="AO4302" s="185" t="s">
        <v>5150</v>
      </c>
      <c r="AQ4302" s="55" t="s">
        <v>553</v>
      </c>
      <c r="AR4302" s="55" t="s">
        <v>3680</v>
      </c>
      <c r="AS4302" s="55" t="s">
        <v>3471</v>
      </c>
      <c r="AU4302" s="181" t="s">
        <v>7494</v>
      </c>
      <c r="AV4302" s="185" t="s">
        <v>176</v>
      </c>
      <c r="AX4302" s="185" t="s">
        <v>176</v>
      </c>
      <c r="BE4302" s="226" t="s">
        <v>3685</v>
      </c>
      <c r="BF4302" s="191" t="s">
        <v>479</v>
      </c>
      <c r="BG4302" s="191" t="s">
        <v>479</v>
      </c>
      <c r="BH4302" s="226" t="s">
        <v>3685</v>
      </c>
      <c r="BI4302" s="191" t="s">
        <v>479</v>
      </c>
      <c r="BJ4302" s="55" t="s">
        <v>176</v>
      </c>
      <c r="BK4302" s="55" t="s">
        <v>5976</v>
      </c>
      <c r="BM4302" s="192" t="s">
        <v>160</v>
      </c>
      <c r="BN4302" s="55">
        <v>3</v>
      </c>
      <c r="BO4302" s="55">
        <v>3</v>
      </c>
      <c r="BP4302" s="55">
        <v>9</v>
      </c>
      <c r="BQ4302" s="55" t="s">
        <v>2077</v>
      </c>
      <c r="BV4302" s="55" t="s">
        <v>3683</v>
      </c>
      <c r="GD4302" s="65">
        <f>1/2000*100*311.7</f>
        <v>15.585000000000001</v>
      </c>
      <c r="GE4302" s="65">
        <f>1/2000*100*359.8</f>
        <v>17.990000000000002</v>
      </c>
      <c r="GH4302" s="65" t="s">
        <v>3694</v>
      </c>
      <c r="GP4302" s="292" t="s">
        <v>7494</v>
      </c>
    </row>
    <row r="4303" spans="1:198" x14ac:dyDescent="0.25">
      <c r="A4303" s="55">
        <v>4302</v>
      </c>
      <c r="B4303" s="12" t="s">
        <v>7067</v>
      </c>
      <c r="C4303" s="155">
        <v>188</v>
      </c>
      <c r="D4303" s="55" t="s">
        <v>3691</v>
      </c>
      <c r="E4303" s="90" t="s">
        <v>3674</v>
      </c>
      <c r="G4303" s="55" t="s">
        <v>3675</v>
      </c>
      <c r="H4303" s="55">
        <v>2016</v>
      </c>
      <c r="I4303" s="55">
        <v>2014</v>
      </c>
      <c r="J4303" s="55" t="s">
        <v>3678</v>
      </c>
      <c r="K4303" s="55" t="s">
        <v>3677</v>
      </c>
      <c r="L4303" s="55" t="s">
        <v>3377</v>
      </c>
      <c r="M4303" s="90">
        <f>35+21/60</f>
        <v>35.35</v>
      </c>
      <c r="N4303" s="90">
        <f>109+56/60</f>
        <v>109.93333333333334</v>
      </c>
      <c r="O4303" s="90">
        <v>838</v>
      </c>
      <c r="U4303" s="55" t="s">
        <v>1816</v>
      </c>
      <c r="V4303" s="55" t="s">
        <v>1816</v>
      </c>
      <c r="Y4303" s="55" t="s">
        <v>3676</v>
      </c>
      <c r="Z4303" s="55" t="s">
        <v>1404</v>
      </c>
      <c r="AA4303" s="90" t="s">
        <v>3679</v>
      </c>
      <c r="AD4303" s="90">
        <f>(1.2+1.385)/2</f>
        <v>1.2925</v>
      </c>
      <c r="AE4303" s="90">
        <v>8</v>
      </c>
      <c r="AF4303" s="90">
        <v>67</v>
      </c>
      <c r="AH4303" s="55" t="s">
        <v>6378</v>
      </c>
      <c r="AI4303" s="168">
        <v>8.3000000000000007</v>
      </c>
      <c r="AJ4303" s="90">
        <v>1.302</v>
      </c>
      <c r="AM4303" s="55" t="s">
        <v>3112</v>
      </c>
      <c r="AN4303" s="185" t="s">
        <v>3681</v>
      </c>
      <c r="AO4303" s="185" t="s">
        <v>5150</v>
      </c>
      <c r="AQ4303" s="55" t="s">
        <v>553</v>
      </c>
      <c r="AR4303" s="55" t="s">
        <v>3680</v>
      </c>
      <c r="AS4303" s="55" t="s">
        <v>3471</v>
      </c>
      <c r="AU4303" s="181" t="s">
        <v>7494</v>
      </c>
      <c r="AV4303" s="185" t="s">
        <v>176</v>
      </c>
      <c r="AX4303" s="185" t="s">
        <v>176</v>
      </c>
      <c r="BE4303" s="226" t="s">
        <v>3686</v>
      </c>
      <c r="BF4303" s="191" t="s">
        <v>479</v>
      </c>
      <c r="BG4303" s="191" t="s">
        <v>479</v>
      </c>
      <c r="BH4303" s="226" t="s">
        <v>3686</v>
      </c>
      <c r="BI4303" s="191" t="s">
        <v>479</v>
      </c>
      <c r="BJ4303" s="55" t="s">
        <v>176</v>
      </c>
      <c r="BK4303" s="55" t="s">
        <v>5976</v>
      </c>
      <c r="BM4303" s="192" t="s">
        <v>160</v>
      </c>
      <c r="BN4303" s="55">
        <v>3</v>
      </c>
      <c r="BO4303" s="55">
        <v>3</v>
      </c>
      <c r="BP4303" s="55">
        <v>9</v>
      </c>
      <c r="BQ4303" s="55" t="s">
        <v>2077</v>
      </c>
      <c r="BV4303" s="55" t="s">
        <v>3683</v>
      </c>
      <c r="GD4303" s="65">
        <f>1/2000*100*356.2</f>
        <v>17.809999999999999</v>
      </c>
      <c r="GE4303" s="65">
        <f>1/2000*100*399.2</f>
        <v>19.96</v>
      </c>
      <c r="GH4303" s="65" t="s">
        <v>3694</v>
      </c>
      <c r="GP4303" s="292" t="s">
        <v>7494</v>
      </c>
    </row>
    <row r="4304" spans="1:198" x14ac:dyDescent="0.25">
      <c r="A4304" s="55">
        <v>4303</v>
      </c>
      <c r="B4304" s="12" t="s">
        <v>7067</v>
      </c>
      <c r="C4304" s="155">
        <v>188</v>
      </c>
      <c r="D4304" s="55" t="s">
        <v>3692</v>
      </c>
      <c r="E4304" s="90" t="s">
        <v>3674</v>
      </c>
      <c r="G4304" s="55" t="s">
        <v>3675</v>
      </c>
      <c r="H4304" s="55">
        <v>2016</v>
      </c>
      <c r="I4304" s="55">
        <v>2014</v>
      </c>
      <c r="J4304" s="55" t="s">
        <v>3678</v>
      </c>
      <c r="K4304" s="55" t="s">
        <v>3677</v>
      </c>
      <c r="L4304" s="55" t="s">
        <v>3377</v>
      </c>
      <c r="M4304" s="90">
        <f>35+21/60</f>
        <v>35.35</v>
      </c>
      <c r="N4304" s="90">
        <f>109+56/60</f>
        <v>109.93333333333334</v>
      </c>
      <c r="O4304" s="90">
        <v>838</v>
      </c>
      <c r="U4304" s="55" t="s">
        <v>1816</v>
      </c>
      <c r="V4304" s="55" t="s">
        <v>1816</v>
      </c>
      <c r="Y4304" s="55" t="s">
        <v>3676</v>
      </c>
      <c r="Z4304" s="55" t="s">
        <v>1404</v>
      </c>
      <c r="AA4304" s="90" t="s">
        <v>3679</v>
      </c>
      <c r="AD4304" s="90">
        <f>(1.2+1.385)/2</f>
        <v>1.2925</v>
      </c>
      <c r="AE4304" s="90">
        <v>8</v>
      </c>
      <c r="AF4304" s="90">
        <v>67</v>
      </c>
      <c r="AH4304" s="55" t="s">
        <v>6378</v>
      </c>
      <c r="AI4304" s="168">
        <v>8.3000000000000007</v>
      </c>
      <c r="AJ4304" s="90">
        <v>1.302</v>
      </c>
      <c r="AM4304" s="55" t="s">
        <v>3112</v>
      </c>
      <c r="AN4304" s="185" t="s">
        <v>3681</v>
      </c>
      <c r="AO4304" s="185" t="s">
        <v>5150</v>
      </c>
      <c r="AQ4304" s="55" t="s">
        <v>553</v>
      </c>
      <c r="AR4304" s="55" t="s">
        <v>3680</v>
      </c>
      <c r="AS4304" s="55" t="s">
        <v>3471</v>
      </c>
      <c r="AU4304" s="181" t="s">
        <v>7494</v>
      </c>
      <c r="AV4304" s="185" t="s">
        <v>176</v>
      </c>
      <c r="AX4304" s="185" t="s">
        <v>176</v>
      </c>
      <c r="BE4304" s="226" t="s">
        <v>3687</v>
      </c>
      <c r="BF4304" s="191" t="s">
        <v>479</v>
      </c>
      <c r="BG4304" s="191" t="s">
        <v>479</v>
      </c>
      <c r="BH4304" s="226" t="s">
        <v>3687</v>
      </c>
      <c r="BI4304" s="191" t="s">
        <v>479</v>
      </c>
      <c r="BJ4304" s="55" t="s">
        <v>176</v>
      </c>
      <c r="BK4304" s="55" t="s">
        <v>5976</v>
      </c>
      <c r="BM4304" s="192" t="s">
        <v>160</v>
      </c>
      <c r="BN4304" s="55">
        <v>3</v>
      </c>
      <c r="BO4304" s="55">
        <v>3</v>
      </c>
      <c r="BP4304" s="55">
        <v>9</v>
      </c>
      <c r="BQ4304" s="55" t="s">
        <v>2077</v>
      </c>
      <c r="BV4304" s="55" t="s">
        <v>3683</v>
      </c>
      <c r="GD4304" s="65">
        <f>1/2000*100*340.6</f>
        <v>17.03</v>
      </c>
      <c r="GE4304" s="65">
        <f>1/2000*100*373.5</f>
        <v>18.675000000000001</v>
      </c>
      <c r="GH4304" s="65" t="s">
        <v>3694</v>
      </c>
      <c r="GP4304" s="292" t="s">
        <v>7494</v>
      </c>
    </row>
    <row r="4305" spans="1:276" x14ac:dyDescent="0.25">
      <c r="A4305" s="55">
        <v>4304</v>
      </c>
      <c r="B4305" s="12" t="s">
        <v>7067</v>
      </c>
      <c r="C4305" s="155">
        <v>188</v>
      </c>
      <c r="D4305" s="55" t="s">
        <v>3693</v>
      </c>
      <c r="E4305" s="90" t="s">
        <v>3674</v>
      </c>
      <c r="G4305" s="55" t="s">
        <v>3675</v>
      </c>
      <c r="H4305" s="55">
        <v>2016</v>
      </c>
      <c r="I4305" s="55">
        <v>2014</v>
      </c>
      <c r="J4305" s="55" t="s">
        <v>3678</v>
      </c>
      <c r="K4305" s="55" t="s">
        <v>3677</v>
      </c>
      <c r="L4305" s="55" t="s">
        <v>3377</v>
      </c>
      <c r="M4305" s="90">
        <f>35+21/60</f>
        <v>35.35</v>
      </c>
      <c r="N4305" s="90">
        <f>109+56/60</f>
        <v>109.93333333333334</v>
      </c>
      <c r="O4305" s="90">
        <v>838</v>
      </c>
      <c r="U4305" s="55" t="s">
        <v>1816</v>
      </c>
      <c r="V4305" s="55" t="s">
        <v>1816</v>
      </c>
      <c r="Y4305" s="55" t="s">
        <v>3676</v>
      </c>
      <c r="Z4305" s="55" t="s">
        <v>1404</v>
      </c>
      <c r="AA4305" s="90" t="s">
        <v>3679</v>
      </c>
      <c r="AD4305" s="90">
        <f>(1.2+1.385)/2</f>
        <v>1.2925</v>
      </c>
      <c r="AE4305" s="90">
        <v>8</v>
      </c>
      <c r="AF4305" s="90">
        <v>67</v>
      </c>
      <c r="AH4305" s="55" t="s">
        <v>6378</v>
      </c>
      <c r="AI4305" s="168">
        <v>8.3000000000000007</v>
      </c>
      <c r="AJ4305" s="90">
        <v>1.302</v>
      </c>
      <c r="AM4305" s="55" t="s">
        <v>3112</v>
      </c>
      <c r="AN4305" s="185" t="s">
        <v>3681</v>
      </c>
      <c r="AO4305" s="185" t="s">
        <v>5150</v>
      </c>
      <c r="AQ4305" s="55" t="s">
        <v>553</v>
      </c>
      <c r="AR4305" s="55" t="s">
        <v>3680</v>
      </c>
      <c r="AS4305" s="55" t="s">
        <v>3471</v>
      </c>
      <c r="AU4305" s="181" t="s">
        <v>7494</v>
      </c>
      <c r="AV4305" s="185" t="s">
        <v>176</v>
      </c>
      <c r="AX4305" s="185" t="s">
        <v>176</v>
      </c>
      <c r="BE4305" s="226" t="s">
        <v>3688</v>
      </c>
      <c r="BF4305" s="191" t="s">
        <v>479</v>
      </c>
      <c r="BG4305" s="191" t="s">
        <v>479</v>
      </c>
      <c r="BH4305" s="226" t="s">
        <v>3688</v>
      </c>
      <c r="BI4305" s="191" t="s">
        <v>479</v>
      </c>
      <c r="BJ4305" s="55" t="s">
        <v>176</v>
      </c>
      <c r="BK4305" s="55" t="s">
        <v>5976</v>
      </c>
      <c r="BM4305" s="192" t="s">
        <v>160</v>
      </c>
      <c r="BN4305" s="55">
        <v>3</v>
      </c>
      <c r="BO4305" s="55">
        <v>3</v>
      </c>
      <c r="BP4305" s="55">
        <v>9</v>
      </c>
      <c r="BQ4305" s="55" t="s">
        <v>2077</v>
      </c>
      <c r="BV4305" s="55" t="s">
        <v>3683</v>
      </c>
      <c r="GD4305" s="65">
        <f>1/2000*100*386.6</f>
        <v>19.330000000000002</v>
      </c>
      <c r="GE4305" s="65">
        <f>1/2000*100*392.2</f>
        <v>19.61</v>
      </c>
      <c r="GH4305" s="65" t="s">
        <v>3694</v>
      </c>
      <c r="GP4305" s="292" t="s">
        <v>7494</v>
      </c>
    </row>
    <row r="4306" spans="1:276" x14ac:dyDescent="0.25">
      <c r="A4306" s="55">
        <v>4305</v>
      </c>
      <c r="B4306" s="12" t="s">
        <v>7067</v>
      </c>
      <c r="C4306" s="155">
        <v>188</v>
      </c>
      <c r="D4306" s="55" t="s">
        <v>3689</v>
      </c>
      <c r="E4306" s="90" t="s">
        <v>3674</v>
      </c>
      <c r="G4306" s="55" t="s">
        <v>3675</v>
      </c>
      <c r="H4306" s="55">
        <v>2016</v>
      </c>
      <c r="I4306" s="55">
        <v>2014</v>
      </c>
      <c r="J4306" s="55" t="s">
        <v>3678</v>
      </c>
      <c r="K4306" s="55" t="s">
        <v>3677</v>
      </c>
      <c r="L4306" s="55" t="s">
        <v>3377</v>
      </c>
      <c r="M4306" s="90">
        <f>35+21/60</f>
        <v>35.35</v>
      </c>
      <c r="N4306" s="90">
        <f>109+56/60</f>
        <v>109.93333333333334</v>
      </c>
      <c r="O4306" s="90">
        <v>838</v>
      </c>
      <c r="U4306" s="55" t="s">
        <v>1816</v>
      </c>
      <c r="V4306" s="55" t="s">
        <v>1816</v>
      </c>
      <c r="Y4306" s="55" t="s">
        <v>3676</v>
      </c>
      <c r="Z4306" s="55" t="s">
        <v>1404</v>
      </c>
      <c r="AA4306" s="90" t="s">
        <v>3679</v>
      </c>
      <c r="AD4306" s="90">
        <f>(1.2+1.385)/2</f>
        <v>1.2925</v>
      </c>
      <c r="AE4306" s="90">
        <v>8</v>
      </c>
      <c r="AF4306" s="90">
        <v>67</v>
      </c>
      <c r="AH4306" s="55" t="s">
        <v>6378</v>
      </c>
      <c r="AI4306" s="168">
        <v>8.3000000000000007</v>
      </c>
      <c r="AJ4306" s="90">
        <v>1.302</v>
      </c>
      <c r="AM4306" s="55" t="s">
        <v>3112</v>
      </c>
      <c r="AN4306" s="185" t="s">
        <v>3681</v>
      </c>
      <c r="AO4306" s="185" t="s">
        <v>5150</v>
      </c>
      <c r="AQ4306" s="55" t="s">
        <v>553</v>
      </c>
      <c r="AR4306" s="55" t="s">
        <v>3680</v>
      </c>
      <c r="AS4306" s="55" t="s">
        <v>3471</v>
      </c>
      <c r="AU4306" s="181" t="s">
        <v>7494</v>
      </c>
      <c r="AV4306" s="185" t="s">
        <v>176</v>
      </c>
      <c r="AX4306" s="185" t="s">
        <v>176</v>
      </c>
      <c r="BE4306" s="226" t="s">
        <v>3068</v>
      </c>
      <c r="BF4306" s="191" t="s">
        <v>176</v>
      </c>
      <c r="BG4306" s="191" t="s">
        <v>176</v>
      </c>
      <c r="BH4306" s="226" t="s">
        <v>3068</v>
      </c>
      <c r="BI4306" s="191" t="s">
        <v>176</v>
      </c>
      <c r="BJ4306" s="55" t="s">
        <v>176</v>
      </c>
      <c r="BK4306" s="55" t="s">
        <v>5976</v>
      </c>
      <c r="BM4306" s="192" t="s">
        <v>160</v>
      </c>
      <c r="BN4306" s="55">
        <v>3</v>
      </c>
      <c r="BO4306" s="55">
        <v>3</v>
      </c>
      <c r="BP4306" s="55">
        <v>9</v>
      </c>
      <c r="BQ4306" s="55" t="s">
        <v>2077</v>
      </c>
      <c r="BV4306" s="55" t="s">
        <v>3684</v>
      </c>
      <c r="GD4306" s="65">
        <f>1/2000*100*438.8</f>
        <v>21.94</v>
      </c>
      <c r="GE4306" s="65">
        <f>1/2000*100*461.3</f>
        <v>23.065000000000001</v>
      </c>
      <c r="GH4306" s="65" t="s">
        <v>3694</v>
      </c>
      <c r="GP4306" s="292" t="s">
        <v>7494</v>
      </c>
    </row>
    <row r="4307" spans="1:276" x14ac:dyDescent="0.25">
      <c r="A4307" s="55">
        <v>4306</v>
      </c>
      <c r="B4307" s="12" t="s">
        <v>7067</v>
      </c>
      <c r="C4307" s="155">
        <v>188</v>
      </c>
      <c r="D4307" s="55" t="s">
        <v>3690</v>
      </c>
      <c r="E4307" s="90" t="s">
        <v>3674</v>
      </c>
      <c r="G4307" s="55" t="s">
        <v>3675</v>
      </c>
      <c r="H4307" s="55">
        <v>2016</v>
      </c>
      <c r="I4307" s="55">
        <v>2014</v>
      </c>
      <c r="J4307" s="55" t="s">
        <v>3678</v>
      </c>
      <c r="K4307" s="55" t="s">
        <v>3677</v>
      </c>
      <c r="L4307" s="55" t="s">
        <v>3377</v>
      </c>
      <c r="M4307" s="90">
        <f>35+21/60</f>
        <v>35.35</v>
      </c>
      <c r="N4307" s="90">
        <f>109+56/60</f>
        <v>109.93333333333334</v>
      </c>
      <c r="O4307" s="90">
        <v>838</v>
      </c>
      <c r="U4307" s="55" t="s">
        <v>1816</v>
      </c>
      <c r="V4307" s="55" t="s">
        <v>1816</v>
      </c>
      <c r="Y4307" s="55" t="s">
        <v>3676</v>
      </c>
      <c r="Z4307" s="55" t="s">
        <v>1404</v>
      </c>
      <c r="AA4307" s="90" t="s">
        <v>3679</v>
      </c>
      <c r="AD4307" s="90">
        <f>(1.2+1.385)/2</f>
        <v>1.2925</v>
      </c>
      <c r="AE4307" s="90">
        <v>8</v>
      </c>
      <c r="AF4307" s="90">
        <v>67</v>
      </c>
      <c r="AH4307" s="55" t="s">
        <v>6378</v>
      </c>
      <c r="AI4307" s="168">
        <v>8.3000000000000007</v>
      </c>
      <c r="AJ4307" s="90">
        <v>1.302</v>
      </c>
      <c r="AM4307" s="55" t="s">
        <v>3112</v>
      </c>
      <c r="AN4307" s="185" t="s">
        <v>3681</v>
      </c>
      <c r="AO4307" s="185" t="s">
        <v>5150</v>
      </c>
      <c r="AQ4307" s="55" t="s">
        <v>553</v>
      </c>
      <c r="AR4307" s="55" t="s">
        <v>3680</v>
      </c>
      <c r="AS4307" s="55" t="s">
        <v>3471</v>
      </c>
      <c r="AU4307" s="181" t="s">
        <v>7494</v>
      </c>
      <c r="AV4307" s="185" t="s">
        <v>176</v>
      </c>
      <c r="AX4307" s="185" t="s">
        <v>176</v>
      </c>
      <c r="BE4307" s="226" t="s">
        <v>3685</v>
      </c>
      <c r="BF4307" s="191" t="s">
        <v>479</v>
      </c>
      <c r="BG4307" s="191" t="s">
        <v>479</v>
      </c>
      <c r="BH4307" s="226" t="s">
        <v>3685</v>
      </c>
      <c r="BI4307" s="191" t="s">
        <v>479</v>
      </c>
      <c r="BJ4307" s="55" t="s">
        <v>176</v>
      </c>
      <c r="BK4307" s="55" t="s">
        <v>5976</v>
      </c>
      <c r="BM4307" s="192" t="s">
        <v>160</v>
      </c>
      <c r="BN4307" s="55">
        <v>3</v>
      </c>
      <c r="BO4307" s="55">
        <v>3</v>
      </c>
      <c r="BP4307" s="55">
        <v>9</v>
      </c>
      <c r="BQ4307" s="55" t="s">
        <v>2077</v>
      </c>
      <c r="BV4307" s="55" t="s">
        <v>3684</v>
      </c>
      <c r="GD4307" s="65">
        <f>1/2000*100*472</f>
        <v>23.6</v>
      </c>
      <c r="GE4307" s="65">
        <f>1/2000*100*495.1</f>
        <v>24.755000000000003</v>
      </c>
      <c r="GH4307" s="65" t="s">
        <v>3694</v>
      </c>
      <c r="GP4307" s="292" t="s">
        <v>7494</v>
      </c>
    </row>
    <row r="4308" spans="1:276" x14ac:dyDescent="0.25">
      <c r="A4308" s="55">
        <v>4307</v>
      </c>
      <c r="B4308" s="12" t="s">
        <v>7067</v>
      </c>
      <c r="C4308" s="155">
        <v>188</v>
      </c>
      <c r="D4308" s="55" t="s">
        <v>3691</v>
      </c>
      <c r="E4308" s="90" t="s">
        <v>3674</v>
      </c>
      <c r="G4308" s="55" t="s">
        <v>3675</v>
      </c>
      <c r="H4308" s="55">
        <v>2016</v>
      </c>
      <c r="I4308" s="55">
        <v>2014</v>
      </c>
      <c r="J4308" s="55" t="s">
        <v>3678</v>
      </c>
      <c r="K4308" s="55" t="s">
        <v>3677</v>
      </c>
      <c r="L4308" s="55" t="s">
        <v>3377</v>
      </c>
      <c r="M4308" s="90">
        <f>35+21/60</f>
        <v>35.35</v>
      </c>
      <c r="N4308" s="90">
        <f>109+56/60</f>
        <v>109.93333333333334</v>
      </c>
      <c r="O4308" s="90">
        <v>838</v>
      </c>
      <c r="U4308" s="55" t="s">
        <v>1816</v>
      </c>
      <c r="V4308" s="55" t="s">
        <v>1816</v>
      </c>
      <c r="Y4308" s="55" t="s">
        <v>3676</v>
      </c>
      <c r="Z4308" s="55" t="s">
        <v>1404</v>
      </c>
      <c r="AA4308" s="90" t="s">
        <v>3679</v>
      </c>
      <c r="AD4308" s="90">
        <f>(1.2+1.385)/2</f>
        <v>1.2925</v>
      </c>
      <c r="AE4308" s="90">
        <v>8</v>
      </c>
      <c r="AF4308" s="90">
        <v>67</v>
      </c>
      <c r="AH4308" s="55" t="s">
        <v>6378</v>
      </c>
      <c r="AI4308" s="168">
        <v>8.3000000000000007</v>
      </c>
      <c r="AJ4308" s="90">
        <v>1.302</v>
      </c>
      <c r="AM4308" s="55" t="s">
        <v>3112</v>
      </c>
      <c r="AN4308" s="185" t="s">
        <v>3681</v>
      </c>
      <c r="AO4308" s="185" t="s">
        <v>5150</v>
      </c>
      <c r="AQ4308" s="55" t="s">
        <v>553</v>
      </c>
      <c r="AR4308" s="55" t="s">
        <v>3680</v>
      </c>
      <c r="AS4308" s="55" t="s">
        <v>3471</v>
      </c>
      <c r="AU4308" s="181" t="s">
        <v>7494</v>
      </c>
      <c r="AV4308" s="185" t="s">
        <v>176</v>
      </c>
      <c r="AX4308" s="185" t="s">
        <v>176</v>
      </c>
      <c r="BE4308" s="226" t="s">
        <v>3686</v>
      </c>
      <c r="BF4308" s="191" t="s">
        <v>479</v>
      </c>
      <c r="BG4308" s="191" t="s">
        <v>479</v>
      </c>
      <c r="BH4308" s="226" t="s">
        <v>3686</v>
      </c>
      <c r="BI4308" s="191" t="s">
        <v>479</v>
      </c>
      <c r="BJ4308" s="55" t="s">
        <v>176</v>
      </c>
      <c r="BK4308" s="55" t="s">
        <v>5976</v>
      </c>
      <c r="BM4308" s="192" t="s">
        <v>160</v>
      </c>
      <c r="BN4308" s="55">
        <v>3</v>
      </c>
      <c r="BO4308" s="55">
        <v>3</v>
      </c>
      <c r="BP4308" s="55">
        <v>9</v>
      </c>
      <c r="BQ4308" s="55" t="s">
        <v>2077</v>
      </c>
      <c r="BV4308" s="55" t="s">
        <v>3684</v>
      </c>
      <c r="GD4308" s="65">
        <f>1/2000*100*483.2</f>
        <v>24.16</v>
      </c>
      <c r="GE4308" s="65">
        <f>1/2000*100*530.1</f>
        <v>26.505000000000003</v>
      </c>
      <c r="GH4308" s="65" t="s">
        <v>3694</v>
      </c>
      <c r="GP4308" s="292" t="s">
        <v>7494</v>
      </c>
    </row>
    <row r="4309" spans="1:276" x14ac:dyDescent="0.25">
      <c r="A4309" s="55">
        <v>4308</v>
      </c>
      <c r="B4309" s="12" t="s">
        <v>7067</v>
      </c>
      <c r="C4309" s="155">
        <v>188</v>
      </c>
      <c r="D4309" s="55" t="s">
        <v>3692</v>
      </c>
      <c r="E4309" s="90" t="s">
        <v>3674</v>
      </c>
      <c r="G4309" s="55" t="s">
        <v>3675</v>
      </c>
      <c r="H4309" s="55">
        <v>2016</v>
      </c>
      <c r="I4309" s="55">
        <v>2014</v>
      </c>
      <c r="J4309" s="55" t="s">
        <v>3678</v>
      </c>
      <c r="K4309" s="55" t="s">
        <v>3677</v>
      </c>
      <c r="L4309" s="55" t="s">
        <v>3377</v>
      </c>
      <c r="M4309" s="90">
        <f>35+21/60</f>
        <v>35.35</v>
      </c>
      <c r="N4309" s="90">
        <f>109+56/60</f>
        <v>109.93333333333334</v>
      </c>
      <c r="O4309" s="90">
        <v>838</v>
      </c>
      <c r="U4309" s="55" t="s">
        <v>1816</v>
      </c>
      <c r="V4309" s="55" t="s">
        <v>1816</v>
      </c>
      <c r="Y4309" s="55" t="s">
        <v>3676</v>
      </c>
      <c r="Z4309" s="55" t="s">
        <v>1404</v>
      </c>
      <c r="AA4309" s="90" t="s">
        <v>3679</v>
      </c>
      <c r="AD4309" s="90">
        <f>(1.2+1.385)/2</f>
        <v>1.2925</v>
      </c>
      <c r="AE4309" s="90">
        <v>8</v>
      </c>
      <c r="AF4309" s="90">
        <v>67</v>
      </c>
      <c r="AH4309" s="55" t="s">
        <v>6378</v>
      </c>
      <c r="AI4309" s="168">
        <v>8.3000000000000007</v>
      </c>
      <c r="AJ4309" s="90">
        <v>1.302</v>
      </c>
      <c r="AM4309" s="55" t="s">
        <v>3112</v>
      </c>
      <c r="AN4309" s="185" t="s">
        <v>3681</v>
      </c>
      <c r="AO4309" s="185" t="s">
        <v>5150</v>
      </c>
      <c r="AQ4309" s="55" t="s">
        <v>553</v>
      </c>
      <c r="AR4309" s="55" t="s">
        <v>3680</v>
      </c>
      <c r="AS4309" s="55" t="s">
        <v>3471</v>
      </c>
      <c r="AU4309" s="181" t="s">
        <v>7494</v>
      </c>
      <c r="AV4309" s="185" t="s">
        <v>176</v>
      </c>
      <c r="AX4309" s="185" t="s">
        <v>176</v>
      </c>
      <c r="BE4309" s="226" t="s">
        <v>3687</v>
      </c>
      <c r="BF4309" s="191" t="s">
        <v>479</v>
      </c>
      <c r="BG4309" s="191" t="s">
        <v>479</v>
      </c>
      <c r="BH4309" s="226" t="s">
        <v>3687</v>
      </c>
      <c r="BI4309" s="191" t="s">
        <v>479</v>
      </c>
      <c r="BJ4309" s="55" t="s">
        <v>176</v>
      </c>
      <c r="BK4309" s="55" t="s">
        <v>5976</v>
      </c>
      <c r="BM4309" s="192" t="s">
        <v>160</v>
      </c>
      <c r="BN4309" s="55">
        <v>3</v>
      </c>
      <c r="BO4309" s="55">
        <v>3</v>
      </c>
      <c r="BP4309" s="55">
        <v>9</v>
      </c>
      <c r="BQ4309" s="55" t="s">
        <v>2077</v>
      </c>
      <c r="BV4309" s="55" t="s">
        <v>3684</v>
      </c>
      <c r="GD4309" s="65">
        <f>1/2000*100*485.6</f>
        <v>24.28</v>
      </c>
      <c r="GE4309" s="65">
        <f>1/2000*100*513.9</f>
        <v>25.695</v>
      </c>
      <c r="GH4309" s="65" t="s">
        <v>3694</v>
      </c>
      <c r="GP4309" s="292" t="s">
        <v>7494</v>
      </c>
    </row>
    <row r="4310" spans="1:276" x14ac:dyDescent="0.25">
      <c r="A4310" s="55">
        <v>4309</v>
      </c>
      <c r="B4310" s="12" t="s">
        <v>7067</v>
      </c>
      <c r="C4310" s="155">
        <v>188</v>
      </c>
      <c r="D4310" s="55" t="s">
        <v>3693</v>
      </c>
      <c r="E4310" s="90" t="s">
        <v>3674</v>
      </c>
      <c r="G4310" s="55" t="s">
        <v>3675</v>
      </c>
      <c r="H4310" s="55">
        <v>2016</v>
      </c>
      <c r="I4310" s="55">
        <v>2014</v>
      </c>
      <c r="J4310" s="55" t="s">
        <v>3678</v>
      </c>
      <c r="K4310" s="55" t="s">
        <v>3677</v>
      </c>
      <c r="L4310" s="55" t="s">
        <v>3377</v>
      </c>
      <c r="M4310" s="90">
        <f>35+21/60</f>
        <v>35.35</v>
      </c>
      <c r="N4310" s="90">
        <f>109+56/60</f>
        <v>109.93333333333334</v>
      </c>
      <c r="O4310" s="90">
        <v>838</v>
      </c>
      <c r="U4310" s="55" t="s">
        <v>1816</v>
      </c>
      <c r="V4310" s="55" t="s">
        <v>1816</v>
      </c>
      <c r="Y4310" s="55" t="s">
        <v>3676</v>
      </c>
      <c r="Z4310" s="55" t="s">
        <v>1404</v>
      </c>
      <c r="AA4310" s="90" t="s">
        <v>3679</v>
      </c>
      <c r="AD4310" s="90">
        <f>(1.2+1.385)/2</f>
        <v>1.2925</v>
      </c>
      <c r="AE4310" s="90">
        <v>8</v>
      </c>
      <c r="AF4310" s="90">
        <v>67</v>
      </c>
      <c r="AH4310" s="55" t="s">
        <v>6378</v>
      </c>
      <c r="AI4310" s="168">
        <v>8.3000000000000007</v>
      </c>
      <c r="AJ4310" s="90">
        <v>1.302</v>
      </c>
      <c r="AM4310" s="55" t="s">
        <v>3112</v>
      </c>
      <c r="AN4310" s="185" t="s">
        <v>3681</v>
      </c>
      <c r="AO4310" s="185" t="s">
        <v>5150</v>
      </c>
      <c r="AQ4310" s="55" t="s">
        <v>553</v>
      </c>
      <c r="AR4310" s="55" t="s">
        <v>3680</v>
      </c>
      <c r="AS4310" s="55" t="s">
        <v>3471</v>
      </c>
      <c r="AU4310" s="181" t="s">
        <v>7494</v>
      </c>
      <c r="AV4310" s="185" t="s">
        <v>176</v>
      </c>
      <c r="AX4310" s="185" t="s">
        <v>176</v>
      </c>
      <c r="BE4310" s="226" t="s">
        <v>3688</v>
      </c>
      <c r="BF4310" s="191" t="s">
        <v>479</v>
      </c>
      <c r="BG4310" s="191" t="s">
        <v>479</v>
      </c>
      <c r="BH4310" s="226" t="s">
        <v>3688</v>
      </c>
      <c r="BI4310" s="191" t="s">
        <v>479</v>
      </c>
      <c r="BJ4310" s="55" t="s">
        <v>176</v>
      </c>
      <c r="BK4310" s="55" t="s">
        <v>5976</v>
      </c>
      <c r="BM4310" s="192" t="s">
        <v>160</v>
      </c>
      <c r="BN4310" s="55">
        <v>3</v>
      </c>
      <c r="BO4310" s="55">
        <v>3</v>
      </c>
      <c r="BP4310" s="55">
        <v>9</v>
      </c>
      <c r="BQ4310" s="55" t="s">
        <v>2077</v>
      </c>
      <c r="BV4310" s="55" t="s">
        <v>3684</v>
      </c>
      <c r="GD4310" s="65">
        <f>1/2000*100*503.6</f>
        <v>25.180000000000003</v>
      </c>
      <c r="GE4310" s="65">
        <f>1/2000*100*523.3</f>
        <v>26.164999999999999</v>
      </c>
      <c r="GH4310" s="65" t="s">
        <v>3694</v>
      </c>
      <c r="GP4310" s="292" t="s">
        <v>7494</v>
      </c>
    </row>
    <row r="4311" spans="1:276" x14ac:dyDescent="0.25">
      <c r="A4311" s="55">
        <v>4310</v>
      </c>
      <c r="B4311" s="12" t="s">
        <v>7067</v>
      </c>
      <c r="C4311" s="155">
        <v>189</v>
      </c>
      <c r="D4311" s="55" t="s">
        <v>4351</v>
      </c>
      <c r="E4311" s="90" t="s">
        <v>4341</v>
      </c>
      <c r="G4311" s="55" t="s">
        <v>4342</v>
      </c>
      <c r="H4311" s="55">
        <v>2016</v>
      </c>
      <c r="I4311" s="55">
        <v>2014</v>
      </c>
      <c r="J4311" s="55" t="s">
        <v>3626</v>
      </c>
      <c r="K4311" s="55" t="s">
        <v>4343</v>
      </c>
      <c r="L4311" s="55" t="s">
        <v>3377</v>
      </c>
      <c r="M4311" s="90">
        <f>28+7/60</f>
        <v>28.116666666666667</v>
      </c>
      <c r="N4311" s="90">
        <f>115+56/60</f>
        <v>115.93333333333334</v>
      </c>
      <c r="O4311" s="90">
        <v>25.4</v>
      </c>
      <c r="P4311" s="55">
        <f>AVERAGE(5.55,8.3,14.15,17.61,24.3,27.4,31.5,32.05,25.72,20.7,14.37,7.68)</f>
        <v>19.110833333333336</v>
      </c>
      <c r="R4311" s="55">
        <f>SUM(29.53,100,216.8,180,166,411.8,117,63,29,17,100,57)</f>
        <v>1487.13</v>
      </c>
      <c r="U4311" s="55" t="s">
        <v>1935</v>
      </c>
      <c r="V4311" s="55" t="s">
        <v>1935</v>
      </c>
      <c r="Y4311" s="55" t="s">
        <v>4353</v>
      </c>
      <c r="Z4311" s="55" t="s">
        <v>1346</v>
      </c>
      <c r="AA4311" s="90" t="s">
        <v>1675</v>
      </c>
      <c r="AD4311" s="90">
        <v>1.47</v>
      </c>
      <c r="AI4311" s="168">
        <v>5.41</v>
      </c>
      <c r="AJ4311" s="90">
        <v>1.6</v>
      </c>
      <c r="AN4311" s="185" t="s">
        <v>3572</v>
      </c>
      <c r="AO4311" s="185" t="s">
        <v>5150</v>
      </c>
      <c r="AQ4311" s="55" t="s">
        <v>553</v>
      </c>
      <c r="AR4311" s="55" t="s">
        <v>1096</v>
      </c>
      <c r="AS4311" s="55" t="s">
        <v>5133</v>
      </c>
      <c r="AU4311" s="181" t="s">
        <v>7494</v>
      </c>
      <c r="AV4311" s="185" t="s">
        <v>176</v>
      </c>
      <c r="AX4311" s="185" t="s">
        <v>176</v>
      </c>
      <c r="BE4311" s="226" t="s">
        <v>176</v>
      </c>
      <c r="BF4311" s="191" t="s">
        <v>176</v>
      </c>
      <c r="BG4311" s="191" t="s">
        <v>176</v>
      </c>
      <c r="BH4311" s="226" t="s">
        <v>176</v>
      </c>
      <c r="BI4311" s="191" t="s">
        <v>176</v>
      </c>
      <c r="BJ4311" s="55" t="s">
        <v>176</v>
      </c>
      <c r="BK4311" s="55" t="s">
        <v>5976</v>
      </c>
      <c r="BM4311" s="192" t="s">
        <v>160</v>
      </c>
      <c r="BN4311" s="55">
        <v>3</v>
      </c>
      <c r="BO4311" s="55">
        <v>3</v>
      </c>
      <c r="BQ4311" s="55" t="s">
        <v>141</v>
      </c>
      <c r="CB4311" s="66">
        <f>1000*3.44</f>
        <v>3440</v>
      </c>
      <c r="CC4311" s="66">
        <f>1000*5.61</f>
        <v>5610</v>
      </c>
      <c r="CE4311" s="65">
        <f>1000*SQRT(3)*0.22</f>
        <v>381.05117766515298</v>
      </c>
      <c r="CF4311" s="65">
        <f>1000*SQRT(3)*0.21</f>
        <v>363.73066958946418</v>
      </c>
      <c r="CG4311" s="65" t="s">
        <v>4345</v>
      </c>
      <c r="DB4311" s="65">
        <v>6.1379999999999999</v>
      </c>
      <c r="DC4311" s="65">
        <v>10.189</v>
      </c>
      <c r="DD4311" s="65">
        <f>(6.73-DB4311)*SQRT(3)</f>
        <v>1.0253740780807763</v>
      </c>
      <c r="DE4311" s="65">
        <f>(10.63-DC4311)*SQRT(3)</f>
        <v>0.76383440613787612</v>
      </c>
      <c r="DF4311" s="65" t="s">
        <v>4347</v>
      </c>
      <c r="GP4311" s="292" t="s">
        <v>7494</v>
      </c>
      <c r="HN4311" s="65">
        <v>19.170000000000002</v>
      </c>
      <c r="HO4311" s="65">
        <v>20.2</v>
      </c>
      <c r="HP4311" s="65">
        <f>(19.43-HN4311)*SQRT(3)</f>
        <v>0.4503332099679046</v>
      </c>
      <c r="HQ4311" s="65">
        <f>SQRT(3)*0.45</f>
        <v>0.77942286340599476</v>
      </c>
      <c r="HR4311" s="65" t="s">
        <v>4349</v>
      </c>
      <c r="IH4311" s="65">
        <v>0.62</v>
      </c>
      <c r="II4311" s="65">
        <v>1.32</v>
      </c>
      <c r="IJ4311" s="65">
        <f>SQRT(3)*0.04</f>
        <v>6.9282032302755092E-2</v>
      </c>
      <c r="IK4311" s="65">
        <f>SQRT(3)*0.33</f>
        <v>0.57157676649772948</v>
      </c>
      <c r="IL4311" s="65" t="s">
        <v>4344</v>
      </c>
      <c r="IW4311" s="65">
        <v>184.9</v>
      </c>
      <c r="IX4311" s="65">
        <v>392.1</v>
      </c>
      <c r="IY4311" s="65">
        <v>72.599999999999994</v>
      </c>
      <c r="IZ4311" s="65">
        <v>53.3</v>
      </c>
      <c r="JA4311" s="65" t="s">
        <v>4346</v>
      </c>
    </row>
    <row r="4312" spans="1:276" x14ac:dyDescent="0.25">
      <c r="A4312" s="55">
        <v>4311</v>
      </c>
      <c r="B4312" s="12" t="s">
        <v>7067</v>
      </c>
      <c r="C4312" s="155">
        <v>189</v>
      </c>
      <c r="D4312" s="55" t="s">
        <v>4352</v>
      </c>
      <c r="E4312" s="90" t="s">
        <v>4341</v>
      </c>
      <c r="G4312" s="55" t="s">
        <v>4342</v>
      </c>
      <c r="H4312" s="55">
        <v>2016</v>
      </c>
      <c r="I4312" s="55">
        <v>2014</v>
      </c>
      <c r="J4312" s="55" t="s">
        <v>3626</v>
      </c>
      <c r="K4312" s="55" t="s">
        <v>4343</v>
      </c>
      <c r="L4312" s="55" t="s">
        <v>3377</v>
      </c>
      <c r="M4312" s="90">
        <f>28+7/60</f>
        <v>28.116666666666667</v>
      </c>
      <c r="N4312" s="90">
        <f>115+56/60</f>
        <v>115.93333333333334</v>
      </c>
      <c r="O4312" s="90">
        <v>25.4</v>
      </c>
      <c r="P4312" s="55">
        <f>AVERAGE(5.55,8.3,14.15,17.61,24.3,27.4,31.5,32.05,25.72,20.7,14.37,7.68)</f>
        <v>19.110833333333336</v>
      </c>
      <c r="R4312" s="55">
        <f>SUM(29.53,100,216.8,180,166,411.8,117,63,29,17,100,57)</f>
        <v>1487.13</v>
      </c>
      <c r="U4312" s="55" t="s">
        <v>1935</v>
      </c>
      <c r="V4312" s="55" t="s">
        <v>1935</v>
      </c>
      <c r="Y4312" s="55" t="s">
        <v>4353</v>
      </c>
      <c r="Z4312" s="55" t="s">
        <v>1346</v>
      </c>
      <c r="AA4312" s="90" t="s">
        <v>1675</v>
      </c>
      <c r="AD4312" s="90">
        <v>1.47</v>
      </c>
      <c r="AI4312" s="168">
        <v>5.41</v>
      </c>
      <c r="AJ4312" s="90">
        <v>1.6</v>
      </c>
      <c r="AN4312" s="185" t="s">
        <v>3572</v>
      </c>
      <c r="AO4312" s="185" t="s">
        <v>5150</v>
      </c>
      <c r="AQ4312" s="55" t="s">
        <v>553</v>
      </c>
      <c r="AR4312" s="55" t="s">
        <v>1096</v>
      </c>
      <c r="AS4312" s="55" t="s">
        <v>5133</v>
      </c>
      <c r="AU4312" s="181" t="s">
        <v>7494</v>
      </c>
      <c r="AV4312" s="185" t="s">
        <v>176</v>
      </c>
      <c r="AX4312" s="185" t="s">
        <v>176</v>
      </c>
      <c r="BE4312" s="226" t="s">
        <v>176</v>
      </c>
      <c r="BF4312" s="191" t="s">
        <v>176</v>
      </c>
      <c r="BG4312" s="191" t="s">
        <v>176</v>
      </c>
      <c r="BH4312" s="226" t="s">
        <v>176</v>
      </c>
      <c r="BI4312" s="191" t="s">
        <v>176</v>
      </c>
      <c r="BJ4312" s="55" t="s">
        <v>176</v>
      </c>
      <c r="BK4312" s="55" t="s">
        <v>5976</v>
      </c>
      <c r="BM4312" s="192" t="s">
        <v>160</v>
      </c>
      <c r="BN4312" s="55">
        <v>3</v>
      </c>
      <c r="BO4312" s="55">
        <v>3</v>
      </c>
      <c r="BQ4312" s="55" t="s">
        <v>141</v>
      </c>
      <c r="DB4312" s="65">
        <v>0.2</v>
      </c>
      <c r="DC4312" s="65">
        <v>0.31</v>
      </c>
      <c r="DD4312" s="65">
        <f>SQRT(3)*0.03</f>
        <v>5.1961524227066312E-2</v>
      </c>
      <c r="DE4312" s="65">
        <f>SQRT(3)*0.02</f>
        <v>3.4641016151377546E-2</v>
      </c>
      <c r="DF4312" s="65" t="s">
        <v>4348</v>
      </c>
      <c r="GP4312" s="292" t="s">
        <v>7494</v>
      </c>
      <c r="HN4312" s="65">
        <v>2.52</v>
      </c>
      <c r="HO4312" s="65">
        <v>5.79</v>
      </c>
      <c r="HP4312" s="65">
        <f>(3.21-HN4312)*SQRT(3)</f>
        <v>1.1951150572225251</v>
      </c>
      <c r="HQ4312" s="65">
        <f>(6.14-HO4312)*SQRT(3)</f>
        <v>0.60621778264910642</v>
      </c>
      <c r="HR4312" s="65" t="s">
        <v>4350</v>
      </c>
    </row>
    <row r="4313" spans="1:276" x14ac:dyDescent="0.25">
      <c r="A4313" s="55">
        <v>4312</v>
      </c>
      <c r="B4313" s="12" t="s">
        <v>7067</v>
      </c>
      <c r="C4313" s="155">
        <v>190</v>
      </c>
      <c r="D4313" s="55" t="s">
        <v>4359</v>
      </c>
      <c r="E4313" s="90" t="s">
        <v>4354</v>
      </c>
      <c r="G4313" s="55" t="s">
        <v>4355</v>
      </c>
      <c r="H4313" s="55">
        <v>2014</v>
      </c>
      <c r="I4313" s="55">
        <v>2010</v>
      </c>
      <c r="J4313" s="55" t="s">
        <v>4356</v>
      </c>
      <c r="K4313" s="55" t="s">
        <v>4358</v>
      </c>
      <c r="L4313" s="55" t="s">
        <v>3377</v>
      </c>
      <c r="M4313" s="90">
        <f>31+31/60</f>
        <v>31.516666666666666</v>
      </c>
      <c r="N4313" s="90">
        <f>120.1</f>
        <v>120.1</v>
      </c>
      <c r="O4313" s="90">
        <v>3</v>
      </c>
      <c r="Q4313" s="55">
        <v>15.5</v>
      </c>
      <c r="S4313" s="90">
        <v>1038.4000000000001</v>
      </c>
      <c r="U4313" s="55" t="s">
        <v>1805</v>
      </c>
      <c r="V4313" s="55" t="s">
        <v>1816</v>
      </c>
      <c r="Y4313" s="55" t="s">
        <v>4357</v>
      </c>
      <c r="Z4313" s="55" t="s">
        <v>1346</v>
      </c>
      <c r="AA4313" s="90" t="s">
        <v>1675</v>
      </c>
      <c r="AI4313" s="168">
        <v>3.99</v>
      </c>
      <c r="AJ4313" s="90">
        <v>3.2</v>
      </c>
      <c r="AN4313" s="185" t="s">
        <v>241</v>
      </c>
      <c r="AO4313" s="185" t="s">
        <v>5150</v>
      </c>
      <c r="AQ4313" s="55" t="s">
        <v>553</v>
      </c>
      <c r="AR4313" s="55" t="s">
        <v>1096</v>
      </c>
      <c r="AS4313" s="55" t="s">
        <v>5133</v>
      </c>
      <c r="AU4313" s="181" t="s">
        <v>7494</v>
      </c>
      <c r="AV4313" s="185" t="s">
        <v>176</v>
      </c>
      <c r="AX4313" s="185" t="s">
        <v>176</v>
      </c>
      <c r="BK4313" s="55" t="s">
        <v>5976</v>
      </c>
      <c r="BM4313" s="192" t="s">
        <v>119</v>
      </c>
      <c r="BN4313" s="55">
        <v>3</v>
      </c>
      <c r="BO4313" s="55">
        <v>3</v>
      </c>
      <c r="BQ4313" s="55" t="s">
        <v>141</v>
      </c>
      <c r="CB4313" s="66">
        <v>8138.5</v>
      </c>
      <c r="CC4313" s="66">
        <v>8158.77</v>
      </c>
      <c r="CE4313" s="65">
        <f>CB4313-7845</f>
        <v>293.5</v>
      </c>
      <c r="CF4313" s="65">
        <f>8635-CC4313</f>
        <v>476.22999999999956</v>
      </c>
      <c r="CM4313" s="65">
        <v>2.0699999999999998</v>
      </c>
      <c r="CN4313" s="65">
        <v>3.07</v>
      </c>
      <c r="CQ4313" s="65" t="s">
        <v>4364</v>
      </c>
      <c r="DA4313" s="65" t="s">
        <v>4457</v>
      </c>
      <c r="DB4313" s="65">
        <v>1.75</v>
      </c>
      <c r="DC4313" s="65">
        <v>1.86</v>
      </c>
      <c r="DF4313" s="65" t="s">
        <v>3205</v>
      </c>
      <c r="FT4313" s="65">
        <v>3.86</v>
      </c>
      <c r="FU4313" s="65">
        <v>8.41</v>
      </c>
      <c r="FV4313" s="65">
        <f>7.51-FT4313</f>
        <v>3.65</v>
      </c>
      <c r="FW4313" s="65">
        <v>4.26</v>
      </c>
      <c r="FX4313" s="65" t="s">
        <v>4363</v>
      </c>
      <c r="GP4313" s="292" t="s">
        <v>7494</v>
      </c>
      <c r="IC4313" s="65">
        <v>8.65</v>
      </c>
      <c r="ID4313" s="65">
        <v>10.25</v>
      </c>
      <c r="IG4313" s="65" t="s">
        <v>4365</v>
      </c>
    </row>
    <row r="4314" spans="1:276" x14ac:dyDescent="0.25">
      <c r="A4314" s="55">
        <v>4313</v>
      </c>
      <c r="B4314" s="12" t="s">
        <v>7067</v>
      </c>
      <c r="C4314" s="155">
        <v>190</v>
      </c>
      <c r="D4314" s="55" t="s">
        <v>4360</v>
      </c>
      <c r="E4314" s="90" t="s">
        <v>4354</v>
      </c>
      <c r="G4314" s="55" t="s">
        <v>4355</v>
      </c>
      <c r="H4314" s="55">
        <v>2014</v>
      </c>
      <c r="I4314" s="55">
        <v>2010</v>
      </c>
      <c r="J4314" s="55" t="s">
        <v>4356</v>
      </c>
      <c r="K4314" s="55" t="s">
        <v>4358</v>
      </c>
      <c r="L4314" s="55" t="s">
        <v>3377</v>
      </c>
      <c r="M4314" s="90">
        <f>31+31/60</f>
        <v>31.516666666666666</v>
      </c>
      <c r="N4314" s="90">
        <f>120.1</f>
        <v>120.1</v>
      </c>
      <c r="O4314" s="90">
        <v>3</v>
      </c>
      <c r="Q4314" s="55">
        <v>15.5</v>
      </c>
      <c r="S4314" s="90">
        <v>1038.4000000000001</v>
      </c>
      <c r="U4314" s="55" t="s">
        <v>1805</v>
      </c>
      <c r="V4314" s="55" t="s">
        <v>1816</v>
      </c>
      <c r="Y4314" s="55" t="s">
        <v>4357</v>
      </c>
      <c r="Z4314" s="55" t="s">
        <v>1346</v>
      </c>
      <c r="AA4314" s="90" t="s">
        <v>1675</v>
      </c>
      <c r="AI4314" s="168">
        <v>3.99</v>
      </c>
      <c r="AJ4314" s="90">
        <v>3.2</v>
      </c>
      <c r="AN4314" s="185" t="s">
        <v>2788</v>
      </c>
      <c r="AO4314" s="185" t="s">
        <v>5150</v>
      </c>
      <c r="AQ4314" s="55" t="s">
        <v>553</v>
      </c>
      <c r="AR4314" s="55" t="s">
        <v>1096</v>
      </c>
      <c r="AS4314" s="55" t="s">
        <v>5133</v>
      </c>
      <c r="AU4314" s="181" t="s">
        <v>7494</v>
      </c>
      <c r="AV4314" s="185" t="s">
        <v>176</v>
      </c>
      <c r="AX4314" s="185" t="s">
        <v>176</v>
      </c>
      <c r="BK4314" s="55" t="s">
        <v>5976</v>
      </c>
      <c r="BM4314" s="192" t="s">
        <v>119</v>
      </c>
      <c r="BN4314" s="55">
        <v>3</v>
      </c>
      <c r="BO4314" s="55">
        <v>3</v>
      </c>
      <c r="BQ4314" s="55" t="s">
        <v>141</v>
      </c>
      <c r="CB4314" s="66">
        <v>8138.5</v>
      </c>
      <c r="CC4314" s="66">
        <v>8160.58</v>
      </c>
      <c r="CE4314" s="65">
        <f>CB4314-7845</f>
        <v>293.5</v>
      </c>
      <c r="CF4314" s="65">
        <f>8509-CC4314</f>
        <v>348.42000000000007</v>
      </c>
      <c r="CM4314" s="65">
        <v>2.0699999999999998</v>
      </c>
      <c r="CN4314" s="65">
        <v>2.35</v>
      </c>
      <c r="CQ4314" s="65" t="s">
        <v>4364</v>
      </c>
      <c r="DA4314" s="65" t="s">
        <v>4457</v>
      </c>
      <c r="DB4314" s="65">
        <v>1.75</v>
      </c>
      <c r="DC4314" s="65">
        <v>1.89</v>
      </c>
      <c r="DF4314" s="65" t="s">
        <v>3205</v>
      </c>
      <c r="FT4314" s="65">
        <v>3.86</v>
      </c>
      <c r="FU4314" s="65">
        <v>7.24</v>
      </c>
      <c r="FV4314" s="65">
        <f>7.51-FT4314</f>
        <v>3.65</v>
      </c>
      <c r="FW4314" s="65">
        <f>11.5-FU4314</f>
        <v>4.26</v>
      </c>
      <c r="FX4314" s="65" t="s">
        <v>4363</v>
      </c>
      <c r="GP4314" s="292" t="s">
        <v>7494</v>
      </c>
      <c r="IC4314" s="65">
        <v>8.65</v>
      </c>
      <c r="ID4314" s="65">
        <v>10.63</v>
      </c>
      <c r="IG4314" s="65" t="s">
        <v>4365</v>
      </c>
    </row>
    <row r="4315" spans="1:276" x14ac:dyDescent="0.25">
      <c r="A4315" s="55">
        <v>4314</v>
      </c>
      <c r="B4315" s="12" t="s">
        <v>7067</v>
      </c>
      <c r="C4315" s="155">
        <v>190</v>
      </c>
      <c r="D4315" s="55" t="s">
        <v>4361</v>
      </c>
      <c r="E4315" s="90" t="s">
        <v>4354</v>
      </c>
      <c r="G4315" s="55" t="s">
        <v>4355</v>
      </c>
      <c r="H4315" s="55">
        <v>2014</v>
      </c>
      <c r="I4315" s="55">
        <v>2010</v>
      </c>
      <c r="J4315" s="55" t="s">
        <v>4356</v>
      </c>
      <c r="K4315" s="55" t="s">
        <v>4358</v>
      </c>
      <c r="L4315" s="55" t="s">
        <v>3377</v>
      </c>
      <c r="M4315" s="90">
        <f>31+31/60</f>
        <v>31.516666666666666</v>
      </c>
      <c r="N4315" s="90">
        <f>120.1</f>
        <v>120.1</v>
      </c>
      <c r="O4315" s="90">
        <v>3</v>
      </c>
      <c r="Q4315" s="55">
        <v>15.5</v>
      </c>
      <c r="S4315" s="90">
        <v>1038.4000000000001</v>
      </c>
      <c r="U4315" s="55" t="s">
        <v>1805</v>
      </c>
      <c r="V4315" s="55" t="s">
        <v>1816</v>
      </c>
      <c r="Y4315" s="55" t="s">
        <v>4357</v>
      </c>
      <c r="Z4315" s="55" t="s">
        <v>1346</v>
      </c>
      <c r="AA4315" s="90" t="s">
        <v>1675</v>
      </c>
      <c r="AI4315" s="168">
        <v>3.99</v>
      </c>
      <c r="AJ4315" s="90">
        <v>3.2</v>
      </c>
      <c r="AN4315" s="185" t="s">
        <v>3641</v>
      </c>
      <c r="AO4315" s="185" t="s">
        <v>5150</v>
      </c>
      <c r="AQ4315" s="55" t="s">
        <v>1097</v>
      </c>
      <c r="AR4315" s="55" t="s">
        <v>1096</v>
      </c>
      <c r="AS4315" s="55" t="s">
        <v>5133</v>
      </c>
      <c r="AU4315" s="181" t="s">
        <v>7494</v>
      </c>
      <c r="AV4315" s="185" t="s">
        <v>176</v>
      </c>
      <c r="AX4315" s="185" t="s">
        <v>176</v>
      </c>
      <c r="BK4315" s="55" t="s">
        <v>5976</v>
      </c>
      <c r="BM4315" s="192" t="s">
        <v>119</v>
      </c>
      <c r="BN4315" s="55">
        <v>3</v>
      </c>
      <c r="BO4315" s="55">
        <v>3</v>
      </c>
      <c r="BQ4315" s="55" t="s">
        <v>141</v>
      </c>
      <c r="CB4315" s="66">
        <v>8138.5</v>
      </c>
      <c r="CC4315" s="66">
        <v>7666.97</v>
      </c>
      <c r="CE4315" s="65">
        <f>CB4315-7845</f>
        <v>293.5</v>
      </c>
      <c r="CF4315" s="65">
        <f>8346-CC4315</f>
        <v>679.02999999999975</v>
      </c>
      <c r="CM4315" s="65">
        <v>2.0699999999999998</v>
      </c>
      <c r="CN4315" s="65">
        <v>2.79</v>
      </c>
      <c r="CQ4315" s="65" t="s">
        <v>4364</v>
      </c>
      <c r="DA4315" s="65" t="s">
        <v>4457</v>
      </c>
      <c r="DB4315" s="65">
        <v>1.75</v>
      </c>
      <c r="DC4315" s="65">
        <v>1.84</v>
      </c>
      <c r="DF4315" s="65" t="s">
        <v>3205</v>
      </c>
      <c r="FT4315" s="65">
        <v>3.86</v>
      </c>
      <c r="FU4315" s="65">
        <v>5.69</v>
      </c>
      <c r="FV4315" s="65">
        <f>7.51-FT4315</f>
        <v>3.65</v>
      </c>
      <c r="FW4315" s="65">
        <v>4.26</v>
      </c>
      <c r="FX4315" s="65" t="s">
        <v>4363</v>
      </c>
      <c r="GP4315" s="292" t="s">
        <v>7494</v>
      </c>
      <c r="IC4315" s="65">
        <v>8.65</v>
      </c>
      <c r="ID4315" s="65">
        <v>7.52</v>
      </c>
      <c r="IG4315" s="65" t="s">
        <v>4365</v>
      </c>
    </row>
    <row r="4316" spans="1:276" x14ac:dyDescent="0.25">
      <c r="A4316" s="55">
        <v>4315</v>
      </c>
      <c r="B4316" s="12" t="s">
        <v>7067</v>
      </c>
      <c r="C4316" s="155">
        <v>190</v>
      </c>
      <c r="D4316" s="55" t="s">
        <v>4362</v>
      </c>
      <c r="E4316" s="90" t="s">
        <v>4354</v>
      </c>
      <c r="G4316" s="55" t="s">
        <v>4355</v>
      </c>
      <c r="H4316" s="55">
        <v>2014</v>
      </c>
      <c r="I4316" s="55">
        <v>2010</v>
      </c>
      <c r="J4316" s="55" t="s">
        <v>4356</v>
      </c>
      <c r="K4316" s="55" t="s">
        <v>4358</v>
      </c>
      <c r="L4316" s="55" t="s">
        <v>3377</v>
      </c>
      <c r="M4316" s="90">
        <f>31+31/60</f>
        <v>31.516666666666666</v>
      </c>
      <c r="N4316" s="90">
        <f>120.1</f>
        <v>120.1</v>
      </c>
      <c r="O4316" s="90">
        <v>3</v>
      </c>
      <c r="Q4316" s="55">
        <v>15.5</v>
      </c>
      <c r="S4316" s="90">
        <v>1038.4000000000001</v>
      </c>
      <c r="U4316" s="55" t="s">
        <v>1805</v>
      </c>
      <c r="V4316" s="55" t="s">
        <v>1816</v>
      </c>
      <c r="Y4316" s="55" t="s">
        <v>4357</v>
      </c>
      <c r="Z4316" s="55" t="s">
        <v>1346</v>
      </c>
      <c r="AA4316" s="90" t="s">
        <v>1675</v>
      </c>
      <c r="AI4316" s="168">
        <v>3.99</v>
      </c>
      <c r="AJ4316" s="90">
        <v>3.2</v>
      </c>
      <c r="AN4316" s="185" t="s">
        <v>116</v>
      </c>
      <c r="AO4316" s="185" t="s">
        <v>5150</v>
      </c>
      <c r="AQ4316" s="55" t="s">
        <v>1545</v>
      </c>
      <c r="AR4316" s="55" t="s">
        <v>1096</v>
      </c>
      <c r="AS4316" s="55" t="s">
        <v>5133</v>
      </c>
      <c r="AU4316" s="181" t="s">
        <v>7494</v>
      </c>
      <c r="AV4316" s="185" t="s">
        <v>176</v>
      </c>
      <c r="AX4316" s="185" t="s">
        <v>176</v>
      </c>
      <c r="BK4316" s="55" t="s">
        <v>5976</v>
      </c>
      <c r="BM4316" s="192" t="s">
        <v>119</v>
      </c>
      <c r="BN4316" s="55">
        <v>3</v>
      </c>
      <c r="BO4316" s="55">
        <v>3</v>
      </c>
      <c r="BQ4316" s="55" t="s">
        <v>141</v>
      </c>
      <c r="CB4316" s="66">
        <v>8138.5</v>
      </c>
      <c r="CC4316" s="66">
        <v>7797.29</v>
      </c>
      <c r="CE4316" s="65">
        <f>CB4316-7845</f>
        <v>293.5</v>
      </c>
      <c r="CF4316" s="65">
        <f>8036-CC4316</f>
        <v>238.71000000000004</v>
      </c>
      <c r="CM4316" s="65">
        <v>2.0699999999999998</v>
      </c>
      <c r="CN4316" s="65">
        <v>2.2400000000000002</v>
      </c>
      <c r="CQ4316" s="65" t="s">
        <v>4364</v>
      </c>
      <c r="DA4316" s="65" t="s">
        <v>4457</v>
      </c>
      <c r="DB4316" s="65">
        <v>1.75</v>
      </c>
      <c r="DC4316" s="65">
        <v>1.77</v>
      </c>
      <c r="DF4316" s="65" t="s">
        <v>3205</v>
      </c>
      <c r="FT4316" s="65">
        <v>3.86</v>
      </c>
      <c r="FU4316" s="65">
        <v>4.3499999999999996</v>
      </c>
      <c r="FV4316" s="65">
        <f>7.51-FT4316</f>
        <v>3.65</v>
      </c>
      <c r="FW4316" s="65">
        <v>4.26</v>
      </c>
      <c r="FX4316" s="65" t="s">
        <v>4363</v>
      </c>
      <c r="GP4316" s="292" t="s">
        <v>7494</v>
      </c>
      <c r="IC4316" s="65">
        <v>8.65</v>
      </c>
      <c r="ID4316" s="65">
        <v>9.11</v>
      </c>
      <c r="IG4316" s="65" t="s">
        <v>4365</v>
      </c>
    </row>
    <row r="4317" spans="1:276" x14ac:dyDescent="0.25">
      <c r="A4317" s="55">
        <v>4316</v>
      </c>
      <c r="B4317" s="12" t="s">
        <v>7067</v>
      </c>
      <c r="C4317" s="155">
        <v>190</v>
      </c>
      <c r="D4317" s="55" t="s">
        <v>4359</v>
      </c>
      <c r="E4317" s="90" t="s">
        <v>4354</v>
      </c>
      <c r="G4317" s="55" t="s">
        <v>4355</v>
      </c>
      <c r="H4317" s="55">
        <v>2014</v>
      </c>
      <c r="I4317" s="55">
        <v>2011</v>
      </c>
      <c r="J4317" s="55" t="s">
        <v>4356</v>
      </c>
      <c r="K4317" s="55" t="s">
        <v>4358</v>
      </c>
      <c r="L4317" s="55" t="s">
        <v>3377</v>
      </c>
      <c r="M4317" s="90">
        <f>31+31/60</f>
        <v>31.516666666666666</v>
      </c>
      <c r="N4317" s="90">
        <f>120.1</f>
        <v>120.1</v>
      </c>
      <c r="O4317" s="90">
        <v>3</v>
      </c>
      <c r="Q4317" s="55">
        <v>15.5</v>
      </c>
      <c r="S4317" s="90">
        <v>1038.4000000000001</v>
      </c>
      <c r="U4317" s="55" t="s">
        <v>1688</v>
      </c>
      <c r="V4317" s="55" t="s">
        <v>1816</v>
      </c>
      <c r="Y4317" s="55" t="s">
        <v>4357</v>
      </c>
      <c r="Z4317" s="55" t="s">
        <v>1346</v>
      </c>
      <c r="AA4317" s="90" t="s">
        <v>1675</v>
      </c>
      <c r="AI4317" s="168">
        <v>3.99</v>
      </c>
      <c r="AJ4317" s="90">
        <v>3.2</v>
      </c>
      <c r="AN4317" s="185" t="s">
        <v>241</v>
      </c>
      <c r="AO4317" s="185" t="s">
        <v>5150</v>
      </c>
      <c r="AQ4317" s="55" t="s">
        <v>553</v>
      </c>
      <c r="AR4317" s="55" t="s">
        <v>1096</v>
      </c>
      <c r="AS4317" s="55" t="s">
        <v>5133</v>
      </c>
      <c r="AU4317" s="181" t="s">
        <v>7494</v>
      </c>
      <c r="AV4317" s="185" t="s">
        <v>176</v>
      </c>
      <c r="AX4317" s="185" t="s">
        <v>176</v>
      </c>
      <c r="BK4317" s="55" t="s">
        <v>5976</v>
      </c>
      <c r="BM4317" s="192" t="s">
        <v>119</v>
      </c>
      <c r="BN4317" s="55">
        <v>3</v>
      </c>
      <c r="BO4317" s="55">
        <v>3</v>
      </c>
      <c r="BQ4317" s="55" t="s">
        <v>141</v>
      </c>
      <c r="CB4317" s="66">
        <v>7001</v>
      </c>
      <c r="CC4317" s="66">
        <v>7424.72</v>
      </c>
      <c r="CE4317" s="65">
        <f>CB4317-6524</f>
        <v>477</v>
      </c>
      <c r="CF4317" s="65">
        <f>CC4317-7149.6</f>
        <v>275.11999999999989</v>
      </c>
      <c r="CM4317" s="65">
        <v>2.95</v>
      </c>
      <c r="CN4317" s="65">
        <v>3.28</v>
      </c>
      <c r="CQ4317" s="65" t="s">
        <v>4364</v>
      </c>
      <c r="DA4317" s="65" t="s">
        <v>4457</v>
      </c>
      <c r="DB4317" s="65">
        <v>1.74</v>
      </c>
      <c r="DC4317" s="65">
        <v>1.87</v>
      </c>
      <c r="DF4317" s="65" t="s">
        <v>3205</v>
      </c>
      <c r="FT4317" s="65">
        <v>4.18</v>
      </c>
      <c r="FU4317" s="65">
        <v>4.72</v>
      </c>
      <c r="FV4317" s="65">
        <f>6.03-FT4317</f>
        <v>1.8500000000000005</v>
      </c>
      <c r="FW4317" s="65">
        <f>6.62-FU4317</f>
        <v>1.9000000000000004</v>
      </c>
      <c r="FX4317" s="65" t="s">
        <v>4363</v>
      </c>
      <c r="GP4317" s="292" t="s">
        <v>7494</v>
      </c>
      <c r="IC4317" s="65">
        <v>5.64</v>
      </c>
      <c r="ID4317" s="65">
        <v>5.93</v>
      </c>
      <c r="IG4317" s="65" t="s">
        <v>4365</v>
      </c>
      <c r="JG4317" s="65">
        <v>771.1</v>
      </c>
      <c r="JH4317" s="65">
        <v>823.8</v>
      </c>
      <c r="JK4317" s="65" t="s">
        <v>964</v>
      </c>
      <c r="JL4317" s="65">
        <v>76.849999999999994</v>
      </c>
      <c r="JM4317" s="65">
        <v>100.91</v>
      </c>
      <c r="JP4317" s="65" t="s">
        <v>964</v>
      </c>
    </row>
    <row r="4318" spans="1:276" x14ac:dyDescent="0.25">
      <c r="A4318" s="55">
        <v>4317</v>
      </c>
      <c r="B4318" s="12" t="s">
        <v>7067</v>
      </c>
      <c r="C4318" s="155">
        <v>190</v>
      </c>
      <c r="D4318" s="55" t="s">
        <v>4360</v>
      </c>
      <c r="E4318" s="90" t="s">
        <v>4354</v>
      </c>
      <c r="G4318" s="55" t="s">
        <v>4355</v>
      </c>
      <c r="H4318" s="55">
        <v>2014</v>
      </c>
      <c r="I4318" s="55">
        <v>2011</v>
      </c>
      <c r="J4318" s="55" t="s">
        <v>4356</v>
      </c>
      <c r="K4318" s="55" t="s">
        <v>4358</v>
      </c>
      <c r="L4318" s="55" t="s">
        <v>3377</v>
      </c>
      <c r="M4318" s="90">
        <f>31+31/60</f>
        <v>31.516666666666666</v>
      </c>
      <c r="N4318" s="90">
        <f>120.1</f>
        <v>120.1</v>
      </c>
      <c r="O4318" s="90">
        <v>3</v>
      </c>
      <c r="Q4318" s="55">
        <v>15.5</v>
      </c>
      <c r="S4318" s="90">
        <v>1038.4000000000001</v>
      </c>
      <c r="U4318" s="55" t="s">
        <v>1688</v>
      </c>
      <c r="V4318" s="55" t="s">
        <v>1816</v>
      </c>
      <c r="Y4318" s="55" t="s">
        <v>4357</v>
      </c>
      <c r="Z4318" s="55" t="s">
        <v>1346</v>
      </c>
      <c r="AA4318" s="90" t="s">
        <v>1675</v>
      </c>
      <c r="AI4318" s="168">
        <v>3.99</v>
      </c>
      <c r="AJ4318" s="90">
        <v>3.2</v>
      </c>
      <c r="AN4318" s="185" t="s">
        <v>2788</v>
      </c>
      <c r="AO4318" s="185" t="s">
        <v>5150</v>
      </c>
      <c r="AQ4318" s="55" t="s">
        <v>553</v>
      </c>
      <c r="AR4318" s="55" t="s">
        <v>1096</v>
      </c>
      <c r="AS4318" s="55" t="s">
        <v>5133</v>
      </c>
      <c r="AU4318" s="181" t="s">
        <v>7494</v>
      </c>
      <c r="AV4318" s="185" t="s">
        <v>176</v>
      </c>
      <c r="AX4318" s="185" t="s">
        <v>176</v>
      </c>
      <c r="BK4318" s="55" t="s">
        <v>5976</v>
      </c>
      <c r="BM4318" s="192" t="s">
        <v>119</v>
      </c>
      <c r="BN4318" s="55">
        <v>3</v>
      </c>
      <c r="BO4318" s="55">
        <v>3</v>
      </c>
      <c r="BQ4318" s="55" t="s">
        <v>141</v>
      </c>
      <c r="CB4318" s="66">
        <v>7001</v>
      </c>
      <c r="CC4318" s="66">
        <v>7371.55</v>
      </c>
      <c r="CE4318" s="65">
        <f>CB4318-6524</f>
        <v>477</v>
      </c>
      <c r="CF4318" s="65">
        <f>CC4318-7133</f>
        <v>238.55000000000018</v>
      </c>
      <c r="CM4318" s="65">
        <v>2.95</v>
      </c>
      <c r="CN4318" s="65">
        <v>3.22</v>
      </c>
      <c r="CQ4318" s="65" t="s">
        <v>4364</v>
      </c>
      <c r="DA4318" s="65" t="s">
        <v>4457</v>
      </c>
      <c r="DB4318" s="65">
        <v>1.74</v>
      </c>
      <c r="DC4318" s="65">
        <v>1.75</v>
      </c>
      <c r="DF4318" s="65" t="s">
        <v>3205</v>
      </c>
      <c r="FT4318" s="65">
        <v>4.18</v>
      </c>
      <c r="FU4318" s="65">
        <v>4.28</v>
      </c>
      <c r="FV4318" s="65">
        <f>6.03-FT4318</f>
        <v>1.8500000000000005</v>
      </c>
      <c r="FW4318" s="65">
        <v>1.9</v>
      </c>
      <c r="FX4318" s="65" t="s">
        <v>4363</v>
      </c>
      <c r="GP4318" s="292" t="s">
        <v>7494</v>
      </c>
      <c r="IC4318" s="65">
        <v>5.64</v>
      </c>
      <c r="ID4318" s="65">
        <v>10.95</v>
      </c>
      <c r="IG4318" s="65" t="s">
        <v>4365</v>
      </c>
      <c r="JG4318" s="65">
        <v>771.1</v>
      </c>
      <c r="JH4318" s="65">
        <v>815.9</v>
      </c>
      <c r="JK4318" s="65" t="s">
        <v>964</v>
      </c>
      <c r="JL4318" s="65">
        <v>76.849999999999994</v>
      </c>
      <c r="JM4318" s="65">
        <v>115.06</v>
      </c>
      <c r="JP4318" s="65" t="s">
        <v>964</v>
      </c>
    </row>
    <row r="4319" spans="1:276" x14ac:dyDescent="0.25">
      <c r="A4319" s="55">
        <v>4318</v>
      </c>
      <c r="B4319" s="12" t="s">
        <v>7067</v>
      </c>
      <c r="C4319" s="155">
        <v>190</v>
      </c>
      <c r="D4319" s="55" t="s">
        <v>4361</v>
      </c>
      <c r="E4319" s="90" t="s">
        <v>4354</v>
      </c>
      <c r="G4319" s="55" t="s">
        <v>4355</v>
      </c>
      <c r="H4319" s="55">
        <v>2014</v>
      </c>
      <c r="I4319" s="55">
        <v>2011</v>
      </c>
      <c r="J4319" s="55" t="s">
        <v>4356</v>
      </c>
      <c r="K4319" s="55" t="s">
        <v>4358</v>
      </c>
      <c r="L4319" s="55" t="s">
        <v>3377</v>
      </c>
      <c r="M4319" s="90">
        <f>31+31/60</f>
        <v>31.516666666666666</v>
      </c>
      <c r="N4319" s="90">
        <f>120.1</f>
        <v>120.1</v>
      </c>
      <c r="O4319" s="90">
        <v>3</v>
      </c>
      <c r="Q4319" s="55">
        <v>15.5</v>
      </c>
      <c r="S4319" s="90">
        <v>1038.4000000000001</v>
      </c>
      <c r="U4319" s="55" t="s">
        <v>1688</v>
      </c>
      <c r="V4319" s="55" t="s">
        <v>1816</v>
      </c>
      <c r="Y4319" s="55" t="s">
        <v>4357</v>
      </c>
      <c r="Z4319" s="55" t="s">
        <v>1346</v>
      </c>
      <c r="AA4319" s="90" t="s">
        <v>1675</v>
      </c>
      <c r="AI4319" s="168">
        <v>3.99</v>
      </c>
      <c r="AJ4319" s="90">
        <v>3.2</v>
      </c>
      <c r="AN4319" s="185" t="s">
        <v>3641</v>
      </c>
      <c r="AO4319" s="185" t="s">
        <v>5150</v>
      </c>
      <c r="AQ4319" s="55" t="s">
        <v>1097</v>
      </c>
      <c r="AR4319" s="55" t="s">
        <v>1096</v>
      </c>
      <c r="AS4319" s="55" t="s">
        <v>5133</v>
      </c>
      <c r="AU4319" s="181" t="s">
        <v>7494</v>
      </c>
      <c r="AV4319" s="185" t="s">
        <v>176</v>
      </c>
      <c r="AX4319" s="185" t="s">
        <v>176</v>
      </c>
      <c r="BK4319" s="55" t="s">
        <v>5976</v>
      </c>
      <c r="BM4319" s="192" t="s">
        <v>119</v>
      </c>
      <c r="BN4319" s="55">
        <v>3</v>
      </c>
      <c r="BO4319" s="55">
        <v>3</v>
      </c>
      <c r="BQ4319" s="55" t="s">
        <v>141</v>
      </c>
      <c r="CB4319" s="66">
        <v>7001</v>
      </c>
      <c r="CC4319" s="66">
        <v>6712.84</v>
      </c>
      <c r="CE4319" s="65">
        <f>CB4319-6524</f>
        <v>477</v>
      </c>
      <c r="CF4319" s="65">
        <f>CC4319-6419</f>
        <v>293.84000000000015</v>
      </c>
      <c r="CM4319" s="65">
        <v>2.95</v>
      </c>
      <c r="CN4319" s="65">
        <v>3.59</v>
      </c>
      <c r="CQ4319" s="65" t="s">
        <v>4364</v>
      </c>
      <c r="DA4319" s="65" t="s">
        <v>4457</v>
      </c>
      <c r="DB4319" s="65">
        <v>1.74</v>
      </c>
      <c r="DC4319" s="65">
        <v>1.83</v>
      </c>
      <c r="DF4319" s="65" t="s">
        <v>3205</v>
      </c>
      <c r="FT4319" s="65">
        <v>4.18</v>
      </c>
      <c r="FU4319" s="65">
        <v>3.9</v>
      </c>
      <c r="FV4319" s="65">
        <f>6.03-FT4319</f>
        <v>1.8500000000000005</v>
      </c>
      <c r="FW4319" s="65">
        <v>1.9</v>
      </c>
      <c r="FX4319" s="65" t="s">
        <v>4363</v>
      </c>
      <c r="GP4319" s="292" t="s">
        <v>7494</v>
      </c>
      <c r="IC4319" s="65">
        <v>5.64</v>
      </c>
      <c r="ID4319" s="65">
        <v>9.6300000000000008</v>
      </c>
      <c r="IG4319" s="65" t="s">
        <v>4365</v>
      </c>
      <c r="JG4319" s="65">
        <v>771.1</v>
      </c>
      <c r="JH4319" s="65">
        <v>657.1</v>
      </c>
      <c r="JK4319" s="65" t="s">
        <v>964</v>
      </c>
      <c r="JL4319" s="65">
        <v>76.849999999999994</v>
      </c>
      <c r="JM4319" s="65">
        <v>75.42</v>
      </c>
      <c r="JP4319" s="65" t="s">
        <v>964</v>
      </c>
    </row>
    <row r="4320" spans="1:276" x14ac:dyDescent="0.25">
      <c r="A4320" s="55">
        <v>4319</v>
      </c>
      <c r="B4320" s="12" t="s">
        <v>7067</v>
      </c>
      <c r="C4320" s="155">
        <v>190</v>
      </c>
      <c r="D4320" s="55" t="s">
        <v>4362</v>
      </c>
      <c r="E4320" s="90" t="s">
        <v>4354</v>
      </c>
      <c r="G4320" s="55" t="s">
        <v>4355</v>
      </c>
      <c r="H4320" s="55">
        <v>2014</v>
      </c>
      <c r="I4320" s="55">
        <v>2011</v>
      </c>
      <c r="J4320" s="55" t="s">
        <v>4356</v>
      </c>
      <c r="K4320" s="55" t="s">
        <v>4358</v>
      </c>
      <c r="L4320" s="55" t="s">
        <v>3377</v>
      </c>
      <c r="M4320" s="90">
        <f>31+31/60</f>
        <v>31.516666666666666</v>
      </c>
      <c r="N4320" s="90">
        <f>120.1</f>
        <v>120.1</v>
      </c>
      <c r="O4320" s="90">
        <v>3</v>
      </c>
      <c r="Q4320" s="55">
        <v>15.5</v>
      </c>
      <c r="S4320" s="90">
        <v>1038.4000000000001</v>
      </c>
      <c r="U4320" s="55" t="s">
        <v>1688</v>
      </c>
      <c r="V4320" s="55" t="s">
        <v>1816</v>
      </c>
      <c r="Y4320" s="55" t="s">
        <v>4357</v>
      </c>
      <c r="Z4320" s="55" t="s">
        <v>1346</v>
      </c>
      <c r="AA4320" s="90" t="s">
        <v>1675</v>
      </c>
      <c r="AI4320" s="168">
        <v>3.99</v>
      </c>
      <c r="AJ4320" s="90">
        <v>3.2</v>
      </c>
      <c r="AN4320" s="185" t="s">
        <v>116</v>
      </c>
      <c r="AO4320" s="185" t="s">
        <v>5150</v>
      </c>
      <c r="AQ4320" s="55" t="s">
        <v>1545</v>
      </c>
      <c r="AR4320" s="55" t="s">
        <v>1096</v>
      </c>
      <c r="AS4320" s="55" t="s">
        <v>5133</v>
      </c>
      <c r="AU4320" s="181" t="s">
        <v>7494</v>
      </c>
      <c r="AV4320" s="185" t="s">
        <v>176</v>
      </c>
      <c r="AX4320" s="185" t="s">
        <v>176</v>
      </c>
      <c r="BK4320" s="55" t="s">
        <v>5976</v>
      </c>
      <c r="BM4320" s="192" t="s">
        <v>119</v>
      </c>
      <c r="BN4320" s="55">
        <v>3</v>
      </c>
      <c r="BO4320" s="55">
        <v>3</v>
      </c>
      <c r="BQ4320" s="55" t="s">
        <v>141</v>
      </c>
      <c r="CB4320" s="66">
        <v>7001</v>
      </c>
      <c r="CC4320" s="66">
        <v>6788</v>
      </c>
      <c r="CE4320" s="65">
        <f>CB4320-6524</f>
        <v>477</v>
      </c>
      <c r="CF4320" s="65">
        <f>CC4320-6641</f>
        <v>147</v>
      </c>
      <c r="CM4320" s="65">
        <v>2.95</v>
      </c>
      <c r="CN4320" s="65">
        <v>2.93</v>
      </c>
      <c r="CQ4320" s="65" t="s">
        <v>4364</v>
      </c>
      <c r="DA4320" s="65" t="s">
        <v>4457</v>
      </c>
      <c r="DB4320" s="65">
        <v>1.74</v>
      </c>
      <c r="DC4320" s="65">
        <v>1.71</v>
      </c>
      <c r="DF4320" s="65" t="s">
        <v>3205</v>
      </c>
      <c r="FT4320" s="65">
        <v>4.18</v>
      </c>
      <c r="FU4320" s="65">
        <v>4.04</v>
      </c>
      <c r="FV4320" s="65">
        <f>6.03-FT4320</f>
        <v>1.8500000000000005</v>
      </c>
      <c r="FW4320" s="65">
        <v>1.9</v>
      </c>
      <c r="FX4320" s="65" t="s">
        <v>4363</v>
      </c>
      <c r="GP4320" s="292" t="s">
        <v>7494</v>
      </c>
      <c r="IC4320" s="65">
        <v>5.64</v>
      </c>
      <c r="ID4320" s="65">
        <v>9.82</v>
      </c>
      <c r="IG4320" s="65" t="s">
        <v>4365</v>
      </c>
      <c r="JG4320" s="65">
        <v>771.1</v>
      </c>
      <c r="JH4320" s="65">
        <v>711.3</v>
      </c>
      <c r="JK4320" s="65" t="s">
        <v>964</v>
      </c>
      <c r="JL4320" s="65">
        <v>76.849999999999994</v>
      </c>
      <c r="JM4320" s="65">
        <v>81.99</v>
      </c>
      <c r="JP4320" s="65" t="s">
        <v>964</v>
      </c>
    </row>
    <row r="4321" spans="1:241" x14ac:dyDescent="0.25">
      <c r="A4321" s="55">
        <v>4320</v>
      </c>
      <c r="B4321" s="12" t="s">
        <v>7067</v>
      </c>
      <c r="C4321" s="155">
        <v>190</v>
      </c>
      <c r="D4321" s="55" t="s">
        <v>4359</v>
      </c>
      <c r="E4321" s="90" t="s">
        <v>4354</v>
      </c>
      <c r="G4321" s="55" t="s">
        <v>4355</v>
      </c>
      <c r="H4321" s="55">
        <v>2014</v>
      </c>
      <c r="I4321" s="55">
        <v>2012</v>
      </c>
      <c r="J4321" s="55" t="s">
        <v>4356</v>
      </c>
      <c r="K4321" s="55" t="s">
        <v>4358</v>
      </c>
      <c r="L4321" s="55" t="s">
        <v>3377</v>
      </c>
      <c r="M4321" s="90">
        <f>31+31/60</f>
        <v>31.516666666666666</v>
      </c>
      <c r="N4321" s="90">
        <f>120.1</f>
        <v>120.1</v>
      </c>
      <c r="O4321" s="90">
        <v>3</v>
      </c>
      <c r="Q4321" s="55">
        <v>15.5</v>
      </c>
      <c r="S4321" s="90">
        <v>1038.4000000000001</v>
      </c>
      <c r="U4321" s="55" t="s">
        <v>1816</v>
      </c>
      <c r="V4321" s="55" t="s">
        <v>1816</v>
      </c>
      <c r="Y4321" s="55" t="s">
        <v>4357</v>
      </c>
      <c r="Z4321" s="55" t="s">
        <v>1346</v>
      </c>
      <c r="AA4321" s="90" t="s">
        <v>1675</v>
      </c>
      <c r="AI4321" s="168">
        <v>3.99</v>
      </c>
      <c r="AJ4321" s="90">
        <v>3.2</v>
      </c>
      <c r="AN4321" s="185" t="s">
        <v>241</v>
      </c>
      <c r="AO4321" s="185" t="s">
        <v>5150</v>
      </c>
      <c r="AQ4321" s="55" t="s">
        <v>553</v>
      </c>
      <c r="AR4321" s="55" t="s">
        <v>1096</v>
      </c>
      <c r="AS4321" s="55" t="s">
        <v>5133</v>
      </c>
      <c r="AU4321" s="181" t="s">
        <v>7494</v>
      </c>
      <c r="AV4321" s="185" t="s">
        <v>176</v>
      </c>
      <c r="AX4321" s="185" t="s">
        <v>176</v>
      </c>
      <c r="BK4321" s="55" t="s">
        <v>5976</v>
      </c>
      <c r="BM4321" s="192" t="s">
        <v>119</v>
      </c>
      <c r="BN4321" s="55">
        <v>3</v>
      </c>
      <c r="BO4321" s="55">
        <v>3</v>
      </c>
      <c r="BQ4321" s="55" t="s">
        <v>141</v>
      </c>
      <c r="CM4321" s="65">
        <v>2.4700000000000002</v>
      </c>
      <c r="CN4321" s="65">
        <v>3.15</v>
      </c>
      <c r="CQ4321" s="65" t="s">
        <v>4364</v>
      </c>
      <c r="DA4321" s="65" t="s">
        <v>4457</v>
      </c>
      <c r="DB4321" s="65">
        <v>1.78</v>
      </c>
      <c r="DC4321" s="65">
        <v>1.93</v>
      </c>
      <c r="DF4321" s="65" t="s">
        <v>3205</v>
      </c>
      <c r="GP4321" s="292" t="s">
        <v>7494</v>
      </c>
      <c r="IC4321" s="65">
        <v>10.51</v>
      </c>
      <c r="ID4321" s="65">
        <v>13.12</v>
      </c>
      <c r="IG4321" s="65" t="s">
        <v>4365</v>
      </c>
    </row>
    <row r="4322" spans="1:241" x14ac:dyDescent="0.25">
      <c r="A4322" s="55">
        <v>4321</v>
      </c>
      <c r="B4322" s="12" t="s">
        <v>7067</v>
      </c>
      <c r="C4322" s="155">
        <v>190</v>
      </c>
      <c r="D4322" s="55" t="s">
        <v>4360</v>
      </c>
      <c r="E4322" s="90" t="s">
        <v>4354</v>
      </c>
      <c r="G4322" s="55" t="s">
        <v>4355</v>
      </c>
      <c r="H4322" s="55">
        <v>2014</v>
      </c>
      <c r="I4322" s="55">
        <v>2012</v>
      </c>
      <c r="J4322" s="55" t="s">
        <v>4356</v>
      </c>
      <c r="K4322" s="55" t="s">
        <v>4358</v>
      </c>
      <c r="L4322" s="55" t="s">
        <v>3377</v>
      </c>
      <c r="M4322" s="90">
        <f>31+31/60</f>
        <v>31.516666666666666</v>
      </c>
      <c r="N4322" s="90">
        <f>120.1</f>
        <v>120.1</v>
      </c>
      <c r="O4322" s="90">
        <v>3</v>
      </c>
      <c r="Q4322" s="55">
        <v>15.5</v>
      </c>
      <c r="S4322" s="90">
        <v>1038.4000000000001</v>
      </c>
      <c r="U4322" s="55" t="s">
        <v>1816</v>
      </c>
      <c r="V4322" s="55" t="s">
        <v>1816</v>
      </c>
      <c r="Y4322" s="55" t="s">
        <v>4357</v>
      </c>
      <c r="Z4322" s="55" t="s">
        <v>1346</v>
      </c>
      <c r="AA4322" s="90" t="s">
        <v>1675</v>
      </c>
      <c r="AI4322" s="168">
        <v>3.99</v>
      </c>
      <c r="AJ4322" s="90">
        <v>3.2</v>
      </c>
      <c r="AN4322" s="185" t="s">
        <v>2788</v>
      </c>
      <c r="AO4322" s="185" t="s">
        <v>5150</v>
      </c>
      <c r="AQ4322" s="55" t="s">
        <v>553</v>
      </c>
      <c r="AR4322" s="55" t="s">
        <v>1096</v>
      </c>
      <c r="AS4322" s="55" t="s">
        <v>5133</v>
      </c>
      <c r="AU4322" s="181" t="s">
        <v>7494</v>
      </c>
      <c r="AV4322" s="185" t="s">
        <v>176</v>
      </c>
      <c r="AX4322" s="185" t="s">
        <v>176</v>
      </c>
      <c r="BK4322" s="55" t="s">
        <v>5976</v>
      </c>
      <c r="BM4322" s="192" t="s">
        <v>119</v>
      </c>
      <c r="BN4322" s="55">
        <v>3</v>
      </c>
      <c r="BO4322" s="55">
        <v>3</v>
      </c>
      <c r="BQ4322" s="55" t="s">
        <v>141</v>
      </c>
      <c r="CM4322" s="65">
        <v>2.4700000000000002</v>
      </c>
      <c r="CN4322" s="65">
        <v>3.28</v>
      </c>
      <c r="CQ4322" s="65" t="s">
        <v>4364</v>
      </c>
      <c r="DA4322" s="65" t="s">
        <v>4457</v>
      </c>
      <c r="DB4322" s="65">
        <v>1.78</v>
      </c>
      <c r="DC4322" s="65">
        <v>1.87</v>
      </c>
      <c r="DF4322" s="65" t="s">
        <v>3205</v>
      </c>
      <c r="GP4322" s="292" t="s">
        <v>7494</v>
      </c>
      <c r="IC4322" s="65">
        <v>10.51</v>
      </c>
      <c r="ID4322" s="65">
        <v>14.81</v>
      </c>
      <c r="IG4322" s="65" t="s">
        <v>4365</v>
      </c>
    </row>
    <row r="4323" spans="1:241" x14ac:dyDescent="0.25">
      <c r="A4323" s="55">
        <v>4322</v>
      </c>
      <c r="B4323" s="12" t="s">
        <v>7067</v>
      </c>
      <c r="C4323" s="155">
        <v>190</v>
      </c>
      <c r="D4323" s="55" t="s">
        <v>4361</v>
      </c>
      <c r="E4323" s="90" t="s">
        <v>4354</v>
      </c>
      <c r="G4323" s="55" t="s">
        <v>4355</v>
      </c>
      <c r="H4323" s="55">
        <v>2014</v>
      </c>
      <c r="I4323" s="55">
        <v>2012</v>
      </c>
      <c r="J4323" s="55" t="s">
        <v>4356</v>
      </c>
      <c r="K4323" s="55" t="s">
        <v>4358</v>
      </c>
      <c r="L4323" s="55" t="s">
        <v>3377</v>
      </c>
      <c r="M4323" s="90">
        <f>31+31/60</f>
        <v>31.516666666666666</v>
      </c>
      <c r="N4323" s="90">
        <f>120.1</f>
        <v>120.1</v>
      </c>
      <c r="O4323" s="90">
        <v>3</v>
      </c>
      <c r="Q4323" s="55">
        <v>15.5</v>
      </c>
      <c r="S4323" s="90">
        <v>1038.4000000000001</v>
      </c>
      <c r="U4323" s="55" t="s">
        <v>1816</v>
      </c>
      <c r="V4323" s="55" t="s">
        <v>1816</v>
      </c>
      <c r="Y4323" s="55" t="s">
        <v>4357</v>
      </c>
      <c r="Z4323" s="55" t="s">
        <v>1346</v>
      </c>
      <c r="AA4323" s="90" t="s">
        <v>1675</v>
      </c>
      <c r="AI4323" s="168">
        <v>3.99</v>
      </c>
      <c r="AJ4323" s="90">
        <v>3.2</v>
      </c>
      <c r="AN4323" s="185" t="s">
        <v>3641</v>
      </c>
      <c r="AO4323" s="185" t="s">
        <v>5150</v>
      </c>
      <c r="AQ4323" s="55" t="s">
        <v>1097</v>
      </c>
      <c r="AR4323" s="55" t="s">
        <v>1096</v>
      </c>
      <c r="AS4323" s="55" t="s">
        <v>5133</v>
      </c>
      <c r="AU4323" s="181" t="s">
        <v>7494</v>
      </c>
      <c r="AV4323" s="185" t="s">
        <v>176</v>
      </c>
      <c r="AX4323" s="185" t="s">
        <v>176</v>
      </c>
      <c r="BK4323" s="55" t="s">
        <v>5976</v>
      </c>
      <c r="BM4323" s="192" t="s">
        <v>119</v>
      </c>
      <c r="BN4323" s="55">
        <v>3</v>
      </c>
      <c r="BO4323" s="55">
        <v>3</v>
      </c>
      <c r="BQ4323" s="55" t="s">
        <v>141</v>
      </c>
      <c r="CM4323" s="65">
        <v>2.4700000000000002</v>
      </c>
      <c r="CN4323" s="65">
        <v>3.37</v>
      </c>
      <c r="CQ4323" s="65" t="s">
        <v>4364</v>
      </c>
      <c r="DA4323" s="65" t="s">
        <v>4457</v>
      </c>
      <c r="DB4323" s="65">
        <v>1.78</v>
      </c>
      <c r="DC4323" s="65">
        <v>1.99</v>
      </c>
      <c r="DF4323" s="65" t="s">
        <v>3205</v>
      </c>
      <c r="GP4323" s="292" t="s">
        <v>7494</v>
      </c>
      <c r="IC4323" s="65">
        <v>10.51</v>
      </c>
      <c r="ID4323" s="65">
        <v>8.18</v>
      </c>
      <c r="IG4323" s="65" t="s">
        <v>4365</v>
      </c>
    </row>
    <row r="4324" spans="1:241" x14ac:dyDescent="0.25">
      <c r="A4324" s="55">
        <v>4323</v>
      </c>
      <c r="B4324" s="12" t="s">
        <v>7067</v>
      </c>
      <c r="C4324" s="155">
        <v>190</v>
      </c>
      <c r="D4324" s="55" t="s">
        <v>4362</v>
      </c>
      <c r="E4324" s="90" t="s">
        <v>4354</v>
      </c>
      <c r="G4324" s="55" t="s">
        <v>4355</v>
      </c>
      <c r="H4324" s="55">
        <v>2014</v>
      </c>
      <c r="I4324" s="55">
        <v>2012</v>
      </c>
      <c r="J4324" s="55" t="s">
        <v>4356</v>
      </c>
      <c r="K4324" s="55" t="s">
        <v>4358</v>
      </c>
      <c r="L4324" s="55" t="s">
        <v>3377</v>
      </c>
      <c r="M4324" s="90">
        <f>31+31/60</f>
        <v>31.516666666666666</v>
      </c>
      <c r="N4324" s="90">
        <f>120.1</f>
        <v>120.1</v>
      </c>
      <c r="O4324" s="90">
        <v>3</v>
      </c>
      <c r="Q4324" s="55">
        <v>15.5</v>
      </c>
      <c r="S4324" s="90">
        <v>1038.4000000000001</v>
      </c>
      <c r="U4324" s="55" t="s">
        <v>1816</v>
      </c>
      <c r="V4324" s="55" t="s">
        <v>1816</v>
      </c>
      <c r="Y4324" s="55" t="s">
        <v>4357</v>
      </c>
      <c r="Z4324" s="55" t="s">
        <v>1346</v>
      </c>
      <c r="AA4324" s="90" t="s">
        <v>1675</v>
      </c>
      <c r="AI4324" s="168">
        <v>3.99</v>
      </c>
      <c r="AJ4324" s="90">
        <v>3.2</v>
      </c>
      <c r="AN4324" s="185" t="s">
        <v>116</v>
      </c>
      <c r="AO4324" s="185" t="s">
        <v>5150</v>
      </c>
      <c r="AQ4324" s="55" t="s">
        <v>1545</v>
      </c>
      <c r="AR4324" s="55" t="s">
        <v>1096</v>
      </c>
      <c r="AS4324" s="55" t="s">
        <v>5133</v>
      </c>
      <c r="AU4324" s="181" t="s">
        <v>7494</v>
      </c>
      <c r="AV4324" s="185" t="s">
        <v>176</v>
      </c>
      <c r="AX4324" s="185" t="s">
        <v>176</v>
      </c>
      <c r="BK4324" s="55" t="s">
        <v>5976</v>
      </c>
      <c r="BM4324" s="192" t="s">
        <v>119</v>
      </c>
      <c r="BN4324" s="55">
        <v>3</v>
      </c>
      <c r="BO4324" s="55">
        <v>3</v>
      </c>
      <c r="BQ4324" s="55" t="s">
        <v>141</v>
      </c>
      <c r="CM4324" s="65">
        <v>2.4700000000000002</v>
      </c>
      <c r="CN4324" s="65">
        <v>2.68</v>
      </c>
      <c r="CQ4324" s="65" t="s">
        <v>4364</v>
      </c>
      <c r="DA4324" s="65" t="s">
        <v>4457</v>
      </c>
      <c r="DB4324" s="65">
        <v>1.78</v>
      </c>
      <c r="DC4324" s="65">
        <v>1.74</v>
      </c>
      <c r="DF4324" s="65" t="s">
        <v>3205</v>
      </c>
      <c r="GP4324" s="292" t="s">
        <v>7494</v>
      </c>
      <c r="IC4324" s="65">
        <v>10.51</v>
      </c>
      <c r="ID4324" s="65">
        <v>8.5299999999999994</v>
      </c>
      <c r="IG4324" s="65" t="s">
        <v>4365</v>
      </c>
    </row>
    <row r="4325" spans="1:241" x14ac:dyDescent="0.25">
      <c r="A4325" s="55">
        <v>4324</v>
      </c>
      <c r="B4325" s="12" t="s">
        <v>7067</v>
      </c>
      <c r="C4325" s="155">
        <v>190</v>
      </c>
      <c r="D4325" s="55" t="s">
        <v>4359</v>
      </c>
      <c r="E4325" s="90" t="s">
        <v>4354</v>
      </c>
      <c r="G4325" s="55" t="s">
        <v>4355</v>
      </c>
      <c r="H4325" s="55">
        <v>2014</v>
      </c>
      <c r="I4325" s="55">
        <v>2012</v>
      </c>
      <c r="J4325" s="55" t="s">
        <v>4356</v>
      </c>
      <c r="K4325" s="55" t="s">
        <v>4358</v>
      </c>
      <c r="L4325" s="55" t="s">
        <v>3377</v>
      </c>
      <c r="M4325" s="90">
        <f>31+31/60</f>
        <v>31.516666666666666</v>
      </c>
      <c r="N4325" s="90">
        <f>120.1</f>
        <v>120.1</v>
      </c>
      <c r="O4325" s="90">
        <v>3</v>
      </c>
      <c r="Q4325" s="55">
        <v>15.5</v>
      </c>
      <c r="S4325" s="90">
        <v>1038.4000000000001</v>
      </c>
      <c r="U4325" s="55" t="s">
        <v>1816</v>
      </c>
      <c r="V4325" s="55" t="s">
        <v>1816</v>
      </c>
      <c r="Y4325" s="55" t="s">
        <v>4357</v>
      </c>
      <c r="Z4325" s="55" t="s">
        <v>1346</v>
      </c>
      <c r="AA4325" s="90" t="s">
        <v>1675</v>
      </c>
      <c r="AI4325" s="168">
        <v>3.99</v>
      </c>
      <c r="AJ4325" s="90">
        <v>3.2</v>
      </c>
      <c r="AN4325" s="185" t="s">
        <v>241</v>
      </c>
      <c r="AO4325" s="185" t="s">
        <v>5150</v>
      </c>
      <c r="AQ4325" s="55" t="s">
        <v>553</v>
      </c>
      <c r="AR4325" s="55" t="s">
        <v>1096</v>
      </c>
      <c r="AS4325" s="55" t="s">
        <v>5133</v>
      </c>
      <c r="AU4325" s="181" t="s">
        <v>7494</v>
      </c>
      <c r="AV4325" s="185" t="s">
        <v>176</v>
      </c>
      <c r="AX4325" s="185" t="s">
        <v>176</v>
      </c>
      <c r="BK4325" s="55" t="s">
        <v>5976</v>
      </c>
      <c r="BM4325" s="192" t="s">
        <v>119</v>
      </c>
      <c r="BN4325" s="55">
        <v>3</v>
      </c>
      <c r="BO4325" s="55">
        <v>3</v>
      </c>
      <c r="BQ4325" s="55" t="s">
        <v>141</v>
      </c>
      <c r="CM4325" s="65">
        <v>1.7430000000000001</v>
      </c>
      <c r="CN4325" s="65">
        <v>1.83</v>
      </c>
      <c r="CQ4325" s="65" t="s">
        <v>3526</v>
      </c>
      <c r="DA4325" s="65" t="s">
        <v>4456</v>
      </c>
      <c r="GP4325" s="292" t="s">
        <v>7494</v>
      </c>
      <c r="IG4325" s="65" t="s">
        <v>4365</v>
      </c>
    </row>
    <row r="4326" spans="1:241" x14ac:dyDescent="0.25">
      <c r="A4326" s="55">
        <v>4325</v>
      </c>
      <c r="B4326" s="12" t="s">
        <v>7067</v>
      </c>
      <c r="C4326" s="155">
        <v>190</v>
      </c>
      <c r="D4326" s="55" t="s">
        <v>4360</v>
      </c>
      <c r="E4326" s="90" t="s">
        <v>4354</v>
      </c>
      <c r="G4326" s="55" t="s">
        <v>4355</v>
      </c>
      <c r="H4326" s="55">
        <v>2014</v>
      </c>
      <c r="I4326" s="55">
        <v>2012</v>
      </c>
      <c r="J4326" s="55" t="s">
        <v>4356</v>
      </c>
      <c r="K4326" s="55" t="s">
        <v>4358</v>
      </c>
      <c r="L4326" s="55" t="s">
        <v>3377</v>
      </c>
      <c r="M4326" s="90">
        <f>31+31/60</f>
        <v>31.516666666666666</v>
      </c>
      <c r="N4326" s="90">
        <f>120.1</f>
        <v>120.1</v>
      </c>
      <c r="O4326" s="90">
        <v>3</v>
      </c>
      <c r="Q4326" s="55">
        <v>15.5</v>
      </c>
      <c r="S4326" s="90">
        <v>1038.4000000000001</v>
      </c>
      <c r="U4326" s="55" t="s">
        <v>1816</v>
      </c>
      <c r="V4326" s="55" t="s">
        <v>1816</v>
      </c>
      <c r="Y4326" s="55" t="s">
        <v>4357</v>
      </c>
      <c r="Z4326" s="55" t="s">
        <v>1346</v>
      </c>
      <c r="AA4326" s="90" t="s">
        <v>1675</v>
      </c>
      <c r="AI4326" s="168">
        <v>3.99</v>
      </c>
      <c r="AJ4326" s="90">
        <v>3.2</v>
      </c>
      <c r="AN4326" s="185" t="s">
        <v>2788</v>
      </c>
      <c r="AO4326" s="185" t="s">
        <v>5150</v>
      </c>
      <c r="AQ4326" s="55" t="s">
        <v>553</v>
      </c>
      <c r="AR4326" s="55" t="s">
        <v>1096</v>
      </c>
      <c r="AS4326" s="55" t="s">
        <v>5133</v>
      </c>
      <c r="AU4326" s="181" t="s">
        <v>7494</v>
      </c>
      <c r="AV4326" s="185" t="s">
        <v>176</v>
      </c>
      <c r="AX4326" s="185" t="s">
        <v>176</v>
      </c>
      <c r="BK4326" s="55" t="s">
        <v>5976</v>
      </c>
      <c r="BM4326" s="192" t="s">
        <v>119</v>
      </c>
      <c r="BN4326" s="55">
        <v>3</v>
      </c>
      <c r="BO4326" s="55">
        <v>3</v>
      </c>
      <c r="BQ4326" s="55" t="s">
        <v>141</v>
      </c>
      <c r="CM4326" s="65">
        <v>1.7430000000000001</v>
      </c>
      <c r="CN4326" s="65">
        <v>1.66</v>
      </c>
      <c r="CQ4326" s="65" t="s">
        <v>3526</v>
      </c>
      <c r="DA4326" s="65" t="s">
        <v>4456</v>
      </c>
      <c r="GP4326" s="292" t="s">
        <v>7494</v>
      </c>
      <c r="IG4326" s="65" t="s">
        <v>4365</v>
      </c>
    </row>
    <row r="4327" spans="1:241" x14ac:dyDescent="0.25">
      <c r="A4327" s="55">
        <v>4326</v>
      </c>
      <c r="B4327" s="12" t="s">
        <v>7067</v>
      </c>
      <c r="C4327" s="155">
        <v>190</v>
      </c>
      <c r="D4327" s="55" t="s">
        <v>4361</v>
      </c>
      <c r="E4327" s="90" t="s">
        <v>4354</v>
      </c>
      <c r="G4327" s="55" t="s">
        <v>4355</v>
      </c>
      <c r="H4327" s="55">
        <v>2014</v>
      </c>
      <c r="I4327" s="55">
        <v>2012</v>
      </c>
      <c r="J4327" s="55" t="s">
        <v>4356</v>
      </c>
      <c r="K4327" s="55" t="s">
        <v>4358</v>
      </c>
      <c r="L4327" s="55" t="s">
        <v>3377</v>
      </c>
      <c r="M4327" s="90">
        <f>31+31/60</f>
        <v>31.516666666666666</v>
      </c>
      <c r="N4327" s="90">
        <f>120.1</f>
        <v>120.1</v>
      </c>
      <c r="O4327" s="90">
        <v>3</v>
      </c>
      <c r="Q4327" s="55">
        <v>15.5</v>
      </c>
      <c r="S4327" s="90">
        <v>1038.4000000000001</v>
      </c>
      <c r="U4327" s="55" t="s">
        <v>1816</v>
      </c>
      <c r="V4327" s="55" t="s">
        <v>1816</v>
      </c>
      <c r="Y4327" s="55" t="s">
        <v>4357</v>
      </c>
      <c r="Z4327" s="55" t="s">
        <v>1346</v>
      </c>
      <c r="AA4327" s="90" t="s">
        <v>1675</v>
      </c>
      <c r="AI4327" s="168">
        <v>3.99</v>
      </c>
      <c r="AJ4327" s="90">
        <v>3.2</v>
      </c>
      <c r="AN4327" s="185" t="s">
        <v>3641</v>
      </c>
      <c r="AO4327" s="185" t="s">
        <v>5150</v>
      </c>
      <c r="AQ4327" s="55" t="s">
        <v>1097</v>
      </c>
      <c r="AR4327" s="55" t="s">
        <v>1096</v>
      </c>
      <c r="AS4327" s="55" t="s">
        <v>5133</v>
      </c>
      <c r="AU4327" s="181" t="s">
        <v>7494</v>
      </c>
      <c r="AV4327" s="185" t="s">
        <v>176</v>
      </c>
      <c r="AX4327" s="185" t="s">
        <v>176</v>
      </c>
      <c r="BK4327" s="55" t="s">
        <v>5976</v>
      </c>
      <c r="BM4327" s="192" t="s">
        <v>119</v>
      </c>
      <c r="BN4327" s="55">
        <v>3</v>
      </c>
      <c r="BO4327" s="55">
        <v>3</v>
      </c>
      <c r="BQ4327" s="55" t="s">
        <v>141</v>
      </c>
      <c r="CM4327" s="65">
        <v>1.7430000000000001</v>
      </c>
      <c r="CN4327" s="65">
        <v>1.94</v>
      </c>
      <c r="CQ4327" s="65" t="s">
        <v>3526</v>
      </c>
      <c r="DA4327" s="65" t="s">
        <v>4456</v>
      </c>
      <c r="GP4327" s="292" t="s">
        <v>7494</v>
      </c>
      <c r="IG4327" s="65" t="s">
        <v>4365</v>
      </c>
    </row>
    <row r="4328" spans="1:241" x14ac:dyDescent="0.25">
      <c r="A4328" s="55">
        <v>4327</v>
      </c>
      <c r="B4328" s="12" t="s">
        <v>7067</v>
      </c>
      <c r="C4328" s="155">
        <v>190</v>
      </c>
      <c r="D4328" s="55" t="s">
        <v>4362</v>
      </c>
      <c r="E4328" s="90" t="s">
        <v>4354</v>
      </c>
      <c r="G4328" s="55" t="s">
        <v>4355</v>
      </c>
      <c r="H4328" s="55">
        <v>2014</v>
      </c>
      <c r="I4328" s="55">
        <v>2012</v>
      </c>
      <c r="J4328" s="55" t="s">
        <v>4356</v>
      </c>
      <c r="K4328" s="55" t="s">
        <v>4358</v>
      </c>
      <c r="L4328" s="55" t="s">
        <v>3377</v>
      </c>
      <c r="M4328" s="90">
        <f>31+31/60</f>
        <v>31.516666666666666</v>
      </c>
      <c r="N4328" s="90">
        <f>120.1</f>
        <v>120.1</v>
      </c>
      <c r="O4328" s="90">
        <v>3</v>
      </c>
      <c r="Q4328" s="55">
        <v>15.5</v>
      </c>
      <c r="S4328" s="90">
        <v>1038.4000000000001</v>
      </c>
      <c r="U4328" s="55" t="s">
        <v>1816</v>
      </c>
      <c r="V4328" s="55" t="s">
        <v>1816</v>
      </c>
      <c r="Y4328" s="55" t="s">
        <v>4357</v>
      </c>
      <c r="Z4328" s="55" t="s">
        <v>1346</v>
      </c>
      <c r="AA4328" s="90" t="s">
        <v>1675</v>
      </c>
      <c r="AI4328" s="168">
        <v>3.99</v>
      </c>
      <c r="AJ4328" s="90">
        <v>3.2</v>
      </c>
      <c r="AN4328" s="185" t="s">
        <v>116</v>
      </c>
      <c r="AO4328" s="185" t="s">
        <v>5150</v>
      </c>
      <c r="AQ4328" s="55" t="s">
        <v>1545</v>
      </c>
      <c r="AR4328" s="55" t="s">
        <v>1096</v>
      </c>
      <c r="AS4328" s="55" t="s">
        <v>5133</v>
      </c>
      <c r="AU4328" s="181" t="s">
        <v>7494</v>
      </c>
      <c r="AV4328" s="185" t="s">
        <v>176</v>
      </c>
      <c r="AX4328" s="185" t="s">
        <v>176</v>
      </c>
      <c r="BK4328" s="55" t="s">
        <v>5976</v>
      </c>
      <c r="BM4328" s="192" t="s">
        <v>119</v>
      </c>
      <c r="BN4328" s="55">
        <v>3</v>
      </c>
      <c r="BO4328" s="55">
        <v>3</v>
      </c>
      <c r="BQ4328" s="55" t="s">
        <v>141</v>
      </c>
      <c r="CM4328" s="65">
        <v>1.7430000000000001</v>
      </c>
      <c r="CN4328" s="65">
        <v>1.5569999999999999</v>
      </c>
      <c r="CQ4328" s="65" t="s">
        <v>3526</v>
      </c>
      <c r="DA4328" s="65" t="s">
        <v>4456</v>
      </c>
      <c r="GP4328" s="292" t="s">
        <v>7494</v>
      </c>
      <c r="IG4328" s="65" t="s">
        <v>4365</v>
      </c>
    </row>
    <row r="4329" spans="1:241" x14ac:dyDescent="0.25">
      <c r="A4329" s="55">
        <v>4328</v>
      </c>
      <c r="B4329" s="12" t="s">
        <v>7067</v>
      </c>
      <c r="C4329" s="155">
        <v>191</v>
      </c>
      <c r="D4329" s="55" t="s">
        <v>4371</v>
      </c>
      <c r="E4329" s="90" t="s">
        <v>4366</v>
      </c>
      <c r="G4329" s="55" t="s">
        <v>4367</v>
      </c>
      <c r="H4329" s="55">
        <v>2015</v>
      </c>
      <c r="I4329" s="55">
        <v>2008</v>
      </c>
      <c r="J4329" s="55" t="s">
        <v>4368</v>
      </c>
      <c r="K4329" s="55" t="s">
        <v>3653</v>
      </c>
      <c r="L4329" s="55" t="s">
        <v>3377</v>
      </c>
      <c r="M4329" s="90">
        <f>40+11/60</f>
        <v>40.18333333333333</v>
      </c>
      <c r="N4329" s="90">
        <f>116+16/60</f>
        <v>116.26666666666667</v>
      </c>
      <c r="O4329" s="90">
        <v>69</v>
      </c>
      <c r="U4329" s="55" t="s">
        <v>1935</v>
      </c>
      <c r="V4329" s="55" t="s">
        <v>1688</v>
      </c>
      <c r="Y4329" s="55" t="s">
        <v>4376</v>
      </c>
      <c r="AI4329" s="168">
        <v>7.2</v>
      </c>
      <c r="AJ4329" s="90">
        <v>2.12</v>
      </c>
      <c r="AN4329" s="185" t="s">
        <v>132</v>
      </c>
      <c r="AO4329" s="185" t="s">
        <v>5150</v>
      </c>
      <c r="AQ4329" s="55" t="s">
        <v>1545</v>
      </c>
      <c r="AR4329" s="55" t="s">
        <v>240</v>
      </c>
      <c r="AS4329" s="55" t="s">
        <v>227</v>
      </c>
      <c r="AU4329" s="181" t="s">
        <v>7494</v>
      </c>
      <c r="AV4329" s="185" t="s">
        <v>176</v>
      </c>
      <c r="AX4329" s="185" t="s">
        <v>176</v>
      </c>
      <c r="BK4329" s="55" t="s">
        <v>5976</v>
      </c>
      <c r="BM4329" s="192" t="s">
        <v>160</v>
      </c>
      <c r="BN4329" s="55">
        <v>3</v>
      </c>
      <c r="BO4329" s="55">
        <v>3</v>
      </c>
      <c r="BQ4329" s="55" t="s">
        <v>141</v>
      </c>
      <c r="BV4329" s="55" t="s">
        <v>4369</v>
      </c>
      <c r="CB4329" s="66">
        <v>12454</v>
      </c>
      <c r="CC4329" s="66">
        <v>11344</v>
      </c>
      <c r="CE4329" s="65">
        <f>12791-CB4329</f>
        <v>337</v>
      </c>
      <c r="CF4329" s="65">
        <f>12716-CC4329</f>
        <v>1372</v>
      </c>
      <c r="GP4329" s="292" t="s">
        <v>7494</v>
      </c>
    </row>
    <row r="4330" spans="1:241" x14ac:dyDescent="0.25">
      <c r="A4330" s="55">
        <v>4329</v>
      </c>
      <c r="B4330" s="12" t="s">
        <v>7067</v>
      </c>
      <c r="C4330" s="155">
        <v>191</v>
      </c>
      <c r="D4330" s="55" t="s">
        <v>4372</v>
      </c>
      <c r="E4330" s="90" t="s">
        <v>4366</v>
      </c>
      <c r="G4330" s="55" t="s">
        <v>4367</v>
      </c>
      <c r="H4330" s="55">
        <v>2015</v>
      </c>
      <c r="I4330" s="55">
        <v>2008</v>
      </c>
      <c r="J4330" s="55" t="s">
        <v>4368</v>
      </c>
      <c r="K4330" s="55" t="s">
        <v>3653</v>
      </c>
      <c r="L4330" s="55" t="s">
        <v>3377</v>
      </c>
      <c r="M4330" s="90">
        <f>40+11/60</f>
        <v>40.18333333333333</v>
      </c>
      <c r="N4330" s="90">
        <f>116+16/60</f>
        <v>116.26666666666667</v>
      </c>
      <c r="O4330" s="90">
        <v>69</v>
      </c>
      <c r="U4330" s="55" t="s">
        <v>1935</v>
      </c>
      <c r="V4330" s="55" t="s">
        <v>1688</v>
      </c>
      <c r="Y4330" s="55" t="s">
        <v>4376</v>
      </c>
      <c r="AI4330" s="168">
        <v>7.2</v>
      </c>
      <c r="AJ4330" s="90">
        <v>2.12</v>
      </c>
      <c r="AN4330" s="185" t="s">
        <v>132</v>
      </c>
      <c r="AO4330" s="185" t="s">
        <v>5150</v>
      </c>
      <c r="AQ4330" s="55" t="s">
        <v>1545</v>
      </c>
      <c r="AR4330" s="55" t="s">
        <v>240</v>
      </c>
      <c r="AS4330" s="55" t="s">
        <v>227</v>
      </c>
      <c r="AU4330" s="181" t="s">
        <v>7494</v>
      </c>
      <c r="AV4330" s="185" t="s">
        <v>176</v>
      </c>
      <c r="AX4330" s="185" t="s">
        <v>176</v>
      </c>
      <c r="BK4330" s="55" t="s">
        <v>5976</v>
      </c>
      <c r="BM4330" s="192" t="s">
        <v>160</v>
      </c>
      <c r="BN4330" s="55">
        <v>3</v>
      </c>
      <c r="BO4330" s="55">
        <v>3</v>
      </c>
      <c r="BQ4330" s="55" t="s">
        <v>141</v>
      </c>
      <c r="BV4330" s="55" t="s">
        <v>4370</v>
      </c>
      <c r="CB4330" s="66">
        <v>6636.2</v>
      </c>
      <c r="CC4330" s="66">
        <v>6040</v>
      </c>
      <c r="CE4330" s="65">
        <f>7578-CB4330</f>
        <v>941.80000000000018</v>
      </c>
      <c r="CF4330" s="65">
        <f>7326-CC4330</f>
        <v>1286</v>
      </c>
      <c r="GP4330" s="292" t="s">
        <v>7494</v>
      </c>
    </row>
    <row r="4331" spans="1:241" x14ac:dyDescent="0.25">
      <c r="A4331" s="55">
        <v>4330</v>
      </c>
      <c r="B4331" s="12" t="s">
        <v>7067</v>
      </c>
      <c r="C4331" s="155">
        <v>191</v>
      </c>
      <c r="D4331" s="55" t="s">
        <v>4371</v>
      </c>
      <c r="E4331" s="90" t="s">
        <v>4366</v>
      </c>
      <c r="G4331" s="55" t="s">
        <v>4367</v>
      </c>
      <c r="H4331" s="55">
        <v>2015</v>
      </c>
      <c r="I4331" s="55">
        <v>2009</v>
      </c>
      <c r="J4331" s="55" t="s">
        <v>4368</v>
      </c>
      <c r="K4331" s="55" t="s">
        <v>3653</v>
      </c>
      <c r="L4331" s="55" t="s">
        <v>3377</v>
      </c>
      <c r="M4331" s="90">
        <f>40+11/60</f>
        <v>40.18333333333333</v>
      </c>
      <c r="N4331" s="90">
        <f>116+16/60</f>
        <v>116.26666666666667</v>
      </c>
      <c r="O4331" s="90">
        <v>69</v>
      </c>
      <c r="U4331" s="55" t="s">
        <v>1805</v>
      </c>
      <c r="V4331" s="55" t="s">
        <v>1688</v>
      </c>
      <c r="Y4331" s="55" t="s">
        <v>4376</v>
      </c>
      <c r="AI4331" s="168">
        <v>7.2</v>
      </c>
      <c r="AJ4331" s="90">
        <v>2.12</v>
      </c>
      <c r="AN4331" s="185" t="s">
        <v>132</v>
      </c>
      <c r="AO4331" s="185" t="s">
        <v>5150</v>
      </c>
      <c r="AQ4331" s="55" t="s">
        <v>1545</v>
      </c>
      <c r="AR4331" s="55" t="s">
        <v>240</v>
      </c>
      <c r="AS4331" s="55" t="s">
        <v>227</v>
      </c>
      <c r="AU4331" s="181" t="s">
        <v>7494</v>
      </c>
      <c r="AV4331" s="185" t="s">
        <v>176</v>
      </c>
      <c r="AX4331" s="185" t="s">
        <v>176</v>
      </c>
      <c r="BK4331" s="55" t="s">
        <v>5976</v>
      </c>
      <c r="BM4331" s="192" t="s">
        <v>160</v>
      </c>
      <c r="BN4331" s="55">
        <v>3</v>
      </c>
      <c r="BO4331" s="55">
        <v>3</v>
      </c>
      <c r="BQ4331" s="55" t="s">
        <v>141</v>
      </c>
      <c r="BV4331" s="55" t="s">
        <v>4369</v>
      </c>
      <c r="CB4331" s="66">
        <v>11374</v>
      </c>
      <c r="CC4331" s="66">
        <v>11551</v>
      </c>
      <c r="CE4331" s="65">
        <f>12574-CB4331</f>
        <v>1200</v>
      </c>
      <c r="CF4331" s="65">
        <f>12836-CC4331</f>
        <v>1285</v>
      </c>
      <c r="GP4331" s="292" t="s">
        <v>7494</v>
      </c>
    </row>
    <row r="4332" spans="1:241" x14ac:dyDescent="0.25">
      <c r="A4332" s="55">
        <v>4331</v>
      </c>
      <c r="B4332" s="12" t="s">
        <v>7067</v>
      </c>
      <c r="C4332" s="155">
        <v>191</v>
      </c>
      <c r="D4332" s="55" t="s">
        <v>4372</v>
      </c>
      <c r="E4332" s="90" t="s">
        <v>4366</v>
      </c>
      <c r="G4332" s="55" t="s">
        <v>4367</v>
      </c>
      <c r="H4332" s="55">
        <v>2015</v>
      </c>
      <c r="I4332" s="55">
        <v>2009</v>
      </c>
      <c r="J4332" s="55" t="s">
        <v>4368</v>
      </c>
      <c r="K4332" s="55" t="s">
        <v>3653</v>
      </c>
      <c r="L4332" s="55" t="s">
        <v>3377</v>
      </c>
      <c r="M4332" s="90">
        <f>40+11/60</f>
        <v>40.18333333333333</v>
      </c>
      <c r="N4332" s="90">
        <f>116+16/60</f>
        <v>116.26666666666667</v>
      </c>
      <c r="O4332" s="90">
        <v>69</v>
      </c>
      <c r="U4332" s="55" t="s">
        <v>1805</v>
      </c>
      <c r="V4332" s="55" t="s">
        <v>1688</v>
      </c>
      <c r="Y4332" s="55" t="s">
        <v>4376</v>
      </c>
      <c r="AI4332" s="168">
        <v>7.2</v>
      </c>
      <c r="AJ4332" s="90">
        <v>2.12</v>
      </c>
      <c r="AN4332" s="185" t="s">
        <v>132</v>
      </c>
      <c r="AO4332" s="185" t="s">
        <v>5150</v>
      </c>
      <c r="AQ4332" s="55" t="s">
        <v>1545</v>
      </c>
      <c r="AR4332" s="55" t="s">
        <v>240</v>
      </c>
      <c r="AS4332" s="55" t="s">
        <v>227</v>
      </c>
      <c r="AU4332" s="181" t="s">
        <v>7494</v>
      </c>
      <c r="AV4332" s="185" t="s">
        <v>176</v>
      </c>
      <c r="AX4332" s="185" t="s">
        <v>176</v>
      </c>
      <c r="BK4332" s="55" t="s">
        <v>5976</v>
      </c>
      <c r="BM4332" s="192" t="s">
        <v>160</v>
      </c>
      <c r="BN4332" s="55">
        <v>3</v>
      </c>
      <c r="BO4332" s="55">
        <v>3</v>
      </c>
      <c r="BQ4332" s="55" t="s">
        <v>141</v>
      </c>
      <c r="BV4332" s="55" t="s">
        <v>4370</v>
      </c>
      <c r="CB4332" s="66">
        <v>3665.7</v>
      </c>
      <c r="CC4332" s="66">
        <v>6074</v>
      </c>
      <c r="CE4332" s="65">
        <f>5295-CB4332</f>
        <v>1629.3000000000002</v>
      </c>
      <c r="CF4332" s="65">
        <f>6500-CC4332</f>
        <v>426</v>
      </c>
      <c r="GP4332" s="292" t="s">
        <v>7494</v>
      </c>
    </row>
    <row r="4333" spans="1:241" x14ac:dyDescent="0.25">
      <c r="A4333" s="55">
        <v>4332</v>
      </c>
      <c r="B4333" s="12" t="s">
        <v>7067</v>
      </c>
      <c r="C4333" s="155">
        <v>191</v>
      </c>
      <c r="D4333" s="55" t="s">
        <v>4371</v>
      </c>
      <c r="E4333" s="90" t="s">
        <v>4366</v>
      </c>
      <c r="G4333" s="55" t="s">
        <v>4367</v>
      </c>
      <c r="H4333" s="55">
        <v>2015</v>
      </c>
      <c r="I4333" s="55">
        <v>2008</v>
      </c>
      <c r="J4333" s="55" t="s">
        <v>4368</v>
      </c>
      <c r="K4333" s="55" t="s">
        <v>3653</v>
      </c>
      <c r="L4333" s="55" t="s">
        <v>3377</v>
      </c>
      <c r="M4333" s="90">
        <f>40+11/60</f>
        <v>40.18333333333333</v>
      </c>
      <c r="N4333" s="90">
        <f>116+16/60</f>
        <v>116.26666666666667</v>
      </c>
      <c r="O4333" s="90">
        <v>69</v>
      </c>
      <c r="U4333" s="55" t="s">
        <v>1935</v>
      </c>
      <c r="V4333" s="55" t="s">
        <v>1688</v>
      </c>
      <c r="Y4333" s="55" t="s">
        <v>4376</v>
      </c>
      <c r="Z4333" s="55" t="s">
        <v>1356</v>
      </c>
      <c r="AA4333" s="90" t="s">
        <v>1680</v>
      </c>
      <c r="AE4333" s="90">
        <v>76</v>
      </c>
      <c r="AF4333" s="90">
        <v>23</v>
      </c>
      <c r="AH4333" s="55" t="s">
        <v>174</v>
      </c>
      <c r="AI4333" s="168">
        <v>7.2</v>
      </c>
      <c r="AJ4333" s="90">
        <v>2.12</v>
      </c>
      <c r="AM4333" s="55" t="s">
        <v>4386</v>
      </c>
      <c r="AN4333" s="185" t="s">
        <v>132</v>
      </c>
      <c r="AO4333" s="185" t="s">
        <v>5150</v>
      </c>
      <c r="AQ4333" s="55" t="s">
        <v>1545</v>
      </c>
      <c r="AR4333" s="55" t="s">
        <v>240</v>
      </c>
      <c r="AS4333" s="55" t="s">
        <v>227</v>
      </c>
      <c r="AU4333" s="181" t="s">
        <v>7494</v>
      </c>
      <c r="AV4333" s="185" t="s">
        <v>176</v>
      </c>
      <c r="AX4333" s="185" t="s">
        <v>176</v>
      </c>
      <c r="BK4333" s="55" t="s">
        <v>5976</v>
      </c>
      <c r="BM4333" s="192" t="s">
        <v>160</v>
      </c>
      <c r="BN4333" s="55">
        <v>3</v>
      </c>
      <c r="BO4333" s="55">
        <v>3</v>
      </c>
      <c r="BQ4333" s="55" t="s">
        <v>141</v>
      </c>
      <c r="BV4333" s="55" t="s">
        <v>4373</v>
      </c>
      <c r="GP4333" s="292" t="s">
        <v>7494</v>
      </c>
      <c r="IC4333" s="65">
        <v>128.5</v>
      </c>
      <c r="ID4333" s="65">
        <v>111.07</v>
      </c>
      <c r="IE4333" s="65">
        <v>24</v>
      </c>
      <c r="IF4333" s="65">
        <f>153.47-ID4333</f>
        <v>42.400000000000006</v>
      </c>
      <c r="IG4333" s="65" t="s">
        <v>545</v>
      </c>
    </row>
    <row r="4334" spans="1:241" x14ac:dyDescent="0.25">
      <c r="A4334" s="55">
        <v>4333</v>
      </c>
      <c r="B4334" s="12" t="s">
        <v>7067</v>
      </c>
      <c r="C4334" s="155">
        <v>191</v>
      </c>
      <c r="D4334" s="55" t="s">
        <v>4372</v>
      </c>
      <c r="E4334" s="90" t="s">
        <v>4366</v>
      </c>
      <c r="G4334" s="55" t="s">
        <v>4367</v>
      </c>
      <c r="H4334" s="55">
        <v>2015</v>
      </c>
      <c r="I4334" s="55">
        <v>2008</v>
      </c>
      <c r="J4334" s="55" t="s">
        <v>4368</v>
      </c>
      <c r="K4334" s="55" t="s">
        <v>3653</v>
      </c>
      <c r="L4334" s="55" t="s">
        <v>3377</v>
      </c>
      <c r="M4334" s="90">
        <f>40+11/60</f>
        <v>40.18333333333333</v>
      </c>
      <c r="N4334" s="90">
        <f>116+16/60</f>
        <v>116.26666666666667</v>
      </c>
      <c r="O4334" s="90">
        <v>69</v>
      </c>
      <c r="U4334" s="55" t="s">
        <v>1935</v>
      </c>
      <c r="V4334" s="55" t="s">
        <v>1688</v>
      </c>
      <c r="Y4334" s="55" t="s">
        <v>4376</v>
      </c>
      <c r="Z4334" s="55" t="s">
        <v>1369</v>
      </c>
      <c r="AA4334" s="90" t="s">
        <v>1680</v>
      </c>
      <c r="AE4334" s="90">
        <v>76</v>
      </c>
      <c r="AF4334" s="90">
        <v>23</v>
      </c>
      <c r="AH4334" s="55" t="s">
        <v>174</v>
      </c>
      <c r="AI4334" s="168">
        <v>7.2</v>
      </c>
      <c r="AJ4334" s="90">
        <v>2.12</v>
      </c>
      <c r="AM4334" s="55" t="s">
        <v>4386</v>
      </c>
      <c r="AN4334" s="185" t="s">
        <v>132</v>
      </c>
      <c r="AO4334" s="185" t="s">
        <v>5150</v>
      </c>
      <c r="AQ4334" s="55" t="s">
        <v>1545</v>
      </c>
      <c r="AR4334" s="55" t="s">
        <v>240</v>
      </c>
      <c r="AS4334" s="55" t="s">
        <v>227</v>
      </c>
      <c r="AU4334" s="181" t="s">
        <v>7494</v>
      </c>
      <c r="AV4334" s="185" t="s">
        <v>176</v>
      </c>
      <c r="AX4334" s="185" t="s">
        <v>176</v>
      </c>
      <c r="BK4334" s="55" t="s">
        <v>5976</v>
      </c>
      <c r="BM4334" s="192" t="s">
        <v>160</v>
      </c>
      <c r="BN4334" s="55">
        <v>3</v>
      </c>
      <c r="BO4334" s="55">
        <v>3</v>
      </c>
      <c r="BQ4334" s="55" t="s">
        <v>141</v>
      </c>
      <c r="BV4334" s="55" t="s">
        <v>4373</v>
      </c>
      <c r="GP4334" s="292" t="s">
        <v>7494</v>
      </c>
      <c r="IC4334" s="65">
        <v>15.29</v>
      </c>
      <c r="ID4334" s="65">
        <v>39</v>
      </c>
      <c r="IE4334" s="65">
        <v>24</v>
      </c>
      <c r="IF4334" s="65">
        <f>67.65-ID4334</f>
        <v>28.650000000000006</v>
      </c>
      <c r="IG4334" s="65" t="s">
        <v>545</v>
      </c>
    </row>
    <row r="4335" spans="1:241" x14ac:dyDescent="0.25">
      <c r="A4335" s="55">
        <v>4334</v>
      </c>
      <c r="B4335" s="12" t="s">
        <v>7067</v>
      </c>
      <c r="C4335" s="155">
        <v>191</v>
      </c>
      <c r="D4335" s="55" t="s">
        <v>4377</v>
      </c>
      <c r="E4335" s="90" t="s">
        <v>4366</v>
      </c>
      <c r="G4335" s="55" t="s">
        <v>4367</v>
      </c>
      <c r="H4335" s="55">
        <v>2015</v>
      </c>
      <c r="I4335" s="55">
        <v>2008</v>
      </c>
      <c r="J4335" s="55" t="s">
        <v>4368</v>
      </c>
      <c r="K4335" s="55" t="s">
        <v>3653</v>
      </c>
      <c r="L4335" s="55" t="s">
        <v>3377</v>
      </c>
      <c r="M4335" s="90">
        <f>40+11/60</f>
        <v>40.18333333333333</v>
      </c>
      <c r="N4335" s="90">
        <f>116+16/60</f>
        <v>116.26666666666667</v>
      </c>
      <c r="O4335" s="90">
        <v>69</v>
      </c>
      <c r="U4335" s="55" t="s">
        <v>1935</v>
      </c>
      <c r="V4335" s="55" t="s">
        <v>1688</v>
      </c>
      <c r="Y4335" s="55" t="s">
        <v>4376</v>
      </c>
      <c r="Z4335" s="55" t="s">
        <v>1370</v>
      </c>
      <c r="AA4335" s="90" t="s">
        <v>1680</v>
      </c>
      <c r="AE4335" s="90">
        <v>76</v>
      </c>
      <c r="AF4335" s="90">
        <v>23</v>
      </c>
      <c r="AH4335" s="55" t="s">
        <v>174</v>
      </c>
      <c r="AI4335" s="168">
        <v>7.2</v>
      </c>
      <c r="AJ4335" s="90">
        <v>2.12</v>
      </c>
      <c r="AM4335" s="55" t="s">
        <v>4386</v>
      </c>
      <c r="AN4335" s="185" t="s">
        <v>132</v>
      </c>
      <c r="AO4335" s="185" t="s">
        <v>5150</v>
      </c>
      <c r="AQ4335" s="55" t="s">
        <v>1545</v>
      </c>
      <c r="AR4335" s="55" t="s">
        <v>240</v>
      </c>
      <c r="AS4335" s="55" t="s">
        <v>227</v>
      </c>
      <c r="AU4335" s="181" t="s">
        <v>7494</v>
      </c>
      <c r="AV4335" s="185" t="s">
        <v>176</v>
      </c>
      <c r="AX4335" s="185" t="s">
        <v>176</v>
      </c>
      <c r="BK4335" s="55" t="s">
        <v>5976</v>
      </c>
      <c r="BM4335" s="192" t="s">
        <v>160</v>
      </c>
      <c r="BN4335" s="55">
        <v>3</v>
      </c>
      <c r="BO4335" s="55">
        <v>3</v>
      </c>
      <c r="BQ4335" s="55" t="s">
        <v>141</v>
      </c>
      <c r="BV4335" s="55" t="s">
        <v>4373</v>
      </c>
      <c r="GP4335" s="292" t="s">
        <v>7494</v>
      </c>
      <c r="IC4335" s="65">
        <v>46.66</v>
      </c>
      <c r="ID4335" s="65">
        <v>91.5</v>
      </c>
      <c r="IE4335" s="65">
        <v>24</v>
      </c>
      <c r="IF4335" s="65">
        <f>121.47-ID4335</f>
        <v>29.97</v>
      </c>
      <c r="IG4335" s="65" t="s">
        <v>545</v>
      </c>
    </row>
    <row r="4336" spans="1:241" x14ac:dyDescent="0.25">
      <c r="A4336" s="55">
        <v>4335</v>
      </c>
      <c r="B4336" s="12" t="s">
        <v>7067</v>
      </c>
      <c r="C4336" s="155">
        <v>191</v>
      </c>
      <c r="D4336" s="55" t="s">
        <v>4378</v>
      </c>
      <c r="E4336" s="90" t="s">
        <v>4366</v>
      </c>
      <c r="G4336" s="55" t="s">
        <v>4367</v>
      </c>
      <c r="H4336" s="55">
        <v>2015</v>
      </c>
      <c r="I4336" s="55">
        <v>2008</v>
      </c>
      <c r="J4336" s="55" t="s">
        <v>4368</v>
      </c>
      <c r="K4336" s="55" t="s">
        <v>3653</v>
      </c>
      <c r="L4336" s="55" t="s">
        <v>3377</v>
      </c>
      <c r="M4336" s="90">
        <f>40+11/60</f>
        <v>40.18333333333333</v>
      </c>
      <c r="N4336" s="90">
        <f>116+16/60</f>
        <v>116.26666666666667</v>
      </c>
      <c r="O4336" s="90">
        <v>69</v>
      </c>
      <c r="U4336" s="55" t="s">
        <v>1935</v>
      </c>
      <c r="V4336" s="55" t="s">
        <v>1688</v>
      </c>
      <c r="Y4336" s="55" t="s">
        <v>4376</v>
      </c>
      <c r="Z4336" s="55" t="s">
        <v>1382</v>
      </c>
      <c r="AA4336" s="90" t="s">
        <v>1680</v>
      </c>
      <c r="AE4336" s="90">
        <v>76</v>
      </c>
      <c r="AF4336" s="90">
        <v>23</v>
      </c>
      <c r="AH4336" s="55" t="s">
        <v>174</v>
      </c>
      <c r="AI4336" s="168">
        <v>7.2</v>
      </c>
      <c r="AJ4336" s="90">
        <v>2.12</v>
      </c>
      <c r="AM4336" s="55" t="s">
        <v>4386</v>
      </c>
      <c r="AN4336" s="185" t="s">
        <v>132</v>
      </c>
      <c r="AO4336" s="185" t="s">
        <v>5150</v>
      </c>
      <c r="AQ4336" s="55" t="s">
        <v>1545</v>
      </c>
      <c r="AR4336" s="55" t="s">
        <v>240</v>
      </c>
      <c r="AS4336" s="55" t="s">
        <v>227</v>
      </c>
      <c r="AU4336" s="181" t="s">
        <v>7494</v>
      </c>
      <c r="AV4336" s="185" t="s">
        <v>176</v>
      </c>
      <c r="AX4336" s="185" t="s">
        <v>176</v>
      </c>
      <c r="BK4336" s="55" t="s">
        <v>5976</v>
      </c>
      <c r="BM4336" s="192" t="s">
        <v>160</v>
      </c>
      <c r="BN4336" s="55">
        <v>3</v>
      </c>
      <c r="BO4336" s="55">
        <v>3</v>
      </c>
      <c r="BQ4336" s="55" t="s">
        <v>141</v>
      </c>
      <c r="BV4336" s="55" t="s">
        <v>4373</v>
      </c>
      <c r="GP4336" s="292" t="s">
        <v>7494</v>
      </c>
      <c r="IC4336" s="65">
        <v>78</v>
      </c>
      <c r="ID4336" s="65">
        <v>111.69</v>
      </c>
      <c r="IE4336" s="65">
        <v>24</v>
      </c>
      <c r="IF4336" s="65">
        <f>123-ID4336</f>
        <v>11.310000000000002</v>
      </c>
      <c r="IG4336" s="65" t="s">
        <v>545</v>
      </c>
    </row>
    <row r="4337" spans="1:241" x14ac:dyDescent="0.25">
      <c r="A4337" s="55">
        <v>4336</v>
      </c>
      <c r="B4337" s="12" t="s">
        <v>7067</v>
      </c>
      <c r="C4337" s="155">
        <v>191</v>
      </c>
      <c r="D4337" s="55" t="s">
        <v>4379</v>
      </c>
      <c r="E4337" s="90" t="s">
        <v>4366</v>
      </c>
      <c r="G4337" s="55" t="s">
        <v>4367</v>
      </c>
      <c r="H4337" s="55">
        <v>2015</v>
      </c>
      <c r="I4337" s="55">
        <v>2008</v>
      </c>
      <c r="J4337" s="55" t="s">
        <v>4368</v>
      </c>
      <c r="K4337" s="55" t="s">
        <v>3653</v>
      </c>
      <c r="L4337" s="55" t="s">
        <v>3377</v>
      </c>
      <c r="M4337" s="90">
        <f>40+11/60</f>
        <v>40.18333333333333</v>
      </c>
      <c r="N4337" s="90">
        <f>116+16/60</f>
        <v>116.26666666666667</v>
      </c>
      <c r="O4337" s="90">
        <v>69</v>
      </c>
      <c r="U4337" s="55" t="s">
        <v>1935</v>
      </c>
      <c r="V4337" s="55" t="s">
        <v>1688</v>
      </c>
      <c r="Y4337" s="55" t="s">
        <v>4376</v>
      </c>
      <c r="Z4337" s="55" t="s">
        <v>4374</v>
      </c>
      <c r="AA4337" s="90" t="s">
        <v>1680</v>
      </c>
      <c r="AE4337" s="90">
        <v>76</v>
      </c>
      <c r="AF4337" s="90">
        <v>23</v>
      </c>
      <c r="AH4337" s="55" t="s">
        <v>174</v>
      </c>
      <c r="AI4337" s="168">
        <v>7.2</v>
      </c>
      <c r="AJ4337" s="90">
        <v>2.12</v>
      </c>
      <c r="AM4337" s="55" t="s">
        <v>4386</v>
      </c>
      <c r="AN4337" s="185" t="s">
        <v>132</v>
      </c>
      <c r="AO4337" s="185" t="s">
        <v>5150</v>
      </c>
      <c r="AQ4337" s="55" t="s">
        <v>1545</v>
      </c>
      <c r="AR4337" s="55" t="s">
        <v>240</v>
      </c>
      <c r="AS4337" s="55" t="s">
        <v>227</v>
      </c>
      <c r="AU4337" s="181" t="s">
        <v>7494</v>
      </c>
      <c r="AV4337" s="185" t="s">
        <v>176</v>
      </c>
      <c r="AX4337" s="185" t="s">
        <v>176</v>
      </c>
      <c r="BK4337" s="55" t="s">
        <v>5976</v>
      </c>
      <c r="BM4337" s="192" t="s">
        <v>160</v>
      </c>
      <c r="BN4337" s="55">
        <v>3</v>
      </c>
      <c r="BO4337" s="55">
        <v>3</v>
      </c>
      <c r="BQ4337" s="55" t="s">
        <v>141</v>
      </c>
      <c r="BV4337" s="55" t="s">
        <v>4373</v>
      </c>
      <c r="GP4337" s="292" t="s">
        <v>7494</v>
      </c>
      <c r="IC4337" s="65">
        <v>30.86</v>
      </c>
      <c r="ID4337" s="65">
        <v>45.82</v>
      </c>
      <c r="IE4337" s="65">
        <v>24</v>
      </c>
      <c r="IF4337" s="65">
        <f>68-ID4337</f>
        <v>22.18</v>
      </c>
      <c r="IG4337" s="65" t="s">
        <v>545</v>
      </c>
    </row>
    <row r="4338" spans="1:241" x14ac:dyDescent="0.25">
      <c r="A4338" s="55">
        <v>4337</v>
      </c>
      <c r="B4338" s="12" t="s">
        <v>7067</v>
      </c>
      <c r="C4338" s="155">
        <v>191</v>
      </c>
      <c r="D4338" s="55" t="s">
        <v>4380</v>
      </c>
      <c r="E4338" s="90" t="s">
        <v>4366</v>
      </c>
      <c r="G4338" s="55" t="s">
        <v>4367</v>
      </c>
      <c r="H4338" s="55">
        <v>2015</v>
      </c>
      <c r="I4338" s="55">
        <v>2008</v>
      </c>
      <c r="J4338" s="55" t="s">
        <v>4368</v>
      </c>
      <c r="K4338" s="55" t="s">
        <v>3653</v>
      </c>
      <c r="L4338" s="55" t="s">
        <v>3377</v>
      </c>
      <c r="M4338" s="90">
        <f>40+11/60</f>
        <v>40.18333333333333</v>
      </c>
      <c r="N4338" s="90">
        <f>116+16/60</f>
        <v>116.26666666666667</v>
      </c>
      <c r="O4338" s="90">
        <v>69</v>
      </c>
      <c r="U4338" s="55" t="s">
        <v>1935</v>
      </c>
      <c r="V4338" s="55" t="s">
        <v>1688</v>
      </c>
      <c r="Y4338" s="55" t="s">
        <v>4376</v>
      </c>
      <c r="Z4338" s="55" t="s">
        <v>4375</v>
      </c>
      <c r="AA4338" s="90" t="s">
        <v>1680</v>
      </c>
      <c r="AE4338" s="90">
        <v>76</v>
      </c>
      <c r="AF4338" s="90">
        <v>23</v>
      </c>
      <c r="AH4338" s="55" t="s">
        <v>174</v>
      </c>
      <c r="AI4338" s="168">
        <v>7.2</v>
      </c>
      <c r="AJ4338" s="90">
        <v>2.12</v>
      </c>
      <c r="AM4338" s="55" t="s">
        <v>4386</v>
      </c>
      <c r="AN4338" s="185" t="s">
        <v>132</v>
      </c>
      <c r="AO4338" s="185" t="s">
        <v>5150</v>
      </c>
      <c r="AQ4338" s="55" t="s">
        <v>1545</v>
      </c>
      <c r="AR4338" s="55" t="s">
        <v>240</v>
      </c>
      <c r="AS4338" s="55" t="s">
        <v>227</v>
      </c>
      <c r="AU4338" s="181" t="s">
        <v>7494</v>
      </c>
      <c r="AV4338" s="185" t="s">
        <v>176</v>
      </c>
      <c r="AX4338" s="185" t="s">
        <v>176</v>
      </c>
      <c r="BK4338" s="55" t="s">
        <v>5976</v>
      </c>
      <c r="BM4338" s="192" t="s">
        <v>160</v>
      </c>
      <c r="BN4338" s="55">
        <v>3</v>
      </c>
      <c r="BO4338" s="55">
        <v>3</v>
      </c>
      <c r="BQ4338" s="55" t="s">
        <v>141</v>
      </c>
      <c r="BV4338" s="55" t="s">
        <v>4373</v>
      </c>
      <c r="GP4338" s="292" t="s">
        <v>7494</v>
      </c>
      <c r="IC4338" s="65">
        <v>27.32</v>
      </c>
      <c r="ID4338" s="65">
        <v>55.99</v>
      </c>
      <c r="IE4338" s="65">
        <v>24</v>
      </c>
      <c r="IF4338" s="65">
        <f>64.7-ID4338</f>
        <v>8.7100000000000009</v>
      </c>
      <c r="IG4338" s="65" t="s">
        <v>545</v>
      </c>
    </row>
    <row r="4339" spans="1:241" x14ac:dyDescent="0.25">
      <c r="A4339" s="55">
        <v>4338</v>
      </c>
      <c r="B4339" s="12" t="s">
        <v>7067</v>
      </c>
      <c r="C4339" s="155">
        <v>191</v>
      </c>
      <c r="D4339" s="55" t="s">
        <v>4371</v>
      </c>
      <c r="E4339" s="90" t="s">
        <v>4366</v>
      </c>
      <c r="G4339" s="55" t="s">
        <v>4367</v>
      </c>
      <c r="H4339" s="55">
        <v>2015</v>
      </c>
      <c r="I4339" s="55">
        <v>2008</v>
      </c>
      <c r="J4339" s="55" t="s">
        <v>4368</v>
      </c>
      <c r="K4339" s="55" t="s">
        <v>3653</v>
      </c>
      <c r="L4339" s="55" t="s">
        <v>3377</v>
      </c>
      <c r="M4339" s="90">
        <f>40+11/60</f>
        <v>40.18333333333333</v>
      </c>
      <c r="N4339" s="90">
        <f>116+16/60</f>
        <v>116.26666666666667</v>
      </c>
      <c r="O4339" s="90">
        <v>69</v>
      </c>
      <c r="U4339" s="55" t="s">
        <v>1935</v>
      </c>
      <c r="V4339" s="55" t="s">
        <v>1688</v>
      </c>
      <c r="Y4339" s="55" t="s">
        <v>4376</v>
      </c>
      <c r="Z4339" s="55" t="s">
        <v>1356</v>
      </c>
      <c r="AA4339" s="90" t="s">
        <v>1680</v>
      </c>
      <c r="AE4339" s="90">
        <v>76</v>
      </c>
      <c r="AF4339" s="90">
        <v>23</v>
      </c>
      <c r="AH4339" s="55" t="s">
        <v>174</v>
      </c>
      <c r="AI4339" s="168">
        <v>7.2</v>
      </c>
      <c r="AJ4339" s="90">
        <v>2.12</v>
      </c>
      <c r="AM4339" s="55" t="s">
        <v>4386</v>
      </c>
      <c r="AN4339" s="185" t="s">
        <v>132</v>
      </c>
      <c r="AO4339" s="185" t="s">
        <v>5150</v>
      </c>
      <c r="AQ4339" s="55" t="s">
        <v>1545</v>
      </c>
      <c r="AR4339" s="55" t="s">
        <v>240</v>
      </c>
      <c r="AS4339" s="55" t="s">
        <v>227</v>
      </c>
      <c r="AU4339" s="181" t="s">
        <v>7494</v>
      </c>
      <c r="AV4339" s="185" t="s">
        <v>176</v>
      </c>
      <c r="AX4339" s="185" t="s">
        <v>176</v>
      </c>
      <c r="BK4339" s="55" t="s">
        <v>5976</v>
      </c>
      <c r="BM4339" s="192" t="s">
        <v>160</v>
      </c>
      <c r="BN4339" s="55">
        <v>3</v>
      </c>
      <c r="BO4339" s="55">
        <v>3</v>
      </c>
      <c r="BQ4339" s="55" t="s">
        <v>141</v>
      </c>
      <c r="BV4339" s="55" t="s">
        <v>4381</v>
      </c>
      <c r="GP4339" s="292" t="s">
        <v>7494</v>
      </c>
      <c r="IC4339" s="65">
        <v>198.5</v>
      </c>
      <c r="ID4339" s="65">
        <v>58.31</v>
      </c>
      <c r="IE4339" s="65">
        <f>215.88-IC4339</f>
        <v>17.379999999999995</v>
      </c>
      <c r="IF4339" s="65">
        <f>93-ID4339</f>
        <v>34.69</v>
      </c>
      <c r="IG4339" s="65" t="s">
        <v>545</v>
      </c>
    </row>
    <row r="4340" spans="1:241" x14ac:dyDescent="0.25">
      <c r="A4340" s="55">
        <v>4339</v>
      </c>
      <c r="B4340" s="12" t="s">
        <v>7067</v>
      </c>
      <c r="C4340" s="155">
        <v>191</v>
      </c>
      <c r="D4340" s="55" t="s">
        <v>4372</v>
      </c>
      <c r="E4340" s="90" t="s">
        <v>4366</v>
      </c>
      <c r="G4340" s="55" t="s">
        <v>4367</v>
      </c>
      <c r="H4340" s="55">
        <v>2015</v>
      </c>
      <c r="I4340" s="55">
        <v>2008</v>
      </c>
      <c r="J4340" s="55" t="s">
        <v>4368</v>
      </c>
      <c r="K4340" s="55" t="s">
        <v>3653</v>
      </c>
      <c r="L4340" s="55" t="s">
        <v>3377</v>
      </c>
      <c r="M4340" s="90">
        <f>40+11/60</f>
        <v>40.18333333333333</v>
      </c>
      <c r="N4340" s="90">
        <f>116+16/60</f>
        <v>116.26666666666667</v>
      </c>
      <c r="O4340" s="90">
        <v>69</v>
      </c>
      <c r="U4340" s="55" t="s">
        <v>1935</v>
      </c>
      <c r="V4340" s="55" t="s">
        <v>1688</v>
      </c>
      <c r="Y4340" s="55" t="s">
        <v>4376</v>
      </c>
      <c r="Z4340" s="55" t="s">
        <v>1369</v>
      </c>
      <c r="AA4340" s="90" t="s">
        <v>1680</v>
      </c>
      <c r="AE4340" s="90">
        <v>76</v>
      </c>
      <c r="AF4340" s="90">
        <v>23</v>
      </c>
      <c r="AH4340" s="55" t="s">
        <v>174</v>
      </c>
      <c r="AI4340" s="168">
        <v>7.2</v>
      </c>
      <c r="AJ4340" s="90">
        <v>2.12</v>
      </c>
      <c r="AM4340" s="55" t="s">
        <v>4386</v>
      </c>
      <c r="AN4340" s="185" t="s">
        <v>132</v>
      </c>
      <c r="AO4340" s="185" t="s">
        <v>5150</v>
      </c>
      <c r="AQ4340" s="55" t="s">
        <v>1545</v>
      </c>
      <c r="AR4340" s="55" t="s">
        <v>240</v>
      </c>
      <c r="AS4340" s="55" t="s">
        <v>227</v>
      </c>
      <c r="AU4340" s="181" t="s">
        <v>7494</v>
      </c>
      <c r="AV4340" s="185" t="s">
        <v>176</v>
      </c>
      <c r="AX4340" s="185" t="s">
        <v>176</v>
      </c>
      <c r="BK4340" s="55" t="s">
        <v>5976</v>
      </c>
      <c r="BM4340" s="192" t="s">
        <v>160</v>
      </c>
      <c r="BN4340" s="55">
        <v>3</v>
      </c>
      <c r="BO4340" s="55">
        <v>3</v>
      </c>
      <c r="BQ4340" s="55" t="s">
        <v>141</v>
      </c>
      <c r="BV4340" s="55" t="s">
        <v>4381</v>
      </c>
      <c r="GP4340" s="292" t="s">
        <v>7494</v>
      </c>
      <c r="IC4340" s="65">
        <v>52.11</v>
      </c>
      <c r="ID4340" s="65">
        <v>24.81</v>
      </c>
      <c r="IE4340" s="65">
        <f>65-IC4340</f>
        <v>12.89</v>
      </c>
      <c r="IF4340" s="65">
        <f>43-ID4340</f>
        <v>18.190000000000001</v>
      </c>
      <c r="IG4340" s="65" t="s">
        <v>545</v>
      </c>
    </row>
    <row r="4341" spans="1:241" x14ac:dyDescent="0.25">
      <c r="A4341" s="55">
        <v>4340</v>
      </c>
      <c r="B4341" s="12" t="s">
        <v>7067</v>
      </c>
      <c r="C4341" s="155">
        <v>191</v>
      </c>
      <c r="D4341" s="55" t="s">
        <v>4377</v>
      </c>
      <c r="E4341" s="90" t="s">
        <v>4366</v>
      </c>
      <c r="G4341" s="55" t="s">
        <v>4367</v>
      </c>
      <c r="H4341" s="55">
        <v>2015</v>
      </c>
      <c r="I4341" s="55">
        <v>2008</v>
      </c>
      <c r="J4341" s="55" t="s">
        <v>4368</v>
      </c>
      <c r="K4341" s="55" t="s">
        <v>3653</v>
      </c>
      <c r="L4341" s="55" t="s">
        <v>3377</v>
      </c>
      <c r="M4341" s="90">
        <f>40+11/60</f>
        <v>40.18333333333333</v>
      </c>
      <c r="N4341" s="90">
        <f>116+16/60</f>
        <v>116.26666666666667</v>
      </c>
      <c r="O4341" s="90">
        <v>69</v>
      </c>
      <c r="U4341" s="55" t="s">
        <v>1935</v>
      </c>
      <c r="V4341" s="55" t="s">
        <v>1688</v>
      </c>
      <c r="Y4341" s="55" t="s">
        <v>4376</v>
      </c>
      <c r="Z4341" s="55" t="s">
        <v>1370</v>
      </c>
      <c r="AA4341" s="90" t="s">
        <v>1680</v>
      </c>
      <c r="AE4341" s="90">
        <v>76</v>
      </c>
      <c r="AF4341" s="90">
        <v>23</v>
      </c>
      <c r="AH4341" s="55" t="s">
        <v>174</v>
      </c>
      <c r="AI4341" s="168">
        <v>7.2</v>
      </c>
      <c r="AJ4341" s="90">
        <v>2.12</v>
      </c>
      <c r="AM4341" s="55" t="s">
        <v>4386</v>
      </c>
      <c r="AN4341" s="185" t="s">
        <v>132</v>
      </c>
      <c r="AO4341" s="185" t="s">
        <v>5150</v>
      </c>
      <c r="AQ4341" s="55" t="s">
        <v>1545</v>
      </c>
      <c r="AR4341" s="55" t="s">
        <v>240</v>
      </c>
      <c r="AS4341" s="55" t="s">
        <v>227</v>
      </c>
      <c r="AU4341" s="181" t="s">
        <v>7494</v>
      </c>
      <c r="AV4341" s="185" t="s">
        <v>176</v>
      </c>
      <c r="AX4341" s="185" t="s">
        <v>176</v>
      </c>
      <c r="BK4341" s="55" t="s">
        <v>5976</v>
      </c>
      <c r="BM4341" s="192" t="s">
        <v>160</v>
      </c>
      <c r="BN4341" s="55">
        <v>3</v>
      </c>
      <c r="BO4341" s="55">
        <v>3</v>
      </c>
      <c r="BQ4341" s="55" t="s">
        <v>141</v>
      </c>
      <c r="BV4341" s="55" t="s">
        <v>4381</v>
      </c>
      <c r="GP4341" s="292" t="s">
        <v>7494</v>
      </c>
      <c r="IC4341" s="65">
        <v>65.75</v>
      </c>
      <c r="ID4341" s="65">
        <v>40.9</v>
      </c>
      <c r="IE4341" s="65">
        <f>76-IC4341</f>
        <v>10.25</v>
      </c>
      <c r="IF4341" s="65">
        <f>75-ID4341</f>
        <v>34.1</v>
      </c>
      <c r="IG4341" s="65" t="s">
        <v>545</v>
      </c>
    </row>
    <row r="4342" spans="1:241" x14ac:dyDescent="0.25">
      <c r="A4342" s="55">
        <v>4341</v>
      </c>
      <c r="B4342" s="12" t="s">
        <v>7067</v>
      </c>
      <c r="C4342" s="155">
        <v>191</v>
      </c>
      <c r="D4342" s="55" t="s">
        <v>4378</v>
      </c>
      <c r="E4342" s="90" t="s">
        <v>4366</v>
      </c>
      <c r="G4342" s="55" t="s">
        <v>4367</v>
      </c>
      <c r="H4342" s="55">
        <v>2015</v>
      </c>
      <c r="I4342" s="55">
        <v>2008</v>
      </c>
      <c r="J4342" s="55" t="s">
        <v>4368</v>
      </c>
      <c r="K4342" s="55" t="s">
        <v>3653</v>
      </c>
      <c r="L4342" s="55" t="s">
        <v>3377</v>
      </c>
      <c r="M4342" s="90">
        <f>40+11/60</f>
        <v>40.18333333333333</v>
      </c>
      <c r="N4342" s="90">
        <f>116+16/60</f>
        <v>116.26666666666667</v>
      </c>
      <c r="O4342" s="90">
        <v>69</v>
      </c>
      <c r="U4342" s="55" t="s">
        <v>1935</v>
      </c>
      <c r="V4342" s="55" t="s">
        <v>1688</v>
      </c>
      <c r="Y4342" s="55" t="s">
        <v>4376</v>
      </c>
      <c r="Z4342" s="55" t="s">
        <v>1382</v>
      </c>
      <c r="AA4342" s="90" t="s">
        <v>1680</v>
      </c>
      <c r="AE4342" s="90">
        <v>76</v>
      </c>
      <c r="AF4342" s="90">
        <v>23</v>
      </c>
      <c r="AH4342" s="55" t="s">
        <v>174</v>
      </c>
      <c r="AI4342" s="168">
        <v>7.2</v>
      </c>
      <c r="AJ4342" s="90">
        <v>2.12</v>
      </c>
      <c r="AM4342" s="55" t="s">
        <v>4386</v>
      </c>
      <c r="AN4342" s="185" t="s">
        <v>132</v>
      </c>
      <c r="AO4342" s="185" t="s">
        <v>5150</v>
      </c>
      <c r="AQ4342" s="55" t="s">
        <v>1545</v>
      </c>
      <c r="AR4342" s="55" t="s">
        <v>240</v>
      </c>
      <c r="AS4342" s="55" t="s">
        <v>227</v>
      </c>
      <c r="AU4342" s="181" t="s">
        <v>7494</v>
      </c>
      <c r="AV4342" s="185" t="s">
        <v>176</v>
      </c>
      <c r="AX4342" s="185" t="s">
        <v>176</v>
      </c>
      <c r="BK4342" s="55" t="s">
        <v>5976</v>
      </c>
      <c r="BM4342" s="192" t="s">
        <v>160</v>
      </c>
      <c r="BN4342" s="55">
        <v>3</v>
      </c>
      <c r="BO4342" s="55">
        <v>3</v>
      </c>
      <c r="BQ4342" s="55" t="s">
        <v>141</v>
      </c>
      <c r="BV4342" s="55" t="s">
        <v>4381</v>
      </c>
      <c r="GP4342" s="292" t="s">
        <v>7494</v>
      </c>
      <c r="IC4342" s="65">
        <v>129</v>
      </c>
      <c r="ID4342" s="65">
        <v>55.8</v>
      </c>
      <c r="IE4342" s="65">
        <f>145-IC4342</f>
        <v>16</v>
      </c>
      <c r="IF4342" s="65">
        <v>16</v>
      </c>
      <c r="IG4342" s="65" t="s">
        <v>545</v>
      </c>
    </row>
    <row r="4343" spans="1:241" x14ac:dyDescent="0.25">
      <c r="A4343" s="55">
        <v>4342</v>
      </c>
      <c r="B4343" s="12" t="s">
        <v>7067</v>
      </c>
      <c r="C4343" s="155">
        <v>191</v>
      </c>
      <c r="D4343" s="55" t="s">
        <v>4379</v>
      </c>
      <c r="E4343" s="90" t="s">
        <v>4366</v>
      </c>
      <c r="G4343" s="55" t="s">
        <v>4367</v>
      </c>
      <c r="H4343" s="55">
        <v>2015</v>
      </c>
      <c r="I4343" s="55">
        <v>2008</v>
      </c>
      <c r="J4343" s="55" t="s">
        <v>4368</v>
      </c>
      <c r="K4343" s="55" t="s">
        <v>3653</v>
      </c>
      <c r="L4343" s="55" t="s">
        <v>3377</v>
      </c>
      <c r="M4343" s="90">
        <f>40+11/60</f>
        <v>40.18333333333333</v>
      </c>
      <c r="N4343" s="90">
        <f>116+16/60</f>
        <v>116.26666666666667</v>
      </c>
      <c r="O4343" s="90">
        <v>69</v>
      </c>
      <c r="U4343" s="55" t="s">
        <v>1935</v>
      </c>
      <c r="V4343" s="55" t="s">
        <v>1688</v>
      </c>
      <c r="Y4343" s="55" t="s">
        <v>4376</v>
      </c>
      <c r="Z4343" s="55" t="s">
        <v>4374</v>
      </c>
      <c r="AA4343" s="90" t="s">
        <v>1680</v>
      </c>
      <c r="AE4343" s="90">
        <v>76</v>
      </c>
      <c r="AF4343" s="90">
        <v>23</v>
      </c>
      <c r="AH4343" s="55" t="s">
        <v>174</v>
      </c>
      <c r="AI4343" s="168">
        <v>7.2</v>
      </c>
      <c r="AJ4343" s="90">
        <v>2.12</v>
      </c>
      <c r="AM4343" s="55" t="s">
        <v>4386</v>
      </c>
      <c r="AN4343" s="185" t="s">
        <v>132</v>
      </c>
      <c r="AO4343" s="185" t="s">
        <v>5150</v>
      </c>
      <c r="AQ4343" s="55" t="s">
        <v>1545</v>
      </c>
      <c r="AR4343" s="55" t="s">
        <v>240</v>
      </c>
      <c r="AS4343" s="55" t="s">
        <v>227</v>
      </c>
      <c r="AU4343" s="181" t="s">
        <v>7494</v>
      </c>
      <c r="AV4343" s="185" t="s">
        <v>176</v>
      </c>
      <c r="AX4343" s="185" t="s">
        <v>176</v>
      </c>
      <c r="BK4343" s="55" t="s">
        <v>5976</v>
      </c>
      <c r="BM4343" s="192" t="s">
        <v>160</v>
      </c>
      <c r="BN4343" s="55">
        <v>3</v>
      </c>
      <c r="BO4343" s="55">
        <v>3</v>
      </c>
      <c r="BQ4343" s="55" t="s">
        <v>141</v>
      </c>
      <c r="BV4343" s="55" t="s">
        <v>4381</v>
      </c>
      <c r="GP4343" s="292" t="s">
        <v>7494</v>
      </c>
      <c r="IC4343" s="65">
        <v>45.9</v>
      </c>
      <c r="ID4343" s="65">
        <v>62</v>
      </c>
      <c r="IE4343" s="65">
        <f>70-IC4343</f>
        <v>24.1</v>
      </c>
      <c r="IF4343" s="65">
        <v>16</v>
      </c>
      <c r="IG4343" s="65" t="s">
        <v>545</v>
      </c>
    </row>
    <row r="4344" spans="1:241" x14ac:dyDescent="0.25">
      <c r="A4344" s="55">
        <v>4343</v>
      </c>
      <c r="B4344" s="12" t="s">
        <v>7067</v>
      </c>
      <c r="C4344" s="155">
        <v>191</v>
      </c>
      <c r="D4344" s="55" t="s">
        <v>4380</v>
      </c>
      <c r="E4344" s="90" t="s">
        <v>4366</v>
      </c>
      <c r="G4344" s="55" t="s">
        <v>4367</v>
      </c>
      <c r="H4344" s="55">
        <v>2015</v>
      </c>
      <c r="I4344" s="55">
        <v>2008</v>
      </c>
      <c r="J4344" s="55" t="s">
        <v>4368</v>
      </c>
      <c r="K4344" s="55" t="s">
        <v>3653</v>
      </c>
      <c r="L4344" s="55" t="s">
        <v>3377</v>
      </c>
      <c r="M4344" s="90">
        <f>40+11/60</f>
        <v>40.18333333333333</v>
      </c>
      <c r="N4344" s="90">
        <f>116+16/60</f>
        <v>116.26666666666667</v>
      </c>
      <c r="O4344" s="90">
        <v>69</v>
      </c>
      <c r="U4344" s="55" t="s">
        <v>1935</v>
      </c>
      <c r="V4344" s="55" t="s">
        <v>1688</v>
      </c>
      <c r="Y4344" s="55" t="s">
        <v>4376</v>
      </c>
      <c r="Z4344" s="55" t="s">
        <v>4375</v>
      </c>
      <c r="AA4344" s="90" t="s">
        <v>1680</v>
      </c>
      <c r="AE4344" s="90">
        <v>76</v>
      </c>
      <c r="AF4344" s="90">
        <v>23</v>
      </c>
      <c r="AH4344" s="55" t="s">
        <v>174</v>
      </c>
      <c r="AI4344" s="168">
        <v>7.2</v>
      </c>
      <c r="AJ4344" s="90">
        <v>2.12</v>
      </c>
      <c r="AM4344" s="55" t="s">
        <v>4386</v>
      </c>
      <c r="AN4344" s="185" t="s">
        <v>132</v>
      </c>
      <c r="AO4344" s="185" t="s">
        <v>5150</v>
      </c>
      <c r="AQ4344" s="55" t="s">
        <v>1545</v>
      </c>
      <c r="AR4344" s="55" t="s">
        <v>240</v>
      </c>
      <c r="AS4344" s="55" t="s">
        <v>227</v>
      </c>
      <c r="AU4344" s="181" t="s">
        <v>7494</v>
      </c>
      <c r="AV4344" s="185" t="s">
        <v>176</v>
      </c>
      <c r="AX4344" s="185" t="s">
        <v>176</v>
      </c>
      <c r="BK4344" s="55" t="s">
        <v>5976</v>
      </c>
      <c r="BM4344" s="192" t="s">
        <v>160</v>
      </c>
      <c r="BN4344" s="55">
        <v>3</v>
      </c>
      <c r="BO4344" s="55">
        <v>3</v>
      </c>
      <c r="BQ4344" s="55" t="s">
        <v>141</v>
      </c>
      <c r="BV4344" s="55" t="s">
        <v>4381</v>
      </c>
      <c r="GP4344" s="292" t="s">
        <v>7494</v>
      </c>
      <c r="IC4344" s="65">
        <v>68.239999999999995</v>
      </c>
      <c r="ID4344" s="65">
        <v>58</v>
      </c>
      <c r="IE4344" s="65">
        <f>85-IC4344</f>
        <v>16.760000000000005</v>
      </c>
      <c r="IF4344" s="65">
        <v>16</v>
      </c>
      <c r="IG4344" s="65" t="s">
        <v>545</v>
      </c>
    </row>
    <row r="4345" spans="1:241" x14ac:dyDescent="0.25">
      <c r="A4345" s="55">
        <v>4344</v>
      </c>
      <c r="B4345" s="12" t="s">
        <v>7067</v>
      </c>
      <c r="C4345" s="155">
        <v>191</v>
      </c>
      <c r="D4345" s="55" t="s">
        <v>4371</v>
      </c>
      <c r="E4345" s="90" t="s">
        <v>4366</v>
      </c>
      <c r="G4345" s="55" t="s">
        <v>4367</v>
      </c>
      <c r="H4345" s="55">
        <v>2015</v>
      </c>
      <c r="I4345" s="55">
        <v>2009</v>
      </c>
      <c r="J4345" s="55" t="s">
        <v>4368</v>
      </c>
      <c r="K4345" s="55" t="s">
        <v>3653</v>
      </c>
      <c r="L4345" s="55" t="s">
        <v>3377</v>
      </c>
      <c r="M4345" s="90">
        <f>40+11/60</f>
        <v>40.18333333333333</v>
      </c>
      <c r="N4345" s="90">
        <f>116+16/60</f>
        <v>116.26666666666667</v>
      </c>
      <c r="O4345" s="90">
        <v>69</v>
      </c>
      <c r="U4345" s="55" t="s">
        <v>1805</v>
      </c>
      <c r="V4345" s="55" t="s">
        <v>1688</v>
      </c>
      <c r="Y4345" s="55" t="s">
        <v>4376</v>
      </c>
      <c r="Z4345" s="55" t="s">
        <v>1356</v>
      </c>
      <c r="AA4345" s="90" t="s">
        <v>1680</v>
      </c>
      <c r="AE4345" s="90">
        <v>76</v>
      </c>
      <c r="AF4345" s="90">
        <v>23</v>
      </c>
      <c r="AH4345" s="55" t="s">
        <v>174</v>
      </c>
      <c r="AI4345" s="168">
        <v>7.2</v>
      </c>
      <c r="AJ4345" s="90">
        <v>2.12</v>
      </c>
      <c r="AM4345" s="55" t="s">
        <v>4386</v>
      </c>
      <c r="AN4345" s="185" t="s">
        <v>132</v>
      </c>
      <c r="AO4345" s="185" t="s">
        <v>5150</v>
      </c>
      <c r="AQ4345" s="55" t="s">
        <v>1545</v>
      </c>
      <c r="AR4345" s="55" t="s">
        <v>240</v>
      </c>
      <c r="AS4345" s="55" t="s">
        <v>227</v>
      </c>
      <c r="AU4345" s="181" t="s">
        <v>7494</v>
      </c>
      <c r="AV4345" s="185" t="s">
        <v>176</v>
      </c>
      <c r="AX4345" s="185" t="s">
        <v>176</v>
      </c>
      <c r="BK4345" s="55" t="s">
        <v>5976</v>
      </c>
      <c r="BM4345" s="192" t="s">
        <v>160</v>
      </c>
      <c r="BN4345" s="55">
        <v>3</v>
      </c>
      <c r="BO4345" s="55">
        <v>3</v>
      </c>
      <c r="BQ4345" s="55" t="s">
        <v>141</v>
      </c>
      <c r="BV4345" s="55" t="s">
        <v>4382</v>
      </c>
      <c r="GP4345" s="292" t="s">
        <v>7494</v>
      </c>
      <c r="IC4345" s="65">
        <v>104.8</v>
      </c>
      <c r="ID4345" s="65">
        <v>119</v>
      </c>
      <c r="IE4345" s="65">
        <v>7</v>
      </c>
      <c r="IF4345" s="65">
        <v>7</v>
      </c>
      <c r="IG4345" s="65" t="s">
        <v>545</v>
      </c>
    </row>
    <row r="4346" spans="1:241" x14ac:dyDescent="0.25">
      <c r="A4346" s="55">
        <v>4345</v>
      </c>
      <c r="B4346" s="12" t="s">
        <v>7067</v>
      </c>
      <c r="C4346" s="155">
        <v>191</v>
      </c>
      <c r="D4346" s="55" t="s">
        <v>4372</v>
      </c>
      <c r="E4346" s="90" t="s">
        <v>4366</v>
      </c>
      <c r="G4346" s="55" t="s">
        <v>4367</v>
      </c>
      <c r="H4346" s="55">
        <v>2015</v>
      </c>
      <c r="I4346" s="55">
        <v>2009</v>
      </c>
      <c r="J4346" s="55" t="s">
        <v>4368</v>
      </c>
      <c r="K4346" s="55" t="s">
        <v>3653</v>
      </c>
      <c r="L4346" s="55" t="s">
        <v>3377</v>
      </c>
      <c r="M4346" s="90">
        <f>40+11/60</f>
        <v>40.18333333333333</v>
      </c>
      <c r="N4346" s="90">
        <f>116+16/60</f>
        <v>116.26666666666667</v>
      </c>
      <c r="O4346" s="90">
        <v>69</v>
      </c>
      <c r="U4346" s="55" t="s">
        <v>1805</v>
      </c>
      <c r="V4346" s="55" t="s">
        <v>1688</v>
      </c>
      <c r="Y4346" s="55" t="s">
        <v>4376</v>
      </c>
      <c r="Z4346" s="55" t="s">
        <v>1369</v>
      </c>
      <c r="AA4346" s="90" t="s">
        <v>1680</v>
      </c>
      <c r="AE4346" s="90">
        <v>76</v>
      </c>
      <c r="AF4346" s="90">
        <v>23</v>
      </c>
      <c r="AH4346" s="55" t="s">
        <v>174</v>
      </c>
      <c r="AI4346" s="168">
        <v>7.2</v>
      </c>
      <c r="AJ4346" s="90">
        <v>2.12</v>
      </c>
      <c r="AM4346" s="55" t="s">
        <v>4386</v>
      </c>
      <c r="AN4346" s="185" t="s">
        <v>132</v>
      </c>
      <c r="AO4346" s="185" t="s">
        <v>5150</v>
      </c>
      <c r="AQ4346" s="55" t="s">
        <v>1545</v>
      </c>
      <c r="AR4346" s="55" t="s">
        <v>240</v>
      </c>
      <c r="AS4346" s="55" t="s">
        <v>227</v>
      </c>
      <c r="AU4346" s="181" t="s">
        <v>7494</v>
      </c>
      <c r="AV4346" s="185" t="s">
        <v>176</v>
      </c>
      <c r="AX4346" s="185" t="s">
        <v>176</v>
      </c>
      <c r="BK4346" s="55" t="s">
        <v>5976</v>
      </c>
      <c r="BM4346" s="192" t="s">
        <v>160</v>
      </c>
      <c r="BN4346" s="55">
        <v>3</v>
      </c>
      <c r="BO4346" s="55">
        <v>3</v>
      </c>
      <c r="BQ4346" s="55" t="s">
        <v>141</v>
      </c>
      <c r="BV4346" s="55" t="s">
        <v>4382</v>
      </c>
      <c r="GP4346" s="292" t="s">
        <v>7494</v>
      </c>
      <c r="IC4346" s="65">
        <v>75</v>
      </c>
      <c r="ID4346" s="65">
        <v>57.67</v>
      </c>
      <c r="IE4346" s="65">
        <v>7</v>
      </c>
      <c r="IF4346" s="65">
        <v>7</v>
      </c>
      <c r="IG4346" s="65" t="s">
        <v>545</v>
      </c>
    </row>
    <row r="4347" spans="1:241" x14ac:dyDescent="0.25">
      <c r="A4347" s="55">
        <v>4346</v>
      </c>
      <c r="B4347" s="12" t="s">
        <v>7067</v>
      </c>
      <c r="C4347" s="155">
        <v>191</v>
      </c>
      <c r="D4347" s="55" t="s">
        <v>4377</v>
      </c>
      <c r="E4347" s="90" t="s">
        <v>4366</v>
      </c>
      <c r="G4347" s="55" t="s">
        <v>4367</v>
      </c>
      <c r="H4347" s="55">
        <v>2015</v>
      </c>
      <c r="I4347" s="55">
        <v>2009</v>
      </c>
      <c r="J4347" s="55" t="s">
        <v>4368</v>
      </c>
      <c r="K4347" s="55" t="s">
        <v>3653</v>
      </c>
      <c r="L4347" s="55" t="s">
        <v>3377</v>
      </c>
      <c r="M4347" s="90">
        <f>40+11/60</f>
        <v>40.18333333333333</v>
      </c>
      <c r="N4347" s="90">
        <f>116+16/60</f>
        <v>116.26666666666667</v>
      </c>
      <c r="O4347" s="90">
        <v>69</v>
      </c>
      <c r="U4347" s="55" t="s">
        <v>1805</v>
      </c>
      <c r="V4347" s="55" t="s">
        <v>1688</v>
      </c>
      <c r="Y4347" s="55" t="s">
        <v>4376</v>
      </c>
      <c r="Z4347" s="55" t="s">
        <v>1370</v>
      </c>
      <c r="AA4347" s="90" t="s">
        <v>1680</v>
      </c>
      <c r="AE4347" s="90">
        <v>76</v>
      </c>
      <c r="AF4347" s="90">
        <v>23</v>
      </c>
      <c r="AH4347" s="55" t="s">
        <v>174</v>
      </c>
      <c r="AI4347" s="168">
        <v>7.2</v>
      </c>
      <c r="AJ4347" s="90">
        <v>2.12</v>
      </c>
      <c r="AM4347" s="55" t="s">
        <v>4386</v>
      </c>
      <c r="AN4347" s="185" t="s">
        <v>132</v>
      </c>
      <c r="AO4347" s="185" t="s">
        <v>5150</v>
      </c>
      <c r="AQ4347" s="55" t="s">
        <v>1545</v>
      </c>
      <c r="AR4347" s="55" t="s">
        <v>240</v>
      </c>
      <c r="AS4347" s="55" t="s">
        <v>227</v>
      </c>
      <c r="AU4347" s="181" t="s">
        <v>7494</v>
      </c>
      <c r="AV4347" s="185" t="s">
        <v>176</v>
      </c>
      <c r="AX4347" s="185" t="s">
        <v>176</v>
      </c>
      <c r="BK4347" s="55" t="s">
        <v>5976</v>
      </c>
      <c r="BM4347" s="192" t="s">
        <v>160</v>
      </c>
      <c r="BN4347" s="55">
        <v>3</v>
      </c>
      <c r="BO4347" s="55">
        <v>3</v>
      </c>
      <c r="BQ4347" s="55" t="s">
        <v>141</v>
      </c>
      <c r="BV4347" s="55" t="s">
        <v>4382</v>
      </c>
      <c r="GP4347" s="292" t="s">
        <v>7494</v>
      </c>
      <c r="IC4347" s="65">
        <v>44</v>
      </c>
      <c r="ID4347" s="65">
        <v>39.17</v>
      </c>
      <c r="IE4347" s="65">
        <v>7</v>
      </c>
      <c r="IF4347" s="65">
        <v>7</v>
      </c>
      <c r="IG4347" s="65" t="s">
        <v>545</v>
      </c>
    </row>
    <row r="4348" spans="1:241" x14ac:dyDescent="0.25">
      <c r="A4348" s="55">
        <v>4347</v>
      </c>
      <c r="B4348" s="12" t="s">
        <v>7067</v>
      </c>
      <c r="C4348" s="155">
        <v>191</v>
      </c>
      <c r="D4348" s="55" t="s">
        <v>4378</v>
      </c>
      <c r="E4348" s="90" t="s">
        <v>4366</v>
      </c>
      <c r="G4348" s="55" t="s">
        <v>4367</v>
      </c>
      <c r="H4348" s="55">
        <v>2015</v>
      </c>
      <c r="I4348" s="55">
        <v>2009</v>
      </c>
      <c r="J4348" s="55" t="s">
        <v>4368</v>
      </c>
      <c r="K4348" s="55" t="s">
        <v>3653</v>
      </c>
      <c r="L4348" s="55" t="s">
        <v>3377</v>
      </c>
      <c r="M4348" s="90">
        <f>40+11/60</f>
        <v>40.18333333333333</v>
      </c>
      <c r="N4348" s="90">
        <f>116+16/60</f>
        <v>116.26666666666667</v>
      </c>
      <c r="O4348" s="90">
        <v>69</v>
      </c>
      <c r="U4348" s="55" t="s">
        <v>1805</v>
      </c>
      <c r="V4348" s="55" t="s">
        <v>1688</v>
      </c>
      <c r="Y4348" s="55" t="s">
        <v>4376</v>
      </c>
      <c r="Z4348" s="55" t="s">
        <v>1382</v>
      </c>
      <c r="AA4348" s="90" t="s">
        <v>1680</v>
      </c>
      <c r="AE4348" s="90">
        <v>76</v>
      </c>
      <c r="AF4348" s="90">
        <v>23</v>
      </c>
      <c r="AH4348" s="55" t="s">
        <v>174</v>
      </c>
      <c r="AI4348" s="168">
        <v>7.2</v>
      </c>
      <c r="AJ4348" s="90">
        <v>2.12</v>
      </c>
      <c r="AM4348" s="55" t="s">
        <v>4386</v>
      </c>
      <c r="AN4348" s="185" t="s">
        <v>132</v>
      </c>
      <c r="AO4348" s="185" t="s">
        <v>5150</v>
      </c>
      <c r="AQ4348" s="55" t="s">
        <v>1545</v>
      </c>
      <c r="AR4348" s="55" t="s">
        <v>240</v>
      </c>
      <c r="AS4348" s="55" t="s">
        <v>227</v>
      </c>
      <c r="AU4348" s="181" t="s">
        <v>7494</v>
      </c>
      <c r="AV4348" s="185" t="s">
        <v>176</v>
      </c>
      <c r="AX4348" s="185" t="s">
        <v>176</v>
      </c>
      <c r="BK4348" s="55" t="s">
        <v>5976</v>
      </c>
      <c r="BM4348" s="192" t="s">
        <v>160</v>
      </c>
      <c r="BN4348" s="55">
        <v>3</v>
      </c>
      <c r="BO4348" s="55">
        <v>3</v>
      </c>
      <c r="BQ4348" s="55" t="s">
        <v>141</v>
      </c>
      <c r="BV4348" s="55" t="s">
        <v>4382</v>
      </c>
      <c r="GP4348" s="292" t="s">
        <v>7494</v>
      </c>
      <c r="IC4348" s="65">
        <v>40.6</v>
      </c>
      <c r="ID4348" s="65">
        <v>59</v>
      </c>
      <c r="IE4348" s="65">
        <v>7</v>
      </c>
      <c r="IF4348" s="65">
        <v>7</v>
      </c>
      <c r="IG4348" s="65" t="s">
        <v>545</v>
      </c>
    </row>
    <row r="4349" spans="1:241" x14ac:dyDescent="0.25">
      <c r="A4349" s="55">
        <v>4348</v>
      </c>
      <c r="B4349" s="12" t="s">
        <v>7067</v>
      </c>
      <c r="C4349" s="155">
        <v>191</v>
      </c>
      <c r="D4349" s="55" t="s">
        <v>4379</v>
      </c>
      <c r="E4349" s="90" t="s">
        <v>4366</v>
      </c>
      <c r="G4349" s="55" t="s">
        <v>4367</v>
      </c>
      <c r="H4349" s="55">
        <v>2015</v>
      </c>
      <c r="I4349" s="55">
        <v>2009</v>
      </c>
      <c r="J4349" s="55" t="s">
        <v>4368</v>
      </c>
      <c r="K4349" s="55" t="s">
        <v>3653</v>
      </c>
      <c r="L4349" s="55" t="s">
        <v>3377</v>
      </c>
      <c r="M4349" s="90">
        <f>40+11/60</f>
        <v>40.18333333333333</v>
      </c>
      <c r="N4349" s="90">
        <f>116+16/60</f>
        <v>116.26666666666667</v>
      </c>
      <c r="O4349" s="90">
        <v>69</v>
      </c>
      <c r="U4349" s="55" t="s">
        <v>1805</v>
      </c>
      <c r="V4349" s="55" t="s">
        <v>1688</v>
      </c>
      <c r="Y4349" s="55" t="s">
        <v>4376</v>
      </c>
      <c r="Z4349" s="55" t="s">
        <v>4374</v>
      </c>
      <c r="AA4349" s="90" t="s">
        <v>1680</v>
      </c>
      <c r="AE4349" s="90">
        <v>76</v>
      </c>
      <c r="AF4349" s="90">
        <v>23</v>
      </c>
      <c r="AH4349" s="55" t="s">
        <v>174</v>
      </c>
      <c r="AI4349" s="168">
        <v>7.2</v>
      </c>
      <c r="AJ4349" s="90">
        <v>2.12</v>
      </c>
      <c r="AM4349" s="55" t="s">
        <v>4386</v>
      </c>
      <c r="AN4349" s="185" t="s">
        <v>132</v>
      </c>
      <c r="AO4349" s="185" t="s">
        <v>5150</v>
      </c>
      <c r="AQ4349" s="55" t="s">
        <v>1545</v>
      </c>
      <c r="AR4349" s="55" t="s">
        <v>240</v>
      </c>
      <c r="AS4349" s="55" t="s">
        <v>227</v>
      </c>
      <c r="AU4349" s="181" t="s">
        <v>7494</v>
      </c>
      <c r="AV4349" s="185" t="s">
        <v>176</v>
      </c>
      <c r="AX4349" s="185" t="s">
        <v>176</v>
      </c>
      <c r="BK4349" s="55" t="s">
        <v>5976</v>
      </c>
      <c r="BM4349" s="192" t="s">
        <v>160</v>
      </c>
      <c r="BN4349" s="55">
        <v>3</v>
      </c>
      <c r="BO4349" s="55">
        <v>3</v>
      </c>
      <c r="BQ4349" s="55" t="s">
        <v>141</v>
      </c>
      <c r="BV4349" s="55" t="s">
        <v>4382</v>
      </c>
      <c r="GP4349" s="292" t="s">
        <v>7494</v>
      </c>
      <c r="IC4349" s="65">
        <v>15.9</v>
      </c>
      <c r="ID4349" s="65">
        <v>30.86</v>
      </c>
      <c r="IE4349" s="65">
        <v>7</v>
      </c>
      <c r="IF4349" s="65">
        <v>7</v>
      </c>
      <c r="IG4349" s="65" t="s">
        <v>545</v>
      </c>
    </row>
    <row r="4350" spans="1:241" x14ac:dyDescent="0.25">
      <c r="A4350" s="55">
        <v>4349</v>
      </c>
      <c r="B4350" s="12" t="s">
        <v>7067</v>
      </c>
      <c r="C4350" s="155">
        <v>191</v>
      </c>
      <c r="D4350" s="55" t="s">
        <v>4380</v>
      </c>
      <c r="E4350" s="90" t="s">
        <v>4366</v>
      </c>
      <c r="G4350" s="55" t="s">
        <v>4367</v>
      </c>
      <c r="H4350" s="55">
        <v>2015</v>
      </c>
      <c r="I4350" s="55">
        <v>2009</v>
      </c>
      <c r="J4350" s="55" t="s">
        <v>4368</v>
      </c>
      <c r="K4350" s="55" t="s">
        <v>3653</v>
      </c>
      <c r="L4350" s="55" t="s">
        <v>3377</v>
      </c>
      <c r="M4350" s="90">
        <f>40+11/60</f>
        <v>40.18333333333333</v>
      </c>
      <c r="N4350" s="90">
        <f>116+16/60</f>
        <v>116.26666666666667</v>
      </c>
      <c r="O4350" s="90">
        <v>69</v>
      </c>
      <c r="U4350" s="55" t="s">
        <v>1805</v>
      </c>
      <c r="V4350" s="55" t="s">
        <v>1688</v>
      </c>
      <c r="Y4350" s="55" t="s">
        <v>4376</v>
      </c>
      <c r="Z4350" s="55" t="s">
        <v>4375</v>
      </c>
      <c r="AA4350" s="90" t="s">
        <v>1680</v>
      </c>
      <c r="AE4350" s="90">
        <v>76</v>
      </c>
      <c r="AF4350" s="90">
        <v>23</v>
      </c>
      <c r="AH4350" s="55" t="s">
        <v>174</v>
      </c>
      <c r="AI4350" s="168">
        <v>7.2</v>
      </c>
      <c r="AJ4350" s="90">
        <v>2.12</v>
      </c>
      <c r="AM4350" s="55" t="s">
        <v>4386</v>
      </c>
      <c r="AN4350" s="185" t="s">
        <v>132</v>
      </c>
      <c r="AO4350" s="185" t="s">
        <v>5150</v>
      </c>
      <c r="AQ4350" s="55" t="s">
        <v>1545</v>
      </c>
      <c r="AR4350" s="55" t="s">
        <v>240</v>
      </c>
      <c r="AS4350" s="55" t="s">
        <v>227</v>
      </c>
      <c r="AU4350" s="181" t="s">
        <v>7494</v>
      </c>
      <c r="AV4350" s="185" t="s">
        <v>176</v>
      </c>
      <c r="AX4350" s="185" t="s">
        <v>176</v>
      </c>
      <c r="BK4350" s="55" t="s">
        <v>5976</v>
      </c>
      <c r="BM4350" s="192" t="s">
        <v>160</v>
      </c>
      <c r="BN4350" s="55">
        <v>3</v>
      </c>
      <c r="BO4350" s="55">
        <v>3</v>
      </c>
      <c r="BQ4350" s="55" t="s">
        <v>141</v>
      </c>
      <c r="BV4350" s="55" t="s">
        <v>4382</v>
      </c>
      <c r="GP4350" s="292" t="s">
        <v>7494</v>
      </c>
      <c r="IC4350" s="65">
        <v>77</v>
      </c>
      <c r="ID4350" s="65">
        <v>92.17</v>
      </c>
      <c r="IE4350" s="65">
        <v>7</v>
      </c>
      <c r="IF4350" s="65">
        <v>7</v>
      </c>
      <c r="IG4350" s="65" t="s">
        <v>545</v>
      </c>
    </row>
    <row r="4351" spans="1:241" x14ac:dyDescent="0.25">
      <c r="A4351" s="55">
        <v>4350</v>
      </c>
      <c r="B4351" s="12" t="s">
        <v>7067</v>
      </c>
      <c r="C4351" s="155">
        <v>191</v>
      </c>
      <c r="D4351" s="55" t="s">
        <v>4371</v>
      </c>
      <c r="E4351" s="90" t="s">
        <v>4366</v>
      </c>
      <c r="G4351" s="55" t="s">
        <v>4367</v>
      </c>
      <c r="H4351" s="55">
        <v>2015</v>
      </c>
      <c r="I4351" s="55">
        <v>2009</v>
      </c>
      <c r="J4351" s="55" t="s">
        <v>4368</v>
      </c>
      <c r="K4351" s="55" t="s">
        <v>3653</v>
      </c>
      <c r="L4351" s="55" t="s">
        <v>3377</v>
      </c>
      <c r="M4351" s="90">
        <f>40+11/60</f>
        <v>40.18333333333333</v>
      </c>
      <c r="N4351" s="90">
        <f>116+16/60</f>
        <v>116.26666666666667</v>
      </c>
      <c r="O4351" s="90">
        <v>69</v>
      </c>
      <c r="U4351" s="55" t="s">
        <v>1805</v>
      </c>
      <c r="V4351" s="55" t="s">
        <v>1688</v>
      </c>
      <c r="Y4351" s="55" t="s">
        <v>4376</v>
      </c>
      <c r="Z4351" s="55" t="s">
        <v>1356</v>
      </c>
      <c r="AA4351" s="90" t="s">
        <v>1680</v>
      </c>
      <c r="AE4351" s="90">
        <v>76</v>
      </c>
      <c r="AF4351" s="90">
        <v>23</v>
      </c>
      <c r="AH4351" s="55" t="s">
        <v>174</v>
      </c>
      <c r="AI4351" s="168">
        <v>7.2</v>
      </c>
      <c r="AJ4351" s="90">
        <v>2.12</v>
      </c>
      <c r="AM4351" s="55" t="s">
        <v>4386</v>
      </c>
      <c r="AN4351" s="185" t="s">
        <v>132</v>
      </c>
      <c r="AO4351" s="185" t="s">
        <v>5150</v>
      </c>
      <c r="AQ4351" s="55" t="s">
        <v>1545</v>
      </c>
      <c r="AR4351" s="55" t="s">
        <v>240</v>
      </c>
      <c r="AS4351" s="55" t="s">
        <v>227</v>
      </c>
      <c r="AU4351" s="181" t="s">
        <v>7494</v>
      </c>
      <c r="AV4351" s="185" t="s">
        <v>176</v>
      </c>
      <c r="AX4351" s="185" t="s">
        <v>176</v>
      </c>
      <c r="BK4351" s="55" t="s">
        <v>5976</v>
      </c>
      <c r="BM4351" s="192" t="s">
        <v>160</v>
      </c>
      <c r="BN4351" s="55">
        <v>3</v>
      </c>
      <c r="BO4351" s="55">
        <v>3</v>
      </c>
      <c r="BQ4351" s="55" t="s">
        <v>141</v>
      </c>
      <c r="BV4351" s="55" t="s">
        <v>4383</v>
      </c>
      <c r="GP4351" s="292" t="s">
        <v>7494</v>
      </c>
      <c r="IC4351" s="65">
        <v>88.77</v>
      </c>
      <c r="ID4351" s="65">
        <v>83.77</v>
      </c>
      <c r="IE4351" s="65">
        <v>11</v>
      </c>
      <c r="IF4351" s="65">
        <v>10</v>
      </c>
      <c r="IG4351" s="65" t="s">
        <v>545</v>
      </c>
    </row>
    <row r="4352" spans="1:241" x14ac:dyDescent="0.25">
      <c r="A4352" s="55">
        <v>4351</v>
      </c>
      <c r="B4352" s="12" t="s">
        <v>7067</v>
      </c>
      <c r="C4352" s="155">
        <v>191</v>
      </c>
      <c r="D4352" s="55" t="s">
        <v>4372</v>
      </c>
      <c r="E4352" s="90" t="s">
        <v>4366</v>
      </c>
      <c r="G4352" s="55" t="s">
        <v>4367</v>
      </c>
      <c r="H4352" s="55">
        <v>2015</v>
      </c>
      <c r="I4352" s="55">
        <v>2009</v>
      </c>
      <c r="J4352" s="55" t="s">
        <v>4368</v>
      </c>
      <c r="K4352" s="55" t="s">
        <v>3653</v>
      </c>
      <c r="L4352" s="55" t="s">
        <v>3377</v>
      </c>
      <c r="M4352" s="90">
        <f>40+11/60</f>
        <v>40.18333333333333</v>
      </c>
      <c r="N4352" s="90">
        <f>116+16/60</f>
        <v>116.26666666666667</v>
      </c>
      <c r="O4352" s="90">
        <v>69</v>
      </c>
      <c r="U4352" s="55" t="s">
        <v>1805</v>
      </c>
      <c r="V4352" s="55" t="s">
        <v>1688</v>
      </c>
      <c r="Y4352" s="55" t="s">
        <v>4376</v>
      </c>
      <c r="Z4352" s="55" t="s">
        <v>1369</v>
      </c>
      <c r="AA4352" s="90" t="s">
        <v>1680</v>
      </c>
      <c r="AE4352" s="90">
        <v>76</v>
      </c>
      <c r="AF4352" s="90">
        <v>23</v>
      </c>
      <c r="AH4352" s="55" t="s">
        <v>174</v>
      </c>
      <c r="AI4352" s="168">
        <v>7.2</v>
      </c>
      <c r="AJ4352" s="90">
        <v>2.12</v>
      </c>
      <c r="AM4352" s="55" t="s">
        <v>4386</v>
      </c>
      <c r="AN4352" s="185" t="s">
        <v>132</v>
      </c>
      <c r="AO4352" s="185" t="s">
        <v>5150</v>
      </c>
      <c r="AQ4352" s="55" t="s">
        <v>1545</v>
      </c>
      <c r="AR4352" s="55" t="s">
        <v>240</v>
      </c>
      <c r="AS4352" s="55" t="s">
        <v>227</v>
      </c>
      <c r="AU4352" s="181" t="s">
        <v>7494</v>
      </c>
      <c r="AV4352" s="185" t="s">
        <v>176</v>
      </c>
      <c r="AX4352" s="185" t="s">
        <v>176</v>
      </c>
      <c r="BK4352" s="55" t="s">
        <v>5976</v>
      </c>
      <c r="BM4352" s="192" t="s">
        <v>160</v>
      </c>
      <c r="BN4352" s="55">
        <v>3</v>
      </c>
      <c r="BO4352" s="55">
        <v>3</v>
      </c>
      <c r="BQ4352" s="55" t="s">
        <v>141</v>
      </c>
      <c r="BV4352" s="55" t="s">
        <v>4383</v>
      </c>
      <c r="GP4352" s="292" t="s">
        <v>7494</v>
      </c>
      <c r="IC4352" s="65">
        <v>42.84</v>
      </c>
      <c r="ID4352" s="65">
        <v>35.36</v>
      </c>
      <c r="IE4352" s="65">
        <v>11</v>
      </c>
      <c r="IF4352" s="65">
        <f>46.57-ID4352</f>
        <v>11.21</v>
      </c>
      <c r="IG4352" s="65" t="s">
        <v>545</v>
      </c>
    </row>
    <row r="4353" spans="1:241" x14ac:dyDescent="0.25">
      <c r="A4353" s="55">
        <v>4352</v>
      </c>
      <c r="B4353" s="12" t="s">
        <v>7067</v>
      </c>
      <c r="C4353" s="155">
        <v>191</v>
      </c>
      <c r="D4353" s="55" t="s">
        <v>4377</v>
      </c>
      <c r="E4353" s="90" t="s">
        <v>4366</v>
      </c>
      <c r="G4353" s="55" t="s">
        <v>4367</v>
      </c>
      <c r="H4353" s="55">
        <v>2015</v>
      </c>
      <c r="I4353" s="55">
        <v>2009</v>
      </c>
      <c r="J4353" s="55" t="s">
        <v>4368</v>
      </c>
      <c r="K4353" s="55" t="s">
        <v>3653</v>
      </c>
      <c r="L4353" s="55" t="s">
        <v>3377</v>
      </c>
      <c r="M4353" s="90">
        <f>40+11/60</f>
        <v>40.18333333333333</v>
      </c>
      <c r="N4353" s="90">
        <f>116+16/60</f>
        <v>116.26666666666667</v>
      </c>
      <c r="O4353" s="90">
        <v>69</v>
      </c>
      <c r="U4353" s="55" t="s">
        <v>1805</v>
      </c>
      <c r="V4353" s="55" t="s">
        <v>1688</v>
      </c>
      <c r="Y4353" s="55" t="s">
        <v>4376</v>
      </c>
      <c r="Z4353" s="55" t="s">
        <v>1370</v>
      </c>
      <c r="AA4353" s="90" t="s">
        <v>1680</v>
      </c>
      <c r="AE4353" s="90">
        <v>76</v>
      </c>
      <c r="AF4353" s="90">
        <v>23</v>
      </c>
      <c r="AH4353" s="55" t="s">
        <v>174</v>
      </c>
      <c r="AI4353" s="168">
        <v>7.2</v>
      </c>
      <c r="AJ4353" s="90">
        <v>2.12</v>
      </c>
      <c r="AM4353" s="55" t="s">
        <v>4386</v>
      </c>
      <c r="AN4353" s="185" t="s">
        <v>132</v>
      </c>
      <c r="AO4353" s="185" t="s">
        <v>5150</v>
      </c>
      <c r="AQ4353" s="55" t="s">
        <v>1545</v>
      </c>
      <c r="AR4353" s="55" t="s">
        <v>240</v>
      </c>
      <c r="AS4353" s="55" t="s">
        <v>227</v>
      </c>
      <c r="AU4353" s="181" t="s">
        <v>7494</v>
      </c>
      <c r="AV4353" s="185" t="s">
        <v>176</v>
      </c>
      <c r="AX4353" s="185" t="s">
        <v>176</v>
      </c>
      <c r="BK4353" s="55" t="s">
        <v>5976</v>
      </c>
      <c r="BM4353" s="192" t="s">
        <v>160</v>
      </c>
      <c r="BN4353" s="55">
        <v>3</v>
      </c>
      <c r="BO4353" s="55">
        <v>3</v>
      </c>
      <c r="BQ4353" s="55" t="s">
        <v>141</v>
      </c>
      <c r="BV4353" s="55" t="s">
        <v>4383</v>
      </c>
      <c r="GP4353" s="292" t="s">
        <v>7494</v>
      </c>
      <c r="IC4353" s="65">
        <v>56.77</v>
      </c>
      <c r="ID4353" s="65">
        <v>95.4</v>
      </c>
      <c r="IE4353" s="65">
        <v>11</v>
      </c>
      <c r="IF4353" s="65">
        <f>106.6-ID4353</f>
        <v>11.199999999999989</v>
      </c>
      <c r="IG4353" s="65" t="s">
        <v>545</v>
      </c>
    </row>
    <row r="4354" spans="1:241" x14ac:dyDescent="0.25">
      <c r="A4354" s="55">
        <v>4353</v>
      </c>
      <c r="B4354" s="12" t="s">
        <v>7067</v>
      </c>
      <c r="C4354" s="155">
        <v>191</v>
      </c>
      <c r="D4354" s="55" t="s">
        <v>4378</v>
      </c>
      <c r="E4354" s="90" t="s">
        <v>4366</v>
      </c>
      <c r="G4354" s="55" t="s">
        <v>4367</v>
      </c>
      <c r="H4354" s="55">
        <v>2015</v>
      </c>
      <c r="I4354" s="55">
        <v>2009</v>
      </c>
      <c r="J4354" s="55" t="s">
        <v>4368</v>
      </c>
      <c r="K4354" s="55" t="s">
        <v>3653</v>
      </c>
      <c r="L4354" s="55" t="s">
        <v>3377</v>
      </c>
      <c r="M4354" s="90">
        <f>40+11/60</f>
        <v>40.18333333333333</v>
      </c>
      <c r="N4354" s="90">
        <f>116+16/60</f>
        <v>116.26666666666667</v>
      </c>
      <c r="O4354" s="90">
        <v>69</v>
      </c>
      <c r="U4354" s="55" t="s">
        <v>1805</v>
      </c>
      <c r="V4354" s="55" t="s">
        <v>1688</v>
      </c>
      <c r="Y4354" s="55" t="s">
        <v>4376</v>
      </c>
      <c r="Z4354" s="55" t="s">
        <v>1382</v>
      </c>
      <c r="AA4354" s="90" t="s">
        <v>1680</v>
      </c>
      <c r="AE4354" s="90">
        <v>76</v>
      </c>
      <c r="AF4354" s="90">
        <v>23</v>
      </c>
      <c r="AH4354" s="55" t="s">
        <v>174</v>
      </c>
      <c r="AI4354" s="168">
        <v>7.2</v>
      </c>
      <c r="AJ4354" s="90">
        <v>2.12</v>
      </c>
      <c r="AM4354" s="55" t="s">
        <v>4386</v>
      </c>
      <c r="AN4354" s="185" t="s">
        <v>132</v>
      </c>
      <c r="AO4354" s="185" t="s">
        <v>5150</v>
      </c>
      <c r="AQ4354" s="55" t="s">
        <v>1545</v>
      </c>
      <c r="AR4354" s="55" t="s">
        <v>240</v>
      </c>
      <c r="AS4354" s="55" t="s">
        <v>227</v>
      </c>
      <c r="AU4354" s="181" t="s">
        <v>7494</v>
      </c>
      <c r="AV4354" s="185" t="s">
        <v>176</v>
      </c>
      <c r="AX4354" s="185" t="s">
        <v>176</v>
      </c>
      <c r="BK4354" s="55" t="s">
        <v>5976</v>
      </c>
      <c r="BM4354" s="192" t="s">
        <v>160</v>
      </c>
      <c r="BN4354" s="55">
        <v>3</v>
      </c>
      <c r="BO4354" s="55">
        <v>3</v>
      </c>
      <c r="BQ4354" s="55" t="s">
        <v>141</v>
      </c>
      <c r="BV4354" s="55" t="s">
        <v>4383</v>
      </c>
      <c r="GP4354" s="292" t="s">
        <v>7494</v>
      </c>
      <c r="IC4354" s="65">
        <v>66.95</v>
      </c>
      <c r="ID4354" s="65">
        <v>91.89</v>
      </c>
      <c r="IE4354" s="65">
        <v>11</v>
      </c>
      <c r="IF4354" s="65">
        <v>11.2</v>
      </c>
      <c r="IG4354" s="65" t="s">
        <v>545</v>
      </c>
    </row>
    <row r="4355" spans="1:241" x14ac:dyDescent="0.25">
      <c r="A4355" s="55">
        <v>4354</v>
      </c>
      <c r="B4355" s="12" t="s">
        <v>7067</v>
      </c>
      <c r="C4355" s="155">
        <v>191</v>
      </c>
      <c r="D4355" s="55" t="s">
        <v>4379</v>
      </c>
      <c r="E4355" s="90" t="s">
        <v>4366</v>
      </c>
      <c r="G4355" s="55" t="s">
        <v>4367</v>
      </c>
      <c r="H4355" s="55">
        <v>2015</v>
      </c>
      <c r="I4355" s="55">
        <v>2009</v>
      </c>
      <c r="J4355" s="55" t="s">
        <v>4368</v>
      </c>
      <c r="K4355" s="55" t="s">
        <v>3653</v>
      </c>
      <c r="L4355" s="55" t="s">
        <v>3377</v>
      </c>
      <c r="M4355" s="90">
        <f>40+11/60</f>
        <v>40.18333333333333</v>
      </c>
      <c r="N4355" s="90">
        <f>116+16/60</f>
        <v>116.26666666666667</v>
      </c>
      <c r="O4355" s="90">
        <v>69</v>
      </c>
      <c r="U4355" s="55" t="s">
        <v>1805</v>
      </c>
      <c r="V4355" s="55" t="s">
        <v>1688</v>
      </c>
      <c r="Y4355" s="55" t="s">
        <v>4376</v>
      </c>
      <c r="Z4355" s="55" t="s">
        <v>4374</v>
      </c>
      <c r="AA4355" s="90" t="s">
        <v>1680</v>
      </c>
      <c r="AE4355" s="90">
        <v>76</v>
      </c>
      <c r="AF4355" s="90">
        <v>23</v>
      </c>
      <c r="AH4355" s="55" t="s">
        <v>174</v>
      </c>
      <c r="AI4355" s="168">
        <v>7.2</v>
      </c>
      <c r="AJ4355" s="90">
        <v>2.12</v>
      </c>
      <c r="AM4355" s="55" t="s">
        <v>4386</v>
      </c>
      <c r="AN4355" s="185" t="s">
        <v>132</v>
      </c>
      <c r="AO4355" s="185" t="s">
        <v>5150</v>
      </c>
      <c r="AQ4355" s="55" t="s">
        <v>1545</v>
      </c>
      <c r="AR4355" s="55" t="s">
        <v>240</v>
      </c>
      <c r="AS4355" s="55" t="s">
        <v>227</v>
      </c>
      <c r="AU4355" s="181" t="s">
        <v>7494</v>
      </c>
      <c r="AV4355" s="185" t="s">
        <v>176</v>
      </c>
      <c r="AX4355" s="185" t="s">
        <v>176</v>
      </c>
      <c r="BK4355" s="55" t="s">
        <v>5976</v>
      </c>
      <c r="BM4355" s="192" t="s">
        <v>160</v>
      </c>
      <c r="BN4355" s="55">
        <v>3</v>
      </c>
      <c r="BO4355" s="55">
        <v>3</v>
      </c>
      <c r="BQ4355" s="55" t="s">
        <v>141</v>
      </c>
      <c r="BV4355" s="55" t="s">
        <v>4383</v>
      </c>
      <c r="GP4355" s="292" t="s">
        <v>7494</v>
      </c>
      <c r="IC4355" s="65">
        <v>39.72</v>
      </c>
      <c r="ID4355" s="65">
        <v>59.66</v>
      </c>
      <c r="IE4355" s="65">
        <v>11</v>
      </c>
      <c r="IF4355" s="65">
        <v>11</v>
      </c>
      <c r="IG4355" s="65" t="s">
        <v>545</v>
      </c>
    </row>
    <row r="4356" spans="1:241" x14ac:dyDescent="0.25">
      <c r="A4356" s="55">
        <v>4355</v>
      </c>
      <c r="B4356" s="12" t="s">
        <v>7067</v>
      </c>
      <c r="C4356" s="155">
        <v>191</v>
      </c>
      <c r="D4356" s="55" t="s">
        <v>4380</v>
      </c>
      <c r="E4356" s="90" t="s">
        <v>4366</v>
      </c>
      <c r="G4356" s="55" t="s">
        <v>4367</v>
      </c>
      <c r="H4356" s="55">
        <v>2015</v>
      </c>
      <c r="I4356" s="55">
        <v>2009</v>
      </c>
      <c r="J4356" s="55" t="s">
        <v>4368</v>
      </c>
      <c r="K4356" s="55" t="s">
        <v>3653</v>
      </c>
      <c r="L4356" s="55" t="s">
        <v>3377</v>
      </c>
      <c r="M4356" s="90">
        <f>40+11/60</f>
        <v>40.18333333333333</v>
      </c>
      <c r="N4356" s="90">
        <f>116+16/60</f>
        <v>116.26666666666667</v>
      </c>
      <c r="O4356" s="90">
        <v>69</v>
      </c>
      <c r="U4356" s="55" t="s">
        <v>1805</v>
      </c>
      <c r="V4356" s="55" t="s">
        <v>1688</v>
      </c>
      <c r="Y4356" s="55" t="s">
        <v>4376</v>
      </c>
      <c r="Z4356" s="55" t="s">
        <v>4375</v>
      </c>
      <c r="AA4356" s="90" t="s">
        <v>1680</v>
      </c>
      <c r="AE4356" s="90">
        <v>76</v>
      </c>
      <c r="AF4356" s="90">
        <v>23</v>
      </c>
      <c r="AH4356" s="55" t="s">
        <v>174</v>
      </c>
      <c r="AI4356" s="168">
        <v>7.2</v>
      </c>
      <c r="AJ4356" s="90">
        <v>2.12</v>
      </c>
      <c r="AM4356" s="55" t="s">
        <v>4386</v>
      </c>
      <c r="AN4356" s="185" t="s">
        <v>132</v>
      </c>
      <c r="AO4356" s="185" t="s">
        <v>5150</v>
      </c>
      <c r="AQ4356" s="55" t="s">
        <v>1545</v>
      </c>
      <c r="AR4356" s="55" t="s">
        <v>240</v>
      </c>
      <c r="AS4356" s="55" t="s">
        <v>227</v>
      </c>
      <c r="AU4356" s="181" t="s">
        <v>7494</v>
      </c>
      <c r="AV4356" s="185" t="s">
        <v>176</v>
      </c>
      <c r="AX4356" s="185" t="s">
        <v>176</v>
      </c>
      <c r="BK4356" s="55" t="s">
        <v>5976</v>
      </c>
      <c r="BM4356" s="192" t="s">
        <v>160</v>
      </c>
      <c r="BN4356" s="55">
        <v>3</v>
      </c>
      <c r="BO4356" s="55">
        <v>3</v>
      </c>
      <c r="BQ4356" s="55" t="s">
        <v>141</v>
      </c>
      <c r="BV4356" s="55" t="s">
        <v>4383</v>
      </c>
      <c r="GP4356" s="292" t="s">
        <v>7494</v>
      </c>
      <c r="IC4356" s="65">
        <v>36.19</v>
      </c>
      <c r="ID4356" s="65">
        <v>54.89</v>
      </c>
      <c r="IE4356" s="65">
        <v>11</v>
      </c>
      <c r="IF4356" s="65">
        <v>11</v>
      </c>
      <c r="IG4356" s="65" t="s">
        <v>545</v>
      </c>
    </row>
    <row r="4357" spans="1:241" x14ac:dyDescent="0.25">
      <c r="A4357" s="55">
        <v>4356</v>
      </c>
      <c r="B4357" s="12" t="s">
        <v>7067</v>
      </c>
      <c r="C4357" s="155">
        <v>191</v>
      </c>
      <c r="D4357" s="55" t="s">
        <v>4371</v>
      </c>
      <c r="E4357" s="90" t="s">
        <v>4366</v>
      </c>
      <c r="G4357" s="55" t="s">
        <v>4367</v>
      </c>
      <c r="H4357" s="55">
        <v>2015</v>
      </c>
      <c r="I4357" s="55">
        <v>2009</v>
      </c>
      <c r="J4357" s="55" t="s">
        <v>4368</v>
      </c>
      <c r="K4357" s="55" t="s">
        <v>3653</v>
      </c>
      <c r="L4357" s="55" t="s">
        <v>3377</v>
      </c>
      <c r="M4357" s="90">
        <f>40+11/60</f>
        <v>40.18333333333333</v>
      </c>
      <c r="N4357" s="90">
        <f>116+16/60</f>
        <v>116.26666666666667</v>
      </c>
      <c r="O4357" s="90">
        <v>69</v>
      </c>
      <c r="U4357" s="55" t="s">
        <v>1805</v>
      </c>
      <c r="V4357" s="55" t="s">
        <v>1688</v>
      </c>
      <c r="Y4357" s="55" t="s">
        <v>4376</v>
      </c>
      <c r="Z4357" s="55" t="s">
        <v>1356</v>
      </c>
      <c r="AA4357" s="90" t="s">
        <v>1680</v>
      </c>
      <c r="AE4357" s="90">
        <v>76</v>
      </c>
      <c r="AF4357" s="90">
        <v>23</v>
      </c>
      <c r="AH4357" s="55" t="s">
        <v>174</v>
      </c>
      <c r="AI4357" s="168">
        <v>7.2</v>
      </c>
      <c r="AJ4357" s="90">
        <v>2.12</v>
      </c>
      <c r="AM4357" s="55" t="s">
        <v>4386</v>
      </c>
      <c r="AN4357" s="185" t="s">
        <v>132</v>
      </c>
      <c r="AO4357" s="185" t="s">
        <v>5150</v>
      </c>
      <c r="AQ4357" s="55" t="s">
        <v>1545</v>
      </c>
      <c r="AR4357" s="55" t="s">
        <v>240</v>
      </c>
      <c r="AS4357" s="55" t="s">
        <v>227</v>
      </c>
      <c r="AU4357" s="181" t="s">
        <v>7494</v>
      </c>
      <c r="AV4357" s="185" t="s">
        <v>176</v>
      </c>
      <c r="AX4357" s="185" t="s">
        <v>176</v>
      </c>
      <c r="BK4357" s="55" t="s">
        <v>5976</v>
      </c>
      <c r="BM4357" s="192" t="s">
        <v>160</v>
      </c>
      <c r="BN4357" s="55">
        <v>3</v>
      </c>
      <c r="BO4357" s="55">
        <v>3</v>
      </c>
      <c r="BQ4357" s="55" t="s">
        <v>141</v>
      </c>
      <c r="BV4357" s="55" t="s">
        <v>4384</v>
      </c>
      <c r="GP4357" s="292" t="s">
        <v>7494</v>
      </c>
      <c r="IC4357" s="65">
        <v>229.5</v>
      </c>
      <c r="ID4357" s="65">
        <v>40.94</v>
      </c>
      <c r="IE4357" s="65">
        <f>248-IC4357</f>
        <v>18.5</v>
      </c>
      <c r="IF4357" s="65">
        <f>62-ID4357</f>
        <v>21.060000000000002</v>
      </c>
      <c r="IG4357" s="65" t="s">
        <v>545</v>
      </c>
    </row>
    <row r="4358" spans="1:241" x14ac:dyDescent="0.25">
      <c r="A4358" s="55">
        <v>4357</v>
      </c>
      <c r="B4358" s="12" t="s">
        <v>7067</v>
      </c>
      <c r="C4358" s="155">
        <v>191</v>
      </c>
      <c r="D4358" s="55" t="s">
        <v>4372</v>
      </c>
      <c r="E4358" s="90" t="s">
        <v>4366</v>
      </c>
      <c r="G4358" s="55" t="s">
        <v>4367</v>
      </c>
      <c r="H4358" s="55">
        <v>2015</v>
      </c>
      <c r="I4358" s="55">
        <v>2009</v>
      </c>
      <c r="J4358" s="55" t="s">
        <v>4368</v>
      </c>
      <c r="K4358" s="55" t="s">
        <v>3653</v>
      </c>
      <c r="L4358" s="55" t="s">
        <v>3377</v>
      </c>
      <c r="M4358" s="90">
        <f>40+11/60</f>
        <v>40.18333333333333</v>
      </c>
      <c r="N4358" s="90">
        <f>116+16/60</f>
        <v>116.26666666666667</v>
      </c>
      <c r="O4358" s="90">
        <v>69</v>
      </c>
      <c r="U4358" s="55" t="s">
        <v>1805</v>
      </c>
      <c r="V4358" s="55" t="s">
        <v>1688</v>
      </c>
      <c r="Y4358" s="55" t="s">
        <v>4376</v>
      </c>
      <c r="Z4358" s="55" t="s">
        <v>1369</v>
      </c>
      <c r="AA4358" s="90" t="s">
        <v>1680</v>
      </c>
      <c r="AE4358" s="90">
        <v>76</v>
      </c>
      <c r="AF4358" s="90">
        <v>23</v>
      </c>
      <c r="AH4358" s="55" t="s">
        <v>174</v>
      </c>
      <c r="AI4358" s="168">
        <v>7.2</v>
      </c>
      <c r="AJ4358" s="90">
        <v>2.12</v>
      </c>
      <c r="AM4358" s="55" t="s">
        <v>4386</v>
      </c>
      <c r="AN4358" s="185" t="s">
        <v>132</v>
      </c>
      <c r="AO4358" s="185" t="s">
        <v>5150</v>
      </c>
      <c r="AQ4358" s="55" t="s">
        <v>1545</v>
      </c>
      <c r="AR4358" s="55" t="s">
        <v>240</v>
      </c>
      <c r="AS4358" s="55" t="s">
        <v>227</v>
      </c>
      <c r="AU4358" s="181" t="s">
        <v>7494</v>
      </c>
      <c r="AV4358" s="185" t="s">
        <v>176</v>
      </c>
      <c r="AX4358" s="185" t="s">
        <v>176</v>
      </c>
      <c r="BK4358" s="55" t="s">
        <v>5976</v>
      </c>
      <c r="BM4358" s="192" t="s">
        <v>160</v>
      </c>
      <c r="BN4358" s="55">
        <v>3</v>
      </c>
      <c r="BO4358" s="55">
        <v>3</v>
      </c>
      <c r="BQ4358" s="55" t="s">
        <v>141</v>
      </c>
      <c r="BV4358" s="55" t="s">
        <v>4384</v>
      </c>
      <c r="GP4358" s="292" t="s">
        <v>7494</v>
      </c>
      <c r="IC4358" s="65">
        <v>107.9</v>
      </c>
      <c r="ID4358" s="65">
        <v>13.65</v>
      </c>
      <c r="IE4358" s="65">
        <f>134-IC4358</f>
        <v>26.099999999999994</v>
      </c>
      <c r="IF4358" s="65">
        <f>21-ID4358</f>
        <v>7.35</v>
      </c>
      <c r="IG4358" s="65" t="s">
        <v>545</v>
      </c>
    </row>
    <row r="4359" spans="1:241" x14ac:dyDescent="0.25">
      <c r="A4359" s="55">
        <v>4358</v>
      </c>
      <c r="B4359" s="12" t="s">
        <v>7067</v>
      </c>
      <c r="C4359" s="155">
        <v>191</v>
      </c>
      <c r="D4359" s="55" t="s">
        <v>4377</v>
      </c>
      <c r="E4359" s="90" t="s">
        <v>4366</v>
      </c>
      <c r="G4359" s="55" t="s">
        <v>4367</v>
      </c>
      <c r="H4359" s="55">
        <v>2015</v>
      </c>
      <c r="I4359" s="55">
        <v>2009</v>
      </c>
      <c r="J4359" s="55" t="s">
        <v>4368</v>
      </c>
      <c r="K4359" s="55" t="s">
        <v>3653</v>
      </c>
      <c r="L4359" s="55" t="s">
        <v>3377</v>
      </c>
      <c r="M4359" s="90">
        <f>40+11/60</f>
        <v>40.18333333333333</v>
      </c>
      <c r="N4359" s="90">
        <f>116+16/60</f>
        <v>116.26666666666667</v>
      </c>
      <c r="O4359" s="90">
        <v>69</v>
      </c>
      <c r="U4359" s="55" t="s">
        <v>1805</v>
      </c>
      <c r="V4359" s="55" t="s">
        <v>1688</v>
      </c>
      <c r="Y4359" s="55" t="s">
        <v>4376</v>
      </c>
      <c r="Z4359" s="55" t="s">
        <v>1370</v>
      </c>
      <c r="AA4359" s="90" t="s">
        <v>1680</v>
      </c>
      <c r="AE4359" s="90">
        <v>76</v>
      </c>
      <c r="AF4359" s="90">
        <v>23</v>
      </c>
      <c r="AH4359" s="55" t="s">
        <v>174</v>
      </c>
      <c r="AI4359" s="168">
        <v>7.2</v>
      </c>
      <c r="AJ4359" s="90">
        <v>2.12</v>
      </c>
      <c r="AM4359" s="55" t="s">
        <v>4386</v>
      </c>
      <c r="AN4359" s="185" t="s">
        <v>132</v>
      </c>
      <c r="AO4359" s="185" t="s">
        <v>5150</v>
      </c>
      <c r="AQ4359" s="55" t="s">
        <v>1545</v>
      </c>
      <c r="AR4359" s="55" t="s">
        <v>240</v>
      </c>
      <c r="AS4359" s="55" t="s">
        <v>227</v>
      </c>
      <c r="AU4359" s="181" t="s">
        <v>7494</v>
      </c>
      <c r="AV4359" s="185" t="s">
        <v>176</v>
      </c>
      <c r="AX4359" s="185" t="s">
        <v>176</v>
      </c>
      <c r="BK4359" s="55" t="s">
        <v>5976</v>
      </c>
      <c r="BM4359" s="192" t="s">
        <v>160</v>
      </c>
      <c r="BN4359" s="55">
        <v>3</v>
      </c>
      <c r="BO4359" s="55">
        <v>3</v>
      </c>
      <c r="BQ4359" s="55" t="s">
        <v>141</v>
      </c>
      <c r="BV4359" s="55" t="s">
        <v>4384</v>
      </c>
      <c r="GP4359" s="292" t="s">
        <v>7494</v>
      </c>
      <c r="IC4359" s="65">
        <v>138.96</v>
      </c>
      <c r="ID4359" s="65">
        <v>17.37</v>
      </c>
      <c r="IE4359" s="65">
        <f>163.77-IC4359</f>
        <v>24.810000000000002</v>
      </c>
      <c r="IF4359" s="65">
        <v>5</v>
      </c>
      <c r="IG4359" s="65" t="s">
        <v>545</v>
      </c>
    </row>
    <row r="4360" spans="1:241" x14ac:dyDescent="0.25">
      <c r="A4360" s="55">
        <v>4359</v>
      </c>
      <c r="B4360" s="12" t="s">
        <v>7067</v>
      </c>
      <c r="C4360" s="155">
        <v>191</v>
      </c>
      <c r="D4360" s="55" t="s">
        <v>4378</v>
      </c>
      <c r="E4360" s="90" t="s">
        <v>4366</v>
      </c>
      <c r="G4360" s="55" t="s">
        <v>4367</v>
      </c>
      <c r="H4360" s="55">
        <v>2015</v>
      </c>
      <c r="I4360" s="55">
        <v>2009</v>
      </c>
      <c r="J4360" s="55" t="s">
        <v>4368</v>
      </c>
      <c r="K4360" s="55" t="s">
        <v>3653</v>
      </c>
      <c r="L4360" s="55" t="s">
        <v>3377</v>
      </c>
      <c r="M4360" s="90">
        <f>40+11/60</f>
        <v>40.18333333333333</v>
      </c>
      <c r="N4360" s="90">
        <f>116+16/60</f>
        <v>116.26666666666667</v>
      </c>
      <c r="O4360" s="90">
        <v>69</v>
      </c>
      <c r="U4360" s="55" t="s">
        <v>1805</v>
      </c>
      <c r="V4360" s="55" t="s">
        <v>1688</v>
      </c>
      <c r="Y4360" s="55" t="s">
        <v>4376</v>
      </c>
      <c r="Z4360" s="55" t="s">
        <v>1382</v>
      </c>
      <c r="AA4360" s="90" t="s">
        <v>1680</v>
      </c>
      <c r="AE4360" s="90">
        <v>76</v>
      </c>
      <c r="AF4360" s="90">
        <v>23</v>
      </c>
      <c r="AH4360" s="55" t="s">
        <v>174</v>
      </c>
      <c r="AI4360" s="168">
        <v>7.2</v>
      </c>
      <c r="AJ4360" s="90">
        <v>2.12</v>
      </c>
      <c r="AM4360" s="55" t="s">
        <v>4386</v>
      </c>
      <c r="AN4360" s="185" t="s">
        <v>132</v>
      </c>
      <c r="AO4360" s="185" t="s">
        <v>5150</v>
      </c>
      <c r="AQ4360" s="55" t="s">
        <v>1545</v>
      </c>
      <c r="AR4360" s="55" t="s">
        <v>240</v>
      </c>
      <c r="AS4360" s="55" t="s">
        <v>227</v>
      </c>
      <c r="AU4360" s="181" t="s">
        <v>7494</v>
      </c>
      <c r="AV4360" s="185" t="s">
        <v>176</v>
      </c>
      <c r="AX4360" s="185" t="s">
        <v>176</v>
      </c>
      <c r="BK4360" s="55" t="s">
        <v>5976</v>
      </c>
      <c r="BM4360" s="192" t="s">
        <v>160</v>
      </c>
      <c r="BN4360" s="55">
        <v>3</v>
      </c>
      <c r="BO4360" s="55">
        <v>3</v>
      </c>
      <c r="BQ4360" s="55" t="s">
        <v>141</v>
      </c>
      <c r="BV4360" s="55" t="s">
        <v>4384</v>
      </c>
      <c r="GP4360" s="292" t="s">
        <v>7494</v>
      </c>
      <c r="IC4360" s="65">
        <v>107.94</v>
      </c>
      <c r="ID4360" s="65">
        <v>55.83</v>
      </c>
      <c r="IE4360" s="65">
        <f>131.51-IC4360</f>
        <v>23.569999999999993</v>
      </c>
      <c r="IF4360" s="65">
        <f>78-ID4360</f>
        <v>22.17</v>
      </c>
      <c r="IG4360" s="65" t="s">
        <v>545</v>
      </c>
    </row>
    <row r="4361" spans="1:241" x14ac:dyDescent="0.25">
      <c r="A4361" s="55">
        <v>4360</v>
      </c>
      <c r="B4361" s="12" t="s">
        <v>7067</v>
      </c>
      <c r="C4361" s="155">
        <v>191</v>
      </c>
      <c r="D4361" s="55" t="s">
        <v>4379</v>
      </c>
      <c r="E4361" s="90" t="s">
        <v>4366</v>
      </c>
      <c r="G4361" s="55" t="s">
        <v>4367</v>
      </c>
      <c r="H4361" s="55">
        <v>2015</v>
      </c>
      <c r="I4361" s="55">
        <v>2009</v>
      </c>
      <c r="J4361" s="55" t="s">
        <v>4368</v>
      </c>
      <c r="K4361" s="55" t="s">
        <v>3653</v>
      </c>
      <c r="L4361" s="55" t="s">
        <v>3377</v>
      </c>
      <c r="M4361" s="90">
        <f>40+11/60</f>
        <v>40.18333333333333</v>
      </c>
      <c r="N4361" s="90">
        <f>116+16/60</f>
        <v>116.26666666666667</v>
      </c>
      <c r="O4361" s="90">
        <v>69</v>
      </c>
      <c r="U4361" s="55" t="s">
        <v>1805</v>
      </c>
      <c r="V4361" s="55" t="s">
        <v>1688</v>
      </c>
      <c r="Y4361" s="55" t="s">
        <v>4376</v>
      </c>
      <c r="Z4361" s="55" t="s">
        <v>4374</v>
      </c>
      <c r="AA4361" s="90" t="s">
        <v>1680</v>
      </c>
      <c r="AE4361" s="90">
        <v>76</v>
      </c>
      <c r="AF4361" s="90">
        <v>23</v>
      </c>
      <c r="AH4361" s="55" t="s">
        <v>174</v>
      </c>
      <c r="AI4361" s="168">
        <v>7.2</v>
      </c>
      <c r="AJ4361" s="90">
        <v>2.12</v>
      </c>
      <c r="AM4361" s="55" t="s">
        <v>4386</v>
      </c>
      <c r="AN4361" s="185" t="s">
        <v>132</v>
      </c>
      <c r="AO4361" s="185" t="s">
        <v>5150</v>
      </c>
      <c r="AQ4361" s="55" t="s">
        <v>1545</v>
      </c>
      <c r="AR4361" s="55" t="s">
        <v>240</v>
      </c>
      <c r="AS4361" s="55" t="s">
        <v>227</v>
      </c>
      <c r="AU4361" s="181" t="s">
        <v>7494</v>
      </c>
      <c r="AV4361" s="185" t="s">
        <v>176</v>
      </c>
      <c r="AX4361" s="185" t="s">
        <v>176</v>
      </c>
      <c r="BK4361" s="55" t="s">
        <v>5976</v>
      </c>
      <c r="BM4361" s="192" t="s">
        <v>160</v>
      </c>
      <c r="BN4361" s="55">
        <v>3</v>
      </c>
      <c r="BO4361" s="55">
        <v>3</v>
      </c>
      <c r="BQ4361" s="55" t="s">
        <v>141</v>
      </c>
      <c r="BV4361" s="55" t="s">
        <v>4384</v>
      </c>
      <c r="GP4361" s="292" t="s">
        <v>7494</v>
      </c>
      <c r="IC4361" s="65">
        <v>23.57</v>
      </c>
      <c r="ID4361" s="65">
        <v>77</v>
      </c>
      <c r="IE4361" s="65">
        <v>5</v>
      </c>
      <c r="IF4361" s="65">
        <v>5</v>
      </c>
      <c r="IG4361" s="65" t="s">
        <v>545</v>
      </c>
    </row>
    <row r="4362" spans="1:241" x14ac:dyDescent="0.25">
      <c r="A4362" s="55">
        <v>4361</v>
      </c>
      <c r="B4362" s="12" t="s">
        <v>7067</v>
      </c>
      <c r="C4362" s="155">
        <v>191</v>
      </c>
      <c r="D4362" s="55" t="s">
        <v>4380</v>
      </c>
      <c r="E4362" s="90" t="s">
        <v>4366</v>
      </c>
      <c r="G4362" s="55" t="s">
        <v>4367</v>
      </c>
      <c r="H4362" s="55">
        <v>2015</v>
      </c>
      <c r="I4362" s="55">
        <v>2009</v>
      </c>
      <c r="J4362" s="55" t="s">
        <v>4368</v>
      </c>
      <c r="K4362" s="55" t="s">
        <v>3653</v>
      </c>
      <c r="L4362" s="55" t="s">
        <v>3377</v>
      </c>
      <c r="M4362" s="90">
        <f>40+11/60</f>
        <v>40.18333333333333</v>
      </c>
      <c r="N4362" s="90">
        <f>116+16/60</f>
        <v>116.26666666666667</v>
      </c>
      <c r="O4362" s="90">
        <v>69</v>
      </c>
      <c r="U4362" s="55" t="s">
        <v>1805</v>
      </c>
      <c r="V4362" s="55" t="s">
        <v>1688</v>
      </c>
      <c r="Y4362" s="55" t="s">
        <v>4376</v>
      </c>
      <c r="Z4362" s="55" t="s">
        <v>4375</v>
      </c>
      <c r="AA4362" s="90" t="s">
        <v>1680</v>
      </c>
      <c r="AE4362" s="90">
        <v>76</v>
      </c>
      <c r="AF4362" s="90">
        <v>23</v>
      </c>
      <c r="AH4362" s="55" t="s">
        <v>174</v>
      </c>
      <c r="AI4362" s="168">
        <v>7.2</v>
      </c>
      <c r="AJ4362" s="90">
        <v>2.12</v>
      </c>
      <c r="AM4362" s="55" t="s">
        <v>4386</v>
      </c>
      <c r="AN4362" s="185" t="s">
        <v>132</v>
      </c>
      <c r="AO4362" s="185" t="s">
        <v>5150</v>
      </c>
      <c r="AQ4362" s="55" t="s">
        <v>1545</v>
      </c>
      <c r="AR4362" s="55" t="s">
        <v>240</v>
      </c>
      <c r="AS4362" s="55" t="s">
        <v>227</v>
      </c>
      <c r="AU4362" s="181" t="s">
        <v>7494</v>
      </c>
      <c r="AV4362" s="185" t="s">
        <v>176</v>
      </c>
      <c r="AX4362" s="185" t="s">
        <v>176</v>
      </c>
      <c r="BK4362" s="55" t="s">
        <v>5976</v>
      </c>
      <c r="BM4362" s="192" t="s">
        <v>160</v>
      </c>
      <c r="BN4362" s="55">
        <v>3</v>
      </c>
      <c r="BO4362" s="55">
        <v>3</v>
      </c>
      <c r="BQ4362" s="55" t="s">
        <v>141</v>
      </c>
      <c r="BV4362" s="55" t="s">
        <v>4384</v>
      </c>
      <c r="GP4362" s="292" t="s">
        <v>7494</v>
      </c>
      <c r="IC4362" s="65">
        <v>24.81</v>
      </c>
      <c r="ID4362" s="65">
        <v>25</v>
      </c>
      <c r="IE4362" s="65">
        <v>5</v>
      </c>
      <c r="IF4362" s="65">
        <v>5</v>
      </c>
      <c r="IG4362" s="65" t="s">
        <v>545</v>
      </c>
    </row>
    <row r="4363" spans="1:241" x14ac:dyDescent="0.25">
      <c r="A4363" s="55">
        <v>4362</v>
      </c>
      <c r="B4363" s="12" t="s">
        <v>7067</v>
      </c>
      <c r="C4363" s="155">
        <v>191</v>
      </c>
      <c r="D4363" s="55" t="s">
        <v>4371</v>
      </c>
      <c r="E4363" s="90" t="s">
        <v>4366</v>
      </c>
      <c r="G4363" s="55" t="s">
        <v>4367</v>
      </c>
      <c r="H4363" s="55">
        <v>2015</v>
      </c>
      <c r="I4363" s="55">
        <v>2009</v>
      </c>
      <c r="J4363" s="55" t="s">
        <v>4368</v>
      </c>
      <c r="K4363" s="55" t="s">
        <v>3653</v>
      </c>
      <c r="L4363" s="55" t="s">
        <v>3377</v>
      </c>
      <c r="M4363" s="90">
        <f>40+11/60</f>
        <v>40.18333333333333</v>
      </c>
      <c r="N4363" s="90">
        <f>116+16/60</f>
        <v>116.26666666666667</v>
      </c>
      <c r="O4363" s="90">
        <v>69</v>
      </c>
      <c r="U4363" s="55" t="s">
        <v>1805</v>
      </c>
      <c r="V4363" s="55" t="s">
        <v>1688</v>
      </c>
      <c r="Y4363" s="55" t="s">
        <v>4376</v>
      </c>
      <c r="Z4363" s="55" t="s">
        <v>1356</v>
      </c>
      <c r="AA4363" s="90" t="s">
        <v>1680</v>
      </c>
      <c r="AE4363" s="90">
        <v>76</v>
      </c>
      <c r="AF4363" s="90">
        <v>23</v>
      </c>
      <c r="AH4363" s="55" t="s">
        <v>174</v>
      </c>
      <c r="AI4363" s="168">
        <v>7.2</v>
      </c>
      <c r="AJ4363" s="90">
        <v>2.12</v>
      </c>
      <c r="AM4363" s="55" t="s">
        <v>4386</v>
      </c>
      <c r="AN4363" s="185" t="s">
        <v>132</v>
      </c>
      <c r="AO4363" s="185" t="s">
        <v>5150</v>
      </c>
      <c r="AQ4363" s="55" t="s">
        <v>1545</v>
      </c>
      <c r="AR4363" s="55" t="s">
        <v>240</v>
      </c>
      <c r="AS4363" s="55" t="s">
        <v>227</v>
      </c>
      <c r="AU4363" s="181" t="s">
        <v>7494</v>
      </c>
      <c r="AV4363" s="185" t="s">
        <v>176</v>
      </c>
      <c r="AX4363" s="185" t="s">
        <v>176</v>
      </c>
      <c r="BK4363" s="55" t="s">
        <v>5976</v>
      </c>
      <c r="BM4363" s="192" t="s">
        <v>160</v>
      </c>
      <c r="BN4363" s="55">
        <v>3</v>
      </c>
      <c r="BO4363" s="55">
        <v>3</v>
      </c>
      <c r="BQ4363" s="55" t="s">
        <v>141</v>
      </c>
      <c r="BV4363" s="55" t="s">
        <v>4385</v>
      </c>
      <c r="GP4363" s="292" t="s">
        <v>7494</v>
      </c>
      <c r="IC4363" s="65">
        <v>325.68</v>
      </c>
      <c r="ID4363" s="65">
        <v>308</v>
      </c>
      <c r="IE4363" s="65">
        <f>364-IC4363</f>
        <v>38.319999999999993</v>
      </c>
      <c r="IF4363" s="65">
        <f>364-ID4363</f>
        <v>56</v>
      </c>
      <c r="IG4363" s="65" t="s">
        <v>545</v>
      </c>
    </row>
    <row r="4364" spans="1:241" x14ac:dyDescent="0.25">
      <c r="A4364" s="55">
        <v>4363</v>
      </c>
      <c r="B4364" s="12" t="s">
        <v>7067</v>
      </c>
      <c r="C4364" s="155">
        <v>191</v>
      </c>
      <c r="D4364" s="55" t="s">
        <v>4372</v>
      </c>
      <c r="E4364" s="90" t="s">
        <v>4366</v>
      </c>
      <c r="G4364" s="55" t="s">
        <v>4367</v>
      </c>
      <c r="H4364" s="55">
        <v>2015</v>
      </c>
      <c r="I4364" s="55">
        <v>2009</v>
      </c>
      <c r="J4364" s="55" t="s">
        <v>4368</v>
      </c>
      <c r="K4364" s="55" t="s">
        <v>3653</v>
      </c>
      <c r="L4364" s="55" t="s">
        <v>3377</v>
      </c>
      <c r="M4364" s="90">
        <f>40+11/60</f>
        <v>40.18333333333333</v>
      </c>
      <c r="N4364" s="90">
        <f>116+16/60</f>
        <v>116.26666666666667</v>
      </c>
      <c r="O4364" s="90">
        <v>69</v>
      </c>
      <c r="U4364" s="55" t="s">
        <v>1805</v>
      </c>
      <c r="V4364" s="55" t="s">
        <v>1688</v>
      </c>
      <c r="Y4364" s="55" t="s">
        <v>4376</v>
      </c>
      <c r="Z4364" s="55" t="s">
        <v>1369</v>
      </c>
      <c r="AA4364" s="90" t="s">
        <v>1680</v>
      </c>
      <c r="AE4364" s="90">
        <v>76</v>
      </c>
      <c r="AF4364" s="90">
        <v>23</v>
      </c>
      <c r="AH4364" s="55" t="s">
        <v>174</v>
      </c>
      <c r="AI4364" s="168">
        <v>7.2</v>
      </c>
      <c r="AJ4364" s="90">
        <v>2.12</v>
      </c>
      <c r="AM4364" s="55" t="s">
        <v>4386</v>
      </c>
      <c r="AN4364" s="185" t="s">
        <v>132</v>
      </c>
      <c r="AO4364" s="185" t="s">
        <v>5150</v>
      </c>
      <c r="AQ4364" s="55" t="s">
        <v>1545</v>
      </c>
      <c r="AR4364" s="55" t="s">
        <v>240</v>
      </c>
      <c r="AS4364" s="55" t="s">
        <v>227</v>
      </c>
      <c r="AU4364" s="181" t="s">
        <v>7494</v>
      </c>
      <c r="AV4364" s="185" t="s">
        <v>176</v>
      </c>
      <c r="AX4364" s="185" t="s">
        <v>176</v>
      </c>
      <c r="BK4364" s="55" t="s">
        <v>5976</v>
      </c>
      <c r="BM4364" s="192" t="s">
        <v>160</v>
      </c>
      <c r="BN4364" s="55">
        <v>3</v>
      </c>
      <c r="BO4364" s="55">
        <v>3</v>
      </c>
      <c r="BQ4364" s="55" t="s">
        <v>141</v>
      </c>
      <c r="BV4364" s="55" t="s">
        <v>4385</v>
      </c>
      <c r="GP4364" s="292" t="s">
        <v>7494</v>
      </c>
      <c r="IC4364" s="65">
        <v>103.94</v>
      </c>
      <c r="ID4364" s="65">
        <v>136</v>
      </c>
      <c r="IE4364" s="65">
        <f>175-IC4364</f>
        <v>71.06</v>
      </c>
      <c r="IF4364" s="65">
        <f>175-ID4364</f>
        <v>39</v>
      </c>
      <c r="IG4364" s="65" t="s">
        <v>545</v>
      </c>
    </row>
    <row r="4365" spans="1:241" x14ac:dyDescent="0.25">
      <c r="A4365" s="55">
        <v>4364</v>
      </c>
      <c r="B4365" s="12" t="s">
        <v>7067</v>
      </c>
      <c r="C4365" s="155">
        <v>191</v>
      </c>
      <c r="D4365" s="55" t="s">
        <v>4377</v>
      </c>
      <c r="E4365" s="90" t="s">
        <v>4366</v>
      </c>
      <c r="G4365" s="55" t="s">
        <v>4367</v>
      </c>
      <c r="H4365" s="55">
        <v>2015</v>
      </c>
      <c r="I4365" s="55">
        <v>2009</v>
      </c>
      <c r="J4365" s="55" t="s">
        <v>4368</v>
      </c>
      <c r="K4365" s="55" t="s">
        <v>3653</v>
      </c>
      <c r="L4365" s="55" t="s">
        <v>3377</v>
      </c>
      <c r="M4365" s="90">
        <f>40+11/60</f>
        <v>40.18333333333333</v>
      </c>
      <c r="N4365" s="90">
        <f>116+16/60</f>
        <v>116.26666666666667</v>
      </c>
      <c r="O4365" s="90">
        <v>69</v>
      </c>
      <c r="U4365" s="55" t="s">
        <v>1805</v>
      </c>
      <c r="V4365" s="55" t="s">
        <v>1688</v>
      </c>
      <c r="Y4365" s="55" t="s">
        <v>4376</v>
      </c>
      <c r="Z4365" s="55" t="s">
        <v>1370</v>
      </c>
      <c r="AA4365" s="90" t="s">
        <v>1680</v>
      </c>
      <c r="AE4365" s="90">
        <v>76</v>
      </c>
      <c r="AF4365" s="90">
        <v>23</v>
      </c>
      <c r="AH4365" s="55" t="s">
        <v>174</v>
      </c>
      <c r="AI4365" s="168">
        <v>7.2</v>
      </c>
      <c r="AJ4365" s="90">
        <v>2.12</v>
      </c>
      <c r="AM4365" s="55" t="s">
        <v>4386</v>
      </c>
      <c r="AN4365" s="185" t="s">
        <v>132</v>
      </c>
      <c r="AO4365" s="185" t="s">
        <v>5150</v>
      </c>
      <c r="AQ4365" s="55" t="s">
        <v>1545</v>
      </c>
      <c r="AR4365" s="55" t="s">
        <v>240</v>
      </c>
      <c r="AS4365" s="55" t="s">
        <v>227</v>
      </c>
      <c r="AU4365" s="181" t="s">
        <v>7494</v>
      </c>
      <c r="AV4365" s="185" t="s">
        <v>176</v>
      </c>
      <c r="AX4365" s="185" t="s">
        <v>176</v>
      </c>
      <c r="BK4365" s="55" t="s">
        <v>5976</v>
      </c>
      <c r="BM4365" s="192" t="s">
        <v>160</v>
      </c>
      <c r="BN4365" s="55">
        <v>3</v>
      </c>
      <c r="BO4365" s="55">
        <v>3</v>
      </c>
      <c r="BQ4365" s="55" t="s">
        <v>141</v>
      </c>
      <c r="BV4365" s="55" t="s">
        <v>4385</v>
      </c>
      <c r="GP4365" s="292" t="s">
        <v>7494</v>
      </c>
      <c r="IC4365" s="65">
        <v>104</v>
      </c>
      <c r="ID4365" s="65">
        <v>94</v>
      </c>
      <c r="IE4365" s="65">
        <f>124-IC4365</f>
        <v>20</v>
      </c>
      <c r="IF4365" s="65">
        <f>124-ID4365</f>
        <v>30</v>
      </c>
      <c r="IG4365" s="65" t="s">
        <v>545</v>
      </c>
    </row>
    <row r="4366" spans="1:241" x14ac:dyDescent="0.25">
      <c r="A4366" s="55">
        <v>4365</v>
      </c>
      <c r="B4366" s="12" t="s">
        <v>7067</v>
      </c>
      <c r="C4366" s="155">
        <v>191</v>
      </c>
      <c r="D4366" s="55" t="s">
        <v>4378</v>
      </c>
      <c r="E4366" s="90" t="s">
        <v>4366</v>
      </c>
      <c r="G4366" s="55" t="s">
        <v>4367</v>
      </c>
      <c r="H4366" s="55">
        <v>2015</v>
      </c>
      <c r="I4366" s="55">
        <v>2009</v>
      </c>
      <c r="J4366" s="55" t="s">
        <v>4368</v>
      </c>
      <c r="K4366" s="55" t="s">
        <v>3653</v>
      </c>
      <c r="L4366" s="55" t="s">
        <v>3377</v>
      </c>
      <c r="M4366" s="90">
        <f>40+11/60</f>
        <v>40.18333333333333</v>
      </c>
      <c r="N4366" s="90">
        <f>116+16/60</f>
        <v>116.26666666666667</v>
      </c>
      <c r="O4366" s="90">
        <v>69</v>
      </c>
      <c r="U4366" s="55" t="s">
        <v>1805</v>
      </c>
      <c r="V4366" s="55" t="s">
        <v>1688</v>
      </c>
      <c r="Y4366" s="55" t="s">
        <v>4376</v>
      </c>
      <c r="Z4366" s="55" t="s">
        <v>1382</v>
      </c>
      <c r="AA4366" s="90" t="s">
        <v>1680</v>
      </c>
      <c r="AE4366" s="90">
        <v>76</v>
      </c>
      <c r="AF4366" s="90">
        <v>23</v>
      </c>
      <c r="AH4366" s="55" t="s">
        <v>174</v>
      </c>
      <c r="AI4366" s="168">
        <v>7.2</v>
      </c>
      <c r="AJ4366" s="90">
        <v>2.12</v>
      </c>
      <c r="AM4366" s="55" t="s">
        <v>4386</v>
      </c>
      <c r="AN4366" s="185" t="s">
        <v>132</v>
      </c>
      <c r="AO4366" s="185" t="s">
        <v>5150</v>
      </c>
      <c r="AQ4366" s="55" t="s">
        <v>1545</v>
      </c>
      <c r="AR4366" s="55" t="s">
        <v>240</v>
      </c>
      <c r="AS4366" s="55" t="s">
        <v>227</v>
      </c>
      <c r="AU4366" s="181" t="s">
        <v>7494</v>
      </c>
      <c r="AV4366" s="185" t="s">
        <v>176</v>
      </c>
      <c r="AX4366" s="185" t="s">
        <v>176</v>
      </c>
      <c r="BK4366" s="55" t="s">
        <v>5976</v>
      </c>
      <c r="BM4366" s="192" t="s">
        <v>160</v>
      </c>
      <c r="BN4366" s="55">
        <v>3</v>
      </c>
      <c r="BO4366" s="55">
        <v>3</v>
      </c>
      <c r="BQ4366" s="55" t="s">
        <v>141</v>
      </c>
      <c r="BV4366" s="55" t="s">
        <v>4385</v>
      </c>
      <c r="GP4366" s="292" t="s">
        <v>7494</v>
      </c>
      <c r="IC4366" s="65">
        <v>76.900000000000006</v>
      </c>
      <c r="ID4366" s="65">
        <v>74.400000000000006</v>
      </c>
      <c r="IE4366" s="65">
        <f>89-IC4366</f>
        <v>12.099999999999994</v>
      </c>
      <c r="IF4366" s="65">
        <f>89-ID4366</f>
        <v>14.599999999999994</v>
      </c>
      <c r="IG4366" s="65" t="s">
        <v>545</v>
      </c>
    </row>
    <row r="4367" spans="1:241" x14ac:dyDescent="0.25">
      <c r="A4367" s="55">
        <v>4366</v>
      </c>
      <c r="B4367" s="12" t="s">
        <v>7067</v>
      </c>
      <c r="C4367" s="155">
        <v>191</v>
      </c>
      <c r="D4367" s="55" t="s">
        <v>4379</v>
      </c>
      <c r="E4367" s="90" t="s">
        <v>4366</v>
      </c>
      <c r="G4367" s="55" t="s">
        <v>4367</v>
      </c>
      <c r="H4367" s="55">
        <v>2015</v>
      </c>
      <c r="I4367" s="55">
        <v>2009</v>
      </c>
      <c r="J4367" s="55" t="s">
        <v>4368</v>
      </c>
      <c r="K4367" s="55" t="s">
        <v>3653</v>
      </c>
      <c r="L4367" s="55" t="s">
        <v>3377</v>
      </c>
      <c r="M4367" s="90">
        <f>40+11/60</f>
        <v>40.18333333333333</v>
      </c>
      <c r="N4367" s="90">
        <f>116+16/60</f>
        <v>116.26666666666667</v>
      </c>
      <c r="O4367" s="90">
        <v>69</v>
      </c>
      <c r="U4367" s="55" t="s">
        <v>1805</v>
      </c>
      <c r="V4367" s="55" t="s">
        <v>1688</v>
      </c>
      <c r="Y4367" s="55" t="s">
        <v>4376</v>
      </c>
      <c r="Z4367" s="55" t="s">
        <v>4374</v>
      </c>
      <c r="AA4367" s="90" t="s">
        <v>1680</v>
      </c>
      <c r="AE4367" s="90">
        <v>76</v>
      </c>
      <c r="AF4367" s="90">
        <v>23</v>
      </c>
      <c r="AH4367" s="55" t="s">
        <v>174</v>
      </c>
      <c r="AI4367" s="168">
        <v>7.2</v>
      </c>
      <c r="AJ4367" s="90">
        <v>2.12</v>
      </c>
      <c r="AM4367" s="55" t="s">
        <v>4386</v>
      </c>
      <c r="AN4367" s="185" t="s">
        <v>132</v>
      </c>
      <c r="AO4367" s="185" t="s">
        <v>5150</v>
      </c>
      <c r="AQ4367" s="55" t="s">
        <v>1545</v>
      </c>
      <c r="AR4367" s="55" t="s">
        <v>240</v>
      </c>
      <c r="AS4367" s="55" t="s">
        <v>227</v>
      </c>
      <c r="AU4367" s="181" t="s">
        <v>7494</v>
      </c>
      <c r="AV4367" s="185" t="s">
        <v>176</v>
      </c>
      <c r="AX4367" s="185" t="s">
        <v>176</v>
      </c>
      <c r="BK4367" s="55" t="s">
        <v>5976</v>
      </c>
      <c r="BM4367" s="192" t="s">
        <v>160</v>
      </c>
      <c r="BN4367" s="55">
        <v>3</v>
      </c>
      <c r="BO4367" s="55">
        <v>3</v>
      </c>
      <c r="BQ4367" s="55" t="s">
        <v>141</v>
      </c>
      <c r="BV4367" s="55" t="s">
        <v>4385</v>
      </c>
      <c r="GP4367" s="292" t="s">
        <v>7494</v>
      </c>
      <c r="IC4367" s="65">
        <v>44.73</v>
      </c>
      <c r="ID4367" s="65">
        <v>70.900000000000006</v>
      </c>
      <c r="IE4367" s="65">
        <f>92-IC4367</f>
        <v>47.27</v>
      </c>
      <c r="IF4367" s="65">
        <f>92-ID4367</f>
        <v>21.099999999999994</v>
      </c>
      <c r="IG4367" s="65" t="s">
        <v>545</v>
      </c>
    </row>
    <row r="4368" spans="1:241" x14ac:dyDescent="0.25">
      <c r="A4368" s="55">
        <v>4367</v>
      </c>
      <c r="B4368" s="12" t="s">
        <v>7067</v>
      </c>
      <c r="C4368" s="155">
        <v>191</v>
      </c>
      <c r="D4368" s="55" t="s">
        <v>4380</v>
      </c>
      <c r="E4368" s="90" t="s">
        <v>4366</v>
      </c>
      <c r="G4368" s="55" t="s">
        <v>4367</v>
      </c>
      <c r="H4368" s="55">
        <v>2015</v>
      </c>
      <c r="I4368" s="55">
        <v>2009</v>
      </c>
      <c r="J4368" s="55" t="s">
        <v>4368</v>
      </c>
      <c r="K4368" s="55" t="s">
        <v>3653</v>
      </c>
      <c r="L4368" s="55" t="s">
        <v>3377</v>
      </c>
      <c r="M4368" s="90">
        <f>40+11/60</f>
        <v>40.18333333333333</v>
      </c>
      <c r="N4368" s="90">
        <f>116+16/60</f>
        <v>116.26666666666667</v>
      </c>
      <c r="O4368" s="90">
        <v>69</v>
      </c>
      <c r="U4368" s="55" t="s">
        <v>1805</v>
      </c>
      <c r="V4368" s="55" t="s">
        <v>1688</v>
      </c>
      <c r="Y4368" s="55" t="s">
        <v>4376</v>
      </c>
      <c r="Z4368" s="55" t="s">
        <v>4375</v>
      </c>
      <c r="AA4368" s="90" t="s">
        <v>1680</v>
      </c>
      <c r="AE4368" s="90">
        <v>76</v>
      </c>
      <c r="AF4368" s="90">
        <v>23</v>
      </c>
      <c r="AH4368" s="55" t="s">
        <v>174</v>
      </c>
      <c r="AI4368" s="168">
        <v>7.2</v>
      </c>
      <c r="AJ4368" s="90">
        <v>2.12</v>
      </c>
      <c r="AM4368" s="55" t="s">
        <v>4386</v>
      </c>
      <c r="AN4368" s="185" t="s">
        <v>132</v>
      </c>
      <c r="AO4368" s="185" t="s">
        <v>5150</v>
      </c>
      <c r="AQ4368" s="55" t="s">
        <v>1545</v>
      </c>
      <c r="AR4368" s="55" t="s">
        <v>240</v>
      </c>
      <c r="AS4368" s="55" t="s">
        <v>227</v>
      </c>
      <c r="AU4368" s="181" t="s">
        <v>7494</v>
      </c>
      <c r="AV4368" s="185" t="s">
        <v>176</v>
      </c>
      <c r="AX4368" s="185" t="s">
        <v>176</v>
      </c>
      <c r="BK4368" s="55" t="s">
        <v>5976</v>
      </c>
      <c r="BM4368" s="192" t="s">
        <v>160</v>
      </c>
      <c r="BN4368" s="55">
        <v>3</v>
      </c>
      <c r="BO4368" s="55">
        <v>3</v>
      </c>
      <c r="BQ4368" s="55" t="s">
        <v>141</v>
      </c>
      <c r="BV4368" s="55" t="s">
        <v>4385</v>
      </c>
      <c r="GP4368" s="292" t="s">
        <v>7494</v>
      </c>
      <c r="IC4368" s="65">
        <v>87.32</v>
      </c>
      <c r="ID4368" s="65">
        <v>81</v>
      </c>
      <c r="IE4368" s="65">
        <f>96-IC4368</f>
        <v>8.6800000000000068</v>
      </c>
      <c r="IF4368" s="65">
        <f>96-ID4368</f>
        <v>15</v>
      </c>
      <c r="IG4368" s="65" t="s">
        <v>545</v>
      </c>
    </row>
    <row r="4369" spans="1:283" x14ac:dyDescent="0.25">
      <c r="A4369" s="55">
        <v>4368</v>
      </c>
      <c r="B4369" s="12" t="s">
        <v>7067</v>
      </c>
      <c r="C4369" s="155">
        <v>192</v>
      </c>
      <c r="D4369" s="55" t="s">
        <v>4391</v>
      </c>
      <c r="E4369" s="90" t="s">
        <v>4387</v>
      </c>
      <c r="G4369" s="55" t="s">
        <v>4388</v>
      </c>
      <c r="H4369" s="55">
        <v>2015</v>
      </c>
      <c r="I4369" s="55">
        <v>2009</v>
      </c>
      <c r="J4369" s="55" t="s">
        <v>446</v>
      </c>
      <c r="K4369" s="55" t="s">
        <v>4389</v>
      </c>
      <c r="L4369" s="55" t="s">
        <v>3377</v>
      </c>
      <c r="M4369" s="90">
        <f>35+12/60</f>
        <v>35.200000000000003</v>
      </c>
      <c r="N4369" s="90">
        <f>107+44/60</f>
        <v>107.73333333333333</v>
      </c>
      <c r="O4369" s="90">
        <v>1220</v>
      </c>
      <c r="R4369" s="55">
        <v>487.3</v>
      </c>
      <c r="S4369" s="90">
        <v>589</v>
      </c>
      <c r="U4369" s="55" t="s">
        <v>1805</v>
      </c>
      <c r="V4369" s="55" t="s">
        <v>1682</v>
      </c>
      <c r="Y4369" s="55" t="s">
        <v>4390</v>
      </c>
      <c r="Z4369" s="55" t="s">
        <v>1346</v>
      </c>
      <c r="AA4369" s="90" t="s">
        <v>1675</v>
      </c>
      <c r="AH4369" s="55" t="s">
        <v>6378</v>
      </c>
      <c r="AI4369" s="168">
        <v>8.11</v>
      </c>
      <c r="AJ4369" s="90">
        <v>1.2</v>
      </c>
      <c r="AN4369" s="185" t="s">
        <v>4392</v>
      </c>
      <c r="AO4369" s="185" t="s">
        <v>5150</v>
      </c>
      <c r="AQ4369" s="55" t="s">
        <v>553</v>
      </c>
      <c r="AR4369" s="55" t="s">
        <v>116</v>
      </c>
      <c r="AS4369" s="55" t="s">
        <v>116</v>
      </c>
      <c r="AU4369" s="181" t="s">
        <v>7494</v>
      </c>
      <c r="AV4369" s="185" t="s">
        <v>176</v>
      </c>
      <c r="AX4369" s="185" t="s">
        <v>176</v>
      </c>
      <c r="BK4369" s="55" t="s">
        <v>5976</v>
      </c>
      <c r="BM4369" s="192" t="s">
        <v>160</v>
      </c>
      <c r="BN4369" s="55">
        <v>3</v>
      </c>
      <c r="BO4369" s="55">
        <v>3</v>
      </c>
      <c r="BQ4369" s="55" t="s">
        <v>2077</v>
      </c>
      <c r="BW4369" s="65">
        <v>8474</v>
      </c>
      <c r="BX4369" s="65">
        <v>6825</v>
      </c>
      <c r="CB4369" s="66">
        <v>3686</v>
      </c>
      <c r="CC4369" s="66">
        <v>3158</v>
      </c>
      <c r="GP4369" s="292" t="s">
        <v>7494</v>
      </c>
      <c r="JW4369" s="55" t="s">
        <v>1078</v>
      </c>
    </row>
    <row r="4370" spans="1:283" x14ac:dyDescent="0.25">
      <c r="A4370" s="55">
        <v>4369</v>
      </c>
      <c r="B4370" s="12" t="s">
        <v>7067</v>
      </c>
      <c r="C4370" s="155">
        <v>192</v>
      </c>
      <c r="D4370" s="55" t="s">
        <v>4391</v>
      </c>
      <c r="E4370" s="90" t="s">
        <v>4387</v>
      </c>
      <c r="G4370" s="55" t="s">
        <v>4388</v>
      </c>
      <c r="H4370" s="55">
        <v>2015</v>
      </c>
      <c r="I4370" s="55">
        <v>2009</v>
      </c>
      <c r="J4370" s="55" t="s">
        <v>446</v>
      </c>
      <c r="K4370" s="55" t="s">
        <v>4389</v>
      </c>
      <c r="L4370" s="55" t="s">
        <v>3377</v>
      </c>
      <c r="M4370" s="90">
        <f>35+12/60</f>
        <v>35.200000000000003</v>
      </c>
      <c r="N4370" s="90">
        <f>107+44/60</f>
        <v>107.73333333333333</v>
      </c>
      <c r="O4370" s="90">
        <v>1220</v>
      </c>
      <c r="R4370" s="55">
        <v>487.3</v>
      </c>
      <c r="S4370" s="90">
        <v>589</v>
      </c>
      <c r="U4370" s="55" t="s">
        <v>1805</v>
      </c>
      <c r="V4370" s="55" t="s">
        <v>1682</v>
      </c>
      <c r="Y4370" s="55" t="s">
        <v>4390</v>
      </c>
      <c r="Z4370" s="55" t="s">
        <v>1346</v>
      </c>
      <c r="AA4370" s="90" t="s">
        <v>1675</v>
      </c>
      <c r="AH4370" s="55" t="s">
        <v>6378</v>
      </c>
      <c r="AI4370" s="168">
        <v>8.11</v>
      </c>
      <c r="AJ4370" s="90">
        <v>1.2</v>
      </c>
      <c r="AN4370" s="185" t="s">
        <v>158</v>
      </c>
      <c r="AO4370" s="185" t="s">
        <v>5150</v>
      </c>
      <c r="AQ4370" s="55" t="s">
        <v>553</v>
      </c>
      <c r="AR4370" s="55" t="s">
        <v>116</v>
      </c>
      <c r="AS4370" s="55" t="s">
        <v>116</v>
      </c>
      <c r="AU4370" s="181" t="s">
        <v>7494</v>
      </c>
      <c r="AV4370" s="185" t="s">
        <v>176</v>
      </c>
      <c r="AX4370" s="185" t="s">
        <v>176</v>
      </c>
      <c r="BK4370" s="55" t="s">
        <v>5976</v>
      </c>
      <c r="BM4370" s="192" t="s">
        <v>160</v>
      </c>
      <c r="BN4370" s="55">
        <v>3</v>
      </c>
      <c r="BO4370" s="55">
        <v>3</v>
      </c>
      <c r="BQ4370" s="55" t="s">
        <v>2077</v>
      </c>
      <c r="BW4370" s="65">
        <v>8474</v>
      </c>
      <c r="BX4370" s="65">
        <v>6637</v>
      </c>
      <c r="CB4370" s="66">
        <v>3686</v>
      </c>
      <c r="CC4370" s="66">
        <v>2922</v>
      </c>
      <c r="GP4370" s="292" t="s">
        <v>7494</v>
      </c>
      <c r="JW4370" s="55" t="s">
        <v>1078</v>
      </c>
    </row>
    <row r="4371" spans="1:283" x14ac:dyDescent="0.25">
      <c r="A4371" s="55">
        <v>4370</v>
      </c>
      <c r="B4371" s="12" t="s">
        <v>7067</v>
      </c>
      <c r="C4371" s="155">
        <v>192</v>
      </c>
      <c r="D4371" s="55" t="s">
        <v>4391</v>
      </c>
      <c r="E4371" s="90" t="s">
        <v>4387</v>
      </c>
      <c r="G4371" s="55" t="s">
        <v>4388</v>
      </c>
      <c r="H4371" s="55">
        <v>2015</v>
      </c>
      <c r="I4371" s="55">
        <v>2009</v>
      </c>
      <c r="J4371" s="55" t="s">
        <v>446</v>
      </c>
      <c r="K4371" s="55" t="s">
        <v>4389</v>
      </c>
      <c r="L4371" s="55" t="s">
        <v>3377</v>
      </c>
      <c r="M4371" s="90">
        <f>35+12/60</f>
        <v>35.200000000000003</v>
      </c>
      <c r="N4371" s="90">
        <f>107+44/60</f>
        <v>107.73333333333333</v>
      </c>
      <c r="O4371" s="90">
        <v>1220</v>
      </c>
      <c r="R4371" s="55">
        <v>487.3</v>
      </c>
      <c r="S4371" s="90">
        <v>589</v>
      </c>
      <c r="U4371" s="55" t="s">
        <v>1805</v>
      </c>
      <c r="V4371" s="55" t="s">
        <v>1682</v>
      </c>
      <c r="Y4371" s="55" t="s">
        <v>4390</v>
      </c>
      <c r="Z4371" s="55" t="s">
        <v>1346</v>
      </c>
      <c r="AA4371" s="90" t="s">
        <v>1675</v>
      </c>
      <c r="AH4371" s="55" t="s">
        <v>6378</v>
      </c>
      <c r="AI4371" s="168">
        <v>8.11</v>
      </c>
      <c r="AJ4371" s="90">
        <v>1.2</v>
      </c>
      <c r="AN4371" s="185" t="s">
        <v>4393</v>
      </c>
      <c r="AO4371" s="185" t="s">
        <v>5150</v>
      </c>
      <c r="AQ4371" s="55" t="s">
        <v>553</v>
      </c>
      <c r="AR4371" s="55" t="s">
        <v>116</v>
      </c>
      <c r="AS4371" s="55" t="s">
        <v>116</v>
      </c>
      <c r="AU4371" s="181" t="s">
        <v>7494</v>
      </c>
      <c r="AV4371" s="185" t="s">
        <v>176</v>
      </c>
      <c r="AX4371" s="185" t="s">
        <v>176</v>
      </c>
      <c r="BK4371" s="55" t="s">
        <v>5976</v>
      </c>
      <c r="BM4371" s="192" t="s">
        <v>160</v>
      </c>
      <c r="BN4371" s="55">
        <v>3</v>
      </c>
      <c r="BO4371" s="55">
        <v>3</v>
      </c>
      <c r="BQ4371" s="55" t="s">
        <v>2077</v>
      </c>
      <c r="BW4371" s="65">
        <v>8474</v>
      </c>
      <c r="BX4371" s="65">
        <v>5853</v>
      </c>
      <c r="CB4371" s="66">
        <v>3686</v>
      </c>
      <c r="CC4371" s="66">
        <v>2651</v>
      </c>
      <c r="GP4371" s="292" t="s">
        <v>7494</v>
      </c>
      <c r="JW4371" s="55" t="s">
        <v>1078</v>
      </c>
    </row>
    <row r="4372" spans="1:283" x14ac:dyDescent="0.25">
      <c r="A4372" s="55">
        <v>4371</v>
      </c>
      <c r="B4372" s="12" t="s">
        <v>7067</v>
      </c>
      <c r="C4372" s="155">
        <v>192</v>
      </c>
      <c r="D4372" s="55" t="s">
        <v>4391</v>
      </c>
      <c r="E4372" s="90" t="s">
        <v>4387</v>
      </c>
      <c r="G4372" s="55" t="s">
        <v>4388</v>
      </c>
      <c r="H4372" s="55">
        <v>2015</v>
      </c>
      <c r="I4372" s="55">
        <v>2010</v>
      </c>
      <c r="J4372" s="55" t="s">
        <v>446</v>
      </c>
      <c r="K4372" s="55" t="s">
        <v>4389</v>
      </c>
      <c r="L4372" s="55" t="s">
        <v>3377</v>
      </c>
      <c r="M4372" s="90">
        <f>35+12/60</f>
        <v>35.200000000000003</v>
      </c>
      <c r="N4372" s="90">
        <f>107+44/60</f>
        <v>107.73333333333333</v>
      </c>
      <c r="O4372" s="90">
        <v>1220</v>
      </c>
      <c r="R4372" s="55">
        <v>475.5</v>
      </c>
      <c r="S4372" s="90">
        <v>589</v>
      </c>
      <c r="U4372" s="55" t="s">
        <v>1688</v>
      </c>
      <c r="V4372" s="55" t="s">
        <v>1682</v>
      </c>
      <c r="Y4372" s="55" t="s">
        <v>4390</v>
      </c>
      <c r="Z4372" s="55" t="s">
        <v>1346</v>
      </c>
      <c r="AA4372" s="90" t="s">
        <v>1675</v>
      </c>
      <c r="AH4372" s="55" t="s">
        <v>6378</v>
      </c>
      <c r="AI4372" s="168">
        <v>8.11</v>
      </c>
      <c r="AJ4372" s="90">
        <v>1.2</v>
      </c>
      <c r="AN4372" s="185" t="s">
        <v>4392</v>
      </c>
      <c r="AO4372" s="185" t="s">
        <v>5150</v>
      </c>
      <c r="AQ4372" s="55" t="s">
        <v>553</v>
      </c>
      <c r="AR4372" s="55" t="s">
        <v>116</v>
      </c>
      <c r="AS4372" s="55" t="s">
        <v>116</v>
      </c>
      <c r="AU4372" s="181" t="s">
        <v>7494</v>
      </c>
      <c r="AV4372" s="185" t="s">
        <v>176</v>
      </c>
      <c r="AX4372" s="185" t="s">
        <v>176</v>
      </c>
      <c r="BK4372" s="55" t="s">
        <v>5976</v>
      </c>
      <c r="BM4372" s="192" t="s">
        <v>160</v>
      </c>
      <c r="BN4372" s="55">
        <v>3</v>
      </c>
      <c r="BO4372" s="55">
        <v>3</v>
      </c>
      <c r="BQ4372" s="55" t="s">
        <v>2077</v>
      </c>
      <c r="BW4372" s="65">
        <v>6118</v>
      </c>
      <c r="BX4372" s="65">
        <v>6628</v>
      </c>
      <c r="CB4372" s="66">
        <v>2958</v>
      </c>
      <c r="CC4372" s="66">
        <v>3238</v>
      </c>
      <c r="GP4372" s="292" t="s">
        <v>7494</v>
      </c>
      <c r="JW4372" s="55" t="s">
        <v>1078</v>
      </c>
    </row>
    <row r="4373" spans="1:283" x14ac:dyDescent="0.25">
      <c r="A4373" s="55">
        <v>4372</v>
      </c>
      <c r="B4373" s="12" t="s">
        <v>7067</v>
      </c>
      <c r="C4373" s="155">
        <v>192</v>
      </c>
      <c r="D4373" s="55" t="s">
        <v>4391</v>
      </c>
      <c r="E4373" s="90" t="s">
        <v>4387</v>
      </c>
      <c r="G4373" s="55" t="s">
        <v>4388</v>
      </c>
      <c r="H4373" s="55">
        <v>2015</v>
      </c>
      <c r="I4373" s="55">
        <v>2010</v>
      </c>
      <c r="J4373" s="55" t="s">
        <v>446</v>
      </c>
      <c r="K4373" s="55" t="s">
        <v>4389</v>
      </c>
      <c r="L4373" s="55" t="s">
        <v>3377</v>
      </c>
      <c r="M4373" s="90">
        <f>35+12/60</f>
        <v>35.200000000000003</v>
      </c>
      <c r="N4373" s="90">
        <f>107+44/60</f>
        <v>107.73333333333333</v>
      </c>
      <c r="O4373" s="90">
        <v>1220</v>
      </c>
      <c r="R4373" s="55">
        <v>475.5</v>
      </c>
      <c r="S4373" s="90">
        <v>589</v>
      </c>
      <c r="U4373" s="55" t="s">
        <v>1688</v>
      </c>
      <c r="V4373" s="55" t="s">
        <v>1682</v>
      </c>
      <c r="Y4373" s="55" t="s">
        <v>4390</v>
      </c>
      <c r="Z4373" s="55" t="s">
        <v>1346</v>
      </c>
      <c r="AA4373" s="90" t="s">
        <v>1675</v>
      </c>
      <c r="AH4373" s="55" t="s">
        <v>6378</v>
      </c>
      <c r="AI4373" s="168">
        <v>8.11</v>
      </c>
      <c r="AJ4373" s="90">
        <v>1.2</v>
      </c>
      <c r="AN4373" s="185" t="s">
        <v>158</v>
      </c>
      <c r="AO4373" s="185" t="s">
        <v>5150</v>
      </c>
      <c r="AQ4373" s="55" t="s">
        <v>553</v>
      </c>
      <c r="AR4373" s="55" t="s">
        <v>116</v>
      </c>
      <c r="AS4373" s="55" t="s">
        <v>116</v>
      </c>
      <c r="AU4373" s="181" t="s">
        <v>7494</v>
      </c>
      <c r="AV4373" s="185" t="s">
        <v>176</v>
      </c>
      <c r="AX4373" s="185" t="s">
        <v>176</v>
      </c>
      <c r="BK4373" s="55" t="s">
        <v>5976</v>
      </c>
      <c r="BM4373" s="192" t="s">
        <v>160</v>
      </c>
      <c r="BN4373" s="55">
        <v>3</v>
      </c>
      <c r="BO4373" s="55">
        <v>3</v>
      </c>
      <c r="BQ4373" s="55" t="s">
        <v>2077</v>
      </c>
      <c r="BW4373" s="65">
        <v>6118</v>
      </c>
      <c r="BX4373" s="65">
        <v>6582</v>
      </c>
      <c r="CB4373" s="66">
        <v>2958</v>
      </c>
      <c r="CC4373" s="66">
        <v>3169</v>
      </c>
      <c r="GP4373" s="292" t="s">
        <v>7494</v>
      </c>
      <c r="JW4373" s="55" t="s">
        <v>1078</v>
      </c>
    </row>
    <row r="4374" spans="1:283" x14ac:dyDescent="0.25">
      <c r="A4374" s="55">
        <v>4373</v>
      </c>
      <c r="B4374" s="12" t="s">
        <v>7067</v>
      </c>
      <c r="C4374" s="155">
        <v>192</v>
      </c>
      <c r="D4374" s="55" t="s">
        <v>4391</v>
      </c>
      <c r="E4374" s="90" t="s">
        <v>4387</v>
      </c>
      <c r="G4374" s="55" t="s">
        <v>4388</v>
      </c>
      <c r="H4374" s="55">
        <v>2015</v>
      </c>
      <c r="I4374" s="55">
        <v>2010</v>
      </c>
      <c r="J4374" s="55" t="s">
        <v>446</v>
      </c>
      <c r="K4374" s="55" t="s">
        <v>4389</v>
      </c>
      <c r="L4374" s="55" t="s">
        <v>3377</v>
      </c>
      <c r="M4374" s="90">
        <f>35+12/60</f>
        <v>35.200000000000003</v>
      </c>
      <c r="N4374" s="90">
        <f>107+44/60</f>
        <v>107.73333333333333</v>
      </c>
      <c r="O4374" s="90">
        <v>1220</v>
      </c>
      <c r="R4374" s="55">
        <v>475.5</v>
      </c>
      <c r="S4374" s="90">
        <v>589</v>
      </c>
      <c r="U4374" s="55" t="s">
        <v>1688</v>
      </c>
      <c r="V4374" s="55" t="s">
        <v>1682</v>
      </c>
      <c r="Y4374" s="55" t="s">
        <v>4390</v>
      </c>
      <c r="Z4374" s="55" t="s">
        <v>1346</v>
      </c>
      <c r="AA4374" s="90" t="s">
        <v>1675</v>
      </c>
      <c r="AH4374" s="55" t="s">
        <v>6378</v>
      </c>
      <c r="AI4374" s="168">
        <v>8.11</v>
      </c>
      <c r="AJ4374" s="90">
        <v>1.2</v>
      </c>
      <c r="AN4374" s="185" t="s">
        <v>4393</v>
      </c>
      <c r="AO4374" s="185" t="s">
        <v>5150</v>
      </c>
      <c r="AQ4374" s="55" t="s">
        <v>553</v>
      </c>
      <c r="AR4374" s="55" t="s">
        <v>116</v>
      </c>
      <c r="AS4374" s="55" t="s">
        <v>116</v>
      </c>
      <c r="AU4374" s="181" t="s">
        <v>7494</v>
      </c>
      <c r="AV4374" s="185" t="s">
        <v>176</v>
      </c>
      <c r="AX4374" s="185" t="s">
        <v>176</v>
      </c>
      <c r="BK4374" s="55" t="s">
        <v>5976</v>
      </c>
      <c r="BM4374" s="192" t="s">
        <v>160</v>
      </c>
      <c r="BN4374" s="55">
        <v>3</v>
      </c>
      <c r="BO4374" s="55">
        <v>3</v>
      </c>
      <c r="BQ4374" s="55" t="s">
        <v>2077</v>
      </c>
      <c r="BW4374" s="65">
        <v>6118</v>
      </c>
      <c r="BX4374" s="65">
        <v>6246</v>
      </c>
      <c r="CB4374" s="66">
        <v>2958</v>
      </c>
      <c r="CC4374" s="66">
        <v>3144</v>
      </c>
      <c r="GP4374" s="292" t="s">
        <v>7494</v>
      </c>
      <c r="JW4374" s="55" t="s">
        <v>1078</v>
      </c>
    </row>
    <row r="4375" spans="1:283" x14ac:dyDescent="0.25">
      <c r="A4375" s="55">
        <v>4374</v>
      </c>
      <c r="B4375" s="12" t="s">
        <v>7067</v>
      </c>
      <c r="C4375" s="155">
        <v>192</v>
      </c>
      <c r="D4375" s="55" t="s">
        <v>4391</v>
      </c>
      <c r="E4375" s="90" t="s">
        <v>4387</v>
      </c>
      <c r="G4375" s="55" t="s">
        <v>4388</v>
      </c>
      <c r="H4375" s="55">
        <v>2015</v>
      </c>
      <c r="I4375" s="55">
        <v>2011</v>
      </c>
      <c r="J4375" s="55" t="s">
        <v>446</v>
      </c>
      <c r="K4375" s="55" t="s">
        <v>4389</v>
      </c>
      <c r="L4375" s="55" t="s">
        <v>3377</v>
      </c>
      <c r="M4375" s="90">
        <f>35+12/60</f>
        <v>35.200000000000003</v>
      </c>
      <c r="N4375" s="90">
        <f>107+44/60</f>
        <v>107.73333333333333</v>
      </c>
      <c r="O4375" s="90">
        <v>1220</v>
      </c>
      <c r="R4375" s="55">
        <v>664.5</v>
      </c>
      <c r="S4375" s="90">
        <v>589</v>
      </c>
      <c r="U4375" s="55" t="s">
        <v>1816</v>
      </c>
      <c r="V4375" s="55" t="s">
        <v>1682</v>
      </c>
      <c r="Y4375" s="55" t="s">
        <v>4390</v>
      </c>
      <c r="Z4375" s="55" t="s">
        <v>1346</v>
      </c>
      <c r="AA4375" s="90" t="s">
        <v>1675</v>
      </c>
      <c r="AH4375" s="55" t="s">
        <v>6378</v>
      </c>
      <c r="AI4375" s="168">
        <v>8.11</v>
      </c>
      <c r="AJ4375" s="90">
        <v>1.2</v>
      </c>
      <c r="AN4375" s="185" t="s">
        <v>4392</v>
      </c>
      <c r="AO4375" s="185" t="s">
        <v>5150</v>
      </c>
      <c r="AQ4375" s="55" t="s">
        <v>553</v>
      </c>
      <c r="AR4375" s="55" t="s">
        <v>116</v>
      </c>
      <c r="AS4375" s="55" t="s">
        <v>116</v>
      </c>
      <c r="AU4375" s="181" t="s">
        <v>7494</v>
      </c>
      <c r="AV4375" s="185" t="s">
        <v>176</v>
      </c>
      <c r="AX4375" s="185" t="s">
        <v>176</v>
      </c>
      <c r="BK4375" s="55" t="s">
        <v>5976</v>
      </c>
      <c r="BM4375" s="192" t="s">
        <v>160</v>
      </c>
      <c r="BN4375" s="55">
        <v>3</v>
      </c>
      <c r="BO4375" s="55">
        <v>3</v>
      </c>
      <c r="BQ4375" s="55" t="s">
        <v>2077</v>
      </c>
      <c r="BW4375" s="65">
        <v>5391</v>
      </c>
      <c r="BX4375" s="65">
        <v>7553</v>
      </c>
      <c r="CB4375" s="66">
        <v>3187</v>
      </c>
      <c r="CC4375" s="66">
        <v>4427</v>
      </c>
      <c r="GP4375" s="292" t="s">
        <v>7494</v>
      </c>
      <c r="JW4375" s="55" t="s">
        <v>1078</v>
      </c>
    </row>
    <row r="4376" spans="1:283" x14ac:dyDescent="0.25">
      <c r="A4376" s="55">
        <v>4375</v>
      </c>
      <c r="B4376" s="12" t="s">
        <v>7067</v>
      </c>
      <c r="C4376" s="155">
        <v>192</v>
      </c>
      <c r="D4376" s="55" t="s">
        <v>4391</v>
      </c>
      <c r="E4376" s="90" t="s">
        <v>4387</v>
      </c>
      <c r="G4376" s="55" t="s">
        <v>4388</v>
      </c>
      <c r="H4376" s="55">
        <v>2015</v>
      </c>
      <c r="I4376" s="55">
        <v>2011</v>
      </c>
      <c r="J4376" s="55" t="s">
        <v>446</v>
      </c>
      <c r="K4376" s="55" t="s">
        <v>4389</v>
      </c>
      <c r="L4376" s="55" t="s">
        <v>3377</v>
      </c>
      <c r="M4376" s="90">
        <f>35+12/60</f>
        <v>35.200000000000003</v>
      </c>
      <c r="N4376" s="90">
        <f>107+44/60</f>
        <v>107.73333333333333</v>
      </c>
      <c r="O4376" s="90">
        <v>1220</v>
      </c>
      <c r="R4376" s="55">
        <v>664.5</v>
      </c>
      <c r="S4376" s="90">
        <v>589</v>
      </c>
      <c r="U4376" s="55" t="s">
        <v>1816</v>
      </c>
      <c r="V4376" s="55" t="s">
        <v>1682</v>
      </c>
      <c r="Y4376" s="55" t="s">
        <v>4390</v>
      </c>
      <c r="Z4376" s="55" t="s">
        <v>1346</v>
      </c>
      <c r="AA4376" s="90" t="s">
        <v>1675</v>
      </c>
      <c r="AH4376" s="55" t="s">
        <v>6378</v>
      </c>
      <c r="AI4376" s="168">
        <v>8.11</v>
      </c>
      <c r="AJ4376" s="90">
        <v>1.2</v>
      </c>
      <c r="AN4376" s="185" t="s">
        <v>158</v>
      </c>
      <c r="AO4376" s="185" t="s">
        <v>5150</v>
      </c>
      <c r="AQ4376" s="55" t="s">
        <v>553</v>
      </c>
      <c r="AR4376" s="55" t="s">
        <v>116</v>
      </c>
      <c r="AS4376" s="55" t="s">
        <v>116</v>
      </c>
      <c r="AU4376" s="181" t="s">
        <v>7494</v>
      </c>
      <c r="AV4376" s="185" t="s">
        <v>176</v>
      </c>
      <c r="AX4376" s="185" t="s">
        <v>176</v>
      </c>
      <c r="BK4376" s="55" t="s">
        <v>5976</v>
      </c>
      <c r="BM4376" s="192" t="s">
        <v>160</v>
      </c>
      <c r="BN4376" s="55">
        <v>3</v>
      </c>
      <c r="BO4376" s="55">
        <v>3</v>
      </c>
      <c r="BQ4376" s="55" t="s">
        <v>2077</v>
      </c>
      <c r="BW4376" s="65">
        <v>5391</v>
      </c>
      <c r="BX4376" s="65">
        <v>6431</v>
      </c>
      <c r="CB4376" s="66">
        <v>3187</v>
      </c>
      <c r="CC4376" s="66">
        <v>3790</v>
      </c>
      <c r="GP4376" s="292" t="s">
        <v>7494</v>
      </c>
      <c r="JW4376" s="55" t="s">
        <v>1078</v>
      </c>
    </row>
    <row r="4377" spans="1:283" x14ac:dyDescent="0.25">
      <c r="A4377" s="55">
        <v>4376</v>
      </c>
      <c r="B4377" s="12" t="s">
        <v>7067</v>
      </c>
      <c r="C4377" s="155">
        <v>192</v>
      </c>
      <c r="D4377" s="55" t="s">
        <v>4391</v>
      </c>
      <c r="E4377" s="90" t="s">
        <v>4387</v>
      </c>
      <c r="G4377" s="55" t="s">
        <v>4388</v>
      </c>
      <c r="H4377" s="55">
        <v>2015</v>
      </c>
      <c r="I4377" s="55">
        <v>2011</v>
      </c>
      <c r="J4377" s="55" t="s">
        <v>446</v>
      </c>
      <c r="K4377" s="55" t="s">
        <v>4389</v>
      </c>
      <c r="L4377" s="55" t="s">
        <v>3377</v>
      </c>
      <c r="M4377" s="90">
        <f>35+12/60</f>
        <v>35.200000000000003</v>
      </c>
      <c r="N4377" s="90">
        <f>107+44/60</f>
        <v>107.73333333333333</v>
      </c>
      <c r="O4377" s="90">
        <v>1220</v>
      </c>
      <c r="R4377" s="55">
        <v>664.5</v>
      </c>
      <c r="S4377" s="90">
        <v>589</v>
      </c>
      <c r="U4377" s="55" t="s">
        <v>1816</v>
      </c>
      <c r="V4377" s="55" t="s">
        <v>1682</v>
      </c>
      <c r="Y4377" s="55" t="s">
        <v>4390</v>
      </c>
      <c r="Z4377" s="55" t="s">
        <v>1346</v>
      </c>
      <c r="AA4377" s="90" t="s">
        <v>1675</v>
      </c>
      <c r="AH4377" s="55" t="s">
        <v>6378</v>
      </c>
      <c r="AI4377" s="168">
        <v>8.11</v>
      </c>
      <c r="AJ4377" s="90">
        <v>1.2</v>
      </c>
      <c r="AN4377" s="185" t="s">
        <v>4393</v>
      </c>
      <c r="AO4377" s="185" t="s">
        <v>5150</v>
      </c>
      <c r="AQ4377" s="55" t="s">
        <v>553</v>
      </c>
      <c r="AR4377" s="55" t="s">
        <v>116</v>
      </c>
      <c r="AS4377" s="55" t="s">
        <v>116</v>
      </c>
      <c r="AU4377" s="181" t="s">
        <v>7494</v>
      </c>
      <c r="AV4377" s="185" t="s">
        <v>176</v>
      </c>
      <c r="AX4377" s="185" t="s">
        <v>176</v>
      </c>
      <c r="BK4377" s="55" t="s">
        <v>5976</v>
      </c>
      <c r="BM4377" s="192" t="s">
        <v>160</v>
      </c>
      <c r="BN4377" s="55">
        <v>3</v>
      </c>
      <c r="BO4377" s="55">
        <v>3</v>
      </c>
      <c r="BQ4377" s="55" t="s">
        <v>2077</v>
      </c>
      <c r="BW4377" s="65">
        <v>5391</v>
      </c>
      <c r="BX4377" s="65">
        <v>6486</v>
      </c>
      <c r="CB4377" s="66">
        <v>3187</v>
      </c>
      <c r="CC4377" s="66">
        <v>3832</v>
      </c>
      <c r="GP4377" s="292" t="s">
        <v>7494</v>
      </c>
      <c r="JW4377" s="55" t="s">
        <v>1078</v>
      </c>
    </row>
    <row r="4378" spans="1:283" x14ac:dyDescent="0.25">
      <c r="A4378" s="55">
        <v>4377</v>
      </c>
      <c r="B4378" s="12" t="s">
        <v>7067</v>
      </c>
      <c r="C4378" s="155">
        <v>192</v>
      </c>
      <c r="D4378" s="55" t="s">
        <v>4391</v>
      </c>
      <c r="E4378" s="90" t="s">
        <v>4387</v>
      </c>
      <c r="G4378" s="55" t="s">
        <v>4388</v>
      </c>
      <c r="H4378" s="55">
        <v>2015</v>
      </c>
      <c r="I4378" s="55">
        <v>2012</v>
      </c>
      <c r="J4378" s="55" t="s">
        <v>446</v>
      </c>
      <c r="K4378" s="55" t="s">
        <v>4389</v>
      </c>
      <c r="L4378" s="55" t="s">
        <v>3377</v>
      </c>
      <c r="M4378" s="90">
        <f>35+12/60</f>
        <v>35.200000000000003</v>
      </c>
      <c r="N4378" s="90">
        <f>107+44/60</f>
        <v>107.73333333333333</v>
      </c>
      <c r="O4378" s="90">
        <v>1220</v>
      </c>
      <c r="R4378" s="55">
        <v>722.2</v>
      </c>
      <c r="S4378" s="90">
        <v>589</v>
      </c>
      <c r="U4378" s="55" t="s">
        <v>1682</v>
      </c>
      <c r="V4378" s="55" t="s">
        <v>1682</v>
      </c>
      <c r="Y4378" s="55" t="s">
        <v>4390</v>
      </c>
      <c r="Z4378" s="55" t="s">
        <v>1346</v>
      </c>
      <c r="AA4378" s="90" t="s">
        <v>1675</v>
      </c>
      <c r="AH4378" s="55" t="s">
        <v>6378</v>
      </c>
      <c r="AI4378" s="168">
        <v>8.11</v>
      </c>
      <c r="AJ4378" s="90">
        <v>1.2</v>
      </c>
      <c r="AN4378" s="185" t="s">
        <v>4392</v>
      </c>
      <c r="AO4378" s="185" t="s">
        <v>5150</v>
      </c>
      <c r="AQ4378" s="55" t="s">
        <v>553</v>
      </c>
      <c r="AR4378" s="55" t="s">
        <v>116</v>
      </c>
      <c r="AS4378" s="55" t="s">
        <v>116</v>
      </c>
      <c r="AU4378" s="181" t="s">
        <v>7494</v>
      </c>
      <c r="AV4378" s="185" t="s">
        <v>176</v>
      </c>
      <c r="AX4378" s="185" t="s">
        <v>176</v>
      </c>
      <c r="BK4378" s="55" t="s">
        <v>5976</v>
      </c>
      <c r="BM4378" s="192" t="s">
        <v>160</v>
      </c>
      <c r="BN4378" s="55">
        <v>3</v>
      </c>
      <c r="BO4378" s="55">
        <v>3</v>
      </c>
      <c r="BQ4378" s="55" t="s">
        <v>2077</v>
      </c>
      <c r="BW4378" s="65">
        <v>9273</v>
      </c>
      <c r="BX4378" s="65">
        <v>12041</v>
      </c>
      <c r="CB4378" s="66">
        <v>4833</v>
      </c>
      <c r="CC4378" s="66">
        <v>6249</v>
      </c>
      <c r="GP4378" s="292" t="s">
        <v>7494</v>
      </c>
      <c r="JW4378" s="55" t="s">
        <v>1078</v>
      </c>
    </row>
    <row r="4379" spans="1:283" x14ac:dyDescent="0.25">
      <c r="A4379" s="55">
        <v>4378</v>
      </c>
      <c r="B4379" s="12" t="s">
        <v>7067</v>
      </c>
      <c r="C4379" s="155">
        <v>192</v>
      </c>
      <c r="D4379" s="55" t="s">
        <v>4391</v>
      </c>
      <c r="E4379" s="90" t="s">
        <v>4387</v>
      </c>
      <c r="G4379" s="55" t="s">
        <v>4388</v>
      </c>
      <c r="H4379" s="55">
        <v>2015</v>
      </c>
      <c r="I4379" s="55">
        <v>2012</v>
      </c>
      <c r="J4379" s="55" t="s">
        <v>446</v>
      </c>
      <c r="K4379" s="55" t="s">
        <v>4389</v>
      </c>
      <c r="L4379" s="55" t="s">
        <v>3377</v>
      </c>
      <c r="M4379" s="90">
        <f>35+12/60</f>
        <v>35.200000000000003</v>
      </c>
      <c r="N4379" s="90">
        <f>107+44/60</f>
        <v>107.73333333333333</v>
      </c>
      <c r="O4379" s="90">
        <v>1220</v>
      </c>
      <c r="R4379" s="55">
        <v>722.2</v>
      </c>
      <c r="S4379" s="90">
        <v>589</v>
      </c>
      <c r="U4379" s="55" t="s">
        <v>1682</v>
      </c>
      <c r="V4379" s="55" t="s">
        <v>1682</v>
      </c>
      <c r="Y4379" s="55" t="s">
        <v>4390</v>
      </c>
      <c r="Z4379" s="55" t="s">
        <v>1346</v>
      </c>
      <c r="AA4379" s="90" t="s">
        <v>1675</v>
      </c>
      <c r="AH4379" s="55" t="s">
        <v>6378</v>
      </c>
      <c r="AI4379" s="168">
        <v>8.11</v>
      </c>
      <c r="AJ4379" s="90">
        <v>1.2</v>
      </c>
      <c r="AN4379" s="185" t="s">
        <v>158</v>
      </c>
      <c r="AO4379" s="185" t="s">
        <v>5150</v>
      </c>
      <c r="AQ4379" s="55" t="s">
        <v>553</v>
      </c>
      <c r="AR4379" s="55" t="s">
        <v>116</v>
      </c>
      <c r="AS4379" s="55" t="s">
        <v>116</v>
      </c>
      <c r="AU4379" s="181" t="s">
        <v>7494</v>
      </c>
      <c r="AV4379" s="185" t="s">
        <v>176</v>
      </c>
      <c r="AX4379" s="185" t="s">
        <v>176</v>
      </c>
      <c r="BK4379" s="55" t="s">
        <v>5976</v>
      </c>
      <c r="BM4379" s="192" t="s">
        <v>160</v>
      </c>
      <c r="BN4379" s="55">
        <v>3</v>
      </c>
      <c r="BO4379" s="55">
        <v>3</v>
      </c>
      <c r="BQ4379" s="55" t="s">
        <v>2077</v>
      </c>
      <c r="BW4379" s="65">
        <v>9273</v>
      </c>
      <c r="BX4379" s="65">
        <v>11016</v>
      </c>
      <c r="CB4379" s="66">
        <v>4833</v>
      </c>
      <c r="CC4379" s="66">
        <v>5814</v>
      </c>
      <c r="GP4379" s="292" t="s">
        <v>7494</v>
      </c>
      <c r="JW4379" s="55" t="s">
        <v>1078</v>
      </c>
    </row>
    <row r="4380" spans="1:283" x14ac:dyDescent="0.25">
      <c r="A4380" s="55">
        <v>4379</v>
      </c>
      <c r="B4380" s="12" t="s">
        <v>7067</v>
      </c>
      <c r="C4380" s="155">
        <v>192</v>
      </c>
      <c r="D4380" s="55" t="s">
        <v>4391</v>
      </c>
      <c r="E4380" s="90" t="s">
        <v>4387</v>
      </c>
      <c r="G4380" s="55" t="s">
        <v>4388</v>
      </c>
      <c r="H4380" s="55">
        <v>2015</v>
      </c>
      <c r="I4380" s="55">
        <v>2012</v>
      </c>
      <c r="J4380" s="55" t="s">
        <v>446</v>
      </c>
      <c r="K4380" s="55" t="s">
        <v>4389</v>
      </c>
      <c r="L4380" s="55" t="s">
        <v>3377</v>
      </c>
      <c r="M4380" s="90">
        <f>35+12/60</f>
        <v>35.200000000000003</v>
      </c>
      <c r="N4380" s="90">
        <f>107+44/60</f>
        <v>107.73333333333333</v>
      </c>
      <c r="O4380" s="90">
        <v>1220</v>
      </c>
      <c r="R4380" s="55">
        <v>722.2</v>
      </c>
      <c r="S4380" s="90">
        <v>589</v>
      </c>
      <c r="U4380" s="55" t="s">
        <v>1682</v>
      </c>
      <c r="V4380" s="55" t="s">
        <v>1682</v>
      </c>
      <c r="Y4380" s="55" t="s">
        <v>4390</v>
      </c>
      <c r="Z4380" s="55" t="s">
        <v>1346</v>
      </c>
      <c r="AA4380" s="90" t="s">
        <v>1675</v>
      </c>
      <c r="AH4380" s="55" t="s">
        <v>6378</v>
      </c>
      <c r="AI4380" s="168">
        <v>8.11</v>
      </c>
      <c r="AJ4380" s="90">
        <v>1.2</v>
      </c>
      <c r="AN4380" s="185" t="s">
        <v>4393</v>
      </c>
      <c r="AO4380" s="185" t="s">
        <v>5150</v>
      </c>
      <c r="AQ4380" s="55" t="s">
        <v>553</v>
      </c>
      <c r="AR4380" s="55" t="s">
        <v>116</v>
      </c>
      <c r="AS4380" s="55" t="s">
        <v>116</v>
      </c>
      <c r="AU4380" s="181" t="s">
        <v>7494</v>
      </c>
      <c r="AV4380" s="185" t="s">
        <v>176</v>
      </c>
      <c r="AX4380" s="185" t="s">
        <v>176</v>
      </c>
      <c r="BK4380" s="55" t="s">
        <v>5976</v>
      </c>
      <c r="BM4380" s="192" t="s">
        <v>160</v>
      </c>
      <c r="BN4380" s="55">
        <v>3</v>
      </c>
      <c r="BO4380" s="55">
        <v>3</v>
      </c>
      <c r="BQ4380" s="55" t="s">
        <v>2077</v>
      </c>
      <c r="BW4380" s="65">
        <v>9273</v>
      </c>
      <c r="BX4380" s="65">
        <v>10433</v>
      </c>
      <c r="CB4380" s="66">
        <v>4833</v>
      </c>
      <c r="CC4380" s="66">
        <v>5353</v>
      </c>
      <c r="GP4380" s="292" t="s">
        <v>7494</v>
      </c>
      <c r="JW4380" s="55" t="s">
        <v>1078</v>
      </c>
    </row>
    <row r="4381" spans="1:283" x14ac:dyDescent="0.25">
      <c r="A4381" s="55">
        <v>4380</v>
      </c>
      <c r="B4381" s="12" t="s">
        <v>7067</v>
      </c>
      <c r="C4381" s="155">
        <v>193</v>
      </c>
      <c r="D4381" s="55" t="s">
        <v>4404</v>
      </c>
      <c r="E4381" s="90" t="s">
        <v>4387</v>
      </c>
      <c r="G4381" s="55" t="s">
        <v>4388</v>
      </c>
      <c r="H4381" s="55">
        <v>2016</v>
      </c>
      <c r="I4381" s="55">
        <v>2010</v>
      </c>
      <c r="J4381" s="55" t="s">
        <v>4394</v>
      </c>
      <c r="K4381" s="55" t="s">
        <v>4389</v>
      </c>
      <c r="L4381" s="55" t="s">
        <v>3377</v>
      </c>
      <c r="M4381" s="90">
        <f>35+12/60</f>
        <v>35.200000000000003</v>
      </c>
      <c r="N4381" s="90">
        <f>107+44/60</f>
        <v>107.73333333333333</v>
      </c>
      <c r="O4381" s="90">
        <v>1220</v>
      </c>
      <c r="R4381" s="55">
        <v>487.3</v>
      </c>
      <c r="S4381" s="90">
        <v>589</v>
      </c>
      <c r="U4381" s="55" t="s">
        <v>1805</v>
      </c>
      <c r="V4381" s="55" t="s">
        <v>1682</v>
      </c>
      <c r="Y4381" s="55" t="s">
        <v>4390</v>
      </c>
      <c r="Z4381" s="55" t="s">
        <v>1346</v>
      </c>
      <c r="AA4381" s="90" t="s">
        <v>1675</v>
      </c>
      <c r="AH4381" s="55" t="s">
        <v>6378</v>
      </c>
      <c r="AI4381" s="168">
        <v>8.11</v>
      </c>
      <c r="AJ4381" s="90">
        <v>1.2</v>
      </c>
      <c r="AN4381" s="185" t="s">
        <v>4392</v>
      </c>
      <c r="AO4381" s="185" t="s">
        <v>5150</v>
      </c>
      <c r="AQ4381" s="55" t="s">
        <v>553</v>
      </c>
      <c r="AR4381" s="55" t="s">
        <v>116</v>
      </c>
      <c r="AS4381" s="55" t="s">
        <v>116</v>
      </c>
      <c r="AU4381" s="181" t="s">
        <v>7494</v>
      </c>
      <c r="AV4381" s="185" t="s">
        <v>176</v>
      </c>
      <c r="AX4381" s="185" t="s">
        <v>176</v>
      </c>
      <c r="BK4381" s="55" t="s">
        <v>5976</v>
      </c>
      <c r="BM4381" s="192" t="s">
        <v>160</v>
      </c>
      <c r="BN4381" s="55">
        <v>3</v>
      </c>
      <c r="BO4381" s="55">
        <v>3</v>
      </c>
      <c r="BQ4381" s="55" t="s">
        <v>2077</v>
      </c>
      <c r="BV4381" s="55" t="s">
        <v>4401</v>
      </c>
      <c r="DB4381" s="65">
        <v>19.72</v>
      </c>
      <c r="DC4381" s="65">
        <v>22.83</v>
      </c>
      <c r="DD4381" s="65">
        <f>DB4381-17.27</f>
        <v>2.4499999999999993</v>
      </c>
      <c r="DE4381" s="65">
        <f>27.57-DC4381</f>
        <v>4.740000000000002</v>
      </c>
      <c r="DF4381" s="65" t="s">
        <v>4400</v>
      </c>
      <c r="GP4381" s="292" t="s">
        <v>7494</v>
      </c>
      <c r="JW4381" s="55" t="s">
        <v>1078</v>
      </c>
    </row>
    <row r="4382" spans="1:283" x14ac:dyDescent="0.25">
      <c r="A4382" s="55">
        <v>4381</v>
      </c>
      <c r="B4382" s="12" t="s">
        <v>7067</v>
      </c>
      <c r="C4382" s="155">
        <v>193</v>
      </c>
      <c r="D4382" s="55" t="s">
        <v>4405</v>
      </c>
      <c r="E4382" s="90" t="s">
        <v>4387</v>
      </c>
      <c r="G4382" s="55" t="s">
        <v>4388</v>
      </c>
      <c r="H4382" s="55">
        <v>2016</v>
      </c>
      <c r="I4382" s="55">
        <v>2010</v>
      </c>
      <c r="J4382" s="55" t="s">
        <v>4394</v>
      </c>
      <c r="K4382" s="55" t="s">
        <v>4389</v>
      </c>
      <c r="L4382" s="55" t="s">
        <v>3377</v>
      </c>
      <c r="M4382" s="90">
        <f>35+12/60</f>
        <v>35.200000000000003</v>
      </c>
      <c r="N4382" s="90">
        <f>107+44/60</f>
        <v>107.73333333333333</v>
      </c>
      <c r="O4382" s="90">
        <v>1220</v>
      </c>
      <c r="R4382" s="55">
        <v>487.3</v>
      </c>
      <c r="S4382" s="90">
        <v>589</v>
      </c>
      <c r="U4382" s="55" t="s">
        <v>1805</v>
      </c>
      <c r="V4382" s="55" t="s">
        <v>1682</v>
      </c>
      <c r="Y4382" s="55" t="s">
        <v>4390</v>
      </c>
      <c r="Z4382" s="55" t="s">
        <v>1350</v>
      </c>
      <c r="AA4382" s="90" t="s">
        <v>1675</v>
      </c>
      <c r="AH4382" s="55" t="s">
        <v>6378</v>
      </c>
      <c r="AI4382" s="168">
        <v>8.11</v>
      </c>
      <c r="AJ4382" s="90">
        <v>1.2</v>
      </c>
      <c r="AN4382" s="185" t="s">
        <v>4392</v>
      </c>
      <c r="AO4382" s="185" t="s">
        <v>5150</v>
      </c>
      <c r="AQ4382" s="55" t="s">
        <v>553</v>
      </c>
      <c r="AR4382" s="55" t="s">
        <v>116</v>
      </c>
      <c r="AS4382" s="55" t="s">
        <v>116</v>
      </c>
      <c r="AU4382" s="181" t="s">
        <v>7494</v>
      </c>
      <c r="AV4382" s="185" t="s">
        <v>176</v>
      </c>
      <c r="AX4382" s="185" t="s">
        <v>176</v>
      </c>
      <c r="BK4382" s="55" t="s">
        <v>5976</v>
      </c>
      <c r="BM4382" s="192" t="s">
        <v>160</v>
      </c>
      <c r="BN4382" s="55">
        <v>3</v>
      </c>
      <c r="BO4382" s="55">
        <v>3</v>
      </c>
      <c r="BQ4382" s="55" t="s">
        <v>2077</v>
      </c>
      <c r="BV4382" s="55" t="s">
        <v>4401</v>
      </c>
      <c r="DB4382" s="65">
        <v>13.69</v>
      </c>
      <c r="DC4382" s="65">
        <v>13.37</v>
      </c>
      <c r="DD4382" s="65">
        <f>15.5-DB4382</f>
        <v>1.8100000000000005</v>
      </c>
      <c r="DE4382" s="65">
        <f>15.82-DC4382</f>
        <v>2.4500000000000011</v>
      </c>
      <c r="DF4382" s="65" t="s">
        <v>4400</v>
      </c>
      <c r="GP4382" s="292" t="s">
        <v>7494</v>
      </c>
      <c r="JW4382" s="55" t="s">
        <v>1078</v>
      </c>
    </row>
    <row r="4383" spans="1:283" x14ac:dyDescent="0.25">
      <c r="A4383" s="55">
        <v>4382</v>
      </c>
      <c r="B4383" s="12" t="s">
        <v>7067</v>
      </c>
      <c r="C4383" s="155">
        <v>193</v>
      </c>
      <c r="D4383" s="55" t="s">
        <v>4406</v>
      </c>
      <c r="E4383" s="90" t="s">
        <v>4387</v>
      </c>
      <c r="G4383" s="55" t="s">
        <v>4388</v>
      </c>
      <c r="H4383" s="55">
        <v>2016</v>
      </c>
      <c r="I4383" s="55">
        <v>2010</v>
      </c>
      <c r="J4383" s="55" t="s">
        <v>4394</v>
      </c>
      <c r="K4383" s="55" t="s">
        <v>4389</v>
      </c>
      <c r="L4383" s="55" t="s">
        <v>3377</v>
      </c>
      <c r="M4383" s="90">
        <f>35+12/60</f>
        <v>35.200000000000003</v>
      </c>
      <c r="N4383" s="90">
        <f>107+44/60</f>
        <v>107.73333333333333</v>
      </c>
      <c r="O4383" s="90">
        <v>1220</v>
      </c>
      <c r="R4383" s="55">
        <v>487.3</v>
      </c>
      <c r="S4383" s="90">
        <v>589</v>
      </c>
      <c r="U4383" s="55" t="s">
        <v>1805</v>
      </c>
      <c r="V4383" s="55" t="s">
        <v>1682</v>
      </c>
      <c r="Y4383" s="55" t="s">
        <v>4390</v>
      </c>
      <c r="Z4383" s="55" t="s">
        <v>1351</v>
      </c>
      <c r="AA4383" s="90" t="s">
        <v>1675</v>
      </c>
      <c r="AH4383" s="55" t="s">
        <v>6378</v>
      </c>
      <c r="AI4383" s="168">
        <v>8.11</v>
      </c>
      <c r="AJ4383" s="90">
        <v>1.2</v>
      </c>
      <c r="AN4383" s="185" t="s">
        <v>4392</v>
      </c>
      <c r="AO4383" s="185" t="s">
        <v>5150</v>
      </c>
      <c r="AQ4383" s="55" t="s">
        <v>553</v>
      </c>
      <c r="AR4383" s="55" t="s">
        <v>116</v>
      </c>
      <c r="AS4383" s="55" t="s">
        <v>116</v>
      </c>
      <c r="AU4383" s="181" t="s">
        <v>7494</v>
      </c>
      <c r="AV4383" s="185" t="s">
        <v>176</v>
      </c>
      <c r="AX4383" s="185" t="s">
        <v>176</v>
      </c>
      <c r="BK4383" s="55" t="s">
        <v>5976</v>
      </c>
      <c r="BM4383" s="192" t="s">
        <v>160</v>
      </c>
      <c r="BN4383" s="55">
        <v>3</v>
      </c>
      <c r="BO4383" s="55">
        <v>3</v>
      </c>
      <c r="BQ4383" s="55" t="s">
        <v>2077</v>
      </c>
      <c r="BV4383" s="55" t="s">
        <v>4401</v>
      </c>
      <c r="DB4383" s="65">
        <v>10.94</v>
      </c>
      <c r="DC4383" s="65">
        <v>11.59</v>
      </c>
      <c r="DD4383" s="65">
        <f>12.9-DB4383</f>
        <v>1.9600000000000009</v>
      </c>
      <c r="DE4383" s="65">
        <f>13.4-DC4383</f>
        <v>1.8100000000000005</v>
      </c>
      <c r="DF4383" s="65" t="s">
        <v>4400</v>
      </c>
      <c r="GP4383" s="292" t="s">
        <v>7494</v>
      </c>
      <c r="JW4383" s="55" t="s">
        <v>1078</v>
      </c>
    </row>
    <row r="4384" spans="1:283" x14ac:dyDescent="0.25">
      <c r="A4384" s="55">
        <v>4383</v>
      </c>
      <c r="B4384" s="12" t="s">
        <v>7067</v>
      </c>
      <c r="C4384" s="155">
        <v>193</v>
      </c>
      <c r="D4384" s="55" t="s">
        <v>4407</v>
      </c>
      <c r="E4384" s="90" t="s">
        <v>4387</v>
      </c>
      <c r="G4384" s="55" t="s">
        <v>4388</v>
      </c>
      <c r="H4384" s="55">
        <v>2016</v>
      </c>
      <c r="I4384" s="55">
        <v>2010</v>
      </c>
      <c r="J4384" s="55" t="s">
        <v>4394</v>
      </c>
      <c r="K4384" s="55" t="s">
        <v>4389</v>
      </c>
      <c r="L4384" s="55" t="s">
        <v>3377</v>
      </c>
      <c r="M4384" s="90">
        <f>35+12/60</f>
        <v>35.200000000000003</v>
      </c>
      <c r="N4384" s="90">
        <f>107+44/60</f>
        <v>107.73333333333333</v>
      </c>
      <c r="O4384" s="90">
        <v>1220</v>
      </c>
      <c r="R4384" s="55">
        <v>487.3</v>
      </c>
      <c r="S4384" s="90">
        <v>589</v>
      </c>
      <c r="U4384" s="55" t="s">
        <v>1805</v>
      </c>
      <c r="V4384" s="55" t="s">
        <v>1682</v>
      </c>
      <c r="Y4384" s="55" t="s">
        <v>4390</v>
      </c>
      <c r="Z4384" s="55" t="s">
        <v>1352</v>
      </c>
      <c r="AA4384" s="90" t="s">
        <v>1675</v>
      </c>
      <c r="AH4384" s="55" t="s">
        <v>6378</v>
      </c>
      <c r="AI4384" s="168">
        <v>8.11</v>
      </c>
      <c r="AJ4384" s="90">
        <v>1.2</v>
      </c>
      <c r="AN4384" s="185" t="s">
        <v>4392</v>
      </c>
      <c r="AO4384" s="185" t="s">
        <v>5150</v>
      </c>
      <c r="AQ4384" s="55" t="s">
        <v>553</v>
      </c>
      <c r="AR4384" s="55" t="s">
        <v>116</v>
      </c>
      <c r="AS4384" s="55" t="s">
        <v>116</v>
      </c>
      <c r="AU4384" s="181" t="s">
        <v>7494</v>
      </c>
      <c r="AV4384" s="185" t="s">
        <v>176</v>
      </c>
      <c r="AX4384" s="185" t="s">
        <v>176</v>
      </c>
      <c r="BK4384" s="55" t="s">
        <v>5976</v>
      </c>
      <c r="BM4384" s="192" t="s">
        <v>160</v>
      </c>
      <c r="BN4384" s="55">
        <v>3</v>
      </c>
      <c r="BO4384" s="55">
        <v>3</v>
      </c>
      <c r="BQ4384" s="55" t="s">
        <v>2077</v>
      </c>
      <c r="BV4384" s="55" t="s">
        <v>4401</v>
      </c>
      <c r="DB4384" s="65">
        <v>12.11</v>
      </c>
      <c r="DC4384" s="65">
        <v>12.11</v>
      </c>
      <c r="DD4384" s="65">
        <f>14.08-DB4384</f>
        <v>1.9700000000000006</v>
      </c>
      <c r="DE4384" s="65">
        <f>13.92-DC4384</f>
        <v>1.8100000000000005</v>
      </c>
      <c r="DF4384" s="65" t="s">
        <v>4400</v>
      </c>
      <c r="GP4384" s="292" t="s">
        <v>7494</v>
      </c>
      <c r="JW4384" s="55" t="s">
        <v>1078</v>
      </c>
    </row>
    <row r="4385" spans="1:283" x14ac:dyDescent="0.25">
      <c r="A4385" s="55">
        <v>4384</v>
      </c>
      <c r="B4385" s="12" t="s">
        <v>7067</v>
      </c>
      <c r="C4385" s="155">
        <v>193</v>
      </c>
      <c r="D4385" s="55" t="s">
        <v>4408</v>
      </c>
      <c r="E4385" s="90" t="s">
        <v>4387</v>
      </c>
      <c r="G4385" s="55" t="s">
        <v>4388</v>
      </c>
      <c r="H4385" s="55">
        <v>2016</v>
      </c>
      <c r="I4385" s="55">
        <v>2010</v>
      </c>
      <c r="J4385" s="55" t="s">
        <v>4394</v>
      </c>
      <c r="K4385" s="55" t="s">
        <v>4389</v>
      </c>
      <c r="L4385" s="55" t="s">
        <v>3377</v>
      </c>
      <c r="M4385" s="90">
        <f>35+12/60</f>
        <v>35.200000000000003</v>
      </c>
      <c r="N4385" s="90">
        <f>107+44/60</f>
        <v>107.73333333333333</v>
      </c>
      <c r="O4385" s="90">
        <v>1220</v>
      </c>
      <c r="R4385" s="55">
        <v>487.3</v>
      </c>
      <c r="S4385" s="90">
        <v>589</v>
      </c>
      <c r="U4385" s="55" t="s">
        <v>1805</v>
      </c>
      <c r="V4385" s="55" t="s">
        <v>1682</v>
      </c>
      <c r="Y4385" s="55" t="s">
        <v>4390</v>
      </c>
      <c r="Z4385" s="55" t="s">
        <v>1353</v>
      </c>
      <c r="AA4385" s="90" t="s">
        <v>1675</v>
      </c>
      <c r="AH4385" s="55" t="s">
        <v>6378</v>
      </c>
      <c r="AI4385" s="168">
        <v>8.11</v>
      </c>
      <c r="AJ4385" s="90">
        <v>1.2</v>
      </c>
      <c r="AN4385" s="185" t="s">
        <v>4392</v>
      </c>
      <c r="AO4385" s="185" t="s">
        <v>5150</v>
      </c>
      <c r="AQ4385" s="55" t="s">
        <v>553</v>
      </c>
      <c r="AR4385" s="55" t="s">
        <v>116</v>
      </c>
      <c r="AS4385" s="55" t="s">
        <v>116</v>
      </c>
      <c r="AU4385" s="181" t="s">
        <v>7494</v>
      </c>
      <c r="AV4385" s="185" t="s">
        <v>176</v>
      </c>
      <c r="AX4385" s="185" t="s">
        <v>176</v>
      </c>
      <c r="BK4385" s="55" t="s">
        <v>5976</v>
      </c>
      <c r="BM4385" s="192" t="s">
        <v>160</v>
      </c>
      <c r="BN4385" s="55">
        <v>3</v>
      </c>
      <c r="BO4385" s="55">
        <v>3</v>
      </c>
      <c r="BQ4385" s="55" t="s">
        <v>2077</v>
      </c>
      <c r="BV4385" s="55" t="s">
        <v>4401</v>
      </c>
      <c r="DB4385" s="65">
        <v>13.61</v>
      </c>
      <c r="DC4385" s="65">
        <v>16.39</v>
      </c>
      <c r="DD4385" s="65">
        <f>16.39-DB4385</f>
        <v>2.7800000000000011</v>
      </c>
      <c r="DE4385" s="65">
        <f>18.02-DC4385</f>
        <v>1.629999999999999</v>
      </c>
      <c r="DF4385" s="65" t="s">
        <v>4400</v>
      </c>
      <c r="GP4385" s="292" t="s">
        <v>7494</v>
      </c>
      <c r="JW4385" s="55" t="s">
        <v>1078</v>
      </c>
    </row>
    <row r="4386" spans="1:283" x14ac:dyDescent="0.25">
      <c r="A4386" s="55">
        <v>4385</v>
      </c>
      <c r="B4386" s="12" t="s">
        <v>7067</v>
      </c>
      <c r="C4386" s="155">
        <v>193</v>
      </c>
      <c r="D4386" s="55" t="s">
        <v>4409</v>
      </c>
      <c r="E4386" s="90" t="s">
        <v>4387</v>
      </c>
      <c r="G4386" s="55" t="s">
        <v>4388</v>
      </c>
      <c r="H4386" s="55">
        <v>2016</v>
      </c>
      <c r="I4386" s="55">
        <v>2010</v>
      </c>
      <c r="J4386" s="55" t="s">
        <v>4394</v>
      </c>
      <c r="K4386" s="55" t="s">
        <v>4389</v>
      </c>
      <c r="L4386" s="55" t="s">
        <v>3377</v>
      </c>
      <c r="M4386" s="90">
        <f>35+12/60</f>
        <v>35.200000000000003</v>
      </c>
      <c r="N4386" s="90">
        <f>107+44/60</f>
        <v>107.73333333333333</v>
      </c>
      <c r="O4386" s="90">
        <v>1220</v>
      </c>
      <c r="R4386" s="55">
        <v>487.3</v>
      </c>
      <c r="S4386" s="90">
        <v>589</v>
      </c>
      <c r="U4386" s="55" t="s">
        <v>1805</v>
      </c>
      <c r="V4386" s="55" t="s">
        <v>1682</v>
      </c>
      <c r="Y4386" s="55" t="s">
        <v>4390</v>
      </c>
      <c r="Z4386" s="55" t="s">
        <v>4399</v>
      </c>
      <c r="AA4386" s="90" t="s">
        <v>1675</v>
      </c>
      <c r="AH4386" s="55" t="s">
        <v>6378</v>
      </c>
      <c r="AI4386" s="168">
        <v>8.11</v>
      </c>
      <c r="AJ4386" s="90">
        <v>1.2</v>
      </c>
      <c r="AN4386" s="185" t="s">
        <v>4392</v>
      </c>
      <c r="AO4386" s="185" t="s">
        <v>5150</v>
      </c>
      <c r="AQ4386" s="55" t="s">
        <v>553</v>
      </c>
      <c r="AR4386" s="55" t="s">
        <v>116</v>
      </c>
      <c r="AS4386" s="55" t="s">
        <v>116</v>
      </c>
      <c r="AU4386" s="181" t="s">
        <v>7494</v>
      </c>
      <c r="AV4386" s="185" t="s">
        <v>176</v>
      </c>
      <c r="AX4386" s="185" t="s">
        <v>176</v>
      </c>
      <c r="BK4386" s="55" t="s">
        <v>5976</v>
      </c>
      <c r="BM4386" s="192" t="s">
        <v>160</v>
      </c>
      <c r="BN4386" s="55">
        <v>3</v>
      </c>
      <c r="BO4386" s="55">
        <v>3</v>
      </c>
      <c r="BQ4386" s="55" t="s">
        <v>2077</v>
      </c>
      <c r="BV4386" s="55" t="s">
        <v>4401</v>
      </c>
      <c r="DB4386" s="65">
        <v>15.1</v>
      </c>
      <c r="DC4386" s="65">
        <v>20.170000000000002</v>
      </c>
      <c r="DD4386" s="65">
        <f>16.42-DB4386</f>
        <v>1.3200000000000021</v>
      </c>
      <c r="DE4386" s="65">
        <f>22.29-DC4386</f>
        <v>2.1199999999999974</v>
      </c>
      <c r="DF4386" s="65" t="s">
        <v>4400</v>
      </c>
      <c r="GP4386" s="292" t="s">
        <v>7494</v>
      </c>
      <c r="JW4386" s="55" t="s">
        <v>1078</v>
      </c>
    </row>
    <row r="4387" spans="1:283" x14ac:dyDescent="0.25">
      <c r="A4387" s="55">
        <v>4386</v>
      </c>
      <c r="B4387" s="12" t="s">
        <v>7067</v>
      </c>
      <c r="C4387" s="155">
        <v>193</v>
      </c>
      <c r="D4387" s="55" t="s">
        <v>4410</v>
      </c>
      <c r="E4387" s="90" t="s">
        <v>4387</v>
      </c>
      <c r="G4387" s="55" t="s">
        <v>4388</v>
      </c>
      <c r="H4387" s="55">
        <v>2016</v>
      </c>
      <c r="I4387" s="55">
        <v>2010</v>
      </c>
      <c r="J4387" s="55" t="s">
        <v>4394</v>
      </c>
      <c r="K4387" s="55" t="s">
        <v>4389</v>
      </c>
      <c r="L4387" s="55" t="s">
        <v>3377</v>
      </c>
      <c r="M4387" s="90">
        <f>35+12/60</f>
        <v>35.200000000000003</v>
      </c>
      <c r="N4387" s="90">
        <f>107+44/60</f>
        <v>107.73333333333333</v>
      </c>
      <c r="O4387" s="90">
        <v>1220</v>
      </c>
      <c r="R4387" s="55">
        <v>487.3</v>
      </c>
      <c r="S4387" s="90">
        <v>589</v>
      </c>
      <c r="U4387" s="55" t="s">
        <v>1805</v>
      </c>
      <c r="V4387" s="55" t="s">
        <v>1682</v>
      </c>
      <c r="Y4387" s="55" t="s">
        <v>4390</v>
      </c>
      <c r="Z4387" s="55" t="s">
        <v>4395</v>
      </c>
      <c r="AA4387" s="90" t="s">
        <v>1675</v>
      </c>
      <c r="AH4387" s="55" t="s">
        <v>6378</v>
      </c>
      <c r="AI4387" s="168">
        <v>8.11</v>
      </c>
      <c r="AJ4387" s="90">
        <v>1.2</v>
      </c>
      <c r="AN4387" s="185" t="s">
        <v>4392</v>
      </c>
      <c r="AO4387" s="185" t="s">
        <v>5150</v>
      </c>
      <c r="AQ4387" s="55" t="s">
        <v>553</v>
      </c>
      <c r="AR4387" s="55" t="s">
        <v>116</v>
      </c>
      <c r="AS4387" s="55" t="s">
        <v>116</v>
      </c>
      <c r="AU4387" s="181" t="s">
        <v>7494</v>
      </c>
      <c r="AV4387" s="185" t="s">
        <v>176</v>
      </c>
      <c r="AX4387" s="185" t="s">
        <v>176</v>
      </c>
      <c r="BK4387" s="55" t="s">
        <v>5976</v>
      </c>
      <c r="BM4387" s="192" t="s">
        <v>160</v>
      </c>
      <c r="BN4387" s="55">
        <v>3</v>
      </c>
      <c r="BO4387" s="55">
        <v>3</v>
      </c>
      <c r="BQ4387" s="55" t="s">
        <v>2077</v>
      </c>
      <c r="BV4387" s="55" t="s">
        <v>4401</v>
      </c>
      <c r="DB4387" s="65">
        <v>14.64</v>
      </c>
      <c r="DC4387" s="65">
        <v>22</v>
      </c>
      <c r="DD4387" s="65">
        <f>16.93-DB4387</f>
        <v>2.2899999999999991</v>
      </c>
      <c r="DE4387" s="65">
        <f>23.3-DC4387</f>
        <v>1.3000000000000007</v>
      </c>
      <c r="DF4387" s="65" t="s">
        <v>4400</v>
      </c>
      <c r="GP4387" s="292" t="s">
        <v>7494</v>
      </c>
      <c r="JW4387" s="55" t="s">
        <v>1078</v>
      </c>
    </row>
    <row r="4388" spans="1:283" x14ac:dyDescent="0.25">
      <c r="A4388" s="55">
        <v>4387</v>
      </c>
      <c r="B4388" s="12" t="s">
        <v>7067</v>
      </c>
      <c r="C4388" s="155">
        <v>193</v>
      </c>
      <c r="D4388" s="55" t="s">
        <v>4411</v>
      </c>
      <c r="E4388" s="90" t="s">
        <v>4387</v>
      </c>
      <c r="G4388" s="55" t="s">
        <v>4388</v>
      </c>
      <c r="H4388" s="55">
        <v>2016</v>
      </c>
      <c r="I4388" s="55">
        <v>2010</v>
      </c>
      <c r="J4388" s="55" t="s">
        <v>4394</v>
      </c>
      <c r="K4388" s="55" t="s">
        <v>4389</v>
      </c>
      <c r="L4388" s="55" t="s">
        <v>3377</v>
      </c>
      <c r="M4388" s="90">
        <f>35+12/60</f>
        <v>35.200000000000003</v>
      </c>
      <c r="N4388" s="90">
        <f>107+44/60</f>
        <v>107.73333333333333</v>
      </c>
      <c r="O4388" s="90">
        <v>1220</v>
      </c>
      <c r="R4388" s="55">
        <v>487.3</v>
      </c>
      <c r="S4388" s="90">
        <v>589</v>
      </c>
      <c r="U4388" s="55" t="s">
        <v>1805</v>
      </c>
      <c r="V4388" s="55" t="s">
        <v>1682</v>
      </c>
      <c r="Y4388" s="55" t="s">
        <v>4390</v>
      </c>
      <c r="Z4388" s="55" t="s">
        <v>4396</v>
      </c>
      <c r="AA4388" s="90" t="s">
        <v>1675</v>
      </c>
      <c r="AH4388" s="55" t="s">
        <v>6378</v>
      </c>
      <c r="AI4388" s="168">
        <v>8.11</v>
      </c>
      <c r="AJ4388" s="90">
        <v>1.2</v>
      </c>
      <c r="AN4388" s="185" t="s">
        <v>4392</v>
      </c>
      <c r="AO4388" s="185" t="s">
        <v>5150</v>
      </c>
      <c r="AQ4388" s="55" t="s">
        <v>553</v>
      </c>
      <c r="AR4388" s="55" t="s">
        <v>116</v>
      </c>
      <c r="AS4388" s="55" t="s">
        <v>116</v>
      </c>
      <c r="AU4388" s="181" t="s">
        <v>7494</v>
      </c>
      <c r="AV4388" s="185" t="s">
        <v>176</v>
      </c>
      <c r="AX4388" s="185" t="s">
        <v>176</v>
      </c>
      <c r="BK4388" s="55" t="s">
        <v>5976</v>
      </c>
      <c r="BM4388" s="192" t="s">
        <v>160</v>
      </c>
      <c r="BN4388" s="55">
        <v>3</v>
      </c>
      <c r="BO4388" s="55">
        <v>3</v>
      </c>
      <c r="BQ4388" s="55" t="s">
        <v>2077</v>
      </c>
      <c r="BV4388" s="55" t="s">
        <v>4401</v>
      </c>
      <c r="DB4388" s="65">
        <v>19.57</v>
      </c>
      <c r="DC4388" s="65">
        <v>23.49</v>
      </c>
      <c r="DD4388" s="65">
        <f>22.68-DB4388</f>
        <v>3.1099999999999994</v>
      </c>
      <c r="DE4388" s="65">
        <f>25.12-DC4388</f>
        <v>1.6300000000000026</v>
      </c>
      <c r="DF4388" s="65" t="s">
        <v>4400</v>
      </c>
      <c r="GP4388" s="292" t="s">
        <v>7494</v>
      </c>
      <c r="JW4388" s="55" t="s">
        <v>1078</v>
      </c>
    </row>
    <row r="4389" spans="1:283" x14ac:dyDescent="0.25">
      <c r="A4389" s="55">
        <v>4388</v>
      </c>
      <c r="B4389" s="12" t="s">
        <v>7067</v>
      </c>
      <c r="C4389" s="155">
        <v>193</v>
      </c>
      <c r="D4389" s="55" t="s">
        <v>4412</v>
      </c>
      <c r="E4389" s="90" t="s">
        <v>4387</v>
      </c>
      <c r="G4389" s="55" t="s">
        <v>4388</v>
      </c>
      <c r="H4389" s="55">
        <v>2016</v>
      </c>
      <c r="I4389" s="55">
        <v>2010</v>
      </c>
      <c r="J4389" s="55" t="s">
        <v>4394</v>
      </c>
      <c r="K4389" s="55" t="s">
        <v>4389</v>
      </c>
      <c r="L4389" s="55" t="s">
        <v>3377</v>
      </c>
      <c r="M4389" s="90">
        <f>35+12/60</f>
        <v>35.200000000000003</v>
      </c>
      <c r="N4389" s="90">
        <f>107+44/60</f>
        <v>107.73333333333333</v>
      </c>
      <c r="O4389" s="90">
        <v>1220</v>
      </c>
      <c r="R4389" s="55">
        <v>487.3</v>
      </c>
      <c r="S4389" s="90">
        <v>589</v>
      </c>
      <c r="U4389" s="55" t="s">
        <v>1805</v>
      </c>
      <c r="V4389" s="55" t="s">
        <v>1682</v>
      </c>
      <c r="Y4389" s="55" t="s">
        <v>4390</v>
      </c>
      <c r="Z4389" s="55" t="s">
        <v>4397</v>
      </c>
      <c r="AA4389" s="90" t="s">
        <v>1675</v>
      </c>
      <c r="AH4389" s="55" t="s">
        <v>6378</v>
      </c>
      <c r="AI4389" s="168">
        <v>8.11</v>
      </c>
      <c r="AJ4389" s="90">
        <v>1.2</v>
      </c>
      <c r="AN4389" s="185" t="s">
        <v>4392</v>
      </c>
      <c r="AO4389" s="185" t="s">
        <v>5150</v>
      </c>
      <c r="AQ4389" s="55" t="s">
        <v>553</v>
      </c>
      <c r="AR4389" s="55" t="s">
        <v>116</v>
      </c>
      <c r="AS4389" s="55" t="s">
        <v>116</v>
      </c>
      <c r="AU4389" s="181" t="s">
        <v>7494</v>
      </c>
      <c r="AV4389" s="185" t="s">
        <v>176</v>
      </c>
      <c r="AX4389" s="185" t="s">
        <v>176</v>
      </c>
      <c r="BK4389" s="55" t="s">
        <v>5976</v>
      </c>
      <c r="BM4389" s="192" t="s">
        <v>160</v>
      </c>
      <c r="BN4389" s="55">
        <v>3</v>
      </c>
      <c r="BO4389" s="55">
        <v>3</v>
      </c>
      <c r="BQ4389" s="55" t="s">
        <v>2077</v>
      </c>
      <c r="BV4389" s="55" t="s">
        <v>4401</v>
      </c>
      <c r="DB4389" s="65">
        <v>23.19</v>
      </c>
      <c r="DC4389" s="65">
        <v>24.83</v>
      </c>
      <c r="DD4389" s="65">
        <f>27.28-DB4389</f>
        <v>4.09</v>
      </c>
      <c r="DE4389" s="65">
        <f>27.6-DC4389</f>
        <v>2.7700000000000031</v>
      </c>
      <c r="DF4389" s="65" t="s">
        <v>4400</v>
      </c>
      <c r="GP4389" s="292" t="s">
        <v>7494</v>
      </c>
      <c r="JW4389" s="55" t="s">
        <v>1078</v>
      </c>
    </row>
    <row r="4390" spans="1:283" x14ac:dyDescent="0.25">
      <c r="A4390" s="55">
        <v>4389</v>
      </c>
      <c r="B4390" s="12" t="s">
        <v>7067</v>
      </c>
      <c r="C4390" s="155">
        <v>193</v>
      </c>
      <c r="D4390" s="55" t="s">
        <v>4413</v>
      </c>
      <c r="E4390" s="90" t="s">
        <v>4387</v>
      </c>
      <c r="G4390" s="55" t="s">
        <v>4388</v>
      </c>
      <c r="H4390" s="55">
        <v>2016</v>
      </c>
      <c r="I4390" s="55">
        <v>2010</v>
      </c>
      <c r="J4390" s="55" t="s">
        <v>4394</v>
      </c>
      <c r="K4390" s="55" t="s">
        <v>4389</v>
      </c>
      <c r="L4390" s="55" t="s">
        <v>3377</v>
      </c>
      <c r="M4390" s="90">
        <f>35+12/60</f>
        <v>35.200000000000003</v>
      </c>
      <c r="N4390" s="90">
        <f>107+44/60</f>
        <v>107.73333333333333</v>
      </c>
      <c r="O4390" s="90">
        <v>1220</v>
      </c>
      <c r="R4390" s="55">
        <v>487.3</v>
      </c>
      <c r="S4390" s="90">
        <v>589</v>
      </c>
      <c r="U4390" s="55" t="s">
        <v>1805</v>
      </c>
      <c r="V4390" s="55" t="s">
        <v>1682</v>
      </c>
      <c r="Y4390" s="55" t="s">
        <v>4390</v>
      </c>
      <c r="Z4390" s="55" t="s">
        <v>4398</v>
      </c>
      <c r="AA4390" s="90" t="s">
        <v>1675</v>
      </c>
      <c r="AH4390" s="55" t="s">
        <v>6378</v>
      </c>
      <c r="AI4390" s="168">
        <v>8.11</v>
      </c>
      <c r="AJ4390" s="90">
        <v>1.2</v>
      </c>
      <c r="AN4390" s="185" t="s">
        <v>4392</v>
      </c>
      <c r="AO4390" s="185" t="s">
        <v>5150</v>
      </c>
      <c r="AQ4390" s="55" t="s">
        <v>553</v>
      </c>
      <c r="AR4390" s="55" t="s">
        <v>116</v>
      </c>
      <c r="AS4390" s="55" t="s">
        <v>116</v>
      </c>
      <c r="AU4390" s="181" t="s">
        <v>7494</v>
      </c>
      <c r="AV4390" s="185" t="s">
        <v>176</v>
      </c>
      <c r="AX4390" s="185" t="s">
        <v>176</v>
      </c>
      <c r="BK4390" s="55" t="s">
        <v>5976</v>
      </c>
      <c r="BM4390" s="192" t="s">
        <v>160</v>
      </c>
      <c r="BN4390" s="55">
        <v>3</v>
      </c>
      <c r="BO4390" s="55">
        <v>3</v>
      </c>
      <c r="BQ4390" s="55" t="s">
        <v>2077</v>
      </c>
      <c r="BV4390" s="55" t="s">
        <v>4401</v>
      </c>
      <c r="DB4390" s="65">
        <v>29.92</v>
      </c>
      <c r="DC4390" s="65">
        <v>27.79</v>
      </c>
      <c r="DD4390" s="65">
        <f>32-DB4390</f>
        <v>2.0799999999999983</v>
      </c>
      <c r="DE4390" s="65">
        <f>31.55-DC4390</f>
        <v>3.7600000000000016</v>
      </c>
      <c r="DF4390" s="65" t="s">
        <v>4400</v>
      </c>
      <c r="GP4390" s="292" t="s">
        <v>7494</v>
      </c>
      <c r="JW4390" s="55" t="s">
        <v>1078</v>
      </c>
    </row>
    <row r="4391" spans="1:283" x14ac:dyDescent="0.25">
      <c r="A4391" s="55">
        <v>4390</v>
      </c>
      <c r="B4391" s="12" t="s">
        <v>7067</v>
      </c>
      <c r="C4391" s="155">
        <v>193</v>
      </c>
      <c r="D4391" s="55" t="s">
        <v>4404</v>
      </c>
      <c r="E4391" s="90" t="s">
        <v>4387</v>
      </c>
      <c r="G4391" s="55" t="s">
        <v>4388</v>
      </c>
      <c r="H4391" s="55">
        <v>2016</v>
      </c>
      <c r="I4391" s="55">
        <v>2010</v>
      </c>
      <c r="J4391" s="55" t="s">
        <v>4394</v>
      </c>
      <c r="K4391" s="55" t="s">
        <v>4389</v>
      </c>
      <c r="L4391" s="55" t="s">
        <v>3377</v>
      </c>
      <c r="M4391" s="90">
        <f>35+12/60</f>
        <v>35.200000000000003</v>
      </c>
      <c r="N4391" s="90">
        <f>107+44/60</f>
        <v>107.73333333333333</v>
      </c>
      <c r="O4391" s="90">
        <v>1220</v>
      </c>
      <c r="R4391" s="55">
        <v>487.3</v>
      </c>
      <c r="S4391" s="90">
        <v>589</v>
      </c>
      <c r="U4391" s="55" t="s">
        <v>1805</v>
      </c>
      <c r="V4391" s="55" t="s">
        <v>1682</v>
      </c>
      <c r="Y4391" s="55" t="s">
        <v>4390</v>
      </c>
      <c r="Z4391" s="55" t="s">
        <v>1346</v>
      </c>
      <c r="AA4391" s="90" t="s">
        <v>1675</v>
      </c>
      <c r="AH4391" s="55" t="s">
        <v>6378</v>
      </c>
      <c r="AI4391" s="168">
        <v>8.11</v>
      </c>
      <c r="AJ4391" s="90">
        <v>1.2</v>
      </c>
      <c r="AN4391" s="185" t="s">
        <v>158</v>
      </c>
      <c r="AO4391" s="185" t="s">
        <v>5150</v>
      </c>
      <c r="AQ4391" s="55" t="s">
        <v>553</v>
      </c>
      <c r="AR4391" s="55" t="s">
        <v>116</v>
      </c>
      <c r="AS4391" s="55" t="s">
        <v>116</v>
      </c>
      <c r="AU4391" s="181" t="s">
        <v>7494</v>
      </c>
      <c r="AV4391" s="185" t="s">
        <v>176</v>
      </c>
      <c r="AX4391" s="185" t="s">
        <v>176</v>
      </c>
      <c r="BK4391" s="55" t="s">
        <v>5976</v>
      </c>
      <c r="BM4391" s="192" t="s">
        <v>160</v>
      </c>
      <c r="BN4391" s="55">
        <v>3</v>
      </c>
      <c r="BO4391" s="55">
        <v>3</v>
      </c>
      <c r="BQ4391" s="55" t="s">
        <v>2077</v>
      </c>
      <c r="BV4391" s="55" t="s">
        <v>4401</v>
      </c>
      <c r="DB4391" s="65">
        <v>19.72</v>
      </c>
      <c r="DC4391" s="65">
        <v>20.87</v>
      </c>
      <c r="DD4391" s="65">
        <v>2.4499999999999993</v>
      </c>
      <c r="DE4391" s="65">
        <f>23.8-DC4391</f>
        <v>2.9299999999999997</v>
      </c>
      <c r="DF4391" s="65" t="s">
        <v>4400</v>
      </c>
      <c r="GP4391" s="292" t="s">
        <v>7494</v>
      </c>
      <c r="JW4391" s="55" t="s">
        <v>1078</v>
      </c>
    </row>
    <row r="4392" spans="1:283" x14ac:dyDescent="0.25">
      <c r="A4392" s="55">
        <v>4391</v>
      </c>
      <c r="B4392" s="12" t="s">
        <v>7067</v>
      </c>
      <c r="C4392" s="155">
        <v>193</v>
      </c>
      <c r="D4392" s="55" t="s">
        <v>4405</v>
      </c>
      <c r="E4392" s="90" t="s">
        <v>4387</v>
      </c>
      <c r="G4392" s="55" t="s">
        <v>4388</v>
      </c>
      <c r="H4392" s="55">
        <v>2016</v>
      </c>
      <c r="I4392" s="55">
        <v>2010</v>
      </c>
      <c r="J4392" s="55" t="s">
        <v>4394</v>
      </c>
      <c r="K4392" s="55" t="s">
        <v>4389</v>
      </c>
      <c r="L4392" s="55" t="s">
        <v>3377</v>
      </c>
      <c r="M4392" s="90">
        <f>35+12/60</f>
        <v>35.200000000000003</v>
      </c>
      <c r="N4392" s="90">
        <f>107+44/60</f>
        <v>107.73333333333333</v>
      </c>
      <c r="O4392" s="90">
        <v>1220</v>
      </c>
      <c r="R4392" s="55">
        <v>487.3</v>
      </c>
      <c r="S4392" s="90">
        <v>589</v>
      </c>
      <c r="U4392" s="55" t="s">
        <v>1805</v>
      </c>
      <c r="V4392" s="55" t="s">
        <v>1682</v>
      </c>
      <c r="Y4392" s="55" t="s">
        <v>4390</v>
      </c>
      <c r="Z4392" s="55" t="s">
        <v>1350</v>
      </c>
      <c r="AA4392" s="90" t="s">
        <v>1675</v>
      </c>
      <c r="AH4392" s="55" t="s">
        <v>6378</v>
      </c>
      <c r="AI4392" s="168">
        <v>8.11</v>
      </c>
      <c r="AJ4392" s="90">
        <v>1.2</v>
      </c>
      <c r="AN4392" s="185" t="s">
        <v>158</v>
      </c>
      <c r="AO4392" s="185" t="s">
        <v>5150</v>
      </c>
      <c r="AQ4392" s="55" t="s">
        <v>553</v>
      </c>
      <c r="AR4392" s="55" t="s">
        <v>116</v>
      </c>
      <c r="AS4392" s="55" t="s">
        <v>116</v>
      </c>
      <c r="AU4392" s="181" t="s">
        <v>7494</v>
      </c>
      <c r="AV4392" s="185" t="s">
        <v>176</v>
      </c>
      <c r="AX4392" s="185" t="s">
        <v>176</v>
      </c>
      <c r="BK4392" s="55" t="s">
        <v>5976</v>
      </c>
      <c r="BM4392" s="192" t="s">
        <v>160</v>
      </c>
      <c r="BN4392" s="55">
        <v>3</v>
      </c>
      <c r="BO4392" s="55">
        <v>3</v>
      </c>
      <c r="BQ4392" s="55" t="s">
        <v>2077</v>
      </c>
      <c r="BV4392" s="55" t="s">
        <v>4401</v>
      </c>
      <c r="DB4392" s="65">
        <v>13.69</v>
      </c>
      <c r="DC4392" s="65">
        <v>11.9</v>
      </c>
      <c r="DD4392" s="65">
        <v>1.8100000000000005</v>
      </c>
      <c r="DE4392" s="65">
        <f>13.86-DC4392</f>
        <v>1.9599999999999991</v>
      </c>
      <c r="DF4392" s="65" t="s">
        <v>4400</v>
      </c>
      <c r="GP4392" s="292" t="s">
        <v>7494</v>
      </c>
      <c r="JW4392" s="55" t="s">
        <v>1078</v>
      </c>
    </row>
    <row r="4393" spans="1:283" x14ac:dyDescent="0.25">
      <c r="A4393" s="55">
        <v>4392</v>
      </c>
      <c r="B4393" s="12" t="s">
        <v>7067</v>
      </c>
      <c r="C4393" s="155">
        <v>193</v>
      </c>
      <c r="D4393" s="55" t="s">
        <v>4406</v>
      </c>
      <c r="E4393" s="90" t="s">
        <v>4387</v>
      </c>
      <c r="G4393" s="55" t="s">
        <v>4388</v>
      </c>
      <c r="H4393" s="55">
        <v>2016</v>
      </c>
      <c r="I4393" s="55">
        <v>2010</v>
      </c>
      <c r="J4393" s="55" t="s">
        <v>4394</v>
      </c>
      <c r="K4393" s="55" t="s">
        <v>4389</v>
      </c>
      <c r="L4393" s="55" t="s">
        <v>3377</v>
      </c>
      <c r="M4393" s="90">
        <f>35+12/60</f>
        <v>35.200000000000003</v>
      </c>
      <c r="N4393" s="90">
        <f>107+44/60</f>
        <v>107.73333333333333</v>
      </c>
      <c r="O4393" s="90">
        <v>1220</v>
      </c>
      <c r="R4393" s="55">
        <v>487.3</v>
      </c>
      <c r="S4393" s="90">
        <v>589</v>
      </c>
      <c r="U4393" s="55" t="s">
        <v>1805</v>
      </c>
      <c r="V4393" s="55" t="s">
        <v>1682</v>
      </c>
      <c r="Y4393" s="55" t="s">
        <v>4390</v>
      </c>
      <c r="Z4393" s="55" t="s">
        <v>1351</v>
      </c>
      <c r="AA4393" s="90" t="s">
        <v>1675</v>
      </c>
      <c r="AH4393" s="55" t="s">
        <v>6378</v>
      </c>
      <c r="AI4393" s="168">
        <v>8.11</v>
      </c>
      <c r="AJ4393" s="90">
        <v>1.2</v>
      </c>
      <c r="AN4393" s="185" t="s">
        <v>158</v>
      </c>
      <c r="AO4393" s="185" t="s">
        <v>5150</v>
      </c>
      <c r="AQ4393" s="55" t="s">
        <v>553</v>
      </c>
      <c r="AR4393" s="55" t="s">
        <v>116</v>
      </c>
      <c r="AS4393" s="55" t="s">
        <v>116</v>
      </c>
      <c r="AU4393" s="181" t="s">
        <v>7494</v>
      </c>
      <c r="AV4393" s="185" t="s">
        <v>176</v>
      </c>
      <c r="AX4393" s="185" t="s">
        <v>176</v>
      </c>
      <c r="BK4393" s="55" t="s">
        <v>5976</v>
      </c>
      <c r="BM4393" s="192" t="s">
        <v>160</v>
      </c>
      <c r="BN4393" s="55">
        <v>3</v>
      </c>
      <c r="BO4393" s="55">
        <v>3</v>
      </c>
      <c r="BQ4393" s="55" t="s">
        <v>2077</v>
      </c>
      <c r="BV4393" s="55" t="s">
        <v>4401</v>
      </c>
      <c r="DB4393" s="65">
        <v>10.94</v>
      </c>
      <c r="DC4393" s="65">
        <v>10.78</v>
      </c>
      <c r="DD4393" s="65">
        <v>1.9600000000000009</v>
      </c>
      <c r="DE4393" s="65">
        <v>2</v>
      </c>
      <c r="DF4393" s="65" t="s">
        <v>4400</v>
      </c>
      <c r="GP4393" s="292" t="s">
        <v>7494</v>
      </c>
      <c r="JW4393" s="55" t="s">
        <v>1078</v>
      </c>
    </row>
    <row r="4394" spans="1:283" x14ac:dyDescent="0.25">
      <c r="A4394" s="55">
        <v>4393</v>
      </c>
      <c r="B4394" s="12" t="s">
        <v>7067</v>
      </c>
      <c r="C4394" s="155">
        <v>193</v>
      </c>
      <c r="D4394" s="55" t="s">
        <v>4407</v>
      </c>
      <c r="E4394" s="90" t="s">
        <v>4387</v>
      </c>
      <c r="G4394" s="55" t="s">
        <v>4388</v>
      </c>
      <c r="H4394" s="55">
        <v>2016</v>
      </c>
      <c r="I4394" s="55">
        <v>2010</v>
      </c>
      <c r="J4394" s="55" t="s">
        <v>4394</v>
      </c>
      <c r="K4394" s="55" t="s">
        <v>4389</v>
      </c>
      <c r="L4394" s="55" t="s">
        <v>3377</v>
      </c>
      <c r="M4394" s="90">
        <f>35+12/60</f>
        <v>35.200000000000003</v>
      </c>
      <c r="N4394" s="90">
        <f>107+44/60</f>
        <v>107.73333333333333</v>
      </c>
      <c r="O4394" s="90">
        <v>1220</v>
      </c>
      <c r="R4394" s="55">
        <v>487.3</v>
      </c>
      <c r="S4394" s="90">
        <v>589</v>
      </c>
      <c r="U4394" s="55" t="s">
        <v>1805</v>
      </c>
      <c r="V4394" s="55" t="s">
        <v>1682</v>
      </c>
      <c r="Y4394" s="55" t="s">
        <v>4390</v>
      </c>
      <c r="Z4394" s="55" t="s">
        <v>1352</v>
      </c>
      <c r="AA4394" s="90" t="s">
        <v>1675</v>
      </c>
      <c r="AH4394" s="55" t="s">
        <v>6378</v>
      </c>
      <c r="AI4394" s="168">
        <v>8.11</v>
      </c>
      <c r="AJ4394" s="90">
        <v>1.2</v>
      </c>
      <c r="AN4394" s="185" t="s">
        <v>158</v>
      </c>
      <c r="AO4394" s="185" t="s">
        <v>5150</v>
      </c>
      <c r="AQ4394" s="55" t="s">
        <v>553</v>
      </c>
      <c r="AR4394" s="55" t="s">
        <v>116</v>
      </c>
      <c r="AS4394" s="55" t="s">
        <v>116</v>
      </c>
      <c r="AU4394" s="181" t="s">
        <v>7494</v>
      </c>
      <c r="AV4394" s="185" t="s">
        <v>176</v>
      </c>
      <c r="AX4394" s="185" t="s">
        <v>176</v>
      </c>
      <c r="BK4394" s="55" t="s">
        <v>5976</v>
      </c>
      <c r="BM4394" s="192" t="s">
        <v>160</v>
      </c>
      <c r="BN4394" s="55">
        <v>3</v>
      </c>
      <c r="BO4394" s="55">
        <v>3</v>
      </c>
      <c r="BQ4394" s="55" t="s">
        <v>2077</v>
      </c>
      <c r="BV4394" s="55" t="s">
        <v>4401</v>
      </c>
      <c r="DB4394" s="65">
        <v>12.11</v>
      </c>
      <c r="DC4394" s="65">
        <v>8.68</v>
      </c>
      <c r="DD4394" s="65">
        <v>1.9700000000000006</v>
      </c>
      <c r="DE4394" s="65">
        <v>2</v>
      </c>
      <c r="DF4394" s="65" t="s">
        <v>4400</v>
      </c>
      <c r="GP4394" s="292" t="s">
        <v>7494</v>
      </c>
      <c r="JW4394" s="55" t="s">
        <v>1078</v>
      </c>
    </row>
    <row r="4395" spans="1:283" x14ac:dyDescent="0.25">
      <c r="A4395" s="55">
        <v>4394</v>
      </c>
      <c r="B4395" s="12" t="s">
        <v>7067</v>
      </c>
      <c r="C4395" s="155">
        <v>193</v>
      </c>
      <c r="D4395" s="55" t="s">
        <v>4408</v>
      </c>
      <c r="E4395" s="90" t="s">
        <v>4387</v>
      </c>
      <c r="G4395" s="55" t="s">
        <v>4388</v>
      </c>
      <c r="H4395" s="55">
        <v>2016</v>
      </c>
      <c r="I4395" s="55">
        <v>2010</v>
      </c>
      <c r="J4395" s="55" t="s">
        <v>4394</v>
      </c>
      <c r="K4395" s="55" t="s">
        <v>4389</v>
      </c>
      <c r="L4395" s="55" t="s">
        <v>3377</v>
      </c>
      <c r="M4395" s="90">
        <f>35+12/60</f>
        <v>35.200000000000003</v>
      </c>
      <c r="N4395" s="90">
        <f>107+44/60</f>
        <v>107.73333333333333</v>
      </c>
      <c r="O4395" s="90">
        <v>1220</v>
      </c>
      <c r="R4395" s="55">
        <v>487.3</v>
      </c>
      <c r="S4395" s="90">
        <v>589</v>
      </c>
      <c r="U4395" s="55" t="s">
        <v>1805</v>
      </c>
      <c r="V4395" s="55" t="s">
        <v>1682</v>
      </c>
      <c r="Y4395" s="55" t="s">
        <v>4390</v>
      </c>
      <c r="Z4395" s="55" t="s">
        <v>1353</v>
      </c>
      <c r="AA4395" s="90" t="s">
        <v>1675</v>
      </c>
      <c r="AH4395" s="55" t="s">
        <v>6378</v>
      </c>
      <c r="AI4395" s="168">
        <v>8.11</v>
      </c>
      <c r="AJ4395" s="90">
        <v>1.2</v>
      </c>
      <c r="AN4395" s="185" t="s">
        <v>158</v>
      </c>
      <c r="AO4395" s="185" t="s">
        <v>5150</v>
      </c>
      <c r="AQ4395" s="55" t="s">
        <v>553</v>
      </c>
      <c r="AR4395" s="55" t="s">
        <v>116</v>
      </c>
      <c r="AS4395" s="55" t="s">
        <v>116</v>
      </c>
      <c r="AU4395" s="181" t="s">
        <v>7494</v>
      </c>
      <c r="AV4395" s="185" t="s">
        <v>176</v>
      </c>
      <c r="AX4395" s="185" t="s">
        <v>176</v>
      </c>
      <c r="BK4395" s="55" t="s">
        <v>5976</v>
      </c>
      <c r="BM4395" s="192" t="s">
        <v>160</v>
      </c>
      <c r="BN4395" s="55">
        <v>3</v>
      </c>
      <c r="BO4395" s="55">
        <v>3</v>
      </c>
      <c r="BQ4395" s="55" t="s">
        <v>2077</v>
      </c>
      <c r="BV4395" s="55" t="s">
        <v>4401</v>
      </c>
      <c r="DB4395" s="65">
        <v>13.61</v>
      </c>
      <c r="DC4395" s="65">
        <v>10.83</v>
      </c>
      <c r="DD4395" s="65">
        <v>2.7800000000000011</v>
      </c>
      <c r="DE4395" s="65">
        <v>2</v>
      </c>
      <c r="DF4395" s="65" t="s">
        <v>4400</v>
      </c>
      <c r="GP4395" s="292" t="s">
        <v>7494</v>
      </c>
      <c r="JW4395" s="55" t="s">
        <v>1078</v>
      </c>
    </row>
    <row r="4396" spans="1:283" x14ac:dyDescent="0.25">
      <c r="A4396" s="55">
        <v>4395</v>
      </c>
      <c r="B4396" s="12" t="s">
        <v>7067</v>
      </c>
      <c r="C4396" s="155">
        <v>193</v>
      </c>
      <c r="D4396" s="55" t="s">
        <v>4409</v>
      </c>
      <c r="E4396" s="90" t="s">
        <v>4387</v>
      </c>
      <c r="G4396" s="55" t="s">
        <v>4388</v>
      </c>
      <c r="H4396" s="55">
        <v>2016</v>
      </c>
      <c r="I4396" s="55">
        <v>2010</v>
      </c>
      <c r="J4396" s="55" t="s">
        <v>4394</v>
      </c>
      <c r="K4396" s="55" t="s">
        <v>4389</v>
      </c>
      <c r="L4396" s="55" t="s">
        <v>3377</v>
      </c>
      <c r="M4396" s="90">
        <f>35+12/60</f>
        <v>35.200000000000003</v>
      </c>
      <c r="N4396" s="90">
        <f>107+44/60</f>
        <v>107.73333333333333</v>
      </c>
      <c r="O4396" s="90">
        <v>1220</v>
      </c>
      <c r="R4396" s="55">
        <v>487.3</v>
      </c>
      <c r="S4396" s="90">
        <v>589</v>
      </c>
      <c r="U4396" s="55" t="s">
        <v>1805</v>
      </c>
      <c r="V4396" s="55" t="s">
        <v>1682</v>
      </c>
      <c r="Y4396" s="55" t="s">
        <v>4390</v>
      </c>
      <c r="Z4396" s="55" t="s">
        <v>4399</v>
      </c>
      <c r="AA4396" s="90" t="s">
        <v>1675</v>
      </c>
      <c r="AH4396" s="55" t="s">
        <v>6378</v>
      </c>
      <c r="AI4396" s="168">
        <v>8.11</v>
      </c>
      <c r="AJ4396" s="90">
        <v>1.2</v>
      </c>
      <c r="AN4396" s="185" t="s">
        <v>158</v>
      </c>
      <c r="AO4396" s="185" t="s">
        <v>5150</v>
      </c>
      <c r="AQ4396" s="55" t="s">
        <v>553</v>
      </c>
      <c r="AR4396" s="55" t="s">
        <v>116</v>
      </c>
      <c r="AS4396" s="55" t="s">
        <v>116</v>
      </c>
      <c r="AU4396" s="181" t="s">
        <v>7494</v>
      </c>
      <c r="AV4396" s="185" t="s">
        <v>176</v>
      </c>
      <c r="AX4396" s="185" t="s">
        <v>176</v>
      </c>
      <c r="BK4396" s="55" t="s">
        <v>5976</v>
      </c>
      <c r="BM4396" s="192" t="s">
        <v>160</v>
      </c>
      <c r="BN4396" s="55">
        <v>3</v>
      </c>
      <c r="BO4396" s="55">
        <v>3</v>
      </c>
      <c r="BQ4396" s="55" t="s">
        <v>2077</v>
      </c>
      <c r="BV4396" s="55" t="s">
        <v>4401</v>
      </c>
      <c r="DB4396" s="65">
        <v>15.1</v>
      </c>
      <c r="DC4396" s="65">
        <v>11.84</v>
      </c>
      <c r="DD4396" s="65">
        <v>1.3200000000000021</v>
      </c>
      <c r="DE4396" s="65">
        <v>2</v>
      </c>
      <c r="DF4396" s="65" t="s">
        <v>4400</v>
      </c>
      <c r="GP4396" s="292" t="s">
        <v>7494</v>
      </c>
      <c r="JW4396" s="55" t="s">
        <v>1078</v>
      </c>
    </row>
    <row r="4397" spans="1:283" x14ac:dyDescent="0.25">
      <c r="A4397" s="55">
        <v>4396</v>
      </c>
      <c r="B4397" s="12" t="s">
        <v>7067</v>
      </c>
      <c r="C4397" s="155">
        <v>193</v>
      </c>
      <c r="D4397" s="55" t="s">
        <v>4410</v>
      </c>
      <c r="E4397" s="90" t="s">
        <v>4387</v>
      </c>
      <c r="G4397" s="55" t="s">
        <v>4388</v>
      </c>
      <c r="H4397" s="55">
        <v>2016</v>
      </c>
      <c r="I4397" s="55">
        <v>2010</v>
      </c>
      <c r="J4397" s="55" t="s">
        <v>4394</v>
      </c>
      <c r="K4397" s="55" t="s">
        <v>4389</v>
      </c>
      <c r="L4397" s="55" t="s">
        <v>3377</v>
      </c>
      <c r="M4397" s="90">
        <f>35+12/60</f>
        <v>35.200000000000003</v>
      </c>
      <c r="N4397" s="90">
        <f>107+44/60</f>
        <v>107.73333333333333</v>
      </c>
      <c r="O4397" s="90">
        <v>1220</v>
      </c>
      <c r="R4397" s="55">
        <v>487.3</v>
      </c>
      <c r="S4397" s="90">
        <v>589</v>
      </c>
      <c r="U4397" s="55" t="s">
        <v>1805</v>
      </c>
      <c r="V4397" s="55" t="s">
        <v>1682</v>
      </c>
      <c r="Y4397" s="55" t="s">
        <v>4390</v>
      </c>
      <c r="Z4397" s="55" t="s">
        <v>4395</v>
      </c>
      <c r="AA4397" s="90" t="s">
        <v>1675</v>
      </c>
      <c r="AH4397" s="55" t="s">
        <v>6378</v>
      </c>
      <c r="AI4397" s="168">
        <v>8.11</v>
      </c>
      <c r="AJ4397" s="90">
        <v>1.2</v>
      </c>
      <c r="AN4397" s="185" t="s">
        <v>158</v>
      </c>
      <c r="AO4397" s="185" t="s">
        <v>5150</v>
      </c>
      <c r="AQ4397" s="55" t="s">
        <v>553</v>
      </c>
      <c r="AR4397" s="55" t="s">
        <v>116</v>
      </c>
      <c r="AS4397" s="55" t="s">
        <v>116</v>
      </c>
      <c r="AU4397" s="181" t="s">
        <v>7494</v>
      </c>
      <c r="AV4397" s="185" t="s">
        <v>176</v>
      </c>
      <c r="AX4397" s="185" t="s">
        <v>176</v>
      </c>
      <c r="BK4397" s="55" t="s">
        <v>5976</v>
      </c>
      <c r="BM4397" s="192" t="s">
        <v>160</v>
      </c>
      <c r="BN4397" s="55">
        <v>3</v>
      </c>
      <c r="BO4397" s="55">
        <v>3</v>
      </c>
      <c r="BQ4397" s="55" t="s">
        <v>2077</v>
      </c>
      <c r="BV4397" s="55" t="s">
        <v>4401</v>
      </c>
      <c r="DB4397" s="65">
        <v>14.64</v>
      </c>
      <c r="DC4397" s="65">
        <v>12.35</v>
      </c>
      <c r="DD4397" s="65">
        <v>2.2899999999999991</v>
      </c>
      <c r="DE4397" s="65">
        <v>2</v>
      </c>
      <c r="DF4397" s="65" t="s">
        <v>4400</v>
      </c>
      <c r="GP4397" s="292" t="s">
        <v>7494</v>
      </c>
      <c r="JW4397" s="55" t="s">
        <v>1078</v>
      </c>
    </row>
    <row r="4398" spans="1:283" x14ac:dyDescent="0.25">
      <c r="A4398" s="55">
        <v>4397</v>
      </c>
      <c r="B4398" s="12" t="s">
        <v>7067</v>
      </c>
      <c r="C4398" s="155">
        <v>193</v>
      </c>
      <c r="D4398" s="55" t="s">
        <v>4411</v>
      </c>
      <c r="E4398" s="90" t="s">
        <v>4387</v>
      </c>
      <c r="G4398" s="55" t="s">
        <v>4388</v>
      </c>
      <c r="H4398" s="55">
        <v>2016</v>
      </c>
      <c r="I4398" s="55">
        <v>2010</v>
      </c>
      <c r="J4398" s="55" t="s">
        <v>4394</v>
      </c>
      <c r="K4398" s="55" t="s">
        <v>4389</v>
      </c>
      <c r="L4398" s="55" t="s">
        <v>3377</v>
      </c>
      <c r="M4398" s="90">
        <f>35+12/60</f>
        <v>35.200000000000003</v>
      </c>
      <c r="N4398" s="90">
        <f>107+44/60</f>
        <v>107.73333333333333</v>
      </c>
      <c r="O4398" s="90">
        <v>1220</v>
      </c>
      <c r="R4398" s="55">
        <v>487.3</v>
      </c>
      <c r="S4398" s="90">
        <v>589</v>
      </c>
      <c r="U4398" s="55" t="s">
        <v>1805</v>
      </c>
      <c r="V4398" s="55" t="s">
        <v>1682</v>
      </c>
      <c r="Y4398" s="55" t="s">
        <v>4390</v>
      </c>
      <c r="Z4398" s="55" t="s">
        <v>4396</v>
      </c>
      <c r="AA4398" s="90" t="s">
        <v>1675</v>
      </c>
      <c r="AH4398" s="55" t="s">
        <v>6378</v>
      </c>
      <c r="AI4398" s="168">
        <v>8.11</v>
      </c>
      <c r="AJ4398" s="90">
        <v>1.2</v>
      </c>
      <c r="AN4398" s="185" t="s">
        <v>158</v>
      </c>
      <c r="AO4398" s="185" t="s">
        <v>5150</v>
      </c>
      <c r="AQ4398" s="55" t="s">
        <v>553</v>
      </c>
      <c r="AR4398" s="55" t="s">
        <v>116</v>
      </c>
      <c r="AS4398" s="55" t="s">
        <v>116</v>
      </c>
      <c r="AU4398" s="181" t="s">
        <v>7494</v>
      </c>
      <c r="AV4398" s="185" t="s">
        <v>176</v>
      </c>
      <c r="AX4398" s="185" t="s">
        <v>176</v>
      </c>
      <c r="BK4398" s="55" t="s">
        <v>5976</v>
      </c>
      <c r="BM4398" s="192" t="s">
        <v>160</v>
      </c>
      <c r="BN4398" s="55">
        <v>3</v>
      </c>
      <c r="BO4398" s="55">
        <v>3</v>
      </c>
      <c r="BQ4398" s="55" t="s">
        <v>2077</v>
      </c>
      <c r="BV4398" s="55" t="s">
        <v>4401</v>
      </c>
      <c r="DB4398" s="65">
        <v>19.57</v>
      </c>
      <c r="DC4398" s="65">
        <v>12.87</v>
      </c>
      <c r="DD4398" s="65">
        <v>3.1099999999999994</v>
      </c>
      <c r="DE4398" s="65">
        <v>2</v>
      </c>
      <c r="DF4398" s="65" t="s">
        <v>4400</v>
      </c>
      <c r="GP4398" s="292" t="s">
        <v>7494</v>
      </c>
      <c r="JW4398" s="55" t="s">
        <v>1078</v>
      </c>
    </row>
    <row r="4399" spans="1:283" x14ac:dyDescent="0.25">
      <c r="A4399" s="55">
        <v>4398</v>
      </c>
      <c r="B4399" s="12" t="s">
        <v>7067</v>
      </c>
      <c r="C4399" s="155">
        <v>193</v>
      </c>
      <c r="D4399" s="55" t="s">
        <v>4412</v>
      </c>
      <c r="E4399" s="90" t="s">
        <v>4387</v>
      </c>
      <c r="G4399" s="55" t="s">
        <v>4388</v>
      </c>
      <c r="H4399" s="55">
        <v>2016</v>
      </c>
      <c r="I4399" s="55">
        <v>2010</v>
      </c>
      <c r="J4399" s="55" t="s">
        <v>4394</v>
      </c>
      <c r="K4399" s="55" t="s">
        <v>4389</v>
      </c>
      <c r="L4399" s="55" t="s">
        <v>3377</v>
      </c>
      <c r="M4399" s="90">
        <f>35+12/60</f>
        <v>35.200000000000003</v>
      </c>
      <c r="N4399" s="90">
        <f>107+44/60</f>
        <v>107.73333333333333</v>
      </c>
      <c r="O4399" s="90">
        <v>1220</v>
      </c>
      <c r="R4399" s="55">
        <v>487.3</v>
      </c>
      <c r="S4399" s="90">
        <v>589</v>
      </c>
      <c r="U4399" s="55" t="s">
        <v>1805</v>
      </c>
      <c r="V4399" s="55" t="s">
        <v>1682</v>
      </c>
      <c r="Y4399" s="55" t="s">
        <v>4390</v>
      </c>
      <c r="Z4399" s="55" t="s">
        <v>4397</v>
      </c>
      <c r="AA4399" s="90" t="s">
        <v>1675</v>
      </c>
      <c r="AH4399" s="55" t="s">
        <v>6378</v>
      </c>
      <c r="AI4399" s="168">
        <v>8.11</v>
      </c>
      <c r="AJ4399" s="90">
        <v>1.2</v>
      </c>
      <c r="AN4399" s="185" t="s">
        <v>158</v>
      </c>
      <c r="AO4399" s="185" t="s">
        <v>5150</v>
      </c>
      <c r="AQ4399" s="55" t="s">
        <v>553</v>
      </c>
      <c r="AR4399" s="55" t="s">
        <v>116</v>
      </c>
      <c r="AS4399" s="55" t="s">
        <v>116</v>
      </c>
      <c r="AU4399" s="181" t="s">
        <v>7494</v>
      </c>
      <c r="AV4399" s="185" t="s">
        <v>176</v>
      </c>
      <c r="AX4399" s="185" t="s">
        <v>176</v>
      </c>
      <c r="BK4399" s="55" t="s">
        <v>5976</v>
      </c>
      <c r="BM4399" s="192" t="s">
        <v>160</v>
      </c>
      <c r="BN4399" s="55">
        <v>3</v>
      </c>
      <c r="BO4399" s="55">
        <v>3</v>
      </c>
      <c r="BQ4399" s="55" t="s">
        <v>2077</v>
      </c>
      <c r="BV4399" s="55" t="s">
        <v>4401</v>
      </c>
      <c r="DB4399" s="65">
        <v>23.19</v>
      </c>
      <c r="DC4399" s="65">
        <v>13.22</v>
      </c>
      <c r="DD4399" s="65">
        <v>4.09</v>
      </c>
      <c r="DE4399" s="65">
        <v>2</v>
      </c>
      <c r="DF4399" s="65" t="s">
        <v>4400</v>
      </c>
      <c r="GP4399" s="292" t="s">
        <v>7494</v>
      </c>
      <c r="JW4399" s="55" t="s">
        <v>1078</v>
      </c>
    </row>
    <row r="4400" spans="1:283" x14ac:dyDescent="0.25">
      <c r="A4400" s="55">
        <v>4399</v>
      </c>
      <c r="B4400" s="12" t="s">
        <v>7067</v>
      </c>
      <c r="C4400" s="155">
        <v>193</v>
      </c>
      <c r="D4400" s="55" t="s">
        <v>4413</v>
      </c>
      <c r="E4400" s="90" t="s">
        <v>4387</v>
      </c>
      <c r="G4400" s="55" t="s">
        <v>4388</v>
      </c>
      <c r="H4400" s="55">
        <v>2016</v>
      </c>
      <c r="I4400" s="55">
        <v>2010</v>
      </c>
      <c r="J4400" s="55" t="s">
        <v>4394</v>
      </c>
      <c r="K4400" s="55" t="s">
        <v>4389</v>
      </c>
      <c r="L4400" s="55" t="s">
        <v>3377</v>
      </c>
      <c r="M4400" s="90">
        <f>35+12/60</f>
        <v>35.200000000000003</v>
      </c>
      <c r="N4400" s="90">
        <f>107+44/60</f>
        <v>107.73333333333333</v>
      </c>
      <c r="O4400" s="90">
        <v>1220</v>
      </c>
      <c r="R4400" s="55">
        <v>487.3</v>
      </c>
      <c r="S4400" s="90">
        <v>589</v>
      </c>
      <c r="U4400" s="55" t="s">
        <v>1805</v>
      </c>
      <c r="V4400" s="55" t="s">
        <v>1682</v>
      </c>
      <c r="Y4400" s="55" t="s">
        <v>4390</v>
      </c>
      <c r="Z4400" s="55" t="s">
        <v>4398</v>
      </c>
      <c r="AA4400" s="90" t="s">
        <v>1675</v>
      </c>
      <c r="AH4400" s="55" t="s">
        <v>6378</v>
      </c>
      <c r="AI4400" s="168">
        <v>8.11</v>
      </c>
      <c r="AJ4400" s="90">
        <v>1.2</v>
      </c>
      <c r="AN4400" s="185" t="s">
        <v>158</v>
      </c>
      <c r="AO4400" s="185" t="s">
        <v>5150</v>
      </c>
      <c r="AQ4400" s="55" t="s">
        <v>553</v>
      </c>
      <c r="AR4400" s="55" t="s">
        <v>116</v>
      </c>
      <c r="AS4400" s="55" t="s">
        <v>116</v>
      </c>
      <c r="AU4400" s="181" t="s">
        <v>7494</v>
      </c>
      <c r="AV4400" s="185" t="s">
        <v>176</v>
      </c>
      <c r="AX4400" s="185" t="s">
        <v>176</v>
      </c>
      <c r="BK4400" s="55" t="s">
        <v>5976</v>
      </c>
      <c r="BM4400" s="192" t="s">
        <v>160</v>
      </c>
      <c r="BN4400" s="55">
        <v>3</v>
      </c>
      <c r="BO4400" s="55">
        <v>3</v>
      </c>
      <c r="BQ4400" s="55" t="s">
        <v>2077</v>
      </c>
      <c r="BV4400" s="55" t="s">
        <v>4401</v>
      </c>
      <c r="DB4400" s="65">
        <v>29.92</v>
      </c>
      <c r="DC4400" s="65">
        <v>16.510000000000002</v>
      </c>
      <c r="DD4400" s="65">
        <v>2.0799999999999983</v>
      </c>
      <c r="DE4400" s="65">
        <v>2</v>
      </c>
      <c r="DF4400" s="65" t="s">
        <v>4400</v>
      </c>
      <c r="GP4400" s="292" t="s">
        <v>7494</v>
      </c>
      <c r="JW4400" s="55" t="s">
        <v>1078</v>
      </c>
    </row>
    <row r="4401" spans="1:283" x14ac:dyDescent="0.25">
      <c r="A4401" s="55">
        <v>4400</v>
      </c>
      <c r="B4401" s="12" t="s">
        <v>7067</v>
      </c>
      <c r="C4401" s="155">
        <v>193</v>
      </c>
      <c r="D4401" s="55" t="s">
        <v>4404</v>
      </c>
      <c r="E4401" s="90" t="s">
        <v>4387</v>
      </c>
      <c r="G4401" s="55" t="s">
        <v>4388</v>
      </c>
      <c r="H4401" s="55">
        <v>2016</v>
      </c>
      <c r="I4401" s="55">
        <v>2010</v>
      </c>
      <c r="J4401" s="55" t="s">
        <v>4394</v>
      </c>
      <c r="K4401" s="55" t="s">
        <v>4389</v>
      </c>
      <c r="L4401" s="55" t="s">
        <v>3377</v>
      </c>
      <c r="M4401" s="90">
        <f>35+12/60</f>
        <v>35.200000000000003</v>
      </c>
      <c r="N4401" s="90">
        <f>107+44/60</f>
        <v>107.73333333333333</v>
      </c>
      <c r="O4401" s="90">
        <v>1220</v>
      </c>
      <c r="R4401" s="55">
        <v>487.3</v>
      </c>
      <c r="S4401" s="90">
        <v>589</v>
      </c>
      <c r="U4401" s="55" t="s">
        <v>1805</v>
      </c>
      <c r="V4401" s="55" t="s">
        <v>1682</v>
      </c>
      <c r="Y4401" s="55" t="s">
        <v>4390</v>
      </c>
      <c r="Z4401" s="55" t="s">
        <v>1346</v>
      </c>
      <c r="AA4401" s="90" t="s">
        <v>1675</v>
      </c>
      <c r="AH4401" s="55" t="s">
        <v>6378</v>
      </c>
      <c r="AI4401" s="168">
        <v>8.11</v>
      </c>
      <c r="AJ4401" s="90">
        <v>1.2</v>
      </c>
      <c r="AN4401" s="185" t="s">
        <v>4393</v>
      </c>
      <c r="AO4401" s="185" t="s">
        <v>5150</v>
      </c>
      <c r="AQ4401" s="55" t="s">
        <v>553</v>
      </c>
      <c r="AR4401" s="55" t="s">
        <v>116</v>
      </c>
      <c r="AS4401" s="55" t="s">
        <v>116</v>
      </c>
      <c r="AU4401" s="181" t="s">
        <v>7494</v>
      </c>
      <c r="AV4401" s="185" t="s">
        <v>176</v>
      </c>
      <c r="AX4401" s="185" t="s">
        <v>176</v>
      </c>
      <c r="BK4401" s="55" t="s">
        <v>5976</v>
      </c>
      <c r="BM4401" s="192" t="s">
        <v>160</v>
      </c>
      <c r="BN4401" s="55">
        <v>3</v>
      </c>
      <c r="BO4401" s="55">
        <v>3</v>
      </c>
      <c r="BQ4401" s="55" t="s">
        <v>2077</v>
      </c>
      <c r="BV4401" s="55" t="s">
        <v>4401</v>
      </c>
      <c r="DB4401" s="65">
        <v>19.72</v>
      </c>
      <c r="DC4401" s="65">
        <v>22</v>
      </c>
      <c r="DD4401" s="65">
        <f>DB4401-17.27</f>
        <v>2.4499999999999993</v>
      </c>
      <c r="DE4401" s="65">
        <f>27.4-DC4401</f>
        <v>5.3999999999999986</v>
      </c>
      <c r="DF4401" s="65" t="s">
        <v>4400</v>
      </c>
      <c r="GP4401" s="292" t="s">
        <v>7494</v>
      </c>
      <c r="JW4401" s="55" t="s">
        <v>1078</v>
      </c>
    </row>
    <row r="4402" spans="1:283" x14ac:dyDescent="0.25">
      <c r="A4402" s="55">
        <v>4401</v>
      </c>
      <c r="B4402" s="12" t="s">
        <v>7067</v>
      </c>
      <c r="C4402" s="155">
        <v>193</v>
      </c>
      <c r="D4402" s="55" t="s">
        <v>4405</v>
      </c>
      <c r="E4402" s="90" t="s">
        <v>4387</v>
      </c>
      <c r="G4402" s="55" t="s">
        <v>4388</v>
      </c>
      <c r="H4402" s="55">
        <v>2016</v>
      </c>
      <c r="I4402" s="55">
        <v>2010</v>
      </c>
      <c r="J4402" s="55" t="s">
        <v>4394</v>
      </c>
      <c r="K4402" s="55" t="s">
        <v>4389</v>
      </c>
      <c r="L4402" s="55" t="s">
        <v>3377</v>
      </c>
      <c r="M4402" s="90">
        <f>35+12/60</f>
        <v>35.200000000000003</v>
      </c>
      <c r="N4402" s="90">
        <f>107+44/60</f>
        <v>107.73333333333333</v>
      </c>
      <c r="O4402" s="90">
        <v>1220</v>
      </c>
      <c r="R4402" s="55">
        <v>487.3</v>
      </c>
      <c r="S4402" s="90">
        <v>589</v>
      </c>
      <c r="U4402" s="55" t="s">
        <v>1805</v>
      </c>
      <c r="V4402" s="55" t="s">
        <v>1682</v>
      </c>
      <c r="Y4402" s="55" t="s">
        <v>4390</v>
      </c>
      <c r="Z4402" s="55" t="s">
        <v>1350</v>
      </c>
      <c r="AA4402" s="90" t="s">
        <v>1675</v>
      </c>
      <c r="AH4402" s="55" t="s">
        <v>6378</v>
      </c>
      <c r="AI4402" s="168">
        <v>8.11</v>
      </c>
      <c r="AJ4402" s="90">
        <v>1.2</v>
      </c>
      <c r="AN4402" s="185" t="s">
        <v>4393</v>
      </c>
      <c r="AO4402" s="185" t="s">
        <v>5150</v>
      </c>
      <c r="AQ4402" s="55" t="s">
        <v>553</v>
      </c>
      <c r="AR4402" s="55" t="s">
        <v>116</v>
      </c>
      <c r="AS4402" s="55" t="s">
        <v>116</v>
      </c>
      <c r="AU4402" s="181" t="s">
        <v>7494</v>
      </c>
      <c r="AV4402" s="185" t="s">
        <v>176</v>
      </c>
      <c r="AX4402" s="185" t="s">
        <v>176</v>
      </c>
      <c r="BK4402" s="55" t="s">
        <v>5976</v>
      </c>
      <c r="BM4402" s="192" t="s">
        <v>160</v>
      </c>
      <c r="BN4402" s="55">
        <v>3</v>
      </c>
      <c r="BO4402" s="55">
        <v>3</v>
      </c>
      <c r="BQ4402" s="55" t="s">
        <v>2077</v>
      </c>
      <c r="BV4402" s="55" t="s">
        <v>4401</v>
      </c>
      <c r="DB4402" s="65">
        <v>13.69</v>
      </c>
      <c r="DC4402" s="65">
        <v>10.1</v>
      </c>
      <c r="DD4402" s="65">
        <f>15.5-DB4402</f>
        <v>1.8100000000000005</v>
      </c>
      <c r="DE4402" s="65">
        <f>12.23-DC4402</f>
        <v>2.1300000000000008</v>
      </c>
      <c r="DF4402" s="65" t="s">
        <v>4400</v>
      </c>
      <c r="GP4402" s="292" t="s">
        <v>7494</v>
      </c>
      <c r="JW4402" s="55" t="s">
        <v>1078</v>
      </c>
    </row>
    <row r="4403" spans="1:283" x14ac:dyDescent="0.25">
      <c r="A4403" s="55">
        <v>4402</v>
      </c>
      <c r="B4403" s="12" t="s">
        <v>7067</v>
      </c>
      <c r="C4403" s="155">
        <v>193</v>
      </c>
      <c r="D4403" s="55" t="s">
        <v>4406</v>
      </c>
      <c r="E4403" s="90" t="s">
        <v>4387</v>
      </c>
      <c r="G4403" s="55" t="s">
        <v>4388</v>
      </c>
      <c r="H4403" s="55">
        <v>2016</v>
      </c>
      <c r="I4403" s="55">
        <v>2010</v>
      </c>
      <c r="J4403" s="55" t="s">
        <v>4394</v>
      </c>
      <c r="K4403" s="55" t="s">
        <v>4389</v>
      </c>
      <c r="L4403" s="55" t="s">
        <v>3377</v>
      </c>
      <c r="M4403" s="90">
        <f>35+12/60</f>
        <v>35.200000000000003</v>
      </c>
      <c r="N4403" s="90">
        <f>107+44/60</f>
        <v>107.73333333333333</v>
      </c>
      <c r="O4403" s="90">
        <v>1220</v>
      </c>
      <c r="R4403" s="55">
        <v>487.3</v>
      </c>
      <c r="S4403" s="90">
        <v>589</v>
      </c>
      <c r="U4403" s="55" t="s">
        <v>1805</v>
      </c>
      <c r="V4403" s="55" t="s">
        <v>1682</v>
      </c>
      <c r="Y4403" s="55" t="s">
        <v>4390</v>
      </c>
      <c r="Z4403" s="55" t="s">
        <v>1351</v>
      </c>
      <c r="AA4403" s="90" t="s">
        <v>1675</v>
      </c>
      <c r="AH4403" s="55" t="s">
        <v>6378</v>
      </c>
      <c r="AI4403" s="168">
        <v>8.11</v>
      </c>
      <c r="AJ4403" s="90">
        <v>1.2</v>
      </c>
      <c r="AN4403" s="185" t="s">
        <v>4393</v>
      </c>
      <c r="AO4403" s="185" t="s">
        <v>5150</v>
      </c>
      <c r="AQ4403" s="55" t="s">
        <v>553</v>
      </c>
      <c r="AR4403" s="55" t="s">
        <v>116</v>
      </c>
      <c r="AS4403" s="55" t="s">
        <v>116</v>
      </c>
      <c r="AU4403" s="181" t="s">
        <v>7494</v>
      </c>
      <c r="AV4403" s="185" t="s">
        <v>176</v>
      </c>
      <c r="AX4403" s="185" t="s">
        <v>176</v>
      </c>
      <c r="BK4403" s="55" t="s">
        <v>5976</v>
      </c>
      <c r="BM4403" s="192" t="s">
        <v>160</v>
      </c>
      <c r="BN4403" s="55">
        <v>3</v>
      </c>
      <c r="BO4403" s="55">
        <v>3</v>
      </c>
      <c r="BQ4403" s="55" t="s">
        <v>2077</v>
      </c>
      <c r="BV4403" s="55" t="s">
        <v>4401</v>
      </c>
      <c r="DB4403" s="65">
        <v>10.94</v>
      </c>
      <c r="DC4403" s="65">
        <v>9.8000000000000007</v>
      </c>
      <c r="DD4403" s="65">
        <f>12.9-DB4403</f>
        <v>1.9600000000000009</v>
      </c>
      <c r="DE4403" s="65">
        <f>10.94-DC4403</f>
        <v>1.1399999999999988</v>
      </c>
      <c r="DF4403" s="65" t="s">
        <v>4400</v>
      </c>
      <c r="GP4403" s="292" t="s">
        <v>7494</v>
      </c>
      <c r="JW4403" s="55" t="s">
        <v>1078</v>
      </c>
    </row>
    <row r="4404" spans="1:283" x14ac:dyDescent="0.25">
      <c r="A4404" s="55">
        <v>4403</v>
      </c>
      <c r="B4404" s="12" t="s">
        <v>7067</v>
      </c>
      <c r="C4404" s="155">
        <v>193</v>
      </c>
      <c r="D4404" s="55" t="s">
        <v>4407</v>
      </c>
      <c r="E4404" s="90" t="s">
        <v>4387</v>
      </c>
      <c r="G4404" s="55" t="s">
        <v>4388</v>
      </c>
      <c r="H4404" s="55">
        <v>2016</v>
      </c>
      <c r="I4404" s="55">
        <v>2010</v>
      </c>
      <c r="J4404" s="55" t="s">
        <v>4394</v>
      </c>
      <c r="K4404" s="55" t="s">
        <v>4389</v>
      </c>
      <c r="L4404" s="55" t="s">
        <v>3377</v>
      </c>
      <c r="M4404" s="90">
        <f>35+12/60</f>
        <v>35.200000000000003</v>
      </c>
      <c r="N4404" s="90">
        <f>107+44/60</f>
        <v>107.73333333333333</v>
      </c>
      <c r="O4404" s="90">
        <v>1220</v>
      </c>
      <c r="R4404" s="55">
        <v>487.3</v>
      </c>
      <c r="S4404" s="90">
        <v>589</v>
      </c>
      <c r="U4404" s="55" t="s">
        <v>1805</v>
      </c>
      <c r="V4404" s="55" t="s">
        <v>1682</v>
      </c>
      <c r="Y4404" s="55" t="s">
        <v>4390</v>
      </c>
      <c r="Z4404" s="55" t="s">
        <v>1352</v>
      </c>
      <c r="AA4404" s="90" t="s">
        <v>1675</v>
      </c>
      <c r="AH4404" s="55" t="s">
        <v>6378</v>
      </c>
      <c r="AI4404" s="168">
        <v>8.11</v>
      </c>
      <c r="AJ4404" s="90">
        <v>1.2</v>
      </c>
      <c r="AN4404" s="185" t="s">
        <v>4393</v>
      </c>
      <c r="AO4404" s="185" t="s">
        <v>5150</v>
      </c>
      <c r="AQ4404" s="55" t="s">
        <v>553</v>
      </c>
      <c r="AR4404" s="55" t="s">
        <v>116</v>
      </c>
      <c r="AS4404" s="55" t="s">
        <v>116</v>
      </c>
      <c r="AU4404" s="181" t="s">
        <v>7494</v>
      </c>
      <c r="AV4404" s="185" t="s">
        <v>176</v>
      </c>
      <c r="AX4404" s="185" t="s">
        <v>176</v>
      </c>
      <c r="BK4404" s="55" t="s">
        <v>5976</v>
      </c>
      <c r="BM4404" s="192" t="s">
        <v>160</v>
      </c>
      <c r="BN4404" s="55">
        <v>3</v>
      </c>
      <c r="BO4404" s="55">
        <v>3</v>
      </c>
      <c r="BQ4404" s="55" t="s">
        <v>2077</v>
      </c>
      <c r="BV4404" s="55" t="s">
        <v>4401</v>
      </c>
      <c r="DB4404" s="65">
        <v>12.11</v>
      </c>
      <c r="DC4404" s="65">
        <v>8.02</v>
      </c>
      <c r="DD4404" s="65">
        <f>14.08-DB4404</f>
        <v>1.9700000000000006</v>
      </c>
      <c r="DE4404" s="65">
        <f>9.99-DC4404</f>
        <v>1.9700000000000006</v>
      </c>
      <c r="DF4404" s="65" t="s">
        <v>4400</v>
      </c>
      <c r="GP4404" s="292" t="s">
        <v>7494</v>
      </c>
      <c r="JW4404" s="55" t="s">
        <v>1078</v>
      </c>
    </row>
    <row r="4405" spans="1:283" x14ac:dyDescent="0.25">
      <c r="A4405" s="55">
        <v>4404</v>
      </c>
      <c r="B4405" s="12" t="s">
        <v>7067</v>
      </c>
      <c r="C4405" s="155">
        <v>193</v>
      </c>
      <c r="D4405" s="55" t="s">
        <v>4408</v>
      </c>
      <c r="E4405" s="90" t="s">
        <v>4387</v>
      </c>
      <c r="G4405" s="55" t="s">
        <v>4388</v>
      </c>
      <c r="H4405" s="55">
        <v>2016</v>
      </c>
      <c r="I4405" s="55">
        <v>2010</v>
      </c>
      <c r="J4405" s="55" t="s">
        <v>4394</v>
      </c>
      <c r="K4405" s="55" t="s">
        <v>4389</v>
      </c>
      <c r="L4405" s="55" t="s">
        <v>3377</v>
      </c>
      <c r="M4405" s="90">
        <f>35+12/60</f>
        <v>35.200000000000003</v>
      </c>
      <c r="N4405" s="90">
        <f>107+44/60</f>
        <v>107.73333333333333</v>
      </c>
      <c r="O4405" s="90">
        <v>1220</v>
      </c>
      <c r="R4405" s="55">
        <v>487.3</v>
      </c>
      <c r="S4405" s="90">
        <v>589</v>
      </c>
      <c r="U4405" s="55" t="s">
        <v>1805</v>
      </c>
      <c r="V4405" s="55" t="s">
        <v>1682</v>
      </c>
      <c r="Y4405" s="55" t="s">
        <v>4390</v>
      </c>
      <c r="Z4405" s="55" t="s">
        <v>1353</v>
      </c>
      <c r="AA4405" s="90" t="s">
        <v>1675</v>
      </c>
      <c r="AH4405" s="55" t="s">
        <v>6378</v>
      </c>
      <c r="AI4405" s="168">
        <v>8.11</v>
      </c>
      <c r="AJ4405" s="90">
        <v>1.2</v>
      </c>
      <c r="AN4405" s="185" t="s">
        <v>4393</v>
      </c>
      <c r="AO4405" s="185" t="s">
        <v>5150</v>
      </c>
      <c r="AQ4405" s="55" t="s">
        <v>553</v>
      </c>
      <c r="AR4405" s="55" t="s">
        <v>116</v>
      </c>
      <c r="AS4405" s="55" t="s">
        <v>116</v>
      </c>
      <c r="AU4405" s="181" t="s">
        <v>7494</v>
      </c>
      <c r="AV4405" s="185" t="s">
        <v>176</v>
      </c>
      <c r="AX4405" s="185" t="s">
        <v>176</v>
      </c>
      <c r="BK4405" s="55" t="s">
        <v>5976</v>
      </c>
      <c r="BM4405" s="192" t="s">
        <v>160</v>
      </c>
      <c r="BN4405" s="55">
        <v>3</v>
      </c>
      <c r="BO4405" s="55">
        <v>3</v>
      </c>
      <c r="BQ4405" s="55" t="s">
        <v>2077</v>
      </c>
      <c r="BV4405" s="55" t="s">
        <v>4401</v>
      </c>
      <c r="DB4405" s="65">
        <v>13.61</v>
      </c>
      <c r="DC4405" s="65">
        <v>10.83</v>
      </c>
      <c r="DD4405" s="65">
        <f>16.39-DB4405</f>
        <v>2.7800000000000011</v>
      </c>
      <c r="DE4405" s="65">
        <f>12.96-DC4405</f>
        <v>2.1300000000000008</v>
      </c>
      <c r="DF4405" s="65" t="s">
        <v>4400</v>
      </c>
      <c r="GP4405" s="292" t="s">
        <v>7494</v>
      </c>
      <c r="JW4405" s="55" t="s">
        <v>1078</v>
      </c>
    </row>
    <row r="4406" spans="1:283" x14ac:dyDescent="0.25">
      <c r="A4406" s="55">
        <v>4405</v>
      </c>
      <c r="B4406" s="12" t="s">
        <v>7067</v>
      </c>
      <c r="C4406" s="155">
        <v>193</v>
      </c>
      <c r="D4406" s="55" t="s">
        <v>4409</v>
      </c>
      <c r="E4406" s="90" t="s">
        <v>4387</v>
      </c>
      <c r="G4406" s="55" t="s">
        <v>4388</v>
      </c>
      <c r="H4406" s="55">
        <v>2016</v>
      </c>
      <c r="I4406" s="55">
        <v>2010</v>
      </c>
      <c r="J4406" s="55" t="s">
        <v>4394</v>
      </c>
      <c r="K4406" s="55" t="s">
        <v>4389</v>
      </c>
      <c r="L4406" s="55" t="s">
        <v>3377</v>
      </c>
      <c r="M4406" s="90">
        <f>35+12/60</f>
        <v>35.200000000000003</v>
      </c>
      <c r="N4406" s="90">
        <f>107+44/60</f>
        <v>107.73333333333333</v>
      </c>
      <c r="O4406" s="90">
        <v>1220</v>
      </c>
      <c r="R4406" s="55">
        <v>487.3</v>
      </c>
      <c r="S4406" s="90">
        <v>589</v>
      </c>
      <c r="U4406" s="55" t="s">
        <v>1805</v>
      </c>
      <c r="V4406" s="55" t="s">
        <v>1682</v>
      </c>
      <c r="Y4406" s="55" t="s">
        <v>4390</v>
      </c>
      <c r="Z4406" s="55" t="s">
        <v>4399</v>
      </c>
      <c r="AA4406" s="90" t="s">
        <v>1675</v>
      </c>
      <c r="AH4406" s="55" t="s">
        <v>6378</v>
      </c>
      <c r="AI4406" s="168">
        <v>8.11</v>
      </c>
      <c r="AJ4406" s="90">
        <v>1.2</v>
      </c>
      <c r="AN4406" s="185" t="s">
        <v>4393</v>
      </c>
      <c r="AO4406" s="185" t="s">
        <v>5150</v>
      </c>
      <c r="AQ4406" s="55" t="s">
        <v>553</v>
      </c>
      <c r="AR4406" s="55" t="s">
        <v>116</v>
      </c>
      <c r="AS4406" s="55" t="s">
        <v>116</v>
      </c>
      <c r="AU4406" s="181" t="s">
        <v>7494</v>
      </c>
      <c r="AV4406" s="185" t="s">
        <v>176</v>
      </c>
      <c r="AX4406" s="185" t="s">
        <v>176</v>
      </c>
      <c r="BK4406" s="55" t="s">
        <v>5976</v>
      </c>
      <c r="BM4406" s="192" t="s">
        <v>160</v>
      </c>
      <c r="BN4406" s="55">
        <v>3</v>
      </c>
      <c r="BO4406" s="55">
        <v>3</v>
      </c>
      <c r="BQ4406" s="55" t="s">
        <v>2077</v>
      </c>
      <c r="BV4406" s="55" t="s">
        <v>4401</v>
      </c>
      <c r="DB4406" s="65">
        <v>15.1</v>
      </c>
      <c r="DC4406" s="65">
        <v>13.63</v>
      </c>
      <c r="DD4406" s="65">
        <f>16.42-DB4406</f>
        <v>1.3200000000000021</v>
      </c>
      <c r="DE4406" s="65">
        <f>15.4-DC4406</f>
        <v>1.7699999999999996</v>
      </c>
      <c r="DF4406" s="65" t="s">
        <v>4400</v>
      </c>
      <c r="GP4406" s="292" t="s">
        <v>7494</v>
      </c>
      <c r="JW4406" s="55" t="s">
        <v>1078</v>
      </c>
    </row>
    <row r="4407" spans="1:283" x14ac:dyDescent="0.25">
      <c r="A4407" s="55">
        <v>4406</v>
      </c>
      <c r="B4407" s="12" t="s">
        <v>7067</v>
      </c>
      <c r="C4407" s="155">
        <v>193</v>
      </c>
      <c r="D4407" s="55" t="s">
        <v>4410</v>
      </c>
      <c r="E4407" s="90" t="s">
        <v>4387</v>
      </c>
      <c r="G4407" s="55" t="s">
        <v>4388</v>
      </c>
      <c r="H4407" s="55">
        <v>2016</v>
      </c>
      <c r="I4407" s="55">
        <v>2010</v>
      </c>
      <c r="J4407" s="55" t="s">
        <v>4394</v>
      </c>
      <c r="K4407" s="55" t="s">
        <v>4389</v>
      </c>
      <c r="L4407" s="55" t="s">
        <v>3377</v>
      </c>
      <c r="M4407" s="90">
        <f>35+12/60</f>
        <v>35.200000000000003</v>
      </c>
      <c r="N4407" s="90">
        <f>107+44/60</f>
        <v>107.73333333333333</v>
      </c>
      <c r="O4407" s="90">
        <v>1220</v>
      </c>
      <c r="R4407" s="55">
        <v>487.3</v>
      </c>
      <c r="S4407" s="90">
        <v>589</v>
      </c>
      <c r="U4407" s="55" t="s">
        <v>1805</v>
      </c>
      <c r="V4407" s="55" t="s">
        <v>1682</v>
      </c>
      <c r="Y4407" s="55" t="s">
        <v>4390</v>
      </c>
      <c r="Z4407" s="55" t="s">
        <v>4395</v>
      </c>
      <c r="AA4407" s="90" t="s">
        <v>1675</v>
      </c>
      <c r="AH4407" s="55" t="s">
        <v>6378</v>
      </c>
      <c r="AI4407" s="168">
        <v>8.11</v>
      </c>
      <c r="AJ4407" s="90">
        <v>1.2</v>
      </c>
      <c r="AN4407" s="185" t="s">
        <v>4393</v>
      </c>
      <c r="AO4407" s="185" t="s">
        <v>5150</v>
      </c>
      <c r="AQ4407" s="55" t="s">
        <v>553</v>
      </c>
      <c r="AR4407" s="55" t="s">
        <v>116</v>
      </c>
      <c r="AS4407" s="55" t="s">
        <v>116</v>
      </c>
      <c r="AU4407" s="181" t="s">
        <v>7494</v>
      </c>
      <c r="AV4407" s="185" t="s">
        <v>176</v>
      </c>
      <c r="AX4407" s="185" t="s">
        <v>176</v>
      </c>
      <c r="BK4407" s="55" t="s">
        <v>5976</v>
      </c>
      <c r="BM4407" s="192" t="s">
        <v>160</v>
      </c>
      <c r="BN4407" s="55">
        <v>3</v>
      </c>
      <c r="BO4407" s="55">
        <v>3</v>
      </c>
      <c r="BQ4407" s="55" t="s">
        <v>2077</v>
      </c>
      <c r="BV4407" s="55" t="s">
        <v>4401</v>
      </c>
      <c r="DB4407" s="65">
        <v>14.64</v>
      </c>
      <c r="DC4407" s="65">
        <v>12.35</v>
      </c>
      <c r="DD4407" s="65">
        <f>16.93-DB4407</f>
        <v>2.2899999999999991</v>
      </c>
      <c r="DE4407" s="65">
        <f>14.47-DC4407</f>
        <v>2.120000000000001</v>
      </c>
      <c r="DF4407" s="65" t="s">
        <v>4400</v>
      </c>
      <c r="GP4407" s="292" t="s">
        <v>7494</v>
      </c>
      <c r="JW4407" s="55" t="s">
        <v>1078</v>
      </c>
    </row>
    <row r="4408" spans="1:283" x14ac:dyDescent="0.25">
      <c r="A4408" s="55">
        <v>4407</v>
      </c>
      <c r="B4408" s="12" t="s">
        <v>7067</v>
      </c>
      <c r="C4408" s="155">
        <v>193</v>
      </c>
      <c r="D4408" s="55" t="s">
        <v>4411</v>
      </c>
      <c r="E4408" s="90" t="s">
        <v>4387</v>
      </c>
      <c r="G4408" s="55" t="s">
        <v>4388</v>
      </c>
      <c r="H4408" s="55">
        <v>2016</v>
      </c>
      <c r="I4408" s="55">
        <v>2010</v>
      </c>
      <c r="J4408" s="55" t="s">
        <v>4394</v>
      </c>
      <c r="K4408" s="55" t="s">
        <v>4389</v>
      </c>
      <c r="L4408" s="55" t="s">
        <v>3377</v>
      </c>
      <c r="M4408" s="90">
        <f>35+12/60</f>
        <v>35.200000000000003</v>
      </c>
      <c r="N4408" s="90">
        <f>107+44/60</f>
        <v>107.73333333333333</v>
      </c>
      <c r="O4408" s="90">
        <v>1220</v>
      </c>
      <c r="R4408" s="55">
        <v>487.3</v>
      </c>
      <c r="S4408" s="90">
        <v>589</v>
      </c>
      <c r="U4408" s="55" t="s">
        <v>1805</v>
      </c>
      <c r="V4408" s="55" t="s">
        <v>1682</v>
      </c>
      <c r="Y4408" s="55" t="s">
        <v>4390</v>
      </c>
      <c r="Z4408" s="55" t="s">
        <v>4396</v>
      </c>
      <c r="AA4408" s="90" t="s">
        <v>1675</v>
      </c>
      <c r="AH4408" s="55" t="s">
        <v>6378</v>
      </c>
      <c r="AI4408" s="168">
        <v>8.11</v>
      </c>
      <c r="AJ4408" s="90">
        <v>1.2</v>
      </c>
      <c r="AN4408" s="185" t="s">
        <v>4393</v>
      </c>
      <c r="AO4408" s="185" t="s">
        <v>5150</v>
      </c>
      <c r="AQ4408" s="55" t="s">
        <v>553</v>
      </c>
      <c r="AR4408" s="55" t="s">
        <v>116</v>
      </c>
      <c r="AS4408" s="55" t="s">
        <v>116</v>
      </c>
      <c r="AU4408" s="181" t="s">
        <v>7494</v>
      </c>
      <c r="AV4408" s="185" t="s">
        <v>176</v>
      </c>
      <c r="AX4408" s="185" t="s">
        <v>176</v>
      </c>
      <c r="BK4408" s="55" t="s">
        <v>5976</v>
      </c>
      <c r="BM4408" s="192" t="s">
        <v>160</v>
      </c>
      <c r="BN4408" s="55">
        <v>3</v>
      </c>
      <c r="BO4408" s="55">
        <v>3</v>
      </c>
      <c r="BQ4408" s="55" t="s">
        <v>2077</v>
      </c>
      <c r="BV4408" s="55" t="s">
        <v>4401</v>
      </c>
      <c r="DB4408" s="65">
        <v>19.57</v>
      </c>
      <c r="DC4408" s="65">
        <v>12.87</v>
      </c>
      <c r="DD4408" s="65">
        <f>22.68-DB4408</f>
        <v>3.1099999999999994</v>
      </c>
      <c r="DE4408" s="65">
        <f>14.66-DC4408</f>
        <v>1.7900000000000009</v>
      </c>
      <c r="DF4408" s="65" t="s">
        <v>4400</v>
      </c>
      <c r="GP4408" s="292" t="s">
        <v>7494</v>
      </c>
      <c r="JW4408" s="55" t="s">
        <v>1078</v>
      </c>
    </row>
    <row r="4409" spans="1:283" x14ac:dyDescent="0.25">
      <c r="A4409" s="55">
        <v>4408</v>
      </c>
      <c r="B4409" s="12" t="s">
        <v>7067</v>
      </c>
      <c r="C4409" s="155">
        <v>193</v>
      </c>
      <c r="D4409" s="55" t="s">
        <v>4412</v>
      </c>
      <c r="E4409" s="90" t="s">
        <v>4387</v>
      </c>
      <c r="G4409" s="55" t="s">
        <v>4388</v>
      </c>
      <c r="H4409" s="55">
        <v>2016</v>
      </c>
      <c r="I4409" s="55">
        <v>2010</v>
      </c>
      <c r="J4409" s="55" t="s">
        <v>4394</v>
      </c>
      <c r="K4409" s="55" t="s">
        <v>4389</v>
      </c>
      <c r="L4409" s="55" t="s">
        <v>3377</v>
      </c>
      <c r="M4409" s="90">
        <f>35+12/60</f>
        <v>35.200000000000003</v>
      </c>
      <c r="N4409" s="90">
        <f>107+44/60</f>
        <v>107.73333333333333</v>
      </c>
      <c r="O4409" s="90">
        <v>1220</v>
      </c>
      <c r="R4409" s="55">
        <v>487.3</v>
      </c>
      <c r="S4409" s="90">
        <v>589</v>
      </c>
      <c r="U4409" s="55" t="s">
        <v>1805</v>
      </c>
      <c r="V4409" s="55" t="s">
        <v>1682</v>
      </c>
      <c r="Y4409" s="55" t="s">
        <v>4390</v>
      </c>
      <c r="Z4409" s="55" t="s">
        <v>4397</v>
      </c>
      <c r="AA4409" s="90" t="s">
        <v>1675</v>
      </c>
      <c r="AH4409" s="55" t="s">
        <v>6378</v>
      </c>
      <c r="AI4409" s="168">
        <v>8.11</v>
      </c>
      <c r="AJ4409" s="90">
        <v>1.2</v>
      </c>
      <c r="AN4409" s="185" t="s">
        <v>4393</v>
      </c>
      <c r="AO4409" s="185" t="s">
        <v>5150</v>
      </c>
      <c r="AQ4409" s="55" t="s">
        <v>553</v>
      </c>
      <c r="AR4409" s="55" t="s">
        <v>116</v>
      </c>
      <c r="AS4409" s="55" t="s">
        <v>116</v>
      </c>
      <c r="AU4409" s="181" t="s">
        <v>7494</v>
      </c>
      <c r="AV4409" s="185" t="s">
        <v>176</v>
      </c>
      <c r="AX4409" s="185" t="s">
        <v>176</v>
      </c>
      <c r="BK4409" s="55" t="s">
        <v>5976</v>
      </c>
      <c r="BM4409" s="192" t="s">
        <v>160</v>
      </c>
      <c r="BN4409" s="55">
        <v>3</v>
      </c>
      <c r="BO4409" s="55">
        <v>3</v>
      </c>
      <c r="BQ4409" s="55" t="s">
        <v>2077</v>
      </c>
      <c r="BV4409" s="55" t="s">
        <v>4401</v>
      </c>
      <c r="DB4409" s="65">
        <v>23.19</v>
      </c>
      <c r="DC4409" s="65">
        <v>11.25</v>
      </c>
      <c r="DD4409" s="65">
        <f>27.28-DB4409</f>
        <v>4.09</v>
      </c>
      <c r="DE4409" s="65">
        <f>13.22-DC4409</f>
        <v>1.9700000000000006</v>
      </c>
      <c r="DF4409" s="65" t="s">
        <v>4400</v>
      </c>
      <c r="GP4409" s="292" t="s">
        <v>7494</v>
      </c>
      <c r="JW4409" s="55" t="s">
        <v>1078</v>
      </c>
    </row>
    <row r="4410" spans="1:283" x14ac:dyDescent="0.25">
      <c r="A4410" s="55">
        <v>4409</v>
      </c>
      <c r="B4410" s="12" t="s">
        <v>7067</v>
      </c>
      <c r="C4410" s="155">
        <v>193</v>
      </c>
      <c r="D4410" s="55" t="s">
        <v>4413</v>
      </c>
      <c r="E4410" s="90" t="s">
        <v>4387</v>
      </c>
      <c r="G4410" s="55" t="s">
        <v>4388</v>
      </c>
      <c r="H4410" s="55">
        <v>2016</v>
      </c>
      <c r="I4410" s="55">
        <v>2010</v>
      </c>
      <c r="J4410" s="55" t="s">
        <v>4394</v>
      </c>
      <c r="K4410" s="55" t="s">
        <v>4389</v>
      </c>
      <c r="L4410" s="55" t="s">
        <v>3377</v>
      </c>
      <c r="M4410" s="90">
        <f>35+12/60</f>
        <v>35.200000000000003</v>
      </c>
      <c r="N4410" s="90">
        <f>107+44/60</f>
        <v>107.73333333333333</v>
      </c>
      <c r="O4410" s="90">
        <v>1220</v>
      </c>
      <c r="R4410" s="55">
        <v>487.3</v>
      </c>
      <c r="S4410" s="90">
        <v>589</v>
      </c>
      <c r="U4410" s="55" t="s">
        <v>1805</v>
      </c>
      <c r="V4410" s="55" t="s">
        <v>1682</v>
      </c>
      <c r="Y4410" s="55" t="s">
        <v>4390</v>
      </c>
      <c r="Z4410" s="55" t="s">
        <v>4398</v>
      </c>
      <c r="AA4410" s="90" t="s">
        <v>1675</v>
      </c>
      <c r="AH4410" s="55" t="s">
        <v>6378</v>
      </c>
      <c r="AI4410" s="168">
        <v>8.11</v>
      </c>
      <c r="AJ4410" s="90">
        <v>1.2</v>
      </c>
      <c r="AN4410" s="185" t="s">
        <v>4393</v>
      </c>
      <c r="AO4410" s="185" t="s">
        <v>5150</v>
      </c>
      <c r="AQ4410" s="55" t="s">
        <v>553</v>
      </c>
      <c r="AR4410" s="55" t="s">
        <v>116</v>
      </c>
      <c r="AS4410" s="55" t="s">
        <v>116</v>
      </c>
      <c r="AU4410" s="181" t="s">
        <v>7494</v>
      </c>
      <c r="AV4410" s="185" t="s">
        <v>176</v>
      </c>
      <c r="AX4410" s="185" t="s">
        <v>176</v>
      </c>
      <c r="BK4410" s="55" t="s">
        <v>5976</v>
      </c>
      <c r="BM4410" s="192" t="s">
        <v>160</v>
      </c>
      <c r="BN4410" s="55">
        <v>3</v>
      </c>
      <c r="BO4410" s="55">
        <v>3</v>
      </c>
      <c r="BQ4410" s="55" t="s">
        <v>2077</v>
      </c>
      <c r="BV4410" s="55" t="s">
        <v>4401</v>
      </c>
      <c r="DB4410" s="65">
        <v>29.92</v>
      </c>
      <c r="DC4410" s="65">
        <v>13.73</v>
      </c>
      <c r="DD4410" s="65">
        <f>32-DB4410</f>
        <v>2.0799999999999983</v>
      </c>
      <c r="DE4410" s="65">
        <f>15.86-DC4410</f>
        <v>2.129999999999999</v>
      </c>
      <c r="DF4410" s="65" t="s">
        <v>4400</v>
      </c>
      <c r="GP4410" s="292" t="s">
        <v>7494</v>
      </c>
      <c r="JW4410" s="55" t="s">
        <v>1078</v>
      </c>
    </row>
    <row r="4411" spans="1:283" x14ac:dyDescent="0.25">
      <c r="A4411" s="55">
        <v>4410</v>
      </c>
      <c r="B4411" s="12" t="s">
        <v>7067</v>
      </c>
      <c r="C4411" s="155">
        <v>193</v>
      </c>
      <c r="D4411" s="55" t="s">
        <v>4404</v>
      </c>
      <c r="E4411" s="90" t="s">
        <v>4387</v>
      </c>
      <c r="G4411" s="55" t="s">
        <v>4388</v>
      </c>
      <c r="H4411" s="55">
        <v>2016</v>
      </c>
      <c r="I4411" s="55">
        <v>2010</v>
      </c>
      <c r="J4411" s="55" t="s">
        <v>4394</v>
      </c>
      <c r="K4411" s="55" t="s">
        <v>4389</v>
      </c>
      <c r="L4411" s="55" t="s">
        <v>3377</v>
      </c>
      <c r="M4411" s="90">
        <f>35+12/60</f>
        <v>35.200000000000003</v>
      </c>
      <c r="N4411" s="90">
        <f>107+44/60</f>
        <v>107.73333333333333</v>
      </c>
      <c r="O4411" s="90">
        <v>1220</v>
      </c>
      <c r="R4411" s="55">
        <v>487.3</v>
      </c>
      <c r="S4411" s="90">
        <v>589</v>
      </c>
      <c r="U4411" s="55" t="s">
        <v>1805</v>
      </c>
      <c r="V4411" s="55" t="s">
        <v>1682</v>
      </c>
      <c r="Y4411" s="55" t="s">
        <v>4390</v>
      </c>
      <c r="Z4411" s="55" t="s">
        <v>1346</v>
      </c>
      <c r="AA4411" s="90" t="s">
        <v>1675</v>
      </c>
      <c r="AH4411" s="55" t="s">
        <v>6378</v>
      </c>
      <c r="AI4411" s="168">
        <v>8.11</v>
      </c>
      <c r="AJ4411" s="90">
        <v>1.2</v>
      </c>
      <c r="AN4411" s="185" t="s">
        <v>4392</v>
      </c>
      <c r="AO4411" s="185" t="s">
        <v>5150</v>
      </c>
      <c r="AQ4411" s="55" t="s">
        <v>553</v>
      </c>
      <c r="AR4411" s="55" t="s">
        <v>116</v>
      </c>
      <c r="AS4411" s="55" t="s">
        <v>116</v>
      </c>
      <c r="AU4411" s="181" t="s">
        <v>7494</v>
      </c>
      <c r="AV4411" s="185" t="s">
        <v>176</v>
      </c>
      <c r="AX4411" s="185" t="s">
        <v>176</v>
      </c>
      <c r="BK4411" s="55" t="s">
        <v>5976</v>
      </c>
      <c r="BM4411" s="192" t="s">
        <v>160</v>
      </c>
      <c r="BN4411" s="55">
        <v>3</v>
      </c>
      <c r="BO4411" s="55">
        <v>3</v>
      </c>
      <c r="BQ4411" s="55" t="s">
        <v>2077</v>
      </c>
      <c r="BV4411" s="55" t="s">
        <v>4402</v>
      </c>
      <c r="DB4411" s="65">
        <v>18.91</v>
      </c>
      <c r="DC4411" s="65">
        <v>52.14</v>
      </c>
      <c r="DD4411" s="65">
        <f>20.7-DB4411</f>
        <v>1.7899999999999991</v>
      </c>
      <c r="DE4411" s="65">
        <f>57.87-DC4411</f>
        <v>5.7299999999999969</v>
      </c>
      <c r="DF4411" s="65" t="s">
        <v>4400</v>
      </c>
      <c r="GP4411" s="292" t="s">
        <v>7494</v>
      </c>
      <c r="JW4411" s="55" t="s">
        <v>1078</v>
      </c>
    </row>
    <row r="4412" spans="1:283" x14ac:dyDescent="0.25">
      <c r="A4412" s="55">
        <v>4411</v>
      </c>
      <c r="B4412" s="12" t="s">
        <v>7067</v>
      </c>
      <c r="C4412" s="155">
        <v>193</v>
      </c>
      <c r="D4412" s="55" t="s">
        <v>4405</v>
      </c>
      <c r="E4412" s="90" t="s">
        <v>4387</v>
      </c>
      <c r="G4412" s="55" t="s">
        <v>4388</v>
      </c>
      <c r="H4412" s="55">
        <v>2016</v>
      </c>
      <c r="I4412" s="55">
        <v>2010</v>
      </c>
      <c r="J4412" s="55" t="s">
        <v>4394</v>
      </c>
      <c r="K4412" s="55" t="s">
        <v>4389</v>
      </c>
      <c r="L4412" s="55" t="s">
        <v>3377</v>
      </c>
      <c r="M4412" s="90">
        <f>35+12/60</f>
        <v>35.200000000000003</v>
      </c>
      <c r="N4412" s="90">
        <f>107+44/60</f>
        <v>107.73333333333333</v>
      </c>
      <c r="O4412" s="90">
        <v>1220</v>
      </c>
      <c r="R4412" s="55">
        <v>487.3</v>
      </c>
      <c r="S4412" s="90">
        <v>589</v>
      </c>
      <c r="U4412" s="55" t="s">
        <v>1805</v>
      </c>
      <c r="V4412" s="55" t="s">
        <v>1682</v>
      </c>
      <c r="Y4412" s="55" t="s">
        <v>4390</v>
      </c>
      <c r="Z4412" s="55" t="s">
        <v>1350</v>
      </c>
      <c r="AA4412" s="90" t="s">
        <v>1675</v>
      </c>
      <c r="AH4412" s="55" t="s">
        <v>6378</v>
      </c>
      <c r="AI4412" s="168">
        <v>8.11</v>
      </c>
      <c r="AJ4412" s="90">
        <v>1.2</v>
      </c>
      <c r="AN4412" s="185" t="s">
        <v>4392</v>
      </c>
      <c r="AO4412" s="185" t="s">
        <v>5150</v>
      </c>
      <c r="AQ4412" s="55" t="s">
        <v>553</v>
      </c>
      <c r="AR4412" s="55" t="s">
        <v>116</v>
      </c>
      <c r="AS4412" s="55" t="s">
        <v>116</v>
      </c>
      <c r="AU4412" s="181" t="s">
        <v>7494</v>
      </c>
      <c r="AV4412" s="185" t="s">
        <v>176</v>
      </c>
      <c r="AX4412" s="185" t="s">
        <v>176</v>
      </c>
      <c r="BK4412" s="55" t="s">
        <v>5976</v>
      </c>
      <c r="BM4412" s="192" t="s">
        <v>160</v>
      </c>
      <c r="BN4412" s="55">
        <v>3</v>
      </c>
      <c r="BO4412" s="55">
        <v>3</v>
      </c>
      <c r="BQ4412" s="55" t="s">
        <v>2077</v>
      </c>
      <c r="BV4412" s="55" t="s">
        <v>4402</v>
      </c>
      <c r="DB4412" s="65">
        <v>12.2</v>
      </c>
      <c r="DC4412" s="65">
        <v>23.82</v>
      </c>
      <c r="DD4412" s="65">
        <f>14.65-DB4412</f>
        <v>2.4500000000000011</v>
      </c>
      <c r="DE4412" s="65">
        <f>26.93-DC4412</f>
        <v>3.1099999999999994</v>
      </c>
      <c r="DF4412" s="65" t="s">
        <v>4400</v>
      </c>
      <c r="GP4412" s="292" t="s">
        <v>7494</v>
      </c>
      <c r="JW4412" s="55" t="s">
        <v>1078</v>
      </c>
    </row>
    <row r="4413" spans="1:283" x14ac:dyDescent="0.25">
      <c r="A4413" s="55">
        <v>4412</v>
      </c>
      <c r="B4413" s="12" t="s">
        <v>7067</v>
      </c>
      <c r="C4413" s="155">
        <v>193</v>
      </c>
      <c r="D4413" s="55" t="s">
        <v>4406</v>
      </c>
      <c r="E4413" s="90" t="s">
        <v>4387</v>
      </c>
      <c r="G4413" s="55" t="s">
        <v>4388</v>
      </c>
      <c r="H4413" s="55">
        <v>2016</v>
      </c>
      <c r="I4413" s="55">
        <v>2010</v>
      </c>
      <c r="J4413" s="55" t="s">
        <v>4394</v>
      </c>
      <c r="K4413" s="55" t="s">
        <v>4389</v>
      </c>
      <c r="L4413" s="55" t="s">
        <v>3377</v>
      </c>
      <c r="M4413" s="90">
        <f>35+12/60</f>
        <v>35.200000000000003</v>
      </c>
      <c r="N4413" s="90">
        <f>107+44/60</f>
        <v>107.73333333333333</v>
      </c>
      <c r="O4413" s="90">
        <v>1220</v>
      </c>
      <c r="R4413" s="55">
        <v>487.3</v>
      </c>
      <c r="S4413" s="90">
        <v>589</v>
      </c>
      <c r="U4413" s="55" t="s">
        <v>1805</v>
      </c>
      <c r="V4413" s="55" t="s">
        <v>1682</v>
      </c>
      <c r="Y4413" s="55" t="s">
        <v>4390</v>
      </c>
      <c r="Z4413" s="55" t="s">
        <v>1351</v>
      </c>
      <c r="AA4413" s="90" t="s">
        <v>1675</v>
      </c>
      <c r="AH4413" s="55" t="s">
        <v>6378</v>
      </c>
      <c r="AI4413" s="168">
        <v>8.11</v>
      </c>
      <c r="AJ4413" s="90">
        <v>1.2</v>
      </c>
      <c r="AN4413" s="185" t="s">
        <v>4392</v>
      </c>
      <c r="AO4413" s="185" t="s">
        <v>5150</v>
      </c>
      <c r="AQ4413" s="55" t="s">
        <v>553</v>
      </c>
      <c r="AR4413" s="55" t="s">
        <v>116</v>
      </c>
      <c r="AS4413" s="55" t="s">
        <v>116</v>
      </c>
      <c r="AU4413" s="181" t="s">
        <v>7494</v>
      </c>
      <c r="AV4413" s="185" t="s">
        <v>176</v>
      </c>
      <c r="AX4413" s="185" t="s">
        <v>176</v>
      </c>
      <c r="BK4413" s="55" t="s">
        <v>5976</v>
      </c>
      <c r="BM4413" s="192" t="s">
        <v>160</v>
      </c>
      <c r="BN4413" s="55">
        <v>3</v>
      </c>
      <c r="BO4413" s="55">
        <v>3</v>
      </c>
      <c r="BQ4413" s="55" t="s">
        <v>2077</v>
      </c>
      <c r="BV4413" s="55" t="s">
        <v>4402</v>
      </c>
      <c r="DB4413" s="65">
        <v>10.89</v>
      </c>
      <c r="DC4413" s="65">
        <v>17.440000000000001</v>
      </c>
      <c r="DD4413" s="65">
        <f>14-DB4413</f>
        <v>3.1099999999999994</v>
      </c>
      <c r="DE4413" s="65">
        <f>18.91-DC4413</f>
        <v>1.4699999999999989</v>
      </c>
      <c r="DF4413" s="65" t="s">
        <v>4400</v>
      </c>
      <c r="GP4413" s="292" t="s">
        <v>7494</v>
      </c>
      <c r="JW4413" s="55" t="s">
        <v>1078</v>
      </c>
    </row>
    <row r="4414" spans="1:283" x14ac:dyDescent="0.25">
      <c r="A4414" s="55">
        <v>4413</v>
      </c>
      <c r="B4414" s="12" t="s">
        <v>7067</v>
      </c>
      <c r="C4414" s="155">
        <v>193</v>
      </c>
      <c r="D4414" s="55" t="s">
        <v>4407</v>
      </c>
      <c r="E4414" s="90" t="s">
        <v>4387</v>
      </c>
      <c r="G4414" s="55" t="s">
        <v>4388</v>
      </c>
      <c r="H4414" s="55">
        <v>2016</v>
      </c>
      <c r="I4414" s="55">
        <v>2010</v>
      </c>
      <c r="J4414" s="55" t="s">
        <v>4394</v>
      </c>
      <c r="K4414" s="55" t="s">
        <v>4389</v>
      </c>
      <c r="L4414" s="55" t="s">
        <v>3377</v>
      </c>
      <c r="M4414" s="90">
        <f>35+12/60</f>
        <v>35.200000000000003</v>
      </c>
      <c r="N4414" s="90">
        <f>107+44/60</f>
        <v>107.73333333333333</v>
      </c>
      <c r="O4414" s="90">
        <v>1220</v>
      </c>
      <c r="R4414" s="55">
        <v>487.3</v>
      </c>
      <c r="S4414" s="90">
        <v>589</v>
      </c>
      <c r="U4414" s="55" t="s">
        <v>1805</v>
      </c>
      <c r="V4414" s="55" t="s">
        <v>1682</v>
      </c>
      <c r="Y4414" s="55" t="s">
        <v>4390</v>
      </c>
      <c r="Z4414" s="55" t="s">
        <v>1352</v>
      </c>
      <c r="AA4414" s="90" t="s">
        <v>1675</v>
      </c>
      <c r="AH4414" s="55" t="s">
        <v>6378</v>
      </c>
      <c r="AI4414" s="168">
        <v>8.11</v>
      </c>
      <c r="AJ4414" s="90">
        <v>1.2</v>
      </c>
      <c r="AN4414" s="185" t="s">
        <v>4392</v>
      </c>
      <c r="AO4414" s="185" t="s">
        <v>5150</v>
      </c>
      <c r="AQ4414" s="55" t="s">
        <v>553</v>
      </c>
      <c r="AR4414" s="55" t="s">
        <v>116</v>
      </c>
      <c r="AS4414" s="55" t="s">
        <v>116</v>
      </c>
      <c r="AU4414" s="181" t="s">
        <v>7494</v>
      </c>
      <c r="AV4414" s="185" t="s">
        <v>176</v>
      </c>
      <c r="AX4414" s="185" t="s">
        <v>176</v>
      </c>
      <c r="BK4414" s="55" t="s">
        <v>5976</v>
      </c>
      <c r="BM4414" s="192" t="s">
        <v>160</v>
      </c>
      <c r="BN4414" s="55">
        <v>3</v>
      </c>
      <c r="BO4414" s="55">
        <v>3</v>
      </c>
      <c r="BQ4414" s="55" t="s">
        <v>2077</v>
      </c>
      <c r="BV4414" s="55" t="s">
        <v>4402</v>
      </c>
      <c r="DB4414" s="65">
        <v>13.34</v>
      </c>
      <c r="DC4414" s="65">
        <v>22.51</v>
      </c>
      <c r="DD4414" s="65">
        <f>16.62-DB4414</f>
        <v>3.2800000000000011</v>
      </c>
      <c r="DE4414" s="65">
        <f>24.31-DC4414</f>
        <v>1.7999999999999972</v>
      </c>
      <c r="DF4414" s="65" t="s">
        <v>4400</v>
      </c>
      <c r="GP4414" s="292" t="s">
        <v>7494</v>
      </c>
      <c r="JW4414" s="55" t="s">
        <v>1078</v>
      </c>
    </row>
    <row r="4415" spans="1:283" x14ac:dyDescent="0.25">
      <c r="A4415" s="55">
        <v>4414</v>
      </c>
      <c r="B4415" s="12" t="s">
        <v>7067</v>
      </c>
      <c r="C4415" s="155">
        <v>193</v>
      </c>
      <c r="D4415" s="55" t="s">
        <v>4408</v>
      </c>
      <c r="E4415" s="90" t="s">
        <v>4387</v>
      </c>
      <c r="G4415" s="55" t="s">
        <v>4388</v>
      </c>
      <c r="H4415" s="55">
        <v>2016</v>
      </c>
      <c r="I4415" s="55">
        <v>2010</v>
      </c>
      <c r="J4415" s="55" t="s">
        <v>4394</v>
      </c>
      <c r="K4415" s="55" t="s">
        <v>4389</v>
      </c>
      <c r="L4415" s="55" t="s">
        <v>3377</v>
      </c>
      <c r="M4415" s="90">
        <f>35+12/60</f>
        <v>35.200000000000003</v>
      </c>
      <c r="N4415" s="90">
        <f>107+44/60</f>
        <v>107.73333333333333</v>
      </c>
      <c r="O4415" s="90">
        <v>1220</v>
      </c>
      <c r="R4415" s="55">
        <v>487.3</v>
      </c>
      <c r="S4415" s="90">
        <v>589</v>
      </c>
      <c r="U4415" s="55" t="s">
        <v>1805</v>
      </c>
      <c r="V4415" s="55" t="s">
        <v>1682</v>
      </c>
      <c r="Y4415" s="55" t="s">
        <v>4390</v>
      </c>
      <c r="Z4415" s="55" t="s">
        <v>1353</v>
      </c>
      <c r="AA4415" s="90" t="s">
        <v>1675</v>
      </c>
      <c r="AH4415" s="55" t="s">
        <v>6378</v>
      </c>
      <c r="AI4415" s="168">
        <v>8.11</v>
      </c>
      <c r="AJ4415" s="90">
        <v>1.2</v>
      </c>
      <c r="AN4415" s="185" t="s">
        <v>4392</v>
      </c>
      <c r="AO4415" s="185" t="s">
        <v>5150</v>
      </c>
      <c r="AQ4415" s="55" t="s">
        <v>553</v>
      </c>
      <c r="AR4415" s="55" t="s">
        <v>116</v>
      </c>
      <c r="AS4415" s="55" t="s">
        <v>116</v>
      </c>
      <c r="AU4415" s="181" t="s">
        <v>7494</v>
      </c>
      <c r="AV4415" s="185" t="s">
        <v>176</v>
      </c>
      <c r="AX4415" s="185" t="s">
        <v>176</v>
      </c>
      <c r="BK4415" s="55" t="s">
        <v>5976</v>
      </c>
      <c r="BM4415" s="192" t="s">
        <v>160</v>
      </c>
      <c r="BN4415" s="55">
        <v>3</v>
      </c>
      <c r="BO4415" s="55">
        <v>3</v>
      </c>
      <c r="BQ4415" s="55" t="s">
        <v>2077</v>
      </c>
      <c r="BV4415" s="55" t="s">
        <v>4402</v>
      </c>
      <c r="DB4415" s="65">
        <v>15.31</v>
      </c>
      <c r="DC4415" s="65">
        <v>30.53</v>
      </c>
      <c r="DD4415" s="65">
        <f>17.93-DB4415</f>
        <v>2.6199999999999992</v>
      </c>
      <c r="DE4415" s="65">
        <f>39.05-DC4415</f>
        <v>8.519999999999996</v>
      </c>
      <c r="DF4415" s="65" t="s">
        <v>4400</v>
      </c>
      <c r="GP4415" s="292" t="s">
        <v>7494</v>
      </c>
      <c r="JW4415" s="55" t="s">
        <v>1078</v>
      </c>
    </row>
    <row r="4416" spans="1:283" x14ac:dyDescent="0.25">
      <c r="A4416" s="55">
        <v>4415</v>
      </c>
      <c r="B4416" s="12" t="s">
        <v>7067</v>
      </c>
      <c r="C4416" s="155">
        <v>193</v>
      </c>
      <c r="D4416" s="55" t="s">
        <v>4409</v>
      </c>
      <c r="E4416" s="90" t="s">
        <v>4387</v>
      </c>
      <c r="G4416" s="55" t="s">
        <v>4388</v>
      </c>
      <c r="H4416" s="55">
        <v>2016</v>
      </c>
      <c r="I4416" s="55">
        <v>2010</v>
      </c>
      <c r="J4416" s="55" t="s">
        <v>4394</v>
      </c>
      <c r="K4416" s="55" t="s">
        <v>4389</v>
      </c>
      <c r="L4416" s="55" t="s">
        <v>3377</v>
      </c>
      <c r="M4416" s="90">
        <f>35+12/60</f>
        <v>35.200000000000003</v>
      </c>
      <c r="N4416" s="90">
        <f>107+44/60</f>
        <v>107.73333333333333</v>
      </c>
      <c r="O4416" s="90">
        <v>1220</v>
      </c>
      <c r="R4416" s="55">
        <v>487.3</v>
      </c>
      <c r="S4416" s="90">
        <v>589</v>
      </c>
      <c r="U4416" s="55" t="s">
        <v>1805</v>
      </c>
      <c r="V4416" s="55" t="s">
        <v>1682</v>
      </c>
      <c r="Y4416" s="55" t="s">
        <v>4390</v>
      </c>
      <c r="Z4416" s="55" t="s">
        <v>4399</v>
      </c>
      <c r="AA4416" s="90" t="s">
        <v>1675</v>
      </c>
      <c r="AH4416" s="55" t="s">
        <v>6378</v>
      </c>
      <c r="AI4416" s="168">
        <v>8.11</v>
      </c>
      <c r="AJ4416" s="90">
        <v>1.2</v>
      </c>
      <c r="AN4416" s="185" t="s">
        <v>4392</v>
      </c>
      <c r="AO4416" s="185" t="s">
        <v>5150</v>
      </c>
      <c r="AQ4416" s="55" t="s">
        <v>553</v>
      </c>
      <c r="AR4416" s="55" t="s">
        <v>116</v>
      </c>
      <c r="AS4416" s="55" t="s">
        <v>116</v>
      </c>
      <c r="AU4416" s="181" t="s">
        <v>7494</v>
      </c>
      <c r="AV4416" s="185" t="s">
        <v>176</v>
      </c>
      <c r="AX4416" s="185" t="s">
        <v>176</v>
      </c>
      <c r="BK4416" s="55" t="s">
        <v>5976</v>
      </c>
      <c r="BM4416" s="192" t="s">
        <v>160</v>
      </c>
      <c r="BN4416" s="55">
        <v>3</v>
      </c>
      <c r="BO4416" s="55">
        <v>3</v>
      </c>
      <c r="BQ4416" s="55" t="s">
        <v>2077</v>
      </c>
      <c r="BV4416" s="55" t="s">
        <v>4402</v>
      </c>
      <c r="DB4416" s="65">
        <v>13.34</v>
      </c>
      <c r="DC4416" s="65">
        <v>30.2</v>
      </c>
      <c r="DD4416" s="65">
        <f>16.13-DB4416</f>
        <v>2.7899999999999991</v>
      </c>
      <c r="DE4416" s="65">
        <f>37.57-DC4416</f>
        <v>7.370000000000001</v>
      </c>
      <c r="DF4416" s="65" t="s">
        <v>4400</v>
      </c>
      <c r="GP4416" s="292" t="s">
        <v>7494</v>
      </c>
      <c r="JW4416" s="55" t="s">
        <v>1078</v>
      </c>
    </row>
    <row r="4417" spans="1:283" x14ac:dyDescent="0.25">
      <c r="A4417" s="55">
        <v>4416</v>
      </c>
      <c r="B4417" s="12" t="s">
        <v>7067</v>
      </c>
      <c r="C4417" s="155">
        <v>193</v>
      </c>
      <c r="D4417" s="55" t="s">
        <v>4410</v>
      </c>
      <c r="E4417" s="90" t="s">
        <v>4387</v>
      </c>
      <c r="G4417" s="55" t="s">
        <v>4388</v>
      </c>
      <c r="H4417" s="55">
        <v>2016</v>
      </c>
      <c r="I4417" s="55">
        <v>2010</v>
      </c>
      <c r="J4417" s="55" t="s">
        <v>4394</v>
      </c>
      <c r="K4417" s="55" t="s">
        <v>4389</v>
      </c>
      <c r="L4417" s="55" t="s">
        <v>3377</v>
      </c>
      <c r="M4417" s="90">
        <f>35+12/60</f>
        <v>35.200000000000003</v>
      </c>
      <c r="N4417" s="90">
        <f>107+44/60</f>
        <v>107.73333333333333</v>
      </c>
      <c r="O4417" s="90">
        <v>1220</v>
      </c>
      <c r="R4417" s="55">
        <v>487.3</v>
      </c>
      <c r="S4417" s="90">
        <v>589</v>
      </c>
      <c r="U4417" s="55" t="s">
        <v>1805</v>
      </c>
      <c r="V4417" s="55" t="s">
        <v>1682</v>
      </c>
      <c r="Y4417" s="55" t="s">
        <v>4390</v>
      </c>
      <c r="Z4417" s="55" t="s">
        <v>4395</v>
      </c>
      <c r="AA4417" s="90" t="s">
        <v>1675</v>
      </c>
      <c r="AH4417" s="55" t="s">
        <v>6378</v>
      </c>
      <c r="AI4417" s="168">
        <v>8.11</v>
      </c>
      <c r="AJ4417" s="90">
        <v>1.2</v>
      </c>
      <c r="AN4417" s="185" t="s">
        <v>4392</v>
      </c>
      <c r="AO4417" s="185" t="s">
        <v>5150</v>
      </c>
      <c r="AQ4417" s="55" t="s">
        <v>553</v>
      </c>
      <c r="AR4417" s="55" t="s">
        <v>116</v>
      </c>
      <c r="AS4417" s="55" t="s">
        <v>116</v>
      </c>
      <c r="AU4417" s="181" t="s">
        <v>7494</v>
      </c>
      <c r="AV4417" s="185" t="s">
        <v>176</v>
      </c>
      <c r="AX4417" s="185" t="s">
        <v>176</v>
      </c>
      <c r="BK4417" s="55" t="s">
        <v>5976</v>
      </c>
      <c r="BM4417" s="192" t="s">
        <v>160</v>
      </c>
      <c r="BN4417" s="55">
        <v>3</v>
      </c>
      <c r="BO4417" s="55">
        <v>3</v>
      </c>
      <c r="BQ4417" s="55" t="s">
        <v>2077</v>
      </c>
      <c r="BV4417" s="55" t="s">
        <v>4402</v>
      </c>
      <c r="DB4417" s="65">
        <v>21.69</v>
      </c>
      <c r="DC4417" s="65">
        <v>24.97</v>
      </c>
      <c r="DD4417" s="65">
        <f>25.46-DB4417</f>
        <v>3.7699999999999996</v>
      </c>
      <c r="DE4417" s="65">
        <f>27.42-DC4417</f>
        <v>2.4500000000000028</v>
      </c>
      <c r="DF4417" s="65" t="s">
        <v>4400</v>
      </c>
      <c r="GP4417" s="292" t="s">
        <v>7494</v>
      </c>
      <c r="JW4417" s="55" t="s">
        <v>1078</v>
      </c>
    </row>
    <row r="4418" spans="1:283" x14ac:dyDescent="0.25">
      <c r="A4418" s="55">
        <v>4417</v>
      </c>
      <c r="B4418" s="12" t="s">
        <v>7067</v>
      </c>
      <c r="C4418" s="155">
        <v>193</v>
      </c>
      <c r="D4418" s="55" t="s">
        <v>4411</v>
      </c>
      <c r="E4418" s="90" t="s">
        <v>4387</v>
      </c>
      <c r="G4418" s="55" t="s">
        <v>4388</v>
      </c>
      <c r="H4418" s="55">
        <v>2016</v>
      </c>
      <c r="I4418" s="55">
        <v>2010</v>
      </c>
      <c r="J4418" s="55" t="s">
        <v>4394</v>
      </c>
      <c r="K4418" s="55" t="s">
        <v>4389</v>
      </c>
      <c r="L4418" s="55" t="s">
        <v>3377</v>
      </c>
      <c r="M4418" s="90">
        <f>35+12/60</f>
        <v>35.200000000000003</v>
      </c>
      <c r="N4418" s="90">
        <f>107+44/60</f>
        <v>107.73333333333333</v>
      </c>
      <c r="O4418" s="90">
        <v>1220</v>
      </c>
      <c r="R4418" s="55">
        <v>487.3</v>
      </c>
      <c r="S4418" s="90">
        <v>589</v>
      </c>
      <c r="U4418" s="55" t="s">
        <v>1805</v>
      </c>
      <c r="V4418" s="55" t="s">
        <v>1682</v>
      </c>
      <c r="Y4418" s="55" t="s">
        <v>4390</v>
      </c>
      <c r="Z4418" s="55" t="s">
        <v>4396</v>
      </c>
      <c r="AA4418" s="90" t="s">
        <v>1675</v>
      </c>
      <c r="AH4418" s="55" t="s">
        <v>6378</v>
      </c>
      <c r="AI4418" s="168">
        <v>8.11</v>
      </c>
      <c r="AJ4418" s="90">
        <v>1.2</v>
      </c>
      <c r="AN4418" s="185" t="s">
        <v>4392</v>
      </c>
      <c r="AO4418" s="185" t="s">
        <v>5150</v>
      </c>
      <c r="AQ4418" s="55" t="s">
        <v>553</v>
      </c>
      <c r="AR4418" s="55" t="s">
        <v>116</v>
      </c>
      <c r="AS4418" s="55" t="s">
        <v>116</v>
      </c>
      <c r="AU4418" s="181" t="s">
        <v>7494</v>
      </c>
      <c r="AV4418" s="185" t="s">
        <v>176</v>
      </c>
      <c r="AX4418" s="185" t="s">
        <v>176</v>
      </c>
      <c r="BK4418" s="55" t="s">
        <v>5976</v>
      </c>
      <c r="BM4418" s="192" t="s">
        <v>160</v>
      </c>
      <c r="BN4418" s="55">
        <v>3</v>
      </c>
      <c r="BO4418" s="55">
        <v>3</v>
      </c>
      <c r="BQ4418" s="55" t="s">
        <v>2077</v>
      </c>
      <c r="BV4418" s="55" t="s">
        <v>4402</v>
      </c>
      <c r="DB4418" s="65">
        <v>25.62</v>
      </c>
      <c r="DC4418" s="65">
        <v>29.88</v>
      </c>
      <c r="DD4418" s="65">
        <f>30.37-DB4418</f>
        <v>4.75</v>
      </c>
      <c r="DE4418" s="65">
        <f>34.3-DC4418</f>
        <v>4.4199999999999982</v>
      </c>
      <c r="DF4418" s="65" t="s">
        <v>4400</v>
      </c>
      <c r="GP4418" s="292" t="s">
        <v>7494</v>
      </c>
      <c r="JW4418" s="55" t="s">
        <v>1078</v>
      </c>
    </row>
    <row r="4419" spans="1:283" x14ac:dyDescent="0.25">
      <c r="A4419" s="55">
        <v>4418</v>
      </c>
      <c r="B4419" s="12" t="s">
        <v>7067</v>
      </c>
      <c r="C4419" s="155">
        <v>193</v>
      </c>
      <c r="D4419" s="55" t="s">
        <v>4412</v>
      </c>
      <c r="E4419" s="90" t="s">
        <v>4387</v>
      </c>
      <c r="G4419" s="55" t="s">
        <v>4388</v>
      </c>
      <c r="H4419" s="55">
        <v>2016</v>
      </c>
      <c r="I4419" s="55">
        <v>2010</v>
      </c>
      <c r="J4419" s="55" t="s">
        <v>4394</v>
      </c>
      <c r="K4419" s="55" t="s">
        <v>4389</v>
      </c>
      <c r="L4419" s="55" t="s">
        <v>3377</v>
      </c>
      <c r="M4419" s="90">
        <f>35+12/60</f>
        <v>35.200000000000003</v>
      </c>
      <c r="N4419" s="90">
        <f>107+44/60</f>
        <v>107.73333333333333</v>
      </c>
      <c r="O4419" s="90">
        <v>1220</v>
      </c>
      <c r="R4419" s="55">
        <v>487.3</v>
      </c>
      <c r="S4419" s="90">
        <v>589</v>
      </c>
      <c r="U4419" s="55" t="s">
        <v>1805</v>
      </c>
      <c r="V4419" s="55" t="s">
        <v>1682</v>
      </c>
      <c r="Y4419" s="55" t="s">
        <v>4390</v>
      </c>
      <c r="Z4419" s="55" t="s">
        <v>4397</v>
      </c>
      <c r="AA4419" s="90" t="s">
        <v>1675</v>
      </c>
      <c r="AH4419" s="55" t="s">
        <v>6378</v>
      </c>
      <c r="AI4419" s="168">
        <v>8.11</v>
      </c>
      <c r="AJ4419" s="90">
        <v>1.2</v>
      </c>
      <c r="AN4419" s="185" t="s">
        <v>4392</v>
      </c>
      <c r="AO4419" s="185" t="s">
        <v>5150</v>
      </c>
      <c r="AQ4419" s="55" t="s">
        <v>553</v>
      </c>
      <c r="AR4419" s="55" t="s">
        <v>116</v>
      </c>
      <c r="AS4419" s="55" t="s">
        <v>116</v>
      </c>
      <c r="AU4419" s="181" t="s">
        <v>7494</v>
      </c>
      <c r="AV4419" s="185" t="s">
        <v>176</v>
      </c>
      <c r="AX4419" s="185" t="s">
        <v>176</v>
      </c>
      <c r="BK4419" s="55" t="s">
        <v>5976</v>
      </c>
      <c r="BM4419" s="192" t="s">
        <v>160</v>
      </c>
      <c r="BN4419" s="55">
        <v>3</v>
      </c>
      <c r="BO4419" s="55">
        <v>3</v>
      </c>
      <c r="BQ4419" s="55" t="s">
        <v>2077</v>
      </c>
      <c r="BV4419" s="55" t="s">
        <v>4402</v>
      </c>
      <c r="DB4419" s="65">
        <v>25.13</v>
      </c>
      <c r="DC4419" s="65">
        <v>29.88</v>
      </c>
      <c r="DD4419" s="65">
        <f>29.39-DB4419</f>
        <v>4.2600000000000016</v>
      </c>
      <c r="DE4419" s="65">
        <f>34.8-DC4419</f>
        <v>4.9199999999999982</v>
      </c>
      <c r="DF4419" s="65" t="s">
        <v>4400</v>
      </c>
      <c r="GP4419" s="292" t="s">
        <v>7494</v>
      </c>
      <c r="JW4419" s="55" t="s">
        <v>1078</v>
      </c>
    </row>
    <row r="4420" spans="1:283" x14ac:dyDescent="0.25">
      <c r="A4420" s="55">
        <v>4419</v>
      </c>
      <c r="B4420" s="12" t="s">
        <v>7067</v>
      </c>
      <c r="C4420" s="155">
        <v>193</v>
      </c>
      <c r="D4420" s="55" t="s">
        <v>4413</v>
      </c>
      <c r="E4420" s="90" t="s">
        <v>4387</v>
      </c>
      <c r="G4420" s="55" t="s">
        <v>4388</v>
      </c>
      <c r="H4420" s="55">
        <v>2016</v>
      </c>
      <c r="I4420" s="55">
        <v>2010</v>
      </c>
      <c r="J4420" s="55" t="s">
        <v>4394</v>
      </c>
      <c r="K4420" s="55" t="s">
        <v>4389</v>
      </c>
      <c r="L4420" s="55" t="s">
        <v>3377</v>
      </c>
      <c r="M4420" s="90">
        <f>35+12/60</f>
        <v>35.200000000000003</v>
      </c>
      <c r="N4420" s="90">
        <f>107+44/60</f>
        <v>107.73333333333333</v>
      </c>
      <c r="O4420" s="90">
        <v>1220</v>
      </c>
      <c r="R4420" s="55">
        <v>487.3</v>
      </c>
      <c r="S4420" s="90">
        <v>589</v>
      </c>
      <c r="U4420" s="55" t="s">
        <v>1805</v>
      </c>
      <c r="V4420" s="55" t="s">
        <v>1682</v>
      </c>
      <c r="Y4420" s="55" t="s">
        <v>4390</v>
      </c>
      <c r="Z4420" s="55" t="s">
        <v>4398</v>
      </c>
      <c r="AA4420" s="90" t="s">
        <v>1675</v>
      </c>
      <c r="AH4420" s="55" t="s">
        <v>6378</v>
      </c>
      <c r="AI4420" s="168">
        <v>8.11</v>
      </c>
      <c r="AJ4420" s="90">
        <v>1.2</v>
      </c>
      <c r="AN4420" s="185" t="s">
        <v>4392</v>
      </c>
      <c r="AO4420" s="185" t="s">
        <v>5150</v>
      </c>
      <c r="AQ4420" s="55" t="s">
        <v>553</v>
      </c>
      <c r="AR4420" s="55" t="s">
        <v>116</v>
      </c>
      <c r="AS4420" s="55" t="s">
        <v>116</v>
      </c>
      <c r="AU4420" s="181" t="s">
        <v>7494</v>
      </c>
      <c r="AV4420" s="185" t="s">
        <v>176</v>
      </c>
      <c r="AX4420" s="185" t="s">
        <v>176</v>
      </c>
      <c r="BK4420" s="55" t="s">
        <v>5976</v>
      </c>
      <c r="BM4420" s="192" t="s">
        <v>160</v>
      </c>
      <c r="BN4420" s="55">
        <v>3</v>
      </c>
      <c r="BO4420" s="55">
        <v>3</v>
      </c>
      <c r="BQ4420" s="55" t="s">
        <v>2077</v>
      </c>
      <c r="BV4420" s="55" t="s">
        <v>4402</v>
      </c>
      <c r="DB4420" s="65">
        <v>32.17</v>
      </c>
      <c r="DC4420" s="65">
        <v>41.66</v>
      </c>
      <c r="DD4420" s="65">
        <f>36.26-DB4420</f>
        <v>4.0899999999999963</v>
      </c>
      <c r="DE4420" s="65">
        <f>45.43-DC4420</f>
        <v>3.7700000000000031</v>
      </c>
      <c r="DF4420" s="65" t="s">
        <v>4400</v>
      </c>
      <c r="GP4420" s="292" t="s">
        <v>7494</v>
      </c>
      <c r="JW4420" s="55" t="s">
        <v>1078</v>
      </c>
    </row>
    <row r="4421" spans="1:283" x14ac:dyDescent="0.25">
      <c r="A4421" s="55">
        <v>4420</v>
      </c>
      <c r="B4421" s="12" t="s">
        <v>7067</v>
      </c>
      <c r="C4421" s="155">
        <v>193</v>
      </c>
      <c r="D4421" s="55" t="s">
        <v>4404</v>
      </c>
      <c r="E4421" s="90" t="s">
        <v>4387</v>
      </c>
      <c r="G4421" s="55" t="s">
        <v>4388</v>
      </c>
      <c r="H4421" s="55">
        <v>2016</v>
      </c>
      <c r="I4421" s="55">
        <v>2010</v>
      </c>
      <c r="J4421" s="55" t="s">
        <v>4394</v>
      </c>
      <c r="K4421" s="55" t="s">
        <v>4389</v>
      </c>
      <c r="L4421" s="55" t="s">
        <v>3377</v>
      </c>
      <c r="M4421" s="90">
        <f>35+12/60</f>
        <v>35.200000000000003</v>
      </c>
      <c r="N4421" s="90">
        <f>107+44/60</f>
        <v>107.73333333333333</v>
      </c>
      <c r="O4421" s="90">
        <v>1220</v>
      </c>
      <c r="R4421" s="55">
        <v>487.3</v>
      </c>
      <c r="S4421" s="90">
        <v>589</v>
      </c>
      <c r="U4421" s="55" t="s">
        <v>1805</v>
      </c>
      <c r="V4421" s="55" t="s">
        <v>1682</v>
      </c>
      <c r="Y4421" s="55" t="s">
        <v>4390</v>
      </c>
      <c r="Z4421" s="55" t="s">
        <v>1346</v>
      </c>
      <c r="AA4421" s="90" t="s">
        <v>1675</v>
      </c>
      <c r="AH4421" s="55" t="s">
        <v>6378</v>
      </c>
      <c r="AI4421" s="168">
        <v>8.11</v>
      </c>
      <c r="AJ4421" s="90">
        <v>1.2</v>
      </c>
      <c r="AN4421" s="185" t="s">
        <v>158</v>
      </c>
      <c r="AO4421" s="185" t="s">
        <v>5150</v>
      </c>
      <c r="AQ4421" s="55" t="s">
        <v>553</v>
      </c>
      <c r="AR4421" s="55" t="s">
        <v>116</v>
      </c>
      <c r="AS4421" s="55" t="s">
        <v>116</v>
      </c>
      <c r="AU4421" s="181" t="s">
        <v>7494</v>
      </c>
      <c r="AV4421" s="185" t="s">
        <v>176</v>
      </c>
      <c r="AX4421" s="185" t="s">
        <v>176</v>
      </c>
      <c r="BK4421" s="55" t="s">
        <v>5976</v>
      </c>
      <c r="BM4421" s="192" t="s">
        <v>160</v>
      </c>
      <c r="BN4421" s="55">
        <v>3</v>
      </c>
      <c r="BO4421" s="55">
        <v>3</v>
      </c>
      <c r="BQ4421" s="55" t="s">
        <v>2077</v>
      </c>
      <c r="BV4421" s="55" t="s">
        <v>4402</v>
      </c>
      <c r="DB4421" s="65">
        <v>18.91</v>
      </c>
      <c r="DC4421" s="65">
        <v>28.4</v>
      </c>
      <c r="DD4421" s="65">
        <v>1.7899999999999991</v>
      </c>
      <c r="DE4421" s="65">
        <f>32.33-DC4421</f>
        <v>3.9299999999999997</v>
      </c>
      <c r="DF4421" s="65" t="s">
        <v>4400</v>
      </c>
      <c r="GP4421" s="292" t="s">
        <v>7494</v>
      </c>
      <c r="JW4421" s="55" t="s">
        <v>1078</v>
      </c>
    </row>
    <row r="4422" spans="1:283" x14ac:dyDescent="0.25">
      <c r="A4422" s="55">
        <v>4421</v>
      </c>
      <c r="B4422" s="12" t="s">
        <v>7067</v>
      </c>
      <c r="C4422" s="155">
        <v>193</v>
      </c>
      <c r="D4422" s="55" t="s">
        <v>4405</v>
      </c>
      <c r="E4422" s="90" t="s">
        <v>4387</v>
      </c>
      <c r="G4422" s="55" t="s">
        <v>4388</v>
      </c>
      <c r="H4422" s="55">
        <v>2016</v>
      </c>
      <c r="I4422" s="55">
        <v>2010</v>
      </c>
      <c r="J4422" s="55" t="s">
        <v>4394</v>
      </c>
      <c r="K4422" s="55" t="s">
        <v>4389</v>
      </c>
      <c r="L4422" s="55" t="s">
        <v>3377</v>
      </c>
      <c r="M4422" s="90">
        <f>35+12/60</f>
        <v>35.200000000000003</v>
      </c>
      <c r="N4422" s="90">
        <f>107+44/60</f>
        <v>107.73333333333333</v>
      </c>
      <c r="O4422" s="90">
        <v>1220</v>
      </c>
      <c r="R4422" s="55">
        <v>487.3</v>
      </c>
      <c r="S4422" s="90">
        <v>589</v>
      </c>
      <c r="U4422" s="55" t="s">
        <v>1805</v>
      </c>
      <c r="V4422" s="55" t="s">
        <v>1682</v>
      </c>
      <c r="Y4422" s="55" t="s">
        <v>4390</v>
      </c>
      <c r="Z4422" s="55" t="s">
        <v>1350</v>
      </c>
      <c r="AA4422" s="90" t="s">
        <v>1675</v>
      </c>
      <c r="AH4422" s="55" t="s">
        <v>6378</v>
      </c>
      <c r="AI4422" s="168">
        <v>8.11</v>
      </c>
      <c r="AJ4422" s="90">
        <v>1.2</v>
      </c>
      <c r="AN4422" s="185" t="s">
        <v>158</v>
      </c>
      <c r="AO4422" s="185" t="s">
        <v>5150</v>
      </c>
      <c r="AQ4422" s="55" t="s">
        <v>553</v>
      </c>
      <c r="AR4422" s="55" t="s">
        <v>116</v>
      </c>
      <c r="AS4422" s="55" t="s">
        <v>116</v>
      </c>
      <c r="AU4422" s="181" t="s">
        <v>7494</v>
      </c>
      <c r="AV4422" s="185" t="s">
        <v>176</v>
      </c>
      <c r="AX4422" s="185" t="s">
        <v>176</v>
      </c>
      <c r="BK4422" s="55" t="s">
        <v>5976</v>
      </c>
      <c r="BM4422" s="192" t="s">
        <v>160</v>
      </c>
      <c r="BN4422" s="55">
        <v>3</v>
      </c>
      <c r="BO4422" s="55">
        <v>3</v>
      </c>
      <c r="BQ4422" s="55" t="s">
        <v>2077</v>
      </c>
      <c r="BV4422" s="55" t="s">
        <v>4402</v>
      </c>
      <c r="DB4422" s="65">
        <v>12.2</v>
      </c>
      <c r="DC4422" s="65">
        <v>19.89</v>
      </c>
      <c r="DD4422" s="65">
        <v>2.4500000000000011</v>
      </c>
      <c r="DE4422" s="65">
        <f>21.86-DC4422</f>
        <v>1.9699999999999989</v>
      </c>
      <c r="DF4422" s="65" t="s">
        <v>4400</v>
      </c>
      <c r="GP4422" s="292" t="s">
        <v>7494</v>
      </c>
      <c r="JW4422" s="55" t="s">
        <v>1078</v>
      </c>
    </row>
    <row r="4423" spans="1:283" x14ac:dyDescent="0.25">
      <c r="A4423" s="55">
        <v>4422</v>
      </c>
      <c r="B4423" s="12" t="s">
        <v>7067</v>
      </c>
      <c r="C4423" s="155">
        <v>193</v>
      </c>
      <c r="D4423" s="55" t="s">
        <v>4406</v>
      </c>
      <c r="E4423" s="90" t="s">
        <v>4387</v>
      </c>
      <c r="G4423" s="55" t="s">
        <v>4388</v>
      </c>
      <c r="H4423" s="55">
        <v>2016</v>
      </c>
      <c r="I4423" s="55">
        <v>2010</v>
      </c>
      <c r="J4423" s="55" t="s">
        <v>4394</v>
      </c>
      <c r="K4423" s="55" t="s">
        <v>4389</v>
      </c>
      <c r="L4423" s="55" t="s">
        <v>3377</v>
      </c>
      <c r="M4423" s="90">
        <f>35+12/60</f>
        <v>35.200000000000003</v>
      </c>
      <c r="N4423" s="90">
        <f>107+44/60</f>
        <v>107.73333333333333</v>
      </c>
      <c r="O4423" s="90">
        <v>1220</v>
      </c>
      <c r="R4423" s="55">
        <v>487.3</v>
      </c>
      <c r="S4423" s="90">
        <v>589</v>
      </c>
      <c r="U4423" s="55" t="s">
        <v>1805</v>
      </c>
      <c r="V4423" s="55" t="s">
        <v>1682</v>
      </c>
      <c r="Y4423" s="55" t="s">
        <v>4390</v>
      </c>
      <c r="Z4423" s="55" t="s">
        <v>1351</v>
      </c>
      <c r="AA4423" s="90" t="s">
        <v>1675</v>
      </c>
      <c r="AH4423" s="55" t="s">
        <v>6378</v>
      </c>
      <c r="AI4423" s="168">
        <v>8.11</v>
      </c>
      <c r="AJ4423" s="90">
        <v>1.2</v>
      </c>
      <c r="AN4423" s="185" t="s">
        <v>158</v>
      </c>
      <c r="AO4423" s="185" t="s">
        <v>5150</v>
      </c>
      <c r="AQ4423" s="55" t="s">
        <v>553</v>
      </c>
      <c r="AR4423" s="55" t="s">
        <v>116</v>
      </c>
      <c r="AS4423" s="55" t="s">
        <v>116</v>
      </c>
      <c r="AU4423" s="181" t="s">
        <v>7494</v>
      </c>
      <c r="AV4423" s="185" t="s">
        <v>176</v>
      </c>
      <c r="AX4423" s="185" t="s">
        <v>176</v>
      </c>
      <c r="BK4423" s="55" t="s">
        <v>5976</v>
      </c>
      <c r="BM4423" s="192" t="s">
        <v>160</v>
      </c>
      <c r="BN4423" s="55">
        <v>3</v>
      </c>
      <c r="BO4423" s="55">
        <v>3</v>
      </c>
      <c r="BQ4423" s="55" t="s">
        <v>2077</v>
      </c>
      <c r="BV4423" s="55" t="s">
        <v>4402</v>
      </c>
      <c r="DB4423" s="65">
        <v>10.89</v>
      </c>
      <c r="DC4423" s="65">
        <v>7.94</v>
      </c>
      <c r="DD4423" s="65">
        <v>3.1099999999999994</v>
      </c>
      <c r="DE4423" s="65">
        <f>10.89-DC4423</f>
        <v>2.95</v>
      </c>
      <c r="DF4423" s="65" t="s">
        <v>4400</v>
      </c>
      <c r="GP4423" s="292" t="s">
        <v>7494</v>
      </c>
      <c r="JW4423" s="55" t="s">
        <v>1078</v>
      </c>
    </row>
    <row r="4424" spans="1:283" x14ac:dyDescent="0.25">
      <c r="A4424" s="55">
        <v>4423</v>
      </c>
      <c r="B4424" s="12" t="s">
        <v>7067</v>
      </c>
      <c r="C4424" s="155">
        <v>193</v>
      </c>
      <c r="D4424" s="55" t="s">
        <v>4407</v>
      </c>
      <c r="E4424" s="90" t="s">
        <v>4387</v>
      </c>
      <c r="G4424" s="55" t="s">
        <v>4388</v>
      </c>
      <c r="H4424" s="55">
        <v>2016</v>
      </c>
      <c r="I4424" s="55">
        <v>2010</v>
      </c>
      <c r="J4424" s="55" t="s">
        <v>4394</v>
      </c>
      <c r="K4424" s="55" t="s">
        <v>4389</v>
      </c>
      <c r="L4424" s="55" t="s">
        <v>3377</v>
      </c>
      <c r="M4424" s="90">
        <f>35+12/60</f>
        <v>35.200000000000003</v>
      </c>
      <c r="N4424" s="90">
        <f>107+44/60</f>
        <v>107.73333333333333</v>
      </c>
      <c r="O4424" s="90">
        <v>1220</v>
      </c>
      <c r="R4424" s="55">
        <v>487.3</v>
      </c>
      <c r="S4424" s="90">
        <v>589</v>
      </c>
      <c r="U4424" s="55" t="s">
        <v>1805</v>
      </c>
      <c r="V4424" s="55" t="s">
        <v>1682</v>
      </c>
      <c r="Y4424" s="55" t="s">
        <v>4390</v>
      </c>
      <c r="Z4424" s="55" t="s">
        <v>1352</v>
      </c>
      <c r="AA4424" s="90" t="s">
        <v>1675</v>
      </c>
      <c r="AH4424" s="55" t="s">
        <v>6378</v>
      </c>
      <c r="AI4424" s="168">
        <v>8.11</v>
      </c>
      <c r="AJ4424" s="90">
        <v>1.2</v>
      </c>
      <c r="AN4424" s="185" t="s">
        <v>158</v>
      </c>
      <c r="AO4424" s="185" t="s">
        <v>5150</v>
      </c>
      <c r="AQ4424" s="55" t="s">
        <v>553</v>
      </c>
      <c r="AR4424" s="55" t="s">
        <v>116</v>
      </c>
      <c r="AS4424" s="55" t="s">
        <v>116</v>
      </c>
      <c r="AU4424" s="181" t="s">
        <v>7494</v>
      </c>
      <c r="AV4424" s="185" t="s">
        <v>176</v>
      </c>
      <c r="AX4424" s="185" t="s">
        <v>176</v>
      </c>
      <c r="BK4424" s="55" t="s">
        <v>5976</v>
      </c>
      <c r="BM4424" s="192" t="s">
        <v>160</v>
      </c>
      <c r="BN4424" s="55">
        <v>3</v>
      </c>
      <c r="BO4424" s="55">
        <v>3</v>
      </c>
      <c r="BQ4424" s="55" t="s">
        <v>2077</v>
      </c>
      <c r="BV4424" s="55" t="s">
        <v>4402</v>
      </c>
      <c r="DB4424" s="65">
        <v>13.34</v>
      </c>
      <c r="DC4424" s="65">
        <v>9.74</v>
      </c>
      <c r="DD4424" s="65">
        <v>3.2800000000000011</v>
      </c>
      <c r="DE4424" s="65">
        <f>10.89-DC4424</f>
        <v>1.1500000000000004</v>
      </c>
      <c r="DF4424" s="65" t="s">
        <v>4400</v>
      </c>
      <c r="GP4424" s="292" t="s">
        <v>7494</v>
      </c>
      <c r="JW4424" s="55" t="s">
        <v>1078</v>
      </c>
    </row>
    <row r="4425" spans="1:283" x14ac:dyDescent="0.25">
      <c r="A4425" s="55">
        <v>4424</v>
      </c>
      <c r="B4425" s="12" t="s">
        <v>7067</v>
      </c>
      <c r="C4425" s="155">
        <v>193</v>
      </c>
      <c r="D4425" s="55" t="s">
        <v>4408</v>
      </c>
      <c r="E4425" s="90" t="s">
        <v>4387</v>
      </c>
      <c r="G4425" s="55" t="s">
        <v>4388</v>
      </c>
      <c r="H4425" s="55">
        <v>2016</v>
      </c>
      <c r="I4425" s="55">
        <v>2010</v>
      </c>
      <c r="J4425" s="55" t="s">
        <v>4394</v>
      </c>
      <c r="K4425" s="55" t="s">
        <v>4389</v>
      </c>
      <c r="L4425" s="55" t="s">
        <v>3377</v>
      </c>
      <c r="M4425" s="90">
        <f>35+12/60</f>
        <v>35.200000000000003</v>
      </c>
      <c r="N4425" s="90">
        <f>107+44/60</f>
        <v>107.73333333333333</v>
      </c>
      <c r="O4425" s="90">
        <v>1220</v>
      </c>
      <c r="R4425" s="55">
        <v>487.3</v>
      </c>
      <c r="S4425" s="90">
        <v>589</v>
      </c>
      <c r="U4425" s="55" t="s">
        <v>1805</v>
      </c>
      <c r="V4425" s="55" t="s">
        <v>1682</v>
      </c>
      <c r="Y4425" s="55" t="s">
        <v>4390</v>
      </c>
      <c r="Z4425" s="55" t="s">
        <v>1353</v>
      </c>
      <c r="AA4425" s="90" t="s">
        <v>1675</v>
      </c>
      <c r="AH4425" s="55" t="s">
        <v>6378</v>
      </c>
      <c r="AI4425" s="168">
        <v>8.11</v>
      </c>
      <c r="AJ4425" s="90">
        <v>1.2</v>
      </c>
      <c r="AN4425" s="185" t="s">
        <v>158</v>
      </c>
      <c r="AO4425" s="185" t="s">
        <v>5150</v>
      </c>
      <c r="AQ4425" s="55" t="s">
        <v>553</v>
      </c>
      <c r="AR4425" s="55" t="s">
        <v>116</v>
      </c>
      <c r="AS4425" s="55" t="s">
        <v>116</v>
      </c>
      <c r="AU4425" s="181" t="s">
        <v>7494</v>
      </c>
      <c r="AV4425" s="185" t="s">
        <v>176</v>
      </c>
      <c r="AX4425" s="185" t="s">
        <v>176</v>
      </c>
      <c r="BK4425" s="55" t="s">
        <v>5976</v>
      </c>
      <c r="BM4425" s="192" t="s">
        <v>160</v>
      </c>
      <c r="BN4425" s="55">
        <v>3</v>
      </c>
      <c r="BO4425" s="55">
        <v>3</v>
      </c>
      <c r="BQ4425" s="55" t="s">
        <v>2077</v>
      </c>
      <c r="BV4425" s="55" t="s">
        <v>4402</v>
      </c>
      <c r="DB4425" s="65">
        <v>15.31</v>
      </c>
      <c r="DC4425" s="65">
        <v>18.25</v>
      </c>
      <c r="DD4425" s="65">
        <v>2.6199999999999992</v>
      </c>
      <c r="DE4425" s="65">
        <f>22.18-DC4425</f>
        <v>3.9299999999999997</v>
      </c>
      <c r="DF4425" s="65" t="s">
        <v>4400</v>
      </c>
      <c r="GP4425" s="292" t="s">
        <v>7494</v>
      </c>
      <c r="JW4425" s="55" t="s">
        <v>1078</v>
      </c>
    </row>
    <row r="4426" spans="1:283" x14ac:dyDescent="0.25">
      <c r="A4426" s="55">
        <v>4425</v>
      </c>
      <c r="B4426" s="12" t="s">
        <v>7067</v>
      </c>
      <c r="C4426" s="155">
        <v>193</v>
      </c>
      <c r="D4426" s="55" t="s">
        <v>4409</v>
      </c>
      <c r="E4426" s="90" t="s">
        <v>4387</v>
      </c>
      <c r="G4426" s="55" t="s">
        <v>4388</v>
      </c>
      <c r="H4426" s="55">
        <v>2016</v>
      </c>
      <c r="I4426" s="55">
        <v>2010</v>
      </c>
      <c r="J4426" s="55" t="s">
        <v>4394</v>
      </c>
      <c r="K4426" s="55" t="s">
        <v>4389</v>
      </c>
      <c r="L4426" s="55" t="s">
        <v>3377</v>
      </c>
      <c r="M4426" s="90">
        <f>35+12/60</f>
        <v>35.200000000000003</v>
      </c>
      <c r="N4426" s="90">
        <f>107+44/60</f>
        <v>107.73333333333333</v>
      </c>
      <c r="O4426" s="90">
        <v>1220</v>
      </c>
      <c r="R4426" s="55">
        <v>487.3</v>
      </c>
      <c r="S4426" s="90">
        <v>589</v>
      </c>
      <c r="U4426" s="55" t="s">
        <v>1805</v>
      </c>
      <c r="V4426" s="55" t="s">
        <v>1682</v>
      </c>
      <c r="Y4426" s="55" t="s">
        <v>4390</v>
      </c>
      <c r="Z4426" s="55" t="s">
        <v>4399</v>
      </c>
      <c r="AA4426" s="90" t="s">
        <v>1675</v>
      </c>
      <c r="AH4426" s="55" t="s">
        <v>6378</v>
      </c>
      <c r="AI4426" s="168">
        <v>8.11</v>
      </c>
      <c r="AJ4426" s="90">
        <v>1.2</v>
      </c>
      <c r="AN4426" s="185" t="s">
        <v>158</v>
      </c>
      <c r="AO4426" s="185" t="s">
        <v>5150</v>
      </c>
      <c r="AQ4426" s="55" t="s">
        <v>553</v>
      </c>
      <c r="AR4426" s="55" t="s">
        <v>116</v>
      </c>
      <c r="AS4426" s="55" t="s">
        <v>116</v>
      </c>
      <c r="AU4426" s="181" t="s">
        <v>7494</v>
      </c>
      <c r="AV4426" s="185" t="s">
        <v>176</v>
      </c>
      <c r="AX4426" s="185" t="s">
        <v>176</v>
      </c>
      <c r="BK4426" s="55" t="s">
        <v>5976</v>
      </c>
      <c r="BM4426" s="192" t="s">
        <v>160</v>
      </c>
      <c r="BN4426" s="55">
        <v>3</v>
      </c>
      <c r="BO4426" s="55">
        <v>3</v>
      </c>
      <c r="BQ4426" s="55" t="s">
        <v>2077</v>
      </c>
      <c r="BV4426" s="55" t="s">
        <v>4402</v>
      </c>
      <c r="DB4426" s="65">
        <v>13.34</v>
      </c>
      <c r="DC4426" s="65">
        <v>15.47</v>
      </c>
      <c r="DD4426" s="65">
        <v>2.7899999999999991</v>
      </c>
      <c r="DE4426" s="65">
        <f>17.93-DC4426</f>
        <v>2.4599999999999991</v>
      </c>
      <c r="DF4426" s="65" t="s">
        <v>4400</v>
      </c>
      <c r="GP4426" s="292" t="s">
        <v>7494</v>
      </c>
      <c r="JW4426" s="55" t="s">
        <v>1078</v>
      </c>
    </row>
    <row r="4427" spans="1:283" x14ac:dyDescent="0.25">
      <c r="A4427" s="55">
        <v>4426</v>
      </c>
      <c r="B4427" s="12" t="s">
        <v>7067</v>
      </c>
      <c r="C4427" s="155">
        <v>193</v>
      </c>
      <c r="D4427" s="55" t="s">
        <v>4410</v>
      </c>
      <c r="E4427" s="90" t="s">
        <v>4387</v>
      </c>
      <c r="G4427" s="55" t="s">
        <v>4388</v>
      </c>
      <c r="H4427" s="55">
        <v>2016</v>
      </c>
      <c r="I4427" s="55">
        <v>2010</v>
      </c>
      <c r="J4427" s="55" t="s">
        <v>4394</v>
      </c>
      <c r="K4427" s="55" t="s">
        <v>4389</v>
      </c>
      <c r="L4427" s="55" t="s">
        <v>3377</v>
      </c>
      <c r="M4427" s="90">
        <f>35+12/60</f>
        <v>35.200000000000003</v>
      </c>
      <c r="N4427" s="90">
        <f>107+44/60</f>
        <v>107.73333333333333</v>
      </c>
      <c r="O4427" s="90">
        <v>1220</v>
      </c>
      <c r="R4427" s="55">
        <v>487.3</v>
      </c>
      <c r="S4427" s="90">
        <v>589</v>
      </c>
      <c r="U4427" s="55" t="s">
        <v>1805</v>
      </c>
      <c r="V4427" s="55" t="s">
        <v>1682</v>
      </c>
      <c r="Y4427" s="55" t="s">
        <v>4390</v>
      </c>
      <c r="Z4427" s="55" t="s">
        <v>4395</v>
      </c>
      <c r="AA4427" s="90" t="s">
        <v>1675</v>
      </c>
      <c r="AH4427" s="55" t="s">
        <v>6378</v>
      </c>
      <c r="AI4427" s="168">
        <v>8.11</v>
      </c>
      <c r="AJ4427" s="90">
        <v>1.2</v>
      </c>
      <c r="AN4427" s="185" t="s">
        <v>158</v>
      </c>
      <c r="AO4427" s="185" t="s">
        <v>5150</v>
      </c>
      <c r="AQ4427" s="55" t="s">
        <v>553</v>
      </c>
      <c r="AR4427" s="55" t="s">
        <v>116</v>
      </c>
      <c r="AS4427" s="55" t="s">
        <v>116</v>
      </c>
      <c r="AU4427" s="181" t="s">
        <v>7494</v>
      </c>
      <c r="AV4427" s="185" t="s">
        <v>176</v>
      </c>
      <c r="AX4427" s="185" t="s">
        <v>176</v>
      </c>
      <c r="BK4427" s="55" t="s">
        <v>5976</v>
      </c>
      <c r="BM4427" s="192" t="s">
        <v>160</v>
      </c>
      <c r="BN4427" s="55">
        <v>3</v>
      </c>
      <c r="BO4427" s="55">
        <v>3</v>
      </c>
      <c r="BQ4427" s="55" t="s">
        <v>2077</v>
      </c>
      <c r="BV4427" s="55" t="s">
        <v>4402</v>
      </c>
      <c r="DB4427" s="65">
        <v>21.69</v>
      </c>
      <c r="DC4427" s="65">
        <v>13.01</v>
      </c>
      <c r="DD4427" s="65">
        <v>3.7699999999999996</v>
      </c>
      <c r="DE4427" s="65">
        <f>14.82-DC4427</f>
        <v>1.8100000000000005</v>
      </c>
      <c r="DF4427" s="65" t="s">
        <v>4400</v>
      </c>
      <c r="GP4427" s="292" t="s">
        <v>7494</v>
      </c>
      <c r="JW4427" s="55" t="s">
        <v>1078</v>
      </c>
    </row>
    <row r="4428" spans="1:283" x14ac:dyDescent="0.25">
      <c r="A4428" s="55">
        <v>4427</v>
      </c>
      <c r="B4428" s="12" t="s">
        <v>7067</v>
      </c>
      <c r="C4428" s="155">
        <v>193</v>
      </c>
      <c r="D4428" s="55" t="s">
        <v>4411</v>
      </c>
      <c r="E4428" s="90" t="s">
        <v>4387</v>
      </c>
      <c r="G4428" s="55" t="s">
        <v>4388</v>
      </c>
      <c r="H4428" s="55">
        <v>2016</v>
      </c>
      <c r="I4428" s="55">
        <v>2010</v>
      </c>
      <c r="J4428" s="55" t="s">
        <v>4394</v>
      </c>
      <c r="K4428" s="55" t="s">
        <v>4389</v>
      </c>
      <c r="L4428" s="55" t="s">
        <v>3377</v>
      </c>
      <c r="M4428" s="90">
        <f>35+12/60</f>
        <v>35.200000000000003</v>
      </c>
      <c r="N4428" s="90">
        <f>107+44/60</f>
        <v>107.73333333333333</v>
      </c>
      <c r="O4428" s="90">
        <v>1220</v>
      </c>
      <c r="R4428" s="55">
        <v>487.3</v>
      </c>
      <c r="S4428" s="90">
        <v>589</v>
      </c>
      <c r="U4428" s="55" t="s">
        <v>1805</v>
      </c>
      <c r="V4428" s="55" t="s">
        <v>1682</v>
      </c>
      <c r="Y4428" s="55" t="s">
        <v>4390</v>
      </c>
      <c r="Z4428" s="55" t="s">
        <v>4396</v>
      </c>
      <c r="AA4428" s="90" t="s">
        <v>1675</v>
      </c>
      <c r="AH4428" s="55" t="s">
        <v>6378</v>
      </c>
      <c r="AI4428" s="168">
        <v>8.11</v>
      </c>
      <c r="AJ4428" s="90">
        <v>1.2</v>
      </c>
      <c r="AN4428" s="185" t="s">
        <v>158</v>
      </c>
      <c r="AO4428" s="185" t="s">
        <v>5150</v>
      </c>
      <c r="AQ4428" s="55" t="s">
        <v>553</v>
      </c>
      <c r="AR4428" s="55" t="s">
        <v>116</v>
      </c>
      <c r="AS4428" s="55" t="s">
        <v>116</v>
      </c>
      <c r="AU4428" s="181" t="s">
        <v>7494</v>
      </c>
      <c r="AV4428" s="185" t="s">
        <v>176</v>
      </c>
      <c r="AX4428" s="185" t="s">
        <v>176</v>
      </c>
      <c r="BK4428" s="55" t="s">
        <v>5976</v>
      </c>
      <c r="BM4428" s="192" t="s">
        <v>160</v>
      </c>
      <c r="BN4428" s="55">
        <v>3</v>
      </c>
      <c r="BO4428" s="55">
        <v>3</v>
      </c>
      <c r="BQ4428" s="55" t="s">
        <v>2077</v>
      </c>
      <c r="BV4428" s="55" t="s">
        <v>4402</v>
      </c>
      <c r="DB4428" s="65">
        <v>25.62</v>
      </c>
      <c r="DC4428" s="65">
        <v>15.47</v>
      </c>
      <c r="DD4428" s="65">
        <v>4.75</v>
      </c>
      <c r="DE4428" s="65">
        <f>17.44-DC4428</f>
        <v>1.9700000000000006</v>
      </c>
      <c r="DF4428" s="65" t="s">
        <v>4400</v>
      </c>
      <c r="GP4428" s="292" t="s">
        <v>7494</v>
      </c>
      <c r="JW4428" s="55" t="s">
        <v>1078</v>
      </c>
    </row>
    <row r="4429" spans="1:283" x14ac:dyDescent="0.25">
      <c r="A4429" s="55">
        <v>4428</v>
      </c>
      <c r="B4429" s="12" t="s">
        <v>7067</v>
      </c>
      <c r="C4429" s="155">
        <v>193</v>
      </c>
      <c r="D4429" s="55" t="s">
        <v>4412</v>
      </c>
      <c r="E4429" s="90" t="s">
        <v>4387</v>
      </c>
      <c r="G4429" s="55" t="s">
        <v>4388</v>
      </c>
      <c r="H4429" s="55">
        <v>2016</v>
      </c>
      <c r="I4429" s="55">
        <v>2010</v>
      </c>
      <c r="J4429" s="55" t="s">
        <v>4394</v>
      </c>
      <c r="K4429" s="55" t="s">
        <v>4389</v>
      </c>
      <c r="L4429" s="55" t="s">
        <v>3377</v>
      </c>
      <c r="M4429" s="90">
        <f>35+12/60</f>
        <v>35.200000000000003</v>
      </c>
      <c r="N4429" s="90">
        <f>107+44/60</f>
        <v>107.73333333333333</v>
      </c>
      <c r="O4429" s="90">
        <v>1220</v>
      </c>
      <c r="R4429" s="55">
        <v>487.3</v>
      </c>
      <c r="S4429" s="90">
        <v>589</v>
      </c>
      <c r="U4429" s="55" t="s">
        <v>1805</v>
      </c>
      <c r="V4429" s="55" t="s">
        <v>1682</v>
      </c>
      <c r="Y4429" s="55" t="s">
        <v>4390</v>
      </c>
      <c r="Z4429" s="55" t="s">
        <v>4397</v>
      </c>
      <c r="AA4429" s="90" t="s">
        <v>1675</v>
      </c>
      <c r="AH4429" s="55" t="s">
        <v>6378</v>
      </c>
      <c r="AI4429" s="168">
        <v>8.11</v>
      </c>
      <c r="AJ4429" s="90">
        <v>1.2</v>
      </c>
      <c r="AN4429" s="185" t="s">
        <v>158</v>
      </c>
      <c r="AO4429" s="185" t="s">
        <v>5150</v>
      </c>
      <c r="AQ4429" s="55" t="s">
        <v>553</v>
      </c>
      <c r="AR4429" s="55" t="s">
        <v>116</v>
      </c>
      <c r="AS4429" s="55" t="s">
        <v>116</v>
      </c>
      <c r="AU4429" s="181" t="s">
        <v>7494</v>
      </c>
      <c r="AV4429" s="185" t="s">
        <v>176</v>
      </c>
      <c r="AX4429" s="185" t="s">
        <v>176</v>
      </c>
      <c r="BK4429" s="55" t="s">
        <v>5976</v>
      </c>
      <c r="BM4429" s="192" t="s">
        <v>160</v>
      </c>
      <c r="BN4429" s="55">
        <v>3</v>
      </c>
      <c r="BO4429" s="55">
        <v>3</v>
      </c>
      <c r="BQ4429" s="55" t="s">
        <v>2077</v>
      </c>
      <c r="BV4429" s="55" t="s">
        <v>4402</v>
      </c>
      <c r="DB4429" s="65">
        <v>25.13</v>
      </c>
      <c r="DC4429" s="65">
        <v>11.87</v>
      </c>
      <c r="DD4429" s="65">
        <v>4.2600000000000016</v>
      </c>
      <c r="DE4429" s="65">
        <f>14.33-DC4429</f>
        <v>2.4600000000000009</v>
      </c>
      <c r="DF4429" s="65" t="s">
        <v>4400</v>
      </c>
      <c r="GP4429" s="292" t="s">
        <v>7494</v>
      </c>
      <c r="JW4429" s="55" t="s">
        <v>1078</v>
      </c>
    </row>
    <row r="4430" spans="1:283" x14ac:dyDescent="0.25">
      <c r="A4430" s="55">
        <v>4429</v>
      </c>
      <c r="B4430" s="12" t="s">
        <v>7067</v>
      </c>
      <c r="C4430" s="155">
        <v>193</v>
      </c>
      <c r="D4430" s="55" t="s">
        <v>4413</v>
      </c>
      <c r="E4430" s="90" t="s">
        <v>4387</v>
      </c>
      <c r="G4430" s="55" t="s">
        <v>4388</v>
      </c>
      <c r="H4430" s="55">
        <v>2016</v>
      </c>
      <c r="I4430" s="55">
        <v>2010</v>
      </c>
      <c r="J4430" s="55" t="s">
        <v>4394</v>
      </c>
      <c r="K4430" s="55" t="s">
        <v>4389</v>
      </c>
      <c r="L4430" s="55" t="s">
        <v>3377</v>
      </c>
      <c r="M4430" s="90">
        <f>35+12/60</f>
        <v>35.200000000000003</v>
      </c>
      <c r="N4430" s="90">
        <f>107+44/60</f>
        <v>107.73333333333333</v>
      </c>
      <c r="O4430" s="90">
        <v>1220</v>
      </c>
      <c r="R4430" s="55">
        <v>487.3</v>
      </c>
      <c r="S4430" s="90">
        <v>589</v>
      </c>
      <c r="U4430" s="55" t="s">
        <v>1805</v>
      </c>
      <c r="V4430" s="55" t="s">
        <v>1682</v>
      </c>
      <c r="Y4430" s="55" t="s">
        <v>4390</v>
      </c>
      <c r="Z4430" s="55" t="s">
        <v>4398</v>
      </c>
      <c r="AA4430" s="90" t="s">
        <v>1675</v>
      </c>
      <c r="AH4430" s="55" t="s">
        <v>6378</v>
      </c>
      <c r="AI4430" s="168">
        <v>8.11</v>
      </c>
      <c r="AJ4430" s="90">
        <v>1.2</v>
      </c>
      <c r="AN4430" s="185" t="s">
        <v>158</v>
      </c>
      <c r="AO4430" s="185" t="s">
        <v>5150</v>
      </c>
      <c r="AQ4430" s="55" t="s">
        <v>553</v>
      </c>
      <c r="AR4430" s="55" t="s">
        <v>116</v>
      </c>
      <c r="AS4430" s="55" t="s">
        <v>116</v>
      </c>
      <c r="AU4430" s="181" t="s">
        <v>7494</v>
      </c>
      <c r="AV4430" s="185" t="s">
        <v>176</v>
      </c>
      <c r="AX4430" s="185" t="s">
        <v>176</v>
      </c>
      <c r="BK4430" s="55" t="s">
        <v>5976</v>
      </c>
      <c r="BM4430" s="192" t="s">
        <v>160</v>
      </c>
      <c r="BN4430" s="55">
        <v>3</v>
      </c>
      <c r="BO4430" s="55">
        <v>3</v>
      </c>
      <c r="BQ4430" s="55" t="s">
        <v>2077</v>
      </c>
      <c r="BV4430" s="55" t="s">
        <v>4402</v>
      </c>
      <c r="DB4430" s="65">
        <v>32.17</v>
      </c>
      <c r="DC4430" s="65">
        <v>18.739999999999998</v>
      </c>
      <c r="DD4430" s="65">
        <v>4.0899999999999963</v>
      </c>
      <c r="DE4430" s="65">
        <f>20.38-DC4430</f>
        <v>1.6400000000000006</v>
      </c>
      <c r="DF4430" s="65" t="s">
        <v>4400</v>
      </c>
      <c r="GP4430" s="292" t="s">
        <v>7494</v>
      </c>
      <c r="JW4430" s="55" t="s">
        <v>1078</v>
      </c>
    </row>
    <row r="4431" spans="1:283" x14ac:dyDescent="0.25">
      <c r="A4431" s="55">
        <v>4430</v>
      </c>
      <c r="B4431" s="12" t="s">
        <v>7067</v>
      </c>
      <c r="C4431" s="155">
        <v>193</v>
      </c>
      <c r="D4431" s="55" t="s">
        <v>4404</v>
      </c>
      <c r="E4431" s="90" t="s">
        <v>4387</v>
      </c>
      <c r="G4431" s="55" t="s">
        <v>4388</v>
      </c>
      <c r="H4431" s="55">
        <v>2016</v>
      </c>
      <c r="I4431" s="55">
        <v>2010</v>
      </c>
      <c r="J4431" s="55" t="s">
        <v>4394</v>
      </c>
      <c r="K4431" s="55" t="s">
        <v>4389</v>
      </c>
      <c r="L4431" s="55" t="s">
        <v>3377</v>
      </c>
      <c r="M4431" s="90">
        <f>35+12/60</f>
        <v>35.200000000000003</v>
      </c>
      <c r="N4431" s="90">
        <f>107+44/60</f>
        <v>107.73333333333333</v>
      </c>
      <c r="O4431" s="90">
        <v>1220</v>
      </c>
      <c r="R4431" s="55">
        <v>487.3</v>
      </c>
      <c r="S4431" s="90">
        <v>589</v>
      </c>
      <c r="U4431" s="55" t="s">
        <v>1805</v>
      </c>
      <c r="V4431" s="55" t="s">
        <v>1682</v>
      </c>
      <c r="Y4431" s="55" t="s">
        <v>4390</v>
      </c>
      <c r="Z4431" s="55" t="s">
        <v>1346</v>
      </c>
      <c r="AA4431" s="90" t="s">
        <v>1675</v>
      </c>
      <c r="AH4431" s="55" t="s">
        <v>6378</v>
      </c>
      <c r="AI4431" s="168">
        <v>8.11</v>
      </c>
      <c r="AJ4431" s="90">
        <v>1.2</v>
      </c>
      <c r="AN4431" s="185" t="s">
        <v>4393</v>
      </c>
      <c r="AO4431" s="185" t="s">
        <v>5150</v>
      </c>
      <c r="AQ4431" s="55" t="s">
        <v>553</v>
      </c>
      <c r="AR4431" s="55" t="s">
        <v>116</v>
      </c>
      <c r="AS4431" s="55" t="s">
        <v>116</v>
      </c>
      <c r="AU4431" s="181" t="s">
        <v>7494</v>
      </c>
      <c r="AV4431" s="185" t="s">
        <v>176</v>
      </c>
      <c r="AX4431" s="185" t="s">
        <v>176</v>
      </c>
      <c r="BK4431" s="55" t="s">
        <v>5976</v>
      </c>
      <c r="BM4431" s="192" t="s">
        <v>160</v>
      </c>
      <c r="BN4431" s="55">
        <v>3</v>
      </c>
      <c r="BO4431" s="55">
        <v>3</v>
      </c>
      <c r="BQ4431" s="55" t="s">
        <v>2077</v>
      </c>
      <c r="BV4431" s="55" t="s">
        <v>4402</v>
      </c>
      <c r="DB4431" s="65">
        <v>18.91</v>
      </c>
      <c r="DC4431" s="65">
        <v>38.06</v>
      </c>
      <c r="DD4431" s="65">
        <f>20.7-DB4431</f>
        <v>1.7899999999999991</v>
      </c>
      <c r="DE4431" s="65">
        <f>41.99-DC4431</f>
        <v>3.9299999999999997</v>
      </c>
      <c r="DF4431" s="65" t="s">
        <v>4400</v>
      </c>
      <c r="GP4431" s="292" t="s">
        <v>7494</v>
      </c>
      <c r="JW4431" s="55" t="s">
        <v>1078</v>
      </c>
    </row>
    <row r="4432" spans="1:283" x14ac:dyDescent="0.25">
      <c r="A4432" s="55">
        <v>4431</v>
      </c>
      <c r="B4432" s="12" t="s">
        <v>7067</v>
      </c>
      <c r="C4432" s="155">
        <v>193</v>
      </c>
      <c r="D4432" s="55" t="s">
        <v>4405</v>
      </c>
      <c r="E4432" s="90" t="s">
        <v>4387</v>
      </c>
      <c r="G4432" s="55" t="s">
        <v>4388</v>
      </c>
      <c r="H4432" s="55">
        <v>2016</v>
      </c>
      <c r="I4432" s="55">
        <v>2010</v>
      </c>
      <c r="J4432" s="55" t="s">
        <v>4394</v>
      </c>
      <c r="K4432" s="55" t="s">
        <v>4389</v>
      </c>
      <c r="L4432" s="55" t="s">
        <v>3377</v>
      </c>
      <c r="M4432" s="90">
        <f>35+12/60</f>
        <v>35.200000000000003</v>
      </c>
      <c r="N4432" s="90">
        <f>107+44/60</f>
        <v>107.73333333333333</v>
      </c>
      <c r="O4432" s="90">
        <v>1220</v>
      </c>
      <c r="R4432" s="55">
        <v>487.3</v>
      </c>
      <c r="S4432" s="90">
        <v>589</v>
      </c>
      <c r="U4432" s="55" t="s">
        <v>1805</v>
      </c>
      <c r="V4432" s="55" t="s">
        <v>1682</v>
      </c>
      <c r="Y4432" s="55" t="s">
        <v>4390</v>
      </c>
      <c r="Z4432" s="55" t="s">
        <v>1350</v>
      </c>
      <c r="AA4432" s="90" t="s">
        <v>1675</v>
      </c>
      <c r="AH4432" s="55" t="s">
        <v>6378</v>
      </c>
      <c r="AI4432" s="168">
        <v>8.11</v>
      </c>
      <c r="AJ4432" s="90">
        <v>1.2</v>
      </c>
      <c r="AN4432" s="185" t="s">
        <v>4393</v>
      </c>
      <c r="AO4432" s="185" t="s">
        <v>5150</v>
      </c>
      <c r="AQ4432" s="55" t="s">
        <v>553</v>
      </c>
      <c r="AR4432" s="55" t="s">
        <v>116</v>
      </c>
      <c r="AS4432" s="55" t="s">
        <v>116</v>
      </c>
      <c r="AU4432" s="181" t="s">
        <v>7494</v>
      </c>
      <c r="AV4432" s="185" t="s">
        <v>176</v>
      </c>
      <c r="AX4432" s="185" t="s">
        <v>176</v>
      </c>
      <c r="BK4432" s="55" t="s">
        <v>5976</v>
      </c>
      <c r="BM4432" s="192" t="s">
        <v>160</v>
      </c>
      <c r="BN4432" s="55">
        <v>3</v>
      </c>
      <c r="BO4432" s="55">
        <v>3</v>
      </c>
      <c r="BQ4432" s="55" t="s">
        <v>2077</v>
      </c>
      <c r="BV4432" s="55" t="s">
        <v>4402</v>
      </c>
      <c r="DB4432" s="65">
        <v>12.2</v>
      </c>
      <c r="DC4432" s="65">
        <v>24.15</v>
      </c>
      <c r="DD4432" s="65">
        <f>14.65-DB4432</f>
        <v>2.4500000000000011</v>
      </c>
      <c r="DE4432" s="65">
        <f>27.59-DC4432</f>
        <v>3.4400000000000013</v>
      </c>
      <c r="DF4432" s="65" t="s">
        <v>4400</v>
      </c>
      <c r="GP4432" s="292" t="s">
        <v>7494</v>
      </c>
      <c r="JW4432" s="55" t="s">
        <v>1078</v>
      </c>
    </row>
    <row r="4433" spans="1:283" x14ac:dyDescent="0.25">
      <c r="A4433" s="55">
        <v>4432</v>
      </c>
      <c r="B4433" s="12" t="s">
        <v>7067</v>
      </c>
      <c r="C4433" s="155">
        <v>193</v>
      </c>
      <c r="D4433" s="55" t="s">
        <v>4406</v>
      </c>
      <c r="E4433" s="90" t="s">
        <v>4387</v>
      </c>
      <c r="G4433" s="55" t="s">
        <v>4388</v>
      </c>
      <c r="H4433" s="55">
        <v>2016</v>
      </c>
      <c r="I4433" s="55">
        <v>2010</v>
      </c>
      <c r="J4433" s="55" t="s">
        <v>4394</v>
      </c>
      <c r="K4433" s="55" t="s">
        <v>4389</v>
      </c>
      <c r="L4433" s="55" t="s">
        <v>3377</v>
      </c>
      <c r="M4433" s="90">
        <f>35+12/60</f>
        <v>35.200000000000003</v>
      </c>
      <c r="N4433" s="90">
        <f>107+44/60</f>
        <v>107.73333333333333</v>
      </c>
      <c r="O4433" s="90">
        <v>1220</v>
      </c>
      <c r="R4433" s="55">
        <v>487.3</v>
      </c>
      <c r="S4433" s="90">
        <v>589</v>
      </c>
      <c r="U4433" s="55" t="s">
        <v>1805</v>
      </c>
      <c r="V4433" s="55" t="s">
        <v>1682</v>
      </c>
      <c r="Y4433" s="55" t="s">
        <v>4390</v>
      </c>
      <c r="Z4433" s="55" t="s">
        <v>1351</v>
      </c>
      <c r="AA4433" s="90" t="s">
        <v>1675</v>
      </c>
      <c r="AH4433" s="55" t="s">
        <v>6378</v>
      </c>
      <c r="AI4433" s="168">
        <v>8.11</v>
      </c>
      <c r="AJ4433" s="90">
        <v>1.2</v>
      </c>
      <c r="AN4433" s="185" t="s">
        <v>4393</v>
      </c>
      <c r="AO4433" s="185" t="s">
        <v>5150</v>
      </c>
      <c r="AQ4433" s="55" t="s">
        <v>553</v>
      </c>
      <c r="AR4433" s="55" t="s">
        <v>116</v>
      </c>
      <c r="AS4433" s="55" t="s">
        <v>116</v>
      </c>
      <c r="AU4433" s="181" t="s">
        <v>7494</v>
      </c>
      <c r="AV4433" s="185" t="s">
        <v>176</v>
      </c>
      <c r="AX4433" s="185" t="s">
        <v>176</v>
      </c>
      <c r="BK4433" s="55" t="s">
        <v>5976</v>
      </c>
      <c r="BM4433" s="192" t="s">
        <v>160</v>
      </c>
      <c r="BN4433" s="55">
        <v>3</v>
      </c>
      <c r="BO4433" s="55">
        <v>3</v>
      </c>
      <c r="BQ4433" s="55" t="s">
        <v>2077</v>
      </c>
      <c r="BV4433" s="55" t="s">
        <v>4402</v>
      </c>
      <c r="DB4433" s="65">
        <v>10.89</v>
      </c>
      <c r="DC4433" s="65">
        <v>12.36</v>
      </c>
      <c r="DD4433" s="65">
        <f>14-DB4433</f>
        <v>3.1099999999999994</v>
      </c>
      <c r="DE4433" s="65">
        <f>14.16-DC4433</f>
        <v>1.8000000000000007</v>
      </c>
      <c r="DF4433" s="65" t="s">
        <v>4400</v>
      </c>
      <c r="GP4433" s="292" t="s">
        <v>7494</v>
      </c>
      <c r="JW4433" s="55" t="s">
        <v>1078</v>
      </c>
    </row>
    <row r="4434" spans="1:283" x14ac:dyDescent="0.25">
      <c r="A4434" s="55">
        <v>4433</v>
      </c>
      <c r="B4434" s="12" t="s">
        <v>7067</v>
      </c>
      <c r="C4434" s="155">
        <v>193</v>
      </c>
      <c r="D4434" s="55" t="s">
        <v>4407</v>
      </c>
      <c r="E4434" s="90" t="s">
        <v>4387</v>
      </c>
      <c r="G4434" s="55" t="s">
        <v>4388</v>
      </c>
      <c r="H4434" s="55">
        <v>2016</v>
      </c>
      <c r="I4434" s="55">
        <v>2010</v>
      </c>
      <c r="J4434" s="55" t="s">
        <v>4394</v>
      </c>
      <c r="K4434" s="55" t="s">
        <v>4389</v>
      </c>
      <c r="L4434" s="55" t="s">
        <v>3377</v>
      </c>
      <c r="M4434" s="90">
        <f>35+12/60</f>
        <v>35.200000000000003</v>
      </c>
      <c r="N4434" s="90">
        <f>107+44/60</f>
        <v>107.73333333333333</v>
      </c>
      <c r="O4434" s="90">
        <v>1220</v>
      </c>
      <c r="R4434" s="55">
        <v>487.3</v>
      </c>
      <c r="S4434" s="90">
        <v>589</v>
      </c>
      <c r="U4434" s="55" t="s">
        <v>1805</v>
      </c>
      <c r="V4434" s="55" t="s">
        <v>1682</v>
      </c>
      <c r="Y4434" s="55" t="s">
        <v>4390</v>
      </c>
      <c r="Z4434" s="55" t="s">
        <v>1352</v>
      </c>
      <c r="AA4434" s="90" t="s">
        <v>1675</v>
      </c>
      <c r="AH4434" s="55" t="s">
        <v>6378</v>
      </c>
      <c r="AI4434" s="168">
        <v>8.11</v>
      </c>
      <c r="AJ4434" s="90">
        <v>1.2</v>
      </c>
      <c r="AN4434" s="185" t="s">
        <v>4393</v>
      </c>
      <c r="AO4434" s="185" t="s">
        <v>5150</v>
      </c>
      <c r="AQ4434" s="55" t="s">
        <v>553</v>
      </c>
      <c r="AR4434" s="55" t="s">
        <v>116</v>
      </c>
      <c r="AS4434" s="55" t="s">
        <v>116</v>
      </c>
      <c r="AU4434" s="181" t="s">
        <v>7494</v>
      </c>
      <c r="AV4434" s="185" t="s">
        <v>176</v>
      </c>
      <c r="AX4434" s="185" t="s">
        <v>176</v>
      </c>
      <c r="BK4434" s="55" t="s">
        <v>5976</v>
      </c>
      <c r="BM4434" s="192" t="s">
        <v>160</v>
      </c>
      <c r="BN4434" s="55">
        <v>3</v>
      </c>
      <c r="BO4434" s="55">
        <v>3</v>
      </c>
      <c r="BQ4434" s="55" t="s">
        <v>2077</v>
      </c>
      <c r="BV4434" s="55" t="s">
        <v>4402</v>
      </c>
      <c r="DB4434" s="65">
        <v>13.34</v>
      </c>
      <c r="DC4434" s="65">
        <v>17.93</v>
      </c>
      <c r="DD4434" s="65">
        <f>16.62-DB4434</f>
        <v>3.2800000000000011</v>
      </c>
      <c r="DE4434" s="65">
        <f>19.56-DC4434</f>
        <v>1.629999999999999</v>
      </c>
      <c r="DF4434" s="65" t="s">
        <v>4400</v>
      </c>
      <c r="GP4434" s="292" t="s">
        <v>7494</v>
      </c>
      <c r="JW4434" s="55" t="s">
        <v>1078</v>
      </c>
    </row>
    <row r="4435" spans="1:283" x14ac:dyDescent="0.25">
      <c r="A4435" s="55">
        <v>4434</v>
      </c>
      <c r="B4435" s="12" t="s">
        <v>7067</v>
      </c>
      <c r="C4435" s="155">
        <v>193</v>
      </c>
      <c r="D4435" s="55" t="s">
        <v>4408</v>
      </c>
      <c r="E4435" s="90" t="s">
        <v>4387</v>
      </c>
      <c r="G4435" s="55" t="s">
        <v>4388</v>
      </c>
      <c r="H4435" s="55">
        <v>2016</v>
      </c>
      <c r="I4435" s="55">
        <v>2010</v>
      </c>
      <c r="J4435" s="55" t="s">
        <v>4394</v>
      </c>
      <c r="K4435" s="55" t="s">
        <v>4389</v>
      </c>
      <c r="L4435" s="55" t="s">
        <v>3377</v>
      </c>
      <c r="M4435" s="90">
        <f>35+12/60</f>
        <v>35.200000000000003</v>
      </c>
      <c r="N4435" s="90">
        <f>107+44/60</f>
        <v>107.73333333333333</v>
      </c>
      <c r="O4435" s="90">
        <v>1220</v>
      </c>
      <c r="R4435" s="55">
        <v>487.3</v>
      </c>
      <c r="S4435" s="90">
        <v>589</v>
      </c>
      <c r="U4435" s="55" t="s">
        <v>1805</v>
      </c>
      <c r="V4435" s="55" t="s">
        <v>1682</v>
      </c>
      <c r="Y4435" s="55" t="s">
        <v>4390</v>
      </c>
      <c r="Z4435" s="55" t="s">
        <v>1353</v>
      </c>
      <c r="AA4435" s="90" t="s">
        <v>1675</v>
      </c>
      <c r="AH4435" s="55" t="s">
        <v>6378</v>
      </c>
      <c r="AI4435" s="168">
        <v>8.11</v>
      </c>
      <c r="AJ4435" s="90">
        <v>1.2</v>
      </c>
      <c r="AN4435" s="185" t="s">
        <v>4393</v>
      </c>
      <c r="AO4435" s="185" t="s">
        <v>5150</v>
      </c>
      <c r="AQ4435" s="55" t="s">
        <v>553</v>
      </c>
      <c r="AR4435" s="55" t="s">
        <v>116</v>
      </c>
      <c r="AS4435" s="55" t="s">
        <v>116</v>
      </c>
      <c r="AU4435" s="181" t="s">
        <v>7494</v>
      </c>
      <c r="AV4435" s="185" t="s">
        <v>176</v>
      </c>
      <c r="AX4435" s="185" t="s">
        <v>176</v>
      </c>
      <c r="BK4435" s="55" t="s">
        <v>5976</v>
      </c>
      <c r="BM4435" s="192" t="s">
        <v>160</v>
      </c>
      <c r="BN4435" s="55">
        <v>3</v>
      </c>
      <c r="BO4435" s="55">
        <v>3</v>
      </c>
      <c r="BQ4435" s="55" t="s">
        <v>2077</v>
      </c>
      <c r="BV4435" s="55" t="s">
        <v>4402</v>
      </c>
      <c r="DB4435" s="65">
        <v>15.31</v>
      </c>
      <c r="DC4435" s="65">
        <v>23.82</v>
      </c>
      <c r="DD4435" s="65">
        <f>17.93-DB4435</f>
        <v>2.6199999999999992</v>
      </c>
      <c r="DE4435" s="65">
        <f>26.11-DC4435</f>
        <v>2.2899999999999991</v>
      </c>
      <c r="DF4435" s="65" t="s">
        <v>4400</v>
      </c>
      <c r="GP4435" s="292" t="s">
        <v>7494</v>
      </c>
      <c r="JW4435" s="55" t="s">
        <v>1078</v>
      </c>
    </row>
    <row r="4436" spans="1:283" x14ac:dyDescent="0.25">
      <c r="A4436" s="55">
        <v>4435</v>
      </c>
      <c r="B4436" s="12" t="s">
        <v>7067</v>
      </c>
      <c r="C4436" s="155">
        <v>193</v>
      </c>
      <c r="D4436" s="55" t="s">
        <v>4409</v>
      </c>
      <c r="E4436" s="90" t="s">
        <v>4387</v>
      </c>
      <c r="G4436" s="55" t="s">
        <v>4388</v>
      </c>
      <c r="H4436" s="55">
        <v>2016</v>
      </c>
      <c r="I4436" s="55">
        <v>2010</v>
      </c>
      <c r="J4436" s="55" t="s">
        <v>4394</v>
      </c>
      <c r="K4436" s="55" t="s">
        <v>4389</v>
      </c>
      <c r="L4436" s="55" t="s">
        <v>3377</v>
      </c>
      <c r="M4436" s="90">
        <f>35+12/60</f>
        <v>35.200000000000003</v>
      </c>
      <c r="N4436" s="90">
        <f>107+44/60</f>
        <v>107.73333333333333</v>
      </c>
      <c r="O4436" s="90">
        <v>1220</v>
      </c>
      <c r="R4436" s="55">
        <v>487.3</v>
      </c>
      <c r="S4436" s="90">
        <v>589</v>
      </c>
      <c r="U4436" s="55" t="s">
        <v>1805</v>
      </c>
      <c r="V4436" s="55" t="s">
        <v>1682</v>
      </c>
      <c r="Y4436" s="55" t="s">
        <v>4390</v>
      </c>
      <c r="Z4436" s="55" t="s">
        <v>4399</v>
      </c>
      <c r="AA4436" s="90" t="s">
        <v>1675</v>
      </c>
      <c r="AH4436" s="55" t="s">
        <v>6378</v>
      </c>
      <c r="AI4436" s="168">
        <v>8.11</v>
      </c>
      <c r="AJ4436" s="90">
        <v>1.2</v>
      </c>
      <c r="AN4436" s="185" t="s">
        <v>4393</v>
      </c>
      <c r="AO4436" s="185" t="s">
        <v>5150</v>
      </c>
      <c r="AQ4436" s="55" t="s">
        <v>553</v>
      </c>
      <c r="AR4436" s="55" t="s">
        <v>116</v>
      </c>
      <c r="AS4436" s="55" t="s">
        <v>116</v>
      </c>
      <c r="AU4436" s="181" t="s">
        <v>7494</v>
      </c>
      <c r="AV4436" s="185" t="s">
        <v>176</v>
      </c>
      <c r="AX4436" s="185" t="s">
        <v>176</v>
      </c>
      <c r="BK4436" s="55" t="s">
        <v>5976</v>
      </c>
      <c r="BM4436" s="192" t="s">
        <v>160</v>
      </c>
      <c r="BN4436" s="55">
        <v>3</v>
      </c>
      <c r="BO4436" s="55">
        <v>3</v>
      </c>
      <c r="BQ4436" s="55" t="s">
        <v>2077</v>
      </c>
      <c r="BV4436" s="55" t="s">
        <v>4402</v>
      </c>
      <c r="DB4436" s="65">
        <v>13.34</v>
      </c>
      <c r="DC4436" s="65">
        <v>17.760000000000002</v>
      </c>
      <c r="DD4436" s="65">
        <f>16.13-DB4436</f>
        <v>2.7899999999999991</v>
      </c>
      <c r="DE4436" s="65">
        <f>18.91-DC4436</f>
        <v>1.1499999999999986</v>
      </c>
      <c r="DF4436" s="65" t="s">
        <v>4400</v>
      </c>
      <c r="GP4436" s="292" t="s">
        <v>7494</v>
      </c>
      <c r="JW4436" s="55" t="s">
        <v>1078</v>
      </c>
    </row>
    <row r="4437" spans="1:283" x14ac:dyDescent="0.25">
      <c r="A4437" s="55">
        <v>4436</v>
      </c>
      <c r="B4437" s="12" t="s">
        <v>7067</v>
      </c>
      <c r="C4437" s="155">
        <v>193</v>
      </c>
      <c r="D4437" s="55" t="s">
        <v>4410</v>
      </c>
      <c r="E4437" s="90" t="s">
        <v>4387</v>
      </c>
      <c r="G4437" s="55" t="s">
        <v>4388</v>
      </c>
      <c r="H4437" s="55">
        <v>2016</v>
      </c>
      <c r="I4437" s="55">
        <v>2010</v>
      </c>
      <c r="J4437" s="55" t="s">
        <v>4394</v>
      </c>
      <c r="K4437" s="55" t="s">
        <v>4389</v>
      </c>
      <c r="L4437" s="55" t="s">
        <v>3377</v>
      </c>
      <c r="M4437" s="90">
        <f>35+12/60</f>
        <v>35.200000000000003</v>
      </c>
      <c r="N4437" s="90">
        <f>107+44/60</f>
        <v>107.73333333333333</v>
      </c>
      <c r="O4437" s="90">
        <v>1220</v>
      </c>
      <c r="R4437" s="55">
        <v>487.3</v>
      </c>
      <c r="S4437" s="90">
        <v>589</v>
      </c>
      <c r="U4437" s="55" t="s">
        <v>1805</v>
      </c>
      <c r="V4437" s="55" t="s">
        <v>1682</v>
      </c>
      <c r="Y4437" s="55" t="s">
        <v>4390</v>
      </c>
      <c r="Z4437" s="55" t="s">
        <v>4395</v>
      </c>
      <c r="AA4437" s="90" t="s">
        <v>1675</v>
      </c>
      <c r="AH4437" s="55" t="s">
        <v>6378</v>
      </c>
      <c r="AI4437" s="168">
        <v>8.11</v>
      </c>
      <c r="AJ4437" s="90">
        <v>1.2</v>
      </c>
      <c r="AN4437" s="185" t="s">
        <v>4393</v>
      </c>
      <c r="AO4437" s="185" t="s">
        <v>5150</v>
      </c>
      <c r="AQ4437" s="55" t="s">
        <v>553</v>
      </c>
      <c r="AR4437" s="55" t="s">
        <v>116</v>
      </c>
      <c r="AS4437" s="55" t="s">
        <v>116</v>
      </c>
      <c r="AU4437" s="181" t="s">
        <v>7494</v>
      </c>
      <c r="AV4437" s="185" t="s">
        <v>176</v>
      </c>
      <c r="AX4437" s="185" t="s">
        <v>176</v>
      </c>
      <c r="BK4437" s="55" t="s">
        <v>5976</v>
      </c>
      <c r="BM4437" s="192" t="s">
        <v>160</v>
      </c>
      <c r="BN4437" s="55">
        <v>3</v>
      </c>
      <c r="BO4437" s="55">
        <v>3</v>
      </c>
      <c r="BQ4437" s="55" t="s">
        <v>2077</v>
      </c>
      <c r="BV4437" s="55" t="s">
        <v>4402</v>
      </c>
      <c r="DB4437" s="65">
        <v>21.69</v>
      </c>
      <c r="DC4437" s="65">
        <v>15.31</v>
      </c>
      <c r="DD4437" s="65">
        <f>25.46-DB4437</f>
        <v>3.7699999999999996</v>
      </c>
      <c r="DE4437" s="65">
        <f>17.76-DC4437</f>
        <v>2.4500000000000011</v>
      </c>
      <c r="DF4437" s="65" t="s">
        <v>4400</v>
      </c>
      <c r="GP4437" s="292" t="s">
        <v>7494</v>
      </c>
      <c r="JW4437" s="55" t="s">
        <v>1078</v>
      </c>
    </row>
    <row r="4438" spans="1:283" x14ac:dyDescent="0.25">
      <c r="A4438" s="55">
        <v>4437</v>
      </c>
      <c r="B4438" s="12" t="s">
        <v>7067</v>
      </c>
      <c r="C4438" s="155">
        <v>193</v>
      </c>
      <c r="D4438" s="55" t="s">
        <v>4411</v>
      </c>
      <c r="E4438" s="90" t="s">
        <v>4387</v>
      </c>
      <c r="G4438" s="55" t="s">
        <v>4388</v>
      </c>
      <c r="H4438" s="55">
        <v>2016</v>
      </c>
      <c r="I4438" s="55">
        <v>2010</v>
      </c>
      <c r="J4438" s="55" t="s">
        <v>4394</v>
      </c>
      <c r="K4438" s="55" t="s">
        <v>4389</v>
      </c>
      <c r="L4438" s="55" t="s">
        <v>3377</v>
      </c>
      <c r="M4438" s="90">
        <f>35+12/60</f>
        <v>35.200000000000003</v>
      </c>
      <c r="N4438" s="90">
        <f>107+44/60</f>
        <v>107.73333333333333</v>
      </c>
      <c r="O4438" s="90">
        <v>1220</v>
      </c>
      <c r="R4438" s="55">
        <v>487.3</v>
      </c>
      <c r="S4438" s="90">
        <v>589</v>
      </c>
      <c r="U4438" s="55" t="s">
        <v>1805</v>
      </c>
      <c r="V4438" s="55" t="s">
        <v>1682</v>
      </c>
      <c r="Y4438" s="55" t="s">
        <v>4390</v>
      </c>
      <c r="Z4438" s="55" t="s">
        <v>4396</v>
      </c>
      <c r="AA4438" s="90" t="s">
        <v>1675</v>
      </c>
      <c r="AH4438" s="55" t="s">
        <v>6378</v>
      </c>
      <c r="AI4438" s="168">
        <v>8.11</v>
      </c>
      <c r="AJ4438" s="90">
        <v>1.2</v>
      </c>
      <c r="AN4438" s="185" t="s">
        <v>4393</v>
      </c>
      <c r="AO4438" s="185" t="s">
        <v>5150</v>
      </c>
      <c r="AQ4438" s="55" t="s">
        <v>553</v>
      </c>
      <c r="AR4438" s="55" t="s">
        <v>116</v>
      </c>
      <c r="AS4438" s="55" t="s">
        <v>116</v>
      </c>
      <c r="AU4438" s="181" t="s">
        <v>7494</v>
      </c>
      <c r="AV4438" s="185" t="s">
        <v>176</v>
      </c>
      <c r="AX4438" s="185" t="s">
        <v>176</v>
      </c>
      <c r="BK4438" s="55" t="s">
        <v>5976</v>
      </c>
      <c r="BM4438" s="192" t="s">
        <v>160</v>
      </c>
      <c r="BN4438" s="55">
        <v>3</v>
      </c>
      <c r="BO4438" s="55">
        <v>3</v>
      </c>
      <c r="BQ4438" s="55" t="s">
        <v>2077</v>
      </c>
      <c r="BV4438" s="55" t="s">
        <v>4402</v>
      </c>
      <c r="DB4438" s="65">
        <v>25.62</v>
      </c>
      <c r="DC4438" s="65">
        <v>13.67</v>
      </c>
      <c r="DD4438" s="65">
        <f>30.37-DB4438</f>
        <v>4.75</v>
      </c>
      <c r="DE4438" s="65">
        <f>15.8-DC4438</f>
        <v>2.1300000000000008</v>
      </c>
      <c r="DF4438" s="65" t="s">
        <v>4400</v>
      </c>
      <c r="GP4438" s="292" t="s">
        <v>7494</v>
      </c>
      <c r="JW4438" s="55" t="s">
        <v>1078</v>
      </c>
    </row>
    <row r="4439" spans="1:283" x14ac:dyDescent="0.25">
      <c r="A4439" s="55">
        <v>4438</v>
      </c>
      <c r="B4439" s="12" t="s">
        <v>7067</v>
      </c>
      <c r="C4439" s="155">
        <v>193</v>
      </c>
      <c r="D4439" s="55" t="s">
        <v>4412</v>
      </c>
      <c r="E4439" s="90" t="s">
        <v>4387</v>
      </c>
      <c r="G4439" s="55" t="s">
        <v>4388</v>
      </c>
      <c r="H4439" s="55">
        <v>2016</v>
      </c>
      <c r="I4439" s="55">
        <v>2010</v>
      </c>
      <c r="J4439" s="55" t="s">
        <v>4394</v>
      </c>
      <c r="K4439" s="55" t="s">
        <v>4389</v>
      </c>
      <c r="L4439" s="55" t="s">
        <v>3377</v>
      </c>
      <c r="M4439" s="90">
        <f>35+12/60</f>
        <v>35.200000000000003</v>
      </c>
      <c r="N4439" s="90">
        <f>107+44/60</f>
        <v>107.73333333333333</v>
      </c>
      <c r="O4439" s="90">
        <v>1220</v>
      </c>
      <c r="R4439" s="55">
        <v>487.3</v>
      </c>
      <c r="S4439" s="90">
        <v>589</v>
      </c>
      <c r="U4439" s="55" t="s">
        <v>1805</v>
      </c>
      <c r="V4439" s="55" t="s">
        <v>1682</v>
      </c>
      <c r="Y4439" s="55" t="s">
        <v>4390</v>
      </c>
      <c r="Z4439" s="55" t="s">
        <v>4397</v>
      </c>
      <c r="AA4439" s="90" t="s">
        <v>1675</v>
      </c>
      <c r="AH4439" s="55" t="s">
        <v>6378</v>
      </c>
      <c r="AI4439" s="168">
        <v>8.11</v>
      </c>
      <c r="AJ4439" s="90">
        <v>1.2</v>
      </c>
      <c r="AN4439" s="185" t="s">
        <v>4393</v>
      </c>
      <c r="AO4439" s="185" t="s">
        <v>5150</v>
      </c>
      <c r="AQ4439" s="55" t="s">
        <v>553</v>
      </c>
      <c r="AR4439" s="55" t="s">
        <v>116</v>
      </c>
      <c r="AS4439" s="55" t="s">
        <v>116</v>
      </c>
      <c r="AU4439" s="181" t="s">
        <v>7494</v>
      </c>
      <c r="AV4439" s="185" t="s">
        <v>176</v>
      </c>
      <c r="AX4439" s="185" t="s">
        <v>176</v>
      </c>
      <c r="BK4439" s="55" t="s">
        <v>5976</v>
      </c>
      <c r="BM4439" s="192" t="s">
        <v>160</v>
      </c>
      <c r="BN4439" s="55">
        <v>3</v>
      </c>
      <c r="BO4439" s="55">
        <v>3</v>
      </c>
      <c r="BQ4439" s="55" t="s">
        <v>2077</v>
      </c>
      <c r="BV4439" s="55" t="s">
        <v>4402</v>
      </c>
      <c r="DB4439" s="65">
        <v>25.13</v>
      </c>
      <c r="DC4439" s="65">
        <v>18.09</v>
      </c>
      <c r="DD4439" s="65">
        <f>29.39-DB4439</f>
        <v>4.2600000000000016</v>
      </c>
      <c r="DE4439" s="65">
        <f>22.84-DC4439</f>
        <v>4.75</v>
      </c>
      <c r="DF4439" s="65" t="s">
        <v>4400</v>
      </c>
      <c r="GP4439" s="292" t="s">
        <v>7494</v>
      </c>
      <c r="JW4439" s="55" t="s">
        <v>1078</v>
      </c>
    </row>
    <row r="4440" spans="1:283" x14ac:dyDescent="0.25">
      <c r="A4440" s="55">
        <v>4439</v>
      </c>
      <c r="B4440" s="12" t="s">
        <v>7067</v>
      </c>
      <c r="C4440" s="155">
        <v>193</v>
      </c>
      <c r="D4440" s="55" t="s">
        <v>4413</v>
      </c>
      <c r="E4440" s="90" t="s">
        <v>4387</v>
      </c>
      <c r="G4440" s="55" t="s">
        <v>4388</v>
      </c>
      <c r="H4440" s="55">
        <v>2016</v>
      </c>
      <c r="I4440" s="55">
        <v>2010</v>
      </c>
      <c r="J4440" s="55" t="s">
        <v>4394</v>
      </c>
      <c r="K4440" s="55" t="s">
        <v>4389</v>
      </c>
      <c r="L4440" s="55" t="s">
        <v>3377</v>
      </c>
      <c r="M4440" s="90">
        <f>35+12/60</f>
        <v>35.200000000000003</v>
      </c>
      <c r="N4440" s="90">
        <f>107+44/60</f>
        <v>107.73333333333333</v>
      </c>
      <c r="O4440" s="90">
        <v>1220</v>
      </c>
      <c r="R4440" s="55">
        <v>487.3</v>
      </c>
      <c r="S4440" s="90">
        <v>589</v>
      </c>
      <c r="U4440" s="55" t="s">
        <v>1805</v>
      </c>
      <c r="V4440" s="55" t="s">
        <v>1682</v>
      </c>
      <c r="Y4440" s="55" t="s">
        <v>4390</v>
      </c>
      <c r="Z4440" s="55" t="s">
        <v>4398</v>
      </c>
      <c r="AA4440" s="90" t="s">
        <v>1675</v>
      </c>
      <c r="AH4440" s="55" t="s">
        <v>6378</v>
      </c>
      <c r="AI4440" s="168">
        <v>8.11</v>
      </c>
      <c r="AJ4440" s="90">
        <v>1.2</v>
      </c>
      <c r="AN4440" s="185" t="s">
        <v>4393</v>
      </c>
      <c r="AO4440" s="185" t="s">
        <v>5150</v>
      </c>
      <c r="AQ4440" s="55" t="s">
        <v>553</v>
      </c>
      <c r="AR4440" s="55" t="s">
        <v>116</v>
      </c>
      <c r="AS4440" s="55" t="s">
        <v>116</v>
      </c>
      <c r="AU4440" s="181" t="s">
        <v>7494</v>
      </c>
      <c r="AV4440" s="185" t="s">
        <v>176</v>
      </c>
      <c r="AX4440" s="185" t="s">
        <v>176</v>
      </c>
      <c r="BK4440" s="55" t="s">
        <v>5976</v>
      </c>
      <c r="BM4440" s="192" t="s">
        <v>160</v>
      </c>
      <c r="BN4440" s="55">
        <v>3</v>
      </c>
      <c r="BO4440" s="55">
        <v>3</v>
      </c>
      <c r="BQ4440" s="55" t="s">
        <v>2077</v>
      </c>
      <c r="BV4440" s="55" t="s">
        <v>4402</v>
      </c>
      <c r="DB4440" s="65">
        <v>32.17</v>
      </c>
      <c r="DC4440" s="65">
        <v>17.93</v>
      </c>
      <c r="DD4440" s="65">
        <f>36.26-DB4440</f>
        <v>4.0899999999999963</v>
      </c>
      <c r="DE4440" s="65">
        <f>20.71-DC4440</f>
        <v>2.7800000000000011</v>
      </c>
      <c r="DF4440" s="65" t="s">
        <v>4400</v>
      </c>
      <c r="GP4440" s="292" t="s">
        <v>7494</v>
      </c>
      <c r="JW4440" s="55" t="s">
        <v>1078</v>
      </c>
    </row>
    <row r="4441" spans="1:283" x14ac:dyDescent="0.25">
      <c r="A4441" s="55">
        <v>4440</v>
      </c>
      <c r="B4441" s="12" t="s">
        <v>7067</v>
      </c>
      <c r="C4441" s="155">
        <v>193</v>
      </c>
      <c r="D4441" s="55" t="s">
        <v>4404</v>
      </c>
      <c r="E4441" s="90" t="s">
        <v>4387</v>
      </c>
      <c r="G4441" s="55" t="s">
        <v>4388</v>
      </c>
      <c r="H4441" s="55">
        <v>2016</v>
      </c>
      <c r="I4441" s="55">
        <v>2010</v>
      </c>
      <c r="J4441" s="55" t="s">
        <v>4394</v>
      </c>
      <c r="K4441" s="55" t="s">
        <v>4389</v>
      </c>
      <c r="L4441" s="55" t="s">
        <v>3377</v>
      </c>
      <c r="M4441" s="90">
        <f>35+12/60</f>
        <v>35.200000000000003</v>
      </c>
      <c r="N4441" s="90">
        <f>107+44/60</f>
        <v>107.73333333333333</v>
      </c>
      <c r="O4441" s="90">
        <v>1220</v>
      </c>
      <c r="R4441" s="55">
        <v>487.3</v>
      </c>
      <c r="S4441" s="90">
        <v>589</v>
      </c>
      <c r="U4441" s="55" t="s">
        <v>1805</v>
      </c>
      <c r="V4441" s="55" t="s">
        <v>1682</v>
      </c>
      <c r="Y4441" s="55" t="s">
        <v>4390</v>
      </c>
      <c r="Z4441" s="55" t="s">
        <v>1346</v>
      </c>
      <c r="AA4441" s="90" t="s">
        <v>1675</v>
      </c>
      <c r="AH4441" s="55" t="s">
        <v>6378</v>
      </c>
      <c r="AI4441" s="168">
        <v>8.11</v>
      </c>
      <c r="AJ4441" s="90">
        <v>1.2</v>
      </c>
      <c r="AN4441" s="185" t="s">
        <v>4392</v>
      </c>
      <c r="AO4441" s="185" t="s">
        <v>5150</v>
      </c>
      <c r="AQ4441" s="55" t="s">
        <v>553</v>
      </c>
      <c r="AR4441" s="55" t="s">
        <v>116</v>
      </c>
      <c r="AS4441" s="55" t="s">
        <v>116</v>
      </c>
      <c r="AU4441" s="181" t="s">
        <v>7494</v>
      </c>
      <c r="AV4441" s="185" t="s">
        <v>176</v>
      </c>
      <c r="AX4441" s="185" t="s">
        <v>176</v>
      </c>
      <c r="BK4441" s="55" t="s">
        <v>5976</v>
      </c>
      <c r="BM4441" s="192" t="s">
        <v>160</v>
      </c>
      <c r="BN4441" s="55">
        <v>3</v>
      </c>
      <c r="BO4441" s="55">
        <v>3</v>
      </c>
      <c r="BQ4441" s="55" t="s">
        <v>2077</v>
      </c>
      <c r="BV4441" s="55" t="s">
        <v>4403</v>
      </c>
      <c r="DB4441" s="65">
        <v>18.87</v>
      </c>
      <c r="DC4441" s="65">
        <v>28.02</v>
      </c>
      <c r="DD4441" s="65">
        <f>20.83-DB4441</f>
        <v>1.9599999999999973</v>
      </c>
      <c r="DE4441" s="65">
        <f>30.62-DC4441</f>
        <v>2.6000000000000014</v>
      </c>
      <c r="DF4441" s="65" t="s">
        <v>4400</v>
      </c>
      <c r="GP4441" s="292" t="s">
        <v>7494</v>
      </c>
      <c r="JW4441" s="55" t="s">
        <v>1078</v>
      </c>
    </row>
    <row r="4442" spans="1:283" x14ac:dyDescent="0.25">
      <c r="A4442" s="55">
        <v>4441</v>
      </c>
      <c r="B4442" s="12" t="s">
        <v>7067</v>
      </c>
      <c r="C4442" s="155">
        <v>193</v>
      </c>
      <c r="D4442" s="55" t="s">
        <v>4405</v>
      </c>
      <c r="E4442" s="90" t="s">
        <v>4387</v>
      </c>
      <c r="G4442" s="55" t="s">
        <v>4388</v>
      </c>
      <c r="H4442" s="55">
        <v>2016</v>
      </c>
      <c r="I4442" s="55">
        <v>2010</v>
      </c>
      <c r="J4442" s="55" t="s">
        <v>4394</v>
      </c>
      <c r="K4442" s="55" t="s">
        <v>4389</v>
      </c>
      <c r="L4442" s="55" t="s">
        <v>3377</v>
      </c>
      <c r="M4442" s="90">
        <f>35+12/60</f>
        <v>35.200000000000003</v>
      </c>
      <c r="N4442" s="90">
        <f>107+44/60</f>
        <v>107.73333333333333</v>
      </c>
      <c r="O4442" s="90">
        <v>1220</v>
      </c>
      <c r="R4442" s="55">
        <v>487.3</v>
      </c>
      <c r="S4442" s="90">
        <v>589</v>
      </c>
      <c r="U4442" s="55" t="s">
        <v>1805</v>
      </c>
      <c r="V4442" s="55" t="s">
        <v>1682</v>
      </c>
      <c r="Y4442" s="55" t="s">
        <v>4390</v>
      </c>
      <c r="Z4442" s="55" t="s">
        <v>1350</v>
      </c>
      <c r="AA4442" s="90" t="s">
        <v>1675</v>
      </c>
      <c r="AH4442" s="55" t="s">
        <v>6378</v>
      </c>
      <c r="AI4442" s="168">
        <v>8.11</v>
      </c>
      <c r="AJ4442" s="90">
        <v>1.2</v>
      </c>
      <c r="AN4442" s="185" t="s">
        <v>4392</v>
      </c>
      <c r="AO4442" s="185" t="s">
        <v>5150</v>
      </c>
      <c r="AQ4442" s="55" t="s">
        <v>553</v>
      </c>
      <c r="AR4442" s="55" t="s">
        <v>116</v>
      </c>
      <c r="AS4442" s="55" t="s">
        <v>116</v>
      </c>
      <c r="AU4442" s="181" t="s">
        <v>7494</v>
      </c>
      <c r="AV4442" s="185" t="s">
        <v>176</v>
      </c>
      <c r="AX4442" s="185" t="s">
        <v>176</v>
      </c>
      <c r="BK4442" s="55" t="s">
        <v>5976</v>
      </c>
      <c r="BM4442" s="192" t="s">
        <v>160</v>
      </c>
      <c r="BN4442" s="55">
        <v>3</v>
      </c>
      <c r="BO4442" s="55">
        <v>3</v>
      </c>
      <c r="BQ4442" s="55" t="s">
        <v>2077</v>
      </c>
      <c r="BV4442" s="55" t="s">
        <v>4403</v>
      </c>
      <c r="DB4442" s="65">
        <v>14.81</v>
      </c>
      <c r="DC4442" s="65">
        <v>20.69</v>
      </c>
      <c r="DD4442" s="65">
        <v>2</v>
      </c>
      <c r="DE4442" s="65">
        <f>24.6-DC4442</f>
        <v>3.91</v>
      </c>
      <c r="DF4442" s="65" t="s">
        <v>4400</v>
      </c>
      <c r="GP4442" s="292" t="s">
        <v>7494</v>
      </c>
      <c r="JW4442" s="55" t="s">
        <v>1078</v>
      </c>
    </row>
    <row r="4443" spans="1:283" x14ac:dyDescent="0.25">
      <c r="A4443" s="55">
        <v>4442</v>
      </c>
      <c r="B4443" s="12" t="s">
        <v>7067</v>
      </c>
      <c r="C4443" s="155">
        <v>193</v>
      </c>
      <c r="D4443" s="55" t="s">
        <v>4406</v>
      </c>
      <c r="E4443" s="90" t="s">
        <v>4387</v>
      </c>
      <c r="G4443" s="55" t="s">
        <v>4388</v>
      </c>
      <c r="H4443" s="55">
        <v>2016</v>
      </c>
      <c r="I4443" s="55">
        <v>2010</v>
      </c>
      <c r="J4443" s="55" t="s">
        <v>4394</v>
      </c>
      <c r="K4443" s="55" t="s">
        <v>4389</v>
      </c>
      <c r="L4443" s="55" t="s">
        <v>3377</v>
      </c>
      <c r="M4443" s="90">
        <f>35+12/60</f>
        <v>35.200000000000003</v>
      </c>
      <c r="N4443" s="90">
        <f>107+44/60</f>
        <v>107.73333333333333</v>
      </c>
      <c r="O4443" s="90">
        <v>1220</v>
      </c>
      <c r="R4443" s="55">
        <v>487.3</v>
      </c>
      <c r="S4443" s="90">
        <v>589</v>
      </c>
      <c r="U4443" s="55" t="s">
        <v>1805</v>
      </c>
      <c r="V4443" s="55" t="s">
        <v>1682</v>
      </c>
      <c r="Y4443" s="55" t="s">
        <v>4390</v>
      </c>
      <c r="Z4443" s="55" t="s">
        <v>1351</v>
      </c>
      <c r="AA4443" s="90" t="s">
        <v>1675</v>
      </c>
      <c r="AH4443" s="55" t="s">
        <v>6378</v>
      </c>
      <c r="AI4443" s="168">
        <v>8.11</v>
      </c>
      <c r="AJ4443" s="90">
        <v>1.2</v>
      </c>
      <c r="AN4443" s="185" t="s">
        <v>4392</v>
      </c>
      <c r="AO4443" s="185" t="s">
        <v>5150</v>
      </c>
      <c r="AQ4443" s="55" t="s">
        <v>553</v>
      </c>
      <c r="AR4443" s="55" t="s">
        <v>116</v>
      </c>
      <c r="AS4443" s="55" t="s">
        <v>116</v>
      </c>
      <c r="AU4443" s="181" t="s">
        <v>7494</v>
      </c>
      <c r="AV4443" s="185" t="s">
        <v>176</v>
      </c>
      <c r="AX4443" s="185" t="s">
        <v>176</v>
      </c>
      <c r="BK4443" s="55" t="s">
        <v>5976</v>
      </c>
      <c r="BM4443" s="192" t="s">
        <v>160</v>
      </c>
      <c r="BN4443" s="55">
        <v>3</v>
      </c>
      <c r="BO4443" s="55">
        <v>3</v>
      </c>
      <c r="BQ4443" s="55" t="s">
        <v>2077</v>
      </c>
      <c r="BV4443" s="55" t="s">
        <v>4403</v>
      </c>
      <c r="DB4443" s="65">
        <v>9.76</v>
      </c>
      <c r="DC4443" s="65">
        <v>12.05</v>
      </c>
      <c r="DD4443" s="65">
        <v>2</v>
      </c>
      <c r="DE4443" s="65">
        <f>14.99-DC4443</f>
        <v>2.9399999999999995</v>
      </c>
      <c r="DF4443" s="65" t="s">
        <v>4400</v>
      </c>
      <c r="GP4443" s="292" t="s">
        <v>7494</v>
      </c>
      <c r="JW4443" s="55" t="s">
        <v>1078</v>
      </c>
    </row>
    <row r="4444" spans="1:283" x14ac:dyDescent="0.25">
      <c r="A4444" s="55">
        <v>4443</v>
      </c>
      <c r="B4444" s="12" t="s">
        <v>7067</v>
      </c>
      <c r="C4444" s="155">
        <v>193</v>
      </c>
      <c r="D4444" s="55" t="s">
        <v>4407</v>
      </c>
      <c r="E4444" s="90" t="s">
        <v>4387</v>
      </c>
      <c r="G4444" s="55" t="s">
        <v>4388</v>
      </c>
      <c r="H4444" s="55">
        <v>2016</v>
      </c>
      <c r="I4444" s="55">
        <v>2010</v>
      </c>
      <c r="J4444" s="55" t="s">
        <v>4394</v>
      </c>
      <c r="K4444" s="55" t="s">
        <v>4389</v>
      </c>
      <c r="L4444" s="55" t="s">
        <v>3377</v>
      </c>
      <c r="M4444" s="90">
        <f>35+12/60</f>
        <v>35.200000000000003</v>
      </c>
      <c r="N4444" s="90">
        <f>107+44/60</f>
        <v>107.73333333333333</v>
      </c>
      <c r="O4444" s="90">
        <v>1220</v>
      </c>
      <c r="R4444" s="55">
        <v>487.3</v>
      </c>
      <c r="S4444" s="90">
        <v>589</v>
      </c>
      <c r="U4444" s="55" t="s">
        <v>1805</v>
      </c>
      <c r="V4444" s="55" t="s">
        <v>1682</v>
      </c>
      <c r="Y4444" s="55" t="s">
        <v>4390</v>
      </c>
      <c r="Z4444" s="55" t="s">
        <v>1352</v>
      </c>
      <c r="AA4444" s="90" t="s">
        <v>1675</v>
      </c>
      <c r="AH4444" s="55" t="s">
        <v>6378</v>
      </c>
      <c r="AI4444" s="168">
        <v>8.11</v>
      </c>
      <c r="AJ4444" s="90">
        <v>1.2</v>
      </c>
      <c r="AN4444" s="185" t="s">
        <v>4392</v>
      </c>
      <c r="AO4444" s="185" t="s">
        <v>5150</v>
      </c>
      <c r="AQ4444" s="55" t="s">
        <v>553</v>
      </c>
      <c r="AR4444" s="55" t="s">
        <v>116</v>
      </c>
      <c r="AS4444" s="55" t="s">
        <v>116</v>
      </c>
      <c r="AU4444" s="181" t="s">
        <v>7494</v>
      </c>
      <c r="AV4444" s="185" t="s">
        <v>176</v>
      </c>
      <c r="AX4444" s="185" t="s">
        <v>176</v>
      </c>
      <c r="BK4444" s="55" t="s">
        <v>5976</v>
      </c>
      <c r="BM4444" s="192" t="s">
        <v>160</v>
      </c>
      <c r="BN4444" s="55">
        <v>3</v>
      </c>
      <c r="BO4444" s="55">
        <v>3</v>
      </c>
      <c r="BQ4444" s="55" t="s">
        <v>2077</v>
      </c>
      <c r="BV4444" s="55" t="s">
        <v>4403</v>
      </c>
      <c r="DB4444" s="65">
        <v>10.59</v>
      </c>
      <c r="DC4444" s="65">
        <v>16.47</v>
      </c>
      <c r="DD4444" s="65">
        <v>2</v>
      </c>
      <c r="DE4444" s="65">
        <f>19.9-DC4444</f>
        <v>3.4299999999999997</v>
      </c>
      <c r="DF4444" s="65" t="s">
        <v>4400</v>
      </c>
      <c r="GP4444" s="292" t="s">
        <v>7494</v>
      </c>
      <c r="JW4444" s="55" t="s">
        <v>1078</v>
      </c>
    </row>
    <row r="4445" spans="1:283" x14ac:dyDescent="0.25">
      <c r="A4445" s="55">
        <v>4444</v>
      </c>
      <c r="B4445" s="12" t="s">
        <v>7067</v>
      </c>
      <c r="C4445" s="155">
        <v>193</v>
      </c>
      <c r="D4445" s="55" t="s">
        <v>4408</v>
      </c>
      <c r="E4445" s="90" t="s">
        <v>4387</v>
      </c>
      <c r="G4445" s="55" t="s">
        <v>4388</v>
      </c>
      <c r="H4445" s="55">
        <v>2016</v>
      </c>
      <c r="I4445" s="55">
        <v>2010</v>
      </c>
      <c r="J4445" s="55" t="s">
        <v>4394</v>
      </c>
      <c r="K4445" s="55" t="s">
        <v>4389</v>
      </c>
      <c r="L4445" s="55" t="s">
        <v>3377</v>
      </c>
      <c r="M4445" s="90">
        <f>35+12/60</f>
        <v>35.200000000000003</v>
      </c>
      <c r="N4445" s="90">
        <f>107+44/60</f>
        <v>107.73333333333333</v>
      </c>
      <c r="O4445" s="90">
        <v>1220</v>
      </c>
      <c r="R4445" s="55">
        <v>487.3</v>
      </c>
      <c r="S4445" s="90">
        <v>589</v>
      </c>
      <c r="U4445" s="55" t="s">
        <v>1805</v>
      </c>
      <c r="V4445" s="55" t="s">
        <v>1682</v>
      </c>
      <c r="Y4445" s="55" t="s">
        <v>4390</v>
      </c>
      <c r="Z4445" s="55" t="s">
        <v>1353</v>
      </c>
      <c r="AA4445" s="90" t="s">
        <v>1675</v>
      </c>
      <c r="AH4445" s="55" t="s">
        <v>6378</v>
      </c>
      <c r="AI4445" s="168">
        <v>8.11</v>
      </c>
      <c r="AJ4445" s="90">
        <v>1.2</v>
      </c>
      <c r="AN4445" s="185" t="s">
        <v>4392</v>
      </c>
      <c r="AO4445" s="185" t="s">
        <v>5150</v>
      </c>
      <c r="AQ4445" s="55" t="s">
        <v>553</v>
      </c>
      <c r="AR4445" s="55" t="s">
        <v>116</v>
      </c>
      <c r="AS4445" s="55" t="s">
        <v>116</v>
      </c>
      <c r="AU4445" s="181" t="s">
        <v>7494</v>
      </c>
      <c r="AV4445" s="185" t="s">
        <v>176</v>
      </c>
      <c r="AX4445" s="185" t="s">
        <v>176</v>
      </c>
      <c r="BK4445" s="55" t="s">
        <v>5976</v>
      </c>
      <c r="BM4445" s="192" t="s">
        <v>160</v>
      </c>
      <c r="BN4445" s="55">
        <v>3</v>
      </c>
      <c r="BO4445" s="55">
        <v>3</v>
      </c>
      <c r="BQ4445" s="55" t="s">
        <v>2077</v>
      </c>
      <c r="BV4445" s="55" t="s">
        <v>4403</v>
      </c>
      <c r="DB4445" s="65">
        <v>12.9</v>
      </c>
      <c r="DC4445" s="65">
        <v>18.78</v>
      </c>
      <c r="DD4445" s="65">
        <v>2</v>
      </c>
      <c r="DE4445" s="65">
        <f>22.86-DC4445</f>
        <v>4.0799999999999983</v>
      </c>
      <c r="DF4445" s="65" t="s">
        <v>4400</v>
      </c>
      <c r="GP4445" s="292" t="s">
        <v>7494</v>
      </c>
      <c r="JW4445" s="55" t="s">
        <v>1078</v>
      </c>
    </row>
    <row r="4446" spans="1:283" x14ac:dyDescent="0.25">
      <c r="A4446" s="55">
        <v>4445</v>
      </c>
      <c r="B4446" s="12" t="s">
        <v>7067</v>
      </c>
      <c r="C4446" s="155">
        <v>193</v>
      </c>
      <c r="D4446" s="55" t="s">
        <v>4409</v>
      </c>
      <c r="E4446" s="90" t="s">
        <v>4387</v>
      </c>
      <c r="G4446" s="55" t="s">
        <v>4388</v>
      </c>
      <c r="H4446" s="55">
        <v>2016</v>
      </c>
      <c r="I4446" s="55">
        <v>2010</v>
      </c>
      <c r="J4446" s="55" t="s">
        <v>4394</v>
      </c>
      <c r="K4446" s="55" t="s">
        <v>4389</v>
      </c>
      <c r="L4446" s="55" t="s">
        <v>3377</v>
      </c>
      <c r="M4446" s="90">
        <f>35+12/60</f>
        <v>35.200000000000003</v>
      </c>
      <c r="N4446" s="90">
        <f>107+44/60</f>
        <v>107.73333333333333</v>
      </c>
      <c r="O4446" s="90">
        <v>1220</v>
      </c>
      <c r="R4446" s="55">
        <v>487.3</v>
      </c>
      <c r="S4446" s="90">
        <v>589</v>
      </c>
      <c r="U4446" s="55" t="s">
        <v>1805</v>
      </c>
      <c r="V4446" s="55" t="s">
        <v>1682</v>
      </c>
      <c r="Y4446" s="55" t="s">
        <v>4390</v>
      </c>
      <c r="Z4446" s="55" t="s">
        <v>4399</v>
      </c>
      <c r="AA4446" s="90" t="s">
        <v>1675</v>
      </c>
      <c r="AH4446" s="55" t="s">
        <v>6378</v>
      </c>
      <c r="AI4446" s="168">
        <v>8.11</v>
      </c>
      <c r="AJ4446" s="90">
        <v>1.2</v>
      </c>
      <c r="AN4446" s="185" t="s">
        <v>4392</v>
      </c>
      <c r="AO4446" s="185" t="s">
        <v>5150</v>
      </c>
      <c r="AQ4446" s="55" t="s">
        <v>553</v>
      </c>
      <c r="AR4446" s="55" t="s">
        <v>116</v>
      </c>
      <c r="AS4446" s="55" t="s">
        <v>116</v>
      </c>
      <c r="AU4446" s="181" t="s">
        <v>7494</v>
      </c>
      <c r="AV4446" s="185" t="s">
        <v>176</v>
      </c>
      <c r="AX4446" s="185" t="s">
        <v>176</v>
      </c>
      <c r="BK4446" s="55" t="s">
        <v>5976</v>
      </c>
      <c r="BM4446" s="192" t="s">
        <v>160</v>
      </c>
      <c r="BN4446" s="55">
        <v>3</v>
      </c>
      <c r="BO4446" s="55">
        <v>3</v>
      </c>
      <c r="BQ4446" s="55" t="s">
        <v>2077</v>
      </c>
      <c r="BV4446" s="55" t="s">
        <v>4403</v>
      </c>
      <c r="DB4446" s="65">
        <v>13.89</v>
      </c>
      <c r="DC4446" s="65">
        <v>16.510000000000002</v>
      </c>
      <c r="DD4446" s="65">
        <v>2</v>
      </c>
      <c r="DE4446" s="65">
        <f>18.95-DC4446</f>
        <v>2.4399999999999977</v>
      </c>
      <c r="DF4446" s="65" t="s">
        <v>4400</v>
      </c>
      <c r="GP4446" s="292" t="s">
        <v>7494</v>
      </c>
      <c r="JW4446" s="55" t="s">
        <v>1078</v>
      </c>
    </row>
    <row r="4447" spans="1:283" x14ac:dyDescent="0.25">
      <c r="A4447" s="55">
        <v>4446</v>
      </c>
      <c r="B4447" s="12" t="s">
        <v>7067</v>
      </c>
      <c r="C4447" s="155">
        <v>193</v>
      </c>
      <c r="D4447" s="55" t="s">
        <v>4410</v>
      </c>
      <c r="E4447" s="90" t="s">
        <v>4387</v>
      </c>
      <c r="G4447" s="55" t="s">
        <v>4388</v>
      </c>
      <c r="H4447" s="55">
        <v>2016</v>
      </c>
      <c r="I4447" s="55">
        <v>2010</v>
      </c>
      <c r="J4447" s="55" t="s">
        <v>4394</v>
      </c>
      <c r="K4447" s="55" t="s">
        <v>4389</v>
      </c>
      <c r="L4447" s="55" t="s">
        <v>3377</v>
      </c>
      <c r="M4447" s="90">
        <f>35+12/60</f>
        <v>35.200000000000003</v>
      </c>
      <c r="N4447" s="90">
        <f>107+44/60</f>
        <v>107.73333333333333</v>
      </c>
      <c r="O4447" s="90">
        <v>1220</v>
      </c>
      <c r="R4447" s="55">
        <v>487.3</v>
      </c>
      <c r="S4447" s="90">
        <v>589</v>
      </c>
      <c r="U4447" s="55" t="s">
        <v>1805</v>
      </c>
      <c r="V4447" s="55" t="s">
        <v>1682</v>
      </c>
      <c r="Y4447" s="55" t="s">
        <v>4390</v>
      </c>
      <c r="Z4447" s="55" t="s">
        <v>4395</v>
      </c>
      <c r="AA4447" s="90" t="s">
        <v>1675</v>
      </c>
      <c r="AH4447" s="55" t="s">
        <v>6378</v>
      </c>
      <c r="AI4447" s="168">
        <v>8.11</v>
      </c>
      <c r="AJ4447" s="90">
        <v>1.2</v>
      </c>
      <c r="AN4447" s="185" t="s">
        <v>4392</v>
      </c>
      <c r="AO4447" s="185" t="s">
        <v>5150</v>
      </c>
      <c r="AQ4447" s="55" t="s">
        <v>553</v>
      </c>
      <c r="AR4447" s="55" t="s">
        <v>116</v>
      </c>
      <c r="AS4447" s="55" t="s">
        <v>116</v>
      </c>
      <c r="AU4447" s="181" t="s">
        <v>7494</v>
      </c>
      <c r="AV4447" s="185" t="s">
        <v>176</v>
      </c>
      <c r="AX4447" s="185" t="s">
        <v>176</v>
      </c>
      <c r="BK4447" s="55" t="s">
        <v>5976</v>
      </c>
      <c r="BM4447" s="192" t="s">
        <v>160</v>
      </c>
      <c r="BN4447" s="55">
        <v>3</v>
      </c>
      <c r="BO4447" s="55">
        <v>3</v>
      </c>
      <c r="BQ4447" s="55" t="s">
        <v>2077</v>
      </c>
      <c r="BV4447" s="55" t="s">
        <v>4403</v>
      </c>
      <c r="DB4447" s="65">
        <v>12.93</v>
      </c>
      <c r="DC4447" s="65">
        <v>15.87</v>
      </c>
      <c r="DD4447" s="65">
        <v>2</v>
      </c>
      <c r="DE4447" s="65">
        <f>18.32-DC4447</f>
        <v>2.4500000000000011</v>
      </c>
      <c r="DF4447" s="65" t="s">
        <v>4400</v>
      </c>
      <c r="GP4447" s="292" t="s">
        <v>7494</v>
      </c>
      <c r="JW4447" s="55" t="s">
        <v>1078</v>
      </c>
    </row>
    <row r="4448" spans="1:283" x14ac:dyDescent="0.25">
      <c r="A4448" s="55">
        <v>4447</v>
      </c>
      <c r="B4448" s="12" t="s">
        <v>7067</v>
      </c>
      <c r="C4448" s="155">
        <v>193</v>
      </c>
      <c r="D4448" s="55" t="s">
        <v>4411</v>
      </c>
      <c r="E4448" s="90" t="s">
        <v>4387</v>
      </c>
      <c r="G4448" s="55" t="s">
        <v>4388</v>
      </c>
      <c r="H4448" s="55">
        <v>2016</v>
      </c>
      <c r="I4448" s="55">
        <v>2010</v>
      </c>
      <c r="J4448" s="55" t="s">
        <v>4394</v>
      </c>
      <c r="K4448" s="55" t="s">
        <v>4389</v>
      </c>
      <c r="L4448" s="55" t="s">
        <v>3377</v>
      </c>
      <c r="M4448" s="90">
        <f>35+12/60</f>
        <v>35.200000000000003</v>
      </c>
      <c r="N4448" s="90">
        <f>107+44/60</f>
        <v>107.73333333333333</v>
      </c>
      <c r="O4448" s="90">
        <v>1220</v>
      </c>
      <c r="R4448" s="55">
        <v>487.3</v>
      </c>
      <c r="S4448" s="90">
        <v>589</v>
      </c>
      <c r="U4448" s="55" t="s">
        <v>1805</v>
      </c>
      <c r="V4448" s="55" t="s">
        <v>1682</v>
      </c>
      <c r="Y4448" s="55" t="s">
        <v>4390</v>
      </c>
      <c r="Z4448" s="55" t="s">
        <v>4396</v>
      </c>
      <c r="AA4448" s="90" t="s">
        <v>1675</v>
      </c>
      <c r="AH4448" s="55" t="s">
        <v>6378</v>
      </c>
      <c r="AI4448" s="168">
        <v>8.11</v>
      </c>
      <c r="AJ4448" s="90">
        <v>1.2</v>
      </c>
      <c r="AN4448" s="185" t="s">
        <v>4392</v>
      </c>
      <c r="AO4448" s="185" t="s">
        <v>5150</v>
      </c>
      <c r="AQ4448" s="55" t="s">
        <v>553</v>
      </c>
      <c r="AR4448" s="55" t="s">
        <v>116</v>
      </c>
      <c r="AS4448" s="55" t="s">
        <v>116</v>
      </c>
      <c r="AU4448" s="181" t="s">
        <v>7494</v>
      </c>
      <c r="AV4448" s="185" t="s">
        <v>176</v>
      </c>
      <c r="AX4448" s="185" t="s">
        <v>176</v>
      </c>
      <c r="BK4448" s="55" t="s">
        <v>5976</v>
      </c>
      <c r="BM4448" s="192" t="s">
        <v>160</v>
      </c>
      <c r="BN4448" s="55">
        <v>3</v>
      </c>
      <c r="BO4448" s="55">
        <v>3</v>
      </c>
      <c r="BQ4448" s="55" t="s">
        <v>2077</v>
      </c>
      <c r="BV4448" s="55" t="s">
        <v>4403</v>
      </c>
      <c r="DB4448" s="65">
        <v>14.74</v>
      </c>
      <c r="DC4448" s="65">
        <v>18.170000000000002</v>
      </c>
      <c r="DD4448" s="65">
        <v>2</v>
      </c>
      <c r="DE4448" s="65">
        <f>21.44-DC4448</f>
        <v>3.2699999999999996</v>
      </c>
      <c r="DF4448" s="65" t="s">
        <v>4400</v>
      </c>
      <c r="GP4448" s="292" t="s">
        <v>7494</v>
      </c>
      <c r="JW4448" s="55" t="s">
        <v>1078</v>
      </c>
    </row>
    <row r="4449" spans="1:283" x14ac:dyDescent="0.25">
      <c r="A4449" s="55">
        <v>4448</v>
      </c>
      <c r="B4449" s="12" t="s">
        <v>7067</v>
      </c>
      <c r="C4449" s="155">
        <v>193</v>
      </c>
      <c r="D4449" s="55" t="s">
        <v>4412</v>
      </c>
      <c r="E4449" s="90" t="s">
        <v>4387</v>
      </c>
      <c r="G4449" s="55" t="s">
        <v>4388</v>
      </c>
      <c r="H4449" s="55">
        <v>2016</v>
      </c>
      <c r="I4449" s="55">
        <v>2010</v>
      </c>
      <c r="J4449" s="55" t="s">
        <v>4394</v>
      </c>
      <c r="K4449" s="55" t="s">
        <v>4389</v>
      </c>
      <c r="L4449" s="55" t="s">
        <v>3377</v>
      </c>
      <c r="M4449" s="90">
        <f>35+12/60</f>
        <v>35.200000000000003</v>
      </c>
      <c r="N4449" s="90">
        <f>107+44/60</f>
        <v>107.73333333333333</v>
      </c>
      <c r="O4449" s="90">
        <v>1220</v>
      </c>
      <c r="R4449" s="55">
        <v>487.3</v>
      </c>
      <c r="S4449" s="90">
        <v>589</v>
      </c>
      <c r="U4449" s="55" t="s">
        <v>1805</v>
      </c>
      <c r="V4449" s="55" t="s">
        <v>1682</v>
      </c>
      <c r="Y4449" s="55" t="s">
        <v>4390</v>
      </c>
      <c r="Z4449" s="55" t="s">
        <v>4397</v>
      </c>
      <c r="AA4449" s="90" t="s">
        <v>1675</v>
      </c>
      <c r="AH4449" s="55" t="s">
        <v>6378</v>
      </c>
      <c r="AI4449" s="168">
        <v>8.11</v>
      </c>
      <c r="AJ4449" s="90">
        <v>1.2</v>
      </c>
      <c r="AN4449" s="185" t="s">
        <v>4392</v>
      </c>
      <c r="AO4449" s="185" t="s">
        <v>5150</v>
      </c>
      <c r="AQ4449" s="55" t="s">
        <v>553</v>
      </c>
      <c r="AR4449" s="55" t="s">
        <v>116</v>
      </c>
      <c r="AS4449" s="55" t="s">
        <v>116</v>
      </c>
      <c r="AU4449" s="181" t="s">
        <v>7494</v>
      </c>
      <c r="AV4449" s="185" t="s">
        <v>176</v>
      </c>
      <c r="AX4449" s="185" t="s">
        <v>176</v>
      </c>
      <c r="BK4449" s="55" t="s">
        <v>5976</v>
      </c>
      <c r="BM4449" s="192" t="s">
        <v>160</v>
      </c>
      <c r="BN4449" s="55">
        <v>3</v>
      </c>
      <c r="BO4449" s="55">
        <v>3</v>
      </c>
      <c r="BQ4449" s="55" t="s">
        <v>2077</v>
      </c>
      <c r="BV4449" s="55" t="s">
        <v>4403</v>
      </c>
      <c r="DB4449" s="65">
        <v>14.43</v>
      </c>
      <c r="DC4449" s="65">
        <v>20.47</v>
      </c>
      <c r="DD4449" s="65">
        <v>2</v>
      </c>
      <c r="DE4449" s="65">
        <f>24.06-DC4449</f>
        <v>3.59</v>
      </c>
      <c r="DF4449" s="65" t="s">
        <v>4400</v>
      </c>
      <c r="GP4449" s="292" t="s">
        <v>7494</v>
      </c>
      <c r="JW4449" s="55" t="s">
        <v>1078</v>
      </c>
    </row>
    <row r="4450" spans="1:283" x14ac:dyDescent="0.25">
      <c r="A4450" s="55">
        <v>4449</v>
      </c>
      <c r="B4450" s="12" t="s">
        <v>7067</v>
      </c>
      <c r="C4450" s="155">
        <v>193</v>
      </c>
      <c r="D4450" s="55" t="s">
        <v>4413</v>
      </c>
      <c r="E4450" s="90" t="s">
        <v>4387</v>
      </c>
      <c r="G4450" s="55" t="s">
        <v>4388</v>
      </c>
      <c r="H4450" s="55">
        <v>2016</v>
      </c>
      <c r="I4450" s="55">
        <v>2010</v>
      </c>
      <c r="J4450" s="55" t="s">
        <v>4394</v>
      </c>
      <c r="K4450" s="55" t="s">
        <v>4389</v>
      </c>
      <c r="L4450" s="55" t="s">
        <v>3377</v>
      </c>
      <c r="M4450" s="90">
        <f>35+12/60</f>
        <v>35.200000000000003</v>
      </c>
      <c r="N4450" s="90">
        <f>107+44/60</f>
        <v>107.73333333333333</v>
      </c>
      <c r="O4450" s="90">
        <v>1220</v>
      </c>
      <c r="R4450" s="55">
        <v>487.3</v>
      </c>
      <c r="S4450" s="90">
        <v>589</v>
      </c>
      <c r="U4450" s="55" t="s">
        <v>1805</v>
      </c>
      <c r="V4450" s="55" t="s">
        <v>1682</v>
      </c>
      <c r="Y4450" s="55" t="s">
        <v>4390</v>
      </c>
      <c r="Z4450" s="55" t="s">
        <v>4398</v>
      </c>
      <c r="AA4450" s="90" t="s">
        <v>1675</v>
      </c>
      <c r="AH4450" s="55" t="s">
        <v>6378</v>
      </c>
      <c r="AI4450" s="168">
        <v>8.11</v>
      </c>
      <c r="AJ4450" s="90">
        <v>1.2</v>
      </c>
      <c r="AN4450" s="185" t="s">
        <v>4392</v>
      </c>
      <c r="AO4450" s="185" t="s">
        <v>5150</v>
      </c>
      <c r="AQ4450" s="55" t="s">
        <v>553</v>
      </c>
      <c r="AR4450" s="55" t="s">
        <v>116</v>
      </c>
      <c r="AS4450" s="55" t="s">
        <v>116</v>
      </c>
      <c r="AU4450" s="181" t="s">
        <v>7494</v>
      </c>
      <c r="AV4450" s="185" t="s">
        <v>176</v>
      </c>
      <c r="AX4450" s="185" t="s">
        <v>176</v>
      </c>
      <c r="BK4450" s="55" t="s">
        <v>5976</v>
      </c>
      <c r="BM4450" s="192" t="s">
        <v>160</v>
      </c>
      <c r="BN4450" s="55">
        <v>3</v>
      </c>
      <c r="BO4450" s="55">
        <v>3</v>
      </c>
      <c r="BQ4450" s="55" t="s">
        <v>2077</v>
      </c>
      <c r="BV4450" s="55" t="s">
        <v>4403</v>
      </c>
      <c r="DB4450" s="65">
        <v>15.75</v>
      </c>
      <c r="DC4450" s="65">
        <v>27.67</v>
      </c>
      <c r="DD4450" s="65">
        <v>2</v>
      </c>
      <c r="DE4450" s="65">
        <f>31.1-DC4450</f>
        <v>3.4299999999999997</v>
      </c>
      <c r="DF4450" s="65" t="s">
        <v>4400</v>
      </c>
      <c r="GP4450" s="292" t="s">
        <v>7494</v>
      </c>
      <c r="JW4450" s="55" t="s">
        <v>1078</v>
      </c>
    </row>
    <row r="4451" spans="1:283" x14ac:dyDescent="0.25">
      <c r="A4451" s="55">
        <v>4450</v>
      </c>
      <c r="B4451" s="12" t="s">
        <v>7067</v>
      </c>
      <c r="C4451" s="155">
        <v>193</v>
      </c>
      <c r="D4451" s="55" t="s">
        <v>4404</v>
      </c>
      <c r="E4451" s="90" t="s">
        <v>4387</v>
      </c>
      <c r="G4451" s="55" t="s">
        <v>4388</v>
      </c>
      <c r="H4451" s="55">
        <v>2016</v>
      </c>
      <c r="I4451" s="55">
        <v>2010</v>
      </c>
      <c r="J4451" s="55" t="s">
        <v>4394</v>
      </c>
      <c r="K4451" s="55" t="s">
        <v>4389</v>
      </c>
      <c r="L4451" s="55" t="s">
        <v>3377</v>
      </c>
      <c r="M4451" s="90">
        <f>35+12/60</f>
        <v>35.200000000000003</v>
      </c>
      <c r="N4451" s="90">
        <f>107+44/60</f>
        <v>107.73333333333333</v>
      </c>
      <c r="O4451" s="90">
        <v>1220</v>
      </c>
      <c r="R4451" s="55">
        <v>487.3</v>
      </c>
      <c r="S4451" s="90">
        <v>589</v>
      </c>
      <c r="U4451" s="55" t="s">
        <v>1805</v>
      </c>
      <c r="V4451" s="55" t="s">
        <v>1682</v>
      </c>
      <c r="Y4451" s="55" t="s">
        <v>4390</v>
      </c>
      <c r="Z4451" s="55" t="s">
        <v>1346</v>
      </c>
      <c r="AA4451" s="90" t="s">
        <v>1675</v>
      </c>
      <c r="AH4451" s="55" t="s">
        <v>6378</v>
      </c>
      <c r="AI4451" s="168">
        <v>8.11</v>
      </c>
      <c r="AJ4451" s="90">
        <v>1.2</v>
      </c>
      <c r="AN4451" s="185" t="s">
        <v>158</v>
      </c>
      <c r="AO4451" s="185" t="s">
        <v>5150</v>
      </c>
      <c r="AQ4451" s="55" t="s">
        <v>553</v>
      </c>
      <c r="AR4451" s="55" t="s">
        <v>116</v>
      </c>
      <c r="AS4451" s="55" t="s">
        <v>116</v>
      </c>
      <c r="AU4451" s="181" t="s">
        <v>7494</v>
      </c>
      <c r="AV4451" s="185" t="s">
        <v>176</v>
      </c>
      <c r="AX4451" s="185" t="s">
        <v>176</v>
      </c>
      <c r="BK4451" s="55" t="s">
        <v>5976</v>
      </c>
      <c r="BM4451" s="192" t="s">
        <v>160</v>
      </c>
      <c r="BN4451" s="55">
        <v>3</v>
      </c>
      <c r="BO4451" s="55">
        <v>3</v>
      </c>
      <c r="BQ4451" s="55" t="s">
        <v>2077</v>
      </c>
      <c r="BV4451" s="55" t="s">
        <v>4403</v>
      </c>
      <c r="DB4451" s="65">
        <v>18.87</v>
      </c>
      <c r="DC4451" s="65">
        <v>26.55</v>
      </c>
      <c r="DD4451" s="65">
        <v>1.9599999999999973</v>
      </c>
      <c r="DE4451" s="65">
        <f>29-DC4451</f>
        <v>2.4499999999999993</v>
      </c>
      <c r="DF4451" s="65" t="s">
        <v>4400</v>
      </c>
      <c r="GP4451" s="292" t="s">
        <v>7494</v>
      </c>
      <c r="JW4451" s="55" t="s">
        <v>1078</v>
      </c>
    </row>
    <row r="4452" spans="1:283" x14ac:dyDescent="0.25">
      <c r="A4452" s="55">
        <v>4451</v>
      </c>
      <c r="B4452" s="12" t="s">
        <v>7067</v>
      </c>
      <c r="C4452" s="155">
        <v>193</v>
      </c>
      <c r="D4452" s="55" t="s">
        <v>4405</v>
      </c>
      <c r="E4452" s="90" t="s">
        <v>4387</v>
      </c>
      <c r="G4452" s="55" t="s">
        <v>4388</v>
      </c>
      <c r="H4452" s="55">
        <v>2016</v>
      </c>
      <c r="I4452" s="55">
        <v>2010</v>
      </c>
      <c r="J4452" s="55" t="s">
        <v>4394</v>
      </c>
      <c r="K4452" s="55" t="s">
        <v>4389</v>
      </c>
      <c r="L4452" s="55" t="s">
        <v>3377</v>
      </c>
      <c r="M4452" s="90">
        <f>35+12/60</f>
        <v>35.200000000000003</v>
      </c>
      <c r="N4452" s="90">
        <f>107+44/60</f>
        <v>107.73333333333333</v>
      </c>
      <c r="O4452" s="90">
        <v>1220</v>
      </c>
      <c r="R4452" s="55">
        <v>487.3</v>
      </c>
      <c r="S4452" s="90">
        <v>589</v>
      </c>
      <c r="U4452" s="55" t="s">
        <v>1805</v>
      </c>
      <c r="V4452" s="55" t="s">
        <v>1682</v>
      </c>
      <c r="Y4452" s="55" t="s">
        <v>4390</v>
      </c>
      <c r="Z4452" s="55" t="s">
        <v>1350</v>
      </c>
      <c r="AA4452" s="90" t="s">
        <v>1675</v>
      </c>
      <c r="AH4452" s="55" t="s">
        <v>6378</v>
      </c>
      <c r="AI4452" s="168">
        <v>8.11</v>
      </c>
      <c r="AJ4452" s="90">
        <v>1.2</v>
      </c>
      <c r="AN4452" s="185" t="s">
        <v>158</v>
      </c>
      <c r="AO4452" s="185" t="s">
        <v>5150</v>
      </c>
      <c r="AQ4452" s="55" t="s">
        <v>553</v>
      </c>
      <c r="AR4452" s="55" t="s">
        <v>116</v>
      </c>
      <c r="AS4452" s="55" t="s">
        <v>116</v>
      </c>
      <c r="AU4452" s="181" t="s">
        <v>7494</v>
      </c>
      <c r="AV4452" s="185" t="s">
        <v>176</v>
      </c>
      <c r="AX4452" s="185" t="s">
        <v>176</v>
      </c>
      <c r="BK4452" s="55" t="s">
        <v>5976</v>
      </c>
      <c r="BM4452" s="192" t="s">
        <v>160</v>
      </c>
      <c r="BN4452" s="55">
        <v>3</v>
      </c>
      <c r="BO4452" s="55">
        <v>3</v>
      </c>
      <c r="BQ4452" s="55" t="s">
        <v>2077</v>
      </c>
      <c r="BV4452" s="55" t="s">
        <v>4403</v>
      </c>
      <c r="DB4452" s="65">
        <v>14.81</v>
      </c>
      <c r="DC4452" s="65">
        <v>18.07</v>
      </c>
      <c r="DD4452" s="65">
        <v>2</v>
      </c>
      <c r="DE4452" s="65">
        <v>2.5</v>
      </c>
      <c r="DF4452" s="65" t="s">
        <v>4400</v>
      </c>
      <c r="GP4452" s="292" t="s">
        <v>7494</v>
      </c>
      <c r="JW4452" s="55" t="s">
        <v>1078</v>
      </c>
    </row>
    <row r="4453" spans="1:283" x14ac:dyDescent="0.25">
      <c r="A4453" s="55">
        <v>4452</v>
      </c>
      <c r="B4453" s="12" t="s">
        <v>7067</v>
      </c>
      <c r="C4453" s="155">
        <v>193</v>
      </c>
      <c r="D4453" s="55" t="s">
        <v>4406</v>
      </c>
      <c r="E4453" s="90" t="s">
        <v>4387</v>
      </c>
      <c r="G4453" s="55" t="s">
        <v>4388</v>
      </c>
      <c r="H4453" s="55">
        <v>2016</v>
      </c>
      <c r="I4453" s="55">
        <v>2010</v>
      </c>
      <c r="J4453" s="55" t="s">
        <v>4394</v>
      </c>
      <c r="K4453" s="55" t="s">
        <v>4389</v>
      </c>
      <c r="L4453" s="55" t="s">
        <v>3377</v>
      </c>
      <c r="M4453" s="90">
        <f>35+12/60</f>
        <v>35.200000000000003</v>
      </c>
      <c r="N4453" s="90">
        <f>107+44/60</f>
        <v>107.73333333333333</v>
      </c>
      <c r="O4453" s="90">
        <v>1220</v>
      </c>
      <c r="R4453" s="55">
        <v>487.3</v>
      </c>
      <c r="S4453" s="90">
        <v>589</v>
      </c>
      <c r="U4453" s="55" t="s">
        <v>1805</v>
      </c>
      <c r="V4453" s="55" t="s">
        <v>1682</v>
      </c>
      <c r="Y4453" s="55" t="s">
        <v>4390</v>
      </c>
      <c r="Z4453" s="55" t="s">
        <v>1351</v>
      </c>
      <c r="AA4453" s="90" t="s">
        <v>1675</v>
      </c>
      <c r="AH4453" s="55" t="s">
        <v>6378</v>
      </c>
      <c r="AI4453" s="168">
        <v>8.11</v>
      </c>
      <c r="AJ4453" s="90">
        <v>1.2</v>
      </c>
      <c r="AN4453" s="185" t="s">
        <v>158</v>
      </c>
      <c r="AO4453" s="185" t="s">
        <v>5150</v>
      </c>
      <c r="AQ4453" s="55" t="s">
        <v>553</v>
      </c>
      <c r="AR4453" s="55" t="s">
        <v>116</v>
      </c>
      <c r="AS4453" s="55" t="s">
        <v>116</v>
      </c>
      <c r="AU4453" s="181" t="s">
        <v>7494</v>
      </c>
      <c r="AV4453" s="185" t="s">
        <v>176</v>
      </c>
      <c r="AX4453" s="185" t="s">
        <v>176</v>
      </c>
      <c r="BK4453" s="55" t="s">
        <v>5976</v>
      </c>
      <c r="BM4453" s="192" t="s">
        <v>160</v>
      </c>
      <c r="BN4453" s="55">
        <v>3</v>
      </c>
      <c r="BO4453" s="55">
        <v>3</v>
      </c>
      <c r="BQ4453" s="55" t="s">
        <v>2077</v>
      </c>
      <c r="BV4453" s="55" t="s">
        <v>4403</v>
      </c>
      <c r="DB4453" s="65">
        <v>9.76</v>
      </c>
      <c r="DC4453" s="65">
        <v>9.93</v>
      </c>
      <c r="DD4453" s="65">
        <v>2</v>
      </c>
      <c r="DE4453" s="65">
        <v>2.5</v>
      </c>
      <c r="DF4453" s="65" t="s">
        <v>4400</v>
      </c>
      <c r="GP4453" s="292" t="s">
        <v>7494</v>
      </c>
      <c r="JW4453" s="55" t="s">
        <v>1078</v>
      </c>
    </row>
    <row r="4454" spans="1:283" x14ac:dyDescent="0.25">
      <c r="A4454" s="55">
        <v>4453</v>
      </c>
      <c r="B4454" s="12" t="s">
        <v>7067</v>
      </c>
      <c r="C4454" s="155">
        <v>193</v>
      </c>
      <c r="D4454" s="55" t="s">
        <v>4407</v>
      </c>
      <c r="E4454" s="90" t="s">
        <v>4387</v>
      </c>
      <c r="G4454" s="55" t="s">
        <v>4388</v>
      </c>
      <c r="H4454" s="55">
        <v>2016</v>
      </c>
      <c r="I4454" s="55">
        <v>2010</v>
      </c>
      <c r="J4454" s="55" t="s">
        <v>4394</v>
      </c>
      <c r="K4454" s="55" t="s">
        <v>4389</v>
      </c>
      <c r="L4454" s="55" t="s">
        <v>3377</v>
      </c>
      <c r="M4454" s="90">
        <f>35+12/60</f>
        <v>35.200000000000003</v>
      </c>
      <c r="N4454" s="90">
        <f>107+44/60</f>
        <v>107.73333333333333</v>
      </c>
      <c r="O4454" s="90">
        <v>1220</v>
      </c>
      <c r="R4454" s="55">
        <v>487.3</v>
      </c>
      <c r="S4454" s="90">
        <v>589</v>
      </c>
      <c r="U4454" s="55" t="s">
        <v>1805</v>
      </c>
      <c r="V4454" s="55" t="s">
        <v>1682</v>
      </c>
      <c r="Y4454" s="55" t="s">
        <v>4390</v>
      </c>
      <c r="Z4454" s="55" t="s">
        <v>1352</v>
      </c>
      <c r="AA4454" s="90" t="s">
        <v>1675</v>
      </c>
      <c r="AH4454" s="55" t="s">
        <v>6378</v>
      </c>
      <c r="AI4454" s="168">
        <v>8.11</v>
      </c>
      <c r="AJ4454" s="90">
        <v>1.2</v>
      </c>
      <c r="AN4454" s="185" t="s">
        <v>158</v>
      </c>
      <c r="AO4454" s="185" t="s">
        <v>5150</v>
      </c>
      <c r="AQ4454" s="55" t="s">
        <v>553</v>
      </c>
      <c r="AR4454" s="55" t="s">
        <v>116</v>
      </c>
      <c r="AS4454" s="55" t="s">
        <v>116</v>
      </c>
      <c r="AU4454" s="181" t="s">
        <v>7494</v>
      </c>
      <c r="AV4454" s="185" t="s">
        <v>176</v>
      </c>
      <c r="AX4454" s="185" t="s">
        <v>176</v>
      </c>
      <c r="BK4454" s="55" t="s">
        <v>5976</v>
      </c>
      <c r="BM4454" s="192" t="s">
        <v>160</v>
      </c>
      <c r="BN4454" s="55">
        <v>3</v>
      </c>
      <c r="BO4454" s="55">
        <v>3</v>
      </c>
      <c r="BQ4454" s="55" t="s">
        <v>2077</v>
      </c>
      <c r="BV4454" s="55" t="s">
        <v>4403</v>
      </c>
      <c r="DB4454" s="65">
        <v>10.59</v>
      </c>
      <c r="DC4454" s="65">
        <v>11.58</v>
      </c>
      <c r="DD4454" s="65">
        <v>2</v>
      </c>
      <c r="DE4454" s="65">
        <v>2.5</v>
      </c>
      <c r="DF4454" s="65" t="s">
        <v>4400</v>
      </c>
      <c r="GP4454" s="292" t="s">
        <v>7494</v>
      </c>
      <c r="JW4454" s="55" t="s">
        <v>1078</v>
      </c>
    </row>
    <row r="4455" spans="1:283" x14ac:dyDescent="0.25">
      <c r="A4455" s="55">
        <v>4454</v>
      </c>
      <c r="B4455" s="12" t="s">
        <v>7067</v>
      </c>
      <c r="C4455" s="155">
        <v>193</v>
      </c>
      <c r="D4455" s="55" t="s">
        <v>4408</v>
      </c>
      <c r="E4455" s="90" t="s">
        <v>4387</v>
      </c>
      <c r="G4455" s="55" t="s">
        <v>4388</v>
      </c>
      <c r="H4455" s="55">
        <v>2016</v>
      </c>
      <c r="I4455" s="55">
        <v>2010</v>
      </c>
      <c r="J4455" s="55" t="s">
        <v>4394</v>
      </c>
      <c r="K4455" s="55" t="s">
        <v>4389</v>
      </c>
      <c r="L4455" s="55" t="s">
        <v>3377</v>
      </c>
      <c r="M4455" s="90">
        <f>35+12/60</f>
        <v>35.200000000000003</v>
      </c>
      <c r="N4455" s="90">
        <f>107+44/60</f>
        <v>107.73333333333333</v>
      </c>
      <c r="O4455" s="90">
        <v>1220</v>
      </c>
      <c r="R4455" s="55">
        <v>487.3</v>
      </c>
      <c r="S4455" s="90">
        <v>589</v>
      </c>
      <c r="U4455" s="55" t="s">
        <v>1805</v>
      </c>
      <c r="V4455" s="55" t="s">
        <v>1682</v>
      </c>
      <c r="Y4455" s="55" t="s">
        <v>4390</v>
      </c>
      <c r="Z4455" s="55" t="s">
        <v>1353</v>
      </c>
      <c r="AA4455" s="90" t="s">
        <v>1675</v>
      </c>
      <c r="AH4455" s="55" t="s">
        <v>6378</v>
      </c>
      <c r="AI4455" s="168">
        <v>8.11</v>
      </c>
      <c r="AJ4455" s="90">
        <v>1.2</v>
      </c>
      <c r="AN4455" s="185" t="s">
        <v>158</v>
      </c>
      <c r="AO4455" s="185" t="s">
        <v>5150</v>
      </c>
      <c r="AQ4455" s="55" t="s">
        <v>553</v>
      </c>
      <c r="AR4455" s="55" t="s">
        <v>116</v>
      </c>
      <c r="AS4455" s="55" t="s">
        <v>116</v>
      </c>
      <c r="AU4455" s="181" t="s">
        <v>7494</v>
      </c>
      <c r="AV4455" s="185" t="s">
        <v>176</v>
      </c>
      <c r="AX4455" s="185" t="s">
        <v>176</v>
      </c>
      <c r="BK4455" s="55" t="s">
        <v>5976</v>
      </c>
      <c r="BM4455" s="192" t="s">
        <v>160</v>
      </c>
      <c r="BN4455" s="55">
        <v>3</v>
      </c>
      <c r="BO4455" s="55">
        <v>3</v>
      </c>
      <c r="BQ4455" s="55" t="s">
        <v>2077</v>
      </c>
      <c r="BV4455" s="55" t="s">
        <v>4403</v>
      </c>
      <c r="DB4455" s="65">
        <v>12.9</v>
      </c>
      <c r="DC4455" s="65">
        <v>12.9</v>
      </c>
      <c r="DD4455" s="65">
        <v>2</v>
      </c>
      <c r="DE4455" s="65">
        <v>2.5</v>
      </c>
      <c r="DF4455" s="65" t="s">
        <v>4400</v>
      </c>
      <c r="GP4455" s="292" t="s">
        <v>7494</v>
      </c>
      <c r="JW4455" s="55" t="s">
        <v>1078</v>
      </c>
    </row>
    <row r="4456" spans="1:283" x14ac:dyDescent="0.25">
      <c r="A4456" s="55">
        <v>4455</v>
      </c>
      <c r="B4456" s="12" t="s">
        <v>7067</v>
      </c>
      <c r="C4456" s="155">
        <v>193</v>
      </c>
      <c r="D4456" s="55" t="s">
        <v>4409</v>
      </c>
      <c r="E4456" s="90" t="s">
        <v>4387</v>
      </c>
      <c r="G4456" s="55" t="s">
        <v>4388</v>
      </c>
      <c r="H4456" s="55">
        <v>2016</v>
      </c>
      <c r="I4456" s="55">
        <v>2010</v>
      </c>
      <c r="J4456" s="55" t="s">
        <v>4394</v>
      </c>
      <c r="K4456" s="55" t="s">
        <v>4389</v>
      </c>
      <c r="L4456" s="55" t="s">
        <v>3377</v>
      </c>
      <c r="M4456" s="90">
        <f>35+12/60</f>
        <v>35.200000000000003</v>
      </c>
      <c r="N4456" s="90">
        <f>107+44/60</f>
        <v>107.73333333333333</v>
      </c>
      <c r="O4456" s="90">
        <v>1220</v>
      </c>
      <c r="R4456" s="55">
        <v>487.3</v>
      </c>
      <c r="S4456" s="90">
        <v>589</v>
      </c>
      <c r="U4456" s="55" t="s">
        <v>1805</v>
      </c>
      <c r="V4456" s="55" t="s">
        <v>1682</v>
      </c>
      <c r="Y4456" s="55" t="s">
        <v>4390</v>
      </c>
      <c r="Z4456" s="55" t="s">
        <v>4399</v>
      </c>
      <c r="AA4456" s="90" t="s">
        <v>1675</v>
      </c>
      <c r="AH4456" s="55" t="s">
        <v>6378</v>
      </c>
      <c r="AI4456" s="168">
        <v>8.11</v>
      </c>
      <c r="AJ4456" s="90">
        <v>1.2</v>
      </c>
      <c r="AN4456" s="185" t="s">
        <v>158</v>
      </c>
      <c r="AO4456" s="185" t="s">
        <v>5150</v>
      </c>
      <c r="AQ4456" s="55" t="s">
        <v>553</v>
      </c>
      <c r="AR4456" s="55" t="s">
        <v>116</v>
      </c>
      <c r="AS4456" s="55" t="s">
        <v>116</v>
      </c>
      <c r="AU4456" s="181" t="s">
        <v>7494</v>
      </c>
      <c r="AV4456" s="185" t="s">
        <v>176</v>
      </c>
      <c r="AX4456" s="185" t="s">
        <v>176</v>
      </c>
      <c r="BK4456" s="55" t="s">
        <v>5976</v>
      </c>
      <c r="BM4456" s="192" t="s">
        <v>160</v>
      </c>
      <c r="BN4456" s="55">
        <v>3</v>
      </c>
      <c r="BO4456" s="55">
        <v>3</v>
      </c>
      <c r="BQ4456" s="55" t="s">
        <v>2077</v>
      </c>
      <c r="BV4456" s="55" t="s">
        <v>4403</v>
      </c>
      <c r="DB4456" s="65">
        <v>13.89</v>
      </c>
      <c r="DC4456" s="65">
        <v>13.24</v>
      </c>
      <c r="DD4456" s="65">
        <v>2</v>
      </c>
      <c r="DE4456" s="65">
        <v>2.5</v>
      </c>
      <c r="DF4456" s="65" t="s">
        <v>4400</v>
      </c>
      <c r="GP4456" s="292" t="s">
        <v>7494</v>
      </c>
      <c r="JW4456" s="55" t="s">
        <v>1078</v>
      </c>
    </row>
    <row r="4457" spans="1:283" x14ac:dyDescent="0.25">
      <c r="A4457" s="55">
        <v>4456</v>
      </c>
      <c r="B4457" s="12" t="s">
        <v>7067</v>
      </c>
      <c r="C4457" s="155">
        <v>193</v>
      </c>
      <c r="D4457" s="55" t="s">
        <v>4410</v>
      </c>
      <c r="E4457" s="90" t="s">
        <v>4387</v>
      </c>
      <c r="G4457" s="55" t="s">
        <v>4388</v>
      </c>
      <c r="H4457" s="55">
        <v>2016</v>
      </c>
      <c r="I4457" s="55">
        <v>2010</v>
      </c>
      <c r="J4457" s="55" t="s">
        <v>4394</v>
      </c>
      <c r="K4457" s="55" t="s">
        <v>4389</v>
      </c>
      <c r="L4457" s="55" t="s">
        <v>3377</v>
      </c>
      <c r="M4457" s="90">
        <f>35+12/60</f>
        <v>35.200000000000003</v>
      </c>
      <c r="N4457" s="90">
        <f>107+44/60</f>
        <v>107.73333333333333</v>
      </c>
      <c r="O4457" s="90">
        <v>1220</v>
      </c>
      <c r="R4457" s="55">
        <v>487.3</v>
      </c>
      <c r="S4457" s="90">
        <v>589</v>
      </c>
      <c r="U4457" s="55" t="s">
        <v>1805</v>
      </c>
      <c r="V4457" s="55" t="s">
        <v>1682</v>
      </c>
      <c r="Y4457" s="55" t="s">
        <v>4390</v>
      </c>
      <c r="Z4457" s="55" t="s">
        <v>4395</v>
      </c>
      <c r="AA4457" s="90" t="s">
        <v>1675</v>
      </c>
      <c r="AH4457" s="55" t="s">
        <v>6378</v>
      </c>
      <c r="AI4457" s="168">
        <v>8.11</v>
      </c>
      <c r="AJ4457" s="90">
        <v>1.2</v>
      </c>
      <c r="AN4457" s="185" t="s">
        <v>158</v>
      </c>
      <c r="AO4457" s="185" t="s">
        <v>5150</v>
      </c>
      <c r="AQ4457" s="55" t="s">
        <v>553</v>
      </c>
      <c r="AR4457" s="55" t="s">
        <v>116</v>
      </c>
      <c r="AS4457" s="55" t="s">
        <v>116</v>
      </c>
      <c r="AU4457" s="181" t="s">
        <v>7494</v>
      </c>
      <c r="AV4457" s="185" t="s">
        <v>176</v>
      </c>
      <c r="AX4457" s="185" t="s">
        <v>176</v>
      </c>
      <c r="BK4457" s="55" t="s">
        <v>5976</v>
      </c>
      <c r="BM4457" s="192" t="s">
        <v>160</v>
      </c>
      <c r="BN4457" s="55">
        <v>3</v>
      </c>
      <c r="BO4457" s="55">
        <v>3</v>
      </c>
      <c r="BQ4457" s="55" t="s">
        <v>2077</v>
      </c>
      <c r="BV4457" s="55" t="s">
        <v>4403</v>
      </c>
      <c r="DB4457" s="65">
        <v>12.93</v>
      </c>
      <c r="DC4457" s="65">
        <v>15.87</v>
      </c>
      <c r="DD4457" s="65">
        <v>2</v>
      </c>
      <c r="DE4457" s="65">
        <v>2.5</v>
      </c>
      <c r="DF4457" s="65" t="s">
        <v>4400</v>
      </c>
      <c r="GP4457" s="292" t="s">
        <v>7494</v>
      </c>
      <c r="JW4457" s="55" t="s">
        <v>1078</v>
      </c>
    </row>
    <row r="4458" spans="1:283" x14ac:dyDescent="0.25">
      <c r="A4458" s="55">
        <v>4457</v>
      </c>
      <c r="B4458" s="12" t="s">
        <v>7067</v>
      </c>
      <c r="C4458" s="155">
        <v>193</v>
      </c>
      <c r="D4458" s="55" t="s">
        <v>4411</v>
      </c>
      <c r="E4458" s="90" t="s">
        <v>4387</v>
      </c>
      <c r="G4458" s="55" t="s">
        <v>4388</v>
      </c>
      <c r="H4458" s="55">
        <v>2016</v>
      </c>
      <c r="I4458" s="55">
        <v>2010</v>
      </c>
      <c r="J4458" s="55" t="s">
        <v>4394</v>
      </c>
      <c r="K4458" s="55" t="s">
        <v>4389</v>
      </c>
      <c r="L4458" s="55" t="s">
        <v>3377</v>
      </c>
      <c r="M4458" s="90">
        <f>35+12/60</f>
        <v>35.200000000000003</v>
      </c>
      <c r="N4458" s="90">
        <f>107+44/60</f>
        <v>107.73333333333333</v>
      </c>
      <c r="O4458" s="90">
        <v>1220</v>
      </c>
      <c r="R4458" s="55">
        <v>487.3</v>
      </c>
      <c r="S4458" s="90">
        <v>589</v>
      </c>
      <c r="U4458" s="55" t="s">
        <v>1805</v>
      </c>
      <c r="V4458" s="55" t="s">
        <v>1682</v>
      </c>
      <c r="Y4458" s="55" t="s">
        <v>4390</v>
      </c>
      <c r="Z4458" s="55" t="s">
        <v>4396</v>
      </c>
      <c r="AA4458" s="90" t="s">
        <v>1675</v>
      </c>
      <c r="AH4458" s="55" t="s">
        <v>6378</v>
      </c>
      <c r="AI4458" s="168">
        <v>8.11</v>
      </c>
      <c r="AJ4458" s="90">
        <v>1.2</v>
      </c>
      <c r="AN4458" s="185" t="s">
        <v>158</v>
      </c>
      <c r="AO4458" s="185" t="s">
        <v>5150</v>
      </c>
      <c r="AQ4458" s="55" t="s">
        <v>553</v>
      </c>
      <c r="AR4458" s="55" t="s">
        <v>116</v>
      </c>
      <c r="AS4458" s="55" t="s">
        <v>116</v>
      </c>
      <c r="AU4458" s="181" t="s">
        <v>7494</v>
      </c>
      <c r="AV4458" s="185" t="s">
        <v>176</v>
      </c>
      <c r="AX4458" s="185" t="s">
        <v>176</v>
      </c>
      <c r="BK4458" s="55" t="s">
        <v>5976</v>
      </c>
      <c r="BM4458" s="192" t="s">
        <v>160</v>
      </c>
      <c r="BN4458" s="55">
        <v>3</v>
      </c>
      <c r="BO4458" s="55">
        <v>3</v>
      </c>
      <c r="BQ4458" s="55" t="s">
        <v>2077</v>
      </c>
      <c r="BV4458" s="55" t="s">
        <v>4403</v>
      </c>
      <c r="DB4458" s="65">
        <v>14.74</v>
      </c>
      <c r="DC4458" s="65">
        <v>15.56</v>
      </c>
      <c r="DD4458" s="65">
        <v>2</v>
      </c>
      <c r="DE4458" s="65">
        <v>2.56</v>
      </c>
      <c r="DF4458" s="65" t="s">
        <v>4400</v>
      </c>
      <c r="GP4458" s="292" t="s">
        <v>7494</v>
      </c>
      <c r="JW4458" s="55" t="s">
        <v>1078</v>
      </c>
    </row>
    <row r="4459" spans="1:283" x14ac:dyDescent="0.25">
      <c r="A4459" s="55">
        <v>4458</v>
      </c>
      <c r="B4459" s="12" t="s">
        <v>7067</v>
      </c>
      <c r="C4459" s="155">
        <v>193</v>
      </c>
      <c r="D4459" s="55" t="s">
        <v>4412</v>
      </c>
      <c r="E4459" s="90" t="s">
        <v>4387</v>
      </c>
      <c r="G4459" s="55" t="s">
        <v>4388</v>
      </c>
      <c r="H4459" s="55">
        <v>2016</v>
      </c>
      <c r="I4459" s="55">
        <v>2010</v>
      </c>
      <c r="J4459" s="55" t="s">
        <v>4394</v>
      </c>
      <c r="K4459" s="55" t="s">
        <v>4389</v>
      </c>
      <c r="L4459" s="55" t="s">
        <v>3377</v>
      </c>
      <c r="M4459" s="90">
        <f>35+12/60</f>
        <v>35.200000000000003</v>
      </c>
      <c r="N4459" s="90">
        <f>107+44/60</f>
        <v>107.73333333333333</v>
      </c>
      <c r="O4459" s="90">
        <v>1220</v>
      </c>
      <c r="R4459" s="55">
        <v>487.3</v>
      </c>
      <c r="S4459" s="90">
        <v>589</v>
      </c>
      <c r="U4459" s="55" t="s">
        <v>1805</v>
      </c>
      <c r="V4459" s="55" t="s">
        <v>1682</v>
      </c>
      <c r="Y4459" s="55" t="s">
        <v>4390</v>
      </c>
      <c r="Z4459" s="55" t="s">
        <v>4397</v>
      </c>
      <c r="AA4459" s="90" t="s">
        <v>1675</v>
      </c>
      <c r="AH4459" s="55" t="s">
        <v>6378</v>
      </c>
      <c r="AI4459" s="168">
        <v>8.11</v>
      </c>
      <c r="AJ4459" s="90">
        <v>1.2</v>
      </c>
      <c r="AN4459" s="185" t="s">
        <v>158</v>
      </c>
      <c r="AO4459" s="185" t="s">
        <v>5150</v>
      </c>
      <c r="AQ4459" s="55" t="s">
        <v>553</v>
      </c>
      <c r="AR4459" s="55" t="s">
        <v>116</v>
      </c>
      <c r="AS4459" s="55" t="s">
        <v>116</v>
      </c>
      <c r="AU4459" s="181" t="s">
        <v>7494</v>
      </c>
      <c r="AV4459" s="185" t="s">
        <v>176</v>
      </c>
      <c r="AX4459" s="185" t="s">
        <v>176</v>
      </c>
      <c r="BK4459" s="55" t="s">
        <v>5976</v>
      </c>
      <c r="BM4459" s="192" t="s">
        <v>160</v>
      </c>
      <c r="BN4459" s="55">
        <v>3</v>
      </c>
      <c r="BO4459" s="55">
        <v>3</v>
      </c>
      <c r="BQ4459" s="55" t="s">
        <v>2077</v>
      </c>
      <c r="BV4459" s="55" t="s">
        <v>4403</v>
      </c>
      <c r="DB4459" s="65">
        <v>14.43</v>
      </c>
      <c r="DC4459" s="65">
        <v>16.23</v>
      </c>
      <c r="DD4459" s="65">
        <v>2</v>
      </c>
      <c r="DE4459" s="65">
        <v>2.5</v>
      </c>
      <c r="DF4459" s="65" t="s">
        <v>4400</v>
      </c>
      <c r="GP4459" s="292" t="s">
        <v>7494</v>
      </c>
      <c r="JW4459" s="55" t="s">
        <v>1078</v>
      </c>
    </row>
    <row r="4460" spans="1:283" x14ac:dyDescent="0.25">
      <c r="A4460" s="55">
        <v>4459</v>
      </c>
      <c r="B4460" s="12" t="s">
        <v>7067</v>
      </c>
      <c r="C4460" s="155">
        <v>193</v>
      </c>
      <c r="D4460" s="55" t="s">
        <v>4413</v>
      </c>
      <c r="E4460" s="90" t="s">
        <v>4387</v>
      </c>
      <c r="G4460" s="55" t="s">
        <v>4388</v>
      </c>
      <c r="H4460" s="55">
        <v>2016</v>
      </c>
      <c r="I4460" s="55">
        <v>2010</v>
      </c>
      <c r="J4460" s="55" t="s">
        <v>4394</v>
      </c>
      <c r="K4460" s="55" t="s">
        <v>4389</v>
      </c>
      <c r="L4460" s="55" t="s">
        <v>3377</v>
      </c>
      <c r="M4460" s="90">
        <f>35+12/60</f>
        <v>35.200000000000003</v>
      </c>
      <c r="N4460" s="90">
        <f>107+44/60</f>
        <v>107.73333333333333</v>
      </c>
      <c r="O4460" s="90">
        <v>1220</v>
      </c>
      <c r="R4460" s="55">
        <v>487.3</v>
      </c>
      <c r="S4460" s="90">
        <v>589</v>
      </c>
      <c r="U4460" s="55" t="s">
        <v>1805</v>
      </c>
      <c r="V4460" s="55" t="s">
        <v>1682</v>
      </c>
      <c r="Y4460" s="55" t="s">
        <v>4390</v>
      </c>
      <c r="Z4460" s="55" t="s">
        <v>4398</v>
      </c>
      <c r="AA4460" s="90" t="s">
        <v>1675</v>
      </c>
      <c r="AH4460" s="55" t="s">
        <v>6378</v>
      </c>
      <c r="AI4460" s="168">
        <v>8.11</v>
      </c>
      <c r="AJ4460" s="90">
        <v>1.2</v>
      </c>
      <c r="AN4460" s="185" t="s">
        <v>158</v>
      </c>
      <c r="AO4460" s="185" t="s">
        <v>5150</v>
      </c>
      <c r="AQ4460" s="55" t="s">
        <v>553</v>
      </c>
      <c r="AR4460" s="55" t="s">
        <v>116</v>
      </c>
      <c r="AS4460" s="55" t="s">
        <v>116</v>
      </c>
      <c r="AU4460" s="181" t="s">
        <v>7494</v>
      </c>
      <c r="AV4460" s="185" t="s">
        <v>176</v>
      </c>
      <c r="AX4460" s="185" t="s">
        <v>176</v>
      </c>
      <c r="BK4460" s="55" t="s">
        <v>5976</v>
      </c>
      <c r="BM4460" s="192" t="s">
        <v>160</v>
      </c>
      <c r="BN4460" s="55">
        <v>3</v>
      </c>
      <c r="BO4460" s="55">
        <v>3</v>
      </c>
      <c r="BQ4460" s="55" t="s">
        <v>2077</v>
      </c>
      <c r="BV4460" s="55" t="s">
        <v>4403</v>
      </c>
      <c r="DB4460" s="65">
        <v>15.75</v>
      </c>
      <c r="DC4460" s="65">
        <v>18.690000000000001</v>
      </c>
      <c r="DD4460" s="65">
        <v>2</v>
      </c>
      <c r="DE4460" s="65">
        <v>2.5</v>
      </c>
      <c r="DF4460" s="65" t="s">
        <v>4400</v>
      </c>
      <c r="GP4460" s="292" t="s">
        <v>7494</v>
      </c>
      <c r="JW4460" s="55" t="s">
        <v>1078</v>
      </c>
    </row>
    <row r="4461" spans="1:283" x14ac:dyDescent="0.25">
      <c r="A4461" s="55">
        <v>4460</v>
      </c>
      <c r="B4461" s="12" t="s">
        <v>7067</v>
      </c>
      <c r="C4461" s="155">
        <v>193</v>
      </c>
      <c r="D4461" s="55" t="s">
        <v>4404</v>
      </c>
      <c r="E4461" s="90" t="s">
        <v>4387</v>
      </c>
      <c r="G4461" s="55" t="s">
        <v>4388</v>
      </c>
      <c r="H4461" s="55">
        <v>2016</v>
      </c>
      <c r="I4461" s="55">
        <v>2010</v>
      </c>
      <c r="J4461" s="55" t="s">
        <v>4394</v>
      </c>
      <c r="K4461" s="55" t="s">
        <v>4389</v>
      </c>
      <c r="L4461" s="55" t="s">
        <v>3377</v>
      </c>
      <c r="M4461" s="90">
        <f>35+12/60</f>
        <v>35.200000000000003</v>
      </c>
      <c r="N4461" s="90">
        <f>107+44/60</f>
        <v>107.73333333333333</v>
      </c>
      <c r="O4461" s="90">
        <v>1220</v>
      </c>
      <c r="R4461" s="55">
        <v>487.3</v>
      </c>
      <c r="S4461" s="90">
        <v>589</v>
      </c>
      <c r="U4461" s="55" t="s">
        <v>1805</v>
      </c>
      <c r="V4461" s="55" t="s">
        <v>1682</v>
      </c>
      <c r="Y4461" s="55" t="s">
        <v>4390</v>
      </c>
      <c r="Z4461" s="55" t="s">
        <v>1346</v>
      </c>
      <c r="AA4461" s="90" t="s">
        <v>1675</v>
      </c>
      <c r="AH4461" s="55" t="s">
        <v>6378</v>
      </c>
      <c r="AI4461" s="168">
        <v>8.11</v>
      </c>
      <c r="AJ4461" s="90">
        <v>1.2</v>
      </c>
      <c r="AN4461" s="185" t="s">
        <v>4393</v>
      </c>
      <c r="AO4461" s="185" t="s">
        <v>5150</v>
      </c>
      <c r="AQ4461" s="55" t="s">
        <v>553</v>
      </c>
      <c r="AR4461" s="55" t="s">
        <v>116</v>
      </c>
      <c r="AS4461" s="55" t="s">
        <v>116</v>
      </c>
      <c r="AU4461" s="181" t="s">
        <v>7494</v>
      </c>
      <c r="AV4461" s="185" t="s">
        <v>176</v>
      </c>
      <c r="AX4461" s="185" t="s">
        <v>176</v>
      </c>
      <c r="BK4461" s="55" t="s">
        <v>5976</v>
      </c>
      <c r="BM4461" s="192" t="s">
        <v>160</v>
      </c>
      <c r="BN4461" s="55">
        <v>3</v>
      </c>
      <c r="BO4461" s="55">
        <v>3</v>
      </c>
      <c r="BQ4461" s="55" t="s">
        <v>2077</v>
      </c>
      <c r="BV4461" s="55" t="s">
        <v>4403</v>
      </c>
      <c r="DB4461" s="65">
        <v>18.87</v>
      </c>
      <c r="DC4461" s="65">
        <v>23.12</v>
      </c>
      <c r="DD4461" s="65">
        <f>20.83-DB4461</f>
        <v>1.9599999999999973</v>
      </c>
      <c r="DE4461" s="65">
        <f>DC4461-20.83</f>
        <v>2.2900000000000027</v>
      </c>
      <c r="DF4461" s="65" t="s">
        <v>4400</v>
      </c>
      <c r="GP4461" s="292" t="s">
        <v>7494</v>
      </c>
      <c r="JW4461" s="55" t="s">
        <v>1078</v>
      </c>
    </row>
    <row r="4462" spans="1:283" x14ac:dyDescent="0.25">
      <c r="A4462" s="55">
        <v>4461</v>
      </c>
      <c r="B4462" s="12" t="s">
        <v>7067</v>
      </c>
      <c r="C4462" s="155">
        <v>193</v>
      </c>
      <c r="D4462" s="55" t="s">
        <v>4405</v>
      </c>
      <c r="E4462" s="90" t="s">
        <v>4387</v>
      </c>
      <c r="G4462" s="55" t="s">
        <v>4388</v>
      </c>
      <c r="H4462" s="55">
        <v>2016</v>
      </c>
      <c r="I4462" s="55">
        <v>2010</v>
      </c>
      <c r="J4462" s="55" t="s">
        <v>4394</v>
      </c>
      <c r="K4462" s="55" t="s">
        <v>4389</v>
      </c>
      <c r="L4462" s="55" t="s">
        <v>3377</v>
      </c>
      <c r="M4462" s="90">
        <f>35+12/60</f>
        <v>35.200000000000003</v>
      </c>
      <c r="N4462" s="90">
        <f>107+44/60</f>
        <v>107.73333333333333</v>
      </c>
      <c r="O4462" s="90">
        <v>1220</v>
      </c>
      <c r="R4462" s="55">
        <v>487.3</v>
      </c>
      <c r="S4462" s="90">
        <v>589</v>
      </c>
      <c r="U4462" s="55" t="s">
        <v>1805</v>
      </c>
      <c r="V4462" s="55" t="s">
        <v>1682</v>
      </c>
      <c r="Y4462" s="55" t="s">
        <v>4390</v>
      </c>
      <c r="Z4462" s="55" t="s">
        <v>1350</v>
      </c>
      <c r="AA4462" s="90" t="s">
        <v>1675</v>
      </c>
      <c r="AH4462" s="55" t="s">
        <v>6378</v>
      </c>
      <c r="AI4462" s="168">
        <v>8.11</v>
      </c>
      <c r="AJ4462" s="90">
        <v>1.2</v>
      </c>
      <c r="AN4462" s="185" t="s">
        <v>4393</v>
      </c>
      <c r="AO4462" s="185" t="s">
        <v>5150</v>
      </c>
      <c r="AQ4462" s="55" t="s">
        <v>553</v>
      </c>
      <c r="AR4462" s="55" t="s">
        <v>116</v>
      </c>
      <c r="AS4462" s="55" t="s">
        <v>116</v>
      </c>
      <c r="AU4462" s="181" t="s">
        <v>7494</v>
      </c>
      <c r="AV4462" s="185" t="s">
        <v>176</v>
      </c>
      <c r="AX4462" s="185" t="s">
        <v>176</v>
      </c>
      <c r="BK4462" s="55" t="s">
        <v>5976</v>
      </c>
      <c r="BM4462" s="192" t="s">
        <v>160</v>
      </c>
      <c r="BN4462" s="55">
        <v>3</v>
      </c>
      <c r="BO4462" s="55">
        <v>3</v>
      </c>
      <c r="BQ4462" s="55" t="s">
        <v>2077</v>
      </c>
      <c r="BV4462" s="55" t="s">
        <v>4403</v>
      </c>
      <c r="DB4462" s="65">
        <v>14.81</v>
      </c>
      <c r="DC4462" s="65">
        <v>14.48</v>
      </c>
      <c r="DD4462" s="65">
        <v>2</v>
      </c>
      <c r="DE4462" s="65">
        <f>DC4462-11.22</f>
        <v>3.26</v>
      </c>
      <c r="DF4462" s="65" t="s">
        <v>4400</v>
      </c>
      <c r="GP4462" s="292" t="s">
        <v>7494</v>
      </c>
      <c r="JW4462" s="55" t="s">
        <v>1078</v>
      </c>
    </row>
    <row r="4463" spans="1:283" x14ac:dyDescent="0.25">
      <c r="A4463" s="55">
        <v>4462</v>
      </c>
      <c r="B4463" s="12" t="s">
        <v>7067</v>
      </c>
      <c r="C4463" s="155">
        <v>193</v>
      </c>
      <c r="D4463" s="55" t="s">
        <v>4406</v>
      </c>
      <c r="E4463" s="90" t="s">
        <v>4387</v>
      </c>
      <c r="G4463" s="55" t="s">
        <v>4388</v>
      </c>
      <c r="H4463" s="55">
        <v>2016</v>
      </c>
      <c r="I4463" s="55">
        <v>2010</v>
      </c>
      <c r="J4463" s="55" t="s">
        <v>4394</v>
      </c>
      <c r="K4463" s="55" t="s">
        <v>4389</v>
      </c>
      <c r="L4463" s="55" t="s">
        <v>3377</v>
      </c>
      <c r="M4463" s="90">
        <f>35+12/60</f>
        <v>35.200000000000003</v>
      </c>
      <c r="N4463" s="90">
        <f>107+44/60</f>
        <v>107.73333333333333</v>
      </c>
      <c r="O4463" s="90">
        <v>1220</v>
      </c>
      <c r="R4463" s="55">
        <v>487.3</v>
      </c>
      <c r="S4463" s="90">
        <v>589</v>
      </c>
      <c r="U4463" s="55" t="s">
        <v>1805</v>
      </c>
      <c r="V4463" s="55" t="s">
        <v>1682</v>
      </c>
      <c r="Y4463" s="55" t="s">
        <v>4390</v>
      </c>
      <c r="Z4463" s="55" t="s">
        <v>1351</v>
      </c>
      <c r="AA4463" s="90" t="s">
        <v>1675</v>
      </c>
      <c r="AH4463" s="55" t="s">
        <v>6378</v>
      </c>
      <c r="AI4463" s="168">
        <v>8.11</v>
      </c>
      <c r="AJ4463" s="90">
        <v>1.2</v>
      </c>
      <c r="AN4463" s="185" t="s">
        <v>4393</v>
      </c>
      <c r="AO4463" s="185" t="s">
        <v>5150</v>
      </c>
      <c r="AQ4463" s="55" t="s">
        <v>553</v>
      </c>
      <c r="AR4463" s="55" t="s">
        <v>116</v>
      </c>
      <c r="AS4463" s="55" t="s">
        <v>116</v>
      </c>
      <c r="AU4463" s="181" t="s">
        <v>7494</v>
      </c>
      <c r="AV4463" s="185" t="s">
        <v>176</v>
      </c>
      <c r="AX4463" s="185" t="s">
        <v>176</v>
      </c>
      <c r="BK4463" s="55" t="s">
        <v>5976</v>
      </c>
      <c r="BM4463" s="192" t="s">
        <v>160</v>
      </c>
      <c r="BN4463" s="55">
        <v>3</v>
      </c>
      <c r="BO4463" s="55">
        <v>3</v>
      </c>
      <c r="BQ4463" s="55" t="s">
        <v>2077</v>
      </c>
      <c r="BV4463" s="55" t="s">
        <v>4403</v>
      </c>
      <c r="DB4463" s="65">
        <v>9.76</v>
      </c>
      <c r="DC4463" s="65">
        <v>6.99</v>
      </c>
      <c r="DD4463" s="65">
        <v>2</v>
      </c>
      <c r="DE4463" s="65">
        <f>DC4463-5.83</f>
        <v>1.1600000000000001</v>
      </c>
      <c r="DF4463" s="65" t="s">
        <v>4400</v>
      </c>
      <c r="GP4463" s="292" t="s">
        <v>7494</v>
      </c>
      <c r="JW4463" s="55" t="s">
        <v>1078</v>
      </c>
    </row>
    <row r="4464" spans="1:283" x14ac:dyDescent="0.25">
      <c r="A4464" s="55">
        <v>4463</v>
      </c>
      <c r="B4464" s="12" t="s">
        <v>7067</v>
      </c>
      <c r="C4464" s="155">
        <v>193</v>
      </c>
      <c r="D4464" s="55" t="s">
        <v>4407</v>
      </c>
      <c r="E4464" s="90" t="s">
        <v>4387</v>
      </c>
      <c r="G4464" s="55" t="s">
        <v>4388</v>
      </c>
      <c r="H4464" s="55">
        <v>2016</v>
      </c>
      <c r="I4464" s="55">
        <v>2010</v>
      </c>
      <c r="J4464" s="55" t="s">
        <v>4394</v>
      </c>
      <c r="K4464" s="55" t="s">
        <v>4389</v>
      </c>
      <c r="L4464" s="55" t="s">
        <v>3377</v>
      </c>
      <c r="M4464" s="90">
        <f>35+12/60</f>
        <v>35.200000000000003</v>
      </c>
      <c r="N4464" s="90">
        <f>107+44/60</f>
        <v>107.73333333333333</v>
      </c>
      <c r="O4464" s="90">
        <v>1220</v>
      </c>
      <c r="R4464" s="55">
        <v>487.3</v>
      </c>
      <c r="S4464" s="90">
        <v>589</v>
      </c>
      <c r="U4464" s="55" t="s">
        <v>1805</v>
      </c>
      <c r="V4464" s="55" t="s">
        <v>1682</v>
      </c>
      <c r="Y4464" s="55" t="s">
        <v>4390</v>
      </c>
      <c r="Z4464" s="55" t="s">
        <v>1352</v>
      </c>
      <c r="AA4464" s="90" t="s">
        <v>1675</v>
      </c>
      <c r="AH4464" s="55" t="s">
        <v>6378</v>
      </c>
      <c r="AI4464" s="168">
        <v>8.11</v>
      </c>
      <c r="AJ4464" s="90">
        <v>1.2</v>
      </c>
      <c r="AN4464" s="185" t="s">
        <v>4393</v>
      </c>
      <c r="AO4464" s="185" t="s">
        <v>5150</v>
      </c>
      <c r="AQ4464" s="55" t="s">
        <v>553</v>
      </c>
      <c r="AR4464" s="55" t="s">
        <v>116</v>
      </c>
      <c r="AS4464" s="55" t="s">
        <v>116</v>
      </c>
      <c r="AU4464" s="181" t="s">
        <v>7494</v>
      </c>
      <c r="AV4464" s="185" t="s">
        <v>176</v>
      </c>
      <c r="AX4464" s="185" t="s">
        <v>176</v>
      </c>
      <c r="BK4464" s="55" t="s">
        <v>5976</v>
      </c>
      <c r="BM4464" s="192" t="s">
        <v>160</v>
      </c>
      <c r="BN4464" s="55">
        <v>3</v>
      </c>
      <c r="BO4464" s="55">
        <v>3</v>
      </c>
      <c r="BQ4464" s="55" t="s">
        <v>2077</v>
      </c>
      <c r="BV4464" s="55" t="s">
        <v>4403</v>
      </c>
      <c r="DB4464" s="65">
        <v>10.59</v>
      </c>
      <c r="DC4464" s="65">
        <v>9.94</v>
      </c>
      <c r="DD4464" s="65">
        <v>2</v>
      </c>
      <c r="DE4464" s="65">
        <f>DC4464-7.98</f>
        <v>1.9599999999999991</v>
      </c>
      <c r="DF4464" s="65" t="s">
        <v>4400</v>
      </c>
      <c r="GP4464" s="292" t="s">
        <v>7494</v>
      </c>
      <c r="JW4464" s="55" t="s">
        <v>1078</v>
      </c>
    </row>
    <row r="4465" spans="1:283" x14ac:dyDescent="0.25">
      <c r="A4465" s="55">
        <v>4464</v>
      </c>
      <c r="B4465" s="12" t="s">
        <v>7067</v>
      </c>
      <c r="C4465" s="155">
        <v>193</v>
      </c>
      <c r="D4465" s="55" t="s">
        <v>4408</v>
      </c>
      <c r="E4465" s="90" t="s">
        <v>4387</v>
      </c>
      <c r="G4465" s="55" t="s">
        <v>4388</v>
      </c>
      <c r="H4465" s="55">
        <v>2016</v>
      </c>
      <c r="I4465" s="55">
        <v>2010</v>
      </c>
      <c r="J4465" s="55" t="s">
        <v>4394</v>
      </c>
      <c r="K4465" s="55" t="s">
        <v>4389</v>
      </c>
      <c r="L4465" s="55" t="s">
        <v>3377</v>
      </c>
      <c r="M4465" s="90">
        <f>35+12/60</f>
        <v>35.200000000000003</v>
      </c>
      <c r="N4465" s="90">
        <f>107+44/60</f>
        <v>107.73333333333333</v>
      </c>
      <c r="O4465" s="90">
        <v>1220</v>
      </c>
      <c r="R4465" s="55">
        <v>487.3</v>
      </c>
      <c r="S4465" s="90">
        <v>589</v>
      </c>
      <c r="U4465" s="55" t="s">
        <v>1805</v>
      </c>
      <c r="V4465" s="55" t="s">
        <v>1682</v>
      </c>
      <c r="Y4465" s="55" t="s">
        <v>4390</v>
      </c>
      <c r="Z4465" s="55" t="s">
        <v>1353</v>
      </c>
      <c r="AA4465" s="90" t="s">
        <v>1675</v>
      </c>
      <c r="AH4465" s="55" t="s">
        <v>6378</v>
      </c>
      <c r="AI4465" s="168">
        <v>8.11</v>
      </c>
      <c r="AJ4465" s="90">
        <v>1.2</v>
      </c>
      <c r="AN4465" s="185" t="s">
        <v>4393</v>
      </c>
      <c r="AO4465" s="185" t="s">
        <v>5150</v>
      </c>
      <c r="AQ4465" s="55" t="s">
        <v>553</v>
      </c>
      <c r="AR4465" s="55" t="s">
        <v>116</v>
      </c>
      <c r="AS4465" s="55" t="s">
        <v>116</v>
      </c>
      <c r="AU4465" s="181" t="s">
        <v>7494</v>
      </c>
      <c r="AV4465" s="185" t="s">
        <v>176</v>
      </c>
      <c r="AX4465" s="185" t="s">
        <v>176</v>
      </c>
      <c r="BK4465" s="55" t="s">
        <v>5976</v>
      </c>
      <c r="BM4465" s="192" t="s">
        <v>160</v>
      </c>
      <c r="BN4465" s="55">
        <v>3</v>
      </c>
      <c r="BO4465" s="55">
        <v>3</v>
      </c>
      <c r="BQ4465" s="55" t="s">
        <v>2077</v>
      </c>
      <c r="BV4465" s="55" t="s">
        <v>4403</v>
      </c>
      <c r="DB4465" s="65">
        <v>12.9</v>
      </c>
      <c r="DC4465" s="65">
        <v>12.24</v>
      </c>
      <c r="DD4465" s="65">
        <v>2</v>
      </c>
      <c r="DE4465" s="65">
        <f>DC4465-9.96</f>
        <v>2.2799999999999994</v>
      </c>
      <c r="DF4465" s="65" t="s">
        <v>4400</v>
      </c>
      <c r="GP4465" s="292" t="s">
        <v>7494</v>
      </c>
      <c r="JW4465" s="55" t="s">
        <v>1078</v>
      </c>
    </row>
    <row r="4466" spans="1:283" x14ac:dyDescent="0.25">
      <c r="A4466" s="55">
        <v>4465</v>
      </c>
      <c r="B4466" s="12" t="s">
        <v>7067</v>
      </c>
      <c r="C4466" s="155">
        <v>193</v>
      </c>
      <c r="D4466" s="55" t="s">
        <v>4409</v>
      </c>
      <c r="E4466" s="90" t="s">
        <v>4387</v>
      </c>
      <c r="G4466" s="55" t="s">
        <v>4388</v>
      </c>
      <c r="H4466" s="55">
        <v>2016</v>
      </c>
      <c r="I4466" s="55">
        <v>2010</v>
      </c>
      <c r="J4466" s="55" t="s">
        <v>4394</v>
      </c>
      <c r="K4466" s="55" t="s">
        <v>4389</v>
      </c>
      <c r="L4466" s="55" t="s">
        <v>3377</v>
      </c>
      <c r="M4466" s="90">
        <f>35+12/60</f>
        <v>35.200000000000003</v>
      </c>
      <c r="N4466" s="90">
        <f>107+44/60</f>
        <v>107.73333333333333</v>
      </c>
      <c r="O4466" s="90">
        <v>1220</v>
      </c>
      <c r="R4466" s="55">
        <v>487.3</v>
      </c>
      <c r="S4466" s="90">
        <v>589</v>
      </c>
      <c r="U4466" s="55" t="s">
        <v>1805</v>
      </c>
      <c r="V4466" s="55" t="s">
        <v>1682</v>
      </c>
      <c r="Y4466" s="55" t="s">
        <v>4390</v>
      </c>
      <c r="Z4466" s="55" t="s">
        <v>4399</v>
      </c>
      <c r="AA4466" s="90" t="s">
        <v>1675</v>
      </c>
      <c r="AH4466" s="55" t="s">
        <v>6378</v>
      </c>
      <c r="AI4466" s="168">
        <v>8.11</v>
      </c>
      <c r="AJ4466" s="90">
        <v>1.2</v>
      </c>
      <c r="AN4466" s="185" t="s">
        <v>4393</v>
      </c>
      <c r="AO4466" s="185" t="s">
        <v>5150</v>
      </c>
      <c r="AQ4466" s="55" t="s">
        <v>553</v>
      </c>
      <c r="AR4466" s="55" t="s">
        <v>116</v>
      </c>
      <c r="AS4466" s="55" t="s">
        <v>116</v>
      </c>
      <c r="AU4466" s="181" t="s">
        <v>7494</v>
      </c>
      <c r="AV4466" s="185" t="s">
        <v>176</v>
      </c>
      <c r="AX4466" s="185" t="s">
        <v>176</v>
      </c>
      <c r="BK4466" s="55" t="s">
        <v>5976</v>
      </c>
      <c r="BM4466" s="192" t="s">
        <v>160</v>
      </c>
      <c r="BN4466" s="55">
        <v>3</v>
      </c>
      <c r="BO4466" s="55">
        <v>3</v>
      </c>
      <c r="BQ4466" s="55" t="s">
        <v>2077</v>
      </c>
      <c r="BV4466" s="55" t="s">
        <v>4403</v>
      </c>
      <c r="DB4466" s="65">
        <v>13.89</v>
      </c>
      <c r="DC4466" s="65">
        <v>11.77</v>
      </c>
      <c r="DD4466" s="65">
        <v>2</v>
      </c>
      <c r="DE4466" s="65">
        <f>DC4466-9.83</f>
        <v>1.9399999999999995</v>
      </c>
      <c r="DF4466" s="65" t="s">
        <v>4400</v>
      </c>
      <c r="GP4466" s="292" t="s">
        <v>7494</v>
      </c>
      <c r="JW4466" s="55" t="s">
        <v>1078</v>
      </c>
    </row>
    <row r="4467" spans="1:283" x14ac:dyDescent="0.25">
      <c r="A4467" s="55">
        <v>4466</v>
      </c>
      <c r="B4467" s="12" t="s">
        <v>7067</v>
      </c>
      <c r="C4467" s="155">
        <v>193</v>
      </c>
      <c r="D4467" s="55" t="s">
        <v>4410</v>
      </c>
      <c r="E4467" s="90" t="s">
        <v>4387</v>
      </c>
      <c r="G4467" s="55" t="s">
        <v>4388</v>
      </c>
      <c r="H4467" s="55">
        <v>2016</v>
      </c>
      <c r="I4467" s="55">
        <v>2010</v>
      </c>
      <c r="J4467" s="55" t="s">
        <v>4394</v>
      </c>
      <c r="K4467" s="55" t="s">
        <v>4389</v>
      </c>
      <c r="L4467" s="55" t="s">
        <v>3377</v>
      </c>
      <c r="M4467" s="90">
        <f>35+12/60</f>
        <v>35.200000000000003</v>
      </c>
      <c r="N4467" s="90">
        <f>107+44/60</f>
        <v>107.73333333333333</v>
      </c>
      <c r="O4467" s="90">
        <v>1220</v>
      </c>
      <c r="R4467" s="55">
        <v>487.3</v>
      </c>
      <c r="S4467" s="90">
        <v>589</v>
      </c>
      <c r="U4467" s="55" t="s">
        <v>1805</v>
      </c>
      <c r="V4467" s="55" t="s">
        <v>1682</v>
      </c>
      <c r="Y4467" s="55" t="s">
        <v>4390</v>
      </c>
      <c r="Z4467" s="55" t="s">
        <v>4395</v>
      </c>
      <c r="AA4467" s="90" t="s">
        <v>1675</v>
      </c>
      <c r="AH4467" s="55" t="s">
        <v>6378</v>
      </c>
      <c r="AI4467" s="168">
        <v>8.11</v>
      </c>
      <c r="AJ4467" s="90">
        <v>1.2</v>
      </c>
      <c r="AN4467" s="185" t="s">
        <v>4393</v>
      </c>
      <c r="AO4467" s="185" t="s">
        <v>5150</v>
      </c>
      <c r="AQ4467" s="55" t="s">
        <v>553</v>
      </c>
      <c r="AR4467" s="55" t="s">
        <v>116</v>
      </c>
      <c r="AS4467" s="55" t="s">
        <v>116</v>
      </c>
      <c r="AU4467" s="181" t="s">
        <v>7494</v>
      </c>
      <c r="AV4467" s="185" t="s">
        <v>176</v>
      </c>
      <c r="AX4467" s="185" t="s">
        <v>176</v>
      </c>
      <c r="BK4467" s="55" t="s">
        <v>5976</v>
      </c>
      <c r="BM4467" s="192" t="s">
        <v>160</v>
      </c>
      <c r="BN4467" s="55">
        <v>3</v>
      </c>
      <c r="BO4467" s="55">
        <v>3</v>
      </c>
      <c r="BQ4467" s="55" t="s">
        <v>2077</v>
      </c>
      <c r="BV4467" s="55" t="s">
        <v>4403</v>
      </c>
      <c r="DB4467" s="65">
        <v>12.93</v>
      </c>
      <c r="DC4467" s="65">
        <v>12.28</v>
      </c>
      <c r="DD4467" s="65">
        <v>2</v>
      </c>
      <c r="DE4467" s="65">
        <f>DC4467-10.32</f>
        <v>1.9599999999999991</v>
      </c>
      <c r="DF4467" s="65" t="s">
        <v>4400</v>
      </c>
      <c r="GP4467" s="292" t="s">
        <v>7494</v>
      </c>
      <c r="JW4467" s="55" t="s">
        <v>1078</v>
      </c>
    </row>
    <row r="4468" spans="1:283" x14ac:dyDescent="0.25">
      <c r="A4468" s="55">
        <v>4467</v>
      </c>
      <c r="B4468" s="12" t="s">
        <v>7067</v>
      </c>
      <c r="C4468" s="155">
        <v>193</v>
      </c>
      <c r="D4468" s="55" t="s">
        <v>4411</v>
      </c>
      <c r="E4468" s="90" t="s">
        <v>4387</v>
      </c>
      <c r="G4468" s="55" t="s">
        <v>4388</v>
      </c>
      <c r="H4468" s="55">
        <v>2016</v>
      </c>
      <c r="I4468" s="55">
        <v>2010</v>
      </c>
      <c r="J4468" s="55" t="s">
        <v>4394</v>
      </c>
      <c r="K4468" s="55" t="s">
        <v>4389</v>
      </c>
      <c r="L4468" s="55" t="s">
        <v>3377</v>
      </c>
      <c r="M4468" s="90">
        <f>35+12/60</f>
        <v>35.200000000000003</v>
      </c>
      <c r="N4468" s="90">
        <f>107+44/60</f>
        <v>107.73333333333333</v>
      </c>
      <c r="O4468" s="90">
        <v>1220</v>
      </c>
      <c r="R4468" s="55">
        <v>487.3</v>
      </c>
      <c r="S4468" s="90">
        <v>589</v>
      </c>
      <c r="U4468" s="55" t="s">
        <v>1805</v>
      </c>
      <c r="V4468" s="55" t="s">
        <v>1682</v>
      </c>
      <c r="Y4468" s="55" t="s">
        <v>4390</v>
      </c>
      <c r="Z4468" s="55" t="s">
        <v>4396</v>
      </c>
      <c r="AA4468" s="90" t="s">
        <v>1675</v>
      </c>
      <c r="AH4468" s="55" t="s">
        <v>6378</v>
      </c>
      <c r="AI4468" s="168">
        <v>8.11</v>
      </c>
      <c r="AJ4468" s="90">
        <v>1.2</v>
      </c>
      <c r="AN4468" s="185" t="s">
        <v>4393</v>
      </c>
      <c r="AO4468" s="185" t="s">
        <v>5150</v>
      </c>
      <c r="AQ4468" s="55" t="s">
        <v>553</v>
      </c>
      <c r="AR4468" s="55" t="s">
        <v>116</v>
      </c>
      <c r="AS4468" s="55" t="s">
        <v>116</v>
      </c>
      <c r="AU4468" s="181" t="s">
        <v>7494</v>
      </c>
      <c r="AV4468" s="185" t="s">
        <v>176</v>
      </c>
      <c r="AX4468" s="185" t="s">
        <v>176</v>
      </c>
      <c r="BK4468" s="55" t="s">
        <v>5976</v>
      </c>
      <c r="BM4468" s="192" t="s">
        <v>160</v>
      </c>
      <c r="BN4468" s="55">
        <v>3</v>
      </c>
      <c r="BO4468" s="55">
        <v>3</v>
      </c>
      <c r="BQ4468" s="55" t="s">
        <v>2077</v>
      </c>
      <c r="BV4468" s="55" t="s">
        <v>4403</v>
      </c>
      <c r="DB4468" s="65">
        <v>14.74</v>
      </c>
      <c r="DC4468" s="65">
        <v>13.27</v>
      </c>
      <c r="DD4468" s="65">
        <v>2</v>
      </c>
      <c r="DE4468" s="65">
        <f>DC4468-10.66</f>
        <v>2.6099999999999994</v>
      </c>
      <c r="DF4468" s="65" t="s">
        <v>4400</v>
      </c>
      <c r="GP4468" s="292" t="s">
        <v>7494</v>
      </c>
      <c r="JW4468" s="55" t="s">
        <v>1078</v>
      </c>
    </row>
    <row r="4469" spans="1:283" x14ac:dyDescent="0.25">
      <c r="A4469" s="55">
        <v>4468</v>
      </c>
      <c r="B4469" s="12" t="s">
        <v>7067</v>
      </c>
      <c r="C4469" s="155">
        <v>193</v>
      </c>
      <c r="D4469" s="55" t="s">
        <v>4412</v>
      </c>
      <c r="E4469" s="90" t="s">
        <v>4387</v>
      </c>
      <c r="G4469" s="55" t="s">
        <v>4388</v>
      </c>
      <c r="H4469" s="55">
        <v>2016</v>
      </c>
      <c r="I4469" s="55">
        <v>2010</v>
      </c>
      <c r="J4469" s="55" t="s">
        <v>4394</v>
      </c>
      <c r="K4469" s="55" t="s">
        <v>4389</v>
      </c>
      <c r="L4469" s="55" t="s">
        <v>3377</v>
      </c>
      <c r="M4469" s="90">
        <f>35+12/60</f>
        <v>35.200000000000003</v>
      </c>
      <c r="N4469" s="90">
        <f>107+44/60</f>
        <v>107.73333333333333</v>
      </c>
      <c r="O4469" s="90">
        <v>1220</v>
      </c>
      <c r="R4469" s="55">
        <v>487.3</v>
      </c>
      <c r="S4469" s="90">
        <v>589</v>
      </c>
      <c r="U4469" s="55" t="s">
        <v>1805</v>
      </c>
      <c r="V4469" s="55" t="s">
        <v>1682</v>
      </c>
      <c r="Y4469" s="55" t="s">
        <v>4390</v>
      </c>
      <c r="Z4469" s="55" t="s">
        <v>4397</v>
      </c>
      <c r="AA4469" s="90" t="s">
        <v>1675</v>
      </c>
      <c r="AH4469" s="55" t="s">
        <v>6378</v>
      </c>
      <c r="AI4469" s="168">
        <v>8.11</v>
      </c>
      <c r="AJ4469" s="90">
        <v>1.2</v>
      </c>
      <c r="AN4469" s="185" t="s">
        <v>4393</v>
      </c>
      <c r="AO4469" s="185" t="s">
        <v>5150</v>
      </c>
      <c r="AQ4469" s="55" t="s">
        <v>553</v>
      </c>
      <c r="AR4469" s="55" t="s">
        <v>116</v>
      </c>
      <c r="AS4469" s="55" t="s">
        <v>116</v>
      </c>
      <c r="AU4469" s="181" t="s">
        <v>7494</v>
      </c>
      <c r="AV4469" s="185" t="s">
        <v>176</v>
      </c>
      <c r="AX4469" s="185" t="s">
        <v>176</v>
      </c>
      <c r="BK4469" s="55" t="s">
        <v>5976</v>
      </c>
      <c r="BM4469" s="192" t="s">
        <v>160</v>
      </c>
      <c r="BN4469" s="55">
        <v>3</v>
      </c>
      <c r="BO4469" s="55">
        <v>3</v>
      </c>
      <c r="BQ4469" s="55" t="s">
        <v>2077</v>
      </c>
      <c r="BV4469" s="55" t="s">
        <v>4403</v>
      </c>
      <c r="DB4469" s="65">
        <v>14.43</v>
      </c>
      <c r="DC4469" s="65">
        <v>12.31</v>
      </c>
      <c r="DD4469" s="65">
        <v>2</v>
      </c>
      <c r="DE4469" s="65">
        <f>DC4469-10.68</f>
        <v>1.6300000000000008</v>
      </c>
      <c r="DF4469" s="65" t="s">
        <v>4400</v>
      </c>
      <c r="GP4469" s="292" t="s">
        <v>7494</v>
      </c>
      <c r="JW4469" s="55" t="s">
        <v>1078</v>
      </c>
    </row>
    <row r="4470" spans="1:283" x14ac:dyDescent="0.25">
      <c r="A4470" s="55">
        <v>4469</v>
      </c>
      <c r="B4470" s="12" t="s">
        <v>7067</v>
      </c>
      <c r="C4470" s="155">
        <v>193</v>
      </c>
      <c r="D4470" s="55" t="s">
        <v>4413</v>
      </c>
      <c r="E4470" s="90" t="s">
        <v>4387</v>
      </c>
      <c r="G4470" s="55" t="s">
        <v>4388</v>
      </c>
      <c r="H4470" s="55">
        <v>2016</v>
      </c>
      <c r="I4470" s="55">
        <v>2010</v>
      </c>
      <c r="J4470" s="55" t="s">
        <v>4394</v>
      </c>
      <c r="K4470" s="55" t="s">
        <v>4389</v>
      </c>
      <c r="L4470" s="55" t="s">
        <v>3377</v>
      </c>
      <c r="M4470" s="90">
        <f>35+12/60</f>
        <v>35.200000000000003</v>
      </c>
      <c r="N4470" s="90">
        <f>107+44/60</f>
        <v>107.73333333333333</v>
      </c>
      <c r="O4470" s="90">
        <v>1220</v>
      </c>
      <c r="R4470" s="55">
        <v>487.3</v>
      </c>
      <c r="S4470" s="90">
        <v>589</v>
      </c>
      <c r="U4470" s="55" t="s">
        <v>1805</v>
      </c>
      <c r="V4470" s="55" t="s">
        <v>1682</v>
      </c>
      <c r="Y4470" s="55" t="s">
        <v>4390</v>
      </c>
      <c r="Z4470" s="55" t="s">
        <v>4398</v>
      </c>
      <c r="AA4470" s="90" t="s">
        <v>1675</v>
      </c>
      <c r="AH4470" s="55" t="s">
        <v>6378</v>
      </c>
      <c r="AI4470" s="168">
        <v>8.11</v>
      </c>
      <c r="AJ4470" s="90">
        <v>1.2</v>
      </c>
      <c r="AN4470" s="185" t="s">
        <v>4393</v>
      </c>
      <c r="AO4470" s="185" t="s">
        <v>5150</v>
      </c>
      <c r="AQ4470" s="55" t="s">
        <v>553</v>
      </c>
      <c r="AR4470" s="55" t="s">
        <v>116</v>
      </c>
      <c r="AS4470" s="55" t="s">
        <v>116</v>
      </c>
      <c r="AU4470" s="181" t="s">
        <v>7494</v>
      </c>
      <c r="AV4470" s="185" t="s">
        <v>176</v>
      </c>
      <c r="AX4470" s="185" t="s">
        <v>176</v>
      </c>
      <c r="BK4470" s="55" t="s">
        <v>5976</v>
      </c>
      <c r="BM4470" s="192" t="s">
        <v>160</v>
      </c>
      <c r="BN4470" s="55">
        <v>3</v>
      </c>
      <c r="BO4470" s="55">
        <v>3</v>
      </c>
      <c r="BQ4470" s="55" t="s">
        <v>2077</v>
      </c>
      <c r="BV4470" s="55" t="s">
        <v>4403</v>
      </c>
      <c r="DB4470" s="65">
        <v>15.75</v>
      </c>
      <c r="DC4470" s="65">
        <v>16.239999999999998</v>
      </c>
      <c r="DD4470" s="65">
        <v>2</v>
      </c>
      <c r="DE4470" s="65">
        <f>DC4470-13.63</f>
        <v>2.6099999999999977</v>
      </c>
      <c r="DF4470" s="65" t="s">
        <v>4400</v>
      </c>
      <c r="GP4470" s="292" t="s">
        <v>7494</v>
      </c>
      <c r="JW4470" s="55" t="s">
        <v>1078</v>
      </c>
    </row>
    <row r="4471" spans="1:283" x14ac:dyDescent="0.25">
      <c r="A4471" s="55">
        <v>4470</v>
      </c>
      <c r="B4471" s="12" t="s">
        <v>7067</v>
      </c>
      <c r="C4471" s="155">
        <v>194</v>
      </c>
      <c r="D4471" s="55" t="s">
        <v>4414</v>
      </c>
      <c r="E4471" s="90" t="s">
        <v>4387</v>
      </c>
      <c r="G4471" s="55" t="s">
        <v>4388</v>
      </c>
      <c r="H4471" s="55">
        <v>2016</v>
      </c>
      <c r="I4471" s="55">
        <v>2010</v>
      </c>
      <c r="J4471" s="55" t="s">
        <v>4415</v>
      </c>
      <c r="K4471" s="55" t="s">
        <v>4389</v>
      </c>
      <c r="L4471" s="55" t="s">
        <v>3377</v>
      </c>
      <c r="M4471" s="90">
        <f>35+12/60</f>
        <v>35.200000000000003</v>
      </c>
      <c r="N4471" s="90">
        <f>107+44/60</f>
        <v>107.73333333333333</v>
      </c>
      <c r="O4471" s="90">
        <v>1220</v>
      </c>
      <c r="S4471" s="90">
        <v>589</v>
      </c>
      <c r="U4471" s="55" t="s">
        <v>1805</v>
      </c>
      <c r="V4471" s="55" t="s">
        <v>1682</v>
      </c>
      <c r="Y4471" s="55" t="s">
        <v>4390</v>
      </c>
      <c r="Z4471" s="55" t="s">
        <v>4416</v>
      </c>
      <c r="AA4471" s="90" t="s">
        <v>3414</v>
      </c>
      <c r="AH4471" s="55" t="s">
        <v>6378</v>
      </c>
      <c r="AI4471" s="168">
        <v>8.11</v>
      </c>
      <c r="AJ4471" s="90">
        <v>1.2</v>
      </c>
      <c r="AN4471" s="185" t="s">
        <v>4392</v>
      </c>
      <c r="AO4471" s="185" t="s">
        <v>5150</v>
      </c>
      <c r="AQ4471" s="55" t="s">
        <v>553</v>
      </c>
      <c r="AR4471" s="55" t="s">
        <v>116</v>
      </c>
      <c r="AS4471" s="55" t="s">
        <v>116</v>
      </c>
      <c r="AU4471" s="181" t="s">
        <v>7494</v>
      </c>
      <c r="AV4471" s="185" t="s">
        <v>176</v>
      </c>
      <c r="AX4471" s="185" t="s">
        <v>176</v>
      </c>
      <c r="BK4471" s="55" t="s">
        <v>5976</v>
      </c>
      <c r="BM4471" s="192" t="s">
        <v>160</v>
      </c>
      <c r="BN4471" s="55">
        <v>3</v>
      </c>
      <c r="BO4471" s="55">
        <v>3</v>
      </c>
      <c r="BQ4471" s="55" t="s">
        <v>2077</v>
      </c>
      <c r="BV4471" s="55" t="s">
        <v>4417</v>
      </c>
      <c r="GD4471" s="65">
        <v>125</v>
      </c>
      <c r="GE4471" s="65">
        <v>101</v>
      </c>
      <c r="GH4471" s="65" t="s">
        <v>3165</v>
      </c>
      <c r="GP4471" s="292" t="s">
        <v>7494</v>
      </c>
      <c r="JU4471" s="55" t="s">
        <v>4422</v>
      </c>
      <c r="JW4471" s="55" t="s">
        <v>1078</v>
      </c>
    </row>
    <row r="4472" spans="1:283" x14ac:dyDescent="0.25">
      <c r="A4472" s="55">
        <v>4471</v>
      </c>
      <c r="B4472" s="12" t="s">
        <v>7067</v>
      </c>
      <c r="C4472" s="155">
        <v>194</v>
      </c>
      <c r="D4472" s="55" t="s">
        <v>4414</v>
      </c>
      <c r="E4472" s="90" t="s">
        <v>4387</v>
      </c>
      <c r="G4472" s="55" t="s">
        <v>4388</v>
      </c>
      <c r="H4472" s="55">
        <v>2016</v>
      </c>
      <c r="I4472" s="55">
        <v>2010</v>
      </c>
      <c r="J4472" s="55" t="s">
        <v>4415</v>
      </c>
      <c r="K4472" s="55" t="s">
        <v>4389</v>
      </c>
      <c r="L4472" s="55" t="s">
        <v>3377</v>
      </c>
      <c r="M4472" s="90">
        <f>35+12/60</f>
        <v>35.200000000000003</v>
      </c>
      <c r="N4472" s="90">
        <f>107+44/60</f>
        <v>107.73333333333333</v>
      </c>
      <c r="O4472" s="90">
        <v>1220</v>
      </c>
      <c r="S4472" s="90">
        <v>589</v>
      </c>
      <c r="U4472" s="55" t="s">
        <v>1805</v>
      </c>
      <c r="V4472" s="55" t="s">
        <v>1682</v>
      </c>
      <c r="Y4472" s="55" t="s">
        <v>4390</v>
      </c>
      <c r="Z4472" s="55" t="s">
        <v>4416</v>
      </c>
      <c r="AA4472" s="90" t="s">
        <v>3414</v>
      </c>
      <c r="AH4472" s="55" t="s">
        <v>6378</v>
      </c>
      <c r="AI4472" s="168">
        <v>8.11</v>
      </c>
      <c r="AJ4472" s="90">
        <v>1.2</v>
      </c>
      <c r="AN4472" s="185" t="s">
        <v>158</v>
      </c>
      <c r="AO4472" s="185" t="s">
        <v>5150</v>
      </c>
      <c r="AQ4472" s="55" t="s">
        <v>553</v>
      </c>
      <c r="AR4472" s="55" t="s">
        <v>116</v>
      </c>
      <c r="AS4472" s="55" t="s">
        <v>116</v>
      </c>
      <c r="AU4472" s="181" t="s">
        <v>7494</v>
      </c>
      <c r="AV4472" s="185" t="s">
        <v>176</v>
      </c>
      <c r="AX4472" s="185" t="s">
        <v>176</v>
      </c>
      <c r="BK4472" s="55" t="s">
        <v>5976</v>
      </c>
      <c r="BM4472" s="192" t="s">
        <v>160</v>
      </c>
      <c r="BN4472" s="55">
        <v>3</v>
      </c>
      <c r="BO4472" s="55">
        <v>3</v>
      </c>
      <c r="BQ4472" s="55" t="s">
        <v>2077</v>
      </c>
      <c r="BV4472" s="55" t="s">
        <v>4417</v>
      </c>
      <c r="GD4472" s="65">
        <v>125</v>
      </c>
      <c r="GE4472" s="65">
        <v>100</v>
      </c>
      <c r="GH4472" s="65" t="s">
        <v>3165</v>
      </c>
      <c r="GP4472" s="292" t="s">
        <v>7494</v>
      </c>
      <c r="JU4472" s="55" t="s">
        <v>4422</v>
      </c>
      <c r="JW4472" s="55" t="s">
        <v>1078</v>
      </c>
    </row>
    <row r="4473" spans="1:283" x14ac:dyDescent="0.25">
      <c r="A4473" s="55">
        <v>4472</v>
      </c>
      <c r="B4473" s="12" t="s">
        <v>7067</v>
      </c>
      <c r="C4473" s="155">
        <v>194</v>
      </c>
      <c r="D4473" s="55" t="s">
        <v>4414</v>
      </c>
      <c r="E4473" s="90" t="s">
        <v>4387</v>
      </c>
      <c r="G4473" s="55" t="s">
        <v>4388</v>
      </c>
      <c r="H4473" s="55">
        <v>2016</v>
      </c>
      <c r="I4473" s="55">
        <v>2010</v>
      </c>
      <c r="J4473" s="55" t="s">
        <v>4415</v>
      </c>
      <c r="K4473" s="55" t="s">
        <v>4389</v>
      </c>
      <c r="L4473" s="55" t="s">
        <v>3377</v>
      </c>
      <c r="M4473" s="90">
        <f>35+12/60</f>
        <v>35.200000000000003</v>
      </c>
      <c r="N4473" s="90">
        <f>107+44/60</f>
        <v>107.73333333333333</v>
      </c>
      <c r="O4473" s="90">
        <v>1220</v>
      </c>
      <c r="S4473" s="90">
        <v>589</v>
      </c>
      <c r="U4473" s="55" t="s">
        <v>1805</v>
      </c>
      <c r="V4473" s="55" t="s">
        <v>1682</v>
      </c>
      <c r="Y4473" s="55" t="s">
        <v>4390</v>
      </c>
      <c r="Z4473" s="55" t="s">
        <v>4416</v>
      </c>
      <c r="AA4473" s="90" t="s">
        <v>3414</v>
      </c>
      <c r="AH4473" s="55" t="s">
        <v>6378</v>
      </c>
      <c r="AI4473" s="168">
        <v>8.11</v>
      </c>
      <c r="AJ4473" s="90">
        <v>1.2</v>
      </c>
      <c r="AN4473" s="185" t="s">
        <v>4393</v>
      </c>
      <c r="AO4473" s="185" t="s">
        <v>5150</v>
      </c>
      <c r="AQ4473" s="55" t="s">
        <v>553</v>
      </c>
      <c r="AR4473" s="55" t="s">
        <v>116</v>
      </c>
      <c r="AS4473" s="55" t="s">
        <v>116</v>
      </c>
      <c r="AU4473" s="181" t="s">
        <v>7494</v>
      </c>
      <c r="AV4473" s="185" t="s">
        <v>176</v>
      </c>
      <c r="AX4473" s="185" t="s">
        <v>176</v>
      </c>
      <c r="BK4473" s="55" t="s">
        <v>5976</v>
      </c>
      <c r="BM4473" s="192" t="s">
        <v>160</v>
      </c>
      <c r="BN4473" s="55">
        <v>3</v>
      </c>
      <c r="BO4473" s="55">
        <v>3</v>
      </c>
      <c r="BQ4473" s="55" t="s">
        <v>2077</v>
      </c>
      <c r="BV4473" s="55" t="s">
        <v>4417</v>
      </c>
      <c r="GD4473" s="65">
        <v>125</v>
      </c>
      <c r="GE4473" s="65">
        <v>111</v>
      </c>
      <c r="GH4473" s="65" t="s">
        <v>3165</v>
      </c>
      <c r="GP4473" s="292" t="s">
        <v>7494</v>
      </c>
      <c r="JU4473" s="55" t="s">
        <v>4422</v>
      </c>
      <c r="JW4473" s="55" t="s">
        <v>1078</v>
      </c>
    </row>
    <row r="4474" spans="1:283" x14ac:dyDescent="0.25">
      <c r="A4474" s="55">
        <v>4473</v>
      </c>
      <c r="B4474" s="12" t="s">
        <v>7067</v>
      </c>
      <c r="C4474" s="155">
        <v>194</v>
      </c>
      <c r="D4474" s="55" t="s">
        <v>4414</v>
      </c>
      <c r="E4474" s="90" t="s">
        <v>4387</v>
      </c>
      <c r="G4474" s="55" t="s">
        <v>4388</v>
      </c>
      <c r="H4474" s="55">
        <v>2016</v>
      </c>
      <c r="I4474" s="55">
        <v>2010</v>
      </c>
      <c r="J4474" s="55" t="s">
        <v>4415</v>
      </c>
      <c r="K4474" s="55" t="s">
        <v>4389</v>
      </c>
      <c r="L4474" s="55" t="s">
        <v>3377</v>
      </c>
      <c r="M4474" s="90">
        <f>35+12/60</f>
        <v>35.200000000000003</v>
      </c>
      <c r="N4474" s="90">
        <f>107+44/60</f>
        <v>107.73333333333333</v>
      </c>
      <c r="O4474" s="90">
        <v>1220</v>
      </c>
      <c r="S4474" s="90">
        <v>589</v>
      </c>
      <c r="U4474" s="55" t="s">
        <v>1805</v>
      </c>
      <c r="V4474" s="55" t="s">
        <v>1682</v>
      </c>
      <c r="Y4474" s="55" t="s">
        <v>4390</v>
      </c>
      <c r="Z4474" s="55" t="s">
        <v>4416</v>
      </c>
      <c r="AA4474" s="90" t="s">
        <v>3414</v>
      </c>
      <c r="AH4474" s="55" t="s">
        <v>6378</v>
      </c>
      <c r="AI4474" s="168">
        <v>8.11</v>
      </c>
      <c r="AJ4474" s="90">
        <v>1.2</v>
      </c>
      <c r="AN4474" s="185" t="s">
        <v>4392</v>
      </c>
      <c r="AO4474" s="185" t="s">
        <v>5150</v>
      </c>
      <c r="AQ4474" s="55" t="s">
        <v>553</v>
      </c>
      <c r="AR4474" s="55" t="s">
        <v>116</v>
      </c>
      <c r="AS4474" s="55" t="s">
        <v>116</v>
      </c>
      <c r="AU4474" s="181" t="s">
        <v>7494</v>
      </c>
      <c r="AV4474" s="185" t="s">
        <v>176</v>
      </c>
      <c r="AX4474" s="185" t="s">
        <v>176</v>
      </c>
      <c r="BK4474" s="55" t="s">
        <v>5976</v>
      </c>
      <c r="BM4474" s="192" t="s">
        <v>160</v>
      </c>
      <c r="BN4474" s="55">
        <v>3</v>
      </c>
      <c r="BO4474" s="55">
        <v>3</v>
      </c>
      <c r="BQ4474" s="55" t="s">
        <v>2077</v>
      </c>
      <c r="BV4474" s="55" t="s">
        <v>4418</v>
      </c>
      <c r="GD4474" s="65">
        <v>149</v>
      </c>
      <c r="GE4474" s="65">
        <v>167</v>
      </c>
      <c r="GH4474" s="65" t="s">
        <v>3165</v>
      </c>
      <c r="GP4474" s="292" t="s">
        <v>7494</v>
      </c>
      <c r="JU4474" s="55" t="s">
        <v>4422</v>
      </c>
      <c r="JW4474" s="55" t="s">
        <v>1078</v>
      </c>
    </row>
    <row r="4475" spans="1:283" x14ac:dyDescent="0.25">
      <c r="A4475" s="55">
        <v>4474</v>
      </c>
      <c r="B4475" s="12" t="s">
        <v>7067</v>
      </c>
      <c r="C4475" s="155">
        <v>194</v>
      </c>
      <c r="D4475" s="55" t="s">
        <v>4414</v>
      </c>
      <c r="E4475" s="90" t="s">
        <v>4387</v>
      </c>
      <c r="G4475" s="55" t="s">
        <v>4388</v>
      </c>
      <c r="H4475" s="55">
        <v>2016</v>
      </c>
      <c r="I4475" s="55">
        <v>2010</v>
      </c>
      <c r="J4475" s="55" t="s">
        <v>4415</v>
      </c>
      <c r="K4475" s="55" t="s">
        <v>4389</v>
      </c>
      <c r="L4475" s="55" t="s">
        <v>3377</v>
      </c>
      <c r="M4475" s="90">
        <f>35+12/60</f>
        <v>35.200000000000003</v>
      </c>
      <c r="N4475" s="90">
        <f>107+44/60</f>
        <v>107.73333333333333</v>
      </c>
      <c r="O4475" s="90">
        <v>1220</v>
      </c>
      <c r="S4475" s="90">
        <v>589</v>
      </c>
      <c r="U4475" s="55" t="s">
        <v>1805</v>
      </c>
      <c r="V4475" s="55" t="s">
        <v>1682</v>
      </c>
      <c r="Y4475" s="55" t="s">
        <v>4390</v>
      </c>
      <c r="Z4475" s="55" t="s">
        <v>4416</v>
      </c>
      <c r="AA4475" s="90" t="s">
        <v>3414</v>
      </c>
      <c r="AH4475" s="55" t="s">
        <v>6378</v>
      </c>
      <c r="AI4475" s="168">
        <v>8.11</v>
      </c>
      <c r="AJ4475" s="90">
        <v>1.2</v>
      </c>
      <c r="AN4475" s="185" t="s">
        <v>158</v>
      </c>
      <c r="AO4475" s="185" t="s">
        <v>5150</v>
      </c>
      <c r="AQ4475" s="55" t="s">
        <v>553</v>
      </c>
      <c r="AR4475" s="55" t="s">
        <v>116</v>
      </c>
      <c r="AS4475" s="55" t="s">
        <v>116</v>
      </c>
      <c r="AU4475" s="181" t="s">
        <v>7494</v>
      </c>
      <c r="AV4475" s="185" t="s">
        <v>176</v>
      </c>
      <c r="AX4475" s="185" t="s">
        <v>176</v>
      </c>
      <c r="BK4475" s="55" t="s">
        <v>5976</v>
      </c>
      <c r="BM4475" s="192" t="s">
        <v>160</v>
      </c>
      <c r="BN4475" s="55">
        <v>3</v>
      </c>
      <c r="BO4475" s="55">
        <v>3</v>
      </c>
      <c r="BQ4475" s="55" t="s">
        <v>2077</v>
      </c>
      <c r="BV4475" s="55" t="s">
        <v>4418</v>
      </c>
      <c r="GD4475" s="65">
        <v>149</v>
      </c>
      <c r="GE4475" s="65">
        <v>164</v>
      </c>
      <c r="GH4475" s="65" t="s">
        <v>3165</v>
      </c>
      <c r="GP4475" s="292" t="s">
        <v>7494</v>
      </c>
      <c r="JU4475" s="55" t="s">
        <v>4422</v>
      </c>
      <c r="JW4475" s="55" t="s">
        <v>1078</v>
      </c>
    </row>
    <row r="4476" spans="1:283" x14ac:dyDescent="0.25">
      <c r="A4476" s="55">
        <v>4475</v>
      </c>
      <c r="B4476" s="12" t="s">
        <v>7067</v>
      </c>
      <c r="C4476" s="155">
        <v>194</v>
      </c>
      <c r="D4476" s="55" t="s">
        <v>4414</v>
      </c>
      <c r="E4476" s="90" t="s">
        <v>4387</v>
      </c>
      <c r="G4476" s="55" t="s">
        <v>4388</v>
      </c>
      <c r="H4476" s="55">
        <v>2016</v>
      </c>
      <c r="I4476" s="55">
        <v>2010</v>
      </c>
      <c r="J4476" s="55" t="s">
        <v>4415</v>
      </c>
      <c r="K4476" s="55" t="s">
        <v>4389</v>
      </c>
      <c r="L4476" s="55" t="s">
        <v>3377</v>
      </c>
      <c r="M4476" s="90">
        <f>35+12/60</f>
        <v>35.200000000000003</v>
      </c>
      <c r="N4476" s="90">
        <f>107+44/60</f>
        <v>107.73333333333333</v>
      </c>
      <c r="O4476" s="90">
        <v>1220</v>
      </c>
      <c r="S4476" s="90">
        <v>589</v>
      </c>
      <c r="U4476" s="55" t="s">
        <v>1805</v>
      </c>
      <c r="V4476" s="55" t="s">
        <v>1682</v>
      </c>
      <c r="Y4476" s="55" t="s">
        <v>4390</v>
      </c>
      <c r="Z4476" s="55" t="s">
        <v>4416</v>
      </c>
      <c r="AA4476" s="90" t="s">
        <v>3414</v>
      </c>
      <c r="AH4476" s="55" t="s">
        <v>6378</v>
      </c>
      <c r="AI4476" s="168">
        <v>8.11</v>
      </c>
      <c r="AJ4476" s="90">
        <v>1.2</v>
      </c>
      <c r="AN4476" s="185" t="s">
        <v>4393</v>
      </c>
      <c r="AO4476" s="185" t="s">
        <v>5150</v>
      </c>
      <c r="AQ4476" s="55" t="s">
        <v>553</v>
      </c>
      <c r="AR4476" s="55" t="s">
        <v>116</v>
      </c>
      <c r="AS4476" s="55" t="s">
        <v>116</v>
      </c>
      <c r="AU4476" s="181" t="s">
        <v>7494</v>
      </c>
      <c r="AV4476" s="185" t="s">
        <v>176</v>
      </c>
      <c r="AX4476" s="185" t="s">
        <v>176</v>
      </c>
      <c r="BK4476" s="55" t="s">
        <v>5976</v>
      </c>
      <c r="BM4476" s="192" t="s">
        <v>160</v>
      </c>
      <c r="BN4476" s="55">
        <v>3</v>
      </c>
      <c r="BO4476" s="55">
        <v>3</v>
      </c>
      <c r="BQ4476" s="55" t="s">
        <v>2077</v>
      </c>
      <c r="BV4476" s="55" t="s">
        <v>4418</v>
      </c>
      <c r="GD4476" s="65">
        <v>149</v>
      </c>
      <c r="GE4476" s="65">
        <v>156</v>
      </c>
      <c r="GH4476" s="65" t="s">
        <v>3165</v>
      </c>
      <c r="GP4476" s="292" t="s">
        <v>7494</v>
      </c>
      <c r="JU4476" s="55" t="s">
        <v>4422</v>
      </c>
      <c r="JW4476" s="55" t="s">
        <v>1078</v>
      </c>
    </row>
    <row r="4477" spans="1:283" x14ac:dyDescent="0.25">
      <c r="A4477" s="55">
        <v>4476</v>
      </c>
      <c r="B4477" s="12" t="s">
        <v>7067</v>
      </c>
      <c r="C4477" s="155">
        <v>194</v>
      </c>
      <c r="D4477" s="55" t="s">
        <v>4414</v>
      </c>
      <c r="E4477" s="90" t="s">
        <v>4387</v>
      </c>
      <c r="G4477" s="55" t="s">
        <v>4388</v>
      </c>
      <c r="H4477" s="55">
        <v>2016</v>
      </c>
      <c r="I4477" s="55">
        <v>2010</v>
      </c>
      <c r="J4477" s="55" t="s">
        <v>4415</v>
      </c>
      <c r="K4477" s="55" t="s">
        <v>4389</v>
      </c>
      <c r="L4477" s="55" t="s">
        <v>3377</v>
      </c>
      <c r="M4477" s="90">
        <f>35+12/60</f>
        <v>35.200000000000003</v>
      </c>
      <c r="N4477" s="90">
        <f>107+44/60</f>
        <v>107.73333333333333</v>
      </c>
      <c r="O4477" s="90">
        <v>1220</v>
      </c>
      <c r="S4477" s="90">
        <v>589</v>
      </c>
      <c r="U4477" s="55" t="s">
        <v>1805</v>
      </c>
      <c r="V4477" s="55" t="s">
        <v>1682</v>
      </c>
      <c r="Y4477" s="55" t="s">
        <v>4390</v>
      </c>
      <c r="Z4477" s="55" t="s">
        <v>4416</v>
      </c>
      <c r="AA4477" s="90" t="s">
        <v>3414</v>
      </c>
      <c r="AH4477" s="55" t="s">
        <v>6378</v>
      </c>
      <c r="AI4477" s="168">
        <v>8.11</v>
      </c>
      <c r="AJ4477" s="90">
        <v>1.2</v>
      </c>
      <c r="AN4477" s="185" t="s">
        <v>4392</v>
      </c>
      <c r="AO4477" s="185" t="s">
        <v>5150</v>
      </c>
      <c r="AQ4477" s="55" t="s">
        <v>553</v>
      </c>
      <c r="AR4477" s="55" t="s">
        <v>116</v>
      </c>
      <c r="AS4477" s="55" t="s">
        <v>116</v>
      </c>
      <c r="AU4477" s="181" t="s">
        <v>7494</v>
      </c>
      <c r="AV4477" s="185" t="s">
        <v>176</v>
      </c>
      <c r="AX4477" s="185" t="s">
        <v>176</v>
      </c>
      <c r="BK4477" s="55" t="s">
        <v>5976</v>
      </c>
      <c r="BM4477" s="192" t="s">
        <v>160</v>
      </c>
      <c r="BN4477" s="55">
        <v>3</v>
      </c>
      <c r="BO4477" s="55">
        <v>3</v>
      </c>
      <c r="BQ4477" s="55" t="s">
        <v>2077</v>
      </c>
      <c r="BV4477" s="55" t="s">
        <v>4419</v>
      </c>
      <c r="GD4477" s="65">
        <v>154</v>
      </c>
      <c r="GE4477" s="65">
        <v>160</v>
      </c>
      <c r="GH4477" s="65" t="s">
        <v>3165</v>
      </c>
      <c r="GP4477" s="292" t="s">
        <v>7494</v>
      </c>
      <c r="JU4477" s="55" t="s">
        <v>4422</v>
      </c>
      <c r="JW4477" s="55" t="s">
        <v>1078</v>
      </c>
    </row>
    <row r="4478" spans="1:283" x14ac:dyDescent="0.25">
      <c r="A4478" s="55">
        <v>4477</v>
      </c>
      <c r="B4478" s="12" t="s">
        <v>7067</v>
      </c>
      <c r="C4478" s="155">
        <v>194</v>
      </c>
      <c r="D4478" s="55" t="s">
        <v>4414</v>
      </c>
      <c r="E4478" s="90" t="s">
        <v>4387</v>
      </c>
      <c r="G4478" s="55" t="s">
        <v>4388</v>
      </c>
      <c r="H4478" s="55">
        <v>2016</v>
      </c>
      <c r="I4478" s="55">
        <v>2010</v>
      </c>
      <c r="J4478" s="55" t="s">
        <v>4415</v>
      </c>
      <c r="K4478" s="55" t="s">
        <v>4389</v>
      </c>
      <c r="L4478" s="55" t="s">
        <v>3377</v>
      </c>
      <c r="M4478" s="90">
        <f>35+12/60</f>
        <v>35.200000000000003</v>
      </c>
      <c r="N4478" s="90">
        <f>107+44/60</f>
        <v>107.73333333333333</v>
      </c>
      <c r="O4478" s="90">
        <v>1220</v>
      </c>
      <c r="S4478" s="90">
        <v>589</v>
      </c>
      <c r="U4478" s="55" t="s">
        <v>1805</v>
      </c>
      <c r="V4478" s="55" t="s">
        <v>1682</v>
      </c>
      <c r="Y4478" s="55" t="s">
        <v>4390</v>
      </c>
      <c r="Z4478" s="55" t="s">
        <v>4416</v>
      </c>
      <c r="AA4478" s="90" t="s">
        <v>3414</v>
      </c>
      <c r="AH4478" s="55" t="s">
        <v>6378</v>
      </c>
      <c r="AI4478" s="168">
        <v>8.11</v>
      </c>
      <c r="AJ4478" s="90">
        <v>1.2</v>
      </c>
      <c r="AN4478" s="185" t="s">
        <v>158</v>
      </c>
      <c r="AO4478" s="185" t="s">
        <v>5150</v>
      </c>
      <c r="AQ4478" s="55" t="s">
        <v>553</v>
      </c>
      <c r="AR4478" s="55" t="s">
        <v>116</v>
      </c>
      <c r="AS4478" s="55" t="s">
        <v>116</v>
      </c>
      <c r="AU4478" s="181" t="s">
        <v>7494</v>
      </c>
      <c r="AV4478" s="185" t="s">
        <v>176</v>
      </c>
      <c r="AX4478" s="185" t="s">
        <v>176</v>
      </c>
      <c r="BK4478" s="55" t="s">
        <v>5976</v>
      </c>
      <c r="BM4478" s="192" t="s">
        <v>160</v>
      </c>
      <c r="BN4478" s="55">
        <v>3</v>
      </c>
      <c r="BO4478" s="55">
        <v>3</v>
      </c>
      <c r="BQ4478" s="55" t="s">
        <v>2077</v>
      </c>
      <c r="BV4478" s="55" t="s">
        <v>4419</v>
      </c>
      <c r="GD4478" s="65">
        <v>154</v>
      </c>
      <c r="GE4478" s="65">
        <v>163</v>
      </c>
      <c r="GH4478" s="65" t="s">
        <v>3165</v>
      </c>
      <c r="GP4478" s="292" t="s">
        <v>7494</v>
      </c>
      <c r="JU4478" s="55" t="s">
        <v>4422</v>
      </c>
      <c r="JW4478" s="55" t="s">
        <v>1078</v>
      </c>
    </row>
    <row r="4479" spans="1:283" x14ac:dyDescent="0.25">
      <c r="A4479" s="55">
        <v>4478</v>
      </c>
      <c r="B4479" s="12" t="s">
        <v>7067</v>
      </c>
      <c r="C4479" s="155">
        <v>194</v>
      </c>
      <c r="D4479" s="55" t="s">
        <v>4414</v>
      </c>
      <c r="E4479" s="90" t="s">
        <v>4387</v>
      </c>
      <c r="G4479" s="55" t="s">
        <v>4388</v>
      </c>
      <c r="H4479" s="55">
        <v>2016</v>
      </c>
      <c r="I4479" s="55">
        <v>2010</v>
      </c>
      <c r="J4479" s="55" t="s">
        <v>4415</v>
      </c>
      <c r="K4479" s="55" t="s">
        <v>4389</v>
      </c>
      <c r="L4479" s="55" t="s">
        <v>3377</v>
      </c>
      <c r="M4479" s="90">
        <f>35+12/60</f>
        <v>35.200000000000003</v>
      </c>
      <c r="N4479" s="90">
        <f>107+44/60</f>
        <v>107.73333333333333</v>
      </c>
      <c r="O4479" s="90">
        <v>1220</v>
      </c>
      <c r="S4479" s="90">
        <v>589</v>
      </c>
      <c r="U4479" s="55" t="s">
        <v>1805</v>
      </c>
      <c r="V4479" s="55" t="s">
        <v>1682</v>
      </c>
      <c r="Y4479" s="55" t="s">
        <v>4390</v>
      </c>
      <c r="Z4479" s="55" t="s">
        <v>4416</v>
      </c>
      <c r="AA4479" s="90" t="s">
        <v>3414</v>
      </c>
      <c r="AH4479" s="55" t="s">
        <v>6378</v>
      </c>
      <c r="AI4479" s="168">
        <v>8.11</v>
      </c>
      <c r="AJ4479" s="90">
        <v>1.2</v>
      </c>
      <c r="AN4479" s="185" t="s">
        <v>4393</v>
      </c>
      <c r="AO4479" s="185" t="s">
        <v>5150</v>
      </c>
      <c r="AQ4479" s="55" t="s">
        <v>553</v>
      </c>
      <c r="AR4479" s="55" t="s">
        <v>116</v>
      </c>
      <c r="AS4479" s="55" t="s">
        <v>116</v>
      </c>
      <c r="AU4479" s="181" t="s">
        <v>7494</v>
      </c>
      <c r="AV4479" s="185" t="s">
        <v>176</v>
      </c>
      <c r="AX4479" s="185" t="s">
        <v>176</v>
      </c>
      <c r="BK4479" s="55" t="s">
        <v>5976</v>
      </c>
      <c r="BM4479" s="192" t="s">
        <v>160</v>
      </c>
      <c r="BN4479" s="55">
        <v>3</v>
      </c>
      <c r="BO4479" s="55">
        <v>3</v>
      </c>
      <c r="BQ4479" s="55" t="s">
        <v>2077</v>
      </c>
      <c r="BV4479" s="55" t="s">
        <v>4419</v>
      </c>
      <c r="GD4479" s="65">
        <v>154</v>
      </c>
      <c r="GE4479" s="65">
        <v>154</v>
      </c>
      <c r="GH4479" s="65" t="s">
        <v>3165</v>
      </c>
      <c r="GP4479" s="292" t="s">
        <v>7494</v>
      </c>
      <c r="JU4479" s="55" t="s">
        <v>4422</v>
      </c>
      <c r="JW4479" s="55" t="s">
        <v>1078</v>
      </c>
    </row>
    <row r="4480" spans="1:283" x14ac:dyDescent="0.25">
      <c r="A4480" s="55">
        <v>4479</v>
      </c>
      <c r="B4480" s="12" t="s">
        <v>7067</v>
      </c>
      <c r="C4480" s="155">
        <v>194</v>
      </c>
      <c r="D4480" s="55" t="s">
        <v>4420</v>
      </c>
      <c r="E4480" s="90" t="s">
        <v>4387</v>
      </c>
      <c r="G4480" s="55" t="s">
        <v>4388</v>
      </c>
      <c r="H4480" s="55">
        <v>2016</v>
      </c>
      <c r="I4480" s="55">
        <v>2010</v>
      </c>
      <c r="J4480" s="55" t="s">
        <v>4415</v>
      </c>
      <c r="K4480" s="55" t="s">
        <v>4389</v>
      </c>
      <c r="L4480" s="55" t="s">
        <v>3377</v>
      </c>
      <c r="M4480" s="90">
        <f>35+12/60</f>
        <v>35.200000000000003</v>
      </c>
      <c r="N4480" s="90">
        <f>107+44/60</f>
        <v>107.73333333333333</v>
      </c>
      <c r="O4480" s="90">
        <v>1220</v>
      </c>
      <c r="S4480" s="90">
        <v>589</v>
      </c>
      <c r="U4480" s="55" t="s">
        <v>1805</v>
      </c>
      <c r="V4480" s="55" t="s">
        <v>1682</v>
      </c>
      <c r="Y4480" s="55" t="s">
        <v>4390</v>
      </c>
      <c r="Z4480" s="55" t="s">
        <v>4421</v>
      </c>
      <c r="AA4480" s="90" t="s">
        <v>3414</v>
      </c>
      <c r="AH4480" s="55" t="s">
        <v>6378</v>
      </c>
      <c r="AI4480" s="168">
        <v>8.11</v>
      </c>
      <c r="AJ4480" s="90">
        <v>1.2</v>
      </c>
      <c r="AN4480" s="185" t="s">
        <v>4392</v>
      </c>
      <c r="AO4480" s="185" t="s">
        <v>5150</v>
      </c>
      <c r="AQ4480" s="55" t="s">
        <v>553</v>
      </c>
      <c r="AR4480" s="55" t="s">
        <v>116</v>
      </c>
      <c r="AS4480" s="55" t="s">
        <v>116</v>
      </c>
      <c r="AU4480" s="181" t="s">
        <v>7494</v>
      </c>
      <c r="AV4480" s="185" t="s">
        <v>176</v>
      </c>
      <c r="AX4480" s="185" t="s">
        <v>176</v>
      </c>
      <c r="BK4480" s="55" t="s">
        <v>5976</v>
      </c>
      <c r="BM4480" s="192" t="s">
        <v>160</v>
      </c>
      <c r="BN4480" s="55">
        <v>3</v>
      </c>
      <c r="BO4480" s="55">
        <v>3</v>
      </c>
      <c r="BQ4480" s="55" t="s">
        <v>2077</v>
      </c>
      <c r="BV4480" s="55" t="s">
        <v>4417</v>
      </c>
      <c r="GD4480" s="65">
        <v>15.5</v>
      </c>
      <c r="GE4480" s="65">
        <v>3.65</v>
      </c>
      <c r="GH4480" s="65" t="s">
        <v>3165</v>
      </c>
      <c r="GP4480" s="292" t="s">
        <v>7494</v>
      </c>
      <c r="JU4480" s="55" t="s">
        <v>4422</v>
      </c>
      <c r="JW4480" s="55" t="s">
        <v>1078</v>
      </c>
    </row>
    <row r="4481" spans="1:283" x14ac:dyDescent="0.25">
      <c r="A4481" s="55">
        <v>4480</v>
      </c>
      <c r="B4481" s="12" t="s">
        <v>7067</v>
      </c>
      <c r="C4481" s="155">
        <v>194</v>
      </c>
      <c r="D4481" s="55" t="s">
        <v>4420</v>
      </c>
      <c r="E4481" s="90" t="s">
        <v>4387</v>
      </c>
      <c r="G4481" s="55" t="s">
        <v>4388</v>
      </c>
      <c r="H4481" s="55">
        <v>2016</v>
      </c>
      <c r="I4481" s="55">
        <v>2010</v>
      </c>
      <c r="J4481" s="55" t="s">
        <v>4415</v>
      </c>
      <c r="K4481" s="55" t="s">
        <v>4389</v>
      </c>
      <c r="L4481" s="55" t="s">
        <v>3377</v>
      </c>
      <c r="M4481" s="90">
        <f>35+12/60</f>
        <v>35.200000000000003</v>
      </c>
      <c r="N4481" s="90">
        <f>107+44/60</f>
        <v>107.73333333333333</v>
      </c>
      <c r="O4481" s="90">
        <v>1220</v>
      </c>
      <c r="S4481" s="90">
        <v>589</v>
      </c>
      <c r="U4481" s="55" t="s">
        <v>1805</v>
      </c>
      <c r="V4481" s="55" t="s">
        <v>1682</v>
      </c>
      <c r="Y4481" s="55" t="s">
        <v>4390</v>
      </c>
      <c r="Z4481" s="55" t="s">
        <v>4421</v>
      </c>
      <c r="AA4481" s="90" t="s">
        <v>3414</v>
      </c>
      <c r="AH4481" s="55" t="s">
        <v>6378</v>
      </c>
      <c r="AI4481" s="168">
        <v>8.11</v>
      </c>
      <c r="AJ4481" s="90">
        <v>1.2</v>
      </c>
      <c r="AN4481" s="185" t="s">
        <v>158</v>
      </c>
      <c r="AO4481" s="185" t="s">
        <v>5150</v>
      </c>
      <c r="AQ4481" s="55" t="s">
        <v>553</v>
      </c>
      <c r="AR4481" s="55" t="s">
        <v>116</v>
      </c>
      <c r="AS4481" s="55" t="s">
        <v>116</v>
      </c>
      <c r="AU4481" s="181" t="s">
        <v>7494</v>
      </c>
      <c r="AV4481" s="185" t="s">
        <v>176</v>
      </c>
      <c r="AX4481" s="185" t="s">
        <v>176</v>
      </c>
      <c r="BK4481" s="55" t="s">
        <v>5976</v>
      </c>
      <c r="BM4481" s="192" t="s">
        <v>160</v>
      </c>
      <c r="BN4481" s="55">
        <v>3</v>
      </c>
      <c r="BO4481" s="55">
        <v>3</v>
      </c>
      <c r="BQ4481" s="55" t="s">
        <v>2077</v>
      </c>
      <c r="BV4481" s="55" t="s">
        <v>4417</v>
      </c>
      <c r="GD4481" s="65">
        <v>15.5</v>
      </c>
      <c r="GE4481" s="65">
        <v>3.46</v>
      </c>
      <c r="GH4481" s="65" t="s">
        <v>3165</v>
      </c>
      <c r="GP4481" s="292" t="s">
        <v>7494</v>
      </c>
      <c r="JU4481" s="55" t="s">
        <v>4422</v>
      </c>
      <c r="JW4481" s="55" t="s">
        <v>1078</v>
      </c>
    </row>
    <row r="4482" spans="1:283" x14ac:dyDescent="0.25">
      <c r="A4482" s="55">
        <v>4481</v>
      </c>
      <c r="B4482" s="12" t="s">
        <v>7067</v>
      </c>
      <c r="C4482" s="155">
        <v>194</v>
      </c>
      <c r="D4482" s="55" t="s">
        <v>4420</v>
      </c>
      <c r="E4482" s="90" t="s">
        <v>4387</v>
      </c>
      <c r="G4482" s="55" t="s">
        <v>4388</v>
      </c>
      <c r="H4482" s="55">
        <v>2016</v>
      </c>
      <c r="I4482" s="55">
        <v>2010</v>
      </c>
      <c r="J4482" s="55" t="s">
        <v>4415</v>
      </c>
      <c r="K4482" s="55" t="s">
        <v>4389</v>
      </c>
      <c r="L4482" s="55" t="s">
        <v>3377</v>
      </c>
      <c r="M4482" s="90">
        <f>35+12/60</f>
        <v>35.200000000000003</v>
      </c>
      <c r="N4482" s="90">
        <f>107+44/60</f>
        <v>107.73333333333333</v>
      </c>
      <c r="O4482" s="90">
        <v>1220</v>
      </c>
      <c r="S4482" s="90">
        <v>589</v>
      </c>
      <c r="U4482" s="55" t="s">
        <v>1805</v>
      </c>
      <c r="V4482" s="55" t="s">
        <v>1682</v>
      </c>
      <c r="Y4482" s="55" t="s">
        <v>4390</v>
      </c>
      <c r="Z4482" s="55" t="s">
        <v>4421</v>
      </c>
      <c r="AA4482" s="90" t="s">
        <v>3414</v>
      </c>
      <c r="AH4482" s="55" t="s">
        <v>6378</v>
      </c>
      <c r="AI4482" s="168">
        <v>8.11</v>
      </c>
      <c r="AJ4482" s="90">
        <v>1.2</v>
      </c>
      <c r="AN4482" s="185" t="s">
        <v>4393</v>
      </c>
      <c r="AO4482" s="185" t="s">
        <v>5150</v>
      </c>
      <c r="AQ4482" s="55" t="s">
        <v>553</v>
      </c>
      <c r="AR4482" s="55" t="s">
        <v>116</v>
      </c>
      <c r="AS4482" s="55" t="s">
        <v>116</v>
      </c>
      <c r="AU4482" s="181" t="s">
        <v>7494</v>
      </c>
      <c r="AV4482" s="185" t="s">
        <v>176</v>
      </c>
      <c r="AX4482" s="185" t="s">
        <v>176</v>
      </c>
      <c r="BK4482" s="55" t="s">
        <v>5976</v>
      </c>
      <c r="BM4482" s="192" t="s">
        <v>160</v>
      </c>
      <c r="BN4482" s="55">
        <v>3</v>
      </c>
      <c r="BO4482" s="55">
        <v>3</v>
      </c>
      <c r="BQ4482" s="55" t="s">
        <v>2077</v>
      </c>
      <c r="BV4482" s="55" t="s">
        <v>4417</v>
      </c>
      <c r="GD4482" s="65">
        <v>15.5</v>
      </c>
      <c r="GE4482" s="65">
        <v>12.7</v>
      </c>
      <c r="GH4482" s="65" t="s">
        <v>3165</v>
      </c>
      <c r="GP4482" s="292" t="s">
        <v>7494</v>
      </c>
      <c r="JU4482" s="55" t="s">
        <v>4422</v>
      </c>
      <c r="JW4482" s="55" t="s">
        <v>1078</v>
      </c>
    </row>
    <row r="4483" spans="1:283" x14ac:dyDescent="0.25">
      <c r="A4483" s="55">
        <v>4482</v>
      </c>
      <c r="B4483" s="12" t="s">
        <v>7067</v>
      </c>
      <c r="C4483" s="155">
        <v>194</v>
      </c>
      <c r="D4483" s="55" t="s">
        <v>4420</v>
      </c>
      <c r="E4483" s="90" t="s">
        <v>4387</v>
      </c>
      <c r="G4483" s="55" t="s">
        <v>4388</v>
      </c>
      <c r="H4483" s="55">
        <v>2016</v>
      </c>
      <c r="I4483" s="55">
        <v>2010</v>
      </c>
      <c r="J4483" s="55" t="s">
        <v>4415</v>
      </c>
      <c r="K4483" s="55" t="s">
        <v>4389</v>
      </c>
      <c r="L4483" s="55" t="s">
        <v>3377</v>
      </c>
      <c r="M4483" s="90">
        <f>35+12/60</f>
        <v>35.200000000000003</v>
      </c>
      <c r="N4483" s="90">
        <f>107+44/60</f>
        <v>107.73333333333333</v>
      </c>
      <c r="O4483" s="90">
        <v>1220</v>
      </c>
      <c r="S4483" s="90">
        <v>589</v>
      </c>
      <c r="U4483" s="55" t="s">
        <v>1805</v>
      </c>
      <c r="V4483" s="55" t="s">
        <v>1682</v>
      </c>
      <c r="Y4483" s="55" t="s">
        <v>4390</v>
      </c>
      <c r="Z4483" s="55" t="s">
        <v>4421</v>
      </c>
      <c r="AA4483" s="90" t="s">
        <v>3414</v>
      </c>
      <c r="AH4483" s="55" t="s">
        <v>6378</v>
      </c>
      <c r="AI4483" s="168">
        <v>8.11</v>
      </c>
      <c r="AJ4483" s="90">
        <v>1.2</v>
      </c>
      <c r="AN4483" s="185" t="s">
        <v>4392</v>
      </c>
      <c r="AO4483" s="185" t="s">
        <v>5150</v>
      </c>
      <c r="AQ4483" s="55" t="s">
        <v>553</v>
      </c>
      <c r="AR4483" s="55" t="s">
        <v>116</v>
      </c>
      <c r="AS4483" s="55" t="s">
        <v>116</v>
      </c>
      <c r="AU4483" s="181" t="s">
        <v>7494</v>
      </c>
      <c r="AV4483" s="185" t="s">
        <v>176</v>
      </c>
      <c r="AX4483" s="185" t="s">
        <v>176</v>
      </c>
      <c r="BK4483" s="55" t="s">
        <v>5976</v>
      </c>
      <c r="BM4483" s="192" t="s">
        <v>160</v>
      </c>
      <c r="BN4483" s="55">
        <v>3</v>
      </c>
      <c r="BO4483" s="55">
        <v>3</v>
      </c>
      <c r="BQ4483" s="55" t="s">
        <v>2077</v>
      </c>
      <c r="BV4483" s="55" t="s">
        <v>4418</v>
      </c>
      <c r="GD4483" s="65">
        <v>86.2</v>
      </c>
      <c r="GE4483" s="65">
        <v>83.8</v>
      </c>
      <c r="GH4483" s="65" t="s">
        <v>3165</v>
      </c>
      <c r="GP4483" s="292" t="s">
        <v>7494</v>
      </c>
      <c r="JU4483" s="55" t="s">
        <v>4422</v>
      </c>
      <c r="JW4483" s="55" t="s">
        <v>1078</v>
      </c>
    </row>
    <row r="4484" spans="1:283" x14ac:dyDescent="0.25">
      <c r="A4484" s="55">
        <v>4483</v>
      </c>
      <c r="B4484" s="12" t="s">
        <v>7067</v>
      </c>
      <c r="C4484" s="155">
        <v>194</v>
      </c>
      <c r="D4484" s="55" t="s">
        <v>4420</v>
      </c>
      <c r="E4484" s="90" t="s">
        <v>4387</v>
      </c>
      <c r="G4484" s="55" t="s">
        <v>4388</v>
      </c>
      <c r="H4484" s="55">
        <v>2016</v>
      </c>
      <c r="I4484" s="55">
        <v>2010</v>
      </c>
      <c r="J4484" s="55" t="s">
        <v>4415</v>
      </c>
      <c r="K4484" s="55" t="s">
        <v>4389</v>
      </c>
      <c r="L4484" s="55" t="s">
        <v>3377</v>
      </c>
      <c r="M4484" s="90">
        <f>35+12/60</f>
        <v>35.200000000000003</v>
      </c>
      <c r="N4484" s="90">
        <f>107+44/60</f>
        <v>107.73333333333333</v>
      </c>
      <c r="O4484" s="90">
        <v>1220</v>
      </c>
      <c r="S4484" s="90">
        <v>589</v>
      </c>
      <c r="U4484" s="55" t="s">
        <v>1805</v>
      </c>
      <c r="V4484" s="55" t="s">
        <v>1682</v>
      </c>
      <c r="Y4484" s="55" t="s">
        <v>4390</v>
      </c>
      <c r="Z4484" s="55" t="s">
        <v>4421</v>
      </c>
      <c r="AA4484" s="90" t="s">
        <v>3414</v>
      </c>
      <c r="AH4484" s="55" t="s">
        <v>6378</v>
      </c>
      <c r="AI4484" s="168">
        <v>8.11</v>
      </c>
      <c r="AJ4484" s="90">
        <v>1.2</v>
      </c>
      <c r="AN4484" s="185" t="s">
        <v>158</v>
      </c>
      <c r="AO4484" s="185" t="s">
        <v>5150</v>
      </c>
      <c r="AQ4484" s="55" t="s">
        <v>553</v>
      </c>
      <c r="AR4484" s="55" t="s">
        <v>116</v>
      </c>
      <c r="AS4484" s="55" t="s">
        <v>116</v>
      </c>
      <c r="AU4484" s="181" t="s">
        <v>7494</v>
      </c>
      <c r="AV4484" s="185" t="s">
        <v>176</v>
      </c>
      <c r="AX4484" s="185" t="s">
        <v>176</v>
      </c>
      <c r="BK4484" s="55" t="s">
        <v>5976</v>
      </c>
      <c r="BM4484" s="192" t="s">
        <v>160</v>
      </c>
      <c r="BN4484" s="55">
        <v>3</v>
      </c>
      <c r="BO4484" s="55">
        <v>3</v>
      </c>
      <c r="BQ4484" s="55" t="s">
        <v>2077</v>
      </c>
      <c r="BV4484" s="55" t="s">
        <v>4418</v>
      </c>
      <c r="GD4484" s="65">
        <v>86.2</v>
      </c>
      <c r="GE4484" s="65">
        <v>88.7</v>
      </c>
      <c r="GH4484" s="65" t="s">
        <v>3165</v>
      </c>
      <c r="GP4484" s="292" t="s">
        <v>7494</v>
      </c>
      <c r="JU4484" s="55" t="s">
        <v>4422</v>
      </c>
      <c r="JW4484" s="55" t="s">
        <v>1078</v>
      </c>
    </row>
    <row r="4485" spans="1:283" x14ac:dyDescent="0.25">
      <c r="A4485" s="55">
        <v>4484</v>
      </c>
      <c r="B4485" s="12" t="s">
        <v>7067</v>
      </c>
      <c r="C4485" s="155">
        <v>194</v>
      </c>
      <c r="D4485" s="55" t="s">
        <v>4420</v>
      </c>
      <c r="E4485" s="90" t="s">
        <v>4387</v>
      </c>
      <c r="G4485" s="55" t="s">
        <v>4388</v>
      </c>
      <c r="H4485" s="55">
        <v>2016</v>
      </c>
      <c r="I4485" s="55">
        <v>2010</v>
      </c>
      <c r="J4485" s="55" t="s">
        <v>4415</v>
      </c>
      <c r="K4485" s="55" t="s">
        <v>4389</v>
      </c>
      <c r="L4485" s="55" t="s">
        <v>3377</v>
      </c>
      <c r="M4485" s="90">
        <f>35+12/60</f>
        <v>35.200000000000003</v>
      </c>
      <c r="N4485" s="90">
        <f>107+44/60</f>
        <v>107.73333333333333</v>
      </c>
      <c r="O4485" s="90">
        <v>1220</v>
      </c>
      <c r="S4485" s="90">
        <v>589</v>
      </c>
      <c r="U4485" s="55" t="s">
        <v>1805</v>
      </c>
      <c r="V4485" s="55" t="s">
        <v>1682</v>
      </c>
      <c r="Y4485" s="55" t="s">
        <v>4390</v>
      </c>
      <c r="Z4485" s="55" t="s">
        <v>4421</v>
      </c>
      <c r="AA4485" s="90" t="s">
        <v>3414</v>
      </c>
      <c r="AH4485" s="55" t="s">
        <v>6378</v>
      </c>
      <c r="AI4485" s="168">
        <v>8.11</v>
      </c>
      <c r="AJ4485" s="90">
        <v>1.2</v>
      </c>
      <c r="AN4485" s="185" t="s">
        <v>4393</v>
      </c>
      <c r="AO4485" s="185" t="s">
        <v>5150</v>
      </c>
      <c r="AQ4485" s="55" t="s">
        <v>553</v>
      </c>
      <c r="AR4485" s="55" t="s">
        <v>116</v>
      </c>
      <c r="AS4485" s="55" t="s">
        <v>116</v>
      </c>
      <c r="AU4485" s="181" t="s">
        <v>7494</v>
      </c>
      <c r="AV4485" s="185" t="s">
        <v>176</v>
      </c>
      <c r="AX4485" s="185" t="s">
        <v>176</v>
      </c>
      <c r="BK4485" s="55" t="s">
        <v>5976</v>
      </c>
      <c r="BM4485" s="192" t="s">
        <v>160</v>
      </c>
      <c r="BN4485" s="55">
        <v>3</v>
      </c>
      <c r="BO4485" s="55">
        <v>3</v>
      </c>
      <c r="BQ4485" s="55" t="s">
        <v>2077</v>
      </c>
      <c r="BV4485" s="55" t="s">
        <v>4418</v>
      </c>
      <c r="GD4485" s="65">
        <v>86.2</v>
      </c>
      <c r="GE4485" s="65">
        <v>77.3</v>
      </c>
      <c r="GH4485" s="65" t="s">
        <v>3165</v>
      </c>
      <c r="GP4485" s="292" t="s">
        <v>7494</v>
      </c>
      <c r="JU4485" s="55" t="s">
        <v>4422</v>
      </c>
      <c r="JW4485" s="55" t="s">
        <v>1078</v>
      </c>
    </row>
    <row r="4486" spans="1:283" x14ac:dyDescent="0.25">
      <c r="A4486" s="55">
        <v>4485</v>
      </c>
      <c r="B4486" s="12" t="s">
        <v>7067</v>
      </c>
      <c r="C4486" s="155">
        <v>194</v>
      </c>
      <c r="D4486" s="55" t="s">
        <v>4420</v>
      </c>
      <c r="E4486" s="90" t="s">
        <v>4387</v>
      </c>
      <c r="G4486" s="55" t="s">
        <v>4388</v>
      </c>
      <c r="H4486" s="55">
        <v>2016</v>
      </c>
      <c r="I4486" s="55">
        <v>2010</v>
      </c>
      <c r="J4486" s="55" t="s">
        <v>4415</v>
      </c>
      <c r="K4486" s="55" t="s">
        <v>4389</v>
      </c>
      <c r="L4486" s="55" t="s">
        <v>3377</v>
      </c>
      <c r="M4486" s="90">
        <f>35+12/60</f>
        <v>35.200000000000003</v>
      </c>
      <c r="N4486" s="90">
        <f>107+44/60</f>
        <v>107.73333333333333</v>
      </c>
      <c r="O4486" s="90">
        <v>1220</v>
      </c>
      <c r="S4486" s="90">
        <v>589</v>
      </c>
      <c r="U4486" s="55" t="s">
        <v>1805</v>
      </c>
      <c r="V4486" s="55" t="s">
        <v>1682</v>
      </c>
      <c r="Y4486" s="55" t="s">
        <v>4390</v>
      </c>
      <c r="Z4486" s="55" t="s">
        <v>4421</v>
      </c>
      <c r="AA4486" s="90" t="s">
        <v>3414</v>
      </c>
      <c r="AH4486" s="55" t="s">
        <v>6378</v>
      </c>
      <c r="AI4486" s="168">
        <v>8.11</v>
      </c>
      <c r="AJ4486" s="90">
        <v>1.2</v>
      </c>
      <c r="AN4486" s="185" t="s">
        <v>4392</v>
      </c>
      <c r="AO4486" s="185" t="s">
        <v>5150</v>
      </c>
      <c r="AQ4486" s="55" t="s">
        <v>553</v>
      </c>
      <c r="AR4486" s="55" t="s">
        <v>116</v>
      </c>
      <c r="AS4486" s="55" t="s">
        <v>116</v>
      </c>
      <c r="AU4486" s="181" t="s">
        <v>7494</v>
      </c>
      <c r="AV4486" s="185" t="s">
        <v>176</v>
      </c>
      <c r="AX4486" s="185" t="s">
        <v>176</v>
      </c>
      <c r="BK4486" s="55" t="s">
        <v>5976</v>
      </c>
      <c r="BM4486" s="192" t="s">
        <v>160</v>
      </c>
      <c r="BN4486" s="55">
        <v>3</v>
      </c>
      <c r="BO4486" s="55">
        <v>3</v>
      </c>
      <c r="BQ4486" s="55" t="s">
        <v>2077</v>
      </c>
      <c r="BV4486" s="55" t="s">
        <v>4419</v>
      </c>
      <c r="GD4486" s="65">
        <v>111</v>
      </c>
      <c r="GE4486" s="65">
        <v>94.2</v>
      </c>
      <c r="GH4486" s="65" t="s">
        <v>3165</v>
      </c>
      <c r="GP4486" s="292" t="s">
        <v>7494</v>
      </c>
      <c r="JU4486" s="55" t="s">
        <v>4422</v>
      </c>
      <c r="JW4486" s="55" t="s">
        <v>1078</v>
      </c>
    </row>
    <row r="4487" spans="1:283" x14ac:dyDescent="0.25">
      <c r="A4487" s="55">
        <v>4486</v>
      </c>
      <c r="B4487" s="12" t="s">
        <v>7067</v>
      </c>
      <c r="C4487" s="155">
        <v>194</v>
      </c>
      <c r="D4487" s="55" t="s">
        <v>4420</v>
      </c>
      <c r="E4487" s="90" t="s">
        <v>4387</v>
      </c>
      <c r="G4487" s="55" t="s">
        <v>4388</v>
      </c>
      <c r="H4487" s="55">
        <v>2016</v>
      </c>
      <c r="I4487" s="55">
        <v>2010</v>
      </c>
      <c r="J4487" s="55" t="s">
        <v>4415</v>
      </c>
      <c r="K4487" s="55" t="s">
        <v>4389</v>
      </c>
      <c r="L4487" s="55" t="s">
        <v>3377</v>
      </c>
      <c r="M4487" s="90">
        <f>35+12/60</f>
        <v>35.200000000000003</v>
      </c>
      <c r="N4487" s="90">
        <f>107+44/60</f>
        <v>107.73333333333333</v>
      </c>
      <c r="O4487" s="90">
        <v>1220</v>
      </c>
      <c r="S4487" s="90">
        <v>589</v>
      </c>
      <c r="U4487" s="55" t="s">
        <v>1805</v>
      </c>
      <c r="V4487" s="55" t="s">
        <v>1682</v>
      </c>
      <c r="Y4487" s="55" t="s">
        <v>4390</v>
      </c>
      <c r="Z4487" s="55" t="s">
        <v>4421</v>
      </c>
      <c r="AA4487" s="90" t="s">
        <v>3414</v>
      </c>
      <c r="AH4487" s="55" t="s">
        <v>6378</v>
      </c>
      <c r="AI4487" s="168">
        <v>8.11</v>
      </c>
      <c r="AJ4487" s="90">
        <v>1.2</v>
      </c>
      <c r="AN4487" s="185" t="s">
        <v>158</v>
      </c>
      <c r="AO4487" s="185" t="s">
        <v>5150</v>
      </c>
      <c r="AQ4487" s="55" t="s">
        <v>553</v>
      </c>
      <c r="AR4487" s="55" t="s">
        <v>116</v>
      </c>
      <c r="AS4487" s="55" t="s">
        <v>116</v>
      </c>
      <c r="AU4487" s="181" t="s">
        <v>7494</v>
      </c>
      <c r="AV4487" s="185" t="s">
        <v>176</v>
      </c>
      <c r="AX4487" s="185" t="s">
        <v>176</v>
      </c>
      <c r="BK4487" s="55" t="s">
        <v>5976</v>
      </c>
      <c r="BM4487" s="192" t="s">
        <v>160</v>
      </c>
      <c r="BN4487" s="55">
        <v>3</v>
      </c>
      <c r="BO4487" s="55">
        <v>3</v>
      </c>
      <c r="BQ4487" s="55" t="s">
        <v>2077</v>
      </c>
      <c r="BV4487" s="55" t="s">
        <v>4419</v>
      </c>
      <c r="GD4487" s="65">
        <v>111</v>
      </c>
      <c r="GE4487" s="65">
        <v>92.6</v>
      </c>
      <c r="GH4487" s="65" t="s">
        <v>3165</v>
      </c>
      <c r="GP4487" s="292" t="s">
        <v>7494</v>
      </c>
      <c r="JU4487" s="55" t="s">
        <v>4422</v>
      </c>
      <c r="JW4487" s="55" t="s">
        <v>1078</v>
      </c>
    </row>
    <row r="4488" spans="1:283" x14ac:dyDescent="0.25">
      <c r="A4488" s="55">
        <v>4487</v>
      </c>
      <c r="B4488" s="12" t="s">
        <v>7067</v>
      </c>
      <c r="C4488" s="155">
        <v>194</v>
      </c>
      <c r="D4488" s="55" t="s">
        <v>4420</v>
      </c>
      <c r="E4488" s="90" t="s">
        <v>4387</v>
      </c>
      <c r="G4488" s="55" t="s">
        <v>4388</v>
      </c>
      <c r="H4488" s="55">
        <v>2016</v>
      </c>
      <c r="I4488" s="55">
        <v>2010</v>
      </c>
      <c r="J4488" s="55" t="s">
        <v>4415</v>
      </c>
      <c r="K4488" s="55" t="s">
        <v>4389</v>
      </c>
      <c r="L4488" s="55" t="s">
        <v>3377</v>
      </c>
      <c r="M4488" s="90">
        <f>35+12/60</f>
        <v>35.200000000000003</v>
      </c>
      <c r="N4488" s="90">
        <f>107+44/60</f>
        <v>107.73333333333333</v>
      </c>
      <c r="O4488" s="90">
        <v>1220</v>
      </c>
      <c r="S4488" s="90">
        <v>589</v>
      </c>
      <c r="U4488" s="55" t="s">
        <v>1805</v>
      </c>
      <c r="V4488" s="55" t="s">
        <v>1682</v>
      </c>
      <c r="Y4488" s="55" t="s">
        <v>4390</v>
      </c>
      <c r="Z4488" s="55" t="s">
        <v>4421</v>
      </c>
      <c r="AA4488" s="90" t="s">
        <v>3414</v>
      </c>
      <c r="AH4488" s="55" t="s">
        <v>6378</v>
      </c>
      <c r="AI4488" s="168">
        <v>8.11</v>
      </c>
      <c r="AJ4488" s="90">
        <v>1.2</v>
      </c>
      <c r="AN4488" s="185" t="s">
        <v>4393</v>
      </c>
      <c r="AO4488" s="185" t="s">
        <v>5150</v>
      </c>
      <c r="AQ4488" s="55" t="s">
        <v>553</v>
      </c>
      <c r="AR4488" s="55" t="s">
        <v>116</v>
      </c>
      <c r="AS4488" s="55" t="s">
        <v>116</v>
      </c>
      <c r="AU4488" s="181" t="s">
        <v>7494</v>
      </c>
      <c r="AV4488" s="185" t="s">
        <v>176</v>
      </c>
      <c r="AX4488" s="185" t="s">
        <v>176</v>
      </c>
      <c r="BK4488" s="55" t="s">
        <v>5976</v>
      </c>
      <c r="BM4488" s="192" t="s">
        <v>160</v>
      </c>
      <c r="BN4488" s="55">
        <v>3</v>
      </c>
      <c r="BO4488" s="55">
        <v>3</v>
      </c>
      <c r="BQ4488" s="55" t="s">
        <v>2077</v>
      </c>
      <c r="BV4488" s="55" t="s">
        <v>4419</v>
      </c>
      <c r="GD4488" s="65">
        <v>111</v>
      </c>
      <c r="GE4488" s="65">
        <v>94.9</v>
      </c>
      <c r="GH4488" s="65" t="s">
        <v>3165</v>
      </c>
      <c r="GP4488" s="292" t="s">
        <v>7494</v>
      </c>
      <c r="JU4488" s="55" t="s">
        <v>4422</v>
      </c>
      <c r="JW4488" s="55" t="s">
        <v>1078</v>
      </c>
    </row>
    <row r="4489" spans="1:283" x14ac:dyDescent="0.25">
      <c r="A4489" s="55">
        <v>4488</v>
      </c>
      <c r="B4489" s="12" t="s">
        <v>7067</v>
      </c>
      <c r="C4489" s="155">
        <v>194</v>
      </c>
      <c r="D4489" s="55" t="s">
        <v>4414</v>
      </c>
      <c r="E4489" s="90" t="s">
        <v>4387</v>
      </c>
      <c r="G4489" s="55" t="s">
        <v>4388</v>
      </c>
      <c r="H4489" s="55">
        <v>2016</v>
      </c>
      <c r="I4489" s="55">
        <v>2010</v>
      </c>
      <c r="J4489" s="55" t="s">
        <v>4415</v>
      </c>
      <c r="K4489" s="55" t="s">
        <v>4389</v>
      </c>
      <c r="L4489" s="55" t="s">
        <v>3377</v>
      </c>
      <c r="M4489" s="90">
        <f>35+12/60</f>
        <v>35.200000000000003</v>
      </c>
      <c r="N4489" s="90">
        <f>107+44/60</f>
        <v>107.73333333333333</v>
      </c>
      <c r="O4489" s="90">
        <v>1220</v>
      </c>
      <c r="S4489" s="90">
        <v>589</v>
      </c>
      <c r="U4489" s="55" t="s">
        <v>1805</v>
      </c>
      <c r="V4489" s="55" t="s">
        <v>1682</v>
      </c>
      <c r="Y4489" s="55" t="s">
        <v>4390</v>
      </c>
      <c r="Z4489" s="55" t="s">
        <v>4416</v>
      </c>
      <c r="AA4489" s="90" t="s">
        <v>3414</v>
      </c>
      <c r="AH4489" s="55" t="s">
        <v>6378</v>
      </c>
      <c r="AI4489" s="168">
        <v>8.11</v>
      </c>
      <c r="AJ4489" s="90">
        <v>1.2</v>
      </c>
      <c r="AN4489" s="185" t="s">
        <v>4392</v>
      </c>
      <c r="AO4489" s="185" t="s">
        <v>5150</v>
      </c>
      <c r="AQ4489" s="55" t="s">
        <v>553</v>
      </c>
      <c r="AR4489" s="55" t="s">
        <v>116</v>
      </c>
      <c r="AS4489" s="55" t="s">
        <v>116</v>
      </c>
      <c r="AU4489" s="181" t="s">
        <v>7494</v>
      </c>
      <c r="AV4489" s="185" t="s">
        <v>176</v>
      </c>
      <c r="AX4489" s="185" t="s">
        <v>176</v>
      </c>
      <c r="BK4489" s="55" t="s">
        <v>5976</v>
      </c>
      <c r="BM4489" s="192" t="s">
        <v>160</v>
      </c>
      <c r="BN4489" s="55">
        <v>3</v>
      </c>
      <c r="BO4489" s="55">
        <v>3</v>
      </c>
      <c r="BQ4489" s="55" t="s">
        <v>2077</v>
      </c>
      <c r="BV4489" s="55" t="s">
        <v>4417</v>
      </c>
      <c r="GD4489" s="65">
        <v>147</v>
      </c>
      <c r="GE4489" s="65">
        <v>126</v>
      </c>
      <c r="GH4489" s="65" t="s">
        <v>3165</v>
      </c>
      <c r="GP4489" s="292" t="s">
        <v>7494</v>
      </c>
      <c r="JU4489" s="55" t="s">
        <v>4423</v>
      </c>
      <c r="JW4489" s="55" t="s">
        <v>1078</v>
      </c>
    </row>
    <row r="4490" spans="1:283" x14ac:dyDescent="0.25">
      <c r="A4490" s="55">
        <v>4489</v>
      </c>
      <c r="B4490" s="12" t="s">
        <v>7067</v>
      </c>
      <c r="C4490" s="155">
        <v>194</v>
      </c>
      <c r="D4490" s="55" t="s">
        <v>4414</v>
      </c>
      <c r="E4490" s="90" t="s">
        <v>4387</v>
      </c>
      <c r="G4490" s="55" t="s">
        <v>4388</v>
      </c>
      <c r="H4490" s="55">
        <v>2016</v>
      </c>
      <c r="I4490" s="55">
        <v>2010</v>
      </c>
      <c r="J4490" s="55" t="s">
        <v>4415</v>
      </c>
      <c r="K4490" s="55" t="s">
        <v>4389</v>
      </c>
      <c r="L4490" s="55" t="s">
        <v>3377</v>
      </c>
      <c r="M4490" s="90">
        <f>35+12/60</f>
        <v>35.200000000000003</v>
      </c>
      <c r="N4490" s="90">
        <f>107+44/60</f>
        <v>107.73333333333333</v>
      </c>
      <c r="O4490" s="90">
        <v>1220</v>
      </c>
      <c r="S4490" s="90">
        <v>589</v>
      </c>
      <c r="U4490" s="55" t="s">
        <v>1805</v>
      </c>
      <c r="V4490" s="55" t="s">
        <v>1682</v>
      </c>
      <c r="Y4490" s="55" t="s">
        <v>4390</v>
      </c>
      <c r="Z4490" s="55" t="s">
        <v>4416</v>
      </c>
      <c r="AA4490" s="90" t="s">
        <v>3414</v>
      </c>
      <c r="AH4490" s="55" t="s">
        <v>6378</v>
      </c>
      <c r="AI4490" s="168">
        <v>8.11</v>
      </c>
      <c r="AJ4490" s="90">
        <v>1.2</v>
      </c>
      <c r="AN4490" s="185" t="s">
        <v>158</v>
      </c>
      <c r="AO4490" s="185" t="s">
        <v>5150</v>
      </c>
      <c r="AQ4490" s="55" t="s">
        <v>553</v>
      </c>
      <c r="AR4490" s="55" t="s">
        <v>116</v>
      </c>
      <c r="AS4490" s="55" t="s">
        <v>116</v>
      </c>
      <c r="AU4490" s="181" t="s">
        <v>7494</v>
      </c>
      <c r="AV4490" s="185" t="s">
        <v>176</v>
      </c>
      <c r="AX4490" s="185" t="s">
        <v>176</v>
      </c>
      <c r="BK4490" s="55" t="s">
        <v>5976</v>
      </c>
      <c r="BM4490" s="192" t="s">
        <v>160</v>
      </c>
      <c r="BN4490" s="55">
        <v>3</v>
      </c>
      <c r="BO4490" s="55">
        <v>3</v>
      </c>
      <c r="BQ4490" s="55" t="s">
        <v>2077</v>
      </c>
      <c r="BV4490" s="55" t="s">
        <v>4417</v>
      </c>
      <c r="GD4490" s="65">
        <v>147</v>
      </c>
      <c r="GE4490" s="65">
        <v>129</v>
      </c>
      <c r="GH4490" s="65" t="s">
        <v>3165</v>
      </c>
      <c r="GP4490" s="292" t="s">
        <v>7494</v>
      </c>
      <c r="JU4490" s="55" t="s">
        <v>4423</v>
      </c>
      <c r="JW4490" s="55" t="s">
        <v>1078</v>
      </c>
    </row>
    <row r="4491" spans="1:283" x14ac:dyDescent="0.25">
      <c r="A4491" s="55">
        <v>4490</v>
      </c>
      <c r="B4491" s="12" t="s">
        <v>7067</v>
      </c>
      <c r="C4491" s="155">
        <v>194</v>
      </c>
      <c r="D4491" s="55" t="s">
        <v>4414</v>
      </c>
      <c r="E4491" s="90" t="s">
        <v>4387</v>
      </c>
      <c r="G4491" s="55" t="s">
        <v>4388</v>
      </c>
      <c r="H4491" s="55">
        <v>2016</v>
      </c>
      <c r="I4491" s="55">
        <v>2010</v>
      </c>
      <c r="J4491" s="55" t="s">
        <v>4415</v>
      </c>
      <c r="K4491" s="55" t="s">
        <v>4389</v>
      </c>
      <c r="L4491" s="55" t="s">
        <v>3377</v>
      </c>
      <c r="M4491" s="90">
        <f>35+12/60</f>
        <v>35.200000000000003</v>
      </c>
      <c r="N4491" s="90">
        <f>107+44/60</f>
        <v>107.73333333333333</v>
      </c>
      <c r="O4491" s="90">
        <v>1220</v>
      </c>
      <c r="S4491" s="90">
        <v>589</v>
      </c>
      <c r="U4491" s="55" t="s">
        <v>1805</v>
      </c>
      <c r="V4491" s="55" t="s">
        <v>1682</v>
      </c>
      <c r="Y4491" s="55" t="s">
        <v>4390</v>
      </c>
      <c r="Z4491" s="55" t="s">
        <v>4416</v>
      </c>
      <c r="AA4491" s="90" t="s">
        <v>3414</v>
      </c>
      <c r="AH4491" s="55" t="s">
        <v>6378</v>
      </c>
      <c r="AI4491" s="168">
        <v>8.11</v>
      </c>
      <c r="AJ4491" s="90">
        <v>1.2</v>
      </c>
      <c r="AN4491" s="185" t="s">
        <v>4393</v>
      </c>
      <c r="AO4491" s="185" t="s">
        <v>5150</v>
      </c>
      <c r="AQ4491" s="55" t="s">
        <v>553</v>
      </c>
      <c r="AR4491" s="55" t="s">
        <v>116</v>
      </c>
      <c r="AS4491" s="55" t="s">
        <v>116</v>
      </c>
      <c r="AU4491" s="181" t="s">
        <v>7494</v>
      </c>
      <c r="AV4491" s="185" t="s">
        <v>176</v>
      </c>
      <c r="AX4491" s="185" t="s">
        <v>176</v>
      </c>
      <c r="BK4491" s="55" t="s">
        <v>5976</v>
      </c>
      <c r="BM4491" s="192" t="s">
        <v>160</v>
      </c>
      <c r="BN4491" s="55">
        <v>3</v>
      </c>
      <c r="BO4491" s="55">
        <v>3</v>
      </c>
      <c r="BQ4491" s="55" t="s">
        <v>2077</v>
      </c>
      <c r="BV4491" s="55" t="s">
        <v>4417</v>
      </c>
      <c r="GD4491" s="65">
        <v>147</v>
      </c>
      <c r="GE4491" s="65">
        <v>128</v>
      </c>
      <c r="GH4491" s="65" t="s">
        <v>3165</v>
      </c>
      <c r="GP4491" s="292" t="s">
        <v>7494</v>
      </c>
      <c r="JU4491" s="55" t="s">
        <v>4423</v>
      </c>
      <c r="JW4491" s="55" t="s">
        <v>1078</v>
      </c>
    </row>
    <row r="4492" spans="1:283" x14ac:dyDescent="0.25">
      <c r="A4492" s="55">
        <v>4491</v>
      </c>
      <c r="B4492" s="12" t="s">
        <v>7067</v>
      </c>
      <c r="C4492" s="155">
        <v>194</v>
      </c>
      <c r="D4492" s="55" t="s">
        <v>4414</v>
      </c>
      <c r="E4492" s="90" t="s">
        <v>4387</v>
      </c>
      <c r="G4492" s="55" t="s">
        <v>4388</v>
      </c>
      <c r="H4492" s="55">
        <v>2016</v>
      </c>
      <c r="I4492" s="55">
        <v>2010</v>
      </c>
      <c r="J4492" s="55" t="s">
        <v>4415</v>
      </c>
      <c r="K4492" s="55" t="s">
        <v>4389</v>
      </c>
      <c r="L4492" s="55" t="s">
        <v>3377</v>
      </c>
      <c r="M4492" s="90">
        <f>35+12/60</f>
        <v>35.200000000000003</v>
      </c>
      <c r="N4492" s="90">
        <f>107+44/60</f>
        <v>107.73333333333333</v>
      </c>
      <c r="O4492" s="90">
        <v>1220</v>
      </c>
      <c r="S4492" s="90">
        <v>589</v>
      </c>
      <c r="U4492" s="55" t="s">
        <v>1805</v>
      </c>
      <c r="V4492" s="55" t="s">
        <v>1682</v>
      </c>
      <c r="Y4492" s="55" t="s">
        <v>4390</v>
      </c>
      <c r="Z4492" s="55" t="s">
        <v>4416</v>
      </c>
      <c r="AA4492" s="90" t="s">
        <v>3414</v>
      </c>
      <c r="AH4492" s="55" t="s">
        <v>6378</v>
      </c>
      <c r="AI4492" s="168">
        <v>8.11</v>
      </c>
      <c r="AJ4492" s="90">
        <v>1.2</v>
      </c>
      <c r="AN4492" s="185" t="s">
        <v>4392</v>
      </c>
      <c r="AO4492" s="185" t="s">
        <v>5150</v>
      </c>
      <c r="AQ4492" s="55" t="s">
        <v>553</v>
      </c>
      <c r="AR4492" s="55" t="s">
        <v>116</v>
      </c>
      <c r="AS4492" s="55" t="s">
        <v>116</v>
      </c>
      <c r="AU4492" s="181" t="s">
        <v>7494</v>
      </c>
      <c r="AV4492" s="185" t="s">
        <v>176</v>
      </c>
      <c r="AX4492" s="185" t="s">
        <v>176</v>
      </c>
      <c r="BK4492" s="55" t="s">
        <v>5976</v>
      </c>
      <c r="BM4492" s="192" t="s">
        <v>160</v>
      </c>
      <c r="BN4492" s="55">
        <v>3</v>
      </c>
      <c r="BO4492" s="55">
        <v>3</v>
      </c>
      <c r="BQ4492" s="55" t="s">
        <v>2077</v>
      </c>
      <c r="BV4492" s="55" t="s">
        <v>4418</v>
      </c>
      <c r="GD4492" s="65">
        <v>130</v>
      </c>
      <c r="GE4492" s="65">
        <v>143</v>
      </c>
      <c r="GH4492" s="65" t="s">
        <v>3165</v>
      </c>
      <c r="GP4492" s="292" t="s">
        <v>7494</v>
      </c>
      <c r="JU4492" s="55" t="s">
        <v>4423</v>
      </c>
      <c r="JW4492" s="55" t="s">
        <v>1078</v>
      </c>
    </row>
    <row r="4493" spans="1:283" x14ac:dyDescent="0.25">
      <c r="A4493" s="55">
        <v>4492</v>
      </c>
      <c r="B4493" s="12" t="s">
        <v>7067</v>
      </c>
      <c r="C4493" s="155">
        <v>194</v>
      </c>
      <c r="D4493" s="55" t="s">
        <v>4414</v>
      </c>
      <c r="E4493" s="90" t="s">
        <v>4387</v>
      </c>
      <c r="G4493" s="55" t="s">
        <v>4388</v>
      </c>
      <c r="H4493" s="55">
        <v>2016</v>
      </c>
      <c r="I4493" s="55">
        <v>2010</v>
      </c>
      <c r="J4493" s="55" t="s">
        <v>4415</v>
      </c>
      <c r="K4493" s="55" t="s">
        <v>4389</v>
      </c>
      <c r="L4493" s="55" t="s">
        <v>3377</v>
      </c>
      <c r="M4493" s="90">
        <f>35+12/60</f>
        <v>35.200000000000003</v>
      </c>
      <c r="N4493" s="90">
        <f>107+44/60</f>
        <v>107.73333333333333</v>
      </c>
      <c r="O4493" s="90">
        <v>1220</v>
      </c>
      <c r="S4493" s="90">
        <v>589</v>
      </c>
      <c r="U4493" s="55" t="s">
        <v>1805</v>
      </c>
      <c r="V4493" s="55" t="s">
        <v>1682</v>
      </c>
      <c r="Y4493" s="55" t="s">
        <v>4390</v>
      </c>
      <c r="Z4493" s="55" t="s">
        <v>4416</v>
      </c>
      <c r="AA4493" s="90" t="s">
        <v>3414</v>
      </c>
      <c r="AH4493" s="55" t="s">
        <v>6378</v>
      </c>
      <c r="AI4493" s="168">
        <v>8.11</v>
      </c>
      <c r="AJ4493" s="90">
        <v>1.2</v>
      </c>
      <c r="AN4493" s="185" t="s">
        <v>158</v>
      </c>
      <c r="AO4493" s="185" t="s">
        <v>5150</v>
      </c>
      <c r="AQ4493" s="55" t="s">
        <v>553</v>
      </c>
      <c r="AR4493" s="55" t="s">
        <v>116</v>
      </c>
      <c r="AS4493" s="55" t="s">
        <v>116</v>
      </c>
      <c r="AU4493" s="181" t="s">
        <v>7494</v>
      </c>
      <c r="AV4493" s="185" t="s">
        <v>176</v>
      </c>
      <c r="AX4493" s="185" t="s">
        <v>176</v>
      </c>
      <c r="BK4493" s="55" t="s">
        <v>5976</v>
      </c>
      <c r="BM4493" s="192" t="s">
        <v>160</v>
      </c>
      <c r="BN4493" s="55">
        <v>3</v>
      </c>
      <c r="BO4493" s="55">
        <v>3</v>
      </c>
      <c r="BQ4493" s="55" t="s">
        <v>2077</v>
      </c>
      <c r="BV4493" s="55" t="s">
        <v>4418</v>
      </c>
      <c r="GD4493" s="65">
        <v>130</v>
      </c>
      <c r="GE4493" s="65">
        <v>139</v>
      </c>
      <c r="GH4493" s="65" t="s">
        <v>3165</v>
      </c>
      <c r="GP4493" s="292" t="s">
        <v>7494</v>
      </c>
      <c r="JU4493" s="55" t="s">
        <v>4423</v>
      </c>
      <c r="JW4493" s="55" t="s">
        <v>1078</v>
      </c>
    </row>
    <row r="4494" spans="1:283" x14ac:dyDescent="0.25">
      <c r="A4494" s="55">
        <v>4493</v>
      </c>
      <c r="B4494" s="12" t="s">
        <v>7067</v>
      </c>
      <c r="C4494" s="155">
        <v>194</v>
      </c>
      <c r="D4494" s="55" t="s">
        <v>4414</v>
      </c>
      <c r="E4494" s="90" t="s">
        <v>4387</v>
      </c>
      <c r="G4494" s="55" t="s">
        <v>4388</v>
      </c>
      <c r="H4494" s="55">
        <v>2016</v>
      </c>
      <c r="I4494" s="55">
        <v>2010</v>
      </c>
      <c r="J4494" s="55" t="s">
        <v>4415</v>
      </c>
      <c r="K4494" s="55" t="s">
        <v>4389</v>
      </c>
      <c r="L4494" s="55" t="s">
        <v>3377</v>
      </c>
      <c r="M4494" s="90">
        <f>35+12/60</f>
        <v>35.200000000000003</v>
      </c>
      <c r="N4494" s="90">
        <f>107+44/60</f>
        <v>107.73333333333333</v>
      </c>
      <c r="O4494" s="90">
        <v>1220</v>
      </c>
      <c r="S4494" s="90">
        <v>589</v>
      </c>
      <c r="U4494" s="55" t="s">
        <v>1805</v>
      </c>
      <c r="V4494" s="55" t="s">
        <v>1682</v>
      </c>
      <c r="Y4494" s="55" t="s">
        <v>4390</v>
      </c>
      <c r="Z4494" s="55" t="s">
        <v>4416</v>
      </c>
      <c r="AA4494" s="90" t="s">
        <v>3414</v>
      </c>
      <c r="AH4494" s="55" t="s">
        <v>6378</v>
      </c>
      <c r="AI4494" s="168">
        <v>8.11</v>
      </c>
      <c r="AJ4494" s="90">
        <v>1.2</v>
      </c>
      <c r="AN4494" s="185" t="s">
        <v>4393</v>
      </c>
      <c r="AO4494" s="185" t="s">
        <v>5150</v>
      </c>
      <c r="AQ4494" s="55" t="s">
        <v>553</v>
      </c>
      <c r="AR4494" s="55" t="s">
        <v>116</v>
      </c>
      <c r="AS4494" s="55" t="s">
        <v>116</v>
      </c>
      <c r="AU4494" s="181" t="s">
        <v>7494</v>
      </c>
      <c r="AV4494" s="185" t="s">
        <v>176</v>
      </c>
      <c r="AX4494" s="185" t="s">
        <v>176</v>
      </c>
      <c r="BK4494" s="55" t="s">
        <v>5976</v>
      </c>
      <c r="BM4494" s="192" t="s">
        <v>160</v>
      </c>
      <c r="BN4494" s="55">
        <v>3</v>
      </c>
      <c r="BO4494" s="55">
        <v>3</v>
      </c>
      <c r="BQ4494" s="55" t="s">
        <v>2077</v>
      </c>
      <c r="BV4494" s="55" t="s">
        <v>4418</v>
      </c>
      <c r="GD4494" s="65">
        <v>130</v>
      </c>
      <c r="GE4494" s="65">
        <v>138</v>
      </c>
      <c r="GH4494" s="65" t="s">
        <v>3165</v>
      </c>
      <c r="GP4494" s="292" t="s">
        <v>7494</v>
      </c>
      <c r="JU4494" s="55" t="s">
        <v>4423</v>
      </c>
      <c r="JW4494" s="55" t="s">
        <v>1078</v>
      </c>
    </row>
    <row r="4495" spans="1:283" x14ac:dyDescent="0.25">
      <c r="A4495" s="55">
        <v>4494</v>
      </c>
      <c r="B4495" s="12" t="s">
        <v>7067</v>
      </c>
      <c r="C4495" s="155">
        <v>194</v>
      </c>
      <c r="D4495" s="55" t="s">
        <v>4414</v>
      </c>
      <c r="E4495" s="90" t="s">
        <v>4387</v>
      </c>
      <c r="G4495" s="55" t="s">
        <v>4388</v>
      </c>
      <c r="H4495" s="55">
        <v>2016</v>
      </c>
      <c r="I4495" s="55">
        <v>2010</v>
      </c>
      <c r="J4495" s="55" t="s">
        <v>4415</v>
      </c>
      <c r="K4495" s="55" t="s">
        <v>4389</v>
      </c>
      <c r="L4495" s="55" t="s">
        <v>3377</v>
      </c>
      <c r="M4495" s="90">
        <f>35+12/60</f>
        <v>35.200000000000003</v>
      </c>
      <c r="N4495" s="90">
        <f>107+44/60</f>
        <v>107.73333333333333</v>
      </c>
      <c r="O4495" s="90">
        <v>1220</v>
      </c>
      <c r="S4495" s="90">
        <v>589</v>
      </c>
      <c r="U4495" s="55" t="s">
        <v>1805</v>
      </c>
      <c r="V4495" s="55" t="s">
        <v>1682</v>
      </c>
      <c r="Y4495" s="55" t="s">
        <v>4390</v>
      </c>
      <c r="Z4495" s="55" t="s">
        <v>4416</v>
      </c>
      <c r="AA4495" s="90" t="s">
        <v>3414</v>
      </c>
      <c r="AH4495" s="55" t="s">
        <v>6378</v>
      </c>
      <c r="AI4495" s="168">
        <v>8.11</v>
      </c>
      <c r="AJ4495" s="90">
        <v>1.2</v>
      </c>
      <c r="AN4495" s="185" t="s">
        <v>4392</v>
      </c>
      <c r="AO4495" s="185" t="s">
        <v>5150</v>
      </c>
      <c r="AQ4495" s="55" t="s">
        <v>553</v>
      </c>
      <c r="AR4495" s="55" t="s">
        <v>116</v>
      </c>
      <c r="AS4495" s="55" t="s">
        <v>116</v>
      </c>
      <c r="AU4495" s="181" t="s">
        <v>7494</v>
      </c>
      <c r="AV4495" s="185" t="s">
        <v>176</v>
      </c>
      <c r="AX4495" s="185" t="s">
        <v>176</v>
      </c>
      <c r="BK4495" s="55" t="s">
        <v>5976</v>
      </c>
      <c r="BM4495" s="192" t="s">
        <v>160</v>
      </c>
      <c r="BN4495" s="55">
        <v>3</v>
      </c>
      <c r="BO4495" s="55">
        <v>3</v>
      </c>
      <c r="BQ4495" s="55" t="s">
        <v>2077</v>
      </c>
      <c r="BV4495" s="55" t="s">
        <v>4419</v>
      </c>
      <c r="GD4495" s="65">
        <v>141</v>
      </c>
      <c r="GE4495" s="65">
        <v>140</v>
      </c>
      <c r="GH4495" s="65" t="s">
        <v>3165</v>
      </c>
      <c r="GP4495" s="292" t="s">
        <v>7494</v>
      </c>
      <c r="JU4495" s="55" t="s">
        <v>4423</v>
      </c>
      <c r="JW4495" s="55" t="s">
        <v>1078</v>
      </c>
    </row>
    <row r="4496" spans="1:283" x14ac:dyDescent="0.25">
      <c r="A4496" s="55">
        <v>4495</v>
      </c>
      <c r="B4496" s="12" t="s">
        <v>7067</v>
      </c>
      <c r="C4496" s="155">
        <v>194</v>
      </c>
      <c r="D4496" s="55" t="s">
        <v>4414</v>
      </c>
      <c r="E4496" s="90" t="s">
        <v>4387</v>
      </c>
      <c r="G4496" s="55" t="s">
        <v>4388</v>
      </c>
      <c r="H4496" s="55">
        <v>2016</v>
      </c>
      <c r="I4496" s="55">
        <v>2010</v>
      </c>
      <c r="J4496" s="55" t="s">
        <v>4415</v>
      </c>
      <c r="K4496" s="55" t="s">
        <v>4389</v>
      </c>
      <c r="L4496" s="55" t="s">
        <v>3377</v>
      </c>
      <c r="M4496" s="90">
        <f>35+12/60</f>
        <v>35.200000000000003</v>
      </c>
      <c r="N4496" s="90">
        <f>107+44/60</f>
        <v>107.73333333333333</v>
      </c>
      <c r="O4496" s="90">
        <v>1220</v>
      </c>
      <c r="S4496" s="90">
        <v>589</v>
      </c>
      <c r="U4496" s="55" t="s">
        <v>1805</v>
      </c>
      <c r="V4496" s="55" t="s">
        <v>1682</v>
      </c>
      <c r="Y4496" s="55" t="s">
        <v>4390</v>
      </c>
      <c r="Z4496" s="55" t="s">
        <v>4416</v>
      </c>
      <c r="AA4496" s="90" t="s">
        <v>3414</v>
      </c>
      <c r="AH4496" s="55" t="s">
        <v>6378</v>
      </c>
      <c r="AI4496" s="168">
        <v>8.11</v>
      </c>
      <c r="AJ4496" s="90">
        <v>1.2</v>
      </c>
      <c r="AN4496" s="185" t="s">
        <v>158</v>
      </c>
      <c r="AO4496" s="185" t="s">
        <v>5150</v>
      </c>
      <c r="AQ4496" s="55" t="s">
        <v>553</v>
      </c>
      <c r="AR4496" s="55" t="s">
        <v>116</v>
      </c>
      <c r="AS4496" s="55" t="s">
        <v>116</v>
      </c>
      <c r="AU4496" s="181" t="s">
        <v>7494</v>
      </c>
      <c r="AV4496" s="185" t="s">
        <v>176</v>
      </c>
      <c r="AX4496" s="185" t="s">
        <v>176</v>
      </c>
      <c r="BK4496" s="55" t="s">
        <v>5976</v>
      </c>
      <c r="BM4496" s="192" t="s">
        <v>160</v>
      </c>
      <c r="BN4496" s="55">
        <v>3</v>
      </c>
      <c r="BO4496" s="55">
        <v>3</v>
      </c>
      <c r="BQ4496" s="55" t="s">
        <v>2077</v>
      </c>
      <c r="BV4496" s="55" t="s">
        <v>4419</v>
      </c>
      <c r="GD4496" s="65">
        <v>141</v>
      </c>
      <c r="GE4496" s="65">
        <v>144</v>
      </c>
      <c r="GH4496" s="65" t="s">
        <v>3165</v>
      </c>
      <c r="GP4496" s="292" t="s">
        <v>7494</v>
      </c>
      <c r="JU4496" s="55" t="s">
        <v>4423</v>
      </c>
      <c r="JW4496" s="55" t="s">
        <v>1078</v>
      </c>
    </row>
    <row r="4497" spans="1:283" x14ac:dyDescent="0.25">
      <c r="A4497" s="55">
        <v>4496</v>
      </c>
      <c r="B4497" s="12" t="s">
        <v>7067</v>
      </c>
      <c r="C4497" s="155">
        <v>194</v>
      </c>
      <c r="D4497" s="55" t="s">
        <v>4414</v>
      </c>
      <c r="E4497" s="90" t="s">
        <v>4387</v>
      </c>
      <c r="G4497" s="55" t="s">
        <v>4388</v>
      </c>
      <c r="H4497" s="55">
        <v>2016</v>
      </c>
      <c r="I4497" s="55">
        <v>2010</v>
      </c>
      <c r="J4497" s="55" t="s">
        <v>4415</v>
      </c>
      <c r="K4497" s="55" t="s">
        <v>4389</v>
      </c>
      <c r="L4497" s="55" t="s">
        <v>3377</v>
      </c>
      <c r="M4497" s="90">
        <f>35+12/60</f>
        <v>35.200000000000003</v>
      </c>
      <c r="N4497" s="90">
        <f>107+44/60</f>
        <v>107.73333333333333</v>
      </c>
      <c r="O4497" s="90">
        <v>1220</v>
      </c>
      <c r="S4497" s="90">
        <v>589</v>
      </c>
      <c r="U4497" s="55" t="s">
        <v>1805</v>
      </c>
      <c r="V4497" s="55" t="s">
        <v>1682</v>
      </c>
      <c r="Y4497" s="55" t="s">
        <v>4390</v>
      </c>
      <c r="Z4497" s="55" t="s">
        <v>4416</v>
      </c>
      <c r="AA4497" s="90" t="s">
        <v>3414</v>
      </c>
      <c r="AH4497" s="55" t="s">
        <v>6378</v>
      </c>
      <c r="AI4497" s="168">
        <v>8.11</v>
      </c>
      <c r="AJ4497" s="90">
        <v>1.2</v>
      </c>
      <c r="AN4497" s="185" t="s">
        <v>4393</v>
      </c>
      <c r="AO4497" s="185" t="s">
        <v>5150</v>
      </c>
      <c r="AQ4497" s="55" t="s">
        <v>553</v>
      </c>
      <c r="AR4497" s="55" t="s">
        <v>116</v>
      </c>
      <c r="AS4497" s="55" t="s">
        <v>116</v>
      </c>
      <c r="AU4497" s="181" t="s">
        <v>7494</v>
      </c>
      <c r="AV4497" s="185" t="s">
        <v>176</v>
      </c>
      <c r="AX4497" s="185" t="s">
        <v>176</v>
      </c>
      <c r="BK4497" s="55" t="s">
        <v>5976</v>
      </c>
      <c r="BM4497" s="192" t="s">
        <v>160</v>
      </c>
      <c r="BN4497" s="55">
        <v>3</v>
      </c>
      <c r="BO4497" s="55">
        <v>3</v>
      </c>
      <c r="BQ4497" s="55" t="s">
        <v>2077</v>
      </c>
      <c r="BV4497" s="55" t="s">
        <v>4419</v>
      </c>
      <c r="GD4497" s="65">
        <v>141</v>
      </c>
      <c r="GE4497" s="65">
        <v>142</v>
      </c>
      <c r="GH4497" s="65" t="s">
        <v>3165</v>
      </c>
      <c r="GP4497" s="292" t="s">
        <v>7494</v>
      </c>
      <c r="JU4497" s="55" t="s">
        <v>4423</v>
      </c>
      <c r="JW4497" s="55" t="s">
        <v>1078</v>
      </c>
    </row>
    <row r="4498" spans="1:283" x14ac:dyDescent="0.25">
      <c r="A4498" s="55">
        <v>4497</v>
      </c>
      <c r="B4498" s="12" t="s">
        <v>7067</v>
      </c>
      <c r="C4498" s="155">
        <v>194</v>
      </c>
      <c r="D4498" s="55" t="s">
        <v>4420</v>
      </c>
      <c r="E4498" s="90" t="s">
        <v>4387</v>
      </c>
      <c r="G4498" s="55" t="s">
        <v>4388</v>
      </c>
      <c r="H4498" s="55">
        <v>2016</v>
      </c>
      <c r="I4498" s="55">
        <v>2010</v>
      </c>
      <c r="J4498" s="55" t="s">
        <v>4415</v>
      </c>
      <c r="K4498" s="55" t="s">
        <v>4389</v>
      </c>
      <c r="L4498" s="55" t="s">
        <v>3377</v>
      </c>
      <c r="M4498" s="90">
        <f>35+12/60</f>
        <v>35.200000000000003</v>
      </c>
      <c r="N4498" s="90">
        <f>107+44/60</f>
        <v>107.73333333333333</v>
      </c>
      <c r="O4498" s="90">
        <v>1220</v>
      </c>
      <c r="S4498" s="90">
        <v>589</v>
      </c>
      <c r="U4498" s="55" t="s">
        <v>1805</v>
      </c>
      <c r="V4498" s="55" t="s">
        <v>1682</v>
      </c>
      <c r="Y4498" s="55" t="s">
        <v>4390</v>
      </c>
      <c r="Z4498" s="55" t="s">
        <v>4421</v>
      </c>
      <c r="AA4498" s="90" t="s">
        <v>3414</v>
      </c>
      <c r="AH4498" s="55" t="s">
        <v>6378</v>
      </c>
      <c r="AI4498" s="168">
        <v>8.11</v>
      </c>
      <c r="AJ4498" s="90">
        <v>1.2</v>
      </c>
      <c r="AN4498" s="185" t="s">
        <v>4392</v>
      </c>
      <c r="AO4498" s="185" t="s">
        <v>5150</v>
      </c>
      <c r="AQ4498" s="55" t="s">
        <v>553</v>
      </c>
      <c r="AR4498" s="55" t="s">
        <v>116</v>
      </c>
      <c r="AS4498" s="55" t="s">
        <v>116</v>
      </c>
      <c r="AU4498" s="181" t="s">
        <v>7494</v>
      </c>
      <c r="AV4498" s="185" t="s">
        <v>176</v>
      </c>
      <c r="AX4498" s="185" t="s">
        <v>176</v>
      </c>
      <c r="BK4498" s="55" t="s">
        <v>5976</v>
      </c>
      <c r="BM4498" s="192" t="s">
        <v>160</v>
      </c>
      <c r="BN4498" s="55">
        <v>3</v>
      </c>
      <c r="BO4498" s="55">
        <v>3</v>
      </c>
      <c r="BQ4498" s="55" t="s">
        <v>2077</v>
      </c>
      <c r="BV4498" s="55" t="s">
        <v>4417</v>
      </c>
      <c r="GD4498" s="65">
        <v>24.4</v>
      </c>
      <c r="GE4498" s="65">
        <v>15.7</v>
      </c>
      <c r="GH4498" s="65" t="s">
        <v>3165</v>
      </c>
      <c r="GP4498" s="292" t="s">
        <v>7494</v>
      </c>
      <c r="JU4498" s="55" t="s">
        <v>4423</v>
      </c>
      <c r="JW4498" s="55" t="s">
        <v>1078</v>
      </c>
    </row>
    <row r="4499" spans="1:283" x14ac:dyDescent="0.25">
      <c r="A4499" s="55">
        <v>4498</v>
      </c>
      <c r="B4499" s="12" t="s">
        <v>7067</v>
      </c>
      <c r="C4499" s="155">
        <v>194</v>
      </c>
      <c r="D4499" s="55" t="s">
        <v>4420</v>
      </c>
      <c r="E4499" s="90" t="s">
        <v>4387</v>
      </c>
      <c r="G4499" s="55" t="s">
        <v>4388</v>
      </c>
      <c r="H4499" s="55">
        <v>2016</v>
      </c>
      <c r="I4499" s="55">
        <v>2010</v>
      </c>
      <c r="J4499" s="55" t="s">
        <v>4415</v>
      </c>
      <c r="K4499" s="55" t="s">
        <v>4389</v>
      </c>
      <c r="L4499" s="55" t="s">
        <v>3377</v>
      </c>
      <c r="M4499" s="90">
        <f>35+12/60</f>
        <v>35.200000000000003</v>
      </c>
      <c r="N4499" s="90">
        <f>107+44/60</f>
        <v>107.73333333333333</v>
      </c>
      <c r="O4499" s="90">
        <v>1220</v>
      </c>
      <c r="S4499" s="90">
        <v>589</v>
      </c>
      <c r="U4499" s="55" t="s">
        <v>1805</v>
      </c>
      <c r="V4499" s="55" t="s">
        <v>1682</v>
      </c>
      <c r="Y4499" s="55" t="s">
        <v>4390</v>
      </c>
      <c r="Z4499" s="55" t="s">
        <v>4421</v>
      </c>
      <c r="AA4499" s="90" t="s">
        <v>3414</v>
      </c>
      <c r="AH4499" s="55" t="s">
        <v>6378</v>
      </c>
      <c r="AI4499" s="168">
        <v>8.11</v>
      </c>
      <c r="AJ4499" s="90">
        <v>1.2</v>
      </c>
      <c r="AN4499" s="185" t="s">
        <v>158</v>
      </c>
      <c r="AO4499" s="185" t="s">
        <v>5150</v>
      </c>
      <c r="AQ4499" s="55" t="s">
        <v>553</v>
      </c>
      <c r="AR4499" s="55" t="s">
        <v>116</v>
      </c>
      <c r="AS4499" s="55" t="s">
        <v>116</v>
      </c>
      <c r="AU4499" s="181" t="s">
        <v>7494</v>
      </c>
      <c r="AV4499" s="185" t="s">
        <v>176</v>
      </c>
      <c r="AX4499" s="185" t="s">
        <v>176</v>
      </c>
      <c r="BK4499" s="55" t="s">
        <v>5976</v>
      </c>
      <c r="BM4499" s="192" t="s">
        <v>160</v>
      </c>
      <c r="BN4499" s="55">
        <v>3</v>
      </c>
      <c r="BO4499" s="55">
        <v>3</v>
      </c>
      <c r="BQ4499" s="55" t="s">
        <v>2077</v>
      </c>
      <c r="BV4499" s="55" t="s">
        <v>4417</v>
      </c>
      <c r="GD4499" s="65">
        <v>24.4</v>
      </c>
      <c r="GE4499" s="65">
        <v>14.5</v>
      </c>
      <c r="GH4499" s="65" t="s">
        <v>3165</v>
      </c>
      <c r="GP4499" s="292" t="s">
        <v>7494</v>
      </c>
      <c r="JU4499" s="55" t="s">
        <v>4423</v>
      </c>
      <c r="JW4499" s="55" t="s">
        <v>1078</v>
      </c>
    </row>
    <row r="4500" spans="1:283" x14ac:dyDescent="0.25">
      <c r="A4500" s="55">
        <v>4499</v>
      </c>
      <c r="B4500" s="12" t="s">
        <v>7067</v>
      </c>
      <c r="C4500" s="155">
        <v>194</v>
      </c>
      <c r="D4500" s="55" t="s">
        <v>4420</v>
      </c>
      <c r="E4500" s="90" t="s">
        <v>4387</v>
      </c>
      <c r="G4500" s="55" t="s">
        <v>4388</v>
      </c>
      <c r="H4500" s="55">
        <v>2016</v>
      </c>
      <c r="I4500" s="55">
        <v>2010</v>
      </c>
      <c r="J4500" s="55" t="s">
        <v>4415</v>
      </c>
      <c r="K4500" s="55" t="s">
        <v>4389</v>
      </c>
      <c r="L4500" s="55" t="s">
        <v>3377</v>
      </c>
      <c r="M4500" s="90">
        <f>35+12/60</f>
        <v>35.200000000000003</v>
      </c>
      <c r="N4500" s="90">
        <f>107+44/60</f>
        <v>107.73333333333333</v>
      </c>
      <c r="O4500" s="90">
        <v>1220</v>
      </c>
      <c r="S4500" s="90">
        <v>589</v>
      </c>
      <c r="U4500" s="55" t="s">
        <v>1805</v>
      </c>
      <c r="V4500" s="55" t="s">
        <v>1682</v>
      </c>
      <c r="Y4500" s="55" t="s">
        <v>4390</v>
      </c>
      <c r="Z4500" s="55" t="s">
        <v>4421</v>
      </c>
      <c r="AA4500" s="90" t="s">
        <v>3414</v>
      </c>
      <c r="AH4500" s="55" t="s">
        <v>6378</v>
      </c>
      <c r="AI4500" s="168">
        <v>8.11</v>
      </c>
      <c r="AJ4500" s="90">
        <v>1.2</v>
      </c>
      <c r="AN4500" s="185" t="s">
        <v>4393</v>
      </c>
      <c r="AO4500" s="185" t="s">
        <v>5150</v>
      </c>
      <c r="AQ4500" s="55" t="s">
        <v>553</v>
      </c>
      <c r="AR4500" s="55" t="s">
        <v>116</v>
      </c>
      <c r="AS4500" s="55" t="s">
        <v>116</v>
      </c>
      <c r="AU4500" s="181" t="s">
        <v>7494</v>
      </c>
      <c r="AV4500" s="185" t="s">
        <v>176</v>
      </c>
      <c r="AX4500" s="185" t="s">
        <v>176</v>
      </c>
      <c r="BK4500" s="55" t="s">
        <v>5976</v>
      </c>
      <c r="BM4500" s="192" t="s">
        <v>160</v>
      </c>
      <c r="BN4500" s="55">
        <v>3</v>
      </c>
      <c r="BO4500" s="55">
        <v>3</v>
      </c>
      <c r="BQ4500" s="55" t="s">
        <v>2077</v>
      </c>
      <c r="BV4500" s="55" t="s">
        <v>4417</v>
      </c>
      <c r="GD4500" s="65">
        <v>24.4</v>
      </c>
      <c r="GE4500" s="65">
        <v>23.9</v>
      </c>
      <c r="GH4500" s="65" t="s">
        <v>3165</v>
      </c>
      <c r="GP4500" s="292" t="s">
        <v>7494</v>
      </c>
      <c r="JU4500" s="55" t="s">
        <v>4423</v>
      </c>
      <c r="JW4500" s="55" t="s">
        <v>1078</v>
      </c>
    </row>
    <row r="4501" spans="1:283" x14ac:dyDescent="0.25">
      <c r="A4501" s="55">
        <v>4500</v>
      </c>
      <c r="B4501" s="12" t="s">
        <v>7067</v>
      </c>
      <c r="C4501" s="155">
        <v>194</v>
      </c>
      <c r="D4501" s="55" t="s">
        <v>4420</v>
      </c>
      <c r="E4501" s="90" t="s">
        <v>4387</v>
      </c>
      <c r="G4501" s="55" t="s">
        <v>4388</v>
      </c>
      <c r="H4501" s="55">
        <v>2016</v>
      </c>
      <c r="I4501" s="55">
        <v>2010</v>
      </c>
      <c r="J4501" s="55" t="s">
        <v>4415</v>
      </c>
      <c r="K4501" s="55" t="s">
        <v>4389</v>
      </c>
      <c r="L4501" s="55" t="s">
        <v>3377</v>
      </c>
      <c r="M4501" s="90">
        <f>35+12/60</f>
        <v>35.200000000000003</v>
      </c>
      <c r="N4501" s="90">
        <f>107+44/60</f>
        <v>107.73333333333333</v>
      </c>
      <c r="O4501" s="90">
        <v>1220</v>
      </c>
      <c r="S4501" s="90">
        <v>589</v>
      </c>
      <c r="U4501" s="55" t="s">
        <v>1805</v>
      </c>
      <c r="V4501" s="55" t="s">
        <v>1682</v>
      </c>
      <c r="Y4501" s="55" t="s">
        <v>4390</v>
      </c>
      <c r="Z4501" s="55" t="s">
        <v>4421</v>
      </c>
      <c r="AA4501" s="90" t="s">
        <v>3414</v>
      </c>
      <c r="AH4501" s="55" t="s">
        <v>6378</v>
      </c>
      <c r="AI4501" s="168">
        <v>8.11</v>
      </c>
      <c r="AJ4501" s="90">
        <v>1.2</v>
      </c>
      <c r="AN4501" s="185" t="s">
        <v>4392</v>
      </c>
      <c r="AO4501" s="185" t="s">
        <v>5150</v>
      </c>
      <c r="AQ4501" s="55" t="s">
        <v>553</v>
      </c>
      <c r="AR4501" s="55" t="s">
        <v>116</v>
      </c>
      <c r="AS4501" s="55" t="s">
        <v>116</v>
      </c>
      <c r="AU4501" s="181" t="s">
        <v>7494</v>
      </c>
      <c r="AV4501" s="185" t="s">
        <v>176</v>
      </c>
      <c r="AX4501" s="185" t="s">
        <v>176</v>
      </c>
      <c r="BK4501" s="55" t="s">
        <v>5976</v>
      </c>
      <c r="BM4501" s="192" t="s">
        <v>160</v>
      </c>
      <c r="BN4501" s="55">
        <v>3</v>
      </c>
      <c r="BO4501" s="55">
        <v>3</v>
      </c>
      <c r="BQ4501" s="55" t="s">
        <v>2077</v>
      </c>
      <c r="BV4501" s="55" t="s">
        <v>4418</v>
      </c>
      <c r="GD4501" s="65">
        <v>74.599999999999994</v>
      </c>
      <c r="GE4501" s="65">
        <v>75.2</v>
      </c>
      <c r="GH4501" s="65" t="s">
        <v>3165</v>
      </c>
      <c r="GP4501" s="292" t="s">
        <v>7494</v>
      </c>
      <c r="JU4501" s="55" t="s">
        <v>4423</v>
      </c>
      <c r="JW4501" s="55" t="s">
        <v>1078</v>
      </c>
    </row>
    <row r="4502" spans="1:283" x14ac:dyDescent="0.25">
      <c r="A4502" s="55">
        <v>4501</v>
      </c>
      <c r="B4502" s="12" t="s">
        <v>7067</v>
      </c>
      <c r="C4502" s="155">
        <v>194</v>
      </c>
      <c r="D4502" s="55" t="s">
        <v>4420</v>
      </c>
      <c r="E4502" s="90" t="s">
        <v>4387</v>
      </c>
      <c r="G4502" s="55" t="s">
        <v>4388</v>
      </c>
      <c r="H4502" s="55">
        <v>2016</v>
      </c>
      <c r="I4502" s="55">
        <v>2010</v>
      </c>
      <c r="J4502" s="55" t="s">
        <v>4415</v>
      </c>
      <c r="K4502" s="55" t="s">
        <v>4389</v>
      </c>
      <c r="L4502" s="55" t="s">
        <v>3377</v>
      </c>
      <c r="M4502" s="90">
        <f>35+12/60</f>
        <v>35.200000000000003</v>
      </c>
      <c r="N4502" s="90">
        <f>107+44/60</f>
        <v>107.73333333333333</v>
      </c>
      <c r="O4502" s="90">
        <v>1220</v>
      </c>
      <c r="S4502" s="90">
        <v>589</v>
      </c>
      <c r="U4502" s="55" t="s">
        <v>1805</v>
      </c>
      <c r="V4502" s="55" t="s">
        <v>1682</v>
      </c>
      <c r="Y4502" s="55" t="s">
        <v>4390</v>
      </c>
      <c r="Z4502" s="55" t="s">
        <v>4421</v>
      </c>
      <c r="AA4502" s="90" t="s">
        <v>3414</v>
      </c>
      <c r="AH4502" s="55" t="s">
        <v>6378</v>
      </c>
      <c r="AI4502" s="168">
        <v>8.11</v>
      </c>
      <c r="AJ4502" s="90">
        <v>1.2</v>
      </c>
      <c r="AN4502" s="185" t="s">
        <v>158</v>
      </c>
      <c r="AO4502" s="185" t="s">
        <v>5150</v>
      </c>
      <c r="AQ4502" s="55" t="s">
        <v>553</v>
      </c>
      <c r="AR4502" s="55" t="s">
        <v>116</v>
      </c>
      <c r="AS4502" s="55" t="s">
        <v>116</v>
      </c>
      <c r="AU4502" s="181" t="s">
        <v>7494</v>
      </c>
      <c r="AV4502" s="185" t="s">
        <v>176</v>
      </c>
      <c r="AX4502" s="185" t="s">
        <v>176</v>
      </c>
      <c r="BK4502" s="55" t="s">
        <v>5976</v>
      </c>
      <c r="BM4502" s="192" t="s">
        <v>160</v>
      </c>
      <c r="BN4502" s="55">
        <v>3</v>
      </c>
      <c r="BO4502" s="55">
        <v>3</v>
      </c>
      <c r="BQ4502" s="55" t="s">
        <v>2077</v>
      </c>
      <c r="BV4502" s="55" t="s">
        <v>4418</v>
      </c>
      <c r="GD4502" s="65">
        <v>74.599999999999994</v>
      </c>
      <c r="GE4502" s="65">
        <v>84.4</v>
      </c>
      <c r="GH4502" s="65" t="s">
        <v>3165</v>
      </c>
      <c r="GP4502" s="292" t="s">
        <v>7494</v>
      </c>
      <c r="JU4502" s="55" t="s">
        <v>4423</v>
      </c>
      <c r="JW4502" s="55" t="s">
        <v>1078</v>
      </c>
    </row>
    <row r="4503" spans="1:283" x14ac:dyDescent="0.25">
      <c r="A4503" s="55">
        <v>4502</v>
      </c>
      <c r="B4503" s="12" t="s">
        <v>7067</v>
      </c>
      <c r="C4503" s="155">
        <v>194</v>
      </c>
      <c r="D4503" s="55" t="s">
        <v>4420</v>
      </c>
      <c r="E4503" s="90" t="s">
        <v>4387</v>
      </c>
      <c r="G4503" s="55" t="s">
        <v>4388</v>
      </c>
      <c r="H4503" s="55">
        <v>2016</v>
      </c>
      <c r="I4503" s="55">
        <v>2010</v>
      </c>
      <c r="J4503" s="55" t="s">
        <v>4415</v>
      </c>
      <c r="K4503" s="55" t="s">
        <v>4389</v>
      </c>
      <c r="L4503" s="55" t="s">
        <v>3377</v>
      </c>
      <c r="M4503" s="90">
        <f>35+12/60</f>
        <v>35.200000000000003</v>
      </c>
      <c r="N4503" s="90">
        <f>107+44/60</f>
        <v>107.73333333333333</v>
      </c>
      <c r="O4503" s="90">
        <v>1220</v>
      </c>
      <c r="S4503" s="90">
        <v>589</v>
      </c>
      <c r="U4503" s="55" t="s">
        <v>1805</v>
      </c>
      <c r="V4503" s="55" t="s">
        <v>1682</v>
      </c>
      <c r="Y4503" s="55" t="s">
        <v>4390</v>
      </c>
      <c r="Z4503" s="55" t="s">
        <v>4421</v>
      </c>
      <c r="AA4503" s="90" t="s">
        <v>3414</v>
      </c>
      <c r="AH4503" s="55" t="s">
        <v>6378</v>
      </c>
      <c r="AI4503" s="168">
        <v>8.11</v>
      </c>
      <c r="AJ4503" s="90">
        <v>1.2</v>
      </c>
      <c r="AN4503" s="185" t="s">
        <v>4393</v>
      </c>
      <c r="AO4503" s="185" t="s">
        <v>5150</v>
      </c>
      <c r="AQ4503" s="55" t="s">
        <v>553</v>
      </c>
      <c r="AR4503" s="55" t="s">
        <v>116</v>
      </c>
      <c r="AS4503" s="55" t="s">
        <v>116</v>
      </c>
      <c r="AU4503" s="181" t="s">
        <v>7494</v>
      </c>
      <c r="AV4503" s="185" t="s">
        <v>176</v>
      </c>
      <c r="AX4503" s="185" t="s">
        <v>176</v>
      </c>
      <c r="BK4503" s="55" t="s">
        <v>5976</v>
      </c>
      <c r="BM4503" s="192" t="s">
        <v>160</v>
      </c>
      <c r="BN4503" s="55">
        <v>3</v>
      </c>
      <c r="BO4503" s="55">
        <v>3</v>
      </c>
      <c r="BQ4503" s="55" t="s">
        <v>2077</v>
      </c>
      <c r="BV4503" s="55" t="s">
        <v>4418</v>
      </c>
      <c r="GD4503" s="65">
        <v>74.599999999999994</v>
      </c>
      <c r="GE4503" s="65">
        <v>71.599999999999994</v>
      </c>
      <c r="GH4503" s="65" t="s">
        <v>3165</v>
      </c>
      <c r="GP4503" s="292" t="s">
        <v>7494</v>
      </c>
      <c r="JU4503" s="55" t="s">
        <v>4423</v>
      </c>
      <c r="JW4503" s="55" t="s">
        <v>1078</v>
      </c>
    </row>
    <row r="4504" spans="1:283" x14ac:dyDescent="0.25">
      <c r="A4504" s="55">
        <v>4503</v>
      </c>
      <c r="B4504" s="12" t="s">
        <v>7067</v>
      </c>
      <c r="C4504" s="155">
        <v>194</v>
      </c>
      <c r="D4504" s="55" t="s">
        <v>4420</v>
      </c>
      <c r="E4504" s="90" t="s">
        <v>4387</v>
      </c>
      <c r="G4504" s="55" t="s">
        <v>4388</v>
      </c>
      <c r="H4504" s="55">
        <v>2016</v>
      </c>
      <c r="I4504" s="55">
        <v>2010</v>
      </c>
      <c r="J4504" s="55" t="s">
        <v>4415</v>
      </c>
      <c r="K4504" s="55" t="s">
        <v>4389</v>
      </c>
      <c r="L4504" s="55" t="s">
        <v>3377</v>
      </c>
      <c r="M4504" s="90">
        <f>35+12/60</f>
        <v>35.200000000000003</v>
      </c>
      <c r="N4504" s="90">
        <f>107+44/60</f>
        <v>107.73333333333333</v>
      </c>
      <c r="O4504" s="90">
        <v>1220</v>
      </c>
      <c r="S4504" s="90">
        <v>589</v>
      </c>
      <c r="U4504" s="55" t="s">
        <v>1805</v>
      </c>
      <c r="V4504" s="55" t="s">
        <v>1682</v>
      </c>
      <c r="Y4504" s="55" t="s">
        <v>4390</v>
      </c>
      <c r="Z4504" s="55" t="s">
        <v>4421</v>
      </c>
      <c r="AA4504" s="90" t="s">
        <v>3414</v>
      </c>
      <c r="AH4504" s="55" t="s">
        <v>6378</v>
      </c>
      <c r="AI4504" s="168">
        <v>8.11</v>
      </c>
      <c r="AJ4504" s="90">
        <v>1.2</v>
      </c>
      <c r="AN4504" s="185" t="s">
        <v>4392</v>
      </c>
      <c r="AO4504" s="185" t="s">
        <v>5150</v>
      </c>
      <c r="AQ4504" s="55" t="s">
        <v>553</v>
      </c>
      <c r="AR4504" s="55" t="s">
        <v>116</v>
      </c>
      <c r="AS4504" s="55" t="s">
        <v>116</v>
      </c>
      <c r="AU4504" s="181" t="s">
        <v>7494</v>
      </c>
      <c r="AV4504" s="185" t="s">
        <v>176</v>
      </c>
      <c r="AX4504" s="185" t="s">
        <v>176</v>
      </c>
      <c r="BK4504" s="55" t="s">
        <v>5976</v>
      </c>
      <c r="BM4504" s="192" t="s">
        <v>160</v>
      </c>
      <c r="BN4504" s="55">
        <v>3</v>
      </c>
      <c r="BO4504" s="55">
        <v>3</v>
      </c>
      <c r="BQ4504" s="55" t="s">
        <v>2077</v>
      </c>
      <c r="BV4504" s="55" t="s">
        <v>4419</v>
      </c>
      <c r="GD4504" s="65">
        <v>100</v>
      </c>
      <c r="GE4504" s="65">
        <v>70.5</v>
      </c>
      <c r="GH4504" s="65" t="s">
        <v>3165</v>
      </c>
      <c r="GP4504" s="292" t="s">
        <v>7494</v>
      </c>
      <c r="JU4504" s="55" t="s">
        <v>4423</v>
      </c>
      <c r="JW4504" s="55" t="s">
        <v>1078</v>
      </c>
    </row>
    <row r="4505" spans="1:283" x14ac:dyDescent="0.25">
      <c r="A4505" s="55">
        <v>4504</v>
      </c>
      <c r="B4505" s="12" t="s">
        <v>7067</v>
      </c>
      <c r="C4505" s="155">
        <v>194</v>
      </c>
      <c r="D4505" s="55" t="s">
        <v>4420</v>
      </c>
      <c r="E4505" s="90" t="s">
        <v>4387</v>
      </c>
      <c r="G4505" s="55" t="s">
        <v>4388</v>
      </c>
      <c r="H4505" s="55">
        <v>2016</v>
      </c>
      <c r="I4505" s="55">
        <v>2010</v>
      </c>
      <c r="J4505" s="55" t="s">
        <v>4415</v>
      </c>
      <c r="K4505" s="55" t="s">
        <v>4389</v>
      </c>
      <c r="L4505" s="55" t="s">
        <v>3377</v>
      </c>
      <c r="M4505" s="90">
        <f>35+12/60</f>
        <v>35.200000000000003</v>
      </c>
      <c r="N4505" s="90">
        <f>107+44/60</f>
        <v>107.73333333333333</v>
      </c>
      <c r="O4505" s="90">
        <v>1220</v>
      </c>
      <c r="S4505" s="90">
        <v>589</v>
      </c>
      <c r="U4505" s="55" t="s">
        <v>1805</v>
      </c>
      <c r="V4505" s="55" t="s">
        <v>1682</v>
      </c>
      <c r="Y4505" s="55" t="s">
        <v>4390</v>
      </c>
      <c r="Z4505" s="55" t="s">
        <v>4421</v>
      </c>
      <c r="AA4505" s="90" t="s">
        <v>3414</v>
      </c>
      <c r="AH4505" s="55" t="s">
        <v>6378</v>
      </c>
      <c r="AI4505" s="168">
        <v>8.11</v>
      </c>
      <c r="AJ4505" s="90">
        <v>1.2</v>
      </c>
      <c r="AN4505" s="185" t="s">
        <v>158</v>
      </c>
      <c r="AO4505" s="185" t="s">
        <v>5150</v>
      </c>
      <c r="AQ4505" s="55" t="s">
        <v>553</v>
      </c>
      <c r="AR4505" s="55" t="s">
        <v>116</v>
      </c>
      <c r="AS4505" s="55" t="s">
        <v>116</v>
      </c>
      <c r="AU4505" s="181" t="s">
        <v>7494</v>
      </c>
      <c r="AV4505" s="185" t="s">
        <v>176</v>
      </c>
      <c r="AX4505" s="185" t="s">
        <v>176</v>
      </c>
      <c r="BK4505" s="55" t="s">
        <v>5976</v>
      </c>
      <c r="BM4505" s="192" t="s">
        <v>160</v>
      </c>
      <c r="BN4505" s="55">
        <v>3</v>
      </c>
      <c r="BO4505" s="55">
        <v>3</v>
      </c>
      <c r="BQ4505" s="55" t="s">
        <v>2077</v>
      </c>
      <c r="BV4505" s="55" t="s">
        <v>4419</v>
      </c>
      <c r="GD4505" s="65">
        <v>100</v>
      </c>
      <c r="GE4505" s="65">
        <v>73.7</v>
      </c>
      <c r="GH4505" s="65" t="s">
        <v>3165</v>
      </c>
      <c r="GP4505" s="292" t="s">
        <v>7494</v>
      </c>
      <c r="JU4505" s="55" t="s">
        <v>4423</v>
      </c>
      <c r="JW4505" s="55" t="s">
        <v>1078</v>
      </c>
    </row>
    <row r="4506" spans="1:283" x14ac:dyDescent="0.25">
      <c r="A4506" s="55">
        <v>4505</v>
      </c>
      <c r="B4506" s="12" t="s">
        <v>7067</v>
      </c>
      <c r="C4506" s="155">
        <v>194</v>
      </c>
      <c r="D4506" s="55" t="s">
        <v>4420</v>
      </c>
      <c r="E4506" s="90" t="s">
        <v>4387</v>
      </c>
      <c r="G4506" s="55" t="s">
        <v>4388</v>
      </c>
      <c r="H4506" s="55">
        <v>2016</v>
      </c>
      <c r="I4506" s="55">
        <v>2010</v>
      </c>
      <c r="J4506" s="55" t="s">
        <v>4415</v>
      </c>
      <c r="K4506" s="55" t="s">
        <v>4389</v>
      </c>
      <c r="L4506" s="55" t="s">
        <v>3377</v>
      </c>
      <c r="M4506" s="90">
        <f>35+12/60</f>
        <v>35.200000000000003</v>
      </c>
      <c r="N4506" s="90">
        <f>107+44/60</f>
        <v>107.73333333333333</v>
      </c>
      <c r="O4506" s="90">
        <v>1220</v>
      </c>
      <c r="S4506" s="90">
        <v>589</v>
      </c>
      <c r="U4506" s="55" t="s">
        <v>1805</v>
      </c>
      <c r="V4506" s="55" t="s">
        <v>1682</v>
      </c>
      <c r="Y4506" s="55" t="s">
        <v>4390</v>
      </c>
      <c r="Z4506" s="55" t="s">
        <v>4421</v>
      </c>
      <c r="AA4506" s="90" t="s">
        <v>3414</v>
      </c>
      <c r="AH4506" s="55" t="s">
        <v>6378</v>
      </c>
      <c r="AI4506" s="168">
        <v>8.11</v>
      </c>
      <c r="AJ4506" s="90">
        <v>1.2</v>
      </c>
      <c r="AN4506" s="185" t="s">
        <v>4393</v>
      </c>
      <c r="AO4506" s="185" t="s">
        <v>5150</v>
      </c>
      <c r="AQ4506" s="55" t="s">
        <v>553</v>
      </c>
      <c r="AR4506" s="55" t="s">
        <v>116</v>
      </c>
      <c r="AS4506" s="55" t="s">
        <v>116</v>
      </c>
      <c r="AU4506" s="181" t="s">
        <v>7494</v>
      </c>
      <c r="AV4506" s="185" t="s">
        <v>176</v>
      </c>
      <c r="AX4506" s="185" t="s">
        <v>176</v>
      </c>
      <c r="BK4506" s="55" t="s">
        <v>5976</v>
      </c>
      <c r="BM4506" s="192" t="s">
        <v>160</v>
      </c>
      <c r="BN4506" s="55">
        <v>3</v>
      </c>
      <c r="BO4506" s="55">
        <v>3</v>
      </c>
      <c r="BQ4506" s="55" t="s">
        <v>2077</v>
      </c>
      <c r="BV4506" s="55" t="s">
        <v>4419</v>
      </c>
      <c r="GD4506" s="65">
        <v>100</v>
      </c>
      <c r="GE4506" s="65">
        <v>75.099999999999994</v>
      </c>
      <c r="GH4506" s="65" t="s">
        <v>3165</v>
      </c>
      <c r="GP4506" s="292" t="s">
        <v>7494</v>
      </c>
      <c r="JU4506" s="55" t="s">
        <v>4423</v>
      </c>
      <c r="JW4506" s="55" t="s">
        <v>1078</v>
      </c>
    </row>
    <row r="4507" spans="1:283" x14ac:dyDescent="0.25">
      <c r="A4507" s="55">
        <v>4506</v>
      </c>
      <c r="B4507" s="12" t="s">
        <v>7067</v>
      </c>
      <c r="C4507" s="155">
        <v>195</v>
      </c>
      <c r="D4507" s="55" t="s">
        <v>4427</v>
      </c>
      <c r="E4507" s="90" t="s">
        <v>1105</v>
      </c>
      <c r="G4507" s="55" t="s">
        <v>4424</v>
      </c>
      <c r="H4507" s="55">
        <v>2012</v>
      </c>
      <c r="I4507" s="55">
        <v>2009</v>
      </c>
      <c r="J4507" s="55" t="s">
        <v>1050</v>
      </c>
      <c r="K4507" s="55" t="s">
        <v>4426</v>
      </c>
      <c r="L4507" s="55" t="s">
        <v>3377</v>
      </c>
      <c r="M4507" s="90">
        <f>29+52/60</f>
        <v>29.866666666666667</v>
      </c>
      <c r="N4507" s="90">
        <f>112+52/60</f>
        <v>112.86666666666666</v>
      </c>
      <c r="O4507" s="90">
        <v>28</v>
      </c>
      <c r="P4507" s="55">
        <f>AVERAGE(2.7,6.76,17.56,21.14,28.16,30.28,33.33,32,28.42,22.05,15.69,10.25)</f>
        <v>20.695000000000004</v>
      </c>
      <c r="R4507" s="55">
        <f>SUM(53.78,18.15,97.67,118.86,115.81,117,60,265.7,35,217,111,8)</f>
        <v>1217.97</v>
      </c>
      <c r="U4507" s="55" t="s">
        <v>1805</v>
      </c>
      <c r="V4507" s="55" t="s">
        <v>1688</v>
      </c>
      <c r="Y4507" s="55" t="s">
        <v>4425</v>
      </c>
      <c r="Z4507" s="55" t="s">
        <v>1349</v>
      </c>
      <c r="AA4507" s="90" t="s">
        <v>1677</v>
      </c>
      <c r="AD4507" s="90">
        <v>1.18</v>
      </c>
      <c r="AE4507" s="90">
        <v>26.6</v>
      </c>
      <c r="AF4507" s="90">
        <v>60.7</v>
      </c>
      <c r="AH4507" s="55" t="s">
        <v>6378</v>
      </c>
      <c r="AI4507" s="168">
        <v>6</v>
      </c>
      <c r="AJ4507" s="90">
        <v>5.07</v>
      </c>
      <c r="AN4507" s="185" t="s">
        <v>115</v>
      </c>
      <c r="AO4507" s="185" t="s">
        <v>5150</v>
      </c>
      <c r="AQ4507" s="55" t="s">
        <v>1545</v>
      </c>
      <c r="AR4507" s="55" t="s">
        <v>1096</v>
      </c>
      <c r="AS4507" s="55" t="s">
        <v>5133</v>
      </c>
      <c r="AU4507" s="181" t="s">
        <v>7494</v>
      </c>
      <c r="AV4507" s="185" t="s">
        <v>176</v>
      </c>
      <c r="AX4507" s="185" t="s">
        <v>176</v>
      </c>
      <c r="BK4507" s="55" t="s">
        <v>5976</v>
      </c>
      <c r="BM4507" s="192" t="s">
        <v>160</v>
      </c>
      <c r="BN4507" s="55">
        <v>3</v>
      </c>
      <c r="BO4507" s="55">
        <v>3</v>
      </c>
      <c r="BQ4507" s="55" t="s">
        <v>141</v>
      </c>
      <c r="BW4507" s="65">
        <v>8700</v>
      </c>
      <c r="BX4507" s="65">
        <v>6600</v>
      </c>
      <c r="BY4507" s="65">
        <v>900</v>
      </c>
      <c r="BZ4507" s="65">
        <v>900</v>
      </c>
      <c r="CB4507" s="66">
        <v>5000</v>
      </c>
      <c r="CC4507" s="66">
        <v>3500</v>
      </c>
      <c r="CE4507" s="65">
        <v>500</v>
      </c>
      <c r="CF4507" s="65">
        <v>500</v>
      </c>
      <c r="CH4507" s="90">
        <v>0.998</v>
      </c>
      <c r="CI4507" s="90">
        <v>0.87</v>
      </c>
      <c r="CJ4507" s="65">
        <f>SQRT(3)*(1.035-CH4507)</f>
        <v>6.4085879880048324E-2</v>
      </c>
      <c r="CK4507" s="65">
        <f>(0.915-CI4507)*SQRT(3)</f>
        <v>7.7942286340599548E-2</v>
      </c>
      <c r="GP4507" s="292" t="s">
        <v>7494</v>
      </c>
    </row>
    <row r="4508" spans="1:283" x14ac:dyDescent="0.25">
      <c r="A4508" s="55">
        <v>4507</v>
      </c>
      <c r="B4508" s="12" t="s">
        <v>7067</v>
      </c>
      <c r="C4508" s="155">
        <v>195</v>
      </c>
      <c r="D4508" s="55" t="s">
        <v>4428</v>
      </c>
      <c r="E4508" s="90" t="s">
        <v>1105</v>
      </c>
      <c r="G4508" s="55" t="s">
        <v>4424</v>
      </c>
      <c r="H4508" s="55">
        <v>2012</v>
      </c>
      <c r="I4508" s="55">
        <v>2009</v>
      </c>
      <c r="J4508" s="55" t="s">
        <v>1050</v>
      </c>
      <c r="K4508" s="55" t="s">
        <v>4426</v>
      </c>
      <c r="L4508" s="55" t="s">
        <v>3377</v>
      </c>
      <c r="M4508" s="90">
        <f>29+52/60</f>
        <v>29.866666666666667</v>
      </c>
      <c r="N4508" s="90">
        <f>112+52/60</f>
        <v>112.86666666666666</v>
      </c>
      <c r="O4508" s="90">
        <v>28</v>
      </c>
      <c r="P4508" s="55">
        <f>AVERAGE(2.7,6.76,17.56,21.14,28.16,30.28,33.33,32,28.42,22.05,15.69,10.25)</f>
        <v>20.695000000000004</v>
      </c>
      <c r="R4508" s="55">
        <f>SUM(53.78,18.15,97.67,118.86,115.81,117,60,265.7,35,217,111,8)</f>
        <v>1217.97</v>
      </c>
      <c r="U4508" s="55" t="s">
        <v>1805</v>
      </c>
      <c r="V4508" s="55" t="s">
        <v>1688</v>
      </c>
      <c r="Y4508" s="55" t="s">
        <v>4425</v>
      </c>
      <c r="Z4508" s="55" t="s">
        <v>1349</v>
      </c>
      <c r="AA4508" s="90" t="s">
        <v>1677</v>
      </c>
      <c r="AD4508" s="90">
        <v>1.18</v>
      </c>
      <c r="AE4508" s="90">
        <v>26.6</v>
      </c>
      <c r="AF4508" s="90">
        <v>60.7</v>
      </c>
      <c r="AH4508" s="55" t="s">
        <v>6378</v>
      </c>
      <c r="AI4508" s="168">
        <v>6</v>
      </c>
      <c r="AJ4508" s="90">
        <v>5.07</v>
      </c>
      <c r="AN4508" s="185" t="s">
        <v>3572</v>
      </c>
      <c r="AO4508" s="185" t="s">
        <v>5150</v>
      </c>
      <c r="AQ4508" s="55" t="s">
        <v>553</v>
      </c>
      <c r="AR4508" s="55" t="s">
        <v>1096</v>
      </c>
      <c r="AS4508" s="55" t="s">
        <v>5133</v>
      </c>
      <c r="AU4508" s="181" t="s">
        <v>7494</v>
      </c>
      <c r="AV4508" s="185" t="s">
        <v>176</v>
      </c>
      <c r="AX4508" s="185" t="s">
        <v>176</v>
      </c>
      <c r="BK4508" s="55" t="s">
        <v>5976</v>
      </c>
      <c r="BM4508" s="192" t="s">
        <v>160</v>
      </c>
      <c r="BN4508" s="55">
        <v>3</v>
      </c>
      <c r="BO4508" s="55">
        <v>3</v>
      </c>
      <c r="BQ4508" s="55" t="s">
        <v>141</v>
      </c>
      <c r="BW4508" s="65">
        <v>8700</v>
      </c>
      <c r="BX4508" s="65">
        <v>8900</v>
      </c>
      <c r="BY4508" s="65">
        <v>900</v>
      </c>
      <c r="BZ4508" s="65">
        <v>900</v>
      </c>
      <c r="CB4508" s="66">
        <v>5000</v>
      </c>
      <c r="CC4508" s="66">
        <v>5100</v>
      </c>
      <c r="CE4508" s="65">
        <v>500</v>
      </c>
      <c r="CF4508" s="65">
        <v>500</v>
      </c>
      <c r="CH4508" s="90">
        <v>0.998</v>
      </c>
      <c r="CI4508" s="90">
        <v>0.86</v>
      </c>
      <c r="CJ4508" s="65">
        <f>SQRT(3)*(1.035-CH4508)</f>
        <v>6.4085879880048324E-2</v>
      </c>
      <c r="CK4508" s="65">
        <f>(0.91-CI4508)*SQRT(3)</f>
        <v>8.6602540378443935E-2</v>
      </c>
      <c r="GP4508" s="292" t="s">
        <v>7494</v>
      </c>
    </row>
    <row r="4509" spans="1:283" x14ac:dyDescent="0.25">
      <c r="A4509" s="55">
        <v>4508</v>
      </c>
      <c r="B4509" s="12" t="s">
        <v>7067</v>
      </c>
      <c r="C4509" s="155">
        <v>195</v>
      </c>
      <c r="D4509" s="55" t="s">
        <v>4429</v>
      </c>
      <c r="E4509" s="90" t="s">
        <v>1105</v>
      </c>
      <c r="G4509" s="55" t="s">
        <v>4424</v>
      </c>
      <c r="H4509" s="55">
        <v>2012</v>
      </c>
      <c r="I4509" s="55">
        <v>2010</v>
      </c>
      <c r="J4509" s="55" t="s">
        <v>1050</v>
      </c>
      <c r="K4509" s="55" t="s">
        <v>4426</v>
      </c>
      <c r="L4509" s="55" t="s">
        <v>3377</v>
      </c>
      <c r="M4509" s="90">
        <f>29+52/60</f>
        <v>29.866666666666667</v>
      </c>
      <c r="N4509" s="90">
        <f>112+52/60</f>
        <v>112.86666666666666</v>
      </c>
      <c r="O4509" s="90">
        <v>28</v>
      </c>
      <c r="P4509" s="55">
        <f>AVERAGE(6.4,11.18,13.96,20.19,25.22,32.12,33.97,32.91,28.66,24.82,11.95,8.11)</f>
        <v>20.790833333333328</v>
      </c>
      <c r="R4509" s="55">
        <f>SUM(17,91.36,91,230.7,126,221.58,136.7,17,44,26,62.38,41)</f>
        <v>1104.72</v>
      </c>
      <c r="U4509" s="55" t="s">
        <v>1805</v>
      </c>
      <c r="V4509" s="55" t="s">
        <v>1688</v>
      </c>
      <c r="Y4509" s="55" t="s">
        <v>4425</v>
      </c>
      <c r="Z4509" s="55" t="s">
        <v>1349</v>
      </c>
      <c r="AA4509" s="90" t="s">
        <v>1677</v>
      </c>
      <c r="AD4509" s="90">
        <v>1.18</v>
      </c>
      <c r="AE4509" s="90">
        <v>26.6</v>
      </c>
      <c r="AF4509" s="90">
        <v>60.7</v>
      </c>
      <c r="AH4509" s="55" t="s">
        <v>6378</v>
      </c>
      <c r="AI4509" s="168">
        <v>6</v>
      </c>
      <c r="AJ4509" s="90">
        <v>5.07</v>
      </c>
      <c r="AN4509" s="185" t="s">
        <v>115</v>
      </c>
      <c r="AO4509" s="185" t="s">
        <v>5150</v>
      </c>
      <c r="AQ4509" s="55" t="s">
        <v>1545</v>
      </c>
      <c r="AR4509" s="55" t="s">
        <v>1096</v>
      </c>
      <c r="AS4509" s="55" t="s">
        <v>5133</v>
      </c>
      <c r="AU4509" s="181" t="s">
        <v>7494</v>
      </c>
      <c r="AV4509" s="185" t="s">
        <v>176</v>
      </c>
      <c r="AX4509" s="185" t="s">
        <v>176</v>
      </c>
      <c r="BK4509" s="55" t="s">
        <v>5976</v>
      </c>
      <c r="BM4509" s="192" t="s">
        <v>160</v>
      </c>
      <c r="BN4509" s="55">
        <v>3</v>
      </c>
      <c r="BO4509" s="55">
        <v>3</v>
      </c>
      <c r="BQ4509" s="55" t="s">
        <v>141</v>
      </c>
      <c r="BW4509" s="65">
        <v>7800</v>
      </c>
      <c r="BX4509" s="65">
        <v>7100</v>
      </c>
      <c r="BY4509" s="65">
        <v>1400</v>
      </c>
      <c r="BZ4509" s="65">
        <v>1400</v>
      </c>
      <c r="CB4509" s="66">
        <v>4600</v>
      </c>
      <c r="CC4509" s="66">
        <v>4100</v>
      </c>
      <c r="CE4509" s="65">
        <v>600</v>
      </c>
      <c r="CF4509" s="65">
        <v>600</v>
      </c>
      <c r="CH4509" s="90">
        <v>0.86</v>
      </c>
      <c r="CI4509" s="90">
        <v>0.71</v>
      </c>
      <c r="CJ4509" s="65">
        <v>0.05</v>
      </c>
      <c r="CK4509" s="65">
        <v>0.03</v>
      </c>
      <c r="GP4509" s="292" t="s">
        <v>7494</v>
      </c>
    </row>
    <row r="4510" spans="1:283" x14ac:dyDescent="0.25">
      <c r="A4510" s="55">
        <v>4509</v>
      </c>
      <c r="B4510" s="12" t="s">
        <v>7067</v>
      </c>
      <c r="C4510" s="155">
        <v>195</v>
      </c>
      <c r="D4510" s="55" t="s">
        <v>4430</v>
      </c>
      <c r="E4510" s="90" t="s">
        <v>1105</v>
      </c>
      <c r="G4510" s="55" t="s">
        <v>4424</v>
      </c>
      <c r="H4510" s="55">
        <v>2012</v>
      </c>
      <c r="I4510" s="55">
        <v>2010</v>
      </c>
      <c r="J4510" s="55" t="s">
        <v>1050</v>
      </c>
      <c r="K4510" s="55" t="s">
        <v>4426</v>
      </c>
      <c r="L4510" s="55" t="s">
        <v>3377</v>
      </c>
      <c r="M4510" s="90">
        <f>29+52/60</f>
        <v>29.866666666666667</v>
      </c>
      <c r="N4510" s="90">
        <f>112+52/60</f>
        <v>112.86666666666666</v>
      </c>
      <c r="O4510" s="90">
        <v>28</v>
      </c>
      <c r="P4510" s="55">
        <f>AVERAGE(6.4,11.18,13.96,20.19,25.22,32.12,33.97,32.91,28.66,24.82,11.95,8.11)</f>
        <v>20.790833333333328</v>
      </c>
      <c r="R4510" s="55">
        <f>SUM(17,91.36,91,230.7,126,221.58,136.7,17,44,26,62.38,41)</f>
        <v>1104.72</v>
      </c>
      <c r="U4510" s="55" t="s">
        <v>1805</v>
      </c>
      <c r="V4510" s="55" t="s">
        <v>1688</v>
      </c>
      <c r="Y4510" s="55" t="s">
        <v>4425</v>
      </c>
      <c r="Z4510" s="55" t="s">
        <v>1349</v>
      </c>
      <c r="AA4510" s="90" t="s">
        <v>1677</v>
      </c>
      <c r="AD4510" s="90">
        <v>1.18</v>
      </c>
      <c r="AE4510" s="90">
        <v>26.6</v>
      </c>
      <c r="AF4510" s="90">
        <v>60.7</v>
      </c>
      <c r="AH4510" s="55" t="s">
        <v>6378</v>
      </c>
      <c r="AI4510" s="168">
        <v>6</v>
      </c>
      <c r="AJ4510" s="90">
        <v>5.07</v>
      </c>
      <c r="AN4510" s="185" t="s">
        <v>3572</v>
      </c>
      <c r="AO4510" s="185" t="s">
        <v>5150</v>
      </c>
      <c r="AQ4510" s="55" t="s">
        <v>553</v>
      </c>
      <c r="AR4510" s="55" t="s">
        <v>1096</v>
      </c>
      <c r="AS4510" s="55" t="s">
        <v>5133</v>
      </c>
      <c r="AU4510" s="181" t="s">
        <v>7494</v>
      </c>
      <c r="AV4510" s="185" t="s">
        <v>176</v>
      </c>
      <c r="AX4510" s="185" t="s">
        <v>176</v>
      </c>
      <c r="BK4510" s="55" t="s">
        <v>5976</v>
      </c>
      <c r="BM4510" s="192" t="s">
        <v>160</v>
      </c>
      <c r="BN4510" s="55">
        <v>3</v>
      </c>
      <c r="BO4510" s="55">
        <v>3</v>
      </c>
      <c r="BQ4510" s="55" t="s">
        <v>141</v>
      </c>
      <c r="BW4510" s="65">
        <v>7800</v>
      </c>
      <c r="BX4510" s="65">
        <v>9300</v>
      </c>
      <c r="BY4510" s="65">
        <v>1400</v>
      </c>
      <c r="BZ4510" s="65">
        <v>1400</v>
      </c>
      <c r="CB4510" s="66">
        <v>4600</v>
      </c>
      <c r="CC4510" s="66">
        <v>5600</v>
      </c>
      <c r="CE4510" s="65">
        <v>600</v>
      </c>
      <c r="CF4510" s="65">
        <v>600</v>
      </c>
      <c r="CH4510" s="90">
        <v>0.86</v>
      </c>
      <c r="CI4510" s="90">
        <v>0.73</v>
      </c>
      <c r="CJ4510" s="65">
        <v>0.05</v>
      </c>
      <c r="CK4510" s="65">
        <v>0.03</v>
      </c>
      <c r="GP4510" s="292" t="s">
        <v>7494</v>
      </c>
    </row>
    <row r="4511" spans="1:283" x14ac:dyDescent="0.25">
      <c r="A4511" s="55">
        <v>4510</v>
      </c>
      <c r="B4511" s="12" t="s">
        <v>7067</v>
      </c>
      <c r="C4511" s="155">
        <v>195</v>
      </c>
      <c r="D4511" s="55" t="s">
        <v>4427</v>
      </c>
      <c r="E4511" s="90" t="s">
        <v>1105</v>
      </c>
      <c r="G4511" s="55" t="s">
        <v>4424</v>
      </c>
      <c r="H4511" s="55">
        <v>2012</v>
      </c>
      <c r="I4511" s="55">
        <v>2009</v>
      </c>
      <c r="J4511" s="55" t="s">
        <v>1050</v>
      </c>
      <c r="K4511" s="55" t="s">
        <v>4426</v>
      </c>
      <c r="L4511" s="55" t="s">
        <v>3377</v>
      </c>
      <c r="M4511" s="90">
        <f>29+52/60</f>
        <v>29.866666666666667</v>
      </c>
      <c r="N4511" s="90">
        <f>112+52/60</f>
        <v>112.86666666666666</v>
      </c>
      <c r="O4511" s="90">
        <v>28</v>
      </c>
      <c r="P4511" s="55">
        <f>AVERAGE(2.7,6.76,17.56,21.14,28.16,30.28,33.33,32,28.42,22.05,15.69,10.25)</f>
        <v>20.695000000000004</v>
      </c>
      <c r="R4511" s="55">
        <f>SUM(53.78,18.15,97.67,118.86,115.81,117,60,265.7,35,217,111,8)</f>
        <v>1217.97</v>
      </c>
      <c r="U4511" s="55" t="s">
        <v>1688</v>
      </c>
      <c r="V4511" s="55" t="s">
        <v>1688</v>
      </c>
      <c r="Y4511" s="55" t="s">
        <v>4425</v>
      </c>
      <c r="Z4511" s="55" t="s">
        <v>1357</v>
      </c>
      <c r="AA4511" s="90" t="s">
        <v>1677</v>
      </c>
      <c r="AD4511" s="90">
        <v>1.18</v>
      </c>
      <c r="AE4511" s="90">
        <v>26.6</v>
      </c>
      <c r="AF4511" s="90">
        <v>60.7</v>
      </c>
      <c r="AH4511" s="55" t="s">
        <v>6378</v>
      </c>
      <c r="AI4511" s="168">
        <v>6</v>
      </c>
      <c r="AJ4511" s="90">
        <v>5.07</v>
      </c>
      <c r="AN4511" s="185" t="s">
        <v>115</v>
      </c>
      <c r="AO4511" s="185" t="s">
        <v>5150</v>
      </c>
      <c r="AQ4511" s="55" t="s">
        <v>1545</v>
      </c>
      <c r="AR4511" s="55" t="s">
        <v>1096</v>
      </c>
      <c r="AS4511" s="55" t="s">
        <v>5133</v>
      </c>
      <c r="AU4511" s="181" t="s">
        <v>7494</v>
      </c>
      <c r="AV4511" s="185" t="s">
        <v>176</v>
      </c>
      <c r="AX4511" s="185" t="s">
        <v>176</v>
      </c>
      <c r="BK4511" s="55" t="s">
        <v>5976</v>
      </c>
      <c r="BM4511" s="192" t="s">
        <v>160</v>
      </c>
      <c r="BN4511" s="55">
        <v>3</v>
      </c>
      <c r="BO4511" s="55">
        <v>3</v>
      </c>
      <c r="BQ4511" s="55" t="s">
        <v>141</v>
      </c>
      <c r="BW4511" s="65">
        <v>9400</v>
      </c>
      <c r="BX4511" s="65">
        <v>9600</v>
      </c>
      <c r="BY4511" s="65">
        <v>900</v>
      </c>
      <c r="BZ4511" s="65">
        <v>900</v>
      </c>
      <c r="CB4511" s="66">
        <v>4700</v>
      </c>
      <c r="CC4511" s="66">
        <v>4500</v>
      </c>
      <c r="CE4511" s="65">
        <v>400</v>
      </c>
      <c r="CF4511" s="65">
        <v>400</v>
      </c>
      <c r="CH4511" s="90">
        <v>1.18</v>
      </c>
      <c r="CI4511" s="90">
        <v>1.05</v>
      </c>
      <c r="CJ4511" s="65">
        <v>4.8843832773442342E-2</v>
      </c>
      <c r="CK4511" s="65">
        <v>0.03</v>
      </c>
      <c r="GP4511" s="292" t="s">
        <v>7494</v>
      </c>
    </row>
    <row r="4512" spans="1:283" x14ac:dyDescent="0.25">
      <c r="A4512" s="55">
        <v>4511</v>
      </c>
      <c r="B4512" s="12" t="s">
        <v>7067</v>
      </c>
      <c r="C4512" s="155">
        <v>195</v>
      </c>
      <c r="D4512" s="55" t="s">
        <v>4428</v>
      </c>
      <c r="E4512" s="90" t="s">
        <v>1105</v>
      </c>
      <c r="G4512" s="55" t="s">
        <v>4424</v>
      </c>
      <c r="H4512" s="55">
        <v>2012</v>
      </c>
      <c r="I4512" s="55">
        <v>2009</v>
      </c>
      <c r="J4512" s="55" t="s">
        <v>1050</v>
      </c>
      <c r="K4512" s="55" t="s">
        <v>4426</v>
      </c>
      <c r="L4512" s="55" t="s">
        <v>3377</v>
      </c>
      <c r="M4512" s="90">
        <f>29+52/60</f>
        <v>29.866666666666667</v>
      </c>
      <c r="N4512" s="90">
        <f>112+52/60</f>
        <v>112.86666666666666</v>
      </c>
      <c r="O4512" s="90">
        <v>28</v>
      </c>
      <c r="P4512" s="55">
        <f>AVERAGE(2.7,6.76,17.56,21.14,28.16,30.28,33.33,32,28.42,22.05,15.69,10.25)</f>
        <v>20.695000000000004</v>
      </c>
      <c r="R4512" s="55">
        <f>SUM(53.78,18.15,97.67,118.86,115.81,117,60,265.7,35,217,111,8)</f>
        <v>1217.97</v>
      </c>
      <c r="U4512" s="55" t="s">
        <v>1688</v>
      </c>
      <c r="V4512" s="55" t="s">
        <v>1688</v>
      </c>
      <c r="Y4512" s="55" t="s">
        <v>4425</v>
      </c>
      <c r="Z4512" s="55" t="s">
        <v>1357</v>
      </c>
      <c r="AA4512" s="90" t="s">
        <v>1677</v>
      </c>
      <c r="AD4512" s="90">
        <v>1.18</v>
      </c>
      <c r="AE4512" s="90">
        <v>26.6</v>
      </c>
      <c r="AF4512" s="90">
        <v>60.7</v>
      </c>
      <c r="AH4512" s="55" t="s">
        <v>6378</v>
      </c>
      <c r="AI4512" s="168">
        <v>6</v>
      </c>
      <c r="AJ4512" s="90">
        <v>5.07</v>
      </c>
      <c r="AN4512" s="185" t="s">
        <v>3572</v>
      </c>
      <c r="AO4512" s="185" t="s">
        <v>5150</v>
      </c>
      <c r="AQ4512" s="55" t="s">
        <v>553</v>
      </c>
      <c r="AR4512" s="55" t="s">
        <v>1096</v>
      </c>
      <c r="AS4512" s="55" t="s">
        <v>5133</v>
      </c>
      <c r="AU4512" s="181" t="s">
        <v>7494</v>
      </c>
      <c r="AV4512" s="185" t="s">
        <v>176</v>
      </c>
      <c r="AX4512" s="185" t="s">
        <v>176</v>
      </c>
      <c r="BK4512" s="55" t="s">
        <v>5976</v>
      </c>
      <c r="BM4512" s="192" t="s">
        <v>160</v>
      </c>
      <c r="BN4512" s="55">
        <v>3</v>
      </c>
      <c r="BO4512" s="55">
        <v>3</v>
      </c>
      <c r="BQ4512" s="55" t="s">
        <v>141</v>
      </c>
      <c r="BW4512" s="65">
        <v>9400</v>
      </c>
      <c r="BX4512" s="65">
        <v>9500</v>
      </c>
      <c r="BY4512" s="65">
        <v>900</v>
      </c>
      <c r="BZ4512" s="65">
        <v>900</v>
      </c>
      <c r="CB4512" s="66">
        <v>4700</v>
      </c>
      <c r="CC4512" s="66">
        <v>4900</v>
      </c>
      <c r="CE4512" s="65">
        <v>400</v>
      </c>
      <c r="CF4512" s="65">
        <v>400</v>
      </c>
      <c r="CH4512" s="90">
        <v>1.18</v>
      </c>
      <c r="CI4512" s="90">
        <v>1.0569999999999999</v>
      </c>
      <c r="CJ4512" s="65">
        <v>4.8843832773442342E-2</v>
      </c>
      <c r="CK4512" s="65">
        <v>3.4641016151377574E-2</v>
      </c>
      <c r="GP4512" s="292" t="s">
        <v>7494</v>
      </c>
    </row>
    <row r="4513" spans="1:198" x14ac:dyDescent="0.25">
      <c r="A4513" s="55">
        <v>4512</v>
      </c>
      <c r="B4513" s="12" t="s">
        <v>7067</v>
      </c>
      <c r="C4513" s="155">
        <v>195</v>
      </c>
      <c r="D4513" s="55" t="s">
        <v>4429</v>
      </c>
      <c r="E4513" s="90" t="s">
        <v>1105</v>
      </c>
      <c r="G4513" s="55" t="s">
        <v>4424</v>
      </c>
      <c r="H4513" s="55">
        <v>2012</v>
      </c>
      <c r="I4513" s="55">
        <v>2010</v>
      </c>
      <c r="J4513" s="55" t="s">
        <v>1050</v>
      </c>
      <c r="K4513" s="55" t="s">
        <v>4426</v>
      </c>
      <c r="L4513" s="55" t="s">
        <v>3377</v>
      </c>
      <c r="M4513" s="90">
        <f>29+52/60</f>
        <v>29.866666666666667</v>
      </c>
      <c r="N4513" s="90">
        <f>112+52/60</f>
        <v>112.86666666666666</v>
      </c>
      <c r="O4513" s="90">
        <v>28</v>
      </c>
      <c r="P4513" s="55">
        <f>AVERAGE(6.4,11.18,13.96,20.19,25.22,32.12,33.97,32.91,28.66,24.82,11.95,8.11)</f>
        <v>20.790833333333328</v>
      </c>
      <c r="R4513" s="55">
        <f>SUM(17,91.36,91,230.7,126,221.58,136.7,17,44,26,62.38,41)</f>
        <v>1104.72</v>
      </c>
      <c r="U4513" s="55" t="s">
        <v>1688</v>
      </c>
      <c r="V4513" s="55" t="s">
        <v>1688</v>
      </c>
      <c r="Y4513" s="55" t="s">
        <v>4425</v>
      </c>
      <c r="Z4513" s="55" t="s">
        <v>1357</v>
      </c>
      <c r="AA4513" s="90" t="s">
        <v>1677</v>
      </c>
      <c r="AD4513" s="90">
        <v>1.18</v>
      </c>
      <c r="AE4513" s="90">
        <v>26.6</v>
      </c>
      <c r="AF4513" s="90">
        <v>60.7</v>
      </c>
      <c r="AH4513" s="55" t="s">
        <v>6378</v>
      </c>
      <c r="AI4513" s="168">
        <v>6</v>
      </c>
      <c r="AJ4513" s="90">
        <v>5.07</v>
      </c>
      <c r="AN4513" s="185" t="s">
        <v>115</v>
      </c>
      <c r="AO4513" s="185" t="s">
        <v>5150</v>
      </c>
      <c r="AQ4513" s="55" t="s">
        <v>1545</v>
      </c>
      <c r="AR4513" s="55" t="s">
        <v>1096</v>
      </c>
      <c r="AS4513" s="55" t="s">
        <v>5133</v>
      </c>
      <c r="AU4513" s="181" t="s">
        <v>7494</v>
      </c>
      <c r="AV4513" s="185" t="s">
        <v>176</v>
      </c>
      <c r="AX4513" s="185" t="s">
        <v>176</v>
      </c>
      <c r="BK4513" s="55" t="s">
        <v>5976</v>
      </c>
      <c r="BM4513" s="192" t="s">
        <v>160</v>
      </c>
      <c r="BN4513" s="55">
        <v>3</v>
      </c>
      <c r="BO4513" s="55">
        <v>3</v>
      </c>
      <c r="BQ4513" s="55" t="s">
        <v>141</v>
      </c>
      <c r="BW4513" s="65">
        <v>9200</v>
      </c>
      <c r="BX4513" s="65">
        <v>8900</v>
      </c>
      <c r="BY4513" s="65">
        <v>800</v>
      </c>
      <c r="BZ4513" s="65">
        <v>800</v>
      </c>
      <c r="CB4513" s="66">
        <v>4500</v>
      </c>
      <c r="CC4513" s="66">
        <v>4400</v>
      </c>
      <c r="CE4513" s="65">
        <v>400</v>
      </c>
      <c r="CF4513" s="65">
        <v>400</v>
      </c>
      <c r="CH4513" s="90">
        <v>1.087</v>
      </c>
      <c r="CI4513" s="90">
        <v>0.87</v>
      </c>
      <c r="CJ4513" s="65">
        <v>0.06</v>
      </c>
      <c r="CK4513" s="65">
        <v>7.0000000000000007E-2</v>
      </c>
      <c r="GP4513" s="292" t="s">
        <v>7494</v>
      </c>
    </row>
    <row r="4514" spans="1:198" x14ac:dyDescent="0.25">
      <c r="A4514" s="55">
        <v>4513</v>
      </c>
      <c r="B4514" s="12" t="s">
        <v>7067</v>
      </c>
      <c r="C4514" s="155">
        <v>195</v>
      </c>
      <c r="D4514" s="55" t="s">
        <v>4430</v>
      </c>
      <c r="E4514" s="90" t="s">
        <v>1105</v>
      </c>
      <c r="G4514" s="55" t="s">
        <v>4424</v>
      </c>
      <c r="H4514" s="55">
        <v>2012</v>
      </c>
      <c r="I4514" s="55">
        <v>2010</v>
      </c>
      <c r="J4514" s="55" t="s">
        <v>1050</v>
      </c>
      <c r="K4514" s="55" t="s">
        <v>4426</v>
      </c>
      <c r="L4514" s="55" t="s">
        <v>3377</v>
      </c>
      <c r="M4514" s="90">
        <f>29+52/60</f>
        <v>29.866666666666667</v>
      </c>
      <c r="N4514" s="90">
        <f>112+52/60</f>
        <v>112.86666666666666</v>
      </c>
      <c r="O4514" s="90">
        <v>28</v>
      </c>
      <c r="P4514" s="55">
        <f>AVERAGE(6.4,11.18,13.96,20.19,25.22,32.12,33.97,32.91,28.66,24.82,11.95,8.11)</f>
        <v>20.790833333333328</v>
      </c>
      <c r="R4514" s="55">
        <f>SUM(17,91.36,91,230.7,126,221.58,136.7,17,44,26,62.38,41)</f>
        <v>1104.72</v>
      </c>
      <c r="U4514" s="55" t="s">
        <v>1688</v>
      </c>
      <c r="V4514" s="55" t="s">
        <v>1688</v>
      </c>
      <c r="Y4514" s="55" t="s">
        <v>4425</v>
      </c>
      <c r="Z4514" s="55" t="s">
        <v>1357</v>
      </c>
      <c r="AA4514" s="90" t="s">
        <v>1677</v>
      </c>
      <c r="AD4514" s="90">
        <v>1.18</v>
      </c>
      <c r="AE4514" s="90">
        <v>26.6</v>
      </c>
      <c r="AF4514" s="90">
        <v>60.7</v>
      </c>
      <c r="AH4514" s="55" t="s">
        <v>6378</v>
      </c>
      <c r="AI4514" s="168">
        <v>6</v>
      </c>
      <c r="AJ4514" s="90">
        <v>5.07</v>
      </c>
      <c r="AN4514" s="185" t="s">
        <v>3572</v>
      </c>
      <c r="AO4514" s="185" t="s">
        <v>5150</v>
      </c>
      <c r="AQ4514" s="55" t="s">
        <v>553</v>
      </c>
      <c r="AR4514" s="55" t="s">
        <v>1096</v>
      </c>
      <c r="AS4514" s="55" t="s">
        <v>5133</v>
      </c>
      <c r="AU4514" s="181" t="s">
        <v>7494</v>
      </c>
      <c r="AV4514" s="185" t="s">
        <v>176</v>
      </c>
      <c r="AX4514" s="185" t="s">
        <v>176</v>
      </c>
      <c r="BK4514" s="55" t="s">
        <v>5976</v>
      </c>
      <c r="BM4514" s="192" t="s">
        <v>160</v>
      </c>
      <c r="BN4514" s="55">
        <v>3</v>
      </c>
      <c r="BO4514" s="55">
        <v>3</v>
      </c>
      <c r="BQ4514" s="55" t="s">
        <v>141</v>
      </c>
      <c r="BW4514" s="65">
        <v>9200</v>
      </c>
      <c r="BX4514" s="65">
        <v>10100</v>
      </c>
      <c r="BY4514" s="65">
        <v>800</v>
      </c>
      <c r="BZ4514" s="65">
        <v>800</v>
      </c>
      <c r="CB4514" s="66">
        <v>4500</v>
      </c>
      <c r="CC4514" s="66">
        <v>4600</v>
      </c>
      <c r="CE4514" s="65">
        <v>400</v>
      </c>
      <c r="CF4514" s="65">
        <v>400</v>
      </c>
      <c r="CH4514" s="90">
        <v>1.087</v>
      </c>
      <c r="CI4514" s="90">
        <v>1.02</v>
      </c>
      <c r="CJ4514" s="65">
        <v>0.06</v>
      </c>
      <c r="CK4514" s="65">
        <v>7.0000000000000007E-2</v>
      </c>
      <c r="GP4514" s="292" t="s">
        <v>7494</v>
      </c>
    </row>
    <row r="4515" spans="1:198" x14ac:dyDescent="0.25">
      <c r="A4515" s="55">
        <v>4514</v>
      </c>
      <c r="B4515" s="12" t="s">
        <v>7067</v>
      </c>
      <c r="C4515" s="155">
        <v>195</v>
      </c>
      <c r="D4515" s="55" t="s">
        <v>4427</v>
      </c>
      <c r="E4515" s="90" t="s">
        <v>1105</v>
      </c>
      <c r="G4515" s="55" t="s">
        <v>4424</v>
      </c>
      <c r="H4515" s="55">
        <v>2012</v>
      </c>
      <c r="I4515" s="55">
        <v>2009</v>
      </c>
      <c r="J4515" s="55" t="s">
        <v>1050</v>
      </c>
      <c r="K4515" s="55" t="s">
        <v>4426</v>
      </c>
      <c r="L4515" s="55" t="s">
        <v>3377</v>
      </c>
      <c r="M4515" s="90">
        <f>29+52/60</f>
        <v>29.866666666666667</v>
      </c>
      <c r="N4515" s="90">
        <f>112+52/60</f>
        <v>112.86666666666666</v>
      </c>
      <c r="O4515" s="90">
        <v>28</v>
      </c>
      <c r="P4515" s="55">
        <f>AVERAGE(2.7,6.76,17.56,21.14,28.16,30.28,33.33,32,28.42,22.05,15.69,10.25)</f>
        <v>20.695000000000004</v>
      </c>
      <c r="R4515" s="55">
        <f>SUM(53.78,18.15,97.67,118.86,115.81,117,60,265.7,35,217,111,8)</f>
        <v>1217.97</v>
      </c>
      <c r="U4515" s="55" t="s">
        <v>1805</v>
      </c>
      <c r="V4515" s="55" t="s">
        <v>1688</v>
      </c>
      <c r="Y4515" s="55" t="s">
        <v>4425</v>
      </c>
      <c r="Z4515" s="55" t="s">
        <v>1355</v>
      </c>
      <c r="AA4515" s="90" t="s">
        <v>1679</v>
      </c>
      <c r="AD4515" s="90">
        <v>1.18</v>
      </c>
      <c r="AE4515" s="90">
        <v>26.6</v>
      </c>
      <c r="AF4515" s="90">
        <v>60.7</v>
      </c>
      <c r="AH4515" s="55" t="s">
        <v>6378</v>
      </c>
      <c r="AI4515" s="168">
        <v>6</v>
      </c>
      <c r="AJ4515" s="90">
        <v>5.07</v>
      </c>
      <c r="AN4515" s="185" t="s">
        <v>115</v>
      </c>
      <c r="AO4515" s="185" t="s">
        <v>5150</v>
      </c>
      <c r="AQ4515" s="55" t="s">
        <v>1545</v>
      </c>
      <c r="AR4515" s="55" t="s">
        <v>1096</v>
      </c>
      <c r="AS4515" s="55" t="s">
        <v>5133</v>
      </c>
      <c r="AU4515" s="181" t="s">
        <v>7494</v>
      </c>
      <c r="AV4515" s="185" t="s">
        <v>176</v>
      </c>
      <c r="AX4515" s="185" t="s">
        <v>176</v>
      </c>
      <c r="BK4515" s="55" t="s">
        <v>5976</v>
      </c>
      <c r="BM4515" s="192" t="s">
        <v>160</v>
      </c>
      <c r="BN4515" s="55">
        <v>3</v>
      </c>
      <c r="BO4515" s="55">
        <v>3</v>
      </c>
      <c r="BQ4515" s="55" t="s">
        <v>141</v>
      </c>
      <c r="DB4515" s="65">
        <v>1.7</v>
      </c>
      <c r="DC4515" s="65">
        <v>1.5</v>
      </c>
      <c r="DD4515" s="65">
        <v>0.3</v>
      </c>
      <c r="DE4515" s="65">
        <v>0.3</v>
      </c>
      <c r="DF4515" s="65" t="s">
        <v>4431</v>
      </c>
      <c r="GP4515" s="292" t="s">
        <v>7494</v>
      </c>
    </row>
    <row r="4516" spans="1:198" x14ac:dyDescent="0.25">
      <c r="A4516" s="55">
        <v>4515</v>
      </c>
      <c r="B4516" s="12" t="s">
        <v>7067</v>
      </c>
      <c r="C4516" s="155">
        <v>195</v>
      </c>
      <c r="D4516" s="55" t="s">
        <v>4428</v>
      </c>
      <c r="E4516" s="90" t="s">
        <v>1105</v>
      </c>
      <c r="G4516" s="55" t="s">
        <v>4424</v>
      </c>
      <c r="H4516" s="55">
        <v>2012</v>
      </c>
      <c r="I4516" s="55">
        <v>2009</v>
      </c>
      <c r="J4516" s="55" t="s">
        <v>1050</v>
      </c>
      <c r="K4516" s="55" t="s">
        <v>4426</v>
      </c>
      <c r="L4516" s="55" t="s">
        <v>3377</v>
      </c>
      <c r="M4516" s="90">
        <f>29+52/60</f>
        <v>29.866666666666667</v>
      </c>
      <c r="N4516" s="90">
        <f>112+52/60</f>
        <v>112.86666666666666</v>
      </c>
      <c r="O4516" s="90">
        <v>28</v>
      </c>
      <c r="P4516" s="55">
        <f>AVERAGE(2.7,6.76,17.56,21.14,28.16,30.28,33.33,32,28.42,22.05,15.69,10.25)</f>
        <v>20.695000000000004</v>
      </c>
      <c r="R4516" s="55">
        <f>SUM(53.78,18.15,97.67,118.86,115.81,117,60,265.7,35,217,111,8)</f>
        <v>1217.97</v>
      </c>
      <c r="U4516" s="55" t="s">
        <v>1805</v>
      </c>
      <c r="V4516" s="55" t="s">
        <v>1688</v>
      </c>
      <c r="Y4516" s="55" t="s">
        <v>4425</v>
      </c>
      <c r="Z4516" s="55" t="s">
        <v>1355</v>
      </c>
      <c r="AA4516" s="90" t="s">
        <v>1679</v>
      </c>
      <c r="AD4516" s="90">
        <v>1.18</v>
      </c>
      <c r="AE4516" s="90">
        <v>26.6</v>
      </c>
      <c r="AF4516" s="90">
        <v>60.7</v>
      </c>
      <c r="AH4516" s="55" t="s">
        <v>6378</v>
      </c>
      <c r="AI4516" s="168">
        <v>6</v>
      </c>
      <c r="AJ4516" s="90">
        <v>5.07</v>
      </c>
      <c r="AN4516" s="185" t="s">
        <v>3572</v>
      </c>
      <c r="AO4516" s="185" t="s">
        <v>5150</v>
      </c>
      <c r="AQ4516" s="55" t="s">
        <v>553</v>
      </c>
      <c r="AR4516" s="55" t="s">
        <v>1096</v>
      </c>
      <c r="AS4516" s="55" t="s">
        <v>5133</v>
      </c>
      <c r="AU4516" s="181" t="s">
        <v>7494</v>
      </c>
      <c r="AV4516" s="185" t="s">
        <v>176</v>
      </c>
      <c r="AX4516" s="185" t="s">
        <v>176</v>
      </c>
      <c r="BK4516" s="55" t="s">
        <v>5976</v>
      </c>
      <c r="BM4516" s="192" t="s">
        <v>160</v>
      </c>
      <c r="BN4516" s="55">
        <v>3</v>
      </c>
      <c r="BO4516" s="55">
        <v>3</v>
      </c>
      <c r="BQ4516" s="55" t="s">
        <v>141</v>
      </c>
      <c r="DB4516" s="65">
        <v>1.7</v>
      </c>
      <c r="DC4516" s="65">
        <v>2.4</v>
      </c>
      <c r="DD4516" s="65">
        <v>0.3</v>
      </c>
      <c r="DE4516" s="65">
        <v>0.3</v>
      </c>
      <c r="DF4516" s="65" t="s">
        <v>4431</v>
      </c>
      <c r="GP4516" s="292" t="s">
        <v>7494</v>
      </c>
    </row>
    <row r="4517" spans="1:198" x14ac:dyDescent="0.25">
      <c r="A4517" s="55">
        <v>4516</v>
      </c>
      <c r="B4517" s="12" t="s">
        <v>7067</v>
      </c>
      <c r="C4517" s="155">
        <v>195</v>
      </c>
      <c r="D4517" s="55" t="s">
        <v>4429</v>
      </c>
      <c r="E4517" s="90" t="s">
        <v>1105</v>
      </c>
      <c r="G4517" s="55" t="s">
        <v>4424</v>
      </c>
      <c r="H4517" s="55">
        <v>2012</v>
      </c>
      <c r="I4517" s="55">
        <v>2009</v>
      </c>
      <c r="J4517" s="55" t="s">
        <v>1050</v>
      </c>
      <c r="K4517" s="55" t="s">
        <v>4426</v>
      </c>
      <c r="L4517" s="55" t="s">
        <v>3377</v>
      </c>
      <c r="M4517" s="90">
        <f>29+52/60</f>
        <v>29.866666666666667</v>
      </c>
      <c r="N4517" s="90">
        <f>112+52/60</f>
        <v>112.86666666666666</v>
      </c>
      <c r="O4517" s="90">
        <v>28</v>
      </c>
      <c r="P4517" s="55">
        <f>AVERAGE(2.7,6.76,17.56,21.14,28.16,30.28,33.33,32,28.42,22.05,15.69,10.25)</f>
        <v>20.695000000000004</v>
      </c>
      <c r="R4517" s="55">
        <f>SUM(53.78,18.15,97.67,118.86,115.81,117,60,265.7,35,217,111,8)</f>
        <v>1217.97</v>
      </c>
      <c r="U4517" s="55" t="s">
        <v>1805</v>
      </c>
      <c r="V4517" s="55" t="s">
        <v>1688</v>
      </c>
      <c r="Y4517" s="55" t="s">
        <v>4425</v>
      </c>
      <c r="Z4517" s="55" t="s">
        <v>1359</v>
      </c>
      <c r="AA4517" s="90" t="s">
        <v>1679</v>
      </c>
      <c r="AD4517" s="90">
        <v>1.18</v>
      </c>
      <c r="AE4517" s="90">
        <v>26.6</v>
      </c>
      <c r="AF4517" s="90">
        <v>60.7</v>
      </c>
      <c r="AH4517" s="55" t="s">
        <v>6378</v>
      </c>
      <c r="AI4517" s="168">
        <v>6</v>
      </c>
      <c r="AJ4517" s="90">
        <v>5.07</v>
      </c>
      <c r="AN4517" s="185" t="s">
        <v>115</v>
      </c>
      <c r="AO4517" s="185" t="s">
        <v>5150</v>
      </c>
      <c r="AQ4517" s="55" t="s">
        <v>1545</v>
      </c>
      <c r="AR4517" s="55" t="s">
        <v>1096</v>
      </c>
      <c r="AS4517" s="55" t="s">
        <v>5133</v>
      </c>
      <c r="AU4517" s="181" t="s">
        <v>7494</v>
      </c>
      <c r="AV4517" s="185" t="s">
        <v>176</v>
      </c>
      <c r="AX4517" s="185" t="s">
        <v>176</v>
      </c>
      <c r="BK4517" s="55" t="s">
        <v>5976</v>
      </c>
      <c r="BM4517" s="192" t="s">
        <v>160</v>
      </c>
      <c r="BN4517" s="55">
        <v>3</v>
      </c>
      <c r="BO4517" s="55">
        <v>3</v>
      </c>
      <c r="BQ4517" s="55" t="s">
        <v>141</v>
      </c>
      <c r="DB4517" s="65">
        <v>1.6</v>
      </c>
      <c r="DC4517" s="65">
        <v>1</v>
      </c>
      <c r="DD4517" s="65">
        <v>0.4</v>
      </c>
      <c r="DE4517" s="65">
        <v>0.4</v>
      </c>
      <c r="DF4517" s="65" t="s">
        <v>4431</v>
      </c>
      <c r="GP4517" s="292" t="s">
        <v>7494</v>
      </c>
    </row>
    <row r="4518" spans="1:198" x14ac:dyDescent="0.25">
      <c r="A4518" s="55">
        <v>4517</v>
      </c>
      <c r="B4518" s="12" t="s">
        <v>7067</v>
      </c>
      <c r="C4518" s="155">
        <v>195</v>
      </c>
      <c r="D4518" s="55" t="s">
        <v>4430</v>
      </c>
      <c r="E4518" s="90" t="s">
        <v>1105</v>
      </c>
      <c r="G4518" s="55" t="s">
        <v>4424</v>
      </c>
      <c r="H4518" s="55">
        <v>2012</v>
      </c>
      <c r="I4518" s="55">
        <v>2009</v>
      </c>
      <c r="J4518" s="55" t="s">
        <v>1050</v>
      </c>
      <c r="K4518" s="55" t="s">
        <v>4426</v>
      </c>
      <c r="L4518" s="55" t="s">
        <v>3377</v>
      </c>
      <c r="M4518" s="90">
        <f>29+52/60</f>
        <v>29.866666666666667</v>
      </c>
      <c r="N4518" s="90">
        <f>112+52/60</f>
        <v>112.86666666666666</v>
      </c>
      <c r="O4518" s="90">
        <v>28</v>
      </c>
      <c r="P4518" s="55">
        <f>AVERAGE(2.7,6.76,17.56,21.14,28.16,30.28,33.33,32,28.42,22.05,15.69,10.25)</f>
        <v>20.695000000000004</v>
      </c>
      <c r="R4518" s="55">
        <f>SUM(53.78,18.15,97.67,118.86,115.81,117,60,265.7,35,217,111,8)</f>
        <v>1217.97</v>
      </c>
      <c r="U4518" s="55" t="s">
        <v>1805</v>
      </c>
      <c r="V4518" s="55" t="s">
        <v>1688</v>
      </c>
      <c r="Y4518" s="55" t="s">
        <v>4425</v>
      </c>
      <c r="Z4518" s="55" t="s">
        <v>1359</v>
      </c>
      <c r="AA4518" s="90" t="s">
        <v>1679</v>
      </c>
      <c r="AD4518" s="90">
        <v>1.18</v>
      </c>
      <c r="AE4518" s="90">
        <v>26.6</v>
      </c>
      <c r="AF4518" s="90">
        <v>60.7</v>
      </c>
      <c r="AH4518" s="55" t="s">
        <v>6378</v>
      </c>
      <c r="AI4518" s="168">
        <v>6</v>
      </c>
      <c r="AJ4518" s="90">
        <v>5.07</v>
      </c>
      <c r="AN4518" s="185" t="s">
        <v>3572</v>
      </c>
      <c r="AO4518" s="185" t="s">
        <v>5150</v>
      </c>
      <c r="AQ4518" s="55" t="s">
        <v>553</v>
      </c>
      <c r="AR4518" s="55" t="s">
        <v>1096</v>
      </c>
      <c r="AS4518" s="55" t="s">
        <v>5133</v>
      </c>
      <c r="AU4518" s="181" t="s">
        <v>7494</v>
      </c>
      <c r="AV4518" s="185" t="s">
        <v>176</v>
      </c>
      <c r="AX4518" s="185" t="s">
        <v>176</v>
      </c>
      <c r="BK4518" s="55" t="s">
        <v>5976</v>
      </c>
      <c r="BM4518" s="192" t="s">
        <v>160</v>
      </c>
      <c r="BN4518" s="55">
        <v>3</v>
      </c>
      <c r="BO4518" s="55">
        <v>3</v>
      </c>
      <c r="BQ4518" s="55" t="s">
        <v>141</v>
      </c>
      <c r="DB4518" s="65">
        <v>1.6</v>
      </c>
      <c r="DC4518" s="65">
        <v>1.8</v>
      </c>
      <c r="DD4518" s="65">
        <v>0.4</v>
      </c>
      <c r="DE4518" s="65">
        <v>0.4</v>
      </c>
      <c r="DF4518" s="65" t="s">
        <v>4431</v>
      </c>
      <c r="GP4518" s="292" t="s">
        <v>7494</v>
      </c>
    </row>
    <row r="4519" spans="1:198" x14ac:dyDescent="0.25">
      <c r="A4519" s="55">
        <v>4518</v>
      </c>
      <c r="B4519" s="12" t="s">
        <v>7067</v>
      </c>
      <c r="C4519" s="155">
        <v>195</v>
      </c>
      <c r="D4519" s="55" t="s">
        <v>4432</v>
      </c>
      <c r="E4519" s="90" t="s">
        <v>1105</v>
      </c>
      <c r="G4519" s="55" t="s">
        <v>4424</v>
      </c>
      <c r="H4519" s="55">
        <v>2012</v>
      </c>
      <c r="I4519" s="55">
        <v>2009</v>
      </c>
      <c r="J4519" s="55" t="s">
        <v>1050</v>
      </c>
      <c r="K4519" s="55" t="s">
        <v>4426</v>
      </c>
      <c r="L4519" s="55" t="s">
        <v>3377</v>
      </c>
      <c r="M4519" s="90">
        <f>29+52/60</f>
        <v>29.866666666666667</v>
      </c>
      <c r="N4519" s="90">
        <f>112+52/60</f>
        <v>112.86666666666666</v>
      </c>
      <c r="O4519" s="90">
        <v>28</v>
      </c>
      <c r="P4519" s="55">
        <f>AVERAGE(2.7,6.76,17.56,21.14,28.16,30.28,33.33,32,28.42,22.05,15.69,10.25)</f>
        <v>20.695000000000004</v>
      </c>
      <c r="R4519" s="55">
        <f>SUM(53.78,18.15,97.67,118.86,115.81,117,60,265.7,35,217,111,8)</f>
        <v>1217.97</v>
      </c>
      <c r="U4519" s="55" t="s">
        <v>1805</v>
      </c>
      <c r="V4519" s="55" t="s">
        <v>1688</v>
      </c>
      <c r="Y4519" s="55" t="s">
        <v>4425</v>
      </c>
      <c r="Z4519" s="55" t="s">
        <v>1360</v>
      </c>
      <c r="AA4519" s="90" t="s">
        <v>1679</v>
      </c>
      <c r="AD4519" s="90">
        <v>1.18</v>
      </c>
      <c r="AE4519" s="90">
        <v>26.6</v>
      </c>
      <c r="AF4519" s="90">
        <v>60.7</v>
      </c>
      <c r="AH4519" s="55" t="s">
        <v>6378</v>
      </c>
      <c r="AI4519" s="168">
        <v>6</v>
      </c>
      <c r="AJ4519" s="90">
        <v>5.07</v>
      </c>
      <c r="AN4519" s="185" t="s">
        <v>115</v>
      </c>
      <c r="AO4519" s="185" t="s">
        <v>5150</v>
      </c>
      <c r="AQ4519" s="55" t="s">
        <v>1545</v>
      </c>
      <c r="AR4519" s="55" t="s">
        <v>1096</v>
      </c>
      <c r="AS4519" s="55" t="s">
        <v>5133</v>
      </c>
      <c r="AU4519" s="181" t="s">
        <v>7494</v>
      </c>
      <c r="AV4519" s="185" t="s">
        <v>176</v>
      </c>
      <c r="AX4519" s="185" t="s">
        <v>176</v>
      </c>
      <c r="BK4519" s="55" t="s">
        <v>5976</v>
      </c>
      <c r="BM4519" s="192" t="s">
        <v>160</v>
      </c>
      <c r="BN4519" s="55">
        <v>3</v>
      </c>
      <c r="BO4519" s="55">
        <v>3</v>
      </c>
      <c r="BQ4519" s="55" t="s">
        <v>141</v>
      </c>
      <c r="DB4519" s="65">
        <v>1.5</v>
      </c>
      <c r="DC4519" s="65">
        <v>1.3</v>
      </c>
      <c r="DD4519" s="65">
        <v>0.4</v>
      </c>
      <c r="DE4519" s="65">
        <v>0.4</v>
      </c>
      <c r="DF4519" s="65" t="s">
        <v>4431</v>
      </c>
      <c r="GP4519" s="292" t="s">
        <v>7494</v>
      </c>
    </row>
    <row r="4520" spans="1:198" x14ac:dyDescent="0.25">
      <c r="A4520" s="55">
        <v>4519</v>
      </c>
      <c r="B4520" s="12" t="s">
        <v>7067</v>
      </c>
      <c r="C4520" s="155">
        <v>195</v>
      </c>
      <c r="D4520" s="55" t="s">
        <v>4433</v>
      </c>
      <c r="E4520" s="90" t="s">
        <v>1105</v>
      </c>
      <c r="G4520" s="55" t="s">
        <v>4424</v>
      </c>
      <c r="H4520" s="55">
        <v>2012</v>
      </c>
      <c r="I4520" s="55">
        <v>2009</v>
      </c>
      <c r="J4520" s="55" t="s">
        <v>1050</v>
      </c>
      <c r="K4520" s="55" t="s">
        <v>4426</v>
      </c>
      <c r="L4520" s="55" t="s">
        <v>3377</v>
      </c>
      <c r="M4520" s="90">
        <f>29+52/60</f>
        <v>29.866666666666667</v>
      </c>
      <c r="N4520" s="90">
        <f>112+52/60</f>
        <v>112.86666666666666</v>
      </c>
      <c r="O4520" s="90">
        <v>28</v>
      </c>
      <c r="P4520" s="55">
        <f>AVERAGE(2.7,6.76,17.56,21.14,28.16,30.28,33.33,32,28.42,22.05,15.69,10.25)</f>
        <v>20.695000000000004</v>
      </c>
      <c r="R4520" s="55">
        <f>SUM(53.78,18.15,97.67,118.86,115.81,117,60,265.7,35,217,111,8)</f>
        <v>1217.97</v>
      </c>
      <c r="U4520" s="55" t="s">
        <v>1805</v>
      </c>
      <c r="V4520" s="55" t="s">
        <v>1688</v>
      </c>
      <c r="Y4520" s="55" t="s">
        <v>4425</v>
      </c>
      <c r="Z4520" s="55" t="s">
        <v>1360</v>
      </c>
      <c r="AA4520" s="90" t="s">
        <v>1679</v>
      </c>
      <c r="AD4520" s="90">
        <v>1.18</v>
      </c>
      <c r="AE4520" s="90">
        <v>26.6</v>
      </c>
      <c r="AF4520" s="90">
        <v>60.7</v>
      </c>
      <c r="AH4520" s="55" t="s">
        <v>6378</v>
      </c>
      <c r="AI4520" s="168">
        <v>6</v>
      </c>
      <c r="AJ4520" s="90">
        <v>5.07</v>
      </c>
      <c r="AN4520" s="185" t="s">
        <v>3572</v>
      </c>
      <c r="AO4520" s="185" t="s">
        <v>5150</v>
      </c>
      <c r="AQ4520" s="55" t="s">
        <v>553</v>
      </c>
      <c r="AR4520" s="55" t="s">
        <v>1096</v>
      </c>
      <c r="AS4520" s="55" t="s">
        <v>5133</v>
      </c>
      <c r="AU4520" s="181" t="s">
        <v>7494</v>
      </c>
      <c r="AV4520" s="185" t="s">
        <v>176</v>
      </c>
      <c r="AX4520" s="185" t="s">
        <v>176</v>
      </c>
      <c r="BK4520" s="55" t="s">
        <v>5976</v>
      </c>
      <c r="BM4520" s="192" t="s">
        <v>160</v>
      </c>
      <c r="BN4520" s="55">
        <v>3</v>
      </c>
      <c r="BO4520" s="55">
        <v>3</v>
      </c>
      <c r="BQ4520" s="55" t="s">
        <v>141</v>
      </c>
      <c r="DB4520" s="65">
        <v>1.5</v>
      </c>
      <c r="DC4520" s="65">
        <v>1.7</v>
      </c>
      <c r="DD4520" s="65">
        <v>0.4</v>
      </c>
      <c r="DE4520" s="65">
        <v>0.4</v>
      </c>
      <c r="DF4520" s="65" t="s">
        <v>4431</v>
      </c>
      <c r="GP4520" s="292" t="s">
        <v>7494</v>
      </c>
    </row>
    <row r="4521" spans="1:198" x14ac:dyDescent="0.25">
      <c r="A4521" s="55">
        <v>4520</v>
      </c>
      <c r="B4521" s="12" t="s">
        <v>7067</v>
      </c>
      <c r="C4521" s="155">
        <v>195</v>
      </c>
      <c r="D4521" s="55" t="s">
        <v>4434</v>
      </c>
      <c r="E4521" s="90" t="s">
        <v>1105</v>
      </c>
      <c r="G4521" s="55" t="s">
        <v>4424</v>
      </c>
      <c r="H4521" s="55">
        <v>2012</v>
      </c>
      <c r="I4521" s="55">
        <v>2009</v>
      </c>
      <c r="J4521" s="55" t="s">
        <v>1050</v>
      </c>
      <c r="K4521" s="55" t="s">
        <v>4426</v>
      </c>
      <c r="L4521" s="55" t="s">
        <v>3377</v>
      </c>
      <c r="M4521" s="90">
        <f>29+52/60</f>
        <v>29.866666666666667</v>
      </c>
      <c r="N4521" s="90">
        <f>112+52/60</f>
        <v>112.86666666666666</v>
      </c>
      <c r="O4521" s="90">
        <v>28</v>
      </c>
      <c r="P4521" s="55">
        <f>AVERAGE(2.7,6.76,17.56,21.14,28.16,30.28,33.33,32,28.42,22.05,15.69,10.25)</f>
        <v>20.695000000000004</v>
      </c>
      <c r="R4521" s="55">
        <f>SUM(53.78,18.15,97.67,118.86,115.81,117,60,265.7,35,217,111,8)</f>
        <v>1217.97</v>
      </c>
      <c r="U4521" s="55" t="s">
        <v>1805</v>
      </c>
      <c r="V4521" s="55" t="s">
        <v>1688</v>
      </c>
      <c r="Y4521" s="55" t="s">
        <v>4425</v>
      </c>
      <c r="Z4521" s="55" t="s">
        <v>1355</v>
      </c>
      <c r="AA4521" s="90" t="s">
        <v>1679</v>
      </c>
      <c r="AD4521" s="90">
        <v>1.18</v>
      </c>
      <c r="AE4521" s="90">
        <v>26.6</v>
      </c>
      <c r="AF4521" s="90">
        <v>60.7</v>
      </c>
      <c r="AH4521" s="55" t="s">
        <v>6378</v>
      </c>
      <c r="AI4521" s="168">
        <v>6</v>
      </c>
      <c r="AJ4521" s="90">
        <v>5.07</v>
      </c>
      <c r="AN4521" s="185" t="s">
        <v>115</v>
      </c>
      <c r="AO4521" s="185" t="s">
        <v>5150</v>
      </c>
      <c r="AQ4521" s="55" t="s">
        <v>1545</v>
      </c>
      <c r="AR4521" s="55" t="s">
        <v>1096</v>
      </c>
      <c r="AS4521" s="55" t="s">
        <v>5133</v>
      </c>
      <c r="AU4521" s="181" t="s">
        <v>7494</v>
      </c>
      <c r="AV4521" s="185" t="s">
        <v>176</v>
      </c>
      <c r="AX4521" s="185" t="s">
        <v>176</v>
      </c>
      <c r="BK4521" s="55" t="s">
        <v>5976</v>
      </c>
      <c r="BM4521" s="192" t="s">
        <v>160</v>
      </c>
      <c r="BN4521" s="55">
        <v>3</v>
      </c>
      <c r="BO4521" s="55">
        <v>3</v>
      </c>
      <c r="BQ4521" s="55" t="s">
        <v>141</v>
      </c>
      <c r="DB4521" s="65">
        <v>1.3</v>
      </c>
      <c r="DC4521" s="65">
        <v>0.7</v>
      </c>
      <c r="DD4521" s="65">
        <v>0.2</v>
      </c>
      <c r="DE4521" s="65">
        <v>0.2</v>
      </c>
      <c r="DF4521" s="65" t="s">
        <v>979</v>
      </c>
      <c r="GP4521" s="292" t="s">
        <v>7494</v>
      </c>
    </row>
    <row r="4522" spans="1:198" x14ac:dyDescent="0.25">
      <c r="A4522" s="55">
        <v>4521</v>
      </c>
      <c r="B4522" s="12" t="s">
        <v>7067</v>
      </c>
      <c r="C4522" s="155">
        <v>195</v>
      </c>
      <c r="D4522" s="55" t="s">
        <v>4435</v>
      </c>
      <c r="E4522" s="90" t="s">
        <v>1105</v>
      </c>
      <c r="G4522" s="55" t="s">
        <v>4424</v>
      </c>
      <c r="H4522" s="55">
        <v>2012</v>
      </c>
      <c r="I4522" s="55">
        <v>2009</v>
      </c>
      <c r="J4522" s="55" t="s">
        <v>1050</v>
      </c>
      <c r="K4522" s="55" t="s">
        <v>4426</v>
      </c>
      <c r="L4522" s="55" t="s">
        <v>3377</v>
      </c>
      <c r="M4522" s="90">
        <f>29+52/60</f>
        <v>29.866666666666667</v>
      </c>
      <c r="N4522" s="90">
        <f>112+52/60</f>
        <v>112.86666666666666</v>
      </c>
      <c r="O4522" s="90">
        <v>28</v>
      </c>
      <c r="P4522" s="55">
        <f>AVERAGE(2.7,6.76,17.56,21.14,28.16,30.28,33.33,32,28.42,22.05,15.69,10.25)</f>
        <v>20.695000000000004</v>
      </c>
      <c r="R4522" s="55">
        <f>SUM(53.78,18.15,97.67,118.86,115.81,117,60,265.7,35,217,111,8)</f>
        <v>1217.97</v>
      </c>
      <c r="U4522" s="55" t="s">
        <v>1805</v>
      </c>
      <c r="V4522" s="55" t="s">
        <v>1688</v>
      </c>
      <c r="Y4522" s="55" t="s">
        <v>4425</v>
      </c>
      <c r="Z4522" s="55" t="s">
        <v>1355</v>
      </c>
      <c r="AA4522" s="90" t="s">
        <v>1679</v>
      </c>
      <c r="AD4522" s="90">
        <v>1.18</v>
      </c>
      <c r="AE4522" s="90">
        <v>26.6</v>
      </c>
      <c r="AF4522" s="90">
        <v>60.7</v>
      </c>
      <c r="AH4522" s="55" t="s">
        <v>6378</v>
      </c>
      <c r="AI4522" s="168">
        <v>6</v>
      </c>
      <c r="AJ4522" s="90">
        <v>5.07</v>
      </c>
      <c r="AN4522" s="185" t="s">
        <v>3572</v>
      </c>
      <c r="AO4522" s="185" t="s">
        <v>5150</v>
      </c>
      <c r="AQ4522" s="55" t="s">
        <v>553</v>
      </c>
      <c r="AR4522" s="55" t="s">
        <v>1096</v>
      </c>
      <c r="AS4522" s="55" t="s">
        <v>5133</v>
      </c>
      <c r="AU4522" s="181" t="s">
        <v>7494</v>
      </c>
      <c r="AV4522" s="185" t="s">
        <v>176</v>
      </c>
      <c r="AX4522" s="185" t="s">
        <v>176</v>
      </c>
      <c r="BK4522" s="55" t="s">
        <v>5976</v>
      </c>
      <c r="BM4522" s="192" t="s">
        <v>160</v>
      </c>
      <c r="BN4522" s="55">
        <v>3</v>
      </c>
      <c r="BO4522" s="55">
        <v>3</v>
      </c>
      <c r="BQ4522" s="55" t="s">
        <v>141</v>
      </c>
      <c r="DB4522" s="65">
        <v>1.3</v>
      </c>
      <c r="DC4522" s="65">
        <v>1.1000000000000001</v>
      </c>
      <c r="DD4522" s="65">
        <v>0.2</v>
      </c>
      <c r="DE4522" s="65">
        <v>0.2</v>
      </c>
      <c r="DF4522" s="65" t="s">
        <v>979</v>
      </c>
      <c r="GP4522" s="292" t="s">
        <v>7494</v>
      </c>
    </row>
    <row r="4523" spans="1:198" x14ac:dyDescent="0.25">
      <c r="A4523" s="55">
        <v>4522</v>
      </c>
      <c r="B4523" s="12" t="s">
        <v>7067</v>
      </c>
      <c r="C4523" s="155">
        <v>195</v>
      </c>
      <c r="D4523" s="55" t="s">
        <v>4436</v>
      </c>
      <c r="E4523" s="90" t="s">
        <v>1105</v>
      </c>
      <c r="G4523" s="55" t="s">
        <v>4424</v>
      </c>
      <c r="H4523" s="55">
        <v>2012</v>
      </c>
      <c r="I4523" s="55">
        <v>2009</v>
      </c>
      <c r="J4523" s="55" t="s">
        <v>1050</v>
      </c>
      <c r="K4523" s="55" t="s">
        <v>4426</v>
      </c>
      <c r="L4523" s="55" t="s">
        <v>3377</v>
      </c>
      <c r="M4523" s="90">
        <f>29+52/60</f>
        <v>29.866666666666667</v>
      </c>
      <c r="N4523" s="90">
        <f>112+52/60</f>
        <v>112.86666666666666</v>
      </c>
      <c r="O4523" s="90">
        <v>28</v>
      </c>
      <c r="P4523" s="55">
        <f>AVERAGE(2.7,6.76,17.56,21.14,28.16,30.28,33.33,32,28.42,22.05,15.69,10.25)</f>
        <v>20.695000000000004</v>
      </c>
      <c r="R4523" s="55">
        <f>SUM(53.78,18.15,97.67,118.86,115.81,117,60,265.7,35,217,111,8)</f>
        <v>1217.97</v>
      </c>
      <c r="U4523" s="55" t="s">
        <v>1805</v>
      </c>
      <c r="V4523" s="55" t="s">
        <v>1688</v>
      </c>
      <c r="Y4523" s="55" t="s">
        <v>4425</v>
      </c>
      <c r="Z4523" s="55" t="s">
        <v>1359</v>
      </c>
      <c r="AA4523" s="90" t="s">
        <v>1679</v>
      </c>
      <c r="AD4523" s="90">
        <v>1.18</v>
      </c>
      <c r="AE4523" s="90">
        <v>26.6</v>
      </c>
      <c r="AF4523" s="90">
        <v>60.7</v>
      </c>
      <c r="AH4523" s="55" t="s">
        <v>6378</v>
      </c>
      <c r="AI4523" s="168">
        <v>6</v>
      </c>
      <c r="AJ4523" s="90">
        <v>5.07</v>
      </c>
      <c r="AN4523" s="185" t="s">
        <v>115</v>
      </c>
      <c r="AO4523" s="185" t="s">
        <v>5150</v>
      </c>
      <c r="AQ4523" s="55" t="s">
        <v>1545</v>
      </c>
      <c r="AR4523" s="55" t="s">
        <v>1096</v>
      </c>
      <c r="AS4523" s="55" t="s">
        <v>5133</v>
      </c>
      <c r="AU4523" s="181" t="s">
        <v>7494</v>
      </c>
      <c r="AV4523" s="185" t="s">
        <v>176</v>
      </c>
      <c r="AX4523" s="185" t="s">
        <v>176</v>
      </c>
      <c r="BK4523" s="55" t="s">
        <v>5976</v>
      </c>
      <c r="BM4523" s="192" t="s">
        <v>160</v>
      </c>
      <c r="BN4523" s="55">
        <v>3</v>
      </c>
      <c r="BO4523" s="55">
        <v>3</v>
      </c>
      <c r="BQ4523" s="55" t="s">
        <v>141</v>
      </c>
      <c r="DB4523" s="65">
        <v>0.8</v>
      </c>
      <c r="DC4523" s="65">
        <v>0.6</v>
      </c>
      <c r="DD4523" s="65">
        <v>0.2</v>
      </c>
      <c r="DE4523" s="65">
        <v>0.2</v>
      </c>
      <c r="DF4523" s="65" t="s">
        <v>979</v>
      </c>
      <c r="GP4523" s="292" t="s">
        <v>7494</v>
      </c>
    </row>
    <row r="4524" spans="1:198" x14ac:dyDescent="0.25">
      <c r="A4524" s="55">
        <v>4523</v>
      </c>
      <c r="B4524" s="12" t="s">
        <v>7067</v>
      </c>
      <c r="C4524" s="155">
        <v>195</v>
      </c>
      <c r="D4524" s="55" t="s">
        <v>4437</v>
      </c>
      <c r="E4524" s="90" t="s">
        <v>1105</v>
      </c>
      <c r="G4524" s="55" t="s">
        <v>4424</v>
      </c>
      <c r="H4524" s="55">
        <v>2012</v>
      </c>
      <c r="I4524" s="55">
        <v>2009</v>
      </c>
      <c r="J4524" s="55" t="s">
        <v>1050</v>
      </c>
      <c r="K4524" s="55" t="s">
        <v>4426</v>
      </c>
      <c r="L4524" s="55" t="s">
        <v>3377</v>
      </c>
      <c r="M4524" s="90">
        <f>29+52/60</f>
        <v>29.866666666666667</v>
      </c>
      <c r="N4524" s="90">
        <f>112+52/60</f>
        <v>112.86666666666666</v>
      </c>
      <c r="O4524" s="90">
        <v>28</v>
      </c>
      <c r="P4524" s="55">
        <f>AVERAGE(2.7,6.76,17.56,21.14,28.16,30.28,33.33,32,28.42,22.05,15.69,10.25)</f>
        <v>20.695000000000004</v>
      </c>
      <c r="R4524" s="55">
        <f>SUM(53.78,18.15,97.67,118.86,115.81,117,60,265.7,35,217,111,8)</f>
        <v>1217.97</v>
      </c>
      <c r="U4524" s="55" t="s">
        <v>1805</v>
      </c>
      <c r="V4524" s="55" t="s">
        <v>1688</v>
      </c>
      <c r="Y4524" s="55" t="s">
        <v>4425</v>
      </c>
      <c r="Z4524" s="55" t="s">
        <v>1359</v>
      </c>
      <c r="AA4524" s="90" t="s">
        <v>1679</v>
      </c>
      <c r="AD4524" s="90">
        <v>1.18</v>
      </c>
      <c r="AE4524" s="90">
        <v>26.6</v>
      </c>
      <c r="AF4524" s="90">
        <v>60.7</v>
      </c>
      <c r="AH4524" s="55" t="s">
        <v>6378</v>
      </c>
      <c r="AI4524" s="168">
        <v>6</v>
      </c>
      <c r="AJ4524" s="90">
        <v>5.07</v>
      </c>
      <c r="AN4524" s="185" t="s">
        <v>3572</v>
      </c>
      <c r="AO4524" s="185" t="s">
        <v>5150</v>
      </c>
      <c r="AQ4524" s="55" t="s">
        <v>553</v>
      </c>
      <c r="AR4524" s="55" t="s">
        <v>1096</v>
      </c>
      <c r="AS4524" s="55" t="s">
        <v>5133</v>
      </c>
      <c r="AU4524" s="181" t="s">
        <v>7494</v>
      </c>
      <c r="AV4524" s="185" t="s">
        <v>176</v>
      </c>
      <c r="AX4524" s="185" t="s">
        <v>176</v>
      </c>
      <c r="BK4524" s="55" t="s">
        <v>5976</v>
      </c>
      <c r="BM4524" s="192" t="s">
        <v>160</v>
      </c>
      <c r="BN4524" s="55">
        <v>3</v>
      </c>
      <c r="BO4524" s="55">
        <v>3</v>
      </c>
      <c r="BQ4524" s="55" t="s">
        <v>141</v>
      </c>
      <c r="DB4524" s="65">
        <v>0.8</v>
      </c>
      <c r="DC4524" s="65">
        <v>0.6</v>
      </c>
      <c r="DD4524" s="65">
        <v>0.2</v>
      </c>
      <c r="DE4524" s="65">
        <v>0.2</v>
      </c>
      <c r="DF4524" s="65" t="s">
        <v>979</v>
      </c>
      <c r="GP4524" s="292" t="s">
        <v>7494</v>
      </c>
    </row>
    <row r="4525" spans="1:198" x14ac:dyDescent="0.25">
      <c r="A4525" s="55">
        <v>4524</v>
      </c>
      <c r="B4525" s="12" t="s">
        <v>7067</v>
      </c>
      <c r="C4525" s="155">
        <v>195</v>
      </c>
      <c r="D4525" s="55" t="s">
        <v>4438</v>
      </c>
      <c r="E4525" s="90" t="s">
        <v>1105</v>
      </c>
      <c r="G4525" s="55" t="s">
        <v>4424</v>
      </c>
      <c r="H4525" s="55">
        <v>2012</v>
      </c>
      <c r="I4525" s="55">
        <v>2009</v>
      </c>
      <c r="J4525" s="55" t="s">
        <v>1050</v>
      </c>
      <c r="K4525" s="55" t="s">
        <v>4426</v>
      </c>
      <c r="L4525" s="55" t="s">
        <v>3377</v>
      </c>
      <c r="M4525" s="90">
        <f>29+52/60</f>
        <v>29.866666666666667</v>
      </c>
      <c r="N4525" s="90">
        <f>112+52/60</f>
        <v>112.86666666666666</v>
      </c>
      <c r="O4525" s="90">
        <v>28</v>
      </c>
      <c r="P4525" s="55">
        <f>AVERAGE(2.7,6.76,17.56,21.14,28.16,30.28,33.33,32,28.42,22.05,15.69,10.25)</f>
        <v>20.695000000000004</v>
      </c>
      <c r="R4525" s="55">
        <f>SUM(53.78,18.15,97.67,118.86,115.81,117,60,265.7,35,217,111,8)</f>
        <v>1217.97</v>
      </c>
      <c r="U4525" s="55" t="s">
        <v>1805</v>
      </c>
      <c r="V4525" s="55" t="s">
        <v>1688</v>
      </c>
      <c r="Y4525" s="55" t="s">
        <v>4425</v>
      </c>
      <c r="Z4525" s="55" t="s">
        <v>1360</v>
      </c>
      <c r="AA4525" s="90" t="s">
        <v>1679</v>
      </c>
      <c r="AD4525" s="90">
        <v>1.18</v>
      </c>
      <c r="AE4525" s="90">
        <v>26.6</v>
      </c>
      <c r="AF4525" s="90">
        <v>60.7</v>
      </c>
      <c r="AH4525" s="55" t="s">
        <v>6378</v>
      </c>
      <c r="AI4525" s="168">
        <v>6</v>
      </c>
      <c r="AJ4525" s="90">
        <v>5.07</v>
      </c>
      <c r="AN4525" s="185" t="s">
        <v>115</v>
      </c>
      <c r="AO4525" s="185" t="s">
        <v>5150</v>
      </c>
      <c r="AQ4525" s="55" t="s">
        <v>1545</v>
      </c>
      <c r="AR4525" s="55" t="s">
        <v>1096</v>
      </c>
      <c r="AS4525" s="55" t="s">
        <v>5133</v>
      </c>
      <c r="AU4525" s="181" t="s">
        <v>7494</v>
      </c>
      <c r="AV4525" s="185" t="s">
        <v>176</v>
      </c>
      <c r="AX4525" s="185" t="s">
        <v>176</v>
      </c>
      <c r="BK4525" s="55" t="s">
        <v>5976</v>
      </c>
      <c r="BM4525" s="192" t="s">
        <v>160</v>
      </c>
      <c r="BN4525" s="55">
        <v>3</v>
      </c>
      <c r="BO4525" s="55">
        <v>3</v>
      </c>
      <c r="BQ4525" s="55" t="s">
        <v>141</v>
      </c>
      <c r="DB4525" s="65">
        <v>0.8</v>
      </c>
      <c r="DC4525" s="65">
        <v>0.9</v>
      </c>
      <c r="DD4525" s="65">
        <v>0.1</v>
      </c>
      <c r="DE4525" s="65">
        <v>0.1</v>
      </c>
      <c r="DF4525" s="65" t="s">
        <v>979</v>
      </c>
      <c r="GP4525" s="292" t="s">
        <v>7494</v>
      </c>
    </row>
    <row r="4526" spans="1:198" x14ac:dyDescent="0.25">
      <c r="A4526" s="55">
        <v>4525</v>
      </c>
      <c r="B4526" s="12" t="s">
        <v>7067</v>
      </c>
      <c r="C4526" s="155">
        <v>195</v>
      </c>
      <c r="D4526" s="55" t="s">
        <v>4439</v>
      </c>
      <c r="E4526" s="90" t="s">
        <v>1105</v>
      </c>
      <c r="G4526" s="55" t="s">
        <v>4424</v>
      </c>
      <c r="H4526" s="55">
        <v>2012</v>
      </c>
      <c r="I4526" s="55">
        <v>2009</v>
      </c>
      <c r="J4526" s="55" t="s">
        <v>1050</v>
      </c>
      <c r="K4526" s="55" t="s">
        <v>4426</v>
      </c>
      <c r="L4526" s="55" t="s">
        <v>3377</v>
      </c>
      <c r="M4526" s="90">
        <f>29+52/60</f>
        <v>29.866666666666667</v>
      </c>
      <c r="N4526" s="90">
        <f>112+52/60</f>
        <v>112.86666666666666</v>
      </c>
      <c r="O4526" s="90">
        <v>28</v>
      </c>
      <c r="P4526" s="55">
        <f>AVERAGE(2.7,6.76,17.56,21.14,28.16,30.28,33.33,32,28.42,22.05,15.69,10.25)</f>
        <v>20.695000000000004</v>
      </c>
      <c r="R4526" s="55">
        <f>SUM(53.78,18.15,97.67,118.86,115.81,117,60,265.7,35,217,111,8)</f>
        <v>1217.97</v>
      </c>
      <c r="U4526" s="55" t="s">
        <v>1805</v>
      </c>
      <c r="V4526" s="55" t="s">
        <v>1688</v>
      </c>
      <c r="Y4526" s="55" t="s">
        <v>4425</v>
      </c>
      <c r="Z4526" s="55" t="s">
        <v>1360</v>
      </c>
      <c r="AA4526" s="90" t="s">
        <v>1679</v>
      </c>
      <c r="AD4526" s="90">
        <v>1.18</v>
      </c>
      <c r="AE4526" s="90">
        <v>26.6</v>
      </c>
      <c r="AF4526" s="90">
        <v>60.7</v>
      </c>
      <c r="AH4526" s="55" t="s">
        <v>6378</v>
      </c>
      <c r="AI4526" s="168">
        <v>6</v>
      </c>
      <c r="AJ4526" s="90">
        <v>5.07</v>
      </c>
      <c r="AN4526" s="185" t="s">
        <v>3572</v>
      </c>
      <c r="AO4526" s="185" t="s">
        <v>5150</v>
      </c>
      <c r="AQ4526" s="55" t="s">
        <v>553</v>
      </c>
      <c r="AR4526" s="55" t="s">
        <v>1096</v>
      </c>
      <c r="AS4526" s="55" t="s">
        <v>5133</v>
      </c>
      <c r="AU4526" s="181" t="s">
        <v>7494</v>
      </c>
      <c r="AV4526" s="185" t="s">
        <v>176</v>
      </c>
      <c r="AX4526" s="185" t="s">
        <v>176</v>
      </c>
      <c r="BK4526" s="55" t="s">
        <v>5976</v>
      </c>
      <c r="BM4526" s="192" t="s">
        <v>160</v>
      </c>
      <c r="BN4526" s="55">
        <v>3</v>
      </c>
      <c r="BO4526" s="55">
        <v>3</v>
      </c>
      <c r="BQ4526" s="55" t="s">
        <v>141</v>
      </c>
      <c r="DB4526" s="65">
        <v>0.8</v>
      </c>
      <c r="DC4526" s="65">
        <v>0.7</v>
      </c>
      <c r="DD4526" s="65">
        <v>0.1</v>
      </c>
      <c r="DE4526" s="65">
        <v>0.1</v>
      </c>
      <c r="DF4526" s="65" t="s">
        <v>979</v>
      </c>
      <c r="GP4526" s="292" t="s">
        <v>7494</v>
      </c>
    </row>
    <row r="4527" spans="1:198" x14ac:dyDescent="0.25">
      <c r="A4527" s="55">
        <v>4526</v>
      </c>
      <c r="B4527" s="12" t="s">
        <v>7067</v>
      </c>
      <c r="C4527" s="155">
        <v>195</v>
      </c>
      <c r="D4527" s="55" t="s">
        <v>4427</v>
      </c>
      <c r="E4527" s="90" t="s">
        <v>1105</v>
      </c>
      <c r="G4527" s="55" t="s">
        <v>4424</v>
      </c>
      <c r="H4527" s="55">
        <v>2012</v>
      </c>
      <c r="I4527" s="55">
        <v>2010</v>
      </c>
      <c r="J4527" s="55" t="s">
        <v>1050</v>
      </c>
      <c r="K4527" s="55" t="s">
        <v>4426</v>
      </c>
      <c r="L4527" s="55" t="s">
        <v>3377</v>
      </c>
      <c r="M4527" s="90">
        <f>29+52/60</f>
        <v>29.866666666666667</v>
      </c>
      <c r="N4527" s="90">
        <f>112+52/60</f>
        <v>112.86666666666666</v>
      </c>
      <c r="O4527" s="90">
        <v>28</v>
      </c>
      <c r="P4527" s="55">
        <f>AVERAGE(6.4,11.18,13.96,20.19,25.22,32.12,33.97,32.91,28.66,24.82,11.95,8.11)</f>
        <v>20.790833333333328</v>
      </c>
      <c r="R4527" s="55">
        <f>SUM(17,91.36,91,230.7,126,221.58,136.7,17,44,26,62.38,41)</f>
        <v>1104.72</v>
      </c>
      <c r="U4527" s="55" t="s">
        <v>1805</v>
      </c>
      <c r="V4527" s="55" t="s">
        <v>1688</v>
      </c>
      <c r="Y4527" s="55" t="s">
        <v>4425</v>
      </c>
      <c r="Z4527" s="55" t="s">
        <v>1355</v>
      </c>
      <c r="AA4527" s="90" t="s">
        <v>1679</v>
      </c>
      <c r="AD4527" s="90">
        <v>1.18</v>
      </c>
      <c r="AE4527" s="90">
        <v>26.6</v>
      </c>
      <c r="AF4527" s="90">
        <v>60.7</v>
      </c>
      <c r="AH4527" s="55" t="s">
        <v>6378</v>
      </c>
      <c r="AI4527" s="168">
        <v>6</v>
      </c>
      <c r="AJ4527" s="90">
        <v>5.07</v>
      </c>
      <c r="AN4527" s="185" t="s">
        <v>115</v>
      </c>
      <c r="AO4527" s="185" t="s">
        <v>5150</v>
      </c>
      <c r="AQ4527" s="55" t="s">
        <v>1545</v>
      </c>
      <c r="AR4527" s="55" t="s">
        <v>1096</v>
      </c>
      <c r="AS4527" s="55" t="s">
        <v>5133</v>
      </c>
      <c r="AU4527" s="181" t="s">
        <v>7494</v>
      </c>
      <c r="AV4527" s="185" t="s">
        <v>176</v>
      </c>
      <c r="AX4527" s="185" t="s">
        <v>176</v>
      </c>
      <c r="BK4527" s="55" t="s">
        <v>5976</v>
      </c>
      <c r="BM4527" s="192" t="s">
        <v>160</v>
      </c>
      <c r="BN4527" s="55">
        <v>3</v>
      </c>
      <c r="BO4527" s="55">
        <v>3</v>
      </c>
      <c r="BQ4527" s="55" t="s">
        <v>141</v>
      </c>
      <c r="DB4527" s="65">
        <v>6</v>
      </c>
      <c r="DC4527" s="65">
        <v>4.3</v>
      </c>
      <c r="DD4527" s="65">
        <v>1.1000000000000001</v>
      </c>
      <c r="DE4527" s="65">
        <v>1.1000000000000001</v>
      </c>
      <c r="DF4527" s="65" t="s">
        <v>4431</v>
      </c>
      <c r="GP4527" s="292" t="s">
        <v>7494</v>
      </c>
    </row>
    <row r="4528" spans="1:198" x14ac:dyDescent="0.25">
      <c r="A4528" s="55">
        <v>4527</v>
      </c>
      <c r="B4528" s="12" t="s">
        <v>7067</v>
      </c>
      <c r="C4528" s="155">
        <v>195</v>
      </c>
      <c r="D4528" s="55" t="s">
        <v>4428</v>
      </c>
      <c r="E4528" s="90" t="s">
        <v>1105</v>
      </c>
      <c r="G4528" s="55" t="s">
        <v>4424</v>
      </c>
      <c r="H4528" s="55">
        <v>2012</v>
      </c>
      <c r="I4528" s="55">
        <v>2010</v>
      </c>
      <c r="J4528" s="55" t="s">
        <v>1050</v>
      </c>
      <c r="K4528" s="55" t="s">
        <v>4426</v>
      </c>
      <c r="L4528" s="55" t="s">
        <v>3377</v>
      </c>
      <c r="M4528" s="90">
        <f>29+52/60</f>
        <v>29.866666666666667</v>
      </c>
      <c r="N4528" s="90">
        <f>112+52/60</f>
        <v>112.86666666666666</v>
      </c>
      <c r="O4528" s="90">
        <v>28</v>
      </c>
      <c r="P4528" s="55">
        <f>AVERAGE(6.4,11.18,13.96,20.19,25.22,32.12,33.97,32.91,28.66,24.82,11.95,8.11)</f>
        <v>20.790833333333328</v>
      </c>
      <c r="R4528" s="55">
        <f>SUM(17,91.36,91,230.7,126,221.58,136.7,17,44,26,62.38,41)</f>
        <v>1104.72</v>
      </c>
      <c r="U4528" s="55" t="s">
        <v>1805</v>
      </c>
      <c r="V4528" s="55" t="s">
        <v>1688</v>
      </c>
      <c r="Y4528" s="55" t="s">
        <v>4425</v>
      </c>
      <c r="Z4528" s="55" t="s">
        <v>1355</v>
      </c>
      <c r="AA4528" s="90" t="s">
        <v>1679</v>
      </c>
      <c r="AD4528" s="90">
        <v>1.18</v>
      </c>
      <c r="AE4528" s="90">
        <v>26.6</v>
      </c>
      <c r="AF4528" s="90">
        <v>60.7</v>
      </c>
      <c r="AH4528" s="55" t="s">
        <v>6378</v>
      </c>
      <c r="AI4528" s="168">
        <v>6</v>
      </c>
      <c r="AJ4528" s="90">
        <v>5.07</v>
      </c>
      <c r="AN4528" s="185" t="s">
        <v>3572</v>
      </c>
      <c r="AO4528" s="185" t="s">
        <v>5150</v>
      </c>
      <c r="AQ4528" s="55" t="s">
        <v>553</v>
      </c>
      <c r="AR4528" s="55" t="s">
        <v>1096</v>
      </c>
      <c r="AS4528" s="55" t="s">
        <v>5133</v>
      </c>
      <c r="AU4528" s="181" t="s">
        <v>7494</v>
      </c>
      <c r="AV4528" s="185" t="s">
        <v>176</v>
      </c>
      <c r="AX4528" s="185" t="s">
        <v>176</v>
      </c>
      <c r="BK4528" s="55" t="s">
        <v>5976</v>
      </c>
      <c r="BM4528" s="192" t="s">
        <v>160</v>
      </c>
      <c r="BN4528" s="55">
        <v>3</v>
      </c>
      <c r="BO4528" s="55">
        <v>3</v>
      </c>
      <c r="BQ4528" s="55" t="s">
        <v>141</v>
      </c>
      <c r="DB4528" s="65">
        <v>6</v>
      </c>
      <c r="DC4528" s="65">
        <v>10.4</v>
      </c>
      <c r="DD4528" s="65">
        <v>1.1000000000000001</v>
      </c>
      <c r="DE4528" s="65">
        <v>1.1000000000000001</v>
      </c>
      <c r="DF4528" s="65" t="s">
        <v>4431</v>
      </c>
      <c r="GP4528" s="292" t="s">
        <v>7494</v>
      </c>
    </row>
    <row r="4529" spans="1:276" x14ac:dyDescent="0.25">
      <c r="A4529" s="55">
        <v>4528</v>
      </c>
      <c r="B4529" s="12" t="s">
        <v>7067</v>
      </c>
      <c r="C4529" s="155">
        <v>195</v>
      </c>
      <c r="D4529" s="55" t="s">
        <v>4429</v>
      </c>
      <c r="E4529" s="90" t="s">
        <v>1105</v>
      </c>
      <c r="G4529" s="55" t="s">
        <v>4424</v>
      </c>
      <c r="H4529" s="55">
        <v>2012</v>
      </c>
      <c r="I4529" s="55">
        <v>2010</v>
      </c>
      <c r="J4529" s="55" t="s">
        <v>1050</v>
      </c>
      <c r="K4529" s="55" t="s">
        <v>4426</v>
      </c>
      <c r="L4529" s="55" t="s">
        <v>3377</v>
      </c>
      <c r="M4529" s="90">
        <f>29+52/60</f>
        <v>29.866666666666667</v>
      </c>
      <c r="N4529" s="90">
        <f>112+52/60</f>
        <v>112.86666666666666</v>
      </c>
      <c r="O4529" s="90">
        <v>28</v>
      </c>
      <c r="P4529" s="55">
        <f>AVERAGE(6.4,11.18,13.96,20.19,25.22,32.12,33.97,32.91,28.66,24.82,11.95,8.11)</f>
        <v>20.790833333333328</v>
      </c>
      <c r="R4529" s="55">
        <f>SUM(17,91.36,91,230.7,126,221.58,136.7,17,44,26,62.38,41)</f>
        <v>1104.72</v>
      </c>
      <c r="U4529" s="55" t="s">
        <v>1805</v>
      </c>
      <c r="V4529" s="55" t="s">
        <v>1688</v>
      </c>
      <c r="Y4529" s="55" t="s">
        <v>4425</v>
      </c>
      <c r="Z4529" s="55" t="s">
        <v>1359</v>
      </c>
      <c r="AA4529" s="90" t="s">
        <v>1679</v>
      </c>
      <c r="AD4529" s="90">
        <v>1.18</v>
      </c>
      <c r="AE4529" s="90">
        <v>26.6</v>
      </c>
      <c r="AF4529" s="90">
        <v>60.7</v>
      </c>
      <c r="AH4529" s="55" t="s">
        <v>6378</v>
      </c>
      <c r="AI4529" s="168">
        <v>6</v>
      </c>
      <c r="AJ4529" s="90">
        <v>5.07</v>
      </c>
      <c r="AN4529" s="185" t="s">
        <v>115</v>
      </c>
      <c r="AO4529" s="185" t="s">
        <v>5150</v>
      </c>
      <c r="AQ4529" s="55" t="s">
        <v>1545</v>
      </c>
      <c r="AR4529" s="55" t="s">
        <v>1096</v>
      </c>
      <c r="AS4529" s="55" t="s">
        <v>5133</v>
      </c>
      <c r="AU4529" s="181" t="s">
        <v>7494</v>
      </c>
      <c r="AV4529" s="185" t="s">
        <v>176</v>
      </c>
      <c r="AX4529" s="185" t="s">
        <v>176</v>
      </c>
      <c r="BK4529" s="55" t="s">
        <v>5976</v>
      </c>
      <c r="BM4529" s="192" t="s">
        <v>160</v>
      </c>
      <c r="BN4529" s="55">
        <v>3</v>
      </c>
      <c r="BO4529" s="55">
        <v>3</v>
      </c>
      <c r="BQ4529" s="55" t="s">
        <v>141</v>
      </c>
      <c r="DB4529" s="65">
        <v>5.9</v>
      </c>
      <c r="DC4529" s="65">
        <v>3.7</v>
      </c>
      <c r="DD4529" s="65">
        <v>1.4</v>
      </c>
      <c r="DE4529" s="65">
        <v>1.4</v>
      </c>
      <c r="DF4529" s="65" t="s">
        <v>4431</v>
      </c>
      <c r="GP4529" s="292" t="s">
        <v>7494</v>
      </c>
    </row>
    <row r="4530" spans="1:276" x14ac:dyDescent="0.25">
      <c r="A4530" s="55">
        <v>4529</v>
      </c>
      <c r="B4530" s="12" t="s">
        <v>7067</v>
      </c>
      <c r="C4530" s="155">
        <v>195</v>
      </c>
      <c r="D4530" s="55" t="s">
        <v>4430</v>
      </c>
      <c r="E4530" s="90" t="s">
        <v>1105</v>
      </c>
      <c r="G4530" s="55" t="s">
        <v>4424</v>
      </c>
      <c r="H4530" s="55">
        <v>2012</v>
      </c>
      <c r="I4530" s="55">
        <v>2010</v>
      </c>
      <c r="J4530" s="55" t="s">
        <v>1050</v>
      </c>
      <c r="K4530" s="55" t="s">
        <v>4426</v>
      </c>
      <c r="L4530" s="55" t="s">
        <v>3377</v>
      </c>
      <c r="M4530" s="90">
        <f>29+52/60</f>
        <v>29.866666666666667</v>
      </c>
      <c r="N4530" s="90">
        <f>112+52/60</f>
        <v>112.86666666666666</v>
      </c>
      <c r="O4530" s="90">
        <v>28</v>
      </c>
      <c r="P4530" s="55">
        <f>AVERAGE(6.4,11.18,13.96,20.19,25.22,32.12,33.97,32.91,28.66,24.82,11.95,8.11)</f>
        <v>20.790833333333328</v>
      </c>
      <c r="R4530" s="55">
        <f>SUM(17,91.36,91,230.7,126,221.58,136.7,17,44,26,62.38,41)</f>
        <v>1104.72</v>
      </c>
      <c r="U4530" s="55" t="s">
        <v>1805</v>
      </c>
      <c r="V4530" s="55" t="s">
        <v>1688</v>
      </c>
      <c r="Y4530" s="55" t="s">
        <v>4425</v>
      </c>
      <c r="Z4530" s="55" t="s">
        <v>1359</v>
      </c>
      <c r="AA4530" s="90" t="s">
        <v>1679</v>
      </c>
      <c r="AD4530" s="90">
        <v>1.18</v>
      </c>
      <c r="AE4530" s="90">
        <v>26.6</v>
      </c>
      <c r="AF4530" s="90">
        <v>60.7</v>
      </c>
      <c r="AH4530" s="55" t="s">
        <v>6378</v>
      </c>
      <c r="AI4530" s="168">
        <v>6</v>
      </c>
      <c r="AJ4530" s="90">
        <v>5.07</v>
      </c>
      <c r="AN4530" s="185" t="s">
        <v>3572</v>
      </c>
      <c r="AO4530" s="185" t="s">
        <v>5150</v>
      </c>
      <c r="AQ4530" s="55" t="s">
        <v>553</v>
      </c>
      <c r="AR4530" s="55" t="s">
        <v>1096</v>
      </c>
      <c r="AS4530" s="55" t="s">
        <v>5133</v>
      </c>
      <c r="AU4530" s="181" t="s">
        <v>7494</v>
      </c>
      <c r="AV4530" s="185" t="s">
        <v>176</v>
      </c>
      <c r="AX4530" s="185" t="s">
        <v>176</v>
      </c>
      <c r="BK4530" s="55" t="s">
        <v>5976</v>
      </c>
      <c r="BM4530" s="192" t="s">
        <v>160</v>
      </c>
      <c r="BN4530" s="55">
        <v>3</v>
      </c>
      <c r="BO4530" s="55">
        <v>3</v>
      </c>
      <c r="BQ4530" s="55" t="s">
        <v>141</v>
      </c>
      <c r="DB4530" s="65">
        <v>5.9</v>
      </c>
      <c r="DC4530" s="65">
        <v>6.4</v>
      </c>
      <c r="DD4530" s="65">
        <v>1.4</v>
      </c>
      <c r="DE4530" s="65">
        <v>1.4</v>
      </c>
      <c r="DF4530" s="65" t="s">
        <v>4431</v>
      </c>
      <c r="GP4530" s="292" t="s">
        <v>7494</v>
      </c>
    </row>
    <row r="4531" spans="1:276" x14ac:dyDescent="0.25">
      <c r="A4531" s="55">
        <v>4530</v>
      </c>
      <c r="B4531" s="12" t="s">
        <v>7067</v>
      </c>
      <c r="C4531" s="155">
        <v>195</v>
      </c>
      <c r="D4531" s="55" t="s">
        <v>4432</v>
      </c>
      <c r="E4531" s="90" t="s">
        <v>1105</v>
      </c>
      <c r="G4531" s="55" t="s">
        <v>4424</v>
      </c>
      <c r="H4531" s="55">
        <v>2012</v>
      </c>
      <c r="I4531" s="55">
        <v>2010</v>
      </c>
      <c r="J4531" s="55" t="s">
        <v>1050</v>
      </c>
      <c r="K4531" s="55" t="s">
        <v>4426</v>
      </c>
      <c r="L4531" s="55" t="s">
        <v>3377</v>
      </c>
      <c r="M4531" s="90">
        <f>29+52/60</f>
        <v>29.866666666666667</v>
      </c>
      <c r="N4531" s="90">
        <f>112+52/60</f>
        <v>112.86666666666666</v>
      </c>
      <c r="O4531" s="90">
        <v>28</v>
      </c>
      <c r="P4531" s="55">
        <f>AVERAGE(6.4,11.18,13.96,20.19,25.22,32.12,33.97,32.91,28.66,24.82,11.95,8.11)</f>
        <v>20.790833333333328</v>
      </c>
      <c r="R4531" s="55">
        <f>SUM(17,91.36,91,230.7,126,221.58,136.7,17,44,26,62.38,41)</f>
        <v>1104.72</v>
      </c>
      <c r="U4531" s="55" t="s">
        <v>1805</v>
      </c>
      <c r="V4531" s="55" t="s">
        <v>1688</v>
      </c>
      <c r="Y4531" s="55" t="s">
        <v>4425</v>
      </c>
      <c r="Z4531" s="55" t="s">
        <v>1360</v>
      </c>
      <c r="AA4531" s="90" t="s">
        <v>1679</v>
      </c>
      <c r="AD4531" s="90">
        <v>1.18</v>
      </c>
      <c r="AE4531" s="90">
        <v>26.6</v>
      </c>
      <c r="AF4531" s="90">
        <v>60.7</v>
      </c>
      <c r="AH4531" s="55" t="s">
        <v>6378</v>
      </c>
      <c r="AI4531" s="168">
        <v>6</v>
      </c>
      <c r="AJ4531" s="90">
        <v>5.07</v>
      </c>
      <c r="AN4531" s="185" t="s">
        <v>115</v>
      </c>
      <c r="AO4531" s="185" t="s">
        <v>5150</v>
      </c>
      <c r="AQ4531" s="55" t="s">
        <v>1545</v>
      </c>
      <c r="AR4531" s="55" t="s">
        <v>1096</v>
      </c>
      <c r="AS4531" s="55" t="s">
        <v>5133</v>
      </c>
      <c r="AU4531" s="181" t="s">
        <v>7494</v>
      </c>
      <c r="AV4531" s="185" t="s">
        <v>176</v>
      </c>
      <c r="AX4531" s="185" t="s">
        <v>176</v>
      </c>
      <c r="BK4531" s="55" t="s">
        <v>5976</v>
      </c>
      <c r="BM4531" s="192" t="s">
        <v>160</v>
      </c>
      <c r="BN4531" s="55">
        <v>3</v>
      </c>
      <c r="BO4531" s="55">
        <v>3</v>
      </c>
      <c r="BQ4531" s="55" t="s">
        <v>141</v>
      </c>
      <c r="DB4531" s="65">
        <v>3.6</v>
      </c>
      <c r="DC4531" s="65">
        <v>2.9</v>
      </c>
      <c r="DD4531" s="65">
        <v>0.9</v>
      </c>
      <c r="DE4531" s="65">
        <v>0.9</v>
      </c>
      <c r="DF4531" s="65" t="s">
        <v>4431</v>
      </c>
      <c r="GP4531" s="292" t="s">
        <v>7494</v>
      </c>
    </row>
    <row r="4532" spans="1:276" x14ac:dyDescent="0.25">
      <c r="A4532" s="55">
        <v>4531</v>
      </c>
      <c r="B4532" s="12" t="s">
        <v>7067</v>
      </c>
      <c r="C4532" s="155">
        <v>195</v>
      </c>
      <c r="D4532" s="55" t="s">
        <v>4433</v>
      </c>
      <c r="E4532" s="90" t="s">
        <v>1105</v>
      </c>
      <c r="G4532" s="55" t="s">
        <v>4424</v>
      </c>
      <c r="H4532" s="55">
        <v>2012</v>
      </c>
      <c r="I4532" s="55">
        <v>2010</v>
      </c>
      <c r="J4532" s="55" t="s">
        <v>1050</v>
      </c>
      <c r="K4532" s="55" t="s">
        <v>4426</v>
      </c>
      <c r="L4532" s="55" t="s">
        <v>3377</v>
      </c>
      <c r="M4532" s="90">
        <f>29+52/60</f>
        <v>29.866666666666667</v>
      </c>
      <c r="N4532" s="90">
        <f>112+52/60</f>
        <v>112.86666666666666</v>
      </c>
      <c r="O4532" s="90">
        <v>28</v>
      </c>
      <c r="P4532" s="55">
        <f>AVERAGE(6.4,11.18,13.96,20.19,25.22,32.12,33.97,32.91,28.66,24.82,11.95,8.11)</f>
        <v>20.790833333333328</v>
      </c>
      <c r="R4532" s="55">
        <f>SUM(17,91.36,91,230.7,126,221.58,136.7,17,44,26,62.38,41)</f>
        <v>1104.72</v>
      </c>
      <c r="U4532" s="55" t="s">
        <v>1805</v>
      </c>
      <c r="V4532" s="55" t="s">
        <v>1688</v>
      </c>
      <c r="Y4532" s="55" t="s">
        <v>4425</v>
      </c>
      <c r="Z4532" s="55" t="s">
        <v>1360</v>
      </c>
      <c r="AA4532" s="90" t="s">
        <v>1679</v>
      </c>
      <c r="AD4532" s="90">
        <v>1.18</v>
      </c>
      <c r="AE4532" s="90">
        <v>26.6</v>
      </c>
      <c r="AF4532" s="90">
        <v>60.7</v>
      </c>
      <c r="AH4532" s="55" t="s">
        <v>6378</v>
      </c>
      <c r="AI4532" s="168">
        <v>6</v>
      </c>
      <c r="AJ4532" s="90">
        <v>5.07</v>
      </c>
      <c r="AN4532" s="185" t="s">
        <v>3572</v>
      </c>
      <c r="AO4532" s="185" t="s">
        <v>5150</v>
      </c>
      <c r="AQ4532" s="55" t="s">
        <v>553</v>
      </c>
      <c r="AR4532" s="55" t="s">
        <v>1096</v>
      </c>
      <c r="AS4532" s="55" t="s">
        <v>5133</v>
      </c>
      <c r="AU4532" s="181" t="s">
        <v>7494</v>
      </c>
      <c r="AV4532" s="185" t="s">
        <v>176</v>
      </c>
      <c r="AX4532" s="185" t="s">
        <v>176</v>
      </c>
      <c r="BK4532" s="55" t="s">
        <v>5976</v>
      </c>
      <c r="BM4532" s="192" t="s">
        <v>160</v>
      </c>
      <c r="BN4532" s="55">
        <v>3</v>
      </c>
      <c r="BO4532" s="55">
        <v>3</v>
      </c>
      <c r="BQ4532" s="55" t="s">
        <v>141</v>
      </c>
      <c r="DB4532" s="65">
        <v>3.6</v>
      </c>
      <c r="DC4532" s="65">
        <v>4.5</v>
      </c>
      <c r="DD4532" s="65">
        <v>0.9</v>
      </c>
      <c r="DE4532" s="65">
        <v>0.9</v>
      </c>
      <c r="DF4532" s="65" t="s">
        <v>4431</v>
      </c>
      <c r="GP4532" s="292" t="s">
        <v>7494</v>
      </c>
    </row>
    <row r="4533" spans="1:276" x14ac:dyDescent="0.25">
      <c r="A4533" s="55">
        <v>4532</v>
      </c>
      <c r="B4533" s="12" t="s">
        <v>7067</v>
      </c>
      <c r="C4533" s="155">
        <v>195</v>
      </c>
      <c r="D4533" s="55" t="s">
        <v>4434</v>
      </c>
      <c r="E4533" s="90" t="s">
        <v>1105</v>
      </c>
      <c r="G4533" s="55" t="s">
        <v>4424</v>
      </c>
      <c r="H4533" s="55">
        <v>2012</v>
      </c>
      <c r="I4533" s="55">
        <v>2010</v>
      </c>
      <c r="J4533" s="55" t="s">
        <v>1050</v>
      </c>
      <c r="K4533" s="55" t="s">
        <v>4426</v>
      </c>
      <c r="L4533" s="55" t="s">
        <v>3377</v>
      </c>
      <c r="M4533" s="90">
        <f>29+52/60</f>
        <v>29.866666666666667</v>
      </c>
      <c r="N4533" s="90">
        <f>112+52/60</f>
        <v>112.86666666666666</v>
      </c>
      <c r="O4533" s="90">
        <v>28</v>
      </c>
      <c r="P4533" s="55">
        <f>AVERAGE(6.4,11.18,13.96,20.19,25.22,32.12,33.97,32.91,28.66,24.82,11.95,8.11)</f>
        <v>20.790833333333328</v>
      </c>
      <c r="R4533" s="55">
        <f>SUM(17,91.36,91,230.7,126,221.58,136.7,17,44,26,62.38,41)</f>
        <v>1104.72</v>
      </c>
      <c r="U4533" s="55" t="s">
        <v>1805</v>
      </c>
      <c r="V4533" s="55" t="s">
        <v>1688</v>
      </c>
      <c r="Y4533" s="55" t="s">
        <v>4425</v>
      </c>
      <c r="Z4533" s="55" t="s">
        <v>1355</v>
      </c>
      <c r="AA4533" s="90" t="s">
        <v>1679</v>
      </c>
      <c r="AD4533" s="90">
        <v>1.18</v>
      </c>
      <c r="AE4533" s="90">
        <v>26.6</v>
      </c>
      <c r="AF4533" s="90">
        <v>60.7</v>
      </c>
      <c r="AH4533" s="55" t="s">
        <v>6378</v>
      </c>
      <c r="AI4533" s="168">
        <v>6</v>
      </c>
      <c r="AJ4533" s="90">
        <v>5.07</v>
      </c>
      <c r="AN4533" s="185" t="s">
        <v>115</v>
      </c>
      <c r="AO4533" s="185" t="s">
        <v>5150</v>
      </c>
      <c r="AQ4533" s="55" t="s">
        <v>1545</v>
      </c>
      <c r="AR4533" s="55" t="s">
        <v>1096</v>
      </c>
      <c r="AS4533" s="55" t="s">
        <v>5133</v>
      </c>
      <c r="AU4533" s="181" t="s">
        <v>7494</v>
      </c>
      <c r="AV4533" s="185" t="s">
        <v>176</v>
      </c>
      <c r="AX4533" s="185" t="s">
        <v>176</v>
      </c>
      <c r="BK4533" s="55" t="s">
        <v>5976</v>
      </c>
      <c r="BM4533" s="192" t="s">
        <v>160</v>
      </c>
      <c r="BN4533" s="55">
        <v>3</v>
      </c>
      <c r="BO4533" s="55">
        <v>3</v>
      </c>
      <c r="BQ4533" s="55" t="s">
        <v>141</v>
      </c>
      <c r="DB4533" s="65">
        <v>1.8</v>
      </c>
      <c r="DC4533" s="65">
        <v>1.3</v>
      </c>
      <c r="DD4533" s="65">
        <v>0.2</v>
      </c>
      <c r="DE4533" s="65">
        <v>0.2</v>
      </c>
      <c r="DF4533" s="65" t="s">
        <v>979</v>
      </c>
      <c r="GP4533" s="292" t="s">
        <v>7494</v>
      </c>
    </row>
    <row r="4534" spans="1:276" x14ac:dyDescent="0.25">
      <c r="A4534" s="55">
        <v>4533</v>
      </c>
      <c r="B4534" s="12" t="s">
        <v>7067</v>
      </c>
      <c r="C4534" s="155">
        <v>195</v>
      </c>
      <c r="D4534" s="55" t="s">
        <v>4435</v>
      </c>
      <c r="E4534" s="90" t="s">
        <v>1105</v>
      </c>
      <c r="G4534" s="55" t="s">
        <v>4424</v>
      </c>
      <c r="H4534" s="55">
        <v>2012</v>
      </c>
      <c r="I4534" s="55">
        <v>2010</v>
      </c>
      <c r="J4534" s="55" t="s">
        <v>1050</v>
      </c>
      <c r="K4534" s="55" t="s">
        <v>4426</v>
      </c>
      <c r="L4534" s="55" t="s">
        <v>3377</v>
      </c>
      <c r="M4534" s="90">
        <f>29+52/60</f>
        <v>29.866666666666667</v>
      </c>
      <c r="N4534" s="90">
        <f>112+52/60</f>
        <v>112.86666666666666</v>
      </c>
      <c r="O4534" s="90">
        <v>28</v>
      </c>
      <c r="P4534" s="55">
        <f>AVERAGE(6.4,11.18,13.96,20.19,25.22,32.12,33.97,32.91,28.66,24.82,11.95,8.11)</f>
        <v>20.790833333333328</v>
      </c>
      <c r="R4534" s="55">
        <f>SUM(17,91.36,91,230.7,126,221.58,136.7,17,44,26,62.38,41)</f>
        <v>1104.72</v>
      </c>
      <c r="U4534" s="55" t="s">
        <v>1805</v>
      </c>
      <c r="V4534" s="55" t="s">
        <v>1688</v>
      </c>
      <c r="Y4534" s="55" t="s">
        <v>4425</v>
      </c>
      <c r="Z4534" s="55" t="s">
        <v>1355</v>
      </c>
      <c r="AA4534" s="90" t="s">
        <v>1679</v>
      </c>
      <c r="AD4534" s="90">
        <v>1.18</v>
      </c>
      <c r="AE4534" s="90">
        <v>26.6</v>
      </c>
      <c r="AF4534" s="90">
        <v>60.7</v>
      </c>
      <c r="AH4534" s="55" t="s">
        <v>6378</v>
      </c>
      <c r="AI4534" s="168">
        <v>6</v>
      </c>
      <c r="AJ4534" s="90">
        <v>5.07</v>
      </c>
      <c r="AN4534" s="185" t="s">
        <v>3572</v>
      </c>
      <c r="AO4534" s="185" t="s">
        <v>5150</v>
      </c>
      <c r="AQ4534" s="55" t="s">
        <v>553</v>
      </c>
      <c r="AR4534" s="55" t="s">
        <v>1096</v>
      </c>
      <c r="AS4534" s="55" t="s">
        <v>5133</v>
      </c>
      <c r="AU4534" s="181" t="s">
        <v>7494</v>
      </c>
      <c r="AV4534" s="185" t="s">
        <v>176</v>
      </c>
      <c r="AX4534" s="185" t="s">
        <v>176</v>
      </c>
      <c r="BK4534" s="55" t="s">
        <v>5976</v>
      </c>
      <c r="BM4534" s="192" t="s">
        <v>160</v>
      </c>
      <c r="BN4534" s="55">
        <v>3</v>
      </c>
      <c r="BO4534" s="55">
        <v>3</v>
      </c>
      <c r="BQ4534" s="55" t="s">
        <v>141</v>
      </c>
      <c r="DB4534" s="65">
        <v>1.8</v>
      </c>
      <c r="DC4534" s="65">
        <v>2.9</v>
      </c>
      <c r="DD4534" s="65">
        <v>0.2</v>
      </c>
      <c r="DE4534" s="65">
        <v>0.2</v>
      </c>
      <c r="DF4534" s="65" t="s">
        <v>979</v>
      </c>
      <c r="GP4534" s="292" t="s">
        <v>7494</v>
      </c>
    </row>
    <row r="4535" spans="1:276" x14ac:dyDescent="0.25">
      <c r="A4535" s="55">
        <v>4534</v>
      </c>
      <c r="B4535" s="12" t="s">
        <v>7067</v>
      </c>
      <c r="C4535" s="155">
        <v>195</v>
      </c>
      <c r="D4535" s="55" t="s">
        <v>4436</v>
      </c>
      <c r="E4535" s="90" t="s">
        <v>1105</v>
      </c>
      <c r="G4535" s="55" t="s">
        <v>4424</v>
      </c>
      <c r="H4535" s="55">
        <v>2012</v>
      </c>
      <c r="I4535" s="55">
        <v>2010</v>
      </c>
      <c r="J4535" s="55" t="s">
        <v>1050</v>
      </c>
      <c r="K4535" s="55" t="s">
        <v>4426</v>
      </c>
      <c r="L4535" s="55" t="s">
        <v>3377</v>
      </c>
      <c r="M4535" s="90">
        <f>29+52/60</f>
        <v>29.866666666666667</v>
      </c>
      <c r="N4535" s="90">
        <f>112+52/60</f>
        <v>112.86666666666666</v>
      </c>
      <c r="O4535" s="90">
        <v>28</v>
      </c>
      <c r="P4535" s="55">
        <f>AVERAGE(6.4,11.18,13.96,20.19,25.22,32.12,33.97,32.91,28.66,24.82,11.95,8.11)</f>
        <v>20.790833333333328</v>
      </c>
      <c r="R4535" s="55">
        <f>SUM(17,91.36,91,230.7,126,221.58,136.7,17,44,26,62.38,41)</f>
        <v>1104.72</v>
      </c>
      <c r="U4535" s="55" t="s">
        <v>1805</v>
      </c>
      <c r="V4535" s="55" t="s">
        <v>1688</v>
      </c>
      <c r="Y4535" s="55" t="s">
        <v>4425</v>
      </c>
      <c r="Z4535" s="55" t="s">
        <v>1359</v>
      </c>
      <c r="AA4535" s="90" t="s">
        <v>1679</v>
      </c>
      <c r="AD4535" s="90">
        <v>1.18</v>
      </c>
      <c r="AE4535" s="90">
        <v>26.6</v>
      </c>
      <c r="AF4535" s="90">
        <v>60.7</v>
      </c>
      <c r="AH4535" s="55" t="s">
        <v>6378</v>
      </c>
      <c r="AI4535" s="168">
        <v>6</v>
      </c>
      <c r="AJ4535" s="90">
        <v>5.07</v>
      </c>
      <c r="AN4535" s="185" t="s">
        <v>115</v>
      </c>
      <c r="AO4535" s="185" t="s">
        <v>5150</v>
      </c>
      <c r="AQ4535" s="55" t="s">
        <v>1545</v>
      </c>
      <c r="AR4535" s="55" t="s">
        <v>1096</v>
      </c>
      <c r="AS4535" s="55" t="s">
        <v>5133</v>
      </c>
      <c r="AU4535" s="181" t="s">
        <v>7494</v>
      </c>
      <c r="AV4535" s="185" t="s">
        <v>176</v>
      </c>
      <c r="AX4535" s="185" t="s">
        <v>176</v>
      </c>
      <c r="BK4535" s="55" t="s">
        <v>5976</v>
      </c>
      <c r="BM4535" s="192" t="s">
        <v>160</v>
      </c>
      <c r="BN4535" s="55">
        <v>3</v>
      </c>
      <c r="BO4535" s="55">
        <v>3</v>
      </c>
      <c r="BQ4535" s="55" t="s">
        <v>141</v>
      </c>
      <c r="DB4535" s="65">
        <v>2.5</v>
      </c>
      <c r="DC4535" s="65">
        <v>1.4</v>
      </c>
      <c r="DD4535" s="65">
        <v>0.7</v>
      </c>
      <c r="DE4535" s="65">
        <v>0.7</v>
      </c>
      <c r="DF4535" s="65" t="s">
        <v>979</v>
      </c>
      <c r="GP4535" s="292" t="s">
        <v>7494</v>
      </c>
    </row>
    <row r="4536" spans="1:276" x14ac:dyDescent="0.25">
      <c r="A4536" s="55">
        <v>4535</v>
      </c>
      <c r="B4536" s="12" t="s">
        <v>7067</v>
      </c>
      <c r="C4536" s="155">
        <v>195</v>
      </c>
      <c r="D4536" s="55" t="s">
        <v>4437</v>
      </c>
      <c r="E4536" s="90" t="s">
        <v>1105</v>
      </c>
      <c r="G4536" s="55" t="s">
        <v>4424</v>
      </c>
      <c r="H4536" s="55">
        <v>2012</v>
      </c>
      <c r="I4536" s="55">
        <v>2010</v>
      </c>
      <c r="J4536" s="55" t="s">
        <v>1050</v>
      </c>
      <c r="K4536" s="55" t="s">
        <v>4426</v>
      </c>
      <c r="L4536" s="55" t="s">
        <v>3377</v>
      </c>
      <c r="M4536" s="90">
        <f>29+52/60</f>
        <v>29.866666666666667</v>
      </c>
      <c r="N4536" s="90">
        <f>112+52/60</f>
        <v>112.86666666666666</v>
      </c>
      <c r="O4536" s="90">
        <v>28</v>
      </c>
      <c r="P4536" s="55">
        <f>AVERAGE(6.4,11.18,13.96,20.19,25.22,32.12,33.97,32.91,28.66,24.82,11.95,8.11)</f>
        <v>20.790833333333328</v>
      </c>
      <c r="R4536" s="55">
        <f>SUM(17,91.36,91,230.7,126,221.58,136.7,17,44,26,62.38,41)</f>
        <v>1104.72</v>
      </c>
      <c r="U4536" s="55" t="s">
        <v>1805</v>
      </c>
      <c r="V4536" s="55" t="s">
        <v>1688</v>
      </c>
      <c r="Y4536" s="55" t="s">
        <v>4425</v>
      </c>
      <c r="Z4536" s="55" t="s">
        <v>1359</v>
      </c>
      <c r="AA4536" s="90" t="s">
        <v>1679</v>
      </c>
      <c r="AD4536" s="90">
        <v>1.18</v>
      </c>
      <c r="AE4536" s="90">
        <v>26.6</v>
      </c>
      <c r="AF4536" s="90">
        <v>60.7</v>
      </c>
      <c r="AH4536" s="55" t="s">
        <v>6378</v>
      </c>
      <c r="AI4536" s="168">
        <v>6</v>
      </c>
      <c r="AJ4536" s="90">
        <v>5.07</v>
      </c>
      <c r="AN4536" s="185" t="s">
        <v>3572</v>
      </c>
      <c r="AO4536" s="185" t="s">
        <v>5150</v>
      </c>
      <c r="AQ4536" s="55" t="s">
        <v>553</v>
      </c>
      <c r="AR4536" s="55" t="s">
        <v>1096</v>
      </c>
      <c r="AS4536" s="55" t="s">
        <v>5133</v>
      </c>
      <c r="AU4536" s="181" t="s">
        <v>7494</v>
      </c>
      <c r="AV4536" s="185" t="s">
        <v>176</v>
      </c>
      <c r="AX4536" s="185" t="s">
        <v>176</v>
      </c>
      <c r="BK4536" s="55" t="s">
        <v>5976</v>
      </c>
      <c r="BM4536" s="192" t="s">
        <v>160</v>
      </c>
      <c r="BN4536" s="55">
        <v>3</v>
      </c>
      <c r="BO4536" s="55">
        <v>3</v>
      </c>
      <c r="BQ4536" s="55" t="s">
        <v>141</v>
      </c>
      <c r="DB4536" s="65">
        <v>2.5</v>
      </c>
      <c r="DC4536" s="65">
        <v>2.6</v>
      </c>
      <c r="DD4536" s="65">
        <v>0.7</v>
      </c>
      <c r="DE4536" s="65">
        <v>0.7</v>
      </c>
      <c r="DF4536" s="65" t="s">
        <v>979</v>
      </c>
      <c r="GP4536" s="292" t="s">
        <v>7494</v>
      </c>
    </row>
    <row r="4537" spans="1:276" x14ac:dyDescent="0.25">
      <c r="A4537" s="55">
        <v>4536</v>
      </c>
      <c r="B4537" s="12" t="s">
        <v>7067</v>
      </c>
      <c r="C4537" s="155">
        <v>195</v>
      </c>
      <c r="D4537" s="55" t="s">
        <v>4438</v>
      </c>
      <c r="E4537" s="90" t="s">
        <v>1105</v>
      </c>
      <c r="G4537" s="55" t="s">
        <v>4424</v>
      </c>
      <c r="H4537" s="55">
        <v>2012</v>
      </c>
      <c r="I4537" s="55">
        <v>2010</v>
      </c>
      <c r="J4537" s="55" t="s">
        <v>1050</v>
      </c>
      <c r="K4537" s="55" t="s">
        <v>4426</v>
      </c>
      <c r="L4537" s="55" t="s">
        <v>3377</v>
      </c>
      <c r="M4537" s="90">
        <f>29+52/60</f>
        <v>29.866666666666667</v>
      </c>
      <c r="N4537" s="90">
        <f>112+52/60</f>
        <v>112.86666666666666</v>
      </c>
      <c r="O4537" s="90">
        <v>28</v>
      </c>
      <c r="P4537" s="55">
        <f>AVERAGE(6.4,11.18,13.96,20.19,25.22,32.12,33.97,32.91,28.66,24.82,11.95,8.11)</f>
        <v>20.790833333333328</v>
      </c>
      <c r="R4537" s="55">
        <f>SUM(17,91.36,91,230.7,126,221.58,136.7,17,44,26,62.38,41)</f>
        <v>1104.72</v>
      </c>
      <c r="U4537" s="55" t="s">
        <v>1805</v>
      </c>
      <c r="V4537" s="55" t="s">
        <v>1688</v>
      </c>
      <c r="Y4537" s="55" t="s">
        <v>4425</v>
      </c>
      <c r="Z4537" s="55" t="s">
        <v>1360</v>
      </c>
      <c r="AA4537" s="90" t="s">
        <v>1679</v>
      </c>
      <c r="AD4537" s="90">
        <v>1.18</v>
      </c>
      <c r="AE4537" s="90">
        <v>26.6</v>
      </c>
      <c r="AF4537" s="90">
        <v>60.7</v>
      </c>
      <c r="AH4537" s="55" t="s">
        <v>6378</v>
      </c>
      <c r="AI4537" s="168">
        <v>6</v>
      </c>
      <c r="AJ4537" s="90">
        <v>5.07</v>
      </c>
      <c r="AN4537" s="185" t="s">
        <v>115</v>
      </c>
      <c r="AO4537" s="185" t="s">
        <v>5150</v>
      </c>
      <c r="AQ4537" s="55" t="s">
        <v>1545</v>
      </c>
      <c r="AR4537" s="55" t="s">
        <v>1096</v>
      </c>
      <c r="AS4537" s="55" t="s">
        <v>5133</v>
      </c>
      <c r="AU4537" s="181" t="s">
        <v>7494</v>
      </c>
      <c r="AV4537" s="185" t="s">
        <v>176</v>
      </c>
      <c r="AX4537" s="185" t="s">
        <v>176</v>
      </c>
      <c r="BK4537" s="55" t="s">
        <v>5976</v>
      </c>
      <c r="BM4537" s="192" t="s">
        <v>160</v>
      </c>
      <c r="BN4537" s="55">
        <v>3</v>
      </c>
      <c r="BO4537" s="55">
        <v>3</v>
      </c>
      <c r="BQ4537" s="55" t="s">
        <v>141</v>
      </c>
      <c r="DB4537" s="65">
        <v>1.7</v>
      </c>
      <c r="DC4537" s="65">
        <v>1.2</v>
      </c>
      <c r="DD4537" s="65">
        <v>0.4</v>
      </c>
      <c r="DE4537" s="65">
        <v>0.4</v>
      </c>
      <c r="DF4537" s="65" t="s">
        <v>979</v>
      </c>
      <c r="GP4537" s="292" t="s">
        <v>7494</v>
      </c>
    </row>
    <row r="4538" spans="1:276" x14ac:dyDescent="0.25">
      <c r="A4538" s="55">
        <v>4537</v>
      </c>
      <c r="B4538" s="12" t="s">
        <v>7067</v>
      </c>
      <c r="C4538" s="155">
        <v>195</v>
      </c>
      <c r="D4538" s="55" t="s">
        <v>4439</v>
      </c>
      <c r="E4538" s="90" t="s">
        <v>1105</v>
      </c>
      <c r="G4538" s="55" t="s">
        <v>4424</v>
      </c>
      <c r="H4538" s="55">
        <v>2012</v>
      </c>
      <c r="I4538" s="55">
        <v>2010</v>
      </c>
      <c r="J4538" s="55" t="s">
        <v>1050</v>
      </c>
      <c r="K4538" s="55" t="s">
        <v>4426</v>
      </c>
      <c r="L4538" s="55" t="s">
        <v>3377</v>
      </c>
      <c r="M4538" s="90">
        <f>29+52/60</f>
        <v>29.866666666666667</v>
      </c>
      <c r="N4538" s="90">
        <f>112+52/60</f>
        <v>112.86666666666666</v>
      </c>
      <c r="O4538" s="90">
        <v>28</v>
      </c>
      <c r="P4538" s="55">
        <f>AVERAGE(6.4,11.18,13.96,20.19,25.22,32.12,33.97,32.91,28.66,24.82,11.95,8.11)</f>
        <v>20.790833333333328</v>
      </c>
      <c r="R4538" s="55">
        <f>SUM(17,91.36,91,230.7,126,221.58,136.7,17,44,26,62.38,41)</f>
        <v>1104.72</v>
      </c>
      <c r="U4538" s="55" t="s">
        <v>1805</v>
      </c>
      <c r="V4538" s="55" t="s">
        <v>1688</v>
      </c>
      <c r="Y4538" s="55" t="s">
        <v>4425</v>
      </c>
      <c r="Z4538" s="55" t="s">
        <v>1360</v>
      </c>
      <c r="AA4538" s="90" t="s">
        <v>1679</v>
      </c>
      <c r="AD4538" s="90">
        <v>1.18</v>
      </c>
      <c r="AE4538" s="90">
        <v>26.6</v>
      </c>
      <c r="AF4538" s="90">
        <v>60.7</v>
      </c>
      <c r="AH4538" s="55" t="s">
        <v>6378</v>
      </c>
      <c r="AI4538" s="168">
        <v>6</v>
      </c>
      <c r="AJ4538" s="90">
        <v>5.07</v>
      </c>
      <c r="AN4538" s="185" t="s">
        <v>3572</v>
      </c>
      <c r="AO4538" s="185" t="s">
        <v>5150</v>
      </c>
      <c r="AQ4538" s="55" t="s">
        <v>553</v>
      </c>
      <c r="AR4538" s="55" t="s">
        <v>1096</v>
      </c>
      <c r="AS4538" s="55" t="s">
        <v>5133</v>
      </c>
      <c r="AU4538" s="181" t="s">
        <v>7494</v>
      </c>
      <c r="AV4538" s="185" t="s">
        <v>176</v>
      </c>
      <c r="AX4538" s="185" t="s">
        <v>176</v>
      </c>
      <c r="BK4538" s="55" t="s">
        <v>5976</v>
      </c>
      <c r="BM4538" s="192" t="s">
        <v>160</v>
      </c>
      <c r="BN4538" s="55">
        <v>3</v>
      </c>
      <c r="BO4538" s="55">
        <v>3</v>
      </c>
      <c r="BQ4538" s="55" t="s">
        <v>141</v>
      </c>
      <c r="DB4538" s="65">
        <v>1.7</v>
      </c>
      <c r="DC4538" s="65">
        <v>0.8</v>
      </c>
      <c r="DD4538" s="65">
        <v>0.4</v>
      </c>
      <c r="DE4538" s="65">
        <v>0.4</v>
      </c>
      <c r="DF4538" s="65" t="s">
        <v>979</v>
      </c>
      <c r="GP4538" s="292" t="s">
        <v>7494</v>
      </c>
    </row>
    <row r="4539" spans="1:276" x14ac:dyDescent="0.25">
      <c r="A4539" s="55">
        <v>4538</v>
      </c>
      <c r="B4539" s="12" t="s">
        <v>7067</v>
      </c>
      <c r="C4539" s="155">
        <v>195</v>
      </c>
      <c r="D4539" s="55" t="s">
        <v>4440</v>
      </c>
      <c r="E4539" s="90" t="s">
        <v>1105</v>
      </c>
      <c r="G4539" s="55" t="s">
        <v>4424</v>
      </c>
      <c r="H4539" s="55">
        <v>2012</v>
      </c>
      <c r="I4539" s="55">
        <v>2010</v>
      </c>
      <c r="J4539" s="55" t="s">
        <v>1050</v>
      </c>
      <c r="K4539" s="55" t="s">
        <v>4426</v>
      </c>
      <c r="L4539" s="55" t="s">
        <v>3377</v>
      </c>
      <c r="M4539" s="90">
        <f>29+52/60</f>
        <v>29.866666666666667</v>
      </c>
      <c r="N4539" s="90">
        <f>112+52/60</f>
        <v>112.86666666666666</v>
      </c>
      <c r="O4539" s="90">
        <v>28</v>
      </c>
      <c r="P4539" s="55">
        <f>AVERAGE(6.4,11.18,13.96,20.19,25.22,32.12,33.97,32.91,28.66,24.82,11.95,8.11)</f>
        <v>20.790833333333328</v>
      </c>
      <c r="R4539" s="55">
        <f>SUM(17,91.36,91,230.7,126,221.58,136.7,17,44,26,62.38,41)</f>
        <v>1104.72</v>
      </c>
      <c r="U4539" s="55" t="s">
        <v>1805</v>
      </c>
      <c r="V4539" s="55" t="s">
        <v>1688</v>
      </c>
      <c r="Y4539" s="55" t="s">
        <v>4425</v>
      </c>
      <c r="Z4539" s="55" t="s">
        <v>1356</v>
      </c>
      <c r="AA4539" s="90" t="s">
        <v>1680</v>
      </c>
      <c r="AD4539" s="90">
        <v>1.18</v>
      </c>
      <c r="AE4539" s="90">
        <v>26.6</v>
      </c>
      <c r="AF4539" s="90">
        <v>60.7</v>
      </c>
      <c r="AH4539" s="55" t="s">
        <v>6378</v>
      </c>
      <c r="AI4539" s="168">
        <v>6</v>
      </c>
      <c r="AJ4539" s="90">
        <v>5.07</v>
      </c>
      <c r="AN4539" s="185" t="s">
        <v>115</v>
      </c>
      <c r="AO4539" s="185" t="s">
        <v>5150</v>
      </c>
      <c r="AQ4539" s="55" t="s">
        <v>1545</v>
      </c>
      <c r="AR4539" s="55" t="s">
        <v>1096</v>
      </c>
      <c r="AS4539" s="55" t="s">
        <v>5133</v>
      </c>
      <c r="AU4539" s="181" t="s">
        <v>7494</v>
      </c>
      <c r="AV4539" s="185" t="s">
        <v>176</v>
      </c>
      <c r="AX4539" s="185" t="s">
        <v>176</v>
      </c>
      <c r="BK4539" s="55" t="s">
        <v>5976</v>
      </c>
      <c r="BM4539" s="192" t="s">
        <v>160</v>
      </c>
      <c r="BN4539" s="55">
        <v>3</v>
      </c>
      <c r="BO4539" s="55">
        <v>3</v>
      </c>
      <c r="BQ4539" s="55" t="s">
        <v>141</v>
      </c>
      <c r="BV4539" s="55">
        <v>43205</v>
      </c>
      <c r="GP4539" s="292" t="s">
        <v>7494</v>
      </c>
      <c r="JG4539" s="65">
        <v>144.69999999999999</v>
      </c>
      <c r="JH4539" s="65">
        <v>187.4</v>
      </c>
      <c r="JI4539" s="65">
        <v>36.200000000000003</v>
      </c>
      <c r="JJ4539" s="65">
        <v>36.200000000000003</v>
      </c>
      <c r="JK4539" s="65" t="s">
        <v>2242</v>
      </c>
      <c r="JL4539" s="65">
        <v>7.4</v>
      </c>
      <c r="JM4539" s="65">
        <v>12.3</v>
      </c>
      <c r="JN4539" s="65">
        <v>4.2</v>
      </c>
      <c r="JO4539" s="65">
        <v>4.2</v>
      </c>
      <c r="JP4539" s="65" t="s">
        <v>2242</v>
      </c>
    </row>
    <row r="4540" spans="1:276" x14ac:dyDescent="0.25">
      <c r="A4540" s="55">
        <v>4539</v>
      </c>
      <c r="B4540" s="12" t="s">
        <v>7067</v>
      </c>
      <c r="C4540" s="155">
        <v>195</v>
      </c>
      <c r="D4540" s="55" t="s">
        <v>4441</v>
      </c>
      <c r="E4540" s="90" t="s">
        <v>1105</v>
      </c>
      <c r="G4540" s="55" t="s">
        <v>4424</v>
      </c>
      <c r="H4540" s="55">
        <v>2012</v>
      </c>
      <c r="I4540" s="55">
        <v>2010</v>
      </c>
      <c r="J4540" s="55" t="s">
        <v>1050</v>
      </c>
      <c r="K4540" s="55" t="s">
        <v>4426</v>
      </c>
      <c r="L4540" s="55" t="s">
        <v>3377</v>
      </c>
      <c r="M4540" s="90">
        <f>29+52/60</f>
        <v>29.866666666666667</v>
      </c>
      <c r="N4540" s="90">
        <f>112+52/60</f>
        <v>112.86666666666666</v>
      </c>
      <c r="O4540" s="90">
        <v>28</v>
      </c>
      <c r="P4540" s="55">
        <f>AVERAGE(6.4,11.18,13.96,20.19,25.22,32.12,33.97,32.91,28.66,24.82,11.95,8.11)</f>
        <v>20.790833333333328</v>
      </c>
      <c r="R4540" s="55">
        <f>SUM(17,91.36,91,230.7,126,221.58,136.7,17,44,26,62.38,41)</f>
        <v>1104.72</v>
      </c>
      <c r="U4540" s="55" t="s">
        <v>1805</v>
      </c>
      <c r="V4540" s="55" t="s">
        <v>1688</v>
      </c>
      <c r="Y4540" s="55" t="s">
        <v>4425</v>
      </c>
      <c r="Z4540" s="55" t="s">
        <v>1356</v>
      </c>
      <c r="AA4540" s="90" t="s">
        <v>1680</v>
      </c>
      <c r="AD4540" s="90">
        <v>1.18</v>
      </c>
      <c r="AE4540" s="90">
        <v>26.6</v>
      </c>
      <c r="AF4540" s="90">
        <v>60.7</v>
      </c>
      <c r="AH4540" s="55" t="s">
        <v>6378</v>
      </c>
      <c r="AI4540" s="168">
        <v>6</v>
      </c>
      <c r="AJ4540" s="90">
        <v>5.07</v>
      </c>
      <c r="AN4540" s="185" t="s">
        <v>3572</v>
      </c>
      <c r="AO4540" s="185" t="s">
        <v>5150</v>
      </c>
      <c r="AQ4540" s="55" t="s">
        <v>553</v>
      </c>
      <c r="AR4540" s="55" t="s">
        <v>1096</v>
      </c>
      <c r="AS4540" s="55" t="s">
        <v>5133</v>
      </c>
      <c r="AU4540" s="181" t="s">
        <v>7494</v>
      </c>
      <c r="AV4540" s="185" t="s">
        <v>176</v>
      </c>
      <c r="AX4540" s="185" t="s">
        <v>176</v>
      </c>
      <c r="BK4540" s="55" t="s">
        <v>5976</v>
      </c>
      <c r="BM4540" s="192" t="s">
        <v>160</v>
      </c>
      <c r="BN4540" s="55">
        <v>3</v>
      </c>
      <c r="BO4540" s="55">
        <v>3</v>
      </c>
      <c r="BQ4540" s="55" t="s">
        <v>141</v>
      </c>
      <c r="BV4540" s="55">
        <v>43205</v>
      </c>
      <c r="GP4540" s="292" t="s">
        <v>7494</v>
      </c>
      <c r="JG4540" s="65">
        <v>144.69999999999999</v>
      </c>
      <c r="JH4540" s="65">
        <v>253.4</v>
      </c>
      <c r="JI4540" s="65">
        <v>36.200000000000003</v>
      </c>
      <c r="JJ4540" s="65">
        <v>36.200000000000003</v>
      </c>
      <c r="JK4540" s="65" t="s">
        <v>2242</v>
      </c>
      <c r="JL4540" s="65">
        <v>7.4</v>
      </c>
      <c r="JM4540" s="65">
        <v>16.399999999999999</v>
      </c>
      <c r="JN4540" s="65">
        <v>4.2</v>
      </c>
      <c r="JO4540" s="65">
        <v>4.2</v>
      </c>
      <c r="JP4540" s="65" t="s">
        <v>2242</v>
      </c>
    </row>
    <row r="4541" spans="1:276" x14ac:dyDescent="0.25">
      <c r="A4541" s="55">
        <v>4540</v>
      </c>
      <c r="B4541" s="12" t="s">
        <v>7067</v>
      </c>
      <c r="C4541" s="155">
        <v>195</v>
      </c>
      <c r="D4541" s="55" t="s">
        <v>4440</v>
      </c>
      <c r="E4541" s="90" t="s">
        <v>1105</v>
      </c>
      <c r="G4541" s="55" t="s">
        <v>4424</v>
      </c>
      <c r="H4541" s="55">
        <v>2012</v>
      </c>
      <c r="I4541" s="55">
        <v>2010</v>
      </c>
      <c r="J4541" s="55" t="s">
        <v>1050</v>
      </c>
      <c r="K4541" s="55" t="s">
        <v>4426</v>
      </c>
      <c r="L4541" s="55" t="s">
        <v>3377</v>
      </c>
      <c r="M4541" s="90">
        <f>29+52/60</f>
        <v>29.866666666666667</v>
      </c>
      <c r="N4541" s="90">
        <f>112+52/60</f>
        <v>112.86666666666666</v>
      </c>
      <c r="O4541" s="90">
        <v>28</v>
      </c>
      <c r="P4541" s="55">
        <f>AVERAGE(6.4,11.18,13.96,20.19,25.22,32.12,33.97,32.91,28.66,24.82,11.95,8.11)</f>
        <v>20.790833333333328</v>
      </c>
      <c r="R4541" s="55">
        <f>SUM(17,91.36,91,230.7,126,221.58,136.7,17,44,26,62.38,41)</f>
        <v>1104.72</v>
      </c>
      <c r="U4541" s="55" t="s">
        <v>1805</v>
      </c>
      <c r="V4541" s="55" t="s">
        <v>1688</v>
      </c>
      <c r="Y4541" s="55" t="s">
        <v>4425</v>
      </c>
      <c r="Z4541" s="55" t="s">
        <v>1356</v>
      </c>
      <c r="AA4541" s="90" t="s">
        <v>1680</v>
      </c>
      <c r="AD4541" s="90">
        <v>1.18</v>
      </c>
      <c r="AE4541" s="90">
        <v>26.6</v>
      </c>
      <c r="AF4541" s="90">
        <v>60.7</v>
      </c>
      <c r="AH4541" s="55" t="s">
        <v>6378</v>
      </c>
      <c r="AI4541" s="168">
        <v>6</v>
      </c>
      <c r="AJ4541" s="90">
        <v>5.07</v>
      </c>
      <c r="AN4541" s="185" t="s">
        <v>115</v>
      </c>
      <c r="AO4541" s="185" t="s">
        <v>5150</v>
      </c>
      <c r="AQ4541" s="55" t="s">
        <v>1545</v>
      </c>
      <c r="AR4541" s="55" t="s">
        <v>1096</v>
      </c>
      <c r="AS4541" s="55" t="s">
        <v>5133</v>
      </c>
      <c r="AU4541" s="181" t="s">
        <v>7494</v>
      </c>
      <c r="AV4541" s="185" t="s">
        <v>176</v>
      </c>
      <c r="AX4541" s="185" t="s">
        <v>176</v>
      </c>
      <c r="BK4541" s="55" t="s">
        <v>5976</v>
      </c>
      <c r="BM4541" s="192" t="s">
        <v>160</v>
      </c>
      <c r="BN4541" s="55">
        <v>3</v>
      </c>
      <c r="BO4541" s="55">
        <v>3</v>
      </c>
      <c r="BQ4541" s="55" t="s">
        <v>141</v>
      </c>
      <c r="BV4541" s="55">
        <v>43258</v>
      </c>
      <c r="GP4541" s="292" t="s">
        <v>7494</v>
      </c>
      <c r="JG4541" s="65">
        <v>200.6</v>
      </c>
      <c r="JH4541" s="65">
        <v>240.2</v>
      </c>
      <c r="JI4541" s="65">
        <v>24.4</v>
      </c>
      <c r="JJ4541" s="65">
        <v>24.4</v>
      </c>
      <c r="JK4541" s="65" t="s">
        <v>2242</v>
      </c>
      <c r="JL4541" s="65">
        <v>6.6</v>
      </c>
      <c r="JM4541" s="65">
        <v>16</v>
      </c>
      <c r="JN4541" s="65">
        <v>1.1000000000000001</v>
      </c>
      <c r="JO4541" s="65">
        <v>1.1000000000000001</v>
      </c>
      <c r="JP4541" s="65" t="s">
        <v>2242</v>
      </c>
    </row>
    <row r="4542" spans="1:276" x14ac:dyDescent="0.25">
      <c r="A4542" s="55">
        <v>4541</v>
      </c>
      <c r="B4542" s="12" t="s">
        <v>7067</v>
      </c>
      <c r="C4542" s="155">
        <v>195</v>
      </c>
      <c r="D4542" s="55" t="s">
        <v>4441</v>
      </c>
      <c r="E4542" s="90" t="s">
        <v>1105</v>
      </c>
      <c r="G4542" s="55" t="s">
        <v>4424</v>
      </c>
      <c r="H4542" s="55">
        <v>2012</v>
      </c>
      <c r="I4542" s="55">
        <v>2010</v>
      </c>
      <c r="J4542" s="55" t="s">
        <v>1050</v>
      </c>
      <c r="K4542" s="55" t="s">
        <v>4426</v>
      </c>
      <c r="L4542" s="55" t="s">
        <v>3377</v>
      </c>
      <c r="M4542" s="90">
        <f>29+52/60</f>
        <v>29.866666666666667</v>
      </c>
      <c r="N4542" s="90">
        <f>112+52/60</f>
        <v>112.86666666666666</v>
      </c>
      <c r="O4542" s="90">
        <v>28</v>
      </c>
      <c r="P4542" s="55">
        <f>AVERAGE(6.4,11.18,13.96,20.19,25.22,32.12,33.97,32.91,28.66,24.82,11.95,8.11)</f>
        <v>20.790833333333328</v>
      </c>
      <c r="R4542" s="55">
        <f>SUM(17,91.36,91,230.7,126,221.58,136.7,17,44,26,62.38,41)</f>
        <v>1104.72</v>
      </c>
      <c r="U4542" s="55" t="s">
        <v>1805</v>
      </c>
      <c r="V4542" s="55" t="s">
        <v>1688</v>
      </c>
      <c r="Y4542" s="55" t="s">
        <v>4425</v>
      </c>
      <c r="Z4542" s="55" t="s">
        <v>1356</v>
      </c>
      <c r="AA4542" s="90" t="s">
        <v>1680</v>
      </c>
      <c r="AD4542" s="90">
        <v>1.18</v>
      </c>
      <c r="AE4542" s="90">
        <v>26.6</v>
      </c>
      <c r="AF4542" s="90">
        <v>60.7</v>
      </c>
      <c r="AH4542" s="55" t="s">
        <v>6378</v>
      </c>
      <c r="AI4542" s="168">
        <v>6</v>
      </c>
      <c r="AJ4542" s="90">
        <v>5.07</v>
      </c>
      <c r="AN4542" s="185" t="s">
        <v>3572</v>
      </c>
      <c r="AO4542" s="185" t="s">
        <v>5150</v>
      </c>
      <c r="AQ4542" s="55" t="s">
        <v>553</v>
      </c>
      <c r="AR4542" s="55" t="s">
        <v>1096</v>
      </c>
      <c r="AS4542" s="55" t="s">
        <v>5133</v>
      </c>
      <c r="AU4542" s="181" t="s">
        <v>7494</v>
      </c>
      <c r="AV4542" s="185" t="s">
        <v>176</v>
      </c>
      <c r="AX4542" s="185" t="s">
        <v>176</v>
      </c>
      <c r="BK4542" s="55" t="s">
        <v>5976</v>
      </c>
      <c r="BM4542" s="192" t="s">
        <v>160</v>
      </c>
      <c r="BN4542" s="55">
        <v>3</v>
      </c>
      <c r="BO4542" s="55">
        <v>3</v>
      </c>
      <c r="BQ4542" s="55" t="s">
        <v>141</v>
      </c>
      <c r="BV4542" s="55">
        <v>43258</v>
      </c>
      <c r="GP4542" s="292" t="s">
        <v>7494</v>
      </c>
      <c r="JG4542" s="65">
        <v>200.6</v>
      </c>
      <c r="JH4542" s="65">
        <v>216.5</v>
      </c>
      <c r="JI4542" s="65">
        <v>24.4</v>
      </c>
      <c r="JJ4542" s="65">
        <v>24.4</v>
      </c>
      <c r="JK4542" s="65" t="s">
        <v>2242</v>
      </c>
      <c r="JL4542" s="65">
        <v>6.6</v>
      </c>
      <c r="JM4542" s="65">
        <v>19.899999999999999</v>
      </c>
      <c r="JN4542" s="65">
        <v>1.1000000000000001</v>
      </c>
      <c r="JO4542" s="65">
        <v>1.1000000000000001</v>
      </c>
      <c r="JP4542" s="65" t="s">
        <v>2242</v>
      </c>
    </row>
    <row r="4543" spans="1:276" x14ac:dyDescent="0.25">
      <c r="A4543" s="55">
        <v>4542</v>
      </c>
      <c r="B4543" s="12" t="s">
        <v>7067</v>
      </c>
      <c r="C4543" s="155">
        <v>195</v>
      </c>
      <c r="D4543" s="55" t="s">
        <v>4440</v>
      </c>
      <c r="E4543" s="90" t="s">
        <v>1105</v>
      </c>
      <c r="G4543" s="55" t="s">
        <v>4424</v>
      </c>
      <c r="H4543" s="55">
        <v>2012</v>
      </c>
      <c r="I4543" s="55">
        <v>2010</v>
      </c>
      <c r="J4543" s="55" t="s">
        <v>1050</v>
      </c>
      <c r="K4543" s="55" t="s">
        <v>4426</v>
      </c>
      <c r="L4543" s="55" t="s">
        <v>3377</v>
      </c>
      <c r="M4543" s="90">
        <f>29+52/60</f>
        <v>29.866666666666667</v>
      </c>
      <c r="N4543" s="90">
        <f>112+52/60</f>
        <v>112.86666666666666</v>
      </c>
      <c r="O4543" s="90">
        <v>28</v>
      </c>
      <c r="P4543" s="55">
        <f>AVERAGE(6.4,11.18,13.96,20.19,25.22,32.12,33.97,32.91,28.66,24.82,11.95,8.11)</f>
        <v>20.790833333333328</v>
      </c>
      <c r="R4543" s="55">
        <f>SUM(17,91.36,91,230.7,126,221.58,136.7,17,44,26,62.38,41)</f>
        <v>1104.72</v>
      </c>
      <c r="U4543" s="55" t="s">
        <v>1805</v>
      </c>
      <c r="V4543" s="55" t="s">
        <v>1688</v>
      </c>
      <c r="Y4543" s="55" t="s">
        <v>4425</v>
      </c>
      <c r="Z4543" s="55" t="s">
        <v>1356</v>
      </c>
      <c r="AA4543" s="90" t="s">
        <v>1680</v>
      </c>
      <c r="AD4543" s="90">
        <v>1.18</v>
      </c>
      <c r="AE4543" s="90">
        <v>26.6</v>
      </c>
      <c r="AF4543" s="90">
        <v>60.7</v>
      </c>
      <c r="AH4543" s="55" t="s">
        <v>6378</v>
      </c>
      <c r="AI4543" s="168">
        <v>6</v>
      </c>
      <c r="AJ4543" s="90">
        <v>5.07</v>
      </c>
      <c r="AN4543" s="185" t="s">
        <v>115</v>
      </c>
      <c r="AO4543" s="185" t="s">
        <v>5150</v>
      </c>
      <c r="AQ4543" s="55" t="s">
        <v>1545</v>
      </c>
      <c r="AR4543" s="55" t="s">
        <v>1096</v>
      </c>
      <c r="AS4543" s="55" t="s">
        <v>5133</v>
      </c>
      <c r="AU4543" s="181" t="s">
        <v>7494</v>
      </c>
      <c r="AV4543" s="185" t="s">
        <v>176</v>
      </c>
      <c r="AX4543" s="185" t="s">
        <v>176</v>
      </c>
      <c r="BK4543" s="55" t="s">
        <v>5976</v>
      </c>
      <c r="BM4543" s="192" t="s">
        <v>160</v>
      </c>
      <c r="BN4543" s="55">
        <v>3</v>
      </c>
      <c r="BO4543" s="55">
        <v>3</v>
      </c>
      <c r="BQ4543" s="55" t="s">
        <v>141</v>
      </c>
      <c r="BV4543" s="55">
        <v>43306</v>
      </c>
      <c r="GP4543" s="292" t="s">
        <v>7494</v>
      </c>
      <c r="JG4543" s="65">
        <v>266.60000000000002</v>
      </c>
      <c r="JH4543" s="65">
        <v>269.3</v>
      </c>
      <c r="JI4543" s="65">
        <v>74.400000000000006</v>
      </c>
      <c r="JJ4543" s="65">
        <v>74.400000000000006</v>
      </c>
      <c r="JK4543" s="65" t="s">
        <v>2242</v>
      </c>
      <c r="JL4543" s="65">
        <v>1.3</v>
      </c>
      <c r="JM4543" s="65">
        <v>3</v>
      </c>
      <c r="JN4543" s="65">
        <v>0.9</v>
      </c>
      <c r="JO4543" s="65">
        <v>0.9</v>
      </c>
      <c r="JP4543" s="65" t="s">
        <v>2242</v>
      </c>
    </row>
    <row r="4544" spans="1:276" x14ac:dyDescent="0.25">
      <c r="A4544" s="55">
        <v>4543</v>
      </c>
      <c r="B4544" s="12" t="s">
        <v>7067</v>
      </c>
      <c r="C4544" s="155">
        <v>195</v>
      </c>
      <c r="D4544" s="55" t="s">
        <v>4441</v>
      </c>
      <c r="E4544" s="90" t="s">
        <v>1105</v>
      </c>
      <c r="G4544" s="55" t="s">
        <v>4424</v>
      </c>
      <c r="H4544" s="55">
        <v>2012</v>
      </c>
      <c r="I4544" s="55">
        <v>2010</v>
      </c>
      <c r="J4544" s="55" t="s">
        <v>1050</v>
      </c>
      <c r="K4544" s="55" t="s">
        <v>4426</v>
      </c>
      <c r="L4544" s="55" t="s">
        <v>3377</v>
      </c>
      <c r="M4544" s="90">
        <f>29+52/60</f>
        <v>29.866666666666667</v>
      </c>
      <c r="N4544" s="90">
        <f>112+52/60</f>
        <v>112.86666666666666</v>
      </c>
      <c r="O4544" s="90">
        <v>28</v>
      </c>
      <c r="P4544" s="55">
        <f>AVERAGE(6.4,11.18,13.96,20.19,25.22,32.12,33.97,32.91,28.66,24.82,11.95,8.11)</f>
        <v>20.790833333333328</v>
      </c>
      <c r="R4544" s="55">
        <f>SUM(17,91.36,91,230.7,126,221.58,136.7,17,44,26,62.38,41)</f>
        <v>1104.72</v>
      </c>
      <c r="U4544" s="55" t="s">
        <v>1805</v>
      </c>
      <c r="V4544" s="55" t="s">
        <v>1688</v>
      </c>
      <c r="Y4544" s="55" t="s">
        <v>4425</v>
      </c>
      <c r="Z4544" s="55" t="s">
        <v>1356</v>
      </c>
      <c r="AA4544" s="90" t="s">
        <v>1680</v>
      </c>
      <c r="AD4544" s="90">
        <v>1.18</v>
      </c>
      <c r="AE4544" s="90">
        <v>26.6</v>
      </c>
      <c r="AF4544" s="90">
        <v>60.7</v>
      </c>
      <c r="AH4544" s="55" t="s">
        <v>6378</v>
      </c>
      <c r="AI4544" s="168">
        <v>6</v>
      </c>
      <c r="AJ4544" s="90">
        <v>5.07</v>
      </c>
      <c r="AN4544" s="185" t="s">
        <v>3572</v>
      </c>
      <c r="AO4544" s="185" t="s">
        <v>5150</v>
      </c>
      <c r="AQ4544" s="55" t="s">
        <v>553</v>
      </c>
      <c r="AR4544" s="55" t="s">
        <v>1096</v>
      </c>
      <c r="AS4544" s="55" t="s">
        <v>5133</v>
      </c>
      <c r="AU4544" s="181" t="s">
        <v>7494</v>
      </c>
      <c r="AV4544" s="185" t="s">
        <v>176</v>
      </c>
      <c r="AX4544" s="185" t="s">
        <v>176</v>
      </c>
      <c r="BK4544" s="55" t="s">
        <v>5976</v>
      </c>
      <c r="BM4544" s="192" t="s">
        <v>160</v>
      </c>
      <c r="BN4544" s="55">
        <v>3</v>
      </c>
      <c r="BO4544" s="55">
        <v>3</v>
      </c>
      <c r="BQ4544" s="55" t="s">
        <v>141</v>
      </c>
      <c r="BV4544" s="55">
        <v>43306</v>
      </c>
      <c r="GP4544" s="292" t="s">
        <v>7494</v>
      </c>
      <c r="JG4544" s="65">
        <v>266.60000000000002</v>
      </c>
      <c r="JH4544" s="65">
        <v>237.6</v>
      </c>
      <c r="JI4544" s="65">
        <v>74.400000000000006</v>
      </c>
      <c r="JJ4544" s="65">
        <v>74.400000000000006</v>
      </c>
      <c r="JK4544" s="65" t="s">
        <v>2242</v>
      </c>
      <c r="JL4544" s="65">
        <v>1.3</v>
      </c>
      <c r="JM4544" s="65">
        <v>3.1</v>
      </c>
      <c r="JN4544" s="65">
        <v>0.9</v>
      </c>
      <c r="JO4544" s="65">
        <v>0.9</v>
      </c>
      <c r="JP4544" s="65" t="s">
        <v>2242</v>
      </c>
    </row>
    <row r="4545" spans="1:281" x14ac:dyDescent="0.25">
      <c r="A4545" s="55">
        <v>4544</v>
      </c>
      <c r="B4545" s="12" t="s">
        <v>7067</v>
      </c>
      <c r="C4545" s="155">
        <v>195</v>
      </c>
      <c r="D4545" s="55" t="s">
        <v>4440</v>
      </c>
      <c r="E4545" s="90" t="s">
        <v>1105</v>
      </c>
      <c r="G4545" s="55" t="s">
        <v>4424</v>
      </c>
      <c r="H4545" s="55">
        <v>2012</v>
      </c>
      <c r="I4545" s="55">
        <v>2010</v>
      </c>
      <c r="J4545" s="55" t="s">
        <v>1050</v>
      </c>
      <c r="K4545" s="55" t="s">
        <v>4426</v>
      </c>
      <c r="L4545" s="55" t="s">
        <v>3377</v>
      </c>
      <c r="M4545" s="90">
        <f>29+52/60</f>
        <v>29.866666666666667</v>
      </c>
      <c r="N4545" s="90">
        <f>112+52/60</f>
        <v>112.86666666666666</v>
      </c>
      <c r="O4545" s="90">
        <v>28</v>
      </c>
      <c r="P4545" s="55">
        <f>AVERAGE(6.4,11.18,13.96,20.19,25.22,32.12,33.97,32.91,28.66,24.82,11.95,8.11)</f>
        <v>20.790833333333328</v>
      </c>
      <c r="R4545" s="55">
        <f>SUM(17,91.36,91,230.7,126,221.58,136.7,17,44,26,62.38,41)</f>
        <v>1104.72</v>
      </c>
      <c r="U4545" s="55" t="s">
        <v>1805</v>
      </c>
      <c r="V4545" s="55" t="s">
        <v>1688</v>
      </c>
      <c r="Y4545" s="55" t="s">
        <v>4425</v>
      </c>
      <c r="Z4545" s="55" t="s">
        <v>1356</v>
      </c>
      <c r="AA4545" s="90" t="s">
        <v>1680</v>
      </c>
      <c r="AD4545" s="90">
        <v>1.18</v>
      </c>
      <c r="AE4545" s="90">
        <v>26.6</v>
      </c>
      <c r="AF4545" s="90">
        <v>60.7</v>
      </c>
      <c r="AH4545" s="55" t="s">
        <v>6378</v>
      </c>
      <c r="AI4545" s="168">
        <v>6</v>
      </c>
      <c r="AJ4545" s="90">
        <v>5.07</v>
      </c>
      <c r="AN4545" s="185" t="s">
        <v>115</v>
      </c>
      <c r="AO4545" s="185" t="s">
        <v>5150</v>
      </c>
      <c r="AQ4545" s="55" t="s">
        <v>1545</v>
      </c>
      <c r="AR4545" s="55" t="s">
        <v>1096</v>
      </c>
      <c r="AS4545" s="55" t="s">
        <v>5133</v>
      </c>
      <c r="AU4545" s="181" t="s">
        <v>7494</v>
      </c>
      <c r="AV4545" s="185" t="s">
        <v>176</v>
      </c>
      <c r="AX4545" s="185" t="s">
        <v>176</v>
      </c>
      <c r="BK4545" s="55" t="s">
        <v>5976</v>
      </c>
      <c r="BM4545" s="192" t="s">
        <v>160</v>
      </c>
      <c r="BN4545" s="55">
        <v>3</v>
      </c>
      <c r="BO4545" s="55">
        <v>3</v>
      </c>
      <c r="BQ4545" s="55" t="s">
        <v>141</v>
      </c>
      <c r="BV4545" s="55">
        <v>43363</v>
      </c>
      <c r="GP4545" s="292" t="s">
        <v>7494</v>
      </c>
      <c r="JG4545" s="65">
        <v>261.39999999999998</v>
      </c>
      <c r="JH4545" s="65">
        <v>330</v>
      </c>
      <c r="JI4545" s="65">
        <v>36.9</v>
      </c>
      <c r="JJ4545" s="65">
        <v>36.9</v>
      </c>
      <c r="JK4545" s="65" t="s">
        <v>2242</v>
      </c>
      <c r="JL4545" s="65">
        <v>9.1999999999999993</v>
      </c>
      <c r="JM4545" s="65">
        <v>13.6</v>
      </c>
      <c r="JN4545" s="65">
        <v>1.5</v>
      </c>
      <c r="JO4545" s="65">
        <v>1.5</v>
      </c>
      <c r="JP4545" s="65" t="s">
        <v>2242</v>
      </c>
    </row>
    <row r="4546" spans="1:281" x14ac:dyDescent="0.25">
      <c r="A4546" s="55">
        <v>4545</v>
      </c>
      <c r="B4546" s="12" t="s">
        <v>7067</v>
      </c>
      <c r="C4546" s="155">
        <v>195</v>
      </c>
      <c r="D4546" s="55" t="s">
        <v>4441</v>
      </c>
      <c r="E4546" s="90" t="s">
        <v>1105</v>
      </c>
      <c r="G4546" s="55" t="s">
        <v>4424</v>
      </c>
      <c r="H4546" s="55">
        <v>2012</v>
      </c>
      <c r="I4546" s="55">
        <v>2010</v>
      </c>
      <c r="J4546" s="55" t="s">
        <v>1050</v>
      </c>
      <c r="K4546" s="55" t="s">
        <v>4426</v>
      </c>
      <c r="L4546" s="55" t="s">
        <v>3377</v>
      </c>
      <c r="M4546" s="90">
        <f>29+52/60</f>
        <v>29.866666666666667</v>
      </c>
      <c r="N4546" s="90">
        <f>112+52/60</f>
        <v>112.86666666666666</v>
      </c>
      <c r="O4546" s="90">
        <v>28</v>
      </c>
      <c r="P4546" s="55">
        <f>AVERAGE(6.4,11.18,13.96,20.19,25.22,32.12,33.97,32.91,28.66,24.82,11.95,8.11)</f>
        <v>20.790833333333328</v>
      </c>
      <c r="R4546" s="55">
        <f>SUM(17,91.36,91,230.7,126,221.58,136.7,17,44,26,62.38,41)</f>
        <v>1104.72</v>
      </c>
      <c r="U4546" s="55" t="s">
        <v>1805</v>
      </c>
      <c r="V4546" s="55" t="s">
        <v>1688</v>
      </c>
      <c r="Y4546" s="55" t="s">
        <v>4425</v>
      </c>
      <c r="Z4546" s="55" t="s">
        <v>1356</v>
      </c>
      <c r="AA4546" s="90" t="s">
        <v>1680</v>
      </c>
      <c r="AD4546" s="90">
        <v>1.18</v>
      </c>
      <c r="AE4546" s="90">
        <v>26.6</v>
      </c>
      <c r="AF4546" s="90">
        <v>60.7</v>
      </c>
      <c r="AH4546" s="55" t="s">
        <v>6378</v>
      </c>
      <c r="AI4546" s="168">
        <v>6</v>
      </c>
      <c r="AJ4546" s="90">
        <v>5.07</v>
      </c>
      <c r="AN4546" s="185" t="s">
        <v>3572</v>
      </c>
      <c r="AO4546" s="185" t="s">
        <v>5150</v>
      </c>
      <c r="AQ4546" s="55" t="s">
        <v>553</v>
      </c>
      <c r="AR4546" s="55" t="s">
        <v>1096</v>
      </c>
      <c r="AS4546" s="55" t="s">
        <v>5133</v>
      </c>
      <c r="AU4546" s="181" t="s">
        <v>7494</v>
      </c>
      <c r="AV4546" s="185" t="s">
        <v>176</v>
      </c>
      <c r="AX4546" s="185" t="s">
        <v>176</v>
      </c>
      <c r="BK4546" s="55" t="s">
        <v>5976</v>
      </c>
      <c r="BM4546" s="192" t="s">
        <v>160</v>
      </c>
      <c r="BN4546" s="55">
        <v>3</v>
      </c>
      <c r="BO4546" s="55">
        <v>3</v>
      </c>
      <c r="BQ4546" s="55" t="s">
        <v>141</v>
      </c>
      <c r="BV4546" s="55">
        <v>43363</v>
      </c>
      <c r="GP4546" s="292" t="s">
        <v>7494</v>
      </c>
      <c r="JG4546" s="65">
        <v>261.39999999999998</v>
      </c>
      <c r="JH4546" s="65">
        <v>287.8</v>
      </c>
      <c r="JI4546" s="65">
        <v>36.9</v>
      </c>
      <c r="JJ4546" s="65">
        <v>36.9</v>
      </c>
      <c r="JK4546" s="65" t="s">
        <v>2242</v>
      </c>
      <c r="JL4546" s="65">
        <v>9.1999999999999993</v>
      </c>
      <c r="JM4546" s="65">
        <v>22.2</v>
      </c>
      <c r="JN4546" s="65">
        <v>1.5</v>
      </c>
      <c r="JO4546" s="65">
        <v>1.5</v>
      </c>
      <c r="JP4546" s="65" t="s">
        <v>2242</v>
      </c>
    </row>
    <row r="4547" spans="1:281" x14ac:dyDescent="0.25">
      <c r="A4547" s="55">
        <v>4546</v>
      </c>
      <c r="B4547" s="12" t="s">
        <v>7067</v>
      </c>
      <c r="C4547" s="155">
        <v>196</v>
      </c>
      <c r="D4547" s="55" t="s">
        <v>4449</v>
      </c>
      <c r="E4547" s="90" t="s">
        <v>1105</v>
      </c>
      <c r="G4547" s="55" t="s">
        <v>4424</v>
      </c>
      <c r="H4547" s="55">
        <v>2012</v>
      </c>
      <c r="I4547" s="55">
        <v>2009</v>
      </c>
      <c r="J4547" s="55" t="s">
        <v>1050</v>
      </c>
      <c r="K4547" s="55" t="s">
        <v>4426</v>
      </c>
      <c r="L4547" s="55" t="s">
        <v>3377</v>
      </c>
      <c r="M4547" s="90">
        <f>29+52/60</f>
        <v>29.866666666666667</v>
      </c>
      <c r="N4547" s="90">
        <f>112+52/60</f>
        <v>112.86666666666666</v>
      </c>
      <c r="O4547" s="90">
        <v>28</v>
      </c>
      <c r="P4547" s="55">
        <f>AVERAGE(2.7,6.76,17.56,21.14,28.16,30.28,33.33,32,28.42,22.05,15.69,10.25)</f>
        <v>20.695000000000004</v>
      </c>
      <c r="R4547" s="55">
        <f>SUM(53.78,18.15,97.67,118.86,115.81,117,60,265.7,35,217,111,8)</f>
        <v>1217.97</v>
      </c>
      <c r="U4547" s="55" t="s">
        <v>1805</v>
      </c>
      <c r="V4547" s="55" t="s">
        <v>1816</v>
      </c>
      <c r="Y4547" s="55" t="s">
        <v>4442</v>
      </c>
      <c r="Z4547" s="55" t="s">
        <v>1349</v>
      </c>
      <c r="AA4547" s="90" t="s">
        <v>1677</v>
      </c>
      <c r="AD4547" s="90">
        <v>1.18</v>
      </c>
      <c r="AE4547" s="90">
        <v>26.6</v>
      </c>
      <c r="AF4547" s="90">
        <v>60.7</v>
      </c>
      <c r="AH4547" s="55" t="s">
        <v>6378</v>
      </c>
      <c r="AI4547" s="168">
        <v>6</v>
      </c>
      <c r="AJ4547" s="90">
        <v>5.07</v>
      </c>
      <c r="AN4547" s="185" t="s">
        <v>115</v>
      </c>
      <c r="AO4547" s="185" t="s">
        <v>5150</v>
      </c>
      <c r="AQ4547" s="55" t="s">
        <v>1545</v>
      </c>
      <c r="AR4547" s="55" t="s">
        <v>1096</v>
      </c>
      <c r="AS4547" s="55" t="s">
        <v>5133</v>
      </c>
      <c r="AU4547" s="181" t="s">
        <v>7494</v>
      </c>
      <c r="AV4547" s="185" t="s">
        <v>176</v>
      </c>
      <c r="AX4547" s="185" t="s">
        <v>176</v>
      </c>
      <c r="BE4547" s="226" t="s">
        <v>4443</v>
      </c>
      <c r="BG4547" s="191" t="s">
        <v>176</v>
      </c>
      <c r="BH4547" s="226" t="s">
        <v>4443</v>
      </c>
      <c r="BI4547" s="191" t="s">
        <v>176</v>
      </c>
      <c r="BJ4547" s="55" t="s">
        <v>176</v>
      </c>
      <c r="BK4547" s="55" t="s">
        <v>5976</v>
      </c>
      <c r="BM4547" s="192" t="s">
        <v>160</v>
      </c>
      <c r="BN4547" s="55">
        <v>3</v>
      </c>
      <c r="BO4547" s="55">
        <v>3</v>
      </c>
      <c r="BQ4547" s="55" t="s">
        <v>141</v>
      </c>
      <c r="BV4547" s="55" t="s">
        <v>4446</v>
      </c>
      <c r="CB4547" s="66">
        <v>5200</v>
      </c>
      <c r="CC4547" s="66">
        <v>3500</v>
      </c>
      <c r="GP4547" s="292" t="s">
        <v>7494</v>
      </c>
      <c r="JU4547" s="55" t="s">
        <v>4448</v>
      </c>
    </row>
    <row r="4548" spans="1:281" x14ac:dyDescent="0.25">
      <c r="A4548" s="55">
        <v>4547</v>
      </c>
      <c r="B4548" s="12" t="s">
        <v>7067</v>
      </c>
      <c r="C4548" s="155">
        <v>196</v>
      </c>
      <c r="D4548" s="55" t="s">
        <v>4449</v>
      </c>
      <c r="E4548" s="90" t="s">
        <v>1105</v>
      </c>
      <c r="G4548" s="55" t="s">
        <v>4424</v>
      </c>
      <c r="H4548" s="55">
        <v>2012</v>
      </c>
      <c r="I4548" s="55">
        <v>2009</v>
      </c>
      <c r="J4548" s="55" t="s">
        <v>1050</v>
      </c>
      <c r="K4548" s="55" t="s">
        <v>4426</v>
      </c>
      <c r="L4548" s="55" t="s">
        <v>3377</v>
      </c>
      <c r="M4548" s="90">
        <f>29+52/60</f>
        <v>29.866666666666667</v>
      </c>
      <c r="N4548" s="90">
        <f>112+52/60</f>
        <v>112.86666666666666</v>
      </c>
      <c r="O4548" s="90">
        <v>28</v>
      </c>
      <c r="P4548" s="55">
        <f>AVERAGE(2.7,6.76,17.56,21.14,28.16,30.28,33.33,32,28.42,22.05,15.69,10.25)</f>
        <v>20.695000000000004</v>
      </c>
      <c r="R4548" s="55">
        <f>SUM(53.78,18.15,97.67,118.86,115.81,117,60,265.7,35,217,111,8)</f>
        <v>1217.97</v>
      </c>
      <c r="U4548" s="55" t="s">
        <v>1805</v>
      </c>
      <c r="V4548" s="55" t="s">
        <v>1816</v>
      </c>
      <c r="Y4548" s="55" t="s">
        <v>4442</v>
      </c>
      <c r="Z4548" s="55" t="s">
        <v>1349</v>
      </c>
      <c r="AA4548" s="90" t="s">
        <v>1677</v>
      </c>
      <c r="AD4548" s="90">
        <v>1.18</v>
      </c>
      <c r="AE4548" s="90">
        <v>26.6</v>
      </c>
      <c r="AF4548" s="90">
        <v>60.7</v>
      </c>
      <c r="AH4548" s="55" t="s">
        <v>6378</v>
      </c>
      <c r="AI4548" s="168">
        <v>6</v>
      </c>
      <c r="AJ4548" s="90">
        <v>5.07</v>
      </c>
      <c r="AN4548" s="185" t="s">
        <v>115</v>
      </c>
      <c r="AO4548" s="185" t="s">
        <v>5150</v>
      </c>
      <c r="AQ4548" s="55" t="s">
        <v>1545</v>
      </c>
      <c r="AR4548" s="55" t="s">
        <v>1096</v>
      </c>
      <c r="AS4548" s="55" t="s">
        <v>5133</v>
      </c>
      <c r="AU4548" s="181" t="s">
        <v>7494</v>
      </c>
      <c r="AV4548" s="185" t="s">
        <v>176</v>
      </c>
      <c r="AX4548" s="185" t="s">
        <v>176</v>
      </c>
      <c r="BE4548" s="226" t="s">
        <v>4443</v>
      </c>
      <c r="BG4548" s="191" t="s">
        <v>176</v>
      </c>
      <c r="BH4548" s="226" t="s">
        <v>4443</v>
      </c>
      <c r="BI4548" s="191" t="s">
        <v>176</v>
      </c>
      <c r="BJ4548" s="55" t="s">
        <v>176</v>
      </c>
      <c r="BK4548" s="55" t="s">
        <v>5976</v>
      </c>
      <c r="BM4548" s="192" t="s">
        <v>160</v>
      </c>
      <c r="BN4548" s="55">
        <v>3</v>
      </c>
      <c r="BO4548" s="55">
        <v>3</v>
      </c>
      <c r="BQ4548" s="55" t="s">
        <v>141</v>
      </c>
      <c r="BV4548" s="55" t="s">
        <v>4447</v>
      </c>
      <c r="CB4548" s="66">
        <v>4900</v>
      </c>
      <c r="CC4548" s="66">
        <v>4600</v>
      </c>
      <c r="GP4548" s="292" t="s">
        <v>7494</v>
      </c>
      <c r="JU4548" s="55" t="s">
        <v>4448</v>
      </c>
    </row>
    <row r="4549" spans="1:281" x14ac:dyDescent="0.25">
      <c r="A4549" s="55">
        <v>4548</v>
      </c>
      <c r="B4549" s="12" t="s">
        <v>7067</v>
      </c>
      <c r="C4549" s="155">
        <v>196</v>
      </c>
      <c r="D4549" s="55" t="s">
        <v>4450</v>
      </c>
      <c r="E4549" s="90" t="s">
        <v>1105</v>
      </c>
      <c r="G4549" s="55" t="s">
        <v>4424</v>
      </c>
      <c r="H4549" s="55">
        <v>2012</v>
      </c>
      <c r="I4549" s="55">
        <v>2009</v>
      </c>
      <c r="J4549" s="55" t="s">
        <v>1050</v>
      </c>
      <c r="K4549" s="55" t="s">
        <v>4426</v>
      </c>
      <c r="L4549" s="55" t="s">
        <v>3377</v>
      </c>
      <c r="M4549" s="90">
        <f>29+52/60</f>
        <v>29.866666666666667</v>
      </c>
      <c r="N4549" s="90">
        <f>112+52/60</f>
        <v>112.86666666666666</v>
      </c>
      <c r="O4549" s="90">
        <v>28</v>
      </c>
      <c r="P4549" s="55">
        <f>AVERAGE(2.7,6.76,17.56,21.14,28.16,30.28,33.33,32,28.42,22.05,15.69,10.25)</f>
        <v>20.695000000000004</v>
      </c>
      <c r="R4549" s="55">
        <f>SUM(53.78,18.15,97.67,118.86,115.81,117,60,265.7,35,217,111,8)</f>
        <v>1217.97</v>
      </c>
      <c r="U4549" s="55" t="s">
        <v>1805</v>
      </c>
      <c r="V4549" s="55" t="s">
        <v>1816</v>
      </c>
      <c r="Y4549" s="55" t="s">
        <v>4442</v>
      </c>
      <c r="Z4549" s="55" t="s">
        <v>1349</v>
      </c>
      <c r="AA4549" s="90" t="s">
        <v>1677</v>
      </c>
      <c r="AD4549" s="90">
        <v>1.18</v>
      </c>
      <c r="AE4549" s="90">
        <v>26.6</v>
      </c>
      <c r="AF4549" s="90">
        <v>60.7</v>
      </c>
      <c r="AH4549" s="55" t="s">
        <v>6378</v>
      </c>
      <c r="AI4549" s="168">
        <v>6</v>
      </c>
      <c r="AJ4549" s="90">
        <v>5.07</v>
      </c>
      <c r="AN4549" s="185" t="s">
        <v>115</v>
      </c>
      <c r="AO4549" s="185" t="s">
        <v>5150</v>
      </c>
      <c r="AQ4549" s="55" t="s">
        <v>1545</v>
      </c>
      <c r="AR4549" s="55" t="s">
        <v>1096</v>
      </c>
      <c r="AS4549" s="55" t="s">
        <v>5133</v>
      </c>
      <c r="AU4549" s="181" t="s">
        <v>7494</v>
      </c>
      <c r="AV4549" s="185" t="s">
        <v>176</v>
      </c>
      <c r="AX4549" s="185" t="s">
        <v>176</v>
      </c>
      <c r="BE4549" s="226" t="s">
        <v>4444</v>
      </c>
      <c r="BG4549" s="191" t="s">
        <v>479</v>
      </c>
      <c r="BH4549" s="226" t="s">
        <v>4444</v>
      </c>
      <c r="BI4549" s="191" t="s">
        <v>479</v>
      </c>
      <c r="BJ4549" s="55" t="s">
        <v>176</v>
      </c>
      <c r="BK4549" s="55" t="s">
        <v>5976</v>
      </c>
      <c r="BM4549" s="192" t="s">
        <v>160</v>
      </c>
      <c r="BN4549" s="55">
        <v>3</v>
      </c>
      <c r="BO4549" s="55">
        <v>3</v>
      </c>
      <c r="BQ4549" s="55" t="s">
        <v>141</v>
      </c>
      <c r="BV4549" s="55" t="s">
        <v>4446</v>
      </c>
      <c r="CB4549" s="66">
        <v>6400</v>
      </c>
      <c r="CC4549" s="66">
        <v>5500</v>
      </c>
      <c r="GP4549" s="292" t="s">
        <v>7494</v>
      </c>
      <c r="JU4549" s="55" t="s">
        <v>4448</v>
      </c>
    </row>
    <row r="4550" spans="1:281" x14ac:dyDescent="0.25">
      <c r="A4550" s="55">
        <v>4549</v>
      </c>
      <c r="B4550" s="12" t="s">
        <v>7067</v>
      </c>
      <c r="C4550" s="155">
        <v>196</v>
      </c>
      <c r="D4550" s="55" t="s">
        <v>4450</v>
      </c>
      <c r="E4550" s="90" t="s">
        <v>1105</v>
      </c>
      <c r="G4550" s="55" t="s">
        <v>4424</v>
      </c>
      <c r="H4550" s="55">
        <v>2012</v>
      </c>
      <c r="I4550" s="55">
        <v>2009</v>
      </c>
      <c r="J4550" s="55" t="s">
        <v>1050</v>
      </c>
      <c r="K4550" s="55" t="s">
        <v>4426</v>
      </c>
      <c r="L4550" s="55" t="s">
        <v>3377</v>
      </c>
      <c r="M4550" s="90">
        <f>29+52/60</f>
        <v>29.866666666666667</v>
      </c>
      <c r="N4550" s="90">
        <f>112+52/60</f>
        <v>112.86666666666666</v>
      </c>
      <c r="O4550" s="90">
        <v>28</v>
      </c>
      <c r="P4550" s="55">
        <f>AVERAGE(2.7,6.76,17.56,21.14,28.16,30.28,33.33,32,28.42,22.05,15.69,10.25)</f>
        <v>20.695000000000004</v>
      </c>
      <c r="R4550" s="55">
        <f>SUM(53.78,18.15,97.67,118.86,115.81,117,60,265.7,35,217,111,8)</f>
        <v>1217.97</v>
      </c>
      <c r="U4550" s="55" t="s">
        <v>1805</v>
      </c>
      <c r="V4550" s="55" t="s">
        <v>1816</v>
      </c>
      <c r="Y4550" s="55" t="s">
        <v>4442</v>
      </c>
      <c r="Z4550" s="55" t="s">
        <v>1349</v>
      </c>
      <c r="AA4550" s="90" t="s">
        <v>1677</v>
      </c>
      <c r="AD4550" s="90">
        <v>1.18</v>
      </c>
      <c r="AE4550" s="90">
        <v>26.6</v>
      </c>
      <c r="AF4550" s="90">
        <v>60.7</v>
      </c>
      <c r="AH4550" s="55" t="s">
        <v>6378</v>
      </c>
      <c r="AI4550" s="168">
        <v>6</v>
      </c>
      <c r="AJ4550" s="90">
        <v>5.07</v>
      </c>
      <c r="AN4550" s="185" t="s">
        <v>115</v>
      </c>
      <c r="AO4550" s="185" t="s">
        <v>5150</v>
      </c>
      <c r="AQ4550" s="55" t="s">
        <v>1545</v>
      </c>
      <c r="AR4550" s="55" t="s">
        <v>1096</v>
      </c>
      <c r="AS4550" s="55" t="s">
        <v>5133</v>
      </c>
      <c r="AU4550" s="181" t="s">
        <v>7494</v>
      </c>
      <c r="AV4550" s="185" t="s">
        <v>176</v>
      </c>
      <c r="AX4550" s="185" t="s">
        <v>176</v>
      </c>
      <c r="BE4550" s="226" t="s">
        <v>4444</v>
      </c>
      <c r="BG4550" s="191" t="s">
        <v>479</v>
      </c>
      <c r="BH4550" s="226" t="s">
        <v>4444</v>
      </c>
      <c r="BI4550" s="191" t="s">
        <v>479</v>
      </c>
      <c r="BJ4550" s="55" t="s">
        <v>176</v>
      </c>
      <c r="BK4550" s="55" t="s">
        <v>5976</v>
      </c>
      <c r="BM4550" s="192" t="s">
        <v>160</v>
      </c>
      <c r="BN4550" s="55">
        <v>3</v>
      </c>
      <c r="BO4550" s="55">
        <v>3</v>
      </c>
      <c r="BQ4550" s="55" t="s">
        <v>141</v>
      </c>
      <c r="BV4550" s="55" t="s">
        <v>4447</v>
      </c>
      <c r="CB4550" s="66">
        <v>5400</v>
      </c>
      <c r="CC4550" s="66">
        <v>5100</v>
      </c>
      <c r="GP4550" s="292" t="s">
        <v>7494</v>
      </c>
      <c r="JU4550" s="55" t="s">
        <v>4448</v>
      </c>
    </row>
    <row r="4551" spans="1:281" x14ac:dyDescent="0.25">
      <c r="A4551" s="55">
        <v>4550</v>
      </c>
      <c r="B4551" s="12" t="s">
        <v>7067</v>
      </c>
      <c r="C4551" s="155">
        <v>196</v>
      </c>
      <c r="D4551" s="55" t="s">
        <v>4451</v>
      </c>
      <c r="E4551" s="90" t="s">
        <v>1105</v>
      </c>
      <c r="G4551" s="55" t="s">
        <v>4424</v>
      </c>
      <c r="H4551" s="55">
        <v>2012</v>
      </c>
      <c r="I4551" s="55">
        <v>2009</v>
      </c>
      <c r="J4551" s="55" t="s">
        <v>1050</v>
      </c>
      <c r="K4551" s="55" t="s">
        <v>4426</v>
      </c>
      <c r="L4551" s="55" t="s">
        <v>3377</v>
      </c>
      <c r="M4551" s="90">
        <f>29+52/60</f>
        <v>29.866666666666667</v>
      </c>
      <c r="N4551" s="90">
        <f>112+52/60</f>
        <v>112.86666666666666</v>
      </c>
      <c r="O4551" s="90">
        <v>28</v>
      </c>
      <c r="P4551" s="55">
        <f>AVERAGE(2.7,6.76,17.56,21.14,28.16,30.28,33.33,32,28.42,22.05,15.69,10.25)</f>
        <v>20.695000000000004</v>
      </c>
      <c r="R4551" s="55">
        <f>SUM(53.78,18.15,97.67,118.86,115.81,117,60,265.7,35,217,111,8)</f>
        <v>1217.97</v>
      </c>
      <c r="U4551" s="55" t="s">
        <v>1805</v>
      </c>
      <c r="V4551" s="55" t="s">
        <v>1816</v>
      </c>
      <c r="Y4551" s="55" t="s">
        <v>4442</v>
      </c>
      <c r="Z4551" s="55" t="s">
        <v>1349</v>
      </c>
      <c r="AA4551" s="90" t="s">
        <v>1677</v>
      </c>
      <c r="AD4551" s="90">
        <v>1.18</v>
      </c>
      <c r="AE4551" s="90">
        <v>26.6</v>
      </c>
      <c r="AF4551" s="90">
        <v>60.7</v>
      </c>
      <c r="AH4551" s="55" t="s">
        <v>6378</v>
      </c>
      <c r="AI4551" s="168">
        <v>6</v>
      </c>
      <c r="AJ4551" s="90">
        <v>5.07</v>
      </c>
      <c r="AN4551" s="185" t="s">
        <v>115</v>
      </c>
      <c r="AO4551" s="185" t="s">
        <v>5150</v>
      </c>
      <c r="AQ4551" s="55" t="s">
        <v>1545</v>
      </c>
      <c r="AR4551" s="55" t="s">
        <v>1096</v>
      </c>
      <c r="AS4551" s="55" t="s">
        <v>5133</v>
      </c>
      <c r="AU4551" s="181" t="s">
        <v>7494</v>
      </c>
      <c r="AV4551" s="185" t="s">
        <v>176</v>
      </c>
      <c r="AX4551" s="185" t="s">
        <v>176</v>
      </c>
      <c r="BE4551" s="226" t="s">
        <v>4445</v>
      </c>
      <c r="BG4551" s="191" t="s">
        <v>479</v>
      </c>
      <c r="BH4551" s="226" t="s">
        <v>4445</v>
      </c>
      <c r="BI4551" s="191" t="s">
        <v>479</v>
      </c>
      <c r="BJ4551" s="55" t="s">
        <v>176</v>
      </c>
      <c r="BK4551" s="55" t="s">
        <v>5976</v>
      </c>
      <c r="BM4551" s="192" t="s">
        <v>160</v>
      </c>
      <c r="BN4551" s="55">
        <v>3</v>
      </c>
      <c r="BO4551" s="55">
        <v>3</v>
      </c>
      <c r="BQ4551" s="55" t="s">
        <v>141</v>
      </c>
      <c r="BV4551" s="55" t="s">
        <v>4446</v>
      </c>
      <c r="CB4551" s="66">
        <v>6600</v>
      </c>
      <c r="CC4551" s="66">
        <v>6200</v>
      </c>
      <c r="GP4551" s="292" t="s">
        <v>7494</v>
      </c>
      <c r="JU4551" s="55" t="s">
        <v>4448</v>
      </c>
    </row>
    <row r="4552" spans="1:281" x14ac:dyDescent="0.25">
      <c r="A4552" s="55">
        <v>4551</v>
      </c>
      <c r="B4552" s="12" t="s">
        <v>7067</v>
      </c>
      <c r="C4552" s="155">
        <v>196</v>
      </c>
      <c r="D4552" s="55" t="s">
        <v>4451</v>
      </c>
      <c r="E4552" s="90" t="s">
        <v>1105</v>
      </c>
      <c r="G4552" s="55" t="s">
        <v>4424</v>
      </c>
      <c r="H4552" s="55">
        <v>2012</v>
      </c>
      <c r="I4552" s="55">
        <v>2009</v>
      </c>
      <c r="J4552" s="55" t="s">
        <v>1050</v>
      </c>
      <c r="K4552" s="55" t="s">
        <v>4426</v>
      </c>
      <c r="L4552" s="55" t="s">
        <v>3377</v>
      </c>
      <c r="M4552" s="90">
        <f>29+52/60</f>
        <v>29.866666666666667</v>
      </c>
      <c r="N4552" s="90">
        <f>112+52/60</f>
        <v>112.86666666666666</v>
      </c>
      <c r="O4552" s="90">
        <v>28</v>
      </c>
      <c r="P4552" s="55">
        <f>AVERAGE(2.7,6.76,17.56,21.14,28.16,30.28,33.33,32,28.42,22.05,15.69,10.25)</f>
        <v>20.695000000000004</v>
      </c>
      <c r="R4552" s="55">
        <f>SUM(53.78,18.15,97.67,118.86,115.81,117,60,265.7,35,217,111,8)</f>
        <v>1217.97</v>
      </c>
      <c r="U4552" s="55" t="s">
        <v>1805</v>
      </c>
      <c r="V4552" s="55" t="s">
        <v>1816</v>
      </c>
      <c r="Y4552" s="55" t="s">
        <v>4442</v>
      </c>
      <c r="Z4552" s="55" t="s">
        <v>1349</v>
      </c>
      <c r="AA4552" s="90" t="s">
        <v>1677</v>
      </c>
      <c r="AD4552" s="90">
        <v>1.18</v>
      </c>
      <c r="AE4552" s="90">
        <v>26.6</v>
      </c>
      <c r="AF4552" s="90">
        <v>60.7</v>
      </c>
      <c r="AH4552" s="55" t="s">
        <v>6378</v>
      </c>
      <c r="AI4552" s="168">
        <v>6</v>
      </c>
      <c r="AJ4552" s="90">
        <v>5.07</v>
      </c>
      <c r="AN4552" s="185" t="s">
        <v>115</v>
      </c>
      <c r="AO4552" s="185" t="s">
        <v>5150</v>
      </c>
      <c r="AQ4552" s="55" t="s">
        <v>1545</v>
      </c>
      <c r="AR4552" s="55" t="s">
        <v>1096</v>
      </c>
      <c r="AS4552" s="55" t="s">
        <v>5133</v>
      </c>
      <c r="AU4552" s="181" t="s">
        <v>7494</v>
      </c>
      <c r="AV4552" s="185" t="s">
        <v>176</v>
      </c>
      <c r="AX4552" s="185" t="s">
        <v>176</v>
      </c>
      <c r="BE4552" s="226" t="s">
        <v>4445</v>
      </c>
      <c r="BG4552" s="191" t="s">
        <v>479</v>
      </c>
      <c r="BH4552" s="226" t="s">
        <v>4445</v>
      </c>
      <c r="BI4552" s="191" t="s">
        <v>479</v>
      </c>
      <c r="BJ4552" s="55" t="s">
        <v>176</v>
      </c>
      <c r="BK4552" s="55" t="s">
        <v>5976</v>
      </c>
      <c r="BM4552" s="192" t="s">
        <v>160</v>
      </c>
      <c r="BN4552" s="55">
        <v>3</v>
      </c>
      <c r="BO4552" s="55">
        <v>3</v>
      </c>
      <c r="BQ4552" s="55" t="s">
        <v>141</v>
      </c>
      <c r="BV4552" s="55" t="s">
        <v>4447</v>
      </c>
      <c r="CB4552" s="66">
        <v>6100</v>
      </c>
      <c r="CC4552" s="66">
        <v>6000</v>
      </c>
      <c r="GP4552" s="292" t="s">
        <v>7494</v>
      </c>
      <c r="JU4552" s="55" t="s">
        <v>4448</v>
      </c>
    </row>
    <row r="4553" spans="1:281" x14ac:dyDescent="0.25">
      <c r="A4553" s="55">
        <v>4552</v>
      </c>
      <c r="B4553" s="12" t="s">
        <v>7067</v>
      </c>
      <c r="C4553" s="155">
        <v>196</v>
      </c>
      <c r="D4553" s="55" t="s">
        <v>4449</v>
      </c>
      <c r="E4553" s="90" t="s">
        <v>1105</v>
      </c>
      <c r="G4553" s="55" t="s">
        <v>4424</v>
      </c>
      <c r="H4553" s="55">
        <v>2012</v>
      </c>
      <c r="I4553" s="55">
        <v>2010</v>
      </c>
      <c r="J4553" s="55" t="s">
        <v>1050</v>
      </c>
      <c r="K4553" s="55" t="s">
        <v>4426</v>
      </c>
      <c r="L4553" s="55" t="s">
        <v>3377</v>
      </c>
      <c r="M4553" s="90">
        <f>29+52/60</f>
        <v>29.866666666666667</v>
      </c>
      <c r="N4553" s="90">
        <f>112+52/60</f>
        <v>112.86666666666666</v>
      </c>
      <c r="O4553" s="90">
        <v>28</v>
      </c>
      <c r="P4553" s="55">
        <f>AVERAGE(6.4,11.18,13.96,20.19,25.22,32.12,33.97,32.91,28.66,24.82,11.95,8.11)</f>
        <v>20.790833333333328</v>
      </c>
      <c r="R4553" s="55">
        <f>SUM(17,91.36,91,230.7,126,221.58,136.7,17,44,26,62.38,41)</f>
        <v>1104.72</v>
      </c>
      <c r="U4553" s="55" t="s">
        <v>1688</v>
      </c>
      <c r="V4553" s="55" t="s">
        <v>1816</v>
      </c>
      <c r="Y4553" s="55" t="s">
        <v>4442</v>
      </c>
      <c r="Z4553" s="55" t="s">
        <v>1349</v>
      </c>
      <c r="AA4553" s="90" t="s">
        <v>1677</v>
      </c>
      <c r="AD4553" s="90">
        <v>1.18</v>
      </c>
      <c r="AE4553" s="90">
        <v>26.6</v>
      </c>
      <c r="AF4553" s="90">
        <v>60.7</v>
      </c>
      <c r="AH4553" s="55" t="s">
        <v>6378</v>
      </c>
      <c r="AI4553" s="168">
        <v>6</v>
      </c>
      <c r="AJ4553" s="90">
        <v>5.07</v>
      </c>
      <c r="AN4553" s="185" t="s">
        <v>115</v>
      </c>
      <c r="AO4553" s="185" t="s">
        <v>5150</v>
      </c>
      <c r="AQ4553" s="55" t="s">
        <v>1545</v>
      </c>
      <c r="AR4553" s="55" t="s">
        <v>1096</v>
      </c>
      <c r="AS4553" s="55" t="s">
        <v>5133</v>
      </c>
      <c r="AU4553" s="181" t="s">
        <v>7494</v>
      </c>
      <c r="AV4553" s="185" t="s">
        <v>176</v>
      </c>
      <c r="AX4553" s="185" t="s">
        <v>176</v>
      </c>
      <c r="BE4553" s="226" t="s">
        <v>4443</v>
      </c>
      <c r="BG4553" s="191" t="s">
        <v>176</v>
      </c>
      <c r="BH4553" s="226" t="s">
        <v>4443</v>
      </c>
      <c r="BI4553" s="191" t="s">
        <v>176</v>
      </c>
      <c r="BJ4553" s="55" t="s">
        <v>176</v>
      </c>
      <c r="BK4553" s="55" t="s">
        <v>5976</v>
      </c>
      <c r="BM4553" s="192" t="s">
        <v>160</v>
      </c>
      <c r="BN4553" s="55">
        <v>3</v>
      </c>
      <c r="BO4553" s="55">
        <v>3</v>
      </c>
      <c r="BQ4553" s="55" t="s">
        <v>141</v>
      </c>
      <c r="BV4553" s="55" t="s">
        <v>4446</v>
      </c>
      <c r="CB4553" s="66">
        <v>4600</v>
      </c>
      <c r="CC4553" s="66">
        <v>4100</v>
      </c>
      <c r="GP4553" s="292" t="s">
        <v>7494</v>
      </c>
      <c r="JU4553" s="55" t="s">
        <v>4448</v>
      </c>
    </row>
    <row r="4554" spans="1:281" x14ac:dyDescent="0.25">
      <c r="A4554" s="55">
        <v>4553</v>
      </c>
      <c r="B4554" s="12" t="s">
        <v>7067</v>
      </c>
      <c r="C4554" s="155">
        <v>196</v>
      </c>
      <c r="D4554" s="55" t="s">
        <v>4449</v>
      </c>
      <c r="E4554" s="90" t="s">
        <v>1105</v>
      </c>
      <c r="G4554" s="55" t="s">
        <v>4424</v>
      </c>
      <c r="H4554" s="55">
        <v>2012</v>
      </c>
      <c r="I4554" s="55">
        <v>2010</v>
      </c>
      <c r="J4554" s="55" t="s">
        <v>1050</v>
      </c>
      <c r="K4554" s="55" t="s">
        <v>4426</v>
      </c>
      <c r="L4554" s="55" t="s">
        <v>3377</v>
      </c>
      <c r="M4554" s="90">
        <f>29+52/60</f>
        <v>29.866666666666667</v>
      </c>
      <c r="N4554" s="90">
        <f>112+52/60</f>
        <v>112.86666666666666</v>
      </c>
      <c r="O4554" s="90">
        <v>28</v>
      </c>
      <c r="P4554" s="55">
        <f>AVERAGE(6.4,11.18,13.96,20.19,25.22,32.12,33.97,32.91,28.66,24.82,11.95,8.11)</f>
        <v>20.790833333333328</v>
      </c>
      <c r="R4554" s="55">
        <f>SUM(17,91.36,91,230.7,126,221.58,136.7,17,44,26,62.38,41)</f>
        <v>1104.72</v>
      </c>
      <c r="U4554" s="55" t="s">
        <v>1688</v>
      </c>
      <c r="V4554" s="55" t="s">
        <v>1816</v>
      </c>
      <c r="Y4554" s="55" t="s">
        <v>4442</v>
      </c>
      <c r="Z4554" s="55" t="s">
        <v>1349</v>
      </c>
      <c r="AA4554" s="90" t="s">
        <v>1677</v>
      </c>
      <c r="AD4554" s="90">
        <v>1.18</v>
      </c>
      <c r="AE4554" s="90">
        <v>26.6</v>
      </c>
      <c r="AF4554" s="90">
        <v>60.7</v>
      </c>
      <c r="AH4554" s="55" t="s">
        <v>6378</v>
      </c>
      <c r="AI4554" s="168">
        <v>6</v>
      </c>
      <c r="AJ4554" s="90">
        <v>5.07</v>
      </c>
      <c r="AN4554" s="185" t="s">
        <v>115</v>
      </c>
      <c r="AO4554" s="185" t="s">
        <v>5150</v>
      </c>
      <c r="AQ4554" s="55" t="s">
        <v>1545</v>
      </c>
      <c r="AR4554" s="55" t="s">
        <v>1096</v>
      </c>
      <c r="AS4554" s="55" t="s">
        <v>5133</v>
      </c>
      <c r="AU4554" s="181" t="s">
        <v>7494</v>
      </c>
      <c r="AV4554" s="185" t="s">
        <v>176</v>
      </c>
      <c r="AX4554" s="185" t="s">
        <v>176</v>
      </c>
      <c r="BE4554" s="226" t="s">
        <v>4443</v>
      </c>
      <c r="BG4554" s="191" t="s">
        <v>176</v>
      </c>
      <c r="BH4554" s="226" t="s">
        <v>4443</v>
      </c>
      <c r="BI4554" s="191" t="s">
        <v>176</v>
      </c>
      <c r="BJ4554" s="55" t="s">
        <v>176</v>
      </c>
      <c r="BK4554" s="55" t="s">
        <v>5976</v>
      </c>
      <c r="BM4554" s="192" t="s">
        <v>160</v>
      </c>
      <c r="BN4554" s="55">
        <v>3</v>
      </c>
      <c r="BO4554" s="55">
        <v>3</v>
      </c>
      <c r="BQ4554" s="55" t="s">
        <v>141</v>
      </c>
      <c r="BV4554" s="55" t="s">
        <v>4447</v>
      </c>
      <c r="CB4554" s="66">
        <v>4600</v>
      </c>
      <c r="CC4554" s="66">
        <v>4400</v>
      </c>
      <c r="GP4554" s="292" t="s">
        <v>7494</v>
      </c>
      <c r="JU4554" s="55" t="s">
        <v>4448</v>
      </c>
    </row>
    <row r="4555" spans="1:281" x14ac:dyDescent="0.25">
      <c r="A4555" s="55">
        <v>4554</v>
      </c>
      <c r="B4555" s="12" t="s">
        <v>7067</v>
      </c>
      <c r="C4555" s="155">
        <v>196</v>
      </c>
      <c r="D4555" s="55" t="s">
        <v>4450</v>
      </c>
      <c r="E4555" s="90" t="s">
        <v>1105</v>
      </c>
      <c r="G4555" s="55" t="s">
        <v>4424</v>
      </c>
      <c r="H4555" s="55">
        <v>2012</v>
      </c>
      <c r="I4555" s="55">
        <v>2010</v>
      </c>
      <c r="J4555" s="55" t="s">
        <v>1050</v>
      </c>
      <c r="K4555" s="55" t="s">
        <v>4426</v>
      </c>
      <c r="L4555" s="55" t="s">
        <v>3377</v>
      </c>
      <c r="M4555" s="90">
        <f>29+52/60</f>
        <v>29.866666666666667</v>
      </c>
      <c r="N4555" s="90">
        <f>112+52/60</f>
        <v>112.86666666666666</v>
      </c>
      <c r="O4555" s="90">
        <v>28</v>
      </c>
      <c r="P4555" s="55">
        <f>AVERAGE(6.4,11.18,13.96,20.19,25.22,32.12,33.97,32.91,28.66,24.82,11.95,8.11)</f>
        <v>20.790833333333328</v>
      </c>
      <c r="R4555" s="55">
        <f>SUM(17,91.36,91,230.7,126,221.58,136.7,17,44,26,62.38,41)</f>
        <v>1104.72</v>
      </c>
      <c r="U4555" s="55" t="s">
        <v>1688</v>
      </c>
      <c r="V4555" s="55" t="s">
        <v>1816</v>
      </c>
      <c r="Y4555" s="55" t="s">
        <v>4442</v>
      </c>
      <c r="Z4555" s="55" t="s">
        <v>1349</v>
      </c>
      <c r="AA4555" s="90" t="s">
        <v>1677</v>
      </c>
      <c r="AD4555" s="90">
        <v>1.18</v>
      </c>
      <c r="AE4555" s="90">
        <v>26.6</v>
      </c>
      <c r="AF4555" s="90">
        <v>60.7</v>
      </c>
      <c r="AH4555" s="55" t="s">
        <v>6378</v>
      </c>
      <c r="AI4555" s="168">
        <v>6</v>
      </c>
      <c r="AJ4555" s="90">
        <v>5.07</v>
      </c>
      <c r="AN4555" s="185" t="s">
        <v>115</v>
      </c>
      <c r="AO4555" s="185" t="s">
        <v>5150</v>
      </c>
      <c r="AQ4555" s="55" t="s">
        <v>1545</v>
      </c>
      <c r="AR4555" s="55" t="s">
        <v>1096</v>
      </c>
      <c r="AS4555" s="55" t="s">
        <v>5133</v>
      </c>
      <c r="AU4555" s="181" t="s">
        <v>7494</v>
      </c>
      <c r="AV4555" s="185" t="s">
        <v>176</v>
      </c>
      <c r="AX4555" s="185" t="s">
        <v>176</v>
      </c>
      <c r="BE4555" s="226" t="s">
        <v>4444</v>
      </c>
      <c r="BG4555" s="191" t="s">
        <v>479</v>
      </c>
      <c r="BH4555" s="226" t="s">
        <v>4444</v>
      </c>
      <c r="BI4555" s="191" t="s">
        <v>479</v>
      </c>
      <c r="BJ4555" s="55" t="s">
        <v>176</v>
      </c>
      <c r="BK4555" s="55" t="s">
        <v>5976</v>
      </c>
      <c r="BM4555" s="192" t="s">
        <v>160</v>
      </c>
      <c r="BN4555" s="55">
        <v>3</v>
      </c>
      <c r="BO4555" s="55">
        <v>3</v>
      </c>
      <c r="BQ4555" s="55" t="s">
        <v>141</v>
      </c>
      <c r="BV4555" s="55" t="s">
        <v>4446</v>
      </c>
      <c r="CB4555" s="66">
        <v>5600</v>
      </c>
      <c r="CC4555" s="66">
        <v>5100</v>
      </c>
      <c r="GP4555" s="292" t="s">
        <v>7494</v>
      </c>
      <c r="JU4555" s="55" t="s">
        <v>4448</v>
      </c>
    </row>
    <row r="4556" spans="1:281" x14ac:dyDescent="0.25">
      <c r="A4556" s="55">
        <v>4555</v>
      </c>
      <c r="B4556" s="12" t="s">
        <v>7067</v>
      </c>
      <c r="C4556" s="155">
        <v>196</v>
      </c>
      <c r="D4556" s="55" t="s">
        <v>4450</v>
      </c>
      <c r="E4556" s="90" t="s">
        <v>1105</v>
      </c>
      <c r="G4556" s="55" t="s">
        <v>4424</v>
      </c>
      <c r="H4556" s="55">
        <v>2012</v>
      </c>
      <c r="I4556" s="55">
        <v>2010</v>
      </c>
      <c r="J4556" s="55" t="s">
        <v>1050</v>
      </c>
      <c r="K4556" s="55" t="s">
        <v>4426</v>
      </c>
      <c r="L4556" s="55" t="s">
        <v>3377</v>
      </c>
      <c r="M4556" s="90">
        <f>29+52/60</f>
        <v>29.866666666666667</v>
      </c>
      <c r="N4556" s="90">
        <f>112+52/60</f>
        <v>112.86666666666666</v>
      </c>
      <c r="O4556" s="90">
        <v>28</v>
      </c>
      <c r="P4556" s="55">
        <f>AVERAGE(6.4,11.18,13.96,20.19,25.22,32.12,33.97,32.91,28.66,24.82,11.95,8.11)</f>
        <v>20.790833333333328</v>
      </c>
      <c r="R4556" s="55">
        <f>SUM(17,91.36,91,230.7,126,221.58,136.7,17,44,26,62.38,41)</f>
        <v>1104.72</v>
      </c>
      <c r="U4556" s="55" t="s">
        <v>1688</v>
      </c>
      <c r="V4556" s="55" t="s">
        <v>1816</v>
      </c>
      <c r="Y4556" s="55" t="s">
        <v>4442</v>
      </c>
      <c r="Z4556" s="55" t="s">
        <v>1349</v>
      </c>
      <c r="AA4556" s="90" t="s">
        <v>1677</v>
      </c>
      <c r="AD4556" s="90">
        <v>1.18</v>
      </c>
      <c r="AE4556" s="90">
        <v>26.6</v>
      </c>
      <c r="AF4556" s="90">
        <v>60.7</v>
      </c>
      <c r="AH4556" s="55" t="s">
        <v>6378</v>
      </c>
      <c r="AI4556" s="168">
        <v>6</v>
      </c>
      <c r="AJ4556" s="90">
        <v>5.07</v>
      </c>
      <c r="AN4556" s="185" t="s">
        <v>115</v>
      </c>
      <c r="AO4556" s="185" t="s">
        <v>5150</v>
      </c>
      <c r="AQ4556" s="55" t="s">
        <v>1545</v>
      </c>
      <c r="AR4556" s="55" t="s">
        <v>1096</v>
      </c>
      <c r="AS4556" s="55" t="s">
        <v>5133</v>
      </c>
      <c r="AU4556" s="181" t="s">
        <v>7494</v>
      </c>
      <c r="AV4556" s="185" t="s">
        <v>176</v>
      </c>
      <c r="AX4556" s="185" t="s">
        <v>176</v>
      </c>
      <c r="BE4556" s="226" t="s">
        <v>4444</v>
      </c>
      <c r="BG4556" s="191" t="s">
        <v>479</v>
      </c>
      <c r="BH4556" s="226" t="s">
        <v>4444</v>
      </c>
      <c r="BI4556" s="191" t="s">
        <v>479</v>
      </c>
      <c r="BJ4556" s="55" t="s">
        <v>176</v>
      </c>
      <c r="BK4556" s="55" t="s">
        <v>5976</v>
      </c>
      <c r="BM4556" s="192" t="s">
        <v>160</v>
      </c>
      <c r="BN4556" s="55">
        <v>3</v>
      </c>
      <c r="BO4556" s="55">
        <v>3</v>
      </c>
      <c r="BQ4556" s="55" t="s">
        <v>141</v>
      </c>
      <c r="BV4556" s="55" t="s">
        <v>4447</v>
      </c>
      <c r="CB4556" s="66">
        <v>5100</v>
      </c>
      <c r="CC4556" s="66">
        <v>4900</v>
      </c>
      <c r="GP4556" s="292" t="s">
        <v>7494</v>
      </c>
      <c r="JU4556" s="55" t="s">
        <v>4448</v>
      </c>
    </row>
    <row r="4557" spans="1:281" x14ac:dyDescent="0.25">
      <c r="A4557" s="55">
        <v>4556</v>
      </c>
      <c r="B4557" s="12" t="s">
        <v>7067</v>
      </c>
      <c r="C4557" s="155">
        <v>196</v>
      </c>
      <c r="D4557" s="55" t="s">
        <v>4451</v>
      </c>
      <c r="E4557" s="90" t="s">
        <v>1105</v>
      </c>
      <c r="G4557" s="55" t="s">
        <v>4424</v>
      </c>
      <c r="H4557" s="55">
        <v>2012</v>
      </c>
      <c r="I4557" s="55">
        <v>2010</v>
      </c>
      <c r="J4557" s="55" t="s">
        <v>1050</v>
      </c>
      <c r="K4557" s="55" t="s">
        <v>4426</v>
      </c>
      <c r="L4557" s="55" t="s">
        <v>3377</v>
      </c>
      <c r="M4557" s="90">
        <f>29+52/60</f>
        <v>29.866666666666667</v>
      </c>
      <c r="N4557" s="90">
        <f>112+52/60</f>
        <v>112.86666666666666</v>
      </c>
      <c r="O4557" s="90">
        <v>28</v>
      </c>
      <c r="P4557" s="55">
        <f>AVERAGE(6.4,11.18,13.96,20.19,25.22,32.12,33.97,32.91,28.66,24.82,11.95,8.11)</f>
        <v>20.790833333333328</v>
      </c>
      <c r="R4557" s="55">
        <f>SUM(17,91.36,91,230.7,126,221.58,136.7,17,44,26,62.38,41)</f>
        <v>1104.72</v>
      </c>
      <c r="U4557" s="55" t="s">
        <v>1688</v>
      </c>
      <c r="V4557" s="55" t="s">
        <v>1816</v>
      </c>
      <c r="Y4557" s="55" t="s">
        <v>4442</v>
      </c>
      <c r="Z4557" s="55" t="s">
        <v>1349</v>
      </c>
      <c r="AA4557" s="90" t="s">
        <v>1677</v>
      </c>
      <c r="AD4557" s="90">
        <v>1.18</v>
      </c>
      <c r="AE4557" s="90">
        <v>26.6</v>
      </c>
      <c r="AF4557" s="90">
        <v>60.7</v>
      </c>
      <c r="AH4557" s="55" t="s">
        <v>6378</v>
      </c>
      <c r="AI4557" s="168">
        <v>6</v>
      </c>
      <c r="AJ4557" s="90">
        <v>5.07</v>
      </c>
      <c r="AN4557" s="185" t="s">
        <v>115</v>
      </c>
      <c r="AO4557" s="185" t="s">
        <v>5150</v>
      </c>
      <c r="AQ4557" s="55" t="s">
        <v>1545</v>
      </c>
      <c r="AR4557" s="55" t="s">
        <v>1096</v>
      </c>
      <c r="AS4557" s="55" t="s">
        <v>5133</v>
      </c>
      <c r="AU4557" s="181" t="s">
        <v>7494</v>
      </c>
      <c r="AV4557" s="185" t="s">
        <v>176</v>
      </c>
      <c r="AX4557" s="185" t="s">
        <v>176</v>
      </c>
      <c r="BE4557" s="226" t="s">
        <v>4445</v>
      </c>
      <c r="BG4557" s="191" t="s">
        <v>479</v>
      </c>
      <c r="BH4557" s="226" t="s">
        <v>4445</v>
      </c>
      <c r="BI4557" s="191" t="s">
        <v>479</v>
      </c>
      <c r="BJ4557" s="55" t="s">
        <v>176</v>
      </c>
      <c r="BK4557" s="55" t="s">
        <v>5976</v>
      </c>
      <c r="BM4557" s="192" t="s">
        <v>160</v>
      </c>
      <c r="BN4557" s="55">
        <v>3</v>
      </c>
      <c r="BO4557" s="55">
        <v>3</v>
      </c>
      <c r="BQ4557" s="55" t="s">
        <v>141</v>
      </c>
      <c r="BV4557" s="55" t="s">
        <v>4446</v>
      </c>
      <c r="CB4557" s="66">
        <v>6400</v>
      </c>
      <c r="CC4557" s="66">
        <v>6000</v>
      </c>
      <c r="GP4557" s="292" t="s">
        <v>7494</v>
      </c>
      <c r="JU4557" s="55" t="s">
        <v>4448</v>
      </c>
    </row>
    <row r="4558" spans="1:281" x14ac:dyDescent="0.25">
      <c r="A4558" s="55">
        <v>4557</v>
      </c>
      <c r="B4558" s="12" t="s">
        <v>7067</v>
      </c>
      <c r="C4558" s="155">
        <v>196</v>
      </c>
      <c r="D4558" s="55" t="s">
        <v>4451</v>
      </c>
      <c r="E4558" s="90" t="s">
        <v>1105</v>
      </c>
      <c r="G4558" s="55" t="s">
        <v>4424</v>
      </c>
      <c r="H4558" s="55">
        <v>2012</v>
      </c>
      <c r="I4558" s="55">
        <v>2010</v>
      </c>
      <c r="J4558" s="55" t="s">
        <v>1050</v>
      </c>
      <c r="K4558" s="55" t="s">
        <v>4426</v>
      </c>
      <c r="L4558" s="55" t="s">
        <v>3377</v>
      </c>
      <c r="M4558" s="90">
        <f>29+52/60</f>
        <v>29.866666666666667</v>
      </c>
      <c r="N4558" s="90">
        <f>112+52/60</f>
        <v>112.86666666666666</v>
      </c>
      <c r="O4558" s="90">
        <v>28</v>
      </c>
      <c r="P4558" s="55">
        <f>AVERAGE(6.4,11.18,13.96,20.19,25.22,32.12,33.97,32.91,28.66,24.82,11.95,8.11)</f>
        <v>20.790833333333328</v>
      </c>
      <c r="R4558" s="55">
        <f>SUM(17,91.36,91,230.7,126,221.58,136.7,17,44,26,62.38,41)</f>
        <v>1104.72</v>
      </c>
      <c r="U4558" s="55" t="s">
        <v>1688</v>
      </c>
      <c r="V4558" s="55" t="s">
        <v>1816</v>
      </c>
      <c r="Y4558" s="55" t="s">
        <v>4442</v>
      </c>
      <c r="Z4558" s="55" t="s">
        <v>1349</v>
      </c>
      <c r="AA4558" s="90" t="s">
        <v>1677</v>
      </c>
      <c r="AD4558" s="90">
        <v>1.18</v>
      </c>
      <c r="AE4558" s="90">
        <v>26.6</v>
      </c>
      <c r="AF4558" s="90">
        <v>60.7</v>
      </c>
      <c r="AH4558" s="55" t="s">
        <v>6378</v>
      </c>
      <c r="AI4558" s="168">
        <v>6</v>
      </c>
      <c r="AJ4558" s="90">
        <v>5.07</v>
      </c>
      <c r="AN4558" s="185" t="s">
        <v>115</v>
      </c>
      <c r="AO4558" s="185" t="s">
        <v>5150</v>
      </c>
      <c r="AQ4558" s="55" t="s">
        <v>1545</v>
      </c>
      <c r="AR4558" s="55" t="s">
        <v>1096</v>
      </c>
      <c r="AS4558" s="55" t="s">
        <v>5133</v>
      </c>
      <c r="AU4558" s="181" t="s">
        <v>7494</v>
      </c>
      <c r="AV4558" s="185" t="s">
        <v>176</v>
      </c>
      <c r="AX4558" s="185" t="s">
        <v>176</v>
      </c>
      <c r="BE4558" s="226" t="s">
        <v>4445</v>
      </c>
      <c r="BG4558" s="191" t="s">
        <v>479</v>
      </c>
      <c r="BH4558" s="226" t="s">
        <v>4445</v>
      </c>
      <c r="BI4558" s="191" t="s">
        <v>479</v>
      </c>
      <c r="BJ4558" s="55" t="s">
        <v>176</v>
      </c>
      <c r="BK4558" s="55" t="s">
        <v>5976</v>
      </c>
      <c r="BM4558" s="192" t="s">
        <v>160</v>
      </c>
      <c r="BN4558" s="55">
        <v>3</v>
      </c>
      <c r="BO4558" s="55">
        <v>3</v>
      </c>
      <c r="BQ4558" s="55" t="s">
        <v>141</v>
      </c>
      <c r="BV4558" s="55" t="s">
        <v>4447</v>
      </c>
      <c r="CB4558" s="66">
        <v>5500</v>
      </c>
      <c r="CC4558" s="66">
        <v>5200</v>
      </c>
      <c r="GP4558" s="292" t="s">
        <v>7494</v>
      </c>
      <c r="JU4558" s="55" t="s">
        <v>4448</v>
      </c>
    </row>
    <row r="4559" spans="1:281" x14ac:dyDescent="0.25">
      <c r="A4559" s="55">
        <v>4558</v>
      </c>
      <c r="B4559" s="12" t="s">
        <v>7067</v>
      </c>
      <c r="C4559" s="155">
        <v>196</v>
      </c>
      <c r="D4559" s="55" t="s">
        <v>4449</v>
      </c>
      <c r="E4559" s="90" t="s">
        <v>1105</v>
      </c>
      <c r="G4559" s="55" t="s">
        <v>4424</v>
      </c>
      <c r="H4559" s="55">
        <v>2012</v>
      </c>
      <c r="I4559" s="55">
        <v>2011</v>
      </c>
      <c r="J4559" s="55" t="s">
        <v>1050</v>
      </c>
      <c r="K4559" s="55" t="s">
        <v>4426</v>
      </c>
      <c r="L4559" s="55" t="s">
        <v>3377</v>
      </c>
      <c r="M4559" s="90">
        <f>29+52/60</f>
        <v>29.866666666666667</v>
      </c>
      <c r="N4559" s="90">
        <f>112+52/60</f>
        <v>112.86666666666666</v>
      </c>
      <c r="O4559" s="90">
        <v>28</v>
      </c>
      <c r="P4559" s="55">
        <f>AVERAGE(11.95,8.11,7.58,9.3,13.54,18.04,25.07,29.57,33.81,33.55,28.11,20.81)</f>
        <v>19.953333333333333</v>
      </c>
      <c r="R4559" s="55">
        <f>SUM(59,41,35,45.6,178.96,219.8,242.5,86.46,374,86.42,78.82,196.98)</f>
        <v>1644.5400000000002</v>
      </c>
      <c r="U4559" s="55" t="s">
        <v>1816</v>
      </c>
      <c r="V4559" s="55" t="s">
        <v>1816</v>
      </c>
      <c r="Y4559" s="55" t="s">
        <v>4442</v>
      </c>
      <c r="Z4559" s="55" t="s">
        <v>1349</v>
      </c>
      <c r="AA4559" s="90" t="s">
        <v>1677</v>
      </c>
      <c r="AD4559" s="90">
        <v>1.18</v>
      </c>
      <c r="AE4559" s="90">
        <v>26.6</v>
      </c>
      <c r="AF4559" s="90">
        <v>60.7</v>
      </c>
      <c r="AH4559" s="55" t="s">
        <v>6378</v>
      </c>
      <c r="AI4559" s="168">
        <v>6</v>
      </c>
      <c r="AJ4559" s="90">
        <v>5.07</v>
      </c>
      <c r="AN4559" s="185" t="s">
        <v>115</v>
      </c>
      <c r="AO4559" s="185" t="s">
        <v>5150</v>
      </c>
      <c r="AQ4559" s="55" t="s">
        <v>1545</v>
      </c>
      <c r="AR4559" s="55" t="s">
        <v>1096</v>
      </c>
      <c r="AS4559" s="55" t="s">
        <v>5133</v>
      </c>
      <c r="AU4559" s="181" t="s">
        <v>7494</v>
      </c>
      <c r="AV4559" s="185" t="s">
        <v>176</v>
      </c>
      <c r="AX4559" s="185" t="s">
        <v>176</v>
      </c>
      <c r="BE4559" s="226" t="s">
        <v>4443</v>
      </c>
      <c r="BG4559" s="191" t="s">
        <v>176</v>
      </c>
      <c r="BH4559" s="226" t="s">
        <v>4443</v>
      </c>
      <c r="BI4559" s="191" t="s">
        <v>176</v>
      </c>
      <c r="BJ4559" s="55" t="s">
        <v>176</v>
      </c>
      <c r="BK4559" s="55" t="s">
        <v>5976</v>
      </c>
      <c r="BM4559" s="192" t="s">
        <v>160</v>
      </c>
      <c r="BN4559" s="55">
        <v>3</v>
      </c>
      <c r="BO4559" s="55">
        <v>3</v>
      </c>
      <c r="BQ4559" s="55" t="s">
        <v>141</v>
      </c>
      <c r="BV4559" s="55" t="s">
        <v>4446</v>
      </c>
      <c r="CB4559" s="66">
        <v>4500</v>
      </c>
      <c r="CC4559" s="66">
        <v>3400</v>
      </c>
      <c r="GP4559" s="292" t="s">
        <v>7494</v>
      </c>
      <c r="JU4559" s="55" t="s">
        <v>4448</v>
      </c>
    </row>
    <row r="4560" spans="1:281" x14ac:dyDescent="0.25">
      <c r="A4560" s="55">
        <v>4559</v>
      </c>
      <c r="B4560" s="12" t="s">
        <v>7067</v>
      </c>
      <c r="C4560" s="155">
        <v>196</v>
      </c>
      <c r="D4560" s="55" t="s">
        <v>4449</v>
      </c>
      <c r="E4560" s="90" t="s">
        <v>1105</v>
      </c>
      <c r="G4560" s="55" t="s">
        <v>4424</v>
      </c>
      <c r="H4560" s="55">
        <v>2012</v>
      </c>
      <c r="I4560" s="55">
        <v>2011</v>
      </c>
      <c r="J4560" s="55" t="s">
        <v>1050</v>
      </c>
      <c r="K4560" s="55" t="s">
        <v>4426</v>
      </c>
      <c r="L4560" s="55" t="s">
        <v>3377</v>
      </c>
      <c r="M4560" s="90">
        <f>29+52/60</f>
        <v>29.866666666666667</v>
      </c>
      <c r="N4560" s="90">
        <f>112+52/60</f>
        <v>112.86666666666666</v>
      </c>
      <c r="O4560" s="90">
        <v>28</v>
      </c>
      <c r="P4560" s="55">
        <f>AVERAGE(11.95,8.11,7.58,9.3,13.54,18.04,25.07,29.57,33.81,33.55,28.11,20.81)</f>
        <v>19.953333333333333</v>
      </c>
      <c r="R4560" s="55">
        <f>SUM(59,41,35,45.6,178.96,219.8,242.5,86.46,374,86.42,78.82,196.98)</f>
        <v>1644.5400000000002</v>
      </c>
      <c r="U4560" s="55" t="s">
        <v>1816</v>
      </c>
      <c r="V4560" s="55" t="s">
        <v>1816</v>
      </c>
      <c r="Y4560" s="55" t="s">
        <v>4442</v>
      </c>
      <c r="Z4560" s="55" t="s">
        <v>1349</v>
      </c>
      <c r="AA4560" s="90" t="s">
        <v>1677</v>
      </c>
      <c r="AD4560" s="90">
        <v>1.18</v>
      </c>
      <c r="AE4560" s="90">
        <v>26.6</v>
      </c>
      <c r="AF4560" s="90">
        <v>60.7</v>
      </c>
      <c r="AH4560" s="55" t="s">
        <v>6378</v>
      </c>
      <c r="AI4560" s="168">
        <v>6</v>
      </c>
      <c r="AJ4560" s="90">
        <v>5.07</v>
      </c>
      <c r="AN4560" s="185" t="s">
        <v>115</v>
      </c>
      <c r="AO4560" s="185" t="s">
        <v>5150</v>
      </c>
      <c r="AQ4560" s="55" t="s">
        <v>1545</v>
      </c>
      <c r="AR4560" s="55" t="s">
        <v>1096</v>
      </c>
      <c r="AS4560" s="55" t="s">
        <v>5133</v>
      </c>
      <c r="AU4560" s="181" t="s">
        <v>7494</v>
      </c>
      <c r="AV4560" s="185" t="s">
        <v>176</v>
      </c>
      <c r="AX4560" s="185" t="s">
        <v>176</v>
      </c>
      <c r="BE4560" s="226" t="s">
        <v>4443</v>
      </c>
      <c r="BG4560" s="191" t="s">
        <v>176</v>
      </c>
      <c r="BH4560" s="226" t="s">
        <v>4443</v>
      </c>
      <c r="BI4560" s="191" t="s">
        <v>176</v>
      </c>
      <c r="BJ4560" s="55" t="s">
        <v>176</v>
      </c>
      <c r="BK4560" s="55" t="s">
        <v>5976</v>
      </c>
      <c r="BM4560" s="192" t="s">
        <v>160</v>
      </c>
      <c r="BN4560" s="55">
        <v>3</v>
      </c>
      <c r="BO4560" s="55">
        <v>3</v>
      </c>
      <c r="BQ4560" s="55" t="s">
        <v>141</v>
      </c>
      <c r="BV4560" s="55" t="s">
        <v>4447</v>
      </c>
      <c r="CB4560" s="66">
        <v>5600</v>
      </c>
      <c r="CC4560" s="66">
        <v>4800</v>
      </c>
      <c r="GP4560" s="292" t="s">
        <v>7494</v>
      </c>
      <c r="JU4560" s="55" t="s">
        <v>4448</v>
      </c>
    </row>
    <row r="4561" spans="1:281" x14ac:dyDescent="0.25">
      <c r="A4561" s="55">
        <v>4560</v>
      </c>
      <c r="B4561" s="12" t="s">
        <v>7067</v>
      </c>
      <c r="C4561" s="155">
        <v>196</v>
      </c>
      <c r="D4561" s="55" t="s">
        <v>4450</v>
      </c>
      <c r="E4561" s="90" t="s">
        <v>1105</v>
      </c>
      <c r="G4561" s="55" t="s">
        <v>4424</v>
      </c>
      <c r="H4561" s="55">
        <v>2012</v>
      </c>
      <c r="I4561" s="55">
        <v>2011</v>
      </c>
      <c r="J4561" s="55" t="s">
        <v>1050</v>
      </c>
      <c r="K4561" s="55" t="s">
        <v>4426</v>
      </c>
      <c r="L4561" s="55" t="s">
        <v>3377</v>
      </c>
      <c r="M4561" s="90">
        <f>29+52/60</f>
        <v>29.866666666666667</v>
      </c>
      <c r="N4561" s="90">
        <f>112+52/60</f>
        <v>112.86666666666666</v>
      </c>
      <c r="O4561" s="90">
        <v>28</v>
      </c>
      <c r="P4561" s="55">
        <f>AVERAGE(11.95,8.11,7.58,9.3,13.54,18.04,25.07,29.57,33.81,33.55,28.11,20.81)</f>
        <v>19.953333333333333</v>
      </c>
      <c r="R4561" s="55">
        <f>SUM(59,41,35,45.6,178.96,219.8,242.5,86.46,374,86.42,78.82,196.98)</f>
        <v>1644.5400000000002</v>
      </c>
      <c r="U4561" s="55" t="s">
        <v>1816</v>
      </c>
      <c r="V4561" s="55" t="s">
        <v>1816</v>
      </c>
      <c r="Y4561" s="55" t="s">
        <v>4442</v>
      </c>
      <c r="Z4561" s="55" t="s">
        <v>1349</v>
      </c>
      <c r="AA4561" s="90" t="s">
        <v>1677</v>
      </c>
      <c r="AD4561" s="90">
        <v>1.18</v>
      </c>
      <c r="AE4561" s="90">
        <v>26.6</v>
      </c>
      <c r="AF4561" s="90">
        <v>60.7</v>
      </c>
      <c r="AH4561" s="55" t="s">
        <v>6378</v>
      </c>
      <c r="AI4561" s="168">
        <v>6</v>
      </c>
      <c r="AJ4561" s="90">
        <v>5.07</v>
      </c>
      <c r="AN4561" s="185" t="s">
        <v>115</v>
      </c>
      <c r="AO4561" s="185" t="s">
        <v>5150</v>
      </c>
      <c r="AQ4561" s="55" t="s">
        <v>1545</v>
      </c>
      <c r="AR4561" s="55" t="s">
        <v>1096</v>
      </c>
      <c r="AS4561" s="55" t="s">
        <v>5133</v>
      </c>
      <c r="AU4561" s="181" t="s">
        <v>7494</v>
      </c>
      <c r="AV4561" s="185" t="s">
        <v>176</v>
      </c>
      <c r="AX4561" s="185" t="s">
        <v>176</v>
      </c>
      <c r="BE4561" s="226" t="s">
        <v>4444</v>
      </c>
      <c r="BG4561" s="191" t="s">
        <v>479</v>
      </c>
      <c r="BH4561" s="226" t="s">
        <v>4444</v>
      </c>
      <c r="BI4561" s="191" t="s">
        <v>479</v>
      </c>
      <c r="BJ4561" s="55" t="s">
        <v>176</v>
      </c>
      <c r="BK4561" s="55" t="s">
        <v>5976</v>
      </c>
      <c r="BM4561" s="192" t="s">
        <v>160</v>
      </c>
      <c r="BN4561" s="55">
        <v>3</v>
      </c>
      <c r="BO4561" s="55">
        <v>3</v>
      </c>
      <c r="BQ4561" s="55" t="s">
        <v>141</v>
      </c>
      <c r="BV4561" s="55" t="s">
        <v>4446</v>
      </c>
      <c r="CB4561" s="66">
        <v>5800</v>
      </c>
      <c r="CC4561" s="66">
        <v>4900</v>
      </c>
      <c r="GP4561" s="292" t="s">
        <v>7494</v>
      </c>
      <c r="JU4561" s="55" t="s">
        <v>4448</v>
      </c>
    </row>
    <row r="4562" spans="1:281" x14ac:dyDescent="0.25">
      <c r="A4562" s="55">
        <v>4561</v>
      </c>
      <c r="B4562" s="12" t="s">
        <v>7067</v>
      </c>
      <c r="C4562" s="155">
        <v>196</v>
      </c>
      <c r="D4562" s="55" t="s">
        <v>4450</v>
      </c>
      <c r="E4562" s="90" t="s">
        <v>1105</v>
      </c>
      <c r="G4562" s="55" t="s">
        <v>4424</v>
      </c>
      <c r="H4562" s="55">
        <v>2012</v>
      </c>
      <c r="I4562" s="55">
        <v>2011</v>
      </c>
      <c r="J4562" s="55" t="s">
        <v>1050</v>
      </c>
      <c r="K4562" s="55" t="s">
        <v>4426</v>
      </c>
      <c r="L4562" s="55" t="s">
        <v>3377</v>
      </c>
      <c r="M4562" s="90">
        <f>29+52/60</f>
        <v>29.866666666666667</v>
      </c>
      <c r="N4562" s="90">
        <f>112+52/60</f>
        <v>112.86666666666666</v>
      </c>
      <c r="O4562" s="90">
        <v>28</v>
      </c>
      <c r="P4562" s="55">
        <f>AVERAGE(11.95,8.11,7.58,9.3,13.54,18.04,25.07,29.57,33.81,33.55,28.11,20.81)</f>
        <v>19.953333333333333</v>
      </c>
      <c r="R4562" s="55">
        <f>SUM(59,41,35,45.6,178.96,219.8,242.5,86.46,374,86.42,78.82,196.98)</f>
        <v>1644.5400000000002</v>
      </c>
      <c r="U4562" s="55" t="s">
        <v>1816</v>
      </c>
      <c r="V4562" s="55" t="s">
        <v>1816</v>
      </c>
      <c r="Y4562" s="55" t="s">
        <v>4442</v>
      </c>
      <c r="Z4562" s="55" t="s">
        <v>1349</v>
      </c>
      <c r="AA4562" s="90" t="s">
        <v>1677</v>
      </c>
      <c r="AD4562" s="90">
        <v>1.18</v>
      </c>
      <c r="AE4562" s="90">
        <v>26.6</v>
      </c>
      <c r="AF4562" s="90">
        <v>60.7</v>
      </c>
      <c r="AH4562" s="55" t="s">
        <v>6378</v>
      </c>
      <c r="AI4562" s="168">
        <v>6</v>
      </c>
      <c r="AJ4562" s="90">
        <v>5.07</v>
      </c>
      <c r="AN4562" s="185" t="s">
        <v>115</v>
      </c>
      <c r="AO4562" s="185" t="s">
        <v>5150</v>
      </c>
      <c r="AQ4562" s="55" t="s">
        <v>1545</v>
      </c>
      <c r="AR4562" s="55" t="s">
        <v>1096</v>
      </c>
      <c r="AS4562" s="55" t="s">
        <v>5133</v>
      </c>
      <c r="AU4562" s="181" t="s">
        <v>7494</v>
      </c>
      <c r="AV4562" s="185" t="s">
        <v>176</v>
      </c>
      <c r="AX4562" s="185" t="s">
        <v>176</v>
      </c>
      <c r="BE4562" s="226" t="s">
        <v>4444</v>
      </c>
      <c r="BG4562" s="191" t="s">
        <v>479</v>
      </c>
      <c r="BH4562" s="226" t="s">
        <v>4444</v>
      </c>
      <c r="BI4562" s="191" t="s">
        <v>479</v>
      </c>
      <c r="BJ4562" s="55" t="s">
        <v>176</v>
      </c>
      <c r="BK4562" s="55" t="s">
        <v>5976</v>
      </c>
      <c r="BM4562" s="192" t="s">
        <v>160</v>
      </c>
      <c r="BN4562" s="55">
        <v>3</v>
      </c>
      <c r="BO4562" s="55">
        <v>3</v>
      </c>
      <c r="BQ4562" s="55" t="s">
        <v>141</v>
      </c>
      <c r="BV4562" s="55" t="s">
        <v>4447</v>
      </c>
      <c r="CB4562" s="66">
        <v>6800</v>
      </c>
      <c r="CC4562" s="66">
        <v>6300</v>
      </c>
      <c r="GP4562" s="292" t="s">
        <v>7494</v>
      </c>
      <c r="JU4562" s="55" t="s">
        <v>4448</v>
      </c>
    </row>
    <row r="4563" spans="1:281" x14ac:dyDescent="0.25">
      <c r="A4563" s="55">
        <v>4562</v>
      </c>
      <c r="B4563" s="12" t="s">
        <v>7067</v>
      </c>
      <c r="C4563" s="155">
        <v>196</v>
      </c>
      <c r="D4563" s="55" t="s">
        <v>4451</v>
      </c>
      <c r="E4563" s="90" t="s">
        <v>1105</v>
      </c>
      <c r="G4563" s="55" t="s">
        <v>4424</v>
      </c>
      <c r="H4563" s="55">
        <v>2012</v>
      </c>
      <c r="I4563" s="55">
        <v>2011</v>
      </c>
      <c r="J4563" s="55" t="s">
        <v>1050</v>
      </c>
      <c r="K4563" s="55" t="s">
        <v>4426</v>
      </c>
      <c r="L4563" s="55" t="s">
        <v>3377</v>
      </c>
      <c r="M4563" s="90">
        <f>29+52/60</f>
        <v>29.866666666666667</v>
      </c>
      <c r="N4563" s="90">
        <f>112+52/60</f>
        <v>112.86666666666666</v>
      </c>
      <c r="O4563" s="90">
        <v>28</v>
      </c>
      <c r="P4563" s="55">
        <f>AVERAGE(11.95,8.11,7.58,9.3,13.54,18.04,25.07,29.57,33.81,33.55,28.11,20.81)</f>
        <v>19.953333333333333</v>
      </c>
      <c r="R4563" s="55">
        <f>SUM(59,41,35,45.6,178.96,219.8,242.5,86.46,374,86.42,78.82,196.98)</f>
        <v>1644.5400000000002</v>
      </c>
      <c r="U4563" s="55" t="s">
        <v>1816</v>
      </c>
      <c r="V4563" s="55" t="s">
        <v>1816</v>
      </c>
      <c r="Y4563" s="55" t="s">
        <v>4442</v>
      </c>
      <c r="Z4563" s="55" t="s">
        <v>1349</v>
      </c>
      <c r="AA4563" s="90" t="s">
        <v>1677</v>
      </c>
      <c r="AD4563" s="90">
        <v>1.18</v>
      </c>
      <c r="AE4563" s="90">
        <v>26.6</v>
      </c>
      <c r="AF4563" s="90">
        <v>60.7</v>
      </c>
      <c r="AH4563" s="55" t="s">
        <v>6378</v>
      </c>
      <c r="AI4563" s="168">
        <v>6</v>
      </c>
      <c r="AJ4563" s="90">
        <v>5.07</v>
      </c>
      <c r="AN4563" s="185" t="s">
        <v>115</v>
      </c>
      <c r="AO4563" s="185" t="s">
        <v>5150</v>
      </c>
      <c r="AQ4563" s="55" t="s">
        <v>1545</v>
      </c>
      <c r="AR4563" s="55" t="s">
        <v>1096</v>
      </c>
      <c r="AS4563" s="55" t="s">
        <v>5133</v>
      </c>
      <c r="AU4563" s="181" t="s">
        <v>7494</v>
      </c>
      <c r="AV4563" s="185" t="s">
        <v>176</v>
      </c>
      <c r="AX4563" s="185" t="s">
        <v>176</v>
      </c>
      <c r="BE4563" s="226" t="s">
        <v>4445</v>
      </c>
      <c r="BG4563" s="191" t="s">
        <v>479</v>
      </c>
      <c r="BH4563" s="226" t="s">
        <v>4445</v>
      </c>
      <c r="BI4563" s="191" t="s">
        <v>479</v>
      </c>
      <c r="BJ4563" s="55" t="s">
        <v>176</v>
      </c>
      <c r="BK4563" s="55" t="s">
        <v>5976</v>
      </c>
      <c r="BM4563" s="192" t="s">
        <v>160</v>
      </c>
      <c r="BN4563" s="55">
        <v>3</v>
      </c>
      <c r="BO4563" s="55">
        <v>3</v>
      </c>
      <c r="BQ4563" s="55" t="s">
        <v>141</v>
      </c>
      <c r="BV4563" s="55" t="s">
        <v>4446</v>
      </c>
      <c r="CB4563" s="66">
        <v>6200</v>
      </c>
      <c r="CC4563" s="66">
        <v>5400</v>
      </c>
      <c r="GP4563" s="292" t="s">
        <v>7494</v>
      </c>
      <c r="JU4563" s="55" t="s">
        <v>4448</v>
      </c>
    </row>
    <row r="4564" spans="1:281" x14ac:dyDescent="0.25">
      <c r="A4564" s="55">
        <v>4563</v>
      </c>
      <c r="B4564" s="12" t="s">
        <v>7067</v>
      </c>
      <c r="C4564" s="155">
        <v>196</v>
      </c>
      <c r="D4564" s="55" t="s">
        <v>4451</v>
      </c>
      <c r="E4564" s="90" t="s">
        <v>1105</v>
      </c>
      <c r="G4564" s="55" t="s">
        <v>4424</v>
      </c>
      <c r="H4564" s="55">
        <v>2012</v>
      </c>
      <c r="I4564" s="55">
        <v>2011</v>
      </c>
      <c r="J4564" s="55" t="s">
        <v>1050</v>
      </c>
      <c r="K4564" s="55" t="s">
        <v>4426</v>
      </c>
      <c r="L4564" s="55" t="s">
        <v>3377</v>
      </c>
      <c r="M4564" s="90">
        <f>29+52/60</f>
        <v>29.866666666666667</v>
      </c>
      <c r="N4564" s="90">
        <f>112+52/60</f>
        <v>112.86666666666666</v>
      </c>
      <c r="O4564" s="90">
        <v>28</v>
      </c>
      <c r="P4564" s="55">
        <f>AVERAGE(11.95,8.11,7.58,9.3,13.54,18.04,25.07,29.57,33.81,33.55,28.11,20.81)</f>
        <v>19.953333333333333</v>
      </c>
      <c r="R4564" s="55">
        <f>SUM(59,41,35,45.6,178.96,219.8,242.5,86.46,374,86.42,78.82,196.98)</f>
        <v>1644.5400000000002</v>
      </c>
      <c r="U4564" s="55" t="s">
        <v>1816</v>
      </c>
      <c r="V4564" s="55" t="s">
        <v>1816</v>
      </c>
      <c r="Y4564" s="55" t="s">
        <v>4442</v>
      </c>
      <c r="Z4564" s="55" t="s">
        <v>1349</v>
      </c>
      <c r="AA4564" s="90" t="s">
        <v>1677</v>
      </c>
      <c r="AD4564" s="90">
        <v>1.18</v>
      </c>
      <c r="AE4564" s="90">
        <v>26.6</v>
      </c>
      <c r="AF4564" s="90">
        <v>60.7</v>
      </c>
      <c r="AH4564" s="55" t="s">
        <v>6378</v>
      </c>
      <c r="AI4564" s="168">
        <v>6</v>
      </c>
      <c r="AJ4564" s="90">
        <v>5.07</v>
      </c>
      <c r="AN4564" s="185" t="s">
        <v>115</v>
      </c>
      <c r="AO4564" s="185" t="s">
        <v>5150</v>
      </c>
      <c r="AQ4564" s="55" t="s">
        <v>1545</v>
      </c>
      <c r="AR4564" s="55" t="s">
        <v>1096</v>
      </c>
      <c r="AS4564" s="55" t="s">
        <v>5133</v>
      </c>
      <c r="AU4564" s="181" t="s">
        <v>7494</v>
      </c>
      <c r="AV4564" s="185" t="s">
        <v>176</v>
      </c>
      <c r="AX4564" s="185" t="s">
        <v>176</v>
      </c>
      <c r="BE4564" s="226" t="s">
        <v>4445</v>
      </c>
      <c r="BG4564" s="191" t="s">
        <v>479</v>
      </c>
      <c r="BH4564" s="226" t="s">
        <v>4445</v>
      </c>
      <c r="BI4564" s="191" t="s">
        <v>479</v>
      </c>
      <c r="BJ4564" s="55" t="s">
        <v>176</v>
      </c>
      <c r="BK4564" s="55" t="s">
        <v>5976</v>
      </c>
      <c r="BM4564" s="192" t="s">
        <v>160</v>
      </c>
      <c r="BN4564" s="55">
        <v>3</v>
      </c>
      <c r="BO4564" s="55">
        <v>3</v>
      </c>
      <c r="BQ4564" s="55" t="s">
        <v>141</v>
      </c>
      <c r="BV4564" s="55" t="s">
        <v>4447</v>
      </c>
      <c r="CB4564" s="66">
        <v>7700</v>
      </c>
      <c r="CC4564" s="66">
        <v>6900</v>
      </c>
      <c r="GP4564" s="292" t="s">
        <v>7494</v>
      </c>
      <c r="JU4564" s="55" t="s">
        <v>4448</v>
      </c>
    </row>
    <row r="4565" spans="1:281" x14ac:dyDescent="0.25">
      <c r="A4565" s="55">
        <v>4564</v>
      </c>
      <c r="B4565" s="12" t="s">
        <v>7067</v>
      </c>
      <c r="C4565" s="155">
        <v>197</v>
      </c>
      <c r="D4565" s="55" t="s">
        <v>4500</v>
      </c>
      <c r="E4565" s="90" t="s">
        <v>4489</v>
      </c>
      <c r="G4565" s="55" t="s">
        <v>4490</v>
      </c>
      <c r="H4565" s="55">
        <v>2017</v>
      </c>
      <c r="I4565" s="55">
        <v>2012</v>
      </c>
      <c r="J4565" s="55" t="s">
        <v>4491</v>
      </c>
      <c r="K4565" s="55" t="s">
        <v>4493</v>
      </c>
      <c r="L4565" s="55" t="s">
        <v>2737</v>
      </c>
      <c r="M4565" s="90">
        <v>38.950000000000003</v>
      </c>
      <c r="N4565" s="90">
        <v>-92.33</v>
      </c>
      <c r="O4565" s="90">
        <v>227</v>
      </c>
      <c r="R4565" s="55">
        <v>630</v>
      </c>
      <c r="S4565" s="90">
        <v>1100</v>
      </c>
      <c r="U4565" s="55" t="s">
        <v>1935</v>
      </c>
      <c r="V4565" s="55" t="s">
        <v>1688</v>
      </c>
      <c r="Y4565" s="55" t="s">
        <v>4492</v>
      </c>
      <c r="Z4565" s="55" t="s">
        <v>1349</v>
      </c>
      <c r="AA4565" s="90" t="s">
        <v>1677</v>
      </c>
      <c r="AH4565" s="55" t="s">
        <v>6378</v>
      </c>
      <c r="AM4565" s="55" t="s">
        <v>4494</v>
      </c>
      <c r="AN4565" s="185" t="s">
        <v>115</v>
      </c>
      <c r="AO4565" s="185" t="s">
        <v>5150</v>
      </c>
      <c r="AQ4565" s="55" t="s">
        <v>131</v>
      </c>
      <c r="AR4565" s="55" t="s">
        <v>132</v>
      </c>
      <c r="AS4565" s="55" t="s">
        <v>132</v>
      </c>
      <c r="AU4565" s="181" t="s">
        <v>7494</v>
      </c>
      <c r="AV4565" s="185" t="s">
        <v>176</v>
      </c>
      <c r="AX4565" s="185" t="s">
        <v>176</v>
      </c>
      <c r="AZ4565" s="55" t="s">
        <v>216</v>
      </c>
      <c r="BA4565" s="55" t="s">
        <v>216</v>
      </c>
      <c r="BB4565" s="55" t="s">
        <v>2082</v>
      </c>
      <c r="BC4565" s="55" t="s">
        <v>2082</v>
      </c>
      <c r="BD4565" s="55" t="s">
        <v>176</v>
      </c>
      <c r="BE4565" s="226" t="s">
        <v>4497</v>
      </c>
      <c r="BG4565" s="191" t="s">
        <v>176</v>
      </c>
      <c r="BH4565" s="226" t="s">
        <v>4497</v>
      </c>
      <c r="BI4565" s="191" t="s">
        <v>176</v>
      </c>
      <c r="BJ4565" s="55" t="s">
        <v>176</v>
      </c>
      <c r="BK4565" s="55" t="s">
        <v>6269</v>
      </c>
      <c r="BM4565" s="192" t="s">
        <v>160</v>
      </c>
      <c r="BN4565" s="55">
        <v>4</v>
      </c>
      <c r="BO4565" s="55">
        <v>4</v>
      </c>
      <c r="BQ4565" s="55" t="s">
        <v>2077</v>
      </c>
      <c r="CB4565" s="66">
        <v>4250</v>
      </c>
      <c r="CC4565" s="66">
        <v>4620</v>
      </c>
      <c r="CE4565" s="65">
        <v>1000</v>
      </c>
      <c r="CF4565" s="65">
        <v>500</v>
      </c>
      <c r="CM4565" s="65">
        <v>2.0099999999999998</v>
      </c>
      <c r="CN4565" s="65">
        <v>2.21</v>
      </c>
      <c r="CO4565" s="65">
        <v>0.1</v>
      </c>
      <c r="CP4565" s="65">
        <v>0.12</v>
      </c>
      <c r="CQ4565" s="65" t="s">
        <v>2240</v>
      </c>
      <c r="GP4565" s="292" t="s">
        <v>7494</v>
      </c>
    </row>
    <row r="4566" spans="1:281" x14ac:dyDescent="0.25">
      <c r="A4566" s="55">
        <v>4565</v>
      </c>
      <c r="B4566" s="12" t="s">
        <v>7067</v>
      </c>
      <c r="C4566" s="155">
        <v>197</v>
      </c>
      <c r="D4566" s="55" t="s">
        <v>4501</v>
      </c>
      <c r="E4566" s="90" t="s">
        <v>4489</v>
      </c>
      <c r="G4566" s="55" t="s">
        <v>4490</v>
      </c>
      <c r="H4566" s="55">
        <v>2017</v>
      </c>
      <c r="I4566" s="55">
        <v>2012</v>
      </c>
      <c r="J4566" s="55" t="s">
        <v>4491</v>
      </c>
      <c r="K4566" s="55" t="s">
        <v>4493</v>
      </c>
      <c r="L4566" s="55" t="s">
        <v>2737</v>
      </c>
      <c r="M4566" s="90">
        <v>38.950000000000003</v>
      </c>
      <c r="N4566" s="90">
        <v>-92.33</v>
      </c>
      <c r="O4566" s="90">
        <v>227</v>
      </c>
      <c r="R4566" s="55">
        <v>630</v>
      </c>
      <c r="S4566" s="90">
        <v>1100</v>
      </c>
      <c r="U4566" s="55" t="s">
        <v>1935</v>
      </c>
      <c r="V4566" s="55" t="s">
        <v>1688</v>
      </c>
      <c r="Y4566" s="55" t="s">
        <v>4492</v>
      </c>
      <c r="Z4566" s="55" t="s">
        <v>1349</v>
      </c>
      <c r="AA4566" s="90" t="s">
        <v>1677</v>
      </c>
      <c r="AH4566" s="55" t="s">
        <v>6378</v>
      </c>
      <c r="AM4566" s="55" t="s">
        <v>4494</v>
      </c>
      <c r="AN4566" s="185" t="s">
        <v>115</v>
      </c>
      <c r="AO4566" s="185" t="s">
        <v>5150</v>
      </c>
      <c r="AQ4566" s="55" t="s">
        <v>131</v>
      </c>
      <c r="AR4566" s="55" t="s">
        <v>132</v>
      </c>
      <c r="AS4566" s="55" t="s">
        <v>132</v>
      </c>
      <c r="AU4566" s="181" t="s">
        <v>7494</v>
      </c>
      <c r="AV4566" s="185" t="s">
        <v>176</v>
      </c>
      <c r="AX4566" s="185" t="s">
        <v>176</v>
      </c>
      <c r="AZ4566" s="55" t="s">
        <v>216</v>
      </c>
      <c r="BA4566" s="55" t="s">
        <v>216</v>
      </c>
      <c r="BB4566" s="55" t="s">
        <v>2082</v>
      </c>
      <c r="BC4566" s="55" t="s">
        <v>2082</v>
      </c>
      <c r="BD4566" s="55" t="s">
        <v>176</v>
      </c>
      <c r="BE4566" s="226" t="s">
        <v>4498</v>
      </c>
      <c r="BG4566" s="191" t="s">
        <v>479</v>
      </c>
      <c r="BH4566" s="226" t="s">
        <v>4498</v>
      </c>
      <c r="BI4566" s="191" t="s">
        <v>479</v>
      </c>
      <c r="BJ4566" s="55" t="s">
        <v>176</v>
      </c>
      <c r="BK4566" s="55" t="s">
        <v>6269</v>
      </c>
      <c r="BM4566" s="192" t="s">
        <v>160</v>
      </c>
      <c r="BN4566" s="55">
        <v>4</v>
      </c>
      <c r="BO4566" s="55">
        <v>4</v>
      </c>
      <c r="BQ4566" s="55" t="s">
        <v>2077</v>
      </c>
      <c r="CB4566" s="66">
        <v>5620</v>
      </c>
      <c r="CC4566" s="66">
        <v>4920</v>
      </c>
      <c r="CE4566" s="65">
        <v>1000</v>
      </c>
      <c r="CF4566" s="65">
        <v>760</v>
      </c>
      <c r="CM4566" s="65">
        <v>2.1</v>
      </c>
      <c r="CN4566" s="65">
        <v>2.29</v>
      </c>
      <c r="CO4566" s="65">
        <v>0.08</v>
      </c>
      <c r="CP4566" s="65">
        <v>0.16</v>
      </c>
      <c r="CQ4566" s="65" t="s">
        <v>2240</v>
      </c>
      <c r="GP4566" s="292" t="s">
        <v>7494</v>
      </c>
    </row>
    <row r="4567" spans="1:281" x14ac:dyDescent="0.25">
      <c r="A4567" s="55">
        <v>4566</v>
      </c>
      <c r="B4567" s="12" t="s">
        <v>7067</v>
      </c>
      <c r="C4567" s="155">
        <v>197</v>
      </c>
      <c r="D4567" s="55" t="s">
        <v>4502</v>
      </c>
      <c r="E4567" s="90" t="s">
        <v>4489</v>
      </c>
      <c r="G4567" s="55" t="s">
        <v>4490</v>
      </c>
      <c r="H4567" s="55">
        <v>2017</v>
      </c>
      <c r="I4567" s="55">
        <v>2012</v>
      </c>
      <c r="J4567" s="55" t="s">
        <v>4491</v>
      </c>
      <c r="K4567" s="55" t="s">
        <v>4493</v>
      </c>
      <c r="L4567" s="55" t="s">
        <v>2737</v>
      </c>
      <c r="M4567" s="90">
        <v>38.950000000000003</v>
      </c>
      <c r="N4567" s="90">
        <v>-92.33</v>
      </c>
      <c r="O4567" s="90">
        <v>227</v>
      </c>
      <c r="R4567" s="55">
        <v>630</v>
      </c>
      <c r="S4567" s="90">
        <v>1100</v>
      </c>
      <c r="U4567" s="55" t="s">
        <v>1935</v>
      </c>
      <c r="V4567" s="55" t="s">
        <v>1688</v>
      </c>
      <c r="Y4567" s="55" t="s">
        <v>4492</v>
      </c>
      <c r="Z4567" s="55" t="s">
        <v>1349</v>
      </c>
      <c r="AA4567" s="90" t="s">
        <v>1677</v>
      </c>
      <c r="AH4567" s="55" t="s">
        <v>6378</v>
      </c>
      <c r="AM4567" s="55" t="s">
        <v>4494</v>
      </c>
      <c r="AN4567" s="185" t="s">
        <v>115</v>
      </c>
      <c r="AO4567" s="185" t="s">
        <v>5150</v>
      </c>
      <c r="AQ4567" s="55" t="s">
        <v>131</v>
      </c>
      <c r="AR4567" s="55" t="s">
        <v>132</v>
      </c>
      <c r="AS4567" s="55" t="s">
        <v>132</v>
      </c>
      <c r="AU4567" s="181" t="s">
        <v>7494</v>
      </c>
      <c r="AV4567" s="185" t="s">
        <v>176</v>
      </c>
      <c r="AX4567" s="185" t="s">
        <v>176</v>
      </c>
      <c r="AZ4567" s="55" t="s">
        <v>216</v>
      </c>
      <c r="BA4567" s="55" t="s">
        <v>216</v>
      </c>
      <c r="BB4567" s="55" t="s">
        <v>2082</v>
      </c>
      <c r="BC4567" s="55" t="s">
        <v>2082</v>
      </c>
      <c r="BD4567" s="55" t="s">
        <v>176</v>
      </c>
      <c r="BE4567" s="226" t="s">
        <v>4495</v>
      </c>
      <c r="BG4567" s="191" t="s">
        <v>479</v>
      </c>
      <c r="BH4567" s="226" t="s">
        <v>4495</v>
      </c>
      <c r="BI4567" s="191" t="s">
        <v>479</v>
      </c>
      <c r="BJ4567" s="55" t="s">
        <v>176</v>
      </c>
      <c r="BK4567" s="55" t="s">
        <v>6269</v>
      </c>
      <c r="BM4567" s="192" t="s">
        <v>160</v>
      </c>
      <c r="BN4567" s="55">
        <v>4</v>
      </c>
      <c r="BO4567" s="55">
        <v>4</v>
      </c>
      <c r="BQ4567" s="55" t="s">
        <v>2077</v>
      </c>
      <c r="CB4567" s="66">
        <v>4260</v>
      </c>
      <c r="CC4567" s="66">
        <v>4590</v>
      </c>
      <c r="CE4567" s="65">
        <v>360</v>
      </c>
      <c r="CF4567" s="65">
        <v>540</v>
      </c>
      <c r="CM4567" s="65">
        <v>2.2999999999999998</v>
      </c>
      <c r="CN4567" s="65">
        <v>2.27</v>
      </c>
      <c r="CO4567" s="65">
        <v>0.22</v>
      </c>
      <c r="CP4567" s="65">
        <v>0.18</v>
      </c>
      <c r="CQ4567" s="65" t="s">
        <v>2240</v>
      </c>
      <c r="GP4567" s="292" t="s">
        <v>7494</v>
      </c>
    </row>
    <row r="4568" spans="1:281" x14ac:dyDescent="0.25">
      <c r="A4568" s="55">
        <v>4567</v>
      </c>
      <c r="B4568" s="12" t="s">
        <v>7067</v>
      </c>
      <c r="C4568" s="155">
        <v>197</v>
      </c>
      <c r="D4568" s="55" t="s">
        <v>4503</v>
      </c>
      <c r="E4568" s="90" t="s">
        <v>4489</v>
      </c>
      <c r="G4568" s="55" t="s">
        <v>4490</v>
      </c>
      <c r="H4568" s="55">
        <v>2017</v>
      </c>
      <c r="I4568" s="55">
        <v>2012</v>
      </c>
      <c r="J4568" s="55" t="s">
        <v>4491</v>
      </c>
      <c r="K4568" s="55" t="s">
        <v>4493</v>
      </c>
      <c r="L4568" s="55" t="s">
        <v>2737</v>
      </c>
      <c r="M4568" s="90">
        <v>38.950000000000003</v>
      </c>
      <c r="N4568" s="90">
        <v>-92.33</v>
      </c>
      <c r="O4568" s="90">
        <v>227</v>
      </c>
      <c r="R4568" s="55">
        <v>630</v>
      </c>
      <c r="S4568" s="90">
        <v>1100</v>
      </c>
      <c r="U4568" s="55" t="s">
        <v>1935</v>
      </c>
      <c r="V4568" s="55" t="s">
        <v>1688</v>
      </c>
      <c r="Y4568" s="55" t="s">
        <v>4492</v>
      </c>
      <c r="Z4568" s="55" t="s">
        <v>1349</v>
      </c>
      <c r="AA4568" s="90" t="s">
        <v>1677</v>
      </c>
      <c r="AH4568" s="55" t="s">
        <v>6378</v>
      </c>
      <c r="AM4568" s="55" t="s">
        <v>4494</v>
      </c>
      <c r="AN4568" s="185" t="s">
        <v>115</v>
      </c>
      <c r="AO4568" s="185" t="s">
        <v>5150</v>
      </c>
      <c r="AQ4568" s="55" t="s">
        <v>131</v>
      </c>
      <c r="AR4568" s="55" t="s">
        <v>132</v>
      </c>
      <c r="AS4568" s="55" t="s">
        <v>132</v>
      </c>
      <c r="AU4568" s="181" t="s">
        <v>7494</v>
      </c>
      <c r="AV4568" s="185" t="s">
        <v>176</v>
      </c>
      <c r="AX4568" s="185" t="s">
        <v>176</v>
      </c>
      <c r="AZ4568" s="55" t="s">
        <v>216</v>
      </c>
      <c r="BA4568" s="55" t="s">
        <v>216</v>
      </c>
      <c r="BB4568" s="55" t="s">
        <v>2082</v>
      </c>
      <c r="BC4568" s="55" t="s">
        <v>2082</v>
      </c>
      <c r="BD4568" s="55" t="s">
        <v>176</v>
      </c>
      <c r="BE4568" s="226" t="s">
        <v>4496</v>
      </c>
      <c r="BG4568" s="191" t="s">
        <v>479</v>
      </c>
      <c r="BH4568" s="226" t="s">
        <v>4496</v>
      </c>
      <c r="BI4568" s="191" t="s">
        <v>479</v>
      </c>
      <c r="BJ4568" s="55" t="s">
        <v>176</v>
      </c>
      <c r="BK4568" s="55" t="s">
        <v>6269</v>
      </c>
      <c r="BM4568" s="192" t="s">
        <v>160</v>
      </c>
      <c r="BN4568" s="55">
        <v>4</v>
      </c>
      <c r="BO4568" s="55">
        <v>4</v>
      </c>
      <c r="BQ4568" s="55" t="s">
        <v>2077</v>
      </c>
      <c r="CB4568" s="66">
        <v>3890</v>
      </c>
      <c r="CC4568" s="66">
        <v>4710</v>
      </c>
      <c r="CE4568" s="65">
        <v>160</v>
      </c>
      <c r="CF4568" s="65">
        <v>660</v>
      </c>
      <c r="CM4568" s="65">
        <v>2.29</v>
      </c>
      <c r="CN4568" s="65">
        <v>2.33</v>
      </c>
      <c r="CO4568" s="65">
        <v>0.06</v>
      </c>
      <c r="CP4568" s="65">
        <v>0.28000000000000003</v>
      </c>
      <c r="CQ4568" s="65" t="s">
        <v>2240</v>
      </c>
      <c r="GP4568" s="292" t="s">
        <v>7494</v>
      </c>
    </row>
    <row r="4569" spans="1:281" x14ac:dyDescent="0.25">
      <c r="A4569" s="55">
        <v>4568</v>
      </c>
      <c r="B4569" s="12" t="s">
        <v>7067</v>
      </c>
      <c r="C4569" s="155">
        <v>197</v>
      </c>
      <c r="D4569" s="55" t="s">
        <v>4504</v>
      </c>
      <c r="E4569" s="90" t="s">
        <v>4489</v>
      </c>
      <c r="G4569" s="55" t="s">
        <v>4490</v>
      </c>
      <c r="H4569" s="55">
        <v>2017</v>
      </c>
      <c r="I4569" s="55">
        <v>2012</v>
      </c>
      <c r="J4569" s="55" t="s">
        <v>4491</v>
      </c>
      <c r="K4569" s="55" t="s">
        <v>4493</v>
      </c>
      <c r="L4569" s="55" t="s">
        <v>2737</v>
      </c>
      <c r="M4569" s="90">
        <v>38.950000000000003</v>
      </c>
      <c r="N4569" s="90">
        <v>-92.33</v>
      </c>
      <c r="O4569" s="90">
        <v>227</v>
      </c>
      <c r="R4569" s="55">
        <v>630</v>
      </c>
      <c r="S4569" s="90">
        <v>1100</v>
      </c>
      <c r="U4569" s="55" t="s">
        <v>1805</v>
      </c>
      <c r="V4569" s="55" t="s">
        <v>1688</v>
      </c>
      <c r="Y4569" s="55" t="s">
        <v>4492</v>
      </c>
      <c r="Z4569" s="55" t="s">
        <v>1349</v>
      </c>
      <c r="AA4569" s="90" t="s">
        <v>1677</v>
      </c>
      <c r="AH4569" s="55" t="s">
        <v>6378</v>
      </c>
      <c r="AM4569" s="55" t="s">
        <v>4494</v>
      </c>
      <c r="AN4569" s="185" t="s">
        <v>115</v>
      </c>
      <c r="AO4569" s="185" t="s">
        <v>5150</v>
      </c>
      <c r="AQ4569" s="55" t="s">
        <v>131</v>
      </c>
      <c r="AR4569" s="55" t="s">
        <v>158</v>
      </c>
      <c r="AS4569" s="55" t="s">
        <v>158</v>
      </c>
      <c r="AU4569" s="181" t="s">
        <v>7494</v>
      </c>
      <c r="AV4569" s="185" t="s">
        <v>176</v>
      </c>
      <c r="AX4569" s="185" t="s">
        <v>176</v>
      </c>
      <c r="AZ4569" s="55" t="s">
        <v>216</v>
      </c>
      <c r="BA4569" s="55" t="s">
        <v>216</v>
      </c>
      <c r="BB4569" s="55" t="s">
        <v>2082</v>
      </c>
      <c r="BC4569" s="55" t="s">
        <v>2082</v>
      </c>
      <c r="BD4569" s="55" t="s">
        <v>176</v>
      </c>
      <c r="BE4569" s="226" t="s">
        <v>4497</v>
      </c>
      <c r="BG4569" s="191" t="s">
        <v>176</v>
      </c>
      <c r="BH4569" s="226" t="s">
        <v>4497</v>
      </c>
      <c r="BI4569" s="191" t="s">
        <v>176</v>
      </c>
      <c r="BJ4569" s="55" t="s">
        <v>176</v>
      </c>
      <c r="BK4569" s="55" t="s">
        <v>6269</v>
      </c>
      <c r="BM4569" s="192" t="s">
        <v>160</v>
      </c>
      <c r="BN4569" s="55">
        <v>4</v>
      </c>
      <c r="BO4569" s="55">
        <v>4</v>
      </c>
      <c r="BQ4569" s="55" t="s">
        <v>2077</v>
      </c>
      <c r="CB4569" s="66">
        <v>2910</v>
      </c>
      <c r="CC4569" s="66">
        <v>2320</v>
      </c>
      <c r="CE4569" s="65">
        <v>280</v>
      </c>
      <c r="CF4569" s="65">
        <v>640</v>
      </c>
      <c r="CM4569" s="65">
        <v>2.1</v>
      </c>
      <c r="CN4569" s="65">
        <v>2.23</v>
      </c>
      <c r="CO4569" s="65">
        <v>0.08</v>
      </c>
      <c r="CP4569" s="65">
        <v>0.02</v>
      </c>
      <c r="CQ4569" s="65" t="s">
        <v>2240</v>
      </c>
      <c r="GP4569" s="292" t="s">
        <v>7494</v>
      </c>
    </row>
    <row r="4570" spans="1:281" x14ac:dyDescent="0.25">
      <c r="A4570" s="55">
        <v>4569</v>
      </c>
      <c r="B4570" s="12" t="s">
        <v>7067</v>
      </c>
      <c r="C4570" s="155">
        <v>197</v>
      </c>
      <c r="D4570" s="55" t="s">
        <v>4505</v>
      </c>
      <c r="E4570" s="90" t="s">
        <v>4489</v>
      </c>
      <c r="G4570" s="55" t="s">
        <v>4490</v>
      </c>
      <c r="H4570" s="55">
        <v>2017</v>
      </c>
      <c r="I4570" s="55">
        <v>2012</v>
      </c>
      <c r="J4570" s="55" t="s">
        <v>4491</v>
      </c>
      <c r="K4570" s="55" t="s">
        <v>4493</v>
      </c>
      <c r="L4570" s="55" t="s">
        <v>2737</v>
      </c>
      <c r="M4570" s="90">
        <v>38.950000000000003</v>
      </c>
      <c r="N4570" s="90">
        <v>-92.33</v>
      </c>
      <c r="O4570" s="90">
        <v>227</v>
      </c>
      <c r="R4570" s="55">
        <v>630</v>
      </c>
      <c r="S4570" s="90">
        <v>1100</v>
      </c>
      <c r="U4570" s="55" t="s">
        <v>1805</v>
      </c>
      <c r="V4570" s="55" t="s">
        <v>1688</v>
      </c>
      <c r="Y4570" s="55" t="s">
        <v>4492</v>
      </c>
      <c r="Z4570" s="55" t="s">
        <v>1349</v>
      </c>
      <c r="AA4570" s="90" t="s">
        <v>1677</v>
      </c>
      <c r="AH4570" s="55" t="s">
        <v>6378</v>
      </c>
      <c r="AM4570" s="55" t="s">
        <v>4494</v>
      </c>
      <c r="AN4570" s="185" t="s">
        <v>115</v>
      </c>
      <c r="AO4570" s="185" t="s">
        <v>5150</v>
      </c>
      <c r="AQ4570" s="55" t="s">
        <v>131</v>
      </c>
      <c r="AR4570" s="55" t="s">
        <v>158</v>
      </c>
      <c r="AS4570" s="55" t="s">
        <v>158</v>
      </c>
      <c r="AU4570" s="181" t="s">
        <v>7494</v>
      </c>
      <c r="AV4570" s="185" t="s">
        <v>176</v>
      </c>
      <c r="AX4570" s="185" t="s">
        <v>176</v>
      </c>
      <c r="AZ4570" s="55" t="s">
        <v>216</v>
      </c>
      <c r="BA4570" s="55" t="s">
        <v>216</v>
      </c>
      <c r="BB4570" s="55" t="s">
        <v>2082</v>
      </c>
      <c r="BC4570" s="55" t="s">
        <v>2082</v>
      </c>
      <c r="BD4570" s="55" t="s">
        <v>176</v>
      </c>
      <c r="BE4570" s="226" t="s">
        <v>4498</v>
      </c>
      <c r="BG4570" s="191" t="s">
        <v>479</v>
      </c>
      <c r="BH4570" s="226" t="s">
        <v>4498</v>
      </c>
      <c r="BI4570" s="191" t="s">
        <v>479</v>
      </c>
      <c r="BJ4570" s="55" t="s">
        <v>176</v>
      </c>
      <c r="BK4570" s="55" t="s">
        <v>6269</v>
      </c>
      <c r="BM4570" s="192" t="s">
        <v>160</v>
      </c>
      <c r="BN4570" s="55">
        <v>4</v>
      </c>
      <c r="BO4570" s="55">
        <v>4</v>
      </c>
      <c r="BQ4570" s="55" t="s">
        <v>2077</v>
      </c>
      <c r="CB4570" s="66">
        <v>3310</v>
      </c>
      <c r="CC4570" s="66">
        <v>2410</v>
      </c>
      <c r="CE4570" s="65">
        <v>440</v>
      </c>
      <c r="CF4570" s="65">
        <v>700</v>
      </c>
      <c r="CM4570" s="65">
        <v>2.08</v>
      </c>
      <c r="CN4570" s="65">
        <v>2.13</v>
      </c>
      <c r="CO4570" s="65">
        <v>0.08</v>
      </c>
      <c r="CP4570" s="65">
        <v>0.1</v>
      </c>
      <c r="CQ4570" s="65" t="s">
        <v>2240</v>
      </c>
      <c r="GP4570" s="292" t="s">
        <v>7494</v>
      </c>
    </row>
    <row r="4571" spans="1:281" x14ac:dyDescent="0.25">
      <c r="A4571" s="55">
        <v>4570</v>
      </c>
      <c r="B4571" s="12" t="s">
        <v>7067</v>
      </c>
      <c r="C4571" s="155">
        <v>197</v>
      </c>
      <c r="D4571" s="55" t="s">
        <v>4506</v>
      </c>
      <c r="E4571" s="90" t="s">
        <v>4489</v>
      </c>
      <c r="G4571" s="55" t="s">
        <v>4490</v>
      </c>
      <c r="H4571" s="55">
        <v>2017</v>
      </c>
      <c r="I4571" s="55">
        <v>2012</v>
      </c>
      <c r="J4571" s="55" t="s">
        <v>4491</v>
      </c>
      <c r="K4571" s="55" t="s">
        <v>4493</v>
      </c>
      <c r="L4571" s="55" t="s">
        <v>2737</v>
      </c>
      <c r="M4571" s="90">
        <v>38.950000000000003</v>
      </c>
      <c r="N4571" s="90">
        <v>-92.33</v>
      </c>
      <c r="O4571" s="90">
        <v>227</v>
      </c>
      <c r="R4571" s="55">
        <v>630</v>
      </c>
      <c r="S4571" s="90">
        <v>1100</v>
      </c>
      <c r="U4571" s="55" t="s">
        <v>1805</v>
      </c>
      <c r="V4571" s="55" t="s">
        <v>1688</v>
      </c>
      <c r="Y4571" s="55" t="s">
        <v>4492</v>
      </c>
      <c r="Z4571" s="55" t="s">
        <v>1349</v>
      </c>
      <c r="AA4571" s="90" t="s">
        <v>1677</v>
      </c>
      <c r="AH4571" s="55" t="s">
        <v>6378</v>
      </c>
      <c r="AM4571" s="55" t="s">
        <v>4494</v>
      </c>
      <c r="AN4571" s="185" t="s">
        <v>115</v>
      </c>
      <c r="AO4571" s="185" t="s">
        <v>5150</v>
      </c>
      <c r="AQ4571" s="55" t="s">
        <v>131</v>
      </c>
      <c r="AR4571" s="55" t="s">
        <v>158</v>
      </c>
      <c r="AS4571" s="55" t="s">
        <v>158</v>
      </c>
      <c r="AU4571" s="181" t="s">
        <v>7494</v>
      </c>
      <c r="AV4571" s="185" t="s">
        <v>176</v>
      </c>
      <c r="AX4571" s="185" t="s">
        <v>176</v>
      </c>
      <c r="AZ4571" s="55" t="s">
        <v>216</v>
      </c>
      <c r="BA4571" s="55" t="s">
        <v>216</v>
      </c>
      <c r="BB4571" s="55" t="s">
        <v>2082</v>
      </c>
      <c r="BC4571" s="55" t="s">
        <v>2082</v>
      </c>
      <c r="BD4571" s="55" t="s">
        <v>176</v>
      </c>
      <c r="BE4571" s="226" t="s">
        <v>4495</v>
      </c>
      <c r="BG4571" s="191" t="s">
        <v>479</v>
      </c>
      <c r="BH4571" s="226" t="s">
        <v>4495</v>
      </c>
      <c r="BI4571" s="191" t="s">
        <v>479</v>
      </c>
      <c r="BJ4571" s="55" t="s">
        <v>176</v>
      </c>
      <c r="BK4571" s="55" t="s">
        <v>6269</v>
      </c>
      <c r="BM4571" s="192" t="s">
        <v>160</v>
      </c>
      <c r="BN4571" s="55">
        <v>4</v>
      </c>
      <c r="BO4571" s="55">
        <v>4</v>
      </c>
      <c r="BQ4571" s="55" t="s">
        <v>2077</v>
      </c>
      <c r="CB4571" s="66">
        <v>3250</v>
      </c>
      <c r="CC4571" s="66">
        <v>2770</v>
      </c>
      <c r="CE4571" s="65">
        <v>480</v>
      </c>
      <c r="CF4571" s="65">
        <v>520</v>
      </c>
      <c r="CM4571" s="65">
        <v>2.11</v>
      </c>
      <c r="CN4571" s="65">
        <v>2.21</v>
      </c>
      <c r="CO4571" s="65">
        <v>0.06</v>
      </c>
      <c r="CP4571" s="65">
        <v>0.08</v>
      </c>
      <c r="CQ4571" s="65" t="s">
        <v>2240</v>
      </c>
      <c r="GP4571" s="292" t="s">
        <v>7494</v>
      </c>
    </row>
    <row r="4572" spans="1:281" x14ac:dyDescent="0.25">
      <c r="A4572" s="55">
        <v>4571</v>
      </c>
      <c r="B4572" s="12" t="s">
        <v>7067</v>
      </c>
      <c r="C4572" s="155">
        <v>197</v>
      </c>
      <c r="D4572" s="55" t="s">
        <v>4507</v>
      </c>
      <c r="E4572" s="90" t="s">
        <v>4489</v>
      </c>
      <c r="G4572" s="55" t="s">
        <v>4490</v>
      </c>
      <c r="H4572" s="55">
        <v>2017</v>
      </c>
      <c r="I4572" s="55">
        <v>2012</v>
      </c>
      <c r="J4572" s="55" t="s">
        <v>4491</v>
      </c>
      <c r="K4572" s="55" t="s">
        <v>4493</v>
      </c>
      <c r="L4572" s="55" t="s">
        <v>2737</v>
      </c>
      <c r="M4572" s="90">
        <v>38.950000000000003</v>
      </c>
      <c r="N4572" s="90">
        <v>-92.33</v>
      </c>
      <c r="O4572" s="90">
        <v>227</v>
      </c>
      <c r="R4572" s="55">
        <v>630</v>
      </c>
      <c r="S4572" s="90">
        <v>1100</v>
      </c>
      <c r="U4572" s="55" t="s">
        <v>1805</v>
      </c>
      <c r="V4572" s="55" t="s">
        <v>1688</v>
      </c>
      <c r="Y4572" s="55" t="s">
        <v>4492</v>
      </c>
      <c r="Z4572" s="55" t="s">
        <v>1349</v>
      </c>
      <c r="AA4572" s="90" t="s">
        <v>1677</v>
      </c>
      <c r="AH4572" s="55" t="s">
        <v>6378</v>
      </c>
      <c r="AM4572" s="55" t="s">
        <v>4494</v>
      </c>
      <c r="AN4572" s="185" t="s">
        <v>115</v>
      </c>
      <c r="AO4572" s="185" t="s">
        <v>5150</v>
      </c>
      <c r="AQ4572" s="55" t="s">
        <v>131</v>
      </c>
      <c r="AR4572" s="55" t="s">
        <v>158</v>
      </c>
      <c r="AS4572" s="55" t="s">
        <v>158</v>
      </c>
      <c r="AU4572" s="181" t="s">
        <v>7494</v>
      </c>
      <c r="AV4572" s="185" t="s">
        <v>176</v>
      </c>
      <c r="AX4572" s="185" t="s">
        <v>176</v>
      </c>
      <c r="AZ4572" s="55" t="s">
        <v>216</v>
      </c>
      <c r="BA4572" s="55" t="s">
        <v>216</v>
      </c>
      <c r="BB4572" s="55" t="s">
        <v>2082</v>
      </c>
      <c r="BC4572" s="55" t="s">
        <v>2082</v>
      </c>
      <c r="BD4572" s="55" t="s">
        <v>176</v>
      </c>
      <c r="BE4572" s="226" t="s">
        <v>4496</v>
      </c>
      <c r="BG4572" s="191" t="s">
        <v>479</v>
      </c>
      <c r="BH4572" s="226" t="s">
        <v>4496</v>
      </c>
      <c r="BI4572" s="191" t="s">
        <v>479</v>
      </c>
      <c r="BJ4572" s="55" t="s">
        <v>176</v>
      </c>
      <c r="BK4572" s="55" t="s">
        <v>6269</v>
      </c>
      <c r="BM4572" s="192" t="s">
        <v>160</v>
      </c>
      <c r="BN4572" s="55">
        <v>4</v>
      </c>
      <c r="BO4572" s="55">
        <v>4</v>
      </c>
      <c r="BQ4572" s="55" t="s">
        <v>2077</v>
      </c>
      <c r="CB4572" s="66">
        <v>3260</v>
      </c>
      <c r="CC4572" s="66">
        <v>2520</v>
      </c>
      <c r="CE4572" s="65">
        <v>520</v>
      </c>
      <c r="CF4572" s="65">
        <v>780</v>
      </c>
      <c r="CM4572" s="65">
        <v>2.0499999999999998</v>
      </c>
      <c r="CN4572" s="65">
        <v>2.27</v>
      </c>
      <c r="CO4572" s="65">
        <v>0.08</v>
      </c>
      <c r="CP4572" s="65">
        <v>0.12</v>
      </c>
      <c r="CQ4572" s="65" t="s">
        <v>2240</v>
      </c>
      <c r="GP4572" s="292" t="s">
        <v>7494</v>
      </c>
    </row>
    <row r="4573" spans="1:281" x14ac:dyDescent="0.25">
      <c r="A4573" s="55">
        <v>4572</v>
      </c>
      <c r="B4573" s="12" t="s">
        <v>7067</v>
      </c>
      <c r="C4573" s="155">
        <v>197</v>
      </c>
      <c r="D4573" s="55" t="s">
        <v>4508</v>
      </c>
      <c r="E4573" s="90" t="s">
        <v>4489</v>
      </c>
      <c r="G4573" s="55" t="s">
        <v>4490</v>
      </c>
      <c r="H4573" s="55">
        <v>2017</v>
      </c>
      <c r="I4573" s="55">
        <v>2012</v>
      </c>
      <c r="J4573" s="55" t="s">
        <v>4491</v>
      </c>
      <c r="K4573" s="55" t="s">
        <v>4493</v>
      </c>
      <c r="L4573" s="55" t="s">
        <v>2737</v>
      </c>
      <c r="M4573" s="90">
        <v>38.950000000000003</v>
      </c>
      <c r="N4573" s="90">
        <v>-92.33</v>
      </c>
      <c r="O4573" s="90">
        <v>227</v>
      </c>
      <c r="R4573" s="55">
        <v>630</v>
      </c>
      <c r="S4573" s="90">
        <v>1100</v>
      </c>
      <c r="U4573" s="55" t="s">
        <v>1688</v>
      </c>
      <c r="V4573" s="55" t="s">
        <v>1688</v>
      </c>
      <c r="Y4573" s="55" t="s">
        <v>4492</v>
      </c>
      <c r="Z4573" s="55" t="s">
        <v>1349</v>
      </c>
      <c r="AA4573" s="90" t="s">
        <v>1677</v>
      </c>
      <c r="AH4573" s="55" t="s">
        <v>6378</v>
      </c>
      <c r="AM4573" s="55" t="s">
        <v>4494</v>
      </c>
      <c r="AN4573" s="185" t="s">
        <v>115</v>
      </c>
      <c r="AO4573" s="185" t="s">
        <v>5150</v>
      </c>
      <c r="AQ4573" s="55" t="s">
        <v>131</v>
      </c>
      <c r="AR4573" s="55" t="s">
        <v>116</v>
      </c>
      <c r="AS4573" s="55" t="s">
        <v>116</v>
      </c>
      <c r="AU4573" s="181" t="s">
        <v>7494</v>
      </c>
      <c r="AV4573" s="185" t="s">
        <v>176</v>
      </c>
      <c r="AX4573" s="185" t="s">
        <v>176</v>
      </c>
      <c r="AZ4573" s="55" t="s">
        <v>216</v>
      </c>
      <c r="BA4573" s="55" t="s">
        <v>216</v>
      </c>
      <c r="BB4573" s="55" t="s">
        <v>2082</v>
      </c>
      <c r="BC4573" s="55" t="s">
        <v>2082</v>
      </c>
      <c r="BD4573" s="55" t="s">
        <v>176</v>
      </c>
      <c r="BE4573" s="226" t="s">
        <v>4497</v>
      </c>
      <c r="BG4573" s="191" t="s">
        <v>176</v>
      </c>
      <c r="BH4573" s="226" t="s">
        <v>4497</v>
      </c>
      <c r="BI4573" s="191" t="s">
        <v>176</v>
      </c>
      <c r="BJ4573" s="55" t="s">
        <v>176</v>
      </c>
      <c r="BK4573" s="55" t="s">
        <v>6269</v>
      </c>
      <c r="BM4573" s="192" t="s">
        <v>160</v>
      </c>
      <c r="BN4573" s="55">
        <v>4</v>
      </c>
      <c r="BO4573" s="55">
        <v>4</v>
      </c>
      <c r="BQ4573" s="55" t="s">
        <v>2077</v>
      </c>
      <c r="CB4573" s="66">
        <v>2410</v>
      </c>
      <c r="CC4573" s="66">
        <v>2350</v>
      </c>
      <c r="CE4573" s="65">
        <v>180</v>
      </c>
      <c r="CF4573" s="65">
        <v>320</v>
      </c>
      <c r="GP4573" s="292" t="s">
        <v>7494</v>
      </c>
    </row>
    <row r="4574" spans="1:281" x14ac:dyDescent="0.25">
      <c r="A4574" s="55">
        <v>4573</v>
      </c>
      <c r="B4574" s="12" t="s">
        <v>7067</v>
      </c>
      <c r="C4574" s="155">
        <v>197</v>
      </c>
      <c r="D4574" s="55" t="s">
        <v>4509</v>
      </c>
      <c r="E4574" s="90" t="s">
        <v>4489</v>
      </c>
      <c r="G4574" s="55" t="s">
        <v>4490</v>
      </c>
      <c r="H4574" s="55">
        <v>2017</v>
      </c>
      <c r="I4574" s="55">
        <v>2012</v>
      </c>
      <c r="J4574" s="55" t="s">
        <v>4491</v>
      </c>
      <c r="K4574" s="55" t="s">
        <v>4493</v>
      </c>
      <c r="L4574" s="55" t="s">
        <v>2737</v>
      </c>
      <c r="M4574" s="90">
        <v>38.950000000000003</v>
      </c>
      <c r="N4574" s="90">
        <v>-92.33</v>
      </c>
      <c r="O4574" s="90">
        <v>227</v>
      </c>
      <c r="R4574" s="55">
        <v>630</v>
      </c>
      <c r="S4574" s="90">
        <v>1100</v>
      </c>
      <c r="U4574" s="55" t="s">
        <v>1688</v>
      </c>
      <c r="V4574" s="55" t="s">
        <v>1688</v>
      </c>
      <c r="Y4574" s="55" t="s">
        <v>4492</v>
      </c>
      <c r="Z4574" s="55" t="s">
        <v>1349</v>
      </c>
      <c r="AA4574" s="90" t="s">
        <v>1677</v>
      </c>
      <c r="AH4574" s="55" t="s">
        <v>6378</v>
      </c>
      <c r="AM4574" s="55" t="s">
        <v>4494</v>
      </c>
      <c r="AN4574" s="185" t="s">
        <v>115</v>
      </c>
      <c r="AO4574" s="185" t="s">
        <v>5150</v>
      </c>
      <c r="AQ4574" s="55" t="s">
        <v>131</v>
      </c>
      <c r="AR4574" s="55" t="s">
        <v>116</v>
      </c>
      <c r="AS4574" s="55" t="s">
        <v>116</v>
      </c>
      <c r="AU4574" s="181" t="s">
        <v>7494</v>
      </c>
      <c r="AV4574" s="185" t="s">
        <v>176</v>
      </c>
      <c r="AX4574" s="185" t="s">
        <v>176</v>
      </c>
      <c r="AZ4574" s="55" t="s">
        <v>216</v>
      </c>
      <c r="BA4574" s="55" t="s">
        <v>216</v>
      </c>
      <c r="BB4574" s="55" t="s">
        <v>2082</v>
      </c>
      <c r="BC4574" s="55" t="s">
        <v>2082</v>
      </c>
      <c r="BD4574" s="55" t="s">
        <v>176</v>
      </c>
      <c r="BE4574" s="226" t="s">
        <v>4498</v>
      </c>
      <c r="BG4574" s="191" t="s">
        <v>479</v>
      </c>
      <c r="BH4574" s="226" t="s">
        <v>4498</v>
      </c>
      <c r="BI4574" s="191" t="s">
        <v>479</v>
      </c>
      <c r="BJ4574" s="55" t="s">
        <v>176</v>
      </c>
      <c r="BK4574" s="55" t="s">
        <v>6269</v>
      </c>
      <c r="BM4574" s="192" t="s">
        <v>160</v>
      </c>
      <c r="BN4574" s="55">
        <v>4</v>
      </c>
      <c r="BO4574" s="55">
        <v>4</v>
      </c>
      <c r="BQ4574" s="55" t="s">
        <v>2077</v>
      </c>
      <c r="CB4574" s="66">
        <v>2750</v>
      </c>
      <c r="CC4574" s="66">
        <v>2740</v>
      </c>
      <c r="CE4574" s="65">
        <v>180</v>
      </c>
      <c r="CF4574" s="65">
        <v>180</v>
      </c>
      <c r="GP4574" s="292" t="s">
        <v>7494</v>
      </c>
    </row>
    <row r="4575" spans="1:281" x14ac:dyDescent="0.25">
      <c r="A4575" s="55">
        <v>4574</v>
      </c>
      <c r="B4575" s="12" t="s">
        <v>7067</v>
      </c>
      <c r="C4575" s="155">
        <v>197</v>
      </c>
      <c r="D4575" s="55" t="s">
        <v>4510</v>
      </c>
      <c r="E4575" s="90" t="s">
        <v>4489</v>
      </c>
      <c r="G4575" s="55" t="s">
        <v>4490</v>
      </c>
      <c r="H4575" s="55">
        <v>2017</v>
      </c>
      <c r="I4575" s="55">
        <v>2012</v>
      </c>
      <c r="J4575" s="55" t="s">
        <v>4491</v>
      </c>
      <c r="K4575" s="55" t="s">
        <v>4493</v>
      </c>
      <c r="L4575" s="55" t="s">
        <v>2737</v>
      </c>
      <c r="M4575" s="90">
        <v>38.950000000000003</v>
      </c>
      <c r="N4575" s="90">
        <v>-92.33</v>
      </c>
      <c r="O4575" s="90">
        <v>227</v>
      </c>
      <c r="R4575" s="55">
        <v>630</v>
      </c>
      <c r="S4575" s="90">
        <v>1100</v>
      </c>
      <c r="U4575" s="55" t="s">
        <v>1688</v>
      </c>
      <c r="V4575" s="55" t="s">
        <v>1688</v>
      </c>
      <c r="Y4575" s="55" t="s">
        <v>4492</v>
      </c>
      <c r="Z4575" s="55" t="s">
        <v>1349</v>
      </c>
      <c r="AA4575" s="90" t="s">
        <v>1677</v>
      </c>
      <c r="AH4575" s="55" t="s">
        <v>6378</v>
      </c>
      <c r="AM4575" s="55" t="s">
        <v>4494</v>
      </c>
      <c r="AN4575" s="185" t="s">
        <v>115</v>
      </c>
      <c r="AO4575" s="185" t="s">
        <v>5150</v>
      </c>
      <c r="AQ4575" s="55" t="s">
        <v>131</v>
      </c>
      <c r="AR4575" s="55" t="s">
        <v>116</v>
      </c>
      <c r="AS4575" s="55" t="s">
        <v>116</v>
      </c>
      <c r="AU4575" s="181" t="s">
        <v>7494</v>
      </c>
      <c r="AV4575" s="185" t="s">
        <v>176</v>
      </c>
      <c r="AX4575" s="185" t="s">
        <v>176</v>
      </c>
      <c r="AZ4575" s="55" t="s">
        <v>216</v>
      </c>
      <c r="BA4575" s="55" t="s">
        <v>216</v>
      </c>
      <c r="BB4575" s="55" t="s">
        <v>2082</v>
      </c>
      <c r="BC4575" s="55" t="s">
        <v>2082</v>
      </c>
      <c r="BD4575" s="55" t="s">
        <v>176</v>
      </c>
      <c r="BE4575" s="226" t="s">
        <v>4495</v>
      </c>
      <c r="BG4575" s="191" t="s">
        <v>479</v>
      </c>
      <c r="BH4575" s="226" t="s">
        <v>4495</v>
      </c>
      <c r="BI4575" s="191" t="s">
        <v>479</v>
      </c>
      <c r="BJ4575" s="55" t="s">
        <v>176</v>
      </c>
      <c r="BK4575" s="55" t="s">
        <v>6269</v>
      </c>
      <c r="BM4575" s="192" t="s">
        <v>160</v>
      </c>
      <c r="BN4575" s="55">
        <v>4</v>
      </c>
      <c r="BO4575" s="55">
        <v>4</v>
      </c>
      <c r="BQ4575" s="55" t="s">
        <v>2077</v>
      </c>
      <c r="CB4575" s="66">
        <v>3120</v>
      </c>
      <c r="CC4575" s="66">
        <v>3140</v>
      </c>
      <c r="CE4575" s="65">
        <v>180</v>
      </c>
      <c r="CF4575" s="65">
        <v>340</v>
      </c>
      <c r="GP4575" s="292" t="s">
        <v>7494</v>
      </c>
    </row>
    <row r="4576" spans="1:281" x14ac:dyDescent="0.25">
      <c r="A4576" s="55">
        <v>4575</v>
      </c>
      <c r="B4576" s="12" t="s">
        <v>7067</v>
      </c>
      <c r="C4576" s="155">
        <v>197</v>
      </c>
      <c r="D4576" s="55" t="s">
        <v>4511</v>
      </c>
      <c r="E4576" s="90" t="s">
        <v>4489</v>
      </c>
      <c r="G4576" s="55" t="s">
        <v>4490</v>
      </c>
      <c r="H4576" s="55">
        <v>2017</v>
      </c>
      <c r="I4576" s="55">
        <v>2012</v>
      </c>
      <c r="J4576" s="55" t="s">
        <v>4491</v>
      </c>
      <c r="K4576" s="55" t="s">
        <v>4493</v>
      </c>
      <c r="L4576" s="55" t="s">
        <v>2737</v>
      </c>
      <c r="M4576" s="90">
        <v>38.950000000000003</v>
      </c>
      <c r="N4576" s="90">
        <v>-92.33</v>
      </c>
      <c r="O4576" s="90">
        <v>227</v>
      </c>
      <c r="R4576" s="55">
        <v>630</v>
      </c>
      <c r="S4576" s="90">
        <v>1100</v>
      </c>
      <c r="U4576" s="55" t="s">
        <v>1688</v>
      </c>
      <c r="V4576" s="55" t="s">
        <v>1688</v>
      </c>
      <c r="Y4576" s="55" t="s">
        <v>4492</v>
      </c>
      <c r="Z4576" s="55" t="s">
        <v>1349</v>
      </c>
      <c r="AA4576" s="90" t="s">
        <v>1677</v>
      </c>
      <c r="AH4576" s="55" t="s">
        <v>6378</v>
      </c>
      <c r="AM4576" s="55" t="s">
        <v>4494</v>
      </c>
      <c r="AN4576" s="185" t="s">
        <v>115</v>
      </c>
      <c r="AO4576" s="185" t="s">
        <v>5150</v>
      </c>
      <c r="AQ4576" s="55" t="s">
        <v>131</v>
      </c>
      <c r="AR4576" s="55" t="s">
        <v>116</v>
      </c>
      <c r="AS4576" s="55" t="s">
        <v>116</v>
      </c>
      <c r="AU4576" s="181" t="s">
        <v>7494</v>
      </c>
      <c r="AV4576" s="185" t="s">
        <v>176</v>
      </c>
      <c r="AX4576" s="185" t="s">
        <v>176</v>
      </c>
      <c r="AZ4576" s="55" t="s">
        <v>216</v>
      </c>
      <c r="BA4576" s="55" t="s">
        <v>216</v>
      </c>
      <c r="BB4576" s="55" t="s">
        <v>2082</v>
      </c>
      <c r="BC4576" s="55" t="s">
        <v>2082</v>
      </c>
      <c r="BD4576" s="55" t="s">
        <v>176</v>
      </c>
      <c r="BE4576" s="226" t="s">
        <v>4496</v>
      </c>
      <c r="BG4576" s="191" t="s">
        <v>479</v>
      </c>
      <c r="BH4576" s="226" t="s">
        <v>4496</v>
      </c>
      <c r="BI4576" s="191" t="s">
        <v>479</v>
      </c>
      <c r="BJ4576" s="55" t="s">
        <v>176</v>
      </c>
      <c r="BK4576" s="55" t="s">
        <v>6269</v>
      </c>
      <c r="BM4576" s="192" t="s">
        <v>160</v>
      </c>
      <c r="BN4576" s="55">
        <v>4</v>
      </c>
      <c r="BO4576" s="55">
        <v>4</v>
      </c>
      <c r="BQ4576" s="55" t="s">
        <v>2077</v>
      </c>
      <c r="CB4576" s="66">
        <v>3610</v>
      </c>
      <c r="CC4576" s="66">
        <v>3270</v>
      </c>
      <c r="CE4576" s="65">
        <v>240</v>
      </c>
      <c r="CF4576" s="65">
        <v>80</v>
      </c>
      <c r="GP4576" s="292" t="s">
        <v>7494</v>
      </c>
    </row>
    <row r="4577" spans="1:198" x14ac:dyDescent="0.25">
      <c r="A4577" s="55">
        <v>4576</v>
      </c>
      <c r="B4577" s="12" t="s">
        <v>7067</v>
      </c>
      <c r="C4577" s="155">
        <v>197</v>
      </c>
      <c r="D4577" s="55" t="s">
        <v>4500</v>
      </c>
      <c r="E4577" s="90" t="s">
        <v>4489</v>
      </c>
      <c r="G4577" s="55" t="s">
        <v>4490</v>
      </c>
      <c r="H4577" s="55">
        <v>2017</v>
      </c>
      <c r="I4577" s="55">
        <v>2013</v>
      </c>
      <c r="J4577" s="55" t="s">
        <v>4491</v>
      </c>
      <c r="K4577" s="55" t="s">
        <v>4493</v>
      </c>
      <c r="L4577" s="55" t="s">
        <v>2737</v>
      </c>
      <c r="M4577" s="90">
        <v>38.950000000000003</v>
      </c>
      <c r="N4577" s="90">
        <v>-92.33</v>
      </c>
      <c r="O4577" s="90">
        <v>227</v>
      </c>
      <c r="R4577" s="55">
        <v>950</v>
      </c>
      <c r="S4577" s="90">
        <v>1100</v>
      </c>
      <c r="U4577" s="55" t="s">
        <v>1935</v>
      </c>
      <c r="V4577" s="55" t="s">
        <v>1688</v>
      </c>
      <c r="Y4577" s="55" t="s">
        <v>4492</v>
      </c>
      <c r="Z4577" s="55" t="s">
        <v>1349</v>
      </c>
      <c r="AA4577" s="90" t="s">
        <v>1677</v>
      </c>
      <c r="AH4577" s="55" t="s">
        <v>6378</v>
      </c>
      <c r="AM4577" s="55" t="s">
        <v>4494</v>
      </c>
      <c r="AN4577" s="185" t="s">
        <v>115</v>
      </c>
      <c r="AO4577" s="185" t="s">
        <v>5150</v>
      </c>
      <c r="AQ4577" s="55" t="s">
        <v>131</v>
      </c>
      <c r="AR4577" s="55" t="s">
        <v>132</v>
      </c>
      <c r="AS4577" s="55" t="s">
        <v>132</v>
      </c>
      <c r="AU4577" s="181" t="s">
        <v>7494</v>
      </c>
      <c r="AV4577" s="185" t="s">
        <v>176</v>
      </c>
      <c r="AX4577" s="185" t="s">
        <v>176</v>
      </c>
      <c r="AZ4577" s="55" t="s">
        <v>216</v>
      </c>
      <c r="BA4577" s="55" t="s">
        <v>216</v>
      </c>
      <c r="BB4577" s="55" t="s">
        <v>2082</v>
      </c>
      <c r="BC4577" s="55" t="s">
        <v>2082</v>
      </c>
      <c r="BD4577" s="55" t="s">
        <v>176</v>
      </c>
      <c r="BE4577" s="226" t="s">
        <v>4497</v>
      </c>
      <c r="BG4577" s="191" t="s">
        <v>176</v>
      </c>
      <c r="BH4577" s="226" t="s">
        <v>4497</v>
      </c>
      <c r="BI4577" s="191" t="s">
        <v>176</v>
      </c>
      <c r="BJ4577" s="55" t="s">
        <v>176</v>
      </c>
      <c r="BK4577" s="55" t="s">
        <v>6269</v>
      </c>
      <c r="BM4577" s="192" t="s">
        <v>160</v>
      </c>
      <c r="BN4577" s="55">
        <v>4</v>
      </c>
      <c r="BO4577" s="55">
        <v>4</v>
      </c>
      <c r="BQ4577" s="55" t="s">
        <v>2077</v>
      </c>
      <c r="CB4577" s="66">
        <v>2980</v>
      </c>
      <c r="CC4577" s="66">
        <v>4110</v>
      </c>
      <c r="CE4577" s="65">
        <v>880</v>
      </c>
      <c r="CF4577" s="65">
        <v>560</v>
      </c>
      <c r="CM4577" s="65">
        <v>2.59</v>
      </c>
      <c r="CN4577" s="65">
        <v>2.71</v>
      </c>
      <c r="CO4577" s="65">
        <v>0.22</v>
      </c>
      <c r="CP4577" s="65">
        <v>0.56000000000000005</v>
      </c>
      <c r="CQ4577" s="65" t="s">
        <v>2240</v>
      </c>
      <c r="GP4577" s="292" t="s">
        <v>7494</v>
      </c>
    </row>
    <row r="4578" spans="1:198" x14ac:dyDescent="0.25">
      <c r="A4578" s="55">
        <v>4577</v>
      </c>
      <c r="B4578" s="12" t="s">
        <v>7067</v>
      </c>
      <c r="C4578" s="155">
        <v>197</v>
      </c>
      <c r="D4578" s="55" t="s">
        <v>4501</v>
      </c>
      <c r="E4578" s="90" t="s">
        <v>4489</v>
      </c>
      <c r="G4578" s="55" t="s">
        <v>4490</v>
      </c>
      <c r="H4578" s="55">
        <v>2017</v>
      </c>
      <c r="I4578" s="55">
        <v>2013</v>
      </c>
      <c r="J4578" s="55" t="s">
        <v>4491</v>
      </c>
      <c r="K4578" s="55" t="s">
        <v>4493</v>
      </c>
      <c r="L4578" s="55" t="s">
        <v>2737</v>
      </c>
      <c r="M4578" s="90">
        <v>38.950000000000003</v>
      </c>
      <c r="N4578" s="90">
        <v>-92.33</v>
      </c>
      <c r="O4578" s="90">
        <v>227</v>
      </c>
      <c r="R4578" s="55">
        <v>950</v>
      </c>
      <c r="S4578" s="90">
        <v>1100</v>
      </c>
      <c r="U4578" s="55" t="s">
        <v>1935</v>
      </c>
      <c r="V4578" s="55" t="s">
        <v>1688</v>
      </c>
      <c r="Y4578" s="55" t="s">
        <v>4492</v>
      </c>
      <c r="Z4578" s="55" t="s">
        <v>1349</v>
      </c>
      <c r="AA4578" s="90" t="s">
        <v>1677</v>
      </c>
      <c r="AH4578" s="55" t="s">
        <v>6378</v>
      </c>
      <c r="AM4578" s="55" t="s">
        <v>4494</v>
      </c>
      <c r="AN4578" s="185" t="s">
        <v>115</v>
      </c>
      <c r="AO4578" s="185" t="s">
        <v>5150</v>
      </c>
      <c r="AQ4578" s="55" t="s">
        <v>131</v>
      </c>
      <c r="AR4578" s="55" t="s">
        <v>132</v>
      </c>
      <c r="AS4578" s="55" t="s">
        <v>132</v>
      </c>
      <c r="AU4578" s="181" t="s">
        <v>7494</v>
      </c>
      <c r="AV4578" s="185" t="s">
        <v>176</v>
      </c>
      <c r="AX4578" s="185" t="s">
        <v>176</v>
      </c>
      <c r="AZ4578" s="55" t="s">
        <v>216</v>
      </c>
      <c r="BA4578" s="55" t="s">
        <v>216</v>
      </c>
      <c r="BB4578" s="55" t="s">
        <v>2082</v>
      </c>
      <c r="BC4578" s="55" t="s">
        <v>2082</v>
      </c>
      <c r="BD4578" s="55" t="s">
        <v>176</v>
      </c>
      <c r="BE4578" s="226" t="s">
        <v>4498</v>
      </c>
      <c r="BG4578" s="191" t="s">
        <v>479</v>
      </c>
      <c r="BH4578" s="226" t="s">
        <v>4498</v>
      </c>
      <c r="BI4578" s="191" t="s">
        <v>479</v>
      </c>
      <c r="BJ4578" s="55" t="s">
        <v>176</v>
      </c>
      <c r="BK4578" s="55" t="s">
        <v>6269</v>
      </c>
      <c r="BM4578" s="192" t="s">
        <v>160</v>
      </c>
      <c r="BN4578" s="55">
        <v>4</v>
      </c>
      <c r="BO4578" s="55">
        <v>4</v>
      </c>
      <c r="BQ4578" s="55" t="s">
        <v>2077</v>
      </c>
      <c r="CB4578" s="66">
        <v>4610</v>
      </c>
      <c r="CC4578" s="66">
        <v>3860</v>
      </c>
      <c r="CE4578" s="65">
        <v>1040</v>
      </c>
      <c r="CF4578" s="65">
        <v>720</v>
      </c>
      <c r="CM4578" s="65">
        <v>2.73</v>
      </c>
      <c r="CN4578" s="65">
        <v>2.48</v>
      </c>
      <c r="CO4578" s="65">
        <v>0.26</v>
      </c>
      <c r="CP4578" s="65">
        <v>0.14000000000000001</v>
      </c>
      <c r="CQ4578" s="65" t="s">
        <v>2240</v>
      </c>
      <c r="GP4578" s="292" t="s">
        <v>7494</v>
      </c>
    </row>
    <row r="4579" spans="1:198" x14ac:dyDescent="0.25">
      <c r="A4579" s="55">
        <v>4578</v>
      </c>
      <c r="B4579" s="12" t="s">
        <v>7067</v>
      </c>
      <c r="C4579" s="155">
        <v>197</v>
      </c>
      <c r="D4579" s="55" t="s">
        <v>4502</v>
      </c>
      <c r="E4579" s="90" t="s">
        <v>4489</v>
      </c>
      <c r="G4579" s="55" t="s">
        <v>4490</v>
      </c>
      <c r="H4579" s="55">
        <v>2017</v>
      </c>
      <c r="I4579" s="55">
        <v>2013</v>
      </c>
      <c r="J4579" s="55" t="s">
        <v>4491</v>
      </c>
      <c r="K4579" s="55" t="s">
        <v>4493</v>
      </c>
      <c r="L4579" s="55" t="s">
        <v>2737</v>
      </c>
      <c r="M4579" s="90">
        <v>38.950000000000003</v>
      </c>
      <c r="N4579" s="90">
        <v>-92.33</v>
      </c>
      <c r="O4579" s="90">
        <v>227</v>
      </c>
      <c r="R4579" s="55">
        <v>950</v>
      </c>
      <c r="S4579" s="90">
        <v>1100</v>
      </c>
      <c r="U4579" s="55" t="s">
        <v>1935</v>
      </c>
      <c r="V4579" s="55" t="s">
        <v>1688</v>
      </c>
      <c r="Y4579" s="55" t="s">
        <v>4492</v>
      </c>
      <c r="Z4579" s="55" t="s">
        <v>1349</v>
      </c>
      <c r="AA4579" s="90" t="s">
        <v>1677</v>
      </c>
      <c r="AH4579" s="55" t="s">
        <v>6378</v>
      </c>
      <c r="AM4579" s="55" t="s">
        <v>4494</v>
      </c>
      <c r="AN4579" s="185" t="s">
        <v>115</v>
      </c>
      <c r="AO4579" s="185" t="s">
        <v>5150</v>
      </c>
      <c r="AQ4579" s="55" t="s">
        <v>131</v>
      </c>
      <c r="AR4579" s="55" t="s">
        <v>132</v>
      </c>
      <c r="AS4579" s="55" t="s">
        <v>132</v>
      </c>
      <c r="AU4579" s="181" t="s">
        <v>7494</v>
      </c>
      <c r="AV4579" s="185" t="s">
        <v>176</v>
      </c>
      <c r="AX4579" s="185" t="s">
        <v>176</v>
      </c>
      <c r="AZ4579" s="55" t="s">
        <v>216</v>
      </c>
      <c r="BA4579" s="55" t="s">
        <v>216</v>
      </c>
      <c r="BB4579" s="55" t="s">
        <v>2082</v>
      </c>
      <c r="BC4579" s="55" t="s">
        <v>2082</v>
      </c>
      <c r="BD4579" s="55" t="s">
        <v>176</v>
      </c>
      <c r="BE4579" s="226" t="s">
        <v>4495</v>
      </c>
      <c r="BG4579" s="191" t="s">
        <v>479</v>
      </c>
      <c r="BH4579" s="226" t="s">
        <v>4495</v>
      </c>
      <c r="BI4579" s="191" t="s">
        <v>479</v>
      </c>
      <c r="BJ4579" s="55" t="s">
        <v>176</v>
      </c>
      <c r="BK4579" s="55" t="s">
        <v>6269</v>
      </c>
      <c r="BM4579" s="192" t="s">
        <v>160</v>
      </c>
      <c r="BN4579" s="55">
        <v>4</v>
      </c>
      <c r="BO4579" s="55">
        <v>4</v>
      </c>
      <c r="BQ4579" s="55" t="s">
        <v>2077</v>
      </c>
      <c r="CB4579" s="66">
        <v>5050</v>
      </c>
      <c r="CC4579" s="66">
        <v>5220</v>
      </c>
      <c r="CE4579" s="65">
        <v>760</v>
      </c>
      <c r="CF4579" s="65">
        <v>760</v>
      </c>
      <c r="CM4579" s="65">
        <v>2.74</v>
      </c>
      <c r="CN4579" s="65">
        <v>2.79</v>
      </c>
      <c r="CO4579" s="65">
        <v>0.16</v>
      </c>
      <c r="CP4579" s="65">
        <v>0.44</v>
      </c>
      <c r="CQ4579" s="65" t="s">
        <v>2240</v>
      </c>
      <c r="GP4579" s="292" t="s">
        <v>7494</v>
      </c>
    </row>
    <row r="4580" spans="1:198" x14ac:dyDescent="0.25">
      <c r="A4580" s="55">
        <v>4579</v>
      </c>
      <c r="B4580" s="12" t="s">
        <v>7067</v>
      </c>
      <c r="C4580" s="155">
        <v>197</v>
      </c>
      <c r="D4580" s="55" t="s">
        <v>4503</v>
      </c>
      <c r="E4580" s="90" t="s">
        <v>4489</v>
      </c>
      <c r="G4580" s="55" t="s">
        <v>4490</v>
      </c>
      <c r="H4580" s="55">
        <v>2017</v>
      </c>
      <c r="I4580" s="55">
        <v>2013</v>
      </c>
      <c r="J4580" s="55" t="s">
        <v>4491</v>
      </c>
      <c r="K4580" s="55" t="s">
        <v>4493</v>
      </c>
      <c r="L4580" s="55" t="s">
        <v>2737</v>
      </c>
      <c r="M4580" s="90">
        <v>38.950000000000003</v>
      </c>
      <c r="N4580" s="90">
        <v>-92.33</v>
      </c>
      <c r="O4580" s="90">
        <v>227</v>
      </c>
      <c r="R4580" s="55">
        <v>950</v>
      </c>
      <c r="S4580" s="90">
        <v>1100</v>
      </c>
      <c r="U4580" s="55" t="s">
        <v>1935</v>
      </c>
      <c r="V4580" s="55" t="s">
        <v>1688</v>
      </c>
      <c r="Y4580" s="55" t="s">
        <v>4492</v>
      </c>
      <c r="Z4580" s="55" t="s">
        <v>1349</v>
      </c>
      <c r="AA4580" s="90" t="s">
        <v>1677</v>
      </c>
      <c r="AH4580" s="55" t="s">
        <v>6378</v>
      </c>
      <c r="AM4580" s="55" t="s">
        <v>4494</v>
      </c>
      <c r="AN4580" s="185" t="s">
        <v>115</v>
      </c>
      <c r="AO4580" s="185" t="s">
        <v>5150</v>
      </c>
      <c r="AQ4580" s="55" t="s">
        <v>131</v>
      </c>
      <c r="AR4580" s="55" t="s">
        <v>132</v>
      </c>
      <c r="AS4580" s="55" t="s">
        <v>132</v>
      </c>
      <c r="AU4580" s="181" t="s">
        <v>7494</v>
      </c>
      <c r="AV4580" s="185" t="s">
        <v>176</v>
      </c>
      <c r="AX4580" s="185" t="s">
        <v>176</v>
      </c>
      <c r="AZ4580" s="55" t="s">
        <v>216</v>
      </c>
      <c r="BA4580" s="55" t="s">
        <v>216</v>
      </c>
      <c r="BB4580" s="55" t="s">
        <v>2082</v>
      </c>
      <c r="BC4580" s="55" t="s">
        <v>2082</v>
      </c>
      <c r="BD4580" s="55" t="s">
        <v>176</v>
      </c>
      <c r="BE4580" s="226" t="s">
        <v>4496</v>
      </c>
      <c r="BG4580" s="191" t="s">
        <v>479</v>
      </c>
      <c r="BH4580" s="226" t="s">
        <v>4496</v>
      </c>
      <c r="BI4580" s="191" t="s">
        <v>479</v>
      </c>
      <c r="BJ4580" s="55" t="s">
        <v>176</v>
      </c>
      <c r="BK4580" s="55" t="s">
        <v>6269</v>
      </c>
      <c r="BM4580" s="192" t="s">
        <v>160</v>
      </c>
      <c r="BN4580" s="55">
        <v>4</v>
      </c>
      <c r="BO4580" s="55">
        <v>4</v>
      </c>
      <c r="BQ4580" s="55" t="s">
        <v>2077</v>
      </c>
      <c r="CB4580" s="66">
        <v>6920</v>
      </c>
      <c r="CC4580" s="66">
        <v>6370</v>
      </c>
      <c r="CE4580" s="65">
        <v>1820</v>
      </c>
      <c r="CF4580" s="65">
        <v>880</v>
      </c>
      <c r="CM4580" s="65">
        <v>2.76</v>
      </c>
      <c r="CN4580" s="65">
        <v>2.79</v>
      </c>
      <c r="CO4580" s="65">
        <v>0.14000000000000001</v>
      </c>
      <c r="CP4580" s="65">
        <v>0.08</v>
      </c>
      <c r="CQ4580" s="65" t="s">
        <v>2240</v>
      </c>
      <c r="GP4580" s="292" t="s">
        <v>7494</v>
      </c>
    </row>
    <row r="4581" spans="1:198" x14ac:dyDescent="0.25">
      <c r="A4581" s="55">
        <v>4580</v>
      </c>
      <c r="B4581" s="12" t="s">
        <v>7067</v>
      </c>
      <c r="C4581" s="155">
        <v>197</v>
      </c>
      <c r="D4581" s="55" t="s">
        <v>4504</v>
      </c>
      <c r="E4581" s="90" t="s">
        <v>4489</v>
      </c>
      <c r="G4581" s="55" t="s">
        <v>4490</v>
      </c>
      <c r="H4581" s="55">
        <v>2017</v>
      </c>
      <c r="I4581" s="55">
        <v>2013</v>
      </c>
      <c r="J4581" s="55" t="s">
        <v>4491</v>
      </c>
      <c r="K4581" s="55" t="s">
        <v>4493</v>
      </c>
      <c r="L4581" s="55" t="s">
        <v>2737</v>
      </c>
      <c r="M4581" s="90">
        <v>38.950000000000003</v>
      </c>
      <c r="N4581" s="90">
        <v>-92.33</v>
      </c>
      <c r="O4581" s="90">
        <v>227</v>
      </c>
      <c r="R4581" s="55">
        <v>950</v>
      </c>
      <c r="S4581" s="90">
        <v>1100</v>
      </c>
      <c r="U4581" s="55" t="s">
        <v>1805</v>
      </c>
      <c r="V4581" s="55" t="s">
        <v>1688</v>
      </c>
      <c r="Y4581" s="55" t="s">
        <v>4492</v>
      </c>
      <c r="Z4581" s="55" t="s">
        <v>1349</v>
      </c>
      <c r="AA4581" s="90" t="s">
        <v>1677</v>
      </c>
      <c r="AH4581" s="55" t="s">
        <v>6378</v>
      </c>
      <c r="AM4581" s="55" t="s">
        <v>4494</v>
      </c>
      <c r="AN4581" s="185" t="s">
        <v>115</v>
      </c>
      <c r="AO4581" s="185" t="s">
        <v>5150</v>
      </c>
      <c r="AQ4581" s="55" t="s">
        <v>131</v>
      </c>
      <c r="AR4581" s="55" t="s">
        <v>158</v>
      </c>
      <c r="AS4581" s="55" t="s">
        <v>158</v>
      </c>
      <c r="AU4581" s="181" t="s">
        <v>7494</v>
      </c>
      <c r="AV4581" s="185" t="s">
        <v>176</v>
      </c>
      <c r="AX4581" s="185" t="s">
        <v>176</v>
      </c>
      <c r="AZ4581" s="55" t="s">
        <v>216</v>
      </c>
      <c r="BA4581" s="55" t="s">
        <v>216</v>
      </c>
      <c r="BB4581" s="55" t="s">
        <v>2082</v>
      </c>
      <c r="BC4581" s="55" t="s">
        <v>2082</v>
      </c>
      <c r="BD4581" s="55" t="s">
        <v>176</v>
      </c>
      <c r="BE4581" s="226" t="s">
        <v>4497</v>
      </c>
      <c r="BG4581" s="191" t="s">
        <v>176</v>
      </c>
      <c r="BH4581" s="226" t="s">
        <v>4497</v>
      </c>
      <c r="BI4581" s="191" t="s">
        <v>176</v>
      </c>
      <c r="BJ4581" s="55" t="s">
        <v>176</v>
      </c>
      <c r="BK4581" s="55" t="s">
        <v>6269</v>
      </c>
      <c r="BM4581" s="192" t="s">
        <v>160</v>
      </c>
      <c r="BN4581" s="55">
        <v>4</v>
      </c>
      <c r="BO4581" s="55">
        <v>4</v>
      </c>
      <c r="BQ4581" s="55" t="s">
        <v>2077</v>
      </c>
      <c r="CB4581" s="66">
        <v>2370</v>
      </c>
      <c r="CC4581" s="66">
        <v>2130</v>
      </c>
      <c r="CE4581" s="65">
        <v>340</v>
      </c>
      <c r="CF4581" s="65">
        <v>360</v>
      </c>
      <c r="CM4581" s="65">
        <v>2.34</v>
      </c>
      <c r="CN4581" s="65">
        <v>2.52</v>
      </c>
      <c r="CO4581" s="65">
        <v>0.08</v>
      </c>
      <c r="CP4581" s="65">
        <v>0.14000000000000001</v>
      </c>
      <c r="CQ4581" s="65" t="s">
        <v>2240</v>
      </c>
      <c r="GP4581" s="292" t="s">
        <v>7494</v>
      </c>
    </row>
    <row r="4582" spans="1:198" x14ac:dyDescent="0.25">
      <c r="A4582" s="55">
        <v>4581</v>
      </c>
      <c r="B4582" s="12" t="s">
        <v>7067</v>
      </c>
      <c r="C4582" s="155">
        <v>197</v>
      </c>
      <c r="D4582" s="55" t="s">
        <v>4505</v>
      </c>
      <c r="E4582" s="90" t="s">
        <v>4489</v>
      </c>
      <c r="G4582" s="55" t="s">
        <v>4490</v>
      </c>
      <c r="H4582" s="55">
        <v>2017</v>
      </c>
      <c r="I4582" s="55">
        <v>2013</v>
      </c>
      <c r="J4582" s="55" t="s">
        <v>4491</v>
      </c>
      <c r="K4582" s="55" t="s">
        <v>4493</v>
      </c>
      <c r="L4582" s="55" t="s">
        <v>2737</v>
      </c>
      <c r="M4582" s="90">
        <v>38.950000000000003</v>
      </c>
      <c r="N4582" s="90">
        <v>-92.33</v>
      </c>
      <c r="O4582" s="90">
        <v>227</v>
      </c>
      <c r="R4582" s="55">
        <v>950</v>
      </c>
      <c r="S4582" s="90">
        <v>1100</v>
      </c>
      <c r="U4582" s="55" t="s">
        <v>1805</v>
      </c>
      <c r="V4582" s="55" t="s">
        <v>1688</v>
      </c>
      <c r="Y4582" s="55" t="s">
        <v>4492</v>
      </c>
      <c r="Z4582" s="55" t="s">
        <v>1349</v>
      </c>
      <c r="AA4582" s="90" t="s">
        <v>1677</v>
      </c>
      <c r="AH4582" s="55" t="s">
        <v>6378</v>
      </c>
      <c r="AM4582" s="55" t="s">
        <v>4494</v>
      </c>
      <c r="AN4582" s="185" t="s">
        <v>115</v>
      </c>
      <c r="AO4582" s="185" t="s">
        <v>5150</v>
      </c>
      <c r="AQ4582" s="55" t="s">
        <v>131</v>
      </c>
      <c r="AR4582" s="55" t="s">
        <v>158</v>
      </c>
      <c r="AS4582" s="55" t="s">
        <v>158</v>
      </c>
      <c r="AU4582" s="181" t="s">
        <v>7494</v>
      </c>
      <c r="AV4582" s="185" t="s">
        <v>176</v>
      </c>
      <c r="AX4582" s="185" t="s">
        <v>176</v>
      </c>
      <c r="AZ4582" s="55" t="s">
        <v>216</v>
      </c>
      <c r="BA4582" s="55" t="s">
        <v>216</v>
      </c>
      <c r="BB4582" s="55" t="s">
        <v>2082</v>
      </c>
      <c r="BC4582" s="55" t="s">
        <v>2082</v>
      </c>
      <c r="BD4582" s="55" t="s">
        <v>176</v>
      </c>
      <c r="BE4582" s="226" t="s">
        <v>4498</v>
      </c>
      <c r="BG4582" s="191" t="s">
        <v>479</v>
      </c>
      <c r="BH4582" s="226" t="s">
        <v>4498</v>
      </c>
      <c r="BI4582" s="191" t="s">
        <v>479</v>
      </c>
      <c r="BJ4582" s="55" t="s">
        <v>176</v>
      </c>
      <c r="BK4582" s="55" t="s">
        <v>6269</v>
      </c>
      <c r="BM4582" s="192" t="s">
        <v>160</v>
      </c>
      <c r="BN4582" s="55">
        <v>4</v>
      </c>
      <c r="BO4582" s="55">
        <v>4</v>
      </c>
      <c r="BQ4582" s="55" t="s">
        <v>2077</v>
      </c>
      <c r="CB4582" s="66">
        <v>1990</v>
      </c>
      <c r="CC4582" s="66">
        <v>1880</v>
      </c>
      <c r="CE4582" s="65">
        <v>260</v>
      </c>
      <c r="CF4582" s="65">
        <v>340</v>
      </c>
      <c r="CM4582" s="65">
        <v>2.4300000000000002</v>
      </c>
      <c r="CN4582" s="65">
        <v>2.74</v>
      </c>
      <c r="CO4582" s="65">
        <v>0.12</v>
      </c>
      <c r="CP4582" s="65">
        <v>0.24</v>
      </c>
      <c r="CQ4582" s="65" t="s">
        <v>2240</v>
      </c>
      <c r="GP4582" s="292" t="s">
        <v>7494</v>
      </c>
    </row>
    <row r="4583" spans="1:198" x14ac:dyDescent="0.25">
      <c r="A4583" s="55">
        <v>4582</v>
      </c>
      <c r="B4583" s="12" t="s">
        <v>7067</v>
      </c>
      <c r="C4583" s="155">
        <v>197</v>
      </c>
      <c r="D4583" s="55" t="s">
        <v>4506</v>
      </c>
      <c r="E4583" s="90" t="s">
        <v>4489</v>
      </c>
      <c r="G4583" s="55" t="s">
        <v>4490</v>
      </c>
      <c r="H4583" s="55">
        <v>2017</v>
      </c>
      <c r="I4583" s="55">
        <v>2013</v>
      </c>
      <c r="J4583" s="55" t="s">
        <v>4491</v>
      </c>
      <c r="K4583" s="55" t="s">
        <v>4493</v>
      </c>
      <c r="L4583" s="55" t="s">
        <v>2737</v>
      </c>
      <c r="M4583" s="90">
        <v>38.950000000000003</v>
      </c>
      <c r="N4583" s="90">
        <v>-92.33</v>
      </c>
      <c r="O4583" s="90">
        <v>227</v>
      </c>
      <c r="R4583" s="55">
        <v>950</v>
      </c>
      <c r="S4583" s="90">
        <v>1100</v>
      </c>
      <c r="U4583" s="55" t="s">
        <v>1805</v>
      </c>
      <c r="V4583" s="55" t="s">
        <v>1688</v>
      </c>
      <c r="Y4583" s="55" t="s">
        <v>4492</v>
      </c>
      <c r="Z4583" s="55" t="s">
        <v>1349</v>
      </c>
      <c r="AA4583" s="90" t="s">
        <v>1677</v>
      </c>
      <c r="AH4583" s="55" t="s">
        <v>6378</v>
      </c>
      <c r="AM4583" s="55" t="s">
        <v>4494</v>
      </c>
      <c r="AN4583" s="185" t="s">
        <v>115</v>
      </c>
      <c r="AO4583" s="185" t="s">
        <v>5150</v>
      </c>
      <c r="AQ4583" s="55" t="s">
        <v>131</v>
      </c>
      <c r="AR4583" s="55" t="s">
        <v>158</v>
      </c>
      <c r="AS4583" s="55" t="s">
        <v>158</v>
      </c>
      <c r="AU4583" s="181" t="s">
        <v>7494</v>
      </c>
      <c r="AV4583" s="185" t="s">
        <v>176</v>
      </c>
      <c r="AX4583" s="185" t="s">
        <v>176</v>
      </c>
      <c r="AZ4583" s="55" t="s">
        <v>216</v>
      </c>
      <c r="BA4583" s="55" t="s">
        <v>216</v>
      </c>
      <c r="BB4583" s="55" t="s">
        <v>2082</v>
      </c>
      <c r="BC4583" s="55" t="s">
        <v>2082</v>
      </c>
      <c r="BD4583" s="55" t="s">
        <v>176</v>
      </c>
      <c r="BE4583" s="226" t="s">
        <v>4495</v>
      </c>
      <c r="BG4583" s="191" t="s">
        <v>479</v>
      </c>
      <c r="BH4583" s="226" t="s">
        <v>4495</v>
      </c>
      <c r="BI4583" s="191" t="s">
        <v>479</v>
      </c>
      <c r="BJ4583" s="55" t="s">
        <v>176</v>
      </c>
      <c r="BK4583" s="55" t="s">
        <v>6269</v>
      </c>
      <c r="BM4583" s="192" t="s">
        <v>160</v>
      </c>
      <c r="BN4583" s="55">
        <v>4</v>
      </c>
      <c r="BO4583" s="55">
        <v>4</v>
      </c>
      <c r="BQ4583" s="55" t="s">
        <v>2077</v>
      </c>
      <c r="CB4583" s="66">
        <v>2350</v>
      </c>
      <c r="CC4583" s="66">
        <v>1930</v>
      </c>
      <c r="CE4583" s="65">
        <v>460</v>
      </c>
      <c r="CF4583" s="65">
        <v>220</v>
      </c>
      <c r="CM4583" s="65">
        <v>2.72</v>
      </c>
      <c r="CN4583" s="65">
        <v>2.4900000000000002</v>
      </c>
      <c r="CO4583" s="65">
        <v>0.18</v>
      </c>
      <c r="CP4583" s="65">
        <v>0.14000000000000001</v>
      </c>
      <c r="CQ4583" s="65" t="s">
        <v>2240</v>
      </c>
      <c r="GP4583" s="292" t="s">
        <v>7494</v>
      </c>
    </row>
    <row r="4584" spans="1:198" x14ac:dyDescent="0.25">
      <c r="A4584" s="55">
        <v>4583</v>
      </c>
      <c r="B4584" s="12" t="s">
        <v>7067</v>
      </c>
      <c r="C4584" s="155">
        <v>197</v>
      </c>
      <c r="D4584" s="55" t="s">
        <v>4507</v>
      </c>
      <c r="E4584" s="90" t="s">
        <v>4489</v>
      </c>
      <c r="G4584" s="55" t="s">
        <v>4490</v>
      </c>
      <c r="H4584" s="55">
        <v>2017</v>
      </c>
      <c r="I4584" s="55">
        <v>2013</v>
      </c>
      <c r="J4584" s="55" t="s">
        <v>4491</v>
      </c>
      <c r="K4584" s="55" t="s">
        <v>4493</v>
      </c>
      <c r="L4584" s="55" t="s">
        <v>2737</v>
      </c>
      <c r="M4584" s="90">
        <v>38.950000000000003</v>
      </c>
      <c r="N4584" s="90">
        <v>-92.33</v>
      </c>
      <c r="O4584" s="90">
        <v>227</v>
      </c>
      <c r="R4584" s="55">
        <v>950</v>
      </c>
      <c r="S4584" s="90">
        <v>1100</v>
      </c>
      <c r="U4584" s="55" t="s">
        <v>1805</v>
      </c>
      <c r="V4584" s="55" t="s">
        <v>1688</v>
      </c>
      <c r="Y4584" s="55" t="s">
        <v>4492</v>
      </c>
      <c r="Z4584" s="55" t="s">
        <v>1349</v>
      </c>
      <c r="AA4584" s="90" t="s">
        <v>1677</v>
      </c>
      <c r="AH4584" s="55" t="s">
        <v>6378</v>
      </c>
      <c r="AM4584" s="55" t="s">
        <v>4494</v>
      </c>
      <c r="AN4584" s="185" t="s">
        <v>115</v>
      </c>
      <c r="AO4584" s="185" t="s">
        <v>5150</v>
      </c>
      <c r="AQ4584" s="55" t="s">
        <v>131</v>
      </c>
      <c r="AR4584" s="55" t="s">
        <v>158</v>
      </c>
      <c r="AS4584" s="55" t="s">
        <v>158</v>
      </c>
      <c r="AU4584" s="181" t="s">
        <v>7494</v>
      </c>
      <c r="AV4584" s="185" t="s">
        <v>176</v>
      </c>
      <c r="AX4584" s="185" t="s">
        <v>176</v>
      </c>
      <c r="AZ4584" s="55" t="s">
        <v>216</v>
      </c>
      <c r="BA4584" s="55" t="s">
        <v>216</v>
      </c>
      <c r="BB4584" s="55" t="s">
        <v>2082</v>
      </c>
      <c r="BC4584" s="55" t="s">
        <v>2082</v>
      </c>
      <c r="BD4584" s="55" t="s">
        <v>176</v>
      </c>
      <c r="BE4584" s="226" t="s">
        <v>4496</v>
      </c>
      <c r="BG4584" s="191" t="s">
        <v>479</v>
      </c>
      <c r="BH4584" s="226" t="s">
        <v>4496</v>
      </c>
      <c r="BI4584" s="191" t="s">
        <v>479</v>
      </c>
      <c r="BJ4584" s="55" t="s">
        <v>176</v>
      </c>
      <c r="BK4584" s="55" t="s">
        <v>6269</v>
      </c>
      <c r="BM4584" s="192" t="s">
        <v>160</v>
      </c>
      <c r="BN4584" s="55">
        <v>4</v>
      </c>
      <c r="BO4584" s="55">
        <v>4</v>
      </c>
      <c r="BQ4584" s="55" t="s">
        <v>2077</v>
      </c>
      <c r="CB4584" s="66">
        <v>2260</v>
      </c>
      <c r="CC4584" s="66">
        <v>2260</v>
      </c>
      <c r="CE4584" s="65">
        <v>360</v>
      </c>
      <c r="CF4584" s="65">
        <v>520</v>
      </c>
      <c r="CM4584" s="65">
        <v>2.41</v>
      </c>
      <c r="CN4584" s="65">
        <v>2.81</v>
      </c>
      <c r="CO4584" s="65">
        <v>0.12</v>
      </c>
      <c r="CP4584" s="65">
        <v>0.24</v>
      </c>
      <c r="CQ4584" s="65" t="s">
        <v>2240</v>
      </c>
      <c r="GP4584" s="292" t="s">
        <v>7494</v>
      </c>
    </row>
    <row r="4585" spans="1:198" x14ac:dyDescent="0.25">
      <c r="A4585" s="55">
        <v>4584</v>
      </c>
      <c r="B4585" s="12" t="s">
        <v>7067</v>
      </c>
      <c r="C4585" s="155">
        <v>197</v>
      </c>
      <c r="D4585" s="55" t="s">
        <v>4508</v>
      </c>
      <c r="E4585" s="90" t="s">
        <v>4489</v>
      </c>
      <c r="G4585" s="55" t="s">
        <v>4490</v>
      </c>
      <c r="H4585" s="55">
        <v>2017</v>
      </c>
      <c r="I4585" s="55">
        <v>2013</v>
      </c>
      <c r="J4585" s="55" t="s">
        <v>4491</v>
      </c>
      <c r="K4585" s="55" t="s">
        <v>4493</v>
      </c>
      <c r="L4585" s="55" t="s">
        <v>2737</v>
      </c>
      <c r="M4585" s="90">
        <v>38.950000000000003</v>
      </c>
      <c r="N4585" s="90">
        <v>-92.33</v>
      </c>
      <c r="O4585" s="90">
        <v>227</v>
      </c>
      <c r="R4585" s="55">
        <v>950</v>
      </c>
      <c r="S4585" s="90">
        <v>1100</v>
      </c>
      <c r="U4585" s="55" t="s">
        <v>1688</v>
      </c>
      <c r="V4585" s="55" t="s">
        <v>1688</v>
      </c>
      <c r="Y4585" s="55" t="s">
        <v>4492</v>
      </c>
      <c r="Z4585" s="55" t="s">
        <v>1349</v>
      </c>
      <c r="AA4585" s="90" t="s">
        <v>1677</v>
      </c>
      <c r="AH4585" s="55" t="s">
        <v>6378</v>
      </c>
      <c r="AM4585" s="55" t="s">
        <v>4494</v>
      </c>
      <c r="AN4585" s="185" t="s">
        <v>115</v>
      </c>
      <c r="AO4585" s="185" t="s">
        <v>5150</v>
      </c>
      <c r="AQ4585" s="55" t="s">
        <v>131</v>
      </c>
      <c r="AR4585" s="55" t="s">
        <v>116</v>
      </c>
      <c r="AS4585" s="55" t="s">
        <v>116</v>
      </c>
      <c r="AU4585" s="181" t="s">
        <v>7494</v>
      </c>
      <c r="AV4585" s="185" t="s">
        <v>176</v>
      </c>
      <c r="AX4585" s="185" t="s">
        <v>176</v>
      </c>
      <c r="AZ4585" s="55" t="s">
        <v>216</v>
      </c>
      <c r="BA4585" s="55" t="s">
        <v>216</v>
      </c>
      <c r="BB4585" s="55" t="s">
        <v>2082</v>
      </c>
      <c r="BC4585" s="55" t="s">
        <v>2082</v>
      </c>
      <c r="BD4585" s="55" t="s">
        <v>176</v>
      </c>
      <c r="BE4585" s="226" t="s">
        <v>4497</v>
      </c>
      <c r="BG4585" s="191" t="s">
        <v>176</v>
      </c>
      <c r="BH4585" s="226" t="s">
        <v>4497</v>
      </c>
      <c r="BI4585" s="191" t="s">
        <v>176</v>
      </c>
      <c r="BJ4585" s="55" t="s">
        <v>176</v>
      </c>
      <c r="BK4585" s="55" t="s">
        <v>6269</v>
      </c>
      <c r="BM4585" s="192" t="s">
        <v>160</v>
      </c>
      <c r="BN4585" s="55">
        <v>4</v>
      </c>
      <c r="BO4585" s="55">
        <v>4</v>
      </c>
      <c r="BQ4585" s="55" t="s">
        <v>2077</v>
      </c>
      <c r="CB4585" s="66">
        <v>2110</v>
      </c>
      <c r="CC4585" s="66">
        <v>2700</v>
      </c>
      <c r="CE4585" s="65">
        <v>180</v>
      </c>
      <c r="CF4585" s="65">
        <v>180</v>
      </c>
      <c r="CM4585" s="65">
        <v>2.33</v>
      </c>
      <c r="CN4585" s="65">
        <v>2.65</v>
      </c>
      <c r="CO4585" s="65">
        <v>0.08</v>
      </c>
      <c r="CP4585" s="65">
        <v>0.04</v>
      </c>
      <c r="CQ4585" s="65" t="s">
        <v>2240</v>
      </c>
      <c r="GP4585" s="292" t="s">
        <v>7494</v>
      </c>
    </row>
    <row r="4586" spans="1:198" x14ac:dyDescent="0.25">
      <c r="A4586" s="55">
        <v>4585</v>
      </c>
      <c r="B4586" s="12" t="s">
        <v>7067</v>
      </c>
      <c r="C4586" s="155">
        <v>197</v>
      </c>
      <c r="D4586" s="55" t="s">
        <v>4509</v>
      </c>
      <c r="E4586" s="90" t="s">
        <v>4489</v>
      </c>
      <c r="G4586" s="55" t="s">
        <v>4490</v>
      </c>
      <c r="H4586" s="55">
        <v>2017</v>
      </c>
      <c r="I4586" s="55">
        <v>2013</v>
      </c>
      <c r="J4586" s="55" t="s">
        <v>4491</v>
      </c>
      <c r="K4586" s="55" t="s">
        <v>4493</v>
      </c>
      <c r="L4586" s="55" t="s">
        <v>2737</v>
      </c>
      <c r="M4586" s="90">
        <v>38.950000000000003</v>
      </c>
      <c r="N4586" s="90">
        <v>-92.33</v>
      </c>
      <c r="O4586" s="90">
        <v>227</v>
      </c>
      <c r="R4586" s="55">
        <v>950</v>
      </c>
      <c r="S4586" s="90">
        <v>1100</v>
      </c>
      <c r="U4586" s="55" t="s">
        <v>1688</v>
      </c>
      <c r="V4586" s="55" t="s">
        <v>1688</v>
      </c>
      <c r="Y4586" s="55" t="s">
        <v>4492</v>
      </c>
      <c r="Z4586" s="55" t="s">
        <v>1349</v>
      </c>
      <c r="AA4586" s="90" t="s">
        <v>1677</v>
      </c>
      <c r="AH4586" s="55" t="s">
        <v>6378</v>
      </c>
      <c r="AM4586" s="55" t="s">
        <v>4494</v>
      </c>
      <c r="AN4586" s="185" t="s">
        <v>115</v>
      </c>
      <c r="AO4586" s="185" t="s">
        <v>5150</v>
      </c>
      <c r="AQ4586" s="55" t="s">
        <v>131</v>
      </c>
      <c r="AR4586" s="55" t="s">
        <v>116</v>
      </c>
      <c r="AS4586" s="55" t="s">
        <v>116</v>
      </c>
      <c r="AU4586" s="181" t="s">
        <v>7494</v>
      </c>
      <c r="AV4586" s="185" t="s">
        <v>176</v>
      </c>
      <c r="AX4586" s="185" t="s">
        <v>176</v>
      </c>
      <c r="AZ4586" s="55" t="s">
        <v>216</v>
      </c>
      <c r="BA4586" s="55" t="s">
        <v>216</v>
      </c>
      <c r="BB4586" s="55" t="s">
        <v>2082</v>
      </c>
      <c r="BC4586" s="55" t="s">
        <v>2082</v>
      </c>
      <c r="BD4586" s="55" t="s">
        <v>176</v>
      </c>
      <c r="BE4586" s="226" t="s">
        <v>4498</v>
      </c>
      <c r="BG4586" s="191" t="s">
        <v>479</v>
      </c>
      <c r="BH4586" s="226" t="s">
        <v>4498</v>
      </c>
      <c r="BI4586" s="191" t="s">
        <v>479</v>
      </c>
      <c r="BJ4586" s="55" t="s">
        <v>176</v>
      </c>
      <c r="BK4586" s="55" t="s">
        <v>6269</v>
      </c>
      <c r="BM4586" s="192" t="s">
        <v>160</v>
      </c>
      <c r="BN4586" s="55">
        <v>4</v>
      </c>
      <c r="BO4586" s="55">
        <v>4</v>
      </c>
      <c r="BQ4586" s="55" t="s">
        <v>2077</v>
      </c>
      <c r="CB4586" s="66">
        <v>3300</v>
      </c>
      <c r="CC4586" s="66">
        <v>3020</v>
      </c>
      <c r="CE4586" s="65">
        <v>360</v>
      </c>
      <c r="CF4586" s="65">
        <v>600</v>
      </c>
      <c r="CM4586" s="65">
        <v>2.48</v>
      </c>
      <c r="CN4586" s="65">
        <v>2.65</v>
      </c>
      <c r="CO4586" s="65">
        <v>0.02</v>
      </c>
      <c r="CP4586" s="65">
        <v>0.18</v>
      </c>
      <c r="CQ4586" s="65" t="s">
        <v>2240</v>
      </c>
      <c r="GP4586" s="292" t="s">
        <v>7494</v>
      </c>
    </row>
    <row r="4587" spans="1:198" x14ac:dyDescent="0.25">
      <c r="A4587" s="55">
        <v>4586</v>
      </c>
      <c r="B4587" s="12" t="s">
        <v>7067</v>
      </c>
      <c r="C4587" s="155">
        <v>197</v>
      </c>
      <c r="D4587" s="55" t="s">
        <v>4510</v>
      </c>
      <c r="E4587" s="90" t="s">
        <v>4489</v>
      </c>
      <c r="G4587" s="55" t="s">
        <v>4490</v>
      </c>
      <c r="H4587" s="55">
        <v>2017</v>
      </c>
      <c r="I4587" s="55">
        <v>2013</v>
      </c>
      <c r="J4587" s="55" t="s">
        <v>4491</v>
      </c>
      <c r="K4587" s="55" t="s">
        <v>4493</v>
      </c>
      <c r="L4587" s="55" t="s">
        <v>2737</v>
      </c>
      <c r="M4587" s="90">
        <v>38.950000000000003</v>
      </c>
      <c r="N4587" s="90">
        <v>-92.33</v>
      </c>
      <c r="O4587" s="90">
        <v>227</v>
      </c>
      <c r="R4587" s="55">
        <v>950</v>
      </c>
      <c r="S4587" s="90">
        <v>1100</v>
      </c>
      <c r="U4587" s="55" t="s">
        <v>1688</v>
      </c>
      <c r="V4587" s="55" t="s">
        <v>1688</v>
      </c>
      <c r="Y4587" s="55" t="s">
        <v>4492</v>
      </c>
      <c r="Z4587" s="55" t="s">
        <v>1349</v>
      </c>
      <c r="AA4587" s="90" t="s">
        <v>1677</v>
      </c>
      <c r="AH4587" s="55" t="s">
        <v>6378</v>
      </c>
      <c r="AM4587" s="55" t="s">
        <v>4494</v>
      </c>
      <c r="AN4587" s="185" t="s">
        <v>115</v>
      </c>
      <c r="AO4587" s="185" t="s">
        <v>5150</v>
      </c>
      <c r="AQ4587" s="55" t="s">
        <v>131</v>
      </c>
      <c r="AR4587" s="55" t="s">
        <v>116</v>
      </c>
      <c r="AS4587" s="55" t="s">
        <v>116</v>
      </c>
      <c r="AU4587" s="181" t="s">
        <v>7494</v>
      </c>
      <c r="AV4587" s="185" t="s">
        <v>176</v>
      </c>
      <c r="AX4587" s="185" t="s">
        <v>176</v>
      </c>
      <c r="AZ4587" s="55" t="s">
        <v>216</v>
      </c>
      <c r="BA4587" s="55" t="s">
        <v>216</v>
      </c>
      <c r="BB4587" s="55" t="s">
        <v>2082</v>
      </c>
      <c r="BC4587" s="55" t="s">
        <v>2082</v>
      </c>
      <c r="BD4587" s="55" t="s">
        <v>176</v>
      </c>
      <c r="BE4587" s="226" t="s">
        <v>4495</v>
      </c>
      <c r="BG4587" s="191" t="s">
        <v>479</v>
      </c>
      <c r="BH4587" s="226" t="s">
        <v>4495</v>
      </c>
      <c r="BI4587" s="191" t="s">
        <v>479</v>
      </c>
      <c r="BJ4587" s="55" t="s">
        <v>176</v>
      </c>
      <c r="BK4587" s="55" t="s">
        <v>6269</v>
      </c>
      <c r="BM4587" s="192" t="s">
        <v>160</v>
      </c>
      <c r="BN4587" s="55">
        <v>4</v>
      </c>
      <c r="BO4587" s="55">
        <v>4</v>
      </c>
      <c r="BQ4587" s="55" t="s">
        <v>2077</v>
      </c>
      <c r="CB4587" s="66">
        <v>3670</v>
      </c>
      <c r="CC4587" s="66">
        <v>4140</v>
      </c>
      <c r="CE4587" s="65">
        <v>240</v>
      </c>
      <c r="CF4587" s="65">
        <v>420</v>
      </c>
      <c r="CM4587" s="65">
        <v>2.6</v>
      </c>
      <c r="CN4587" s="65">
        <v>2.81</v>
      </c>
      <c r="CO4587" s="65">
        <v>0.2</v>
      </c>
      <c r="CP4587" s="65">
        <v>0.18</v>
      </c>
      <c r="CQ4587" s="65" t="s">
        <v>2240</v>
      </c>
      <c r="GP4587" s="292" t="s">
        <v>7494</v>
      </c>
    </row>
    <row r="4588" spans="1:198" x14ac:dyDescent="0.25">
      <c r="A4588" s="55">
        <v>4587</v>
      </c>
      <c r="B4588" s="12" t="s">
        <v>7067</v>
      </c>
      <c r="C4588" s="155">
        <v>197</v>
      </c>
      <c r="D4588" s="55" t="s">
        <v>4511</v>
      </c>
      <c r="E4588" s="90" t="s">
        <v>4489</v>
      </c>
      <c r="G4588" s="55" t="s">
        <v>4490</v>
      </c>
      <c r="H4588" s="55">
        <v>2017</v>
      </c>
      <c r="I4588" s="55">
        <v>2013</v>
      </c>
      <c r="J4588" s="55" t="s">
        <v>4491</v>
      </c>
      <c r="K4588" s="55" t="s">
        <v>4493</v>
      </c>
      <c r="L4588" s="55" t="s">
        <v>2737</v>
      </c>
      <c r="M4588" s="90">
        <v>38.950000000000003</v>
      </c>
      <c r="N4588" s="90">
        <v>-92.33</v>
      </c>
      <c r="O4588" s="90">
        <v>227</v>
      </c>
      <c r="R4588" s="55">
        <v>950</v>
      </c>
      <c r="S4588" s="90">
        <v>1100</v>
      </c>
      <c r="U4588" s="55" t="s">
        <v>1688</v>
      </c>
      <c r="V4588" s="55" t="s">
        <v>1688</v>
      </c>
      <c r="Y4588" s="55" t="s">
        <v>4492</v>
      </c>
      <c r="Z4588" s="55" t="s">
        <v>1349</v>
      </c>
      <c r="AA4588" s="90" t="s">
        <v>1677</v>
      </c>
      <c r="AH4588" s="55" t="s">
        <v>6378</v>
      </c>
      <c r="AM4588" s="55" t="s">
        <v>4494</v>
      </c>
      <c r="AN4588" s="185" t="s">
        <v>115</v>
      </c>
      <c r="AO4588" s="185" t="s">
        <v>5150</v>
      </c>
      <c r="AQ4588" s="55" t="s">
        <v>131</v>
      </c>
      <c r="AR4588" s="55" t="s">
        <v>116</v>
      </c>
      <c r="AS4588" s="55" t="s">
        <v>116</v>
      </c>
      <c r="AU4588" s="181" t="s">
        <v>7494</v>
      </c>
      <c r="AV4588" s="185" t="s">
        <v>176</v>
      </c>
      <c r="AX4588" s="185" t="s">
        <v>176</v>
      </c>
      <c r="AZ4588" s="55" t="s">
        <v>216</v>
      </c>
      <c r="BA4588" s="55" t="s">
        <v>216</v>
      </c>
      <c r="BB4588" s="55" t="s">
        <v>2082</v>
      </c>
      <c r="BC4588" s="55" t="s">
        <v>2082</v>
      </c>
      <c r="BD4588" s="55" t="s">
        <v>176</v>
      </c>
      <c r="BE4588" s="226" t="s">
        <v>4496</v>
      </c>
      <c r="BG4588" s="191" t="s">
        <v>479</v>
      </c>
      <c r="BH4588" s="226" t="s">
        <v>4496</v>
      </c>
      <c r="BI4588" s="191" t="s">
        <v>479</v>
      </c>
      <c r="BJ4588" s="55" t="s">
        <v>176</v>
      </c>
      <c r="BK4588" s="55" t="s">
        <v>6269</v>
      </c>
      <c r="BM4588" s="192" t="s">
        <v>160</v>
      </c>
      <c r="BN4588" s="55">
        <v>4</v>
      </c>
      <c r="BO4588" s="55">
        <v>4</v>
      </c>
      <c r="BQ4588" s="55" t="s">
        <v>2077</v>
      </c>
      <c r="CB4588" s="66">
        <v>4240</v>
      </c>
      <c r="CC4588" s="66">
        <v>3920</v>
      </c>
      <c r="CE4588" s="65">
        <v>520</v>
      </c>
      <c r="CF4588" s="65">
        <v>74</v>
      </c>
      <c r="CM4588" s="65">
        <v>2.5099999999999998</v>
      </c>
      <c r="CN4588" s="65">
        <v>2.78</v>
      </c>
      <c r="CO4588" s="65">
        <v>0.2</v>
      </c>
      <c r="CP4588" s="65">
        <v>0.08</v>
      </c>
      <c r="CQ4588" s="65" t="s">
        <v>2240</v>
      </c>
      <c r="GP4588" s="292" t="s">
        <v>7494</v>
      </c>
    </row>
    <row r="4589" spans="1:198" x14ac:dyDescent="0.25">
      <c r="A4589" s="55">
        <v>4588</v>
      </c>
      <c r="B4589" s="12" t="s">
        <v>7067</v>
      </c>
      <c r="C4589" s="155">
        <v>197</v>
      </c>
      <c r="D4589" s="55" t="s">
        <v>4500</v>
      </c>
      <c r="E4589" s="90" t="s">
        <v>4489</v>
      </c>
      <c r="G4589" s="55" t="s">
        <v>4490</v>
      </c>
      <c r="H4589" s="55">
        <v>2017</v>
      </c>
      <c r="I4589" s="55">
        <v>2014</v>
      </c>
      <c r="J4589" s="55" t="s">
        <v>4491</v>
      </c>
      <c r="K4589" s="55" t="s">
        <v>4493</v>
      </c>
      <c r="L4589" s="55" t="s">
        <v>2737</v>
      </c>
      <c r="M4589" s="90">
        <v>38.950000000000003</v>
      </c>
      <c r="N4589" s="90">
        <v>-92.33</v>
      </c>
      <c r="O4589" s="90">
        <v>227</v>
      </c>
      <c r="R4589" s="55">
        <v>1080</v>
      </c>
      <c r="S4589" s="90">
        <v>1100</v>
      </c>
      <c r="U4589" s="55" t="s">
        <v>1935</v>
      </c>
      <c r="V4589" s="55" t="s">
        <v>1688</v>
      </c>
      <c r="Y4589" s="55" t="s">
        <v>4492</v>
      </c>
      <c r="Z4589" s="55" t="s">
        <v>1349</v>
      </c>
      <c r="AA4589" s="90" t="s">
        <v>1677</v>
      </c>
      <c r="AH4589" s="55" t="s">
        <v>6378</v>
      </c>
      <c r="AM4589" s="55" t="s">
        <v>4494</v>
      </c>
      <c r="AN4589" s="185" t="s">
        <v>115</v>
      </c>
      <c r="AO4589" s="185" t="s">
        <v>5150</v>
      </c>
      <c r="AQ4589" s="55" t="s">
        <v>131</v>
      </c>
      <c r="AR4589" s="55" t="s">
        <v>132</v>
      </c>
      <c r="AS4589" s="55" t="s">
        <v>132</v>
      </c>
      <c r="AU4589" s="181" t="s">
        <v>7494</v>
      </c>
      <c r="AV4589" s="185" t="s">
        <v>176</v>
      </c>
      <c r="AX4589" s="185" t="s">
        <v>176</v>
      </c>
      <c r="AZ4589" s="55" t="s">
        <v>216</v>
      </c>
      <c r="BA4589" s="55" t="s">
        <v>216</v>
      </c>
      <c r="BB4589" s="55" t="s">
        <v>2082</v>
      </c>
      <c r="BC4589" s="55" t="s">
        <v>2082</v>
      </c>
      <c r="BD4589" s="55" t="s">
        <v>176</v>
      </c>
      <c r="BE4589" s="226" t="s">
        <v>4497</v>
      </c>
      <c r="BG4589" s="191" t="s">
        <v>176</v>
      </c>
      <c r="BH4589" s="226" t="s">
        <v>4497</v>
      </c>
      <c r="BI4589" s="191" t="s">
        <v>176</v>
      </c>
      <c r="BJ4589" s="55" t="s">
        <v>176</v>
      </c>
      <c r="BK4589" s="55" t="s">
        <v>6269</v>
      </c>
      <c r="BM4589" s="192" t="s">
        <v>160</v>
      </c>
      <c r="BN4589" s="55">
        <v>4</v>
      </c>
      <c r="BO4589" s="55">
        <v>4</v>
      </c>
      <c r="BQ4589" s="55" t="s">
        <v>2077</v>
      </c>
      <c r="CB4589" s="66">
        <v>680</v>
      </c>
      <c r="CC4589" s="66">
        <v>2620</v>
      </c>
      <c r="CE4589" s="65">
        <v>400</v>
      </c>
      <c r="CF4589" s="65">
        <v>720</v>
      </c>
      <c r="CM4589" s="65">
        <v>1.99</v>
      </c>
      <c r="CN4589" s="65">
        <v>2</v>
      </c>
      <c r="CO4589" s="65">
        <v>0.16</v>
      </c>
      <c r="CP4589" s="65">
        <v>0.06</v>
      </c>
      <c r="CQ4589" s="65" t="s">
        <v>2240</v>
      </c>
      <c r="GP4589" s="292" t="s">
        <v>7494</v>
      </c>
    </row>
    <row r="4590" spans="1:198" x14ac:dyDescent="0.25">
      <c r="A4590" s="55">
        <v>4589</v>
      </c>
      <c r="B4590" s="12" t="s">
        <v>7067</v>
      </c>
      <c r="C4590" s="155">
        <v>197</v>
      </c>
      <c r="D4590" s="55" t="s">
        <v>4501</v>
      </c>
      <c r="E4590" s="90" t="s">
        <v>4489</v>
      </c>
      <c r="G4590" s="55" t="s">
        <v>4490</v>
      </c>
      <c r="H4590" s="55">
        <v>2017</v>
      </c>
      <c r="I4590" s="55">
        <v>2014</v>
      </c>
      <c r="J4590" s="55" t="s">
        <v>4491</v>
      </c>
      <c r="K4590" s="55" t="s">
        <v>4493</v>
      </c>
      <c r="L4590" s="55" t="s">
        <v>2737</v>
      </c>
      <c r="M4590" s="90">
        <v>38.950000000000003</v>
      </c>
      <c r="N4590" s="90">
        <v>-92.33</v>
      </c>
      <c r="O4590" s="90">
        <v>227</v>
      </c>
      <c r="R4590" s="55">
        <v>1080</v>
      </c>
      <c r="S4590" s="90">
        <v>1100</v>
      </c>
      <c r="U4590" s="55" t="s">
        <v>1935</v>
      </c>
      <c r="V4590" s="55" t="s">
        <v>1688</v>
      </c>
      <c r="Y4590" s="55" t="s">
        <v>4492</v>
      </c>
      <c r="Z4590" s="55" t="s">
        <v>1349</v>
      </c>
      <c r="AA4590" s="90" t="s">
        <v>1677</v>
      </c>
      <c r="AH4590" s="55" t="s">
        <v>6378</v>
      </c>
      <c r="AM4590" s="55" t="s">
        <v>4494</v>
      </c>
      <c r="AN4590" s="185" t="s">
        <v>115</v>
      </c>
      <c r="AO4590" s="185" t="s">
        <v>5150</v>
      </c>
      <c r="AQ4590" s="55" t="s">
        <v>131</v>
      </c>
      <c r="AR4590" s="55" t="s">
        <v>132</v>
      </c>
      <c r="AS4590" s="55" t="s">
        <v>132</v>
      </c>
      <c r="AU4590" s="181" t="s">
        <v>7494</v>
      </c>
      <c r="AV4590" s="185" t="s">
        <v>176</v>
      </c>
      <c r="AX4590" s="185" t="s">
        <v>176</v>
      </c>
      <c r="AZ4590" s="55" t="s">
        <v>216</v>
      </c>
      <c r="BA4590" s="55" t="s">
        <v>216</v>
      </c>
      <c r="BB4590" s="55" t="s">
        <v>2082</v>
      </c>
      <c r="BC4590" s="55" t="s">
        <v>2082</v>
      </c>
      <c r="BD4590" s="55" t="s">
        <v>176</v>
      </c>
      <c r="BE4590" s="226" t="s">
        <v>4498</v>
      </c>
      <c r="BG4590" s="191" t="s">
        <v>479</v>
      </c>
      <c r="BH4590" s="226" t="s">
        <v>4498</v>
      </c>
      <c r="BI4590" s="191" t="s">
        <v>479</v>
      </c>
      <c r="BJ4590" s="55" t="s">
        <v>176</v>
      </c>
      <c r="BK4590" s="55" t="s">
        <v>6269</v>
      </c>
      <c r="BM4590" s="192" t="s">
        <v>160</v>
      </c>
      <c r="BN4590" s="55">
        <v>4</v>
      </c>
      <c r="BO4590" s="55">
        <v>4</v>
      </c>
      <c r="BQ4590" s="55" t="s">
        <v>2077</v>
      </c>
      <c r="CB4590" s="66">
        <v>1530</v>
      </c>
      <c r="CC4590" s="66">
        <v>2720</v>
      </c>
      <c r="CE4590" s="65">
        <v>1280</v>
      </c>
      <c r="CF4590" s="65">
        <v>1400</v>
      </c>
      <c r="CM4590" s="65">
        <v>2.13</v>
      </c>
      <c r="CN4590" s="65">
        <v>2.06</v>
      </c>
      <c r="CO4590" s="65">
        <v>0.12</v>
      </c>
      <c r="CP4590" s="65">
        <v>0.14000000000000001</v>
      </c>
      <c r="CQ4590" s="65" t="s">
        <v>2240</v>
      </c>
      <c r="GP4590" s="292" t="s">
        <v>7494</v>
      </c>
    </row>
    <row r="4591" spans="1:198" x14ac:dyDescent="0.25">
      <c r="A4591" s="55">
        <v>4590</v>
      </c>
      <c r="B4591" s="12" t="s">
        <v>7067</v>
      </c>
      <c r="C4591" s="155">
        <v>197</v>
      </c>
      <c r="D4591" s="55" t="s">
        <v>4502</v>
      </c>
      <c r="E4591" s="90" t="s">
        <v>4489</v>
      </c>
      <c r="G4591" s="55" t="s">
        <v>4490</v>
      </c>
      <c r="H4591" s="55">
        <v>2017</v>
      </c>
      <c r="I4591" s="55">
        <v>2014</v>
      </c>
      <c r="J4591" s="55" t="s">
        <v>4491</v>
      </c>
      <c r="K4591" s="55" t="s">
        <v>4493</v>
      </c>
      <c r="L4591" s="55" t="s">
        <v>2737</v>
      </c>
      <c r="M4591" s="90">
        <v>38.950000000000003</v>
      </c>
      <c r="N4591" s="90">
        <v>-92.33</v>
      </c>
      <c r="O4591" s="90">
        <v>227</v>
      </c>
      <c r="R4591" s="55">
        <v>1080</v>
      </c>
      <c r="S4591" s="90">
        <v>1100</v>
      </c>
      <c r="U4591" s="55" t="s">
        <v>1935</v>
      </c>
      <c r="V4591" s="55" t="s">
        <v>1688</v>
      </c>
      <c r="Y4591" s="55" t="s">
        <v>4492</v>
      </c>
      <c r="Z4591" s="55" t="s">
        <v>1349</v>
      </c>
      <c r="AA4591" s="90" t="s">
        <v>1677</v>
      </c>
      <c r="AH4591" s="55" t="s">
        <v>6378</v>
      </c>
      <c r="AM4591" s="55" t="s">
        <v>4494</v>
      </c>
      <c r="AN4591" s="185" t="s">
        <v>115</v>
      </c>
      <c r="AO4591" s="185" t="s">
        <v>5150</v>
      </c>
      <c r="AQ4591" s="55" t="s">
        <v>131</v>
      </c>
      <c r="AR4591" s="55" t="s">
        <v>132</v>
      </c>
      <c r="AS4591" s="55" t="s">
        <v>132</v>
      </c>
      <c r="AU4591" s="181" t="s">
        <v>7494</v>
      </c>
      <c r="AV4591" s="185" t="s">
        <v>176</v>
      </c>
      <c r="AX4591" s="185" t="s">
        <v>176</v>
      </c>
      <c r="AZ4591" s="55" t="s">
        <v>216</v>
      </c>
      <c r="BA4591" s="55" t="s">
        <v>216</v>
      </c>
      <c r="BB4591" s="55" t="s">
        <v>2082</v>
      </c>
      <c r="BC4591" s="55" t="s">
        <v>2082</v>
      </c>
      <c r="BD4591" s="55" t="s">
        <v>176</v>
      </c>
      <c r="BE4591" s="226" t="s">
        <v>4495</v>
      </c>
      <c r="BG4591" s="191" t="s">
        <v>479</v>
      </c>
      <c r="BH4591" s="226" t="s">
        <v>4495</v>
      </c>
      <c r="BI4591" s="191" t="s">
        <v>479</v>
      </c>
      <c r="BJ4591" s="55" t="s">
        <v>176</v>
      </c>
      <c r="BK4591" s="55" t="s">
        <v>6269</v>
      </c>
      <c r="BM4591" s="192" t="s">
        <v>160</v>
      </c>
      <c r="BN4591" s="55">
        <v>4</v>
      </c>
      <c r="BO4591" s="55">
        <v>4</v>
      </c>
      <c r="BQ4591" s="55" t="s">
        <v>2077</v>
      </c>
      <c r="CB4591" s="66">
        <v>3340</v>
      </c>
      <c r="CC4591" s="66">
        <v>3430</v>
      </c>
      <c r="CE4591" s="65">
        <v>1160</v>
      </c>
      <c r="CF4591" s="65">
        <v>1460</v>
      </c>
      <c r="CM4591" s="65">
        <v>2.16</v>
      </c>
      <c r="CN4591" s="65">
        <v>2.02</v>
      </c>
      <c r="CO4591" s="65">
        <v>0.28000000000000003</v>
      </c>
      <c r="CP4591" s="65">
        <v>0.14000000000000001</v>
      </c>
      <c r="CQ4591" s="65" t="s">
        <v>2240</v>
      </c>
      <c r="GP4591" s="292" t="s">
        <v>7494</v>
      </c>
    </row>
    <row r="4592" spans="1:198" x14ac:dyDescent="0.25">
      <c r="A4592" s="55">
        <v>4591</v>
      </c>
      <c r="B4592" s="12" t="s">
        <v>7067</v>
      </c>
      <c r="C4592" s="155">
        <v>197</v>
      </c>
      <c r="D4592" s="55" t="s">
        <v>4503</v>
      </c>
      <c r="E4592" s="90" t="s">
        <v>4489</v>
      </c>
      <c r="G4592" s="55" t="s">
        <v>4490</v>
      </c>
      <c r="H4592" s="55">
        <v>2017</v>
      </c>
      <c r="I4592" s="55">
        <v>2014</v>
      </c>
      <c r="J4592" s="55" t="s">
        <v>4491</v>
      </c>
      <c r="K4592" s="55" t="s">
        <v>4493</v>
      </c>
      <c r="L4592" s="55" t="s">
        <v>2737</v>
      </c>
      <c r="M4592" s="90">
        <v>38.950000000000003</v>
      </c>
      <c r="N4592" s="90">
        <v>-92.33</v>
      </c>
      <c r="O4592" s="90">
        <v>227</v>
      </c>
      <c r="R4592" s="55">
        <v>1080</v>
      </c>
      <c r="S4592" s="90">
        <v>1100</v>
      </c>
      <c r="U4592" s="55" t="s">
        <v>1935</v>
      </c>
      <c r="V4592" s="55" t="s">
        <v>1688</v>
      </c>
      <c r="Y4592" s="55" t="s">
        <v>4492</v>
      </c>
      <c r="Z4592" s="55" t="s">
        <v>1349</v>
      </c>
      <c r="AA4592" s="90" t="s">
        <v>1677</v>
      </c>
      <c r="AH4592" s="55" t="s">
        <v>6378</v>
      </c>
      <c r="AM4592" s="55" t="s">
        <v>4494</v>
      </c>
      <c r="AN4592" s="185" t="s">
        <v>115</v>
      </c>
      <c r="AO4592" s="185" t="s">
        <v>5150</v>
      </c>
      <c r="AQ4592" s="55" t="s">
        <v>131</v>
      </c>
      <c r="AR4592" s="55" t="s">
        <v>132</v>
      </c>
      <c r="AS4592" s="55" t="s">
        <v>132</v>
      </c>
      <c r="AU4592" s="181" t="s">
        <v>7494</v>
      </c>
      <c r="AV4592" s="185" t="s">
        <v>176</v>
      </c>
      <c r="AX4592" s="185" t="s">
        <v>176</v>
      </c>
      <c r="AZ4592" s="55" t="s">
        <v>216</v>
      </c>
      <c r="BA4592" s="55" t="s">
        <v>216</v>
      </c>
      <c r="BB4592" s="55" t="s">
        <v>2082</v>
      </c>
      <c r="BC4592" s="55" t="s">
        <v>2082</v>
      </c>
      <c r="BD4592" s="55" t="s">
        <v>176</v>
      </c>
      <c r="BE4592" s="226" t="s">
        <v>4496</v>
      </c>
      <c r="BG4592" s="191" t="s">
        <v>479</v>
      </c>
      <c r="BH4592" s="226" t="s">
        <v>4496</v>
      </c>
      <c r="BI4592" s="191" t="s">
        <v>479</v>
      </c>
      <c r="BJ4592" s="55" t="s">
        <v>176</v>
      </c>
      <c r="BK4592" s="55" t="s">
        <v>6269</v>
      </c>
      <c r="BM4592" s="192" t="s">
        <v>160</v>
      </c>
      <c r="BN4592" s="55">
        <v>4</v>
      </c>
      <c r="BO4592" s="55">
        <v>4</v>
      </c>
      <c r="BQ4592" s="55" t="s">
        <v>2077</v>
      </c>
      <c r="CB4592" s="66">
        <v>4370</v>
      </c>
      <c r="CC4592" s="66">
        <v>2920</v>
      </c>
      <c r="CE4592" s="65">
        <v>2320</v>
      </c>
      <c r="CF4592" s="65">
        <v>1560</v>
      </c>
      <c r="CM4592" s="65">
        <v>2.12</v>
      </c>
      <c r="CN4592" s="65">
        <v>2.0299999999999998</v>
      </c>
      <c r="CO4592" s="65">
        <v>0.12</v>
      </c>
      <c r="CP4592" s="65">
        <v>0.16</v>
      </c>
      <c r="CQ4592" s="65" t="s">
        <v>2240</v>
      </c>
      <c r="GP4592" s="292" t="s">
        <v>7494</v>
      </c>
    </row>
    <row r="4593" spans="1:281" x14ac:dyDescent="0.25">
      <c r="A4593" s="55">
        <v>4592</v>
      </c>
      <c r="B4593" s="12" t="s">
        <v>7067</v>
      </c>
      <c r="C4593" s="155">
        <v>197</v>
      </c>
      <c r="D4593" s="55" t="s">
        <v>4504</v>
      </c>
      <c r="E4593" s="90" t="s">
        <v>4489</v>
      </c>
      <c r="G4593" s="55" t="s">
        <v>4490</v>
      </c>
      <c r="H4593" s="55">
        <v>2017</v>
      </c>
      <c r="I4593" s="55">
        <v>2014</v>
      </c>
      <c r="J4593" s="55" t="s">
        <v>4491</v>
      </c>
      <c r="K4593" s="55" t="s">
        <v>4493</v>
      </c>
      <c r="L4593" s="55" t="s">
        <v>2737</v>
      </c>
      <c r="M4593" s="90">
        <v>38.950000000000003</v>
      </c>
      <c r="N4593" s="90">
        <v>-92.33</v>
      </c>
      <c r="O4593" s="90">
        <v>227</v>
      </c>
      <c r="R4593" s="55">
        <v>1080</v>
      </c>
      <c r="S4593" s="90">
        <v>1100</v>
      </c>
      <c r="U4593" s="55" t="s">
        <v>1805</v>
      </c>
      <c r="V4593" s="55" t="s">
        <v>1688</v>
      </c>
      <c r="Y4593" s="55" t="s">
        <v>4492</v>
      </c>
      <c r="Z4593" s="55" t="s">
        <v>1349</v>
      </c>
      <c r="AA4593" s="90" t="s">
        <v>1677</v>
      </c>
      <c r="AH4593" s="55" t="s">
        <v>6378</v>
      </c>
      <c r="AM4593" s="55" t="s">
        <v>4494</v>
      </c>
      <c r="AN4593" s="185" t="s">
        <v>115</v>
      </c>
      <c r="AO4593" s="185" t="s">
        <v>5150</v>
      </c>
      <c r="AQ4593" s="55" t="s">
        <v>131</v>
      </c>
      <c r="AR4593" s="55" t="s">
        <v>158</v>
      </c>
      <c r="AS4593" s="55" t="s">
        <v>158</v>
      </c>
      <c r="AU4593" s="181" t="s">
        <v>7494</v>
      </c>
      <c r="AV4593" s="185" t="s">
        <v>176</v>
      </c>
      <c r="AX4593" s="185" t="s">
        <v>176</v>
      </c>
      <c r="AZ4593" s="55" t="s">
        <v>216</v>
      </c>
      <c r="BA4593" s="55" t="s">
        <v>216</v>
      </c>
      <c r="BB4593" s="55" t="s">
        <v>2082</v>
      </c>
      <c r="BC4593" s="55" t="s">
        <v>2082</v>
      </c>
      <c r="BD4593" s="55" t="s">
        <v>176</v>
      </c>
      <c r="BE4593" s="226" t="s">
        <v>4497</v>
      </c>
      <c r="BG4593" s="191" t="s">
        <v>176</v>
      </c>
      <c r="BH4593" s="226" t="s">
        <v>4497</v>
      </c>
      <c r="BI4593" s="191" t="s">
        <v>176</v>
      </c>
      <c r="BJ4593" s="55" t="s">
        <v>176</v>
      </c>
      <c r="BK4593" s="55" t="s">
        <v>6269</v>
      </c>
      <c r="BM4593" s="192" t="s">
        <v>160</v>
      </c>
      <c r="BN4593" s="55">
        <v>4</v>
      </c>
      <c r="BO4593" s="55">
        <v>4</v>
      </c>
      <c r="BQ4593" s="55" t="s">
        <v>2077</v>
      </c>
      <c r="CB4593" s="66">
        <v>2850</v>
      </c>
      <c r="CC4593" s="66">
        <v>3030</v>
      </c>
      <c r="CE4593" s="65">
        <v>520</v>
      </c>
      <c r="CF4593" s="65">
        <v>80</v>
      </c>
      <c r="CM4593" s="65">
        <v>1.92</v>
      </c>
      <c r="CN4593" s="65">
        <v>1.88</v>
      </c>
      <c r="CO4593" s="65">
        <v>0.08</v>
      </c>
      <c r="CP4593" s="65">
        <v>0.12</v>
      </c>
      <c r="CQ4593" s="65" t="s">
        <v>2240</v>
      </c>
      <c r="GP4593" s="292" t="s">
        <v>7494</v>
      </c>
    </row>
    <row r="4594" spans="1:281" x14ac:dyDescent="0.25">
      <c r="A4594" s="55">
        <v>4593</v>
      </c>
      <c r="B4594" s="12" t="s">
        <v>7067</v>
      </c>
      <c r="C4594" s="155">
        <v>197</v>
      </c>
      <c r="D4594" s="55" t="s">
        <v>4505</v>
      </c>
      <c r="E4594" s="90" t="s">
        <v>4489</v>
      </c>
      <c r="G4594" s="55" t="s">
        <v>4490</v>
      </c>
      <c r="H4594" s="55">
        <v>2017</v>
      </c>
      <c r="I4594" s="55">
        <v>2014</v>
      </c>
      <c r="J4594" s="55" t="s">
        <v>4491</v>
      </c>
      <c r="K4594" s="55" t="s">
        <v>4493</v>
      </c>
      <c r="L4594" s="55" t="s">
        <v>2737</v>
      </c>
      <c r="M4594" s="90">
        <v>38.950000000000003</v>
      </c>
      <c r="N4594" s="90">
        <v>-92.33</v>
      </c>
      <c r="O4594" s="90">
        <v>227</v>
      </c>
      <c r="R4594" s="55">
        <v>1080</v>
      </c>
      <c r="S4594" s="90">
        <v>1100</v>
      </c>
      <c r="U4594" s="55" t="s">
        <v>1805</v>
      </c>
      <c r="V4594" s="55" t="s">
        <v>1688</v>
      </c>
      <c r="Y4594" s="55" t="s">
        <v>4492</v>
      </c>
      <c r="Z4594" s="55" t="s">
        <v>1349</v>
      </c>
      <c r="AA4594" s="90" t="s">
        <v>1677</v>
      </c>
      <c r="AH4594" s="55" t="s">
        <v>6378</v>
      </c>
      <c r="AM4594" s="55" t="s">
        <v>4494</v>
      </c>
      <c r="AN4594" s="185" t="s">
        <v>115</v>
      </c>
      <c r="AO4594" s="185" t="s">
        <v>5150</v>
      </c>
      <c r="AQ4594" s="55" t="s">
        <v>131</v>
      </c>
      <c r="AR4594" s="55" t="s">
        <v>158</v>
      </c>
      <c r="AS4594" s="55" t="s">
        <v>158</v>
      </c>
      <c r="AU4594" s="181" t="s">
        <v>7494</v>
      </c>
      <c r="AV4594" s="185" t="s">
        <v>176</v>
      </c>
      <c r="AX4594" s="185" t="s">
        <v>176</v>
      </c>
      <c r="AZ4594" s="55" t="s">
        <v>216</v>
      </c>
      <c r="BA4594" s="55" t="s">
        <v>216</v>
      </c>
      <c r="BB4594" s="55" t="s">
        <v>2082</v>
      </c>
      <c r="BC4594" s="55" t="s">
        <v>2082</v>
      </c>
      <c r="BD4594" s="55" t="s">
        <v>176</v>
      </c>
      <c r="BE4594" s="226" t="s">
        <v>4498</v>
      </c>
      <c r="BG4594" s="191" t="s">
        <v>479</v>
      </c>
      <c r="BH4594" s="226" t="s">
        <v>4498</v>
      </c>
      <c r="BI4594" s="191" t="s">
        <v>479</v>
      </c>
      <c r="BJ4594" s="55" t="s">
        <v>176</v>
      </c>
      <c r="BK4594" s="55" t="s">
        <v>6269</v>
      </c>
      <c r="BM4594" s="192" t="s">
        <v>160</v>
      </c>
      <c r="BN4594" s="55">
        <v>4</v>
      </c>
      <c r="BO4594" s="55">
        <v>4</v>
      </c>
      <c r="BQ4594" s="55" t="s">
        <v>2077</v>
      </c>
      <c r="CB4594" s="66">
        <v>3450</v>
      </c>
      <c r="CC4594" s="66">
        <v>3240</v>
      </c>
      <c r="CE4594" s="65">
        <v>760</v>
      </c>
      <c r="CF4594" s="65">
        <v>34</v>
      </c>
      <c r="CM4594" s="65">
        <v>1.85</v>
      </c>
      <c r="CN4594" s="65">
        <v>1.89</v>
      </c>
      <c r="CO4594" s="65">
        <v>0.06</v>
      </c>
      <c r="CP4594" s="65">
        <v>0.06</v>
      </c>
      <c r="CQ4594" s="65" t="s">
        <v>2240</v>
      </c>
      <c r="GP4594" s="292" t="s">
        <v>7494</v>
      </c>
    </row>
    <row r="4595" spans="1:281" x14ac:dyDescent="0.25">
      <c r="A4595" s="55">
        <v>4594</v>
      </c>
      <c r="B4595" s="12" t="s">
        <v>7067</v>
      </c>
      <c r="C4595" s="155">
        <v>197</v>
      </c>
      <c r="D4595" s="55" t="s">
        <v>4506</v>
      </c>
      <c r="E4595" s="90" t="s">
        <v>4489</v>
      </c>
      <c r="G4595" s="55" t="s">
        <v>4490</v>
      </c>
      <c r="H4595" s="55">
        <v>2017</v>
      </c>
      <c r="I4595" s="55">
        <v>2014</v>
      </c>
      <c r="J4595" s="55" t="s">
        <v>4491</v>
      </c>
      <c r="K4595" s="55" t="s">
        <v>4493</v>
      </c>
      <c r="L4595" s="55" t="s">
        <v>2737</v>
      </c>
      <c r="M4595" s="90">
        <v>38.950000000000003</v>
      </c>
      <c r="N4595" s="90">
        <v>-92.33</v>
      </c>
      <c r="O4595" s="90">
        <v>227</v>
      </c>
      <c r="R4595" s="55">
        <v>1080</v>
      </c>
      <c r="S4595" s="90">
        <v>1100</v>
      </c>
      <c r="U4595" s="55" t="s">
        <v>1805</v>
      </c>
      <c r="V4595" s="55" t="s">
        <v>1688</v>
      </c>
      <c r="Y4595" s="55" t="s">
        <v>4492</v>
      </c>
      <c r="Z4595" s="55" t="s">
        <v>1349</v>
      </c>
      <c r="AA4595" s="90" t="s">
        <v>1677</v>
      </c>
      <c r="AH4595" s="55" t="s">
        <v>6378</v>
      </c>
      <c r="AM4595" s="55" t="s">
        <v>4494</v>
      </c>
      <c r="AN4595" s="185" t="s">
        <v>115</v>
      </c>
      <c r="AO4595" s="185" t="s">
        <v>5150</v>
      </c>
      <c r="AQ4595" s="55" t="s">
        <v>131</v>
      </c>
      <c r="AR4595" s="55" t="s">
        <v>158</v>
      </c>
      <c r="AS4595" s="55" t="s">
        <v>158</v>
      </c>
      <c r="AU4595" s="181" t="s">
        <v>7494</v>
      </c>
      <c r="AV4595" s="185" t="s">
        <v>176</v>
      </c>
      <c r="AX4595" s="185" t="s">
        <v>176</v>
      </c>
      <c r="AZ4595" s="55" t="s">
        <v>216</v>
      </c>
      <c r="BA4595" s="55" t="s">
        <v>216</v>
      </c>
      <c r="BB4595" s="55" t="s">
        <v>2082</v>
      </c>
      <c r="BC4595" s="55" t="s">
        <v>2082</v>
      </c>
      <c r="BD4595" s="55" t="s">
        <v>176</v>
      </c>
      <c r="BE4595" s="226" t="s">
        <v>4495</v>
      </c>
      <c r="BG4595" s="191" t="s">
        <v>479</v>
      </c>
      <c r="BH4595" s="226" t="s">
        <v>4495</v>
      </c>
      <c r="BI4595" s="191" t="s">
        <v>479</v>
      </c>
      <c r="BJ4595" s="55" t="s">
        <v>176</v>
      </c>
      <c r="BK4595" s="55" t="s">
        <v>6269</v>
      </c>
      <c r="BM4595" s="192" t="s">
        <v>160</v>
      </c>
      <c r="BN4595" s="55">
        <v>4</v>
      </c>
      <c r="BO4595" s="55">
        <v>4</v>
      </c>
      <c r="BQ4595" s="55" t="s">
        <v>2077</v>
      </c>
      <c r="CB4595" s="66">
        <v>3420</v>
      </c>
      <c r="CC4595" s="66">
        <v>2820</v>
      </c>
      <c r="CE4595" s="65">
        <v>240</v>
      </c>
      <c r="CF4595" s="65">
        <v>120</v>
      </c>
      <c r="CM4595" s="65">
        <v>1.97</v>
      </c>
      <c r="CN4595" s="65">
        <v>1.99</v>
      </c>
      <c r="CO4595" s="65">
        <v>0.2</v>
      </c>
      <c r="CP4595" s="65">
        <v>0.18</v>
      </c>
      <c r="CQ4595" s="65" t="s">
        <v>2240</v>
      </c>
      <c r="GP4595" s="292" t="s">
        <v>7494</v>
      </c>
    </row>
    <row r="4596" spans="1:281" x14ac:dyDescent="0.25">
      <c r="A4596" s="55">
        <v>4595</v>
      </c>
      <c r="B4596" s="12" t="s">
        <v>7067</v>
      </c>
      <c r="C4596" s="155">
        <v>197</v>
      </c>
      <c r="D4596" s="55" t="s">
        <v>4507</v>
      </c>
      <c r="E4596" s="90" t="s">
        <v>4489</v>
      </c>
      <c r="G4596" s="55" t="s">
        <v>4490</v>
      </c>
      <c r="H4596" s="55">
        <v>2017</v>
      </c>
      <c r="I4596" s="55">
        <v>2014</v>
      </c>
      <c r="J4596" s="55" t="s">
        <v>4491</v>
      </c>
      <c r="K4596" s="55" t="s">
        <v>4493</v>
      </c>
      <c r="L4596" s="55" t="s">
        <v>2737</v>
      </c>
      <c r="M4596" s="90">
        <v>38.950000000000003</v>
      </c>
      <c r="N4596" s="90">
        <v>-92.33</v>
      </c>
      <c r="O4596" s="90">
        <v>227</v>
      </c>
      <c r="R4596" s="55">
        <v>1080</v>
      </c>
      <c r="S4596" s="90">
        <v>1100</v>
      </c>
      <c r="U4596" s="55" t="s">
        <v>1805</v>
      </c>
      <c r="V4596" s="55" t="s">
        <v>1688</v>
      </c>
      <c r="Y4596" s="55" t="s">
        <v>4492</v>
      </c>
      <c r="Z4596" s="55" t="s">
        <v>1349</v>
      </c>
      <c r="AA4596" s="90" t="s">
        <v>1677</v>
      </c>
      <c r="AH4596" s="55" t="s">
        <v>6378</v>
      </c>
      <c r="AM4596" s="55" t="s">
        <v>4494</v>
      </c>
      <c r="AN4596" s="185" t="s">
        <v>115</v>
      </c>
      <c r="AO4596" s="185" t="s">
        <v>5150</v>
      </c>
      <c r="AQ4596" s="55" t="s">
        <v>131</v>
      </c>
      <c r="AR4596" s="55" t="s">
        <v>158</v>
      </c>
      <c r="AS4596" s="55" t="s">
        <v>158</v>
      </c>
      <c r="AU4596" s="181" t="s">
        <v>7494</v>
      </c>
      <c r="AV4596" s="185" t="s">
        <v>176</v>
      </c>
      <c r="AX4596" s="185" t="s">
        <v>176</v>
      </c>
      <c r="AZ4596" s="55" t="s">
        <v>216</v>
      </c>
      <c r="BA4596" s="55" t="s">
        <v>216</v>
      </c>
      <c r="BB4596" s="55" t="s">
        <v>2082</v>
      </c>
      <c r="BC4596" s="55" t="s">
        <v>2082</v>
      </c>
      <c r="BD4596" s="55" t="s">
        <v>176</v>
      </c>
      <c r="BE4596" s="226" t="s">
        <v>4496</v>
      </c>
      <c r="BG4596" s="191" t="s">
        <v>479</v>
      </c>
      <c r="BH4596" s="226" t="s">
        <v>4496</v>
      </c>
      <c r="BI4596" s="191" t="s">
        <v>479</v>
      </c>
      <c r="BJ4596" s="55" t="s">
        <v>176</v>
      </c>
      <c r="BK4596" s="55" t="s">
        <v>6269</v>
      </c>
      <c r="BM4596" s="192" t="s">
        <v>160</v>
      </c>
      <c r="BN4596" s="55">
        <v>4</v>
      </c>
      <c r="BO4596" s="55">
        <v>4</v>
      </c>
      <c r="BQ4596" s="55" t="s">
        <v>2077</v>
      </c>
      <c r="CB4596" s="66">
        <v>3490</v>
      </c>
      <c r="CC4596" s="66">
        <v>3260</v>
      </c>
      <c r="CE4596" s="65">
        <v>540</v>
      </c>
      <c r="CF4596" s="65">
        <v>200</v>
      </c>
      <c r="CM4596" s="65">
        <v>2.08</v>
      </c>
      <c r="CN4596" s="65">
        <v>2.1</v>
      </c>
      <c r="CO4596" s="65">
        <v>0.02</v>
      </c>
      <c r="CP4596" s="65">
        <v>0.14000000000000001</v>
      </c>
      <c r="CQ4596" s="65" t="s">
        <v>2240</v>
      </c>
      <c r="GP4596" s="292" t="s">
        <v>7494</v>
      </c>
    </row>
    <row r="4597" spans="1:281" x14ac:dyDescent="0.25">
      <c r="A4597" s="55">
        <v>4596</v>
      </c>
      <c r="B4597" s="12" t="s">
        <v>7067</v>
      </c>
      <c r="C4597" s="155">
        <v>197</v>
      </c>
      <c r="D4597" s="55" t="s">
        <v>4508</v>
      </c>
      <c r="E4597" s="90" t="s">
        <v>4489</v>
      </c>
      <c r="G4597" s="55" t="s">
        <v>4490</v>
      </c>
      <c r="H4597" s="55">
        <v>2017</v>
      </c>
      <c r="I4597" s="55">
        <v>2014</v>
      </c>
      <c r="J4597" s="55" t="s">
        <v>4491</v>
      </c>
      <c r="K4597" s="55" t="s">
        <v>4493</v>
      </c>
      <c r="L4597" s="55" t="s">
        <v>2737</v>
      </c>
      <c r="M4597" s="90">
        <v>38.950000000000003</v>
      </c>
      <c r="N4597" s="90">
        <v>-92.33</v>
      </c>
      <c r="O4597" s="90">
        <v>227</v>
      </c>
      <c r="R4597" s="55">
        <v>1080</v>
      </c>
      <c r="S4597" s="90">
        <v>1100</v>
      </c>
      <c r="U4597" s="55" t="s">
        <v>1688</v>
      </c>
      <c r="V4597" s="55" t="s">
        <v>1688</v>
      </c>
      <c r="Y4597" s="55" t="s">
        <v>4492</v>
      </c>
      <c r="Z4597" s="55" t="s">
        <v>1349</v>
      </c>
      <c r="AA4597" s="90" t="s">
        <v>1677</v>
      </c>
      <c r="AH4597" s="55" t="s">
        <v>6378</v>
      </c>
      <c r="AM4597" s="55" t="s">
        <v>4494</v>
      </c>
      <c r="AN4597" s="185" t="s">
        <v>115</v>
      </c>
      <c r="AO4597" s="185" t="s">
        <v>5150</v>
      </c>
      <c r="AQ4597" s="55" t="s">
        <v>131</v>
      </c>
      <c r="AR4597" s="55" t="s">
        <v>116</v>
      </c>
      <c r="AS4597" s="55" t="s">
        <v>116</v>
      </c>
      <c r="AU4597" s="181" t="s">
        <v>7494</v>
      </c>
      <c r="AV4597" s="185" t="s">
        <v>176</v>
      </c>
      <c r="AX4597" s="185" t="s">
        <v>176</v>
      </c>
      <c r="AZ4597" s="55" t="s">
        <v>216</v>
      </c>
      <c r="BA4597" s="55" t="s">
        <v>216</v>
      </c>
      <c r="BB4597" s="55" t="s">
        <v>2082</v>
      </c>
      <c r="BC4597" s="55" t="s">
        <v>2082</v>
      </c>
      <c r="BD4597" s="55" t="s">
        <v>176</v>
      </c>
      <c r="BE4597" s="226" t="s">
        <v>4497</v>
      </c>
      <c r="BG4597" s="191" t="s">
        <v>176</v>
      </c>
      <c r="BH4597" s="226" t="s">
        <v>4497</v>
      </c>
      <c r="BI4597" s="191" t="s">
        <v>176</v>
      </c>
      <c r="BJ4597" s="55" t="s">
        <v>176</v>
      </c>
      <c r="BK4597" s="55" t="s">
        <v>6269</v>
      </c>
      <c r="BM4597" s="192" t="s">
        <v>160</v>
      </c>
      <c r="BN4597" s="55">
        <v>4</v>
      </c>
      <c r="BO4597" s="55">
        <v>4</v>
      </c>
      <c r="BQ4597" s="55" t="s">
        <v>2077</v>
      </c>
      <c r="CB4597" s="66">
        <v>2870</v>
      </c>
      <c r="CC4597" s="66">
        <v>2410</v>
      </c>
      <c r="CE4597" s="65">
        <v>680</v>
      </c>
      <c r="CF4597" s="65">
        <v>860</v>
      </c>
      <c r="CM4597" s="65">
        <v>2.2200000000000002</v>
      </c>
      <c r="CN4597" s="65">
        <v>2.08</v>
      </c>
      <c r="CO4597" s="65">
        <v>0.18</v>
      </c>
      <c r="CP4597" s="65">
        <v>0.12</v>
      </c>
      <c r="CQ4597" s="65" t="s">
        <v>2240</v>
      </c>
      <c r="GP4597" s="292" t="s">
        <v>7494</v>
      </c>
    </row>
    <row r="4598" spans="1:281" x14ac:dyDescent="0.25">
      <c r="A4598" s="55">
        <v>4597</v>
      </c>
      <c r="B4598" s="12" t="s">
        <v>7067</v>
      </c>
      <c r="C4598" s="155">
        <v>197</v>
      </c>
      <c r="D4598" s="55" t="s">
        <v>4509</v>
      </c>
      <c r="E4598" s="90" t="s">
        <v>4489</v>
      </c>
      <c r="G4598" s="55" t="s">
        <v>4490</v>
      </c>
      <c r="H4598" s="55">
        <v>2017</v>
      </c>
      <c r="I4598" s="55">
        <v>2014</v>
      </c>
      <c r="J4598" s="55" t="s">
        <v>4491</v>
      </c>
      <c r="K4598" s="55" t="s">
        <v>4493</v>
      </c>
      <c r="L4598" s="55" t="s">
        <v>2737</v>
      </c>
      <c r="M4598" s="90">
        <v>38.950000000000003</v>
      </c>
      <c r="N4598" s="90">
        <v>-92.33</v>
      </c>
      <c r="O4598" s="90">
        <v>227</v>
      </c>
      <c r="R4598" s="55">
        <v>1080</v>
      </c>
      <c r="S4598" s="90">
        <v>1100</v>
      </c>
      <c r="U4598" s="55" t="s">
        <v>1688</v>
      </c>
      <c r="V4598" s="55" t="s">
        <v>1688</v>
      </c>
      <c r="Y4598" s="55" t="s">
        <v>4492</v>
      </c>
      <c r="Z4598" s="55" t="s">
        <v>1349</v>
      </c>
      <c r="AA4598" s="90" t="s">
        <v>1677</v>
      </c>
      <c r="AH4598" s="55" t="s">
        <v>6378</v>
      </c>
      <c r="AM4598" s="55" t="s">
        <v>4494</v>
      </c>
      <c r="AN4598" s="185" t="s">
        <v>115</v>
      </c>
      <c r="AO4598" s="185" t="s">
        <v>5150</v>
      </c>
      <c r="AQ4598" s="55" t="s">
        <v>131</v>
      </c>
      <c r="AR4598" s="55" t="s">
        <v>116</v>
      </c>
      <c r="AS4598" s="55" t="s">
        <v>116</v>
      </c>
      <c r="AU4598" s="181" t="s">
        <v>7494</v>
      </c>
      <c r="AV4598" s="185" t="s">
        <v>176</v>
      </c>
      <c r="AX4598" s="185" t="s">
        <v>176</v>
      </c>
      <c r="AZ4598" s="55" t="s">
        <v>216</v>
      </c>
      <c r="BA4598" s="55" t="s">
        <v>216</v>
      </c>
      <c r="BB4598" s="55" t="s">
        <v>2082</v>
      </c>
      <c r="BC4598" s="55" t="s">
        <v>2082</v>
      </c>
      <c r="BD4598" s="55" t="s">
        <v>176</v>
      </c>
      <c r="BE4598" s="226" t="s">
        <v>4498</v>
      </c>
      <c r="BG4598" s="191" t="s">
        <v>479</v>
      </c>
      <c r="BH4598" s="226" t="s">
        <v>4498</v>
      </c>
      <c r="BI4598" s="191" t="s">
        <v>479</v>
      </c>
      <c r="BJ4598" s="55" t="s">
        <v>176</v>
      </c>
      <c r="BK4598" s="55" t="s">
        <v>6269</v>
      </c>
      <c r="BM4598" s="192" t="s">
        <v>160</v>
      </c>
      <c r="BN4598" s="55">
        <v>4</v>
      </c>
      <c r="BO4598" s="55">
        <v>4</v>
      </c>
      <c r="BQ4598" s="55" t="s">
        <v>2077</v>
      </c>
      <c r="CB4598" s="66">
        <v>3590</v>
      </c>
      <c r="CC4598" s="66">
        <v>2610</v>
      </c>
      <c r="CE4598" s="65">
        <v>400</v>
      </c>
      <c r="CF4598" s="65">
        <v>860</v>
      </c>
      <c r="CM4598" s="65">
        <v>2.12</v>
      </c>
      <c r="CN4598" s="65">
        <v>2.15</v>
      </c>
      <c r="CO4598" s="65">
        <v>0.26</v>
      </c>
      <c r="CP4598" s="65">
        <v>0.04</v>
      </c>
      <c r="CQ4598" s="65" t="s">
        <v>2240</v>
      </c>
      <c r="GP4598" s="292" t="s">
        <v>7494</v>
      </c>
    </row>
    <row r="4599" spans="1:281" x14ac:dyDescent="0.25">
      <c r="A4599" s="55">
        <v>4598</v>
      </c>
      <c r="B4599" s="12" t="s">
        <v>7067</v>
      </c>
      <c r="C4599" s="155">
        <v>197</v>
      </c>
      <c r="D4599" s="55" t="s">
        <v>4510</v>
      </c>
      <c r="E4599" s="90" t="s">
        <v>4489</v>
      </c>
      <c r="G4599" s="55" t="s">
        <v>4490</v>
      </c>
      <c r="H4599" s="55">
        <v>2017</v>
      </c>
      <c r="I4599" s="55">
        <v>2014</v>
      </c>
      <c r="J4599" s="55" t="s">
        <v>4491</v>
      </c>
      <c r="K4599" s="55" t="s">
        <v>4493</v>
      </c>
      <c r="L4599" s="55" t="s">
        <v>2737</v>
      </c>
      <c r="M4599" s="90">
        <v>38.950000000000003</v>
      </c>
      <c r="N4599" s="90">
        <v>-92.33</v>
      </c>
      <c r="O4599" s="90">
        <v>227</v>
      </c>
      <c r="R4599" s="55">
        <v>1080</v>
      </c>
      <c r="S4599" s="90">
        <v>1100</v>
      </c>
      <c r="U4599" s="55" t="s">
        <v>1688</v>
      </c>
      <c r="V4599" s="55" t="s">
        <v>1688</v>
      </c>
      <c r="Y4599" s="55" t="s">
        <v>4492</v>
      </c>
      <c r="Z4599" s="55" t="s">
        <v>1349</v>
      </c>
      <c r="AA4599" s="90" t="s">
        <v>1677</v>
      </c>
      <c r="AH4599" s="55" t="s">
        <v>6378</v>
      </c>
      <c r="AM4599" s="55" t="s">
        <v>4494</v>
      </c>
      <c r="AN4599" s="185" t="s">
        <v>115</v>
      </c>
      <c r="AO4599" s="185" t="s">
        <v>5150</v>
      </c>
      <c r="AQ4599" s="55" t="s">
        <v>131</v>
      </c>
      <c r="AR4599" s="55" t="s">
        <v>116</v>
      </c>
      <c r="AS4599" s="55" t="s">
        <v>116</v>
      </c>
      <c r="AU4599" s="181" t="s">
        <v>7494</v>
      </c>
      <c r="AV4599" s="185" t="s">
        <v>176</v>
      </c>
      <c r="AX4599" s="185" t="s">
        <v>176</v>
      </c>
      <c r="AZ4599" s="55" t="s">
        <v>216</v>
      </c>
      <c r="BA4599" s="55" t="s">
        <v>216</v>
      </c>
      <c r="BB4599" s="55" t="s">
        <v>2082</v>
      </c>
      <c r="BC4599" s="55" t="s">
        <v>2082</v>
      </c>
      <c r="BD4599" s="55" t="s">
        <v>176</v>
      </c>
      <c r="BE4599" s="226" t="s">
        <v>4495</v>
      </c>
      <c r="BG4599" s="191" t="s">
        <v>479</v>
      </c>
      <c r="BH4599" s="226" t="s">
        <v>4495</v>
      </c>
      <c r="BI4599" s="191" t="s">
        <v>479</v>
      </c>
      <c r="BJ4599" s="55" t="s">
        <v>176</v>
      </c>
      <c r="BK4599" s="55" t="s">
        <v>6269</v>
      </c>
      <c r="BM4599" s="192" t="s">
        <v>160</v>
      </c>
      <c r="BN4599" s="55">
        <v>4</v>
      </c>
      <c r="BO4599" s="55">
        <v>4</v>
      </c>
      <c r="BQ4599" s="55" t="s">
        <v>2077</v>
      </c>
      <c r="CB4599" s="66">
        <v>3080</v>
      </c>
      <c r="CC4599" s="66">
        <v>2870</v>
      </c>
      <c r="CE4599" s="65">
        <v>580</v>
      </c>
      <c r="CF4599" s="65">
        <v>860</v>
      </c>
      <c r="CM4599" s="65">
        <v>2.23</v>
      </c>
      <c r="CN4599" s="65">
        <v>2.17</v>
      </c>
      <c r="CO4599" s="65">
        <v>0.14000000000000001</v>
      </c>
      <c r="CP4599" s="65">
        <v>0.1</v>
      </c>
      <c r="CQ4599" s="65" t="s">
        <v>2240</v>
      </c>
      <c r="GP4599" s="292" t="s">
        <v>7494</v>
      </c>
    </row>
    <row r="4600" spans="1:281" x14ac:dyDescent="0.25">
      <c r="A4600" s="55">
        <v>4599</v>
      </c>
      <c r="B4600" s="12" t="s">
        <v>7067</v>
      </c>
      <c r="C4600" s="155">
        <v>197</v>
      </c>
      <c r="D4600" s="55" t="s">
        <v>4511</v>
      </c>
      <c r="E4600" s="90" t="s">
        <v>4489</v>
      </c>
      <c r="G4600" s="55" t="s">
        <v>4490</v>
      </c>
      <c r="H4600" s="55">
        <v>2017</v>
      </c>
      <c r="I4600" s="55">
        <v>2014</v>
      </c>
      <c r="J4600" s="55" t="s">
        <v>4491</v>
      </c>
      <c r="K4600" s="55" t="s">
        <v>4493</v>
      </c>
      <c r="L4600" s="55" t="s">
        <v>2737</v>
      </c>
      <c r="M4600" s="90">
        <v>38.950000000000003</v>
      </c>
      <c r="N4600" s="90">
        <v>-92.33</v>
      </c>
      <c r="O4600" s="90">
        <v>227</v>
      </c>
      <c r="R4600" s="55">
        <v>1080</v>
      </c>
      <c r="S4600" s="90">
        <v>1100</v>
      </c>
      <c r="U4600" s="55" t="s">
        <v>1688</v>
      </c>
      <c r="V4600" s="55" t="s">
        <v>1688</v>
      </c>
      <c r="Y4600" s="55" t="s">
        <v>4492</v>
      </c>
      <c r="Z4600" s="55" t="s">
        <v>1349</v>
      </c>
      <c r="AA4600" s="90" t="s">
        <v>1677</v>
      </c>
      <c r="AH4600" s="55" t="s">
        <v>6378</v>
      </c>
      <c r="AM4600" s="55" t="s">
        <v>4494</v>
      </c>
      <c r="AN4600" s="185" t="s">
        <v>115</v>
      </c>
      <c r="AO4600" s="185" t="s">
        <v>5150</v>
      </c>
      <c r="AQ4600" s="55" t="s">
        <v>131</v>
      </c>
      <c r="AR4600" s="55" t="s">
        <v>116</v>
      </c>
      <c r="AS4600" s="55" t="s">
        <v>116</v>
      </c>
      <c r="AU4600" s="181" t="s">
        <v>7494</v>
      </c>
      <c r="AV4600" s="185" t="s">
        <v>176</v>
      </c>
      <c r="AX4600" s="185" t="s">
        <v>176</v>
      </c>
      <c r="AZ4600" s="55" t="s">
        <v>216</v>
      </c>
      <c r="BA4600" s="55" t="s">
        <v>216</v>
      </c>
      <c r="BB4600" s="55" t="s">
        <v>2082</v>
      </c>
      <c r="BC4600" s="55" t="s">
        <v>2082</v>
      </c>
      <c r="BD4600" s="55" t="s">
        <v>176</v>
      </c>
      <c r="BE4600" s="226" t="s">
        <v>4496</v>
      </c>
      <c r="BG4600" s="191" t="s">
        <v>479</v>
      </c>
      <c r="BH4600" s="226" t="s">
        <v>4496</v>
      </c>
      <c r="BI4600" s="191" t="s">
        <v>479</v>
      </c>
      <c r="BJ4600" s="55" t="s">
        <v>176</v>
      </c>
      <c r="BK4600" s="55" t="s">
        <v>6269</v>
      </c>
      <c r="BM4600" s="192" t="s">
        <v>160</v>
      </c>
      <c r="BN4600" s="55">
        <v>4</v>
      </c>
      <c r="BO4600" s="55">
        <v>4</v>
      </c>
      <c r="BQ4600" s="55" t="s">
        <v>2077</v>
      </c>
      <c r="CB4600" s="66">
        <v>2740</v>
      </c>
      <c r="CC4600" s="66">
        <v>2950</v>
      </c>
      <c r="CE4600" s="65">
        <v>1320</v>
      </c>
      <c r="CF4600" s="65">
        <v>1160</v>
      </c>
      <c r="CM4600" s="65">
        <v>2.16</v>
      </c>
      <c r="CN4600" s="65">
        <v>2.2000000000000002</v>
      </c>
      <c r="CO4600" s="65">
        <v>0.08</v>
      </c>
      <c r="CP4600" s="65">
        <v>0.14000000000000001</v>
      </c>
      <c r="CQ4600" s="65" t="s">
        <v>2240</v>
      </c>
      <c r="GP4600" s="292" t="s">
        <v>7494</v>
      </c>
    </row>
    <row r="4601" spans="1:281" x14ac:dyDescent="0.25">
      <c r="A4601" s="55">
        <v>4600</v>
      </c>
      <c r="B4601" s="12" t="s">
        <v>7067</v>
      </c>
      <c r="C4601" s="155">
        <v>198</v>
      </c>
      <c r="D4601" s="55" t="s">
        <v>4523</v>
      </c>
      <c r="E4601" s="90" t="s">
        <v>4513</v>
      </c>
      <c r="G4601" s="55" t="s">
        <v>4512</v>
      </c>
      <c r="H4601" s="55">
        <v>2016</v>
      </c>
      <c r="I4601" s="55">
        <v>2014</v>
      </c>
      <c r="J4601" s="55" t="s">
        <v>4514</v>
      </c>
      <c r="K4601" s="55" t="s">
        <v>4515</v>
      </c>
      <c r="L4601" s="55" t="s">
        <v>4516</v>
      </c>
      <c r="M4601" s="90">
        <f>38+49.24/60</f>
        <v>38.820666666666668</v>
      </c>
      <c r="N4601" s="90">
        <f>-48.17/60</f>
        <v>-0.8028333333333334</v>
      </c>
      <c r="O4601" s="90">
        <v>581</v>
      </c>
      <c r="Q4601" s="55">
        <v>16.3</v>
      </c>
      <c r="S4601" s="90">
        <v>413</v>
      </c>
      <c r="U4601" s="55" t="s">
        <v>1679</v>
      </c>
      <c r="V4601" s="55" t="s">
        <v>1679</v>
      </c>
      <c r="Y4601" s="55" t="s">
        <v>4518</v>
      </c>
      <c r="Z4601" s="55" t="s">
        <v>1349</v>
      </c>
      <c r="AA4601" s="90" t="s">
        <v>1677</v>
      </c>
      <c r="AH4601" s="55" t="s">
        <v>139</v>
      </c>
      <c r="AI4601" s="168">
        <v>8.48</v>
      </c>
      <c r="AJ4601" s="90">
        <v>0.93</v>
      </c>
      <c r="AM4601" s="55" t="s">
        <v>4517</v>
      </c>
      <c r="AN4601" s="185" t="s">
        <v>241</v>
      </c>
      <c r="AO4601" s="185" t="s">
        <v>5150</v>
      </c>
      <c r="AQ4601" s="55" t="s">
        <v>553</v>
      </c>
      <c r="AR4601" s="55" t="s">
        <v>4519</v>
      </c>
      <c r="AS4601" s="55" t="s">
        <v>3471</v>
      </c>
      <c r="AU4601" s="181" t="s">
        <v>7494</v>
      </c>
      <c r="AV4601" s="185" t="s">
        <v>176</v>
      </c>
      <c r="AX4601" s="185" t="s">
        <v>176</v>
      </c>
      <c r="BE4601" s="226" t="s">
        <v>4521</v>
      </c>
      <c r="BG4601" s="191" t="s">
        <v>479</v>
      </c>
      <c r="BH4601" s="226" t="s">
        <v>4522</v>
      </c>
      <c r="BI4601" s="191" t="s">
        <v>479</v>
      </c>
      <c r="BJ4601" s="55" t="s">
        <v>479</v>
      </c>
      <c r="BK4601" s="55" t="s">
        <v>5976</v>
      </c>
      <c r="BM4601" s="192" t="s">
        <v>160</v>
      </c>
      <c r="BN4601" s="55">
        <v>6</v>
      </c>
      <c r="BO4601" s="55">
        <v>6</v>
      </c>
      <c r="BQ4601" s="55" t="s">
        <v>2077</v>
      </c>
      <c r="CM4601" s="65">
        <v>0.86</v>
      </c>
      <c r="CN4601" s="65">
        <v>1.65</v>
      </c>
      <c r="CO4601" s="65">
        <f>0.02*SQRT(6)</f>
        <v>4.8989794855663557E-2</v>
      </c>
      <c r="CP4601" s="65">
        <f>0.07*SQRT(6)</f>
        <v>0.17146428199482247</v>
      </c>
      <c r="CQ4601" s="65" t="s">
        <v>2240</v>
      </c>
      <c r="DB4601" s="65">
        <v>0.44</v>
      </c>
      <c r="DC4601" s="65">
        <v>1.28</v>
      </c>
      <c r="DD4601" s="65">
        <f>0.02*SQRT(6)</f>
        <v>4.8989794855663557E-2</v>
      </c>
      <c r="DE4601" s="65">
        <f>0.08*SQRT(6)</f>
        <v>0.19595917942265423</v>
      </c>
      <c r="DG4601" s="65">
        <v>21</v>
      </c>
      <c r="DH4601" s="65">
        <v>30</v>
      </c>
      <c r="DI4601" s="65">
        <f>1*SQRT(6)</f>
        <v>2.4494897427831779</v>
      </c>
      <c r="DJ4601" s="65">
        <f>3*SQRT(6)</f>
        <v>7.3484692283495336</v>
      </c>
      <c r="DQ4601" s="165">
        <v>8.51</v>
      </c>
      <c r="DR4601" s="165">
        <v>8.31</v>
      </c>
      <c r="DS4601" s="162">
        <f>0.01*SQRT(6)</f>
        <v>2.4494897427831779E-2</v>
      </c>
      <c r="DT4601" s="162">
        <f>0.03*SQRT(6)</f>
        <v>7.3484692283495329E-2</v>
      </c>
      <c r="EA4601" s="65">
        <v>120</v>
      </c>
      <c r="EB4601" s="65">
        <v>167</v>
      </c>
      <c r="EC4601" s="65">
        <f>2*SQRT(6)</f>
        <v>4.8989794855663558</v>
      </c>
      <c r="ED4601" s="65">
        <f>8*SQRT(6)</f>
        <v>19.595917942265423</v>
      </c>
      <c r="GP4601" s="292" t="s">
        <v>7494</v>
      </c>
      <c r="HN4601" s="65">
        <v>12.1</v>
      </c>
      <c r="HO4601" s="65">
        <v>22.6</v>
      </c>
      <c r="HP4601" s="65">
        <f>1.8*SQRT(6)</f>
        <v>4.4090815370097207</v>
      </c>
      <c r="HQ4601" s="65">
        <f>1.3*SQRT(6)</f>
        <v>3.1843366656181313</v>
      </c>
      <c r="HR4601" s="65" t="s">
        <v>3560</v>
      </c>
      <c r="HS4601" s="65">
        <v>0.7</v>
      </c>
      <c r="HT4601" s="65">
        <v>1.5</v>
      </c>
      <c r="HU4601" s="65">
        <f>0.1*SQRT(6)</f>
        <v>0.2449489742783178</v>
      </c>
      <c r="HV4601" s="65">
        <f>0.1*SQRT(6)</f>
        <v>0.2449489742783178</v>
      </c>
      <c r="HW4601" s="65" t="s">
        <v>4524</v>
      </c>
      <c r="JU4601" s="55" t="s">
        <v>4525</v>
      </c>
    </row>
    <row r="4602" spans="1:281" x14ac:dyDescent="0.25">
      <c r="A4602" s="55">
        <v>4601</v>
      </c>
      <c r="B4602" s="12" t="s">
        <v>7067</v>
      </c>
      <c r="C4602" s="155">
        <v>199</v>
      </c>
      <c r="D4602" s="55" t="s">
        <v>4541</v>
      </c>
      <c r="E4602" s="90" t="s">
        <v>4526</v>
      </c>
      <c r="G4602" s="55" t="s">
        <v>4527</v>
      </c>
      <c r="H4602" s="55">
        <v>2010</v>
      </c>
      <c r="I4602" s="55">
        <v>2008</v>
      </c>
      <c r="J4602" s="55" t="s">
        <v>4514</v>
      </c>
      <c r="K4602" s="55" t="s">
        <v>4528</v>
      </c>
      <c r="L4602" s="55" t="s">
        <v>4516</v>
      </c>
      <c r="M4602" s="90">
        <f>40+21/60</f>
        <v>40.35</v>
      </c>
      <c r="N4602" s="90">
        <f>-3-22/60</f>
        <v>-3.3666666666666667</v>
      </c>
      <c r="O4602" s="90">
        <v>800</v>
      </c>
      <c r="Q4602" s="55">
        <v>14</v>
      </c>
      <c r="S4602" s="90">
        <v>400</v>
      </c>
      <c r="U4602" s="55" t="s">
        <v>1688</v>
      </c>
      <c r="V4602" s="55" t="s">
        <v>1688</v>
      </c>
      <c r="Y4602" s="55" t="s">
        <v>3378</v>
      </c>
      <c r="Z4602" s="55" t="s">
        <v>1355</v>
      </c>
      <c r="AA4602" s="90" t="s">
        <v>1679</v>
      </c>
      <c r="AD4602" s="90">
        <v>1.2</v>
      </c>
      <c r="AH4602" s="55" t="s">
        <v>238</v>
      </c>
      <c r="AI4602" s="168">
        <v>8.6999999999999993</v>
      </c>
      <c r="AM4602" s="55" t="s">
        <v>4529</v>
      </c>
      <c r="AN4602" s="185" t="s">
        <v>4531</v>
      </c>
      <c r="AO4602" s="185" t="s">
        <v>5150</v>
      </c>
      <c r="AQ4602" s="55" t="s">
        <v>1545</v>
      </c>
      <c r="AR4602" s="55" t="s">
        <v>4532</v>
      </c>
      <c r="AS4602" s="55" t="s">
        <v>3471</v>
      </c>
      <c r="AU4602" s="181" t="s">
        <v>7494</v>
      </c>
      <c r="AV4602" s="185" t="s">
        <v>176</v>
      </c>
      <c r="AX4602" s="185" t="s">
        <v>176</v>
      </c>
      <c r="AZ4602" s="55" t="s">
        <v>4530</v>
      </c>
      <c r="BA4602" s="55" t="s">
        <v>4530</v>
      </c>
      <c r="BB4602" s="55" t="s">
        <v>2081</v>
      </c>
      <c r="BC4602" s="55" t="s">
        <v>2081</v>
      </c>
      <c r="BD4602" s="55" t="s">
        <v>176</v>
      </c>
      <c r="BK4602" s="55" t="s">
        <v>5976</v>
      </c>
      <c r="BM4602" s="192" t="s">
        <v>160</v>
      </c>
      <c r="BN4602" s="55">
        <v>3</v>
      </c>
      <c r="BO4602" s="55">
        <v>3</v>
      </c>
      <c r="BP4602" s="55">
        <v>3</v>
      </c>
      <c r="BQ4602" s="55" t="s">
        <v>2077</v>
      </c>
      <c r="CB4602" s="66">
        <v>0.15</v>
      </c>
      <c r="CC4602" s="66">
        <v>0.08</v>
      </c>
      <c r="CE4602" s="65">
        <v>0.1</v>
      </c>
      <c r="CF4602" s="65">
        <v>7.0000000000000007E-2</v>
      </c>
      <c r="CG4602" s="65" t="s">
        <v>4540</v>
      </c>
      <c r="CM4602" s="65">
        <v>1.1930000000000001</v>
      </c>
      <c r="CN4602" s="65">
        <v>1.4410000000000001</v>
      </c>
      <c r="CO4602" s="65">
        <v>0.308</v>
      </c>
      <c r="CP4602" s="65">
        <v>0.18099999999999999</v>
      </c>
      <c r="CQ4602" s="65" t="s">
        <v>4539</v>
      </c>
      <c r="EK4602" s="90">
        <v>7.91</v>
      </c>
      <c r="EL4602" s="90">
        <v>8.1</v>
      </c>
      <c r="EM4602" s="65">
        <v>1.21</v>
      </c>
      <c r="EN4602" s="65">
        <v>1.53</v>
      </c>
      <c r="EU4602" s="65">
        <v>343</v>
      </c>
      <c r="EV4602" s="65">
        <v>478</v>
      </c>
      <c r="EW4602" s="65">
        <v>43</v>
      </c>
      <c r="EX4602" s="65">
        <v>17</v>
      </c>
      <c r="EY4602" s="65" t="s">
        <v>4538</v>
      </c>
      <c r="FJ4602" s="65">
        <f>1/1000000*100*100*1059</f>
        <v>10.589999999999998</v>
      </c>
      <c r="FK4602" s="65">
        <f>1/1000000*100*100*70</f>
        <v>0.69999999999999984</v>
      </c>
      <c r="FN4602" s="65" t="s">
        <v>4533</v>
      </c>
      <c r="FO4602" s="65">
        <v>20</v>
      </c>
      <c r="FP4602" s="65">
        <v>16</v>
      </c>
      <c r="FS4602" s="65" t="s">
        <v>4534</v>
      </c>
      <c r="GD4602" s="65">
        <v>0.16600000000000001</v>
      </c>
      <c r="GE4602" s="65">
        <v>0.16800000000000001</v>
      </c>
      <c r="GF4602" s="65">
        <v>2.4E-2</v>
      </c>
      <c r="GG4602" s="65">
        <v>2.3E-2</v>
      </c>
      <c r="GH4602" s="65" t="s">
        <v>4537</v>
      </c>
      <c r="GP4602" s="292" t="s">
        <v>7494</v>
      </c>
    </row>
    <row r="4603" spans="1:281" x14ac:dyDescent="0.25">
      <c r="A4603" s="55">
        <v>4602</v>
      </c>
      <c r="B4603" s="12" t="s">
        <v>7067</v>
      </c>
      <c r="C4603" s="155">
        <v>199</v>
      </c>
      <c r="D4603" s="55" t="s">
        <v>4542</v>
      </c>
      <c r="E4603" s="90" t="s">
        <v>4526</v>
      </c>
      <c r="G4603" s="55" t="s">
        <v>4527</v>
      </c>
      <c r="H4603" s="55">
        <v>2010</v>
      </c>
      <c r="I4603" s="55">
        <v>2008</v>
      </c>
      <c r="J4603" s="55" t="s">
        <v>4514</v>
      </c>
      <c r="K4603" s="55" t="s">
        <v>4528</v>
      </c>
      <c r="L4603" s="55" t="s">
        <v>4516</v>
      </c>
      <c r="M4603" s="90">
        <f>40+21/60</f>
        <v>40.35</v>
      </c>
      <c r="N4603" s="90">
        <f>-3-22/60</f>
        <v>-3.3666666666666667</v>
      </c>
      <c r="O4603" s="90">
        <v>800</v>
      </c>
      <c r="Q4603" s="55">
        <v>14</v>
      </c>
      <c r="S4603" s="90">
        <v>400</v>
      </c>
      <c r="U4603" s="55" t="s">
        <v>1688</v>
      </c>
      <c r="V4603" s="55" t="s">
        <v>1688</v>
      </c>
      <c r="Y4603" s="55" t="s">
        <v>3378</v>
      </c>
      <c r="Z4603" s="55" t="s">
        <v>1355</v>
      </c>
      <c r="AA4603" s="90" t="s">
        <v>1679</v>
      </c>
      <c r="AD4603" s="90">
        <v>1.2</v>
      </c>
      <c r="AH4603" s="55" t="s">
        <v>238</v>
      </c>
      <c r="AI4603" s="168">
        <v>8.6999999999999993</v>
      </c>
      <c r="AM4603" s="55" t="s">
        <v>4529</v>
      </c>
      <c r="AN4603" s="185" t="s">
        <v>3536</v>
      </c>
      <c r="AO4603" s="185" t="s">
        <v>5150</v>
      </c>
      <c r="AQ4603" s="55" t="s">
        <v>1545</v>
      </c>
      <c r="AR4603" s="55" t="s">
        <v>4532</v>
      </c>
      <c r="AS4603" s="55" t="s">
        <v>3471</v>
      </c>
      <c r="AU4603" s="181" t="s">
        <v>7494</v>
      </c>
      <c r="AV4603" s="185" t="s">
        <v>176</v>
      </c>
      <c r="AX4603" s="185" t="s">
        <v>176</v>
      </c>
      <c r="AZ4603" s="55" t="s">
        <v>4530</v>
      </c>
      <c r="BA4603" s="55" t="s">
        <v>4530</v>
      </c>
      <c r="BB4603" s="55" t="s">
        <v>2081</v>
      </c>
      <c r="BC4603" s="55" t="s">
        <v>2081</v>
      </c>
      <c r="BD4603" s="55" t="s">
        <v>176</v>
      </c>
      <c r="BK4603" s="55" t="s">
        <v>5976</v>
      </c>
      <c r="BM4603" s="192" t="s">
        <v>160</v>
      </c>
      <c r="BN4603" s="55">
        <v>3</v>
      </c>
      <c r="BO4603" s="55">
        <v>3</v>
      </c>
      <c r="BP4603" s="55">
        <v>3</v>
      </c>
      <c r="BQ4603" s="55" t="s">
        <v>2077</v>
      </c>
      <c r="CB4603" s="66">
        <v>0.15</v>
      </c>
      <c r="CC4603" s="66">
        <v>0.11</v>
      </c>
      <c r="CE4603" s="65">
        <v>0.1</v>
      </c>
      <c r="CF4603" s="65">
        <v>0.06</v>
      </c>
      <c r="CG4603" s="65" t="s">
        <v>4540</v>
      </c>
      <c r="CM4603" s="65">
        <v>1.1930000000000001</v>
      </c>
      <c r="CN4603" s="65">
        <v>1.2</v>
      </c>
      <c r="CO4603" s="65">
        <v>0.308</v>
      </c>
      <c r="CP4603" s="65">
        <v>0.29199999999999998</v>
      </c>
      <c r="CQ4603" s="65" t="s">
        <v>4539</v>
      </c>
      <c r="EK4603" s="90">
        <v>7.91</v>
      </c>
      <c r="EL4603" s="90">
        <v>8.27</v>
      </c>
      <c r="EM4603" s="65">
        <v>1.21</v>
      </c>
      <c r="EN4603" s="65">
        <v>2.54</v>
      </c>
      <c r="EU4603" s="65">
        <v>343</v>
      </c>
      <c r="EV4603" s="65">
        <v>422</v>
      </c>
      <c r="EW4603" s="65">
        <v>43</v>
      </c>
      <c r="EX4603" s="65">
        <v>49</v>
      </c>
      <c r="EY4603" s="65" t="s">
        <v>4538</v>
      </c>
      <c r="FJ4603" s="65">
        <f>1/1000000*100*100*1059</f>
        <v>10.589999999999998</v>
      </c>
      <c r="FK4603" s="65">
        <f>1/1000000*100*100*62</f>
        <v>0.61999999999999988</v>
      </c>
      <c r="FN4603" s="65" t="s">
        <v>4533</v>
      </c>
      <c r="FO4603" s="65">
        <v>20</v>
      </c>
      <c r="FP4603" s="65">
        <v>30</v>
      </c>
      <c r="FS4603" s="65" t="s">
        <v>4534</v>
      </c>
      <c r="GD4603" s="65">
        <v>0.16600000000000001</v>
      </c>
      <c r="GE4603" s="65">
        <v>0.16500000000000001</v>
      </c>
      <c r="GF4603" s="65">
        <v>2.4E-2</v>
      </c>
      <c r="GG4603" s="65">
        <v>3.2000000000000001E-2</v>
      </c>
      <c r="GH4603" s="65" t="s">
        <v>4537</v>
      </c>
      <c r="GP4603" s="292" t="s">
        <v>7494</v>
      </c>
    </row>
    <row r="4604" spans="1:281" x14ac:dyDescent="0.25">
      <c r="A4604" s="55">
        <v>4603</v>
      </c>
      <c r="B4604" s="12" t="s">
        <v>7067</v>
      </c>
      <c r="C4604" s="155">
        <v>199</v>
      </c>
      <c r="D4604" s="55" t="s">
        <v>4543</v>
      </c>
      <c r="E4604" s="90" t="s">
        <v>4526</v>
      </c>
      <c r="G4604" s="55" t="s">
        <v>4527</v>
      </c>
      <c r="H4604" s="55">
        <v>2010</v>
      </c>
      <c r="I4604" s="55">
        <v>2008</v>
      </c>
      <c r="J4604" s="55" t="s">
        <v>4514</v>
      </c>
      <c r="K4604" s="55" t="s">
        <v>4528</v>
      </c>
      <c r="L4604" s="55" t="s">
        <v>4516</v>
      </c>
      <c r="M4604" s="90">
        <f>40+21/60</f>
        <v>40.35</v>
      </c>
      <c r="N4604" s="90">
        <f>-3-22/60</f>
        <v>-3.3666666666666667</v>
      </c>
      <c r="O4604" s="90">
        <v>800</v>
      </c>
      <c r="Q4604" s="55">
        <v>14</v>
      </c>
      <c r="S4604" s="90">
        <v>400</v>
      </c>
      <c r="U4604" s="55" t="s">
        <v>1688</v>
      </c>
      <c r="V4604" s="55" t="s">
        <v>1688</v>
      </c>
      <c r="Y4604" s="55" t="s">
        <v>3378</v>
      </c>
      <c r="Z4604" s="55" t="s">
        <v>4535</v>
      </c>
      <c r="AA4604" s="90" t="s">
        <v>4536</v>
      </c>
      <c r="AD4604" s="90">
        <v>1.2</v>
      </c>
      <c r="AH4604" s="55" t="s">
        <v>238</v>
      </c>
      <c r="AI4604" s="168">
        <v>8.6999999999999993</v>
      </c>
      <c r="AM4604" s="55" t="s">
        <v>4529</v>
      </c>
      <c r="AN4604" s="185" t="s">
        <v>4531</v>
      </c>
      <c r="AO4604" s="185" t="s">
        <v>5150</v>
      </c>
      <c r="AQ4604" s="55" t="s">
        <v>1545</v>
      </c>
      <c r="AR4604" s="55" t="s">
        <v>4532</v>
      </c>
      <c r="AS4604" s="55" t="s">
        <v>3471</v>
      </c>
      <c r="AU4604" s="181" t="s">
        <v>7494</v>
      </c>
      <c r="AV4604" s="185" t="s">
        <v>176</v>
      </c>
      <c r="AX4604" s="185" t="s">
        <v>176</v>
      </c>
      <c r="AZ4604" s="55" t="s">
        <v>4530</v>
      </c>
      <c r="BA4604" s="55" t="s">
        <v>4530</v>
      </c>
      <c r="BB4604" s="55" t="s">
        <v>2081</v>
      </c>
      <c r="BC4604" s="55" t="s">
        <v>2081</v>
      </c>
      <c r="BD4604" s="55" t="s">
        <v>176</v>
      </c>
      <c r="BK4604" s="55" t="s">
        <v>5976</v>
      </c>
      <c r="BM4604" s="192" t="s">
        <v>160</v>
      </c>
      <c r="BN4604" s="55">
        <v>3</v>
      </c>
      <c r="BO4604" s="55">
        <v>3</v>
      </c>
      <c r="BP4604" s="55">
        <v>3</v>
      </c>
      <c r="BQ4604" s="55" t="s">
        <v>2077</v>
      </c>
      <c r="CM4604" s="65">
        <v>0.98</v>
      </c>
      <c r="CN4604" s="65">
        <v>1.05</v>
      </c>
      <c r="CO4604" s="65">
        <v>0.06</v>
      </c>
      <c r="CP4604" s="65">
        <v>0.03</v>
      </c>
      <c r="CQ4604" s="65" t="s">
        <v>165</v>
      </c>
      <c r="GD4604" s="65">
        <v>0.16200000000000001</v>
      </c>
      <c r="GE4604" s="65">
        <v>0.14299999999999999</v>
      </c>
      <c r="GF4604" s="65">
        <v>2.9000000000000001E-2</v>
      </c>
      <c r="GG4604" s="65">
        <v>2.5000000000000001E-2</v>
      </c>
      <c r="GH4604" s="65" t="s">
        <v>4537</v>
      </c>
      <c r="GP4604" s="292" t="s">
        <v>7494</v>
      </c>
    </row>
    <row r="4605" spans="1:281" x14ac:dyDescent="0.25">
      <c r="A4605" s="55">
        <v>4604</v>
      </c>
      <c r="B4605" s="12" t="s">
        <v>7067</v>
      </c>
      <c r="C4605" s="155">
        <v>199</v>
      </c>
      <c r="D4605" s="55" t="s">
        <v>4544</v>
      </c>
      <c r="E4605" s="90" t="s">
        <v>4526</v>
      </c>
      <c r="G4605" s="55" t="s">
        <v>4527</v>
      </c>
      <c r="H4605" s="55">
        <v>2010</v>
      </c>
      <c r="I4605" s="55">
        <v>2008</v>
      </c>
      <c r="J4605" s="55" t="s">
        <v>4514</v>
      </c>
      <c r="K4605" s="55" t="s">
        <v>4528</v>
      </c>
      <c r="L4605" s="55" t="s">
        <v>4516</v>
      </c>
      <c r="M4605" s="90">
        <f>40+21/60</f>
        <v>40.35</v>
      </c>
      <c r="N4605" s="90">
        <f>-3-22/60</f>
        <v>-3.3666666666666667</v>
      </c>
      <c r="O4605" s="90">
        <v>800</v>
      </c>
      <c r="Q4605" s="55">
        <v>14</v>
      </c>
      <c r="S4605" s="90">
        <v>400</v>
      </c>
      <c r="U4605" s="55" t="s">
        <v>1688</v>
      </c>
      <c r="V4605" s="55" t="s">
        <v>1688</v>
      </c>
      <c r="Y4605" s="55" t="s">
        <v>3378</v>
      </c>
      <c r="Z4605" s="55" t="s">
        <v>4535</v>
      </c>
      <c r="AA4605" s="90" t="s">
        <v>4536</v>
      </c>
      <c r="AD4605" s="90">
        <v>1.2</v>
      </c>
      <c r="AH4605" s="55" t="s">
        <v>238</v>
      </c>
      <c r="AI4605" s="168">
        <v>8.6999999999999993</v>
      </c>
      <c r="AM4605" s="55" t="s">
        <v>4529</v>
      </c>
      <c r="AN4605" s="185" t="s">
        <v>3536</v>
      </c>
      <c r="AO4605" s="185" t="s">
        <v>5150</v>
      </c>
      <c r="AQ4605" s="55" t="s">
        <v>1545</v>
      </c>
      <c r="AR4605" s="55" t="s">
        <v>4532</v>
      </c>
      <c r="AS4605" s="55" t="s">
        <v>3471</v>
      </c>
      <c r="AU4605" s="181" t="s">
        <v>7494</v>
      </c>
      <c r="AV4605" s="185" t="s">
        <v>176</v>
      </c>
      <c r="AX4605" s="185" t="s">
        <v>176</v>
      </c>
      <c r="AZ4605" s="55" t="s">
        <v>4530</v>
      </c>
      <c r="BA4605" s="55" t="s">
        <v>4530</v>
      </c>
      <c r="BB4605" s="55" t="s">
        <v>2081</v>
      </c>
      <c r="BC4605" s="55" t="s">
        <v>2081</v>
      </c>
      <c r="BD4605" s="55" t="s">
        <v>176</v>
      </c>
      <c r="BK4605" s="55" t="s">
        <v>5976</v>
      </c>
      <c r="BM4605" s="192" t="s">
        <v>160</v>
      </c>
      <c r="BN4605" s="55">
        <v>3</v>
      </c>
      <c r="BO4605" s="55">
        <v>3</v>
      </c>
      <c r="BP4605" s="55">
        <v>3</v>
      </c>
      <c r="BQ4605" s="55" t="s">
        <v>2077</v>
      </c>
      <c r="CM4605" s="65">
        <v>0.98</v>
      </c>
      <c r="CN4605" s="65">
        <v>1.04</v>
      </c>
      <c r="CO4605" s="65">
        <v>0.06</v>
      </c>
      <c r="CP4605" s="65">
        <v>0.33</v>
      </c>
      <c r="CQ4605" s="65" t="s">
        <v>165</v>
      </c>
      <c r="GD4605" s="65">
        <v>0.16200000000000001</v>
      </c>
      <c r="GE4605" s="65">
        <v>0.159</v>
      </c>
      <c r="GF4605" s="65">
        <v>2.9000000000000001E-2</v>
      </c>
      <c r="GG4605" s="65">
        <v>0.04</v>
      </c>
      <c r="GH4605" s="65" t="s">
        <v>4537</v>
      </c>
      <c r="GP4605" s="292" t="s">
        <v>7494</v>
      </c>
    </row>
    <row r="4606" spans="1:281" x14ac:dyDescent="0.25">
      <c r="A4606" s="55">
        <v>4605</v>
      </c>
      <c r="B4606" s="12" t="s">
        <v>7067</v>
      </c>
      <c r="C4606" s="155">
        <v>200</v>
      </c>
      <c r="D4606" s="55" t="s">
        <v>4548</v>
      </c>
      <c r="E4606" s="90" t="s">
        <v>4556</v>
      </c>
      <c r="G4606" s="55" t="s">
        <v>3241</v>
      </c>
      <c r="H4606" s="55">
        <v>2009</v>
      </c>
      <c r="I4606" s="55">
        <v>2004</v>
      </c>
      <c r="J4606" s="55" t="s">
        <v>4514</v>
      </c>
      <c r="K4606" s="55" t="s">
        <v>4559</v>
      </c>
      <c r="L4606" s="55" t="s">
        <v>2741</v>
      </c>
      <c r="M4606" s="90">
        <f>40+23/60</f>
        <v>40.383333333333333</v>
      </c>
      <c r="N4606" s="90">
        <f>16+45/60</f>
        <v>16.75</v>
      </c>
      <c r="O4606" s="90">
        <v>25</v>
      </c>
      <c r="S4606" s="90">
        <v>550</v>
      </c>
      <c r="U4606" s="55" t="s">
        <v>1935</v>
      </c>
      <c r="V4606" s="55" t="s">
        <v>1816</v>
      </c>
      <c r="Y4606" s="55" t="s">
        <v>1863</v>
      </c>
      <c r="Z4606" s="55" t="s">
        <v>1349</v>
      </c>
      <c r="AA4606" s="90" t="s">
        <v>1677</v>
      </c>
      <c r="AE4606" s="90">
        <v>62.2</v>
      </c>
      <c r="AF4606" s="90">
        <v>18.3</v>
      </c>
      <c r="AH4606" s="55" t="s">
        <v>238</v>
      </c>
      <c r="AI4606" s="168">
        <v>7.64</v>
      </c>
      <c r="AM4606" s="55" t="s">
        <v>4557</v>
      </c>
      <c r="AO4606" s="185" t="s">
        <v>7494</v>
      </c>
      <c r="AR4606" s="55" t="s">
        <v>4545</v>
      </c>
      <c r="AS4606" s="55" t="s">
        <v>3471</v>
      </c>
      <c r="AU4606" s="181" t="s">
        <v>7494</v>
      </c>
      <c r="AV4606" s="185" t="s">
        <v>176</v>
      </c>
      <c r="AX4606" s="185" t="s">
        <v>176</v>
      </c>
      <c r="AZ4606" s="55" t="s">
        <v>4530</v>
      </c>
      <c r="BA4606" s="55" t="s">
        <v>216</v>
      </c>
      <c r="BB4606" s="55" t="s">
        <v>2081</v>
      </c>
      <c r="BC4606" s="55" t="s">
        <v>2082</v>
      </c>
      <c r="BD4606" s="55" t="s">
        <v>479</v>
      </c>
      <c r="BE4606" s="226" t="s">
        <v>4547</v>
      </c>
      <c r="BG4606" s="191" t="s">
        <v>176</v>
      </c>
      <c r="BH4606" s="226" t="s">
        <v>4546</v>
      </c>
      <c r="BI4606" s="191" t="s">
        <v>479</v>
      </c>
      <c r="BJ4606" s="55" t="s">
        <v>479</v>
      </c>
      <c r="BK4606" s="55" t="s">
        <v>6269</v>
      </c>
      <c r="BM4606" s="192" t="s">
        <v>160</v>
      </c>
      <c r="BN4606" s="55">
        <v>3</v>
      </c>
      <c r="BO4606" s="55">
        <v>3</v>
      </c>
      <c r="BQ4606" s="55" t="s">
        <v>141</v>
      </c>
      <c r="CB4606" s="66">
        <f>53500/4</f>
        <v>13375</v>
      </c>
      <c r="CC4606" s="66">
        <f>69000/4</f>
        <v>17250</v>
      </c>
      <c r="CM4606" s="65">
        <v>1.24</v>
      </c>
      <c r="CN4606" s="65">
        <v>1.34</v>
      </c>
      <c r="CQ4606" s="65" t="s">
        <v>164</v>
      </c>
      <c r="GP4606" s="292" t="s">
        <v>7494</v>
      </c>
      <c r="JU4606" s="55" t="s">
        <v>3164</v>
      </c>
    </row>
    <row r="4607" spans="1:281" x14ac:dyDescent="0.25">
      <c r="A4607" s="55">
        <v>4606</v>
      </c>
      <c r="B4607" s="12" t="s">
        <v>7067</v>
      </c>
      <c r="C4607" s="155">
        <v>200</v>
      </c>
      <c r="D4607" s="55" t="s">
        <v>4549</v>
      </c>
      <c r="E4607" s="90" t="s">
        <v>4556</v>
      </c>
      <c r="G4607" s="55" t="s">
        <v>3241</v>
      </c>
      <c r="H4607" s="55">
        <v>2009</v>
      </c>
      <c r="I4607" s="55">
        <v>2004</v>
      </c>
      <c r="J4607" s="55" t="s">
        <v>4514</v>
      </c>
      <c r="K4607" s="55" t="s">
        <v>4559</v>
      </c>
      <c r="L4607" s="55" t="s">
        <v>2741</v>
      </c>
      <c r="M4607" s="90">
        <f>40+23/60</f>
        <v>40.383333333333333</v>
      </c>
      <c r="N4607" s="90">
        <f>16+45/60</f>
        <v>16.75</v>
      </c>
      <c r="O4607" s="90">
        <v>25</v>
      </c>
      <c r="S4607" s="90">
        <v>550</v>
      </c>
      <c r="U4607" s="55" t="s">
        <v>1935</v>
      </c>
      <c r="V4607" s="55" t="s">
        <v>1816</v>
      </c>
      <c r="Y4607" s="55" t="s">
        <v>1863</v>
      </c>
      <c r="Z4607" s="55" t="s">
        <v>1357</v>
      </c>
      <c r="AA4607" s="90" t="s">
        <v>1677</v>
      </c>
      <c r="AE4607" s="90">
        <v>60</v>
      </c>
      <c r="AF4607" s="90">
        <v>20.6</v>
      </c>
      <c r="AH4607" s="55" t="s">
        <v>238</v>
      </c>
      <c r="AI4607" s="168">
        <v>7.64</v>
      </c>
      <c r="AM4607" s="55" t="s">
        <v>4557</v>
      </c>
      <c r="AO4607" s="185" t="s">
        <v>7494</v>
      </c>
      <c r="AR4607" s="55" t="s">
        <v>4545</v>
      </c>
      <c r="AS4607" s="55" t="s">
        <v>3471</v>
      </c>
      <c r="AU4607" s="181" t="s">
        <v>7494</v>
      </c>
      <c r="AV4607" s="185" t="s">
        <v>176</v>
      </c>
      <c r="AX4607" s="185" t="s">
        <v>176</v>
      </c>
      <c r="AZ4607" s="55" t="s">
        <v>4530</v>
      </c>
      <c r="BA4607" s="55" t="s">
        <v>216</v>
      </c>
      <c r="BB4607" s="55" t="s">
        <v>2081</v>
      </c>
      <c r="BC4607" s="55" t="s">
        <v>2082</v>
      </c>
      <c r="BD4607" s="55" t="s">
        <v>479</v>
      </c>
      <c r="BE4607" s="226" t="s">
        <v>4547</v>
      </c>
      <c r="BG4607" s="191" t="s">
        <v>176</v>
      </c>
      <c r="BH4607" s="226" t="s">
        <v>4546</v>
      </c>
      <c r="BI4607" s="191" t="s">
        <v>479</v>
      </c>
      <c r="BJ4607" s="55" t="s">
        <v>479</v>
      </c>
      <c r="BK4607" s="55" t="s">
        <v>6269</v>
      </c>
      <c r="BM4607" s="192" t="s">
        <v>160</v>
      </c>
      <c r="BN4607" s="55">
        <v>3</v>
      </c>
      <c r="BO4607" s="55">
        <v>3</v>
      </c>
      <c r="BQ4607" s="55" t="s">
        <v>141</v>
      </c>
      <c r="CM4607" s="65">
        <v>1.1499999999999999</v>
      </c>
      <c r="CN4607" s="65">
        <v>1.18</v>
      </c>
      <c r="CQ4607" s="65" t="s">
        <v>164</v>
      </c>
      <c r="GP4607" s="292" t="s">
        <v>7494</v>
      </c>
      <c r="JU4607" s="55" t="s">
        <v>3164</v>
      </c>
    </row>
    <row r="4608" spans="1:281" x14ac:dyDescent="0.25">
      <c r="A4608" s="55">
        <v>4607</v>
      </c>
      <c r="B4608" s="12" t="s">
        <v>7067</v>
      </c>
      <c r="C4608" s="155">
        <v>200</v>
      </c>
      <c r="D4608" s="55" t="s">
        <v>4550</v>
      </c>
      <c r="E4608" s="90" t="s">
        <v>4556</v>
      </c>
      <c r="G4608" s="55" t="s">
        <v>3241</v>
      </c>
      <c r="H4608" s="55">
        <v>2009</v>
      </c>
      <c r="I4608" s="55">
        <v>2004</v>
      </c>
      <c r="J4608" s="55" t="s">
        <v>4514</v>
      </c>
      <c r="K4608" s="55" t="s">
        <v>4559</v>
      </c>
      <c r="L4608" s="55" t="s">
        <v>2741</v>
      </c>
      <c r="M4608" s="90">
        <f>40+23/60</f>
        <v>40.383333333333333</v>
      </c>
      <c r="N4608" s="90">
        <f>16+45/60</f>
        <v>16.75</v>
      </c>
      <c r="O4608" s="90">
        <v>25</v>
      </c>
      <c r="S4608" s="90">
        <v>550</v>
      </c>
      <c r="U4608" s="55" t="s">
        <v>1935</v>
      </c>
      <c r="V4608" s="55" t="s">
        <v>1816</v>
      </c>
      <c r="Y4608" s="55" t="s">
        <v>1863</v>
      </c>
      <c r="Z4608" s="55" t="s">
        <v>1369</v>
      </c>
      <c r="AA4608" s="90" t="s">
        <v>1680</v>
      </c>
      <c r="AE4608" s="90">
        <v>65.2</v>
      </c>
      <c r="AF4608" s="90">
        <v>19.399999999999999</v>
      </c>
      <c r="AH4608" s="55" t="s">
        <v>238</v>
      </c>
      <c r="AI4608" s="168">
        <v>7.64</v>
      </c>
      <c r="AM4608" s="55" t="s">
        <v>4557</v>
      </c>
      <c r="AO4608" s="185" t="s">
        <v>7494</v>
      </c>
      <c r="AR4608" s="55" t="s">
        <v>4545</v>
      </c>
      <c r="AS4608" s="55" t="s">
        <v>3471</v>
      </c>
      <c r="AU4608" s="181" t="s">
        <v>7494</v>
      </c>
      <c r="AV4608" s="185" t="s">
        <v>176</v>
      </c>
      <c r="AX4608" s="185" t="s">
        <v>176</v>
      </c>
      <c r="AZ4608" s="55" t="s">
        <v>4530</v>
      </c>
      <c r="BA4608" s="55" t="s">
        <v>216</v>
      </c>
      <c r="BB4608" s="55" t="s">
        <v>2081</v>
      </c>
      <c r="BC4608" s="55" t="s">
        <v>2082</v>
      </c>
      <c r="BD4608" s="55" t="s">
        <v>479</v>
      </c>
      <c r="BE4608" s="226" t="s">
        <v>4547</v>
      </c>
      <c r="BG4608" s="191" t="s">
        <v>176</v>
      </c>
      <c r="BH4608" s="226" t="s">
        <v>4546</v>
      </c>
      <c r="BI4608" s="191" t="s">
        <v>479</v>
      </c>
      <c r="BJ4608" s="55" t="s">
        <v>479</v>
      </c>
      <c r="BK4608" s="55" t="s">
        <v>6269</v>
      </c>
      <c r="BM4608" s="192" t="s">
        <v>160</v>
      </c>
      <c r="BN4608" s="55">
        <v>3</v>
      </c>
      <c r="BO4608" s="55">
        <v>3</v>
      </c>
      <c r="BQ4608" s="55" t="s">
        <v>141</v>
      </c>
      <c r="CM4608" s="65">
        <v>0.71</v>
      </c>
      <c r="CN4608" s="65">
        <v>0.69</v>
      </c>
      <c r="CQ4608" s="65" t="s">
        <v>164</v>
      </c>
      <c r="GP4608" s="292" t="s">
        <v>7494</v>
      </c>
      <c r="JU4608" s="55" t="s">
        <v>3164</v>
      </c>
    </row>
    <row r="4609" spans="1:281" x14ac:dyDescent="0.25">
      <c r="A4609" s="55">
        <v>4608</v>
      </c>
      <c r="B4609" s="12" t="s">
        <v>7067</v>
      </c>
      <c r="C4609" s="155">
        <v>200</v>
      </c>
      <c r="D4609" s="55" t="s">
        <v>4551</v>
      </c>
      <c r="E4609" s="90" t="s">
        <v>4556</v>
      </c>
      <c r="G4609" s="55" t="s">
        <v>3241</v>
      </c>
      <c r="H4609" s="55">
        <v>2009</v>
      </c>
      <c r="I4609" s="55">
        <v>2004</v>
      </c>
      <c r="J4609" s="55" t="s">
        <v>4514</v>
      </c>
      <c r="K4609" s="55" t="s">
        <v>4559</v>
      </c>
      <c r="L4609" s="55" t="s">
        <v>2741</v>
      </c>
      <c r="M4609" s="90">
        <f>40+23/60</f>
        <v>40.383333333333333</v>
      </c>
      <c r="N4609" s="90">
        <f>16+45/60</f>
        <v>16.75</v>
      </c>
      <c r="O4609" s="90">
        <v>25</v>
      </c>
      <c r="S4609" s="90">
        <v>550</v>
      </c>
      <c r="U4609" s="55" t="s">
        <v>1935</v>
      </c>
      <c r="V4609" s="55" t="s">
        <v>1816</v>
      </c>
      <c r="Y4609" s="55" t="s">
        <v>1863</v>
      </c>
      <c r="Z4609" s="55" t="s">
        <v>1370</v>
      </c>
      <c r="AA4609" s="90" t="s">
        <v>1680</v>
      </c>
      <c r="AE4609" s="90">
        <v>40.799999999999997</v>
      </c>
      <c r="AF4609" s="90">
        <v>19.399999999999999</v>
      </c>
      <c r="AH4609" s="55" t="s">
        <v>238</v>
      </c>
      <c r="AI4609" s="168">
        <v>7.64</v>
      </c>
      <c r="AM4609" s="55" t="s">
        <v>4557</v>
      </c>
      <c r="AO4609" s="185" t="s">
        <v>7494</v>
      </c>
      <c r="AR4609" s="55" t="s">
        <v>4545</v>
      </c>
      <c r="AS4609" s="55" t="s">
        <v>3471</v>
      </c>
      <c r="AU4609" s="181" t="s">
        <v>7494</v>
      </c>
      <c r="AV4609" s="185" t="s">
        <v>176</v>
      </c>
      <c r="AX4609" s="185" t="s">
        <v>176</v>
      </c>
      <c r="AZ4609" s="55" t="s">
        <v>4530</v>
      </c>
      <c r="BA4609" s="55" t="s">
        <v>216</v>
      </c>
      <c r="BB4609" s="55" t="s">
        <v>2081</v>
      </c>
      <c r="BC4609" s="55" t="s">
        <v>2082</v>
      </c>
      <c r="BD4609" s="55" t="s">
        <v>479</v>
      </c>
      <c r="BE4609" s="226" t="s">
        <v>4547</v>
      </c>
      <c r="BG4609" s="191" t="s">
        <v>176</v>
      </c>
      <c r="BH4609" s="226" t="s">
        <v>4546</v>
      </c>
      <c r="BI4609" s="191" t="s">
        <v>479</v>
      </c>
      <c r="BJ4609" s="55" t="s">
        <v>479</v>
      </c>
      <c r="BK4609" s="55" t="s">
        <v>6269</v>
      </c>
      <c r="BM4609" s="192" t="s">
        <v>160</v>
      </c>
      <c r="BN4609" s="55">
        <v>3</v>
      </c>
      <c r="BO4609" s="55">
        <v>3</v>
      </c>
      <c r="BQ4609" s="55" t="s">
        <v>141</v>
      </c>
      <c r="CM4609" s="65">
        <v>0.5</v>
      </c>
      <c r="CN4609" s="65">
        <v>0.54</v>
      </c>
      <c r="CQ4609" s="65" t="s">
        <v>164</v>
      </c>
      <c r="GP4609" s="292" t="s">
        <v>7494</v>
      </c>
      <c r="JU4609" s="55" t="s">
        <v>3164</v>
      </c>
    </row>
    <row r="4610" spans="1:281" x14ac:dyDescent="0.25">
      <c r="A4610" s="55">
        <v>4609</v>
      </c>
      <c r="B4610" s="12" t="s">
        <v>7067</v>
      </c>
      <c r="C4610" s="155">
        <v>200</v>
      </c>
      <c r="D4610" s="55" t="s">
        <v>4552</v>
      </c>
      <c r="E4610" s="90" t="s">
        <v>4556</v>
      </c>
      <c r="G4610" s="55" t="s">
        <v>3241</v>
      </c>
      <c r="H4610" s="55">
        <v>2009</v>
      </c>
      <c r="I4610" s="55">
        <v>2004</v>
      </c>
      <c r="J4610" s="55" t="s">
        <v>4514</v>
      </c>
      <c r="K4610" s="55" t="s">
        <v>4559</v>
      </c>
      <c r="L4610" s="55" t="s">
        <v>2741</v>
      </c>
      <c r="M4610" s="90">
        <f>40+8/60</f>
        <v>40.133333333333333</v>
      </c>
      <c r="N4610" s="90">
        <f>16+38/60</f>
        <v>16.633333333333333</v>
      </c>
      <c r="O4610" s="90">
        <v>7</v>
      </c>
      <c r="S4610" s="90">
        <v>550</v>
      </c>
      <c r="U4610" s="55" t="s">
        <v>1935</v>
      </c>
      <c r="V4610" s="55" t="s">
        <v>1816</v>
      </c>
      <c r="Y4610" s="55" t="s">
        <v>1863</v>
      </c>
      <c r="Z4610" s="55" t="s">
        <v>1349</v>
      </c>
      <c r="AA4610" s="90" t="s">
        <v>1677</v>
      </c>
      <c r="AE4610" s="90">
        <v>25.4</v>
      </c>
      <c r="AF4610" s="90">
        <v>49.2</v>
      </c>
      <c r="AH4610" s="55" t="s">
        <v>645</v>
      </c>
      <c r="AI4610" s="168">
        <v>8.15</v>
      </c>
      <c r="AM4610" s="55" t="s">
        <v>4558</v>
      </c>
      <c r="AO4610" s="185" t="s">
        <v>7494</v>
      </c>
      <c r="AR4610" s="55" t="s">
        <v>3401</v>
      </c>
      <c r="AS4610" s="55" t="s">
        <v>3471</v>
      </c>
      <c r="AU4610" s="181" t="s">
        <v>7494</v>
      </c>
      <c r="AV4610" s="185" t="s">
        <v>176</v>
      </c>
      <c r="AX4610" s="185" t="s">
        <v>176</v>
      </c>
      <c r="AZ4610" s="55" t="s">
        <v>4530</v>
      </c>
      <c r="BA4610" s="55" t="s">
        <v>216</v>
      </c>
      <c r="BB4610" s="55" t="s">
        <v>2081</v>
      </c>
      <c r="BC4610" s="55" t="s">
        <v>2082</v>
      </c>
      <c r="BD4610" s="55" t="s">
        <v>479</v>
      </c>
      <c r="BE4610" s="226" t="s">
        <v>4547</v>
      </c>
      <c r="BG4610" s="191" t="s">
        <v>176</v>
      </c>
      <c r="BH4610" s="226" t="s">
        <v>4546</v>
      </c>
      <c r="BI4610" s="191" t="s">
        <v>479</v>
      </c>
      <c r="BJ4610" s="55" t="s">
        <v>479</v>
      </c>
      <c r="BK4610" s="55" t="s">
        <v>6269</v>
      </c>
      <c r="BM4610" s="192" t="s">
        <v>160</v>
      </c>
      <c r="BN4610" s="55">
        <v>3</v>
      </c>
      <c r="BO4610" s="55">
        <v>3</v>
      </c>
      <c r="BQ4610" s="55" t="s">
        <v>141</v>
      </c>
      <c r="CB4610" s="66">
        <f>136700/4</f>
        <v>34175</v>
      </c>
      <c r="CC4610" s="66">
        <f>91600/4</f>
        <v>22900</v>
      </c>
      <c r="CM4610" s="65">
        <v>1.1100000000000001</v>
      </c>
      <c r="CN4610" s="65">
        <v>1.1299999999999999</v>
      </c>
      <c r="CQ4610" s="65" t="s">
        <v>164</v>
      </c>
      <c r="GP4610" s="292" t="s">
        <v>7494</v>
      </c>
      <c r="JU4610" s="55" t="s">
        <v>3164</v>
      </c>
    </row>
    <row r="4611" spans="1:281" x14ac:dyDescent="0.25">
      <c r="A4611" s="55">
        <v>4610</v>
      </c>
      <c r="B4611" s="12" t="s">
        <v>7067</v>
      </c>
      <c r="C4611" s="155">
        <v>200</v>
      </c>
      <c r="D4611" s="55" t="s">
        <v>4553</v>
      </c>
      <c r="E4611" s="90" t="s">
        <v>4556</v>
      </c>
      <c r="G4611" s="55" t="s">
        <v>3241</v>
      </c>
      <c r="H4611" s="55">
        <v>2009</v>
      </c>
      <c r="I4611" s="55">
        <v>2004</v>
      </c>
      <c r="J4611" s="55" t="s">
        <v>4514</v>
      </c>
      <c r="K4611" s="55" t="s">
        <v>4559</v>
      </c>
      <c r="L4611" s="55" t="s">
        <v>2741</v>
      </c>
      <c r="M4611" s="90">
        <f>40+8/60</f>
        <v>40.133333333333333</v>
      </c>
      <c r="N4611" s="90">
        <f>16+38/60</f>
        <v>16.633333333333333</v>
      </c>
      <c r="O4611" s="90">
        <v>7</v>
      </c>
      <c r="S4611" s="90">
        <v>550</v>
      </c>
      <c r="U4611" s="55" t="s">
        <v>1935</v>
      </c>
      <c r="V4611" s="55" t="s">
        <v>1816</v>
      </c>
      <c r="Y4611" s="55" t="s">
        <v>1863</v>
      </c>
      <c r="Z4611" s="55" t="s">
        <v>1357</v>
      </c>
      <c r="AA4611" s="90" t="s">
        <v>1677</v>
      </c>
      <c r="AE4611" s="90">
        <v>24.6</v>
      </c>
      <c r="AF4611" s="90">
        <v>48.6</v>
      </c>
      <c r="AH4611" s="55" t="s">
        <v>645</v>
      </c>
      <c r="AI4611" s="168">
        <v>8.15</v>
      </c>
      <c r="AM4611" s="55" t="s">
        <v>4558</v>
      </c>
      <c r="AO4611" s="185" t="s">
        <v>7494</v>
      </c>
      <c r="AR4611" s="55" t="s">
        <v>3401</v>
      </c>
      <c r="AS4611" s="55" t="s">
        <v>3471</v>
      </c>
      <c r="AU4611" s="181" t="s">
        <v>7494</v>
      </c>
      <c r="AV4611" s="185" t="s">
        <v>176</v>
      </c>
      <c r="AX4611" s="185" t="s">
        <v>176</v>
      </c>
      <c r="AZ4611" s="55" t="s">
        <v>4530</v>
      </c>
      <c r="BA4611" s="55" t="s">
        <v>216</v>
      </c>
      <c r="BB4611" s="55" t="s">
        <v>2081</v>
      </c>
      <c r="BC4611" s="55" t="s">
        <v>2082</v>
      </c>
      <c r="BD4611" s="55" t="s">
        <v>479</v>
      </c>
      <c r="BE4611" s="226" t="s">
        <v>4547</v>
      </c>
      <c r="BG4611" s="191" t="s">
        <v>176</v>
      </c>
      <c r="BH4611" s="226" t="s">
        <v>4546</v>
      </c>
      <c r="BI4611" s="191" t="s">
        <v>479</v>
      </c>
      <c r="BJ4611" s="55" t="s">
        <v>479</v>
      </c>
      <c r="BK4611" s="55" t="s">
        <v>6269</v>
      </c>
      <c r="BM4611" s="192" t="s">
        <v>160</v>
      </c>
      <c r="BN4611" s="55">
        <v>3</v>
      </c>
      <c r="BO4611" s="55">
        <v>3</v>
      </c>
      <c r="BQ4611" s="55" t="s">
        <v>141</v>
      </c>
      <c r="CM4611" s="65">
        <v>1.23</v>
      </c>
      <c r="CN4611" s="65">
        <v>1.03</v>
      </c>
      <c r="CQ4611" s="65" t="s">
        <v>164</v>
      </c>
      <c r="GP4611" s="292" t="s">
        <v>7494</v>
      </c>
      <c r="JU4611" s="55" t="s">
        <v>3164</v>
      </c>
    </row>
    <row r="4612" spans="1:281" x14ac:dyDescent="0.25">
      <c r="A4612" s="55">
        <v>4611</v>
      </c>
      <c r="B4612" s="12" t="s">
        <v>7067</v>
      </c>
      <c r="C4612" s="155">
        <v>200</v>
      </c>
      <c r="D4612" s="55" t="s">
        <v>4554</v>
      </c>
      <c r="E4612" s="90" t="s">
        <v>4556</v>
      </c>
      <c r="G4612" s="55" t="s">
        <v>3241</v>
      </c>
      <c r="H4612" s="55">
        <v>2009</v>
      </c>
      <c r="I4612" s="55">
        <v>2004</v>
      </c>
      <c r="J4612" s="55" t="s">
        <v>4514</v>
      </c>
      <c r="K4612" s="55" t="s">
        <v>4559</v>
      </c>
      <c r="L4612" s="55" t="s">
        <v>2741</v>
      </c>
      <c r="M4612" s="90">
        <f>40+8/60</f>
        <v>40.133333333333333</v>
      </c>
      <c r="N4612" s="90">
        <f>16+38/60</f>
        <v>16.633333333333333</v>
      </c>
      <c r="O4612" s="90">
        <v>7</v>
      </c>
      <c r="S4612" s="90">
        <v>550</v>
      </c>
      <c r="U4612" s="55" t="s">
        <v>1935</v>
      </c>
      <c r="V4612" s="55" t="s">
        <v>1816</v>
      </c>
      <c r="Y4612" s="55" t="s">
        <v>1863</v>
      </c>
      <c r="Z4612" s="55" t="s">
        <v>1369</v>
      </c>
      <c r="AA4612" s="90" t="s">
        <v>1680</v>
      </c>
      <c r="AE4612" s="90">
        <v>22.1</v>
      </c>
      <c r="AF4612" s="90">
        <v>49.4</v>
      </c>
      <c r="AH4612" s="55" t="s">
        <v>645</v>
      </c>
      <c r="AI4612" s="168">
        <v>8.15</v>
      </c>
      <c r="AM4612" s="55" t="s">
        <v>4558</v>
      </c>
      <c r="AO4612" s="185" t="s">
        <v>7494</v>
      </c>
      <c r="AR4612" s="55" t="s">
        <v>3401</v>
      </c>
      <c r="AS4612" s="55" t="s">
        <v>3471</v>
      </c>
      <c r="AU4612" s="181" t="s">
        <v>7494</v>
      </c>
      <c r="AV4612" s="185" t="s">
        <v>176</v>
      </c>
      <c r="AX4612" s="185" t="s">
        <v>176</v>
      </c>
      <c r="AZ4612" s="55" t="s">
        <v>4530</v>
      </c>
      <c r="BA4612" s="55" t="s">
        <v>216</v>
      </c>
      <c r="BB4612" s="55" t="s">
        <v>2081</v>
      </c>
      <c r="BC4612" s="55" t="s">
        <v>2082</v>
      </c>
      <c r="BD4612" s="55" t="s">
        <v>479</v>
      </c>
      <c r="BE4612" s="226" t="s">
        <v>4547</v>
      </c>
      <c r="BG4612" s="191" t="s">
        <v>176</v>
      </c>
      <c r="BH4612" s="226" t="s">
        <v>4546</v>
      </c>
      <c r="BI4612" s="191" t="s">
        <v>479</v>
      </c>
      <c r="BJ4612" s="55" t="s">
        <v>479</v>
      </c>
      <c r="BK4612" s="55" t="s">
        <v>6269</v>
      </c>
      <c r="BM4612" s="192" t="s">
        <v>160</v>
      </c>
      <c r="BN4612" s="55">
        <v>3</v>
      </c>
      <c r="BO4612" s="55">
        <v>3</v>
      </c>
      <c r="BQ4612" s="55" t="s">
        <v>141</v>
      </c>
      <c r="CM4612" s="65">
        <v>0.89</v>
      </c>
      <c r="CN4612" s="65">
        <v>0.83</v>
      </c>
      <c r="CQ4612" s="65" t="s">
        <v>164</v>
      </c>
      <c r="GP4612" s="292" t="s">
        <v>7494</v>
      </c>
      <c r="JU4612" s="55" t="s">
        <v>3164</v>
      </c>
    </row>
    <row r="4613" spans="1:281" x14ac:dyDescent="0.25">
      <c r="A4613" s="55">
        <v>4612</v>
      </c>
      <c r="B4613" s="12" t="s">
        <v>7067</v>
      </c>
      <c r="C4613" s="155">
        <v>200</v>
      </c>
      <c r="D4613" s="55" t="s">
        <v>4555</v>
      </c>
      <c r="E4613" s="90" t="s">
        <v>4556</v>
      </c>
      <c r="G4613" s="55" t="s">
        <v>3241</v>
      </c>
      <c r="H4613" s="55">
        <v>2009</v>
      </c>
      <c r="I4613" s="55">
        <v>2004</v>
      </c>
      <c r="J4613" s="55" t="s">
        <v>4514</v>
      </c>
      <c r="K4613" s="55" t="s">
        <v>4559</v>
      </c>
      <c r="L4613" s="55" t="s">
        <v>2741</v>
      </c>
      <c r="M4613" s="90">
        <f>40+8/60</f>
        <v>40.133333333333333</v>
      </c>
      <c r="N4613" s="90">
        <f>16+38/60</f>
        <v>16.633333333333333</v>
      </c>
      <c r="O4613" s="90">
        <v>7</v>
      </c>
      <c r="S4613" s="90">
        <v>550</v>
      </c>
      <c r="U4613" s="55" t="s">
        <v>1935</v>
      </c>
      <c r="V4613" s="55" t="s">
        <v>1816</v>
      </c>
      <c r="Y4613" s="55" t="s">
        <v>1863</v>
      </c>
      <c r="Z4613" s="55" t="s">
        <v>1370</v>
      </c>
      <c r="AA4613" s="90" t="s">
        <v>1680</v>
      </c>
      <c r="AE4613" s="90">
        <v>25.9</v>
      </c>
      <c r="AF4613" s="90">
        <v>45.6</v>
      </c>
      <c r="AH4613" s="55" t="s">
        <v>645</v>
      </c>
      <c r="AI4613" s="168">
        <v>8.15</v>
      </c>
      <c r="AM4613" s="55" t="s">
        <v>4558</v>
      </c>
      <c r="AO4613" s="185" t="s">
        <v>7494</v>
      </c>
      <c r="AR4613" s="55" t="s">
        <v>3401</v>
      </c>
      <c r="AS4613" s="55" t="s">
        <v>3471</v>
      </c>
      <c r="AU4613" s="181" t="s">
        <v>7494</v>
      </c>
      <c r="AV4613" s="185" t="s">
        <v>176</v>
      </c>
      <c r="AX4613" s="185" t="s">
        <v>176</v>
      </c>
      <c r="AZ4613" s="55" t="s">
        <v>4530</v>
      </c>
      <c r="BA4613" s="55" t="s">
        <v>216</v>
      </c>
      <c r="BB4613" s="55" t="s">
        <v>2081</v>
      </c>
      <c r="BC4613" s="55" t="s">
        <v>2082</v>
      </c>
      <c r="BD4613" s="55" t="s">
        <v>479</v>
      </c>
      <c r="BE4613" s="226" t="s">
        <v>4547</v>
      </c>
      <c r="BG4613" s="191" t="s">
        <v>176</v>
      </c>
      <c r="BH4613" s="226" t="s">
        <v>4546</v>
      </c>
      <c r="BI4613" s="191" t="s">
        <v>479</v>
      </c>
      <c r="BJ4613" s="55" t="s">
        <v>479</v>
      </c>
      <c r="BK4613" s="55" t="s">
        <v>6269</v>
      </c>
      <c r="BM4613" s="192" t="s">
        <v>160</v>
      </c>
      <c r="BN4613" s="55">
        <v>3</v>
      </c>
      <c r="BO4613" s="55">
        <v>3</v>
      </c>
      <c r="BQ4613" s="55" t="s">
        <v>141</v>
      </c>
      <c r="CM4613" s="65">
        <v>0.88</v>
      </c>
      <c r="CN4613" s="65">
        <v>0.83</v>
      </c>
      <c r="CQ4613" s="65" t="s">
        <v>164</v>
      </c>
      <c r="GP4613" s="292" t="s">
        <v>7494</v>
      </c>
      <c r="JU4613" s="55" t="s">
        <v>3164</v>
      </c>
    </row>
    <row r="4614" spans="1:281" x14ac:dyDescent="0.25">
      <c r="A4614" s="55">
        <v>4613</v>
      </c>
      <c r="B4614" s="12" t="s">
        <v>7067</v>
      </c>
      <c r="C4614" s="155">
        <v>200</v>
      </c>
      <c r="D4614" s="55" t="s">
        <v>4548</v>
      </c>
      <c r="E4614" s="90" t="s">
        <v>4556</v>
      </c>
      <c r="G4614" s="55" t="s">
        <v>3241</v>
      </c>
      <c r="H4614" s="55">
        <v>2009</v>
      </c>
      <c r="I4614" s="55">
        <v>2007</v>
      </c>
      <c r="J4614" s="55" t="s">
        <v>4514</v>
      </c>
      <c r="K4614" s="55" t="s">
        <v>4559</v>
      </c>
      <c r="L4614" s="55" t="s">
        <v>2741</v>
      </c>
      <c r="M4614" s="90">
        <f>40+23/60</f>
        <v>40.383333333333333</v>
      </c>
      <c r="N4614" s="90">
        <f>16+45/60</f>
        <v>16.75</v>
      </c>
      <c r="O4614" s="90">
        <v>25</v>
      </c>
      <c r="S4614" s="90">
        <v>550</v>
      </c>
      <c r="U4614" s="55" t="s">
        <v>1816</v>
      </c>
      <c r="V4614" s="55" t="s">
        <v>1816</v>
      </c>
      <c r="Y4614" s="55" t="s">
        <v>1863</v>
      </c>
      <c r="Z4614" s="55" t="s">
        <v>1349</v>
      </c>
      <c r="AA4614" s="90" t="s">
        <v>1677</v>
      </c>
      <c r="AE4614" s="90">
        <v>62.2</v>
      </c>
      <c r="AF4614" s="90">
        <v>18.3</v>
      </c>
      <c r="AH4614" s="55" t="s">
        <v>238</v>
      </c>
      <c r="AI4614" s="168">
        <v>7.64</v>
      </c>
      <c r="AM4614" s="55" t="s">
        <v>4557</v>
      </c>
      <c r="AO4614" s="185" t="s">
        <v>7494</v>
      </c>
      <c r="AR4614" s="55" t="s">
        <v>4545</v>
      </c>
      <c r="AS4614" s="55" t="s">
        <v>3471</v>
      </c>
      <c r="AU4614" s="181" t="s">
        <v>7494</v>
      </c>
      <c r="AV4614" s="185" t="s">
        <v>176</v>
      </c>
      <c r="AX4614" s="185" t="s">
        <v>176</v>
      </c>
      <c r="AZ4614" s="55" t="s">
        <v>4530</v>
      </c>
      <c r="BA4614" s="55" t="s">
        <v>216</v>
      </c>
      <c r="BB4614" s="55" t="s">
        <v>2081</v>
      </c>
      <c r="BC4614" s="55" t="s">
        <v>2082</v>
      </c>
      <c r="BD4614" s="55" t="s">
        <v>479</v>
      </c>
      <c r="BE4614" s="226" t="s">
        <v>4547</v>
      </c>
      <c r="BG4614" s="191" t="s">
        <v>176</v>
      </c>
      <c r="BH4614" s="226" t="s">
        <v>4546</v>
      </c>
      <c r="BI4614" s="191" t="s">
        <v>479</v>
      </c>
      <c r="BJ4614" s="55" t="s">
        <v>479</v>
      </c>
      <c r="BK4614" s="55" t="s">
        <v>6269</v>
      </c>
      <c r="BM4614" s="192" t="s">
        <v>160</v>
      </c>
      <c r="BN4614" s="55">
        <v>3</v>
      </c>
      <c r="BO4614" s="55">
        <v>3</v>
      </c>
      <c r="BQ4614" s="55" t="s">
        <v>141</v>
      </c>
      <c r="CM4614" s="65">
        <v>1.28</v>
      </c>
      <c r="CN4614" s="65">
        <v>1.39</v>
      </c>
      <c r="CQ4614" s="65" t="s">
        <v>164</v>
      </c>
      <c r="GP4614" s="292" t="s">
        <v>7494</v>
      </c>
      <c r="JU4614" s="55" t="s">
        <v>3164</v>
      </c>
    </row>
    <row r="4615" spans="1:281" x14ac:dyDescent="0.25">
      <c r="A4615" s="55">
        <v>4614</v>
      </c>
      <c r="B4615" s="12" t="s">
        <v>7067</v>
      </c>
      <c r="C4615" s="155">
        <v>200</v>
      </c>
      <c r="D4615" s="55" t="s">
        <v>4549</v>
      </c>
      <c r="E4615" s="90" t="s">
        <v>4556</v>
      </c>
      <c r="G4615" s="55" t="s">
        <v>3241</v>
      </c>
      <c r="H4615" s="55">
        <v>2009</v>
      </c>
      <c r="I4615" s="55">
        <v>2007</v>
      </c>
      <c r="J4615" s="55" t="s">
        <v>4514</v>
      </c>
      <c r="K4615" s="55" t="s">
        <v>4559</v>
      </c>
      <c r="L4615" s="55" t="s">
        <v>2741</v>
      </c>
      <c r="M4615" s="90">
        <f>40+23/60</f>
        <v>40.383333333333333</v>
      </c>
      <c r="N4615" s="90">
        <f>16+45/60</f>
        <v>16.75</v>
      </c>
      <c r="O4615" s="90">
        <v>25</v>
      </c>
      <c r="S4615" s="90">
        <v>550</v>
      </c>
      <c r="U4615" s="55" t="s">
        <v>1816</v>
      </c>
      <c r="V4615" s="55" t="s">
        <v>1816</v>
      </c>
      <c r="Y4615" s="55" t="s">
        <v>1863</v>
      </c>
      <c r="Z4615" s="55" t="s">
        <v>1357</v>
      </c>
      <c r="AA4615" s="90" t="s">
        <v>1677</v>
      </c>
      <c r="AE4615" s="90">
        <v>60</v>
      </c>
      <c r="AF4615" s="90">
        <v>20.6</v>
      </c>
      <c r="AH4615" s="55" t="s">
        <v>238</v>
      </c>
      <c r="AI4615" s="168">
        <v>7.64</v>
      </c>
      <c r="AM4615" s="55" t="s">
        <v>4557</v>
      </c>
      <c r="AO4615" s="185" t="s">
        <v>7494</v>
      </c>
      <c r="AR4615" s="55" t="s">
        <v>4545</v>
      </c>
      <c r="AS4615" s="55" t="s">
        <v>3471</v>
      </c>
      <c r="AU4615" s="181" t="s">
        <v>7494</v>
      </c>
      <c r="AV4615" s="185" t="s">
        <v>176</v>
      </c>
      <c r="AX4615" s="185" t="s">
        <v>176</v>
      </c>
      <c r="AZ4615" s="55" t="s">
        <v>4530</v>
      </c>
      <c r="BA4615" s="55" t="s">
        <v>216</v>
      </c>
      <c r="BB4615" s="55" t="s">
        <v>2081</v>
      </c>
      <c r="BC4615" s="55" t="s">
        <v>2082</v>
      </c>
      <c r="BD4615" s="55" t="s">
        <v>479</v>
      </c>
      <c r="BE4615" s="226" t="s">
        <v>4547</v>
      </c>
      <c r="BG4615" s="191" t="s">
        <v>176</v>
      </c>
      <c r="BH4615" s="226" t="s">
        <v>4546</v>
      </c>
      <c r="BI4615" s="191" t="s">
        <v>479</v>
      </c>
      <c r="BJ4615" s="55" t="s">
        <v>479</v>
      </c>
      <c r="BK4615" s="55" t="s">
        <v>6269</v>
      </c>
      <c r="BM4615" s="192" t="s">
        <v>160</v>
      </c>
      <c r="BN4615" s="55">
        <v>3</v>
      </c>
      <c r="BO4615" s="55">
        <v>3</v>
      </c>
      <c r="BQ4615" s="55" t="s">
        <v>141</v>
      </c>
      <c r="CM4615" s="65">
        <v>1.26</v>
      </c>
      <c r="CN4615" s="65">
        <v>1.2</v>
      </c>
      <c r="CQ4615" s="65" t="s">
        <v>164</v>
      </c>
      <c r="GP4615" s="292" t="s">
        <v>7494</v>
      </c>
      <c r="JU4615" s="55" t="s">
        <v>3164</v>
      </c>
    </row>
    <row r="4616" spans="1:281" x14ac:dyDescent="0.25">
      <c r="A4616" s="55">
        <v>4615</v>
      </c>
      <c r="B4616" s="12" t="s">
        <v>7067</v>
      </c>
      <c r="C4616" s="155">
        <v>200</v>
      </c>
      <c r="D4616" s="55" t="s">
        <v>4550</v>
      </c>
      <c r="E4616" s="90" t="s">
        <v>4556</v>
      </c>
      <c r="G4616" s="55" t="s">
        <v>3241</v>
      </c>
      <c r="H4616" s="55">
        <v>2009</v>
      </c>
      <c r="I4616" s="55">
        <v>2007</v>
      </c>
      <c r="J4616" s="55" t="s">
        <v>4514</v>
      </c>
      <c r="K4616" s="55" t="s">
        <v>4559</v>
      </c>
      <c r="L4616" s="55" t="s">
        <v>2741</v>
      </c>
      <c r="M4616" s="90">
        <f>40+23/60</f>
        <v>40.383333333333333</v>
      </c>
      <c r="N4616" s="90">
        <f>16+45/60</f>
        <v>16.75</v>
      </c>
      <c r="O4616" s="90">
        <v>25</v>
      </c>
      <c r="S4616" s="90">
        <v>550</v>
      </c>
      <c r="U4616" s="55" t="s">
        <v>1816</v>
      </c>
      <c r="V4616" s="55" t="s">
        <v>1816</v>
      </c>
      <c r="Y4616" s="55" t="s">
        <v>1863</v>
      </c>
      <c r="Z4616" s="55" t="s">
        <v>1369</v>
      </c>
      <c r="AA4616" s="90" t="s">
        <v>1680</v>
      </c>
      <c r="AE4616" s="90">
        <v>65.2</v>
      </c>
      <c r="AF4616" s="90">
        <v>19.399999999999999</v>
      </c>
      <c r="AH4616" s="55" t="s">
        <v>238</v>
      </c>
      <c r="AI4616" s="168">
        <v>7.64</v>
      </c>
      <c r="AM4616" s="55" t="s">
        <v>4557</v>
      </c>
      <c r="AO4616" s="185" t="s">
        <v>7494</v>
      </c>
      <c r="AR4616" s="55" t="s">
        <v>4545</v>
      </c>
      <c r="AS4616" s="55" t="s">
        <v>3471</v>
      </c>
      <c r="AU4616" s="181" t="s">
        <v>7494</v>
      </c>
      <c r="AV4616" s="185" t="s">
        <v>176</v>
      </c>
      <c r="AX4616" s="185" t="s">
        <v>176</v>
      </c>
      <c r="AZ4616" s="55" t="s">
        <v>4530</v>
      </c>
      <c r="BA4616" s="55" t="s">
        <v>216</v>
      </c>
      <c r="BB4616" s="55" t="s">
        <v>2081</v>
      </c>
      <c r="BC4616" s="55" t="s">
        <v>2082</v>
      </c>
      <c r="BD4616" s="55" t="s">
        <v>479</v>
      </c>
      <c r="BE4616" s="226" t="s">
        <v>4547</v>
      </c>
      <c r="BG4616" s="191" t="s">
        <v>176</v>
      </c>
      <c r="BH4616" s="226" t="s">
        <v>4546</v>
      </c>
      <c r="BI4616" s="191" t="s">
        <v>479</v>
      </c>
      <c r="BJ4616" s="55" t="s">
        <v>479</v>
      </c>
      <c r="BK4616" s="55" t="s">
        <v>6269</v>
      </c>
      <c r="BM4616" s="192" t="s">
        <v>160</v>
      </c>
      <c r="BN4616" s="55">
        <v>3</v>
      </c>
      <c r="BO4616" s="55">
        <v>3</v>
      </c>
      <c r="BQ4616" s="55" t="s">
        <v>141</v>
      </c>
      <c r="CM4616" s="65">
        <v>0.79</v>
      </c>
      <c r="CN4616" s="65">
        <v>0.74</v>
      </c>
      <c r="CQ4616" s="65" t="s">
        <v>164</v>
      </c>
      <c r="GP4616" s="292" t="s">
        <v>7494</v>
      </c>
      <c r="JU4616" s="55" t="s">
        <v>3164</v>
      </c>
    </row>
    <row r="4617" spans="1:281" x14ac:dyDescent="0.25">
      <c r="A4617" s="55">
        <v>4616</v>
      </c>
      <c r="B4617" s="12" t="s">
        <v>7067</v>
      </c>
      <c r="C4617" s="155">
        <v>200</v>
      </c>
      <c r="D4617" s="55" t="s">
        <v>4551</v>
      </c>
      <c r="E4617" s="90" t="s">
        <v>4556</v>
      </c>
      <c r="G4617" s="55" t="s">
        <v>3241</v>
      </c>
      <c r="H4617" s="55">
        <v>2009</v>
      </c>
      <c r="I4617" s="55">
        <v>2007</v>
      </c>
      <c r="J4617" s="55" t="s">
        <v>4514</v>
      </c>
      <c r="K4617" s="55" t="s">
        <v>4559</v>
      </c>
      <c r="L4617" s="55" t="s">
        <v>2741</v>
      </c>
      <c r="M4617" s="90">
        <f>40+23/60</f>
        <v>40.383333333333333</v>
      </c>
      <c r="N4617" s="90">
        <f>16+45/60</f>
        <v>16.75</v>
      </c>
      <c r="O4617" s="90">
        <v>25</v>
      </c>
      <c r="S4617" s="90">
        <v>550</v>
      </c>
      <c r="U4617" s="55" t="s">
        <v>1816</v>
      </c>
      <c r="V4617" s="55" t="s">
        <v>1816</v>
      </c>
      <c r="Y4617" s="55" t="s">
        <v>1863</v>
      </c>
      <c r="Z4617" s="55" t="s">
        <v>1370</v>
      </c>
      <c r="AA4617" s="90" t="s">
        <v>1680</v>
      </c>
      <c r="AE4617" s="90">
        <v>40.799999999999997</v>
      </c>
      <c r="AF4617" s="90">
        <v>19.399999999999999</v>
      </c>
      <c r="AH4617" s="55" t="s">
        <v>238</v>
      </c>
      <c r="AI4617" s="168">
        <v>7.64</v>
      </c>
      <c r="AM4617" s="55" t="s">
        <v>4557</v>
      </c>
      <c r="AO4617" s="185" t="s">
        <v>7494</v>
      </c>
      <c r="AR4617" s="55" t="s">
        <v>4545</v>
      </c>
      <c r="AS4617" s="55" t="s">
        <v>3471</v>
      </c>
      <c r="AU4617" s="181" t="s">
        <v>7494</v>
      </c>
      <c r="AV4617" s="185" t="s">
        <v>176</v>
      </c>
      <c r="AX4617" s="185" t="s">
        <v>176</v>
      </c>
      <c r="AZ4617" s="55" t="s">
        <v>4530</v>
      </c>
      <c r="BA4617" s="55" t="s">
        <v>216</v>
      </c>
      <c r="BB4617" s="55" t="s">
        <v>2081</v>
      </c>
      <c r="BC4617" s="55" t="s">
        <v>2082</v>
      </c>
      <c r="BD4617" s="55" t="s">
        <v>479</v>
      </c>
      <c r="BE4617" s="226" t="s">
        <v>4547</v>
      </c>
      <c r="BG4617" s="191" t="s">
        <v>176</v>
      </c>
      <c r="BH4617" s="226" t="s">
        <v>4546</v>
      </c>
      <c r="BI4617" s="191" t="s">
        <v>479</v>
      </c>
      <c r="BJ4617" s="55" t="s">
        <v>479</v>
      </c>
      <c r="BK4617" s="55" t="s">
        <v>6269</v>
      </c>
      <c r="BM4617" s="192" t="s">
        <v>160</v>
      </c>
      <c r="BN4617" s="55">
        <v>3</v>
      </c>
      <c r="BO4617" s="55">
        <v>3</v>
      </c>
      <c r="BQ4617" s="55" t="s">
        <v>141</v>
      </c>
      <c r="CM4617" s="65">
        <v>0.55000000000000004</v>
      </c>
      <c r="CN4617" s="65">
        <v>0.65</v>
      </c>
      <c r="CQ4617" s="65" t="s">
        <v>164</v>
      </c>
      <c r="GP4617" s="292" t="s">
        <v>7494</v>
      </c>
      <c r="JU4617" s="55" t="s">
        <v>3164</v>
      </c>
    </row>
    <row r="4618" spans="1:281" x14ac:dyDescent="0.25">
      <c r="A4618" s="55">
        <v>4617</v>
      </c>
      <c r="B4618" s="12" t="s">
        <v>7067</v>
      </c>
      <c r="C4618" s="155">
        <v>200</v>
      </c>
      <c r="D4618" s="55" t="s">
        <v>4552</v>
      </c>
      <c r="E4618" s="90" t="s">
        <v>4556</v>
      </c>
      <c r="G4618" s="55" t="s">
        <v>3241</v>
      </c>
      <c r="H4618" s="55">
        <v>2009</v>
      </c>
      <c r="I4618" s="55">
        <v>2007</v>
      </c>
      <c r="J4618" s="55" t="s">
        <v>4514</v>
      </c>
      <c r="K4618" s="55" t="s">
        <v>4559</v>
      </c>
      <c r="L4618" s="55" t="s">
        <v>2741</v>
      </c>
      <c r="M4618" s="90">
        <f>40+8/60</f>
        <v>40.133333333333333</v>
      </c>
      <c r="N4618" s="90">
        <f>16+38/60</f>
        <v>16.633333333333333</v>
      </c>
      <c r="O4618" s="90">
        <v>7</v>
      </c>
      <c r="S4618" s="90">
        <v>550</v>
      </c>
      <c r="U4618" s="55" t="s">
        <v>1816</v>
      </c>
      <c r="V4618" s="55" t="s">
        <v>1816</v>
      </c>
      <c r="Y4618" s="55" t="s">
        <v>1863</v>
      </c>
      <c r="Z4618" s="55" t="s">
        <v>1349</v>
      </c>
      <c r="AA4618" s="90" t="s">
        <v>1677</v>
      </c>
      <c r="AE4618" s="90">
        <v>25.4</v>
      </c>
      <c r="AF4618" s="90">
        <v>49.2</v>
      </c>
      <c r="AH4618" s="55" t="s">
        <v>645</v>
      </c>
      <c r="AI4618" s="168">
        <v>8.15</v>
      </c>
      <c r="AM4618" s="55" t="s">
        <v>4558</v>
      </c>
      <c r="AO4618" s="185" t="s">
        <v>7494</v>
      </c>
      <c r="AR4618" s="55" t="s">
        <v>3401</v>
      </c>
      <c r="AS4618" s="55" t="s">
        <v>3471</v>
      </c>
      <c r="AU4618" s="181" t="s">
        <v>7494</v>
      </c>
      <c r="AV4618" s="185" t="s">
        <v>176</v>
      </c>
      <c r="AX4618" s="185" t="s">
        <v>176</v>
      </c>
      <c r="AZ4618" s="55" t="s">
        <v>4530</v>
      </c>
      <c r="BA4618" s="55" t="s">
        <v>216</v>
      </c>
      <c r="BB4618" s="55" t="s">
        <v>2081</v>
      </c>
      <c r="BC4618" s="55" t="s">
        <v>2082</v>
      </c>
      <c r="BD4618" s="55" t="s">
        <v>479</v>
      </c>
      <c r="BE4618" s="226" t="s">
        <v>4547</v>
      </c>
      <c r="BG4618" s="191" t="s">
        <v>176</v>
      </c>
      <c r="BH4618" s="226" t="s">
        <v>4546</v>
      </c>
      <c r="BI4618" s="191" t="s">
        <v>479</v>
      </c>
      <c r="BJ4618" s="55" t="s">
        <v>479</v>
      </c>
      <c r="BK4618" s="55" t="s">
        <v>6269</v>
      </c>
      <c r="BM4618" s="192" t="s">
        <v>160</v>
      </c>
      <c r="BN4618" s="55">
        <v>3</v>
      </c>
      <c r="BO4618" s="55">
        <v>3</v>
      </c>
      <c r="BQ4618" s="55" t="s">
        <v>141</v>
      </c>
      <c r="CM4618" s="65">
        <v>1.19</v>
      </c>
      <c r="CN4618" s="65">
        <v>1.27</v>
      </c>
      <c r="CQ4618" s="65" t="s">
        <v>164</v>
      </c>
      <c r="GP4618" s="292" t="s">
        <v>7494</v>
      </c>
      <c r="JU4618" s="55" t="s">
        <v>3164</v>
      </c>
    </row>
    <row r="4619" spans="1:281" x14ac:dyDescent="0.25">
      <c r="A4619" s="55">
        <v>4618</v>
      </c>
      <c r="B4619" s="12" t="s">
        <v>7067</v>
      </c>
      <c r="C4619" s="155">
        <v>200</v>
      </c>
      <c r="D4619" s="55" t="s">
        <v>4553</v>
      </c>
      <c r="E4619" s="90" t="s">
        <v>4556</v>
      </c>
      <c r="G4619" s="55" t="s">
        <v>3241</v>
      </c>
      <c r="H4619" s="55">
        <v>2009</v>
      </c>
      <c r="I4619" s="55">
        <v>2007</v>
      </c>
      <c r="J4619" s="55" t="s">
        <v>4514</v>
      </c>
      <c r="K4619" s="55" t="s">
        <v>4559</v>
      </c>
      <c r="L4619" s="55" t="s">
        <v>2741</v>
      </c>
      <c r="M4619" s="90">
        <f>40+8/60</f>
        <v>40.133333333333333</v>
      </c>
      <c r="N4619" s="90">
        <f>16+38/60</f>
        <v>16.633333333333333</v>
      </c>
      <c r="O4619" s="90">
        <v>7</v>
      </c>
      <c r="S4619" s="90">
        <v>550</v>
      </c>
      <c r="U4619" s="55" t="s">
        <v>1816</v>
      </c>
      <c r="V4619" s="55" t="s">
        <v>1816</v>
      </c>
      <c r="Y4619" s="55" t="s">
        <v>1863</v>
      </c>
      <c r="Z4619" s="55" t="s">
        <v>1357</v>
      </c>
      <c r="AA4619" s="90" t="s">
        <v>1677</v>
      </c>
      <c r="AE4619" s="90">
        <v>24.6</v>
      </c>
      <c r="AF4619" s="90">
        <v>48.6</v>
      </c>
      <c r="AH4619" s="55" t="s">
        <v>645</v>
      </c>
      <c r="AI4619" s="168">
        <v>8.15</v>
      </c>
      <c r="AM4619" s="55" t="s">
        <v>4558</v>
      </c>
      <c r="AO4619" s="185" t="s">
        <v>7494</v>
      </c>
      <c r="AR4619" s="55" t="s">
        <v>3401</v>
      </c>
      <c r="AS4619" s="55" t="s">
        <v>3471</v>
      </c>
      <c r="AU4619" s="181" t="s">
        <v>7494</v>
      </c>
      <c r="AV4619" s="185" t="s">
        <v>176</v>
      </c>
      <c r="AX4619" s="185" t="s">
        <v>176</v>
      </c>
      <c r="AZ4619" s="55" t="s">
        <v>4530</v>
      </c>
      <c r="BA4619" s="55" t="s">
        <v>216</v>
      </c>
      <c r="BB4619" s="55" t="s">
        <v>2081</v>
      </c>
      <c r="BC4619" s="55" t="s">
        <v>2082</v>
      </c>
      <c r="BD4619" s="55" t="s">
        <v>479</v>
      </c>
      <c r="BE4619" s="226" t="s">
        <v>4547</v>
      </c>
      <c r="BG4619" s="191" t="s">
        <v>176</v>
      </c>
      <c r="BH4619" s="226" t="s">
        <v>4546</v>
      </c>
      <c r="BI4619" s="191" t="s">
        <v>479</v>
      </c>
      <c r="BJ4619" s="55" t="s">
        <v>479</v>
      </c>
      <c r="BK4619" s="55" t="s">
        <v>6269</v>
      </c>
      <c r="BM4619" s="192" t="s">
        <v>160</v>
      </c>
      <c r="BN4619" s="55">
        <v>3</v>
      </c>
      <c r="BO4619" s="55">
        <v>3</v>
      </c>
      <c r="BQ4619" s="55" t="s">
        <v>141</v>
      </c>
      <c r="CM4619" s="65">
        <v>1.19</v>
      </c>
      <c r="CN4619" s="65">
        <v>1.17</v>
      </c>
      <c r="CQ4619" s="65" t="s">
        <v>164</v>
      </c>
      <c r="GP4619" s="292" t="s">
        <v>7494</v>
      </c>
      <c r="JU4619" s="55" t="s">
        <v>3164</v>
      </c>
    </row>
    <row r="4620" spans="1:281" x14ac:dyDescent="0.25">
      <c r="A4620" s="55">
        <v>4619</v>
      </c>
      <c r="B4620" s="12" t="s">
        <v>7067</v>
      </c>
      <c r="C4620" s="155">
        <v>200</v>
      </c>
      <c r="D4620" s="55" t="s">
        <v>4554</v>
      </c>
      <c r="E4620" s="90" t="s">
        <v>4556</v>
      </c>
      <c r="G4620" s="55" t="s">
        <v>3241</v>
      </c>
      <c r="H4620" s="55">
        <v>2009</v>
      </c>
      <c r="I4620" s="55">
        <v>2007</v>
      </c>
      <c r="J4620" s="55" t="s">
        <v>4514</v>
      </c>
      <c r="K4620" s="55" t="s">
        <v>4559</v>
      </c>
      <c r="L4620" s="55" t="s">
        <v>2741</v>
      </c>
      <c r="M4620" s="90">
        <f>40+8/60</f>
        <v>40.133333333333333</v>
      </c>
      <c r="N4620" s="90">
        <f>16+38/60</f>
        <v>16.633333333333333</v>
      </c>
      <c r="O4620" s="90">
        <v>7</v>
      </c>
      <c r="S4620" s="90">
        <v>550</v>
      </c>
      <c r="U4620" s="55" t="s">
        <v>1816</v>
      </c>
      <c r="V4620" s="55" t="s">
        <v>1816</v>
      </c>
      <c r="Y4620" s="55" t="s">
        <v>1863</v>
      </c>
      <c r="Z4620" s="55" t="s">
        <v>1369</v>
      </c>
      <c r="AA4620" s="90" t="s">
        <v>1680</v>
      </c>
      <c r="AE4620" s="90">
        <v>22.1</v>
      </c>
      <c r="AF4620" s="90">
        <v>49.4</v>
      </c>
      <c r="AH4620" s="55" t="s">
        <v>645</v>
      </c>
      <c r="AI4620" s="168">
        <v>8.15</v>
      </c>
      <c r="AM4620" s="55" t="s">
        <v>4558</v>
      </c>
      <c r="AO4620" s="185" t="s">
        <v>7494</v>
      </c>
      <c r="AR4620" s="55" t="s">
        <v>3401</v>
      </c>
      <c r="AS4620" s="55" t="s">
        <v>3471</v>
      </c>
      <c r="AU4620" s="181" t="s">
        <v>7494</v>
      </c>
      <c r="AV4620" s="185" t="s">
        <v>176</v>
      </c>
      <c r="AX4620" s="185" t="s">
        <v>176</v>
      </c>
      <c r="AZ4620" s="55" t="s">
        <v>4530</v>
      </c>
      <c r="BA4620" s="55" t="s">
        <v>216</v>
      </c>
      <c r="BB4620" s="55" t="s">
        <v>2081</v>
      </c>
      <c r="BC4620" s="55" t="s">
        <v>2082</v>
      </c>
      <c r="BD4620" s="55" t="s">
        <v>479</v>
      </c>
      <c r="BE4620" s="226" t="s">
        <v>4547</v>
      </c>
      <c r="BG4620" s="191" t="s">
        <v>176</v>
      </c>
      <c r="BH4620" s="226" t="s">
        <v>4546</v>
      </c>
      <c r="BI4620" s="191" t="s">
        <v>479</v>
      </c>
      <c r="BJ4620" s="55" t="s">
        <v>479</v>
      </c>
      <c r="BK4620" s="55" t="s">
        <v>6269</v>
      </c>
      <c r="BM4620" s="192" t="s">
        <v>160</v>
      </c>
      <c r="BN4620" s="55">
        <v>3</v>
      </c>
      <c r="BO4620" s="55">
        <v>3</v>
      </c>
      <c r="BQ4620" s="55" t="s">
        <v>141</v>
      </c>
      <c r="CM4620" s="65">
        <v>0.85</v>
      </c>
      <c r="CN4620" s="65">
        <v>0.74</v>
      </c>
      <c r="CQ4620" s="65" t="s">
        <v>164</v>
      </c>
      <c r="GP4620" s="292" t="s">
        <v>7494</v>
      </c>
      <c r="JU4620" s="55" t="s">
        <v>3164</v>
      </c>
    </row>
    <row r="4621" spans="1:281" x14ac:dyDescent="0.25">
      <c r="A4621" s="55">
        <v>4620</v>
      </c>
      <c r="B4621" s="12" t="s">
        <v>7067</v>
      </c>
      <c r="C4621" s="155">
        <v>200</v>
      </c>
      <c r="D4621" s="55" t="s">
        <v>4555</v>
      </c>
      <c r="E4621" s="90" t="s">
        <v>4556</v>
      </c>
      <c r="G4621" s="55" t="s">
        <v>3241</v>
      </c>
      <c r="H4621" s="55">
        <v>2009</v>
      </c>
      <c r="I4621" s="55">
        <v>2007</v>
      </c>
      <c r="J4621" s="55" t="s">
        <v>4514</v>
      </c>
      <c r="K4621" s="55" t="s">
        <v>4559</v>
      </c>
      <c r="L4621" s="55" t="s">
        <v>2741</v>
      </c>
      <c r="M4621" s="90">
        <f>40+8/60</f>
        <v>40.133333333333333</v>
      </c>
      <c r="N4621" s="90">
        <f>16+38/60</f>
        <v>16.633333333333333</v>
      </c>
      <c r="O4621" s="90">
        <v>7</v>
      </c>
      <c r="S4621" s="90">
        <v>550</v>
      </c>
      <c r="U4621" s="55" t="s">
        <v>1816</v>
      </c>
      <c r="V4621" s="55" t="s">
        <v>1816</v>
      </c>
      <c r="Y4621" s="55" t="s">
        <v>1863</v>
      </c>
      <c r="Z4621" s="55" t="s">
        <v>1370</v>
      </c>
      <c r="AA4621" s="90" t="s">
        <v>1680</v>
      </c>
      <c r="AE4621" s="90">
        <v>25.9</v>
      </c>
      <c r="AF4621" s="90">
        <v>45.6</v>
      </c>
      <c r="AH4621" s="55" t="s">
        <v>645</v>
      </c>
      <c r="AI4621" s="168">
        <v>8.15</v>
      </c>
      <c r="AM4621" s="55" t="s">
        <v>4558</v>
      </c>
      <c r="AO4621" s="185" t="s">
        <v>7494</v>
      </c>
      <c r="AR4621" s="55" t="s">
        <v>3401</v>
      </c>
      <c r="AS4621" s="55" t="s">
        <v>3471</v>
      </c>
      <c r="AU4621" s="181" t="s">
        <v>7494</v>
      </c>
      <c r="AV4621" s="185" t="s">
        <v>176</v>
      </c>
      <c r="AX4621" s="185" t="s">
        <v>176</v>
      </c>
      <c r="AZ4621" s="55" t="s">
        <v>4530</v>
      </c>
      <c r="BA4621" s="55" t="s">
        <v>216</v>
      </c>
      <c r="BB4621" s="55" t="s">
        <v>2081</v>
      </c>
      <c r="BC4621" s="55" t="s">
        <v>2082</v>
      </c>
      <c r="BD4621" s="55" t="s">
        <v>479</v>
      </c>
      <c r="BE4621" s="226" t="s">
        <v>4547</v>
      </c>
      <c r="BG4621" s="191" t="s">
        <v>176</v>
      </c>
      <c r="BH4621" s="226" t="s">
        <v>4546</v>
      </c>
      <c r="BI4621" s="191" t="s">
        <v>479</v>
      </c>
      <c r="BJ4621" s="55" t="s">
        <v>479</v>
      </c>
      <c r="BK4621" s="55" t="s">
        <v>6269</v>
      </c>
      <c r="BM4621" s="192" t="s">
        <v>160</v>
      </c>
      <c r="BN4621" s="55">
        <v>3</v>
      </c>
      <c r="BO4621" s="55">
        <v>3</v>
      </c>
      <c r="BQ4621" s="55" t="s">
        <v>141</v>
      </c>
      <c r="CM4621" s="65">
        <v>0.82</v>
      </c>
      <c r="CN4621" s="65">
        <v>0.8</v>
      </c>
      <c r="CQ4621" s="65" t="s">
        <v>164</v>
      </c>
      <c r="GP4621" s="292" t="s">
        <v>7494</v>
      </c>
      <c r="JU4621" s="55" t="s">
        <v>3164</v>
      </c>
    </row>
    <row r="4622" spans="1:281" x14ac:dyDescent="0.25">
      <c r="A4622" s="55">
        <v>4621</v>
      </c>
      <c r="B4622" s="12" t="s">
        <v>7067</v>
      </c>
      <c r="C4622" s="155">
        <v>201</v>
      </c>
      <c r="D4622" s="55" t="s">
        <v>4565</v>
      </c>
      <c r="E4622" s="90" t="s">
        <v>4560</v>
      </c>
      <c r="G4622" s="55" t="s">
        <v>4561</v>
      </c>
      <c r="H4622" s="55">
        <v>2014</v>
      </c>
      <c r="I4622" s="55">
        <v>2009</v>
      </c>
      <c r="J4622" s="55" t="s">
        <v>151</v>
      </c>
      <c r="K4622" s="55" t="s">
        <v>437</v>
      </c>
      <c r="L4622" s="55" t="s">
        <v>2737</v>
      </c>
      <c r="M4622" s="90">
        <f>42+0.26/60</f>
        <v>42.004333333333335</v>
      </c>
      <c r="N4622" s="90">
        <f>-93-47.31/60</f>
        <v>-93.788499999999999</v>
      </c>
      <c r="O4622" s="90">
        <v>334</v>
      </c>
      <c r="P4622" s="55">
        <v>8.9</v>
      </c>
      <c r="Q4622" s="55">
        <v>9.3000000000000007</v>
      </c>
      <c r="R4622" s="55">
        <v>945</v>
      </c>
      <c r="S4622" s="90">
        <v>856</v>
      </c>
      <c r="U4622" s="55" t="s">
        <v>1935</v>
      </c>
      <c r="V4622" s="55" t="s">
        <v>1688</v>
      </c>
      <c r="Y4622" s="55" t="s">
        <v>4562</v>
      </c>
      <c r="Z4622" s="55" t="s">
        <v>1361</v>
      </c>
      <c r="AA4622" s="90" t="s">
        <v>1682</v>
      </c>
      <c r="AD4622" s="90">
        <v>1.26</v>
      </c>
      <c r="AH4622" s="55" t="s">
        <v>645</v>
      </c>
      <c r="AM4622" s="55" t="s">
        <v>4563</v>
      </c>
      <c r="AN4622" s="185" t="s">
        <v>131</v>
      </c>
      <c r="AO4622" s="185" t="s">
        <v>5150</v>
      </c>
      <c r="AQ4622" s="55" t="s">
        <v>131</v>
      </c>
      <c r="AR4622" s="55" t="s">
        <v>158</v>
      </c>
      <c r="AS4622" s="55" t="s">
        <v>158</v>
      </c>
      <c r="AT4622" s="181" t="s">
        <v>912</v>
      </c>
      <c r="AU4622" s="181" t="s">
        <v>5150</v>
      </c>
      <c r="AV4622" s="185" t="s">
        <v>176</v>
      </c>
      <c r="AW4622" s="55" t="s">
        <v>912</v>
      </c>
      <c r="AX4622" s="185" t="s">
        <v>176</v>
      </c>
      <c r="AY4622" s="55" t="s">
        <v>176</v>
      </c>
      <c r="AZ4622" s="55" t="s">
        <v>216</v>
      </c>
      <c r="BA4622" s="55" t="s">
        <v>216</v>
      </c>
      <c r="BB4622" s="55" t="s">
        <v>2082</v>
      </c>
      <c r="BC4622" s="55" t="s">
        <v>2082</v>
      </c>
      <c r="BD4622" s="55" t="s">
        <v>176</v>
      </c>
      <c r="BE4622" s="226" t="s">
        <v>4564</v>
      </c>
      <c r="BF4622" s="191" t="s">
        <v>479</v>
      </c>
      <c r="BG4622" s="191" t="s">
        <v>479</v>
      </c>
      <c r="BH4622" s="226" t="s">
        <v>4564</v>
      </c>
      <c r="BI4622" s="191" t="s">
        <v>479</v>
      </c>
      <c r="BJ4622" s="55" t="s">
        <v>176</v>
      </c>
      <c r="BK4622" s="55" t="s">
        <v>6269</v>
      </c>
      <c r="BM4622" s="192" t="s">
        <v>160</v>
      </c>
      <c r="BN4622" s="55">
        <v>5</v>
      </c>
      <c r="BO4622" s="55">
        <v>5</v>
      </c>
      <c r="BQ4622" s="55" t="s">
        <v>141</v>
      </c>
      <c r="CB4622" s="66">
        <v>3900</v>
      </c>
      <c r="CC4622" s="66">
        <v>4000</v>
      </c>
      <c r="CG4622" s="65" t="s">
        <v>4569</v>
      </c>
      <c r="CM4622" s="65">
        <v>4.92</v>
      </c>
      <c r="CN4622" s="65">
        <v>5.45</v>
      </c>
      <c r="CQ4622" s="65" t="s">
        <v>164</v>
      </c>
      <c r="GP4622" s="292" t="s">
        <v>7494</v>
      </c>
      <c r="IC4622" s="65">
        <v>34.200000000000003</v>
      </c>
      <c r="ID4622" s="65">
        <v>44.6</v>
      </c>
      <c r="IG4622" s="65" t="s">
        <v>4571</v>
      </c>
      <c r="JU4622" s="55" t="s">
        <v>4570</v>
      </c>
    </row>
    <row r="4623" spans="1:281" x14ac:dyDescent="0.25">
      <c r="A4623" s="55">
        <v>4622</v>
      </c>
      <c r="B4623" s="12" t="s">
        <v>7067</v>
      </c>
      <c r="C4623" s="155">
        <v>201</v>
      </c>
      <c r="D4623" s="55" t="s">
        <v>4566</v>
      </c>
      <c r="E4623" s="90" t="s">
        <v>4560</v>
      </c>
      <c r="G4623" s="55" t="s">
        <v>4561</v>
      </c>
      <c r="H4623" s="55">
        <v>2014</v>
      </c>
      <c r="I4623" s="55">
        <v>2009</v>
      </c>
      <c r="J4623" s="55" t="s">
        <v>151</v>
      </c>
      <c r="K4623" s="55" t="s">
        <v>437</v>
      </c>
      <c r="L4623" s="55" t="s">
        <v>2737</v>
      </c>
      <c r="M4623" s="90">
        <f>42+0.26/60</f>
        <v>42.004333333333335</v>
      </c>
      <c r="N4623" s="90">
        <f>-93-47.31/60</f>
        <v>-93.788499999999999</v>
      </c>
      <c r="O4623" s="90">
        <v>334</v>
      </c>
      <c r="P4623" s="55">
        <v>8.9</v>
      </c>
      <c r="Q4623" s="55">
        <v>9.3000000000000007</v>
      </c>
      <c r="R4623" s="55">
        <v>945</v>
      </c>
      <c r="S4623" s="90">
        <v>856</v>
      </c>
      <c r="U4623" s="55" t="s">
        <v>1935</v>
      </c>
      <c r="V4623" s="55" t="s">
        <v>1688</v>
      </c>
      <c r="Y4623" s="55" t="s">
        <v>4562</v>
      </c>
      <c r="Z4623" s="55" t="s">
        <v>1361</v>
      </c>
      <c r="AA4623" s="90" t="s">
        <v>1682</v>
      </c>
      <c r="AD4623" s="90">
        <v>1.26</v>
      </c>
      <c r="AH4623" s="55" t="s">
        <v>645</v>
      </c>
      <c r="AM4623" s="55" t="s">
        <v>4563</v>
      </c>
      <c r="AN4623" s="185" t="s">
        <v>131</v>
      </c>
      <c r="AO4623" s="185" t="s">
        <v>5150</v>
      </c>
      <c r="AQ4623" s="55" t="s">
        <v>131</v>
      </c>
      <c r="AR4623" s="55" t="s">
        <v>158</v>
      </c>
      <c r="AS4623" s="55" t="s">
        <v>158</v>
      </c>
      <c r="AT4623" s="181" t="s">
        <v>912</v>
      </c>
      <c r="AU4623" s="181" t="s">
        <v>5150</v>
      </c>
      <c r="AV4623" s="185" t="s">
        <v>176</v>
      </c>
      <c r="AW4623" s="55" t="s">
        <v>912</v>
      </c>
      <c r="AX4623" s="185" t="s">
        <v>176</v>
      </c>
      <c r="AY4623" s="55" t="s">
        <v>176</v>
      </c>
      <c r="AZ4623" s="55" t="s">
        <v>216</v>
      </c>
      <c r="BA4623" s="55" t="s">
        <v>216</v>
      </c>
      <c r="BB4623" s="55" t="s">
        <v>2082</v>
      </c>
      <c r="BC4623" s="55" t="s">
        <v>2082</v>
      </c>
      <c r="BD4623" s="55" t="s">
        <v>176</v>
      </c>
      <c r="BE4623" s="226" t="s">
        <v>4564</v>
      </c>
      <c r="BF4623" s="191" t="s">
        <v>479</v>
      </c>
      <c r="BG4623" s="191" t="s">
        <v>479</v>
      </c>
      <c r="BH4623" s="226" t="s">
        <v>4564</v>
      </c>
      <c r="BI4623" s="191" t="s">
        <v>479</v>
      </c>
      <c r="BJ4623" s="55" t="s">
        <v>176</v>
      </c>
      <c r="BK4623" s="55" t="s">
        <v>6269</v>
      </c>
      <c r="BM4623" s="192" t="s">
        <v>160</v>
      </c>
      <c r="BN4623" s="55">
        <v>5</v>
      </c>
      <c r="BO4623" s="55">
        <v>5</v>
      </c>
      <c r="BQ4623" s="55" t="s">
        <v>141</v>
      </c>
      <c r="CB4623" s="66">
        <v>3900</v>
      </c>
      <c r="CC4623" s="66">
        <v>3950</v>
      </c>
      <c r="CG4623" s="65" t="s">
        <v>4569</v>
      </c>
      <c r="CM4623" s="65">
        <v>4.92</v>
      </c>
      <c r="CN4623" s="65">
        <v>5.63</v>
      </c>
      <c r="CQ4623" s="65" t="s">
        <v>164</v>
      </c>
      <c r="GP4623" s="292" t="s">
        <v>7494</v>
      </c>
      <c r="IC4623" s="65">
        <v>34.200000000000003</v>
      </c>
      <c r="ID4623" s="65">
        <v>49.9</v>
      </c>
      <c r="IG4623" s="65" t="s">
        <v>4571</v>
      </c>
      <c r="JU4623" s="55" t="s">
        <v>4570</v>
      </c>
    </row>
    <row r="4624" spans="1:281" x14ac:dyDescent="0.25">
      <c r="A4624" s="55">
        <v>4623</v>
      </c>
      <c r="B4624" s="12" t="s">
        <v>7067</v>
      </c>
      <c r="C4624" s="155">
        <v>201</v>
      </c>
      <c r="D4624" s="55" t="s">
        <v>4567</v>
      </c>
      <c r="E4624" s="90" t="s">
        <v>4560</v>
      </c>
      <c r="G4624" s="55" t="s">
        <v>4561</v>
      </c>
      <c r="H4624" s="55">
        <v>2014</v>
      </c>
      <c r="I4624" s="55">
        <v>2009</v>
      </c>
      <c r="J4624" s="55" t="s">
        <v>151</v>
      </c>
      <c r="K4624" s="55" t="s">
        <v>437</v>
      </c>
      <c r="L4624" s="55" t="s">
        <v>2737</v>
      </c>
      <c r="M4624" s="90">
        <f>42+0.26/60</f>
        <v>42.004333333333335</v>
      </c>
      <c r="N4624" s="90">
        <f>-93-47.31/60</f>
        <v>-93.788499999999999</v>
      </c>
      <c r="O4624" s="90">
        <v>334</v>
      </c>
      <c r="P4624" s="55">
        <v>8.9</v>
      </c>
      <c r="Q4624" s="55">
        <v>9.3000000000000007</v>
      </c>
      <c r="R4624" s="55">
        <v>945</v>
      </c>
      <c r="S4624" s="90">
        <v>856</v>
      </c>
      <c r="U4624" s="55" t="s">
        <v>1935</v>
      </c>
      <c r="V4624" s="55" t="s">
        <v>1688</v>
      </c>
      <c r="Y4624" s="55" t="s">
        <v>4562</v>
      </c>
      <c r="Z4624" s="55" t="s">
        <v>1361</v>
      </c>
      <c r="AA4624" s="90" t="s">
        <v>1682</v>
      </c>
      <c r="AD4624" s="90">
        <v>1.26</v>
      </c>
      <c r="AH4624" s="55" t="s">
        <v>645</v>
      </c>
      <c r="AM4624" s="55" t="s">
        <v>4563</v>
      </c>
      <c r="AN4624" s="185" t="s">
        <v>131</v>
      </c>
      <c r="AO4624" s="185" t="s">
        <v>5150</v>
      </c>
      <c r="AQ4624" s="55" t="s">
        <v>131</v>
      </c>
      <c r="AR4624" s="55" t="s">
        <v>158</v>
      </c>
      <c r="AS4624" s="55" t="s">
        <v>158</v>
      </c>
      <c r="AT4624" s="181" t="s">
        <v>912</v>
      </c>
      <c r="AU4624" s="181" t="s">
        <v>5150</v>
      </c>
      <c r="AV4624" s="185" t="s">
        <v>176</v>
      </c>
      <c r="AW4624" s="55" t="s">
        <v>912</v>
      </c>
      <c r="AX4624" s="185" t="s">
        <v>176</v>
      </c>
      <c r="AY4624" s="55" t="s">
        <v>176</v>
      </c>
      <c r="AZ4624" s="55" t="s">
        <v>216</v>
      </c>
      <c r="BA4624" s="55" t="s">
        <v>216</v>
      </c>
      <c r="BB4624" s="55" t="s">
        <v>2082</v>
      </c>
      <c r="BC4624" s="55" t="s">
        <v>2082</v>
      </c>
      <c r="BD4624" s="55" t="s">
        <v>176</v>
      </c>
      <c r="BE4624" s="226" t="s">
        <v>4564</v>
      </c>
      <c r="BF4624" s="191" t="s">
        <v>479</v>
      </c>
      <c r="BG4624" s="191" t="s">
        <v>479</v>
      </c>
      <c r="BH4624" s="226" t="s">
        <v>4564</v>
      </c>
      <c r="BI4624" s="191" t="s">
        <v>479</v>
      </c>
      <c r="BJ4624" s="55" t="s">
        <v>176</v>
      </c>
      <c r="BK4624" s="55" t="s">
        <v>6269</v>
      </c>
      <c r="BM4624" s="192" t="s">
        <v>160</v>
      </c>
      <c r="BN4624" s="55">
        <v>5</v>
      </c>
      <c r="BO4624" s="55">
        <v>5</v>
      </c>
      <c r="BQ4624" s="55" t="s">
        <v>141</v>
      </c>
      <c r="CB4624" s="66">
        <v>3900</v>
      </c>
      <c r="CC4624" s="66">
        <v>3770</v>
      </c>
      <c r="CG4624" s="65" t="s">
        <v>4569</v>
      </c>
      <c r="CM4624" s="65">
        <v>4.92</v>
      </c>
      <c r="CN4624" s="65">
        <v>4.87</v>
      </c>
      <c r="CQ4624" s="65" t="s">
        <v>164</v>
      </c>
      <c r="GP4624" s="292" t="s">
        <v>7494</v>
      </c>
      <c r="IC4624" s="65">
        <v>34.200000000000003</v>
      </c>
      <c r="ID4624" s="65">
        <v>31.2</v>
      </c>
      <c r="IG4624" s="65" t="s">
        <v>4571</v>
      </c>
      <c r="JU4624" s="55" t="s">
        <v>4570</v>
      </c>
    </row>
    <row r="4625" spans="1:281" x14ac:dyDescent="0.25">
      <c r="A4625" s="55">
        <v>4624</v>
      </c>
      <c r="B4625" s="12" t="s">
        <v>7067</v>
      </c>
      <c r="C4625" s="155">
        <v>201</v>
      </c>
      <c r="D4625" s="55" t="s">
        <v>4566</v>
      </c>
      <c r="E4625" s="90" t="s">
        <v>4560</v>
      </c>
      <c r="G4625" s="55" t="s">
        <v>4561</v>
      </c>
      <c r="H4625" s="55">
        <v>2014</v>
      </c>
      <c r="I4625" s="55">
        <v>2010</v>
      </c>
      <c r="J4625" s="55" t="s">
        <v>151</v>
      </c>
      <c r="K4625" s="55" t="s">
        <v>437</v>
      </c>
      <c r="L4625" s="55" t="s">
        <v>2737</v>
      </c>
      <c r="M4625" s="90">
        <f>42+0.26/60</f>
        <v>42.004333333333335</v>
      </c>
      <c r="N4625" s="90">
        <f>-93-47.31/60</f>
        <v>-93.788499999999999</v>
      </c>
      <c r="O4625" s="90">
        <v>334</v>
      </c>
      <c r="P4625" s="55">
        <v>9.4</v>
      </c>
      <c r="Q4625" s="55">
        <v>9.3000000000000007</v>
      </c>
      <c r="R4625" s="55">
        <v>1287</v>
      </c>
      <c r="S4625" s="90">
        <v>856</v>
      </c>
      <c r="U4625" s="55" t="s">
        <v>1805</v>
      </c>
      <c r="V4625" s="55" t="s">
        <v>1688</v>
      </c>
      <c r="Y4625" s="55" t="s">
        <v>4562</v>
      </c>
      <c r="Z4625" s="55" t="s">
        <v>1361</v>
      </c>
      <c r="AA4625" s="90" t="s">
        <v>1682</v>
      </c>
      <c r="AD4625" s="90">
        <v>1.26</v>
      </c>
      <c r="AH4625" s="55" t="s">
        <v>645</v>
      </c>
      <c r="AM4625" s="55" t="s">
        <v>4563</v>
      </c>
      <c r="AN4625" s="185" t="s">
        <v>131</v>
      </c>
      <c r="AO4625" s="185" t="s">
        <v>5150</v>
      </c>
      <c r="AQ4625" s="55" t="s">
        <v>131</v>
      </c>
      <c r="AR4625" s="55" t="s">
        <v>132</v>
      </c>
      <c r="AS4625" s="55" t="s">
        <v>132</v>
      </c>
      <c r="AT4625" s="181" t="s">
        <v>912</v>
      </c>
      <c r="AU4625" s="181" t="s">
        <v>5150</v>
      </c>
      <c r="AV4625" s="185" t="s">
        <v>176</v>
      </c>
      <c r="AW4625" s="55" t="s">
        <v>912</v>
      </c>
      <c r="AX4625" s="185" t="s">
        <v>176</v>
      </c>
      <c r="AY4625" s="55" t="s">
        <v>176</v>
      </c>
      <c r="AZ4625" s="55" t="s">
        <v>216</v>
      </c>
      <c r="BA4625" s="55" t="s">
        <v>216</v>
      </c>
      <c r="BB4625" s="55" t="s">
        <v>2082</v>
      </c>
      <c r="BC4625" s="55" t="s">
        <v>2082</v>
      </c>
      <c r="BD4625" s="55" t="s">
        <v>176</v>
      </c>
      <c r="BE4625" s="226" t="s">
        <v>4564</v>
      </c>
      <c r="BF4625" s="191" t="s">
        <v>479</v>
      </c>
      <c r="BG4625" s="191" t="s">
        <v>479</v>
      </c>
      <c r="BH4625" s="226" t="s">
        <v>4564</v>
      </c>
      <c r="BI4625" s="191" t="s">
        <v>479</v>
      </c>
      <c r="BJ4625" s="55" t="s">
        <v>176</v>
      </c>
      <c r="BK4625" s="55" t="s">
        <v>6269</v>
      </c>
      <c r="BM4625" s="192" t="s">
        <v>160</v>
      </c>
      <c r="BN4625" s="55">
        <v>5</v>
      </c>
      <c r="BO4625" s="55">
        <v>5</v>
      </c>
      <c r="BQ4625" s="55" t="s">
        <v>141</v>
      </c>
      <c r="CB4625" s="66">
        <v>18570</v>
      </c>
      <c r="CC4625" s="66">
        <v>16720</v>
      </c>
      <c r="CG4625" s="65" t="s">
        <v>4569</v>
      </c>
      <c r="CM4625" s="65">
        <v>4.9400000000000004</v>
      </c>
      <c r="CN4625" s="65">
        <v>5.44</v>
      </c>
      <c r="CQ4625" s="65" t="s">
        <v>164</v>
      </c>
      <c r="GP4625" s="292" t="s">
        <v>7494</v>
      </c>
      <c r="IC4625" s="65">
        <v>37.4</v>
      </c>
      <c r="ID4625" s="65">
        <v>46.8</v>
      </c>
      <c r="IG4625" s="65" t="s">
        <v>4571</v>
      </c>
      <c r="JU4625" s="55" t="s">
        <v>4570</v>
      </c>
    </row>
    <row r="4626" spans="1:281" x14ac:dyDescent="0.25">
      <c r="A4626" s="55">
        <v>4625</v>
      </c>
      <c r="B4626" s="12" t="s">
        <v>7067</v>
      </c>
      <c r="C4626" s="155">
        <v>201</v>
      </c>
      <c r="D4626" s="55" t="s">
        <v>4567</v>
      </c>
      <c r="E4626" s="90" t="s">
        <v>4560</v>
      </c>
      <c r="G4626" s="55" t="s">
        <v>4561</v>
      </c>
      <c r="H4626" s="55">
        <v>2014</v>
      </c>
      <c r="I4626" s="55">
        <v>2010</v>
      </c>
      <c r="J4626" s="55" t="s">
        <v>151</v>
      </c>
      <c r="K4626" s="55" t="s">
        <v>437</v>
      </c>
      <c r="L4626" s="55" t="s">
        <v>2737</v>
      </c>
      <c r="M4626" s="90">
        <f>42+0.26/60</f>
        <v>42.004333333333335</v>
      </c>
      <c r="N4626" s="90">
        <f>-93-47.31/60</f>
        <v>-93.788499999999999</v>
      </c>
      <c r="O4626" s="90">
        <v>334</v>
      </c>
      <c r="P4626" s="55">
        <v>9.4</v>
      </c>
      <c r="Q4626" s="55">
        <v>9.3000000000000007</v>
      </c>
      <c r="R4626" s="55">
        <v>1287</v>
      </c>
      <c r="S4626" s="90">
        <v>856</v>
      </c>
      <c r="U4626" s="55" t="s">
        <v>1805</v>
      </c>
      <c r="V4626" s="55" t="s">
        <v>1688</v>
      </c>
      <c r="Y4626" s="55" t="s">
        <v>4562</v>
      </c>
      <c r="Z4626" s="55" t="s">
        <v>1361</v>
      </c>
      <c r="AA4626" s="90" t="s">
        <v>1682</v>
      </c>
      <c r="AD4626" s="90">
        <v>1.26</v>
      </c>
      <c r="AH4626" s="55" t="s">
        <v>645</v>
      </c>
      <c r="AM4626" s="55" t="s">
        <v>4563</v>
      </c>
      <c r="AN4626" s="185" t="s">
        <v>131</v>
      </c>
      <c r="AO4626" s="185" t="s">
        <v>5150</v>
      </c>
      <c r="AQ4626" s="55" t="s">
        <v>131</v>
      </c>
      <c r="AR4626" s="55" t="s">
        <v>132</v>
      </c>
      <c r="AS4626" s="55" t="s">
        <v>132</v>
      </c>
      <c r="AT4626" s="181" t="s">
        <v>912</v>
      </c>
      <c r="AU4626" s="181" t="s">
        <v>5150</v>
      </c>
      <c r="AV4626" s="185" t="s">
        <v>176</v>
      </c>
      <c r="AW4626" s="55" t="s">
        <v>912</v>
      </c>
      <c r="AX4626" s="185" t="s">
        <v>176</v>
      </c>
      <c r="AY4626" s="55" t="s">
        <v>176</v>
      </c>
      <c r="AZ4626" s="55" t="s">
        <v>216</v>
      </c>
      <c r="BA4626" s="55" t="s">
        <v>216</v>
      </c>
      <c r="BB4626" s="55" t="s">
        <v>2082</v>
      </c>
      <c r="BC4626" s="55" t="s">
        <v>2082</v>
      </c>
      <c r="BD4626" s="55" t="s">
        <v>176</v>
      </c>
      <c r="BE4626" s="226" t="s">
        <v>4564</v>
      </c>
      <c r="BF4626" s="191" t="s">
        <v>479</v>
      </c>
      <c r="BG4626" s="191" t="s">
        <v>479</v>
      </c>
      <c r="BH4626" s="226" t="s">
        <v>4564</v>
      </c>
      <c r="BI4626" s="191" t="s">
        <v>479</v>
      </c>
      <c r="BJ4626" s="55" t="s">
        <v>176</v>
      </c>
      <c r="BK4626" s="55" t="s">
        <v>6269</v>
      </c>
      <c r="BM4626" s="192" t="s">
        <v>160</v>
      </c>
      <c r="BN4626" s="55">
        <v>5</v>
      </c>
      <c r="BO4626" s="55">
        <v>5</v>
      </c>
      <c r="BQ4626" s="55" t="s">
        <v>141</v>
      </c>
      <c r="CB4626" s="66">
        <v>18570</v>
      </c>
      <c r="CC4626" s="66">
        <v>19580</v>
      </c>
      <c r="CG4626" s="65" t="s">
        <v>4569</v>
      </c>
      <c r="CM4626" s="65">
        <v>4.9400000000000004</v>
      </c>
      <c r="CN4626" s="65">
        <v>5.67</v>
      </c>
      <c r="CQ4626" s="65" t="s">
        <v>164</v>
      </c>
      <c r="GP4626" s="292" t="s">
        <v>7494</v>
      </c>
      <c r="IC4626" s="65">
        <v>37.4</v>
      </c>
      <c r="ID4626" s="65">
        <v>49.2</v>
      </c>
      <c r="IG4626" s="65" t="s">
        <v>4571</v>
      </c>
      <c r="JU4626" s="55" t="s">
        <v>4570</v>
      </c>
    </row>
    <row r="4627" spans="1:281" x14ac:dyDescent="0.25">
      <c r="A4627" s="55">
        <v>4626</v>
      </c>
      <c r="B4627" s="12" t="s">
        <v>7067</v>
      </c>
      <c r="C4627" s="155">
        <v>201</v>
      </c>
      <c r="D4627" s="55" t="s">
        <v>4568</v>
      </c>
      <c r="E4627" s="90" t="s">
        <v>4560</v>
      </c>
      <c r="G4627" s="55" t="s">
        <v>4561</v>
      </c>
      <c r="H4627" s="55">
        <v>2014</v>
      </c>
      <c r="I4627" s="55">
        <v>2010</v>
      </c>
      <c r="J4627" s="55" t="s">
        <v>151</v>
      </c>
      <c r="K4627" s="55" t="s">
        <v>437</v>
      </c>
      <c r="L4627" s="55" t="s">
        <v>2737</v>
      </c>
      <c r="M4627" s="90">
        <f>42+0.26/60</f>
        <v>42.004333333333335</v>
      </c>
      <c r="N4627" s="90">
        <f>-93-47.31/60</f>
        <v>-93.788499999999999</v>
      </c>
      <c r="O4627" s="90">
        <v>334</v>
      </c>
      <c r="P4627" s="55">
        <v>9.4</v>
      </c>
      <c r="Q4627" s="55">
        <v>9.3000000000000007</v>
      </c>
      <c r="R4627" s="55">
        <v>1287</v>
      </c>
      <c r="S4627" s="90">
        <v>856</v>
      </c>
      <c r="U4627" s="55" t="s">
        <v>1805</v>
      </c>
      <c r="V4627" s="55" t="s">
        <v>1688</v>
      </c>
      <c r="Y4627" s="55" t="s">
        <v>4562</v>
      </c>
      <c r="Z4627" s="55" t="s">
        <v>1361</v>
      </c>
      <c r="AA4627" s="90" t="s">
        <v>1682</v>
      </c>
      <c r="AD4627" s="90">
        <v>1.26</v>
      </c>
      <c r="AH4627" s="55" t="s">
        <v>645</v>
      </c>
      <c r="AM4627" s="55" t="s">
        <v>4563</v>
      </c>
      <c r="AN4627" s="185" t="s">
        <v>131</v>
      </c>
      <c r="AO4627" s="185" t="s">
        <v>5150</v>
      </c>
      <c r="AQ4627" s="55" t="s">
        <v>131</v>
      </c>
      <c r="AR4627" s="55" t="s">
        <v>132</v>
      </c>
      <c r="AS4627" s="55" t="s">
        <v>132</v>
      </c>
      <c r="AT4627" s="181" t="s">
        <v>912</v>
      </c>
      <c r="AU4627" s="181" t="s">
        <v>5150</v>
      </c>
      <c r="AV4627" s="185" t="s">
        <v>176</v>
      </c>
      <c r="AW4627" s="55" t="s">
        <v>912</v>
      </c>
      <c r="AX4627" s="185" t="s">
        <v>176</v>
      </c>
      <c r="AY4627" s="55" t="s">
        <v>176</v>
      </c>
      <c r="AZ4627" s="55" t="s">
        <v>216</v>
      </c>
      <c r="BA4627" s="55" t="s">
        <v>216</v>
      </c>
      <c r="BB4627" s="55" t="s">
        <v>2082</v>
      </c>
      <c r="BC4627" s="55" t="s">
        <v>2082</v>
      </c>
      <c r="BD4627" s="55" t="s">
        <v>176</v>
      </c>
      <c r="BE4627" s="226" t="s">
        <v>4564</v>
      </c>
      <c r="BF4627" s="191" t="s">
        <v>479</v>
      </c>
      <c r="BG4627" s="191" t="s">
        <v>479</v>
      </c>
      <c r="BH4627" s="226" t="s">
        <v>4564</v>
      </c>
      <c r="BI4627" s="191" t="s">
        <v>479</v>
      </c>
      <c r="BJ4627" s="55" t="s">
        <v>176</v>
      </c>
      <c r="BK4627" s="55" t="s">
        <v>6269</v>
      </c>
      <c r="BM4627" s="192" t="s">
        <v>160</v>
      </c>
      <c r="BN4627" s="55">
        <v>5</v>
      </c>
      <c r="BO4627" s="55">
        <v>5</v>
      </c>
      <c r="BQ4627" s="55" t="s">
        <v>141</v>
      </c>
      <c r="CB4627" s="66">
        <v>18570</v>
      </c>
      <c r="CC4627" s="66">
        <v>17260</v>
      </c>
      <c r="CG4627" s="65" t="s">
        <v>4569</v>
      </c>
      <c r="CM4627" s="65">
        <v>4.9400000000000004</v>
      </c>
      <c r="CN4627" s="65">
        <v>5.04</v>
      </c>
      <c r="CQ4627" s="65" t="s">
        <v>164</v>
      </c>
      <c r="GP4627" s="292" t="s">
        <v>7494</v>
      </c>
      <c r="IC4627" s="65">
        <v>37.4</v>
      </c>
      <c r="ID4627" s="65">
        <v>44.3</v>
      </c>
      <c r="IG4627" s="65" t="s">
        <v>4571</v>
      </c>
      <c r="JU4627" s="55" t="s">
        <v>4570</v>
      </c>
    </row>
    <row r="4628" spans="1:281" x14ac:dyDescent="0.25">
      <c r="A4628" s="55">
        <v>4627</v>
      </c>
      <c r="B4628" s="12" t="s">
        <v>7067</v>
      </c>
      <c r="C4628" s="155">
        <v>201</v>
      </c>
      <c r="D4628" s="55" t="s">
        <v>4565</v>
      </c>
      <c r="E4628" s="90" t="s">
        <v>4560</v>
      </c>
      <c r="G4628" s="55" t="s">
        <v>4561</v>
      </c>
      <c r="H4628" s="55">
        <v>2014</v>
      </c>
      <c r="I4628" s="55">
        <v>2011</v>
      </c>
      <c r="J4628" s="55" t="s">
        <v>151</v>
      </c>
      <c r="K4628" s="55" t="s">
        <v>437</v>
      </c>
      <c r="L4628" s="55" t="s">
        <v>2737</v>
      </c>
      <c r="M4628" s="90">
        <f>42+0.26/60</f>
        <v>42.004333333333335</v>
      </c>
      <c r="N4628" s="90">
        <f>-93-47.31/60</f>
        <v>-93.788499999999999</v>
      </c>
      <c r="O4628" s="90">
        <v>334</v>
      </c>
      <c r="P4628" s="55">
        <v>9.4</v>
      </c>
      <c r="Q4628" s="55">
        <v>9.3000000000000007</v>
      </c>
      <c r="R4628" s="55">
        <v>826</v>
      </c>
      <c r="S4628" s="90">
        <v>856</v>
      </c>
      <c r="U4628" s="55" t="s">
        <v>1688</v>
      </c>
      <c r="V4628" s="55" t="s">
        <v>1688</v>
      </c>
      <c r="Y4628" s="55" t="s">
        <v>4562</v>
      </c>
      <c r="Z4628" s="55" t="s">
        <v>1361</v>
      </c>
      <c r="AA4628" s="90" t="s">
        <v>1682</v>
      </c>
      <c r="AD4628" s="90">
        <v>1.26</v>
      </c>
      <c r="AH4628" s="55" t="s">
        <v>645</v>
      </c>
      <c r="AM4628" s="55" t="s">
        <v>4563</v>
      </c>
      <c r="AN4628" s="185" t="s">
        <v>131</v>
      </c>
      <c r="AO4628" s="185" t="s">
        <v>5150</v>
      </c>
      <c r="AQ4628" s="55" t="s">
        <v>131</v>
      </c>
      <c r="AR4628" s="55" t="s">
        <v>158</v>
      </c>
      <c r="AS4628" s="55" t="s">
        <v>158</v>
      </c>
      <c r="AT4628" s="181" t="s">
        <v>912</v>
      </c>
      <c r="AU4628" s="181" t="s">
        <v>5150</v>
      </c>
      <c r="AV4628" s="185" t="s">
        <v>176</v>
      </c>
      <c r="AW4628" s="55" t="s">
        <v>912</v>
      </c>
      <c r="AX4628" s="185" t="s">
        <v>176</v>
      </c>
      <c r="AY4628" s="55" t="s">
        <v>176</v>
      </c>
      <c r="AZ4628" s="55" t="s">
        <v>216</v>
      </c>
      <c r="BA4628" s="55" t="s">
        <v>216</v>
      </c>
      <c r="BB4628" s="55" t="s">
        <v>2082</v>
      </c>
      <c r="BC4628" s="55" t="s">
        <v>2082</v>
      </c>
      <c r="BD4628" s="55" t="s">
        <v>176</v>
      </c>
      <c r="BE4628" s="226" t="s">
        <v>4564</v>
      </c>
      <c r="BF4628" s="191" t="s">
        <v>479</v>
      </c>
      <c r="BG4628" s="191" t="s">
        <v>479</v>
      </c>
      <c r="BH4628" s="226" t="s">
        <v>4564</v>
      </c>
      <c r="BI4628" s="191" t="s">
        <v>479</v>
      </c>
      <c r="BJ4628" s="55" t="s">
        <v>176</v>
      </c>
      <c r="BK4628" s="55" t="s">
        <v>6269</v>
      </c>
      <c r="BM4628" s="192" t="s">
        <v>160</v>
      </c>
      <c r="BN4628" s="55">
        <v>5</v>
      </c>
      <c r="BO4628" s="55">
        <v>5</v>
      </c>
      <c r="BQ4628" s="55" t="s">
        <v>141</v>
      </c>
      <c r="CB4628" s="66">
        <v>3410</v>
      </c>
      <c r="CC4628" s="66">
        <v>3510</v>
      </c>
      <c r="CG4628" s="65" t="s">
        <v>4569</v>
      </c>
      <c r="CM4628" s="65">
        <v>4.93</v>
      </c>
      <c r="CN4628" s="65">
        <v>5.44</v>
      </c>
      <c r="CQ4628" s="65" t="s">
        <v>164</v>
      </c>
      <c r="GP4628" s="292" t="s">
        <v>7494</v>
      </c>
      <c r="JU4628" s="55" t="s">
        <v>4570</v>
      </c>
    </row>
    <row r="4629" spans="1:281" x14ac:dyDescent="0.25">
      <c r="A4629" s="55">
        <v>4628</v>
      </c>
      <c r="B4629" s="12" t="s">
        <v>7067</v>
      </c>
      <c r="C4629" s="155">
        <v>201</v>
      </c>
      <c r="D4629" s="55" t="s">
        <v>4565</v>
      </c>
      <c r="E4629" s="90" t="s">
        <v>4560</v>
      </c>
      <c r="G4629" s="55" t="s">
        <v>4561</v>
      </c>
      <c r="H4629" s="55">
        <v>2014</v>
      </c>
      <c r="I4629" s="55">
        <v>2011</v>
      </c>
      <c r="J4629" s="55" t="s">
        <v>151</v>
      </c>
      <c r="K4629" s="55" t="s">
        <v>437</v>
      </c>
      <c r="L4629" s="55" t="s">
        <v>2737</v>
      </c>
      <c r="M4629" s="90">
        <f>42+0.26/60</f>
        <v>42.004333333333335</v>
      </c>
      <c r="N4629" s="90">
        <f>-93-47.31/60</f>
        <v>-93.788499999999999</v>
      </c>
      <c r="O4629" s="90">
        <v>334</v>
      </c>
      <c r="P4629" s="55">
        <v>9.4</v>
      </c>
      <c r="Q4629" s="55">
        <v>9.3000000000000007</v>
      </c>
      <c r="R4629" s="55">
        <v>826</v>
      </c>
      <c r="S4629" s="90">
        <v>856</v>
      </c>
      <c r="U4629" s="55" t="s">
        <v>1688</v>
      </c>
      <c r="V4629" s="55" t="s">
        <v>1688</v>
      </c>
      <c r="Y4629" s="55" t="s">
        <v>4562</v>
      </c>
      <c r="Z4629" s="55" t="s">
        <v>1361</v>
      </c>
      <c r="AA4629" s="90" t="s">
        <v>1682</v>
      </c>
      <c r="AD4629" s="90">
        <v>1.26</v>
      </c>
      <c r="AH4629" s="55" t="s">
        <v>645</v>
      </c>
      <c r="AM4629" s="55" t="s">
        <v>4563</v>
      </c>
      <c r="AN4629" s="185" t="s">
        <v>131</v>
      </c>
      <c r="AO4629" s="185" t="s">
        <v>5150</v>
      </c>
      <c r="AQ4629" s="55" t="s">
        <v>131</v>
      </c>
      <c r="AR4629" s="55" t="s">
        <v>158</v>
      </c>
      <c r="AS4629" s="55" t="s">
        <v>158</v>
      </c>
      <c r="AT4629" s="181" t="s">
        <v>912</v>
      </c>
      <c r="AU4629" s="181" t="s">
        <v>5150</v>
      </c>
      <c r="AV4629" s="185" t="s">
        <v>176</v>
      </c>
      <c r="AW4629" s="55" t="s">
        <v>912</v>
      </c>
      <c r="AX4629" s="185" t="s">
        <v>176</v>
      </c>
      <c r="AY4629" s="55" t="s">
        <v>176</v>
      </c>
      <c r="AZ4629" s="55" t="s">
        <v>216</v>
      </c>
      <c r="BA4629" s="55" t="s">
        <v>216</v>
      </c>
      <c r="BB4629" s="55" t="s">
        <v>2082</v>
      </c>
      <c r="BC4629" s="55" t="s">
        <v>2082</v>
      </c>
      <c r="BD4629" s="55" t="s">
        <v>176</v>
      </c>
      <c r="BE4629" s="226" t="s">
        <v>4564</v>
      </c>
      <c r="BF4629" s="191" t="s">
        <v>479</v>
      </c>
      <c r="BG4629" s="191" t="s">
        <v>479</v>
      </c>
      <c r="BH4629" s="226" t="s">
        <v>4564</v>
      </c>
      <c r="BI4629" s="191" t="s">
        <v>479</v>
      </c>
      <c r="BJ4629" s="55" t="s">
        <v>176</v>
      </c>
      <c r="BK4629" s="55" t="s">
        <v>6269</v>
      </c>
      <c r="BM4629" s="192" t="s">
        <v>160</v>
      </c>
      <c r="BN4629" s="55">
        <v>5</v>
      </c>
      <c r="BO4629" s="55">
        <v>5</v>
      </c>
      <c r="BQ4629" s="55" t="s">
        <v>141</v>
      </c>
      <c r="CB4629" s="66">
        <v>3410</v>
      </c>
      <c r="CC4629" s="66">
        <v>3510</v>
      </c>
      <c r="CG4629" s="65" t="s">
        <v>4569</v>
      </c>
      <c r="CM4629" s="65">
        <v>4.93</v>
      </c>
      <c r="CN4629" s="65">
        <v>5.65</v>
      </c>
      <c r="CQ4629" s="65" t="s">
        <v>164</v>
      </c>
      <c r="GP4629" s="292" t="s">
        <v>7494</v>
      </c>
      <c r="JU4629" s="55" t="s">
        <v>4570</v>
      </c>
    </row>
    <row r="4630" spans="1:281" x14ac:dyDescent="0.25">
      <c r="A4630" s="55">
        <v>4629</v>
      </c>
      <c r="B4630" s="12" t="s">
        <v>7067</v>
      </c>
      <c r="C4630" s="155">
        <v>201</v>
      </c>
      <c r="D4630" s="55" t="s">
        <v>4565</v>
      </c>
      <c r="E4630" s="90" t="s">
        <v>4560</v>
      </c>
      <c r="G4630" s="55" t="s">
        <v>4561</v>
      </c>
      <c r="H4630" s="55">
        <v>2014</v>
      </c>
      <c r="I4630" s="55">
        <v>2011</v>
      </c>
      <c r="J4630" s="55" t="s">
        <v>151</v>
      </c>
      <c r="K4630" s="55" t="s">
        <v>437</v>
      </c>
      <c r="L4630" s="55" t="s">
        <v>2737</v>
      </c>
      <c r="M4630" s="90">
        <f>42+0.26/60</f>
        <v>42.004333333333335</v>
      </c>
      <c r="N4630" s="90">
        <f>-93-47.31/60</f>
        <v>-93.788499999999999</v>
      </c>
      <c r="O4630" s="90">
        <v>334</v>
      </c>
      <c r="P4630" s="55">
        <v>9.4</v>
      </c>
      <c r="Q4630" s="55">
        <v>9.3000000000000007</v>
      </c>
      <c r="R4630" s="55">
        <v>826</v>
      </c>
      <c r="S4630" s="90">
        <v>856</v>
      </c>
      <c r="U4630" s="55" t="s">
        <v>1688</v>
      </c>
      <c r="V4630" s="55" t="s">
        <v>1688</v>
      </c>
      <c r="Y4630" s="55" t="s">
        <v>4562</v>
      </c>
      <c r="Z4630" s="55" t="s">
        <v>1361</v>
      </c>
      <c r="AA4630" s="90" t="s">
        <v>1682</v>
      </c>
      <c r="AD4630" s="90">
        <v>1.26</v>
      </c>
      <c r="AH4630" s="55" t="s">
        <v>645</v>
      </c>
      <c r="AM4630" s="55" t="s">
        <v>4563</v>
      </c>
      <c r="AN4630" s="185" t="s">
        <v>131</v>
      </c>
      <c r="AO4630" s="185" t="s">
        <v>5150</v>
      </c>
      <c r="AQ4630" s="55" t="s">
        <v>131</v>
      </c>
      <c r="AR4630" s="55" t="s">
        <v>158</v>
      </c>
      <c r="AS4630" s="55" t="s">
        <v>158</v>
      </c>
      <c r="AT4630" s="181" t="s">
        <v>912</v>
      </c>
      <c r="AU4630" s="181" t="s">
        <v>5150</v>
      </c>
      <c r="AV4630" s="185" t="s">
        <v>176</v>
      </c>
      <c r="AW4630" s="55" t="s">
        <v>912</v>
      </c>
      <c r="AX4630" s="185" t="s">
        <v>176</v>
      </c>
      <c r="AY4630" s="55" t="s">
        <v>176</v>
      </c>
      <c r="AZ4630" s="55" t="s">
        <v>216</v>
      </c>
      <c r="BA4630" s="55" t="s">
        <v>216</v>
      </c>
      <c r="BB4630" s="55" t="s">
        <v>2082</v>
      </c>
      <c r="BC4630" s="55" t="s">
        <v>2082</v>
      </c>
      <c r="BD4630" s="55" t="s">
        <v>176</v>
      </c>
      <c r="BE4630" s="226" t="s">
        <v>4564</v>
      </c>
      <c r="BF4630" s="191" t="s">
        <v>479</v>
      </c>
      <c r="BG4630" s="191" t="s">
        <v>479</v>
      </c>
      <c r="BH4630" s="226" t="s">
        <v>4564</v>
      </c>
      <c r="BI4630" s="191" t="s">
        <v>479</v>
      </c>
      <c r="BJ4630" s="55" t="s">
        <v>176</v>
      </c>
      <c r="BK4630" s="55" t="s">
        <v>6269</v>
      </c>
      <c r="BM4630" s="192" t="s">
        <v>160</v>
      </c>
      <c r="BN4630" s="55">
        <v>5</v>
      </c>
      <c r="BO4630" s="55">
        <v>5</v>
      </c>
      <c r="BQ4630" s="55" t="s">
        <v>141</v>
      </c>
      <c r="CB4630" s="66">
        <v>3410</v>
      </c>
      <c r="CC4630" s="66">
        <v>3290</v>
      </c>
      <c r="CG4630" s="65" t="s">
        <v>4569</v>
      </c>
      <c r="CM4630" s="65">
        <v>4.93</v>
      </c>
      <c r="CN4630" s="65">
        <v>4.95</v>
      </c>
      <c r="CQ4630" s="65" t="s">
        <v>164</v>
      </c>
      <c r="GP4630" s="292" t="s">
        <v>7494</v>
      </c>
      <c r="JU4630" s="55" t="s">
        <v>4570</v>
      </c>
    </row>
    <row r="4631" spans="1:281" x14ac:dyDescent="0.25">
      <c r="A4631" s="55">
        <v>4630</v>
      </c>
      <c r="B4631" s="12" t="s">
        <v>7067</v>
      </c>
      <c r="C4631" s="155">
        <v>201</v>
      </c>
      <c r="D4631" s="55" t="s">
        <v>4565</v>
      </c>
      <c r="E4631" s="90" t="s">
        <v>4560</v>
      </c>
      <c r="G4631" s="55" t="s">
        <v>4561</v>
      </c>
      <c r="H4631" s="55">
        <v>2014</v>
      </c>
      <c r="I4631" s="55">
        <v>2009</v>
      </c>
      <c r="J4631" s="55" t="s">
        <v>151</v>
      </c>
      <c r="K4631" s="55" t="s">
        <v>437</v>
      </c>
      <c r="L4631" s="55" t="s">
        <v>2737</v>
      </c>
      <c r="M4631" s="90">
        <f>42+0.26/60</f>
        <v>42.004333333333335</v>
      </c>
      <c r="N4631" s="90">
        <f>-93-47.31/60</f>
        <v>-93.788499999999999</v>
      </c>
      <c r="O4631" s="90">
        <v>334</v>
      </c>
      <c r="P4631" s="55">
        <v>8.9</v>
      </c>
      <c r="Q4631" s="55">
        <v>9.3000000000000007</v>
      </c>
      <c r="R4631" s="55">
        <v>945</v>
      </c>
      <c r="S4631" s="90">
        <v>856</v>
      </c>
      <c r="U4631" s="55" t="s">
        <v>1935</v>
      </c>
      <c r="V4631" s="55" t="s">
        <v>1688</v>
      </c>
      <c r="Y4631" s="55" t="s">
        <v>4562</v>
      </c>
      <c r="Z4631" s="55" t="s">
        <v>1355</v>
      </c>
      <c r="AA4631" s="90" t="s">
        <v>1679</v>
      </c>
      <c r="AD4631" s="90">
        <v>1.45</v>
      </c>
      <c r="AH4631" s="55" t="s">
        <v>645</v>
      </c>
      <c r="AM4631" s="55" t="s">
        <v>4563</v>
      </c>
      <c r="AN4631" s="185" t="s">
        <v>131</v>
      </c>
      <c r="AO4631" s="185" t="s">
        <v>5150</v>
      </c>
      <c r="AQ4631" s="55" t="s">
        <v>131</v>
      </c>
      <c r="AR4631" s="55" t="s">
        <v>132</v>
      </c>
      <c r="AS4631" s="55" t="s">
        <v>132</v>
      </c>
      <c r="AT4631" s="181" t="s">
        <v>912</v>
      </c>
      <c r="AU4631" s="181" t="s">
        <v>5150</v>
      </c>
      <c r="AV4631" s="185" t="s">
        <v>176</v>
      </c>
      <c r="AW4631" s="55" t="s">
        <v>912</v>
      </c>
      <c r="AX4631" s="185" t="s">
        <v>176</v>
      </c>
      <c r="AY4631" s="55" t="s">
        <v>176</v>
      </c>
      <c r="AZ4631" s="55" t="s">
        <v>216</v>
      </c>
      <c r="BA4631" s="55" t="s">
        <v>216</v>
      </c>
      <c r="BB4631" s="55" t="s">
        <v>2082</v>
      </c>
      <c r="BC4631" s="55" t="s">
        <v>2082</v>
      </c>
      <c r="BD4631" s="55" t="s">
        <v>176</v>
      </c>
      <c r="BE4631" s="226" t="s">
        <v>4564</v>
      </c>
      <c r="BF4631" s="191" t="s">
        <v>479</v>
      </c>
      <c r="BG4631" s="191" t="s">
        <v>479</v>
      </c>
      <c r="BH4631" s="226" t="s">
        <v>4564</v>
      </c>
      <c r="BI4631" s="191" t="s">
        <v>479</v>
      </c>
      <c r="BJ4631" s="55" t="s">
        <v>176</v>
      </c>
      <c r="BK4631" s="55" t="s">
        <v>6269</v>
      </c>
      <c r="BM4631" s="192" t="s">
        <v>160</v>
      </c>
      <c r="BN4631" s="55">
        <v>5</v>
      </c>
      <c r="BO4631" s="55">
        <v>5</v>
      </c>
      <c r="BQ4631" s="55" t="s">
        <v>141</v>
      </c>
      <c r="CB4631" s="66">
        <v>19210</v>
      </c>
      <c r="CC4631" s="66">
        <v>19210</v>
      </c>
      <c r="CG4631" s="65" t="s">
        <v>4569</v>
      </c>
      <c r="CM4631" s="65">
        <v>4.66</v>
      </c>
      <c r="CN4631" s="65">
        <v>4.79</v>
      </c>
      <c r="CQ4631" s="65" t="s">
        <v>164</v>
      </c>
      <c r="GP4631" s="292" t="s">
        <v>7494</v>
      </c>
      <c r="IC4631" s="65">
        <v>16.2</v>
      </c>
      <c r="ID4631" s="65">
        <v>21.5</v>
      </c>
      <c r="IG4631" s="65" t="s">
        <v>4571</v>
      </c>
      <c r="JU4631" s="55" t="s">
        <v>4570</v>
      </c>
    </row>
    <row r="4632" spans="1:281" x14ac:dyDescent="0.25">
      <c r="A4632" s="55">
        <v>4631</v>
      </c>
      <c r="B4632" s="12" t="s">
        <v>7067</v>
      </c>
      <c r="C4632" s="155">
        <v>201</v>
      </c>
      <c r="D4632" s="55" t="s">
        <v>4566</v>
      </c>
      <c r="E4632" s="90" t="s">
        <v>4560</v>
      </c>
      <c r="G4632" s="55" t="s">
        <v>4561</v>
      </c>
      <c r="H4632" s="55">
        <v>2014</v>
      </c>
      <c r="I4632" s="55">
        <v>2009</v>
      </c>
      <c r="J4632" s="55" t="s">
        <v>151</v>
      </c>
      <c r="K4632" s="55" t="s">
        <v>437</v>
      </c>
      <c r="L4632" s="55" t="s">
        <v>2737</v>
      </c>
      <c r="M4632" s="90">
        <f>42+0.26/60</f>
        <v>42.004333333333335</v>
      </c>
      <c r="N4632" s="90">
        <f>-93-47.31/60</f>
        <v>-93.788499999999999</v>
      </c>
      <c r="O4632" s="90">
        <v>334</v>
      </c>
      <c r="P4632" s="55">
        <v>8.9</v>
      </c>
      <c r="Q4632" s="55">
        <v>9.3000000000000007</v>
      </c>
      <c r="R4632" s="55">
        <v>945</v>
      </c>
      <c r="S4632" s="90">
        <v>856</v>
      </c>
      <c r="U4632" s="55" t="s">
        <v>1935</v>
      </c>
      <c r="V4632" s="55" t="s">
        <v>1688</v>
      </c>
      <c r="Y4632" s="55" t="s">
        <v>4562</v>
      </c>
      <c r="Z4632" s="55" t="s">
        <v>1355</v>
      </c>
      <c r="AA4632" s="90" t="s">
        <v>1679</v>
      </c>
      <c r="AD4632" s="90">
        <v>1.45</v>
      </c>
      <c r="AH4632" s="55" t="s">
        <v>645</v>
      </c>
      <c r="AM4632" s="55" t="s">
        <v>4563</v>
      </c>
      <c r="AN4632" s="185" t="s">
        <v>131</v>
      </c>
      <c r="AO4632" s="185" t="s">
        <v>5150</v>
      </c>
      <c r="AQ4632" s="55" t="s">
        <v>131</v>
      </c>
      <c r="AR4632" s="55" t="s">
        <v>132</v>
      </c>
      <c r="AS4632" s="55" t="s">
        <v>132</v>
      </c>
      <c r="AT4632" s="181" t="s">
        <v>912</v>
      </c>
      <c r="AU4632" s="181" t="s">
        <v>5150</v>
      </c>
      <c r="AV4632" s="185" t="s">
        <v>176</v>
      </c>
      <c r="AW4632" s="55" t="s">
        <v>912</v>
      </c>
      <c r="AX4632" s="185" t="s">
        <v>176</v>
      </c>
      <c r="AY4632" s="55" t="s">
        <v>176</v>
      </c>
      <c r="AZ4632" s="55" t="s">
        <v>216</v>
      </c>
      <c r="BA4632" s="55" t="s">
        <v>216</v>
      </c>
      <c r="BB4632" s="55" t="s">
        <v>2082</v>
      </c>
      <c r="BC4632" s="55" t="s">
        <v>2082</v>
      </c>
      <c r="BD4632" s="55" t="s">
        <v>176</v>
      </c>
      <c r="BE4632" s="226" t="s">
        <v>4564</v>
      </c>
      <c r="BF4632" s="191" t="s">
        <v>479</v>
      </c>
      <c r="BG4632" s="191" t="s">
        <v>479</v>
      </c>
      <c r="BH4632" s="226" t="s">
        <v>4564</v>
      </c>
      <c r="BI4632" s="191" t="s">
        <v>479</v>
      </c>
      <c r="BJ4632" s="55" t="s">
        <v>176</v>
      </c>
      <c r="BK4632" s="55" t="s">
        <v>6269</v>
      </c>
      <c r="BM4632" s="192" t="s">
        <v>160</v>
      </c>
      <c r="BN4632" s="55">
        <v>5</v>
      </c>
      <c r="BO4632" s="55">
        <v>5</v>
      </c>
      <c r="BQ4632" s="55" t="s">
        <v>141</v>
      </c>
      <c r="CB4632" s="66">
        <v>19210</v>
      </c>
      <c r="CC4632" s="66">
        <v>19600</v>
      </c>
      <c r="CG4632" s="65" t="s">
        <v>4569</v>
      </c>
      <c r="CM4632" s="65">
        <v>4.66</v>
      </c>
      <c r="CN4632" s="65">
        <v>4.87</v>
      </c>
      <c r="CQ4632" s="65" t="s">
        <v>164</v>
      </c>
      <c r="GP4632" s="292" t="s">
        <v>7494</v>
      </c>
      <c r="IC4632" s="65">
        <v>16.2</v>
      </c>
      <c r="ID4632" s="65">
        <v>21.9</v>
      </c>
      <c r="IG4632" s="65" t="s">
        <v>4571</v>
      </c>
      <c r="JU4632" s="55" t="s">
        <v>4570</v>
      </c>
    </row>
    <row r="4633" spans="1:281" x14ac:dyDescent="0.25">
      <c r="A4633" s="55">
        <v>4632</v>
      </c>
      <c r="B4633" s="12" t="s">
        <v>7067</v>
      </c>
      <c r="C4633" s="155">
        <v>201</v>
      </c>
      <c r="D4633" s="55" t="s">
        <v>4567</v>
      </c>
      <c r="E4633" s="90" t="s">
        <v>4560</v>
      </c>
      <c r="G4633" s="55" t="s">
        <v>4561</v>
      </c>
      <c r="H4633" s="55">
        <v>2014</v>
      </c>
      <c r="I4633" s="55">
        <v>2009</v>
      </c>
      <c r="J4633" s="55" t="s">
        <v>151</v>
      </c>
      <c r="K4633" s="55" t="s">
        <v>437</v>
      </c>
      <c r="L4633" s="55" t="s">
        <v>2737</v>
      </c>
      <c r="M4633" s="90">
        <f>42+0.26/60</f>
        <v>42.004333333333335</v>
      </c>
      <c r="N4633" s="90">
        <f>-93-47.31/60</f>
        <v>-93.788499999999999</v>
      </c>
      <c r="O4633" s="90">
        <v>334</v>
      </c>
      <c r="P4633" s="55">
        <v>8.9</v>
      </c>
      <c r="Q4633" s="55">
        <v>9.3000000000000007</v>
      </c>
      <c r="R4633" s="55">
        <v>945</v>
      </c>
      <c r="S4633" s="90">
        <v>856</v>
      </c>
      <c r="U4633" s="55" t="s">
        <v>1935</v>
      </c>
      <c r="V4633" s="55" t="s">
        <v>1688</v>
      </c>
      <c r="Y4633" s="55" t="s">
        <v>4562</v>
      </c>
      <c r="Z4633" s="55" t="s">
        <v>1355</v>
      </c>
      <c r="AA4633" s="90" t="s">
        <v>1679</v>
      </c>
      <c r="AD4633" s="90">
        <v>1.45</v>
      </c>
      <c r="AH4633" s="55" t="s">
        <v>645</v>
      </c>
      <c r="AM4633" s="55" t="s">
        <v>4563</v>
      </c>
      <c r="AN4633" s="185" t="s">
        <v>131</v>
      </c>
      <c r="AO4633" s="185" t="s">
        <v>5150</v>
      </c>
      <c r="AQ4633" s="55" t="s">
        <v>131</v>
      </c>
      <c r="AR4633" s="55" t="s">
        <v>132</v>
      </c>
      <c r="AS4633" s="55" t="s">
        <v>132</v>
      </c>
      <c r="AT4633" s="181" t="s">
        <v>912</v>
      </c>
      <c r="AU4633" s="181" t="s">
        <v>5150</v>
      </c>
      <c r="AV4633" s="185" t="s">
        <v>176</v>
      </c>
      <c r="AW4633" s="55" t="s">
        <v>912</v>
      </c>
      <c r="AX4633" s="185" t="s">
        <v>176</v>
      </c>
      <c r="AY4633" s="55" t="s">
        <v>176</v>
      </c>
      <c r="AZ4633" s="55" t="s">
        <v>216</v>
      </c>
      <c r="BA4633" s="55" t="s">
        <v>216</v>
      </c>
      <c r="BB4633" s="55" t="s">
        <v>2082</v>
      </c>
      <c r="BC4633" s="55" t="s">
        <v>2082</v>
      </c>
      <c r="BD4633" s="55" t="s">
        <v>176</v>
      </c>
      <c r="BE4633" s="226" t="s">
        <v>4564</v>
      </c>
      <c r="BF4633" s="191" t="s">
        <v>479</v>
      </c>
      <c r="BG4633" s="191" t="s">
        <v>479</v>
      </c>
      <c r="BH4633" s="226" t="s">
        <v>4564</v>
      </c>
      <c r="BI4633" s="191" t="s">
        <v>479</v>
      </c>
      <c r="BJ4633" s="55" t="s">
        <v>176</v>
      </c>
      <c r="BK4633" s="55" t="s">
        <v>6269</v>
      </c>
      <c r="BM4633" s="192" t="s">
        <v>160</v>
      </c>
      <c r="BN4633" s="55">
        <v>5</v>
      </c>
      <c r="BO4633" s="55">
        <v>5</v>
      </c>
      <c r="BQ4633" s="55" t="s">
        <v>141</v>
      </c>
      <c r="CB4633" s="66">
        <v>19210</v>
      </c>
      <c r="CC4633" s="66">
        <v>19610</v>
      </c>
      <c r="CG4633" s="65" t="s">
        <v>4569</v>
      </c>
      <c r="CM4633" s="65">
        <v>4.66</v>
      </c>
      <c r="CN4633" s="65">
        <v>4.66</v>
      </c>
      <c r="CQ4633" s="65" t="s">
        <v>164</v>
      </c>
      <c r="GP4633" s="292" t="s">
        <v>7494</v>
      </c>
      <c r="IC4633" s="65">
        <v>16.2</v>
      </c>
      <c r="ID4633" s="65">
        <v>19.7</v>
      </c>
      <c r="IG4633" s="65" t="s">
        <v>4571</v>
      </c>
      <c r="JU4633" s="55" t="s">
        <v>4570</v>
      </c>
    </row>
    <row r="4634" spans="1:281" x14ac:dyDescent="0.25">
      <c r="A4634" s="55">
        <v>4633</v>
      </c>
      <c r="B4634" s="12" t="s">
        <v>7067</v>
      </c>
      <c r="C4634" s="155">
        <v>201</v>
      </c>
      <c r="D4634" s="55" t="s">
        <v>4566</v>
      </c>
      <c r="E4634" s="90" t="s">
        <v>4560</v>
      </c>
      <c r="G4634" s="55" t="s">
        <v>4561</v>
      </c>
      <c r="H4634" s="55">
        <v>2014</v>
      </c>
      <c r="I4634" s="55">
        <v>2010</v>
      </c>
      <c r="J4634" s="55" t="s">
        <v>151</v>
      </c>
      <c r="K4634" s="55" t="s">
        <v>437</v>
      </c>
      <c r="L4634" s="55" t="s">
        <v>2737</v>
      </c>
      <c r="M4634" s="90">
        <f>42+0.26/60</f>
        <v>42.004333333333335</v>
      </c>
      <c r="N4634" s="90">
        <f>-93-47.31/60</f>
        <v>-93.788499999999999</v>
      </c>
      <c r="O4634" s="90">
        <v>334</v>
      </c>
      <c r="P4634" s="55">
        <v>9.4</v>
      </c>
      <c r="Q4634" s="55">
        <v>9.3000000000000007</v>
      </c>
      <c r="R4634" s="55">
        <v>1287</v>
      </c>
      <c r="S4634" s="90">
        <v>856</v>
      </c>
      <c r="U4634" s="55" t="s">
        <v>1805</v>
      </c>
      <c r="V4634" s="55" t="s">
        <v>1688</v>
      </c>
      <c r="Y4634" s="55" t="s">
        <v>4562</v>
      </c>
      <c r="Z4634" s="55" t="s">
        <v>1355</v>
      </c>
      <c r="AA4634" s="90" t="s">
        <v>1679</v>
      </c>
      <c r="AD4634" s="90">
        <v>1.45</v>
      </c>
      <c r="AH4634" s="55" t="s">
        <v>645</v>
      </c>
      <c r="AM4634" s="55" t="s">
        <v>4563</v>
      </c>
      <c r="AN4634" s="185" t="s">
        <v>131</v>
      </c>
      <c r="AO4634" s="185" t="s">
        <v>5150</v>
      </c>
      <c r="AQ4634" s="55" t="s">
        <v>131</v>
      </c>
      <c r="AR4634" s="55" t="s">
        <v>158</v>
      </c>
      <c r="AS4634" s="55" t="s">
        <v>158</v>
      </c>
      <c r="AT4634" s="181" t="s">
        <v>912</v>
      </c>
      <c r="AU4634" s="181" t="s">
        <v>5150</v>
      </c>
      <c r="AV4634" s="185" t="s">
        <v>176</v>
      </c>
      <c r="AW4634" s="55" t="s">
        <v>912</v>
      </c>
      <c r="AX4634" s="185" t="s">
        <v>176</v>
      </c>
      <c r="AY4634" s="55" t="s">
        <v>176</v>
      </c>
      <c r="AZ4634" s="55" t="s">
        <v>216</v>
      </c>
      <c r="BA4634" s="55" t="s">
        <v>216</v>
      </c>
      <c r="BB4634" s="55" t="s">
        <v>2082</v>
      </c>
      <c r="BC4634" s="55" t="s">
        <v>2082</v>
      </c>
      <c r="BD4634" s="55" t="s">
        <v>176</v>
      </c>
      <c r="BE4634" s="226" t="s">
        <v>4564</v>
      </c>
      <c r="BF4634" s="191" t="s">
        <v>479</v>
      </c>
      <c r="BG4634" s="191" t="s">
        <v>479</v>
      </c>
      <c r="BH4634" s="226" t="s">
        <v>4564</v>
      </c>
      <c r="BI4634" s="191" t="s">
        <v>479</v>
      </c>
      <c r="BJ4634" s="55" t="s">
        <v>176</v>
      </c>
      <c r="BK4634" s="55" t="s">
        <v>6269</v>
      </c>
      <c r="BM4634" s="192" t="s">
        <v>160</v>
      </c>
      <c r="BN4634" s="55">
        <v>5</v>
      </c>
      <c r="BO4634" s="55">
        <v>5</v>
      </c>
      <c r="BQ4634" s="55" t="s">
        <v>141</v>
      </c>
      <c r="CB4634" s="66">
        <v>2660</v>
      </c>
      <c r="CC4634" s="66">
        <v>2920</v>
      </c>
      <c r="CG4634" s="65" t="s">
        <v>4569</v>
      </c>
      <c r="CM4634" s="65">
        <v>4.8600000000000003</v>
      </c>
      <c r="CN4634" s="65">
        <v>4.91</v>
      </c>
      <c r="CQ4634" s="65" t="s">
        <v>164</v>
      </c>
      <c r="GP4634" s="292" t="s">
        <v>7494</v>
      </c>
      <c r="IC4634" s="65">
        <v>20.8</v>
      </c>
      <c r="ID4634" s="65">
        <v>21.6</v>
      </c>
      <c r="IG4634" s="65" t="s">
        <v>4571</v>
      </c>
      <c r="JU4634" s="55" t="s">
        <v>4570</v>
      </c>
    </row>
    <row r="4635" spans="1:281" x14ac:dyDescent="0.25">
      <c r="A4635" s="55">
        <v>4634</v>
      </c>
      <c r="B4635" s="12" t="s">
        <v>7067</v>
      </c>
      <c r="C4635" s="155">
        <v>201</v>
      </c>
      <c r="D4635" s="55" t="s">
        <v>4567</v>
      </c>
      <c r="E4635" s="90" t="s">
        <v>4560</v>
      </c>
      <c r="G4635" s="55" t="s">
        <v>4561</v>
      </c>
      <c r="H4635" s="55">
        <v>2014</v>
      </c>
      <c r="I4635" s="55">
        <v>2010</v>
      </c>
      <c r="J4635" s="55" t="s">
        <v>151</v>
      </c>
      <c r="K4635" s="55" t="s">
        <v>437</v>
      </c>
      <c r="L4635" s="55" t="s">
        <v>2737</v>
      </c>
      <c r="M4635" s="90">
        <f>42+0.26/60</f>
        <v>42.004333333333335</v>
      </c>
      <c r="N4635" s="90">
        <f>-93-47.31/60</f>
        <v>-93.788499999999999</v>
      </c>
      <c r="O4635" s="90">
        <v>334</v>
      </c>
      <c r="P4635" s="55">
        <v>9.4</v>
      </c>
      <c r="Q4635" s="55">
        <v>9.3000000000000007</v>
      </c>
      <c r="R4635" s="55">
        <v>1287</v>
      </c>
      <c r="S4635" s="90">
        <v>856</v>
      </c>
      <c r="U4635" s="55" t="s">
        <v>1805</v>
      </c>
      <c r="V4635" s="55" t="s">
        <v>1688</v>
      </c>
      <c r="Y4635" s="55" t="s">
        <v>4562</v>
      </c>
      <c r="Z4635" s="55" t="s">
        <v>1355</v>
      </c>
      <c r="AA4635" s="90" t="s">
        <v>1679</v>
      </c>
      <c r="AD4635" s="90">
        <v>1.45</v>
      </c>
      <c r="AH4635" s="55" t="s">
        <v>645</v>
      </c>
      <c r="AM4635" s="55" t="s">
        <v>4563</v>
      </c>
      <c r="AN4635" s="185" t="s">
        <v>131</v>
      </c>
      <c r="AO4635" s="185" t="s">
        <v>5150</v>
      </c>
      <c r="AQ4635" s="55" t="s">
        <v>131</v>
      </c>
      <c r="AR4635" s="55" t="s">
        <v>158</v>
      </c>
      <c r="AS4635" s="55" t="s">
        <v>158</v>
      </c>
      <c r="AT4635" s="181" t="s">
        <v>912</v>
      </c>
      <c r="AU4635" s="181" t="s">
        <v>5150</v>
      </c>
      <c r="AV4635" s="185" t="s">
        <v>176</v>
      </c>
      <c r="AW4635" s="55" t="s">
        <v>912</v>
      </c>
      <c r="AX4635" s="185" t="s">
        <v>176</v>
      </c>
      <c r="AY4635" s="55" t="s">
        <v>176</v>
      </c>
      <c r="AZ4635" s="55" t="s">
        <v>216</v>
      </c>
      <c r="BA4635" s="55" t="s">
        <v>216</v>
      </c>
      <c r="BB4635" s="55" t="s">
        <v>2082</v>
      </c>
      <c r="BC4635" s="55" t="s">
        <v>2082</v>
      </c>
      <c r="BD4635" s="55" t="s">
        <v>176</v>
      </c>
      <c r="BE4635" s="226" t="s">
        <v>4564</v>
      </c>
      <c r="BF4635" s="191" t="s">
        <v>479</v>
      </c>
      <c r="BG4635" s="191" t="s">
        <v>479</v>
      </c>
      <c r="BH4635" s="226" t="s">
        <v>4564</v>
      </c>
      <c r="BI4635" s="191" t="s">
        <v>479</v>
      </c>
      <c r="BJ4635" s="55" t="s">
        <v>176</v>
      </c>
      <c r="BK4635" s="55" t="s">
        <v>6269</v>
      </c>
      <c r="BM4635" s="192" t="s">
        <v>160</v>
      </c>
      <c r="BN4635" s="55">
        <v>5</v>
      </c>
      <c r="BO4635" s="55">
        <v>5</v>
      </c>
      <c r="BQ4635" s="55" t="s">
        <v>141</v>
      </c>
      <c r="CB4635" s="66">
        <v>2660</v>
      </c>
      <c r="CC4635" s="66">
        <v>2990</v>
      </c>
      <c r="CG4635" s="65" t="s">
        <v>4569</v>
      </c>
      <c r="CM4635" s="65">
        <v>4.8600000000000003</v>
      </c>
      <c r="CN4635" s="65">
        <v>5.16</v>
      </c>
      <c r="CQ4635" s="65" t="s">
        <v>164</v>
      </c>
      <c r="GP4635" s="292" t="s">
        <v>7494</v>
      </c>
      <c r="IC4635" s="65">
        <v>20.8</v>
      </c>
      <c r="ID4635" s="65">
        <v>27.2</v>
      </c>
      <c r="IG4635" s="65" t="s">
        <v>4571</v>
      </c>
      <c r="JU4635" s="55" t="s">
        <v>4570</v>
      </c>
    </row>
    <row r="4636" spans="1:281" x14ac:dyDescent="0.25">
      <c r="A4636" s="55">
        <v>4635</v>
      </c>
      <c r="B4636" s="12" t="s">
        <v>7067</v>
      </c>
      <c r="C4636" s="155">
        <v>201</v>
      </c>
      <c r="D4636" s="55" t="s">
        <v>4568</v>
      </c>
      <c r="E4636" s="90" t="s">
        <v>4560</v>
      </c>
      <c r="G4636" s="55" t="s">
        <v>4561</v>
      </c>
      <c r="H4636" s="55">
        <v>2014</v>
      </c>
      <c r="I4636" s="55">
        <v>2010</v>
      </c>
      <c r="J4636" s="55" t="s">
        <v>151</v>
      </c>
      <c r="K4636" s="55" t="s">
        <v>437</v>
      </c>
      <c r="L4636" s="55" t="s">
        <v>2737</v>
      </c>
      <c r="M4636" s="90">
        <f>42+0.26/60</f>
        <v>42.004333333333335</v>
      </c>
      <c r="N4636" s="90">
        <f>-93-47.31/60</f>
        <v>-93.788499999999999</v>
      </c>
      <c r="O4636" s="90">
        <v>334</v>
      </c>
      <c r="P4636" s="55">
        <v>9.4</v>
      </c>
      <c r="Q4636" s="55">
        <v>9.3000000000000007</v>
      </c>
      <c r="R4636" s="55">
        <v>1287</v>
      </c>
      <c r="S4636" s="90">
        <v>856</v>
      </c>
      <c r="U4636" s="55" t="s">
        <v>1805</v>
      </c>
      <c r="V4636" s="55" t="s">
        <v>1688</v>
      </c>
      <c r="Y4636" s="55" t="s">
        <v>4562</v>
      </c>
      <c r="Z4636" s="55" t="s">
        <v>1355</v>
      </c>
      <c r="AA4636" s="90" t="s">
        <v>1679</v>
      </c>
      <c r="AD4636" s="90">
        <v>1.45</v>
      </c>
      <c r="AH4636" s="55" t="s">
        <v>645</v>
      </c>
      <c r="AM4636" s="55" t="s">
        <v>4563</v>
      </c>
      <c r="AN4636" s="185" t="s">
        <v>131</v>
      </c>
      <c r="AO4636" s="185" t="s">
        <v>5150</v>
      </c>
      <c r="AQ4636" s="55" t="s">
        <v>131</v>
      </c>
      <c r="AR4636" s="55" t="s">
        <v>158</v>
      </c>
      <c r="AS4636" s="55" t="s">
        <v>158</v>
      </c>
      <c r="AT4636" s="181" t="s">
        <v>912</v>
      </c>
      <c r="AU4636" s="181" t="s">
        <v>5150</v>
      </c>
      <c r="AV4636" s="185" t="s">
        <v>176</v>
      </c>
      <c r="AW4636" s="55" t="s">
        <v>912</v>
      </c>
      <c r="AX4636" s="185" t="s">
        <v>176</v>
      </c>
      <c r="AY4636" s="55" t="s">
        <v>176</v>
      </c>
      <c r="AZ4636" s="55" t="s">
        <v>216</v>
      </c>
      <c r="BA4636" s="55" t="s">
        <v>216</v>
      </c>
      <c r="BB4636" s="55" t="s">
        <v>2082</v>
      </c>
      <c r="BC4636" s="55" t="s">
        <v>2082</v>
      </c>
      <c r="BD4636" s="55" t="s">
        <v>176</v>
      </c>
      <c r="BE4636" s="226" t="s">
        <v>4564</v>
      </c>
      <c r="BF4636" s="191" t="s">
        <v>479</v>
      </c>
      <c r="BG4636" s="191" t="s">
        <v>479</v>
      </c>
      <c r="BH4636" s="226" t="s">
        <v>4564</v>
      </c>
      <c r="BI4636" s="191" t="s">
        <v>479</v>
      </c>
      <c r="BJ4636" s="55" t="s">
        <v>176</v>
      </c>
      <c r="BK4636" s="55" t="s">
        <v>6269</v>
      </c>
      <c r="BM4636" s="192" t="s">
        <v>160</v>
      </c>
      <c r="BN4636" s="55">
        <v>5</v>
      </c>
      <c r="BO4636" s="55">
        <v>5</v>
      </c>
      <c r="BQ4636" s="55" t="s">
        <v>141</v>
      </c>
      <c r="CB4636" s="66">
        <v>2660</v>
      </c>
      <c r="CC4636" s="66">
        <v>2810</v>
      </c>
      <c r="CG4636" s="65" t="s">
        <v>4569</v>
      </c>
      <c r="CM4636" s="65">
        <v>4.8600000000000003</v>
      </c>
      <c r="CN4636" s="65">
        <v>4.8</v>
      </c>
      <c r="CQ4636" s="65" t="s">
        <v>164</v>
      </c>
      <c r="GP4636" s="292" t="s">
        <v>7494</v>
      </c>
      <c r="IC4636" s="65">
        <v>20.8</v>
      </c>
      <c r="ID4636" s="65">
        <v>26.2</v>
      </c>
      <c r="IG4636" s="65" t="s">
        <v>4571</v>
      </c>
      <c r="JU4636" s="55" t="s">
        <v>4570</v>
      </c>
    </row>
    <row r="4637" spans="1:281" x14ac:dyDescent="0.25">
      <c r="A4637" s="55">
        <v>4636</v>
      </c>
      <c r="B4637" s="12" t="s">
        <v>7067</v>
      </c>
      <c r="C4637" s="155">
        <v>201</v>
      </c>
      <c r="D4637" s="55" t="s">
        <v>4565</v>
      </c>
      <c r="E4637" s="90" t="s">
        <v>4560</v>
      </c>
      <c r="G4637" s="55" t="s">
        <v>4561</v>
      </c>
      <c r="H4637" s="55">
        <v>2014</v>
      </c>
      <c r="I4637" s="55">
        <v>2011</v>
      </c>
      <c r="J4637" s="55" t="s">
        <v>151</v>
      </c>
      <c r="K4637" s="55" t="s">
        <v>437</v>
      </c>
      <c r="L4637" s="55" t="s">
        <v>2737</v>
      </c>
      <c r="M4637" s="90">
        <f>42+0.26/60</f>
        <v>42.004333333333335</v>
      </c>
      <c r="N4637" s="90">
        <f>-93-47.31/60</f>
        <v>-93.788499999999999</v>
      </c>
      <c r="O4637" s="90">
        <v>334</v>
      </c>
      <c r="P4637" s="55">
        <v>9.4</v>
      </c>
      <c r="Q4637" s="55">
        <v>9.3000000000000007</v>
      </c>
      <c r="R4637" s="55">
        <v>826</v>
      </c>
      <c r="S4637" s="90">
        <v>856</v>
      </c>
      <c r="U4637" s="55" t="s">
        <v>1688</v>
      </c>
      <c r="V4637" s="55" t="s">
        <v>1688</v>
      </c>
      <c r="Y4637" s="55" t="s">
        <v>4562</v>
      </c>
      <c r="Z4637" s="55" t="s">
        <v>1355</v>
      </c>
      <c r="AA4637" s="90" t="s">
        <v>1679</v>
      </c>
      <c r="AD4637" s="90">
        <v>1.45</v>
      </c>
      <c r="AH4637" s="55" t="s">
        <v>645</v>
      </c>
      <c r="AM4637" s="55" t="s">
        <v>4563</v>
      </c>
      <c r="AN4637" s="185" t="s">
        <v>131</v>
      </c>
      <c r="AO4637" s="185" t="s">
        <v>5150</v>
      </c>
      <c r="AQ4637" s="55" t="s">
        <v>131</v>
      </c>
      <c r="AR4637" s="55" t="s">
        <v>132</v>
      </c>
      <c r="AS4637" s="55" t="s">
        <v>132</v>
      </c>
      <c r="AT4637" s="181" t="s">
        <v>912</v>
      </c>
      <c r="AU4637" s="181" t="s">
        <v>5150</v>
      </c>
      <c r="AV4637" s="185" t="s">
        <v>176</v>
      </c>
      <c r="AW4637" s="55" t="s">
        <v>912</v>
      </c>
      <c r="AX4637" s="185" t="s">
        <v>176</v>
      </c>
      <c r="AY4637" s="55" t="s">
        <v>176</v>
      </c>
      <c r="AZ4637" s="55" t="s">
        <v>216</v>
      </c>
      <c r="BA4637" s="55" t="s">
        <v>216</v>
      </c>
      <c r="BB4637" s="55" t="s">
        <v>2082</v>
      </c>
      <c r="BC4637" s="55" t="s">
        <v>2082</v>
      </c>
      <c r="BD4637" s="55" t="s">
        <v>176</v>
      </c>
      <c r="BE4637" s="226" t="s">
        <v>4564</v>
      </c>
      <c r="BF4637" s="191" t="s">
        <v>479</v>
      </c>
      <c r="BG4637" s="191" t="s">
        <v>479</v>
      </c>
      <c r="BH4637" s="226" t="s">
        <v>4564</v>
      </c>
      <c r="BI4637" s="191" t="s">
        <v>479</v>
      </c>
      <c r="BJ4637" s="55" t="s">
        <v>176</v>
      </c>
      <c r="BK4637" s="55" t="s">
        <v>6269</v>
      </c>
      <c r="BM4637" s="192" t="s">
        <v>160</v>
      </c>
      <c r="BN4637" s="55">
        <v>5</v>
      </c>
      <c r="BO4637" s="55">
        <v>5</v>
      </c>
      <c r="BQ4637" s="55" t="s">
        <v>141</v>
      </c>
      <c r="CB4637" s="66">
        <v>18870</v>
      </c>
      <c r="CC4637" s="66">
        <v>18210</v>
      </c>
      <c r="CG4637" s="65" t="s">
        <v>4569</v>
      </c>
      <c r="CM4637" s="65">
        <v>4.76</v>
      </c>
      <c r="CN4637" s="65">
        <v>4.8499999999999996</v>
      </c>
      <c r="CQ4637" s="65" t="s">
        <v>164</v>
      </c>
      <c r="GP4637" s="292" t="s">
        <v>7494</v>
      </c>
      <c r="JU4637" s="55" t="s">
        <v>4570</v>
      </c>
    </row>
    <row r="4638" spans="1:281" x14ac:dyDescent="0.25">
      <c r="A4638" s="55">
        <v>4637</v>
      </c>
      <c r="B4638" s="12" t="s">
        <v>7067</v>
      </c>
      <c r="C4638" s="155">
        <v>201</v>
      </c>
      <c r="D4638" s="55" t="s">
        <v>4565</v>
      </c>
      <c r="E4638" s="90" t="s">
        <v>4560</v>
      </c>
      <c r="G4638" s="55" t="s">
        <v>4561</v>
      </c>
      <c r="H4638" s="55">
        <v>2014</v>
      </c>
      <c r="I4638" s="55">
        <v>2011</v>
      </c>
      <c r="J4638" s="55" t="s">
        <v>151</v>
      </c>
      <c r="K4638" s="55" t="s">
        <v>437</v>
      </c>
      <c r="L4638" s="55" t="s">
        <v>2737</v>
      </c>
      <c r="M4638" s="90">
        <f>42+0.26/60</f>
        <v>42.004333333333335</v>
      </c>
      <c r="N4638" s="90">
        <f>-93-47.31/60</f>
        <v>-93.788499999999999</v>
      </c>
      <c r="O4638" s="90">
        <v>334</v>
      </c>
      <c r="P4638" s="55">
        <v>9.4</v>
      </c>
      <c r="Q4638" s="55">
        <v>9.3000000000000007</v>
      </c>
      <c r="R4638" s="55">
        <v>826</v>
      </c>
      <c r="S4638" s="90">
        <v>856</v>
      </c>
      <c r="U4638" s="55" t="s">
        <v>1688</v>
      </c>
      <c r="V4638" s="55" t="s">
        <v>1688</v>
      </c>
      <c r="Y4638" s="55" t="s">
        <v>4562</v>
      </c>
      <c r="Z4638" s="55" t="s">
        <v>1355</v>
      </c>
      <c r="AA4638" s="90" t="s">
        <v>1679</v>
      </c>
      <c r="AD4638" s="90">
        <v>1.45</v>
      </c>
      <c r="AH4638" s="55" t="s">
        <v>645</v>
      </c>
      <c r="AM4638" s="55" t="s">
        <v>4563</v>
      </c>
      <c r="AN4638" s="185" t="s">
        <v>131</v>
      </c>
      <c r="AO4638" s="185" t="s">
        <v>5150</v>
      </c>
      <c r="AQ4638" s="55" t="s">
        <v>131</v>
      </c>
      <c r="AR4638" s="55" t="s">
        <v>132</v>
      </c>
      <c r="AS4638" s="55" t="s">
        <v>132</v>
      </c>
      <c r="AT4638" s="181" t="s">
        <v>912</v>
      </c>
      <c r="AU4638" s="181" t="s">
        <v>5150</v>
      </c>
      <c r="AV4638" s="185" t="s">
        <v>176</v>
      </c>
      <c r="AW4638" s="55" t="s">
        <v>912</v>
      </c>
      <c r="AX4638" s="185" t="s">
        <v>176</v>
      </c>
      <c r="AY4638" s="55" t="s">
        <v>176</v>
      </c>
      <c r="AZ4638" s="55" t="s">
        <v>216</v>
      </c>
      <c r="BA4638" s="55" t="s">
        <v>216</v>
      </c>
      <c r="BB4638" s="55" t="s">
        <v>2082</v>
      </c>
      <c r="BC4638" s="55" t="s">
        <v>2082</v>
      </c>
      <c r="BD4638" s="55" t="s">
        <v>176</v>
      </c>
      <c r="BE4638" s="226" t="s">
        <v>4564</v>
      </c>
      <c r="BF4638" s="191" t="s">
        <v>479</v>
      </c>
      <c r="BG4638" s="191" t="s">
        <v>479</v>
      </c>
      <c r="BH4638" s="226" t="s">
        <v>4564</v>
      </c>
      <c r="BI4638" s="191" t="s">
        <v>479</v>
      </c>
      <c r="BJ4638" s="55" t="s">
        <v>176</v>
      </c>
      <c r="BK4638" s="55" t="s">
        <v>6269</v>
      </c>
      <c r="BM4638" s="192" t="s">
        <v>160</v>
      </c>
      <c r="BN4638" s="55">
        <v>5</v>
      </c>
      <c r="BO4638" s="55">
        <v>5</v>
      </c>
      <c r="BQ4638" s="55" t="s">
        <v>141</v>
      </c>
      <c r="CB4638" s="66">
        <v>18870</v>
      </c>
      <c r="CC4638" s="66">
        <v>19300</v>
      </c>
      <c r="CG4638" s="65" t="s">
        <v>4569</v>
      </c>
      <c r="CM4638" s="65">
        <v>4.76</v>
      </c>
      <c r="CN4638" s="65">
        <v>5.0199999999999996</v>
      </c>
      <c r="CQ4638" s="65" t="s">
        <v>164</v>
      </c>
      <c r="GP4638" s="292" t="s">
        <v>7494</v>
      </c>
      <c r="JU4638" s="55" t="s">
        <v>4570</v>
      </c>
    </row>
    <row r="4639" spans="1:281" x14ac:dyDescent="0.25">
      <c r="A4639" s="55">
        <v>4638</v>
      </c>
      <c r="B4639" s="12" t="s">
        <v>7067</v>
      </c>
      <c r="C4639" s="155">
        <v>201</v>
      </c>
      <c r="D4639" s="55" t="s">
        <v>4565</v>
      </c>
      <c r="E4639" s="90" t="s">
        <v>4560</v>
      </c>
      <c r="G4639" s="55" t="s">
        <v>4561</v>
      </c>
      <c r="H4639" s="55">
        <v>2014</v>
      </c>
      <c r="I4639" s="55">
        <v>2011</v>
      </c>
      <c r="J4639" s="55" t="s">
        <v>151</v>
      </c>
      <c r="K4639" s="55" t="s">
        <v>437</v>
      </c>
      <c r="L4639" s="55" t="s">
        <v>2737</v>
      </c>
      <c r="M4639" s="90">
        <f>42+0.26/60</f>
        <v>42.004333333333335</v>
      </c>
      <c r="N4639" s="90">
        <f>-93-47.31/60</f>
        <v>-93.788499999999999</v>
      </c>
      <c r="O4639" s="90">
        <v>334</v>
      </c>
      <c r="P4639" s="55">
        <v>9.4</v>
      </c>
      <c r="Q4639" s="55">
        <v>9.3000000000000007</v>
      </c>
      <c r="R4639" s="55">
        <v>826</v>
      </c>
      <c r="S4639" s="90">
        <v>856</v>
      </c>
      <c r="U4639" s="55" t="s">
        <v>1688</v>
      </c>
      <c r="V4639" s="55" t="s">
        <v>1688</v>
      </c>
      <c r="Y4639" s="55" t="s">
        <v>4562</v>
      </c>
      <c r="Z4639" s="55" t="s">
        <v>1355</v>
      </c>
      <c r="AA4639" s="90" t="s">
        <v>1679</v>
      </c>
      <c r="AD4639" s="90">
        <v>1.45</v>
      </c>
      <c r="AH4639" s="55" t="s">
        <v>645</v>
      </c>
      <c r="AM4639" s="55" t="s">
        <v>4563</v>
      </c>
      <c r="AN4639" s="185" t="s">
        <v>131</v>
      </c>
      <c r="AO4639" s="185" t="s">
        <v>5150</v>
      </c>
      <c r="AQ4639" s="55" t="s">
        <v>131</v>
      </c>
      <c r="AR4639" s="55" t="s">
        <v>132</v>
      </c>
      <c r="AS4639" s="55" t="s">
        <v>132</v>
      </c>
      <c r="AT4639" s="181" t="s">
        <v>912</v>
      </c>
      <c r="AU4639" s="181" t="s">
        <v>5150</v>
      </c>
      <c r="AV4639" s="185" t="s">
        <v>176</v>
      </c>
      <c r="AW4639" s="55" t="s">
        <v>912</v>
      </c>
      <c r="AX4639" s="185" t="s">
        <v>176</v>
      </c>
      <c r="AY4639" s="55" t="s">
        <v>176</v>
      </c>
      <c r="AZ4639" s="55" t="s">
        <v>216</v>
      </c>
      <c r="BA4639" s="55" t="s">
        <v>216</v>
      </c>
      <c r="BB4639" s="55" t="s">
        <v>2082</v>
      </c>
      <c r="BC4639" s="55" t="s">
        <v>2082</v>
      </c>
      <c r="BD4639" s="55" t="s">
        <v>176</v>
      </c>
      <c r="BE4639" s="226" t="s">
        <v>4564</v>
      </c>
      <c r="BF4639" s="191" t="s">
        <v>479</v>
      </c>
      <c r="BG4639" s="191" t="s">
        <v>479</v>
      </c>
      <c r="BH4639" s="226" t="s">
        <v>4564</v>
      </c>
      <c r="BI4639" s="191" t="s">
        <v>479</v>
      </c>
      <c r="BJ4639" s="55" t="s">
        <v>176</v>
      </c>
      <c r="BK4639" s="55" t="s">
        <v>6269</v>
      </c>
      <c r="BM4639" s="192" t="s">
        <v>160</v>
      </c>
      <c r="BN4639" s="55">
        <v>5</v>
      </c>
      <c r="BO4639" s="55">
        <v>5</v>
      </c>
      <c r="BQ4639" s="55" t="s">
        <v>141</v>
      </c>
      <c r="CB4639" s="66">
        <v>18870</v>
      </c>
      <c r="CC4639" s="66">
        <v>18500</v>
      </c>
      <c r="CG4639" s="65" t="s">
        <v>4569</v>
      </c>
      <c r="CM4639" s="65">
        <v>4.76</v>
      </c>
      <c r="CN4639" s="65">
        <v>4.7300000000000004</v>
      </c>
      <c r="CQ4639" s="65" t="s">
        <v>164</v>
      </c>
      <c r="GP4639" s="292" t="s">
        <v>7494</v>
      </c>
      <c r="JU4639" s="55" t="s">
        <v>4570</v>
      </c>
    </row>
    <row r="4640" spans="1:281" x14ac:dyDescent="0.25">
      <c r="A4640" s="55">
        <v>4639</v>
      </c>
      <c r="B4640" s="12" t="s">
        <v>7067</v>
      </c>
      <c r="C4640" s="155">
        <v>202</v>
      </c>
      <c r="D4640" s="55" t="s">
        <v>4594</v>
      </c>
      <c r="E4640" s="90" t="s">
        <v>4572</v>
      </c>
      <c r="G4640" s="55" t="s">
        <v>4574</v>
      </c>
      <c r="H4640" s="55">
        <v>2014</v>
      </c>
      <c r="I4640" s="55">
        <v>2012</v>
      </c>
      <c r="J4640" s="55" t="s">
        <v>4573</v>
      </c>
      <c r="K4640" s="55" t="s">
        <v>4576</v>
      </c>
      <c r="L4640" s="55" t="s">
        <v>2737</v>
      </c>
      <c r="M4640" s="90">
        <v>37.43</v>
      </c>
      <c r="N4640" s="90">
        <v>-88.6</v>
      </c>
      <c r="O4640" s="90">
        <v>140</v>
      </c>
      <c r="U4640" s="55" t="s">
        <v>1889</v>
      </c>
      <c r="V4640" s="55" t="s">
        <v>1889</v>
      </c>
      <c r="Y4640" s="55" t="s">
        <v>4575</v>
      </c>
      <c r="Z4640" s="55" t="s">
        <v>1349</v>
      </c>
      <c r="AA4640" s="90" t="s">
        <v>1677</v>
      </c>
      <c r="AH4640" s="55" t="s">
        <v>6378</v>
      </c>
      <c r="AM4640" s="55" t="s">
        <v>4582</v>
      </c>
      <c r="AN4640" s="185" t="s">
        <v>4587</v>
      </c>
      <c r="AO4640" s="185" t="s">
        <v>5150</v>
      </c>
      <c r="AQ4640" s="55" t="s">
        <v>4584</v>
      </c>
      <c r="AR4640" s="55" t="s">
        <v>4585</v>
      </c>
      <c r="AS4640" s="55" t="s">
        <v>4584</v>
      </c>
      <c r="AT4640" s="181" t="s">
        <v>912</v>
      </c>
      <c r="AU4640" s="181" t="s">
        <v>5150</v>
      </c>
      <c r="AV4640" s="185" t="s">
        <v>176</v>
      </c>
      <c r="AW4640" s="55" t="s">
        <v>912</v>
      </c>
      <c r="AX4640" s="185" t="s">
        <v>176</v>
      </c>
      <c r="AY4640" s="55" t="s">
        <v>176</v>
      </c>
      <c r="AZ4640" s="55" t="s">
        <v>216</v>
      </c>
      <c r="BA4640" s="55" t="s">
        <v>216</v>
      </c>
      <c r="BB4640" s="55" t="s">
        <v>2082</v>
      </c>
      <c r="BC4640" s="55" t="s">
        <v>2082</v>
      </c>
      <c r="BD4640" s="55" t="s">
        <v>176</v>
      </c>
      <c r="BK4640" s="55" t="s">
        <v>6269</v>
      </c>
      <c r="BN4640" s="55">
        <v>6</v>
      </c>
      <c r="BO4640" s="55">
        <v>6</v>
      </c>
      <c r="BQ4640" s="55" t="s">
        <v>141</v>
      </c>
      <c r="CM4640" s="242">
        <f>CR4640/(100*100*(1.5026127-0.0042923*CR4640)*AA4640/100)*100</f>
        <v>1.2616403017783158</v>
      </c>
      <c r="CN4640" s="242">
        <f>CS4640/(100*100*(1.5026127-0.0042923*CS4640)*AA4640/100)*100</f>
        <v>1.5464771120887364</v>
      </c>
      <c r="CR4640" s="65">
        <v>26.3</v>
      </c>
      <c r="CS4640" s="65">
        <v>31.7</v>
      </c>
      <c r="CW4640" s="65">
        <f>-0.04/15*1000</f>
        <v>-2.6666666666666665</v>
      </c>
      <c r="CX4640" s="65">
        <f>0.42/15*1000</f>
        <v>28</v>
      </c>
      <c r="DA4640" s="65" t="s">
        <v>4592</v>
      </c>
      <c r="FJ4640" s="65">
        <f>8100/1000</f>
        <v>8.1</v>
      </c>
      <c r="FK4640" s="65">
        <f>6200/1000</f>
        <v>6.2</v>
      </c>
      <c r="FN4640" s="65" t="s">
        <v>6361</v>
      </c>
      <c r="FT4640" s="65">
        <v>130</v>
      </c>
      <c r="FU4640" s="65">
        <v>100</v>
      </c>
      <c r="FX4640" s="65" t="s">
        <v>4609</v>
      </c>
      <c r="GP4640" s="292" t="s">
        <v>7494</v>
      </c>
    </row>
    <row r="4641" spans="1:198" x14ac:dyDescent="0.25">
      <c r="A4641" s="55">
        <v>4640</v>
      </c>
      <c r="B4641" s="12" t="s">
        <v>7067</v>
      </c>
      <c r="C4641" s="155">
        <v>202</v>
      </c>
      <c r="D4641" s="55" t="s">
        <v>4595</v>
      </c>
      <c r="E4641" s="90" t="s">
        <v>4572</v>
      </c>
      <c r="G4641" s="55" t="s">
        <v>4574</v>
      </c>
      <c r="H4641" s="55">
        <v>2014</v>
      </c>
      <c r="I4641" s="55">
        <v>2012</v>
      </c>
      <c r="J4641" s="55" t="s">
        <v>4573</v>
      </c>
      <c r="K4641" s="55" t="s">
        <v>4576</v>
      </c>
      <c r="L4641" s="55" t="s">
        <v>2737</v>
      </c>
      <c r="M4641" s="90">
        <v>37.43</v>
      </c>
      <c r="N4641" s="90">
        <v>-88.6</v>
      </c>
      <c r="O4641" s="90">
        <v>140</v>
      </c>
      <c r="U4641" s="55" t="s">
        <v>1889</v>
      </c>
      <c r="V4641" s="55" t="s">
        <v>1889</v>
      </c>
      <c r="Y4641" s="55" t="s">
        <v>4575</v>
      </c>
      <c r="Z4641" s="55" t="s">
        <v>4588</v>
      </c>
      <c r="AA4641" s="90" t="s">
        <v>1684</v>
      </c>
      <c r="AH4641" s="55" t="s">
        <v>6378</v>
      </c>
      <c r="AM4641" s="55" t="s">
        <v>4582</v>
      </c>
      <c r="AN4641" s="185" t="s">
        <v>4587</v>
      </c>
      <c r="AO4641" s="185" t="s">
        <v>5150</v>
      </c>
      <c r="AQ4641" s="55" t="s">
        <v>4584</v>
      </c>
      <c r="AR4641" s="55" t="s">
        <v>4585</v>
      </c>
      <c r="AS4641" s="55" t="s">
        <v>4584</v>
      </c>
      <c r="AT4641" s="181" t="s">
        <v>912</v>
      </c>
      <c r="AU4641" s="181" t="s">
        <v>5150</v>
      </c>
      <c r="AV4641" s="185" t="s">
        <v>176</v>
      </c>
      <c r="AW4641" s="55" t="s">
        <v>912</v>
      </c>
      <c r="AX4641" s="185" t="s">
        <v>176</v>
      </c>
      <c r="AY4641" s="55" t="s">
        <v>176</v>
      </c>
      <c r="AZ4641" s="55" t="s">
        <v>216</v>
      </c>
      <c r="BA4641" s="55" t="s">
        <v>216</v>
      </c>
      <c r="BB4641" s="55" t="s">
        <v>2082</v>
      </c>
      <c r="BC4641" s="55" t="s">
        <v>2082</v>
      </c>
      <c r="BD4641" s="55" t="s">
        <v>176</v>
      </c>
      <c r="BK4641" s="55" t="s">
        <v>6269</v>
      </c>
      <c r="BN4641" s="55">
        <v>6</v>
      </c>
      <c r="BO4641" s="55">
        <v>6</v>
      </c>
      <c r="BQ4641" s="55" t="s">
        <v>141</v>
      </c>
      <c r="CM4641" s="242">
        <f>CR4641/(100*100*(1.5026127-0.0042923*CR4641)*AA4641/100)*100</f>
        <v>0.29348139455372407</v>
      </c>
      <c r="CN4641" s="242">
        <f>CS4641/(100*100*(1.5026127-0.0042923*CS4641)*AA4641/100)*100</f>
        <v>0.35731852721636481</v>
      </c>
      <c r="CR4641" s="65">
        <v>24.6</v>
      </c>
      <c r="CS4641" s="65">
        <v>29.5</v>
      </c>
      <c r="CW4641" s="65">
        <f>0.36/60*1000</f>
        <v>6</v>
      </c>
      <c r="CX4641" s="65">
        <f>0.78/60*1000</f>
        <v>13.000000000000002</v>
      </c>
      <c r="DA4641" s="65" t="s">
        <v>4592</v>
      </c>
      <c r="GP4641" s="292" t="s">
        <v>7494</v>
      </c>
    </row>
    <row r="4642" spans="1:198" x14ac:dyDescent="0.25">
      <c r="A4642" s="55">
        <v>4641</v>
      </c>
      <c r="B4642" s="12" t="s">
        <v>7067</v>
      </c>
      <c r="C4642" s="155">
        <v>202</v>
      </c>
      <c r="D4642" s="55" t="s">
        <v>4596</v>
      </c>
      <c r="E4642" s="90" t="s">
        <v>4572</v>
      </c>
      <c r="G4642" s="55" t="s">
        <v>4574</v>
      </c>
      <c r="H4642" s="55">
        <v>2014</v>
      </c>
      <c r="I4642" s="55">
        <v>2012</v>
      </c>
      <c r="J4642" s="55" t="s">
        <v>4573</v>
      </c>
      <c r="K4642" s="55" t="s">
        <v>4576</v>
      </c>
      <c r="L4642" s="55" t="s">
        <v>2737</v>
      </c>
      <c r="M4642" s="90">
        <v>37.43</v>
      </c>
      <c r="N4642" s="90">
        <v>-88.6</v>
      </c>
      <c r="O4642" s="90">
        <v>140</v>
      </c>
      <c r="U4642" s="55" t="s">
        <v>1889</v>
      </c>
      <c r="V4642" s="55" t="s">
        <v>1889</v>
      </c>
      <c r="Y4642" s="55" t="s">
        <v>4575</v>
      </c>
      <c r="Z4642" s="55" t="s">
        <v>4589</v>
      </c>
      <c r="AA4642" s="90" t="s">
        <v>4590</v>
      </c>
      <c r="AH4642" s="55" t="s">
        <v>6378</v>
      </c>
      <c r="AM4642" s="55" t="s">
        <v>4582</v>
      </c>
      <c r="AN4642" s="185" t="s">
        <v>4587</v>
      </c>
      <c r="AO4642" s="185" t="s">
        <v>5150</v>
      </c>
      <c r="AQ4642" s="55" t="s">
        <v>4584</v>
      </c>
      <c r="AR4642" s="55" t="s">
        <v>4585</v>
      </c>
      <c r="AS4642" s="55" t="s">
        <v>4584</v>
      </c>
      <c r="AT4642" s="181" t="s">
        <v>912</v>
      </c>
      <c r="AU4642" s="181" t="s">
        <v>5150</v>
      </c>
      <c r="AV4642" s="185" t="s">
        <v>176</v>
      </c>
      <c r="AW4642" s="55" t="s">
        <v>912</v>
      </c>
      <c r="AX4642" s="185" t="s">
        <v>176</v>
      </c>
      <c r="AY4642" s="55" t="s">
        <v>176</v>
      </c>
      <c r="AZ4642" s="55" t="s">
        <v>216</v>
      </c>
      <c r="BA4642" s="55" t="s">
        <v>216</v>
      </c>
      <c r="BB4642" s="55" t="s">
        <v>2082</v>
      </c>
      <c r="BC4642" s="55" t="s">
        <v>2082</v>
      </c>
      <c r="BD4642" s="55" t="s">
        <v>176</v>
      </c>
      <c r="BK4642" s="55" t="s">
        <v>6269</v>
      </c>
      <c r="BN4642" s="55">
        <v>6</v>
      </c>
      <c r="BO4642" s="55">
        <v>6</v>
      </c>
      <c r="BQ4642" s="55" t="s">
        <v>141</v>
      </c>
      <c r="CM4642" s="242">
        <f>CR4642/(100*100*(1.5026127-0.0042923*CR4642)*AA4642/100)*100</f>
        <v>0.52850117955830433</v>
      </c>
      <c r="CN4642" s="242">
        <f>CS4642/(100*100*(1.5026127-0.0042923*CS4642)*AA4642/100)*100</f>
        <v>0.65680218051659156</v>
      </c>
      <c r="CR4642" s="65">
        <v>50.9</v>
      </c>
      <c r="CS4642" s="65">
        <v>61.1</v>
      </c>
      <c r="CW4642" s="65">
        <f>0.33/75*1000</f>
        <v>4.4000000000000004</v>
      </c>
      <c r="CX4642" s="65">
        <f>1.21/75*1000</f>
        <v>16.133333333333333</v>
      </c>
      <c r="DA4642" s="65" t="s">
        <v>4592</v>
      </c>
      <c r="GP4642" s="292" t="s">
        <v>7494</v>
      </c>
    </row>
    <row r="4643" spans="1:198" x14ac:dyDescent="0.25">
      <c r="A4643" s="55">
        <v>4642</v>
      </c>
      <c r="B4643" s="12" t="s">
        <v>7067</v>
      </c>
      <c r="C4643" s="155">
        <v>202</v>
      </c>
      <c r="D4643" s="55" t="s">
        <v>4597</v>
      </c>
      <c r="E4643" s="90" t="s">
        <v>4572</v>
      </c>
      <c r="G4643" s="55" t="s">
        <v>4574</v>
      </c>
      <c r="H4643" s="55">
        <v>2014</v>
      </c>
      <c r="I4643" s="55">
        <v>2012</v>
      </c>
      <c r="J4643" s="55" t="s">
        <v>4573</v>
      </c>
      <c r="K4643" s="55" t="s">
        <v>4576</v>
      </c>
      <c r="L4643" s="55" t="s">
        <v>2737</v>
      </c>
      <c r="M4643" s="90">
        <v>37.43</v>
      </c>
      <c r="N4643" s="90">
        <v>-88.6</v>
      </c>
      <c r="O4643" s="90">
        <v>140</v>
      </c>
      <c r="U4643" s="55" t="s">
        <v>1889</v>
      </c>
      <c r="V4643" s="55" t="s">
        <v>1889</v>
      </c>
      <c r="Y4643" s="55" t="s">
        <v>4575</v>
      </c>
      <c r="Z4643" s="55" t="s">
        <v>1349</v>
      </c>
      <c r="AA4643" s="90" t="s">
        <v>1677</v>
      </c>
      <c r="AH4643" s="55" t="s">
        <v>6378</v>
      </c>
      <c r="AM4643" s="55" t="s">
        <v>4582</v>
      </c>
      <c r="AN4643" s="185" t="s">
        <v>4587</v>
      </c>
      <c r="AO4643" s="185" t="s">
        <v>5150</v>
      </c>
      <c r="AQ4643" s="55" t="s">
        <v>4584</v>
      </c>
      <c r="AR4643" s="55" t="s">
        <v>4585</v>
      </c>
      <c r="AS4643" s="55" t="s">
        <v>4584</v>
      </c>
      <c r="AT4643" s="181" t="s">
        <v>912</v>
      </c>
      <c r="AU4643" s="181" t="s">
        <v>5150</v>
      </c>
      <c r="AV4643" s="185" t="s">
        <v>176</v>
      </c>
      <c r="AW4643" s="55" t="s">
        <v>912</v>
      </c>
      <c r="AX4643" s="185" t="s">
        <v>176</v>
      </c>
      <c r="AY4643" s="55" t="s">
        <v>176</v>
      </c>
      <c r="AZ4643" s="55" t="s">
        <v>550</v>
      </c>
      <c r="BA4643" s="55" t="s">
        <v>550</v>
      </c>
      <c r="BB4643" s="55" t="s">
        <v>4499</v>
      </c>
      <c r="BC4643" s="55" t="s">
        <v>4499</v>
      </c>
      <c r="BD4643" s="55" t="s">
        <v>176</v>
      </c>
      <c r="BK4643" s="55" t="s">
        <v>6983</v>
      </c>
      <c r="BN4643" s="55">
        <v>6</v>
      </c>
      <c r="BO4643" s="55">
        <v>6</v>
      </c>
      <c r="BQ4643" s="55" t="s">
        <v>141</v>
      </c>
      <c r="CM4643" s="242">
        <f>CR4643/(100*100*(1.5026127-0.0042923*CR4643)*AA4643/100)*100</f>
        <v>0.95609565650382444</v>
      </c>
      <c r="CN4643" s="242">
        <f>CS4643/(100*100*(1.5026127-0.0042923*CS4643)*AA4643/100)*100</f>
        <v>1.1278583079317157</v>
      </c>
      <c r="CR4643" s="65">
        <v>20.3</v>
      </c>
      <c r="CS4643" s="65">
        <v>23.7</v>
      </c>
      <c r="CW4643" s="65">
        <f>-0.394/15*1000</f>
        <v>-26.266666666666666</v>
      </c>
      <c r="CX4643" s="65">
        <f>-0.11/15*1000</f>
        <v>-7.333333333333333</v>
      </c>
      <c r="DA4643" s="65" t="s">
        <v>4592</v>
      </c>
      <c r="FJ4643" s="65">
        <f>22400/1000</f>
        <v>22.4</v>
      </c>
      <c r="FK4643" s="65">
        <f>18600/1000</f>
        <v>18.600000000000001</v>
      </c>
      <c r="FN4643" s="65" t="s">
        <v>6361</v>
      </c>
      <c r="FT4643" s="65">
        <v>370</v>
      </c>
      <c r="FU4643" s="65">
        <v>300</v>
      </c>
      <c r="FX4643" s="65" t="s">
        <v>4609</v>
      </c>
      <c r="GP4643" s="292" t="s">
        <v>7494</v>
      </c>
    </row>
    <row r="4644" spans="1:198" x14ac:dyDescent="0.25">
      <c r="A4644" s="55">
        <v>4643</v>
      </c>
      <c r="B4644" s="12" t="s">
        <v>7067</v>
      </c>
      <c r="C4644" s="155">
        <v>202</v>
      </c>
      <c r="D4644" s="55" t="s">
        <v>4598</v>
      </c>
      <c r="E4644" s="90" t="s">
        <v>4572</v>
      </c>
      <c r="G4644" s="55" t="s">
        <v>4574</v>
      </c>
      <c r="H4644" s="55">
        <v>2014</v>
      </c>
      <c r="I4644" s="55">
        <v>2012</v>
      </c>
      <c r="J4644" s="55" t="s">
        <v>4573</v>
      </c>
      <c r="K4644" s="55" t="s">
        <v>4576</v>
      </c>
      <c r="L4644" s="55" t="s">
        <v>2737</v>
      </c>
      <c r="M4644" s="90">
        <v>37.43</v>
      </c>
      <c r="N4644" s="90">
        <v>-88.6</v>
      </c>
      <c r="O4644" s="90">
        <v>140</v>
      </c>
      <c r="U4644" s="55" t="s">
        <v>1889</v>
      </c>
      <c r="V4644" s="55" t="s">
        <v>1889</v>
      </c>
      <c r="Y4644" s="55" t="s">
        <v>4575</v>
      </c>
      <c r="Z4644" s="55" t="s">
        <v>4588</v>
      </c>
      <c r="AA4644" s="90" t="s">
        <v>1684</v>
      </c>
      <c r="AH4644" s="55" t="s">
        <v>6378</v>
      </c>
      <c r="AM4644" s="55" t="s">
        <v>4582</v>
      </c>
      <c r="AN4644" s="185" t="s">
        <v>4587</v>
      </c>
      <c r="AO4644" s="185" t="s">
        <v>5150</v>
      </c>
      <c r="AQ4644" s="55" t="s">
        <v>4584</v>
      </c>
      <c r="AR4644" s="55" t="s">
        <v>4585</v>
      </c>
      <c r="AS4644" s="55" t="s">
        <v>4584</v>
      </c>
      <c r="AT4644" s="181" t="s">
        <v>912</v>
      </c>
      <c r="AU4644" s="181" t="s">
        <v>5150</v>
      </c>
      <c r="AV4644" s="185" t="s">
        <v>176</v>
      </c>
      <c r="AW4644" s="55" t="s">
        <v>912</v>
      </c>
      <c r="AX4644" s="185" t="s">
        <v>176</v>
      </c>
      <c r="AY4644" s="55" t="s">
        <v>176</v>
      </c>
      <c r="AZ4644" s="55" t="s">
        <v>550</v>
      </c>
      <c r="BA4644" s="55" t="s">
        <v>550</v>
      </c>
      <c r="BB4644" s="55" t="s">
        <v>4499</v>
      </c>
      <c r="BC4644" s="55" t="s">
        <v>4499</v>
      </c>
      <c r="BD4644" s="55" t="s">
        <v>176</v>
      </c>
      <c r="BK4644" s="55" t="s">
        <v>6983</v>
      </c>
      <c r="BN4644" s="55">
        <v>6</v>
      </c>
      <c r="BO4644" s="55">
        <v>6</v>
      </c>
      <c r="BQ4644" s="55" t="s">
        <v>141</v>
      </c>
      <c r="CM4644" s="242">
        <f>CR4644/(100*100*(1.5026127-0.0042923*CR4644)*AA4644/100)*100</f>
        <v>0.25659767185692339</v>
      </c>
      <c r="CN4644" s="242">
        <f>CS4644/(100*100*(1.5026127-0.0042923*CS4644)*AA4644/100)*100</f>
        <v>0.28835495528410593</v>
      </c>
      <c r="CR4644" s="65">
        <v>21.7</v>
      </c>
      <c r="CS4644" s="65">
        <v>24.2</v>
      </c>
      <c r="CW4644" s="65">
        <f>-0.25/60*1000</f>
        <v>-4.166666666666667</v>
      </c>
      <c r="CX4644" s="65">
        <f>-0.46/60*1000</f>
        <v>-7.666666666666667</v>
      </c>
      <c r="DA4644" s="65" t="s">
        <v>4592</v>
      </c>
      <c r="GP4644" s="292" t="s">
        <v>7494</v>
      </c>
    </row>
    <row r="4645" spans="1:198" x14ac:dyDescent="0.25">
      <c r="A4645" s="55">
        <v>4644</v>
      </c>
      <c r="B4645" s="12" t="s">
        <v>7067</v>
      </c>
      <c r="C4645" s="155">
        <v>202</v>
      </c>
      <c r="D4645" s="55" t="s">
        <v>4599</v>
      </c>
      <c r="E4645" s="90" t="s">
        <v>4572</v>
      </c>
      <c r="G4645" s="55" t="s">
        <v>4574</v>
      </c>
      <c r="H4645" s="55">
        <v>2014</v>
      </c>
      <c r="I4645" s="55">
        <v>2012</v>
      </c>
      <c r="J4645" s="55" t="s">
        <v>4573</v>
      </c>
      <c r="K4645" s="55" t="s">
        <v>4576</v>
      </c>
      <c r="L4645" s="55" t="s">
        <v>2737</v>
      </c>
      <c r="M4645" s="90">
        <v>37.43</v>
      </c>
      <c r="N4645" s="90">
        <v>-88.6</v>
      </c>
      <c r="O4645" s="90">
        <v>140</v>
      </c>
      <c r="U4645" s="55" t="s">
        <v>1889</v>
      </c>
      <c r="V4645" s="55" t="s">
        <v>1889</v>
      </c>
      <c r="Y4645" s="55" t="s">
        <v>4575</v>
      </c>
      <c r="Z4645" s="55" t="s">
        <v>4589</v>
      </c>
      <c r="AA4645" s="90" t="s">
        <v>4590</v>
      </c>
      <c r="AH4645" s="55" t="s">
        <v>6378</v>
      </c>
      <c r="AM4645" s="55" t="s">
        <v>4582</v>
      </c>
      <c r="AN4645" s="185" t="s">
        <v>4587</v>
      </c>
      <c r="AO4645" s="185" t="s">
        <v>5150</v>
      </c>
      <c r="AQ4645" s="55" t="s">
        <v>4584</v>
      </c>
      <c r="AR4645" s="55" t="s">
        <v>4585</v>
      </c>
      <c r="AS4645" s="55" t="s">
        <v>4584</v>
      </c>
      <c r="AT4645" s="181" t="s">
        <v>912</v>
      </c>
      <c r="AU4645" s="181" t="s">
        <v>5150</v>
      </c>
      <c r="AV4645" s="185" t="s">
        <v>176</v>
      </c>
      <c r="AW4645" s="55" t="s">
        <v>912</v>
      </c>
      <c r="AX4645" s="185" t="s">
        <v>176</v>
      </c>
      <c r="AY4645" s="55" t="s">
        <v>176</v>
      </c>
      <c r="AZ4645" s="55" t="s">
        <v>550</v>
      </c>
      <c r="BA4645" s="55" t="s">
        <v>550</v>
      </c>
      <c r="BB4645" s="55" t="s">
        <v>4499</v>
      </c>
      <c r="BC4645" s="55" t="s">
        <v>4499</v>
      </c>
      <c r="BD4645" s="55" t="s">
        <v>176</v>
      </c>
      <c r="BK4645" s="55" t="s">
        <v>6983</v>
      </c>
      <c r="BN4645" s="55">
        <v>6</v>
      </c>
      <c r="BO4645" s="55">
        <v>6</v>
      </c>
      <c r="BQ4645" s="55" t="s">
        <v>141</v>
      </c>
      <c r="CM4645" s="242">
        <f>CR4645/(100*100*(1.5026127-0.0042923*CR4645)*AA4645/100)*100</f>
        <v>0.42349293799057591</v>
      </c>
      <c r="CN4645" s="242">
        <f>CS4645/(100*100*(1.5026127-0.0042923*CS4645)*AA4645/100)*100</f>
        <v>0.49241402400383188</v>
      </c>
      <c r="CR4645" s="65">
        <v>42</v>
      </c>
      <c r="CS4645" s="65">
        <v>47.9</v>
      </c>
      <c r="CW4645" s="65">
        <f>-0.14/75*1000</f>
        <v>-1.8666666666666669</v>
      </c>
      <c r="CX4645" s="65">
        <f>-0.35/75*1000</f>
        <v>-4.6666666666666661</v>
      </c>
      <c r="DA4645" s="65" t="s">
        <v>4592</v>
      </c>
      <c r="GP4645" s="292" t="s">
        <v>7494</v>
      </c>
    </row>
    <row r="4646" spans="1:198" x14ac:dyDescent="0.25">
      <c r="A4646" s="55">
        <v>4645</v>
      </c>
      <c r="B4646" s="12" t="s">
        <v>7067</v>
      </c>
      <c r="C4646" s="155">
        <v>202</v>
      </c>
      <c r="D4646" s="55" t="s">
        <v>4600</v>
      </c>
      <c r="E4646" s="90" t="s">
        <v>4572</v>
      </c>
      <c r="G4646" s="55" t="s">
        <v>4574</v>
      </c>
      <c r="H4646" s="55">
        <v>2014</v>
      </c>
      <c r="I4646" s="55">
        <v>2012</v>
      </c>
      <c r="J4646" s="55" t="s">
        <v>4573</v>
      </c>
      <c r="K4646" s="55" t="s">
        <v>4576</v>
      </c>
      <c r="L4646" s="55" t="s">
        <v>2737</v>
      </c>
      <c r="M4646" s="90">
        <v>37.43</v>
      </c>
      <c r="N4646" s="90">
        <v>-88.6</v>
      </c>
      <c r="O4646" s="90">
        <v>140</v>
      </c>
      <c r="U4646" s="55" t="s">
        <v>1889</v>
      </c>
      <c r="V4646" s="55" t="s">
        <v>1889</v>
      </c>
      <c r="Y4646" s="55" t="s">
        <v>4575</v>
      </c>
      <c r="Z4646" s="55" t="s">
        <v>1349</v>
      </c>
      <c r="AA4646" s="90" t="s">
        <v>1677</v>
      </c>
      <c r="AH4646" s="55" t="s">
        <v>6378</v>
      </c>
      <c r="AM4646" s="55" t="s">
        <v>4582</v>
      </c>
      <c r="AN4646" s="185" t="s">
        <v>4587</v>
      </c>
      <c r="AO4646" s="185" t="s">
        <v>5150</v>
      </c>
      <c r="AQ4646" s="55" t="s">
        <v>4584</v>
      </c>
      <c r="AR4646" s="55" t="s">
        <v>4585</v>
      </c>
      <c r="AS4646" s="55" t="s">
        <v>4584</v>
      </c>
      <c r="AT4646" s="181" t="s">
        <v>912</v>
      </c>
      <c r="AU4646" s="181" t="s">
        <v>5150</v>
      </c>
      <c r="AV4646" s="185" t="s">
        <v>176</v>
      </c>
      <c r="AW4646" s="55" t="s">
        <v>912</v>
      </c>
      <c r="AX4646" s="185" t="s">
        <v>176</v>
      </c>
      <c r="AY4646" s="55" t="s">
        <v>176</v>
      </c>
      <c r="AZ4646" s="55" t="s">
        <v>4593</v>
      </c>
      <c r="BA4646" s="55" t="s">
        <v>4593</v>
      </c>
      <c r="BB4646" s="55" t="s">
        <v>2081</v>
      </c>
      <c r="BC4646" s="55" t="s">
        <v>2081</v>
      </c>
      <c r="BD4646" s="55" t="s">
        <v>176</v>
      </c>
      <c r="BK4646" s="55" t="s">
        <v>5976</v>
      </c>
      <c r="BN4646" s="55">
        <v>6</v>
      </c>
      <c r="BO4646" s="55">
        <v>6</v>
      </c>
      <c r="BQ4646" s="55" t="s">
        <v>141</v>
      </c>
      <c r="CM4646" s="242">
        <f>CR4646/(100*100*(1.5026127-0.0042923*CR4646)*AA4646/100)*100</f>
        <v>0.88639495805040891</v>
      </c>
      <c r="CN4646" s="242">
        <f>CS4646/(100*100*(1.5026127-0.0042923*CS4646)*AA4646/100)*100</f>
        <v>0.88639495805040891</v>
      </c>
      <c r="CR4646" s="65">
        <v>18.899999999999999</v>
      </c>
      <c r="CS4646" s="65">
        <v>18.899999999999999</v>
      </c>
      <c r="CW4646" s="65">
        <f>-0.09/15*1000</f>
        <v>-6</v>
      </c>
      <c r="CX4646" s="65">
        <f>-0.08/15*1000</f>
        <v>-5.333333333333333</v>
      </c>
      <c r="DA4646" s="65" t="s">
        <v>4592</v>
      </c>
      <c r="FJ4646" s="65">
        <f>30100/1000</f>
        <v>30.1</v>
      </c>
      <c r="FK4646" s="65">
        <f>24300/1000</f>
        <v>24.3</v>
      </c>
      <c r="FN4646" s="65" t="s">
        <v>6361</v>
      </c>
      <c r="FT4646" s="65">
        <v>500</v>
      </c>
      <c r="FU4646" s="65">
        <v>400</v>
      </c>
      <c r="FX4646" s="65" t="s">
        <v>4609</v>
      </c>
      <c r="GP4646" s="292" t="s">
        <v>7494</v>
      </c>
    </row>
    <row r="4647" spans="1:198" x14ac:dyDescent="0.25">
      <c r="A4647" s="55">
        <v>4646</v>
      </c>
      <c r="B4647" s="12" t="s">
        <v>7067</v>
      </c>
      <c r="C4647" s="155">
        <v>202</v>
      </c>
      <c r="D4647" s="55" t="s">
        <v>4601</v>
      </c>
      <c r="E4647" s="90" t="s">
        <v>4572</v>
      </c>
      <c r="G4647" s="55" t="s">
        <v>4574</v>
      </c>
      <c r="H4647" s="55">
        <v>2014</v>
      </c>
      <c r="I4647" s="55">
        <v>2012</v>
      </c>
      <c r="J4647" s="55" t="s">
        <v>4573</v>
      </c>
      <c r="K4647" s="55" t="s">
        <v>4576</v>
      </c>
      <c r="L4647" s="55" t="s">
        <v>2737</v>
      </c>
      <c r="M4647" s="90">
        <v>37.43</v>
      </c>
      <c r="N4647" s="90">
        <v>-88.6</v>
      </c>
      <c r="O4647" s="90">
        <v>140</v>
      </c>
      <c r="U4647" s="55" t="s">
        <v>1889</v>
      </c>
      <c r="V4647" s="55" t="s">
        <v>1889</v>
      </c>
      <c r="Y4647" s="55" t="s">
        <v>4575</v>
      </c>
      <c r="Z4647" s="55" t="s">
        <v>4588</v>
      </c>
      <c r="AA4647" s="90" t="s">
        <v>1684</v>
      </c>
      <c r="AH4647" s="55" t="s">
        <v>6378</v>
      </c>
      <c r="AM4647" s="55" t="s">
        <v>4582</v>
      </c>
      <c r="AN4647" s="185" t="s">
        <v>4587</v>
      </c>
      <c r="AO4647" s="185" t="s">
        <v>5150</v>
      </c>
      <c r="AQ4647" s="55" t="s">
        <v>4584</v>
      </c>
      <c r="AR4647" s="55" t="s">
        <v>4585</v>
      </c>
      <c r="AS4647" s="55" t="s">
        <v>4584</v>
      </c>
      <c r="AT4647" s="181" t="s">
        <v>912</v>
      </c>
      <c r="AU4647" s="181" t="s">
        <v>5150</v>
      </c>
      <c r="AV4647" s="185" t="s">
        <v>176</v>
      </c>
      <c r="AW4647" s="55" t="s">
        <v>912</v>
      </c>
      <c r="AX4647" s="185" t="s">
        <v>176</v>
      </c>
      <c r="AY4647" s="55" t="s">
        <v>176</v>
      </c>
      <c r="AZ4647" s="55" t="s">
        <v>4593</v>
      </c>
      <c r="BA4647" s="55" t="s">
        <v>4593</v>
      </c>
      <c r="BB4647" s="55" t="s">
        <v>2081</v>
      </c>
      <c r="BC4647" s="55" t="s">
        <v>2081</v>
      </c>
      <c r="BD4647" s="55" t="s">
        <v>176</v>
      </c>
      <c r="BK4647" s="55" t="s">
        <v>5976</v>
      </c>
      <c r="BN4647" s="55">
        <v>6</v>
      </c>
      <c r="BO4647" s="55">
        <v>6</v>
      </c>
      <c r="BQ4647" s="55" t="s">
        <v>141</v>
      </c>
      <c r="CM4647" s="242">
        <f>CR4647/(100*100*(1.5026127-0.0042923*CR4647)*AA4647/100)*100</f>
        <v>0.28963538487940665</v>
      </c>
      <c r="CN4647" s="242">
        <f>CS4647/(100*100*(1.5026127-0.0042923*CS4647)*AA4647/100)*100</f>
        <v>0.30377216815667624</v>
      </c>
      <c r="CR4647" s="65">
        <v>24.3</v>
      </c>
      <c r="CS4647" s="65">
        <v>25.4</v>
      </c>
      <c r="CW4647" s="65">
        <f>0.54/60*1000</f>
        <v>9.0000000000000018</v>
      </c>
      <c r="CX4647" s="65">
        <f>0.634/60*1000</f>
        <v>10.566666666666666</v>
      </c>
      <c r="DA4647" s="65" t="s">
        <v>4592</v>
      </c>
      <c r="GP4647" s="292" t="s">
        <v>7494</v>
      </c>
    </row>
    <row r="4648" spans="1:198" x14ac:dyDescent="0.25">
      <c r="A4648" s="55">
        <v>4647</v>
      </c>
      <c r="B4648" s="12" t="s">
        <v>7067</v>
      </c>
      <c r="C4648" s="155">
        <v>202</v>
      </c>
      <c r="D4648" s="55" t="s">
        <v>4602</v>
      </c>
      <c r="E4648" s="90" t="s">
        <v>4572</v>
      </c>
      <c r="G4648" s="55" t="s">
        <v>4574</v>
      </c>
      <c r="H4648" s="55">
        <v>2014</v>
      </c>
      <c r="I4648" s="55">
        <v>2012</v>
      </c>
      <c r="J4648" s="55" t="s">
        <v>4573</v>
      </c>
      <c r="K4648" s="55" t="s">
        <v>4576</v>
      </c>
      <c r="L4648" s="55" t="s">
        <v>2737</v>
      </c>
      <c r="M4648" s="90">
        <v>37.43</v>
      </c>
      <c r="N4648" s="90">
        <v>-88.6</v>
      </c>
      <c r="O4648" s="90">
        <v>140</v>
      </c>
      <c r="U4648" s="55" t="s">
        <v>1889</v>
      </c>
      <c r="V4648" s="55" t="s">
        <v>1889</v>
      </c>
      <c r="Y4648" s="55" t="s">
        <v>4575</v>
      </c>
      <c r="Z4648" s="55" t="s">
        <v>4589</v>
      </c>
      <c r="AA4648" s="90" t="s">
        <v>4590</v>
      </c>
      <c r="AH4648" s="55" t="s">
        <v>6378</v>
      </c>
      <c r="AM4648" s="55" t="s">
        <v>4582</v>
      </c>
      <c r="AN4648" s="185" t="s">
        <v>4587</v>
      </c>
      <c r="AO4648" s="185" t="s">
        <v>5150</v>
      </c>
      <c r="AQ4648" s="55" t="s">
        <v>4584</v>
      </c>
      <c r="AR4648" s="55" t="s">
        <v>4585</v>
      </c>
      <c r="AS4648" s="55" t="s">
        <v>4584</v>
      </c>
      <c r="AT4648" s="181" t="s">
        <v>912</v>
      </c>
      <c r="AU4648" s="181" t="s">
        <v>5150</v>
      </c>
      <c r="AV4648" s="185" t="s">
        <v>176</v>
      </c>
      <c r="AW4648" s="55" t="s">
        <v>912</v>
      </c>
      <c r="AX4648" s="185" t="s">
        <v>176</v>
      </c>
      <c r="AY4648" s="55" t="s">
        <v>176</v>
      </c>
      <c r="AZ4648" s="55" t="s">
        <v>4593</v>
      </c>
      <c r="BA4648" s="55" t="s">
        <v>4593</v>
      </c>
      <c r="BB4648" s="55" t="s">
        <v>2081</v>
      </c>
      <c r="BC4648" s="55" t="s">
        <v>2081</v>
      </c>
      <c r="BD4648" s="55" t="s">
        <v>176</v>
      </c>
      <c r="BK4648" s="55" t="s">
        <v>5976</v>
      </c>
      <c r="BN4648" s="55">
        <v>6</v>
      </c>
      <c r="BO4648" s="55">
        <v>6</v>
      </c>
      <c r="BQ4648" s="55" t="s">
        <v>141</v>
      </c>
      <c r="CM4648" s="242">
        <f>CR4648/(100*100*(1.5026127-0.0042923*CR4648)*AA4648/100)*100</f>
        <v>0.43729609076882081</v>
      </c>
      <c r="CN4648" s="242">
        <f>CS4648/(100*100*(1.5026127-0.0042923*CS4648)*AA4648/100)*100</f>
        <v>0.45004415524925334</v>
      </c>
      <c r="CR4648" s="65">
        <v>43.2</v>
      </c>
      <c r="CS4648" s="65">
        <v>44.3</v>
      </c>
      <c r="CW4648" s="65">
        <f>0.45/715*1000</f>
        <v>0.62937062937062938</v>
      </c>
      <c r="CX4648" s="65">
        <f>0.55/75*1000</f>
        <v>7.3333333333333339</v>
      </c>
      <c r="DA4648" s="65" t="s">
        <v>4592</v>
      </c>
      <c r="GP4648" s="292" t="s">
        <v>7494</v>
      </c>
    </row>
    <row r="4649" spans="1:198" x14ac:dyDescent="0.25">
      <c r="A4649" s="55">
        <v>4648</v>
      </c>
      <c r="B4649" s="12" t="s">
        <v>7067</v>
      </c>
      <c r="C4649" s="155">
        <v>202</v>
      </c>
      <c r="D4649" s="55" t="s">
        <v>4603</v>
      </c>
      <c r="E4649" s="90" t="s">
        <v>4572</v>
      </c>
      <c r="G4649" s="55" t="s">
        <v>4574</v>
      </c>
      <c r="H4649" s="55">
        <v>2014</v>
      </c>
      <c r="I4649" s="55">
        <v>2002</v>
      </c>
      <c r="J4649" s="55" t="s">
        <v>4573</v>
      </c>
      <c r="K4649" s="55" t="s">
        <v>4576</v>
      </c>
      <c r="L4649" s="55" t="s">
        <v>2737</v>
      </c>
      <c r="M4649" s="90">
        <v>37.43</v>
      </c>
      <c r="N4649" s="90">
        <v>-88.6</v>
      </c>
      <c r="O4649" s="90">
        <v>140</v>
      </c>
      <c r="U4649" s="55" t="s">
        <v>1805</v>
      </c>
      <c r="V4649" s="55" t="s">
        <v>1889</v>
      </c>
      <c r="Y4649" s="55" t="s">
        <v>4575</v>
      </c>
      <c r="Z4649" s="55" t="s">
        <v>1349</v>
      </c>
      <c r="AA4649" s="90" t="s">
        <v>1677</v>
      </c>
      <c r="AH4649" s="55" t="s">
        <v>6378</v>
      </c>
      <c r="AM4649" s="55" t="s">
        <v>4582</v>
      </c>
      <c r="AN4649" s="185" t="s">
        <v>4587</v>
      </c>
      <c r="AO4649" s="185" t="s">
        <v>5150</v>
      </c>
      <c r="AQ4649" s="55" t="s">
        <v>4584</v>
      </c>
      <c r="AR4649" s="55" t="s">
        <v>4585</v>
      </c>
      <c r="AS4649" s="55" t="s">
        <v>4584</v>
      </c>
      <c r="AT4649" s="181" t="s">
        <v>912</v>
      </c>
      <c r="AU4649" s="181" t="s">
        <v>5150</v>
      </c>
      <c r="AV4649" s="185" t="s">
        <v>176</v>
      </c>
      <c r="AW4649" s="55" t="s">
        <v>912</v>
      </c>
      <c r="AX4649" s="185" t="s">
        <v>176</v>
      </c>
      <c r="AY4649" s="55" t="s">
        <v>176</v>
      </c>
      <c r="AZ4649" s="55" t="s">
        <v>216</v>
      </c>
      <c r="BA4649" s="55" t="s">
        <v>216</v>
      </c>
      <c r="BB4649" s="55" t="s">
        <v>2082</v>
      </c>
      <c r="BC4649" s="55" t="s">
        <v>2082</v>
      </c>
      <c r="BD4649" s="55" t="s">
        <v>176</v>
      </c>
      <c r="BK4649" s="55" t="s">
        <v>6269</v>
      </c>
      <c r="BN4649" s="55">
        <v>6</v>
      </c>
      <c r="BO4649" s="55">
        <v>6</v>
      </c>
      <c r="BQ4649" s="55" t="s">
        <v>141</v>
      </c>
      <c r="BW4649" s="65">
        <v>293</v>
      </c>
      <c r="BX4649" s="65">
        <v>298</v>
      </c>
      <c r="CA4649" s="65" t="s">
        <v>4610</v>
      </c>
      <c r="CB4649" s="66">
        <v>2370</v>
      </c>
      <c r="CC4649" s="66">
        <v>2240</v>
      </c>
      <c r="CG4649" s="65" t="s">
        <v>4569</v>
      </c>
      <c r="GP4649" s="292" t="s">
        <v>7494</v>
      </c>
    </row>
    <row r="4650" spans="1:198" x14ac:dyDescent="0.25">
      <c r="A4650" s="55">
        <v>4649</v>
      </c>
      <c r="B4650" s="12" t="s">
        <v>7067</v>
      </c>
      <c r="C4650" s="155">
        <v>202</v>
      </c>
      <c r="D4650" s="55" t="s">
        <v>4604</v>
      </c>
      <c r="E4650" s="90" t="s">
        <v>4572</v>
      </c>
      <c r="G4650" s="55" t="s">
        <v>4574</v>
      </c>
      <c r="H4650" s="55">
        <v>2014</v>
      </c>
      <c r="I4650" s="55">
        <v>2002</v>
      </c>
      <c r="J4650" s="55" t="s">
        <v>4573</v>
      </c>
      <c r="K4650" s="55" t="s">
        <v>4576</v>
      </c>
      <c r="L4650" s="55" t="s">
        <v>2737</v>
      </c>
      <c r="M4650" s="90">
        <v>37.43</v>
      </c>
      <c r="N4650" s="90">
        <v>-88.6</v>
      </c>
      <c r="O4650" s="90">
        <v>140</v>
      </c>
      <c r="U4650" s="55" t="s">
        <v>1805</v>
      </c>
      <c r="V4650" s="55" t="s">
        <v>1889</v>
      </c>
      <c r="Y4650" s="55" t="s">
        <v>4575</v>
      </c>
      <c r="Z4650" s="55" t="s">
        <v>1349</v>
      </c>
      <c r="AA4650" s="90" t="s">
        <v>1677</v>
      </c>
      <c r="AH4650" s="55" t="s">
        <v>6378</v>
      </c>
      <c r="AM4650" s="55" t="s">
        <v>4582</v>
      </c>
      <c r="AN4650" s="185" t="s">
        <v>4587</v>
      </c>
      <c r="AO4650" s="185" t="s">
        <v>5150</v>
      </c>
      <c r="AQ4650" s="55" t="s">
        <v>4584</v>
      </c>
      <c r="AR4650" s="55" t="s">
        <v>4585</v>
      </c>
      <c r="AS4650" s="55" t="s">
        <v>4584</v>
      </c>
      <c r="AT4650" s="181" t="s">
        <v>912</v>
      </c>
      <c r="AU4650" s="181" t="s">
        <v>5150</v>
      </c>
      <c r="AV4650" s="185" t="s">
        <v>176</v>
      </c>
      <c r="AW4650" s="55" t="s">
        <v>912</v>
      </c>
      <c r="AX4650" s="185" t="s">
        <v>176</v>
      </c>
      <c r="AY4650" s="55" t="s">
        <v>176</v>
      </c>
      <c r="AZ4650" s="55" t="s">
        <v>550</v>
      </c>
      <c r="BA4650" s="55" t="s">
        <v>550</v>
      </c>
      <c r="BB4650" s="55" t="s">
        <v>4499</v>
      </c>
      <c r="BC4650" s="55" t="s">
        <v>4499</v>
      </c>
      <c r="BD4650" s="55" t="s">
        <v>176</v>
      </c>
      <c r="BK4650" s="55" t="s">
        <v>6983</v>
      </c>
      <c r="BN4650" s="55">
        <v>6</v>
      </c>
      <c r="BO4650" s="55">
        <v>6</v>
      </c>
      <c r="BQ4650" s="55" t="s">
        <v>141</v>
      </c>
      <c r="BW4650" s="65">
        <v>393</v>
      </c>
      <c r="BX4650" s="65">
        <v>380</v>
      </c>
      <c r="CA4650" s="65" t="s">
        <v>4610</v>
      </c>
      <c r="CB4650" s="66">
        <v>2070</v>
      </c>
      <c r="CC4650" s="66">
        <v>1780</v>
      </c>
      <c r="CG4650" s="65" t="s">
        <v>4569</v>
      </c>
      <c r="GP4650" s="292" t="s">
        <v>7494</v>
      </c>
    </row>
    <row r="4651" spans="1:198" x14ac:dyDescent="0.25">
      <c r="A4651" s="55">
        <v>4650</v>
      </c>
      <c r="B4651" s="12" t="s">
        <v>7067</v>
      </c>
      <c r="C4651" s="155">
        <v>202</v>
      </c>
      <c r="D4651" s="55" t="s">
        <v>4605</v>
      </c>
      <c r="E4651" s="90" t="s">
        <v>4572</v>
      </c>
      <c r="G4651" s="55" t="s">
        <v>4574</v>
      </c>
      <c r="H4651" s="55">
        <v>2014</v>
      </c>
      <c r="I4651" s="55">
        <v>2002</v>
      </c>
      <c r="J4651" s="55" t="s">
        <v>4573</v>
      </c>
      <c r="K4651" s="55" t="s">
        <v>4576</v>
      </c>
      <c r="L4651" s="55" t="s">
        <v>2737</v>
      </c>
      <c r="M4651" s="90">
        <v>37.43</v>
      </c>
      <c r="N4651" s="90">
        <v>-88.6</v>
      </c>
      <c r="O4651" s="90">
        <v>140</v>
      </c>
      <c r="U4651" s="55" t="s">
        <v>1805</v>
      </c>
      <c r="V4651" s="55" t="s">
        <v>1889</v>
      </c>
      <c r="Y4651" s="55" t="s">
        <v>4575</v>
      </c>
      <c r="Z4651" s="55" t="s">
        <v>1349</v>
      </c>
      <c r="AA4651" s="90" t="s">
        <v>1677</v>
      </c>
      <c r="AH4651" s="55" t="s">
        <v>6378</v>
      </c>
      <c r="AM4651" s="55" t="s">
        <v>4582</v>
      </c>
      <c r="AN4651" s="185" t="s">
        <v>4587</v>
      </c>
      <c r="AO4651" s="185" t="s">
        <v>5150</v>
      </c>
      <c r="AQ4651" s="55" t="s">
        <v>4584</v>
      </c>
      <c r="AR4651" s="55" t="s">
        <v>4585</v>
      </c>
      <c r="AS4651" s="55" t="s">
        <v>4584</v>
      </c>
      <c r="AT4651" s="181" t="s">
        <v>912</v>
      </c>
      <c r="AU4651" s="181" t="s">
        <v>5150</v>
      </c>
      <c r="AV4651" s="185" t="s">
        <v>176</v>
      </c>
      <c r="AW4651" s="55" t="s">
        <v>912</v>
      </c>
      <c r="AX4651" s="185" t="s">
        <v>176</v>
      </c>
      <c r="AY4651" s="55" t="s">
        <v>176</v>
      </c>
      <c r="AZ4651" s="55" t="s">
        <v>4593</v>
      </c>
      <c r="BA4651" s="55" t="s">
        <v>4593</v>
      </c>
      <c r="BB4651" s="55" t="s">
        <v>2081</v>
      </c>
      <c r="BC4651" s="55" t="s">
        <v>2081</v>
      </c>
      <c r="BD4651" s="55" t="s">
        <v>176</v>
      </c>
      <c r="BK4651" s="55" t="s">
        <v>5976</v>
      </c>
      <c r="BN4651" s="55">
        <v>6</v>
      </c>
      <c r="BO4651" s="55">
        <v>6</v>
      </c>
      <c r="BQ4651" s="55" t="s">
        <v>141</v>
      </c>
      <c r="BW4651" s="65">
        <v>420</v>
      </c>
      <c r="BX4651" s="65">
        <v>403</v>
      </c>
      <c r="CA4651" s="65" t="s">
        <v>4610</v>
      </c>
      <c r="CB4651" s="66">
        <v>1980</v>
      </c>
      <c r="CC4651" s="66">
        <v>1980</v>
      </c>
      <c r="CG4651" s="65" t="s">
        <v>4569</v>
      </c>
      <c r="GP4651" s="292" t="s">
        <v>7494</v>
      </c>
    </row>
    <row r="4652" spans="1:198" x14ac:dyDescent="0.25">
      <c r="A4652" s="55">
        <v>4651</v>
      </c>
      <c r="B4652" s="12" t="s">
        <v>7067</v>
      </c>
      <c r="C4652" s="155">
        <v>202</v>
      </c>
      <c r="D4652" s="55" t="s">
        <v>4603</v>
      </c>
      <c r="E4652" s="90" t="s">
        <v>4572</v>
      </c>
      <c r="G4652" s="55" t="s">
        <v>4574</v>
      </c>
      <c r="H4652" s="55">
        <v>2014</v>
      </c>
      <c r="I4652" s="55">
        <v>2004</v>
      </c>
      <c r="J4652" s="55" t="s">
        <v>4573</v>
      </c>
      <c r="K4652" s="55" t="s">
        <v>4576</v>
      </c>
      <c r="L4652" s="55" t="s">
        <v>2737</v>
      </c>
      <c r="M4652" s="90">
        <v>37.43</v>
      </c>
      <c r="N4652" s="90">
        <v>-88.6</v>
      </c>
      <c r="O4652" s="90">
        <v>140</v>
      </c>
      <c r="U4652" s="55" t="s">
        <v>1816</v>
      </c>
      <c r="V4652" s="55" t="s">
        <v>1889</v>
      </c>
      <c r="Y4652" s="55" t="s">
        <v>4575</v>
      </c>
      <c r="Z4652" s="55" t="s">
        <v>1349</v>
      </c>
      <c r="AA4652" s="90" t="s">
        <v>1677</v>
      </c>
      <c r="AH4652" s="55" t="s">
        <v>6378</v>
      </c>
      <c r="AM4652" s="55" t="s">
        <v>4582</v>
      </c>
      <c r="AN4652" s="185" t="s">
        <v>4587</v>
      </c>
      <c r="AO4652" s="185" t="s">
        <v>5150</v>
      </c>
      <c r="AQ4652" s="55" t="s">
        <v>4584</v>
      </c>
      <c r="AR4652" s="55" t="s">
        <v>4585</v>
      </c>
      <c r="AS4652" s="55" t="s">
        <v>4584</v>
      </c>
      <c r="AT4652" s="181" t="s">
        <v>912</v>
      </c>
      <c r="AU4652" s="181" t="s">
        <v>5150</v>
      </c>
      <c r="AV4652" s="185" t="s">
        <v>176</v>
      </c>
      <c r="AW4652" s="55" t="s">
        <v>912</v>
      </c>
      <c r="AX4652" s="185" t="s">
        <v>176</v>
      </c>
      <c r="AY4652" s="55" t="s">
        <v>176</v>
      </c>
      <c r="AZ4652" s="55" t="s">
        <v>216</v>
      </c>
      <c r="BA4652" s="55" t="s">
        <v>216</v>
      </c>
      <c r="BB4652" s="55" t="s">
        <v>2082</v>
      </c>
      <c r="BC4652" s="55" t="s">
        <v>2082</v>
      </c>
      <c r="BD4652" s="55" t="s">
        <v>176</v>
      </c>
      <c r="BK4652" s="55" t="s">
        <v>6269</v>
      </c>
      <c r="BN4652" s="55">
        <v>6</v>
      </c>
      <c r="BO4652" s="55">
        <v>6</v>
      </c>
      <c r="BQ4652" s="55" t="s">
        <v>141</v>
      </c>
      <c r="BW4652" s="65">
        <v>240</v>
      </c>
      <c r="BX4652" s="65">
        <v>253</v>
      </c>
      <c r="CA4652" s="65" t="s">
        <v>4610</v>
      </c>
      <c r="GP4652" s="292" t="s">
        <v>7494</v>
      </c>
    </row>
    <row r="4653" spans="1:198" x14ac:dyDescent="0.25">
      <c r="A4653" s="55">
        <v>4652</v>
      </c>
      <c r="B4653" s="12" t="s">
        <v>7067</v>
      </c>
      <c r="C4653" s="155">
        <v>202</v>
      </c>
      <c r="D4653" s="55" t="s">
        <v>4604</v>
      </c>
      <c r="E4653" s="90" t="s">
        <v>4572</v>
      </c>
      <c r="G4653" s="55" t="s">
        <v>4574</v>
      </c>
      <c r="H4653" s="55">
        <v>2014</v>
      </c>
      <c r="I4653" s="55">
        <v>2004</v>
      </c>
      <c r="J4653" s="55" t="s">
        <v>4573</v>
      </c>
      <c r="K4653" s="55" t="s">
        <v>4576</v>
      </c>
      <c r="L4653" s="55" t="s">
        <v>2737</v>
      </c>
      <c r="M4653" s="90">
        <v>37.43</v>
      </c>
      <c r="N4653" s="90">
        <v>-88.6</v>
      </c>
      <c r="O4653" s="90">
        <v>140</v>
      </c>
      <c r="U4653" s="55" t="s">
        <v>1816</v>
      </c>
      <c r="V4653" s="55" t="s">
        <v>1889</v>
      </c>
      <c r="Y4653" s="55" t="s">
        <v>4575</v>
      </c>
      <c r="Z4653" s="55" t="s">
        <v>1349</v>
      </c>
      <c r="AA4653" s="90" t="s">
        <v>1677</v>
      </c>
      <c r="AH4653" s="55" t="s">
        <v>6378</v>
      </c>
      <c r="AM4653" s="55" t="s">
        <v>4582</v>
      </c>
      <c r="AN4653" s="185" t="s">
        <v>4587</v>
      </c>
      <c r="AO4653" s="185" t="s">
        <v>5150</v>
      </c>
      <c r="AQ4653" s="55" t="s">
        <v>4584</v>
      </c>
      <c r="AR4653" s="55" t="s">
        <v>4585</v>
      </c>
      <c r="AS4653" s="55" t="s">
        <v>4584</v>
      </c>
      <c r="AT4653" s="181" t="s">
        <v>912</v>
      </c>
      <c r="AU4653" s="181" t="s">
        <v>5150</v>
      </c>
      <c r="AV4653" s="185" t="s">
        <v>176</v>
      </c>
      <c r="AW4653" s="55" t="s">
        <v>912</v>
      </c>
      <c r="AX4653" s="185" t="s">
        <v>176</v>
      </c>
      <c r="AY4653" s="55" t="s">
        <v>176</v>
      </c>
      <c r="AZ4653" s="55" t="s">
        <v>550</v>
      </c>
      <c r="BA4653" s="55" t="s">
        <v>550</v>
      </c>
      <c r="BB4653" s="55" t="s">
        <v>4499</v>
      </c>
      <c r="BC4653" s="55" t="s">
        <v>4499</v>
      </c>
      <c r="BD4653" s="55" t="s">
        <v>176</v>
      </c>
      <c r="BK4653" s="55" t="s">
        <v>6983</v>
      </c>
      <c r="BN4653" s="55">
        <v>6</v>
      </c>
      <c r="BO4653" s="55">
        <v>6</v>
      </c>
      <c r="BQ4653" s="55" t="s">
        <v>141</v>
      </c>
      <c r="BW4653" s="65">
        <v>228</v>
      </c>
      <c r="BX4653" s="65">
        <v>233</v>
      </c>
      <c r="CA4653" s="65" t="s">
        <v>4610</v>
      </c>
      <c r="GP4653" s="292" t="s">
        <v>7494</v>
      </c>
    </row>
    <row r="4654" spans="1:198" x14ac:dyDescent="0.25">
      <c r="A4654" s="55">
        <v>4653</v>
      </c>
      <c r="B4654" s="12" t="s">
        <v>7067</v>
      </c>
      <c r="C4654" s="155">
        <v>202</v>
      </c>
      <c r="D4654" s="55" t="s">
        <v>4605</v>
      </c>
      <c r="E4654" s="90" t="s">
        <v>4572</v>
      </c>
      <c r="G4654" s="55" t="s">
        <v>4574</v>
      </c>
      <c r="H4654" s="55">
        <v>2014</v>
      </c>
      <c r="I4654" s="55">
        <v>2004</v>
      </c>
      <c r="J4654" s="55" t="s">
        <v>4573</v>
      </c>
      <c r="K4654" s="55" t="s">
        <v>4576</v>
      </c>
      <c r="L4654" s="55" t="s">
        <v>2737</v>
      </c>
      <c r="M4654" s="90">
        <v>37.43</v>
      </c>
      <c r="N4654" s="90">
        <v>-88.6</v>
      </c>
      <c r="O4654" s="90">
        <v>140</v>
      </c>
      <c r="U4654" s="55" t="s">
        <v>1816</v>
      </c>
      <c r="V4654" s="55" t="s">
        <v>1889</v>
      </c>
      <c r="Y4654" s="55" t="s">
        <v>4575</v>
      </c>
      <c r="Z4654" s="55" t="s">
        <v>1349</v>
      </c>
      <c r="AA4654" s="90" t="s">
        <v>1677</v>
      </c>
      <c r="AH4654" s="55" t="s">
        <v>6378</v>
      </c>
      <c r="AM4654" s="55" t="s">
        <v>4582</v>
      </c>
      <c r="AN4654" s="185" t="s">
        <v>4587</v>
      </c>
      <c r="AO4654" s="185" t="s">
        <v>5150</v>
      </c>
      <c r="AQ4654" s="55" t="s">
        <v>4584</v>
      </c>
      <c r="AR4654" s="55" t="s">
        <v>4585</v>
      </c>
      <c r="AS4654" s="55" t="s">
        <v>4584</v>
      </c>
      <c r="AT4654" s="181" t="s">
        <v>912</v>
      </c>
      <c r="AU4654" s="181" t="s">
        <v>5150</v>
      </c>
      <c r="AV4654" s="185" t="s">
        <v>176</v>
      </c>
      <c r="AW4654" s="55" t="s">
        <v>912</v>
      </c>
      <c r="AX4654" s="185" t="s">
        <v>176</v>
      </c>
      <c r="AY4654" s="55" t="s">
        <v>176</v>
      </c>
      <c r="AZ4654" s="55" t="s">
        <v>4593</v>
      </c>
      <c r="BA4654" s="55" t="s">
        <v>4593</v>
      </c>
      <c r="BB4654" s="55" t="s">
        <v>2081</v>
      </c>
      <c r="BC4654" s="55" t="s">
        <v>2081</v>
      </c>
      <c r="BD4654" s="55" t="s">
        <v>176</v>
      </c>
      <c r="BK4654" s="55" t="s">
        <v>5976</v>
      </c>
      <c r="BN4654" s="55">
        <v>6</v>
      </c>
      <c r="BO4654" s="55">
        <v>6</v>
      </c>
      <c r="BQ4654" s="55" t="s">
        <v>141</v>
      </c>
      <c r="BW4654" s="65">
        <v>255</v>
      </c>
      <c r="BX4654" s="65">
        <v>245</v>
      </c>
      <c r="CA4654" s="65" t="s">
        <v>4610</v>
      </c>
      <c r="GP4654" s="292" t="s">
        <v>7494</v>
      </c>
    </row>
    <row r="4655" spans="1:198" x14ac:dyDescent="0.25">
      <c r="A4655" s="55">
        <v>4654</v>
      </c>
      <c r="B4655" s="12" t="s">
        <v>7067</v>
      </c>
      <c r="C4655" s="155">
        <v>202</v>
      </c>
      <c r="D4655" s="55" t="s">
        <v>4603</v>
      </c>
      <c r="E4655" s="90" t="s">
        <v>4572</v>
      </c>
      <c r="G4655" s="55" t="s">
        <v>4574</v>
      </c>
      <c r="H4655" s="55">
        <v>2014</v>
      </c>
      <c r="I4655" s="55">
        <v>2006</v>
      </c>
      <c r="J4655" s="55" t="s">
        <v>4573</v>
      </c>
      <c r="K4655" s="55" t="s">
        <v>4576</v>
      </c>
      <c r="L4655" s="55" t="s">
        <v>2737</v>
      </c>
      <c r="M4655" s="90">
        <v>37.43</v>
      </c>
      <c r="N4655" s="90">
        <v>-88.6</v>
      </c>
      <c r="O4655" s="90">
        <v>140</v>
      </c>
      <c r="U4655" s="55" t="s">
        <v>1801</v>
      </c>
      <c r="V4655" s="55" t="s">
        <v>1889</v>
      </c>
      <c r="Y4655" s="55" t="s">
        <v>4575</v>
      </c>
      <c r="Z4655" s="55" t="s">
        <v>1349</v>
      </c>
      <c r="AA4655" s="90" t="s">
        <v>1677</v>
      </c>
      <c r="AH4655" s="55" t="s">
        <v>6378</v>
      </c>
      <c r="AM4655" s="55" t="s">
        <v>4582</v>
      </c>
      <c r="AN4655" s="185" t="s">
        <v>4587</v>
      </c>
      <c r="AO4655" s="185" t="s">
        <v>5150</v>
      </c>
      <c r="AQ4655" s="55" t="s">
        <v>4584</v>
      </c>
      <c r="AR4655" s="55" t="s">
        <v>4585</v>
      </c>
      <c r="AS4655" s="55" t="s">
        <v>4584</v>
      </c>
      <c r="AT4655" s="181" t="s">
        <v>912</v>
      </c>
      <c r="AU4655" s="181" t="s">
        <v>5150</v>
      </c>
      <c r="AV4655" s="185" t="s">
        <v>176</v>
      </c>
      <c r="AW4655" s="55" t="s">
        <v>912</v>
      </c>
      <c r="AX4655" s="185" t="s">
        <v>176</v>
      </c>
      <c r="AY4655" s="55" t="s">
        <v>176</v>
      </c>
      <c r="AZ4655" s="55" t="s">
        <v>216</v>
      </c>
      <c r="BA4655" s="55" t="s">
        <v>216</v>
      </c>
      <c r="BB4655" s="55" t="s">
        <v>2082</v>
      </c>
      <c r="BC4655" s="55" t="s">
        <v>2082</v>
      </c>
      <c r="BD4655" s="55" t="s">
        <v>176</v>
      </c>
      <c r="BK4655" s="55" t="s">
        <v>6269</v>
      </c>
      <c r="BN4655" s="55">
        <v>6</v>
      </c>
      <c r="BO4655" s="55">
        <v>6</v>
      </c>
      <c r="BQ4655" s="55" t="s">
        <v>141</v>
      </c>
      <c r="BW4655" s="65">
        <v>320</v>
      </c>
      <c r="BX4655" s="65">
        <v>330</v>
      </c>
      <c r="CA4655" s="65" t="s">
        <v>4610</v>
      </c>
      <c r="CB4655" s="66">
        <v>3170</v>
      </c>
      <c r="CC4655" s="66">
        <v>2900</v>
      </c>
      <c r="CG4655" s="65" t="s">
        <v>4569</v>
      </c>
      <c r="GP4655" s="292" t="s">
        <v>7494</v>
      </c>
    </row>
    <row r="4656" spans="1:198" x14ac:dyDescent="0.25">
      <c r="A4656" s="55">
        <v>4655</v>
      </c>
      <c r="B4656" s="12" t="s">
        <v>7067</v>
      </c>
      <c r="C4656" s="155">
        <v>202</v>
      </c>
      <c r="D4656" s="55" t="s">
        <v>4604</v>
      </c>
      <c r="E4656" s="90" t="s">
        <v>4572</v>
      </c>
      <c r="G4656" s="55" t="s">
        <v>4574</v>
      </c>
      <c r="H4656" s="55">
        <v>2014</v>
      </c>
      <c r="I4656" s="55">
        <v>2006</v>
      </c>
      <c r="J4656" s="55" t="s">
        <v>4573</v>
      </c>
      <c r="K4656" s="55" t="s">
        <v>4576</v>
      </c>
      <c r="L4656" s="55" t="s">
        <v>2737</v>
      </c>
      <c r="M4656" s="90">
        <v>37.43</v>
      </c>
      <c r="N4656" s="90">
        <v>-88.6</v>
      </c>
      <c r="O4656" s="90">
        <v>140</v>
      </c>
      <c r="U4656" s="55" t="s">
        <v>1801</v>
      </c>
      <c r="V4656" s="55" t="s">
        <v>1889</v>
      </c>
      <c r="Y4656" s="55" t="s">
        <v>4575</v>
      </c>
      <c r="Z4656" s="55" t="s">
        <v>1349</v>
      </c>
      <c r="AA4656" s="90" t="s">
        <v>1677</v>
      </c>
      <c r="AH4656" s="55" t="s">
        <v>6378</v>
      </c>
      <c r="AM4656" s="55" t="s">
        <v>4582</v>
      </c>
      <c r="AN4656" s="185" t="s">
        <v>4587</v>
      </c>
      <c r="AO4656" s="185" t="s">
        <v>5150</v>
      </c>
      <c r="AQ4656" s="55" t="s">
        <v>4584</v>
      </c>
      <c r="AR4656" s="55" t="s">
        <v>4585</v>
      </c>
      <c r="AS4656" s="55" t="s">
        <v>4584</v>
      </c>
      <c r="AT4656" s="181" t="s">
        <v>912</v>
      </c>
      <c r="AU4656" s="181" t="s">
        <v>5150</v>
      </c>
      <c r="AV4656" s="185" t="s">
        <v>176</v>
      </c>
      <c r="AW4656" s="55" t="s">
        <v>912</v>
      </c>
      <c r="AX4656" s="185" t="s">
        <v>176</v>
      </c>
      <c r="AY4656" s="55" t="s">
        <v>176</v>
      </c>
      <c r="AZ4656" s="55" t="s">
        <v>550</v>
      </c>
      <c r="BA4656" s="55" t="s">
        <v>550</v>
      </c>
      <c r="BB4656" s="55" t="s">
        <v>4499</v>
      </c>
      <c r="BC4656" s="55" t="s">
        <v>4499</v>
      </c>
      <c r="BD4656" s="55" t="s">
        <v>176</v>
      </c>
      <c r="BK4656" s="55" t="s">
        <v>6983</v>
      </c>
      <c r="BN4656" s="55">
        <v>6</v>
      </c>
      <c r="BO4656" s="55">
        <v>6</v>
      </c>
      <c r="BQ4656" s="55" t="s">
        <v>141</v>
      </c>
      <c r="BW4656" s="65">
        <v>363</v>
      </c>
      <c r="BX4656" s="65">
        <v>400</v>
      </c>
      <c r="CA4656" s="65" t="s">
        <v>4610</v>
      </c>
      <c r="CB4656" s="66">
        <v>3370</v>
      </c>
      <c r="CC4656" s="66">
        <v>2840</v>
      </c>
      <c r="CG4656" s="65" t="s">
        <v>4569</v>
      </c>
      <c r="GP4656" s="292" t="s">
        <v>7494</v>
      </c>
    </row>
    <row r="4657" spans="1:198" x14ac:dyDescent="0.25">
      <c r="A4657" s="55">
        <v>4656</v>
      </c>
      <c r="B4657" s="12" t="s">
        <v>7067</v>
      </c>
      <c r="C4657" s="155">
        <v>202</v>
      </c>
      <c r="D4657" s="55" t="s">
        <v>4605</v>
      </c>
      <c r="E4657" s="90" t="s">
        <v>4572</v>
      </c>
      <c r="G4657" s="55" t="s">
        <v>4574</v>
      </c>
      <c r="H4657" s="55">
        <v>2014</v>
      </c>
      <c r="I4657" s="55">
        <v>2006</v>
      </c>
      <c r="J4657" s="55" t="s">
        <v>4573</v>
      </c>
      <c r="K4657" s="55" t="s">
        <v>4576</v>
      </c>
      <c r="L4657" s="55" t="s">
        <v>2737</v>
      </c>
      <c r="M4657" s="90">
        <v>37.43</v>
      </c>
      <c r="N4657" s="90">
        <v>-88.6</v>
      </c>
      <c r="O4657" s="90">
        <v>140</v>
      </c>
      <c r="U4657" s="55" t="s">
        <v>1801</v>
      </c>
      <c r="V4657" s="55" t="s">
        <v>1889</v>
      </c>
      <c r="Y4657" s="55" t="s">
        <v>4575</v>
      </c>
      <c r="Z4657" s="55" t="s">
        <v>1349</v>
      </c>
      <c r="AA4657" s="90" t="s">
        <v>1677</v>
      </c>
      <c r="AH4657" s="55" t="s">
        <v>6378</v>
      </c>
      <c r="AM4657" s="55" t="s">
        <v>4582</v>
      </c>
      <c r="AN4657" s="185" t="s">
        <v>4587</v>
      </c>
      <c r="AO4657" s="185" t="s">
        <v>5150</v>
      </c>
      <c r="AQ4657" s="55" t="s">
        <v>4584</v>
      </c>
      <c r="AR4657" s="55" t="s">
        <v>4585</v>
      </c>
      <c r="AS4657" s="55" t="s">
        <v>4584</v>
      </c>
      <c r="AT4657" s="181" t="s">
        <v>912</v>
      </c>
      <c r="AU4657" s="181" t="s">
        <v>5150</v>
      </c>
      <c r="AV4657" s="185" t="s">
        <v>176</v>
      </c>
      <c r="AW4657" s="55" t="s">
        <v>912</v>
      </c>
      <c r="AX4657" s="185" t="s">
        <v>176</v>
      </c>
      <c r="AY4657" s="55" t="s">
        <v>176</v>
      </c>
      <c r="AZ4657" s="55" t="s">
        <v>4593</v>
      </c>
      <c r="BA4657" s="55" t="s">
        <v>4593</v>
      </c>
      <c r="BB4657" s="55" t="s">
        <v>2081</v>
      </c>
      <c r="BC4657" s="55" t="s">
        <v>2081</v>
      </c>
      <c r="BD4657" s="55" t="s">
        <v>176</v>
      </c>
      <c r="BK4657" s="55" t="s">
        <v>5976</v>
      </c>
      <c r="BN4657" s="55">
        <v>6</v>
      </c>
      <c r="BO4657" s="55">
        <v>6</v>
      </c>
      <c r="BQ4657" s="55" t="s">
        <v>141</v>
      </c>
      <c r="BW4657" s="65">
        <v>388</v>
      </c>
      <c r="BX4657" s="65">
        <v>415</v>
      </c>
      <c r="CA4657" s="65" t="s">
        <v>4610</v>
      </c>
      <c r="CB4657" s="66">
        <v>3100</v>
      </c>
      <c r="CC4657" s="66">
        <v>3300</v>
      </c>
      <c r="CG4657" s="65" t="s">
        <v>4569</v>
      </c>
      <c r="GP4657" s="292" t="s">
        <v>7494</v>
      </c>
    </row>
    <row r="4658" spans="1:198" x14ac:dyDescent="0.25">
      <c r="A4658" s="55">
        <v>4657</v>
      </c>
      <c r="B4658" s="12" t="s">
        <v>7067</v>
      </c>
      <c r="C4658" s="155">
        <v>202</v>
      </c>
      <c r="D4658" s="55" t="s">
        <v>4603</v>
      </c>
      <c r="E4658" s="90" t="s">
        <v>4572</v>
      </c>
      <c r="G4658" s="55" t="s">
        <v>4574</v>
      </c>
      <c r="H4658" s="55">
        <v>2014</v>
      </c>
      <c r="I4658" s="55">
        <v>2008</v>
      </c>
      <c r="J4658" s="55" t="s">
        <v>4573</v>
      </c>
      <c r="K4658" s="55" t="s">
        <v>4576</v>
      </c>
      <c r="L4658" s="55" t="s">
        <v>2737</v>
      </c>
      <c r="M4658" s="90">
        <v>37.43</v>
      </c>
      <c r="N4658" s="90">
        <v>-88.6</v>
      </c>
      <c r="O4658" s="90">
        <v>140</v>
      </c>
      <c r="U4658" s="55" t="s">
        <v>1940</v>
      </c>
      <c r="V4658" s="55" t="s">
        <v>1889</v>
      </c>
      <c r="Y4658" s="55" t="s">
        <v>4575</v>
      </c>
      <c r="Z4658" s="55" t="s">
        <v>1349</v>
      </c>
      <c r="AA4658" s="90" t="s">
        <v>1677</v>
      </c>
      <c r="AH4658" s="55" t="s">
        <v>6378</v>
      </c>
      <c r="AM4658" s="55" t="s">
        <v>4582</v>
      </c>
      <c r="AN4658" s="185" t="s">
        <v>4587</v>
      </c>
      <c r="AO4658" s="185" t="s">
        <v>5150</v>
      </c>
      <c r="AQ4658" s="55" t="s">
        <v>4584</v>
      </c>
      <c r="AR4658" s="55" t="s">
        <v>4585</v>
      </c>
      <c r="AS4658" s="55" t="s">
        <v>4584</v>
      </c>
      <c r="AT4658" s="181" t="s">
        <v>912</v>
      </c>
      <c r="AU4658" s="181" t="s">
        <v>5150</v>
      </c>
      <c r="AV4658" s="185" t="s">
        <v>176</v>
      </c>
      <c r="AW4658" s="55" t="s">
        <v>912</v>
      </c>
      <c r="AX4658" s="185" t="s">
        <v>176</v>
      </c>
      <c r="AY4658" s="55" t="s">
        <v>176</v>
      </c>
      <c r="AZ4658" s="55" t="s">
        <v>216</v>
      </c>
      <c r="BA4658" s="55" t="s">
        <v>216</v>
      </c>
      <c r="BB4658" s="55" t="s">
        <v>2082</v>
      </c>
      <c r="BC4658" s="55" t="s">
        <v>2082</v>
      </c>
      <c r="BD4658" s="55" t="s">
        <v>176</v>
      </c>
      <c r="BK4658" s="55" t="s">
        <v>6269</v>
      </c>
      <c r="BN4658" s="55">
        <v>6</v>
      </c>
      <c r="BO4658" s="55">
        <v>6</v>
      </c>
      <c r="BQ4658" s="55" t="s">
        <v>141</v>
      </c>
      <c r="BW4658" s="65">
        <v>310</v>
      </c>
      <c r="BX4658" s="65">
        <v>270</v>
      </c>
      <c r="CA4658" s="65" t="s">
        <v>4610</v>
      </c>
      <c r="CB4658" s="66">
        <v>2840</v>
      </c>
      <c r="CC4658" s="66">
        <v>3100</v>
      </c>
      <c r="CG4658" s="65" t="s">
        <v>4569</v>
      </c>
      <c r="GP4658" s="292" t="s">
        <v>7494</v>
      </c>
    </row>
    <row r="4659" spans="1:198" x14ac:dyDescent="0.25">
      <c r="A4659" s="55">
        <v>4658</v>
      </c>
      <c r="B4659" s="12" t="s">
        <v>7067</v>
      </c>
      <c r="C4659" s="155">
        <v>202</v>
      </c>
      <c r="D4659" s="55" t="s">
        <v>4604</v>
      </c>
      <c r="E4659" s="90" t="s">
        <v>4572</v>
      </c>
      <c r="G4659" s="55" t="s">
        <v>4574</v>
      </c>
      <c r="H4659" s="55">
        <v>2014</v>
      </c>
      <c r="I4659" s="55">
        <v>2008</v>
      </c>
      <c r="J4659" s="55" t="s">
        <v>4573</v>
      </c>
      <c r="K4659" s="55" t="s">
        <v>4576</v>
      </c>
      <c r="L4659" s="55" t="s">
        <v>2737</v>
      </c>
      <c r="M4659" s="90">
        <v>37.43</v>
      </c>
      <c r="N4659" s="90">
        <v>-88.6</v>
      </c>
      <c r="O4659" s="90">
        <v>140</v>
      </c>
      <c r="U4659" s="55" t="s">
        <v>1940</v>
      </c>
      <c r="V4659" s="55" t="s">
        <v>1889</v>
      </c>
      <c r="Y4659" s="55" t="s">
        <v>4575</v>
      </c>
      <c r="Z4659" s="55" t="s">
        <v>1349</v>
      </c>
      <c r="AA4659" s="90" t="s">
        <v>1677</v>
      </c>
      <c r="AH4659" s="55" t="s">
        <v>6378</v>
      </c>
      <c r="AM4659" s="55" t="s">
        <v>4582</v>
      </c>
      <c r="AN4659" s="185" t="s">
        <v>4587</v>
      </c>
      <c r="AO4659" s="185" t="s">
        <v>5150</v>
      </c>
      <c r="AQ4659" s="55" t="s">
        <v>4584</v>
      </c>
      <c r="AR4659" s="55" t="s">
        <v>4585</v>
      </c>
      <c r="AS4659" s="55" t="s">
        <v>4584</v>
      </c>
      <c r="AT4659" s="181" t="s">
        <v>912</v>
      </c>
      <c r="AU4659" s="181" t="s">
        <v>5150</v>
      </c>
      <c r="AV4659" s="185" t="s">
        <v>176</v>
      </c>
      <c r="AW4659" s="55" t="s">
        <v>912</v>
      </c>
      <c r="AX4659" s="185" t="s">
        <v>176</v>
      </c>
      <c r="AY4659" s="55" t="s">
        <v>176</v>
      </c>
      <c r="AZ4659" s="55" t="s">
        <v>550</v>
      </c>
      <c r="BA4659" s="55" t="s">
        <v>550</v>
      </c>
      <c r="BB4659" s="55" t="s">
        <v>4499</v>
      </c>
      <c r="BC4659" s="55" t="s">
        <v>4499</v>
      </c>
      <c r="BD4659" s="55" t="s">
        <v>176</v>
      </c>
      <c r="BK4659" s="55" t="s">
        <v>6983</v>
      </c>
      <c r="BN4659" s="55">
        <v>6</v>
      </c>
      <c r="BO4659" s="55">
        <v>6</v>
      </c>
      <c r="BQ4659" s="55" t="s">
        <v>141</v>
      </c>
      <c r="BW4659" s="65">
        <v>390</v>
      </c>
      <c r="BX4659" s="65">
        <v>398</v>
      </c>
      <c r="CA4659" s="65" t="s">
        <v>4610</v>
      </c>
      <c r="CB4659" s="66">
        <v>2840</v>
      </c>
      <c r="CC4659" s="66">
        <v>2900</v>
      </c>
      <c r="CG4659" s="65" t="s">
        <v>4569</v>
      </c>
      <c r="GP4659" s="292" t="s">
        <v>7494</v>
      </c>
    </row>
    <row r="4660" spans="1:198" x14ac:dyDescent="0.25">
      <c r="A4660" s="55">
        <v>4659</v>
      </c>
      <c r="B4660" s="12" t="s">
        <v>7067</v>
      </c>
      <c r="C4660" s="155">
        <v>202</v>
      </c>
      <c r="D4660" s="55" t="s">
        <v>4605</v>
      </c>
      <c r="E4660" s="90" t="s">
        <v>4572</v>
      </c>
      <c r="G4660" s="55" t="s">
        <v>4574</v>
      </c>
      <c r="H4660" s="55">
        <v>2014</v>
      </c>
      <c r="I4660" s="55">
        <v>2008</v>
      </c>
      <c r="J4660" s="55" t="s">
        <v>4573</v>
      </c>
      <c r="K4660" s="55" t="s">
        <v>4576</v>
      </c>
      <c r="L4660" s="55" t="s">
        <v>2737</v>
      </c>
      <c r="M4660" s="90">
        <v>37.43</v>
      </c>
      <c r="N4660" s="90">
        <v>-88.6</v>
      </c>
      <c r="O4660" s="90">
        <v>140</v>
      </c>
      <c r="U4660" s="55" t="s">
        <v>1940</v>
      </c>
      <c r="V4660" s="55" t="s">
        <v>1889</v>
      </c>
      <c r="Y4660" s="55" t="s">
        <v>4575</v>
      </c>
      <c r="Z4660" s="55" t="s">
        <v>1349</v>
      </c>
      <c r="AA4660" s="90" t="s">
        <v>1677</v>
      </c>
      <c r="AH4660" s="55" t="s">
        <v>6378</v>
      </c>
      <c r="AM4660" s="55" t="s">
        <v>4582</v>
      </c>
      <c r="AN4660" s="185" t="s">
        <v>4587</v>
      </c>
      <c r="AO4660" s="185" t="s">
        <v>5150</v>
      </c>
      <c r="AQ4660" s="55" t="s">
        <v>4584</v>
      </c>
      <c r="AR4660" s="55" t="s">
        <v>4585</v>
      </c>
      <c r="AS4660" s="55" t="s">
        <v>4584</v>
      </c>
      <c r="AT4660" s="181" t="s">
        <v>912</v>
      </c>
      <c r="AU4660" s="181" t="s">
        <v>5150</v>
      </c>
      <c r="AV4660" s="185" t="s">
        <v>176</v>
      </c>
      <c r="AW4660" s="55" t="s">
        <v>912</v>
      </c>
      <c r="AX4660" s="185" t="s">
        <v>176</v>
      </c>
      <c r="AY4660" s="55" t="s">
        <v>176</v>
      </c>
      <c r="AZ4660" s="55" t="s">
        <v>4593</v>
      </c>
      <c r="BA4660" s="55" t="s">
        <v>4593</v>
      </c>
      <c r="BB4660" s="55" t="s">
        <v>2081</v>
      </c>
      <c r="BC4660" s="55" t="s">
        <v>2081</v>
      </c>
      <c r="BD4660" s="55" t="s">
        <v>176</v>
      </c>
      <c r="BK4660" s="55" t="s">
        <v>5976</v>
      </c>
      <c r="BN4660" s="55">
        <v>6</v>
      </c>
      <c r="BO4660" s="55">
        <v>6</v>
      </c>
      <c r="BQ4660" s="55" t="s">
        <v>141</v>
      </c>
      <c r="BW4660" s="65">
        <v>360</v>
      </c>
      <c r="BX4660" s="65">
        <v>333</v>
      </c>
      <c r="CA4660" s="65" t="s">
        <v>4610</v>
      </c>
      <c r="CB4660" s="66">
        <v>3040</v>
      </c>
      <c r="CC4660" s="66">
        <v>3040</v>
      </c>
      <c r="CG4660" s="65" t="s">
        <v>4569</v>
      </c>
      <c r="GP4660" s="292" t="s">
        <v>7494</v>
      </c>
    </row>
    <row r="4661" spans="1:198" x14ac:dyDescent="0.25">
      <c r="A4661" s="55">
        <v>4660</v>
      </c>
      <c r="B4661" s="12" t="s">
        <v>7067</v>
      </c>
      <c r="C4661" s="155">
        <v>202</v>
      </c>
      <c r="D4661" s="55" t="s">
        <v>4603</v>
      </c>
      <c r="E4661" s="90" t="s">
        <v>4572</v>
      </c>
      <c r="G4661" s="55" t="s">
        <v>4574</v>
      </c>
      <c r="H4661" s="55">
        <v>2014</v>
      </c>
      <c r="I4661" s="55">
        <v>2010</v>
      </c>
      <c r="J4661" s="55" t="s">
        <v>4573</v>
      </c>
      <c r="K4661" s="55" t="s">
        <v>4576</v>
      </c>
      <c r="L4661" s="55" t="s">
        <v>2737</v>
      </c>
      <c r="M4661" s="90">
        <v>37.43</v>
      </c>
      <c r="N4661" s="90">
        <v>-88.6</v>
      </c>
      <c r="O4661" s="90">
        <v>140</v>
      </c>
      <c r="U4661" s="55" t="s">
        <v>1679</v>
      </c>
      <c r="V4661" s="55" t="s">
        <v>1889</v>
      </c>
      <c r="Y4661" s="55" t="s">
        <v>4575</v>
      </c>
      <c r="Z4661" s="55" t="s">
        <v>1349</v>
      </c>
      <c r="AA4661" s="90" t="s">
        <v>1677</v>
      </c>
      <c r="AH4661" s="55" t="s">
        <v>6378</v>
      </c>
      <c r="AM4661" s="55" t="s">
        <v>4582</v>
      </c>
      <c r="AN4661" s="185" t="s">
        <v>4587</v>
      </c>
      <c r="AO4661" s="185" t="s">
        <v>5150</v>
      </c>
      <c r="AQ4661" s="55" t="s">
        <v>4584</v>
      </c>
      <c r="AR4661" s="55" t="s">
        <v>4585</v>
      </c>
      <c r="AS4661" s="55" t="s">
        <v>4584</v>
      </c>
      <c r="AT4661" s="181" t="s">
        <v>912</v>
      </c>
      <c r="AU4661" s="181" t="s">
        <v>5150</v>
      </c>
      <c r="AV4661" s="185" t="s">
        <v>176</v>
      </c>
      <c r="AW4661" s="55" t="s">
        <v>912</v>
      </c>
      <c r="AX4661" s="185" t="s">
        <v>176</v>
      </c>
      <c r="AY4661" s="55" t="s">
        <v>176</v>
      </c>
      <c r="AZ4661" s="55" t="s">
        <v>216</v>
      </c>
      <c r="BA4661" s="55" t="s">
        <v>216</v>
      </c>
      <c r="BB4661" s="55" t="s">
        <v>2082</v>
      </c>
      <c r="BC4661" s="55" t="s">
        <v>2082</v>
      </c>
      <c r="BD4661" s="55" t="s">
        <v>176</v>
      </c>
      <c r="BK4661" s="55" t="s">
        <v>6269</v>
      </c>
      <c r="BN4661" s="55">
        <v>6</v>
      </c>
      <c r="BO4661" s="55">
        <v>6</v>
      </c>
      <c r="BQ4661" s="55" t="s">
        <v>141</v>
      </c>
      <c r="BW4661" s="65">
        <v>297</v>
      </c>
      <c r="BX4661" s="65">
        <v>291</v>
      </c>
      <c r="CA4661" s="65" t="s">
        <v>4610</v>
      </c>
      <c r="CB4661" s="66">
        <v>2940</v>
      </c>
      <c r="CC4661" s="66">
        <v>2860</v>
      </c>
      <c r="CG4661" s="65" t="s">
        <v>4569</v>
      </c>
      <c r="GP4661" s="292" t="s">
        <v>7494</v>
      </c>
    </row>
    <row r="4662" spans="1:198" x14ac:dyDescent="0.25">
      <c r="A4662" s="55">
        <v>4661</v>
      </c>
      <c r="B4662" s="12" t="s">
        <v>7067</v>
      </c>
      <c r="C4662" s="155">
        <v>202</v>
      </c>
      <c r="D4662" s="55" t="s">
        <v>4604</v>
      </c>
      <c r="E4662" s="90" t="s">
        <v>4572</v>
      </c>
      <c r="G4662" s="55" t="s">
        <v>4574</v>
      </c>
      <c r="H4662" s="55">
        <v>2014</v>
      </c>
      <c r="I4662" s="55">
        <v>2010</v>
      </c>
      <c r="J4662" s="55" t="s">
        <v>4573</v>
      </c>
      <c r="K4662" s="55" t="s">
        <v>4576</v>
      </c>
      <c r="L4662" s="55" t="s">
        <v>2737</v>
      </c>
      <c r="M4662" s="90">
        <v>37.43</v>
      </c>
      <c r="N4662" s="90">
        <v>-88.6</v>
      </c>
      <c r="O4662" s="90">
        <v>140</v>
      </c>
      <c r="U4662" s="55" t="s">
        <v>1679</v>
      </c>
      <c r="V4662" s="55" t="s">
        <v>1889</v>
      </c>
      <c r="Y4662" s="55" t="s">
        <v>4575</v>
      </c>
      <c r="Z4662" s="55" t="s">
        <v>1349</v>
      </c>
      <c r="AA4662" s="90" t="s">
        <v>1677</v>
      </c>
      <c r="AH4662" s="55" t="s">
        <v>6378</v>
      </c>
      <c r="AM4662" s="55" t="s">
        <v>4582</v>
      </c>
      <c r="AN4662" s="185" t="s">
        <v>4587</v>
      </c>
      <c r="AO4662" s="185" t="s">
        <v>5150</v>
      </c>
      <c r="AQ4662" s="55" t="s">
        <v>4584</v>
      </c>
      <c r="AR4662" s="55" t="s">
        <v>4585</v>
      </c>
      <c r="AS4662" s="55" t="s">
        <v>4584</v>
      </c>
      <c r="AT4662" s="181" t="s">
        <v>912</v>
      </c>
      <c r="AU4662" s="181" t="s">
        <v>5150</v>
      </c>
      <c r="AV4662" s="185" t="s">
        <v>176</v>
      </c>
      <c r="AW4662" s="55" t="s">
        <v>912</v>
      </c>
      <c r="AX4662" s="185" t="s">
        <v>176</v>
      </c>
      <c r="AY4662" s="55" t="s">
        <v>176</v>
      </c>
      <c r="AZ4662" s="55" t="s">
        <v>550</v>
      </c>
      <c r="BA4662" s="55" t="s">
        <v>550</v>
      </c>
      <c r="BB4662" s="55" t="s">
        <v>4499</v>
      </c>
      <c r="BC4662" s="55" t="s">
        <v>4499</v>
      </c>
      <c r="BD4662" s="55" t="s">
        <v>176</v>
      </c>
      <c r="BK4662" s="55" t="s">
        <v>6983</v>
      </c>
      <c r="BN4662" s="55">
        <v>6</v>
      </c>
      <c r="BO4662" s="55">
        <v>6</v>
      </c>
      <c r="BQ4662" s="55" t="s">
        <v>141</v>
      </c>
      <c r="BW4662" s="65">
        <v>274</v>
      </c>
      <c r="BX4662" s="65">
        <v>284</v>
      </c>
      <c r="CA4662" s="65" t="s">
        <v>4610</v>
      </c>
      <c r="CB4662" s="66">
        <v>2790</v>
      </c>
      <c r="CC4662" s="66">
        <v>2530</v>
      </c>
      <c r="CG4662" s="65" t="s">
        <v>4569</v>
      </c>
      <c r="GP4662" s="292" t="s">
        <v>7494</v>
      </c>
    </row>
    <row r="4663" spans="1:198" x14ac:dyDescent="0.25">
      <c r="A4663" s="55">
        <v>4662</v>
      </c>
      <c r="B4663" s="12" t="s">
        <v>7067</v>
      </c>
      <c r="C4663" s="155">
        <v>202</v>
      </c>
      <c r="D4663" s="55" t="s">
        <v>4605</v>
      </c>
      <c r="E4663" s="90" t="s">
        <v>4572</v>
      </c>
      <c r="G4663" s="55" t="s">
        <v>4574</v>
      </c>
      <c r="H4663" s="55">
        <v>2014</v>
      </c>
      <c r="I4663" s="55">
        <v>2010</v>
      </c>
      <c r="J4663" s="55" t="s">
        <v>4573</v>
      </c>
      <c r="K4663" s="55" t="s">
        <v>4576</v>
      </c>
      <c r="L4663" s="55" t="s">
        <v>2737</v>
      </c>
      <c r="M4663" s="90">
        <v>37.43</v>
      </c>
      <c r="N4663" s="90">
        <v>-88.6</v>
      </c>
      <c r="O4663" s="90">
        <v>140</v>
      </c>
      <c r="U4663" s="55" t="s">
        <v>1679</v>
      </c>
      <c r="V4663" s="55" t="s">
        <v>1889</v>
      </c>
      <c r="Y4663" s="55" t="s">
        <v>4575</v>
      </c>
      <c r="Z4663" s="55" t="s">
        <v>1349</v>
      </c>
      <c r="AA4663" s="90" t="s">
        <v>1677</v>
      </c>
      <c r="AH4663" s="55" t="s">
        <v>6378</v>
      </c>
      <c r="AM4663" s="55" t="s">
        <v>4582</v>
      </c>
      <c r="AN4663" s="185" t="s">
        <v>4587</v>
      </c>
      <c r="AO4663" s="185" t="s">
        <v>5150</v>
      </c>
      <c r="AQ4663" s="55" t="s">
        <v>4584</v>
      </c>
      <c r="AR4663" s="55" t="s">
        <v>4585</v>
      </c>
      <c r="AS4663" s="55" t="s">
        <v>4584</v>
      </c>
      <c r="AT4663" s="181" t="s">
        <v>912</v>
      </c>
      <c r="AU4663" s="181" t="s">
        <v>5150</v>
      </c>
      <c r="AV4663" s="185" t="s">
        <v>176</v>
      </c>
      <c r="AW4663" s="55" t="s">
        <v>912</v>
      </c>
      <c r="AX4663" s="185" t="s">
        <v>176</v>
      </c>
      <c r="AY4663" s="55" t="s">
        <v>176</v>
      </c>
      <c r="AZ4663" s="55" t="s">
        <v>4593</v>
      </c>
      <c r="BA4663" s="55" t="s">
        <v>4593</v>
      </c>
      <c r="BB4663" s="55" t="s">
        <v>2081</v>
      </c>
      <c r="BC4663" s="55" t="s">
        <v>2081</v>
      </c>
      <c r="BD4663" s="55" t="s">
        <v>176</v>
      </c>
      <c r="BK4663" s="55" t="s">
        <v>5976</v>
      </c>
      <c r="BN4663" s="55">
        <v>6</v>
      </c>
      <c r="BO4663" s="55">
        <v>6</v>
      </c>
      <c r="BQ4663" s="55" t="s">
        <v>141</v>
      </c>
      <c r="BW4663" s="65">
        <v>286</v>
      </c>
      <c r="BX4663" s="65">
        <v>290</v>
      </c>
      <c r="CA4663" s="65" t="s">
        <v>4610</v>
      </c>
      <c r="CB4663" s="66">
        <v>2880</v>
      </c>
      <c r="CC4663" s="66">
        <v>2750</v>
      </c>
      <c r="CG4663" s="65" t="s">
        <v>4569</v>
      </c>
      <c r="GP4663" s="292" t="s">
        <v>7494</v>
      </c>
    </row>
    <row r="4664" spans="1:198" x14ac:dyDescent="0.25">
      <c r="A4664" s="55">
        <v>4663</v>
      </c>
      <c r="B4664" s="12" t="s">
        <v>7067</v>
      </c>
      <c r="C4664" s="155">
        <v>202</v>
      </c>
      <c r="D4664" s="55" t="s">
        <v>4603</v>
      </c>
      <c r="E4664" s="90" t="s">
        <v>4572</v>
      </c>
      <c r="G4664" s="55" t="s">
        <v>4574</v>
      </c>
      <c r="H4664" s="55">
        <v>2014</v>
      </c>
      <c r="I4664" s="55">
        <v>2012</v>
      </c>
      <c r="J4664" s="55" t="s">
        <v>4573</v>
      </c>
      <c r="K4664" s="55" t="s">
        <v>4576</v>
      </c>
      <c r="L4664" s="55" t="s">
        <v>2737</v>
      </c>
      <c r="M4664" s="90">
        <v>37.43</v>
      </c>
      <c r="N4664" s="90">
        <v>-88.6</v>
      </c>
      <c r="O4664" s="90">
        <v>140</v>
      </c>
      <c r="U4664" s="55" t="s">
        <v>1889</v>
      </c>
      <c r="V4664" s="55" t="s">
        <v>1889</v>
      </c>
      <c r="Y4664" s="55" t="s">
        <v>4575</v>
      </c>
      <c r="Z4664" s="55" t="s">
        <v>1349</v>
      </c>
      <c r="AA4664" s="90" t="s">
        <v>1677</v>
      </c>
      <c r="AH4664" s="55" t="s">
        <v>6378</v>
      </c>
      <c r="AM4664" s="55" t="s">
        <v>4582</v>
      </c>
      <c r="AN4664" s="185" t="s">
        <v>4587</v>
      </c>
      <c r="AO4664" s="185" t="s">
        <v>5150</v>
      </c>
      <c r="AQ4664" s="55" t="s">
        <v>4584</v>
      </c>
      <c r="AR4664" s="55" t="s">
        <v>4585</v>
      </c>
      <c r="AS4664" s="55" t="s">
        <v>4584</v>
      </c>
      <c r="AT4664" s="181" t="s">
        <v>912</v>
      </c>
      <c r="AU4664" s="181" t="s">
        <v>5150</v>
      </c>
      <c r="AV4664" s="185" t="s">
        <v>176</v>
      </c>
      <c r="AW4664" s="55" t="s">
        <v>912</v>
      </c>
      <c r="AX4664" s="185" t="s">
        <v>176</v>
      </c>
      <c r="AY4664" s="55" t="s">
        <v>176</v>
      </c>
      <c r="AZ4664" s="55" t="s">
        <v>216</v>
      </c>
      <c r="BA4664" s="55" t="s">
        <v>216</v>
      </c>
      <c r="BB4664" s="55" t="s">
        <v>2082</v>
      </c>
      <c r="BC4664" s="55" t="s">
        <v>2082</v>
      </c>
      <c r="BD4664" s="55" t="s">
        <v>176</v>
      </c>
      <c r="BK4664" s="55" t="s">
        <v>6269</v>
      </c>
      <c r="BN4664" s="55">
        <v>6</v>
      </c>
      <c r="BO4664" s="55">
        <v>6</v>
      </c>
      <c r="BQ4664" s="55" t="s">
        <v>141</v>
      </c>
      <c r="BW4664" s="65">
        <v>170</v>
      </c>
      <c r="BX4664" s="65">
        <v>166</v>
      </c>
      <c r="CA4664" s="65" t="s">
        <v>4610</v>
      </c>
      <c r="CB4664" s="66">
        <v>2650</v>
      </c>
      <c r="CC4664" s="66">
        <v>2870</v>
      </c>
      <c r="CG4664" s="65" t="s">
        <v>4569</v>
      </c>
      <c r="GP4664" s="292" t="s">
        <v>7494</v>
      </c>
    </row>
    <row r="4665" spans="1:198" x14ac:dyDescent="0.25">
      <c r="A4665" s="55">
        <v>4664</v>
      </c>
      <c r="B4665" s="12" t="s">
        <v>7067</v>
      </c>
      <c r="C4665" s="155">
        <v>202</v>
      </c>
      <c r="D4665" s="55" t="s">
        <v>4604</v>
      </c>
      <c r="E4665" s="90" t="s">
        <v>4572</v>
      </c>
      <c r="G4665" s="55" t="s">
        <v>4574</v>
      </c>
      <c r="H4665" s="55">
        <v>2014</v>
      </c>
      <c r="I4665" s="55">
        <v>2012</v>
      </c>
      <c r="J4665" s="55" t="s">
        <v>4573</v>
      </c>
      <c r="K4665" s="55" t="s">
        <v>4576</v>
      </c>
      <c r="L4665" s="55" t="s">
        <v>2737</v>
      </c>
      <c r="M4665" s="90">
        <v>37.43</v>
      </c>
      <c r="N4665" s="90">
        <v>-88.6</v>
      </c>
      <c r="O4665" s="90">
        <v>140</v>
      </c>
      <c r="U4665" s="55" t="s">
        <v>1889</v>
      </c>
      <c r="V4665" s="55" t="s">
        <v>1889</v>
      </c>
      <c r="Y4665" s="55" t="s">
        <v>4575</v>
      </c>
      <c r="Z4665" s="55" t="s">
        <v>1349</v>
      </c>
      <c r="AA4665" s="90" t="s">
        <v>1677</v>
      </c>
      <c r="AH4665" s="55" t="s">
        <v>6378</v>
      </c>
      <c r="AM4665" s="55" t="s">
        <v>4582</v>
      </c>
      <c r="AN4665" s="185" t="s">
        <v>4587</v>
      </c>
      <c r="AO4665" s="185" t="s">
        <v>5150</v>
      </c>
      <c r="AQ4665" s="55" t="s">
        <v>4584</v>
      </c>
      <c r="AR4665" s="55" t="s">
        <v>4585</v>
      </c>
      <c r="AS4665" s="55" t="s">
        <v>4584</v>
      </c>
      <c r="AT4665" s="181" t="s">
        <v>912</v>
      </c>
      <c r="AU4665" s="181" t="s">
        <v>5150</v>
      </c>
      <c r="AV4665" s="185" t="s">
        <v>176</v>
      </c>
      <c r="AW4665" s="55" t="s">
        <v>912</v>
      </c>
      <c r="AX4665" s="185" t="s">
        <v>176</v>
      </c>
      <c r="AY4665" s="55" t="s">
        <v>176</v>
      </c>
      <c r="AZ4665" s="55" t="s">
        <v>550</v>
      </c>
      <c r="BA4665" s="55" t="s">
        <v>550</v>
      </c>
      <c r="BB4665" s="55" t="s">
        <v>4499</v>
      </c>
      <c r="BC4665" s="55" t="s">
        <v>4499</v>
      </c>
      <c r="BD4665" s="55" t="s">
        <v>176</v>
      </c>
      <c r="BK4665" s="55" t="s">
        <v>6983</v>
      </c>
      <c r="BN4665" s="55">
        <v>6</v>
      </c>
      <c r="BO4665" s="55">
        <v>6</v>
      </c>
      <c r="BQ4665" s="55" t="s">
        <v>141</v>
      </c>
      <c r="BW4665" s="65">
        <v>128</v>
      </c>
      <c r="BX4665" s="65">
        <v>124</v>
      </c>
      <c r="CA4665" s="65" t="s">
        <v>4610</v>
      </c>
      <c r="CB4665" s="66">
        <v>1960</v>
      </c>
      <c r="CC4665" s="66">
        <v>2160</v>
      </c>
      <c r="CG4665" s="65" t="s">
        <v>4569</v>
      </c>
      <c r="GP4665" s="292" t="s">
        <v>7494</v>
      </c>
    </row>
    <row r="4666" spans="1:198" x14ac:dyDescent="0.25">
      <c r="A4666" s="55">
        <v>4665</v>
      </c>
      <c r="B4666" s="12" t="s">
        <v>7067</v>
      </c>
      <c r="C4666" s="155">
        <v>202</v>
      </c>
      <c r="D4666" s="55" t="s">
        <v>4605</v>
      </c>
      <c r="E4666" s="90" t="s">
        <v>4572</v>
      </c>
      <c r="G4666" s="55" t="s">
        <v>4574</v>
      </c>
      <c r="H4666" s="55">
        <v>2014</v>
      </c>
      <c r="I4666" s="55">
        <v>2012</v>
      </c>
      <c r="J4666" s="55" t="s">
        <v>4573</v>
      </c>
      <c r="K4666" s="55" t="s">
        <v>4576</v>
      </c>
      <c r="L4666" s="55" t="s">
        <v>2737</v>
      </c>
      <c r="M4666" s="90">
        <v>37.43</v>
      </c>
      <c r="N4666" s="90">
        <v>-88.6</v>
      </c>
      <c r="O4666" s="90">
        <v>140</v>
      </c>
      <c r="U4666" s="55" t="s">
        <v>1889</v>
      </c>
      <c r="V4666" s="55" t="s">
        <v>1889</v>
      </c>
      <c r="Y4666" s="55" t="s">
        <v>4575</v>
      </c>
      <c r="Z4666" s="55" t="s">
        <v>1349</v>
      </c>
      <c r="AA4666" s="90" t="s">
        <v>1677</v>
      </c>
      <c r="AH4666" s="55" t="s">
        <v>6378</v>
      </c>
      <c r="AM4666" s="55" t="s">
        <v>4582</v>
      </c>
      <c r="AN4666" s="185" t="s">
        <v>4587</v>
      </c>
      <c r="AO4666" s="185" t="s">
        <v>5150</v>
      </c>
      <c r="AQ4666" s="55" t="s">
        <v>4584</v>
      </c>
      <c r="AR4666" s="55" t="s">
        <v>4585</v>
      </c>
      <c r="AS4666" s="55" t="s">
        <v>4584</v>
      </c>
      <c r="AT4666" s="181" t="s">
        <v>912</v>
      </c>
      <c r="AU4666" s="181" t="s">
        <v>5150</v>
      </c>
      <c r="AV4666" s="185" t="s">
        <v>176</v>
      </c>
      <c r="AW4666" s="55" t="s">
        <v>912</v>
      </c>
      <c r="AX4666" s="185" t="s">
        <v>176</v>
      </c>
      <c r="AY4666" s="55" t="s">
        <v>176</v>
      </c>
      <c r="AZ4666" s="55" t="s">
        <v>4593</v>
      </c>
      <c r="BA4666" s="55" t="s">
        <v>4593</v>
      </c>
      <c r="BB4666" s="55" t="s">
        <v>2081</v>
      </c>
      <c r="BC4666" s="55" t="s">
        <v>2081</v>
      </c>
      <c r="BD4666" s="55" t="s">
        <v>176</v>
      </c>
      <c r="BK4666" s="55" t="s">
        <v>5976</v>
      </c>
      <c r="BN4666" s="55">
        <v>6</v>
      </c>
      <c r="BO4666" s="55">
        <v>6</v>
      </c>
      <c r="BQ4666" s="55" t="s">
        <v>141</v>
      </c>
      <c r="BW4666" s="65">
        <v>100</v>
      </c>
      <c r="BX4666" s="65">
        <v>96</v>
      </c>
      <c r="CA4666" s="65" t="s">
        <v>4610</v>
      </c>
      <c r="CB4666" s="66">
        <v>1820</v>
      </c>
      <c r="CC4666" s="66">
        <v>1710</v>
      </c>
      <c r="CG4666" s="65" t="s">
        <v>4569</v>
      </c>
      <c r="GP4666" s="292" t="s">
        <v>7494</v>
      </c>
    </row>
    <row r="4667" spans="1:198" x14ac:dyDescent="0.25">
      <c r="A4667" s="55">
        <v>4666</v>
      </c>
      <c r="B4667" s="12" t="s">
        <v>7067</v>
      </c>
      <c r="C4667" s="155">
        <v>202</v>
      </c>
      <c r="D4667" s="55" t="s">
        <v>4612</v>
      </c>
      <c r="E4667" s="90" t="s">
        <v>4572</v>
      </c>
      <c r="G4667" s="55" t="s">
        <v>4574</v>
      </c>
      <c r="H4667" s="55">
        <v>2014</v>
      </c>
      <c r="I4667" s="55">
        <v>2002</v>
      </c>
      <c r="J4667" s="55" t="s">
        <v>4573</v>
      </c>
      <c r="K4667" s="55" t="s">
        <v>4576</v>
      </c>
      <c r="L4667" s="55" t="s">
        <v>2737</v>
      </c>
      <c r="M4667" s="90">
        <v>37.43</v>
      </c>
      <c r="N4667" s="90">
        <v>-88.6</v>
      </c>
      <c r="O4667" s="90">
        <v>140</v>
      </c>
      <c r="U4667" s="55" t="s">
        <v>1805</v>
      </c>
      <c r="V4667" s="55" t="s">
        <v>1889</v>
      </c>
      <c r="Y4667" s="55" t="s">
        <v>4575</v>
      </c>
      <c r="Z4667" s="55" t="s">
        <v>1349</v>
      </c>
      <c r="AA4667" s="90" t="s">
        <v>1677</v>
      </c>
      <c r="AH4667" s="55" t="s">
        <v>6378</v>
      </c>
      <c r="AM4667" s="55" t="s">
        <v>4582</v>
      </c>
      <c r="AN4667" s="185" t="s">
        <v>4587</v>
      </c>
      <c r="AO4667" s="185" t="s">
        <v>5150</v>
      </c>
      <c r="AQ4667" s="55" t="s">
        <v>4584</v>
      </c>
      <c r="AR4667" s="55" t="s">
        <v>4585</v>
      </c>
      <c r="AS4667" s="55" t="s">
        <v>4584</v>
      </c>
      <c r="AT4667" s="181" t="s">
        <v>912</v>
      </c>
      <c r="AU4667" s="181" t="s">
        <v>5150</v>
      </c>
      <c r="AV4667" s="185" t="s">
        <v>176</v>
      </c>
      <c r="AW4667" s="55" t="s">
        <v>912</v>
      </c>
      <c r="AX4667" s="185" t="s">
        <v>176</v>
      </c>
      <c r="AY4667" s="55" t="s">
        <v>176</v>
      </c>
      <c r="AZ4667" s="55" t="s">
        <v>216</v>
      </c>
      <c r="BA4667" s="55" t="s">
        <v>216</v>
      </c>
      <c r="BB4667" s="55" t="s">
        <v>2082</v>
      </c>
      <c r="BC4667" s="55" t="s">
        <v>2082</v>
      </c>
      <c r="BD4667" s="55" t="s">
        <v>176</v>
      </c>
      <c r="BK4667" s="55" t="s">
        <v>6269</v>
      </c>
      <c r="BN4667" s="55">
        <v>6</v>
      </c>
      <c r="BO4667" s="55">
        <v>6</v>
      </c>
      <c r="BQ4667" s="55" t="s">
        <v>141</v>
      </c>
      <c r="BW4667" s="65">
        <v>63</v>
      </c>
      <c r="BX4667" s="65">
        <v>65</v>
      </c>
      <c r="CA4667" s="65" t="s">
        <v>4611</v>
      </c>
      <c r="CB4667" s="66">
        <v>9930</v>
      </c>
      <c r="CC4667" s="66">
        <v>9530</v>
      </c>
      <c r="CG4667" s="65" t="s">
        <v>4569</v>
      </c>
      <c r="GP4667" s="292" t="s">
        <v>7494</v>
      </c>
    </row>
    <row r="4668" spans="1:198" x14ac:dyDescent="0.25">
      <c r="A4668" s="55">
        <v>4667</v>
      </c>
      <c r="B4668" s="12" t="s">
        <v>7067</v>
      </c>
      <c r="C4668" s="155">
        <v>202</v>
      </c>
      <c r="D4668" s="55" t="s">
        <v>4613</v>
      </c>
      <c r="E4668" s="90" t="s">
        <v>4572</v>
      </c>
      <c r="G4668" s="55" t="s">
        <v>4574</v>
      </c>
      <c r="H4668" s="55">
        <v>2014</v>
      </c>
      <c r="I4668" s="55">
        <v>2002</v>
      </c>
      <c r="J4668" s="55" t="s">
        <v>4573</v>
      </c>
      <c r="K4668" s="55" t="s">
        <v>4576</v>
      </c>
      <c r="L4668" s="55" t="s">
        <v>2737</v>
      </c>
      <c r="M4668" s="90">
        <v>37.43</v>
      </c>
      <c r="N4668" s="90">
        <v>-88.6</v>
      </c>
      <c r="O4668" s="90">
        <v>140</v>
      </c>
      <c r="U4668" s="55" t="s">
        <v>1805</v>
      </c>
      <c r="V4668" s="55" t="s">
        <v>1889</v>
      </c>
      <c r="Y4668" s="55" t="s">
        <v>4575</v>
      </c>
      <c r="Z4668" s="55" t="s">
        <v>1349</v>
      </c>
      <c r="AA4668" s="90" t="s">
        <v>1677</v>
      </c>
      <c r="AH4668" s="55" t="s">
        <v>6378</v>
      </c>
      <c r="AM4668" s="55" t="s">
        <v>4582</v>
      </c>
      <c r="AN4668" s="185" t="s">
        <v>4587</v>
      </c>
      <c r="AO4668" s="185" t="s">
        <v>5150</v>
      </c>
      <c r="AQ4668" s="55" t="s">
        <v>4584</v>
      </c>
      <c r="AR4668" s="55" t="s">
        <v>4585</v>
      </c>
      <c r="AS4668" s="55" t="s">
        <v>4584</v>
      </c>
      <c r="AT4668" s="181" t="s">
        <v>912</v>
      </c>
      <c r="AU4668" s="181" t="s">
        <v>5150</v>
      </c>
      <c r="AV4668" s="185" t="s">
        <v>176</v>
      </c>
      <c r="AW4668" s="55" t="s">
        <v>912</v>
      </c>
      <c r="AX4668" s="185" t="s">
        <v>176</v>
      </c>
      <c r="AY4668" s="55" t="s">
        <v>176</v>
      </c>
      <c r="AZ4668" s="55" t="s">
        <v>550</v>
      </c>
      <c r="BA4668" s="55" t="s">
        <v>550</v>
      </c>
      <c r="BB4668" s="55" t="s">
        <v>4499</v>
      </c>
      <c r="BC4668" s="55" t="s">
        <v>4499</v>
      </c>
      <c r="BD4668" s="55" t="s">
        <v>176</v>
      </c>
      <c r="BK4668" s="55" t="s">
        <v>6983</v>
      </c>
      <c r="BN4668" s="55">
        <v>6</v>
      </c>
      <c r="BO4668" s="55">
        <v>6</v>
      </c>
      <c r="BQ4668" s="55" t="s">
        <v>141</v>
      </c>
      <c r="BW4668" s="65">
        <v>56</v>
      </c>
      <c r="BX4668" s="65">
        <v>58</v>
      </c>
      <c r="CA4668" s="65" t="s">
        <v>4611</v>
      </c>
      <c r="CB4668" s="66">
        <v>9900</v>
      </c>
      <c r="CC4668" s="66">
        <v>9300</v>
      </c>
      <c r="CG4668" s="65" t="s">
        <v>4569</v>
      </c>
      <c r="GP4668" s="292" t="s">
        <v>7494</v>
      </c>
    </row>
    <row r="4669" spans="1:198" x14ac:dyDescent="0.25">
      <c r="A4669" s="55">
        <v>4668</v>
      </c>
      <c r="B4669" s="12" t="s">
        <v>7067</v>
      </c>
      <c r="C4669" s="155">
        <v>202</v>
      </c>
      <c r="D4669" s="55" t="s">
        <v>4614</v>
      </c>
      <c r="E4669" s="90" t="s">
        <v>4572</v>
      </c>
      <c r="G4669" s="55" t="s">
        <v>4574</v>
      </c>
      <c r="H4669" s="55">
        <v>2014</v>
      </c>
      <c r="I4669" s="55">
        <v>2002</v>
      </c>
      <c r="J4669" s="55" t="s">
        <v>4573</v>
      </c>
      <c r="K4669" s="55" t="s">
        <v>4576</v>
      </c>
      <c r="L4669" s="55" t="s">
        <v>2737</v>
      </c>
      <c r="M4669" s="90">
        <v>37.43</v>
      </c>
      <c r="N4669" s="90">
        <v>-88.6</v>
      </c>
      <c r="O4669" s="90">
        <v>140</v>
      </c>
      <c r="U4669" s="55" t="s">
        <v>1805</v>
      </c>
      <c r="V4669" s="55" t="s">
        <v>1889</v>
      </c>
      <c r="Y4669" s="55" t="s">
        <v>4575</v>
      </c>
      <c r="Z4669" s="55" t="s">
        <v>1349</v>
      </c>
      <c r="AA4669" s="90" t="s">
        <v>1677</v>
      </c>
      <c r="AH4669" s="55" t="s">
        <v>6378</v>
      </c>
      <c r="AM4669" s="55" t="s">
        <v>4582</v>
      </c>
      <c r="AN4669" s="185" t="s">
        <v>4587</v>
      </c>
      <c r="AO4669" s="185" t="s">
        <v>5150</v>
      </c>
      <c r="AQ4669" s="55" t="s">
        <v>4584</v>
      </c>
      <c r="AR4669" s="55" t="s">
        <v>4585</v>
      </c>
      <c r="AS4669" s="55" t="s">
        <v>4584</v>
      </c>
      <c r="AT4669" s="181" t="s">
        <v>912</v>
      </c>
      <c r="AU4669" s="181" t="s">
        <v>5150</v>
      </c>
      <c r="AV4669" s="185" t="s">
        <v>176</v>
      </c>
      <c r="AW4669" s="55" t="s">
        <v>912</v>
      </c>
      <c r="AX4669" s="185" t="s">
        <v>176</v>
      </c>
      <c r="AY4669" s="55" t="s">
        <v>176</v>
      </c>
      <c r="AZ4669" s="55" t="s">
        <v>4593</v>
      </c>
      <c r="BA4669" s="55" t="s">
        <v>4593</v>
      </c>
      <c r="BB4669" s="55" t="s">
        <v>2081</v>
      </c>
      <c r="BC4669" s="55" t="s">
        <v>2081</v>
      </c>
      <c r="BD4669" s="55" t="s">
        <v>176</v>
      </c>
      <c r="BK4669" s="55" t="s">
        <v>5976</v>
      </c>
      <c r="BN4669" s="55">
        <v>6</v>
      </c>
      <c r="BO4669" s="55">
        <v>6</v>
      </c>
      <c r="BQ4669" s="55" t="s">
        <v>141</v>
      </c>
      <c r="BW4669" s="65">
        <v>68</v>
      </c>
      <c r="BX4669" s="65">
        <v>64</v>
      </c>
      <c r="CA4669" s="65" t="s">
        <v>4611</v>
      </c>
      <c r="CB4669" s="66">
        <v>10400</v>
      </c>
      <c r="CC4669" s="66">
        <v>10200</v>
      </c>
      <c r="CG4669" s="65" t="s">
        <v>4569</v>
      </c>
      <c r="GP4669" s="292" t="s">
        <v>7494</v>
      </c>
    </row>
    <row r="4670" spans="1:198" x14ac:dyDescent="0.25">
      <c r="A4670" s="55">
        <v>4669</v>
      </c>
      <c r="B4670" s="12" t="s">
        <v>7067</v>
      </c>
      <c r="C4670" s="155">
        <v>202</v>
      </c>
      <c r="D4670" s="55" t="s">
        <v>4612</v>
      </c>
      <c r="E4670" s="90" t="s">
        <v>4572</v>
      </c>
      <c r="G4670" s="55" t="s">
        <v>4574</v>
      </c>
      <c r="H4670" s="55">
        <v>2014</v>
      </c>
      <c r="I4670" s="55">
        <v>2004</v>
      </c>
      <c r="J4670" s="55" t="s">
        <v>4573</v>
      </c>
      <c r="K4670" s="55" t="s">
        <v>4576</v>
      </c>
      <c r="L4670" s="55" t="s">
        <v>2737</v>
      </c>
      <c r="M4670" s="90">
        <v>37.43</v>
      </c>
      <c r="N4670" s="90">
        <v>-88.6</v>
      </c>
      <c r="O4670" s="90">
        <v>140</v>
      </c>
      <c r="U4670" s="55" t="s">
        <v>1816</v>
      </c>
      <c r="V4670" s="55" t="s">
        <v>1889</v>
      </c>
      <c r="Y4670" s="55" t="s">
        <v>4575</v>
      </c>
      <c r="Z4670" s="55" t="s">
        <v>1349</v>
      </c>
      <c r="AA4670" s="90" t="s">
        <v>1677</v>
      </c>
      <c r="AH4670" s="55" t="s">
        <v>6378</v>
      </c>
      <c r="AM4670" s="55" t="s">
        <v>4582</v>
      </c>
      <c r="AN4670" s="185" t="s">
        <v>4587</v>
      </c>
      <c r="AO4670" s="185" t="s">
        <v>5150</v>
      </c>
      <c r="AQ4670" s="55" t="s">
        <v>4584</v>
      </c>
      <c r="AR4670" s="55" t="s">
        <v>4585</v>
      </c>
      <c r="AS4670" s="55" t="s">
        <v>4584</v>
      </c>
      <c r="AT4670" s="181" t="s">
        <v>912</v>
      </c>
      <c r="AU4670" s="181" t="s">
        <v>5150</v>
      </c>
      <c r="AV4670" s="185" t="s">
        <v>176</v>
      </c>
      <c r="AW4670" s="55" t="s">
        <v>912</v>
      </c>
      <c r="AX4670" s="185" t="s">
        <v>176</v>
      </c>
      <c r="AY4670" s="55" t="s">
        <v>176</v>
      </c>
      <c r="AZ4670" s="55" t="s">
        <v>216</v>
      </c>
      <c r="BA4670" s="55" t="s">
        <v>216</v>
      </c>
      <c r="BB4670" s="55" t="s">
        <v>2082</v>
      </c>
      <c r="BC4670" s="55" t="s">
        <v>2082</v>
      </c>
      <c r="BD4670" s="55" t="s">
        <v>176</v>
      </c>
      <c r="BK4670" s="55" t="s">
        <v>6269</v>
      </c>
      <c r="BN4670" s="55">
        <v>6</v>
      </c>
      <c r="BO4670" s="55">
        <v>6</v>
      </c>
      <c r="BQ4670" s="55" t="s">
        <v>141</v>
      </c>
      <c r="BW4670" s="65">
        <v>60</v>
      </c>
      <c r="BX4670" s="65">
        <v>61</v>
      </c>
      <c r="CA4670" s="65" t="s">
        <v>4611</v>
      </c>
      <c r="CB4670" s="66">
        <v>6670</v>
      </c>
      <c r="CC4670" s="66">
        <v>6860</v>
      </c>
      <c r="CG4670" s="65" t="s">
        <v>4569</v>
      </c>
      <c r="GP4670" s="292" t="s">
        <v>7494</v>
      </c>
    </row>
    <row r="4671" spans="1:198" x14ac:dyDescent="0.25">
      <c r="A4671" s="55">
        <v>4670</v>
      </c>
      <c r="B4671" s="12" t="s">
        <v>7067</v>
      </c>
      <c r="C4671" s="155">
        <v>202</v>
      </c>
      <c r="D4671" s="55" t="s">
        <v>4613</v>
      </c>
      <c r="E4671" s="90" t="s">
        <v>4572</v>
      </c>
      <c r="G4671" s="55" t="s">
        <v>4574</v>
      </c>
      <c r="H4671" s="55">
        <v>2014</v>
      </c>
      <c r="I4671" s="55">
        <v>2004</v>
      </c>
      <c r="J4671" s="55" t="s">
        <v>4573</v>
      </c>
      <c r="K4671" s="55" t="s">
        <v>4576</v>
      </c>
      <c r="L4671" s="55" t="s">
        <v>2737</v>
      </c>
      <c r="M4671" s="90">
        <v>37.43</v>
      </c>
      <c r="N4671" s="90">
        <v>-88.6</v>
      </c>
      <c r="O4671" s="90">
        <v>140</v>
      </c>
      <c r="U4671" s="55" t="s">
        <v>1816</v>
      </c>
      <c r="V4671" s="55" t="s">
        <v>1889</v>
      </c>
      <c r="Y4671" s="55" t="s">
        <v>4575</v>
      </c>
      <c r="Z4671" s="55" t="s">
        <v>1349</v>
      </c>
      <c r="AA4671" s="90" t="s">
        <v>1677</v>
      </c>
      <c r="AH4671" s="55" t="s">
        <v>6378</v>
      </c>
      <c r="AM4671" s="55" t="s">
        <v>4582</v>
      </c>
      <c r="AN4671" s="185" t="s">
        <v>4587</v>
      </c>
      <c r="AO4671" s="185" t="s">
        <v>5150</v>
      </c>
      <c r="AQ4671" s="55" t="s">
        <v>4584</v>
      </c>
      <c r="AR4671" s="55" t="s">
        <v>4585</v>
      </c>
      <c r="AS4671" s="55" t="s">
        <v>4584</v>
      </c>
      <c r="AT4671" s="181" t="s">
        <v>912</v>
      </c>
      <c r="AU4671" s="181" t="s">
        <v>5150</v>
      </c>
      <c r="AV4671" s="185" t="s">
        <v>176</v>
      </c>
      <c r="AW4671" s="55" t="s">
        <v>912</v>
      </c>
      <c r="AX4671" s="185" t="s">
        <v>176</v>
      </c>
      <c r="AY4671" s="55" t="s">
        <v>176</v>
      </c>
      <c r="AZ4671" s="55" t="s">
        <v>550</v>
      </c>
      <c r="BA4671" s="55" t="s">
        <v>550</v>
      </c>
      <c r="BB4671" s="55" t="s">
        <v>4499</v>
      </c>
      <c r="BC4671" s="55" t="s">
        <v>4499</v>
      </c>
      <c r="BD4671" s="55" t="s">
        <v>176</v>
      </c>
      <c r="BK4671" s="55" t="s">
        <v>6983</v>
      </c>
      <c r="BN4671" s="55">
        <v>6</v>
      </c>
      <c r="BO4671" s="55">
        <v>6</v>
      </c>
      <c r="BQ4671" s="55" t="s">
        <v>141</v>
      </c>
      <c r="BW4671" s="65">
        <v>61</v>
      </c>
      <c r="BX4671" s="65">
        <v>60</v>
      </c>
      <c r="CA4671" s="65" t="s">
        <v>4611</v>
      </c>
      <c r="CB4671" s="66">
        <v>7330</v>
      </c>
      <c r="CC4671" s="66">
        <v>7130</v>
      </c>
      <c r="CG4671" s="65" t="s">
        <v>4569</v>
      </c>
      <c r="GP4671" s="292" t="s">
        <v>7494</v>
      </c>
    </row>
    <row r="4672" spans="1:198" x14ac:dyDescent="0.25">
      <c r="A4672" s="55">
        <v>4671</v>
      </c>
      <c r="B4672" s="12" t="s">
        <v>7067</v>
      </c>
      <c r="C4672" s="155">
        <v>202</v>
      </c>
      <c r="D4672" s="55" t="s">
        <v>4614</v>
      </c>
      <c r="E4672" s="90" t="s">
        <v>4572</v>
      </c>
      <c r="G4672" s="55" t="s">
        <v>4574</v>
      </c>
      <c r="H4672" s="55">
        <v>2014</v>
      </c>
      <c r="I4672" s="55">
        <v>2004</v>
      </c>
      <c r="J4672" s="55" t="s">
        <v>4573</v>
      </c>
      <c r="K4672" s="55" t="s">
        <v>4576</v>
      </c>
      <c r="L4672" s="55" t="s">
        <v>2737</v>
      </c>
      <c r="M4672" s="90">
        <v>37.43</v>
      </c>
      <c r="N4672" s="90">
        <v>-88.6</v>
      </c>
      <c r="O4672" s="90">
        <v>140</v>
      </c>
      <c r="U4672" s="55" t="s">
        <v>1816</v>
      </c>
      <c r="V4672" s="55" t="s">
        <v>1889</v>
      </c>
      <c r="Y4672" s="55" t="s">
        <v>4575</v>
      </c>
      <c r="Z4672" s="55" t="s">
        <v>1349</v>
      </c>
      <c r="AA4672" s="90" t="s">
        <v>1677</v>
      </c>
      <c r="AH4672" s="55" t="s">
        <v>6378</v>
      </c>
      <c r="AM4672" s="55" t="s">
        <v>4582</v>
      </c>
      <c r="AN4672" s="185" t="s">
        <v>4587</v>
      </c>
      <c r="AO4672" s="185" t="s">
        <v>5150</v>
      </c>
      <c r="AQ4672" s="55" t="s">
        <v>4584</v>
      </c>
      <c r="AR4672" s="55" t="s">
        <v>4585</v>
      </c>
      <c r="AS4672" s="55" t="s">
        <v>4584</v>
      </c>
      <c r="AT4672" s="181" t="s">
        <v>912</v>
      </c>
      <c r="AU4672" s="181" t="s">
        <v>5150</v>
      </c>
      <c r="AV4672" s="185" t="s">
        <v>176</v>
      </c>
      <c r="AW4672" s="55" t="s">
        <v>912</v>
      </c>
      <c r="AX4672" s="185" t="s">
        <v>176</v>
      </c>
      <c r="AY4672" s="55" t="s">
        <v>176</v>
      </c>
      <c r="AZ4672" s="55" t="s">
        <v>4593</v>
      </c>
      <c r="BA4672" s="55" t="s">
        <v>4593</v>
      </c>
      <c r="BB4672" s="55" t="s">
        <v>2081</v>
      </c>
      <c r="BC4672" s="55" t="s">
        <v>2081</v>
      </c>
      <c r="BD4672" s="55" t="s">
        <v>176</v>
      </c>
      <c r="BK4672" s="55" t="s">
        <v>5976</v>
      </c>
      <c r="BN4672" s="55">
        <v>6</v>
      </c>
      <c r="BO4672" s="55">
        <v>6</v>
      </c>
      <c r="BQ4672" s="55" t="s">
        <v>141</v>
      </c>
      <c r="BW4672" s="65">
        <v>60</v>
      </c>
      <c r="BX4672" s="65">
        <v>61</v>
      </c>
      <c r="CA4672" s="65" t="s">
        <v>4611</v>
      </c>
      <c r="CB4672" s="66">
        <v>7720</v>
      </c>
      <c r="CC4672" s="66">
        <v>8450</v>
      </c>
      <c r="CG4672" s="65" t="s">
        <v>4569</v>
      </c>
      <c r="GP4672" s="292" t="s">
        <v>7494</v>
      </c>
    </row>
    <row r="4673" spans="1:281" x14ac:dyDescent="0.25">
      <c r="A4673" s="55">
        <v>4672</v>
      </c>
      <c r="B4673" s="12" t="s">
        <v>7067</v>
      </c>
      <c r="C4673" s="155">
        <v>202</v>
      </c>
      <c r="D4673" s="55" t="s">
        <v>4612</v>
      </c>
      <c r="E4673" s="90" t="s">
        <v>4572</v>
      </c>
      <c r="G4673" s="55" t="s">
        <v>4574</v>
      </c>
      <c r="H4673" s="55">
        <v>2014</v>
      </c>
      <c r="I4673" s="55">
        <v>2006</v>
      </c>
      <c r="J4673" s="55" t="s">
        <v>4573</v>
      </c>
      <c r="K4673" s="55" t="s">
        <v>4576</v>
      </c>
      <c r="L4673" s="55" t="s">
        <v>2737</v>
      </c>
      <c r="M4673" s="90">
        <v>37.43</v>
      </c>
      <c r="N4673" s="90">
        <v>-88.6</v>
      </c>
      <c r="O4673" s="90">
        <v>140</v>
      </c>
      <c r="U4673" s="55" t="s">
        <v>1801</v>
      </c>
      <c r="V4673" s="55" t="s">
        <v>1889</v>
      </c>
      <c r="Y4673" s="55" t="s">
        <v>4575</v>
      </c>
      <c r="Z4673" s="55" t="s">
        <v>1349</v>
      </c>
      <c r="AA4673" s="90" t="s">
        <v>1677</v>
      </c>
      <c r="AH4673" s="55" t="s">
        <v>6378</v>
      </c>
      <c r="AM4673" s="55" t="s">
        <v>4582</v>
      </c>
      <c r="AN4673" s="185" t="s">
        <v>4587</v>
      </c>
      <c r="AO4673" s="185" t="s">
        <v>5150</v>
      </c>
      <c r="AQ4673" s="55" t="s">
        <v>4584</v>
      </c>
      <c r="AR4673" s="55" t="s">
        <v>4585</v>
      </c>
      <c r="AS4673" s="55" t="s">
        <v>4584</v>
      </c>
      <c r="AT4673" s="181" t="s">
        <v>912</v>
      </c>
      <c r="AU4673" s="181" t="s">
        <v>5150</v>
      </c>
      <c r="AV4673" s="185" t="s">
        <v>176</v>
      </c>
      <c r="AW4673" s="55" t="s">
        <v>912</v>
      </c>
      <c r="AX4673" s="185" t="s">
        <v>176</v>
      </c>
      <c r="AY4673" s="55" t="s">
        <v>176</v>
      </c>
      <c r="AZ4673" s="55" t="s">
        <v>216</v>
      </c>
      <c r="BA4673" s="55" t="s">
        <v>216</v>
      </c>
      <c r="BB4673" s="55" t="s">
        <v>2082</v>
      </c>
      <c r="BC4673" s="55" t="s">
        <v>2082</v>
      </c>
      <c r="BD4673" s="55" t="s">
        <v>176</v>
      </c>
      <c r="BK4673" s="55" t="s">
        <v>6269</v>
      </c>
      <c r="BN4673" s="55">
        <v>6</v>
      </c>
      <c r="BO4673" s="55">
        <v>6</v>
      </c>
      <c r="BQ4673" s="55" t="s">
        <v>141</v>
      </c>
      <c r="BW4673" s="65">
        <v>71</v>
      </c>
      <c r="BX4673" s="65">
        <v>72</v>
      </c>
      <c r="CA4673" s="65" t="s">
        <v>4611</v>
      </c>
      <c r="CB4673" s="66">
        <v>11440</v>
      </c>
      <c r="CC4673" s="66">
        <v>11400</v>
      </c>
      <c r="CG4673" s="65" t="s">
        <v>4569</v>
      </c>
      <c r="GP4673" s="292" t="s">
        <v>7494</v>
      </c>
    </row>
    <row r="4674" spans="1:281" x14ac:dyDescent="0.25">
      <c r="A4674" s="55">
        <v>4673</v>
      </c>
      <c r="B4674" s="12" t="s">
        <v>7067</v>
      </c>
      <c r="C4674" s="155">
        <v>202</v>
      </c>
      <c r="D4674" s="55" t="s">
        <v>4613</v>
      </c>
      <c r="E4674" s="90" t="s">
        <v>4572</v>
      </c>
      <c r="G4674" s="55" t="s">
        <v>4574</v>
      </c>
      <c r="H4674" s="55">
        <v>2014</v>
      </c>
      <c r="I4674" s="55">
        <v>2006</v>
      </c>
      <c r="J4674" s="55" t="s">
        <v>4573</v>
      </c>
      <c r="K4674" s="55" t="s">
        <v>4576</v>
      </c>
      <c r="L4674" s="55" t="s">
        <v>2737</v>
      </c>
      <c r="M4674" s="90">
        <v>37.43</v>
      </c>
      <c r="N4674" s="90">
        <v>-88.6</v>
      </c>
      <c r="O4674" s="90">
        <v>140</v>
      </c>
      <c r="U4674" s="55" t="s">
        <v>1801</v>
      </c>
      <c r="V4674" s="55" t="s">
        <v>1889</v>
      </c>
      <c r="Y4674" s="55" t="s">
        <v>4575</v>
      </c>
      <c r="Z4674" s="55" t="s">
        <v>1349</v>
      </c>
      <c r="AA4674" s="90" t="s">
        <v>1677</v>
      </c>
      <c r="AH4674" s="55" t="s">
        <v>6378</v>
      </c>
      <c r="AM4674" s="55" t="s">
        <v>4582</v>
      </c>
      <c r="AN4674" s="185" t="s">
        <v>4587</v>
      </c>
      <c r="AO4674" s="185" t="s">
        <v>5150</v>
      </c>
      <c r="AQ4674" s="55" t="s">
        <v>4584</v>
      </c>
      <c r="AR4674" s="55" t="s">
        <v>4585</v>
      </c>
      <c r="AS4674" s="55" t="s">
        <v>4584</v>
      </c>
      <c r="AT4674" s="181" t="s">
        <v>912</v>
      </c>
      <c r="AU4674" s="181" t="s">
        <v>5150</v>
      </c>
      <c r="AV4674" s="185" t="s">
        <v>176</v>
      </c>
      <c r="AW4674" s="55" t="s">
        <v>912</v>
      </c>
      <c r="AX4674" s="185" t="s">
        <v>176</v>
      </c>
      <c r="AY4674" s="55" t="s">
        <v>176</v>
      </c>
      <c r="AZ4674" s="55" t="s">
        <v>550</v>
      </c>
      <c r="BA4674" s="55" t="s">
        <v>550</v>
      </c>
      <c r="BB4674" s="55" t="s">
        <v>4499</v>
      </c>
      <c r="BC4674" s="55" t="s">
        <v>4499</v>
      </c>
      <c r="BD4674" s="55" t="s">
        <v>176</v>
      </c>
      <c r="BK4674" s="55" t="s">
        <v>6983</v>
      </c>
      <c r="BN4674" s="55">
        <v>6</v>
      </c>
      <c r="BO4674" s="55">
        <v>6</v>
      </c>
      <c r="BQ4674" s="55" t="s">
        <v>141</v>
      </c>
      <c r="BW4674" s="65">
        <v>76</v>
      </c>
      <c r="BX4674" s="65">
        <v>76</v>
      </c>
      <c r="CA4674" s="65" t="s">
        <v>4611</v>
      </c>
      <c r="CB4674" s="66">
        <v>11860</v>
      </c>
      <c r="CC4674" s="66">
        <v>11630</v>
      </c>
      <c r="CG4674" s="65" t="s">
        <v>4569</v>
      </c>
      <c r="GP4674" s="292" t="s">
        <v>7494</v>
      </c>
    </row>
    <row r="4675" spans="1:281" x14ac:dyDescent="0.25">
      <c r="A4675" s="55">
        <v>4674</v>
      </c>
      <c r="B4675" s="12" t="s">
        <v>7067</v>
      </c>
      <c r="C4675" s="155">
        <v>202</v>
      </c>
      <c r="D4675" s="55" t="s">
        <v>4614</v>
      </c>
      <c r="E4675" s="90" t="s">
        <v>4572</v>
      </c>
      <c r="G4675" s="55" t="s">
        <v>4574</v>
      </c>
      <c r="H4675" s="55">
        <v>2014</v>
      </c>
      <c r="I4675" s="55">
        <v>2006</v>
      </c>
      <c r="J4675" s="55" t="s">
        <v>4573</v>
      </c>
      <c r="K4675" s="55" t="s">
        <v>4576</v>
      </c>
      <c r="L4675" s="55" t="s">
        <v>2737</v>
      </c>
      <c r="M4675" s="90">
        <v>37.43</v>
      </c>
      <c r="N4675" s="90">
        <v>-88.6</v>
      </c>
      <c r="O4675" s="90">
        <v>140</v>
      </c>
      <c r="U4675" s="55" t="s">
        <v>1801</v>
      </c>
      <c r="V4675" s="55" t="s">
        <v>1889</v>
      </c>
      <c r="Y4675" s="55" t="s">
        <v>4575</v>
      </c>
      <c r="Z4675" s="55" t="s">
        <v>1349</v>
      </c>
      <c r="AA4675" s="90" t="s">
        <v>1677</v>
      </c>
      <c r="AH4675" s="55" t="s">
        <v>6378</v>
      </c>
      <c r="AM4675" s="55" t="s">
        <v>4582</v>
      </c>
      <c r="AN4675" s="185" t="s">
        <v>4587</v>
      </c>
      <c r="AO4675" s="185" t="s">
        <v>5150</v>
      </c>
      <c r="AQ4675" s="55" t="s">
        <v>4584</v>
      </c>
      <c r="AR4675" s="55" t="s">
        <v>4585</v>
      </c>
      <c r="AS4675" s="55" t="s">
        <v>4584</v>
      </c>
      <c r="AT4675" s="181" t="s">
        <v>912</v>
      </c>
      <c r="AU4675" s="181" t="s">
        <v>5150</v>
      </c>
      <c r="AV4675" s="185" t="s">
        <v>176</v>
      </c>
      <c r="AW4675" s="55" t="s">
        <v>912</v>
      </c>
      <c r="AX4675" s="185" t="s">
        <v>176</v>
      </c>
      <c r="AY4675" s="55" t="s">
        <v>176</v>
      </c>
      <c r="AZ4675" s="55" t="s">
        <v>4593</v>
      </c>
      <c r="BA4675" s="55" t="s">
        <v>4593</v>
      </c>
      <c r="BB4675" s="55" t="s">
        <v>2081</v>
      </c>
      <c r="BC4675" s="55" t="s">
        <v>2081</v>
      </c>
      <c r="BD4675" s="55" t="s">
        <v>176</v>
      </c>
      <c r="BK4675" s="55" t="s">
        <v>5976</v>
      </c>
      <c r="BN4675" s="55">
        <v>6</v>
      </c>
      <c r="BO4675" s="55">
        <v>6</v>
      </c>
      <c r="BQ4675" s="55" t="s">
        <v>141</v>
      </c>
      <c r="BW4675" s="65">
        <v>69</v>
      </c>
      <c r="BX4675" s="65">
        <v>68</v>
      </c>
      <c r="CA4675" s="65" t="s">
        <v>4611</v>
      </c>
      <c r="CB4675" s="66">
        <v>11420</v>
      </c>
      <c r="CC4675" s="66">
        <v>12040</v>
      </c>
      <c r="CG4675" s="65" t="s">
        <v>4569</v>
      </c>
      <c r="GP4675" s="292" t="s">
        <v>7494</v>
      </c>
    </row>
    <row r="4676" spans="1:281" x14ac:dyDescent="0.25">
      <c r="A4676" s="55">
        <v>4675</v>
      </c>
      <c r="B4676" s="12" t="s">
        <v>7067</v>
      </c>
      <c r="C4676" s="155">
        <v>202</v>
      </c>
      <c r="D4676" s="55" t="s">
        <v>4612</v>
      </c>
      <c r="E4676" s="90" t="s">
        <v>4572</v>
      </c>
      <c r="G4676" s="55" t="s">
        <v>4574</v>
      </c>
      <c r="H4676" s="55">
        <v>2014</v>
      </c>
      <c r="I4676" s="55">
        <v>2008</v>
      </c>
      <c r="J4676" s="55" t="s">
        <v>4573</v>
      </c>
      <c r="K4676" s="55" t="s">
        <v>4576</v>
      </c>
      <c r="L4676" s="55" t="s">
        <v>2737</v>
      </c>
      <c r="M4676" s="90">
        <v>37.43</v>
      </c>
      <c r="N4676" s="90">
        <v>-88.6</v>
      </c>
      <c r="O4676" s="90">
        <v>140</v>
      </c>
      <c r="U4676" s="55" t="s">
        <v>1940</v>
      </c>
      <c r="V4676" s="55" t="s">
        <v>1889</v>
      </c>
      <c r="Y4676" s="55" t="s">
        <v>4575</v>
      </c>
      <c r="Z4676" s="55" t="s">
        <v>1349</v>
      </c>
      <c r="AA4676" s="90" t="s">
        <v>1677</v>
      </c>
      <c r="AH4676" s="55" t="s">
        <v>6378</v>
      </c>
      <c r="AM4676" s="55" t="s">
        <v>4582</v>
      </c>
      <c r="AN4676" s="185" t="s">
        <v>4587</v>
      </c>
      <c r="AO4676" s="185" t="s">
        <v>5150</v>
      </c>
      <c r="AQ4676" s="55" t="s">
        <v>4584</v>
      </c>
      <c r="AR4676" s="55" t="s">
        <v>4585</v>
      </c>
      <c r="AS4676" s="55" t="s">
        <v>4584</v>
      </c>
      <c r="AT4676" s="181" t="s">
        <v>912</v>
      </c>
      <c r="AU4676" s="181" t="s">
        <v>5150</v>
      </c>
      <c r="AV4676" s="185" t="s">
        <v>176</v>
      </c>
      <c r="AW4676" s="55" t="s">
        <v>912</v>
      </c>
      <c r="AX4676" s="185" t="s">
        <v>176</v>
      </c>
      <c r="AY4676" s="55" t="s">
        <v>176</v>
      </c>
      <c r="AZ4676" s="55" t="s">
        <v>216</v>
      </c>
      <c r="BA4676" s="55" t="s">
        <v>216</v>
      </c>
      <c r="BB4676" s="55" t="s">
        <v>2082</v>
      </c>
      <c r="BC4676" s="55" t="s">
        <v>2082</v>
      </c>
      <c r="BD4676" s="55" t="s">
        <v>176</v>
      </c>
      <c r="BK4676" s="55" t="s">
        <v>6269</v>
      </c>
      <c r="BN4676" s="55">
        <v>6</v>
      </c>
      <c r="BO4676" s="55">
        <v>6</v>
      </c>
      <c r="BQ4676" s="55" t="s">
        <v>141</v>
      </c>
      <c r="BW4676" s="65">
        <v>68</v>
      </c>
      <c r="BX4676" s="65">
        <v>66</v>
      </c>
      <c r="CA4676" s="65" t="s">
        <v>4611</v>
      </c>
      <c r="CB4676" s="66">
        <v>6460</v>
      </c>
      <c r="CC4676" s="66">
        <v>6200</v>
      </c>
      <c r="CG4676" s="65" t="s">
        <v>4569</v>
      </c>
      <c r="GP4676" s="292" t="s">
        <v>7494</v>
      </c>
    </row>
    <row r="4677" spans="1:281" x14ac:dyDescent="0.25">
      <c r="A4677" s="55">
        <v>4676</v>
      </c>
      <c r="B4677" s="12" t="s">
        <v>7067</v>
      </c>
      <c r="C4677" s="155">
        <v>202</v>
      </c>
      <c r="D4677" s="55" t="s">
        <v>4613</v>
      </c>
      <c r="E4677" s="90" t="s">
        <v>4572</v>
      </c>
      <c r="G4677" s="55" t="s">
        <v>4574</v>
      </c>
      <c r="H4677" s="55">
        <v>2014</v>
      </c>
      <c r="I4677" s="55">
        <v>2008</v>
      </c>
      <c r="J4677" s="55" t="s">
        <v>4573</v>
      </c>
      <c r="K4677" s="55" t="s">
        <v>4576</v>
      </c>
      <c r="L4677" s="55" t="s">
        <v>2737</v>
      </c>
      <c r="M4677" s="90">
        <v>37.43</v>
      </c>
      <c r="N4677" s="90">
        <v>-88.6</v>
      </c>
      <c r="O4677" s="90">
        <v>140</v>
      </c>
      <c r="U4677" s="55" t="s">
        <v>1940</v>
      </c>
      <c r="V4677" s="55" t="s">
        <v>1889</v>
      </c>
      <c r="Y4677" s="55" t="s">
        <v>4575</v>
      </c>
      <c r="Z4677" s="55" t="s">
        <v>1349</v>
      </c>
      <c r="AA4677" s="90" t="s">
        <v>1677</v>
      </c>
      <c r="AH4677" s="55" t="s">
        <v>6378</v>
      </c>
      <c r="AM4677" s="55" t="s">
        <v>4582</v>
      </c>
      <c r="AN4677" s="185" t="s">
        <v>4587</v>
      </c>
      <c r="AO4677" s="185" t="s">
        <v>5150</v>
      </c>
      <c r="AQ4677" s="55" t="s">
        <v>4584</v>
      </c>
      <c r="AR4677" s="55" t="s">
        <v>4585</v>
      </c>
      <c r="AS4677" s="55" t="s">
        <v>4584</v>
      </c>
      <c r="AT4677" s="181" t="s">
        <v>912</v>
      </c>
      <c r="AU4677" s="181" t="s">
        <v>5150</v>
      </c>
      <c r="AV4677" s="185" t="s">
        <v>176</v>
      </c>
      <c r="AW4677" s="55" t="s">
        <v>912</v>
      </c>
      <c r="AX4677" s="185" t="s">
        <v>176</v>
      </c>
      <c r="AY4677" s="55" t="s">
        <v>176</v>
      </c>
      <c r="AZ4677" s="55" t="s">
        <v>550</v>
      </c>
      <c r="BA4677" s="55" t="s">
        <v>550</v>
      </c>
      <c r="BB4677" s="55" t="s">
        <v>4499</v>
      </c>
      <c r="BC4677" s="55" t="s">
        <v>4499</v>
      </c>
      <c r="BD4677" s="55" t="s">
        <v>176</v>
      </c>
      <c r="BK4677" s="55" t="s">
        <v>6983</v>
      </c>
      <c r="BN4677" s="55">
        <v>6</v>
      </c>
      <c r="BO4677" s="55">
        <v>6</v>
      </c>
      <c r="BQ4677" s="55" t="s">
        <v>141</v>
      </c>
      <c r="BW4677" s="65">
        <v>68</v>
      </c>
      <c r="BX4677" s="65">
        <v>68</v>
      </c>
      <c r="CA4677" s="65" t="s">
        <v>4611</v>
      </c>
      <c r="CB4677" s="66">
        <v>6800</v>
      </c>
      <c r="CC4677" s="66">
        <v>6730</v>
      </c>
      <c r="CG4677" s="65" t="s">
        <v>4569</v>
      </c>
      <c r="GP4677" s="292" t="s">
        <v>7494</v>
      </c>
    </row>
    <row r="4678" spans="1:281" x14ac:dyDescent="0.25">
      <c r="A4678" s="55">
        <v>4677</v>
      </c>
      <c r="B4678" s="12" t="s">
        <v>7067</v>
      </c>
      <c r="C4678" s="155">
        <v>202</v>
      </c>
      <c r="D4678" s="55" t="s">
        <v>4614</v>
      </c>
      <c r="E4678" s="90" t="s">
        <v>4572</v>
      </c>
      <c r="G4678" s="55" t="s">
        <v>4574</v>
      </c>
      <c r="H4678" s="55">
        <v>2014</v>
      </c>
      <c r="I4678" s="55">
        <v>2008</v>
      </c>
      <c r="J4678" s="55" t="s">
        <v>4573</v>
      </c>
      <c r="K4678" s="55" t="s">
        <v>4576</v>
      </c>
      <c r="L4678" s="55" t="s">
        <v>2737</v>
      </c>
      <c r="M4678" s="90">
        <v>37.43</v>
      </c>
      <c r="N4678" s="90">
        <v>-88.6</v>
      </c>
      <c r="O4678" s="90">
        <v>140</v>
      </c>
      <c r="U4678" s="55" t="s">
        <v>1940</v>
      </c>
      <c r="V4678" s="55" t="s">
        <v>1889</v>
      </c>
      <c r="Y4678" s="55" t="s">
        <v>4575</v>
      </c>
      <c r="Z4678" s="55" t="s">
        <v>1349</v>
      </c>
      <c r="AA4678" s="90" t="s">
        <v>1677</v>
      </c>
      <c r="AH4678" s="55" t="s">
        <v>6378</v>
      </c>
      <c r="AM4678" s="55" t="s">
        <v>4582</v>
      </c>
      <c r="AN4678" s="185" t="s">
        <v>4587</v>
      </c>
      <c r="AO4678" s="185" t="s">
        <v>5150</v>
      </c>
      <c r="AQ4678" s="55" t="s">
        <v>4584</v>
      </c>
      <c r="AR4678" s="55" t="s">
        <v>4585</v>
      </c>
      <c r="AS4678" s="55" t="s">
        <v>4584</v>
      </c>
      <c r="AT4678" s="181" t="s">
        <v>912</v>
      </c>
      <c r="AU4678" s="181" t="s">
        <v>5150</v>
      </c>
      <c r="AV4678" s="185" t="s">
        <v>176</v>
      </c>
      <c r="AW4678" s="55" t="s">
        <v>912</v>
      </c>
      <c r="AX4678" s="185" t="s">
        <v>176</v>
      </c>
      <c r="AY4678" s="55" t="s">
        <v>176</v>
      </c>
      <c r="AZ4678" s="55" t="s">
        <v>4593</v>
      </c>
      <c r="BA4678" s="55" t="s">
        <v>4593</v>
      </c>
      <c r="BB4678" s="55" t="s">
        <v>2081</v>
      </c>
      <c r="BC4678" s="55" t="s">
        <v>2081</v>
      </c>
      <c r="BD4678" s="55" t="s">
        <v>176</v>
      </c>
      <c r="BK4678" s="55" t="s">
        <v>5976</v>
      </c>
      <c r="BN4678" s="55">
        <v>6</v>
      </c>
      <c r="BO4678" s="55">
        <v>6</v>
      </c>
      <c r="BQ4678" s="55" t="s">
        <v>141</v>
      </c>
      <c r="BW4678" s="65">
        <v>68</v>
      </c>
      <c r="BX4678" s="65">
        <v>66</v>
      </c>
      <c r="CA4678" s="65" t="s">
        <v>4611</v>
      </c>
      <c r="CB4678" s="66">
        <v>6800</v>
      </c>
      <c r="CC4678" s="66">
        <v>6730</v>
      </c>
      <c r="CG4678" s="65" t="s">
        <v>4569</v>
      </c>
      <c r="GP4678" s="292" t="s">
        <v>7494</v>
      </c>
    </row>
    <row r="4679" spans="1:281" x14ac:dyDescent="0.25">
      <c r="A4679" s="55">
        <v>4678</v>
      </c>
      <c r="B4679" s="12" t="s">
        <v>7067</v>
      </c>
      <c r="C4679" s="155">
        <v>202</v>
      </c>
      <c r="D4679" s="55" t="s">
        <v>4612</v>
      </c>
      <c r="E4679" s="90" t="s">
        <v>4572</v>
      </c>
      <c r="G4679" s="55" t="s">
        <v>4574</v>
      </c>
      <c r="H4679" s="55">
        <v>2014</v>
      </c>
      <c r="I4679" s="55">
        <v>2010</v>
      </c>
      <c r="J4679" s="55" t="s">
        <v>4573</v>
      </c>
      <c r="K4679" s="55" t="s">
        <v>4576</v>
      </c>
      <c r="L4679" s="55" t="s">
        <v>2737</v>
      </c>
      <c r="M4679" s="90">
        <v>37.43</v>
      </c>
      <c r="N4679" s="90">
        <v>-88.6</v>
      </c>
      <c r="O4679" s="90">
        <v>140</v>
      </c>
      <c r="U4679" s="55" t="s">
        <v>1679</v>
      </c>
      <c r="V4679" s="55" t="s">
        <v>1889</v>
      </c>
      <c r="Y4679" s="55" t="s">
        <v>4575</v>
      </c>
      <c r="Z4679" s="55" t="s">
        <v>1349</v>
      </c>
      <c r="AA4679" s="90" t="s">
        <v>1677</v>
      </c>
      <c r="AH4679" s="55" t="s">
        <v>6378</v>
      </c>
      <c r="AM4679" s="55" t="s">
        <v>4582</v>
      </c>
      <c r="AN4679" s="185" t="s">
        <v>4587</v>
      </c>
      <c r="AO4679" s="185" t="s">
        <v>5150</v>
      </c>
      <c r="AQ4679" s="55" t="s">
        <v>4584</v>
      </c>
      <c r="AR4679" s="55" t="s">
        <v>4585</v>
      </c>
      <c r="AS4679" s="55" t="s">
        <v>4584</v>
      </c>
      <c r="AT4679" s="181" t="s">
        <v>912</v>
      </c>
      <c r="AU4679" s="181" t="s">
        <v>5150</v>
      </c>
      <c r="AV4679" s="185" t="s">
        <v>176</v>
      </c>
      <c r="AW4679" s="55" t="s">
        <v>912</v>
      </c>
      <c r="AX4679" s="185" t="s">
        <v>176</v>
      </c>
      <c r="AY4679" s="55" t="s">
        <v>176</v>
      </c>
      <c r="AZ4679" s="55" t="s">
        <v>216</v>
      </c>
      <c r="BA4679" s="55" t="s">
        <v>216</v>
      </c>
      <c r="BB4679" s="55" t="s">
        <v>2082</v>
      </c>
      <c r="BC4679" s="55" t="s">
        <v>2082</v>
      </c>
      <c r="BD4679" s="55" t="s">
        <v>176</v>
      </c>
      <c r="BK4679" s="55" t="s">
        <v>6269</v>
      </c>
      <c r="BN4679" s="55">
        <v>6</v>
      </c>
      <c r="BO4679" s="55">
        <v>6</v>
      </c>
      <c r="BQ4679" s="55" t="s">
        <v>141</v>
      </c>
      <c r="BW4679" s="65">
        <v>65</v>
      </c>
      <c r="BX4679" s="65">
        <v>69</v>
      </c>
      <c r="CA4679" s="65" t="s">
        <v>4611</v>
      </c>
      <c r="CB4679" s="66">
        <v>13130</v>
      </c>
      <c r="CC4679" s="66">
        <v>12330</v>
      </c>
      <c r="CG4679" s="65" t="s">
        <v>4569</v>
      </c>
      <c r="GP4679" s="292" t="s">
        <v>7494</v>
      </c>
    </row>
    <row r="4680" spans="1:281" x14ac:dyDescent="0.25">
      <c r="A4680" s="55">
        <v>4679</v>
      </c>
      <c r="B4680" s="12" t="s">
        <v>7067</v>
      </c>
      <c r="C4680" s="155">
        <v>202</v>
      </c>
      <c r="D4680" s="55" t="s">
        <v>4613</v>
      </c>
      <c r="E4680" s="90" t="s">
        <v>4572</v>
      </c>
      <c r="G4680" s="55" t="s">
        <v>4574</v>
      </c>
      <c r="H4680" s="55">
        <v>2014</v>
      </c>
      <c r="I4680" s="55">
        <v>2010</v>
      </c>
      <c r="J4680" s="55" t="s">
        <v>4573</v>
      </c>
      <c r="K4680" s="55" t="s">
        <v>4576</v>
      </c>
      <c r="L4680" s="55" t="s">
        <v>2737</v>
      </c>
      <c r="M4680" s="90">
        <v>37.43</v>
      </c>
      <c r="N4680" s="90">
        <v>-88.6</v>
      </c>
      <c r="O4680" s="90">
        <v>140</v>
      </c>
      <c r="U4680" s="55" t="s">
        <v>1679</v>
      </c>
      <c r="V4680" s="55" t="s">
        <v>1889</v>
      </c>
      <c r="Y4680" s="55" t="s">
        <v>4575</v>
      </c>
      <c r="Z4680" s="55" t="s">
        <v>1349</v>
      </c>
      <c r="AA4680" s="90" t="s">
        <v>1677</v>
      </c>
      <c r="AH4680" s="55" t="s">
        <v>6378</v>
      </c>
      <c r="AM4680" s="55" t="s">
        <v>4582</v>
      </c>
      <c r="AN4680" s="185" t="s">
        <v>4587</v>
      </c>
      <c r="AO4680" s="185" t="s">
        <v>5150</v>
      </c>
      <c r="AQ4680" s="55" t="s">
        <v>4584</v>
      </c>
      <c r="AR4680" s="55" t="s">
        <v>4585</v>
      </c>
      <c r="AS4680" s="55" t="s">
        <v>4584</v>
      </c>
      <c r="AT4680" s="181" t="s">
        <v>912</v>
      </c>
      <c r="AU4680" s="181" t="s">
        <v>5150</v>
      </c>
      <c r="AV4680" s="185" t="s">
        <v>176</v>
      </c>
      <c r="AW4680" s="55" t="s">
        <v>912</v>
      </c>
      <c r="AX4680" s="185" t="s">
        <v>176</v>
      </c>
      <c r="AY4680" s="55" t="s">
        <v>176</v>
      </c>
      <c r="AZ4680" s="55" t="s">
        <v>550</v>
      </c>
      <c r="BA4680" s="55" t="s">
        <v>550</v>
      </c>
      <c r="BB4680" s="55" t="s">
        <v>4499</v>
      </c>
      <c r="BC4680" s="55" t="s">
        <v>4499</v>
      </c>
      <c r="BD4680" s="55" t="s">
        <v>176</v>
      </c>
      <c r="BK4680" s="55" t="s">
        <v>6983</v>
      </c>
      <c r="BN4680" s="55">
        <v>6</v>
      </c>
      <c r="BO4680" s="55">
        <v>6</v>
      </c>
      <c r="BQ4680" s="55" t="s">
        <v>141</v>
      </c>
      <c r="BW4680" s="65">
        <v>66</v>
      </c>
      <c r="BX4680" s="65">
        <v>66</v>
      </c>
      <c r="CA4680" s="65" t="s">
        <v>4611</v>
      </c>
      <c r="CB4680" s="66">
        <v>13610</v>
      </c>
      <c r="CC4680" s="66">
        <v>12640</v>
      </c>
      <c r="CG4680" s="65" t="s">
        <v>4569</v>
      </c>
      <c r="GP4680" s="292" t="s">
        <v>7494</v>
      </c>
    </row>
    <row r="4681" spans="1:281" x14ac:dyDescent="0.25">
      <c r="A4681" s="55">
        <v>4680</v>
      </c>
      <c r="B4681" s="12" t="s">
        <v>7067</v>
      </c>
      <c r="C4681" s="155">
        <v>202</v>
      </c>
      <c r="D4681" s="55" t="s">
        <v>4614</v>
      </c>
      <c r="E4681" s="90" t="s">
        <v>4572</v>
      </c>
      <c r="G4681" s="55" t="s">
        <v>4574</v>
      </c>
      <c r="H4681" s="55">
        <v>2014</v>
      </c>
      <c r="I4681" s="55">
        <v>2010</v>
      </c>
      <c r="J4681" s="55" t="s">
        <v>4573</v>
      </c>
      <c r="K4681" s="55" t="s">
        <v>4576</v>
      </c>
      <c r="L4681" s="55" t="s">
        <v>2737</v>
      </c>
      <c r="M4681" s="90">
        <v>37.43</v>
      </c>
      <c r="N4681" s="90">
        <v>-88.6</v>
      </c>
      <c r="O4681" s="90">
        <v>140</v>
      </c>
      <c r="U4681" s="55" t="s">
        <v>1679</v>
      </c>
      <c r="V4681" s="55" t="s">
        <v>1889</v>
      </c>
      <c r="Y4681" s="55" t="s">
        <v>4575</v>
      </c>
      <c r="Z4681" s="55" t="s">
        <v>1349</v>
      </c>
      <c r="AA4681" s="90" t="s">
        <v>1677</v>
      </c>
      <c r="AH4681" s="55" t="s">
        <v>6378</v>
      </c>
      <c r="AM4681" s="55" t="s">
        <v>4582</v>
      </c>
      <c r="AN4681" s="185" t="s">
        <v>4587</v>
      </c>
      <c r="AO4681" s="185" t="s">
        <v>5150</v>
      </c>
      <c r="AQ4681" s="55" t="s">
        <v>4584</v>
      </c>
      <c r="AR4681" s="55" t="s">
        <v>4585</v>
      </c>
      <c r="AS4681" s="55" t="s">
        <v>4584</v>
      </c>
      <c r="AT4681" s="181" t="s">
        <v>912</v>
      </c>
      <c r="AU4681" s="181" t="s">
        <v>5150</v>
      </c>
      <c r="AV4681" s="185" t="s">
        <v>176</v>
      </c>
      <c r="AW4681" s="55" t="s">
        <v>912</v>
      </c>
      <c r="AX4681" s="185" t="s">
        <v>176</v>
      </c>
      <c r="AY4681" s="55" t="s">
        <v>176</v>
      </c>
      <c r="AZ4681" s="55" t="s">
        <v>4593</v>
      </c>
      <c r="BA4681" s="55" t="s">
        <v>4593</v>
      </c>
      <c r="BB4681" s="55" t="s">
        <v>2081</v>
      </c>
      <c r="BC4681" s="55" t="s">
        <v>2081</v>
      </c>
      <c r="BD4681" s="55" t="s">
        <v>176</v>
      </c>
      <c r="BK4681" s="55" t="s">
        <v>5976</v>
      </c>
      <c r="BN4681" s="55">
        <v>6</v>
      </c>
      <c r="BO4681" s="55">
        <v>6</v>
      </c>
      <c r="BQ4681" s="55" t="s">
        <v>141</v>
      </c>
      <c r="BW4681" s="65">
        <v>64</v>
      </c>
      <c r="BX4681" s="65">
        <v>68</v>
      </c>
      <c r="CA4681" s="65" t="s">
        <v>4611</v>
      </c>
      <c r="CB4681" s="66">
        <v>14030</v>
      </c>
      <c r="CC4681" s="66">
        <v>13970</v>
      </c>
      <c r="CG4681" s="65" t="s">
        <v>4569</v>
      </c>
      <c r="GP4681" s="292" t="s">
        <v>7494</v>
      </c>
    </row>
    <row r="4682" spans="1:281" x14ac:dyDescent="0.25">
      <c r="A4682" s="55">
        <v>4681</v>
      </c>
      <c r="B4682" s="12" t="s">
        <v>7067</v>
      </c>
      <c r="C4682" s="155">
        <v>202</v>
      </c>
      <c r="D4682" s="55" t="s">
        <v>4612</v>
      </c>
      <c r="E4682" s="90" t="s">
        <v>4572</v>
      </c>
      <c r="G4682" s="55" t="s">
        <v>4574</v>
      </c>
      <c r="H4682" s="55">
        <v>2014</v>
      </c>
      <c r="I4682" s="55">
        <v>2012</v>
      </c>
      <c r="J4682" s="55" t="s">
        <v>4573</v>
      </c>
      <c r="K4682" s="55" t="s">
        <v>4576</v>
      </c>
      <c r="L4682" s="55" t="s">
        <v>2737</v>
      </c>
      <c r="M4682" s="90">
        <v>37.43</v>
      </c>
      <c r="N4682" s="90">
        <v>-88.6</v>
      </c>
      <c r="O4682" s="90">
        <v>140</v>
      </c>
      <c r="U4682" s="55" t="s">
        <v>1889</v>
      </c>
      <c r="V4682" s="55" t="s">
        <v>1889</v>
      </c>
      <c r="Y4682" s="55" t="s">
        <v>4575</v>
      </c>
      <c r="Z4682" s="55" t="s">
        <v>1349</v>
      </c>
      <c r="AA4682" s="90" t="s">
        <v>1677</v>
      </c>
      <c r="AH4682" s="55" t="s">
        <v>6378</v>
      </c>
      <c r="AM4682" s="55" t="s">
        <v>4582</v>
      </c>
      <c r="AN4682" s="185" t="s">
        <v>4587</v>
      </c>
      <c r="AO4682" s="185" t="s">
        <v>5150</v>
      </c>
      <c r="AQ4682" s="55" t="s">
        <v>4584</v>
      </c>
      <c r="AR4682" s="55" t="s">
        <v>4585</v>
      </c>
      <c r="AS4682" s="55" t="s">
        <v>4584</v>
      </c>
      <c r="AT4682" s="181" t="s">
        <v>912</v>
      </c>
      <c r="AU4682" s="181" t="s">
        <v>5150</v>
      </c>
      <c r="AV4682" s="185" t="s">
        <v>176</v>
      </c>
      <c r="AW4682" s="55" t="s">
        <v>912</v>
      </c>
      <c r="AX4682" s="185" t="s">
        <v>176</v>
      </c>
      <c r="AY4682" s="55" t="s">
        <v>176</v>
      </c>
      <c r="AZ4682" s="55" t="s">
        <v>216</v>
      </c>
      <c r="BA4682" s="55" t="s">
        <v>216</v>
      </c>
      <c r="BB4682" s="55" t="s">
        <v>2082</v>
      </c>
      <c r="BC4682" s="55" t="s">
        <v>2082</v>
      </c>
      <c r="BD4682" s="55" t="s">
        <v>176</v>
      </c>
      <c r="BK4682" s="55" t="s">
        <v>6269</v>
      </c>
      <c r="BN4682" s="55">
        <v>6</v>
      </c>
      <c r="BO4682" s="55">
        <v>6</v>
      </c>
      <c r="BQ4682" s="55" t="s">
        <v>141</v>
      </c>
      <c r="BW4682" s="65">
        <v>75</v>
      </c>
      <c r="BX4682" s="65">
        <v>76</v>
      </c>
      <c r="CA4682" s="65" t="s">
        <v>4611</v>
      </c>
      <c r="CB4682" s="66">
        <v>6130</v>
      </c>
      <c r="CC4682" s="66">
        <v>6100</v>
      </c>
      <c r="CG4682" s="65" t="s">
        <v>4569</v>
      </c>
      <c r="GP4682" s="292" t="s">
        <v>7494</v>
      </c>
    </row>
    <row r="4683" spans="1:281" x14ac:dyDescent="0.25">
      <c r="A4683" s="55">
        <v>4682</v>
      </c>
      <c r="B4683" s="12" t="s">
        <v>7067</v>
      </c>
      <c r="C4683" s="155">
        <v>202</v>
      </c>
      <c r="D4683" s="55" t="s">
        <v>4613</v>
      </c>
      <c r="E4683" s="90" t="s">
        <v>4572</v>
      </c>
      <c r="G4683" s="55" t="s">
        <v>4574</v>
      </c>
      <c r="H4683" s="55">
        <v>2014</v>
      </c>
      <c r="I4683" s="55">
        <v>2012</v>
      </c>
      <c r="J4683" s="55" t="s">
        <v>4573</v>
      </c>
      <c r="K4683" s="55" t="s">
        <v>4576</v>
      </c>
      <c r="L4683" s="55" t="s">
        <v>2737</v>
      </c>
      <c r="M4683" s="90">
        <v>37.43</v>
      </c>
      <c r="N4683" s="90">
        <v>-88.6</v>
      </c>
      <c r="O4683" s="90">
        <v>140</v>
      </c>
      <c r="U4683" s="55" t="s">
        <v>1889</v>
      </c>
      <c r="V4683" s="55" t="s">
        <v>1889</v>
      </c>
      <c r="Y4683" s="55" t="s">
        <v>4575</v>
      </c>
      <c r="Z4683" s="55" t="s">
        <v>1349</v>
      </c>
      <c r="AA4683" s="90" t="s">
        <v>1677</v>
      </c>
      <c r="AH4683" s="55" t="s">
        <v>6378</v>
      </c>
      <c r="AM4683" s="55" t="s">
        <v>4582</v>
      </c>
      <c r="AN4683" s="185" t="s">
        <v>4587</v>
      </c>
      <c r="AO4683" s="185" t="s">
        <v>5150</v>
      </c>
      <c r="AQ4683" s="55" t="s">
        <v>4584</v>
      </c>
      <c r="AR4683" s="55" t="s">
        <v>4585</v>
      </c>
      <c r="AS4683" s="55" t="s">
        <v>4584</v>
      </c>
      <c r="AT4683" s="181" t="s">
        <v>912</v>
      </c>
      <c r="AU4683" s="181" t="s">
        <v>5150</v>
      </c>
      <c r="AV4683" s="185" t="s">
        <v>176</v>
      </c>
      <c r="AW4683" s="55" t="s">
        <v>912</v>
      </c>
      <c r="AX4683" s="185" t="s">
        <v>176</v>
      </c>
      <c r="AY4683" s="55" t="s">
        <v>176</v>
      </c>
      <c r="AZ4683" s="55" t="s">
        <v>550</v>
      </c>
      <c r="BA4683" s="55" t="s">
        <v>550</v>
      </c>
      <c r="BB4683" s="55" t="s">
        <v>4499</v>
      </c>
      <c r="BC4683" s="55" t="s">
        <v>4499</v>
      </c>
      <c r="BD4683" s="55" t="s">
        <v>176</v>
      </c>
      <c r="BK4683" s="55" t="s">
        <v>6983</v>
      </c>
      <c r="BN4683" s="55">
        <v>6</v>
      </c>
      <c r="BO4683" s="55">
        <v>6</v>
      </c>
      <c r="BQ4683" s="55" t="s">
        <v>141</v>
      </c>
      <c r="BW4683" s="65">
        <v>69</v>
      </c>
      <c r="BX4683" s="65">
        <v>66</v>
      </c>
      <c r="CA4683" s="65" t="s">
        <v>4611</v>
      </c>
      <c r="CB4683" s="66">
        <v>6850</v>
      </c>
      <c r="CC4683" s="66">
        <v>7030</v>
      </c>
      <c r="CG4683" s="65" t="s">
        <v>4569</v>
      </c>
      <c r="GP4683" s="292" t="s">
        <v>7494</v>
      </c>
    </row>
    <row r="4684" spans="1:281" x14ac:dyDescent="0.25">
      <c r="A4684" s="55">
        <v>4683</v>
      </c>
      <c r="B4684" s="12" t="s">
        <v>7067</v>
      </c>
      <c r="C4684" s="155">
        <v>202</v>
      </c>
      <c r="D4684" s="55" t="s">
        <v>4614</v>
      </c>
      <c r="E4684" s="90" t="s">
        <v>4572</v>
      </c>
      <c r="G4684" s="55" t="s">
        <v>4574</v>
      </c>
      <c r="H4684" s="55">
        <v>2014</v>
      </c>
      <c r="I4684" s="55">
        <v>2012</v>
      </c>
      <c r="J4684" s="55" t="s">
        <v>4573</v>
      </c>
      <c r="K4684" s="55" t="s">
        <v>4576</v>
      </c>
      <c r="L4684" s="55" t="s">
        <v>2737</v>
      </c>
      <c r="M4684" s="90">
        <v>37.43</v>
      </c>
      <c r="N4684" s="90">
        <v>-88.6</v>
      </c>
      <c r="O4684" s="90">
        <v>140</v>
      </c>
      <c r="U4684" s="55" t="s">
        <v>1889</v>
      </c>
      <c r="V4684" s="55" t="s">
        <v>1889</v>
      </c>
      <c r="Y4684" s="55" t="s">
        <v>4575</v>
      </c>
      <c r="Z4684" s="55" t="s">
        <v>1349</v>
      </c>
      <c r="AA4684" s="90" t="s">
        <v>1677</v>
      </c>
      <c r="AH4684" s="55" t="s">
        <v>6378</v>
      </c>
      <c r="AM4684" s="55" t="s">
        <v>4582</v>
      </c>
      <c r="AN4684" s="185" t="s">
        <v>4587</v>
      </c>
      <c r="AO4684" s="185" t="s">
        <v>5150</v>
      </c>
      <c r="AQ4684" s="55" t="s">
        <v>4584</v>
      </c>
      <c r="AR4684" s="55" t="s">
        <v>4585</v>
      </c>
      <c r="AS4684" s="55" t="s">
        <v>4584</v>
      </c>
      <c r="AT4684" s="181" t="s">
        <v>912</v>
      </c>
      <c r="AU4684" s="181" t="s">
        <v>5150</v>
      </c>
      <c r="AV4684" s="185" t="s">
        <v>176</v>
      </c>
      <c r="AW4684" s="55" t="s">
        <v>912</v>
      </c>
      <c r="AX4684" s="185" t="s">
        <v>176</v>
      </c>
      <c r="AY4684" s="55" t="s">
        <v>176</v>
      </c>
      <c r="AZ4684" s="55" t="s">
        <v>4593</v>
      </c>
      <c r="BA4684" s="55" t="s">
        <v>4593</v>
      </c>
      <c r="BB4684" s="55" t="s">
        <v>2081</v>
      </c>
      <c r="BC4684" s="55" t="s">
        <v>2081</v>
      </c>
      <c r="BD4684" s="55" t="s">
        <v>176</v>
      </c>
      <c r="BK4684" s="55" t="s">
        <v>5976</v>
      </c>
      <c r="BN4684" s="55">
        <v>6</v>
      </c>
      <c r="BO4684" s="55">
        <v>6</v>
      </c>
      <c r="BQ4684" s="55" t="s">
        <v>141</v>
      </c>
      <c r="BW4684" s="65">
        <v>62</v>
      </c>
      <c r="BX4684" s="65">
        <v>61</v>
      </c>
      <c r="CA4684" s="65" t="s">
        <v>4611</v>
      </c>
      <c r="CB4684" s="66">
        <v>7680</v>
      </c>
      <c r="CC4684" s="66">
        <v>6490</v>
      </c>
      <c r="CG4684" s="65" t="s">
        <v>4569</v>
      </c>
      <c r="GP4684" s="292" t="s">
        <v>7494</v>
      </c>
    </row>
    <row r="4685" spans="1:281" x14ac:dyDescent="0.25">
      <c r="A4685" s="55">
        <v>4684</v>
      </c>
      <c r="B4685" s="12" t="s">
        <v>7067</v>
      </c>
      <c r="C4685" s="155">
        <v>203</v>
      </c>
      <c r="D4685" s="55" t="s">
        <v>4619</v>
      </c>
      <c r="E4685" s="90" t="s">
        <v>4615</v>
      </c>
      <c r="G4685" s="55" t="s">
        <v>4616</v>
      </c>
      <c r="H4685" s="55">
        <v>2017</v>
      </c>
      <c r="I4685" s="55">
        <v>2015</v>
      </c>
      <c r="J4685" s="55" t="s">
        <v>4514</v>
      </c>
      <c r="K4685" s="55" t="s">
        <v>4618</v>
      </c>
      <c r="L4685" s="55" t="s">
        <v>2741</v>
      </c>
      <c r="M4685" s="90">
        <f>45+35/60</f>
        <v>45.583333333333336</v>
      </c>
      <c r="N4685" s="90">
        <f>12+10/60</f>
        <v>12.166666666666666</v>
      </c>
      <c r="O4685" s="90">
        <v>100</v>
      </c>
      <c r="S4685" s="90">
        <f>AVERAGE(829,846,859,673)</f>
        <v>801.75</v>
      </c>
      <c r="U4685" s="55" t="s">
        <v>1682</v>
      </c>
      <c r="V4685" s="55" t="s">
        <v>1682</v>
      </c>
      <c r="Y4685" s="55" t="s">
        <v>4617</v>
      </c>
      <c r="Z4685" s="55" t="s">
        <v>4620</v>
      </c>
      <c r="AA4685" s="90" t="s">
        <v>4621</v>
      </c>
      <c r="AH4685" s="55" t="s">
        <v>6378</v>
      </c>
      <c r="AN4685" s="185" t="s">
        <v>1023</v>
      </c>
      <c r="AO4685" s="185" t="s">
        <v>5150</v>
      </c>
      <c r="AQ4685" s="55" t="s">
        <v>1545</v>
      </c>
      <c r="AR4685" s="55" t="s">
        <v>4623</v>
      </c>
      <c r="AS4685" s="55" t="s">
        <v>4584</v>
      </c>
      <c r="AT4685" s="181" t="s">
        <v>4622</v>
      </c>
      <c r="AU4685" s="181" t="s">
        <v>5150</v>
      </c>
      <c r="AV4685" s="185" t="s">
        <v>479</v>
      </c>
      <c r="AW4685" s="55" t="s">
        <v>4622</v>
      </c>
      <c r="AX4685" s="185" t="s">
        <v>479</v>
      </c>
      <c r="AY4685" s="55" t="s">
        <v>176</v>
      </c>
      <c r="AZ4685" s="55" t="s">
        <v>4530</v>
      </c>
      <c r="BA4685" s="55" t="s">
        <v>216</v>
      </c>
      <c r="BB4685" s="55" t="s">
        <v>2081</v>
      </c>
      <c r="BC4685" s="55" t="s">
        <v>2082</v>
      </c>
      <c r="BD4685" s="55" t="s">
        <v>479</v>
      </c>
      <c r="BK4685" s="55" t="s">
        <v>6269</v>
      </c>
      <c r="EP4685" s="65">
        <v>33.1</v>
      </c>
      <c r="EQ4685" s="65">
        <v>32.799999999999997</v>
      </c>
      <c r="ER4685" s="65">
        <f>9.13*0.001*100</f>
        <v>0.91300000000000014</v>
      </c>
      <c r="ES4685" s="65">
        <v>1.1599999999999999</v>
      </c>
      <c r="ET4685" s="65" t="s">
        <v>4624</v>
      </c>
      <c r="GP4685" s="292" t="s">
        <v>7494</v>
      </c>
    </row>
    <row r="4686" spans="1:281" x14ac:dyDescent="0.25">
      <c r="A4686" s="55">
        <v>4685</v>
      </c>
      <c r="B4686" s="12" t="s">
        <v>7067</v>
      </c>
      <c r="C4686" s="155">
        <v>204</v>
      </c>
      <c r="D4686" s="55" t="s">
        <v>4625</v>
      </c>
      <c r="E4686" s="90" t="s">
        <v>4626</v>
      </c>
      <c r="G4686" s="55" t="s">
        <v>4627</v>
      </c>
      <c r="H4686" s="55">
        <v>2008</v>
      </c>
      <c r="I4686" s="55">
        <v>1985</v>
      </c>
      <c r="J4686" s="55" t="s">
        <v>4514</v>
      </c>
      <c r="K4686" s="55" t="s">
        <v>4629</v>
      </c>
      <c r="L4686" s="55" t="s">
        <v>2737</v>
      </c>
      <c r="M4686" s="90">
        <v>40.270000000000003</v>
      </c>
      <c r="N4686" s="90">
        <v>-81.95</v>
      </c>
      <c r="O4686" s="90">
        <v>275</v>
      </c>
      <c r="U4686" s="55" t="s">
        <v>1935</v>
      </c>
      <c r="V4686" s="55" t="s">
        <v>1818</v>
      </c>
      <c r="Y4686" s="55" t="s">
        <v>4628</v>
      </c>
      <c r="AH4686" s="55" t="s">
        <v>399</v>
      </c>
      <c r="AM4686" s="55" t="s">
        <v>4630</v>
      </c>
      <c r="AN4686" s="185" t="s">
        <v>131</v>
      </c>
      <c r="AO4686" s="185" t="s">
        <v>5150</v>
      </c>
      <c r="AQ4686" s="55" t="s">
        <v>131</v>
      </c>
      <c r="AR4686" s="55" t="s">
        <v>132</v>
      </c>
      <c r="AS4686" s="55" t="s">
        <v>132</v>
      </c>
      <c r="AT4686" s="181" t="s">
        <v>658</v>
      </c>
      <c r="AU4686" s="181" t="s">
        <v>5150</v>
      </c>
      <c r="AV4686" s="185" t="s">
        <v>176</v>
      </c>
      <c r="AW4686" s="55" t="s">
        <v>658</v>
      </c>
      <c r="AX4686" s="185" t="s">
        <v>176</v>
      </c>
      <c r="AY4686" s="55" t="s">
        <v>176</v>
      </c>
      <c r="AZ4686" s="55" t="s">
        <v>550</v>
      </c>
      <c r="BA4686" s="55" t="s">
        <v>216</v>
      </c>
      <c r="BB4686" s="55" t="s">
        <v>4499</v>
      </c>
      <c r="BC4686" s="55" t="s">
        <v>2082</v>
      </c>
      <c r="BD4686" s="55" t="s">
        <v>479</v>
      </c>
      <c r="BK4686" s="55" t="s">
        <v>6269</v>
      </c>
      <c r="FJ4686" s="65">
        <f>1/1000*90</f>
        <v>0.09</v>
      </c>
      <c r="FK4686" s="65">
        <f>1/1000*150</f>
        <v>0.15</v>
      </c>
      <c r="FN4686" s="65" t="s">
        <v>2215</v>
      </c>
      <c r="FO4686" s="65">
        <v>50</v>
      </c>
      <c r="FP4686" s="65">
        <v>45</v>
      </c>
      <c r="FS4686" s="65" t="s">
        <v>637</v>
      </c>
      <c r="FT4686" s="65">
        <v>33</v>
      </c>
      <c r="FU4686" s="65">
        <v>31</v>
      </c>
      <c r="FX4686" s="65" t="s">
        <v>4632</v>
      </c>
      <c r="GP4686" s="292" t="s">
        <v>7494</v>
      </c>
      <c r="JU4686" s="55" t="s">
        <v>4631</v>
      </c>
    </row>
    <row r="4687" spans="1:281" x14ac:dyDescent="0.25">
      <c r="A4687" s="55">
        <v>4686</v>
      </c>
      <c r="B4687" s="12" t="s">
        <v>7067</v>
      </c>
      <c r="C4687" s="155">
        <v>204</v>
      </c>
      <c r="D4687" s="55" t="s">
        <v>4625</v>
      </c>
      <c r="E4687" s="90" t="s">
        <v>4626</v>
      </c>
      <c r="G4687" s="55" t="s">
        <v>4627</v>
      </c>
      <c r="H4687" s="55">
        <v>2008</v>
      </c>
      <c r="I4687" s="55">
        <v>1986</v>
      </c>
      <c r="J4687" s="55" t="s">
        <v>4514</v>
      </c>
      <c r="K4687" s="55" t="s">
        <v>4629</v>
      </c>
      <c r="L4687" s="55" t="s">
        <v>2737</v>
      </c>
      <c r="M4687" s="90">
        <v>40.270000000000003</v>
      </c>
      <c r="N4687" s="90">
        <v>-81.95</v>
      </c>
      <c r="O4687" s="90">
        <v>275</v>
      </c>
      <c r="U4687" s="55" t="s">
        <v>1805</v>
      </c>
      <c r="V4687" s="55" t="s">
        <v>1818</v>
      </c>
      <c r="Y4687" s="55" t="s">
        <v>4628</v>
      </c>
      <c r="AH4687" s="55" t="s">
        <v>399</v>
      </c>
      <c r="AM4687" s="55" t="s">
        <v>4630</v>
      </c>
      <c r="AN4687" s="185" t="s">
        <v>131</v>
      </c>
      <c r="AO4687" s="185" t="s">
        <v>5150</v>
      </c>
      <c r="AQ4687" s="55" t="s">
        <v>131</v>
      </c>
      <c r="AR4687" s="55" t="s">
        <v>158</v>
      </c>
      <c r="AS4687" s="55" t="s">
        <v>158</v>
      </c>
      <c r="AT4687" s="181" t="s">
        <v>658</v>
      </c>
      <c r="AU4687" s="181" t="s">
        <v>5150</v>
      </c>
      <c r="AV4687" s="185" t="s">
        <v>176</v>
      </c>
      <c r="AW4687" s="55" t="s">
        <v>658</v>
      </c>
      <c r="AX4687" s="185" t="s">
        <v>176</v>
      </c>
      <c r="AY4687" s="55" t="s">
        <v>176</v>
      </c>
      <c r="AZ4687" s="55" t="s">
        <v>550</v>
      </c>
      <c r="BA4687" s="55" t="s">
        <v>216</v>
      </c>
      <c r="BB4687" s="55" t="s">
        <v>4499</v>
      </c>
      <c r="BC4687" s="55" t="s">
        <v>2082</v>
      </c>
      <c r="BD4687" s="55" t="s">
        <v>479</v>
      </c>
      <c r="BK4687" s="55" t="s">
        <v>6269</v>
      </c>
      <c r="FJ4687" s="65">
        <f>1/1000*1830</f>
        <v>1.83</v>
      </c>
      <c r="FK4687" s="65">
        <f>1/1000*180</f>
        <v>0.18</v>
      </c>
      <c r="FN4687" s="65" t="s">
        <v>2215</v>
      </c>
      <c r="FO4687" s="65">
        <v>49</v>
      </c>
      <c r="FP4687" s="65">
        <v>33</v>
      </c>
      <c r="FS4687" s="65" t="s">
        <v>637</v>
      </c>
      <c r="FT4687" s="65">
        <v>44</v>
      </c>
      <c r="FU4687" s="65">
        <v>16</v>
      </c>
      <c r="FX4687" s="65" t="s">
        <v>4632</v>
      </c>
      <c r="GP4687" s="292" t="s">
        <v>7494</v>
      </c>
      <c r="JU4687" s="55" t="s">
        <v>4631</v>
      </c>
    </row>
    <row r="4688" spans="1:281" x14ac:dyDescent="0.25">
      <c r="A4688" s="55">
        <v>4687</v>
      </c>
      <c r="B4688" s="12" t="s">
        <v>7067</v>
      </c>
      <c r="C4688" s="155">
        <v>204</v>
      </c>
      <c r="D4688" s="55" t="s">
        <v>4625</v>
      </c>
      <c r="E4688" s="90" t="s">
        <v>4626</v>
      </c>
      <c r="G4688" s="55" t="s">
        <v>4627</v>
      </c>
      <c r="H4688" s="55">
        <v>2008</v>
      </c>
      <c r="I4688" s="55">
        <v>1987</v>
      </c>
      <c r="J4688" s="55" t="s">
        <v>4514</v>
      </c>
      <c r="K4688" s="55" t="s">
        <v>4629</v>
      </c>
      <c r="L4688" s="55" t="s">
        <v>2737</v>
      </c>
      <c r="M4688" s="90">
        <v>40.270000000000003</v>
      </c>
      <c r="N4688" s="90">
        <v>-81.95</v>
      </c>
      <c r="O4688" s="90">
        <v>275</v>
      </c>
      <c r="U4688" s="55" t="s">
        <v>1688</v>
      </c>
      <c r="V4688" s="55" t="s">
        <v>1818</v>
      </c>
      <c r="Y4688" s="55" t="s">
        <v>4628</v>
      </c>
      <c r="AH4688" s="55" t="s">
        <v>399</v>
      </c>
      <c r="AM4688" s="55" t="s">
        <v>4630</v>
      </c>
      <c r="AN4688" s="185" t="s">
        <v>131</v>
      </c>
      <c r="AO4688" s="185" t="s">
        <v>5150</v>
      </c>
      <c r="AQ4688" s="55" t="s">
        <v>131</v>
      </c>
      <c r="AR4688" s="55" t="s">
        <v>132</v>
      </c>
      <c r="AS4688" s="55" t="s">
        <v>132</v>
      </c>
      <c r="AT4688" s="181" t="s">
        <v>658</v>
      </c>
      <c r="AU4688" s="181" t="s">
        <v>5150</v>
      </c>
      <c r="AV4688" s="185" t="s">
        <v>176</v>
      </c>
      <c r="AW4688" s="55" t="s">
        <v>658</v>
      </c>
      <c r="AX4688" s="185" t="s">
        <v>176</v>
      </c>
      <c r="AY4688" s="55" t="s">
        <v>176</v>
      </c>
      <c r="AZ4688" s="55" t="s">
        <v>550</v>
      </c>
      <c r="BA4688" s="55" t="s">
        <v>216</v>
      </c>
      <c r="BB4688" s="55" t="s">
        <v>4499</v>
      </c>
      <c r="BC4688" s="55" t="s">
        <v>2082</v>
      </c>
      <c r="BD4688" s="55" t="s">
        <v>479</v>
      </c>
      <c r="BK4688" s="55" t="s">
        <v>6269</v>
      </c>
      <c r="FJ4688" s="65">
        <f>1/1000*70</f>
        <v>7.0000000000000007E-2</v>
      </c>
      <c r="FK4688" s="65">
        <f>1/1000*170</f>
        <v>0.17</v>
      </c>
      <c r="FN4688" s="65" t="s">
        <v>2215</v>
      </c>
      <c r="FO4688" s="65">
        <v>14</v>
      </c>
      <c r="FP4688" s="65">
        <v>14</v>
      </c>
      <c r="FS4688" s="65" t="s">
        <v>637</v>
      </c>
      <c r="FT4688" s="65">
        <v>5</v>
      </c>
      <c r="FU4688" s="65">
        <v>9</v>
      </c>
      <c r="FX4688" s="65" t="s">
        <v>4632</v>
      </c>
      <c r="GP4688" s="292" t="s">
        <v>7494</v>
      </c>
      <c r="JU4688" s="55" t="s">
        <v>4631</v>
      </c>
    </row>
    <row r="4689" spans="1:283" x14ac:dyDescent="0.25">
      <c r="A4689" s="55">
        <v>4688</v>
      </c>
      <c r="B4689" s="12" t="s">
        <v>7067</v>
      </c>
      <c r="C4689" s="155">
        <v>204</v>
      </c>
      <c r="D4689" s="55" t="s">
        <v>4625</v>
      </c>
      <c r="E4689" s="90" t="s">
        <v>4626</v>
      </c>
      <c r="G4689" s="55" t="s">
        <v>4627</v>
      </c>
      <c r="H4689" s="55">
        <v>2008</v>
      </c>
      <c r="I4689" s="55">
        <v>1988</v>
      </c>
      <c r="J4689" s="55" t="s">
        <v>4514</v>
      </c>
      <c r="K4689" s="55" t="s">
        <v>4629</v>
      </c>
      <c r="L4689" s="55" t="s">
        <v>2737</v>
      </c>
      <c r="M4689" s="90">
        <v>40.270000000000003</v>
      </c>
      <c r="N4689" s="90">
        <v>-81.95</v>
      </c>
      <c r="O4689" s="90">
        <v>275</v>
      </c>
      <c r="U4689" s="55" t="s">
        <v>1816</v>
      </c>
      <c r="V4689" s="55" t="s">
        <v>1818</v>
      </c>
      <c r="Y4689" s="55" t="s">
        <v>4628</v>
      </c>
      <c r="AH4689" s="55" t="s">
        <v>399</v>
      </c>
      <c r="AM4689" s="55" t="s">
        <v>4630</v>
      </c>
      <c r="AN4689" s="185" t="s">
        <v>131</v>
      </c>
      <c r="AO4689" s="185" t="s">
        <v>5150</v>
      </c>
      <c r="AQ4689" s="55" t="s">
        <v>131</v>
      </c>
      <c r="AR4689" s="55" t="s">
        <v>158</v>
      </c>
      <c r="AS4689" s="55" t="s">
        <v>158</v>
      </c>
      <c r="AT4689" s="181" t="s">
        <v>658</v>
      </c>
      <c r="AU4689" s="181" t="s">
        <v>5150</v>
      </c>
      <c r="AV4689" s="185" t="s">
        <v>176</v>
      </c>
      <c r="AW4689" s="55" t="s">
        <v>658</v>
      </c>
      <c r="AX4689" s="185" t="s">
        <v>176</v>
      </c>
      <c r="AY4689" s="55" t="s">
        <v>176</v>
      </c>
      <c r="AZ4689" s="55" t="s">
        <v>550</v>
      </c>
      <c r="BA4689" s="55" t="s">
        <v>216</v>
      </c>
      <c r="BB4689" s="55" t="s">
        <v>4499</v>
      </c>
      <c r="BC4689" s="55" t="s">
        <v>2082</v>
      </c>
      <c r="BD4689" s="55" t="s">
        <v>479</v>
      </c>
      <c r="BK4689" s="55" t="s">
        <v>6269</v>
      </c>
      <c r="FJ4689" s="65">
        <f>1/1000*60</f>
        <v>0.06</v>
      </c>
      <c r="FK4689" s="65">
        <f>1/1000*70</f>
        <v>7.0000000000000007E-2</v>
      </c>
      <c r="FN4689" s="65" t="s">
        <v>2215</v>
      </c>
      <c r="FO4689" s="65">
        <v>32</v>
      </c>
      <c r="FP4689" s="65">
        <v>29</v>
      </c>
      <c r="FS4689" s="65" t="s">
        <v>637</v>
      </c>
      <c r="FT4689" s="65">
        <v>13</v>
      </c>
      <c r="FU4689" s="65">
        <v>14</v>
      </c>
      <c r="FX4689" s="65" t="s">
        <v>4632</v>
      </c>
      <c r="GP4689" s="292" t="s">
        <v>7494</v>
      </c>
      <c r="JU4689" s="55" t="s">
        <v>4631</v>
      </c>
    </row>
    <row r="4690" spans="1:283" x14ac:dyDescent="0.25">
      <c r="A4690" s="55">
        <v>4689</v>
      </c>
      <c r="B4690" s="12" t="s">
        <v>7067</v>
      </c>
      <c r="C4690" s="155">
        <v>204</v>
      </c>
      <c r="D4690" s="55" t="s">
        <v>4625</v>
      </c>
      <c r="E4690" s="90" t="s">
        <v>4626</v>
      </c>
      <c r="G4690" s="55" t="s">
        <v>4627</v>
      </c>
      <c r="H4690" s="55">
        <v>2008</v>
      </c>
      <c r="I4690" s="55">
        <v>1989</v>
      </c>
      <c r="J4690" s="55" t="s">
        <v>4514</v>
      </c>
      <c r="K4690" s="55" t="s">
        <v>4629</v>
      </c>
      <c r="L4690" s="55" t="s">
        <v>2737</v>
      </c>
      <c r="M4690" s="90">
        <v>40.270000000000003</v>
      </c>
      <c r="N4690" s="90">
        <v>-81.95</v>
      </c>
      <c r="O4690" s="90">
        <v>275</v>
      </c>
      <c r="U4690" s="55" t="s">
        <v>1682</v>
      </c>
      <c r="V4690" s="55" t="s">
        <v>1818</v>
      </c>
      <c r="Y4690" s="55" t="s">
        <v>4628</v>
      </c>
      <c r="AH4690" s="55" t="s">
        <v>399</v>
      </c>
      <c r="AM4690" s="55" t="s">
        <v>4630</v>
      </c>
      <c r="AN4690" s="185" t="s">
        <v>131</v>
      </c>
      <c r="AO4690" s="185" t="s">
        <v>5150</v>
      </c>
      <c r="AQ4690" s="55" t="s">
        <v>131</v>
      </c>
      <c r="AR4690" s="55" t="s">
        <v>132</v>
      </c>
      <c r="AS4690" s="55" t="s">
        <v>132</v>
      </c>
      <c r="AT4690" s="181" t="s">
        <v>658</v>
      </c>
      <c r="AU4690" s="181" t="s">
        <v>5150</v>
      </c>
      <c r="AV4690" s="185" t="s">
        <v>176</v>
      </c>
      <c r="AW4690" s="55" t="s">
        <v>658</v>
      </c>
      <c r="AX4690" s="185" t="s">
        <v>176</v>
      </c>
      <c r="AY4690" s="55" t="s">
        <v>176</v>
      </c>
      <c r="AZ4690" s="55" t="s">
        <v>550</v>
      </c>
      <c r="BA4690" s="55" t="s">
        <v>216</v>
      </c>
      <c r="BB4690" s="55" t="s">
        <v>4499</v>
      </c>
      <c r="BC4690" s="55" t="s">
        <v>2082</v>
      </c>
      <c r="BD4690" s="55" t="s">
        <v>479</v>
      </c>
      <c r="BK4690" s="55" t="s">
        <v>6269</v>
      </c>
      <c r="FJ4690" s="65">
        <f>1/1000*800</f>
        <v>0.8</v>
      </c>
      <c r="FK4690" s="65">
        <f>1/1000*2310</f>
        <v>2.31</v>
      </c>
      <c r="FN4690" s="65" t="s">
        <v>2215</v>
      </c>
      <c r="FO4690" s="65">
        <v>46</v>
      </c>
      <c r="FP4690" s="65">
        <v>34</v>
      </c>
      <c r="FS4690" s="65" t="s">
        <v>637</v>
      </c>
      <c r="FT4690" s="65">
        <v>20</v>
      </c>
      <c r="FU4690" s="65">
        <v>28</v>
      </c>
      <c r="FX4690" s="65" t="s">
        <v>4632</v>
      </c>
      <c r="GP4690" s="292" t="s">
        <v>7494</v>
      </c>
      <c r="JU4690" s="55" t="s">
        <v>4631</v>
      </c>
    </row>
    <row r="4691" spans="1:283" x14ac:dyDescent="0.25">
      <c r="A4691" s="55">
        <v>4690</v>
      </c>
      <c r="B4691" s="12" t="s">
        <v>7067</v>
      </c>
      <c r="C4691" s="155">
        <v>204</v>
      </c>
      <c r="D4691" s="55" t="s">
        <v>4625</v>
      </c>
      <c r="E4691" s="90" t="s">
        <v>4626</v>
      </c>
      <c r="G4691" s="55" t="s">
        <v>4627</v>
      </c>
      <c r="H4691" s="55">
        <v>2008</v>
      </c>
      <c r="I4691" s="55">
        <v>1990</v>
      </c>
      <c r="J4691" s="55" t="s">
        <v>4514</v>
      </c>
      <c r="K4691" s="55" t="s">
        <v>4629</v>
      </c>
      <c r="L4691" s="55" t="s">
        <v>2737</v>
      </c>
      <c r="M4691" s="90">
        <v>40.270000000000003</v>
      </c>
      <c r="N4691" s="90">
        <v>-81.95</v>
      </c>
      <c r="O4691" s="90">
        <v>275</v>
      </c>
      <c r="U4691" s="55" t="s">
        <v>1801</v>
      </c>
      <c r="V4691" s="55" t="s">
        <v>1818</v>
      </c>
      <c r="Y4691" s="55" t="s">
        <v>4628</v>
      </c>
      <c r="AH4691" s="55" t="s">
        <v>399</v>
      </c>
      <c r="AM4691" s="55" t="s">
        <v>4630</v>
      </c>
      <c r="AN4691" s="185" t="s">
        <v>131</v>
      </c>
      <c r="AO4691" s="185" t="s">
        <v>5150</v>
      </c>
      <c r="AQ4691" s="55" t="s">
        <v>131</v>
      </c>
      <c r="AR4691" s="55" t="s">
        <v>158</v>
      </c>
      <c r="AS4691" s="55" t="s">
        <v>158</v>
      </c>
      <c r="AT4691" s="181" t="s">
        <v>658</v>
      </c>
      <c r="AU4691" s="181" t="s">
        <v>5150</v>
      </c>
      <c r="AV4691" s="185" t="s">
        <v>176</v>
      </c>
      <c r="AW4691" s="55" t="s">
        <v>658</v>
      </c>
      <c r="AX4691" s="185" t="s">
        <v>176</v>
      </c>
      <c r="AY4691" s="55" t="s">
        <v>176</v>
      </c>
      <c r="AZ4691" s="55" t="s">
        <v>550</v>
      </c>
      <c r="BA4691" s="55" t="s">
        <v>216</v>
      </c>
      <c r="BB4691" s="55" t="s">
        <v>4499</v>
      </c>
      <c r="BC4691" s="55" t="s">
        <v>2082</v>
      </c>
      <c r="BD4691" s="55" t="s">
        <v>479</v>
      </c>
      <c r="BK4691" s="55" t="s">
        <v>6269</v>
      </c>
      <c r="FJ4691" s="65">
        <f>1/1000*1260</f>
        <v>1.26</v>
      </c>
      <c r="FK4691" s="65">
        <f>1/1000*1990</f>
        <v>1.99</v>
      </c>
      <c r="FN4691" s="65" t="s">
        <v>2215</v>
      </c>
      <c r="FO4691" s="65">
        <v>113</v>
      </c>
      <c r="FP4691" s="65">
        <v>117</v>
      </c>
      <c r="FS4691" s="65" t="s">
        <v>637</v>
      </c>
      <c r="FT4691" s="65">
        <v>39</v>
      </c>
      <c r="FU4691" s="65">
        <v>61</v>
      </c>
      <c r="FX4691" s="65" t="s">
        <v>4632</v>
      </c>
      <c r="GP4691" s="292" t="s">
        <v>7494</v>
      </c>
      <c r="JU4691" s="55" t="s">
        <v>4631</v>
      </c>
    </row>
    <row r="4692" spans="1:283" x14ac:dyDescent="0.25">
      <c r="A4692" s="55">
        <v>4691</v>
      </c>
      <c r="B4692" s="12" t="s">
        <v>7067</v>
      </c>
      <c r="C4692" s="155">
        <v>204</v>
      </c>
      <c r="D4692" s="55" t="s">
        <v>4625</v>
      </c>
      <c r="E4692" s="90" t="s">
        <v>4626</v>
      </c>
      <c r="G4692" s="55" t="s">
        <v>4627</v>
      </c>
      <c r="H4692" s="55">
        <v>2008</v>
      </c>
      <c r="I4692" s="55">
        <v>1991</v>
      </c>
      <c r="J4692" s="55" t="s">
        <v>4514</v>
      </c>
      <c r="K4692" s="55" t="s">
        <v>4629</v>
      </c>
      <c r="L4692" s="55" t="s">
        <v>2737</v>
      </c>
      <c r="M4692" s="90">
        <v>40.270000000000003</v>
      </c>
      <c r="N4692" s="90">
        <v>-81.95</v>
      </c>
      <c r="O4692" s="90">
        <v>275</v>
      </c>
      <c r="U4692" s="55" t="s">
        <v>1694</v>
      </c>
      <c r="V4692" s="55" t="s">
        <v>1818</v>
      </c>
      <c r="Y4692" s="55" t="s">
        <v>4628</v>
      </c>
      <c r="AH4692" s="55" t="s">
        <v>399</v>
      </c>
      <c r="AM4692" s="55" t="s">
        <v>4630</v>
      </c>
      <c r="AN4692" s="185" t="s">
        <v>131</v>
      </c>
      <c r="AO4692" s="185" t="s">
        <v>5150</v>
      </c>
      <c r="AQ4692" s="55" t="s">
        <v>131</v>
      </c>
      <c r="AR4692" s="55" t="s">
        <v>132</v>
      </c>
      <c r="AS4692" s="55" t="s">
        <v>132</v>
      </c>
      <c r="AT4692" s="181" t="s">
        <v>658</v>
      </c>
      <c r="AU4692" s="181" t="s">
        <v>5150</v>
      </c>
      <c r="AV4692" s="185" t="s">
        <v>176</v>
      </c>
      <c r="AW4692" s="55" t="s">
        <v>658</v>
      </c>
      <c r="AX4692" s="185" t="s">
        <v>176</v>
      </c>
      <c r="AY4692" s="55" t="s">
        <v>176</v>
      </c>
      <c r="AZ4692" s="55" t="s">
        <v>550</v>
      </c>
      <c r="BA4692" s="55" t="s">
        <v>216</v>
      </c>
      <c r="BB4692" s="55" t="s">
        <v>4499</v>
      </c>
      <c r="BC4692" s="55" t="s">
        <v>2082</v>
      </c>
      <c r="BD4692" s="55" t="s">
        <v>479</v>
      </c>
      <c r="BK4692" s="55" t="s">
        <v>6269</v>
      </c>
      <c r="FJ4692" s="65">
        <f>1/1000*100</f>
        <v>0.1</v>
      </c>
      <c r="FK4692" s="65">
        <f>1/1000*190</f>
        <v>0.19</v>
      </c>
      <c r="FN4692" s="65" t="s">
        <v>2215</v>
      </c>
      <c r="FO4692" s="65">
        <v>20</v>
      </c>
      <c r="FP4692" s="65">
        <v>19</v>
      </c>
      <c r="FS4692" s="65" t="s">
        <v>637</v>
      </c>
      <c r="FT4692" s="65">
        <v>6</v>
      </c>
      <c r="FU4692" s="65">
        <v>7</v>
      </c>
      <c r="FX4692" s="65" t="s">
        <v>4632</v>
      </c>
      <c r="GP4692" s="292" t="s">
        <v>7494</v>
      </c>
      <c r="JU4692" s="55" t="s">
        <v>4631</v>
      </c>
    </row>
    <row r="4693" spans="1:283" x14ac:dyDescent="0.25">
      <c r="A4693" s="55">
        <v>4692</v>
      </c>
      <c r="B4693" s="12" t="s">
        <v>7067</v>
      </c>
      <c r="C4693" s="155">
        <v>204</v>
      </c>
      <c r="D4693" s="55" t="s">
        <v>4625</v>
      </c>
      <c r="E4693" s="90" t="s">
        <v>4626</v>
      </c>
      <c r="G4693" s="55" t="s">
        <v>4627</v>
      </c>
      <c r="H4693" s="55">
        <v>2008</v>
      </c>
      <c r="I4693" s="55">
        <v>1992</v>
      </c>
      <c r="J4693" s="55" t="s">
        <v>4514</v>
      </c>
      <c r="K4693" s="55" t="s">
        <v>4629</v>
      </c>
      <c r="L4693" s="55" t="s">
        <v>2737</v>
      </c>
      <c r="M4693" s="90">
        <v>40.270000000000003</v>
      </c>
      <c r="N4693" s="90">
        <v>-81.95</v>
      </c>
      <c r="O4693" s="90">
        <v>275</v>
      </c>
      <c r="U4693" s="55" t="s">
        <v>1940</v>
      </c>
      <c r="V4693" s="55" t="s">
        <v>1818</v>
      </c>
      <c r="Y4693" s="55" t="s">
        <v>4628</v>
      </c>
      <c r="AH4693" s="55" t="s">
        <v>399</v>
      </c>
      <c r="AM4693" s="55" t="s">
        <v>4630</v>
      </c>
      <c r="AN4693" s="185" t="s">
        <v>131</v>
      </c>
      <c r="AO4693" s="185" t="s">
        <v>5150</v>
      </c>
      <c r="AQ4693" s="55" t="s">
        <v>131</v>
      </c>
      <c r="AR4693" s="55" t="s">
        <v>158</v>
      </c>
      <c r="AS4693" s="55" t="s">
        <v>158</v>
      </c>
      <c r="AT4693" s="181" t="s">
        <v>658</v>
      </c>
      <c r="AU4693" s="181" t="s">
        <v>5150</v>
      </c>
      <c r="AV4693" s="185" t="s">
        <v>176</v>
      </c>
      <c r="AW4693" s="55" t="s">
        <v>658</v>
      </c>
      <c r="AX4693" s="185" t="s">
        <v>176</v>
      </c>
      <c r="AY4693" s="55" t="s">
        <v>176</v>
      </c>
      <c r="AZ4693" s="55" t="s">
        <v>550</v>
      </c>
      <c r="BA4693" s="55" t="s">
        <v>216</v>
      </c>
      <c r="BB4693" s="55" t="s">
        <v>4499</v>
      </c>
      <c r="BC4693" s="55" t="s">
        <v>2082</v>
      </c>
      <c r="BD4693" s="55" t="s">
        <v>479</v>
      </c>
      <c r="BK4693" s="55" t="s">
        <v>6269</v>
      </c>
      <c r="FJ4693" s="65">
        <f>1/1000*90</f>
        <v>0.09</v>
      </c>
      <c r="FK4693" s="65">
        <f>1/1000*1360</f>
        <v>1.36</v>
      </c>
      <c r="FN4693" s="65" t="s">
        <v>2215</v>
      </c>
      <c r="FO4693" s="65">
        <v>11</v>
      </c>
      <c r="FP4693" s="65">
        <v>26</v>
      </c>
      <c r="FS4693" s="65" t="s">
        <v>637</v>
      </c>
      <c r="FT4693" s="65">
        <v>3</v>
      </c>
      <c r="FU4693" s="65">
        <v>23</v>
      </c>
      <c r="FX4693" s="65" t="s">
        <v>4632</v>
      </c>
      <c r="GP4693" s="292" t="s">
        <v>7494</v>
      </c>
      <c r="JU4693" s="55" t="s">
        <v>4631</v>
      </c>
    </row>
    <row r="4694" spans="1:283" x14ac:dyDescent="0.25">
      <c r="A4694" s="55">
        <v>4693</v>
      </c>
      <c r="B4694" s="12" t="s">
        <v>7067</v>
      </c>
      <c r="C4694" s="155">
        <v>204</v>
      </c>
      <c r="D4694" s="55" t="s">
        <v>4625</v>
      </c>
      <c r="E4694" s="90" t="s">
        <v>4626</v>
      </c>
      <c r="G4694" s="55" t="s">
        <v>4627</v>
      </c>
      <c r="H4694" s="55">
        <v>2008</v>
      </c>
      <c r="I4694" s="55">
        <v>1993</v>
      </c>
      <c r="J4694" s="55" t="s">
        <v>4514</v>
      </c>
      <c r="K4694" s="55" t="s">
        <v>4629</v>
      </c>
      <c r="L4694" s="55" t="s">
        <v>2737</v>
      </c>
      <c r="M4694" s="90">
        <v>40.270000000000003</v>
      </c>
      <c r="N4694" s="90">
        <v>-81.95</v>
      </c>
      <c r="O4694" s="90">
        <v>275</v>
      </c>
      <c r="U4694" s="55" t="s">
        <v>1933</v>
      </c>
      <c r="V4694" s="55" t="s">
        <v>1818</v>
      </c>
      <c r="Y4694" s="55" t="s">
        <v>4628</v>
      </c>
      <c r="AH4694" s="55" t="s">
        <v>399</v>
      </c>
      <c r="AM4694" s="55" t="s">
        <v>4630</v>
      </c>
      <c r="AN4694" s="185" t="s">
        <v>131</v>
      </c>
      <c r="AO4694" s="185" t="s">
        <v>5150</v>
      </c>
      <c r="AQ4694" s="55" t="s">
        <v>131</v>
      </c>
      <c r="AR4694" s="55" t="s">
        <v>132</v>
      </c>
      <c r="AS4694" s="55" t="s">
        <v>132</v>
      </c>
      <c r="AT4694" s="181" t="s">
        <v>658</v>
      </c>
      <c r="AU4694" s="181" t="s">
        <v>5150</v>
      </c>
      <c r="AV4694" s="185" t="s">
        <v>176</v>
      </c>
      <c r="AW4694" s="55" t="s">
        <v>658</v>
      </c>
      <c r="AX4694" s="185" t="s">
        <v>176</v>
      </c>
      <c r="AY4694" s="55" t="s">
        <v>176</v>
      </c>
      <c r="AZ4694" s="55" t="s">
        <v>550</v>
      </c>
      <c r="BA4694" s="55" t="s">
        <v>216</v>
      </c>
      <c r="BB4694" s="55" t="s">
        <v>4499</v>
      </c>
      <c r="BC4694" s="55" t="s">
        <v>2082</v>
      </c>
      <c r="BD4694" s="55" t="s">
        <v>479</v>
      </c>
      <c r="BK4694" s="55" t="s">
        <v>6269</v>
      </c>
      <c r="FJ4694" s="65">
        <f>1/1000*260</f>
        <v>0.26</v>
      </c>
      <c r="FK4694" s="65">
        <f>1/1000*430</f>
        <v>0.43</v>
      </c>
      <c r="FN4694" s="65" t="s">
        <v>2215</v>
      </c>
      <c r="FO4694" s="65">
        <v>36</v>
      </c>
      <c r="FP4694" s="65">
        <v>37</v>
      </c>
      <c r="FS4694" s="65" t="s">
        <v>637</v>
      </c>
      <c r="FT4694" s="65">
        <v>12</v>
      </c>
      <c r="FU4694" s="65">
        <v>17</v>
      </c>
      <c r="FX4694" s="65" t="s">
        <v>4632</v>
      </c>
      <c r="GP4694" s="292" t="s">
        <v>7494</v>
      </c>
      <c r="JU4694" s="55" t="s">
        <v>4631</v>
      </c>
    </row>
    <row r="4695" spans="1:283" x14ac:dyDescent="0.25">
      <c r="A4695" s="55">
        <v>4694</v>
      </c>
      <c r="B4695" s="12" t="s">
        <v>7067</v>
      </c>
      <c r="C4695" s="155">
        <v>204</v>
      </c>
      <c r="D4695" s="55" t="s">
        <v>4625</v>
      </c>
      <c r="E4695" s="90" t="s">
        <v>4626</v>
      </c>
      <c r="G4695" s="55" t="s">
        <v>4627</v>
      </c>
      <c r="H4695" s="55">
        <v>2008</v>
      </c>
      <c r="I4695" s="55">
        <v>1994</v>
      </c>
      <c r="J4695" s="55" t="s">
        <v>4514</v>
      </c>
      <c r="K4695" s="55" t="s">
        <v>4629</v>
      </c>
      <c r="L4695" s="55" t="s">
        <v>2737</v>
      </c>
      <c r="M4695" s="90">
        <v>40.270000000000003</v>
      </c>
      <c r="N4695" s="90">
        <v>-81.95</v>
      </c>
      <c r="O4695" s="90">
        <v>275</v>
      </c>
      <c r="U4695" s="55" t="s">
        <v>1679</v>
      </c>
      <c r="V4695" s="55" t="s">
        <v>1818</v>
      </c>
      <c r="Y4695" s="55" t="s">
        <v>4628</v>
      </c>
      <c r="AH4695" s="55" t="s">
        <v>399</v>
      </c>
      <c r="AM4695" s="55" t="s">
        <v>4630</v>
      </c>
      <c r="AN4695" s="185" t="s">
        <v>131</v>
      </c>
      <c r="AO4695" s="185" t="s">
        <v>5150</v>
      </c>
      <c r="AQ4695" s="55" t="s">
        <v>131</v>
      </c>
      <c r="AR4695" s="55" t="s">
        <v>158</v>
      </c>
      <c r="AS4695" s="55" t="s">
        <v>158</v>
      </c>
      <c r="AT4695" s="181" t="s">
        <v>658</v>
      </c>
      <c r="AU4695" s="181" t="s">
        <v>5150</v>
      </c>
      <c r="AV4695" s="185" t="s">
        <v>176</v>
      </c>
      <c r="AW4695" s="55" t="s">
        <v>658</v>
      </c>
      <c r="AX4695" s="185" t="s">
        <v>176</v>
      </c>
      <c r="AY4695" s="55" t="s">
        <v>176</v>
      </c>
      <c r="AZ4695" s="55" t="s">
        <v>550</v>
      </c>
      <c r="BA4695" s="55" t="s">
        <v>216</v>
      </c>
      <c r="BB4695" s="55" t="s">
        <v>4499</v>
      </c>
      <c r="BC4695" s="55" t="s">
        <v>2082</v>
      </c>
      <c r="BD4695" s="55" t="s">
        <v>479</v>
      </c>
      <c r="BK4695" s="55" t="s">
        <v>6269</v>
      </c>
      <c r="FJ4695" s="65">
        <f>1/1000*270</f>
        <v>0.27</v>
      </c>
      <c r="FK4695" s="65">
        <f>1/1000*620</f>
        <v>0.62</v>
      </c>
      <c r="FN4695" s="65" t="s">
        <v>2215</v>
      </c>
      <c r="FO4695" s="65">
        <v>44</v>
      </c>
      <c r="FP4695" s="65">
        <v>45</v>
      </c>
      <c r="FS4695" s="65" t="s">
        <v>637</v>
      </c>
      <c r="FT4695" s="65">
        <v>16</v>
      </c>
      <c r="FU4695" s="65">
        <v>22</v>
      </c>
      <c r="FX4695" s="65" t="s">
        <v>4632</v>
      </c>
      <c r="GP4695" s="292" t="s">
        <v>7494</v>
      </c>
      <c r="JU4695" s="55" t="s">
        <v>4631</v>
      </c>
    </row>
    <row r="4696" spans="1:283" x14ac:dyDescent="0.25">
      <c r="A4696" s="55">
        <v>4695</v>
      </c>
      <c r="B4696" s="12" t="s">
        <v>7067</v>
      </c>
      <c r="C4696" s="155">
        <v>204</v>
      </c>
      <c r="D4696" s="55" t="s">
        <v>4625</v>
      </c>
      <c r="E4696" s="90" t="s">
        <v>4626</v>
      </c>
      <c r="G4696" s="55" t="s">
        <v>4627</v>
      </c>
      <c r="H4696" s="55">
        <v>2008</v>
      </c>
      <c r="I4696" s="55">
        <v>1995</v>
      </c>
      <c r="J4696" s="55" t="s">
        <v>4514</v>
      </c>
      <c r="K4696" s="55" t="s">
        <v>4629</v>
      </c>
      <c r="L4696" s="55" t="s">
        <v>2737</v>
      </c>
      <c r="M4696" s="90">
        <v>40.270000000000003</v>
      </c>
      <c r="N4696" s="90">
        <v>-81.95</v>
      </c>
      <c r="O4696" s="90">
        <v>275</v>
      </c>
      <c r="U4696" s="55" t="s">
        <v>1818</v>
      </c>
      <c r="V4696" s="55" t="s">
        <v>1818</v>
      </c>
      <c r="Y4696" s="55" t="s">
        <v>4628</v>
      </c>
      <c r="AH4696" s="55" t="s">
        <v>399</v>
      </c>
      <c r="AM4696" s="55" t="s">
        <v>4630</v>
      </c>
      <c r="AN4696" s="185" t="s">
        <v>131</v>
      </c>
      <c r="AO4696" s="185" t="s">
        <v>5150</v>
      </c>
      <c r="AQ4696" s="55" t="s">
        <v>131</v>
      </c>
      <c r="AR4696" s="55" t="s">
        <v>132</v>
      </c>
      <c r="AS4696" s="55" t="s">
        <v>132</v>
      </c>
      <c r="AT4696" s="181" t="s">
        <v>658</v>
      </c>
      <c r="AU4696" s="181" t="s">
        <v>5150</v>
      </c>
      <c r="AV4696" s="185" t="s">
        <v>176</v>
      </c>
      <c r="AW4696" s="55" t="s">
        <v>658</v>
      </c>
      <c r="AX4696" s="185" t="s">
        <v>176</v>
      </c>
      <c r="AY4696" s="55" t="s">
        <v>176</v>
      </c>
      <c r="AZ4696" s="55" t="s">
        <v>550</v>
      </c>
      <c r="BA4696" s="55" t="s">
        <v>216</v>
      </c>
      <c r="BB4696" s="55" t="s">
        <v>4499</v>
      </c>
      <c r="BC4696" s="55" t="s">
        <v>2082</v>
      </c>
      <c r="BD4696" s="55" t="s">
        <v>479</v>
      </c>
      <c r="BK4696" s="55" t="s">
        <v>6269</v>
      </c>
      <c r="FJ4696" s="65">
        <f>1/1000*280</f>
        <v>0.28000000000000003</v>
      </c>
      <c r="FK4696" s="65">
        <f>1/1000*280</f>
        <v>0.28000000000000003</v>
      </c>
      <c r="FN4696" s="65" t="s">
        <v>2215</v>
      </c>
      <c r="FO4696" s="65">
        <v>26</v>
      </c>
      <c r="FP4696" s="65">
        <v>28</v>
      </c>
      <c r="FS4696" s="65" t="s">
        <v>637</v>
      </c>
      <c r="FT4696" s="65">
        <v>10</v>
      </c>
      <c r="FU4696" s="65">
        <v>13</v>
      </c>
      <c r="FX4696" s="65" t="s">
        <v>4632</v>
      </c>
      <c r="GP4696" s="292" t="s">
        <v>7494</v>
      </c>
      <c r="JU4696" s="55" t="s">
        <v>4631</v>
      </c>
    </row>
    <row r="4697" spans="1:283" x14ac:dyDescent="0.25">
      <c r="A4697" s="55">
        <v>4696</v>
      </c>
      <c r="B4697" s="12" t="s">
        <v>7067</v>
      </c>
      <c r="C4697" s="155">
        <v>205</v>
      </c>
      <c r="D4697" s="55" t="s">
        <v>4633</v>
      </c>
      <c r="E4697" s="90" t="s">
        <v>4635</v>
      </c>
      <c r="G4697" s="55" t="s">
        <v>4634</v>
      </c>
      <c r="H4697" s="55">
        <v>2018</v>
      </c>
      <c r="I4697" s="55">
        <v>2012</v>
      </c>
      <c r="J4697" s="55" t="s">
        <v>4514</v>
      </c>
      <c r="K4697" s="55" t="s">
        <v>4636</v>
      </c>
      <c r="L4697" s="55" t="s">
        <v>4516</v>
      </c>
      <c r="M4697" s="90">
        <f>37+51.5/60</f>
        <v>37.858333333333334</v>
      </c>
      <c r="N4697" s="90">
        <f>-4-48/60</f>
        <v>-4.8</v>
      </c>
      <c r="O4697" s="90">
        <v>95</v>
      </c>
      <c r="U4697" s="55" t="s">
        <v>1935</v>
      </c>
      <c r="V4697" s="55" t="s">
        <v>1805</v>
      </c>
      <c r="Y4697" s="55" t="s">
        <v>1921</v>
      </c>
      <c r="Z4697" s="55" t="s">
        <v>1383</v>
      </c>
      <c r="AA4697" s="90" t="s">
        <v>1684</v>
      </c>
      <c r="AE4697" s="90">
        <f>AVERAGE(47.3,49.3,49)</f>
        <v>48.533333333333331</v>
      </c>
      <c r="AF4697" s="90">
        <f>AVERAGE(34.7,30.9,32.6)</f>
        <v>32.733333333333327</v>
      </c>
      <c r="AH4697" s="55" t="s">
        <v>139</v>
      </c>
      <c r="AI4697" s="168">
        <f>AVERAGE(7.79,7.88,7.89)</f>
        <v>7.8533333333333326</v>
      </c>
      <c r="AJ4697" s="90">
        <f>AVERAGE(2.07,1.07,0.92)*0.58</f>
        <v>0.78493333333333326</v>
      </c>
      <c r="AM4697" s="55" t="s">
        <v>4637</v>
      </c>
      <c r="AN4697" s="185" t="s">
        <v>4648</v>
      </c>
      <c r="AO4697" s="185" t="s">
        <v>5150</v>
      </c>
      <c r="AQ4697" s="55" t="s">
        <v>1545</v>
      </c>
      <c r="AR4697" s="55" t="s">
        <v>4638</v>
      </c>
      <c r="AS4697" s="55" t="s">
        <v>3471</v>
      </c>
      <c r="AU4697" s="181" t="s">
        <v>7494</v>
      </c>
      <c r="AV4697" s="185" t="s">
        <v>176</v>
      </c>
      <c r="AX4697" s="185" t="s">
        <v>176</v>
      </c>
      <c r="AZ4697" s="55" t="s">
        <v>4530</v>
      </c>
      <c r="BA4697" s="55" t="s">
        <v>4530</v>
      </c>
      <c r="BB4697" s="55" t="s">
        <v>2081</v>
      </c>
      <c r="BC4697" s="55" t="s">
        <v>2081</v>
      </c>
      <c r="BD4697" s="55" t="s">
        <v>176</v>
      </c>
      <c r="BK4697" s="55" t="s">
        <v>5976</v>
      </c>
      <c r="BV4697" s="55" t="s">
        <v>4645</v>
      </c>
      <c r="FE4697" s="65">
        <v>1.7</v>
      </c>
      <c r="FF4697" s="65">
        <v>1.1400000000000001</v>
      </c>
      <c r="FG4697" s="65" t="s">
        <v>4652</v>
      </c>
      <c r="FJ4697" s="65">
        <v>0.37310000000000004</v>
      </c>
      <c r="FK4697" s="65">
        <v>0.23300000000000001</v>
      </c>
      <c r="FN4697" s="65" t="s">
        <v>6362</v>
      </c>
      <c r="FO4697" s="65">
        <v>2.4300000000000002</v>
      </c>
      <c r="FP4697" s="65">
        <v>2.1</v>
      </c>
      <c r="FS4697" s="65" t="s">
        <v>6373</v>
      </c>
      <c r="FT4697" s="65">
        <v>6.76</v>
      </c>
      <c r="FU4697" s="65">
        <v>2.0299999999999998</v>
      </c>
      <c r="FX4697" s="65" t="s">
        <v>4647</v>
      </c>
      <c r="GP4697" s="292" t="s">
        <v>7494</v>
      </c>
      <c r="JW4697" s="55" t="s">
        <v>4639</v>
      </c>
    </row>
    <row r="4698" spans="1:283" x14ac:dyDescent="0.25">
      <c r="A4698" s="55">
        <v>4697</v>
      </c>
      <c r="B4698" s="12" t="s">
        <v>7067</v>
      </c>
      <c r="C4698" s="155">
        <v>205</v>
      </c>
      <c r="D4698" s="55" t="s">
        <v>4641</v>
      </c>
      <c r="E4698" s="90" t="s">
        <v>4635</v>
      </c>
      <c r="G4698" s="55" t="s">
        <v>4634</v>
      </c>
      <c r="H4698" s="55">
        <v>2018</v>
      </c>
      <c r="I4698" s="55">
        <v>2012</v>
      </c>
      <c r="J4698" s="55" t="s">
        <v>4514</v>
      </c>
      <c r="K4698" s="55" t="s">
        <v>4636</v>
      </c>
      <c r="L4698" s="55" t="s">
        <v>4516</v>
      </c>
      <c r="M4698" s="90">
        <f>37+51.5/60</f>
        <v>37.858333333333334</v>
      </c>
      <c r="N4698" s="90">
        <f>-4-48/60</f>
        <v>-4.8</v>
      </c>
      <c r="O4698" s="90">
        <v>95</v>
      </c>
      <c r="U4698" s="55" t="s">
        <v>1935</v>
      </c>
      <c r="V4698" s="55" t="s">
        <v>1805</v>
      </c>
      <c r="Y4698" s="55" t="s">
        <v>1921</v>
      </c>
      <c r="Z4698" s="55" t="s">
        <v>1383</v>
      </c>
      <c r="AA4698" s="90" t="s">
        <v>1684</v>
      </c>
      <c r="AE4698" s="90">
        <f>AVERAGE(47.3,49.3,49)</f>
        <v>48.533333333333331</v>
      </c>
      <c r="AF4698" s="90">
        <f>AVERAGE(34.7,30.9,32.6)</f>
        <v>32.733333333333327</v>
      </c>
      <c r="AH4698" s="55" t="s">
        <v>139</v>
      </c>
      <c r="AI4698" s="168">
        <f>AVERAGE(7.79,7.88,7.89)</f>
        <v>7.8533333333333326</v>
      </c>
      <c r="AJ4698" s="90">
        <f>AVERAGE(2.07,1.07,0.92)*0.58</f>
        <v>0.78493333333333326</v>
      </c>
      <c r="AM4698" s="55" t="s">
        <v>4637</v>
      </c>
      <c r="AN4698" s="185" t="s">
        <v>4649</v>
      </c>
      <c r="AO4698" s="185" t="s">
        <v>5150</v>
      </c>
      <c r="AQ4698" s="55" t="s">
        <v>1097</v>
      </c>
      <c r="AR4698" s="55" t="s">
        <v>4638</v>
      </c>
      <c r="AS4698" s="55" t="s">
        <v>3471</v>
      </c>
      <c r="AU4698" s="181" t="s">
        <v>7494</v>
      </c>
      <c r="AV4698" s="185" t="s">
        <v>176</v>
      </c>
      <c r="AX4698" s="185" t="s">
        <v>176</v>
      </c>
      <c r="AZ4698" s="55" t="s">
        <v>4530</v>
      </c>
      <c r="BA4698" s="55" t="s">
        <v>4530</v>
      </c>
      <c r="BB4698" s="55" t="s">
        <v>2081</v>
      </c>
      <c r="BC4698" s="55" t="s">
        <v>2081</v>
      </c>
      <c r="BD4698" s="55" t="s">
        <v>176</v>
      </c>
      <c r="BK4698" s="55" t="s">
        <v>5976</v>
      </c>
      <c r="BV4698" s="55" t="s">
        <v>4645</v>
      </c>
      <c r="FE4698" s="65">
        <v>1.7</v>
      </c>
      <c r="FF4698" s="65">
        <v>1.01</v>
      </c>
      <c r="FG4698" s="65" t="s">
        <v>4652</v>
      </c>
      <c r="FJ4698" s="65">
        <v>0.37310000000000004</v>
      </c>
      <c r="FK4698" s="65">
        <v>6.1999999999999998E-3</v>
      </c>
      <c r="FN4698" s="65" t="s">
        <v>6362</v>
      </c>
      <c r="FO4698" s="65">
        <v>2.4300000000000002</v>
      </c>
      <c r="FP4698" s="65">
        <v>0.27</v>
      </c>
      <c r="FS4698" s="65" t="s">
        <v>6373</v>
      </c>
      <c r="FT4698" s="65">
        <v>6.76</v>
      </c>
      <c r="FU4698" s="65">
        <v>0.14000000000000001</v>
      </c>
      <c r="FX4698" s="65" t="s">
        <v>4647</v>
      </c>
      <c r="GP4698" s="292" t="s">
        <v>7494</v>
      </c>
      <c r="JW4698" s="55" t="s">
        <v>4639</v>
      </c>
    </row>
    <row r="4699" spans="1:283" x14ac:dyDescent="0.25">
      <c r="A4699" s="55">
        <v>4698</v>
      </c>
      <c r="B4699" s="12" t="s">
        <v>7067</v>
      </c>
      <c r="C4699" s="155">
        <v>205</v>
      </c>
      <c r="D4699" s="55" t="s">
        <v>4642</v>
      </c>
      <c r="E4699" s="90" t="s">
        <v>4635</v>
      </c>
      <c r="G4699" s="55" t="s">
        <v>4634</v>
      </c>
      <c r="H4699" s="55">
        <v>2018</v>
      </c>
      <c r="I4699" s="55">
        <v>2012</v>
      </c>
      <c r="J4699" s="55" t="s">
        <v>4514</v>
      </c>
      <c r="K4699" s="55" t="s">
        <v>4636</v>
      </c>
      <c r="L4699" s="55" t="s">
        <v>4516</v>
      </c>
      <c r="M4699" s="90">
        <f>37+51.5/60</f>
        <v>37.858333333333334</v>
      </c>
      <c r="N4699" s="90">
        <f>-4-48/60</f>
        <v>-4.8</v>
      </c>
      <c r="O4699" s="90">
        <v>95</v>
      </c>
      <c r="U4699" s="55" t="s">
        <v>1935</v>
      </c>
      <c r="V4699" s="55" t="s">
        <v>1805</v>
      </c>
      <c r="Y4699" s="55" t="s">
        <v>1921</v>
      </c>
      <c r="Z4699" s="55" t="s">
        <v>1383</v>
      </c>
      <c r="AA4699" s="90" t="s">
        <v>1684</v>
      </c>
      <c r="AE4699" s="90">
        <f>AVERAGE(47.3,49.3,49)</f>
        <v>48.533333333333331</v>
      </c>
      <c r="AF4699" s="90">
        <f>AVERAGE(34.7,30.9,32.6)</f>
        <v>32.733333333333327</v>
      </c>
      <c r="AH4699" s="55" t="s">
        <v>139</v>
      </c>
      <c r="AI4699" s="168">
        <f>AVERAGE(7.79,7.88,7.89)</f>
        <v>7.8533333333333326</v>
      </c>
      <c r="AJ4699" s="90">
        <f>AVERAGE(2.07,1.07,0.92)*0.58</f>
        <v>0.78493333333333326</v>
      </c>
      <c r="AM4699" s="55" t="s">
        <v>4637</v>
      </c>
      <c r="AN4699" s="185" t="s">
        <v>3540</v>
      </c>
      <c r="AO4699" s="185" t="s">
        <v>5150</v>
      </c>
      <c r="AQ4699" s="55" t="s">
        <v>553</v>
      </c>
      <c r="AR4699" s="55" t="s">
        <v>4638</v>
      </c>
      <c r="AS4699" s="55" t="s">
        <v>3471</v>
      </c>
      <c r="AU4699" s="181" t="s">
        <v>7494</v>
      </c>
      <c r="AV4699" s="185" t="s">
        <v>176</v>
      </c>
      <c r="AX4699" s="185" t="s">
        <v>176</v>
      </c>
      <c r="AZ4699" s="55" t="s">
        <v>4530</v>
      </c>
      <c r="BA4699" s="55" t="s">
        <v>4530</v>
      </c>
      <c r="BB4699" s="55" t="s">
        <v>2081</v>
      </c>
      <c r="BC4699" s="55" t="s">
        <v>2081</v>
      </c>
      <c r="BD4699" s="55" t="s">
        <v>176</v>
      </c>
      <c r="BK4699" s="55" t="s">
        <v>5976</v>
      </c>
      <c r="BV4699" s="55" t="s">
        <v>4645</v>
      </c>
      <c r="FE4699" s="65">
        <v>1.7</v>
      </c>
      <c r="FF4699" s="65">
        <v>0.91999999999999993</v>
      </c>
      <c r="FG4699" s="65" t="s">
        <v>4652</v>
      </c>
      <c r="FJ4699" s="65">
        <v>0.37310000000000004</v>
      </c>
      <c r="FK4699" s="65">
        <v>0.27560000000000001</v>
      </c>
      <c r="FN4699" s="65" t="s">
        <v>6362</v>
      </c>
      <c r="FO4699" s="65">
        <v>2.4300000000000002</v>
      </c>
      <c r="FP4699" s="65">
        <v>9.0299999999999994</v>
      </c>
      <c r="FS4699" s="65" t="s">
        <v>6373</v>
      </c>
      <c r="FT4699" s="65">
        <v>6.76</v>
      </c>
      <c r="FU4699" s="65">
        <v>4.59</v>
      </c>
      <c r="FX4699" s="65" t="s">
        <v>4647</v>
      </c>
      <c r="GP4699" s="292" t="s">
        <v>7494</v>
      </c>
      <c r="JW4699" s="55" t="s">
        <v>4639</v>
      </c>
    </row>
    <row r="4700" spans="1:283" x14ac:dyDescent="0.25">
      <c r="A4700" s="55">
        <v>4699</v>
      </c>
      <c r="B4700" s="12" t="s">
        <v>7067</v>
      </c>
      <c r="C4700" s="155">
        <v>205</v>
      </c>
      <c r="D4700" s="55" t="s">
        <v>4643</v>
      </c>
      <c r="E4700" s="90" t="s">
        <v>4635</v>
      </c>
      <c r="G4700" s="55" t="s">
        <v>4634</v>
      </c>
      <c r="H4700" s="55">
        <v>2018</v>
      </c>
      <c r="I4700" s="55">
        <v>2012</v>
      </c>
      <c r="J4700" s="55" t="s">
        <v>4514</v>
      </c>
      <c r="K4700" s="55" t="s">
        <v>4636</v>
      </c>
      <c r="L4700" s="55" t="s">
        <v>4516</v>
      </c>
      <c r="M4700" s="90">
        <f>37+51.5/60</f>
        <v>37.858333333333334</v>
      </c>
      <c r="N4700" s="90">
        <f>-4-48/60</f>
        <v>-4.8</v>
      </c>
      <c r="O4700" s="90">
        <v>95</v>
      </c>
      <c r="U4700" s="55" t="s">
        <v>1935</v>
      </c>
      <c r="V4700" s="55" t="s">
        <v>1805</v>
      </c>
      <c r="Y4700" s="55" t="s">
        <v>1921</v>
      </c>
      <c r="Z4700" s="55" t="s">
        <v>1383</v>
      </c>
      <c r="AA4700" s="90" t="s">
        <v>1684</v>
      </c>
      <c r="AE4700" s="90">
        <f>AVERAGE(47.3,49.3,49)</f>
        <v>48.533333333333331</v>
      </c>
      <c r="AF4700" s="90">
        <f>AVERAGE(34.7,30.9,32.6)</f>
        <v>32.733333333333327</v>
      </c>
      <c r="AH4700" s="55" t="s">
        <v>139</v>
      </c>
      <c r="AI4700" s="168">
        <f>AVERAGE(7.79,7.88,7.89)</f>
        <v>7.8533333333333326</v>
      </c>
      <c r="AJ4700" s="90">
        <f>AVERAGE(2.07,1.07,0.92)*0.58</f>
        <v>0.78493333333333326</v>
      </c>
      <c r="AM4700" s="55" t="s">
        <v>4637</v>
      </c>
      <c r="AN4700" s="185" t="s">
        <v>4650</v>
      </c>
      <c r="AO4700" s="185" t="s">
        <v>5150</v>
      </c>
      <c r="AQ4700" s="55" t="s">
        <v>553</v>
      </c>
      <c r="AR4700" s="55" t="s">
        <v>4638</v>
      </c>
      <c r="AS4700" s="55" t="s">
        <v>3471</v>
      </c>
      <c r="AU4700" s="181" t="s">
        <v>7494</v>
      </c>
      <c r="AV4700" s="185" t="s">
        <v>176</v>
      </c>
      <c r="AX4700" s="185" t="s">
        <v>176</v>
      </c>
      <c r="AZ4700" s="55" t="s">
        <v>4530</v>
      </c>
      <c r="BA4700" s="55" t="s">
        <v>4530</v>
      </c>
      <c r="BB4700" s="55" t="s">
        <v>2081</v>
      </c>
      <c r="BC4700" s="55" t="s">
        <v>2081</v>
      </c>
      <c r="BD4700" s="55" t="s">
        <v>176</v>
      </c>
      <c r="BK4700" s="55" t="s">
        <v>5976</v>
      </c>
      <c r="BV4700" s="55" t="s">
        <v>4645</v>
      </c>
      <c r="FE4700" s="65">
        <v>1.7</v>
      </c>
      <c r="FF4700" s="65">
        <v>0.49000000000000005</v>
      </c>
      <c r="FG4700" s="65" t="s">
        <v>4652</v>
      </c>
      <c r="FJ4700" s="65">
        <v>0.37310000000000004</v>
      </c>
      <c r="FK4700" s="65">
        <v>7.2800000000000004E-2</v>
      </c>
      <c r="FN4700" s="65" t="s">
        <v>6362</v>
      </c>
      <c r="FO4700" s="65">
        <v>2.4300000000000002</v>
      </c>
      <c r="FP4700" s="65">
        <v>1.99</v>
      </c>
      <c r="FS4700" s="65" t="s">
        <v>6373</v>
      </c>
      <c r="FT4700" s="65">
        <v>6.76</v>
      </c>
      <c r="FU4700" s="65">
        <v>1.04</v>
      </c>
      <c r="FX4700" s="65" t="s">
        <v>4647</v>
      </c>
      <c r="GP4700" s="292" t="s">
        <v>7494</v>
      </c>
      <c r="JW4700" s="55" t="s">
        <v>4639</v>
      </c>
    </row>
    <row r="4701" spans="1:283" x14ac:dyDescent="0.25">
      <c r="A4701" s="55">
        <v>4700</v>
      </c>
      <c r="B4701" s="12" t="s">
        <v>7067</v>
      </c>
      <c r="C4701" s="155">
        <v>205</v>
      </c>
      <c r="D4701" s="55" t="s">
        <v>4644</v>
      </c>
      <c r="E4701" s="90" t="s">
        <v>4635</v>
      </c>
      <c r="G4701" s="55" t="s">
        <v>4634</v>
      </c>
      <c r="H4701" s="55">
        <v>2018</v>
      </c>
      <c r="I4701" s="55">
        <v>2012</v>
      </c>
      <c r="J4701" s="55" t="s">
        <v>4514</v>
      </c>
      <c r="K4701" s="55" t="s">
        <v>4636</v>
      </c>
      <c r="L4701" s="55" t="s">
        <v>4516</v>
      </c>
      <c r="M4701" s="90">
        <f>37+51.5/60</f>
        <v>37.858333333333334</v>
      </c>
      <c r="N4701" s="90">
        <f>-4-48/60</f>
        <v>-4.8</v>
      </c>
      <c r="O4701" s="90">
        <v>95</v>
      </c>
      <c r="U4701" s="55" t="s">
        <v>1935</v>
      </c>
      <c r="V4701" s="55" t="s">
        <v>1805</v>
      </c>
      <c r="Y4701" s="55" t="s">
        <v>1921</v>
      </c>
      <c r="Z4701" s="55" t="s">
        <v>1383</v>
      </c>
      <c r="AA4701" s="90" t="s">
        <v>1684</v>
      </c>
      <c r="AE4701" s="90">
        <f>AVERAGE(47.3,49.3,49)</f>
        <v>48.533333333333331</v>
      </c>
      <c r="AF4701" s="90">
        <f>AVERAGE(34.7,30.9,32.6)</f>
        <v>32.733333333333327</v>
      </c>
      <c r="AH4701" s="55" t="s">
        <v>139</v>
      </c>
      <c r="AI4701" s="168">
        <f>AVERAGE(7.79,7.88,7.89)</f>
        <v>7.8533333333333326</v>
      </c>
      <c r="AJ4701" s="90">
        <f>AVERAGE(2.07,1.07,0.92)*0.58</f>
        <v>0.78493333333333326</v>
      </c>
      <c r="AM4701" s="55" t="s">
        <v>4637</v>
      </c>
      <c r="AN4701" s="185" t="s">
        <v>4651</v>
      </c>
      <c r="AO4701" s="185" t="s">
        <v>5150</v>
      </c>
      <c r="AQ4701" s="55" t="s">
        <v>1545</v>
      </c>
      <c r="AR4701" s="55" t="s">
        <v>4638</v>
      </c>
      <c r="AS4701" s="55" t="s">
        <v>3471</v>
      </c>
      <c r="AU4701" s="181" t="s">
        <v>7494</v>
      </c>
      <c r="AV4701" s="185" t="s">
        <v>176</v>
      </c>
      <c r="AX4701" s="185" t="s">
        <v>176</v>
      </c>
      <c r="AZ4701" s="55" t="s">
        <v>4530</v>
      </c>
      <c r="BA4701" s="55" t="s">
        <v>4530</v>
      </c>
      <c r="BB4701" s="55" t="s">
        <v>2081</v>
      </c>
      <c r="BC4701" s="55" t="s">
        <v>2081</v>
      </c>
      <c r="BD4701" s="55" t="s">
        <v>176</v>
      </c>
      <c r="BK4701" s="55" t="s">
        <v>5976</v>
      </c>
      <c r="BV4701" s="55" t="s">
        <v>4645</v>
      </c>
      <c r="FE4701" s="65">
        <v>1.7</v>
      </c>
      <c r="FF4701" s="65">
        <v>0.9</v>
      </c>
      <c r="FG4701" s="65" t="s">
        <v>4652</v>
      </c>
      <c r="FJ4701" s="65">
        <v>0.37310000000000004</v>
      </c>
      <c r="FK4701" s="65">
        <v>0.1328</v>
      </c>
      <c r="FN4701" s="65" t="s">
        <v>6362</v>
      </c>
      <c r="FO4701" s="65">
        <v>2.4300000000000002</v>
      </c>
      <c r="FP4701" s="65">
        <v>7.52</v>
      </c>
      <c r="FS4701" s="65" t="s">
        <v>6373</v>
      </c>
      <c r="FT4701" s="65">
        <v>6.76</v>
      </c>
      <c r="FU4701" s="65">
        <v>3.04</v>
      </c>
      <c r="FX4701" s="65" t="s">
        <v>4647</v>
      </c>
      <c r="GP4701" s="292" t="s">
        <v>7494</v>
      </c>
      <c r="JW4701" s="55" t="s">
        <v>4639</v>
      </c>
    </row>
    <row r="4702" spans="1:283" x14ac:dyDescent="0.25">
      <c r="A4702" s="55">
        <v>4701</v>
      </c>
      <c r="B4702" s="12" t="s">
        <v>7067</v>
      </c>
      <c r="C4702" s="155">
        <v>205</v>
      </c>
      <c r="D4702" s="55" t="s">
        <v>4633</v>
      </c>
      <c r="E4702" s="90" t="s">
        <v>4635</v>
      </c>
      <c r="G4702" s="55" t="s">
        <v>4634</v>
      </c>
      <c r="H4702" s="55">
        <v>2018</v>
      </c>
      <c r="I4702" s="55">
        <v>2012</v>
      </c>
      <c r="J4702" s="55" t="s">
        <v>4514</v>
      </c>
      <c r="K4702" s="55" t="s">
        <v>4636</v>
      </c>
      <c r="L4702" s="55" t="s">
        <v>4516</v>
      </c>
      <c r="M4702" s="90">
        <f>37+51.5/60</f>
        <v>37.858333333333334</v>
      </c>
      <c r="N4702" s="90">
        <f>-4-48/60</f>
        <v>-4.8</v>
      </c>
      <c r="O4702" s="90">
        <v>95</v>
      </c>
      <c r="U4702" s="55" t="s">
        <v>1935</v>
      </c>
      <c r="V4702" s="55" t="s">
        <v>1805</v>
      </c>
      <c r="Y4702" s="55" t="s">
        <v>1921</v>
      </c>
      <c r="Z4702" s="55" t="s">
        <v>1383</v>
      </c>
      <c r="AA4702" s="90" t="s">
        <v>1684</v>
      </c>
      <c r="AE4702" s="90">
        <f>AVERAGE(47.3,49.3,49)</f>
        <v>48.533333333333331</v>
      </c>
      <c r="AF4702" s="90">
        <f>AVERAGE(34.7,30.9,32.6)</f>
        <v>32.733333333333327</v>
      </c>
      <c r="AH4702" s="55" t="s">
        <v>139</v>
      </c>
      <c r="AI4702" s="168">
        <f>AVERAGE(7.79,7.88,7.89)</f>
        <v>7.8533333333333326</v>
      </c>
      <c r="AJ4702" s="90">
        <f>AVERAGE(2.07,1.07,0.92)*0.58</f>
        <v>0.78493333333333326</v>
      </c>
      <c r="AM4702" s="55" t="s">
        <v>4637</v>
      </c>
      <c r="AN4702" s="185" t="s">
        <v>4648</v>
      </c>
      <c r="AO4702" s="185" t="s">
        <v>5150</v>
      </c>
      <c r="AQ4702" s="55" t="s">
        <v>1545</v>
      </c>
      <c r="AR4702" s="55" t="s">
        <v>4638</v>
      </c>
      <c r="AS4702" s="55" t="s">
        <v>3471</v>
      </c>
      <c r="AU4702" s="181" t="s">
        <v>7494</v>
      </c>
      <c r="AV4702" s="185" t="s">
        <v>176</v>
      </c>
      <c r="AX4702" s="185" t="s">
        <v>176</v>
      </c>
      <c r="AZ4702" s="55" t="s">
        <v>4530</v>
      </c>
      <c r="BA4702" s="55" t="s">
        <v>4530</v>
      </c>
      <c r="BB4702" s="55" t="s">
        <v>2081</v>
      </c>
      <c r="BC4702" s="55" t="s">
        <v>2081</v>
      </c>
      <c r="BD4702" s="55" t="s">
        <v>176</v>
      </c>
      <c r="BK4702" s="55" t="s">
        <v>5976</v>
      </c>
      <c r="BV4702" s="55" t="s">
        <v>4646</v>
      </c>
      <c r="FE4702" s="65">
        <v>0.81</v>
      </c>
      <c r="FF4702" s="65">
        <v>0.18</v>
      </c>
      <c r="FG4702" s="65" t="s">
        <v>4652</v>
      </c>
      <c r="FJ4702" s="65">
        <v>4.4700000000000004E-2</v>
      </c>
      <c r="FK4702" s="65">
        <v>0</v>
      </c>
      <c r="FN4702" s="65" t="s">
        <v>6362</v>
      </c>
      <c r="FO4702" s="65">
        <v>0.57999999999999996</v>
      </c>
      <c r="FP4702" s="65">
        <v>0</v>
      </c>
      <c r="FS4702" s="65" t="s">
        <v>6373</v>
      </c>
      <c r="FT4702" s="65">
        <v>0.85</v>
      </c>
      <c r="FU4702" s="65">
        <v>0</v>
      </c>
      <c r="FX4702" s="65" t="s">
        <v>4647</v>
      </c>
      <c r="GP4702" s="292" t="s">
        <v>7494</v>
      </c>
      <c r="JW4702" s="55" t="s">
        <v>4639</v>
      </c>
    </row>
    <row r="4703" spans="1:283" x14ac:dyDescent="0.25">
      <c r="A4703" s="55">
        <v>4702</v>
      </c>
      <c r="B4703" s="12" t="s">
        <v>7067</v>
      </c>
      <c r="C4703" s="155">
        <v>205</v>
      </c>
      <c r="D4703" s="55" t="s">
        <v>4641</v>
      </c>
      <c r="E4703" s="90" t="s">
        <v>4635</v>
      </c>
      <c r="G4703" s="55" t="s">
        <v>4634</v>
      </c>
      <c r="H4703" s="55">
        <v>2018</v>
      </c>
      <c r="I4703" s="55">
        <v>2012</v>
      </c>
      <c r="J4703" s="55" t="s">
        <v>4514</v>
      </c>
      <c r="K4703" s="55" t="s">
        <v>4636</v>
      </c>
      <c r="L4703" s="55" t="s">
        <v>4516</v>
      </c>
      <c r="M4703" s="90">
        <f>37+51.5/60</f>
        <v>37.858333333333334</v>
      </c>
      <c r="N4703" s="90">
        <f>-4-48/60</f>
        <v>-4.8</v>
      </c>
      <c r="O4703" s="90">
        <v>95</v>
      </c>
      <c r="U4703" s="55" t="s">
        <v>1935</v>
      </c>
      <c r="V4703" s="55" t="s">
        <v>1805</v>
      </c>
      <c r="Y4703" s="55" t="s">
        <v>1921</v>
      </c>
      <c r="Z4703" s="55" t="s">
        <v>1383</v>
      </c>
      <c r="AA4703" s="90" t="s">
        <v>1684</v>
      </c>
      <c r="AE4703" s="90">
        <f>AVERAGE(47.3,49.3,49)</f>
        <v>48.533333333333331</v>
      </c>
      <c r="AF4703" s="90">
        <f>AVERAGE(34.7,30.9,32.6)</f>
        <v>32.733333333333327</v>
      </c>
      <c r="AH4703" s="55" t="s">
        <v>139</v>
      </c>
      <c r="AI4703" s="168">
        <f>AVERAGE(7.79,7.88,7.89)</f>
        <v>7.8533333333333326</v>
      </c>
      <c r="AJ4703" s="90">
        <f>AVERAGE(2.07,1.07,0.92)*0.58</f>
        <v>0.78493333333333326</v>
      </c>
      <c r="AM4703" s="55" t="s">
        <v>4637</v>
      </c>
      <c r="AN4703" s="185" t="s">
        <v>4649</v>
      </c>
      <c r="AO4703" s="185" t="s">
        <v>5150</v>
      </c>
      <c r="AQ4703" s="55" t="s">
        <v>1097</v>
      </c>
      <c r="AR4703" s="55" t="s">
        <v>4638</v>
      </c>
      <c r="AS4703" s="55" t="s">
        <v>3471</v>
      </c>
      <c r="AU4703" s="181" t="s">
        <v>7494</v>
      </c>
      <c r="AV4703" s="185" t="s">
        <v>176</v>
      </c>
      <c r="AX4703" s="185" t="s">
        <v>176</v>
      </c>
      <c r="AZ4703" s="55" t="s">
        <v>4530</v>
      </c>
      <c r="BA4703" s="55" t="s">
        <v>4530</v>
      </c>
      <c r="BB4703" s="55" t="s">
        <v>2081</v>
      </c>
      <c r="BC4703" s="55" t="s">
        <v>2081</v>
      </c>
      <c r="BD4703" s="55" t="s">
        <v>176</v>
      </c>
      <c r="BK4703" s="55" t="s">
        <v>5976</v>
      </c>
      <c r="BV4703" s="55" t="s">
        <v>4646</v>
      </c>
      <c r="FE4703" s="65">
        <v>0.81</v>
      </c>
      <c r="FF4703" s="65">
        <v>0.93</v>
      </c>
      <c r="FG4703" s="65" t="s">
        <v>4652</v>
      </c>
      <c r="FJ4703" s="65">
        <v>4.4700000000000004E-2</v>
      </c>
      <c r="FK4703" s="65">
        <v>0</v>
      </c>
      <c r="FN4703" s="65" t="s">
        <v>6362</v>
      </c>
      <c r="FO4703" s="65">
        <v>0.57999999999999996</v>
      </c>
      <c r="FP4703" s="65">
        <v>0</v>
      </c>
      <c r="FS4703" s="65" t="s">
        <v>6373</v>
      </c>
      <c r="FT4703" s="65">
        <v>0.85</v>
      </c>
      <c r="FU4703" s="65">
        <v>0</v>
      </c>
      <c r="FX4703" s="65" t="s">
        <v>4647</v>
      </c>
      <c r="GP4703" s="292" t="s">
        <v>7494</v>
      </c>
      <c r="JW4703" s="55" t="s">
        <v>4639</v>
      </c>
    </row>
    <row r="4704" spans="1:283" x14ac:dyDescent="0.25">
      <c r="A4704" s="55">
        <v>4703</v>
      </c>
      <c r="B4704" s="12" t="s">
        <v>7067</v>
      </c>
      <c r="C4704" s="155">
        <v>205</v>
      </c>
      <c r="D4704" s="55" t="s">
        <v>4642</v>
      </c>
      <c r="E4704" s="90" t="s">
        <v>4635</v>
      </c>
      <c r="G4704" s="55" t="s">
        <v>4634</v>
      </c>
      <c r="H4704" s="55">
        <v>2018</v>
      </c>
      <c r="I4704" s="55">
        <v>2012</v>
      </c>
      <c r="J4704" s="55" t="s">
        <v>4514</v>
      </c>
      <c r="K4704" s="55" t="s">
        <v>4636</v>
      </c>
      <c r="L4704" s="55" t="s">
        <v>4516</v>
      </c>
      <c r="M4704" s="90">
        <f>37+51.5/60</f>
        <v>37.858333333333334</v>
      </c>
      <c r="N4704" s="90">
        <f>-4-48/60</f>
        <v>-4.8</v>
      </c>
      <c r="O4704" s="90">
        <v>95</v>
      </c>
      <c r="U4704" s="55" t="s">
        <v>1935</v>
      </c>
      <c r="V4704" s="55" t="s">
        <v>1805</v>
      </c>
      <c r="Y4704" s="55" t="s">
        <v>1921</v>
      </c>
      <c r="Z4704" s="55" t="s">
        <v>1383</v>
      </c>
      <c r="AA4704" s="90" t="s">
        <v>1684</v>
      </c>
      <c r="AE4704" s="90">
        <f>AVERAGE(47.3,49.3,49)</f>
        <v>48.533333333333331</v>
      </c>
      <c r="AF4704" s="90">
        <f>AVERAGE(34.7,30.9,32.6)</f>
        <v>32.733333333333327</v>
      </c>
      <c r="AH4704" s="55" t="s">
        <v>139</v>
      </c>
      <c r="AI4704" s="168">
        <f>AVERAGE(7.79,7.88,7.89)</f>
        <v>7.8533333333333326</v>
      </c>
      <c r="AJ4704" s="90">
        <f>AVERAGE(2.07,1.07,0.92)*0.58</f>
        <v>0.78493333333333326</v>
      </c>
      <c r="AM4704" s="55" t="s">
        <v>4637</v>
      </c>
      <c r="AN4704" s="185" t="s">
        <v>3540</v>
      </c>
      <c r="AO4704" s="185" t="s">
        <v>5150</v>
      </c>
      <c r="AQ4704" s="55" t="s">
        <v>553</v>
      </c>
      <c r="AR4704" s="55" t="s">
        <v>4638</v>
      </c>
      <c r="AS4704" s="55" t="s">
        <v>3471</v>
      </c>
      <c r="AU4704" s="181" t="s">
        <v>7494</v>
      </c>
      <c r="AV4704" s="185" t="s">
        <v>176</v>
      </c>
      <c r="AX4704" s="185" t="s">
        <v>176</v>
      </c>
      <c r="AZ4704" s="55" t="s">
        <v>4530</v>
      </c>
      <c r="BA4704" s="55" t="s">
        <v>4530</v>
      </c>
      <c r="BB4704" s="55" t="s">
        <v>2081</v>
      </c>
      <c r="BC4704" s="55" t="s">
        <v>2081</v>
      </c>
      <c r="BD4704" s="55" t="s">
        <v>176</v>
      </c>
      <c r="BK4704" s="55" t="s">
        <v>5976</v>
      </c>
      <c r="BV4704" s="55" t="s">
        <v>4646</v>
      </c>
      <c r="FE4704" s="65">
        <v>0.81</v>
      </c>
      <c r="FF4704" s="65">
        <v>0.53</v>
      </c>
      <c r="FG4704" s="65" t="s">
        <v>4652</v>
      </c>
      <c r="FJ4704" s="65">
        <v>4.4700000000000004E-2</v>
      </c>
      <c r="FK4704" s="65">
        <v>6.9000000000000008E-3</v>
      </c>
      <c r="FN4704" s="65" t="s">
        <v>6362</v>
      </c>
      <c r="FO4704" s="65">
        <v>0.57999999999999996</v>
      </c>
      <c r="FP4704" s="65">
        <v>0.28999999999999998</v>
      </c>
      <c r="FS4704" s="65" t="s">
        <v>6373</v>
      </c>
      <c r="FT4704" s="65">
        <v>0.85</v>
      </c>
      <c r="FU4704" s="65">
        <v>0.13</v>
      </c>
      <c r="FX4704" s="65" t="s">
        <v>4647</v>
      </c>
      <c r="GP4704" s="292" t="s">
        <v>7494</v>
      </c>
      <c r="JW4704" s="55" t="s">
        <v>4639</v>
      </c>
    </row>
    <row r="4705" spans="1:283" x14ac:dyDescent="0.25">
      <c r="A4705" s="55">
        <v>4704</v>
      </c>
      <c r="B4705" s="12" t="s">
        <v>7067</v>
      </c>
      <c r="C4705" s="155">
        <v>205</v>
      </c>
      <c r="D4705" s="55" t="s">
        <v>4643</v>
      </c>
      <c r="E4705" s="90" t="s">
        <v>4635</v>
      </c>
      <c r="G4705" s="55" t="s">
        <v>4634</v>
      </c>
      <c r="H4705" s="55">
        <v>2018</v>
      </c>
      <c r="I4705" s="55">
        <v>2012</v>
      </c>
      <c r="J4705" s="55" t="s">
        <v>4514</v>
      </c>
      <c r="K4705" s="55" t="s">
        <v>4636</v>
      </c>
      <c r="L4705" s="55" t="s">
        <v>4516</v>
      </c>
      <c r="M4705" s="90">
        <f>37+51.5/60</f>
        <v>37.858333333333334</v>
      </c>
      <c r="N4705" s="90">
        <f>-4-48/60</f>
        <v>-4.8</v>
      </c>
      <c r="O4705" s="90">
        <v>95</v>
      </c>
      <c r="U4705" s="55" t="s">
        <v>1935</v>
      </c>
      <c r="V4705" s="55" t="s">
        <v>1805</v>
      </c>
      <c r="Y4705" s="55" t="s">
        <v>1921</v>
      </c>
      <c r="Z4705" s="55" t="s">
        <v>1383</v>
      </c>
      <c r="AA4705" s="90" t="s">
        <v>1684</v>
      </c>
      <c r="AE4705" s="90">
        <f>AVERAGE(47.3,49.3,49)</f>
        <v>48.533333333333331</v>
      </c>
      <c r="AF4705" s="90">
        <f>AVERAGE(34.7,30.9,32.6)</f>
        <v>32.733333333333327</v>
      </c>
      <c r="AH4705" s="55" t="s">
        <v>139</v>
      </c>
      <c r="AI4705" s="168">
        <f>AVERAGE(7.79,7.88,7.89)</f>
        <v>7.8533333333333326</v>
      </c>
      <c r="AJ4705" s="90">
        <f>AVERAGE(2.07,1.07,0.92)*0.58</f>
        <v>0.78493333333333326</v>
      </c>
      <c r="AM4705" s="55" t="s">
        <v>4637</v>
      </c>
      <c r="AN4705" s="185" t="s">
        <v>4650</v>
      </c>
      <c r="AO4705" s="185" t="s">
        <v>5150</v>
      </c>
      <c r="AQ4705" s="55" t="s">
        <v>553</v>
      </c>
      <c r="AR4705" s="55" t="s">
        <v>4638</v>
      </c>
      <c r="AS4705" s="55" t="s">
        <v>3471</v>
      </c>
      <c r="AU4705" s="181" t="s">
        <v>7494</v>
      </c>
      <c r="AV4705" s="185" t="s">
        <v>176</v>
      </c>
      <c r="AX4705" s="185" t="s">
        <v>176</v>
      </c>
      <c r="AZ4705" s="55" t="s">
        <v>4530</v>
      </c>
      <c r="BA4705" s="55" t="s">
        <v>4530</v>
      </c>
      <c r="BB4705" s="55" t="s">
        <v>2081</v>
      </c>
      <c r="BC4705" s="55" t="s">
        <v>2081</v>
      </c>
      <c r="BD4705" s="55" t="s">
        <v>176</v>
      </c>
      <c r="BK4705" s="55" t="s">
        <v>5976</v>
      </c>
      <c r="BV4705" s="55" t="s">
        <v>4646</v>
      </c>
      <c r="FE4705" s="65">
        <v>0.81</v>
      </c>
      <c r="FF4705" s="65">
        <v>1.58</v>
      </c>
      <c r="FG4705" s="65" t="s">
        <v>4652</v>
      </c>
      <c r="FJ4705" s="65">
        <v>4.4700000000000004E-2</v>
      </c>
      <c r="FK4705" s="65">
        <v>5.4000000000000003E-3</v>
      </c>
      <c r="FN4705" s="65" t="s">
        <v>6362</v>
      </c>
      <c r="FO4705" s="65">
        <v>0.57999999999999996</v>
      </c>
      <c r="FP4705" s="65">
        <v>0.46</v>
      </c>
      <c r="FS4705" s="65" t="s">
        <v>6373</v>
      </c>
      <c r="FT4705" s="65">
        <v>0.85</v>
      </c>
      <c r="FU4705" s="65">
        <v>0.14000000000000001</v>
      </c>
      <c r="FX4705" s="65" t="s">
        <v>4647</v>
      </c>
      <c r="GP4705" s="292" t="s">
        <v>7494</v>
      </c>
      <c r="JW4705" s="55" t="s">
        <v>4639</v>
      </c>
    </row>
    <row r="4706" spans="1:283" x14ac:dyDescent="0.25">
      <c r="A4706" s="55">
        <v>4705</v>
      </c>
      <c r="B4706" s="12" t="s">
        <v>7067</v>
      </c>
      <c r="C4706" s="155">
        <v>205</v>
      </c>
      <c r="D4706" s="55" t="s">
        <v>4644</v>
      </c>
      <c r="E4706" s="90" t="s">
        <v>4635</v>
      </c>
      <c r="G4706" s="55" t="s">
        <v>4634</v>
      </c>
      <c r="H4706" s="55">
        <v>2018</v>
      </c>
      <c r="I4706" s="55">
        <v>2012</v>
      </c>
      <c r="J4706" s="55" t="s">
        <v>4514</v>
      </c>
      <c r="K4706" s="55" t="s">
        <v>4636</v>
      </c>
      <c r="L4706" s="55" t="s">
        <v>4516</v>
      </c>
      <c r="M4706" s="90">
        <f>37+51.5/60</f>
        <v>37.858333333333334</v>
      </c>
      <c r="N4706" s="90">
        <f>-4-48/60</f>
        <v>-4.8</v>
      </c>
      <c r="O4706" s="90">
        <v>95</v>
      </c>
      <c r="U4706" s="55" t="s">
        <v>1935</v>
      </c>
      <c r="V4706" s="55" t="s">
        <v>1805</v>
      </c>
      <c r="Y4706" s="55" t="s">
        <v>1921</v>
      </c>
      <c r="Z4706" s="55" t="s">
        <v>1383</v>
      </c>
      <c r="AA4706" s="90" t="s">
        <v>1684</v>
      </c>
      <c r="AE4706" s="90">
        <f>AVERAGE(47.3,49.3,49)</f>
        <v>48.533333333333331</v>
      </c>
      <c r="AF4706" s="90">
        <f>AVERAGE(34.7,30.9,32.6)</f>
        <v>32.733333333333327</v>
      </c>
      <c r="AH4706" s="55" t="s">
        <v>139</v>
      </c>
      <c r="AI4706" s="168">
        <f>AVERAGE(7.79,7.88,7.89)</f>
        <v>7.8533333333333326</v>
      </c>
      <c r="AJ4706" s="90">
        <f>AVERAGE(2.07,1.07,0.92)*0.58</f>
        <v>0.78493333333333326</v>
      </c>
      <c r="AM4706" s="55" t="s">
        <v>4637</v>
      </c>
      <c r="AN4706" s="185" t="s">
        <v>4651</v>
      </c>
      <c r="AO4706" s="185" t="s">
        <v>5150</v>
      </c>
      <c r="AQ4706" s="55" t="s">
        <v>1545</v>
      </c>
      <c r="AR4706" s="55" t="s">
        <v>4638</v>
      </c>
      <c r="AS4706" s="55" t="s">
        <v>3471</v>
      </c>
      <c r="AU4706" s="181" t="s">
        <v>7494</v>
      </c>
      <c r="AV4706" s="185" t="s">
        <v>176</v>
      </c>
      <c r="AX4706" s="185" t="s">
        <v>176</v>
      </c>
      <c r="AZ4706" s="55" t="s">
        <v>4530</v>
      </c>
      <c r="BA4706" s="55" t="s">
        <v>4530</v>
      </c>
      <c r="BB4706" s="55" t="s">
        <v>2081</v>
      </c>
      <c r="BC4706" s="55" t="s">
        <v>2081</v>
      </c>
      <c r="BD4706" s="55" t="s">
        <v>176</v>
      </c>
      <c r="BK4706" s="55" t="s">
        <v>5976</v>
      </c>
      <c r="BV4706" s="55" t="s">
        <v>4646</v>
      </c>
      <c r="FJ4706" s="65">
        <v>4.4700000000000004E-2</v>
      </c>
      <c r="FK4706" s="65">
        <v>5.7999999999999996E-3</v>
      </c>
      <c r="FN4706" s="65" t="s">
        <v>6362</v>
      </c>
      <c r="FO4706" s="65">
        <v>0.57999999999999996</v>
      </c>
      <c r="FP4706" s="65">
        <v>0.42</v>
      </c>
      <c r="FS4706" s="65" t="s">
        <v>6373</v>
      </c>
      <c r="FT4706" s="65">
        <v>0.85</v>
      </c>
      <c r="FU4706" s="65">
        <v>0.13</v>
      </c>
      <c r="FX4706" s="65" t="s">
        <v>4647</v>
      </c>
      <c r="GP4706" s="292" t="s">
        <v>7494</v>
      </c>
      <c r="JW4706" s="55" t="s">
        <v>4639</v>
      </c>
    </row>
    <row r="4707" spans="1:283" x14ac:dyDescent="0.25">
      <c r="A4707" s="55">
        <v>4706</v>
      </c>
      <c r="B4707" s="12" t="s">
        <v>7067</v>
      </c>
      <c r="C4707" s="155">
        <v>205</v>
      </c>
      <c r="D4707" s="55" t="s">
        <v>4633</v>
      </c>
      <c r="E4707" s="90" t="s">
        <v>4635</v>
      </c>
      <c r="G4707" s="55" t="s">
        <v>4634</v>
      </c>
      <c r="H4707" s="55">
        <v>2018</v>
      </c>
      <c r="I4707" s="55">
        <v>2012</v>
      </c>
      <c r="J4707" s="55" t="s">
        <v>4514</v>
      </c>
      <c r="K4707" s="55" t="s">
        <v>4636</v>
      </c>
      <c r="L4707" s="55" t="s">
        <v>4516</v>
      </c>
      <c r="M4707" s="90">
        <f>37+51.5/60</f>
        <v>37.858333333333334</v>
      </c>
      <c r="N4707" s="90">
        <f>-4-48/60</f>
        <v>-4.8</v>
      </c>
      <c r="O4707" s="90">
        <v>95</v>
      </c>
      <c r="U4707" s="55" t="s">
        <v>1935</v>
      </c>
      <c r="V4707" s="55" t="s">
        <v>1805</v>
      </c>
      <c r="Y4707" s="55" t="s">
        <v>1921</v>
      </c>
      <c r="Z4707" s="55" t="s">
        <v>1383</v>
      </c>
      <c r="AA4707" s="90" t="s">
        <v>1684</v>
      </c>
      <c r="AE4707" s="90">
        <f>AVERAGE(47.3,49.3,49)</f>
        <v>48.533333333333331</v>
      </c>
      <c r="AF4707" s="90">
        <f>AVERAGE(34.7,30.9,32.6)</f>
        <v>32.733333333333327</v>
      </c>
      <c r="AH4707" s="55" t="s">
        <v>139</v>
      </c>
      <c r="AI4707" s="168">
        <f>AVERAGE(7.79,7.88,7.89)</f>
        <v>7.8533333333333326</v>
      </c>
      <c r="AJ4707" s="90">
        <f>AVERAGE(2.07,1.07,0.92)*0.58</f>
        <v>0.78493333333333326</v>
      </c>
      <c r="AM4707" s="55" t="s">
        <v>4637</v>
      </c>
      <c r="AN4707" s="185" t="s">
        <v>4648</v>
      </c>
      <c r="AO4707" s="185" t="s">
        <v>5150</v>
      </c>
      <c r="AQ4707" s="55" t="s">
        <v>1545</v>
      </c>
      <c r="AR4707" s="55" t="s">
        <v>4638</v>
      </c>
      <c r="AS4707" s="55" t="s">
        <v>3471</v>
      </c>
      <c r="AU4707" s="181" t="s">
        <v>7494</v>
      </c>
      <c r="AV4707" s="185" t="s">
        <v>176</v>
      </c>
      <c r="AX4707" s="185" t="s">
        <v>176</v>
      </c>
      <c r="AZ4707" s="55" t="s">
        <v>4530</v>
      </c>
      <c r="BA4707" s="55" t="s">
        <v>4530</v>
      </c>
      <c r="BB4707" s="55" t="s">
        <v>2081</v>
      </c>
      <c r="BC4707" s="55" t="s">
        <v>2081</v>
      </c>
      <c r="BD4707" s="55" t="s">
        <v>176</v>
      </c>
      <c r="BK4707" s="55" t="s">
        <v>5976</v>
      </c>
      <c r="BV4707" s="55" t="s">
        <v>4645</v>
      </c>
      <c r="FE4707" s="65">
        <v>1.37</v>
      </c>
      <c r="FF4707" s="65">
        <v>1.03</v>
      </c>
      <c r="FG4707" s="65" t="s">
        <v>4652</v>
      </c>
      <c r="FJ4707" s="65">
        <v>0.18280000000000002</v>
      </c>
      <c r="FK4707" s="65">
        <v>0</v>
      </c>
      <c r="FN4707" s="65" t="s">
        <v>6362</v>
      </c>
      <c r="FO4707" s="65">
        <v>2.85</v>
      </c>
      <c r="FP4707" s="65">
        <v>0</v>
      </c>
      <c r="FS4707" s="65" t="s">
        <v>6373</v>
      </c>
      <c r="FT4707" s="65">
        <v>6.35</v>
      </c>
      <c r="FU4707" s="65">
        <v>0</v>
      </c>
      <c r="FX4707" s="65" t="s">
        <v>4647</v>
      </c>
      <c r="GP4707" s="292" t="s">
        <v>7494</v>
      </c>
      <c r="JW4707" s="55" t="s">
        <v>4640</v>
      </c>
    </row>
    <row r="4708" spans="1:283" x14ac:dyDescent="0.25">
      <c r="A4708" s="55">
        <v>4707</v>
      </c>
      <c r="B4708" s="12" t="s">
        <v>7067</v>
      </c>
      <c r="C4708" s="155">
        <v>205</v>
      </c>
      <c r="D4708" s="55" t="s">
        <v>4641</v>
      </c>
      <c r="E4708" s="90" t="s">
        <v>4635</v>
      </c>
      <c r="G4708" s="55" t="s">
        <v>4634</v>
      </c>
      <c r="H4708" s="55">
        <v>2018</v>
      </c>
      <c r="I4708" s="55">
        <v>2012</v>
      </c>
      <c r="J4708" s="55" t="s">
        <v>4514</v>
      </c>
      <c r="K4708" s="55" t="s">
        <v>4636</v>
      </c>
      <c r="L4708" s="55" t="s">
        <v>4516</v>
      </c>
      <c r="M4708" s="90">
        <f>37+51.5/60</f>
        <v>37.858333333333334</v>
      </c>
      <c r="N4708" s="90">
        <f>-4-48/60</f>
        <v>-4.8</v>
      </c>
      <c r="O4708" s="90">
        <v>95</v>
      </c>
      <c r="U4708" s="55" t="s">
        <v>1935</v>
      </c>
      <c r="V4708" s="55" t="s">
        <v>1805</v>
      </c>
      <c r="Y4708" s="55" t="s">
        <v>1921</v>
      </c>
      <c r="Z4708" s="55" t="s">
        <v>1383</v>
      </c>
      <c r="AA4708" s="90" t="s">
        <v>1684</v>
      </c>
      <c r="AE4708" s="90">
        <f>AVERAGE(47.3,49.3,49)</f>
        <v>48.533333333333331</v>
      </c>
      <c r="AF4708" s="90">
        <f>AVERAGE(34.7,30.9,32.6)</f>
        <v>32.733333333333327</v>
      </c>
      <c r="AH4708" s="55" t="s">
        <v>139</v>
      </c>
      <c r="AI4708" s="168">
        <f>AVERAGE(7.79,7.88,7.89)</f>
        <v>7.8533333333333326</v>
      </c>
      <c r="AJ4708" s="90">
        <f>AVERAGE(2.07,1.07,0.92)*0.58</f>
        <v>0.78493333333333326</v>
      </c>
      <c r="AM4708" s="55" t="s">
        <v>4637</v>
      </c>
      <c r="AN4708" s="185" t="s">
        <v>4649</v>
      </c>
      <c r="AO4708" s="185" t="s">
        <v>5150</v>
      </c>
      <c r="AQ4708" s="55" t="s">
        <v>1097</v>
      </c>
      <c r="AR4708" s="55" t="s">
        <v>4638</v>
      </c>
      <c r="AS4708" s="55" t="s">
        <v>3471</v>
      </c>
      <c r="AU4708" s="181" t="s">
        <v>7494</v>
      </c>
      <c r="AV4708" s="185" t="s">
        <v>176</v>
      </c>
      <c r="AX4708" s="185" t="s">
        <v>176</v>
      </c>
      <c r="AZ4708" s="55" t="s">
        <v>4530</v>
      </c>
      <c r="BA4708" s="55" t="s">
        <v>4530</v>
      </c>
      <c r="BB4708" s="55" t="s">
        <v>2081</v>
      </c>
      <c r="BC4708" s="55" t="s">
        <v>2081</v>
      </c>
      <c r="BD4708" s="55" t="s">
        <v>176</v>
      </c>
      <c r="BK4708" s="55" t="s">
        <v>5976</v>
      </c>
      <c r="BV4708" s="55" t="s">
        <v>4645</v>
      </c>
      <c r="FE4708" s="65">
        <v>1.37</v>
      </c>
      <c r="FF4708" s="65">
        <v>0.32</v>
      </c>
      <c r="FG4708" s="65" t="s">
        <v>4652</v>
      </c>
      <c r="FJ4708" s="65">
        <v>0.18280000000000002</v>
      </c>
      <c r="FK4708" s="65">
        <v>0</v>
      </c>
      <c r="FN4708" s="65" t="s">
        <v>6362</v>
      </c>
      <c r="FO4708" s="65">
        <v>2.85</v>
      </c>
      <c r="FP4708" s="65">
        <v>0</v>
      </c>
      <c r="FS4708" s="65" t="s">
        <v>6373</v>
      </c>
      <c r="FT4708" s="65">
        <v>6.35</v>
      </c>
      <c r="FU4708" s="65">
        <v>0</v>
      </c>
      <c r="FX4708" s="65" t="s">
        <v>4647</v>
      </c>
      <c r="GP4708" s="292" t="s">
        <v>7494</v>
      </c>
      <c r="JW4708" s="55" t="s">
        <v>4640</v>
      </c>
    </row>
    <row r="4709" spans="1:283" x14ac:dyDescent="0.25">
      <c r="A4709" s="55">
        <v>4708</v>
      </c>
      <c r="B4709" s="12" t="s">
        <v>7067</v>
      </c>
      <c r="C4709" s="155">
        <v>205</v>
      </c>
      <c r="D4709" s="55" t="s">
        <v>4642</v>
      </c>
      <c r="E4709" s="90" t="s">
        <v>4635</v>
      </c>
      <c r="G4709" s="55" t="s">
        <v>4634</v>
      </c>
      <c r="H4709" s="55">
        <v>2018</v>
      </c>
      <c r="I4709" s="55">
        <v>2012</v>
      </c>
      <c r="J4709" s="55" t="s">
        <v>4514</v>
      </c>
      <c r="K4709" s="55" t="s">
        <v>4636</v>
      </c>
      <c r="L4709" s="55" t="s">
        <v>4516</v>
      </c>
      <c r="M4709" s="90">
        <f>37+51.5/60</f>
        <v>37.858333333333334</v>
      </c>
      <c r="N4709" s="90">
        <f>-4-48/60</f>
        <v>-4.8</v>
      </c>
      <c r="O4709" s="90">
        <v>95</v>
      </c>
      <c r="U4709" s="55" t="s">
        <v>1935</v>
      </c>
      <c r="V4709" s="55" t="s">
        <v>1805</v>
      </c>
      <c r="Y4709" s="55" t="s">
        <v>1921</v>
      </c>
      <c r="Z4709" s="55" t="s">
        <v>1383</v>
      </c>
      <c r="AA4709" s="90" t="s">
        <v>1684</v>
      </c>
      <c r="AE4709" s="90">
        <f>AVERAGE(47.3,49.3,49)</f>
        <v>48.533333333333331</v>
      </c>
      <c r="AF4709" s="90">
        <f>AVERAGE(34.7,30.9,32.6)</f>
        <v>32.733333333333327</v>
      </c>
      <c r="AH4709" s="55" t="s">
        <v>139</v>
      </c>
      <c r="AI4709" s="168">
        <f>AVERAGE(7.79,7.88,7.89)</f>
        <v>7.8533333333333326</v>
      </c>
      <c r="AJ4709" s="90">
        <f>AVERAGE(2.07,1.07,0.92)*0.58</f>
        <v>0.78493333333333326</v>
      </c>
      <c r="AM4709" s="55" t="s">
        <v>4637</v>
      </c>
      <c r="AN4709" s="185" t="s">
        <v>3540</v>
      </c>
      <c r="AO4709" s="185" t="s">
        <v>5150</v>
      </c>
      <c r="AQ4709" s="55" t="s">
        <v>553</v>
      </c>
      <c r="AR4709" s="55" t="s">
        <v>4638</v>
      </c>
      <c r="AS4709" s="55" t="s">
        <v>3471</v>
      </c>
      <c r="AU4709" s="181" t="s">
        <v>7494</v>
      </c>
      <c r="AV4709" s="185" t="s">
        <v>176</v>
      </c>
      <c r="AX4709" s="185" t="s">
        <v>176</v>
      </c>
      <c r="AZ4709" s="55" t="s">
        <v>4530</v>
      </c>
      <c r="BA4709" s="55" t="s">
        <v>4530</v>
      </c>
      <c r="BB4709" s="55" t="s">
        <v>2081</v>
      </c>
      <c r="BC4709" s="55" t="s">
        <v>2081</v>
      </c>
      <c r="BD4709" s="55" t="s">
        <v>176</v>
      </c>
      <c r="BK4709" s="55" t="s">
        <v>5976</v>
      </c>
      <c r="BV4709" s="55" t="s">
        <v>4645</v>
      </c>
      <c r="FE4709" s="65">
        <v>1.37</v>
      </c>
      <c r="FF4709" s="65">
        <v>0.12</v>
      </c>
      <c r="FG4709" s="65" t="s">
        <v>4652</v>
      </c>
      <c r="FJ4709" s="65">
        <v>0.18280000000000002</v>
      </c>
      <c r="FK4709" s="65">
        <v>2.9999999999999997E-4</v>
      </c>
      <c r="FN4709" s="65" t="s">
        <v>6362</v>
      </c>
      <c r="FO4709" s="65">
        <v>2.85</v>
      </c>
      <c r="FP4709" s="65">
        <v>0.05</v>
      </c>
      <c r="FS4709" s="65" t="s">
        <v>6373</v>
      </c>
      <c r="FT4709" s="65">
        <v>6.35</v>
      </c>
      <c r="FU4709" s="65">
        <v>0.01</v>
      </c>
      <c r="FX4709" s="65" t="s">
        <v>4647</v>
      </c>
      <c r="GP4709" s="292" t="s">
        <v>7494</v>
      </c>
      <c r="JW4709" s="55" t="s">
        <v>4640</v>
      </c>
    </row>
    <row r="4710" spans="1:283" x14ac:dyDescent="0.25">
      <c r="A4710" s="55">
        <v>4709</v>
      </c>
      <c r="B4710" s="12" t="s">
        <v>7067</v>
      </c>
      <c r="C4710" s="155">
        <v>205</v>
      </c>
      <c r="D4710" s="55" t="s">
        <v>4643</v>
      </c>
      <c r="E4710" s="90" t="s">
        <v>4635</v>
      </c>
      <c r="G4710" s="55" t="s">
        <v>4634</v>
      </c>
      <c r="H4710" s="55">
        <v>2018</v>
      </c>
      <c r="I4710" s="55">
        <v>2012</v>
      </c>
      <c r="J4710" s="55" t="s">
        <v>4514</v>
      </c>
      <c r="K4710" s="55" t="s">
        <v>4636</v>
      </c>
      <c r="L4710" s="55" t="s">
        <v>4516</v>
      </c>
      <c r="M4710" s="90">
        <f>37+51.5/60</f>
        <v>37.858333333333334</v>
      </c>
      <c r="N4710" s="90">
        <f>-4-48/60</f>
        <v>-4.8</v>
      </c>
      <c r="O4710" s="90">
        <v>95</v>
      </c>
      <c r="U4710" s="55" t="s">
        <v>1935</v>
      </c>
      <c r="V4710" s="55" t="s">
        <v>1805</v>
      </c>
      <c r="Y4710" s="55" t="s">
        <v>1921</v>
      </c>
      <c r="Z4710" s="55" t="s">
        <v>1383</v>
      </c>
      <c r="AA4710" s="90" t="s">
        <v>1684</v>
      </c>
      <c r="AE4710" s="90">
        <f>AVERAGE(47.3,49.3,49)</f>
        <v>48.533333333333331</v>
      </c>
      <c r="AF4710" s="90">
        <f>AVERAGE(34.7,30.9,32.6)</f>
        <v>32.733333333333327</v>
      </c>
      <c r="AH4710" s="55" t="s">
        <v>139</v>
      </c>
      <c r="AI4710" s="168">
        <f>AVERAGE(7.79,7.88,7.89)</f>
        <v>7.8533333333333326</v>
      </c>
      <c r="AJ4710" s="90">
        <f>AVERAGE(2.07,1.07,0.92)*0.58</f>
        <v>0.78493333333333326</v>
      </c>
      <c r="AM4710" s="55" t="s">
        <v>4637</v>
      </c>
      <c r="AN4710" s="185" t="s">
        <v>4650</v>
      </c>
      <c r="AO4710" s="185" t="s">
        <v>5150</v>
      </c>
      <c r="AQ4710" s="55" t="s">
        <v>553</v>
      </c>
      <c r="AR4710" s="55" t="s">
        <v>4638</v>
      </c>
      <c r="AS4710" s="55" t="s">
        <v>3471</v>
      </c>
      <c r="AU4710" s="181" t="s">
        <v>7494</v>
      </c>
      <c r="AV4710" s="185" t="s">
        <v>176</v>
      </c>
      <c r="AX4710" s="185" t="s">
        <v>176</v>
      </c>
      <c r="AZ4710" s="55" t="s">
        <v>4530</v>
      </c>
      <c r="BA4710" s="55" t="s">
        <v>4530</v>
      </c>
      <c r="BB4710" s="55" t="s">
        <v>2081</v>
      </c>
      <c r="BC4710" s="55" t="s">
        <v>2081</v>
      </c>
      <c r="BD4710" s="55" t="s">
        <v>176</v>
      </c>
      <c r="BK4710" s="55" t="s">
        <v>5976</v>
      </c>
      <c r="BV4710" s="55" t="s">
        <v>4645</v>
      </c>
      <c r="FE4710" s="65">
        <v>1.37</v>
      </c>
      <c r="FF4710" s="65">
        <v>2.35</v>
      </c>
      <c r="FG4710" s="65" t="s">
        <v>4652</v>
      </c>
      <c r="FJ4710" s="65">
        <v>0.18280000000000002</v>
      </c>
      <c r="FK4710" s="65">
        <v>2.3E-3</v>
      </c>
      <c r="FN4710" s="65" t="s">
        <v>6362</v>
      </c>
      <c r="FO4710" s="65">
        <v>2.85</v>
      </c>
      <c r="FP4710" s="65">
        <v>0.35</v>
      </c>
      <c r="FS4710" s="65" t="s">
        <v>6373</v>
      </c>
      <c r="FT4710" s="65">
        <v>6.35</v>
      </c>
      <c r="FU4710" s="65">
        <v>0.06</v>
      </c>
      <c r="FX4710" s="65" t="s">
        <v>4647</v>
      </c>
      <c r="GP4710" s="292" t="s">
        <v>7494</v>
      </c>
      <c r="JW4710" s="55" t="s">
        <v>4640</v>
      </c>
    </row>
    <row r="4711" spans="1:283" x14ac:dyDescent="0.25">
      <c r="A4711" s="55">
        <v>4710</v>
      </c>
      <c r="B4711" s="12" t="s">
        <v>7067</v>
      </c>
      <c r="C4711" s="155">
        <v>205</v>
      </c>
      <c r="D4711" s="55" t="s">
        <v>4644</v>
      </c>
      <c r="E4711" s="90" t="s">
        <v>4635</v>
      </c>
      <c r="G4711" s="55" t="s">
        <v>4634</v>
      </c>
      <c r="H4711" s="55">
        <v>2018</v>
      </c>
      <c r="I4711" s="55">
        <v>2012</v>
      </c>
      <c r="J4711" s="55" t="s">
        <v>4514</v>
      </c>
      <c r="K4711" s="55" t="s">
        <v>4636</v>
      </c>
      <c r="L4711" s="55" t="s">
        <v>4516</v>
      </c>
      <c r="M4711" s="90">
        <f>37+51.5/60</f>
        <v>37.858333333333334</v>
      </c>
      <c r="N4711" s="90">
        <f>-4-48/60</f>
        <v>-4.8</v>
      </c>
      <c r="O4711" s="90">
        <v>95</v>
      </c>
      <c r="U4711" s="55" t="s">
        <v>1935</v>
      </c>
      <c r="V4711" s="55" t="s">
        <v>1805</v>
      </c>
      <c r="Y4711" s="55" t="s">
        <v>1921</v>
      </c>
      <c r="Z4711" s="55" t="s">
        <v>1383</v>
      </c>
      <c r="AA4711" s="90" t="s">
        <v>1684</v>
      </c>
      <c r="AE4711" s="90">
        <f>AVERAGE(47.3,49.3,49)</f>
        <v>48.533333333333331</v>
      </c>
      <c r="AF4711" s="90">
        <f>AVERAGE(34.7,30.9,32.6)</f>
        <v>32.733333333333327</v>
      </c>
      <c r="AH4711" s="55" t="s">
        <v>139</v>
      </c>
      <c r="AI4711" s="168">
        <f>AVERAGE(7.79,7.88,7.89)</f>
        <v>7.8533333333333326</v>
      </c>
      <c r="AJ4711" s="90">
        <f>AVERAGE(2.07,1.07,0.92)*0.58</f>
        <v>0.78493333333333326</v>
      </c>
      <c r="AM4711" s="55" t="s">
        <v>4637</v>
      </c>
      <c r="AN4711" s="185" t="s">
        <v>4651</v>
      </c>
      <c r="AO4711" s="185" t="s">
        <v>5150</v>
      </c>
      <c r="AQ4711" s="55" t="s">
        <v>1545</v>
      </c>
      <c r="AR4711" s="55" t="s">
        <v>4638</v>
      </c>
      <c r="AS4711" s="55" t="s">
        <v>3471</v>
      </c>
      <c r="AU4711" s="181" t="s">
        <v>7494</v>
      </c>
      <c r="AV4711" s="185" t="s">
        <v>176</v>
      </c>
      <c r="AX4711" s="185" t="s">
        <v>176</v>
      </c>
      <c r="AZ4711" s="55" t="s">
        <v>4530</v>
      </c>
      <c r="BA4711" s="55" t="s">
        <v>4530</v>
      </c>
      <c r="BB4711" s="55" t="s">
        <v>2081</v>
      </c>
      <c r="BC4711" s="55" t="s">
        <v>2081</v>
      </c>
      <c r="BD4711" s="55" t="s">
        <v>176</v>
      </c>
      <c r="BK4711" s="55" t="s">
        <v>5976</v>
      </c>
      <c r="BV4711" s="55" t="s">
        <v>4645</v>
      </c>
      <c r="FE4711" s="65">
        <v>1.37</v>
      </c>
      <c r="FF4711" s="65">
        <v>0.6</v>
      </c>
      <c r="FG4711" s="65" t="s">
        <v>4652</v>
      </c>
      <c r="FJ4711" s="65">
        <v>0.18280000000000002</v>
      </c>
      <c r="FK4711" s="65">
        <v>3.5999999999999999E-3</v>
      </c>
      <c r="FN4711" s="65" t="s">
        <v>6362</v>
      </c>
      <c r="FO4711" s="65">
        <v>2.85</v>
      </c>
      <c r="FP4711" s="65">
        <v>0.26</v>
      </c>
      <c r="FS4711" s="65" t="s">
        <v>6373</v>
      </c>
      <c r="FT4711" s="65">
        <v>6.35</v>
      </c>
      <c r="FU4711" s="65">
        <v>0.09</v>
      </c>
      <c r="FX4711" s="65" t="s">
        <v>4647</v>
      </c>
      <c r="GP4711" s="292" t="s">
        <v>7494</v>
      </c>
      <c r="JW4711" s="55" t="s">
        <v>4640</v>
      </c>
    </row>
    <row r="4712" spans="1:283" x14ac:dyDescent="0.25">
      <c r="A4712" s="55">
        <v>4711</v>
      </c>
      <c r="B4712" s="12" t="s">
        <v>7067</v>
      </c>
      <c r="C4712" s="155">
        <v>205</v>
      </c>
      <c r="D4712" s="55" t="s">
        <v>4633</v>
      </c>
      <c r="E4712" s="90" t="s">
        <v>4635</v>
      </c>
      <c r="G4712" s="55" t="s">
        <v>4634</v>
      </c>
      <c r="H4712" s="55">
        <v>2018</v>
      </c>
      <c r="I4712" s="55">
        <v>2012</v>
      </c>
      <c r="J4712" s="55" t="s">
        <v>4514</v>
      </c>
      <c r="K4712" s="55" t="s">
        <v>4636</v>
      </c>
      <c r="L4712" s="55" t="s">
        <v>4516</v>
      </c>
      <c r="M4712" s="90">
        <f>37+51.5/60</f>
        <v>37.858333333333334</v>
      </c>
      <c r="N4712" s="90">
        <f>-4-48/60</f>
        <v>-4.8</v>
      </c>
      <c r="O4712" s="90">
        <v>95</v>
      </c>
      <c r="U4712" s="55" t="s">
        <v>1935</v>
      </c>
      <c r="V4712" s="55" t="s">
        <v>1805</v>
      </c>
      <c r="Y4712" s="55" t="s">
        <v>1921</v>
      </c>
      <c r="Z4712" s="55" t="s">
        <v>1383</v>
      </c>
      <c r="AA4712" s="90" t="s">
        <v>1684</v>
      </c>
      <c r="AE4712" s="90">
        <f>AVERAGE(47.3,49.3,49)</f>
        <v>48.533333333333331</v>
      </c>
      <c r="AF4712" s="90">
        <f>AVERAGE(34.7,30.9,32.6)</f>
        <v>32.733333333333327</v>
      </c>
      <c r="AH4712" s="55" t="s">
        <v>139</v>
      </c>
      <c r="AI4712" s="168">
        <f>AVERAGE(7.79,7.88,7.89)</f>
        <v>7.8533333333333326</v>
      </c>
      <c r="AJ4712" s="90">
        <f>AVERAGE(2.07,1.07,0.92)*0.58</f>
        <v>0.78493333333333326</v>
      </c>
      <c r="AM4712" s="55" t="s">
        <v>4637</v>
      </c>
      <c r="AN4712" s="185" t="s">
        <v>4648</v>
      </c>
      <c r="AO4712" s="185" t="s">
        <v>5150</v>
      </c>
      <c r="AQ4712" s="55" t="s">
        <v>1545</v>
      </c>
      <c r="AR4712" s="55" t="s">
        <v>4638</v>
      </c>
      <c r="AS4712" s="55" t="s">
        <v>3471</v>
      </c>
      <c r="AU4712" s="181" t="s">
        <v>7494</v>
      </c>
      <c r="AV4712" s="185" t="s">
        <v>176</v>
      </c>
      <c r="AX4712" s="185" t="s">
        <v>176</v>
      </c>
      <c r="AZ4712" s="55" t="s">
        <v>4530</v>
      </c>
      <c r="BA4712" s="55" t="s">
        <v>4530</v>
      </c>
      <c r="BB4712" s="55" t="s">
        <v>2081</v>
      </c>
      <c r="BC4712" s="55" t="s">
        <v>2081</v>
      </c>
      <c r="BD4712" s="55" t="s">
        <v>176</v>
      </c>
      <c r="BK4712" s="55" t="s">
        <v>5976</v>
      </c>
      <c r="BV4712" s="55" t="s">
        <v>4646</v>
      </c>
      <c r="FJ4712" s="65">
        <v>2.4624000000000001</v>
      </c>
      <c r="FK4712" s="65">
        <v>3.0999999999999999E-3</v>
      </c>
      <c r="FN4712" s="65" t="s">
        <v>6362</v>
      </c>
      <c r="FO4712" s="65">
        <v>9.98</v>
      </c>
      <c r="FP4712" s="65">
        <v>0.22</v>
      </c>
      <c r="FS4712" s="65" t="s">
        <v>6373</v>
      </c>
      <c r="FT4712" s="65">
        <v>36.450000000000003</v>
      </c>
      <c r="FU4712" s="65">
        <v>0.16</v>
      </c>
      <c r="FX4712" s="65" t="s">
        <v>4647</v>
      </c>
      <c r="GP4712" s="292" t="s">
        <v>7494</v>
      </c>
      <c r="JW4712" s="55" t="s">
        <v>4640</v>
      </c>
    </row>
    <row r="4713" spans="1:283" x14ac:dyDescent="0.25">
      <c r="A4713" s="55">
        <v>4712</v>
      </c>
      <c r="B4713" s="12" t="s">
        <v>7067</v>
      </c>
      <c r="C4713" s="155">
        <v>205</v>
      </c>
      <c r="D4713" s="55" t="s">
        <v>4641</v>
      </c>
      <c r="E4713" s="90" t="s">
        <v>4635</v>
      </c>
      <c r="G4713" s="55" t="s">
        <v>4634</v>
      </c>
      <c r="H4713" s="55">
        <v>2018</v>
      </c>
      <c r="I4713" s="55">
        <v>2012</v>
      </c>
      <c r="J4713" s="55" t="s">
        <v>4514</v>
      </c>
      <c r="K4713" s="55" t="s">
        <v>4636</v>
      </c>
      <c r="L4713" s="55" t="s">
        <v>4516</v>
      </c>
      <c r="M4713" s="90">
        <f>37+51.5/60</f>
        <v>37.858333333333334</v>
      </c>
      <c r="N4713" s="90">
        <f>-4-48/60</f>
        <v>-4.8</v>
      </c>
      <c r="O4713" s="90">
        <v>95</v>
      </c>
      <c r="U4713" s="55" t="s">
        <v>1935</v>
      </c>
      <c r="V4713" s="55" t="s">
        <v>1805</v>
      </c>
      <c r="Y4713" s="55" t="s">
        <v>1921</v>
      </c>
      <c r="Z4713" s="55" t="s">
        <v>1383</v>
      </c>
      <c r="AA4713" s="90" t="s">
        <v>1684</v>
      </c>
      <c r="AE4713" s="90">
        <f>AVERAGE(47.3,49.3,49)</f>
        <v>48.533333333333331</v>
      </c>
      <c r="AF4713" s="90">
        <f>AVERAGE(34.7,30.9,32.6)</f>
        <v>32.733333333333327</v>
      </c>
      <c r="AH4713" s="55" t="s">
        <v>139</v>
      </c>
      <c r="AI4713" s="168">
        <f>AVERAGE(7.79,7.88,7.89)</f>
        <v>7.8533333333333326</v>
      </c>
      <c r="AJ4713" s="90">
        <f>AVERAGE(2.07,1.07,0.92)*0.58</f>
        <v>0.78493333333333326</v>
      </c>
      <c r="AM4713" s="55" t="s">
        <v>4637</v>
      </c>
      <c r="AN4713" s="185" t="s">
        <v>4649</v>
      </c>
      <c r="AO4713" s="185" t="s">
        <v>5150</v>
      </c>
      <c r="AQ4713" s="55" t="s">
        <v>1097</v>
      </c>
      <c r="AR4713" s="55" t="s">
        <v>4638</v>
      </c>
      <c r="AS4713" s="55" t="s">
        <v>3471</v>
      </c>
      <c r="AU4713" s="181" t="s">
        <v>7494</v>
      </c>
      <c r="AV4713" s="185" t="s">
        <v>176</v>
      </c>
      <c r="AX4713" s="185" t="s">
        <v>176</v>
      </c>
      <c r="AZ4713" s="55" t="s">
        <v>4530</v>
      </c>
      <c r="BA4713" s="55" t="s">
        <v>4530</v>
      </c>
      <c r="BB4713" s="55" t="s">
        <v>2081</v>
      </c>
      <c r="BC4713" s="55" t="s">
        <v>2081</v>
      </c>
      <c r="BD4713" s="55" t="s">
        <v>176</v>
      </c>
      <c r="BK4713" s="55" t="s">
        <v>5976</v>
      </c>
      <c r="BV4713" s="55" t="s">
        <v>4646</v>
      </c>
      <c r="FJ4713" s="65">
        <v>2.4624000000000001</v>
      </c>
      <c r="FK4713" s="65">
        <v>5.4000000000000003E-3</v>
      </c>
      <c r="FN4713" s="65" t="s">
        <v>6362</v>
      </c>
      <c r="FO4713" s="65">
        <v>9.98</v>
      </c>
      <c r="FP4713" s="65">
        <v>0.15</v>
      </c>
      <c r="FS4713" s="65" t="s">
        <v>6373</v>
      </c>
      <c r="FT4713" s="65">
        <v>36.450000000000003</v>
      </c>
      <c r="FU4713" s="65">
        <v>7.0000000000000007E-2</v>
      </c>
      <c r="FX4713" s="65" t="s">
        <v>4647</v>
      </c>
      <c r="GP4713" s="292" t="s">
        <v>7494</v>
      </c>
      <c r="JW4713" s="55" t="s">
        <v>4640</v>
      </c>
    </row>
    <row r="4714" spans="1:283" x14ac:dyDescent="0.25">
      <c r="A4714" s="55">
        <v>4713</v>
      </c>
      <c r="B4714" s="12" t="s">
        <v>7067</v>
      </c>
      <c r="C4714" s="155">
        <v>205</v>
      </c>
      <c r="D4714" s="55" t="s">
        <v>4642</v>
      </c>
      <c r="E4714" s="90" t="s">
        <v>4635</v>
      </c>
      <c r="G4714" s="55" t="s">
        <v>4634</v>
      </c>
      <c r="H4714" s="55">
        <v>2018</v>
      </c>
      <c r="I4714" s="55">
        <v>2012</v>
      </c>
      <c r="J4714" s="55" t="s">
        <v>4514</v>
      </c>
      <c r="K4714" s="55" t="s">
        <v>4636</v>
      </c>
      <c r="L4714" s="55" t="s">
        <v>4516</v>
      </c>
      <c r="M4714" s="90">
        <f>37+51.5/60</f>
        <v>37.858333333333334</v>
      </c>
      <c r="N4714" s="90">
        <f>-4-48/60</f>
        <v>-4.8</v>
      </c>
      <c r="O4714" s="90">
        <v>95</v>
      </c>
      <c r="U4714" s="55" t="s">
        <v>1935</v>
      </c>
      <c r="V4714" s="55" t="s">
        <v>1805</v>
      </c>
      <c r="Y4714" s="55" t="s">
        <v>1921</v>
      </c>
      <c r="Z4714" s="55" t="s">
        <v>1383</v>
      </c>
      <c r="AA4714" s="90" t="s">
        <v>1684</v>
      </c>
      <c r="AE4714" s="90">
        <f>AVERAGE(47.3,49.3,49)</f>
        <v>48.533333333333331</v>
      </c>
      <c r="AF4714" s="90">
        <f>AVERAGE(34.7,30.9,32.6)</f>
        <v>32.733333333333327</v>
      </c>
      <c r="AH4714" s="55" t="s">
        <v>139</v>
      </c>
      <c r="AI4714" s="168">
        <f>AVERAGE(7.79,7.88,7.89)</f>
        <v>7.8533333333333326</v>
      </c>
      <c r="AJ4714" s="90">
        <f>AVERAGE(2.07,1.07,0.92)*0.58</f>
        <v>0.78493333333333326</v>
      </c>
      <c r="AM4714" s="55" t="s">
        <v>4637</v>
      </c>
      <c r="AN4714" s="185" t="s">
        <v>3540</v>
      </c>
      <c r="AO4714" s="185" t="s">
        <v>5150</v>
      </c>
      <c r="AQ4714" s="55" t="s">
        <v>553</v>
      </c>
      <c r="AR4714" s="55" t="s">
        <v>4638</v>
      </c>
      <c r="AS4714" s="55" t="s">
        <v>3471</v>
      </c>
      <c r="AU4714" s="181" t="s">
        <v>7494</v>
      </c>
      <c r="AV4714" s="185" t="s">
        <v>176</v>
      </c>
      <c r="AX4714" s="185" t="s">
        <v>176</v>
      </c>
      <c r="AZ4714" s="55" t="s">
        <v>4530</v>
      </c>
      <c r="BA4714" s="55" t="s">
        <v>4530</v>
      </c>
      <c r="BB4714" s="55" t="s">
        <v>2081</v>
      </c>
      <c r="BC4714" s="55" t="s">
        <v>2081</v>
      </c>
      <c r="BD4714" s="55" t="s">
        <v>176</v>
      </c>
      <c r="BK4714" s="55" t="s">
        <v>5976</v>
      </c>
      <c r="BV4714" s="55" t="s">
        <v>4646</v>
      </c>
      <c r="FJ4714" s="65">
        <v>2.4624000000000001</v>
      </c>
      <c r="FK4714" s="65">
        <v>9.1000000000000004E-3</v>
      </c>
      <c r="FN4714" s="65" t="s">
        <v>6362</v>
      </c>
      <c r="FO4714" s="65">
        <v>9.98</v>
      </c>
      <c r="FP4714" s="65">
        <v>3.29</v>
      </c>
      <c r="FS4714" s="65" t="s">
        <v>6373</v>
      </c>
      <c r="FT4714" s="65">
        <v>36.450000000000003</v>
      </c>
      <c r="FU4714" s="65">
        <v>0.22</v>
      </c>
      <c r="FX4714" s="65" t="s">
        <v>4647</v>
      </c>
      <c r="GP4714" s="292" t="s">
        <v>7494</v>
      </c>
      <c r="JW4714" s="55" t="s">
        <v>4640</v>
      </c>
    </row>
    <row r="4715" spans="1:283" x14ac:dyDescent="0.25">
      <c r="A4715" s="55">
        <v>4714</v>
      </c>
      <c r="B4715" s="12" t="s">
        <v>7067</v>
      </c>
      <c r="C4715" s="155">
        <v>205</v>
      </c>
      <c r="D4715" s="55" t="s">
        <v>4643</v>
      </c>
      <c r="E4715" s="90" t="s">
        <v>4635</v>
      </c>
      <c r="G4715" s="55" t="s">
        <v>4634</v>
      </c>
      <c r="H4715" s="55">
        <v>2018</v>
      </c>
      <c r="I4715" s="55">
        <v>2012</v>
      </c>
      <c r="J4715" s="55" t="s">
        <v>4514</v>
      </c>
      <c r="K4715" s="55" t="s">
        <v>4636</v>
      </c>
      <c r="L4715" s="55" t="s">
        <v>4516</v>
      </c>
      <c r="M4715" s="90">
        <f>37+51.5/60</f>
        <v>37.858333333333334</v>
      </c>
      <c r="N4715" s="90">
        <f>-4-48/60</f>
        <v>-4.8</v>
      </c>
      <c r="O4715" s="90">
        <v>95</v>
      </c>
      <c r="U4715" s="55" t="s">
        <v>1935</v>
      </c>
      <c r="V4715" s="55" t="s">
        <v>1805</v>
      </c>
      <c r="Y4715" s="55" t="s">
        <v>1921</v>
      </c>
      <c r="Z4715" s="55" t="s">
        <v>1383</v>
      </c>
      <c r="AA4715" s="90" t="s">
        <v>1684</v>
      </c>
      <c r="AE4715" s="90">
        <f>AVERAGE(47.3,49.3,49)</f>
        <v>48.533333333333331</v>
      </c>
      <c r="AF4715" s="90">
        <f>AVERAGE(34.7,30.9,32.6)</f>
        <v>32.733333333333327</v>
      </c>
      <c r="AH4715" s="55" t="s">
        <v>139</v>
      </c>
      <c r="AI4715" s="168">
        <f>AVERAGE(7.79,7.88,7.89)</f>
        <v>7.8533333333333326</v>
      </c>
      <c r="AJ4715" s="90">
        <f>AVERAGE(2.07,1.07,0.92)*0.58</f>
        <v>0.78493333333333326</v>
      </c>
      <c r="AM4715" s="55" t="s">
        <v>4637</v>
      </c>
      <c r="AN4715" s="185" t="s">
        <v>4650</v>
      </c>
      <c r="AO4715" s="185" t="s">
        <v>5150</v>
      </c>
      <c r="AQ4715" s="55" t="s">
        <v>553</v>
      </c>
      <c r="AR4715" s="55" t="s">
        <v>4638</v>
      </c>
      <c r="AS4715" s="55" t="s">
        <v>3471</v>
      </c>
      <c r="AU4715" s="181" t="s">
        <v>7494</v>
      </c>
      <c r="AV4715" s="185" t="s">
        <v>176</v>
      </c>
      <c r="AX4715" s="185" t="s">
        <v>176</v>
      </c>
      <c r="AZ4715" s="55" t="s">
        <v>4530</v>
      </c>
      <c r="BA4715" s="55" t="s">
        <v>4530</v>
      </c>
      <c r="BB4715" s="55" t="s">
        <v>2081</v>
      </c>
      <c r="BC4715" s="55" t="s">
        <v>2081</v>
      </c>
      <c r="BD4715" s="55" t="s">
        <v>176</v>
      </c>
      <c r="BK4715" s="55" t="s">
        <v>5976</v>
      </c>
      <c r="BV4715" s="55" t="s">
        <v>4646</v>
      </c>
      <c r="FJ4715" s="65">
        <v>2.4624000000000001</v>
      </c>
      <c r="FK4715" s="65">
        <v>1.24E-2</v>
      </c>
      <c r="FN4715" s="65" t="s">
        <v>6362</v>
      </c>
      <c r="FO4715" s="65">
        <v>9.98</v>
      </c>
      <c r="FP4715" s="65">
        <v>3.76</v>
      </c>
      <c r="FS4715" s="65" t="s">
        <v>6373</v>
      </c>
      <c r="FT4715" s="65">
        <v>36.450000000000003</v>
      </c>
      <c r="FU4715" s="65">
        <v>0.35</v>
      </c>
      <c r="FX4715" s="65" t="s">
        <v>4647</v>
      </c>
      <c r="GP4715" s="292" t="s">
        <v>7494</v>
      </c>
      <c r="JW4715" s="55" t="s">
        <v>4640</v>
      </c>
    </row>
    <row r="4716" spans="1:283" x14ac:dyDescent="0.25">
      <c r="A4716" s="55">
        <v>4715</v>
      </c>
      <c r="B4716" s="12" t="s">
        <v>7067</v>
      </c>
      <c r="C4716" s="155">
        <v>205</v>
      </c>
      <c r="D4716" s="55" t="s">
        <v>4644</v>
      </c>
      <c r="E4716" s="90" t="s">
        <v>4635</v>
      </c>
      <c r="G4716" s="55" t="s">
        <v>4634</v>
      </c>
      <c r="H4716" s="55">
        <v>2018</v>
      </c>
      <c r="I4716" s="55">
        <v>2012</v>
      </c>
      <c r="J4716" s="55" t="s">
        <v>4514</v>
      </c>
      <c r="K4716" s="55" t="s">
        <v>4636</v>
      </c>
      <c r="L4716" s="55" t="s">
        <v>4516</v>
      </c>
      <c r="M4716" s="90">
        <f>37+51.5/60</f>
        <v>37.858333333333334</v>
      </c>
      <c r="N4716" s="90">
        <f>-4-48/60</f>
        <v>-4.8</v>
      </c>
      <c r="O4716" s="90">
        <v>95</v>
      </c>
      <c r="U4716" s="55" t="s">
        <v>1935</v>
      </c>
      <c r="V4716" s="55" t="s">
        <v>1805</v>
      </c>
      <c r="Y4716" s="55" t="s">
        <v>1921</v>
      </c>
      <c r="Z4716" s="55" t="s">
        <v>1383</v>
      </c>
      <c r="AA4716" s="90" t="s">
        <v>1684</v>
      </c>
      <c r="AE4716" s="90">
        <f>AVERAGE(47.3,49.3,49)</f>
        <v>48.533333333333331</v>
      </c>
      <c r="AF4716" s="90">
        <f>AVERAGE(34.7,30.9,32.6)</f>
        <v>32.733333333333327</v>
      </c>
      <c r="AH4716" s="55" t="s">
        <v>139</v>
      </c>
      <c r="AI4716" s="168">
        <f>AVERAGE(7.79,7.88,7.89)</f>
        <v>7.8533333333333326</v>
      </c>
      <c r="AJ4716" s="90">
        <f>AVERAGE(2.07,1.07,0.92)*0.58</f>
        <v>0.78493333333333326</v>
      </c>
      <c r="AM4716" s="55" t="s">
        <v>4637</v>
      </c>
      <c r="AN4716" s="185" t="s">
        <v>4651</v>
      </c>
      <c r="AO4716" s="185" t="s">
        <v>5150</v>
      </c>
      <c r="AQ4716" s="55" t="s">
        <v>1545</v>
      </c>
      <c r="AR4716" s="55" t="s">
        <v>4638</v>
      </c>
      <c r="AS4716" s="55" t="s">
        <v>3471</v>
      </c>
      <c r="AU4716" s="181" t="s">
        <v>7494</v>
      </c>
      <c r="AV4716" s="185" t="s">
        <v>176</v>
      </c>
      <c r="AX4716" s="185" t="s">
        <v>176</v>
      </c>
      <c r="AZ4716" s="55" t="s">
        <v>4530</v>
      </c>
      <c r="BA4716" s="55" t="s">
        <v>4530</v>
      </c>
      <c r="BB4716" s="55" t="s">
        <v>2081</v>
      </c>
      <c r="BC4716" s="55" t="s">
        <v>2081</v>
      </c>
      <c r="BD4716" s="55" t="s">
        <v>176</v>
      </c>
      <c r="BK4716" s="55" t="s">
        <v>5976</v>
      </c>
      <c r="BV4716" s="55" t="s">
        <v>4646</v>
      </c>
      <c r="FJ4716" s="65">
        <v>2.4624000000000001</v>
      </c>
      <c r="FK4716" s="65">
        <v>5.5799999999999995E-2</v>
      </c>
      <c r="FN4716" s="65" t="s">
        <v>6362</v>
      </c>
      <c r="FO4716" s="65">
        <v>9.98</v>
      </c>
      <c r="FP4716" s="65">
        <v>6.81</v>
      </c>
      <c r="FS4716" s="65" t="s">
        <v>6373</v>
      </c>
      <c r="FT4716" s="65">
        <v>36.450000000000003</v>
      </c>
      <c r="FU4716" s="65">
        <v>0.8</v>
      </c>
      <c r="FX4716" s="65" t="s">
        <v>4647</v>
      </c>
      <c r="GP4716" s="292" t="s">
        <v>7494</v>
      </c>
      <c r="JW4716" s="55" t="s">
        <v>4640</v>
      </c>
    </row>
    <row r="4717" spans="1:283" x14ac:dyDescent="0.25">
      <c r="A4717" s="55">
        <v>4716</v>
      </c>
      <c r="B4717" s="12" t="s">
        <v>7067</v>
      </c>
      <c r="C4717" s="155">
        <v>205</v>
      </c>
      <c r="D4717" s="55" t="s">
        <v>4633</v>
      </c>
      <c r="E4717" s="90" t="s">
        <v>4635</v>
      </c>
      <c r="G4717" s="55" t="s">
        <v>4634</v>
      </c>
      <c r="H4717" s="55">
        <v>2018</v>
      </c>
      <c r="I4717" s="55">
        <v>2013</v>
      </c>
      <c r="J4717" s="55" t="s">
        <v>4514</v>
      </c>
      <c r="K4717" s="55" t="s">
        <v>4636</v>
      </c>
      <c r="L4717" s="55" t="s">
        <v>4516</v>
      </c>
      <c r="M4717" s="90">
        <f>37+51.5/60</f>
        <v>37.858333333333334</v>
      </c>
      <c r="N4717" s="90">
        <f>-4-48/60</f>
        <v>-4.8</v>
      </c>
      <c r="O4717" s="90">
        <v>95</v>
      </c>
      <c r="U4717" s="55" t="s">
        <v>1805</v>
      </c>
      <c r="V4717" s="55" t="s">
        <v>1805</v>
      </c>
      <c r="Y4717" s="55" t="s">
        <v>1921</v>
      </c>
      <c r="Z4717" s="55" t="s">
        <v>1383</v>
      </c>
      <c r="AA4717" s="90" t="s">
        <v>1684</v>
      </c>
      <c r="AE4717" s="90">
        <f>AVERAGE(47.3,49.3,49)</f>
        <v>48.533333333333331</v>
      </c>
      <c r="AF4717" s="90">
        <f>AVERAGE(34.7,30.9,32.6)</f>
        <v>32.733333333333327</v>
      </c>
      <c r="AH4717" s="55" t="s">
        <v>139</v>
      </c>
      <c r="AI4717" s="168">
        <f>AVERAGE(7.79,7.88,7.89)</f>
        <v>7.8533333333333326</v>
      </c>
      <c r="AJ4717" s="90">
        <f>AVERAGE(2.07,1.07,0.92)*0.58</f>
        <v>0.78493333333333326</v>
      </c>
      <c r="AM4717" s="55" t="s">
        <v>4637</v>
      </c>
      <c r="AN4717" s="185" t="s">
        <v>4648</v>
      </c>
      <c r="AO4717" s="185" t="s">
        <v>5150</v>
      </c>
      <c r="AQ4717" s="55" t="s">
        <v>1545</v>
      </c>
      <c r="AR4717" s="55" t="s">
        <v>4638</v>
      </c>
      <c r="AS4717" s="55" t="s">
        <v>3471</v>
      </c>
      <c r="AU4717" s="181" t="s">
        <v>7494</v>
      </c>
      <c r="AV4717" s="185" t="s">
        <v>176</v>
      </c>
      <c r="AX4717" s="185" t="s">
        <v>176</v>
      </c>
      <c r="AZ4717" s="55" t="s">
        <v>4530</v>
      </c>
      <c r="BA4717" s="55" t="s">
        <v>4530</v>
      </c>
      <c r="BB4717" s="55" t="s">
        <v>2081</v>
      </c>
      <c r="BC4717" s="55" t="s">
        <v>2081</v>
      </c>
      <c r="BD4717" s="55" t="s">
        <v>176</v>
      </c>
      <c r="BK4717" s="55" t="s">
        <v>5976</v>
      </c>
      <c r="BV4717" s="55" t="s">
        <v>4645</v>
      </c>
      <c r="FJ4717" s="65">
        <v>0.66570000000000007</v>
      </c>
      <c r="FK4717" s="65">
        <v>7.0999999999999995E-3</v>
      </c>
      <c r="FN4717" s="65" t="s">
        <v>6362</v>
      </c>
      <c r="FO4717" s="65">
        <v>7.45</v>
      </c>
      <c r="FP4717" s="65">
        <v>2.2400000000000002</v>
      </c>
      <c r="FS4717" s="65" t="s">
        <v>6373</v>
      </c>
      <c r="FT4717" s="65">
        <v>11.53</v>
      </c>
      <c r="FU4717" s="65">
        <v>0.17</v>
      </c>
      <c r="FX4717" s="65" t="s">
        <v>4647</v>
      </c>
      <c r="GP4717" s="292" t="s">
        <v>7494</v>
      </c>
      <c r="JW4717" s="55" t="s">
        <v>4639</v>
      </c>
    </row>
    <row r="4718" spans="1:283" x14ac:dyDescent="0.25">
      <c r="A4718" s="55">
        <v>4717</v>
      </c>
      <c r="B4718" s="12" t="s">
        <v>7067</v>
      </c>
      <c r="C4718" s="155">
        <v>205</v>
      </c>
      <c r="D4718" s="55" t="s">
        <v>4641</v>
      </c>
      <c r="E4718" s="90" t="s">
        <v>4635</v>
      </c>
      <c r="G4718" s="55" t="s">
        <v>4634</v>
      </c>
      <c r="H4718" s="55">
        <v>2018</v>
      </c>
      <c r="I4718" s="55">
        <v>2013</v>
      </c>
      <c r="J4718" s="55" t="s">
        <v>4514</v>
      </c>
      <c r="K4718" s="55" t="s">
        <v>4636</v>
      </c>
      <c r="L4718" s="55" t="s">
        <v>4516</v>
      </c>
      <c r="M4718" s="90">
        <f>37+51.5/60</f>
        <v>37.858333333333334</v>
      </c>
      <c r="N4718" s="90">
        <f>-4-48/60</f>
        <v>-4.8</v>
      </c>
      <c r="O4718" s="90">
        <v>95</v>
      </c>
      <c r="U4718" s="55" t="s">
        <v>1805</v>
      </c>
      <c r="V4718" s="55" t="s">
        <v>1805</v>
      </c>
      <c r="Y4718" s="55" t="s">
        <v>1921</v>
      </c>
      <c r="Z4718" s="55" t="s">
        <v>1383</v>
      </c>
      <c r="AA4718" s="90" t="s">
        <v>1684</v>
      </c>
      <c r="AE4718" s="90">
        <f>AVERAGE(47.3,49.3,49)</f>
        <v>48.533333333333331</v>
      </c>
      <c r="AF4718" s="90">
        <f>AVERAGE(34.7,30.9,32.6)</f>
        <v>32.733333333333327</v>
      </c>
      <c r="AH4718" s="55" t="s">
        <v>139</v>
      </c>
      <c r="AI4718" s="168">
        <f>AVERAGE(7.79,7.88,7.89)</f>
        <v>7.8533333333333326</v>
      </c>
      <c r="AJ4718" s="90">
        <f>AVERAGE(2.07,1.07,0.92)*0.58</f>
        <v>0.78493333333333326</v>
      </c>
      <c r="AM4718" s="55" t="s">
        <v>4637</v>
      </c>
      <c r="AN4718" s="185" t="s">
        <v>4649</v>
      </c>
      <c r="AO4718" s="185" t="s">
        <v>5150</v>
      </c>
      <c r="AQ4718" s="55" t="s">
        <v>1097</v>
      </c>
      <c r="AR4718" s="55" t="s">
        <v>4638</v>
      </c>
      <c r="AS4718" s="55" t="s">
        <v>3471</v>
      </c>
      <c r="AU4718" s="181" t="s">
        <v>7494</v>
      </c>
      <c r="AV4718" s="185" t="s">
        <v>176</v>
      </c>
      <c r="AX4718" s="185" t="s">
        <v>176</v>
      </c>
      <c r="AZ4718" s="55" t="s">
        <v>4530</v>
      </c>
      <c r="BA4718" s="55" t="s">
        <v>4530</v>
      </c>
      <c r="BB4718" s="55" t="s">
        <v>2081</v>
      </c>
      <c r="BC4718" s="55" t="s">
        <v>2081</v>
      </c>
      <c r="BD4718" s="55" t="s">
        <v>176</v>
      </c>
      <c r="BK4718" s="55" t="s">
        <v>5976</v>
      </c>
      <c r="BV4718" s="55" t="s">
        <v>4645</v>
      </c>
      <c r="FJ4718" s="65">
        <v>0.66570000000000007</v>
      </c>
      <c r="FK4718" s="65">
        <v>6.7999999999999996E-3</v>
      </c>
      <c r="FN4718" s="65" t="s">
        <v>6362</v>
      </c>
      <c r="FO4718" s="65">
        <v>7.45</v>
      </c>
      <c r="FP4718" s="65">
        <v>0.3</v>
      </c>
      <c r="FS4718" s="65" t="s">
        <v>6373</v>
      </c>
      <c r="FT4718" s="65">
        <v>11.53</v>
      </c>
      <c r="FU4718" s="65">
        <v>0.19</v>
      </c>
      <c r="FX4718" s="65" t="s">
        <v>4647</v>
      </c>
      <c r="GP4718" s="292" t="s">
        <v>7494</v>
      </c>
      <c r="JW4718" s="55" t="s">
        <v>4639</v>
      </c>
    </row>
    <row r="4719" spans="1:283" x14ac:dyDescent="0.25">
      <c r="A4719" s="55">
        <v>4718</v>
      </c>
      <c r="B4719" s="12" t="s">
        <v>7067</v>
      </c>
      <c r="C4719" s="155">
        <v>205</v>
      </c>
      <c r="D4719" s="55" t="s">
        <v>4642</v>
      </c>
      <c r="E4719" s="90" t="s">
        <v>4635</v>
      </c>
      <c r="G4719" s="55" t="s">
        <v>4634</v>
      </c>
      <c r="H4719" s="55">
        <v>2018</v>
      </c>
      <c r="I4719" s="55">
        <v>2013</v>
      </c>
      <c r="J4719" s="55" t="s">
        <v>4514</v>
      </c>
      <c r="K4719" s="55" t="s">
        <v>4636</v>
      </c>
      <c r="L4719" s="55" t="s">
        <v>4516</v>
      </c>
      <c r="M4719" s="90">
        <f>37+51.5/60</f>
        <v>37.858333333333334</v>
      </c>
      <c r="N4719" s="90">
        <f>-4-48/60</f>
        <v>-4.8</v>
      </c>
      <c r="O4719" s="90">
        <v>95</v>
      </c>
      <c r="U4719" s="55" t="s">
        <v>1805</v>
      </c>
      <c r="V4719" s="55" t="s">
        <v>1805</v>
      </c>
      <c r="Y4719" s="55" t="s">
        <v>1921</v>
      </c>
      <c r="Z4719" s="55" t="s">
        <v>1383</v>
      </c>
      <c r="AA4719" s="90" t="s">
        <v>1684</v>
      </c>
      <c r="AE4719" s="90">
        <f>AVERAGE(47.3,49.3,49)</f>
        <v>48.533333333333331</v>
      </c>
      <c r="AF4719" s="90">
        <f>AVERAGE(34.7,30.9,32.6)</f>
        <v>32.733333333333327</v>
      </c>
      <c r="AH4719" s="55" t="s">
        <v>139</v>
      </c>
      <c r="AI4719" s="168">
        <f>AVERAGE(7.79,7.88,7.89)</f>
        <v>7.8533333333333326</v>
      </c>
      <c r="AJ4719" s="90">
        <f>AVERAGE(2.07,1.07,0.92)*0.58</f>
        <v>0.78493333333333326</v>
      </c>
      <c r="AM4719" s="55" t="s">
        <v>4637</v>
      </c>
      <c r="AN4719" s="185" t="s">
        <v>3540</v>
      </c>
      <c r="AO4719" s="185" t="s">
        <v>5150</v>
      </c>
      <c r="AQ4719" s="55" t="s">
        <v>553</v>
      </c>
      <c r="AR4719" s="55" t="s">
        <v>4638</v>
      </c>
      <c r="AS4719" s="55" t="s">
        <v>3471</v>
      </c>
      <c r="AU4719" s="181" t="s">
        <v>7494</v>
      </c>
      <c r="AV4719" s="185" t="s">
        <v>176</v>
      </c>
      <c r="AX4719" s="185" t="s">
        <v>176</v>
      </c>
      <c r="AZ4719" s="55" t="s">
        <v>4530</v>
      </c>
      <c r="BA4719" s="55" t="s">
        <v>4530</v>
      </c>
      <c r="BB4719" s="55" t="s">
        <v>2081</v>
      </c>
      <c r="BC4719" s="55" t="s">
        <v>2081</v>
      </c>
      <c r="BD4719" s="55" t="s">
        <v>176</v>
      </c>
      <c r="BK4719" s="55" t="s">
        <v>5976</v>
      </c>
      <c r="BV4719" s="55" t="s">
        <v>4645</v>
      </c>
      <c r="FJ4719" s="65">
        <v>0.66570000000000007</v>
      </c>
      <c r="FK4719" s="65">
        <v>2.2000000000000001E-3</v>
      </c>
      <c r="FN4719" s="65" t="s">
        <v>6362</v>
      </c>
      <c r="FO4719" s="65">
        <v>7.45</v>
      </c>
      <c r="FP4719" s="65">
        <v>0.23</v>
      </c>
      <c r="FS4719" s="65" t="s">
        <v>6373</v>
      </c>
      <c r="FT4719" s="65">
        <v>11.53</v>
      </c>
      <c r="FU4719" s="65">
        <v>7.0000000000000007E-2</v>
      </c>
      <c r="FX4719" s="65" t="s">
        <v>4647</v>
      </c>
      <c r="GP4719" s="292" t="s">
        <v>7494</v>
      </c>
      <c r="JW4719" s="55" t="s">
        <v>4639</v>
      </c>
    </row>
    <row r="4720" spans="1:283" x14ac:dyDescent="0.25">
      <c r="A4720" s="55">
        <v>4719</v>
      </c>
      <c r="B4720" s="12" t="s">
        <v>7067</v>
      </c>
      <c r="C4720" s="155">
        <v>205</v>
      </c>
      <c r="D4720" s="55" t="s">
        <v>4643</v>
      </c>
      <c r="E4720" s="90" t="s">
        <v>4635</v>
      </c>
      <c r="G4720" s="55" t="s">
        <v>4634</v>
      </c>
      <c r="H4720" s="55">
        <v>2018</v>
      </c>
      <c r="I4720" s="55">
        <v>2013</v>
      </c>
      <c r="J4720" s="55" t="s">
        <v>4514</v>
      </c>
      <c r="K4720" s="55" t="s">
        <v>4636</v>
      </c>
      <c r="L4720" s="55" t="s">
        <v>4516</v>
      </c>
      <c r="M4720" s="90">
        <f>37+51.5/60</f>
        <v>37.858333333333334</v>
      </c>
      <c r="N4720" s="90">
        <f>-4-48/60</f>
        <v>-4.8</v>
      </c>
      <c r="O4720" s="90">
        <v>95</v>
      </c>
      <c r="U4720" s="55" t="s">
        <v>1805</v>
      </c>
      <c r="V4720" s="55" t="s">
        <v>1805</v>
      </c>
      <c r="Y4720" s="55" t="s">
        <v>1921</v>
      </c>
      <c r="Z4720" s="55" t="s">
        <v>1383</v>
      </c>
      <c r="AA4720" s="90" t="s">
        <v>1684</v>
      </c>
      <c r="AE4720" s="90">
        <f>AVERAGE(47.3,49.3,49)</f>
        <v>48.533333333333331</v>
      </c>
      <c r="AF4720" s="90">
        <f>AVERAGE(34.7,30.9,32.6)</f>
        <v>32.733333333333327</v>
      </c>
      <c r="AH4720" s="55" t="s">
        <v>139</v>
      </c>
      <c r="AI4720" s="168">
        <f>AVERAGE(7.79,7.88,7.89)</f>
        <v>7.8533333333333326</v>
      </c>
      <c r="AJ4720" s="90">
        <f>AVERAGE(2.07,1.07,0.92)*0.58</f>
        <v>0.78493333333333326</v>
      </c>
      <c r="AM4720" s="55" t="s">
        <v>4637</v>
      </c>
      <c r="AN4720" s="185" t="s">
        <v>4650</v>
      </c>
      <c r="AO4720" s="185" t="s">
        <v>5150</v>
      </c>
      <c r="AQ4720" s="55" t="s">
        <v>553</v>
      </c>
      <c r="AR4720" s="55" t="s">
        <v>4638</v>
      </c>
      <c r="AS4720" s="55" t="s">
        <v>3471</v>
      </c>
      <c r="AU4720" s="181" t="s">
        <v>7494</v>
      </c>
      <c r="AV4720" s="185" t="s">
        <v>176</v>
      </c>
      <c r="AX4720" s="185" t="s">
        <v>176</v>
      </c>
      <c r="AZ4720" s="55" t="s">
        <v>4530</v>
      </c>
      <c r="BA4720" s="55" t="s">
        <v>4530</v>
      </c>
      <c r="BB4720" s="55" t="s">
        <v>2081</v>
      </c>
      <c r="BC4720" s="55" t="s">
        <v>2081</v>
      </c>
      <c r="BD4720" s="55" t="s">
        <v>176</v>
      </c>
      <c r="BK4720" s="55" t="s">
        <v>5976</v>
      </c>
      <c r="BV4720" s="55" t="s">
        <v>4645</v>
      </c>
      <c r="FJ4720" s="65">
        <v>0.66570000000000007</v>
      </c>
      <c r="FK4720" s="65">
        <v>1.35E-2</v>
      </c>
      <c r="FN4720" s="65" t="s">
        <v>6362</v>
      </c>
      <c r="FO4720" s="65">
        <v>7.45</v>
      </c>
      <c r="FP4720" s="65">
        <v>1.69</v>
      </c>
      <c r="FS4720" s="65" t="s">
        <v>6373</v>
      </c>
      <c r="FT4720" s="65">
        <v>11.53</v>
      </c>
      <c r="FU4720" s="65">
        <v>0.32</v>
      </c>
      <c r="FX4720" s="65" t="s">
        <v>4647</v>
      </c>
      <c r="GP4720" s="292" t="s">
        <v>7494</v>
      </c>
      <c r="JW4720" s="55" t="s">
        <v>4639</v>
      </c>
    </row>
    <row r="4721" spans="1:283" x14ac:dyDescent="0.25">
      <c r="A4721" s="55">
        <v>4720</v>
      </c>
      <c r="B4721" s="12" t="s">
        <v>7067</v>
      </c>
      <c r="C4721" s="155">
        <v>205</v>
      </c>
      <c r="D4721" s="55" t="s">
        <v>4644</v>
      </c>
      <c r="E4721" s="90" t="s">
        <v>4635</v>
      </c>
      <c r="G4721" s="55" t="s">
        <v>4634</v>
      </c>
      <c r="H4721" s="55">
        <v>2018</v>
      </c>
      <c r="I4721" s="55">
        <v>2013</v>
      </c>
      <c r="J4721" s="55" t="s">
        <v>4514</v>
      </c>
      <c r="K4721" s="55" t="s">
        <v>4636</v>
      </c>
      <c r="L4721" s="55" t="s">
        <v>4516</v>
      </c>
      <c r="M4721" s="90">
        <f>37+51.5/60</f>
        <v>37.858333333333334</v>
      </c>
      <c r="N4721" s="90">
        <f>-4-48/60</f>
        <v>-4.8</v>
      </c>
      <c r="O4721" s="90">
        <v>95</v>
      </c>
      <c r="U4721" s="55" t="s">
        <v>1805</v>
      </c>
      <c r="V4721" s="55" t="s">
        <v>1805</v>
      </c>
      <c r="Y4721" s="55" t="s">
        <v>1921</v>
      </c>
      <c r="Z4721" s="55" t="s">
        <v>1383</v>
      </c>
      <c r="AA4721" s="90" t="s">
        <v>1684</v>
      </c>
      <c r="AE4721" s="90">
        <f>AVERAGE(47.3,49.3,49)</f>
        <v>48.533333333333331</v>
      </c>
      <c r="AF4721" s="90">
        <f>AVERAGE(34.7,30.9,32.6)</f>
        <v>32.733333333333327</v>
      </c>
      <c r="AH4721" s="55" t="s">
        <v>139</v>
      </c>
      <c r="AI4721" s="168">
        <f>AVERAGE(7.79,7.88,7.89)</f>
        <v>7.8533333333333326</v>
      </c>
      <c r="AJ4721" s="90">
        <f>AVERAGE(2.07,1.07,0.92)*0.58</f>
        <v>0.78493333333333326</v>
      </c>
      <c r="AM4721" s="55" t="s">
        <v>4637</v>
      </c>
      <c r="AN4721" s="185" t="s">
        <v>4651</v>
      </c>
      <c r="AO4721" s="185" t="s">
        <v>5150</v>
      </c>
      <c r="AQ4721" s="55" t="s">
        <v>1545</v>
      </c>
      <c r="AR4721" s="55" t="s">
        <v>4638</v>
      </c>
      <c r="AS4721" s="55" t="s">
        <v>3471</v>
      </c>
      <c r="AU4721" s="181" t="s">
        <v>7494</v>
      </c>
      <c r="AV4721" s="185" t="s">
        <v>176</v>
      </c>
      <c r="AX4721" s="185" t="s">
        <v>176</v>
      </c>
      <c r="AZ4721" s="55" t="s">
        <v>4530</v>
      </c>
      <c r="BA4721" s="55" t="s">
        <v>4530</v>
      </c>
      <c r="BB4721" s="55" t="s">
        <v>2081</v>
      </c>
      <c r="BC4721" s="55" t="s">
        <v>2081</v>
      </c>
      <c r="BD4721" s="55" t="s">
        <v>176</v>
      </c>
      <c r="BK4721" s="55" t="s">
        <v>5976</v>
      </c>
      <c r="BV4721" s="55" t="s">
        <v>4645</v>
      </c>
      <c r="FJ4721" s="65">
        <v>0.66570000000000007</v>
      </c>
      <c r="FK4721" s="65">
        <v>5.7000000000000002E-3</v>
      </c>
      <c r="FN4721" s="65" t="s">
        <v>6362</v>
      </c>
      <c r="FO4721" s="65">
        <v>7.45</v>
      </c>
      <c r="FP4721" s="65">
        <v>0.74</v>
      </c>
      <c r="FS4721" s="65" t="s">
        <v>6373</v>
      </c>
      <c r="FT4721" s="65">
        <v>11.53</v>
      </c>
      <c r="FU4721" s="65">
        <v>0.18</v>
      </c>
      <c r="FX4721" s="65" t="s">
        <v>4647</v>
      </c>
      <c r="GP4721" s="292" t="s">
        <v>7494</v>
      </c>
      <c r="JW4721" s="55" t="s">
        <v>4639</v>
      </c>
    </row>
    <row r="4722" spans="1:283" x14ac:dyDescent="0.25">
      <c r="A4722" s="55">
        <v>4721</v>
      </c>
      <c r="B4722" s="12" t="s">
        <v>7067</v>
      </c>
      <c r="C4722" s="155">
        <v>205</v>
      </c>
      <c r="D4722" s="55" t="s">
        <v>4633</v>
      </c>
      <c r="E4722" s="90" t="s">
        <v>4635</v>
      </c>
      <c r="G4722" s="55" t="s">
        <v>4634</v>
      </c>
      <c r="H4722" s="55">
        <v>2018</v>
      </c>
      <c r="I4722" s="55">
        <v>2013</v>
      </c>
      <c r="J4722" s="55" t="s">
        <v>4514</v>
      </c>
      <c r="K4722" s="55" t="s">
        <v>4636</v>
      </c>
      <c r="L4722" s="55" t="s">
        <v>4516</v>
      </c>
      <c r="M4722" s="90">
        <f>37+51.5/60</f>
        <v>37.858333333333334</v>
      </c>
      <c r="N4722" s="90">
        <f>-4-48/60</f>
        <v>-4.8</v>
      </c>
      <c r="O4722" s="90">
        <v>95</v>
      </c>
      <c r="U4722" s="55" t="s">
        <v>1805</v>
      </c>
      <c r="V4722" s="55" t="s">
        <v>1805</v>
      </c>
      <c r="Y4722" s="55" t="s">
        <v>1921</v>
      </c>
      <c r="Z4722" s="55" t="s">
        <v>1383</v>
      </c>
      <c r="AA4722" s="90" t="s">
        <v>1684</v>
      </c>
      <c r="AE4722" s="90">
        <f>AVERAGE(47.3,49.3,49)</f>
        <v>48.533333333333331</v>
      </c>
      <c r="AF4722" s="90">
        <f>AVERAGE(34.7,30.9,32.6)</f>
        <v>32.733333333333327</v>
      </c>
      <c r="AH4722" s="55" t="s">
        <v>139</v>
      </c>
      <c r="AI4722" s="168">
        <f>AVERAGE(7.79,7.88,7.89)</f>
        <v>7.8533333333333326</v>
      </c>
      <c r="AJ4722" s="90">
        <f>AVERAGE(2.07,1.07,0.92)*0.58</f>
        <v>0.78493333333333326</v>
      </c>
      <c r="AM4722" s="55" t="s">
        <v>4637</v>
      </c>
      <c r="AN4722" s="185" t="s">
        <v>4648</v>
      </c>
      <c r="AO4722" s="185" t="s">
        <v>5150</v>
      </c>
      <c r="AQ4722" s="55" t="s">
        <v>1545</v>
      </c>
      <c r="AR4722" s="55" t="s">
        <v>4638</v>
      </c>
      <c r="AS4722" s="55" t="s">
        <v>3471</v>
      </c>
      <c r="AU4722" s="181" t="s">
        <v>7494</v>
      </c>
      <c r="AV4722" s="185" t="s">
        <v>176</v>
      </c>
      <c r="AX4722" s="185" t="s">
        <v>176</v>
      </c>
      <c r="AZ4722" s="55" t="s">
        <v>4530</v>
      </c>
      <c r="BA4722" s="55" t="s">
        <v>4530</v>
      </c>
      <c r="BB4722" s="55" t="s">
        <v>2081</v>
      </c>
      <c r="BC4722" s="55" t="s">
        <v>2081</v>
      </c>
      <c r="BD4722" s="55" t="s">
        <v>176</v>
      </c>
      <c r="BK4722" s="55" t="s">
        <v>5976</v>
      </c>
      <c r="BV4722" s="55" t="s">
        <v>4646</v>
      </c>
      <c r="FJ4722" s="65">
        <v>0.12609999999999999</v>
      </c>
      <c r="FK4722" s="65">
        <v>0</v>
      </c>
      <c r="FN4722" s="65" t="s">
        <v>6362</v>
      </c>
      <c r="FO4722" s="65">
        <v>2.09</v>
      </c>
      <c r="FP4722" s="65">
        <v>0</v>
      </c>
      <c r="FS4722" s="65" t="s">
        <v>6373</v>
      </c>
      <c r="FT4722" s="65">
        <v>1.96</v>
      </c>
      <c r="FU4722" s="65">
        <v>0</v>
      </c>
      <c r="FX4722" s="65" t="s">
        <v>4647</v>
      </c>
      <c r="GP4722" s="292" t="s">
        <v>7494</v>
      </c>
      <c r="JW4722" s="55" t="s">
        <v>4639</v>
      </c>
    </row>
    <row r="4723" spans="1:283" x14ac:dyDescent="0.25">
      <c r="A4723" s="55">
        <v>4722</v>
      </c>
      <c r="B4723" s="12" t="s">
        <v>7067</v>
      </c>
      <c r="C4723" s="155">
        <v>205</v>
      </c>
      <c r="D4723" s="55" t="s">
        <v>4641</v>
      </c>
      <c r="E4723" s="90" t="s">
        <v>4635</v>
      </c>
      <c r="G4723" s="55" t="s">
        <v>4634</v>
      </c>
      <c r="H4723" s="55">
        <v>2018</v>
      </c>
      <c r="I4723" s="55">
        <v>2013</v>
      </c>
      <c r="J4723" s="55" t="s">
        <v>4514</v>
      </c>
      <c r="K4723" s="55" t="s">
        <v>4636</v>
      </c>
      <c r="L4723" s="55" t="s">
        <v>4516</v>
      </c>
      <c r="M4723" s="90">
        <f>37+51.5/60</f>
        <v>37.858333333333334</v>
      </c>
      <c r="N4723" s="90">
        <f>-4-48/60</f>
        <v>-4.8</v>
      </c>
      <c r="O4723" s="90">
        <v>95</v>
      </c>
      <c r="U4723" s="55" t="s">
        <v>1805</v>
      </c>
      <c r="V4723" s="55" t="s">
        <v>1805</v>
      </c>
      <c r="Y4723" s="55" t="s">
        <v>1921</v>
      </c>
      <c r="Z4723" s="55" t="s">
        <v>1383</v>
      </c>
      <c r="AA4723" s="90" t="s">
        <v>1684</v>
      </c>
      <c r="AE4723" s="90">
        <f>AVERAGE(47.3,49.3,49)</f>
        <v>48.533333333333331</v>
      </c>
      <c r="AF4723" s="90">
        <f>AVERAGE(34.7,30.9,32.6)</f>
        <v>32.733333333333327</v>
      </c>
      <c r="AH4723" s="55" t="s">
        <v>139</v>
      </c>
      <c r="AI4723" s="168">
        <f>AVERAGE(7.79,7.88,7.89)</f>
        <v>7.8533333333333326</v>
      </c>
      <c r="AJ4723" s="90">
        <f>AVERAGE(2.07,1.07,0.92)*0.58</f>
        <v>0.78493333333333326</v>
      </c>
      <c r="AM4723" s="55" t="s">
        <v>4637</v>
      </c>
      <c r="AN4723" s="185" t="s">
        <v>4649</v>
      </c>
      <c r="AO4723" s="185" t="s">
        <v>5150</v>
      </c>
      <c r="AQ4723" s="55" t="s">
        <v>1097</v>
      </c>
      <c r="AR4723" s="55" t="s">
        <v>4638</v>
      </c>
      <c r="AS4723" s="55" t="s">
        <v>3471</v>
      </c>
      <c r="AU4723" s="181" t="s">
        <v>7494</v>
      </c>
      <c r="AV4723" s="185" t="s">
        <v>176</v>
      </c>
      <c r="AX4723" s="185" t="s">
        <v>176</v>
      </c>
      <c r="AZ4723" s="55" t="s">
        <v>4530</v>
      </c>
      <c r="BA4723" s="55" t="s">
        <v>4530</v>
      </c>
      <c r="BB4723" s="55" t="s">
        <v>2081</v>
      </c>
      <c r="BC4723" s="55" t="s">
        <v>2081</v>
      </c>
      <c r="BD4723" s="55" t="s">
        <v>176</v>
      </c>
      <c r="BK4723" s="55" t="s">
        <v>5976</v>
      </c>
      <c r="BV4723" s="55" t="s">
        <v>4646</v>
      </c>
      <c r="FJ4723" s="65">
        <v>0.12609999999999999</v>
      </c>
      <c r="FK4723" s="65">
        <v>0</v>
      </c>
      <c r="FN4723" s="65" t="s">
        <v>6362</v>
      </c>
      <c r="FO4723" s="65">
        <v>2.09</v>
      </c>
      <c r="FP4723" s="65">
        <v>0</v>
      </c>
      <c r="FS4723" s="65" t="s">
        <v>6373</v>
      </c>
      <c r="FT4723" s="65">
        <v>1.96</v>
      </c>
      <c r="FU4723" s="65">
        <v>0</v>
      </c>
      <c r="FX4723" s="65" t="s">
        <v>4647</v>
      </c>
      <c r="GP4723" s="292" t="s">
        <v>7494</v>
      </c>
      <c r="JW4723" s="55" t="s">
        <v>4639</v>
      </c>
    </row>
    <row r="4724" spans="1:283" x14ac:dyDescent="0.25">
      <c r="A4724" s="55">
        <v>4723</v>
      </c>
      <c r="B4724" s="12" t="s">
        <v>7067</v>
      </c>
      <c r="C4724" s="155">
        <v>205</v>
      </c>
      <c r="D4724" s="55" t="s">
        <v>4642</v>
      </c>
      <c r="E4724" s="90" t="s">
        <v>4635</v>
      </c>
      <c r="G4724" s="55" t="s">
        <v>4634</v>
      </c>
      <c r="H4724" s="55">
        <v>2018</v>
      </c>
      <c r="I4724" s="55">
        <v>2013</v>
      </c>
      <c r="J4724" s="55" t="s">
        <v>4514</v>
      </c>
      <c r="K4724" s="55" t="s">
        <v>4636</v>
      </c>
      <c r="L4724" s="55" t="s">
        <v>4516</v>
      </c>
      <c r="M4724" s="90">
        <f>37+51.5/60</f>
        <v>37.858333333333334</v>
      </c>
      <c r="N4724" s="90">
        <f>-4-48/60</f>
        <v>-4.8</v>
      </c>
      <c r="O4724" s="90">
        <v>95</v>
      </c>
      <c r="U4724" s="55" t="s">
        <v>1805</v>
      </c>
      <c r="V4724" s="55" t="s">
        <v>1805</v>
      </c>
      <c r="Y4724" s="55" t="s">
        <v>1921</v>
      </c>
      <c r="Z4724" s="55" t="s">
        <v>1383</v>
      </c>
      <c r="AA4724" s="90" t="s">
        <v>1684</v>
      </c>
      <c r="AE4724" s="90">
        <f>AVERAGE(47.3,49.3,49)</f>
        <v>48.533333333333331</v>
      </c>
      <c r="AF4724" s="90">
        <f>AVERAGE(34.7,30.9,32.6)</f>
        <v>32.733333333333327</v>
      </c>
      <c r="AH4724" s="55" t="s">
        <v>139</v>
      </c>
      <c r="AI4724" s="168">
        <f>AVERAGE(7.79,7.88,7.89)</f>
        <v>7.8533333333333326</v>
      </c>
      <c r="AJ4724" s="90">
        <f>AVERAGE(2.07,1.07,0.92)*0.58</f>
        <v>0.78493333333333326</v>
      </c>
      <c r="AM4724" s="55" t="s">
        <v>4637</v>
      </c>
      <c r="AN4724" s="185" t="s">
        <v>3540</v>
      </c>
      <c r="AO4724" s="185" t="s">
        <v>5150</v>
      </c>
      <c r="AQ4724" s="55" t="s">
        <v>553</v>
      </c>
      <c r="AR4724" s="55" t="s">
        <v>4638</v>
      </c>
      <c r="AS4724" s="55" t="s">
        <v>3471</v>
      </c>
      <c r="AU4724" s="181" t="s">
        <v>7494</v>
      </c>
      <c r="AV4724" s="185" t="s">
        <v>176</v>
      </c>
      <c r="AX4724" s="185" t="s">
        <v>176</v>
      </c>
      <c r="AZ4724" s="55" t="s">
        <v>4530</v>
      </c>
      <c r="BA4724" s="55" t="s">
        <v>4530</v>
      </c>
      <c r="BB4724" s="55" t="s">
        <v>2081</v>
      </c>
      <c r="BC4724" s="55" t="s">
        <v>2081</v>
      </c>
      <c r="BD4724" s="55" t="s">
        <v>176</v>
      </c>
      <c r="BK4724" s="55" t="s">
        <v>5976</v>
      </c>
      <c r="BV4724" s="55" t="s">
        <v>4646</v>
      </c>
      <c r="FJ4724" s="65">
        <v>0.12609999999999999</v>
      </c>
      <c r="FK4724" s="65">
        <v>2.7000000000000001E-3</v>
      </c>
      <c r="FN4724" s="65" t="s">
        <v>6362</v>
      </c>
      <c r="FO4724" s="65">
        <v>2.09</v>
      </c>
      <c r="FP4724" s="65">
        <v>7.0000000000000007E-2</v>
      </c>
      <c r="FS4724" s="65" t="s">
        <v>6373</v>
      </c>
      <c r="FT4724" s="65">
        <v>1.96</v>
      </c>
      <c r="FU4724" s="65">
        <v>0.14000000000000001</v>
      </c>
      <c r="FX4724" s="65" t="s">
        <v>4647</v>
      </c>
      <c r="GP4724" s="292" t="s">
        <v>7494</v>
      </c>
      <c r="JW4724" s="55" t="s">
        <v>4639</v>
      </c>
    </row>
    <row r="4725" spans="1:283" x14ac:dyDescent="0.25">
      <c r="A4725" s="55">
        <v>4724</v>
      </c>
      <c r="B4725" s="12" t="s">
        <v>7067</v>
      </c>
      <c r="C4725" s="155">
        <v>205</v>
      </c>
      <c r="D4725" s="55" t="s">
        <v>4643</v>
      </c>
      <c r="E4725" s="90" t="s">
        <v>4635</v>
      </c>
      <c r="G4725" s="55" t="s">
        <v>4634</v>
      </c>
      <c r="H4725" s="55">
        <v>2018</v>
      </c>
      <c r="I4725" s="55">
        <v>2013</v>
      </c>
      <c r="J4725" s="55" t="s">
        <v>4514</v>
      </c>
      <c r="K4725" s="55" t="s">
        <v>4636</v>
      </c>
      <c r="L4725" s="55" t="s">
        <v>4516</v>
      </c>
      <c r="M4725" s="90">
        <f>37+51.5/60</f>
        <v>37.858333333333334</v>
      </c>
      <c r="N4725" s="90">
        <f>-4-48/60</f>
        <v>-4.8</v>
      </c>
      <c r="O4725" s="90">
        <v>95</v>
      </c>
      <c r="U4725" s="55" t="s">
        <v>1805</v>
      </c>
      <c r="V4725" s="55" t="s">
        <v>1805</v>
      </c>
      <c r="Y4725" s="55" t="s">
        <v>1921</v>
      </c>
      <c r="Z4725" s="55" t="s">
        <v>1383</v>
      </c>
      <c r="AA4725" s="90" t="s">
        <v>1684</v>
      </c>
      <c r="AE4725" s="90">
        <f>AVERAGE(47.3,49.3,49)</f>
        <v>48.533333333333331</v>
      </c>
      <c r="AF4725" s="90">
        <f>AVERAGE(34.7,30.9,32.6)</f>
        <v>32.733333333333327</v>
      </c>
      <c r="AH4725" s="55" t="s">
        <v>139</v>
      </c>
      <c r="AI4725" s="168">
        <f>AVERAGE(7.79,7.88,7.89)</f>
        <v>7.8533333333333326</v>
      </c>
      <c r="AJ4725" s="90">
        <f>AVERAGE(2.07,1.07,0.92)*0.58</f>
        <v>0.78493333333333326</v>
      </c>
      <c r="AM4725" s="55" t="s">
        <v>4637</v>
      </c>
      <c r="AN4725" s="185" t="s">
        <v>4650</v>
      </c>
      <c r="AO4725" s="185" t="s">
        <v>5150</v>
      </c>
      <c r="AQ4725" s="55" t="s">
        <v>553</v>
      </c>
      <c r="AR4725" s="55" t="s">
        <v>4638</v>
      </c>
      <c r="AS4725" s="55" t="s">
        <v>3471</v>
      </c>
      <c r="AU4725" s="181" t="s">
        <v>7494</v>
      </c>
      <c r="AV4725" s="185" t="s">
        <v>176</v>
      </c>
      <c r="AX4725" s="185" t="s">
        <v>176</v>
      </c>
      <c r="AZ4725" s="55" t="s">
        <v>4530</v>
      </c>
      <c r="BA4725" s="55" t="s">
        <v>4530</v>
      </c>
      <c r="BB4725" s="55" t="s">
        <v>2081</v>
      </c>
      <c r="BC4725" s="55" t="s">
        <v>2081</v>
      </c>
      <c r="BD4725" s="55" t="s">
        <v>176</v>
      </c>
      <c r="BK4725" s="55" t="s">
        <v>5976</v>
      </c>
      <c r="BV4725" s="55" t="s">
        <v>4646</v>
      </c>
      <c r="FJ4725" s="65">
        <v>0.12609999999999999</v>
      </c>
      <c r="FK4725" s="65">
        <v>2.3999999999999998E-3</v>
      </c>
      <c r="FN4725" s="65" t="s">
        <v>6362</v>
      </c>
      <c r="FO4725" s="65">
        <v>2.09</v>
      </c>
      <c r="FP4725" s="65">
        <v>0.28000000000000003</v>
      </c>
      <c r="FS4725" s="65" t="s">
        <v>6373</v>
      </c>
      <c r="FT4725" s="65">
        <v>1.96</v>
      </c>
      <c r="FU4725" s="65">
        <v>0.12</v>
      </c>
      <c r="FX4725" s="65" t="s">
        <v>4647</v>
      </c>
      <c r="GP4725" s="292" t="s">
        <v>7494</v>
      </c>
      <c r="JW4725" s="55" t="s">
        <v>4639</v>
      </c>
    </row>
    <row r="4726" spans="1:283" x14ac:dyDescent="0.25">
      <c r="A4726" s="55">
        <v>4725</v>
      </c>
      <c r="B4726" s="12" t="s">
        <v>7067</v>
      </c>
      <c r="C4726" s="155">
        <v>205</v>
      </c>
      <c r="D4726" s="55" t="s">
        <v>4644</v>
      </c>
      <c r="E4726" s="90" t="s">
        <v>4635</v>
      </c>
      <c r="G4726" s="55" t="s">
        <v>4634</v>
      </c>
      <c r="H4726" s="55">
        <v>2018</v>
      </c>
      <c r="I4726" s="55">
        <v>2013</v>
      </c>
      <c r="J4726" s="55" t="s">
        <v>4514</v>
      </c>
      <c r="K4726" s="55" t="s">
        <v>4636</v>
      </c>
      <c r="L4726" s="55" t="s">
        <v>4516</v>
      </c>
      <c r="M4726" s="90">
        <f>37+51.5/60</f>
        <v>37.858333333333334</v>
      </c>
      <c r="N4726" s="90">
        <f>-4-48/60</f>
        <v>-4.8</v>
      </c>
      <c r="O4726" s="90">
        <v>95</v>
      </c>
      <c r="U4726" s="55" t="s">
        <v>1805</v>
      </c>
      <c r="V4726" s="55" t="s">
        <v>1805</v>
      </c>
      <c r="Y4726" s="55" t="s">
        <v>1921</v>
      </c>
      <c r="Z4726" s="55" t="s">
        <v>1383</v>
      </c>
      <c r="AA4726" s="90" t="s">
        <v>1684</v>
      </c>
      <c r="AE4726" s="90">
        <f>AVERAGE(47.3,49.3,49)</f>
        <v>48.533333333333331</v>
      </c>
      <c r="AF4726" s="90">
        <f>AVERAGE(34.7,30.9,32.6)</f>
        <v>32.733333333333327</v>
      </c>
      <c r="AH4726" s="55" t="s">
        <v>139</v>
      </c>
      <c r="AI4726" s="168">
        <f>AVERAGE(7.79,7.88,7.89)</f>
        <v>7.8533333333333326</v>
      </c>
      <c r="AJ4726" s="90">
        <f>AVERAGE(2.07,1.07,0.92)*0.58</f>
        <v>0.78493333333333326</v>
      </c>
      <c r="AM4726" s="55" t="s">
        <v>4637</v>
      </c>
      <c r="AN4726" s="185" t="s">
        <v>4651</v>
      </c>
      <c r="AO4726" s="185" t="s">
        <v>5150</v>
      </c>
      <c r="AQ4726" s="55" t="s">
        <v>1545</v>
      </c>
      <c r="AR4726" s="55" t="s">
        <v>4638</v>
      </c>
      <c r="AS4726" s="55" t="s">
        <v>3471</v>
      </c>
      <c r="AU4726" s="181" t="s">
        <v>7494</v>
      </c>
      <c r="AV4726" s="185" t="s">
        <v>176</v>
      </c>
      <c r="AX4726" s="185" t="s">
        <v>176</v>
      </c>
      <c r="AZ4726" s="55" t="s">
        <v>4530</v>
      </c>
      <c r="BA4726" s="55" t="s">
        <v>4530</v>
      </c>
      <c r="BB4726" s="55" t="s">
        <v>2081</v>
      </c>
      <c r="BC4726" s="55" t="s">
        <v>2081</v>
      </c>
      <c r="BD4726" s="55" t="s">
        <v>176</v>
      </c>
      <c r="BK4726" s="55" t="s">
        <v>5976</v>
      </c>
      <c r="BV4726" s="55" t="s">
        <v>4646</v>
      </c>
      <c r="FJ4726" s="65">
        <v>0.12609999999999999</v>
      </c>
      <c r="FK4726" s="65">
        <v>2.5000000000000001E-3</v>
      </c>
      <c r="FN4726" s="65" t="s">
        <v>6362</v>
      </c>
      <c r="FO4726" s="65">
        <v>2.09</v>
      </c>
      <c r="FP4726" s="65">
        <v>0.19</v>
      </c>
      <c r="FS4726" s="65" t="s">
        <v>6373</v>
      </c>
      <c r="FT4726" s="65">
        <v>1.96</v>
      </c>
      <c r="FU4726" s="65">
        <v>0.12</v>
      </c>
      <c r="FX4726" s="65" t="s">
        <v>4647</v>
      </c>
      <c r="GP4726" s="292" t="s">
        <v>7494</v>
      </c>
      <c r="JW4726" s="55" t="s">
        <v>4639</v>
      </c>
    </row>
    <row r="4727" spans="1:283" x14ac:dyDescent="0.25">
      <c r="A4727" s="55">
        <v>4726</v>
      </c>
      <c r="B4727" s="12" t="s">
        <v>7067</v>
      </c>
      <c r="C4727" s="155">
        <v>205</v>
      </c>
      <c r="D4727" s="55" t="s">
        <v>4633</v>
      </c>
      <c r="E4727" s="90" t="s">
        <v>4635</v>
      </c>
      <c r="G4727" s="55" t="s">
        <v>4634</v>
      </c>
      <c r="H4727" s="55">
        <v>2018</v>
      </c>
      <c r="I4727" s="55">
        <v>2013</v>
      </c>
      <c r="J4727" s="55" t="s">
        <v>4514</v>
      </c>
      <c r="K4727" s="55" t="s">
        <v>4636</v>
      </c>
      <c r="L4727" s="55" t="s">
        <v>4516</v>
      </c>
      <c r="M4727" s="90">
        <f>37+51.5/60</f>
        <v>37.858333333333334</v>
      </c>
      <c r="N4727" s="90">
        <f>-4-48/60</f>
        <v>-4.8</v>
      </c>
      <c r="O4727" s="90">
        <v>95</v>
      </c>
      <c r="U4727" s="55" t="s">
        <v>1805</v>
      </c>
      <c r="V4727" s="55" t="s">
        <v>1805</v>
      </c>
      <c r="Y4727" s="55" t="s">
        <v>1921</v>
      </c>
      <c r="Z4727" s="55" t="s">
        <v>1383</v>
      </c>
      <c r="AA4727" s="90" t="s">
        <v>1684</v>
      </c>
      <c r="AE4727" s="90">
        <f>AVERAGE(47.3,49.3,49)</f>
        <v>48.533333333333331</v>
      </c>
      <c r="AF4727" s="90">
        <f>AVERAGE(34.7,30.9,32.6)</f>
        <v>32.733333333333327</v>
      </c>
      <c r="AH4727" s="55" t="s">
        <v>139</v>
      </c>
      <c r="AI4727" s="168">
        <f>AVERAGE(7.79,7.88,7.89)</f>
        <v>7.8533333333333326</v>
      </c>
      <c r="AJ4727" s="90">
        <f>AVERAGE(2.07,1.07,0.92)*0.58</f>
        <v>0.78493333333333326</v>
      </c>
      <c r="AM4727" s="55" t="s">
        <v>4637</v>
      </c>
      <c r="AN4727" s="185" t="s">
        <v>4648</v>
      </c>
      <c r="AO4727" s="185" t="s">
        <v>5150</v>
      </c>
      <c r="AQ4727" s="55" t="s">
        <v>1545</v>
      </c>
      <c r="AR4727" s="55" t="s">
        <v>4638</v>
      </c>
      <c r="AS4727" s="55" t="s">
        <v>3471</v>
      </c>
      <c r="AU4727" s="181" t="s">
        <v>7494</v>
      </c>
      <c r="AV4727" s="185" t="s">
        <v>176</v>
      </c>
      <c r="AX4727" s="185" t="s">
        <v>176</v>
      </c>
      <c r="AZ4727" s="55" t="s">
        <v>4530</v>
      </c>
      <c r="BA4727" s="55" t="s">
        <v>4530</v>
      </c>
      <c r="BB4727" s="55" t="s">
        <v>2081</v>
      </c>
      <c r="BC4727" s="55" t="s">
        <v>2081</v>
      </c>
      <c r="BD4727" s="55" t="s">
        <v>176</v>
      </c>
      <c r="BK4727" s="55" t="s">
        <v>5976</v>
      </c>
      <c r="BV4727" s="55" t="s">
        <v>4645</v>
      </c>
      <c r="FJ4727" s="65">
        <v>0.1507</v>
      </c>
      <c r="FK4727" s="65">
        <v>4.4999999999999997E-3</v>
      </c>
      <c r="FN4727" s="65" t="s">
        <v>6362</v>
      </c>
      <c r="FO4727" s="65">
        <v>2.84</v>
      </c>
      <c r="FP4727" s="65">
        <v>0.27</v>
      </c>
      <c r="FS4727" s="65" t="s">
        <v>6373</v>
      </c>
      <c r="FT4727" s="65">
        <v>1.17</v>
      </c>
      <c r="FU4727" s="65">
        <v>7.0000000000000007E-2</v>
      </c>
      <c r="FX4727" s="65" t="s">
        <v>4647</v>
      </c>
      <c r="GP4727" s="292" t="s">
        <v>7494</v>
      </c>
      <c r="JW4727" s="55" t="s">
        <v>4640</v>
      </c>
    </row>
    <row r="4728" spans="1:283" x14ac:dyDescent="0.25">
      <c r="A4728" s="55">
        <v>4727</v>
      </c>
      <c r="B4728" s="12" t="s">
        <v>7067</v>
      </c>
      <c r="C4728" s="155">
        <v>205</v>
      </c>
      <c r="D4728" s="55" t="s">
        <v>4641</v>
      </c>
      <c r="E4728" s="90" t="s">
        <v>4635</v>
      </c>
      <c r="G4728" s="55" t="s">
        <v>4634</v>
      </c>
      <c r="H4728" s="55">
        <v>2018</v>
      </c>
      <c r="I4728" s="55">
        <v>2013</v>
      </c>
      <c r="J4728" s="55" t="s">
        <v>4514</v>
      </c>
      <c r="K4728" s="55" t="s">
        <v>4636</v>
      </c>
      <c r="L4728" s="55" t="s">
        <v>4516</v>
      </c>
      <c r="M4728" s="90">
        <f>37+51.5/60</f>
        <v>37.858333333333334</v>
      </c>
      <c r="N4728" s="90">
        <f>-4-48/60</f>
        <v>-4.8</v>
      </c>
      <c r="O4728" s="90">
        <v>95</v>
      </c>
      <c r="U4728" s="55" t="s">
        <v>1805</v>
      </c>
      <c r="V4728" s="55" t="s">
        <v>1805</v>
      </c>
      <c r="Y4728" s="55" t="s">
        <v>1921</v>
      </c>
      <c r="Z4728" s="55" t="s">
        <v>1383</v>
      </c>
      <c r="AA4728" s="90" t="s">
        <v>1684</v>
      </c>
      <c r="AE4728" s="90">
        <f>AVERAGE(47.3,49.3,49)</f>
        <v>48.533333333333331</v>
      </c>
      <c r="AF4728" s="90">
        <f>AVERAGE(34.7,30.9,32.6)</f>
        <v>32.733333333333327</v>
      </c>
      <c r="AH4728" s="55" t="s">
        <v>139</v>
      </c>
      <c r="AI4728" s="168">
        <f>AVERAGE(7.79,7.88,7.89)</f>
        <v>7.8533333333333326</v>
      </c>
      <c r="AJ4728" s="90">
        <f>AVERAGE(2.07,1.07,0.92)*0.58</f>
        <v>0.78493333333333326</v>
      </c>
      <c r="AM4728" s="55" t="s">
        <v>4637</v>
      </c>
      <c r="AN4728" s="185" t="s">
        <v>4649</v>
      </c>
      <c r="AO4728" s="185" t="s">
        <v>5150</v>
      </c>
      <c r="AQ4728" s="55" t="s">
        <v>1097</v>
      </c>
      <c r="AR4728" s="55" t="s">
        <v>4638</v>
      </c>
      <c r="AS4728" s="55" t="s">
        <v>3471</v>
      </c>
      <c r="AU4728" s="181" t="s">
        <v>7494</v>
      </c>
      <c r="AV4728" s="185" t="s">
        <v>176</v>
      </c>
      <c r="AX4728" s="185" t="s">
        <v>176</v>
      </c>
      <c r="AZ4728" s="55" t="s">
        <v>4530</v>
      </c>
      <c r="BA4728" s="55" t="s">
        <v>4530</v>
      </c>
      <c r="BB4728" s="55" t="s">
        <v>2081</v>
      </c>
      <c r="BC4728" s="55" t="s">
        <v>2081</v>
      </c>
      <c r="BD4728" s="55" t="s">
        <v>176</v>
      </c>
      <c r="BK4728" s="55" t="s">
        <v>5976</v>
      </c>
      <c r="BV4728" s="55" t="s">
        <v>4645</v>
      </c>
      <c r="FJ4728" s="65">
        <v>0.1507</v>
      </c>
      <c r="FK4728" s="65">
        <v>0</v>
      </c>
      <c r="FN4728" s="65" t="s">
        <v>6362</v>
      </c>
      <c r="FO4728" s="65">
        <v>2.84</v>
      </c>
      <c r="FP4728" s="65">
        <v>0.01</v>
      </c>
      <c r="FS4728" s="65" t="s">
        <v>6373</v>
      </c>
      <c r="FT4728" s="65">
        <v>1.17</v>
      </c>
      <c r="FU4728" s="65">
        <v>0</v>
      </c>
      <c r="FX4728" s="65" t="s">
        <v>4647</v>
      </c>
      <c r="GP4728" s="292" t="s">
        <v>7494</v>
      </c>
      <c r="JW4728" s="55" t="s">
        <v>4640</v>
      </c>
    </row>
    <row r="4729" spans="1:283" x14ac:dyDescent="0.25">
      <c r="A4729" s="55">
        <v>4728</v>
      </c>
      <c r="B4729" s="12" t="s">
        <v>7067</v>
      </c>
      <c r="C4729" s="155">
        <v>205</v>
      </c>
      <c r="D4729" s="55" t="s">
        <v>4642</v>
      </c>
      <c r="E4729" s="90" t="s">
        <v>4635</v>
      </c>
      <c r="G4729" s="55" t="s">
        <v>4634</v>
      </c>
      <c r="H4729" s="55">
        <v>2018</v>
      </c>
      <c r="I4729" s="55">
        <v>2013</v>
      </c>
      <c r="J4729" s="55" t="s">
        <v>4514</v>
      </c>
      <c r="K4729" s="55" t="s">
        <v>4636</v>
      </c>
      <c r="L4729" s="55" t="s">
        <v>4516</v>
      </c>
      <c r="M4729" s="90">
        <f>37+51.5/60</f>
        <v>37.858333333333334</v>
      </c>
      <c r="N4729" s="90">
        <f>-4-48/60</f>
        <v>-4.8</v>
      </c>
      <c r="O4729" s="90">
        <v>95</v>
      </c>
      <c r="U4729" s="55" t="s">
        <v>1805</v>
      </c>
      <c r="V4729" s="55" t="s">
        <v>1805</v>
      </c>
      <c r="Y4729" s="55" t="s">
        <v>1921</v>
      </c>
      <c r="Z4729" s="55" t="s">
        <v>1383</v>
      </c>
      <c r="AA4729" s="90" t="s">
        <v>1684</v>
      </c>
      <c r="AE4729" s="90">
        <f>AVERAGE(47.3,49.3,49)</f>
        <v>48.533333333333331</v>
      </c>
      <c r="AF4729" s="90">
        <f>AVERAGE(34.7,30.9,32.6)</f>
        <v>32.733333333333327</v>
      </c>
      <c r="AH4729" s="55" t="s">
        <v>139</v>
      </c>
      <c r="AI4729" s="168">
        <f>AVERAGE(7.79,7.88,7.89)</f>
        <v>7.8533333333333326</v>
      </c>
      <c r="AJ4729" s="90">
        <f>AVERAGE(2.07,1.07,0.92)*0.58</f>
        <v>0.78493333333333326</v>
      </c>
      <c r="AM4729" s="55" t="s">
        <v>4637</v>
      </c>
      <c r="AN4729" s="185" t="s">
        <v>3540</v>
      </c>
      <c r="AO4729" s="185" t="s">
        <v>5150</v>
      </c>
      <c r="AQ4729" s="55" t="s">
        <v>553</v>
      </c>
      <c r="AR4729" s="55" t="s">
        <v>4638</v>
      </c>
      <c r="AS4729" s="55" t="s">
        <v>3471</v>
      </c>
      <c r="AU4729" s="181" t="s">
        <v>7494</v>
      </c>
      <c r="AV4729" s="185" t="s">
        <v>176</v>
      </c>
      <c r="AX4729" s="185" t="s">
        <v>176</v>
      </c>
      <c r="AZ4729" s="55" t="s">
        <v>4530</v>
      </c>
      <c r="BA4729" s="55" t="s">
        <v>4530</v>
      </c>
      <c r="BB4729" s="55" t="s">
        <v>2081</v>
      </c>
      <c r="BC4729" s="55" t="s">
        <v>2081</v>
      </c>
      <c r="BD4729" s="55" t="s">
        <v>176</v>
      </c>
      <c r="BK4729" s="55" t="s">
        <v>5976</v>
      </c>
      <c r="BV4729" s="55" t="s">
        <v>4645</v>
      </c>
      <c r="FJ4729" s="65">
        <v>0.1507</v>
      </c>
      <c r="FK4729" s="65">
        <v>1.6000000000000001E-3</v>
      </c>
      <c r="FN4729" s="65" t="s">
        <v>6362</v>
      </c>
      <c r="FO4729" s="65">
        <v>2.84</v>
      </c>
      <c r="FP4729" s="65">
        <v>0.01</v>
      </c>
      <c r="FS4729" s="65" t="s">
        <v>6373</v>
      </c>
      <c r="FT4729" s="65">
        <v>1.17</v>
      </c>
      <c r="FU4729" s="65">
        <v>0.03</v>
      </c>
      <c r="FX4729" s="65" t="s">
        <v>4647</v>
      </c>
      <c r="GP4729" s="292" t="s">
        <v>7494</v>
      </c>
      <c r="JW4729" s="55" t="s">
        <v>4640</v>
      </c>
    </row>
    <row r="4730" spans="1:283" x14ac:dyDescent="0.25">
      <c r="A4730" s="55">
        <v>4729</v>
      </c>
      <c r="B4730" s="12" t="s">
        <v>7067</v>
      </c>
      <c r="C4730" s="155">
        <v>205</v>
      </c>
      <c r="D4730" s="55" t="s">
        <v>4643</v>
      </c>
      <c r="E4730" s="90" t="s">
        <v>4635</v>
      </c>
      <c r="G4730" s="55" t="s">
        <v>4634</v>
      </c>
      <c r="H4730" s="55">
        <v>2018</v>
      </c>
      <c r="I4730" s="55">
        <v>2013</v>
      </c>
      <c r="J4730" s="55" t="s">
        <v>4514</v>
      </c>
      <c r="K4730" s="55" t="s">
        <v>4636</v>
      </c>
      <c r="L4730" s="55" t="s">
        <v>4516</v>
      </c>
      <c r="M4730" s="90">
        <f>37+51.5/60</f>
        <v>37.858333333333334</v>
      </c>
      <c r="N4730" s="90">
        <f>-4-48/60</f>
        <v>-4.8</v>
      </c>
      <c r="O4730" s="90">
        <v>95</v>
      </c>
      <c r="U4730" s="55" t="s">
        <v>1805</v>
      </c>
      <c r="V4730" s="55" t="s">
        <v>1805</v>
      </c>
      <c r="Y4730" s="55" t="s">
        <v>1921</v>
      </c>
      <c r="Z4730" s="55" t="s">
        <v>1383</v>
      </c>
      <c r="AA4730" s="90" t="s">
        <v>1684</v>
      </c>
      <c r="AE4730" s="90">
        <f>AVERAGE(47.3,49.3,49)</f>
        <v>48.533333333333331</v>
      </c>
      <c r="AF4730" s="90">
        <f>AVERAGE(34.7,30.9,32.6)</f>
        <v>32.733333333333327</v>
      </c>
      <c r="AH4730" s="55" t="s">
        <v>139</v>
      </c>
      <c r="AI4730" s="168">
        <f>AVERAGE(7.79,7.88,7.89)</f>
        <v>7.8533333333333326</v>
      </c>
      <c r="AJ4730" s="90">
        <f>AVERAGE(2.07,1.07,0.92)*0.58</f>
        <v>0.78493333333333326</v>
      </c>
      <c r="AM4730" s="55" t="s">
        <v>4637</v>
      </c>
      <c r="AN4730" s="185" t="s">
        <v>4650</v>
      </c>
      <c r="AO4730" s="185" t="s">
        <v>5150</v>
      </c>
      <c r="AQ4730" s="55" t="s">
        <v>553</v>
      </c>
      <c r="AR4730" s="55" t="s">
        <v>4638</v>
      </c>
      <c r="AS4730" s="55" t="s">
        <v>3471</v>
      </c>
      <c r="AU4730" s="181" t="s">
        <v>7494</v>
      </c>
      <c r="AV4730" s="185" t="s">
        <v>176</v>
      </c>
      <c r="AX4730" s="185" t="s">
        <v>176</v>
      </c>
      <c r="AZ4730" s="55" t="s">
        <v>4530</v>
      </c>
      <c r="BA4730" s="55" t="s">
        <v>4530</v>
      </c>
      <c r="BB4730" s="55" t="s">
        <v>2081</v>
      </c>
      <c r="BC4730" s="55" t="s">
        <v>2081</v>
      </c>
      <c r="BD4730" s="55" t="s">
        <v>176</v>
      </c>
      <c r="BK4730" s="55" t="s">
        <v>5976</v>
      </c>
      <c r="BV4730" s="55" t="s">
        <v>4645</v>
      </c>
      <c r="FJ4730" s="65">
        <v>0.1507</v>
      </c>
      <c r="FK4730" s="65">
        <v>8.9999999999999998E-4</v>
      </c>
      <c r="FN4730" s="65" t="s">
        <v>6362</v>
      </c>
      <c r="FO4730" s="65">
        <v>2.84</v>
      </c>
      <c r="FP4730" s="65">
        <v>0.02</v>
      </c>
      <c r="FS4730" s="65" t="s">
        <v>6373</v>
      </c>
      <c r="FT4730" s="65">
        <v>1.17</v>
      </c>
      <c r="FU4730" s="65">
        <v>0.03</v>
      </c>
      <c r="FX4730" s="65" t="s">
        <v>4647</v>
      </c>
      <c r="GP4730" s="292" t="s">
        <v>7494</v>
      </c>
      <c r="JW4730" s="55" t="s">
        <v>4640</v>
      </c>
    </row>
    <row r="4731" spans="1:283" x14ac:dyDescent="0.25">
      <c r="A4731" s="55">
        <v>4730</v>
      </c>
      <c r="B4731" s="12" t="s">
        <v>7067</v>
      </c>
      <c r="C4731" s="155">
        <v>205</v>
      </c>
      <c r="D4731" s="55" t="s">
        <v>4644</v>
      </c>
      <c r="E4731" s="90" t="s">
        <v>4635</v>
      </c>
      <c r="G4731" s="55" t="s">
        <v>4634</v>
      </c>
      <c r="H4731" s="55">
        <v>2018</v>
      </c>
      <c r="I4731" s="55">
        <v>2013</v>
      </c>
      <c r="J4731" s="55" t="s">
        <v>4514</v>
      </c>
      <c r="K4731" s="55" t="s">
        <v>4636</v>
      </c>
      <c r="L4731" s="55" t="s">
        <v>4516</v>
      </c>
      <c r="M4731" s="90">
        <f>37+51.5/60</f>
        <v>37.858333333333334</v>
      </c>
      <c r="N4731" s="90">
        <f>-4-48/60</f>
        <v>-4.8</v>
      </c>
      <c r="O4731" s="90">
        <v>95</v>
      </c>
      <c r="U4731" s="55" t="s">
        <v>1805</v>
      </c>
      <c r="V4731" s="55" t="s">
        <v>1805</v>
      </c>
      <c r="Y4731" s="55" t="s">
        <v>1921</v>
      </c>
      <c r="Z4731" s="55" t="s">
        <v>1383</v>
      </c>
      <c r="AA4731" s="90" t="s">
        <v>1684</v>
      </c>
      <c r="AE4731" s="90">
        <f>AVERAGE(47.3,49.3,49)</f>
        <v>48.533333333333331</v>
      </c>
      <c r="AF4731" s="90">
        <f>AVERAGE(34.7,30.9,32.6)</f>
        <v>32.733333333333327</v>
      </c>
      <c r="AH4731" s="55" t="s">
        <v>139</v>
      </c>
      <c r="AI4731" s="168">
        <f>AVERAGE(7.79,7.88,7.89)</f>
        <v>7.8533333333333326</v>
      </c>
      <c r="AJ4731" s="90">
        <f>AVERAGE(2.07,1.07,0.92)*0.58</f>
        <v>0.78493333333333326</v>
      </c>
      <c r="AM4731" s="55" t="s">
        <v>4637</v>
      </c>
      <c r="AN4731" s="185" t="s">
        <v>4651</v>
      </c>
      <c r="AO4731" s="185" t="s">
        <v>5150</v>
      </c>
      <c r="AQ4731" s="55" t="s">
        <v>1545</v>
      </c>
      <c r="AR4731" s="55" t="s">
        <v>4638</v>
      </c>
      <c r="AS4731" s="55" t="s">
        <v>3471</v>
      </c>
      <c r="AU4731" s="181" t="s">
        <v>7494</v>
      </c>
      <c r="AV4731" s="185" t="s">
        <v>176</v>
      </c>
      <c r="AX4731" s="185" t="s">
        <v>176</v>
      </c>
      <c r="AZ4731" s="55" t="s">
        <v>4530</v>
      </c>
      <c r="BA4731" s="55" t="s">
        <v>4530</v>
      </c>
      <c r="BB4731" s="55" t="s">
        <v>2081</v>
      </c>
      <c r="BC4731" s="55" t="s">
        <v>2081</v>
      </c>
      <c r="BD4731" s="55" t="s">
        <v>176</v>
      </c>
      <c r="BK4731" s="55" t="s">
        <v>5976</v>
      </c>
      <c r="BV4731" s="55" t="s">
        <v>4645</v>
      </c>
      <c r="FJ4731" s="65">
        <v>0.1507</v>
      </c>
      <c r="FK4731" s="65">
        <v>3.2000000000000002E-3</v>
      </c>
      <c r="FN4731" s="65" t="s">
        <v>6362</v>
      </c>
      <c r="FO4731" s="65">
        <v>2.84</v>
      </c>
      <c r="FP4731" s="65">
        <v>0.16</v>
      </c>
      <c r="FS4731" s="65" t="s">
        <v>6373</v>
      </c>
      <c r="FT4731" s="65">
        <v>1.17</v>
      </c>
      <c r="FU4731" s="65">
        <v>0.15</v>
      </c>
      <c r="FX4731" s="65" t="s">
        <v>4647</v>
      </c>
      <c r="GP4731" s="292" t="s">
        <v>7494</v>
      </c>
      <c r="JW4731" s="55" t="s">
        <v>4640</v>
      </c>
    </row>
    <row r="4732" spans="1:283" x14ac:dyDescent="0.25">
      <c r="A4732" s="55">
        <v>4731</v>
      </c>
      <c r="B4732" s="12" t="s">
        <v>7067</v>
      </c>
      <c r="C4732" s="155">
        <v>205</v>
      </c>
      <c r="D4732" s="55" t="s">
        <v>4633</v>
      </c>
      <c r="E4732" s="90" t="s">
        <v>4635</v>
      </c>
      <c r="G4732" s="55" t="s">
        <v>4634</v>
      </c>
      <c r="H4732" s="55">
        <v>2018</v>
      </c>
      <c r="I4732" s="55">
        <v>2013</v>
      </c>
      <c r="J4732" s="55" t="s">
        <v>4514</v>
      </c>
      <c r="K4732" s="55" t="s">
        <v>4636</v>
      </c>
      <c r="L4732" s="55" t="s">
        <v>4516</v>
      </c>
      <c r="M4732" s="90">
        <f>37+51.5/60</f>
        <v>37.858333333333334</v>
      </c>
      <c r="N4732" s="90">
        <f>-4-48/60</f>
        <v>-4.8</v>
      </c>
      <c r="O4732" s="90">
        <v>95</v>
      </c>
      <c r="U4732" s="55" t="s">
        <v>1805</v>
      </c>
      <c r="V4732" s="55" t="s">
        <v>1805</v>
      </c>
      <c r="Y4732" s="55" t="s">
        <v>1921</v>
      </c>
      <c r="Z4732" s="55" t="s">
        <v>1383</v>
      </c>
      <c r="AA4732" s="90" t="s">
        <v>1684</v>
      </c>
      <c r="AE4732" s="90">
        <f>AVERAGE(47.3,49.3,49)</f>
        <v>48.533333333333331</v>
      </c>
      <c r="AF4732" s="90">
        <f>AVERAGE(34.7,30.9,32.6)</f>
        <v>32.733333333333327</v>
      </c>
      <c r="AH4732" s="55" t="s">
        <v>139</v>
      </c>
      <c r="AI4732" s="168">
        <f>AVERAGE(7.79,7.88,7.89)</f>
        <v>7.8533333333333326</v>
      </c>
      <c r="AJ4732" s="90">
        <f>AVERAGE(2.07,1.07,0.92)*0.58</f>
        <v>0.78493333333333326</v>
      </c>
      <c r="AM4732" s="55" t="s">
        <v>4637</v>
      </c>
      <c r="AN4732" s="185" t="s">
        <v>4648</v>
      </c>
      <c r="AO4732" s="185" t="s">
        <v>5150</v>
      </c>
      <c r="AQ4732" s="55" t="s">
        <v>1545</v>
      </c>
      <c r="AR4732" s="55" t="s">
        <v>4638</v>
      </c>
      <c r="AS4732" s="55" t="s">
        <v>3471</v>
      </c>
      <c r="AU4732" s="181" t="s">
        <v>7494</v>
      </c>
      <c r="AV4732" s="185" t="s">
        <v>176</v>
      </c>
      <c r="AX4732" s="185" t="s">
        <v>176</v>
      </c>
      <c r="AZ4732" s="55" t="s">
        <v>4530</v>
      </c>
      <c r="BA4732" s="55" t="s">
        <v>4530</v>
      </c>
      <c r="BB4732" s="55" t="s">
        <v>2081</v>
      </c>
      <c r="BC4732" s="55" t="s">
        <v>2081</v>
      </c>
      <c r="BD4732" s="55" t="s">
        <v>176</v>
      </c>
      <c r="BK4732" s="55" t="s">
        <v>5976</v>
      </c>
      <c r="BV4732" s="55" t="s">
        <v>4646</v>
      </c>
      <c r="FJ4732" s="65">
        <v>0.85329999999999995</v>
      </c>
      <c r="FK4732" s="65">
        <v>8.2900000000000001E-2</v>
      </c>
      <c r="FN4732" s="65" t="s">
        <v>6362</v>
      </c>
      <c r="FO4732" s="65">
        <v>16.61</v>
      </c>
      <c r="FP4732" s="65">
        <v>3.6</v>
      </c>
      <c r="FS4732" s="65" t="s">
        <v>6373</v>
      </c>
      <c r="FT4732" s="65">
        <v>8.18</v>
      </c>
      <c r="FU4732" s="65">
        <v>1.31</v>
      </c>
      <c r="FX4732" s="65" t="s">
        <v>4647</v>
      </c>
      <c r="GP4732" s="292" t="s">
        <v>7494</v>
      </c>
      <c r="JW4732" s="55" t="s">
        <v>4640</v>
      </c>
    </row>
    <row r="4733" spans="1:283" x14ac:dyDescent="0.25">
      <c r="A4733" s="55">
        <v>4732</v>
      </c>
      <c r="B4733" s="12" t="s">
        <v>7067</v>
      </c>
      <c r="C4733" s="155">
        <v>205</v>
      </c>
      <c r="D4733" s="55" t="s">
        <v>4641</v>
      </c>
      <c r="E4733" s="90" t="s">
        <v>4635</v>
      </c>
      <c r="G4733" s="55" t="s">
        <v>4634</v>
      </c>
      <c r="H4733" s="55">
        <v>2018</v>
      </c>
      <c r="I4733" s="55">
        <v>2013</v>
      </c>
      <c r="J4733" s="55" t="s">
        <v>4514</v>
      </c>
      <c r="K4733" s="55" t="s">
        <v>4636</v>
      </c>
      <c r="L4733" s="55" t="s">
        <v>4516</v>
      </c>
      <c r="M4733" s="90">
        <f>37+51.5/60</f>
        <v>37.858333333333334</v>
      </c>
      <c r="N4733" s="90">
        <f>-4-48/60</f>
        <v>-4.8</v>
      </c>
      <c r="O4733" s="90">
        <v>95</v>
      </c>
      <c r="U4733" s="55" t="s">
        <v>1805</v>
      </c>
      <c r="V4733" s="55" t="s">
        <v>1805</v>
      </c>
      <c r="Y4733" s="55" t="s">
        <v>1921</v>
      </c>
      <c r="Z4733" s="55" t="s">
        <v>1383</v>
      </c>
      <c r="AA4733" s="90" t="s">
        <v>1684</v>
      </c>
      <c r="AE4733" s="90">
        <f>AVERAGE(47.3,49.3,49)</f>
        <v>48.533333333333331</v>
      </c>
      <c r="AF4733" s="90">
        <f>AVERAGE(34.7,30.9,32.6)</f>
        <v>32.733333333333327</v>
      </c>
      <c r="AH4733" s="55" t="s">
        <v>139</v>
      </c>
      <c r="AI4733" s="168">
        <f>AVERAGE(7.79,7.88,7.89)</f>
        <v>7.8533333333333326</v>
      </c>
      <c r="AJ4733" s="90">
        <f>AVERAGE(2.07,1.07,0.92)*0.58</f>
        <v>0.78493333333333326</v>
      </c>
      <c r="AM4733" s="55" t="s">
        <v>4637</v>
      </c>
      <c r="AN4733" s="185" t="s">
        <v>4649</v>
      </c>
      <c r="AO4733" s="185" t="s">
        <v>5150</v>
      </c>
      <c r="AQ4733" s="55" t="s">
        <v>1097</v>
      </c>
      <c r="AR4733" s="55" t="s">
        <v>4638</v>
      </c>
      <c r="AS4733" s="55" t="s">
        <v>3471</v>
      </c>
      <c r="AU4733" s="181" t="s">
        <v>7494</v>
      </c>
      <c r="AV4733" s="185" t="s">
        <v>176</v>
      </c>
      <c r="AX4733" s="185" t="s">
        <v>176</v>
      </c>
      <c r="AZ4733" s="55" t="s">
        <v>4530</v>
      </c>
      <c r="BA4733" s="55" t="s">
        <v>4530</v>
      </c>
      <c r="BB4733" s="55" t="s">
        <v>2081</v>
      </c>
      <c r="BC4733" s="55" t="s">
        <v>2081</v>
      </c>
      <c r="BD4733" s="55" t="s">
        <v>176</v>
      </c>
      <c r="BK4733" s="55" t="s">
        <v>5976</v>
      </c>
      <c r="BV4733" s="55" t="s">
        <v>4646</v>
      </c>
      <c r="FJ4733" s="65">
        <v>0.85329999999999995</v>
      </c>
      <c r="FK4733" s="65">
        <v>2.0000000000000001E-4</v>
      </c>
      <c r="FN4733" s="65" t="s">
        <v>6362</v>
      </c>
      <c r="FO4733" s="65">
        <v>16.61</v>
      </c>
      <c r="FP4733" s="65">
        <v>0.06</v>
      </c>
      <c r="FS4733" s="65" t="s">
        <v>6373</v>
      </c>
      <c r="FT4733" s="65">
        <v>8.18</v>
      </c>
      <c r="FU4733" s="65">
        <v>0</v>
      </c>
      <c r="FX4733" s="65" t="s">
        <v>4647</v>
      </c>
      <c r="GP4733" s="292" t="s">
        <v>7494</v>
      </c>
      <c r="JW4733" s="55" t="s">
        <v>4640</v>
      </c>
    </row>
    <row r="4734" spans="1:283" x14ac:dyDescent="0.25">
      <c r="A4734" s="55">
        <v>4733</v>
      </c>
      <c r="B4734" s="12" t="s">
        <v>7067</v>
      </c>
      <c r="C4734" s="155">
        <v>205</v>
      </c>
      <c r="D4734" s="55" t="s">
        <v>4642</v>
      </c>
      <c r="E4734" s="90" t="s">
        <v>4635</v>
      </c>
      <c r="G4734" s="55" t="s">
        <v>4634</v>
      </c>
      <c r="H4734" s="55">
        <v>2018</v>
      </c>
      <c r="I4734" s="55">
        <v>2013</v>
      </c>
      <c r="J4734" s="55" t="s">
        <v>4514</v>
      </c>
      <c r="K4734" s="55" t="s">
        <v>4636</v>
      </c>
      <c r="L4734" s="55" t="s">
        <v>4516</v>
      </c>
      <c r="M4734" s="90">
        <f>37+51.5/60</f>
        <v>37.858333333333334</v>
      </c>
      <c r="N4734" s="90">
        <f>-4-48/60</f>
        <v>-4.8</v>
      </c>
      <c r="O4734" s="90">
        <v>95</v>
      </c>
      <c r="U4734" s="55" t="s">
        <v>1805</v>
      </c>
      <c r="V4734" s="55" t="s">
        <v>1805</v>
      </c>
      <c r="Y4734" s="55" t="s">
        <v>1921</v>
      </c>
      <c r="Z4734" s="55" t="s">
        <v>1383</v>
      </c>
      <c r="AA4734" s="90" t="s">
        <v>1684</v>
      </c>
      <c r="AE4734" s="90">
        <f>AVERAGE(47.3,49.3,49)</f>
        <v>48.533333333333331</v>
      </c>
      <c r="AF4734" s="90">
        <f>AVERAGE(34.7,30.9,32.6)</f>
        <v>32.733333333333327</v>
      </c>
      <c r="AH4734" s="55" t="s">
        <v>139</v>
      </c>
      <c r="AI4734" s="168">
        <f>AVERAGE(7.79,7.88,7.89)</f>
        <v>7.8533333333333326</v>
      </c>
      <c r="AJ4734" s="90">
        <f>AVERAGE(2.07,1.07,0.92)*0.58</f>
        <v>0.78493333333333326</v>
      </c>
      <c r="AM4734" s="55" t="s">
        <v>4637</v>
      </c>
      <c r="AN4734" s="185" t="s">
        <v>3540</v>
      </c>
      <c r="AO4734" s="185" t="s">
        <v>5150</v>
      </c>
      <c r="AQ4734" s="55" t="s">
        <v>553</v>
      </c>
      <c r="AR4734" s="55" t="s">
        <v>4638</v>
      </c>
      <c r="AS4734" s="55" t="s">
        <v>3471</v>
      </c>
      <c r="AU4734" s="181" t="s">
        <v>7494</v>
      </c>
      <c r="AV4734" s="185" t="s">
        <v>176</v>
      </c>
      <c r="AX4734" s="185" t="s">
        <v>176</v>
      </c>
      <c r="AZ4734" s="55" t="s">
        <v>4530</v>
      </c>
      <c r="BA4734" s="55" t="s">
        <v>4530</v>
      </c>
      <c r="BB4734" s="55" t="s">
        <v>2081</v>
      </c>
      <c r="BC4734" s="55" t="s">
        <v>2081</v>
      </c>
      <c r="BD4734" s="55" t="s">
        <v>176</v>
      </c>
      <c r="BK4734" s="55" t="s">
        <v>5976</v>
      </c>
      <c r="BV4734" s="55" t="s">
        <v>4646</v>
      </c>
      <c r="FJ4734" s="65">
        <v>0.85329999999999995</v>
      </c>
      <c r="FK4734" s="65">
        <v>1.6999999999999999E-3</v>
      </c>
      <c r="FN4734" s="65" t="s">
        <v>6362</v>
      </c>
      <c r="FO4734" s="65">
        <v>16.61</v>
      </c>
      <c r="FP4734" s="65">
        <v>0.45</v>
      </c>
      <c r="FS4734" s="65" t="s">
        <v>6373</v>
      </c>
      <c r="FT4734" s="65">
        <v>8.18</v>
      </c>
      <c r="FU4734" s="65">
        <v>0.03</v>
      </c>
      <c r="FX4734" s="65" t="s">
        <v>4647</v>
      </c>
      <c r="GP4734" s="292" t="s">
        <v>7494</v>
      </c>
      <c r="JW4734" s="55" t="s">
        <v>4640</v>
      </c>
    </row>
    <row r="4735" spans="1:283" x14ac:dyDescent="0.25">
      <c r="A4735" s="55">
        <v>4734</v>
      </c>
      <c r="B4735" s="12" t="s">
        <v>7067</v>
      </c>
      <c r="C4735" s="155">
        <v>205</v>
      </c>
      <c r="D4735" s="55" t="s">
        <v>4643</v>
      </c>
      <c r="E4735" s="90" t="s">
        <v>4635</v>
      </c>
      <c r="G4735" s="55" t="s">
        <v>4634</v>
      </c>
      <c r="H4735" s="55">
        <v>2018</v>
      </c>
      <c r="I4735" s="55">
        <v>2013</v>
      </c>
      <c r="J4735" s="55" t="s">
        <v>4514</v>
      </c>
      <c r="K4735" s="55" t="s">
        <v>4636</v>
      </c>
      <c r="L4735" s="55" t="s">
        <v>4516</v>
      </c>
      <c r="M4735" s="90">
        <f>37+51.5/60</f>
        <v>37.858333333333334</v>
      </c>
      <c r="N4735" s="90">
        <f>-4-48/60</f>
        <v>-4.8</v>
      </c>
      <c r="O4735" s="90">
        <v>95</v>
      </c>
      <c r="U4735" s="55" t="s">
        <v>1805</v>
      </c>
      <c r="V4735" s="55" t="s">
        <v>1805</v>
      </c>
      <c r="Y4735" s="55" t="s">
        <v>1921</v>
      </c>
      <c r="Z4735" s="55" t="s">
        <v>1383</v>
      </c>
      <c r="AA4735" s="90" t="s">
        <v>1684</v>
      </c>
      <c r="AE4735" s="90">
        <f>AVERAGE(47.3,49.3,49)</f>
        <v>48.533333333333331</v>
      </c>
      <c r="AF4735" s="90">
        <f>AVERAGE(34.7,30.9,32.6)</f>
        <v>32.733333333333327</v>
      </c>
      <c r="AH4735" s="55" t="s">
        <v>139</v>
      </c>
      <c r="AI4735" s="168">
        <f>AVERAGE(7.79,7.88,7.89)</f>
        <v>7.8533333333333326</v>
      </c>
      <c r="AJ4735" s="90">
        <f>AVERAGE(2.07,1.07,0.92)*0.58</f>
        <v>0.78493333333333326</v>
      </c>
      <c r="AM4735" s="55" t="s">
        <v>4637</v>
      </c>
      <c r="AN4735" s="185" t="s">
        <v>4650</v>
      </c>
      <c r="AO4735" s="185" t="s">
        <v>5150</v>
      </c>
      <c r="AQ4735" s="55" t="s">
        <v>553</v>
      </c>
      <c r="AR4735" s="55" t="s">
        <v>4638</v>
      </c>
      <c r="AS4735" s="55" t="s">
        <v>3471</v>
      </c>
      <c r="AU4735" s="181" t="s">
        <v>7494</v>
      </c>
      <c r="AV4735" s="185" t="s">
        <v>176</v>
      </c>
      <c r="AX4735" s="185" t="s">
        <v>176</v>
      </c>
      <c r="AZ4735" s="55" t="s">
        <v>4530</v>
      </c>
      <c r="BA4735" s="55" t="s">
        <v>4530</v>
      </c>
      <c r="BB4735" s="55" t="s">
        <v>2081</v>
      </c>
      <c r="BC4735" s="55" t="s">
        <v>2081</v>
      </c>
      <c r="BD4735" s="55" t="s">
        <v>176</v>
      </c>
      <c r="BK4735" s="55" t="s">
        <v>5976</v>
      </c>
      <c r="BV4735" s="55" t="s">
        <v>4646</v>
      </c>
      <c r="FJ4735" s="65">
        <v>0.85329999999999995</v>
      </c>
      <c r="FK4735" s="65">
        <v>8.0000000000000002E-3</v>
      </c>
      <c r="FN4735" s="65" t="s">
        <v>6362</v>
      </c>
      <c r="FO4735" s="65">
        <v>16.61</v>
      </c>
      <c r="FP4735" s="65">
        <v>3.71</v>
      </c>
      <c r="FS4735" s="65" t="s">
        <v>6373</v>
      </c>
      <c r="FT4735" s="65">
        <v>8.18</v>
      </c>
      <c r="FU4735" s="65">
        <v>0.24</v>
      </c>
      <c r="FX4735" s="65" t="s">
        <v>4647</v>
      </c>
      <c r="GP4735" s="292" t="s">
        <v>7494</v>
      </c>
      <c r="JW4735" s="55" t="s">
        <v>4640</v>
      </c>
    </row>
    <row r="4736" spans="1:283" x14ac:dyDescent="0.25">
      <c r="A4736" s="55">
        <v>4735</v>
      </c>
      <c r="B4736" s="12" t="s">
        <v>7067</v>
      </c>
      <c r="C4736" s="155">
        <v>205</v>
      </c>
      <c r="D4736" s="55" t="s">
        <v>4644</v>
      </c>
      <c r="E4736" s="90" t="s">
        <v>4635</v>
      </c>
      <c r="G4736" s="55" t="s">
        <v>4634</v>
      </c>
      <c r="H4736" s="55">
        <v>2018</v>
      </c>
      <c r="I4736" s="55">
        <v>2013</v>
      </c>
      <c r="J4736" s="55" t="s">
        <v>4514</v>
      </c>
      <c r="K4736" s="55" t="s">
        <v>4636</v>
      </c>
      <c r="L4736" s="55" t="s">
        <v>4516</v>
      </c>
      <c r="M4736" s="90">
        <f>37+51.5/60</f>
        <v>37.858333333333334</v>
      </c>
      <c r="N4736" s="90">
        <f>-4-48/60</f>
        <v>-4.8</v>
      </c>
      <c r="O4736" s="90">
        <v>95</v>
      </c>
      <c r="U4736" s="55" t="s">
        <v>1805</v>
      </c>
      <c r="V4736" s="55" t="s">
        <v>1805</v>
      </c>
      <c r="Y4736" s="55" t="s">
        <v>1921</v>
      </c>
      <c r="Z4736" s="55" t="s">
        <v>1383</v>
      </c>
      <c r="AA4736" s="90" t="s">
        <v>1684</v>
      </c>
      <c r="AE4736" s="90">
        <f>AVERAGE(47.3,49.3,49)</f>
        <v>48.533333333333331</v>
      </c>
      <c r="AF4736" s="90">
        <f>AVERAGE(34.7,30.9,32.6)</f>
        <v>32.733333333333327</v>
      </c>
      <c r="AH4736" s="55" t="s">
        <v>139</v>
      </c>
      <c r="AI4736" s="168">
        <f>AVERAGE(7.79,7.88,7.89)</f>
        <v>7.8533333333333326</v>
      </c>
      <c r="AJ4736" s="90">
        <f>AVERAGE(2.07,1.07,0.92)*0.58</f>
        <v>0.78493333333333326</v>
      </c>
      <c r="AM4736" s="55" t="s">
        <v>4637</v>
      </c>
      <c r="AN4736" s="185" t="s">
        <v>4651</v>
      </c>
      <c r="AO4736" s="185" t="s">
        <v>5150</v>
      </c>
      <c r="AQ4736" s="55" t="s">
        <v>1545</v>
      </c>
      <c r="AR4736" s="55" t="s">
        <v>4638</v>
      </c>
      <c r="AS4736" s="55" t="s">
        <v>3471</v>
      </c>
      <c r="AU4736" s="181" t="s">
        <v>7494</v>
      </c>
      <c r="AV4736" s="185" t="s">
        <v>176</v>
      </c>
      <c r="AX4736" s="185" t="s">
        <v>176</v>
      </c>
      <c r="AZ4736" s="55" t="s">
        <v>4530</v>
      </c>
      <c r="BA4736" s="55" t="s">
        <v>4530</v>
      </c>
      <c r="BB4736" s="55" t="s">
        <v>2081</v>
      </c>
      <c r="BC4736" s="55" t="s">
        <v>2081</v>
      </c>
      <c r="BD4736" s="55" t="s">
        <v>176</v>
      </c>
      <c r="BK4736" s="55" t="s">
        <v>5976</v>
      </c>
      <c r="BV4736" s="55" t="s">
        <v>4646</v>
      </c>
      <c r="FJ4736" s="65">
        <v>0.85329999999999995</v>
      </c>
      <c r="FK4736" s="65">
        <v>1.8E-3</v>
      </c>
      <c r="FN4736" s="65" t="s">
        <v>6362</v>
      </c>
      <c r="FO4736" s="65">
        <v>16.61</v>
      </c>
      <c r="FP4736" s="65">
        <v>0.34</v>
      </c>
      <c r="FS4736" s="65" t="s">
        <v>6373</v>
      </c>
      <c r="FT4736" s="65">
        <v>8.18</v>
      </c>
      <c r="FU4736" s="65">
        <v>0.08</v>
      </c>
      <c r="FX4736" s="65" t="s">
        <v>4647</v>
      </c>
      <c r="GP4736" s="292" t="s">
        <v>7494</v>
      </c>
      <c r="JW4736" s="55" t="s">
        <v>4640</v>
      </c>
    </row>
    <row r="4737" spans="1:283" x14ac:dyDescent="0.25">
      <c r="A4737" s="55">
        <v>4736</v>
      </c>
      <c r="B4737" s="12" t="s">
        <v>7067</v>
      </c>
      <c r="C4737" s="155">
        <v>206</v>
      </c>
      <c r="D4737" s="55" t="s">
        <v>4653</v>
      </c>
      <c r="E4737" s="90" t="s">
        <v>4656</v>
      </c>
      <c r="G4737" s="55" t="s">
        <v>4657</v>
      </c>
      <c r="H4737" s="55">
        <v>2018</v>
      </c>
      <c r="J4737" s="55" t="s">
        <v>4514</v>
      </c>
      <c r="K4737" s="55" t="s">
        <v>4659</v>
      </c>
      <c r="L4737" s="55" t="s">
        <v>4658</v>
      </c>
      <c r="M4737" s="90">
        <f>47+18.695/60</f>
        <v>47.311583333333331</v>
      </c>
      <c r="N4737" s="90">
        <f>28+53/60</f>
        <v>28.883333333333333</v>
      </c>
      <c r="O4737" s="90">
        <v>171</v>
      </c>
      <c r="Q4737" s="55">
        <f>(7.5+10.5)/2</f>
        <v>9</v>
      </c>
      <c r="S4737" s="90">
        <f>(380+550)/2</f>
        <v>465</v>
      </c>
      <c r="Z4737" s="55" t="s">
        <v>1355</v>
      </c>
      <c r="AA4737" s="90" t="s">
        <v>1679</v>
      </c>
      <c r="AE4737" s="90">
        <v>10</v>
      </c>
      <c r="AF4737" s="90">
        <v>43</v>
      </c>
      <c r="AH4737" s="55" t="s">
        <v>523</v>
      </c>
      <c r="AI4737" s="168">
        <v>6.1</v>
      </c>
      <c r="AK4737" s="90">
        <v>5.84</v>
      </c>
      <c r="AO4737" s="185" t="s">
        <v>7494</v>
      </c>
      <c r="AS4737" s="55" t="s">
        <v>5133</v>
      </c>
      <c r="AU4737" s="181" t="s">
        <v>7494</v>
      </c>
      <c r="AV4737" s="185" t="s">
        <v>176</v>
      </c>
      <c r="AX4737" s="185" t="s">
        <v>176</v>
      </c>
      <c r="BK4737" s="55" t="s">
        <v>5976</v>
      </c>
      <c r="BM4737" s="192" t="s">
        <v>160</v>
      </c>
      <c r="BP4737" s="55">
        <v>8</v>
      </c>
      <c r="CH4737" s="90">
        <v>1.26</v>
      </c>
      <c r="CI4737" s="90">
        <v>1.25</v>
      </c>
      <c r="CJ4737" s="65">
        <v>0.12</v>
      </c>
      <c r="CK4737" s="65">
        <v>0.02</v>
      </c>
      <c r="CM4737" s="65">
        <v>2.57</v>
      </c>
      <c r="CN4737" s="65">
        <v>2.52</v>
      </c>
      <c r="CO4737" s="65">
        <v>0.51</v>
      </c>
      <c r="CP4737" s="65">
        <v>0.47</v>
      </c>
      <c r="CQ4737" s="65" t="s">
        <v>4660</v>
      </c>
      <c r="CR4737" s="65">
        <v>32.5</v>
      </c>
      <c r="CS4737" s="65">
        <v>31.2</v>
      </c>
      <c r="CT4737" s="65">
        <v>7.4</v>
      </c>
      <c r="CU4737" s="65">
        <v>5.6</v>
      </c>
      <c r="CV4737" s="65" t="s">
        <v>2215</v>
      </c>
      <c r="CX4737" s="65">
        <f>0.83*1000</f>
        <v>830</v>
      </c>
      <c r="CZ4737" s="65">
        <f>0.41*1000</f>
        <v>410</v>
      </c>
      <c r="DA4737" s="65" t="s">
        <v>5346</v>
      </c>
      <c r="GP4737" s="292" t="s">
        <v>7494</v>
      </c>
    </row>
    <row r="4738" spans="1:283" x14ac:dyDescent="0.25">
      <c r="A4738" s="55">
        <v>4737</v>
      </c>
      <c r="B4738" s="12" t="s">
        <v>7067</v>
      </c>
      <c r="C4738" s="155">
        <v>206</v>
      </c>
      <c r="D4738" s="55" t="s">
        <v>4653</v>
      </c>
      <c r="E4738" s="90" t="s">
        <v>4656</v>
      </c>
      <c r="G4738" s="55" t="s">
        <v>4657</v>
      </c>
      <c r="H4738" s="55">
        <v>2018</v>
      </c>
      <c r="J4738" s="55" t="s">
        <v>4514</v>
      </c>
      <c r="K4738" s="55" t="s">
        <v>4659</v>
      </c>
      <c r="L4738" s="55" t="s">
        <v>4658</v>
      </c>
      <c r="M4738" s="90">
        <f>47+18.695/60</f>
        <v>47.311583333333331</v>
      </c>
      <c r="N4738" s="90">
        <f>28+53/60</f>
        <v>28.883333333333333</v>
      </c>
      <c r="O4738" s="90">
        <v>171</v>
      </c>
      <c r="Q4738" s="55">
        <f>(7.5+10.5)/2</f>
        <v>9</v>
      </c>
      <c r="S4738" s="90">
        <f>(380+550)/2</f>
        <v>465</v>
      </c>
      <c r="Z4738" s="55" t="s">
        <v>1375</v>
      </c>
      <c r="AA4738" s="90" t="s">
        <v>1675</v>
      </c>
      <c r="AE4738" s="90">
        <v>10</v>
      </c>
      <c r="AF4738" s="90">
        <v>43</v>
      </c>
      <c r="AH4738" s="55" t="s">
        <v>523</v>
      </c>
      <c r="AI4738" s="168">
        <v>6.1</v>
      </c>
      <c r="AK4738" s="90">
        <v>5.0519999999999996</v>
      </c>
      <c r="AO4738" s="185" t="s">
        <v>7494</v>
      </c>
      <c r="AS4738" s="55" t="s">
        <v>5133</v>
      </c>
      <c r="AU4738" s="181" t="s">
        <v>7494</v>
      </c>
      <c r="AV4738" s="185" t="s">
        <v>176</v>
      </c>
      <c r="AX4738" s="185" t="s">
        <v>176</v>
      </c>
      <c r="BK4738" s="55" t="s">
        <v>5976</v>
      </c>
      <c r="BM4738" s="192" t="s">
        <v>160</v>
      </c>
      <c r="BP4738" s="55">
        <v>8</v>
      </c>
      <c r="CH4738" s="90">
        <v>1.46</v>
      </c>
      <c r="CI4738" s="90">
        <v>1.37</v>
      </c>
      <c r="CJ4738" s="65">
        <v>0.11</v>
      </c>
      <c r="CK4738" s="65">
        <v>0.06</v>
      </c>
      <c r="CM4738" s="65">
        <v>1.91</v>
      </c>
      <c r="CN4738" s="65">
        <v>1.98</v>
      </c>
      <c r="CO4738" s="65">
        <v>0.28999999999999998</v>
      </c>
      <c r="CP4738" s="65">
        <v>0.35</v>
      </c>
      <c r="CQ4738" s="65" t="s">
        <v>4660</v>
      </c>
      <c r="CR4738" s="65">
        <v>55.9</v>
      </c>
      <c r="CS4738" s="65">
        <v>56.1</v>
      </c>
      <c r="CT4738" s="65">
        <v>9.5</v>
      </c>
      <c r="CU4738" s="65">
        <v>6.2</v>
      </c>
      <c r="CV4738" s="65" t="s">
        <v>2215</v>
      </c>
      <c r="CX4738" s="65">
        <f>1.05*1000</f>
        <v>1050</v>
      </c>
      <c r="CZ4738" s="65">
        <f>1.105*1000</f>
        <v>1105</v>
      </c>
      <c r="DA4738" s="65" t="s">
        <v>5346</v>
      </c>
      <c r="GP4738" s="292" t="s">
        <v>7494</v>
      </c>
    </row>
    <row r="4739" spans="1:283" s="23" customFormat="1" x14ac:dyDescent="0.25">
      <c r="A4739" s="55">
        <v>4738</v>
      </c>
      <c r="B4739" s="12" t="s">
        <v>7067</v>
      </c>
      <c r="C4739" s="156">
        <v>207</v>
      </c>
      <c r="D4739" s="58" t="s">
        <v>4867</v>
      </c>
      <c r="E4739" s="160" t="str">
        <f>G4739</f>
        <v>Andrews et al. 2002</v>
      </c>
      <c r="F4739" s="160"/>
      <c r="G4739" s="60" t="s">
        <v>4866</v>
      </c>
      <c r="H4739" s="58">
        <v>2002</v>
      </c>
      <c r="I4739" s="58" t="s">
        <v>5626</v>
      </c>
      <c r="J4739" s="243" t="s">
        <v>282</v>
      </c>
      <c r="K4739" s="63" t="s">
        <v>5340</v>
      </c>
      <c r="L4739" s="58" t="s">
        <v>2737</v>
      </c>
      <c r="M4739" s="94">
        <v>36.75</v>
      </c>
      <c r="N4739" s="94">
        <v>-120.38</v>
      </c>
      <c r="O4739" s="94">
        <v>53</v>
      </c>
      <c r="P4739" s="244">
        <v>17.3</v>
      </c>
      <c r="Q4739" s="58"/>
      <c r="R4739" s="244">
        <v>1958</v>
      </c>
      <c r="S4739" s="94"/>
      <c r="T4739" s="58"/>
      <c r="U4739" s="58" t="s">
        <v>1935</v>
      </c>
      <c r="V4739" s="244">
        <v>4</v>
      </c>
      <c r="W4739" s="174"/>
      <c r="X4739" s="174"/>
      <c r="Y4739" s="58" t="s">
        <v>1920</v>
      </c>
      <c r="Z4739" s="244" t="s">
        <v>1349</v>
      </c>
      <c r="AA4739" s="245">
        <v>15</v>
      </c>
      <c r="AB4739" s="67">
        <v>34.6</v>
      </c>
      <c r="AC4739" s="67" t="s">
        <v>7001</v>
      </c>
      <c r="AD4739" s="94"/>
      <c r="AE4739" s="94"/>
      <c r="AF4739" s="94"/>
      <c r="AG4739" s="245"/>
      <c r="AH4739" s="58"/>
      <c r="AI4739" s="169"/>
      <c r="AJ4739" s="94"/>
      <c r="AK4739" s="94"/>
      <c r="AL4739" s="58"/>
      <c r="AM4739" s="58"/>
      <c r="AN4739" s="186" t="s">
        <v>5337</v>
      </c>
      <c r="AO4739" s="185" t="s">
        <v>5150</v>
      </c>
      <c r="AP4739" s="58"/>
      <c r="AQ4739" s="58" t="s">
        <v>4584</v>
      </c>
      <c r="AR4739" s="58" t="s">
        <v>5338</v>
      </c>
      <c r="AS4739" s="246" t="s">
        <v>4584</v>
      </c>
      <c r="AT4739" s="247">
        <v>1</v>
      </c>
      <c r="AU4739" s="181" t="s">
        <v>7494</v>
      </c>
      <c r="AV4739" s="185" t="s">
        <v>176</v>
      </c>
      <c r="AW4739" s="244">
        <v>0</v>
      </c>
      <c r="AX4739" s="185" t="s">
        <v>176</v>
      </c>
      <c r="AY4739" s="244" t="s">
        <v>5150</v>
      </c>
      <c r="AZ4739" s="58" t="s">
        <v>4530</v>
      </c>
      <c r="BA4739" s="58" t="s">
        <v>5339</v>
      </c>
      <c r="BB4739" s="58" t="s">
        <v>2081</v>
      </c>
      <c r="BC4739" s="58" t="s">
        <v>4499</v>
      </c>
      <c r="BD4739" s="58" t="s">
        <v>479</v>
      </c>
      <c r="BE4739" s="236" t="s">
        <v>5153</v>
      </c>
      <c r="BF4739" s="191" t="s">
        <v>176</v>
      </c>
      <c r="BG4739" s="191" t="s">
        <v>176</v>
      </c>
      <c r="BH4739" s="236" t="s">
        <v>5155</v>
      </c>
      <c r="BI4739" s="191" t="s">
        <v>479</v>
      </c>
      <c r="BJ4739" s="58" t="str">
        <f>IF(BE4739=BH4739,"No","yes")</f>
        <v>yes</v>
      </c>
      <c r="BK4739" s="58" t="s">
        <v>6335</v>
      </c>
      <c r="BL4739" s="58"/>
      <c r="BM4739" s="237" t="s">
        <v>160</v>
      </c>
      <c r="BN4739" s="244">
        <v>6</v>
      </c>
      <c r="BO4739" s="244">
        <v>6</v>
      </c>
      <c r="BP4739" s="58"/>
      <c r="BQ4739" s="58"/>
      <c r="BR4739" s="58"/>
      <c r="BS4739" s="58"/>
      <c r="BT4739" s="58"/>
      <c r="BU4739" s="58"/>
      <c r="BV4739" s="58" t="s">
        <v>5620</v>
      </c>
      <c r="BW4739" s="67"/>
      <c r="BX4739" s="67"/>
      <c r="BY4739" s="67"/>
      <c r="BZ4739" s="67"/>
      <c r="CA4739" s="67"/>
      <c r="CB4739" s="70"/>
      <c r="CC4739" s="70"/>
      <c r="CD4739" s="70"/>
      <c r="CE4739" s="67"/>
      <c r="CF4739" s="67"/>
      <c r="CG4739" s="67"/>
      <c r="CH4739" s="245">
        <v>1.26</v>
      </c>
      <c r="CI4739" s="245">
        <v>1.32</v>
      </c>
      <c r="CJ4739" s="67"/>
      <c r="CK4739" s="67"/>
      <c r="CL4739" s="67"/>
      <c r="CM4739" s="242">
        <v>1.08</v>
      </c>
      <c r="CN4739" s="242">
        <v>1.1000000000000001</v>
      </c>
      <c r="CO4739" s="242"/>
      <c r="CP4739" s="242"/>
      <c r="CQ4739" s="242" t="s">
        <v>164</v>
      </c>
      <c r="CR4739" s="242"/>
      <c r="CS4739" s="242"/>
      <c r="CT4739" s="242"/>
      <c r="CU4739" s="242"/>
      <c r="CV4739" s="242" t="s">
        <v>5151</v>
      </c>
      <c r="CW4739" s="242"/>
      <c r="CX4739" s="242"/>
      <c r="CY4739" s="242"/>
      <c r="CZ4739" s="242"/>
      <c r="DA4739" s="67" t="s">
        <v>5443</v>
      </c>
      <c r="DB4739" s="67">
        <v>0.72</v>
      </c>
      <c r="DC4739" s="67">
        <v>0.81</v>
      </c>
      <c r="DD4739" s="67"/>
      <c r="DE4739" s="67"/>
      <c r="DF4739" s="67" t="s">
        <v>5627</v>
      </c>
      <c r="DG4739" s="67"/>
      <c r="DH4739" s="67"/>
      <c r="DI4739" s="67"/>
      <c r="DJ4739" s="67"/>
      <c r="DK4739" s="67" t="s">
        <v>5631</v>
      </c>
      <c r="DL4739" s="67">
        <v>502</v>
      </c>
      <c r="DM4739" s="67">
        <v>492</v>
      </c>
      <c r="DN4739" s="67"/>
      <c r="DO4739" s="67"/>
      <c r="DP4739" s="67" t="s">
        <v>2242</v>
      </c>
      <c r="DQ4739" s="166">
        <v>7.8</v>
      </c>
      <c r="DR4739" s="166">
        <v>7.8</v>
      </c>
      <c r="DS4739" s="163"/>
      <c r="DT4739" s="163"/>
      <c r="DU4739" s="67"/>
      <c r="DV4739" s="67">
        <v>34.6</v>
      </c>
      <c r="DW4739" s="67">
        <v>32.9</v>
      </c>
      <c r="DX4739" s="67"/>
      <c r="DY4739" s="67"/>
      <c r="DZ4739" s="67" t="s">
        <v>3360</v>
      </c>
      <c r="EA4739" s="67">
        <v>2.7</v>
      </c>
      <c r="EB4739" s="67">
        <v>2.2000000000000002</v>
      </c>
      <c r="EC4739" s="67"/>
      <c r="ED4739" s="67"/>
      <c r="EE4739" s="67" t="s">
        <v>5628</v>
      </c>
      <c r="EF4739" s="67"/>
      <c r="EG4739" s="67"/>
      <c r="EH4739" s="67"/>
      <c r="EI4739" s="67"/>
      <c r="EJ4739" s="67"/>
      <c r="EK4739" s="94">
        <v>91.1</v>
      </c>
      <c r="EL4739" s="94">
        <v>88.8</v>
      </c>
      <c r="EM4739" s="67"/>
      <c r="EN4739" s="67"/>
      <c r="EO4739" s="67" t="s">
        <v>5630</v>
      </c>
      <c r="EP4739" s="67"/>
      <c r="EQ4739" s="67"/>
      <c r="ER4739" s="67"/>
      <c r="ES4739" s="67"/>
      <c r="ET4739" s="67"/>
      <c r="EU4739" s="67"/>
      <c r="EV4739" s="67"/>
      <c r="EW4739" s="67"/>
      <c r="EX4739" s="67"/>
      <c r="EY4739" s="67"/>
      <c r="EZ4739" s="67"/>
      <c r="FA4739" s="67"/>
      <c r="FB4739" s="67"/>
      <c r="FC4739" s="67"/>
      <c r="FD4739" s="67"/>
      <c r="FE4739" s="67"/>
      <c r="FF4739" s="67"/>
      <c r="FG4739" s="67"/>
      <c r="FH4739" s="67"/>
      <c r="FI4739" s="67"/>
      <c r="FJ4739" s="67"/>
      <c r="FK4739" s="67"/>
      <c r="FL4739" s="67"/>
      <c r="FM4739" s="67"/>
      <c r="FN4739" s="67"/>
      <c r="FO4739" s="67"/>
      <c r="FP4739" s="67"/>
      <c r="FQ4739" s="67"/>
      <c r="FR4739" s="67"/>
      <c r="FS4739" s="67"/>
      <c r="FT4739" s="67"/>
      <c r="FU4739" s="67"/>
      <c r="FV4739" s="67"/>
      <c r="FW4739" s="67"/>
      <c r="FX4739" s="67"/>
      <c r="FY4739" s="67"/>
      <c r="FZ4739" s="67"/>
      <c r="GA4739" s="67"/>
      <c r="GB4739" s="67"/>
      <c r="GC4739" s="67"/>
      <c r="GD4739" s="67"/>
      <c r="GE4739" s="67"/>
      <c r="GF4739" s="67"/>
      <c r="GG4739" s="67"/>
      <c r="GH4739" s="67"/>
      <c r="GI4739" s="67"/>
      <c r="GJ4739" s="67"/>
      <c r="GK4739" s="67"/>
      <c r="GL4739" s="67"/>
      <c r="GM4739" s="67"/>
      <c r="GN4739" s="292"/>
      <c r="GO4739" s="292"/>
      <c r="GP4739" s="292" t="s">
        <v>7494</v>
      </c>
      <c r="GQ4739" s="67"/>
      <c r="GR4739" s="67"/>
      <c r="GS4739" s="67"/>
      <c r="GT4739" s="67"/>
      <c r="GU4739" s="67"/>
      <c r="GV4739" s="67"/>
      <c r="GW4739" s="67"/>
      <c r="GX4739" s="67"/>
      <c r="GY4739" s="67"/>
      <c r="GZ4739" s="67"/>
      <c r="HA4739" s="67"/>
      <c r="HB4739" s="67"/>
      <c r="HC4739" s="67"/>
      <c r="HD4739" s="67"/>
      <c r="HE4739" s="67"/>
      <c r="HF4739" s="67"/>
      <c r="HG4739" s="67"/>
      <c r="HH4739" s="67"/>
      <c r="HI4739" s="67"/>
      <c r="HJ4739" s="67"/>
      <c r="HK4739" s="67"/>
      <c r="HL4739" s="67"/>
      <c r="HM4739" s="67"/>
      <c r="HN4739" s="67"/>
      <c r="HO4739" s="67"/>
      <c r="HP4739" s="67"/>
      <c r="HQ4739" s="67"/>
      <c r="HR4739" s="67"/>
      <c r="HS4739" s="67"/>
      <c r="HT4739" s="67"/>
      <c r="HU4739" s="67"/>
      <c r="HV4739" s="67"/>
      <c r="HW4739" s="67"/>
      <c r="HX4739" s="67"/>
      <c r="HY4739" s="67"/>
      <c r="HZ4739" s="67"/>
      <c r="IA4739" s="67"/>
      <c r="IB4739" s="67"/>
      <c r="IC4739" s="67"/>
      <c r="ID4739" s="67"/>
      <c r="IE4739" s="67"/>
      <c r="IF4739" s="67"/>
      <c r="IG4739" s="67"/>
      <c r="IH4739" s="67"/>
      <c r="II4739" s="67"/>
      <c r="IJ4739" s="67"/>
      <c r="IK4739" s="67"/>
      <c r="IL4739" s="67"/>
      <c r="IM4739" s="67"/>
      <c r="IN4739" s="67"/>
      <c r="IO4739" s="67"/>
      <c r="IP4739" s="67"/>
      <c r="IQ4739" s="67"/>
      <c r="IR4739" s="67"/>
      <c r="IS4739" s="67"/>
      <c r="IT4739" s="67"/>
      <c r="IU4739" s="67"/>
      <c r="IV4739" s="67"/>
      <c r="IW4739" s="67"/>
      <c r="IX4739" s="67"/>
      <c r="IY4739" s="67"/>
      <c r="IZ4739" s="67"/>
      <c r="JA4739" s="67"/>
      <c r="JB4739" s="67"/>
      <c r="JC4739" s="67"/>
      <c r="JD4739" s="67"/>
      <c r="JE4739" s="67"/>
      <c r="JF4739" s="67"/>
      <c r="JG4739" s="67"/>
      <c r="JH4739" s="67"/>
      <c r="JI4739" s="67"/>
      <c r="JJ4739" s="67"/>
      <c r="JK4739" s="67"/>
      <c r="JL4739" s="67"/>
      <c r="JM4739" s="67"/>
      <c r="JN4739" s="67"/>
      <c r="JO4739" s="67"/>
      <c r="JP4739" s="67"/>
      <c r="JQ4739" s="67">
        <v>99999</v>
      </c>
      <c r="JR4739" s="67"/>
      <c r="JS4739" s="67"/>
      <c r="JT4739" s="67"/>
      <c r="JU4739" s="58" t="s">
        <v>5629</v>
      </c>
      <c r="JV4739" s="58"/>
      <c r="JW4739" s="58"/>
    </row>
    <row r="4740" spans="1:283" s="23" customFormat="1" x14ac:dyDescent="0.25">
      <c r="A4740" s="55">
        <v>4739</v>
      </c>
      <c r="B4740" s="12" t="s">
        <v>7067</v>
      </c>
      <c r="C4740" s="156">
        <v>207</v>
      </c>
      <c r="D4740" s="58" t="s">
        <v>5616</v>
      </c>
      <c r="E4740" s="160" t="str">
        <f>G4740</f>
        <v>Andrews et al. 2002</v>
      </c>
      <c r="F4740" s="160"/>
      <c r="G4740" s="60" t="s">
        <v>4866</v>
      </c>
      <c r="H4740" s="58">
        <v>2002</v>
      </c>
      <c r="I4740" s="58" t="s">
        <v>5626</v>
      </c>
      <c r="J4740" s="243" t="s">
        <v>282</v>
      </c>
      <c r="K4740" s="63" t="s">
        <v>5340</v>
      </c>
      <c r="L4740" s="58" t="s">
        <v>2737</v>
      </c>
      <c r="M4740" s="94">
        <v>36.75</v>
      </c>
      <c r="N4740" s="94">
        <v>-120.38</v>
      </c>
      <c r="O4740" s="94">
        <v>53</v>
      </c>
      <c r="P4740" s="244">
        <v>17.3</v>
      </c>
      <c r="Q4740" s="58"/>
      <c r="R4740" s="244">
        <v>1958</v>
      </c>
      <c r="S4740" s="94"/>
      <c r="T4740" s="58"/>
      <c r="U4740" s="58" t="s">
        <v>1935</v>
      </c>
      <c r="V4740" s="244">
        <v>4</v>
      </c>
      <c r="W4740" s="174"/>
      <c r="X4740" s="174"/>
      <c r="Y4740" s="58" t="s">
        <v>1920</v>
      </c>
      <c r="Z4740" s="244" t="s">
        <v>1349</v>
      </c>
      <c r="AA4740" s="245">
        <v>15</v>
      </c>
      <c r="AB4740" s="67">
        <v>30.3</v>
      </c>
      <c r="AC4740" s="67" t="s">
        <v>7001</v>
      </c>
      <c r="AD4740" s="94"/>
      <c r="AE4740" s="94"/>
      <c r="AF4740" s="94"/>
      <c r="AG4740" s="245"/>
      <c r="AH4740" s="58"/>
      <c r="AI4740" s="169"/>
      <c r="AJ4740" s="94"/>
      <c r="AK4740" s="94"/>
      <c r="AL4740" s="58"/>
      <c r="AM4740" s="58"/>
      <c r="AN4740" s="186" t="s">
        <v>5337</v>
      </c>
      <c r="AO4740" s="185" t="s">
        <v>5150</v>
      </c>
      <c r="AP4740" s="58"/>
      <c r="AQ4740" s="58" t="s">
        <v>4584</v>
      </c>
      <c r="AR4740" s="58" t="s">
        <v>5338</v>
      </c>
      <c r="AS4740" s="246" t="s">
        <v>4584</v>
      </c>
      <c r="AT4740" s="247">
        <v>1</v>
      </c>
      <c r="AU4740" s="181" t="s">
        <v>7494</v>
      </c>
      <c r="AV4740" s="185" t="s">
        <v>176</v>
      </c>
      <c r="AW4740" s="244">
        <v>0</v>
      </c>
      <c r="AX4740" s="185" t="s">
        <v>176</v>
      </c>
      <c r="AY4740" s="244" t="s">
        <v>5150</v>
      </c>
      <c r="AZ4740" s="58" t="s">
        <v>4530</v>
      </c>
      <c r="BA4740" s="58" t="s">
        <v>5339</v>
      </c>
      <c r="BB4740" s="58" t="s">
        <v>2081</v>
      </c>
      <c r="BC4740" s="58" t="s">
        <v>4499</v>
      </c>
      <c r="BD4740" s="58" t="s">
        <v>479</v>
      </c>
      <c r="BE4740" s="236" t="s">
        <v>5153</v>
      </c>
      <c r="BF4740" s="191" t="s">
        <v>176</v>
      </c>
      <c r="BG4740" s="191" t="s">
        <v>176</v>
      </c>
      <c r="BH4740" s="236" t="s">
        <v>5155</v>
      </c>
      <c r="BI4740" s="191" t="s">
        <v>479</v>
      </c>
      <c r="BJ4740" s="58" t="str">
        <f>IF(BE4740=BH4740,"No","yes")</f>
        <v>yes</v>
      </c>
      <c r="BK4740" s="58" t="s">
        <v>6335</v>
      </c>
      <c r="BL4740" s="58"/>
      <c r="BM4740" s="237" t="s">
        <v>160</v>
      </c>
      <c r="BN4740" s="244">
        <v>6</v>
      </c>
      <c r="BO4740" s="244">
        <v>6</v>
      </c>
      <c r="BP4740" s="58"/>
      <c r="BQ4740" s="58"/>
      <c r="BR4740" s="58"/>
      <c r="BS4740" s="58"/>
      <c r="BT4740" s="58"/>
      <c r="BU4740" s="58"/>
      <c r="BV4740" s="58" t="s">
        <v>5621</v>
      </c>
      <c r="BW4740" s="67"/>
      <c r="BX4740" s="67"/>
      <c r="BY4740" s="67"/>
      <c r="BZ4740" s="67"/>
      <c r="CA4740" s="67"/>
      <c r="CB4740" s="70"/>
      <c r="CC4740" s="70"/>
      <c r="CD4740" s="70"/>
      <c r="CE4740" s="67"/>
      <c r="CF4740" s="67"/>
      <c r="CG4740" s="67"/>
      <c r="CH4740" s="245">
        <v>1.28</v>
      </c>
      <c r="CI4740" s="245">
        <v>1.5</v>
      </c>
      <c r="CJ4740" s="67"/>
      <c r="CK4740" s="67"/>
      <c r="CL4740" s="67"/>
      <c r="CM4740" s="242">
        <v>1.08</v>
      </c>
      <c r="CN4740" s="242">
        <v>1.2</v>
      </c>
      <c r="CO4740" s="242"/>
      <c r="CP4740" s="242"/>
      <c r="CQ4740" s="242" t="s">
        <v>164</v>
      </c>
      <c r="CR4740" s="242"/>
      <c r="CS4740" s="242"/>
      <c r="CT4740" s="242"/>
      <c r="CU4740" s="242"/>
      <c r="CV4740" s="242" t="s">
        <v>5151</v>
      </c>
      <c r="CW4740" s="242"/>
      <c r="CX4740" s="242"/>
      <c r="CY4740" s="242"/>
      <c r="CZ4740" s="242"/>
      <c r="DA4740" s="67" t="s">
        <v>5443</v>
      </c>
      <c r="DB4740" s="67">
        <v>0.8</v>
      </c>
      <c r="DC4740" s="67">
        <v>0.86</v>
      </c>
      <c r="DD4740" s="67"/>
      <c r="DE4740" s="67"/>
      <c r="DF4740" s="67" t="s">
        <v>5627</v>
      </c>
      <c r="DG4740" s="67"/>
      <c r="DH4740" s="67"/>
      <c r="DI4740" s="67"/>
      <c r="DJ4740" s="67"/>
      <c r="DK4740" s="67" t="s">
        <v>5631</v>
      </c>
      <c r="DL4740" s="67">
        <v>446</v>
      </c>
      <c r="DM4740" s="67">
        <v>504</v>
      </c>
      <c r="DN4740" s="67"/>
      <c r="DO4740" s="67"/>
      <c r="DP4740" s="67" t="s">
        <v>2242</v>
      </c>
      <c r="DQ4740" s="166">
        <v>7.7</v>
      </c>
      <c r="DR4740" s="166">
        <v>7.6</v>
      </c>
      <c r="DS4740" s="163"/>
      <c r="DT4740" s="163"/>
      <c r="DU4740" s="67"/>
      <c r="DV4740" s="67">
        <v>30.3</v>
      </c>
      <c r="DW4740" s="67">
        <v>31.8</v>
      </c>
      <c r="DX4740" s="67"/>
      <c r="DY4740" s="67"/>
      <c r="DZ4740" s="67" t="s">
        <v>3360</v>
      </c>
      <c r="EA4740" s="67">
        <v>1.3</v>
      </c>
      <c r="EB4740" s="67">
        <v>1.9</v>
      </c>
      <c r="EC4740" s="67"/>
      <c r="ED4740" s="67"/>
      <c r="EE4740" s="67" t="s">
        <v>5628</v>
      </c>
      <c r="EF4740" s="67"/>
      <c r="EG4740" s="67"/>
      <c r="EH4740" s="67"/>
      <c r="EI4740" s="67"/>
      <c r="EJ4740" s="67"/>
      <c r="EK4740" s="94">
        <v>83.4</v>
      </c>
      <c r="EL4740" s="94">
        <v>86.7</v>
      </c>
      <c r="EM4740" s="67"/>
      <c r="EN4740" s="67"/>
      <c r="EO4740" s="67" t="s">
        <v>5630</v>
      </c>
      <c r="EP4740" s="67"/>
      <c r="EQ4740" s="67"/>
      <c r="ER4740" s="67"/>
      <c r="ES4740" s="67"/>
      <c r="ET4740" s="67"/>
      <c r="EU4740" s="67"/>
      <c r="EV4740" s="67"/>
      <c r="EW4740" s="67"/>
      <c r="EX4740" s="67"/>
      <c r="EY4740" s="67"/>
      <c r="EZ4740" s="67"/>
      <c r="FA4740" s="67"/>
      <c r="FB4740" s="67"/>
      <c r="FC4740" s="67"/>
      <c r="FD4740" s="67"/>
      <c r="FE4740" s="67"/>
      <c r="FF4740" s="67"/>
      <c r="FG4740" s="67"/>
      <c r="FH4740" s="67"/>
      <c r="FI4740" s="67"/>
      <c r="FJ4740" s="67"/>
      <c r="FK4740" s="67"/>
      <c r="FL4740" s="67"/>
      <c r="FM4740" s="67"/>
      <c r="FN4740" s="67"/>
      <c r="FO4740" s="67"/>
      <c r="FP4740" s="67"/>
      <c r="FQ4740" s="67"/>
      <c r="FR4740" s="67"/>
      <c r="FS4740" s="67"/>
      <c r="FT4740" s="67"/>
      <c r="FU4740" s="67"/>
      <c r="FV4740" s="67"/>
      <c r="FW4740" s="67"/>
      <c r="FX4740" s="67"/>
      <c r="FY4740" s="67"/>
      <c r="FZ4740" s="67"/>
      <c r="GA4740" s="67"/>
      <c r="GB4740" s="67"/>
      <c r="GC4740" s="67"/>
      <c r="GD4740" s="67"/>
      <c r="GE4740" s="67"/>
      <c r="GF4740" s="67"/>
      <c r="GG4740" s="67"/>
      <c r="GH4740" s="67"/>
      <c r="GI4740" s="67"/>
      <c r="GJ4740" s="67"/>
      <c r="GK4740" s="67"/>
      <c r="GL4740" s="67"/>
      <c r="GM4740" s="67"/>
      <c r="GN4740" s="292"/>
      <c r="GO4740" s="292"/>
      <c r="GP4740" s="292" t="s">
        <v>7494</v>
      </c>
      <c r="GQ4740" s="67"/>
      <c r="GR4740" s="67"/>
      <c r="GS4740" s="67"/>
      <c r="GT4740" s="67"/>
      <c r="GU4740" s="67"/>
      <c r="GV4740" s="67"/>
      <c r="GW4740" s="67"/>
      <c r="GX4740" s="67"/>
      <c r="GY4740" s="67"/>
      <c r="GZ4740" s="67"/>
      <c r="HA4740" s="67"/>
      <c r="HB4740" s="67"/>
      <c r="HC4740" s="67"/>
      <c r="HD4740" s="67"/>
      <c r="HE4740" s="67"/>
      <c r="HF4740" s="67"/>
      <c r="HG4740" s="67"/>
      <c r="HH4740" s="67"/>
      <c r="HI4740" s="67"/>
      <c r="HJ4740" s="67"/>
      <c r="HK4740" s="67"/>
      <c r="HL4740" s="67"/>
      <c r="HM4740" s="67"/>
      <c r="HN4740" s="67"/>
      <c r="HO4740" s="67"/>
      <c r="HP4740" s="67"/>
      <c r="HQ4740" s="67"/>
      <c r="HR4740" s="67"/>
      <c r="HS4740" s="67"/>
      <c r="HT4740" s="67"/>
      <c r="HU4740" s="67"/>
      <c r="HV4740" s="67"/>
      <c r="HW4740" s="67"/>
      <c r="HX4740" s="67"/>
      <c r="HY4740" s="67"/>
      <c r="HZ4740" s="67"/>
      <c r="IA4740" s="67"/>
      <c r="IB4740" s="67"/>
      <c r="IC4740" s="67"/>
      <c r="ID4740" s="67"/>
      <c r="IE4740" s="67"/>
      <c r="IF4740" s="67"/>
      <c r="IG4740" s="67"/>
      <c r="IH4740" s="67"/>
      <c r="II4740" s="67"/>
      <c r="IJ4740" s="67"/>
      <c r="IK4740" s="67"/>
      <c r="IL4740" s="67"/>
      <c r="IM4740" s="67"/>
      <c r="IN4740" s="67"/>
      <c r="IO4740" s="67"/>
      <c r="IP4740" s="67"/>
      <c r="IQ4740" s="67"/>
      <c r="IR4740" s="67"/>
      <c r="IS4740" s="67"/>
      <c r="IT4740" s="67"/>
      <c r="IU4740" s="67"/>
      <c r="IV4740" s="67"/>
      <c r="IW4740" s="67"/>
      <c r="IX4740" s="67"/>
      <c r="IY4740" s="67"/>
      <c r="IZ4740" s="67"/>
      <c r="JA4740" s="67"/>
      <c r="JB4740" s="67"/>
      <c r="JC4740" s="67"/>
      <c r="JD4740" s="67"/>
      <c r="JE4740" s="67"/>
      <c r="JF4740" s="67"/>
      <c r="JG4740" s="67"/>
      <c r="JH4740" s="67"/>
      <c r="JI4740" s="67"/>
      <c r="JJ4740" s="67"/>
      <c r="JK4740" s="67"/>
      <c r="JL4740" s="67"/>
      <c r="JM4740" s="67"/>
      <c r="JN4740" s="67"/>
      <c r="JO4740" s="67"/>
      <c r="JP4740" s="67"/>
      <c r="JQ4740" s="67">
        <v>99999</v>
      </c>
      <c r="JR4740" s="67"/>
      <c r="JS4740" s="67"/>
      <c r="JT4740" s="67"/>
      <c r="JU4740" s="58" t="s">
        <v>5629</v>
      </c>
      <c r="JV4740" s="58"/>
      <c r="JW4740" s="58"/>
    </row>
    <row r="4741" spans="1:283" s="23" customFormat="1" x14ac:dyDescent="0.25">
      <c r="A4741" s="55">
        <v>4740</v>
      </c>
      <c r="B4741" s="12" t="s">
        <v>7067</v>
      </c>
      <c r="C4741" s="156">
        <v>207</v>
      </c>
      <c r="D4741" s="58" t="s">
        <v>5617</v>
      </c>
      <c r="E4741" s="160" t="str">
        <f>G4741</f>
        <v>Andrews et al. 2002</v>
      </c>
      <c r="F4741" s="160"/>
      <c r="G4741" s="60" t="s">
        <v>4866</v>
      </c>
      <c r="H4741" s="58">
        <v>2002</v>
      </c>
      <c r="I4741" s="58" t="s">
        <v>5626</v>
      </c>
      <c r="J4741" s="243" t="s">
        <v>282</v>
      </c>
      <c r="K4741" s="63" t="s">
        <v>5340</v>
      </c>
      <c r="L4741" s="58" t="s">
        <v>2737</v>
      </c>
      <c r="M4741" s="94">
        <v>36.75</v>
      </c>
      <c r="N4741" s="94">
        <v>-120.38</v>
      </c>
      <c r="O4741" s="94">
        <v>53</v>
      </c>
      <c r="P4741" s="244">
        <v>17.3</v>
      </c>
      <c r="Q4741" s="58"/>
      <c r="R4741" s="244">
        <v>1958</v>
      </c>
      <c r="S4741" s="94"/>
      <c r="T4741" s="58"/>
      <c r="U4741" s="58" t="s">
        <v>1935</v>
      </c>
      <c r="V4741" s="244">
        <v>4</v>
      </c>
      <c r="W4741" s="174"/>
      <c r="X4741" s="174"/>
      <c r="Y4741" s="58" t="s">
        <v>1920</v>
      </c>
      <c r="Z4741" s="244" t="s">
        <v>1349</v>
      </c>
      <c r="AA4741" s="245">
        <v>15</v>
      </c>
      <c r="AB4741" s="67">
        <v>30.9</v>
      </c>
      <c r="AC4741" s="67" t="s">
        <v>7001</v>
      </c>
      <c r="AD4741" s="94"/>
      <c r="AE4741" s="94"/>
      <c r="AF4741" s="94"/>
      <c r="AG4741" s="245"/>
      <c r="AH4741" s="58"/>
      <c r="AI4741" s="169"/>
      <c r="AJ4741" s="94"/>
      <c r="AK4741" s="94"/>
      <c r="AL4741" s="58"/>
      <c r="AM4741" s="58"/>
      <c r="AN4741" s="186" t="s">
        <v>5337</v>
      </c>
      <c r="AO4741" s="185" t="s">
        <v>5150</v>
      </c>
      <c r="AP4741" s="58"/>
      <c r="AQ4741" s="58" t="s">
        <v>4584</v>
      </c>
      <c r="AR4741" s="58" t="s">
        <v>5338</v>
      </c>
      <c r="AS4741" s="246" t="s">
        <v>4584</v>
      </c>
      <c r="AT4741" s="247">
        <v>1</v>
      </c>
      <c r="AU4741" s="181" t="s">
        <v>7494</v>
      </c>
      <c r="AV4741" s="185" t="s">
        <v>176</v>
      </c>
      <c r="AW4741" s="244">
        <v>0</v>
      </c>
      <c r="AX4741" s="185" t="s">
        <v>176</v>
      </c>
      <c r="AY4741" s="244" t="s">
        <v>5150</v>
      </c>
      <c r="AZ4741" s="58" t="s">
        <v>4530</v>
      </c>
      <c r="BA4741" s="58" t="s">
        <v>5339</v>
      </c>
      <c r="BB4741" s="58" t="s">
        <v>2081</v>
      </c>
      <c r="BC4741" s="58" t="s">
        <v>4499</v>
      </c>
      <c r="BD4741" s="58" t="s">
        <v>479</v>
      </c>
      <c r="BE4741" s="236" t="s">
        <v>5153</v>
      </c>
      <c r="BF4741" s="191" t="s">
        <v>176</v>
      </c>
      <c r="BG4741" s="191" t="s">
        <v>176</v>
      </c>
      <c r="BH4741" s="236" t="s">
        <v>5155</v>
      </c>
      <c r="BI4741" s="191" t="s">
        <v>479</v>
      </c>
      <c r="BJ4741" s="58" t="str">
        <f>IF(BE4741=BH4741,"No","yes")</f>
        <v>yes</v>
      </c>
      <c r="BK4741" s="58" t="s">
        <v>6335</v>
      </c>
      <c r="BL4741" s="58"/>
      <c r="BM4741" s="237" t="s">
        <v>160</v>
      </c>
      <c r="BN4741" s="244">
        <v>6</v>
      </c>
      <c r="BO4741" s="244">
        <v>6</v>
      </c>
      <c r="BP4741" s="58"/>
      <c r="BQ4741" s="58"/>
      <c r="BR4741" s="58"/>
      <c r="BS4741" s="58"/>
      <c r="BT4741" s="58"/>
      <c r="BU4741" s="58"/>
      <c r="BV4741" s="58" t="s">
        <v>5622</v>
      </c>
      <c r="BW4741" s="67"/>
      <c r="BX4741" s="67"/>
      <c r="BY4741" s="67"/>
      <c r="BZ4741" s="67"/>
      <c r="CA4741" s="67"/>
      <c r="CB4741" s="70"/>
      <c r="CC4741" s="70"/>
      <c r="CD4741" s="70"/>
      <c r="CE4741" s="67"/>
      <c r="CF4741" s="67"/>
      <c r="CG4741" s="67"/>
      <c r="CH4741" s="245">
        <v>1.36</v>
      </c>
      <c r="CI4741" s="245">
        <v>1.22</v>
      </c>
      <c r="CJ4741" s="67"/>
      <c r="CK4741" s="67"/>
      <c r="CL4741" s="67"/>
      <c r="CM4741" s="242">
        <v>1.08</v>
      </c>
      <c r="CN4741" s="242">
        <v>1.07</v>
      </c>
      <c r="CO4741" s="242"/>
      <c r="CP4741" s="242"/>
      <c r="CQ4741" s="242" t="s">
        <v>164</v>
      </c>
      <c r="CR4741" s="242"/>
      <c r="CS4741" s="242"/>
      <c r="CT4741" s="242"/>
      <c r="CU4741" s="242"/>
      <c r="CV4741" s="242" t="s">
        <v>5151</v>
      </c>
      <c r="CW4741" s="242"/>
      <c r="CX4741" s="242"/>
      <c r="CY4741" s="242"/>
      <c r="CZ4741" s="242"/>
      <c r="DA4741" s="67" t="s">
        <v>5443</v>
      </c>
      <c r="DB4741" s="67">
        <v>0.82</v>
      </c>
      <c r="DC4741" s="67">
        <v>0.81</v>
      </c>
      <c r="DD4741" s="67"/>
      <c r="DE4741" s="67"/>
      <c r="DF4741" s="67" t="s">
        <v>5627</v>
      </c>
      <c r="DG4741" s="67"/>
      <c r="DH4741" s="67"/>
      <c r="DI4741" s="67"/>
      <c r="DJ4741" s="67"/>
      <c r="DK4741" s="67" t="s">
        <v>5631</v>
      </c>
      <c r="DL4741" s="67">
        <v>528</v>
      </c>
      <c r="DM4741" s="67">
        <v>523</v>
      </c>
      <c r="DN4741" s="67"/>
      <c r="DO4741" s="67"/>
      <c r="DP4741" s="67" t="s">
        <v>2242</v>
      </c>
      <c r="DQ4741" s="166">
        <v>8</v>
      </c>
      <c r="DR4741" s="166">
        <v>8</v>
      </c>
      <c r="DS4741" s="163"/>
      <c r="DT4741" s="163"/>
      <c r="DU4741" s="67"/>
      <c r="DV4741" s="67">
        <v>30.9</v>
      </c>
      <c r="DW4741" s="67">
        <v>31.8</v>
      </c>
      <c r="DX4741" s="67"/>
      <c r="DY4741" s="67"/>
      <c r="DZ4741" s="67" t="s">
        <v>3360</v>
      </c>
      <c r="EA4741" s="67">
        <v>1.3</v>
      </c>
      <c r="EB4741" s="67">
        <v>1</v>
      </c>
      <c r="EC4741" s="67"/>
      <c r="ED4741" s="67"/>
      <c r="EE4741" s="67" t="s">
        <v>5628</v>
      </c>
      <c r="EF4741" s="67"/>
      <c r="EG4741" s="67"/>
      <c r="EH4741" s="67"/>
      <c r="EI4741" s="67"/>
      <c r="EJ4741" s="67"/>
      <c r="EK4741" s="94">
        <v>84.9</v>
      </c>
      <c r="EL4741" s="94">
        <v>84.2</v>
      </c>
      <c r="EM4741" s="67"/>
      <c r="EN4741" s="67"/>
      <c r="EO4741" s="67" t="s">
        <v>5630</v>
      </c>
      <c r="EP4741" s="67"/>
      <c r="EQ4741" s="67"/>
      <c r="ER4741" s="67"/>
      <c r="ES4741" s="67"/>
      <c r="ET4741" s="67"/>
      <c r="EU4741" s="67"/>
      <c r="EV4741" s="67"/>
      <c r="EW4741" s="67"/>
      <c r="EX4741" s="67"/>
      <c r="EY4741" s="67"/>
      <c r="EZ4741" s="67"/>
      <c r="FA4741" s="67"/>
      <c r="FB4741" s="67"/>
      <c r="FC4741" s="67"/>
      <c r="FD4741" s="67"/>
      <c r="FE4741" s="67"/>
      <c r="FF4741" s="67"/>
      <c r="FG4741" s="67"/>
      <c r="FH4741" s="67"/>
      <c r="FI4741" s="67"/>
      <c r="FJ4741" s="67"/>
      <c r="FK4741" s="67"/>
      <c r="FL4741" s="67"/>
      <c r="FM4741" s="67"/>
      <c r="FN4741" s="67"/>
      <c r="FO4741" s="67"/>
      <c r="FP4741" s="67"/>
      <c r="FQ4741" s="67"/>
      <c r="FR4741" s="67"/>
      <c r="FS4741" s="67"/>
      <c r="FT4741" s="67"/>
      <c r="FU4741" s="67"/>
      <c r="FV4741" s="67"/>
      <c r="FW4741" s="67"/>
      <c r="FX4741" s="67"/>
      <c r="FY4741" s="67"/>
      <c r="FZ4741" s="67"/>
      <c r="GA4741" s="67"/>
      <c r="GB4741" s="67"/>
      <c r="GC4741" s="67"/>
      <c r="GD4741" s="67"/>
      <c r="GE4741" s="67"/>
      <c r="GF4741" s="67"/>
      <c r="GG4741" s="67"/>
      <c r="GH4741" s="67"/>
      <c r="GI4741" s="67"/>
      <c r="GJ4741" s="67"/>
      <c r="GK4741" s="67"/>
      <c r="GL4741" s="67"/>
      <c r="GM4741" s="67"/>
      <c r="GN4741" s="292"/>
      <c r="GO4741" s="292"/>
      <c r="GP4741" s="292" t="s">
        <v>7494</v>
      </c>
      <c r="GQ4741" s="67"/>
      <c r="GR4741" s="67"/>
      <c r="GS4741" s="67"/>
      <c r="GT4741" s="67"/>
      <c r="GU4741" s="67"/>
      <c r="GV4741" s="67"/>
      <c r="GW4741" s="67"/>
      <c r="GX4741" s="67"/>
      <c r="GY4741" s="67"/>
      <c r="GZ4741" s="67"/>
      <c r="HA4741" s="67"/>
      <c r="HB4741" s="67"/>
      <c r="HC4741" s="67"/>
      <c r="HD4741" s="67"/>
      <c r="HE4741" s="67"/>
      <c r="HF4741" s="67"/>
      <c r="HG4741" s="67"/>
      <c r="HH4741" s="67"/>
      <c r="HI4741" s="67"/>
      <c r="HJ4741" s="67"/>
      <c r="HK4741" s="67"/>
      <c r="HL4741" s="67"/>
      <c r="HM4741" s="67"/>
      <c r="HN4741" s="67"/>
      <c r="HO4741" s="67"/>
      <c r="HP4741" s="67"/>
      <c r="HQ4741" s="67"/>
      <c r="HR4741" s="67"/>
      <c r="HS4741" s="67"/>
      <c r="HT4741" s="67"/>
      <c r="HU4741" s="67"/>
      <c r="HV4741" s="67"/>
      <c r="HW4741" s="67"/>
      <c r="HX4741" s="67"/>
      <c r="HY4741" s="67"/>
      <c r="HZ4741" s="67"/>
      <c r="IA4741" s="67"/>
      <c r="IB4741" s="67"/>
      <c r="IC4741" s="67"/>
      <c r="ID4741" s="67"/>
      <c r="IE4741" s="67"/>
      <c r="IF4741" s="67"/>
      <c r="IG4741" s="67"/>
      <c r="IH4741" s="67"/>
      <c r="II4741" s="67"/>
      <c r="IJ4741" s="67"/>
      <c r="IK4741" s="67"/>
      <c r="IL4741" s="67"/>
      <c r="IM4741" s="67"/>
      <c r="IN4741" s="67"/>
      <c r="IO4741" s="67"/>
      <c r="IP4741" s="67"/>
      <c r="IQ4741" s="67"/>
      <c r="IR4741" s="67"/>
      <c r="IS4741" s="67"/>
      <c r="IT4741" s="67"/>
      <c r="IU4741" s="67"/>
      <c r="IV4741" s="67"/>
      <c r="IW4741" s="67"/>
      <c r="IX4741" s="67"/>
      <c r="IY4741" s="67"/>
      <c r="IZ4741" s="67"/>
      <c r="JA4741" s="67"/>
      <c r="JB4741" s="67"/>
      <c r="JC4741" s="67"/>
      <c r="JD4741" s="67"/>
      <c r="JE4741" s="67"/>
      <c r="JF4741" s="67"/>
      <c r="JG4741" s="67"/>
      <c r="JH4741" s="67"/>
      <c r="JI4741" s="67"/>
      <c r="JJ4741" s="67"/>
      <c r="JK4741" s="67"/>
      <c r="JL4741" s="67"/>
      <c r="JM4741" s="67"/>
      <c r="JN4741" s="67"/>
      <c r="JO4741" s="67"/>
      <c r="JP4741" s="67"/>
      <c r="JQ4741" s="67">
        <v>99999</v>
      </c>
      <c r="JR4741" s="67"/>
      <c r="JS4741" s="67"/>
      <c r="JT4741" s="67"/>
      <c r="JU4741" s="58" t="s">
        <v>5629</v>
      </c>
      <c r="JV4741" s="58"/>
      <c r="JW4741" s="58"/>
    </row>
    <row r="4742" spans="1:283" s="23" customFormat="1" x14ac:dyDescent="0.25">
      <c r="A4742" s="55">
        <v>4741</v>
      </c>
      <c r="B4742" s="12" t="s">
        <v>7067</v>
      </c>
      <c r="C4742" s="156">
        <v>207</v>
      </c>
      <c r="D4742" s="58" t="s">
        <v>4877</v>
      </c>
      <c r="E4742" s="160" t="str">
        <f>G4742</f>
        <v>Andrews et al. 2002</v>
      </c>
      <c r="F4742" s="160"/>
      <c r="G4742" s="60" t="s">
        <v>4866</v>
      </c>
      <c r="H4742" s="58">
        <v>2002</v>
      </c>
      <c r="I4742" s="58" t="s">
        <v>5626</v>
      </c>
      <c r="J4742" s="243" t="s">
        <v>282</v>
      </c>
      <c r="K4742" s="63" t="s">
        <v>5340</v>
      </c>
      <c r="L4742" s="58" t="s">
        <v>2737</v>
      </c>
      <c r="M4742" s="94">
        <v>36.75</v>
      </c>
      <c r="N4742" s="94">
        <v>-120.38</v>
      </c>
      <c r="O4742" s="94">
        <v>53</v>
      </c>
      <c r="P4742" s="244">
        <v>17.3</v>
      </c>
      <c r="Q4742" s="58"/>
      <c r="R4742" s="244">
        <v>1958</v>
      </c>
      <c r="S4742" s="94"/>
      <c r="T4742" s="58"/>
      <c r="U4742" s="58" t="s">
        <v>1935</v>
      </c>
      <c r="V4742" s="244">
        <v>4</v>
      </c>
      <c r="W4742" s="174"/>
      <c r="X4742" s="174"/>
      <c r="Y4742" s="58" t="s">
        <v>1920</v>
      </c>
      <c r="Z4742" s="244" t="s">
        <v>1349</v>
      </c>
      <c r="AA4742" s="245">
        <v>15</v>
      </c>
      <c r="AB4742" s="67">
        <v>21.8</v>
      </c>
      <c r="AC4742" s="67" t="s">
        <v>7001</v>
      </c>
      <c r="AD4742" s="94"/>
      <c r="AE4742" s="94"/>
      <c r="AF4742" s="94"/>
      <c r="AG4742" s="245"/>
      <c r="AH4742" s="58"/>
      <c r="AI4742" s="169"/>
      <c r="AJ4742" s="94"/>
      <c r="AK4742" s="94"/>
      <c r="AL4742" s="58"/>
      <c r="AM4742" s="58"/>
      <c r="AN4742" s="186" t="s">
        <v>5337</v>
      </c>
      <c r="AO4742" s="185" t="s">
        <v>5150</v>
      </c>
      <c r="AP4742" s="58"/>
      <c r="AQ4742" s="58" t="s">
        <v>4584</v>
      </c>
      <c r="AR4742" s="58" t="s">
        <v>5338</v>
      </c>
      <c r="AS4742" s="246" t="s">
        <v>4584</v>
      </c>
      <c r="AT4742" s="247">
        <v>1</v>
      </c>
      <c r="AU4742" s="181" t="s">
        <v>7494</v>
      </c>
      <c r="AV4742" s="185" t="s">
        <v>176</v>
      </c>
      <c r="AW4742" s="244">
        <v>0</v>
      </c>
      <c r="AX4742" s="185" t="s">
        <v>176</v>
      </c>
      <c r="AY4742" s="244" t="s">
        <v>5150</v>
      </c>
      <c r="AZ4742" s="58" t="s">
        <v>4530</v>
      </c>
      <c r="BA4742" s="58" t="s">
        <v>5339</v>
      </c>
      <c r="BB4742" s="58" t="s">
        <v>2081</v>
      </c>
      <c r="BC4742" s="58" t="s">
        <v>4499</v>
      </c>
      <c r="BD4742" s="58" t="s">
        <v>479</v>
      </c>
      <c r="BE4742" s="236" t="s">
        <v>5153</v>
      </c>
      <c r="BF4742" s="191" t="s">
        <v>176</v>
      </c>
      <c r="BG4742" s="191" t="s">
        <v>176</v>
      </c>
      <c r="BH4742" s="236" t="s">
        <v>5155</v>
      </c>
      <c r="BI4742" s="191" t="s">
        <v>479</v>
      </c>
      <c r="BJ4742" s="58" t="str">
        <f>IF(BE4742=BH4742,"No","yes")</f>
        <v>yes</v>
      </c>
      <c r="BK4742" s="58" t="s">
        <v>6335</v>
      </c>
      <c r="BL4742" s="58"/>
      <c r="BM4742" s="237" t="s">
        <v>160</v>
      </c>
      <c r="BN4742" s="244">
        <v>6</v>
      </c>
      <c r="BO4742" s="244">
        <v>6</v>
      </c>
      <c r="BP4742" s="58"/>
      <c r="BQ4742" s="58"/>
      <c r="BR4742" s="58"/>
      <c r="BS4742" s="58"/>
      <c r="BT4742" s="58"/>
      <c r="BU4742" s="58"/>
      <c r="BV4742" s="58" t="s">
        <v>5623</v>
      </c>
      <c r="BW4742" s="67"/>
      <c r="BX4742" s="67"/>
      <c r="BY4742" s="67"/>
      <c r="BZ4742" s="67"/>
      <c r="CA4742" s="67"/>
      <c r="CB4742" s="70"/>
      <c r="CC4742" s="70"/>
      <c r="CD4742" s="70"/>
      <c r="CE4742" s="67"/>
      <c r="CF4742" s="67"/>
      <c r="CG4742" s="67"/>
      <c r="CH4742" s="245">
        <v>1.28</v>
      </c>
      <c r="CI4742" s="245">
        <v>1.04</v>
      </c>
      <c r="CJ4742" s="67"/>
      <c r="CK4742" s="67"/>
      <c r="CL4742" s="67"/>
      <c r="CM4742" s="242">
        <v>0.83</v>
      </c>
      <c r="CN4742" s="242">
        <v>1</v>
      </c>
      <c r="CO4742" s="242"/>
      <c r="CP4742" s="242"/>
      <c r="CQ4742" s="242" t="s">
        <v>164</v>
      </c>
      <c r="CR4742" s="242"/>
      <c r="CS4742" s="242"/>
      <c r="CT4742" s="242"/>
      <c r="CU4742" s="242"/>
      <c r="CV4742" s="242" t="s">
        <v>5151</v>
      </c>
      <c r="CW4742" s="242"/>
      <c r="CX4742" s="242"/>
      <c r="CY4742" s="242"/>
      <c r="CZ4742" s="242"/>
      <c r="DA4742" s="67" t="s">
        <v>5443</v>
      </c>
      <c r="DB4742" s="67">
        <v>0.67</v>
      </c>
      <c r="DC4742" s="67">
        <v>0.82</v>
      </c>
      <c r="DD4742" s="67"/>
      <c r="DE4742" s="67"/>
      <c r="DF4742" s="67" t="s">
        <v>5627</v>
      </c>
      <c r="DG4742" s="67"/>
      <c r="DH4742" s="67"/>
      <c r="DI4742" s="67"/>
      <c r="DJ4742" s="67"/>
      <c r="DK4742" s="67" t="s">
        <v>5631</v>
      </c>
      <c r="DL4742" s="67">
        <v>383</v>
      </c>
      <c r="DM4742" s="67">
        <v>477</v>
      </c>
      <c r="DN4742" s="67"/>
      <c r="DO4742" s="67"/>
      <c r="DP4742" s="67" t="s">
        <v>2242</v>
      </c>
      <c r="DQ4742" s="166">
        <v>7.7</v>
      </c>
      <c r="DR4742" s="166">
        <v>7.6</v>
      </c>
      <c r="DS4742" s="163"/>
      <c r="DT4742" s="163"/>
      <c r="DU4742" s="67"/>
      <c r="DV4742" s="67">
        <v>21.8</v>
      </c>
      <c r="DW4742" s="67">
        <v>25.9</v>
      </c>
      <c r="DX4742" s="67"/>
      <c r="DY4742" s="67"/>
      <c r="DZ4742" s="67" t="s">
        <v>3360</v>
      </c>
      <c r="EA4742" s="67">
        <v>1.6</v>
      </c>
      <c r="EB4742" s="67">
        <v>5.4</v>
      </c>
      <c r="EC4742" s="67"/>
      <c r="ED4742" s="67"/>
      <c r="EE4742" s="67" t="s">
        <v>5628</v>
      </c>
      <c r="EF4742" s="67"/>
      <c r="EG4742" s="67"/>
      <c r="EH4742" s="67"/>
      <c r="EI4742" s="67"/>
      <c r="EJ4742" s="67"/>
      <c r="EK4742" s="94">
        <v>60.3</v>
      </c>
      <c r="EL4742" s="94">
        <v>73.400000000000006</v>
      </c>
      <c r="EM4742" s="67"/>
      <c r="EN4742" s="67"/>
      <c r="EO4742" s="67" t="s">
        <v>5630</v>
      </c>
      <c r="EP4742" s="67"/>
      <c r="EQ4742" s="67"/>
      <c r="ER4742" s="67"/>
      <c r="ES4742" s="67"/>
      <c r="ET4742" s="67"/>
      <c r="EU4742" s="67"/>
      <c r="EV4742" s="67"/>
      <c r="EW4742" s="67"/>
      <c r="EX4742" s="67"/>
      <c r="EY4742" s="67"/>
      <c r="EZ4742" s="67"/>
      <c r="FA4742" s="67"/>
      <c r="FB4742" s="67"/>
      <c r="FC4742" s="67"/>
      <c r="FD4742" s="67"/>
      <c r="FE4742" s="67"/>
      <c r="FF4742" s="67"/>
      <c r="FG4742" s="67"/>
      <c r="FH4742" s="67"/>
      <c r="FI4742" s="67"/>
      <c r="FJ4742" s="67"/>
      <c r="FK4742" s="67"/>
      <c r="FL4742" s="67"/>
      <c r="FM4742" s="67"/>
      <c r="FN4742" s="67"/>
      <c r="FO4742" s="67"/>
      <c r="FP4742" s="67"/>
      <c r="FQ4742" s="67"/>
      <c r="FR4742" s="67"/>
      <c r="FS4742" s="67"/>
      <c r="FT4742" s="67"/>
      <c r="FU4742" s="67"/>
      <c r="FV4742" s="67"/>
      <c r="FW4742" s="67"/>
      <c r="FX4742" s="67"/>
      <c r="FY4742" s="67"/>
      <c r="FZ4742" s="67"/>
      <c r="GA4742" s="67"/>
      <c r="GB4742" s="67"/>
      <c r="GC4742" s="67"/>
      <c r="GD4742" s="67"/>
      <c r="GE4742" s="67"/>
      <c r="GF4742" s="67"/>
      <c r="GG4742" s="67"/>
      <c r="GH4742" s="67"/>
      <c r="GI4742" s="67"/>
      <c r="GJ4742" s="67"/>
      <c r="GK4742" s="67"/>
      <c r="GL4742" s="67"/>
      <c r="GM4742" s="67"/>
      <c r="GN4742" s="292"/>
      <c r="GO4742" s="292"/>
      <c r="GP4742" s="292" t="s">
        <v>7494</v>
      </c>
      <c r="GQ4742" s="67"/>
      <c r="GR4742" s="67"/>
      <c r="GS4742" s="67"/>
      <c r="GT4742" s="67"/>
      <c r="GU4742" s="67"/>
      <c r="GV4742" s="67"/>
      <c r="GW4742" s="67"/>
      <c r="GX4742" s="67"/>
      <c r="GY4742" s="67"/>
      <c r="GZ4742" s="67"/>
      <c r="HA4742" s="67"/>
      <c r="HB4742" s="67"/>
      <c r="HC4742" s="67"/>
      <c r="HD4742" s="67"/>
      <c r="HE4742" s="67"/>
      <c r="HF4742" s="67"/>
      <c r="HG4742" s="67"/>
      <c r="HH4742" s="67"/>
      <c r="HI4742" s="67"/>
      <c r="HJ4742" s="67"/>
      <c r="HK4742" s="67"/>
      <c r="HL4742" s="67"/>
      <c r="HM4742" s="67"/>
      <c r="HN4742" s="67"/>
      <c r="HO4742" s="67"/>
      <c r="HP4742" s="67"/>
      <c r="HQ4742" s="67"/>
      <c r="HR4742" s="67"/>
      <c r="HS4742" s="67"/>
      <c r="HT4742" s="67"/>
      <c r="HU4742" s="67"/>
      <c r="HV4742" s="67"/>
      <c r="HW4742" s="67"/>
      <c r="HX4742" s="67"/>
      <c r="HY4742" s="67"/>
      <c r="HZ4742" s="67"/>
      <c r="IA4742" s="67"/>
      <c r="IB4742" s="67"/>
      <c r="IC4742" s="67"/>
      <c r="ID4742" s="67"/>
      <c r="IE4742" s="67"/>
      <c r="IF4742" s="67"/>
      <c r="IG4742" s="67"/>
      <c r="IH4742" s="67"/>
      <c r="II4742" s="67"/>
      <c r="IJ4742" s="67"/>
      <c r="IK4742" s="67"/>
      <c r="IL4742" s="67"/>
      <c r="IM4742" s="67"/>
      <c r="IN4742" s="67"/>
      <c r="IO4742" s="67"/>
      <c r="IP4742" s="67"/>
      <c r="IQ4742" s="67"/>
      <c r="IR4742" s="67"/>
      <c r="IS4742" s="67"/>
      <c r="IT4742" s="67"/>
      <c r="IU4742" s="67"/>
      <c r="IV4742" s="67"/>
      <c r="IW4742" s="67"/>
      <c r="IX4742" s="67"/>
      <c r="IY4742" s="67"/>
      <c r="IZ4742" s="67"/>
      <c r="JA4742" s="67"/>
      <c r="JB4742" s="67"/>
      <c r="JC4742" s="67"/>
      <c r="JD4742" s="67"/>
      <c r="JE4742" s="67"/>
      <c r="JF4742" s="67"/>
      <c r="JG4742" s="67"/>
      <c r="JH4742" s="67"/>
      <c r="JI4742" s="67"/>
      <c r="JJ4742" s="67"/>
      <c r="JK4742" s="67"/>
      <c r="JL4742" s="67"/>
      <c r="JM4742" s="67"/>
      <c r="JN4742" s="67"/>
      <c r="JO4742" s="67"/>
      <c r="JP4742" s="67"/>
      <c r="JQ4742" s="67">
        <v>99999</v>
      </c>
      <c r="JR4742" s="67"/>
      <c r="JS4742" s="67"/>
      <c r="JT4742" s="67"/>
      <c r="JU4742" s="58" t="s">
        <v>5629</v>
      </c>
      <c r="JV4742" s="58"/>
      <c r="JW4742" s="58"/>
    </row>
    <row r="4743" spans="1:283" s="23" customFormat="1" x14ac:dyDescent="0.25">
      <c r="A4743" s="55">
        <v>4742</v>
      </c>
      <c r="B4743" s="12" t="s">
        <v>7067</v>
      </c>
      <c r="C4743" s="156">
        <v>207</v>
      </c>
      <c r="D4743" s="58" t="s">
        <v>5618</v>
      </c>
      <c r="E4743" s="160" t="str">
        <f>G4743</f>
        <v>Andrews et al. 2002</v>
      </c>
      <c r="F4743" s="160"/>
      <c r="G4743" s="60" t="s">
        <v>4866</v>
      </c>
      <c r="H4743" s="58">
        <v>2002</v>
      </c>
      <c r="I4743" s="58" t="s">
        <v>5626</v>
      </c>
      <c r="J4743" s="243" t="s">
        <v>282</v>
      </c>
      <c r="K4743" s="63" t="s">
        <v>5340</v>
      </c>
      <c r="L4743" s="58" t="s">
        <v>2737</v>
      </c>
      <c r="M4743" s="94">
        <v>36.75</v>
      </c>
      <c r="N4743" s="94">
        <v>-120.38</v>
      </c>
      <c r="O4743" s="94">
        <v>53</v>
      </c>
      <c r="P4743" s="244">
        <v>17.3</v>
      </c>
      <c r="Q4743" s="58"/>
      <c r="R4743" s="244">
        <v>1958</v>
      </c>
      <c r="S4743" s="94"/>
      <c r="T4743" s="58"/>
      <c r="U4743" s="58" t="s">
        <v>1935</v>
      </c>
      <c r="V4743" s="244">
        <v>4</v>
      </c>
      <c r="W4743" s="174"/>
      <c r="X4743" s="174"/>
      <c r="Y4743" s="58" t="s">
        <v>1920</v>
      </c>
      <c r="Z4743" s="244" t="s">
        <v>1349</v>
      </c>
      <c r="AA4743" s="245">
        <v>15</v>
      </c>
      <c r="AB4743" s="67">
        <v>29.5</v>
      </c>
      <c r="AC4743" s="67" t="s">
        <v>7001</v>
      </c>
      <c r="AD4743" s="94"/>
      <c r="AE4743" s="94"/>
      <c r="AF4743" s="94"/>
      <c r="AG4743" s="245"/>
      <c r="AH4743" s="58"/>
      <c r="AI4743" s="169"/>
      <c r="AJ4743" s="94"/>
      <c r="AK4743" s="94"/>
      <c r="AL4743" s="58"/>
      <c r="AM4743" s="58"/>
      <c r="AN4743" s="186" t="s">
        <v>5337</v>
      </c>
      <c r="AO4743" s="185" t="s">
        <v>5150</v>
      </c>
      <c r="AP4743" s="58"/>
      <c r="AQ4743" s="58" t="s">
        <v>4584</v>
      </c>
      <c r="AR4743" s="58" t="s">
        <v>5338</v>
      </c>
      <c r="AS4743" s="246" t="s">
        <v>4584</v>
      </c>
      <c r="AT4743" s="247">
        <v>1</v>
      </c>
      <c r="AU4743" s="181" t="s">
        <v>7494</v>
      </c>
      <c r="AV4743" s="185" t="s">
        <v>176</v>
      </c>
      <c r="AW4743" s="244">
        <v>0</v>
      </c>
      <c r="AX4743" s="185" t="s">
        <v>176</v>
      </c>
      <c r="AY4743" s="244" t="s">
        <v>5150</v>
      </c>
      <c r="AZ4743" s="58" t="s">
        <v>4530</v>
      </c>
      <c r="BA4743" s="58" t="s">
        <v>5339</v>
      </c>
      <c r="BB4743" s="58" t="s">
        <v>2081</v>
      </c>
      <c r="BC4743" s="58" t="s">
        <v>4499</v>
      </c>
      <c r="BD4743" s="58" t="s">
        <v>479</v>
      </c>
      <c r="BE4743" s="236" t="s">
        <v>5153</v>
      </c>
      <c r="BF4743" s="191" t="s">
        <v>176</v>
      </c>
      <c r="BG4743" s="191" t="s">
        <v>176</v>
      </c>
      <c r="BH4743" s="236" t="s">
        <v>5155</v>
      </c>
      <c r="BI4743" s="191" t="s">
        <v>479</v>
      </c>
      <c r="BJ4743" s="58" t="str">
        <f>IF(BE4743=BH4743,"No","yes")</f>
        <v>yes</v>
      </c>
      <c r="BK4743" s="58" t="s">
        <v>6335</v>
      </c>
      <c r="BL4743" s="58"/>
      <c r="BM4743" s="237" t="s">
        <v>160</v>
      </c>
      <c r="BN4743" s="244">
        <v>6</v>
      </c>
      <c r="BO4743" s="244">
        <v>6</v>
      </c>
      <c r="BP4743" s="58"/>
      <c r="BQ4743" s="58"/>
      <c r="BR4743" s="58"/>
      <c r="BS4743" s="58"/>
      <c r="BT4743" s="58"/>
      <c r="BU4743" s="58"/>
      <c r="BV4743" s="58" t="s">
        <v>5624</v>
      </c>
      <c r="BW4743" s="67"/>
      <c r="BX4743" s="67"/>
      <c r="BY4743" s="67"/>
      <c r="BZ4743" s="67"/>
      <c r="CA4743" s="67"/>
      <c r="CB4743" s="70"/>
      <c r="CC4743" s="70"/>
      <c r="CD4743" s="70"/>
      <c r="CE4743" s="67"/>
      <c r="CF4743" s="67"/>
      <c r="CG4743" s="67"/>
      <c r="CH4743" s="245">
        <v>1.25</v>
      </c>
      <c r="CI4743" s="245">
        <v>1.22</v>
      </c>
      <c r="CJ4743" s="67"/>
      <c r="CK4743" s="67"/>
      <c r="CL4743" s="67"/>
      <c r="CM4743" s="242">
        <v>0.81</v>
      </c>
      <c r="CN4743" s="242">
        <v>1.01</v>
      </c>
      <c r="CO4743" s="242"/>
      <c r="CP4743" s="242"/>
      <c r="CQ4743" s="242" t="s">
        <v>164</v>
      </c>
      <c r="CR4743" s="242"/>
      <c r="CS4743" s="242"/>
      <c r="CT4743" s="242"/>
      <c r="CU4743" s="242"/>
      <c r="CV4743" s="242" t="s">
        <v>5151</v>
      </c>
      <c r="CW4743" s="242"/>
      <c r="CX4743" s="242"/>
      <c r="CY4743" s="242"/>
      <c r="CZ4743" s="242"/>
      <c r="DA4743" s="67" t="s">
        <v>5443</v>
      </c>
      <c r="DB4743" s="67">
        <v>0.61</v>
      </c>
      <c r="DC4743" s="67">
        <v>0.7</v>
      </c>
      <c r="DD4743" s="67"/>
      <c r="DE4743" s="67"/>
      <c r="DF4743" s="67" t="s">
        <v>5627</v>
      </c>
      <c r="DG4743" s="67"/>
      <c r="DH4743" s="67"/>
      <c r="DI4743" s="67"/>
      <c r="DJ4743" s="67"/>
      <c r="DK4743" s="67" t="s">
        <v>5631</v>
      </c>
      <c r="DL4743" s="67">
        <v>414</v>
      </c>
      <c r="DM4743" s="67">
        <v>584</v>
      </c>
      <c r="DN4743" s="67"/>
      <c r="DO4743" s="67"/>
      <c r="DP4743" s="67" t="s">
        <v>2242</v>
      </c>
      <c r="DQ4743" s="166">
        <v>7.7</v>
      </c>
      <c r="DR4743" s="166">
        <v>7.7</v>
      </c>
      <c r="DS4743" s="163"/>
      <c r="DT4743" s="163"/>
      <c r="DU4743" s="67"/>
      <c r="DV4743" s="67">
        <v>29.5</v>
      </c>
      <c r="DW4743" s="67">
        <v>33.299999999999997</v>
      </c>
      <c r="DX4743" s="67"/>
      <c r="DY4743" s="67"/>
      <c r="DZ4743" s="67" t="s">
        <v>3360</v>
      </c>
      <c r="EA4743" s="67">
        <v>2.6</v>
      </c>
      <c r="EB4743" s="67">
        <v>4.5999999999999996</v>
      </c>
      <c r="EC4743" s="67"/>
      <c r="ED4743" s="67"/>
      <c r="EE4743" s="67" t="s">
        <v>5628</v>
      </c>
      <c r="EF4743" s="67"/>
      <c r="EG4743" s="67"/>
      <c r="EH4743" s="67"/>
      <c r="EI4743" s="67"/>
      <c r="EJ4743" s="67"/>
      <c r="EK4743" s="94">
        <v>88</v>
      </c>
      <c r="EL4743" s="94">
        <v>88.3</v>
      </c>
      <c r="EM4743" s="67"/>
      <c r="EN4743" s="67"/>
      <c r="EO4743" s="67" t="s">
        <v>5630</v>
      </c>
      <c r="EP4743" s="67"/>
      <c r="EQ4743" s="67"/>
      <c r="ER4743" s="67"/>
      <c r="ES4743" s="67"/>
      <c r="ET4743" s="67"/>
      <c r="EU4743" s="67"/>
      <c r="EV4743" s="67"/>
      <c r="EW4743" s="67"/>
      <c r="EX4743" s="67"/>
      <c r="EY4743" s="67"/>
      <c r="EZ4743" s="67"/>
      <c r="FA4743" s="67"/>
      <c r="FB4743" s="67"/>
      <c r="FC4743" s="67"/>
      <c r="FD4743" s="67"/>
      <c r="FE4743" s="67"/>
      <c r="FF4743" s="67"/>
      <c r="FG4743" s="67"/>
      <c r="FH4743" s="67"/>
      <c r="FI4743" s="67"/>
      <c r="FJ4743" s="67"/>
      <c r="FK4743" s="67"/>
      <c r="FL4743" s="67"/>
      <c r="FM4743" s="67"/>
      <c r="FN4743" s="67"/>
      <c r="FO4743" s="67"/>
      <c r="FP4743" s="67"/>
      <c r="FQ4743" s="67"/>
      <c r="FR4743" s="67"/>
      <c r="FS4743" s="67"/>
      <c r="FT4743" s="67"/>
      <c r="FU4743" s="67"/>
      <c r="FV4743" s="67"/>
      <c r="FW4743" s="67"/>
      <c r="FX4743" s="67"/>
      <c r="FY4743" s="67"/>
      <c r="FZ4743" s="67"/>
      <c r="GA4743" s="67"/>
      <c r="GB4743" s="67"/>
      <c r="GC4743" s="67"/>
      <c r="GD4743" s="67"/>
      <c r="GE4743" s="67"/>
      <c r="GF4743" s="67"/>
      <c r="GG4743" s="67"/>
      <c r="GH4743" s="67"/>
      <c r="GI4743" s="67"/>
      <c r="GJ4743" s="67"/>
      <c r="GK4743" s="67"/>
      <c r="GL4743" s="67"/>
      <c r="GM4743" s="67"/>
      <c r="GN4743" s="292"/>
      <c r="GO4743" s="292"/>
      <c r="GP4743" s="292" t="s">
        <v>7494</v>
      </c>
      <c r="GQ4743" s="67"/>
      <c r="GR4743" s="67"/>
      <c r="GS4743" s="67"/>
      <c r="GT4743" s="67"/>
      <c r="GU4743" s="67"/>
      <c r="GV4743" s="67"/>
      <c r="GW4743" s="67"/>
      <c r="GX4743" s="67"/>
      <c r="GY4743" s="67"/>
      <c r="GZ4743" s="67"/>
      <c r="HA4743" s="67"/>
      <c r="HB4743" s="67"/>
      <c r="HC4743" s="67"/>
      <c r="HD4743" s="67"/>
      <c r="HE4743" s="67"/>
      <c r="HF4743" s="67"/>
      <c r="HG4743" s="67"/>
      <c r="HH4743" s="67"/>
      <c r="HI4743" s="67"/>
      <c r="HJ4743" s="67"/>
      <c r="HK4743" s="67"/>
      <c r="HL4743" s="67"/>
      <c r="HM4743" s="67"/>
      <c r="HN4743" s="67"/>
      <c r="HO4743" s="67"/>
      <c r="HP4743" s="67"/>
      <c r="HQ4743" s="67"/>
      <c r="HR4743" s="67"/>
      <c r="HS4743" s="67"/>
      <c r="HT4743" s="67"/>
      <c r="HU4743" s="67"/>
      <c r="HV4743" s="67"/>
      <c r="HW4743" s="67"/>
      <c r="HX4743" s="67"/>
      <c r="HY4743" s="67"/>
      <c r="HZ4743" s="67"/>
      <c r="IA4743" s="67"/>
      <c r="IB4743" s="67"/>
      <c r="IC4743" s="67"/>
      <c r="ID4743" s="67"/>
      <c r="IE4743" s="67"/>
      <c r="IF4743" s="67"/>
      <c r="IG4743" s="67"/>
      <c r="IH4743" s="67"/>
      <c r="II4743" s="67"/>
      <c r="IJ4743" s="67"/>
      <c r="IK4743" s="67"/>
      <c r="IL4743" s="67"/>
      <c r="IM4743" s="67"/>
      <c r="IN4743" s="67"/>
      <c r="IO4743" s="67"/>
      <c r="IP4743" s="67"/>
      <c r="IQ4743" s="67"/>
      <c r="IR4743" s="67"/>
      <c r="IS4743" s="67"/>
      <c r="IT4743" s="67"/>
      <c r="IU4743" s="67"/>
      <c r="IV4743" s="67"/>
      <c r="IW4743" s="67"/>
      <c r="IX4743" s="67"/>
      <c r="IY4743" s="67"/>
      <c r="IZ4743" s="67"/>
      <c r="JA4743" s="67"/>
      <c r="JB4743" s="67"/>
      <c r="JC4743" s="67"/>
      <c r="JD4743" s="67"/>
      <c r="JE4743" s="67"/>
      <c r="JF4743" s="67"/>
      <c r="JG4743" s="67"/>
      <c r="JH4743" s="67"/>
      <c r="JI4743" s="67"/>
      <c r="JJ4743" s="67"/>
      <c r="JK4743" s="67"/>
      <c r="JL4743" s="67"/>
      <c r="JM4743" s="67"/>
      <c r="JN4743" s="67"/>
      <c r="JO4743" s="67"/>
      <c r="JP4743" s="67"/>
      <c r="JQ4743" s="67">
        <v>99999</v>
      </c>
      <c r="JR4743" s="67"/>
      <c r="JS4743" s="67"/>
      <c r="JT4743" s="67"/>
      <c r="JU4743" s="58" t="s">
        <v>5629</v>
      </c>
      <c r="JV4743" s="58"/>
      <c r="JW4743" s="58"/>
    </row>
    <row r="4744" spans="1:283" s="23" customFormat="1" x14ac:dyDescent="0.25">
      <c r="A4744" s="55">
        <v>4743</v>
      </c>
      <c r="B4744" s="12" t="s">
        <v>7067</v>
      </c>
      <c r="C4744" s="156">
        <v>207</v>
      </c>
      <c r="D4744" s="58" t="s">
        <v>5619</v>
      </c>
      <c r="E4744" s="160" t="str">
        <f>G4744</f>
        <v>Andrews et al. 2002</v>
      </c>
      <c r="F4744" s="160"/>
      <c r="G4744" s="60" t="s">
        <v>4866</v>
      </c>
      <c r="H4744" s="58">
        <v>2002</v>
      </c>
      <c r="I4744" s="58" t="s">
        <v>5626</v>
      </c>
      <c r="J4744" s="243" t="s">
        <v>282</v>
      </c>
      <c r="K4744" s="63" t="s">
        <v>5340</v>
      </c>
      <c r="L4744" s="58" t="s">
        <v>2737</v>
      </c>
      <c r="M4744" s="94">
        <v>36.75</v>
      </c>
      <c r="N4744" s="94">
        <v>-120.38</v>
      </c>
      <c r="O4744" s="94">
        <v>53</v>
      </c>
      <c r="P4744" s="244">
        <v>17.3</v>
      </c>
      <c r="Q4744" s="58"/>
      <c r="R4744" s="244">
        <v>1958</v>
      </c>
      <c r="S4744" s="94"/>
      <c r="T4744" s="58"/>
      <c r="U4744" s="58" t="s">
        <v>1935</v>
      </c>
      <c r="V4744" s="244">
        <v>4</v>
      </c>
      <c r="W4744" s="174"/>
      <c r="X4744" s="174"/>
      <c r="Y4744" s="58" t="s">
        <v>1920</v>
      </c>
      <c r="Z4744" s="244" t="s">
        <v>1349</v>
      </c>
      <c r="AA4744" s="245">
        <v>15</v>
      </c>
      <c r="AB4744" s="67">
        <v>13</v>
      </c>
      <c r="AC4744" s="67" t="s">
        <v>7001</v>
      </c>
      <c r="AD4744" s="94"/>
      <c r="AE4744" s="94"/>
      <c r="AF4744" s="94"/>
      <c r="AG4744" s="245"/>
      <c r="AH4744" s="58"/>
      <c r="AI4744" s="169"/>
      <c r="AJ4744" s="94"/>
      <c r="AK4744" s="94"/>
      <c r="AL4744" s="58"/>
      <c r="AM4744" s="58"/>
      <c r="AN4744" s="186" t="s">
        <v>5337</v>
      </c>
      <c r="AO4744" s="185" t="s">
        <v>5150</v>
      </c>
      <c r="AP4744" s="58"/>
      <c r="AQ4744" s="58" t="s">
        <v>4584</v>
      </c>
      <c r="AR4744" s="58" t="s">
        <v>5338</v>
      </c>
      <c r="AS4744" s="246" t="s">
        <v>4584</v>
      </c>
      <c r="AT4744" s="247">
        <v>1</v>
      </c>
      <c r="AU4744" s="181" t="s">
        <v>7494</v>
      </c>
      <c r="AV4744" s="185" t="s">
        <v>176</v>
      </c>
      <c r="AW4744" s="244">
        <v>0</v>
      </c>
      <c r="AX4744" s="185" t="s">
        <v>176</v>
      </c>
      <c r="AY4744" s="244" t="s">
        <v>5150</v>
      </c>
      <c r="AZ4744" s="58" t="s">
        <v>4530</v>
      </c>
      <c r="BA4744" s="58" t="s">
        <v>5339</v>
      </c>
      <c r="BB4744" s="58" t="s">
        <v>2081</v>
      </c>
      <c r="BC4744" s="58" t="s">
        <v>4499</v>
      </c>
      <c r="BD4744" s="58" t="s">
        <v>479</v>
      </c>
      <c r="BE4744" s="236" t="s">
        <v>5153</v>
      </c>
      <c r="BF4744" s="191" t="s">
        <v>176</v>
      </c>
      <c r="BG4744" s="191" t="s">
        <v>176</v>
      </c>
      <c r="BH4744" s="236" t="s">
        <v>5155</v>
      </c>
      <c r="BI4744" s="191" t="s">
        <v>479</v>
      </c>
      <c r="BJ4744" s="58" t="str">
        <f>IF(BE4744=BH4744,"No","yes")</f>
        <v>yes</v>
      </c>
      <c r="BK4744" s="58" t="s">
        <v>6335</v>
      </c>
      <c r="BL4744" s="58"/>
      <c r="BM4744" s="237" t="s">
        <v>160</v>
      </c>
      <c r="BN4744" s="244">
        <v>6</v>
      </c>
      <c r="BO4744" s="244">
        <v>6</v>
      </c>
      <c r="BP4744" s="58"/>
      <c r="BQ4744" s="58"/>
      <c r="BR4744" s="58"/>
      <c r="BS4744" s="58"/>
      <c r="BT4744" s="58"/>
      <c r="BU4744" s="58"/>
      <c r="BV4744" s="58" t="s">
        <v>5625</v>
      </c>
      <c r="BW4744" s="67"/>
      <c r="BX4744" s="67"/>
      <c r="BY4744" s="67"/>
      <c r="BZ4744" s="67"/>
      <c r="CA4744" s="67"/>
      <c r="CB4744" s="70"/>
      <c r="CC4744" s="70"/>
      <c r="CD4744" s="70"/>
      <c r="CE4744" s="67"/>
      <c r="CF4744" s="67"/>
      <c r="CG4744" s="67"/>
      <c r="CH4744" s="245">
        <v>1.38</v>
      </c>
      <c r="CI4744" s="245">
        <v>1.31</v>
      </c>
      <c r="CJ4744" s="67"/>
      <c r="CK4744" s="67"/>
      <c r="CL4744" s="67"/>
      <c r="CM4744" s="242">
        <v>0.63</v>
      </c>
      <c r="CN4744" s="242">
        <v>0.64</v>
      </c>
      <c r="CO4744" s="242"/>
      <c r="CP4744" s="242"/>
      <c r="CQ4744" s="242" t="s">
        <v>164</v>
      </c>
      <c r="CR4744" s="242"/>
      <c r="CS4744" s="242"/>
      <c r="CT4744" s="242"/>
      <c r="CU4744" s="242"/>
      <c r="CV4744" s="242" t="s">
        <v>5151</v>
      </c>
      <c r="CW4744" s="242"/>
      <c r="CX4744" s="242"/>
      <c r="CY4744" s="242"/>
      <c r="CZ4744" s="242"/>
      <c r="DA4744" s="67" t="s">
        <v>5443</v>
      </c>
      <c r="DB4744" s="67">
        <v>0.45</v>
      </c>
      <c r="DC4744" s="67">
        <v>0.48</v>
      </c>
      <c r="DD4744" s="67"/>
      <c r="DE4744" s="67"/>
      <c r="DF4744" s="67" t="s">
        <v>5627</v>
      </c>
      <c r="DG4744" s="67"/>
      <c r="DH4744" s="67"/>
      <c r="DI4744" s="67"/>
      <c r="DJ4744" s="67"/>
      <c r="DK4744" s="67" t="s">
        <v>5631</v>
      </c>
      <c r="DL4744" s="67">
        <v>277</v>
      </c>
      <c r="DM4744" s="67">
        <v>297</v>
      </c>
      <c r="DN4744" s="67"/>
      <c r="DO4744" s="67"/>
      <c r="DP4744" s="67" t="s">
        <v>2242</v>
      </c>
      <c r="DQ4744" s="166">
        <v>7.9</v>
      </c>
      <c r="DR4744" s="166">
        <v>7.9</v>
      </c>
      <c r="DS4744" s="163"/>
      <c r="DT4744" s="163"/>
      <c r="DU4744" s="67"/>
      <c r="DV4744" s="67">
        <v>13</v>
      </c>
      <c r="DW4744" s="67">
        <v>13.3</v>
      </c>
      <c r="DX4744" s="67"/>
      <c r="DY4744" s="67"/>
      <c r="DZ4744" s="67" t="s">
        <v>3360</v>
      </c>
      <c r="EA4744" s="67">
        <v>1</v>
      </c>
      <c r="EB4744" s="67">
        <v>0.8</v>
      </c>
      <c r="EC4744" s="67"/>
      <c r="ED4744" s="67"/>
      <c r="EE4744" s="67" t="s">
        <v>5628</v>
      </c>
      <c r="EF4744" s="67"/>
      <c r="EG4744" s="67"/>
      <c r="EH4744" s="67"/>
      <c r="EI4744" s="67"/>
      <c r="EJ4744" s="67"/>
      <c r="EK4744" s="94">
        <v>64.5</v>
      </c>
      <c r="EL4744" s="94">
        <v>65.2</v>
      </c>
      <c r="EM4744" s="67"/>
      <c r="EN4744" s="67"/>
      <c r="EO4744" s="67" t="s">
        <v>5630</v>
      </c>
      <c r="EP4744" s="67"/>
      <c r="EQ4744" s="67"/>
      <c r="ER4744" s="67"/>
      <c r="ES4744" s="67"/>
      <c r="ET4744" s="67"/>
      <c r="EU4744" s="67"/>
      <c r="EV4744" s="67"/>
      <c r="EW4744" s="67"/>
      <c r="EX4744" s="67"/>
      <c r="EY4744" s="67"/>
      <c r="EZ4744" s="67"/>
      <c r="FA4744" s="67"/>
      <c r="FB4744" s="67"/>
      <c r="FC4744" s="67"/>
      <c r="FD4744" s="67"/>
      <c r="FE4744" s="67"/>
      <c r="FF4744" s="67"/>
      <c r="FG4744" s="67"/>
      <c r="FH4744" s="67"/>
      <c r="FI4744" s="67"/>
      <c r="FJ4744" s="67"/>
      <c r="FK4744" s="67"/>
      <c r="FL4744" s="67"/>
      <c r="FM4744" s="67"/>
      <c r="FN4744" s="67"/>
      <c r="FO4744" s="67"/>
      <c r="FP4744" s="67"/>
      <c r="FQ4744" s="67"/>
      <c r="FR4744" s="67"/>
      <c r="FS4744" s="67"/>
      <c r="FT4744" s="67"/>
      <c r="FU4744" s="67"/>
      <c r="FV4744" s="67"/>
      <c r="FW4744" s="67"/>
      <c r="FX4744" s="67"/>
      <c r="FY4744" s="67"/>
      <c r="FZ4744" s="67"/>
      <c r="GA4744" s="67"/>
      <c r="GB4744" s="67"/>
      <c r="GC4744" s="67"/>
      <c r="GD4744" s="67"/>
      <c r="GE4744" s="67"/>
      <c r="GF4744" s="67"/>
      <c r="GG4744" s="67"/>
      <c r="GH4744" s="67"/>
      <c r="GI4744" s="67"/>
      <c r="GJ4744" s="67"/>
      <c r="GK4744" s="67"/>
      <c r="GL4744" s="67"/>
      <c r="GM4744" s="67"/>
      <c r="GN4744" s="292"/>
      <c r="GO4744" s="292"/>
      <c r="GP4744" s="292" t="s">
        <v>7494</v>
      </c>
      <c r="GQ4744" s="67"/>
      <c r="GR4744" s="67"/>
      <c r="GS4744" s="67"/>
      <c r="GT4744" s="67"/>
      <c r="GU4744" s="67"/>
      <c r="GV4744" s="67"/>
      <c r="GW4744" s="67"/>
      <c r="GX4744" s="67"/>
      <c r="GY4744" s="67"/>
      <c r="GZ4744" s="67"/>
      <c r="HA4744" s="67"/>
      <c r="HB4744" s="67"/>
      <c r="HC4744" s="67"/>
      <c r="HD4744" s="67"/>
      <c r="HE4744" s="67"/>
      <c r="HF4744" s="67"/>
      <c r="HG4744" s="67"/>
      <c r="HH4744" s="67"/>
      <c r="HI4744" s="67"/>
      <c r="HJ4744" s="67"/>
      <c r="HK4744" s="67"/>
      <c r="HL4744" s="67"/>
      <c r="HM4744" s="67"/>
      <c r="HN4744" s="67"/>
      <c r="HO4744" s="67"/>
      <c r="HP4744" s="67"/>
      <c r="HQ4744" s="67"/>
      <c r="HR4744" s="67"/>
      <c r="HS4744" s="67"/>
      <c r="HT4744" s="67"/>
      <c r="HU4744" s="67"/>
      <c r="HV4744" s="67"/>
      <c r="HW4744" s="67"/>
      <c r="HX4744" s="67"/>
      <c r="HY4744" s="67"/>
      <c r="HZ4744" s="67"/>
      <c r="IA4744" s="67"/>
      <c r="IB4744" s="67"/>
      <c r="IC4744" s="67"/>
      <c r="ID4744" s="67"/>
      <c r="IE4744" s="67"/>
      <c r="IF4744" s="67"/>
      <c r="IG4744" s="67"/>
      <c r="IH4744" s="67"/>
      <c r="II4744" s="67"/>
      <c r="IJ4744" s="67"/>
      <c r="IK4744" s="67"/>
      <c r="IL4744" s="67"/>
      <c r="IM4744" s="67"/>
      <c r="IN4744" s="67"/>
      <c r="IO4744" s="67"/>
      <c r="IP4744" s="67"/>
      <c r="IQ4744" s="67"/>
      <c r="IR4744" s="67"/>
      <c r="IS4744" s="67"/>
      <c r="IT4744" s="67"/>
      <c r="IU4744" s="67"/>
      <c r="IV4744" s="67"/>
      <c r="IW4744" s="67"/>
      <c r="IX4744" s="67"/>
      <c r="IY4744" s="67"/>
      <c r="IZ4744" s="67"/>
      <c r="JA4744" s="67"/>
      <c r="JB4744" s="67"/>
      <c r="JC4744" s="67"/>
      <c r="JD4744" s="67"/>
      <c r="JE4744" s="67"/>
      <c r="JF4744" s="67"/>
      <c r="JG4744" s="67"/>
      <c r="JH4744" s="67"/>
      <c r="JI4744" s="67"/>
      <c r="JJ4744" s="67"/>
      <c r="JK4744" s="67"/>
      <c r="JL4744" s="67"/>
      <c r="JM4744" s="67"/>
      <c r="JN4744" s="67"/>
      <c r="JO4744" s="67"/>
      <c r="JP4744" s="67"/>
      <c r="JQ4744" s="67">
        <v>99999</v>
      </c>
      <c r="JR4744" s="67"/>
      <c r="JS4744" s="67"/>
      <c r="JT4744" s="67"/>
      <c r="JU4744" s="58" t="s">
        <v>5629</v>
      </c>
      <c r="JV4744" s="58"/>
      <c r="JW4744" s="58"/>
    </row>
    <row r="4745" spans="1:283" s="23" customFormat="1" x14ac:dyDescent="0.25">
      <c r="A4745" s="55">
        <v>4744</v>
      </c>
      <c r="B4745" s="12" t="s">
        <v>7067</v>
      </c>
      <c r="C4745" s="156">
        <v>207</v>
      </c>
      <c r="D4745" s="58" t="s">
        <v>4867</v>
      </c>
      <c r="E4745" s="160" t="str">
        <f>G4745</f>
        <v>Andrews et al. 2002</v>
      </c>
      <c r="F4745" s="160"/>
      <c r="G4745" s="60" t="s">
        <v>4866</v>
      </c>
      <c r="H4745" s="58">
        <v>2002</v>
      </c>
      <c r="I4745" s="58" t="s">
        <v>2847</v>
      </c>
      <c r="J4745" s="243" t="s">
        <v>282</v>
      </c>
      <c r="K4745" s="63" t="s">
        <v>5340</v>
      </c>
      <c r="L4745" s="58" t="s">
        <v>2737</v>
      </c>
      <c r="M4745" s="94">
        <v>36.75</v>
      </c>
      <c r="N4745" s="94">
        <v>-120.38</v>
      </c>
      <c r="O4745" s="94">
        <v>53</v>
      </c>
      <c r="P4745" s="244">
        <v>17.3</v>
      </c>
      <c r="Q4745" s="58"/>
      <c r="R4745" s="244">
        <v>1958</v>
      </c>
      <c r="S4745" s="94"/>
      <c r="T4745" s="58"/>
      <c r="U4745" s="58" t="s">
        <v>1816</v>
      </c>
      <c r="V4745" s="244">
        <v>4</v>
      </c>
      <c r="W4745" s="174"/>
      <c r="X4745" s="174"/>
      <c r="Y4745" s="58" t="s">
        <v>1920</v>
      </c>
      <c r="Z4745" s="244" t="s">
        <v>1349</v>
      </c>
      <c r="AA4745" s="245">
        <v>15</v>
      </c>
      <c r="AB4745" s="67">
        <v>33.299999999999997</v>
      </c>
      <c r="AC4745" s="67" t="s">
        <v>7001</v>
      </c>
      <c r="AD4745" s="94"/>
      <c r="AE4745" s="94"/>
      <c r="AF4745" s="94"/>
      <c r="AG4745" s="245"/>
      <c r="AH4745" s="58"/>
      <c r="AI4745" s="169"/>
      <c r="AJ4745" s="94"/>
      <c r="AK4745" s="94"/>
      <c r="AL4745" s="58"/>
      <c r="AM4745" s="58"/>
      <c r="AN4745" s="186" t="s">
        <v>5337</v>
      </c>
      <c r="AO4745" s="185" t="s">
        <v>5150</v>
      </c>
      <c r="AP4745" s="58"/>
      <c r="AQ4745" s="58" t="s">
        <v>4584</v>
      </c>
      <c r="AR4745" s="58" t="s">
        <v>5338</v>
      </c>
      <c r="AS4745" s="246" t="s">
        <v>4584</v>
      </c>
      <c r="AT4745" s="247">
        <v>1</v>
      </c>
      <c r="AU4745" s="181" t="s">
        <v>7494</v>
      </c>
      <c r="AV4745" s="185" t="s">
        <v>176</v>
      </c>
      <c r="AW4745" s="244">
        <v>0</v>
      </c>
      <c r="AX4745" s="185" t="s">
        <v>176</v>
      </c>
      <c r="AY4745" s="244" t="s">
        <v>5150</v>
      </c>
      <c r="AZ4745" s="58" t="s">
        <v>4530</v>
      </c>
      <c r="BA4745" s="58" t="s">
        <v>5339</v>
      </c>
      <c r="BB4745" s="58" t="s">
        <v>2081</v>
      </c>
      <c r="BC4745" s="58" t="s">
        <v>4499</v>
      </c>
      <c r="BD4745" s="58" t="s">
        <v>479</v>
      </c>
      <c r="BE4745" s="236" t="s">
        <v>5153</v>
      </c>
      <c r="BF4745" s="191" t="s">
        <v>176</v>
      </c>
      <c r="BG4745" s="191" t="s">
        <v>176</v>
      </c>
      <c r="BH4745" s="236" t="s">
        <v>5155</v>
      </c>
      <c r="BI4745" s="191" t="s">
        <v>479</v>
      </c>
      <c r="BJ4745" s="58" t="str">
        <f>IF(BE4745=BH4745,"No","yes")</f>
        <v>yes</v>
      </c>
      <c r="BK4745" s="58" t="s">
        <v>6335</v>
      </c>
      <c r="BL4745" s="58"/>
      <c r="BM4745" s="237" t="s">
        <v>160</v>
      </c>
      <c r="BN4745" s="244">
        <v>6</v>
      </c>
      <c r="BO4745" s="244">
        <v>6</v>
      </c>
      <c r="BP4745" s="58"/>
      <c r="BQ4745" s="58"/>
      <c r="BR4745" s="58"/>
      <c r="BS4745" s="58"/>
      <c r="BT4745" s="58"/>
      <c r="BU4745" s="58"/>
      <c r="BV4745" s="58" t="s">
        <v>5620</v>
      </c>
      <c r="BW4745" s="67"/>
      <c r="BX4745" s="67"/>
      <c r="BY4745" s="67"/>
      <c r="BZ4745" s="67"/>
      <c r="CA4745" s="67"/>
      <c r="CB4745" s="70"/>
      <c r="CC4745" s="70"/>
      <c r="CD4745" s="70"/>
      <c r="CE4745" s="67"/>
      <c r="CF4745" s="67"/>
      <c r="CG4745" s="67"/>
      <c r="CH4745" s="245">
        <v>1.26</v>
      </c>
      <c r="CI4745" s="245">
        <v>1.32</v>
      </c>
      <c r="CJ4745" s="67"/>
      <c r="CK4745" s="67"/>
      <c r="CL4745" s="67"/>
      <c r="CM4745" s="242">
        <v>1.1599999999999999</v>
      </c>
      <c r="CN4745" s="242">
        <v>1.24</v>
      </c>
      <c r="CO4745" s="242"/>
      <c r="CP4745" s="242"/>
      <c r="CQ4745" s="242" t="s">
        <v>164</v>
      </c>
      <c r="CR4745" s="67"/>
      <c r="CS4745" s="67"/>
      <c r="CT4745" s="242"/>
      <c r="CU4745" s="242"/>
      <c r="CV4745" s="242" t="s">
        <v>5151</v>
      </c>
      <c r="CW4745" s="242">
        <f>(CM4745-CM4739)*0.01*(100*100*0.15*CH4745)*1000/4</f>
        <v>377.99999999999926</v>
      </c>
      <c r="CX4745" s="242">
        <f>(CN4745-CN4739)*0.01*(100*100*0.15*CI4745)*1000/4</f>
        <v>692.99999999999966</v>
      </c>
      <c r="CY4745" s="242"/>
      <c r="CZ4745" s="242"/>
      <c r="DA4745" s="67" t="s">
        <v>5443</v>
      </c>
      <c r="DB4745" s="67">
        <v>0.64</v>
      </c>
      <c r="DC4745" s="67">
        <v>0.74</v>
      </c>
      <c r="DD4745" s="67"/>
      <c r="DE4745" s="67"/>
      <c r="DF4745" s="67" t="s">
        <v>5627</v>
      </c>
      <c r="DG4745" s="67">
        <v>27</v>
      </c>
      <c r="DH4745" s="67">
        <v>45</v>
      </c>
      <c r="DI4745" s="67"/>
      <c r="DJ4745" s="67"/>
      <c r="DK4745" s="67" t="s">
        <v>5631</v>
      </c>
      <c r="DL4745" s="67">
        <v>601</v>
      </c>
      <c r="DM4745" s="67">
        <v>663</v>
      </c>
      <c r="DN4745" s="67"/>
      <c r="DO4745" s="67"/>
      <c r="DP4745" s="67" t="s">
        <v>2242</v>
      </c>
      <c r="DQ4745" s="166">
        <v>7.7</v>
      </c>
      <c r="DR4745" s="166">
        <v>7.7</v>
      </c>
      <c r="DS4745" s="163"/>
      <c r="DT4745" s="163"/>
      <c r="DU4745" s="67"/>
      <c r="DV4745" s="67">
        <v>33.299999999999997</v>
      </c>
      <c r="DW4745" s="67">
        <v>31.4</v>
      </c>
      <c r="DX4745" s="67"/>
      <c r="DY4745" s="67"/>
      <c r="DZ4745" s="67" t="s">
        <v>3360</v>
      </c>
      <c r="EA4745" s="67">
        <v>1.2</v>
      </c>
      <c r="EB4745" s="67">
        <v>1.1000000000000001</v>
      </c>
      <c r="EC4745" s="67"/>
      <c r="ED4745" s="67"/>
      <c r="EE4745" s="67" t="s">
        <v>5628</v>
      </c>
      <c r="EF4745" s="67"/>
      <c r="EG4745" s="67"/>
      <c r="EH4745" s="67"/>
      <c r="EI4745" s="67"/>
      <c r="EJ4745" s="67"/>
      <c r="EK4745" s="94">
        <v>89</v>
      </c>
      <c r="EL4745" s="94">
        <v>89.4</v>
      </c>
      <c r="EM4745" s="67"/>
      <c r="EN4745" s="67"/>
      <c r="EO4745" s="67" t="s">
        <v>5630</v>
      </c>
      <c r="EP4745" s="67"/>
      <c r="EQ4745" s="67"/>
      <c r="ER4745" s="67"/>
      <c r="ES4745" s="67"/>
      <c r="ET4745" s="67"/>
      <c r="EU4745" s="67"/>
      <c r="EV4745" s="67"/>
      <c r="EW4745" s="67"/>
      <c r="EX4745" s="67"/>
      <c r="EY4745" s="67"/>
      <c r="EZ4745" s="67"/>
      <c r="FA4745" s="67"/>
      <c r="FB4745" s="67"/>
      <c r="FC4745" s="67"/>
      <c r="FD4745" s="67"/>
      <c r="FE4745" s="67"/>
      <c r="FF4745" s="67"/>
      <c r="FG4745" s="67"/>
      <c r="FH4745" s="67"/>
      <c r="FI4745" s="67"/>
      <c r="FJ4745" s="67"/>
      <c r="FK4745" s="67"/>
      <c r="FL4745" s="67"/>
      <c r="FM4745" s="67"/>
      <c r="FN4745" s="67"/>
      <c r="FO4745" s="67"/>
      <c r="FP4745" s="67"/>
      <c r="FQ4745" s="67"/>
      <c r="FR4745" s="67"/>
      <c r="FS4745" s="67"/>
      <c r="FT4745" s="67"/>
      <c r="FU4745" s="67"/>
      <c r="FV4745" s="67"/>
      <c r="FW4745" s="67"/>
      <c r="FX4745" s="67"/>
      <c r="FY4745" s="67"/>
      <c r="FZ4745" s="67"/>
      <c r="GA4745" s="67"/>
      <c r="GB4745" s="67"/>
      <c r="GC4745" s="67"/>
      <c r="GD4745" s="67"/>
      <c r="GE4745" s="67"/>
      <c r="GF4745" s="67"/>
      <c r="GG4745" s="67"/>
      <c r="GH4745" s="67"/>
      <c r="GI4745" s="67"/>
      <c r="GJ4745" s="67"/>
      <c r="GK4745" s="67"/>
      <c r="GL4745" s="67"/>
      <c r="GM4745" s="67"/>
      <c r="GN4745" s="292"/>
      <c r="GO4745" s="292"/>
      <c r="GP4745" s="292" t="s">
        <v>7494</v>
      </c>
      <c r="GQ4745" s="67"/>
      <c r="GR4745" s="67"/>
      <c r="GS4745" s="67"/>
      <c r="GT4745" s="67"/>
      <c r="GU4745" s="67"/>
      <c r="GV4745" s="67"/>
      <c r="GW4745" s="67"/>
      <c r="GX4745" s="67"/>
      <c r="GY4745" s="67"/>
      <c r="GZ4745" s="67"/>
      <c r="HA4745" s="67"/>
      <c r="HB4745" s="67"/>
      <c r="HC4745" s="67"/>
      <c r="HD4745" s="67"/>
      <c r="HE4745" s="67"/>
      <c r="HF4745" s="67"/>
      <c r="HG4745" s="67"/>
      <c r="HH4745" s="67"/>
      <c r="HI4745" s="67"/>
      <c r="HJ4745" s="67"/>
      <c r="HK4745" s="67"/>
      <c r="HL4745" s="67"/>
      <c r="HM4745" s="67"/>
      <c r="HN4745" s="67"/>
      <c r="HO4745" s="67"/>
      <c r="HP4745" s="67"/>
      <c r="HQ4745" s="67"/>
      <c r="HR4745" s="67"/>
      <c r="HS4745" s="67"/>
      <c r="HT4745" s="67"/>
      <c r="HU4745" s="67"/>
      <c r="HV4745" s="67"/>
      <c r="HW4745" s="67"/>
      <c r="HX4745" s="67"/>
      <c r="HY4745" s="67"/>
      <c r="HZ4745" s="67"/>
      <c r="IA4745" s="67"/>
      <c r="IB4745" s="67"/>
      <c r="IC4745" s="67">
        <v>3.7</v>
      </c>
      <c r="ID4745" s="67">
        <v>9.1</v>
      </c>
      <c r="IE4745" s="67"/>
      <c r="IF4745" s="67"/>
      <c r="IG4745" s="67" t="s">
        <v>5632</v>
      </c>
      <c r="IH4745" s="67"/>
      <c r="II4745" s="67"/>
      <c r="IJ4745" s="67"/>
      <c r="IK4745" s="67"/>
      <c r="IL4745" s="67"/>
      <c r="IM4745" s="67"/>
      <c r="IN4745" s="67"/>
      <c r="IO4745" s="67"/>
      <c r="IP4745" s="67"/>
      <c r="IQ4745" s="67"/>
      <c r="IR4745" s="67"/>
      <c r="IS4745" s="67"/>
      <c r="IT4745" s="67"/>
      <c r="IU4745" s="67"/>
      <c r="IV4745" s="67"/>
      <c r="IW4745" s="67"/>
      <c r="IX4745" s="67"/>
      <c r="IY4745" s="67"/>
      <c r="IZ4745" s="67"/>
      <c r="JA4745" s="67"/>
      <c r="JB4745" s="67"/>
      <c r="JC4745" s="67"/>
      <c r="JD4745" s="67"/>
      <c r="JE4745" s="67"/>
      <c r="JF4745" s="67"/>
      <c r="JG4745" s="67">
        <v>318</v>
      </c>
      <c r="JH4745" s="67">
        <v>374</v>
      </c>
      <c r="JI4745" s="67"/>
      <c r="JJ4745" s="67"/>
      <c r="JK4745" s="67" t="s">
        <v>964</v>
      </c>
      <c r="JL4745" s="67">
        <v>40</v>
      </c>
      <c r="JM4745" s="67">
        <v>52</v>
      </c>
      <c r="JN4745" s="67"/>
      <c r="JO4745" s="67"/>
      <c r="JP4745" s="67" t="s">
        <v>964</v>
      </c>
      <c r="JQ4745" s="67">
        <v>99999</v>
      </c>
      <c r="JR4745" s="67"/>
      <c r="JS4745" s="67"/>
      <c r="JT4745" s="67"/>
      <c r="JU4745" s="58" t="s">
        <v>5629</v>
      </c>
      <c r="JV4745" s="58"/>
      <c r="JW4745" s="58"/>
    </row>
    <row r="4746" spans="1:283" s="23" customFormat="1" x14ac:dyDescent="0.25">
      <c r="A4746" s="55">
        <v>4745</v>
      </c>
      <c r="B4746" s="12" t="s">
        <v>7067</v>
      </c>
      <c r="C4746" s="156">
        <v>207</v>
      </c>
      <c r="D4746" s="58" t="s">
        <v>5616</v>
      </c>
      <c r="E4746" s="160" t="str">
        <f>G4746</f>
        <v>Andrews et al. 2002</v>
      </c>
      <c r="F4746" s="160"/>
      <c r="G4746" s="60" t="s">
        <v>4866</v>
      </c>
      <c r="H4746" s="58">
        <v>2002</v>
      </c>
      <c r="I4746" s="58" t="s">
        <v>2847</v>
      </c>
      <c r="J4746" s="243" t="s">
        <v>282</v>
      </c>
      <c r="K4746" s="63" t="s">
        <v>5340</v>
      </c>
      <c r="L4746" s="58" t="s">
        <v>2737</v>
      </c>
      <c r="M4746" s="94">
        <v>36.75</v>
      </c>
      <c r="N4746" s="94">
        <v>-120.38</v>
      </c>
      <c r="O4746" s="94">
        <v>53</v>
      </c>
      <c r="P4746" s="244">
        <v>17.3</v>
      </c>
      <c r="Q4746" s="58"/>
      <c r="R4746" s="244">
        <v>1958</v>
      </c>
      <c r="S4746" s="94"/>
      <c r="T4746" s="58"/>
      <c r="U4746" s="58" t="s">
        <v>1816</v>
      </c>
      <c r="V4746" s="244">
        <v>4</v>
      </c>
      <c r="W4746" s="174"/>
      <c r="X4746" s="174"/>
      <c r="Y4746" s="58" t="s">
        <v>1920</v>
      </c>
      <c r="Z4746" s="244" t="s">
        <v>1349</v>
      </c>
      <c r="AA4746" s="245">
        <v>15</v>
      </c>
      <c r="AB4746" s="67">
        <v>29.3</v>
      </c>
      <c r="AC4746" s="67" t="s">
        <v>7001</v>
      </c>
      <c r="AD4746" s="94"/>
      <c r="AE4746" s="94"/>
      <c r="AF4746" s="94"/>
      <c r="AG4746" s="245"/>
      <c r="AH4746" s="58"/>
      <c r="AI4746" s="169"/>
      <c r="AJ4746" s="94"/>
      <c r="AK4746" s="94"/>
      <c r="AL4746" s="58"/>
      <c r="AM4746" s="58"/>
      <c r="AN4746" s="186" t="s">
        <v>5337</v>
      </c>
      <c r="AO4746" s="185" t="s">
        <v>5150</v>
      </c>
      <c r="AP4746" s="58"/>
      <c r="AQ4746" s="58" t="s">
        <v>4584</v>
      </c>
      <c r="AR4746" s="58" t="s">
        <v>5338</v>
      </c>
      <c r="AS4746" s="246" t="s">
        <v>4584</v>
      </c>
      <c r="AT4746" s="247">
        <v>1</v>
      </c>
      <c r="AU4746" s="181" t="s">
        <v>7494</v>
      </c>
      <c r="AV4746" s="185" t="s">
        <v>176</v>
      </c>
      <c r="AW4746" s="244">
        <v>0</v>
      </c>
      <c r="AX4746" s="185" t="s">
        <v>176</v>
      </c>
      <c r="AY4746" s="244" t="s">
        <v>5150</v>
      </c>
      <c r="AZ4746" s="58" t="s">
        <v>4530</v>
      </c>
      <c r="BA4746" s="58" t="s">
        <v>5339</v>
      </c>
      <c r="BB4746" s="58" t="s">
        <v>2081</v>
      </c>
      <c r="BC4746" s="58" t="s">
        <v>4499</v>
      </c>
      <c r="BD4746" s="58" t="s">
        <v>479</v>
      </c>
      <c r="BE4746" s="236" t="s">
        <v>5153</v>
      </c>
      <c r="BF4746" s="191" t="s">
        <v>176</v>
      </c>
      <c r="BG4746" s="191" t="s">
        <v>176</v>
      </c>
      <c r="BH4746" s="236" t="s">
        <v>5155</v>
      </c>
      <c r="BI4746" s="191" t="s">
        <v>479</v>
      </c>
      <c r="BJ4746" s="58" t="str">
        <f>IF(BE4746=BH4746,"No","yes")</f>
        <v>yes</v>
      </c>
      <c r="BK4746" s="58" t="s">
        <v>6335</v>
      </c>
      <c r="BL4746" s="58"/>
      <c r="BM4746" s="237" t="s">
        <v>160</v>
      </c>
      <c r="BN4746" s="244">
        <v>6</v>
      </c>
      <c r="BO4746" s="244">
        <v>6</v>
      </c>
      <c r="BP4746" s="58"/>
      <c r="BQ4746" s="58"/>
      <c r="BR4746" s="58"/>
      <c r="BS4746" s="58"/>
      <c r="BT4746" s="58"/>
      <c r="BU4746" s="58"/>
      <c r="BV4746" s="58" t="s">
        <v>5621</v>
      </c>
      <c r="BW4746" s="67"/>
      <c r="BX4746" s="67"/>
      <c r="BY4746" s="67"/>
      <c r="BZ4746" s="67"/>
      <c r="CA4746" s="67"/>
      <c r="CB4746" s="70"/>
      <c r="CC4746" s="70"/>
      <c r="CD4746" s="70"/>
      <c r="CE4746" s="67"/>
      <c r="CF4746" s="67"/>
      <c r="CG4746" s="67"/>
      <c r="CH4746" s="245">
        <v>1.28</v>
      </c>
      <c r="CI4746" s="245">
        <v>1.5</v>
      </c>
      <c r="CJ4746" s="67"/>
      <c r="CK4746" s="67"/>
      <c r="CL4746" s="67"/>
      <c r="CM4746" s="242">
        <v>0.73</v>
      </c>
      <c r="CN4746" s="242">
        <v>0.96</v>
      </c>
      <c r="CO4746" s="242"/>
      <c r="CP4746" s="242"/>
      <c r="CQ4746" s="242" t="s">
        <v>164</v>
      </c>
      <c r="CR4746" s="67"/>
      <c r="CS4746" s="67"/>
      <c r="CT4746" s="242"/>
      <c r="CU4746" s="242"/>
      <c r="CV4746" s="242" t="s">
        <v>5151</v>
      </c>
      <c r="CW4746" s="242">
        <f>(CM4746-CM4740)*0.01*(100*100*0.15*CH4746)*1000/4</f>
        <v>-1680.0000000000005</v>
      </c>
      <c r="CX4746" s="242">
        <f>(CN4746-CN4740)*0.01*(100*100*0.15*CI4746)*1000/4</f>
        <v>-1349.9999999999998</v>
      </c>
      <c r="CY4746" s="242"/>
      <c r="CZ4746" s="242"/>
      <c r="DA4746" s="67" t="s">
        <v>5443</v>
      </c>
      <c r="DB4746" s="67">
        <v>0.62</v>
      </c>
      <c r="DC4746" s="67">
        <v>0.73</v>
      </c>
      <c r="DD4746" s="67"/>
      <c r="DE4746" s="67"/>
      <c r="DF4746" s="67" t="s">
        <v>5627</v>
      </c>
      <c r="DG4746" s="67">
        <v>12</v>
      </c>
      <c r="DH4746" s="67">
        <v>15</v>
      </c>
      <c r="DI4746" s="67"/>
      <c r="DJ4746" s="67"/>
      <c r="DK4746" s="67" t="s">
        <v>5631</v>
      </c>
      <c r="DL4746" s="67">
        <v>384</v>
      </c>
      <c r="DM4746" s="67">
        <v>475</v>
      </c>
      <c r="DN4746" s="67"/>
      <c r="DO4746" s="67"/>
      <c r="DP4746" s="67" t="s">
        <v>2242</v>
      </c>
      <c r="DQ4746" s="166">
        <v>7.8</v>
      </c>
      <c r="DR4746" s="166">
        <v>7.6</v>
      </c>
      <c r="DS4746" s="163"/>
      <c r="DT4746" s="163"/>
      <c r="DU4746" s="67"/>
      <c r="DV4746" s="67">
        <v>29.3</v>
      </c>
      <c r="DW4746" s="67">
        <v>31.5</v>
      </c>
      <c r="DX4746" s="67"/>
      <c r="DY4746" s="67"/>
      <c r="DZ4746" s="67" t="s">
        <v>3360</v>
      </c>
      <c r="EA4746" s="67">
        <v>0.5</v>
      </c>
      <c r="EB4746" s="67">
        <v>0.8</v>
      </c>
      <c r="EC4746" s="67"/>
      <c r="ED4746" s="67"/>
      <c r="EE4746" s="67" t="s">
        <v>5628</v>
      </c>
      <c r="EF4746" s="67"/>
      <c r="EG4746" s="67"/>
      <c r="EH4746" s="67"/>
      <c r="EI4746" s="67"/>
      <c r="EJ4746" s="67"/>
      <c r="EK4746" s="94">
        <v>87.7</v>
      </c>
      <c r="EL4746" s="94">
        <v>91</v>
      </c>
      <c r="EM4746" s="67"/>
      <c r="EN4746" s="67"/>
      <c r="EO4746" s="67" t="s">
        <v>5630</v>
      </c>
      <c r="EP4746" s="67"/>
      <c r="EQ4746" s="67"/>
      <c r="ER4746" s="67"/>
      <c r="ES4746" s="67"/>
      <c r="ET4746" s="67"/>
      <c r="EU4746" s="67"/>
      <c r="EV4746" s="67"/>
      <c r="EW4746" s="67"/>
      <c r="EX4746" s="67"/>
      <c r="EY4746" s="67"/>
      <c r="EZ4746" s="67"/>
      <c r="FA4746" s="67"/>
      <c r="FB4746" s="67"/>
      <c r="FC4746" s="67"/>
      <c r="FD4746" s="67"/>
      <c r="FE4746" s="67"/>
      <c r="FF4746" s="67"/>
      <c r="FG4746" s="67"/>
      <c r="FH4746" s="67"/>
      <c r="FI4746" s="67"/>
      <c r="FJ4746" s="67"/>
      <c r="FK4746" s="67"/>
      <c r="FL4746" s="67"/>
      <c r="FM4746" s="67"/>
      <c r="FN4746" s="67"/>
      <c r="FO4746" s="67"/>
      <c r="FP4746" s="67"/>
      <c r="FQ4746" s="67"/>
      <c r="FR4746" s="67"/>
      <c r="FS4746" s="67"/>
      <c r="FT4746" s="67"/>
      <c r="FU4746" s="67"/>
      <c r="FV4746" s="67"/>
      <c r="FW4746" s="67"/>
      <c r="FX4746" s="67"/>
      <c r="FY4746" s="67"/>
      <c r="FZ4746" s="67"/>
      <c r="GA4746" s="67"/>
      <c r="GB4746" s="67"/>
      <c r="GC4746" s="67"/>
      <c r="GD4746" s="67"/>
      <c r="GE4746" s="67"/>
      <c r="GF4746" s="67"/>
      <c r="GG4746" s="67"/>
      <c r="GH4746" s="67"/>
      <c r="GI4746" s="67"/>
      <c r="GJ4746" s="67"/>
      <c r="GK4746" s="67"/>
      <c r="GL4746" s="67"/>
      <c r="GM4746" s="67"/>
      <c r="GN4746" s="292"/>
      <c r="GO4746" s="292"/>
      <c r="GP4746" s="292" t="s">
        <v>7494</v>
      </c>
      <c r="GQ4746" s="67"/>
      <c r="GR4746" s="67"/>
      <c r="GS4746" s="67"/>
      <c r="GT4746" s="67"/>
      <c r="GU4746" s="67"/>
      <c r="GV4746" s="67"/>
      <c r="GW4746" s="67"/>
      <c r="GX4746" s="67"/>
      <c r="GY4746" s="67"/>
      <c r="GZ4746" s="67"/>
      <c r="HA4746" s="67"/>
      <c r="HB4746" s="67"/>
      <c r="HC4746" s="67"/>
      <c r="HD4746" s="67"/>
      <c r="HE4746" s="67"/>
      <c r="HF4746" s="67"/>
      <c r="HG4746" s="67"/>
      <c r="HH4746" s="67"/>
      <c r="HI4746" s="67"/>
      <c r="HJ4746" s="67"/>
      <c r="HK4746" s="67"/>
      <c r="HL4746" s="67"/>
      <c r="HM4746" s="67"/>
      <c r="HN4746" s="67"/>
      <c r="HO4746" s="67"/>
      <c r="HP4746" s="67"/>
      <c r="HQ4746" s="67"/>
      <c r="HR4746" s="67"/>
      <c r="HS4746" s="67"/>
      <c r="HT4746" s="67"/>
      <c r="HU4746" s="67"/>
      <c r="HV4746" s="67"/>
      <c r="HW4746" s="67"/>
      <c r="HX4746" s="67"/>
      <c r="HY4746" s="67"/>
      <c r="HZ4746" s="67"/>
      <c r="IA4746" s="67"/>
      <c r="IB4746" s="67"/>
      <c r="IC4746" s="67">
        <v>4.8</v>
      </c>
      <c r="ID4746" s="67">
        <v>12.6</v>
      </c>
      <c r="IE4746" s="67"/>
      <c r="IF4746" s="67"/>
      <c r="IG4746" s="67" t="s">
        <v>5632</v>
      </c>
      <c r="IH4746" s="67"/>
      <c r="II4746" s="67"/>
      <c r="IJ4746" s="67"/>
      <c r="IK4746" s="67"/>
      <c r="IL4746" s="67"/>
      <c r="IM4746" s="67"/>
      <c r="IN4746" s="67"/>
      <c r="IO4746" s="67"/>
      <c r="IP4746" s="67"/>
      <c r="IQ4746" s="67"/>
      <c r="IR4746" s="67"/>
      <c r="IS4746" s="67"/>
      <c r="IT4746" s="67"/>
      <c r="IU4746" s="67"/>
      <c r="IV4746" s="67"/>
      <c r="IW4746" s="67"/>
      <c r="IX4746" s="67"/>
      <c r="IY4746" s="67"/>
      <c r="IZ4746" s="67"/>
      <c r="JA4746" s="67"/>
      <c r="JB4746" s="67"/>
      <c r="JC4746" s="67"/>
      <c r="JD4746" s="67"/>
      <c r="JE4746" s="67"/>
      <c r="JF4746" s="67"/>
      <c r="JG4746" s="67">
        <v>152</v>
      </c>
      <c r="JH4746" s="67">
        <v>341</v>
      </c>
      <c r="JI4746" s="67"/>
      <c r="JJ4746" s="67"/>
      <c r="JK4746" s="67" t="s">
        <v>964</v>
      </c>
      <c r="JL4746" s="67">
        <v>27</v>
      </c>
      <c r="JM4746" s="67">
        <v>72</v>
      </c>
      <c r="JN4746" s="67"/>
      <c r="JO4746" s="67"/>
      <c r="JP4746" s="67" t="s">
        <v>964</v>
      </c>
      <c r="JQ4746" s="67">
        <v>99999</v>
      </c>
      <c r="JR4746" s="67"/>
      <c r="JS4746" s="67"/>
      <c r="JT4746" s="67"/>
      <c r="JU4746" s="58" t="s">
        <v>5629</v>
      </c>
      <c r="JV4746" s="58"/>
      <c r="JW4746" s="58"/>
    </row>
    <row r="4747" spans="1:283" s="23" customFormat="1" x14ac:dyDescent="0.25">
      <c r="A4747" s="55">
        <v>4746</v>
      </c>
      <c r="B4747" s="12" t="s">
        <v>7067</v>
      </c>
      <c r="C4747" s="156">
        <v>207</v>
      </c>
      <c r="D4747" s="58" t="s">
        <v>5617</v>
      </c>
      <c r="E4747" s="160" t="str">
        <f>G4747</f>
        <v>Andrews et al. 2002</v>
      </c>
      <c r="F4747" s="160"/>
      <c r="G4747" s="60" t="s">
        <v>4866</v>
      </c>
      <c r="H4747" s="58">
        <v>2002</v>
      </c>
      <c r="I4747" s="58" t="s">
        <v>2847</v>
      </c>
      <c r="J4747" s="243" t="s">
        <v>282</v>
      </c>
      <c r="K4747" s="63" t="s">
        <v>5340</v>
      </c>
      <c r="L4747" s="58" t="s">
        <v>2737</v>
      </c>
      <c r="M4747" s="94">
        <v>36.75</v>
      </c>
      <c r="N4747" s="94">
        <v>-120.38</v>
      </c>
      <c r="O4747" s="94">
        <v>53</v>
      </c>
      <c r="P4747" s="244">
        <v>17.3</v>
      </c>
      <c r="Q4747" s="58"/>
      <c r="R4747" s="244">
        <v>1958</v>
      </c>
      <c r="S4747" s="94"/>
      <c r="T4747" s="58"/>
      <c r="U4747" s="58" t="s">
        <v>1816</v>
      </c>
      <c r="V4747" s="244">
        <v>4</v>
      </c>
      <c r="W4747" s="174"/>
      <c r="X4747" s="174"/>
      <c r="Y4747" s="58" t="s">
        <v>1920</v>
      </c>
      <c r="Z4747" s="244" t="s">
        <v>1349</v>
      </c>
      <c r="AA4747" s="245">
        <v>15</v>
      </c>
      <c r="AB4747" s="67">
        <v>31.6</v>
      </c>
      <c r="AC4747" s="67" t="s">
        <v>7001</v>
      </c>
      <c r="AD4747" s="94"/>
      <c r="AE4747" s="94"/>
      <c r="AF4747" s="94"/>
      <c r="AG4747" s="245"/>
      <c r="AH4747" s="58"/>
      <c r="AI4747" s="169"/>
      <c r="AJ4747" s="94"/>
      <c r="AK4747" s="94"/>
      <c r="AL4747" s="58"/>
      <c r="AM4747" s="58"/>
      <c r="AN4747" s="186" t="s">
        <v>5337</v>
      </c>
      <c r="AO4747" s="185" t="s">
        <v>5150</v>
      </c>
      <c r="AP4747" s="58"/>
      <c r="AQ4747" s="58" t="s">
        <v>4584</v>
      </c>
      <c r="AR4747" s="58" t="s">
        <v>5338</v>
      </c>
      <c r="AS4747" s="246" t="s">
        <v>4584</v>
      </c>
      <c r="AT4747" s="247">
        <v>1</v>
      </c>
      <c r="AU4747" s="181" t="s">
        <v>7494</v>
      </c>
      <c r="AV4747" s="185" t="s">
        <v>176</v>
      </c>
      <c r="AW4747" s="244">
        <v>0</v>
      </c>
      <c r="AX4747" s="185" t="s">
        <v>176</v>
      </c>
      <c r="AY4747" s="244" t="s">
        <v>5150</v>
      </c>
      <c r="AZ4747" s="58" t="s">
        <v>4530</v>
      </c>
      <c r="BA4747" s="58" t="s">
        <v>5339</v>
      </c>
      <c r="BB4747" s="58" t="s">
        <v>2081</v>
      </c>
      <c r="BC4747" s="58" t="s">
        <v>4499</v>
      </c>
      <c r="BD4747" s="58" t="s">
        <v>479</v>
      </c>
      <c r="BE4747" s="236" t="s">
        <v>5153</v>
      </c>
      <c r="BF4747" s="191" t="s">
        <v>176</v>
      </c>
      <c r="BG4747" s="191" t="s">
        <v>176</v>
      </c>
      <c r="BH4747" s="236" t="s">
        <v>5155</v>
      </c>
      <c r="BI4747" s="191" t="s">
        <v>479</v>
      </c>
      <c r="BJ4747" s="58" t="str">
        <f>IF(BE4747=BH4747,"No","yes")</f>
        <v>yes</v>
      </c>
      <c r="BK4747" s="58" t="s">
        <v>6335</v>
      </c>
      <c r="BL4747" s="58"/>
      <c r="BM4747" s="237" t="s">
        <v>160</v>
      </c>
      <c r="BN4747" s="244">
        <v>6</v>
      </c>
      <c r="BO4747" s="244">
        <v>6</v>
      </c>
      <c r="BP4747" s="58"/>
      <c r="BQ4747" s="58"/>
      <c r="BR4747" s="58"/>
      <c r="BS4747" s="58"/>
      <c r="BT4747" s="58"/>
      <c r="BU4747" s="58"/>
      <c r="BV4747" s="58" t="s">
        <v>5622</v>
      </c>
      <c r="BW4747" s="67"/>
      <c r="BX4747" s="67"/>
      <c r="BY4747" s="67"/>
      <c r="BZ4747" s="67"/>
      <c r="CA4747" s="67"/>
      <c r="CB4747" s="70"/>
      <c r="CC4747" s="70"/>
      <c r="CD4747" s="70"/>
      <c r="CE4747" s="67"/>
      <c r="CF4747" s="67"/>
      <c r="CG4747" s="67"/>
      <c r="CH4747" s="245">
        <v>1.36</v>
      </c>
      <c r="CI4747" s="245">
        <v>1.22</v>
      </c>
      <c r="CJ4747" s="67"/>
      <c r="CK4747" s="67"/>
      <c r="CL4747" s="67"/>
      <c r="CM4747" s="242">
        <v>0.87</v>
      </c>
      <c r="CN4747" s="242">
        <v>1.1100000000000001</v>
      </c>
      <c r="CO4747" s="242"/>
      <c r="CP4747" s="242"/>
      <c r="CQ4747" s="242" t="s">
        <v>164</v>
      </c>
      <c r="CR4747" s="67"/>
      <c r="CS4747" s="67"/>
      <c r="CT4747" s="242"/>
      <c r="CU4747" s="242"/>
      <c r="CV4747" s="242" t="s">
        <v>5151</v>
      </c>
      <c r="CW4747" s="242">
        <f>(CM4747-CM4741)*0.01*(100*100*0.15*CH4747)*1000/4</f>
        <v>-1071.0000000000005</v>
      </c>
      <c r="CX4747" s="242">
        <f>(CN4747-CN4741)*0.01*(100*100*0.15*CI4747)*1000/4</f>
        <v>183.00000000000017</v>
      </c>
      <c r="CY4747" s="242"/>
      <c r="CZ4747" s="242"/>
      <c r="DA4747" s="67" t="s">
        <v>5443</v>
      </c>
      <c r="DB4747" s="67">
        <v>1.02</v>
      </c>
      <c r="DC4747" s="67">
        <v>1.29</v>
      </c>
      <c r="DD4747" s="67"/>
      <c r="DE4747" s="67"/>
      <c r="DF4747" s="67" t="s">
        <v>5627</v>
      </c>
      <c r="DG4747" s="67">
        <v>33</v>
      </c>
      <c r="DH4747" s="67">
        <v>47</v>
      </c>
      <c r="DI4747" s="67"/>
      <c r="DJ4747" s="67"/>
      <c r="DK4747" s="67" t="s">
        <v>5631</v>
      </c>
      <c r="DL4747" s="67">
        <v>436</v>
      </c>
      <c r="DM4747" s="67">
        <v>579</v>
      </c>
      <c r="DN4747" s="67"/>
      <c r="DO4747" s="67"/>
      <c r="DP4747" s="67" t="s">
        <v>2242</v>
      </c>
      <c r="DQ4747" s="166">
        <v>7.8</v>
      </c>
      <c r="DR4747" s="166">
        <v>7.7</v>
      </c>
      <c r="DS4747" s="163"/>
      <c r="DT4747" s="163"/>
      <c r="DU4747" s="67"/>
      <c r="DV4747" s="67">
        <v>31.6</v>
      </c>
      <c r="DW4747" s="67">
        <v>30.7</v>
      </c>
      <c r="DX4747" s="67"/>
      <c r="DY4747" s="67"/>
      <c r="DZ4747" s="67" t="s">
        <v>3360</v>
      </c>
      <c r="EA4747" s="67">
        <v>1.3</v>
      </c>
      <c r="EB4747" s="67">
        <v>1.5</v>
      </c>
      <c r="EC4747" s="67"/>
      <c r="ED4747" s="67"/>
      <c r="EE4747" s="67" t="s">
        <v>5628</v>
      </c>
      <c r="EF4747" s="67"/>
      <c r="EG4747" s="67"/>
      <c r="EH4747" s="67"/>
      <c r="EI4747" s="67"/>
      <c r="EJ4747" s="67"/>
      <c r="EK4747" s="94">
        <v>90.6</v>
      </c>
      <c r="EL4747" s="94">
        <v>88</v>
      </c>
      <c r="EM4747" s="67"/>
      <c r="EN4747" s="67"/>
      <c r="EO4747" s="67" t="s">
        <v>5630</v>
      </c>
      <c r="EP4747" s="67"/>
      <c r="EQ4747" s="67"/>
      <c r="ER4747" s="67"/>
      <c r="ES4747" s="67"/>
      <c r="ET4747" s="67"/>
      <c r="EU4747" s="67"/>
      <c r="EV4747" s="67"/>
      <c r="EW4747" s="67"/>
      <c r="EX4747" s="67"/>
      <c r="EY4747" s="67"/>
      <c r="EZ4747" s="67"/>
      <c r="FA4747" s="67"/>
      <c r="FB4747" s="67"/>
      <c r="FC4747" s="67"/>
      <c r="FD4747" s="67"/>
      <c r="FE4747" s="67"/>
      <c r="FF4747" s="67"/>
      <c r="FG4747" s="67"/>
      <c r="FH4747" s="67"/>
      <c r="FI4747" s="67"/>
      <c r="FJ4747" s="67"/>
      <c r="FK4747" s="67"/>
      <c r="FL4747" s="67"/>
      <c r="FM4747" s="67"/>
      <c r="FN4747" s="67"/>
      <c r="FO4747" s="67"/>
      <c r="FP4747" s="67"/>
      <c r="FQ4747" s="67"/>
      <c r="FR4747" s="67"/>
      <c r="FS4747" s="67"/>
      <c r="FT4747" s="67"/>
      <c r="FU4747" s="67"/>
      <c r="FV4747" s="67"/>
      <c r="FW4747" s="67"/>
      <c r="FX4747" s="67"/>
      <c r="FY4747" s="67"/>
      <c r="FZ4747" s="67"/>
      <c r="GA4747" s="67"/>
      <c r="GB4747" s="67"/>
      <c r="GC4747" s="67"/>
      <c r="GD4747" s="67"/>
      <c r="GE4747" s="67"/>
      <c r="GF4747" s="67"/>
      <c r="GG4747" s="67"/>
      <c r="GH4747" s="67"/>
      <c r="GI4747" s="67"/>
      <c r="GJ4747" s="67"/>
      <c r="GK4747" s="67"/>
      <c r="GL4747" s="67"/>
      <c r="GM4747" s="67"/>
      <c r="GN4747" s="292"/>
      <c r="GO4747" s="292"/>
      <c r="GP4747" s="292" t="s">
        <v>7494</v>
      </c>
      <c r="GQ4747" s="67"/>
      <c r="GR4747" s="67"/>
      <c r="GS4747" s="67"/>
      <c r="GT4747" s="67"/>
      <c r="GU4747" s="67"/>
      <c r="GV4747" s="67"/>
      <c r="GW4747" s="67"/>
      <c r="GX4747" s="67"/>
      <c r="GY4747" s="67"/>
      <c r="GZ4747" s="67"/>
      <c r="HA4747" s="67"/>
      <c r="HB4747" s="67"/>
      <c r="HC4747" s="67"/>
      <c r="HD4747" s="67"/>
      <c r="HE4747" s="67"/>
      <c r="HF4747" s="67"/>
      <c r="HG4747" s="67"/>
      <c r="HH4747" s="67"/>
      <c r="HI4747" s="67"/>
      <c r="HJ4747" s="67"/>
      <c r="HK4747" s="67"/>
      <c r="HL4747" s="67"/>
      <c r="HM4747" s="67"/>
      <c r="HN4747" s="67"/>
      <c r="HO4747" s="67"/>
      <c r="HP4747" s="67"/>
      <c r="HQ4747" s="67"/>
      <c r="HR4747" s="67"/>
      <c r="HS4747" s="67"/>
      <c r="HT4747" s="67"/>
      <c r="HU4747" s="67"/>
      <c r="HV4747" s="67"/>
      <c r="HW4747" s="67"/>
      <c r="HX4747" s="67"/>
      <c r="HY4747" s="67"/>
      <c r="HZ4747" s="67"/>
      <c r="IA4747" s="67"/>
      <c r="IB4747" s="67"/>
      <c r="IC4747" s="67">
        <v>6.3</v>
      </c>
      <c r="ID4747" s="67">
        <v>11.7</v>
      </c>
      <c r="IE4747" s="67"/>
      <c r="IF4747" s="67"/>
      <c r="IG4747" s="67" t="s">
        <v>5632</v>
      </c>
      <c r="IH4747" s="67"/>
      <c r="II4747" s="67"/>
      <c r="IJ4747" s="67"/>
      <c r="IK4747" s="67"/>
      <c r="IL4747" s="67"/>
      <c r="IM4747" s="67"/>
      <c r="IN4747" s="67"/>
      <c r="IO4747" s="67"/>
      <c r="IP4747" s="67"/>
      <c r="IQ4747" s="67"/>
      <c r="IR4747" s="67"/>
      <c r="IS4747" s="67"/>
      <c r="IT4747" s="67"/>
      <c r="IU4747" s="67"/>
      <c r="IV4747" s="67"/>
      <c r="IW4747" s="67"/>
      <c r="IX4747" s="67"/>
      <c r="IY4747" s="67"/>
      <c r="IZ4747" s="67"/>
      <c r="JA4747" s="67"/>
      <c r="JB4747" s="67"/>
      <c r="JC4747" s="67"/>
      <c r="JD4747" s="67"/>
      <c r="JE4747" s="67"/>
      <c r="JF4747" s="67"/>
      <c r="JG4747" s="67">
        <v>188</v>
      </c>
      <c r="JH4747" s="67">
        <v>314</v>
      </c>
      <c r="JI4747" s="67"/>
      <c r="JJ4747" s="67"/>
      <c r="JK4747" s="67" t="s">
        <v>964</v>
      </c>
      <c r="JL4747" s="67">
        <v>38</v>
      </c>
      <c r="JM4747" s="67">
        <v>63</v>
      </c>
      <c r="JN4747" s="67"/>
      <c r="JO4747" s="67"/>
      <c r="JP4747" s="67" t="s">
        <v>964</v>
      </c>
      <c r="JQ4747" s="67">
        <v>99999</v>
      </c>
      <c r="JR4747" s="67"/>
      <c r="JS4747" s="67"/>
      <c r="JT4747" s="67"/>
      <c r="JU4747" s="58" t="s">
        <v>5629</v>
      </c>
      <c r="JV4747" s="58"/>
      <c r="JW4747" s="58"/>
    </row>
    <row r="4748" spans="1:283" s="23" customFormat="1" x14ac:dyDescent="0.25">
      <c r="A4748" s="55">
        <v>4747</v>
      </c>
      <c r="B4748" s="12" t="s">
        <v>7067</v>
      </c>
      <c r="C4748" s="156">
        <v>207</v>
      </c>
      <c r="D4748" s="58" t="s">
        <v>4877</v>
      </c>
      <c r="E4748" s="160" t="str">
        <f>G4748</f>
        <v>Andrews et al. 2002</v>
      </c>
      <c r="F4748" s="160"/>
      <c r="G4748" s="60" t="s">
        <v>4866</v>
      </c>
      <c r="H4748" s="58">
        <v>2002</v>
      </c>
      <c r="I4748" s="58" t="s">
        <v>2847</v>
      </c>
      <c r="J4748" s="243" t="s">
        <v>282</v>
      </c>
      <c r="K4748" s="63" t="s">
        <v>5340</v>
      </c>
      <c r="L4748" s="58" t="s">
        <v>2737</v>
      </c>
      <c r="M4748" s="94">
        <v>36.75</v>
      </c>
      <c r="N4748" s="94">
        <v>-120.38</v>
      </c>
      <c r="O4748" s="94">
        <v>53</v>
      </c>
      <c r="P4748" s="244">
        <v>17.3</v>
      </c>
      <c r="Q4748" s="58"/>
      <c r="R4748" s="244">
        <v>1958</v>
      </c>
      <c r="S4748" s="94"/>
      <c r="T4748" s="58"/>
      <c r="U4748" s="58" t="s">
        <v>1816</v>
      </c>
      <c r="V4748" s="244">
        <v>4</v>
      </c>
      <c r="W4748" s="174"/>
      <c r="X4748" s="174"/>
      <c r="Y4748" s="58" t="s">
        <v>1920</v>
      </c>
      <c r="Z4748" s="244" t="s">
        <v>1349</v>
      </c>
      <c r="AA4748" s="245">
        <v>15</v>
      </c>
      <c r="AB4748" s="67">
        <v>18</v>
      </c>
      <c r="AC4748" s="67" t="s">
        <v>7001</v>
      </c>
      <c r="AD4748" s="94"/>
      <c r="AE4748" s="94"/>
      <c r="AF4748" s="94"/>
      <c r="AG4748" s="245"/>
      <c r="AH4748" s="58"/>
      <c r="AI4748" s="169"/>
      <c r="AJ4748" s="94"/>
      <c r="AK4748" s="94"/>
      <c r="AL4748" s="58"/>
      <c r="AM4748" s="58"/>
      <c r="AN4748" s="186" t="s">
        <v>5337</v>
      </c>
      <c r="AO4748" s="185" t="s">
        <v>5150</v>
      </c>
      <c r="AP4748" s="58"/>
      <c r="AQ4748" s="58" t="s">
        <v>4584</v>
      </c>
      <c r="AR4748" s="58" t="s">
        <v>5338</v>
      </c>
      <c r="AS4748" s="246" t="s">
        <v>4584</v>
      </c>
      <c r="AT4748" s="247">
        <v>1</v>
      </c>
      <c r="AU4748" s="181" t="s">
        <v>7494</v>
      </c>
      <c r="AV4748" s="185" t="s">
        <v>176</v>
      </c>
      <c r="AW4748" s="244">
        <v>0</v>
      </c>
      <c r="AX4748" s="185" t="s">
        <v>176</v>
      </c>
      <c r="AY4748" s="244" t="s">
        <v>5150</v>
      </c>
      <c r="AZ4748" s="58" t="s">
        <v>4530</v>
      </c>
      <c r="BA4748" s="58" t="s">
        <v>5339</v>
      </c>
      <c r="BB4748" s="58" t="s">
        <v>2081</v>
      </c>
      <c r="BC4748" s="58" t="s">
        <v>4499</v>
      </c>
      <c r="BD4748" s="58" t="s">
        <v>479</v>
      </c>
      <c r="BE4748" s="236" t="s">
        <v>5153</v>
      </c>
      <c r="BF4748" s="191" t="s">
        <v>176</v>
      </c>
      <c r="BG4748" s="191" t="s">
        <v>176</v>
      </c>
      <c r="BH4748" s="236" t="s">
        <v>5155</v>
      </c>
      <c r="BI4748" s="191" t="s">
        <v>479</v>
      </c>
      <c r="BJ4748" s="58" t="str">
        <f>IF(BE4748=BH4748,"No","yes")</f>
        <v>yes</v>
      </c>
      <c r="BK4748" s="58" t="s">
        <v>6335</v>
      </c>
      <c r="BL4748" s="58"/>
      <c r="BM4748" s="237" t="s">
        <v>160</v>
      </c>
      <c r="BN4748" s="244">
        <v>6</v>
      </c>
      <c r="BO4748" s="244">
        <v>6</v>
      </c>
      <c r="BP4748" s="58"/>
      <c r="BQ4748" s="58"/>
      <c r="BR4748" s="58"/>
      <c r="BS4748" s="58"/>
      <c r="BT4748" s="58"/>
      <c r="BU4748" s="58"/>
      <c r="BV4748" s="58" t="s">
        <v>5623</v>
      </c>
      <c r="BW4748" s="67"/>
      <c r="BX4748" s="67"/>
      <c r="BY4748" s="67"/>
      <c r="BZ4748" s="67"/>
      <c r="CA4748" s="67"/>
      <c r="CB4748" s="70"/>
      <c r="CC4748" s="70"/>
      <c r="CD4748" s="70"/>
      <c r="CE4748" s="67"/>
      <c r="CF4748" s="67"/>
      <c r="CG4748" s="67"/>
      <c r="CH4748" s="245">
        <v>1.28</v>
      </c>
      <c r="CI4748" s="245">
        <v>1.04</v>
      </c>
      <c r="CJ4748" s="67"/>
      <c r="CK4748" s="67"/>
      <c r="CL4748" s="67"/>
      <c r="CM4748" s="242">
        <v>0.86</v>
      </c>
      <c r="CN4748" s="242">
        <v>0.88</v>
      </c>
      <c r="CO4748" s="242"/>
      <c r="CP4748" s="242"/>
      <c r="CQ4748" s="242" t="s">
        <v>164</v>
      </c>
      <c r="CR4748" s="67"/>
      <c r="CS4748" s="67"/>
      <c r="CT4748" s="242"/>
      <c r="CU4748" s="242"/>
      <c r="CV4748" s="242" t="s">
        <v>5151</v>
      </c>
      <c r="CW4748" s="242">
        <f>(CM4748-CM4742)*0.01*(100*100*0.15*CH4748)*1000/4</f>
        <v>144.00000000000014</v>
      </c>
      <c r="CX4748" s="242">
        <f>(CN4748-CN4742)*0.01*(100*100*0.15*CI4748)*1000/4</f>
        <v>-468</v>
      </c>
      <c r="CY4748" s="242"/>
      <c r="CZ4748" s="242"/>
      <c r="DA4748" s="67" t="s">
        <v>5443</v>
      </c>
      <c r="DB4748" s="67">
        <v>0.66</v>
      </c>
      <c r="DC4748" s="67">
        <v>0.75</v>
      </c>
      <c r="DD4748" s="67"/>
      <c r="DE4748" s="67"/>
      <c r="DF4748" s="67" t="s">
        <v>5627</v>
      </c>
      <c r="DG4748" s="67">
        <v>18</v>
      </c>
      <c r="DH4748" s="67">
        <v>18</v>
      </c>
      <c r="DI4748" s="67"/>
      <c r="DJ4748" s="67"/>
      <c r="DK4748" s="67" t="s">
        <v>5631</v>
      </c>
      <c r="DL4748" s="67">
        <v>410</v>
      </c>
      <c r="DM4748" s="67">
        <v>442</v>
      </c>
      <c r="DN4748" s="67"/>
      <c r="DO4748" s="67"/>
      <c r="DP4748" s="67" t="s">
        <v>2242</v>
      </c>
      <c r="DQ4748" s="166">
        <v>7.9</v>
      </c>
      <c r="DR4748" s="166">
        <v>7.8</v>
      </c>
      <c r="DS4748" s="163"/>
      <c r="DT4748" s="163"/>
      <c r="DU4748" s="67"/>
      <c r="DV4748" s="67">
        <v>18</v>
      </c>
      <c r="DW4748" s="67">
        <v>20.98</v>
      </c>
      <c r="DX4748" s="67"/>
      <c r="DY4748" s="67"/>
      <c r="DZ4748" s="67" t="s">
        <v>3360</v>
      </c>
      <c r="EA4748" s="67">
        <v>0.8</v>
      </c>
      <c r="EB4748" s="67">
        <v>1.2</v>
      </c>
      <c r="EC4748" s="67"/>
      <c r="ED4748" s="67"/>
      <c r="EE4748" s="67" t="s">
        <v>5628</v>
      </c>
      <c r="EF4748" s="67"/>
      <c r="EG4748" s="67"/>
      <c r="EH4748" s="67"/>
      <c r="EI4748" s="67"/>
      <c r="EJ4748" s="67"/>
      <c r="EK4748" s="94">
        <v>72.099999999999994</v>
      </c>
      <c r="EL4748" s="94">
        <v>79.8</v>
      </c>
      <c r="EM4748" s="67"/>
      <c r="EN4748" s="67"/>
      <c r="EO4748" s="67" t="s">
        <v>5630</v>
      </c>
      <c r="EP4748" s="67"/>
      <c r="EQ4748" s="67"/>
      <c r="ER4748" s="67"/>
      <c r="ES4748" s="67"/>
      <c r="ET4748" s="67"/>
      <c r="EU4748" s="67"/>
      <c r="EV4748" s="67"/>
      <c r="EW4748" s="67"/>
      <c r="EX4748" s="67"/>
      <c r="EY4748" s="67"/>
      <c r="EZ4748" s="67"/>
      <c r="FA4748" s="67"/>
      <c r="FB4748" s="67"/>
      <c r="FC4748" s="67"/>
      <c r="FD4748" s="67"/>
      <c r="FE4748" s="67"/>
      <c r="FF4748" s="67"/>
      <c r="FG4748" s="67"/>
      <c r="FH4748" s="67"/>
      <c r="FI4748" s="67"/>
      <c r="FJ4748" s="67"/>
      <c r="FK4748" s="67"/>
      <c r="FL4748" s="67"/>
      <c r="FM4748" s="67"/>
      <c r="FN4748" s="67"/>
      <c r="FO4748" s="67"/>
      <c r="FP4748" s="67"/>
      <c r="FQ4748" s="67"/>
      <c r="FR4748" s="67"/>
      <c r="FS4748" s="67"/>
      <c r="FT4748" s="67"/>
      <c r="FU4748" s="67"/>
      <c r="FV4748" s="67"/>
      <c r="FW4748" s="67"/>
      <c r="FX4748" s="67"/>
      <c r="FY4748" s="67"/>
      <c r="FZ4748" s="67"/>
      <c r="GA4748" s="67"/>
      <c r="GB4748" s="67"/>
      <c r="GC4748" s="67"/>
      <c r="GD4748" s="67"/>
      <c r="GE4748" s="67"/>
      <c r="GF4748" s="67"/>
      <c r="GG4748" s="67"/>
      <c r="GH4748" s="67"/>
      <c r="GI4748" s="67"/>
      <c r="GJ4748" s="67"/>
      <c r="GK4748" s="67"/>
      <c r="GL4748" s="67"/>
      <c r="GM4748" s="67"/>
      <c r="GN4748" s="292"/>
      <c r="GO4748" s="292"/>
      <c r="GP4748" s="292" t="s">
        <v>7494</v>
      </c>
      <c r="GQ4748" s="67"/>
      <c r="GR4748" s="67"/>
      <c r="GS4748" s="67"/>
      <c r="GT4748" s="67"/>
      <c r="GU4748" s="67"/>
      <c r="GV4748" s="67"/>
      <c r="GW4748" s="67"/>
      <c r="GX4748" s="67"/>
      <c r="GY4748" s="67"/>
      <c r="GZ4748" s="67"/>
      <c r="HA4748" s="67"/>
      <c r="HB4748" s="67"/>
      <c r="HC4748" s="67"/>
      <c r="HD4748" s="67"/>
      <c r="HE4748" s="67"/>
      <c r="HF4748" s="67"/>
      <c r="HG4748" s="67"/>
      <c r="HH4748" s="67"/>
      <c r="HI4748" s="67"/>
      <c r="HJ4748" s="67"/>
      <c r="HK4748" s="67"/>
      <c r="HL4748" s="67"/>
      <c r="HM4748" s="67"/>
      <c r="HN4748" s="67"/>
      <c r="HO4748" s="67"/>
      <c r="HP4748" s="67"/>
      <c r="HQ4748" s="67"/>
      <c r="HR4748" s="67"/>
      <c r="HS4748" s="67"/>
      <c r="HT4748" s="67"/>
      <c r="HU4748" s="67"/>
      <c r="HV4748" s="67"/>
      <c r="HW4748" s="67"/>
      <c r="HX4748" s="67"/>
      <c r="HY4748" s="67"/>
      <c r="HZ4748" s="67"/>
      <c r="IA4748" s="67"/>
      <c r="IB4748" s="67"/>
      <c r="IC4748" s="67">
        <v>6.4</v>
      </c>
      <c r="ID4748" s="67">
        <v>8.4</v>
      </c>
      <c r="IE4748" s="67"/>
      <c r="IF4748" s="67"/>
      <c r="IG4748" s="67" t="s">
        <v>5632</v>
      </c>
      <c r="IH4748" s="67"/>
      <c r="II4748" s="67"/>
      <c r="IJ4748" s="67"/>
      <c r="IK4748" s="67"/>
      <c r="IL4748" s="67"/>
      <c r="IM4748" s="67"/>
      <c r="IN4748" s="67"/>
      <c r="IO4748" s="67"/>
      <c r="IP4748" s="67"/>
      <c r="IQ4748" s="67"/>
      <c r="IR4748" s="67"/>
      <c r="IS4748" s="67"/>
      <c r="IT4748" s="67"/>
      <c r="IU4748" s="67"/>
      <c r="IV4748" s="67"/>
      <c r="IW4748" s="67"/>
      <c r="IX4748" s="67"/>
      <c r="IY4748" s="67"/>
      <c r="IZ4748" s="67"/>
      <c r="JA4748" s="67"/>
      <c r="JB4748" s="67"/>
      <c r="JC4748" s="67"/>
      <c r="JD4748" s="67"/>
      <c r="JE4748" s="67"/>
      <c r="JF4748" s="67"/>
      <c r="JG4748" s="67">
        <v>161</v>
      </c>
      <c r="JH4748" s="67">
        <v>136</v>
      </c>
      <c r="JI4748" s="67"/>
      <c r="JJ4748" s="67"/>
      <c r="JK4748" s="67" t="s">
        <v>964</v>
      </c>
      <c r="JL4748" s="67">
        <v>36</v>
      </c>
      <c r="JM4748" s="67">
        <v>33</v>
      </c>
      <c r="JN4748" s="67"/>
      <c r="JO4748" s="67"/>
      <c r="JP4748" s="67" t="s">
        <v>964</v>
      </c>
      <c r="JQ4748" s="67">
        <v>99999</v>
      </c>
      <c r="JR4748" s="67"/>
      <c r="JS4748" s="67"/>
      <c r="JT4748" s="67"/>
      <c r="JU4748" s="58" t="s">
        <v>5629</v>
      </c>
      <c r="JV4748" s="58"/>
      <c r="JW4748" s="58"/>
    </row>
    <row r="4749" spans="1:283" s="23" customFormat="1" x14ac:dyDescent="0.25">
      <c r="A4749" s="55">
        <v>4748</v>
      </c>
      <c r="B4749" s="12" t="s">
        <v>7067</v>
      </c>
      <c r="C4749" s="156">
        <v>207</v>
      </c>
      <c r="D4749" s="58" t="s">
        <v>5618</v>
      </c>
      <c r="E4749" s="160" t="str">
        <f>G4749</f>
        <v>Andrews et al. 2002</v>
      </c>
      <c r="F4749" s="160"/>
      <c r="G4749" s="60" t="s">
        <v>4866</v>
      </c>
      <c r="H4749" s="58">
        <v>2002</v>
      </c>
      <c r="I4749" s="58" t="s">
        <v>2847</v>
      </c>
      <c r="J4749" s="243" t="s">
        <v>282</v>
      </c>
      <c r="K4749" s="63" t="s">
        <v>5340</v>
      </c>
      <c r="L4749" s="58" t="s">
        <v>2737</v>
      </c>
      <c r="M4749" s="94">
        <v>36.75</v>
      </c>
      <c r="N4749" s="94">
        <v>-120.38</v>
      </c>
      <c r="O4749" s="94">
        <v>53</v>
      </c>
      <c r="P4749" s="244">
        <v>17.3</v>
      </c>
      <c r="Q4749" s="58"/>
      <c r="R4749" s="244">
        <v>1958</v>
      </c>
      <c r="S4749" s="94"/>
      <c r="T4749" s="58"/>
      <c r="U4749" s="58" t="s">
        <v>1816</v>
      </c>
      <c r="V4749" s="244">
        <v>4</v>
      </c>
      <c r="W4749" s="174"/>
      <c r="X4749" s="174"/>
      <c r="Y4749" s="58" t="s">
        <v>1920</v>
      </c>
      <c r="Z4749" s="244" t="s">
        <v>1349</v>
      </c>
      <c r="AA4749" s="245">
        <v>15</v>
      </c>
      <c r="AB4749" s="67">
        <v>28.7</v>
      </c>
      <c r="AC4749" s="67" t="s">
        <v>7001</v>
      </c>
      <c r="AD4749" s="94"/>
      <c r="AE4749" s="94"/>
      <c r="AF4749" s="94"/>
      <c r="AG4749" s="245"/>
      <c r="AH4749" s="58"/>
      <c r="AI4749" s="169"/>
      <c r="AJ4749" s="94"/>
      <c r="AK4749" s="94"/>
      <c r="AL4749" s="58"/>
      <c r="AM4749" s="58"/>
      <c r="AN4749" s="186" t="s">
        <v>5337</v>
      </c>
      <c r="AO4749" s="185" t="s">
        <v>5150</v>
      </c>
      <c r="AP4749" s="58"/>
      <c r="AQ4749" s="58" t="s">
        <v>4584</v>
      </c>
      <c r="AR4749" s="58" t="s">
        <v>5338</v>
      </c>
      <c r="AS4749" s="246" t="s">
        <v>4584</v>
      </c>
      <c r="AT4749" s="247">
        <v>1</v>
      </c>
      <c r="AU4749" s="181" t="s">
        <v>7494</v>
      </c>
      <c r="AV4749" s="185" t="s">
        <v>176</v>
      </c>
      <c r="AW4749" s="244">
        <v>0</v>
      </c>
      <c r="AX4749" s="185" t="s">
        <v>176</v>
      </c>
      <c r="AY4749" s="244" t="s">
        <v>5150</v>
      </c>
      <c r="AZ4749" s="58" t="s">
        <v>4530</v>
      </c>
      <c r="BA4749" s="58" t="s">
        <v>5339</v>
      </c>
      <c r="BB4749" s="58" t="s">
        <v>2081</v>
      </c>
      <c r="BC4749" s="58" t="s">
        <v>4499</v>
      </c>
      <c r="BD4749" s="58" t="s">
        <v>479</v>
      </c>
      <c r="BE4749" s="236" t="s">
        <v>5153</v>
      </c>
      <c r="BF4749" s="191" t="s">
        <v>176</v>
      </c>
      <c r="BG4749" s="191" t="s">
        <v>176</v>
      </c>
      <c r="BH4749" s="236" t="s">
        <v>5155</v>
      </c>
      <c r="BI4749" s="191" t="s">
        <v>479</v>
      </c>
      <c r="BJ4749" s="58" t="str">
        <f>IF(BE4749=BH4749,"No","yes")</f>
        <v>yes</v>
      </c>
      <c r="BK4749" s="58" t="s">
        <v>6335</v>
      </c>
      <c r="BL4749" s="58"/>
      <c r="BM4749" s="237" t="s">
        <v>160</v>
      </c>
      <c r="BN4749" s="244">
        <v>6</v>
      </c>
      <c r="BO4749" s="244">
        <v>6</v>
      </c>
      <c r="BP4749" s="58"/>
      <c r="BQ4749" s="58"/>
      <c r="BR4749" s="58"/>
      <c r="BS4749" s="58"/>
      <c r="BT4749" s="58"/>
      <c r="BU4749" s="58"/>
      <c r="BV4749" s="58" t="s">
        <v>5624</v>
      </c>
      <c r="BW4749" s="67"/>
      <c r="BX4749" s="67"/>
      <c r="BY4749" s="67"/>
      <c r="BZ4749" s="67"/>
      <c r="CA4749" s="67"/>
      <c r="CB4749" s="70"/>
      <c r="CC4749" s="70"/>
      <c r="CD4749" s="70"/>
      <c r="CE4749" s="67"/>
      <c r="CF4749" s="67"/>
      <c r="CG4749" s="67"/>
      <c r="CH4749" s="245">
        <v>1.25</v>
      </c>
      <c r="CI4749" s="245">
        <v>1.22</v>
      </c>
      <c r="CJ4749" s="67"/>
      <c r="CK4749" s="67"/>
      <c r="CL4749" s="67"/>
      <c r="CM4749" s="242">
        <v>0.9</v>
      </c>
      <c r="CN4749" s="242">
        <v>1.22</v>
      </c>
      <c r="CO4749" s="242"/>
      <c r="CP4749" s="242"/>
      <c r="CQ4749" s="242" t="s">
        <v>164</v>
      </c>
      <c r="CR4749" s="67"/>
      <c r="CS4749" s="67"/>
      <c r="CT4749" s="242"/>
      <c r="CU4749" s="242"/>
      <c r="CV4749" s="242" t="s">
        <v>5151</v>
      </c>
      <c r="CW4749" s="242">
        <f>(CM4749-CM4743)*0.01*(100*100*0.15*CH4749)*1000/4</f>
        <v>421.87499999999989</v>
      </c>
      <c r="CX4749" s="242">
        <f>(CN4749-CN4743)*0.01*(100*100*0.15*CI4749)*1000/4</f>
        <v>960.75</v>
      </c>
      <c r="CY4749" s="242"/>
      <c r="CZ4749" s="242"/>
      <c r="DA4749" s="67" t="s">
        <v>5443</v>
      </c>
      <c r="DB4749" s="67">
        <v>0.61</v>
      </c>
      <c r="DC4749" s="67">
        <v>0.79</v>
      </c>
      <c r="DD4749" s="67"/>
      <c r="DE4749" s="67"/>
      <c r="DF4749" s="67" t="s">
        <v>5627</v>
      </c>
      <c r="DG4749" s="67">
        <v>23</v>
      </c>
      <c r="DH4749" s="67">
        <v>55</v>
      </c>
      <c r="DI4749" s="67"/>
      <c r="DJ4749" s="67"/>
      <c r="DK4749" s="67" t="s">
        <v>5631</v>
      </c>
      <c r="DL4749" s="67">
        <v>462</v>
      </c>
      <c r="DM4749" s="67">
        <v>612</v>
      </c>
      <c r="DN4749" s="67"/>
      <c r="DO4749" s="67"/>
      <c r="DP4749" s="67" t="s">
        <v>2242</v>
      </c>
      <c r="DQ4749" s="166">
        <v>7.7</v>
      </c>
      <c r="DR4749" s="166">
        <v>7.7</v>
      </c>
      <c r="DS4749" s="163"/>
      <c r="DT4749" s="163"/>
      <c r="DU4749" s="67"/>
      <c r="DV4749" s="67">
        <v>28.7</v>
      </c>
      <c r="DW4749" s="67">
        <v>31.8</v>
      </c>
      <c r="DX4749" s="67"/>
      <c r="DY4749" s="67"/>
      <c r="DZ4749" s="67" t="s">
        <v>3360</v>
      </c>
      <c r="EA4749" s="67">
        <v>1.8</v>
      </c>
      <c r="EB4749" s="67">
        <v>2.7</v>
      </c>
      <c r="EC4749" s="67"/>
      <c r="ED4749" s="67"/>
      <c r="EE4749" s="67" t="s">
        <v>5628</v>
      </c>
      <c r="EF4749" s="67"/>
      <c r="EG4749" s="67"/>
      <c r="EH4749" s="67"/>
      <c r="EI4749" s="67"/>
      <c r="EJ4749" s="67"/>
      <c r="EK4749" s="94">
        <v>87.5</v>
      </c>
      <c r="EL4749" s="94">
        <v>89.9</v>
      </c>
      <c r="EM4749" s="67"/>
      <c r="EN4749" s="67"/>
      <c r="EO4749" s="67" t="s">
        <v>5630</v>
      </c>
      <c r="EP4749" s="67"/>
      <c r="EQ4749" s="67"/>
      <c r="ER4749" s="67"/>
      <c r="ES4749" s="67"/>
      <c r="ET4749" s="67"/>
      <c r="EU4749" s="67"/>
      <c r="EV4749" s="67"/>
      <c r="EW4749" s="67"/>
      <c r="EX4749" s="67"/>
      <c r="EY4749" s="67"/>
      <c r="EZ4749" s="67"/>
      <c r="FA4749" s="67"/>
      <c r="FB4749" s="67"/>
      <c r="FC4749" s="67"/>
      <c r="FD4749" s="67"/>
      <c r="FE4749" s="67"/>
      <c r="FF4749" s="67"/>
      <c r="FG4749" s="67"/>
      <c r="FH4749" s="67"/>
      <c r="FI4749" s="67"/>
      <c r="FJ4749" s="67"/>
      <c r="FK4749" s="67"/>
      <c r="FL4749" s="67"/>
      <c r="FM4749" s="67"/>
      <c r="FN4749" s="67"/>
      <c r="FO4749" s="67"/>
      <c r="FP4749" s="67"/>
      <c r="FQ4749" s="67"/>
      <c r="FR4749" s="67"/>
      <c r="FS4749" s="67"/>
      <c r="FT4749" s="67"/>
      <c r="FU4749" s="67"/>
      <c r="FV4749" s="67"/>
      <c r="FW4749" s="67"/>
      <c r="FX4749" s="67"/>
      <c r="FY4749" s="67"/>
      <c r="FZ4749" s="67"/>
      <c r="GA4749" s="67"/>
      <c r="GB4749" s="67"/>
      <c r="GC4749" s="67"/>
      <c r="GD4749" s="67"/>
      <c r="GE4749" s="67"/>
      <c r="GF4749" s="67"/>
      <c r="GG4749" s="67"/>
      <c r="GH4749" s="67"/>
      <c r="GI4749" s="67"/>
      <c r="GJ4749" s="67"/>
      <c r="GK4749" s="67"/>
      <c r="GL4749" s="67"/>
      <c r="GM4749" s="67"/>
      <c r="GN4749" s="292"/>
      <c r="GO4749" s="292"/>
      <c r="GP4749" s="292" t="s">
        <v>7494</v>
      </c>
      <c r="GQ4749" s="67"/>
      <c r="GR4749" s="67"/>
      <c r="GS4749" s="67"/>
      <c r="GT4749" s="67"/>
      <c r="GU4749" s="67"/>
      <c r="GV4749" s="67"/>
      <c r="GW4749" s="67"/>
      <c r="GX4749" s="67"/>
      <c r="GY4749" s="67"/>
      <c r="GZ4749" s="67"/>
      <c r="HA4749" s="67"/>
      <c r="HB4749" s="67"/>
      <c r="HC4749" s="67"/>
      <c r="HD4749" s="67"/>
      <c r="HE4749" s="67"/>
      <c r="HF4749" s="67"/>
      <c r="HG4749" s="67"/>
      <c r="HH4749" s="67"/>
      <c r="HI4749" s="67"/>
      <c r="HJ4749" s="67"/>
      <c r="HK4749" s="67"/>
      <c r="HL4749" s="67"/>
      <c r="HM4749" s="67"/>
      <c r="HN4749" s="67"/>
      <c r="HO4749" s="67"/>
      <c r="HP4749" s="67"/>
      <c r="HQ4749" s="67"/>
      <c r="HR4749" s="67"/>
      <c r="HS4749" s="67"/>
      <c r="HT4749" s="67"/>
      <c r="HU4749" s="67"/>
      <c r="HV4749" s="67"/>
      <c r="HW4749" s="67"/>
      <c r="HX4749" s="67"/>
      <c r="HY4749" s="67"/>
      <c r="HZ4749" s="67"/>
      <c r="IA4749" s="67"/>
      <c r="IB4749" s="67"/>
      <c r="IC4749" s="67">
        <v>11.7</v>
      </c>
      <c r="ID4749" s="67">
        <v>17.600000000000001</v>
      </c>
      <c r="IE4749" s="67"/>
      <c r="IF4749" s="67"/>
      <c r="IG4749" s="67" t="s">
        <v>5632</v>
      </c>
      <c r="IH4749" s="67"/>
      <c r="II4749" s="67"/>
      <c r="IJ4749" s="67"/>
      <c r="IK4749" s="67"/>
      <c r="IL4749" s="67"/>
      <c r="IM4749" s="67"/>
      <c r="IN4749" s="67"/>
      <c r="IO4749" s="67"/>
      <c r="IP4749" s="67"/>
      <c r="IQ4749" s="67"/>
      <c r="IR4749" s="67"/>
      <c r="IS4749" s="67"/>
      <c r="IT4749" s="67"/>
      <c r="IU4749" s="67"/>
      <c r="IV4749" s="67"/>
      <c r="IW4749" s="67"/>
      <c r="IX4749" s="67"/>
      <c r="IY4749" s="67"/>
      <c r="IZ4749" s="67"/>
      <c r="JA4749" s="67"/>
      <c r="JB4749" s="67"/>
      <c r="JC4749" s="67"/>
      <c r="JD4749" s="67"/>
      <c r="JE4749" s="67"/>
      <c r="JF4749" s="67"/>
      <c r="JG4749" s="67">
        <v>229</v>
      </c>
      <c r="JH4749" s="67">
        <v>232</v>
      </c>
      <c r="JI4749" s="67"/>
      <c r="JJ4749" s="67"/>
      <c r="JK4749" s="67" t="s">
        <v>964</v>
      </c>
      <c r="JL4749" s="67">
        <v>42</v>
      </c>
      <c r="JM4749" s="67">
        <v>46</v>
      </c>
      <c r="JN4749" s="67"/>
      <c r="JO4749" s="67"/>
      <c r="JP4749" s="67" t="s">
        <v>964</v>
      </c>
      <c r="JQ4749" s="67">
        <v>99999</v>
      </c>
      <c r="JR4749" s="67"/>
      <c r="JS4749" s="67"/>
      <c r="JT4749" s="67"/>
      <c r="JU4749" s="58" t="s">
        <v>5629</v>
      </c>
      <c r="JV4749" s="58"/>
      <c r="JW4749" s="58"/>
    </row>
    <row r="4750" spans="1:283" s="23" customFormat="1" x14ac:dyDescent="0.25">
      <c r="A4750" s="55">
        <v>4749</v>
      </c>
      <c r="B4750" s="12" t="s">
        <v>7067</v>
      </c>
      <c r="C4750" s="156">
        <v>207</v>
      </c>
      <c r="D4750" s="58" t="s">
        <v>5619</v>
      </c>
      <c r="E4750" s="160" t="str">
        <f>G4750</f>
        <v>Andrews et al. 2002</v>
      </c>
      <c r="F4750" s="160"/>
      <c r="G4750" s="60" t="s">
        <v>4866</v>
      </c>
      <c r="H4750" s="58">
        <v>2002</v>
      </c>
      <c r="I4750" s="58" t="s">
        <v>2847</v>
      </c>
      <c r="J4750" s="243" t="s">
        <v>282</v>
      </c>
      <c r="K4750" s="63" t="s">
        <v>5340</v>
      </c>
      <c r="L4750" s="58" t="s">
        <v>2737</v>
      </c>
      <c r="M4750" s="94">
        <v>36.75</v>
      </c>
      <c r="N4750" s="94">
        <v>-120.38</v>
      </c>
      <c r="O4750" s="94">
        <v>53</v>
      </c>
      <c r="P4750" s="244">
        <v>17.3</v>
      </c>
      <c r="Q4750" s="58"/>
      <c r="R4750" s="244">
        <v>1958</v>
      </c>
      <c r="S4750" s="94"/>
      <c r="T4750" s="58"/>
      <c r="U4750" s="58" t="s">
        <v>1816</v>
      </c>
      <c r="V4750" s="244">
        <v>4</v>
      </c>
      <c r="W4750" s="174"/>
      <c r="X4750" s="174"/>
      <c r="Y4750" s="58" t="s">
        <v>1920</v>
      </c>
      <c r="Z4750" s="244" t="s">
        <v>1349</v>
      </c>
      <c r="AA4750" s="245">
        <v>15</v>
      </c>
      <c r="AB4750" s="67">
        <v>9.9</v>
      </c>
      <c r="AC4750" s="67" t="s">
        <v>7001</v>
      </c>
      <c r="AD4750" s="94"/>
      <c r="AE4750" s="94"/>
      <c r="AF4750" s="94"/>
      <c r="AG4750" s="245"/>
      <c r="AH4750" s="58"/>
      <c r="AI4750" s="169"/>
      <c r="AJ4750" s="94"/>
      <c r="AK4750" s="94"/>
      <c r="AL4750" s="58"/>
      <c r="AM4750" s="58"/>
      <c r="AN4750" s="186" t="s">
        <v>5337</v>
      </c>
      <c r="AO4750" s="185" t="s">
        <v>5150</v>
      </c>
      <c r="AP4750" s="58"/>
      <c r="AQ4750" s="58" t="s">
        <v>4584</v>
      </c>
      <c r="AR4750" s="58" t="s">
        <v>5338</v>
      </c>
      <c r="AS4750" s="246" t="s">
        <v>4584</v>
      </c>
      <c r="AT4750" s="247">
        <v>1</v>
      </c>
      <c r="AU4750" s="181" t="s">
        <v>7494</v>
      </c>
      <c r="AV4750" s="185" t="s">
        <v>176</v>
      </c>
      <c r="AW4750" s="244">
        <v>0</v>
      </c>
      <c r="AX4750" s="185" t="s">
        <v>176</v>
      </c>
      <c r="AY4750" s="244" t="s">
        <v>5150</v>
      </c>
      <c r="AZ4750" s="58" t="s">
        <v>4530</v>
      </c>
      <c r="BA4750" s="58" t="s">
        <v>5339</v>
      </c>
      <c r="BB4750" s="58" t="s">
        <v>2081</v>
      </c>
      <c r="BC4750" s="58" t="s">
        <v>4499</v>
      </c>
      <c r="BD4750" s="58" t="s">
        <v>479</v>
      </c>
      <c r="BE4750" s="236" t="s">
        <v>5153</v>
      </c>
      <c r="BF4750" s="191" t="s">
        <v>176</v>
      </c>
      <c r="BG4750" s="191" t="s">
        <v>176</v>
      </c>
      <c r="BH4750" s="236" t="s">
        <v>5155</v>
      </c>
      <c r="BI4750" s="191" t="s">
        <v>479</v>
      </c>
      <c r="BJ4750" s="58" t="str">
        <f>IF(BE4750=BH4750,"No","yes")</f>
        <v>yes</v>
      </c>
      <c r="BK4750" s="58" t="s">
        <v>6335</v>
      </c>
      <c r="BL4750" s="58"/>
      <c r="BM4750" s="237" t="s">
        <v>160</v>
      </c>
      <c r="BN4750" s="244">
        <v>6</v>
      </c>
      <c r="BO4750" s="244">
        <v>6</v>
      </c>
      <c r="BP4750" s="58"/>
      <c r="BQ4750" s="58"/>
      <c r="BR4750" s="58"/>
      <c r="BS4750" s="58"/>
      <c r="BT4750" s="58"/>
      <c r="BU4750" s="58"/>
      <c r="BV4750" s="58" t="s">
        <v>5625</v>
      </c>
      <c r="BW4750" s="67"/>
      <c r="BX4750" s="67"/>
      <c r="BY4750" s="67"/>
      <c r="BZ4750" s="67"/>
      <c r="CA4750" s="67"/>
      <c r="CB4750" s="70"/>
      <c r="CC4750" s="70"/>
      <c r="CD4750" s="70"/>
      <c r="CE4750" s="67"/>
      <c r="CF4750" s="67"/>
      <c r="CG4750" s="67"/>
      <c r="CH4750" s="245">
        <v>1.38</v>
      </c>
      <c r="CI4750" s="245">
        <v>1.31</v>
      </c>
      <c r="CJ4750" s="67"/>
      <c r="CK4750" s="67"/>
      <c r="CL4750" s="67"/>
      <c r="CM4750" s="242">
        <v>0.35</v>
      </c>
      <c r="CN4750" s="242">
        <v>0.56999999999999995</v>
      </c>
      <c r="CO4750" s="242"/>
      <c r="CP4750" s="242"/>
      <c r="CQ4750" s="242" t="s">
        <v>164</v>
      </c>
      <c r="CR4750" s="67"/>
      <c r="CS4750" s="67"/>
      <c r="CT4750" s="242"/>
      <c r="CU4750" s="242"/>
      <c r="CV4750" s="242" t="s">
        <v>5151</v>
      </c>
      <c r="CW4750" s="242">
        <f>(CM4750-CM4744)*0.01*(100*100*0.15*CH4750)*1000/4</f>
        <v>-1449.0000000000002</v>
      </c>
      <c r="CX4750" s="242">
        <f>(CN4750-CN4744)*0.01*(100*100*0.15*CI4750)*1000/4</f>
        <v>-343.87500000000034</v>
      </c>
      <c r="CY4750" s="242"/>
      <c r="CZ4750" s="242"/>
      <c r="DA4750" s="67" t="s">
        <v>5443</v>
      </c>
      <c r="DB4750" s="67">
        <v>0.38</v>
      </c>
      <c r="DC4750" s="67">
        <v>0.69</v>
      </c>
      <c r="DD4750" s="67"/>
      <c r="DE4750" s="67"/>
      <c r="DF4750" s="67" t="s">
        <v>5627</v>
      </c>
      <c r="DG4750" s="67">
        <v>23</v>
      </c>
      <c r="DH4750" s="67">
        <v>29</v>
      </c>
      <c r="DI4750" s="67"/>
      <c r="DJ4750" s="67"/>
      <c r="DK4750" s="67" t="s">
        <v>5631</v>
      </c>
      <c r="DL4750" s="67">
        <v>169</v>
      </c>
      <c r="DM4750" s="67">
        <v>260</v>
      </c>
      <c r="DN4750" s="67"/>
      <c r="DO4750" s="67"/>
      <c r="DP4750" s="67" t="s">
        <v>2242</v>
      </c>
      <c r="DQ4750" s="166">
        <v>7.8</v>
      </c>
      <c r="DR4750" s="166">
        <v>7.8</v>
      </c>
      <c r="DS4750" s="163"/>
      <c r="DT4750" s="163"/>
      <c r="DU4750" s="67"/>
      <c r="DV4750" s="67">
        <v>9.9</v>
      </c>
      <c r="DW4750" s="67">
        <v>13.3</v>
      </c>
      <c r="DX4750" s="67"/>
      <c r="DY4750" s="67"/>
      <c r="DZ4750" s="67" t="s">
        <v>3360</v>
      </c>
      <c r="EA4750" s="67">
        <v>0.4</v>
      </c>
      <c r="EB4750" s="67">
        <v>0.4</v>
      </c>
      <c r="EC4750" s="67"/>
      <c r="ED4750" s="67"/>
      <c r="EE4750" s="67" t="s">
        <v>5628</v>
      </c>
      <c r="EF4750" s="67"/>
      <c r="EG4750" s="67"/>
      <c r="EH4750" s="67"/>
      <c r="EI4750" s="67"/>
      <c r="EJ4750" s="67"/>
      <c r="EK4750" s="94">
        <v>67.8</v>
      </c>
      <c r="EL4750" s="94">
        <v>60.7</v>
      </c>
      <c r="EM4750" s="67"/>
      <c r="EN4750" s="67"/>
      <c r="EO4750" s="67" t="s">
        <v>5630</v>
      </c>
      <c r="EP4750" s="67"/>
      <c r="EQ4750" s="67"/>
      <c r="ER4750" s="67"/>
      <c r="ES4750" s="67"/>
      <c r="ET4750" s="67"/>
      <c r="EU4750" s="67"/>
      <c r="EV4750" s="67"/>
      <c r="EW4750" s="67"/>
      <c r="EX4750" s="67"/>
      <c r="EY4750" s="67"/>
      <c r="EZ4750" s="67"/>
      <c r="FA4750" s="67"/>
      <c r="FB4750" s="67"/>
      <c r="FC4750" s="67"/>
      <c r="FD4750" s="67"/>
      <c r="FE4750" s="67"/>
      <c r="FF4750" s="67"/>
      <c r="FG4750" s="67"/>
      <c r="FH4750" s="67"/>
      <c r="FI4750" s="67"/>
      <c r="FJ4750" s="67"/>
      <c r="FK4750" s="67"/>
      <c r="FL4750" s="67"/>
      <c r="FM4750" s="67"/>
      <c r="FN4750" s="67"/>
      <c r="FO4750" s="67"/>
      <c r="FP4750" s="67"/>
      <c r="FQ4750" s="67"/>
      <c r="FR4750" s="67"/>
      <c r="FS4750" s="67"/>
      <c r="FT4750" s="67"/>
      <c r="FU4750" s="67"/>
      <c r="FV4750" s="67"/>
      <c r="FW4750" s="67"/>
      <c r="FX4750" s="67"/>
      <c r="FY4750" s="67"/>
      <c r="FZ4750" s="67"/>
      <c r="GA4750" s="67"/>
      <c r="GB4750" s="67"/>
      <c r="GC4750" s="67"/>
      <c r="GD4750" s="67"/>
      <c r="GE4750" s="67"/>
      <c r="GF4750" s="67"/>
      <c r="GG4750" s="67"/>
      <c r="GH4750" s="67"/>
      <c r="GI4750" s="67"/>
      <c r="GJ4750" s="67"/>
      <c r="GK4750" s="67"/>
      <c r="GL4750" s="67"/>
      <c r="GM4750" s="67"/>
      <c r="GN4750" s="292"/>
      <c r="GO4750" s="292"/>
      <c r="GP4750" s="292" t="s">
        <v>7494</v>
      </c>
      <c r="GQ4750" s="67"/>
      <c r="GR4750" s="67"/>
      <c r="GS4750" s="67"/>
      <c r="GT4750" s="67"/>
      <c r="GU4750" s="67"/>
      <c r="GV4750" s="67"/>
      <c r="GW4750" s="67"/>
      <c r="GX4750" s="67"/>
      <c r="GY4750" s="67"/>
      <c r="GZ4750" s="67"/>
      <c r="HA4750" s="67"/>
      <c r="HB4750" s="67"/>
      <c r="HC4750" s="67"/>
      <c r="HD4750" s="67"/>
      <c r="HE4750" s="67"/>
      <c r="HF4750" s="67"/>
      <c r="HG4750" s="67"/>
      <c r="HH4750" s="67"/>
      <c r="HI4750" s="67"/>
      <c r="HJ4750" s="67"/>
      <c r="HK4750" s="67"/>
      <c r="HL4750" s="67"/>
      <c r="HM4750" s="67"/>
      <c r="HN4750" s="67"/>
      <c r="HO4750" s="67"/>
      <c r="HP4750" s="67"/>
      <c r="HQ4750" s="67"/>
      <c r="HR4750" s="67"/>
      <c r="HS4750" s="67"/>
      <c r="HT4750" s="67"/>
      <c r="HU4750" s="67"/>
      <c r="HV4750" s="67"/>
      <c r="HW4750" s="67"/>
      <c r="HX4750" s="67"/>
      <c r="HY4750" s="67"/>
      <c r="HZ4750" s="67"/>
      <c r="IA4750" s="67"/>
      <c r="IB4750" s="67"/>
      <c r="IC4750" s="67">
        <v>6.2</v>
      </c>
      <c r="ID4750" s="67">
        <v>8.4</v>
      </c>
      <c r="IE4750" s="67"/>
      <c r="IF4750" s="67"/>
      <c r="IG4750" s="67" t="s">
        <v>5632</v>
      </c>
      <c r="IH4750" s="67"/>
      <c r="II4750" s="67"/>
      <c r="IJ4750" s="67"/>
      <c r="IK4750" s="67"/>
      <c r="IL4750" s="67"/>
      <c r="IM4750" s="67"/>
      <c r="IN4750" s="67"/>
      <c r="IO4750" s="67"/>
      <c r="IP4750" s="67"/>
      <c r="IQ4750" s="67"/>
      <c r="IR4750" s="67"/>
      <c r="IS4750" s="67"/>
      <c r="IT4750" s="67"/>
      <c r="IU4750" s="67"/>
      <c r="IV4750" s="67"/>
      <c r="IW4750" s="67"/>
      <c r="IX4750" s="67"/>
      <c r="IY4750" s="67"/>
      <c r="IZ4750" s="67"/>
      <c r="JA4750" s="67"/>
      <c r="JB4750" s="67"/>
      <c r="JC4750" s="67"/>
      <c r="JD4750" s="67"/>
      <c r="JE4750" s="67"/>
      <c r="JF4750" s="67"/>
      <c r="JG4750" s="67">
        <v>103</v>
      </c>
      <c r="JH4750" s="67">
        <v>138</v>
      </c>
      <c r="JI4750" s="67"/>
      <c r="JJ4750" s="67"/>
      <c r="JK4750" s="67" t="s">
        <v>964</v>
      </c>
      <c r="JL4750" s="67">
        <v>17</v>
      </c>
      <c r="JM4750" s="67">
        <v>26</v>
      </c>
      <c r="JN4750" s="67"/>
      <c r="JO4750" s="67"/>
      <c r="JP4750" s="67" t="s">
        <v>964</v>
      </c>
      <c r="JQ4750" s="67">
        <v>99999</v>
      </c>
      <c r="JR4750" s="67"/>
      <c r="JS4750" s="67"/>
      <c r="JT4750" s="67"/>
      <c r="JU4750" s="58" t="s">
        <v>5629</v>
      </c>
      <c r="JV4750" s="58"/>
      <c r="JW4750" s="58"/>
    </row>
    <row r="4751" spans="1:283" s="23" customFormat="1" x14ac:dyDescent="0.25">
      <c r="A4751" s="55">
        <v>4750</v>
      </c>
      <c r="B4751" s="12" t="s">
        <v>7067</v>
      </c>
      <c r="C4751" s="156">
        <v>207</v>
      </c>
      <c r="D4751" s="58" t="s">
        <v>4883</v>
      </c>
      <c r="E4751" s="160" t="str">
        <f>G4751</f>
        <v>Andrews et al. 2002</v>
      </c>
      <c r="F4751" s="160"/>
      <c r="G4751" s="60" t="s">
        <v>4866</v>
      </c>
      <c r="H4751" s="58">
        <v>2002</v>
      </c>
      <c r="I4751" s="58" t="s">
        <v>2847</v>
      </c>
      <c r="J4751" s="243" t="s">
        <v>282</v>
      </c>
      <c r="K4751" s="63" t="s">
        <v>5340</v>
      </c>
      <c r="L4751" s="58" t="s">
        <v>2737</v>
      </c>
      <c r="M4751" s="94">
        <v>36.75</v>
      </c>
      <c r="N4751" s="94">
        <v>-120.38</v>
      </c>
      <c r="O4751" s="94">
        <v>53</v>
      </c>
      <c r="P4751" s="244">
        <v>17.3</v>
      </c>
      <c r="Q4751" s="58"/>
      <c r="R4751" s="244">
        <v>1958</v>
      </c>
      <c r="S4751" s="94"/>
      <c r="T4751" s="58"/>
      <c r="U4751" s="58" t="s">
        <v>1816</v>
      </c>
      <c r="V4751" s="244">
        <v>4</v>
      </c>
      <c r="W4751" s="174"/>
      <c r="X4751" s="174"/>
      <c r="Y4751" s="58" t="s">
        <v>1920</v>
      </c>
      <c r="Z4751" s="244" t="s">
        <v>1349</v>
      </c>
      <c r="AA4751" s="245">
        <v>15</v>
      </c>
      <c r="AB4751" s="67">
        <v>26.2</v>
      </c>
      <c r="AC4751" s="67" t="s">
        <v>7001</v>
      </c>
      <c r="AD4751" s="94"/>
      <c r="AE4751" s="94"/>
      <c r="AF4751" s="94"/>
      <c r="AG4751" s="245"/>
      <c r="AH4751" s="58"/>
      <c r="AI4751" s="169"/>
      <c r="AJ4751" s="94"/>
      <c r="AK4751" s="94"/>
      <c r="AL4751" s="58"/>
      <c r="AM4751" s="58"/>
      <c r="AN4751" s="186" t="s">
        <v>5337</v>
      </c>
      <c r="AO4751" s="185" t="s">
        <v>5150</v>
      </c>
      <c r="AP4751" s="58"/>
      <c r="AQ4751" s="58" t="s">
        <v>4584</v>
      </c>
      <c r="AR4751" s="58" t="s">
        <v>5338</v>
      </c>
      <c r="AS4751" s="246" t="s">
        <v>4584</v>
      </c>
      <c r="AT4751" s="247">
        <v>1</v>
      </c>
      <c r="AU4751" s="181" t="s">
        <v>7494</v>
      </c>
      <c r="AV4751" s="185" t="s">
        <v>176</v>
      </c>
      <c r="AW4751" s="244">
        <v>0</v>
      </c>
      <c r="AX4751" s="185" t="s">
        <v>176</v>
      </c>
      <c r="AY4751" s="244" t="s">
        <v>5150</v>
      </c>
      <c r="AZ4751" s="58" t="s">
        <v>4530</v>
      </c>
      <c r="BA4751" s="58" t="s">
        <v>5339</v>
      </c>
      <c r="BB4751" s="58" t="s">
        <v>2081</v>
      </c>
      <c r="BC4751" s="58" t="s">
        <v>4499</v>
      </c>
      <c r="BD4751" s="58" t="s">
        <v>479</v>
      </c>
      <c r="BE4751" s="236" t="s">
        <v>5153</v>
      </c>
      <c r="BF4751" s="191" t="s">
        <v>176</v>
      </c>
      <c r="BG4751" s="191" t="s">
        <v>176</v>
      </c>
      <c r="BH4751" s="236" t="s">
        <v>5155</v>
      </c>
      <c r="BI4751" s="191" t="s">
        <v>479</v>
      </c>
      <c r="BJ4751" s="58" t="str">
        <f>IF(BE4751=BH4751,"No","yes")</f>
        <v>yes</v>
      </c>
      <c r="BK4751" s="58" t="s">
        <v>6335</v>
      </c>
      <c r="BL4751" s="58"/>
      <c r="BM4751" s="237" t="s">
        <v>160</v>
      </c>
      <c r="BN4751" s="244">
        <v>6</v>
      </c>
      <c r="BO4751" s="244">
        <v>6</v>
      </c>
      <c r="BP4751" s="58"/>
      <c r="BQ4751" s="58"/>
      <c r="BR4751" s="58"/>
      <c r="BS4751" s="58"/>
      <c r="BT4751" s="58"/>
      <c r="BU4751" s="58"/>
      <c r="BV4751" s="58" t="s">
        <v>5633</v>
      </c>
      <c r="BW4751" s="67"/>
      <c r="BX4751" s="67"/>
      <c r="BY4751" s="67"/>
      <c r="BZ4751" s="67"/>
      <c r="CA4751" s="67"/>
      <c r="CB4751" s="70"/>
      <c r="CC4751" s="70"/>
      <c r="CD4751" s="70"/>
      <c r="CE4751" s="67"/>
      <c r="CF4751" s="67"/>
      <c r="CG4751" s="67"/>
      <c r="CH4751" s="245">
        <v>1.28</v>
      </c>
      <c r="CI4751" s="245">
        <v>1.2</v>
      </c>
      <c r="CJ4751" s="67"/>
      <c r="CK4751" s="67"/>
      <c r="CL4751" s="67"/>
      <c r="CM4751" s="242">
        <v>1.49</v>
      </c>
      <c r="CN4751" s="242">
        <v>2.4500000000000002</v>
      </c>
      <c r="CO4751" s="242"/>
      <c r="CP4751" s="242"/>
      <c r="CQ4751" s="242" t="s">
        <v>164</v>
      </c>
      <c r="CR4751" s="67"/>
      <c r="CS4751" s="67"/>
      <c r="CT4751" s="242"/>
      <c r="CU4751" s="242"/>
      <c r="CV4751" s="242" t="s">
        <v>5151</v>
      </c>
      <c r="CW4751" s="242"/>
      <c r="CX4751" s="242"/>
      <c r="CY4751" s="242"/>
      <c r="CZ4751" s="242"/>
      <c r="DA4751" s="67" t="s">
        <v>5443</v>
      </c>
      <c r="DB4751" s="67">
        <v>1.9</v>
      </c>
      <c r="DC4751" s="67">
        <v>2.7</v>
      </c>
      <c r="DD4751" s="67"/>
      <c r="DE4751" s="67"/>
      <c r="DF4751" s="67" t="s">
        <v>5627</v>
      </c>
      <c r="DG4751" s="67">
        <v>59</v>
      </c>
      <c r="DH4751" s="67">
        <v>142</v>
      </c>
      <c r="DI4751" s="67"/>
      <c r="DJ4751" s="67"/>
      <c r="DK4751" s="67" t="s">
        <v>5631</v>
      </c>
      <c r="DL4751" s="67">
        <v>6.5</v>
      </c>
      <c r="DM4751" s="67">
        <v>27.2</v>
      </c>
      <c r="DN4751" s="67"/>
      <c r="DO4751" s="67"/>
      <c r="DP4751" s="67" t="s">
        <v>2242</v>
      </c>
      <c r="DQ4751" s="166">
        <v>7.6</v>
      </c>
      <c r="DR4751" s="166">
        <v>7.4</v>
      </c>
      <c r="DS4751" s="163"/>
      <c r="DT4751" s="163"/>
      <c r="DU4751" s="67"/>
      <c r="DV4751" s="67">
        <v>26.2</v>
      </c>
      <c r="DW4751" s="67">
        <v>32.299999999999997</v>
      </c>
      <c r="DX4751" s="67"/>
      <c r="DY4751" s="67"/>
      <c r="DZ4751" s="67" t="s">
        <v>3360</v>
      </c>
      <c r="EA4751" s="67">
        <v>0.7</v>
      </c>
      <c r="EB4751" s="67">
        <v>1.8</v>
      </c>
      <c r="EC4751" s="67"/>
      <c r="ED4751" s="67"/>
      <c r="EE4751" s="67" t="s">
        <v>5628</v>
      </c>
      <c r="EF4751" s="67"/>
      <c r="EG4751" s="67"/>
      <c r="EH4751" s="67"/>
      <c r="EI4751" s="67"/>
      <c r="EJ4751" s="67"/>
      <c r="EK4751" s="94">
        <v>84.5</v>
      </c>
      <c r="EL4751" s="94">
        <v>94</v>
      </c>
      <c r="EM4751" s="67"/>
      <c r="EN4751" s="67"/>
      <c r="EO4751" s="67" t="s">
        <v>5630</v>
      </c>
      <c r="EP4751" s="67"/>
      <c r="EQ4751" s="67"/>
      <c r="ER4751" s="67"/>
      <c r="ES4751" s="67"/>
      <c r="ET4751" s="67"/>
      <c r="EU4751" s="67"/>
      <c r="EV4751" s="67"/>
      <c r="EW4751" s="67"/>
      <c r="EX4751" s="67"/>
      <c r="EY4751" s="67"/>
      <c r="EZ4751" s="67"/>
      <c r="FA4751" s="67"/>
      <c r="FB4751" s="67"/>
      <c r="FC4751" s="67"/>
      <c r="FD4751" s="67"/>
      <c r="FE4751" s="67"/>
      <c r="FF4751" s="67"/>
      <c r="FG4751" s="67"/>
      <c r="FH4751" s="67"/>
      <c r="FI4751" s="67"/>
      <c r="FJ4751" s="67"/>
      <c r="FK4751" s="67"/>
      <c r="FL4751" s="67"/>
      <c r="FM4751" s="67"/>
      <c r="FN4751" s="67"/>
      <c r="FO4751" s="67"/>
      <c r="FP4751" s="67"/>
      <c r="FQ4751" s="67"/>
      <c r="FR4751" s="67"/>
      <c r="FS4751" s="67"/>
      <c r="FT4751" s="67"/>
      <c r="FU4751" s="67"/>
      <c r="FV4751" s="67"/>
      <c r="FW4751" s="67"/>
      <c r="FX4751" s="67"/>
      <c r="FY4751" s="67"/>
      <c r="FZ4751" s="67"/>
      <c r="GA4751" s="67"/>
      <c r="GB4751" s="67"/>
      <c r="GC4751" s="67"/>
      <c r="GD4751" s="67"/>
      <c r="GE4751" s="67"/>
      <c r="GF4751" s="67"/>
      <c r="GG4751" s="67"/>
      <c r="GH4751" s="67"/>
      <c r="GI4751" s="67"/>
      <c r="GJ4751" s="67"/>
      <c r="GK4751" s="67"/>
      <c r="GL4751" s="67"/>
      <c r="GM4751" s="67"/>
      <c r="GN4751" s="292"/>
      <c r="GO4751" s="292"/>
      <c r="GP4751" s="292" t="s">
        <v>7494</v>
      </c>
      <c r="GQ4751" s="67"/>
      <c r="GR4751" s="67"/>
      <c r="GS4751" s="67"/>
      <c r="GT4751" s="67"/>
      <c r="GU4751" s="67"/>
      <c r="GV4751" s="67"/>
      <c r="GW4751" s="67"/>
      <c r="GX4751" s="67"/>
      <c r="GY4751" s="67"/>
      <c r="GZ4751" s="67"/>
      <c r="HA4751" s="67"/>
      <c r="HB4751" s="67"/>
      <c r="HC4751" s="67"/>
      <c r="HD4751" s="67"/>
      <c r="HE4751" s="67"/>
      <c r="HF4751" s="67"/>
      <c r="HG4751" s="67"/>
      <c r="HH4751" s="67"/>
      <c r="HI4751" s="67"/>
      <c r="HJ4751" s="67"/>
      <c r="HK4751" s="67"/>
      <c r="HL4751" s="67"/>
      <c r="HM4751" s="67"/>
      <c r="HN4751" s="67"/>
      <c r="HO4751" s="67"/>
      <c r="HP4751" s="67"/>
      <c r="HQ4751" s="67"/>
      <c r="HR4751" s="67"/>
      <c r="HS4751" s="67"/>
      <c r="HT4751" s="67"/>
      <c r="HU4751" s="67"/>
      <c r="HV4751" s="67"/>
      <c r="HW4751" s="67"/>
      <c r="HX4751" s="67"/>
      <c r="HY4751" s="67"/>
      <c r="HZ4751" s="67"/>
      <c r="IA4751" s="67"/>
      <c r="IB4751" s="67"/>
      <c r="IC4751" s="67">
        <v>11.7</v>
      </c>
      <c r="ID4751" s="67">
        <v>60.9</v>
      </c>
      <c r="IE4751" s="67"/>
      <c r="IF4751" s="67"/>
      <c r="IG4751" s="67" t="s">
        <v>5632</v>
      </c>
      <c r="IH4751" s="67"/>
      <c r="II4751" s="67"/>
      <c r="IJ4751" s="67"/>
      <c r="IK4751" s="67"/>
      <c r="IL4751" s="67"/>
      <c r="IM4751" s="67"/>
      <c r="IN4751" s="67"/>
      <c r="IO4751" s="67"/>
      <c r="IP4751" s="67"/>
      <c r="IQ4751" s="67"/>
      <c r="IR4751" s="67"/>
      <c r="IS4751" s="67"/>
      <c r="IT4751" s="67"/>
      <c r="IU4751" s="67"/>
      <c r="IV4751" s="67"/>
      <c r="IW4751" s="67"/>
      <c r="IX4751" s="67"/>
      <c r="IY4751" s="67"/>
      <c r="IZ4751" s="67"/>
      <c r="JA4751" s="67"/>
      <c r="JB4751" s="67"/>
      <c r="JC4751" s="67"/>
      <c r="JD4751" s="67"/>
      <c r="JE4751" s="67"/>
      <c r="JF4751" s="67"/>
      <c r="JG4751" s="67">
        <v>353</v>
      </c>
      <c r="JH4751" s="67">
        <v>795</v>
      </c>
      <c r="JI4751" s="67"/>
      <c r="JJ4751" s="67"/>
      <c r="JK4751" s="67" t="s">
        <v>964</v>
      </c>
      <c r="JL4751" s="67">
        <v>71</v>
      </c>
      <c r="JM4751" s="67">
        <v>164</v>
      </c>
      <c r="JN4751" s="67"/>
      <c r="JO4751" s="67"/>
      <c r="JP4751" s="67" t="s">
        <v>964</v>
      </c>
      <c r="JQ4751" s="67">
        <v>99999</v>
      </c>
      <c r="JR4751" s="67"/>
      <c r="JS4751" s="67"/>
      <c r="JT4751" s="67"/>
      <c r="JU4751" s="58" t="s">
        <v>5629</v>
      </c>
      <c r="JV4751" s="58"/>
      <c r="JW4751" s="58"/>
    </row>
    <row r="4752" spans="1:283" s="23" customFormat="1" x14ac:dyDescent="0.25">
      <c r="A4752" s="55">
        <v>4751</v>
      </c>
      <c r="B4752" s="12" t="s">
        <v>7067</v>
      </c>
      <c r="C4752" s="156">
        <v>208</v>
      </c>
      <c r="D4752" s="58" t="s">
        <v>4868</v>
      </c>
      <c r="E4752" s="160" t="str">
        <f>G4752</f>
        <v>Armstrong et al. 2000_horticulture</v>
      </c>
      <c r="F4752" s="160"/>
      <c r="G4752" s="60" t="s">
        <v>4864</v>
      </c>
      <c r="H4752" s="58">
        <v>2000</v>
      </c>
      <c r="I4752" s="58" t="s">
        <v>2046</v>
      </c>
      <c r="J4752" s="243" t="s">
        <v>350</v>
      </c>
      <c r="K4752" s="63" t="s">
        <v>5131</v>
      </c>
      <c r="L4752" s="58" t="s">
        <v>5327</v>
      </c>
      <c r="M4752" s="94">
        <v>51.24</v>
      </c>
      <c r="N4752" s="94">
        <v>-0.56999999999999995</v>
      </c>
      <c r="O4752" s="94">
        <v>31</v>
      </c>
      <c r="P4752" s="244"/>
      <c r="Q4752" s="58"/>
      <c r="R4752" s="244"/>
      <c r="S4752" s="94"/>
      <c r="T4752" s="58"/>
      <c r="U4752" s="244">
        <v>3</v>
      </c>
      <c r="V4752" s="244">
        <v>3</v>
      </c>
      <c r="W4752" s="174"/>
      <c r="X4752" s="174"/>
      <c r="Y4752" s="58" t="s">
        <v>5878</v>
      </c>
      <c r="Z4752" s="244" t="s">
        <v>5903</v>
      </c>
      <c r="AA4752" s="245">
        <f>AVERAGE(8.49,7.23)</f>
        <v>7.86</v>
      </c>
      <c r="AB4752" s="67">
        <v>8.73</v>
      </c>
      <c r="AC4752" s="67" t="s">
        <v>5905</v>
      </c>
      <c r="AD4752" s="94"/>
      <c r="AE4752" s="94"/>
      <c r="AF4752" s="94"/>
      <c r="AG4752" s="245"/>
      <c r="AH4752" s="58"/>
      <c r="AI4752" s="169"/>
      <c r="AJ4752" s="242">
        <v>1.51162790697674</v>
      </c>
      <c r="AK4752" s="242">
        <v>3.0930232558139501</v>
      </c>
      <c r="AL4752" s="58"/>
      <c r="AM4752" s="58"/>
      <c r="AN4752" s="186" t="s">
        <v>4584</v>
      </c>
      <c r="AO4752" s="185" t="s">
        <v>5150</v>
      </c>
      <c r="AP4752" s="58"/>
      <c r="AQ4752" s="58" t="s">
        <v>4584</v>
      </c>
      <c r="AR4752" s="58"/>
      <c r="AS4752" s="246" t="s">
        <v>227</v>
      </c>
      <c r="AT4752" s="247"/>
      <c r="AU4752" s="181" t="s">
        <v>7494</v>
      </c>
      <c r="AV4752" s="185" t="s">
        <v>176</v>
      </c>
      <c r="AW4752" s="244"/>
      <c r="AX4752" s="185" t="s">
        <v>176</v>
      </c>
      <c r="AY4752" s="244"/>
      <c r="AZ4752" s="58"/>
      <c r="BA4752" s="58"/>
      <c r="BB4752" s="58"/>
      <c r="BC4752" s="58"/>
      <c r="BD4752" s="58"/>
      <c r="BE4752" s="236" t="s">
        <v>5153</v>
      </c>
      <c r="BF4752" s="191" t="s">
        <v>176</v>
      </c>
      <c r="BG4752" s="191" t="s">
        <v>176</v>
      </c>
      <c r="BH4752" s="236" t="s">
        <v>5153</v>
      </c>
      <c r="BI4752" s="191" t="s">
        <v>176</v>
      </c>
      <c r="BJ4752" s="58" t="str">
        <f>IF(BE4752=BH4752,"No","yes")</f>
        <v>No</v>
      </c>
      <c r="BK4752" s="58" t="s">
        <v>5976</v>
      </c>
      <c r="BL4752" s="58"/>
      <c r="BM4752" s="237"/>
      <c r="BN4752" s="244">
        <v>3</v>
      </c>
      <c r="BO4752" s="244">
        <v>9</v>
      </c>
      <c r="BP4752" s="58"/>
      <c r="BQ4752" s="58"/>
      <c r="BR4752" s="58"/>
      <c r="BS4752" s="58"/>
      <c r="BT4752" s="58"/>
      <c r="BU4752" s="58"/>
      <c r="BV4752" s="58"/>
      <c r="BW4752" s="67"/>
      <c r="BX4752" s="67"/>
      <c r="BY4752" s="67"/>
      <c r="BZ4752" s="67"/>
      <c r="CA4752" s="67"/>
      <c r="CB4752" s="70"/>
      <c r="CC4752" s="70"/>
      <c r="CD4752" s="70"/>
      <c r="CE4752" s="67"/>
      <c r="CF4752" s="67"/>
      <c r="CG4752" s="67"/>
      <c r="CH4752" s="245"/>
      <c r="CI4752" s="245"/>
      <c r="CJ4752" s="67"/>
      <c r="CK4752" s="67"/>
      <c r="CL4752" s="67"/>
      <c r="CM4752" s="242">
        <v>1.51162790697674</v>
      </c>
      <c r="CN4752" s="242">
        <v>2.3837209302325499</v>
      </c>
      <c r="CO4752" s="242">
        <v>0.35465116279069769</v>
      </c>
      <c r="CP4752" s="242">
        <v>0.97674418604651159</v>
      </c>
      <c r="CQ4752" s="242" t="s">
        <v>164</v>
      </c>
      <c r="CR4752" s="242"/>
      <c r="CS4752" s="242"/>
      <c r="CT4752" s="242"/>
      <c r="CU4752" s="242"/>
      <c r="CV4752" s="242"/>
      <c r="CW4752" s="242"/>
      <c r="CX4752" s="242"/>
      <c r="CY4752" s="242"/>
      <c r="CZ4752" s="242"/>
      <c r="DA4752" s="67" t="s">
        <v>5443</v>
      </c>
      <c r="DB4752" s="67"/>
      <c r="DC4752" s="67"/>
      <c r="DD4752" s="67"/>
      <c r="DE4752" s="67"/>
      <c r="DF4752" s="67"/>
      <c r="DG4752" s="67"/>
      <c r="DH4752" s="67"/>
      <c r="DI4752" s="67"/>
      <c r="DJ4752" s="67"/>
      <c r="DK4752" s="67"/>
      <c r="DL4752" s="67"/>
      <c r="DM4752" s="67"/>
      <c r="DN4752" s="67"/>
      <c r="DO4752" s="67"/>
      <c r="DP4752" s="67"/>
      <c r="DQ4752" s="166">
        <v>6.21</v>
      </c>
      <c r="DR4752" s="166">
        <v>7.01</v>
      </c>
      <c r="DS4752" s="163">
        <v>0.26</v>
      </c>
      <c r="DT4752" s="163">
        <v>0.31</v>
      </c>
      <c r="DU4752" s="67"/>
      <c r="DV4752" s="67">
        <v>8.73</v>
      </c>
      <c r="DW4752" s="67">
        <v>17</v>
      </c>
      <c r="DX4752" s="67">
        <v>5.92</v>
      </c>
      <c r="DY4752" s="67">
        <v>7.31</v>
      </c>
      <c r="DZ4752" s="67" t="s">
        <v>5905</v>
      </c>
      <c r="EA4752" s="67"/>
      <c r="EB4752" s="67"/>
      <c r="EC4752" s="67"/>
      <c r="ED4752" s="67"/>
      <c r="EE4752" s="67"/>
      <c r="EF4752" s="67"/>
      <c r="EG4752" s="67"/>
      <c r="EH4752" s="67"/>
      <c r="EI4752" s="67"/>
      <c r="EJ4752" s="67"/>
      <c r="EK4752" s="94">
        <v>99.7</v>
      </c>
      <c r="EL4752" s="94">
        <v>138.33000000000001</v>
      </c>
      <c r="EM4752" s="67">
        <v>56.43</v>
      </c>
      <c r="EN4752" s="67">
        <v>95.2</v>
      </c>
      <c r="EO4752" s="67" t="s">
        <v>5904</v>
      </c>
      <c r="EP4752" s="67">
        <v>17.579999999999998</v>
      </c>
      <c r="EQ4752" s="67">
        <v>22.74</v>
      </c>
      <c r="ER4752" s="67">
        <v>10.5</v>
      </c>
      <c r="ES4752" s="67">
        <v>8.7200000000000006</v>
      </c>
      <c r="ET4752" s="67" t="s">
        <v>5906</v>
      </c>
      <c r="EU4752" s="67"/>
      <c r="EV4752" s="67"/>
      <c r="EW4752" s="67"/>
      <c r="EX4752" s="67"/>
      <c r="EY4752" s="67"/>
      <c r="EZ4752" s="67"/>
      <c r="FA4752" s="67"/>
      <c r="FB4752" s="67"/>
      <c r="FC4752" s="67"/>
      <c r="FD4752" s="67"/>
      <c r="FE4752" s="67"/>
      <c r="FF4752" s="67"/>
      <c r="FG4752" s="67"/>
      <c r="FH4752" s="67"/>
      <c r="FI4752" s="67"/>
      <c r="FJ4752" s="67"/>
      <c r="FK4752" s="67"/>
      <c r="FL4752" s="67"/>
      <c r="FM4752" s="67"/>
      <c r="FN4752" s="67"/>
      <c r="FO4752" s="67"/>
      <c r="FP4752" s="67"/>
      <c r="FQ4752" s="67"/>
      <c r="FR4752" s="67"/>
      <c r="FS4752" s="67"/>
      <c r="FT4752" s="67"/>
      <c r="FU4752" s="67"/>
      <c r="FV4752" s="67"/>
      <c r="FW4752" s="67"/>
      <c r="FX4752" s="67"/>
      <c r="FY4752" s="67"/>
      <c r="FZ4752" s="67"/>
      <c r="GA4752" s="67"/>
      <c r="GB4752" s="67"/>
      <c r="GC4752" s="67"/>
      <c r="GD4752" s="67"/>
      <c r="GE4752" s="67"/>
      <c r="GF4752" s="67"/>
      <c r="GG4752" s="67"/>
      <c r="GH4752" s="67"/>
      <c r="GI4752" s="67">
        <v>11.7</v>
      </c>
      <c r="GJ4752" s="67">
        <v>15.73</v>
      </c>
      <c r="GK4752" s="67">
        <v>2.78</v>
      </c>
      <c r="GL4752" s="67">
        <v>7.19</v>
      </c>
      <c r="GM4752" s="67" t="s">
        <v>5907</v>
      </c>
      <c r="GN4752" s="292"/>
      <c r="GO4752" s="292"/>
      <c r="GP4752" s="292" t="s">
        <v>7494</v>
      </c>
      <c r="GQ4752" s="67"/>
      <c r="GR4752" s="67"/>
      <c r="GS4752" s="67"/>
      <c r="GT4752" s="67"/>
      <c r="GU4752" s="67"/>
      <c r="GV4752" s="67"/>
      <c r="GW4752" s="67"/>
      <c r="GX4752" s="67"/>
      <c r="GY4752" s="67"/>
      <c r="GZ4752" s="67"/>
      <c r="HA4752" s="67"/>
      <c r="HB4752" s="67"/>
      <c r="HC4752" s="67"/>
      <c r="HD4752" s="67"/>
      <c r="HE4752" s="67"/>
      <c r="HF4752" s="67"/>
      <c r="HG4752" s="67"/>
      <c r="HH4752" s="67"/>
      <c r="HI4752" s="67"/>
      <c r="HJ4752" s="67"/>
      <c r="HK4752" s="67"/>
      <c r="HL4752" s="67"/>
      <c r="HM4752" s="67"/>
      <c r="HN4752" s="67"/>
      <c r="HO4752" s="67"/>
      <c r="HP4752" s="67"/>
      <c r="HQ4752" s="67"/>
      <c r="HR4752" s="67"/>
      <c r="HS4752" s="67"/>
      <c r="HT4752" s="67"/>
      <c r="HU4752" s="67"/>
      <c r="HV4752" s="67"/>
      <c r="HW4752" s="67"/>
      <c r="HX4752" s="67"/>
      <c r="HY4752" s="67"/>
      <c r="HZ4752" s="67"/>
      <c r="IA4752" s="67"/>
      <c r="IB4752" s="67"/>
      <c r="IC4752" s="67"/>
      <c r="ID4752" s="67"/>
      <c r="IE4752" s="67"/>
      <c r="IF4752" s="67"/>
      <c r="IG4752" s="67"/>
      <c r="IH4752" s="67"/>
      <c r="II4752" s="67"/>
      <c r="IJ4752" s="67"/>
      <c r="IK4752" s="67"/>
      <c r="IL4752" s="67"/>
      <c r="IM4752" s="67"/>
      <c r="IN4752" s="67"/>
      <c r="IO4752" s="67"/>
      <c r="IP4752" s="67"/>
      <c r="IQ4752" s="67"/>
      <c r="IR4752" s="67"/>
      <c r="IS4752" s="67"/>
      <c r="IT4752" s="67"/>
      <c r="IU4752" s="67"/>
      <c r="IV4752" s="67"/>
      <c r="IW4752" s="67"/>
      <c r="IX4752" s="67"/>
      <c r="IY4752" s="67"/>
      <c r="IZ4752" s="67"/>
      <c r="JA4752" s="67"/>
      <c r="JB4752" s="67"/>
      <c r="JC4752" s="67"/>
      <c r="JD4752" s="67"/>
      <c r="JE4752" s="67"/>
      <c r="JF4752" s="67"/>
      <c r="JG4752" s="67"/>
      <c r="JH4752" s="67"/>
      <c r="JI4752" s="67"/>
      <c r="JJ4752" s="67"/>
      <c r="JK4752" s="67"/>
      <c r="JL4752" s="67"/>
      <c r="JM4752" s="67"/>
      <c r="JN4752" s="67"/>
      <c r="JO4752" s="67"/>
      <c r="JP4752" s="67"/>
      <c r="JQ4752" s="67"/>
      <c r="JR4752" s="67"/>
      <c r="JS4752" s="67"/>
      <c r="JT4752" s="67"/>
      <c r="JU4752" s="58"/>
      <c r="JV4752" s="58"/>
      <c r="JW4752" s="58"/>
    </row>
    <row r="4753" spans="1:283" s="23" customFormat="1" x14ac:dyDescent="0.25">
      <c r="A4753" s="55">
        <v>4752</v>
      </c>
      <c r="B4753" s="12" t="s">
        <v>7067</v>
      </c>
      <c r="C4753" s="156">
        <v>208</v>
      </c>
      <c r="D4753" s="58" t="s">
        <v>4869</v>
      </c>
      <c r="E4753" s="160" t="str">
        <f>G4753</f>
        <v>Armstrong et al. 2000_arable</v>
      </c>
      <c r="F4753" s="160"/>
      <c r="G4753" s="60" t="s">
        <v>4865</v>
      </c>
      <c r="H4753" s="58">
        <v>2000</v>
      </c>
      <c r="I4753" s="58" t="s">
        <v>2046</v>
      </c>
      <c r="J4753" s="243" t="s">
        <v>350</v>
      </c>
      <c r="K4753" s="63" t="s">
        <v>5131</v>
      </c>
      <c r="L4753" s="58" t="s">
        <v>5327</v>
      </c>
      <c r="M4753" s="94">
        <v>51.24</v>
      </c>
      <c r="N4753" s="94">
        <v>-0.56999999999999995</v>
      </c>
      <c r="O4753" s="94">
        <v>31</v>
      </c>
      <c r="P4753" s="244"/>
      <c r="Q4753" s="58"/>
      <c r="R4753" s="244"/>
      <c r="S4753" s="94"/>
      <c r="T4753" s="58"/>
      <c r="U4753" s="244">
        <v>3</v>
      </c>
      <c r="V4753" s="244">
        <v>3</v>
      </c>
      <c r="W4753" s="174"/>
      <c r="X4753" s="174"/>
      <c r="Y4753" s="58" t="s">
        <v>5878</v>
      </c>
      <c r="Z4753" s="244" t="s">
        <v>5903</v>
      </c>
      <c r="AA4753" s="245">
        <f>AVERAGE(8.26,7.67)</f>
        <v>7.9649999999999999</v>
      </c>
      <c r="AB4753" s="67">
        <v>15.58</v>
      </c>
      <c r="AC4753" s="67" t="s">
        <v>5905</v>
      </c>
      <c r="AD4753" s="94"/>
      <c r="AE4753" s="94"/>
      <c r="AF4753" s="94"/>
      <c r="AG4753" s="245"/>
      <c r="AH4753" s="58"/>
      <c r="AI4753" s="169"/>
      <c r="AJ4753" s="242">
        <v>1.7674418604651101</v>
      </c>
      <c r="AK4753" s="242">
        <v>3.0930232558139501</v>
      </c>
      <c r="AL4753" s="58"/>
      <c r="AM4753" s="58"/>
      <c r="AN4753" s="186" t="s">
        <v>4584</v>
      </c>
      <c r="AO4753" s="185" t="s">
        <v>5150</v>
      </c>
      <c r="AP4753" s="58"/>
      <c r="AQ4753" s="58" t="s">
        <v>4584</v>
      </c>
      <c r="AR4753" s="58"/>
      <c r="AS4753" s="246" t="s">
        <v>5133</v>
      </c>
      <c r="AT4753" s="247"/>
      <c r="AU4753" s="181" t="s">
        <v>7494</v>
      </c>
      <c r="AV4753" s="185" t="s">
        <v>176</v>
      </c>
      <c r="AW4753" s="244"/>
      <c r="AX4753" s="185" t="s">
        <v>176</v>
      </c>
      <c r="AY4753" s="244"/>
      <c r="AZ4753" s="58"/>
      <c r="BA4753" s="58"/>
      <c r="BB4753" s="58"/>
      <c r="BC4753" s="58"/>
      <c r="BD4753" s="58"/>
      <c r="BE4753" s="236" t="s">
        <v>5153</v>
      </c>
      <c r="BF4753" s="191" t="s">
        <v>176</v>
      </c>
      <c r="BG4753" s="191" t="s">
        <v>176</v>
      </c>
      <c r="BH4753" s="236" t="s">
        <v>5153</v>
      </c>
      <c r="BI4753" s="191" t="s">
        <v>176</v>
      </c>
      <c r="BJ4753" s="58" t="str">
        <f>IF(BE4753=BH4753,"No","yes")</f>
        <v>No</v>
      </c>
      <c r="BK4753" s="58" t="s">
        <v>5976</v>
      </c>
      <c r="BL4753" s="58"/>
      <c r="BM4753" s="237"/>
      <c r="BN4753" s="244">
        <v>21</v>
      </c>
      <c r="BO4753" s="244">
        <v>13</v>
      </c>
      <c r="BP4753" s="58"/>
      <c r="BQ4753" s="58"/>
      <c r="BR4753" s="58"/>
      <c r="BS4753" s="58"/>
      <c r="BT4753" s="58"/>
      <c r="BU4753" s="58"/>
      <c r="BV4753" s="58"/>
      <c r="BW4753" s="67"/>
      <c r="BX4753" s="67"/>
      <c r="BY4753" s="67"/>
      <c r="BZ4753" s="67"/>
      <c r="CA4753" s="67"/>
      <c r="CB4753" s="70"/>
      <c r="CC4753" s="70"/>
      <c r="CD4753" s="70"/>
      <c r="CE4753" s="67"/>
      <c r="CF4753" s="67"/>
      <c r="CG4753" s="67"/>
      <c r="CH4753" s="245"/>
      <c r="CI4753" s="245"/>
      <c r="CJ4753" s="67"/>
      <c r="CK4753" s="67"/>
      <c r="CL4753" s="67"/>
      <c r="CM4753" s="242">
        <v>1.7674418604651101</v>
      </c>
      <c r="CN4753" s="242">
        <v>2.3720930232558102</v>
      </c>
      <c r="CO4753" s="242">
        <v>0.60465116279069775</v>
      </c>
      <c r="CP4753" s="242">
        <v>1.1453488372093024</v>
      </c>
      <c r="CQ4753" s="242" t="s">
        <v>164</v>
      </c>
      <c r="CR4753" s="242"/>
      <c r="CS4753" s="242"/>
      <c r="CT4753" s="242"/>
      <c r="CU4753" s="242"/>
      <c r="CV4753" s="242"/>
      <c r="CW4753" s="242"/>
      <c r="CX4753" s="242"/>
      <c r="CY4753" s="242"/>
      <c r="CZ4753" s="242"/>
      <c r="DA4753" s="67" t="s">
        <v>5443</v>
      </c>
      <c r="DB4753" s="67"/>
      <c r="DC4753" s="67"/>
      <c r="DD4753" s="67"/>
      <c r="DE4753" s="67"/>
      <c r="DF4753" s="67"/>
      <c r="DG4753" s="67"/>
      <c r="DH4753" s="67"/>
      <c r="DI4753" s="67"/>
      <c r="DJ4753" s="67"/>
      <c r="DK4753" s="67"/>
      <c r="DL4753" s="67"/>
      <c r="DM4753" s="67"/>
      <c r="DN4753" s="67"/>
      <c r="DO4753" s="67"/>
      <c r="DP4753" s="67"/>
      <c r="DQ4753" s="166">
        <v>7.13</v>
      </c>
      <c r="DR4753" s="166">
        <v>7.29</v>
      </c>
      <c r="DS4753" s="163">
        <v>0.66</v>
      </c>
      <c r="DT4753" s="163">
        <v>0.56999999999999995</v>
      </c>
      <c r="DU4753" s="67"/>
      <c r="DV4753" s="67">
        <v>15.58</v>
      </c>
      <c r="DW4753" s="67">
        <v>19.37</v>
      </c>
      <c r="DX4753" s="67">
        <v>6.06</v>
      </c>
      <c r="DY4753" s="67">
        <v>8.51</v>
      </c>
      <c r="DZ4753" s="67" t="s">
        <v>5905</v>
      </c>
      <c r="EA4753" s="67"/>
      <c r="EB4753" s="67"/>
      <c r="EC4753" s="67"/>
      <c r="ED4753" s="67"/>
      <c r="EE4753" s="67"/>
      <c r="EF4753" s="67"/>
      <c r="EG4753" s="67"/>
      <c r="EH4753" s="67"/>
      <c r="EI4753" s="67"/>
      <c r="EJ4753" s="67"/>
      <c r="EK4753" s="94">
        <v>155.16</v>
      </c>
      <c r="EL4753" s="94">
        <v>107.03</v>
      </c>
      <c r="EM4753" s="67">
        <v>103</v>
      </c>
      <c r="EN4753" s="67">
        <v>58.3</v>
      </c>
      <c r="EO4753" s="67" t="s">
        <v>5904</v>
      </c>
      <c r="EP4753" s="67">
        <v>18.3</v>
      </c>
      <c r="EQ4753" s="67">
        <v>20.18</v>
      </c>
      <c r="ER4753" s="67">
        <v>8.61</v>
      </c>
      <c r="ES4753" s="67">
        <v>9.25</v>
      </c>
      <c r="ET4753" s="67" t="s">
        <v>5906</v>
      </c>
      <c r="EU4753" s="67"/>
      <c r="EV4753" s="67"/>
      <c r="EW4753" s="67"/>
      <c r="EX4753" s="67"/>
      <c r="EY4753" s="67"/>
      <c r="EZ4753" s="67"/>
      <c r="FA4753" s="67"/>
      <c r="FB4753" s="67"/>
      <c r="FC4753" s="67"/>
      <c r="FD4753" s="67"/>
      <c r="FE4753" s="67"/>
      <c r="FF4753" s="67"/>
      <c r="FG4753" s="67"/>
      <c r="FH4753" s="67"/>
      <c r="FI4753" s="67"/>
      <c r="FJ4753" s="67"/>
      <c r="FK4753" s="67"/>
      <c r="FL4753" s="67"/>
      <c r="FM4753" s="67"/>
      <c r="FN4753" s="67"/>
      <c r="FO4753" s="67"/>
      <c r="FP4753" s="67"/>
      <c r="FQ4753" s="67"/>
      <c r="FR4753" s="67"/>
      <c r="FS4753" s="67"/>
      <c r="FT4753" s="67"/>
      <c r="FU4753" s="67"/>
      <c r="FV4753" s="67"/>
      <c r="FW4753" s="67"/>
      <c r="FX4753" s="67"/>
      <c r="FY4753" s="67"/>
      <c r="FZ4753" s="67"/>
      <c r="GA4753" s="67"/>
      <c r="GB4753" s="67"/>
      <c r="GC4753" s="67"/>
      <c r="GD4753" s="67"/>
      <c r="GE4753" s="67"/>
      <c r="GF4753" s="67"/>
      <c r="GG4753" s="67"/>
      <c r="GH4753" s="67"/>
      <c r="GI4753" s="67">
        <v>15.52</v>
      </c>
      <c r="GJ4753" s="67">
        <v>13.88</v>
      </c>
      <c r="GK4753" s="67">
        <v>6.14</v>
      </c>
      <c r="GL4753" s="67">
        <v>4.13</v>
      </c>
      <c r="GM4753" s="67" t="s">
        <v>5907</v>
      </c>
      <c r="GN4753" s="292"/>
      <c r="GO4753" s="292"/>
      <c r="GP4753" s="292" t="s">
        <v>7494</v>
      </c>
      <c r="GQ4753" s="67"/>
      <c r="GR4753" s="67"/>
      <c r="GS4753" s="67"/>
      <c r="GT4753" s="67"/>
      <c r="GU4753" s="67"/>
      <c r="GV4753" s="67"/>
      <c r="GW4753" s="67"/>
      <c r="GX4753" s="67"/>
      <c r="GY4753" s="67"/>
      <c r="GZ4753" s="67"/>
      <c r="HA4753" s="67"/>
      <c r="HB4753" s="67"/>
      <c r="HC4753" s="67"/>
      <c r="HD4753" s="67"/>
      <c r="HE4753" s="67"/>
      <c r="HF4753" s="67"/>
      <c r="HG4753" s="67"/>
      <c r="HH4753" s="67"/>
      <c r="HI4753" s="67"/>
      <c r="HJ4753" s="67"/>
      <c r="HK4753" s="67"/>
      <c r="HL4753" s="67"/>
      <c r="HM4753" s="67"/>
      <c r="HN4753" s="67"/>
      <c r="HO4753" s="67"/>
      <c r="HP4753" s="67"/>
      <c r="HQ4753" s="67"/>
      <c r="HR4753" s="67"/>
      <c r="HS4753" s="67"/>
      <c r="HT4753" s="67"/>
      <c r="HU4753" s="67"/>
      <c r="HV4753" s="67"/>
      <c r="HW4753" s="67"/>
      <c r="HX4753" s="67"/>
      <c r="HY4753" s="67"/>
      <c r="HZ4753" s="67"/>
      <c r="IA4753" s="67"/>
      <c r="IB4753" s="67"/>
      <c r="IC4753" s="67"/>
      <c r="ID4753" s="67"/>
      <c r="IE4753" s="67"/>
      <c r="IF4753" s="67"/>
      <c r="IG4753" s="67"/>
      <c r="IH4753" s="67"/>
      <c r="II4753" s="67"/>
      <c r="IJ4753" s="67"/>
      <c r="IK4753" s="67"/>
      <c r="IL4753" s="67"/>
      <c r="IM4753" s="67"/>
      <c r="IN4753" s="67"/>
      <c r="IO4753" s="67"/>
      <c r="IP4753" s="67"/>
      <c r="IQ4753" s="67"/>
      <c r="IR4753" s="67"/>
      <c r="IS4753" s="67"/>
      <c r="IT4753" s="67"/>
      <c r="IU4753" s="67"/>
      <c r="IV4753" s="67"/>
      <c r="IW4753" s="67"/>
      <c r="IX4753" s="67"/>
      <c r="IY4753" s="67"/>
      <c r="IZ4753" s="67"/>
      <c r="JA4753" s="67"/>
      <c r="JB4753" s="67"/>
      <c r="JC4753" s="67"/>
      <c r="JD4753" s="67"/>
      <c r="JE4753" s="67"/>
      <c r="JF4753" s="67"/>
      <c r="JG4753" s="67"/>
      <c r="JH4753" s="67"/>
      <c r="JI4753" s="67"/>
      <c r="JJ4753" s="67"/>
      <c r="JK4753" s="67"/>
      <c r="JL4753" s="67"/>
      <c r="JM4753" s="67"/>
      <c r="JN4753" s="67"/>
      <c r="JO4753" s="67"/>
      <c r="JP4753" s="67"/>
      <c r="JQ4753" s="67"/>
      <c r="JR4753" s="67"/>
      <c r="JS4753" s="67"/>
      <c r="JT4753" s="67"/>
      <c r="JU4753" s="58"/>
      <c r="JV4753" s="58"/>
      <c r="JW4753" s="58"/>
    </row>
    <row r="4754" spans="1:283" s="23" customFormat="1" x14ac:dyDescent="0.25">
      <c r="A4754" s="55">
        <v>4753</v>
      </c>
      <c r="B4754" s="12" t="s">
        <v>7067</v>
      </c>
      <c r="C4754" s="156">
        <v>208</v>
      </c>
      <c r="D4754" s="58" t="s">
        <v>4870</v>
      </c>
      <c r="E4754" s="160" t="str">
        <f>G4754</f>
        <v>Armstrong et al. 2000_pasture</v>
      </c>
      <c r="F4754" s="160"/>
      <c r="G4754" s="60" t="s">
        <v>4863</v>
      </c>
      <c r="H4754" s="58">
        <v>2000</v>
      </c>
      <c r="I4754" s="58" t="s">
        <v>2046</v>
      </c>
      <c r="J4754" s="243" t="s">
        <v>350</v>
      </c>
      <c r="K4754" s="63" t="s">
        <v>5131</v>
      </c>
      <c r="L4754" s="58" t="s">
        <v>5327</v>
      </c>
      <c r="M4754" s="94">
        <v>51.24</v>
      </c>
      <c r="N4754" s="94">
        <v>-0.56999999999999995</v>
      </c>
      <c r="O4754" s="94">
        <v>31</v>
      </c>
      <c r="P4754" s="244"/>
      <c r="Q4754" s="58"/>
      <c r="R4754" s="244"/>
      <c r="S4754" s="94"/>
      <c r="T4754" s="58"/>
      <c r="U4754" s="244">
        <v>3</v>
      </c>
      <c r="V4754" s="244">
        <v>3</v>
      </c>
      <c r="W4754" s="174"/>
      <c r="X4754" s="174"/>
      <c r="Y4754" s="58" t="s">
        <v>5878</v>
      </c>
      <c r="Z4754" s="244" t="s">
        <v>1349</v>
      </c>
      <c r="AA4754" s="245">
        <f>AVERAGE(27.46,4.573)</f>
        <v>16.016500000000001</v>
      </c>
      <c r="AB4754" s="67">
        <v>20.9</v>
      </c>
      <c r="AC4754" s="67" t="s">
        <v>5905</v>
      </c>
      <c r="AD4754" s="94"/>
      <c r="AE4754" s="94"/>
      <c r="AF4754" s="94"/>
      <c r="AG4754" s="245"/>
      <c r="AH4754" s="58"/>
      <c r="AI4754" s="169"/>
      <c r="AJ4754" s="242">
        <v>3.0930232558139501</v>
      </c>
      <c r="AK4754" s="242">
        <v>3.0930232558139501</v>
      </c>
      <c r="AL4754" s="58"/>
      <c r="AM4754" s="58"/>
      <c r="AN4754" s="186" t="s">
        <v>4584</v>
      </c>
      <c r="AO4754" s="185" t="s">
        <v>5150</v>
      </c>
      <c r="AP4754" s="58"/>
      <c r="AQ4754" s="58" t="s">
        <v>4584</v>
      </c>
      <c r="AR4754" s="58" t="s">
        <v>5134</v>
      </c>
      <c r="AS4754" s="246" t="s">
        <v>5529</v>
      </c>
      <c r="AT4754" s="247"/>
      <c r="AU4754" s="181" t="s">
        <v>7494</v>
      </c>
      <c r="AV4754" s="185" t="s">
        <v>176</v>
      </c>
      <c r="AW4754" s="244"/>
      <c r="AX4754" s="185" t="s">
        <v>176</v>
      </c>
      <c r="AY4754" s="244"/>
      <c r="AZ4754" s="58"/>
      <c r="BA4754" s="58"/>
      <c r="BB4754" s="58"/>
      <c r="BC4754" s="58"/>
      <c r="BD4754" s="58"/>
      <c r="BE4754" s="236" t="s">
        <v>5153</v>
      </c>
      <c r="BF4754" s="191" t="s">
        <v>176</v>
      </c>
      <c r="BG4754" s="191" t="s">
        <v>176</v>
      </c>
      <c r="BH4754" s="236" t="s">
        <v>5153</v>
      </c>
      <c r="BI4754" s="191" t="s">
        <v>176</v>
      </c>
      <c r="BJ4754" s="58" t="str">
        <f>IF(BE4754=BH4754,"No","yes")</f>
        <v>No</v>
      </c>
      <c r="BK4754" s="58" t="s">
        <v>5976</v>
      </c>
      <c r="BL4754" s="58"/>
      <c r="BM4754" s="237"/>
      <c r="BN4754" s="244">
        <v>5</v>
      </c>
      <c r="BO4754" s="244">
        <v>7</v>
      </c>
      <c r="BP4754" s="58"/>
      <c r="BQ4754" s="58"/>
      <c r="BR4754" s="58"/>
      <c r="BS4754" s="58"/>
      <c r="BT4754" s="58"/>
      <c r="BU4754" s="58"/>
      <c r="BV4754" s="58"/>
      <c r="BW4754" s="67"/>
      <c r="BX4754" s="67"/>
      <c r="BY4754" s="67"/>
      <c r="BZ4754" s="67"/>
      <c r="CA4754" s="67"/>
      <c r="CB4754" s="70"/>
      <c r="CC4754" s="70"/>
      <c r="CD4754" s="70"/>
      <c r="CE4754" s="67"/>
      <c r="CF4754" s="67"/>
      <c r="CG4754" s="67"/>
      <c r="CH4754" s="245"/>
      <c r="CI4754" s="245"/>
      <c r="CJ4754" s="67"/>
      <c r="CK4754" s="67"/>
      <c r="CL4754" s="67"/>
      <c r="CM4754" s="242">
        <v>3.0930232558139501</v>
      </c>
      <c r="CN4754" s="242">
        <v>2.75</v>
      </c>
      <c r="CO4754" s="242">
        <v>0.96511627906976738</v>
      </c>
      <c r="CP4754" s="242">
        <v>1.558139534883721</v>
      </c>
      <c r="CQ4754" s="242" t="s">
        <v>164</v>
      </c>
      <c r="CR4754" s="242"/>
      <c r="CS4754" s="242"/>
      <c r="CT4754" s="242"/>
      <c r="CU4754" s="242"/>
      <c r="CV4754" s="242"/>
      <c r="CW4754" s="242"/>
      <c r="CX4754" s="242"/>
      <c r="CY4754" s="242"/>
      <c r="CZ4754" s="242"/>
      <c r="DA4754" s="67" t="s">
        <v>5443</v>
      </c>
      <c r="DB4754" s="67"/>
      <c r="DC4754" s="67"/>
      <c r="DD4754" s="67"/>
      <c r="DE4754" s="67"/>
      <c r="DF4754" s="67"/>
      <c r="DG4754" s="67"/>
      <c r="DH4754" s="67"/>
      <c r="DI4754" s="67"/>
      <c r="DJ4754" s="67"/>
      <c r="DK4754" s="67"/>
      <c r="DL4754" s="67"/>
      <c r="DM4754" s="67"/>
      <c r="DN4754" s="67"/>
      <c r="DO4754" s="67"/>
      <c r="DP4754" s="67"/>
      <c r="DQ4754" s="166">
        <v>6.6</v>
      </c>
      <c r="DR4754" s="166">
        <v>6.15</v>
      </c>
      <c r="DS4754" s="163">
        <v>1.04</v>
      </c>
      <c r="DT4754" s="163">
        <v>0.89</v>
      </c>
      <c r="DU4754" s="67"/>
      <c r="DV4754" s="67">
        <v>20.9</v>
      </c>
      <c r="DW4754" s="67">
        <v>16.03</v>
      </c>
      <c r="DX4754" s="67">
        <v>10.31</v>
      </c>
      <c r="DY4754" s="67">
        <v>11.16</v>
      </c>
      <c r="DZ4754" s="67" t="s">
        <v>5905</v>
      </c>
      <c r="EA4754" s="67"/>
      <c r="EB4754" s="67"/>
      <c r="EC4754" s="67"/>
      <c r="ED4754" s="67"/>
      <c r="EE4754" s="67"/>
      <c r="EF4754" s="67"/>
      <c r="EG4754" s="67"/>
      <c r="EH4754" s="67"/>
      <c r="EI4754" s="67"/>
      <c r="EJ4754" s="67"/>
      <c r="EK4754" s="94">
        <v>242.53</v>
      </c>
      <c r="EL4754" s="94">
        <v>231.87</v>
      </c>
      <c r="EM4754" s="67">
        <v>134.66</v>
      </c>
      <c r="EN4754" s="67">
        <v>110.58</v>
      </c>
      <c r="EO4754" s="67" t="s">
        <v>5904</v>
      </c>
      <c r="EP4754" s="67">
        <v>17.32</v>
      </c>
      <c r="EQ4754" s="67">
        <v>19.48</v>
      </c>
      <c r="ER4754" s="67">
        <v>4.76</v>
      </c>
      <c r="ES4754" s="67">
        <v>7.77</v>
      </c>
      <c r="ET4754" s="67" t="s">
        <v>5906</v>
      </c>
      <c r="EU4754" s="67"/>
      <c r="EV4754" s="67"/>
      <c r="EW4754" s="67"/>
      <c r="EX4754" s="67"/>
      <c r="EY4754" s="67"/>
      <c r="EZ4754" s="67"/>
      <c r="FA4754" s="67"/>
      <c r="FB4754" s="67"/>
      <c r="FC4754" s="67"/>
      <c r="FD4754" s="67"/>
      <c r="FE4754" s="67"/>
      <c r="FF4754" s="67"/>
      <c r="FG4754" s="67"/>
      <c r="FH4754" s="67"/>
      <c r="FI4754" s="67"/>
      <c r="FJ4754" s="67"/>
      <c r="FK4754" s="67"/>
      <c r="FL4754" s="67"/>
      <c r="FM4754" s="67"/>
      <c r="FN4754" s="67"/>
      <c r="FO4754" s="67"/>
      <c r="FP4754" s="67"/>
      <c r="FQ4754" s="67"/>
      <c r="FR4754" s="67"/>
      <c r="FS4754" s="67"/>
      <c r="FT4754" s="67"/>
      <c r="FU4754" s="67"/>
      <c r="FV4754" s="67"/>
      <c r="FW4754" s="67"/>
      <c r="FX4754" s="67"/>
      <c r="FY4754" s="67"/>
      <c r="FZ4754" s="67"/>
      <c r="GA4754" s="67"/>
      <c r="GB4754" s="67"/>
      <c r="GC4754" s="67"/>
      <c r="GD4754" s="67"/>
      <c r="GE4754" s="67"/>
      <c r="GF4754" s="67"/>
      <c r="GG4754" s="67"/>
      <c r="GH4754" s="67"/>
      <c r="GI4754" s="67">
        <v>10.4</v>
      </c>
      <c r="GJ4754" s="67">
        <v>12.08</v>
      </c>
      <c r="GK4754" s="67">
        <v>1.95</v>
      </c>
      <c r="GL4754" s="67">
        <v>3.93</v>
      </c>
      <c r="GM4754" s="67" t="s">
        <v>5907</v>
      </c>
      <c r="GN4754" s="292"/>
      <c r="GO4754" s="292"/>
      <c r="GP4754" s="292" t="s">
        <v>7494</v>
      </c>
      <c r="GQ4754" s="67"/>
      <c r="GR4754" s="67"/>
      <c r="GS4754" s="67"/>
      <c r="GT4754" s="67"/>
      <c r="GU4754" s="67"/>
      <c r="GV4754" s="67"/>
      <c r="GW4754" s="67"/>
      <c r="GX4754" s="67"/>
      <c r="GY4754" s="67"/>
      <c r="GZ4754" s="67"/>
      <c r="HA4754" s="67"/>
      <c r="HB4754" s="67"/>
      <c r="HC4754" s="67"/>
      <c r="HD4754" s="67"/>
      <c r="HE4754" s="67"/>
      <c r="HF4754" s="67"/>
      <c r="HG4754" s="67"/>
      <c r="HH4754" s="67"/>
      <c r="HI4754" s="67"/>
      <c r="HJ4754" s="67"/>
      <c r="HK4754" s="67"/>
      <c r="HL4754" s="67"/>
      <c r="HM4754" s="67"/>
      <c r="HN4754" s="67"/>
      <c r="HO4754" s="67"/>
      <c r="HP4754" s="67"/>
      <c r="HQ4754" s="67"/>
      <c r="HR4754" s="67"/>
      <c r="HS4754" s="67"/>
      <c r="HT4754" s="67"/>
      <c r="HU4754" s="67"/>
      <c r="HV4754" s="67"/>
      <c r="HW4754" s="67"/>
      <c r="HX4754" s="67"/>
      <c r="HY4754" s="67"/>
      <c r="HZ4754" s="67"/>
      <c r="IA4754" s="67"/>
      <c r="IB4754" s="67"/>
      <c r="IC4754" s="67"/>
      <c r="ID4754" s="67"/>
      <c r="IE4754" s="67"/>
      <c r="IF4754" s="67"/>
      <c r="IG4754" s="67"/>
      <c r="IH4754" s="67"/>
      <c r="II4754" s="67"/>
      <c r="IJ4754" s="67"/>
      <c r="IK4754" s="67"/>
      <c r="IL4754" s="67"/>
      <c r="IM4754" s="67"/>
      <c r="IN4754" s="67"/>
      <c r="IO4754" s="67"/>
      <c r="IP4754" s="67"/>
      <c r="IQ4754" s="67"/>
      <c r="IR4754" s="67"/>
      <c r="IS4754" s="67"/>
      <c r="IT4754" s="67"/>
      <c r="IU4754" s="67"/>
      <c r="IV4754" s="67"/>
      <c r="IW4754" s="67"/>
      <c r="IX4754" s="67"/>
      <c r="IY4754" s="67"/>
      <c r="IZ4754" s="67"/>
      <c r="JA4754" s="67"/>
      <c r="JB4754" s="67"/>
      <c r="JC4754" s="67"/>
      <c r="JD4754" s="67"/>
      <c r="JE4754" s="67"/>
      <c r="JF4754" s="67"/>
      <c r="JG4754" s="67"/>
      <c r="JH4754" s="67"/>
      <c r="JI4754" s="67"/>
      <c r="JJ4754" s="67"/>
      <c r="JK4754" s="67"/>
      <c r="JL4754" s="67"/>
      <c r="JM4754" s="67"/>
      <c r="JN4754" s="67"/>
      <c r="JO4754" s="67"/>
      <c r="JP4754" s="67"/>
      <c r="JQ4754" s="67"/>
      <c r="JR4754" s="67"/>
      <c r="JS4754" s="67"/>
      <c r="JT4754" s="67"/>
      <c r="JU4754" s="58"/>
      <c r="JV4754" s="58"/>
      <c r="JW4754" s="58"/>
    </row>
    <row r="4755" spans="1:283" s="23" customFormat="1" x14ac:dyDescent="0.25">
      <c r="A4755" s="55">
        <v>4754</v>
      </c>
      <c r="B4755" s="12" t="s">
        <v>7067</v>
      </c>
      <c r="C4755" s="156">
        <v>209</v>
      </c>
      <c r="D4755" s="58" t="s">
        <v>4871</v>
      </c>
      <c r="E4755" s="160" t="str">
        <f>G4755</f>
        <v>Benitez et al. 2006-Cordoba_1</v>
      </c>
      <c r="F4755" s="160"/>
      <c r="G4755" s="60" t="s">
        <v>4862</v>
      </c>
      <c r="H4755" s="58">
        <v>2006</v>
      </c>
      <c r="I4755" s="58" t="s">
        <v>5470</v>
      </c>
      <c r="J4755" s="243" t="s">
        <v>112</v>
      </c>
      <c r="K4755" s="63" t="s">
        <v>5634</v>
      </c>
      <c r="L4755" s="58" t="s">
        <v>4516</v>
      </c>
      <c r="M4755" s="94">
        <v>38.47</v>
      </c>
      <c r="N4755" s="94">
        <v>-4.8099999999999996</v>
      </c>
      <c r="O4755" s="94">
        <v>597</v>
      </c>
      <c r="P4755" s="244"/>
      <c r="Q4755" s="58"/>
      <c r="R4755" s="244"/>
      <c r="S4755" s="94"/>
      <c r="T4755" s="58"/>
      <c r="U4755" s="58" t="s">
        <v>1688</v>
      </c>
      <c r="V4755" s="244">
        <v>3</v>
      </c>
      <c r="W4755" s="174"/>
      <c r="X4755" s="174"/>
      <c r="Y4755" s="58" t="s">
        <v>5636</v>
      </c>
      <c r="Z4755" s="244" t="s">
        <v>1375</v>
      </c>
      <c r="AA4755" s="245">
        <v>20</v>
      </c>
      <c r="AB4755" s="67"/>
      <c r="AC4755" s="67"/>
      <c r="AD4755" s="94"/>
      <c r="AE4755" s="94"/>
      <c r="AF4755" s="94"/>
      <c r="AG4755" s="245"/>
      <c r="AH4755" s="58"/>
      <c r="AI4755" s="169"/>
      <c r="AJ4755" s="94"/>
      <c r="AK4755" s="94"/>
      <c r="AL4755" s="58"/>
      <c r="AM4755" s="58"/>
      <c r="AN4755" s="186"/>
      <c r="AO4755" s="185" t="s">
        <v>7494</v>
      </c>
      <c r="AP4755" s="58"/>
      <c r="AQ4755" s="58"/>
      <c r="AR4755" s="58" t="s">
        <v>4638</v>
      </c>
      <c r="AS4755" s="246" t="s">
        <v>3471</v>
      </c>
      <c r="AT4755" s="247">
        <v>0</v>
      </c>
      <c r="AU4755" s="181" t="s">
        <v>7494</v>
      </c>
      <c r="AV4755" s="185" t="s">
        <v>176</v>
      </c>
      <c r="AW4755" s="244">
        <v>0</v>
      </c>
      <c r="AX4755" s="185" t="s">
        <v>176</v>
      </c>
      <c r="AY4755" s="244" t="s">
        <v>176</v>
      </c>
      <c r="AZ4755" s="58"/>
      <c r="BA4755" s="58"/>
      <c r="BB4755" s="58"/>
      <c r="BC4755" s="58"/>
      <c r="BD4755" s="58"/>
      <c r="BE4755" s="236" t="s">
        <v>5153</v>
      </c>
      <c r="BF4755" s="191" t="s">
        <v>176</v>
      </c>
      <c r="BG4755" s="191" t="s">
        <v>176</v>
      </c>
      <c r="BH4755" s="236" t="s">
        <v>5155</v>
      </c>
      <c r="BI4755" s="191" t="s">
        <v>479</v>
      </c>
      <c r="BJ4755" s="58" t="str">
        <f>IF(BE4755=BH4755,"No","yes")</f>
        <v>yes</v>
      </c>
      <c r="BK4755" s="58" t="s">
        <v>6334</v>
      </c>
      <c r="BL4755" s="58"/>
      <c r="BM4755" s="237"/>
      <c r="BN4755" s="244">
        <v>3</v>
      </c>
      <c r="BO4755" s="244">
        <v>3</v>
      </c>
      <c r="BP4755" s="58"/>
      <c r="BQ4755" s="58"/>
      <c r="BR4755" s="58"/>
      <c r="BS4755" s="58"/>
      <c r="BT4755" s="58"/>
      <c r="BU4755" s="58"/>
      <c r="BV4755" s="58"/>
      <c r="BW4755" s="67"/>
      <c r="BX4755" s="67"/>
      <c r="BY4755" s="67"/>
      <c r="BZ4755" s="67"/>
      <c r="CA4755" s="67"/>
      <c r="CB4755" s="70"/>
      <c r="CC4755" s="70"/>
      <c r="CD4755" s="70"/>
      <c r="CE4755" s="67"/>
      <c r="CF4755" s="67"/>
      <c r="CG4755" s="67"/>
      <c r="CH4755" s="245"/>
      <c r="CI4755" s="245"/>
      <c r="CJ4755" s="67"/>
      <c r="CK4755" s="67"/>
      <c r="CL4755" s="67"/>
      <c r="CM4755" s="242">
        <v>1.0309999999999999</v>
      </c>
      <c r="CN4755" s="242">
        <v>1.3240000000000001</v>
      </c>
      <c r="CO4755" s="242">
        <f>0.31*SQRT(3)*0.1</f>
        <v>5.3693575034635191E-2</v>
      </c>
      <c r="CP4755" s="242">
        <f>0.75*SQRT(3)*0.1</f>
        <v>0.12990381056766581</v>
      </c>
      <c r="CQ4755" s="242" t="s">
        <v>164</v>
      </c>
      <c r="CR4755" s="242"/>
      <c r="CS4755" s="242"/>
      <c r="CT4755" s="242"/>
      <c r="CU4755" s="242"/>
      <c r="CV4755" s="242" t="s">
        <v>5151</v>
      </c>
      <c r="CW4755" s="242"/>
      <c r="CX4755" s="242"/>
      <c r="CY4755" s="242"/>
      <c r="CZ4755" s="242"/>
      <c r="DA4755" s="67" t="s">
        <v>5443</v>
      </c>
      <c r="DB4755" s="67"/>
      <c r="DC4755" s="67"/>
      <c r="DD4755" s="67"/>
      <c r="DE4755" s="67"/>
      <c r="DF4755" s="67"/>
      <c r="DG4755" s="67"/>
      <c r="DH4755" s="67"/>
      <c r="DI4755" s="67"/>
      <c r="DJ4755" s="67"/>
      <c r="DK4755" s="67"/>
      <c r="DL4755" s="67"/>
      <c r="DM4755" s="67"/>
      <c r="DN4755" s="67"/>
      <c r="DO4755" s="67"/>
      <c r="DP4755" s="67"/>
      <c r="DQ4755" s="166">
        <v>6.2</v>
      </c>
      <c r="DR4755" s="166">
        <v>6.68</v>
      </c>
      <c r="DS4755" s="163">
        <f>0.07*SQRT(3)</f>
        <v>0.12124355652982141</v>
      </c>
      <c r="DT4755" s="163">
        <f>0.17*SQRT(3)</f>
        <v>0.29444863728670917</v>
      </c>
      <c r="DU4755" s="67"/>
      <c r="DV4755" s="67"/>
      <c r="DW4755" s="67"/>
      <c r="DX4755" s="67"/>
      <c r="DY4755" s="67"/>
      <c r="DZ4755" s="67"/>
      <c r="EA4755" s="67"/>
      <c r="EB4755" s="67"/>
      <c r="EC4755" s="67"/>
      <c r="ED4755" s="67"/>
      <c r="EE4755" s="67"/>
      <c r="EF4755" s="67"/>
      <c r="EG4755" s="67"/>
      <c r="EH4755" s="67"/>
      <c r="EI4755" s="67"/>
      <c r="EJ4755" s="67"/>
      <c r="EK4755" s="94"/>
      <c r="EL4755" s="94"/>
      <c r="EM4755" s="67"/>
      <c r="EN4755" s="67"/>
      <c r="EO4755" s="67"/>
      <c r="EP4755" s="67"/>
      <c r="EQ4755" s="67"/>
      <c r="ER4755" s="67"/>
      <c r="ES4755" s="67"/>
      <c r="ET4755" s="67"/>
      <c r="EU4755" s="67"/>
      <c r="EV4755" s="67"/>
      <c r="EW4755" s="67"/>
      <c r="EX4755" s="67"/>
      <c r="EY4755" s="67"/>
      <c r="EZ4755" s="67"/>
      <c r="FA4755" s="67"/>
      <c r="FB4755" s="67"/>
      <c r="FC4755" s="67"/>
      <c r="FD4755" s="67"/>
      <c r="FE4755" s="67"/>
      <c r="FF4755" s="67"/>
      <c r="FG4755" s="67"/>
      <c r="FH4755" s="67"/>
      <c r="FI4755" s="67"/>
      <c r="FJ4755" s="67"/>
      <c r="FK4755" s="67"/>
      <c r="FL4755" s="67"/>
      <c r="FM4755" s="67"/>
      <c r="FN4755" s="67"/>
      <c r="FO4755" s="67"/>
      <c r="FP4755" s="67"/>
      <c r="FQ4755" s="67"/>
      <c r="FR4755" s="67"/>
      <c r="FS4755" s="67"/>
      <c r="FT4755" s="67"/>
      <c r="FU4755" s="67"/>
      <c r="FV4755" s="67"/>
      <c r="FW4755" s="67"/>
      <c r="FX4755" s="67"/>
      <c r="FY4755" s="67"/>
      <c r="FZ4755" s="67"/>
      <c r="GA4755" s="67"/>
      <c r="GB4755" s="67"/>
      <c r="GC4755" s="67"/>
      <c r="GD4755" s="67"/>
      <c r="GE4755" s="67"/>
      <c r="GF4755" s="67"/>
      <c r="GG4755" s="67"/>
      <c r="GH4755" s="67"/>
      <c r="GI4755" s="67"/>
      <c r="GJ4755" s="67"/>
      <c r="GK4755" s="67"/>
      <c r="GL4755" s="67"/>
      <c r="GM4755" s="67"/>
      <c r="GN4755" s="292"/>
      <c r="GO4755" s="292"/>
      <c r="GP4755" s="292" t="s">
        <v>7494</v>
      </c>
      <c r="GQ4755" s="67"/>
      <c r="GR4755" s="67"/>
      <c r="GS4755" s="67"/>
      <c r="GT4755" s="67"/>
      <c r="GU4755" s="67"/>
      <c r="GV4755" s="67"/>
      <c r="GW4755" s="67"/>
      <c r="GX4755" s="67"/>
      <c r="GY4755" s="67"/>
      <c r="GZ4755" s="67"/>
      <c r="HA4755" s="67"/>
      <c r="HB4755" s="67"/>
      <c r="HC4755" s="67"/>
      <c r="HD4755" s="67"/>
      <c r="HE4755" s="67"/>
      <c r="HF4755" s="67"/>
      <c r="HG4755" s="67"/>
      <c r="HH4755" s="67"/>
      <c r="HI4755" s="67"/>
      <c r="HJ4755" s="67"/>
      <c r="HK4755" s="67"/>
      <c r="HL4755" s="67"/>
      <c r="HM4755" s="67"/>
      <c r="HN4755" s="67"/>
      <c r="HO4755" s="67"/>
      <c r="HP4755" s="67"/>
      <c r="HQ4755" s="67"/>
      <c r="HR4755" s="67"/>
      <c r="HS4755" s="67">
        <v>1.79</v>
      </c>
      <c r="HT4755" s="67">
        <v>1.91</v>
      </c>
      <c r="HU4755" s="67">
        <f>2.13-HS4755</f>
        <v>0.33999999999999986</v>
      </c>
      <c r="HV4755" s="67">
        <f>2.17-HT4755</f>
        <v>0.26</v>
      </c>
      <c r="HW4755" s="67" t="s">
        <v>5638</v>
      </c>
      <c r="HX4755" s="67"/>
      <c r="HY4755" s="67"/>
      <c r="HZ4755" s="67"/>
      <c r="IA4755" s="67"/>
      <c r="IB4755" s="67"/>
      <c r="IC4755" s="67"/>
      <c r="ID4755" s="67"/>
      <c r="IE4755" s="67"/>
      <c r="IF4755" s="67"/>
      <c r="IG4755" s="67"/>
      <c r="IH4755" s="67"/>
      <c r="II4755" s="67"/>
      <c r="IJ4755" s="67"/>
      <c r="IK4755" s="67"/>
      <c r="IL4755" s="67"/>
      <c r="IM4755" s="67"/>
      <c r="IN4755" s="67"/>
      <c r="IO4755" s="67"/>
      <c r="IP4755" s="67"/>
      <c r="IQ4755" s="67"/>
      <c r="IR4755" s="67"/>
      <c r="IS4755" s="67"/>
      <c r="IT4755" s="67"/>
      <c r="IU4755" s="67"/>
      <c r="IV4755" s="67"/>
      <c r="IW4755" s="67"/>
      <c r="IX4755" s="67"/>
      <c r="IY4755" s="67"/>
      <c r="IZ4755" s="67"/>
      <c r="JA4755" s="67"/>
      <c r="JB4755" s="67"/>
      <c r="JC4755" s="67"/>
      <c r="JD4755" s="67"/>
      <c r="JE4755" s="67"/>
      <c r="JF4755" s="67"/>
      <c r="JG4755" s="67"/>
      <c r="JH4755" s="67"/>
      <c r="JI4755" s="67"/>
      <c r="JJ4755" s="67"/>
      <c r="JK4755" s="67"/>
      <c r="JL4755" s="67"/>
      <c r="JM4755" s="67"/>
      <c r="JN4755" s="67"/>
      <c r="JO4755" s="67"/>
      <c r="JP4755" s="67"/>
      <c r="JQ4755" s="67"/>
      <c r="JR4755" s="67"/>
      <c r="JS4755" s="67"/>
      <c r="JT4755" s="67"/>
      <c r="JU4755" s="58" t="s">
        <v>5637</v>
      </c>
      <c r="JV4755" s="58"/>
      <c r="JW4755" s="58"/>
    </row>
    <row r="4756" spans="1:283" s="23" customFormat="1" x14ac:dyDescent="0.25">
      <c r="A4756" s="55">
        <v>4755</v>
      </c>
      <c r="B4756" s="12" t="s">
        <v>7067</v>
      </c>
      <c r="C4756" s="156">
        <v>209</v>
      </c>
      <c r="D4756" s="58" t="s">
        <v>4872</v>
      </c>
      <c r="E4756" s="160" t="str">
        <f>G4756</f>
        <v>Benitez et al. 2006-Cordoba_2</v>
      </c>
      <c r="F4756" s="160"/>
      <c r="G4756" s="60" t="s">
        <v>4861</v>
      </c>
      <c r="H4756" s="58">
        <v>2006</v>
      </c>
      <c r="I4756" s="58" t="s">
        <v>5470</v>
      </c>
      <c r="J4756" s="243" t="s">
        <v>112</v>
      </c>
      <c r="K4756" s="63" t="s">
        <v>5634</v>
      </c>
      <c r="L4756" s="58" t="s">
        <v>4516</v>
      </c>
      <c r="M4756" s="94">
        <v>38.47</v>
      </c>
      <c r="N4756" s="94">
        <v>-4.8099999999999996</v>
      </c>
      <c r="O4756" s="94">
        <v>597</v>
      </c>
      <c r="P4756" s="244"/>
      <c r="Q4756" s="58"/>
      <c r="R4756" s="244"/>
      <c r="S4756" s="94"/>
      <c r="T4756" s="58"/>
      <c r="U4756" s="58" t="s">
        <v>1688</v>
      </c>
      <c r="V4756" s="244">
        <v>3</v>
      </c>
      <c r="W4756" s="174"/>
      <c r="X4756" s="174"/>
      <c r="Y4756" s="58" t="s">
        <v>5636</v>
      </c>
      <c r="Z4756" s="244" t="s">
        <v>1375</v>
      </c>
      <c r="AA4756" s="245">
        <v>20</v>
      </c>
      <c r="AB4756" s="67"/>
      <c r="AC4756" s="67"/>
      <c r="AD4756" s="94"/>
      <c r="AE4756" s="94"/>
      <c r="AF4756" s="94"/>
      <c r="AG4756" s="245"/>
      <c r="AH4756" s="58"/>
      <c r="AI4756" s="169"/>
      <c r="AJ4756" s="94"/>
      <c r="AK4756" s="94"/>
      <c r="AL4756" s="58"/>
      <c r="AM4756" s="58"/>
      <c r="AN4756" s="186"/>
      <c r="AO4756" s="185" t="s">
        <v>7494</v>
      </c>
      <c r="AP4756" s="58"/>
      <c r="AQ4756" s="58"/>
      <c r="AR4756" s="58" t="s">
        <v>4638</v>
      </c>
      <c r="AS4756" s="246" t="s">
        <v>3471</v>
      </c>
      <c r="AT4756" s="247">
        <v>0</v>
      </c>
      <c r="AU4756" s="181" t="s">
        <v>7494</v>
      </c>
      <c r="AV4756" s="185" t="s">
        <v>176</v>
      </c>
      <c r="AW4756" s="244">
        <v>0</v>
      </c>
      <c r="AX4756" s="185" t="s">
        <v>176</v>
      </c>
      <c r="AY4756" s="244" t="s">
        <v>176</v>
      </c>
      <c r="AZ4756" s="58"/>
      <c r="BA4756" s="58"/>
      <c r="BB4756" s="58"/>
      <c r="BC4756" s="58"/>
      <c r="BD4756" s="58"/>
      <c r="BE4756" s="236" t="s">
        <v>5153</v>
      </c>
      <c r="BF4756" s="191" t="s">
        <v>176</v>
      </c>
      <c r="BG4756" s="191" t="s">
        <v>176</v>
      </c>
      <c r="BH4756" s="236" t="s">
        <v>5155</v>
      </c>
      <c r="BI4756" s="191" t="s">
        <v>479</v>
      </c>
      <c r="BJ4756" s="58" t="str">
        <f>IF(BE4756=BH4756,"No","yes")</f>
        <v>yes</v>
      </c>
      <c r="BK4756" s="58" t="s">
        <v>6334</v>
      </c>
      <c r="BL4756" s="58"/>
      <c r="BM4756" s="237"/>
      <c r="BN4756" s="244">
        <v>3</v>
      </c>
      <c r="BO4756" s="244">
        <v>3</v>
      </c>
      <c r="BP4756" s="58"/>
      <c r="BQ4756" s="58"/>
      <c r="BR4756" s="58"/>
      <c r="BS4756" s="58"/>
      <c r="BT4756" s="58"/>
      <c r="BU4756" s="58"/>
      <c r="BV4756" s="58"/>
      <c r="BW4756" s="67"/>
      <c r="BX4756" s="67"/>
      <c r="BY4756" s="67"/>
      <c r="BZ4756" s="67"/>
      <c r="CA4756" s="67"/>
      <c r="CB4756" s="70"/>
      <c r="CC4756" s="70"/>
      <c r="CD4756" s="70"/>
      <c r="CE4756" s="67"/>
      <c r="CF4756" s="67"/>
      <c r="CG4756" s="67"/>
      <c r="CH4756" s="245"/>
      <c r="CI4756" s="245"/>
      <c r="CJ4756" s="67"/>
      <c r="CK4756" s="67"/>
      <c r="CL4756" s="67"/>
      <c r="CM4756" s="242">
        <v>1.0309999999999999</v>
      </c>
      <c r="CN4756" s="242">
        <v>1.081</v>
      </c>
      <c r="CO4756" s="242">
        <f>0.31*SQRT(3)*0.1</f>
        <v>5.3693575034635191E-2</v>
      </c>
      <c r="CP4756" s="242">
        <f>1.02*SQRT(3)*0.1</f>
        <v>0.17666918237202547</v>
      </c>
      <c r="CQ4756" s="242" t="s">
        <v>164</v>
      </c>
      <c r="CR4756" s="242"/>
      <c r="CS4756" s="242"/>
      <c r="CT4756" s="242"/>
      <c r="CU4756" s="242"/>
      <c r="CV4756" s="242" t="s">
        <v>5151</v>
      </c>
      <c r="CW4756" s="242"/>
      <c r="CX4756" s="242"/>
      <c r="CY4756" s="242"/>
      <c r="CZ4756" s="242"/>
      <c r="DA4756" s="67" t="s">
        <v>5443</v>
      </c>
      <c r="DB4756" s="67"/>
      <c r="DC4756" s="67"/>
      <c r="DD4756" s="67"/>
      <c r="DE4756" s="67"/>
      <c r="DF4756" s="67"/>
      <c r="DG4756" s="67"/>
      <c r="DH4756" s="67"/>
      <c r="DI4756" s="67"/>
      <c r="DJ4756" s="67"/>
      <c r="DK4756" s="67"/>
      <c r="DL4756" s="67"/>
      <c r="DM4756" s="67"/>
      <c r="DN4756" s="67"/>
      <c r="DO4756" s="67"/>
      <c r="DP4756" s="67"/>
      <c r="DQ4756" s="166">
        <v>6.2</v>
      </c>
      <c r="DR4756" s="166">
        <v>6.66</v>
      </c>
      <c r="DS4756" s="163">
        <f>0.07*SQRT(3)</f>
        <v>0.12124355652982141</v>
      </c>
      <c r="DT4756" s="163">
        <f>0.11*SQRT(3)</f>
        <v>0.1905255888325765</v>
      </c>
      <c r="DU4756" s="67"/>
      <c r="DV4756" s="67"/>
      <c r="DW4756" s="67"/>
      <c r="DX4756" s="67"/>
      <c r="DY4756" s="67"/>
      <c r="DZ4756" s="67"/>
      <c r="EA4756" s="67"/>
      <c r="EB4756" s="67"/>
      <c r="EC4756" s="67"/>
      <c r="ED4756" s="67"/>
      <c r="EE4756" s="67"/>
      <c r="EF4756" s="67"/>
      <c r="EG4756" s="67"/>
      <c r="EH4756" s="67"/>
      <c r="EI4756" s="67"/>
      <c r="EJ4756" s="67"/>
      <c r="EK4756" s="94"/>
      <c r="EL4756" s="94"/>
      <c r="EM4756" s="67"/>
      <c r="EN4756" s="67"/>
      <c r="EO4756" s="67"/>
      <c r="EP4756" s="67"/>
      <c r="EQ4756" s="67"/>
      <c r="ER4756" s="67"/>
      <c r="ES4756" s="67"/>
      <c r="ET4756" s="67"/>
      <c r="EU4756" s="67"/>
      <c r="EV4756" s="67"/>
      <c r="EW4756" s="67"/>
      <c r="EX4756" s="67"/>
      <c r="EY4756" s="67"/>
      <c r="EZ4756" s="67"/>
      <c r="FA4756" s="67"/>
      <c r="FB4756" s="67"/>
      <c r="FC4756" s="67"/>
      <c r="FD4756" s="67"/>
      <c r="FE4756" s="67"/>
      <c r="FF4756" s="67"/>
      <c r="FG4756" s="67"/>
      <c r="FH4756" s="67"/>
      <c r="FI4756" s="67"/>
      <c r="FJ4756" s="67"/>
      <c r="FK4756" s="67"/>
      <c r="FL4756" s="67"/>
      <c r="FM4756" s="67"/>
      <c r="FN4756" s="67"/>
      <c r="FO4756" s="67"/>
      <c r="FP4756" s="67"/>
      <c r="FQ4756" s="67"/>
      <c r="FR4756" s="67"/>
      <c r="FS4756" s="67"/>
      <c r="FT4756" s="67"/>
      <c r="FU4756" s="67"/>
      <c r="FV4756" s="67"/>
      <c r="FW4756" s="67"/>
      <c r="FX4756" s="67"/>
      <c r="FY4756" s="67"/>
      <c r="FZ4756" s="67"/>
      <c r="GA4756" s="67"/>
      <c r="GB4756" s="67"/>
      <c r="GC4756" s="67"/>
      <c r="GD4756" s="67"/>
      <c r="GE4756" s="67"/>
      <c r="GF4756" s="67"/>
      <c r="GG4756" s="67"/>
      <c r="GH4756" s="67"/>
      <c r="GI4756" s="67"/>
      <c r="GJ4756" s="67"/>
      <c r="GK4756" s="67"/>
      <c r="GL4756" s="67"/>
      <c r="GM4756" s="67"/>
      <c r="GN4756" s="292"/>
      <c r="GO4756" s="292"/>
      <c r="GP4756" s="292" t="s">
        <v>7494</v>
      </c>
      <c r="GQ4756" s="67"/>
      <c r="GR4756" s="67"/>
      <c r="GS4756" s="67"/>
      <c r="GT4756" s="67"/>
      <c r="GU4756" s="67"/>
      <c r="GV4756" s="67"/>
      <c r="GW4756" s="67"/>
      <c r="GX4756" s="67"/>
      <c r="GY4756" s="67"/>
      <c r="GZ4756" s="67"/>
      <c r="HA4756" s="67"/>
      <c r="HB4756" s="67"/>
      <c r="HC4756" s="67"/>
      <c r="HD4756" s="67"/>
      <c r="HE4756" s="67"/>
      <c r="HF4756" s="67"/>
      <c r="HG4756" s="67"/>
      <c r="HH4756" s="67"/>
      <c r="HI4756" s="67"/>
      <c r="HJ4756" s="67"/>
      <c r="HK4756" s="67"/>
      <c r="HL4756" s="67"/>
      <c r="HM4756" s="67"/>
      <c r="HN4756" s="67"/>
      <c r="HO4756" s="67"/>
      <c r="HP4756" s="67"/>
      <c r="HQ4756" s="67"/>
      <c r="HR4756" s="67"/>
      <c r="HS4756" s="67">
        <v>1.79</v>
      </c>
      <c r="HT4756" s="67">
        <v>2.86</v>
      </c>
      <c r="HU4756" s="67">
        <f>2.13-HS4756</f>
        <v>0.33999999999999986</v>
      </c>
      <c r="HV4756" s="67">
        <f>3.24-HT4756</f>
        <v>0.38000000000000034</v>
      </c>
      <c r="HW4756" s="67" t="s">
        <v>5638</v>
      </c>
      <c r="HX4756" s="67"/>
      <c r="HY4756" s="67"/>
      <c r="HZ4756" s="67"/>
      <c r="IA4756" s="67"/>
      <c r="IB4756" s="67"/>
      <c r="IC4756" s="67"/>
      <c r="ID4756" s="67"/>
      <c r="IE4756" s="67"/>
      <c r="IF4756" s="67"/>
      <c r="IG4756" s="67"/>
      <c r="IH4756" s="67"/>
      <c r="II4756" s="67"/>
      <c r="IJ4756" s="67"/>
      <c r="IK4756" s="67"/>
      <c r="IL4756" s="67"/>
      <c r="IM4756" s="67"/>
      <c r="IN4756" s="67"/>
      <c r="IO4756" s="67"/>
      <c r="IP4756" s="67"/>
      <c r="IQ4756" s="67"/>
      <c r="IR4756" s="67"/>
      <c r="IS4756" s="67"/>
      <c r="IT4756" s="67"/>
      <c r="IU4756" s="67"/>
      <c r="IV4756" s="67"/>
      <c r="IW4756" s="67"/>
      <c r="IX4756" s="67"/>
      <c r="IY4756" s="67"/>
      <c r="IZ4756" s="67"/>
      <c r="JA4756" s="67"/>
      <c r="JB4756" s="67"/>
      <c r="JC4756" s="67"/>
      <c r="JD4756" s="67"/>
      <c r="JE4756" s="67"/>
      <c r="JF4756" s="67"/>
      <c r="JG4756" s="67"/>
      <c r="JH4756" s="67"/>
      <c r="JI4756" s="67"/>
      <c r="JJ4756" s="67"/>
      <c r="JK4756" s="67"/>
      <c r="JL4756" s="67"/>
      <c r="JM4756" s="67"/>
      <c r="JN4756" s="67"/>
      <c r="JO4756" s="67"/>
      <c r="JP4756" s="67"/>
      <c r="JQ4756" s="67"/>
      <c r="JR4756" s="67"/>
      <c r="JS4756" s="67"/>
      <c r="JT4756" s="67"/>
      <c r="JU4756" s="58" t="s">
        <v>5637</v>
      </c>
      <c r="JV4756" s="58"/>
      <c r="JW4756" s="58"/>
    </row>
    <row r="4757" spans="1:283" s="23" customFormat="1" x14ac:dyDescent="0.25">
      <c r="A4757" s="55">
        <v>4756</v>
      </c>
      <c r="B4757" s="12" t="s">
        <v>7067</v>
      </c>
      <c r="C4757" s="156">
        <v>209</v>
      </c>
      <c r="D4757" s="58" t="s">
        <v>4873</v>
      </c>
      <c r="E4757" s="160" t="str">
        <f>G4757</f>
        <v>Benitez et al. 2006-Cordoba_3</v>
      </c>
      <c r="F4757" s="160"/>
      <c r="G4757" s="60" t="s">
        <v>4860</v>
      </c>
      <c r="H4757" s="58">
        <v>2006</v>
      </c>
      <c r="I4757" s="58" t="s">
        <v>5470</v>
      </c>
      <c r="J4757" s="243" t="s">
        <v>112</v>
      </c>
      <c r="K4757" s="63" t="s">
        <v>5634</v>
      </c>
      <c r="L4757" s="58" t="s">
        <v>4516</v>
      </c>
      <c r="M4757" s="94">
        <v>38.47</v>
      </c>
      <c r="N4757" s="94">
        <v>-4.8099999999999996</v>
      </c>
      <c r="O4757" s="94">
        <v>597</v>
      </c>
      <c r="P4757" s="244"/>
      <c r="Q4757" s="58"/>
      <c r="R4757" s="244"/>
      <c r="S4757" s="94"/>
      <c r="T4757" s="58"/>
      <c r="U4757" s="58" t="s">
        <v>1688</v>
      </c>
      <c r="V4757" s="244">
        <v>3</v>
      </c>
      <c r="W4757" s="174"/>
      <c r="X4757" s="174"/>
      <c r="Y4757" s="58" t="s">
        <v>5636</v>
      </c>
      <c r="Z4757" s="244" t="s">
        <v>1375</v>
      </c>
      <c r="AA4757" s="245">
        <v>20</v>
      </c>
      <c r="AB4757" s="67"/>
      <c r="AC4757" s="67"/>
      <c r="AD4757" s="94"/>
      <c r="AE4757" s="94"/>
      <c r="AF4757" s="94"/>
      <c r="AG4757" s="245"/>
      <c r="AH4757" s="58"/>
      <c r="AI4757" s="169"/>
      <c r="AJ4757" s="94"/>
      <c r="AK4757" s="94"/>
      <c r="AL4757" s="58"/>
      <c r="AM4757" s="58"/>
      <c r="AN4757" s="186"/>
      <c r="AO4757" s="185" t="s">
        <v>7494</v>
      </c>
      <c r="AP4757" s="58"/>
      <c r="AQ4757" s="58"/>
      <c r="AR4757" s="58" t="s">
        <v>4638</v>
      </c>
      <c r="AS4757" s="246" t="s">
        <v>3471</v>
      </c>
      <c r="AT4757" s="247">
        <v>0</v>
      </c>
      <c r="AU4757" s="181" t="s">
        <v>7494</v>
      </c>
      <c r="AV4757" s="185" t="s">
        <v>176</v>
      </c>
      <c r="AW4757" s="244">
        <v>0</v>
      </c>
      <c r="AX4757" s="185" t="s">
        <v>176</v>
      </c>
      <c r="AY4757" s="244" t="s">
        <v>176</v>
      </c>
      <c r="AZ4757" s="58"/>
      <c r="BA4757" s="58"/>
      <c r="BB4757" s="58"/>
      <c r="BC4757" s="58"/>
      <c r="BD4757" s="58"/>
      <c r="BE4757" s="236" t="s">
        <v>5153</v>
      </c>
      <c r="BF4757" s="191" t="s">
        <v>176</v>
      </c>
      <c r="BG4757" s="191" t="s">
        <v>176</v>
      </c>
      <c r="BH4757" s="236" t="s">
        <v>5155</v>
      </c>
      <c r="BI4757" s="191" t="s">
        <v>479</v>
      </c>
      <c r="BJ4757" s="58" t="str">
        <f>IF(BE4757=BH4757,"No","yes")</f>
        <v>yes</v>
      </c>
      <c r="BK4757" s="58" t="s">
        <v>6334</v>
      </c>
      <c r="BL4757" s="58"/>
      <c r="BM4757" s="237"/>
      <c r="BN4757" s="244">
        <v>3</v>
      </c>
      <c r="BO4757" s="244">
        <v>3</v>
      </c>
      <c r="BP4757" s="58"/>
      <c r="BQ4757" s="58"/>
      <c r="BR4757" s="58"/>
      <c r="BS4757" s="58"/>
      <c r="BT4757" s="58"/>
      <c r="BU4757" s="58"/>
      <c r="BV4757" s="58"/>
      <c r="BW4757" s="67"/>
      <c r="BX4757" s="67"/>
      <c r="BY4757" s="67"/>
      <c r="BZ4757" s="67"/>
      <c r="CA4757" s="67"/>
      <c r="CB4757" s="70"/>
      <c r="CC4757" s="70"/>
      <c r="CD4757" s="70"/>
      <c r="CE4757" s="67"/>
      <c r="CF4757" s="67"/>
      <c r="CG4757" s="67"/>
      <c r="CH4757" s="245"/>
      <c r="CI4757" s="245"/>
      <c r="CJ4757" s="67"/>
      <c r="CK4757" s="67"/>
      <c r="CL4757" s="67"/>
      <c r="CM4757" s="242">
        <v>1.0309999999999999</v>
      </c>
      <c r="CN4757" s="242">
        <v>1.097</v>
      </c>
      <c r="CO4757" s="242">
        <f>0.31*SQRT(3)*0.1</f>
        <v>5.3693575034635191E-2</v>
      </c>
      <c r="CP4757" s="242">
        <f>0.3*SQRT(3)*0.1</f>
        <v>5.1961524227066319E-2</v>
      </c>
      <c r="CQ4757" s="242" t="s">
        <v>164</v>
      </c>
      <c r="CR4757" s="242"/>
      <c r="CS4757" s="242"/>
      <c r="CT4757" s="242"/>
      <c r="CU4757" s="242"/>
      <c r="CV4757" s="242" t="s">
        <v>5151</v>
      </c>
      <c r="CW4757" s="242"/>
      <c r="CX4757" s="242"/>
      <c r="CY4757" s="242"/>
      <c r="CZ4757" s="242"/>
      <c r="DA4757" s="67" t="s">
        <v>5443</v>
      </c>
      <c r="DB4757" s="67"/>
      <c r="DC4757" s="67"/>
      <c r="DD4757" s="67"/>
      <c r="DE4757" s="67"/>
      <c r="DF4757" s="67"/>
      <c r="DG4757" s="67"/>
      <c r="DH4757" s="67"/>
      <c r="DI4757" s="67"/>
      <c r="DJ4757" s="67"/>
      <c r="DK4757" s="67"/>
      <c r="DL4757" s="67"/>
      <c r="DM4757" s="67"/>
      <c r="DN4757" s="67"/>
      <c r="DO4757" s="67"/>
      <c r="DP4757" s="67"/>
      <c r="DQ4757" s="166">
        <v>6.2</v>
      </c>
      <c r="DR4757" s="166">
        <v>6.25</v>
      </c>
      <c r="DS4757" s="163">
        <f>0.07*SQRT(3)</f>
        <v>0.12124355652982141</v>
      </c>
      <c r="DT4757" s="163">
        <f>0.27*SQRT(3)</f>
        <v>0.4676537180435969</v>
      </c>
      <c r="DU4757" s="67"/>
      <c r="DV4757" s="67"/>
      <c r="DW4757" s="67"/>
      <c r="DX4757" s="67"/>
      <c r="DY4757" s="67"/>
      <c r="DZ4757" s="67"/>
      <c r="EA4757" s="67"/>
      <c r="EB4757" s="67"/>
      <c r="EC4757" s="67"/>
      <c r="ED4757" s="67"/>
      <c r="EE4757" s="67"/>
      <c r="EF4757" s="67"/>
      <c r="EG4757" s="67"/>
      <c r="EH4757" s="67"/>
      <c r="EI4757" s="67"/>
      <c r="EJ4757" s="67"/>
      <c r="EK4757" s="94"/>
      <c r="EL4757" s="94"/>
      <c r="EM4757" s="67"/>
      <c r="EN4757" s="67"/>
      <c r="EO4757" s="67"/>
      <c r="EP4757" s="67"/>
      <c r="EQ4757" s="67"/>
      <c r="ER4757" s="67"/>
      <c r="ES4757" s="67"/>
      <c r="ET4757" s="67"/>
      <c r="EU4757" s="67"/>
      <c r="EV4757" s="67"/>
      <c r="EW4757" s="67"/>
      <c r="EX4757" s="67"/>
      <c r="EY4757" s="67"/>
      <c r="EZ4757" s="67"/>
      <c r="FA4757" s="67"/>
      <c r="FB4757" s="67"/>
      <c r="FC4757" s="67"/>
      <c r="FD4757" s="67"/>
      <c r="FE4757" s="67"/>
      <c r="FF4757" s="67"/>
      <c r="FG4757" s="67"/>
      <c r="FH4757" s="67"/>
      <c r="FI4757" s="67"/>
      <c r="FJ4757" s="67"/>
      <c r="FK4757" s="67"/>
      <c r="FL4757" s="67"/>
      <c r="FM4757" s="67"/>
      <c r="FN4757" s="67"/>
      <c r="FO4757" s="67"/>
      <c r="FP4757" s="67"/>
      <c r="FQ4757" s="67"/>
      <c r="FR4757" s="67"/>
      <c r="FS4757" s="67"/>
      <c r="FT4757" s="67"/>
      <c r="FU4757" s="67"/>
      <c r="FV4757" s="67"/>
      <c r="FW4757" s="67"/>
      <c r="FX4757" s="67"/>
      <c r="FY4757" s="67"/>
      <c r="FZ4757" s="67"/>
      <c r="GA4757" s="67"/>
      <c r="GB4757" s="67"/>
      <c r="GC4757" s="67"/>
      <c r="GD4757" s="67"/>
      <c r="GE4757" s="67"/>
      <c r="GF4757" s="67"/>
      <c r="GG4757" s="67"/>
      <c r="GH4757" s="67"/>
      <c r="GI4757" s="67"/>
      <c r="GJ4757" s="67"/>
      <c r="GK4757" s="67"/>
      <c r="GL4757" s="67"/>
      <c r="GM4757" s="67"/>
      <c r="GN4757" s="292"/>
      <c r="GO4757" s="292"/>
      <c r="GP4757" s="292" t="s">
        <v>7494</v>
      </c>
      <c r="GQ4757" s="67"/>
      <c r="GR4757" s="67"/>
      <c r="GS4757" s="67"/>
      <c r="GT4757" s="67"/>
      <c r="GU4757" s="67"/>
      <c r="GV4757" s="67"/>
      <c r="GW4757" s="67"/>
      <c r="GX4757" s="67"/>
      <c r="GY4757" s="67"/>
      <c r="GZ4757" s="67"/>
      <c r="HA4757" s="67"/>
      <c r="HB4757" s="67"/>
      <c r="HC4757" s="67"/>
      <c r="HD4757" s="67"/>
      <c r="HE4757" s="67"/>
      <c r="HF4757" s="67"/>
      <c r="HG4757" s="67"/>
      <c r="HH4757" s="67"/>
      <c r="HI4757" s="67"/>
      <c r="HJ4757" s="67"/>
      <c r="HK4757" s="67"/>
      <c r="HL4757" s="67"/>
      <c r="HM4757" s="67"/>
      <c r="HN4757" s="67"/>
      <c r="HO4757" s="67"/>
      <c r="HP4757" s="67"/>
      <c r="HQ4757" s="67"/>
      <c r="HR4757" s="67"/>
      <c r="HS4757" s="67">
        <v>2.67</v>
      </c>
      <c r="HT4757" s="67">
        <v>2.31</v>
      </c>
      <c r="HU4757" s="67">
        <v>0.34</v>
      </c>
      <c r="HV4757" s="67">
        <f>2.6-HT4757</f>
        <v>0.29000000000000004</v>
      </c>
      <c r="HW4757" s="67" t="s">
        <v>5640</v>
      </c>
      <c r="HX4757" s="67"/>
      <c r="HY4757" s="67"/>
      <c r="HZ4757" s="67"/>
      <c r="IA4757" s="67"/>
      <c r="IB4757" s="67"/>
      <c r="IC4757" s="67"/>
      <c r="ID4757" s="67"/>
      <c r="IE4757" s="67"/>
      <c r="IF4757" s="67"/>
      <c r="IG4757" s="67"/>
      <c r="IH4757" s="67"/>
      <c r="II4757" s="67"/>
      <c r="IJ4757" s="67"/>
      <c r="IK4757" s="67"/>
      <c r="IL4757" s="67"/>
      <c r="IM4757" s="67"/>
      <c r="IN4757" s="67"/>
      <c r="IO4757" s="67"/>
      <c r="IP4757" s="67"/>
      <c r="IQ4757" s="67"/>
      <c r="IR4757" s="67"/>
      <c r="IS4757" s="67"/>
      <c r="IT4757" s="67"/>
      <c r="IU4757" s="67"/>
      <c r="IV4757" s="67"/>
      <c r="IW4757" s="67"/>
      <c r="IX4757" s="67"/>
      <c r="IY4757" s="67"/>
      <c r="IZ4757" s="67"/>
      <c r="JA4757" s="67"/>
      <c r="JB4757" s="67"/>
      <c r="JC4757" s="67"/>
      <c r="JD4757" s="67"/>
      <c r="JE4757" s="67"/>
      <c r="JF4757" s="67"/>
      <c r="JG4757" s="67"/>
      <c r="JH4757" s="67"/>
      <c r="JI4757" s="67"/>
      <c r="JJ4757" s="67"/>
      <c r="JK4757" s="67"/>
      <c r="JL4757" s="67"/>
      <c r="JM4757" s="67"/>
      <c r="JN4757" s="67"/>
      <c r="JO4757" s="67"/>
      <c r="JP4757" s="67"/>
      <c r="JQ4757" s="67"/>
      <c r="JR4757" s="67"/>
      <c r="JS4757" s="67"/>
      <c r="JT4757" s="67"/>
      <c r="JU4757" s="58" t="s">
        <v>5637</v>
      </c>
      <c r="JV4757" s="58"/>
      <c r="JW4757" s="58"/>
    </row>
    <row r="4758" spans="1:283" s="23" customFormat="1" x14ac:dyDescent="0.25">
      <c r="A4758" s="55">
        <v>4757</v>
      </c>
      <c r="B4758" s="12" t="s">
        <v>7067</v>
      </c>
      <c r="C4758" s="156">
        <v>209</v>
      </c>
      <c r="D4758" s="58" t="s">
        <v>4874</v>
      </c>
      <c r="E4758" s="160" t="str">
        <f>G4758</f>
        <v>Benitez et al. 2006-Cordoba_4</v>
      </c>
      <c r="F4758" s="160"/>
      <c r="G4758" s="60" t="s">
        <v>4859</v>
      </c>
      <c r="H4758" s="58">
        <v>2006</v>
      </c>
      <c r="I4758" s="58" t="s">
        <v>5470</v>
      </c>
      <c r="J4758" s="243" t="s">
        <v>112</v>
      </c>
      <c r="K4758" s="63" t="s">
        <v>5634</v>
      </c>
      <c r="L4758" s="58" t="s">
        <v>4516</v>
      </c>
      <c r="M4758" s="94">
        <v>38.47</v>
      </c>
      <c r="N4758" s="94">
        <v>-4.8099999999999996</v>
      </c>
      <c r="O4758" s="94">
        <v>597</v>
      </c>
      <c r="P4758" s="244"/>
      <c r="Q4758" s="58"/>
      <c r="R4758" s="244"/>
      <c r="S4758" s="94"/>
      <c r="T4758" s="58"/>
      <c r="U4758" s="58" t="s">
        <v>1688</v>
      </c>
      <c r="V4758" s="244">
        <v>3</v>
      </c>
      <c r="W4758" s="174"/>
      <c r="X4758" s="174"/>
      <c r="Y4758" s="58" t="s">
        <v>5636</v>
      </c>
      <c r="Z4758" s="244" t="s">
        <v>1375</v>
      </c>
      <c r="AA4758" s="245">
        <v>20</v>
      </c>
      <c r="AB4758" s="67"/>
      <c r="AC4758" s="67"/>
      <c r="AD4758" s="94"/>
      <c r="AE4758" s="94"/>
      <c r="AF4758" s="94"/>
      <c r="AG4758" s="245"/>
      <c r="AH4758" s="58"/>
      <c r="AI4758" s="169"/>
      <c r="AJ4758" s="94"/>
      <c r="AK4758" s="94"/>
      <c r="AL4758" s="58"/>
      <c r="AM4758" s="58"/>
      <c r="AN4758" s="186"/>
      <c r="AO4758" s="185" t="s">
        <v>7494</v>
      </c>
      <c r="AP4758" s="58"/>
      <c r="AQ4758" s="58"/>
      <c r="AR4758" s="58" t="s">
        <v>4638</v>
      </c>
      <c r="AS4758" s="246" t="s">
        <v>3471</v>
      </c>
      <c r="AT4758" s="247">
        <v>0</v>
      </c>
      <c r="AU4758" s="181" t="s">
        <v>7494</v>
      </c>
      <c r="AV4758" s="185" t="s">
        <v>176</v>
      </c>
      <c r="AW4758" s="244">
        <v>0</v>
      </c>
      <c r="AX4758" s="185" t="s">
        <v>176</v>
      </c>
      <c r="AY4758" s="244" t="s">
        <v>176</v>
      </c>
      <c r="AZ4758" s="58"/>
      <c r="BA4758" s="58"/>
      <c r="BB4758" s="58"/>
      <c r="BC4758" s="58"/>
      <c r="BD4758" s="58"/>
      <c r="BE4758" s="236" t="s">
        <v>5153</v>
      </c>
      <c r="BF4758" s="191" t="s">
        <v>176</v>
      </c>
      <c r="BG4758" s="191" t="s">
        <v>176</v>
      </c>
      <c r="BH4758" s="236" t="s">
        <v>5155</v>
      </c>
      <c r="BI4758" s="191" t="s">
        <v>479</v>
      </c>
      <c r="BJ4758" s="58" t="str">
        <f>IF(BE4758=BH4758,"No","yes")</f>
        <v>yes</v>
      </c>
      <c r="BK4758" s="58" t="s">
        <v>6334</v>
      </c>
      <c r="BL4758" s="58"/>
      <c r="BM4758" s="237"/>
      <c r="BN4758" s="244">
        <v>3</v>
      </c>
      <c r="BO4758" s="244">
        <v>3</v>
      </c>
      <c r="BP4758" s="58"/>
      <c r="BQ4758" s="58"/>
      <c r="BR4758" s="58"/>
      <c r="BS4758" s="58"/>
      <c r="BT4758" s="58"/>
      <c r="BU4758" s="58"/>
      <c r="BV4758" s="58"/>
      <c r="BW4758" s="67"/>
      <c r="BX4758" s="67"/>
      <c r="BY4758" s="67"/>
      <c r="BZ4758" s="67"/>
      <c r="CA4758" s="67"/>
      <c r="CB4758" s="70"/>
      <c r="CC4758" s="70"/>
      <c r="CD4758" s="70"/>
      <c r="CE4758" s="67"/>
      <c r="CF4758" s="67"/>
      <c r="CG4758" s="67"/>
      <c r="CH4758" s="245"/>
      <c r="CI4758" s="245"/>
      <c r="CJ4758" s="67"/>
      <c r="CK4758" s="67"/>
      <c r="CL4758" s="67"/>
      <c r="CM4758" s="242">
        <v>5.6000000000000001E-2</v>
      </c>
      <c r="CN4758" s="242">
        <v>0.65400000000000003</v>
      </c>
      <c r="CO4758" s="242">
        <f>0.24*SQRT(3)*0.1</f>
        <v>4.1569219381653054E-2</v>
      </c>
      <c r="CP4758" s="242">
        <f>0.44*SQRT(3)*0.1</f>
        <v>7.6210235533030607E-2</v>
      </c>
      <c r="CQ4758" s="242" t="s">
        <v>164</v>
      </c>
      <c r="CR4758" s="242"/>
      <c r="CS4758" s="242"/>
      <c r="CT4758" s="242"/>
      <c r="CU4758" s="242"/>
      <c r="CV4758" s="242" t="s">
        <v>5151</v>
      </c>
      <c r="CW4758" s="242"/>
      <c r="CX4758" s="242"/>
      <c r="CY4758" s="242"/>
      <c r="CZ4758" s="242"/>
      <c r="DA4758" s="67" t="s">
        <v>5443</v>
      </c>
      <c r="DB4758" s="67"/>
      <c r="DC4758" s="67"/>
      <c r="DD4758" s="67"/>
      <c r="DE4758" s="67"/>
      <c r="DF4758" s="67"/>
      <c r="DG4758" s="67"/>
      <c r="DH4758" s="67"/>
      <c r="DI4758" s="67"/>
      <c r="DJ4758" s="67"/>
      <c r="DK4758" s="67"/>
      <c r="DL4758" s="67"/>
      <c r="DM4758" s="67"/>
      <c r="DN4758" s="67"/>
      <c r="DO4758" s="67"/>
      <c r="DP4758" s="67"/>
      <c r="DQ4758" s="166">
        <v>6.94</v>
      </c>
      <c r="DR4758" s="166">
        <v>6.43</v>
      </c>
      <c r="DS4758" s="163">
        <f>0.04*SQRT(3)</f>
        <v>6.9282032302755092E-2</v>
      </c>
      <c r="DT4758" s="163">
        <f>0.04*SQRT(3)</f>
        <v>6.9282032302755092E-2</v>
      </c>
      <c r="DU4758" s="67"/>
      <c r="DV4758" s="67"/>
      <c r="DW4758" s="67"/>
      <c r="DX4758" s="67"/>
      <c r="DY4758" s="67"/>
      <c r="DZ4758" s="67"/>
      <c r="EA4758" s="67"/>
      <c r="EB4758" s="67"/>
      <c r="EC4758" s="67"/>
      <c r="ED4758" s="67"/>
      <c r="EE4758" s="67"/>
      <c r="EF4758" s="67"/>
      <c r="EG4758" s="67"/>
      <c r="EH4758" s="67"/>
      <c r="EI4758" s="67"/>
      <c r="EJ4758" s="67"/>
      <c r="EK4758" s="94"/>
      <c r="EL4758" s="94"/>
      <c r="EM4758" s="67"/>
      <c r="EN4758" s="67"/>
      <c r="EO4758" s="67"/>
      <c r="EP4758" s="67"/>
      <c r="EQ4758" s="67"/>
      <c r="ER4758" s="67"/>
      <c r="ES4758" s="67"/>
      <c r="ET4758" s="67"/>
      <c r="EU4758" s="67"/>
      <c r="EV4758" s="67"/>
      <c r="EW4758" s="67"/>
      <c r="EX4758" s="67"/>
      <c r="EY4758" s="67"/>
      <c r="EZ4758" s="67"/>
      <c r="FA4758" s="67"/>
      <c r="FB4758" s="67"/>
      <c r="FC4758" s="67"/>
      <c r="FD4758" s="67"/>
      <c r="FE4758" s="67"/>
      <c r="FF4758" s="67"/>
      <c r="FG4758" s="67"/>
      <c r="FH4758" s="67"/>
      <c r="FI4758" s="67"/>
      <c r="FJ4758" s="67"/>
      <c r="FK4758" s="67"/>
      <c r="FL4758" s="67"/>
      <c r="FM4758" s="67"/>
      <c r="FN4758" s="67"/>
      <c r="FO4758" s="67"/>
      <c r="FP4758" s="67"/>
      <c r="FQ4758" s="67"/>
      <c r="FR4758" s="67"/>
      <c r="FS4758" s="67"/>
      <c r="FT4758" s="67"/>
      <c r="FU4758" s="67"/>
      <c r="FV4758" s="67"/>
      <c r="FW4758" s="67"/>
      <c r="FX4758" s="67"/>
      <c r="FY4758" s="67"/>
      <c r="FZ4758" s="67"/>
      <c r="GA4758" s="67"/>
      <c r="GB4758" s="67"/>
      <c r="GC4758" s="67"/>
      <c r="GD4758" s="67"/>
      <c r="GE4758" s="67"/>
      <c r="GF4758" s="67"/>
      <c r="GG4758" s="67"/>
      <c r="GH4758" s="67"/>
      <c r="GI4758" s="67"/>
      <c r="GJ4758" s="67"/>
      <c r="GK4758" s="67"/>
      <c r="GL4758" s="67"/>
      <c r="GM4758" s="67"/>
      <c r="GN4758" s="292"/>
      <c r="GO4758" s="292"/>
      <c r="GP4758" s="292" t="s">
        <v>7494</v>
      </c>
      <c r="GQ4758" s="67"/>
      <c r="GR4758" s="67"/>
      <c r="GS4758" s="67"/>
      <c r="GT4758" s="67"/>
      <c r="GU4758" s="67"/>
      <c r="GV4758" s="67"/>
      <c r="GW4758" s="67"/>
      <c r="GX4758" s="67"/>
      <c r="GY4758" s="67"/>
      <c r="GZ4758" s="67"/>
      <c r="HA4758" s="67"/>
      <c r="HB4758" s="67"/>
      <c r="HC4758" s="67"/>
      <c r="HD4758" s="67"/>
      <c r="HE4758" s="67"/>
      <c r="HF4758" s="67"/>
      <c r="HG4758" s="67"/>
      <c r="HH4758" s="67"/>
      <c r="HI4758" s="67"/>
      <c r="HJ4758" s="67"/>
      <c r="HK4758" s="67"/>
      <c r="HL4758" s="67"/>
      <c r="HM4758" s="67"/>
      <c r="HN4758" s="67"/>
      <c r="HO4758" s="67"/>
      <c r="HP4758" s="67"/>
      <c r="HQ4758" s="67"/>
      <c r="HR4758" s="67"/>
      <c r="HS4758" s="67">
        <v>2.67</v>
      </c>
      <c r="HT4758" s="67">
        <v>4.74</v>
      </c>
      <c r="HU4758" s="67">
        <v>0.35</v>
      </c>
      <c r="HV4758" s="67">
        <f>5.19-HT4758</f>
        <v>0.45000000000000018</v>
      </c>
      <c r="HW4758" s="67" t="s">
        <v>5640</v>
      </c>
      <c r="HX4758" s="67"/>
      <c r="HY4758" s="67"/>
      <c r="HZ4758" s="67"/>
      <c r="IA4758" s="67"/>
      <c r="IB4758" s="67"/>
      <c r="IC4758" s="67"/>
      <c r="ID4758" s="67"/>
      <c r="IE4758" s="67"/>
      <c r="IF4758" s="67"/>
      <c r="IG4758" s="67"/>
      <c r="IH4758" s="67"/>
      <c r="II4758" s="67"/>
      <c r="IJ4758" s="67"/>
      <c r="IK4758" s="67"/>
      <c r="IL4758" s="67"/>
      <c r="IM4758" s="67"/>
      <c r="IN4758" s="67"/>
      <c r="IO4758" s="67"/>
      <c r="IP4758" s="67"/>
      <c r="IQ4758" s="67"/>
      <c r="IR4758" s="67"/>
      <c r="IS4758" s="67"/>
      <c r="IT4758" s="67"/>
      <c r="IU4758" s="67"/>
      <c r="IV4758" s="67"/>
      <c r="IW4758" s="67"/>
      <c r="IX4758" s="67"/>
      <c r="IY4758" s="67"/>
      <c r="IZ4758" s="67"/>
      <c r="JA4758" s="67"/>
      <c r="JB4758" s="67"/>
      <c r="JC4758" s="67"/>
      <c r="JD4758" s="67"/>
      <c r="JE4758" s="67"/>
      <c r="JF4758" s="67"/>
      <c r="JG4758" s="67"/>
      <c r="JH4758" s="67"/>
      <c r="JI4758" s="67"/>
      <c r="JJ4758" s="67"/>
      <c r="JK4758" s="67"/>
      <c r="JL4758" s="67"/>
      <c r="JM4758" s="67"/>
      <c r="JN4758" s="67"/>
      <c r="JO4758" s="67"/>
      <c r="JP4758" s="67"/>
      <c r="JQ4758" s="67"/>
      <c r="JR4758" s="67"/>
      <c r="JS4758" s="67"/>
      <c r="JT4758" s="67"/>
      <c r="JU4758" s="58" t="s">
        <v>5637</v>
      </c>
      <c r="JV4758" s="58"/>
      <c r="JW4758" s="58"/>
    </row>
    <row r="4759" spans="1:283" s="23" customFormat="1" x14ac:dyDescent="0.25">
      <c r="A4759" s="55">
        <v>4758</v>
      </c>
      <c r="B4759" s="12" t="s">
        <v>7067</v>
      </c>
      <c r="C4759" s="156">
        <v>209</v>
      </c>
      <c r="D4759" s="58" t="s">
        <v>4871</v>
      </c>
      <c r="E4759" s="160" t="str">
        <f>G4759</f>
        <v>Benitez et al. 2006-Granada_1</v>
      </c>
      <c r="F4759" s="160"/>
      <c r="G4759" s="60" t="s">
        <v>4858</v>
      </c>
      <c r="H4759" s="58">
        <v>2006</v>
      </c>
      <c r="I4759" s="58" t="s">
        <v>5470</v>
      </c>
      <c r="J4759" s="243" t="s">
        <v>112</v>
      </c>
      <c r="K4759" s="63" t="s">
        <v>5634</v>
      </c>
      <c r="L4759" s="58" t="s">
        <v>4516</v>
      </c>
      <c r="M4759" s="94">
        <v>38.47</v>
      </c>
      <c r="N4759" s="94">
        <v>-4.8099999999999996</v>
      </c>
      <c r="O4759" s="94">
        <v>597</v>
      </c>
      <c r="P4759" s="244"/>
      <c r="Q4759" s="58"/>
      <c r="R4759" s="244"/>
      <c r="S4759" s="94"/>
      <c r="T4759" s="58"/>
      <c r="U4759" s="58" t="s">
        <v>1688</v>
      </c>
      <c r="V4759" s="244">
        <v>3</v>
      </c>
      <c r="W4759" s="174"/>
      <c r="X4759" s="174"/>
      <c r="Y4759" s="58" t="s">
        <v>5636</v>
      </c>
      <c r="Z4759" s="244" t="s">
        <v>1375</v>
      </c>
      <c r="AA4759" s="245">
        <v>20</v>
      </c>
      <c r="AB4759" s="67"/>
      <c r="AC4759" s="67"/>
      <c r="AD4759" s="94"/>
      <c r="AE4759" s="94"/>
      <c r="AF4759" s="94"/>
      <c r="AG4759" s="245"/>
      <c r="AH4759" s="58"/>
      <c r="AI4759" s="169"/>
      <c r="AJ4759" s="94"/>
      <c r="AK4759" s="94"/>
      <c r="AL4759" s="58"/>
      <c r="AM4759" s="58"/>
      <c r="AN4759" s="186"/>
      <c r="AO4759" s="185" t="s">
        <v>7494</v>
      </c>
      <c r="AP4759" s="58"/>
      <c r="AQ4759" s="58"/>
      <c r="AR4759" s="58" t="s">
        <v>4638</v>
      </c>
      <c r="AS4759" s="246" t="s">
        <v>3471</v>
      </c>
      <c r="AT4759" s="247">
        <v>0</v>
      </c>
      <c r="AU4759" s="181" t="s">
        <v>7494</v>
      </c>
      <c r="AV4759" s="185" t="s">
        <v>176</v>
      </c>
      <c r="AW4759" s="244">
        <v>0</v>
      </c>
      <c r="AX4759" s="185" t="s">
        <v>176</v>
      </c>
      <c r="AY4759" s="244" t="s">
        <v>176</v>
      </c>
      <c r="AZ4759" s="58"/>
      <c r="BA4759" s="58"/>
      <c r="BB4759" s="58"/>
      <c r="BC4759" s="58"/>
      <c r="BD4759" s="58"/>
      <c r="BE4759" s="236" t="s">
        <v>5153</v>
      </c>
      <c r="BF4759" s="191" t="s">
        <v>176</v>
      </c>
      <c r="BG4759" s="191" t="s">
        <v>176</v>
      </c>
      <c r="BH4759" s="236" t="s">
        <v>5155</v>
      </c>
      <c r="BI4759" s="191" t="s">
        <v>479</v>
      </c>
      <c r="BJ4759" s="58" t="str">
        <f>IF(BE4759=BH4759,"No","yes")</f>
        <v>yes</v>
      </c>
      <c r="BK4759" s="58" t="s">
        <v>6334</v>
      </c>
      <c r="BL4759" s="58"/>
      <c r="BM4759" s="237"/>
      <c r="BN4759" s="244">
        <v>3</v>
      </c>
      <c r="BO4759" s="244">
        <v>3</v>
      </c>
      <c r="BP4759" s="58"/>
      <c r="BQ4759" s="58"/>
      <c r="BR4759" s="58"/>
      <c r="BS4759" s="58"/>
      <c r="BT4759" s="58"/>
      <c r="BU4759" s="58"/>
      <c r="BV4759" s="58"/>
      <c r="BW4759" s="67"/>
      <c r="BX4759" s="67"/>
      <c r="BY4759" s="67"/>
      <c r="BZ4759" s="67"/>
      <c r="CA4759" s="67"/>
      <c r="CB4759" s="70"/>
      <c r="CC4759" s="70"/>
      <c r="CD4759" s="70"/>
      <c r="CE4759" s="67"/>
      <c r="CF4759" s="67"/>
      <c r="CG4759" s="67"/>
      <c r="CH4759" s="245"/>
      <c r="CI4759" s="245"/>
      <c r="CJ4759" s="67"/>
      <c r="CK4759" s="67"/>
      <c r="CL4759" s="67"/>
      <c r="CM4759" s="242">
        <v>5.6000000000000001E-2</v>
      </c>
      <c r="CN4759" s="242">
        <v>0.88100000000000001</v>
      </c>
      <c r="CO4759" s="242">
        <f>0.24*SQRT(3)*0.1</f>
        <v>4.1569219381653054E-2</v>
      </c>
      <c r="CP4759" s="242">
        <f>0.52*SQRT(3)*0.1</f>
        <v>9.0066641993581623E-2</v>
      </c>
      <c r="CQ4759" s="242" t="s">
        <v>164</v>
      </c>
      <c r="CR4759" s="242"/>
      <c r="CS4759" s="242"/>
      <c r="CT4759" s="242"/>
      <c r="CU4759" s="242"/>
      <c r="CV4759" s="242" t="s">
        <v>5151</v>
      </c>
      <c r="CW4759" s="242"/>
      <c r="CX4759" s="242"/>
      <c r="CY4759" s="242"/>
      <c r="CZ4759" s="242"/>
      <c r="DA4759" s="67" t="s">
        <v>5443</v>
      </c>
      <c r="DB4759" s="67"/>
      <c r="DC4759" s="67"/>
      <c r="DD4759" s="67"/>
      <c r="DE4759" s="67"/>
      <c r="DF4759" s="67"/>
      <c r="DG4759" s="67"/>
      <c r="DH4759" s="67"/>
      <c r="DI4759" s="67"/>
      <c r="DJ4759" s="67"/>
      <c r="DK4759" s="67"/>
      <c r="DL4759" s="67"/>
      <c r="DM4759" s="67"/>
      <c r="DN4759" s="67"/>
      <c r="DO4759" s="67"/>
      <c r="DP4759" s="67"/>
      <c r="DQ4759" s="166">
        <v>6.94</v>
      </c>
      <c r="DR4759" s="166">
        <v>6.11</v>
      </c>
      <c r="DS4759" s="163">
        <f>0.04*SQRT(3)</f>
        <v>6.9282032302755092E-2</v>
      </c>
      <c r="DT4759" s="163">
        <f>0.25*SQRT(3)</f>
        <v>0.4330127018922193</v>
      </c>
      <c r="DU4759" s="67"/>
      <c r="DV4759" s="67"/>
      <c r="DW4759" s="67"/>
      <c r="DX4759" s="67"/>
      <c r="DY4759" s="67"/>
      <c r="DZ4759" s="67"/>
      <c r="EA4759" s="67"/>
      <c r="EB4759" s="67"/>
      <c r="EC4759" s="67"/>
      <c r="ED4759" s="67"/>
      <c r="EE4759" s="67"/>
      <c r="EF4759" s="67"/>
      <c r="EG4759" s="67"/>
      <c r="EH4759" s="67"/>
      <c r="EI4759" s="67"/>
      <c r="EJ4759" s="67"/>
      <c r="EK4759" s="94"/>
      <c r="EL4759" s="94"/>
      <c r="EM4759" s="67"/>
      <c r="EN4759" s="67"/>
      <c r="EO4759" s="67"/>
      <c r="EP4759" s="67"/>
      <c r="EQ4759" s="67"/>
      <c r="ER4759" s="67"/>
      <c r="ES4759" s="67"/>
      <c r="ET4759" s="67"/>
      <c r="EU4759" s="67"/>
      <c r="EV4759" s="67"/>
      <c r="EW4759" s="67"/>
      <c r="EX4759" s="67"/>
      <c r="EY4759" s="67"/>
      <c r="EZ4759" s="67"/>
      <c r="FA4759" s="67"/>
      <c r="FB4759" s="67"/>
      <c r="FC4759" s="67"/>
      <c r="FD4759" s="67"/>
      <c r="FE4759" s="67"/>
      <c r="FF4759" s="67"/>
      <c r="FG4759" s="67"/>
      <c r="FH4759" s="67"/>
      <c r="FI4759" s="67"/>
      <c r="FJ4759" s="67"/>
      <c r="FK4759" s="67"/>
      <c r="FL4759" s="67"/>
      <c r="FM4759" s="67"/>
      <c r="FN4759" s="67"/>
      <c r="FO4759" s="67"/>
      <c r="FP4759" s="67"/>
      <c r="FQ4759" s="67"/>
      <c r="FR4759" s="67"/>
      <c r="FS4759" s="67"/>
      <c r="FT4759" s="67"/>
      <c r="FU4759" s="67"/>
      <c r="FV4759" s="67"/>
      <c r="FW4759" s="67"/>
      <c r="FX4759" s="67"/>
      <c r="FY4759" s="67"/>
      <c r="FZ4759" s="67"/>
      <c r="GA4759" s="67"/>
      <c r="GB4759" s="67"/>
      <c r="GC4759" s="67"/>
      <c r="GD4759" s="67"/>
      <c r="GE4759" s="67"/>
      <c r="GF4759" s="67"/>
      <c r="GG4759" s="67"/>
      <c r="GH4759" s="67"/>
      <c r="GI4759" s="67"/>
      <c r="GJ4759" s="67"/>
      <c r="GK4759" s="67"/>
      <c r="GL4759" s="67"/>
      <c r="GM4759" s="67"/>
      <c r="GN4759" s="292"/>
      <c r="GO4759" s="292"/>
      <c r="GP4759" s="292" t="s">
        <v>7494</v>
      </c>
      <c r="GQ4759" s="67"/>
      <c r="GR4759" s="67"/>
      <c r="GS4759" s="67"/>
      <c r="GT4759" s="67"/>
      <c r="GU4759" s="67"/>
      <c r="GV4759" s="67"/>
      <c r="GW4759" s="67"/>
      <c r="GX4759" s="67"/>
      <c r="GY4759" s="67"/>
      <c r="GZ4759" s="67"/>
      <c r="HA4759" s="67"/>
      <c r="HB4759" s="67"/>
      <c r="HC4759" s="67"/>
      <c r="HD4759" s="67"/>
      <c r="HE4759" s="67"/>
      <c r="HF4759" s="67"/>
      <c r="HG4759" s="67"/>
      <c r="HH4759" s="67"/>
      <c r="HI4759" s="67"/>
      <c r="HJ4759" s="67"/>
      <c r="HK4759" s="67"/>
      <c r="HL4759" s="67"/>
      <c r="HM4759" s="67"/>
      <c r="HN4759" s="67"/>
      <c r="HO4759" s="67"/>
      <c r="HP4759" s="67"/>
      <c r="HQ4759" s="67"/>
      <c r="HR4759" s="67"/>
      <c r="HS4759" s="67">
        <v>1.76</v>
      </c>
      <c r="HT4759" s="67">
        <v>1.39</v>
      </c>
      <c r="HU4759" s="67">
        <f>1.96-HS4759</f>
        <v>0.19999999999999996</v>
      </c>
      <c r="HV4759" s="67">
        <f>1.58-HT4759</f>
        <v>0.19000000000000017</v>
      </c>
      <c r="HW4759" s="67" t="s">
        <v>5641</v>
      </c>
      <c r="HX4759" s="67"/>
      <c r="HY4759" s="67"/>
      <c r="HZ4759" s="67"/>
      <c r="IA4759" s="67"/>
      <c r="IB4759" s="67"/>
      <c r="IC4759" s="67"/>
      <c r="ID4759" s="67"/>
      <c r="IE4759" s="67"/>
      <c r="IF4759" s="67"/>
      <c r="IG4759" s="67"/>
      <c r="IH4759" s="67"/>
      <c r="II4759" s="67"/>
      <c r="IJ4759" s="67"/>
      <c r="IK4759" s="67"/>
      <c r="IL4759" s="67"/>
      <c r="IM4759" s="67"/>
      <c r="IN4759" s="67"/>
      <c r="IO4759" s="67"/>
      <c r="IP4759" s="67"/>
      <c r="IQ4759" s="67"/>
      <c r="IR4759" s="67"/>
      <c r="IS4759" s="67"/>
      <c r="IT4759" s="67"/>
      <c r="IU4759" s="67"/>
      <c r="IV4759" s="67"/>
      <c r="IW4759" s="67"/>
      <c r="IX4759" s="67"/>
      <c r="IY4759" s="67"/>
      <c r="IZ4759" s="67"/>
      <c r="JA4759" s="67"/>
      <c r="JB4759" s="67"/>
      <c r="JC4759" s="67"/>
      <c r="JD4759" s="67"/>
      <c r="JE4759" s="67"/>
      <c r="JF4759" s="67"/>
      <c r="JG4759" s="67"/>
      <c r="JH4759" s="67"/>
      <c r="JI4759" s="67"/>
      <c r="JJ4759" s="67"/>
      <c r="JK4759" s="67"/>
      <c r="JL4759" s="67"/>
      <c r="JM4759" s="67"/>
      <c r="JN4759" s="67"/>
      <c r="JO4759" s="67"/>
      <c r="JP4759" s="67"/>
      <c r="JQ4759" s="67"/>
      <c r="JR4759" s="67"/>
      <c r="JS4759" s="67"/>
      <c r="JT4759" s="67"/>
      <c r="JU4759" s="58" t="s">
        <v>5637</v>
      </c>
      <c r="JV4759" s="58"/>
      <c r="JW4759" s="58"/>
    </row>
    <row r="4760" spans="1:283" s="23" customFormat="1" x14ac:dyDescent="0.25">
      <c r="A4760" s="55">
        <v>4759</v>
      </c>
      <c r="B4760" s="12" t="s">
        <v>7067</v>
      </c>
      <c r="C4760" s="156">
        <v>209</v>
      </c>
      <c r="D4760" s="58" t="s">
        <v>4872</v>
      </c>
      <c r="E4760" s="160" t="str">
        <f>G4760</f>
        <v>Benitez et al. 2006-Granada_2</v>
      </c>
      <c r="F4760" s="160"/>
      <c r="G4760" s="60" t="s">
        <v>4857</v>
      </c>
      <c r="H4760" s="58">
        <v>2006</v>
      </c>
      <c r="I4760" s="58" t="s">
        <v>5470</v>
      </c>
      <c r="J4760" s="243" t="s">
        <v>112</v>
      </c>
      <c r="K4760" s="63" t="s">
        <v>5634</v>
      </c>
      <c r="L4760" s="58" t="s">
        <v>4516</v>
      </c>
      <c r="M4760" s="94">
        <v>38.47</v>
      </c>
      <c r="N4760" s="94">
        <v>-4.8099999999999996</v>
      </c>
      <c r="O4760" s="94">
        <v>597</v>
      </c>
      <c r="P4760" s="244"/>
      <c r="Q4760" s="58"/>
      <c r="R4760" s="244"/>
      <c r="S4760" s="94"/>
      <c r="T4760" s="58"/>
      <c r="U4760" s="58" t="s">
        <v>1688</v>
      </c>
      <c r="V4760" s="244">
        <v>3</v>
      </c>
      <c r="W4760" s="174"/>
      <c r="X4760" s="174"/>
      <c r="Y4760" s="58" t="s">
        <v>5636</v>
      </c>
      <c r="Z4760" s="244" t="s">
        <v>1375</v>
      </c>
      <c r="AA4760" s="245">
        <v>20</v>
      </c>
      <c r="AB4760" s="67"/>
      <c r="AC4760" s="67"/>
      <c r="AD4760" s="94"/>
      <c r="AE4760" s="94"/>
      <c r="AF4760" s="94"/>
      <c r="AG4760" s="245"/>
      <c r="AH4760" s="58"/>
      <c r="AI4760" s="169"/>
      <c r="AJ4760" s="94"/>
      <c r="AK4760" s="94"/>
      <c r="AL4760" s="58"/>
      <c r="AM4760" s="58"/>
      <c r="AN4760" s="186"/>
      <c r="AO4760" s="185" t="s">
        <v>7494</v>
      </c>
      <c r="AP4760" s="58"/>
      <c r="AQ4760" s="58"/>
      <c r="AR4760" s="58" t="s">
        <v>4638</v>
      </c>
      <c r="AS4760" s="246" t="s">
        <v>3471</v>
      </c>
      <c r="AT4760" s="247">
        <v>0</v>
      </c>
      <c r="AU4760" s="181" t="s">
        <v>7494</v>
      </c>
      <c r="AV4760" s="185" t="s">
        <v>176</v>
      </c>
      <c r="AW4760" s="244">
        <v>0</v>
      </c>
      <c r="AX4760" s="185" t="s">
        <v>176</v>
      </c>
      <c r="AY4760" s="244" t="s">
        <v>176</v>
      </c>
      <c r="AZ4760" s="58"/>
      <c r="BA4760" s="58"/>
      <c r="BB4760" s="58"/>
      <c r="BC4760" s="58"/>
      <c r="BD4760" s="58"/>
      <c r="BE4760" s="236" t="s">
        <v>5153</v>
      </c>
      <c r="BF4760" s="191" t="s">
        <v>176</v>
      </c>
      <c r="BG4760" s="191" t="s">
        <v>176</v>
      </c>
      <c r="BH4760" s="236" t="s">
        <v>5155</v>
      </c>
      <c r="BI4760" s="191" t="s">
        <v>479</v>
      </c>
      <c r="BJ4760" s="58" t="str">
        <f>IF(BE4760=BH4760,"No","yes")</f>
        <v>yes</v>
      </c>
      <c r="BK4760" s="58" t="s">
        <v>6334</v>
      </c>
      <c r="BL4760" s="58"/>
      <c r="BM4760" s="237"/>
      <c r="BN4760" s="244">
        <v>3</v>
      </c>
      <c r="BO4760" s="244">
        <v>3</v>
      </c>
      <c r="BP4760" s="58"/>
      <c r="BQ4760" s="58"/>
      <c r="BR4760" s="58"/>
      <c r="BS4760" s="58"/>
      <c r="BT4760" s="58"/>
      <c r="BU4760" s="58"/>
      <c r="BV4760" s="58"/>
      <c r="BW4760" s="67"/>
      <c r="BX4760" s="67"/>
      <c r="BY4760" s="67"/>
      <c r="BZ4760" s="67"/>
      <c r="CA4760" s="67"/>
      <c r="CB4760" s="70"/>
      <c r="CC4760" s="70"/>
      <c r="CD4760" s="70"/>
      <c r="CE4760" s="67"/>
      <c r="CF4760" s="67"/>
      <c r="CG4760" s="67"/>
      <c r="CH4760" s="245"/>
      <c r="CI4760" s="245"/>
      <c r="CJ4760" s="67"/>
      <c r="CK4760" s="67"/>
      <c r="CL4760" s="67"/>
      <c r="CM4760" s="242">
        <v>5.6000000000000001E-2</v>
      </c>
      <c r="CN4760" s="242">
        <v>1.1819999999999999</v>
      </c>
      <c r="CO4760" s="242">
        <f>0.24*SQRT(3)*0.1</f>
        <v>4.1569219381653054E-2</v>
      </c>
      <c r="CP4760" s="242">
        <f>0.86*SQRT(3)*0.1</f>
        <v>0.14895636945092344</v>
      </c>
      <c r="CQ4760" s="242" t="s">
        <v>164</v>
      </c>
      <c r="CR4760" s="242"/>
      <c r="CS4760" s="242"/>
      <c r="CT4760" s="242"/>
      <c r="CU4760" s="242"/>
      <c r="CV4760" s="242" t="s">
        <v>5151</v>
      </c>
      <c r="CW4760" s="242"/>
      <c r="CX4760" s="242"/>
      <c r="CY4760" s="242"/>
      <c r="CZ4760" s="242"/>
      <c r="DA4760" s="67" t="s">
        <v>5443</v>
      </c>
      <c r="DB4760" s="67"/>
      <c r="DC4760" s="67"/>
      <c r="DD4760" s="67"/>
      <c r="DE4760" s="67"/>
      <c r="DF4760" s="67"/>
      <c r="DG4760" s="67"/>
      <c r="DH4760" s="67"/>
      <c r="DI4760" s="67"/>
      <c r="DJ4760" s="67"/>
      <c r="DK4760" s="67"/>
      <c r="DL4760" s="67"/>
      <c r="DM4760" s="67"/>
      <c r="DN4760" s="67"/>
      <c r="DO4760" s="67"/>
      <c r="DP4760" s="67"/>
      <c r="DQ4760" s="166">
        <v>6.94</v>
      </c>
      <c r="DR4760" s="166">
        <v>6.34</v>
      </c>
      <c r="DS4760" s="163">
        <f>0.04*SQRT(3)</f>
        <v>6.9282032302755092E-2</v>
      </c>
      <c r="DT4760" s="163">
        <f>0.14*SQRT(3)</f>
        <v>0.24248711305964282</v>
      </c>
      <c r="DU4760" s="67"/>
      <c r="DV4760" s="67"/>
      <c r="DW4760" s="67"/>
      <c r="DX4760" s="67"/>
      <c r="DY4760" s="67"/>
      <c r="DZ4760" s="67"/>
      <c r="EA4760" s="67"/>
      <c r="EB4760" s="67"/>
      <c r="EC4760" s="67"/>
      <c r="ED4760" s="67"/>
      <c r="EE4760" s="67"/>
      <c r="EF4760" s="67"/>
      <c r="EG4760" s="67"/>
      <c r="EH4760" s="67"/>
      <c r="EI4760" s="67"/>
      <c r="EJ4760" s="67"/>
      <c r="EK4760" s="94"/>
      <c r="EL4760" s="94"/>
      <c r="EM4760" s="67"/>
      <c r="EN4760" s="67"/>
      <c r="EO4760" s="67"/>
      <c r="EP4760" s="67"/>
      <c r="EQ4760" s="67"/>
      <c r="ER4760" s="67"/>
      <c r="ES4760" s="67"/>
      <c r="ET4760" s="67"/>
      <c r="EU4760" s="67"/>
      <c r="EV4760" s="67"/>
      <c r="EW4760" s="67"/>
      <c r="EX4760" s="67"/>
      <c r="EY4760" s="67"/>
      <c r="EZ4760" s="67"/>
      <c r="FA4760" s="67"/>
      <c r="FB4760" s="67"/>
      <c r="FC4760" s="67"/>
      <c r="FD4760" s="67"/>
      <c r="FE4760" s="67"/>
      <c r="FF4760" s="67"/>
      <c r="FG4760" s="67"/>
      <c r="FH4760" s="67"/>
      <c r="FI4760" s="67"/>
      <c r="FJ4760" s="67"/>
      <c r="FK4760" s="67"/>
      <c r="FL4760" s="67"/>
      <c r="FM4760" s="67"/>
      <c r="FN4760" s="67"/>
      <c r="FO4760" s="67"/>
      <c r="FP4760" s="67"/>
      <c r="FQ4760" s="67"/>
      <c r="FR4760" s="67"/>
      <c r="FS4760" s="67"/>
      <c r="FT4760" s="67"/>
      <c r="FU4760" s="67"/>
      <c r="FV4760" s="67"/>
      <c r="FW4760" s="67"/>
      <c r="FX4760" s="67"/>
      <c r="FY4760" s="67"/>
      <c r="FZ4760" s="67"/>
      <c r="GA4760" s="67"/>
      <c r="GB4760" s="67"/>
      <c r="GC4760" s="67"/>
      <c r="GD4760" s="67"/>
      <c r="GE4760" s="67"/>
      <c r="GF4760" s="67"/>
      <c r="GG4760" s="67"/>
      <c r="GH4760" s="67"/>
      <c r="GI4760" s="67"/>
      <c r="GJ4760" s="67"/>
      <c r="GK4760" s="67"/>
      <c r="GL4760" s="67"/>
      <c r="GM4760" s="67"/>
      <c r="GN4760" s="292"/>
      <c r="GO4760" s="292"/>
      <c r="GP4760" s="292" t="s">
        <v>7494</v>
      </c>
      <c r="GQ4760" s="67"/>
      <c r="GR4760" s="67"/>
      <c r="GS4760" s="67"/>
      <c r="GT4760" s="67"/>
      <c r="GU4760" s="67"/>
      <c r="GV4760" s="67"/>
      <c r="GW4760" s="67"/>
      <c r="GX4760" s="67"/>
      <c r="GY4760" s="67"/>
      <c r="GZ4760" s="67"/>
      <c r="HA4760" s="67"/>
      <c r="HB4760" s="67"/>
      <c r="HC4760" s="67"/>
      <c r="HD4760" s="67"/>
      <c r="HE4760" s="67"/>
      <c r="HF4760" s="67"/>
      <c r="HG4760" s="67"/>
      <c r="HH4760" s="67"/>
      <c r="HI4760" s="67"/>
      <c r="HJ4760" s="67"/>
      <c r="HK4760" s="67"/>
      <c r="HL4760" s="67"/>
      <c r="HM4760" s="67"/>
      <c r="HN4760" s="67"/>
      <c r="HO4760" s="67"/>
      <c r="HP4760" s="67"/>
      <c r="HQ4760" s="67"/>
      <c r="HR4760" s="67"/>
      <c r="HS4760" s="67">
        <v>1.76</v>
      </c>
      <c r="HT4760" s="67">
        <v>2.17</v>
      </c>
      <c r="HU4760" s="67">
        <f>1.96-HS4760</f>
        <v>0.19999999999999996</v>
      </c>
      <c r="HV4760" s="67">
        <v>0.2</v>
      </c>
      <c r="HW4760" s="67" t="s">
        <v>5641</v>
      </c>
      <c r="HX4760" s="67"/>
      <c r="HY4760" s="67"/>
      <c r="HZ4760" s="67"/>
      <c r="IA4760" s="67"/>
      <c r="IB4760" s="67"/>
      <c r="IC4760" s="67"/>
      <c r="ID4760" s="67"/>
      <c r="IE4760" s="67"/>
      <c r="IF4760" s="67"/>
      <c r="IG4760" s="67"/>
      <c r="IH4760" s="67"/>
      <c r="II4760" s="67"/>
      <c r="IJ4760" s="67"/>
      <c r="IK4760" s="67"/>
      <c r="IL4760" s="67"/>
      <c r="IM4760" s="67"/>
      <c r="IN4760" s="67"/>
      <c r="IO4760" s="67"/>
      <c r="IP4760" s="67"/>
      <c r="IQ4760" s="67"/>
      <c r="IR4760" s="67"/>
      <c r="IS4760" s="67"/>
      <c r="IT4760" s="67"/>
      <c r="IU4760" s="67"/>
      <c r="IV4760" s="67"/>
      <c r="IW4760" s="67"/>
      <c r="IX4760" s="67"/>
      <c r="IY4760" s="67"/>
      <c r="IZ4760" s="67"/>
      <c r="JA4760" s="67"/>
      <c r="JB4760" s="67"/>
      <c r="JC4760" s="67"/>
      <c r="JD4760" s="67"/>
      <c r="JE4760" s="67"/>
      <c r="JF4760" s="67"/>
      <c r="JG4760" s="67"/>
      <c r="JH4760" s="67"/>
      <c r="JI4760" s="67"/>
      <c r="JJ4760" s="67"/>
      <c r="JK4760" s="67"/>
      <c r="JL4760" s="67"/>
      <c r="JM4760" s="67"/>
      <c r="JN4760" s="67"/>
      <c r="JO4760" s="67"/>
      <c r="JP4760" s="67"/>
      <c r="JQ4760" s="67"/>
      <c r="JR4760" s="67"/>
      <c r="JS4760" s="67"/>
      <c r="JT4760" s="67"/>
      <c r="JU4760" s="58" t="s">
        <v>5637</v>
      </c>
      <c r="JV4760" s="58"/>
      <c r="JW4760" s="58"/>
    </row>
    <row r="4761" spans="1:283" s="23" customFormat="1" x14ac:dyDescent="0.25">
      <c r="A4761" s="55">
        <v>4760</v>
      </c>
      <c r="B4761" s="12" t="s">
        <v>7067</v>
      </c>
      <c r="C4761" s="156">
        <v>209</v>
      </c>
      <c r="D4761" s="58" t="s">
        <v>4873</v>
      </c>
      <c r="E4761" s="160" t="str">
        <f>G4761</f>
        <v>Benitez et al. 2006-Granada_3</v>
      </c>
      <c r="F4761" s="160"/>
      <c r="G4761" s="60" t="s">
        <v>4856</v>
      </c>
      <c r="H4761" s="58">
        <v>2006</v>
      </c>
      <c r="I4761" s="58" t="s">
        <v>5470</v>
      </c>
      <c r="J4761" s="243" t="s">
        <v>112</v>
      </c>
      <c r="K4761" s="63" t="s">
        <v>5635</v>
      </c>
      <c r="L4761" s="58" t="s">
        <v>4516</v>
      </c>
      <c r="M4761" s="94">
        <v>37.46</v>
      </c>
      <c r="N4761" s="94">
        <v>-3.46</v>
      </c>
      <c r="O4761" s="94">
        <v>974</v>
      </c>
      <c r="P4761" s="244"/>
      <c r="Q4761" s="58"/>
      <c r="R4761" s="244"/>
      <c r="S4761" s="94"/>
      <c r="T4761" s="58"/>
      <c r="U4761" s="58" t="s">
        <v>1688</v>
      </c>
      <c r="V4761" s="244">
        <v>3</v>
      </c>
      <c r="W4761" s="174"/>
      <c r="X4761" s="174"/>
      <c r="Y4761" s="58" t="s">
        <v>5636</v>
      </c>
      <c r="Z4761" s="244" t="s">
        <v>1375</v>
      </c>
      <c r="AA4761" s="245">
        <v>20</v>
      </c>
      <c r="AB4761" s="67"/>
      <c r="AC4761" s="67"/>
      <c r="AD4761" s="94"/>
      <c r="AE4761" s="94"/>
      <c r="AF4761" s="94"/>
      <c r="AG4761" s="245"/>
      <c r="AH4761" s="58"/>
      <c r="AI4761" s="169"/>
      <c r="AJ4761" s="94"/>
      <c r="AK4761" s="94"/>
      <c r="AL4761" s="58"/>
      <c r="AM4761" s="58"/>
      <c r="AN4761" s="186"/>
      <c r="AO4761" s="185" t="s">
        <v>7494</v>
      </c>
      <c r="AP4761" s="58"/>
      <c r="AQ4761" s="58"/>
      <c r="AR4761" s="58" t="s">
        <v>4638</v>
      </c>
      <c r="AS4761" s="246" t="s">
        <v>3471</v>
      </c>
      <c r="AT4761" s="247">
        <v>0</v>
      </c>
      <c r="AU4761" s="181" t="s">
        <v>7494</v>
      </c>
      <c r="AV4761" s="185" t="s">
        <v>176</v>
      </c>
      <c r="AW4761" s="244">
        <v>0</v>
      </c>
      <c r="AX4761" s="185" t="s">
        <v>176</v>
      </c>
      <c r="AY4761" s="244" t="s">
        <v>176</v>
      </c>
      <c r="AZ4761" s="58"/>
      <c r="BA4761" s="58"/>
      <c r="BB4761" s="58"/>
      <c r="BC4761" s="58"/>
      <c r="BD4761" s="58"/>
      <c r="BE4761" s="236" t="s">
        <v>5153</v>
      </c>
      <c r="BF4761" s="191" t="s">
        <v>176</v>
      </c>
      <c r="BG4761" s="191" t="s">
        <v>176</v>
      </c>
      <c r="BH4761" s="236" t="s">
        <v>5155</v>
      </c>
      <c r="BI4761" s="191" t="s">
        <v>479</v>
      </c>
      <c r="BJ4761" s="58" t="str">
        <f>IF(BE4761=BH4761,"No","yes")</f>
        <v>yes</v>
      </c>
      <c r="BK4761" s="58" t="s">
        <v>6334</v>
      </c>
      <c r="BL4761" s="58"/>
      <c r="BM4761" s="237"/>
      <c r="BN4761" s="244">
        <v>3</v>
      </c>
      <c r="BO4761" s="244">
        <v>3</v>
      </c>
      <c r="BP4761" s="58"/>
      <c r="BQ4761" s="58"/>
      <c r="BR4761" s="58"/>
      <c r="BS4761" s="58"/>
      <c r="BT4761" s="58"/>
      <c r="BU4761" s="58"/>
      <c r="BV4761" s="58"/>
      <c r="BW4761" s="67"/>
      <c r="BX4761" s="67"/>
      <c r="BY4761" s="67"/>
      <c r="BZ4761" s="67"/>
      <c r="CA4761" s="67"/>
      <c r="CB4761" s="70"/>
      <c r="CC4761" s="70"/>
      <c r="CD4761" s="70"/>
      <c r="CE4761" s="67"/>
      <c r="CF4761" s="67"/>
      <c r="CG4761" s="67"/>
      <c r="CH4761" s="245"/>
      <c r="CI4761" s="245"/>
      <c r="CJ4761" s="67"/>
      <c r="CK4761" s="67"/>
      <c r="CL4761" s="67"/>
      <c r="CM4761" s="242">
        <v>1.0649999999999999</v>
      </c>
      <c r="CN4761" s="242">
        <v>1.504</v>
      </c>
      <c r="CO4761" s="242">
        <f>0.52*SQRT(3)*0.1</f>
        <v>9.0066641993581623E-2</v>
      </c>
      <c r="CP4761" s="242">
        <f>0.96*SQRT(3)*0.1</f>
        <v>0.16627687752661222</v>
      </c>
      <c r="CQ4761" s="242" t="s">
        <v>164</v>
      </c>
      <c r="CR4761" s="242"/>
      <c r="CS4761" s="242"/>
      <c r="CT4761" s="242"/>
      <c r="CU4761" s="242"/>
      <c r="CV4761" s="242" t="s">
        <v>5151</v>
      </c>
      <c r="CW4761" s="242"/>
      <c r="CX4761" s="242"/>
      <c r="CY4761" s="242"/>
      <c r="CZ4761" s="242"/>
      <c r="DA4761" s="67" t="s">
        <v>5443</v>
      </c>
      <c r="DB4761" s="67"/>
      <c r="DC4761" s="67"/>
      <c r="DD4761" s="67"/>
      <c r="DE4761" s="67"/>
      <c r="DF4761" s="67"/>
      <c r="DG4761" s="67"/>
      <c r="DH4761" s="67"/>
      <c r="DI4761" s="67"/>
      <c r="DJ4761" s="67"/>
      <c r="DK4761" s="67"/>
      <c r="DL4761" s="67"/>
      <c r="DM4761" s="67"/>
      <c r="DN4761" s="67"/>
      <c r="DO4761" s="67"/>
      <c r="DP4761" s="67"/>
      <c r="DQ4761" s="166">
        <v>8.36</v>
      </c>
      <c r="DR4761" s="166">
        <v>8.42</v>
      </c>
      <c r="DS4761" s="163">
        <f>0.03*SQRT(3)</f>
        <v>5.1961524227066312E-2</v>
      </c>
      <c r="DT4761" s="163">
        <f>0.13*SQRT(3)</f>
        <v>0.22516660498395405</v>
      </c>
      <c r="DU4761" s="67"/>
      <c r="DV4761" s="67"/>
      <c r="DW4761" s="67"/>
      <c r="DX4761" s="67"/>
      <c r="DY4761" s="67"/>
      <c r="DZ4761" s="67"/>
      <c r="EA4761" s="67"/>
      <c r="EB4761" s="67"/>
      <c r="EC4761" s="67"/>
      <c r="ED4761" s="67"/>
      <c r="EE4761" s="67"/>
      <c r="EF4761" s="67"/>
      <c r="EG4761" s="67"/>
      <c r="EH4761" s="67"/>
      <c r="EI4761" s="67"/>
      <c r="EJ4761" s="67"/>
      <c r="EK4761" s="94"/>
      <c r="EL4761" s="94"/>
      <c r="EM4761" s="67"/>
      <c r="EN4761" s="67"/>
      <c r="EO4761" s="67"/>
      <c r="EP4761" s="67"/>
      <c r="EQ4761" s="67"/>
      <c r="ER4761" s="67"/>
      <c r="ES4761" s="67"/>
      <c r="ET4761" s="67"/>
      <c r="EU4761" s="67"/>
      <c r="EV4761" s="67"/>
      <c r="EW4761" s="67"/>
      <c r="EX4761" s="67"/>
      <c r="EY4761" s="67"/>
      <c r="EZ4761" s="67"/>
      <c r="FA4761" s="67"/>
      <c r="FB4761" s="67"/>
      <c r="FC4761" s="67"/>
      <c r="FD4761" s="67"/>
      <c r="FE4761" s="67"/>
      <c r="FF4761" s="67"/>
      <c r="FG4761" s="67"/>
      <c r="FH4761" s="67"/>
      <c r="FI4761" s="67"/>
      <c r="FJ4761" s="67"/>
      <c r="FK4761" s="67"/>
      <c r="FL4761" s="67"/>
      <c r="FM4761" s="67"/>
      <c r="FN4761" s="67"/>
      <c r="FO4761" s="67"/>
      <c r="FP4761" s="67"/>
      <c r="FQ4761" s="67"/>
      <c r="FR4761" s="67"/>
      <c r="FS4761" s="67"/>
      <c r="FT4761" s="67"/>
      <c r="FU4761" s="67"/>
      <c r="FV4761" s="67"/>
      <c r="FW4761" s="67"/>
      <c r="FX4761" s="67"/>
      <c r="FY4761" s="67"/>
      <c r="FZ4761" s="67"/>
      <c r="GA4761" s="67"/>
      <c r="GB4761" s="67"/>
      <c r="GC4761" s="67"/>
      <c r="GD4761" s="67"/>
      <c r="GE4761" s="67"/>
      <c r="GF4761" s="67"/>
      <c r="GG4761" s="67"/>
      <c r="GH4761" s="67"/>
      <c r="GI4761" s="67"/>
      <c r="GJ4761" s="67"/>
      <c r="GK4761" s="67"/>
      <c r="GL4761" s="67"/>
      <c r="GM4761" s="67"/>
      <c r="GN4761" s="292"/>
      <c r="GO4761" s="292"/>
      <c r="GP4761" s="292" t="s">
        <v>7494</v>
      </c>
      <c r="GQ4761" s="67"/>
      <c r="GR4761" s="67"/>
      <c r="GS4761" s="67"/>
      <c r="GT4761" s="67"/>
      <c r="GU4761" s="67"/>
      <c r="GV4761" s="67"/>
      <c r="GW4761" s="67"/>
      <c r="GX4761" s="67"/>
      <c r="GY4761" s="67"/>
      <c r="GZ4761" s="67"/>
      <c r="HA4761" s="67"/>
      <c r="HB4761" s="67"/>
      <c r="HC4761" s="67"/>
      <c r="HD4761" s="67"/>
      <c r="HE4761" s="67"/>
      <c r="HF4761" s="67"/>
      <c r="HG4761" s="67"/>
      <c r="HH4761" s="67"/>
      <c r="HI4761" s="67"/>
      <c r="HJ4761" s="67"/>
      <c r="HK4761" s="67"/>
      <c r="HL4761" s="67"/>
      <c r="HM4761" s="67"/>
      <c r="HN4761" s="67"/>
      <c r="HO4761" s="67"/>
      <c r="HP4761" s="67"/>
      <c r="HQ4761" s="67"/>
      <c r="HR4761" s="67"/>
      <c r="HS4761" s="67">
        <v>3.59</v>
      </c>
      <c r="HT4761" s="67">
        <v>4.3499999999999996</v>
      </c>
      <c r="HU4761" s="67">
        <v>0.4</v>
      </c>
      <c r="HV4761" s="67">
        <v>0.2</v>
      </c>
      <c r="HW4761" s="67" t="s">
        <v>5642</v>
      </c>
      <c r="HX4761" s="67"/>
      <c r="HY4761" s="67"/>
      <c r="HZ4761" s="67"/>
      <c r="IA4761" s="67"/>
      <c r="IB4761" s="67"/>
      <c r="IC4761" s="67"/>
      <c r="ID4761" s="67"/>
      <c r="IE4761" s="67"/>
      <c r="IF4761" s="67"/>
      <c r="IG4761" s="67"/>
      <c r="IH4761" s="67"/>
      <c r="II4761" s="67"/>
      <c r="IJ4761" s="67"/>
      <c r="IK4761" s="67"/>
      <c r="IL4761" s="67"/>
      <c r="IM4761" s="67"/>
      <c r="IN4761" s="67"/>
      <c r="IO4761" s="67"/>
      <c r="IP4761" s="67"/>
      <c r="IQ4761" s="67"/>
      <c r="IR4761" s="67"/>
      <c r="IS4761" s="67"/>
      <c r="IT4761" s="67"/>
      <c r="IU4761" s="67"/>
      <c r="IV4761" s="67"/>
      <c r="IW4761" s="67"/>
      <c r="IX4761" s="67"/>
      <c r="IY4761" s="67"/>
      <c r="IZ4761" s="67"/>
      <c r="JA4761" s="67"/>
      <c r="JB4761" s="67"/>
      <c r="JC4761" s="67"/>
      <c r="JD4761" s="67"/>
      <c r="JE4761" s="67"/>
      <c r="JF4761" s="67"/>
      <c r="JG4761" s="67"/>
      <c r="JH4761" s="67"/>
      <c r="JI4761" s="67"/>
      <c r="JJ4761" s="67"/>
      <c r="JK4761" s="67"/>
      <c r="JL4761" s="67"/>
      <c r="JM4761" s="67"/>
      <c r="JN4761" s="67"/>
      <c r="JO4761" s="67"/>
      <c r="JP4761" s="67"/>
      <c r="JQ4761" s="67"/>
      <c r="JR4761" s="67"/>
      <c r="JS4761" s="67"/>
      <c r="JT4761" s="67"/>
      <c r="JU4761" s="58" t="s">
        <v>5637</v>
      </c>
      <c r="JV4761" s="58"/>
      <c r="JW4761" s="58"/>
    </row>
    <row r="4762" spans="1:283" s="23" customFormat="1" x14ac:dyDescent="0.25">
      <c r="A4762" s="55">
        <v>4761</v>
      </c>
      <c r="B4762" s="12" t="s">
        <v>7067</v>
      </c>
      <c r="C4762" s="156">
        <v>209</v>
      </c>
      <c r="D4762" s="58" t="s">
        <v>4874</v>
      </c>
      <c r="E4762" s="160" t="str">
        <f>G4762</f>
        <v>Benitez et al. 2006-Granada_4</v>
      </c>
      <c r="F4762" s="160"/>
      <c r="G4762" s="60" t="s">
        <v>4855</v>
      </c>
      <c r="H4762" s="58">
        <v>2006</v>
      </c>
      <c r="I4762" s="58" t="s">
        <v>5470</v>
      </c>
      <c r="J4762" s="243" t="s">
        <v>112</v>
      </c>
      <c r="K4762" s="63" t="s">
        <v>5635</v>
      </c>
      <c r="L4762" s="58" t="s">
        <v>4516</v>
      </c>
      <c r="M4762" s="94">
        <v>37.46</v>
      </c>
      <c r="N4762" s="94">
        <v>-3.46</v>
      </c>
      <c r="O4762" s="94">
        <v>974</v>
      </c>
      <c r="P4762" s="244"/>
      <c r="Q4762" s="58"/>
      <c r="R4762" s="244"/>
      <c r="S4762" s="94"/>
      <c r="T4762" s="58"/>
      <c r="U4762" s="58" t="s">
        <v>1688</v>
      </c>
      <c r="V4762" s="244">
        <v>3</v>
      </c>
      <c r="W4762" s="174"/>
      <c r="X4762" s="174"/>
      <c r="Y4762" s="58" t="s">
        <v>5636</v>
      </c>
      <c r="Z4762" s="244" t="s">
        <v>1375</v>
      </c>
      <c r="AA4762" s="245">
        <v>20</v>
      </c>
      <c r="AB4762" s="67"/>
      <c r="AC4762" s="67"/>
      <c r="AD4762" s="94"/>
      <c r="AE4762" s="94"/>
      <c r="AF4762" s="94"/>
      <c r="AG4762" s="245"/>
      <c r="AH4762" s="58"/>
      <c r="AI4762" s="169"/>
      <c r="AJ4762" s="94"/>
      <c r="AK4762" s="94"/>
      <c r="AL4762" s="58"/>
      <c r="AM4762" s="58"/>
      <c r="AN4762" s="186"/>
      <c r="AO4762" s="185" t="s">
        <v>7494</v>
      </c>
      <c r="AP4762" s="58"/>
      <c r="AQ4762" s="58"/>
      <c r="AR4762" s="58" t="s">
        <v>4638</v>
      </c>
      <c r="AS4762" s="246" t="s">
        <v>3471</v>
      </c>
      <c r="AT4762" s="247">
        <v>0</v>
      </c>
      <c r="AU4762" s="181" t="s">
        <v>7494</v>
      </c>
      <c r="AV4762" s="185" t="s">
        <v>176</v>
      </c>
      <c r="AW4762" s="244">
        <v>0</v>
      </c>
      <c r="AX4762" s="185" t="s">
        <v>176</v>
      </c>
      <c r="AY4762" s="244" t="s">
        <v>176</v>
      </c>
      <c r="AZ4762" s="58"/>
      <c r="BA4762" s="58"/>
      <c r="BB4762" s="58"/>
      <c r="BC4762" s="58"/>
      <c r="BD4762" s="58"/>
      <c r="BE4762" s="236" t="s">
        <v>5153</v>
      </c>
      <c r="BF4762" s="191" t="s">
        <v>176</v>
      </c>
      <c r="BG4762" s="191" t="s">
        <v>176</v>
      </c>
      <c r="BH4762" s="236" t="s">
        <v>5155</v>
      </c>
      <c r="BI4762" s="191" t="s">
        <v>479</v>
      </c>
      <c r="BJ4762" s="58" t="str">
        <f>IF(BE4762=BH4762,"No","yes")</f>
        <v>yes</v>
      </c>
      <c r="BK4762" s="58" t="s">
        <v>6334</v>
      </c>
      <c r="BL4762" s="58"/>
      <c r="BM4762" s="237"/>
      <c r="BN4762" s="244">
        <v>3</v>
      </c>
      <c r="BO4762" s="244">
        <v>3</v>
      </c>
      <c r="BP4762" s="58"/>
      <c r="BQ4762" s="58"/>
      <c r="BR4762" s="58"/>
      <c r="BS4762" s="58"/>
      <c r="BT4762" s="58"/>
      <c r="BU4762" s="58"/>
      <c r="BV4762" s="58"/>
      <c r="BW4762" s="67"/>
      <c r="BX4762" s="67"/>
      <c r="BY4762" s="67"/>
      <c r="BZ4762" s="67"/>
      <c r="CA4762" s="67"/>
      <c r="CB4762" s="70"/>
      <c r="CC4762" s="70"/>
      <c r="CD4762" s="70"/>
      <c r="CE4762" s="67"/>
      <c r="CF4762" s="67"/>
      <c r="CG4762" s="67"/>
      <c r="CH4762" s="245"/>
      <c r="CI4762" s="245"/>
      <c r="CJ4762" s="67"/>
      <c r="CK4762" s="67"/>
      <c r="CL4762" s="67"/>
      <c r="CM4762" s="242">
        <v>1.0649999999999999</v>
      </c>
      <c r="CN4762" s="242">
        <v>1.1339999999999999</v>
      </c>
      <c r="CO4762" s="242">
        <f>0.52*SQRT(3)*0.1</f>
        <v>9.0066641993581623E-2</v>
      </c>
      <c r="CP4762" s="242">
        <f>0.57*SQRT(3)*0.1</f>
        <v>9.8726896031425995E-2</v>
      </c>
      <c r="CQ4762" s="242" t="s">
        <v>164</v>
      </c>
      <c r="CR4762" s="242"/>
      <c r="CS4762" s="242"/>
      <c r="CT4762" s="242"/>
      <c r="CU4762" s="242"/>
      <c r="CV4762" s="242" t="s">
        <v>5151</v>
      </c>
      <c r="CW4762" s="242"/>
      <c r="CX4762" s="242"/>
      <c r="CY4762" s="242"/>
      <c r="CZ4762" s="242"/>
      <c r="DA4762" s="67" t="s">
        <v>5443</v>
      </c>
      <c r="DB4762" s="67"/>
      <c r="DC4762" s="67"/>
      <c r="DD4762" s="67"/>
      <c r="DE4762" s="67"/>
      <c r="DF4762" s="67"/>
      <c r="DG4762" s="67"/>
      <c r="DH4762" s="67"/>
      <c r="DI4762" s="67"/>
      <c r="DJ4762" s="67"/>
      <c r="DK4762" s="67"/>
      <c r="DL4762" s="67"/>
      <c r="DM4762" s="67"/>
      <c r="DN4762" s="67"/>
      <c r="DO4762" s="67"/>
      <c r="DP4762" s="67"/>
      <c r="DQ4762" s="166">
        <v>8.36</v>
      </c>
      <c r="DR4762" s="166">
        <v>8.4499999999999993</v>
      </c>
      <c r="DS4762" s="163">
        <f>0.03*SQRT(3)</f>
        <v>5.1961524227066312E-2</v>
      </c>
      <c r="DT4762" s="163">
        <f>0.15*SQRT(3)</f>
        <v>0.25980762113533157</v>
      </c>
      <c r="DU4762" s="67"/>
      <c r="DV4762" s="67"/>
      <c r="DW4762" s="67"/>
      <c r="DX4762" s="67"/>
      <c r="DY4762" s="67"/>
      <c r="DZ4762" s="67"/>
      <c r="EA4762" s="67"/>
      <c r="EB4762" s="67"/>
      <c r="EC4762" s="67"/>
      <c r="ED4762" s="67"/>
      <c r="EE4762" s="67"/>
      <c r="EF4762" s="67"/>
      <c r="EG4762" s="67"/>
      <c r="EH4762" s="67"/>
      <c r="EI4762" s="67"/>
      <c r="EJ4762" s="67"/>
      <c r="EK4762" s="94"/>
      <c r="EL4762" s="94"/>
      <c r="EM4762" s="67"/>
      <c r="EN4762" s="67"/>
      <c r="EO4762" s="67"/>
      <c r="EP4762" s="67"/>
      <c r="EQ4762" s="67"/>
      <c r="ER4762" s="67"/>
      <c r="ES4762" s="67"/>
      <c r="ET4762" s="67"/>
      <c r="EU4762" s="67"/>
      <c r="EV4762" s="67"/>
      <c r="EW4762" s="67"/>
      <c r="EX4762" s="67"/>
      <c r="EY4762" s="67"/>
      <c r="EZ4762" s="67"/>
      <c r="FA4762" s="67"/>
      <c r="FB4762" s="67"/>
      <c r="FC4762" s="67"/>
      <c r="FD4762" s="67"/>
      <c r="FE4762" s="67"/>
      <c r="FF4762" s="67"/>
      <c r="FG4762" s="67"/>
      <c r="FH4762" s="67"/>
      <c r="FI4762" s="67"/>
      <c r="FJ4762" s="67"/>
      <c r="FK4762" s="67"/>
      <c r="FL4762" s="67"/>
      <c r="FM4762" s="67"/>
      <c r="FN4762" s="67"/>
      <c r="FO4762" s="67"/>
      <c r="FP4762" s="67"/>
      <c r="FQ4762" s="67"/>
      <c r="FR4762" s="67"/>
      <c r="FS4762" s="67"/>
      <c r="FT4762" s="67"/>
      <c r="FU4762" s="67"/>
      <c r="FV4762" s="67"/>
      <c r="FW4762" s="67"/>
      <c r="FX4762" s="67"/>
      <c r="FY4762" s="67"/>
      <c r="FZ4762" s="67"/>
      <c r="GA4762" s="67"/>
      <c r="GB4762" s="67"/>
      <c r="GC4762" s="67"/>
      <c r="GD4762" s="67"/>
      <c r="GE4762" s="67"/>
      <c r="GF4762" s="67"/>
      <c r="GG4762" s="67"/>
      <c r="GH4762" s="67"/>
      <c r="GI4762" s="67"/>
      <c r="GJ4762" s="67"/>
      <c r="GK4762" s="67"/>
      <c r="GL4762" s="67"/>
      <c r="GM4762" s="67"/>
      <c r="GN4762" s="292"/>
      <c r="GO4762" s="292"/>
      <c r="GP4762" s="292" t="s">
        <v>7494</v>
      </c>
      <c r="GQ4762" s="67"/>
      <c r="GR4762" s="67"/>
      <c r="GS4762" s="67"/>
      <c r="GT4762" s="67"/>
      <c r="GU4762" s="67"/>
      <c r="GV4762" s="67"/>
      <c r="GW4762" s="67"/>
      <c r="GX4762" s="67"/>
      <c r="GY4762" s="67"/>
      <c r="GZ4762" s="67"/>
      <c r="HA4762" s="67"/>
      <c r="HB4762" s="67"/>
      <c r="HC4762" s="67"/>
      <c r="HD4762" s="67"/>
      <c r="HE4762" s="67"/>
      <c r="HF4762" s="67"/>
      <c r="HG4762" s="67"/>
      <c r="HH4762" s="67"/>
      <c r="HI4762" s="67"/>
      <c r="HJ4762" s="67"/>
      <c r="HK4762" s="67"/>
      <c r="HL4762" s="67"/>
      <c r="HM4762" s="67"/>
      <c r="HN4762" s="67"/>
      <c r="HO4762" s="67"/>
      <c r="HP4762" s="67"/>
      <c r="HQ4762" s="67"/>
      <c r="HR4762" s="67"/>
      <c r="HS4762" s="67">
        <v>3.59</v>
      </c>
      <c r="HT4762" s="67">
        <v>4.18</v>
      </c>
      <c r="HU4762" s="67">
        <v>0.4</v>
      </c>
      <c r="HV4762" s="67">
        <f>4.67-HT4762</f>
        <v>0.49000000000000021</v>
      </c>
      <c r="HW4762" s="67" t="s">
        <v>5642</v>
      </c>
      <c r="HX4762" s="67"/>
      <c r="HY4762" s="67"/>
      <c r="HZ4762" s="67"/>
      <c r="IA4762" s="67"/>
      <c r="IB4762" s="67"/>
      <c r="IC4762" s="67"/>
      <c r="ID4762" s="67"/>
      <c r="IE4762" s="67"/>
      <c r="IF4762" s="67"/>
      <c r="IG4762" s="67"/>
      <c r="IH4762" s="67"/>
      <c r="II4762" s="67"/>
      <c r="IJ4762" s="67"/>
      <c r="IK4762" s="67"/>
      <c r="IL4762" s="67"/>
      <c r="IM4762" s="67"/>
      <c r="IN4762" s="67"/>
      <c r="IO4762" s="67"/>
      <c r="IP4762" s="67"/>
      <c r="IQ4762" s="67"/>
      <c r="IR4762" s="67"/>
      <c r="IS4762" s="67"/>
      <c r="IT4762" s="67"/>
      <c r="IU4762" s="67"/>
      <c r="IV4762" s="67"/>
      <c r="IW4762" s="67"/>
      <c r="IX4762" s="67"/>
      <c r="IY4762" s="67"/>
      <c r="IZ4762" s="67"/>
      <c r="JA4762" s="67"/>
      <c r="JB4762" s="67"/>
      <c r="JC4762" s="67"/>
      <c r="JD4762" s="67"/>
      <c r="JE4762" s="67"/>
      <c r="JF4762" s="67"/>
      <c r="JG4762" s="67"/>
      <c r="JH4762" s="67"/>
      <c r="JI4762" s="67"/>
      <c r="JJ4762" s="67"/>
      <c r="JK4762" s="67"/>
      <c r="JL4762" s="67"/>
      <c r="JM4762" s="67"/>
      <c r="JN4762" s="67"/>
      <c r="JO4762" s="67"/>
      <c r="JP4762" s="67"/>
      <c r="JQ4762" s="67"/>
      <c r="JR4762" s="67"/>
      <c r="JS4762" s="67"/>
      <c r="JT4762" s="67"/>
      <c r="JU4762" s="58" t="s">
        <v>5637</v>
      </c>
      <c r="JV4762" s="58"/>
      <c r="JW4762" s="58"/>
    </row>
    <row r="4763" spans="1:283" s="23" customFormat="1" x14ac:dyDescent="0.25">
      <c r="A4763" s="55">
        <v>4762</v>
      </c>
      <c r="B4763" s="12" t="s">
        <v>7067</v>
      </c>
      <c r="C4763" s="156">
        <v>209</v>
      </c>
      <c r="D4763" s="58" t="s">
        <v>4875</v>
      </c>
      <c r="E4763" s="160" t="str">
        <f>G4763</f>
        <v>Benitez et al. 2006-Granada_5</v>
      </c>
      <c r="F4763" s="160"/>
      <c r="G4763" s="60" t="s">
        <v>4854</v>
      </c>
      <c r="H4763" s="58">
        <v>2006</v>
      </c>
      <c r="I4763" s="58" t="s">
        <v>5470</v>
      </c>
      <c r="J4763" s="243" t="s">
        <v>112</v>
      </c>
      <c r="K4763" s="63" t="s">
        <v>5635</v>
      </c>
      <c r="L4763" s="58" t="s">
        <v>4516</v>
      </c>
      <c r="M4763" s="94">
        <v>37.46</v>
      </c>
      <c r="N4763" s="94">
        <v>-3.46</v>
      </c>
      <c r="O4763" s="94">
        <v>974</v>
      </c>
      <c r="P4763" s="244"/>
      <c r="Q4763" s="58"/>
      <c r="R4763" s="244"/>
      <c r="S4763" s="94"/>
      <c r="T4763" s="58"/>
      <c r="U4763" s="58" t="s">
        <v>1688</v>
      </c>
      <c r="V4763" s="244">
        <v>3</v>
      </c>
      <c r="W4763" s="174"/>
      <c r="X4763" s="174"/>
      <c r="Y4763" s="58" t="s">
        <v>5636</v>
      </c>
      <c r="Z4763" s="244" t="s">
        <v>1375</v>
      </c>
      <c r="AA4763" s="245">
        <v>20</v>
      </c>
      <c r="AB4763" s="67"/>
      <c r="AC4763" s="67"/>
      <c r="AD4763" s="94"/>
      <c r="AE4763" s="94"/>
      <c r="AF4763" s="94"/>
      <c r="AG4763" s="245"/>
      <c r="AH4763" s="58"/>
      <c r="AI4763" s="169"/>
      <c r="AJ4763" s="94"/>
      <c r="AK4763" s="94"/>
      <c r="AL4763" s="58"/>
      <c r="AM4763" s="58"/>
      <c r="AN4763" s="186"/>
      <c r="AO4763" s="185" t="s">
        <v>7494</v>
      </c>
      <c r="AP4763" s="58"/>
      <c r="AQ4763" s="58"/>
      <c r="AR4763" s="58" t="s">
        <v>4638</v>
      </c>
      <c r="AS4763" s="246" t="s">
        <v>3471</v>
      </c>
      <c r="AT4763" s="247">
        <v>0</v>
      </c>
      <c r="AU4763" s="181" t="s">
        <v>7494</v>
      </c>
      <c r="AV4763" s="185" t="s">
        <v>176</v>
      </c>
      <c r="AW4763" s="244">
        <v>0</v>
      </c>
      <c r="AX4763" s="185" t="s">
        <v>176</v>
      </c>
      <c r="AY4763" s="244" t="s">
        <v>176</v>
      </c>
      <c r="AZ4763" s="58"/>
      <c r="BA4763" s="58"/>
      <c r="BB4763" s="58"/>
      <c r="BC4763" s="58"/>
      <c r="BD4763" s="58"/>
      <c r="BE4763" s="236" t="s">
        <v>5153</v>
      </c>
      <c r="BF4763" s="191" t="s">
        <v>176</v>
      </c>
      <c r="BG4763" s="191" t="s">
        <v>176</v>
      </c>
      <c r="BH4763" s="236" t="s">
        <v>5155</v>
      </c>
      <c r="BI4763" s="191" t="s">
        <v>479</v>
      </c>
      <c r="BJ4763" s="58" t="str">
        <f>IF(BE4763=BH4763,"No","yes")</f>
        <v>yes</v>
      </c>
      <c r="BK4763" s="58" t="s">
        <v>6334</v>
      </c>
      <c r="BL4763" s="58"/>
      <c r="BM4763" s="237"/>
      <c r="BN4763" s="244">
        <v>3</v>
      </c>
      <c r="BO4763" s="244">
        <v>3</v>
      </c>
      <c r="BP4763" s="58"/>
      <c r="BQ4763" s="58"/>
      <c r="BR4763" s="58"/>
      <c r="BS4763" s="58"/>
      <c r="BT4763" s="58"/>
      <c r="BU4763" s="58"/>
      <c r="BV4763" s="58"/>
      <c r="BW4763" s="67"/>
      <c r="BX4763" s="67"/>
      <c r="BY4763" s="67"/>
      <c r="BZ4763" s="67"/>
      <c r="CA4763" s="67"/>
      <c r="CB4763" s="70"/>
      <c r="CC4763" s="70"/>
      <c r="CD4763" s="70"/>
      <c r="CE4763" s="67"/>
      <c r="CF4763" s="67"/>
      <c r="CG4763" s="67"/>
      <c r="CH4763" s="245"/>
      <c r="CI4763" s="245"/>
      <c r="CJ4763" s="67"/>
      <c r="CK4763" s="67"/>
      <c r="CL4763" s="67"/>
      <c r="CM4763" s="242">
        <v>1.5289999999999999</v>
      </c>
      <c r="CN4763" s="242">
        <f>0.1*12.72</f>
        <v>1.2720000000000002</v>
      </c>
      <c r="CO4763" s="242">
        <f>1.17*SQRT(3)*0.1</f>
        <v>0.20264994448555862</v>
      </c>
      <c r="CP4763" s="242">
        <f>1.26*SQRT(3)*0.1</f>
        <v>0.21823840175367853</v>
      </c>
      <c r="CQ4763" s="242" t="s">
        <v>164</v>
      </c>
      <c r="CR4763" s="242"/>
      <c r="CS4763" s="242"/>
      <c r="CT4763" s="242"/>
      <c r="CU4763" s="242"/>
      <c r="CV4763" s="242" t="s">
        <v>5151</v>
      </c>
      <c r="CW4763" s="242"/>
      <c r="CX4763" s="242"/>
      <c r="CY4763" s="242"/>
      <c r="CZ4763" s="242"/>
      <c r="DA4763" s="67" t="s">
        <v>5443</v>
      </c>
      <c r="DB4763" s="67"/>
      <c r="DC4763" s="67"/>
      <c r="DD4763" s="67"/>
      <c r="DE4763" s="67"/>
      <c r="DF4763" s="67"/>
      <c r="DG4763" s="67"/>
      <c r="DH4763" s="67"/>
      <c r="DI4763" s="67"/>
      <c r="DJ4763" s="67"/>
      <c r="DK4763" s="67"/>
      <c r="DL4763" s="67"/>
      <c r="DM4763" s="67"/>
      <c r="DN4763" s="67"/>
      <c r="DO4763" s="67"/>
      <c r="DP4763" s="67"/>
      <c r="DQ4763" s="166">
        <v>8.2100000000000009</v>
      </c>
      <c r="DR4763" s="166">
        <v>8.3800000000000008</v>
      </c>
      <c r="DS4763" s="163">
        <f>0.05*SQRT(3)</f>
        <v>8.6602540378443865E-2</v>
      </c>
      <c r="DT4763" s="163">
        <f>0.24*SQRT(3)</f>
        <v>0.4156921938165305</v>
      </c>
      <c r="DU4763" s="67"/>
      <c r="DV4763" s="67"/>
      <c r="DW4763" s="67"/>
      <c r="DX4763" s="67"/>
      <c r="DY4763" s="67"/>
      <c r="DZ4763" s="67"/>
      <c r="EA4763" s="67"/>
      <c r="EB4763" s="67"/>
      <c r="EC4763" s="67"/>
      <c r="ED4763" s="67"/>
      <c r="EE4763" s="67"/>
      <c r="EF4763" s="67"/>
      <c r="EG4763" s="67"/>
      <c r="EH4763" s="67"/>
      <c r="EI4763" s="67"/>
      <c r="EJ4763" s="67"/>
      <c r="EK4763" s="94"/>
      <c r="EL4763" s="94"/>
      <c r="EM4763" s="67"/>
      <c r="EN4763" s="67"/>
      <c r="EO4763" s="67"/>
      <c r="EP4763" s="67"/>
      <c r="EQ4763" s="67"/>
      <c r="ER4763" s="67"/>
      <c r="ES4763" s="67"/>
      <c r="ET4763" s="67"/>
      <c r="EU4763" s="67"/>
      <c r="EV4763" s="67"/>
      <c r="EW4763" s="67"/>
      <c r="EX4763" s="67"/>
      <c r="EY4763" s="67"/>
      <c r="EZ4763" s="67"/>
      <c r="FA4763" s="67"/>
      <c r="FB4763" s="67"/>
      <c r="FC4763" s="67"/>
      <c r="FD4763" s="67"/>
      <c r="FE4763" s="67"/>
      <c r="FF4763" s="67"/>
      <c r="FG4763" s="67"/>
      <c r="FH4763" s="67"/>
      <c r="FI4763" s="67"/>
      <c r="FJ4763" s="67"/>
      <c r="FK4763" s="67"/>
      <c r="FL4763" s="67"/>
      <c r="FM4763" s="67"/>
      <c r="FN4763" s="67"/>
      <c r="FO4763" s="67"/>
      <c r="FP4763" s="67"/>
      <c r="FQ4763" s="67"/>
      <c r="FR4763" s="67"/>
      <c r="FS4763" s="67"/>
      <c r="FT4763" s="67"/>
      <c r="FU4763" s="67"/>
      <c r="FV4763" s="67"/>
      <c r="FW4763" s="67"/>
      <c r="FX4763" s="67"/>
      <c r="FY4763" s="67"/>
      <c r="FZ4763" s="67"/>
      <c r="GA4763" s="67"/>
      <c r="GB4763" s="67"/>
      <c r="GC4763" s="67"/>
      <c r="GD4763" s="67"/>
      <c r="GE4763" s="67"/>
      <c r="GF4763" s="67"/>
      <c r="GG4763" s="67"/>
      <c r="GH4763" s="67"/>
      <c r="GI4763" s="67"/>
      <c r="GJ4763" s="67"/>
      <c r="GK4763" s="67"/>
      <c r="GL4763" s="67"/>
      <c r="GM4763" s="67"/>
      <c r="GN4763" s="292"/>
      <c r="GO4763" s="292"/>
      <c r="GP4763" s="292" t="s">
        <v>7494</v>
      </c>
      <c r="GQ4763" s="67"/>
      <c r="GR4763" s="67"/>
      <c r="GS4763" s="67"/>
      <c r="GT4763" s="67"/>
      <c r="GU4763" s="67"/>
      <c r="GV4763" s="67"/>
      <c r="GW4763" s="67"/>
      <c r="GX4763" s="67"/>
      <c r="GY4763" s="67"/>
      <c r="GZ4763" s="67"/>
      <c r="HA4763" s="67"/>
      <c r="HB4763" s="67"/>
      <c r="HC4763" s="67"/>
      <c r="HD4763" s="67"/>
      <c r="HE4763" s="67"/>
      <c r="HF4763" s="67"/>
      <c r="HG4763" s="67"/>
      <c r="HH4763" s="67"/>
      <c r="HI4763" s="67"/>
      <c r="HJ4763" s="67"/>
      <c r="HK4763" s="67"/>
      <c r="HL4763" s="67"/>
      <c r="HM4763" s="67"/>
      <c r="HN4763" s="67"/>
      <c r="HO4763" s="67"/>
      <c r="HP4763" s="67"/>
      <c r="HQ4763" s="67"/>
      <c r="HR4763" s="67"/>
      <c r="HS4763" s="67">
        <v>2.62</v>
      </c>
      <c r="HT4763" s="67">
        <v>2.4700000000000002</v>
      </c>
      <c r="HU4763" s="67">
        <v>0.3</v>
      </c>
      <c r="HV4763" s="67">
        <f>2.7-HT4763</f>
        <v>0.22999999999999998</v>
      </c>
      <c r="HW4763" s="67" t="s">
        <v>5639</v>
      </c>
      <c r="HX4763" s="67"/>
      <c r="HY4763" s="67"/>
      <c r="HZ4763" s="67"/>
      <c r="IA4763" s="67"/>
      <c r="IB4763" s="67"/>
      <c r="IC4763" s="67"/>
      <c r="ID4763" s="67"/>
      <c r="IE4763" s="67"/>
      <c r="IF4763" s="67"/>
      <c r="IG4763" s="67"/>
      <c r="IH4763" s="67"/>
      <c r="II4763" s="67"/>
      <c r="IJ4763" s="67"/>
      <c r="IK4763" s="67"/>
      <c r="IL4763" s="67"/>
      <c r="IM4763" s="67"/>
      <c r="IN4763" s="67"/>
      <c r="IO4763" s="67"/>
      <c r="IP4763" s="67"/>
      <c r="IQ4763" s="67"/>
      <c r="IR4763" s="67"/>
      <c r="IS4763" s="67"/>
      <c r="IT4763" s="67"/>
      <c r="IU4763" s="67"/>
      <c r="IV4763" s="67"/>
      <c r="IW4763" s="67"/>
      <c r="IX4763" s="67"/>
      <c r="IY4763" s="67"/>
      <c r="IZ4763" s="67"/>
      <c r="JA4763" s="67"/>
      <c r="JB4763" s="67"/>
      <c r="JC4763" s="67"/>
      <c r="JD4763" s="67"/>
      <c r="JE4763" s="67"/>
      <c r="JF4763" s="67"/>
      <c r="JG4763" s="67"/>
      <c r="JH4763" s="67"/>
      <c r="JI4763" s="67"/>
      <c r="JJ4763" s="67"/>
      <c r="JK4763" s="67"/>
      <c r="JL4763" s="67"/>
      <c r="JM4763" s="67"/>
      <c r="JN4763" s="67"/>
      <c r="JO4763" s="67"/>
      <c r="JP4763" s="67"/>
      <c r="JQ4763" s="67"/>
      <c r="JR4763" s="67"/>
      <c r="JS4763" s="67"/>
      <c r="JT4763" s="67"/>
      <c r="JU4763" s="58" t="s">
        <v>5637</v>
      </c>
      <c r="JV4763" s="58"/>
      <c r="JW4763" s="58"/>
    </row>
    <row r="4764" spans="1:283" s="23" customFormat="1" x14ac:dyDescent="0.25">
      <c r="A4764" s="55">
        <v>4763</v>
      </c>
      <c r="B4764" s="12" t="s">
        <v>7067</v>
      </c>
      <c r="C4764" s="156">
        <v>209</v>
      </c>
      <c r="D4764" s="58" t="s">
        <v>4876</v>
      </c>
      <c r="E4764" s="160" t="str">
        <f>G4764</f>
        <v>Benitez et al. 2006-Granada_6</v>
      </c>
      <c r="F4764" s="160"/>
      <c r="G4764" s="60" t="s">
        <v>4853</v>
      </c>
      <c r="H4764" s="58">
        <v>2006</v>
      </c>
      <c r="I4764" s="58" t="s">
        <v>5470</v>
      </c>
      <c r="J4764" s="243" t="s">
        <v>112</v>
      </c>
      <c r="K4764" s="63" t="s">
        <v>5635</v>
      </c>
      <c r="L4764" s="58" t="s">
        <v>4516</v>
      </c>
      <c r="M4764" s="94">
        <v>37.46</v>
      </c>
      <c r="N4764" s="94">
        <v>-3.46</v>
      </c>
      <c r="O4764" s="94">
        <v>974</v>
      </c>
      <c r="P4764" s="244"/>
      <c r="Q4764" s="58"/>
      <c r="R4764" s="244"/>
      <c r="S4764" s="94"/>
      <c r="T4764" s="58"/>
      <c r="U4764" s="58" t="s">
        <v>1688</v>
      </c>
      <c r="V4764" s="244">
        <v>3</v>
      </c>
      <c r="W4764" s="174"/>
      <c r="X4764" s="174"/>
      <c r="Y4764" s="58" t="s">
        <v>5636</v>
      </c>
      <c r="Z4764" s="244" t="s">
        <v>1375</v>
      </c>
      <c r="AA4764" s="245">
        <v>20</v>
      </c>
      <c r="AB4764" s="67"/>
      <c r="AC4764" s="67"/>
      <c r="AD4764" s="94"/>
      <c r="AE4764" s="94"/>
      <c r="AF4764" s="94"/>
      <c r="AG4764" s="245"/>
      <c r="AH4764" s="58"/>
      <c r="AI4764" s="169"/>
      <c r="AJ4764" s="94"/>
      <c r="AK4764" s="94"/>
      <c r="AL4764" s="58"/>
      <c r="AM4764" s="58"/>
      <c r="AN4764" s="186"/>
      <c r="AO4764" s="185" t="s">
        <v>7494</v>
      </c>
      <c r="AP4764" s="58"/>
      <c r="AQ4764" s="58"/>
      <c r="AR4764" s="58" t="s">
        <v>4638</v>
      </c>
      <c r="AS4764" s="246" t="s">
        <v>3471</v>
      </c>
      <c r="AT4764" s="247">
        <v>0</v>
      </c>
      <c r="AU4764" s="181" t="s">
        <v>7494</v>
      </c>
      <c r="AV4764" s="185" t="s">
        <v>176</v>
      </c>
      <c r="AW4764" s="244">
        <v>0</v>
      </c>
      <c r="AX4764" s="185" t="s">
        <v>176</v>
      </c>
      <c r="AY4764" s="244" t="s">
        <v>176</v>
      </c>
      <c r="AZ4764" s="58"/>
      <c r="BA4764" s="58"/>
      <c r="BB4764" s="58"/>
      <c r="BC4764" s="58"/>
      <c r="BD4764" s="58"/>
      <c r="BE4764" s="236" t="s">
        <v>5153</v>
      </c>
      <c r="BF4764" s="191" t="s">
        <v>176</v>
      </c>
      <c r="BG4764" s="191" t="s">
        <v>176</v>
      </c>
      <c r="BH4764" s="236" t="s">
        <v>5155</v>
      </c>
      <c r="BI4764" s="191" t="s">
        <v>479</v>
      </c>
      <c r="BJ4764" s="58" t="str">
        <f>IF(BE4764=BH4764,"No","yes")</f>
        <v>yes</v>
      </c>
      <c r="BK4764" s="58" t="s">
        <v>6334</v>
      </c>
      <c r="BL4764" s="58"/>
      <c r="BM4764" s="237"/>
      <c r="BN4764" s="244">
        <v>3</v>
      </c>
      <c r="BO4764" s="244">
        <v>3</v>
      </c>
      <c r="BP4764" s="58"/>
      <c r="BQ4764" s="58"/>
      <c r="BR4764" s="58"/>
      <c r="BS4764" s="58"/>
      <c r="BT4764" s="58"/>
      <c r="BU4764" s="58"/>
      <c r="BV4764" s="58"/>
      <c r="BW4764" s="67"/>
      <c r="BX4764" s="67"/>
      <c r="BY4764" s="67"/>
      <c r="BZ4764" s="67"/>
      <c r="CA4764" s="67"/>
      <c r="CB4764" s="70"/>
      <c r="CC4764" s="70"/>
      <c r="CD4764" s="70"/>
      <c r="CE4764" s="67"/>
      <c r="CF4764" s="67"/>
      <c r="CG4764" s="67"/>
      <c r="CH4764" s="245"/>
      <c r="CI4764" s="245"/>
      <c r="CJ4764" s="67"/>
      <c r="CK4764" s="67"/>
      <c r="CL4764" s="67"/>
      <c r="CM4764" s="242">
        <v>1.5289999999999999</v>
      </c>
      <c r="CN4764" s="242">
        <v>1.2589999999999999</v>
      </c>
      <c r="CO4764" s="242">
        <f>1.17*SQRT(3)*0.1</f>
        <v>0.20264994448555862</v>
      </c>
      <c r="CP4764" s="242">
        <f>0.56*SQRT(3)*0.1</f>
        <v>9.6994845223857137E-2</v>
      </c>
      <c r="CQ4764" s="242" t="s">
        <v>164</v>
      </c>
      <c r="CR4764" s="242"/>
      <c r="CS4764" s="242"/>
      <c r="CT4764" s="242"/>
      <c r="CU4764" s="242"/>
      <c r="CV4764" s="242" t="s">
        <v>5151</v>
      </c>
      <c r="CW4764" s="242"/>
      <c r="CX4764" s="242"/>
      <c r="CY4764" s="242"/>
      <c r="CZ4764" s="242"/>
      <c r="DA4764" s="67" t="s">
        <v>5443</v>
      </c>
      <c r="DB4764" s="67"/>
      <c r="DC4764" s="67"/>
      <c r="DD4764" s="67"/>
      <c r="DE4764" s="67"/>
      <c r="DF4764" s="67"/>
      <c r="DG4764" s="67"/>
      <c r="DH4764" s="67"/>
      <c r="DI4764" s="67"/>
      <c r="DJ4764" s="67"/>
      <c r="DK4764" s="67"/>
      <c r="DL4764" s="67"/>
      <c r="DM4764" s="67"/>
      <c r="DN4764" s="67"/>
      <c r="DO4764" s="67"/>
      <c r="DP4764" s="67"/>
      <c r="DQ4764" s="166">
        <v>8.2100000000000009</v>
      </c>
      <c r="DR4764" s="166">
        <v>8.49</v>
      </c>
      <c r="DS4764" s="163">
        <f>0.05*SQRT(3)</f>
        <v>8.6602540378443865E-2</v>
      </c>
      <c r="DT4764" s="163">
        <f>0.02*SQRT(3)</f>
        <v>3.4641016151377546E-2</v>
      </c>
      <c r="DU4764" s="67"/>
      <c r="DV4764" s="67"/>
      <c r="DW4764" s="67"/>
      <c r="DX4764" s="67"/>
      <c r="DY4764" s="67"/>
      <c r="DZ4764" s="67"/>
      <c r="EA4764" s="67"/>
      <c r="EB4764" s="67"/>
      <c r="EC4764" s="67"/>
      <c r="ED4764" s="67"/>
      <c r="EE4764" s="67"/>
      <c r="EF4764" s="67"/>
      <c r="EG4764" s="67"/>
      <c r="EH4764" s="67"/>
      <c r="EI4764" s="67"/>
      <c r="EJ4764" s="67"/>
      <c r="EK4764" s="94"/>
      <c r="EL4764" s="94"/>
      <c r="EM4764" s="67"/>
      <c r="EN4764" s="67"/>
      <c r="EO4764" s="67"/>
      <c r="EP4764" s="67"/>
      <c r="EQ4764" s="67"/>
      <c r="ER4764" s="67"/>
      <c r="ES4764" s="67"/>
      <c r="ET4764" s="67"/>
      <c r="EU4764" s="67"/>
      <c r="EV4764" s="67"/>
      <c r="EW4764" s="67"/>
      <c r="EX4764" s="67"/>
      <c r="EY4764" s="67"/>
      <c r="EZ4764" s="67"/>
      <c r="FA4764" s="67"/>
      <c r="FB4764" s="67"/>
      <c r="FC4764" s="67"/>
      <c r="FD4764" s="67"/>
      <c r="FE4764" s="67"/>
      <c r="FF4764" s="67"/>
      <c r="FG4764" s="67"/>
      <c r="FH4764" s="67"/>
      <c r="FI4764" s="67"/>
      <c r="FJ4764" s="67"/>
      <c r="FK4764" s="67"/>
      <c r="FL4764" s="67"/>
      <c r="FM4764" s="67"/>
      <c r="FN4764" s="67"/>
      <c r="FO4764" s="67"/>
      <c r="FP4764" s="67"/>
      <c r="FQ4764" s="67"/>
      <c r="FR4764" s="67"/>
      <c r="FS4764" s="67"/>
      <c r="FT4764" s="67"/>
      <c r="FU4764" s="67"/>
      <c r="FV4764" s="67"/>
      <c r="FW4764" s="67"/>
      <c r="FX4764" s="67"/>
      <c r="FY4764" s="67"/>
      <c r="FZ4764" s="67"/>
      <c r="GA4764" s="67"/>
      <c r="GB4764" s="67"/>
      <c r="GC4764" s="67"/>
      <c r="GD4764" s="67"/>
      <c r="GE4764" s="67"/>
      <c r="GF4764" s="67"/>
      <c r="GG4764" s="67"/>
      <c r="GH4764" s="67"/>
      <c r="GI4764" s="67"/>
      <c r="GJ4764" s="67"/>
      <c r="GK4764" s="67"/>
      <c r="GL4764" s="67"/>
      <c r="GM4764" s="67"/>
      <c r="GN4764" s="292"/>
      <c r="GO4764" s="292"/>
      <c r="GP4764" s="292" t="s">
        <v>7494</v>
      </c>
      <c r="GQ4764" s="67"/>
      <c r="GR4764" s="67"/>
      <c r="GS4764" s="67"/>
      <c r="GT4764" s="67"/>
      <c r="GU4764" s="67"/>
      <c r="GV4764" s="67"/>
      <c r="GW4764" s="67"/>
      <c r="GX4764" s="67"/>
      <c r="GY4764" s="67"/>
      <c r="GZ4764" s="67"/>
      <c r="HA4764" s="67"/>
      <c r="HB4764" s="67"/>
      <c r="HC4764" s="67"/>
      <c r="HD4764" s="67"/>
      <c r="HE4764" s="67"/>
      <c r="HF4764" s="67"/>
      <c r="HG4764" s="67"/>
      <c r="HH4764" s="67"/>
      <c r="HI4764" s="67"/>
      <c r="HJ4764" s="67"/>
      <c r="HK4764" s="67"/>
      <c r="HL4764" s="67"/>
      <c r="HM4764" s="67"/>
      <c r="HN4764" s="67"/>
      <c r="HO4764" s="67"/>
      <c r="HP4764" s="67"/>
      <c r="HQ4764" s="67"/>
      <c r="HR4764" s="67"/>
      <c r="HS4764" s="67">
        <v>2.62</v>
      </c>
      <c r="HT4764" s="67">
        <v>2.04</v>
      </c>
      <c r="HU4764" s="67">
        <v>0.3</v>
      </c>
      <c r="HV4764" s="67">
        <f>0.2</f>
        <v>0.2</v>
      </c>
      <c r="HW4764" s="67" t="s">
        <v>5639</v>
      </c>
      <c r="HX4764" s="67"/>
      <c r="HY4764" s="67"/>
      <c r="HZ4764" s="67"/>
      <c r="IA4764" s="67"/>
      <c r="IB4764" s="67"/>
      <c r="IC4764" s="67"/>
      <c r="ID4764" s="67"/>
      <c r="IE4764" s="67"/>
      <c r="IF4764" s="67"/>
      <c r="IG4764" s="67"/>
      <c r="IH4764" s="67"/>
      <c r="II4764" s="67"/>
      <c r="IJ4764" s="67"/>
      <c r="IK4764" s="67"/>
      <c r="IL4764" s="67"/>
      <c r="IM4764" s="67"/>
      <c r="IN4764" s="67"/>
      <c r="IO4764" s="67"/>
      <c r="IP4764" s="67"/>
      <c r="IQ4764" s="67"/>
      <c r="IR4764" s="67"/>
      <c r="IS4764" s="67"/>
      <c r="IT4764" s="67"/>
      <c r="IU4764" s="67"/>
      <c r="IV4764" s="67"/>
      <c r="IW4764" s="67"/>
      <c r="IX4764" s="67"/>
      <c r="IY4764" s="67"/>
      <c r="IZ4764" s="67"/>
      <c r="JA4764" s="67"/>
      <c r="JB4764" s="67"/>
      <c r="JC4764" s="67"/>
      <c r="JD4764" s="67"/>
      <c r="JE4764" s="67"/>
      <c r="JF4764" s="67"/>
      <c r="JG4764" s="67"/>
      <c r="JH4764" s="67"/>
      <c r="JI4764" s="67"/>
      <c r="JJ4764" s="67"/>
      <c r="JK4764" s="67"/>
      <c r="JL4764" s="67"/>
      <c r="JM4764" s="67"/>
      <c r="JN4764" s="67"/>
      <c r="JO4764" s="67"/>
      <c r="JP4764" s="67"/>
      <c r="JQ4764" s="67"/>
      <c r="JR4764" s="67"/>
      <c r="JS4764" s="67"/>
      <c r="JT4764" s="67"/>
      <c r="JU4764" s="58" t="s">
        <v>5637</v>
      </c>
      <c r="JV4764" s="58"/>
      <c r="JW4764" s="58"/>
    </row>
    <row r="4765" spans="1:283" s="23" customFormat="1" x14ac:dyDescent="0.25">
      <c r="A4765" s="55">
        <v>4764</v>
      </c>
      <c r="B4765" s="12" t="s">
        <v>7067</v>
      </c>
      <c r="C4765" s="156">
        <v>210</v>
      </c>
      <c r="D4765" s="58" t="s">
        <v>4877</v>
      </c>
      <c r="E4765" s="160" t="str">
        <f>G4765</f>
        <v>Blaise, 2006</v>
      </c>
      <c r="F4765" s="160"/>
      <c r="G4765" s="60" t="s">
        <v>4852</v>
      </c>
      <c r="H4765" s="58">
        <v>2006</v>
      </c>
      <c r="I4765" s="58" t="s">
        <v>5643</v>
      </c>
      <c r="J4765" s="243" t="s">
        <v>5300</v>
      </c>
      <c r="K4765" s="63" t="s">
        <v>5130</v>
      </c>
      <c r="L4765" s="58" t="s">
        <v>2741</v>
      </c>
      <c r="M4765" s="94">
        <f>21+9/60</f>
        <v>21.15</v>
      </c>
      <c r="N4765" s="94">
        <f>17+7/60</f>
        <v>17.116666666666667</v>
      </c>
      <c r="O4765" s="94">
        <v>1616</v>
      </c>
      <c r="P4765" s="58"/>
      <c r="Q4765" s="244">
        <v>27</v>
      </c>
      <c r="R4765" s="58"/>
      <c r="S4765" s="245">
        <v>1050</v>
      </c>
      <c r="T4765" s="58"/>
      <c r="U4765" s="58" t="s">
        <v>1801</v>
      </c>
      <c r="V4765" s="244">
        <v>11</v>
      </c>
      <c r="W4765" s="174"/>
      <c r="X4765" s="174"/>
      <c r="Y4765" s="58" t="s">
        <v>5342</v>
      </c>
      <c r="Z4765" s="244" t="s">
        <v>1355</v>
      </c>
      <c r="AA4765" s="245" t="s">
        <v>1679</v>
      </c>
      <c r="AB4765" s="67"/>
      <c r="AC4765" s="67"/>
      <c r="AD4765" s="94"/>
      <c r="AE4765" s="94"/>
      <c r="AF4765" s="94"/>
      <c r="AG4765" s="245">
        <v>49.6</v>
      </c>
      <c r="AH4765" s="58" t="s">
        <v>769</v>
      </c>
      <c r="AI4765" s="169"/>
      <c r="AJ4765" s="94">
        <v>0.39</v>
      </c>
      <c r="AK4765" s="94"/>
      <c r="AL4765" s="58"/>
      <c r="AM4765" s="58" t="s">
        <v>5343</v>
      </c>
      <c r="AN4765" s="186" t="s">
        <v>5341</v>
      </c>
      <c r="AO4765" s="185" t="s">
        <v>5150</v>
      </c>
      <c r="AP4765" s="58"/>
      <c r="AQ4765" s="58" t="s">
        <v>553</v>
      </c>
      <c r="AR4765" s="58" t="s">
        <v>560</v>
      </c>
      <c r="AS4765" s="246" t="s">
        <v>5133</v>
      </c>
      <c r="AT4765" s="247">
        <v>0</v>
      </c>
      <c r="AU4765" s="181" t="s">
        <v>7494</v>
      </c>
      <c r="AV4765" s="185" t="s">
        <v>176</v>
      </c>
      <c r="AW4765" s="244">
        <v>1</v>
      </c>
      <c r="AX4765" s="185" t="s">
        <v>176</v>
      </c>
      <c r="AY4765" s="244" t="s">
        <v>5150</v>
      </c>
      <c r="AZ4765" s="58"/>
      <c r="BA4765" s="58"/>
      <c r="BB4765" s="58"/>
      <c r="BC4765" s="58"/>
      <c r="BD4765" s="58"/>
      <c r="BE4765" s="236" t="s">
        <v>5154</v>
      </c>
      <c r="BF4765" s="191" t="s">
        <v>479</v>
      </c>
      <c r="BG4765" s="191" t="s">
        <v>479</v>
      </c>
      <c r="BH4765" s="236" t="s">
        <v>5229</v>
      </c>
      <c r="BI4765" s="191" t="s">
        <v>479</v>
      </c>
      <c r="BJ4765" s="58" t="str">
        <f>IF(BE4765=BH4765,"No","yes")</f>
        <v>yes</v>
      </c>
      <c r="BK4765" s="58" t="s">
        <v>6335</v>
      </c>
      <c r="BL4765" s="58"/>
      <c r="BM4765" s="237" t="s">
        <v>160</v>
      </c>
      <c r="BN4765" s="244">
        <v>3</v>
      </c>
      <c r="BO4765" s="244">
        <v>3</v>
      </c>
      <c r="BP4765" s="58"/>
      <c r="BQ4765" s="58"/>
      <c r="BR4765" s="58"/>
      <c r="BS4765" s="58"/>
      <c r="BT4765" s="58"/>
      <c r="BU4765" s="58"/>
      <c r="BV4765" s="58"/>
      <c r="BW4765" s="67"/>
      <c r="BX4765" s="67"/>
      <c r="BY4765" s="67"/>
      <c r="BZ4765" s="67"/>
      <c r="CA4765" s="67"/>
      <c r="CB4765" s="70">
        <v>638</v>
      </c>
      <c r="CC4765" s="70">
        <v>684</v>
      </c>
      <c r="CD4765" s="70"/>
      <c r="CE4765" s="67"/>
      <c r="CF4765" s="67"/>
      <c r="CG4765" s="67" t="s">
        <v>2053</v>
      </c>
      <c r="CH4765" s="245"/>
      <c r="CI4765" s="245"/>
      <c r="CJ4765" s="67"/>
      <c r="CK4765" s="67"/>
      <c r="CL4765" s="67"/>
      <c r="CM4765" s="242">
        <v>0.57999999999999996</v>
      </c>
      <c r="CN4765" s="242">
        <v>1.2</v>
      </c>
      <c r="CO4765" s="242">
        <v>0.08</v>
      </c>
      <c r="CP4765" s="242">
        <v>0.08</v>
      </c>
      <c r="CQ4765" s="242" t="s">
        <v>164</v>
      </c>
      <c r="CR4765" s="242"/>
      <c r="CS4765" s="242"/>
      <c r="CT4765" s="242"/>
      <c r="CU4765" s="242"/>
      <c r="CV4765" s="242" t="s">
        <v>5151</v>
      </c>
      <c r="CW4765" s="242"/>
      <c r="CX4765" s="242"/>
      <c r="CY4765" s="242"/>
      <c r="CZ4765" s="242"/>
      <c r="DA4765" s="67" t="s">
        <v>5443</v>
      </c>
      <c r="DB4765" s="67"/>
      <c r="DC4765" s="67"/>
      <c r="DD4765" s="67"/>
      <c r="DE4765" s="67"/>
      <c r="DF4765" s="67"/>
      <c r="DG4765" s="67"/>
      <c r="DH4765" s="67"/>
      <c r="DI4765" s="67"/>
      <c r="DJ4765" s="67"/>
      <c r="DK4765" s="67"/>
      <c r="DL4765" s="67"/>
      <c r="DM4765" s="67"/>
      <c r="DN4765" s="67"/>
      <c r="DO4765" s="67"/>
      <c r="DP4765" s="67"/>
      <c r="DQ4765" s="166"/>
      <c r="DR4765" s="166"/>
      <c r="DS4765" s="163"/>
      <c r="DT4765" s="163"/>
      <c r="DU4765" s="67"/>
      <c r="DV4765" s="67"/>
      <c r="DW4765" s="67"/>
      <c r="DX4765" s="67"/>
      <c r="DY4765" s="67"/>
      <c r="DZ4765" s="67"/>
      <c r="EA4765" s="67"/>
      <c r="EB4765" s="67"/>
      <c r="EC4765" s="67"/>
      <c r="ED4765" s="67"/>
      <c r="EE4765" s="67"/>
      <c r="EF4765" s="67"/>
      <c r="EG4765" s="67"/>
      <c r="EH4765" s="67"/>
      <c r="EI4765" s="67"/>
      <c r="EJ4765" s="67"/>
      <c r="EK4765" s="94">
        <v>6.2</v>
      </c>
      <c r="EL4765" s="94">
        <v>25.4</v>
      </c>
      <c r="EM4765" s="67">
        <v>2.7</v>
      </c>
      <c r="EN4765" s="67">
        <v>2.7</v>
      </c>
      <c r="EO4765" s="67" t="s">
        <v>5630</v>
      </c>
      <c r="EP4765" s="67"/>
      <c r="EQ4765" s="67"/>
      <c r="ER4765" s="67"/>
      <c r="ES4765" s="67"/>
      <c r="ET4765" s="67"/>
      <c r="EU4765" s="67"/>
      <c r="EV4765" s="67"/>
      <c r="EW4765" s="67"/>
      <c r="EX4765" s="67"/>
      <c r="EY4765" s="67"/>
      <c r="EZ4765" s="67"/>
      <c r="FA4765" s="67"/>
      <c r="FB4765" s="67"/>
      <c r="FC4765" s="67"/>
      <c r="FD4765" s="67"/>
      <c r="FE4765" s="67"/>
      <c r="FF4765" s="67"/>
      <c r="FG4765" s="67"/>
      <c r="FH4765" s="67"/>
      <c r="FI4765" s="67"/>
      <c r="FJ4765" s="67"/>
      <c r="FK4765" s="67"/>
      <c r="FL4765" s="67"/>
      <c r="FM4765" s="67"/>
      <c r="FN4765" s="67"/>
      <c r="FO4765" s="67"/>
      <c r="FP4765" s="67"/>
      <c r="FQ4765" s="67"/>
      <c r="FR4765" s="67"/>
      <c r="FS4765" s="67"/>
      <c r="FT4765" s="67"/>
      <c r="FU4765" s="67"/>
      <c r="FV4765" s="67"/>
      <c r="FW4765" s="67"/>
      <c r="FX4765" s="67"/>
      <c r="FY4765" s="67"/>
      <c r="FZ4765" s="67"/>
      <c r="GA4765" s="67"/>
      <c r="GB4765" s="67"/>
      <c r="GC4765" s="67"/>
      <c r="GD4765" s="67"/>
      <c r="GE4765" s="67"/>
      <c r="GF4765" s="67"/>
      <c r="GG4765" s="67"/>
      <c r="GH4765" s="67"/>
      <c r="GI4765" s="67"/>
      <c r="GJ4765" s="67"/>
      <c r="GK4765" s="67"/>
      <c r="GL4765" s="67"/>
      <c r="GM4765" s="67"/>
      <c r="GN4765" s="292"/>
      <c r="GO4765" s="292"/>
      <c r="GP4765" s="292" t="s">
        <v>7494</v>
      </c>
      <c r="GQ4765" s="67"/>
      <c r="GR4765" s="67"/>
      <c r="GS4765" s="67"/>
      <c r="GT4765" s="67"/>
      <c r="GU4765" s="67"/>
      <c r="GV4765" s="67"/>
      <c r="GW4765" s="67"/>
      <c r="GX4765" s="67"/>
      <c r="GY4765" s="67"/>
      <c r="GZ4765" s="67"/>
      <c r="HA4765" s="67"/>
      <c r="HB4765" s="67"/>
      <c r="HC4765" s="67"/>
      <c r="HD4765" s="67"/>
      <c r="HE4765" s="67"/>
      <c r="HF4765" s="67"/>
      <c r="HG4765" s="67"/>
      <c r="HH4765" s="67"/>
      <c r="HI4765" s="67"/>
      <c r="HJ4765" s="67"/>
      <c r="HK4765" s="67"/>
      <c r="HL4765" s="67"/>
      <c r="HM4765" s="67"/>
      <c r="HN4765" s="67"/>
      <c r="HO4765" s="67"/>
      <c r="HP4765" s="67"/>
      <c r="HQ4765" s="67"/>
      <c r="HR4765" s="67"/>
      <c r="HS4765" s="67"/>
      <c r="HT4765" s="67"/>
      <c r="HU4765" s="67"/>
      <c r="HV4765" s="67"/>
      <c r="HW4765" s="67"/>
      <c r="HX4765" s="67"/>
      <c r="HY4765" s="67"/>
      <c r="HZ4765" s="67"/>
      <c r="IA4765" s="67"/>
      <c r="IB4765" s="67"/>
      <c r="IC4765" s="67"/>
      <c r="ID4765" s="67"/>
      <c r="IE4765" s="67"/>
      <c r="IF4765" s="67"/>
      <c r="IG4765" s="67"/>
      <c r="IH4765" s="67"/>
      <c r="II4765" s="67"/>
      <c r="IJ4765" s="67"/>
      <c r="IK4765" s="67"/>
      <c r="IL4765" s="67"/>
      <c r="IM4765" s="67"/>
      <c r="IN4765" s="67"/>
      <c r="IO4765" s="67"/>
      <c r="IP4765" s="67"/>
      <c r="IQ4765" s="67"/>
      <c r="IR4765" s="67"/>
      <c r="IS4765" s="67"/>
      <c r="IT4765" s="67"/>
      <c r="IU4765" s="67"/>
      <c r="IV4765" s="67"/>
      <c r="IW4765" s="67"/>
      <c r="IX4765" s="67"/>
      <c r="IY4765" s="67"/>
      <c r="IZ4765" s="67"/>
      <c r="JA4765" s="67"/>
      <c r="JB4765" s="67"/>
      <c r="JC4765" s="67"/>
      <c r="JD4765" s="67"/>
      <c r="JE4765" s="67"/>
      <c r="JF4765" s="67"/>
      <c r="JG4765" s="67"/>
      <c r="JH4765" s="67"/>
      <c r="JI4765" s="67"/>
      <c r="JJ4765" s="67"/>
      <c r="JK4765" s="67"/>
      <c r="JL4765" s="67"/>
      <c r="JM4765" s="67"/>
      <c r="JN4765" s="67"/>
      <c r="JO4765" s="67"/>
      <c r="JP4765" s="67"/>
      <c r="JQ4765" s="67"/>
      <c r="JR4765" s="67"/>
      <c r="JS4765" s="67"/>
      <c r="JT4765" s="67"/>
      <c r="JU4765" s="58"/>
      <c r="JV4765" s="58"/>
      <c r="JW4765" s="58"/>
    </row>
    <row r="4766" spans="1:283" s="23" customFormat="1" x14ac:dyDescent="0.25">
      <c r="A4766" s="55">
        <v>4765</v>
      </c>
      <c r="B4766" s="12" t="s">
        <v>7067</v>
      </c>
      <c r="C4766" s="156">
        <v>210</v>
      </c>
      <c r="D4766" s="58" t="s">
        <v>4877</v>
      </c>
      <c r="E4766" s="160" t="str">
        <f>G4766</f>
        <v>Blaise, 2006</v>
      </c>
      <c r="F4766" s="160"/>
      <c r="G4766" s="60" t="s">
        <v>4852</v>
      </c>
      <c r="H4766" s="58">
        <v>2006</v>
      </c>
      <c r="I4766" s="58" t="s">
        <v>5643</v>
      </c>
      <c r="J4766" s="243" t="s">
        <v>5300</v>
      </c>
      <c r="K4766" s="63" t="s">
        <v>5130</v>
      </c>
      <c r="L4766" s="58" t="s">
        <v>2741</v>
      </c>
      <c r="M4766" s="94">
        <f>21+9/60</f>
        <v>21.15</v>
      </c>
      <c r="N4766" s="94">
        <f>17+7/60</f>
        <v>17.116666666666667</v>
      </c>
      <c r="O4766" s="94">
        <v>1616</v>
      </c>
      <c r="P4766" s="58"/>
      <c r="Q4766" s="244">
        <v>27</v>
      </c>
      <c r="R4766" s="58"/>
      <c r="S4766" s="245">
        <v>1050</v>
      </c>
      <c r="T4766" s="58"/>
      <c r="U4766" s="58" t="s">
        <v>1801</v>
      </c>
      <c r="V4766" s="244">
        <v>11</v>
      </c>
      <c r="W4766" s="174"/>
      <c r="X4766" s="174"/>
      <c r="Y4766" s="58" t="s">
        <v>5342</v>
      </c>
      <c r="Z4766" s="244" t="s">
        <v>1359</v>
      </c>
      <c r="AA4766" s="245" t="s">
        <v>1679</v>
      </c>
      <c r="AB4766" s="67"/>
      <c r="AC4766" s="67"/>
      <c r="AD4766" s="94"/>
      <c r="AE4766" s="94"/>
      <c r="AF4766" s="94"/>
      <c r="AG4766" s="245">
        <v>49.6</v>
      </c>
      <c r="AH4766" s="58" t="s">
        <v>769</v>
      </c>
      <c r="AI4766" s="169"/>
      <c r="AJ4766" s="94">
        <v>0.39</v>
      </c>
      <c r="AK4766" s="94"/>
      <c r="AL4766" s="58"/>
      <c r="AM4766" s="58" t="s">
        <v>5343</v>
      </c>
      <c r="AN4766" s="186" t="s">
        <v>5341</v>
      </c>
      <c r="AO4766" s="185" t="s">
        <v>5150</v>
      </c>
      <c r="AP4766" s="58"/>
      <c r="AQ4766" s="58" t="s">
        <v>553</v>
      </c>
      <c r="AR4766" s="58" t="s">
        <v>560</v>
      </c>
      <c r="AS4766" s="246" t="s">
        <v>5133</v>
      </c>
      <c r="AT4766" s="247">
        <v>0</v>
      </c>
      <c r="AU4766" s="181" t="s">
        <v>7494</v>
      </c>
      <c r="AV4766" s="185" t="s">
        <v>176</v>
      </c>
      <c r="AW4766" s="244">
        <v>1</v>
      </c>
      <c r="AX4766" s="185" t="s">
        <v>176</v>
      </c>
      <c r="AY4766" s="244" t="s">
        <v>5150</v>
      </c>
      <c r="AZ4766" s="58"/>
      <c r="BA4766" s="58"/>
      <c r="BB4766" s="58"/>
      <c r="BC4766" s="58"/>
      <c r="BD4766" s="58"/>
      <c r="BE4766" s="236" t="s">
        <v>5154</v>
      </c>
      <c r="BF4766" s="191" t="s">
        <v>479</v>
      </c>
      <c r="BG4766" s="191" t="s">
        <v>479</v>
      </c>
      <c r="BH4766" s="236" t="s">
        <v>5229</v>
      </c>
      <c r="BI4766" s="191" t="s">
        <v>479</v>
      </c>
      <c r="BJ4766" s="58" t="str">
        <f>IF(BE4766=BH4766,"No","yes")</f>
        <v>yes</v>
      </c>
      <c r="BK4766" s="58" t="s">
        <v>6335</v>
      </c>
      <c r="BL4766" s="58"/>
      <c r="BM4766" s="237" t="s">
        <v>160</v>
      </c>
      <c r="BN4766" s="244">
        <v>3</v>
      </c>
      <c r="BO4766" s="244">
        <v>3</v>
      </c>
      <c r="BP4766" s="58"/>
      <c r="BQ4766" s="58"/>
      <c r="BR4766" s="58"/>
      <c r="BS4766" s="58"/>
      <c r="BT4766" s="58"/>
      <c r="BU4766" s="58"/>
      <c r="BV4766" s="58"/>
      <c r="BW4766" s="67"/>
      <c r="BX4766" s="67"/>
      <c r="BY4766" s="67"/>
      <c r="BZ4766" s="67"/>
      <c r="CA4766" s="67"/>
      <c r="CB4766" s="70">
        <v>1181</v>
      </c>
      <c r="CC4766" s="70">
        <v>1408</v>
      </c>
      <c r="CD4766" s="70"/>
      <c r="CE4766" s="67"/>
      <c r="CF4766" s="67"/>
      <c r="CG4766" s="67" t="s">
        <v>2053</v>
      </c>
      <c r="CH4766" s="245"/>
      <c r="CI4766" s="245"/>
      <c r="CJ4766" s="67"/>
      <c r="CK4766" s="67"/>
      <c r="CL4766" s="67"/>
      <c r="CM4766" s="242">
        <v>0.52</v>
      </c>
      <c r="CN4766" s="242">
        <v>0.71</v>
      </c>
      <c r="CO4766" s="242">
        <v>0.08</v>
      </c>
      <c r="CP4766" s="242">
        <v>0.08</v>
      </c>
      <c r="CQ4766" s="242" t="s">
        <v>164</v>
      </c>
      <c r="CR4766" s="242"/>
      <c r="CS4766" s="242"/>
      <c r="CT4766" s="242"/>
      <c r="CU4766" s="242"/>
      <c r="CV4766" s="242" t="s">
        <v>5151</v>
      </c>
      <c r="CW4766" s="242"/>
      <c r="CX4766" s="242"/>
      <c r="CY4766" s="242"/>
      <c r="CZ4766" s="242"/>
      <c r="DA4766" s="67" t="s">
        <v>5443</v>
      </c>
      <c r="DB4766" s="67"/>
      <c r="DC4766" s="67"/>
      <c r="DD4766" s="67"/>
      <c r="DE4766" s="67"/>
      <c r="DF4766" s="67"/>
      <c r="DG4766" s="67"/>
      <c r="DH4766" s="67"/>
      <c r="DI4766" s="67"/>
      <c r="DJ4766" s="67"/>
      <c r="DK4766" s="67"/>
      <c r="DL4766" s="67"/>
      <c r="DM4766" s="67"/>
      <c r="DN4766" s="67"/>
      <c r="DO4766" s="67"/>
      <c r="DP4766" s="67"/>
      <c r="DQ4766" s="166"/>
      <c r="DR4766" s="166"/>
      <c r="DS4766" s="163"/>
      <c r="DT4766" s="163"/>
      <c r="DU4766" s="67"/>
      <c r="DV4766" s="67"/>
      <c r="DW4766" s="67"/>
      <c r="DX4766" s="67"/>
      <c r="DY4766" s="67"/>
      <c r="DZ4766" s="67"/>
      <c r="EA4766" s="67"/>
      <c r="EB4766" s="67"/>
      <c r="EC4766" s="67"/>
      <c r="ED4766" s="67"/>
      <c r="EE4766" s="67"/>
      <c r="EF4766" s="67"/>
      <c r="EG4766" s="67"/>
      <c r="EH4766" s="67"/>
      <c r="EI4766" s="67"/>
      <c r="EJ4766" s="67"/>
      <c r="EK4766" s="94">
        <v>5.6</v>
      </c>
      <c r="EL4766" s="94">
        <v>17.399999999999999</v>
      </c>
      <c r="EM4766" s="67">
        <v>2.7</v>
      </c>
      <c r="EN4766" s="67">
        <v>2.7</v>
      </c>
      <c r="EO4766" s="67" t="s">
        <v>5630</v>
      </c>
      <c r="EP4766" s="67"/>
      <c r="EQ4766" s="67"/>
      <c r="ER4766" s="67"/>
      <c r="ES4766" s="67"/>
      <c r="ET4766" s="67"/>
      <c r="EU4766" s="67"/>
      <c r="EV4766" s="67"/>
      <c r="EW4766" s="67"/>
      <c r="EX4766" s="67"/>
      <c r="EY4766" s="67"/>
      <c r="EZ4766" s="67"/>
      <c r="FA4766" s="67"/>
      <c r="FB4766" s="67"/>
      <c r="FC4766" s="67"/>
      <c r="FD4766" s="67"/>
      <c r="FE4766" s="67"/>
      <c r="FF4766" s="67"/>
      <c r="FG4766" s="67"/>
      <c r="FH4766" s="67"/>
      <c r="FI4766" s="67"/>
      <c r="FJ4766" s="67"/>
      <c r="FK4766" s="67"/>
      <c r="FL4766" s="67"/>
      <c r="FM4766" s="67"/>
      <c r="FN4766" s="67"/>
      <c r="FO4766" s="67"/>
      <c r="FP4766" s="67"/>
      <c r="FQ4766" s="67"/>
      <c r="FR4766" s="67"/>
      <c r="FS4766" s="67"/>
      <c r="FT4766" s="67"/>
      <c r="FU4766" s="67"/>
      <c r="FV4766" s="67"/>
      <c r="FW4766" s="67"/>
      <c r="FX4766" s="67"/>
      <c r="FY4766" s="67"/>
      <c r="FZ4766" s="67"/>
      <c r="GA4766" s="67"/>
      <c r="GB4766" s="67"/>
      <c r="GC4766" s="67"/>
      <c r="GD4766" s="67"/>
      <c r="GE4766" s="67"/>
      <c r="GF4766" s="67"/>
      <c r="GG4766" s="67"/>
      <c r="GH4766" s="67"/>
      <c r="GI4766" s="67"/>
      <c r="GJ4766" s="67"/>
      <c r="GK4766" s="67"/>
      <c r="GL4766" s="67"/>
      <c r="GM4766" s="67"/>
      <c r="GN4766" s="292"/>
      <c r="GO4766" s="292"/>
      <c r="GP4766" s="292" t="s">
        <v>7494</v>
      </c>
      <c r="GQ4766" s="67"/>
      <c r="GR4766" s="67"/>
      <c r="GS4766" s="67"/>
      <c r="GT4766" s="67"/>
      <c r="GU4766" s="67"/>
      <c r="GV4766" s="67"/>
      <c r="GW4766" s="67"/>
      <c r="GX4766" s="67"/>
      <c r="GY4766" s="67"/>
      <c r="GZ4766" s="67"/>
      <c r="HA4766" s="67"/>
      <c r="HB4766" s="67"/>
      <c r="HC4766" s="67"/>
      <c r="HD4766" s="67"/>
      <c r="HE4766" s="67"/>
      <c r="HF4766" s="67"/>
      <c r="HG4766" s="67"/>
      <c r="HH4766" s="67"/>
      <c r="HI4766" s="67"/>
      <c r="HJ4766" s="67"/>
      <c r="HK4766" s="67"/>
      <c r="HL4766" s="67"/>
      <c r="HM4766" s="67"/>
      <c r="HN4766" s="67"/>
      <c r="HO4766" s="67"/>
      <c r="HP4766" s="67"/>
      <c r="HQ4766" s="67"/>
      <c r="HR4766" s="67"/>
      <c r="HS4766" s="67"/>
      <c r="HT4766" s="67"/>
      <c r="HU4766" s="67"/>
      <c r="HV4766" s="67"/>
      <c r="HW4766" s="67"/>
      <c r="HX4766" s="67"/>
      <c r="HY4766" s="67"/>
      <c r="HZ4766" s="67"/>
      <c r="IA4766" s="67"/>
      <c r="IB4766" s="67"/>
      <c r="IC4766" s="67"/>
      <c r="ID4766" s="67"/>
      <c r="IE4766" s="67"/>
      <c r="IF4766" s="67"/>
      <c r="IG4766" s="67"/>
      <c r="IH4766" s="67"/>
      <c r="II4766" s="67"/>
      <c r="IJ4766" s="67"/>
      <c r="IK4766" s="67"/>
      <c r="IL4766" s="67"/>
      <c r="IM4766" s="67"/>
      <c r="IN4766" s="67"/>
      <c r="IO4766" s="67"/>
      <c r="IP4766" s="67"/>
      <c r="IQ4766" s="67"/>
      <c r="IR4766" s="67"/>
      <c r="IS4766" s="67"/>
      <c r="IT4766" s="67"/>
      <c r="IU4766" s="67"/>
      <c r="IV4766" s="67"/>
      <c r="IW4766" s="67"/>
      <c r="IX4766" s="67"/>
      <c r="IY4766" s="67"/>
      <c r="IZ4766" s="67"/>
      <c r="JA4766" s="67"/>
      <c r="JB4766" s="67"/>
      <c r="JC4766" s="67"/>
      <c r="JD4766" s="67"/>
      <c r="JE4766" s="67"/>
      <c r="JF4766" s="67"/>
      <c r="JG4766" s="67"/>
      <c r="JH4766" s="67"/>
      <c r="JI4766" s="67"/>
      <c r="JJ4766" s="67"/>
      <c r="JK4766" s="67"/>
      <c r="JL4766" s="67"/>
      <c r="JM4766" s="67"/>
      <c r="JN4766" s="67"/>
      <c r="JO4766" s="67"/>
      <c r="JP4766" s="67"/>
      <c r="JQ4766" s="67"/>
      <c r="JR4766" s="67"/>
      <c r="JS4766" s="67"/>
      <c r="JT4766" s="67"/>
      <c r="JU4766" s="58"/>
      <c r="JV4766" s="58"/>
      <c r="JW4766" s="58"/>
    </row>
    <row r="4767" spans="1:283" s="23" customFormat="1" x14ac:dyDescent="0.25">
      <c r="A4767" s="55">
        <v>4766</v>
      </c>
      <c r="B4767" s="12" t="s">
        <v>7067</v>
      </c>
      <c r="C4767" s="156">
        <v>210</v>
      </c>
      <c r="D4767" s="58" t="s">
        <v>4877</v>
      </c>
      <c r="E4767" s="160" t="str">
        <f>G4767</f>
        <v>Blaise, 2006</v>
      </c>
      <c r="F4767" s="160"/>
      <c r="G4767" s="60" t="s">
        <v>4852</v>
      </c>
      <c r="H4767" s="58">
        <v>2006</v>
      </c>
      <c r="I4767" s="58" t="s">
        <v>5643</v>
      </c>
      <c r="J4767" s="243" t="s">
        <v>5300</v>
      </c>
      <c r="K4767" s="63" t="s">
        <v>5130</v>
      </c>
      <c r="L4767" s="58" t="s">
        <v>2741</v>
      </c>
      <c r="M4767" s="94">
        <f>21+9/60</f>
        <v>21.15</v>
      </c>
      <c r="N4767" s="94">
        <f>17+7/60</f>
        <v>17.116666666666667</v>
      </c>
      <c r="O4767" s="94">
        <v>1616</v>
      </c>
      <c r="P4767" s="58"/>
      <c r="Q4767" s="244">
        <v>27</v>
      </c>
      <c r="R4767" s="58"/>
      <c r="S4767" s="245">
        <v>1050</v>
      </c>
      <c r="T4767" s="58"/>
      <c r="U4767" s="58" t="s">
        <v>1801</v>
      </c>
      <c r="V4767" s="244">
        <v>11</v>
      </c>
      <c r="W4767" s="174"/>
      <c r="X4767" s="174"/>
      <c r="Y4767" s="58" t="s">
        <v>5342</v>
      </c>
      <c r="Z4767" s="244" t="s">
        <v>1360</v>
      </c>
      <c r="AA4767" s="245" t="s">
        <v>1679</v>
      </c>
      <c r="AB4767" s="67"/>
      <c r="AC4767" s="67"/>
      <c r="AD4767" s="94"/>
      <c r="AE4767" s="94"/>
      <c r="AF4767" s="94"/>
      <c r="AG4767" s="245">
        <v>49.6</v>
      </c>
      <c r="AH4767" s="58" t="s">
        <v>769</v>
      </c>
      <c r="AI4767" s="169"/>
      <c r="AJ4767" s="94">
        <v>0.39</v>
      </c>
      <c r="AK4767" s="94"/>
      <c r="AL4767" s="58"/>
      <c r="AM4767" s="58" t="s">
        <v>5343</v>
      </c>
      <c r="AN4767" s="186" t="s">
        <v>5341</v>
      </c>
      <c r="AO4767" s="185" t="s">
        <v>5150</v>
      </c>
      <c r="AP4767" s="58"/>
      <c r="AQ4767" s="58" t="s">
        <v>553</v>
      </c>
      <c r="AR4767" s="58" t="s">
        <v>560</v>
      </c>
      <c r="AS4767" s="246" t="s">
        <v>5133</v>
      </c>
      <c r="AT4767" s="247">
        <v>0</v>
      </c>
      <c r="AU4767" s="181" t="s">
        <v>7494</v>
      </c>
      <c r="AV4767" s="185" t="s">
        <v>176</v>
      </c>
      <c r="AW4767" s="244">
        <v>1</v>
      </c>
      <c r="AX4767" s="185" t="s">
        <v>176</v>
      </c>
      <c r="AY4767" s="244" t="s">
        <v>5150</v>
      </c>
      <c r="AZ4767" s="58"/>
      <c r="BA4767" s="58"/>
      <c r="BB4767" s="58"/>
      <c r="BC4767" s="58"/>
      <c r="BD4767" s="58"/>
      <c r="BE4767" s="236" t="s">
        <v>5154</v>
      </c>
      <c r="BF4767" s="191" t="s">
        <v>479</v>
      </c>
      <c r="BG4767" s="191" t="s">
        <v>479</v>
      </c>
      <c r="BH4767" s="236" t="s">
        <v>5229</v>
      </c>
      <c r="BI4767" s="191" t="s">
        <v>479</v>
      </c>
      <c r="BJ4767" s="58" t="str">
        <f>IF(BE4767=BH4767,"No","yes")</f>
        <v>yes</v>
      </c>
      <c r="BK4767" s="58" t="s">
        <v>6335</v>
      </c>
      <c r="BL4767" s="58"/>
      <c r="BM4767" s="237" t="s">
        <v>160</v>
      </c>
      <c r="BN4767" s="244">
        <v>3</v>
      </c>
      <c r="BO4767" s="244">
        <v>3</v>
      </c>
      <c r="BP4767" s="58"/>
      <c r="BQ4767" s="58"/>
      <c r="BR4767" s="58"/>
      <c r="BS4767" s="58"/>
      <c r="BT4767" s="58"/>
      <c r="BU4767" s="58"/>
      <c r="BV4767" s="58"/>
      <c r="BW4767" s="67"/>
      <c r="BX4767" s="67"/>
      <c r="BY4767" s="67"/>
      <c r="BZ4767" s="67"/>
      <c r="CA4767" s="67"/>
      <c r="CB4767" s="70">
        <v>801</v>
      </c>
      <c r="CC4767" s="70">
        <v>809</v>
      </c>
      <c r="CD4767" s="70"/>
      <c r="CE4767" s="67"/>
      <c r="CF4767" s="67"/>
      <c r="CG4767" s="67" t="s">
        <v>2053</v>
      </c>
      <c r="CH4767" s="245"/>
      <c r="CI4767" s="245"/>
      <c r="CJ4767" s="67"/>
      <c r="CK4767" s="67"/>
      <c r="CL4767" s="67"/>
      <c r="CM4767" s="242">
        <v>0.49</v>
      </c>
      <c r="CN4767" s="242">
        <v>0.54</v>
      </c>
      <c r="CO4767" s="242">
        <v>0.08</v>
      </c>
      <c r="CP4767" s="242">
        <v>0.08</v>
      </c>
      <c r="CQ4767" s="242" t="s">
        <v>164</v>
      </c>
      <c r="CR4767" s="242"/>
      <c r="CS4767" s="242"/>
      <c r="CT4767" s="242"/>
      <c r="CU4767" s="242"/>
      <c r="CV4767" s="242" t="s">
        <v>5151</v>
      </c>
      <c r="CW4767" s="242"/>
      <c r="CX4767" s="242"/>
      <c r="CY4767" s="242"/>
      <c r="CZ4767" s="242"/>
      <c r="DA4767" s="67" t="s">
        <v>5443</v>
      </c>
      <c r="DB4767" s="67"/>
      <c r="DC4767" s="67"/>
      <c r="DD4767" s="67"/>
      <c r="DE4767" s="67"/>
      <c r="DF4767" s="67"/>
      <c r="DG4767" s="67"/>
      <c r="DH4767" s="67"/>
      <c r="DI4767" s="67"/>
      <c r="DJ4767" s="67"/>
      <c r="DK4767" s="67"/>
      <c r="DL4767" s="67"/>
      <c r="DM4767" s="67"/>
      <c r="DN4767" s="67"/>
      <c r="DO4767" s="67"/>
      <c r="DP4767" s="67"/>
      <c r="DQ4767" s="166"/>
      <c r="DR4767" s="166"/>
      <c r="DS4767" s="163"/>
      <c r="DT4767" s="163"/>
      <c r="DU4767" s="67"/>
      <c r="DV4767" s="67"/>
      <c r="DW4767" s="67"/>
      <c r="DX4767" s="67"/>
      <c r="DY4767" s="67"/>
      <c r="DZ4767" s="67"/>
      <c r="EA4767" s="67"/>
      <c r="EB4767" s="67"/>
      <c r="EC4767" s="67"/>
      <c r="ED4767" s="67"/>
      <c r="EE4767" s="67"/>
      <c r="EF4767" s="67"/>
      <c r="EG4767" s="67"/>
      <c r="EH4767" s="67"/>
      <c r="EI4767" s="67"/>
      <c r="EJ4767" s="67"/>
      <c r="EK4767" s="94">
        <v>6.5</v>
      </c>
      <c r="EL4767" s="94">
        <v>6.7</v>
      </c>
      <c r="EM4767" s="67">
        <v>2.7</v>
      </c>
      <c r="EN4767" s="67">
        <v>2.7</v>
      </c>
      <c r="EO4767" s="67" t="s">
        <v>5630</v>
      </c>
      <c r="EP4767" s="67"/>
      <c r="EQ4767" s="67"/>
      <c r="ER4767" s="67"/>
      <c r="ES4767" s="67"/>
      <c r="ET4767" s="67"/>
      <c r="EU4767" s="67"/>
      <c r="EV4767" s="67"/>
      <c r="EW4767" s="67"/>
      <c r="EX4767" s="67"/>
      <c r="EY4767" s="67"/>
      <c r="EZ4767" s="67"/>
      <c r="FA4767" s="67"/>
      <c r="FB4767" s="67"/>
      <c r="FC4767" s="67"/>
      <c r="FD4767" s="67"/>
      <c r="FE4767" s="67"/>
      <c r="FF4767" s="67"/>
      <c r="FG4767" s="67"/>
      <c r="FH4767" s="67"/>
      <c r="FI4767" s="67"/>
      <c r="FJ4767" s="67"/>
      <c r="FK4767" s="67"/>
      <c r="FL4767" s="67"/>
      <c r="FM4767" s="67"/>
      <c r="FN4767" s="67"/>
      <c r="FO4767" s="67"/>
      <c r="FP4767" s="67"/>
      <c r="FQ4767" s="67"/>
      <c r="FR4767" s="67"/>
      <c r="FS4767" s="67"/>
      <c r="FT4767" s="67"/>
      <c r="FU4767" s="67"/>
      <c r="FV4767" s="67"/>
      <c r="FW4767" s="67"/>
      <c r="FX4767" s="67"/>
      <c r="FY4767" s="67"/>
      <c r="FZ4767" s="67"/>
      <c r="GA4767" s="67"/>
      <c r="GB4767" s="67"/>
      <c r="GC4767" s="67"/>
      <c r="GD4767" s="67"/>
      <c r="GE4767" s="67"/>
      <c r="GF4767" s="67"/>
      <c r="GG4767" s="67"/>
      <c r="GH4767" s="67"/>
      <c r="GI4767" s="67"/>
      <c r="GJ4767" s="67"/>
      <c r="GK4767" s="67"/>
      <c r="GL4767" s="67"/>
      <c r="GM4767" s="67"/>
      <c r="GN4767" s="292"/>
      <c r="GO4767" s="292"/>
      <c r="GP4767" s="292" t="s">
        <v>7494</v>
      </c>
      <c r="GQ4767" s="67"/>
      <c r="GR4767" s="67"/>
      <c r="GS4767" s="67"/>
      <c r="GT4767" s="67"/>
      <c r="GU4767" s="67"/>
      <c r="GV4767" s="67"/>
      <c r="GW4767" s="67"/>
      <c r="GX4767" s="67"/>
      <c r="GY4767" s="67"/>
      <c r="GZ4767" s="67"/>
      <c r="HA4767" s="67"/>
      <c r="HB4767" s="67"/>
      <c r="HC4767" s="67"/>
      <c r="HD4767" s="67"/>
      <c r="HE4767" s="67"/>
      <c r="HF4767" s="67"/>
      <c r="HG4767" s="67"/>
      <c r="HH4767" s="67"/>
      <c r="HI4767" s="67"/>
      <c r="HJ4767" s="67"/>
      <c r="HK4767" s="67"/>
      <c r="HL4767" s="67"/>
      <c r="HM4767" s="67"/>
      <c r="HN4767" s="67"/>
      <c r="HO4767" s="67"/>
      <c r="HP4767" s="67"/>
      <c r="HQ4767" s="67"/>
      <c r="HR4767" s="67"/>
      <c r="HS4767" s="67"/>
      <c r="HT4767" s="67"/>
      <c r="HU4767" s="67"/>
      <c r="HV4767" s="67"/>
      <c r="HW4767" s="67"/>
      <c r="HX4767" s="67"/>
      <c r="HY4767" s="67"/>
      <c r="HZ4767" s="67"/>
      <c r="IA4767" s="67"/>
      <c r="IB4767" s="67"/>
      <c r="IC4767" s="67"/>
      <c r="ID4767" s="67"/>
      <c r="IE4767" s="67"/>
      <c r="IF4767" s="67"/>
      <c r="IG4767" s="67"/>
      <c r="IH4767" s="67"/>
      <c r="II4767" s="67"/>
      <c r="IJ4767" s="67"/>
      <c r="IK4767" s="67"/>
      <c r="IL4767" s="67"/>
      <c r="IM4767" s="67"/>
      <c r="IN4767" s="67"/>
      <c r="IO4767" s="67"/>
      <c r="IP4767" s="67"/>
      <c r="IQ4767" s="67"/>
      <c r="IR4767" s="67"/>
      <c r="IS4767" s="67"/>
      <c r="IT4767" s="67"/>
      <c r="IU4767" s="67"/>
      <c r="IV4767" s="67"/>
      <c r="IW4767" s="67"/>
      <c r="IX4767" s="67"/>
      <c r="IY4767" s="67"/>
      <c r="IZ4767" s="67"/>
      <c r="JA4767" s="67"/>
      <c r="JB4767" s="67"/>
      <c r="JC4767" s="67"/>
      <c r="JD4767" s="67"/>
      <c r="JE4767" s="67"/>
      <c r="JF4767" s="67"/>
      <c r="JG4767" s="67"/>
      <c r="JH4767" s="67"/>
      <c r="JI4767" s="67"/>
      <c r="JJ4767" s="67"/>
      <c r="JK4767" s="67"/>
      <c r="JL4767" s="67"/>
      <c r="JM4767" s="67"/>
      <c r="JN4767" s="67"/>
      <c r="JO4767" s="67"/>
      <c r="JP4767" s="67"/>
      <c r="JQ4767" s="67"/>
      <c r="JR4767" s="67"/>
      <c r="JS4767" s="67"/>
      <c r="JT4767" s="67"/>
      <c r="JU4767" s="58"/>
      <c r="JV4767" s="58"/>
      <c r="JW4767" s="58"/>
    </row>
    <row r="4768" spans="1:283" s="23" customFormat="1" x14ac:dyDescent="0.25">
      <c r="A4768" s="55">
        <v>4767</v>
      </c>
      <c r="B4768" s="12" t="s">
        <v>7067</v>
      </c>
      <c r="C4768" s="156">
        <v>211</v>
      </c>
      <c r="D4768" s="58" t="s">
        <v>4878</v>
      </c>
      <c r="E4768" s="160" t="str">
        <f>G4768</f>
        <v>Blakemore 2000_Haughley 1</v>
      </c>
      <c r="F4768" s="160"/>
      <c r="G4768" s="60" t="s">
        <v>4851</v>
      </c>
      <c r="H4768" s="58">
        <v>2000</v>
      </c>
      <c r="I4768" s="58">
        <v>1979</v>
      </c>
      <c r="J4768" s="243" t="s">
        <v>350</v>
      </c>
      <c r="K4768" s="63" t="s">
        <v>5646</v>
      </c>
      <c r="L4768" s="58" t="s">
        <v>5327</v>
      </c>
      <c r="M4768" s="94">
        <v>52.19</v>
      </c>
      <c r="N4768" s="94">
        <v>0.97</v>
      </c>
      <c r="O4768" s="94">
        <v>49</v>
      </c>
      <c r="P4768" s="58"/>
      <c r="Q4768" s="244">
        <v>9.9</v>
      </c>
      <c r="R4768" s="58"/>
      <c r="S4768" s="245">
        <v>452</v>
      </c>
      <c r="T4768" s="58"/>
      <c r="U4768" s="58" t="s">
        <v>5345</v>
      </c>
      <c r="V4768" s="244">
        <v>41</v>
      </c>
      <c r="W4768" s="174"/>
      <c r="X4768" s="174"/>
      <c r="Y4768" s="58" t="s">
        <v>5344</v>
      </c>
      <c r="Z4768" s="244" t="s">
        <v>1346</v>
      </c>
      <c r="AA4768" s="245">
        <v>20</v>
      </c>
      <c r="AB4768" s="67"/>
      <c r="AC4768" s="67"/>
      <c r="AD4768" s="94">
        <v>0.81</v>
      </c>
      <c r="AE4768" s="94"/>
      <c r="AF4768" s="94"/>
      <c r="AG4768" s="245">
        <v>35</v>
      </c>
      <c r="AH4768" s="248" t="s">
        <v>645</v>
      </c>
      <c r="AI4768" s="169" t="s">
        <v>5648</v>
      </c>
      <c r="AJ4768" s="94">
        <v>2.34</v>
      </c>
      <c r="AK4768" s="94"/>
      <c r="AL4768" s="58"/>
      <c r="AM4768" s="58"/>
      <c r="AN4768" s="186" t="s">
        <v>5347</v>
      </c>
      <c r="AO4768" s="185" t="s">
        <v>5150</v>
      </c>
      <c r="AP4768" s="58"/>
      <c r="AQ4768" s="58" t="s">
        <v>3136</v>
      </c>
      <c r="AR4768" s="58" t="s">
        <v>116</v>
      </c>
      <c r="AS4768" s="58" t="s">
        <v>116</v>
      </c>
      <c r="AT4768" s="247">
        <v>1</v>
      </c>
      <c r="AU4768" s="181" t="s">
        <v>7494</v>
      </c>
      <c r="AV4768" s="185" t="s">
        <v>176</v>
      </c>
      <c r="AW4768" s="244">
        <v>1</v>
      </c>
      <c r="AX4768" s="185" t="s">
        <v>176</v>
      </c>
      <c r="AY4768" s="244" t="s">
        <v>176</v>
      </c>
      <c r="AZ4768" s="58"/>
      <c r="BA4768" s="58"/>
      <c r="BB4768" s="58"/>
      <c r="BC4768" s="58"/>
      <c r="BD4768" s="58"/>
      <c r="BE4768" s="236" t="s">
        <v>5155</v>
      </c>
      <c r="BF4768" s="191" t="s">
        <v>176</v>
      </c>
      <c r="BG4768" s="191" t="s">
        <v>479</v>
      </c>
      <c r="BH4768" s="236" t="s">
        <v>5155</v>
      </c>
      <c r="BI4768" s="191" t="s">
        <v>479</v>
      </c>
      <c r="BJ4768" s="58" t="str">
        <f>IF(BE4768=BH4768,"No","yes")</f>
        <v>No</v>
      </c>
      <c r="BK4768" s="58" t="s">
        <v>6335</v>
      </c>
      <c r="BL4768" s="58"/>
      <c r="BM4768" s="237" t="s">
        <v>160</v>
      </c>
      <c r="BN4768" s="244">
        <v>10</v>
      </c>
      <c r="BO4768" s="244">
        <v>10</v>
      </c>
      <c r="BP4768" s="58"/>
      <c r="BQ4768" s="58"/>
      <c r="BR4768" s="58"/>
      <c r="BS4768" s="58"/>
      <c r="BT4768" s="58"/>
      <c r="BU4768" s="58"/>
      <c r="BV4768" s="58"/>
      <c r="BW4768" s="67"/>
      <c r="BX4768" s="67"/>
      <c r="BY4768" s="67"/>
      <c r="BZ4768" s="67"/>
      <c r="CA4768" s="67"/>
      <c r="CB4768" s="70"/>
      <c r="CC4768" s="70"/>
      <c r="CD4768" s="70"/>
      <c r="CE4768" s="67"/>
      <c r="CF4768" s="67"/>
      <c r="CG4768" s="67"/>
      <c r="CH4768" s="245">
        <v>0.81</v>
      </c>
      <c r="CI4768" s="245">
        <v>0.84</v>
      </c>
      <c r="CJ4768" s="67"/>
      <c r="CK4768" s="67"/>
      <c r="CL4768" s="67"/>
      <c r="CM4768" s="242">
        <v>2.34</v>
      </c>
      <c r="CN4768" s="242">
        <v>4</v>
      </c>
      <c r="CO4768" s="242">
        <v>9.4868329805051377E-3</v>
      </c>
      <c r="CP4768" s="242">
        <v>9.4868329805051377E-3</v>
      </c>
      <c r="CQ4768" s="242" t="s">
        <v>164</v>
      </c>
      <c r="CR4768" s="242">
        <v>37.908000000000001</v>
      </c>
      <c r="CS4768" s="242">
        <v>67.2</v>
      </c>
      <c r="CT4768" s="242">
        <v>0.15542280000000003</v>
      </c>
      <c r="CU4768" s="242">
        <v>0.16127999999999998</v>
      </c>
      <c r="CV4768" s="242" t="s">
        <v>5151</v>
      </c>
      <c r="CW4768" s="242"/>
      <c r="CX4768" s="242"/>
      <c r="CY4768" s="242"/>
      <c r="CZ4768" s="242"/>
      <c r="DA4768" s="67" t="s">
        <v>5443</v>
      </c>
      <c r="DB4768" s="67">
        <v>13.5</v>
      </c>
      <c r="DC4768" s="67">
        <v>19.100000000000001</v>
      </c>
      <c r="DD4768" s="67">
        <v>0.7</v>
      </c>
      <c r="DE4768" s="67">
        <v>0.5</v>
      </c>
      <c r="DF4768" s="67" t="s">
        <v>5650</v>
      </c>
      <c r="DG4768" s="67">
        <v>29.4</v>
      </c>
      <c r="DH4768" s="67">
        <v>61.6</v>
      </c>
      <c r="DI4768" s="67"/>
      <c r="DJ4768" s="67"/>
      <c r="DK4768" s="67" t="s">
        <v>5649</v>
      </c>
      <c r="DL4768" s="67">
        <v>0.31</v>
      </c>
      <c r="DM4768" s="67">
        <v>0.67</v>
      </c>
      <c r="DN4768" s="67">
        <f>0.01*SQRT(10)</f>
        <v>3.1622776601683798E-2</v>
      </c>
      <c r="DO4768" s="67">
        <f>0.01*SQRT(10)</f>
        <v>3.1622776601683798E-2</v>
      </c>
      <c r="DP4768" s="67" t="s">
        <v>5651</v>
      </c>
      <c r="DQ4768" s="166">
        <v>7.6</v>
      </c>
      <c r="DR4768" s="166">
        <v>7.5</v>
      </c>
      <c r="DS4768" s="163"/>
      <c r="DT4768" s="163"/>
      <c r="DU4768" s="67"/>
      <c r="DV4768" s="67">
        <v>15.7</v>
      </c>
      <c r="DW4768" s="67">
        <v>17.899999999999999</v>
      </c>
      <c r="DX4768" s="67">
        <f>(0.4)*SQRT(10)</f>
        <v>1.264911064067352</v>
      </c>
      <c r="DY4768" s="67">
        <f>(0.05)*SQRT(10)</f>
        <v>0.158113883008419</v>
      </c>
      <c r="DZ4768" s="67" t="s">
        <v>5652</v>
      </c>
      <c r="EA4768" s="67"/>
      <c r="EB4768" s="67"/>
      <c r="EC4768" s="67"/>
      <c r="ED4768" s="67"/>
      <c r="EE4768" s="67"/>
      <c r="EF4768" s="67"/>
      <c r="EG4768" s="67"/>
      <c r="EH4768" s="67"/>
      <c r="EI4768" s="67"/>
      <c r="EJ4768" s="67"/>
      <c r="EK4768" s="94"/>
      <c r="EL4768" s="94"/>
      <c r="EM4768" s="67"/>
      <c r="EN4768" s="67"/>
      <c r="EO4768" s="67"/>
      <c r="EP4768" s="67"/>
      <c r="EQ4768" s="67"/>
      <c r="ER4768" s="67"/>
      <c r="ES4768" s="67"/>
      <c r="ET4768" s="67"/>
      <c r="EU4768" s="67"/>
      <c r="EV4768" s="67"/>
      <c r="EW4768" s="67"/>
      <c r="EX4768" s="67"/>
      <c r="EY4768" s="67"/>
      <c r="EZ4768" s="67"/>
      <c r="FA4768" s="67"/>
      <c r="FB4768" s="67"/>
      <c r="FC4768" s="67"/>
      <c r="FD4768" s="67"/>
      <c r="FE4768" s="67"/>
      <c r="FF4768" s="67"/>
      <c r="FG4768" s="67"/>
      <c r="FH4768" s="67"/>
      <c r="FI4768" s="67"/>
      <c r="FJ4768" s="67"/>
      <c r="FK4768" s="67"/>
      <c r="FL4768" s="67"/>
      <c r="FM4768" s="67"/>
      <c r="FN4768" s="67"/>
      <c r="FO4768" s="67"/>
      <c r="FP4768" s="67"/>
      <c r="FQ4768" s="67"/>
      <c r="FR4768" s="67"/>
      <c r="FS4768" s="67"/>
      <c r="FT4768" s="67"/>
      <c r="FU4768" s="67"/>
      <c r="FV4768" s="67"/>
      <c r="FW4768" s="67"/>
      <c r="FX4768" s="67"/>
      <c r="FY4768" s="67"/>
      <c r="FZ4768" s="67"/>
      <c r="GA4768" s="67"/>
      <c r="GB4768" s="67"/>
      <c r="GC4768" s="67"/>
      <c r="GD4768" s="67">
        <v>24</v>
      </c>
      <c r="GE4768" s="67">
        <v>42</v>
      </c>
      <c r="GF4768" s="67"/>
      <c r="GG4768" s="67"/>
      <c r="GH4768" s="67"/>
      <c r="GI4768" s="67"/>
      <c r="GJ4768" s="67"/>
      <c r="GK4768" s="67"/>
      <c r="GL4768" s="67"/>
      <c r="GM4768" s="67"/>
      <c r="GN4768" s="292"/>
      <c r="GO4768" s="292"/>
      <c r="GP4768" s="292" t="s">
        <v>7494</v>
      </c>
      <c r="GQ4768" s="67"/>
      <c r="GR4768" s="67"/>
      <c r="GS4768" s="67"/>
      <c r="GT4768" s="67"/>
      <c r="GU4768" s="67"/>
      <c r="GV4768" s="67"/>
      <c r="GW4768" s="67"/>
      <c r="GX4768" s="67"/>
      <c r="GY4768" s="67"/>
      <c r="GZ4768" s="67"/>
      <c r="HA4768" s="67"/>
      <c r="HB4768" s="67"/>
      <c r="HC4768" s="67"/>
      <c r="HD4768" s="67">
        <v>97.5</v>
      </c>
      <c r="HE4768" s="67">
        <v>424</v>
      </c>
      <c r="HF4768" s="67"/>
      <c r="HG4768" s="67"/>
      <c r="HH4768" s="67" t="s">
        <v>5644</v>
      </c>
      <c r="HI4768" s="67"/>
      <c r="HJ4768" s="67"/>
      <c r="HK4768" s="67"/>
      <c r="HL4768" s="67"/>
      <c r="HM4768" s="67"/>
      <c r="HN4768" s="67"/>
      <c r="HO4768" s="67"/>
      <c r="HP4768" s="67"/>
      <c r="HQ4768" s="67"/>
      <c r="HR4768" s="67"/>
      <c r="HS4768" s="67">
        <v>1.5065999999999999</v>
      </c>
      <c r="HT4768" s="67">
        <v>1.5083</v>
      </c>
      <c r="HU4768" s="67"/>
      <c r="HV4768" s="67"/>
      <c r="HW4768" s="67" t="s">
        <v>5645</v>
      </c>
      <c r="HX4768" s="67"/>
      <c r="HY4768" s="67"/>
      <c r="HZ4768" s="67"/>
      <c r="IA4768" s="67"/>
      <c r="IB4768" s="67"/>
      <c r="IC4768" s="67"/>
      <c r="ID4768" s="67"/>
      <c r="IE4768" s="67"/>
      <c r="IF4768" s="67"/>
      <c r="IG4768" s="67"/>
      <c r="IH4768" s="67"/>
      <c r="II4768" s="67"/>
      <c r="IJ4768" s="67"/>
      <c r="IK4768" s="67"/>
      <c r="IL4768" s="67"/>
      <c r="IM4768" s="67"/>
      <c r="IN4768" s="67"/>
      <c r="IO4768" s="67"/>
      <c r="IP4768" s="67"/>
      <c r="IQ4768" s="67"/>
      <c r="IR4768" s="67"/>
      <c r="IS4768" s="67"/>
      <c r="IT4768" s="67"/>
      <c r="IU4768" s="67"/>
      <c r="IV4768" s="67"/>
      <c r="IW4768" s="67"/>
      <c r="IX4768" s="67"/>
      <c r="IY4768" s="67"/>
      <c r="IZ4768" s="67"/>
      <c r="JA4768" s="67"/>
      <c r="JB4768" s="67"/>
      <c r="JC4768" s="67"/>
      <c r="JD4768" s="67"/>
      <c r="JE4768" s="67"/>
      <c r="JF4768" s="67"/>
      <c r="JG4768" s="67"/>
      <c r="JH4768" s="67"/>
      <c r="JI4768" s="67"/>
      <c r="JJ4768" s="67"/>
      <c r="JK4768" s="67"/>
      <c r="JL4768" s="67"/>
      <c r="JM4768" s="67"/>
      <c r="JN4768" s="67"/>
      <c r="JO4768" s="67"/>
      <c r="JP4768" s="67"/>
      <c r="JQ4768" s="67">
        <v>99999</v>
      </c>
      <c r="JR4768" s="67"/>
      <c r="JS4768" s="67"/>
      <c r="JT4768" s="67"/>
      <c r="JU4768" s="58"/>
      <c r="JV4768" s="58"/>
      <c r="JW4768" s="58"/>
    </row>
    <row r="4769" spans="1:283" s="23" customFormat="1" x14ac:dyDescent="0.25">
      <c r="A4769" s="55">
        <v>4768</v>
      </c>
      <c r="B4769" s="12" t="s">
        <v>7067</v>
      </c>
      <c r="C4769" s="156">
        <v>211</v>
      </c>
      <c r="D4769" s="58" t="s">
        <v>4879</v>
      </c>
      <c r="E4769" s="160" t="str">
        <f>G4769</f>
        <v>Blakemore 2000_Haughley 2</v>
      </c>
      <c r="F4769" s="160"/>
      <c r="G4769" s="60" t="s">
        <v>4850</v>
      </c>
      <c r="H4769" s="58">
        <v>2000</v>
      </c>
      <c r="I4769" s="58">
        <v>1979</v>
      </c>
      <c r="J4769" s="243" t="s">
        <v>350</v>
      </c>
      <c r="K4769" s="63" t="s">
        <v>5647</v>
      </c>
      <c r="L4769" s="58" t="s">
        <v>5327</v>
      </c>
      <c r="M4769" s="94">
        <v>52.19</v>
      </c>
      <c r="N4769" s="94">
        <v>0.97</v>
      </c>
      <c r="O4769" s="94">
        <v>49</v>
      </c>
      <c r="P4769" s="58"/>
      <c r="Q4769" s="244">
        <v>9.9</v>
      </c>
      <c r="R4769" s="58"/>
      <c r="S4769" s="245">
        <v>452</v>
      </c>
      <c r="T4769" s="58"/>
      <c r="U4769" s="58" t="s">
        <v>5345</v>
      </c>
      <c r="V4769" s="244">
        <v>41</v>
      </c>
      <c r="W4769" s="174"/>
      <c r="X4769" s="174"/>
      <c r="Y4769" s="58" t="s">
        <v>5344</v>
      </c>
      <c r="Z4769" s="244" t="s">
        <v>1346</v>
      </c>
      <c r="AA4769" s="245">
        <v>20</v>
      </c>
      <c r="AB4769" s="67"/>
      <c r="AC4769" s="67"/>
      <c r="AD4769" s="94">
        <v>1.05</v>
      </c>
      <c r="AE4769" s="94"/>
      <c r="AF4769" s="94"/>
      <c r="AG4769" s="245">
        <v>35</v>
      </c>
      <c r="AH4769" s="248" t="s">
        <v>645</v>
      </c>
      <c r="AI4769" s="169" t="s">
        <v>1676</v>
      </c>
      <c r="AJ4769" s="94">
        <v>1.75</v>
      </c>
      <c r="AK4769" s="94"/>
      <c r="AL4769" s="58"/>
      <c r="AM4769" s="58"/>
      <c r="AN4769" s="186" t="s">
        <v>5347</v>
      </c>
      <c r="AO4769" s="185" t="s">
        <v>5150</v>
      </c>
      <c r="AP4769" s="58"/>
      <c r="AQ4769" s="58" t="s">
        <v>3136</v>
      </c>
      <c r="AR4769" s="58" t="s">
        <v>116</v>
      </c>
      <c r="AS4769" s="58" t="s">
        <v>116</v>
      </c>
      <c r="AT4769" s="247">
        <v>0</v>
      </c>
      <c r="AU4769" s="181" t="s">
        <v>7494</v>
      </c>
      <c r="AV4769" s="185" t="s">
        <v>176</v>
      </c>
      <c r="AW4769" s="244">
        <v>1</v>
      </c>
      <c r="AX4769" s="185" t="s">
        <v>176</v>
      </c>
      <c r="AY4769" s="244" t="s">
        <v>5150</v>
      </c>
      <c r="AZ4769" s="58"/>
      <c r="BA4769" s="58"/>
      <c r="BB4769" s="58"/>
      <c r="BC4769" s="58"/>
      <c r="BD4769" s="58"/>
      <c r="BE4769" s="236" t="s">
        <v>5153</v>
      </c>
      <c r="BF4769" s="191" t="s">
        <v>176</v>
      </c>
      <c r="BG4769" s="191" t="s">
        <v>479</v>
      </c>
      <c r="BH4769" s="236" t="s">
        <v>5155</v>
      </c>
      <c r="BI4769" s="191" t="s">
        <v>479</v>
      </c>
      <c r="BJ4769" s="58" t="str">
        <f>IF(BE4769=BH4769,"No","yes")</f>
        <v>yes</v>
      </c>
      <c r="BK4769" s="58" t="s">
        <v>6335</v>
      </c>
      <c r="BL4769" s="58"/>
      <c r="BM4769" s="237" t="s">
        <v>160</v>
      </c>
      <c r="BN4769" s="244">
        <v>10</v>
      </c>
      <c r="BO4769" s="244">
        <v>10</v>
      </c>
      <c r="BP4769" s="58"/>
      <c r="BQ4769" s="58"/>
      <c r="BR4769" s="58"/>
      <c r="BS4769" s="58"/>
      <c r="BT4769" s="58"/>
      <c r="BU4769" s="58"/>
      <c r="BV4769" s="58"/>
      <c r="BW4769" s="67"/>
      <c r="BX4769" s="67"/>
      <c r="BY4769" s="67"/>
      <c r="BZ4769" s="67"/>
      <c r="CA4769" s="67"/>
      <c r="CB4769" s="70"/>
      <c r="CC4769" s="70"/>
      <c r="CD4769" s="70"/>
      <c r="CE4769" s="67"/>
      <c r="CF4769" s="67"/>
      <c r="CG4769" s="67"/>
      <c r="CH4769" s="245">
        <v>1.05</v>
      </c>
      <c r="CI4769" s="245">
        <v>0.91</v>
      </c>
      <c r="CJ4769" s="67"/>
      <c r="CK4769" s="67"/>
      <c r="CL4769" s="67"/>
      <c r="CM4769" s="242">
        <v>1.75</v>
      </c>
      <c r="CN4769" s="242">
        <v>4</v>
      </c>
      <c r="CO4769" s="242">
        <v>3.1622776601683798E-3</v>
      </c>
      <c r="CP4769" s="242">
        <v>9.4868329805051377E-3</v>
      </c>
      <c r="CQ4769" s="242" t="s">
        <v>164</v>
      </c>
      <c r="CR4769" s="242">
        <v>36.750000000000007</v>
      </c>
      <c r="CS4769" s="242">
        <v>67.2</v>
      </c>
      <c r="CT4769" s="242">
        <v>6.6150000000000014E-2</v>
      </c>
      <c r="CU4769" s="242">
        <v>0.16127999999999998</v>
      </c>
      <c r="CV4769" s="242" t="s">
        <v>5151</v>
      </c>
      <c r="CW4769" s="242"/>
      <c r="CX4769" s="242"/>
      <c r="CY4769" s="242"/>
      <c r="CZ4769" s="242"/>
      <c r="DA4769" s="67" t="s">
        <v>5443</v>
      </c>
      <c r="DB4769" s="67">
        <v>8.4</v>
      </c>
      <c r="DC4769" s="67">
        <v>19.100000000000001</v>
      </c>
      <c r="DD4769" s="67">
        <v>0.7</v>
      </c>
      <c r="DE4769" s="67">
        <v>0.5</v>
      </c>
      <c r="DF4769" s="67" t="s">
        <v>5650</v>
      </c>
      <c r="DG4769" s="67">
        <v>47.4</v>
      </c>
      <c r="DH4769" s="67">
        <v>61.6</v>
      </c>
      <c r="DI4769" s="67"/>
      <c r="DJ4769" s="67"/>
      <c r="DK4769" s="67" t="s">
        <v>5649</v>
      </c>
      <c r="DL4769" s="67">
        <v>0.51</v>
      </c>
      <c r="DM4769" s="67">
        <v>0.67</v>
      </c>
      <c r="DN4769" s="67">
        <f>0.03*SQRT(10)</f>
        <v>9.4868329805051388E-2</v>
      </c>
      <c r="DO4769" s="67">
        <f>0.01*SQRT(10)</f>
        <v>3.1622776601683798E-2</v>
      </c>
      <c r="DP4769" s="67" t="s">
        <v>5651</v>
      </c>
      <c r="DQ4769" s="166">
        <v>7.5</v>
      </c>
      <c r="DR4769" s="166">
        <v>7.2</v>
      </c>
      <c r="DS4769" s="163"/>
      <c r="DT4769" s="163"/>
      <c r="DU4769" s="67"/>
      <c r="DV4769" s="67">
        <v>13.5</v>
      </c>
      <c r="DW4769" s="67">
        <v>17.899999999999999</v>
      </c>
      <c r="DX4769" s="67">
        <f>(0.4)*SQRT(10)</f>
        <v>1.264911064067352</v>
      </c>
      <c r="DY4769" s="67">
        <f>(0.05)*SQRT(10)</f>
        <v>0.158113883008419</v>
      </c>
      <c r="DZ4769" s="67" t="s">
        <v>5652</v>
      </c>
      <c r="EA4769" s="67"/>
      <c r="EB4769" s="67"/>
      <c r="EC4769" s="67"/>
      <c r="ED4769" s="67"/>
      <c r="EE4769" s="67"/>
      <c r="EF4769" s="67"/>
      <c r="EG4769" s="67"/>
      <c r="EH4769" s="67"/>
      <c r="EI4769" s="67"/>
      <c r="EJ4769" s="67"/>
      <c r="EK4769" s="94"/>
      <c r="EL4769" s="94"/>
      <c r="EM4769" s="67"/>
      <c r="EN4769" s="67"/>
      <c r="EO4769" s="67"/>
      <c r="EP4769" s="67"/>
      <c r="EQ4769" s="67"/>
      <c r="ER4769" s="67"/>
      <c r="ES4769" s="67"/>
      <c r="ET4769" s="67"/>
      <c r="EU4769" s="67"/>
      <c r="EV4769" s="67"/>
      <c r="EW4769" s="67"/>
      <c r="EX4769" s="67"/>
      <c r="EY4769" s="67"/>
      <c r="EZ4769" s="67"/>
      <c r="FA4769" s="67"/>
      <c r="FB4769" s="67"/>
      <c r="FC4769" s="67"/>
      <c r="FD4769" s="67"/>
      <c r="FE4769" s="67"/>
      <c r="FF4769" s="67"/>
      <c r="FG4769" s="67"/>
      <c r="FH4769" s="67"/>
      <c r="FI4769" s="67"/>
      <c r="FJ4769" s="67"/>
      <c r="FK4769" s="67"/>
      <c r="FL4769" s="67"/>
      <c r="FM4769" s="67"/>
      <c r="FN4769" s="67"/>
      <c r="FO4769" s="67"/>
      <c r="FP4769" s="67"/>
      <c r="FQ4769" s="67"/>
      <c r="FR4769" s="67"/>
      <c r="FS4769" s="67"/>
      <c r="FT4769" s="67"/>
      <c r="FU4769" s="67"/>
      <c r="FV4769" s="67"/>
      <c r="FW4769" s="67"/>
      <c r="FX4769" s="67"/>
      <c r="FY4769" s="67"/>
      <c r="FZ4769" s="67"/>
      <c r="GA4769" s="67"/>
      <c r="GB4769" s="67"/>
      <c r="GC4769" s="67"/>
      <c r="GD4769" s="67">
        <v>22</v>
      </c>
      <c r="GE4769" s="67">
        <v>31</v>
      </c>
      <c r="GF4769" s="67"/>
      <c r="GG4769" s="67"/>
      <c r="GH4769" s="67"/>
      <c r="GI4769" s="67"/>
      <c r="GJ4769" s="67"/>
      <c r="GK4769" s="67"/>
      <c r="GL4769" s="67"/>
      <c r="GM4769" s="67"/>
      <c r="GN4769" s="292"/>
      <c r="GO4769" s="292"/>
      <c r="GP4769" s="292" t="s">
        <v>7494</v>
      </c>
      <c r="GQ4769" s="67"/>
      <c r="GR4769" s="67"/>
      <c r="GS4769" s="67"/>
      <c r="GT4769" s="67"/>
      <c r="GU4769" s="67"/>
      <c r="GV4769" s="67"/>
      <c r="GW4769" s="67"/>
      <c r="GX4769" s="67"/>
      <c r="GY4769" s="67"/>
      <c r="GZ4769" s="67"/>
      <c r="HA4769" s="67"/>
      <c r="HB4769" s="67"/>
      <c r="HC4769" s="67"/>
      <c r="HD4769" s="67">
        <v>100</v>
      </c>
      <c r="HE4769" s="67">
        <v>178.6</v>
      </c>
      <c r="HF4769" s="67"/>
      <c r="HG4769" s="67"/>
      <c r="HH4769" s="67" t="s">
        <v>5644</v>
      </c>
      <c r="HI4769" s="67"/>
      <c r="HJ4769" s="67"/>
      <c r="HK4769" s="67"/>
      <c r="HL4769" s="67"/>
      <c r="HM4769" s="67"/>
      <c r="HN4769" s="67"/>
      <c r="HO4769" s="67"/>
      <c r="HP4769" s="67"/>
      <c r="HQ4769" s="67"/>
      <c r="HR4769" s="67"/>
      <c r="HS4769" s="67">
        <v>1.3561000000000001</v>
      </c>
      <c r="HT4769" s="67">
        <v>1.3167</v>
      </c>
      <c r="HU4769" s="67"/>
      <c r="HV4769" s="67"/>
      <c r="HW4769" s="67" t="s">
        <v>5645</v>
      </c>
      <c r="HX4769" s="67"/>
      <c r="HY4769" s="67"/>
      <c r="HZ4769" s="67"/>
      <c r="IA4769" s="67"/>
      <c r="IB4769" s="67"/>
      <c r="IC4769" s="67"/>
      <c r="ID4769" s="67"/>
      <c r="IE4769" s="67"/>
      <c r="IF4769" s="67"/>
      <c r="IG4769" s="67"/>
      <c r="IH4769" s="67"/>
      <c r="II4769" s="67"/>
      <c r="IJ4769" s="67"/>
      <c r="IK4769" s="67"/>
      <c r="IL4769" s="67"/>
      <c r="IM4769" s="67"/>
      <c r="IN4769" s="67"/>
      <c r="IO4769" s="67"/>
      <c r="IP4769" s="67"/>
      <c r="IQ4769" s="67"/>
      <c r="IR4769" s="67"/>
      <c r="IS4769" s="67"/>
      <c r="IT4769" s="67"/>
      <c r="IU4769" s="67"/>
      <c r="IV4769" s="67"/>
      <c r="IW4769" s="67"/>
      <c r="IX4769" s="67"/>
      <c r="IY4769" s="67"/>
      <c r="IZ4769" s="67"/>
      <c r="JA4769" s="67"/>
      <c r="JB4769" s="67"/>
      <c r="JC4769" s="67"/>
      <c r="JD4769" s="67"/>
      <c r="JE4769" s="67"/>
      <c r="JF4769" s="67"/>
      <c r="JG4769" s="67"/>
      <c r="JH4769" s="67"/>
      <c r="JI4769" s="67"/>
      <c r="JJ4769" s="67"/>
      <c r="JK4769" s="67"/>
      <c r="JL4769" s="67"/>
      <c r="JM4769" s="67"/>
      <c r="JN4769" s="67"/>
      <c r="JO4769" s="67"/>
      <c r="JP4769" s="67"/>
      <c r="JQ4769" s="67">
        <v>99999</v>
      </c>
      <c r="JR4769" s="67"/>
      <c r="JS4769" s="67"/>
      <c r="JT4769" s="67"/>
      <c r="JU4769" s="58"/>
      <c r="JV4769" s="58"/>
      <c r="JW4769" s="58"/>
    </row>
    <row r="4770" spans="1:283" s="23" customFormat="1" x14ac:dyDescent="0.25">
      <c r="A4770" s="55">
        <v>4769</v>
      </c>
      <c r="B4770" s="12" t="s">
        <v>7067</v>
      </c>
      <c r="C4770" s="156">
        <v>212</v>
      </c>
      <c r="D4770" s="58" t="s">
        <v>4880</v>
      </c>
      <c r="E4770" s="160" t="str">
        <f>G4770</f>
        <v>Campos-Herrera et al. 2010_apple orchard</v>
      </c>
      <c r="F4770" s="160"/>
      <c r="G4770" s="60" t="s">
        <v>4849</v>
      </c>
      <c r="H4770" s="58">
        <v>2010</v>
      </c>
      <c r="I4770" s="58">
        <v>2004</v>
      </c>
      <c r="J4770" s="243" t="s">
        <v>5301</v>
      </c>
      <c r="K4770" s="63" t="s">
        <v>5129</v>
      </c>
      <c r="L4770" s="58" t="s">
        <v>4516</v>
      </c>
      <c r="M4770" s="94">
        <v>42.29</v>
      </c>
      <c r="N4770" s="94">
        <v>-2.54</v>
      </c>
      <c r="O4770" s="94">
        <v>967</v>
      </c>
      <c r="P4770" s="58"/>
      <c r="Q4770" s="244">
        <v>11</v>
      </c>
      <c r="R4770" s="58"/>
      <c r="S4770" s="245">
        <v>450</v>
      </c>
      <c r="T4770" s="58"/>
      <c r="U4770" s="58" t="s">
        <v>1805</v>
      </c>
      <c r="V4770" s="244">
        <v>3</v>
      </c>
      <c r="W4770" s="174"/>
      <c r="X4770" s="174"/>
      <c r="Y4770" s="58" t="s">
        <v>1803</v>
      </c>
      <c r="Z4770" s="244" t="s">
        <v>5141</v>
      </c>
      <c r="AA4770" s="245">
        <v>18</v>
      </c>
      <c r="AB4770" s="67"/>
      <c r="AC4770" s="67"/>
      <c r="AD4770" s="94"/>
      <c r="AE4770" s="94"/>
      <c r="AF4770" s="94"/>
      <c r="AG4770" s="245"/>
      <c r="AH4770" s="58"/>
      <c r="AI4770" s="169"/>
      <c r="AJ4770" s="94"/>
      <c r="AK4770" s="94">
        <v>4.7</v>
      </c>
      <c r="AL4770" s="58"/>
      <c r="AM4770" s="58"/>
      <c r="AN4770" s="186"/>
      <c r="AO4770" s="185" t="s">
        <v>7494</v>
      </c>
      <c r="AP4770" s="58"/>
      <c r="AQ4770" s="58"/>
      <c r="AR4770" s="58"/>
      <c r="AS4770" s="246" t="s">
        <v>3471</v>
      </c>
      <c r="AT4770" s="247">
        <v>0</v>
      </c>
      <c r="AU4770" s="181" t="s">
        <v>7494</v>
      </c>
      <c r="AV4770" s="185" t="s">
        <v>176</v>
      </c>
      <c r="AW4770" s="244">
        <v>0</v>
      </c>
      <c r="AX4770" s="185" t="s">
        <v>176</v>
      </c>
      <c r="AY4770" s="244" t="s">
        <v>176</v>
      </c>
      <c r="AZ4770" s="58"/>
      <c r="BA4770" s="58"/>
      <c r="BB4770" s="58"/>
      <c r="BC4770" s="58"/>
      <c r="BD4770" s="58"/>
      <c r="BE4770" s="236" t="s">
        <v>5153</v>
      </c>
      <c r="BF4770" s="191" t="s">
        <v>176</v>
      </c>
      <c r="BG4770" s="191" t="s">
        <v>176</v>
      </c>
      <c r="BH4770" s="236" t="s">
        <v>5153</v>
      </c>
      <c r="BI4770" s="191" t="s">
        <v>176</v>
      </c>
      <c r="BJ4770" s="58" t="str">
        <f>IF(BE4770=BH4770,"No","yes")</f>
        <v>No</v>
      </c>
      <c r="BK4770" s="58" t="s">
        <v>6334</v>
      </c>
      <c r="BL4770" s="58"/>
      <c r="BM4770" s="237"/>
      <c r="BN4770" s="244">
        <v>10</v>
      </c>
      <c r="BO4770" s="244">
        <v>10</v>
      </c>
      <c r="BP4770" s="58"/>
      <c r="BQ4770" s="58"/>
      <c r="BR4770" s="58"/>
      <c r="BS4770" s="58"/>
      <c r="BT4770" s="58"/>
      <c r="BU4770" s="58"/>
      <c r="BV4770" s="58"/>
      <c r="BW4770" s="67"/>
      <c r="BX4770" s="67"/>
      <c r="BY4770" s="67"/>
      <c r="BZ4770" s="67"/>
      <c r="CA4770" s="67"/>
      <c r="CB4770" s="70"/>
      <c r="CC4770" s="70"/>
      <c r="CD4770" s="70"/>
      <c r="CE4770" s="67"/>
      <c r="CF4770" s="67"/>
      <c r="CG4770" s="67"/>
      <c r="CH4770" s="245"/>
      <c r="CI4770" s="245"/>
      <c r="CJ4770" s="67"/>
      <c r="CK4770" s="67"/>
      <c r="CL4770" s="67"/>
      <c r="CM4770" s="242">
        <v>1.75</v>
      </c>
      <c r="CN4770" s="242">
        <v>1.76</v>
      </c>
      <c r="CO4770" s="242">
        <f>(1.66-1.57)*SQRT(10)</f>
        <v>0.28460498941515372</v>
      </c>
      <c r="CP4770" s="242">
        <f>(1.66-1.57)*SQRT(10)</f>
        <v>0.28460498941515372</v>
      </c>
      <c r="CQ4770" s="242" t="s">
        <v>164</v>
      </c>
      <c r="CR4770" s="242"/>
      <c r="CS4770" s="242"/>
      <c r="CT4770" s="242"/>
      <c r="CU4770" s="242"/>
      <c r="CV4770" s="242" t="s">
        <v>5151</v>
      </c>
      <c r="CW4770" s="242"/>
      <c r="CX4770" s="242"/>
      <c r="CY4770" s="242"/>
      <c r="CZ4770" s="242"/>
      <c r="DA4770" s="67" t="s">
        <v>5443</v>
      </c>
      <c r="DB4770" s="67">
        <v>0.28999999999999998</v>
      </c>
      <c r="DC4770" s="67">
        <v>0.21</v>
      </c>
      <c r="DD4770" s="67"/>
      <c r="DE4770" s="67"/>
      <c r="DF4770" s="67"/>
      <c r="DG4770" s="67"/>
      <c r="DH4770" s="67"/>
      <c r="DI4770" s="67"/>
      <c r="DJ4770" s="67"/>
      <c r="DK4770" s="67"/>
      <c r="DL4770" s="67"/>
      <c r="DM4770" s="67"/>
      <c r="DN4770" s="67"/>
      <c r="DO4770" s="67"/>
      <c r="DP4770" s="67"/>
      <c r="DQ4770" s="166"/>
      <c r="DR4770" s="166"/>
      <c r="DS4770" s="163"/>
      <c r="DT4770" s="163"/>
      <c r="DU4770" s="67"/>
      <c r="DV4770" s="67"/>
      <c r="DW4770" s="67"/>
      <c r="DX4770" s="67"/>
      <c r="DY4770" s="67"/>
      <c r="DZ4770" s="67"/>
      <c r="EA4770" s="67"/>
      <c r="EB4770" s="67"/>
      <c r="EC4770" s="67"/>
      <c r="ED4770" s="67"/>
      <c r="EE4770" s="67"/>
      <c r="EF4770" s="67"/>
      <c r="EG4770" s="67"/>
      <c r="EH4770" s="67"/>
      <c r="EI4770" s="67"/>
      <c r="EJ4770" s="67"/>
      <c r="EK4770" s="94"/>
      <c r="EL4770" s="94"/>
      <c r="EM4770" s="67"/>
      <c r="EN4770" s="67"/>
      <c r="EO4770" s="67"/>
      <c r="EP4770" s="67"/>
      <c r="EQ4770" s="67"/>
      <c r="ER4770" s="67"/>
      <c r="ES4770" s="67"/>
      <c r="ET4770" s="67"/>
      <c r="EU4770" s="67"/>
      <c r="EV4770" s="67"/>
      <c r="EW4770" s="67"/>
      <c r="EX4770" s="67"/>
      <c r="EY4770" s="67"/>
      <c r="EZ4770" s="67"/>
      <c r="FA4770" s="67"/>
      <c r="FB4770" s="67"/>
      <c r="FC4770" s="67"/>
      <c r="FD4770" s="67"/>
      <c r="FE4770" s="67"/>
      <c r="FF4770" s="67"/>
      <c r="FG4770" s="67"/>
      <c r="FH4770" s="67"/>
      <c r="FI4770" s="67"/>
      <c r="FJ4770" s="67"/>
      <c r="FK4770" s="67"/>
      <c r="FL4770" s="67"/>
      <c r="FM4770" s="67"/>
      <c r="FN4770" s="67"/>
      <c r="FO4770" s="67"/>
      <c r="FP4770" s="67"/>
      <c r="FQ4770" s="67"/>
      <c r="FR4770" s="67"/>
      <c r="FS4770" s="67"/>
      <c r="FT4770" s="67"/>
      <c r="FU4770" s="67"/>
      <c r="FV4770" s="67"/>
      <c r="FW4770" s="67"/>
      <c r="FX4770" s="67"/>
      <c r="FY4770" s="67">
        <v>15.68</v>
      </c>
      <c r="FZ4770" s="67">
        <v>16.489999999999998</v>
      </c>
      <c r="GA4770" s="67">
        <f>SQRT(10)*(16.66-FY4770)</f>
        <v>3.0990321069650131</v>
      </c>
      <c r="GB4770" s="67">
        <v>3</v>
      </c>
      <c r="GC4770" s="67"/>
      <c r="GD4770" s="67">
        <v>25.59</v>
      </c>
      <c r="GE4770" s="67">
        <v>26.71</v>
      </c>
      <c r="GF4770" s="67">
        <f>SQRT(10)*(27.55-GE4770)</f>
        <v>2.6563132345414382</v>
      </c>
      <c r="GG4770" s="67">
        <v>2.5</v>
      </c>
      <c r="GH4770" s="67"/>
      <c r="GI4770" s="67">
        <v>2.71</v>
      </c>
      <c r="GJ4770" s="67">
        <v>2.72</v>
      </c>
      <c r="GK4770" s="67">
        <v>0.22</v>
      </c>
      <c r="GL4770" s="67">
        <v>0.22</v>
      </c>
      <c r="GM4770" s="67" t="s">
        <v>5653</v>
      </c>
      <c r="GN4770" s="292"/>
      <c r="GO4770" s="292"/>
      <c r="GP4770" s="292" t="s">
        <v>7494</v>
      </c>
      <c r="GQ4770" s="67"/>
      <c r="GR4770" s="67"/>
      <c r="GS4770" s="67"/>
      <c r="GT4770" s="67"/>
      <c r="GU4770" s="67"/>
      <c r="GV4770" s="67"/>
      <c r="GW4770" s="67"/>
      <c r="GX4770" s="67"/>
      <c r="GY4770" s="67"/>
      <c r="GZ4770" s="67"/>
      <c r="HA4770" s="67"/>
      <c r="HB4770" s="67"/>
      <c r="HC4770" s="67"/>
      <c r="HD4770" s="67"/>
      <c r="HE4770" s="67"/>
      <c r="HF4770" s="67"/>
      <c r="HG4770" s="67"/>
      <c r="HH4770" s="67"/>
      <c r="HI4770" s="67"/>
      <c r="HJ4770" s="67"/>
      <c r="HK4770" s="67"/>
      <c r="HL4770" s="67"/>
      <c r="HM4770" s="67"/>
      <c r="HN4770" s="67"/>
      <c r="HO4770" s="67"/>
      <c r="HP4770" s="67"/>
      <c r="HQ4770" s="67"/>
      <c r="HR4770" s="67"/>
      <c r="HS4770" s="67"/>
      <c r="HT4770" s="67"/>
      <c r="HU4770" s="67"/>
      <c r="HV4770" s="67"/>
      <c r="HW4770" s="67"/>
      <c r="HX4770" s="67"/>
      <c r="HY4770" s="67"/>
      <c r="HZ4770" s="67"/>
      <c r="IA4770" s="67"/>
      <c r="IB4770" s="67"/>
      <c r="IC4770" s="67"/>
      <c r="ID4770" s="67"/>
      <c r="IE4770" s="67"/>
      <c r="IF4770" s="67"/>
      <c r="IG4770" s="67"/>
      <c r="IH4770" s="67"/>
      <c r="II4770" s="67"/>
      <c r="IJ4770" s="67"/>
      <c r="IK4770" s="67"/>
      <c r="IL4770" s="67"/>
      <c r="IM4770" s="67"/>
      <c r="IN4770" s="67"/>
      <c r="IO4770" s="67"/>
      <c r="IP4770" s="67"/>
      <c r="IQ4770" s="67"/>
      <c r="IR4770" s="67"/>
      <c r="IS4770" s="67"/>
      <c r="IT4770" s="67"/>
      <c r="IU4770" s="67"/>
      <c r="IV4770" s="67"/>
      <c r="IW4770" s="67"/>
      <c r="IX4770" s="67"/>
      <c r="IY4770" s="67"/>
      <c r="IZ4770" s="67"/>
      <c r="JA4770" s="67"/>
      <c r="JB4770" s="67"/>
      <c r="JC4770" s="67"/>
      <c r="JD4770" s="67"/>
      <c r="JE4770" s="67"/>
      <c r="JF4770" s="67"/>
      <c r="JG4770" s="67"/>
      <c r="JH4770" s="67"/>
      <c r="JI4770" s="67"/>
      <c r="JJ4770" s="67"/>
      <c r="JK4770" s="67"/>
      <c r="JL4770" s="67"/>
      <c r="JM4770" s="67"/>
      <c r="JN4770" s="67"/>
      <c r="JO4770" s="67"/>
      <c r="JP4770" s="67"/>
      <c r="JQ4770" s="67"/>
      <c r="JR4770" s="67"/>
      <c r="JS4770" s="67"/>
      <c r="JT4770" s="67"/>
      <c r="JU4770" s="58"/>
      <c r="JV4770" s="58"/>
      <c r="JW4770" s="58"/>
    </row>
    <row r="4771" spans="1:283" s="23" customFormat="1" x14ac:dyDescent="0.25">
      <c r="A4771" s="55">
        <v>4770</v>
      </c>
      <c r="B4771" s="12" t="s">
        <v>7067</v>
      </c>
      <c r="C4771" s="156">
        <v>212</v>
      </c>
      <c r="D4771" s="58" t="s">
        <v>4881</v>
      </c>
      <c r="E4771" s="160" t="str">
        <f>G4771</f>
        <v>Campos-Herrera et al. 2010_cropland</v>
      </c>
      <c r="F4771" s="160"/>
      <c r="G4771" s="60" t="s">
        <v>4848</v>
      </c>
      <c r="H4771" s="58">
        <v>2010</v>
      </c>
      <c r="I4771" s="58">
        <v>2004</v>
      </c>
      <c r="J4771" s="243" t="s">
        <v>5301</v>
      </c>
      <c r="K4771" s="63" t="s">
        <v>5129</v>
      </c>
      <c r="L4771" s="58" t="s">
        <v>4516</v>
      </c>
      <c r="M4771" s="94">
        <v>42.29</v>
      </c>
      <c r="N4771" s="94">
        <v>-2.54</v>
      </c>
      <c r="O4771" s="94">
        <v>967</v>
      </c>
      <c r="P4771" s="58"/>
      <c r="Q4771" s="244">
        <v>11</v>
      </c>
      <c r="R4771" s="58"/>
      <c r="S4771" s="245">
        <v>450</v>
      </c>
      <c r="T4771" s="58"/>
      <c r="U4771" s="58" t="s">
        <v>1805</v>
      </c>
      <c r="V4771" s="244">
        <v>3</v>
      </c>
      <c r="W4771" s="174"/>
      <c r="X4771" s="174"/>
      <c r="Y4771" s="58" t="s">
        <v>1803</v>
      </c>
      <c r="Z4771" s="244" t="s">
        <v>5141</v>
      </c>
      <c r="AA4771" s="245">
        <v>18</v>
      </c>
      <c r="AB4771" s="67"/>
      <c r="AC4771" s="67"/>
      <c r="AD4771" s="94"/>
      <c r="AE4771" s="94"/>
      <c r="AF4771" s="94"/>
      <c r="AG4771" s="245"/>
      <c r="AH4771" s="58"/>
      <c r="AI4771" s="169"/>
      <c r="AJ4771" s="94"/>
      <c r="AK4771" s="94">
        <v>4.7</v>
      </c>
      <c r="AL4771" s="58"/>
      <c r="AM4771" s="58"/>
      <c r="AN4771" s="186"/>
      <c r="AO4771" s="185" t="s">
        <v>7494</v>
      </c>
      <c r="AP4771" s="58"/>
      <c r="AQ4771" s="58"/>
      <c r="AR4771" s="58"/>
      <c r="AS4771" s="246" t="s">
        <v>5133</v>
      </c>
      <c r="AT4771" s="247">
        <v>0</v>
      </c>
      <c r="AU4771" s="181" t="s">
        <v>7494</v>
      </c>
      <c r="AV4771" s="185" t="s">
        <v>176</v>
      </c>
      <c r="AW4771" s="244">
        <v>0</v>
      </c>
      <c r="AX4771" s="185" t="s">
        <v>176</v>
      </c>
      <c r="AY4771" s="244" t="s">
        <v>176</v>
      </c>
      <c r="AZ4771" s="58"/>
      <c r="BA4771" s="58"/>
      <c r="BB4771" s="58"/>
      <c r="BC4771" s="58"/>
      <c r="BD4771" s="58"/>
      <c r="BE4771" s="236" t="s">
        <v>5153</v>
      </c>
      <c r="BF4771" s="191" t="s">
        <v>176</v>
      </c>
      <c r="BG4771" s="191" t="s">
        <v>176</v>
      </c>
      <c r="BH4771" s="236" t="s">
        <v>5153</v>
      </c>
      <c r="BI4771" s="191" t="s">
        <v>176</v>
      </c>
      <c r="BJ4771" s="58" t="str">
        <f>IF(BE4771=BH4771,"No","yes")</f>
        <v>No</v>
      </c>
      <c r="BK4771" s="58" t="s">
        <v>6334</v>
      </c>
      <c r="BL4771" s="58"/>
      <c r="BM4771" s="237"/>
      <c r="BN4771" s="244">
        <v>15</v>
      </c>
      <c r="BO4771" s="244">
        <v>15</v>
      </c>
      <c r="BP4771" s="58"/>
      <c r="BQ4771" s="58"/>
      <c r="BR4771" s="58"/>
      <c r="BS4771" s="58"/>
      <c r="BT4771" s="58"/>
      <c r="BU4771" s="58"/>
      <c r="BV4771" s="58"/>
      <c r="BW4771" s="67"/>
      <c r="BX4771" s="67"/>
      <c r="BY4771" s="67"/>
      <c r="BZ4771" s="67"/>
      <c r="CA4771" s="67"/>
      <c r="CB4771" s="70"/>
      <c r="CC4771" s="70"/>
      <c r="CD4771" s="70"/>
      <c r="CE4771" s="67"/>
      <c r="CF4771" s="67"/>
      <c r="CG4771" s="67"/>
      <c r="CH4771" s="245"/>
      <c r="CI4771" s="245"/>
      <c r="CJ4771" s="67"/>
      <c r="CK4771" s="67"/>
      <c r="CL4771" s="67"/>
      <c r="CM4771" s="242">
        <v>1.5</v>
      </c>
      <c r="CN4771" s="242">
        <v>1.53</v>
      </c>
      <c r="CO4771" s="242">
        <f>(1.66-1.57)*SQRT(10)</f>
        <v>0.28460498941515372</v>
      </c>
      <c r="CP4771" s="242">
        <f>(1.66-1.57)*SQRT(10)</f>
        <v>0.28460498941515372</v>
      </c>
      <c r="CQ4771" s="242" t="s">
        <v>164</v>
      </c>
      <c r="CR4771" s="242"/>
      <c r="CS4771" s="242"/>
      <c r="CT4771" s="242"/>
      <c r="CU4771" s="242"/>
      <c r="CV4771" s="242" t="s">
        <v>5151</v>
      </c>
      <c r="CW4771" s="242"/>
      <c r="CX4771" s="242"/>
      <c r="CY4771" s="242"/>
      <c r="CZ4771" s="242"/>
      <c r="DA4771" s="67" t="s">
        <v>5443</v>
      </c>
      <c r="DB4771" s="67">
        <v>0.25</v>
      </c>
      <c r="DC4771" s="67">
        <v>0.23</v>
      </c>
      <c r="DD4771" s="67"/>
      <c r="DE4771" s="67"/>
      <c r="DF4771" s="67"/>
      <c r="DG4771" s="67"/>
      <c r="DH4771" s="67"/>
      <c r="DI4771" s="67"/>
      <c r="DJ4771" s="67"/>
      <c r="DK4771" s="67"/>
      <c r="DL4771" s="67"/>
      <c r="DM4771" s="67"/>
      <c r="DN4771" s="67"/>
      <c r="DO4771" s="67"/>
      <c r="DP4771" s="67"/>
      <c r="DQ4771" s="166"/>
      <c r="DR4771" s="166"/>
      <c r="DS4771" s="163"/>
      <c r="DT4771" s="163"/>
      <c r="DU4771" s="67"/>
      <c r="DV4771" s="67"/>
      <c r="DW4771" s="67"/>
      <c r="DX4771" s="67"/>
      <c r="DY4771" s="67"/>
      <c r="DZ4771" s="67"/>
      <c r="EA4771" s="67"/>
      <c r="EB4771" s="67"/>
      <c r="EC4771" s="67"/>
      <c r="ED4771" s="67"/>
      <c r="EE4771" s="67"/>
      <c r="EF4771" s="67"/>
      <c r="EG4771" s="67"/>
      <c r="EH4771" s="67"/>
      <c r="EI4771" s="67"/>
      <c r="EJ4771" s="67"/>
      <c r="EK4771" s="94"/>
      <c r="EL4771" s="94"/>
      <c r="EM4771" s="67"/>
      <c r="EN4771" s="67"/>
      <c r="EO4771" s="67"/>
      <c r="EP4771" s="67"/>
      <c r="EQ4771" s="67"/>
      <c r="ER4771" s="67"/>
      <c r="ES4771" s="67"/>
      <c r="ET4771" s="67"/>
      <c r="EU4771" s="67"/>
      <c r="EV4771" s="67"/>
      <c r="EW4771" s="67"/>
      <c r="EX4771" s="67"/>
      <c r="EY4771" s="67"/>
      <c r="EZ4771" s="67"/>
      <c r="FA4771" s="67"/>
      <c r="FB4771" s="67"/>
      <c r="FC4771" s="67"/>
      <c r="FD4771" s="67"/>
      <c r="FE4771" s="67"/>
      <c r="FF4771" s="67"/>
      <c r="FG4771" s="67"/>
      <c r="FH4771" s="67"/>
      <c r="FI4771" s="67"/>
      <c r="FJ4771" s="67"/>
      <c r="FK4771" s="67"/>
      <c r="FL4771" s="67"/>
      <c r="FM4771" s="67"/>
      <c r="FN4771" s="67"/>
      <c r="FO4771" s="67"/>
      <c r="FP4771" s="67"/>
      <c r="FQ4771" s="67"/>
      <c r="FR4771" s="67"/>
      <c r="FS4771" s="67"/>
      <c r="FT4771" s="67"/>
      <c r="FU4771" s="67"/>
      <c r="FV4771" s="67"/>
      <c r="FW4771" s="67"/>
      <c r="FX4771" s="67"/>
      <c r="FY4771" s="67">
        <v>16.89</v>
      </c>
      <c r="FZ4771" s="67">
        <v>14.98</v>
      </c>
      <c r="GA4771" s="67">
        <f>SQRT(10)*(17.87-FY4771)</f>
        <v>3.0990321069650131</v>
      </c>
      <c r="GB4771" s="67">
        <v>3</v>
      </c>
      <c r="GC4771" s="67"/>
      <c r="GD4771" s="67">
        <v>21.96</v>
      </c>
      <c r="GE4771" s="67">
        <v>26.85</v>
      </c>
      <c r="GF4771" s="67">
        <v>2.5</v>
      </c>
      <c r="GG4771" s="67">
        <v>2.5</v>
      </c>
      <c r="GH4771" s="67"/>
      <c r="GI4771" s="67">
        <v>2.77</v>
      </c>
      <c r="GJ4771" s="67">
        <v>2.94</v>
      </c>
      <c r="GK4771" s="67">
        <v>0.22</v>
      </c>
      <c r="GL4771" s="67">
        <v>0.22</v>
      </c>
      <c r="GM4771" s="67" t="s">
        <v>5653</v>
      </c>
      <c r="GN4771" s="292"/>
      <c r="GO4771" s="292"/>
      <c r="GP4771" s="292" t="s">
        <v>7494</v>
      </c>
      <c r="GQ4771" s="67"/>
      <c r="GR4771" s="67"/>
      <c r="GS4771" s="67"/>
      <c r="GT4771" s="67"/>
      <c r="GU4771" s="67"/>
      <c r="GV4771" s="67"/>
      <c r="GW4771" s="67"/>
      <c r="GX4771" s="67"/>
      <c r="GY4771" s="67"/>
      <c r="GZ4771" s="67"/>
      <c r="HA4771" s="67"/>
      <c r="HB4771" s="67"/>
      <c r="HC4771" s="67"/>
      <c r="HD4771" s="67"/>
      <c r="HE4771" s="67"/>
      <c r="HF4771" s="67"/>
      <c r="HG4771" s="67"/>
      <c r="HH4771" s="67"/>
      <c r="HI4771" s="67"/>
      <c r="HJ4771" s="67"/>
      <c r="HK4771" s="67"/>
      <c r="HL4771" s="67"/>
      <c r="HM4771" s="67"/>
      <c r="HN4771" s="67"/>
      <c r="HO4771" s="67"/>
      <c r="HP4771" s="67"/>
      <c r="HQ4771" s="67"/>
      <c r="HR4771" s="67"/>
      <c r="HS4771" s="67"/>
      <c r="HT4771" s="67"/>
      <c r="HU4771" s="67"/>
      <c r="HV4771" s="67"/>
      <c r="HW4771" s="67"/>
      <c r="HX4771" s="67"/>
      <c r="HY4771" s="67"/>
      <c r="HZ4771" s="67"/>
      <c r="IA4771" s="67"/>
      <c r="IB4771" s="67"/>
      <c r="IC4771" s="67"/>
      <c r="ID4771" s="67"/>
      <c r="IE4771" s="67"/>
      <c r="IF4771" s="67"/>
      <c r="IG4771" s="67"/>
      <c r="IH4771" s="67"/>
      <c r="II4771" s="67"/>
      <c r="IJ4771" s="67"/>
      <c r="IK4771" s="67"/>
      <c r="IL4771" s="67"/>
      <c r="IM4771" s="67"/>
      <c r="IN4771" s="67"/>
      <c r="IO4771" s="67"/>
      <c r="IP4771" s="67"/>
      <c r="IQ4771" s="67"/>
      <c r="IR4771" s="67"/>
      <c r="IS4771" s="67"/>
      <c r="IT4771" s="67"/>
      <c r="IU4771" s="67"/>
      <c r="IV4771" s="67"/>
      <c r="IW4771" s="67"/>
      <c r="IX4771" s="67"/>
      <c r="IY4771" s="67"/>
      <c r="IZ4771" s="67"/>
      <c r="JA4771" s="67"/>
      <c r="JB4771" s="67"/>
      <c r="JC4771" s="67"/>
      <c r="JD4771" s="67"/>
      <c r="JE4771" s="67"/>
      <c r="JF4771" s="67"/>
      <c r="JG4771" s="67"/>
      <c r="JH4771" s="67"/>
      <c r="JI4771" s="67"/>
      <c r="JJ4771" s="67"/>
      <c r="JK4771" s="67"/>
      <c r="JL4771" s="67"/>
      <c r="JM4771" s="67"/>
      <c r="JN4771" s="67"/>
      <c r="JO4771" s="67"/>
      <c r="JP4771" s="67"/>
      <c r="JQ4771" s="67"/>
      <c r="JR4771" s="67"/>
      <c r="JS4771" s="67"/>
      <c r="JT4771" s="67"/>
      <c r="JU4771" s="58"/>
      <c r="JV4771" s="58"/>
      <c r="JW4771" s="58"/>
    </row>
    <row r="4772" spans="1:283" s="23" customFormat="1" x14ac:dyDescent="0.25">
      <c r="A4772" s="55">
        <v>4771</v>
      </c>
      <c r="B4772" s="12" t="s">
        <v>7067</v>
      </c>
      <c r="C4772" s="156">
        <v>212</v>
      </c>
      <c r="D4772" s="58" t="s">
        <v>4882</v>
      </c>
      <c r="E4772" s="160" t="str">
        <f>G4772</f>
        <v>Campos-Herrera et al. 2010_vineyard</v>
      </c>
      <c r="F4772" s="160"/>
      <c r="G4772" s="60" t="s">
        <v>4847</v>
      </c>
      <c r="H4772" s="58">
        <v>2010</v>
      </c>
      <c r="I4772" s="58">
        <v>2004</v>
      </c>
      <c r="J4772" s="243" t="s">
        <v>5301</v>
      </c>
      <c r="K4772" s="63" t="s">
        <v>5129</v>
      </c>
      <c r="L4772" s="58" t="s">
        <v>4516</v>
      </c>
      <c r="M4772" s="94">
        <v>42.29</v>
      </c>
      <c r="N4772" s="94">
        <v>-2.54</v>
      </c>
      <c r="O4772" s="94">
        <v>967</v>
      </c>
      <c r="P4772" s="58"/>
      <c r="Q4772" s="244">
        <v>11</v>
      </c>
      <c r="R4772" s="58"/>
      <c r="S4772" s="245">
        <v>450</v>
      </c>
      <c r="T4772" s="58"/>
      <c r="U4772" s="58" t="s">
        <v>1805</v>
      </c>
      <c r="V4772" s="244">
        <v>3</v>
      </c>
      <c r="W4772" s="174"/>
      <c r="X4772" s="174"/>
      <c r="Y4772" s="58" t="s">
        <v>1803</v>
      </c>
      <c r="Z4772" s="244" t="s">
        <v>5141</v>
      </c>
      <c r="AA4772" s="245">
        <v>18</v>
      </c>
      <c r="AB4772" s="67"/>
      <c r="AC4772" s="67"/>
      <c r="AD4772" s="94"/>
      <c r="AE4772" s="94"/>
      <c r="AF4772" s="94"/>
      <c r="AG4772" s="245"/>
      <c r="AH4772" s="58"/>
      <c r="AI4772" s="169"/>
      <c r="AJ4772" s="94"/>
      <c r="AK4772" s="94">
        <v>4.7</v>
      </c>
      <c r="AL4772" s="58"/>
      <c r="AM4772" s="58"/>
      <c r="AN4772" s="186"/>
      <c r="AO4772" s="185" t="s">
        <v>7494</v>
      </c>
      <c r="AP4772" s="58"/>
      <c r="AQ4772" s="58"/>
      <c r="AR4772" s="58"/>
      <c r="AS4772" s="246" t="s">
        <v>3471</v>
      </c>
      <c r="AT4772" s="247">
        <v>0</v>
      </c>
      <c r="AU4772" s="181" t="s">
        <v>7494</v>
      </c>
      <c r="AV4772" s="185" t="s">
        <v>176</v>
      </c>
      <c r="AW4772" s="244">
        <v>0</v>
      </c>
      <c r="AX4772" s="185" t="s">
        <v>176</v>
      </c>
      <c r="AY4772" s="244" t="s">
        <v>176</v>
      </c>
      <c r="AZ4772" s="58"/>
      <c r="BA4772" s="58"/>
      <c r="BB4772" s="58"/>
      <c r="BC4772" s="58"/>
      <c r="BD4772" s="58"/>
      <c r="BE4772" s="236" t="s">
        <v>5153</v>
      </c>
      <c r="BF4772" s="191" t="s">
        <v>176</v>
      </c>
      <c r="BG4772" s="191" t="s">
        <v>176</v>
      </c>
      <c r="BH4772" s="236" t="s">
        <v>5153</v>
      </c>
      <c r="BI4772" s="191" t="s">
        <v>176</v>
      </c>
      <c r="BJ4772" s="58" t="str">
        <f>IF(BE4772=BH4772,"No","yes")</f>
        <v>No</v>
      </c>
      <c r="BK4772" s="58" t="s">
        <v>6334</v>
      </c>
      <c r="BL4772" s="58"/>
      <c r="BM4772" s="237"/>
      <c r="BN4772" s="244">
        <v>10</v>
      </c>
      <c r="BO4772" s="244">
        <v>10</v>
      </c>
      <c r="BP4772" s="58"/>
      <c r="BQ4772" s="58"/>
      <c r="BR4772" s="58"/>
      <c r="BS4772" s="58"/>
      <c r="BT4772" s="58"/>
      <c r="BU4772" s="58"/>
      <c r="BV4772" s="58"/>
      <c r="BW4772" s="67"/>
      <c r="BX4772" s="67"/>
      <c r="BY4772" s="67"/>
      <c r="BZ4772" s="67"/>
      <c r="CA4772" s="67"/>
      <c r="CB4772" s="70"/>
      <c r="CC4772" s="70"/>
      <c r="CD4772" s="70"/>
      <c r="CE4772" s="67"/>
      <c r="CF4772" s="67"/>
      <c r="CG4772" s="67"/>
      <c r="CH4772" s="245"/>
      <c r="CI4772" s="245"/>
      <c r="CJ4772" s="67"/>
      <c r="CK4772" s="67"/>
      <c r="CL4772" s="67"/>
      <c r="CM4772" s="242">
        <v>0.95</v>
      </c>
      <c r="CN4772" s="242">
        <v>1.1599999999999999</v>
      </c>
      <c r="CO4772" s="242">
        <f>(1.66-1.57)*SQRT(10)</f>
        <v>0.28460498941515372</v>
      </c>
      <c r="CP4772" s="242">
        <f>(1.66-1.57)*SQRT(10)</f>
        <v>0.28460498941515372</v>
      </c>
      <c r="CQ4772" s="242" t="s">
        <v>164</v>
      </c>
      <c r="CR4772" s="242"/>
      <c r="CS4772" s="242"/>
      <c r="CT4772" s="242"/>
      <c r="CU4772" s="242"/>
      <c r="CV4772" s="242" t="s">
        <v>5151</v>
      </c>
      <c r="CW4772" s="242"/>
      <c r="CX4772" s="242"/>
      <c r="CY4772" s="242"/>
      <c r="CZ4772" s="242"/>
      <c r="DA4772" s="67" t="s">
        <v>5443</v>
      </c>
      <c r="DB4772" s="67">
        <v>0.15</v>
      </c>
      <c r="DC4772" s="67">
        <v>0.16</v>
      </c>
      <c r="DD4772" s="67"/>
      <c r="DE4772" s="67"/>
      <c r="DF4772" s="67"/>
      <c r="DG4772" s="67"/>
      <c r="DH4772" s="67"/>
      <c r="DI4772" s="67"/>
      <c r="DJ4772" s="67"/>
      <c r="DK4772" s="67"/>
      <c r="DL4772" s="67"/>
      <c r="DM4772" s="67"/>
      <c r="DN4772" s="67"/>
      <c r="DO4772" s="67"/>
      <c r="DP4772" s="67"/>
      <c r="DQ4772" s="166"/>
      <c r="DR4772" s="166"/>
      <c r="DS4772" s="163"/>
      <c r="DT4772" s="163"/>
      <c r="DU4772" s="67"/>
      <c r="DV4772" s="67"/>
      <c r="DW4772" s="67"/>
      <c r="DX4772" s="67"/>
      <c r="DY4772" s="67"/>
      <c r="DZ4772" s="67"/>
      <c r="EA4772" s="67"/>
      <c r="EB4772" s="67"/>
      <c r="EC4772" s="67"/>
      <c r="ED4772" s="67"/>
      <c r="EE4772" s="67"/>
      <c r="EF4772" s="67"/>
      <c r="EG4772" s="67"/>
      <c r="EH4772" s="67"/>
      <c r="EI4772" s="67"/>
      <c r="EJ4772" s="67"/>
      <c r="EK4772" s="94"/>
      <c r="EL4772" s="94"/>
      <c r="EM4772" s="67"/>
      <c r="EN4772" s="67"/>
      <c r="EO4772" s="67"/>
      <c r="EP4772" s="67"/>
      <c r="EQ4772" s="67"/>
      <c r="ER4772" s="67"/>
      <c r="ES4772" s="67"/>
      <c r="ET4772" s="67"/>
      <c r="EU4772" s="67"/>
      <c r="EV4772" s="67"/>
      <c r="EW4772" s="67"/>
      <c r="EX4772" s="67"/>
      <c r="EY4772" s="67"/>
      <c r="EZ4772" s="67"/>
      <c r="FA4772" s="67"/>
      <c r="FB4772" s="67"/>
      <c r="FC4772" s="67"/>
      <c r="FD4772" s="67"/>
      <c r="FE4772" s="67"/>
      <c r="FF4772" s="67"/>
      <c r="FG4772" s="67"/>
      <c r="FH4772" s="67"/>
      <c r="FI4772" s="67"/>
      <c r="FJ4772" s="67"/>
      <c r="FK4772" s="67"/>
      <c r="FL4772" s="67"/>
      <c r="FM4772" s="67"/>
      <c r="FN4772" s="67"/>
      <c r="FO4772" s="67"/>
      <c r="FP4772" s="67"/>
      <c r="FQ4772" s="67"/>
      <c r="FR4772" s="67"/>
      <c r="FS4772" s="67"/>
      <c r="FT4772" s="67"/>
      <c r="FU4772" s="67"/>
      <c r="FV4772" s="67"/>
      <c r="FW4772" s="67"/>
      <c r="FX4772" s="67"/>
      <c r="FY4772" s="67">
        <v>17.37</v>
      </c>
      <c r="FZ4772" s="67">
        <v>16.45</v>
      </c>
      <c r="GA4772" s="67">
        <v>3</v>
      </c>
      <c r="GB4772" s="67">
        <v>3</v>
      </c>
      <c r="GC4772" s="67"/>
      <c r="GD4772" s="67">
        <v>18.46</v>
      </c>
      <c r="GE4772" s="67">
        <v>22.93</v>
      </c>
      <c r="GF4772" s="67">
        <v>2.5</v>
      </c>
      <c r="GG4772" s="67">
        <v>2.5</v>
      </c>
      <c r="GH4772" s="67"/>
      <c r="GI4772" s="67">
        <v>2.73</v>
      </c>
      <c r="GJ4772" s="67">
        <v>2.63</v>
      </c>
      <c r="GK4772" s="67">
        <f>(2.7-GJ4772)*SQRT(10)</f>
        <v>0.22135943621178747</v>
      </c>
      <c r="GL4772" s="67">
        <v>0.22</v>
      </c>
      <c r="GM4772" s="67" t="s">
        <v>5653</v>
      </c>
      <c r="GN4772" s="292"/>
      <c r="GO4772" s="292"/>
      <c r="GP4772" s="292" t="s">
        <v>7494</v>
      </c>
      <c r="GQ4772" s="67"/>
      <c r="GR4772" s="67"/>
      <c r="GS4772" s="67"/>
      <c r="GT4772" s="67"/>
      <c r="GU4772" s="67"/>
      <c r="GV4772" s="67"/>
      <c r="GW4772" s="67"/>
      <c r="GX4772" s="67"/>
      <c r="GY4772" s="67"/>
      <c r="GZ4772" s="67"/>
      <c r="HA4772" s="67"/>
      <c r="HB4772" s="67"/>
      <c r="HC4772" s="67"/>
      <c r="HD4772" s="67"/>
      <c r="HE4772" s="67"/>
      <c r="HF4772" s="67"/>
      <c r="HG4772" s="67"/>
      <c r="HH4772" s="67"/>
      <c r="HI4772" s="67"/>
      <c r="HJ4772" s="67"/>
      <c r="HK4772" s="67"/>
      <c r="HL4772" s="67"/>
      <c r="HM4772" s="67"/>
      <c r="HN4772" s="67"/>
      <c r="HO4772" s="67"/>
      <c r="HP4772" s="67"/>
      <c r="HQ4772" s="67"/>
      <c r="HR4772" s="67"/>
      <c r="HS4772" s="67"/>
      <c r="HT4772" s="67"/>
      <c r="HU4772" s="67"/>
      <c r="HV4772" s="67"/>
      <c r="HW4772" s="67"/>
      <c r="HX4772" s="67"/>
      <c r="HY4772" s="67"/>
      <c r="HZ4772" s="67"/>
      <c r="IA4772" s="67"/>
      <c r="IB4772" s="67"/>
      <c r="IC4772" s="67"/>
      <c r="ID4772" s="67"/>
      <c r="IE4772" s="67"/>
      <c r="IF4772" s="67"/>
      <c r="IG4772" s="67"/>
      <c r="IH4772" s="67"/>
      <c r="II4772" s="67"/>
      <c r="IJ4772" s="67"/>
      <c r="IK4772" s="67"/>
      <c r="IL4772" s="67"/>
      <c r="IM4772" s="67"/>
      <c r="IN4772" s="67"/>
      <c r="IO4772" s="67"/>
      <c r="IP4772" s="67"/>
      <c r="IQ4772" s="67"/>
      <c r="IR4772" s="67"/>
      <c r="IS4772" s="67"/>
      <c r="IT4772" s="67"/>
      <c r="IU4772" s="67"/>
      <c r="IV4772" s="67"/>
      <c r="IW4772" s="67"/>
      <c r="IX4772" s="67"/>
      <c r="IY4772" s="67"/>
      <c r="IZ4772" s="67"/>
      <c r="JA4772" s="67"/>
      <c r="JB4772" s="67"/>
      <c r="JC4772" s="67"/>
      <c r="JD4772" s="67"/>
      <c r="JE4772" s="67"/>
      <c r="JF4772" s="67"/>
      <c r="JG4772" s="67"/>
      <c r="JH4772" s="67"/>
      <c r="JI4772" s="67"/>
      <c r="JJ4772" s="67"/>
      <c r="JK4772" s="67"/>
      <c r="JL4772" s="67"/>
      <c r="JM4772" s="67"/>
      <c r="JN4772" s="67"/>
      <c r="JO4772" s="67"/>
      <c r="JP4772" s="67"/>
      <c r="JQ4772" s="67"/>
      <c r="JR4772" s="67"/>
      <c r="JS4772" s="67"/>
      <c r="JT4772" s="67"/>
      <c r="JU4772" s="58"/>
      <c r="JV4772" s="58"/>
      <c r="JW4772" s="58"/>
    </row>
    <row r="4773" spans="1:283" s="23" customFormat="1" x14ac:dyDescent="0.25">
      <c r="A4773" s="55">
        <v>4772</v>
      </c>
      <c r="B4773" s="12" t="s">
        <v>7067</v>
      </c>
      <c r="C4773" s="156">
        <v>213</v>
      </c>
      <c r="D4773" s="58" t="s">
        <v>4883</v>
      </c>
      <c r="E4773" s="160" t="str">
        <f>G4773</f>
        <v>Canali et al. 2009</v>
      </c>
      <c r="F4773" s="160"/>
      <c r="G4773" s="60" t="s">
        <v>4846</v>
      </c>
      <c r="H4773" s="58">
        <v>2009</v>
      </c>
      <c r="I4773" s="58">
        <v>1991</v>
      </c>
      <c r="J4773" s="243" t="s">
        <v>2167</v>
      </c>
      <c r="K4773" s="63" t="s">
        <v>5128</v>
      </c>
      <c r="L4773" s="58" t="s">
        <v>2741</v>
      </c>
      <c r="M4773" s="94">
        <v>37.6</v>
      </c>
      <c r="N4773" s="94">
        <v>14.02</v>
      </c>
      <c r="O4773" s="94">
        <v>582</v>
      </c>
      <c r="P4773" s="58"/>
      <c r="Q4773" s="244">
        <v>18.7</v>
      </c>
      <c r="R4773" s="58"/>
      <c r="S4773" s="245">
        <v>350</v>
      </c>
      <c r="T4773" s="58"/>
      <c r="U4773" s="58" t="s">
        <v>1801</v>
      </c>
      <c r="V4773" s="244">
        <v>6</v>
      </c>
      <c r="W4773" s="174"/>
      <c r="X4773" s="174"/>
      <c r="Y4773" s="58" t="s">
        <v>5350</v>
      </c>
      <c r="Z4773" s="244" t="s">
        <v>1367</v>
      </c>
      <c r="AA4773" s="245">
        <v>25</v>
      </c>
      <c r="AB4773" s="67">
        <v>23</v>
      </c>
      <c r="AC4773" s="67" t="s">
        <v>7001</v>
      </c>
      <c r="AD4773" s="94"/>
      <c r="AE4773" s="94">
        <v>47</v>
      </c>
      <c r="AF4773" s="94">
        <f>100-AE4773-AG4773</f>
        <v>21.3</v>
      </c>
      <c r="AG4773" s="245">
        <v>31.7</v>
      </c>
      <c r="AH4773" s="58" t="s">
        <v>645</v>
      </c>
      <c r="AI4773" s="169"/>
      <c r="AJ4773" s="94"/>
      <c r="AK4773" s="94"/>
      <c r="AL4773" s="58"/>
      <c r="AM4773" s="58"/>
      <c r="AN4773" s="186" t="s">
        <v>5654</v>
      </c>
      <c r="AO4773" s="185" t="s">
        <v>5150</v>
      </c>
      <c r="AP4773" s="58"/>
      <c r="AQ4773" s="58" t="s">
        <v>4584</v>
      </c>
      <c r="AR4773" s="58" t="s">
        <v>5349</v>
      </c>
      <c r="AS4773" s="246" t="s">
        <v>3471</v>
      </c>
      <c r="AT4773" s="247">
        <v>0</v>
      </c>
      <c r="AU4773" s="181" t="s">
        <v>7494</v>
      </c>
      <c r="AV4773" s="185" t="s">
        <v>176</v>
      </c>
      <c r="AW4773" s="244">
        <v>0</v>
      </c>
      <c r="AX4773" s="185" t="s">
        <v>176</v>
      </c>
      <c r="AY4773" s="244" t="s">
        <v>176</v>
      </c>
      <c r="AZ4773" s="58"/>
      <c r="BA4773" s="58"/>
      <c r="BB4773" s="58"/>
      <c r="BC4773" s="58"/>
      <c r="BD4773" s="58"/>
      <c r="BE4773" s="236" t="s">
        <v>5156</v>
      </c>
      <c r="BF4773" s="191" t="s">
        <v>479</v>
      </c>
      <c r="BG4773" s="191" t="s">
        <v>479</v>
      </c>
      <c r="BH4773" s="236" t="s">
        <v>5230</v>
      </c>
      <c r="BI4773" s="191" t="s">
        <v>479</v>
      </c>
      <c r="BJ4773" s="58" t="str">
        <f>IF(BE4773=BH4773,"No","yes")</f>
        <v>yes</v>
      </c>
      <c r="BK4773" s="58" t="s">
        <v>6335</v>
      </c>
      <c r="BL4773" s="58"/>
      <c r="BM4773" s="237"/>
      <c r="BN4773" s="244">
        <v>13</v>
      </c>
      <c r="BO4773" s="244">
        <v>13</v>
      </c>
      <c r="BP4773" s="58"/>
      <c r="BQ4773" s="58"/>
      <c r="BR4773" s="58"/>
      <c r="BS4773" s="58"/>
      <c r="BT4773" s="58"/>
      <c r="BU4773" s="58"/>
      <c r="BV4773" s="58"/>
      <c r="BW4773" s="67"/>
      <c r="BX4773" s="67"/>
      <c r="BY4773" s="67"/>
      <c r="BZ4773" s="67"/>
      <c r="CA4773" s="67"/>
      <c r="CB4773" s="70">
        <f>(8+35)/2*1000</f>
        <v>21500</v>
      </c>
      <c r="CC4773" s="70">
        <f>(10+20)/2*1000</f>
        <v>15000</v>
      </c>
      <c r="CD4773" s="70"/>
      <c r="CE4773" s="67"/>
      <c r="CF4773" s="67"/>
      <c r="CG4773" s="67"/>
      <c r="CH4773" s="245"/>
      <c r="CI4773" s="245"/>
      <c r="CJ4773" s="67"/>
      <c r="CK4773" s="67"/>
      <c r="CL4773" s="67"/>
      <c r="CM4773" s="242">
        <v>0.875</v>
      </c>
      <c r="CN4773" s="242">
        <v>1.089</v>
      </c>
      <c r="CO4773" s="242">
        <f>1.3367-CM4773</f>
        <v>0.4617</v>
      </c>
      <c r="CP4773" s="242">
        <v>0.46</v>
      </c>
      <c r="CQ4773" s="242" t="s">
        <v>164</v>
      </c>
      <c r="CR4773" s="242"/>
      <c r="CS4773" s="242"/>
      <c r="CT4773" s="242"/>
      <c r="CU4773" s="242"/>
      <c r="CV4773" s="242" t="s">
        <v>5151</v>
      </c>
      <c r="CW4773" s="242"/>
      <c r="CX4773" s="242"/>
      <c r="CY4773" s="242"/>
      <c r="CZ4773" s="242"/>
      <c r="DA4773" s="67" t="s">
        <v>5443</v>
      </c>
      <c r="DB4773" s="67"/>
      <c r="DC4773" s="67"/>
      <c r="DD4773" s="67"/>
      <c r="DE4773" s="67"/>
      <c r="DF4773" s="67"/>
      <c r="DG4773" s="67"/>
      <c r="DH4773" s="67"/>
      <c r="DI4773" s="67"/>
      <c r="DJ4773" s="67"/>
      <c r="DK4773" s="67"/>
      <c r="DL4773" s="67"/>
      <c r="DM4773" s="67"/>
      <c r="DN4773" s="67"/>
      <c r="DO4773" s="67"/>
      <c r="DP4773" s="67"/>
      <c r="DQ4773" s="166">
        <v>7.85</v>
      </c>
      <c r="DR4773" s="166">
        <v>8</v>
      </c>
      <c r="DS4773" s="163"/>
      <c r="DT4773" s="163"/>
      <c r="DU4773" s="67"/>
      <c r="DV4773" s="67">
        <v>23</v>
      </c>
      <c r="DW4773" s="67">
        <v>31</v>
      </c>
      <c r="DX4773" s="67"/>
      <c r="DY4773" s="67"/>
      <c r="DZ4773" s="67" t="s">
        <v>3360</v>
      </c>
      <c r="EA4773" s="67"/>
      <c r="EB4773" s="67"/>
      <c r="EC4773" s="67"/>
      <c r="ED4773" s="67"/>
      <c r="EE4773" s="67"/>
      <c r="EF4773" s="67"/>
      <c r="EG4773" s="67"/>
      <c r="EH4773" s="67"/>
      <c r="EI4773" s="67"/>
      <c r="EJ4773" s="67"/>
      <c r="EK4773" s="94"/>
      <c r="EL4773" s="94"/>
      <c r="EM4773" s="67"/>
      <c r="EN4773" s="67"/>
      <c r="EO4773" s="67"/>
      <c r="EP4773" s="67"/>
      <c r="EQ4773" s="67"/>
      <c r="ER4773" s="67"/>
      <c r="ES4773" s="67"/>
      <c r="ET4773" s="67"/>
      <c r="EU4773" s="67"/>
      <c r="EV4773" s="67"/>
      <c r="EW4773" s="67"/>
      <c r="EX4773" s="67"/>
      <c r="EY4773" s="67"/>
      <c r="EZ4773" s="67"/>
      <c r="FA4773" s="67"/>
      <c r="FB4773" s="67"/>
      <c r="FC4773" s="67"/>
      <c r="FD4773" s="67"/>
      <c r="FE4773" s="67"/>
      <c r="FF4773" s="67"/>
      <c r="FG4773" s="67"/>
      <c r="FH4773" s="67"/>
      <c r="FI4773" s="67"/>
      <c r="FJ4773" s="67"/>
      <c r="FK4773" s="67"/>
      <c r="FL4773" s="67"/>
      <c r="FM4773" s="67"/>
      <c r="FN4773" s="67"/>
      <c r="FO4773" s="67"/>
      <c r="FP4773" s="67"/>
      <c r="FQ4773" s="67"/>
      <c r="FR4773" s="67"/>
      <c r="FS4773" s="67"/>
      <c r="FT4773" s="67"/>
      <c r="FU4773" s="67"/>
      <c r="FV4773" s="67"/>
      <c r="FW4773" s="67"/>
      <c r="FX4773" s="67"/>
      <c r="FY4773" s="67"/>
      <c r="FZ4773" s="67"/>
      <c r="GA4773" s="67"/>
      <c r="GB4773" s="67"/>
      <c r="GC4773" s="67"/>
      <c r="GD4773" s="67"/>
      <c r="GE4773" s="67"/>
      <c r="GF4773" s="67"/>
      <c r="GG4773" s="67"/>
      <c r="GH4773" s="67"/>
      <c r="GI4773" s="67"/>
      <c r="GJ4773" s="67"/>
      <c r="GK4773" s="67"/>
      <c r="GL4773" s="67"/>
      <c r="GM4773" s="67"/>
      <c r="GN4773" s="292"/>
      <c r="GO4773" s="292"/>
      <c r="GP4773" s="292" t="s">
        <v>7494</v>
      </c>
      <c r="GQ4773" s="67"/>
      <c r="GR4773" s="67"/>
      <c r="GS4773" s="67"/>
      <c r="GT4773" s="67"/>
      <c r="GU4773" s="67"/>
      <c r="GV4773" s="67"/>
      <c r="GW4773" s="67"/>
      <c r="GX4773" s="67"/>
      <c r="GY4773" s="67"/>
      <c r="GZ4773" s="67"/>
      <c r="HA4773" s="67"/>
      <c r="HB4773" s="67"/>
      <c r="HC4773" s="67"/>
      <c r="HD4773" s="67"/>
      <c r="HE4773" s="67"/>
      <c r="HF4773" s="67"/>
      <c r="HG4773" s="67"/>
      <c r="HH4773" s="67"/>
      <c r="HI4773" s="67"/>
      <c r="HJ4773" s="67"/>
      <c r="HK4773" s="67"/>
      <c r="HL4773" s="67"/>
      <c r="HM4773" s="67"/>
      <c r="HN4773" s="67">
        <v>4.58</v>
      </c>
      <c r="HO4773" s="67">
        <v>2.65</v>
      </c>
      <c r="HP4773" s="67">
        <f>5.2-4.3</f>
        <v>0.90000000000000036</v>
      </c>
      <c r="HQ4773" s="67">
        <f>5.2-4.3</f>
        <v>0.90000000000000036</v>
      </c>
      <c r="HR4773" s="67" t="s">
        <v>5656</v>
      </c>
      <c r="HS4773" s="67"/>
      <c r="HT4773" s="67"/>
      <c r="HU4773" s="67"/>
      <c r="HV4773" s="67"/>
      <c r="HW4773" s="67"/>
      <c r="HX4773" s="67">
        <v>49.55</v>
      </c>
      <c r="HY4773" s="67">
        <v>101.66</v>
      </c>
      <c r="HZ4773" s="67">
        <f>29.18-11.77</f>
        <v>17.41</v>
      </c>
      <c r="IA4773" s="67">
        <v>30</v>
      </c>
      <c r="IB4773" s="67" t="s">
        <v>2242</v>
      </c>
      <c r="IC4773" s="67"/>
      <c r="ID4773" s="67"/>
      <c r="IE4773" s="67"/>
      <c r="IF4773" s="67"/>
      <c r="IG4773" s="67"/>
      <c r="IH4773" s="67"/>
      <c r="II4773" s="67"/>
      <c r="IJ4773" s="67"/>
      <c r="IK4773" s="67"/>
      <c r="IL4773" s="67"/>
      <c r="IM4773" s="67"/>
      <c r="IN4773" s="67"/>
      <c r="IO4773" s="67"/>
      <c r="IP4773" s="67"/>
      <c r="IQ4773" s="67"/>
      <c r="IR4773" s="67"/>
      <c r="IS4773" s="67"/>
      <c r="IT4773" s="67"/>
      <c r="IU4773" s="67"/>
      <c r="IV4773" s="67"/>
      <c r="IW4773" s="67">
        <v>6.75</v>
      </c>
      <c r="IX4773" s="67">
        <v>7.5</v>
      </c>
      <c r="IY4773" s="67">
        <f>8-IW4773</f>
        <v>1.25</v>
      </c>
      <c r="IZ4773" s="67">
        <f>8-IX4773</f>
        <v>0.5</v>
      </c>
      <c r="JA4773" s="67" t="s">
        <v>5655</v>
      </c>
      <c r="JB4773" s="67"/>
      <c r="JC4773" s="67"/>
      <c r="JD4773" s="67"/>
      <c r="JE4773" s="67"/>
      <c r="JF4773" s="67"/>
      <c r="JG4773" s="67"/>
      <c r="JH4773" s="67"/>
      <c r="JI4773" s="67"/>
      <c r="JJ4773" s="67"/>
      <c r="JK4773" s="67"/>
      <c r="JL4773" s="67"/>
      <c r="JM4773" s="67"/>
      <c r="JN4773" s="67"/>
      <c r="JO4773" s="67"/>
      <c r="JP4773" s="67"/>
      <c r="JQ4773" s="67"/>
      <c r="JR4773" s="67"/>
      <c r="JS4773" s="67"/>
      <c r="JT4773" s="67">
        <v>99999</v>
      </c>
      <c r="JU4773" s="58"/>
      <c r="JV4773" s="58"/>
      <c r="JW4773" s="58"/>
    </row>
    <row r="4774" spans="1:283" s="23" customFormat="1" x14ac:dyDescent="0.25">
      <c r="A4774" s="55">
        <v>4773</v>
      </c>
      <c r="B4774" s="12" t="s">
        <v>7067</v>
      </c>
      <c r="C4774" s="156">
        <v>214</v>
      </c>
      <c r="D4774" s="58" t="s">
        <v>4884</v>
      </c>
      <c r="E4774" s="160" t="str">
        <f>G4774</f>
        <v>Capriel 1991_ Farm Pair 1</v>
      </c>
      <c r="F4774" s="160"/>
      <c r="G4774" s="60" t="s">
        <v>4845</v>
      </c>
      <c r="H4774" s="58">
        <v>1991</v>
      </c>
      <c r="I4774" s="58" t="s">
        <v>2847</v>
      </c>
      <c r="J4774" s="243" t="s">
        <v>5302</v>
      </c>
      <c r="K4774" s="63" t="s">
        <v>5127</v>
      </c>
      <c r="L4774" s="58" t="s">
        <v>1077</v>
      </c>
      <c r="M4774" s="94">
        <v>48.79</v>
      </c>
      <c r="N4774" s="94">
        <v>11.5</v>
      </c>
      <c r="O4774" s="94">
        <v>371</v>
      </c>
      <c r="P4774" s="58"/>
      <c r="Q4774" s="244">
        <v>8.6999999999999993</v>
      </c>
      <c r="R4774" s="58"/>
      <c r="S4774" s="245">
        <v>620</v>
      </c>
      <c r="T4774" s="58"/>
      <c r="U4774" s="58" t="s">
        <v>1935</v>
      </c>
      <c r="V4774" s="244">
        <v>5</v>
      </c>
      <c r="W4774" s="174"/>
      <c r="X4774" s="174"/>
      <c r="Y4774" s="58" t="s">
        <v>5908</v>
      </c>
      <c r="Z4774" s="244" t="s">
        <v>1349</v>
      </c>
      <c r="AA4774" s="245">
        <v>15</v>
      </c>
      <c r="AB4774" s="67"/>
      <c r="AC4774" s="67"/>
      <c r="AD4774" s="94"/>
      <c r="AE4774" s="94"/>
      <c r="AF4774" s="94"/>
      <c r="AG4774" s="245"/>
      <c r="AH4774" s="58"/>
      <c r="AI4774" s="169"/>
      <c r="AJ4774" s="94"/>
      <c r="AK4774" s="94"/>
      <c r="AL4774" s="58"/>
      <c r="AM4774" s="58"/>
      <c r="AN4774" s="186"/>
      <c r="AO4774" s="185" t="s">
        <v>5150</v>
      </c>
      <c r="AP4774" s="58"/>
      <c r="AQ4774" s="58"/>
      <c r="AR4774" s="58" t="s">
        <v>132</v>
      </c>
      <c r="AS4774" s="58" t="s">
        <v>132</v>
      </c>
      <c r="AT4774" s="247"/>
      <c r="AU4774" s="181" t="s">
        <v>7494</v>
      </c>
      <c r="AV4774" s="185" t="s">
        <v>176</v>
      </c>
      <c r="AW4774" s="244"/>
      <c r="AX4774" s="185" t="s">
        <v>176</v>
      </c>
      <c r="AY4774" s="244"/>
      <c r="AZ4774" s="58"/>
      <c r="BA4774" s="58"/>
      <c r="BB4774" s="58"/>
      <c r="BC4774" s="58"/>
      <c r="BD4774" s="58"/>
      <c r="BE4774" s="236" t="s">
        <v>5153</v>
      </c>
      <c r="BF4774" s="191" t="s">
        <v>176</v>
      </c>
      <c r="BG4774" s="191" t="s">
        <v>176</v>
      </c>
      <c r="BH4774" s="236" t="s">
        <v>5153</v>
      </c>
      <c r="BI4774" s="191" t="s">
        <v>176</v>
      </c>
      <c r="BJ4774" s="58" t="str">
        <f>IF(BE4774=BH4774,"No","yes")</f>
        <v>No</v>
      </c>
      <c r="BK4774" s="58" t="s">
        <v>6334</v>
      </c>
      <c r="BL4774" s="58"/>
      <c r="BM4774" s="237"/>
      <c r="BN4774" s="244">
        <v>3</v>
      </c>
      <c r="BO4774" s="244">
        <v>3</v>
      </c>
      <c r="BP4774" s="58"/>
      <c r="BQ4774" s="58"/>
      <c r="BR4774" s="58"/>
      <c r="BS4774" s="58"/>
      <c r="BT4774" s="58"/>
      <c r="BU4774" s="58"/>
      <c r="BV4774" s="58"/>
      <c r="BW4774" s="67"/>
      <c r="BX4774" s="67"/>
      <c r="BY4774" s="67"/>
      <c r="BZ4774" s="67"/>
      <c r="CA4774" s="67"/>
      <c r="CB4774" s="70"/>
      <c r="CC4774" s="70"/>
      <c r="CD4774" s="70"/>
      <c r="CE4774" s="67"/>
      <c r="CF4774" s="67"/>
      <c r="CG4774" s="67"/>
      <c r="CH4774" s="245">
        <v>1.1499999999999999</v>
      </c>
      <c r="CI4774" s="245">
        <v>1.1200000000000001</v>
      </c>
      <c r="CJ4774" s="67"/>
      <c r="CK4774" s="67"/>
      <c r="CL4774" s="67"/>
      <c r="CM4774" s="242">
        <v>2.38</v>
      </c>
      <c r="CN4774" s="242">
        <v>2.5</v>
      </c>
      <c r="CO4774" s="242"/>
      <c r="CP4774" s="242"/>
      <c r="CQ4774" s="242" t="s">
        <v>164</v>
      </c>
      <c r="CR4774" s="242"/>
      <c r="CS4774" s="242"/>
      <c r="CT4774" s="242"/>
      <c r="CU4774" s="242"/>
      <c r="CV4774" s="242"/>
      <c r="CW4774" s="242"/>
      <c r="CX4774" s="242"/>
      <c r="CY4774" s="242"/>
      <c r="CZ4774" s="242"/>
      <c r="DA4774" s="67"/>
      <c r="DB4774" s="67">
        <v>1700</v>
      </c>
      <c r="DC4774" s="67">
        <v>1700</v>
      </c>
      <c r="DD4774" s="67"/>
      <c r="DE4774" s="67"/>
      <c r="DF4774" s="67" t="s">
        <v>5909</v>
      </c>
      <c r="DG4774" s="67">
        <v>35</v>
      </c>
      <c r="DH4774" s="67">
        <v>51</v>
      </c>
      <c r="DI4774" s="67"/>
      <c r="DJ4774" s="67"/>
      <c r="DK4774" s="67" t="s">
        <v>2242</v>
      </c>
      <c r="DL4774" s="67">
        <v>331</v>
      </c>
      <c r="DM4774" s="67">
        <v>361</v>
      </c>
      <c r="DN4774" s="67"/>
      <c r="DO4774" s="67"/>
      <c r="DP4774" s="67" t="s">
        <v>2242</v>
      </c>
      <c r="DQ4774" s="166">
        <v>6.32</v>
      </c>
      <c r="DR4774" s="166">
        <v>6.41</v>
      </c>
      <c r="DS4774" s="163"/>
      <c r="DT4774" s="163"/>
      <c r="DU4774" s="67"/>
      <c r="DV4774" s="67">
        <f>2793+294</f>
        <v>3087</v>
      </c>
      <c r="DW4774" s="67">
        <f>2972+281</f>
        <v>3253</v>
      </c>
      <c r="DX4774" s="67"/>
      <c r="DY4774" s="67"/>
      <c r="DZ4774" s="67" t="s">
        <v>5910</v>
      </c>
      <c r="EA4774" s="67">
        <v>289</v>
      </c>
      <c r="EB4774" s="67">
        <v>283</v>
      </c>
      <c r="EC4774" s="67"/>
      <c r="ED4774" s="67"/>
      <c r="EE4774" s="67" t="s">
        <v>5911</v>
      </c>
      <c r="EF4774" s="67"/>
      <c r="EG4774" s="67"/>
      <c r="EH4774" s="67"/>
      <c r="EI4774" s="67"/>
      <c r="EJ4774" s="67"/>
      <c r="EK4774" s="94"/>
      <c r="EL4774" s="94"/>
      <c r="EM4774" s="67"/>
      <c r="EN4774" s="67"/>
      <c r="EO4774" s="67"/>
      <c r="EP4774" s="67"/>
      <c r="EQ4774" s="67"/>
      <c r="ER4774" s="67"/>
      <c r="ES4774" s="67"/>
      <c r="ET4774" s="67"/>
      <c r="EU4774" s="67"/>
      <c r="EV4774" s="67"/>
      <c r="EW4774" s="67"/>
      <c r="EX4774" s="67"/>
      <c r="EY4774" s="67"/>
      <c r="EZ4774" s="67"/>
      <c r="FA4774" s="67"/>
      <c r="FB4774" s="67"/>
      <c r="FC4774" s="67"/>
      <c r="FD4774" s="67"/>
      <c r="FE4774" s="67"/>
      <c r="FF4774" s="67"/>
      <c r="FG4774" s="67"/>
      <c r="FH4774" s="67"/>
      <c r="FI4774" s="67"/>
      <c r="FJ4774" s="67"/>
      <c r="FK4774" s="67"/>
      <c r="FL4774" s="67"/>
      <c r="FM4774" s="67"/>
      <c r="FN4774" s="67"/>
      <c r="FO4774" s="67"/>
      <c r="FP4774" s="67"/>
      <c r="FQ4774" s="67"/>
      <c r="FR4774" s="67"/>
      <c r="FS4774" s="67"/>
      <c r="FT4774" s="67"/>
      <c r="FU4774" s="67"/>
      <c r="FV4774" s="67"/>
      <c r="FW4774" s="67"/>
      <c r="FX4774" s="67"/>
      <c r="FY4774" s="67"/>
      <c r="FZ4774" s="67"/>
      <c r="GA4774" s="67"/>
      <c r="GB4774" s="67"/>
      <c r="GC4774" s="67"/>
      <c r="GD4774" s="67"/>
      <c r="GE4774" s="67"/>
      <c r="GF4774" s="67"/>
      <c r="GG4774" s="67"/>
      <c r="GH4774" s="67"/>
      <c r="GI4774" s="67"/>
      <c r="GJ4774" s="67"/>
      <c r="GK4774" s="67"/>
      <c r="GL4774" s="67"/>
      <c r="GM4774" s="67"/>
      <c r="GN4774" s="292">
        <v>0.7</v>
      </c>
      <c r="GO4774" s="292">
        <v>14.7</v>
      </c>
      <c r="GP4774" s="292" t="s">
        <v>5150</v>
      </c>
      <c r="GQ4774" s="67"/>
      <c r="GR4774" s="67"/>
      <c r="GS4774" s="67" t="s">
        <v>5915</v>
      </c>
      <c r="GT4774" s="67"/>
      <c r="GU4774" s="67"/>
      <c r="GV4774" s="67"/>
      <c r="GW4774" s="67"/>
      <c r="GX4774" s="67"/>
      <c r="GY4774" s="67"/>
      <c r="GZ4774" s="67"/>
      <c r="HA4774" s="67"/>
      <c r="HB4774" s="67"/>
      <c r="HC4774" s="67"/>
      <c r="HD4774" s="67"/>
      <c r="HE4774" s="67"/>
      <c r="HF4774" s="67"/>
      <c r="HG4774" s="67"/>
      <c r="HH4774" s="67"/>
      <c r="HI4774" s="67"/>
      <c r="HJ4774" s="67"/>
      <c r="HK4774" s="67"/>
      <c r="HL4774" s="67"/>
      <c r="HM4774" s="67"/>
      <c r="HN4774" s="67"/>
      <c r="HO4774" s="67"/>
      <c r="HP4774" s="67"/>
      <c r="HQ4774" s="67"/>
      <c r="HR4774" s="67"/>
      <c r="HS4774" s="67"/>
      <c r="HT4774" s="67"/>
      <c r="HU4774" s="67"/>
      <c r="HV4774" s="67"/>
      <c r="HW4774" s="67"/>
      <c r="HX4774" s="67"/>
      <c r="HY4774" s="67"/>
      <c r="HZ4774" s="67"/>
      <c r="IA4774" s="67"/>
      <c r="IB4774" s="67"/>
      <c r="IC4774" s="67"/>
      <c r="ID4774" s="67"/>
      <c r="IE4774" s="67"/>
      <c r="IF4774" s="67"/>
      <c r="IG4774" s="67"/>
      <c r="IH4774" s="67"/>
      <c r="II4774" s="67"/>
      <c r="IJ4774" s="67"/>
      <c r="IK4774" s="67"/>
      <c r="IL4774" s="67"/>
      <c r="IM4774" s="67"/>
      <c r="IN4774" s="67"/>
      <c r="IO4774" s="67"/>
      <c r="IP4774" s="67"/>
      <c r="IQ4774" s="67"/>
      <c r="IR4774" s="67"/>
      <c r="IS4774" s="67"/>
      <c r="IT4774" s="67"/>
      <c r="IU4774" s="67"/>
      <c r="IV4774" s="67"/>
      <c r="IW4774" s="67"/>
      <c r="IX4774" s="67"/>
      <c r="IY4774" s="67"/>
      <c r="IZ4774" s="67"/>
      <c r="JA4774" s="67"/>
      <c r="JB4774" s="67"/>
      <c r="JC4774" s="67"/>
      <c r="JD4774" s="67"/>
      <c r="JE4774" s="67"/>
      <c r="JF4774" s="67"/>
      <c r="JG4774" s="67"/>
      <c r="JH4774" s="67"/>
      <c r="JI4774" s="67"/>
      <c r="JJ4774" s="67"/>
      <c r="JK4774" s="67"/>
      <c r="JL4774" s="67"/>
      <c r="JM4774" s="67"/>
      <c r="JN4774" s="67"/>
      <c r="JO4774" s="67"/>
      <c r="JP4774" s="67"/>
      <c r="JQ4774" s="67"/>
      <c r="JR4774" s="67"/>
      <c r="JS4774" s="67"/>
      <c r="JT4774" s="67"/>
      <c r="JU4774" s="58"/>
      <c r="JV4774" s="58"/>
      <c r="JW4774" s="58"/>
    </row>
    <row r="4775" spans="1:283" s="23" customFormat="1" x14ac:dyDescent="0.25">
      <c r="A4775" s="55">
        <v>4774</v>
      </c>
      <c r="B4775" s="12" t="s">
        <v>7067</v>
      </c>
      <c r="C4775" s="156">
        <v>214</v>
      </c>
      <c r="D4775" s="58" t="s">
        <v>4885</v>
      </c>
      <c r="E4775" s="160" t="str">
        <f>G4775</f>
        <v>Capriel 1991_Farm Pair 2</v>
      </c>
      <c r="F4775" s="160"/>
      <c r="G4775" s="60" t="s">
        <v>4844</v>
      </c>
      <c r="H4775" s="58">
        <v>1991</v>
      </c>
      <c r="I4775" s="58" t="s">
        <v>2847</v>
      </c>
      <c r="J4775" s="243" t="s">
        <v>5302</v>
      </c>
      <c r="K4775" s="63" t="s">
        <v>5127</v>
      </c>
      <c r="L4775" s="58" t="s">
        <v>1077</v>
      </c>
      <c r="M4775" s="94">
        <v>48.79</v>
      </c>
      <c r="N4775" s="94">
        <v>11.5</v>
      </c>
      <c r="O4775" s="94">
        <v>371</v>
      </c>
      <c r="P4775" s="58"/>
      <c r="Q4775" s="244">
        <v>8.6999999999999993</v>
      </c>
      <c r="R4775" s="58"/>
      <c r="S4775" s="245">
        <v>620</v>
      </c>
      <c r="T4775" s="58"/>
      <c r="U4775" s="58" t="s">
        <v>1935</v>
      </c>
      <c r="V4775" s="244">
        <v>5</v>
      </c>
      <c r="W4775" s="174"/>
      <c r="X4775" s="174"/>
      <c r="Y4775" s="58" t="s">
        <v>5908</v>
      </c>
      <c r="Z4775" s="244" t="s">
        <v>1349</v>
      </c>
      <c r="AA4775" s="245">
        <v>15</v>
      </c>
      <c r="AB4775" s="67"/>
      <c r="AC4775" s="67"/>
      <c r="AD4775" s="94"/>
      <c r="AE4775" s="94"/>
      <c r="AF4775" s="94"/>
      <c r="AG4775" s="245"/>
      <c r="AH4775" s="58"/>
      <c r="AI4775" s="169"/>
      <c r="AJ4775" s="94"/>
      <c r="AK4775" s="94"/>
      <c r="AL4775" s="58"/>
      <c r="AM4775" s="58"/>
      <c r="AN4775" s="186"/>
      <c r="AO4775" s="185" t="s">
        <v>5150</v>
      </c>
      <c r="AP4775" s="58"/>
      <c r="AQ4775" s="58"/>
      <c r="AR4775" s="58" t="s">
        <v>132</v>
      </c>
      <c r="AS4775" s="58" t="s">
        <v>132</v>
      </c>
      <c r="AT4775" s="247"/>
      <c r="AU4775" s="181" t="s">
        <v>7494</v>
      </c>
      <c r="AV4775" s="185" t="s">
        <v>176</v>
      </c>
      <c r="AW4775" s="244"/>
      <c r="AX4775" s="185" t="s">
        <v>176</v>
      </c>
      <c r="AY4775" s="244"/>
      <c r="AZ4775" s="58"/>
      <c r="BA4775" s="58"/>
      <c r="BB4775" s="58"/>
      <c r="BC4775" s="58"/>
      <c r="BD4775" s="58"/>
      <c r="BE4775" s="236" t="s">
        <v>5153</v>
      </c>
      <c r="BF4775" s="191" t="s">
        <v>176</v>
      </c>
      <c r="BG4775" s="191" t="s">
        <v>176</v>
      </c>
      <c r="BH4775" s="236" t="s">
        <v>5153</v>
      </c>
      <c r="BI4775" s="191" t="s">
        <v>176</v>
      </c>
      <c r="BJ4775" s="58" t="str">
        <f>IF(BE4775=BH4775,"No","yes")</f>
        <v>No</v>
      </c>
      <c r="BK4775" s="58" t="s">
        <v>6334</v>
      </c>
      <c r="BL4775" s="58"/>
      <c r="BM4775" s="237"/>
      <c r="BN4775" s="244">
        <v>3</v>
      </c>
      <c r="BO4775" s="244">
        <v>3</v>
      </c>
      <c r="BP4775" s="58"/>
      <c r="BQ4775" s="58"/>
      <c r="BR4775" s="58"/>
      <c r="BS4775" s="58"/>
      <c r="BT4775" s="58"/>
      <c r="BU4775" s="58"/>
      <c r="BV4775" s="58"/>
      <c r="BW4775" s="67"/>
      <c r="BX4775" s="67"/>
      <c r="BY4775" s="67"/>
      <c r="BZ4775" s="67"/>
      <c r="CA4775" s="67"/>
      <c r="CB4775" s="70"/>
      <c r="CC4775" s="70"/>
      <c r="CD4775" s="70"/>
      <c r="CE4775" s="67"/>
      <c r="CF4775" s="67"/>
      <c r="CG4775" s="67"/>
      <c r="CH4775" s="245">
        <v>1.1499999999999999</v>
      </c>
      <c r="CI4775" s="245">
        <v>1.07</v>
      </c>
      <c r="CJ4775" s="67"/>
      <c r="CK4775" s="67"/>
      <c r="CL4775" s="67"/>
      <c r="CM4775" s="242">
        <v>2.38</v>
      </c>
      <c r="CN4775" s="242">
        <v>2.46</v>
      </c>
      <c r="CO4775" s="242"/>
      <c r="CP4775" s="242"/>
      <c r="CQ4775" s="242" t="s">
        <v>164</v>
      </c>
      <c r="CR4775" s="242"/>
      <c r="CS4775" s="242"/>
      <c r="CT4775" s="242"/>
      <c r="CU4775" s="242"/>
      <c r="CV4775" s="242"/>
      <c r="CW4775" s="242"/>
      <c r="CX4775" s="242"/>
      <c r="CY4775" s="242"/>
      <c r="CZ4775" s="242"/>
      <c r="DA4775" s="67"/>
      <c r="DB4775" s="67">
        <v>1700</v>
      </c>
      <c r="DC4775" s="67">
        <v>1800</v>
      </c>
      <c r="DD4775" s="67"/>
      <c r="DE4775" s="67"/>
      <c r="DF4775" s="67" t="s">
        <v>5909</v>
      </c>
      <c r="DG4775" s="67">
        <v>35</v>
      </c>
      <c r="DH4775" s="67">
        <v>45</v>
      </c>
      <c r="DI4775" s="67"/>
      <c r="DJ4775" s="67"/>
      <c r="DK4775" s="67" t="s">
        <v>2242</v>
      </c>
      <c r="DL4775" s="67">
        <v>331</v>
      </c>
      <c r="DM4775" s="67">
        <v>355</v>
      </c>
      <c r="DN4775" s="67"/>
      <c r="DO4775" s="67"/>
      <c r="DP4775" s="67" t="s">
        <v>2242</v>
      </c>
      <c r="DQ4775" s="166">
        <v>6.32</v>
      </c>
      <c r="DR4775" s="166">
        <v>6.44</v>
      </c>
      <c r="DS4775" s="163"/>
      <c r="DT4775" s="163"/>
      <c r="DU4775" s="67"/>
      <c r="DV4775" s="67">
        <f>2793+294</f>
        <v>3087</v>
      </c>
      <c r="DW4775" s="67">
        <f>3133+270</f>
        <v>3403</v>
      </c>
      <c r="DX4775" s="67"/>
      <c r="DY4775" s="67"/>
      <c r="DZ4775" s="67" t="s">
        <v>5910</v>
      </c>
      <c r="EA4775" s="67">
        <v>289</v>
      </c>
      <c r="EB4775" s="67">
        <v>285</v>
      </c>
      <c r="EC4775" s="67"/>
      <c r="ED4775" s="67"/>
      <c r="EE4775" s="67" t="s">
        <v>5911</v>
      </c>
      <c r="EF4775" s="67"/>
      <c r="EG4775" s="67"/>
      <c r="EH4775" s="67"/>
      <c r="EI4775" s="67"/>
      <c r="EJ4775" s="67"/>
      <c r="EK4775" s="94"/>
      <c r="EL4775" s="94"/>
      <c r="EM4775" s="67"/>
      <c r="EN4775" s="67"/>
      <c r="EO4775" s="67"/>
      <c r="EP4775" s="67"/>
      <c r="EQ4775" s="67"/>
      <c r="ER4775" s="67"/>
      <c r="ES4775" s="67"/>
      <c r="ET4775" s="67"/>
      <c r="EU4775" s="67"/>
      <c r="EV4775" s="67"/>
      <c r="EW4775" s="67"/>
      <c r="EX4775" s="67"/>
      <c r="EY4775" s="67"/>
      <c r="EZ4775" s="67"/>
      <c r="FA4775" s="67"/>
      <c r="FB4775" s="67"/>
      <c r="FC4775" s="67"/>
      <c r="FD4775" s="67"/>
      <c r="FE4775" s="67"/>
      <c r="FF4775" s="67"/>
      <c r="FG4775" s="67"/>
      <c r="FH4775" s="67"/>
      <c r="FI4775" s="67"/>
      <c r="FJ4775" s="67"/>
      <c r="FK4775" s="67"/>
      <c r="FL4775" s="67"/>
      <c r="FM4775" s="67"/>
      <c r="FN4775" s="67"/>
      <c r="FO4775" s="67"/>
      <c r="FP4775" s="67"/>
      <c r="FQ4775" s="67"/>
      <c r="FR4775" s="67"/>
      <c r="FS4775" s="67"/>
      <c r="FT4775" s="67"/>
      <c r="FU4775" s="67"/>
      <c r="FV4775" s="67"/>
      <c r="FW4775" s="67"/>
      <c r="FX4775" s="67"/>
      <c r="FY4775" s="67"/>
      <c r="FZ4775" s="67"/>
      <c r="GA4775" s="67"/>
      <c r="GB4775" s="67"/>
      <c r="GC4775" s="67"/>
      <c r="GD4775" s="67"/>
      <c r="GE4775" s="67"/>
      <c r="GF4775" s="67"/>
      <c r="GG4775" s="67"/>
      <c r="GH4775" s="67"/>
      <c r="GI4775" s="67"/>
      <c r="GJ4775" s="67"/>
      <c r="GK4775" s="67"/>
      <c r="GL4775" s="67"/>
      <c r="GM4775" s="67"/>
      <c r="GN4775" s="292">
        <v>1.8</v>
      </c>
      <c r="GO4775" s="292">
        <v>4.8</v>
      </c>
      <c r="GP4775" s="292" t="s">
        <v>5150</v>
      </c>
      <c r="GQ4775" s="67"/>
      <c r="GR4775" s="67"/>
      <c r="GS4775" s="67" t="s">
        <v>5915</v>
      </c>
      <c r="GT4775" s="67"/>
      <c r="GU4775" s="67"/>
      <c r="GV4775" s="67"/>
      <c r="GW4775" s="67"/>
      <c r="GX4775" s="67"/>
      <c r="GY4775" s="67"/>
      <c r="GZ4775" s="67"/>
      <c r="HA4775" s="67"/>
      <c r="HB4775" s="67"/>
      <c r="HC4775" s="67"/>
      <c r="HD4775" s="67"/>
      <c r="HE4775" s="67"/>
      <c r="HF4775" s="67"/>
      <c r="HG4775" s="67"/>
      <c r="HH4775" s="67"/>
      <c r="HI4775" s="67"/>
      <c r="HJ4775" s="67"/>
      <c r="HK4775" s="67"/>
      <c r="HL4775" s="67"/>
      <c r="HM4775" s="67"/>
      <c r="HN4775" s="67"/>
      <c r="HO4775" s="67"/>
      <c r="HP4775" s="67"/>
      <c r="HQ4775" s="67"/>
      <c r="HR4775" s="67"/>
      <c r="HS4775" s="67"/>
      <c r="HT4775" s="67"/>
      <c r="HU4775" s="67"/>
      <c r="HV4775" s="67"/>
      <c r="HW4775" s="67"/>
      <c r="HX4775" s="67"/>
      <c r="HY4775" s="67"/>
      <c r="HZ4775" s="67"/>
      <c r="IA4775" s="67"/>
      <c r="IB4775" s="67"/>
      <c r="IC4775" s="67"/>
      <c r="ID4775" s="67"/>
      <c r="IE4775" s="67"/>
      <c r="IF4775" s="67"/>
      <c r="IG4775" s="67"/>
      <c r="IH4775" s="67"/>
      <c r="II4775" s="67"/>
      <c r="IJ4775" s="67"/>
      <c r="IK4775" s="67"/>
      <c r="IL4775" s="67"/>
      <c r="IM4775" s="67"/>
      <c r="IN4775" s="67"/>
      <c r="IO4775" s="67"/>
      <c r="IP4775" s="67"/>
      <c r="IQ4775" s="67"/>
      <c r="IR4775" s="67"/>
      <c r="IS4775" s="67"/>
      <c r="IT4775" s="67"/>
      <c r="IU4775" s="67"/>
      <c r="IV4775" s="67"/>
      <c r="IW4775" s="67"/>
      <c r="IX4775" s="67"/>
      <c r="IY4775" s="67"/>
      <c r="IZ4775" s="67"/>
      <c r="JA4775" s="67"/>
      <c r="JB4775" s="67"/>
      <c r="JC4775" s="67"/>
      <c r="JD4775" s="67"/>
      <c r="JE4775" s="67"/>
      <c r="JF4775" s="67"/>
      <c r="JG4775" s="67"/>
      <c r="JH4775" s="67"/>
      <c r="JI4775" s="67"/>
      <c r="JJ4775" s="67"/>
      <c r="JK4775" s="67"/>
      <c r="JL4775" s="67"/>
      <c r="JM4775" s="67"/>
      <c r="JN4775" s="67"/>
      <c r="JO4775" s="67"/>
      <c r="JP4775" s="67"/>
      <c r="JQ4775" s="67"/>
      <c r="JR4775" s="67"/>
      <c r="JS4775" s="67"/>
      <c r="JT4775" s="67"/>
      <c r="JU4775" s="58"/>
      <c r="JV4775" s="58"/>
      <c r="JW4775" s="58"/>
    </row>
    <row r="4776" spans="1:283" s="23" customFormat="1" x14ac:dyDescent="0.25">
      <c r="A4776" s="55">
        <v>4775</v>
      </c>
      <c r="B4776" s="12" t="s">
        <v>7067</v>
      </c>
      <c r="C4776" s="156">
        <v>214</v>
      </c>
      <c r="D4776" s="58" t="s">
        <v>4886</v>
      </c>
      <c r="E4776" s="160" t="str">
        <f>G4776</f>
        <v>Capriel 1991_Farm Pair 3</v>
      </c>
      <c r="F4776" s="160"/>
      <c r="G4776" s="60" t="s">
        <v>4843</v>
      </c>
      <c r="H4776" s="58">
        <v>1991</v>
      </c>
      <c r="I4776" s="58" t="s">
        <v>2847</v>
      </c>
      <c r="J4776" s="243" t="s">
        <v>5302</v>
      </c>
      <c r="K4776" s="63" t="s">
        <v>5127</v>
      </c>
      <c r="L4776" s="58" t="s">
        <v>1077</v>
      </c>
      <c r="M4776" s="94">
        <v>48.79</v>
      </c>
      <c r="N4776" s="94">
        <v>11.5</v>
      </c>
      <c r="O4776" s="94">
        <v>371</v>
      </c>
      <c r="P4776" s="58"/>
      <c r="Q4776" s="244">
        <v>8.6999999999999993</v>
      </c>
      <c r="R4776" s="58"/>
      <c r="S4776" s="245">
        <v>620</v>
      </c>
      <c r="T4776" s="58"/>
      <c r="U4776" s="58" t="s">
        <v>1935</v>
      </c>
      <c r="V4776" s="244">
        <v>5</v>
      </c>
      <c r="W4776" s="174"/>
      <c r="X4776" s="174"/>
      <c r="Y4776" s="58" t="s">
        <v>5908</v>
      </c>
      <c r="Z4776" s="244" t="s">
        <v>1349</v>
      </c>
      <c r="AA4776" s="245">
        <v>15</v>
      </c>
      <c r="AB4776" s="67"/>
      <c r="AC4776" s="67"/>
      <c r="AD4776" s="94"/>
      <c r="AE4776" s="94"/>
      <c r="AF4776" s="94"/>
      <c r="AG4776" s="245"/>
      <c r="AH4776" s="58"/>
      <c r="AI4776" s="169"/>
      <c r="AJ4776" s="94"/>
      <c r="AK4776" s="94"/>
      <c r="AL4776" s="58"/>
      <c r="AM4776" s="58"/>
      <c r="AN4776" s="186"/>
      <c r="AO4776" s="185" t="s">
        <v>5150</v>
      </c>
      <c r="AP4776" s="58"/>
      <c r="AQ4776" s="58"/>
      <c r="AR4776" s="58" t="s">
        <v>132</v>
      </c>
      <c r="AS4776" s="58" t="s">
        <v>132</v>
      </c>
      <c r="AT4776" s="247"/>
      <c r="AU4776" s="181" t="s">
        <v>7494</v>
      </c>
      <c r="AV4776" s="185" t="s">
        <v>176</v>
      </c>
      <c r="AW4776" s="244"/>
      <c r="AX4776" s="185" t="s">
        <v>176</v>
      </c>
      <c r="AY4776" s="244"/>
      <c r="AZ4776" s="58"/>
      <c r="BA4776" s="58"/>
      <c r="BB4776" s="58"/>
      <c r="BC4776" s="58"/>
      <c r="BD4776" s="58"/>
      <c r="BE4776" s="236" t="s">
        <v>5153</v>
      </c>
      <c r="BF4776" s="191" t="s">
        <v>176</v>
      </c>
      <c r="BG4776" s="191" t="s">
        <v>176</v>
      </c>
      <c r="BH4776" s="236" t="s">
        <v>5153</v>
      </c>
      <c r="BI4776" s="191" t="s">
        <v>176</v>
      </c>
      <c r="BJ4776" s="58" t="str">
        <f>IF(BE4776=BH4776,"No","yes")</f>
        <v>No</v>
      </c>
      <c r="BK4776" s="58" t="s">
        <v>6334</v>
      </c>
      <c r="BL4776" s="58"/>
      <c r="BM4776" s="237"/>
      <c r="BN4776" s="244">
        <v>3</v>
      </c>
      <c r="BO4776" s="244">
        <v>3</v>
      </c>
      <c r="BP4776" s="58"/>
      <c r="BQ4776" s="58"/>
      <c r="BR4776" s="58"/>
      <c r="BS4776" s="58"/>
      <c r="BT4776" s="58"/>
      <c r="BU4776" s="58"/>
      <c r="BV4776" s="58"/>
      <c r="BW4776" s="67"/>
      <c r="BX4776" s="67"/>
      <c r="BY4776" s="67"/>
      <c r="BZ4776" s="67"/>
      <c r="CA4776" s="67"/>
      <c r="CB4776" s="70"/>
      <c r="CC4776" s="70"/>
      <c r="CD4776" s="70"/>
      <c r="CE4776" s="67"/>
      <c r="CF4776" s="67"/>
      <c r="CG4776" s="67"/>
      <c r="CH4776" s="245">
        <v>1.1499999999999999</v>
      </c>
      <c r="CI4776" s="245">
        <v>1.0900000000000001</v>
      </c>
      <c r="CJ4776" s="67"/>
      <c r="CK4776" s="67"/>
      <c r="CL4776" s="67"/>
      <c r="CM4776" s="242">
        <v>2.38</v>
      </c>
      <c r="CN4776" s="242">
        <v>2.34</v>
      </c>
      <c r="CO4776" s="242"/>
      <c r="CP4776" s="242"/>
      <c r="CQ4776" s="242" t="s">
        <v>164</v>
      </c>
      <c r="CR4776" s="242"/>
      <c r="CS4776" s="242"/>
      <c r="CT4776" s="242"/>
      <c r="CU4776" s="242"/>
      <c r="CV4776" s="242"/>
      <c r="CW4776" s="242"/>
      <c r="CX4776" s="242"/>
      <c r="CY4776" s="242"/>
      <c r="CZ4776" s="242"/>
      <c r="DA4776" s="67"/>
      <c r="DB4776" s="67">
        <v>1700</v>
      </c>
      <c r="DC4776" s="67">
        <v>1900</v>
      </c>
      <c r="DD4776" s="67"/>
      <c r="DE4776" s="67"/>
      <c r="DF4776" s="67" t="s">
        <v>5909</v>
      </c>
      <c r="DG4776" s="67">
        <v>35</v>
      </c>
      <c r="DH4776" s="67">
        <v>28</v>
      </c>
      <c r="DI4776" s="67"/>
      <c r="DJ4776" s="67"/>
      <c r="DK4776" s="67" t="s">
        <v>2242</v>
      </c>
      <c r="DL4776" s="67">
        <v>331</v>
      </c>
      <c r="DM4776" s="67">
        <v>248</v>
      </c>
      <c r="DN4776" s="67"/>
      <c r="DO4776" s="67"/>
      <c r="DP4776" s="67" t="s">
        <v>2242</v>
      </c>
      <c r="DQ4776" s="166">
        <v>6.32</v>
      </c>
      <c r="DR4776" s="166">
        <v>6.34</v>
      </c>
      <c r="DS4776" s="163"/>
      <c r="DT4776" s="163"/>
      <c r="DU4776" s="67"/>
      <c r="DV4776" s="67">
        <f>2793+294</f>
        <v>3087</v>
      </c>
      <c r="DW4776" s="67">
        <f>3241+336</f>
        <v>3577</v>
      </c>
      <c r="DX4776" s="67"/>
      <c r="DY4776" s="67"/>
      <c r="DZ4776" s="67" t="s">
        <v>5910</v>
      </c>
      <c r="EA4776" s="67">
        <v>289</v>
      </c>
      <c r="EB4776" s="67">
        <v>363</v>
      </c>
      <c r="EC4776" s="67"/>
      <c r="ED4776" s="67"/>
      <c r="EE4776" s="67" t="s">
        <v>5911</v>
      </c>
      <c r="EF4776" s="67"/>
      <c r="EG4776" s="67"/>
      <c r="EH4776" s="67"/>
      <c r="EI4776" s="67"/>
      <c r="EJ4776" s="67"/>
      <c r="EK4776" s="94"/>
      <c r="EL4776" s="94"/>
      <c r="EM4776" s="67"/>
      <c r="EN4776" s="67"/>
      <c r="EO4776" s="67"/>
      <c r="EP4776" s="67"/>
      <c r="EQ4776" s="67"/>
      <c r="ER4776" s="67"/>
      <c r="ES4776" s="67"/>
      <c r="ET4776" s="67"/>
      <c r="EU4776" s="67"/>
      <c r="EV4776" s="67"/>
      <c r="EW4776" s="67"/>
      <c r="EX4776" s="67"/>
      <c r="EY4776" s="67"/>
      <c r="EZ4776" s="67"/>
      <c r="FA4776" s="67"/>
      <c r="FB4776" s="67"/>
      <c r="FC4776" s="67"/>
      <c r="FD4776" s="67"/>
      <c r="FE4776" s="67"/>
      <c r="FF4776" s="67"/>
      <c r="FG4776" s="67"/>
      <c r="FH4776" s="67"/>
      <c r="FI4776" s="67"/>
      <c r="FJ4776" s="67"/>
      <c r="FK4776" s="67"/>
      <c r="FL4776" s="67"/>
      <c r="FM4776" s="67"/>
      <c r="FN4776" s="67"/>
      <c r="FO4776" s="67"/>
      <c r="FP4776" s="67"/>
      <c r="FQ4776" s="67"/>
      <c r="FR4776" s="67"/>
      <c r="FS4776" s="67"/>
      <c r="FT4776" s="67"/>
      <c r="FU4776" s="67"/>
      <c r="FV4776" s="67"/>
      <c r="FW4776" s="67"/>
      <c r="FX4776" s="67"/>
      <c r="FY4776" s="67"/>
      <c r="FZ4776" s="67"/>
      <c r="GA4776" s="67"/>
      <c r="GB4776" s="67"/>
      <c r="GC4776" s="67"/>
      <c r="GD4776" s="67"/>
      <c r="GE4776" s="67"/>
      <c r="GF4776" s="67"/>
      <c r="GG4776" s="67"/>
      <c r="GH4776" s="67"/>
      <c r="GI4776" s="67"/>
      <c r="GJ4776" s="67"/>
      <c r="GK4776" s="67"/>
      <c r="GL4776" s="67"/>
      <c r="GM4776" s="67"/>
      <c r="GN4776" s="292">
        <v>0</v>
      </c>
      <c r="GO4776" s="292">
        <v>4.0999999999999996</v>
      </c>
      <c r="GP4776" s="292" t="s">
        <v>5150</v>
      </c>
      <c r="GQ4776" s="67"/>
      <c r="GR4776" s="67"/>
      <c r="GS4776" s="67" t="s">
        <v>5915</v>
      </c>
      <c r="GT4776" s="67"/>
      <c r="GU4776" s="67"/>
      <c r="GV4776" s="67"/>
      <c r="GW4776" s="67"/>
      <c r="GX4776" s="67"/>
      <c r="GY4776" s="67"/>
      <c r="GZ4776" s="67"/>
      <c r="HA4776" s="67"/>
      <c r="HB4776" s="67"/>
      <c r="HC4776" s="67"/>
      <c r="HD4776" s="67"/>
      <c r="HE4776" s="67"/>
      <c r="HF4776" s="67"/>
      <c r="HG4776" s="67"/>
      <c r="HH4776" s="67"/>
      <c r="HI4776" s="67"/>
      <c r="HJ4776" s="67"/>
      <c r="HK4776" s="67"/>
      <c r="HL4776" s="67"/>
      <c r="HM4776" s="67"/>
      <c r="HN4776" s="67"/>
      <c r="HO4776" s="67"/>
      <c r="HP4776" s="67"/>
      <c r="HQ4776" s="67"/>
      <c r="HR4776" s="67"/>
      <c r="HS4776" s="67"/>
      <c r="HT4776" s="67"/>
      <c r="HU4776" s="67"/>
      <c r="HV4776" s="67"/>
      <c r="HW4776" s="67"/>
      <c r="HX4776" s="67"/>
      <c r="HY4776" s="67"/>
      <c r="HZ4776" s="67"/>
      <c r="IA4776" s="67"/>
      <c r="IB4776" s="67"/>
      <c r="IC4776" s="67"/>
      <c r="ID4776" s="67"/>
      <c r="IE4776" s="67"/>
      <c r="IF4776" s="67"/>
      <c r="IG4776" s="67"/>
      <c r="IH4776" s="67"/>
      <c r="II4776" s="67"/>
      <c r="IJ4776" s="67"/>
      <c r="IK4776" s="67"/>
      <c r="IL4776" s="67"/>
      <c r="IM4776" s="67"/>
      <c r="IN4776" s="67"/>
      <c r="IO4776" s="67"/>
      <c r="IP4776" s="67"/>
      <c r="IQ4776" s="67"/>
      <c r="IR4776" s="67"/>
      <c r="IS4776" s="67"/>
      <c r="IT4776" s="67"/>
      <c r="IU4776" s="67"/>
      <c r="IV4776" s="67"/>
      <c r="IW4776" s="67"/>
      <c r="IX4776" s="67"/>
      <c r="IY4776" s="67"/>
      <c r="IZ4776" s="67"/>
      <c r="JA4776" s="67"/>
      <c r="JB4776" s="67"/>
      <c r="JC4776" s="67"/>
      <c r="JD4776" s="67"/>
      <c r="JE4776" s="67"/>
      <c r="JF4776" s="67"/>
      <c r="JG4776" s="67"/>
      <c r="JH4776" s="67"/>
      <c r="JI4776" s="67"/>
      <c r="JJ4776" s="67"/>
      <c r="JK4776" s="67"/>
      <c r="JL4776" s="67"/>
      <c r="JM4776" s="67"/>
      <c r="JN4776" s="67"/>
      <c r="JO4776" s="67"/>
      <c r="JP4776" s="67"/>
      <c r="JQ4776" s="67"/>
      <c r="JR4776" s="67"/>
      <c r="JS4776" s="67"/>
      <c r="JT4776" s="67"/>
      <c r="JU4776" s="58"/>
      <c r="JV4776" s="58"/>
      <c r="JW4776" s="58"/>
    </row>
    <row r="4777" spans="1:283" s="23" customFormat="1" x14ac:dyDescent="0.25">
      <c r="A4777" s="55">
        <v>4776</v>
      </c>
      <c r="B4777" s="12" t="s">
        <v>7067</v>
      </c>
      <c r="C4777" s="156">
        <v>214</v>
      </c>
      <c r="D4777" s="58" t="s">
        <v>4884</v>
      </c>
      <c r="E4777" s="160" t="str">
        <f>G4777</f>
        <v>Capriel 1991_Farm Pair 4</v>
      </c>
      <c r="F4777" s="160"/>
      <c r="G4777" s="60" t="s">
        <v>4842</v>
      </c>
      <c r="H4777" s="58">
        <v>1991</v>
      </c>
      <c r="I4777" s="58" t="s">
        <v>2847</v>
      </c>
      <c r="J4777" s="243" t="s">
        <v>5302</v>
      </c>
      <c r="K4777" s="63" t="s">
        <v>5127</v>
      </c>
      <c r="L4777" s="58" t="s">
        <v>1077</v>
      </c>
      <c r="M4777" s="94">
        <v>48.79</v>
      </c>
      <c r="N4777" s="94">
        <v>11.5</v>
      </c>
      <c r="O4777" s="94">
        <v>371</v>
      </c>
      <c r="P4777" s="58"/>
      <c r="Q4777" s="244">
        <v>8.6999999999999993</v>
      </c>
      <c r="R4777" s="58"/>
      <c r="S4777" s="245">
        <v>620</v>
      </c>
      <c r="T4777" s="58"/>
      <c r="U4777" s="58" t="s">
        <v>1935</v>
      </c>
      <c r="V4777" s="244">
        <v>5</v>
      </c>
      <c r="W4777" s="174"/>
      <c r="X4777" s="174"/>
      <c r="Y4777" s="58" t="s">
        <v>5908</v>
      </c>
      <c r="Z4777" s="244" t="s">
        <v>1349</v>
      </c>
      <c r="AA4777" s="245">
        <v>15</v>
      </c>
      <c r="AB4777" s="67"/>
      <c r="AC4777" s="67"/>
      <c r="AD4777" s="94"/>
      <c r="AE4777" s="94"/>
      <c r="AF4777" s="94"/>
      <c r="AG4777" s="245"/>
      <c r="AH4777" s="58"/>
      <c r="AI4777" s="169"/>
      <c r="AJ4777" s="94"/>
      <c r="AK4777" s="94"/>
      <c r="AL4777" s="58"/>
      <c r="AM4777" s="58"/>
      <c r="AN4777" s="186"/>
      <c r="AO4777" s="185" t="s">
        <v>5150</v>
      </c>
      <c r="AP4777" s="58"/>
      <c r="AQ4777" s="58"/>
      <c r="AR4777" s="58" t="s">
        <v>132</v>
      </c>
      <c r="AS4777" s="58" t="s">
        <v>132</v>
      </c>
      <c r="AT4777" s="247"/>
      <c r="AU4777" s="181" t="s">
        <v>7494</v>
      </c>
      <c r="AV4777" s="185" t="s">
        <v>176</v>
      </c>
      <c r="AW4777" s="244"/>
      <c r="AX4777" s="185" t="s">
        <v>176</v>
      </c>
      <c r="AY4777" s="244"/>
      <c r="AZ4777" s="58"/>
      <c r="BA4777" s="58"/>
      <c r="BB4777" s="58"/>
      <c r="BC4777" s="58"/>
      <c r="BD4777" s="58"/>
      <c r="BE4777" s="236" t="s">
        <v>5153</v>
      </c>
      <c r="BF4777" s="191" t="s">
        <v>176</v>
      </c>
      <c r="BG4777" s="191" t="s">
        <v>176</v>
      </c>
      <c r="BH4777" s="236" t="s">
        <v>5153</v>
      </c>
      <c r="BI4777" s="191" t="s">
        <v>176</v>
      </c>
      <c r="BJ4777" s="58" t="str">
        <f>IF(BE4777=BH4777,"No","yes")</f>
        <v>No</v>
      </c>
      <c r="BK4777" s="58" t="s">
        <v>6334</v>
      </c>
      <c r="BL4777" s="58"/>
      <c r="BM4777" s="237"/>
      <c r="BN4777" s="244">
        <v>3</v>
      </c>
      <c r="BO4777" s="244">
        <v>3</v>
      </c>
      <c r="BP4777" s="58"/>
      <c r="BQ4777" s="58"/>
      <c r="BR4777" s="58"/>
      <c r="BS4777" s="58"/>
      <c r="BT4777" s="58"/>
      <c r="BU4777" s="58"/>
      <c r="BV4777" s="58"/>
      <c r="BW4777" s="67">
        <v>50122</v>
      </c>
      <c r="BX4777" s="67">
        <v>60102</v>
      </c>
      <c r="BY4777" s="67">
        <v>5122</v>
      </c>
      <c r="BZ4777" s="67">
        <v>5122</v>
      </c>
      <c r="CA4777" s="67" t="s">
        <v>5912</v>
      </c>
      <c r="CB4777" s="70">
        <v>10060</v>
      </c>
      <c r="CC4777" s="70">
        <v>9000</v>
      </c>
      <c r="CD4777" s="70"/>
      <c r="CE4777" s="67"/>
      <c r="CF4777" s="67"/>
      <c r="CG4777" s="67" t="s">
        <v>5913</v>
      </c>
      <c r="CH4777" s="245">
        <v>1.23</v>
      </c>
      <c r="CI4777" s="245">
        <v>1.25</v>
      </c>
      <c r="CJ4777" s="67"/>
      <c r="CK4777" s="67"/>
      <c r="CL4777" s="67"/>
      <c r="CM4777" s="242">
        <v>2.4900000000000002</v>
      </c>
      <c r="CN4777" s="242">
        <v>2.63</v>
      </c>
      <c r="CO4777" s="242"/>
      <c r="CP4777" s="242"/>
      <c r="CQ4777" s="242" t="s">
        <v>164</v>
      </c>
      <c r="CR4777" s="242"/>
      <c r="CS4777" s="242"/>
      <c r="CT4777" s="242"/>
      <c r="CU4777" s="242"/>
      <c r="CV4777" s="242"/>
      <c r="CW4777" s="242"/>
      <c r="CX4777" s="242"/>
      <c r="CY4777" s="242"/>
      <c r="CZ4777" s="242"/>
      <c r="DA4777" s="67"/>
      <c r="DB4777" s="67">
        <v>2200</v>
      </c>
      <c r="DC4777" s="67">
        <v>2300</v>
      </c>
      <c r="DD4777" s="67"/>
      <c r="DE4777" s="67"/>
      <c r="DF4777" s="67" t="s">
        <v>5909</v>
      </c>
      <c r="DG4777" s="67">
        <v>40</v>
      </c>
      <c r="DH4777" s="67">
        <v>85</v>
      </c>
      <c r="DI4777" s="67">
        <v>21</v>
      </c>
      <c r="DJ4777" s="67">
        <v>21</v>
      </c>
      <c r="DK4777" s="67" t="s">
        <v>2242</v>
      </c>
      <c r="DL4777" s="67">
        <v>267</v>
      </c>
      <c r="DM4777" s="67">
        <v>308</v>
      </c>
      <c r="DN4777" s="67"/>
      <c r="DO4777" s="67"/>
      <c r="DP4777" s="67" t="s">
        <v>2242</v>
      </c>
      <c r="DQ4777" s="166">
        <v>6.59</v>
      </c>
      <c r="DR4777" s="166">
        <v>6.85</v>
      </c>
      <c r="DS4777" s="163"/>
      <c r="DT4777" s="163"/>
      <c r="DU4777" s="67"/>
      <c r="DV4777" s="67">
        <f>3297+308</f>
        <v>3605</v>
      </c>
      <c r="DW4777" s="67">
        <f>3657+315</f>
        <v>3972</v>
      </c>
      <c r="DX4777" s="67"/>
      <c r="DY4777" s="67"/>
      <c r="DZ4777" s="67" t="s">
        <v>5910</v>
      </c>
      <c r="EA4777" s="67">
        <v>233</v>
      </c>
      <c r="EB4777" s="67">
        <v>244</v>
      </c>
      <c r="EC4777" s="67"/>
      <c r="ED4777" s="67"/>
      <c r="EE4777" s="67" t="s">
        <v>5911</v>
      </c>
      <c r="EF4777" s="67"/>
      <c r="EG4777" s="67"/>
      <c r="EH4777" s="67"/>
      <c r="EI4777" s="67"/>
      <c r="EJ4777" s="67"/>
      <c r="EK4777" s="94"/>
      <c r="EL4777" s="94"/>
      <c r="EM4777" s="67"/>
      <c r="EN4777" s="67"/>
      <c r="EO4777" s="67"/>
      <c r="EP4777" s="67"/>
      <c r="EQ4777" s="67"/>
      <c r="ER4777" s="67"/>
      <c r="ES4777" s="67"/>
      <c r="ET4777" s="67"/>
      <c r="EU4777" s="67"/>
      <c r="EV4777" s="67"/>
      <c r="EW4777" s="67"/>
      <c r="EX4777" s="67"/>
      <c r="EY4777" s="67"/>
      <c r="EZ4777" s="67"/>
      <c r="FA4777" s="67"/>
      <c r="FB4777" s="67"/>
      <c r="FC4777" s="67"/>
      <c r="FD4777" s="67"/>
      <c r="FE4777" s="67"/>
      <c r="FF4777" s="67"/>
      <c r="FG4777" s="67"/>
      <c r="FH4777" s="67"/>
      <c r="FI4777" s="67"/>
      <c r="FJ4777" s="67"/>
      <c r="FK4777" s="67"/>
      <c r="FL4777" s="67"/>
      <c r="FM4777" s="67"/>
      <c r="FN4777" s="67"/>
      <c r="FO4777" s="67"/>
      <c r="FP4777" s="67"/>
      <c r="FQ4777" s="67"/>
      <c r="FR4777" s="67"/>
      <c r="FS4777" s="67"/>
      <c r="FT4777" s="67"/>
      <c r="FU4777" s="67"/>
      <c r="FV4777" s="67"/>
      <c r="FW4777" s="67"/>
      <c r="FX4777" s="67"/>
      <c r="FY4777" s="67"/>
      <c r="FZ4777" s="67"/>
      <c r="GA4777" s="67"/>
      <c r="GB4777" s="67"/>
      <c r="GC4777" s="67"/>
      <c r="GD4777" s="67"/>
      <c r="GE4777" s="67"/>
      <c r="GF4777" s="67"/>
      <c r="GG4777" s="67"/>
      <c r="GH4777" s="67"/>
      <c r="GI4777" s="67"/>
      <c r="GJ4777" s="67"/>
      <c r="GK4777" s="67"/>
      <c r="GL4777" s="67"/>
      <c r="GM4777" s="67"/>
      <c r="GN4777" s="292">
        <v>3.7</v>
      </c>
      <c r="GO4777" s="292">
        <v>12.4</v>
      </c>
      <c r="GP4777" s="292" t="s">
        <v>5150</v>
      </c>
      <c r="GQ4777" s="67"/>
      <c r="GR4777" s="67"/>
      <c r="GS4777" s="67" t="s">
        <v>5914</v>
      </c>
      <c r="GT4777" s="67"/>
      <c r="GU4777" s="67"/>
      <c r="GV4777" s="67"/>
      <c r="GW4777" s="67"/>
      <c r="GX4777" s="67"/>
      <c r="GY4777" s="67"/>
      <c r="GZ4777" s="67"/>
      <c r="HA4777" s="67"/>
      <c r="HB4777" s="67"/>
      <c r="HC4777" s="67"/>
      <c r="HD4777" s="67"/>
      <c r="HE4777" s="67"/>
      <c r="HF4777" s="67"/>
      <c r="HG4777" s="67"/>
      <c r="HH4777" s="67"/>
      <c r="HI4777" s="67"/>
      <c r="HJ4777" s="67"/>
      <c r="HK4777" s="67"/>
      <c r="HL4777" s="67"/>
      <c r="HM4777" s="67"/>
      <c r="HN4777" s="67"/>
      <c r="HO4777" s="67"/>
      <c r="HP4777" s="67"/>
      <c r="HQ4777" s="67"/>
      <c r="HR4777" s="67"/>
      <c r="HS4777" s="67"/>
      <c r="HT4777" s="67"/>
      <c r="HU4777" s="67"/>
      <c r="HV4777" s="67"/>
      <c r="HW4777" s="67"/>
      <c r="HX4777" s="67"/>
      <c r="HY4777" s="67"/>
      <c r="HZ4777" s="67"/>
      <c r="IA4777" s="67"/>
      <c r="IB4777" s="67"/>
      <c r="IC4777" s="67"/>
      <c r="ID4777" s="67"/>
      <c r="IE4777" s="67"/>
      <c r="IF4777" s="67"/>
      <c r="IG4777" s="67"/>
      <c r="IH4777" s="67"/>
      <c r="II4777" s="67"/>
      <c r="IJ4777" s="67"/>
      <c r="IK4777" s="67"/>
      <c r="IL4777" s="67"/>
      <c r="IM4777" s="67"/>
      <c r="IN4777" s="67"/>
      <c r="IO4777" s="67"/>
      <c r="IP4777" s="67"/>
      <c r="IQ4777" s="67"/>
      <c r="IR4777" s="67"/>
      <c r="IS4777" s="67"/>
      <c r="IT4777" s="67"/>
      <c r="IU4777" s="67"/>
      <c r="IV4777" s="67"/>
      <c r="IW4777" s="67"/>
      <c r="IX4777" s="67"/>
      <c r="IY4777" s="67"/>
      <c r="IZ4777" s="67"/>
      <c r="JA4777" s="67"/>
      <c r="JB4777" s="67"/>
      <c r="JC4777" s="67"/>
      <c r="JD4777" s="67"/>
      <c r="JE4777" s="67"/>
      <c r="JF4777" s="67"/>
      <c r="JG4777" s="67"/>
      <c r="JH4777" s="67"/>
      <c r="JI4777" s="67"/>
      <c r="JJ4777" s="67"/>
      <c r="JK4777" s="67"/>
      <c r="JL4777" s="67"/>
      <c r="JM4777" s="67"/>
      <c r="JN4777" s="67"/>
      <c r="JO4777" s="67"/>
      <c r="JP4777" s="67"/>
      <c r="JQ4777" s="67"/>
      <c r="JR4777" s="67"/>
      <c r="JS4777" s="67"/>
      <c r="JT4777" s="67"/>
      <c r="JU4777" s="58"/>
      <c r="JV4777" s="58"/>
      <c r="JW4777" s="58"/>
    </row>
    <row r="4778" spans="1:283" s="23" customFormat="1" x14ac:dyDescent="0.25">
      <c r="A4778" s="55">
        <v>4777</v>
      </c>
      <c r="B4778" s="12" t="s">
        <v>7067</v>
      </c>
      <c r="C4778" s="156">
        <v>214</v>
      </c>
      <c r="D4778" s="58" t="s">
        <v>4885</v>
      </c>
      <c r="E4778" s="160" t="str">
        <f>G4778</f>
        <v>Capriel 1991_Farm Pair 5</v>
      </c>
      <c r="F4778" s="160"/>
      <c r="G4778" s="60" t="s">
        <v>4841</v>
      </c>
      <c r="H4778" s="58">
        <v>1991</v>
      </c>
      <c r="I4778" s="58" t="s">
        <v>2847</v>
      </c>
      <c r="J4778" s="243" t="s">
        <v>5302</v>
      </c>
      <c r="K4778" s="63" t="s">
        <v>5127</v>
      </c>
      <c r="L4778" s="58" t="s">
        <v>1077</v>
      </c>
      <c r="M4778" s="94">
        <v>48.79</v>
      </c>
      <c r="N4778" s="94">
        <v>11.5</v>
      </c>
      <c r="O4778" s="94">
        <v>371</v>
      </c>
      <c r="P4778" s="58"/>
      <c r="Q4778" s="244">
        <v>8.6999999999999993</v>
      </c>
      <c r="R4778" s="58"/>
      <c r="S4778" s="245">
        <v>620</v>
      </c>
      <c r="T4778" s="58"/>
      <c r="U4778" s="58" t="s">
        <v>1935</v>
      </c>
      <c r="V4778" s="244">
        <v>5</v>
      </c>
      <c r="W4778" s="174"/>
      <c r="X4778" s="174"/>
      <c r="Y4778" s="58" t="s">
        <v>5908</v>
      </c>
      <c r="Z4778" s="244" t="s">
        <v>1349</v>
      </c>
      <c r="AA4778" s="245">
        <v>15</v>
      </c>
      <c r="AB4778" s="67"/>
      <c r="AC4778" s="67"/>
      <c r="AD4778" s="94"/>
      <c r="AE4778" s="94"/>
      <c r="AF4778" s="94"/>
      <c r="AG4778" s="245"/>
      <c r="AH4778" s="58"/>
      <c r="AI4778" s="169"/>
      <c r="AJ4778" s="94"/>
      <c r="AK4778" s="94"/>
      <c r="AL4778" s="58"/>
      <c r="AM4778" s="58"/>
      <c r="AN4778" s="186"/>
      <c r="AO4778" s="185" t="s">
        <v>5150</v>
      </c>
      <c r="AP4778" s="58"/>
      <c r="AQ4778" s="58"/>
      <c r="AR4778" s="58" t="s">
        <v>132</v>
      </c>
      <c r="AS4778" s="58" t="s">
        <v>132</v>
      </c>
      <c r="AT4778" s="247"/>
      <c r="AU4778" s="181" t="s">
        <v>7494</v>
      </c>
      <c r="AV4778" s="185" t="s">
        <v>176</v>
      </c>
      <c r="AW4778" s="244"/>
      <c r="AX4778" s="185" t="s">
        <v>176</v>
      </c>
      <c r="AY4778" s="244"/>
      <c r="AZ4778" s="58"/>
      <c r="BA4778" s="58"/>
      <c r="BB4778" s="58"/>
      <c r="BC4778" s="58"/>
      <c r="BD4778" s="58"/>
      <c r="BE4778" s="236" t="s">
        <v>5153</v>
      </c>
      <c r="BF4778" s="191" t="s">
        <v>176</v>
      </c>
      <c r="BG4778" s="191" t="s">
        <v>176</v>
      </c>
      <c r="BH4778" s="236" t="s">
        <v>5153</v>
      </c>
      <c r="BI4778" s="191" t="s">
        <v>176</v>
      </c>
      <c r="BJ4778" s="58" t="str">
        <f>IF(BE4778=BH4778,"No","yes")</f>
        <v>No</v>
      </c>
      <c r="BK4778" s="58" t="s">
        <v>6334</v>
      </c>
      <c r="BL4778" s="58"/>
      <c r="BM4778" s="237"/>
      <c r="BN4778" s="244">
        <v>3</v>
      </c>
      <c r="BO4778" s="244">
        <v>3</v>
      </c>
      <c r="BP4778" s="58"/>
      <c r="BQ4778" s="58"/>
      <c r="BR4778" s="58"/>
      <c r="BS4778" s="58"/>
      <c r="BT4778" s="58"/>
      <c r="BU4778" s="58"/>
      <c r="BV4778" s="58"/>
      <c r="BW4778" s="67">
        <v>50122</v>
      </c>
      <c r="BX4778" s="67">
        <v>62572</v>
      </c>
      <c r="BY4778" s="67">
        <v>5122</v>
      </c>
      <c r="BZ4778" s="67">
        <v>5122</v>
      </c>
      <c r="CA4778" s="67" t="s">
        <v>5912</v>
      </c>
      <c r="CB4778" s="70">
        <v>10060</v>
      </c>
      <c r="CC4778" s="70">
        <v>9000</v>
      </c>
      <c r="CD4778" s="70"/>
      <c r="CE4778" s="67"/>
      <c r="CF4778" s="67"/>
      <c r="CG4778" s="67" t="s">
        <v>5913</v>
      </c>
      <c r="CH4778" s="245">
        <v>1.23</v>
      </c>
      <c r="CI4778" s="245">
        <v>1.21</v>
      </c>
      <c r="CJ4778" s="67"/>
      <c r="CK4778" s="67"/>
      <c r="CL4778" s="67"/>
      <c r="CM4778" s="242">
        <v>2.4900000000000002</v>
      </c>
      <c r="CN4778" s="242">
        <v>2.61</v>
      </c>
      <c r="CO4778" s="242"/>
      <c r="CP4778" s="242"/>
      <c r="CQ4778" s="242" t="s">
        <v>164</v>
      </c>
      <c r="CR4778" s="242"/>
      <c r="CS4778" s="242"/>
      <c r="CT4778" s="242"/>
      <c r="CU4778" s="242"/>
      <c r="CV4778" s="242"/>
      <c r="CW4778" s="242"/>
      <c r="CX4778" s="242"/>
      <c r="CY4778" s="242"/>
      <c r="CZ4778" s="242"/>
      <c r="DA4778" s="67"/>
      <c r="DB4778" s="67">
        <v>2200</v>
      </c>
      <c r="DC4778" s="67">
        <v>2400</v>
      </c>
      <c r="DD4778" s="67"/>
      <c r="DE4778" s="67"/>
      <c r="DF4778" s="67" t="s">
        <v>5909</v>
      </c>
      <c r="DG4778" s="67">
        <v>40</v>
      </c>
      <c r="DH4778" s="67">
        <v>61</v>
      </c>
      <c r="DI4778" s="67">
        <v>21</v>
      </c>
      <c r="DJ4778" s="67">
        <v>21</v>
      </c>
      <c r="DK4778" s="67" t="s">
        <v>2242</v>
      </c>
      <c r="DL4778" s="67">
        <v>267</v>
      </c>
      <c r="DM4778" s="67">
        <v>320</v>
      </c>
      <c r="DN4778" s="67"/>
      <c r="DO4778" s="67"/>
      <c r="DP4778" s="67" t="s">
        <v>2242</v>
      </c>
      <c r="DQ4778" s="166">
        <v>6.59</v>
      </c>
      <c r="DR4778" s="166">
        <v>6.8</v>
      </c>
      <c r="DS4778" s="163"/>
      <c r="DT4778" s="163"/>
      <c r="DU4778" s="67"/>
      <c r="DV4778" s="67">
        <f>3297+308</f>
        <v>3605</v>
      </c>
      <c r="DW4778" s="67">
        <f>3740+340</f>
        <v>4080</v>
      </c>
      <c r="DX4778" s="67"/>
      <c r="DY4778" s="67"/>
      <c r="DZ4778" s="67" t="s">
        <v>5910</v>
      </c>
      <c r="EA4778" s="67">
        <v>233</v>
      </c>
      <c r="EB4778" s="67">
        <v>230</v>
      </c>
      <c r="EC4778" s="67"/>
      <c r="ED4778" s="67"/>
      <c r="EE4778" s="67" t="s">
        <v>5911</v>
      </c>
      <c r="EF4778" s="67"/>
      <c r="EG4778" s="67"/>
      <c r="EH4778" s="67"/>
      <c r="EI4778" s="67"/>
      <c r="EJ4778" s="67"/>
      <c r="EK4778" s="94"/>
      <c r="EL4778" s="94"/>
      <c r="EM4778" s="67"/>
      <c r="EN4778" s="67"/>
      <c r="EO4778" s="67"/>
      <c r="EP4778" s="67"/>
      <c r="EQ4778" s="67"/>
      <c r="ER4778" s="67"/>
      <c r="ES4778" s="67"/>
      <c r="ET4778" s="67"/>
      <c r="EU4778" s="67"/>
      <c r="EV4778" s="67"/>
      <c r="EW4778" s="67"/>
      <c r="EX4778" s="67"/>
      <c r="EY4778" s="67"/>
      <c r="EZ4778" s="67"/>
      <c r="FA4778" s="67"/>
      <c r="FB4778" s="67"/>
      <c r="FC4778" s="67"/>
      <c r="FD4778" s="67"/>
      <c r="FE4778" s="67"/>
      <c r="FF4778" s="67"/>
      <c r="FG4778" s="67"/>
      <c r="FH4778" s="67"/>
      <c r="FI4778" s="67"/>
      <c r="FJ4778" s="67"/>
      <c r="FK4778" s="67"/>
      <c r="FL4778" s="67"/>
      <c r="FM4778" s="67"/>
      <c r="FN4778" s="67"/>
      <c r="FO4778" s="67"/>
      <c r="FP4778" s="67"/>
      <c r="FQ4778" s="67"/>
      <c r="FR4778" s="67"/>
      <c r="FS4778" s="67"/>
      <c r="FT4778" s="67"/>
      <c r="FU4778" s="67"/>
      <c r="FV4778" s="67"/>
      <c r="FW4778" s="67"/>
      <c r="FX4778" s="67"/>
      <c r="FY4778" s="67"/>
      <c r="FZ4778" s="67"/>
      <c r="GA4778" s="67"/>
      <c r="GB4778" s="67"/>
      <c r="GC4778" s="67"/>
      <c r="GD4778" s="67"/>
      <c r="GE4778" s="67"/>
      <c r="GF4778" s="67"/>
      <c r="GG4778" s="67"/>
      <c r="GH4778" s="67"/>
      <c r="GI4778" s="67"/>
      <c r="GJ4778" s="67"/>
      <c r="GK4778" s="67"/>
      <c r="GL4778" s="67"/>
      <c r="GM4778" s="67"/>
      <c r="GN4778" s="292">
        <v>3.7</v>
      </c>
      <c r="GO4778" s="292">
        <v>17.8</v>
      </c>
      <c r="GP4778" s="292" t="s">
        <v>5150</v>
      </c>
      <c r="GQ4778" s="67"/>
      <c r="GR4778" s="67"/>
      <c r="GS4778" s="67" t="s">
        <v>5914</v>
      </c>
      <c r="GT4778" s="67"/>
      <c r="GU4778" s="67"/>
      <c r="GV4778" s="67"/>
      <c r="GW4778" s="67"/>
      <c r="GX4778" s="67"/>
      <c r="GY4778" s="67"/>
      <c r="GZ4778" s="67"/>
      <c r="HA4778" s="67"/>
      <c r="HB4778" s="67"/>
      <c r="HC4778" s="67"/>
      <c r="HD4778" s="67"/>
      <c r="HE4778" s="67"/>
      <c r="HF4778" s="67"/>
      <c r="HG4778" s="67"/>
      <c r="HH4778" s="67"/>
      <c r="HI4778" s="67"/>
      <c r="HJ4778" s="67"/>
      <c r="HK4778" s="67"/>
      <c r="HL4778" s="67"/>
      <c r="HM4778" s="67"/>
      <c r="HN4778" s="67"/>
      <c r="HO4778" s="67"/>
      <c r="HP4778" s="67"/>
      <c r="HQ4778" s="67"/>
      <c r="HR4778" s="67"/>
      <c r="HS4778" s="67"/>
      <c r="HT4778" s="67"/>
      <c r="HU4778" s="67"/>
      <c r="HV4778" s="67"/>
      <c r="HW4778" s="67"/>
      <c r="HX4778" s="67"/>
      <c r="HY4778" s="67"/>
      <c r="HZ4778" s="67"/>
      <c r="IA4778" s="67"/>
      <c r="IB4778" s="67"/>
      <c r="IC4778" s="67"/>
      <c r="ID4778" s="67"/>
      <c r="IE4778" s="67"/>
      <c r="IF4778" s="67"/>
      <c r="IG4778" s="67"/>
      <c r="IH4778" s="67"/>
      <c r="II4778" s="67"/>
      <c r="IJ4778" s="67"/>
      <c r="IK4778" s="67"/>
      <c r="IL4778" s="67"/>
      <c r="IM4778" s="67"/>
      <c r="IN4778" s="67"/>
      <c r="IO4778" s="67"/>
      <c r="IP4778" s="67"/>
      <c r="IQ4778" s="67"/>
      <c r="IR4778" s="67"/>
      <c r="IS4778" s="67"/>
      <c r="IT4778" s="67"/>
      <c r="IU4778" s="67"/>
      <c r="IV4778" s="67"/>
      <c r="IW4778" s="67"/>
      <c r="IX4778" s="67"/>
      <c r="IY4778" s="67"/>
      <c r="IZ4778" s="67"/>
      <c r="JA4778" s="67"/>
      <c r="JB4778" s="67"/>
      <c r="JC4778" s="67"/>
      <c r="JD4778" s="67"/>
      <c r="JE4778" s="67"/>
      <c r="JF4778" s="67"/>
      <c r="JG4778" s="67"/>
      <c r="JH4778" s="67"/>
      <c r="JI4778" s="67"/>
      <c r="JJ4778" s="67"/>
      <c r="JK4778" s="67"/>
      <c r="JL4778" s="67"/>
      <c r="JM4778" s="67"/>
      <c r="JN4778" s="67"/>
      <c r="JO4778" s="67"/>
      <c r="JP4778" s="67"/>
      <c r="JQ4778" s="67"/>
      <c r="JR4778" s="67"/>
      <c r="JS4778" s="67"/>
      <c r="JT4778" s="67"/>
      <c r="JU4778" s="58"/>
      <c r="JV4778" s="58"/>
      <c r="JW4778" s="58"/>
    </row>
    <row r="4779" spans="1:283" s="23" customFormat="1" x14ac:dyDescent="0.25">
      <c r="A4779" s="55">
        <v>4778</v>
      </c>
      <c r="B4779" s="12" t="s">
        <v>7067</v>
      </c>
      <c r="C4779" s="156">
        <v>214</v>
      </c>
      <c r="D4779" s="58" t="s">
        <v>4886</v>
      </c>
      <c r="E4779" s="160" t="str">
        <f>G4779</f>
        <v>Capriel 1991_Farm Pair 5</v>
      </c>
      <c r="F4779" s="160"/>
      <c r="G4779" s="60" t="s">
        <v>4841</v>
      </c>
      <c r="H4779" s="58">
        <v>1991</v>
      </c>
      <c r="I4779" s="58" t="s">
        <v>2847</v>
      </c>
      <c r="J4779" s="243" t="s">
        <v>5302</v>
      </c>
      <c r="K4779" s="63" t="s">
        <v>5127</v>
      </c>
      <c r="L4779" s="58" t="s">
        <v>1077</v>
      </c>
      <c r="M4779" s="94">
        <v>48.79</v>
      </c>
      <c r="N4779" s="94">
        <v>11.5</v>
      </c>
      <c r="O4779" s="94">
        <v>371</v>
      </c>
      <c r="P4779" s="58"/>
      <c r="Q4779" s="244">
        <v>8.6999999999999993</v>
      </c>
      <c r="R4779" s="58"/>
      <c r="S4779" s="245">
        <v>620</v>
      </c>
      <c r="T4779" s="58"/>
      <c r="U4779" s="58" t="s">
        <v>1935</v>
      </c>
      <c r="V4779" s="244">
        <v>5</v>
      </c>
      <c r="W4779" s="174"/>
      <c r="X4779" s="174"/>
      <c r="Y4779" s="58" t="s">
        <v>5908</v>
      </c>
      <c r="Z4779" s="244" t="s">
        <v>1349</v>
      </c>
      <c r="AA4779" s="245">
        <v>15</v>
      </c>
      <c r="AB4779" s="67"/>
      <c r="AC4779" s="67"/>
      <c r="AD4779" s="94"/>
      <c r="AE4779" s="94"/>
      <c r="AF4779" s="94"/>
      <c r="AG4779" s="245"/>
      <c r="AH4779" s="58"/>
      <c r="AI4779" s="169"/>
      <c r="AJ4779" s="94"/>
      <c r="AK4779" s="94"/>
      <c r="AL4779" s="58"/>
      <c r="AM4779" s="58"/>
      <c r="AN4779" s="186"/>
      <c r="AO4779" s="185" t="s">
        <v>5150</v>
      </c>
      <c r="AP4779" s="58"/>
      <c r="AQ4779" s="58"/>
      <c r="AR4779" s="58" t="s">
        <v>132</v>
      </c>
      <c r="AS4779" s="58" t="s">
        <v>132</v>
      </c>
      <c r="AT4779" s="247"/>
      <c r="AU4779" s="181" t="s">
        <v>7494</v>
      </c>
      <c r="AV4779" s="185" t="s">
        <v>176</v>
      </c>
      <c r="AW4779" s="244"/>
      <c r="AX4779" s="185" t="s">
        <v>176</v>
      </c>
      <c r="AY4779" s="244"/>
      <c r="AZ4779" s="58"/>
      <c r="BA4779" s="58"/>
      <c r="BB4779" s="58"/>
      <c r="BC4779" s="58"/>
      <c r="BD4779" s="58"/>
      <c r="BE4779" s="236" t="s">
        <v>5153</v>
      </c>
      <c r="BF4779" s="191" t="s">
        <v>176</v>
      </c>
      <c r="BG4779" s="191" t="s">
        <v>176</v>
      </c>
      <c r="BH4779" s="236" t="s">
        <v>5153</v>
      </c>
      <c r="BI4779" s="191" t="s">
        <v>176</v>
      </c>
      <c r="BJ4779" s="58" t="str">
        <f>IF(BE4779=BH4779,"No","yes")</f>
        <v>No</v>
      </c>
      <c r="BK4779" s="58" t="s">
        <v>6334</v>
      </c>
      <c r="BL4779" s="58"/>
      <c r="BM4779" s="237"/>
      <c r="BN4779" s="244">
        <v>3</v>
      </c>
      <c r="BO4779" s="244">
        <v>3</v>
      </c>
      <c r="BP4779" s="58"/>
      <c r="BQ4779" s="58"/>
      <c r="BR4779" s="58"/>
      <c r="BS4779" s="58"/>
      <c r="BT4779" s="58"/>
      <c r="BU4779" s="58"/>
      <c r="BV4779" s="58"/>
      <c r="BW4779" s="67"/>
      <c r="BX4779" s="67"/>
      <c r="BY4779" s="67"/>
      <c r="BZ4779" s="67"/>
      <c r="CA4779" s="67"/>
      <c r="CB4779" s="70"/>
      <c r="CC4779" s="70"/>
      <c r="CD4779" s="70"/>
      <c r="CE4779" s="67"/>
      <c r="CF4779" s="67"/>
      <c r="CG4779" s="67"/>
      <c r="CH4779" s="245">
        <v>1.23</v>
      </c>
      <c r="CI4779" s="245">
        <v>1.22</v>
      </c>
      <c r="CJ4779" s="67"/>
      <c r="CK4779" s="67"/>
      <c r="CL4779" s="67"/>
      <c r="CM4779" s="242">
        <v>2.4900000000000002</v>
      </c>
      <c r="CN4779" s="242">
        <v>2.57</v>
      </c>
      <c r="CO4779" s="242"/>
      <c r="CP4779" s="242"/>
      <c r="CQ4779" s="242" t="s">
        <v>164</v>
      </c>
      <c r="CR4779" s="242"/>
      <c r="CS4779" s="242"/>
      <c r="CT4779" s="242"/>
      <c r="CU4779" s="242"/>
      <c r="CV4779" s="242"/>
      <c r="CW4779" s="242"/>
      <c r="CX4779" s="242"/>
      <c r="CY4779" s="242"/>
      <c r="CZ4779" s="242"/>
      <c r="DA4779" s="67"/>
      <c r="DB4779" s="67">
        <v>2200</v>
      </c>
      <c r="DC4779" s="67">
        <v>2300</v>
      </c>
      <c r="DD4779" s="67"/>
      <c r="DE4779" s="67"/>
      <c r="DF4779" s="67" t="s">
        <v>5909</v>
      </c>
      <c r="DG4779" s="67">
        <v>40</v>
      </c>
      <c r="DH4779" s="67">
        <v>34</v>
      </c>
      <c r="DI4779" s="67">
        <v>21</v>
      </c>
      <c r="DJ4779" s="67">
        <v>21</v>
      </c>
      <c r="DK4779" s="67" t="s">
        <v>2242</v>
      </c>
      <c r="DL4779" s="67">
        <v>267</v>
      </c>
      <c r="DM4779" s="67">
        <v>215</v>
      </c>
      <c r="DN4779" s="67"/>
      <c r="DO4779" s="67"/>
      <c r="DP4779" s="67" t="s">
        <v>2242</v>
      </c>
      <c r="DQ4779" s="166">
        <v>6.59</v>
      </c>
      <c r="DR4779" s="166">
        <v>6.79</v>
      </c>
      <c r="DS4779" s="163"/>
      <c r="DT4779" s="163"/>
      <c r="DU4779" s="67"/>
      <c r="DV4779" s="67">
        <f>3297+308</f>
        <v>3605</v>
      </c>
      <c r="DW4779" s="67">
        <f>3831+389</f>
        <v>4220</v>
      </c>
      <c r="DX4779" s="67"/>
      <c r="DY4779" s="67"/>
      <c r="DZ4779" s="67" t="s">
        <v>5910</v>
      </c>
      <c r="EA4779" s="67">
        <v>233</v>
      </c>
      <c r="EB4779" s="67">
        <v>229</v>
      </c>
      <c r="EC4779" s="67"/>
      <c r="ED4779" s="67"/>
      <c r="EE4779" s="67" t="s">
        <v>5911</v>
      </c>
      <c r="EF4779" s="67"/>
      <c r="EG4779" s="67"/>
      <c r="EH4779" s="67"/>
      <c r="EI4779" s="67"/>
      <c r="EJ4779" s="67"/>
      <c r="EK4779" s="94"/>
      <c r="EL4779" s="94"/>
      <c r="EM4779" s="67"/>
      <c r="EN4779" s="67"/>
      <c r="EO4779" s="67"/>
      <c r="EP4779" s="67"/>
      <c r="EQ4779" s="67"/>
      <c r="ER4779" s="67"/>
      <c r="ES4779" s="67"/>
      <c r="ET4779" s="67"/>
      <c r="EU4779" s="67"/>
      <c r="EV4779" s="67"/>
      <c r="EW4779" s="67"/>
      <c r="EX4779" s="67"/>
      <c r="EY4779" s="67"/>
      <c r="EZ4779" s="67"/>
      <c r="FA4779" s="67"/>
      <c r="FB4779" s="67"/>
      <c r="FC4779" s="67"/>
      <c r="FD4779" s="67"/>
      <c r="FE4779" s="67"/>
      <c r="FF4779" s="67"/>
      <c r="FG4779" s="67"/>
      <c r="FH4779" s="67"/>
      <c r="FI4779" s="67"/>
      <c r="FJ4779" s="67"/>
      <c r="FK4779" s="67"/>
      <c r="FL4779" s="67"/>
      <c r="FM4779" s="67"/>
      <c r="FN4779" s="67"/>
      <c r="FO4779" s="67"/>
      <c r="FP4779" s="67"/>
      <c r="FQ4779" s="67"/>
      <c r="FR4779" s="67"/>
      <c r="FS4779" s="67"/>
      <c r="FT4779" s="67"/>
      <c r="FU4779" s="67"/>
      <c r="FV4779" s="67"/>
      <c r="FW4779" s="67"/>
      <c r="FX4779" s="67"/>
      <c r="FY4779" s="67"/>
      <c r="FZ4779" s="67"/>
      <c r="GA4779" s="67"/>
      <c r="GB4779" s="67"/>
      <c r="GC4779" s="67"/>
      <c r="GD4779" s="67"/>
      <c r="GE4779" s="67"/>
      <c r="GF4779" s="67"/>
      <c r="GG4779" s="67"/>
      <c r="GH4779" s="67"/>
      <c r="GI4779" s="67"/>
      <c r="GJ4779" s="67"/>
      <c r="GK4779" s="67"/>
      <c r="GL4779" s="67"/>
      <c r="GM4779" s="67"/>
      <c r="GN4779" s="292">
        <v>0</v>
      </c>
      <c r="GO4779" s="292">
        <v>11.6</v>
      </c>
      <c r="GP4779" s="292" t="s">
        <v>5150</v>
      </c>
      <c r="GQ4779" s="67"/>
      <c r="GR4779" s="67"/>
      <c r="GS4779" s="67" t="s">
        <v>2268</v>
      </c>
      <c r="GT4779" s="67"/>
      <c r="GU4779" s="67"/>
      <c r="GV4779" s="67"/>
      <c r="GW4779" s="67"/>
      <c r="GX4779" s="67"/>
      <c r="GY4779" s="67"/>
      <c r="GZ4779" s="67"/>
      <c r="HA4779" s="67"/>
      <c r="HB4779" s="67"/>
      <c r="HC4779" s="67"/>
      <c r="HD4779" s="67"/>
      <c r="HE4779" s="67"/>
      <c r="HF4779" s="67"/>
      <c r="HG4779" s="67"/>
      <c r="HH4779" s="67"/>
      <c r="HI4779" s="67"/>
      <c r="HJ4779" s="67"/>
      <c r="HK4779" s="67"/>
      <c r="HL4779" s="67"/>
      <c r="HM4779" s="67"/>
      <c r="HN4779" s="67"/>
      <c r="HO4779" s="67"/>
      <c r="HP4779" s="67"/>
      <c r="HQ4779" s="67"/>
      <c r="HR4779" s="67"/>
      <c r="HS4779" s="67"/>
      <c r="HT4779" s="67"/>
      <c r="HU4779" s="67"/>
      <c r="HV4779" s="67"/>
      <c r="HW4779" s="67"/>
      <c r="HX4779" s="67"/>
      <c r="HY4779" s="67"/>
      <c r="HZ4779" s="67"/>
      <c r="IA4779" s="67"/>
      <c r="IB4779" s="67"/>
      <c r="IC4779" s="67"/>
      <c r="ID4779" s="67"/>
      <c r="IE4779" s="67"/>
      <c r="IF4779" s="67"/>
      <c r="IG4779" s="67"/>
      <c r="IH4779" s="67"/>
      <c r="II4779" s="67"/>
      <c r="IJ4779" s="67"/>
      <c r="IK4779" s="67"/>
      <c r="IL4779" s="67"/>
      <c r="IM4779" s="67"/>
      <c r="IN4779" s="67"/>
      <c r="IO4779" s="67"/>
      <c r="IP4779" s="67"/>
      <c r="IQ4779" s="67"/>
      <c r="IR4779" s="67"/>
      <c r="IS4779" s="67"/>
      <c r="IT4779" s="67"/>
      <c r="IU4779" s="67"/>
      <c r="IV4779" s="67"/>
      <c r="IW4779" s="67"/>
      <c r="IX4779" s="67"/>
      <c r="IY4779" s="67"/>
      <c r="IZ4779" s="67"/>
      <c r="JA4779" s="67"/>
      <c r="JB4779" s="67"/>
      <c r="JC4779" s="67"/>
      <c r="JD4779" s="67"/>
      <c r="JE4779" s="67"/>
      <c r="JF4779" s="67"/>
      <c r="JG4779" s="67"/>
      <c r="JH4779" s="67"/>
      <c r="JI4779" s="67"/>
      <c r="JJ4779" s="67"/>
      <c r="JK4779" s="67"/>
      <c r="JL4779" s="67"/>
      <c r="JM4779" s="67"/>
      <c r="JN4779" s="67"/>
      <c r="JO4779" s="67"/>
      <c r="JP4779" s="67"/>
      <c r="JQ4779" s="67"/>
      <c r="JR4779" s="67"/>
      <c r="JS4779" s="67"/>
      <c r="JT4779" s="67"/>
      <c r="JU4779" s="58"/>
      <c r="JV4779" s="58"/>
      <c r="JW4779" s="58"/>
    </row>
    <row r="4780" spans="1:283" s="23" customFormat="1" x14ac:dyDescent="0.25">
      <c r="A4780" s="55">
        <v>4779</v>
      </c>
      <c r="B4780" s="12" t="s">
        <v>7067</v>
      </c>
      <c r="C4780" s="156">
        <v>214</v>
      </c>
      <c r="D4780" s="58" t="s">
        <v>4884</v>
      </c>
      <c r="E4780" s="160" t="str">
        <f>G4780</f>
        <v>Capriel 1991_ Farm Pair 1</v>
      </c>
      <c r="F4780" s="160"/>
      <c r="G4780" s="60" t="s">
        <v>4845</v>
      </c>
      <c r="H4780" s="58">
        <v>1991</v>
      </c>
      <c r="I4780" s="58" t="s">
        <v>5719</v>
      </c>
      <c r="J4780" s="243" t="s">
        <v>5302</v>
      </c>
      <c r="K4780" s="63" t="s">
        <v>5127</v>
      </c>
      <c r="L4780" s="58" t="s">
        <v>1077</v>
      </c>
      <c r="M4780" s="94">
        <v>48.79</v>
      </c>
      <c r="N4780" s="94">
        <v>11.5</v>
      </c>
      <c r="O4780" s="94">
        <v>371</v>
      </c>
      <c r="P4780" s="58"/>
      <c r="Q4780" s="244">
        <v>8.6999999999999993</v>
      </c>
      <c r="R4780" s="58"/>
      <c r="S4780" s="245">
        <v>620</v>
      </c>
      <c r="T4780" s="58"/>
      <c r="U4780" s="58" t="s">
        <v>1805</v>
      </c>
      <c r="V4780" s="244">
        <v>5</v>
      </c>
      <c r="W4780" s="174"/>
      <c r="X4780" s="174"/>
      <c r="Y4780" s="58" t="s">
        <v>5908</v>
      </c>
      <c r="Z4780" s="244" t="s">
        <v>1349</v>
      </c>
      <c r="AA4780" s="245">
        <v>15</v>
      </c>
      <c r="AB4780" s="67"/>
      <c r="AC4780" s="67"/>
      <c r="AD4780" s="94"/>
      <c r="AE4780" s="94"/>
      <c r="AF4780" s="94"/>
      <c r="AG4780" s="245"/>
      <c r="AH4780" s="58"/>
      <c r="AI4780" s="169"/>
      <c r="AJ4780" s="94"/>
      <c r="AK4780" s="94"/>
      <c r="AL4780" s="58"/>
      <c r="AM4780" s="58"/>
      <c r="AN4780" s="186"/>
      <c r="AO4780" s="185" t="s">
        <v>7494</v>
      </c>
      <c r="AP4780" s="58"/>
      <c r="AQ4780" s="58"/>
      <c r="AR4780" s="58" t="s">
        <v>132</v>
      </c>
      <c r="AS4780" s="58" t="s">
        <v>132</v>
      </c>
      <c r="AT4780" s="247"/>
      <c r="AU4780" s="181" t="s">
        <v>7494</v>
      </c>
      <c r="AV4780" s="185" t="s">
        <v>176</v>
      </c>
      <c r="AW4780" s="244"/>
      <c r="AX4780" s="185" t="s">
        <v>176</v>
      </c>
      <c r="AY4780" s="244"/>
      <c r="AZ4780" s="58"/>
      <c r="BA4780" s="58"/>
      <c r="BB4780" s="58"/>
      <c r="BC4780" s="58"/>
      <c r="BD4780" s="58"/>
      <c r="BE4780" s="236" t="s">
        <v>5153</v>
      </c>
      <c r="BF4780" s="191" t="s">
        <v>176</v>
      </c>
      <c r="BG4780" s="191" t="s">
        <v>176</v>
      </c>
      <c r="BH4780" s="236" t="s">
        <v>5153</v>
      </c>
      <c r="BI4780" s="191" t="s">
        <v>176</v>
      </c>
      <c r="BJ4780" s="58" t="str">
        <f>IF(BE4780=BH4780,"No","yes")</f>
        <v>No</v>
      </c>
      <c r="BK4780" s="58" t="s">
        <v>6334</v>
      </c>
      <c r="BL4780" s="58"/>
      <c r="BM4780" s="237"/>
      <c r="BN4780" s="244">
        <v>3</v>
      </c>
      <c r="BO4780" s="244">
        <v>3</v>
      </c>
      <c r="BP4780" s="58"/>
      <c r="BQ4780" s="58"/>
      <c r="BR4780" s="58"/>
      <c r="BS4780" s="58"/>
      <c r="BT4780" s="58"/>
      <c r="BU4780" s="58"/>
      <c r="BV4780" s="58"/>
      <c r="BW4780" s="67">
        <v>66278</v>
      </c>
      <c r="BX4780" s="67">
        <v>46518</v>
      </c>
      <c r="BY4780" s="67">
        <v>7304</v>
      </c>
      <c r="BZ4780" s="67">
        <v>7304</v>
      </c>
      <c r="CA4780" s="67" t="s">
        <v>5912</v>
      </c>
      <c r="CB4780" s="70">
        <v>10010</v>
      </c>
      <c r="CC4780" s="70">
        <v>7600</v>
      </c>
      <c r="CD4780" s="70"/>
      <c r="CE4780" s="67">
        <v>800</v>
      </c>
      <c r="CF4780" s="67">
        <v>800</v>
      </c>
      <c r="CG4780" s="67" t="s">
        <v>5913</v>
      </c>
      <c r="CH4780" s="245"/>
      <c r="CI4780" s="245"/>
      <c r="CJ4780" s="67"/>
      <c r="CK4780" s="67"/>
      <c r="CL4780" s="67"/>
      <c r="CM4780" s="242"/>
      <c r="CN4780" s="242"/>
      <c r="CO4780" s="242"/>
      <c r="CP4780" s="242"/>
      <c r="CQ4780" s="242"/>
      <c r="CR4780" s="242"/>
      <c r="CS4780" s="242"/>
      <c r="CT4780" s="242"/>
      <c r="CU4780" s="242"/>
      <c r="CV4780" s="242"/>
      <c r="CW4780" s="242"/>
      <c r="CX4780" s="242"/>
      <c r="CY4780" s="242"/>
      <c r="CZ4780" s="242"/>
      <c r="DA4780" s="67"/>
      <c r="DB4780" s="67"/>
      <c r="DC4780" s="67"/>
      <c r="DD4780" s="67"/>
      <c r="DE4780" s="67"/>
      <c r="DF4780" s="67"/>
      <c r="DG4780" s="67"/>
      <c r="DH4780" s="67"/>
      <c r="DI4780" s="67"/>
      <c r="DJ4780" s="67"/>
      <c r="DK4780" s="67"/>
      <c r="DL4780" s="67"/>
      <c r="DM4780" s="67"/>
      <c r="DN4780" s="67"/>
      <c r="DO4780" s="67"/>
      <c r="DP4780" s="67"/>
      <c r="DQ4780" s="166"/>
      <c r="DR4780" s="166"/>
      <c r="DS4780" s="163"/>
      <c r="DT4780" s="163"/>
      <c r="DU4780" s="67"/>
      <c r="DV4780" s="67"/>
      <c r="DW4780" s="67"/>
      <c r="DX4780" s="67"/>
      <c r="DY4780" s="67"/>
      <c r="DZ4780" s="67"/>
      <c r="EA4780" s="67"/>
      <c r="EB4780" s="67"/>
      <c r="EC4780" s="67"/>
      <c r="ED4780" s="67"/>
      <c r="EE4780" s="67"/>
      <c r="EF4780" s="67"/>
      <c r="EG4780" s="67"/>
      <c r="EH4780" s="67"/>
      <c r="EI4780" s="67"/>
      <c r="EJ4780" s="67"/>
      <c r="EK4780" s="94"/>
      <c r="EL4780" s="94"/>
      <c r="EM4780" s="67"/>
      <c r="EN4780" s="67"/>
      <c r="EO4780" s="67"/>
      <c r="EP4780" s="67"/>
      <c r="EQ4780" s="67"/>
      <c r="ER4780" s="67"/>
      <c r="ES4780" s="67"/>
      <c r="ET4780" s="67"/>
      <c r="EU4780" s="67"/>
      <c r="EV4780" s="67"/>
      <c r="EW4780" s="67"/>
      <c r="EX4780" s="67"/>
      <c r="EY4780" s="67"/>
      <c r="EZ4780" s="67"/>
      <c r="FA4780" s="67"/>
      <c r="FB4780" s="67"/>
      <c r="FC4780" s="67"/>
      <c r="FD4780" s="67"/>
      <c r="FE4780" s="67"/>
      <c r="FF4780" s="67"/>
      <c r="FG4780" s="67"/>
      <c r="FH4780" s="67"/>
      <c r="FI4780" s="67"/>
      <c r="FJ4780" s="67"/>
      <c r="FK4780" s="67"/>
      <c r="FL4780" s="67"/>
      <c r="FM4780" s="67"/>
      <c r="FN4780" s="67"/>
      <c r="FO4780" s="67"/>
      <c r="FP4780" s="67"/>
      <c r="FQ4780" s="67"/>
      <c r="FR4780" s="67"/>
      <c r="FS4780" s="67"/>
      <c r="FT4780" s="67"/>
      <c r="FU4780" s="67"/>
      <c r="FV4780" s="67"/>
      <c r="FW4780" s="67"/>
      <c r="FX4780" s="67"/>
      <c r="FY4780" s="67"/>
      <c r="FZ4780" s="67"/>
      <c r="GA4780" s="67"/>
      <c r="GB4780" s="67"/>
      <c r="GC4780" s="67"/>
      <c r="GD4780" s="67"/>
      <c r="GE4780" s="67"/>
      <c r="GF4780" s="67"/>
      <c r="GG4780" s="67"/>
      <c r="GH4780" s="67"/>
      <c r="GI4780" s="67"/>
      <c r="GJ4780" s="67"/>
      <c r="GK4780" s="67"/>
      <c r="GL4780" s="67"/>
      <c r="GM4780" s="67"/>
      <c r="GN4780" s="292">
        <v>0.9</v>
      </c>
      <c r="GO4780" s="292">
        <v>1.6</v>
      </c>
      <c r="GP4780" s="292" t="s">
        <v>5150</v>
      </c>
      <c r="GQ4780" s="67"/>
      <c r="GR4780" s="67"/>
      <c r="GS4780" s="67" t="s">
        <v>5914</v>
      </c>
      <c r="GT4780" s="67"/>
      <c r="GU4780" s="67"/>
      <c r="GV4780" s="67"/>
      <c r="GW4780" s="67"/>
      <c r="GX4780" s="67"/>
      <c r="GY4780" s="67"/>
      <c r="GZ4780" s="67"/>
      <c r="HA4780" s="67"/>
      <c r="HB4780" s="67"/>
      <c r="HC4780" s="67"/>
      <c r="HD4780" s="67"/>
      <c r="HE4780" s="67"/>
      <c r="HF4780" s="67"/>
      <c r="HG4780" s="67"/>
      <c r="HH4780" s="67"/>
      <c r="HI4780" s="67"/>
      <c r="HJ4780" s="67"/>
      <c r="HK4780" s="67"/>
      <c r="HL4780" s="67"/>
      <c r="HM4780" s="67"/>
      <c r="HN4780" s="67"/>
      <c r="HO4780" s="67"/>
      <c r="HP4780" s="67"/>
      <c r="HQ4780" s="67"/>
      <c r="HR4780" s="67"/>
      <c r="HS4780" s="67"/>
      <c r="HT4780" s="67"/>
      <c r="HU4780" s="67"/>
      <c r="HV4780" s="67"/>
      <c r="HW4780" s="67"/>
      <c r="HX4780" s="67"/>
      <c r="HY4780" s="67"/>
      <c r="HZ4780" s="67"/>
      <c r="IA4780" s="67"/>
      <c r="IB4780" s="67"/>
      <c r="IC4780" s="67"/>
      <c r="ID4780" s="67"/>
      <c r="IE4780" s="67"/>
      <c r="IF4780" s="67"/>
      <c r="IG4780" s="67"/>
      <c r="IH4780" s="67"/>
      <c r="II4780" s="67"/>
      <c r="IJ4780" s="67"/>
      <c r="IK4780" s="67"/>
      <c r="IL4780" s="67"/>
      <c r="IM4780" s="67"/>
      <c r="IN4780" s="67"/>
      <c r="IO4780" s="67"/>
      <c r="IP4780" s="67"/>
      <c r="IQ4780" s="67"/>
      <c r="IR4780" s="67"/>
      <c r="IS4780" s="67"/>
      <c r="IT4780" s="67"/>
      <c r="IU4780" s="67"/>
      <c r="IV4780" s="67"/>
      <c r="IW4780" s="67"/>
      <c r="IX4780" s="67"/>
      <c r="IY4780" s="67"/>
      <c r="IZ4780" s="67"/>
      <c r="JA4780" s="67"/>
      <c r="JB4780" s="67"/>
      <c r="JC4780" s="67"/>
      <c r="JD4780" s="67"/>
      <c r="JE4780" s="67"/>
      <c r="JF4780" s="67"/>
      <c r="JG4780" s="67"/>
      <c r="JH4780" s="67"/>
      <c r="JI4780" s="67"/>
      <c r="JJ4780" s="67"/>
      <c r="JK4780" s="67"/>
      <c r="JL4780" s="67"/>
      <c r="JM4780" s="67"/>
      <c r="JN4780" s="67"/>
      <c r="JO4780" s="67"/>
      <c r="JP4780" s="67"/>
      <c r="JQ4780" s="67"/>
      <c r="JR4780" s="67"/>
      <c r="JS4780" s="67"/>
      <c r="JT4780" s="67"/>
      <c r="JU4780" s="58"/>
      <c r="JV4780" s="58"/>
      <c r="JW4780" s="58"/>
    </row>
    <row r="4781" spans="1:283" s="23" customFormat="1" x14ac:dyDescent="0.25">
      <c r="A4781" s="55">
        <v>4780</v>
      </c>
      <c r="B4781" s="12" t="s">
        <v>7067</v>
      </c>
      <c r="C4781" s="156">
        <v>214</v>
      </c>
      <c r="D4781" s="58" t="s">
        <v>4885</v>
      </c>
      <c r="E4781" s="160" t="str">
        <f>G4781</f>
        <v>Capriel 1991_Farm Pair 2</v>
      </c>
      <c r="F4781" s="160"/>
      <c r="G4781" s="60" t="s">
        <v>4844</v>
      </c>
      <c r="H4781" s="58">
        <v>1991</v>
      </c>
      <c r="I4781" s="58" t="s">
        <v>5719</v>
      </c>
      <c r="J4781" s="243" t="s">
        <v>5302</v>
      </c>
      <c r="K4781" s="63" t="s">
        <v>5127</v>
      </c>
      <c r="L4781" s="58" t="s">
        <v>1077</v>
      </c>
      <c r="M4781" s="94">
        <v>48.79</v>
      </c>
      <c r="N4781" s="94">
        <v>11.5</v>
      </c>
      <c r="O4781" s="94">
        <v>371</v>
      </c>
      <c r="P4781" s="58"/>
      <c r="Q4781" s="244">
        <v>8.6999999999999993</v>
      </c>
      <c r="R4781" s="58"/>
      <c r="S4781" s="245">
        <v>620</v>
      </c>
      <c r="T4781" s="58"/>
      <c r="U4781" s="58" t="s">
        <v>1805</v>
      </c>
      <c r="V4781" s="244">
        <v>5</v>
      </c>
      <c r="W4781" s="174"/>
      <c r="X4781" s="174"/>
      <c r="Y4781" s="58" t="s">
        <v>5908</v>
      </c>
      <c r="Z4781" s="244" t="s">
        <v>1349</v>
      </c>
      <c r="AA4781" s="245">
        <v>15</v>
      </c>
      <c r="AB4781" s="67"/>
      <c r="AC4781" s="67"/>
      <c r="AD4781" s="94"/>
      <c r="AE4781" s="94"/>
      <c r="AF4781" s="94"/>
      <c r="AG4781" s="245"/>
      <c r="AH4781" s="58"/>
      <c r="AI4781" s="169"/>
      <c r="AJ4781" s="94"/>
      <c r="AK4781" s="94"/>
      <c r="AL4781" s="58"/>
      <c r="AM4781" s="58"/>
      <c r="AN4781" s="186"/>
      <c r="AO4781" s="185" t="s">
        <v>7494</v>
      </c>
      <c r="AP4781" s="58"/>
      <c r="AQ4781" s="58"/>
      <c r="AR4781" s="58" t="s">
        <v>132</v>
      </c>
      <c r="AS4781" s="58" t="s">
        <v>132</v>
      </c>
      <c r="AT4781" s="247"/>
      <c r="AU4781" s="181" t="s">
        <v>7494</v>
      </c>
      <c r="AV4781" s="185" t="s">
        <v>176</v>
      </c>
      <c r="AW4781" s="244"/>
      <c r="AX4781" s="185" t="s">
        <v>176</v>
      </c>
      <c r="AY4781" s="244"/>
      <c r="AZ4781" s="58"/>
      <c r="BA4781" s="58"/>
      <c r="BB4781" s="58"/>
      <c r="BC4781" s="58"/>
      <c r="BD4781" s="58"/>
      <c r="BE4781" s="236" t="s">
        <v>5153</v>
      </c>
      <c r="BF4781" s="191" t="s">
        <v>176</v>
      </c>
      <c r="BG4781" s="191" t="s">
        <v>176</v>
      </c>
      <c r="BH4781" s="236" t="s">
        <v>5153</v>
      </c>
      <c r="BI4781" s="191" t="s">
        <v>176</v>
      </c>
      <c r="BJ4781" s="58" t="str">
        <f>IF(BE4781=BH4781,"No","yes")</f>
        <v>No</v>
      </c>
      <c r="BK4781" s="58" t="s">
        <v>6334</v>
      </c>
      <c r="BL4781" s="58"/>
      <c r="BM4781" s="237"/>
      <c r="BN4781" s="244">
        <v>3</v>
      </c>
      <c r="BO4781" s="244">
        <v>3</v>
      </c>
      <c r="BP4781" s="58"/>
      <c r="BQ4781" s="58"/>
      <c r="BR4781" s="58"/>
      <c r="BS4781" s="58"/>
      <c r="BT4781" s="58"/>
      <c r="BU4781" s="58"/>
      <c r="BV4781" s="58"/>
      <c r="BW4781" s="67">
        <v>66278</v>
      </c>
      <c r="BX4781" s="67">
        <v>50430</v>
      </c>
      <c r="BY4781" s="67">
        <v>7304</v>
      </c>
      <c r="BZ4781" s="67">
        <v>7304</v>
      </c>
      <c r="CA4781" s="67" t="s">
        <v>5912</v>
      </c>
      <c r="CB4781" s="70">
        <v>10010</v>
      </c>
      <c r="CC4781" s="70">
        <v>7500</v>
      </c>
      <c r="CD4781" s="70"/>
      <c r="CE4781" s="67">
        <v>800</v>
      </c>
      <c r="CF4781" s="67">
        <v>800</v>
      </c>
      <c r="CG4781" s="67" t="s">
        <v>5913</v>
      </c>
      <c r="CH4781" s="245"/>
      <c r="CI4781" s="245"/>
      <c r="CJ4781" s="67"/>
      <c r="CK4781" s="67"/>
      <c r="CL4781" s="67"/>
      <c r="CM4781" s="242"/>
      <c r="CN4781" s="242"/>
      <c r="CO4781" s="242"/>
      <c r="CP4781" s="242"/>
      <c r="CQ4781" s="242"/>
      <c r="CR4781" s="242"/>
      <c r="CS4781" s="242"/>
      <c r="CT4781" s="242"/>
      <c r="CU4781" s="242"/>
      <c r="CV4781" s="242"/>
      <c r="CW4781" s="242"/>
      <c r="CX4781" s="242"/>
      <c r="CY4781" s="242"/>
      <c r="CZ4781" s="242"/>
      <c r="DA4781" s="67"/>
      <c r="DB4781" s="67"/>
      <c r="DC4781" s="67"/>
      <c r="DD4781" s="67"/>
      <c r="DE4781" s="67"/>
      <c r="DF4781" s="67"/>
      <c r="DG4781" s="67"/>
      <c r="DH4781" s="67"/>
      <c r="DI4781" s="67"/>
      <c r="DJ4781" s="67"/>
      <c r="DK4781" s="67"/>
      <c r="DL4781" s="67"/>
      <c r="DM4781" s="67"/>
      <c r="DN4781" s="67"/>
      <c r="DO4781" s="67"/>
      <c r="DP4781" s="67"/>
      <c r="DQ4781" s="166"/>
      <c r="DR4781" s="166"/>
      <c r="DS4781" s="163"/>
      <c r="DT4781" s="163"/>
      <c r="DU4781" s="67"/>
      <c r="DV4781" s="67"/>
      <c r="DW4781" s="67"/>
      <c r="DX4781" s="67"/>
      <c r="DY4781" s="67"/>
      <c r="DZ4781" s="67"/>
      <c r="EA4781" s="67"/>
      <c r="EB4781" s="67"/>
      <c r="EC4781" s="67"/>
      <c r="ED4781" s="67"/>
      <c r="EE4781" s="67"/>
      <c r="EF4781" s="67"/>
      <c r="EG4781" s="67"/>
      <c r="EH4781" s="67"/>
      <c r="EI4781" s="67"/>
      <c r="EJ4781" s="67"/>
      <c r="EK4781" s="94"/>
      <c r="EL4781" s="94"/>
      <c r="EM4781" s="67"/>
      <c r="EN4781" s="67"/>
      <c r="EO4781" s="67"/>
      <c r="EP4781" s="67"/>
      <c r="EQ4781" s="67"/>
      <c r="ER4781" s="67"/>
      <c r="ES4781" s="67"/>
      <c r="ET4781" s="67"/>
      <c r="EU4781" s="67"/>
      <c r="EV4781" s="67"/>
      <c r="EW4781" s="67"/>
      <c r="EX4781" s="67"/>
      <c r="EY4781" s="67"/>
      <c r="EZ4781" s="67"/>
      <c r="FA4781" s="67"/>
      <c r="FB4781" s="67"/>
      <c r="FC4781" s="67"/>
      <c r="FD4781" s="67"/>
      <c r="FE4781" s="67"/>
      <c r="FF4781" s="67"/>
      <c r="FG4781" s="67"/>
      <c r="FH4781" s="67"/>
      <c r="FI4781" s="67"/>
      <c r="FJ4781" s="67"/>
      <c r="FK4781" s="67"/>
      <c r="FL4781" s="67"/>
      <c r="FM4781" s="67"/>
      <c r="FN4781" s="67"/>
      <c r="FO4781" s="67"/>
      <c r="FP4781" s="67"/>
      <c r="FQ4781" s="67"/>
      <c r="FR4781" s="67"/>
      <c r="FS4781" s="67"/>
      <c r="FT4781" s="67"/>
      <c r="FU4781" s="67"/>
      <c r="FV4781" s="67"/>
      <c r="FW4781" s="67"/>
      <c r="FX4781" s="67"/>
      <c r="FY4781" s="67"/>
      <c r="FZ4781" s="67"/>
      <c r="GA4781" s="67"/>
      <c r="GB4781" s="67"/>
      <c r="GC4781" s="67"/>
      <c r="GD4781" s="67"/>
      <c r="GE4781" s="67"/>
      <c r="GF4781" s="67"/>
      <c r="GG4781" s="67"/>
      <c r="GH4781" s="67"/>
      <c r="GI4781" s="67"/>
      <c r="GJ4781" s="67"/>
      <c r="GK4781" s="67"/>
      <c r="GL4781" s="67"/>
      <c r="GM4781" s="67"/>
      <c r="GN4781" s="292">
        <v>0.9</v>
      </c>
      <c r="GO4781" s="292">
        <v>3.1</v>
      </c>
      <c r="GP4781" s="292" t="s">
        <v>5150</v>
      </c>
      <c r="GQ4781" s="67"/>
      <c r="GR4781" s="67"/>
      <c r="GS4781" s="67" t="s">
        <v>5914</v>
      </c>
      <c r="GT4781" s="67"/>
      <c r="GU4781" s="67"/>
      <c r="GV4781" s="67"/>
      <c r="GW4781" s="67"/>
      <c r="GX4781" s="67"/>
      <c r="GY4781" s="67"/>
      <c r="GZ4781" s="67"/>
      <c r="HA4781" s="67"/>
      <c r="HB4781" s="67"/>
      <c r="HC4781" s="67"/>
      <c r="HD4781" s="67"/>
      <c r="HE4781" s="67"/>
      <c r="HF4781" s="67"/>
      <c r="HG4781" s="67"/>
      <c r="HH4781" s="67"/>
      <c r="HI4781" s="67"/>
      <c r="HJ4781" s="67"/>
      <c r="HK4781" s="67"/>
      <c r="HL4781" s="67"/>
      <c r="HM4781" s="67"/>
      <c r="HN4781" s="67"/>
      <c r="HO4781" s="67"/>
      <c r="HP4781" s="67"/>
      <c r="HQ4781" s="67"/>
      <c r="HR4781" s="67"/>
      <c r="HS4781" s="67"/>
      <c r="HT4781" s="67"/>
      <c r="HU4781" s="67"/>
      <c r="HV4781" s="67"/>
      <c r="HW4781" s="67"/>
      <c r="HX4781" s="67"/>
      <c r="HY4781" s="67"/>
      <c r="HZ4781" s="67"/>
      <c r="IA4781" s="67"/>
      <c r="IB4781" s="67"/>
      <c r="IC4781" s="67"/>
      <c r="ID4781" s="67"/>
      <c r="IE4781" s="67"/>
      <c r="IF4781" s="67"/>
      <c r="IG4781" s="67"/>
      <c r="IH4781" s="67"/>
      <c r="II4781" s="67"/>
      <c r="IJ4781" s="67"/>
      <c r="IK4781" s="67"/>
      <c r="IL4781" s="67"/>
      <c r="IM4781" s="67"/>
      <c r="IN4781" s="67"/>
      <c r="IO4781" s="67"/>
      <c r="IP4781" s="67"/>
      <c r="IQ4781" s="67"/>
      <c r="IR4781" s="67"/>
      <c r="IS4781" s="67"/>
      <c r="IT4781" s="67"/>
      <c r="IU4781" s="67"/>
      <c r="IV4781" s="67"/>
      <c r="IW4781" s="67"/>
      <c r="IX4781" s="67"/>
      <c r="IY4781" s="67"/>
      <c r="IZ4781" s="67"/>
      <c r="JA4781" s="67"/>
      <c r="JB4781" s="67"/>
      <c r="JC4781" s="67"/>
      <c r="JD4781" s="67"/>
      <c r="JE4781" s="67"/>
      <c r="JF4781" s="67"/>
      <c r="JG4781" s="67"/>
      <c r="JH4781" s="67"/>
      <c r="JI4781" s="67"/>
      <c r="JJ4781" s="67"/>
      <c r="JK4781" s="67"/>
      <c r="JL4781" s="67"/>
      <c r="JM4781" s="67"/>
      <c r="JN4781" s="67"/>
      <c r="JO4781" s="67"/>
      <c r="JP4781" s="67"/>
      <c r="JQ4781" s="67"/>
      <c r="JR4781" s="67"/>
      <c r="JS4781" s="67"/>
      <c r="JT4781" s="67"/>
      <c r="JU4781" s="58"/>
      <c r="JV4781" s="58"/>
      <c r="JW4781" s="58"/>
    </row>
    <row r="4782" spans="1:283" s="23" customFormat="1" x14ac:dyDescent="0.25">
      <c r="A4782" s="55">
        <v>4781</v>
      </c>
      <c r="B4782" s="12" t="s">
        <v>7067</v>
      </c>
      <c r="C4782" s="156">
        <v>214</v>
      </c>
      <c r="D4782" s="58" t="s">
        <v>4886</v>
      </c>
      <c r="E4782" s="160" t="str">
        <f>G4782</f>
        <v>Capriel 1991_Farm Pair 3</v>
      </c>
      <c r="F4782" s="160"/>
      <c r="G4782" s="60" t="s">
        <v>4843</v>
      </c>
      <c r="H4782" s="58">
        <v>1991</v>
      </c>
      <c r="I4782" s="58" t="s">
        <v>5719</v>
      </c>
      <c r="J4782" s="243" t="s">
        <v>5302</v>
      </c>
      <c r="K4782" s="63" t="s">
        <v>5127</v>
      </c>
      <c r="L4782" s="58" t="s">
        <v>1077</v>
      </c>
      <c r="M4782" s="94">
        <v>48.79</v>
      </c>
      <c r="N4782" s="94">
        <v>11.5</v>
      </c>
      <c r="O4782" s="94">
        <v>371</v>
      </c>
      <c r="P4782" s="58"/>
      <c r="Q4782" s="244">
        <v>8.6999999999999993</v>
      </c>
      <c r="R4782" s="58"/>
      <c r="S4782" s="245">
        <v>620</v>
      </c>
      <c r="T4782" s="58"/>
      <c r="U4782" s="58" t="s">
        <v>1805</v>
      </c>
      <c r="V4782" s="244">
        <v>5</v>
      </c>
      <c r="W4782" s="174"/>
      <c r="X4782" s="174"/>
      <c r="Y4782" s="58" t="s">
        <v>5908</v>
      </c>
      <c r="Z4782" s="244" t="s">
        <v>1349</v>
      </c>
      <c r="AA4782" s="245">
        <v>15</v>
      </c>
      <c r="AB4782" s="67"/>
      <c r="AC4782" s="67"/>
      <c r="AD4782" s="94"/>
      <c r="AE4782" s="94"/>
      <c r="AF4782" s="94"/>
      <c r="AG4782" s="245"/>
      <c r="AH4782" s="58"/>
      <c r="AI4782" s="169"/>
      <c r="AJ4782" s="94"/>
      <c r="AK4782" s="94"/>
      <c r="AL4782" s="58"/>
      <c r="AM4782" s="58"/>
      <c r="AN4782" s="186"/>
      <c r="AO4782" s="185" t="s">
        <v>7494</v>
      </c>
      <c r="AP4782" s="58"/>
      <c r="AQ4782" s="58"/>
      <c r="AR4782" s="58" t="s">
        <v>132</v>
      </c>
      <c r="AS4782" s="58" t="s">
        <v>132</v>
      </c>
      <c r="AT4782" s="247"/>
      <c r="AU4782" s="181" t="s">
        <v>7494</v>
      </c>
      <c r="AV4782" s="185" t="s">
        <v>176</v>
      </c>
      <c r="AW4782" s="244"/>
      <c r="AX4782" s="185" t="s">
        <v>176</v>
      </c>
      <c r="AY4782" s="244"/>
      <c r="AZ4782" s="58"/>
      <c r="BA4782" s="58"/>
      <c r="BB4782" s="58"/>
      <c r="BC4782" s="58"/>
      <c r="BD4782" s="58"/>
      <c r="BE4782" s="236" t="s">
        <v>5153</v>
      </c>
      <c r="BF4782" s="191" t="s">
        <v>176</v>
      </c>
      <c r="BG4782" s="191" t="s">
        <v>176</v>
      </c>
      <c r="BH4782" s="236" t="s">
        <v>5153</v>
      </c>
      <c r="BI4782" s="191" t="s">
        <v>176</v>
      </c>
      <c r="BJ4782" s="58" t="str">
        <f>IF(BE4782=BH4782,"No","yes")</f>
        <v>No</v>
      </c>
      <c r="BK4782" s="58" t="s">
        <v>6334</v>
      </c>
      <c r="BL4782" s="58"/>
      <c r="BM4782" s="237"/>
      <c r="BN4782" s="244">
        <v>3</v>
      </c>
      <c r="BO4782" s="244">
        <v>3</v>
      </c>
      <c r="BP4782" s="58"/>
      <c r="BQ4782" s="58"/>
      <c r="BR4782" s="58"/>
      <c r="BS4782" s="58"/>
      <c r="BT4782" s="58"/>
      <c r="BU4782" s="58"/>
      <c r="BV4782" s="58"/>
      <c r="BW4782" s="67"/>
      <c r="BX4782" s="67"/>
      <c r="BY4782" s="67"/>
      <c r="BZ4782" s="67"/>
      <c r="CA4782" s="67"/>
      <c r="CB4782" s="70"/>
      <c r="CC4782" s="70"/>
      <c r="CD4782" s="70"/>
      <c r="CE4782" s="67"/>
      <c r="CF4782" s="67"/>
      <c r="CG4782" s="67"/>
      <c r="CH4782" s="245"/>
      <c r="CI4782" s="245"/>
      <c r="CJ4782" s="67"/>
      <c r="CK4782" s="67"/>
      <c r="CL4782" s="67"/>
      <c r="CM4782" s="242"/>
      <c r="CN4782" s="242"/>
      <c r="CO4782" s="242"/>
      <c r="CP4782" s="242"/>
      <c r="CQ4782" s="242"/>
      <c r="CR4782" s="242"/>
      <c r="CS4782" s="242"/>
      <c r="CT4782" s="242"/>
      <c r="CU4782" s="242"/>
      <c r="CV4782" s="242"/>
      <c r="CW4782" s="242"/>
      <c r="CX4782" s="242"/>
      <c r="CY4782" s="242"/>
      <c r="CZ4782" s="242"/>
      <c r="DA4782" s="67"/>
      <c r="DB4782" s="67"/>
      <c r="DC4782" s="67"/>
      <c r="DD4782" s="67"/>
      <c r="DE4782" s="67"/>
      <c r="DF4782" s="67"/>
      <c r="DG4782" s="67"/>
      <c r="DH4782" s="67"/>
      <c r="DI4782" s="67"/>
      <c r="DJ4782" s="67"/>
      <c r="DK4782" s="67"/>
      <c r="DL4782" s="67"/>
      <c r="DM4782" s="67"/>
      <c r="DN4782" s="67"/>
      <c r="DO4782" s="67"/>
      <c r="DP4782" s="67"/>
      <c r="DQ4782" s="166"/>
      <c r="DR4782" s="166"/>
      <c r="DS4782" s="163"/>
      <c r="DT4782" s="163"/>
      <c r="DU4782" s="67"/>
      <c r="DV4782" s="67"/>
      <c r="DW4782" s="67"/>
      <c r="DX4782" s="67"/>
      <c r="DY4782" s="67"/>
      <c r="DZ4782" s="67"/>
      <c r="EA4782" s="67"/>
      <c r="EB4782" s="67"/>
      <c r="EC4782" s="67"/>
      <c r="ED4782" s="67"/>
      <c r="EE4782" s="67"/>
      <c r="EF4782" s="67"/>
      <c r="EG4782" s="67"/>
      <c r="EH4782" s="67"/>
      <c r="EI4782" s="67"/>
      <c r="EJ4782" s="67"/>
      <c r="EK4782" s="94"/>
      <c r="EL4782" s="94"/>
      <c r="EM4782" s="67"/>
      <c r="EN4782" s="67"/>
      <c r="EO4782" s="67"/>
      <c r="EP4782" s="67"/>
      <c r="EQ4782" s="67"/>
      <c r="ER4782" s="67"/>
      <c r="ES4782" s="67"/>
      <c r="ET4782" s="67"/>
      <c r="EU4782" s="67"/>
      <c r="EV4782" s="67"/>
      <c r="EW4782" s="67"/>
      <c r="EX4782" s="67"/>
      <c r="EY4782" s="67"/>
      <c r="EZ4782" s="67"/>
      <c r="FA4782" s="67"/>
      <c r="FB4782" s="67"/>
      <c r="FC4782" s="67"/>
      <c r="FD4782" s="67"/>
      <c r="FE4782" s="67"/>
      <c r="FF4782" s="67"/>
      <c r="FG4782" s="67"/>
      <c r="FH4782" s="67"/>
      <c r="FI4782" s="67"/>
      <c r="FJ4782" s="67"/>
      <c r="FK4782" s="67"/>
      <c r="FL4782" s="67"/>
      <c r="FM4782" s="67"/>
      <c r="FN4782" s="67"/>
      <c r="FO4782" s="67"/>
      <c r="FP4782" s="67"/>
      <c r="FQ4782" s="67"/>
      <c r="FR4782" s="67"/>
      <c r="FS4782" s="67"/>
      <c r="FT4782" s="67"/>
      <c r="FU4782" s="67"/>
      <c r="FV4782" s="67"/>
      <c r="FW4782" s="67"/>
      <c r="FX4782" s="67"/>
      <c r="FY4782" s="67"/>
      <c r="FZ4782" s="67"/>
      <c r="GA4782" s="67"/>
      <c r="GB4782" s="67"/>
      <c r="GC4782" s="67"/>
      <c r="GD4782" s="67"/>
      <c r="GE4782" s="67"/>
      <c r="GF4782" s="67"/>
      <c r="GG4782" s="67"/>
      <c r="GH4782" s="67"/>
      <c r="GI4782" s="67"/>
      <c r="GJ4782" s="67"/>
      <c r="GK4782" s="67"/>
      <c r="GL4782" s="67"/>
      <c r="GM4782" s="67"/>
      <c r="GN4782" s="292">
        <v>0</v>
      </c>
      <c r="GO4782" s="292">
        <v>7.8</v>
      </c>
      <c r="GP4782" s="292" t="s">
        <v>5150</v>
      </c>
      <c r="GQ4782" s="67"/>
      <c r="GR4782" s="67"/>
      <c r="GS4782" s="67" t="s">
        <v>2268</v>
      </c>
      <c r="GT4782" s="67"/>
      <c r="GU4782" s="67"/>
      <c r="GV4782" s="67"/>
      <c r="GW4782" s="67"/>
      <c r="GX4782" s="67"/>
      <c r="GY4782" s="67"/>
      <c r="GZ4782" s="67"/>
      <c r="HA4782" s="67"/>
      <c r="HB4782" s="67"/>
      <c r="HC4782" s="67"/>
      <c r="HD4782" s="67"/>
      <c r="HE4782" s="67"/>
      <c r="HF4782" s="67"/>
      <c r="HG4782" s="67"/>
      <c r="HH4782" s="67"/>
      <c r="HI4782" s="67"/>
      <c r="HJ4782" s="67"/>
      <c r="HK4782" s="67"/>
      <c r="HL4782" s="67"/>
      <c r="HM4782" s="67"/>
      <c r="HN4782" s="67"/>
      <c r="HO4782" s="67"/>
      <c r="HP4782" s="67"/>
      <c r="HQ4782" s="67"/>
      <c r="HR4782" s="67"/>
      <c r="HS4782" s="67"/>
      <c r="HT4782" s="67"/>
      <c r="HU4782" s="67"/>
      <c r="HV4782" s="67"/>
      <c r="HW4782" s="67"/>
      <c r="HX4782" s="67"/>
      <c r="HY4782" s="67"/>
      <c r="HZ4782" s="67"/>
      <c r="IA4782" s="67"/>
      <c r="IB4782" s="67"/>
      <c r="IC4782" s="67"/>
      <c r="ID4782" s="67"/>
      <c r="IE4782" s="67"/>
      <c r="IF4782" s="67"/>
      <c r="IG4782" s="67"/>
      <c r="IH4782" s="67"/>
      <c r="II4782" s="67"/>
      <c r="IJ4782" s="67"/>
      <c r="IK4782" s="67"/>
      <c r="IL4782" s="67"/>
      <c r="IM4782" s="67"/>
      <c r="IN4782" s="67"/>
      <c r="IO4782" s="67"/>
      <c r="IP4782" s="67"/>
      <c r="IQ4782" s="67"/>
      <c r="IR4782" s="67"/>
      <c r="IS4782" s="67"/>
      <c r="IT4782" s="67"/>
      <c r="IU4782" s="67"/>
      <c r="IV4782" s="67"/>
      <c r="IW4782" s="67"/>
      <c r="IX4782" s="67"/>
      <c r="IY4782" s="67"/>
      <c r="IZ4782" s="67"/>
      <c r="JA4782" s="67"/>
      <c r="JB4782" s="67"/>
      <c r="JC4782" s="67"/>
      <c r="JD4782" s="67"/>
      <c r="JE4782" s="67"/>
      <c r="JF4782" s="67"/>
      <c r="JG4782" s="67"/>
      <c r="JH4782" s="67"/>
      <c r="JI4782" s="67"/>
      <c r="JJ4782" s="67"/>
      <c r="JK4782" s="67"/>
      <c r="JL4782" s="67"/>
      <c r="JM4782" s="67"/>
      <c r="JN4782" s="67"/>
      <c r="JO4782" s="67"/>
      <c r="JP4782" s="67"/>
      <c r="JQ4782" s="67"/>
      <c r="JR4782" s="67"/>
      <c r="JS4782" s="67"/>
      <c r="JT4782" s="67"/>
      <c r="JU4782" s="58"/>
      <c r="JV4782" s="58"/>
      <c r="JW4782" s="58"/>
    </row>
    <row r="4783" spans="1:283" s="23" customFormat="1" x14ac:dyDescent="0.25">
      <c r="A4783" s="55">
        <v>4782</v>
      </c>
      <c r="B4783" s="12" t="s">
        <v>7067</v>
      </c>
      <c r="C4783" s="156">
        <v>214</v>
      </c>
      <c r="D4783" s="58" t="s">
        <v>4884</v>
      </c>
      <c r="E4783" s="160" t="str">
        <f>G4783</f>
        <v>Capriel 1991_Farm Pair 4</v>
      </c>
      <c r="F4783" s="160"/>
      <c r="G4783" s="60" t="s">
        <v>4842</v>
      </c>
      <c r="H4783" s="58">
        <v>1991</v>
      </c>
      <c r="I4783" s="58" t="s">
        <v>5599</v>
      </c>
      <c r="J4783" s="243" t="s">
        <v>5302</v>
      </c>
      <c r="K4783" s="63" t="s">
        <v>5127</v>
      </c>
      <c r="L4783" s="58" t="s">
        <v>1077</v>
      </c>
      <c r="M4783" s="94">
        <v>48.79</v>
      </c>
      <c r="N4783" s="94">
        <v>11.5</v>
      </c>
      <c r="O4783" s="94">
        <v>371</v>
      </c>
      <c r="P4783" s="58"/>
      <c r="Q4783" s="244">
        <v>8.6999999999999993</v>
      </c>
      <c r="R4783" s="58"/>
      <c r="S4783" s="245">
        <v>620</v>
      </c>
      <c r="T4783" s="58"/>
      <c r="U4783" s="58" t="s">
        <v>1688</v>
      </c>
      <c r="V4783" s="244">
        <v>5</v>
      </c>
      <c r="W4783" s="174"/>
      <c r="X4783" s="174"/>
      <c r="Y4783" s="58" t="s">
        <v>5908</v>
      </c>
      <c r="Z4783" s="244" t="s">
        <v>1349</v>
      </c>
      <c r="AA4783" s="245">
        <v>15</v>
      </c>
      <c r="AB4783" s="67"/>
      <c r="AC4783" s="67"/>
      <c r="AD4783" s="94"/>
      <c r="AE4783" s="94"/>
      <c r="AF4783" s="94"/>
      <c r="AG4783" s="245"/>
      <c r="AH4783" s="58"/>
      <c r="AI4783" s="169"/>
      <c r="AJ4783" s="94"/>
      <c r="AK4783" s="94"/>
      <c r="AL4783" s="58"/>
      <c r="AM4783" s="58"/>
      <c r="AN4783" s="186"/>
      <c r="AO4783" s="185" t="s">
        <v>7494</v>
      </c>
      <c r="AP4783" s="58"/>
      <c r="AQ4783" s="58"/>
      <c r="AR4783" s="58" t="s">
        <v>132</v>
      </c>
      <c r="AS4783" s="58" t="s">
        <v>132</v>
      </c>
      <c r="AT4783" s="247"/>
      <c r="AU4783" s="181" t="s">
        <v>7494</v>
      </c>
      <c r="AV4783" s="185" t="s">
        <v>176</v>
      </c>
      <c r="AW4783" s="244"/>
      <c r="AX4783" s="185" t="s">
        <v>176</v>
      </c>
      <c r="AY4783" s="244"/>
      <c r="AZ4783" s="58"/>
      <c r="BA4783" s="58"/>
      <c r="BB4783" s="58"/>
      <c r="BC4783" s="58"/>
      <c r="BD4783" s="58"/>
      <c r="BE4783" s="236" t="s">
        <v>5153</v>
      </c>
      <c r="BF4783" s="191" t="s">
        <v>176</v>
      </c>
      <c r="BG4783" s="191" t="s">
        <v>176</v>
      </c>
      <c r="BH4783" s="236" t="s">
        <v>5153</v>
      </c>
      <c r="BI4783" s="191" t="s">
        <v>176</v>
      </c>
      <c r="BJ4783" s="58" t="str">
        <f>IF(BE4783=BH4783,"No","yes")</f>
        <v>No</v>
      </c>
      <c r="BK4783" s="58" t="s">
        <v>6334</v>
      </c>
      <c r="BL4783" s="58"/>
      <c r="BM4783" s="237"/>
      <c r="BN4783" s="244">
        <v>3</v>
      </c>
      <c r="BO4783" s="244">
        <v>3</v>
      </c>
      <c r="BP4783" s="58"/>
      <c r="BQ4783" s="58"/>
      <c r="BR4783" s="58"/>
      <c r="BS4783" s="58"/>
      <c r="BT4783" s="58"/>
      <c r="BU4783" s="58"/>
      <c r="BV4783" s="58"/>
      <c r="BW4783" s="67">
        <v>66485</v>
      </c>
      <c r="BX4783" s="67">
        <v>58457</v>
      </c>
      <c r="BY4783" s="67">
        <v>4918</v>
      </c>
      <c r="BZ4783" s="67">
        <v>4918</v>
      </c>
      <c r="CA4783" s="67" t="s">
        <v>5912</v>
      </c>
      <c r="CB4783" s="70">
        <v>8800</v>
      </c>
      <c r="CC4783" s="70">
        <v>8900</v>
      </c>
      <c r="CD4783" s="70"/>
      <c r="CE4783" s="67"/>
      <c r="CF4783" s="67"/>
      <c r="CG4783" s="67" t="s">
        <v>5913</v>
      </c>
      <c r="CH4783" s="245"/>
      <c r="CI4783" s="245"/>
      <c r="CJ4783" s="67"/>
      <c r="CK4783" s="67"/>
      <c r="CL4783" s="67"/>
      <c r="CM4783" s="242"/>
      <c r="CN4783" s="242"/>
      <c r="CO4783" s="242"/>
      <c r="CP4783" s="242"/>
      <c r="CQ4783" s="242"/>
      <c r="CR4783" s="242"/>
      <c r="CS4783" s="242"/>
      <c r="CT4783" s="242"/>
      <c r="CU4783" s="242"/>
      <c r="CV4783" s="242"/>
      <c r="CW4783" s="242"/>
      <c r="CX4783" s="242"/>
      <c r="CY4783" s="242"/>
      <c r="CZ4783" s="242"/>
      <c r="DA4783" s="67"/>
      <c r="DB4783" s="67"/>
      <c r="DC4783" s="67"/>
      <c r="DD4783" s="67"/>
      <c r="DE4783" s="67"/>
      <c r="DF4783" s="67"/>
      <c r="DG4783" s="67"/>
      <c r="DH4783" s="67"/>
      <c r="DI4783" s="67"/>
      <c r="DJ4783" s="67"/>
      <c r="DK4783" s="67"/>
      <c r="DL4783" s="67"/>
      <c r="DM4783" s="67"/>
      <c r="DN4783" s="67"/>
      <c r="DO4783" s="67"/>
      <c r="DP4783" s="67"/>
      <c r="DQ4783" s="166"/>
      <c r="DR4783" s="166"/>
      <c r="DS4783" s="163"/>
      <c r="DT4783" s="163"/>
      <c r="DU4783" s="67"/>
      <c r="DV4783" s="67"/>
      <c r="DW4783" s="67"/>
      <c r="DX4783" s="67"/>
      <c r="DY4783" s="67"/>
      <c r="DZ4783" s="67"/>
      <c r="EA4783" s="67"/>
      <c r="EB4783" s="67"/>
      <c r="EC4783" s="67"/>
      <c r="ED4783" s="67"/>
      <c r="EE4783" s="67"/>
      <c r="EF4783" s="67"/>
      <c r="EG4783" s="67"/>
      <c r="EH4783" s="67"/>
      <c r="EI4783" s="67"/>
      <c r="EJ4783" s="67"/>
      <c r="EK4783" s="94"/>
      <c r="EL4783" s="94"/>
      <c r="EM4783" s="67"/>
      <c r="EN4783" s="67"/>
      <c r="EO4783" s="67"/>
      <c r="EP4783" s="67"/>
      <c r="EQ4783" s="67"/>
      <c r="ER4783" s="67"/>
      <c r="ES4783" s="67"/>
      <c r="ET4783" s="67"/>
      <c r="EU4783" s="67"/>
      <c r="EV4783" s="67"/>
      <c r="EW4783" s="67"/>
      <c r="EX4783" s="67"/>
      <c r="EY4783" s="67"/>
      <c r="EZ4783" s="67"/>
      <c r="FA4783" s="67"/>
      <c r="FB4783" s="67"/>
      <c r="FC4783" s="67"/>
      <c r="FD4783" s="67"/>
      <c r="FE4783" s="67"/>
      <c r="FF4783" s="67"/>
      <c r="FG4783" s="67"/>
      <c r="FH4783" s="67"/>
      <c r="FI4783" s="67"/>
      <c r="FJ4783" s="67"/>
      <c r="FK4783" s="67"/>
      <c r="FL4783" s="67"/>
      <c r="FM4783" s="67"/>
      <c r="FN4783" s="67"/>
      <c r="FO4783" s="67"/>
      <c r="FP4783" s="67"/>
      <c r="FQ4783" s="67"/>
      <c r="FR4783" s="67"/>
      <c r="FS4783" s="67"/>
      <c r="FT4783" s="67"/>
      <c r="FU4783" s="67"/>
      <c r="FV4783" s="67"/>
      <c r="FW4783" s="67"/>
      <c r="FX4783" s="67"/>
      <c r="FY4783" s="67"/>
      <c r="FZ4783" s="67"/>
      <c r="GA4783" s="67"/>
      <c r="GB4783" s="67"/>
      <c r="GC4783" s="67"/>
      <c r="GD4783" s="67"/>
      <c r="GE4783" s="67"/>
      <c r="GF4783" s="67"/>
      <c r="GG4783" s="67"/>
      <c r="GH4783" s="67"/>
      <c r="GI4783" s="67"/>
      <c r="GJ4783" s="67"/>
      <c r="GK4783" s="67"/>
      <c r="GL4783" s="67"/>
      <c r="GM4783" s="67"/>
      <c r="GN4783" s="292">
        <v>4.8</v>
      </c>
      <c r="GO4783" s="292">
        <v>7.3</v>
      </c>
      <c r="GP4783" s="292" t="s">
        <v>5150</v>
      </c>
      <c r="GQ4783" s="67"/>
      <c r="GR4783" s="67"/>
      <c r="GS4783" s="67" t="s">
        <v>5914</v>
      </c>
      <c r="GT4783" s="67"/>
      <c r="GU4783" s="67"/>
      <c r="GV4783" s="67"/>
      <c r="GW4783" s="67"/>
      <c r="GX4783" s="67"/>
      <c r="GY4783" s="67"/>
      <c r="GZ4783" s="67"/>
      <c r="HA4783" s="67"/>
      <c r="HB4783" s="67"/>
      <c r="HC4783" s="67"/>
      <c r="HD4783" s="67"/>
      <c r="HE4783" s="67"/>
      <c r="HF4783" s="67"/>
      <c r="HG4783" s="67"/>
      <c r="HH4783" s="67"/>
      <c r="HI4783" s="67"/>
      <c r="HJ4783" s="67"/>
      <c r="HK4783" s="67"/>
      <c r="HL4783" s="67"/>
      <c r="HM4783" s="67"/>
      <c r="HN4783" s="67"/>
      <c r="HO4783" s="67"/>
      <c r="HP4783" s="67"/>
      <c r="HQ4783" s="67"/>
      <c r="HR4783" s="67"/>
      <c r="HS4783" s="67"/>
      <c r="HT4783" s="67"/>
      <c r="HU4783" s="67"/>
      <c r="HV4783" s="67"/>
      <c r="HW4783" s="67"/>
      <c r="HX4783" s="67"/>
      <c r="HY4783" s="67"/>
      <c r="HZ4783" s="67"/>
      <c r="IA4783" s="67"/>
      <c r="IB4783" s="67"/>
      <c r="IC4783" s="67"/>
      <c r="ID4783" s="67"/>
      <c r="IE4783" s="67"/>
      <c r="IF4783" s="67"/>
      <c r="IG4783" s="67"/>
      <c r="IH4783" s="67"/>
      <c r="II4783" s="67"/>
      <c r="IJ4783" s="67"/>
      <c r="IK4783" s="67"/>
      <c r="IL4783" s="67"/>
      <c r="IM4783" s="67"/>
      <c r="IN4783" s="67"/>
      <c r="IO4783" s="67"/>
      <c r="IP4783" s="67"/>
      <c r="IQ4783" s="67"/>
      <c r="IR4783" s="67"/>
      <c r="IS4783" s="67"/>
      <c r="IT4783" s="67"/>
      <c r="IU4783" s="67"/>
      <c r="IV4783" s="67"/>
      <c r="IW4783" s="67"/>
      <c r="IX4783" s="67"/>
      <c r="IY4783" s="67"/>
      <c r="IZ4783" s="67"/>
      <c r="JA4783" s="67"/>
      <c r="JB4783" s="67"/>
      <c r="JC4783" s="67"/>
      <c r="JD4783" s="67"/>
      <c r="JE4783" s="67"/>
      <c r="JF4783" s="67"/>
      <c r="JG4783" s="67"/>
      <c r="JH4783" s="67"/>
      <c r="JI4783" s="67"/>
      <c r="JJ4783" s="67"/>
      <c r="JK4783" s="67"/>
      <c r="JL4783" s="67"/>
      <c r="JM4783" s="67"/>
      <c r="JN4783" s="67"/>
      <c r="JO4783" s="67"/>
      <c r="JP4783" s="67"/>
      <c r="JQ4783" s="67"/>
      <c r="JR4783" s="67"/>
      <c r="JS4783" s="67"/>
      <c r="JT4783" s="67"/>
      <c r="JU4783" s="58"/>
      <c r="JV4783" s="58"/>
      <c r="JW4783" s="58"/>
    </row>
    <row r="4784" spans="1:283" s="23" customFormat="1" x14ac:dyDescent="0.25">
      <c r="A4784" s="55">
        <v>4783</v>
      </c>
      <c r="B4784" s="12" t="s">
        <v>7067</v>
      </c>
      <c r="C4784" s="156">
        <v>214</v>
      </c>
      <c r="D4784" s="58" t="s">
        <v>4885</v>
      </c>
      <c r="E4784" s="160" t="str">
        <f>G4784</f>
        <v>Capriel 1991_Farm Pair 5</v>
      </c>
      <c r="F4784" s="160"/>
      <c r="G4784" s="60" t="s">
        <v>4841</v>
      </c>
      <c r="H4784" s="58">
        <v>1991</v>
      </c>
      <c r="I4784" s="58" t="s">
        <v>5599</v>
      </c>
      <c r="J4784" s="243" t="s">
        <v>5302</v>
      </c>
      <c r="K4784" s="63" t="s">
        <v>5127</v>
      </c>
      <c r="L4784" s="58" t="s">
        <v>1077</v>
      </c>
      <c r="M4784" s="94">
        <v>48.79</v>
      </c>
      <c r="N4784" s="94">
        <v>11.5</v>
      </c>
      <c r="O4784" s="94">
        <v>371</v>
      </c>
      <c r="P4784" s="58"/>
      <c r="Q4784" s="244">
        <v>8.6999999999999993</v>
      </c>
      <c r="R4784" s="58"/>
      <c r="S4784" s="245">
        <v>620</v>
      </c>
      <c r="T4784" s="58"/>
      <c r="U4784" s="58" t="s">
        <v>1688</v>
      </c>
      <c r="V4784" s="244">
        <v>5</v>
      </c>
      <c r="W4784" s="174"/>
      <c r="X4784" s="174"/>
      <c r="Y4784" s="58" t="s">
        <v>5908</v>
      </c>
      <c r="Z4784" s="244" t="s">
        <v>1349</v>
      </c>
      <c r="AA4784" s="245">
        <v>15</v>
      </c>
      <c r="AB4784" s="67"/>
      <c r="AC4784" s="67"/>
      <c r="AD4784" s="94"/>
      <c r="AE4784" s="94"/>
      <c r="AF4784" s="94"/>
      <c r="AG4784" s="245"/>
      <c r="AH4784" s="58"/>
      <c r="AI4784" s="169"/>
      <c r="AJ4784" s="94"/>
      <c r="AK4784" s="94"/>
      <c r="AL4784" s="58"/>
      <c r="AM4784" s="58"/>
      <c r="AN4784" s="186"/>
      <c r="AO4784" s="185" t="s">
        <v>7494</v>
      </c>
      <c r="AP4784" s="58"/>
      <c r="AQ4784" s="58"/>
      <c r="AR4784" s="58" t="s">
        <v>132</v>
      </c>
      <c r="AS4784" s="58" t="s">
        <v>132</v>
      </c>
      <c r="AT4784" s="247"/>
      <c r="AU4784" s="181" t="s">
        <v>7494</v>
      </c>
      <c r="AV4784" s="185" t="s">
        <v>176</v>
      </c>
      <c r="AW4784" s="244"/>
      <c r="AX4784" s="185" t="s">
        <v>176</v>
      </c>
      <c r="AY4784" s="244"/>
      <c r="AZ4784" s="58"/>
      <c r="BA4784" s="58"/>
      <c r="BB4784" s="58"/>
      <c r="BC4784" s="58"/>
      <c r="BD4784" s="58"/>
      <c r="BE4784" s="236" t="s">
        <v>5153</v>
      </c>
      <c r="BF4784" s="191" t="s">
        <v>176</v>
      </c>
      <c r="BG4784" s="191" t="s">
        <v>176</v>
      </c>
      <c r="BH4784" s="236" t="s">
        <v>5153</v>
      </c>
      <c r="BI4784" s="191" t="s">
        <v>176</v>
      </c>
      <c r="BJ4784" s="58" t="str">
        <f>IF(BE4784=BH4784,"No","yes")</f>
        <v>No</v>
      </c>
      <c r="BK4784" s="58" t="s">
        <v>6334</v>
      </c>
      <c r="BL4784" s="58"/>
      <c r="BM4784" s="237"/>
      <c r="BN4784" s="244">
        <v>3</v>
      </c>
      <c r="BO4784" s="244">
        <v>3</v>
      </c>
      <c r="BP4784" s="58"/>
      <c r="BQ4784" s="58"/>
      <c r="BR4784" s="58"/>
      <c r="BS4784" s="58"/>
      <c r="BT4784" s="58"/>
      <c r="BU4784" s="58"/>
      <c r="BV4784" s="58"/>
      <c r="BW4784" s="67">
        <v>66485</v>
      </c>
      <c r="BX4784" s="67">
        <v>61338</v>
      </c>
      <c r="BY4784" s="67">
        <v>4918</v>
      </c>
      <c r="BZ4784" s="67">
        <v>4918</v>
      </c>
      <c r="CA4784" s="67" t="s">
        <v>5912</v>
      </c>
      <c r="CB4784" s="70">
        <v>8800</v>
      </c>
      <c r="CC4784" s="70">
        <v>9300</v>
      </c>
      <c r="CD4784" s="70"/>
      <c r="CE4784" s="67"/>
      <c r="CF4784" s="67"/>
      <c r="CG4784" s="67" t="s">
        <v>5913</v>
      </c>
      <c r="CH4784" s="245"/>
      <c r="CI4784" s="245"/>
      <c r="CJ4784" s="67"/>
      <c r="CK4784" s="67"/>
      <c r="CL4784" s="67"/>
      <c r="CM4784" s="242"/>
      <c r="CN4784" s="242"/>
      <c r="CO4784" s="242"/>
      <c r="CP4784" s="242"/>
      <c r="CQ4784" s="242"/>
      <c r="CR4784" s="242"/>
      <c r="CS4784" s="242"/>
      <c r="CT4784" s="242"/>
      <c r="CU4784" s="242"/>
      <c r="CV4784" s="242"/>
      <c r="CW4784" s="242"/>
      <c r="CX4784" s="242"/>
      <c r="CY4784" s="242"/>
      <c r="CZ4784" s="242"/>
      <c r="DA4784" s="67"/>
      <c r="DB4784" s="67"/>
      <c r="DC4784" s="67"/>
      <c r="DD4784" s="67"/>
      <c r="DE4784" s="67"/>
      <c r="DF4784" s="67"/>
      <c r="DG4784" s="67"/>
      <c r="DH4784" s="67"/>
      <c r="DI4784" s="67"/>
      <c r="DJ4784" s="67"/>
      <c r="DK4784" s="67"/>
      <c r="DL4784" s="67"/>
      <c r="DM4784" s="67"/>
      <c r="DN4784" s="67"/>
      <c r="DO4784" s="67"/>
      <c r="DP4784" s="67"/>
      <c r="DQ4784" s="166"/>
      <c r="DR4784" s="166"/>
      <c r="DS4784" s="163"/>
      <c r="DT4784" s="163"/>
      <c r="DU4784" s="67"/>
      <c r="DV4784" s="67"/>
      <c r="DW4784" s="67"/>
      <c r="DX4784" s="67"/>
      <c r="DY4784" s="67"/>
      <c r="DZ4784" s="67"/>
      <c r="EA4784" s="67"/>
      <c r="EB4784" s="67"/>
      <c r="EC4784" s="67"/>
      <c r="ED4784" s="67"/>
      <c r="EE4784" s="67"/>
      <c r="EF4784" s="67"/>
      <c r="EG4784" s="67"/>
      <c r="EH4784" s="67"/>
      <c r="EI4784" s="67"/>
      <c r="EJ4784" s="67"/>
      <c r="EK4784" s="94"/>
      <c r="EL4784" s="94"/>
      <c r="EM4784" s="67"/>
      <c r="EN4784" s="67"/>
      <c r="EO4784" s="67"/>
      <c r="EP4784" s="67"/>
      <c r="EQ4784" s="67"/>
      <c r="ER4784" s="67"/>
      <c r="ES4784" s="67"/>
      <c r="ET4784" s="67"/>
      <c r="EU4784" s="67"/>
      <c r="EV4784" s="67"/>
      <c r="EW4784" s="67"/>
      <c r="EX4784" s="67"/>
      <c r="EY4784" s="67"/>
      <c r="EZ4784" s="67"/>
      <c r="FA4784" s="67"/>
      <c r="FB4784" s="67"/>
      <c r="FC4784" s="67"/>
      <c r="FD4784" s="67"/>
      <c r="FE4784" s="67"/>
      <c r="FF4784" s="67"/>
      <c r="FG4784" s="67"/>
      <c r="FH4784" s="67"/>
      <c r="FI4784" s="67"/>
      <c r="FJ4784" s="67"/>
      <c r="FK4784" s="67"/>
      <c r="FL4784" s="67"/>
      <c r="FM4784" s="67"/>
      <c r="FN4784" s="67"/>
      <c r="FO4784" s="67"/>
      <c r="FP4784" s="67"/>
      <c r="FQ4784" s="67"/>
      <c r="FR4784" s="67"/>
      <c r="FS4784" s="67"/>
      <c r="FT4784" s="67"/>
      <c r="FU4784" s="67"/>
      <c r="FV4784" s="67"/>
      <c r="FW4784" s="67"/>
      <c r="FX4784" s="67"/>
      <c r="FY4784" s="67"/>
      <c r="FZ4784" s="67"/>
      <c r="GA4784" s="67"/>
      <c r="GB4784" s="67"/>
      <c r="GC4784" s="67"/>
      <c r="GD4784" s="67"/>
      <c r="GE4784" s="67"/>
      <c r="GF4784" s="67"/>
      <c r="GG4784" s="67"/>
      <c r="GH4784" s="67"/>
      <c r="GI4784" s="67"/>
      <c r="GJ4784" s="67"/>
      <c r="GK4784" s="67"/>
      <c r="GL4784" s="67"/>
      <c r="GM4784" s="67"/>
      <c r="GN4784" s="292">
        <v>4.8</v>
      </c>
      <c r="GO4784" s="292">
        <v>6.6</v>
      </c>
      <c r="GP4784" s="292" t="s">
        <v>5150</v>
      </c>
      <c r="GQ4784" s="67"/>
      <c r="GR4784" s="67"/>
      <c r="GS4784" s="67" t="s">
        <v>5914</v>
      </c>
      <c r="GT4784" s="67"/>
      <c r="GU4784" s="67"/>
      <c r="GV4784" s="67"/>
      <c r="GW4784" s="67"/>
      <c r="GX4784" s="67"/>
      <c r="GY4784" s="67"/>
      <c r="GZ4784" s="67"/>
      <c r="HA4784" s="67"/>
      <c r="HB4784" s="67"/>
      <c r="HC4784" s="67"/>
      <c r="HD4784" s="67"/>
      <c r="HE4784" s="67"/>
      <c r="HF4784" s="67"/>
      <c r="HG4784" s="67"/>
      <c r="HH4784" s="67"/>
      <c r="HI4784" s="67"/>
      <c r="HJ4784" s="67"/>
      <c r="HK4784" s="67"/>
      <c r="HL4784" s="67"/>
      <c r="HM4784" s="67"/>
      <c r="HN4784" s="67"/>
      <c r="HO4784" s="67"/>
      <c r="HP4784" s="67"/>
      <c r="HQ4784" s="67"/>
      <c r="HR4784" s="67"/>
      <c r="HS4784" s="67"/>
      <c r="HT4784" s="67"/>
      <c r="HU4784" s="67"/>
      <c r="HV4784" s="67"/>
      <c r="HW4784" s="67"/>
      <c r="HX4784" s="67"/>
      <c r="HY4784" s="67"/>
      <c r="HZ4784" s="67"/>
      <c r="IA4784" s="67"/>
      <c r="IB4784" s="67"/>
      <c r="IC4784" s="67"/>
      <c r="ID4784" s="67"/>
      <c r="IE4784" s="67"/>
      <c r="IF4784" s="67"/>
      <c r="IG4784" s="67"/>
      <c r="IH4784" s="67"/>
      <c r="II4784" s="67"/>
      <c r="IJ4784" s="67"/>
      <c r="IK4784" s="67"/>
      <c r="IL4784" s="67"/>
      <c r="IM4784" s="67"/>
      <c r="IN4784" s="67"/>
      <c r="IO4784" s="67"/>
      <c r="IP4784" s="67"/>
      <c r="IQ4784" s="67"/>
      <c r="IR4784" s="67"/>
      <c r="IS4784" s="67"/>
      <c r="IT4784" s="67"/>
      <c r="IU4784" s="67"/>
      <c r="IV4784" s="67"/>
      <c r="IW4784" s="67"/>
      <c r="IX4784" s="67"/>
      <c r="IY4784" s="67"/>
      <c r="IZ4784" s="67"/>
      <c r="JA4784" s="67"/>
      <c r="JB4784" s="67"/>
      <c r="JC4784" s="67"/>
      <c r="JD4784" s="67"/>
      <c r="JE4784" s="67"/>
      <c r="JF4784" s="67"/>
      <c r="JG4784" s="67"/>
      <c r="JH4784" s="67"/>
      <c r="JI4784" s="67"/>
      <c r="JJ4784" s="67"/>
      <c r="JK4784" s="67"/>
      <c r="JL4784" s="67"/>
      <c r="JM4784" s="67"/>
      <c r="JN4784" s="67"/>
      <c r="JO4784" s="67"/>
      <c r="JP4784" s="67"/>
      <c r="JQ4784" s="67"/>
      <c r="JR4784" s="67"/>
      <c r="JS4784" s="67"/>
      <c r="JT4784" s="67"/>
      <c r="JU4784" s="58"/>
      <c r="JV4784" s="58"/>
      <c r="JW4784" s="58"/>
    </row>
    <row r="4785" spans="1:283" s="23" customFormat="1" x14ac:dyDescent="0.25">
      <c r="A4785" s="55">
        <v>4784</v>
      </c>
      <c r="B4785" s="12" t="s">
        <v>7067</v>
      </c>
      <c r="C4785" s="156">
        <v>214</v>
      </c>
      <c r="D4785" s="58" t="s">
        <v>4886</v>
      </c>
      <c r="E4785" s="160" t="str">
        <f>G4785</f>
        <v>Capriel 1991_Farm Pair 5</v>
      </c>
      <c r="F4785" s="160"/>
      <c r="G4785" s="60" t="s">
        <v>4841</v>
      </c>
      <c r="H4785" s="58">
        <v>1991</v>
      </c>
      <c r="I4785" s="58" t="s">
        <v>5599</v>
      </c>
      <c r="J4785" s="243" t="s">
        <v>5302</v>
      </c>
      <c r="K4785" s="63" t="s">
        <v>5127</v>
      </c>
      <c r="L4785" s="58" t="s">
        <v>1077</v>
      </c>
      <c r="M4785" s="94">
        <v>48.79</v>
      </c>
      <c r="N4785" s="94">
        <v>11.5</v>
      </c>
      <c r="O4785" s="94">
        <v>371</v>
      </c>
      <c r="P4785" s="58"/>
      <c r="Q4785" s="244">
        <v>8.6999999999999993</v>
      </c>
      <c r="R4785" s="58"/>
      <c r="S4785" s="245">
        <v>620</v>
      </c>
      <c r="T4785" s="58"/>
      <c r="U4785" s="58" t="s">
        <v>1688</v>
      </c>
      <c r="V4785" s="244">
        <v>5</v>
      </c>
      <c r="W4785" s="174"/>
      <c r="X4785" s="174"/>
      <c r="Y4785" s="58" t="s">
        <v>5908</v>
      </c>
      <c r="Z4785" s="244" t="s">
        <v>1349</v>
      </c>
      <c r="AA4785" s="245">
        <v>15</v>
      </c>
      <c r="AB4785" s="67"/>
      <c r="AC4785" s="67"/>
      <c r="AD4785" s="94"/>
      <c r="AE4785" s="94"/>
      <c r="AF4785" s="94"/>
      <c r="AG4785" s="245"/>
      <c r="AH4785" s="58"/>
      <c r="AI4785" s="169"/>
      <c r="AJ4785" s="94"/>
      <c r="AK4785" s="94"/>
      <c r="AL4785" s="58"/>
      <c r="AM4785" s="58"/>
      <c r="AN4785" s="186"/>
      <c r="AO4785" s="185" t="s">
        <v>7494</v>
      </c>
      <c r="AP4785" s="58"/>
      <c r="AQ4785" s="58"/>
      <c r="AR4785" s="58" t="s">
        <v>132</v>
      </c>
      <c r="AS4785" s="58" t="s">
        <v>132</v>
      </c>
      <c r="AT4785" s="247"/>
      <c r="AU4785" s="181" t="s">
        <v>7494</v>
      </c>
      <c r="AV4785" s="185" t="s">
        <v>176</v>
      </c>
      <c r="AW4785" s="244"/>
      <c r="AX4785" s="185" t="s">
        <v>176</v>
      </c>
      <c r="AY4785" s="244"/>
      <c r="AZ4785" s="58"/>
      <c r="BA4785" s="58"/>
      <c r="BB4785" s="58"/>
      <c r="BC4785" s="58"/>
      <c r="BD4785" s="58"/>
      <c r="BE4785" s="236" t="s">
        <v>5153</v>
      </c>
      <c r="BF4785" s="191" t="s">
        <v>176</v>
      </c>
      <c r="BG4785" s="191" t="s">
        <v>176</v>
      </c>
      <c r="BH4785" s="236" t="s">
        <v>5153</v>
      </c>
      <c r="BI4785" s="191" t="s">
        <v>176</v>
      </c>
      <c r="BJ4785" s="58" t="str">
        <f>IF(BE4785=BH4785,"No","yes")</f>
        <v>No</v>
      </c>
      <c r="BK4785" s="58" t="s">
        <v>6334</v>
      </c>
      <c r="BL4785" s="58"/>
      <c r="BM4785" s="237"/>
      <c r="BN4785" s="244">
        <v>3</v>
      </c>
      <c r="BO4785" s="244">
        <v>3</v>
      </c>
      <c r="BP4785" s="58"/>
      <c r="BQ4785" s="58"/>
      <c r="BR4785" s="58"/>
      <c r="BS4785" s="58"/>
      <c r="BT4785" s="58"/>
      <c r="BU4785" s="58"/>
      <c r="BV4785" s="58"/>
      <c r="BW4785" s="67"/>
      <c r="BX4785" s="67"/>
      <c r="BY4785" s="67"/>
      <c r="BZ4785" s="67"/>
      <c r="CA4785" s="67"/>
      <c r="CB4785" s="70"/>
      <c r="CC4785" s="70"/>
      <c r="CD4785" s="70"/>
      <c r="CE4785" s="67"/>
      <c r="CF4785" s="67"/>
      <c r="CG4785" s="67"/>
      <c r="CH4785" s="245"/>
      <c r="CI4785" s="245"/>
      <c r="CJ4785" s="67"/>
      <c r="CK4785" s="67"/>
      <c r="CL4785" s="67"/>
      <c r="CM4785" s="242"/>
      <c r="CN4785" s="242"/>
      <c r="CO4785" s="242"/>
      <c r="CP4785" s="242"/>
      <c r="CQ4785" s="242"/>
      <c r="CR4785" s="242"/>
      <c r="CS4785" s="242"/>
      <c r="CT4785" s="242"/>
      <c r="CU4785" s="242"/>
      <c r="CV4785" s="242"/>
      <c r="CW4785" s="242"/>
      <c r="CX4785" s="242"/>
      <c r="CY4785" s="242"/>
      <c r="CZ4785" s="242"/>
      <c r="DA4785" s="67"/>
      <c r="DB4785" s="67"/>
      <c r="DC4785" s="67"/>
      <c r="DD4785" s="67"/>
      <c r="DE4785" s="67"/>
      <c r="DF4785" s="67"/>
      <c r="DG4785" s="67"/>
      <c r="DH4785" s="67"/>
      <c r="DI4785" s="67"/>
      <c r="DJ4785" s="67"/>
      <c r="DK4785" s="67"/>
      <c r="DL4785" s="67"/>
      <c r="DM4785" s="67"/>
      <c r="DN4785" s="67"/>
      <c r="DO4785" s="67"/>
      <c r="DP4785" s="67"/>
      <c r="DQ4785" s="166"/>
      <c r="DR4785" s="166"/>
      <c r="DS4785" s="163"/>
      <c r="DT4785" s="163"/>
      <c r="DU4785" s="67"/>
      <c r="DV4785" s="67"/>
      <c r="DW4785" s="67"/>
      <c r="DX4785" s="67"/>
      <c r="DY4785" s="67"/>
      <c r="DZ4785" s="67"/>
      <c r="EA4785" s="67"/>
      <c r="EB4785" s="67"/>
      <c r="EC4785" s="67"/>
      <c r="ED4785" s="67"/>
      <c r="EE4785" s="67"/>
      <c r="EF4785" s="67"/>
      <c r="EG4785" s="67"/>
      <c r="EH4785" s="67"/>
      <c r="EI4785" s="67"/>
      <c r="EJ4785" s="67"/>
      <c r="EK4785" s="94"/>
      <c r="EL4785" s="94"/>
      <c r="EM4785" s="67"/>
      <c r="EN4785" s="67"/>
      <c r="EO4785" s="67"/>
      <c r="EP4785" s="67"/>
      <c r="EQ4785" s="67"/>
      <c r="ER4785" s="67"/>
      <c r="ES4785" s="67"/>
      <c r="ET4785" s="67"/>
      <c r="EU4785" s="67"/>
      <c r="EV4785" s="67"/>
      <c r="EW4785" s="67"/>
      <c r="EX4785" s="67"/>
      <c r="EY4785" s="67"/>
      <c r="EZ4785" s="67"/>
      <c r="FA4785" s="67"/>
      <c r="FB4785" s="67"/>
      <c r="FC4785" s="67"/>
      <c r="FD4785" s="67"/>
      <c r="FE4785" s="67"/>
      <c r="FF4785" s="67"/>
      <c r="FG4785" s="67"/>
      <c r="FH4785" s="67"/>
      <c r="FI4785" s="67"/>
      <c r="FJ4785" s="67"/>
      <c r="FK4785" s="67"/>
      <c r="FL4785" s="67"/>
      <c r="FM4785" s="67"/>
      <c r="FN4785" s="67"/>
      <c r="FO4785" s="67"/>
      <c r="FP4785" s="67"/>
      <c r="FQ4785" s="67"/>
      <c r="FR4785" s="67"/>
      <c r="FS4785" s="67"/>
      <c r="FT4785" s="67"/>
      <c r="FU4785" s="67"/>
      <c r="FV4785" s="67"/>
      <c r="FW4785" s="67"/>
      <c r="FX4785" s="67"/>
      <c r="FY4785" s="67"/>
      <c r="FZ4785" s="67"/>
      <c r="GA4785" s="67"/>
      <c r="GB4785" s="67"/>
      <c r="GC4785" s="67"/>
      <c r="GD4785" s="67"/>
      <c r="GE4785" s="67"/>
      <c r="GF4785" s="67"/>
      <c r="GG4785" s="67"/>
      <c r="GH4785" s="67"/>
      <c r="GI4785" s="67"/>
      <c r="GJ4785" s="67"/>
      <c r="GK4785" s="67"/>
      <c r="GL4785" s="67"/>
      <c r="GM4785" s="67"/>
      <c r="GN4785" s="292">
        <v>0.7</v>
      </c>
      <c r="GO4785" s="292">
        <v>15.9</v>
      </c>
      <c r="GP4785" s="292" t="s">
        <v>5150</v>
      </c>
      <c r="GQ4785" s="67"/>
      <c r="GR4785" s="67"/>
      <c r="GS4785" s="67" t="s">
        <v>2268</v>
      </c>
      <c r="GT4785" s="67"/>
      <c r="GU4785" s="67"/>
      <c r="GV4785" s="67"/>
      <c r="GW4785" s="67"/>
      <c r="GX4785" s="67"/>
      <c r="GY4785" s="67"/>
      <c r="GZ4785" s="67"/>
      <c r="HA4785" s="67"/>
      <c r="HB4785" s="67"/>
      <c r="HC4785" s="67"/>
      <c r="HD4785" s="67"/>
      <c r="HE4785" s="67"/>
      <c r="HF4785" s="67"/>
      <c r="HG4785" s="67"/>
      <c r="HH4785" s="67"/>
      <c r="HI4785" s="67"/>
      <c r="HJ4785" s="67"/>
      <c r="HK4785" s="67"/>
      <c r="HL4785" s="67"/>
      <c r="HM4785" s="67"/>
      <c r="HN4785" s="67"/>
      <c r="HO4785" s="67"/>
      <c r="HP4785" s="67"/>
      <c r="HQ4785" s="67"/>
      <c r="HR4785" s="67"/>
      <c r="HS4785" s="67"/>
      <c r="HT4785" s="67"/>
      <c r="HU4785" s="67"/>
      <c r="HV4785" s="67"/>
      <c r="HW4785" s="67"/>
      <c r="HX4785" s="67"/>
      <c r="HY4785" s="67"/>
      <c r="HZ4785" s="67"/>
      <c r="IA4785" s="67"/>
      <c r="IB4785" s="67"/>
      <c r="IC4785" s="67"/>
      <c r="ID4785" s="67"/>
      <c r="IE4785" s="67"/>
      <c r="IF4785" s="67"/>
      <c r="IG4785" s="67"/>
      <c r="IH4785" s="67"/>
      <c r="II4785" s="67"/>
      <c r="IJ4785" s="67"/>
      <c r="IK4785" s="67"/>
      <c r="IL4785" s="67"/>
      <c r="IM4785" s="67"/>
      <c r="IN4785" s="67"/>
      <c r="IO4785" s="67"/>
      <c r="IP4785" s="67"/>
      <c r="IQ4785" s="67"/>
      <c r="IR4785" s="67"/>
      <c r="IS4785" s="67"/>
      <c r="IT4785" s="67"/>
      <c r="IU4785" s="67"/>
      <c r="IV4785" s="67"/>
      <c r="IW4785" s="67"/>
      <c r="IX4785" s="67"/>
      <c r="IY4785" s="67"/>
      <c r="IZ4785" s="67"/>
      <c r="JA4785" s="67"/>
      <c r="JB4785" s="67"/>
      <c r="JC4785" s="67"/>
      <c r="JD4785" s="67"/>
      <c r="JE4785" s="67"/>
      <c r="JF4785" s="67"/>
      <c r="JG4785" s="67"/>
      <c r="JH4785" s="67"/>
      <c r="JI4785" s="67"/>
      <c r="JJ4785" s="67"/>
      <c r="JK4785" s="67"/>
      <c r="JL4785" s="67"/>
      <c r="JM4785" s="67"/>
      <c r="JN4785" s="67"/>
      <c r="JO4785" s="67"/>
      <c r="JP4785" s="67"/>
      <c r="JQ4785" s="67"/>
      <c r="JR4785" s="67"/>
      <c r="JS4785" s="67"/>
      <c r="JT4785" s="67"/>
      <c r="JU4785" s="58"/>
      <c r="JV4785" s="58"/>
      <c r="JW4785" s="58"/>
    </row>
    <row r="4786" spans="1:283" s="23" customFormat="1" x14ac:dyDescent="0.25">
      <c r="A4786" s="55">
        <v>4785</v>
      </c>
      <c r="B4786" s="12" t="s">
        <v>7067</v>
      </c>
      <c r="C4786" s="156">
        <v>214</v>
      </c>
      <c r="D4786" s="58" t="s">
        <v>4884</v>
      </c>
      <c r="E4786" s="160" t="str">
        <f>G4786</f>
        <v>Capriel 1991_ Farm Pair 1</v>
      </c>
      <c r="F4786" s="160"/>
      <c r="G4786" s="60" t="s">
        <v>4845</v>
      </c>
      <c r="H4786" s="58">
        <v>1991</v>
      </c>
      <c r="I4786" s="58" t="s">
        <v>3291</v>
      </c>
      <c r="J4786" s="243" t="s">
        <v>5302</v>
      </c>
      <c r="K4786" s="63" t="s">
        <v>5127</v>
      </c>
      <c r="L4786" s="58" t="s">
        <v>1077</v>
      </c>
      <c r="M4786" s="94">
        <v>48.79</v>
      </c>
      <c r="N4786" s="94">
        <v>11.5</v>
      </c>
      <c r="O4786" s="94">
        <v>371</v>
      </c>
      <c r="P4786" s="58"/>
      <c r="Q4786" s="244">
        <v>8.6999999999999993</v>
      </c>
      <c r="R4786" s="58"/>
      <c r="S4786" s="245">
        <v>620</v>
      </c>
      <c r="T4786" s="58"/>
      <c r="U4786" s="58" t="s">
        <v>1682</v>
      </c>
      <c r="V4786" s="244">
        <v>5</v>
      </c>
      <c r="W4786" s="174"/>
      <c r="X4786" s="174"/>
      <c r="Y4786" s="58" t="s">
        <v>5908</v>
      </c>
      <c r="Z4786" s="244" t="s">
        <v>1349</v>
      </c>
      <c r="AA4786" s="245">
        <v>15</v>
      </c>
      <c r="AB4786" s="67"/>
      <c r="AC4786" s="67"/>
      <c r="AD4786" s="94"/>
      <c r="AE4786" s="94"/>
      <c r="AF4786" s="94"/>
      <c r="AG4786" s="245"/>
      <c r="AH4786" s="58"/>
      <c r="AI4786" s="169"/>
      <c r="AJ4786" s="94"/>
      <c r="AK4786" s="94"/>
      <c r="AL4786" s="58"/>
      <c r="AM4786" s="58"/>
      <c r="AN4786" s="186"/>
      <c r="AO4786" s="185" t="s">
        <v>5150</v>
      </c>
      <c r="AP4786" s="58"/>
      <c r="AQ4786" s="58"/>
      <c r="AR4786" s="58" t="s">
        <v>132</v>
      </c>
      <c r="AS4786" s="58" t="s">
        <v>132</v>
      </c>
      <c r="AT4786" s="247"/>
      <c r="AU4786" s="181" t="s">
        <v>7494</v>
      </c>
      <c r="AV4786" s="185" t="s">
        <v>176</v>
      </c>
      <c r="AW4786" s="244"/>
      <c r="AX4786" s="185" t="s">
        <v>176</v>
      </c>
      <c r="AY4786" s="244"/>
      <c r="AZ4786" s="58"/>
      <c r="BA4786" s="58"/>
      <c r="BB4786" s="58"/>
      <c r="BC4786" s="58"/>
      <c r="BD4786" s="58"/>
      <c r="BE4786" s="236" t="s">
        <v>5153</v>
      </c>
      <c r="BF4786" s="191" t="s">
        <v>176</v>
      </c>
      <c r="BG4786" s="191" t="s">
        <v>176</v>
      </c>
      <c r="BH4786" s="236" t="s">
        <v>5153</v>
      </c>
      <c r="BI4786" s="191" t="s">
        <v>176</v>
      </c>
      <c r="BJ4786" s="58" t="str">
        <f>IF(BE4786=BH4786,"No","yes")</f>
        <v>No</v>
      </c>
      <c r="BK4786" s="58" t="s">
        <v>6334</v>
      </c>
      <c r="BL4786" s="58"/>
      <c r="BM4786" s="237"/>
      <c r="BN4786" s="244">
        <v>3</v>
      </c>
      <c r="BO4786" s="244">
        <v>3</v>
      </c>
      <c r="BP4786" s="58"/>
      <c r="BQ4786" s="58"/>
      <c r="BR4786" s="58"/>
      <c r="BS4786" s="58"/>
      <c r="BT4786" s="58"/>
      <c r="BU4786" s="58"/>
      <c r="BV4786" s="58"/>
      <c r="BW4786" s="67">
        <v>71013</v>
      </c>
      <c r="BX4786" s="67">
        <v>71828</v>
      </c>
      <c r="BY4786" s="67"/>
      <c r="BZ4786" s="67"/>
      <c r="CA4786" s="67" t="s">
        <v>5912</v>
      </c>
      <c r="CB4786" s="70">
        <v>7100</v>
      </c>
      <c r="CC4786" s="70">
        <v>8000</v>
      </c>
      <c r="CD4786" s="70"/>
      <c r="CE4786" s="67">
        <v>700</v>
      </c>
      <c r="CF4786" s="67">
        <v>700</v>
      </c>
      <c r="CG4786" s="67" t="s">
        <v>5913</v>
      </c>
      <c r="CH4786" s="245">
        <v>1.1000000000000001</v>
      </c>
      <c r="CI4786" s="245">
        <v>1.1499999999999999</v>
      </c>
      <c r="CJ4786" s="67"/>
      <c r="CK4786" s="67"/>
      <c r="CL4786" s="67"/>
      <c r="CM4786" s="242">
        <v>2.5499999999999998</v>
      </c>
      <c r="CN4786" s="242">
        <v>2.62</v>
      </c>
      <c r="CO4786" s="242"/>
      <c r="CP4786" s="242"/>
      <c r="CQ4786" s="242" t="s">
        <v>164</v>
      </c>
      <c r="CR4786" s="242"/>
      <c r="CS4786" s="242"/>
      <c r="CT4786" s="242"/>
      <c r="CU4786" s="242"/>
      <c r="CV4786" s="242"/>
      <c r="CW4786" s="242"/>
      <c r="CX4786" s="242"/>
      <c r="CY4786" s="242"/>
      <c r="CZ4786" s="242"/>
      <c r="DA4786" s="67"/>
      <c r="DB4786" s="67">
        <v>2200</v>
      </c>
      <c r="DC4786" s="67">
        <v>2200</v>
      </c>
      <c r="DD4786" s="67"/>
      <c r="DE4786" s="67"/>
      <c r="DF4786" s="67" t="s">
        <v>5909</v>
      </c>
      <c r="DG4786" s="67">
        <v>34</v>
      </c>
      <c r="DH4786" s="67">
        <v>48</v>
      </c>
      <c r="DI4786" s="67">
        <v>12</v>
      </c>
      <c r="DJ4786" s="67">
        <v>12</v>
      </c>
      <c r="DK4786" s="67" t="s">
        <v>2242</v>
      </c>
      <c r="DL4786" s="67">
        <v>244</v>
      </c>
      <c r="DM4786" s="67">
        <v>290</v>
      </c>
      <c r="DN4786" s="67"/>
      <c r="DO4786" s="67"/>
      <c r="DP4786" s="67" t="s">
        <v>2242</v>
      </c>
      <c r="DQ4786" s="166">
        <v>6.4</v>
      </c>
      <c r="DR4786" s="166">
        <v>6.46</v>
      </c>
      <c r="DS4786" s="163"/>
      <c r="DT4786" s="163"/>
      <c r="DU4786" s="67"/>
      <c r="DV4786" s="67">
        <f>3509+304</f>
        <v>3813</v>
      </c>
      <c r="DW4786" s="67">
        <f>3653+301</f>
        <v>3954</v>
      </c>
      <c r="DX4786" s="67"/>
      <c r="DY4786" s="67"/>
      <c r="DZ4786" s="67" t="s">
        <v>5910</v>
      </c>
      <c r="EA4786" s="67">
        <v>239</v>
      </c>
      <c r="EB4786" s="67">
        <v>228</v>
      </c>
      <c r="EC4786" s="67"/>
      <c r="ED4786" s="67"/>
      <c r="EE4786" s="67" t="s">
        <v>5911</v>
      </c>
      <c r="EF4786" s="67"/>
      <c r="EG4786" s="67"/>
      <c r="EH4786" s="67"/>
      <c r="EI4786" s="67"/>
      <c r="EJ4786" s="67"/>
      <c r="EK4786" s="94"/>
      <c r="EL4786" s="94"/>
      <c r="EM4786" s="67"/>
      <c r="EN4786" s="67"/>
      <c r="EO4786" s="67"/>
      <c r="EP4786" s="67"/>
      <c r="EQ4786" s="67"/>
      <c r="ER4786" s="67"/>
      <c r="ES4786" s="67"/>
      <c r="ET4786" s="67"/>
      <c r="EU4786" s="67"/>
      <c r="EV4786" s="67"/>
      <c r="EW4786" s="67"/>
      <c r="EX4786" s="67"/>
      <c r="EY4786" s="67"/>
      <c r="EZ4786" s="67"/>
      <c r="FA4786" s="67"/>
      <c r="FB4786" s="67"/>
      <c r="FC4786" s="67"/>
      <c r="FD4786" s="67"/>
      <c r="FE4786" s="67"/>
      <c r="FF4786" s="67"/>
      <c r="FG4786" s="67"/>
      <c r="FH4786" s="67"/>
      <c r="FI4786" s="67"/>
      <c r="FJ4786" s="67"/>
      <c r="FK4786" s="67"/>
      <c r="FL4786" s="67"/>
      <c r="FM4786" s="67"/>
      <c r="FN4786" s="67"/>
      <c r="FO4786" s="67"/>
      <c r="FP4786" s="67"/>
      <c r="FQ4786" s="67"/>
      <c r="FR4786" s="67"/>
      <c r="FS4786" s="67"/>
      <c r="FT4786" s="67"/>
      <c r="FU4786" s="67"/>
      <c r="FV4786" s="67"/>
      <c r="FW4786" s="67"/>
      <c r="FX4786" s="67"/>
      <c r="FY4786" s="67"/>
      <c r="FZ4786" s="67"/>
      <c r="GA4786" s="67"/>
      <c r="GB4786" s="67"/>
      <c r="GC4786" s="67"/>
      <c r="GD4786" s="67"/>
      <c r="GE4786" s="67"/>
      <c r="GF4786" s="67"/>
      <c r="GG4786" s="67"/>
      <c r="GH4786" s="67"/>
      <c r="GI4786" s="67"/>
      <c r="GJ4786" s="67"/>
      <c r="GK4786" s="67"/>
      <c r="GL4786" s="67"/>
      <c r="GM4786" s="67"/>
      <c r="GN4786" s="292">
        <v>3.4</v>
      </c>
      <c r="GO4786" s="292">
        <v>0.8</v>
      </c>
      <c r="GP4786" s="292" t="s">
        <v>5150</v>
      </c>
      <c r="GQ4786" s="67"/>
      <c r="GR4786" s="67"/>
      <c r="GS4786" s="67" t="s">
        <v>5914</v>
      </c>
      <c r="GT4786" s="67"/>
      <c r="GU4786" s="67"/>
      <c r="GV4786" s="67"/>
      <c r="GW4786" s="67"/>
      <c r="GX4786" s="67"/>
      <c r="GY4786" s="67"/>
      <c r="GZ4786" s="67"/>
      <c r="HA4786" s="67"/>
      <c r="HB4786" s="67"/>
      <c r="HC4786" s="67"/>
      <c r="HD4786" s="67"/>
      <c r="HE4786" s="67"/>
      <c r="HF4786" s="67"/>
      <c r="HG4786" s="67"/>
      <c r="HH4786" s="67"/>
      <c r="HI4786" s="67"/>
      <c r="HJ4786" s="67"/>
      <c r="HK4786" s="67"/>
      <c r="HL4786" s="67"/>
      <c r="HM4786" s="67"/>
      <c r="HN4786" s="67"/>
      <c r="HO4786" s="67"/>
      <c r="HP4786" s="67"/>
      <c r="HQ4786" s="67"/>
      <c r="HR4786" s="67"/>
      <c r="HS4786" s="67"/>
      <c r="HT4786" s="67"/>
      <c r="HU4786" s="67"/>
      <c r="HV4786" s="67"/>
      <c r="HW4786" s="67"/>
      <c r="HX4786" s="67"/>
      <c r="HY4786" s="67"/>
      <c r="HZ4786" s="67"/>
      <c r="IA4786" s="67"/>
      <c r="IB4786" s="67"/>
      <c r="IC4786" s="67"/>
      <c r="ID4786" s="67"/>
      <c r="IE4786" s="67"/>
      <c r="IF4786" s="67"/>
      <c r="IG4786" s="67"/>
      <c r="IH4786" s="67"/>
      <c r="II4786" s="67"/>
      <c r="IJ4786" s="67"/>
      <c r="IK4786" s="67"/>
      <c r="IL4786" s="67"/>
      <c r="IM4786" s="67"/>
      <c r="IN4786" s="67"/>
      <c r="IO4786" s="67"/>
      <c r="IP4786" s="67"/>
      <c r="IQ4786" s="67"/>
      <c r="IR4786" s="67"/>
      <c r="IS4786" s="67"/>
      <c r="IT4786" s="67"/>
      <c r="IU4786" s="67"/>
      <c r="IV4786" s="67"/>
      <c r="IW4786" s="67"/>
      <c r="IX4786" s="67"/>
      <c r="IY4786" s="67"/>
      <c r="IZ4786" s="67"/>
      <c r="JA4786" s="67"/>
      <c r="JB4786" s="67"/>
      <c r="JC4786" s="67"/>
      <c r="JD4786" s="67"/>
      <c r="JE4786" s="67"/>
      <c r="JF4786" s="67"/>
      <c r="JG4786" s="67"/>
      <c r="JH4786" s="67"/>
      <c r="JI4786" s="67"/>
      <c r="JJ4786" s="67"/>
      <c r="JK4786" s="67"/>
      <c r="JL4786" s="67"/>
      <c r="JM4786" s="67"/>
      <c r="JN4786" s="67"/>
      <c r="JO4786" s="67"/>
      <c r="JP4786" s="67"/>
      <c r="JQ4786" s="67"/>
      <c r="JR4786" s="67"/>
      <c r="JS4786" s="67"/>
      <c r="JT4786" s="67"/>
      <c r="JU4786" s="58"/>
      <c r="JV4786" s="58"/>
      <c r="JW4786" s="58"/>
    </row>
    <row r="4787" spans="1:283" s="23" customFormat="1" x14ac:dyDescent="0.25">
      <c r="A4787" s="55">
        <v>4786</v>
      </c>
      <c r="B4787" s="12" t="s">
        <v>7067</v>
      </c>
      <c r="C4787" s="156">
        <v>214</v>
      </c>
      <c r="D4787" s="58" t="s">
        <v>4885</v>
      </c>
      <c r="E4787" s="160" t="str">
        <f>G4787</f>
        <v>Capriel 1991_Farm Pair 2</v>
      </c>
      <c r="F4787" s="160"/>
      <c r="G4787" s="60" t="s">
        <v>4844</v>
      </c>
      <c r="H4787" s="58">
        <v>1991</v>
      </c>
      <c r="I4787" s="58" t="s">
        <v>3291</v>
      </c>
      <c r="J4787" s="243" t="s">
        <v>5302</v>
      </c>
      <c r="K4787" s="63" t="s">
        <v>5127</v>
      </c>
      <c r="L4787" s="58" t="s">
        <v>1077</v>
      </c>
      <c r="M4787" s="94">
        <v>48.79</v>
      </c>
      <c r="N4787" s="94">
        <v>11.5</v>
      </c>
      <c r="O4787" s="94">
        <v>371</v>
      </c>
      <c r="P4787" s="58"/>
      <c r="Q4787" s="244">
        <v>8.6999999999999993</v>
      </c>
      <c r="R4787" s="58"/>
      <c r="S4787" s="245">
        <v>620</v>
      </c>
      <c r="T4787" s="58"/>
      <c r="U4787" s="58" t="s">
        <v>1682</v>
      </c>
      <c r="V4787" s="244">
        <v>5</v>
      </c>
      <c r="W4787" s="174"/>
      <c r="X4787" s="174"/>
      <c r="Y4787" s="58" t="s">
        <v>5908</v>
      </c>
      <c r="Z4787" s="244" t="s">
        <v>1349</v>
      </c>
      <c r="AA4787" s="245">
        <v>15</v>
      </c>
      <c r="AB4787" s="67"/>
      <c r="AC4787" s="67"/>
      <c r="AD4787" s="94"/>
      <c r="AE4787" s="94"/>
      <c r="AF4787" s="94"/>
      <c r="AG4787" s="245"/>
      <c r="AH4787" s="58"/>
      <c r="AI4787" s="169"/>
      <c r="AJ4787" s="94"/>
      <c r="AK4787" s="94"/>
      <c r="AL4787" s="58"/>
      <c r="AM4787" s="58"/>
      <c r="AN4787" s="186"/>
      <c r="AO4787" s="185" t="s">
        <v>5150</v>
      </c>
      <c r="AP4787" s="58"/>
      <c r="AQ4787" s="58"/>
      <c r="AR4787" s="58" t="s">
        <v>132</v>
      </c>
      <c r="AS4787" s="58" t="s">
        <v>132</v>
      </c>
      <c r="AT4787" s="247"/>
      <c r="AU4787" s="181" t="s">
        <v>7494</v>
      </c>
      <c r="AV4787" s="185" t="s">
        <v>176</v>
      </c>
      <c r="AW4787" s="244"/>
      <c r="AX4787" s="185" t="s">
        <v>176</v>
      </c>
      <c r="AY4787" s="244"/>
      <c r="AZ4787" s="58"/>
      <c r="BA4787" s="58"/>
      <c r="BB4787" s="58"/>
      <c r="BC4787" s="58"/>
      <c r="BD4787" s="58"/>
      <c r="BE4787" s="236" t="s">
        <v>5153</v>
      </c>
      <c r="BF4787" s="191" t="s">
        <v>176</v>
      </c>
      <c r="BG4787" s="191" t="s">
        <v>176</v>
      </c>
      <c r="BH4787" s="236" t="s">
        <v>5153</v>
      </c>
      <c r="BI4787" s="191" t="s">
        <v>176</v>
      </c>
      <c r="BJ4787" s="58" t="str">
        <f>IF(BE4787=BH4787,"No","yes")</f>
        <v>No</v>
      </c>
      <c r="BK4787" s="58" t="s">
        <v>6334</v>
      </c>
      <c r="BL4787" s="58"/>
      <c r="BM4787" s="237"/>
      <c r="BN4787" s="244">
        <v>3</v>
      </c>
      <c r="BO4787" s="244">
        <v>3</v>
      </c>
      <c r="BP4787" s="58"/>
      <c r="BQ4787" s="58"/>
      <c r="BR4787" s="58"/>
      <c r="BS4787" s="58"/>
      <c r="BT4787" s="58"/>
      <c r="BU4787" s="58"/>
      <c r="BV4787" s="58"/>
      <c r="BW4787" s="67">
        <v>71013</v>
      </c>
      <c r="BX4787" s="67">
        <v>74520</v>
      </c>
      <c r="BY4787" s="67"/>
      <c r="BZ4787" s="67"/>
      <c r="CA4787" s="67" t="s">
        <v>5912</v>
      </c>
      <c r="CB4787" s="70">
        <v>7100</v>
      </c>
      <c r="CC4787" s="70">
        <v>8200</v>
      </c>
      <c r="CD4787" s="70"/>
      <c r="CE4787" s="67">
        <v>700</v>
      </c>
      <c r="CF4787" s="67">
        <v>700</v>
      </c>
      <c r="CG4787" s="67" t="s">
        <v>5913</v>
      </c>
      <c r="CH4787" s="245">
        <v>1.1000000000000001</v>
      </c>
      <c r="CI4787" s="245">
        <v>1.1499999999999999</v>
      </c>
      <c r="CJ4787" s="67"/>
      <c r="CK4787" s="67"/>
      <c r="CL4787" s="67"/>
      <c r="CM4787" s="242">
        <v>2.5499999999999998</v>
      </c>
      <c r="CN4787" s="242">
        <v>2.63</v>
      </c>
      <c r="CO4787" s="242"/>
      <c r="CP4787" s="242"/>
      <c r="CQ4787" s="242" t="s">
        <v>164</v>
      </c>
      <c r="CR4787" s="242"/>
      <c r="CS4787" s="242"/>
      <c r="CT4787" s="242"/>
      <c r="CU4787" s="242"/>
      <c r="CV4787" s="242"/>
      <c r="CW4787" s="242"/>
      <c r="CX4787" s="242"/>
      <c r="CY4787" s="242"/>
      <c r="CZ4787" s="242"/>
      <c r="DA4787" s="67"/>
      <c r="DB4787" s="67">
        <v>2200</v>
      </c>
      <c r="DC4787" s="67">
        <v>2200</v>
      </c>
      <c r="DD4787" s="67"/>
      <c r="DE4787" s="67"/>
      <c r="DF4787" s="67" t="s">
        <v>5909</v>
      </c>
      <c r="DG4787" s="67">
        <v>34</v>
      </c>
      <c r="DH4787" s="67">
        <v>42</v>
      </c>
      <c r="DI4787" s="67">
        <v>12</v>
      </c>
      <c r="DJ4787" s="67">
        <v>12</v>
      </c>
      <c r="DK4787" s="67" t="s">
        <v>2242</v>
      </c>
      <c r="DL4787" s="67">
        <v>244</v>
      </c>
      <c r="DM4787" s="67">
        <v>276</v>
      </c>
      <c r="DN4787" s="67"/>
      <c r="DO4787" s="67"/>
      <c r="DP4787" s="67" t="s">
        <v>2242</v>
      </c>
      <c r="DQ4787" s="166">
        <v>6.4</v>
      </c>
      <c r="DR4787" s="166">
        <v>6.47</v>
      </c>
      <c r="DS4787" s="163"/>
      <c r="DT4787" s="163"/>
      <c r="DU4787" s="67"/>
      <c r="DV4787" s="67">
        <f>3509+304</f>
        <v>3813</v>
      </c>
      <c r="DW4787" s="67">
        <f>3684+317</f>
        <v>4001</v>
      </c>
      <c r="DX4787" s="67"/>
      <c r="DY4787" s="67"/>
      <c r="DZ4787" s="67" t="s">
        <v>5910</v>
      </c>
      <c r="EA4787" s="67">
        <v>239</v>
      </c>
      <c r="EB4787" s="67">
        <v>234</v>
      </c>
      <c r="EC4787" s="67"/>
      <c r="ED4787" s="67"/>
      <c r="EE4787" s="67" t="s">
        <v>5911</v>
      </c>
      <c r="EF4787" s="67"/>
      <c r="EG4787" s="67"/>
      <c r="EH4787" s="67"/>
      <c r="EI4787" s="67"/>
      <c r="EJ4787" s="67"/>
      <c r="EK4787" s="94"/>
      <c r="EL4787" s="94"/>
      <c r="EM4787" s="67"/>
      <c r="EN4787" s="67"/>
      <c r="EO4787" s="67"/>
      <c r="EP4787" s="67"/>
      <c r="EQ4787" s="67"/>
      <c r="ER4787" s="67"/>
      <c r="ES4787" s="67"/>
      <c r="ET4787" s="67"/>
      <c r="EU4787" s="67"/>
      <c r="EV4787" s="67"/>
      <c r="EW4787" s="67"/>
      <c r="EX4787" s="67"/>
      <c r="EY4787" s="67"/>
      <c r="EZ4787" s="67"/>
      <c r="FA4787" s="67"/>
      <c r="FB4787" s="67"/>
      <c r="FC4787" s="67"/>
      <c r="FD4787" s="67"/>
      <c r="FE4787" s="67"/>
      <c r="FF4787" s="67"/>
      <c r="FG4787" s="67"/>
      <c r="FH4787" s="67"/>
      <c r="FI4787" s="67"/>
      <c r="FJ4787" s="67"/>
      <c r="FK4787" s="67"/>
      <c r="FL4787" s="67"/>
      <c r="FM4787" s="67"/>
      <c r="FN4787" s="67"/>
      <c r="FO4787" s="67"/>
      <c r="FP4787" s="67"/>
      <c r="FQ4787" s="67"/>
      <c r="FR4787" s="67"/>
      <c r="FS4787" s="67"/>
      <c r="FT4787" s="67"/>
      <c r="FU4787" s="67"/>
      <c r="FV4787" s="67"/>
      <c r="FW4787" s="67"/>
      <c r="FX4787" s="67"/>
      <c r="FY4787" s="67"/>
      <c r="FZ4787" s="67"/>
      <c r="GA4787" s="67"/>
      <c r="GB4787" s="67"/>
      <c r="GC4787" s="67"/>
      <c r="GD4787" s="67"/>
      <c r="GE4787" s="67"/>
      <c r="GF4787" s="67"/>
      <c r="GG4787" s="67"/>
      <c r="GH4787" s="67"/>
      <c r="GI4787" s="67"/>
      <c r="GJ4787" s="67"/>
      <c r="GK4787" s="67"/>
      <c r="GL4787" s="67"/>
      <c r="GM4787" s="67"/>
      <c r="GN4787" s="292">
        <v>3.4</v>
      </c>
      <c r="GO4787" s="292">
        <v>13.8</v>
      </c>
      <c r="GP4787" s="292" t="s">
        <v>5150</v>
      </c>
      <c r="GQ4787" s="67"/>
      <c r="GR4787" s="67"/>
      <c r="GS4787" s="67" t="s">
        <v>5914</v>
      </c>
      <c r="GT4787" s="67"/>
      <c r="GU4787" s="67"/>
      <c r="GV4787" s="67"/>
      <c r="GW4787" s="67"/>
      <c r="GX4787" s="67"/>
      <c r="GY4787" s="67"/>
      <c r="GZ4787" s="67"/>
      <c r="HA4787" s="67"/>
      <c r="HB4787" s="67"/>
      <c r="HC4787" s="67"/>
      <c r="HD4787" s="67"/>
      <c r="HE4787" s="67"/>
      <c r="HF4787" s="67"/>
      <c r="HG4787" s="67"/>
      <c r="HH4787" s="67"/>
      <c r="HI4787" s="67"/>
      <c r="HJ4787" s="67"/>
      <c r="HK4787" s="67"/>
      <c r="HL4787" s="67"/>
      <c r="HM4787" s="67"/>
      <c r="HN4787" s="67"/>
      <c r="HO4787" s="67"/>
      <c r="HP4787" s="67"/>
      <c r="HQ4787" s="67"/>
      <c r="HR4787" s="67"/>
      <c r="HS4787" s="67"/>
      <c r="HT4787" s="67"/>
      <c r="HU4787" s="67"/>
      <c r="HV4787" s="67"/>
      <c r="HW4787" s="67"/>
      <c r="HX4787" s="67"/>
      <c r="HY4787" s="67"/>
      <c r="HZ4787" s="67"/>
      <c r="IA4787" s="67"/>
      <c r="IB4787" s="67"/>
      <c r="IC4787" s="67"/>
      <c r="ID4787" s="67"/>
      <c r="IE4787" s="67"/>
      <c r="IF4787" s="67"/>
      <c r="IG4787" s="67"/>
      <c r="IH4787" s="67"/>
      <c r="II4787" s="67"/>
      <c r="IJ4787" s="67"/>
      <c r="IK4787" s="67"/>
      <c r="IL4787" s="67"/>
      <c r="IM4787" s="67"/>
      <c r="IN4787" s="67"/>
      <c r="IO4787" s="67"/>
      <c r="IP4787" s="67"/>
      <c r="IQ4787" s="67"/>
      <c r="IR4787" s="67"/>
      <c r="IS4787" s="67"/>
      <c r="IT4787" s="67"/>
      <c r="IU4787" s="67"/>
      <c r="IV4787" s="67"/>
      <c r="IW4787" s="67"/>
      <c r="IX4787" s="67"/>
      <c r="IY4787" s="67"/>
      <c r="IZ4787" s="67"/>
      <c r="JA4787" s="67"/>
      <c r="JB4787" s="67"/>
      <c r="JC4787" s="67"/>
      <c r="JD4787" s="67"/>
      <c r="JE4787" s="67"/>
      <c r="JF4787" s="67"/>
      <c r="JG4787" s="67"/>
      <c r="JH4787" s="67"/>
      <c r="JI4787" s="67"/>
      <c r="JJ4787" s="67"/>
      <c r="JK4787" s="67"/>
      <c r="JL4787" s="67"/>
      <c r="JM4787" s="67"/>
      <c r="JN4787" s="67"/>
      <c r="JO4787" s="67"/>
      <c r="JP4787" s="67"/>
      <c r="JQ4787" s="67"/>
      <c r="JR4787" s="67"/>
      <c r="JS4787" s="67"/>
      <c r="JT4787" s="67"/>
      <c r="JU4787" s="58"/>
      <c r="JV4787" s="58"/>
      <c r="JW4787" s="58"/>
    </row>
    <row r="4788" spans="1:283" s="23" customFormat="1" x14ac:dyDescent="0.25">
      <c r="A4788" s="55">
        <v>4787</v>
      </c>
      <c r="B4788" s="12" t="s">
        <v>7067</v>
      </c>
      <c r="C4788" s="156">
        <v>214</v>
      </c>
      <c r="D4788" s="58" t="s">
        <v>4886</v>
      </c>
      <c r="E4788" s="160" t="str">
        <f>G4788</f>
        <v>Capriel 1991_Farm Pair 3</v>
      </c>
      <c r="F4788" s="160"/>
      <c r="G4788" s="60" t="s">
        <v>4843</v>
      </c>
      <c r="H4788" s="58">
        <v>1991</v>
      </c>
      <c r="I4788" s="58" t="s">
        <v>3291</v>
      </c>
      <c r="J4788" s="243" t="s">
        <v>5302</v>
      </c>
      <c r="K4788" s="63" t="s">
        <v>5127</v>
      </c>
      <c r="L4788" s="58" t="s">
        <v>1077</v>
      </c>
      <c r="M4788" s="94">
        <v>48.79</v>
      </c>
      <c r="N4788" s="94">
        <v>11.5</v>
      </c>
      <c r="O4788" s="94">
        <v>371</v>
      </c>
      <c r="P4788" s="58"/>
      <c r="Q4788" s="244">
        <v>8.6999999999999993</v>
      </c>
      <c r="R4788" s="58"/>
      <c r="S4788" s="245">
        <v>620</v>
      </c>
      <c r="T4788" s="58"/>
      <c r="U4788" s="58" t="s">
        <v>1682</v>
      </c>
      <c r="V4788" s="244">
        <v>5</v>
      </c>
      <c r="W4788" s="174"/>
      <c r="X4788" s="174"/>
      <c r="Y4788" s="58" t="s">
        <v>5908</v>
      </c>
      <c r="Z4788" s="244" t="s">
        <v>1349</v>
      </c>
      <c r="AA4788" s="245">
        <v>15</v>
      </c>
      <c r="AB4788" s="67"/>
      <c r="AC4788" s="67"/>
      <c r="AD4788" s="94"/>
      <c r="AE4788" s="94"/>
      <c r="AF4788" s="94"/>
      <c r="AG4788" s="245"/>
      <c r="AH4788" s="58"/>
      <c r="AI4788" s="169"/>
      <c r="AJ4788" s="94"/>
      <c r="AK4788" s="94"/>
      <c r="AL4788" s="58"/>
      <c r="AM4788" s="58"/>
      <c r="AN4788" s="186"/>
      <c r="AO4788" s="185" t="s">
        <v>5150</v>
      </c>
      <c r="AP4788" s="58"/>
      <c r="AQ4788" s="58"/>
      <c r="AR4788" s="58" t="s">
        <v>132</v>
      </c>
      <c r="AS4788" s="58" t="s">
        <v>132</v>
      </c>
      <c r="AT4788" s="247"/>
      <c r="AU4788" s="181" t="s">
        <v>7494</v>
      </c>
      <c r="AV4788" s="185" t="s">
        <v>176</v>
      </c>
      <c r="AW4788" s="244"/>
      <c r="AX4788" s="185" t="s">
        <v>176</v>
      </c>
      <c r="AY4788" s="244"/>
      <c r="AZ4788" s="58"/>
      <c r="BA4788" s="58"/>
      <c r="BB4788" s="58"/>
      <c r="BC4788" s="58"/>
      <c r="BD4788" s="58"/>
      <c r="BE4788" s="236" t="s">
        <v>5153</v>
      </c>
      <c r="BF4788" s="191" t="s">
        <v>176</v>
      </c>
      <c r="BG4788" s="191" t="s">
        <v>176</v>
      </c>
      <c r="BH4788" s="236" t="s">
        <v>5153</v>
      </c>
      <c r="BI4788" s="191" t="s">
        <v>176</v>
      </c>
      <c r="BJ4788" s="58" t="str">
        <f>IF(BE4788=BH4788,"No","yes")</f>
        <v>No</v>
      </c>
      <c r="BK4788" s="58" t="s">
        <v>6334</v>
      </c>
      <c r="BL4788" s="58"/>
      <c r="BM4788" s="237"/>
      <c r="BN4788" s="244">
        <v>3</v>
      </c>
      <c r="BO4788" s="244">
        <v>3</v>
      </c>
      <c r="BP4788" s="58"/>
      <c r="BQ4788" s="58"/>
      <c r="BR4788" s="58"/>
      <c r="BS4788" s="58"/>
      <c r="BT4788" s="58"/>
      <c r="BU4788" s="58"/>
      <c r="BV4788" s="58"/>
      <c r="BW4788" s="67"/>
      <c r="BX4788" s="67"/>
      <c r="BY4788" s="67"/>
      <c r="BZ4788" s="67"/>
      <c r="CA4788" s="67"/>
      <c r="CB4788" s="70"/>
      <c r="CC4788" s="70"/>
      <c r="CD4788" s="70"/>
      <c r="CE4788" s="67"/>
      <c r="CF4788" s="67"/>
      <c r="CG4788" s="67"/>
      <c r="CH4788" s="245">
        <v>1.1000000000000001</v>
      </c>
      <c r="CI4788" s="245">
        <v>1.1200000000000001</v>
      </c>
      <c r="CJ4788" s="67"/>
      <c r="CK4788" s="67"/>
      <c r="CL4788" s="67"/>
      <c r="CM4788" s="242">
        <v>2.5499999999999998</v>
      </c>
      <c r="CN4788" s="242">
        <v>2.65</v>
      </c>
      <c r="CO4788" s="242"/>
      <c r="CP4788" s="242"/>
      <c r="CQ4788" s="242" t="s">
        <v>164</v>
      </c>
      <c r="CR4788" s="242"/>
      <c r="CS4788" s="242"/>
      <c r="CT4788" s="242"/>
      <c r="CU4788" s="242"/>
      <c r="CV4788" s="242"/>
      <c r="CW4788" s="242"/>
      <c r="CX4788" s="242"/>
      <c r="CY4788" s="242"/>
      <c r="CZ4788" s="242"/>
      <c r="DA4788" s="67"/>
      <c r="DB4788" s="67">
        <v>2200</v>
      </c>
      <c r="DC4788" s="67">
        <v>2200</v>
      </c>
      <c r="DD4788" s="67"/>
      <c r="DE4788" s="67"/>
      <c r="DF4788" s="67" t="s">
        <v>5909</v>
      </c>
      <c r="DG4788" s="67">
        <v>34</v>
      </c>
      <c r="DH4788" s="67">
        <v>31</v>
      </c>
      <c r="DI4788" s="67">
        <v>12</v>
      </c>
      <c r="DJ4788" s="67">
        <v>12</v>
      </c>
      <c r="DK4788" s="67" t="s">
        <v>2242</v>
      </c>
      <c r="DL4788" s="67">
        <v>244</v>
      </c>
      <c r="DM4788" s="67">
        <v>209</v>
      </c>
      <c r="DN4788" s="67"/>
      <c r="DO4788" s="67"/>
      <c r="DP4788" s="67" t="s">
        <v>2242</v>
      </c>
      <c r="DQ4788" s="166">
        <v>6.4</v>
      </c>
      <c r="DR4788" s="166">
        <v>6.37</v>
      </c>
      <c r="DS4788" s="163"/>
      <c r="DT4788" s="163"/>
      <c r="DU4788" s="67"/>
      <c r="DV4788" s="67">
        <f>3509+304</f>
        <v>3813</v>
      </c>
      <c r="DW4788" s="67">
        <f>3706+348</f>
        <v>4054</v>
      </c>
      <c r="DX4788" s="67"/>
      <c r="DY4788" s="67"/>
      <c r="DZ4788" s="67" t="s">
        <v>5910</v>
      </c>
      <c r="EA4788" s="67">
        <v>239</v>
      </c>
      <c r="EB4788" s="67">
        <v>256</v>
      </c>
      <c r="EC4788" s="67"/>
      <c r="ED4788" s="67"/>
      <c r="EE4788" s="67" t="s">
        <v>5911</v>
      </c>
      <c r="EF4788" s="67"/>
      <c r="EG4788" s="67"/>
      <c r="EH4788" s="67"/>
      <c r="EI4788" s="67"/>
      <c r="EJ4788" s="67"/>
      <c r="EK4788" s="94"/>
      <c r="EL4788" s="94"/>
      <c r="EM4788" s="67"/>
      <c r="EN4788" s="67"/>
      <c r="EO4788" s="67"/>
      <c r="EP4788" s="67"/>
      <c r="EQ4788" s="67"/>
      <c r="ER4788" s="67"/>
      <c r="ES4788" s="67"/>
      <c r="ET4788" s="67"/>
      <c r="EU4788" s="67"/>
      <c r="EV4788" s="67"/>
      <c r="EW4788" s="67"/>
      <c r="EX4788" s="67"/>
      <c r="EY4788" s="67"/>
      <c r="EZ4788" s="67"/>
      <c r="FA4788" s="67"/>
      <c r="FB4788" s="67"/>
      <c r="FC4788" s="67"/>
      <c r="FD4788" s="67"/>
      <c r="FE4788" s="67"/>
      <c r="FF4788" s="67"/>
      <c r="FG4788" s="67"/>
      <c r="FH4788" s="67"/>
      <c r="FI4788" s="67"/>
      <c r="FJ4788" s="67"/>
      <c r="FK4788" s="67"/>
      <c r="FL4788" s="67"/>
      <c r="FM4788" s="67"/>
      <c r="FN4788" s="67"/>
      <c r="FO4788" s="67"/>
      <c r="FP4788" s="67"/>
      <c r="FQ4788" s="67"/>
      <c r="FR4788" s="67"/>
      <c r="FS4788" s="67"/>
      <c r="FT4788" s="67"/>
      <c r="FU4788" s="67"/>
      <c r="FV4788" s="67"/>
      <c r="FW4788" s="67"/>
      <c r="FX4788" s="67"/>
      <c r="FY4788" s="67"/>
      <c r="FZ4788" s="67"/>
      <c r="GA4788" s="67"/>
      <c r="GB4788" s="67"/>
      <c r="GC4788" s="67"/>
      <c r="GD4788" s="67"/>
      <c r="GE4788" s="67"/>
      <c r="GF4788" s="67"/>
      <c r="GG4788" s="67"/>
      <c r="GH4788" s="67"/>
      <c r="GI4788" s="67"/>
      <c r="GJ4788" s="67"/>
      <c r="GK4788" s="67"/>
      <c r="GL4788" s="67"/>
      <c r="GM4788" s="67"/>
      <c r="GN4788" s="292">
        <v>1.8</v>
      </c>
      <c r="GO4788" s="292">
        <v>5.5</v>
      </c>
      <c r="GP4788" s="292" t="s">
        <v>5150</v>
      </c>
      <c r="GQ4788" s="67"/>
      <c r="GR4788" s="67"/>
      <c r="GS4788" s="67" t="s">
        <v>5914</v>
      </c>
      <c r="GT4788" s="67"/>
      <c r="GU4788" s="67"/>
      <c r="GV4788" s="67"/>
      <c r="GW4788" s="67"/>
      <c r="GX4788" s="67"/>
      <c r="GY4788" s="67"/>
      <c r="GZ4788" s="67"/>
      <c r="HA4788" s="67"/>
      <c r="HB4788" s="67"/>
      <c r="HC4788" s="67"/>
      <c r="HD4788" s="67"/>
      <c r="HE4788" s="67"/>
      <c r="HF4788" s="67"/>
      <c r="HG4788" s="67"/>
      <c r="HH4788" s="67"/>
      <c r="HI4788" s="67"/>
      <c r="HJ4788" s="67"/>
      <c r="HK4788" s="67"/>
      <c r="HL4788" s="67"/>
      <c r="HM4788" s="67"/>
      <c r="HN4788" s="67"/>
      <c r="HO4788" s="67"/>
      <c r="HP4788" s="67"/>
      <c r="HQ4788" s="67"/>
      <c r="HR4788" s="67"/>
      <c r="HS4788" s="67"/>
      <c r="HT4788" s="67"/>
      <c r="HU4788" s="67"/>
      <c r="HV4788" s="67"/>
      <c r="HW4788" s="67"/>
      <c r="HX4788" s="67"/>
      <c r="HY4788" s="67"/>
      <c r="HZ4788" s="67"/>
      <c r="IA4788" s="67"/>
      <c r="IB4788" s="67"/>
      <c r="IC4788" s="67"/>
      <c r="ID4788" s="67"/>
      <c r="IE4788" s="67"/>
      <c r="IF4788" s="67"/>
      <c r="IG4788" s="67"/>
      <c r="IH4788" s="67"/>
      <c r="II4788" s="67"/>
      <c r="IJ4788" s="67"/>
      <c r="IK4788" s="67"/>
      <c r="IL4788" s="67"/>
      <c r="IM4788" s="67"/>
      <c r="IN4788" s="67"/>
      <c r="IO4788" s="67"/>
      <c r="IP4788" s="67"/>
      <c r="IQ4788" s="67"/>
      <c r="IR4788" s="67"/>
      <c r="IS4788" s="67"/>
      <c r="IT4788" s="67"/>
      <c r="IU4788" s="67"/>
      <c r="IV4788" s="67"/>
      <c r="IW4788" s="67"/>
      <c r="IX4788" s="67"/>
      <c r="IY4788" s="67"/>
      <c r="IZ4788" s="67"/>
      <c r="JA4788" s="67"/>
      <c r="JB4788" s="67"/>
      <c r="JC4788" s="67"/>
      <c r="JD4788" s="67"/>
      <c r="JE4788" s="67"/>
      <c r="JF4788" s="67"/>
      <c r="JG4788" s="67"/>
      <c r="JH4788" s="67"/>
      <c r="JI4788" s="67"/>
      <c r="JJ4788" s="67"/>
      <c r="JK4788" s="67"/>
      <c r="JL4788" s="67"/>
      <c r="JM4788" s="67"/>
      <c r="JN4788" s="67"/>
      <c r="JO4788" s="67"/>
      <c r="JP4788" s="67"/>
      <c r="JQ4788" s="67"/>
      <c r="JR4788" s="67"/>
      <c r="JS4788" s="67"/>
      <c r="JT4788" s="67"/>
      <c r="JU4788" s="58"/>
      <c r="JV4788" s="58"/>
      <c r="JW4788" s="58"/>
    </row>
    <row r="4789" spans="1:283" s="23" customFormat="1" x14ac:dyDescent="0.25">
      <c r="A4789" s="55">
        <v>4788</v>
      </c>
      <c r="B4789" s="12" t="s">
        <v>7067</v>
      </c>
      <c r="C4789" s="156">
        <v>214</v>
      </c>
      <c r="D4789" s="58" t="s">
        <v>4884</v>
      </c>
      <c r="E4789" s="160" t="str">
        <f>G4789</f>
        <v>Capriel 1991_Farm Pair 4</v>
      </c>
      <c r="F4789" s="160"/>
      <c r="G4789" s="60" t="s">
        <v>4842</v>
      </c>
      <c r="H4789" s="58">
        <v>1991</v>
      </c>
      <c r="I4789" s="58" t="s">
        <v>2847</v>
      </c>
      <c r="J4789" s="243" t="s">
        <v>5302</v>
      </c>
      <c r="K4789" s="63" t="s">
        <v>5127</v>
      </c>
      <c r="L4789" s="58" t="s">
        <v>1077</v>
      </c>
      <c r="M4789" s="94">
        <v>48.79</v>
      </c>
      <c r="N4789" s="94">
        <v>11.5</v>
      </c>
      <c r="O4789" s="94">
        <v>371</v>
      </c>
      <c r="P4789" s="58"/>
      <c r="Q4789" s="244">
        <v>8.6999999999999993</v>
      </c>
      <c r="R4789" s="58"/>
      <c r="S4789" s="245">
        <v>620</v>
      </c>
      <c r="T4789" s="58"/>
      <c r="U4789" s="58" t="s">
        <v>1935</v>
      </c>
      <c r="V4789" s="244">
        <v>5</v>
      </c>
      <c r="W4789" s="174"/>
      <c r="X4789" s="174"/>
      <c r="Y4789" s="58" t="s">
        <v>5908</v>
      </c>
      <c r="Z4789" s="244" t="s">
        <v>1349</v>
      </c>
      <c r="AA4789" s="245">
        <v>15</v>
      </c>
      <c r="AB4789" s="67"/>
      <c r="AC4789" s="67"/>
      <c r="AD4789" s="94"/>
      <c r="AE4789" s="94"/>
      <c r="AF4789" s="94"/>
      <c r="AG4789" s="245"/>
      <c r="AH4789" s="58"/>
      <c r="AI4789" s="169"/>
      <c r="AJ4789" s="94"/>
      <c r="AK4789" s="94"/>
      <c r="AL4789" s="58"/>
      <c r="AM4789" s="58"/>
      <c r="AN4789" s="186"/>
      <c r="AO4789" s="185" t="s">
        <v>7494</v>
      </c>
      <c r="AP4789" s="58"/>
      <c r="AQ4789" s="58"/>
      <c r="AR4789" s="58" t="s">
        <v>158</v>
      </c>
      <c r="AS4789" s="58" t="s">
        <v>158</v>
      </c>
      <c r="AT4789" s="247"/>
      <c r="AU4789" s="181" t="s">
        <v>7494</v>
      </c>
      <c r="AV4789" s="185" t="s">
        <v>176</v>
      </c>
      <c r="AW4789" s="244"/>
      <c r="AX4789" s="185" t="s">
        <v>176</v>
      </c>
      <c r="AY4789" s="244"/>
      <c r="AZ4789" s="58"/>
      <c r="BA4789" s="58"/>
      <c r="BB4789" s="58"/>
      <c r="BC4789" s="58"/>
      <c r="BD4789" s="58"/>
      <c r="BE4789" s="236" t="s">
        <v>5153</v>
      </c>
      <c r="BF4789" s="191" t="s">
        <v>176</v>
      </c>
      <c r="BG4789" s="191" t="s">
        <v>176</v>
      </c>
      <c r="BH4789" s="236" t="s">
        <v>5153</v>
      </c>
      <c r="BI4789" s="191" t="s">
        <v>176</v>
      </c>
      <c r="BJ4789" s="58" t="str">
        <f>IF(BE4789=BH4789,"No","yes")</f>
        <v>No</v>
      </c>
      <c r="BK4789" s="58" t="s">
        <v>6334</v>
      </c>
      <c r="BL4789" s="58"/>
      <c r="BM4789" s="237"/>
      <c r="BN4789" s="244">
        <v>3</v>
      </c>
      <c r="BO4789" s="244">
        <v>3</v>
      </c>
      <c r="BP4789" s="58"/>
      <c r="BQ4789" s="58"/>
      <c r="BR4789" s="58"/>
      <c r="BS4789" s="58"/>
      <c r="BT4789" s="58"/>
      <c r="BU4789" s="58"/>
      <c r="BV4789" s="58"/>
      <c r="BW4789" s="67">
        <v>312042</v>
      </c>
      <c r="BX4789" s="67">
        <v>314821</v>
      </c>
      <c r="BY4789" s="67"/>
      <c r="BZ4789" s="67"/>
      <c r="CA4789" s="67" t="s">
        <v>5912</v>
      </c>
      <c r="CB4789" s="70">
        <v>3300</v>
      </c>
      <c r="CC4789" s="70">
        <v>3200</v>
      </c>
      <c r="CD4789" s="70"/>
      <c r="CE4789" s="67"/>
      <c r="CF4789" s="67"/>
      <c r="CG4789" s="67" t="s">
        <v>5913</v>
      </c>
      <c r="CH4789" s="245"/>
      <c r="CI4789" s="245"/>
      <c r="CJ4789" s="67"/>
      <c r="CK4789" s="67"/>
      <c r="CL4789" s="67"/>
      <c r="CM4789" s="242"/>
      <c r="CN4789" s="242"/>
      <c r="CO4789" s="242"/>
      <c r="CP4789" s="242"/>
      <c r="CQ4789" s="242"/>
      <c r="CR4789" s="242"/>
      <c r="CS4789" s="242"/>
      <c r="CT4789" s="242"/>
      <c r="CU4789" s="242"/>
      <c r="CV4789" s="242"/>
      <c r="CW4789" s="242"/>
      <c r="CX4789" s="242"/>
      <c r="CY4789" s="242"/>
      <c r="CZ4789" s="242"/>
      <c r="DA4789" s="67"/>
      <c r="DB4789" s="67"/>
      <c r="DC4789" s="67"/>
      <c r="DD4789" s="67"/>
      <c r="DE4789" s="67"/>
      <c r="DF4789" s="67"/>
      <c r="DG4789" s="67"/>
      <c r="DH4789" s="67"/>
      <c r="DI4789" s="67"/>
      <c r="DJ4789" s="67"/>
      <c r="DK4789" s="67"/>
      <c r="DL4789" s="67"/>
      <c r="DM4789" s="67"/>
      <c r="DN4789" s="67"/>
      <c r="DO4789" s="67"/>
      <c r="DP4789" s="67"/>
      <c r="DQ4789" s="166"/>
      <c r="DR4789" s="166"/>
      <c r="DS4789" s="163"/>
      <c r="DT4789" s="163"/>
      <c r="DU4789" s="67"/>
      <c r="DV4789" s="67"/>
      <c r="DW4789" s="67"/>
      <c r="DX4789" s="67"/>
      <c r="DY4789" s="67"/>
      <c r="DZ4789" s="67"/>
      <c r="EA4789" s="67"/>
      <c r="EB4789" s="67"/>
      <c r="EC4789" s="67"/>
      <c r="ED4789" s="67"/>
      <c r="EE4789" s="67"/>
      <c r="EF4789" s="67"/>
      <c r="EG4789" s="67"/>
      <c r="EH4789" s="67"/>
      <c r="EI4789" s="67"/>
      <c r="EJ4789" s="67"/>
      <c r="EK4789" s="94"/>
      <c r="EL4789" s="94"/>
      <c r="EM4789" s="67"/>
      <c r="EN4789" s="67"/>
      <c r="EO4789" s="67"/>
      <c r="EP4789" s="67"/>
      <c r="EQ4789" s="67"/>
      <c r="ER4789" s="67"/>
      <c r="ES4789" s="67"/>
      <c r="ET4789" s="67"/>
      <c r="EU4789" s="67"/>
      <c r="EV4789" s="67"/>
      <c r="EW4789" s="67"/>
      <c r="EX4789" s="67"/>
      <c r="EY4789" s="67"/>
      <c r="EZ4789" s="67"/>
      <c r="FA4789" s="67"/>
      <c r="FB4789" s="67"/>
      <c r="FC4789" s="67"/>
      <c r="FD4789" s="67"/>
      <c r="FE4789" s="67"/>
      <c r="FF4789" s="67"/>
      <c r="FG4789" s="67"/>
      <c r="FH4789" s="67"/>
      <c r="FI4789" s="67"/>
      <c r="FJ4789" s="67"/>
      <c r="FK4789" s="67"/>
      <c r="FL4789" s="67"/>
      <c r="FM4789" s="67"/>
      <c r="FN4789" s="67"/>
      <c r="FO4789" s="67"/>
      <c r="FP4789" s="67"/>
      <c r="FQ4789" s="67"/>
      <c r="FR4789" s="67"/>
      <c r="FS4789" s="67"/>
      <c r="FT4789" s="67"/>
      <c r="FU4789" s="67"/>
      <c r="FV4789" s="67"/>
      <c r="FW4789" s="67"/>
      <c r="FX4789" s="67"/>
      <c r="FY4789" s="67"/>
      <c r="FZ4789" s="67"/>
      <c r="GA4789" s="67"/>
      <c r="GB4789" s="67"/>
      <c r="GC4789" s="67"/>
      <c r="GD4789" s="67"/>
      <c r="GE4789" s="67"/>
      <c r="GF4789" s="67"/>
      <c r="GG4789" s="67"/>
      <c r="GH4789" s="67"/>
      <c r="GI4789" s="67"/>
      <c r="GJ4789" s="67"/>
      <c r="GK4789" s="67"/>
      <c r="GL4789" s="67"/>
      <c r="GM4789" s="67"/>
      <c r="GN4789" s="292">
        <v>2.2000000000000002</v>
      </c>
      <c r="GO4789" s="292">
        <v>1.6</v>
      </c>
      <c r="GP4789" s="292" t="s">
        <v>5150</v>
      </c>
      <c r="GQ4789" s="67">
        <v>1.6</v>
      </c>
      <c r="GR4789" s="67">
        <v>1.6</v>
      </c>
      <c r="GS4789" s="67" t="s">
        <v>5914</v>
      </c>
      <c r="GT4789" s="67"/>
      <c r="GU4789" s="67"/>
      <c r="GV4789" s="67"/>
      <c r="GW4789" s="67"/>
      <c r="GX4789" s="67"/>
      <c r="GY4789" s="67"/>
      <c r="GZ4789" s="67"/>
      <c r="HA4789" s="67"/>
      <c r="HB4789" s="67"/>
      <c r="HC4789" s="67"/>
      <c r="HD4789" s="67"/>
      <c r="HE4789" s="67"/>
      <c r="HF4789" s="67"/>
      <c r="HG4789" s="67"/>
      <c r="HH4789" s="67"/>
      <c r="HI4789" s="67"/>
      <c r="HJ4789" s="67"/>
      <c r="HK4789" s="67"/>
      <c r="HL4789" s="67"/>
      <c r="HM4789" s="67"/>
      <c r="HN4789" s="67"/>
      <c r="HO4789" s="67"/>
      <c r="HP4789" s="67"/>
      <c r="HQ4789" s="67"/>
      <c r="HR4789" s="67"/>
      <c r="HS4789" s="67"/>
      <c r="HT4789" s="67"/>
      <c r="HU4789" s="67"/>
      <c r="HV4789" s="67"/>
      <c r="HW4789" s="67"/>
      <c r="HX4789" s="67"/>
      <c r="HY4789" s="67"/>
      <c r="HZ4789" s="67"/>
      <c r="IA4789" s="67"/>
      <c r="IB4789" s="67"/>
      <c r="IC4789" s="67"/>
      <c r="ID4789" s="67"/>
      <c r="IE4789" s="67"/>
      <c r="IF4789" s="67"/>
      <c r="IG4789" s="67"/>
      <c r="IH4789" s="67"/>
      <c r="II4789" s="67"/>
      <c r="IJ4789" s="67"/>
      <c r="IK4789" s="67"/>
      <c r="IL4789" s="67"/>
      <c r="IM4789" s="67"/>
      <c r="IN4789" s="67"/>
      <c r="IO4789" s="67"/>
      <c r="IP4789" s="67"/>
      <c r="IQ4789" s="67"/>
      <c r="IR4789" s="67"/>
      <c r="IS4789" s="67"/>
      <c r="IT4789" s="67"/>
      <c r="IU4789" s="67"/>
      <c r="IV4789" s="67"/>
      <c r="IW4789" s="67"/>
      <c r="IX4789" s="67"/>
      <c r="IY4789" s="67"/>
      <c r="IZ4789" s="67"/>
      <c r="JA4789" s="67"/>
      <c r="JB4789" s="67"/>
      <c r="JC4789" s="67"/>
      <c r="JD4789" s="67"/>
      <c r="JE4789" s="67"/>
      <c r="JF4789" s="67"/>
      <c r="JG4789" s="67"/>
      <c r="JH4789" s="67"/>
      <c r="JI4789" s="67"/>
      <c r="JJ4789" s="67"/>
      <c r="JK4789" s="67"/>
      <c r="JL4789" s="67"/>
      <c r="JM4789" s="67"/>
      <c r="JN4789" s="67"/>
      <c r="JO4789" s="67"/>
      <c r="JP4789" s="67"/>
      <c r="JQ4789" s="67"/>
      <c r="JR4789" s="67"/>
      <c r="JS4789" s="67"/>
      <c r="JT4789" s="67"/>
      <c r="JU4789" s="58"/>
      <c r="JV4789" s="58"/>
      <c r="JW4789" s="58"/>
    </row>
    <row r="4790" spans="1:283" s="23" customFormat="1" x14ac:dyDescent="0.25">
      <c r="A4790" s="55">
        <v>4789</v>
      </c>
      <c r="B4790" s="12" t="s">
        <v>7067</v>
      </c>
      <c r="C4790" s="156">
        <v>214</v>
      </c>
      <c r="D4790" s="58" t="s">
        <v>4885</v>
      </c>
      <c r="E4790" s="160" t="str">
        <f>G4790</f>
        <v>Capriel 1991_Farm Pair 5</v>
      </c>
      <c r="F4790" s="160"/>
      <c r="G4790" s="60" t="s">
        <v>4841</v>
      </c>
      <c r="H4790" s="58">
        <v>1991</v>
      </c>
      <c r="I4790" s="58" t="s">
        <v>2847</v>
      </c>
      <c r="J4790" s="243" t="s">
        <v>5302</v>
      </c>
      <c r="K4790" s="63" t="s">
        <v>5127</v>
      </c>
      <c r="L4790" s="58" t="s">
        <v>1077</v>
      </c>
      <c r="M4790" s="94">
        <v>48.79</v>
      </c>
      <c r="N4790" s="94">
        <v>11.5</v>
      </c>
      <c r="O4790" s="94">
        <v>371</v>
      </c>
      <c r="P4790" s="58"/>
      <c r="Q4790" s="244">
        <v>8.6999999999999993</v>
      </c>
      <c r="R4790" s="58"/>
      <c r="S4790" s="245">
        <v>620</v>
      </c>
      <c r="T4790" s="58"/>
      <c r="U4790" s="58" t="s">
        <v>1935</v>
      </c>
      <c r="V4790" s="244">
        <v>5</v>
      </c>
      <c r="W4790" s="174"/>
      <c r="X4790" s="174"/>
      <c r="Y4790" s="58" t="s">
        <v>5908</v>
      </c>
      <c r="Z4790" s="244" t="s">
        <v>1349</v>
      </c>
      <c r="AA4790" s="245">
        <v>15</v>
      </c>
      <c r="AB4790" s="67"/>
      <c r="AC4790" s="67"/>
      <c r="AD4790" s="94"/>
      <c r="AE4790" s="94"/>
      <c r="AF4790" s="94"/>
      <c r="AG4790" s="245"/>
      <c r="AH4790" s="58"/>
      <c r="AI4790" s="169"/>
      <c r="AJ4790" s="94"/>
      <c r="AK4790" s="94"/>
      <c r="AL4790" s="58"/>
      <c r="AM4790" s="58"/>
      <c r="AN4790" s="186"/>
      <c r="AO4790" s="185" t="s">
        <v>7494</v>
      </c>
      <c r="AP4790" s="58"/>
      <c r="AQ4790" s="58"/>
      <c r="AR4790" s="58" t="s">
        <v>158</v>
      </c>
      <c r="AS4790" s="58" t="s">
        <v>158</v>
      </c>
      <c r="AT4790" s="247"/>
      <c r="AU4790" s="181" t="s">
        <v>7494</v>
      </c>
      <c r="AV4790" s="185" t="s">
        <v>176</v>
      </c>
      <c r="AW4790" s="244"/>
      <c r="AX4790" s="185" t="s">
        <v>176</v>
      </c>
      <c r="AY4790" s="244"/>
      <c r="AZ4790" s="58"/>
      <c r="BA4790" s="58"/>
      <c r="BB4790" s="58"/>
      <c r="BC4790" s="58"/>
      <c r="BD4790" s="58"/>
      <c r="BE4790" s="236" t="s">
        <v>5153</v>
      </c>
      <c r="BF4790" s="191" t="s">
        <v>176</v>
      </c>
      <c r="BG4790" s="191" t="s">
        <v>176</v>
      </c>
      <c r="BH4790" s="236" t="s">
        <v>5153</v>
      </c>
      <c r="BI4790" s="191" t="s">
        <v>176</v>
      </c>
      <c r="BJ4790" s="58" t="str">
        <f>IF(BE4790=BH4790,"No","yes")</f>
        <v>No</v>
      </c>
      <c r="BK4790" s="58" t="s">
        <v>6334</v>
      </c>
      <c r="BL4790" s="58"/>
      <c r="BM4790" s="237"/>
      <c r="BN4790" s="244">
        <v>3</v>
      </c>
      <c r="BO4790" s="244">
        <v>3</v>
      </c>
      <c r="BP4790" s="58"/>
      <c r="BQ4790" s="58"/>
      <c r="BR4790" s="58"/>
      <c r="BS4790" s="58"/>
      <c r="BT4790" s="58"/>
      <c r="BU4790" s="58"/>
      <c r="BV4790" s="58"/>
      <c r="BW4790" s="67">
        <v>312042</v>
      </c>
      <c r="BX4790" s="67">
        <v>317943</v>
      </c>
      <c r="BY4790" s="67"/>
      <c r="BZ4790" s="67"/>
      <c r="CA4790" s="67" t="s">
        <v>5912</v>
      </c>
      <c r="CB4790" s="70">
        <v>3300</v>
      </c>
      <c r="CC4790" s="70">
        <v>3300</v>
      </c>
      <c r="CD4790" s="70"/>
      <c r="CE4790" s="67"/>
      <c r="CF4790" s="67"/>
      <c r="CG4790" s="67" t="s">
        <v>5913</v>
      </c>
      <c r="CH4790" s="245"/>
      <c r="CI4790" s="245"/>
      <c r="CJ4790" s="67"/>
      <c r="CK4790" s="67"/>
      <c r="CL4790" s="67"/>
      <c r="CM4790" s="242"/>
      <c r="CN4790" s="242"/>
      <c r="CO4790" s="242"/>
      <c r="CP4790" s="242"/>
      <c r="CQ4790" s="242"/>
      <c r="CR4790" s="242"/>
      <c r="CS4790" s="242"/>
      <c r="CT4790" s="242"/>
      <c r="CU4790" s="242"/>
      <c r="CV4790" s="242"/>
      <c r="CW4790" s="242"/>
      <c r="CX4790" s="242"/>
      <c r="CY4790" s="242"/>
      <c r="CZ4790" s="242"/>
      <c r="DA4790" s="67"/>
      <c r="DB4790" s="67"/>
      <c r="DC4790" s="67"/>
      <c r="DD4790" s="67"/>
      <c r="DE4790" s="67"/>
      <c r="DF4790" s="67"/>
      <c r="DG4790" s="67"/>
      <c r="DH4790" s="67"/>
      <c r="DI4790" s="67"/>
      <c r="DJ4790" s="67"/>
      <c r="DK4790" s="67"/>
      <c r="DL4790" s="67"/>
      <c r="DM4790" s="67"/>
      <c r="DN4790" s="67"/>
      <c r="DO4790" s="67"/>
      <c r="DP4790" s="67"/>
      <c r="DQ4790" s="166"/>
      <c r="DR4790" s="166"/>
      <c r="DS4790" s="163"/>
      <c r="DT4790" s="163"/>
      <c r="DU4790" s="67"/>
      <c r="DV4790" s="67"/>
      <c r="DW4790" s="67"/>
      <c r="DX4790" s="67"/>
      <c r="DY4790" s="67"/>
      <c r="DZ4790" s="67"/>
      <c r="EA4790" s="67"/>
      <c r="EB4790" s="67"/>
      <c r="EC4790" s="67"/>
      <c r="ED4790" s="67"/>
      <c r="EE4790" s="67"/>
      <c r="EF4790" s="67"/>
      <c r="EG4790" s="67"/>
      <c r="EH4790" s="67"/>
      <c r="EI4790" s="67"/>
      <c r="EJ4790" s="67"/>
      <c r="EK4790" s="94"/>
      <c r="EL4790" s="94"/>
      <c r="EM4790" s="67"/>
      <c r="EN4790" s="67"/>
      <c r="EO4790" s="67"/>
      <c r="EP4790" s="67"/>
      <c r="EQ4790" s="67"/>
      <c r="ER4790" s="67"/>
      <c r="ES4790" s="67"/>
      <c r="ET4790" s="67"/>
      <c r="EU4790" s="67"/>
      <c r="EV4790" s="67"/>
      <c r="EW4790" s="67"/>
      <c r="EX4790" s="67"/>
      <c r="EY4790" s="67"/>
      <c r="EZ4790" s="67"/>
      <c r="FA4790" s="67"/>
      <c r="FB4790" s="67"/>
      <c r="FC4790" s="67"/>
      <c r="FD4790" s="67"/>
      <c r="FE4790" s="67"/>
      <c r="FF4790" s="67"/>
      <c r="FG4790" s="67"/>
      <c r="FH4790" s="67"/>
      <c r="FI4790" s="67"/>
      <c r="FJ4790" s="67"/>
      <c r="FK4790" s="67"/>
      <c r="FL4790" s="67"/>
      <c r="FM4790" s="67"/>
      <c r="FN4790" s="67"/>
      <c r="FO4790" s="67"/>
      <c r="FP4790" s="67"/>
      <c r="FQ4790" s="67"/>
      <c r="FR4790" s="67"/>
      <c r="FS4790" s="67"/>
      <c r="FT4790" s="67"/>
      <c r="FU4790" s="67"/>
      <c r="FV4790" s="67"/>
      <c r="FW4790" s="67"/>
      <c r="FX4790" s="67"/>
      <c r="FY4790" s="67"/>
      <c r="FZ4790" s="67"/>
      <c r="GA4790" s="67"/>
      <c r="GB4790" s="67"/>
      <c r="GC4790" s="67"/>
      <c r="GD4790" s="67"/>
      <c r="GE4790" s="67"/>
      <c r="GF4790" s="67"/>
      <c r="GG4790" s="67"/>
      <c r="GH4790" s="67"/>
      <c r="GI4790" s="67"/>
      <c r="GJ4790" s="67"/>
      <c r="GK4790" s="67"/>
      <c r="GL4790" s="67"/>
      <c r="GM4790" s="67"/>
      <c r="GN4790" s="292">
        <v>2.2000000000000002</v>
      </c>
      <c r="GO4790" s="292">
        <v>2.2000000000000002</v>
      </c>
      <c r="GP4790" s="292" t="s">
        <v>5150</v>
      </c>
      <c r="GQ4790" s="67">
        <v>1.6</v>
      </c>
      <c r="GR4790" s="67">
        <v>1.6</v>
      </c>
      <c r="GS4790" s="67" t="s">
        <v>5914</v>
      </c>
      <c r="GT4790" s="67"/>
      <c r="GU4790" s="67"/>
      <c r="GV4790" s="67"/>
      <c r="GW4790" s="67"/>
      <c r="GX4790" s="67"/>
      <c r="GY4790" s="67"/>
      <c r="GZ4790" s="67"/>
      <c r="HA4790" s="67"/>
      <c r="HB4790" s="67"/>
      <c r="HC4790" s="67"/>
      <c r="HD4790" s="67"/>
      <c r="HE4790" s="67"/>
      <c r="HF4790" s="67"/>
      <c r="HG4790" s="67"/>
      <c r="HH4790" s="67"/>
      <c r="HI4790" s="67"/>
      <c r="HJ4790" s="67"/>
      <c r="HK4790" s="67"/>
      <c r="HL4790" s="67"/>
      <c r="HM4790" s="67"/>
      <c r="HN4790" s="67"/>
      <c r="HO4790" s="67"/>
      <c r="HP4790" s="67"/>
      <c r="HQ4790" s="67"/>
      <c r="HR4790" s="67"/>
      <c r="HS4790" s="67"/>
      <c r="HT4790" s="67"/>
      <c r="HU4790" s="67"/>
      <c r="HV4790" s="67"/>
      <c r="HW4790" s="67"/>
      <c r="HX4790" s="67"/>
      <c r="HY4790" s="67"/>
      <c r="HZ4790" s="67"/>
      <c r="IA4790" s="67"/>
      <c r="IB4790" s="67"/>
      <c r="IC4790" s="67"/>
      <c r="ID4790" s="67"/>
      <c r="IE4790" s="67"/>
      <c r="IF4790" s="67"/>
      <c r="IG4790" s="67"/>
      <c r="IH4790" s="67"/>
      <c r="II4790" s="67"/>
      <c r="IJ4790" s="67"/>
      <c r="IK4790" s="67"/>
      <c r="IL4790" s="67"/>
      <c r="IM4790" s="67"/>
      <c r="IN4790" s="67"/>
      <c r="IO4790" s="67"/>
      <c r="IP4790" s="67"/>
      <c r="IQ4790" s="67"/>
      <c r="IR4790" s="67"/>
      <c r="IS4790" s="67"/>
      <c r="IT4790" s="67"/>
      <c r="IU4790" s="67"/>
      <c r="IV4790" s="67"/>
      <c r="IW4790" s="67"/>
      <c r="IX4790" s="67"/>
      <c r="IY4790" s="67"/>
      <c r="IZ4790" s="67"/>
      <c r="JA4790" s="67"/>
      <c r="JB4790" s="67"/>
      <c r="JC4790" s="67"/>
      <c r="JD4790" s="67"/>
      <c r="JE4790" s="67"/>
      <c r="JF4790" s="67"/>
      <c r="JG4790" s="67"/>
      <c r="JH4790" s="67"/>
      <c r="JI4790" s="67"/>
      <c r="JJ4790" s="67"/>
      <c r="JK4790" s="67"/>
      <c r="JL4790" s="67"/>
      <c r="JM4790" s="67"/>
      <c r="JN4790" s="67"/>
      <c r="JO4790" s="67"/>
      <c r="JP4790" s="67"/>
      <c r="JQ4790" s="67"/>
      <c r="JR4790" s="67"/>
      <c r="JS4790" s="67"/>
      <c r="JT4790" s="67"/>
      <c r="JU4790" s="58"/>
      <c r="JV4790" s="58"/>
      <c r="JW4790" s="58"/>
    </row>
    <row r="4791" spans="1:283" s="23" customFormat="1" x14ac:dyDescent="0.25">
      <c r="A4791" s="55">
        <v>4790</v>
      </c>
      <c r="B4791" s="12" t="s">
        <v>7067</v>
      </c>
      <c r="C4791" s="156">
        <v>214</v>
      </c>
      <c r="D4791" s="58" t="s">
        <v>4886</v>
      </c>
      <c r="E4791" s="160" t="str">
        <f>G4791</f>
        <v>Capriel 1991_Farm Pair 5</v>
      </c>
      <c r="F4791" s="160"/>
      <c r="G4791" s="60" t="s">
        <v>4841</v>
      </c>
      <c r="H4791" s="58">
        <v>1991</v>
      </c>
      <c r="I4791" s="58" t="s">
        <v>2847</v>
      </c>
      <c r="J4791" s="243" t="s">
        <v>5302</v>
      </c>
      <c r="K4791" s="63" t="s">
        <v>5127</v>
      </c>
      <c r="L4791" s="58" t="s">
        <v>1077</v>
      </c>
      <c r="M4791" s="94">
        <v>48.79</v>
      </c>
      <c r="N4791" s="94">
        <v>11.5</v>
      </c>
      <c r="O4791" s="94">
        <v>371</v>
      </c>
      <c r="P4791" s="58"/>
      <c r="Q4791" s="244">
        <v>8.6999999999999993</v>
      </c>
      <c r="R4791" s="58"/>
      <c r="S4791" s="245">
        <v>620</v>
      </c>
      <c r="T4791" s="58"/>
      <c r="U4791" s="58" t="s">
        <v>1935</v>
      </c>
      <c r="V4791" s="244">
        <v>5</v>
      </c>
      <c r="W4791" s="174"/>
      <c r="X4791" s="174"/>
      <c r="Y4791" s="58" t="s">
        <v>5908</v>
      </c>
      <c r="Z4791" s="244" t="s">
        <v>1349</v>
      </c>
      <c r="AA4791" s="245">
        <v>15</v>
      </c>
      <c r="AB4791" s="67"/>
      <c r="AC4791" s="67"/>
      <c r="AD4791" s="94"/>
      <c r="AE4791" s="94"/>
      <c r="AF4791" s="94"/>
      <c r="AG4791" s="245"/>
      <c r="AH4791" s="58"/>
      <c r="AI4791" s="169"/>
      <c r="AJ4791" s="94"/>
      <c r="AK4791" s="94"/>
      <c r="AL4791" s="58"/>
      <c r="AM4791" s="58"/>
      <c r="AN4791" s="186"/>
      <c r="AO4791" s="185" t="s">
        <v>7494</v>
      </c>
      <c r="AP4791" s="58"/>
      <c r="AQ4791" s="58"/>
      <c r="AR4791" s="58" t="s">
        <v>158</v>
      </c>
      <c r="AS4791" s="58" t="s">
        <v>158</v>
      </c>
      <c r="AT4791" s="247"/>
      <c r="AU4791" s="181" t="s">
        <v>7494</v>
      </c>
      <c r="AV4791" s="185" t="s">
        <v>176</v>
      </c>
      <c r="AW4791" s="244"/>
      <c r="AX4791" s="185" t="s">
        <v>176</v>
      </c>
      <c r="AY4791" s="244"/>
      <c r="AZ4791" s="58"/>
      <c r="BA4791" s="58"/>
      <c r="BB4791" s="58"/>
      <c r="BC4791" s="58"/>
      <c r="BD4791" s="58"/>
      <c r="BE4791" s="236" t="s">
        <v>5153</v>
      </c>
      <c r="BF4791" s="191" t="s">
        <v>176</v>
      </c>
      <c r="BG4791" s="191" t="s">
        <v>176</v>
      </c>
      <c r="BH4791" s="236" t="s">
        <v>5153</v>
      </c>
      <c r="BI4791" s="191" t="s">
        <v>176</v>
      </c>
      <c r="BJ4791" s="58" t="str">
        <f>IF(BE4791=BH4791,"No","yes")</f>
        <v>No</v>
      </c>
      <c r="BK4791" s="58" t="s">
        <v>6334</v>
      </c>
      <c r="BL4791" s="58"/>
      <c r="BM4791" s="237"/>
      <c r="BN4791" s="244">
        <v>3</v>
      </c>
      <c r="BO4791" s="244">
        <v>3</v>
      </c>
      <c r="BP4791" s="58"/>
      <c r="BQ4791" s="58"/>
      <c r="BR4791" s="58"/>
      <c r="BS4791" s="58"/>
      <c r="BT4791" s="58"/>
      <c r="BU4791" s="58"/>
      <c r="BV4791" s="58"/>
      <c r="BW4791" s="67">
        <v>312042</v>
      </c>
      <c r="BX4791" s="67">
        <v>306280</v>
      </c>
      <c r="BY4791" s="67"/>
      <c r="BZ4791" s="67"/>
      <c r="CA4791" s="67" t="s">
        <v>5912</v>
      </c>
      <c r="CB4791" s="70">
        <v>3300</v>
      </c>
      <c r="CC4791" s="70">
        <v>3500</v>
      </c>
      <c r="CD4791" s="70"/>
      <c r="CE4791" s="67"/>
      <c r="CF4791" s="67"/>
      <c r="CG4791" s="67" t="s">
        <v>5913</v>
      </c>
      <c r="CH4791" s="245"/>
      <c r="CI4791" s="245"/>
      <c r="CJ4791" s="67"/>
      <c r="CK4791" s="67"/>
      <c r="CL4791" s="67"/>
      <c r="CM4791" s="242"/>
      <c r="CN4791" s="242"/>
      <c r="CO4791" s="242"/>
      <c r="CP4791" s="242"/>
      <c r="CQ4791" s="242"/>
      <c r="CR4791" s="242"/>
      <c r="CS4791" s="242"/>
      <c r="CT4791" s="242"/>
      <c r="CU4791" s="242"/>
      <c r="CV4791" s="242"/>
      <c r="CW4791" s="242"/>
      <c r="CX4791" s="242"/>
      <c r="CY4791" s="242"/>
      <c r="CZ4791" s="242"/>
      <c r="DA4791" s="67"/>
      <c r="DB4791" s="67"/>
      <c r="DC4791" s="67"/>
      <c r="DD4791" s="67"/>
      <c r="DE4791" s="67"/>
      <c r="DF4791" s="67"/>
      <c r="DG4791" s="67"/>
      <c r="DH4791" s="67"/>
      <c r="DI4791" s="67"/>
      <c r="DJ4791" s="67"/>
      <c r="DK4791" s="67"/>
      <c r="DL4791" s="67"/>
      <c r="DM4791" s="67"/>
      <c r="DN4791" s="67"/>
      <c r="DO4791" s="67"/>
      <c r="DP4791" s="67"/>
      <c r="DQ4791" s="166"/>
      <c r="DR4791" s="166"/>
      <c r="DS4791" s="163"/>
      <c r="DT4791" s="163"/>
      <c r="DU4791" s="67"/>
      <c r="DV4791" s="67"/>
      <c r="DW4791" s="67"/>
      <c r="DX4791" s="67"/>
      <c r="DY4791" s="67"/>
      <c r="DZ4791" s="67"/>
      <c r="EA4791" s="67"/>
      <c r="EB4791" s="67"/>
      <c r="EC4791" s="67"/>
      <c r="ED4791" s="67"/>
      <c r="EE4791" s="67"/>
      <c r="EF4791" s="67"/>
      <c r="EG4791" s="67"/>
      <c r="EH4791" s="67"/>
      <c r="EI4791" s="67"/>
      <c r="EJ4791" s="67"/>
      <c r="EK4791" s="94"/>
      <c r="EL4791" s="94"/>
      <c r="EM4791" s="67"/>
      <c r="EN4791" s="67"/>
      <c r="EO4791" s="67"/>
      <c r="EP4791" s="67"/>
      <c r="EQ4791" s="67"/>
      <c r="ER4791" s="67"/>
      <c r="ES4791" s="67"/>
      <c r="ET4791" s="67"/>
      <c r="EU4791" s="67"/>
      <c r="EV4791" s="67"/>
      <c r="EW4791" s="67"/>
      <c r="EX4791" s="67"/>
      <c r="EY4791" s="67"/>
      <c r="EZ4791" s="67"/>
      <c r="FA4791" s="67"/>
      <c r="FB4791" s="67"/>
      <c r="FC4791" s="67"/>
      <c r="FD4791" s="67"/>
      <c r="FE4791" s="67"/>
      <c r="FF4791" s="67"/>
      <c r="FG4791" s="67"/>
      <c r="FH4791" s="67"/>
      <c r="FI4791" s="67"/>
      <c r="FJ4791" s="67"/>
      <c r="FK4791" s="67"/>
      <c r="FL4791" s="67"/>
      <c r="FM4791" s="67"/>
      <c r="FN4791" s="67"/>
      <c r="FO4791" s="67"/>
      <c r="FP4791" s="67"/>
      <c r="FQ4791" s="67"/>
      <c r="FR4791" s="67"/>
      <c r="FS4791" s="67"/>
      <c r="FT4791" s="67"/>
      <c r="FU4791" s="67"/>
      <c r="FV4791" s="67"/>
      <c r="FW4791" s="67"/>
      <c r="FX4791" s="67"/>
      <c r="FY4791" s="67"/>
      <c r="FZ4791" s="67"/>
      <c r="GA4791" s="67"/>
      <c r="GB4791" s="67"/>
      <c r="GC4791" s="67"/>
      <c r="GD4791" s="67"/>
      <c r="GE4791" s="67"/>
      <c r="GF4791" s="67"/>
      <c r="GG4791" s="67"/>
      <c r="GH4791" s="67"/>
      <c r="GI4791" s="67"/>
      <c r="GJ4791" s="67"/>
      <c r="GK4791" s="67"/>
      <c r="GL4791" s="67"/>
      <c r="GM4791" s="67"/>
      <c r="GN4791" s="292">
        <v>2.2000000000000002</v>
      </c>
      <c r="GO4791" s="292">
        <v>4.2</v>
      </c>
      <c r="GP4791" s="292" t="s">
        <v>5150</v>
      </c>
      <c r="GQ4791" s="67">
        <v>1.6</v>
      </c>
      <c r="GR4791" s="67">
        <v>1.6</v>
      </c>
      <c r="GS4791" s="67" t="s">
        <v>5914</v>
      </c>
      <c r="GT4791" s="67"/>
      <c r="GU4791" s="67"/>
      <c r="GV4791" s="67"/>
      <c r="GW4791" s="67"/>
      <c r="GX4791" s="67"/>
      <c r="GY4791" s="67"/>
      <c r="GZ4791" s="67"/>
      <c r="HA4791" s="67"/>
      <c r="HB4791" s="67"/>
      <c r="HC4791" s="67"/>
      <c r="HD4791" s="67"/>
      <c r="HE4791" s="67"/>
      <c r="HF4791" s="67"/>
      <c r="HG4791" s="67"/>
      <c r="HH4791" s="67"/>
      <c r="HI4791" s="67"/>
      <c r="HJ4791" s="67"/>
      <c r="HK4791" s="67"/>
      <c r="HL4791" s="67"/>
      <c r="HM4791" s="67"/>
      <c r="HN4791" s="67"/>
      <c r="HO4791" s="67"/>
      <c r="HP4791" s="67"/>
      <c r="HQ4791" s="67"/>
      <c r="HR4791" s="67"/>
      <c r="HS4791" s="67"/>
      <c r="HT4791" s="67"/>
      <c r="HU4791" s="67"/>
      <c r="HV4791" s="67"/>
      <c r="HW4791" s="67"/>
      <c r="HX4791" s="67"/>
      <c r="HY4791" s="67"/>
      <c r="HZ4791" s="67"/>
      <c r="IA4791" s="67"/>
      <c r="IB4791" s="67"/>
      <c r="IC4791" s="67"/>
      <c r="ID4791" s="67"/>
      <c r="IE4791" s="67"/>
      <c r="IF4791" s="67"/>
      <c r="IG4791" s="67"/>
      <c r="IH4791" s="67"/>
      <c r="II4791" s="67"/>
      <c r="IJ4791" s="67"/>
      <c r="IK4791" s="67"/>
      <c r="IL4791" s="67"/>
      <c r="IM4791" s="67"/>
      <c r="IN4791" s="67"/>
      <c r="IO4791" s="67"/>
      <c r="IP4791" s="67"/>
      <c r="IQ4791" s="67"/>
      <c r="IR4791" s="67"/>
      <c r="IS4791" s="67"/>
      <c r="IT4791" s="67"/>
      <c r="IU4791" s="67"/>
      <c r="IV4791" s="67"/>
      <c r="IW4791" s="67"/>
      <c r="IX4791" s="67"/>
      <c r="IY4791" s="67"/>
      <c r="IZ4791" s="67"/>
      <c r="JA4791" s="67"/>
      <c r="JB4791" s="67"/>
      <c r="JC4791" s="67"/>
      <c r="JD4791" s="67"/>
      <c r="JE4791" s="67"/>
      <c r="JF4791" s="67"/>
      <c r="JG4791" s="67"/>
      <c r="JH4791" s="67"/>
      <c r="JI4791" s="67"/>
      <c r="JJ4791" s="67"/>
      <c r="JK4791" s="67"/>
      <c r="JL4791" s="67"/>
      <c r="JM4791" s="67"/>
      <c r="JN4791" s="67"/>
      <c r="JO4791" s="67"/>
      <c r="JP4791" s="67"/>
      <c r="JQ4791" s="67"/>
      <c r="JR4791" s="67"/>
      <c r="JS4791" s="67"/>
      <c r="JT4791" s="67"/>
      <c r="JU4791" s="58"/>
      <c r="JV4791" s="58"/>
      <c r="JW4791" s="58"/>
    </row>
    <row r="4792" spans="1:283" s="23" customFormat="1" x14ac:dyDescent="0.25">
      <c r="A4792" s="55">
        <v>4791</v>
      </c>
      <c r="B4792" s="12" t="s">
        <v>7067</v>
      </c>
      <c r="C4792" s="156">
        <v>214</v>
      </c>
      <c r="D4792" s="58" t="s">
        <v>4884</v>
      </c>
      <c r="E4792" s="160" t="str">
        <f>G4792</f>
        <v>Capriel 1991_ Farm Pair 1</v>
      </c>
      <c r="F4792" s="160"/>
      <c r="G4792" s="60" t="s">
        <v>4845</v>
      </c>
      <c r="H4792" s="58">
        <v>1991</v>
      </c>
      <c r="I4792" s="58" t="s">
        <v>5719</v>
      </c>
      <c r="J4792" s="243" t="s">
        <v>5302</v>
      </c>
      <c r="K4792" s="63" t="s">
        <v>5127</v>
      </c>
      <c r="L4792" s="58" t="s">
        <v>1077</v>
      </c>
      <c r="M4792" s="94">
        <v>48.79</v>
      </c>
      <c r="N4792" s="94">
        <v>11.5</v>
      </c>
      <c r="O4792" s="94">
        <v>371</v>
      </c>
      <c r="P4792" s="58"/>
      <c r="Q4792" s="244">
        <v>8.6999999999999993</v>
      </c>
      <c r="R4792" s="58"/>
      <c r="S4792" s="245">
        <v>620</v>
      </c>
      <c r="T4792" s="58"/>
      <c r="U4792" s="58" t="s">
        <v>1805</v>
      </c>
      <c r="V4792" s="244">
        <v>5</v>
      </c>
      <c r="W4792" s="174"/>
      <c r="X4792" s="174"/>
      <c r="Y4792" s="58" t="s">
        <v>5908</v>
      </c>
      <c r="Z4792" s="244" t="s">
        <v>1349</v>
      </c>
      <c r="AA4792" s="245">
        <v>15</v>
      </c>
      <c r="AB4792" s="67"/>
      <c r="AC4792" s="67"/>
      <c r="AD4792" s="94"/>
      <c r="AE4792" s="94"/>
      <c r="AF4792" s="94"/>
      <c r="AG4792" s="245"/>
      <c r="AH4792" s="58"/>
      <c r="AI4792" s="169"/>
      <c r="AJ4792" s="94"/>
      <c r="AK4792" s="94"/>
      <c r="AL4792" s="58"/>
      <c r="AM4792" s="58"/>
      <c r="AN4792" s="186"/>
      <c r="AO4792" s="185" t="s">
        <v>7494</v>
      </c>
      <c r="AP4792" s="58"/>
      <c r="AQ4792" s="58"/>
      <c r="AR4792" s="58" t="s">
        <v>158</v>
      </c>
      <c r="AS4792" s="58" t="s">
        <v>158</v>
      </c>
      <c r="AT4792" s="247"/>
      <c r="AU4792" s="181" t="s">
        <v>7494</v>
      </c>
      <c r="AV4792" s="185" t="s">
        <v>176</v>
      </c>
      <c r="AW4792" s="244"/>
      <c r="AX4792" s="185" t="s">
        <v>176</v>
      </c>
      <c r="AY4792" s="244"/>
      <c r="AZ4792" s="58"/>
      <c r="BA4792" s="58"/>
      <c r="BB4792" s="58"/>
      <c r="BC4792" s="58"/>
      <c r="BD4792" s="58"/>
      <c r="BE4792" s="236" t="s">
        <v>5153</v>
      </c>
      <c r="BF4792" s="191" t="s">
        <v>176</v>
      </c>
      <c r="BG4792" s="191" t="s">
        <v>176</v>
      </c>
      <c r="BH4792" s="236" t="s">
        <v>5153</v>
      </c>
      <c r="BI4792" s="191" t="s">
        <v>176</v>
      </c>
      <c r="BJ4792" s="58" t="str">
        <f>IF(BE4792=BH4792,"No","yes")</f>
        <v>No</v>
      </c>
      <c r="BK4792" s="58" t="s">
        <v>6334</v>
      </c>
      <c r="BL4792" s="58"/>
      <c r="BM4792" s="237"/>
      <c r="BN4792" s="244">
        <v>3</v>
      </c>
      <c r="BO4792" s="244">
        <v>3</v>
      </c>
      <c r="BP4792" s="58"/>
      <c r="BQ4792" s="58"/>
      <c r="BR4792" s="58"/>
      <c r="BS4792" s="58"/>
      <c r="BT4792" s="58"/>
      <c r="BU4792" s="58"/>
      <c r="BV4792" s="58"/>
      <c r="BW4792" s="67">
        <v>284873</v>
      </c>
      <c r="BX4792" s="67">
        <v>235267</v>
      </c>
      <c r="BY4792" s="67">
        <v>24055</v>
      </c>
      <c r="BZ4792" s="67">
        <v>24055</v>
      </c>
      <c r="CA4792" s="67" t="s">
        <v>5912</v>
      </c>
      <c r="CB4792" s="70">
        <v>3300</v>
      </c>
      <c r="CC4792" s="70">
        <v>3300</v>
      </c>
      <c r="CD4792" s="70"/>
      <c r="CE4792" s="67"/>
      <c r="CF4792" s="67"/>
      <c r="CG4792" s="67" t="s">
        <v>5913</v>
      </c>
      <c r="CH4792" s="245"/>
      <c r="CI4792" s="245"/>
      <c r="CJ4792" s="67"/>
      <c r="CK4792" s="67"/>
      <c r="CL4792" s="67"/>
      <c r="CM4792" s="242"/>
      <c r="CN4792" s="242"/>
      <c r="CO4792" s="242"/>
      <c r="CP4792" s="242"/>
      <c r="CQ4792" s="242"/>
      <c r="CR4792" s="242"/>
      <c r="CS4792" s="242"/>
      <c r="CT4792" s="242"/>
      <c r="CU4792" s="242"/>
      <c r="CV4792" s="242"/>
      <c r="CW4792" s="242"/>
      <c r="CX4792" s="242"/>
      <c r="CY4792" s="242"/>
      <c r="CZ4792" s="242"/>
      <c r="DA4792" s="67"/>
      <c r="DB4792" s="67"/>
      <c r="DC4792" s="67"/>
      <c r="DD4792" s="67"/>
      <c r="DE4792" s="67"/>
      <c r="DF4792" s="67"/>
      <c r="DG4792" s="67"/>
      <c r="DH4792" s="67"/>
      <c r="DI4792" s="67"/>
      <c r="DJ4792" s="67"/>
      <c r="DK4792" s="67"/>
      <c r="DL4792" s="67"/>
      <c r="DM4792" s="67"/>
      <c r="DN4792" s="67"/>
      <c r="DO4792" s="67"/>
      <c r="DP4792" s="67"/>
      <c r="DQ4792" s="166"/>
      <c r="DR4792" s="166"/>
      <c r="DS4792" s="163"/>
      <c r="DT4792" s="163"/>
      <c r="DU4792" s="67"/>
      <c r="DV4792" s="67"/>
      <c r="DW4792" s="67"/>
      <c r="DX4792" s="67"/>
      <c r="DY4792" s="67"/>
      <c r="DZ4792" s="67"/>
      <c r="EA4792" s="67"/>
      <c r="EB4792" s="67"/>
      <c r="EC4792" s="67"/>
      <c r="ED4792" s="67"/>
      <c r="EE4792" s="67"/>
      <c r="EF4792" s="67"/>
      <c r="EG4792" s="67"/>
      <c r="EH4792" s="67"/>
      <c r="EI4792" s="67"/>
      <c r="EJ4792" s="67"/>
      <c r="EK4792" s="94"/>
      <c r="EL4792" s="94"/>
      <c r="EM4792" s="67"/>
      <c r="EN4792" s="67"/>
      <c r="EO4792" s="67"/>
      <c r="EP4792" s="67"/>
      <c r="EQ4792" s="67"/>
      <c r="ER4792" s="67"/>
      <c r="ES4792" s="67"/>
      <c r="ET4792" s="67"/>
      <c r="EU4792" s="67"/>
      <c r="EV4792" s="67"/>
      <c r="EW4792" s="67"/>
      <c r="EX4792" s="67"/>
      <c r="EY4792" s="67"/>
      <c r="EZ4792" s="67"/>
      <c r="FA4792" s="67"/>
      <c r="FB4792" s="67"/>
      <c r="FC4792" s="67"/>
      <c r="FD4792" s="67"/>
      <c r="FE4792" s="67"/>
      <c r="FF4792" s="67"/>
      <c r="FG4792" s="67"/>
      <c r="FH4792" s="67"/>
      <c r="FI4792" s="67"/>
      <c r="FJ4792" s="67"/>
      <c r="FK4792" s="67"/>
      <c r="FL4792" s="67"/>
      <c r="FM4792" s="67"/>
      <c r="FN4792" s="67"/>
      <c r="FO4792" s="67"/>
      <c r="FP4792" s="67"/>
      <c r="FQ4792" s="67"/>
      <c r="FR4792" s="67"/>
      <c r="FS4792" s="67"/>
      <c r="FT4792" s="67"/>
      <c r="FU4792" s="67"/>
      <c r="FV4792" s="67"/>
      <c r="FW4792" s="67"/>
      <c r="FX4792" s="67"/>
      <c r="FY4792" s="67"/>
      <c r="FZ4792" s="67"/>
      <c r="GA4792" s="67"/>
      <c r="GB4792" s="67"/>
      <c r="GC4792" s="67"/>
      <c r="GD4792" s="67"/>
      <c r="GE4792" s="67"/>
      <c r="GF4792" s="67"/>
      <c r="GG4792" s="67"/>
      <c r="GH4792" s="67"/>
      <c r="GI4792" s="67"/>
      <c r="GJ4792" s="67"/>
      <c r="GK4792" s="67"/>
      <c r="GL4792" s="67"/>
      <c r="GM4792" s="67"/>
      <c r="GN4792" s="292">
        <v>0</v>
      </c>
      <c r="GO4792" s="292">
        <v>0.42</v>
      </c>
      <c r="GP4792" s="292" t="s">
        <v>5150</v>
      </c>
      <c r="GQ4792" s="67"/>
      <c r="GR4792" s="67"/>
      <c r="GS4792" s="67" t="s">
        <v>5914</v>
      </c>
      <c r="GT4792" s="67"/>
      <c r="GU4792" s="67"/>
      <c r="GV4792" s="67"/>
      <c r="GW4792" s="67"/>
      <c r="GX4792" s="67"/>
      <c r="GY4792" s="67"/>
      <c r="GZ4792" s="67"/>
      <c r="HA4792" s="67"/>
      <c r="HB4792" s="67"/>
      <c r="HC4792" s="67"/>
      <c r="HD4792" s="67"/>
      <c r="HE4792" s="67"/>
      <c r="HF4792" s="67"/>
      <c r="HG4792" s="67"/>
      <c r="HH4792" s="67"/>
      <c r="HI4792" s="67"/>
      <c r="HJ4792" s="67"/>
      <c r="HK4792" s="67"/>
      <c r="HL4792" s="67"/>
      <c r="HM4792" s="67"/>
      <c r="HN4792" s="67"/>
      <c r="HO4792" s="67"/>
      <c r="HP4792" s="67"/>
      <c r="HQ4792" s="67"/>
      <c r="HR4792" s="67"/>
      <c r="HS4792" s="67"/>
      <c r="HT4792" s="67"/>
      <c r="HU4792" s="67"/>
      <c r="HV4792" s="67"/>
      <c r="HW4792" s="67"/>
      <c r="HX4792" s="67"/>
      <c r="HY4792" s="67"/>
      <c r="HZ4792" s="67"/>
      <c r="IA4792" s="67"/>
      <c r="IB4792" s="67"/>
      <c r="IC4792" s="67"/>
      <c r="ID4792" s="67"/>
      <c r="IE4792" s="67"/>
      <c r="IF4792" s="67"/>
      <c r="IG4792" s="67"/>
      <c r="IH4792" s="67"/>
      <c r="II4792" s="67"/>
      <c r="IJ4792" s="67"/>
      <c r="IK4792" s="67"/>
      <c r="IL4792" s="67"/>
      <c r="IM4792" s="67"/>
      <c r="IN4792" s="67"/>
      <c r="IO4792" s="67"/>
      <c r="IP4792" s="67"/>
      <c r="IQ4792" s="67"/>
      <c r="IR4792" s="67"/>
      <c r="IS4792" s="67"/>
      <c r="IT4792" s="67"/>
      <c r="IU4792" s="67"/>
      <c r="IV4792" s="67"/>
      <c r="IW4792" s="67"/>
      <c r="IX4792" s="67"/>
      <c r="IY4792" s="67"/>
      <c r="IZ4792" s="67"/>
      <c r="JA4792" s="67"/>
      <c r="JB4792" s="67"/>
      <c r="JC4792" s="67"/>
      <c r="JD4792" s="67"/>
      <c r="JE4792" s="67"/>
      <c r="JF4792" s="67"/>
      <c r="JG4792" s="67"/>
      <c r="JH4792" s="67"/>
      <c r="JI4792" s="67"/>
      <c r="JJ4792" s="67"/>
      <c r="JK4792" s="67"/>
      <c r="JL4792" s="67"/>
      <c r="JM4792" s="67"/>
      <c r="JN4792" s="67"/>
      <c r="JO4792" s="67"/>
      <c r="JP4792" s="67"/>
      <c r="JQ4792" s="67"/>
      <c r="JR4792" s="67"/>
      <c r="JS4792" s="67"/>
      <c r="JT4792" s="67"/>
      <c r="JU4792" s="58"/>
      <c r="JV4792" s="58"/>
      <c r="JW4792" s="58"/>
    </row>
    <row r="4793" spans="1:283" s="23" customFormat="1" x14ac:dyDescent="0.25">
      <c r="A4793" s="55">
        <v>4792</v>
      </c>
      <c r="B4793" s="12" t="s">
        <v>7067</v>
      </c>
      <c r="C4793" s="156">
        <v>214</v>
      </c>
      <c r="D4793" s="58" t="s">
        <v>4885</v>
      </c>
      <c r="E4793" s="160" t="str">
        <f>G4793</f>
        <v>Capriel 1991_Farm Pair 2</v>
      </c>
      <c r="F4793" s="160"/>
      <c r="G4793" s="60" t="s">
        <v>4844</v>
      </c>
      <c r="H4793" s="58">
        <v>1991</v>
      </c>
      <c r="I4793" s="58" t="s">
        <v>5719</v>
      </c>
      <c r="J4793" s="243" t="s">
        <v>5302</v>
      </c>
      <c r="K4793" s="63" t="s">
        <v>5127</v>
      </c>
      <c r="L4793" s="58" t="s">
        <v>1077</v>
      </c>
      <c r="M4793" s="94">
        <v>48.79</v>
      </c>
      <c r="N4793" s="94">
        <v>11.5</v>
      </c>
      <c r="O4793" s="94">
        <v>371</v>
      </c>
      <c r="P4793" s="58"/>
      <c r="Q4793" s="244">
        <v>8.6999999999999993</v>
      </c>
      <c r="R4793" s="58"/>
      <c r="S4793" s="245">
        <v>620</v>
      </c>
      <c r="T4793" s="58"/>
      <c r="U4793" s="58" t="s">
        <v>1805</v>
      </c>
      <c r="V4793" s="244">
        <v>5</v>
      </c>
      <c r="W4793" s="174"/>
      <c r="X4793" s="174"/>
      <c r="Y4793" s="58" t="s">
        <v>5908</v>
      </c>
      <c r="Z4793" s="244" t="s">
        <v>1349</v>
      </c>
      <c r="AA4793" s="245">
        <v>15</v>
      </c>
      <c r="AB4793" s="67"/>
      <c r="AC4793" s="67"/>
      <c r="AD4793" s="94"/>
      <c r="AE4793" s="94"/>
      <c r="AF4793" s="94"/>
      <c r="AG4793" s="245"/>
      <c r="AH4793" s="58"/>
      <c r="AI4793" s="169"/>
      <c r="AJ4793" s="94"/>
      <c r="AK4793" s="94"/>
      <c r="AL4793" s="58"/>
      <c r="AM4793" s="58"/>
      <c r="AN4793" s="186"/>
      <c r="AO4793" s="185" t="s">
        <v>7494</v>
      </c>
      <c r="AP4793" s="58"/>
      <c r="AQ4793" s="58"/>
      <c r="AR4793" s="58" t="s">
        <v>158</v>
      </c>
      <c r="AS4793" s="58" t="s">
        <v>158</v>
      </c>
      <c r="AT4793" s="247"/>
      <c r="AU4793" s="181" t="s">
        <v>7494</v>
      </c>
      <c r="AV4793" s="185" t="s">
        <v>176</v>
      </c>
      <c r="AW4793" s="244"/>
      <c r="AX4793" s="185" t="s">
        <v>176</v>
      </c>
      <c r="AY4793" s="244"/>
      <c r="AZ4793" s="58"/>
      <c r="BA4793" s="58"/>
      <c r="BB4793" s="58"/>
      <c r="BC4793" s="58"/>
      <c r="BD4793" s="58"/>
      <c r="BE4793" s="236" t="s">
        <v>5153</v>
      </c>
      <c r="BF4793" s="191" t="s">
        <v>176</v>
      </c>
      <c r="BG4793" s="191" t="s">
        <v>176</v>
      </c>
      <c r="BH4793" s="236" t="s">
        <v>5153</v>
      </c>
      <c r="BI4793" s="191" t="s">
        <v>176</v>
      </c>
      <c r="BJ4793" s="58" t="str">
        <f>IF(BE4793=BH4793,"No","yes")</f>
        <v>No</v>
      </c>
      <c r="BK4793" s="58" t="s">
        <v>6334</v>
      </c>
      <c r="BL4793" s="58"/>
      <c r="BM4793" s="237"/>
      <c r="BN4793" s="244">
        <v>3</v>
      </c>
      <c r="BO4793" s="244">
        <v>3</v>
      </c>
      <c r="BP4793" s="58"/>
      <c r="BQ4793" s="58"/>
      <c r="BR4793" s="58"/>
      <c r="BS4793" s="58"/>
      <c r="BT4793" s="58"/>
      <c r="BU4793" s="58"/>
      <c r="BV4793" s="58"/>
      <c r="BW4793" s="67">
        <v>284873</v>
      </c>
      <c r="BX4793" s="67">
        <v>229505</v>
      </c>
      <c r="BY4793" s="67">
        <v>24055</v>
      </c>
      <c r="BZ4793" s="67">
        <v>24055</v>
      </c>
      <c r="CA4793" s="67" t="s">
        <v>5912</v>
      </c>
      <c r="CB4793" s="70">
        <v>3300</v>
      </c>
      <c r="CC4793" s="70">
        <v>3200</v>
      </c>
      <c r="CD4793" s="70"/>
      <c r="CE4793" s="67"/>
      <c r="CF4793" s="67"/>
      <c r="CG4793" s="67" t="s">
        <v>5913</v>
      </c>
      <c r="CH4793" s="245"/>
      <c r="CI4793" s="245"/>
      <c r="CJ4793" s="67"/>
      <c r="CK4793" s="67"/>
      <c r="CL4793" s="67"/>
      <c r="CM4793" s="242"/>
      <c r="CN4793" s="242"/>
      <c r="CO4793" s="242"/>
      <c r="CP4793" s="242"/>
      <c r="CQ4793" s="242"/>
      <c r="CR4793" s="242"/>
      <c r="CS4793" s="242"/>
      <c r="CT4793" s="242"/>
      <c r="CU4793" s="242"/>
      <c r="CV4793" s="242"/>
      <c r="CW4793" s="242"/>
      <c r="CX4793" s="242"/>
      <c r="CY4793" s="242"/>
      <c r="CZ4793" s="242"/>
      <c r="DA4793" s="67"/>
      <c r="DB4793" s="67"/>
      <c r="DC4793" s="67"/>
      <c r="DD4793" s="67"/>
      <c r="DE4793" s="67"/>
      <c r="DF4793" s="67"/>
      <c r="DG4793" s="67"/>
      <c r="DH4793" s="67"/>
      <c r="DI4793" s="67"/>
      <c r="DJ4793" s="67"/>
      <c r="DK4793" s="67"/>
      <c r="DL4793" s="67"/>
      <c r="DM4793" s="67"/>
      <c r="DN4793" s="67"/>
      <c r="DO4793" s="67"/>
      <c r="DP4793" s="67"/>
      <c r="DQ4793" s="166"/>
      <c r="DR4793" s="166"/>
      <c r="DS4793" s="163"/>
      <c r="DT4793" s="163"/>
      <c r="DU4793" s="67"/>
      <c r="DV4793" s="67"/>
      <c r="DW4793" s="67"/>
      <c r="DX4793" s="67"/>
      <c r="DY4793" s="67"/>
      <c r="DZ4793" s="67"/>
      <c r="EA4793" s="67"/>
      <c r="EB4793" s="67"/>
      <c r="EC4793" s="67"/>
      <c r="ED4793" s="67"/>
      <c r="EE4793" s="67"/>
      <c r="EF4793" s="67"/>
      <c r="EG4793" s="67"/>
      <c r="EH4793" s="67"/>
      <c r="EI4793" s="67"/>
      <c r="EJ4793" s="67"/>
      <c r="EK4793" s="94"/>
      <c r="EL4793" s="94"/>
      <c r="EM4793" s="67"/>
      <c r="EN4793" s="67"/>
      <c r="EO4793" s="67"/>
      <c r="EP4793" s="67"/>
      <c r="EQ4793" s="67"/>
      <c r="ER4793" s="67"/>
      <c r="ES4793" s="67"/>
      <c r="ET4793" s="67"/>
      <c r="EU4793" s="67"/>
      <c r="EV4793" s="67"/>
      <c r="EW4793" s="67"/>
      <c r="EX4793" s="67"/>
      <c r="EY4793" s="67"/>
      <c r="EZ4793" s="67"/>
      <c r="FA4793" s="67"/>
      <c r="FB4793" s="67"/>
      <c r="FC4793" s="67"/>
      <c r="FD4793" s="67"/>
      <c r="FE4793" s="67"/>
      <c r="FF4793" s="67"/>
      <c r="FG4793" s="67"/>
      <c r="FH4793" s="67"/>
      <c r="FI4793" s="67"/>
      <c r="FJ4793" s="67"/>
      <c r="FK4793" s="67"/>
      <c r="FL4793" s="67"/>
      <c r="FM4793" s="67"/>
      <c r="FN4793" s="67"/>
      <c r="FO4793" s="67"/>
      <c r="FP4793" s="67"/>
      <c r="FQ4793" s="67"/>
      <c r="FR4793" s="67"/>
      <c r="FS4793" s="67"/>
      <c r="FT4793" s="67"/>
      <c r="FU4793" s="67"/>
      <c r="FV4793" s="67"/>
      <c r="FW4793" s="67"/>
      <c r="FX4793" s="67"/>
      <c r="FY4793" s="67"/>
      <c r="FZ4793" s="67"/>
      <c r="GA4793" s="67"/>
      <c r="GB4793" s="67"/>
      <c r="GC4793" s="67"/>
      <c r="GD4793" s="67"/>
      <c r="GE4793" s="67"/>
      <c r="GF4793" s="67"/>
      <c r="GG4793" s="67"/>
      <c r="GH4793" s="67"/>
      <c r="GI4793" s="67"/>
      <c r="GJ4793" s="67"/>
      <c r="GK4793" s="67"/>
      <c r="GL4793" s="67"/>
      <c r="GM4793" s="67"/>
      <c r="GN4793" s="292">
        <v>0</v>
      </c>
      <c r="GO4793" s="292">
        <v>0.42</v>
      </c>
      <c r="GP4793" s="292" t="s">
        <v>5150</v>
      </c>
      <c r="GQ4793" s="67"/>
      <c r="GR4793" s="67"/>
      <c r="GS4793" s="67" t="s">
        <v>5914</v>
      </c>
      <c r="GT4793" s="67"/>
      <c r="GU4793" s="67"/>
      <c r="GV4793" s="67"/>
      <c r="GW4793" s="67"/>
      <c r="GX4793" s="67"/>
      <c r="GY4793" s="67"/>
      <c r="GZ4793" s="67"/>
      <c r="HA4793" s="67"/>
      <c r="HB4793" s="67"/>
      <c r="HC4793" s="67"/>
      <c r="HD4793" s="67"/>
      <c r="HE4793" s="67"/>
      <c r="HF4793" s="67"/>
      <c r="HG4793" s="67"/>
      <c r="HH4793" s="67"/>
      <c r="HI4793" s="67"/>
      <c r="HJ4793" s="67"/>
      <c r="HK4793" s="67"/>
      <c r="HL4793" s="67"/>
      <c r="HM4793" s="67"/>
      <c r="HN4793" s="67"/>
      <c r="HO4793" s="67"/>
      <c r="HP4793" s="67"/>
      <c r="HQ4793" s="67"/>
      <c r="HR4793" s="67"/>
      <c r="HS4793" s="67"/>
      <c r="HT4793" s="67"/>
      <c r="HU4793" s="67"/>
      <c r="HV4793" s="67"/>
      <c r="HW4793" s="67"/>
      <c r="HX4793" s="67"/>
      <c r="HY4793" s="67"/>
      <c r="HZ4793" s="67"/>
      <c r="IA4793" s="67"/>
      <c r="IB4793" s="67"/>
      <c r="IC4793" s="67"/>
      <c r="ID4793" s="67"/>
      <c r="IE4793" s="67"/>
      <c r="IF4793" s="67"/>
      <c r="IG4793" s="67"/>
      <c r="IH4793" s="67"/>
      <c r="II4793" s="67"/>
      <c r="IJ4793" s="67"/>
      <c r="IK4793" s="67"/>
      <c r="IL4793" s="67"/>
      <c r="IM4793" s="67"/>
      <c r="IN4793" s="67"/>
      <c r="IO4793" s="67"/>
      <c r="IP4793" s="67"/>
      <c r="IQ4793" s="67"/>
      <c r="IR4793" s="67"/>
      <c r="IS4793" s="67"/>
      <c r="IT4793" s="67"/>
      <c r="IU4793" s="67"/>
      <c r="IV4793" s="67"/>
      <c r="IW4793" s="67"/>
      <c r="IX4793" s="67"/>
      <c r="IY4793" s="67"/>
      <c r="IZ4793" s="67"/>
      <c r="JA4793" s="67"/>
      <c r="JB4793" s="67"/>
      <c r="JC4793" s="67"/>
      <c r="JD4793" s="67"/>
      <c r="JE4793" s="67"/>
      <c r="JF4793" s="67"/>
      <c r="JG4793" s="67"/>
      <c r="JH4793" s="67"/>
      <c r="JI4793" s="67"/>
      <c r="JJ4793" s="67"/>
      <c r="JK4793" s="67"/>
      <c r="JL4793" s="67"/>
      <c r="JM4793" s="67"/>
      <c r="JN4793" s="67"/>
      <c r="JO4793" s="67"/>
      <c r="JP4793" s="67"/>
      <c r="JQ4793" s="67"/>
      <c r="JR4793" s="67"/>
      <c r="JS4793" s="67"/>
      <c r="JT4793" s="67"/>
      <c r="JU4793" s="58"/>
      <c r="JV4793" s="58"/>
      <c r="JW4793" s="58"/>
    </row>
    <row r="4794" spans="1:283" s="23" customFormat="1" x14ac:dyDescent="0.25">
      <c r="A4794" s="55">
        <v>4793</v>
      </c>
      <c r="B4794" s="12" t="s">
        <v>7067</v>
      </c>
      <c r="C4794" s="156">
        <v>214</v>
      </c>
      <c r="D4794" s="58" t="s">
        <v>4886</v>
      </c>
      <c r="E4794" s="160" t="str">
        <f>G4794</f>
        <v>Capriel 1991_Farm Pair 3</v>
      </c>
      <c r="F4794" s="160"/>
      <c r="G4794" s="60" t="s">
        <v>4843</v>
      </c>
      <c r="H4794" s="58">
        <v>1991</v>
      </c>
      <c r="I4794" s="58" t="s">
        <v>5719</v>
      </c>
      <c r="J4794" s="243" t="s">
        <v>5302</v>
      </c>
      <c r="K4794" s="63" t="s">
        <v>5127</v>
      </c>
      <c r="L4794" s="58" t="s">
        <v>1077</v>
      </c>
      <c r="M4794" s="94">
        <v>48.79</v>
      </c>
      <c r="N4794" s="94">
        <v>11.5</v>
      </c>
      <c r="O4794" s="94">
        <v>371</v>
      </c>
      <c r="P4794" s="58"/>
      <c r="Q4794" s="244">
        <v>8.6999999999999993</v>
      </c>
      <c r="R4794" s="58"/>
      <c r="S4794" s="245">
        <v>620</v>
      </c>
      <c r="T4794" s="58"/>
      <c r="U4794" s="58" t="s">
        <v>1805</v>
      </c>
      <c r="V4794" s="244">
        <v>5</v>
      </c>
      <c r="W4794" s="174"/>
      <c r="X4794" s="174"/>
      <c r="Y4794" s="58" t="s">
        <v>5908</v>
      </c>
      <c r="Z4794" s="244" t="s">
        <v>1349</v>
      </c>
      <c r="AA4794" s="245">
        <v>15</v>
      </c>
      <c r="AB4794" s="67"/>
      <c r="AC4794" s="67"/>
      <c r="AD4794" s="94"/>
      <c r="AE4794" s="94"/>
      <c r="AF4794" s="94"/>
      <c r="AG4794" s="245"/>
      <c r="AH4794" s="58"/>
      <c r="AI4794" s="169"/>
      <c r="AJ4794" s="94"/>
      <c r="AK4794" s="94"/>
      <c r="AL4794" s="58"/>
      <c r="AM4794" s="58"/>
      <c r="AN4794" s="186"/>
      <c r="AO4794" s="185" t="s">
        <v>7494</v>
      </c>
      <c r="AP4794" s="58"/>
      <c r="AQ4794" s="58"/>
      <c r="AR4794" s="58" t="s">
        <v>158</v>
      </c>
      <c r="AS4794" s="58" t="s">
        <v>158</v>
      </c>
      <c r="AT4794" s="247"/>
      <c r="AU4794" s="181" t="s">
        <v>7494</v>
      </c>
      <c r="AV4794" s="185" t="s">
        <v>176</v>
      </c>
      <c r="AW4794" s="244"/>
      <c r="AX4794" s="185" t="s">
        <v>176</v>
      </c>
      <c r="AY4794" s="244"/>
      <c r="AZ4794" s="58"/>
      <c r="BA4794" s="58"/>
      <c r="BB4794" s="58"/>
      <c r="BC4794" s="58"/>
      <c r="BD4794" s="58"/>
      <c r="BE4794" s="236" t="s">
        <v>5153</v>
      </c>
      <c r="BF4794" s="191" t="s">
        <v>176</v>
      </c>
      <c r="BG4794" s="191" t="s">
        <v>176</v>
      </c>
      <c r="BH4794" s="236" t="s">
        <v>5153</v>
      </c>
      <c r="BI4794" s="191" t="s">
        <v>176</v>
      </c>
      <c r="BJ4794" s="58" t="str">
        <f>IF(BE4794=BH4794,"No","yes")</f>
        <v>No</v>
      </c>
      <c r="BK4794" s="58" t="s">
        <v>6334</v>
      </c>
      <c r="BL4794" s="58"/>
      <c r="BM4794" s="237"/>
      <c r="BN4794" s="244">
        <v>3</v>
      </c>
      <c r="BO4794" s="244">
        <v>3</v>
      </c>
      <c r="BP4794" s="58"/>
      <c r="BQ4794" s="58"/>
      <c r="BR4794" s="58"/>
      <c r="BS4794" s="58"/>
      <c r="BT4794" s="58"/>
      <c r="BU4794" s="58"/>
      <c r="BV4794" s="58"/>
      <c r="BW4794" s="67">
        <v>284873</v>
      </c>
      <c r="BX4794" s="67">
        <v>223125</v>
      </c>
      <c r="BY4794" s="67">
        <v>24055</v>
      </c>
      <c r="BZ4794" s="67">
        <v>24055</v>
      </c>
      <c r="CA4794" s="67" t="s">
        <v>5912</v>
      </c>
      <c r="CB4794" s="70">
        <v>3300</v>
      </c>
      <c r="CC4794" s="70">
        <v>3000</v>
      </c>
      <c r="CD4794" s="70"/>
      <c r="CE4794" s="67"/>
      <c r="CF4794" s="67"/>
      <c r="CG4794" s="67" t="s">
        <v>5913</v>
      </c>
      <c r="CH4794" s="245"/>
      <c r="CI4794" s="245"/>
      <c r="CJ4794" s="67"/>
      <c r="CK4794" s="67"/>
      <c r="CL4794" s="67"/>
      <c r="CM4794" s="242"/>
      <c r="CN4794" s="242"/>
      <c r="CO4794" s="242"/>
      <c r="CP4794" s="242"/>
      <c r="CQ4794" s="242"/>
      <c r="CR4794" s="242"/>
      <c r="CS4794" s="242"/>
      <c r="CT4794" s="242"/>
      <c r="CU4794" s="242"/>
      <c r="CV4794" s="242"/>
      <c r="CW4794" s="242"/>
      <c r="CX4794" s="242"/>
      <c r="CY4794" s="242"/>
      <c r="CZ4794" s="242"/>
      <c r="DA4794" s="67"/>
      <c r="DB4794" s="67"/>
      <c r="DC4794" s="67"/>
      <c r="DD4794" s="67"/>
      <c r="DE4794" s="67"/>
      <c r="DF4794" s="67"/>
      <c r="DG4794" s="67"/>
      <c r="DH4794" s="67"/>
      <c r="DI4794" s="67"/>
      <c r="DJ4794" s="67"/>
      <c r="DK4794" s="67"/>
      <c r="DL4794" s="67"/>
      <c r="DM4794" s="67"/>
      <c r="DN4794" s="67"/>
      <c r="DO4794" s="67"/>
      <c r="DP4794" s="67"/>
      <c r="DQ4794" s="166"/>
      <c r="DR4794" s="166"/>
      <c r="DS4794" s="163"/>
      <c r="DT4794" s="163"/>
      <c r="DU4794" s="67"/>
      <c r="DV4794" s="67"/>
      <c r="DW4794" s="67"/>
      <c r="DX4794" s="67"/>
      <c r="DY4794" s="67"/>
      <c r="DZ4794" s="67"/>
      <c r="EA4794" s="67"/>
      <c r="EB4794" s="67"/>
      <c r="EC4794" s="67"/>
      <c r="ED4794" s="67"/>
      <c r="EE4794" s="67"/>
      <c r="EF4794" s="67"/>
      <c r="EG4794" s="67"/>
      <c r="EH4794" s="67"/>
      <c r="EI4794" s="67"/>
      <c r="EJ4794" s="67"/>
      <c r="EK4794" s="94"/>
      <c r="EL4794" s="94"/>
      <c r="EM4794" s="67"/>
      <c r="EN4794" s="67"/>
      <c r="EO4794" s="67"/>
      <c r="EP4794" s="67"/>
      <c r="EQ4794" s="67"/>
      <c r="ER4794" s="67"/>
      <c r="ES4794" s="67"/>
      <c r="ET4794" s="67"/>
      <c r="EU4794" s="67"/>
      <c r="EV4794" s="67"/>
      <c r="EW4794" s="67"/>
      <c r="EX4794" s="67"/>
      <c r="EY4794" s="67"/>
      <c r="EZ4794" s="67"/>
      <c r="FA4794" s="67"/>
      <c r="FB4794" s="67"/>
      <c r="FC4794" s="67"/>
      <c r="FD4794" s="67"/>
      <c r="FE4794" s="67"/>
      <c r="FF4794" s="67"/>
      <c r="FG4794" s="67"/>
      <c r="FH4794" s="67"/>
      <c r="FI4794" s="67"/>
      <c r="FJ4794" s="67"/>
      <c r="FK4794" s="67"/>
      <c r="FL4794" s="67"/>
      <c r="FM4794" s="67"/>
      <c r="FN4794" s="67"/>
      <c r="FO4794" s="67"/>
      <c r="FP4794" s="67"/>
      <c r="FQ4794" s="67"/>
      <c r="FR4794" s="67"/>
      <c r="FS4794" s="67"/>
      <c r="FT4794" s="67"/>
      <c r="FU4794" s="67"/>
      <c r="FV4794" s="67"/>
      <c r="FW4794" s="67"/>
      <c r="FX4794" s="67"/>
      <c r="FY4794" s="67"/>
      <c r="FZ4794" s="67"/>
      <c r="GA4794" s="67"/>
      <c r="GB4794" s="67"/>
      <c r="GC4794" s="67"/>
      <c r="GD4794" s="67"/>
      <c r="GE4794" s="67"/>
      <c r="GF4794" s="67"/>
      <c r="GG4794" s="67"/>
      <c r="GH4794" s="67"/>
      <c r="GI4794" s="67"/>
      <c r="GJ4794" s="67"/>
      <c r="GK4794" s="67"/>
      <c r="GL4794" s="67"/>
      <c r="GM4794" s="67"/>
      <c r="GN4794" s="292">
        <v>0</v>
      </c>
      <c r="GO4794" s="292">
        <v>0.5</v>
      </c>
      <c r="GP4794" s="292" t="s">
        <v>5150</v>
      </c>
      <c r="GQ4794" s="67"/>
      <c r="GR4794" s="67"/>
      <c r="GS4794" s="67" t="s">
        <v>5914</v>
      </c>
      <c r="GT4794" s="67"/>
      <c r="GU4794" s="67"/>
      <c r="GV4794" s="67"/>
      <c r="GW4794" s="67"/>
      <c r="GX4794" s="67"/>
      <c r="GY4794" s="67"/>
      <c r="GZ4794" s="67"/>
      <c r="HA4794" s="67"/>
      <c r="HB4794" s="67"/>
      <c r="HC4794" s="67"/>
      <c r="HD4794" s="67"/>
      <c r="HE4794" s="67"/>
      <c r="HF4794" s="67"/>
      <c r="HG4794" s="67"/>
      <c r="HH4794" s="67"/>
      <c r="HI4794" s="67"/>
      <c r="HJ4794" s="67"/>
      <c r="HK4794" s="67"/>
      <c r="HL4794" s="67"/>
      <c r="HM4794" s="67"/>
      <c r="HN4794" s="67"/>
      <c r="HO4794" s="67"/>
      <c r="HP4794" s="67"/>
      <c r="HQ4794" s="67"/>
      <c r="HR4794" s="67"/>
      <c r="HS4794" s="67"/>
      <c r="HT4794" s="67"/>
      <c r="HU4794" s="67"/>
      <c r="HV4794" s="67"/>
      <c r="HW4794" s="67"/>
      <c r="HX4794" s="67"/>
      <c r="HY4794" s="67"/>
      <c r="HZ4794" s="67"/>
      <c r="IA4794" s="67"/>
      <c r="IB4794" s="67"/>
      <c r="IC4794" s="67"/>
      <c r="ID4794" s="67"/>
      <c r="IE4794" s="67"/>
      <c r="IF4794" s="67"/>
      <c r="IG4794" s="67"/>
      <c r="IH4794" s="67"/>
      <c r="II4794" s="67"/>
      <c r="IJ4794" s="67"/>
      <c r="IK4794" s="67"/>
      <c r="IL4794" s="67"/>
      <c r="IM4794" s="67"/>
      <c r="IN4794" s="67"/>
      <c r="IO4794" s="67"/>
      <c r="IP4794" s="67"/>
      <c r="IQ4794" s="67"/>
      <c r="IR4794" s="67"/>
      <c r="IS4794" s="67"/>
      <c r="IT4794" s="67"/>
      <c r="IU4794" s="67"/>
      <c r="IV4794" s="67"/>
      <c r="IW4794" s="67"/>
      <c r="IX4794" s="67"/>
      <c r="IY4794" s="67"/>
      <c r="IZ4794" s="67"/>
      <c r="JA4794" s="67"/>
      <c r="JB4794" s="67"/>
      <c r="JC4794" s="67"/>
      <c r="JD4794" s="67"/>
      <c r="JE4794" s="67"/>
      <c r="JF4794" s="67"/>
      <c r="JG4794" s="67"/>
      <c r="JH4794" s="67"/>
      <c r="JI4794" s="67"/>
      <c r="JJ4794" s="67"/>
      <c r="JK4794" s="67"/>
      <c r="JL4794" s="67"/>
      <c r="JM4794" s="67"/>
      <c r="JN4794" s="67"/>
      <c r="JO4794" s="67"/>
      <c r="JP4794" s="67"/>
      <c r="JQ4794" s="67"/>
      <c r="JR4794" s="67"/>
      <c r="JS4794" s="67"/>
      <c r="JT4794" s="67"/>
      <c r="JU4794" s="58"/>
      <c r="JV4794" s="58"/>
      <c r="JW4794" s="58"/>
    </row>
    <row r="4795" spans="1:283" s="23" customFormat="1" x14ac:dyDescent="0.25">
      <c r="A4795" s="55">
        <v>4794</v>
      </c>
      <c r="B4795" s="12" t="s">
        <v>7067</v>
      </c>
      <c r="C4795" s="156">
        <v>214</v>
      </c>
      <c r="D4795" s="58" t="s">
        <v>4884</v>
      </c>
      <c r="E4795" s="160" t="str">
        <f>G4795</f>
        <v>Capriel 1991_Farm Pair 4</v>
      </c>
      <c r="F4795" s="160"/>
      <c r="G4795" s="60" t="s">
        <v>4842</v>
      </c>
      <c r="H4795" s="58">
        <v>1991</v>
      </c>
      <c r="I4795" s="58" t="s">
        <v>5599</v>
      </c>
      <c r="J4795" s="243" t="s">
        <v>5302</v>
      </c>
      <c r="K4795" s="63" t="s">
        <v>5127</v>
      </c>
      <c r="L4795" s="58" t="s">
        <v>1077</v>
      </c>
      <c r="M4795" s="94">
        <v>48.79</v>
      </c>
      <c r="N4795" s="94">
        <v>11.5</v>
      </c>
      <c r="O4795" s="94">
        <v>371</v>
      </c>
      <c r="P4795" s="58"/>
      <c r="Q4795" s="244">
        <v>8.6999999999999993</v>
      </c>
      <c r="R4795" s="58"/>
      <c r="S4795" s="245">
        <v>620</v>
      </c>
      <c r="T4795" s="58"/>
      <c r="U4795" s="58" t="s">
        <v>1688</v>
      </c>
      <c r="V4795" s="244">
        <v>5</v>
      </c>
      <c r="W4795" s="174"/>
      <c r="X4795" s="174"/>
      <c r="Y4795" s="58" t="s">
        <v>5908</v>
      </c>
      <c r="Z4795" s="244" t="s">
        <v>1349</v>
      </c>
      <c r="AA4795" s="245">
        <v>15</v>
      </c>
      <c r="AB4795" s="67"/>
      <c r="AC4795" s="67"/>
      <c r="AD4795" s="94"/>
      <c r="AE4795" s="94"/>
      <c r="AF4795" s="94"/>
      <c r="AG4795" s="245"/>
      <c r="AH4795" s="58"/>
      <c r="AI4795" s="169"/>
      <c r="AJ4795" s="94"/>
      <c r="AK4795" s="94"/>
      <c r="AL4795" s="58"/>
      <c r="AM4795" s="58"/>
      <c r="AN4795" s="186"/>
      <c r="AO4795" s="185" t="s">
        <v>7494</v>
      </c>
      <c r="AP4795" s="58"/>
      <c r="AQ4795" s="58"/>
      <c r="AR4795" s="58" t="s">
        <v>158</v>
      </c>
      <c r="AS4795" s="58" t="s">
        <v>158</v>
      </c>
      <c r="AT4795" s="247"/>
      <c r="AU4795" s="181" t="s">
        <v>7494</v>
      </c>
      <c r="AV4795" s="185" t="s">
        <v>176</v>
      </c>
      <c r="AW4795" s="244"/>
      <c r="AX4795" s="185" t="s">
        <v>176</v>
      </c>
      <c r="AY4795" s="244"/>
      <c r="AZ4795" s="58"/>
      <c r="BA4795" s="58"/>
      <c r="BB4795" s="58"/>
      <c r="BC4795" s="58"/>
      <c r="BD4795" s="58"/>
      <c r="BE4795" s="236" t="s">
        <v>5153</v>
      </c>
      <c r="BF4795" s="191" t="s">
        <v>176</v>
      </c>
      <c r="BG4795" s="191" t="s">
        <v>176</v>
      </c>
      <c r="BH4795" s="236" t="s">
        <v>5153</v>
      </c>
      <c r="BI4795" s="191" t="s">
        <v>176</v>
      </c>
      <c r="BJ4795" s="58" t="str">
        <f>IF(BE4795=BH4795,"No","yes")</f>
        <v>No</v>
      </c>
      <c r="BK4795" s="58" t="s">
        <v>6334</v>
      </c>
      <c r="BL4795" s="58"/>
      <c r="BM4795" s="237"/>
      <c r="BN4795" s="244">
        <v>3</v>
      </c>
      <c r="BO4795" s="244">
        <v>3</v>
      </c>
      <c r="BP4795" s="58"/>
      <c r="BQ4795" s="58"/>
      <c r="BR4795" s="58"/>
      <c r="BS4795" s="58"/>
      <c r="BT4795" s="58"/>
      <c r="BU4795" s="58"/>
      <c r="BV4795" s="58"/>
      <c r="BW4795" s="67">
        <v>282610</v>
      </c>
      <c r="BX4795" s="67">
        <v>288167</v>
      </c>
      <c r="BY4795" s="67"/>
      <c r="BZ4795" s="67"/>
      <c r="CA4795" s="67" t="s">
        <v>5912</v>
      </c>
      <c r="CB4795" s="70">
        <v>2700</v>
      </c>
      <c r="CC4795" s="70">
        <v>2400</v>
      </c>
      <c r="CD4795" s="70"/>
      <c r="CE4795" s="67"/>
      <c r="CF4795" s="67"/>
      <c r="CG4795" s="67" t="s">
        <v>5913</v>
      </c>
      <c r="CH4795" s="245"/>
      <c r="CI4795" s="245"/>
      <c r="CJ4795" s="67"/>
      <c r="CK4795" s="67"/>
      <c r="CL4795" s="67"/>
      <c r="CM4795" s="242"/>
      <c r="CN4795" s="242"/>
      <c r="CO4795" s="242"/>
      <c r="CP4795" s="242"/>
      <c r="CQ4795" s="242"/>
      <c r="CR4795" s="242"/>
      <c r="CS4795" s="242"/>
      <c r="CT4795" s="242"/>
      <c r="CU4795" s="242"/>
      <c r="CV4795" s="242"/>
      <c r="CW4795" s="242"/>
      <c r="CX4795" s="242"/>
      <c r="CY4795" s="242"/>
      <c r="CZ4795" s="242"/>
      <c r="DA4795" s="67"/>
      <c r="DB4795" s="67"/>
      <c r="DC4795" s="67"/>
      <c r="DD4795" s="67"/>
      <c r="DE4795" s="67"/>
      <c r="DF4795" s="67"/>
      <c r="DG4795" s="67"/>
      <c r="DH4795" s="67"/>
      <c r="DI4795" s="67"/>
      <c r="DJ4795" s="67"/>
      <c r="DK4795" s="67"/>
      <c r="DL4795" s="67"/>
      <c r="DM4795" s="67"/>
      <c r="DN4795" s="67"/>
      <c r="DO4795" s="67"/>
      <c r="DP4795" s="67"/>
      <c r="DQ4795" s="166"/>
      <c r="DR4795" s="166"/>
      <c r="DS4795" s="163"/>
      <c r="DT4795" s="163"/>
      <c r="DU4795" s="67"/>
      <c r="DV4795" s="67"/>
      <c r="DW4795" s="67"/>
      <c r="DX4795" s="67"/>
      <c r="DY4795" s="67"/>
      <c r="DZ4795" s="67"/>
      <c r="EA4795" s="67"/>
      <c r="EB4795" s="67"/>
      <c r="EC4795" s="67"/>
      <c r="ED4795" s="67"/>
      <c r="EE4795" s="67"/>
      <c r="EF4795" s="67"/>
      <c r="EG4795" s="67"/>
      <c r="EH4795" s="67"/>
      <c r="EI4795" s="67"/>
      <c r="EJ4795" s="67"/>
      <c r="EK4795" s="94"/>
      <c r="EL4795" s="94"/>
      <c r="EM4795" s="67"/>
      <c r="EN4795" s="67"/>
      <c r="EO4795" s="67"/>
      <c r="EP4795" s="67"/>
      <c r="EQ4795" s="67"/>
      <c r="ER4795" s="67"/>
      <c r="ES4795" s="67"/>
      <c r="ET4795" s="67"/>
      <c r="EU4795" s="67"/>
      <c r="EV4795" s="67"/>
      <c r="EW4795" s="67"/>
      <c r="EX4795" s="67"/>
      <c r="EY4795" s="67"/>
      <c r="EZ4795" s="67"/>
      <c r="FA4795" s="67"/>
      <c r="FB4795" s="67"/>
      <c r="FC4795" s="67"/>
      <c r="FD4795" s="67"/>
      <c r="FE4795" s="67"/>
      <c r="FF4795" s="67"/>
      <c r="FG4795" s="67"/>
      <c r="FH4795" s="67"/>
      <c r="FI4795" s="67"/>
      <c r="FJ4795" s="67"/>
      <c r="FK4795" s="67"/>
      <c r="FL4795" s="67"/>
      <c r="FM4795" s="67"/>
      <c r="FN4795" s="67"/>
      <c r="FO4795" s="67"/>
      <c r="FP4795" s="67"/>
      <c r="FQ4795" s="67"/>
      <c r="FR4795" s="67"/>
      <c r="FS4795" s="67"/>
      <c r="FT4795" s="67"/>
      <c r="FU4795" s="67"/>
      <c r="FV4795" s="67"/>
      <c r="FW4795" s="67"/>
      <c r="FX4795" s="67"/>
      <c r="FY4795" s="67"/>
      <c r="FZ4795" s="67"/>
      <c r="GA4795" s="67"/>
      <c r="GB4795" s="67"/>
      <c r="GC4795" s="67"/>
      <c r="GD4795" s="67"/>
      <c r="GE4795" s="67"/>
      <c r="GF4795" s="67"/>
      <c r="GG4795" s="67"/>
      <c r="GH4795" s="67"/>
      <c r="GI4795" s="67"/>
      <c r="GJ4795" s="67"/>
      <c r="GK4795" s="67"/>
      <c r="GL4795" s="67"/>
      <c r="GM4795" s="67"/>
      <c r="GN4795" s="292">
        <v>1.5</v>
      </c>
      <c r="GO4795" s="292">
        <v>6.7</v>
      </c>
      <c r="GP4795" s="292" t="s">
        <v>5150</v>
      </c>
      <c r="GQ4795" s="67"/>
      <c r="GR4795" s="67">
        <v>2.8</v>
      </c>
      <c r="GS4795" s="67" t="s">
        <v>5914</v>
      </c>
      <c r="GT4795" s="67"/>
      <c r="GU4795" s="67"/>
      <c r="GV4795" s="67"/>
      <c r="GW4795" s="67"/>
      <c r="GX4795" s="67"/>
      <c r="GY4795" s="67"/>
      <c r="GZ4795" s="67"/>
      <c r="HA4795" s="67"/>
      <c r="HB4795" s="67"/>
      <c r="HC4795" s="67"/>
      <c r="HD4795" s="67"/>
      <c r="HE4795" s="67"/>
      <c r="HF4795" s="67"/>
      <c r="HG4795" s="67"/>
      <c r="HH4795" s="67"/>
      <c r="HI4795" s="67"/>
      <c r="HJ4795" s="67"/>
      <c r="HK4795" s="67"/>
      <c r="HL4795" s="67"/>
      <c r="HM4795" s="67"/>
      <c r="HN4795" s="67"/>
      <c r="HO4795" s="67"/>
      <c r="HP4795" s="67"/>
      <c r="HQ4795" s="67"/>
      <c r="HR4795" s="67"/>
      <c r="HS4795" s="67"/>
      <c r="HT4795" s="67"/>
      <c r="HU4795" s="67"/>
      <c r="HV4795" s="67"/>
      <c r="HW4795" s="67"/>
      <c r="HX4795" s="67"/>
      <c r="HY4795" s="67"/>
      <c r="HZ4795" s="67"/>
      <c r="IA4795" s="67"/>
      <c r="IB4795" s="67"/>
      <c r="IC4795" s="67"/>
      <c r="ID4795" s="67"/>
      <c r="IE4795" s="67"/>
      <c r="IF4795" s="67"/>
      <c r="IG4795" s="67"/>
      <c r="IH4795" s="67"/>
      <c r="II4795" s="67"/>
      <c r="IJ4795" s="67"/>
      <c r="IK4795" s="67"/>
      <c r="IL4795" s="67"/>
      <c r="IM4795" s="67"/>
      <c r="IN4795" s="67"/>
      <c r="IO4795" s="67"/>
      <c r="IP4795" s="67"/>
      <c r="IQ4795" s="67"/>
      <c r="IR4795" s="67"/>
      <c r="IS4795" s="67"/>
      <c r="IT4795" s="67"/>
      <c r="IU4795" s="67"/>
      <c r="IV4795" s="67"/>
      <c r="IW4795" s="67"/>
      <c r="IX4795" s="67"/>
      <c r="IY4795" s="67"/>
      <c r="IZ4795" s="67"/>
      <c r="JA4795" s="67"/>
      <c r="JB4795" s="67"/>
      <c r="JC4795" s="67"/>
      <c r="JD4795" s="67"/>
      <c r="JE4795" s="67"/>
      <c r="JF4795" s="67"/>
      <c r="JG4795" s="67"/>
      <c r="JH4795" s="67"/>
      <c r="JI4795" s="67"/>
      <c r="JJ4795" s="67"/>
      <c r="JK4795" s="67"/>
      <c r="JL4795" s="67"/>
      <c r="JM4795" s="67"/>
      <c r="JN4795" s="67"/>
      <c r="JO4795" s="67"/>
      <c r="JP4795" s="67"/>
      <c r="JQ4795" s="67"/>
      <c r="JR4795" s="67"/>
      <c r="JS4795" s="67"/>
      <c r="JT4795" s="67"/>
      <c r="JU4795" s="58"/>
      <c r="JV4795" s="58"/>
      <c r="JW4795" s="58"/>
    </row>
    <row r="4796" spans="1:283" s="23" customFormat="1" x14ac:dyDescent="0.25">
      <c r="A4796" s="55">
        <v>4795</v>
      </c>
      <c r="B4796" s="12" t="s">
        <v>7067</v>
      </c>
      <c r="C4796" s="156">
        <v>214</v>
      </c>
      <c r="D4796" s="58" t="s">
        <v>4885</v>
      </c>
      <c r="E4796" s="160" t="str">
        <f>G4796</f>
        <v>Capriel 1991_Farm Pair 5</v>
      </c>
      <c r="F4796" s="160"/>
      <c r="G4796" s="60" t="s">
        <v>4841</v>
      </c>
      <c r="H4796" s="58">
        <v>1991</v>
      </c>
      <c r="I4796" s="58" t="s">
        <v>5599</v>
      </c>
      <c r="J4796" s="243" t="s">
        <v>5302</v>
      </c>
      <c r="K4796" s="63" t="s">
        <v>5127</v>
      </c>
      <c r="L4796" s="58" t="s">
        <v>1077</v>
      </c>
      <c r="M4796" s="94">
        <v>48.79</v>
      </c>
      <c r="N4796" s="94">
        <v>11.5</v>
      </c>
      <c r="O4796" s="94">
        <v>371</v>
      </c>
      <c r="P4796" s="58"/>
      <c r="Q4796" s="244">
        <v>8.6999999999999993</v>
      </c>
      <c r="R4796" s="58"/>
      <c r="S4796" s="245">
        <v>620</v>
      </c>
      <c r="T4796" s="58"/>
      <c r="U4796" s="58" t="s">
        <v>1688</v>
      </c>
      <c r="V4796" s="244">
        <v>5</v>
      </c>
      <c r="W4796" s="174"/>
      <c r="X4796" s="174"/>
      <c r="Y4796" s="58" t="s">
        <v>5908</v>
      </c>
      <c r="Z4796" s="244" t="s">
        <v>1349</v>
      </c>
      <c r="AA4796" s="245">
        <v>15</v>
      </c>
      <c r="AB4796" s="67"/>
      <c r="AC4796" s="67"/>
      <c r="AD4796" s="94"/>
      <c r="AE4796" s="94"/>
      <c r="AF4796" s="94"/>
      <c r="AG4796" s="245"/>
      <c r="AH4796" s="58"/>
      <c r="AI4796" s="169"/>
      <c r="AJ4796" s="94"/>
      <c r="AK4796" s="94"/>
      <c r="AL4796" s="58"/>
      <c r="AM4796" s="58"/>
      <c r="AN4796" s="186"/>
      <c r="AO4796" s="185" t="s">
        <v>7494</v>
      </c>
      <c r="AP4796" s="58"/>
      <c r="AQ4796" s="58"/>
      <c r="AR4796" s="58" t="s">
        <v>158</v>
      </c>
      <c r="AS4796" s="58" t="s">
        <v>158</v>
      </c>
      <c r="AT4796" s="247"/>
      <c r="AU4796" s="181" t="s">
        <v>7494</v>
      </c>
      <c r="AV4796" s="185" t="s">
        <v>176</v>
      </c>
      <c r="AW4796" s="244"/>
      <c r="AX4796" s="185" t="s">
        <v>176</v>
      </c>
      <c r="AY4796" s="244"/>
      <c r="AZ4796" s="58"/>
      <c r="BA4796" s="58"/>
      <c r="BB4796" s="58"/>
      <c r="BC4796" s="58"/>
      <c r="BD4796" s="58"/>
      <c r="BE4796" s="236" t="s">
        <v>5153</v>
      </c>
      <c r="BF4796" s="191" t="s">
        <v>176</v>
      </c>
      <c r="BG4796" s="191" t="s">
        <v>176</v>
      </c>
      <c r="BH4796" s="236" t="s">
        <v>5153</v>
      </c>
      <c r="BI4796" s="191" t="s">
        <v>176</v>
      </c>
      <c r="BJ4796" s="58" t="str">
        <f>IF(BE4796=BH4796,"No","yes")</f>
        <v>No</v>
      </c>
      <c r="BK4796" s="58" t="s">
        <v>6334</v>
      </c>
      <c r="BL4796" s="58"/>
      <c r="BM4796" s="237"/>
      <c r="BN4796" s="244">
        <v>3</v>
      </c>
      <c r="BO4796" s="244">
        <v>3</v>
      </c>
      <c r="BP4796" s="58"/>
      <c r="BQ4796" s="58"/>
      <c r="BR4796" s="58"/>
      <c r="BS4796" s="58"/>
      <c r="BT4796" s="58"/>
      <c r="BU4796" s="58"/>
      <c r="BV4796" s="58"/>
      <c r="BW4796" s="67">
        <v>282610</v>
      </c>
      <c r="BX4796" s="67">
        <v>276949</v>
      </c>
      <c r="BY4796" s="67"/>
      <c r="BZ4796" s="67"/>
      <c r="CA4796" s="67" t="s">
        <v>5912</v>
      </c>
      <c r="CB4796" s="70">
        <v>2700</v>
      </c>
      <c r="CC4796" s="70">
        <v>2500</v>
      </c>
      <c r="CD4796" s="70"/>
      <c r="CE4796" s="67"/>
      <c r="CF4796" s="67"/>
      <c r="CG4796" s="67" t="s">
        <v>5913</v>
      </c>
      <c r="CH4796" s="245"/>
      <c r="CI4796" s="245"/>
      <c r="CJ4796" s="67"/>
      <c r="CK4796" s="67"/>
      <c r="CL4796" s="67"/>
      <c r="CM4796" s="242"/>
      <c r="CN4796" s="242"/>
      <c r="CO4796" s="242"/>
      <c r="CP4796" s="242"/>
      <c r="CQ4796" s="242"/>
      <c r="CR4796" s="242"/>
      <c r="CS4796" s="242"/>
      <c r="CT4796" s="242"/>
      <c r="CU4796" s="242"/>
      <c r="CV4796" s="242"/>
      <c r="CW4796" s="242"/>
      <c r="CX4796" s="242"/>
      <c r="CY4796" s="242"/>
      <c r="CZ4796" s="242"/>
      <c r="DA4796" s="67"/>
      <c r="DB4796" s="67"/>
      <c r="DC4796" s="67"/>
      <c r="DD4796" s="67"/>
      <c r="DE4796" s="67"/>
      <c r="DF4796" s="67"/>
      <c r="DG4796" s="67"/>
      <c r="DH4796" s="67"/>
      <c r="DI4796" s="67"/>
      <c r="DJ4796" s="67"/>
      <c r="DK4796" s="67"/>
      <c r="DL4796" s="67"/>
      <c r="DM4796" s="67"/>
      <c r="DN4796" s="67"/>
      <c r="DO4796" s="67"/>
      <c r="DP4796" s="67"/>
      <c r="DQ4796" s="166"/>
      <c r="DR4796" s="166"/>
      <c r="DS4796" s="163"/>
      <c r="DT4796" s="163"/>
      <c r="DU4796" s="67"/>
      <c r="DV4796" s="67"/>
      <c r="DW4796" s="67"/>
      <c r="DX4796" s="67"/>
      <c r="DY4796" s="67"/>
      <c r="DZ4796" s="67"/>
      <c r="EA4796" s="67"/>
      <c r="EB4796" s="67"/>
      <c r="EC4796" s="67"/>
      <c r="ED4796" s="67"/>
      <c r="EE4796" s="67"/>
      <c r="EF4796" s="67"/>
      <c r="EG4796" s="67"/>
      <c r="EH4796" s="67"/>
      <c r="EI4796" s="67"/>
      <c r="EJ4796" s="67"/>
      <c r="EK4796" s="94"/>
      <c r="EL4796" s="94"/>
      <c r="EM4796" s="67"/>
      <c r="EN4796" s="67"/>
      <c r="EO4796" s="67"/>
      <c r="EP4796" s="67"/>
      <c r="EQ4796" s="67"/>
      <c r="ER4796" s="67"/>
      <c r="ES4796" s="67"/>
      <c r="ET4796" s="67"/>
      <c r="EU4796" s="67"/>
      <c r="EV4796" s="67"/>
      <c r="EW4796" s="67"/>
      <c r="EX4796" s="67"/>
      <c r="EY4796" s="67"/>
      <c r="EZ4796" s="67"/>
      <c r="FA4796" s="67"/>
      <c r="FB4796" s="67"/>
      <c r="FC4796" s="67"/>
      <c r="FD4796" s="67"/>
      <c r="FE4796" s="67"/>
      <c r="FF4796" s="67"/>
      <c r="FG4796" s="67"/>
      <c r="FH4796" s="67"/>
      <c r="FI4796" s="67"/>
      <c r="FJ4796" s="67"/>
      <c r="FK4796" s="67"/>
      <c r="FL4796" s="67"/>
      <c r="FM4796" s="67"/>
      <c r="FN4796" s="67"/>
      <c r="FO4796" s="67"/>
      <c r="FP4796" s="67"/>
      <c r="FQ4796" s="67"/>
      <c r="FR4796" s="67"/>
      <c r="FS4796" s="67"/>
      <c r="FT4796" s="67"/>
      <c r="FU4796" s="67"/>
      <c r="FV4796" s="67"/>
      <c r="FW4796" s="67"/>
      <c r="FX4796" s="67"/>
      <c r="FY4796" s="67"/>
      <c r="FZ4796" s="67"/>
      <c r="GA4796" s="67"/>
      <c r="GB4796" s="67"/>
      <c r="GC4796" s="67"/>
      <c r="GD4796" s="67"/>
      <c r="GE4796" s="67"/>
      <c r="GF4796" s="67"/>
      <c r="GG4796" s="67"/>
      <c r="GH4796" s="67"/>
      <c r="GI4796" s="67"/>
      <c r="GJ4796" s="67"/>
      <c r="GK4796" s="67"/>
      <c r="GL4796" s="67"/>
      <c r="GM4796" s="67"/>
      <c r="GN4796" s="292">
        <v>1.5</v>
      </c>
      <c r="GO4796" s="292">
        <v>4.5</v>
      </c>
      <c r="GP4796" s="292" t="s">
        <v>5150</v>
      </c>
      <c r="GQ4796" s="67"/>
      <c r="GR4796" s="67">
        <v>2.8</v>
      </c>
      <c r="GS4796" s="67" t="s">
        <v>5914</v>
      </c>
      <c r="GT4796" s="67"/>
      <c r="GU4796" s="67"/>
      <c r="GV4796" s="67"/>
      <c r="GW4796" s="67"/>
      <c r="GX4796" s="67"/>
      <c r="GY4796" s="67"/>
      <c r="GZ4796" s="67"/>
      <c r="HA4796" s="67"/>
      <c r="HB4796" s="67"/>
      <c r="HC4796" s="67"/>
      <c r="HD4796" s="67"/>
      <c r="HE4796" s="67"/>
      <c r="HF4796" s="67"/>
      <c r="HG4796" s="67"/>
      <c r="HH4796" s="67"/>
      <c r="HI4796" s="67"/>
      <c r="HJ4796" s="67"/>
      <c r="HK4796" s="67"/>
      <c r="HL4796" s="67"/>
      <c r="HM4796" s="67"/>
      <c r="HN4796" s="67"/>
      <c r="HO4796" s="67"/>
      <c r="HP4796" s="67"/>
      <c r="HQ4796" s="67"/>
      <c r="HR4796" s="67"/>
      <c r="HS4796" s="67"/>
      <c r="HT4796" s="67"/>
      <c r="HU4796" s="67"/>
      <c r="HV4796" s="67"/>
      <c r="HW4796" s="67"/>
      <c r="HX4796" s="67"/>
      <c r="HY4796" s="67"/>
      <c r="HZ4796" s="67"/>
      <c r="IA4796" s="67"/>
      <c r="IB4796" s="67"/>
      <c r="IC4796" s="67"/>
      <c r="ID4796" s="67"/>
      <c r="IE4796" s="67"/>
      <c r="IF4796" s="67"/>
      <c r="IG4796" s="67"/>
      <c r="IH4796" s="67"/>
      <c r="II4796" s="67"/>
      <c r="IJ4796" s="67"/>
      <c r="IK4796" s="67"/>
      <c r="IL4796" s="67"/>
      <c r="IM4796" s="67"/>
      <c r="IN4796" s="67"/>
      <c r="IO4796" s="67"/>
      <c r="IP4796" s="67"/>
      <c r="IQ4796" s="67"/>
      <c r="IR4796" s="67"/>
      <c r="IS4796" s="67"/>
      <c r="IT4796" s="67"/>
      <c r="IU4796" s="67"/>
      <c r="IV4796" s="67"/>
      <c r="IW4796" s="67"/>
      <c r="IX4796" s="67"/>
      <c r="IY4796" s="67"/>
      <c r="IZ4796" s="67"/>
      <c r="JA4796" s="67"/>
      <c r="JB4796" s="67"/>
      <c r="JC4796" s="67"/>
      <c r="JD4796" s="67"/>
      <c r="JE4796" s="67"/>
      <c r="JF4796" s="67"/>
      <c r="JG4796" s="67"/>
      <c r="JH4796" s="67"/>
      <c r="JI4796" s="67"/>
      <c r="JJ4796" s="67"/>
      <c r="JK4796" s="67"/>
      <c r="JL4796" s="67"/>
      <c r="JM4796" s="67"/>
      <c r="JN4796" s="67"/>
      <c r="JO4796" s="67"/>
      <c r="JP4796" s="67"/>
      <c r="JQ4796" s="67"/>
      <c r="JR4796" s="67"/>
      <c r="JS4796" s="67"/>
      <c r="JT4796" s="67"/>
      <c r="JU4796" s="58"/>
      <c r="JV4796" s="58"/>
      <c r="JW4796" s="58"/>
    </row>
    <row r="4797" spans="1:283" s="23" customFormat="1" x14ac:dyDescent="0.25">
      <c r="A4797" s="55">
        <v>4796</v>
      </c>
      <c r="B4797" s="12" t="s">
        <v>7067</v>
      </c>
      <c r="C4797" s="156">
        <v>214</v>
      </c>
      <c r="D4797" s="58" t="s">
        <v>4886</v>
      </c>
      <c r="E4797" s="160" t="str">
        <f>G4797</f>
        <v>Capriel 1991_Farm Pair 5</v>
      </c>
      <c r="F4797" s="160"/>
      <c r="G4797" s="60" t="s">
        <v>4841</v>
      </c>
      <c r="H4797" s="58">
        <v>1991</v>
      </c>
      <c r="I4797" s="58" t="s">
        <v>5599</v>
      </c>
      <c r="J4797" s="243" t="s">
        <v>5302</v>
      </c>
      <c r="K4797" s="63" t="s">
        <v>5127</v>
      </c>
      <c r="L4797" s="58" t="s">
        <v>1077</v>
      </c>
      <c r="M4797" s="94">
        <v>48.79</v>
      </c>
      <c r="N4797" s="94">
        <v>11.5</v>
      </c>
      <c r="O4797" s="94">
        <v>371</v>
      </c>
      <c r="P4797" s="58"/>
      <c r="Q4797" s="244">
        <v>8.6999999999999993</v>
      </c>
      <c r="R4797" s="58"/>
      <c r="S4797" s="245">
        <v>620</v>
      </c>
      <c r="T4797" s="58"/>
      <c r="U4797" s="58" t="s">
        <v>1688</v>
      </c>
      <c r="V4797" s="244">
        <v>5</v>
      </c>
      <c r="W4797" s="174"/>
      <c r="X4797" s="174"/>
      <c r="Y4797" s="58" t="s">
        <v>5908</v>
      </c>
      <c r="Z4797" s="244" t="s">
        <v>1349</v>
      </c>
      <c r="AA4797" s="245">
        <v>15</v>
      </c>
      <c r="AB4797" s="67"/>
      <c r="AC4797" s="67"/>
      <c r="AD4797" s="94"/>
      <c r="AE4797" s="94"/>
      <c r="AF4797" s="94"/>
      <c r="AG4797" s="245"/>
      <c r="AH4797" s="58"/>
      <c r="AI4797" s="169"/>
      <c r="AJ4797" s="94"/>
      <c r="AK4797" s="94"/>
      <c r="AL4797" s="58"/>
      <c r="AM4797" s="58"/>
      <c r="AN4797" s="186"/>
      <c r="AO4797" s="185" t="s">
        <v>7494</v>
      </c>
      <c r="AP4797" s="58"/>
      <c r="AQ4797" s="58"/>
      <c r="AR4797" s="58" t="s">
        <v>158</v>
      </c>
      <c r="AS4797" s="58" t="s">
        <v>158</v>
      </c>
      <c r="AT4797" s="247"/>
      <c r="AU4797" s="181" t="s">
        <v>7494</v>
      </c>
      <c r="AV4797" s="185" t="s">
        <v>176</v>
      </c>
      <c r="AW4797" s="244"/>
      <c r="AX4797" s="185" t="s">
        <v>176</v>
      </c>
      <c r="AY4797" s="244"/>
      <c r="AZ4797" s="58"/>
      <c r="BA4797" s="58"/>
      <c r="BB4797" s="58"/>
      <c r="BC4797" s="58"/>
      <c r="BD4797" s="58"/>
      <c r="BE4797" s="236" t="s">
        <v>5153</v>
      </c>
      <c r="BF4797" s="191" t="s">
        <v>176</v>
      </c>
      <c r="BG4797" s="191" t="s">
        <v>176</v>
      </c>
      <c r="BH4797" s="236" t="s">
        <v>5153</v>
      </c>
      <c r="BI4797" s="191" t="s">
        <v>176</v>
      </c>
      <c r="BJ4797" s="58" t="str">
        <f>IF(BE4797=BH4797,"No","yes")</f>
        <v>No</v>
      </c>
      <c r="BK4797" s="58" t="s">
        <v>6334</v>
      </c>
      <c r="BL4797" s="58"/>
      <c r="BM4797" s="237"/>
      <c r="BN4797" s="244">
        <v>3</v>
      </c>
      <c r="BO4797" s="244">
        <v>3</v>
      </c>
      <c r="BP4797" s="58"/>
      <c r="BQ4797" s="58"/>
      <c r="BR4797" s="58"/>
      <c r="BS4797" s="58"/>
      <c r="BT4797" s="58"/>
      <c r="BU4797" s="58"/>
      <c r="BV4797" s="58"/>
      <c r="BW4797" s="67">
        <v>282610</v>
      </c>
      <c r="BX4797" s="67">
        <v>293209</v>
      </c>
      <c r="BY4797" s="67"/>
      <c r="BZ4797" s="67"/>
      <c r="CA4797" s="67" t="s">
        <v>5912</v>
      </c>
      <c r="CB4797" s="70">
        <v>2700</v>
      </c>
      <c r="CC4797" s="70">
        <v>2600</v>
      </c>
      <c r="CD4797" s="70"/>
      <c r="CE4797" s="67"/>
      <c r="CF4797" s="67"/>
      <c r="CG4797" s="67" t="s">
        <v>5913</v>
      </c>
      <c r="CH4797" s="245"/>
      <c r="CI4797" s="245"/>
      <c r="CJ4797" s="67"/>
      <c r="CK4797" s="67"/>
      <c r="CL4797" s="67"/>
      <c r="CM4797" s="242"/>
      <c r="CN4797" s="242"/>
      <c r="CO4797" s="242"/>
      <c r="CP4797" s="242"/>
      <c r="CQ4797" s="242"/>
      <c r="CR4797" s="242"/>
      <c r="CS4797" s="242"/>
      <c r="CT4797" s="242"/>
      <c r="CU4797" s="242"/>
      <c r="CV4797" s="242"/>
      <c r="CW4797" s="242"/>
      <c r="CX4797" s="242"/>
      <c r="CY4797" s="242"/>
      <c r="CZ4797" s="242"/>
      <c r="DA4797" s="67"/>
      <c r="DB4797" s="67"/>
      <c r="DC4797" s="67"/>
      <c r="DD4797" s="67"/>
      <c r="DE4797" s="67"/>
      <c r="DF4797" s="67"/>
      <c r="DG4797" s="67"/>
      <c r="DH4797" s="67"/>
      <c r="DI4797" s="67"/>
      <c r="DJ4797" s="67"/>
      <c r="DK4797" s="67"/>
      <c r="DL4797" s="67"/>
      <c r="DM4797" s="67"/>
      <c r="DN4797" s="67"/>
      <c r="DO4797" s="67"/>
      <c r="DP4797" s="67"/>
      <c r="DQ4797" s="166"/>
      <c r="DR4797" s="166"/>
      <c r="DS4797" s="163"/>
      <c r="DT4797" s="163"/>
      <c r="DU4797" s="67"/>
      <c r="DV4797" s="67"/>
      <c r="DW4797" s="67"/>
      <c r="DX4797" s="67"/>
      <c r="DY4797" s="67"/>
      <c r="DZ4797" s="67"/>
      <c r="EA4797" s="67"/>
      <c r="EB4797" s="67"/>
      <c r="EC4797" s="67"/>
      <c r="ED4797" s="67"/>
      <c r="EE4797" s="67"/>
      <c r="EF4797" s="67"/>
      <c r="EG4797" s="67"/>
      <c r="EH4797" s="67"/>
      <c r="EI4797" s="67"/>
      <c r="EJ4797" s="67"/>
      <c r="EK4797" s="94"/>
      <c r="EL4797" s="94"/>
      <c r="EM4797" s="67"/>
      <c r="EN4797" s="67"/>
      <c r="EO4797" s="67"/>
      <c r="EP4797" s="67"/>
      <c r="EQ4797" s="67"/>
      <c r="ER4797" s="67"/>
      <c r="ES4797" s="67"/>
      <c r="ET4797" s="67"/>
      <c r="EU4797" s="67"/>
      <c r="EV4797" s="67"/>
      <c r="EW4797" s="67"/>
      <c r="EX4797" s="67"/>
      <c r="EY4797" s="67"/>
      <c r="EZ4797" s="67"/>
      <c r="FA4797" s="67"/>
      <c r="FB4797" s="67"/>
      <c r="FC4797" s="67"/>
      <c r="FD4797" s="67"/>
      <c r="FE4797" s="67"/>
      <c r="FF4797" s="67"/>
      <c r="FG4797" s="67"/>
      <c r="FH4797" s="67"/>
      <c r="FI4797" s="67"/>
      <c r="FJ4797" s="67"/>
      <c r="FK4797" s="67"/>
      <c r="FL4797" s="67"/>
      <c r="FM4797" s="67"/>
      <c r="FN4797" s="67"/>
      <c r="FO4797" s="67"/>
      <c r="FP4797" s="67"/>
      <c r="FQ4797" s="67"/>
      <c r="FR4797" s="67"/>
      <c r="FS4797" s="67"/>
      <c r="FT4797" s="67"/>
      <c r="FU4797" s="67"/>
      <c r="FV4797" s="67"/>
      <c r="FW4797" s="67"/>
      <c r="FX4797" s="67"/>
      <c r="FY4797" s="67"/>
      <c r="FZ4797" s="67"/>
      <c r="GA4797" s="67"/>
      <c r="GB4797" s="67"/>
      <c r="GC4797" s="67"/>
      <c r="GD4797" s="67"/>
      <c r="GE4797" s="67"/>
      <c r="GF4797" s="67"/>
      <c r="GG4797" s="67"/>
      <c r="GH4797" s="67"/>
      <c r="GI4797" s="67"/>
      <c r="GJ4797" s="67"/>
      <c r="GK4797" s="67"/>
      <c r="GL4797" s="67"/>
      <c r="GM4797" s="67"/>
      <c r="GN4797" s="292">
        <v>1.5</v>
      </c>
      <c r="GO4797" s="292">
        <v>1.5</v>
      </c>
      <c r="GP4797" s="292" t="s">
        <v>5150</v>
      </c>
      <c r="GQ4797" s="67"/>
      <c r="GR4797" s="67">
        <v>2.8</v>
      </c>
      <c r="GS4797" s="67" t="s">
        <v>5914</v>
      </c>
      <c r="GT4797" s="67"/>
      <c r="GU4797" s="67"/>
      <c r="GV4797" s="67"/>
      <c r="GW4797" s="67"/>
      <c r="GX4797" s="67"/>
      <c r="GY4797" s="67"/>
      <c r="GZ4797" s="67"/>
      <c r="HA4797" s="67"/>
      <c r="HB4797" s="67"/>
      <c r="HC4797" s="67"/>
      <c r="HD4797" s="67"/>
      <c r="HE4797" s="67"/>
      <c r="HF4797" s="67"/>
      <c r="HG4797" s="67"/>
      <c r="HH4797" s="67"/>
      <c r="HI4797" s="67"/>
      <c r="HJ4797" s="67"/>
      <c r="HK4797" s="67"/>
      <c r="HL4797" s="67"/>
      <c r="HM4797" s="67"/>
      <c r="HN4797" s="67"/>
      <c r="HO4797" s="67"/>
      <c r="HP4797" s="67"/>
      <c r="HQ4797" s="67"/>
      <c r="HR4797" s="67"/>
      <c r="HS4797" s="67"/>
      <c r="HT4797" s="67"/>
      <c r="HU4797" s="67"/>
      <c r="HV4797" s="67"/>
      <c r="HW4797" s="67"/>
      <c r="HX4797" s="67"/>
      <c r="HY4797" s="67"/>
      <c r="HZ4797" s="67"/>
      <c r="IA4797" s="67"/>
      <c r="IB4797" s="67"/>
      <c r="IC4797" s="67"/>
      <c r="ID4797" s="67"/>
      <c r="IE4797" s="67"/>
      <c r="IF4797" s="67"/>
      <c r="IG4797" s="67"/>
      <c r="IH4797" s="67"/>
      <c r="II4797" s="67"/>
      <c r="IJ4797" s="67"/>
      <c r="IK4797" s="67"/>
      <c r="IL4797" s="67"/>
      <c r="IM4797" s="67"/>
      <c r="IN4797" s="67"/>
      <c r="IO4797" s="67"/>
      <c r="IP4797" s="67"/>
      <c r="IQ4797" s="67"/>
      <c r="IR4797" s="67"/>
      <c r="IS4797" s="67"/>
      <c r="IT4797" s="67"/>
      <c r="IU4797" s="67"/>
      <c r="IV4797" s="67"/>
      <c r="IW4797" s="67"/>
      <c r="IX4797" s="67"/>
      <c r="IY4797" s="67"/>
      <c r="IZ4797" s="67"/>
      <c r="JA4797" s="67"/>
      <c r="JB4797" s="67"/>
      <c r="JC4797" s="67"/>
      <c r="JD4797" s="67"/>
      <c r="JE4797" s="67"/>
      <c r="JF4797" s="67"/>
      <c r="JG4797" s="67"/>
      <c r="JH4797" s="67"/>
      <c r="JI4797" s="67"/>
      <c r="JJ4797" s="67"/>
      <c r="JK4797" s="67"/>
      <c r="JL4797" s="67"/>
      <c r="JM4797" s="67"/>
      <c r="JN4797" s="67"/>
      <c r="JO4797" s="67"/>
      <c r="JP4797" s="67"/>
      <c r="JQ4797" s="67"/>
      <c r="JR4797" s="67"/>
      <c r="JS4797" s="67"/>
      <c r="JT4797" s="67"/>
      <c r="JU4797" s="58"/>
      <c r="JV4797" s="58"/>
      <c r="JW4797" s="58"/>
    </row>
    <row r="4798" spans="1:283" s="23" customFormat="1" x14ac:dyDescent="0.25">
      <c r="A4798" s="55">
        <v>4797</v>
      </c>
      <c r="B4798" s="12" t="s">
        <v>7067</v>
      </c>
      <c r="C4798" s="156">
        <v>214</v>
      </c>
      <c r="D4798" s="58" t="s">
        <v>4884</v>
      </c>
      <c r="E4798" s="160" t="str">
        <f>G4798</f>
        <v>Capriel 1991_ Farm Pair 1</v>
      </c>
      <c r="F4798" s="160"/>
      <c r="G4798" s="60" t="s">
        <v>4845</v>
      </c>
      <c r="H4798" s="58">
        <v>1991</v>
      </c>
      <c r="I4798" s="58" t="s">
        <v>3291</v>
      </c>
      <c r="J4798" s="243" t="s">
        <v>5302</v>
      </c>
      <c r="K4798" s="63" t="s">
        <v>5127</v>
      </c>
      <c r="L4798" s="58" t="s">
        <v>1077</v>
      </c>
      <c r="M4798" s="94">
        <v>48.79</v>
      </c>
      <c r="N4798" s="94">
        <v>11.5</v>
      </c>
      <c r="O4798" s="94">
        <v>371</v>
      </c>
      <c r="P4798" s="58"/>
      <c r="Q4798" s="244">
        <v>8.6999999999999993</v>
      </c>
      <c r="R4798" s="58"/>
      <c r="S4798" s="245">
        <v>620</v>
      </c>
      <c r="T4798" s="58"/>
      <c r="U4798" s="58" t="s">
        <v>1682</v>
      </c>
      <c r="V4798" s="244">
        <v>5</v>
      </c>
      <c r="W4798" s="174"/>
      <c r="X4798" s="174"/>
      <c r="Y4798" s="58" t="s">
        <v>5908</v>
      </c>
      <c r="Z4798" s="244" t="s">
        <v>1349</v>
      </c>
      <c r="AA4798" s="245">
        <v>15</v>
      </c>
      <c r="AB4798" s="67"/>
      <c r="AC4798" s="67"/>
      <c r="AD4798" s="94"/>
      <c r="AE4798" s="94"/>
      <c r="AF4798" s="94"/>
      <c r="AG4798" s="245"/>
      <c r="AH4798" s="58"/>
      <c r="AI4798" s="169"/>
      <c r="AJ4798" s="94"/>
      <c r="AK4798" s="94"/>
      <c r="AL4798" s="58"/>
      <c r="AM4798" s="58"/>
      <c r="AN4798" s="186"/>
      <c r="AO4798" s="185" t="s">
        <v>7494</v>
      </c>
      <c r="AP4798" s="58"/>
      <c r="AQ4798" s="58"/>
      <c r="AR4798" s="58" t="s">
        <v>158</v>
      </c>
      <c r="AS4798" s="58" t="s">
        <v>158</v>
      </c>
      <c r="AT4798" s="247"/>
      <c r="AU4798" s="181" t="s">
        <v>7494</v>
      </c>
      <c r="AV4798" s="185" t="s">
        <v>176</v>
      </c>
      <c r="AW4798" s="244"/>
      <c r="AX4798" s="185" t="s">
        <v>176</v>
      </c>
      <c r="AY4798" s="244"/>
      <c r="AZ4798" s="58"/>
      <c r="BA4798" s="58"/>
      <c r="BB4798" s="58"/>
      <c r="BC4798" s="58"/>
      <c r="BD4798" s="58"/>
      <c r="BE4798" s="236" t="s">
        <v>5153</v>
      </c>
      <c r="BF4798" s="191" t="s">
        <v>176</v>
      </c>
      <c r="BG4798" s="191" t="s">
        <v>176</v>
      </c>
      <c r="BH4798" s="236" t="s">
        <v>5153</v>
      </c>
      <c r="BI4798" s="191" t="s">
        <v>176</v>
      </c>
      <c r="BJ4798" s="58" t="str">
        <f>IF(BE4798=BH4798,"No","yes")</f>
        <v>No</v>
      </c>
      <c r="BK4798" s="58" t="s">
        <v>6334</v>
      </c>
      <c r="BL4798" s="58"/>
      <c r="BM4798" s="237"/>
      <c r="BN4798" s="244">
        <v>3</v>
      </c>
      <c r="BO4798" s="244">
        <v>3</v>
      </c>
      <c r="BP4798" s="58"/>
      <c r="BQ4798" s="58"/>
      <c r="BR4798" s="58"/>
      <c r="BS4798" s="58"/>
      <c r="BT4798" s="58"/>
      <c r="BU4798" s="58"/>
      <c r="BV4798" s="58"/>
      <c r="BW4798" s="67">
        <v>307095</v>
      </c>
      <c r="BX4798" s="67">
        <v>276838</v>
      </c>
      <c r="BY4798" s="67"/>
      <c r="BZ4798" s="67"/>
      <c r="CA4798" s="67" t="s">
        <v>5912</v>
      </c>
      <c r="CB4798" s="70">
        <v>2700</v>
      </c>
      <c r="CC4798" s="70">
        <v>2900</v>
      </c>
      <c r="CD4798" s="70"/>
      <c r="CE4798" s="67">
        <v>100</v>
      </c>
      <c r="CF4798" s="67">
        <v>100</v>
      </c>
      <c r="CG4798" s="67" t="s">
        <v>5913</v>
      </c>
      <c r="CH4798" s="245"/>
      <c r="CI4798" s="245"/>
      <c r="CJ4798" s="67"/>
      <c r="CK4798" s="67"/>
      <c r="CL4798" s="67"/>
      <c r="CM4798" s="242"/>
      <c r="CN4798" s="242"/>
      <c r="CO4798" s="242"/>
      <c r="CP4798" s="242"/>
      <c r="CQ4798" s="242"/>
      <c r="CR4798" s="242"/>
      <c r="CS4798" s="242"/>
      <c r="CT4798" s="242"/>
      <c r="CU4798" s="242"/>
      <c r="CV4798" s="242"/>
      <c r="CW4798" s="242"/>
      <c r="CX4798" s="242"/>
      <c r="CY4798" s="242"/>
      <c r="CZ4798" s="242"/>
      <c r="DA4798" s="67"/>
      <c r="DB4798" s="67"/>
      <c r="DC4798" s="67"/>
      <c r="DD4798" s="67"/>
      <c r="DE4798" s="67"/>
      <c r="DF4798" s="67"/>
      <c r="DG4798" s="67"/>
      <c r="DH4798" s="67"/>
      <c r="DI4798" s="67"/>
      <c r="DJ4798" s="67"/>
      <c r="DK4798" s="67"/>
      <c r="DL4798" s="67"/>
      <c r="DM4798" s="67"/>
      <c r="DN4798" s="67"/>
      <c r="DO4798" s="67"/>
      <c r="DP4798" s="67"/>
      <c r="DQ4798" s="166"/>
      <c r="DR4798" s="166"/>
      <c r="DS4798" s="163"/>
      <c r="DT4798" s="163"/>
      <c r="DU4798" s="67"/>
      <c r="DV4798" s="67"/>
      <c r="DW4798" s="67"/>
      <c r="DX4798" s="67"/>
      <c r="DY4798" s="67"/>
      <c r="DZ4798" s="67"/>
      <c r="EA4798" s="67"/>
      <c r="EB4798" s="67"/>
      <c r="EC4798" s="67"/>
      <c r="ED4798" s="67"/>
      <c r="EE4798" s="67"/>
      <c r="EF4798" s="67"/>
      <c r="EG4798" s="67"/>
      <c r="EH4798" s="67"/>
      <c r="EI4798" s="67"/>
      <c r="EJ4798" s="67"/>
      <c r="EK4798" s="94"/>
      <c r="EL4798" s="94"/>
      <c r="EM4798" s="67"/>
      <c r="EN4798" s="67"/>
      <c r="EO4798" s="67"/>
      <c r="EP4798" s="67"/>
      <c r="EQ4798" s="67"/>
      <c r="ER4798" s="67"/>
      <c r="ES4798" s="67"/>
      <c r="ET4798" s="67"/>
      <c r="EU4798" s="67"/>
      <c r="EV4798" s="67"/>
      <c r="EW4798" s="67"/>
      <c r="EX4798" s="67"/>
      <c r="EY4798" s="67"/>
      <c r="EZ4798" s="67"/>
      <c r="FA4798" s="67"/>
      <c r="FB4798" s="67"/>
      <c r="FC4798" s="67"/>
      <c r="FD4798" s="67"/>
      <c r="FE4798" s="67"/>
      <c r="FF4798" s="67"/>
      <c r="FG4798" s="67"/>
      <c r="FH4798" s="67"/>
      <c r="FI4798" s="67"/>
      <c r="FJ4798" s="67"/>
      <c r="FK4798" s="67"/>
      <c r="FL4798" s="67"/>
      <c r="FM4798" s="67"/>
      <c r="FN4798" s="67"/>
      <c r="FO4798" s="67"/>
      <c r="FP4798" s="67"/>
      <c r="FQ4798" s="67"/>
      <c r="FR4798" s="67"/>
      <c r="FS4798" s="67"/>
      <c r="FT4798" s="67"/>
      <c r="FU4798" s="67"/>
      <c r="FV4798" s="67"/>
      <c r="FW4798" s="67"/>
      <c r="FX4798" s="67"/>
      <c r="FY4798" s="67"/>
      <c r="FZ4798" s="67"/>
      <c r="GA4798" s="67"/>
      <c r="GB4798" s="67"/>
      <c r="GC4798" s="67"/>
      <c r="GD4798" s="67"/>
      <c r="GE4798" s="67"/>
      <c r="GF4798" s="67"/>
      <c r="GG4798" s="67"/>
      <c r="GH4798" s="67"/>
      <c r="GI4798" s="67"/>
      <c r="GJ4798" s="67"/>
      <c r="GK4798" s="67"/>
      <c r="GL4798" s="67"/>
      <c r="GM4798" s="67"/>
      <c r="GN4798" s="292">
        <v>2.6</v>
      </c>
      <c r="GO4798" s="292">
        <v>1</v>
      </c>
      <c r="GP4798" s="292" t="s">
        <v>5150</v>
      </c>
      <c r="GQ4798" s="67"/>
      <c r="GR4798" s="67"/>
      <c r="GS4798" s="67" t="s">
        <v>5914</v>
      </c>
      <c r="GT4798" s="67"/>
      <c r="GU4798" s="67"/>
      <c r="GV4798" s="67"/>
      <c r="GW4798" s="67"/>
      <c r="GX4798" s="67"/>
      <c r="GY4798" s="67"/>
      <c r="GZ4798" s="67"/>
      <c r="HA4798" s="67"/>
      <c r="HB4798" s="67"/>
      <c r="HC4798" s="67"/>
      <c r="HD4798" s="67"/>
      <c r="HE4798" s="67"/>
      <c r="HF4798" s="67"/>
      <c r="HG4798" s="67"/>
      <c r="HH4798" s="67"/>
      <c r="HI4798" s="67"/>
      <c r="HJ4798" s="67"/>
      <c r="HK4798" s="67"/>
      <c r="HL4798" s="67"/>
      <c r="HM4798" s="67"/>
      <c r="HN4798" s="67"/>
      <c r="HO4798" s="67"/>
      <c r="HP4798" s="67"/>
      <c r="HQ4798" s="67"/>
      <c r="HR4798" s="67"/>
      <c r="HS4798" s="67"/>
      <c r="HT4798" s="67"/>
      <c r="HU4798" s="67"/>
      <c r="HV4798" s="67"/>
      <c r="HW4798" s="67"/>
      <c r="HX4798" s="67"/>
      <c r="HY4798" s="67"/>
      <c r="HZ4798" s="67"/>
      <c r="IA4798" s="67"/>
      <c r="IB4798" s="67"/>
      <c r="IC4798" s="67"/>
      <c r="ID4798" s="67"/>
      <c r="IE4798" s="67"/>
      <c r="IF4798" s="67"/>
      <c r="IG4798" s="67"/>
      <c r="IH4798" s="67"/>
      <c r="II4798" s="67"/>
      <c r="IJ4798" s="67"/>
      <c r="IK4798" s="67"/>
      <c r="IL4798" s="67"/>
      <c r="IM4798" s="67"/>
      <c r="IN4798" s="67"/>
      <c r="IO4798" s="67"/>
      <c r="IP4798" s="67"/>
      <c r="IQ4798" s="67"/>
      <c r="IR4798" s="67"/>
      <c r="IS4798" s="67"/>
      <c r="IT4798" s="67"/>
      <c r="IU4798" s="67"/>
      <c r="IV4798" s="67"/>
      <c r="IW4798" s="67"/>
      <c r="IX4798" s="67"/>
      <c r="IY4798" s="67"/>
      <c r="IZ4798" s="67"/>
      <c r="JA4798" s="67"/>
      <c r="JB4798" s="67"/>
      <c r="JC4798" s="67"/>
      <c r="JD4798" s="67"/>
      <c r="JE4798" s="67"/>
      <c r="JF4798" s="67"/>
      <c r="JG4798" s="67"/>
      <c r="JH4798" s="67"/>
      <c r="JI4798" s="67"/>
      <c r="JJ4798" s="67"/>
      <c r="JK4798" s="67"/>
      <c r="JL4798" s="67"/>
      <c r="JM4798" s="67"/>
      <c r="JN4798" s="67"/>
      <c r="JO4798" s="67"/>
      <c r="JP4798" s="67"/>
      <c r="JQ4798" s="67"/>
      <c r="JR4798" s="67"/>
      <c r="JS4798" s="67"/>
      <c r="JT4798" s="67"/>
      <c r="JU4798" s="58"/>
      <c r="JV4798" s="58"/>
      <c r="JW4798" s="58"/>
    </row>
    <row r="4799" spans="1:283" s="23" customFormat="1" x14ac:dyDescent="0.25">
      <c r="A4799" s="55">
        <v>4798</v>
      </c>
      <c r="B4799" s="12" t="s">
        <v>7067</v>
      </c>
      <c r="C4799" s="156">
        <v>214</v>
      </c>
      <c r="D4799" s="58" t="s">
        <v>4885</v>
      </c>
      <c r="E4799" s="160" t="str">
        <f>G4799</f>
        <v>Capriel 1991_Farm Pair 2</v>
      </c>
      <c r="F4799" s="160"/>
      <c r="G4799" s="60" t="s">
        <v>4844</v>
      </c>
      <c r="H4799" s="58">
        <v>1991</v>
      </c>
      <c r="I4799" s="58" t="s">
        <v>3291</v>
      </c>
      <c r="J4799" s="243" t="s">
        <v>5302</v>
      </c>
      <c r="K4799" s="63" t="s">
        <v>5127</v>
      </c>
      <c r="L4799" s="58" t="s">
        <v>1077</v>
      </c>
      <c r="M4799" s="94">
        <v>48.79</v>
      </c>
      <c r="N4799" s="94">
        <v>11.5</v>
      </c>
      <c r="O4799" s="94">
        <v>371</v>
      </c>
      <c r="P4799" s="58"/>
      <c r="Q4799" s="244">
        <v>8.6999999999999993</v>
      </c>
      <c r="R4799" s="58"/>
      <c r="S4799" s="245">
        <v>620</v>
      </c>
      <c r="T4799" s="58"/>
      <c r="U4799" s="58" t="s">
        <v>1682</v>
      </c>
      <c r="V4799" s="244">
        <v>5</v>
      </c>
      <c r="W4799" s="174"/>
      <c r="X4799" s="174"/>
      <c r="Y4799" s="58" t="s">
        <v>5908</v>
      </c>
      <c r="Z4799" s="244" t="s">
        <v>1349</v>
      </c>
      <c r="AA4799" s="245">
        <v>15</v>
      </c>
      <c r="AB4799" s="67"/>
      <c r="AC4799" s="67"/>
      <c r="AD4799" s="94"/>
      <c r="AE4799" s="94"/>
      <c r="AF4799" s="94"/>
      <c r="AG4799" s="245"/>
      <c r="AH4799" s="58"/>
      <c r="AI4799" s="169"/>
      <c r="AJ4799" s="94"/>
      <c r="AK4799" s="94"/>
      <c r="AL4799" s="58"/>
      <c r="AM4799" s="58"/>
      <c r="AN4799" s="186"/>
      <c r="AO4799" s="185" t="s">
        <v>7494</v>
      </c>
      <c r="AP4799" s="58"/>
      <c r="AQ4799" s="58"/>
      <c r="AR4799" s="58" t="s">
        <v>158</v>
      </c>
      <c r="AS4799" s="58" t="s">
        <v>158</v>
      </c>
      <c r="AT4799" s="247"/>
      <c r="AU4799" s="181" t="s">
        <v>7494</v>
      </c>
      <c r="AV4799" s="185" t="s">
        <v>176</v>
      </c>
      <c r="AW4799" s="244"/>
      <c r="AX4799" s="185" t="s">
        <v>176</v>
      </c>
      <c r="AY4799" s="244"/>
      <c r="AZ4799" s="58"/>
      <c r="BA4799" s="58"/>
      <c r="BB4799" s="58"/>
      <c r="BC4799" s="58"/>
      <c r="BD4799" s="58"/>
      <c r="BE4799" s="236" t="s">
        <v>5153</v>
      </c>
      <c r="BF4799" s="191" t="s">
        <v>176</v>
      </c>
      <c r="BG4799" s="191" t="s">
        <v>176</v>
      </c>
      <c r="BH4799" s="236" t="s">
        <v>5153</v>
      </c>
      <c r="BI4799" s="191" t="s">
        <v>176</v>
      </c>
      <c r="BJ4799" s="58" t="str">
        <f>IF(BE4799=BH4799,"No","yes")</f>
        <v>No</v>
      </c>
      <c r="BK4799" s="58" t="s">
        <v>6334</v>
      </c>
      <c r="BL4799" s="58"/>
      <c r="BM4799" s="237"/>
      <c r="BN4799" s="244">
        <v>3</v>
      </c>
      <c r="BO4799" s="244">
        <v>3</v>
      </c>
      <c r="BP4799" s="58"/>
      <c r="BQ4799" s="58"/>
      <c r="BR4799" s="58"/>
      <c r="BS4799" s="58"/>
      <c r="BT4799" s="58"/>
      <c r="BU4799" s="58"/>
      <c r="BV4799" s="58"/>
      <c r="BW4799" s="67">
        <v>307095</v>
      </c>
      <c r="BX4799" s="67">
        <v>299693</v>
      </c>
      <c r="BY4799" s="67"/>
      <c r="BZ4799" s="67"/>
      <c r="CA4799" s="67" t="s">
        <v>5912</v>
      </c>
      <c r="CB4799" s="70">
        <v>2700</v>
      </c>
      <c r="CC4799" s="70">
        <v>3200</v>
      </c>
      <c r="CD4799" s="70"/>
      <c r="CE4799" s="67">
        <v>100</v>
      </c>
      <c r="CF4799" s="67">
        <v>100</v>
      </c>
      <c r="CG4799" s="67" t="s">
        <v>5913</v>
      </c>
      <c r="CH4799" s="245"/>
      <c r="CI4799" s="245"/>
      <c r="CJ4799" s="67"/>
      <c r="CK4799" s="67"/>
      <c r="CL4799" s="67"/>
      <c r="CM4799" s="242"/>
      <c r="CN4799" s="242"/>
      <c r="CO4799" s="242"/>
      <c r="CP4799" s="242"/>
      <c r="CQ4799" s="242"/>
      <c r="CR4799" s="242"/>
      <c r="CS4799" s="242"/>
      <c r="CT4799" s="242"/>
      <c r="CU4799" s="242"/>
      <c r="CV4799" s="242"/>
      <c r="CW4799" s="242"/>
      <c r="CX4799" s="242"/>
      <c r="CY4799" s="242"/>
      <c r="CZ4799" s="242"/>
      <c r="DA4799" s="67"/>
      <c r="DB4799" s="67"/>
      <c r="DC4799" s="67"/>
      <c r="DD4799" s="67"/>
      <c r="DE4799" s="67"/>
      <c r="DF4799" s="67"/>
      <c r="DG4799" s="67"/>
      <c r="DH4799" s="67"/>
      <c r="DI4799" s="67"/>
      <c r="DJ4799" s="67"/>
      <c r="DK4799" s="67"/>
      <c r="DL4799" s="67"/>
      <c r="DM4799" s="67"/>
      <c r="DN4799" s="67"/>
      <c r="DO4799" s="67"/>
      <c r="DP4799" s="67"/>
      <c r="DQ4799" s="166"/>
      <c r="DR4799" s="166"/>
      <c r="DS4799" s="163"/>
      <c r="DT4799" s="163"/>
      <c r="DU4799" s="67"/>
      <c r="DV4799" s="67"/>
      <c r="DW4799" s="67"/>
      <c r="DX4799" s="67"/>
      <c r="DY4799" s="67"/>
      <c r="DZ4799" s="67"/>
      <c r="EA4799" s="67"/>
      <c r="EB4799" s="67"/>
      <c r="EC4799" s="67"/>
      <c r="ED4799" s="67"/>
      <c r="EE4799" s="67"/>
      <c r="EF4799" s="67"/>
      <c r="EG4799" s="67"/>
      <c r="EH4799" s="67"/>
      <c r="EI4799" s="67"/>
      <c r="EJ4799" s="67"/>
      <c r="EK4799" s="94"/>
      <c r="EL4799" s="94"/>
      <c r="EM4799" s="67"/>
      <c r="EN4799" s="67"/>
      <c r="EO4799" s="67"/>
      <c r="EP4799" s="67"/>
      <c r="EQ4799" s="67"/>
      <c r="ER4799" s="67"/>
      <c r="ES4799" s="67"/>
      <c r="ET4799" s="67"/>
      <c r="EU4799" s="67"/>
      <c r="EV4799" s="67"/>
      <c r="EW4799" s="67"/>
      <c r="EX4799" s="67"/>
      <c r="EY4799" s="67"/>
      <c r="EZ4799" s="67"/>
      <c r="FA4799" s="67"/>
      <c r="FB4799" s="67"/>
      <c r="FC4799" s="67"/>
      <c r="FD4799" s="67"/>
      <c r="FE4799" s="67"/>
      <c r="FF4799" s="67"/>
      <c r="FG4799" s="67"/>
      <c r="FH4799" s="67"/>
      <c r="FI4799" s="67"/>
      <c r="FJ4799" s="67"/>
      <c r="FK4799" s="67"/>
      <c r="FL4799" s="67"/>
      <c r="FM4799" s="67"/>
      <c r="FN4799" s="67"/>
      <c r="FO4799" s="67"/>
      <c r="FP4799" s="67"/>
      <c r="FQ4799" s="67"/>
      <c r="FR4799" s="67"/>
      <c r="FS4799" s="67"/>
      <c r="FT4799" s="67"/>
      <c r="FU4799" s="67"/>
      <c r="FV4799" s="67"/>
      <c r="FW4799" s="67"/>
      <c r="FX4799" s="67"/>
      <c r="FY4799" s="67"/>
      <c r="FZ4799" s="67"/>
      <c r="GA4799" s="67"/>
      <c r="GB4799" s="67"/>
      <c r="GC4799" s="67"/>
      <c r="GD4799" s="67"/>
      <c r="GE4799" s="67"/>
      <c r="GF4799" s="67"/>
      <c r="GG4799" s="67"/>
      <c r="GH4799" s="67"/>
      <c r="GI4799" s="67"/>
      <c r="GJ4799" s="67"/>
      <c r="GK4799" s="67"/>
      <c r="GL4799" s="67"/>
      <c r="GM4799" s="67"/>
      <c r="GN4799" s="292">
        <v>2.6</v>
      </c>
      <c r="GO4799" s="292">
        <v>1.7</v>
      </c>
      <c r="GP4799" s="292" t="s">
        <v>5150</v>
      </c>
      <c r="GQ4799" s="67"/>
      <c r="GR4799" s="67"/>
      <c r="GS4799" s="67" t="s">
        <v>5914</v>
      </c>
      <c r="GT4799" s="67"/>
      <c r="GU4799" s="67"/>
      <c r="GV4799" s="67"/>
      <c r="GW4799" s="67"/>
      <c r="GX4799" s="67"/>
      <c r="GY4799" s="67"/>
      <c r="GZ4799" s="67"/>
      <c r="HA4799" s="67"/>
      <c r="HB4799" s="67"/>
      <c r="HC4799" s="67"/>
      <c r="HD4799" s="67"/>
      <c r="HE4799" s="67"/>
      <c r="HF4799" s="67"/>
      <c r="HG4799" s="67"/>
      <c r="HH4799" s="67"/>
      <c r="HI4799" s="67"/>
      <c r="HJ4799" s="67"/>
      <c r="HK4799" s="67"/>
      <c r="HL4799" s="67"/>
      <c r="HM4799" s="67"/>
      <c r="HN4799" s="67"/>
      <c r="HO4799" s="67"/>
      <c r="HP4799" s="67"/>
      <c r="HQ4799" s="67"/>
      <c r="HR4799" s="67"/>
      <c r="HS4799" s="67"/>
      <c r="HT4799" s="67"/>
      <c r="HU4799" s="67"/>
      <c r="HV4799" s="67"/>
      <c r="HW4799" s="67"/>
      <c r="HX4799" s="67"/>
      <c r="HY4799" s="67"/>
      <c r="HZ4799" s="67"/>
      <c r="IA4799" s="67"/>
      <c r="IB4799" s="67"/>
      <c r="IC4799" s="67"/>
      <c r="ID4799" s="67"/>
      <c r="IE4799" s="67"/>
      <c r="IF4799" s="67"/>
      <c r="IG4799" s="67"/>
      <c r="IH4799" s="67"/>
      <c r="II4799" s="67"/>
      <c r="IJ4799" s="67"/>
      <c r="IK4799" s="67"/>
      <c r="IL4799" s="67"/>
      <c r="IM4799" s="67"/>
      <c r="IN4799" s="67"/>
      <c r="IO4799" s="67"/>
      <c r="IP4799" s="67"/>
      <c r="IQ4799" s="67"/>
      <c r="IR4799" s="67"/>
      <c r="IS4799" s="67"/>
      <c r="IT4799" s="67"/>
      <c r="IU4799" s="67"/>
      <c r="IV4799" s="67"/>
      <c r="IW4799" s="67"/>
      <c r="IX4799" s="67"/>
      <c r="IY4799" s="67"/>
      <c r="IZ4799" s="67"/>
      <c r="JA4799" s="67"/>
      <c r="JB4799" s="67"/>
      <c r="JC4799" s="67"/>
      <c r="JD4799" s="67"/>
      <c r="JE4799" s="67"/>
      <c r="JF4799" s="67"/>
      <c r="JG4799" s="67"/>
      <c r="JH4799" s="67"/>
      <c r="JI4799" s="67"/>
      <c r="JJ4799" s="67"/>
      <c r="JK4799" s="67"/>
      <c r="JL4799" s="67"/>
      <c r="JM4799" s="67"/>
      <c r="JN4799" s="67"/>
      <c r="JO4799" s="67"/>
      <c r="JP4799" s="67"/>
      <c r="JQ4799" s="67"/>
      <c r="JR4799" s="67"/>
      <c r="JS4799" s="67"/>
      <c r="JT4799" s="67"/>
      <c r="JU4799" s="58"/>
      <c r="JV4799" s="58"/>
      <c r="JW4799" s="58"/>
    </row>
    <row r="4800" spans="1:283" s="23" customFormat="1" x14ac:dyDescent="0.25">
      <c r="A4800" s="55">
        <v>4799</v>
      </c>
      <c r="B4800" s="12" t="s">
        <v>7067</v>
      </c>
      <c r="C4800" s="156">
        <v>214</v>
      </c>
      <c r="D4800" s="58" t="s">
        <v>4886</v>
      </c>
      <c r="E4800" s="160" t="str">
        <f>G4800</f>
        <v>Capriel 1991_Farm Pair 3</v>
      </c>
      <c r="F4800" s="160"/>
      <c r="G4800" s="60" t="s">
        <v>4843</v>
      </c>
      <c r="H4800" s="58">
        <v>1991</v>
      </c>
      <c r="I4800" s="58" t="s">
        <v>3291</v>
      </c>
      <c r="J4800" s="243" t="s">
        <v>5302</v>
      </c>
      <c r="K4800" s="63" t="s">
        <v>5127</v>
      </c>
      <c r="L4800" s="58" t="s">
        <v>1077</v>
      </c>
      <c r="M4800" s="94">
        <v>48.79</v>
      </c>
      <c r="N4800" s="94">
        <v>11.5</v>
      </c>
      <c r="O4800" s="94">
        <v>371</v>
      </c>
      <c r="P4800" s="58"/>
      <c r="Q4800" s="244">
        <v>8.6999999999999993</v>
      </c>
      <c r="R4800" s="58"/>
      <c r="S4800" s="245">
        <v>620</v>
      </c>
      <c r="T4800" s="58"/>
      <c r="U4800" s="58" t="s">
        <v>1682</v>
      </c>
      <c r="V4800" s="244">
        <v>5</v>
      </c>
      <c r="W4800" s="174"/>
      <c r="X4800" s="174"/>
      <c r="Y4800" s="58" t="s">
        <v>5908</v>
      </c>
      <c r="Z4800" s="244" t="s">
        <v>1349</v>
      </c>
      <c r="AA4800" s="245">
        <v>15</v>
      </c>
      <c r="AB4800" s="67"/>
      <c r="AC4800" s="67"/>
      <c r="AD4800" s="94"/>
      <c r="AE4800" s="94"/>
      <c r="AF4800" s="94"/>
      <c r="AG4800" s="245"/>
      <c r="AH4800" s="58"/>
      <c r="AI4800" s="169"/>
      <c r="AJ4800" s="94"/>
      <c r="AK4800" s="94"/>
      <c r="AL4800" s="58"/>
      <c r="AM4800" s="58"/>
      <c r="AN4800" s="186"/>
      <c r="AO4800" s="185" t="s">
        <v>7494</v>
      </c>
      <c r="AP4800" s="58"/>
      <c r="AQ4800" s="58"/>
      <c r="AR4800" s="58" t="s">
        <v>158</v>
      </c>
      <c r="AS4800" s="58" t="s">
        <v>158</v>
      </c>
      <c r="AT4800" s="247"/>
      <c r="AU4800" s="181" t="s">
        <v>7494</v>
      </c>
      <c r="AV4800" s="185" t="s">
        <v>176</v>
      </c>
      <c r="AW4800" s="244"/>
      <c r="AX4800" s="185" t="s">
        <v>176</v>
      </c>
      <c r="AY4800" s="244"/>
      <c r="AZ4800" s="58"/>
      <c r="BA4800" s="58"/>
      <c r="BB4800" s="58"/>
      <c r="BC4800" s="58"/>
      <c r="BD4800" s="58"/>
      <c r="BE4800" s="236" t="s">
        <v>5153</v>
      </c>
      <c r="BF4800" s="191" t="s">
        <v>176</v>
      </c>
      <c r="BG4800" s="191" t="s">
        <v>176</v>
      </c>
      <c r="BH4800" s="236" t="s">
        <v>5153</v>
      </c>
      <c r="BI4800" s="191" t="s">
        <v>176</v>
      </c>
      <c r="BJ4800" s="58" t="str">
        <f>IF(BE4800=BH4800,"No","yes")</f>
        <v>No</v>
      </c>
      <c r="BK4800" s="58" t="s">
        <v>6334</v>
      </c>
      <c r="BL4800" s="58"/>
      <c r="BM4800" s="237"/>
      <c r="BN4800" s="244">
        <v>3</v>
      </c>
      <c r="BO4800" s="244">
        <v>3</v>
      </c>
      <c r="BP4800" s="58"/>
      <c r="BQ4800" s="58"/>
      <c r="BR4800" s="58"/>
      <c r="BS4800" s="58"/>
      <c r="BT4800" s="58"/>
      <c r="BU4800" s="58"/>
      <c r="BV4800" s="58"/>
      <c r="BW4800" s="67"/>
      <c r="BX4800" s="67"/>
      <c r="BY4800" s="67"/>
      <c r="BZ4800" s="67"/>
      <c r="CA4800" s="67"/>
      <c r="CB4800" s="70"/>
      <c r="CC4800" s="70"/>
      <c r="CD4800" s="70"/>
      <c r="CE4800" s="67"/>
      <c r="CF4800" s="67"/>
      <c r="CG4800" s="67"/>
      <c r="CH4800" s="245"/>
      <c r="CI4800" s="245"/>
      <c r="CJ4800" s="67"/>
      <c r="CK4800" s="67"/>
      <c r="CL4800" s="67"/>
      <c r="CM4800" s="242"/>
      <c r="CN4800" s="242"/>
      <c r="CO4800" s="242"/>
      <c r="CP4800" s="242"/>
      <c r="CQ4800" s="242"/>
      <c r="CR4800" s="242"/>
      <c r="CS4800" s="242"/>
      <c r="CT4800" s="242"/>
      <c r="CU4800" s="242"/>
      <c r="CV4800" s="242"/>
      <c r="CW4800" s="242"/>
      <c r="CX4800" s="242"/>
      <c r="CY4800" s="242"/>
      <c r="CZ4800" s="242"/>
      <c r="DA4800" s="67"/>
      <c r="DB4800" s="67"/>
      <c r="DC4800" s="67"/>
      <c r="DD4800" s="67"/>
      <c r="DE4800" s="67"/>
      <c r="DF4800" s="67"/>
      <c r="DG4800" s="67"/>
      <c r="DH4800" s="67"/>
      <c r="DI4800" s="67"/>
      <c r="DJ4800" s="67"/>
      <c r="DK4800" s="67"/>
      <c r="DL4800" s="67"/>
      <c r="DM4800" s="67"/>
      <c r="DN4800" s="67"/>
      <c r="DO4800" s="67"/>
      <c r="DP4800" s="67"/>
      <c r="DQ4800" s="166"/>
      <c r="DR4800" s="166"/>
      <c r="DS4800" s="163"/>
      <c r="DT4800" s="163"/>
      <c r="DU4800" s="67"/>
      <c r="DV4800" s="67"/>
      <c r="DW4800" s="67"/>
      <c r="DX4800" s="67"/>
      <c r="DY4800" s="67"/>
      <c r="DZ4800" s="67"/>
      <c r="EA4800" s="67"/>
      <c r="EB4800" s="67"/>
      <c r="EC4800" s="67"/>
      <c r="ED4800" s="67"/>
      <c r="EE4800" s="67"/>
      <c r="EF4800" s="67"/>
      <c r="EG4800" s="67"/>
      <c r="EH4800" s="67"/>
      <c r="EI4800" s="67"/>
      <c r="EJ4800" s="67"/>
      <c r="EK4800" s="94"/>
      <c r="EL4800" s="94"/>
      <c r="EM4800" s="67"/>
      <c r="EN4800" s="67"/>
      <c r="EO4800" s="67"/>
      <c r="EP4800" s="67"/>
      <c r="EQ4800" s="67"/>
      <c r="ER4800" s="67"/>
      <c r="ES4800" s="67"/>
      <c r="ET4800" s="67"/>
      <c r="EU4800" s="67"/>
      <c r="EV4800" s="67"/>
      <c r="EW4800" s="67"/>
      <c r="EX4800" s="67"/>
      <c r="EY4800" s="67"/>
      <c r="EZ4800" s="67"/>
      <c r="FA4800" s="67"/>
      <c r="FB4800" s="67"/>
      <c r="FC4800" s="67"/>
      <c r="FD4800" s="67"/>
      <c r="FE4800" s="67"/>
      <c r="FF4800" s="67"/>
      <c r="FG4800" s="67"/>
      <c r="FH4800" s="67"/>
      <c r="FI4800" s="67"/>
      <c r="FJ4800" s="67"/>
      <c r="FK4800" s="67"/>
      <c r="FL4800" s="67"/>
      <c r="FM4800" s="67"/>
      <c r="FN4800" s="67"/>
      <c r="FO4800" s="67"/>
      <c r="FP4800" s="67"/>
      <c r="FQ4800" s="67"/>
      <c r="FR4800" s="67"/>
      <c r="FS4800" s="67"/>
      <c r="FT4800" s="67"/>
      <c r="FU4800" s="67"/>
      <c r="FV4800" s="67"/>
      <c r="FW4800" s="67"/>
      <c r="FX4800" s="67"/>
      <c r="FY4800" s="67"/>
      <c r="FZ4800" s="67"/>
      <c r="GA4800" s="67"/>
      <c r="GB4800" s="67"/>
      <c r="GC4800" s="67"/>
      <c r="GD4800" s="67"/>
      <c r="GE4800" s="67"/>
      <c r="GF4800" s="67"/>
      <c r="GG4800" s="67"/>
      <c r="GH4800" s="67"/>
      <c r="GI4800" s="67"/>
      <c r="GJ4800" s="67"/>
      <c r="GK4800" s="67"/>
      <c r="GL4800" s="67"/>
      <c r="GM4800" s="67"/>
      <c r="GN4800" s="292">
        <v>0.17</v>
      </c>
      <c r="GO4800" s="292">
        <v>0.33</v>
      </c>
      <c r="GP4800" s="292" t="s">
        <v>5150</v>
      </c>
      <c r="GQ4800" s="67"/>
      <c r="GR4800" s="67"/>
      <c r="GS4800" s="67" t="s">
        <v>2268</v>
      </c>
      <c r="GT4800" s="67"/>
      <c r="GU4800" s="67"/>
      <c r="GV4800" s="67"/>
      <c r="GW4800" s="67"/>
      <c r="GX4800" s="67"/>
      <c r="GY4800" s="67"/>
      <c r="GZ4800" s="67"/>
      <c r="HA4800" s="67"/>
      <c r="HB4800" s="67"/>
      <c r="HC4800" s="67"/>
      <c r="HD4800" s="67"/>
      <c r="HE4800" s="67"/>
      <c r="HF4800" s="67"/>
      <c r="HG4800" s="67"/>
      <c r="HH4800" s="67"/>
      <c r="HI4800" s="67"/>
      <c r="HJ4800" s="67"/>
      <c r="HK4800" s="67"/>
      <c r="HL4800" s="67"/>
      <c r="HM4800" s="67"/>
      <c r="HN4800" s="67"/>
      <c r="HO4800" s="67"/>
      <c r="HP4800" s="67"/>
      <c r="HQ4800" s="67"/>
      <c r="HR4800" s="67"/>
      <c r="HS4800" s="67"/>
      <c r="HT4800" s="67"/>
      <c r="HU4800" s="67"/>
      <c r="HV4800" s="67"/>
      <c r="HW4800" s="67"/>
      <c r="HX4800" s="67"/>
      <c r="HY4800" s="67"/>
      <c r="HZ4800" s="67"/>
      <c r="IA4800" s="67"/>
      <c r="IB4800" s="67"/>
      <c r="IC4800" s="67"/>
      <c r="ID4800" s="67"/>
      <c r="IE4800" s="67"/>
      <c r="IF4800" s="67"/>
      <c r="IG4800" s="67"/>
      <c r="IH4800" s="67"/>
      <c r="II4800" s="67"/>
      <c r="IJ4800" s="67"/>
      <c r="IK4800" s="67"/>
      <c r="IL4800" s="67"/>
      <c r="IM4800" s="67"/>
      <c r="IN4800" s="67"/>
      <c r="IO4800" s="67"/>
      <c r="IP4800" s="67"/>
      <c r="IQ4800" s="67"/>
      <c r="IR4800" s="67"/>
      <c r="IS4800" s="67"/>
      <c r="IT4800" s="67"/>
      <c r="IU4800" s="67"/>
      <c r="IV4800" s="67"/>
      <c r="IW4800" s="67"/>
      <c r="IX4800" s="67"/>
      <c r="IY4800" s="67"/>
      <c r="IZ4800" s="67"/>
      <c r="JA4800" s="67"/>
      <c r="JB4800" s="67"/>
      <c r="JC4800" s="67"/>
      <c r="JD4800" s="67"/>
      <c r="JE4800" s="67"/>
      <c r="JF4800" s="67"/>
      <c r="JG4800" s="67"/>
      <c r="JH4800" s="67"/>
      <c r="JI4800" s="67"/>
      <c r="JJ4800" s="67"/>
      <c r="JK4800" s="67"/>
      <c r="JL4800" s="67"/>
      <c r="JM4800" s="67"/>
      <c r="JN4800" s="67"/>
      <c r="JO4800" s="67"/>
      <c r="JP4800" s="67"/>
      <c r="JQ4800" s="67"/>
      <c r="JR4800" s="67"/>
      <c r="JS4800" s="67"/>
      <c r="JT4800" s="67"/>
      <c r="JU4800" s="58"/>
      <c r="JV4800" s="58"/>
      <c r="JW4800" s="58"/>
    </row>
    <row r="4801" spans="1:283" s="23" customFormat="1" x14ac:dyDescent="0.25">
      <c r="A4801" s="55">
        <v>4800</v>
      </c>
      <c r="B4801" s="12" t="s">
        <v>7067</v>
      </c>
      <c r="C4801" s="156">
        <v>215</v>
      </c>
      <c r="D4801" s="58" t="s">
        <v>4887</v>
      </c>
      <c r="E4801" s="160" t="str">
        <f>G4801</f>
        <v>Chirinda et al. 2010_Foulum 1</v>
      </c>
      <c r="F4801" s="160"/>
      <c r="G4801" s="60" t="s">
        <v>4840</v>
      </c>
      <c r="H4801" s="58">
        <v>2010</v>
      </c>
      <c r="I4801" s="58" t="s">
        <v>3181</v>
      </c>
      <c r="J4801" s="243" t="s">
        <v>198</v>
      </c>
      <c r="K4801" s="63" t="s">
        <v>5126</v>
      </c>
      <c r="L4801" s="58" t="s">
        <v>2743</v>
      </c>
      <c r="M4801" s="94">
        <f>56.5</f>
        <v>56.5</v>
      </c>
      <c r="N4801" s="94">
        <f>9+34/60</f>
        <v>9.5666666666666664</v>
      </c>
      <c r="O4801" s="94">
        <v>24</v>
      </c>
      <c r="P4801" s="58"/>
      <c r="Q4801" s="244">
        <v>7.3</v>
      </c>
      <c r="R4801" s="58"/>
      <c r="S4801" s="245">
        <v>704</v>
      </c>
      <c r="T4801" s="58"/>
      <c r="U4801" s="58" t="s">
        <v>1935</v>
      </c>
      <c r="V4801" s="244">
        <v>12</v>
      </c>
      <c r="W4801" s="174"/>
      <c r="X4801" s="174"/>
      <c r="Y4801" s="58" t="s">
        <v>5352</v>
      </c>
      <c r="Z4801" s="244" t="s">
        <v>1367</v>
      </c>
      <c r="AA4801" s="245">
        <v>25</v>
      </c>
      <c r="AB4801" s="67"/>
      <c r="AC4801" s="67"/>
      <c r="AD4801" s="94">
        <v>1.35</v>
      </c>
      <c r="AE4801" s="94">
        <v>78</v>
      </c>
      <c r="AF4801" s="94">
        <v>13</v>
      </c>
      <c r="AG4801" s="245">
        <v>9</v>
      </c>
      <c r="AH4801" s="58" t="s">
        <v>238</v>
      </c>
      <c r="AI4801" s="169">
        <v>6.5</v>
      </c>
      <c r="AJ4801" s="94">
        <v>2.2999999999999998</v>
      </c>
      <c r="AK4801" s="94"/>
      <c r="AL4801" s="58"/>
      <c r="AM4801" s="58" t="s">
        <v>1291</v>
      </c>
      <c r="AN4801" s="186" t="s">
        <v>176</v>
      </c>
      <c r="AO4801" s="185" t="s">
        <v>5150</v>
      </c>
      <c r="AP4801" s="58"/>
      <c r="AQ4801" s="58" t="s">
        <v>176</v>
      </c>
      <c r="AR4801" s="58" t="s">
        <v>5657</v>
      </c>
      <c r="AS4801" s="246" t="s">
        <v>4584</v>
      </c>
      <c r="AT4801" s="247">
        <v>1</v>
      </c>
      <c r="AU4801" s="181" t="s">
        <v>7494</v>
      </c>
      <c r="AV4801" s="185" t="s">
        <v>176</v>
      </c>
      <c r="AW4801" s="244">
        <v>1</v>
      </c>
      <c r="AX4801" s="185" t="s">
        <v>176</v>
      </c>
      <c r="AY4801" s="244" t="s">
        <v>176</v>
      </c>
      <c r="AZ4801" s="58"/>
      <c r="BA4801" s="58"/>
      <c r="BB4801" s="58"/>
      <c r="BC4801" s="58"/>
      <c r="BD4801" s="58"/>
      <c r="BE4801" s="236" t="s">
        <v>5158</v>
      </c>
      <c r="BF4801" s="58" t="s">
        <v>479</v>
      </c>
      <c r="BG4801" s="58" t="s">
        <v>479</v>
      </c>
      <c r="BH4801" s="236" t="s">
        <v>5231</v>
      </c>
      <c r="BI4801" s="58" t="s">
        <v>479</v>
      </c>
      <c r="BJ4801" s="58" t="str">
        <f>IF(BE4801=BH4801,"No","yes")</f>
        <v>yes</v>
      </c>
      <c r="BK4801" s="58" t="s">
        <v>6334</v>
      </c>
      <c r="BL4801" s="58"/>
      <c r="BM4801" s="237" t="s">
        <v>160</v>
      </c>
      <c r="BN4801" s="244">
        <v>2</v>
      </c>
      <c r="BO4801" s="244">
        <v>2</v>
      </c>
      <c r="BP4801" s="58"/>
      <c r="BQ4801" s="58"/>
      <c r="BR4801" s="58"/>
      <c r="BS4801" s="58"/>
      <c r="BT4801" s="58"/>
      <c r="BU4801" s="58"/>
      <c r="BV4801" s="58"/>
      <c r="BW4801" s="67"/>
      <c r="BX4801" s="67"/>
      <c r="BY4801" s="67"/>
      <c r="BZ4801" s="67"/>
      <c r="CA4801" s="67"/>
      <c r="CB4801" s="70">
        <v>9500</v>
      </c>
      <c r="CC4801" s="70">
        <v>5000</v>
      </c>
      <c r="CD4801" s="70"/>
      <c r="CE4801" s="67">
        <f>SQRT(2)*300</f>
        <v>424.26406871192853</v>
      </c>
      <c r="CF4801" s="67">
        <f>SQRT(2)*200</f>
        <v>282.84271247461902</v>
      </c>
      <c r="CG4801" s="67"/>
      <c r="CH4801" s="245">
        <f>(1.26+1.37)/2</f>
        <v>1.3149999999999999</v>
      </c>
      <c r="CI4801" s="245">
        <f>(1.17+1.32)/2</f>
        <v>1.2450000000000001</v>
      </c>
      <c r="CJ4801" s="67">
        <f>(0.1+0.08)/2*SQRT(2)</f>
        <v>0.12727922061357855</v>
      </c>
      <c r="CK4801" s="67">
        <f>0.04*SQRT(2)</f>
        <v>5.656854249492381E-2</v>
      </c>
      <c r="CL4801" s="67"/>
      <c r="CM4801" s="242">
        <v>2.1</v>
      </c>
      <c r="CN4801" s="242">
        <v>2.6</v>
      </c>
      <c r="CO4801" s="242">
        <f>0.3*SQRT(2)</f>
        <v>0.42426406871192851</v>
      </c>
      <c r="CP4801" s="242">
        <f>0.1*SQRT(2)</f>
        <v>0.14142135623730953</v>
      </c>
      <c r="CQ4801" s="242" t="s">
        <v>164</v>
      </c>
      <c r="CR4801" s="242">
        <f>CM4801/100*(100*100*CH4801*0.25)</f>
        <v>69.037500000000009</v>
      </c>
      <c r="CS4801" s="242">
        <f>CN4801/100*(100*100*CI4801*0.25)</f>
        <v>80.925000000000026</v>
      </c>
      <c r="CT4801" s="242">
        <f>CO4801/100*(100*100*CH4801*0.25)</f>
        <v>13.947681258904648</v>
      </c>
      <c r="CU4801" s="242">
        <f>CP4801/100*(100*100*CI4801*0.25)</f>
        <v>4.4017397128862594</v>
      </c>
      <c r="CV4801" s="242" t="s">
        <v>5151</v>
      </c>
      <c r="CW4801" s="242">
        <f>(CR4805-CR4801)*1000/12</f>
        <v>-547.91666666666754</v>
      </c>
      <c r="CX4801" s="242">
        <v>-941.66666666666526</v>
      </c>
      <c r="CY4801" s="242"/>
      <c r="CZ4801" s="242"/>
      <c r="DA4801" s="67" t="s">
        <v>5443</v>
      </c>
      <c r="DB4801" s="67"/>
      <c r="DC4801" s="67"/>
      <c r="DD4801" s="67"/>
      <c r="DE4801" s="67"/>
      <c r="DF4801" s="67"/>
      <c r="DG4801" s="67"/>
      <c r="DH4801" s="67"/>
      <c r="DI4801" s="67"/>
      <c r="DJ4801" s="67"/>
      <c r="DK4801" s="67"/>
      <c r="DL4801" s="67"/>
      <c r="DM4801" s="67"/>
      <c r="DN4801" s="67"/>
      <c r="DO4801" s="67"/>
      <c r="DP4801" s="67"/>
      <c r="DQ4801" s="166"/>
      <c r="DR4801" s="166"/>
      <c r="DS4801" s="163"/>
      <c r="DT4801" s="163"/>
      <c r="DU4801" s="67"/>
      <c r="DV4801" s="67"/>
      <c r="DW4801" s="67"/>
      <c r="DX4801" s="67"/>
      <c r="DY4801" s="67"/>
      <c r="DZ4801" s="67"/>
      <c r="EA4801" s="67"/>
      <c r="EB4801" s="67"/>
      <c r="EC4801" s="67"/>
      <c r="ED4801" s="67"/>
      <c r="EE4801" s="67"/>
      <c r="EF4801" s="67"/>
      <c r="EG4801" s="67"/>
      <c r="EH4801" s="67"/>
      <c r="EI4801" s="67"/>
      <c r="EJ4801" s="67"/>
      <c r="EK4801" s="94"/>
      <c r="EL4801" s="94"/>
      <c r="EM4801" s="67"/>
      <c r="EN4801" s="67"/>
      <c r="EO4801" s="67"/>
      <c r="EP4801" s="67"/>
      <c r="EQ4801" s="67"/>
      <c r="ER4801" s="67"/>
      <c r="ES4801" s="67"/>
      <c r="ET4801" s="67"/>
      <c r="EU4801" s="67"/>
      <c r="EV4801" s="67"/>
      <c r="EW4801" s="67"/>
      <c r="EX4801" s="67"/>
      <c r="EY4801" s="67"/>
      <c r="EZ4801" s="67"/>
      <c r="FA4801" s="67"/>
      <c r="FB4801" s="67"/>
      <c r="FC4801" s="67"/>
      <c r="FD4801" s="67"/>
      <c r="FE4801" s="67"/>
      <c r="FF4801" s="67"/>
      <c r="FG4801" s="67"/>
      <c r="FH4801" s="67"/>
      <c r="FI4801" s="67"/>
      <c r="FJ4801" s="67"/>
      <c r="FK4801" s="67"/>
      <c r="FL4801" s="67"/>
      <c r="FM4801" s="67"/>
      <c r="FN4801" s="67"/>
      <c r="FO4801" s="67"/>
      <c r="FP4801" s="67"/>
      <c r="FQ4801" s="67"/>
      <c r="FR4801" s="67"/>
      <c r="FS4801" s="67"/>
      <c r="FT4801" s="67"/>
      <c r="FU4801" s="67"/>
      <c r="FV4801" s="67"/>
      <c r="FW4801" s="67"/>
      <c r="FX4801" s="67"/>
      <c r="FY4801" s="67"/>
      <c r="FZ4801" s="67"/>
      <c r="GA4801" s="67"/>
      <c r="GB4801" s="67"/>
      <c r="GC4801" s="67"/>
      <c r="GD4801" s="67"/>
      <c r="GE4801" s="67"/>
      <c r="GF4801" s="67"/>
      <c r="GG4801" s="67"/>
      <c r="GH4801" s="67"/>
      <c r="GI4801" s="67"/>
      <c r="GJ4801" s="67"/>
      <c r="GK4801" s="67"/>
      <c r="GL4801" s="67"/>
      <c r="GM4801" s="67"/>
      <c r="GN4801" s="292"/>
      <c r="GO4801" s="292"/>
      <c r="GP4801" s="292" t="s">
        <v>7494</v>
      </c>
      <c r="GQ4801" s="67"/>
      <c r="GR4801" s="67"/>
      <c r="GS4801" s="67"/>
      <c r="GT4801" s="67"/>
      <c r="GU4801" s="67"/>
      <c r="GV4801" s="67"/>
      <c r="GW4801" s="67"/>
      <c r="GX4801" s="67"/>
      <c r="GY4801" s="67"/>
      <c r="GZ4801" s="67"/>
      <c r="HA4801" s="67"/>
      <c r="HB4801" s="67"/>
      <c r="HC4801" s="67"/>
      <c r="HD4801" s="67"/>
      <c r="HE4801" s="67"/>
      <c r="HF4801" s="67"/>
      <c r="HG4801" s="67"/>
      <c r="HH4801" s="67"/>
      <c r="HI4801" s="67"/>
      <c r="HJ4801" s="67"/>
      <c r="HK4801" s="67"/>
      <c r="HL4801" s="67"/>
      <c r="HM4801" s="67"/>
      <c r="HN4801" s="67"/>
      <c r="HO4801" s="67"/>
      <c r="HP4801" s="67"/>
      <c r="HQ4801" s="67"/>
      <c r="HR4801" s="67"/>
      <c r="HS4801" s="67">
        <v>0.7</v>
      </c>
      <c r="HT4801" s="67">
        <v>1.23</v>
      </c>
      <c r="HU4801" s="67">
        <f>SQRT(2)*0.38</f>
        <v>0.53740115370177621</v>
      </c>
      <c r="HV4801" s="67">
        <f>SQRT(2)*0.59</f>
        <v>0.83438600180012612</v>
      </c>
      <c r="HW4801" s="67" t="s">
        <v>5659</v>
      </c>
      <c r="HX4801" s="67"/>
      <c r="HY4801" s="67"/>
      <c r="HZ4801" s="67"/>
      <c r="IA4801" s="67"/>
      <c r="IB4801" s="67"/>
      <c r="IC4801" s="67">
        <v>16</v>
      </c>
      <c r="ID4801" s="67">
        <v>19</v>
      </c>
      <c r="IE4801" s="67">
        <f>SQRT(2)*1</f>
        <v>1.4142135623730951</v>
      </c>
      <c r="IF4801" s="67">
        <f>SQRT(2)*1</f>
        <v>1.4142135623730951</v>
      </c>
      <c r="IG4801" s="67" t="s">
        <v>5658</v>
      </c>
      <c r="IH4801" s="67">
        <v>0.92</v>
      </c>
      <c r="II4801" s="67">
        <v>0.68</v>
      </c>
      <c r="IJ4801" s="67">
        <f>SQRT(2)*0.37</f>
        <v>0.5232590180780452</v>
      </c>
      <c r="IK4801" s="67">
        <f>SQRT(2)*0.27</f>
        <v>0.3818376618407357</v>
      </c>
      <c r="IL4801" s="67" t="s">
        <v>4344</v>
      </c>
      <c r="IM4801" s="67"/>
      <c r="IN4801" s="67"/>
      <c r="IO4801" s="67"/>
      <c r="IP4801" s="67"/>
      <c r="IQ4801" s="67"/>
      <c r="IR4801" s="67"/>
      <c r="IS4801" s="67"/>
      <c r="IT4801" s="67"/>
      <c r="IU4801" s="67"/>
      <c r="IV4801" s="67"/>
      <c r="IW4801" s="67">
        <v>1787</v>
      </c>
      <c r="IX4801" s="67">
        <v>2259</v>
      </c>
      <c r="IY4801" s="67">
        <f>SQRT(2)*53</f>
        <v>74.953318805774046</v>
      </c>
      <c r="IZ4801" s="67">
        <f>SQRT(2)*5</f>
        <v>7.0710678118654755</v>
      </c>
      <c r="JA4801" s="67" t="s">
        <v>5660</v>
      </c>
      <c r="JB4801" s="67"/>
      <c r="JC4801" s="67"/>
      <c r="JD4801" s="67"/>
      <c r="JE4801" s="67"/>
      <c r="JF4801" s="67"/>
      <c r="JG4801" s="67"/>
      <c r="JH4801" s="67"/>
      <c r="JI4801" s="67"/>
      <c r="JJ4801" s="67"/>
      <c r="JK4801" s="67"/>
      <c r="JL4801" s="67">
        <v>32</v>
      </c>
      <c r="JM4801" s="67">
        <v>36</v>
      </c>
      <c r="JN4801" s="67">
        <f>2*SQRT(2)</f>
        <v>2.8284271247461903</v>
      </c>
      <c r="JO4801" s="67">
        <f>2*SQRT(2)</f>
        <v>2.8284271247461903</v>
      </c>
      <c r="JP4801" s="67" t="s">
        <v>3072</v>
      </c>
      <c r="JQ4801" s="67"/>
      <c r="JR4801" s="67"/>
      <c r="JS4801" s="67"/>
      <c r="JT4801" s="67"/>
      <c r="JU4801" s="58"/>
      <c r="JV4801" s="58"/>
      <c r="JW4801" s="58"/>
    </row>
    <row r="4802" spans="1:283" s="23" customFormat="1" x14ac:dyDescent="0.25">
      <c r="A4802" s="55">
        <v>4801</v>
      </c>
      <c r="B4802" s="12" t="s">
        <v>7067</v>
      </c>
      <c r="C4802" s="156">
        <v>215</v>
      </c>
      <c r="D4802" s="58" t="s">
        <v>4888</v>
      </c>
      <c r="E4802" s="160" t="str">
        <f>G4802</f>
        <v>Chirinda et al. 2010_Foulum 2</v>
      </c>
      <c r="F4802" s="160"/>
      <c r="G4802" s="60" t="s">
        <v>4839</v>
      </c>
      <c r="H4802" s="58">
        <v>2010</v>
      </c>
      <c r="I4802" s="58" t="s">
        <v>3181</v>
      </c>
      <c r="J4802" s="243" t="s">
        <v>198</v>
      </c>
      <c r="K4802" s="63" t="s">
        <v>5126</v>
      </c>
      <c r="L4802" s="58" t="s">
        <v>2743</v>
      </c>
      <c r="M4802" s="94">
        <f>56.5</f>
        <v>56.5</v>
      </c>
      <c r="N4802" s="94">
        <f>9+34/60</f>
        <v>9.5666666666666664</v>
      </c>
      <c r="O4802" s="94">
        <v>24</v>
      </c>
      <c r="P4802" s="58"/>
      <c r="Q4802" s="244">
        <v>7.3</v>
      </c>
      <c r="R4802" s="58"/>
      <c r="S4802" s="245">
        <v>704</v>
      </c>
      <c r="T4802" s="58"/>
      <c r="U4802" s="58" t="s">
        <v>1935</v>
      </c>
      <c r="V4802" s="244">
        <v>12</v>
      </c>
      <c r="W4802" s="174"/>
      <c r="X4802" s="174"/>
      <c r="Y4802" s="58" t="s">
        <v>5352</v>
      </c>
      <c r="Z4802" s="244" t="s">
        <v>1367</v>
      </c>
      <c r="AA4802" s="245">
        <v>25</v>
      </c>
      <c r="AB4802" s="67"/>
      <c r="AC4802" s="67"/>
      <c r="AD4802" s="94">
        <v>1.35</v>
      </c>
      <c r="AE4802" s="94">
        <v>78</v>
      </c>
      <c r="AF4802" s="94">
        <v>13</v>
      </c>
      <c r="AG4802" s="245">
        <v>9</v>
      </c>
      <c r="AH4802" s="58" t="s">
        <v>238</v>
      </c>
      <c r="AI4802" s="169">
        <v>6.5</v>
      </c>
      <c r="AJ4802" s="94">
        <v>2.2999999999999998</v>
      </c>
      <c r="AK4802" s="94"/>
      <c r="AL4802" s="58"/>
      <c r="AM4802" s="58" t="s">
        <v>1291</v>
      </c>
      <c r="AN4802" s="186" t="s">
        <v>5351</v>
      </c>
      <c r="AO4802" s="185" t="s">
        <v>5150</v>
      </c>
      <c r="AP4802" s="58"/>
      <c r="AQ4802" s="58" t="s">
        <v>1546</v>
      </c>
      <c r="AR4802" s="58" t="s">
        <v>5657</v>
      </c>
      <c r="AS4802" s="246" t="s">
        <v>4584</v>
      </c>
      <c r="AT4802" s="247">
        <v>1</v>
      </c>
      <c r="AU4802" s="181" t="s">
        <v>7494</v>
      </c>
      <c r="AV4802" s="185" t="s">
        <v>176</v>
      </c>
      <c r="AW4802" s="244">
        <v>1</v>
      </c>
      <c r="AX4802" s="185" t="s">
        <v>176</v>
      </c>
      <c r="AY4802" s="244" t="s">
        <v>176</v>
      </c>
      <c r="AZ4802" s="58"/>
      <c r="BA4802" s="58"/>
      <c r="BB4802" s="58"/>
      <c r="BC4802" s="58"/>
      <c r="BD4802" s="58"/>
      <c r="BE4802" s="236" t="s">
        <v>5158</v>
      </c>
      <c r="BF4802" s="58" t="s">
        <v>479</v>
      </c>
      <c r="BG4802" s="58" t="s">
        <v>479</v>
      </c>
      <c r="BH4802" s="236" t="s">
        <v>5231</v>
      </c>
      <c r="BI4802" s="58" t="s">
        <v>479</v>
      </c>
      <c r="BJ4802" s="58" t="str">
        <f>IF(BE4802=BH4802,"No","yes")</f>
        <v>yes</v>
      </c>
      <c r="BK4802" s="58" t="s">
        <v>6335</v>
      </c>
      <c r="BL4802" s="58"/>
      <c r="BM4802" s="237" t="s">
        <v>160</v>
      </c>
      <c r="BN4802" s="244">
        <v>2</v>
      </c>
      <c r="BO4802" s="244">
        <v>2</v>
      </c>
      <c r="BP4802" s="58"/>
      <c r="BQ4802" s="58"/>
      <c r="BR4802" s="58"/>
      <c r="BS4802" s="58"/>
      <c r="BT4802" s="58"/>
      <c r="BU4802" s="58"/>
      <c r="BV4802" s="58"/>
      <c r="BW4802" s="67"/>
      <c r="BX4802" s="67"/>
      <c r="BY4802" s="67"/>
      <c r="BZ4802" s="67"/>
      <c r="CA4802" s="67"/>
      <c r="CB4802" s="70">
        <v>9500</v>
      </c>
      <c r="CC4802" s="70">
        <v>2800</v>
      </c>
      <c r="CD4802" s="70"/>
      <c r="CE4802" s="67">
        <f>SQRT(2)*300</f>
        <v>424.26406871192853</v>
      </c>
      <c r="CF4802" s="67">
        <f>SQRT(2)*200</f>
        <v>282.84271247461902</v>
      </c>
      <c r="CG4802" s="67"/>
      <c r="CH4802" s="245">
        <f>(1.26+1.37)/2</f>
        <v>1.3149999999999999</v>
      </c>
      <c r="CI4802" s="245">
        <f>(1.18+1.353)/2</f>
        <v>1.2665</v>
      </c>
      <c r="CJ4802" s="67">
        <f>(0.1+0.08)/2*SQRT(2)</f>
        <v>0.12727922061357855</v>
      </c>
      <c r="CK4802" s="67">
        <f>0.05*SQRT(2)</f>
        <v>7.0710678118654766E-2</v>
      </c>
      <c r="CL4802" s="67"/>
      <c r="CM4802" s="242">
        <v>2.1</v>
      </c>
      <c r="CN4802" s="242">
        <v>2.4</v>
      </c>
      <c r="CO4802" s="242">
        <f>0.3*SQRT(2)</f>
        <v>0.42426406871192851</v>
      </c>
      <c r="CP4802" s="242">
        <f>0.3*SQRT(2)</f>
        <v>0.42426406871192851</v>
      </c>
      <c r="CQ4802" s="242" t="s">
        <v>164</v>
      </c>
      <c r="CR4802" s="242">
        <f>CM4802/100*(100*100*CH4802*0.25)</f>
        <v>69.037500000000009</v>
      </c>
      <c r="CS4802" s="242">
        <f>CN4802/100*(100*100*CI4802*0.25)</f>
        <v>75.989999999999995</v>
      </c>
      <c r="CT4802" s="242">
        <f>CO4802/100*(100*100*CH4802*0.25)</f>
        <v>13.947681258904648</v>
      </c>
      <c r="CU4802" s="242">
        <f>CP4802/100*(100*100*CI4802*0.25)</f>
        <v>13.433261075591435</v>
      </c>
      <c r="CV4802" s="242" t="s">
        <v>5151</v>
      </c>
      <c r="CW4802" s="242">
        <f>(CR4806-CR4802)*1000/12</f>
        <v>-547.91666666666754</v>
      </c>
      <c r="CX4802" s="242">
        <v>-1151.0416666666667</v>
      </c>
      <c r="CY4802" s="242"/>
      <c r="CZ4802" s="242"/>
      <c r="DA4802" s="67" t="s">
        <v>5443</v>
      </c>
      <c r="DB4802" s="67"/>
      <c r="DC4802" s="67"/>
      <c r="DD4802" s="67"/>
      <c r="DE4802" s="67"/>
      <c r="DF4802" s="67"/>
      <c r="DG4802" s="67"/>
      <c r="DH4802" s="67"/>
      <c r="DI4802" s="67"/>
      <c r="DJ4802" s="67"/>
      <c r="DK4802" s="67"/>
      <c r="DL4802" s="67"/>
      <c r="DM4802" s="67"/>
      <c r="DN4802" s="67"/>
      <c r="DO4802" s="67"/>
      <c r="DP4802" s="67"/>
      <c r="DQ4802" s="166"/>
      <c r="DR4802" s="166"/>
      <c r="DS4802" s="163"/>
      <c r="DT4802" s="163"/>
      <c r="DU4802" s="67"/>
      <c r="DV4802" s="67"/>
      <c r="DW4802" s="67"/>
      <c r="DX4802" s="67"/>
      <c r="DY4802" s="67"/>
      <c r="DZ4802" s="67"/>
      <c r="EA4802" s="67"/>
      <c r="EB4802" s="67"/>
      <c r="EC4802" s="67"/>
      <c r="ED4802" s="67"/>
      <c r="EE4802" s="67"/>
      <c r="EF4802" s="67"/>
      <c r="EG4802" s="67"/>
      <c r="EH4802" s="67"/>
      <c r="EI4802" s="67"/>
      <c r="EJ4802" s="67"/>
      <c r="EK4802" s="94"/>
      <c r="EL4802" s="94"/>
      <c r="EM4802" s="67"/>
      <c r="EN4802" s="67"/>
      <c r="EO4802" s="67"/>
      <c r="EP4802" s="67"/>
      <c r="EQ4802" s="67"/>
      <c r="ER4802" s="67"/>
      <c r="ES4802" s="67"/>
      <c r="ET4802" s="67"/>
      <c r="EU4802" s="67"/>
      <c r="EV4802" s="67"/>
      <c r="EW4802" s="67"/>
      <c r="EX4802" s="67"/>
      <c r="EY4802" s="67"/>
      <c r="EZ4802" s="67"/>
      <c r="FA4802" s="67"/>
      <c r="FB4802" s="67"/>
      <c r="FC4802" s="67"/>
      <c r="FD4802" s="67"/>
      <c r="FE4802" s="67"/>
      <c r="FF4802" s="67"/>
      <c r="FG4802" s="67"/>
      <c r="FH4802" s="67"/>
      <c r="FI4802" s="67"/>
      <c r="FJ4802" s="67"/>
      <c r="FK4802" s="67"/>
      <c r="FL4802" s="67"/>
      <c r="FM4802" s="67"/>
      <c r="FN4802" s="67"/>
      <c r="FO4802" s="67"/>
      <c r="FP4802" s="67"/>
      <c r="FQ4802" s="67"/>
      <c r="FR4802" s="67"/>
      <c r="FS4802" s="67"/>
      <c r="FT4802" s="67"/>
      <c r="FU4802" s="67"/>
      <c r="FV4802" s="67"/>
      <c r="FW4802" s="67"/>
      <c r="FX4802" s="67"/>
      <c r="FY4802" s="67"/>
      <c r="FZ4802" s="67"/>
      <c r="GA4802" s="67"/>
      <c r="GB4802" s="67"/>
      <c r="GC4802" s="67"/>
      <c r="GD4802" s="67"/>
      <c r="GE4802" s="67"/>
      <c r="GF4802" s="67"/>
      <c r="GG4802" s="67"/>
      <c r="GH4802" s="67"/>
      <c r="GI4802" s="67"/>
      <c r="GJ4802" s="67"/>
      <c r="GK4802" s="67"/>
      <c r="GL4802" s="67"/>
      <c r="GM4802" s="67"/>
      <c r="GN4802" s="292"/>
      <c r="GO4802" s="292"/>
      <c r="GP4802" s="292" t="s">
        <v>7494</v>
      </c>
      <c r="GQ4802" s="67"/>
      <c r="GR4802" s="67"/>
      <c r="GS4802" s="67"/>
      <c r="GT4802" s="67"/>
      <c r="GU4802" s="67"/>
      <c r="GV4802" s="67"/>
      <c r="GW4802" s="67"/>
      <c r="GX4802" s="67"/>
      <c r="GY4802" s="67"/>
      <c r="GZ4802" s="67"/>
      <c r="HA4802" s="67"/>
      <c r="HB4802" s="67"/>
      <c r="HC4802" s="67"/>
      <c r="HD4802" s="67"/>
      <c r="HE4802" s="67"/>
      <c r="HF4802" s="67"/>
      <c r="HG4802" s="67"/>
      <c r="HH4802" s="67"/>
      <c r="HI4802" s="67"/>
      <c r="HJ4802" s="67"/>
      <c r="HK4802" s="67"/>
      <c r="HL4802" s="67"/>
      <c r="HM4802" s="67"/>
      <c r="HN4802" s="67"/>
      <c r="HO4802" s="67"/>
      <c r="HP4802" s="67"/>
      <c r="HQ4802" s="67"/>
      <c r="HR4802" s="67"/>
      <c r="HS4802" s="67">
        <v>0.7</v>
      </c>
      <c r="HT4802" s="67">
        <v>1.01</v>
      </c>
      <c r="HU4802" s="67">
        <f>SQRT(2)*0.38</f>
        <v>0.53740115370177621</v>
      </c>
      <c r="HV4802" s="67">
        <f>SQRT(2)*0.583</f>
        <v>0.82448650686351443</v>
      </c>
      <c r="HW4802" s="67" t="s">
        <v>5659</v>
      </c>
      <c r="HX4802" s="67"/>
      <c r="HY4802" s="67"/>
      <c r="HZ4802" s="67"/>
      <c r="IA4802" s="67"/>
      <c r="IB4802" s="67"/>
      <c r="IC4802" s="67">
        <v>16</v>
      </c>
      <c r="ID4802" s="67">
        <v>21</v>
      </c>
      <c r="IE4802" s="67">
        <f>SQRT(2)*1</f>
        <v>1.4142135623730951</v>
      </c>
      <c r="IF4802" s="67">
        <f>SQRT(2)*1</f>
        <v>1.4142135623730951</v>
      </c>
      <c r="IG4802" s="67" t="s">
        <v>5658</v>
      </c>
      <c r="IH4802" s="67">
        <v>0.92</v>
      </c>
      <c r="II4802" s="67">
        <v>0.72</v>
      </c>
      <c r="IJ4802" s="67">
        <f>SQRT(2)*0.37</f>
        <v>0.5232590180780452</v>
      </c>
      <c r="IK4802" s="67">
        <f>SQRT(2)*0.11</f>
        <v>0.15556349186104046</v>
      </c>
      <c r="IL4802" s="67" t="s">
        <v>4344</v>
      </c>
      <c r="IM4802" s="67"/>
      <c r="IN4802" s="67"/>
      <c r="IO4802" s="67"/>
      <c r="IP4802" s="67"/>
      <c r="IQ4802" s="67"/>
      <c r="IR4802" s="67"/>
      <c r="IS4802" s="67"/>
      <c r="IT4802" s="67"/>
      <c r="IU4802" s="67"/>
      <c r="IV4802" s="67"/>
      <c r="IW4802" s="67">
        <v>1787</v>
      </c>
      <c r="IX4802" s="67">
        <v>2500</v>
      </c>
      <c r="IY4802" s="67">
        <f>SQRT(2)*53</f>
        <v>74.953318805774046</v>
      </c>
      <c r="IZ4802" s="67">
        <f>SQRT(2)*25</f>
        <v>35.355339059327378</v>
      </c>
      <c r="JA4802" s="67" t="s">
        <v>5660</v>
      </c>
      <c r="JB4802" s="67"/>
      <c r="JC4802" s="67"/>
      <c r="JD4802" s="67"/>
      <c r="JE4802" s="67"/>
      <c r="JF4802" s="67"/>
      <c r="JG4802" s="67"/>
      <c r="JH4802" s="67"/>
      <c r="JI4802" s="67"/>
      <c r="JJ4802" s="67"/>
      <c r="JK4802" s="67"/>
      <c r="JL4802" s="67">
        <v>32</v>
      </c>
      <c r="JM4802" s="67">
        <v>39</v>
      </c>
      <c r="JN4802" s="67">
        <f>2*SQRT(2)</f>
        <v>2.8284271247461903</v>
      </c>
      <c r="JO4802" s="67">
        <f>2*SQRT(2)</f>
        <v>2.8284271247461903</v>
      </c>
      <c r="JP4802" s="67" t="s">
        <v>3072</v>
      </c>
      <c r="JQ4802" s="67"/>
      <c r="JR4802" s="67"/>
      <c r="JS4802" s="67"/>
      <c r="JT4802" s="67"/>
      <c r="JU4802" s="58"/>
      <c r="JV4802" s="58"/>
      <c r="JW4802" s="58"/>
    </row>
    <row r="4803" spans="1:283" s="23" customFormat="1" x14ac:dyDescent="0.25">
      <c r="A4803" s="55">
        <v>4802</v>
      </c>
      <c r="B4803" s="12" t="s">
        <v>7067</v>
      </c>
      <c r="C4803" s="156">
        <v>215</v>
      </c>
      <c r="D4803" s="58" t="s">
        <v>4889</v>
      </c>
      <c r="E4803" s="160" t="str">
        <f>G4803</f>
        <v>Chirinda et al. 2010_Foulum 3</v>
      </c>
      <c r="F4803" s="160"/>
      <c r="G4803" s="60" t="s">
        <v>4838</v>
      </c>
      <c r="H4803" s="58">
        <v>2010</v>
      </c>
      <c r="I4803" s="58" t="s">
        <v>3181</v>
      </c>
      <c r="J4803" s="243" t="s">
        <v>198</v>
      </c>
      <c r="K4803" s="63" t="s">
        <v>5126</v>
      </c>
      <c r="L4803" s="58" t="s">
        <v>2743</v>
      </c>
      <c r="M4803" s="94">
        <f>56.5</f>
        <v>56.5</v>
      </c>
      <c r="N4803" s="94">
        <f>9+34/60</f>
        <v>9.5666666666666664</v>
      </c>
      <c r="O4803" s="94">
        <v>24</v>
      </c>
      <c r="P4803" s="58"/>
      <c r="Q4803" s="244">
        <v>7.3</v>
      </c>
      <c r="R4803" s="58"/>
      <c r="S4803" s="245">
        <v>704</v>
      </c>
      <c r="T4803" s="58"/>
      <c r="U4803" s="58" t="s">
        <v>1935</v>
      </c>
      <c r="V4803" s="244">
        <v>12</v>
      </c>
      <c r="W4803" s="174"/>
      <c r="X4803" s="174"/>
      <c r="Y4803" s="58" t="s">
        <v>5352</v>
      </c>
      <c r="Z4803" s="244" t="s">
        <v>1367</v>
      </c>
      <c r="AA4803" s="245">
        <v>25</v>
      </c>
      <c r="AB4803" s="67"/>
      <c r="AC4803" s="67"/>
      <c r="AD4803" s="94">
        <v>1.35</v>
      </c>
      <c r="AE4803" s="94">
        <v>78</v>
      </c>
      <c r="AF4803" s="94">
        <v>13</v>
      </c>
      <c r="AG4803" s="245">
        <v>9</v>
      </c>
      <c r="AH4803" s="58" t="s">
        <v>238</v>
      </c>
      <c r="AI4803" s="169">
        <v>6.5</v>
      </c>
      <c r="AJ4803" s="94">
        <v>2.2999999999999998</v>
      </c>
      <c r="AK4803" s="94"/>
      <c r="AL4803" s="58"/>
      <c r="AM4803" s="58" t="s">
        <v>1291</v>
      </c>
      <c r="AN4803" s="186" t="s">
        <v>5351</v>
      </c>
      <c r="AO4803" s="185" t="s">
        <v>5150</v>
      </c>
      <c r="AP4803" s="58"/>
      <c r="AQ4803" s="58" t="s">
        <v>1546</v>
      </c>
      <c r="AR4803" s="58" t="s">
        <v>5657</v>
      </c>
      <c r="AS4803" s="246" t="s">
        <v>4584</v>
      </c>
      <c r="AT4803" s="247">
        <v>1</v>
      </c>
      <c r="AU4803" s="181" t="s">
        <v>7494</v>
      </c>
      <c r="AV4803" s="185" t="s">
        <v>176</v>
      </c>
      <c r="AW4803" s="244">
        <v>1</v>
      </c>
      <c r="AX4803" s="185" t="s">
        <v>176</v>
      </c>
      <c r="AY4803" s="244" t="s">
        <v>176</v>
      </c>
      <c r="AZ4803" s="58"/>
      <c r="BA4803" s="58"/>
      <c r="BB4803" s="58"/>
      <c r="BC4803" s="58"/>
      <c r="BD4803" s="58"/>
      <c r="BE4803" s="236" t="s">
        <v>5158</v>
      </c>
      <c r="BF4803" s="58" t="s">
        <v>479</v>
      </c>
      <c r="BG4803" s="58" t="s">
        <v>479</v>
      </c>
      <c r="BH4803" s="236" t="s">
        <v>5232</v>
      </c>
      <c r="BI4803" s="58" t="s">
        <v>479</v>
      </c>
      <c r="BJ4803" s="58" t="str">
        <f>IF(BE4803=BH4803,"No","yes")</f>
        <v>yes</v>
      </c>
      <c r="BK4803" s="58" t="s">
        <v>6335</v>
      </c>
      <c r="BL4803" s="58"/>
      <c r="BM4803" s="237" t="s">
        <v>160</v>
      </c>
      <c r="BN4803" s="244">
        <v>2</v>
      </c>
      <c r="BO4803" s="244">
        <v>2</v>
      </c>
      <c r="BP4803" s="58"/>
      <c r="BQ4803" s="58"/>
      <c r="BR4803" s="58"/>
      <c r="BS4803" s="58"/>
      <c r="BT4803" s="58"/>
      <c r="BU4803" s="58"/>
      <c r="BV4803" s="58"/>
      <c r="BW4803" s="67"/>
      <c r="BX4803" s="67"/>
      <c r="BY4803" s="67"/>
      <c r="BZ4803" s="67"/>
      <c r="CA4803" s="67"/>
      <c r="CB4803" s="70">
        <v>9500</v>
      </c>
      <c r="CC4803" s="70">
        <v>6300</v>
      </c>
      <c r="CD4803" s="70"/>
      <c r="CE4803" s="67">
        <f>SQRT(2)*300</f>
        <v>424.26406871192853</v>
      </c>
      <c r="CF4803" s="67">
        <f>SQRT(2)*600</f>
        <v>848.52813742385706</v>
      </c>
      <c r="CG4803" s="67"/>
      <c r="CH4803" s="245">
        <f>(1.26+1.37)/2</f>
        <v>1.3149999999999999</v>
      </c>
      <c r="CI4803" s="245">
        <f>(1.13+1.313)/2</f>
        <v>1.2214999999999998</v>
      </c>
      <c r="CJ4803" s="67">
        <f>(0.1+0.08)/2*SQRT(2)</f>
        <v>0.12727922061357855</v>
      </c>
      <c r="CK4803" s="67">
        <f>0.04*SQRT(2)</f>
        <v>5.656854249492381E-2</v>
      </c>
      <c r="CL4803" s="67"/>
      <c r="CM4803" s="242">
        <v>2.1</v>
      </c>
      <c r="CN4803" s="242">
        <v>2.2999999999999998</v>
      </c>
      <c r="CO4803" s="242">
        <f>0.3*SQRT(2)</f>
        <v>0.42426406871192851</v>
      </c>
      <c r="CP4803" s="242">
        <f>0.5*SQRT(2)</f>
        <v>0.70710678118654757</v>
      </c>
      <c r="CQ4803" s="242" t="s">
        <v>164</v>
      </c>
      <c r="CR4803" s="242">
        <f>CM4803/100*(100*100*CH4803*0.25)</f>
        <v>69.037500000000009</v>
      </c>
      <c r="CS4803" s="242">
        <f>CN4803/100*(100*100*CI4803*0.25)</f>
        <v>70.236249999999984</v>
      </c>
      <c r="CT4803" s="242">
        <f>CO4803/100*(100*100*CH4803*0.25)</f>
        <v>13.947681258904648</v>
      </c>
      <c r="CU4803" s="242">
        <f>CP4803/100*(100*100*CI4803*0.25)</f>
        <v>21.593273330484191</v>
      </c>
      <c r="CV4803" s="242" t="s">
        <v>5151</v>
      </c>
      <c r="CW4803" s="242">
        <f>(CR4807-CR4803)*1000/12</f>
        <v>-547.91666666666754</v>
      </c>
      <c r="CX4803" s="242">
        <v>-673.95833333333144</v>
      </c>
      <c r="CY4803" s="242"/>
      <c r="CZ4803" s="242"/>
      <c r="DA4803" s="67" t="s">
        <v>5443</v>
      </c>
      <c r="DB4803" s="67"/>
      <c r="DC4803" s="67"/>
      <c r="DD4803" s="67"/>
      <c r="DE4803" s="67"/>
      <c r="DF4803" s="67"/>
      <c r="DG4803" s="67"/>
      <c r="DH4803" s="67"/>
      <c r="DI4803" s="67"/>
      <c r="DJ4803" s="67"/>
      <c r="DK4803" s="67"/>
      <c r="DL4803" s="67"/>
      <c r="DM4803" s="67"/>
      <c r="DN4803" s="67"/>
      <c r="DO4803" s="67"/>
      <c r="DP4803" s="67"/>
      <c r="DQ4803" s="166"/>
      <c r="DR4803" s="166"/>
      <c r="DS4803" s="163"/>
      <c r="DT4803" s="163"/>
      <c r="DU4803" s="67"/>
      <c r="DV4803" s="67"/>
      <c r="DW4803" s="67"/>
      <c r="DX4803" s="67"/>
      <c r="DY4803" s="67"/>
      <c r="DZ4803" s="67"/>
      <c r="EA4803" s="67"/>
      <c r="EB4803" s="67"/>
      <c r="EC4803" s="67"/>
      <c r="ED4803" s="67"/>
      <c r="EE4803" s="67"/>
      <c r="EF4803" s="67"/>
      <c r="EG4803" s="67"/>
      <c r="EH4803" s="67"/>
      <c r="EI4803" s="67"/>
      <c r="EJ4803" s="67"/>
      <c r="EK4803" s="94"/>
      <c r="EL4803" s="94"/>
      <c r="EM4803" s="67"/>
      <c r="EN4803" s="67"/>
      <c r="EO4803" s="67"/>
      <c r="EP4803" s="67"/>
      <c r="EQ4803" s="67"/>
      <c r="ER4803" s="67"/>
      <c r="ES4803" s="67"/>
      <c r="ET4803" s="67"/>
      <c r="EU4803" s="67"/>
      <c r="EV4803" s="67"/>
      <c r="EW4803" s="67"/>
      <c r="EX4803" s="67"/>
      <c r="EY4803" s="67"/>
      <c r="EZ4803" s="67"/>
      <c r="FA4803" s="67"/>
      <c r="FB4803" s="67"/>
      <c r="FC4803" s="67"/>
      <c r="FD4803" s="67"/>
      <c r="FE4803" s="67"/>
      <c r="FF4803" s="67"/>
      <c r="FG4803" s="67"/>
      <c r="FH4803" s="67"/>
      <c r="FI4803" s="67"/>
      <c r="FJ4803" s="67"/>
      <c r="FK4803" s="67"/>
      <c r="FL4803" s="67"/>
      <c r="FM4803" s="67"/>
      <c r="FN4803" s="67"/>
      <c r="FO4803" s="67"/>
      <c r="FP4803" s="67"/>
      <c r="FQ4803" s="67"/>
      <c r="FR4803" s="67"/>
      <c r="FS4803" s="67"/>
      <c r="FT4803" s="67"/>
      <c r="FU4803" s="67"/>
      <c r="FV4803" s="67"/>
      <c r="FW4803" s="67"/>
      <c r="FX4803" s="67"/>
      <c r="FY4803" s="67"/>
      <c r="FZ4803" s="67"/>
      <c r="GA4803" s="67"/>
      <c r="GB4803" s="67"/>
      <c r="GC4803" s="67"/>
      <c r="GD4803" s="67"/>
      <c r="GE4803" s="67"/>
      <c r="GF4803" s="67"/>
      <c r="GG4803" s="67"/>
      <c r="GH4803" s="67"/>
      <c r="GI4803" s="67"/>
      <c r="GJ4803" s="67"/>
      <c r="GK4803" s="67"/>
      <c r="GL4803" s="67"/>
      <c r="GM4803" s="67"/>
      <c r="GN4803" s="292"/>
      <c r="GO4803" s="292"/>
      <c r="GP4803" s="292" t="s">
        <v>7494</v>
      </c>
      <c r="GQ4803" s="67"/>
      <c r="GR4803" s="67"/>
      <c r="GS4803" s="67"/>
      <c r="GT4803" s="67"/>
      <c r="GU4803" s="67"/>
      <c r="GV4803" s="67"/>
      <c r="GW4803" s="67"/>
      <c r="GX4803" s="67"/>
      <c r="GY4803" s="67"/>
      <c r="GZ4803" s="67"/>
      <c r="HA4803" s="67"/>
      <c r="HB4803" s="67"/>
      <c r="HC4803" s="67"/>
      <c r="HD4803" s="67"/>
      <c r="HE4803" s="67"/>
      <c r="HF4803" s="67"/>
      <c r="HG4803" s="67"/>
      <c r="HH4803" s="67"/>
      <c r="HI4803" s="67"/>
      <c r="HJ4803" s="67"/>
      <c r="HK4803" s="67"/>
      <c r="HL4803" s="67"/>
      <c r="HM4803" s="67"/>
      <c r="HN4803" s="67"/>
      <c r="HO4803" s="67"/>
      <c r="HP4803" s="67"/>
      <c r="HQ4803" s="67"/>
      <c r="HR4803" s="67"/>
      <c r="HS4803" s="67">
        <v>0.7</v>
      </c>
      <c r="HT4803" s="67">
        <v>1.08</v>
      </c>
      <c r="HU4803" s="67">
        <f>SQRT(2)*0.38</f>
        <v>0.53740115370177621</v>
      </c>
      <c r="HV4803" s="67">
        <f>SQRT(2)*0.77</f>
        <v>1.0889444430272832</v>
      </c>
      <c r="HW4803" s="67" t="s">
        <v>5659</v>
      </c>
      <c r="HX4803" s="67"/>
      <c r="HY4803" s="67"/>
      <c r="HZ4803" s="67"/>
      <c r="IA4803" s="67"/>
      <c r="IB4803" s="67"/>
      <c r="IC4803" s="67">
        <v>16</v>
      </c>
      <c r="ID4803" s="67">
        <v>20</v>
      </c>
      <c r="IE4803" s="67">
        <f>SQRT(2)*1</f>
        <v>1.4142135623730951</v>
      </c>
      <c r="IF4803" s="67">
        <f>SQRT(2)*3</f>
        <v>4.2426406871192857</v>
      </c>
      <c r="IG4803" s="67" t="s">
        <v>5658</v>
      </c>
      <c r="IH4803" s="67">
        <v>0.92</v>
      </c>
      <c r="II4803" s="67">
        <v>0.81</v>
      </c>
      <c r="IJ4803" s="67">
        <f>SQRT(2)*0.37</f>
        <v>0.5232590180780452</v>
      </c>
      <c r="IK4803" s="67">
        <f>SQRT(2)*0.01</f>
        <v>1.4142135623730952E-2</v>
      </c>
      <c r="IL4803" s="67" t="s">
        <v>4344</v>
      </c>
      <c r="IM4803" s="67"/>
      <c r="IN4803" s="67"/>
      <c r="IO4803" s="67"/>
      <c r="IP4803" s="67"/>
      <c r="IQ4803" s="67"/>
      <c r="IR4803" s="67"/>
      <c r="IS4803" s="67"/>
      <c r="IT4803" s="67"/>
      <c r="IU4803" s="67"/>
      <c r="IV4803" s="67"/>
      <c r="IW4803" s="67">
        <v>1787</v>
      </c>
      <c r="IX4803" s="67">
        <v>2935</v>
      </c>
      <c r="IY4803" s="67">
        <f>SQRT(2)*53</f>
        <v>74.953318805774046</v>
      </c>
      <c r="IZ4803" s="67">
        <f>SQRT(2)*83</f>
        <v>117.3797256769669</v>
      </c>
      <c r="JA4803" s="67" t="s">
        <v>5660</v>
      </c>
      <c r="JB4803" s="67"/>
      <c r="JC4803" s="67"/>
      <c r="JD4803" s="67"/>
      <c r="JE4803" s="67"/>
      <c r="JF4803" s="67"/>
      <c r="JG4803" s="67"/>
      <c r="JH4803" s="67"/>
      <c r="JI4803" s="67"/>
      <c r="JJ4803" s="67"/>
      <c r="JK4803" s="67"/>
      <c r="JL4803" s="67">
        <v>32</v>
      </c>
      <c r="JM4803" s="67">
        <v>36</v>
      </c>
      <c r="JN4803" s="67">
        <f>2*SQRT(2)</f>
        <v>2.8284271247461903</v>
      </c>
      <c r="JO4803" s="67">
        <f>4*SQRT(2)</f>
        <v>5.6568542494923806</v>
      </c>
      <c r="JP4803" s="67" t="s">
        <v>3072</v>
      </c>
      <c r="JQ4803" s="67"/>
      <c r="JR4803" s="67"/>
      <c r="JS4803" s="67"/>
      <c r="JT4803" s="67"/>
      <c r="JU4803" s="58"/>
      <c r="JV4803" s="58"/>
      <c r="JW4803" s="58"/>
    </row>
    <row r="4804" spans="1:283" s="23" customFormat="1" x14ac:dyDescent="0.25">
      <c r="A4804" s="55">
        <v>4803</v>
      </c>
      <c r="B4804" s="12" t="s">
        <v>7067</v>
      </c>
      <c r="C4804" s="156">
        <v>215</v>
      </c>
      <c r="D4804" s="58" t="s">
        <v>4890</v>
      </c>
      <c r="E4804" s="160" t="str">
        <f>G4804</f>
        <v>Chirinda et al. 2010_Foulum 3</v>
      </c>
      <c r="F4804" s="160"/>
      <c r="G4804" s="60" t="s">
        <v>4838</v>
      </c>
      <c r="H4804" s="58">
        <v>2010</v>
      </c>
      <c r="I4804" s="58" t="s">
        <v>3181</v>
      </c>
      <c r="J4804" s="243" t="s">
        <v>198</v>
      </c>
      <c r="K4804" s="63" t="s">
        <v>5126</v>
      </c>
      <c r="L4804" s="58" t="s">
        <v>2743</v>
      </c>
      <c r="M4804" s="94">
        <f>56.5</f>
        <v>56.5</v>
      </c>
      <c r="N4804" s="94">
        <f>9+34/60</f>
        <v>9.5666666666666664</v>
      </c>
      <c r="O4804" s="94">
        <v>24</v>
      </c>
      <c r="P4804" s="58"/>
      <c r="Q4804" s="244">
        <v>7.3</v>
      </c>
      <c r="R4804" s="58"/>
      <c r="S4804" s="245">
        <v>704</v>
      </c>
      <c r="T4804" s="58"/>
      <c r="U4804" s="58" t="s">
        <v>1935</v>
      </c>
      <c r="V4804" s="244">
        <v>12</v>
      </c>
      <c r="W4804" s="174"/>
      <c r="X4804" s="174"/>
      <c r="Y4804" s="58" t="s">
        <v>5352</v>
      </c>
      <c r="Z4804" s="244" t="s">
        <v>1367</v>
      </c>
      <c r="AA4804" s="245">
        <v>25</v>
      </c>
      <c r="AB4804" s="67"/>
      <c r="AC4804" s="67"/>
      <c r="AD4804" s="94">
        <v>1.35</v>
      </c>
      <c r="AE4804" s="94">
        <v>78</v>
      </c>
      <c r="AF4804" s="94">
        <v>13</v>
      </c>
      <c r="AG4804" s="245">
        <v>9</v>
      </c>
      <c r="AH4804" s="58" t="s">
        <v>238</v>
      </c>
      <c r="AI4804" s="169">
        <v>6.5</v>
      </c>
      <c r="AJ4804" s="94">
        <v>2.2999999999999998</v>
      </c>
      <c r="AK4804" s="94"/>
      <c r="AL4804" s="58"/>
      <c r="AM4804" s="58" t="s">
        <v>1291</v>
      </c>
      <c r="AN4804" s="186" t="s">
        <v>5351</v>
      </c>
      <c r="AO4804" s="185" t="s">
        <v>5150</v>
      </c>
      <c r="AP4804" s="58"/>
      <c r="AQ4804" s="58" t="s">
        <v>1546</v>
      </c>
      <c r="AR4804" s="58" t="s">
        <v>5657</v>
      </c>
      <c r="AS4804" s="246" t="s">
        <v>4584</v>
      </c>
      <c r="AT4804" s="247">
        <v>1</v>
      </c>
      <c r="AU4804" s="181" t="s">
        <v>7494</v>
      </c>
      <c r="AV4804" s="185" t="s">
        <v>176</v>
      </c>
      <c r="AW4804" s="244">
        <v>1</v>
      </c>
      <c r="AX4804" s="185" t="s">
        <v>176</v>
      </c>
      <c r="AY4804" s="244" t="s">
        <v>176</v>
      </c>
      <c r="AZ4804" s="58"/>
      <c r="BA4804" s="58"/>
      <c r="BB4804" s="58"/>
      <c r="BC4804" s="58"/>
      <c r="BD4804" s="58"/>
      <c r="BE4804" s="236" t="s">
        <v>5158</v>
      </c>
      <c r="BF4804" s="58" t="s">
        <v>479</v>
      </c>
      <c r="BG4804" s="58" t="s">
        <v>479</v>
      </c>
      <c r="BH4804" s="236" t="s">
        <v>5232</v>
      </c>
      <c r="BI4804" s="58" t="s">
        <v>479</v>
      </c>
      <c r="BJ4804" s="58" t="str">
        <f>IF(BE4804=BH4804,"No","yes")</f>
        <v>yes</v>
      </c>
      <c r="BK4804" s="58" t="s">
        <v>6335</v>
      </c>
      <c r="BL4804" s="58"/>
      <c r="BM4804" s="237" t="s">
        <v>160</v>
      </c>
      <c r="BN4804" s="244">
        <v>2</v>
      </c>
      <c r="BO4804" s="244">
        <v>2</v>
      </c>
      <c r="BP4804" s="58"/>
      <c r="BQ4804" s="58"/>
      <c r="BR4804" s="58"/>
      <c r="BS4804" s="58"/>
      <c r="BT4804" s="58"/>
      <c r="BU4804" s="58"/>
      <c r="BV4804" s="58"/>
      <c r="BW4804" s="67"/>
      <c r="BX4804" s="67"/>
      <c r="BY4804" s="67"/>
      <c r="BZ4804" s="67"/>
      <c r="CA4804" s="67"/>
      <c r="CB4804" s="70">
        <v>9500</v>
      </c>
      <c r="CC4804" s="70">
        <v>5800</v>
      </c>
      <c r="CD4804" s="70"/>
      <c r="CE4804" s="67">
        <f>SQRT(2)*300</f>
        <v>424.26406871192853</v>
      </c>
      <c r="CF4804" s="67">
        <f>SQRT(2)*200</f>
        <v>282.84271247461902</v>
      </c>
      <c r="CG4804" s="67"/>
      <c r="CH4804" s="245">
        <f>(1.26+1.37)/2</f>
        <v>1.3149999999999999</v>
      </c>
      <c r="CI4804" s="245">
        <f>(1.12+1.33)/2</f>
        <v>1.2250000000000001</v>
      </c>
      <c r="CJ4804" s="67">
        <f>(0.1+0.08)/2*SQRT(2)</f>
        <v>0.12727922061357855</v>
      </c>
      <c r="CK4804" s="67">
        <f>0.02*SQRT(2)</f>
        <v>2.8284271247461905E-2</v>
      </c>
      <c r="CL4804" s="67"/>
      <c r="CM4804" s="242">
        <v>2.1</v>
      </c>
      <c r="CN4804" s="242">
        <v>2.5</v>
      </c>
      <c r="CO4804" s="242">
        <f>0.3*SQRT(2)</f>
        <v>0.42426406871192851</v>
      </c>
      <c r="CP4804" s="242">
        <f>0.1*SQRT(2)</f>
        <v>0.14142135623730953</v>
      </c>
      <c r="CQ4804" s="242" t="s">
        <v>164</v>
      </c>
      <c r="CR4804" s="242">
        <f>CM4804/100*(100*100*CH4804*0.25)</f>
        <v>69.037500000000009</v>
      </c>
      <c r="CS4804" s="242">
        <f>CN4804/100*(100*100*CI4804*0.25)</f>
        <v>76.5625</v>
      </c>
      <c r="CT4804" s="242">
        <f>CO4804/100*(100*100*CH4804*0.25)</f>
        <v>13.947681258904648</v>
      </c>
      <c r="CU4804" s="242">
        <f>CP4804/100*(100*100*CI4804*0.25)</f>
        <v>4.3310290347676039</v>
      </c>
      <c r="CV4804" s="242" t="s">
        <v>5151</v>
      </c>
      <c r="CW4804" s="242">
        <f>(CR4808-CR4804)*1000/12</f>
        <v>-547.91666666666754</v>
      </c>
      <c r="CX4804" s="242">
        <v>-673.95833333333144</v>
      </c>
      <c r="CY4804" s="242"/>
      <c r="CZ4804" s="242"/>
      <c r="DA4804" s="67" t="s">
        <v>5443</v>
      </c>
      <c r="DB4804" s="67"/>
      <c r="DC4804" s="67"/>
      <c r="DD4804" s="67"/>
      <c r="DE4804" s="67"/>
      <c r="DF4804" s="67"/>
      <c r="DG4804" s="67"/>
      <c r="DH4804" s="67"/>
      <c r="DI4804" s="67"/>
      <c r="DJ4804" s="67"/>
      <c r="DK4804" s="67"/>
      <c r="DL4804" s="67"/>
      <c r="DM4804" s="67"/>
      <c r="DN4804" s="67"/>
      <c r="DO4804" s="67"/>
      <c r="DP4804" s="67"/>
      <c r="DQ4804" s="166"/>
      <c r="DR4804" s="166"/>
      <c r="DS4804" s="163"/>
      <c r="DT4804" s="163"/>
      <c r="DU4804" s="67"/>
      <c r="DV4804" s="67"/>
      <c r="DW4804" s="67"/>
      <c r="DX4804" s="67"/>
      <c r="DY4804" s="67"/>
      <c r="DZ4804" s="67"/>
      <c r="EA4804" s="67"/>
      <c r="EB4804" s="67"/>
      <c r="EC4804" s="67"/>
      <c r="ED4804" s="67"/>
      <c r="EE4804" s="67"/>
      <c r="EF4804" s="67"/>
      <c r="EG4804" s="67"/>
      <c r="EH4804" s="67"/>
      <c r="EI4804" s="67"/>
      <c r="EJ4804" s="67"/>
      <c r="EK4804" s="94"/>
      <c r="EL4804" s="94"/>
      <c r="EM4804" s="67"/>
      <c r="EN4804" s="67"/>
      <c r="EO4804" s="67"/>
      <c r="EP4804" s="67"/>
      <c r="EQ4804" s="67"/>
      <c r="ER4804" s="67"/>
      <c r="ES4804" s="67"/>
      <c r="ET4804" s="67"/>
      <c r="EU4804" s="67"/>
      <c r="EV4804" s="67"/>
      <c r="EW4804" s="67"/>
      <c r="EX4804" s="67"/>
      <c r="EY4804" s="67"/>
      <c r="EZ4804" s="67"/>
      <c r="FA4804" s="67"/>
      <c r="FB4804" s="67"/>
      <c r="FC4804" s="67"/>
      <c r="FD4804" s="67"/>
      <c r="FE4804" s="67"/>
      <c r="FF4804" s="67"/>
      <c r="FG4804" s="67"/>
      <c r="FH4804" s="67"/>
      <c r="FI4804" s="67"/>
      <c r="FJ4804" s="67"/>
      <c r="FK4804" s="67"/>
      <c r="FL4804" s="67"/>
      <c r="FM4804" s="67"/>
      <c r="FN4804" s="67"/>
      <c r="FO4804" s="67"/>
      <c r="FP4804" s="67"/>
      <c r="FQ4804" s="67"/>
      <c r="FR4804" s="67"/>
      <c r="FS4804" s="67"/>
      <c r="FT4804" s="67"/>
      <c r="FU4804" s="67"/>
      <c r="FV4804" s="67"/>
      <c r="FW4804" s="67"/>
      <c r="FX4804" s="67"/>
      <c r="FY4804" s="67"/>
      <c r="FZ4804" s="67"/>
      <c r="GA4804" s="67"/>
      <c r="GB4804" s="67"/>
      <c r="GC4804" s="67"/>
      <c r="GD4804" s="67"/>
      <c r="GE4804" s="67"/>
      <c r="GF4804" s="67"/>
      <c r="GG4804" s="67"/>
      <c r="GH4804" s="67"/>
      <c r="GI4804" s="67"/>
      <c r="GJ4804" s="67"/>
      <c r="GK4804" s="67"/>
      <c r="GL4804" s="67"/>
      <c r="GM4804" s="67"/>
      <c r="GN4804" s="292"/>
      <c r="GO4804" s="292"/>
      <c r="GP4804" s="292" t="s">
        <v>7494</v>
      </c>
      <c r="GQ4804" s="67"/>
      <c r="GR4804" s="67"/>
      <c r="GS4804" s="67"/>
      <c r="GT4804" s="67"/>
      <c r="GU4804" s="67"/>
      <c r="GV4804" s="67"/>
      <c r="GW4804" s="67"/>
      <c r="GX4804" s="67"/>
      <c r="GY4804" s="67"/>
      <c r="GZ4804" s="67"/>
      <c r="HA4804" s="67"/>
      <c r="HB4804" s="67"/>
      <c r="HC4804" s="67"/>
      <c r="HD4804" s="67"/>
      <c r="HE4804" s="67"/>
      <c r="HF4804" s="67"/>
      <c r="HG4804" s="67"/>
      <c r="HH4804" s="67"/>
      <c r="HI4804" s="67"/>
      <c r="HJ4804" s="67"/>
      <c r="HK4804" s="67"/>
      <c r="HL4804" s="67"/>
      <c r="HM4804" s="67"/>
      <c r="HN4804" s="67"/>
      <c r="HO4804" s="67"/>
      <c r="HP4804" s="67"/>
      <c r="HQ4804" s="67"/>
      <c r="HR4804" s="67"/>
      <c r="HS4804" s="67">
        <v>0.7</v>
      </c>
      <c r="HT4804" s="67">
        <v>1.76</v>
      </c>
      <c r="HU4804" s="67">
        <f>SQRT(2)*0.38</f>
        <v>0.53740115370177621</v>
      </c>
      <c r="HV4804" s="67">
        <f>SQRT(2)*0.82</f>
        <v>1.1596551211459381</v>
      </c>
      <c r="HW4804" s="67" t="s">
        <v>5659</v>
      </c>
      <c r="HX4804" s="67"/>
      <c r="HY4804" s="67"/>
      <c r="HZ4804" s="67"/>
      <c r="IA4804" s="67"/>
      <c r="IB4804" s="67"/>
      <c r="IC4804" s="67">
        <v>16</v>
      </c>
      <c r="ID4804" s="67">
        <v>26</v>
      </c>
      <c r="IE4804" s="67">
        <f>SQRT(2)*1</f>
        <v>1.4142135623730951</v>
      </c>
      <c r="IF4804" s="67">
        <f>SQRT(2)*1</f>
        <v>1.4142135623730951</v>
      </c>
      <c r="IG4804" s="67" t="s">
        <v>5658</v>
      </c>
      <c r="IH4804" s="67">
        <v>0.92</v>
      </c>
      <c r="II4804" s="67">
        <v>0.63</v>
      </c>
      <c r="IJ4804" s="67">
        <f>SQRT(2)*0.37</f>
        <v>0.5232590180780452</v>
      </c>
      <c r="IK4804" s="67">
        <f>SQRT(2)*0.24</f>
        <v>0.33941125496954283</v>
      </c>
      <c r="IL4804" s="67" t="s">
        <v>4344</v>
      </c>
      <c r="IM4804" s="67"/>
      <c r="IN4804" s="67"/>
      <c r="IO4804" s="67"/>
      <c r="IP4804" s="67"/>
      <c r="IQ4804" s="67"/>
      <c r="IR4804" s="67"/>
      <c r="IS4804" s="67"/>
      <c r="IT4804" s="67"/>
      <c r="IU4804" s="67"/>
      <c r="IV4804" s="67"/>
      <c r="IW4804" s="67">
        <v>1787</v>
      </c>
      <c r="IX4804" s="67">
        <v>2410</v>
      </c>
      <c r="IY4804" s="67">
        <f>SQRT(2)*53</f>
        <v>74.953318805774046</v>
      </c>
      <c r="IZ4804" s="67">
        <f>SQRT(2)*45</f>
        <v>63.63961030678928</v>
      </c>
      <c r="JA4804" s="67" t="s">
        <v>5660</v>
      </c>
      <c r="JB4804" s="67"/>
      <c r="JC4804" s="67"/>
      <c r="JD4804" s="67"/>
      <c r="JE4804" s="67"/>
      <c r="JF4804" s="67"/>
      <c r="JG4804" s="67"/>
      <c r="JH4804" s="67"/>
      <c r="JI4804" s="67"/>
      <c r="JJ4804" s="67"/>
      <c r="JK4804" s="67"/>
      <c r="JL4804" s="67">
        <v>32</v>
      </c>
      <c r="JM4804" s="67">
        <v>47</v>
      </c>
      <c r="JN4804" s="67">
        <f>2*SQRT(2)</f>
        <v>2.8284271247461903</v>
      </c>
      <c r="JO4804" s="67">
        <f>1*SQRT(2)</f>
        <v>1.4142135623730951</v>
      </c>
      <c r="JP4804" s="67" t="s">
        <v>3072</v>
      </c>
      <c r="JQ4804" s="67"/>
      <c r="JR4804" s="67"/>
      <c r="JS4804" s="67"/>
      <c r="JT4804" s="67"/>
      <c r="JU4804" s="58"/>
      <c r="JV4804" s="58"/>
      <c r="JW4804" s="58"/>
    </row>
    <row r="4805" spans="1:283" s="23" customFormat="1" x14ac:dyDescent="0.25">
      <c r="A4805" s="55">
        <v>4804</v>
      </c>
      <c r="B4805" s="12" t="s">
        <v>7067</v>
      </c>
      <c r="C4805" s="156">
        <v>215</v>
      </c>
      <c r="D4805" s="58" t="s">
        <v>4887</v>
      </c>
      <c r="E4805" s="160" t="str">
        <f>G4805</f>
        <v>Chirinda et al. 2010_Foulum 1</v>
      </c>
      <c r="F4805" s="160"/>
      <c r="G4805" s="60" t="s">
        <v>4840</v>
      </c>
      <c r="H4805" s="58">
        <v>2010</v>
      </c>
      <c r="I4805" s="58">
        <v>2008</v>
      </c>
      <c r="J4805" s="243" t="s">
        <v>198</v>
      </c>
      <c r="K4805" s="63" t="s">
        <v>5126</v>
      </c>
      <c r="L4805" s="58" t="s">
        <v>2743</v>
      </c>
      <c r="M4805" s="94">
        <f>56.5</f>
        <v>56.5</v>
      </c>
      <c r="N4805" s="94">
        <f>9+34/60</f>
        <v>9.5666666666666664</v>
      </c>
      <c r="O4805" s="94">
        <v>24</v>
      </c>
      <c r="P4805" s="58"/>
      <c r="Q4805" s="244">
        <v>7.3</v>
      </c>
      <c r="R4805" s="58"/>
      <c r="S4805" s="245">
        <v>704</v>
      </c>
      <c r="T4805" s="58"/>
      <c r="U4805" s="58" t="s">
        <v>1889</v>
      </c>
      <c r="V4805" s="244">
        <v>12</v>
      </c>
      <c r="W4805" s="174"/>
      <c r="X4805" s="174"/>
      <c r="Y4805" s="58" t="s">
        <v>5352</v>
      </c>
      <c r="Z4805" s="244" t="s">
        <v>1367</v>
      </c>
      <c r="AA4805" s="245">
        <v>25</v>
      </c>
      <c r="AB4805" s="67"/>
      <c r="AC4805" s="67"/>
      <c r="AD4805" s="94">
        <v>1.35</v>
      </c>
      <c r="AE4805" s="94">
        <v>78</v>
      </c>
      <c r="AF4805" s="94">
        <v>13</v>
      </c>
      <c r="AG4805" s="245">
        <v>9</v>
      </c>
      <c r="AH4805" s="58" t="s">
        <v>238</v>
      </c>
      <c r="AI4805" s="169">
        <v>6.5</v>
      </c>
      <c r="AJ4805" s="94">
        <v>2.2999999999999998</v>
      </c>
      <c r="AK4805" s="94"/>
      <c r="AL4805" s="58"/>
      <c r="AM4805" s="58" t="s">
        <v>1291</v>
      </c>
      <c r="AN4805" s="186" t="s">
        <v>176</v>
      </c>
      <c r="AO4805" s="185" t="s">
        <v>5150</v>
      </c>
      <c r="AP4805" s="58"/>
      <c r="AQ4805" s="58" t="s">
        <v>176</v>
      </c>
      <c r="AR4805" s="58" t="s">
        <v>5657</v>
      </c>
      <c r="AS4805" s="246" t="s">
        <v>4584</v>
      </c>
      <c r="AT4805" s="247">
        <v>1</v>
      </c>
      <c r="AU4805" s="181" t="s">
        <v>7494</v>
      </c>
      <c r="AV4805" s="185" t="s">
        <v>176</v>
      </c>
      <c r="AW4805" s="244">
        <v>1</v>
      </c>
      <c r="AX4805" s="185" t="s">
        <v>176</v>
      </c>
      <c r="AY4805" s="244" t="s">
        <v>176</v>
      </c>
      <c r="AZ4805" s="58"/>
      <c r="BA4805" s="58"/>
      <c r="BB4805" s="58"/>
      <c r="BC4805" s="58"/>
      <c r="BD4805" s="58"/>
      <c r="BE4805" s="236" t="s">
        <v>5158</v>
      </c>
      <c r="BF4805" s="58" t="s">
        <v>479</v>
      </c>
      <c r="BG4805" s="58" t="s">
        <v>479</v>
      </c>
      <c r="BH4805" s="236" t="s">
        <v>5231</v>
      </c>
      <c r="BI4805" s="58" t="s">
        <v>479</v>
      </c>
      <c r="BJ4805" s="58" t="str">
        <f>IF(BE4805=BH4805,"No","yes")</f>
        <v>yes</v>
      </c>
      <c r="BK4805" s="58" t="s">
        <v>6334</v>
      </c>
      <c r="BL4805" s="58"/>
      <c r="BM4805" s="237" t="s">
        <v>160</v>
      </c>
      <c r="BN4805" s="244">
        <v>2</v>
      </c>
      <c r="BO4805" s="244">
        <v>2</v>
      </c>
      <c r="BP4805" s="58"/>
      <c r="BQ4805" s="58"/>
      <c r="BR4805" s="58"/>
      <c r="BS4805" s="58"/>
      <c r="BT4805" s="58"/>
      <c r="BU4805" s="58"/>
      <c r="BV4805" s="58"/>
      <c r="BW4805" s="67"/>
      <c r="BX4805" s="67"/>
      <c r="BY4805" s="67"/>
      <c r="BZ4805" s="67"/>
      <c r="CA4805" s="67"/>
      <c r="CB4805" s="70">
        <v>5500</v>
      </c>
      <c r="CC4805" s="70">
        <v>3300</v>
      </c>
      <c r="CD4805" s="70"/>
      <c r="CE4805" s="67">
        <f>SQRT(2)*100</f>
        <v>141.42135623730951</v>
      </c>
      <c r="CF4805" s="67">
        <f>SQRT(2)*400</f>
        <v>565.68542494923804</v>
      </c>
      <c r="CG4805" s="67"/>
      <c r="CH4805" s="245">
        <v>1.3149999999999999</v>
      </c>
      <c r="CI4805" s="245">
        <v>1.2450000000000001</v>
      </c>
      <c r="CJ4805" s="67">
        <v>0.12727922061357855</v>
      </c>
      <c r="CK4805" s="67">
        <v>5.656854249492381E-2</v>
      </c>
      <c r="CL4805" s="67"/>
      <c r="CM4805" s="242">
        <v>1.9</v>
      </c>
      <c r="CN4805" s="242">
        <v>2.4</v>
      </c>
      <c r="CO4805" s="242">
        <f>0.3*SQRT(2)</f>
        <v>0.42426406871192851</v>
      </c>
      <c r="CP4805" s="242">
        <f>0.1*SQRT(2)</f>
        <v>0.14142135623730953</v>
      </c>
      <c r="CQ4805" s="242" t="s">
        <v>164</v>
      </c>
      <c r="CR4805" s="242">
        <f>CM4805/100*(100*100*CH4805*0.25)</f>
        <v>62.462499999999999</v>
      </c>
      <c r="CS4805" s="242">
        <f>CN4805/100*(100*100*CI4805*0.25)</f>
        <v>74.700000000000017</v>
      </c>
      <c r="CT4805" s="242">
        <f>CO4805/100*(100*100*CH4805*0.25)</f>
        <v>13.947681258904648</v>
      </c>
      <c r="CU4805" s="242">
        <f>CP4805/100*(100*100*CI4805*0.25)</f>
        <v>4.4017397128862594</v>
      </c>
      <c r="CV4805" s="242" t="s">
        <v>5151</v>
      </c>
      <c r="CW4805" s="242">
        <f>(CR4805-CR4801)*1000/12</f>
        <v>-547.91666666666754</v>
      </c>
      <c r="CX4805" s="242">
        <f>(CS4805-CS4801)*1000/12</f>
        <v>-518.75000000000068</v>
      </c>
      <c r="CY4805" s="242"/>
      <c r="CZ4805" s="242"/>
      <c r="DA4805" s="67" t="s">
        <v>5443</v>
      </c>
      <c r="DB4805" s="67"/>
      <c r="DC4805" s="67"/>
      <c r="DD4805" s="67"/>
      <c r="DE4805" s="67"/>
      <c r="DF4805" s="67"/>
      <c r="DG4805" s="67"/>
      <c r="DH4805" s="67"/>
      <c r="DI4805" s="67"/>
      <c r="DJ4805" s="67"/>
      <c r="DK4805" s="67"/>
      <c r="DL4805" s="67"/>
      <c r="DM4805" s="67"/>
      <c r="DN4805" s="67"/>
      <c r="DO4805" s="67"/>
      <c r="DP4805" s="67"/>
      <c r="DQ4805" s="166"/>
      <c r="DR4805" s="166"/>
      <c r="DS4805" s="163"/>
      <c r="DT4805" s="163"/>
      <c r="DU4805" s="67"/>
      <c r="DV4805" s="67"/>
      <c r="DW4805" s="67"/>
      <c r="DX4805" s="67"/>
      <c r="DY4805" s="67"/>
      <c r="DZ4805" s="67"/>
      <c r="EA4805" s="67"/>
      <c r="EB4805" s="67"/>
      <c r="EC4805" s="67"/>
      <c r="ED4805" s="67"/>
      <c r="EE4805" s="67"/>
      <c r="EF4805" s="67"/>
      <c r="EG4805" s="67"/>
      <c r="EH4805" s="67"/>
      <c r="EI4805" s="67"/>
      <c r="EJ4805" s="67"/>
      <c r="EK4805" s="94"/>
      <c r="EL4805" s="94"/>
      <c r="EM4805" s="67"/>
      <c r="EN4805" s="67"/>
      <c r="EO4805" s="67"/>
      <c r="EP4805" s="67"/>
      <c r="EQ4805" s="67"/>
      <c r="ER4805" s="67"/>
      <c r="ES4805" s="67"/>
      <c r="ET4805" s="67"/>
      <c r="EU4805" s="67"/>
      <c r="EV4805" s="67"/>
      <c r="EW4805" s="67"/>
      <c r="EX4805" s="67"/>
      <c r="EY4805" s="67"/>
      <c r="EZ4805" s="67"/>
      <c r="FA4805" s="67"/>
      <c r="FB4805" s="67"/>
      <c r="FC4805" s="67"/>
      <c r="FD4805" s="67"/>
      <c r="FE4805" s="67"/>
      <c r="FF4805" s="67"/>
      <c r="FG4805" s="67"/>
      <c r="FH4805" s="67"/>
      <c r="FI4805" s="67"/>
      <c r="FJ4805" s="67"/>
      <c r="FK4805" s="67"/>
      <c r="FL4805" s="67"/>
      <c r="FM4805" s="67"/>
      <c r="FN4805" s="67"/>
      <c r="FO4805" s="67"/>
      <c r="FP4805" s="67"/>
      <c r="FQ4805" s="67"/>
      <c r="FR4805" s="67"/>
      <c r="FS4805" s="67"/>
      <c r="FT4805" s="67"/>
      <c r="FU4805" s="67"/>
      <c r="FV4805" s="67"/>
      <c r="FW4805" s="67"/>
      <c r="FX4805" s="67"/>
      <c r="FY4805" s="67"/>
      <c r="FZ4805" s="67"/>
      <c r="GA4805" s="67"/>
      <c r="GB4805" s="67"/>
      <c r="GC4805" s="67"/>
      <c r="GD4805" s="67"/>
      <c r="GE4805" s="67"/>
      <c r="GF4805" s="67"/>
      <c r="GG4805" s="67"/>
      <c r="GH4805" s="67"/>
      <c r="GI4805" s="67"/>
      <c r="GJ4805" s="67"/>
      <c r="GK4805" s="67"/>
      <c r="GL4805" s="67"/>
      <c r="GM4805" s="67"/>
      <c r="GN4805" s="292"/>
      <c r="GO4805" s="292"/>
      <c r="GP4805" s="292" t="s">
        <v>7494</v>
      </c>
      <c r="GQ4805" s="67"/>
      <c r="GR4805" s="67"/>
      <c r="GS4805" s="67"/>
      <c r="GT4805" s="67"/>
      <c r="GU4805" s="67"/>
      <c r="GV4805" s="67"/>
      <c r="GW4805" s="67"/>
      <c r="GX4805" s="67"/>
      <c r="GY4805" s="67"/>
      <c r="GZ4805" s="67"/>
      <c r="HA4805" s="67"/>
      <c r="HB4805" s="67"/>
      <c r="HC4805" s="67"/>
      <c r="HD4805" s="67"/>
      <c r="HE4805" s="67"/>
      <c r="HF4805" s="67"/>
      <c r="HG4805" s="67"/>
      <c r="HH4805" s="67"/>
      <c r="HI4805" s="67"/>
      <c r="HJ4805" s="67"/>
      <c r="HK4805" s="67"/>
      <c r="HL4805" s="67"/>
      <c r="HM4805" s="67"/>
      <c r="HN4805" s="67"/>
      <c r="HO4805" s="67"/>
      <c r="HP4805" s="67"/>
      <c r="HQ4805" s="67"/>
      <c r="HR4805" s="67"/>
      <c r="HS4805" s="67">
        <v>1.18</v>
      </c>
      <c r="HT4805" s="67">
        <v>1.23</v>
      </c>
      <c r="HU4805" s="67">
        <f>SQRT(2)*0.22</f>
        <v>0.31112698372208092</v>
      </c>
      <c r="HV4805" s="67">
        <f>SQRT(2)*0.21</f>
        <v>0.29698484809834996</v>
      </c>
      <c r="HW4805" s="67" t="s">
        <v>5659</v>
      </c>
      <c r="HX4805" s="67"/>
      <c r="HY4805" s="67"/>
      <c r="HZ4805" s="67"/>
      <c r="IA4805" s="67"/>
      <c r="IB4805" s="67"/>
      <c r="IC4805" s="67">
        <v>16</v>
      </c>
      <c r="ID4805" s="67">
        <v>17</v>
      </c>
      <c r="IE4805" s="67">
        <f>SQRT(2)*3</f>
        <v>4.2426406871192857</v>
      </c>
      <c r="IF4805" s="67">
        <f>SQRT(2)*1</f>
        <v>1.4142135623730951</v>
      </c>
      <c r="IG4805" s="67" t="s">
        <v>5658</v>
      </c>
      <c r="IH4805" s="67"/>
      <c r="II4805" s="67"/>
      <c r="IJ4805" s="67"/>
      <c r="IK4805" s="67"/>
      <c r="IL4805" s="67"/>
      <c r="IM4805" s="67"/>
      <c r="IN4805" s="67"/>
      <c r="IO4805" s="67"/>
      <c r="IP4805" s="67"/>
      <c r="IQ4805" s="67"/>
      <c r="IR4805" s="67"/>
      <c r="IS4805" s="67"/>
      <c r="IT4805" s="67"/>
      <c r="IU4805" s="67"/>
      <c r="IV4805" s="67"/>
      <c r="IW4805" s="67"/>
      <c r="IX4805" s="67"/>
      <c r="IY4805" s="67"/>
      <c r="IZ4805" s="67"/>
      <c r="JA4805" s="67"/>
      <c r="JB4805" s="67"/>
      <c r="JC4805" s="67"/>
      <c r="JD4805" s="67"/>
      <c r="JE4805" s="67"/>
      <c r="JF4805" s="67"/>
      <c r="JG4805" s="67"/>
      <c r="JH4805" s="67"/>
      <c r="JI4805" s="67"/>
      <c r="JJ4805" s="67"/>
      <c r="JK4805" s="67"/>
      <c r="JL4805" s="67">
        <v>36</v>
      </c>
      <c r="JM4805" s="67">
        <v>39</v>
      </c>
      <c r="JN4805" s="67">
        <f>4*SQRT(2)</f>
        <v>5.6568542494923806</v>
      </c>
      <c r="JO4805" s="67">
        <f>3*SQRT(2)</f>
        <v>4.2426406871192857</v>
      </c>
      <c r="JP4805" s="67" t="s">
        <v>3072</v>
      </c>
      <c r="JQ4805" s="67"/>
      <c r="JR4805" s="67"/>
      <c r="JS4805" s="67"/>
      <c r="JT4805" s="67"/>
      <c r="JU4805" s="58"/>
      <c r="JV4805" s="58"/>
      <c r="JW4805" s="58"/>
    </row>
    <row r="4806" spans="1:283" s="23" customFormat="1" x14ac:dyDescent="0.25">
      <c r="A4806" s="55">
        <v>4805</v>
      </c>
      <c r="B4806" s="12" t="s">
        <v>7067</v>
      </c>
      <c r="C4806" s="156">
        <v>215</v>
      </c>
      <c r="D4806" s="58" t="s">
        <v>4888</v>
      </c>
      <c r="E4806" s="160" t="str">
        <f>G4806</f>
        <v>Chirinda et al. 2010_Foulum 2</v>
      </c>
      <c r="F4806" s="160"/>
      <c r="G4806" s="60" t="s">
        <v>4839</v>
      </c>
      <c r="H4806" s="58">
        <v>2010</v>
      </c>
      <c r="I4806" s="58">
        <v>2008</v>
      </c>
      <c r="J4806" s="243" t="s">
        <v>198</v>
      </c>
      <c r="K4806" s="63" t="s">
        <v>5126</v>
      </c>
      <c r="L4806" s="58" t="s">
        <v>2743</v>
      </c>
      <c r="M4806" s="94">
        <f>56.5</f>
        <v>56.5</v>
      </c>
      <c r="N4806" s="94">
        <f>9+34/60</f>
        <v>9.5666666666666664</v>
      </c>
      <c r="O4806" s="94">
        <v>24</v>
      </c>
      <c r="P4806" s="58"/>
      <c r="Q4806" s="244">
        <v>7.3</v>
      </c>
      <c r="R4806" s="58"/>
      <c r="S4806" s="245">
        <v>704</v>
      </c>
      <c r="T4806" s="58"/>
      <c r="U4806" s="58" t="s">
        <v>1889</v>
      </c>
      <c r="V4806" s="244">
        <v>12</v>
      </c>
      <c r="W4806" s="174"/>
      <c r="X4806" s="174"/>
      <c r="Y4806" s="58" t="s">
        <v>5352</v>
      </c>
      <c r="Z4806" s="244" t="s">
        <v>1367</v>
      </c>
      <c r="AA4806" s="245">
        <v>25</v>
      </c>
      <c r="AB4806" s="67"/>
      <c r="AC4806" s="67"/>
      <c r="AD4806" s="94">
        <v>1.35</v>
      </c>
      <c r="AE4806" s="94">
        <v>78</v>
      </c>
      <c r="AF4806" s="94">
        <v>13</v>
      </c>
      <c r="AG4806" s="245">
        <v>9</v>
      </c>
      <c r="AH4806" s="58" t="s">
        <v>238</v>
      </c>
      <c r="AI4806" s="169">
        <v>6.5</v>
      </c>
      <c r="AJ4806" s="94">
        <v>2.2999999999999998</v>
      </c>
      <c r="AK4806" s="94"/>
      <c r="AL4806" s="58"/>
      <c r="AM4806" s="58" t="s">
        <v>1291</v>
      </c>
      <c r="AN4806" s="186" t="s">
        <v>5351</v>
      </c>
      <c r="AO4806" s="185" t="s">
        <v>5150</v>
      </c>
      <c r="AP4806" s="58"/>
      <c r="AQ4806" s="58" t="s">
        <v>1546</v>
      </c>
      <c r="AR4806" s="58" t="s">
        <v>5657</v>
      </c>
      <c r="AS4806" s="246" t="s">
        <v>4584</v>
      </c>
      <c r="AT4806" s="247">
        <v>1</v>
      </c>
      <c r="AU4806" s="181" t="s">
        <v>7494</v>
      </c>
      <c r="AV4806" s="185" t="s">
        <v>176</v>
      </c>
      <c r="AW4806" s="244">
        <v>1</v>
      </c>
      <c r="AX4806" s="185" t="s">
        <v>176</v>
      </c>
      <c r="AY4806" s="244" t="s">
        <v>176</v>
      </c>
      <c r="AZ4806" s="58"/>
      <c r="BA4806" s="58"/>
      <c r="BB4806" s="58"/>
      <c r="BC4806" s="58"/>
      <c r="BD4806" s="58"/>
      <c r="BE4806" s="236" t="s">
        <v>5158</v>
      </c>
      <c r="BF4806" s="58" t="s">
        <v>479</v>
      </c>
      <c r="BG4806" s="58" t="s">
        <v>479</v>
      </c>
      <c r="BH4806" s="236" t="s">
        <v>5231</v>
      </c>
      <c r="BI4806" s="58" t="s">
        <v>479</v>
      </c>
      <c r="BJ4806" s="58" t="str">
        <f>IF(BE4806=BH4806,"No","yes")</f>
        <v>yes</v>
      </c>
      <c r="BK4806" s="58" t="s">
        <v>6335</v>
      </c>
      <c r="BL4806" s="58"/>
      <c r="BM4806" s="237" t="s">
        <v>160</v>
      </c>
      <c r="BN4806" s="244">
        <v>2</v>
      </c>
      <c r="BO4806" s="244">
        <v>2</v>
      </c>
      <c r="BP4806" s="58"/>
      <c r="BQ4806" s="58"/>
      <c r="BR4806" s="58"/>
      <c r="BS4806" s="58"/>
      <c r="BT4806" s="58"/>
      <c r="BU4806" s="58"/>
      <c r="BV4806" s="58"/>
      <c r="BW4806" s="67"/>
      <c r="BX4806" s="67"/>
      <c r="BY4806" s="67"/>
      <c r="BZ4806" s="67"/>
      <c r="CA4806" s="67"/>
      <c r="CB4806" s="70">
        <v>5500</v>
      </c>
      <c r="CC4806" s="70">
        <v>4500</v>
      </c>
      <c r="CD4806" s="70"/>
      <c r="CE4806" s="67">
        <f>SQRT(2)*100</f>
        <v>141.42135623730951</v>
      </c>
      <c r="CF4806" s="67">
        <f>SQRT(2)*100</f>
        <v>141.42135623730951</v>
      </c>
      <c r="CG4806" s="67"/>
      <c r="CH4806" s="245">
        <v>1.3149999999999999</v>
      </c>
      <c r="CI4806" s="245">
        <v>1.2665</v>
      </c>
      <c r="CJ4806" s="67">
        <v>0.12727922061357855</v>
      </c>
      <c r="CK4806" s="67">
        <v>7.0710678118654766E-2</v>
      </c>
      <c r="CL4806" s="67"/>
      <c r="CM4806" s="242">
        <v>1.9</v>
      </c>
      <c r="CN4806" s="242">
        <v>2.2999999999999998</v>
      </c>
      <c r="CO4806" s="242">
        <f>0.3*SQRT(2)</f>
        <v>0.42426406871192851</v>
      </c>
      <c r="CP4806" s="242">
        <f>0.2*SQRT(2)</f>
        <v>0.28284271247461906</v>
      </c>
      <c r="CQ4806" s="242" t="s">
        <v>164</v>
      </c>
      <c r="CR4806" s="242">
        <f>CM4806/100*(100*100*CH4806*0.25)</f>
        <v>62.462499999999999</v>
      </c>
      <c r="CS4806" s="242">
        <f>CN4806/100*(100*100*CI4806*0.25)</f>
        <v>72.823750000000004</v>
      </c>
      <c r="CT4806" s="242">
        <f>CO4806/100*(100*100*CH4806*0.25)</f>
        <v>13.947681258904648</v>
      </c>
      <c r="CU4806" s="242">
        <f>CP4806/100*(100*100*CI4806*0.25)</f>
        <v>8.9555073837276264</v>
      </c>
      <c r="CV4806" s="242" t="s">
        <v>5151</v>
      </c>
      <c r="CW4806" s="242">
        <f>(CR4806-CR4802)*1000/12</f>
        <v>-547.91666666666754</v>
      </c>
      <c r="CX4806" s="242">
        <f>(CS4806-CS4802)*1000/12</f>
        <v>-263.85416666666589</v>
      </c>
      <c r="CY4806" s="242"/>
      <c r="CZ4806" s="242"/>
      <c r="DA4806" s="67" t="s">
        <v>5443</v>
      </c>
      <c r="DB4806" s="67"/>
      <c r="DC4806" s="67"/>
      <c r="DD4806" s="67"/>
      <c r="DE4806" s="67"/>
      <c r="DF4806" s="67"/>
      <c r="DG4806" s="67"/>
      <c r="DH4806" s="67"/>
      <c r="DI4806" s="67"/>
      <c r="DJ4806" s="67"/>
      <c r="DK4806" s="67"/>
      <c r="DL4806" s="67"/>
      <c r="DM4806" s="67"/>
      <c r="DN4806" s="67"/>
      <c r="DO4806" s="67"/>
      <c r="DP4806" s="67"/>
      <c r="DQ4806" s="166"/>
      <c r="DR4806" s="166"/>
      <c r="DS4806" s="163"/>
      <c r="DT4806" s="163"/>
      <c r="DU4806" s="67"/>
      <c r="DV4806" s="67"/>
      <c r="DW4806" s="67"/>
      <c r="DX4806" s="67"/>
      <c r="DY4806" s="67"/>
      <c r="DZ4806" s="67"/>
      <c r="EA4806" s="67"/>
      <c r="EB4806" s="67"/>
      <c r="EC4806" s="67"/>
      <c r="ED4806" s="67"/>
      <c r="EE4806" s="67"/>
      <c r="EF4806" s="67"/>
      <c r="EG4806" s="67"/>
      <c r="EH4806" s="67"/>
      <c r="EI4806" s="67"/>
      <c r="EJ4806" s="67"/>
      <c r="EK4806" s="94"/>
      <c r="EL4806" s="94"/>
      <c r="EM4806" s="67"/>
      <c r="EN4806" s="67"/>
      <c r="EO4806" s="67"/>
      <c r="EP4806" s="67"/>
      <c r="EQ4806" s="67"/>
      <c r="ER4806" s="67"/>
      <c r="ES4806" s="67"/>
      <c r="ET4806" s="67"/>
      <c r="EU4806" s="67"/>
      <c r="EV4806" s="67"/>
      <c r="EW4806" s="67"/>
      <c r="EX4806" s="67"/>
      <c r="EY4806" s="67"/>
      <c r="EZ4806" s="67"/>
      <c r="FA4806" s="67"/>
      <c r="FB4806" s="67"/>
      <c r="FC4806" s="67"/>
      <c r="FD4806" s="67"/>
      <c r="FE4806" s="67"/>
      <c r="FF4806" s="67"/>
      <c r="FG4806" s="67"/>
      <c r="FH4806" s="67"/>
      <c r="FI4806" s="67"/>
      <c r="FJ4806" s="67"/>
      <c r="FK4806" s="67"/>
      <c r="FL4806" s="67"/>
      <c r="FM4806" s="67"/>
      <c r="FN4806" s="67"/>
      <c r="FO4806" s="67"/>
      <c r="FP4806" s="67"/>
      <c r="FQ4806" s="67"/>
      <c r="FR4806" s="67"/>
      <c r="FS4806" s="67"/>
      <c r="FT4806" s="67"/>
      <c r="FU4806" s="67"/>
      <c r="FV4806" s="67"/>
      <c r="FW4806" s="67"/>
      <c r="FX4806" s="67"/>
      <c r="FY4806" s="67"/>
      <c r="FZ4806" s="67"/>
      <c r="GA4806" s="67"/>
      <c r="GB4806" s="67"/>
      <c r="GC4806" s="67"/>
      <c r="GD4806" s="67"/>
      <c r="GE4806" s="67"/>
      <c r="GF4806" s="67"/>
      <c r="GG4806" s="67"/>
      <c r="GH4806" s="67"/>
      <c r="GI4806" s="67"/>
      <c r="GJ4806" s="67"/>
      <c r="GK4806" s="67"/>
      <c r="GL4806" s="67"/>
      <c r="GM4806" s="67"/>
      <c r="GN4806" s="292"/>
      <c r="GO4806" s="292"/>
      <c r="GP4806" s="292" t="s">
        <v>7494</v>
      </c>
      <c r="GQ4806" s="67"/>
      <c r="GR4806" s="67"/>
      <c r="GS4806" s="67"/>
      <c r="GT4806" s="67"/>
      <c r="GU4806" s="67"/>
      <c r="GV4806" s="67"/>
      <c r="GW4806" s="67"/>
      <c r="GX4806" s="67"/>
      <c r="GY4806" s="67"/>
      <c r="GZ4806" s="67"/>
      <c r="HA4806" s="67"/>
      <c r="HB4806" s="67"/>
      <c r="HC4806" s="67"/>
      <c r="HD4806" s="67"/>
      <c r="HE4806" s="67"/>
      <c r="HF4806" s="67"/>
      <c r="HG4806" s="67"/>
      <c r="HH4806" s="67"/>
      <c r="HI4806" s="67"/>
      <c r="HJ4806" s="67"/>
      <c r="HK4806" s="67"/>
      <c r="HL4806" s="67"/>
      <c r="HM4806" s="67"/>
      <c r="HN4806" s="67"/>
      <c r="HO4806" s="67"/>
      <c r="HP4806" s="67"/>
      <c r="HQ4806" s="67"/>
      <c r="HR4806" s="67"/>
      <c r="HS4806" s="67">
        <v>1.18</v>
      </c>
      <c r="HT4806" s="67">
        <v>1.55</v>
      </c>
      <c r="HU4806" s="67">
        <f>SQRT(2)*0.22</f>
        <v>0.31112698372208092</v>
      </c>
      <c r="HV4806" s="67">
        <f>SQRT(2)*0.03</f>
        <v>4.2426406871192854E-2</v>
      </c>
      <c r="HW4806" s="67" t="s">
        <v>5659</v>
      </c>
      <c r="HX4806" s="67"/>
      <c r="HY4806" s="67"/>
      <c r="HZ4806" s="67"/>
      <c r="IA4806" s="67"/>
      <c r="IB4806" s="67"/>
      <c r="IC4806" s="67">
        <v>16</v>
      </c>
      <c r="ID4806" s="67">
        <v>19</v>
      </c>
      <c r="IE4806" s="67">
        <f>SQRT(2)*3</f>
        <v>4.2426406871192857</v>
      </c>
      <c r="IF4806" s="67">
        <f>SQRT(2)*1</f>
        <v>1.4142135623730951</v>
      </c>
      <c r="IG4806" s="67" t="s">
        <v>5658</v>
      </c>
      <c r="IH4806" s="67"/>
      <c r="II4806" s="67"/>
      <c r="IJ4806" s="67"/>
      <c r="IK4806" s="67"/>
      <c r="IL4806" s="67"/>
      <c r="IM4806" s="67"/>
      <c r="IN4806" s="67"/>
      <c r="IO4806" s="67"/>
      <c r="IP4806" s="67"/>
      <c r="IQ4806" s="67"/>
      <c r="IR4806" s="67"/>
      <c r="IS4806" s="67"/>
      <c r="IT4806" s="67"/>
      <c r="IU4806" s="67"/>
      <c r="IV4806" s="67"/>
      <c r="IW4806" s="67"/>
      <c r="IX4806" s="67"/>
      <c r="IY4806" s="67"/>
      <c r="IZ4806" s="67"/>
      <c r="JA4806" s="67"/>
      <c r="JB4806" s="67"/>
      <c r="JC4806" s="67"/>
      <c r="JD4806" s="67"/>
      <c r="JE4806" s="67"/>
      <c r="JF4806" s="67"/>
      <c r="JG4806" s="67"/>
      <c r="JH4806" s="67"/>
      <c r="JI4806" s="67"/>
      <c r="JJ4806" s="67"/>
      <c r="JK4806" s="67"/>
      <c r="JL4806" s="67">
        <v>36</v>
      </c>
      <c r="JM4806" s="67">
        <v>51</v>
      </c>
      <c r="JN4806" s="67">
        <f>4*SQRT(2)</f>
        <v>5.6568542494923806</v>
      </c>
      <c r="JO4806" s="67">
        <f>1*SQRT(2)</f>
        <v>1.4142135623730951</v>
      </c>
      <c r="JP4806" s="67" t="s">
        <v>3072</v>
      </c>
      <c r="JQ4806" s="67"/>
      <c r="JR4806" s="67"/>
      <c r="JS4806" s="67"/>
      <c r="JT4806" s="67"/>
      <c r="JU4806" s="58"/>
      <c r="JV4806" s="58"/>
      <c r="JW4806" s="58"/>
    </row>
    <row r="4807" spans="1:283" s="23" customFormat="1" x14ac:dyDescent="0.25">
      <c r="A4807" s="55">
        <v>4806</v>
      </c>
      <c r="B4807" s="12" t="s">
        <v>7067</v>
      </c>
      <c r="C4807" s="156">
        <v>215</v>
      </c>
      <c r="D4807" s="58" t="s">
        <v>4889</v>
      </c>
      <c r="E4807" s="160" t="str">
        <f>G4807</f>
        <v>Chirinda et al. 2010_Foulum 3</v>
      </c>
      <c r="F4807" s="160"/>
      <c r="G4807" s="60" t="s">
        <v>4838</v>
      </c>
      <c r="H4807" s="58">
        <v>2010</v>
      </c>
      <c r="I4807" s="58">
        <v>2008</v>
      </c>
      <c r="J4807" s="243" t="s">
        <v>198</v>
      </c>
      <c r="K4807" s="63" t="s">
        <v>5126</v>
      </c>
      <c r="L4807" s="58" t="s">
        <v>2743</v>
      </c>
      <c r="M4807" s="94">
        <f>56.5</f>
        <v>56.5</v>
      </c>
      <c r="N4807" s="94">
        <f>9+34/60</f>
        <v>9.5666666666666664</v>
      </c>
      <c r="O4807" s="94">
        <v>24</v>
      </c>
      <c r="P4807" s="58"/>
      <c r="Q4807" s="244">
        <v>7.3</v>
      </c>
      <c r="R4807" s="58"/>
      <c r="S4807" s="245">
        <v>704</v>
      </c>
      <c r="T4807" s="58"/>
      <c r="U4807" s="58" t="s">
        <v>1889</v>
      </c>
      <c r="V4807" s="244">
        <v>12</v>
      </c>
      <c r="W4807" s="174"/>
      <c r="X4807" s="174"/>
      <c r="Y4807" s="58" t="s">
        <v>5352</v>
      </c>
      <c r="Z4807" s="244" t="s">
        <v>1367</v>
      </c>
      <c r="AA4807" s="245">
        <v>25</v>
      </c>
      <c r="AB4807" s="67"/>
      <c r="AC4807" s="67"/>
      <c r="AD4807" s="94">
        <v>1.35</v>
      </c>
      <c r="AE4807" s="94">
        <v>78</v>
      </c>
      <c r="AF4807" s="94">
        <v>13</v>
      </c>
      <c r="AG4807" s="245">
        <v>9</v>
      </c>
      <c r="AH4807" s="58" t="s">
        <v>238</v>
      </c>
      <c r="AI4807" s="169">
        <v>6.5</v>
      </c>
      <c r="AJ4807" s="94">
        <v>2.2999999999999998</v>
      </c>
      <c r="AK4807" s="94"/>
      <c r="AL4807" s="58"/>
      <c r="AM4807" s="58" t="s">
        <v>1291</v>
      </c>
      <c r="AN4807" s="186" t="s">
        <v>5351</v>
      </c>
      <c r="AO4807" s="185" t="s">
        <v>5150</v>
      </c>
      <c r="AP4807" s="58"/>
      <c r="AQ4807" s="58" t="s">
        <v>1546</v>
      </c>
      <c r="AR4807" s="58" t="s">
        <v>5657</v>
      </c>
      <c r="AS4807" s="246" t="s">
        <v>4584</v>
      </c>
      <c r="AT4807" s="247">
        <v>1</v>
      </c>
      <c r="AU4807" s="181" t="s">
        <v>7494</v>
      </c>
      <c r="AV4807" s="185" t="s">
        <v>176</v>
      </c>
      <c r="AW4807" s="244">
        <v>1</v>
      </c>
      <c r="AX4807" s="185" t="s">
        <v>176</v>
      </c>
      <c r="AY4807" s="244" t="s">
        <v>176</v>
      </c>
      <c r="AZ4807" s="58"/>
      <c r="BA4807" s="58"/>
      <c r="BB4807" s="58"/>
      <c r="BC4807" s="58"/>
      <c r="BD4807" s="58"/>
      <c r="BE4807" s="236" t="s">
        <v>5158</v>
      </c>
      <c r="BF4807" s="58" t="s">
        <v>479</v>
      </c>
      <c r="BG4807" s="58" t="s">
        <v>479</v>
      </c>
      <c r="BH4807" s="236" t="s">
        <v>5232</v>
      </c>
      <c r="BI4807" s="58" t="s">
        <v>479</v>
      </c>
      <c r="BJ4807" s="58" t="str">
        <f>IF(BE4807=BH4807,"No","yes")</f>
        <v>yes</v>
      </c>
      <c r="BK4807" s="58" t="s">
        <v>6335</v>
      </c>
      <c r="BL4807" s="58"/>
      <c r="BM4807" s="237" t="s">
        <v>160</v>
      </c>
      <c r="BN4807" s="244">
        <v>2</v>
      </c>
      <c r="BO4807" s="244">
        <v>2</v>
      </c>
      <c r="BP4807" s="58"/>
      <c r="BQ4807" s="58"/>
      <c r="BR4807" s="58"/>
      <c r="BS4807" s="58"/>
      <c r="BT4807" s="58"/>
      <c r="BU4807" s="58"/>
      <c r="BV4807" s="58"/>
      <c r="BW4807" s="67"/>
      <c r="BX4807" s="67"/>
      <c r="BY4807" s="67"/>
      <c r="BZ4807" s="67"/>
      <c r="CA4807" s="67"/>
      <c r="CB4807" s="70">
        <v>5500</v>
      </c>
      <c r="CC4807" s="70">
        <v>5200</v>
      </c>
      <c r="CD4807" s="70"/>
      <c r="CE4807" s="67">
        <f>SQRT(2)*100</f>
        <v>141.42135623730951</v>
      </c>
      <c r="CF4807" s="67">
        <f>SQRT(2)*200</f>
        <v>282.84271247461902</v>
      </c>
      <c r="CG4807" s="67"/>
      <c r="CH4807" s="245">
        <v>1.3149999999999999</v>
      </c>
      <c r="CI4807" s="245">
        <v>1.2214999999999998</v>
      </c>
      <c r="CJ4807" s="67">
        <v>0.12727922061357855</v>
      </c>
      <c r="CK4807" s="67">
        <v>5.656854249492381E-2</v>
      </c>
      <c r="CL4807" s="67"/>
      <c r="CM4807" s="242">
        <v>1.9</v>
      </c>
      <c r="CN4807" s="242">
        <v>2</v>
      </c>
      <c r="CO4807" s="242">
        <f>0.3*SQRT(2)</f>
        <v>0.42426406871192851</v>
      </c>
      <c r="CP4807" s="242">
        <f>0.3*SQRT(2)</f>
        <v>0.42426406871192851</v>
      </c>
      <c r="CQ4807" s="242" t="s">
        <v>164</v>
      </c>
      <c r="CR4807" s="242">
        <f>CM4807/100*(100*100*CH4807*0.25)</f>
        <v>62.462499999999999</v>
      </c>
      <c r="CS4807" s="242">
        <f>CN4807/100*(100*100*CI4807*0.25)</f>
        <v>61.074999999999989</v>
      </c>
      <c r="CT4807" s="242">
        <f>CO4807/100*(100*100*CH4807*0.25)</f>
        <v>13.947681258904648</v>
      </c>
      <c r="CU4807" s="242">
        <f>CP4807/100*(100*100*CI4807*0.25)</f>
        <v>12.955963998290514</v>
      </c>
      <c r="CV4807" s="242" t="s">
        <v>5151</v>
      </c>
      <c r="CW4807" s="242">
        <f>(CR4807-CR4803)*1000/12</f>
        <v>-547.91666666666754</v>
      </c>
      <c r="CX4807" s="242">
        <f>(CS4807-CS4803)*1000/12</f>
        <v>-763.43749999999966</v>
      </c>
      <c r="CY4807" s="242"/>
      <c r="CZ4807" s="242"/>
      <c r="DA4807" s="67" t="s">
        <v>5443</v>
      </c>
      <c r="DB4807" s="67"/>
      <c r="DC4807" s="67"/>
      <c r="DD4807" s="67"/>
      <c r="DE4807" s="67"/>
      <c r="DF4807" s="67"/>
      <c r="DG4807" s="67"/>
      <c r="DH4807" s="67"/>
      <c r="DI4807" s="67"/>
      <c r="DJ4807" s="67"/>
      <c r="DK4807" s="67"/>
      <c r="DL4807" s="67"/>
      <c r="DM4807" s="67"/>
      <c r="DN4807" s="67"/>
      <c r="DO4807" s="67"/>
      <c r="DP4807" s="67"/>
      <c r="DQ4807" s="166"/>
      <c r="DR4807" s="166"/>
      <c r="DS4807" s="163"/>
      <c r="DT4807" s="163"/>
      <c r="DU4807" s="67"/>
      <c r="DV4807" s="67"/>
      <c r="DW4807" s="67"/>
      <c r="DX4807" s="67"/>
      <c r="DY4807" s="67"/>
      <c r="DZ4807" s="67"/>
      <c r="EA4807" s="67"/>
      <c r="EB4807" s="67"/>
      <c r="EC4807" s="67"/>
      <c r="ED4807" s="67"/>
      <c r="EE4807" s="67"/>
      <c r="EF4807" s="67"/>
      <c r="EG4807" s="67"/>
      <c r="EH4807" s="67"/>
      <c r="EI4807" s="67"/>
      <c r="EJ4807" s="67"/>
      <c r="EK4807" s="94"/>
      <c r="EL4807" s="94"/>
      <c r="EM4807" s="67"/>
      <c r="EN4807" s="67"/>
      <c r="EO4807" s="67"/>
      <c r="EP4807" s="67"/>
      <c r="EQ4807" s="67"/>
      <c r="ER4807" s="67"/>
      <c r="ES4807" s="67"/>
      <c r="ET4807" s="67"/>
      <c r="EU4807" s="67"/>
      <c r="EV4807" s="67"/>
      <c r="EW4807" s="67"/>
      <c r="EX4807" s="67"/>
      <c r="EY4807" s="67"/>
      <c r="EZ4807" s="67"/>
      <c r="FA4807" s="67"/>
      <c r="FB4807" s="67"/>
      <c r="FC4807" s="67"/>
      <c r="FD4807" s="67"/>
      <c r="FE4807" s="67"/>
      <c r="FF4807" s="67"/>
      <c r="FG4807" s="67"/>
      <c r="FH4807" s="67"/>
      <c r="FI4807" s="67"/>
      <c r="FJ4807" s="67"/>
      <c r="FK4807" s="67"/>
      <c r="FL4807" s="67"/>
      <c r="FM4807" s="67"/>
      <c r="FN4807" s="67"/>
      <c r="FO4807" s="67"/>
      <c r="FP4807" s="67"/>
      <c r="FQ4807" s="67"/>
      <c r="FR4807" s="67"/>
      <c r="FS4807" s="67"/>
      <c r="FT4807" s="67"/>
      <c r="FU4807" s="67"/>
      <c r="FV4807" s="67"/>
      <c r="FW4807" s="67"/>
      <c r="FX4807" s="67"/>
      <c r="FY4807" s="67"/>
      <c r="FZ4807" s="67"/>
      <c r="GA4807" s="67"/>
      <c r="GB4807" s="67"/>
      <c r="GC4807" s="67"/>
      <c r="GD4807" s="67"/>
      <c r="GE4807" s="67"/>
      <c r="GF4807" s="67"/>
      <c r="GG4807" s="67"/>
      <c r="GH4807" s="67"/>
      <c r="GI4807" s="67"/>
      <c r="GJ4807" s="67"/>
      <c r="GK4807" s="67"/>
      <c r="GL4807" s="67"/>
      <c r="GM4807" s="67"/>
      <c r="GN4807" s="292"/>
      <c r="GO4807" s="292"/>
      <c r="GP4807" s="292" t="s">
        <v>7494</v>
      </c>
      <c r="GQ4807" s="67"/>
      <c r="GR4807" s="67"/>
      <c r="GS4807" s="67"/>
      <c r="GT4807" s="67"/>
      <c r="GU4807" s="67"/>
      <c r="GV4807" s="67"/>
      <c r="GW4807" s="67"/>
      <c r="GX4807" s="67"/>
      <c r="GY4807" s="67"/>
      <c r="GZ4807" s="67"/>
      <c r="HA4807" s="67"/>
      <c r="HB4807" s="67"/>
      <c r="HC4807" s="67"/>
      <c r="HD4807" s="67"/>
      <c r="HE4807" s="67"/>
      <c r="HF4807" s="67"/>
      <c r="HG4807" s="67"/>
      <c r="HH4807" s="67"/>
      <c r="HI4807" s="67"/>
      <c r="HJ4807" s="67"/>
      <c r="HK4807" s="67"/>
      <c r="HL4807" s="67"/>
      <c r="HM4807" s="67"/>
      <c r="HN4807" s="67"/>
      <c r="HO4807" s="67"/>
      <c r="HP4807" s="67"/>
      <c r="HQ4807" s="67"/>
      <c r="HR4807" s="67"/>
      <c r="HS4807" s="67">
        <v>1.18</v>
      </c>
      <c r="HT4807" s="67">
        <v>1.5</v>
      </c>
      <c r="HU4807" s="67">
        <f>SQRT(2)*0.22</f>
        <v>0.31112698372208092</v>
      </c>
      <c r="HV4807" s="67">
        <f>SQRT(2)*0.3</f>
        <v>0.42426406871192851</v>
      </c>
      <c r="HW4807" s="67" t="s">
        <v>5659</v>
      </c>
      <c r="HX4807" s="67"/>
      <c r="HY4807" s="67"/>
      <c r="HZ4807" s="67"/>
      <c r="IA4807" s="67"/>
      <c r="IB4807" s="67"/>
      <c r="IC4807" s="67">
        <v>16</v>
      </c>
      <c r="ID4807" s="67">
        <v>20</v>
      </c>
      <c r="IE4807" s="67">
        <f>SQRT(2)*3</f>
        <v>4.2426406871192857</v>
      </c>
      <c r="IF4807" s="67">
        <f>SQRT(2)*2</f>
        <v>2.8284271247461903</v>
      </c>
      <c r="IG4807" s="67" t="s">
        <v>5658</v>
      </c>
      <c r="IH4807" s="67"/>
      <c r="II4807" s="67"/>
      <c r="IJ4807" s="67"/>
      <c r="IK4807" s="67"/>
      <c r="IL4807" s="67"/>
      <c r="IM4807" s="67"/>
      <c r="IN4807" s="67"/>
      <c r="IO4807" s="67"/>
      <c r="IP4807" s="67"/>
      <c r="IQ4807" s="67"/>
      <c r="IR4807" s="67"/>
      <c r="IS4807" s="67"/>
      <c r="IT4807" s="67"/>
      <c r="IU4807" s="67"/>
      <c r="IV4807" s="67"/>
      <c r="IW4807" s="67"/>
      <c r="IX4807" s="67"/>
      <c r="IY4807" s="67"/>
      <c r="IZ4807" s="67"/>
      <c r="JA4807" s="67"/>
      <c r="JB4807" s="67"/>
      <c r="JC4807" s="67"/>
      <c r="JD4807" s="67"/>
      <c r="JE4807" s="67"/>
      <c r="JF4807" s="67"/>
      <c r="JG4807" s="67"/>
      <c r="JH4807" s="67"/>
      <c r="JI4807" s="67"/>
      <c r="JJ4807" s="67"/>
      <c r="JK4807" s="67"/>
      <c r="JL4807" s="67">
        <v>36</v>
      </c>
      <c r="JM4807" s="67">
        <v>45</v>
      </c>
      <c r="JN4807" s="67">
        <f>4*SQRT(2)</f>
        <v>5.6568542494923806</v>
      </c>
      <c r="JO4807" s="67">
        <f>4*SQRT(2)</f>
        <v>5.6568542494923806</v>
      </c>
      <c r="JP4807" s="67" t="s">
        <v>3072</v>
      </c>
      <c r="JQ4807" s="67"/>
      <c r="JR4807" s="67"/>
      <c r="JS4807" s="67"/>
      <c r="JT4807" s="67"/>
      <c r="JU4807" s="58"/>
      <c r="JV4807" s="58"/>
      <c r="JW4807" s="58"/>
    </row>
    <row r="4808" spans="1:283" s="23" customFormat="1" x14ac:dyDescent="0.25">
      <c r="A4808" s="55">
        <v>4807</v>
      </c>
      <c r="B4808" s="12" t="s">
        <v>7067</v>
      </c>
      <c r="C4808" s="156">
        <v>215</v>
      </c>
      <c r="D4808" s="58" t="s">
        <v>4890</v>
      </c>
      <c r="E4808" s="160" t="str">
        <f>G4808</f>
        <v>Chirinda et al. 2010_Foulum 3</v>
      </c>
      <c r="F4808" s="160"/>
      <c r="G4808" s="60" t="s">
        <v>4838</v>
      </c>
      <c r="H4808" s="58">
        <v>2010</v>
      </c>
      <c r="I4808" s="58">
        <v>2008</v>
      </c>
      <c r="J4808" s="243" t="s">
        <v>198</v>
      </c>
      <c r="K4808" s="63" t="s">
        <v>5126</v>
      </c>
      <c r="L4808" s="58" t="s">
        <v>2743</v>
      </c>
      <c r="M4808" s="94">
        <f>56.5</f>
        <v>56.5</v>
      </c>
      <c r="N4808" s="94">
        <f>9+34/60</f>
        <v>9.5666666666666664</v>
      </c>
      <c r="O4808" s="94">
        <v>24</v>
      </c>
      <c r="P4808" s="58"/>
      <c r="Q4808" s="244">
        <v>7.3</v>
      </c>
      <c r="R4808" s="58"/>
      <c r="S4808" s="245">
        <v>704</v>
      </c>
      <c r="T4808" s="58"/>
      <c r="U4808" s="58" t="s">
        <v>1889</v>
      </c>
      <c r="V4808" s="244">
        <v>12</v>
      </c>
      <c r="W4808" s="174"/>
      <c r="X4808" s="174"/>
      <c r="Y4808" s="58" t="s">
        <v>5352</v>
      </c>
      <c r="Z4808" s="244" t="s">
        <v>1367</v>
      </c>
      <c r="AA4808" s="245">
        <v>25</v>
      </c>
      <c r="AB4808" s="67"/>
      <c r="AC4808" s="67"/>
      <c r="AD4808" s="94">
        <v>1.35</v>
      </c>
      <c r="AE4808" s="94">
        <v>78</v>
      </c>
      <c r="AF4808" s="94">
        <v>13</v>
      </c>
      <c r="AG4808" s="245">
        <v>9</v>
      </c>
      <c r="AH4808" s="58" t="s">
        <v>238</v>
      </c>
      <c r="AI4808" s="169">
        <v>6.5</v>
      </c>
      <c r="AJ4808" s="94">
        <v>2.2999999999999998</v>
      </c>
      <c r="AK4808" s="94"/>
      <c r="AL4808" s="58"/>
      <c r="AM4808" s="58" t="s">
        <v>1291</v>
      </c>
      <c r="AN4808" s="186" t="s">
        <v>5351</v>
      </c>
      <c r="AO4808" s="185" t="s">
        <v>5150</v>
      </c>
      <c r="AP4808" s="58"/>
      <c r="AQ4808" s="58" t="s">
        <v>1546</v>
      </c>
      <c r="AR4808" s="58" t="s">
        <v>5657</v>
      </c>
      <c r="AS4808" s="246" t="s">
        <v>4584</v>
      </c>
      <c r="AT4808" s="247">
        <v>1</v>
      </c>
      <c r="AU4808" s="181" t="s">
        <v>7494</v>
      </c>
      <c r="AV4808" s="185" t="s">
        <v>176</v>
      </c>
      <c r="AW4808" s="244">
        <v>1</v>
      </c>
      <c r="AX4808" s="185" t="s">
        <v>176</v>
      </c>
      <c r="AY4808" s="244" t="s">
        <v>176</v>
      </c>
      <c r="AZ4808" s="58"/>
      <c r="BA4808" s="58"/>
      <c r="BB4808" s="58"/>
      <c r="BC4808" s="58"/>
      <c r="BD4808" s="58"/>
      <c r="BE4808" s="236" t="s">
        <v>5158</v>
      </c>
      <c r="BF4808" s="58" t="s">
        <v>479</v>
      </c>
      <c r="BG4808" s="58" t="s">
        <v>479</v>
      </c>
      <c r="BH4808" s="236" t="s">
        <v>5232</v>
      </c>
      <c r="BI4808" s="58" t="s">
        <v>479</v>
      </c>
      <c r="BJ4808" s="58" t="str">
        <f>IF(BE4808=BH4808,"No","yes")</f>
        <v>yes</v>
      </c>
      <c r="BK4808" s="58" t="s">
        <v>6335</v>
      </c>
      <c r="BL4808" s="58"/>
      <c r="BM4808" s="237" t="s">
        <v>160</v>
      </c>
      <c r="BN4808" s="244">
        <v>2</v>
      </c>
      <c r="BO4808" s="244">
        <v>2</v>
      </c>
      <c r="BP4808" s="58"/>
      <c r="BQ4808" s="58"/>
      <c r="BR4808" s="58"/>
      <c r="BS4808" s="58"/>
      <c r="BT4808" s="58"/>
      <c r="BU4808" s="58"/>
      <c r="BV4808" s="58"/>
      <c r="BW4808" s="67"/>
      <c r="BX4808" s="67"/>
      <c r="BY4808" s="67"/>
      <c r="BZ4808" s="67"/>
      <c r="CA4808" s="67"/>
      <c r="CB4808" s="70">
        <v>5500</v>
      </c>
      <c r="CC4808" s="70">
        <v>5700</v>
      </c>
      <c r="CD4808" s="70"/>
      <c r="CE4808" s="67">
        <f>SQRT(2)*100</f>
        <v>141.42135623730951</v>
      </c>
      <c r="CF4808" s="67">
        <f>SQRT(2)*300</f>
        <v>424.26406871192853</v>
      </c>
      <c r="CG4808" s="67"/>
      <c r="CH4808" s="245">
        <v>1.3149999999999999</v>
      </c>
      <c r="CI4808" s="245">
        <v>1.2250000000000001</v>
      </c>
      <c r="CJ4808" s="67">
        <v>0.12727922061357855</v>
      </c>
      <c r="CK4808" s="67">
        <v>2.8284271247461905E-2</v>
      </c>
      <c r="CL4808" s="67"/>
      <c r="CM4808" s="242">
        <v>1.9</v>
      </c>
      <c r="CN4808" s="242">
        <v>2.4</v>
      </c>
      <c r="CO4808" s="242">
        <f>0.3*SQRT(2)</f>
        <v>0.42426406871192851</v>
      </c>
      <c r="CP4808" s="242">
        <f>0.1*SQRT(2)</f>
        <v>0.14142135623730953</v>
      </c>
      <c r="CQ4808" s="242" t="s">
        <v>164</v>
      </c>
      <c r="CR4808" s="242">
        <f>CM4808/100*(100*100*CH4808*0.25)</f>
        <v>62.462499999999999</v>
      </c>
      <c r="CS4808" s="242">
        <f>CN4808/100*(100*100*CI4808*0.25)</f>
        <v>73.5</v>
      </c>
      <c r="CT4808" s="242">
        <f>CO4808/100*(100*100*CH4808*0.25)</f>
        <v>13.947681258904648</v>
      </c>
      <c r="CU4808" s="242">
        <f>CP4808/100*(100*100*CI4808*0.25)</f>
        <v>4.3310290347676039</v>
      </c>
      <c r="CV4808" s="242" t="s">
        <v>5151</v>
      </c>
      <c r="CW4808" s="242">
        <f>(CR4808-CR4804)*1000/12</f>
        <v>-547.91666666666754</v>
      </c>
      <c r="CX4808" s="242">
        <f>(CS4808-CS4804)*1000/12</f>
        <v>-255.20833333333334</v>
      </c>
      <c r="CY4808" s="242"/>
      <c r="CZ4808" s="242"/>
      <c r="DA4808" s="67" t="s">
        <v>5443</v>
      </c>
      <c r="DB4808" s="67"/>
      <c r="DC4808" s="67"/>
      <c r="DD4808" s="67"/>
      <c r="DE4808" s="67"/>
      <c r="DF4808" s="67"/>
      <c r="DG4808" s="67"/>
      <c r="DH4808" s="67"/>
      <c r="DI4808" s="67"/>
      <c r="DJ4808" s="67"/>
      <c r="DK4808" s="67"/>
      <c r="DL4808" s="67"/>
      <c r="DM4808" s="67"/>
      <c r="DN4808" s="67"/>
      <c r="DO4808" s="67"/>
      <c r="DP4808" s="67"/>
      <c r="DQ4808" s="166"/>
      <c r="DR4808" s="166"/>
      <c r="DS4808" s="163"/>
      <c r="DT4808" s="163"/>
      <c r="DU4808" s="67"/>
      <c r="DV4808" s="67"/>
      <c r="DW4808" s="67"/>
      <c r="DX4808" s="67"/>
      <c r="DY4808" s="67"/>
      <c r="DZ4808" s="67"/>
      <c r="EA4808" s="67"/>
      <c r="EB4808" s="67"/>
      <c r="EC4808" s="67"/>
      <c r="ED4808" s="67"/>
      <c r="EE4808" s="67"/>
      <c r="EF4808" s="67"/>
      <c r="EG4808" s="67"/>
      <c r="EH4808" s="67"/>
      <c r="EI4808" s="67"/>
      <c r="EJ4808" s="67"/>
      <c r="EK4808" s="94"/>
      <c r="EL4808" s="94"/>
      <c r="EM4808" s="67"/>
      <c r="EN4808" s="67"/>
      <c r="EO4808" s="67"/>
      <c r="EP4808" s="67"/>
      <c r="EQ4808" s="67"/>
      <c r="ER4808" s="67"/>
      <c r="ES4808" s="67"/>
      <c r="ET4808" s="67"/>
      <c r="EU4808" s="67"/>
      <c r="EV4808" s="67"/>
      <c r="EW4808" s="67"/>
      <c r="EX4808" s="67"/>
      <c r="EY4808" s="67"/>
      <c r="EZ4808" s="67"/>
      <c r="FA4808" s="67"/>
      <c r="FB4808" s="67"/>
      <c r="FC4808" s="67"/>
      <c r="FD4808" s="67"/>
      <c r="FE4808" s="67"/>
      <c r="FF4808" s="67"/>
      <c r="FG4808" s="67"/>
      <c r="FH4808" s="67"/>
      <c r="FI4808" s="67"/>
      <c r="FJ4808" s="67"/>
      <c r="FK4808" s="67"/>
      <c r="FL4808" s="67"/>
      <c r="FM4808" s="67"/>
      <c r="FN4808" s="67"/>
      <c r="FO4808" s="67"/>
      <c r="FP4808" s="67"/>
      <c r="FQ4808" s="67"/>
      <c r="FR4808" s="67"/>
      <c r="FS4808" s="67"/>
      <c r="FT4808" s="67"/>
      <c r="FU4808" s="67"/>
      <c r="FV4808" s="67"/>
      <c r="FW4808" s="67"/>
      <c r="FX4808" s="67"/>
      <c r="FY4808" s="67"/>
      <c r="FZ4808" s="67"/>
      <c r="GA4808" s="67"/>
      <c r="GB4808" s="67"/>
      <c r="GC4808" s="67"/>
      <c r="GD4808" s="67"/>
      <c r="GE4808" s="67"/>
      <c r="GF4808" s="67"/>
      <c r="GG4808" s="67"/>
      <c r="GH4808" s="67"/>
      <c r="GI4808" s="67"/>
      <c r="GJ4808" s="67"/>
      <c r="GK4808" s="67"/>
      <c r="GL4808" s="67"/>
      <c r="GM4808" s="67"/>
      <c r="GN4808" s="292"/>
      <c r="GO4808" s="292"/>
      <c r="GP4808" s="292" t="s">
        <v>7494</v>
      </c>
      <c r="GQ4808" s="67"/>
      <c r="GR4808" s="67"/>
      <c r="GS4808" s="67"/>
      <c r="GT4808" s="67"/>
      <c r="GU4808" s="67"/>
      <c r="GV4808" s="67"/>
      <c r="GW4808" s="67"/>
      <c r="GX4808" s="67"/>
      <c r="GY4808" s="67"/>
      <c r="GZ4808" s="67"/>
      <c r="HA4808" s="67"/>
      <c r="HB4808" s="67"/>
      <c r="HC4808" s="67"/>
      <c r="HD4808" s="67"/>
      <c r="HE4808" s="67"/>
      <c r="HF4808" s="67"/>
      <c r="HG4808" s="67"/>
      <c r="HH4808" s="67"/>
      <c r="HI4808" s="67"/>
      <c r="HJ4808" s="67"/>
      <c r="HK4808" s="67"/>
      <c r="HL4808" s="67"/>
      <c r="HM4808" s="67"/>
      <c r="HN4808" s="67"/>
      <c r="HO4808" s="67"/>
      <c r="HP4808" s="67"/>
      <c r="HQ4808" s="67"/>
      <c r="HR4808" s="67"/>
      <c r="HS4808" s="67">
        <v>1.18</v>
      </c>
      <c r="HT4808" s="67">
        <v>1.8</v>
      </c>
      <c r="HU4808" s="67">
        <f>SQRT(2)*0.22</f>
        <v>0.31112698372208092</v>
      </c>
      <c r="HV4808" s="67">
        <f>SQRT(2)*0.46</f>
        <v>0.65053823869162375</v>
      </c>
      <c r="HW4808" s="67" t="s">
        <v>5659</v>
      </c>
      <c r="HX4808" s="67"/>
      <c r="HY4808" s="67"/>
      <c r="HZ4808" s="67"/>
      <c r="IA4808" s="67"/>
      <c r="IB4808" s="67"/>
      <c r="IC4808" s="67">
        <v>16</v>
      </c>
      <c r="ID4808" s="67">
        <v>24</v>
      </c>
      <c r="IE4808" s="67">
        <f>SQRT(2)*3</f>
        <v>4.2426406871192857</v>
      </c>
      <c r="IF4808" s="67">
        <f>SQRT(2)*2</f>
        <v>2.8284271247461903</v>
      </c>
      <c r="IG4808" s="67" t="s">
        <v>5658</v>
      </c>
      <c r="IH4808" s="67"/>
      <c r="II4808" s="67"/>
      <c r="IJ4808" s="67"/>
      <c r="IK4808" s="67"/>
      <c r="IL4808" s="67"/>
      <c r="IM4808" s="67"/>
      <c r="IN4808" s="67"/>
      <c r="IO4808" s="67"/>
      <c r="IP4808" s="67"/>
      <c r="IQ4808" s="67"/>
      <c r="IR4808" s="67"/>
      <c r="IS4808" s="67"/>
      <c r="IT4808" s="67"/>
      <c r="IU4808" s="67"/>
      <c r="IV4808" s="67"/>
      <c r="IW4808" s="67"/>
      <c r="IX4808" s="67"/>
      <c r="IY4808" s="67"/>
      <c r="IZ4808" s="67"/>
      <c r="JA4808" s="67"/>
      <c r="JB4808" s="67"/>
      <c r="JC4808" s="67"/>
      <c r="JD4808" s="67"/>
      <c r="JE4808" s="67"/>
      <c r="JF4808" s="67"/>
      <c r="JG4808" s="67"/>
      <c r="JH4808" s="67"/>
      <c r="JI4808" s="67"/>
      <c r="JJ4808" s="67"/>
      <c r="JK4808" s="67"/>
      <c r="JL4808" s="67">
        <v>36</v>
      </c>
      <c r="JM4808" s="67">
        <v>53</v>
      </c>
      <c r="JN4808" s="67">
        <f>4*SQRT(2)</f>
        <v>5.6568542494923806</v>
      </c>
      <c r="JO4808" s="67">
        <f>2*SQRT(2)</f>
        <v>2.8284271247461903</v>
      </c>
      <c r="JP4808" s="67" t="s">
        <v>3072</v>
      </c>
      <c r="JQ4808" s="67"/>
      <c r="JR4808" s="67"/>
      <c r="JS4808" s="67"/>
      <c r="JT4808" s="67"/>
      <c r="JU4808" s="58"/>
      <c r="JV4808" s="58"/>
      <c r="JW4808" s="58"/>
    </row>
    <row r="4809" spans="1:283" s="23" customFormat="1" x14ac:dyDescent="0.25">
      <c r="A4809" s="55">
        <v>4808</v>
      </c>
      <c r="B4809" s="12" t="s">
        <v>7067</v>
      </c>
      <c r="C4809" s="156">
        <v>215</v>
      </c>
      <c r="D4809" s="58" t="s">
        <v>4887</v>
      </c>
      <c r="E4809" s="160" t="str">
        <f>G4809</f>
        <v>Chirinda et al. 2010_Foulum 1</v>
      </c>
      <c r="F4809" s="160"/>
      <c r="G4809" s="60" t="s">
        <v>4840</v>
      </c>
      <c r="H4809" s="58">
        <v>2010</v>
      </c>
      <c r="I4809" s="58" t="s">
        <v>3181</v>
      </c>
      <c r="J4809" s="243" t="s">
        <v>198</v>
      </c>
      <c r="K4809" s="63" t="s">
        <v>5126</v>
      </c>
      <c r="L4809" s="58" t="s">
        <v>2743</v>
      </c>
      <c r="M4809" s="94">
        <f>56.5</f>
        <v>56.5</v>
      </c>
      <c r="N4809" s="94">
        <f>9+34/60</f>
        <v>9.5666666666666664</v>
      </c>
      <c r="O4809" s="94">
        <v>24</v>
      </c>
      <c r="P4809" s="58"/>
      <c r="Q4809" s="244">
        <v>7.3</v>
      </c>
      <c r="R4809" s="58"/>
      <c r="S4809" s="245">
        <v>704</v>
      </c>
      <c r="T4809" s="58"/>
      <c r="U4809" s="58" t="s">
        <v>1935</v>
      </c>
      <c r="V4809" s="244">
        <v>12</v>
      </c>
      <c r="W4809" s="174"/>
      <c r="X4809" s="174"/>
      <c r="Y4809" s="58" t="s">
        <v>5352</v>
      </c>
      <c r="Z4809" s="244" t="s">
        <v>1367</v>
      </c>
      <c r="AA4809" s="245">
        <v>25</v>
      </c>
      <c r="AB4809" s="67"/>
      <c r="AC4809" s="67"/>
      <c r="AD4809" s="94">
        <v>1.35</v>
      </c>
      <c r="AE4809" s="94">
        <v>78</v>
      </c>
      <c r="AF4809" s="94">
        <v>13</v>
      </c>
      <c r="AG4809" s="245">
        <v>9</v>
      </c>
      <c r="AH4809" s="58" t="s">
        <v>238</v>
      </c>
      <c r="AI4809" s="169">
        <v>6.5</v>
      </c>
      <c r="AJ4809" s="94">
        <v>2.2999999999999998</v>
      </c>
      <c r="AK4809" s="94"/>
      <c r="AL4809" s="58"/>
      <c r="AM4809" s="58" t="s">
        <v>1291</v>
      </c>
      <c r="AN4809" s="186" t="s">
        <v>176</v>
      </c>
      <c r="AO4809" s="185" t="s">
        <v>5150</v>
      </c>
      <c r="AP4809" s="58"/>
      <c r="AQ4809" s="58" t="s">
        <v>176</v>
      </c>
      <c r="AR4809" s="58" t="s">
        <v>5657</v>
      </c>
      <c r="AS4809" s="246" t="s">
        <v>4584</v>
      </c>
      <c r="AT4809" s="247">
        <v>1</v>
      </c>
      <c r="AU4809" s="181" t="s">
        <v>7494</v>
      </c>
      <c r="AV4809" s="185" t="s">
        <v>176</v>
      </c>
      <c r="AW4809" s="244">
        <v>1</v>
      </c>
      <c r="AX4809" s="185" t="s">
        <v>176</v>
      </c>
      <c r="AY4809" s="244" t="s">
        <v>176</v>
      </c>
      <c r="AZ4809" s="58"/>
      <c r="BA4809" s="58"/>
      <c r="BB4809" s="58"/>
      <c r="BC4809" s="58"/>
      <c r="BD4809" s="58"/>
      <c r="BE4809" s="236" t="s">
        <v>5158</v>
      </c>
      <c r="BF4809" s="58" t="s">
        <v>479</v>
      </c>
      <c r="BG4809" s="58" t="s">
        <v>479</v>
      </c>
      <c r="BH4809" s="236" t="s">
        <v>5231</v>
      </c>
      <c r="BI4809" s="58" t="s">
        <v>479</v>
      </c>
      <c r="BJ4809" s="58" t="str">
        <f>IF(BE4809=BH4809,"No","yes")</f>
        <v>yes</v>
      </c>
      <c r="BK4809" s="58" t="s">
        <v>6334</v>
      </c>
      <c r="BL4809" s="58"/>
      <c r="BM4809" s="237" t="s">
        <v>160</v>
      </c>
      <c r="BN4809" s="244">
        <v>2</v>
      </c>
      <c r="BO4809" s="244">
        <v>2</v>
      </c>
      <c r="BP4809" s="58"/>
      <c r="BQ4809" s="58"/>
      <c r="BR4809" s="58"/>
      <c r="BS4809" s="58"/>
      <c r="BT4809" s="58"/>
      <c r="BU4809" s="58"/>
      <c r="BV4809" s="58"/>
      <c r="BW4809" s="67"/>
      <c r="BX4809" s="67"/>
      <c r="BY4809" s="67"/>
      <c r="BZ4809" s="67"/>
      <c r="CA4809" s="67"/>
      <c r="CB4809" s="70"/>
      <c r="CC4809" s="70"/>
      <c r="CD4809" s="70"/>
      <c r="CE4809" s="67"/>
      <c r="CF4809" s="67"/>
      <c r="CG4809" s="67"/>
      <c r="CH4809" s="245"/>
      <c r="CI4809" s="245"/>
      <c r="CJ4809" s="67"/>
      <c r="CK4809" s="67"/>
      <c r="CL4809" s="67"/>
      <c r="CM4809" s="242"/>
      <c r="CN4809" s="242"/>
      <c r="CO4809" s="242"/>
      <c r="CP4809" s="242"/>
      <c r="CQ4809" s="242" t="s">
        <v>164</v>
      </c>
      <c r="CR4809" s="242"/>
      <c r="CS4809" s="242"/>
      <c r="CT4809" s="242"/>
      <c r="CU4809" s="242"/>
      <c r="CV4809" s="242"/>
      <c r="CW4809" s="242"/>
      <c r="CX4809" s="242"/>
      <c r="CY4809" s="242"/>
      <c r="CZ4809" s="242"/>
      <c r="DA4809" s="67"/>
      <c r="DB4809" s="67"/>
      <c r="DC4809" s="67"/>
      <c r="DD4809" s="67"/>
      <c r="DE4809" s="67"/>
      <c r="DF4809" s="67"/>
      <c r="DG4809" s="67"/>
      <c r="DH4809" s="67"/>
      <c r="DI4809" s="67"/>
      <c r="DJ4809" s="67"/>
      <c r="DK4809" s="67"/>
      <c r="DL4809" s="67"/>
      <c r="DM4809" s="67"/>
      <c r="DN4809" s="67"/>
      <c r="DO4809" s="67"/>
      <c r="DP4809" s="67"/>
      <c r="DQ4809" s="166"/>
      <c r="DR4809" s="166"/>
      <c r="DS4809" s="163"/>
      <c r="DT4809" s="163"/>
      <c r="DU4809" s="67"/>
      <c r="DV4809" s="67"/>
      <c r="DW4809" s="67"/>
      <c r="DX4809" s="67"/>
      <c r="DY4809" s="67"/>
      <c r="DZ4809" s="67"/>
      <c r="EA4809" s="67"/>
      <c r="EB4809" s="67"/>
      <c r="EC4809" s="67"/>
      <c r="ED4809" s="67"/>
      <c r="EE4809" s="67"/>
      <c r="EF4809" s="67"/>
      <c r="EG4809" s="67"/>
      <c r="EH4809" s="67"/>
      <c r="EI4809" s="67"/>
      <c r="EJ4809" s="67"/>
      <c r="EK4809" s="94"/>
      <c r="EL4809" s="94"/>
      <c r="EM4809" s="67"/>
      <c r="EN4809" s="67"/>
      <c r="EO4809" s="67"/>
      <c r="EP4809" s="67"/>
      <c r="EQ4809" s="67"/>
      <c r="ER4809" s="67"/>
      <c r="ES4809" s="67"/>
      <c r="ET4809" s="67"/>
      <c r="EU4809" s="67"/>
      <c r="EV4809" s="67"/>
      <c r="EW4809" s="67"/>
      <c r="EX4809" s="67"/>
      <c r="EY4809" s="67"/>
      <c r="EZ4809" s="67"/>
      <c r="FA4809" s="67"/>
      <c r="FB4809" s="67"/>
      <c r="FC4809" s="67"/>
      <c r="FD4809" s="67"/>
      <c r="FE4809" s="67"/>
      <c r="FF4809" s="67"/>
      <c r="FG4809" s="67"/>
      <c r="FH4809" s="67"/>
      <c r="FI4809" s="67"/>
      <c r="FJ4809" s="67"/>
      <c r="FK4809" s="67"/>
      <c r="FL4809" s="67"/>
      <c r="FM4809" s="67"/>
      <c r="FN4809" s="67"/>
      <c r="FO4809" s="67"/>
      <c r="FP4809" s="67"/>
      <c r="FQ4809" s="67"/>
      <c r="FR4809" s="67"/>
      <c r="FS4809" s="67"/>
      <c r="FT4809" s="67"/>
      <c r="FU4809" s="67"/>
      <c r="FV4809" s="67"/>
      <c r="FW4809" s="67"/>
      <c r="FX4809" s="67"/>
      <c r="FY4809" s="67"/>
      <c r="FZ4809" s="67"/>
      <c r="GA4809" s="67"/>
      <c r="GB4809" s="67"/>
      <c r="GC4809" s="67"/>
      <c r="GD4809" s="67"/>
      <c r="GE4809" s="67"/>
      <c r="GF4809" s="67"/>
      <c r="GG4809" s="67"/>
      <c r="GH4809" s="67"/>
      <c r="GI4809" s="67"/>
      <c r="GJ4809" s="67"/>
      <c r="GK4809" s="67"/>
      <c r="GL4809" s="67"/>
      <c r="GM4809" s="67"/>
      <c r="GN4809" s="292"/>
      <c r="GO4809" s="292"/>
      <c r="GP4809" s="292" t="s">
        <v>7494</v>
      </c>
      <c r="GQ4809" s="67"/>
      <c r="GR4809" s="67"/>
      <c r="GS4809" s="67"/>
      <c r="GT4809" s="67"/>
      <c r="GU4809" s="67"/>
      <c r="GV4809" s="67"/>
      <c r="GW4809" s="67"/>
      <c r="GX4809" s="67"/>
      <c r="GY4809" s="67"/>
      <c r="GZ4809" s="67"/>
      <c r="HA4809" s="67"/>
      <c r="HB4809" s="67"/>
      <c r="HC4809" s="67"/>
      <c r="HD4809" s="67"/>
      <c r="HE4809" s="67"/>
      <c r="HF4809" s="67"/>
      <c r="HG4809" s="67"/>
      <c r="HH4809" s="67"/>
      <c r="HI4809" s="67"/>
      <c r="HJ4809" s="67"/>
      <c r="HK4809" s="67"/>
      <c r="HL4809" s="67"/>
      <c r="HM4809" s="67"/>
      <c r="HN4809" s="67"/>
      <c r="HO4809" s="67"/>
      <c r="HP4809" s="67"/>
      <c r="HQ4809" s="67"/>
      <c r="HR4809" s="67"/>
      <c r="HS4809" s="67">
        <v>0.93</v>
      </c>
      <c r="HT4809" s="67">
        <v>0.85</v>
      </c>
      <c r="HU4809" s="67">
        <f>SQRT(2)*0.16</f>
        <v>0.22627416997969524</v>
      </c>
      <c r="HV4809" s="67">
        <f>SQRT(2)*0.01</f>
        <v>1.4142135623730952E-2</v>
      </c>
      <c r="HW4809" s="67" t="s">
        <v>5659</v>
      </c>
      <c r="HX4809" s="67"/>
      <c r="HY4809" s="67"/>
      <c r="HZ4809" s="67"/>
      <c r="IA4809" s="67"/>
      <c r="IB4809" s="67"/>
      <c r="IC4809" s="67">
        <v>15</v>
      </c>
      <c r="ID4809" s="67">
        <v>20</v>
      </c>
      <c r="IE4809" s="67">
        <f>SQRT(2)*3</f>
        <v>4.2426406871192857</v>
      </c>
      <c r="IF4809" s="67">
        <f>SQRT(2)*4</f>
        <v>5.6568542494923806</v>
      </c>
      <c r="IG4809" s="67" t="s">
        <v>5658</v>
      </c>
      <c r="IH4809" s="67"/>
      <c r="II4809" s="67"/>
      <c r="IJ4809" s="67"/>
      <c r="IK4809" s="67"/>
      <c r="IL4809" s="67"/>
      <c r="IM4809" s="67"/>
      <c r="IN4809" s="67"/>
      <c r="IO4809" s="67"/>
      <c r="IP4809" s="67"/>
      <c r="IQ4809" s="67"/>
      <c r="IR4809" s="67"/>
      <c r="IS4809" s="67"/>
      <c r="IT4809" s="67"/>
      <c r="IU4809" s="67"/>
      <c r="IV4809" s="67"/>
      <c r="IW4809" s="67"/>
      <c r="IX4809" s="67"/>
      <c r="IY4809" s="67"/>
      <c r="IZ4809" s="67"/>
      <c r="JA4809" s="67"/>
      <c r="JB4809" s="67"/>
      <c r="JC4809" s="67"/>
      <c r="JD4809" s="67"/>
      <c r="JE4809" s="67"/>
      <c r="JF4809" s="67"/>
      <c r="JG4809" s="67"/>
      <c r="JH4809" s="67"/>
      <c r="JI4809" s="67"/>
      <c r="JJ4809" s="67"/>
      <c r="JK4809" s="67"/>
      <c r="JL4809" s="67">
        <v>30</v>
      </c>
      <c r="JM4809" s="67">
        <v>34</v>
      </c>
      <c r="JN4809" s="67">
        <f>3*SQRT(2)</f>
        <v>4.2426406871192857</v>
      </c>
      <c r="JO4809" s="67">
        <f>1*SQRT(2)</f>
        <v>1.4142135623730951</v>
      </c>
      <c r="JP4809" s="67" t="s">
        <v>3072</v>
      </c>
      <c r="JQ4809" s="67"/>
      <c r="JR4809" s="67"/>
      <c r="JS4809" s="67"/>
      <c r="JT4809" s="67"/>
      <c r="JU4809" s="58"/>
      <c r="JV4809" s="58"/>
      <c r="JW4809" s="58"/>
    </row>
    <row r="4810" spans="1:283" s="23" customFormat="1" x14ac:dyDescent="0.25">
      <c r="A4810" s="55">
        <v>4809</v>
      </c>
      <c r="B4810" s="12" t="s">
        <v>7067</v>
      </c>
      <c r="C4810" s="156">
        <v>215</v>
      </c>
      <c r="D4810" s="58" t="s">
        <v>4888</v>
      </c>
      <c r="E4810" s="160" t="str">
        <f>G4810</f>
        <v>Chirinda et al. 2010_Foulum 2</v>
      </c>
      <c r="F4810" s="160"/>
      <c r="G4810" s="60" t="s">
        <v>4839</v>
      </c>
      <c r="H4810" s="58">
        <v>2010</v>
      </c>
      <c r="I4810" s="58" t="s">
        <v>3181</v>
      </c>
      <c r="J4810" s="243" t="s">
        <v>198</v>
      </c>
      <c r="K4810" s="63" t="s">
        <v>5126</v>
      </c>
      <c r="L4810" s="58" t="s">
        <v>2743</v>
      </c>
      <c r="M4810" s="94">
        <f>56.5</f>
        <v>56.5</v>
      </c>
      <c r="N4810" s="94">
        <f>9+34/60</f>
        <v>9.5666666666666664</v>
      </c>
      <c r="O4810" s="94">
        <v>24</v>
      </c>
      <c r="P4810" s="58"/>
      <c r="Q4810" s="244">
        <v>7.3</v>
      </c>
      <c r="R4810" s="58"/>
      <c r="S4810" s="245">
        <v>704</v>
      </c>
      <c r="T4810" s="58"/>
      <c r="U4810" s="58" t="s">
        <v>1935</v>
      </c>
      <c r="V4810" s="244">
        <v>12</v>
      </c>
      <c r="W4810" s="174"/>
      <c r="X4810" s="174"/>
      <c r="Y4810" s="58" t="s">
        <v>5352</v>
      </c>
      <c r="Z4810" s="244" t="s">
        <v>1367</v>
      </c>
      <c r="AA4810" s="245">
        <v>25</v>
      </c>
      <c r="AB4810" s="67"/>
      <c r="AC4810" s="67"/>
      <c r="AD4810" s="94">
        <v>1.35</v>
      </c>
      <c r="AE4810" s="94">
        <v>78</v>
      </c>
      <c r="AF4810" s="94">
        <v>13</v>
      </c>
      <c r="AG4810" s="245">
        <v>9</v>
      </c>
      <c r="AH4810" s="58" t="s">
        <v>238</v>
      </c>
      <c r="AI4810" s="169">
        <v>6.5</v>
      </c>
      <c r="AJ4810" s="94">
        <v>2.2999999999999998</v>
      </c>
      <c r="AK4810" s="94"/>
      <c r="AL4810" s="58"/>
      <c r="AM4810" s="58" t="s">
        <v>1291</v>
      </c>
      <c r="AN4810" s="186" t="s">
        <v>5351</v>
      </c>
      <c r="AO4810" s="185" t="s">
        <v>5150</v>
      </c>
      <c r="AP4810" s="58"/>
      <c r="AQ4810" s="58" t="s">
        <v>1546</v>
      </c>
      <c r="AR4810" s="58" t="s">
        <v>5657</v>
      </c>
      <c r="AS4810" s="246" t="s">
        <v>4584</v>
      </c>
      <c r="AT4810" s="247">
        <v>1</v>
      </c>
      <c r="AU4810" s="181" t="s">
        <v>7494</v>
      </c>
      <c r="AV4810" s="185" t="s">
        <v>176</v>
      </c>
      <c r="AW4810" s="244">
        <v>1</v>
      </c>
      <c r="AX4810" s="185" t="s">
        <v>176</v>
      </c>
      <c r="AY4810" s="244" t="s">
        <v>176</v>
      </c>
      <c r="AZ4810" s="58"/>
      <c r="BA4810" s="58"/>
      <c r="BB4810" s="58"/>
      <c r="BC4810" s="58"/>
      <c r="BD4810" s="58"/>
      <c r="BE4810" s="236" t="s">
        <v>5158</v>
      </c>
      <c r="BF4810" s="58" t="s">
        <v>479</v>
      </c>
      <c r="BG4810" s="58" t="s">
        <v>479</v>
      </c>
      <c r="BH4810" s="236" t="s">
        <v>5231</v>
      </c>
      <c r="BI4810" s="58" t="s">
        <v>479</v>
      </c>
      <c r="BJ4810" s="58" t="str">
        <f>IF(BE4810=BH4810,"No","yes")</f>
        <v>yes</v>
      </c>
      <c r="BK4810" s="58" t="s">
        <v>6335</v>
      </c>
      <c r="BL4810" s="58"/>
      <c r="BM4810" s="237" t="s">
        <v>160</v>
      </c>
      <c r="BN4810" s="244">
        <v>2</v>
      </c>
      <c r="BO4810" s="244">
        <v>2</v>
      </c>
      <c r="BP4810" s="58"/>
      <c r="BQ4810" s="58"/>
      <c r="BR4810" s="58"/>
      <c r="BS4810" s="58"/>
      <c r="BT4810" s="58"/>
      <c r="BU4810" s="58"/>
      <c r="BV4810" s="58"/>
      <c r="BW4810" s="67"/>
      <c r="BX4810" s="67"/>
      <c r="BY4810" s="67"/>
      <c r="BZ4810" s="67"/>
      <c r="CA4810" s="67"/>
      <c r="CB4810" s="70"/>
      <c r="CC4810" s="70"/>
      <c r="CD4810" s="70"/>
      <c r="CE4810" s="67"/>
      <c r="CF4810" s="67"/>
      <c r="CG4810" s="67"/>
      <c r="CH4810" s="245"/>
      <c r="CI4810" s="245"/>
      <c r="CJ4810" s="67"/>
      <c r="CK4810" s="67"/>
      <c r="CL4810" s="67"/>
      <c r="CM4810" s="242"/>
      <c r="CN4810" s="242"/>
      <c r="CO4810" s="242"/>
      <c r="CP4810" s="242"/>
      <c r="CQ4810" s="242" t="s">
        <v>164</v>
      </c>
      <c r="CR4810" s="242"/>
      <c r="CS4810" s="242"/>
      <c r="CT4810" s="242"/>
      <c r="CU4810" s="242"/>
      <c r="CV4810" s="242"/>
      <c r="CW4810" s="242"/>
      <c r="CX4810" s="242"/>
      <c r="CY4810" s="242"/>
      <c r="CZ4810" s="242"/>
      <c r="DA4810" s="67"/>
      <c r="DB4810" s="67"/>
      <c r="DC4810" s="67"/>
      <c r="DD4810" s="67"/>
      <c r="DE4810" s="67"/>
      <c r="DF4810" s="67"/>
      <c r="DG4810" s="67"/>
      <c r="DH4810" s="67"/>
      <c r="DI4810" s="67"/>
      <c r="DJ4810" s="67"/>
      <c r="DK4810" s="67"/>
      <c r="DL4810" s="67"/>
      <c r="DM4810" s="67"/>
      <c r="DN4810" s="67"/>
      <c r="DO4810" s="67"/>
      <c r="DP4810" s="67"/>
      <c r="DQ4810" s="166"/>
      <c r="DR4810" s="166"/>
      <c r="DS4810" s="163"/>
      <c r="DT4810" s="163"/>
      <c r="DU4810" s="67"/>
      <c r="DV4810" s="67"/>
      <c r="DW4810" s="67"/>
      <c r="DX4810" s="67"/>
      <c r="DY4810" s="67"/>
      <c r="DZ4810" s="67"/>
      <c r="EA4810" s="67"/>
      <c r="EB4810" s="67"/>
      <c r="EC4810" s="67"/>
      <c r="ED4810" s="67"/>
      <c r="EE4810" s="67"/>
      <c r="EF4810" s="67"/>
      <c r="EG4810" s="67"/>
      <c r="EH4810" s="67"/>
      <c r="EI4810" s="67"/>
      <c r="EJ4810" s="67"/>
      <c r="EK4810" s="94"/>
      <c r="EL4810" s="94"/>
      <c r="EM4810" s="67"/>
      <c r="EN4810" s="67"/>
      <c r="EO4810" s="67"/>
      <c r="EP4810" s="67"/>
      <c r="EQ4810" s="67"/>
      <c r="ER4810" s="67"/>
      <c r="ES4810" s="67"/>
      <c r="ET4810" s="67"/>
      <c r="EU4810" s="67"/>
      <c r="EV4810" s="67"/>
      <c r="EW4810" s="67"/>
      <c r="EX4810" s="67"/>
      <c r="EY4810" s="67"/>
      <c r="EZ4810" s="67"/>
      <c r="FA4810" s="67"/>
      <c r="FB4810" s="67"/>
      <c r="FC4810" s="67"/>
      <c r="FD4810" s="67"/>
      <c r="FE4810" s="67"/>
      <c r="FF4810" s="67"/>
      <c r="FG4810" s="67"/>
      <c r="FH4810" s="67"/>
      <c r="FI4810" s="67"/>
      <c r="FJ4810" s="67"/>
      <c r="FK4810" s="67"/>
      <c r="FL4810" s="67"/>
      <c r="FM4810" s="67"/>
      <c r="FN4810" s="67"/>
      <c r="FO4810" s="67"/>
      <c r="FP4810" s="67"/>
      <c r="FQ4810" s="67"/>
      <c r="FR4810" s="67"/>
      <c r="FS4810" s="67"/>
      <c r="FT4810" s="67"/>
      <c r="FU4810" s="67"/>
      <c r="FV4810" s="67"/>
      <c r="FW4810" s="67"/>
      <c r="FX4810" s="67"/>
      <c r="FY4810" s="67"/>
      <c r="FZ4810" s="67"/>
      <c r="GA4810" s="67"/>
      <c r="GB4810" s="67"/>
      <c r="GC4810" s="67"/>
      <c r="GD4810" s="67"/>
      <c r="GE4810" s="67"/>
      <c r="GF4810" s="67"/>
      <c r="GG4810" s="67"/>
      <c r="GH4810" s="67"/>
      <c r="GI4810" s="67"/>
      <c r="GJ4810" s="67"/>
      <c r="GK4810" s="67"/>
      <c r="GL4810" s="67"/>
      <c r="GM4810" s="67"/>
      <c r="GN4810" s="292"/>
      <c r="GO4810" s="292"/>
      <c r="GP4810" s="292" t="s">
        <v>7494</v>
      </c>
      <c r="GQ4810" s="67"/>
      <c r="GR4810" s="67"/>
      <c r="GS4810" s="67"/>
      <c r="GT4810" s="67"/>
      <c r="GU4810" s="67"/>
      <c r="GV4810" s="67"/>
      <c r="GW4810" s="67"/>
      <c r="GX4810" s="67"/>
      <c r="GY4810" s="67"/>
      <c r="GZ4810" s="67"/>
      <c r="HA4810" s="67"/>
      <c r="HB4810" s="67"/>
      <c r="HC4810" s="67"/>
      <c r="HD4810" s="67"/>
      <c r="HE4810" s="67"/>
      <c r="HF4810" s="67"/>
      <c r="HG4810" s="67"/>
      <c r="HH4810" s="67"/>
      <c r="HI4810" s="67"/>
      <c r="HJ4810" s="67"/>
      <c r="HK4810" s="67"/>
      <c r="HL4810" s="67"/>
      <c r="HM4810" s="67"/>
      <c r="HN4810" s="67"/>
      <c r="HO4810" s="67"/>
      <c r="HP4810" s="67"/>
      <c r="HQ4810" s="67"/>
      <c r="HR4810" s="67"/>
      <c r="HS4810" s="67">
        <v>0.93</v>
      </c>
      <c r="HT4810" s="67">
        <v>0.84</v>
      </c>
      <c r="HU4810" s="67">
        <f>SQRT(2)*0.16</f>
        <v>0.22627416997969524</v>
      </c>
      <c r="HV4810" s="67">
        <f>SQRT(2)*0.22</f>
        <v>0.31112698372208092</v>
      </c>
      <c r="HW4810" s="67" t="s">
        <v>5659</v>
      </c>
      <c r="HX4810" s="67"/>
      <c r="HY4810" s="67"/>
      <c r="HZ4810" s="67"/>
      <c r="IA4810" s="67"/>
      <c r="IB4810" s="67"/>
      <c r="IC4810" s="67">
        <v>15</v>
      </c>
      <c r="ID4810" s="67">
        <v>19</v>
      </c>
      <c r="IE4810" s="67">
        <f>SQRT(2)*3</f>
        <v>4.2426406871192857</v>
      </c>
      <c r="IF4810" s="67">
        <f>SQRT(2)*3</f>
        <v>4.2426406871192857</v>
      </c>
      <c r="IG4810" s="67" t="s">
        <v>5658</v>
      </c>
      <c r="IH4810" s="67"/>
      <c r="II4810" s="67"/>
      <c r="IJ4810" s="67"/>
      <c r="IK4810" s="67"/>
      <c r="IL4810" s="67"/>
      <c r="IM4810" s="67"/>
      <c r="IN4810" s="67"/>
      <c r="IO4810" s="67"/>
      <c r="IP4810" s="67"/>
      <c r="IQ4810" s="67"/>
      <c r="IR4810" s="67"/>
      <c r="IS4810" s="67"/>
      <c r="IT4810" s="67"/>
      <c r="IU4810" s="67"/>
      <c r="IV4810" s="67"/>
      <c r="IW4810" s="67"/>
      <c r="IX4810" s="67"/>
      <c r="IY4810" s="67"/>
      <c r="IZ4810" s="67"/>
      <c r="JA4810" s="67"/>
      <c r="JB4810" s="67"/>
      <c r="JC4810" s="67"/>
      <c r="JD4810" s="67"/>
      <c r="JE4810" s="67"/>
      <c r="JF4810" s="67"/>
      <c r="JG4810" s="67"/>
      <c r="JH4810" s="67"/>
      <c r="JI4810" s="67"/>
      <c r="JJ4810" s="67"/>
      <c r="JK4810" s="67"/>
      <c r="JL4810" s="67">
        <v>30</v>
      </c>
      <c r="JM4810" s="67">
        <v>37</v>
      </c>
      <c r="JN4810" s="67">
        <f>3*SQRT(2)</f>
        <v>4.2426406871192857</v>
      </c>
      <c r="JO4810" s="67">
        <f>2*SQRT(2)</f>
        <v>2.8284271247461903</v>
      </c>
      <c r="JP4810" s="67" t="s">
        <v>3072</v>
      </c>
      <c r="JQ4810" s="67"/>
      <c r="JR4810" s="67"/>
      <c r="JS4810" s="67"/>
      <c r="JT4810" s="67"/>
      <c r="JU4810" s="58"/>
      <c r="JV4810" s="58"/>
      <c r="JW4810" s="58"/>
    </row>
    <row r="4811" spans="1:283" s="23" customFormat="1" x14ac:dyDescent="0.25">
      <c r="A4811" s="55">
        <v>4810</v>
      </c>
      <c r="B4811" s="12" t="s">
        <v>7067</v>
      </c>
      <c r="C4811" s="156">
        <v>215</v>
      </c>
      <c r="D4811" s="58" t="s">
        <v>4889</v>
      </c>
      <c r="E4811" s="160" t="str">
        <f>G4811</f>
        <v>Chirinda et al. 2010_Foulum 3</v>
      </c>
      <c r="F4811" s="160"/>
      <c r="G4811" s="60" t="s">
        <v>4838</v>
      </c>
      <c r="H4811" s="58">
        <v>2010</v>
      </c>
      <c r="I4811" s="58" t="s">
        <v>3181</v>
      </c>
      <c r="J4811" s="243" t="s">
        <v>198</v>
      </c>
      <c r="K4811" s="63" t="s">
        <v>5126</v>
      </c>
      <c r="L4811" s="58" t="s">
        <v>2743</v>
      </c>
      <c r="M4811" s="94">
        <f>56.5</f>
        <v>56.5</v>
      </c>
      <c r="N4811" s="94">
        <f>9+34/60</f>
        <v>9.5666666666666664</v>
      </c>
      <c r="O4811" s="94">
        <v>24</v>
      </c>
      <c r="P4811" s="58"/>
      <c r="Q4811" s="244">
        <v>7.3</v>
      </c>
      <c r="R4811" s="58"/>
      <c r="S4811" s="245">
        <v>704</v>
      </c>
      <c r="T4811" s="58"/>
      <c r="U4811" s="58" t="s">
        <v>1935</v>
      </c>
      <c r="V4811" s="244">
        <v>12</v>
      </c>
      <c r="W4811" s="174"/>
      <c r="X4811" s="174"/>
      <c r="Y4811" s="58" t="s">
        <v>5352</v>
      </c>
      <c r="Z4811" s="244" t="s">
        <v>1367</v>
      </c>
      <c r="AA4811" s="245">
        <v>25</v>
      </c>
      <c r="AB4811" s="67"/>
      <c r="AC4811" s="67"/>
      <c r="AD4811" s="94">
        <v>1.35</v>
      </c>
      <c r="AE4811" s="94">
        <v>78</v>
      </c>
      <c r="AF4811" s="94">
        <v>13</v>
      </c>
      <c r="AG4811" s="245">
        <v>9</v>
      </c>
      <c r="AH4811" s="58" t="s">
        <v>238</v>
      </c>
      <c r="AI4811" s="169">
        <v>6.5</v>
      </c>
      <c r="AJ4811" s="94">
        <v>2.2999999999999998</v>
      </c>
      <c r="AK4811" s="94"/>
      <c r="AL4811" s="58"/>
      <c r="AM4811" s="58" t="s">
        <v>1291</v>
      </c>
      <c r="AN4811" s="186" t="s">
        <v>5351</v>
      </c>
      <c r="AO4811" s="185" t="s">
        <v>5150</v>
      </c>
      <c r="AP4811" s="58"/>
      <c r="AQ4811" s="58" t="s">
        <v>1546</v>
      </c>
      <c r="AR4811" s="58" t="s">
        <v>5657</v>
      </c>
      <c r="AS4811" s="246" t="s">
        <v>4584</v>
      </c>
      <c r="AT4811" s="247">
        <v>1</v>
      </c>
      <c r="AU4811" s="181" t="s">
        <v>7494</v>
      </c>
      <c r="AV4811" s="185" t="s">
        <v>176</v>
      </c>
      <c r="AW4811" s="244">
        <v>1</v>
      </c>
      <c r="AX4811" s="185" t="s">
        <v>176</v>
      </c>
      <c r="AY4811" s="244" t="s">
        <v>176</v>
      </c>
      <c r="AZ4811" s="58"/>
      <c r="BA4811" s="58"/>
      <c r="BB4811" s="58"/>
      <c r="BC4811" s="58"/>
      <c r="BD4811" s="58"/>
      <c r="BE4811" s="236" t="s">
        <v>5158</v>
      </c>
      <c r="BF4811" s="58" t="s">
        <v>479</v>
      </c>
      <c r="BG4811" s="58" t="s">
        <v>479</v>
      </c>
      <c r="BH4811" s="236" t="s">
        <v>5232</v>
      </c>
      <c r="BI4811" s="58" t="s">
        <v>479</v>
      </c>
      <c r="BJ4811" s="58" t="str">
        <f>IF(BE4811=BH4811,"No","yes")</f>
        <v>yes</v>
      </c>
      <c r="BK4811" s="58" t="s">
        <v>6335</v>
      </c>
      <c r="BL4811" s="58"/>
      <c r="BM4811" s="237" t="s">
        <v>160</v>
      </c>
      <c r="BN4811" s="244">
        <v>2</v>
      </c>
      <c r="BO4811" s="244">
        <v>2</v>
      </c>
      <c r="BP4811" s="58"/>
      <c r="BQ4811" s="58"/>
      <c r="BR4811" s="58"/>
      <c r="BS4811" s="58"/>
      <c r="BT4811" s="58"/>
      <c r="BU4811" s="58"/>
      <c r="BV4811" s="58"/>
      <c r="BW4811" s="67"/>
      <c r="BX4811" s="67"/>
      <c r="BY4811" s="67"/>
      <c r="BZ4811" s="67"/>
      <c r="CA4811" s="67"/>
      <c r="CB4811" s="70"/>
      <c r="CC4811" s="70"/>
      <c r="CD4811" s="70"/>
      <c r="CE4811" s="67"/>
      <c r="CF4811" s="67"/>
      <c r="CG4811" s="67"/>
      <c r="CH4811" s="245"/>
      <c r="CI4811" s="245"/>
      <c r="CJ4811" s="67"/>
      <c r="CK4811" s="67"/>
      <c r="CL4811" s="67"/>
      <c r="CM4811" s="242"/>
      <c r="CN4811" s="242"/>
      <c r="CO4811" s="242"/>
      <c r="CP4811" s="242"/>
      <c r="CQ4811" s="242" t="s">
        <v>164</v>
      </c>
      <c r="CR4811" s="242"/>
      <c r="CS4811" s="242"/>
      <c r="CT4811" s="242"/>
      <c r="CU4811" s="242"/>
      <c r="CV4811" s="242"/>
      <c r="CW4811" s="242"/>
      <c r="CX4811" s="242"/>
      <c r="CY4811" s="242"/>
      <c r="CZ4811" s="242"/>
      <c r="DA4811" s="67"/>
      <c r="DB4811" s="67"/>
      <c r="DC4811" s="67"/>
      <c r="DD4811" s="67"/>
      <c r="DE4811" s="67"/>
      <c r="DF4811" s="67"/>
      <c r="DG4811" s="67"/>
      <c r="DH4811" s="67"/>
      <c r="DI4811" s="67"/>
      <c r="DJ4811" s="67"/>
      <c r="DK4811" s="67"/>
      <c r="DL4811" s="67"/>
      <c r="DM4811" s="67"/>
      <c r="DN4811" s="67"/>
      <c r="DO4811" s="67"/>
      <c r="DP4811" s="67"/>
      <c r="DQ4811" s="166"/>
      <c r="DR4811" s="166"/>
      <c r="DS4811" s="163"/>
      <c r="DT4811" s="163"/>
      <c r="DU4811" s="67"/>
      <c r="DV4811" s="67"/>
      <c r="DW4811" s="67"/>
      <c r="DX4811" s="67"/>
      <c r="DY4811" s="67"/>
      <c r="DZ4811" s="67"/>
      <c r="EA4811" s="67"/>
      <c r="EB4811" s="67"/>
      <c r="EC4811" s="67"/>
      <c r="ED4811" s="67"/>
      <c r="EE4811" s="67"/>
      <c r="EF4811" s="67"/>
      <c r="EG4811" s="67"/>
      <c r="EH4811" s="67"/>
      <c r="EI4811" s="67"/>
      <c r="EJ4811" s="67"/>
      <c r="EK4811" s="94"/>
      <c r="EL4811" s="94"/>
      <c r="EM4811" s="67"/>
      <c r="EN4811" s="67"/>
      <c r="EO4811" s="67"/>
      <c r="EP4811" s="67"/>
      <c r="EQ4811" s="67"/>
      <c r="ER4811" s="67"/>
      <c r="ES4811" s="67"/>
      <c r="ET4811" s="67"/>
      <c r="EU4811" s="67"/>
      <c r="EV4811" s="67"/>
      <c r="EW4811" s="67"/>
      <c r="EX4811" s="67"/>
      <c r="EY4811" s="67"/>
      <c r="EZ4811" s="67"/>
      <c r="FA4811" s="67"/>
      <c r="FB4811" s="67"/>
      <c r="FC4811" s="67"/>
      <c r="FD4811" s="67"/>
      <c r="FE4811" s="67"/>
      <c r="FF4811" s="67"/>
      <c r="FG4811" s="67"/>
      <c r="FH4811" s="67"/>
      <c r="FI4811" s="67"/>
      <c r="FJ4811" s="67"/>
      <c r="FK4811" s="67"/>
      <c r="FL4811" s="67"/>
      <c r="FM4811" s="67"/>
      <c r="FN4811" s="67"/>
      <c r="FO4811" s="67"/>
      <c r="FP4811" s="67"/>
      <c r="FQ4811" s="67"/>
      <c r="FR4811" s="67"/>
      <c r="FS4811" s="67"/>
      <c r="FT4811" s="67"/>
      <c r="FU4811" s="67"/>
      <c r="FV4811" s="67"/>
      <c r="FW4811" s="67"/>
      <c r="FX4811" s="67"/>
      <c r="FY4811" s="67"/>
      <c r="FZ4811" s="67"/>
      <c r="GA4811" s="67"/>
      <c r="GB4811" s="67"/>
      <c r="GC4811" s="67"/>
      <c r="GD4811" s="67"/>
      <c r="GE4811" s="67"/>
      <c r="GF4811" s="67"/>
      <c r="GG4811" s="67"/>
      <c r="GH4811" s="67"/>
      <c r="GI4811" s="67"/>
      <c r="GJ4811" s="67"/>
      <c r="GK4811" s="67"/>
      <c r="GL4811" s="67"/>
      <c r="GM4811" s="67"/>
      <c r="GN4811" s="292"/>
      <c r="GO4811" s="292"/>
      <c r="GP4811" s="292" t="s">
        <v>7494</v>
      </c>
      <c r="GQ4811" s="67"/>
      <c r="GR4811" s="67"/>
      <c r="GS4811" s="67"/>
      <c r="GT4811" s="67"/>
      <c r="GU4811" s="67"/>
      <c r="GV4811" s="67"/>
      <c r="GW4811" s="67"/>
      <c r="GX4811" s="67"/>
      <c r="GY4811" s="67"/>
      <c r="GZ4811" s="67"/>
      <c r="HA4811" s="67"/>
      <c r="HB4811" s="67"/>
      <c r="HC4811" s="67"/>
      <c r="HD4811" s="67"/>
      <c r="HE4811" s="67"/>
      <c r="HF4811" s="67"/>
      <c r="HG4811" s="67"/>
      <c r="HH4811" s="67"/>
      <c r="HI4811" s="67"/>
      <c r="HJ4811" s="67"/>
      <c r="HK4811" s="67"/>
      <c r="HL4811" s="67"/>
      <c r="HM4811" s="67"/>
      <c r="HN4811" s="67"/>
      <c r="HO4811" s="67"/>
      <c r="HP4811" s="67"/>
      <c r="HQ4811" s="67"/>
      <c r="HR4811" s="67"/>
      <c r="HS4811" s="67">
        <v>0.93</v>
      </c>
      <c r="HT4811" s="67">
        <v>1.3</v>
      </c>
      <c r="HU4811" s="67">
        <f>SQRT(2)*0.16</f>
        <v>0.22627416997969524</v>
      </c>
      <c r="HV4811" s="67">
        <f>SQRT(2)*0.24</f>
        <v>0.33941125496954283</v>
      </c>
      <c r="HW4811" s="67" t="s">
        <v>5659</v>
      </c>
      <c r="HX4811" s="67"/>
      <c r="HY4811" s="67"/>
      <c r="HZ4811" s="67"/>
      <c r="IA4811" s="67"/>
      <c r="IB4811" s="67"/>
      <c r="IC4811" s="67">
        <v>15</v>
      </c>
      <c r="ID4811" s="67">
        <v>22</v>
      </c>
      <c r="IE4811" s="67">
        <f>SQRT(2)*3</f>
        <v>4.2426406871192857</v>
      </c>
      <c r="IF4811" s="67">
        <f>SQRT(2)*4</f>
        <v>5.6568542494923806</v>
      </c>
      <c r="IG4811" s="67" t="s">
        <v>5658</v>
      </c>
      <c r="IH4811" s="67"/>
      <c r="II4811" s="67"/>
      <c r="IJ4811" s="67"/>
      <c r="IK4811" s="67"/>
      <c r="IL4811" s="67"/>
      <c r="IM4811" s="67"/>
      <c r="IN4811" s="67"/>
      <c r="IO4811" s="67"/>
      <c r="IP4811" s="67"/>
      <c r="IQ4811" s="67"/>
      <c r="IR4811" s="67"/>
      <c r="IS4811" s="67"/>
      <c r="IT4811" s="67"/>
      <c r="IU4811" s="67"/>
      <c r="IV4811" s="67"/>
      <c r="IW4811" s="67"/>
      <c r="IX4811" s="67"/>
      <c r="IY4811" s="67"/>
      <c r="IZ4811" s="67"/>
      <c r="JA4811" s="67"/>
      <c r="JB4811" s="67"/>
      <c r="JC4811" s="67"/>
      <c r="JD4811" s="67"/>
      <c r="JE4811" s="67"/>
      <c r="JF4811" s="67"/>
      <c r="JG4811" s="67"/>
      <c r="JH4811" s="67"/>
      <c r="JI4811" s="67"/>
      <c r="JJ4811" s="67"/>
      <c r="JK4811" s="67"/>
      <c r="JL4811" s="67">
        <v>30</v>
      </c>
      <c r="JM4811" s="67">
        <v>37</v>
      </c>
      <c r="JN4811" s="67">
        <f>3*SQRT(2)</f>
        <v>4.2426406871192857</v>
      </c>
      <c r="JO4811" s="67">
        <f>5*SQRT(2)</f>
        <v>7.0710678118654755</v>
      </c>
      <c r="JP4811" s="67" t="s">
        <v>3072</v>
      </c>
      <c r="JQ4811" s="67"/>
      <c r="JR4811" s="67"/>
      <c r="JS4811" s="67"/>
      <c r="JT4811" s="67"/>
      <c r="JU4811" s="58"/>
      <c r="JV4811" s="58"/>
      <c r="JW4811" s="58"/>
    </row>
    <row r="4812" spans="1:283" s="23" customFormat="1" x14ac:dyDescent="0.25">
      <c r="A4812" s="55">
        <v>4811</v>
      </c>
      <c r="B4812" s="12" t="s">
        <v>7067</v>
      </c>
      <c r="C4812" s="156">
        <v>215</v>
      </c>
      <c r="D4812" s="58" t="s">
        <v>4890</v>
      </c>
      <c r="E4812" s="160" t="str">
        <f>G4812</f>
        <v>Chirinda et al. 2010_Foulum 3</v>
      </c>
      <c r="F4812" s="160"/>
      <c r="G4812" s="60" t="s">
        <v>4838</v>
      </c>
      <c r="H4812" s="58">
        <v>2010</v>
      </c>
      <c r="I4812" s="58" t="s">
        <v>3181</v>
      </c>
      <c r="J4812" s="243" t="s">
        <v>198</v>
      </c>
      <c r="K4812" s="63" t="s">
        <v>5126</v>
      </c>
      <c r="L4812" s="58" t="s">
        <v>2743</v>
      </c>
      <c r="M4812" s="94">
        <f>56.5</f>
        <v>56.5</v>
      </c>
      <c r="N4812" s="94">
        <f>9+34/60</f>
        <v>9.5666666666666664</v>
      </c>
      <c r="O4812" s="94">
        <v>24</v>
      </c>
      <c r="P4812" s="58"/>
      <c r="Q4812" s="244">
        <v>7.3</v>
      </c>
      <c r="R4812" s="58"/>
      <c r="S4812" s="245">
        <v>704</v>
      </c>
      <c r="T4812" s="58"/>
      <c r="U4812" s="58" t="s">
        <v>1935</v>
      </c>
      <c r="V4812" s="244">
        <v>12</v>
      </c>
      <c r="W4812" s="174"/>
      <c r="X4812" s="174"/>
      <c r="Y4812" s="58" t="s">
        <v>5352</v>
      </c>
      <c r="Z4812" s="244" t="s">
        <v>1367</v>
      </c>
      <c r="AA4812" s="245">
        <v>25</v>
      </c>
      <c r="AB4812" s="67"/>
      <c r="AC4812" s="67"/>
      <c r="AD4812" s="94">
        <v>1.35</v>
      </c>
      <c r="AE4812" s="94">
        <v>78</v>
      </c>
      <c r="AF4812" s="94">
        <v>13</v>
      </c>
      <c r="AG4812" s="245">
        <v>9</v>
      </c>
      <c r="AH4812" s="58" t="s">
        <v>238</v>
      </c>
      <c r="AI4812" s="169">
        <v>6.5</v>
      </c>
      <c r="AJ4812" s="94">
        <v>2.2999999999999998</v>
      </c>
      <c r="AK4812" s="94"/>
      <c r="AL4812" s="58"/>
      <c r="AM4812" s="58" t="s">
        <v>1291</v>
      </c>
      <c r="AN4812" s="186" t="s">
        <v>5351</v>
      </c>
      <c r="AO4812" s="185" t="s">
        <v>5150</v>
      </c>
      <c r="AP4812" s="58"/>
      <c r="AQ4812" s="58" t="s">
        <v>1546</v>
      </c>
      <c r="AR4812" s="58" t="s">
        <v>5657</v>
      </c>
      <c r="AS4812" s="246" t="s">
        <v>4584</v>
      </c>
      <c r="AT4812" s="247">
        <v>1</v>
      </c>
      <c r="AU4812" s="181" t="s">
        <v>7494</v>
      </c>
      <c r="AV4812" s="185" t="s">
        <v>176</v>
      </c>
      <c r="AW4812" s="244">
        <v>1</v>
      </c>
      <c r="AX4812" s="185" t="s">
        <v>176</v>
      </c>
      <c r="AY4812" s="244" t="s">
        <v>176</v>
      </c>
      <c r="AZ4812" s="58"/>
      <c r="BA4812" s="58"/>
      <c r="BB4812" s="58"/>
      <c r="BC4812" s="58"/>
      <c r="BD4812" s="58"/>
      <c r="BE4812" s="236" t="s">
        <v>5158</v>
      </c>
      <c r="BF4812" s="58" t="s">
        <v>479</v>
      </c>
      <c r="BG4812" s="58" t="s">
        <v>479</v>
      </c>
      <c r="BH4812" s="236" t="s">
        <v>5232</v>
      </c>
      <c r="BI4812" s="58" t="s">
        <v>479</v>
      </c>
      <c r="BJ4812" s="58" t="str">
        <f>IF(BE4812=BH4812,"No","yes")</f>
        <v>yes</v>
      </c>
      <c r="BK4812" s="58" t="s">
        <v>6335</v>
      </c>
      <c r="BL4812" s="58"/>
      <c r="BM4812" s="237" t="s">
        <v>160</v>
      </c>
      <c r="BN4812" s="244">
        <v>2</v>
      </c>
      <c r="BO4812" s="244">
        <v>2</v>
      </c>
      <c r="BP4812" s="58"/>
      <c r="BQ4812" s="58"/>
      <c r="BR4812" s="58"/>
      <c r="BS4812" s="58"/>
      <c r="BT4812" s="58"/>
      <c r="BU4812" s="58"/>
      <c r="BV4812" s="58"/>
      <c r="BW4812" s="67"/>
      <c r="BX4812" s="67"/>
      <c r="BY4812" s="67"/>
      <c r="BZ4812" s="67"/>
      <c r="CA4812" s="67"/>
      <c r="CB4812" s="70"/>
      <c r="CC4812" s="70"/>
      <c r="CD4812" s="70"/>
      <c r="CE4812" s="67"/>
      <c r="CF4812" s="67"/>
      <c r="CG4812" s="67"/>
      <c r="CH4812" s="245"/>
      <c r="CI4812" s="245"/>
      <c r="CJ4812" s="67"/>
      <c r="CK4812" s="67"/>
      <c r="CL4812" s="67"/>
      <c r="CM4812" s="242"/>
      <c r="CN4812" s="242"/>
      <c r="CO4812" s="242"/>
      <c r="CP4812" s="242"/>
      <c r="CQ4812" s="242" t="s">
        <v>164</v>
      </c>
      <c r="CR4812" s="242"/>
      <c r="CS4812" s="242"/>
      <c r="CT4812" s="242"/>
      <c r="CU4812" s="242"/>
      <c r="CV4812" s="242"/>
      <c r="CW4812" s="242"/>
      <c r="CX4812" s="242"/>
      <c r="CY4812" s="242"/>
      <c r="CZ4812" s="242"/>
      <c r="DA4812" s="67"/>
      <c r="DB4812" s="67"/>
      <c r="DC4812" s="67"/>
      <c r="DD4812" s="67"/>
      <c r="DE4812" s="67"/>
      <c r="DF4812" s="67"/>
      <c r="DG4812" s="67"/>
      <c r="DH4812" s="67"/>
      <c r="DI4812" s="67"/>
      <c r="DJ4812" s="67"/>
      <c r="DK4812" s="67"/>
      <c r="DL4812" s="67"/>
      <c r="DM4812" s="67"/>
      <c r="DN4812" s="67"/>
      <c r="DO4812" s="67"/>
      <c r="DP4812" s="67"/>
      <c r="DQ4812" s="166"/>
      <c r="DR4812" s="166"/>
      <c r="DS4812" s="163"/>
      <c r="DT4812" s="163"/>
      <c r="DU4812" s="67"/>
      <c r="DV4812" s="67"/>
      <c r="DW4812" s="67"/>
      <c r="DX4812" s="67"/>
      <c r="DY4812" s="67"/>
      <c r="DZ4812" s="67"/>
      <c r="EA4812" s="67"/>
      <c r="EB4812" s="67"/>
      <c r="EC4812" s="67"/>
      <c r="ED4812" s="67"/>
      <c r="EE4812" s="67"/>
      <c r="EF4812" s="67"/>
      <c r="EG4812" s="67"/>
      <c r="EH4812" s="67"/>
      <c r="EI4812" s="67"/>
      <c r="EJ4812" s="67"/>
      <c r="EK4812" s="94"/>
      <c r="EL4812" s="94"/>
      <c r="EM4812" s="67"/>
      <c r="EN4812" s="67"/>
      <c r="EO4812" s="67"/>
      <c r="EP4812" s="67"/>
      <c r="EQ4812" s="67"/>
      <c r="ER4812" s="67"/>
      <c r="ES4812" s="67"/>
      <c r="ET4812" s="67"/>
      <c r="EU4812" s="67"/>
      <c r="EV4812" s="67"/>
      <c r="EW4812" s="67"/>
      <c r="EX4812" s="67"/>
      <c r="EY4812" s="67"/>
      <c r="EZ4812" s="67"/>
      <c r="FA4812" s="67"/>
      <c r="FB4812" s="67"/>
      <c r="FC4812" s="67"/>
      <c r="FD4812" s="67"/>
      <c r="FE4812" s="67"/>
      <c r="FF4812" s="67"/>
      <c r="FG4812" s="67"/>
      <c r="FH4812" s="67"/>
      <c r="FI4812" s="67"/>
      <c r="FJ4812" s="67"/>
      <c r="FK4812" s="67"/>
      <c r="FL4812" s="67"/>
      <c r="FM4812" s="67"/>
      <c r="FN4812" s="67"/>
      <c r="FO4812" s="67"/>
      <c r="FP4812" s="67"/>
      <c r="FQ4812" s="67"/>
      <c r="FR4812" s="67"/>
      <c r="FS4812" s="67"/>
      <c r="FT4812" s="67"/>
      <c r="FU4812" s="67"/>
      <c r="FV4812" s="67"/>
      <c r="FW4812" s="67"/>
      <c r="FX4812" s="67"/>
      <c r="FY4812" s="67"/>
      <c r="FZ4812" s="67"/>
      <c r="GA4812" s="67"/>
      <c r="GB4812" s="67"/>
      <c r="GC4812" s="67"/>
      <c r="GD4812" s="67"/>
      <c r="GE4812" s="67"/>
      <c r="GF4812" s="67"/>
      <c r="GG4812" s="67"/>
      <c r="GH4812" s="67"/>
      <c r="GI4812" s="67"/>
      <c r="GJ4812" s="67"/>
      <c r="GK4812" s="67"/>
      <c r="GL4812" s="67"/>
      <c r="GM4812" s="67"/>
      <c r="GN4812" s="292"/>
      <c r="GO4812" s="292"/>
      <c r="GP4812" s="292" t="s">
        <v>7494</v>
      </c>
      <c r="GQ4812" s="67"/>
      <c r="GR4812" s="67"/>
      <c r="GS4812" s="67"/>
      <c r="GT4812" s="67"/>
      <c r="GU4812" s="67"/>
      <c r="GV4812" s="67"/>
      <c r="GW4812" s="67"/>
      <c r="GX4812" s="67"/>
      <c r="GY4812" s="67"/>
      <c r="GZ4812" s="67"/>
      <c r="HA4812" s="67"/>
      <c r="HB4812" s="67"/>
      <c r="HC4812" s="67"/>
      <c r="HD4812" s="67"/>
      <c r="HE4812" s="67"/>
      <c r="HF4812" s="67"/>
      <c r="HG4812" s="67"/>
      <c r="HH4812" s="67"/>
      <c r="HI4812" s="67"/>
      <c r="HJ4812" s="67"/>
      <c r="HK4812" s="67"/>
      <c r="HL4812" s="67"/>
      <c r="HM4812" s="67"/>
      <c r="HN4812" s="67"/>
      <c r="HO4812" s="67"/>
      <c r="HP4812" s="67"/>
      <c r="HQ4812" s="67"/>
      <c r="HR4812" s="67"/>
      <c r="HS4812" s="67">
        <v>0.93</v>
      </c>
      <c r="HT4812" s="67">
        <v>1.08</v>
      </c>
      <c r="HU4812" s="67">
        <f>SQRT(2)*0.16</f>
        <v>0.22627416997969524</v>
      </c>
      <c r="HV4812" s="67">
        <f>SQRT(2)*0.06</f>
        <v>8.4852813742385708E-2</v>
      </c>
      <c r="HW4812" s="67" t="s">
        <v>5659</v>
      </c>
      <c r="HX4812" s="67"/>
      <c r="HY4812" s="67"/>
      <c r="HZ4812" s="67"/>
      <c r="IA4812" s="67"/>
      <c r="IB4812" s="67"/>
      <c r="IC4812" s="67">
        <v>15</v>
      </c>
      <c r="ID4812" s="67">
        <v>18</v>
      </c>
      <c r="IE4812" s="67">
        <f>SQRT(2)*3</f>
        <v>4.2426406871192857</v>
      </c>
      <c r="IF4812" s="67">
        <f>SQRT(2)*1</f>
        <v>1.4142135623730951</v>
      </c>
      <c r="IG4812" s="67" t="s">
        <v>5658</v>
      </c>
      <c r="IH4812" s="67"/>
      <c r="II4812" s="67"/>
      <c r="IJ4812" s="67"/>
      <c r="IK4812" s="67"/>
      <c r="IL4812" s="67"/>
      <c r="IM4812" s="67"/>
      <c r="IN4812" s="67"/>
      <c r="IO4812" s="67"/>
      <c r="IP4812" s="67"/>
      <c r="IQ4812" s="67"/>
      <c r="IR4812" s="67"/>
      <c r="IS4812" s="67"/>
      <c r="IT4812" s="67"/>
      <c r="IU4812" s="67"/>
      <c r="IV4812" s="67"/>
      <c r="IW4812" s="67"/>
      <c r="IX4812" s="67"/>
      <c r="IY4812" s="67"/>
      <c r="IZ4812" s="67"/>
      <c r="JA4812" s="67"/>
      <c r="JB4812" s="67"/>
      <c r="JC4812" s="67"/>
      <c r="JD4812" s="67"/>
      <c r="JE4812" s="67"/>
      <c r="JF4812" s="67"/>
      <c r="JG4812" s="67"/>
      <c r="JH4812" s="67"/>
      <c r="JI4812" s="67"/>
      <c r="JJ4812" s="67"/>
      <c r="JK4812" s="67"/>
      <c r="JL4812" s="67">
        <v>30</v>
      </c>
      <c r="JM4812" s="67">
        <v>42</v>
      </c>
      <c r="JN4812" s="67">
        <f>3*SQRT(2)</f>
        <v>4.2426406871192857</v>
      </c>
      <c r="JO4812" s="67">
        <f>1*SQRT(2)</f>
        <v>1.4142135623730951</v>
      </c>
      <c r="JP4812" s="67" t="s">
        <v>3072</v>
      </c>
      <c r="JQ4812" s="67"/>
      <c r="JR4812" s="67"/>
      <c r="JS4812" s="67"/>
      <c r="JT4812" s="67"/>
      <c r="JU4812" s="58"/>
      <c r="JV4812" s="58"/>
      <c r="JW4812" s="58"/>
    </row>
    <row r="4813" spans="1:283" s="23" customFormat="1" x14ac:dyDescent="0.25">
      <c r="A4813" s="55">
        <v>4812</v>
      </c>
      <c r="B4813" s="12" t="s">
        <v>7067</v>
      </c>
      <c r="C4813" s="156">
        <v>215</v>
      </c>
      <c r="D4813" s="58" t="s">
        <v>4887</v>
      </c>
      <c r="E4813" s="160" t="str">
        <f>G4813</f>
        <v>Chirinda et al. 2010_Foulum 1</v>
      </c>
      <c r="F4813" s="160"/>
      <c r="G4813" s="60" t="s">
        <v>4840</v>
      </c>
      <c r="H4813" s="58">
        <v>2010</v>
      </c>
      <c r="I4813" s="58" t="s">
        <v>3181</v>
      </c>
      <c r="J4813" s="243" t="s">
        <v>198</v>
      </c>
      <c r="K4813" s="63" t="s">
        <v>5126</v>
      </c>
      <c r="L4813" s="58" t="s">
        <v>2743</v>
      </c>
      <c r="M4813" s="94">
        <f>56.5</f>
        <v>56.5</v>
      </c>
      <c r="N4813" s="94">
        <f>9+34/60</f>
        <v>9.5666666666666664</v>
      </c>
      <c r="O4813" s="94">
        <v>24</v>
      </c>
      <c r="P4813" s="58"/>
      <c r="Q4813" s="244">
        <v>7.3</v>
      </c>
      <c r="R4813" s="58"/>
      <c r="S4813" s="245">
        <v>704</v>
      </c>
      <c r="T4813" s="58"/>
      <c r="U4813" s="58" t="s">
        <v>1935</v>
      </c>
      <c r="V4813" s="244">
        <v>12</v>
      </c>
      <c r="W4813" s="174"/>
      <c r="X4813" s="174"/>
      <c r="Y4813" s="58" t="s">
        <v>5352</v>
      </c>
      <c r="Z4813" s="244" t="s">
        <v>1367</v>
      </c>
      <c r="AA4813" s="245">
        <v>25</v>
      </c>
      <c r="AB4813" s="67"/>
      <c r="AC4813" s="67"/>
      <c r="AD4813" s="94">
        <v>1.35</v>
      </c>
      <c r="AE4813" s="94">
        <v>78</v>
      </c>
      <c r="AF4813" s="94">
        <v>13</v>
      </c>
      <c r="AG4813" s="245">
        <v>9</v>
      </c>
      <c r="AH4813" s="58" t="s">
        <v>238</v>
      </c>
      <c r="AI4813" s="169">
        <v>6.5</v>
      </c>
      <c r="AJ4813" s="94">
        <v>2.2999999999999998</v>
      </c>
      <c r="AK4813" s="94"/>
      <c r="AL4813" s="58"/>
      <c r="AM4813" s="58" t="s">
        <v>1291</v>
      </c>
      <c r="AN4813" s="186" t="s">
        <v>176</v>
      </c>
      <c r="AO4813" s="185" t="s">
        <v>5150</v>
      </c>
      <c r="AP4813" s="58"/>
      <c r="AQ4813" s="58" t="s">
        <v>176</v>
      </c>
      <c r="AR4813" s="58" t="s">
        <v>5657</v>
      </c>
      <c r="AS4813" s="246" t="s">
        <v>4584</v>
      </c>
      <c r="AT4813" s="247">
        <v>1</v>
      </c>
      <c r="AU4813" s="181" t="s">
        <v>7494</v>
      </c>
      <c r="AV4813" s="185" t="s">
        <v>176</v>
      </c>
      <c r="AW4813" s="244">
        <v>1</v>
      </c>
      <c r="AX4813" s="185" t="s">
        <v>176</v>
      </c>
      <c r="AY4813" s="244" t="s">
        <v>176</v>
      </c>
      <c r="AZ4813" s="58"/>
      <c r="BA4813" s="58"/>
      <c r="BB4813" s="58"/>
      <c r="BC4813" s="58"/>
      <c r="BD4813" s="58"/>
      <c r="BE4813" s="236" t="s">
        <v>5158</v>
      </c>
      <c r="BF4813" s="58" t="s">
        <v>479</v>
      </c>
      <c r="BG4813" s="58" t="s">
        <v>479</v>
      </c>
      <c r="BH4813" s="236" t="s">
        <v>5231</v>
      </c>
      <c r="BI4813" s="58" t="s">
        <v>479</v>
      </c>
      <c r="BJ4813" s="58" t="str">
        <f>IF(BE4813=BH4813,"No","yes")</f>
        <v>yes</v>
      </c>
      <c r="BK4813" s="58" t="s">
        <v>6334</v>
      </c>
      <c r="BL4813" s="58"/>
      <c r="BM4813" s="237" t="s">
        <v>160</v>
      </c>
      <c r="BN4813" s="244">
        <v>2</v>
      </c>
      <c r="BO4813" s="244">
        <v>2</v>
      </c>
      <c r="BP4813" s="58"/>
      <c r="BQ4813" s="58"/>
      <c r="BR4813" s="58"/>
      <c r="BS4813" s="58"/>
      <c r="BT4813" s="58"/>
      <c r="BU4813" s="58"/>
      <c r="BV4813" s="58"/>
      <c r="BW4813" s="67"/>
      <c r="BX4813" s="67"/>
      <c r="BY4813" s="67"/>
      <c r="BZ4813" s="67"/>
      <c r="CA4813" s="67"/>
      <c r="CB4813" s="70"/>
      <c r="CC4813" s="70"/>
      <c r="CD4813" s="70"/>
      <c r="CE4813" s="67"/>
      <c r="CF4813" s="67"/>
      <c r="CG4813" s="67"/>
      <c r="CH4813" s="245"/>
      <c r="CI4813" s="245"/>
      <c r="CJ4813" s="67"/>
      <c r="CK4813" s="67"/>
      <c r="CL4813" s="67"/>
      <c r="CM4813" s="242"/>
      <c r="CN4813" s="242"/>
      <c r="CO4813" s="242"/>
      <c r="CP4813" s="242"/>
      <c r="CQ4813" s="242" t="s">
        <v>164</v>
      </c>
      <c r="CR4813" s="242"/>
      <c r="CS4813" s="242"/>
      <c r="CT4813" s="242"/>
      <c r="CU4813" s="242"/>
      <c r="CV4813" s="242"/>
      <c r="CW4813" s="242"/>
      <c r="CX4813" s="242"/>
      <c r="CY4813" s="242"/>
      <c r="CZ4813" s="242"/>
      <c r="DA4813" s="67"/>
      <c r="DB4813" s="67"/>
      <c r="DC4813" s="67"/>
      <c r="DD4813" s="67"/>
      <c r="DE4813" s="67"/>
      <c r="DF4813" s="67"/>
      <c r="DG4813" s="67"/>
      <c r="DH4813" s="67"/>
      <c r="DI4813" s="67"/>
      <c r="DJ4813" s="67"/>
      <c r="DK4813" s="67"/>
      <c r="DL4813" s="67"/>
      <c r="DM4813" s="67"/>
      <c r="DN4813" s="67"/>
      <c r="DO4813" s="67"/>
      <c r="DP4813" s="67"/>
      <c r="DQ4813" s="166"/>
      <c r="DR4813" s="166"/>
      <c r="DS4813" s="163"/>
      <c r="DT4813" s="163"/>
      <c r="DU4813" s="67"/>
      <c r="DV4813" s="67"/>
      <c r="DW4813" s="67"/>
      <c r="DX4813" s="67"/>
      <c r="DY4813" s="67"/>
      <c r="DZ4813" s="67"/>
      <c r="EA4813" s="67"/>
      <c r="EB4813" s="67"/>
      <c r="EC4813" s="67"/>
      <c r="ED4813" s="67"/>
      <c r="EE4813" s="67"/>
      <c r="EF4813" s="67"/>
      <c r="EG4813" s="67"/>
      <c r="EH4813" s="67"/>
      <c r="EI4813" s="67"/>
      <c r="EJ4813" s="67"/>
      <c r="EK4813" s="94"/>
      <c r="EL4813" s="94"/>
      <c r="EM4813" s="67"/>
      <c r="EN4813" s="67"/>
      <c r="EO4813" s="67"/>
      <c r="EP4813" s="67"/>
      <c r="EQ4813" s="67"/>
      <c r="ER4813" s="67"/>
      <c r="ES4813" s="67"/>
      <c r="ET4813" s="67"/>
      <c r="EU4813" s="67"/>
      <c r="EV4813" s="67"/>
      <c r="EW4813" s="67"/>
      <c r="EX4813" s="67"/>
      <c r="EY4813" s="67"/>
      <c r="EZ4813" s="67"/>
      <c r="FA4813" s="67"/>
      <c r="FB4813" s="67"/>
      <c r="FC4813" s="67"/>
      <c r="FD4813" s="67"/>
      <c r="FE4813" s="67"/>
      <c r="FF4813" s="67"/>
      <c r="FG4813" s="67"/>
      <c r="FH4813" s="67"/>
      <c r="FI4813" s="67"/>
      <c r="FJ4813" s="67"/>
      <c r="FK4813" s="67"/>
      <c r="FL4813" s="67"/>
      <c r="FM4813" s="67"/>
      <c r="FN4813" s="67"/>
      <c r="FO4813" s="67"/>
      <c r="FP4813" s="67"/>
      <c r="FQ4813" s="67"/>
      <c r="FR4813" s="67"/>
      <c r="FS4813" s="67"/>
      <c r="FT4813" s="67"/>
      <c r="FU4813" s="67"/>
      <c r="FV4813" s="67"/>
      <c r="FW4813" s="67"/>
      <c r="FX4813" s="67"/>
      <c r="FY4813" s="67"/>
      <c r="FZ4813" s="67"/>
      <c r="GA4813" s="67"/>
      <c r="GB4813" s="67"/>
      <c r="GC4813" s="67"/>
      <c r="GD4813" s="67"/>
      <c r="GE4813" s="67"/>
      <c r="GF4813" s="67"/>
      <c r="GG4813" s="67"/>
      <c r="GH4813" s="67"/>
      <c r="GI4813" s="67"/>
      <c r="GJ4813" s="67"/>
      <c r="GK4813" s="67"/>
      <c r="GL4813" s="67"/>
      <c r="GM4813" s="67"/>
      <c r="GN4813" s="292"/>
      <c r="GO4813" s="292"/>
      <c r="GP4813" s="292" t="s">
        <v>7494</v>
      </c>
      <c r="GQ4813" s="67"/>
      <c r="GR4813" s="67"/>
      <c r="GS4813" s="67"/>
      <c r="GT4813" s="67"/>
      <c r="GU4813" s="67"/>
      <c r="GV4813" s="67"/>
      <c r="GW4813" s="67"/>
      <c r="GX4813" s="67"/>
      <c r="GY4813" s="67"/>
      <c r="GZ4813" s="67"/>
      <c r="HA4813" s="67"/>
      <c r="HB4813" s="67"/>
      <c r="HC4813" s="67"/>
      <c r="HD4813" s="67"/>
      <c r="HE4813" s="67"/>
      <c r="HF4813" s="67"/>
      <c r="HG4813" s="67"/>
      <c r="HH4813" s="67"/>
      <c r="HI4813" s="67"/>
      <c r="HJ4813" s="67"/>
      <c r="HK4813" s="67"/>
      <c r="HL4813" s="67"/>
      <c r="HM4813" s="67"/>
      <c r="HN4813" s="67"/>
      <c r="HO4813" s="67"/>
      <c r="HP4813" s="67"/>
      <c r="HQ4813" s="67"/>
      <c r="HR4813" s="67"/>
      <c r="HS4813" s="67">
        <v>1.02</v>
      </c>
      <c r="HT4813" s="67">
        <v>1.49</v>
      </c>
      <c r="HU4813" s="67">
        <f>SQRT(2)*0.08</f>
        <v>0.11313708498984762</v>
      </c>
      <c r="HV4813" s="67">
        <f>SQRT(2)*0.48</f>
        <v>0.67882250993908566</v>
      </c>
      <c r="HW4813" s="67" t="s">
        <v>5659</v>
      </c>
      <c r="HX4813" s="67"/>
      <c r="HY4813" s="67"/>
      <c r="HZ4813" s="67"/>
      <c r="IA4813" s="67"/>
      <c r="IB4813" s="67"/>
      <c r="IC4813" s="67">
        <v>15</v>
      </c>
      <c r="ID4813" s="67">
        <v>17</v>
      </c>
      <c r="IE4813" s="67">
        <f>SQRT(2)*1</f>
        <v>1.4142135623730951</v>
      </c>
      <c r="IF4813" s="67">
        <f>SQRT(2)*1</f>
        <v>1.4142135623730951</v>
      </c>
      <c r="IG4813" s="67" t="s">
        <v>5658</v>
      </c>
      <c r="IH4813" s="67"/>
      <c r="II4813" s="67"/>
      <c r="IJ4813" s="67"/>
      <c r="IK4813" s="67"/>
      <c r="IL4813" s="67"/>
      <c r="IM4813" s="67"/>
      <c r="IN4813" s="67"/>
      <c r="IO4813" s="67"/>
      <c r="IP4813" s="67"/>
      <c r="IQ4813" s="67"/>
      <c r="IR4813" s="67"/>
      <c r="IS4813" s="67"/>
      <c r="IT4813" s="67"/>
      <c r="IU4813" s="67"/>
      <c r="IV4813" s="67"/>
      <c r="IW4813" s="67"/>
      <c r="IX4813" s="67"/>
      <c r="IY4813" s="67"/>
      <c r="IZ4813" s="67"/>
      <c r="JA4813" s="67"/>
      <c r="JB4813" s="67"/>
      <c r="JC4813" s="67"/>
      <c r="JD4813" s="67"/>
      <c r="JE4813" s="67"/>
      <c r="JF4813" s="67"/>
      <c r="JG4813" s="67"/>
      <c r="JH4813" s="67"/>
      <c r="JI4813" s="67"/>
      <c r="JJ4813" s="67"/>
      <c r="JK4813" s="67"/>
      <c r="JL4813" s="67">
        <v>27</v>
      </c>
      <c r="JM4813" s="67">
        <v>33</v>
      </c>
      <c r="JN4813" s="67">
        <f>2*SQRT(2)</f>
        <v>2.8284271247461903</v>
      </c>
      <c r="JO4813" s="67">
        <f>3*SQRT(2)</f>
        <v>4.2426406871192857</v>
      </c>
      <c r="JP4813" s="67" t="s">
        <v>3072</v>
      </c>
      <c r="JQ4813" s="67"/>
      <c r="JR4813" s="67"/>
      <c r="JS4813" s="67"/>
      <c r="JT4813" s="67"/>
      <c r="JU4813" s="58"/>
      <c r="JV4813" s="58"/>
      <c r="JW4813" s="58"/>
    </row>
    <row r="4814" spans="1:283" s="23" customFormat="1" x14ac:dyDescent="0.25">
      <c r="A4814" s="55">
        <v>4813</v>
      </c>
      <c r="B4814" s="12" t="s">
        <v>7067</v>
      </c>
      <c r="C4814" s="156">
        <v>215</v>
      </c>
      <c r="D4814" s="58" t="s">
        <v>4888</v>
      </c>
      <c r="E4814" s="160" t="str">
        <f>G4814</f>
        <v>Chirinda et al. 2010_Foulum 2</v>
      </c>
      <c r="F4814" s="160"/>
      <c r="G4814" s="60" t="s">
        <v>4839</v>
      </c>
      <c r="H4814" s="58">
        <v>2010</v>
      </c>
      <c r="I4814" s="58" t="s">
        <v>3181</v>
      </c>
      <c r="J4814" s="243" t="s">
        <v>198</v>
      </c>
      <c r="K4814" s="63" t="s">
        <v>5126</v>
      </c>
      <c r="L4814" s="58" t="s">
        <v>2743</v>
      </c>
      <c r="M4814" s="94">
        <f>56.5</f>
        <v>56.5</v>
      </c>
      <c r="N4814" s="94">
        <f>9+34/60</f>
        <v>9.5666666666666664</v>
      </c>
      <c r="O4814" s="94">
        <v>24</v>
      </c>
      <c r="P4814" s="58"/>
      <c r="Q4814" s="244">
        <v>7.3</v>
      </c>
      <c r="R4814" s="58"/>
      <c r="S4814" s="245">
        <v>704</v>
      </c>
      <c r="T4814" s="58"/>
      <c r="U4814" s="58" t="s">
        <v>1935</v>
      </c>
      <c r="V4814" s="244">
        <v>12</v>
      </c>
      <c r="W4814" s="174"/>
      <c r="X4814" s="174"/>
      <c r="Y4814" s="58" t="s">
        <v>5352</v>
      </c>
      <c r="Z4814" s="244" t="s">
        <v>1367</v>
      </c>
      <c r="AA4814" s="245">
        <v>25</v>
      </c>
      <c r="AB4814" s="67"/>
      <c r="AC4814" s="67"/>
      <c r="AD4814" s="94">
        <v>1.35</v>
      </c>
      <c r="AE4814" s="94">
        <v>78</v>
      </c>
      <c r="AF4814" s="94">
        <v>13</v>
      </c>
      <c r="AG4814" s="245">
        <v>9</v>
      </c>
      <c r="AH4814" s="58" t="s">
        <v>238</v>
      </c>
      <c r="AI4814" s="169">
        <v>6.5</v>
      </c>
      <c r="AJ4814" s="94">
        <v>2.2999999999999998</v>
      </c>
      <c r="AK4814" s="94"/>
      <c r="AL4814" s="58"/>
      <c r="AM4814" s="58" t="s">
        <v>1291</v>
      </c>
      <c r="AN4814" s="186" t="s">
        <v>5351</v>
      </c>
      <c r="AO4814" s="185" t="s">
        <v>5150</v>
      </c>
      <c r="AP4814" s="58"/>
      <c r="AQ4814" s="58" t="s">
        <v>1546</v>
      </c>
      <c r="AR4814" s="58" t="s">
        <v>5657</v>
      </c>
      <c r="AS4814" s="246" t="s">
        <v>4584</v>
      </c>
      <c r="AT4814" s="247">
        <v>1</v>
      </c>
      <c r="AU4814" s="181" t="s">
        <v>7494</v>
      </c>
      <c r="AV4814" s="185" t="s">
        <v>176</v>
      </c>
      <c r="AW4814" s="244">
        <v>1</v>
      </c>
      <c r="AX4814" s="185" t="s">
        <v>176</v>
      </c>
      <c r="AY4814" s="244" t="s">
        <v>176</v>
      </c>
      <c r="AZ4814" s="58"/>
      <c r="BA4814" s="58"/>
      <c r="BB4814" s="58"/>
      <c r="BC4814" s="58"/>
      <c r="BD4814" s="58"/>
      <c r="BE4814" s="236" t="s">
        <v>5158</v>
      </c>
      <c r="BF4814" s="58" t="s">
        <v>479</v>
      </c>
      <c r="BG4814" s="58" t="s">
        <v>479</v>
      </c>
      <c r="BH4814" s="236" t="s">
        <v>5231</v>
      </c>
      <c r="BI4814" s="58" t="s">
        <v>479</v>
      </c>
      <c r="BJ4814" s="58" t="str">
        <f>IF(BE4814=BH4814,"No","yes")</f>
        <v>yes</v>
      </c>
      <c r="BK4814" s="58" t="s">
        <v>6335</v>
      </c>
      <c r="BL4814" s="58"/>
      <c r="BM4814" s="237" t="s">
        <v>160</v>
      </c>
      <c r="BN4814" s="244">
        <v>2</v>
      </c>
      <c r="BO4814" s="244">
        <v>2</v>
      </c>
      <c r="BP4814" s="58"/>
      <c r="BQ4814" s="58"/>
      <c r="BR4814" s="58"/>
      <c r="BS4814" s="58"/>
      <c r="BT4814" s="58"/>
      <c r="BU4814" s="58"/>
      <c r="BV4814" s="58"/>
      <c r="BW4814" s="67"/>
      <c r="BX4814" s="67"/>
      <c r="BY4814" s="67"/>
      <c r="BZ4814" s="67"/>
      <c r="CA4814" s="67"/>
      <c r="CB4814" s="70"/>
      <c r="CC4814" s="70"/>
      <c r="CD4814" s="70"/>
      <c r="CE4814" s="67"/>
      <c r="CF4814" s="67"/>
      <c r="CG4814" s="67"/>
      <c r="CH4814" s="245"/>
      <c r="CI4814" s="245"/>
      <c r="CJ4814" s="67"/>
      <c r="CK4814" s="67"/>
      <c r="CL4814" s="67"/>
      <c r="CM4814" s="242"/>
      <c r="CN4814" s="242"/>
      <c r="CO4814" s="242"/>
      <c r="CP4814" s="242"/>
      <c r="CQ4814" s="242" t="s">
        <v>164</v>
      </c>
      <c r="CR4814" s="242"/>
      <c r="CS4814" s="242"/>
      <c r="CT4814" s="242"/>
      <c r="CU4814" s="242"/>
      <c r="CV4814" s="242"/>
      <c r="CW4814" s="242"/>
      <c r="CX4814" s="242"/>
      <c r="CY4814" s="242"/>
      <c r="CZ4814" s="242"/>
      <c r="DA4814" s="67"/>
      <c r="DB4814" s="67"/>
      <c r="DC4814" s="67"/>
      <c r="DD4814" s="67"/>
      <c r="DE4814" s="67"/>
      <c r="DF4814" s="67"/>
      <c r="DG4814" s="67"/>
      <c r="DH4814" s="67"/>
      <c r="DI4814" s="67"/>
      <c r="DJ4814" s="67"/>
      <c r="DK4814" s="67"/>
      <c r="DL4814" s="67"/>
      <c r="DM4814" s="67"/>
      <c r="DN4814" s="67"/>
      <c r="DO4814" s="67"/>
      <c r="DP4814" s="67"/>
      <c r="DQ4814" s="166"/>
      <c r="DR4814" s="166"/>
      <c r="DS4814" s="163"/>
      <c r="DT4814" s="163"/>
      <c r="DU4814" s="67"/>
      <c r="DV4814" s="67"/>
      <c r="DW4814" s="67"/>
      <c r="DX4814" s="67"/>
      <c r="DY4814" s="67"/>
      <c r="DZ4814" s="67"/>
      <c r="EA4814" s="67"/>
      <c r="EB4814" s="67"/>
      <c r="EC4814" s="67"/>
      <c r="ED4814" s="67"/>
      <c r="EE4814" s="67"/>
      <c r="EF4814" s="67"/>
      <c r="EG4814" s="67"/>
      <c r="EH4814" s="67"/>
      <c r="EI4814" s="67"/>
      <c r="EJ4814" s="67"/>
      <c r="EK4814" s="94"/>
      <c r="EL4814" s="94"/>
      <c r="EM4814" s="67"/>
      <c r="EN4814" s="67"/>
      <c r="EO4814" s="67"/>
      <c r="EP4814" s="67"/>
      <c r="EQ4814" s="67"/>
      <c r="ER4814" s="67"/>
      <c r="ES4814" s="67"/>
      <c r="ET4814" s="67"/>
      <c r="EU4814" s="67"/>
      <c r="EV4814" s="67"/>
      <c r="EW4814" s="67"/>
      <c r="EX4814" s="67"/>
      <c r="EY4814" s="67"/>
      <c r="EZ4814" s="67"/>
      <c r="FA4814" s="67"/>
      <c r="FB4814" s="67"/>
      <c r="FC4814" s="67"/>
      <c r="FD4814" s="67"/>
      <c r="FE4814" s="67"/>
      <c r="FF4814" s="67"/>
      <c r="FG4814" s="67"/>
      <c r="FH4814" s="67"/>
      <c r="FI4814" s="67"/>
      <c r="FJ4814" s="67"/>
      <c r="FK4814" s="67"/>
      <c r="FL4814" s="67"/>
      <c r="FM4814" s="67"/>
      <c r="FN4814" s="67"/>
      <c r="FO4814" s="67"/>
      <c r="FP4814" s="67"/>
      <c r="FQ4814" s="67"/>
      <c r="FR4814" s="67"/>
      <c r="FS4814" s="67"/>
      <c r="FT4814" s="67"/>
      <c r="FU4814" s="67"/>
      <c r="FV4814" s="67"/>
      <c r="FW4814" s="67"/>
      <c r="FX4814" s="67"/>
      <c r="FY4814" s="67"/>
      <c r="FZ4814" s="67"/>
      <c r="GA4814" s="67"/>
      <c r="GB4814" s="67"/>
      <c r="GC4814" s="67"/>
      <c r="GD4814" s="67"/>
      <c r="GE4814" s="67"/>
      <c r="GF4814" s="67"/>
      <c r="GG4814" s="67"/>
      <c r="GH4814" s="67"/>
      <c r="GI4814" s="67"/>
      <c r="GJ4814" s="67"/>
      <c r="GK4814" s="67"/>
      <c r="GL4814" s="67"/>
      <c r="GM4814" s="67"/>
      <c r="GN4814" s="292"/>
      <c r="GO4814" s="292"/>
      <c r="GP4814" s="292" t="s">
        <v>7494</v>
      </c>
      <c r="GQ4814" s="67"/>
      <c r="GR4814" s="67"/>
      <c r="GS4814" s="67"/>
      <c r="GT4814" s="67"/>
      <c r="GU4814" s="67"/>
      <c r="GV4814" s="67"/>
      <c r="GW4814" s="67"/>
      <c r="GX4814" s="67"/>
      <c r="GY4814" s="67"/>
      <c r="GZ4814" s="67"/>
      <c r="HA4814" s="67"/>
      <c r="HB4814" s="67"/>
      <c r="HC4814" s="67"/>
      <c r="HD4814" s="67"/>
      <c r="HE4814" s="67"/>
      <c r="HF4814" s="67"/>
      <c r="HG4814" s="67"/>
      <c r="HH4814" s="67"/>
      <c r="HI4814" s="67"/>
      <c r="HJ4814" s="67"/>
      <c r="HK4814" s="67"/>
      <c r="HL4814" s="67"/>
      <c r="HM4814" s="67"/>
      <c r="HN4814" s="67"/>
      <c r="HO4814" s="67"/>
      <c r="HP4814" s="67"/>
      <c r="HQ4814" s="67"/>
      <c r="HR4814" s="67"/>
      <c r="HS4814" s="67">
        <v>1.02</v>
      </c>
      <c r="HT4814" s="67">
        <v>1.1000000000000001</v>
      </c>
      <c r="HU4814" s="67">
        <f>SQRT(2)*0.08</f>
        <v>0.11313708498984762</v>
      </c>
      <c r="HV4814" s="67">
        <f>SQRT(2)*0.49</f>
        <v>0.69296464556281656</v>
      </c>
      <c r="HW4814" s="67" t="s">
        <v>5659</v>
      </c>
      <c r="HX4814" s="67"/>
      <c r="HY4814" s="67"/>
      <c r="HZ4814" s="67"/>
      <c r="IA4814" s="67"/>
      <c r="IB4814" s="67"/>
      <c r="IC4814" s="67">
        <v>15</v>
      </c>
      <c r="ID4814" s="67">
        <v>22</v>
      </c>
      <c r="IE4814" s="67">
        <f>SQRT(2)*1</f>
        <v>1.4142135623730951</v>
      </c>
      <c r="IF4814" s="67">
        <f>SQRT(2)*2</f>
        <v>2.8284271247461903</v>
      </c>
      <c r="IG4814" s="67" t="s">
        <v>5658</v>
      </c>
      <c r="IH4814" s="67"/>
      <c r="II4814" s="67"/>
      <c r="IJ4814" s="67"/>
      <c r="IK4814" s="67"/>
      <c r="IL4814" s="67"/>
      <c r="IM4814" s="67"/>
      <c r="IN4814" s="67"/>
      <c r="IO4814" s="67"/>
      <c r="IP4814" s="67"/>
      <c r="IQ4814" s="67"/>
      <c r="IR4814" s="67"/>
      <c r="IS4814" s="67"/>
      <c r="IT4814" s="67"/>
      <c r="IU4814" s="67"/>
      <c r="IV4814" s="67"/>
      <c r="IW4814" s="67"/>
      <c r="IX4814" s="67"/>
      <c r="IY4814" s="67"/>
      <c r="IZ4814" s="67"/>
      <c r="JA4814" s="67"/>
      <c r="JB4814" s="67"/>
      <c r="JC4814" s="67"/>
      <c r="JD4814" s="67"/>
      <c r="JE4814" s="67"/>
      <c r="JF4814" s="67"/>
      <c r="JG4814" s="67"/>
      <c r="JH4814" s="67"/>
      <c r="JI4814" s="67"/>
      <c r="JJ4814" s="67"/>
      <c r="JK4814" s="67"/>
      <c r="JL4814" s="67">
        <v>27</v>
      </c>
      <c r="JM4814" s="67">
        <v>35</v>
      </c>
      <c r="JN4814" s="67">
        <f>2*SQRT(2)</f>
        <v>2.8284271247461903</v>
      </c>
      <c r="JO4814" s="67">
        <f>1*SQRT(2)</f>
        <v>1.4142135623730951</v>
      </c>
      <c r="JP4814" s="67" t="s">
        <v>3072</v>
      </c>
      <c r="JQ4814" s="67"/>
      <c r="JR4814" s="67"/>
      <c r="JS4814" s="67"/>
      <c r="JT4814" s="67"/>
      <c r="JU4814" s="58"/>
      <c r="JV4814" s="58"/>
      <c r="JW4814" s="58"/>
    </row>
    <row r="4815" spans="1:283" s="23" customFormat="1" x14ac:dyDescent="0.25">
      <c r="A4815" s="55">
        <v>4814</v>
      </c>
      <c r="B4815" s="12" t="s">
        <v>7067</v>
      </c>
      <c r="C4815" s="156">
        <v>215</v>
      </c>
      <c r="D4815" s="58" t="s">
        <v>4889</v>
      </c>
      <c r="E4815" s="160" t="str">
        <f>G4815</f>
        <v>Chirinda et al. 2010_Foulum 3</v>
      </c>
      <c r="F4815" s="160"/>
      <c r="G4815" s="60" t="s">
        <v>4838</v>
      </c>
      <c r="H4815" s="58">
        <v>2010</v>
      </c>
      <c r="I4815" s="58" t="s">
        <v>3181</v>
      </c>
      <c r="J4815" s="243" t="s">
        <v>198</v>
      </c>
      <c r="K4815" s="63" t="s">
        <v>5126</v>
      </c>
      <c r="L4815" s="58" t="s">
        <v>2743</v>
      </c>
      <c r="M4815" s="94">
        <f>56.5</f>
        <v>56.5</v>
      </c>
      <c r="N4815" s="94">
        <f>9+34/60</f>
        <v>9.5666666666666664</v>
      </c>
      <c r="O4815" s="94">
        <v>24</v>
      </c>
      <c r="P4815" s="58"/>
      <c r="Q4815" s="244">
        <v>7.3</v>
      </c>
      <c r="R4815" s="58"/>
      <c r="S4815" s="245">
        <v>704</v>
      </c>
      <c r="T4815" s="58"/>
      <c r="U4815" s="58" t="s">
        <v>1935</v>
      </c>
      <c r="V4815" s="244">
        <v>12</v>
      </c>
      <c r="W4815" s="174"/>
      <c r="X4815" s="174"/>
      <c r="Y4815" s="58" t="s">
        <v>5352</v>
      </c>
      <c r="Z4815" s="244" t="s">
        <v>1367</v>
      </c>
      <c r="AA4815" s="245">
        <v>25</v>
      </c>
      <c r="AB4815" s="67"/>
      <c r="AC4815" s="67"/>
      <c r="AD4815" s="94">
        <v>1.35</v>
      </c>
      <c r="AE4815" s="94">
        <v>78</v>
      </c>
      <c r="AF4815" s="94">
        <v>13</v>
      </c>
      <c r="AG4815" s="245">
        <v>9</v>
      </c>
      <c r="AH4815" s="58" t="s">
        <v>238</v>
      </c>
      <c r="AI4815" s="169">
        <v>6.5</v>
      </c>
      <c r="AJ4815" s="94">
        <v>2.2999999999999998</v>
      </c>
      <c r="AK4815" s="94"/>
      <c r="AL4815" s="58"/>
      <c r="AM4815" s="58" t="s">
        <v>1291</v>
      </c>
      <c r="AN4815" s="186" t="s">
        <v>5351</v>
      </c>
      <c r="AO4815" s="185" t="s">
        <v>5150</v>
      </c>
      <c r="AP4815" s="58"/>
      <c r="AQ4815" s="58" t="s">
        <v>1546</v>
      </c>
      <c r="AR4815" s="58" t="s">
        <v>5657</v>
      </c>
      <c r="AS4815" s="246" t="s">
        <v>4584</v>
      </c>
      <c r="AT4815" s="247">
        <v>1</v>
      </c>
      <c r="AU4815" s="181" t="s">
        <v>7494</v>
      </c>
      <c r="AV4815" s="185" t="s">
        <v>176</v>
      </c>
      <c r="AW4815" s="244">
        <v>1</v>
      </c>
      <c r="AX4815" s="185" t="s">
        <v>176</v>
      </c>
      <c r="AY4815" s="244" t="s">
        <v>176</v>
      </c>
      <c r="AZ4815" s="58"/>
      <c r="BA4815" s="58"/>
      <c r="BB4815" s="58"/>
      <c r="BC4815" s="58"/>
      <c r="BD4815" s="58"/>
      <c r="BE4815" s="236" t="s">
        <v>5158</v>
      </c>
      <c r="BF4815" s="58" t="s">
        <v>479</v>
      </c>
      <c r="BG4815" s="58" t="s">
        <v>479</v>
      </c>
      <c r="BH4815" s="236" t="s">
        <v>5232</v>
      </c>
      <c r="BI4815" s="58" t="s">
        <v>479</v>
      </c>
      <c r="BJ4815" s="58" t="str">
        <f>IF(BE4815=BH4815,"No","yes")</f>
        <v>yes</v>
      </c>
      <c r="BK4815" s="58" t="s">
        <v>6335</v>
      </c>
      <c r="BL4815" s="58"/>
      <c r="BM4815" s="237" t="s">
        <v>160</v>
      </c>
      <c r="BN4815" s="244">
        <v>2</v>
      </c>
      <c r="BO4815" s="244">
        <v>2</v>
      </c>
      <c r="BP4815" s="58"/>
      <c r="BQ4815" s="58"/>
      <c r="BR4815" s="58"/>
      <c r="BS4815" s="58"/>
      <c r="BT4815" s="58"/>
      <c r="BU4815" s="58"/>
      <c r="BV4815" s="58"/>
      <c r="BW4815" s="67"/>
      <c r="BX4815" s="67"/>
      <c r="BY4815" s="67"/>
      <c r="BZ4815" s="67"/>
      <c r="CA4815" s="67"/>
      <c r="CB4815" s="70"/>
      <c r="CC4815" s="70"/>
      <c r="CD4815" s="70"/>
      <c r="CE4815" s="67"/>
      <c r="CF4815" s="67"/>
      <c r="CG4815" s="67"/>
      <c r="CH4815" s="245"/>
      <c r="CI4815" s="245"/>
      <c r="CJ4815" s="67"/>
      <c r="CK4815" s="67"/>
      <c r="CL4815" s="67"/>
      <c r="CM4815" s="242"/>
      <c r="CN4815" s="242"/>
      <c r="CO4815" s="242"/>
      <c r="CP4815" s="242"/>
      <c r="CQ4815" s="242" t="s">
        <v>164</v>
      </c>
      <c r="CR4815" s="242"/>
      <c r="CS4815" s="242"/>
      <c r="CT4815" s="242"/>
      <c r="CU4815" s="242"/>
      <c r="CV4815" s="242"/>
      <c r="CW4815" s="242"/>
      <c r="CX4815" s="242"/>
      <c r="CY4815" s="242"/>
      <c r="CZ4815" s="242"/>
      <c r="DA4815" s="67"/>
      <c r="DB4815" s="67"/>
      <c r="DC4815" s="67"/>
      <c r="DD4815" s="67"/>
      <c r="DE4815" s="67"/>
      <c r="DF4815" s="67"/>
      <c r="DG4815" s="67"/>
      <c r="DH4815" s="67"/>
      <c r="DI4815" s="67"/>
      <c r="DJ4815" s="67"/>
      <c r="DK4815" s="67"/>
      <c r="DL4815" s="67"/>
      <c r="DM4815" s="67"/>
      <c r="DN4815" s="67"/>
      <c r="DO4815" s="67"/>
      <c r="DP4815" s="67"/>
      <c r="DQ4815" s="166"/>
      <c r="DR4815" s="166"/>
      <c r="DS4815" s="163"/>
      <c r="DT4815" s="163"/>
      <c r="DU4815" s="67"/>
      <c r="DV4815" s="67"/>
      <c r="DW4815" s="67"/>
      <c r="DX4815" s="67"/>
      <c r="DY4815" s="67"/>
      <c r="DZ4815" s="67"/>
      <c r="EA4815" s="67"/>
      <c r="EB4815" s="67"/>
      <c r="EC4815" s="67"/>
      <c r="ED4815" s="67"/>
      <c r="EE4815" s="67"/>
      <c r="EF4815" s="67"/>
      <c r="EG4815" s="67"/>
      <c r="EH4815" s="67"/>
      <c r="EI4815" s="67"/>
      <c r="EJ4815" s="67"/>
      <c r="EK4815" s="94"/>
      <c r="EL4815" s="94"/>
      <c r="EM4815" s="67"/>
      <c r="EN4815" s="67"/>
      <c r="EO4815" s="67"/>
      <c r="EP4815" s="67"/>
      <c r="EQ4815" s="67"/>
      <c r="ER4815" s="67"/>
      <c r="ES4815" s="67"/>
      <c r="ET4815" s="67"/>
      <c r="EU4815" s="67"/>
      <c r="EV4815" s="67"/>
      <c r="EW4815" s="67"/>
      <c r="EX4815" s="67"/>
      <c r="EY4815" s="67"/>
      <c r="EZ4815" s="67"/>
      <c r="FA4815" s="67"/>
      <c r="FB4815" s="67"/>
      <c r="FC4815" s="67"/>
      <c r="FD4815" s="67"/>
      <c r="FE4815" s="67"/>
      <c r="FF4815" s="67"/>
      <c r="FG4815" s="67"/>
      <c r="FH4815" s="67"/>
      <c r="FI4815" s="67"/>
      <c r="FJ4815" s="67"/>
      <c r="FK4815" s="67"/>
      <c r="FL4815" s="67"/>
      <c r="FM4815" s="67"/>
      <c r="FN4815" s="67"/>
      <c r="FO4815" s="67"/>
      <c r="FP4815" s="67"/>
      <c r="FQ4815" s="67"/>
      <c r="FR4815" s="67"/>
      <c r="FS4815" s="67"/>
      <c r="FT4815" s="67"/>
      <c r="FU4815" s="67"/>
      <c r="FV4815" s="67"/>
      <c r="FW4815" s="67"/>
      <c r="FX4815" s="67"/>
      <c r="FY4815" s="67"/>
      <c r="FZ4815" s="67"/>
      <c r="GA4815" s="67"/>
      <c r="GB4815" s="67"/>
      <c r="GC4815" s="67"/>
      <c r="GD4815" s="67"/>
      <c r="GE4815" s="67"/>
      <c r="GF4815" s="67"/>
      <c r="GG4815" s="67"/>
      <c r="GH4815" s="67"/>
      <c r="GI4815" s="67"/>
      <c r="GJ4815" s="67"/>
      <c r="GK4815" s="67"/>
      <c r="GL4815" s="67"/>
      <c r="GM4815" s="67"/>
      <c r="GN4815" s="292"/>
      <c r="GO4815" s="292"/>
      <c r="GP4815" s="292" t="s">
        <v>7494</v>
      </c>
      <c r="GQ4815" s="67"/>
      <c r="GR4815" s="67"/>
      <c r="GS4815" s="67"/>
      <c r="GT4815" s="67"/>
      <c r="GU4815" s="67"/>
      <c r="GV4815" s="67"/>
      <c r="GW4815" s="67"/>
      <c r="GX4815" s="67"/>
      <c r="GY4815" s="67"/>
      <c r="GZ4815" s="67"/>
      <c r="HA4815" s="67"/>
      <c r="HB4815" s="67"/>
      <c r="HC4815" s="67"/>
      <c r="HD4815" s="67"/>
      <c r="HE4815" s="67"/>
      <c r="HF4815" s="67"/>
      <c r="HG4815" s="67"/>
      <c r="HH4815" s="67"/>
      <c r="HI4815" s="67"/>
      <c r="HJ4815" s="67"/>
      <c r="HK4815" s="67"/>
      <c r="HL4815" s="67"/>
      <c r="HM4815" s="67"/>
      <c r="HN4815" s="67"/>
      <c r="HO4815" s="67"/>
      <c r="HP4815" s="67"/>
      <c r="HQ4815" s="67"/>
      <c r="HR4815" s="67"/>
      <c r="HS4815" s="67">
        <v>1.02</v>
      </c>
      <c r="HT4815" s="67">
        <v>0.95</v>
      </c>
      <c r="HU4815" s="67">
        <f>SQRT(2)*0.08</f>
        <v>0.11313708498984762</v>
      </c>
      <c r="HV4815" s="67">
        <f>SQRT(2)*0.53</f>
        <v>0.7495331880577405</v>
      </c>
      <c r="HW4815" s="67" t="s">
        <v>5659</v>
      </c>
      <c r="HX4815" s="67"/>
      <c r="HY4815" s="67"/>
      <c r="HZ4815" s="67"/>
      <c r="IA4815" s="67"/>
      <c r="IB4815" s="67"/>
      <c r="IC4815" s="67">
        <v>15</v>
      </c>
      <c r="ID4815" s="67">
        <v>19</v>
      </c>
      <c r="IE4815" s="67">
        <f>SQRT(2)*1</f>
        <v>1.4142135623730951</v>
      </c>
      <c r="IF4815" s="67">
        <f>SQRT(2)*1</f>
        <v>1.4142135623730951</v>
      </c>
      <c r="IG4815" s="67" t="s">
        <v>5658</v>
      </c>
      <c r="IH4815" s="67"/>
      <c r="II4815" s="67"/>
      <c r="IJ4815" s="67"/>
      <c r="IK4815" s="67"/>
      <c r="IL4815" s="67"/>
      <c r="IM4815" s="67"/>
      <c r="IN4815" s="67"/>
      <c r="IO4815" s="67"/>
      <c r="IP4815" s="67"/>
      <c r="IQ4815" s="67"/>
      <c r="IR4815" s="67"/>
      <c r="IS4815" s="67"/>
      <c r="IT4815" s="67"/>
      <c r="IU4815" s="67"/>
      <c r="IV4815" s="67"/>
      <c r="IW4815" s="67"/>
      <c r="IX4815" s="67"/>
      <c r="IY4815" s="67"/>
      <c r="IZ4815" s="67"/>
      <c r="JA4815" s="67"/>
      <c r="JB4815" s="67"/>
      <c r="JC4815" s="67"/>
      <c r="JD4815" s="67"/>
      <c r="JE4815" s="67"/>
      <c r="JF4815" s="67"/>
      <c r="JG4815" s="67"/>
      <c r="JH4815" s="67"/>
      <c r="JI4815" s="67"/>
      <c r="JJ4815" s="67"/>
      <c r="JK4815" s="67"/>
      <c r="JL4815" s="67">
        <v>27</v>
      </c>
      <c r="JM4815" s="67">
        <v>27</v>
      </c>
      <c r="JN4815" s="67">
        <f>2*SQRT(2)</f>
        <v>2.8284271247461903</v>
      </c>
      <c r="JO4815" s="67">
        <f>1*SQRT(2)</f>
        <v>1.4142135623730951</v>
      </c>
      <c r="JP4815" s="67" t="s">
        <v>3072</v>
      </c>
      <c r="JQ4815" s="67"/>
      <c r="JR4815" s="67"/>
      <c r="JS4815" s="67"/>
      <c r="JT4815" s="67"/>
      <c r="JU4815" s="58"/>
      <c r="JV4815" s="58"/>
      <c r="JW4815" s="58"/>
    </row>
    <row r="4816" spans="1:283" s="23" customFormat="1" x14ac:dyDescent="0.25">
      <c r="A4816" s="55">
        <v>4815</v>
      </c>
      <c r="B4816" s="12" t="s">
        <v>7067</v>
      </c>
      <c r="C4816" s="156">
        <v>215</v>
      </c>
      <c r="D4816" s="58" t="s">
        <v>4890</v>
      </c>
      <c r="E4816" s="160" t="str">
        <f>G4816</f>
        <v>Chirinda et al. 2010_Foulum 3</v>
      </c>
      <c r="F4816" s="160"/>
      <c r="G4816" s="60" t="s">
        <v>4838</v>
      </c>
      <c r="H4816" s="58">
        <v>2010</v>
      </c>
      <c r="I4816" s="58" t="s">
        <v>3181</v>
      </c>
      <c r="J4816" s="243" t="s">
        <v>198</v>
      </c>
      <c r="K4816" s="63" t="s">
        <v>5126</v>
      </c>
      <c r="L4816" s="58" t="s">
        <v>2743</v>
      </c>
      <c r="M4816" s="94">
        <f>56.5</f>
        <v>56.5</v>
      </c>
      <c r="N4816" s="94">
        <f>9+34/60</f>
        <v>9.5666666666666664</v>
      </c>
      <c r="O4816" s="94">
        <v>24</v>
      </c>
      <c r="P4816" s="58"/>
      <c r="Q4816" s="244">
        <v>7.3</v>
      </c>
      <c r="R4816" s="58"/>
      <c r="S4816" s="245">
        <v>704</v>
      </c>
      <c r="T4816" s="58"/>
      <c r="U4816" s="58" t="s">
        <v>1935</v>
      </c>
      <c r="V4816" s="244">
        <v>12</v>
      </c>
      <c r="W4816" s="174"/>
      <c r="X4816" s="174"/>
      <c r="Y4816" s="58" t="s">
        <v>5352</v>
      </c>
      <c r="Z4816" s="244" t="s">
        <v>1367</v>
      </c>
      <c r="AA4816" s="245">
        <v>25</v>
      </c>
      <c r="AB4816" s="67"/>
      <c r="AC4816" s="67"/>
      <c r="AD4816" s="94">
        <v>1.35</v>
      </c>
      <c r="AE4816" s="94">
        <v>78</v>
      </c>
      <c r="AF4816" s="94">
        <v>13</v>
      </c>
      <c r="AG4816" s="245">
        <v>9</v>
      </c>
      <c r="AH4816" s="58" t="s">
        <v>238</v>
      </c>
      <c r="AI4816" s="169">
        <v>6.5</v>
      </c>
      <c r="AJ4816" s="94">
        <v>2.2999999999999998</v>
      </c>
      <c r="AK4816" s="94"/>
      <c r="AL4816" s="58"/>
      <c r="AM4816" s="58" t="s">
        <v>1291</v>
      </c>
      <c r="AN4816" s="186" t="s">
        <v>5351</v>
      </c>
      <c r="AO4816" s="185" t="s">
        <v>5150</v>
      </c>
      <c r="AP4816" s="58"/>
      <c r="AQ4816" s="58" t="s">
        <v>1546</v>
      </c>
      <c r="AR4816" s="58" t="s">
        <v>5657</v>
      </c>
      <c r="AS4816" s="246" t="s">
        <v>4584</v>
      </c>
      <c r="AT4816" s="247">
        <v>1</v>
      </c>
      <c r="AU4816" s="181" t="s">
        <v>7494</v>
      </c>
      <c r="AV4816" s="185" t="s">
        <v>176</v>
      </c>
      <c r="AW4816" s="244">
        <v>1</v>
      </c>
      <c r="AX4816" s="185" t="s">
        <v>176</v>
      </c>
      <c r="AY4816" s="244" t="s">
        <v>176</v>
      </c>
      <c r="AZ4816" s="58"/>
      <c r="BA4816" s="58"/>
      <c r="BB4816" s="58"/>
      <c r="BC4816" s="58"/>
      <c r="BD4816" s="58"/>
      <c r="BE4816" s="236" t="s">
        <v>5158</v>
      </c>
      <c r="BF4816" s="58" t="s">
        <v>479</v>
      </c>
      <c r="BG4816" s="58" t="s">
        <v>479</v>
      </c>
      <c r="BH4816" s="236" t="s">
        <v>5232</v>
      </c>
      <c r="BI4816" s="58" t="s">
        <v>479</v>
      </c>
      <c r="BJ4816" s="58" t="str">
        <f>IF(BE4816=BH4816,"No","yes")</f>
        <v>yes</v>
      </c>
      <c r="BK4816" s="58" t="s">
        <v>6335</v>
      </c>
      <c r="BL4816" s="58"/>
      <c r="BM4816" s="237" t="s">
        <v>160</v>
      </c>
      <c r="BN4816" s="244">
        <v>2</v>
      </c>
      <c r="BO4816" s="244">
        <v>2</v>
      </c>
      <c r="BP4816" s="58"/>
      <c r="BQ4816" s="58"/>
      <c r="BR4816" s="58"/>
      <c r="BS4816" s="58"/>
      <c r="BT4816" s="58"/>
      <c r="BU4816" s="58"/>
      <c r="BV4816" s="58"/>
      <c r="BW4816" s="67"/>
      <c r="BX4816" s="67"/>
      <c r="BY4816" s="67"/>
      <c r="BZ4816" s="67"/>
      <c r="CA4816" s="67"/>
      <c r="CB4816" s="70"/>
      <c r="CC4816" s="70"/>
      <c r="CD4816" s="70"/>
      <c r="CE4816" s="67"/>
      <c r="CF4816" s="67"/>
      <c r="CG4816" s="67"/>
      <c r="CH4816" s="245"/>
      <c r="CI4816" s="245"/>
      <c r="CJ4816" s="67"/>
      <c r="CK4816" s="67"/>
      <c r="CL4816" s="67"/>
      <c r="CM4816" s="242"/>
      <c r="CN4816" s="242"/>
      <c r="CO4816" s="242"/>
      <c r="CP4816" s="242"/>
      <c r="CQ4816" s="242" t="s">
        <v>164</v>
      </c>
      <c r="CR4816" s="242"/>
      <c r="CS4816" s="242"/>
      <c r="CT4816" s="242"/>
      <c r="CU4816" s="242"/>
      <c r="CV4816" s="242"/>
      <c r="CW4816" s="242"/>
      <c r="CX4816" s="242"/>
      <c r="CY4816" s="242"/>
      <c r="CZ4816" s="242"/>
      <c r="DA4816" s="67"/>
      <c r="DB4816" s="67"/>
      <c r="DC4816" s="67"/>
      <c r="DD4816" s="67"/>
      <c r="DE4816" s="67"/>
      <c r="DF4816" s="67"/>
      <c r="DG4816" s="67"/>
      <c r="DH4816" s="67"/>
      <c r="DI4816" s="67"/>
      <c r="DJ4816" s="67"/>
      <c r="DK4816" s="67"/>
      <c r="DL4816" s="67"/>
      <c r="DM4816" s="67"/>
      <c r="DN4816" s="67"/>
      <c r="DO4816" s="67"/>
      <c r="DP4816" s="67"/>
      <c r="DQ4816" s="166"/>
      <c r="DR4816" s="166"/>
      <c r="DS4816" s="163"/>
      <c r="DT4816" s="163"/>
      <c r="DU4816" s="67"/>
      <c r="DV4816" s="67"/>
      <c r="DW4816" s="67"/>
      <c r="DX4816" s="67"/>
      <c r="DY4816" s="67"/>
      <c r="DZ4816" s="67"/>
      <c r="EA4816" s="67"/>
      <c r="EB4816" s="67"/>
      <c r="EC4816" s="67"/>
      <c r="ED4816" s="67"/>
      <c r="EE4816" s="67"/>
      <c r="EF4816" s="67"/>
      <c r="EG4816" s="67"/>
      <c r="EH4816" s="67"/>
      <c r="EI4816" s="67"/>
      <c r="EJ4816" s="67"/>
      <c r="EK4816" s="94"/>
      <c r="EL4816" s="94"/>
      <c r="EM4816" s="67"/>
      <c r="EN4816" s="67"/>
      <c r="EO4816" s="67"/>
      <c r="EP4816" s="67"/>
      <c r="EQ4816" s="67"/>
      <c r="ER4816" s="67"/>
      <c r="ES4816" s="67"/>
      <c r="ET4816" s="67"/>
      <c r="EU4816" s="67"/>
      <c r="EV4816" s="67"/>
      <c r="EW4816" s="67"/>
      <c r="EX4816" s="67"/>
      <c r="EY4816" s="67"/>
      <c r="EZ4816" s="67"/>
      <c r="FA4816" s="67"/>
      <c r="FB4816" s="67"/>
      <c r="FC4816" s="67"/>
      <c r="FD4816" s="67"/>
      <c r="FE4816" s="67"/>
      <c r="FF4816" s="67"/>
      <c r="FG4816" s="67"/>
      <c r="FH4816" s="67"/>
      <c r="FI4816" s="67"/>
      <c r="FJ4816" s="67"/>
      <c r="FK4816" s="67"/>
      <c r="FL4816" s="67"/>
      <c r="FM4816" s="67"/>
      <c r="FN4816" s="67"/>
      <c r="FO4816" s="67"/>
      <c r="FP4816" s="67"/>
      <c r="FQ4816" s="67"/>
      <c r="FR4816" s="67"/>
      <c r="FS4816" s="67"/>
      <c r="FT4816" s="67"/>
      <c r="FU4816" s="67"/>
      <c r="FV4816" s="67"/>
      <c r="FW4816" s="67"/>
      <c r="FX4816" s="67"/>
      <c r="FY4816" s="67"/>
      <c r="FZ4816" s="67"/>
      <c r="GA4816" s="67"/>
      <c r="GB4816" s="67"/>
      <c r="GC4816" s="67"/>
      <c r="GD4816" s="67"/>
      <c r="GE4816" s="67"/>
      <c r="GF4816" s="67"/>
      <c r="GG4816" s="67"/>
      <c r="GH4816" s="67"/>
      <c r="GI4816" s="67"/>
      <c r="GJ4816" s="67"/>
      <c r="GK4816" s="67"/>
      <c r="GL4816" s="67"/>
      <c r="GM4816" s="67"/>
      <c r="GN4816" s="292"/>
      <c r="GO4816" s="292"/>
      <c r="GP4816" s="292" t="s">
        <v>7494</v>
      </c>
      <c r="GQ4816" s="67"/>
      <c r="GR4816" s="67"/>
      <c r="GS4816" s="67"/>
      <c r="GT4816" s="67"/>
      <c r="GU4816" s="67"/>
      <c r="GV4816" s="67"/>
      <c r="GW4816" s="67"/>
      <c r="GX4816" s="67"/>
      <c r="GY4816" s="67"/>
      <c r="GZ4816" s="67"/>
      <c r="HA4816" s="67"/>
      <c r="HB4816" s="67"/>
      <c r="HC4816" s="67"/>
      <c r="HD4816" s="67"/>
      <c r="HE4816" s="67"/>
      <c r="HF4816" s="67"/>
      <c r="HG4816" s="67"/>
      <c r="HH4816" s="67"/>
      <c r="HI4816" s="67"/>
      <c r="HJ4816" s="67"/>
      <c r="HK4816" s="67"/>
      <c r="HL4816" s="67"/>
      <c r="HM4816" s="67"/>
      <c r="HN4816" s="67"/>
      <c r="HO4816" s="67"/>
      <c r="HP4816" s="67"/>
      <c r="HQ4816" s="67"/>
      <c r="HR4816" s="67"/>
      <c r="HS4816" s="67">
        <v>1.02</v>
      </c>
      <c r="HT4816" s="67">
        <v>1.1299999999999999</v>
      </c>
      <c r="HU4816" s="67">
        <f>SQRT(2)*0.08</f>
        <v>0.11313708498984762</v>
      </c>
      <c r="HV4816" s="67">
        <f>SQRT(2)*0.78</f>
        <v>1.1030865786510142</v>
      </c>
      <c r="HW4816" s="67" t="s">
        <v>5659</v>
      </c>
      <c r="HX4816" s="67"/>
      <c r="HY4816" s="67"/>
      <c r="HZ4816" s="67"/>
      <c r="IA4816" s="67"/>
      <c r="IB4816" s="67"/>
      <c r="IC4816" s="67">
        <v>15</v>
      </c>
      <c r="ID4816" s="67">
        <v>19</v>
      </c>
      <c r="IE4816" s="67">
        <f>SQRT(2)*1</f>
        <v>1.4142135623730951</v>
      </c>
      <c r="IF4816" s="67">
        <f>SQRT(2)*1</f>
        <v>1.4142135623730951</v>
      </c>
      <c r="IG4816" s="67" t="s">
        <v>5658</v>
      </c>
      <c r="IH4816" s="67"/>
      <c r="II4816" s="67"/>
      <c r="IJ4816" s="67"/>
      <c r="IK4816" s="67"/>
      <c r="IL4816" s="67"/>
      <c r="IM4816" s="67"/>
      <c r="IN4816" s="67"/>
      <c r="IO4816" s="67"/>
      <c r="IP4816" s="67"/>
      <c r="IQ4816" s="67"/>
      <c r="IR4816" s="67"/>
      <c r="IS4816" s="67"/>
      <c r="IT4816" s="67"/>
      <c r="IU4816" s="67"/>
      <c r="IV4816" s="67"/>
      <c r="IW4816" s="67"/>
      <c r="IX4816" s="67"/>
      <c r="IY4816" s="67"/>
      <c r="IZ4816" s="67"/>
      <c r="JA4816" s="67"/>
      <c r="JB4816" s="67"/>
      <c r="JC4816" s="67"/>
      <c r="JD4816" s="67"/>
      <c r="JE4816" s="67"/>
      <c r="JF4816" s="67"/>
      <c r="JG4816" s="67"/>
      <c r="JH4816" s="67"/>
      <c r="JI4816" s="67"/>
      <c r="JJ4816" s="67"/>
      <c r="JK4816" s="67"/>
      <c r="JL4816" s="67">
        <v>27</v>
      </c>
      <c r="JM4816" s="67">
        <v>29</v>
      </c>
      <c r="JN4816" s="67">
        <f>2*SQRT(2)</f>
        <v>2.8284271247461903</v>
      </c>
      <c r="JO4816" s="67">
        <f>3*SQRT(2)</f>
        <v>4.2426406871192857</v>
      </c>
      <c r="JP4816" s="67" t="s">
        <v>3072</v>
      </c>
      <c r="JQ4816" s="67"/>
      <c r="JR4816" s="67"/>
      <c r="JS4816" s="67"/>
      <c r="JT4816" s="67"/>
      <c r="JU4816" s="58"/>
      <c r="JV4816" s="58"/>
      <c r="JW4816" s="58"/>
    </row>
    <row r="4817" spans="1:283" s="23" customFormat="1" x14ac:dyDescent="0.25">
      <c r="A4817" s="55">
        <v>4816</v>
      </c>
      <c r="B4817" s="12" t="s">
        <v>7067</v>
      </c>
      <c r="C4817" s="156">
        <v>215</v>
      </c>
      <c r="D4817" s="58" t="s">
        <v>4887</v>
      </c>
      <c r="E4817" s="160" t="str">
        <f>G4817</f>
        <v>Chirinda et al. 2010_Foulum 1</v>
      </c>
      <c r="F4817" s="160"/>
      <c r="G4817" s="60" t="s">
        <v>4840</v>
      </c>
      <c r="H4817" s="58">
        <v>2010</v>
      </c>
      <c r="I4817" s="58">
        <v>2008</v>
      </c>
      <c r="J4817" s="243" t="s">
        <v>198</v>
      </c>
      <c r="K4817" s="63" t="s">
        <v>5126</v>
      </c>
      <c r="L4817" s="58" t="s">
        <v>2743</v>
      </c>
      <c r="M4817" s="94">
        <f>56.5</f>
        <v>56.5</v>
      </c>
      <c r="N4817" s="94">
        <f>9+34/60</f>
        <v>9.5666666666666664</v>
      </c>
      <c r="O4817" s="94">
        <v>24</v>
      </c>
      <c r="P4817" s="58"/>
      <c r="Q4817" s="244">
        <v>7.3</v>
      </c>
      <c r="R4817" s="58"/>
      <c r="S4817" s="245">
        <v>704</v>
      </c>
      <c r="T4817" s="58"/>
      <c r="U4817" s="58" t="s">
        <v>1889</v>
      </c>
      <c r="V4817" s="244">
        <v>12</v>
      </c>
      <c r="W4817" s="174"/>
      <c r="X4817" s="174"/>
      <c r="Y4817" s="58" t="s">
        <v>5352</v>
      </c>
      <c r="Z4817" s="244" t="s">
        <v>1367</v>
      </c>
      <c r="AA4817" s="245">
        <v>25</v>
      </c>
      <c r="AB4817" s="67"/>
      <c r="AC4817" s="67"/>
      <c r="AD4817" s="94">
        <v>1.35</v>
      </c>
      <c r="AE4817" s="94">
        <v>78</v>
      </c>
      <c r="AF4817" s="94">
        <v>13</v>
      </c>
      <c r="AG4817" s="245">
        <v>9</v>
      </c>
      <c r="AH4817" s="58" t="s">
        <v>238</v>
      </c>
      <c r="AI4817" s="169">
        <v>6.5</v>
      </c>
      <c r="AJ4817" s="94">
        <v>2.2999999999999998</v>
      </c>
      <c r="AK4817" s="94"/>
      <c r="AL4817" s="58"/>
      <c r="AM4817" s="58" t="s">
        <v>1291</v>
      </c>
      <c r="AN4817" s="186" t="s">
        <v>176</v>
      </c>
      <c r="AO4817" s="185" t="s">
        <v>5150</v>
      </c>
      <c r="AP4817" s="58"/>
      <c r="AQ4817" s="58" t="s">
        <v>176</v>
      </c>
      <c r="AR4817" s="58" t="s">
        <v>5657</v>
      </c>
      <c r="AS4817" s="246" t="s">
        <v>4584</v>
      </c>
      <c r="AT4817" s="247">
        <v>1</v>
      </c>
      <c r="AU4817" s="181" t="s">
        <v>7494</v>
      </c>
      <c r="AV4817" s="185" t="s">
        <v>176</v>
      </c>
      <c r="AW4817" s="244">
        <v>1</v>
      </c>
      <c r="AX4817" s="185" t="s">
        <v>176</v>
      </c>
      <c r="AY4817" s="244" t="s">
        <v>176</v>
      </c>
      <c r="AZ4817" s="58"/>
      <c r="BA4817" s="58"/>
      <c r="BB4817" s="58"/>
      <c r="BC4817" s="58"/>
      <c r="BD4817" s="58"/>
      <c r="BE4817" s="236" t="s">
        <v>5158</v>
      </c>
      <c r="BF4817" s="58" t="s">
        <v>479</v>
      </c>
      <c r="BG4817" s="58" t="s">
        <v>479</v>
      </c>
      <c r="BH4817" s="236" t="s">
        <v>5231</v>
      </c>
      <c r="BI4817" s="58" t="s">
        <v>479</v>
      </c>
      <c r="BJ4817" s="58" t="str">
        <f>IF(BE4817=BH4817,"No","yes")</f>
        <v>yes</v>
      </c>
      <c r="BK4817" s="58" t="s">
        <v>6334</v>
      </c>
      <c r="BL4817" s="58"/>
      <c r="BM4817" s="237" t="s">
        <v>160</v>
      </c>
      <c r="BN4817" s="244">
        <v>2</v>
      </c>
      <c r="BO4817" s="244">
        <v>2</v>
      </c>
      <c r="BP4817" s="58"/>
      <c r="BQ4817" s="58"/>
      <c r="BR4817" s="58"/>
      <c r="BS4817" s="58"/>
      <c r="BT4817" s="58"/>
      <c r="BU4817" s="58"/>
      <c r="BV4817" s="58"/>
      <c r="BW4817" s="67"/>
      <c r="BX4817" s="67"/>
      <c r="BY4817" s="67"/>
      <c r="BZ4817" s="67"/>
      <c r="CA4817" s="67"/>
      <c r="CB4817" s="70"/>
      <c r="CC4817" s="70"/>
      <c r="CD4817" s="70"/>
      <c r="CE4817" s="67"/>
      <c r="CF4817" s="67"/>
      <c r="CG4817" s="67"/>
      <c r="CH4817" s="245"/>
      <c r="CI4817" s="245"/>
      <c r="CJ4817" s="67"/>
      <c r="CK4817" s="67"/>
      <c r="CL4817" s="67"/>
      <c r="CM4817" s="242"/>
      <c r="CN4817" s="242"/>
      <c r="CO4817" s="242"/>
      <c r="CP4817" s="242"/>
      <c r="CQ4817" s="242" t="s">
        <v>164</v>
      </c>
      <c r="CR4817" s="242"/>
      <c r="CS4817" s="242"/>
      <c r="CT4817" s="242"/>
      <c r="CU4817" s="242"/>
      <c r="CV4817" s="242"/>
      <c r="CW4817" s="242"/>
      <c r="CX4817" s="242"/>
      <c r="CY4817" s="242"/>
      <c r="CZ4817" s="242"/>
      <c r="DA4817" s="67"/>
      <c r="DB4817" s="67"/>
      <c r="DC4817" s="67"/>
      <c r="DD4817" s="67"/>
      <c r="DE4817" s="67"/>
      <c r="DF4817" s="67"/>
      <c r="DG4817" s="67"/>
      <c r="DH4817" s="67"/>
      <c r="DI4817" s="67"/>
      <c r="DJ4817" s="67"/>
      <c r="DK4817" s="67"/>
      <c r="DL4817" s="67"/>
      <c r="DM4817" s="67"/>
      <c r="DN4817" s="67"/>
      <c r="DO4817" s="67"/>
      <c r="DP4817" s="67"/>
      <c r="DQ4817" s="166"/>
      <c r="DR4817" s="166"/>
      <c r="DS4817" s="163"/>
      <c r="DT4817" s="163"/>
      <c r="DU4817" s="67"/>
      <c r="DV4817" s="67"/>
      <c r="DW4817" s="67"/>
      <c r="DX4817" s="67"/>
      <c r="DY4817" s="67"/>
      <c r="DZ4817" s="67"/>
      <c r="EA4817" s="67"/>
      <c r="EB4817" s="67"/>
      <c r="EC4817" s="67"/>
      <c r="ED4817" s="67"/>
      <c r="EE4817" s="67"/>
      <c r="EF4817" s="67"/>
      <c r="EG4817" s="67"/>
      <c r="EH4817" s="67"/>
      <c r="EI4817" s="67"/>
      <c r="EJ4817" s="67"/>
      <c r="EK4817" s="94"/>
      <c r="EL4817" s="94"/>
      <c r="EM4817" s="67"/>
      <c r="EN4817" s="67"/>
      <c r="EO4817" s="67"/>
      <c r="EP4817" s="67"/>
      <c r="EQ4817" s="67"/>
      <c r="ER4817" s="67"/>
      <c r="ES4817" s="67"/>
      <c r="ET4817" s="67"/>
      <c r="EU4817" s="67"/>
      <c r="EV4817" s="67"/>
      <c r="EW4817" s="67"/>
      <c r="EX4817" s="67"/>
      <c r="EY4817" s="67"/>
      <c r="EZ4817" s="67"/>
      <c r="FA4817" s="67"/>
      <c r="FB4817" s="67"/>
      <c r="FC4817" s="67"/>
      <c r="FD4817" s="67"/>
      <c r="FE4817" s="67"/>
      <c r="FF4817" s="67"/>
      <c r="FG4817" s="67"/>
      <c r="FH4817" s="67"/>
      <c r="FI4817" s="67"/>
      <c r="FJ4817" s="67"/>
      <c r="FK4817" s="67"/>
      <c r="FL4817" s="67"/>
      <c r="FM4817" s="67"/>
      <c r="FN4817" s="67"/>
      <c r="FO4817" s="67"/>
      <c r="FP4817" s="67"/>
      <c r="FQ4817" s="67"/>
      <c r="FR4817" s="67"/>
      <c r="FS4817" s="67"/>
      <c r="FT4817" s="67"/>
      <c r="FU4817" s="67"/>
      <c r="FV4817" s="67"/>
      <c r="FW4817" s="67"/>
      <c r="FX4817" s="67"/>
      <c r="FY4817" s="67"/>
      <c r="FZ4817" s="67"/>
      <c r="GA4817" s="67"/>
      <c r="GB4817" s="67"/>
      <c r="GC4817" s="67"/>
      <c r="GD4817" s="67"/>
      <c r="GE4817" s="67"/>
      <c r="GF4817" s="67"/>
      <c r="GG4817" s="67"/>
      <c r="GH4817" s="67"/>
      <c r="GI4817" s="67"/>
      <c r="GJ4817" s="67"/>
      <c r="GK4817" s="67"/>
      <c r="GL4817" s="67"/>
      <c r="GM4817" s="67"/>
      <c r="GN4817" s="292"/>
      <c r="GO4817" s="292"/>
      <c r="GP4817" s="292" t="s">
        <v>7494</v>
      </c>
      <c r="GQ4817" s="67"/>
      <c r="GR4817" s="67"/>
      <c r="GS4817" s="67"/>
      <c r="GT4817" s="67"/>
      <c r="GU4817" s="67"/>
      <c r="GV4817" s="67"/>
      <c r="GW4817" s="67"/>
      <c r="GX4817" s="67"/>
      <c r="GY4817" s="67"/>
      <c r="GZ4817" s="67"/>
      <c r="HA4817" s="67"/>
      <c r="HB4817" s="67"/>
      <c r="HC4817" s="67"/>
      <c r="HD4817" s="67"/>
      <c r="HE4817" s="67"/>
      <c r="HF4817" s="67"/>
      <c r="HG4817" s="67"/>
      <c r="HH4817" s="67"/>
      <c r="HI4817" s="67"/>
      <c r="HJ4817" s="67"/>
      <c r="HK4817" s="67"/>
      <c r="HL4817" s="67"/>
      <c r="HM4817" s="67"/>
      <c r="HN4817" s="67"/>
      <c r="HO4817" s="67"/>
      <c r="HP4817" s="67"/>
      <c r="HQ4817" s="67"/>
      <c r="HR4817" s="67"/>
      <c r="HS4817" s="67">
        <v>1.44</v>
      </c>
      <c r="HT4817" s="67">
        <v>1.65</v>
      </c>
      <c r="HU4817" s="67">
        <f>SQRT(2)*0.15</f>
        <v>0.21213203435596426</v>
      </c>
      <c r="HV4817" s="67">
        <f>SQRT(2)*0.07</f>
        <v>9.8994949366116664E-2</v>
      </c>
      <c r="HW4817" s="67" t="s">
        <v>5659</v>
      </c>
      <c r="HX4817" s="67"/>
      <c r="HY4817" s="67"/>
      <c r="HZ4817" s="67"/>
      <c r="IA4817" s="67"/>
      <c r="IB4817" s="67"/>
      <c r="IC4817" s="67">
        <v>13</v>
      </c>
      <c r="ID4817" s="67">
        <v>16</v>
      </c>
      <c r="IE4817" s="67">
        <f>SQRT(2)*1</f>
        <v>1.4142135623730951</v>
      </c>
      <c r="IF4817" s="67">
        <f>SQRT(2)*1</f>
        <v>1.4142135623730951</v>
      </c>
      <c r="IG4817" s="67" t="s">
        <v>5658</v>
      </c>
      <c r="IH4817" s="67"/>
      <c r="II4817" s="67"/>
      <c r="IJ4817" s="67"/>
      <c r="IK4817" s="67"/>
      <c r="IL4817" s="67"/>
      <c r="IM4817" s="67"/>
      <c r="IN4817" s="67"/>
      <c r="IO4817" s="67"/>
      <c r="IP4817" s="67"/>
      <c r="IQ4817" s="67"/>
      <c r="IR4817" s="67"/>
      <c r="IS4817" s="67"/>
      <c r="IT4817" s="67"/>
      <c r="IU4817" s="67"/>
      <c r="IV4817" s="67"/>
      <c r="IW4817" s="67"/>
      <c r="IX4817" s="67"/>
      <c r="IY4817" s="67"/>
      <c r="IZ4817" s="67"/>
      <c r="JA4817" s="67"/>
      <c r="JB4817" s="67"/>
      <c r="JC4817" s="67"/>
      <c r="JD4817" s="67"/>
      <c r="JE4817" s="67"/>
      <c r="JF4817" s="67"/>
      <c r="JG4817" s="67"/>
      <c r="JH4817" s="67"/>
      <c r="JI4817" s="67"/>
      <c r="JJ4817" s="67"/>
      <c r="JK4817" s="67"/>
      <c r="JL4817" s="67">
        <v>31</v>
      </c>
      <c r="JM4817" s="67">
        <v>37</v>
      </c>
      <c r="JN4817" s="67">
        <f>1*SQRT(2)</f>
        <v>1.4142135623730951</v>
      </c>
      <c r="JO4817" s="67">
        <f>1*SQRT(2)</f>
        <v>1.4142135623730951</v>
      </c>
      <c r="JP4817" s="67" t="s">
        <v>3072</v>
      </c>
      <c r="JQ4817" s="67"/>
      <c r="JR4817" s="67"/>
      <c r="JS4817" s="67"/>
      <c r="JT4817" s="67"/>
      <c r="JU4817" s="58"/>
      <c r="JV4817" s="58"/>
      <c r="JW4817" s="58"/>
    </row>
    <row r="4818" spans="1:283" s="23" customFormat="1" x14ac:dyDescent="0.25">
      <c r="A4818" s="55">
        <v>4817</v>
      </c>
      <c r="B4818" s="12" t="s">
        <v>7067</v>
      </c>
      <c r="C4818" s="156">
        <v>215</v>
      </c>
      <c r="D4818" s="58" t="s">
        <v>4888</v>
      </c>
      <c r="E4818" s="160" t="str">
        <f>G4818</f>
        <v>Chirinda et al. 2010_Foulum 2</v>
      </c>
      <c r="F4818" s="160"/>
      <c r="G4818" s="60" t="s">
        <v>4839</v>
      </c>
      <c r="H4818" s="58">
        <v>2010</v>
      </c>
      <c r="I4818" s="58">
        <v>2008</v>
      </c>
      <c r="J4818" s="243" t="s">
        <v>198</v>
      </c>
      <c r="K4818" s="63" t="s">
        <v>5126</v>
      </c>
      <c r="L4818" s="58" t="s">
        <v>2743</v>
      </c>
      <c r="M4818" s="94">
        <f>56.5</f>
        <v>56.5</v>
      </c>
      <c r="N4818" s="94">
        <f>9+34/60</f>
        <v>9.5666666666666664</v>
      </c>
      <c r="O4818" s="94">
        <v>24</v>
      </c>
      <c r="P4818" s="58"/>
      <c r="Q4818" s="244">
        <v>7.3</v>
      </c>
      <c r="R4818" s="58"/>
      <c r="S4818" s="245">
        <v>704</v>
      </c>
      <c r="T4818" s="58"/>
      <c r="U4818" s="58" t="s">
        <v>1889</v>
      </c>
      <c r="V4818" s="244">
        <v>12</v>
      </c>
      <c r="W4818" s="174"/>
      <c r="X4818" s="174"/>
      <c r="Y4818" s="58" t="s">
        <v>5352</v>
      </c>
      <c r="Z4818" s="244" t="s">
        <v>1367</v>
      </c>
      <c r="AA4818" s="245">
        <v>25</v>
      </c>
      <c r="AB4818" s="67"/>
      <c r="AC4818" s="67"/>
      <c r="AD4818" s="94">
        <v>1.35</v>
      </c>
      <c r="AE4818" s="94">
        <v>78</v>
      </c>
      <c r="AF4818" s="94">
        <v>13</v>
      </c>
      <c r="AG4818" s="245">
        <v>9</v>
      </c>
      <c r="AH4818" s="58" t="s">
        <v>238</v>
      </c>
      <c r="AI4818" s="169">
        <v>6.5</v>
      </c>
      <c r="AJ4818" s="94">
        <v>2.2999999999999998</v>
      </c>
      <c r="AK4818" s="94"/>
      <c r="AL4818" s="58"/>
      <c r="AM4818" s="58" t="s">
        <v>1291</v>
      </c>
      <c r="AN4818" s="186" t="s">
        <v>5351</v>
      </c>
      <c r="AO4818" s="185" t="s">
        <v>5150</v>
      </c>
      <c r="AP4818" s="58"/>
      <c r="AQ4818" s="58" t="s">
        <v>1546</v>
      </c>
      <c r="AR4818" s="58" t="s">
        <v>5657</v>
      </c>
      <c r="AS4818" s="246" t="s">
        <v>4584</v>
      </c>
      <c r="AT4818" s="247">
        <v>1</v>
      </c>
      <c r="AU4818" s="181" t="s">
        <v>7494</v>
      </c>
      <c r="AV4818" s="185" t="s">
        <v>176</v>
      </c>
      <c r="AW4818" s="244">
        <v>1</v>
      </c>
      <c r="AX4818" s="185" t="s">
        <v>176</v>
      </c>
      <c r="AY4818" s="244" t="s">
        <v>176</v>
      </c>
      <c r="AZ4818" s="58"/>
      <c r="BA4818" s="58"/>
      <c r="BB4818" s="58"/>
      <c r="BC4818" s="58"/>
      <c r="BD4818" s="58"/>
      <c r="BE4818" s="236" t="s">
        <v>5158</v>
      </c>
      <c r="BF4818" s="58" t="s">
        <v>479</v>
      </c>
      <c r="BG4818" s="58" t="s">
        <v>479</v>
      </c>
      <c r="BH4818" s="236" t="s">
        <v>5231</v>
      </c>
      <c r="BI4818" s="58" t="s">
        <v>479</v>
      </c>
      <c r="BJ4818" s="58" t="str">
        <f>IF(BE4818=BH4818,"No","yes")</f>
        <v>yes</v>
      </c>
      <c r="BK4818" s="58" t="s">
        <v>6335</v>
      </c>
      <c r="BL4818" s="58"/>
      <c r="BM4818" s="237" t="s">
        <v>160</v>
      </c>
      <c r="BN4818" s="244">
        <v>2</v>
      </c>
      <c r="BO4818" s="244">
        <v>2</v>
      </c>
      <c r="BP4818" s="58"/>
      <c r="BQ4818" s="58"/>
      <c r="BR4818" s="58"/>
      <c r="BS4818" s="58"/>
      <c r="BT4818" s="58"/>
      <c r="BU4818" s="58"/>
      <c r="BV4818" s="58"/>
      <c r="BW4818" s="67"/>
      <c r="BX4818" s="67"/>
      <c r="BY4818" s="67"/>
      <c r="BZ4818" s="67"/>
      <c r="CA4818" s="67"/>
      <c r="CB4818" s="70"/>
      <c r="CC4818" s="70"/>
      <c r="CD4818" s="70"/>
      <c r="CE4818" s="67"/>
      <c r="CF4818" s="67"/>
      <c r="CG4818" s="67"/>
      <c r="CH4818" s="245"/>
      <c r="CI4818" s="245"/>
      <c r="CJ4818" s="67"/>
      <c r="CK4818" s="67"/>
      <c r="CL4818" s="67"/>
      <c r="CM4818" s="242"/>
      <c r="CN4818" s="242"/>
      <c r="CO4818" s="242"/>
      <c r="CP4818" s="242"/>
      <c r="CQ4818" s="242" t="s">
        <v>164</v>
      </c>
      <c r="CR4818" s="242"/>
      <c r="CS4818" s="242"/>
      <c r="CT4818" s="242"/>
      <c r="CU4818" s="242"/>
      <c r="CV4818" s="242"/>
      <c r="CW4818" s="242"/>
      <c r="CX4818" s="242"/>
      <c r="CY4818" s="242"/>
      <c r="CZ4818" s="242"/>
      <c r="DA4818" s="67"/>
      <c r="DB4818" s="67"/>
      <c r="DC4818" s="67"/>
      <c r="DD4818" s="67"/>
      <c r="DE4818" s="67"/>
      <c r="DF4818" s="67"/>
      <c r="DG4818" s="67"/>
      <c r="DH4818" s="67"/>
      <c r="DI4818" s="67"/>
      <c r="DJ4818" s="67"/>
      <c r="DK4818" s="67"/>
      <c r="DL4818" s="67"/>
      <c r="DM4818" s="67"/>
      <c r="DN4818" s="67"/>
      <c r="DO4818" s="67"/>
      <c r="DP4818" s="67"/>
      <c r="DQ4818" s="166"/>
      <c r="DR4818" s="166"/>
      <c r="DS4818" s="163"/>
      <c r="DT4818" s="163"/>
      <c r="DU4818" s="67"/>
      <c r="DV4818" s="67"/>
      <c r="DW4818" s="67"/>
      <c r="DX4818" s="67"/>
      <c r="DY4818" s="67"/>
      <c r="DZ4818" s="67"/>
      <c r="EA4818" s="67"/>
      <c r="EB4818" s="67"/>
      <c r="EC4818" s="67"/>
      <c r="ED4818" s="67"/>
      <c r="EE4818" s="67"/>
      <c r="EF4818" s="67"/>
      <c r="EG4818" s="67"/>
      <c r="EH4818" s="67"/>
      <c r="EI4818" s="67"/>
      <c r="EJ4818" s="67"/>
      <c r="EK4818" s="94"/>
      <c r="EL4818" s="94"/>
      <c r="EM4818" s="67"/>
      <c r="EN4818" s="67"/>
      <c r="EO4818" s="67"/>
      <c r="EP4818" s="67"/>
      <c r="EQ4818" s="67"/>
      <c r="ER4818" s="67"/>
      <c r="ES4818" s="67"/>
      <c r="ET4818" s="67"/>
      <c r="EU4818" s="67"/>
      <c r="EV4818" s="67"/>
      <c r="EW4818" s="67"/>
      <c r="EX4818" s="67"/>
      <c r="EY4818" s="67"/>
      <c r="EZ4818" s="67"/>
      <c r="FA4818" s="67"/>
      <c r="FB4818" s="67"/>
      <c r="FC4818" s="67"/>
      <c r="FD4818" s="67"/>
      <c r="FE4818" s="67"/>
      <c r="FF4818" s="67"/>
      <c r="FG4818" s="67"/>
      <c r="FH4818" s="67"/>
      <c r="FI4818" s="67"/>
      <c r="FJ4818" s="67"/>
      <c r="FK4818" s="67"/>
      <c r="FL4818" s="67"/>
      <c r="FM4818" s="67"/>
      <c r="FN4818" s="67"/>
      <c r="FO4818" s="67"/>
      <c r="FP4818" s="67"/>
      <c r="FQ4818" s="67"/>
      <c r="FR4818" s="67"/>
      <c r="FS4818" s="67"/>
      <c r="FT4818" s="67"/>
      <c r="FU4818" s="67"/>
      <c r="FV4818" s="67"/>
      <c r="FW4818" s="67"/>
      <c r="FX4818" s="67"/>
      <c r="FY4818" s="67"/>
      <c r="FZ4818" s="67"/>
      <c r="GA4818" s="67"/>
      <c r="GB4818" s="67"/>
      <c r="GC4818" s="67"/>
      <c r="GD4818" s="67"/>
      <c r="GE4818" s="67"/>
      <c r="GF4818" s="67"/>
      <c r="GG4818" s="67"/>
      <c r="GH4818" s="67"/>
      <c r="GI4818" s="67"/>
      <c r="GJ4818" s="67"/>
      <c r="GK4818" s="67"/>
      <c r="GL4818" s="67"/>
      <c r="GM4818" s="67"/>
      <c r="GN4818" s="292"/>
      <c r="GO4818" s="292"/>
      <c r="GP4818" s="292" t="s">
        <v>7494</v>
      </c>
      <c r="GQ4818" s="67"/>
      <c r="GR4818" s="67"/>
      <c r="GS4818" s="67"/>
      <c r="GT4818" s="67"/>
      <c r="GU4818" s="67"/>
      <c r="GV4818" s="67"/>
      <c r="GW4818" s="67"/>
      <c r="GX4818" s="67"/>
      <c r="GY4818" s="67"/>
      <c r="GZ4818" s="67"/>
      <c r="HA4818" s="67"/>
      <c r="HB4818" s="67"/>
      <c r="HC4818" s="67"/>
      <c r="HD4818" s="67"/>
      <c r="HE4818" s="67"/>
      <c r="HF4818" s="67"/>
      <c r="HG4818" s="67"/>
      <c r="HH4818" s="67"/>
      <c r="HI4818" s="67"/>
      <c r="HJ4818" s="67"/>
      <c r="HK4818" s="67"/>
      <c r="HL4818" s="67"/>
      <c r="HM4818" s="67"/>
      <c r="HN4818" s="67"/>
      <c r="HO4818" s="67"/>
      <c r="HP4818" s="67"/>
      <c r="HQ4818" s="67"/>
      <c r="HR4818" s="67"/>
      <c r="HS4818" s="67">
        <v>1.44</v>
      </c>
      <c r="HT4818" s="67">
        <v>2.12</v>
      </c>
      <c r="HU4818" s="67">
        <f>SQRT(2)*0.15</f>
        <v>0.21213203435596426</v>
      </c>
      <c r="HV4818" s="67">
        <f>SQRT(2)*0.09</f>
        <v>0.12727922061357855</v>
      </c>
      <c r="HW4818" s="67" t="s">
        <v>5659</v>
      </c>
      <c r="HX4818" s="67"/>
      <c r="HY4818" s="67"/>
      <c r="HZ4818" s="67"/>
      <c r="IA4818" s="67"/>
      <c r="IB4818" s="67"/>
      <c r="IC4818" s="67">
        <v>13</v>
      </c>
      <c r="ID4818" s="67">
        <v>17</v>
      </c>
      <c r="IE4818" s="67">
        <f>SQRT(2)*1</f>
        <v>1.4142135623730951</v>
      </c>
      <c r="IF4818" s="67">
        <f>SQRT(2)*1</f>
        <v>1.4142135623730951</v>
      </c>
      <c r="IG4818" s="67" t="s">
        <v>5658</v>
      </c>
      <c r="IH4818" s="67"/>
      <c r="II4818" s="67"/>
      <c r="IJ4818" s="67"/>
      <c r="IK4818" s="67"/>
      <c r="IL4818" s="67"/>
      <c r="IM4818" s="67"/>
      <c r="IN4818" s="67"/>
      <c r="IO4818" s="67"/>
      <c r="IP4818" s="67"/>
      <c r="IQ4818" s="67"/>
      <c r="IR4818" s="67"/>
      <c r="IS4818" s="67"/>
      <c r="IT4818" s="67"/>
      <c r="IU4818" s="67"/>
      <c r="IV4818" s="67"/>
      <c r="IW4818" s="67"/>
      <c r="IX4818" s="67"/>
      <c r="IY4818" s="67"/>
      <c r="IZ4818" s="67"/>
      <c r="JA4818" s="67"/>
      <c r="JB4818" s="67"/>
      <c r="JC4818" s="67"/>
      <c r="JD4818" s="67"/>
      <c r="JE4818" s="67"/>
      <c r="JF4818" s="67"/>
      <c r="JG4818" s="67"/>
      <c r="JH4818" s="67"/>
      <c r="JI4818" s="67"/>
      <c r="JJ4818" s="67"/>
      <c r="JK4818" s="67"/>
      <c r="JL4818" s="67">
        <v>31</v>
      </c>
      <c r="JM4818" s="67">
        <v>39</v>
      </c>
      <c r="JN4818" s="67">
        <f>1*SQRT(2)</f>
        <v>1.4142135623730951</v>
      </c>
      <c r="JO4818" s="67">
        <f>2*SQRT(2)</f>
        <v>2.8284271247461903</v>
      </c>
      <c r="JP4818" s="67" t="s">
        <v>3072</v>
      </c>
      <c r="JQ4818" s="67"/>
      <c r="JR4818" s="67"/>
      <c r="JS4818" s="67"/>
      <c r="JT4818" s="67"/>
      <c r="JU4818" s="58"/>
      <c r="JV4818" s="58"/>
      <c r="JW4818" s="58"/>
    </row>
    <row r="4819" spans="1:283" s="23" customFormat="1" x14ac:dyDescent="0.25">
      <c r="A4819" s="55">
        <v>4818</v>
      </c>
      <c r="B4819" s="12" t="s">
        <v>7067</v>
      </c>
      <c r="C4819" s="156">
        <v>215</v>
      </c>
      <c r="D4819" s="58" t="s">
        <v>4889</v>
      </c>
      <c r="E4819" s="160" t="str">
        <f>G4819</f>
        <v>Chirinda et al. 2010_Foulum 3</v>
      </c>
      <c r="F4819" s="160"/>
      <c r="G4819" s="60" t="s">
        <v>4838</v>
      </c>
      <c r="H4819" s="58">
        <v>2010</v>
      </c>
      <c r="I4819" s="58">
        <v>2008</v>
      </c>
      <c r="J4819" s="243" t="s">
        <v>198</v>
      </c>
      <c r="K4819" s="63" t="s">
        <v>5126</v>
      </c>
      <c r="L4819" s="58" t="s">
        <v>2743</v>
      </c>
      <c r="M4819" s="94">
        <f>56.5</f>
        <v>56.5</v>
      </c>
      <c r="N4819" s="94">
        <f>9+34/60</f>
        <v>9.5666666666666664</v>
      </c>
      <c r="O4819" s="94">
        <v>24</v>
      </c>
      <c r="P4819" s="58"/>
      <c r="Q4819" s="244">
        <v>7.3</v>
      </c>
      <c r="R4819" s="58"/>
      <c r="S4819" s="245">
        <v>704</v>
      </c>
      <c r="T4819" s="58"/>
      <c r="U4819" s="58" t="s">
        <v>1889</v>
      </c>
      <c r="V4819" s="244">
        <v>12</v>
      </c>
      <c r="W4819" s="174"/>
      <c r="X4819" s="174"/>
      <c r="Y4819" s="58" t="s">
        <v>5352</v>
      </c>
      <c r="Z4819" s="244" t="s">
        <v>1367</v>
      </c>
      <c r="AA4819" s="245">
        <v>25</v>
      </c>
      <c r="AB4819" s="67"/>
      <c r="AC4819" s="67"/>
      <c r="AD4819" s="94">
        <v>1.35</v>
      </c>
      <c r="AE4819" s="94">
        <v>78</v>
      </c>
      <c r="AF4819" s="94">
        <v>13</v>
      </c>
      <c r="AG4819" s="245">
        <v>9</v>
      </c>
      <c r="AH4819" s="58" t="s">
        <v>238</v>
      </c>
      <c r="AI4819" s="169">
        <v>6.5</v>
      </c>
      <c r="AJ4819" s="94">
        <v>2.2999999999999998</v>
      </c>
      <c r="AK4819" s="94"/>
      <c r="AL4819" s="58"/>
      <c r="AM4819" s="58" t="s">
        <v>1291</v>
      </c>
      <c r="AN4819" s="186" t="s">
        <v>5351</v>
      </c>
      <c r="AO4819" s="185" t="s">
        <v>5150</v>
      </c>
      <c r="AP4819" s="58"/>
      <c r="AQ4819" s="58" t="s">
        <v>1546</v>
      </c>
      <c r="AR4819" s="58" t="s">
        <v>5657</v>
      </c>
      <c r="AS4819" s="246" t="s">
        <v>4584</v>
      </c>
      <c r="AT4819" s="247">
        <v>1</v>
      </c>
      <c r="AU4819" s="181" t="s">
        <v>7494</v>
      </c>
      <c r="AV4819" s="185" t="s">
        <v>176</v>
      </c>
      <c r="AW4819" s="244">
        <v>1</v>
      </c>
      <c r="AX4819" s="185" t="s">
        <v>176</v>
      </c>
      <c r="AY4819" s="244" t="s">
        <v>176</v>
      </c>
      <c r="AZ4819" s="58"/>
      <c r="BA4819" s="58"/>
      <c r="BB4819" s="58"/>
      <c r="BC4819" s="58"/>
      <c r="BD4819" s="58"/>
      <c r="BE4819" s="236" t="s">
        <v>5158</v>
      </c>
      <c r="BF4819" s="58" t="s">
        <v>479</v>
      </c>
      <c r="BG4819" s="58" t="s">
        <v>479</v>
      </c>
      <c r="BH4819" s="236" t="s">
        <v>5232</v>
      </c>
      <c r="BI4819" s="58" t="s">
        <v>479</v>
      </c>
      <c r="BJ4819" s="58" t="str">
        <f>IF(BE4819=BH4819,"No","yes")</f>
        <v>yes</v>
      </c>
      <c r="BK4819" s="58" t="s">
        <v>6335</v>
      </c>
      <c r="BL4819" s="58"/>
      <c r="BM4819" s="237" t="s">
        <v>160</v>
      </c>
      <c r="BN4819" s="244">
        <v>2</v>
      </c>
      <c r="BO4819" s="244">
        <v>2</v>
      </c>
      <c r="BP4819" s="58"/>
      <c r="BQ4819" s="58"/>
      <c r="BR4819" s="58"/>
      <c r="BS4819" s="58"/>
      <c r="BT4819" s="58"/>
      <c r="BU4819" s="58"/>
      <c r="BV4819" s="58"/>
      <c r="BW4819" s="67"/>
      <c r="BX4819" s="67"/>
      <c r="BY4819" s="67"/>
      <c r="BZ4819" s="67"/>
      <c r="CA4819" s="67"/>
      <c r="CB4819" s="70"/>
      <c r="CC4819" s="70"/>
      <c r="CD4819" s="70"/>
      <c r="CE4819" s="67"/>
      <c r="CF4819" s="67"/>
      <c r="CG4819" s="67"/>
      <c r="CH4819" s="245"/>
      <c r="CI4819" s="245"/>
      <c r="CJ4819" s="67"/>
      <c r="CK4819" s="67"/>
      <c r="CL4819" s="67"/>
      <c r="CM4819" s="242"/>
      <c r="CN4819" s="242"/>
      <c r="CO4819" s="242"/>
      <c r="CP4819" s="242"/>
      <c r="CQ4819" s="242" t="s">
        <v>164</v>
      </c>
      <c r="CR4819" s="242"/>
      <c r="CS4819" s="242"/>
      <c r="CT4819" s="242"/>
      <c r="CU4819" s="242"/>
      <c r="CV4819" s="242"/>
      <c r="CW4819" s="242"/>
      <c r="CX4819" s="242"/>
      <c r="CY4819" s="242"/>
      <c r="CZ4819" s="242"/>
      <c r="DA4819" s="67"/>
      <c r="DB4819" s="67"/>
      <c r="DC4819" s="67"/>
      <c r="DD4819" s="67"/>
      <c r="DE4819" s="67"/>
      <c r="DF4819" s="67"/>
      <c r="DG4819" s="67"/>
      <c r="DH4819" s="67"/>
      <c r="DI4819" s="67"/>
      <c r="DJ4819" s="67"/>
      <c r="DK4819" s="67"/>
      <c r="DL4819" s="67"/>
      <c r="DM4819" s="67"/>
      <c r="DN4819" s="67"/>
      <c r="DO4819" s="67"/>
      <c r="DP4819" s="67"/>
      <c r="DQ4819" s="166"/>
      <c r="DR4819" s="166"/>
      <c r="DS4819" s="163"/>
      <c r="DT4819" s="163"/>
      <c r="DU4819" s="67"/>
      <c r="DV4819" s="67"/>
      <c r="DW4819" s="67"/>
      <c r="DX4819" s="67"/>
      <c r="DY4819" s="67"/>
      <c r="DZ4819" s="67"/>
      <c r="EA4819" s="67"/>
      <c r="EB4819" s="67"/>
      <c r="EC4819" s="67"/>
      <c r="ED4819" s="67"/>
      <c r="EE4819" s="67"/>
      <c r="EF4819" s="67"/>
      <c r="EG4819" s="67"/>
      <c r="EH4819" s="67"/>
      <c r="EI4819" s="67"/>
      <c r="EJ4819" s="67"/>
      <c r="EK4819" s="94"/>
      <c r="EL4819" s="94"/>
      <c r="EM4819" s="67"/>
      <c r="EN4819" s="67"/>
      <c r="EO4819" s="67"/>
      <c r="EP4819" s="67"/>
      <c r="EQ4819" s="67"/>
      <c r="ER4819" s="67"/>
      <c r="ES4819" s="67"/>
      <c r="ET4819" s="67"/>
      <c r="EU4819" s="67"/>
      <c r="EV4819" s="67"/>
      <c r="EW4819" s="67"/>
      <c r="EX4819" s="67"/>
      <c r="EY4819" s="67"/>
      <c r="EZ4819" s="67"/>
      <c r="FA4819" s="67"/>
      <c r="FB4819" s="67"/>
      <c r="FC4819" s="67"/>
      <c r="FD4819" s="67"/>
      <c r="FE4819" s="67"/>
      <c r="FF4819" s="67"/>
      <c r="FG4819" s="67"/>
      <c r="FH4819" s="67"/>
      <c r="FI4819" s="67"/>
      <c r="FJ4819" s="67"/>
      <c r="FK4819" s="67"/>
      <c r="FL4819" s="67"/>
      <c r="FM4819" s="67"/>
      <c r="FN4819" s="67"/>
      <c r="FO4819" s="67"/>
      <c r="FP4819" s="67"/>
      <c r="FQ4819" s="67"/>
      <c r="FR4819" s="67"/>
      <c r="FS4819" s="67"/>
      <c r="FT4819" s="67"/>
      <c r="FU4819" s="67"/>
      <c r="FV4819" s="67"/>
      <c r="FW4819" s="67"/>
      <c r="FX4819" s="67"/>
      <c r="FY4819" s="67"/>
      <c r="FZ4819" s="67"/>
      <c r="GA4819" s="67"/>
      <c r="GB4819" s="67"/>
      <c r="GC4819" s="67"/>
      <c r="GD4819" s="67"/>
      <c r="GE4819" s="67"/>
      <c r="GF4819" s="67"/>
      <c r="GG4819" s="67"/>
      <c r="GH4819" s="67"/>
      <c r="GI4819" s="67"/>
      <c r="GJ4819" s="67"/>
      <c r="GK4819" s="67"/>
      <c r="GL4819" s="67"/>
      <c r="GM4819" s="67"/>
      <c r="GN4819" s="292"/>
      <c r="GO4819" s="292"/>
      <c r="GP4819" s="292" t="s">
        <v>7494</v>
      </c>
      <c r="GQ4819" s="67"/>
      <c r="GR4819" s="67"/>
      <c r="GS4819" s="67"/>
      <c r="GT4819" s="67"/>
      <c r="GU4819" s="67"/>
      <c r="GV4819" s="67"/>
      <c r="GW4819" s="67"/>
      <c r="GX4819" s="67"/>
      <c r="GY4819" s="67"/>
      <c r="GZ4819" s="67"/>
      <c r="HA4819" s="67"/>
      <c r="HB4819" s="67"/>
      <c r="HC4819" s="67"/>
      <c r="HD4819" s="67"/>
      <c r="HE4819" s="67"/>
      <c r="HF4819" s="67"/>
      <c r="HG4819" s="67"/>
      <c r="HH4819" s="67"/>
      <c r="HI4819" s="67"/>
      <c r="HJ4819" s="67"/>
      <c r="HK4819" s="67"/>
      <c r="HL4819" s="67"/>
      <c r="HM4819" s="67"/>
      <c r="HN4819" s="67"/>
      <c r="HO4819" s="67"/>
      <c r="HP4819" s="67"/>
      <c r="HQ4819" s="67"/>
      <c r="HR4819" s="67"/>
      <c r="HS4819" s="67">
        <v>1.44</v>
      </c>
      <c r="HT4819" s="67">
        <v>1.88</v>
      </c>
      <c r="HU4819" s="67">
        <f>SQRT(2)*0.15</f>
        <v>0.21213203435596426</v>
      </c>
      <c r="HV4819" s="67">
        <f>SQRT(2)*0.04</f>
        <v>5.656854249492381E-2</v>
      </c>
      <c r="HW4819" s="67" t="s">
        <v>5659</v>
      </c>
      <c r="HX4819" s="67"/>
      <c r="HY4819" s="67"/>
      <c r="HZ4819" s="67"/>
      <c r="IA4819" s="67"/>
      <c r="IB4819" s="67"/>
      <c r="IC4819" s="67">
        <v>13</v>
      </c>
      <c r="ID4819" s="67">
        <v>17</v>
      </c>
      <c r="IE4819" s="67">
        <f>SQRT(2)*1</f>
        <v>1.4142135623730951</v>
      </c>
      <c r="IF4819" s="67">
        <f>SQRT(2)*1</f>
        <v>1.4142135623730951</v>
      </c>
      <c r="IG4819" s="67" t="s">
        <v>5658</v>
      </c>
      <c r="IH4819" s="67"/>
      <c r="II4819" s="67"/>
      <c r="IJ4819" s="67"/>
      <c r="IK4819" s="67"/>
      <c r="IL4819" s="67"/>
      <c r="IM4819" s="67"/>
      <c r="IN4819" s="67"/>
      <c r="IO4819" s="67"/>
      <c r="IP4819" s="67"/>
      <c r="IQ4819" s="67"/>
      <c r="IR4819" s="67"/>
      <c r="IS4819" s="67"/>
      <c r="IT4819" s="67"/>
      <c r="IU4819" s="67"/>
      <c r="IV4819" s="67"/>
      <c r="IW4819" s="67"/>
      <c r="IX4819" s="67"/>
      <c r="IY4819" s="67"/>
      <c r="IZ4819" s="67"/>
      <c r="JA4819" s="67"/>
      <c r="JB4819" s="67"/>
      <c r="JC4819" s="67"/>
      <c r="JD4819" s="67"/>
      <c r="JE4819" s="67"/>
      <c r="JF4819" s="67"/>
      <c r="JG4819" s="67"/>
      <c r="JH4819" s="67"/>
      <c r="JI4819" s="67"/>
      <c r="JJ4819" s="67"/>
      <c r="JK4819" s="67"/>
      <c r="JL4819" s="67">
        <v>31</v>
      </c>
      <c r="JM4819" s="67">
        <v>40</v>
      </c>
      <c r="JN4819" s="67">
        <f>1*SQRT(2)</f>
        <v>1.4142135623730951</v>
      </c>
      <c r="JO4819" s="67">
        <f>2*SQRT(2)</f>
        <v>2.8284271247461903</v>
      </c>
      <c r="JP4819" s="67" t="s">
        <v>3072</v>
      </c>
      <c r="JQ4819" s="67"/>
      <c r="JR4819" s="67"/>
      <c r="JS4819" s="67"/>
      <c r="JT4819" s="67"/>
      <c r="JU4819" s="58"/>
      <c r="JV4819" s="58"/>
      <c r="JW4819" s="58"/>
    </row>
    <row r="4820" spans="1:283" s="23" customFormat="1" x14ac:dyDescent="0.25">
      <c r="A4820" s="55">
        <v>4819</v>
      </c>
      <c r="B4820" s="12" t="s">
        <v>7067</v>
      </c>
      <c r="C4820" s="156">
        <v>215</v>
      </c>
      <c r="D4820" s="58" t="s">
        <v>4890</v>
      </c>
      <c r="E4820" s="160" t="str">
        <f>G4820</f>
        <v>Chirinda et al. 2010_Foulum 3</v>
      </c>
      <c r="F4820" s="160"/>
      <c r="G4820" s="60" t="s">
        <v>4838</v>
      </c>
      <c r="H4820" s="58">
        <v>2010</v>
      </c>
      <c r="I4820" s="58">
        <v>2008</v>
      </c>
      <c r="J4820" s="243" t="s">
        <v>198</v>
      </c>
      <c r="K4820" s="63" t="s">
        <v>5126</v>
      </c>
      <c r="L4820" s="58" t="s">
        <v>2743</v>
      </c>
      <c r="M4820" s="94">
        <f>56.5</f>
        <v>56.5</v>
      </c>
      <c r="N4820" s="94">
        <f>9+34/60</f>
        <v>9.5666666666666664</v>
      </c>
      <c r="O4820" s="94">
        <v>24</v>
      </c>
      <c r="P4820" s="58"/>
      <c r="Q4820" s="244">
        <v>7.3</v>
      </c>
      <c r="R4820" s="58"/>
      <c r="S4820" s="245">
        <v>704</v>
      </c>
      <c r="T4820" s="58"/>
      <c r="U4820" s="58" t="s">
        <v>1889</v>
      </c>
      <c r="V4820" s="244">
        <v>12</v>
      </c>
      <c r="W4820" s="174"/>
      <c r="X4820" s="174"/>
      <c r="Y4820" s="58" t="s">
        <v>5352</v>
      </c>
      <c r="Z4820" s="244" t="s">
        <v>1367</v>
      </c>
      <c r="AA4820" s="245">
        <v>25</v>
      </c>
      <c r="AB4820" s="67"/>
      <c r="AC4820" s="67"/>
      <c r="AD4820" s="94">
        <v>1.35</v>
      </c>
      <c r="AE4820" s="94">
        <v>78</v>
      </c>
      <c r="AF4820" s="94">
        <v>13</v>
      </c>
      <c r="AG4820" s="245">
        <v>9</v>
      </c>
      <c r="AH4820" s="58" t="s">
        <v>238</v>
      </c>
      <c r="AI4820" s="169">
        <v>6.5</v>
      </c>
      <c r="AJ4820" s="94">
        <v>2.2999999999999998</v>
      </c>
      <c r="AK4820" s="94"/>
      <c r="AL4820" s="58"/>
      <c r="AM4820" s="58" t="s">
        <v>1291</v>
      </c>
      <c r="AN4820" s="186" t="s">
        <v>5351</v>
      </c>
      <c r="AO4820" s="185" t="s">
        <v>5150</v>
      </c>
      <c r="AP4820" s="58"/>
      <c r="AQ4820" s="58" t="s">
        <v>1546</v>
      </c>
      <c r="AR4820" s="58" t="s">
        <v>5657</v>
      </c>
      <c r="AS4820" s="246" t="s">
        <v>4584</v>
      </c>
      <c r="AT4820" s="247">
        <v>1</v>
      </c>
      <c r="AU4820" s="181" t="s">
        <v>7494</v>
      </c>
      <c r="AV4820" s="185" t="s">
        <v>176</v>
      </c>
      <c r="AW4820" s="244">
        <v>1</v>
      </c>
      <c r="AX4820" s="185" t="s">
        <v>176</v>
      </c>
      <c r="AY4820" s="244" t="s">
        <v>176</v>
      </c>
      <c r="AZ4820" s="58"/>
      <c r="BA4820" s="58"/>
      <c r="BB4820" s="58"/>
      <c r="BC4820" s="58"/>
      <c r="BD4820" s="58"/>
      <c r="BE4820" s="236" t="s">
        <v>5158</v>
      </c>
      <c r="BF4820" s="58" t="s">
        <v>479</v>
      </c>
      <c r="BG4820" s="58" t="s">
        <v>479</v>
      </c>
      <c r="BH4820" s="236" t="s">
        <v>5232</v>
      </c>
      <c r="BI4820" s="58" t="s">
        <v>479</v>
      </c>
      <c r="BJ4820" s="58" t="str">
        <f>IF(BE4820=BH4820,"No","yes")</f>
        <v>yes</v>
      </c>
      <c r="BK4820" s="58" t="s">
        <v>6335</v>
      </c>
      <c r="BL4820" s="58"/>
      <c r="BM4820" s="237" t="s">
        <v>160</v>
      </c>
      <c r="BN4820" s="244">
        <v>2</v>
      </c>
      <c r="BO4820" s="244">
        <v>2</v>
      </c>
      <c r="BP4820" s="58"/>
      <c r="BQ4820" s="58"/>
      <c r="BR4820" s="58"/>
      <c r="BS4820" s="58"/>
      <c r="BT4820" s="58"/>
      <c r="BU4820" s="58"/>
      <c r="BV4820" s="58"/>
      <c r="BW4820" s="67"/>
      <c r="BX4820" s="67"/>
      <c r="BY4820" s="67"/>
      <c r="BZ4820" s="67"/>
      <c r="CA4820" s="67"/>
      <c r="CB4820" s="70"/>
      <c r="CC4820" s="70"/>
      <c r="CD4820" s="70"/>
      <c r="CE4820" s="67"/>
      <c r="CF4820" s="67"/>
      <c r="CG4820" s="67"/>
      <c r="CH4820" s="245"/>
      <c r="CI4820" s="245"/>
      <c r="CJ4820" s="67"/>
      <c r="CK4820" s="67"/>
      <c r="CL4820" s="67"/>
      <c r="CM4820" s="242"/>
      <c r="CN4820" s="242"/>
      <c r="CO4820" s="242"/>
      <c r="CP4820" s="242"/>
      <c r="CQ4820" s="242" t="s">
        <v>164</v>
      </c>
      <c r="CR4820" s="242"/>
      <c r="CS4820" s="242"/>
      <c r="CT4820" s="242"/>
      <c r="CU4820" s="242"/>
      <c r="CV4820" s="242"/>
      <c r="CW4820" s="242"/>
      <c r="CX4820" s="242"/>
      <c r="CY4820" s="242"/>
      <c r="CZ4820" s="242"/>
      <c r="DA4820" s="67"/>
      <c r="DB4820" s="67"/>
      <c r="DC4820" s="67"/>
      <c r="DD4820" s="67"/>
      <c r="DE4820" s="67"/>
      <c r="DF4820" s="67"/>
      <c r="DG4820" s="67"/>
      <c r="DH4820" s="67"/>
      <c r="DI4820" s="67"/>
      <c r="DJ4820" s="67"/>
      <c r="DK4820" s="67"/>
      <c r="DL4820" s="67"/>
      <c r="DM4820" s="67"/>
      <c r="DN4820" s="67"/>
      <c r="DO4820" s="67"/>
      <c r="DP4820" s="67"/>
      <c r="DQ4820" s="166"/>
      <c r="DR4820" s="166"/>
      <c r="DS4820" s="163"/>
      <c r="DT4820" s="163"/>
      <c r="DU4820" s="67"/>
      <c r="DV4820" s="67"/>
      <c r="DW4820" s="67"/>
      <c r="DX4820" s="67"/>
      <c r="DY4820" s="67"/>
      <c r="DZ4820" s="67"/>
      <c r="EA4820" s="67"/>
      <c r="EB4820" s="67"/>
      <c r="EC4820" s="67"/>
      <c r="ED4820" s="67"/>
      <c r="EE4820" s="67"/>
      <c r="EF4820" s="67"/>
      <c r="EG4820" s="67"/>
      <c r="EH4820" s="67"/>
      <c r="EI4820" s="67"/>
      <c r="EJ4820" s="67"/>
      <c r="EK4820" s="94"/>
      <c r="EL4820" s="94"/>
      <c r="EM4820" s="67"/>
      <c r="EN4820" s="67"/>
      <c r="EO4820" s="67"/>
      <c r="EP4820" s="67"/>
      <c r="EQ4820" s="67"/>
      <c r="ER4820" s="67"/>
      <c r="ES4820" s="67"/>
      <c r="ET4820" s="67"/>
      <c r="EU4820" s="67"/>
      <c r="EV4820" s="67"/>
      <c r="EW4820" s="67"/>
      <c r="EX4820" s="67"/>
      <c r="EY4820" s="67"/>
      <c r="EZ4820" s="67"/>
      <c r="FA4820" s="67"/>
      <c r="FB4820" s="67"/>
      <c r="FC4820" s="67"/>
      <c r="FD4820" s="67"/>
      <c r="FE4820" s="67"/>
      <c r="FF4820" s="67"/>
      <c r="FG4820" s="67"/>
      <c r="FH4820" s="67"/>
      <c r="FI4820" s="67"/>
      <c r="FJ4820" s="67"/>
      <c r="FK4820" s="67"/>
      <c r="FL4820" s="67"/>
      <c r="FM4820" s="67"/>
      <c r="FN4820" s="67"/>
      <c r="FO4820" s="67"/>
      <c r="FP4820" s="67"/>
      <c r="FQ4820" s="67"/>
      <c r="FR4820" s="67"/>
      <c r="FS4820" s="67"/>
      <c r="FT4820" s="67"/>
      <c r="FU4820" s="67"/>
      <c r="FV4820" s="67"/>
      <c r="FW4820" s="67"/>
      <c r="FX4820" s="67"/>
      <c r="FY4820" s="67"/>
      <c r="FZ4820" s="67"/>
      <c r="GA4820" s="67"/>
      <c r="GB4820" s="67"/>
      <c r="GC4820" s="67"/>
      <c r="GD4820" s="67"/>
      <c r="GE4820" s="67"/>
      <c r="GF4820" s="67"/>
      <c r="GG4820" s="67"/>
      <c r="GH4820" s="67"/>
      <c r="GI4820" s="67"/>
      <c r="GJ4820" s="67"/>
      <c r="GK4820" s="67"/>
      <c r="GL4820" s="67"/>
      <c r="GM4820" s="67"/>
      <c r="GN4820" s="292"/>
      <c r="GO4820" s="292"/>
      <c r="GP4820" s="292" t="s">
        <v>7494</v>
      </c>
      <c r="GQ4820" s="67"/>
      <c r="GR4820" s="67"/>
      <c r="GS4820" s="67"/>
      <c r="GT4820" s="67"/>
      <c r="GU4820" s="67"/>
      <c r="GV4820" s="67"/>
      <c r="GW4820" s="67"/>
      <c r="GX4820" s="67"/>
      <c r="GY4820" s="67"/>
      <c r="GZ4820" s="67"/>
      <c r="HA4820" s="67"/>
      <c r="HB4820" s="67"/>
      <c r="HC4820" s="67"/>
      <c r="HD4820" s="67"/>
      <c r="HE4820" s="67"/>
      <c r="HF4820" s="67"/>
      <c r="HG4820" s="67"/>
      <c r="HH4820" s="67"/>
      <c r="HI4820" s="67"/>
      <c r="HJ4820" s="67"/>
      <c r="HK4820" s="67"/>
      <c r="HL4820" s="67"/>
      <c r="HM4820" s="67"/>
      <c r="HN4820" s="67"/>
      <c r="HO4820" s="67"/>
      <c r="HP4820" s="67"/>
      <c r="HQ4820" s="67"/>
      <c r="HR4820" s="67"/>
      <c r="HS4820" s="67">
        <v>1.44</v>
      </c>
      <c r="HT4820" s="67">
        <v>2.1800000000000002</v>
      </c>
      <c r="HU4820" s="67">
        <f>SQRT(2)*0.15</f>
        <v>0.21213203435596426</v>
      </c>
      <c r="HV4820" s="67">
        <f>SQRT(2)*0.11</f>
        <v>0.15556349186104046</v>
      </c>
      <c r="HW4820" s="67" t="s">
        <v>5659</v>
      </c>
      <c r="HX4820" s="67"/>
      <c r="HY4820" s="67"/>
      <c r="HZ4820" s="67"/>
      <c r="IA4820" s="67"/>
      <c r="IB4820" s="67"/>
      <c r="IC4820" s="67">
        <v>13</v>
      </c>
      <c r="ID4820" s="67">
        <v>18</v>
      </c>
      <c r="IE4820" s="67">
        <f>SQRT(2)*1</f>
        <v>1.4142135623730951</v>
      </c>
      <c r="IF4820" s="67">
        <f>SQRT(2)*1</f>
        <v>1.4142135623730951</v>
      </c>
      <c r="IG4820" s="67" t="s">
        <v>5658</v>
      </c>
      <c r="IH4820" s="67"/>
      <c r="II4820" s="67"/>
      <c r="IJ4820" s="67"/>
      <c r="IK4820" s="67"/>
      <c r="IL4820" s="67"/>
      <c r="IM4820" s="67"/>
      <c r="IN4820" s="67"/>
      <c r="IO4820" s="67"/>
      <c r="IP4820" s="67"/>
      <c r="IQ4820" s="67"/>
      <c r="IR4820" s="67"/>
      <c r="IS4820" s="67"/>
      <c r="IT4820" s="67"/>
      <c r="IU4820" s="67"/>
      <c r="IV4820" s="67"/>
      <c r="IW4820" s="67"/>
      <c r="IX4820" s="67"/>
      <c r="IY4820" s="67"/>
      <c r="IZ4820" s="67"/>
      <c r="JA4820" s="67"/>
      <c r="JB4820" s="67"/>
      <c r="JC4820" s="67"/>
      <c r="JD4820" s="67"/>
      <c r="JE4820" s="67"/>
      <c r="JF4820" s="67"/>
      <c r="JG4820" s="67"/>
      <c r="JH4820" s="67"/>
      <c r="JI4820" s="67"/>
      <c r="JJ4820" s="67"/>
      <c r="JK4820" s="67"/>
      <c r="JL4820" s="67">
        <v>31</v>
      </c>
      <c r="JM4820" s="67">
        <v>40</v>
      </c>
      <c r="JN4820" s="67">
        <f>1*SQRT(2)</f>
        <v>1.4142135623730951</v>
      </c>
      <c r="JO4820" s="67">
        <f>1*SQRT(2)</f>
        <v>1.4142135623730951</v>
      </c>
      <c r="JP4820" s="67" t="s">
        <v>3072</v>
      </c>
      <c r="JQ4820" s="67"/>
      <c r="JR4820" s="67"/>
      <c r="JS4820" s="67"/>
      <c r="JT4820" s="67"/>
      <c r="JU4820" s="58"/>
      <c r="JV4820" s="58"/>
      <c r="JW4820" s="58"/>
    </row>
    <row r="4821" spans="1:283" s="23" customFormat="1" x14ac:dyDescent="0.25">
      <c r="A4821" s="55">
        <v>4820</v>
      </c>
      <c r="B4821" s="12" t="s">
        <v>7067</v>
      </c>
      <c r="C4821" s="156">
        <v>215</v>
      </c>
      <c r="D4821" s="58" t="s">
        <v>4887</v>
      </c>
      <c r="E4821" s="160" t="str">
        <f>G4821</f>
        <v>Chirinda et al. 2010_Foulum 1</v>
      </c>
      <c r="F4821" s="160"/>
      <c r="G4821" s="60" t="s">
        <v>4840</v>
      </c>
      <c r="H4821" s="58">
        <v>2010</v>
      </c>
      <c r="I4821" s="58" t="s">
        <v>3181</v>
      </c>
      <c r="J4821" s="243" t="s">
        <v>198</v>
      </c>
      <c r="K4821" s="63" t="s">
        <v>5126</v>
      </c>
      <c r="L4821" s="58" t="s">
        <v>2743</v>
      </c>
      <c r="M4821" s="94">
        <f>56.5</f>
        <v>56.5</v>
      </c>
      <c r="N4821" s="94">
        <f>9+34/60</f>
        <v>9.5666666666666664</v>
      </c>
      <c r="O4821" s="94">
        <v>24</v>
      </c>
      <c r="P4821" s="58"/>
      <c r="Q4821" s="244">
        <v>7.3</v>
      </c>
      <c r="R4821" s="58"/>
      <c r="S4821" s="245">
        <v>704</v>
      </c>
      <c r="T4821" s="58"/>
      <c r="U4821" s="58" t="s">
        <v>1935</v>
      </c>
      <c r="V4821" s="244">
        <v>12</v>
      </c>
      <c r="W4821" s="174"/>
      <c r="X4821" s="174"/>
      <c r="Y4821" s="58" t="s">
        <v>5352</v>
      </c>
      <c r="Z4821" s="244" t="s">
        <v>1367</v>
      </c>
      <c r="AA4821" s="245">
        <v>25</v>
      </c>
      <c r="AB4821" s="67"/>
      <c r="AC4821" s="67"/>
      <c r="AD4821" s="94">
        <v>1.35</v>
      </c>
      <c r="AE4821" s="94">
        <v>78</v>
      </c>
      <c r="AF4821" s="94">
        <v>13</v>
      </c>
      <c r="AG4821" s="245">
        <v>9</v>
      </c>
      <c r="AH4821" s="58" t="s">
        <v>238</v>
      </c>
      <c r="AI4821" s="169">
        <v>6.5</v>
      </c>
      <c r="AJ4821" s="94">
        <v>2.2999999999999998</v>
      </c>
      <c r="AK4821" s="94"/>
      <c r="AL4821" s="58"/>
      <c r="AM4821" s="58" t="s">
        <v>1291</v>
      </c>
      <c r="AN4821" s="186" t="s">
        <v>176</v>
      </c>
      <c r="AO4821" s="185" t="s">
        <v>5150</v>
      </c>
      <c r="AP4821" s="58"/>
      <c r="AQ4821" s="58" t="s">
        <v>176</v>
      </c>
      <c r="AR4821" s="58" t="s">
        <v>5657</v>
      </c>
      <c r="AS4821" s="246" t="s">
        <v>4584</v>
      </c>
      <c r="AT4821" s="247">
        <v>1</v>
      </c>
      <c r="AU4821" s="181" t="s">
        <v>7494</v>
      </c>
      <c r="AV4821" s="185" t="s">
        <v>176</v>
      </c>
      <c r="AW4821" s="244">
        <v>1</v>
      </c>
      <c r="AX4821" s="185" t="s">
        <v>176</v>
      </c>
      <c r="AY4821" s="244" t="s">
        <v>176</v>
      </c>
      <c r="AZ4821" s="58"/>
      <c r="BA4821" s="58"/>
      <c r="BB4821" s="58"/>
      <c r="BC4821" s="58"/>
      <c r="BD4821" s="58"/>
      <c r="BE4821" s="236" t="s">
        <v>5158</v>
      </c>
      <c r="BF4821" s="58" t="s">
        <v>479</v>
      </c>
      <c r="BG4821" s="58" t="s">
        <v>479</v>
      </c>
      <c r="BH4821" s="236" t="s">
        <v>5231</v>
      </c>
      <c r="BI4821" s="58" t="s">
        <v>479</v>
      </c>
      <c r="BJ4821" s="58" t="str">
        <f>IF(BE4821=BH4821,"No","yes")</f>
        <v>yes</v>
      </c>
      <c r="BK4821" s="58" t="s">
        <v>6334</v>
      </c>
      <c r="BL4821" s="58"/>
      <c r="BM4821" s="237" t="s">
        <v>160</v>
      </c>
      <c r="BN4821" s="244">
        <v>2</v>
      </c>
      <c r="BO4821" s="244">
        <v>2</v>
      </c>
      <c r="BP4821" s="58"/>
      <c r="BQ4821" s="58"/>
      <c r="BR4821" s="58"/>
      <c r="BS4821" s="58"/>
      <c r="BT4821" s="58"/>
      <c r="BU4821" s="58"/>
      <c r="BV4821" s="58"/>
      <c r="BW4821" s="67"/>
      <c r="BX4821" s="67"/>
      <c r="BY4821" s="67"/>
      <c r="BZ4821" s="67"/>
      <c r="CA4821" s="67"/>
      <c r="CB4821" s="70"/>
      <c r="CC4821" s="70"/>
      <c r="CD4821" s="70"/>
      <c r="CE4821" s="67"/>
      <c r="CF4821" s="67"/>
      <c r="CG4821" s="67"/>
      <c r="CH4821" s="245"/>
      <c r="CI4821" s="245"/>
      <c r="CJ4821" s="67"/>
      <c r="CK4821" s="67"/>
      <c r="CL4821" s="67"/>
      <c r="CM4821" s="242"/>
      <c r="CN4821" s="242"/>
      <c r="CO4821" s="242"/>
      <c r="CP4821" s="242"/>
      <c r="CQ4821" s="242" t="s">
        <v>164</v>
      </c>
      <c r="CR4821" s="242"/>
      <c r="CS4821" s="242"/>
      <c r="CT4821" s="242"/>
      <c r="CU4821" s="242"/>
      <c r="CV4821" s="242"/>
      <c r="CW4821" s="242"/>
      <c r="CX4821" s="242"/>
      <c r="CY4821" s="242"/>
      <c r="CZ4821" s="242"/>
      <c r="DA4821" s="67"/>
      <c r="DB4821" s="67"/>
      <c r="DC4821" s="67"/>
      <c r="DD4821" s="67"/>
      <c r="DE4821" s="67"/>
      <c r="DF4821" s="67"/>
      <c r="DG4821" s="67"/>
      <c r="DH4821" s="67"/>
      <c r="DI4821" s="67"/>
      <c r="DJ4821" s="67"/>
      <c r="DK4821" s="67"/>
      <c r="DL4821" s="67"/>
      <c r="DM4821" s="67"/>
      <c r="DN4821" s="67"/>
      <c r="DO4821" s="67"/>
      <c r="DP4821" s="67"/>
      <c r="DQ4821" s="166"/>
      <c r="DR4821" s="166"/>
      <c r="DS4821" s="163"/>
      <c r="DT4821" s="163"/>
      <c r="DU4821" s="67"/>
      <c r="DV4821" s="67"/>
      <c r="DW4821" s="67"/>
      <c r="DX4821" s="67"/>
      <c r="DY4821" s="67"/>
      <c r="DZ4821" s="67"/>
      <c r="EA4821" s="67"/>
      <c r="EB4821" s="67"/>
      <c r="EC4821" s="67"/>
      <c r="ED4821" s="67"/>
      <c r="EE4821" s="67"/>
      <c r="EF4821" s="67"/>
      <c r="EG4821" s="67"/>
      <c r="EH4821" s="67"/>
      <c r="EI4821" s="67"/>
      <c r="EJ4821" s="67"/>
      <c r="EK4821" s="94"/>
      <c r="EL4821" s="94"/>
      <c r="EM4821" s="67"/>
      <c r="EN4821" s="67"/>
      <c r="EO4821" s="67"/>
      <c r="EP4821" s="67"/>
      <c r="EQ4821" s="67"/>
      <c r="ER4821" s="67"/>
      <c r="ES4821" s="67"/>
      <c r="ET4821" s="67"/>
      <c r="EU4821" s="67"/>
      <c r="EV4821" s="67"/>
      <c r="EW4821" s="67"/>
      <c r="EX4821" s="67"/>
      <c r="EY4821" s="67"/>
      <c r="EZ4821" s="67"/>
      <c r="FA4821" s="67"/>
      <c r="FB4821" s="67"/>
      <c r="FC4821" s="67"/>
      <c r="FD4821" s="67"/>
      <c r="FE4821" s="67"/>
      <c r="FF4821" s="67"/>
      <c r="FG4821" s="67"/>
      <c r="FH4821" s="67"/>
      <c r="FI4821" s="67"/>
      <c r="FJ4821" s="67"/>
      <c r="FK4821" s="67"/>
      <c r="FL4821" s="67"/>
      <c r="FM4821" s="67"/>
      <c r="FN4821" s="67"/>
      <c r="FO4821" s="67"/>
      <c r="FP4821" s="67"/>
      <c r="FQ4821" s="67"/>
      <c r="FR4821" s="67"/>
      <c r="FS4821" s="67"/>
      <c r="FT4821" s="67"/>
      <c r="FU4821" s="67"/>
      <c r="FV4821" s="67"/>
      <c r="FW4821" s="67"/>
      <c r="FX4821" s="67"/>
      <c r="FY4821" s="67"/>
      <c r="FZ4821" s="67"/>
      <c r="GA4821" s="67"/>
      <c r="GB4821" s="67"/>
      <c r="GC4821" s="67"/>
      <c r="GD4821" s="67"/>
      <c r="GE4821" s="67"/>
      <c r="GF4821" s="67"/>
      <c r="GG4821" s="67"/>
      <c r="GH4821" s="67"/>
      <c r="GI4821" s="67"/>
      <c r="GJ4821" s="67"/>
      <c r="GK4821" s="67"/>
      <c r="GL4821" s="67"/>
      <c r="GM4821" s="67"/>
      <c r="GN4821" s="292"/>
      <c r="GO4821" s="292"/>
      <c r="GP4821" s="292" t="s">
        <v>7494</v>
      </c>
      <c r="GQ4821" s="67"/>
      <c r="GR4821" s="67"/>
      <c r="GS4821" s="67"/>
      <c r="GT4821" s="67"/>
      <c r="GU4821" s="67"/>
      <c r="GV4821" s="67"/>
      <c r="GW4821" s="67"/>
      <c r="GX4821" s="67"/>
      <c r="GY4821" s="67"/>
      <c r="GZ4821" s="67"/>
      <c r="HA4821" s="67"/>
      <c r="HB4821" s="67"/>
      <c r="HC4821" s="67"/>
      <c r="HD4821" s="67"/>
      <c r="HE4821" s="67"/>
      <c r="HF4821" s="67"/>
      <c r="HG4821" s="67"/>
      <c r="HH4821" s="67"/>
      <c r="HI4821" s="67"/>
      <c r="HJ4821" s="67"/>
      <c r="HK4821" s="67"/>
      <c r="HL4821" s="67"/>
      <c r="HM4821" s="67"/>
      <c r="HN4821" s="67"/>
      <c r="HO4821" s="67"/>
      <c r="HP4821" s="67"/>
      <c r="HQ4821" s="67"/>
      <c r="HR4821" s="67"/>
      <c r="HS4821" s="67">
        <v>1.17</v>
      </c>
      <c r="HT4821" s="67">
        <v>1.43</v>
      </c>
      <c r="HU4821" s="67">
        <f>SQRT(2)*0.15</f>
        <v>0.21213203435596426</v>
      </c>
      <c r="HV4821" s="67">
        <f>SQRT(2)*0.24</f>
        <v>0.33941125496954283</v>
      </c>
      <c r="HW4821" s="67" t="s">
        <v>5659</v>
      </c>
      <c r="HX4821" s="67"/>
      <c r="HY4821" s="67"/>
      <c r="HZ4821" s="67"/>
      <c r="IA4821" s="67"/>
      <c r="IB4821" s="67"/>
      <c r="IC4821" s="67">
        <v>15</v>
      </c>
      <c r="ID4821" s="67">
        <v>18</v>
      </c>
      <c r="IE4821" s="67">
        <f>SQRT(2)*1</f>
        <v>1.4142135623730951</v>
      </c>
      <c r="IF4821" s="67">
        <f>SQRT(2)*1</f>
        <v>1.4142135623730951</v>
      </c>
      <c r="IG4821" s="67" t="s">
        <v>5658</v>
      </c>
      <c r="IH4821" s="67"/>
      <c r="II4821" s="67"/>
      <c r="IJ4821" s="67"/>
      <c r="IK4821" s="67"/>
      <c r="IL4821" s="67"/>
      <c r="IM4821" s="67"/>
      <c r="IN4821" s="67"/>
      <c r="IO4821" s="67"/>
      <c r="IP4821" s="67"/>
      <c r="IQ4821" s="67"/>
      <c r="IR4821" s="67"/>
      <c r="IS4821" s="67"/>
      <c r="IT4821" s="67"/>
      <c r="IU4821" s="67"/>
      <c r="IV4821" s="67"/>
      <c r="IW4821" s="67"/>
      <c r="IX4821" s="67"/>
      <c r="IY4821" s="67"/>
      <c r="IZ4821" s="67"/>
      <c r="JA4821" s="67"/>
      <c r="JB4821" s="67"/>
      <c r="JC4821" s="67"/>
      <c r="JD4821" s="67"/>
      <c r="JE4821" s="67"/>
      <c r="JF4821" s="67"/>
      <c r="JG4821" s="67"/>
      <c r="JH4821" s="67"/>
      <c r="JI4821" s="67"/>
      <c r="JJ4821" s="67"/>
      <c r="JK4821" s="67"/>
      <c r="JL4821" s="67">
        <v>27</v>
      </c>
      <c r="JM4821" s="67">
        <v>30</v>
      </c>
      <c r="JN4821" s="67">
        <f>1*SQRT(2)</f>
        <v>1.4142135623730951</v>
      </c>
      <c r="JO4821" s="67">
        <f>2*SQRT(2)</f>
        <v>2.8284271247461903</v>
      </c>
      <c r="JP4821" s="67" t="s">
        <v>3072</v>
      </c>
      <c r="JQ4821" s="67"/>
      <c r="JR4821" s="67"/>
      <c r="JS4821" s="67"/>
      <c r="JT4821" s="67"/>
      <c r="JU4821" s="58"/>
      <c r="JV4821" s="58"/>
      <c r="JW4821" s="58"/>
    </row>
    <row r="4822" spans="1:283" s="23" customFormat="1" x14ac:dyDescent="0.25">
      <c r="A4822" s="55">
        <v>4821</v>
      </c>
      <c r="B4822" s="12" t="s">
        <v>7067</v>
      </c>
      <c r="C4822" s="156">
        <v>215</v>
      </c>
      <c r="D4822" s="58" t="s">
        <v>4888</v>
      </c>
      <c r="E4822" s="160" t="str">
        <f>G4822</f>
        <v>Chirinda et al. 2010_Foulum 2</v>
      </c>
      <c r="F4822" s="160"/>
      <c r="G4822" s="60" t="s">
        <v>4839</v>
      </c>
      <c r="H4822" s="58">
        <v>2010</v>
      </c>
      <c r="I4822" s="58" t="s">
        <v>3181</v>
      </c>
      <c r="J4822" s="243" t="s">
        <v>198</v>
      </c>
      <c r="K4822" s="63" t="s">
        <v>5126</v>
      </c>
      <c r="L4822" s="58" t="s">
        <v>2743</v>
      </c>
      <c r="M4822" s="94">
        <f>56.5</f>
        <v>56.5</v>
      </c>
      <c r="N4822" s="94">
        <f>9+34/60</f>
        <v>9.5666666666666664</v>
      </c>
      <c r="O4822" s="94">
        <v>24</v>
      </c>
      <c r="P4822" s="58"/>
      <c r="Q4822" s="244">
        <v>7.3</v>
      </c>
      <c r="R4822" s="58"/>
      <c r="S4822" s="245">
        <v>704</v>
      </c>
      <c r="T4822" s="58"/>
      <c r="U4822" s="58" t="s">
        <v>1935</v>
      </c>
      <c r="V4822" s="244">
        <v>12</v>
      </c>
      <c r="W4822" s="174"/>
      <c r="X4822" s="174"/>
      <c r="Y4822" s="58" t="s">
        <v>5352</v>
      </c>
      <c r="Z4822" s="244" t="s">
        <v>1367</v>
      </c>
      <c r="AA4822" s="245">
        <v>25</v>
      </c>
      <c r="AB4822" s="67"/>
      <c r="AC4822" s="67"/>
      <c r="AD4822" s="94">
        <v>1.35</v>
      </c>
      <c r="AE4822" s="94">
        <v>78</v>
      </c>
      <c r="AF4822" s="94">
        <v>13</v>
      </c>
      <c r="AG4822" s="245">
        <v>9</v>
      </c>
      <c r="AH4822" s="58" t="s">
        <v>238</v>
      </c>
      <c r="AI4822" s="169">
        <v>6.5</v>
      </c>
      <c r="AJ4822" s="94">
        <v>2.2999999999999998</v>
      </c>
      <c r="AK4822" s="94"/>
      <c r="AL4822" s="58"/>
      <c r="AM4822" s="58" t="s">
        <v>1291</v>
      </c>
      <c r="AN4822" s="186" t="s">
        <v>5351</v>
      </c>
      <c r="AO4822" s="185" t="s">
        <v>5150</v>
      </c>
      <c r="AP4822" s="58"/>
      <c r="AQ4822" s="58" t="s">
        <v>1546</v>
      </c>
      <c r="AR4822" s="58" t="s">
        <v>5657</v>
      </c>
      <c r="AS4822" s="246" t="s">
        <v>4584</v>
      </c>
      <c r="AT4822" s="247">
        <v>1</v>
      </c>
      <c r="AU4822" s="181" t="s">
        <v>7494</v>
      </c>
      <c r="AV4822" s="185" t="s">
        <v>176</v>
      </c>
      <c r="AW4822" s="244">
        <v>1</v>
      </c>
      <c r="AX4822" s="185" t="s">
        <v>176</v>
      </c>
      <c r="AY4822" s="244" t="s">
        <v>176</v>
      </c>
      <c r="AZ4822" s="58"/>
      <c r="BA4822" s="58"/>
      <c r="BB4822" s="58"/>
      <c r="BC4822" s="58"/>
      <c r="BD4822" s="58"/>
      <c r="BE4822" s="236" t="s">
        <v>5158</v>
      </c>
      <c r="BF4822" s="58" t="s">
        <v>479</v>
      </c>
      <c r="BG4822" s="58" t="s">
        <v>479</v>
      </c>
      <c r="BH4822" s="236" t="s">
        <v>5231</v>
      </c>
      <c r="BI4822" s="58" t="s">
        <v>479</v>
      </c>
      <c r="BJ4822" s="58" t="str">
        <f>IF(BE4822=BH4822,"No","yes")</f>
        <v>yes</v>
      </c>
      <c r="BK4822" s="58" t="s">
        <v>6335</v>
      </c>
      <c r="BL4822" s="58"/>
      <c r="BM4822" s="237" t="s">
        <v>160</v>
      </c>
      <c r="BN4822" s="244">
        <v>2</v>
      </c>
      <c r="BO4822" s="244">
        <v>2</v>
      </c>
      <c r="BP4822" s="58"/>
      <c r="BQ4822" s="58"/>
      <c r="BR4822" s="58"/>
      <c r="BS4822" s="58"/>
      <c r="BT4822" s="58"/>
      <c r="BU4822" s="58"/>
      <c r="BV4822" s="58"/>
      <c r="BW4822" s="67"/>
      <c r="BX4822" s="67"/>
      <c r="BY4822" s="67"/>
      <c r="BZ4822" s="67"/>
      <c r="CA4822" s="67"/>
      <c r="CB4822" s="70"/>
      <c r="CC4822" s="70"/>
      <c r="CD4822" s="70"/>
      <c r="CE4822" s="67"/>
      <c r="CF4822" s="67"/>
      <c r="CG4822" s="67"/>
      <c r="CH4822" s="245"/>
      <c r="CI4822" s="245"/>
      <c r="CJ4822" s="67"/>
      <c r="CK4822" s="67"/>
      <c r="CL4822" s="67"/>
      <c r="CM4822" s="242"/>
      <c r="CN4822" s="242"/>
      <c r="CO4822" s="242"/>
      <c r="CP4822" s="242"/>
      <c r="CQ4822" s="242" t="s">
        <v>164</v>
      </c>
      <c r="CR4822" s="242"/>
      <c r="CS4822" s="242"/>
      <c r="CT4822" s="242"/>
      <c r="CU4822" s="242"/>
      <c r="CV4822" s="242"/>
      <c r="CW4822" s="242"/>
      <c r="CX4822" s="242"/>
      <c r="CY4822" s="242"/>
      <c r="CZ4822" s="242"/>
      <c r="DA4822" s="67"/>
      <c r="DB4822" s="67"/>
      <c r="DC4822" s="67"/>
      <c r="DD4822" s="67"/>
      <c r="DE4822" s="67"/>
      <c r="DF4822" s="67"/>
      <c r="DG4822" s="67"/>
      <c r="DH4822" s="67"/>
      <c r="DI4822" s="67"/>
      <c r="DJ4822" s="67"/>
      <c r="DK4822" s="67"/>
      <c r="DL4822" s="67"/>
      <c r="DM4822" s="67"/>
      <c r="DN4822" s="67"/>
      <c r="DO4822" s="67"/>
      <c r="DP4822" s="67"/>
      <c r="DQ4822" s="166"/>
      <c r="DR4822" s="166"/>
      <c r="DS4822" s="163"/>
      <c r="DT4822" s="163"/>
      <c r="DU4822" s="67"/>
      <c r="DV4822" s="67"/>
      <c r="DW4822" s="67"/>
      <c r="DX4822" s="67"/>
      <c r="DY4822" s="67"/>
      <c r="DZ4822" s="67"/>
      <c r="EA4822" s="67"/>
      <c r="EB4822" s="67"/>
      <c r="EC4822" s="67"/>
      <c r="ED4822" s="67"/>
      <c r="EE4822" s="67"/>
      <c r="EF4822" s="67"/>
      <c r="EG4822" s="67"/>
      <c r="EH4822" s="67"/>
      <c r="EI4822" s="67"/>
      <c r="EJ4822" s="67"/>
      <c r="EK4822" s="94"/>
      <c r="EL4822" s="94"/>
      <c r="EM4822" s="67"/>
      <c r="EN4822" s="67"/>
      <c r="EO4822" s="67"/>
      <c r="EP4822" s="67"/>
      <c r="EQ4822" s="67"/>
      <c r="ER4822" s="67"/>
      <c r="ES4822" s="67"/>
      <c r="ET4822" s="67"/>
      <c r="EU4822" s="67"/>
      <c r="EV4822" s="67"/>
      <c r="EW4822" s="67"/>
      <c r="EX4822" s="67"/>
      <c r="EY4822" s="67"/>
      <c r="EZ4822" s="67"/>
      <c r="FA4822" s="67"/>
      <c r="FB4822" s="67"/>
      <c r="FC4822" s="67"/>
      <c r="FD4822" s="67"/>
      <c r="FE4822" s="67"/>
      <c r="FF4822" s="67"/>
      <c r="FG4822" s="67"/>
      <c r="FH4822" s="67"/>
      <c r="FI4822" s="67"/>
      <c r="FJ4822" s="67"/>
      <c r="FK4822" s="67"/>
      <c r="FL4822" s="67"/>
      <c r="FM4822" s="67"/>
      <c r="FN4822" s="67"/>
      <c r="FO4822" s="67"/>
      <c r="FP4822" s="67"/>
      <c r="FQ4822" s="67"/>
      <c r="FR4822" s="67"/>
      <c r="FS4822" s="67"/>
      <c r="FT4822" s="67"/>
      <c r="FU4822" s="67"/>
      <c r="FV4822" s="67"/>
      <c r="FW4822" s="67"/>
      <c r="FX4822" s="67"/>
      <c r="FY4822" s="67"/>
      <c r="FZ4822" s="67"/>
      <c r="GA4822" s="67"/>
      <c r="GB4822" s="67"/>
      <c r="GC4822" s="67"/>
      <c r="GD4822" s="67"/>
      <c r="GE4822" s="67"/>
      <c r="GF4822" s="67"/>
      <c r="GG4822" s="67"/>
      <c r="GH4822" s="67"/>
      <c r="GI4822" s="67"/>
      <c r="GJ4822" s="67"/>
      <c r="GK4822" s="67"/>
      <c r="GL4822" s="67"/>
      <c r="GM4822" s="67"/>
      <c r="GN4822" s="292"/>
      <c r="GO4822" s="292"/>
      <c r="GP4822" s="292" t="s">
        <v>7494</v>
      </c>
      <c r="GQ4822" s="67"/>
      <c r="GR4822" s="67"/>
      <c r="GS4822" s="67"/>
      <c r="GT4822" s="67"/>
      <c r="GU4822" s="67"/>
      <c r="GV4822" s="67"/>
      <c r="GW4822" s="67"/>
      <c r="GX4822" s="67"/>
      <c r="GY4822" s="67"/>
      <c r="GZ4822" s="67"/>
      <c r="HA4822" s="67"/>
      <c r="HB4822" s="67"/>
      <c r="HC4822" s="67"/>
      <c r="HD4822" s="67"/>
      <c r="HE4822" s="67"/>
      <c r="HF4822" s="67"/>
      <c r="HG4822" s="67"/>
      <c r="HH4822" s="67"/>
      <c r="HI4822" s="67"/>
      <c r="HJ4822" s="67"/>
      <c r="HK4822" s="67"/>
      <c r="HL4822" s="67"/>
      <c r="HM4822" s="67"/>
      <c r="HN4822" s="67"/>
      <c r="HO4822" s="67"/>
      <c r="HP4822" s="67"/>
      <c r="HQ4822" s="67"/>
      <c r="HR4822" s="67"/>
      <c r="HS4822" s="67">
        <v>1.17</v>
      </c>
      <c r="HT4822" s="67">
        <v>1.83</v>
      </c>
      <c r="HU4822" s="67">
        <f>SQRT(2)*0.15</f>
        <v>0.21213203435596426</v>
      </c>
      <c r="HV4822" s="67">
        <f>SQRT(2)*0.01</f>
        <v>1.4142135623730952E-2</v>
      </c>
      <c r="HW4822" s="67" t="s">
        <v>5659</v>
      </c>
      <c r="HX4822" s="67"/>
      <c r="HY4822" s="67"/>
      <c r="HZ4822" s="67"/>
      <c r="IA4822" s="67"/>
      <c r="IB4822" s="67"/>
      <c r="IC4822" s="67">
        <v>15</v>
      </c>
      <c r="ID4822" s="67">
        <v>21</v>
      </c>
      <c r="IE4822" s="67">
        <f>SQRT(2)*1</f>
        <v>1.4142135623730951</v>
      </c>
      <c r="IF4822" s="67">
        <f>SQRT(2)*1</f>
        <v>1.4142135623730951</v>
      </c>
      <c r="IG4822" s="67" t="s">
        <v>5658</v>
      </c>
      <c r="IH4822" s="67"/>
      <c r="II4822" s="67"/>
      <c r="IJ4822" s="67"/>
      <c r="IK4822" s="67"/>
      <c r="IL4822" s="67"/>
      <c r="IM4822" s="67"/>
      <c r="IN4822" s="67"/>
      <c r="IO4822" s="67"/>
      <c r="IP4822" s="67"/>
      <c r="IQ4822" s="67"/>
      <c r="IR4822" s="67"/>
      <c r="IS4822" s="67"/>
      <c r="IT4822" s="67"/>
      <c r="IU4822" s="67"/>
      <c r="IV4822" s="67"/>
      <c r="IW4822" s="67"/>
      <c r="IX4822" s="67"/>
      <c r="IY4822" s="67"/>
      <c r="IZ4822" s="67"/>
      <c r="JA4822" s="67"/>
      <c r="JB4822" s="67"/>
      <c r="JC4822" s="67"/>
      <c r="JD4822" s="67"/>
      <c r="JE4822" s="67"/>
      <c r="JF4822" s="67"/>
      <c r="JG4822" s="67"/>
      <c r="JH4822" s="67"/>
      <c r="JI4822" s="67"/>
      <c r="JJ4822" s="67"/>
      <c r="JK4822" s="67"/>
      <c r="JL4822" s="67">
        <v>27</v>
      </c>
      <c r="JM4822" s="67">
        <v>33</v>
      </c>
      <c r="JN4822" s="67">
        <f>1*SQRT(2)</f>
        <v>1.4142135623730951</v>
      </c>
      <c r="JO4822" s="67">
        <f>1*SQRT(2)</f>
        <v>1.4142135623730951</v>
      </c>
      <c r="JP4822" s="67" t="s">
        <v>3072</v>
      </c>
      <c r="JQ4822" s="67"/>
      <c r="JR4822" s="67"/>
      <c r="JS4822" s="67"/>
      <c r="JT4822" s="67"/>
      <c r="JU4822" s="58"/>
      <c r="JV4822" s="58"/>
      <c r="JW4822" s="58"/>
    </row>
    <row r="4823" spans="1:283" s="23" customFormat="1" x14ac:dyDescent="0.25">
      <c r="A4823" s="55">
        <v>4822</v>
      </c>
      <c r="B4823" s="12" t="s">
        <v>7067</v>
      </c>
      <c r="C4823" s="156">
        <v>215</v>
      </c>
      <c r="D4823" s="58" t="s">
        <v>4889</v>
      </c>
      <c r="E4823" s="160" t="str">
        <f>G4823</f>
        <v>Chirinda et al. 2010_Foulum 3</v>
      </c>
      <c r="F4823" s="160"/>
      <c r="G4823" s="60" t="s">
        <v>4838</v>
      </c>
      <c r="H4823" s="58">
        <v>2010</v>
      </c>
      <c r="I4823" s="58" t="s">
        <v>3181</v>
      </c>
      <c r="J4823" s="243" t="s">
        <v>198</v>
      </c>
      <c r="K4823" s="63" t="s">
        <v>5126</v>
      </c>
      <c r="L4823" s="58" t="s">
        <v>2743</v>
      </c>
      <c r="M4823" s="94">
        <f>56.5</f>
        <v>56.5</v>
      </c>
      <c r="N4823" s="94">
        <f>9+34/60</f>
        <v>9.5666666666666664</v>
      </c>
      <c r="O4823" s="94">
        <v>24</v>
      </c>
      <c r="P4823" s="58"/>
      <c r="Q4823" s="244">
        <v>7.3</v>
      </c>
      <c r="R4823" s="58"/>
      <c r="S4823" s="245">
        <v>704</v>
      </c>
      <c r="T4823" s="58"/>
      <c r="U4823" s="58" t="s">
        <v>1935</v>
      </c>
      <c r="V4823" s="244">
        <v>12</v>
      </c>
      <c r="W4823" s="174"/>
      <c r="X4823" s="174"/>
      <c r="Y4823" s="58" t="s">
        <v>5352</v>
      </c>
      <c r="Z4823" s="244" t="s">
        <v>1367</v>
      </c>
      <c r="AA4823" s="245">
        <v>25</v>
      </c>
      <c r="AB4823" s="67"/>
      <c r="AC4823" s="67"/>
      <c r="AD4823" s="94">
        <v>1.35</v>
      </c>
      <c r="AE4823" s="94">
        <v>78</v>
      </c>
      <c r="AF4823" s="94">
        <v>13</v>
      </c>
      <c r="AG4823" s="245">
        <v>9</v>
      </c>
      <c r="AH4823" s="58" t="s">
        <v>238</v>
      </c>
      <c r="AI4823" s="169">
        <v>6.5</v>
      </c>
      <c r="AJ4823" s="94">
        <v>2.2999999999999998</v>
      </c>
      <c r="AK4823" s="94"/>
      <c r="AL4823" s="58"/>
      <c r="AM4823" s="58" t="s">
        <v>1291</v>
      </c>
      <c r="AN4823" s="186" t="s">
        <v>5351</v>
      </c>
      <c r="AO4823" s="185" t="s">
        <v>5150</v>
      </c>
      <c r="AP4823" s="58"/>
      <c r="AQ4823" s="58" t="s">
        <v>1546</v>
      </c>
      <c r="AR4823" s="58" t="s">
        <v>5657</v>
      </c>
      <c r="AS4823" s="246" t="s">
        <v>4584</v>
      </c>
      <c r="AT4823" s="247">
        <v>1</v>
      </c>
      <c r="AU4823" s="181" t="s">
        <v>7494</v>
      </c>
      <c r="AV4823" s="185" t="s">
        <v>176</v>
      </c>
      <c r="AW4823" s="244">
        <v>1</v>
      </c>
      <c r="AX4823" s="185" t="s">
        <v>176</v>
      </c>
      <c r="AY4823" s="244" t="s">
        <v>176</v>
      </c>
      <c r="AZ4823" s="58"/>
      <c r="BA4823" s="58"/>
      <c r="BB4823" s="58"/>
      <c r="BC4823" s="58"/>
      <c r="BD4823" s="58"/>
      <c r="BE4823" s="236" t="s">
        <v>5158</v>
      </c>
      <c r="BF4823" s="58" t="s">
        <v>479</v>
      </c>
      <c r="BG4823" s="58" t="s">
        <v>479</v>
      </c>
      <c r="BH4823" s="236" t="s">
        <v>5232</v>
      </c>
      <c r="BI4823" s="58" t="s">
        <v>479</v>
      </c>
      <c r="BJ4823" s="58" t="str">
        <f>IF(BE4823=BH4823,"No","yes")</f>
        <v>yes</v>
      </c>
      <c r="BK4823" s="58" t="s">
        <v>6335</v>
      </c>
      <c r="BL4823" s="58"/>
      <c r="BM4823" s="237" t="s">
        <v>160</v>
      </c>
      <c r="BN4823" s="244">
        <v>2</v>
      </c>
      <c r="BO4823" s="244">
        <v>2</v>
      </c>
      <c r="BP4823" s="58"/>
      <c r="BQ4823" s="58"/>
      <c r="BR4823" s="58"/>
      <c r="BS4823" s="58"/>
      <c r="BT4823" s="58"/>
      <c r="BU4823" s="58"/>
      <c r="BV4823" s="58"/>
      <c r="BW4823" s="67"/>
      <c r="BX4823" s="67"/>
      <c r="BY4823" s="67"/>
      <c r="BZ4823" s="67"/>
      <c r="CA4823" s="67"/>
      <c r="CB4823" s="70"/>
      <c r="CC4823" s="70"/>
      <c r="CD4823" s="70"/>
      <c r="CE4823" s="67"/>
      <c r="CF4823" s="67"/>
      <c r="CG4823" s="67"/>
      <c r="CH4823" s="245"/>
      <c r="CI4823" s="245"/>
      <c r="CJ4823" s="67"/>
      <c r="CK4823" s="67"/>
      <c r="CL4823" s="67"/>
      <c r="CM4823" s="242"/>
      <c r="CN4823" s="242"/>
      <c r="CO4823" s="242"/>
      <c r="CP4823" s="242"/>
      <c r="CQ4823" s="242" t="s">
        <v>164</v>
      </c>
      <c r="CR4823" s="242"/>
      <c r="CS4823" s="242"/>
      <c r="CT4823" s="242"/>
      <c r="CU4823" s="242"/>
      <c r="CV4823" s="242"/>
      <c r="CW4823" s="242"/>
      <c r="CX4823" s="242"/>
      <c r="CY4823" s="242"/>
      <c r="CZ4823" s="242"/>
      <c r="DA4823" s="67"/>
      <c r="DB4823" s="67"/>
      <c r="DC4823" s="67"/>
      <c r="DD4823" s="67"/>
      <c r="DE4823" s="67"/>
      <c r="DF4823" s="67"/>
      <c r="DG4823" s="67"/>
      <c r="DH4823" s="67"/>
      <c r="DI4823" s="67"/>
      <c r="DJ4823" s="67"/>
      <c r="DK4823" s="67"/>
      <c r="DL4823" s="67"/>
      <c r="DM4823" s="67"/>
      <c r="DN4823" s="67"/>
      <c r="DO4823" s="67"/>
      <c r="DP4823" s="67"/>
      <c r="DQ4823" s="166"/>
      <c r="DR4823" s="166"/>
      <c r="DS4823" s="163"/>
      <c r="DT4823" s="163"/>
      <c r="DU4823" s="67"/>
      <c r="DV4823" s="67"/>
      <c r="DW4823" s="67"/>
      <c r="DX4823" s="67"/>
      <c r="DY4823" s="67"/>
      <c r="DZ4823" s="67"/>
      <c r="EA4823" s="67"/>
      <c r="EB4823" s="67"/>
      <c r="EC4823" s="67"/>
      <c r="ED4823" s="67"/>
      <c r="EE4823" s="67"/>
      <c r="EF4823" s="67"/>
      <c r="EG4823" s="67"/>
      <c r="EH4823" s="67"/>
      <c r="EI4823" s="67"/>
      <c r="EJ4823" s="67"/>
      <c r="EK4823" s="94"/>
      <c r="EL4823" s="94"/>
      <c r="EM4823" s="67"/>
      <c r="EN4823" s="67"/>
      <c r="EO4823" s="67"/>
      <c r="EP4823" s="67"/>
      <c r="EQ4823" s="67"/>
      <c r="ER4823" s="67"/>
      <c r="ES4823" s="67"/>
      <c r="ET4823" s="67"/>
      <c r="EU4823" s="67"/>
      <c r="EV4823" s="67"/>
      <c r="EW4823" s="67"/>
      <c r="EX4823" s="67"/>
      <c r="EY4823" s="67"/>
      <c r="EZ4823" s="67"/>
      <c r="FA4823" s="67"/>
      <c r="FB4823" s="67"/>
      <c r="FC4823" s="67"/>
      <c r="FD4823" s="67"/>
      <c r="FE4823" s="67"/>
      <c r="FF4823" s="67"/>
      <c r="FG4823" s="67"/>
      <c r="FH4823" s="67"/>
      <c r="FI4823" s="67"/>
      <c r="FJ4823" s="67"/>
      <c r="FK4823" s="67"/>
      <c r="FL4823" s="67"/>
      <c r="FM4823" s="67"/>
      <c r="FN4823" s="67"/>
      <c r="FO4823" s="67"/>
      <c r="FP4823" s="67"/>
      <c r="FQ4823" s="67"/>
      <c r="FR4823" s="67"/>
      <c r="FS4823" s="67"/>
      <c r="FT4823" s="67"/>
      <c r="FU4823" s="67"/>
      <c r="FV4823" s="67"/>
      <c r="FW4823" s="67"/>
      <c r="FX4823" s="67"/>
      <c r="FY4823" s="67"/>
      <c r="FZ4823" s="67"/>
      <c r="GA4823" s="67"/>
      <c r="GB4823" s="67"/>
      <c r="GC4823" s="67"/>
      <c r="GD4823" s="67"/>
      <c r="GE4823" s="67"/>
      <c r="GF4823" s="67"/>
      <c r="GG4823" s="67"/>
      <c r="GH4823" s="67"/>
      <c r="GI4823" s="67"/>
      <c r="GJ4823" s="67"/>
      <c r="GK4823" s="67"/>
      <c r="GL4823" s="67"/>
      <c r="GM4823" s="67"/>
      <c r="GN4823" s="292"/>
      <c r="GO4823" s="292"/>
      <c r="GP4823" s="292" t="s">
        <v>7494</v>
      </c>
      <c r="GQ4823" s="67"/>
      <c r="GR4823" s="67"/>
      <c r="GS4823" s="67"/>
      <c r="GT4823" s="67"/>
      <c r="GU4823" s="67"/>
      <c r="GV4823" s="67"/>
      <c r="GW4823" s="67"/>
      <c r="GX4823" s="67"/>
      <c r="GY4823" s="67"/>
      <c r="GZ4823" s="67"/>
      <c r="HA4823" s="67"/>
      <c r="HB4823" s="67"/>
      <c r="HC4823" s="67"/>
      <c r="HD4823" s="67"/>
      <c r="HE4823" s="67"/>
      <c r="HF4823" s="67"/>
      <c r="HG4823" s="67"/>
      <c r="HH4823" s="67"/>
      <c r="HI4823" s="67"/>
      <c r="HJ4823" s="67"/>
      <c r="HK4823" s="67"/>
      <c r="HL4823" s="67"/>
      <c r="HM4823" s="67"/>
      <c r="HN4823" s="67"/>
      <c r="HO4823" s="67"/>
      <c r="HP4823" s="67"/>
      <c r="HQ4823" s="67"/>
      <c r="HR4823" s="67"/>
      <c r="HS4823" s="67">
        <v>1.17</v>
      </c>
      <c r="HT4823" s="67">
        <v>1.67</v>
      </c>
      <c r="HU4823" s="67">
        <f>SQRT(2)*0.15</f>
        <v>0.21213203435596426</v>
      </c>
      <c r="HV4823" s="67">
        <f>SQRT(2)*0.25</f>
        <v>0.35355339059327379</v>
      </c>
      <c r="HW4823" s="67" t="s">
        <v>5659</v>
      </c>
      <c r="HX4823" s="67"/>
      <c r="HY4823" s="67"/>
      <c r="HZ4823" s="67"/>
      <c r="IA4823" s="67"/>
      <c r="IB4823" s="67"/>
      <c r="IC4823" s="67">
        <v>15</v>
      </c>
      <c r="ID4823" s="67">
        <v>20</v>
      </c>
      <c r="IE4823" s="67">
        <f>SQRT(2)*1</f>
        <v>1.4142135623730951</v>
      </c>
      <c r="IF4823" s="67">
        <f>SQRT(2)*1</f>
        <v>1.4142135623730951</v>
      </c>
      <c r="IG4823" s="67" t="s">
        <v>5658</v>
      </c>
      <c r="IH4823" s="67"/>
      <c r="II4823" s="67"/>
      <c r="IJ4823" s="67"/>
      <c r="IK4823" s="67"/>
      <c r="IL4823" s="67"/>
      <c r="IM4823" s="67"/>
      <c r="IN4823" s="67"/>
      <c r="IO4823" s="67"/>
      <c r="IP4823" s="67"/>
      <c r="IQ4823" s="67"/>
      <c r="IR4823" s="67"/>
      <c r="IS4823" s="67"/>
      <c r="IT4823" s="67"/>
      <c r="IU4823" s="67"/>
      <c r="IV4823" s="67"/>
      <c r="IW4823" s="67"/>
      <c r="IX4823" s="67"/>
      <c r="IY4823" s="67"/>
      <c r="IZ4823" s="67"/>
      <c r="JA4823" s="67"/>
      <c r="JB4823" s="67"/>
      <c r="JC4823" s="67"/>
      <c r="JD4823" s="67"/>
      <c r="JE4823" s="67"/>
      <c r="JF4823" s="67"/>
      <c r="JG4823" s="67"/>
      <c r="JH4823" s="67"/>
      <c r="JI4823" s="67"/>
      <c r="JJ4823" s="67"/>
      <c r="JK4823" s="67"/>
      <c r="JL4823" s="67">
        <v>27</v>
      </c>
      <c r="JM4823" s="67">
        <v>33</v>
      </c>
      <c r="JN4823" s="67">
        <f>1*SQRT(2)</f>
        <v>1.4142135623730951</v>
      </c>
      <c r="JO4823" s="67">
        <f>1*SQRT(2)</f>
        <v>1.4142135623730951</v>
      </c>
      <c r="JP4823" s="67" t="s">
        <v>3072</v>
      </c>
      <c r="JQ4823" s="67"/>
      <c r="JR4823" s="67"/>
      <c r="JS4823" s="67"/>
      <c r="JT4823" s="67"/>
      <c r="JU4823" s="58"/>
      <c r="JV4823" s="58"/>
      <c r="JW4823" s="58"/>
    </row>
    <row r="4824" spans="1:283" s="23" customFormat="1" x14ac:dyDescent="0.25">
      <c r="A4824" s="55">
        <v>4823</v>
      </c>
      <c r="B4824" s="12" t="s">
        <v>7067</v>
      </c>
      <c r="C4824" s="156">
        <v>215</v>
      </c>
      <c r="D4824" s="58" t="s">
        <v>4890</v>
      </c>
      <c r="E4824" s="160" t="str">
        <f>G4824</f>
        <v>Chirinda et al. 2010_Foulum 3</v>
      </c>
      <c r="F4824" s="160"/>
      <c r="G4824" s="60" t="s">
        <v>4838</v>
      </c>
      <c r="H4824" s="58">
        <v>2010</v>
      </c>
      <c r="I4824" s="58" t="s">
        <v>3181</v>
      </c>
      <c r="J4824" s="243" t="s">
        <v>198</v>
      </c>
      <c r="K4824" s="63" t="s">
        <v>5126</v>
      </c>
      <c r="L4824" s="58" t="s">
        <v>2743</v>
      </c>
      <c r="M4824" s="94">
        <f>56.5</f>
        <v>56.5</v>
      </c>
      <c r="N4824" s="94">
        <f>9+34/60</f>
        <v>9.5666666666666664</v>
      </c>
      <c r="O4824" s="94">
        <v>24</v>
      </c>
      <c r="P4824" s="58"/>
      <c r="Q4824" s="244">
        <v>7.3</v>
      </c>
      <c r="R4824" s="58"/>
      <c r="S4824" s="245">
        <v>704</v>
      </c>
      <c r="T4824" s="58"/>
      <c r="U4824" s="58" t="s">
        <v>1935</v>
      </c>
      <c r="V4824" s="244">
        <v>12</v>
      </c>
      <c r="W4824" s="174"/>
      <c r="X4824" s="174"/>
      <c r="Y4824" s="58" t="s">
        <v>5352</v>
      </c>
      <c r="Z4824" s="244" t="s">
        <v>1367</v>
      </c>
      <c r="AA4824" s="245">
        <v>25</v>
      </c>
      <c r="AB4824" s="67"/>
      <c r="AC4824" s="67"/>
      <c r="AD4824" s="94">
        <v>1.35</v>
      </c>
      <c r="AE4824" s="94">
        <v>78</v>
      </c>
      <c r="AF4824" s="94">
        <v>13</v>
      </c>
      <c r="AG4824" s="245">
        <v>9</v>
      </c>
      <c r="AH4824" s="58" t="s">
        <v>238</v>
      </c>
      <c r="AI4824" s="169">
        <v>6.5</v>
      </c>
      <c r="AJ4824" s="94">
        <v>2.2999999999999998</v>
      </c>
      <c r="AK4824" s="94"/>
      <c r="AL4824" s="58"/>
      <c r="AM4824" s="58" t="s">
        <v>1291</v>
      </c>
      <c r="AN4824" s="186" t="s">
        <v>5351</v>
      </c>
      <c r="AO4824" s="185" t="s">
        <v>5150</v>
      </c>
      <c r="AP4824" s="58"/>
      <c r="AQ4824" s="58" t="s">
        <v>1546</v>
      </c>
      <c r="AR4824" s="58" t="s">
        <v>5657</v>
      </c>
      <c r="AS4824" s="246" t="s">
        <v>4584</v>
      </c>
      <c r="AT4824" s="247">
        <v>1</v>
      </c>
      <c r="AU4824" s="181" t="s">
        <v>7494</v>
      </c>
      <c r="AV4824" s="185" t="s">
        <v>176</v>
      </c>
      <c r="AW4824" s="244">
        <v>1</v>
      </c>
      <c r="AX4824" s="185" t="s">
        <v>176</v>
      </c>
      <c r="AY4824" s="244" t="s">
        <v>176</v>
      </c>
      <c r="AZ4824" s="58"/>
      <c r="BA4824" s="58"/>
      <c r="BB4824" s="58"/>
      <c r="BC4824" s="58"/>
      <c r="BD4824" s="58"/>
      <c r="BE4824" s="236" t="s">
        <v>5158</v>
      </c>
      <c r="BF4824" s="58" t="s">
        <v>479</v>
      </c>
      <c r="BG4824" s="58" t="s">
        <v>479</v>
      </c>
      <c r="BH4824" s="236" t="s">
        <v>5232</v>
      </c>
      <c r="BI4824" s="58" t="s">
        <v>479</v>
      </c>
      <c r="BJ4824" s="58" t="str">
        <f>IF(BE4824=BH4824,"No","yes")</f>
        <v>yes</v>
      </c>
      <c r="BK4824" s="58" t="s">
        <v>6335</v>
      </c>
      <c r="BL4824" s="58"/>
      <c r="BM4824" s="237" t="s">
        <v>160</v>
      </c>
      <c r="BN4824" s="244">
        <v>2</v>
      </c>
      <c r="BO4824" s="244">
        <v>2</v>
      </c>
      <c r="BP4824" s="58"/>
      <c r="BQ4824" s="58"/>
      <c r="BR4824" s="58"/>
      <c r="BS4824" s="58"/>
      <c r="BT4824" s="58"/>
      <c r="BU4824" s="58"/>
      <c r="BV4824" s="58"/>
      <c r="BW4824" s="67"/>
      <c r="BX4824" s="67"/>
      <c r="BY4824" s="67"/>
      <c r="BZ4824" s="67"/>
      <c r="CA4824" s="67"/>
      <c r="CB4824" s="70"/>
      <c r="CC4824" s="70"/>
      <c r="CD4824" s="70"/>
      <c r="CE4824" s="67"/>
      <c r="CF4824" s="67"/>
      <c r="CG4824" s="67"/>
      <c r="CH4824" s="245"/>
      <c r="CI4824" s="245"/>
      <c r="CJ4824" s="67"/>
      <c r="CK4824" s="67"/>
      <c r="CL4824" s="67"/>
      <c r="CM4824" s="242"/>
      <c r="CN4824" s="242"/>
      <c r="CO4824" s="242"/>
      <c r="CP4824" s="242"/>
      <c r="CQ4824" s="242" t="s">
        <v>164</v>
      </c>
      <c r="CR4824" s="242"/>
      <c r="CS4824" s="242"/>
      <c r="CT4824" s="242"/>
      <c r="CU4824" s="242"/>
      <c r="CV4824" s="242"/>
      <c r="CW4824" s="242"/>
      <c r="CX4824" s="242"/>
      <c r="CY4824" s="242"/>
      <c r="CZ4824" s="242"/>
      <c r="DA4824" s="67"/>
      <c r="DB4824" s="67"/>
      <c r="DC4824" s="67"/>
      <c r="DD4824" s="67"/>
      <c r="DE4824" s="67"/>
      <c r="DF4824" s="67"/>
      <c r="DG4824" s="67"/>
      <c r="DH4824" s="67"/>
      <c r="DI4824" s="67"/>
      <c r="DJ4824" s="67"/>
      <c r="DK4824" s="67"/>
      <c r="DL4824" s="67"/>
      <c r="DM4824" s="67"/>
      <c r="DN4824" s="67"/>
      <c r="DO4824" s="67"/>
      <c r="DP4824" s="67"/>
      <c r="DQ4824" s="166"/>
      <c r="DR4824" s="166"/>
      <c r="DS4824" s="163"/>
      <c r="DT4824" s="163"/>
      <c r="DU4824" s="67"/>
      <c r="DV4824" s="67"/>
      <c r="DW4824" s="67"/>
      <c r="DX4824" s="67"/>
      <c r="DY4824" s="67"/>
      <c r="DZ4824" s="67"/>
      <c r="EA4824" s="67"/>
      <c r="EB4824" s="67"/>
      <c r="EC4824" s="67"/>
      <c r="ED4824" s="67"/>
      <c r="EE4824" s="67"/>
      <c r="EF4824" s="67"/>
      <c r="EG4824" s="67"/>
      <c r="EH4824" s="67"/>
      <c r="EI4824" s="67"/>
      <c r="EJ4824" s="67"/>
      <c r="EK4824" s="94"/>
      <c r="EL4824" s="94"/>
      <c r="EM4824" s="67"/>
      <c r="EN4824" s="67"/>
      <c r="EO4824" s="67"/>
      <c r="EP4824" s="67"/>
      <c r="EQ4824" s="67"/>
      <c r="ER4824" s="67"/>
      <c r="ES4824" s="67"/>
      <c r="ET4824" s="67"/>
      <c r="EU4824" s="67"/>
      <c r="EV4824" s="67"/>
      <c r="EW4824" s="67"/>
      <c r="EX4824" s="67"/>
      <c r="EY4824" s="67"/>
      <c r="EZ4824" s="67"/>
      <c r="FA4824" s="67"/>
      <c r="FB4824" s="67"/>
      <c r="FC4824" s="67"/>
      <c r="FD4824" s="67"/>
      <c r="FE4824" s="67"/>
      <c r="FF4824" s="67"/>
      <c r="FG4824" s="67"/>
      <c r="FH4824" s="67"/>
      <c r="FI4824" s="67"/>
      <c r="FJ4824" s="67"/>
      <c r="FK4824" s="67"/>
      <c r="FL4824" s="67"/>
      <c r="FM4824" s="67"/>
      <c r="FN4824" s="67"/>
      <c r="FO4824" s="67"/>
      <c r="FP4824" s="67"/>
      <c r="FQ4824" s="67"/>
      <c r="FR4824" s="67"/>
      <c r="FS4824" s="67"/>
      <c r="FT4824" s="67"/>
      <c r="FU4824" s="67"/>
      <c r="FV4824" s="67"/>
      <c r="FW4824" s="67"/>
      <c r="FX4824" s="67"/>
      <c r="FY4824" s="67"/>
      <c r="FZ4824" s="67"/>
      <c r="GA4824" s="67"/>
      <c r="GB4824" s="67"/>
      <c r="GC4824" s="67"/>
      <c r="GD4824" s="67"/>
      <c r="GE4824" s="67"/>
      <c r="GF4824" s="67"/>
      <c r="GG4824" s="67"/>
      <c r="GH4824" s="67"/>
      <c r="GI4824" s="67"/>
      <c r="GJ4824" s="67"/>
      <c r="GK4824" s="67"/>
      <c r="GL4824" s="67"/>
      <c r="GM4824" s="67"/>
      <c r="GN4824" s="292"/>
      <c r="GO4824" s="292"/>
      <c r="GP4824" s="292" t="s">
        <v>7494</v>
      </c>
      <c r="GQ4824" s="67"/>
      <c r="GR4824" s="67"/>
      <c r="GS4824" s="67"/>
      <c r="GT4824" s="67"/>
      <c r="GU4824" s="67"/>
      <c r="GV4824" s="67"/>
      <c r="GW4824" s="67"/>
      <c r="GX4824" s="67"/>
      <c r="GY4824" s="67"/>
      <c r="GZ4824" s="67"/>
      <c r="HA4824" s="67"/>
      <c r="HB4824" s="67"/>
      <c r="HC4824" s="67"/>
      <c r="HD4824" s="67"/>
      <c r="HE4824" s="67"/>
      <c r="HF4824" s="67"/>
      <c r="HG4824" s="67"/>
      <c r="HH4824" s="67"/>
      <c r="HI4824" s="67"/>
      <c r="HJ4824" s="67"/>
      <c r="HK4824" s="67"/>
      <c r="HL4824" s="67"/>
      <c r="HM4824" s="67"/>
      <c r="HN4824" s="67"/>
      <c r="HO4824" s="67"/>
      <c r="HP4824" s="67"/>
      <c r="HQ4824" s="67"/>
      <c r="HR4824" s="67"/>
      <c r="HS4824" s="67">
        <v>1.17</v>
      </c>
      <c r="HT4824" s="67">
        <v>2.08</v>
      </c>
      <c r="HU4824" s="67">
        <f>SQRT(2)*0.15</f>
        <v>0.21213203435596426</v>
      </c>
      <c r="HV4824" s="67">
        <f>SQRT(2)*0.02</f>
        <v>2.8284271247461905E-2</v>
      </c>
      <c r="HW4824" s="67" t="s">
        <v>5659</v>
      </c>
      <c r="HX4824" s="67"/>
      <c r="HY4824" s="67"/>
      <c r="HZ4824" s="67"/>
      <c r="IA4824" s="67"/>
      <c r="IB4824" s="67"/>
      <c r="IC4824" s="67">
        <v>15</v>
      </c>
      <c r="ID4824" s="67">
        <v>22</v>
      </c>
      <c r="IE4824" s="67">
        <f>SQRT(2)*1</f>
        <v>1.4142135623730951</v>
      </c>
      <c r="IF4824" s="67">
        <f>SQRT(2)*1</f>
        <v>1.4142135623730951</v>
      </c>
      <c r="IG4824" s="67" t="s">
        <v>5658</v>
      </c>
      <c r="IH4824" s="67"/>
      <c r="II4824" s="67"/>
      <c r="IJ4824" s="67"/>
      <c r="IK4824" s="67"/>
      <c r="IL4824" s="67"/>
      <c r="IM4824" s="67"/>
      <c r="IN4824" s="67"/>
      <c r="IO4824" s="67"/>
      <c r="IP4824" s="67"/>
      <c r="IQ4824" s="67"/>
      <c r="IR4824" s="67"/>
      <c r="IS4824" s="67"/>
      <c r="IT4824" s="67"/>
      <c r="IU4824" s="67"/>
      <c r="IV4824" s="67"/>
      <c r="IW4824" s="67"/>
      <c r="IX4824" s="67"/>
      <c r="IY4824" s="67"/>
      <c r="IZ4824" s="67"/>
      <c r="JA4824" s="67"/>
      <c r="JB4824" s="67"/>
      <c r="JC4824" s="67"/>
      <c r="JD4824" s="67"/>
      <c r="JE4824" s="67"/>
      <c r="JF4824" s="67"/>
      <c r="JG4824" s="67"/>
      <c r="JH4824" s="67"/>
      <c r="JI4824" s="67"/>
      <c r="JJ4824" s="67"/>
      <c r="JK4824" s="67"/>
      <c r="JL4824" s="67">
        <v>27</v>
      </c>
      <c r="JM4824" s="67">
        <v>35</v>
      </c>
      <c r="JN4824" s="67">
        <f>1*SQRT(2)</f>
        <v>1.4142135623730951</v>
      </c>
      <c r="JO4824" s="67">
        <f>3*SQRT(2)</f>
        <v>4.2426406871192857</v>
      </c>
      <c r="JP4824" s="67" t="s">
        <v>3072</v>
      </c>
      <c r="JQ4824" s="67"/>
      <c r="JR4824" s="67"/>
      <c r="JS4824" s="67"/>
      <c r="JT4824" s="67"/>
      <c r="JU4824" s="58"/>
      <c r="JV4824" s="58"/>
      <c r="JW4824" s="58"/>
    </row>
    <row r="4825" spans="1:283" s="23" customFormat="1" x14ac:dyDescent="0.25">
      <c r="A4825" s="55">
        <v>4824</v>
      </c>
      <c r="B4825" s="12" t="s">
        <v>7067</v>
      </c>
      <c r="C4825" s="156">
        <v>216</v>
      </c>
      <c r="D4825" s="58" t="s">
        <v>4892</v>
      </c>
      <c r="E4825" s="160" t="str">
        <f>G4825</f>
        <v>Ciavatta et al. 2008_topsoil</v>
      </c>
      <c r="F4825" s="160"/>
      <c r="G4825" s="60" t="s">
        <v>4836</v>
      </c>
      <c r="H4825" s="58">
        <v>2008</v>
      </c>
      <c r="I4825" s="58">
        <v>2006</v>
      </c>
      <c r="J4825" s="243" t="s">
        <v>5304</v>
      </c>
      <c r="K4825" s="63" t="s">
        <v>5125</v>
      </c>
      <c r="L4825" s="58" t="s">
        <v>2741</v>
      </c>
      <c r="M4825" s="94">
        <v>44.71</v>
      </c>
      <c r="N4825" s="94">
        <v>11.23</v>
      </c>
      <c r="O4825" s="94">
        <v>19</v>
      </c>
      <c r="P4825" s="58"/>
      <c r="Q4825" s="244">
        <v>13.1</v>
      </c>
      <c r="R4825" s="58"/>
      <c r="S4825" s="245">
        <v>750</v>
      </c>
      <c r="T4825" s="58"/>
      <c r="U4825" s="58" t="s">
        <v>1681</v>
      </c>
      <c r="V4825" s="244">
        <v>18</v>
      </c>
      <c r="W4825" s="174"/>
      <c r="X4825" s="174"/>
      <c r="Y4825" s="58" t="s">
        <v>5355</v>
      </c>
      <c r="Z4825" s="244" t="s">
        <v>1349</v>
      </c>
      <c r="AA4825" s="245">
        <v>15</v>
      </c>
      <c r="AB4825" s="67"/>
      <c r="AC4825" s="67"/>
      <c r="AD4825" s="94"/>
      <c r="AE4825" s="94">
        <v>32</v>
      </c>
      <c r="AF4825" s="94">
        <v>49</v>
      </c>
      <c r="AG4825" s="245">
        <v>19</v>
      </c>
      <c r="AH4825" s="58" t="s">
        <v>139</v>
      </c>
      <c r="AI4825" s="169">
        <v>7.98</v>
      </c>
      <c r="AJ4825" s="94">
        <v>0.95</v>
      </c>
      <c r="AK4825" s="94"/>
      <c r="AL4825" s="58"/>
      <c r="AM4825" s="58"/>
      <c r="AN4825" s="186" t="s">
        <v>5356</v>
      </c>
      <c r="AO4825" s="185" t="s">
        <v>5150</v>
      </c>
      <c r="AP4825" s="58"/>
      <c r="AQ4825" s="58" t="s">
        <v>1545</v>
      </c>
      <c r="AR4825" s="58" t="s">
        <v>5353</v>
      </c>
      <c r="AS4825" s="246" t="s">
        <v>3471</v>
      </c>
      <c r="AT4825" s="247">
        <v>0</v>
      </c>
      <c r="AU4825" s="181" t="s">
        <v>7494</v>
      </c>
      <c r="AV4825" s="185" t="s">
        <v>176</v>
      </c>
      <c r="AW4825" s="244">
        <v>0</v>
      </c>
      <c r="AX4825" s="185" t="s">
        <v>176</v>
      </c>
      <c r="AY4825" s="244" t="s">
        <v>176</v>
      </c>
      <c r="AZ4825" s="58"/>
      <c r="BA4825" s="58"/>
      <c r="BB4825" s="58"/>
      <c r="BC4825" s="58"/>
      <c r="BD4825" s="58"/>
      <c r="BE4825" s="236" t="s">
        <v>5154</v>
      </c>
      <c r="BF4825" s="58" t="s">
        <v>479</v>
      </c>
      <c r="BG4825" s="58" t="s">
        <v>479</v>
      </c>
      <c r="BH4825" s="236" t="s">
        <v>5233</v>
      </c>
      <c r="BI4825" s="58" t="s">
        <v>479</v>
      </c>
      <c r="BJ4825" s="58" t="str">
        <f>IF(BE4825=BH4825,"No","yes")</f>
        <v>yes</v>
      </c>
      <c r="BK4825" s="58" t="s">
        <v>6335</v>
      </c>
      <c r="BL4825" s="58"/>
      <c r="BM4825" s="237" t="s">
        <v>160</v>
      </c>
      <c r="BN4825" s="244">
        <v>4</v>
      </c>
      <c r="BO4825" s="244">
        <v>4</v>
      </c>
      <c r="BP4825" s="58"/>
      <c r="BQ4825" s="58"/>
      <c r="BR4825" s="58"/>
      <c r="BS4825" s="58"/>
      <c r="BT4825" s="58"/>
      <c r="BU4825" s="58"/>
      <c r="BV4825" s="58" t="s">
        <v>5661</v>
      </c>
      <c r="BW4825" s="67"/>
      <c r="BX4825" s="67"/>
      <c r="BY4825" s="67"/>
      <c r="BZ4825" s="67"/>
      <c r="CA4825" s="67"/>
      <c r="CB4825" s="70"/>
      <c r="CC4825" s="70"/>
      <c r="CD4825" s="70"/>
      <c r="CE4825" s="67"/>
      <c r="CF4825" s="67"/>
      <c r="CG4825" s="67"/>
      <c r="CH4825" s="245"/>
      <c r="CI4825" s="245"/>
      <c r="CJ4825" s="67"/>
      <c r="CK4825" s="67"/>
      <c r="CL4825" s="67"/>
      <c r="CM4825" s="242">
        <v>0.83</v>
      </c>
      <c r="CN4825" s="242">
        <v>1.57</v>
      </c>
      <c r="CO4825" s="242">
        <f>(0.89-CM4825)*2</f>
        <v>0.12000000000000011</v>
      </c>
      <c r="CP4825" s="242">
        <f>(1.7-CN4825)*2</f>
        <v>0.25999999999999979</v>
      </c>
      <c r="CQ4825" s="242" t="s">
        <v>164</v>
      </c>
      <c r="CR4825" s="242"/>
      <c r="CS4825" s="242"/>
      <c r="CT4825" s="242"/>
      <c r="CU4825" s="242"/>
      <c r="CV4825" s="242"/>
      <c r="CW4825" s="242"/>
      <c r="CX4825" s="242"/>
      <c r="CY4825" s="242"/>
      <c r="CZ4825" s="242"/>
      <c r="DA4825" s="67"/>
      <c r="DB4825" s="67"/>
      <c r="DC4825" s="67"/>
      <c r="DD4825" s="67"/>
      <c r="DE4825" s="67"/>
      <c r="DF4825" s="67"/>
      <c r="DG4825" s="67"/>
      <c r="DH4825" s="67"/>
      <c r="DI4825" s="67"/>
      <c r="DJ4825" s="67"/>
      <c r="DK4825" s="67"/>
      <c r="DL4825" s="67"/>
      <c r="DM4825" s="67"/>
      <c r="DN4825" s="67"/>
      <c r="DO4825" s="67"/>
      <c r="DP4825" s="67"/>
      <c r="DQ4825" s="166"/>
      <c r="DR4825" s="166"/>
      <c r="DS4825" s="163"/>
      <c r="DT4825" s="163"/>
      <c r="DU4825" s="67"/>
      <c r="DV4825" s="67"/>
      <c r="DW4825" s="67"/>
      <c r="DX4825" s="67"/>
      <c r="DY4825" s="67"/>
      <c r="DZ4825" s="67"/>
      <c r="EA4825" s="67"/>
      <c r="EB4825" s="67"/>
      <c r="EC4825" s="67"/>
      <c r="ED4825" s="67"/>
      <c r="EE4825" s="67"/>
      <c r="EF4825" s="67"/>
      <c r="EG4825" s="67"/>
      <c r="EH4825" s="67"/>
      <c r="EI4825" s="67"/>
      <c r="EJ4825" s="67"/>
      <c r="EK4825" s="94"/>
      <c r="EL4825" s="94"/>
      <c r="EM4825" s="67"/>
      <c r="EN4825" s="67"/>
      <c r="EO4825" s="67"/>
      <c r="EP4825" s="67"/>
      <c r="EQ4825" s="67"/>
      <c r="ER4825" s="67"/>
      <c r="ES4825" s="67"/>
      <c r="ET4825" s="67"/>
      <c r="EU4825" s="67"/>
      <c r="EV4825" s="67"/>
      <c r="EW4825" s="67"/>
      <c r="EX4825" s="67"/>
      <c r="EY4825" s="67"/>
      <c r="EZ4825" s="67"/>
      <c r="FA4825" s="67"/>
      <c r="FB4825" s="67"/>
      <c r="FC4825" s="67"/>
      <c r="FD4825" s="67"/>
      <c r="FE4825" s="67"/>
      <c r="FF4825" s="67"/>
      <c r="FG4825" s="67"/>
      <c r="FH4825" s="67"/>
      <c r="FI4825" s="67"/>
      <c r="FJ4825" s="67"/>
      <c r="FK4825" s="67"/>
      <c r="FL4825" s="67"/>
      <c r="FM4825" s="67"/>
      <c r="FN4825" s="67"/>
      <c r="FO4825" s="67"/>
      <c r="FP4825" s="67"/>
      <c r="FQ4825" s="67"/>
      <c r="FR4825" s="67"/>
      <c r="FS4825" s="67"/>
      <c r="FT4825" s="67"/>
      <c r="FU4825" s="67"/>
      <c r="FV4825" s="67"/>
      <c r="FW4825" s="67"/>
      <c r="FX4825" s="67"/>
      <c r="FY4825" s="67"/>
      <c r="FZ4825" s="67"/>
      <c r="GA4825" s="67"/>
      <c r="GB4825" s="67"/>
      <c r="GC4825" s="67"/>
      <c r="GD4825" s="67"/>
      <c r="GE4825" s="67"/>
      <c r="GF4825" s="67"/>
      <c r="GG4825" s="67"/>
      <c r="GH4825" s="67"/>
      <c r="GI4825" s="67"/>
      <c r="GJ4825" s="67"/>
      <c r="GK4825" s="67"/>
      <c r="GL4825" s="67"/>
      <c r="GM4825" s="67"/>
      <c r="GN4825" s="292"/>
      <c r="GO4825" s="292"/>
      <c r="GP4825" s="292" t="s">
        <v>7494</v>
      </c>
      <c r="GQ4825" s="67"/>
      <c r="GR4825" s="67"/>
      <c r="GS4825" s="67"/>
      <c r="GT4825" s="67"/>
      <c r="GU4825" s="67"/>
      <c r="GV4825" s="67"/>
      <c r="GW4825" s="67"/>
      <c r="GX4825" s="67"/>
      <c r="GY4825" s="67"/>
      <c r="GZ4825" s="67"/>
      <c r="HA4825" s="67"/>
      <c r="HB4825" s="67"/>
      <c r="HC4825" s="67"/>
      <c r="HD4825" s="67"/>
      <c r="HE4825" s="67"/>
      <c r="HF4825" s="67"/>
      <c r="HG4825" s="67"/>
      <c r="HH4825" s="67"/>
      <c r="HI4825" s="67"/>
      <c r="HJ4825" s="67"/>
      <c r="HK4825" s="67"/>
      <c r="HL4825" s="67"/>
      <c r="HM4825" s="67"/>
      <c r="HN4825" s="67"/>
      <c r="HO4825" s="67"/>
      <c r="HP4825" s="67"/>
      <c r="HQ4825" s="67"/>
      <c r="HR4825" s="67"/>
      <c r="HS4825" s="67"/>
      <c r="HT4825" s="67"/>
      <c r="HU4825" s="67"/>
      <c r="HV4825" s="67"/>
      <c r="HW4825" s="67"/>
      <c r="HX4825" s="67"/>
      <c r="HY4825" s="67"/>
      <c r="HZ4825" s="67"/>
      <c r="IA4825" s="67"/>
      <c r="IB4825" s="67"/>
      <c r="IC4825" s="67"/>
      <c r="ID4825" s="67"/>
      <c r="IE4825" s="67"/>
      <c r="IF4825" s="67"/>
      <c r="IG4825" s="67"/>
      <c r="IH4825" s="67"/>
      <c r="II4825" s="67"/>
      <c r="IJ4825" s="67"/>
      <c r="IK4825" s="67"/>
      <c r="IL4825" s="67"/>
      <c r="IM4825" s="67"/>
      <c r="IN4825" s="67"/>
      <c r="IO4825" s="67"/>
      <c r="IP4825" s="67"/>
      <c r="IQ4825" s="67"/>
      <c r="IR4825" s="67"/>
      <c r="IS4825" s="67"/>
      <c r="IT4825" s="67"/>
      <c r="IU4825" s="67"/>
      <c r="IV4825" s="67"/>
      <c r="IW4825" s="67"/>
      <c r="IX4825" s="67"/>
      <c r="IY4825" s="67"/>
      <c r="IZ4825" s="67"/>
      <c r="JA4825" s="67"/>
      <c r="JB4825" s="67"/>
      <c r="JC4825" s="67"/>
      <c r="JD4825" s="67"/>
      <c r="JE4825" s="67"/>
      <c r="JF4825" s="67"/>
      <c r="JG4825" s="67"/>
      <c r="JH4825" s="67"/>
      <c r="JI4825" s="67"/>
      <c r="JJ4825" s="67"/>
      <c r="JK4825" s="67"/>
      <c r="JL4825" s="67"/>
      <c r="JM4825" s="67"/>
      <c r="JN4825" s="67"/>
      <c r="JO4825" s="67"/>
      <c r="JP4825" s="67"/>
      <c r="JQ4825" s="67"/>
      <c r="JR4825" s="67"/>
      <c r="JS4825" s="67"/>
      <c r="JT4825" s="67"/>
      <c r="JU4825" s="58"/>
      <c r="JV4825" s="58"/>
      <c r="JW4825" s="58"/>
    </row>
    <row r="4826" spans="1:283" s="23" customFormat="1" x14ac:dyDescent="0.25">
      <c r="A4826" s="55">
        <v>4825</v>
      </c>
      <c r="B4826" s="12" t="s">
        <v>7067</v>
      </c>
      <c r="C4826" s="156">
        <v>216</v>
      </c>
      <c r="D4826" s="58" t="s">
        <v>4891</v>
      </c>
      <c r="E4826" s="160" t="str">
        <f>G4826</f>
        <v>Ciavatta et al. 2008_subsoil</v>
      </c>
      <c r="F4826" s="160"/>
      <c r="G4826" s="60" t="s">
        <v>4837</v>
      </c>
      <c r="H4826" s="58">
        <v>2008</v>
      </c>
      <c r="I4826" s="58">
        <v>2006</v>
      </c>
      <c r="J4826" s="243" t="s">
        <v>5303</v>
      </c>
      <c r="K4826" s="63" t="s">
        <v>5125</v>
      </c>
      <c r="L4826" s="58" t="s">
        <v>2741</v>
      </c>
      <c r="M4826" s="94">
        <v>44.71</v>
      </c>
      <c r="N4826" s="94">
        <v>11.23</v>
      </c>
      <c r="O4826" s="94">
        <v>19</v>
      </c>
      <c r="P4826" s="58"/>
      <c r="Q4826" s="244">
        <v>13.1</v>
      </c>
      <c r="R4826" s="58"/>
      <c r="S4826" s="245">
        <v>750</v>
      </c>
      <c r="T4826" s="58"/>
      <c r="U4826" s="58" t="s">
        <v>1681</v>
      </c>
      <c r="V4826" s="244">
        <v>18</v>
      </c>
      <c r="W4826" s="174"/>
      <c r="X4826" s="174"/>
      <c r="Y4826" s="58" t="s">
        <v>5354</v>
      </c>
      <c r="Z4826" s="244" t="s">
        <v>5142</v>
      </c>
      <c r="AA4826" s="245">
        <v>20</v>
      </c>
      <c r="AB4826" s="67"/>
      <c r="AC4826" s="67"/>
      <c r="AD4826" s="94"/>
      <c r="AE4826" s="94">
        <v>32</v>
      </c>
      <c r="AF4826" s="94">
        <v>49</v>
      </c>
      <c r="AG4826" s="245">
        <v>19</v>
      </c>
      <c r="AH4826" s="58" t="s">
        <v>139</v>
      </c>
      <c r="AI4826" s="169">
        <v>7.98</v>
      </c>
      <c r="AJ4826" s="94">
        <v>0.95</v>
      </c>
      <c r="AK4826" s="94"/>
      <c r="AL4826" s="58"/>
      <c r="AM4826" s="58"/>
      <c r="AN4826" s="186" t="s">
        <v>5356</v>
      </c>
      <c r="AO4826" s="185" t="s">
        <v>5150</v>
      </c>
      <c r="AP4826" s="58"/>
      <c r="AQ4826" s="58" t="s">
        <v>1545</v>
      </c>
      <c r="AR4826" s="58" t="s">
        <v>5353</v>
      </c>
      <c r="AS4826" s="246" t="s">
        <v>3471</v>
      </c>
      <c r="AT4826" s="247">
        <v>0</v>
      </c>
      <c r="AU4826" s="181" t="s">
        <v>7494</v>
      </c>
      <c r="AV4826" s="185" t="s">
        <v>176</v>
      </c>
      <c r="AW4826" s="244">
        <v>0</v>
      </c>
      <c r="AX4826" s="185" t="s">
        <v>176</v>
      </c>
      <c r="AY4826" s="244" t="s">
        <v>176</v>
      </c>
      <c r="AZ4826" s="58"/>
      <c r="BA4826" s="58"/>
      <c r="BB4826" s="58"/>
      <c r="BC4826" s="58"/>
      <c r="BD4826" s="58"/>
      <c r="BE4826" s="236" t="s">
        <v>5154</v>
      </c>
      <c r="BF4826" s="58" t="s">
        <v>479</v>
      </c>
      <c r="BG4826" s="58" t="s">
        <v>479</v>
      </c>
      <c r="BH4826" s="236" t="s">
        <v>5233</v>
      </c>
      <c r="BI4826" s="58" t="s">
        <v>479</v>
      </c>
      <c r="BJ4826" s="58" t="str">
        <f>IF(BE4826=BH4826,"No","yes")</f>
        <v>yes</v>
      </c>
      <c r="BK4826" s="58" t="s">
        <v>6335</v>
      </c>
      <c r="BL4826" s="58"/>
      <c r="BM4826" s="237" t="s">
        <v>160</v>
      </c>
      <c r="BN4826" s="244">
        <v>4</v>
      </c>
      <c r="BO4826" s="244">
        <v>4</v>
      </c>
      <c r="BP4826" s="58"/>
      <c r="BQ4826" s="58"/>
      <c r="BR4826" s="58"/>
      <c r="BS4826" s="58"/>
      <c r="BT4826" s="58"/>
      <c r="BU4826" s="58"/>
      <c r="BV4826" s="58" t="s">
        <v>5661</v>
      </c>
      <c r="BW4826" s="67"/>
      <c r="BX4826" s="67"/>
      <c r="BY4826" s="67"/>
      <c r="BZ4826" s="67"/>
      <c r="CA4826" s="67"/>
      <c r="CB4826" s="70"/>
      <c r="CC4826" s="70"/>
      <c r="CD4826" s="70"/>
      <c r="CE4826" s="67"/>
      <c r="CF4826" s="67"/>
      <c r="CG4826" s="67"/>
      <c r="CH4826" s="245"/>
      <c r="CI4826" s="245"/>
      <c r="CJ4826" s="67"/>
      <c r="CK4826" s="67"/>
      <c r="CL4826" s="67"/>
      <c r="CM4826" s="242">
        <v>0.72</v>
      </c>
      <c r="CN4826" s="242">
        <v>0.81</v>
      </c>
      <c r="CO4826" s="242">
        <f>(0.77-CM4826)*2</f>
        <v>0.10000000000000009</v>
      </c>
      <c r="CP4826" s="242">
        <f>(0.91-CN4826)*2</f>
        <v>0.19999999999999996</v>
      </c>
      <c r="CQ4826" s="242" t="s">
        <v>164</v>
      </c>
      <c r="CR4826" s="242"/>
      <c r="CS4826" s="242"/>
      <c r="CT4826" s="242"/>
      <c r="CU4826" s="242"/>
      <c r="CV4826" s="242"/>
      <c r="CW4826" s="242"/>
      <c r="CX4826" s="242"/>
      <c r="CY4826" s="242"/>
      <c r="CZ4826" s="242"/>
      <c r="DA4826" s="67"/>
      <c r="DB4826" s="67"/>
      <c r="DC4826" s="67"/>
      <c r="DD4826" s="67"/>
      <c r="DE4826" s="67"/>
      <c r="DF4826" s="67"/>
      <c r="DG4826" s="67"/>
      <c r="DH4826" s="67"/>
      <c r="DI4826" s="67"/>
      <c r="DJ4826" s="67"/>
      <c r="DK4826" s="67"/>
      <c r="DL4826" s="67"/>
      <c r="DM4826" s="67"/>
      <c r="DN4826" s="67"/>
      <c r="DO4826" s="67"/>
      <c r="DP4826" s="67"/>
      <c r="DQ4826" s="166"/>
      <c r="DR4826" s="166"/>
      <c r="DS4826" s="163"/>
      <c r="DT4826" s="163"/>
      <c r="DU4826" s="67"/>
      <c r="DV4826" s="67"/>
      <c r="DW4826" s="67"/>
      <c r="DX4826" s="67"/>
      <c r="DY4826" s="67"/>
      <c r="DZ4826" s="67"/>
      <c r="EA4826" s="67"/>
      <c r="EB4826" s="67"/>
      <c r="EC4826" s="67"/>
      <c r="ED4826" s="67"/>
      <c r="EE4826" s="67"/>
      <c r="EF4826" s="67"/>
      <c r="EG4826" s="67"/>
      <c r="EH4826" s="67"/>
      <c r="EI4826" s="67"/>
      <c r="EJ4826" s="67"/>
      <c r="EK4826" s="94"/>
      <c r="EL4826" s="94"/>
      <c r="EM4826" s="67"/>
      <c r="EN4826" s="67"/>
      <c r="EO4826" s="67"/>
      <c r="EP4826" s="67"/>
      <c r="EQ4826" s="67"/>
      <c r="ER4826" s="67"/>
      <c r="ES4826" s="67"/>
      <c r="ET4826" s="67"/>
      <c r="EU4826" s="67"/>
      <c r="EV4826" s="67"/>
      <c r="EW4826" s="67"/>
      <c r="EX4826" s="67"/>
      <c r="EY4826" s="67"/>
      <c r="EZ4826" s="67"/>
      <c r="FA4826" s="67"/>
      <c r="FB4826" s="67"/>
      <c r="FC4826" s="67"/>
      <c r="FD4826" s="67"/>
      <c r="FE4826" s="67"/>
      <c r="FF4826" s="67"/>
      <c r="FG4826" s="67"/>
      <c r="FH4826" s="67"/>
      <c r="FI4826" s="67"/>
      <c r="FJ4826" s="67"/>
      <c r="FK4826" s="67"/>
      <c r="FL4826" s="67"/>
      <c r="FM4826" s="67"/>
      <c r="FN4826" s="67"/>
      <c r="FO4826" s="67"/>
      <c r="FP4826" s="67"/>
      <c r="FQ4826" s="67"/>
      <c r="FR4826" s="67"/>
      <c r="FS4826" s="67"/>
      <c r="FT4826" s="67"/>
      <c r="FU4826" s="67"/>
      <c r="FV4826" s="67"/>
      <c r="FW4826" s="67"/>
      <c r="FX4826" s="67"/>
      <c r="FY4826" s="67"/>
      <c r="FZ4826" s="67"/>
      <c r="GA4826" s="67"/>
      <c r="GB4826" s="67"/>
      <c r="GC4826" s="67"/>
      <c r="GD4826" s="67"/>
      <c r="GE4826" s="67"/>
      <c r="GF4826" s="67"/>
      <c r="GG4826" s="67"/>
      <c r="GH4826" s="67"/>
      <c r="GI4826" s="67"/>
      <c r="GJ4826" s="67"/>
      <c r="GK4826" s="67"/>
      <c r="GL4826" s="67"/>
      <c r="GM4826" s="67"/>
      <c r="GN4826" s="292"/>
      <c r="GO4826" s="292"/>
      <c r="GP4826" s="292" t="s">
        <v>7494</v>
      </c>
      <c r="GQ4826" s="67"/>
      <c r="GR4826" s="67"/>
      <c r="GS4826" s="67"/>
      <c r="GT4826" s="67"/>
      <c r="GU4826" s="67"/>
      <c r="GV4826" s="67"/>
      <c r="GW4826" s="67"/>
      <c r="GX4826" s="67"/>
      <c r="GY4826" s="67"/>
      <c r="GZ4826" s="67"/>
      <c r="HA4826" s="67"/>
      <c r="HB4826" s="67"/>
      <c r="HC4826" s="67"/>
      <c r="HD4826" s="67"/>
      <c r="HE4826" s="67"/>
      <c r="HF4826" s="67"/>
      <c r="HG4826" s="67"/>
      <c r="HH4826" s="67"/>
      <c r="HI4826" s="67"/>
      <c r="HJ4826" s="67"/>
      <c r="HK4826" s="67"/>
      <c r="HL4826" s="67"/>
      <c r="HM4826" s="67"/>
      <c r="HN4826" s="67"/>
      <c r="HO4826" s="67"/>
      <c r="HP4826" s="67"/>
      <c r="HQ4826" s="67"/>
      <c r="HR4826" s="67"/>
      <c r="HS4826" s="67"/>
      <c r="HT4826" s="67"/>
      <c r="HU4826" s="67"/>
      <c r="HV4826" s="67"/>
      <c r="HW4826" s="67"/>
      <c r="HX4826" s="67"/>
      <c r="HY4826" s="67"/>
      <c r="HZ4826" s="67"/>
      <c r="IA4826" s="67"/>
      <c r="IB4826" s="67"/>
      <c r="IC4826" s="67"/>
      <c r="ID4826" s="67"/>
      <c r="IE4826" s="67"/>
      <c r="IF4826" s="67"/>
      <c r="IG4826" s="67"/>
      <c r="IH4826" s="67"/>
      <c r="II4826" s="67"/>
      <c r="IJ4826" s="67"/>
      <c r="IK4826" s="67"/>
      <c r="IL4826" s="67"/>
      <c r="IM4826" s="67"/>
      <c r="IN4826" s="67"/>
      <c r="IO4826" s="67"/>
      <c r="IP4826" s="67"/>
      <c r="IQ4826" s="67"/>
      <c r="IR4826" s="67"/>
      <c r="IS4826" s="67"/>
      <c r="IT4826" s="67"/>
      <c r="IU4826" s="67"/>
      <c r="IV4826" s="67"/>
      <c r="IW4826" s="67"/>
      <c r="IX4826" s="67"/>
      <c r="IY4826" s="67"/>
      <c r="IZ4826" s="67"/>
      <c r="JA4826" s="67"/>
      <c r="JB4826" s="67"/>
      <c r="JC4826" s="67"/>
      <c r="JD4826" s="67"/>
      <c r="JE4826" s="67"/>
      <c r="JF4826" s="67"/>
      <c r="JG4826" s="67"/>
      <c r="JH4826" s="67"/>
      <c r="JI4826" s="67"/>
      <c r="JJ4826" s="67"/>
      <c r="JK4826" s="67"/>
      <c r="JL4826" s="67"/>
      <c r="JM4826" s="67"/>
      <c r="JN4826" s="67"/>
      <c r="JO4826" s="67"/>
      <c r="JP4826" s="67"/>
      <c r="JQ4826" s="67"/>
      <c r="JR4826" s="67"/>
      <c r="JS4826" s="67"/>
      <c r="JT4826" s="67"/>
      <c r="JU4826" s="58"/>
      <c r="JV4826" s="58"/>
      <c r="JW4826" s="58"/>
    </row>
    <row r="4827" spans="1:283" s="23" customFormat="1" x14ac:dyDescent="0.25">
      <c r="A4827" s="55">
        <v>4826</v>
      </c>
      <c r="B4827" s="12" t="s">
        <v>7067</v>
      </c>
      <c r="C4827" s="156">
        <v>216</v>
      </c>
      <c r="D4827" s="58" t="s">
        <v>4892</v>
      </c>
      <c r="E4827" s="160" t="str">
        <f>G4827</f>
        <v>Ciavatta et al. 2008_topsoil</v>
      </c>
      <c r="F4827" s="160"/>
      <c r="G4827" s="60" t="s">
        <v>4836</v>
      </c>
      <c r="H4827" s="58">
        <v>2008</v>
      </c>
      <c r="I4827" s="58">
        <v>2006</v>
      </c>
      <c r="J4827" s="243" t="s">
        <v>5304</v>
      </c>
      <c r="K4827" s="63" t="s">
        <v>5125</v>
      </c>
      <c r="L4827" s="58" t="s">
        <v>2741</v>
      </c>
      <c r="M4827" s="94">
        <v>44.71</v>
      </c>
      <c r="N4827" s="94">
        <v>11.23</v>
      </c>
      <c r="O4827" s="94">
        <v>19</v>
      </c>
      <c r="P4827" s="58"/>
      <c r="Q4827" s="244">
        <v>13.1</v>
      </c>
      <c r="R4827" s="58"/>
      <c r="S4827" s="245">
        <v>750</v>
      </c>
      <c r="T4827" s="58"/>
      <c r="U4827" s="58" t="s">
        <v>1681</v>
      </c>
      <c r="V4827" s="244">
        <v>18</v>
      </c>
      <c r="W4827" s="174"/>
      <c r="X4827" s="174"/>
      <c r="Y4827" s="58" t="s">
        <v>5355</v>
      </c>
      <c r="Z4827" s="244" t="s">
        <v>1349</v>
      </c>
      <c r="AA4827" s="245">
        <v>15</v>
      </c>
      <c r="AB4827" s="67"/>
      <c r="AC4827" s="67"/>
      <c r="AD4827" s="94"/>
      <c r="AE4827" s="94">
        <v>32</v>
      </c>
      <c r="AF4827" s="94">
        <v>49</v>
      </c>
      <c r="AG4827" s="245">
        <v>19</v>
      </c>
      <c r="AH4827" s="58" t="s">
        <v>139</v>
      </c>
      <c r="AI4827" s="169" t="s">
        <v>1940</v>
      </c>
      <c r="AJ4827" s="94">
        <v>0.84</v>
      </c>
      <c r="AK4827" s="94"/>
      <c r="AL4827" s="58"/>
      <c r="AM4827" s="58"/>
      <c r="AN4827" s="186" t="s">
        <v>5356</v>
      </c>
      <c r="AO4827" s="185" t="s">
        <v>5150</v>
      </c>
      <c r="AP4827" s="58"/>
      <c r="AQ4827" s="58" t="s">
        <v>1545</v>
      </c>
      <c r="AR4827" s="58" t="s">
        <v>5353</v>
      </c>
      <c r="AS4827" s="246" t="s">
        <v>3471</v>
      </c>
      <c r="AT4827" s="247">
        <v>0</v>
      </c>
      <c r="AU4827" s="181" t="s">
        <v>7494</v>
      </c>
      <c r="AV4827" s="185" t="s">
        <v>176</v>
      </c>
      <c r="AW4827" s="244">
        <v>0</v>
      </c>
      <c r="AX4827" s="185" t="s">
        <v>176</v>
      </c>
      <c r="AY4827" s="244" t="s">
        <v>176</v>
      </c>
      <c r="AZ4827" s="58"/>
      <c r="BA4827" s="58"/>
      <c r="BB4827" s="58"/>
      <c r="BC4827" s="58"/>
      <c r="BD4827" s="58"/>
      <c r="BE4827" s="236" t="s">
        <v>5154</v>
      </c>
      <c r="BF4827" s="58" t="s">
        <v>479</v>
      </c>
      <c r="BG4827" s="58" t="s">
        <v>479</v>
      </c>
      <c r="BH4827" s="236" t="s">
        <v>5233</v>
      </c>
      <c r="BI4827" s="58" t="s">
        <v>479</v>
      </c>
      <c r="BJ4827" s="58" t="str">
        <f>IF(BE4827=BH4827,"No","yes")</f>
        <v>yes</v>
      </c>
      <c r="BK4827" s="58" t="s">
        <v>6335</v>
      </c>
      <c r="BL4827" s="58"/>
      <c r="BM4827" s="237" t="s">
        <v>160</v>
      </c>
      <c r="BN4827" s="244">
        <v>4</v>
      </c>
      <c r="BO4827" s="244">
        <v>4</v>
      </c>
      <c r="BP4827" s="58"/>
      <c r="BQ4827" s="58"/>
      <c r="BR4827" s="58"/>
      <c r="BS4827" s="58"/>
      <c r="BT4827" s="58"/>
      <c r="BU4827" s="58"/>
      <c r="BV4827" s="58" t="s">
        <v>5662</v>
      </c>
      <c r="BW4827" s="67"/>
      <c r="BX4827" s="67"/>
      <c r="BY4827" s="67"/>
      <c r="BZ4827" s="67"/>
      <c r="CA4827" s="67"/>
      <c r="CB4827" s="70"/>
      <c r="CC4827" s="70"/>
      <c r="CD4827" s="70"/>
      <c r="CE4827" s="67"/>
      <c r="CF4827" s="67"/>
      <c r="CG4827" s="67"/>
      <c r="CH4827" s="245"/>
      <c r="CI4827" s="245"/>
      <c r="CJ4827" s="67"/>
      <c r="CK4827" s="67"/>
      <c r="CL4827" s="67"/>
      <c r="CM4827" s="242">
        <v>0.76</v>
      </c>
      <c r="CN4827" s="242">
        <v>1.08</v>
      </c>
      <c r="CO4827" s="242">
        <v>0.1</v>
      </c>
      <c r="CP4827" s="242">
        <f>(1.2-CN4827)*2</f>
        <v>0.23999999999999977</v>
      </c>
      <c r="CQ4827" s="242" t="s">
        <v>164</v>
      </c>
      <c r="CR4827" s="242"/>
      <c r="CS4827" s="242"/>
      <c r="CT4827" s="242"/>
      <c r="CU4827" s="242"/>
      <c r="CV4827" s="242"/>
      <c r="CW4827" s="242"/>
      <c r="CX4827" s="242"/>
      <c r="CY4827" s="242"/>
      <c r="CZ4827" s="242"/>
      <c r="DA4827" s="67"/>
      <c r="DB4827" s="67"/>
      <c r="DC4827" s="67"/>
      <c r="DD4827" s="67"/>
      <c r="DE4827" s="67"/>
      <c r="DF4827" s="67"/>
      <c r="DG4827" s="67"/>
      <c r="DH4827" s="67"/>
      <c r="DI4827" s="67"/>
      <c r="DJ4827" s="67"/>
      <c r="DK4827" s="67"/>
      <c r="DL4827" s="67"/>
      <c r="DM4827" s="67"/>
      <c r="DN4827" s="67"/>
      <c r="DO4827" s="67"/>
      <c r="DP4827" s="67"/>
      <c r="DQ4827" s="166"/>
      <c r="DR4827" s="166"/>
      <c r="DS4827" s="163"/>
      <c r="DT4827" s="163"/>
      <c r="DU4827" s="67"/>
      <c r="DV4827" s="67"/>
      <c r="DW4827" s="67"/>
      <c r="DX4827" s="67"/>
      <c r="DY4827" s="67"/>
      <c r="DZ4827" s="67"/>
      <c r="EA4827" s="67"/>
      <c r="EB4827" s="67"/>
      <c r="EC4827" s="67"/>
      <c r="ED4827" s="67"/>
      <c r="EE4827" s="67"/>
      <c r="EF4827" s="67"/>
      <c r="EG4827" s="67"/>
      <c r="EH4827" s="67"/>
      <c r="EI4827" s="67"/>
      <c r="EJ4827" s="67"/>
      <c r="EK4827" s="94"/>
      <c r="EL4827" s="94"/>
      <c r="EM4827" s="67"/>
      <c r="EN4827" s="67"/>
      <c r="EO4827" s="67"/>
      <c r="EP4827" s="67"/>
      <c r="EQ4827" s="67"/>
      <c r="ER4827" s="67"/>
      <c r="ES4827" s="67"/>
      <c r="ET4827" s="67"/>
      <c r="EU4827" s="67"/>
      <c r="EV4827" s="67"/>
      <c r="EW4827" s="67"/>
      <c r="EX4827" s="67"/>
      <c r="EY4827" s="67"/>
      <c r="EZ4827" s="67"/>
      <c r="FA4827" s="67"/>
      <c r="FB4827" s="67"/>
      <c r="FC4827" s="67"/>
      <c r="FD4827" s="67"/>
      <c r="FE4827" s="67"/>
      <c r="FF4827" s="67"/>
      <c r="FG4827" s="67"/>
      <c r="FH4827" s="67"/>
      <c r="FI4827" s="67"/>
      <c r="FJ4827" s="67"/>
      <c r="FK4827" s="67"/>
      <c r="FL4827" s="67"/>
      <c r="FM4827" s="67"/>
      <c r="FN4827" s="67"/>
      <c r="FO4827" s="67"/>
      <c r="FP4827" s="67"/>
      <c r="FQ4827" s="67"/>
      <c r="FR4827" s="67"/>
      <c r="FS4827" s="67"/>
      <c r="FT4827" s="67"/>
      <c r="FU4827" s="67"/>
      <c r="FV4827" s="67"/>
      <c r="FW4827" s="67"/>
      <c r="FX4827" s="67"/>
      <c r="FY4827" s="67"/>
      <c r="FZ4827" s="67"/>
      <c r="GA4827" s="67"/>
      <c r="GB4827" s="67"/>
      <c r="GC4827" s="67"/>
      <c r="GD4827" s="67"/>
      <c r="GE4827" s="67"/>
      <c r="GF4827" s="67"/>
      <c r="GG4827" s="67"/>
      <c r="GH4827" s="67"/>
      <c r="GI4827" s="67"/>
      <c r="GJ4827" s="67"/>
      <c r="GK4827" s="67"/>
      <c r="GL4827" s="67"/>
      <c r="GM4827" s="67"/>
      <c r="GN4827" s="292"/>
      <c r="GO4827" s="292"/>
      <c r="GP4827" s="292" t="s">
        <v>7494</v>
      </c>
      <c r="GQ4827" s="67"/>
      <c r="GR4827" s="67"/>
      <c r="GS4827" s="67"/>
      <c r="GT4827" s="67"/>
      <c r="GU4827" s="67"/>
      <c r="GV4827" s="67"/>
      <c r="GW4827" s="67"/>
      <c r="GX4827" s="67"/>
      <c r="GY4827" s="67"/>
      <c r="GZ4827" s="67"/>
      <c r="HA4827" s="67"/>
      <c r="HB4827" s="67"/>
      <c r="HC4827" s="67"/>
      <c r="HD4827" s="67"/>
      <c r="HE4827" s="67"/>
      <c r="HF4827" s="67"/>
      <c r="HG4827" s="67"/>
      <c r="HH4827" s="67"/>
      <c r="HI4827" s="67"/>
      <c r="HJ4827" s="67"/>
      <c r="HK4827" s="67"/>
      <c r="HL4827" s="67"/>
      <c r="HM4827" s="67"/>
      <c r="HN4827" s="67"/>
      <c r="HO4827" s="67"/>
      <c r="HP4827" s="67"/>
      <c r="HQ4827" s="67"/>
      <c r="HR4827" s="67"/>
      <c r="HS4827" s="67"/>
      <c r="HT4827" s="67"/>
      <c r="HU4827" s="67"/>
      <c r="HV4827" s="67"/>
      <c r="HW4827" s="67"/>
      <c r="HX4827" s="67"/>
      <c r="HY4827" s="67"/>
      <c r="HZ4827" s="67"/>
      <c r="IA4827" s="67"/>
      <c r="IB4827" s="67"/>
      <c r="IC4827" s="67"/>
      <c r="ID4827" s="67"/>
      <c r="IE4827" s="67"/>
      <c r="IF4827" s="67"/>
      <c r="IG4827" s="67"/>
      <c r="IH4827" s="67"/>
      <c r="II4827" s="67"/>
      <c r="IJ4827" s="67"/>
      <c r="IK4827" s="67"/>
      <c r="IL4827" s="67"/>
      <c r="IM4827" s="67"/>
      <c r="IN4827" s="67"/>
      <c r="IO4827" s="67"/>
      <c r="IP4827" s="67"/>
      <c r="IQ4827" s="67"/>
      <c r="IR4827" s="67"/>
      <c r="IS4827" s="67"/>
      <c r="IT4827" s="67"/>
      <c r="IU4827" s="67"/>
      <c r="IV4827" s="67"/>
      <c r="IW4827" s="67"/>
      <c r="IX4827" s="67"/>
      <c r="IY4827" s="67"/>
      <c r="IZ4827" s="67"/>
      <c r="JA4827" s="67"/>
      <c r="JB4827" s="67"/>
      <c r="JC4827" s="67"/>
      <c r="JD4827" s="67"/>
      <c r="JE4827" s="67"/>
      <c r="JF4827" s="67"/>
      <c r="JG4827" s="67"/>
      <c r="JH4827" s="67"/>
      <c r="JI4827" s="67"/>
      <c r="JJ4827" s="67"/>
      <c r="JK4827" s="67"/>
      <c r="JL4827" s="67"/>
      <c r="JM4827" s="67"/>
      <c r="JN4827" s="67"/>
      <c r="JO4827" s="67"/>
      <c r="JP4827" s="67"/>
      <c r="JQ4827" s="67"/>
      <c r="JR4827" s="67"/>
      <c r="JS4827" s="67"/>
      <c r="JT4827" s="67"/>
      <c r="JU4827" s="58"/>
      <c r="JV4827" s="58"/>
      <c r="JW4827" s="58"/>
    </row>
    <row r="4828" spans="1:283" s="23" customFormat="1" x14ac:dyDescent="0.25">
      <c r="A4828" s="55">
        <v>4827</v>
      </c>
      <c r="B4828" s="12" t="s">
        <v>7067</v>
      </c>
      <c r="C4828" s="156">
        <v>216</v>
      </c>
      <c r="D4828" s="58" t="s">
        <v>4891</v>
      </c>
      <c r="E4828" s="160" t="str">
        <f>G4828</f>
        <v>Ciavatta et al. 2008_subsoil</v>
      </c>
      <c r="F4828" s="160"/>
      <c r="G4828" s="60" t="s">
        <v>4837</v>
      </c>
      <c r="H4828" s="58">
        <v>2008</v>
      </c>
      <c r="I4828" s="58">
        <v>2006</v>
      </c>
      <c r="J4828" s="243" t="s">
        <v>5303</v>
      </c>
      <c r="K4828" s="63" t="s">
        <v>5125</v>
      </c>
      <c r="L4828" s="58" t="s">
        <v>2741</v>
      </c>
      <c r="M4828" s="94">
        <v>44.71</v>
      </c>
      <c r="N4828" s="94">
        <v>11.23</v>
      </c>
      <c r="O4828" s="94">
        <v>19</v>
      </c>
      <c r="P4828" s="58"/>
      <c r="Q4828" s="244">
        <v>13.1</v>
      </c>
      <c r="R4828" s="58"/>
      <c r="S4828" s="245">
        <v>750</v>
      </c>
      <c r="T4828" s="58"/>
      <c r="U4828" s="58" t="s">
        <v>1681</v>
      </c>
      <c r="V4828" s="244">
        <v>18</v>
      </c>
      <c r="W4828" s="174"/>
      <c r="X4828" s="174"/>
      <c r="Y4828" s="58" t="s">
        <v>5354</v>
      </c>
      <c r="Z4828" s="244" t="s">
        <v>5142</v>
      </c>
      <c r="AA4828" s="245">
        <v>20</v>
      </c>
      <c r="AB4828" s="67"/>
      <c r="AC4828" s="67"/>
      <c r="AD4828" s="94"/>
      <c r="AE4828" s="94">
        <v>32</v>
      </c>
      <c r="AF4828" s="94">
        <v>49</v>
      </c>
      <c r="AG4828" s="245">
        <v>19</v>
      </c>
      <c r="AH4828" s="58" t="s">
        <v>139</v>
      </c>
      <c r="AI4828" s="169" t="s">
        <v>1940</v>
      </c>
      <c r="AJ4828" s="94">
        <v>0.84</v>
      </c>
      <c r="AK4828" s="94"/>
      <c r="AL4828" s="58"/>
      <c r="AM4828" s="58"/>
      <c r="AN4828" s="186" t="s">
        <v>5356</v>
      </c>
      <c r="AO4828" s="185" t="s">
        <v>5150</v>
      </c>
      <c r="AP4828" s="58"/>
      <c r="AQ4828" s="58" t="s">
        <v>1545</v>
      </c>
      <c r="AR4828" s="58" t="s">
        <v>5353</v>
      </c>
      <c r="AS4828" s="246" t="s">
        <v>3471</v>
      </c>
      <c r="AT4828" s="247">
        <v>0</v>
      </c>
      <c r="AU4828" s="181" t="s">
        <v>7494</v>
      </c>
      <c r="AV4828" s="185" t="s">
        <v>176</v>
      </c>
      <c r="AW4828" s="244">
        <v>0</v>
      </c>
      <c r="AX4828" s="185" t="s">
        <v>176</v>
      </c>
      <c r="AY4828" s="244" t="s">
        <v>176</v>
      </c>
      <c r="AZ4828" s="58"/>
      <c r="BA4828" s="58"/>
      <c r="BB4828" s="58"/>
      <c r="BC4828" s="58"/>
      <c r="BD4828" s="58"/>
      <c r="BE4828" s="236" t="s">
        <v>5154</v>
      </c>
      <c r="BF4828" s="58" t="s">
        <v>479</v>
      </c>
      <c r="BG4828" s="58" t="s">
        <v>479</v>
      </c>
      <c r="BH4828" s="236" t="s">
        <v>5233</v>
      </c>
      <c r="BI4828" s="58" t="s">
        <v>479</v>
      </c>
      <c r="BJ4828" s="58" t="str">
        <f>IF(BE4828=BH4828,"No","yes")</f>
        <v>yes</v>
      </c>
      <c r="BK4828" s="58" t="s">
        <v>6335</v>
      </c>
      <c r="BL4828" s="58"/>
      <c r="BM4828" s="237" t="s">
        <v>160</v>
      </c>
      <c r="BN4828" s="244">
        <v>4</v>
      </c>
      <c r="BO4828" s="244">
        <v>4</v>
      </c>
      <c r="BP4828" s="58"/>
      <c r="BQ4828" s="58"/>
      <c r="BR4828" s="58"/>
      <c r="BS4828" s="58"/>
      <c r="BT4828" s="58"/>
      <c r="BU4828" s="58"/>
      <c r="BV4828" s="58" t="s">
        <v>5662</v>
      </c>
      <c r="BW4828" s="67"/>
      <c r="BX4828" s="67"/>
      <c r="BY4828" s="67"/>
      <c r="BZ4828" s="67"/>
      <c r="CA4828" s="67"/>
      <c r="CB4828" s="70"/>
      <c r="CC4828" s="70"/>
      <c r="CD4828" s="70"/>
      <c r="CE4828" s="67"/>
      <c r="CF4828" s="67"/>
      <c r="CG4828" s="67"/>
      <c r="CH4828" s="245"/>
      <c r="CI4828" s="245"/>
      <c r="CJ4828" s="67"/>
      <c r="CK4828" s="67"/>
      <c r="CL4828" s="67"/>
      <c r="CM4828" s="242">
        <v>0.67</v>
      </c>
      <c r="CN4828" s="242">
        <v>0.68600000000000005</v>
      </c>
      <c r="CO4828" s="242">
        <v>0.12</v>
      </c>
      <c r="CP4828" s="242">
        <f>(0.697-CN4828)*2</f>
        <v>2.1999999999999797E-2</v>
      </c>
      <c r="CQ4828" s="242" t="s">
        <v>164</v>
      </c>
      <c r="CR4828" s="242"/>
      <c r="CS4828" s="242"/>
      <c r="CT4828" s="242"/>
      <c r="CU4828" s="242"/>
      <c r="CV4828" s="242"/>
      <c r="CW4828" s="242"/>
      <c r="CX4828" s="242"/>
      <c r="CY4828" s="242"/>
      <c r="CZ4828" s="242"/>
      <c r="DA4828" s="67"/>
      <c r="DB4828" s="67"/>
      <c r="DC4828" s="67"/>
      <c r="DD4828" s="67"/>
      <c r="DE4828" s="67"/>
      <c r="DF4828" s="67"/>
      <c r="DG4828" s="67"/>
      <c r="DH4828" s="67"/>
      <c r="DI4828" s="67"/>
      <c r="DJ4828" s="67"/>
      <c r="DK4828" s="67"/>
      <c r="DL4828" s="67"/>
      <c r="DM4828" s="67"/>
      <c r="DN4828" s="67"/>
      <c r="DO4828" s="67"/>
      <c r="DP4828" s="67"/>
      <c r="DQ4828" s="166"/>
      <c r="DR4828" s="166"/>
      <c r="DS4828" s="163"/>
      <c r="DT4828" s="163"/>
      <c r="DU4828" s="67"/>
      <c r="DV4828" s="67"/>
      <c r="DW4828" s="67"/>
      <c r="DX4828" s="67"/>
      <c r="DY4828" s="67"/>
      <c r="DZ4828" s="67"/>
      <c r="EA4828" s="67"/>
      <c r="EB4828" s="67"/>
      <c r="EC4828" s="67"/>
      <c r="ED4828" s="67"/>
      <c r="EE4828" s="67"/>
      <c r="EF4828" s="67"/>
      <c r="EG4828" s="67"/>
      <c r="EH4828" s="67"/>
      <c r="EI4828" s="67"/>
      <c r="EJ4828" s="67"/>
      <c r="EK4828" s="94"/>
      <c r="EL4828" s="94"/>
      <c r="EM4828" s="67"/>
      <c r="EN4828" s="67"/>
      <c r="EO4828" s="67"/>
      <c r="EP4828" s="67"/>
      <c r="EQ4828" s="67"/>
      <c r="ER4828" s="67"/>
      <c r="ES4828" s="67"/>
      <c r="ET4828" s="67"/>
      <c r="EU4828" s="67"/>
      <c r="EV4828" s="67"/>
      <c r="EW4828" s="67"/>
      <c r="EX4828" s="67"/>
      <c r="EY4828" s="67"/>
      <c r="EZ4828" s="67"/>
      <c r="FA4828" s="67"/>
      <c r="FB4828" s="67"/>
      <c r="FC4828" s="67"/>
      <c r="FD4828" s="67"/>
      <c r="FE4828" s="67"/>
      <c r="FF4828" s="67"/>
      <c r="FG4828" s="67"/>
      <c r="FH4828" s="67"/>
      <c r="FI4828" s="67"/>
      <c r="FJ4828" s="67"/>
      <c r="FK4828" s="67"/>
      <c r="FL4828" s="67"/>
      <c r="FM4828" s="67"/>
      <c r="FN4828" s="67"/>
      <c r="FO4828" s="67"/>
      <c r="FP4828" s="67"/>
      <c r="FQ4828" s="67"/>
      <c r="FR4828" s="67"/>
      <c r="FS4828" s="67"/>
      <c r="FT4828" s="67"/>
      <c r="FU4828" s="67"/>
      <c r="FV4828" s="67"/>
      <c r="FW4828" s="67"/>
      <c r="FX4828" s="67"/>
      <c r="FY4828" s="67"/>
      <c r="FZ4828" s="67"/>
      <c r="GA4828" s="67"/>
      <c r="GB4828" s="67"/>
      <c r="GC4828" s="67"/>
      <c r="GD4828" s="67"/>
      <c r="GE4828" s="67"/>
      <c r="GF4828" s="67"/>
      <c r="GG4828" s="67"/>
      <c r="GH4828" s="67"/>
      <c r="GI4828" s="67"/>
      <c r="GJ4828" s="67"/>
      <c r="GK4828" s="67"/>
      <c r="GL4828" s="67"/>
      <c r="GM4828" s="67"/>
      <c r="GN4828" s="292"/>
      <c r="GO4828" s="292"/>
      <c r="GP4828" s="292" t="s">
        <v>7494</v>
      </c>
      <c r="GQ4828" s="67"/>
      <c r="GR4828" s="67"/>
      <c r="GS4828" s="67"/>
      <c r="GT4828" s="67"/>
      <c r="GU4828" s="67"/>
      <c r="GV4828" s="67"/>
      <c r="GW4828" s="67"/>
      <c r="GX4828" s="67"/>
      <c r="GY4828" s="67"/>
      <c r="GZ4828" s="67"/>
      <c r="HA4828" s="67"/>
      <c r="HB4828" s="67"/>
      <c r="HC4828" s="67"/>
      <c r="HD4828" s="67"/>
      <c r="HE4828" s="67"/>
      <c r="HF4828" s="67"/>
      <c r="HG4828" s="67"/>
      <c r="HH4828" s="67"/>
      <c r="HI4828" s="67"/>
      <c r="HJ4828" s="67"/>
      <c r="HK4828" s="67"/>
      <c r="HL4828" s="67"/>
      <c r="HM4828" s="67"/>
      <c r="HN4828" s="67"/>
      <c r="HO4828" s="67"/>
      <c r="HP4828" s="67"/>
      <c r="HQ4828" s="67"/>
      <c r="HR4828" s="67"/>
      <c r="HS4828" s="67"/>
      <c r="HT4828" s="67"/>
      <c r="HU4828" s="67"/>
      <c r="HV4828" s="67"/>
      <c r="HW4828" s="67"/>
      <c r="HX4828" s="67"/>
      <c r="HY4828" s="67"/>
      <c r="HZ4828" s="67"/>
      <c r="IA4828" s="67"/>
      <c r="IB4828" s="67"/>
      <c r="IC4828" s="67"/>
      <c r="ID4828" s="67"/>
      <c r="IE4828" s="67"/>
      <c r="IF4828" s="67"/>
      <c r="IG4828" s="67"/>
      <c r="IH4828" s="67"/>
      <c r="II4828" s="67"/>
      <c r="IJ4828" s="67"/>
      <c r="IK4828" s="67"/>
      <c r="IL4828" s="67"/>
      <c r="IM4828" s="67"/>
      <c r="IN4828" s="67"/>
      <c r="IO4828" s="67"/>
      <c r="IP4828" s="67"/>
      <c r="IQ4828" s="67"/>
      <c r="IR4828" s="67"/>
      <c r="IS4828" s="67"/>
      <c r="IT4828" s="67"/>
      <c r="IU4828" s="67"/>
      <c r="IV4828" s="67"/>
      <c r="IW4828" s="67"/>
      <c r="IX4828" s="67"/>
      <c r="IY4828" s="67"/>
      <c r="IZ4828" s="67"/>
      <c r="JA4828" s="67"/>
      <c r="JB4828" s="67"/>
      <c r="JC4828" s="67"/>
      <c r="JD4828" s="67"/>
      <c r="JE4828" s="67"/>
      <c r="JF4828" s="67"/>
      <c r="JG4828" s="67"/>
      <c r="JH4828" s="67"/>
      <c r="JI4828" s="67"/>
      <c r="JJ4828" s="67"/>
      <c r="JK4828" s="67"/>
      <c r="JL4828" s="67"/>
      <c r="JM4828" s="67"/>
      <c r="JN4828" s="67"/>
      <c r="JO4828" s="67"/>
      <c r="JP4828" s="67"/>
      <c r="JQ4828" s="67"/>
      <c r="JR4828" s="67"/>
      <c r="JS4828" s="67"/>
      <c r="JT4828" s="67"/>
      <c r="JU4828" s="58"/>
      <c r="JV4828" s="58"/>
      <c r="JW4828" s="58"/>
    </row>
    <row r="4829" spans="1:283" s="23" customFormat="1" x14ac:dyDescent="0.25">
      <c r="A4829" s="55">
        <v>4828</v>
      </c>
      <c r="B4829" s="12" t="s">
        <v>7067</v>
      </c>
      <c r="C4829" s="156">
        <v>217</v>
      </c>
      <c r="D4829" s="58" t="s">
        <v>4893</v>
      </c>
      <c r="E4829" s="160" t="str">
        <f>G4829</f>
        <v>Clark et al 1998_SAFS 1</v>
      </c>
      <c r="F4829" s="160"/>
      <c r="G4829" s="60" t="s">
        <v>4835</v>
      </c>
      <c r="H4829" s="58">
        <v>1998</v>
      </c>
      <c r="I4829" s="58">
        <v>1994</v>
      </c>
      <c r="J4829" s="243" t="s">
        <v>282</v>
      </c>
      <c r="K4829" s="63" t="s">
        <v>5124</v>
      </c>
      <c r="L4829" s="58" t="s">
        <v>2737</v>
      </c>
      <c r="M4829" s="94">
        <f>38+32/60</f>
        <v>38.533333333333331</v>
      </c>
      <c r="N4829" s="94">
        <f>-121-47/60</f>
        <v>-121.78333333333333</v>
      </c>
      <c r="O4829" s="94">
        <v>18</v>
      </c>
      <c r="P4829" s="58"/>
      <c r="Q4829" s="244">
        <v>15.6</v>
      </c>
      <c r="R4829" s="58"/>
      <c r="S4829" s="245">
        <v>450</v>
      </c>
      <c r="T4829" s="58"/>
      <c r="U4829" s="58" t="s">
        <v>1816</v>
      </c>
      <c r="V4829" s="244">
        <v>8</v>
      </c>
      <c r="W4829" s="174"/>
      <c r="X4829" s="174"/>
      <c r="Y4829" s="58" t="s">
        <v>5357</v>
      </c>
      <c r="Z4829" s="244" t="s">
        <v>1349</v>
      </c>
      <c r="AA4829" s="245" t="s">
        <v>1677</v>
      </c>
      <c r="AB4829" s="67"/>
      <c r="AC4829" s="67"/>
      <c r="AD4829" s="245">
        <v>1.3</v>
      </c>
      <c r="AE4829" s="94"/>
      <c r="AF4829" s="94"/>
      <c r="AG4829" s="245">
        <v>14</v>
      </c>
      <c r="AH4829" s="58" t="s">
        <v>6378</v>
      </c>
      <c r="AI4829" s="169"/>
      <c r="AJ4829" s="94"/>
      <c r="AK4829" s="94"/>
      <c r="AL4829" s="58"/>
      <c r="AM4829" s="58" t="s">
        <v>5360</v>
      </c>
      <c r="AN4829" s="186" t="s">
        <v>241</v>
      </c>
      <c r="AO4829" s="185" t="s">
        <v>5150</v>
      </c>
      <c r="AP4829" s="58"/>
      <c r="AQ4829" s="58" t="s">
        <v>553</v>
      </c>
      <c r="AR4829" s="58" t="s">
        <v>5358</v>
      </c>
      <c r="AS4829" s="246" t="s">
        <v>4584</v>
      </c>
      <c r="AT4829" s="247" t="s">
        <v>5359</v>
      </c>
      <c r="AU4829" s="181" t="s">
        <v>5150</v>
      </c>
      <c r="AV4829" s="185" t="s">
        <v>479</v>
      </c>
      <c r="AW4829" s="244" t="s">
        <v>5359</v>
      </c>
      <c r="AX4829" s="185" t="s">
        <v>479</v>
      </c>
      <c r="AY4829" s="244" t="s">
        <v>176</v>
      </c>
      <c r="AZ4829" s="58"/>
      <c r="BA4829" s="58"/>
      <c r="BB4829" s="58"/>
      <c r="BC4829" s="58"/>
      <c r="BD4829" s="58"/>
      <c r="BE4829" s="236" t="s">
        <v>5159</v>
      </c>
      <c r="BF4829" s="58" t="s">
        <v>479</v>
      </c>
      <c r="BG4829" s="58" t="s">
        <v>479</v>
      </c>
      <c r="BH4829" s="236" t="s">
        <v>5234</v>
      </c>
      <c r="BI4829" s="58" t="s">
        <v>479</v>
      </c>
      <c r="BJ4829" s="58" t="str">
        <f>IF(BE4829=BH4829,"No","yes")</f>
        <v>yes</v>
      </c>
      <c r="BK4829" s="58" t="s">
        <v>6335</v>
      </c>
      <c r="BL4829" s="58"/>
      <c r="BM4829" s="237" t="s">
        <v>160</v>
      </c>
      <c r="BN4829" s="244">
        <v>16</v>
      </c>
      <c r="BO4829" s="244">
        <v>16</v>
      </c>
      <c r="BP4829" s="58"/>
      <c r="BQ4829" s="58"/>
      <c r="BR4829" s="58"/>
      <c r="BS4829" s="58"/>
      <c r="BT4829" s="58"/>
      <c r="BU4829" s="58"/>
      <c r="BV4829" s="58" t="s">
        <v>5663</v>
      </c>
      <c r="BW4829" s="67"/>
      <c r="BX4829" s="67"/>
      <c r="BY4829" s="67"/>
      <c r="BZ4829" s="67"/>
      <c r="CA4829" s="67"/>
      <c r="CB4829" s="70">
        <v>103.6</v>
      </c>
      <c r="CC4829" s="70">
        <v>89.97</v>
      </c>
      <c r="CD4829" s="70"/>
      <c r="CE4829" s="67"/>
      <c r="CF4829" s="67"/>
      <c r="CG4829" s="67" t="s">
        <v>5152</v>
      </c>
      <c r="CH4829" s="94"/>
      <c r="CI4829" s="245"/>
      <c r="CJ4829" s="67"/>
      <c r="CK4829" s="67"/>
      <c r="CL4829" s="67"/>
      <c r="CM4829" s="242">
        <v>0.97699999999999998</v>
      </c>
      <c r="CN4829" s="242">
        <v>1.196</v>
      </c>
      <c r="CO4829" s="242"/>
      <c r="CP4829" s="242"/>
      <c r="CQ4829" s="242" t="s">
        <v>164</v>
      </c>
      <c r="CR4829" s="242"/>
      <c r="CS4829" s="242"/>
      <c r="CT4829" s="242"/>
      <c r="CU4829" s="242"/>
      <c r="CV4829" s="242"/>
      <c r="CW4829" s="242"/>
      <c r="CX4829" s="242"/>
      <c r="CY4829" s="242"/>
      <c r="CZ4829" s="242"/>
      <c r="DA4829" s="67" t="s">
        <v>5443</v>
      </c>
      <c r="DB4829" s="67"/>
      <c r="DC4829" s="67"/>
      <c r="DD4829" s="67"/>
      <c r="DE4829" s="67"/>
      <c r="DF4829" s="67"/>
      <c r="DG4829" s="67"/>
      <c r="DH4829" s="67"/>
      <c r="DI4829" s="67"/>
      <c r="DJ4829" s="67"/>
      <c r="DK4829" s="67"/>
      <c r="DL4829" s="67"/>
      <c r="DM4829" s="67"/>
      <c r="DN4829" s="67"/>
      <c r="DO4829" s="67"/>
      <c r="DP4829" s="67"/>
      <c r="DQ4829" s="166"/>
      <c r="DR4829" s="166"/>
      <c r="DS4829" s="163"/>
      <c r="DT4829" s="163"/>
      <c r="DU4829" s="67"/>
      <c r="DV4829" s="67">
        <v>8.1199999999999992</v>
      </c>
      <c r="DW4829" s="67">
        <v>7.73</v>
      </c>
      <c r="DX4829" s="67"/>
      <c r="DY4829" s="67"/>
      <c r="DZ4829" s="67" t="s">
        <v>5672</v>
      </c>
      <c r="EA4829" s="67"/>
      <c r="EB4829" s="67"/>
      <c r="EC4829" s="67"/>
      <c r="ED4829" s="67"/>
      <c r="EE4829" s="67"/>
      <c r="EF4829" s="67"/>
      <c r="EG4829" s="67"/>
      <c r="EH4829" s="67"/>
      <c r="EI4829" s="67"/>
      <c r="EJ4829" s="67"/>
      <c r="EK4829" s="94"/>
      <c r="EL4829" s="94"/>
      <c r="EM4829" s="67"/>
      <c r="EN4829" s="67"/>
      <c r="EO4829" s="67"/>
      <c r="EP4829" s="67"/>
      <c r="EQ4829" s="67"/>
      <c r="ER4829" s="67"/>
      <c r="ES4829" s="67"/>
      <c r="ET4829" s="67"/>
      <c r="EU4829" s="67"/>
      <c r="EV4829" s="67"/>
      <c r="EW4829" s="67"/>
      <c r="EX4829" s="67"/>
      <c r="EY4829" s="67"/>
      <c r="EZ4829" s="67"/>
      <c r="FA4829" s="67"/>
      <c r="FB4829" s="67"/>
      <c r="FC4829" s="67"/>
      <c r="FD4829" s="67"/>
      <c r="FE4829" s="67"/>
      <c r="FF4829" s="67"/>
      <c r="FG4829" s="67"/>
      <c r="FH4829" s="67"/>
      <c r="FI4829" s="67"/>
      <c r="FJ4829" s="67"/>
      <c r="FK4829" s="67"/>
      <c r="FL4829" s="67"/>
      <c r="FM4829" s="67"/>
      <c r="FN4829" s="67"/>
      <c r="FO4829" s="67"/>
      <c r="FP4829" s="67"/>
      <c r="FQ4829" s="67"/>
      <c r="FR4829" s="67"/>
      <c r="FS4829" s="67"/>
      <c r="FT4829" s="67"/>
      <c r="FU4829" s="67"/>
      <c r="FV4829" s="67"/>
      <c r="FW4829" s="67"/>
      <c r="FX4829" s="67"/>
      <c r="FY4829" s="67"/>
      <c r="FZ4829" s="67"/>
      <c r="GA4829" s="67"/>
      <c r="GB4829" s="67"/>
      <c r="GC4829" s="67"/>
      <c r="GD4829" s="67"/>
      <c r="GE4829" s="67"/>
      <c r="GF4829" s="67"/>
      <c r="GG4829" s="67"/>
      <c r="GH4829" s="67"/>
      <c r="GI4829" s="67"/>
      <c r="GJ4829" s="67"/>
      <c r="GK4829" s="67"/>
      <c r="GL4829" s="67"/>
      <c r="GM4829" s="67"/>
      <c r="GN4829" s="292"/>
      <c r="GO4829" s="292"/>
      <c r="GP4829" s="292" t="s">
        <v>7494</v>
      </c>
      <c r="GQ4829" s="67"/>
      <c r="GR4829" s="67"/>
      <c r="GS4829" s="67"/>
      <c r="GT4829" s="67"/>
      <c r="GU4829" s="67"/>
      <c r="GV4829" s="67"/>
      <c r="GW4829" s="67"/>
      <c r="GX4829" s="67"/>
      <c r="GY4829" s="67"/>
      <c r="GZ4829" s="67"/>
      <c r="HA4829" s="67"/>
      <c r="HB4829" s="67"/>
      <c r="HC4829" s="67"/>
      <c r="HD4829" s="67"/>
      <c r="HE4829" s="67"/>
      <c r="HF4829" s="67"/>
      <c r="HG4829" s="67"/>
      <c r="HH4829" s="67"/>
      <c r="HI4829" s="67"/>
      <c r="HJ4829" s="67"/>
      <c r="HK4829" s="67"/>
      <c r="HL4829" s="67"/>
      <c r="HM4829" s="67"/>
      <c r="HN4829" s="67"/>
      <c r="HO4829" s="67"/>
      <c r="HP4829" s="67"/>
      <c r="HQ4829" s="67"/>
      <c r="HR4829" s="67"/>
      <c r="HS4829" s="67"/>
      <c r="HT4829" s="67"/>
      <c r="HU4829" s="67"/>
      <c r="HV4829" s="67"/>
      <c r="HW4829" s="67"/>
      <c r="HX4829" s="67"/>
      <c r="HY4829" s="67"/>
      <c r="HZ4829" s="67"/>
      <c r="IA4829" s="67"/>
      <c r="IB4829" s="67"/>
      <c r="IC4829" s="67"/>
      <c r="ID4829" s="67"/>
      <c r="IE4829" s="67"/>
      <c r="IF4829" s="67"/>
      <c r="IG4829" s="67"/>
      <c r="IH4829" s="67"/>
      <c r="II4829" s="67"/>
      <c r="IJ4829" s="67"/>
      <c r="IK4829" s="67"/>
      <c r="IL4829" s="67"/>
      <c r="IM4829" s="67"/>
      <c r="IN4829" s="67"/>
      <c r="IO4829" s="67"/>
      <c r="IP4829" s="67"/>
      <c r="IQ4829" s="67"/>
      <c r="IR4829" s="67"/>
      <c r="IS4829" s="67"/>
      <c r="IT4829" s="67"/>
      <c r="IU4829" s="67"/>
      <c r="IV4829" s="67"/>
      <c r="IW4829" s="67"/>
      <c r="IX4829" s="67"/>
      <c r="IY4829" s="67"/>
      <c r="IZ4829" s="67"/>
      <c r="JA4829" s="67"/>
      <c r="JB4829" s="67"/>
      <c r="JC4829" s="67"/>
      <c r="JD4829" s="67"/>
      <c r="JE4829" s="67"/>
      <c r="JF4829" s="67"/>
      <c r="JG4829" s="67"/>
      <c r="JH4829" s="67"/>
      <c r="JI4829" s="67"/>
      <c r="JJ4829" s="67"/>
      <c r="JK4829" s="67"/>
      <c r="JL4829" s="67"/>
      <c r="JM4829" s="67"/>
      <c r="JN4829" s="67"/>
      <c r="JO4829" s="67"/>
      <c r="JP4829" s="67"/>
      <c r="JQ4829" s="67"/>
      <c r="JR4829" s="67"/>
      <c r="JS4829" s="67"/>
      <c r="JT4829" s="67"/>
      <c r="JU4829" s="58"/>
      <c r="JV4829" s="58"/>
      <c r="JW4829" s="58"/>
    </row>
    <row r="4830" spans="1:283" s="23" customFormat="1" x14ac:dyDescent="0.25">
      <c r="A4830" s="55">
        <v>4829</v>
      </c>
      <c r="B4830" s="12" t="s">
        <v>7067</v>
      </c>
      <c r="C4830" s="156">
        <v>217</v>
      </c>
      <c r="D4830" s="58" t="s">
        <v>4894</v>
      </c>
      <c r="E4830" s="160" t="str">
        <f>G4830</f>
        <v>Clark et al 1998_SAFS 2</v>
      </c>
      <c r="F4830" s="160"/>
      <c r="G4830" s="60" t="s">
        <v>4834</v>
      </c>
      <c r="H4830" s="58">
        <v>1998</v>
      </c>
      <c r="I4830" s="58">
        <v>1994</v>
      </c>
      <c r="J4830" s="243" t="s">
        <v>282</v>
      </c>
      <c r="K4830" s="63" t="s">
        <v>5124</v>
      </c>
      <c r="L4830" s="58" t="s">
        <v>2737</v>
      </c>
      <c r="M4830" s="94">
        <f>38+32/60</f>
        <v>38.533333333333331</v>
      </c>
      <c r="N4830" s="94">
        <f>-121-47/60</f>
        <v>-121.78333333333333</v>
      </c>
      <c r="O4830" s="94">
        <v>18</v>
      </c>
      <c r="P4830" s="58"/>
      <c r="Q4830" s="244">
        <v>15.6</v>
      </c>
      <c r="R4830" s="58"/>
      <c r="S4830" s="245">
        <v>450</v>
      </c>
      <c r="T4830" s="58"/>
      <c r="U4830" s="58" t="s">
        <v>1816</v>
      </c>
      <c r="V4830" s="244">
        <v>8</v>
      </c>
      <c r="W4830" s="174"/>
      <c r="X4830" s="174"/>
      <c r="Y4830" s="58" t="s">
        <v>5357</v>
      </c>
      <c r="Z4830" s="244" t="s">
        <v>1349</v>
      </c>
      <c r="AA4830" s="245" t="s">
        <v>1677</v>
      </c>
      <c r="AB4830" s="67"/>
      <c r="AC4830" s="67"/>
      <c r="AD4830" s="245">
        <v>1.3</v>
      </c>
      <c r="AE4830" s="94"/>
      <c r="AF4830" s="94"/>
      <c r="AG4830" s="245">
        <v>14</v>
      </c>
      <c r="AH4830" s="58" t="s">
        <v>6378</v>
      </c>
      <c r="AI4830" s="169"/>
      <c r="AJ4830" s="94"/>
      <c r="AK4830" s="94"/>
      <c r="AL4830" s="58"/>
      <c r="AM4830" s="58" t="s">
        <v>5360</v>
      </c>
      <c r="AN4830" s="186" t="s">
        <v>241</v>
      </c>
      <c r="AO4830" s="185" t="s">
        <v>5150</v>
      </c>
      <c r="AP4830" s="58"/>
      <c r="AQ4830" s="58" t="s">
        <v>553</v>
      </c>
      <c r="AR4830" s="58" t="s">
        <v>5358</v>
      </c>
      <c r="AS4830" s="246" t="s">
        <v>4584</v>
      </c>
      <c r="AT4830" s="247" t="s">
        <v>5359</v>
      </c>
      <c r="AU4830" s="181" t="s">
        <v>5150</v>
      </c>
      <c r="AV4830" s="185" t="s">
        <v>479</v>
      </c>
      <c r="AW4830" s="244" t="s">
        <v>5359</v>
      </c>
      <c r="AX4830" s="185" t="s">
        <v>479</v>
      </c>
      <c r="AY4830" s="244" t="s">
        <v>5150</v>
      </c>
      <c r="AZ4830" s="58"/>
      <c r="BA4830" s="58"/>
      <c r="BB4830" s="58"/>
      <c r="BC4830" s="58"/>
      <c r="BD4830" s="58"/>
      <c r="BE4830" s="236" t="s">
        <v>5160</v>
      </c>
      <c r="BF4830" s="58" t="s">
        <v>479</v>
      </c>
      <c r="BG4830" s="58" t="s">
        <v>479</v>
      </c>
      <c r="BH4830" s="236" t="s">
        <v>5234</v>
      </c>
      <c r="BI4830" s="58" t="s">
        <v>479</v>
      </c>
      <c r="BJ4830" s="58" t="str">
        <f>IF(BE4830=BH4830,"No","yes")</f>
        <v>yes</v>
      </c>
      <c r="BK4830" s="58" t="s">
        <v>6335</v>
      </c>
      <c r="BL4830" s="58"/>
      <c r="BM4830" s="237" t="s">
        <v>160</v>
      </c>
      <c r="BN4830" s="244">
        <v>16</v>
      </c>
      <c r="BO4830" s="244">
        <v>16</v>
      </c>
      <c r="BP4830" s="58"/>
      <c r="BQ4830" s="58"/>
      <c r="BR4830" s="58"/>
      <c r="BS4830" s="58"/>
      <c r="BT4830" s="58"/>
      <c r="BU4830" s="58"/>
      <c r="BV4830" s="58" t="s">
        <v>5664</v>
      </c>
      <c r="BW4830" s="67"/>
      <c r="BX4830" s="67"/>
      <c r="BY4830" s="67"/>
      <c r="BZ4830" s="67"/>
      <c r="CA4830" s="67"/>
      <c r="CB4830" s="70">
        <v>100</v>
      </c>
      <c r="CC4830" s="70">
        <v>89.97</v>
      </c>
      <c r="CD4830" s="70"/>
      <c r="CE4830" s="67"/>
      <c r="CF4830" s="67"/>
      <c r="CG4830" s="67" t="s">
        <v>5152</v>
      </c>
      <c r="CH4830" s="94"/>
      <c r="CI4830" s="245"/>
      <c r="CJ4830" s="67"/>
      <c r="CK4830" s="67"/>
      <c r="CL4830" s="67"/>
      <c r="CM4830" s="242">
        <v>0.97699999999999998</v>
      </c>
      <c r="CN4830" s="242">
        <v>1.101</v>
      </c>
      <c r="CO4830" s="242"/>
      <c r="CP4830" s="242"/>
      <c r="CQ4830" s="242" t="s">
        <v>164</v>
      </c>
      <c r="CR4830" s="242"/>
      <c r="CS4830" s="242"/>
      <c r="CT4830" s="242"/>
      <c r="CU4830" s="242"/>
      <c r="CV4830" s="242"/>
      <c r="CW4830" s="242"/>
      <c r="CX4830" s="242"/>
      <c r="CY4830" s="242"/>
      <c r="CZ4830" s="242"/>
      <c r="DA4830" s="67" t="s">
        <v>5443</v>
      </c>
      <c r="DB4830" s="67"/>
      <c r="DC4830" s="67"/>
      <c r="DD4830" s="67"/>
      <c r="DE4830" s="67"/>
      <c r="DF4830" s="67"/>
      <c r="DG4830" s="67"/>
      <c r="DH4830" s="67"/>
      <c r="DI4830" s="67"/>
      <c r="DJ4830" s="67"/>
      <c r="DK4830" s="67"/>
      <c r="DL4830" s="67"/>
      <c r="DM4830" s="67"/>
      <c r="DN4830" s="67"/>
      <c r="DO4830" s="67"/>
      <c r="DP4830" s="67"/>
      <c r="DQ4830" s="166"/>
      <c r="DR4830" s="166"/>
      <c r="DS4830" s="163"/>
      <c r="DT4830" s="163"/>
      <c r="DU4830" s="67"/>
      <c r="DV4830" s="67">
        <v>7.96</v>
      </c>
      <c r="DW4830" s="67">
        <v>7.73</v>
      </c>
      <c r="DX4830" s="67"/>
      <c r="DY4830" s="67"/>
      <c r="DZ4830" s="67" t="s">
        <v>5672</v>
      </c>
      <c r="EA4830" s="67"/>
      <c r="EB4830" s="67"/>
      <c r="EC4830" s="67"/>
      <c r="ED4830" s="67"/>
      <c r="EE4830" s="67"/>
      <c r="EF4830" s="67"/>
      <c r="EG4830" s="67"/>
      <c r="EH4830" s="67"/>
      <c r="EI4830" s="67"/>
      <c r="EJ4830" s="67"/>
      <c r="EK4830" s="94"/>
      <c r="EL4830" s="94"/>
      <c r="EM4830" s="67"/>
      <c r="EN4830" s="67"/>
      <c r="EO4830" s="67"/>
      <c r="EP4830" s="67"/>
      <c r="EQ4830" s="67"/>
      <c r="ER4830" s="67"/>
      <c r="ES4830" s="67"/>
      <c r="ET4830" s="67"/>
      <c r="EU4830" s="67"/>
      <c r="EV4830" s="67"/>
      <c r="EW4830" s="67"/>
      <c r="EX4830" s="67"/>
      <c r="EY4830" s="67"/>
      <c r="EZ4830" s="67"/>
      <c r="FA4830" s="67"/>
      <c r="FB4830" s="67"/>
      <c r="FC4830" s="67"/>
      <c r="FD4830" s="67"/>
      <c r="FE4830" s="67"/>
      <c r="FF4830" s="67"/>
      <c r="FG4830" s="67"/>
      <c r="FH4830" s="67"/>
      <c r="FI4830" s="67"/>
      <c r="FJ4830" s="67"/>
      <c r="FK4830" s="67"/>
      <c r="FL4830" s="67"/>
      <c r="FM4830" s="67"/>
      <c r="FN4830" s="67"/>
      <c r="FO4830" s="67"/>
      <c r="FP4830" s="67"/>
      <c r="FQ4830" s="67"/>
      <c r="FR4830" s="67"/>
      <c r="FS4830" s="67"/>
      <c r="FT4830" s="67"/>
      <c r="FU4830" s="67"/>
      <c r="FV4830" s="67"/>
      <c r="FW4830" s="67"/>
      <c r="FX4830" s="67"/>
      <c r="FY4830" s="67"/>
      <c r="FZ4830" s="67"/>
      <c r="GA4830" s="67"/>
      <c r="GB4830" s="67"/>
      <c r="GC4830" s="67"/>
      <c r="GD4830" s="67"/>
      <c r="GE4830" s="67"/>
      <c r="GF4830" s="67"/>
      <c r="GG4830" s="67"/>
      <c r="GH4830" s="67"/>
      <c r="GI4830" s="67"/>
      <c r="GJ4830" s="67"/>
      <c r="GK4830" s="67"/>
      <c r="GL4830" s="67"/>
      <c r="GM4830" s="67"/>
      <c r="GN4830" s="292"/>
      <c r="GO4830" s="292"/>
      <c r="GP4830" s="292" t="s">
        <v>7494</v>
      </c>
      <c r="GQ4830" s="67"/>
      <c r="GR4830" s="67"/>
      <c r="GS4830" s="67"/>
      <c r="GT4830" s="67"/>
      <c r="GU4830" s="67"/>
      <c r="GV4830" s="67"/>
      <c r="GW4830" s="67"/>
      <c r="GX4830" s="67"/>
      <c r="GY4830" s="67"/>
      <c r="GZ4830" s="67"/>
      <c r="HA4830" s="67"/>
      <c r="HB4830" s="67"/>
      <c r="HC4830" s="67"/>
      <c r="HD4830" s="67"/>
      <c r="HE4830" s="67"/>
      <c r="HF4830" s="67"/>
      <c r="HG4830" s="67"/>
      <c r="HH4830" s="67"/>
      <c r="HI4830" s="67"/>
      <c r="HJ4830" s="67"/>
      <c r="HK4830" s="67"/>
      <c r="HL4830" s="67"/>
      <c r="HM4830" s="67"/>
      <c r="HN4830" s="67"/>
      <c r="HO4830" s="67"/>
      <c r="HP4830" s="67"/>
      <c r="HQ4830" s="67"/>
      <c r="HR4830" s="67"/>
      <c r="HS4830" s="67"/>
      <c r="HT4830" s="67"/>
      <c r="HU4830" s="67"/>
      <c r="HV4830" s="67"/>
      <c r="HW4830" s="67"/>
      <c r="HX4830" s="67"/>
      <c r="HY4830" s="67"/>
      <c r="HZ4830" s="67"/>
      <c r="IA4830" s="67"/>
      <c r="IB4830" s="67"/>
      <c r="IC4830" s="67"/>
      <c r="ID4830" s="67"/>
      <c r="IE4830" s="67"/>
      <c r="IF4830" s="67"/>
      <c r="IG4830" s="67"/>
      <c r="IH4830" s="67"/>
      <c r="II4830" s="67"/>
      <c r="IJ4830" s="67"/>
      <c r="IK4830" s="67"/>
      <c r="IL4830" s="67"/>
      <c r="IM4830" s="67"/>
      <c r="IN4830" s="67"/>
      <c r="IO4830" s="67"/>
      <c r="IP4830" s="67"/>
      <c r="IQ4830" s="67"/>
      <c r="IR4830" s="67"/>
      <c r="IS4830" s="67"/>
      <c r="IT4830" s="67"/>
      <c r="IU4830" s="67"/>
      <c r="IV4830" s="67"/>
      <c r="IW4830" s="67"/>
      <c r="IX4830" s="67"/>
      <c r="IY4830" s="67"/>
      <c r="IZ4830" s="67"/>
      <c r="JA4830" s="67"/>
      <c r="JB4830" s="67"/>
      <c r="JC4830" s="67"/>
      <c r="JD4830" s="67"/>
      <c r="JE4830" s="67"/>
      <c r="JF4830" s="67"/>
      <c r="JG4830" s="67"/>
      <c r="JH4830" s="67"/>
      <c r="JI4830" s="67"/>
      <c r="JJ4830" s="67"/>
      <c r="JK4830" s="67"/>
      <c r="JL4830" s="67"/>
      <c r="JM4830" s="67"/>
      <c r="JN4830" s="67"/>
      <c r="JO4830" s="67"/>
      <c r="JP4830" s="67"/>
      <c r="JQ4830" s="67"/>
      <c r="JR4830" s="67"/>
      <c r="JS4830" s="67"/>
      <c r="JT4830" s="67"/>
      <c r="JU4830" s="58"/>
      <c r="JV4830" s="58"/>
      <c r="JW4830" s="58"/>
    </row>
    <row r="4831" spans="1:283" s="23" customFormat="1" x14ac:dyDescent="0.25">
      <c r="A4831" s="55">
        <v>4830</v>
      </c>
      <c r="B4831" s="12" t="s">
        <v>7067</v>
      </c>
      <c r="C4831" s="156">
        <v>217</v>
      </c>
      <c r="D4831" s="58" t="s">
        <v>4895</v>
      </c>
      <c r="E4831" s="160" t="str">
        <f>G4831</f>
        <v>Clark et al 1998_SAFS 3</v>
      </c>
      <c r="F4831" s="160"/>
      <c r="G4831" s="60" t="s">
        <v>4833</v>
      </c>
      <c r="H4831" s="58">
        <v>1998</v>
      </c>
      <c r="I4831" s="58">
        <v>1994</v>
      </c>
      <c r="J4831" s="243" t="s">
        <v>282</v>
      </c>
      <c r="K4831" s="63" t="s">
        <v>5124</v>
      </c>
      <c r="L4831" s="58" t="s">
        <v>2737</v>
      </c>
      <c r="M4831" s="94">
        <f>38+32/60</f>
        <v>38.533333333333331</v>
      </c>
      <c r="N4831" s="94">
        <f>-121-47/60</f>
        <v>-121.78333333333333</v>
      </c>
      <c r="O4831" s="94">
        <v>18</v>
      </c>
      <c r="P4831" s="58"/>
      <c r="Q4831" s="244">
        <v>15.6</v>
      </c>
      <c r="R4831" s="58"/>
      <c r="S4831" s="245">
        <v>450</v>
      </c>
      <c r="T4831" s="58"/>
      <c r="U4831" s="58" t="s">
        <v>1816</v>
      </c>
      <c r="V4831" s="244">
        <v>8</v>
      </c>
      <c r="W4831" s="174"/>
      <c r="X4831" s="174"/>
      <c r="Y4831" s="58" t="s">
        <v>5357</v>
      </c>
      <c r="Z4831" s="244" t="s">
        <v>1349</v>
      </c>
      <c r="AA4831" s="245" t="s">
        <v>1677</v>
      </c>
      <c r="AB4831" s="67"/>
      <c r="AC4831" s="67"/>
      <c r="AD4831" s="245">
        <v>1.3</v>
      </c>
      <c r="AE4831" s="94"/>
      <c r="AF4831" s="94"/>
      <c r="AG4831" s="245">
        <v>14</v>
      </c>
      <c r="AH4831" s="58" t="s">
        <v>6378</v>
      </c>
      <c r="AI4831" s="169"/>
      <c r="AJ4831" s="94"/>
      <c r="AK4831" s="94"/>
      <c r="AL4831" s="58"/>
      <c r="AM4831" s="58" t="s">
        <v>5360</v>
      </c>
      <c r="AN4831" s="186" t="s">
        <v>241</v>
      </c>
      <c r="AO4831" s="185" t="s">
        <v>5150</v>
      </c>
      <c r="AP4831" s="58"/>
      <c r="AQ4831" s="58" t="s">
        <v>553</v>
      </c>
      <c r="AR4831" s="58" t="s">
        <v>5358</v>
      </c>
      <c r="AS4831" s="246" t="s">
        <v>4584</v>
      </c>
      <c r="AT4831" s="247" t="s">
        <v>5359</v>
      </c>
      <c r="AU4831" s="181" t="s">
        <v>5150</v>
      </c>
      <c r="AV4831" s="185" t="s">
        <v>479</v>
      </c>
      <c r="AW4831" s="244" t="s">
        <v>5359</v>
      </c>
      <c r="AX4831" s="185" t="s">
        <v>479</v>
      </c>
      <c r="AY4831" s="244" t="s">
        <v>5150</v>
      </c>
      <c r="AZ4831" s="58"/>
      <c r="BA4831" s="58"/>
      <c r="BB4831" s="58"/>
      <c r="BC4831" s="58"/>
      <c r="BD4831" s="58"/>
      <c r="BE4831" s="236" t="s">
        <v>5161</v>
      </c>
      <c r="BF4831" s="58" t="s">
        <v>479</v>
      </c>
      <c r="BG4831" s="58" t="s">
        <v>479</v>
      </c>
      <c r="BH4831" s="236" t="s">
        <v>5234</v>
      </c>
      <c r="BI4831" s="58" t="s">
        <v>479</v>
      </c>
      <c r="BJ4831" s="58" t="str">
        <f>IF(BE4831=BH4831,"No","yes")</f>
        <v>yes</v>
      </c>
      <c r="BK4831" s="58" t="s">
        <v>6335</v>
      </c>
      <c r="BL4831" s="58"/>
      <c r="BM4831" s="237" t="s">
        <v>160</v>
      </c>
      <c r="BN4831" s="244">
        <v>8</v>
      </c>
      <c r="BO4831" s="244">
        <v>16</v>
      </c>
      <c r="BP4831" s="58"/>
      <c r="BQ4831" s="58"/>
      <c r="BR4831" s="58"/>
      <c r="BS4831" s="58"/>
      <c r="BT4831" s="58"/>
      <c r="BU4831" s="58"/>
      <c r="BV4831" s="58" t="s">
        <v>5665</v>
      </c>
      <c r="BW4831" s="67"/>
      <c r="BX4831" s="67"/>
      <c r="BY4831" s="67"/>
      <c r="BZ4831" s="67"/>
      <c r="CA4831" s="67"/>
      <c r="CB4831" s="70">
        <v>96.9</v>
      </c>
      <c r="CC4831" s="70">
        <v>89.97</v>
      </c>
      <c r="CD4831" s="70"/>
      <c r="CE4831" s="67"/>
      <c r="CF4831" s="67"/>
      <c r="CG4831" s="67" t="s">
        <v>5152</v>
      </c>
      <c r="CH4831" s="94"/>
      <c r="CI4831" s="245"/>
      <c r="CJ4831" s="67"/>
      <c r="CK4831" s="67"/>
      <c r="CL4831" s="67"/>
      <c r="CM4831" s="242">
        <v>0.97199999999999998</v>
      </c>
      <c r="CN4831" s="242">
        <v>1.196</v>
      </c>
      <c r="CO4831" s="242"/>
      <c r="CP4831" s="242"/>
      <c r="CQ4831" s="242" t="s">
        <v>164</v>
      </c>
      <c r="CR4831" s="242"/>
      <c r="CS4831" s="242"/>
      <c r="CT4831" s="242"/>
      <c r="CU4831" s="242"/>
      <c r="CV4831" s="242"/>
      <c r="CW4831" s="242"/>
      <c r="CX4831" s="242"/>
      <c r="CY4831" s="242"/>
      <c r="CZ4831" s="242"/>
      <c r="DA4831" s="67" t="s">
        <v>5443</v>
      </c>
      <c r="DB4831" s="67"/>
      <c r="DC4831" s="67"/>
      <c r="DD4831" s="67"/>
      <c r="DE4831" s="67"/>
      <c r="DF4831" s="67"/>
      <c r="DG4831" s="67"/>
      <c r="DH4831" s="67"/>
      <c r="DI4831" s="67"/>
      <c r="DJ4831" s="67"/>
      <c r="DK4831" s="67"/>
      <c r="DL4831" s="67"/>
      <c r="DM4831" s="67"/>
      <c r="DN4831" s="67"/>
      <c r="DO4831" s="67"/>
      <c r="DP4831" s="67"/>
      <c r="DQ4831" s="166"/>
      <c r="DR4831" s="166"/>
      <c r="DS4831" s="163"/>
      <c r="DT4831" s="163"/>
      <c r="DU4831" s="67"/>
      <c r="DV4831" s="67">
        <v>8.1199999999999992</v>
      </c>
      <c r="DW4831" s="67">
        <v>7.44</v>
      </c>
      <c r="DX4831" s="67"/>
      <c r="DY4831" s="67"/>
      <c r="DZ4831" s="67" t="s">
        <v>5672</v>
      </c>
      <c r="EA4831" s="67"/>
      <c r="EB4831" s="67"/>
      <c r="EC4831" s="67"/>
      <c r="ED4831" s="67"/>
      <c r="EE4831" s="67"/>
      <c r="EF4831" s="67"/>
      <c r="EG4831" s="67"/>
      <c r="EH4831" s="67"/>
      <c r="EI4831" s="67"/>
      <c r="EJ4831" s="67"/>
      <c r="EK4831" s="94"/>
      <c r="EL4831" s="94"/>
      <c r="EM4831" s="67"/>
      <c r="EN4831" s="67"/>
      <c r="EO4831" s="67"/>
      <c r="EP4831" s="67"/>
      <c r="EQ4831" s="67"/>
      <c r="ER4831" s="67"/>
      <c r="ES4831" s="67"/>
      <c r="ET4831" s="67"/>
      <c r="EU4831" s="67"/>
      <c r="EV4831" s="67"/>
      <c r="EW4831" s="67"/>
      <c r="EX4831" s="67"/>
      <c r="EY4831" s="67"/>
      <c r="EZ4831" s="67"/>
      <c r="FA4831" s="67"/>
      <c r="FB4831" s="67"/>
      <c r="FC4831" s="67"/>
      <c r="FD4831" s="67"/>
      <c r="FE4831" s="67"/>
      <c r="FF4831" s="67"/>
      <c r="FG4831" s="67"/>
      <c r="FH4831" s="67"/>
      <c r="FI4831" s="67"/>
      <c r="FJ4831" s="67"/>
      <c r="FK4831" s="67"/>
      <c r="FL4831" s="67"/>
      <c r="FM4831" s="67"/>
      <c r="FN4831" s="67"/>
      <c r="FO4831" s="67"/>
      <c r="FP4831" s="67"/>
      <c r="FQ4831" s="67"/>
      <c r="FR4831" s="67"/>
      <c r="FS4831" s="67"/>
      <c r="FT4831" s="67"/>
      <c r="FU4831" s="67"/>
      <c r="FV4831" s="67"/>
      <c r="FW4831" s="67"/>
      <c r="FX4831" s="67"/>
      <c r="FY4831" s="67"/>
      <c r="FZ4831" s="67"/>
      <c r="GA4831" s="67"/>
      <c r="GB4831" s="67"/>
      <c r="GC4831" s="67"/>
      <c r="GD4831" s="67"/>
      <c r="GE4831" s="67"/>
      <c r="GF4831" s="67"/>
      <c r="GG4831" s="67"/>
      <c r="GH4831" s="67"/>
      <c r="GI4831" s="67"/>
      <c r="GJ4831" s="67"/>
      <c r="GK4831" s="67"/>
      <c r="GL4831" s="67"/>
      <c r="GM4831" s="67"/>
      <c r="GN4831" s="292"/>
      <c r="GO4831" s="292"/>
      <c r="GP4831" s="292" t="s">
        <v>7494</v>
      </c>
      <c r="GQ4831" s="67"/>
      <c r="GR4831" s="67"/>
      <c r="GS4831" s="67"/>
      <c r="GT4831" s="67"/>
      <c r="GU4831" s="67"/>
      <c r="GV4831" s="67"/>
      <c r="GW4831" s="67"/>
      <c r="GX4831" s="67"/>
      <c r="GY4831" s="67"/>
      <c r="GZ4831" s="67"/>
      <c r="HA4831" s="67"/>
      <c r="HB4831" s="67"/>
      <c r="HC4831" s="67"/>
      <c r="HD4831" s="67"/>
      <c r="HE4831" s="67"/>
      <c r="HF4831" s="67"/>
      <c r="HG4831" s="67"/>
      <c r="HH4831" s="67"/>
      <c r="HI4831" s="67"/>
      <c r="HJ4831" s="67"/>
      <c r="HK4831" s="67"/>
      <c r="HL4831" s="67"/>
      <c r="HM4831" s="67"/>
      <c r="HN4831" s="67"/>
      <c r="HO4831" s="67"/>
      <c r="HP4831" s="67"/>
      <c r="HQ4831" s="67"/>
      <c r="HR4831" s="67"/>
      <c r="HS4831" s="67"/>
      <c r="HT4831" s="67"/>
      <c r="HU4831" s="67"/>
      <c r="HV4831" s="67"/>
      <c r="HW4831" s="67"/>
      <c r="HX4831" s="67"/>
      <c r="HY4831" s="67"/>
      <c r="HZ4831" s="67"/>
      <c r="IA4831" s="67"/>
      <c r="IB4831" s="67"/>
      <c r="IC4831" s="67"/>
      <c r="ID4831" s="67"/>
      <c r="IE4831" s="67"/>
      <c r="IF4831" s="67"/>
      <c r="IG4831" s="67"/>
      <c r="IH4831" s="67"/>
      <c r="II4831" s="67"/>
      <c r="IJ4831" s="67"/>
      <c r="IK4831" s="67"/>
      <c r="IL4831" s="67"/>
      <c r="IM4831" s="67"/>
      <c r="IN4831" s="67"/>
      <c r="IO4831" s="67"/>
      <c r="IP4831" s="67"/>
      <c r="IQ4831" s="67"/>
      <c r="IR4831" s="67"/>
      <c r="IS4831" s="67"/>
      <c r="IT4831" s="67"/>
      <c r="IU4831" s="67"/>
      <c r="IV4831" s="67"/>
      <c r="IW4831" s="67"/>
      <c r="IX4831" s="67"/>
      <c r="IY4831" s="67"/>
      <c r="IZ4831" s="67"/>
      <c r="JA4831" s="67"/>
      <c r="JB4831" s="67"/>
      <c r="JC4831" s="67"/>
      <c r="JD4831" s="67"/>
      <c r="JE4831" s="67"/>
      <c r="JF4831" s="67"/>
      <c r="JG4831" s="67"/>
      <c r="JH4831" s="67"/>
      <c r="JI4831" s="67"/>
      <c r="JJ4831" s="67"/>
      <c r="JK4831" s="67"/>
      <c r="JL4831" s="67"/>
      <c r="JM4831" s="67"/>
      <c r="JN4831" s="67"/>
      <c r="JO4831" s="67"/>
      <c r="JP4831" s="67"/>
      <c r="JQ4831" s="67"/>
      <c r="JR4831" s="67"/>
      <c r="JS4831" s="67"/>
      <c r="JT4831" s="67"/>
      <c r="JU4831" s="58"/>
      <c r="JV4831" s="58"/>
      <c r="JW4831" s="58"/>
    </row>
    <row r="4832" spans="1:283" s="23" customFormat="1" x14ac:dyDescent="0.25">
      <c r="A4832" s="55">
        <v>4831</v>
      </c>
      <c r="B4832" s="12" t="s">
        <v>7067</v>
      </c>
      <c r="C4832" s="156">
        <v>217</v>
      </c>
      <c r="D4832" s="58" t="s">
        <v>5667</v>
      </c>
      <c r="E4832" s="160" t="str">
        <f>G4832</f>
        <v>Clark et al 1998_SAFS 3</v>
      </c>
      <c r="F4832" s="160"/>
      <c r="G4832" s="60" t="s">
        <v>4833</v>
      </c>
      <c r="H4832" s="58">
        <v>1998</v>
      </c>
      <c r="I4832" s="58">
        <v>1994</v>
      </c>
      <c r="J4832" s="243" t="s">
        <v>282</v>
      </c>
      <c r="K4832" s="63" t="s">
        <v>5124</v>
      </c>
      <c r="L4832" s="58" t="s">
        <v>2737</v>
      </c>
      <c r="M4832" s="94">
        <f>38+32/60</f>
        <v>38.533333333333331</v>
      </c>
      <c r="N4832" s="94">
        <f>-121-47/60</f>
        <v>-121.78333333333333</v>
      </c>
      <c r="O4832" s="94">
        <v>18</v>
      </c>
      <c r="P4832" s="58"/>
      <c r="Q4832" s="244">
        <v>15.6</v>
      </c>
      <c r="R4832" s="58"/>
      <c r="S4832" s="245">
        <v>450</v>
      </c>
      <c r="T4832" s="58"/>
      <c r="U4832" s="58" t="s">
        <v>1816</v>
      </c>
      <c r="V4832" s="244">
        <v>8</v>
      </c>
      <c r="W4832" s="174"/>
      <c r="X4832" s="174"/>
      <c r="Y4832" s="58" t="s">
        <v>5357</v>
      </c>
      <c r="Z4832" s="244" t="s">
        <v>1349</v>
      </c>
      <c r="AA4832" s="245" t="s">
        <v>1677</v>
      </c>
      <c r="AB4832" s="67"/>
      <c r="AC4832" s="67"/>
      <c r="AD4832" s="245">
        <v>1.3</v>
      </c>
      <c r="AE4832" s="94"/>
      <c r="AF4832" s="94"/>
      <c r="AG4832" s="245">
        <v>14</v>
      </c>
      <c r="AH4832" s="58" t="s">
        <v>6378</v>
      </c>
      <c r="AI4832" s="169"/>
      <c r="AJ4832" s="94"/>
      <c r="AK4832" s="94"/>
      <c r="AL4832" s="58"/>
      <c r="AM4832" s="58" t="s">
        <v>5360</v>
      </c>
      <c r="AN4832" s="186" t="s">
        <v>241</v>
      </c>
      <c r="AO4832" s="185" t="s">
        <v>5150</v>
      </c>
      <c r="AP4832" s="58"/>
      <c r="AQ4832" s="58" t="s">
        <v>553</v>
      </c>
      <c r="AR4832" s="58" t="s">
        <v>5358</v>
      </c>
      <c r="AS4832" s="246" t="s">
        <v>4584</v>
      </c>
      <c r="AT4832" s="247" t="s">
        <v>5359</v>
      </c>
      <c r="AU4832" s="181" t="s">
        <v>5150</v>
      </c>
      <c r="AV4832" s="185" t="s">
        <v>479</v>
      </c>
      <c r="AW4832" s="244" t="s">
        <v>5359</v>
      </c>
      <c r="AX4832" s="185" t="s">
        <v>479</v>
      </c>
      <c r="AY4832" s="244" t="s">
        <v>5150</v>
      </c>
      <c r="AZ4832" s="58"/>
      <c r="BA4832" s="58"/>
      <c r="BB4832" s="58"/>
      <c r="BC4832" s="58"/>
      <c r="BD4832" s="58"/>
      <c r="BE4832" s="236" t="s">
        <v>5161</v>
      </c>
      <c r="BF4832" s="58" t="s">
        <v>479</v>
      </c>
      <c r="BG4832" s="58" t="s">
        <v>479</v>
      </c>
      <c r="BH4832" s="236" t="s">
        <v>5234</v>
      </c>
      <c r="BI4832" s="58" t="s">
        <v>479</v>
      </c>
      <c r="BJ4832" s="58" t="str">
        <f>IF(BE4832=BH4832,"No","yes")</f>
        <v>yes</v>
      </c>
      <c r="BK4832" s="58" t="s">
        <v>6335</v>
      </c>
      <c r="BL4832" s="58"/>
      <c r="BM4832" s="237" t="s">
        <v>160</v>
      </c>
      <c r="BN4832" s="244">
        <v>8</v>
      </c>
      <c r="BO4832" s="244">
        <v>16</v>
      </c>
      <c r="BP4832" s="58"/>
      <c r="BQ4832" s="58"/>
      <c r="BR4832" s="58"/>
      <c r="BS4832" s="58"/>
      <c r="BT4832" s="58"/>
      <c r="BU4832" s="58"/>
      <c r="BV4832" s="58" t="s">
        <v>5666</v>
      </c>
      <c r="BW4832" s="67"/>
      <c r="BX4832" s="67"/>
      <c r="BY4832" s="67"/>
      <c r="BZ4832" s="67"/>
      <c r="CA4832" s="67"/>
      <c r="CB4832" s="70"/>
      <c r="CC4832" s="70"/>
      <c r="CD4832" s="70"/>
      <c r="CE4832" s="67"/>
      <c r="CF4832" s="67"/>
      <c r="CG4832" s="67"/>
      <c r="CH4832" s="94"/>
      <c r="CI4832" s="245"/>
      <c r="CJ4832" s="67"/>
      <c r="CK4832" s="67"/>
      <c r="CL4832" s="67"/>
      <c r="CM4832" s="242">
        <v>0.97199999999999998</v>
      </c>
      <c r="CN4832" s="242">
        <v>1.101</v>
      </c>
      <c r="CO4832" s="242"/>
      <c r="CP4832" s="242"/>
      <c r="CQ4832" s="242" t="s">
        <v>164</v>
      </c>
      <c r="CR4832" s="242"/>
      <c r="CS4832" s="242"/>
      <c r="CT4832" s="242"/>
      <c r="CU4832" s="242"/>
      <c r="CV4832" s="242"/>
      <c r="CW4832" s="242"/>
      <c r="CX4832" s="242"/>
      <c r="CY4832" s="242"/>
      <c r="CZ4832" s="242"/>
      <c r="DA4832" s="67" t="s">
        <v>5443</v>
      </c>
      <c r="DB4832" s="67"/>
      <c r="DC4832" s="67"/>
      <c r="DD4832" s="67"/>
      <c r="DE4832" s="67"/>
      <c r="DF4832" s="67"/>
      <c r="DG4832" s="67"/>
      <c r="DH4832" s="67"/>
      <c r="DI4832" s="67"/>
      <c r="DJ4832" s="67"/>
      <c r="DK4832" s="67"/>
      <c r="DL4832" s="67"/>
      <c r="DM4832" s="67"/>
      <c r="DN4832" s="67"/>
      <c r="DO4832" s="67"/>
      <c r="DP4832" s="67"/>
      <c r="DQ4832" s="166"/>
      <c r="DR4832" s="166"/>
      <c r="DS4832" s="163"/>
      <c r="DT4832" s="163"/>
      <c r="DU4832" s="67"/>
      <c r="DV4832" s="67">
        <v>7.96</v>
      </c>
      <c r="DW4832" s="67">
        <v>7.44</v>
      </c>
      <c r="DX4832" s="67"/>
      <c r="DY4832" s="67"/>
      <c r="DZ4832" s="67" t="s">
        <v>5672</v>
      </c>
      <c r="EA4832" s="67"/>
      <c r="EB4832" s="67"/>
      <c r="EC4832" s="67"/>
      <c r="ED4832" s="67"/>
      <c r="EE4832" s="67"/>
      <c r="EF4832" s="67"/>
      <c r="EG4832" s="67"/>
      <c r="EH4832" s="67"/>
      <c r="EI4832" s="67"/>
      <c r="EJ4832" s="67"/>
      <c r="EK4832" s="94"/>
      <c r="EL4832" s="94"/>
      <c r="EM4832" s="67"/>
      <c r="EN4832" s="67"/>
      <c r="EO4832" s="67"/>
      <c r="EP4832" s="67"/>
      <c r="EQ4832" s="67"/>
      <c r="ER4832" s="67"/>
      <c r="ES4832" s="67"/>
      <c r="ET4832" s="67"/>
      <c r="EU4832" s="67"/>
      <c r="EV4832" s="67"/>
      <c r="EW4832" s="67"/>
      <c r="EX4832" s="67"/>
      <c r="EY4832" s="67"/>
      <c r="EZ4832" s="67"/>
      <c r="FA4832" s="67"/>
      <c r="FB4832" s="67"/>
      <c r="FC4832" s="67"/>
      <c r="FD4832" s="67"/>
      <c r="FE4832" s="67"/>
      <c r="FF4832" s="67"/>
      <c r="FG4832" s="67"/>
      <c r="FH4832" s="67"/>
      <c r="FI4832" s="67"/>
      <c r="FJ4832" s="67"/>
      <c r="FK4832" s="67"/>
      <c r="FL4832" s="67"/>
      <c r="FM4832" s="67"/>
      <c r="FN4832" s="67"/>
      <c r="FO4832" s="67"/>
      <c r="FP4832" s="67"/>
      <c r="FQ4832" s="67"/>
      <c r="FR4832" s="67"/>
      <c r="FS4832" s="67"/>
      <c r="FT4832" s="67"/>
      <c r="FU4832" s="67"/>
      <c r="FV4832" s="67"/>
      <c r="FW4832" s="67"/>
      <c r="FX4832" s="67"/>
      <c r="FY4832" s="67"/>
      <c r="FZ4832" s="67"/>
      <c r="GA4832" s="67"/>
      <c r="GB4832" s="67"/>
      <c r="GC4832" s="67"/>
      <c r="GD4832" s="67"/>
      <c r="GE4832" s="67"/>
      <c r="GF4832" s="67"/>
      <c r="GG4832" s="67"/>
      <c r="GH4832" s="67"/>
      <c r="GI4832" s="67"/>
      <c r="GJ4832" s="67"/>
      <c r="GK4832" s="67"/>
      <c r="GL4832" s="67"/>
      <c r="GM4832" s="67"/>
      <c r="GN4832" s="292"/>
      <c r="GO4832" s="292"/>
      <c r="GP4832" s="292" t="s">
        <v>7494</v>
      </c>
      <c r="GQ4832" s="67"/>
      <c r="GR4832" s="67"/>
      <c r="GS4832" s="67"/>
      <c r="GT4832" s="67"/>
      <c r="GU4832" s="67"/>
      <c r="GV4832" s="67"/>
      <c r="GW4832" s="67"/>
      <c r="GX4832" s="67"/>
      <c r="GY4832" s="67"/>
      <c r="GZ4832" s="67"/>
      <c r="HA4832" s="67"/>
      <c r="HB4832" s="67"/>
      <c r="HC4832" s="67"/>
      <c r="HD4832" s="67"/>
      <c r="HE4832" s="67"/>
      <c r="HF4832" s="67"/>
      <c r="HG4832" s="67"/>
      <c r="HH4832" s="67"/>
      <c r="HI4832" s="67"/>
      <c r="HJ4832" s="67"/>
      <c r="HK4832" s="67"/>
      <c r="HL4832" s="67"/>
      <c r="HM4832" s="67"/>
      <c r="HN4832" s="67"/>
      <c r="HO4832" s="67"/>
      <c r="HP4832" s="67"/>
      <c r="HQ4832" s="67"/>
      <c r="HR4832" s="67"/>
      <c r="HS4832" s="67"/>
      <c r="HT4832" s="67"/>
      <c r="HU4832" s="67"/>
      <c r="HV4832" s="67"/>
      <c r="HW4832" s="67"/>
      <c r="HX4832" s="67"/>
      <c r="HY4832" s="67"/>
      <c r="HZ4832" s="67"/>
      <c r="IA4832" s="67"/>
      <c r="IB4832" s="67"/>
      <c r="IC4832" s="67"/>
      <c r="ID4832" s="67"/>
      <c r="IE4832" s="67"/>
      <c r="IF4832" s="67"/>
      <c r="IG4832" s="67"/>
      <c r="IH4832" s="67"/>
      <c r="II4832" s="67"/>
      <c r="IJ4832" s="67"/>
      <c r="IK4832" s="67"/>
      <c r="IL4832" s="67"/>
      <c r="IM4832" s="67"/>
      <c r="IN4832" s="67"/>
      <c r="IO4832" s="67"/>
      <c r="IP4832" s="67"/>
      <c r="IQ4832" s="67"/>
      <c r="IR4832" s="67"/>
      <c r="IS4832" s="67"/>
      <c r="IT4832" s="67"/>
      <c r="IU4832" s="67"/>
      <c r="IV4832" s="67"/>
      <c r="IW4832" s="67"/>
      <c r="IX4832" s="67"/>
      <c r="IY4832" s="67"/>
      <c r="IZ4832" s="67"/>
      <c r="JA4832" s="67"/>
      <c r="JB4832" s="67"/>
      <c r="JC4832" s="67"/>
      <c r="JD4832" s="67"/>
      <c r="JE4832" s="67"/>
      <c r="JF4832" s="67"/>
      <c r="JG4832" s="67"/>
      <c r="JH4832" s="67"/>
      <c r="JI4832" s="67"/>
      <c r="JJ4832" s="67"/>
      <c r="JK4832" s="67"/>
      <c r="JL4832" s="67"/>
      <c r="JM4832" s="67"/>
      <c r="JN4832" s="67"/>
      <c r="JO4832" s="67"/>
      <c r="JP4832" s="67"/>
      <c r="JQ4832" s="67"/>
      <c r="JR4832" s="67"/>
      <c r="JS4832" s="67"/>
      <c r="JT4832" s="67"/>
      <c r="JU4832" s="58"/>
      <c r="JV4832" s="58"/>
      <c r="JW4832" s="58"/>
    </row>
    <row r="4833" spans="1:283" s="23" customFormat="1" x14ac:dyDescent="0.25">
      <c r="A4833" s="55">
        <v>4832</v>
      </c>
      <c r="B4833" s="12" t="s">
        <v>7067</v>
      </c>
      <c r="C4833" s="156">
        <v>217</v>
      </c>
      <c r="D4833" s="58" t="s">
        <v>5668</v>
      </c>
      <c r="E4833" s="160" t="str">
        <f>G4833</f>
        <v>Clark et al 1998_SAFS 1</v>
      </c>
      <c r="F4833" s="160"/>
      <c r="G4833" s="60" t="s">
        <v>4835</v>
      </c>
      <c r="H4833" s="58">
        <v>1998</v>
      </c>
      <c r="I4833" s="58">
        <v>1994</v>
      </c>
      <c r="J4833" s="243" t="s">
        <v>282</v>
      </c>
      <c r="K4833" s="63" t="s">
        <v>5124</v>
      </c>
      <c r="L4833" s="58" t="s">
        <v>2737</v>
      </c>
      <c r="M4833" s="94">
        <f>38+32/60</f>
        <v>38.533333333333331</v>
      </c>
      <c r="N4833" s="94">
        <f>-121-47/60</f>
        <v>-121.78333333333333</v>
      </c>
      <c r="O4833" s="94">
        <v>18</v>
      </c>
      <c r="P4833" s="58"/>
      <c r="Q4833" s="244">
        <v>15.6</v>
      </c>
      <c r="R4833" s="58"/>
      <c r="S4833" s="245">
        <v>450</v>
      </c>
      <c r="T4833" s="58"/>
      <c r="U4833" s="58" t="s">
        <v>1816</v>
      </c>
      <c r="V4833" s="244">
        <v>8</v>
      </c>
      <c r="W4833" s="174"/>
      <c r="X4833" s="174"/>
      <c r="Y4833" s="58" t="s">
        <v>5357</v>
      </c>
      <c r="Z4833" s="244" t="s">
        <v>1357</v>
      </c>
      <c r="AA4833" s="245" t="s">
        <v>1677</v>
      </c>
      <c r="AB4833" s="67"/>
      <c r="AC4833" s="67"/>
      <c r="AD4833" s="245">
        <v>1.3</v>
      </c>
      <c r="AE4833" s="94"/>
      <c r="AF4833" s="94"/>
      <c r="AG4833" s="245">
        <v>14</v>
      </c>
      <c r="AH4833" s="58" t="s">
        <v>6378</v>
      </c>
      <c r="AI4833" s="169"/>
      <c r="AJ4833" s="94"/>
      <c r="AK4833" s="94"/>
      <c r="AL4833" s="58"/>
      <c r="AM4833" s="58" t="s">
        <v>5360</v>
      </c>
      <c r="AN4833" s="186" t="s">
        <v>241</v>
      </c>
      <c r="AO4833" s="185" t="s">
        <v>5150</v>
      </c>
      <c r="AP4833" s="58"/>
      <c r="AQ4833" s="58" t="s">
        <v>553</v>
      </c>
      <c r="AR4833" s="58" t="s">
        <v>5358</v>
      </c>
      <c r="AS4833" s="246" t="s">
        <v>4584</v>
      </c>
      <c r="AT4833" s="247" t="s">
        <v>5359</v>
      </c>
      <c r="AU4833" s="181" t="s">
        <v>5150</v>
      </c>
      <c r="AV4833" s="185" t="s">
        <v>479</v>
      </c>
      <c r="AW4833" s="244" t="s">
        <v>5359</v>
      </c>
      <c r="AX4833" s="185" t="s">
        <v>479</v>
      </c>
      <c r="AY4833" s="244" t="s">
        <v>176</v>
      </c>
      <c r="AZ4833" s="58"/>
      <c r="BA4833" s="58"/>
      <c r="BB4833" s="58"/>
      <c r="BC4833" s="58"/>
      <c r="BD4833" s="58"/>
      <c r="BE4833" s="236" t="s">
        <v>5159</v>
      </c>
      <c r="BF4833" s="58" t="s">
        <v>479</v>
      </c>
      <c r="BG4833" s="58" t="s">
        <v>479</v>
      </c>
      <c r="BH4833" s="236" t="s">
        <v>5234</v>
      </c>
      <c r="BI4833" s="58" t="s">
        <v>479</v>
      </c>
      <c r="BJ4833" s="58" t="str">
        <f>IF(BE4833=BH4833,"No","yes")</f>
        <v>yes</v>
      </c>
      <c r="BK4833" s="58" t="s">
        <v>6335</v>
      </c>
      <c r="BL4833" s="58"/>
      <c r="BM4833" s="237" t="s">
        <v>160</v>
      </c>
      <c r="BN4833" s="244">
        <v>16</v>
      </c>
      <c r="BO4833" s="244">
        <v>16</v>
      </c>
      <c r="BP4833" s="58"/>
      <c r="BQ4833" s="58"/>
      <c r="BR4833" s="58"/>
      <c r="BS4833" s="58"/>
      <c r="BT4833" s="58"/>
      <c r="BU4833" s="58"/>
      <c r="BV4833" s="58" t="s">
        <v>5663</v>
      </c>
      <c r="BW4833" s="67"/>
      <c r="BX4833" s="67"/>
      <c r="BY4833" s="67"/>
      <c r="BZ4833" s="67"/>
      <c r="CA4833" s="67"/>
      <c r="CB4833" s="70"/>
      <c r="CC4833" s="70"/>
      <c r="CD4833" s="70"/>
      <c r="CE4833" s="67"/>
      <c r="CF4833" s="67"/>
      <c r="CG4833" s="67"/>
      <c r="CH4833" s="94"/>
      <c r="CI4833" s="245"/>
      <c r="CJ4833" s="67"/>
      <c r="CK4833" s="67"/>
      <c r="CL4833" s="67"/>
      <c r="CM4833" s="242">
        <v>0.90800000000000003</v>
      </c>
      <c r="CN4833" s="242">
        <v>0.84599999999999997</v>
      </c>
      <c r="CO4833" s="242"/>
      <c r="CP4833" s="242"/>
      <c r="CQ4833" s="242" t="s">
        <v>164</v>
      </c>
      <c r="CR4833" s="242"/>
      <c r="CS4833" s="242"/>
      <c r="CT4833" s="242"/>
      <c r="CU4833" s="242"/>
      <c r="CV4833" s="242"/>
      <c r="CW4833" s="242"/>
      <c r="CX4833" s="242"/>
      <c r="CY4833" s="242"/>
      <c r="CZ4833" s="242"/>
      <c r="DA4833" s="67" t="s">
        <v>5443</v>
      </c>
      <c r="DB4833" s="67"/>
      <c r="DC4833" s="67"/>
      <c r="DD4833" s="67"/>
      <c r="DE4833" s="67"/>
      <c r="DF4833" s="67"/>
      <c r="DG4833" s="67"/>
      <c r="DH4833" s="67"/>
      <c r="DI4833" s="67"/>
      <c r="DJ4833" s="67"/>
      <c r="DK4833" s="67"/>
      <c r="DL4833" s="67"/>
      <c r="DM4833" s="67"/>
      <c r="DN4833" s="67"/>
      <c r="DO4833" s="67"/>
      <c r="DP4833" s="67"/>
      <c r="DQ4833" s="166"/>
      <c r="DR4833" s="166"/>
      <c r="DS4833" s="163"/>
      <c r="DT4833" s="163"/>
      <c r="DU4833" s="67"/>
      <c r="DV4833" s="67">
        <v>7.77</v>
      </c>
      <c r="DW4833" s="67">
        <v>7.52</v>
      </c>
      <c r="DX4833" s="67"/>
      <c r="DY4833" s="67"/>
      <c r="DZ4833" s="67" t="s">
        <v>5672</v>
      </c>
      <c r="EA4833" s="67"/>
      <c r="EB4833" s="67"/>
      <c r="EC4833" s="67"/>
      <c r="ED4833" s="67"/>
      <c r="EE4833" s="67"/>
      <c r="EF4833" s="67"/>
      <c r="EG4833" s="67"/>
      <c r="EH4833" s="67"/>
      <c r="EI4833" s="67"/>
      <c r="EJ4833" s="67"/>
      <c r="EK4833" s="94"/>
      <c r="EL4833" s="94"/>
      <c r="EM4833" s="67"/>
      <c r="EN4833" s="67"/>
      <c r="EO4833" s="67"/>
      <c r="EP4833" s="67"/>
      <c r="EQ4833" s="67"/>
      <c r="ER4833" s="67"/>
      <c r="ES4833" s="67"/>
      <c r="ET4833" s="67"/>
      <c r="EU4833" s="67"/>
      <c r="EV4833" s="67"/>
      <c r="EW4833" s="67"/>
      <c r="EX4833" s="67"/>
      <c r="EY4833" s="67"/>
      <c r="EZ4833" s="67"/>
      <c r="FA4833" s="67"/>
      <c r="FB4833" s="67"/>
      <c r="FC4833" s="67"/>
      <c r="FD4833" s="67"/>
      <c r="FE4833" s="67"/>
      <c r="FF4833" s="67"/>
      <c r="FG4833" s="67"/>
      <c r="FH4833" s="67"/>
      <c r="FI4833" s="67"/>
      <c r="FJ4833" s="67"/>
      <c r="FK4833" s="67"/>
      <c r="FL4833" s="67"/>
      <c r="FM4833" s="67"/>
      <c r="FN4833" s="67"/>
      <c r="FO4833" s="67"/>
      <c r="FP4833" s="67"/>
      <c r="FQ4833" s="67"/>
      <c r="FR4833" s="67"/>
      <c r="FS4833" s="67"/>
      <c r="FT4833" s="67"/>
      <c r="FU4833" s="67"/>
      <c r="FV4833" s="67"/>
      <c r="FW4833" s="67"/>
      <c r="FX4833" s="67"/>
      <c r="FY4833" s="67"/>
      <c r="FZ4833" s="67"/>
      <c r="GA4833" s="67"/>
      <c r="GB4833" s="67"/>
      <c r="GC4833" s="67"/>
      <c r="GD4833" s="67"/>
      <c r="GE4833" s="67"/>
      <c r="GF4833" s="67"/>
      <c r="GG4833" s="67"/>
      <c r="GH4833" s="67"/>
      <c r="GI4833" s="67"/>
      <c r="GJ4833" s="67"/>
      <c r="GK4833" s="67"/>
      <c r="GL4833" s="67"/>
      <c r="GM4833" s="67"/>
      <c r="GN4833" s="292"/>
      <c r="GO4833" s="292"/>
      <c r="GP4833" s="292" t="s">
        <v>7494</v>
      </c>
      <c r="GQ4833" s="67"/>
      <c r="GR4833" s="67"/>
      <c r="GS4833" s="67"/>
      <c r="GT4833" s="67"/>
      <c r="GU4833" s="67"/>
      <c r="GV4833" s="67"/>
      <c r="GW4833" s="67"/>
      <c r="GX4833" s="67"/>
      <c r="GY4833" s="67"/>
      <c r="GZ4833" s="67"/>
      <c r="HA4833" s="67"/>
      <c r="HB4833" s="67"/>
      <c r="HC4833" s="67"/>
      <c r="HD4833" s="67"/>
      <c r="HE4833" s="67"/>
      <c r="HF4833" s="67"/>
      <c r="HG4833" s="67"/>
      <c r="HH4833" s="67"/>
      <c r="HI4833" s="67"/>
      <c r="HJ4833" s="67"/>
      <c r="HK4833" s="67"/>
      <c r="HL4833" s="67"/>
      <c r="HM4833" s="67"/>
      <c r="HN4833" s="67"/>
      <c r="HO4833" s="67"/>
      <c r="HP4833" s="67"/>
      <c r="HQ4833" s="67"/>
      <c r="HR4833" s="67"/>
      <c r="HS4833" s="67"/>
      <c r="HT4833" s="67"/>
      <c r="HU4833" s="67"/>
      <c r="HV4833" s="67"/>
      <c r="HW4833" s="67"/>
      <c r="HX4833" s="67"/>
      <c r="HY4833" s="67"/>
      <c r="HZ4833" s="67"/>
      <c r="IA4833" s="67"/>
      <c r="IB4833" s="67"/>
      <c r="IC4833" s="67"/>
      <c r="ID4833" s="67"/>
      <c r="IE4833" s="67"/>
      <c r="IF4833" s="67"/>
      <c r="IG4833" s="67"/>
      <c r="IH4833" s="67"/>
      <c r="II4833" s="67"/>
      <c r="IJ4833" s="67"/>
      <c r="IK4833" s="67"/>
      <c r="IL4833" s="67"/>
      <c r="IM4833" s="67"/>
      <c r="IN4833" s="67"/>
      <c r="IO4833" s="67"/>
      <c r="IP4833" s="67"/>
      <c r="IQ4833" s="67"/>
      <c r="IR4833" s="67"/>
      <c r="IS4833" s="67"/>
      <c r="IT4833" s="67"/>
      <c r="IU4833" s="67"/>
      <c r="IV4833" s="67"/>
      <c r="IW4833" s="67"/>
      <c r="IX4833" s="67"/>
      <c r="IY4833" s="67"/>
      <c r="IZ4833" s="67"/>
      <c r="JA4833" s="67"/>
      <c r="JB4833" s="67"/>
      <c r="JC4833" s="67"/>
      <c r="JD4833" s="67"/>
      <c r="JE4833" s="67"/>
      <c r="JF4833" s="67"/>
      <c r="JG4833" s="67"/>
      <c r="JH4833" s="67"/>
      <c r="JI4833" s="67"/>
      <c r="JJ4833" s="67"/>
      <c r="JK4833" s="67"/>
      <c r="JL4833" s="67"/>
      <c r="JM4833" s="67"/>
      <c r="JN4833" s="67"/>
      <c r="JO4833" s="67"/>
      <c r="JP4833" s="67"/>
      <c r="JQ4833" s="67"/>
      <c r="JR4833" s="67"/>
      <c r="JS4833" s="67"/>
      <c r="JT4833" s="67"/>
      <c r="JU4833" s="58"/>
      <c r="JV4833" s="58"/>
      <c r="JW4833" s="58"/>
    </row>
    <row r="4834" spans="1:283" s="23" customFormat="1" x14ac:dyDescent="0.25">
      <c r="A4834" s="55">
        <v>4833</v>
      </c>
      <c r="B4834" s="12" t="s">
        <v>7067</v>
      </c>
      <c r="C4834" s="156">
        <v>217</v>
      </c>
      <c r="D4834" s="58" t="s">
        <v>5669</v>
      </c>
      <c r="E4834" s="160" t="str">
        <f>G4834</f>
        <v>Clark et al 1998_SAFS 2</v>
      </c>
      <c r="F4834" s="160"/>
      <c r="G4834" s="60" t="s">
        <v>4834</v>
      </c>
      <c r="H4834" s="58">
        <v>1998</v>
      </c>
      <c r="I4834" s="58">
        <v>1994</v>
      </c>
      <c r="J4834" s="243" t="s">
        <v>282</v>
      </c>
      <c r="K4834" s="63" t="s">
        <v>5124</v>
      </c>
      <c r="L4834" s="58" t="s">
        <v>2737</v>
      </c>
      <c r="M4834" s="94">
        <f>38+32/60</f>
        <v>38.533333333333331</v>
      </c>
      <c r="N4834" s="94">
        <f>-121-47/60</f>
        <v>-121.78333333333333</v>
      </c>
      <c r="O4834" s="94">
        <v>18</v>
      </c>
      <c r="P4834" s="58"/>
      <c r="Q4834" s="244">
        <v>15.6</v>
      </c>
      <c r="R4834" s="58"/>
      <c r="S4834" s="245">
        <v>450</v>
      </c>
      <c r="T4834" s="58"/>
      <c r="U4834" s="58" t="s">
        <v>1816</v>
      </c>
      <c r="V4834" s="244">
        <v>8</v>
      </c>
      <c r="W4834" s="174"/>
      <c r="X4834" s="174"/>
      <c r="Y4834" s="58" t="s">
        <v>5357</v>
      </c>
      <c r="Z4834" s="244" t="s">
        <v>1357</v>
      </c>
      <c r="AA4834" s="245" t="s">
        <v>1677</v>
      </c>
      <c r="AB4834" s="67"/>
      <c r="AC4834" s="67"/>
      <c r="AD4834" s="245">
        <v>1.3</v>
      </c>
      <c r="AE4834" s="94"/>
      <c r="AF4834" s="94"/>
      <c r="AG4834" s="245">
        <v>14</v>
      </c>
      <c r="AH4834" s="58" t="s">
        <v>6378</v>
      </c>
      <c r="AI4834" s="169"/>
      <c r="AJ4834" s="94"/>
      <c r="AK4834" s="94"/>
      <c r="AL4834" s="58"/>
      <c r="AM4834" s="58" t="s">
        <v>5360</v>
      </c>
      <c r="AN4834" s="186" t="s">
        <v>241</v>
      </c>
      <c r="AO4834" s="185" t="s">
        <v>5150</v>
      </c>
      <c r="AP4834" s="58"/>
      <c r="AQ4834" s="58" t="s">
        <v>553</v>
      </c>
      <c r="AR4834" s="58" t="s">
        <v>5358</v>
      </c>
      <c r="AS4834" s="246" t="s">
        <v>4584</v>
      </c>
      <c r="AT4834" s="247" t="s">
        <v>5359</v>
      </c>
      <c r="AU4834" s="181" t="s">
        <v>5150</v>
      </c>
      <c r="AV4834" s="185" t="s">
        <v>479</v>
      </c>
      <c r="AW4834" s="244" t="s">
        <v>5359</v>
      </c>
      <c r="AX4834" s="185" t="s">
        <v>479</v>
      </c>
      <c r="AY4834" s="244" t="s">
        <v>5150</v>
      </c>
      <c r="AZ4834" s="58"/>
      <c r="BA4834" s="58"/>
      <c r="BB4834" s="58"/>
      <c r="BC4834" s="58"/>
      <c r="BD4834" s="58"/>
      <c r="BE4834" s="236" t="s">
        <v>5160</v>
      </c>
      <c r="BF4834" s="58" t="s">
        <v>479</v>
      </c>
      <c r="BG4834" s="58" t="s">
        <v>479</v>
      </c>
      <c r="BH4834" s="236" t="s">
        <v>5234</v>
      </c>
      <c r="BI4834" s="58" t="s">
        <v>479</v>
      </c>
      <c r="BJ4834" s="58" t="str">
        <f>IF(BE4834=BH4834,"No","yes")</f>
        <v>yes</v>
      </c>
      <c r="BK4834" s="58" t="s">
        <v>6335</v>
      </c>
      <c r="BL4834" s="58"/>
      <c r="BM4834" s="237" t="s">
        <v>160</v>
      </c>
      <c r="BN4834" s="244">
        <v>16</v>
      </c>
      <c r="BO4834" s="244">
        <v>16</v>
      </c>
      <c r="BP4834" s="58"/>
      <c r="BQ4834" s="58"/>
      <c r="BR4834" s="58"/>
      <c r="BS4834" s="58"/>
      <c r="BT4834" s="58"/>
      <c r="BU4834" s="58"/>
      <c r="BV4834" s="58" t="s">
        <v>5664</v>
      </c>
      <c r="BW4834" s="67"/>
      <c r="BX4834" s="67"/>
      <c r="BY4834" s="67"/>
      <c r="BZ4834" s="67"/>
      <c r="CA4834" s="67"/>
      <c r="CB4834" s="70"/>
      <c r="CC4834" s="70"/>
      <c r="CD4834" s="70"/>
      <c r="CE4834" s="67"/>
      <c r="CF4834" s="67"/>
      <c r="CG4834" s="67"/>
      <c r="CH4834" s="94"/>
      <c r="CI4834" s="245"/>
      <c r="CJ4834" s="67"/>
      <c r="CK4834" s="67"/>
      <c r="CL4834" s="67"/>
      <c r="CM4834" s="242">
        <v>0.90800000000000003</v>
      </c>
      <c r="CN4834" s="242">
        <v>0.84399999999999997</v>
      </c>
      <c r="CO4834" s="242"/>
      <c r="CP4834" s="242"/>
      <c r="CQ4834" s="242" t="s">
        <v>164</v>
      </c>
      <c r="CR4834" s="242"/>
      <c r="CS4834" s="242"/>
      <c r="CT4834" s="242"/>
      <c r="CU4834" s="242"/>
      <c r="CV4834" s="242"/>
      <c r="CW4834" s="242"/>
      <c r="CX4834" s="242"/>
      <c r="CY4834" s="242"/>
      <c r="CZ4834" s="242"/>
      <c r="DA4834" s="67" t="s">
        <v>5443</v>
      </c>
      <c r="DB4834" s="67"/>
      <c r="DC4834" s="67"/>
      <c r="DD4834" s="67"/>
      <c r="DE4834" s="67"/>
      <c r="DF4834" s="67"/>
      <c r="DG4834" s="67"/>
      <c r="DH4834" s="67"/>
      <c r="DI4834" s="67"/>
      <c r="DJ4834" s="67"/>
      <c r="DK4834" s="67"/>
      <c r="DL4834" s="67"/>
      <c r="DM4834" s="67"/>
      <c r="DN4834" s="67"/>
      <c r="DO4834" s="67"/>
      <c r="DP4834" s="67"/>
      <c r="DQ4834" s="166"/>
      <c r="DR4834" s="166"/>
      <c r="DS4834" s="163"/>
      <c r="DT4834" s="163"/>
      <c r="DU4834" s="67"/>
      <c r="DV4834" s="67">
        <v>7.75</v>
      </c>
      <c r="DW4834" s="67">
        <v>7.52</v>
      </c>
      <c r="DX4834" s="67"/>
      <c r="DY4834" s="67"/>
      <c r="DZ4834" s="67" t="s">
        <v>5672</v>
      </c>
      <c r="EA4834" s="67"/>
      <c r="EB4834" s="67"/>
      <c r="EC4834" s="67"/>
      <c r="ED4834" s="67"/>
      <c r="EE4834" s="67"/>
      <c r="EF4834" s="67"/>
      <c r="EG4834" s="67"/>
      <c r="EH4834" s="67"/>
      <c r="EI4834" s="67"/>
      <c r="EJ4834" s="67"/>
      <c r="EK4834" s="94"/>
      <c r="EL4834" s="94"/>
      <c r="EM4834" s="67"/>
      <c r="EN4834" s="67"/>
      <c r="EO4834" s="67"/>
      <c r="EP4834" s="67"/>
      <c r="EQ4834" s="67"/>
      <c r="ER4834" s="67"/>
      <c r="ES4834" s="67"/>
      <c r="ET4834" s="67"/>
      <c r="EU4834" s="67"/>
      <c r="EV4834" s="67"/>
      <c r="EW4834" s="67"/>
      <c r="EX4834" s="67"/>
      <c r="EY4834" s="67"/>
      <c r="EZ4834" s="67"/>
      <c r="FA4834" s="67"/>
      <c r="FB4834" s="67"/>
      <c r="FC4834" s="67"/>
      <c r="FD4834" s="67"/>
      <c r="FE4834" s="67"/>
      <c r="FF4834" s="67"/>
      <c r="FG4834" s="67"/>
      <c r="FH4834" s="67"/>
      <c r="FI4834" s="67"/>
      <c r="FJ4834" s="67"/>
      <c r="FK4834" s="67"/>
      <c r="FL4834" s="67"/>
      <c r="FM4834" s="67"/>
      <c r="FN4834" s="67"/>
      <c r="FO4834" s="67"/>
      <c r="FP4834" s="67"/>
      <c r="FQ4834" s="67"/>
      <c r="FR4834" s="67"/>
      <c r="FS4834" s="67"/>
      <c r="FT4834" s="67"/>
      <c r="FU4834" s="67"/>
      <c r="FV4834" s="67"/>
      <c r="FW4834" s="67"/>
      <c r="FX4834" s="67"/>
      <c r="FY4834" s="67"/>
      <c r="FZ4834" s="67"/>
      <c r="GA4834" s="67"/>
      <c r="GB4834" s="67"/>
      <c r="GC4834" s="67"/>
      <c r="GD4834" s="67"/>
      <c r="GE4834" s="67"/>
      <c r="GF4834" s="67"/>
      <c r="GG4834" s="67"/>
      <c r="GH4834" s="67"/>
      <c r="GI4834" s="67"/>
      <c r="GJ4834" s="67"/>
      <c r="GK4834" s="67"/>
      <c r="GL4834" s="67"/>
      <c r="GM4834" s="67"/>
      <c r="GN4834" s="292"/>
      <c r="GO4834" s="292"/>
      <c r="GP4834" s="292" t="s">
        <v>7494</v>
      </c>
      <c r="GQ4834" s="67"/>
      <c r="GR4834" s="67"/>
      <c r="GS4834" s="67"/>
      <c r="GT4834" s="67"/>
      <c r="GU4834" s="67"/>
      <c r="GV4834" s="67"/>
      <c r="GW4834" s="67"/>
      <c r="GX4834" s="67"/>
      <c r="GY4834" s="67"/>
      <c r="GZ4834" s="67"/>
      <c r="HA4834" s="67"/>
      <c r="HB4834" s="67"/>
      <c r="HC4834" s="67"/>
      <c r="HD4834" s="67"/>
      <c r="HE4834" s="67"/>
      <c r="HF4834" s="67"/>
      <c r="HG4834" s="67"/>
      <c r="HH4834" s="67"/>
      <c r="HI4834" s="67"/>
      <c r="HJ4834" s="67"/>
      <c r="HK4834" s="67"/>
      <c r="HL4834" s="67"/>
      <c r="HM4834" s="67"/>
      <c r="HN4834" s="67"/>
      <c r="HO4834" s="67"/>
      <c r="HP4834" s="67"/>
      <c r="HQ4834" s="67"/>
      <c r="HR4834" s="67"/>
      <c r="HS4834" s="67"/>
      <c r="HT4834" s="67"/>
      <c r="HU4834" s="67"/>
      <c r="HV4834" s="67"/>
      <c r="HW4834" s="67"/>
      <c r="HX4834" s="67"/>
      <c r="HY4834" s="67"/>
      <c r="HZ4834" s="67"/>
      <c r="IA4834" s="67"/>
      <c r="IB4834" s="67"/>
      <c r="IC4834" s="67"/>
      <c r="ID4834" s="67"/>
      <c r="IE4834" s="67"/>
      <c r="IF4834" s="67"/>
      <c r="IG4834" s="67"/>
      <c r="IH4834" s="67"/>
      <c r="II4834" s="67"/>
      <c r="IJ4834" s="67"/>
      <c r="IK4834" s="67"/>
      <c r="IL4834" s="67"/>
      <c r="IM4834" s="67"/>
      <c r="IN4834" s="67"/>
      <c r="IO4834" s="67"/>
      <c r="IP4834" s="67"/>
      <c r="IQ4834" s="67"/>
      <c r="IR4834" s="67"/>
      <c r="IS4834" s="67"/>
      <c r="IT4834" s="67"/>
      <c r="IU4834" s="67"/>
      <c r="IV4834" s="67"/>
      <c r="IW4834" s="67"/>
      <c r="IX4834" s="67"/>
      <c r="IY4834" s="67"/>
      <c r="IZ4834" s="67"/>
      <c r="JA4834" s="67"/>
      <c r="JB4834" s="67"/>
      <c r="JC4834" s="67"/>
      <c r="JD4834" s="67"/>
      <c r="JE4834" s="67"/>
      <c r="JF4834" s="67"/>
      <c r="JG4834" s="67"/>
      <c r="JH4834" s="67"/>
      <c r="JI4834" s="67"/>
      <c r="JJ4834" s="67"/>
      <c r="JK4834" s="67"/>
      <c r="JL4834" s="67"/>
      <c r="JM4834" s="67"/>
      <c r="JN4834" s="67"/>
      <c r="JO4834" s="67"/>
      <c r="JP4834" s="67"/>
      <c r="JQ4834" s="67"/>
      <c r="JR4834" s="67"/>
      <c r="JS4834" s="67"/>
      <c r="JT4834" s="67"/>
      <c r="JU4834" s="58"/>
      <c r="JV4834" s="58"/>
      <c r="JW4834" s="58"/>
    </row>
    <row r="4835" spans="1:283" s="23" customFormat="1" x14ac:dyDescent="0.25">
      <c r="A4835" s="55">
        <v>4834</v>
      </c>
      <c r="B4835" s="12" t="s">
        <v>7067</v>
      </c>
      <c r="C4835" s="156">
        <v>217</v>
      </c>
      <c r="D4835" s="58" t="s">
        <v>5670</v>
      </c>
      <c r="E4835" s="160" t="str">
        <f>G4835</f>
        <v>Clark et al 1998_SAFS 3</v>
      </c>
      <c r="F4835" s="160"/>
      <c r="G4835" s="60" t="s">
        <v>4833</v>
      </c>
      <c r="H4835" s="58">
        <v>1998</v>
      </c>
      <c r="I4835" s="58">
        <v>1994</v>
      </c>
      <c r="J4835" s="243" t="s">
        <v>282</v>
      </c>
      <c r="K4835" s="63" t="s">
        <v>5124</v>
      </c>
      <c r="L4835" s="58" t="s">
        <v>2737</v>
      </c>
      <c r="M4835" s="94">
        <f>38+32/60</f>
        <v>38.533333333333331</v>
      </c>
      <c r="N4835" s="94">
        <f>-121-47/60</f>
        <v>-121.78333333333333</v>
      </c>
      <c r="O4835" s="94">
        <v>18</v>
      </c>
      <c r="P4835" s="58"/>
      <c r="Q4835" s="244">
        <v>15.6</v>
      </c>
      <c r="R4835" s="58"/>
      <c r="S4835" s="245">
        <v>450</v>
      </c>
      <c r="T4835" s="58"/>
      <c r="U4835" s="58" t="s">
        <v>1816</v>
      </c>
      <c r="V4835" s="244">
        <v>8</v>
      </c>
      <c r="W4835" s="174"/>
      <c r="X4835" s="174"/>
      <c r="Y4835" s="58" t="s">
        <v>5357</v>
      </c>
      <c r="Z4835" s="244" t="s">
        <v>1357</v>
      </c>
      <c r="AA4835" s="245" t="s">
        <v>1677</v>
      </c>
      <c r="AB4835" s="67"/>
      <c r="AC4835" s="67"/>
      <c r="AD4835" s="245">
        <v>1.3</v>
      </c>
      <c r="AE4835" s="94"/>
      <c r="AF4835" s="94"/>
      <c r="AG4835" s="245">
        <v>14</v>
      </c>
      <c r="AH4835" s="58" t="s">
        <v>6378</v>
      </c>
      <c r="AI4835" s="169"/>
      <c r="AJ4835" s="94"/>
      <c r="AK4835" s="94"/>
      <c r="AL4835" s="58"/>
      <c r="AM4835" s="58" t="s">
        <v>5360</v>
      </c>
      <c r="AN4835" s="186" t="s">
        <v>241</v>
      </c>
      <c r="AO4835" s="185" t="s">
        <v>5150</v>
      </c>
      <c r="AP4835" s="58"/>
      <c r="AQ4835" s="58" t="s">
        <v>553</v>
      </c>
      <c r="AR4835" s="58" t="s">
        <v>5358</v>
      </c>
      <c r="AS4835" s="246" t="s">
        <v>4584</v>
      </c>
      <c r="AT4835" s="247" t="s">
        <v>5359</v>
      </c>
      <c r="AU4835" s="181" t="s">
        <v>5150</v>
      </c>
      <c r="AV4835" s="185" t="s">
        <v>479</v>
      </c>
      <c r="AW4835" s="244" t="s">
        <v>5359</v>
      </c>
      <c r="AX4835" s="185" t="s">
        <v>479</v>
      </c>
      <c r="AY4835" s="244" t="s">
        <v>5150</v>
      </c>
      <c r="AZ4835" s="58"/>
      <c r="BA4835" s="58"/>
      <c r="BB4835" s="58"/>
      <c r="BC4835" s="58"/>
      <c r="BD4835" s="58"/>
      <c r="BE4835" s="236" t="s">
        <v>5161</v>
      </c>
      <c r="BF4835" s="58" t="s">
        <v>479</v>
      </c>
      <c r="BG4835" s="58" t="s">
        <v>479</v>
      </c>
      <c r="BH4835" s="236" t="s">
        <v>5234</v>
      </c>
      <c r="BI4835" s="58" t="s">
        <v>479</v>
      </c>
      <c r="BJ4835" s="58" t="str">
        <f>IF(BE4835=BH4835,"No","yes")</f>
        <v>yes</v>
      </c>
      <c r="BK4835" s="58" t="s">
        <v>6335</v>
      </c>
      <c r="BL4835" s="58"/>
      <c r="BM4835" s="237" t="s">
        <v>160</v>
      </c>
      <c r="BN4835" s="244">
        <v>8</v>
      </c>
      <c r="BO4835" s="244">
        <v>16</v>
      </c>
      <c r="BP4835" s="58"/>
      <c r="BQ4835" s="58"/>
      <c r="BR4835" s="58"/>
      <c r="BS4835" s="58"/>
      <c r="BT4835" s="58"/>
      <c r="BU4835" s="58"/>
      <c r="BV4835" s="58" t="s">
        <v>5665</v>
      </c>
      <c r="BW4835" s="67"/>
      <c r="BX4835" s="67"/>
      <c r="BY4835" s="67"/>
      <c r="BZ4835" s="67"/>
      <c r="CA4835" s="67"/>
      <c r="CB4835" s="70"/>
      <c r="CC4835" s="70"/>
      <c r="CD4835" s="70"/>
      <c r="CE4835" s="67"/>
      <c r="CF4835" s="67"/>
      <c r="CG4835" s="67"/>
      <c r="CH4835" s="94"/>
      <c r="CI4835" s="245"/>
      <c r="CJ4835" s="67"/>
      <c r="CK4835" s="67"/>
      <c r="CL4835" s="67"/>
      <c r="CM4835" s="242">
        <v>0.85</v>
      </c>
      <c r="CN4835" s="242">
        <v>0.84599999999999997</v>
      </c>
      <c r="CO4835" s="242"/>
      <c r="CP4835" s="242"/>
      <c r="CQ4835" s="242" t="s">
        <v>164</v>
      </c>
      <c r="CR4835" s="242"/>
      <c r="CS4835" s="242"/>
      <c r="CT4835" s="242"/>
      <c r="CU4835" s="242"/>
      <c r="CV4835" s="242"/>
      <c r="CW4835" s="242"/>
      <c r="CX4835" s="242"/>
      <c r="CY4835" s="242"/>
      <c r="CZ4835" s="242"/>
      <c r="DA4835" s="67" t="s">
        <v>5443</v>
      </c>
      <c r="DB4835" s="67"/>
      <c r="DC4835" s="67"/>
      <c r="DD4835" s="67"/>
      <c r="DE4835" s="67"/>
      <c r="DF4835" s="67"/>
      <c r="DG4835" s="67"/>
      <c r="DH4835" s="67"/>
      <c r="DI4835" s="67"/>
      <c r="DJ4835" s="67"/>
      <c r="DK4835" s="67"/>
      <c r="DL4835" s="67"/>
      <c r="DM4835" s="67"/>
      <c r="DN4835" s="67"/>
      <c r="DO4835" s="67"/>
      <c r="DP4835" s="67"/>
      <c r="DQ4835" s="166"/>
      <c r="DR4835" s="166"/>
      <c r="DS4835" s="163"/>
      <c r="DT4835" s="163"/>
      <c r="DU4835" s="67"/>
      <c r="DV4835" s="67">
        <v>7.77</v>
      </c>
      <c r="DW4835" s="67">
        <v>7.61</v>
      </c>
      <c r="DX4835" s="67"/>
      <c r="DY4835" s="67"/>
      <c r="DZ4835" s="67" t="s">
        <v>5672</v>
      </c>
      <c r="EA4835" s="67"/>
      <c r="EB4835" s="67"/>
      <c r="EC4835" s="67"/>
      <c r="ED4835" s="67"/>
      <c r="EE4835" s="67"/>
      <c r="EF4835" s="67"/>
      <c r="EG4835" s="67"/>
      <c r="EH4835" s="67"/>
      <c r="EI4835" s="67"/>
      <c r="EJ4835" s="67"/>
      <c r="EK4835" s="94"/>
      <c r="EL4835" s="94"/>
      <c r="EM4835" s="67"/>
      <c r="EN4835" s="67"/>
      <c r="EO4835" s="67"/>
      <c r="EP4835" s="67"/>
      <c r="EQ4835" s="67"/>
      <c r="ER4835" s="67"/>
      <c r="ES4835" s="67"/>
      <c r="ET4835" s="67"/>
      <c r="EU4835" s="67"/>
      <c r="EV4835" s="67"/>
      <c r="EW4835" s="67"/>
      <c r="EX4835" s="67"/>
      <c r="EY4835" s="67"/>
      <c r="EZ4835" s="67"/>
      <c r="FA4835" s="67"/>
      <c r="FB4835" s="67"/>
      <c r="FC4835" s="67"/>
      <c r="FD4835" s="67"/>
      <c r="FE4835" s="67"/>
      <c r="FF4835" s="67"/>
      <c r="FG4835" s="67"/>
      <c r="FH4835" s="67"/>
      <c r="FI4835" s="67"/>
      <c r="FJ4835" s="67"/>
      <c r="FK4835" s="67"/>
      <c r="FL4835" s="67"/>
      <c r="FM4835" s="67"/>
      <c r="FN4835" s="67"/>
      <c r="FO4835" s="67"/>
      <c r="FP4835" s="67"/>
      <c r="FQ4835" s="67"/>
      <c r="FR4835" s="67"/>
      <c r="FS4835" s="67"/>
      <c r="FT4835" s="67"/>
      <c r="FU4835" s="67"/>
      <c r="FV4835" s="67"/>
      <c r="FW4835" s="67"/>
      <c r="FX4835" s="67"/>
      <c r="FY4835" s="67"/>
      <c r="FZ4835" s="67"/>
      <c r="GA4835" s="67"/>
      <c r="GB4835" s="67"/>
      <c r="GC4835" s="67"/>
      <c r="GD4835" s="67"/>
      <c r="GE4835" s="67"/>
      <c r="GF4835" s="67"/>
      <c r="GG4835" s="67"/>
      <c r="GH4835" s="67"/>
      <c r="GI4835" s="67"/>
      <c r="GJ4835" s="67"/>
      <c r="GK4835" s="67"/>
      <c r="GL4835" s="67"/>
      <c r="GM4835" s="67"/>
      <c r="GN4835" s="292"/>
      <c r="GO4835" s="292"/>
      <c r="GP4835" s="292" t="s">
        <v>7494</v>
      </c>
      <c r="GQ4835" s="67"/>
      <c r="GR4835" s="67"/>
      <c r="GS4835" s="67"/>
      <c r="GT4835" s="67"/>
      <c r="GU4835" s="67"/>
      <c r="GV4835" s="67"/>
      <c r="GW4835" s="67"/>
      <c r="GX4835" s="67"/>
      <c r="GY4835" s="67"/>
      <c r="GZ4835" s="67"/>
      <c r="HA4835" s="67"/>
      <c r="HB4835" s="67"/>
      <c r="HC4835" s="67"/>
      <c r="HD4835" s="67"/>
      <c r="HE4835" s="67"/>
      <c r="HF4835" s="67"/>
      <c r="HG4835" s="67"/>
      <c r="HH4835" s="67"/>
      <c r="HI4835" s="67"/>
      <c r="HJ4835" s="67"/>
      <c r="HK4835" s="67"/>
      <c r="HL4835" s="67"/>
      <c r="HM4835" s="67"/>
      <c r="HN4835" s="67"/>
      <c r="HO4835" s="67"/>
      <c r="HP4835" s="67"/>
      <c r="HQ4835" s="67"/>
      <c r="HR4835" s="67"/>
      <c r="HS4835" s="67"/>
      <c r="HT4835" s="67"/>
      <c r="HU4835" s="67"/>
      <c r="HV4835" s="67"/>
      <c r="HW4835" s="67"/>
      <c r="HX4835" s="67"/>
      <c r="HY4835" s="67"/>
      <c r="HZ4835" s="67"/>
      <c r="IA4835" s="67"/>
      <c r="IB4835" s="67"/>
      <c r="IC4835" s="67"/>
      <c r="ID4835" s="67"/>
      <c r="IE4835" s="67"/>
      <c r="IF4835" s="67"/>
      <c r="IG4835" s="67"/>
      <c r="IH4835" s="67"/>
      <c r="II4835" s="67"/>
      <c r="IJ4835" s="67"/>
      <c r="IK4835" s="67"/>
      <c r="IL4835" s="67"/>
      <c r="IM4835" s="67"/>
      <c r="IN4835" s="67"/>
      <c r="IO4835" s="67"/>
      <c r="IP4835" s="67"/>
      <c r="IQ4835" s="67"/>
      <c r="IR4835" s="67"/>
      <c r="IS4835" s="67"/>
      <c r="IT4835" s="67"/>
      <c r="IU4835" s="67"/>
      <c r="IV4835" s="67"/>
      <c r="IW4835" s="67"/>
      <c r="IX4835" s="67"/>
      <c r="IY4835" s="67"/>
      <c r="IZ4835" s="67"/>
      <c r="JA4835" s="67"/>
      <c r="JB4835" s="67"/>
      <c r="JC4835" s="67"/>
      <c r="JD4835" s="67"/>
      <c r="JE4835" s="67"/>
      <c r="JF4835" s="67"/>
      <c r="JG4835" s="67"/>
      <c r="JH4835" s="67"/>
      <c r="JI4835" s="67"/>
      <c r="JJ4835" s="67"/>
      <c r="JK4835" s="67"/>
      <c r="JL4835" s="67"/>
      <c r="JM4835" s="67"/>
      <c r="JN4835" s="67"/>
      <c r="JO4835" s="67"/>
      <c r="JP4835" s="67"/>
      <c r="JQ4835" s="67"/>
      <c r="JR4835" s="67"/>
      <c r="JS4835" s="67"/>
      <c r="JT4835" s="67"/>
      <c r="JU4835" s="58"/>
      <c r="JV4835" s="58"/>
      <c r="JW4835" s="58"/>
    </row>
    <row r="4836" spans="1:283" s="23" customFormat="1" x14ac:dyDescent="0.25">
      <c r="A4836" s="55">
        <v>4835</v>
      </c>
      <c r="B4836" s="12" t="s">
        <v>7067</v>
      </c>
      <c r="C4836" s="156">
        <v>217</v>
      </c>
      <c r="D4836" s="58" t="s">
        <v>5671</v>
      </c>
      <c r="E4836" s="160" t="str">
        <f>G4836</f>
        <v>Clark et al 1998_SAFS 3</v>
      </c>
      <c r="F4836" s="160"/>
      <c r="G4836" s="60" t="s">
        <v>4833</v>
      </c>
      <c r="H4836" s="58">
        <v>1998</v>
      </c>
      <c r="I4836" s="58">
        <v>1994</v>
      </c>
      <c r="J4836" s="243" t="s">
        <v>282</v>
      </c>
      <c r="K4836" s="63" t="s">
        <v>5124</v>
      </c>
      <c r="L4836" s="58" t="s">
        <v>2737</v>
      </c>
      <c r="M4836" s="94">
        <f>38+32/60</f>
        <v>38.533333333333331</v>
      </c>
      <c r="N4836" s="94">
        <f>-121-47/60</f>
        <v>-121.78333333333333</v>
      </c>
      <c r="O4836" s="94">
        <v>18</v>
      </c>
      <c r="P4836" s="58"/>
      <c r="Q4836" s="244">
        <v>15.6</v>
      </c>
      <c r="R4836" s="58"/>
      <c r="S4836" s="245">
        <v>450</v>
      </c>
      <c r="T4836" s="58"/>
      <c r="U4836" s="58" t="s">
        <v>1816</v>
      </c>
      <c r="V4836" s="244">
        <v>8</v>
      </c>
      <c r="W4836" s="174"/>
      <c r="X4836" s="174"/>
      <c r="Y4836" s="58" t="s">
        <v>5357</v>
      </c>
      <c r="Z4836" s="244" t="s">
        <v>1357</v>
      </c>
      <c r="AA4836" s="245" t="s">
        <v>1677</v>
      </c>
      <c r="AB4836" s="67"/>
      <c r="AC4836" s="67"/>
      <c r="AD4836" s="245">
        <v>1.3</v>
      </c>
      <c r="AE4836" s="94"/>
      <c r="AF4836" s="94"/>
      <c r="AG4836" s="245">
        <v>14</v>
      </c>
      <c r="AH4836" s="58" t="s">
        <v>6378</v>
      </c>
      <c r="AI4836" s="169"/>
      <c r="AJ4836" s="94"/>
      <c r="AK4836" s="94"/>
      <c r="AL4836" s="58"/>
      <c r="AM4836" s="58" t="s">
        <v>5360</v>
      </c>
      <c r="AN4836" s="186" t="s">
        <v>241</v>
      </c>
      <c r="AO4836" s="185" t="s">
        <v>5150</v>
      </c>
      <c r="AP4836" s="58"/>
      <c r="AQ4836" s="58" t="s">
        <v>553</v>
      </c>
      <c r="AR4836" s="58" t="s">
        <v>5358</v>
      </c>
      <c r="AS4836" s="246" t="s">
        <v>4584</v>
      </c>
      <c r="AT4836" s="247" t="s">
        <v>5359</v>
      </c>
      <c r="AU4836" s="181" t="s">
        <v>5150</v>
      </c>
      <c r="AV4836" s="185" t="s">
        <v>479</v>
      </c>
      <c r="AW4836" s="244" t="s">
        <v>5359</v>
      </c>
      <c r="AX4836" s="185" t="s">
        <v>479</v>
      </c>
      <c r="AY4836" s="244" t="s">
        <v>5150</v>
      </c>
      <c r="AZ4836" s="58"/>
      <c r="BA4836" s="58"/>
      <c r="BB4836" s="58"/>
      <c r="BC4836" s="58"/>
      <c r="BD4836" s="58"/>
      <c r="BE4836" s="236" t="s">
        <v>5161</v>
      </c>
      <c r="BF4836" s="58" t="s">
        <v>479</v>
      </c>
      <c r="BG4836" s="58" t="s">
        <v>479</v>
      </c>
      <c r="BH4836" s="236" t="s">
        <v>5234</v>
      </c>
      <c r="BI4836" s="58" t="s">
        <v>479</v>
      </c>
      <c r="BJ4836" s="58" t="str">
        <f>IF(BE4836=BH4836,"No","yes")</f>
        <v>yes</v>
      </c>
      <c r="BK4836" s="58" t="s">
        <v>6335</v>
      </c>
      <c r="BL4836" s="58"/>
      <c r="BM4836" s="237" t="s">
        <v>160</v>
      </c>
      <c r="BN4836" s="244">
        <v>8</v>
      </c>
      <c r="BO4836" s="244">
        <v>16</v>
      </c>
      <c r="BP4836" s="58"/>
      <c r="BQ4836" s="58"/>
      <c r="BR4836" s="58"/>
      <c r="BS4836" s="58"/>
      <c r="BT4836" s="58"/>
      <c r="BU4836" s="58"/>
      <c r="BV4836" s="58" t="s">
        <v>5666</v>
      </c>
      <c r="BW4836" s="67"/>
      <c r="BX4836" s="67"/>
      <c r="BY4836" s="67"/>
      <c r="BZ4836" s="67"/>
      <c r="CA4836" s="67"/>
      <c r="CB4836" s="70"/>
      <c r="CC4836" s="70"/>
      <c r="CD4836" s="70"/>
      <c r="CE4836" s="67"/>
      <c r="CF4836" s="67"/>
      <c r="CG4836" s="67"/>
      <c r="CH4836" s="94"/>
      <c r="CI4836" s="245"/>
      <c r="CJ4836" s="67"/>
      <c r="CK4836" s="67"/>
      <c r="CL4836" s="67"/>
      <c r="CM4836" s="242">
        <v>0.85</v>
      </c>
      <c r="CN4836" s="242">
        <v>0.84399999999999997</v>
      </c>
      <c r="CO4836" s="242"/>
      <c r="CP4836" s="242"/>
      <c r="CQ4836" s="242" t="s">
        <v>164</v>
      </c>
      <c r="CR4836" s="242"/>
      <c r="CS4836" s="242"/>
      <c r="CT4836" s="242"/>
      <c r="CU4836" s="242"/>
      <c r="CV4836" s="242"/>
      <c r="CW4836" s="242"/>
      <c r="CX4836" s="242"/>
      <c r="CY4836" s="242"/>
      <c r="CZ4836" s="242"/>
      <c r="DA4836" s="67" t="s">
        <v>5443</v>
      </c>
      <c r="DB4836" s="67"/>
      <c r="DC4836" s="67"/>
      <c r="DD4836" s="67"/>
      <c r="DE4836" s="67"/>
      <c r="DF4836" s="67"/>
      <c r="DG4836" s="67"/>
      <c r="DH4836" s="67"/>
      <c r="DI4836" s="67"/>
      <c r="DJ4836" s="67"/>
      <c r="DK4836" s="67"/>
      <c r="DL4836" s="67"/>
      <c r="DM4836" s="67"/>
      <c r="DN4836" s="67"/>
      <c r="DO4836" s="67"/>
      <c r="DP4836" s="67"/>
      <c r="DQ4836" s="166"/>
      <c r="DR4836" s="166"/>
      <c r="DS4836" s="163"/>
      <c r="DT4836" s="163"/>
      <c r="DU4836" s="67"/>
      <c r="DV4836" s="67">
        <v>7.75</v>
      </c>
      <c r="DW4836" s="67">
        <v>7.61</v>
      </c>
      <c r="DX4836" s="67"/>
      <c r="DY4836" s="67"/>
      <c r="DZ4836" s="67" t="s">
        <v>5672</v>
      </c>
      <c r="EA4836" s="67"/>
      <c r="EB4836" s="67"/>
      <c r="EC4836" s="67"/>
      <c r="ED4836" s="67"/>
      <c r="EE4836" s="67"/>
      <c r="EF4836" s="67"/>
      <c r="EG4836" s="67"/>
      <c r="EH4836" s="67"/>
      <c r="EI4836" s="67"/>
      <c r="EJ4836" s="67"/>
      <c r="EK4836" s="94"/>
      <c r="EL4836" s="94"/>
      <c r="EM4836" s="67"/>
      <c r="EN4836" s="67"/>
      <c r="EO4836" s="67"/>
      <c r="EP4836" s="67"/>
      <c r="EQ4836" s="67"/>
      <c r="ER4836" s="67"/>
      <c r="ES4836" s="67"/>
      <c r="ET4836" s="67"/>
      <c r="EU4836" s="67"/>
      <c r="EV4836" s="67"/>
      <c r="EW4836" s="67"/>
      <c r="EX4836" s="67"/>
      <c r="EY4836" s="67"/>
      <c r="EZ4836" s="67"/>
      <c r="FA4836" s="67"/>
      <c r="FB4836" s="67"/>
      <c r="FC4836" s="67"/>
      <c r="FD4836" s="67"/>
      <c r="FE4836" s="67"/>
      <c r="FF4836" s="67"/>
      <c r="FG4836" s="67"/>
      <c r="FH4836" s="67"/>
      <c r="FI4836" s="67"/>
      <c r="FJ4836" s="67"/>
      <c r="FK4836" s="67"/>
      <c r="FL4836" s="67"/>
      <c r="FM4836" s="67"/>
      <c r="FN4836" s="67"/>
      <c r="FO4836" s="67"/>
      <c r="FP4836" s="67"/>
      <c r="FQ4836" s="67"/>
      <c r="FR4836" s="67"/>
      <c r="FS4836" s="67"/>
      <c r="FT4836" s="67"/>
      <c r="FU4836" s="67"/>
      <c r="FV4836" s="67"/>
      <c r="FW4836" s="67"/>
      <c r="FX4836" s="67"/>
      <c r="FY4836" s="67"/>
      <c r="FZ4836" s="67"/>
      <c r="GA4836" s="67"/>
      <c r="GB4836" s="67"/>
      <c r="GC4836" s="67"/>
      <c r="GD4836" s="67"/>
      <c r="GE4836" s="67"/>
      <c r="GF4836" s="67"/>
      <c r="GG4836" s="67"/>
      <c r="GH4836" s="67"/>
      <c r="GI4836" s="67"/>
      <c r="GJ4836" s="67"/>
      <c r="GK4836" s="67"/>
      <c r="GL4836" s="67"/>
      <c r="GM4836" s="67"/>
      <c r="GN4836" s="292"/>
      <c r="GO4836" s="292"/>
      <c r="GP4836" s="292" t="s">
        <v>7494</v>
      </c>
      <c r="GQ4836" s="67"/>
      <c r="GR4836" s="67"/>
      <c r="GS4836" s="67"/>
      <c r="GT4836" s="67"/>
      <c r="GU4836" s="67"/>
      <c r="GV4836" s="67"/>
      <c r="GW4836" s="67"/>
      <c r="GX4836" s="67"/>
      <c r="GY4836" s="67"/>
      <c r="GZ4836" s="67"/>
      <c r="HA4836" s="67"/>
      <c r="HB4836" s="67"/>
      <c r="HC4836" s="67"/>
      <c r="HD4836" s="67"/>
      <c r="HE4836" s="67"/>
      <c r="HF4836" s="67"/>
      <c r="HG4836" s="67"/>
      <c r="HH4836" s="67"/>
      <c r="HI4836" s="67"/>
      <c r="HJ4836" s="67"/>
      <c r="HK4836" s="67"/>
      <c r="HL4836" s="67"/>
      <c r="HM4836" s="67"/>
      <c r="HN4836" s="67"/>
      <c r="HO4836" s="67"/>
      <c r="HP4836" s="67"/>
      <c r="HQ4836" s="67"/>
      <c r="HR4836" s="67"/>
      <c r="HS4836" s="67"/>
      <c r="HT4836" s="67"/>
      <c r="HU4836" s="67"/>
      <c r="HV4836" s="67"/>
      <c r="HW4836" s="67"/>
      <c r="HX4836" s="67"/>
      <c r="HY4836" s="67"/>
      <c r="HZ4836" s="67"/>
      <c r="IA4836" s="67"/>
      <c r="IB4836" s="67"/>
      <c r="IC4836" s="67"/>
      <c r="ID4836" s="67"/>
      <c r="IE4836" s="67"/>
      <c r="IF4836" s="67"/>
      <c r="IG4836" s="67"/>
      <c r="IH4836" s="67"/>
      <c r="II4836" s="67"/>
      <c r="IJ4836" s="67"/>
      <c r="IK4836" s="67"/>
      <c r="IL4836" s="67"/>
      <c r="IM4836" s="67"/>
      <c r="IN4836" s="67"/>
      <c r="IO4836" s="67"/>
      <c r="IP4836" s="67"/>
      <c r="IQ4836" s="67"/>
      <c r="IR4836" s="67"/>
      <c r="IS4836" s="67"/>
      <c r="IT4836" s="67"/>
      <c r="IU4836" s="67"/>
      <c r="IV4836" s="67"/>
      <c r="IW4836" s="67"/>
      <c r="IX4836" s="67"/>
      <c r="IY4836" s="67"/>
      <c r="IZ4836" s="67"/>
      <c r="JA4836" s="67"/>
      <c r="JB4836" s="67"/>
      <c r="JC4836" s="67"/>
      <c r="JD4836" s="67"/>
      <c r="JE4836" s="67"/>
      <c r="JF4836" s="67"/>
      <c r="JG4836" s="67"/>
      <c r="JH4836" s="67"/>
      <c r="JI4836" s="67"/>
      <c r="JJ4836" s="67"/>
      <c r="JK4836" s="67"/>
      <c r="JL4836" s="67"/>
      <c r="JM4836" s="67"/>
      <c r="JN4836" s="67"/>
      <c r="JO4836" s="67"/>
      <c r="JP4836" s="67"/>
      <c r="JQ4836" s="67"/>
      <c r="JR4836" s="67"/>
      <c r="JS4836" s="67"/>
      <c r="JT4836" s="67"/>
      <c r="JU4836" s="58"/>
      <c r="JV4836" s="58"/>
      <c r="JW4836" s="58"/>
    </row>
    <row r="4837" spans="1:283" s="23" customFormat="1" x14ac:dyDescent="0.25">
      <c r="A4837" s="55">
        <v>4836</v>
      </c>
      <c r="B4837" s="12" t="s">
        <v>7067</v>
      </c>
      <c r="C4837" s="156">
        <v>218</v>
      </c>
      <c r="D4837" s="58" t="s">
        <v>4896</v>
      </c>
      <c r="E4837" s="160" t="str">
        <f>G4837</f>
        <v>Delate and Cambardella 2004_1</v>
      </c>
      <c r="F4837" s="160"/>
      <c r="G4837" s="60" t="s">
        <v>4832</v>
      </c>
      <c r="H4837" s="58">
        <v>2004</v>
      </c>
      <c r="I4837" s="58"/>
      <c r="J4837" s="243" t="s">
        <v>282</v>
      </c>
      <c r="K4837" s="63" t="s">
        <v>5123</v>
      </c>
      <c r="L4837" s="58" t="s">
        <v>2737</v>
      </c>
      <c r="M4837" s="94">
        <v>41.88</v>
      </c>
      <c r="N4837" s="94">
        <v>-93.1</v>
      </c>
      <c r="O4837" s="94">
        <v>307</v>
      </c>
      <c r="P4837" s="58"/>
      <c r="Q4837" s="244">
        <v>10.4</v>
      </c>
      <c r="R4837" s="58"/>
      <c r="S4837" s="245">
        <v>880</v>
      </c>
      <c r="T4837" s="58"/>
      <c r="U4837" s="58"/>
      <c r="V4837" s="244">
        <v>4</v>
      </c>
      <c r="W4837" s="174"/>
      <c r="X4837" s="174"/>
      <c r="Y4837" s="58"/>
      <c r="Z4837" s="244" t="s">
        <v>1349</v>
      </c>
      <c r="AA4837" s="245">
        <v>15</v>
      </c>
      <c r="AB4837" s="67"/>
      <c r="AC4837" s="67"/>
      <c r="AD4837" s="94"/>
      <c r="AE4837" s="94"/>
      <c r="AF4837" s="94"/>
      <c r="AG4837" s="245">
        <v>35</v>
      </c>
      <c r="AH4837" s="58"/>
      <c r="AI4837" s="169"/>
      <c r="AJ4837" s="94"/>
      <c r="AK4837" s="94"/>
      <c r="AL4837" s="58"/>
      <c r="AM4837" s="58"/>
      <c r="AN4837" s="186"/>
      <c r="AO4837" s="185" t="s">
        <v>7494</v>
      </c>
      <c r="AP4837" s="58"/>
      <c r="AQ4837" s="58"/>
      <c r="AR4837" s="58"/>
      <c r="AS4837" s="246" t="s">
        <v>5133</v>
      </c>
      <c r="AT4837" s="247">
        <v>0</v>
      </c>
      <c r="AU4837" s="181" t="s">
        <v>7494</v>
      </c>
      <c r="AV4837" s="185" t="s">
        <v>176</v>
      </c>
      <c r="AW4837" s="244">
        <v>1</v>
      </c>
      <c r="AX4837" s="185" t="s">
        <v>176</v>
      </c>
      <c r="AY4837" s="244" t="s">
        <v>5150</v>
      </c>
      <c r="AZ4837" s="58"/>
      <c r="BA4837" s="58"/>
      <c r="BB4837" s="58"/>
      <c r="BC4837" s="58"/>
      <c r="BD4837" s="58"/>
      <c r="BE4837" s="236" t="s">
        <v>5153</v>
      </c>
      <c r="BF4837" s="191" t="s">
        <v>176</v>
      </c>
      <c r="BG4837" s="191" t="s">
        <v>176</v>
      </c>
      <c r="BH4837" s="236" t="s">
        <v>5155</v>
      </c>
      <c r="BI4837" s="191" t="s">
        <v>176</v>
      </c>
      <c r="BJ4837" s="58" t="s">
        <v>176</v>
      </c>
      <c r="BK4837" s="58" t="s">
        <v>6334</v>
      </c>
      <c r="BL4837" s="58"/>
      <c r="BM4837" s="237"/>
      <c r="BN4837" s="244">
        <v>4</v>
      </c>
      <c r="BO4837" s="244">
        <v>4</v>
      </c>
      <c r="BP4837" s="58"/>
      <c r="BQ4837" s="58"/>
      <c r="BR4837" s="58"/>
      <c r="BS4837" s="58"/>
      <c r="BT4837" s="58"/>
      <c r="BU4837" s="58"/>
      <c r="BV4837" s="58"/>
      <c r="BW4837" s="67"/>
      <c r="BX4837" s="67"/>
      <c r="BY4837" s="67"/>
      <c r="BZ4837" s="67"/>
      <c r="CA4837" s="67"/>
      <c r="CB4837" s="70">
        <v>100</v>
      </c>
      <c r="CC4837" s="70">
        <v>107.41</v>
      </c>
      <c r="CD4837" s="70"/>
      <c r="CE4837" s="67"/>
      <c r="CF4837" s="67"/>
      <c r="CG4837" s="67" t="s">
        <v>5152</v>
      </c>
      <c r="CH4837" s="245">
        <v>1.23</v>
      </c>
      <c r="CI4837" s="245">
        <v>1.25</v>
      </c>
      <c r="CJ4837" s="67"/>
      <c r="CK4837" s="67"/>
      <c r="CL4837" s="67"/>
      <c r="CM4837" s="242">
        <v>2.4899999999999998</v>
      </c>
      <c r="CN4837" s="242">
        <v>2.63</v>
      </c>
      <c r="CO4837" s="242">
        <v>0.249</v>
      </c>
      <c r="CP4837" s="242">
        <v>0.26300000000000001</v>
      </c>
      <c r="CQ4837" s="242" t="s">
        <v>164</v>
      </c>
      <c r="CR4837" s="242">
        <v>45.940499999999993</v>
      </c>
      <c r="CS4837" s="242">
        <v>49.312499999999993</v>
      </c>
      <c r="CT4837" s="242">
        <v>4.5940499999999993</v>
      </c>
      <c r="CU4837" s="242">
        <v>4.9312499999999995</v>
      </c>
      <c r="CV4837" s="242" t="s">
        <v>5151</v>
      </c>
      <c r="CW4837" s="242">
        <v>1221.375</v>
      </c>
      <c r="CX4837" s="242">
        <v>1828.1249999999982</v>
      </c>
      <c r="CY4837" s="242">
        <v>122.1375</v>
      </c>
      <c r="CZ4837" s="242">
        <v>182.81249999999983</v>
      </c>
      <c r="DA4837" s="67" t="s">
        <v>5443</v>
      </c>
      <c r="DB4837" s="67"/>
      <c r="DC4837" s="67"/>
      <c r="DD4837" s="67"/>
      <c r="DE4837" s="67"/>
      <c r="DF4837" s="67"/>
      <c r="DG4837" s="67"/>
      <c r="DH4837" s="67"/>
      <c r="DI4837" s="67"/>
      <c r="DJ4837" s="67"/>
      <c r="DK4837" s="67"/>
      <c r="DL4837" s="67"/>
      <c r="DM4837" s="67"/>
      <c r="DN4837" s="67"/>
      <c r="DO4837" s="67"/>
      <c r="DP4837" s="67"/>
      <c r="DQ4837" s="166"/>
      <c r="DR4837" s="166"/>
      <c r="DS4837" s="163"/>
      <c r="DT4837" s="163"/>
      <c r="DU4837" s="67"/>
      <c r="DV4837" s="67"/>
      <c r="DW4837" s="67"/>
      <c r="DX4837" s="67"/>
      <c r="DY4837" s="67"/>
      <c r="DZ4837" s="67"/>
      <c r="EA4837" s="67"/>
      <c r="EB4837" s="67"/>
      <c r="EC4837" s="67"/>
      <c r="ED4837" s="67"/>
      <c r="EE4837" s="67"/>
      <c r="EF4837" s="67"/>
      <c r="EG4837" s="67"/>
      <c r="EH4837" s="67"/>
      <c r="EI4837" s="67"/>
      <c r="EJ4837" s="67"/>
      <c r="EK4837" s="94"/>
      <c r="EL4837" s="94"/>
      <c r="EM4837" s="67"/>
      <c r="EN4837" s="67"/>
      <c r="EO4837" s="67"/>
      <c r="EP4837" s="67"/>
      <c r="EQ4837" s="67"/>
      <c r="ER4837" s="67"/>
      <c r="ES4837" s="67"/>
      <c r="ET4837" s="67"/>
      <c r="EU4837" s="67"/>
      <c r="EV4837" s="67"/>
      <c r="EW4837" s="67"/>
      <c r="EX4837" s="67"/>
      <c r="EY4837" s="67"/>
      <c r="EZ4837" s="67"/>
      <c r="FA4837" s="67"/>
      <c r="FB4837" s="67"/>
      <c r="FC4837" s="67"/>
      <c r="FD4837" s="67"/>
      <c r="FE4837" s="67"/>
      <c r="FF4837" s="67"/>
      <c r="FG4837" s="67"/>
      <c r="FH4837" s="67"/>
      <c r="FI4837" s="67"/>
      <c r="FJ4837" s="67"/>
      <c r="FK4837" s="67"/>
      <c r="FL4837" s="67"/>
      <c r="FM4837" s="67"/>
      <c r="FN4837" s="67"/>
      <c r="FO4837" s="67"/>
      <c r="FP4837" s="67"/>
      <c r="FQ4837" s="67"/>
      <c r="FR4837" s="67"/>
      <c r="FS4837" s="67"/>
      <c r="FT4837" s="67"/>
      <c r="FU4837" s="67"/>
      <c r="FV4837" s="67"/>
      <c r="FW4837" s="67"/>
      <c r="FX4837" s="67"/>
      <c r="FY4837" s="67"/>
      <c r="FZ4837" s="67"/>
      <c r="GA4837" s="67"/>
      <c r="GB4837" s="67"/>
      <c r="GC4837" s="67"/>
      <c r="GD4837" s="67"/>
      <c r="GE4837" s="67"/>
      <c r="GF4837" s="67"/>
      <c r="GG4837" s="67"/>
      <c r="GH4837" s="67"/>
      <c r="GI4837" s="67"/>
      <c r="GJ4837" s="67"/>
      <c r="GK4837" s="67"/>
      <c r="GL4837" s="67"/>
      <c r="GM4837" s="67"/>
      <c r="GN4837" s="292"/>
      <c r="GO4837" s="292"/>
      <c r="GP4837" s="292" t="s">
        <v>7494</v>
      </c>
      <c r="GQ4837" s="67"/>
      <c r="GR4837" s="67"/>
      <c r="GS4837" s="67"/>
      <c r="GT4837" s="67"/>
      <c r="GU4837" s="67"/>
      <c r="GV4837" s="67"/>
      <c r="GW4837" s="67"/>
      <c r="GX4837" s="67"/>
      <c r="GY4837" s="67"/>
      <c r="GZ4837" s="67"/>
      <c r="HA4837" s="67"/>
      <c r="HB4837" s="67"/>
      <c r="HC4837" s="67"/>
      <c r="HD4837" s="67"/>
      <c r="HE4837" s="67"/>
      <c r="HF4837" s="67"/>
      <c r="HG4837" s="67"/>
      <c r="HH4837" s="67"/>
      <c r="HI4837" s="67"/>
      <c r="HJ4837" s="67"/>
      <c r="HK4837" s="67"/>
      <c r="HL4837" s="67"/>
      <c r="HM4837" s="67"/>
      <c r="HN4837" s="67"/>
      <c r="HO4837" s="67"/>
      <c r="HP4837" s="67"/>
      <c r="HQ4837" s="67"/>
      <c r="HR4837" s="67"/>
      <c r="HS4837" s="67"/>
      <c r="HT4837" s="67"/>
      <c r="HU4837" s="67"/>
      <c r="HV4837" s="67"/>
      <c r="HW4837" s="67"/>
      <c r="HX4837" s="67"/>
      <c r="HY4837" s="67"/>
      <c r="HZ4837" s="67"/>
      <c r="IA4837" s="67"/>
      <c r="IB4837" s="67"/>
      <c r="IC4837" s="67"/>
      <c r="ID4837" s="67"/>
      <c r="IE4837" s="67"/>
      <c r="IF4837" s="67"/>
      <c r="IG4837" s="67"/>
      <c r="IH4837" s="67"/>
      <c r="II4837" s="67"/>
      <c r="IJ4837" s="67"/>
      <c r="IK4837" s="67"/>
      <c r="IL4837" s="67"/>
      <c r="IM4837" s="67"/>
      <c r="IN4837" s="67"/>
      <c r="IO4837" s="67"/>
      <c r="IP4837" s="67"/>
      <c r="IQ4837" s="67"/>
      <c r="IR4837" s="67"/>
      <c r="IS4837" s="67"/>
      <c r="IT4837" s="67"/>
      <c r="IU4837" s="67"/>
      <c r="IV4837" s="67"/>
      <c r="IW4837" s="67"/>
      <c r="IX4837" s="67"/>
      <c r="IY4837" s="67"/>
      <c r="IZ4837" s="67"/>
      <c r="JA4837" s="67"/>
      <c r="JB4837" s="67"/>
      <c r="JC4837" s="67"/>
      <c r="JD4837" s="67"/>
      <c r="JE4837" s="67"/>
      <c r="JF4837" s="67"/>
      <c r="JG4837" s="67"/>
      <c r="JH4837" s="67"/>
      <c r="JI4837" s="67"/>
      <c r="JJ4837" s="67"/>
      <c r="JK4837" s="67"/>
      <c r="JL4837" s="67"/>
      <c r="JM4837" s="67"/>
      <c r="JN4837" s="67"/>
      <c r="JO4837" s="67"/>
      <c r="JP4837" s="67"/>
      <c r="JQ4837" s="67"/>
      <c r="JR4837" s="67"/>
      <c r="JS4837" s="67"/>
      <c r="JT4837" s="67"/>
      <c r="JU4837" s="58"/>
      <c r="JV4837" s="58"/>
      <c r="JW4837" s="58"/>
    </row>
    <row r="4838" spans="1:283" s="23" customFormat="1" x14ac:dyDescent="0.25">
      <c r="A4838" s="55">
        <v>4837</v>
      </c>
      <c r="B4838" s="12" t="s">
        <v>7067</v>
      </c>
      <c r="C4838" s="156">
        <v>218</v>
      </c>
      <c r="D4838" s="58" t="s">
        <v>4897</v>
      </c>
      <c r="E4838" s="160" t="str">
        <f>G4838</f>
        <v>Delate and Cambardella 2004_2</v>
      </c>
      <c r="F4838" s="160"/>
      <c r="G4838" s="60" t="s">
        <v>4831</v>
      </c>
      <c r="H4838" s="58">
        <v>2004</v>
      </c>
      <c r="I4838" s="58"/>
      <c r="J4838" s="243" t="s">
        <v>282</v>
      </c>
      <c r="K4838" s="63" t="s">
        <v>5123</v>
      </c>
      <c r="L4838" s="58" t="s">
        <v>2737</v>
      </c>
      <c r="M4838" s="94">
        <v>41.88</v>
      </c>
      <c r="N4838" s="94">
        <v>-93.1</v>
      </c>
      <c r="O4838" s="94">
        <v>307</v>
      </c>
      <c r="P4838" s="58"/>
      <c r="Q4838" s="244">
        <v>10.4</v>
      </c>
      <c r="R4838" s="58"/>
      <c r="S4838" s="245">
        <v>880</v>
      </c>
      <c r="T4838" s="58"/>
      <c r="U4838" s="58"/>
      <c r="V4838" s="244">
        <v>4</v>
      </c>
      <c r="W4838" s="174"/>
      <c r="X4838" s="174"/>
      <c r="Y4838" s="58"/>
      <c r="Z4838" s="244" t="s">
        <v>1349</v>
      </c>
      <c r="AA4838" s="245">
        <v>15</v>
      </c>
      <c r="AB4838" s="67"/>
      <c r="AC4838" s="67"/>
      <c r="AD4838" s="94"/>
      <c r="AE4838" s="94"/>
      <c r="AF4838" s="94"/>
      <c r="AG4838" s="245">
        <v>35</v>
      </c>
      <c r="AH4838" s="58"/>
      <c r="AI4838" s="169"/>
      <c r="AJ4838" s="94"/>
      <c r="AK4838" s="94"/>
      <c r="AL4838" s="58"/>
      <c r="AM4838" s="58"/>
      <c r="AN4838" s="186"/>
      <c r="AO4838" s="185" t="s">
        <v>7494</v>
      </c>
      <c r="AP4838" s="58"/>
      <c r="AQ4838" s="58"/>
      <c r="AR4838" s="58"/>
      <c r="AS4838" s="246" t="s">
        <v>5133</v>
      </c>
      <c r="AT4838" s="247">
        <v>0</v>
      </c>
      <c r="AU4838" s="181" t="s">
        <v>7494</v>
      </c>
      <c r="AV4838" s="185" t="s">
        <v>176</v>
      </c>
      <c r="AW4838" s="244">
        <v>1</v>
      </c>
      <c r="AX4838" s="185" t="s">
        <v>176</v>
      </c>
      <c r="AY4838" s="244" t="s">
        <v>5150</v>
      </c>
      <c r="AZ4838" s="58"/>
      <c r="BA4838" s="58"/>
      <c r="BB4838" s="58"/>
      <c r="BC4838" s="58"/>
      <c r="BD4838" s="58"/>
      <c r="BE4838" s="236" t="s">
        <v>5153</v>
      </c>
      <c r="BF4838" s="191" t="s">
        <v>176</v>
      </c>
      <c r="BG4838" s="191" t="s">
        <v>176</v>
      </c>
      <c r="BH4838" s="236" t="s">
        <v>5155</v>
      </c>
      <c r="BI4838" s="191" t="s">
        <v>176</v>
      </c>
      <c r="BJ4838" s="58" t="s">
        <v>176</v>
      </c>
      <c r="BK4838" s="58" t="s">
        <v>6334</v>
      </c>
      <c r="BL4838" s="58"/>
      <c r="BM4838" s="237"/>
      <c r="BN4838" s="244">
        <v>4</v>
      </c>
      <c r="BO4838" s="244">
        <v>4</v>
      </c>
      <c r="BP4838" s="58"/>
      <c r="BQ4838" s="58"/>
      <c r="BR4838" s="58"/>
      <c r="BS4838" s="58"/>
      <c r="BT4838" s="58"/>
      <c r="BU4838" s="58"/>
      <c r="BV4838" s="58"/>
      <c r="BW4838" s="67"/>
      <c r="BX4838" s="67"/>
      <c r="BY4838" s="67"/>
      <c r="BZ4838" s="67"/>
      <c r="CA4838" s="67"/>
      <c r="CB4838" s="70">
        <v>100</v>
      </c>
      <c r="CC4838" s="70">
        <v>118.52</v>
      </c>
      <c r="CD4838" s="70"/>
      <c r="CE4838" s="67"/>
      <c r="CF4838" s="67"/>
      <c r="CG4838" s="67" t="s">
        <v>5152</v>
      </c>
      <c r="CH4838" s="245">
        <v>1.23</v>
      </c>
      <c r="CI4838" s="245"/>
      <c r="CJ4838" s="67"/>
      <c r="CK4838" s="67"/>
      <c r="CL4838" s="67"/>
      <c r="CM4838" s="242">
        <v>2.4899999999999998</v>
      </c>
      <c r="CN4838" s="242">
        <v>2.6100000000000003</v>
      </c>
      <c r="CO4838" s="242">
        <v>0.249</v>
      </c>
      <c r="CP4838" s="242">
        <v>0.26100000000000007</v>
      </c>
      <c r="CQ4838" s="242" t="s">
        <v>164</v>
      </c>
      <c r="CR4838" s="242">
        <v>45.940499999999993</v>
      </c>
      <c r="CS4838" s="242">
        <v>47.371499999999997</v>
      </c>
      <c r="CT4838" s="242">
        <v>4.5940499999999993</v>
      </c>
      <c r="CU4838" s="242">
        <v>4.7371499999999997</v>
      </c>
      <c r="CV4838" s="242" t="s">
        <v>5151</v>
      </c>
      <c r="CW4838" s="242">
        <v>1221.375</v>
      </c>
      <c r="CX4838" s="242">
        <v>1972.1249999999984</v>
      </c>
      <c r="CY4838" s="242">
        <v>122.1375</v>
      </c>
      <c r="CZ4838" s="242">
        <v>197.21249999999986</v>
      </c>
      <c r="DA4838" s="67" t="s">
        <v>5443</v>
      </c>
      <c r="DB4838" s="67"/>
      <c r="DC4838" s="67"/>
      <c r="DD4838" s="67"/>
      <c r="DE4838" s="67"/>
      <c r="DF4838" s="67"/>
      <c r="DG4838" s="67"/>
      <c r="DH4838" s="67"/>
      <c r="DI4838" s="67"/>
      <c r="DJ4838" s="67"/>
      <c r="DK4838" s="67"/>
      <c r="DL4838" s="67"/>
      <c r="DM4838" s="67"/>
      <c r="DN4838" s="67"/>
      <c r="DO4838" s="67"/>
      <c r="DP4838" s="67"/>
      <c r="DQ4838" s="166"/>
      <c r="DR4838" s="166"/>
      <c r="DS4838" s="163"/>
      <c r="DT4838" s="163"/>
      <c r="DU4838" s="67"/>
      <c r="DV4838" s="67"/>
      <c r="DW4838" s="67"/>
      <c r="DX4838" s="67"/>
      <c r="DY4838" s="67"/>
      <c r="DZ4838" s="67"/>
      <c r="EA4838" s="67"/>
      <c r="EB4838" s="67"/>
      <c r="EC4838" s="67"/>
      <c r="ED4838" s="67"/>
      <c r="EE4838" s="67"/>
      <c r="EF4838" s="67"/>
      <c r="EG4838" s="67"/>
      <c r="EH4838" s="67"/>
      <c r="EI4838" s="67"/>
      <c r="EJ4838" s="67"/>
      <c r="EK4838" s="94"/>
      <c r="EL4838" s="94"/>
      <c r="EM4838" s="67"/>
      <c r="EN4838" s="67"/>
      <c r="EO4838" s="67"/>
      <c r="EP4838" s="67"/>
      <c r="EQ4838" s="67"/>
      <c r="ER4838" s="67"/>
      <c r="ES4838" s="67"/>
      <c r="ET4838" s="67"/>
      <c r="EU4838" s="67"/>
      <c r="EV4838" s="67"/>
      <c r="EW4838" s="67"/>
      <c r="EX4838" s="67"/>
      <c r="EY4838" s="67"/>
      <c r="EZ4838" s="67"/>
      <c r="FA4838" s="67"/>
      <c r="FB4838" s="67"/>
      <c r="FC4838" s="67"/>
      <c r="FD4838" s="67"/>
      <c r="FE4838" s="67"/>
      <c r="FF4838" s="67"/>
      <c r="FG4838" s="67"/>
      <c r="FH4838" s="67"/>
      <c r="FI4838" s="67"/>
      <c r="FJ4838" s="67"/>
      <c r="FK4838" s="67"/>
      <c r="FL4838" s="67"/>
      <c r="FM4838" s="67"/>
      <c r="FN4838" s="67"/>
      <c r="FO4838" s="67"/>
      <c r="FP4838" s="67"/>
      <c r="FQ4838" s="67"/>
      <c r="FR4838" s="67"/>
      <c r="FS4838" s="67"/>
      <c r="FT4838" s="67"/>
      <c r="FU4838" s="67"/>
      <c r="FV4838" s="67"/>
      <c r="FW4838" s="67"/>
      <c r="FX4838" s="67"/>
      <c r="FY4838" s="67"/>
      <c r="FZ4838" s="67"/>
      <c r="GA4838" s="67"/>
      <c r="GB4838" s="67"/>
      <c r="GC4838" s="67"/>
      <c r="GD4838" s="67"/>
      <c r="GE4838" s="67"/>
      <c r="GF4838" s="67"/>
      <c r="GG4838" s="67"/>
      <c r="GH4838" s="67"/>
      <c r="GI4838" s="67"/>
      <c r="GJ4838" s="67"/>
      <c r="GK4838" s="67"/>
      <c r="GL4838" s="67"/>
      <c r="GM4838" s="67"/>
      <c r="GN4838" s="292"/>
      <c r="GO4838" s="292"/>
      <c r="GP4838" s="292" t="s">
        <v>7494</v>
      </c>
      <c r="GQ4838" s="67"/>
      <c r="GR4838" s="67"/>
      <c r="GS4838" s="67"/>
      <c r="GT4838" s="67"/>
      <c r="GU4838" s="67"/>
      <c r="GV4838" s="67"/>
      <c r="GW4838" s="67"/>
      <c r="GX4838" s="67"/>
      <c r="GY4838" s="67"/>
      <c r="GZ4838" s="67"/>
      <c r="HA4838" s="67"/>
      <c r="HB4838" s="67"/>
      <c r="HC4838" s="67"/>
      <c r="HD4838" s="67"/>
      <c r="HE4838" s="67"/>
      <c r="HF4838" s="67"/>
      <c r="HG4838" s="67"/>
      <c r="HH4838" s="67"/>
      <c r="HI4838" s="67"/>
      <c r="HJ4838" s="67"/>
      <c r="HK4838" s="67"/>
      <c r="HL4838" s="67"/>
      <c r="HM4838" s="67"/>
      <c r="HN4838" s="67"/>
      <c r="HO4838" s="67"/>
      <c r="HP4838" s="67"/>
      <c r="HQ4838" s="67"/>
      <c r="HR4838" s="67"/>
      <c r="HS4838" s="67"/>
      <c r="HT4838" s="67"/>
      <c r="HU4838" s="67"/>
      <c r="HV4838" s="67"/>
      <c r="HW4838" s="67"/>
      <c r="HX4838" s="67"/>
      <c r="HY4838" s="67"/>
      <c r="HZ4838" s="67"/>
      <c r="IA4838" s="67"/>
      <c r="IB4838" s="67"/>
      <c r="IC4838" s="67"/>
      <c r="ID4838" s="67"/>
      <c r="IE4838" s="67"/>
      <c r="IF4838" s="67"/>
      <c r="IG4838" s="67"/>
      <c r="IH4838" s="67"/>
      <c r="II4838" s="67"/>
      <c r="IJ4838" s="67"/>
      <c r="IK4838" s="67"/>
      <c r="IL4838" s="67"/>
      <c r="IM4838" s="67"/>
      <c r="IN4838" s="67"/>
      <c r="IO4838" s="67"/>
      <c r="IP4838" s="67"/>
      <c r="IQ4838" s="67"/>
      <c r="IR4838" s="67"/>
      <c r="IS4838" s="67"/>
      <c r="IT4838" s="67"/>
      <c r="IU4838" s="67"/>
      <c r="IV4838" s="67"/>
      <c r="IW4838" s="67"/>
      <c r="IX4838" s="67"/>
      <c r="IY4838" s="67"/>
      <c r="IZ4838" s="67"/>
      <c r="JA4838" s="67"/>
      <c r="JB4838" s="67"/>
      <c r="JC4838" s="67"/>
      <c r="JD4838" s="67"/>
      <c r="JE4838" s="67"/>
      <c r="JF4838" s="67"/>
      <c r="JG4838" s="67"/>
      <c r="JH4838" s="67"/>
      <c r="JI4838" s="67"/>
      <c r="JJ4838" s="67"/>
      <c r="JK4838" s="67"/>
      <c r="JL4838" s="67"/>
      <c r="JM4838" s="67"/>
      <c r="JN4838" s="67"/>
      <c r="JO4838" s="67"/>
      <c r="JP4838" s="67"/>
      <c r="JQ4838" s="67"/>
      <c r="JR4838" s="67"/>
      <c r="JS4838" s="67"/>
      <c r="JT4838" s="67"/>
      <c r="JU4838" s="58"/>
      <c r="JV4838" s="58"/>
      <c r="JW4838" s="58"/>
    </row>
    <row r="4839" spans="1:283" s="23" customFormat="1" x14ac:dyDescent="0.25">
      <c r="A4839" s="55">
        <v>4838</v>
      </c>
      <c r="B4839" s="12" t="s">
        <v>7067</v>
      </c>
      <c r="C4839" s="156">
        <v>218</v>
      </c>
      <c r="D4839" s="58" t="s">
        <v>4898</v>
      </c>
      <c r="E4839" s="160" t="str">
        <f>G4839</f>
        <v>Delate and Cambardella 2004_3</v>
      </c>
      <c r="F4839" s="160"/>
      <c r="G4839" s="60" t="s">
        <v>4830</v>
      </c>
      <c r="H4839" s="58">
        <v>2004</v>
      </c>
      <c r="I4839" s="58"/>
      <c r="J4839" s="243" t="s">
        <v>282</v>
      </c>
      <c r="K4839" s="63" t="s">
        <v>5123</v>
      </c>
      <c r="L4839" s="58" t="s">
        <v>2737</v>
      </c>
      <c r="M4839" s="94">
        <v>41.88</v>
      </c>
      <c r="N4839" s="94">
        <v>-93.1</v>
      </c>
      <c r="O4839" s="94">
        <v>307</v>
      </c>
      <c r="P4839" s="58"/>
      <c r="Q4839" s="244">
        <v>10.4</v>
      </c>
      <c r="R4839" s="58"/>
      <c r="S4839" s="245">
        <v>880</v>
      </c>
      <c r="T4839" s="58"/>
      <c r="U4839" s="58"/>
      <c r="V4839" s="244">
        <v>4</v>
      </c>
      <c r="W4839" s="174"/>
      <c r="X4839" s="174"/>
      <c r="Y4839" s="58"/>
      <c r="Z4839" s="244" t="s">
        <v>1349</v>
      </c>
      <c r="AA4839" s="245">
        <v>15</v>
      </c>
      <c r="AB4839" s="67"/>
      <c r="AC4839" s="67"/>
      <c r="AD4839" s="94"/>
      <c r="AE4839" s="94"/>
      <c r="AF4839" s="94"/>
      <c r="AG4839" s="245">
        <v>35</v>
      </c>
      <c r="AH4839" s="58"/>
      <c r="AI4839" s="169"/>
      <c r="AJ4839" s="94"/>
      <c r="AK4839" s="94"/>
      <c r="AL4839" s="58"/>
      <c r="AM4839" s="58"/>
      <c r="AN4839" s="186"/>
      <c r="AO4839" s="185" t="s">
        <v>7494</v>
      </c>
      <c r="AP4839" s="58"/>
      <c r="AQ4839" s="58"/>
      <c r="AR4839" s="58"/>
      <c r="AS4839" s="246" t="s">
        <v>5133</v>
      </c>
      <c r="AT4839" s="247">
        <v>0</v>
      </c>
      <c r="AU4839" s="181" t="s">
        <v>7494</v>
      </c>
      <c r="AV4839" s="185" t="s">
        <v>176</v>
      </c>
      <c r="AW4839" s="244">
        <v>0</v>
      </c>
      <c r="AX4839" s="185" t="s">
        <v>176</v>
      </c>
      <c r="AY4839" s="244" t="s">
        <v>176</v>
      </c>
      <c r="AZ4839" s="58"/>
      <c r="BA4839" s="58"/>
      <c r="BB4839" s="58"/>
      <c r="BC4839" s="58"/>
      <c r="BD4839" s="58"/>
      <c r="BE4839" s="236" t="s">
        <v>5153</v>
      </c>
      <c r="BF4839" s="191" t="s">
        <v>176</v>
      </c>
      <c r="BG4839" s="191" t="s">
        <v>176</v>
      </c>
      <c r="BH4839" s="236" t="s">
        <v>5153</v>
      </c>
      <c r="BI4839" s="191" t="s">
        <v>176</v>
      </c>
      <c r="BJ4839" s="58" t="s">
        <v>176</v>
      </c>
      <c r="BK4839" s="58" t="s">
        <v>6334</v>
      </c>
      <c r="BL4839" s="58"/>
      <c r="BM4839" s="237"/>
      <c r="BN4839" s="244">
        <v>4</v>
      </c>
      <c r="BO4839" s="244">
        <v>4</v>
      </c>
      <c r="BP4839" s="58"/>
      <c r="BQ4839" s="58"/>
      <c r="BR4839" s="58"/>
      <c r="BS4839" s="58"/>
      <c r="BT4839" s="58"/>
      <c r="BU4839" s="58"/>
      <c r="BV4839" s="58"/>
      <c r="BW4839" s="67"/>
      <c r="BX4839" s="67"/>
      <c r="BY4839" s="67"/>
      <c r="BZ4839" s="67"/>
      <c r="CA4839" s="67"/>
      <c r="CB4839" s="70"/>
      <c r="CC4839" s="70"/>
      <c r="CD4839" s="70"/>
      <c r="CE4839" s="67"/>
      <c r="CF4839" s="67"/>
      <c r="CG4839" s="67" t="s">
        <v>5152</v>
      </c>
      <c r="CH4839" s="245">
        <v>1.23</v>
      </c>
      <c r="CI4839" s="245">
        <v>1.22</v>
      </c>
      <c r="CJ4839" s="67"/>
      <c r="CK4839" s="67"/>
      <c r="CL4839" s="67"/>
      <c r="CM4839" s="242">
        <v>2.4899999999999998</v>
      </c>
      <c r="CN4839" s="242">
        <v>2.57</v>
      </c>
      <c r="CO4839" s="242">
        <v>0.249</v>
      </c>
      <c r="CP4839" s="242">
        <v>0.25700000000000001</v>
      </c>
      <c r="CQ4839" s="242" t="s">
        <v>164</v>
      </c>
      <c r="CR4839" s="242">
        <v>45.940499999999993</v>
      </c>
      <c r="CS4839" s="242">
        <v>47.030999999999992</v>
      </c>
      <c r="CT4839" s="242">
        <v>4.5940499999999993</v>
      </c>
      <c r="CU4839" s="242">
        <v>4.7030999999999992</v>
      </c>
      <c r="CV4839" s="242" t="s">
        <v>5151</v>
      </c>
      <c r="CW4839" s="242">
        <v>1221.375</v>
      </c>
      <c r="CX4839" s="242">
        <v>2192.9999999999959</v>
      </c>
      <c r="CY4839" s="242">
        <v>122.1375</v>
      </c>
      <c r="CZ4839" s="242">
        <v>219.29999999999961</v>
      </c>
      <c r="DA4839" s="67" t="s">
        <v>5443</v>
      </c>
      <c r="DB4839" s="67"/>
      <c r="DC4839" s="67"/>
      <c r="DD4839" s="67"/>
      <c r="DE4839" s="67"/>
      <c r="DF4839" s="67"/>
      <c r="DG4839" s="67"/>
      <c r="DH4839" s="67"/>
      <c r="DI4839" s="67"/>
      <c r="DJ4839" s="67"/>
      <c r="DK4839" s="67"/>
      <c r="DL4839" s="67"/>
      <c r="DM4839" s="67"/>
      <c r="DN4839" s="67"/>
      <c r="DO4839" s="67"/>
      <c r="DP4839" s="67"/>
      <c r="DQ4839" s="166"/>
      <c r="DR4839" s="166"/>
      <c r="DS4839" s="163"/>
      <c r="DT4839" s="163"/>
      <c r="DU4839" s="67"/>
      <c r="DV4839" s="67"/>
      <c r="DW4839" s="67"/>
      <c r="DX4839" s="67"/>
      <c r="DY4839" s="67"/>
      <c r="DZ4839" s="67"/>
      <c r="EA4839" s="67"/>
      <c r="EB4839" s="67"/>
      <c r="EC4839" s="67"/>
      <c r="ED4839" s="67"/>
      <c r="EE4839" s="67"/>
      <c r="EF4839" s="67"/>
      <c r="EG4839" s="67"/>
      <c r="EH4839" s="67"/>
      <c r="EI4839" s="67"/>
      <c r="EJ4839" s="67"/>
      <c r="EK4839" s="94"/>
      <c r="EL4839" s="94"/>
      <c r="EM4839" s="67"/>
      <c r="EN4839" s="67"/>
      <c r="EO4839" s="67"/>
      <c r="EP4839" s="67"/>
      <c r="EQ4839" s="67"/>
      <c r="ER4839" s="67"/>
      <c r="ES4839" s="67"/>
      <c r="ET4839" s="67"/>
      <c r="EU4839" s="67"/>
      <c r="EV4839" s="67"/>
      <c r="EW4839" s="67"/>
      <c r="EX4839" s="67"/>
      <c r="EY4839" s="67"/>
      <c r="EZ4839" s="67"/>
      <c r="FA4839" s="67"/>
      <c r="FB4839" s="67"/>
      <c r="FC4839" s="67"/>
      <c r="FD4839" s="67"/>
      <c r="FE4839" s="67"/>
      <c r="FF4839" s="67"/>
      <c r="FG4839" s="67"/>
      <c r="FH4839" s="67"/>
      <c r="FI4839" s="67"/>
      <c r="FJ4839" s="67"/>
      <c r="FK4839" s="67"/>
      <c r="FL4839" s="67"/>
      <c r="FM4839" s="67"/>
      <c r="FN4839" s="67"/>
      <c r="FO4839" s="67"/>
      <c r="FP4839" s="67"/>
      <c r="FQ4839" s="67"/>
      <c r="FR4839" s="67"/>
      <c r="FS4839" s="67"/>
      <c r="FT4839" s="67"/>
      <c r="FU4839" s="67"/>
      <c r="FV4839" s="67"/>
      <c r="FW4839" s="67"/>
      <c r="FX4839" s="67"/>
      <c r="FY4839" s="67"/>
      <c r="FZ4839" s="67"/>
      <c r="GA4839" s="67"/>
      <c r="GB4839" s="67"/>
      <c r="GC4839" s="67"/>
      <c r="GD4839" s="67"/>
      <c r="GE4839" s="67"/>
      <c r="GF4839" s="67"/>
      <c r="GG4839" s="67"/>
      <c r="GH4839" s="67"/>
      <c r="GI4839" s="67"/>
      <c r="GJ4839" s="67"/>
      <c r="GK4839" s="67"/>
      <c r="GL4839" s="67"/>
      <c r="GM4839" s="67"/>
      <c r="GN4839" s="292"/>
      <c r="GO4839" s="292"/>
      <c r="GP4839" s="292" t="s">
        <v>7494</v>
      </c>
      <c r="GQ4839" s="67"/>
      <c r="GR4839" s="67"/>
      <c r="GS4839" s="67"/>
      <c r="GT4839" s="67"/>
      <c r="GU4839" s="67"/>
      <c r="GV4839" s="67"/>
      <c r="GW4839" s="67"/>
      <c r="GX4839" s="67"/>
      <c r="GY4839" s="67"/>
      <c r="GZ4839" s="67"/>
      <c r="HA4839" s="67"/>
      <c r="HB4839" s="67"/>
      <c r="HC4839" s="67"/>
      <c r="HD4839" s="67"/>
      <c r="HE4839" s="67"/>
      <c r="HF4839" s="67"/>
      <c r="HG4839" s="67"/>
      <c r="HH4839" s="67"/>
      <c r="HI4839" s="67"/>
      <c r="HJ4839" s="67"/>
      <c r="HK4839" s="67"/>
      <c r="HL4839" s="67"/>
      <c r="HM4839" s="67"/>
      <c r="HN4839" s="67"/>
      <c r="HO4839" s="67"/>
      <c r="HP4839" s="67"/>
      <c r="HQ4839" s="67"/>
      <c r="HR4839" s="67"/>
      <c r="HS4839" s="67"/>
      <c r="HT4839" s="67"/>
      <c r="HU4839" s="67"/>
      <c r="HV4839" s="67"/>
      <c r="HW4839" s="67"/>
      <c r="HX4839" s="67"/>
      <c r="HY4839" s="67"/>
      <c r="HZ4839" s="67"/>
      <c r="IA4839" s="67"/>
      <c r="IB4839" s="67"/>
      <c r="IC4839" s="67"/>
      <c r="ID4839" s="67"/>
      <c r="IE4839" s="67"/>
      <c r="IF4839" s="67"/>
      <c r="IG4839" s="67"/>
      <c r="IH4839" s="67"/>
      <c r="II4839" s="67"/>
      <c r="IJ4839" s="67"/>
      <c r="IK4839" s="67"/>
      <c r="IL4839" s="67"/>
      <c r="IM4839" s="67"/>
      <c r="IN4839" s="67"/>
      <c r="IO4839" s="67"/>
      <c r="IP4839" s="67"/>
      <c r="IQ4839" s="67"/>
      <c r="IR4839" s="67"/>
      <c r="IS4839" s="67"/>
      <c r="IT4839" s="67"/>
      <c r="IU4839" s="67"/>
      <c r="IV4839" s="67"/>
      <c r="IW4839" s="67"/>
      <c r="IX4839" s="67"/>
      <c r="IY4839" s="67"/>
      <c r="IZ4839" s="67"/>
      <c r="JA4839" s="67"/>
      <c r="JB4839" s="67"/>
      <c r="JC4839" s="67"/>
      <c r="JD4839" s="67"/>
      <c r="JE4839" s="67"/>
      <c r="JF4839" s="67"/>
      <c r="JG4839" s="67"/>
      <c r="JH4839" s="67"/>
      <c r="JI4839" s="67"/>
      <c r="JJ4839" s="67"/>
      <c r="JK4839" s="67"/>
      <c r="JL4839" s="67"/>
      <c r="JM4839" s="67"/>
      <c r="JN4839" s="67"/>
      <c r="JO4839" s="67"/>
      <c r="JP4839" s="67"/>
      <c r="JQ4839" s="67"/>
      <c r="JR4839" s="67"/>
      <c r="JS4839" s="67"/>
      <c r="JT4839" s="67"/>
      <c r="JU4839" s="58"/>
      <c r="JV4839" s="58"/>
      <c r="JW4839" s="58"/>
    </row>
    <row r="4840" spans="1:283" s="23" customFormat="1" x14ac:dyDescent="0.25">
      <c r="A4840" s="55">
        <v>4839</v>
      </c>
      <c r="B4840" s="12" t="s">
        <v>7067</v>
      </c>
      <c r="C4840" s="156">
        <v>219</v>
      </c>
      <c r="D4840" s="58" t="s">
        <v>4899</v>
      </c>
      <c r="E4840" s="160" t="str">
        <f>G4840</f>
        <v>Deria et al. 2003_site 1</v>
      </c>
      <c r="F4840" s="160"/>
      <c r="G4840" s="60" t="s">
        <v>4829</v>
      </c>
      <c r="H4840" s="58">
        <v>2003</v>
      </c>
      <c r="I4840" s="58">
        <v>1993</v>
      </c>
      <c r="J4840" s="243" t="s">
        <v>1426</v>
      </c>
      <c r="K4840" s="63" t="s">
        <v>5122</v>
      </c>
      <c r="L4840" s="58" t="s">
        <v>2746</v>
      </c>
      <c r="M4840" s="94">
        <f>-29-13/60</f>
        <v>-29.216666666666665</v>
      </c>
      <c r="N4840" s="94">
        <f>116</f>
        <v>116</v>
      </c>
      <c r="O4840" s="94">
        <v>287</v>
      </c>
      <c r="P4840" s="58"/>
      <c r="Q4840" s="244">
        <v>18.600000000000001</v>
      </c>
      <c r="R4840" s="58"/>
      <c r="S4840" s="245">
        <v>753</v>
      </c>
      <c r="T4840" s="58"/>
      <c r="U4840" s="58" t="s">
        <v>1805</v>
      </c>
      <c r="V4840" s="244">
        <v>4</v>
      </c>
      <c r="W4840" s="174"/>
      <c r="X4840" s="174"/>
      <c r="Y4840" s="58" t="s">
        <v>5361</v>
      </c>
      <c r="Z4840" s="244" t="s">
        <v>1355</v>
      </c>
      <c r="AA4840" s="245">
        <v>10</v>
      </c>
      <c r="AB4840" s="67">
        <v>4.4000000000000004</v>
      </c>
      <c r="AC4840" s="67" t="s">
        <v>7002</v>
      </c>
      <c r="AD4840" s="94"/>
      <c r="AE4840" s="94"/>
      <c r="AF4840" s="94"/>
      <c r="AG4840" s="245"/>
      <c r="AH4840" s="58"/>
      <c r="AI4840" s="169"/>
      <c r="AJ4840" s="94"/>
      <c r="AK4840" s="94"/>
      <c r="AL4840" s="58"/>
      <c r="AM4840" s="58"/>
      <c r="AN4840" s="186"/>
      <c r="AO4840" s="185" t="s">
        <v>7494</v>
      </c>
      <c r="AP4840" s="58"/>
      <c r="AQ4840" s="58"/>
      <c r="AR4840" s="58" t="s">
        <v>116</v>
      </c>
      <c r="AS4840" s="58" t="s">
        <v>116</v>
      </c>
      <c r="AT4840" s="247"/>
      <c r="AU4840" s="181" t="s">
        <v>7494</v>
      </c>
      <c r="AV4840" s="185" t="s">
        <v>176</v>
      </c>
      <c r="AW4840" s="244"/>
      <c r="AX4840" s="185" t="s">
        <v>176</v>
      </c>
      <c r="AY4840" s="244"/>
      <c r="AZ4840" s="58"/>
      <c r="BA4840" s="58"/>
      <c r="BB4840" s="58"/>
      <c r="BC4840" s="58"/>
      <c r="BD4840" s="58"/>
      <c r="BE4840" s="236" t="s">
        <v>5162</v>
      </c>
      <c r="BF4840" s="191" t="s">
        <v>479</v>
      </c>
      <c r="BG4840" s="191" t="s">
        <v>479</v>
      </c>
      <c r="BH4840" s="236" t="s">
        <v>5155</v>
      </c>
      <c r="BI4840" s="191" t="s">
        <v>479</v>
      </c>
      <c r="BJ4840" s="58" t="str">
        <f>IF(BE4840=BH4840,"No","yes")</f>
        <v>yes</v>
      </c>
      <c r="BK4840" s="58" t="s">
        <v>6334</v>
      </c>
      <c r="BL4840" s="58"/>
      <c r="BM4840" s="237"/>
      <c r="BN4840" s="244">
        <v>4</v>
      </c>
      <c r="BO4840" s="244">
        <v>4</v>
      </c>
      <c r="BP4840" s="58"/>
      <c r="BQ4840" s="58"/>
      <c r="BR4840" s="58"/>
      <c r="BS4840" s="58"/>
      <c r="BT4840" s="58"/>
      <c r="BU4840" s="58"/>
      <c r="BV4840" s="58"/>
      <c r="BW4840" s="67">
        <v>3216</v>
      </c>
      <c r="BX4840" s="67">
        <v>3416</v>
      </c>
      <c r="BY4840" s="67"/>
      <c r="BZ4840" s="67"/>
      <c r="CA4840" s="67" t="s">
        <v>5673</v>
      </c>
      <c r="CB4840" s="70">
        <v>2663</v>
      </c>
      <c r="CC4840" s="70">
        <v>2732</v>
      </c>
      <c r="CD4840" s="70"/>
      <c r="CE4840" s="67"/>
      <c r="CF4840" s="67"/>
      <c r="CG4840" s="67" t="s">
        <v>545</v>
      </c>
      <c r="CH4840" s="245"/>
      <c r="CI4840" s="245"/>
      <c r="CJ4840" s="67"/>
      <c r="CK4840" s="67"/>
      <c r="CL4840" s="67"/>
      <c r="CM4840" s="242">
        <v>0.54</v>
      </c>
      <c r="CN4840" s="242">
        <v>0.4</v>
      </c>
      <c r="CO4840" s="242"/>
      <c r="CP4840" s="242"/>
      <c r="CQ4840" s="242" t="s">
        <v>164</v>
      </c>
      <c r="CR4840" s="242"/>
      <c r="CS4840" s="242"/>
      <c r="CT4840" s="242"/>
      <c r="CU4840" s="242"/>
      <c r="CV4840" s="242"/>
      <c r="CW4840" s="242"/>
      <c r="CX4840" s="242"/>
      <c r="CY4840" s="242"/>
      <c r="CZ4840" s="242"/>
      <c r="DA4840" s="67" t="s">
        <v>5443</v>
      </c>
      <c r="DB4840" s="67"/>
      <c r="DC4840" s="67"/>
      <c r="DD4840" s="67"/>
      <c r="DE4840" s="67"/>
      <c r="DF4840" s="67"/>
      <c r="DG4840" s="67">
        <v>21</v>
      </c>
      <c r="DH4840" s="67">
        <v>28</v>
      </c>
      <c r="DI4840" s="67"/>
      <c r="DJ4840" s="67"/>
      <c r="DK4840" s="67" t="s">
        <v>5674</v>
      </c>
      <c r="DL4840" s="67">
        <v>305</v>
      </c>
      <c r="DM4840" s="67">
        <v>366</v>
      </c>
      <c r="DN4840" s="67"/>
      <c r="DO4840" s="67"/>
      <c r="DP4840" s="67" t="s">
        <v>5675</v>
      </c>
      <c r="DQ4840" s="166">
        <v>5.6</v>
      </c>
      <c r="DR4840" s="166">
        <v>5.2</v>
      </c>
      <c r="DS4840" s="163"/>
      <c r="DT4840" s="163"/>
      <c r="DU4840" s="67"/>
      <c r="DV4840" s="67">
        <v>4.4000000000000004</v>
      </c>
      <c r="DW4840" s="67">
        <v>2.7</v>
      </c>
      <c r="DX4840" s="67"/>
      <c r="DY4840" s="67"/>
      <c r="DZ4840" s="67" t="s">
        <v>2242</v>
      </c>
      <c r="EA4840" s="67">
        <v>0.05</v>
      </c>
      <c r="EB4840" s="67">
        <v>0.02</v>
      </c>
      <c r="EC4840" s="67"/>
      <c r="ED4840" s="67"/>
      <c r="EE4840" s="67" t="s">
        <v>5628</v>
      </c>
      <c r="EF4840" s="67"/>
      <c r="EG4840" s="67"/>
      <c r="EH4840" s="67"/>
      <c r="EI4840" s="67"/>
      <c r="EJ4840" s="67"/>
      <c r="EK4840" s="94"/>
      <c r="EL4840" s="94"/>
      <c r="EM4840" s="67"/>
      <c r="EN4840" s="67"/>
      <c r="EO4840" s="67"/>
      <c r="EP4840" s="67"/>
      <c r="EQ4840" s="67"/>
      <c r="ER4840" s="67"/>
      <c r="ES4840" s="67"/>
      <c r="ET4840" s="67"/>
      <c r="EU4840" s="67"/>
      <c r="EV4840" s="67"/>
      <c r="EW4840" s="67"/>
      <c r="EX4840" s="67"/>
      <c r="EY4840" s="67"/>
      <c r="EZ4840" s="67"/>
      <c r="FA4840" s="67"/>
      <c r="FB4840" s="67"/>
      <c r="FC4840" s="67"/>
      <c r="FD4840" s="67"/>
      <c r="FE4840" s="67"/>
      <c r="FF4840" s="67"/>
      <c r="FG4840" s="67"/>
      <c r="FH4840" s="67"/>
      <c r="FI4840" s="67"/>
      <c r="FJ4840" s="67"/>
      <c r="FK4840" s="67"/>
      <c r="FL4840" s="67"/>
      <c r="FM4840" s="67"/>
      <c r="FN4840" s="67"/>
      <c r="FO4840" s="67"/>
      <c r="FP4840" s="67"/>
      <c r="FQ4840" s="67"/>
      <c r="FR4840" s="67"/>
      <c r="FS4840" s="67"/>
      <c r="FT4840" s="67"/>
      <c r="FU4840" s="67"/>
      <c r="FV4840" s="67"/>
      <c r="FW4840" s="67"/>
      <c r="FX4840" s="67"/>
      <c r="FY4840" s="67"/>
      <c r="FZ4840" s="67"/>
      <c r="GA4840" s="67"/>
      <c r="GB4840" s="67"/>
      <c r="GC4840" s="67"/>
      <c r="GD4840" s="67"/>
      <c r="GE4840" s="67"/>
      <c r="GF4840" s="67"/>
      <c r="GG4840" s="67"/>
      <c r="GH4840" s="67"/>
      <c r="GI4840" s="67"/>
      <c r="GJ4840" s="67"/>
      <c r="GK4840" s="67"/>
      <c r="GL4840" s="67"/>
      <c r="GM4840" s="67"/>
      <c r="GN4840" s="292"/>
      <c r="GO4840" s="292"/>
      <c r="GP4840" s="292" t="s">
        <v>7494</v>
      </c>
      <c r="GQ4840" s="67"/>
      <c r="GR4840" s="67"/>
      <c r="GS4840" s="67"/>
      <c r="GT4840" s="67"/>
      <c r="GU4840" s="67"/>
      <c r="GV4840" s="67"/>
      <c r="GW4840" s="67"/>
      <c r="GX4840" s="67"/>
      <c r="GY4840" s="67"/>
      <c r="GZ4840" s="67"/>
      <c r="HA4840" s="67"/>
      <c r="HB4840" s="67"/>
      <c r="HC4840" s="67"/>
      <c r="HD4840" s="67"/>
      <c r="HE4840" s="67"/>
      <c r="HF4840" s="67"/>
      <c r="HG4840" s="67"/>
      <c r="HH4840" s="67"/>
      <c r="HI4840" s="67"/>
      <c r="HJ4840" s="67"/>
      <c r="HK4840" s="67"/>
      <c r="HL4840" s="67"/>
      <c r="HM4840" s="67"/>
      <c r="HN4840" s="67"/>
      <c r="HO4840" s="67"/>
      <c r="HP4840" s="67"/>
      <c r="HQ4840" s="67"/>
      <c r="HR4840" s="67"/>
      <c r="HS4840" s="67"/>
      <c r="HT4840" s="67"/>
      <c r="HU4840" s="67"/>
      <c r="HV4840" s="67"/>
      <c r="HW4840" s="67"/>
      <c r="HX4840" s="67"/>
      <c r="HY4840" s="67"/>
      <c r="HZ4840" s="67"/>
      <c r="IA4840" s="67"/>
      <c r="IB4840" s="67"/>
      <c r="IC4840" s="67">
        <v>7</v>
      </c>
      <c r="ID4840" s="67">
        <v>7</v>
      </c>
      <c r="IE4840" s="67"/>
      <c r="IF4840" s="67"/>
      <c r="IG4840" s="67" t="s">
        <v>2242</v>
      </c>
      <c r="IH4840" s="67"/>
      <c r="II4840" s="67"/>
      <c r="IJ4840" s="67"/>
      <c r="IK4840" s="67"/>
      <c r="IL4840" s="67"/>
      <c r="IM4840" s="67"/>
      <c r="IN4840" s="67"/>
      <c r="IO4840" s="67"/>
      <c r="IP4840" s="67"/>
      <c r="IQ4840" s="67"/>
      <c r="IR4840" s="67"/>
      <c r="IS4840" s="67"/>
      <c r="IT4840" s="67"/>
      <c r="IU4840" s="67"/>
      <c r="IV4840" s="67"/>
      <c r="IW4840" s="67"/>
      <c r="IX4840" s="67"/>
      <c r="IY4840" s="67"/>
      <c r="IZ4840" s="67"/>
      <c r="JA4840" s="67"/>
      <c r="JB4840" s="67"/>
      <c r="JC4840" s="67"/>
      <c r="JD4840" s="67"/>
      <c r="JE4840" s="67"/>
      <c r="JF4840" s="67"/>
      <c r="JG4840" s="67"/>
      <c r="JH4840" s="67"/>
      <c r="JI4840" s="67"/>
      <c r="JJ4840" s="67"/>
      <c r="JK4840" s="67"/>
      <c r="JL4840" s="67"/>
      <c r="JM4840" s="67"/>
      <c r="JN4840" s="67"/>
      <c r="JO4840" s="67"/>
      <c r="JP4840" s="67"/>
      <c r="JQ4840" s="67"/>
      <c r="JR4840" s="67"/>
      <c r="JS4840" s="67"/>
      <c r="JT4840" s="67"/>
      <c r="JU4840" s="58"/>
      <c r="JV4840" s="58"/>
      <c r="JW4840" s="58"/>
    </row>
    <row r="4841" spans="1:283" s="23" customFormat="1" x14ac:dyDescent="0.25">
      <c r="A4841" s="55">
        <v>4840</v>
      </c>
      <c r="B4841" s="12" t="s">
        <v>7067</v>
      </c>
      <c r="C4841" s="156">
        <v>219</v>
      </c>
      <c r="D4841" s="58" t="s">
        <v>4900</v>
      </c>
      <c r="E4841" s="160" t="str">
        <f>G4841</f>
        <v>Deria et al. 2003_site 2</v>
      </c>
      <c r="F4841" s="160"/>
      <c r="G4841" s="60" t="s">
        <v>4828</v>
      </c>
      <c r="H4841" s="58">
        <v>2003</v>
      </c>
      <c r="I4841" s="58">
        <v>1993</v>
      </c>
      <c r="J4841" s="243" t="s">
        <v>1426</v>
      </c>
      <c r="K4841" s="63" t="s">
        <v>5122</v>
      </c>
      <c r="L4841" s="58" t="s">
        <v>2746</v>
      </c>
      <c r="M4841" s="94">
        <f>-29-13/60</f>
        <v>-29.216666666666665</v>
      </c>
      <c r="N4841" s="94">
        <f>116</f>
        <v>116</v>
      </c>
      <c r="O4841" s="94">
        <v>287</v>
      </c>
      <c r="P4841" s="58"/>
      <c r="Q4841" s="244">
        <v>18.600000000000001</v>
      </c>
      <c r="R4841" s="58"/>
      <c r="S4841" s="245">
        <v>753</v>
      </c>
      <c r="T4841" s="58"/>
      <c r="U4841" s="58" t="s">
        <v>1805</v>
      </c>
      <c r="V4841" s="244">
        <v>4</v>
      </c>
      <c r="W4841" s="174"/>
      <c r="X4841" s="174"/>
      <c r="Y4841" s="58" t="s">
        <v>5361</v>
      </c>
      <c r="Z4841" s="244" t="s">
        <v>1355</v>
      </c>
      <c r="AA4841" s="245">
        <v>10</v>
      </c>
      <c r="AB4841" s="67">
        <v>4.7</v>
      </c>
      <c r="AC4841" s="67" t="s">
        <v>7002</v>
      </c>
      <c r="AD4841" s="94"/>
      <c r="AE4841" s="94"/>
      <c r="AF4841" s="94"/>
      <c r="AG4841" s="245"/>
      <c r="AH4841" s="58"/>
      <c r="AI4841" s="169"/>
      <c r="AJ4841" s="94"/>
      <c r="AK4841" s="94"/>
      <c r="AL4841" s="58"/>
      <c r="AM4841" s="58"/>
      <c r="AN4841" s="186"/>
      <c r="AO4841" s="185" t="s">
        <v>7494</v>
      </c>
      <c r="AP4841" s="58"/>
      <c r="AQ4841" s="58"/>
      <c r="AR4841" s="58" t="s">
        <v>116</v>
      </c>
      <c r="AS4841" s="58" t="s">
        <v>116</v>
      </c>
      <c r="AT4841" s="247"/>
      <c r="AU4841" s="181" t="s">
        <v>7494</v>
      </c>
      <c r="AV4841" s="185" t="s">
        <v>176</v>
      </c>
      <c r="AW4841" s="244"/>
      <c r="AX4841" s="185" t="s">
        <v>176</v>
      </c>
      <c r="AY4841" s="244"/>
      <c r="AZ4841" s="58"/>
      <c r="BA4841" s="58"/>
      <c r="BB4841" s="58"/>
      <c r="BC4841" s="58"/>
      <c r="BD4841" s="58"/>
      <c r="BE4841" s="236" t="s">
        <v>5163</v>
      </c>
      <c r="BF4841" s="191" t="s">
        <v>479</v>
      </c>
      <c r="BG4841" s="191" t="s">
        <v>479</v>
      </c>
      <c r="BH4841" s="236" t="s">
        <v>5235</v>
      </c>
      <c r="BI4841" s="191" t="s">
        <v>479</v>
      </c>
      <c r="BJ4841" s="58" t="str">
        <f>IF(BE4841=BH4841,"No","yes")</f>
        <v>yes</v>
      </c>
      <c r="BK4841" s="58" t="s">
        <v>6334</v>
      </c>
      <c r="BL4841" s="58"/>
      <c r="BM4841" s="237"/>
      <c r="BN4841" s="244">
        <v>4</v>
      </c>
      <c r="BO4841" s="244">
        <v>4</v>
      </c>
      <c r="BP4841" s="58"/>
      <c r="BQ4841" s="58"/>
      <c r="BR4841" s="58"/>
      <c r="BS4841" s="58"/>
      <c r="BT4841" s="58"/>
      <c r="BU4841" s="58"/>
      <c r="BV4841" s="58"/>
      <c r="BW4841" s="67">
        <v>3218</v>
      </c>
      <c r="BX4841" s="67">
        <v>3405</v>
      </c>
      <c r="BY4841" s="67"/>
      <c r="BZ4841" s="67"/>
      <c r="CA4841" s="67" t="s">
        <v>5673</v>
      </c>
      <c r="CB4841" s="70">
        <v>2023</v>
      </c>
      <c r="CC4841" s="70">
        <v>2423</v>
      </c>
      <c r="CD4841" s="70"/>
      <c r="CE4841" s="67"/>
      <c r="CF4841" s="67"/>
      <c r="CG4841" s="67" t="s">
        <v>545</v>
      </c>
      <c r="CH4841" s="245"/>
      <c r="CI4841" s="245"/>
      <c r="CJ4841" s="67"/>
      <c r="CK4841" s="67"/>
      <c r="CL4841" s="67"/>
      <c r="CM4841" s="242">
        <v>0.95</v>
      </c>
      <c r="CN4841" s="242">
        <v>0.91</v>
      </c>
      <c r="CO4841" s="242"/>
      <c r="CP4841" s="242"/>
      <c r="CQ4841" s="242" t="s">
        <v>164</v>
      </c>
      <c r="CR4841" s="242"/>
      <c r="CS4841" s="242"/>
      <c r="CT4841" s="242"/>
      <c r="CU4841" s="242"/>
      <c r="CV4841" s="242"/>
      <c r="CW4841" s="242"/>
      <c r="CX4841" s="242"/>
      <c r="CY4841" s="242"/>
      <c r="CZ4841" s="242"/>
      <c r="DA4841" s="67" t="s">
        <v>5443</v>
      </c>
      <c r="DB4841" s="67"/>
      <c r="DC4841" s="67"/>
      <c r="DD4841" s="67"/>
      <c r="DE4841" s="67"/>
      <c r="DF4841" s="67"/>
      <c r="DG4841" s="67">
        <v>19</v>
      </c>
      <c r="DH4841" s="67">
        <v>19</v>
      </c>
      <c r="DI4841" s="67"/>
      <c r="DJ4841" s="67"/>
      <c r="DK4841" s="67" t="s">
        <v>5674</v>
      </c>
      <c r="DL4841" s="67">
        <v>231</v>
      </c>
      <c r="DM4841" s="67">
        <v>265</v>
      </c>
      <c r="DN4841" s="67"/>
      <c r="DO4841" s="67"/>
      <c r="DP4841" s="67" t="s">
        <v>5675</v>
      </c>
      <c r="DQ4841" s="166">
        <v>6</v>
      </c>
      <c r="DR4841" s="166">
        <v>5.7</v>
      </c>
      <c r="DS4841" s="163"/>
      <c r="DT4841" s="163"/>
      <c r="DU4841" s="67"/>
      <c r="DV4841" s="67">
        <v>4.7</v>
      </c>
      <c r="DW4841" s="67">
        <v>3.3</v>
      </c>
      <c r="DX4841" s="67"/>
      <c r="DY4841" s="67"/>
      <c r="DZ4841" s="67" t="s">
        <v>2242</v>
      </c>
      <c r="EA4841" s="67">
        <v>0.05</v>
      </c>
      <c r="EB4841" s="67">
        <v>0.05</v>
      </c>
      <c r="EC4841" s="67"/>
      <c r="ED4841" s="67"/>
      <c r="EE4841" s="67" t="s">
        <v>5628</v>
      </c>
      <c r="EF4841" s="67"/>
      <c r="EG4841" s="67"/>
      <c r="EH4841" s="67"/>
      <c r="EI4841" s="67"/>
      <c r="EJ4841" s="67"/>
      <c r="EK4841" s="94"/>
      <c r="EL4841" s="94"/>
      <c r="EM4841" s="67"/>
      <c r="EN4841" s="67"/>
      <c r="EO4841" s="67"/>
      <c r="EP4841" s="67"/>
      <c r="EQ4841" s="67"/>
      <c r="ER4841" s="67"/>
      <c r="ES4841" s="67"/>
      <c r="ET4841" s="67"/>
      <c r="EU4841" s="67"/>
      <c r="EV4841" s="67"/>
      <c r="EW4841" s="67"/>
      <c r="EX4841" s="67"/>
      <c r="EY4841" s="67"/>
      <c r="EZ4841" s="67"/>
      <c r="FA4841" s="67"/>
      <c r="FB4841" s="67"/>
      <c r="FC4841" s="67"/>
      <c r="FD4841" s="67"/>
      <c r="FE4841" s="67"/>
      <c r="FF4841" s="67"/>
      <c r="FG4841" s="67"/>
      <c r="FH4841" s="67"/>
      <c r="FI4841" s="67"/>
      <c r="FJ4841" s="67"/>
      <c r="FK4841" s="67"/>
      <c r="FL4841" s="67"/>
      <c r="FM4841" s="67"/>
      <c r="FN4841" s="67"/>
      <c r="FO4841" s="67"/>
      <c r="FP4841" s="67"/>
      <c r="FQ4841" s="67"/>
      <c r="FR4841" s="67"/>
      <c r="FS4841" s="67"/>
      <c r="FT4841" s="67"/>
      <c r="FU4841" s="67"/>
      <c r="FV4841" s="67"/>
      <c r="FW4841" s="67"/>
      <c r="FX4841" s="67"/>
      <c r="FY4841" s="67"/>
      <c r="FZ4841" s="67"/>
      <c r="GA4841" s="67"/>
      <c r="GB4841" s="67"/>
      <c r="GC4841" s="67"/>
      <c r="GD4841" s="67"/>
      <c r="GE4841" s="67"/>
      <c r="GF4841" s="67"/>
      <c r="GG4841" s="67"/>
      <c r="GH4841" s="67"/>
      <c r="GI4841" s="67"/>
      <c r="GJ4841" s="67"/>
      <c r="GK4841" s="67"/>
      <c r="GL4841" s="67"/>
      <c r="GM4841" s="67"/>
      <c r="GN4841" s="292"/>
      <c r="GO4841" s="292"/>
      <c r="GP4841" s="292" t="s">
        <v>7494</v>
      </c>
      <c r="GQ4841" s="67"/>
      <c r="GR4841" s="67"/>
      <c r="GS4841" s="67"/>
      <c r="GT4841" s="67"/>
      <c r="GU4841" s="67"/>
      <c r="GV4841" s="67"/>
      <c r="GW4841" s="67"/>
      <c r="GX4841" s="67"/>
      <c r="GY4841" s="67"/>
      <c r="GZ4841" s="67"/>
      <c r="HA4841" s="67"/>
      <c r="HB4841" s="67"/>
      <c r="HC4841" s="67"/>
      <c r="HD4841" s="67"/>
      <c r="HE4841" s="67"/>
      <c r="HF4841" s="67"/>
      <c r="HG4841" s="67"/>
      <c r="HH4841" s="67"/>
      <c r="HI4841" s="67"/>
      <c r="HJ4841" s="67"/>
      <c r="HK4841" s="67"/>
      <c r="HL4841" s="67"/>
      <c r="HM4841" s="67"/>
      <c r="HN4841" s="67"/>
      <c r="HO4841" s="67"/>
      <c r="HP4841" s="67"/>
      <c r="HQ4841" s="67"/>
      <c r="HR4841" s="67"/>
      <c r="HS4841" s="67"/>
      <c r="HT4841" s="67"/>
      <c r="HU4841" s="67"/>
      <c r="HV4841" s="67"/>
      <c r="HW4841" s="67"/>
      <c r="HX4841" s="67"/>
      <c r="HY4841" s="67"/>
      <c r="HZ4841" s="67"/>
      <c r="IA4841" s="67"/>
      <c r="IB4841" s="67"/>
      <c r="IC4841" s="67">
        <v>9</v>
      </c>
      <c r="ID4841" s="67">
        <v>9</v>
      </c>
      <c r="IE4841" s="67"/>
      <c r="IF4841" s="67"/>
      <c r="IG4841" s="67" t="s">
        <v>2242</v>
      </c>
      <c r="IH4841" s="67"/>
      <c r="II4841" s="67"/>
      <c r="IJ4841" s="67"/>
      <c r="IK4841" s="67"/>
      <c r="IL4841" s="67"/>
      <c r="IM4841" s="67"/>
      <c r="IN4841" s="67"/>
      <c r="IO4841" s="67"/>
      <c r="IP4841" s="67"/>
      <c r="IQ4841" s="67"/>
      <c r="IR4841" s="67"/>
      <c r="IS4841" s="67"/>
      <c r="IT4841" s="67"/>
      <c r="IU4841" s="67"/>
      <c r="IV4841" s="67"/>
      <c r="IW4841" s="67"/>
      <c r="IX4841" s="67"/>
      <c r="IY4841" s="67"/>
      <c r="IZ4841" s="67"/>
      <c r="JA4841" s="67"/>
      <c r="JB4841" s="67"/>
      <c r="JC4841" s="67"/>
      <c r="JD4841" s="67"/>
      <c r="JE4841" s="67"/>
      <c r="JF4841" s="67"/>
      <c r="JG4841" s="67"/>
      <c r="JH4841" s="67"/>
      <c r="JI4841" s="67"/>
      <c r="JJ4841" s="67"/>
      <c r="JK4841" s="67"/>
      <c r="JL4841" s="67"/>
      <c r="JM4841" s="67"/>
      <c r="JN4841" s="67"/>
      <c r="JO4841" s="67"/>
      <c r="JP4841" s="67"/>
      <c r="JQ4841" s="67"/>
      <c r="JR4841" s="67"/>
      <c r="JS4841" s="67"/>
      <c r="JT4841" s="67"/>
      <c r="JU4841" s="58"/>
      <c r="JV4841" s="58"/>
      <c r="JW4841" s="58"/>
    </row>
    <row r="4842" spans="1:283" s="23" customFormat="1" x14ac:dyDescent="0.25">
      <c r="A4842" s="55">
        <v>4841</v>
      </c>
      <c r="B4842" s="12" t="s">
        <v>7067</v>
      </c>
      <c r="C4842" s="156">
        <v>219</v>
      </c>
      <c r="D4842" s="58" t="s">
        <v>4901</v>
      </c>
      <c r="E4842" s="160" t="str">
        <f>G4842</f>
        <v>Deria et al. 2003_site 3</v>
      </c>
      <c r="F4842" s="160"/>
      <c r="G4842" s="60" t="s">
        <v>4827</v>
      </c>
      <c r="H4842" s="58">
        <v>2003</v>
      </c>
      <c r="I4842" s="58">
        <v>1993</v>
      </c>
      <c r="J4842" s="243" t="s">
        <v>1426</v>
      </c>
      <c r="K4842" s="63" t="s">
        <v>5122</v>
      </c>
      <c r="L4842" s="58" t="s">
        <v>2746</v>
      </c>
      <c r="M4842" s="94">
        <f>-29-13/60</f>
        <v>-29.216666666666665</v>
      </c>
      <c r="N4842" s="94">
        <f>116</f>
        <v>116</v>
      </c>
      <c r="O4842" s="94">
        <v>287</v>
      </c>
      <c r="P4842" s="58"/>
      <c r="Q4842" s="244">
        <v>18.600000000000001</v>
      </c>
      <c r="R4842" s="58"/>
      <c r="S4842" s="245">
        <v>753</v>
      </c>
      <c r="T4842" s="58"/>
      <c r="U4842" s="58" t="s">
        <v>1805</v>
      </c>
      <c r="V4842" s="244">
        <v>4</v>
      </c>
      <c r="W4842" s="174"/>
      <c r="X4842" s="174"/>
      <c r="Y4842" s="58" t="s">
        <v>5361</v>
      </c>
      <c r="Z4842" s="244" t="s">
        <v>1355</v>
      </c>
      <c r="AA4842" s="245">
        <v>10</v>
      </c>
      <c r="AB4842" s="67"/>
      <c r="AC4842" s="67"/>
      <c r="AD4842" s="94"/>
      <c r="AE4842" s="94"/>
      <c r="AF4842" s="94"/>
      <c r="AG4842" s="245"/>
      <c r="AH4842" s="58"/>
      <c r="AI4842" s="169"/>
      <c r="AJ4842" s="94"/>
      <c r="AK4842" s="94"/>
      <c r="AL4842" s="58"/>
      <c r="AM4842" s="58"/>
      <c r="AN4842" s="186"/>
      <c r="AO4842" s="185" t="s">
        <v>7494</v>
      </c>
      <c r="AP4842" s="58"/>
      <c r="AQ4842" s="58"/>
      <c r="AR4842" s="58" t="s">
        <v>116</v>
      </c>
      <c r="AS4842" s="58" t="s">
        <v>116</v>
      </c>
      <c r="AT4842" s="247"/>
      <c r="AU4842" s="181" t="s">
        <v>7494</v>
      </c>
      <c r="AV4842" s="185" t="s">
        <v>176</v>
      </c>
      <c r="AW4842" s="244"/>
      <c r="AX4842" s="185" t="s">
        <v>176</v>
      </c>
      <c r="AY4842" s="244"/>
      <c r="AZ4842" s="58"/>
      <c r="BA4842" s="58"/>
      <c r="BB4842" s="58"/>
      <c r="BC4842" s="58"/>
      <c r="BD4842" s="58"/>
      <c r="BE4842" s="236" t="s">
        <v>5162</v>
      </c>
      <c r="BF4842" s="191" t="s">
        <v>479</v>
      </c>
      <c r="BG4842" s="191" t="s">
        <v>479</v>
      </c>
      <c r="BH4842" s="236" t="s">
        <v>5155</v>
      </c>
      <c r="BI4842" s="191" t="s">
        <v>479</v>
      </c>
      <c r="BJ4842" s="58" t="str">
        <f>IF(BE4842=BH4842,"No","yes")</f>
        <v>yes</v>
      </c>
      <c r="BK4842" s="58" t="s">
        <v>6334</v>
      </c>
      <c r="BL4842" s="58"/>
      <c r="BM4842" s="237"/>
      <c r="BN4842" s="244">
        <v>4</v>
      </c>
      <c r="BO4842" s="244">
        <v>4</v>
      </c>
      <c r="BP4842" s="58"/>
      <c r="BQ4842" s="58"/>
      <c r="BR4842" s="58"/>
      <c r="BS4842" s="58"/>
      <c r="BT4842" s="58"/>
      <c r="BU4842" s="58"/>
      <c r="BV4842" s="58"/>
      <c r="BW4842" s="67">
        <v>9307</v>
      </c>
      <c r="BX4842" s="67">
        <v>3178</v>
      </c>
      <c r="BY4842" s="67"/>
      <c r="BZ4842" s="67"/>
      <c r="CA4842" s="67" t="s">
        <v>5673</v>
      </c>
      <c r="CB4842" s="70">
        <v>5038</v>
      </c>
      <c r="CC4842" s="70">
        <v>1790</v>
      </c>
      <c r="CD4842" s="70"/>
      <c r="CE4842" s="67"/>
      <c r="CF4842" s="67"/>
      <c r="CG4842" s="67" t="s">
        <v>545</v>
      </c>
      <c r="CH4842" s="245"/>
      <c r="CI4842" s="245"/>
      <c r="CJ4842" s="67"/>
      <c r="CK4842" s="67"/>
      <c r="CL4842" s="67"/>
      <c r="CM4842" s="242">
        <v>0.53</v>
      </c>
      <c r="CN4842" s="242">
        <v>0.55000000000000004</v>
      </c>
      <c r="CO4842" s="242"/>
      <c r="CP4842" s="242"/>
      <c r="CQ4842" s="242" t="s">
        <v>164</v>
      </c>
      <c r="CR4842" s="242"/>
      <c r="CS4842" s="242"/>
      <c r="CT4842" s="242"/>
      <c r="CU4842" s="242"/>
      <c r="CV4842" s="242"/>
      <c r="CW4842" s="242"/>
      <c r="CX4842" s="242"/>
      <c r="CY4842" s="242"/>
      <c r="CZ4842" s="242"/>
      <c r="DA4842" s="67" t="s">
        <v>5443</v>
      </c>
      <c r="DB4842" s="67"/>
      <c r="DC4842" s="67"/>
      <c r="DD4842" s="67"/>
      <c r="DE4842" s="67"/>
      <c r="DF4842" s="67"/>
      <c r="DG4842" s="67">
        <v>11</v>
      </c>
      <c r="DH4842" s="67">
        <v>8</v>
      </c>
      <c r="DI4842" s="67"/>
      <c r="DJ4842" s="67"/>
      <c r="DK4842" s="67" t="s">
        <v>5674</v>
      </c>
      <c r="DL4842" s="67">
        <v>186</v>
      </c>
      <c r="DM4842" s="67">
        <v>115</v>
      </c>
      <c r="DN4842" s="67"/>
      <c r="DO4842" s="67"/>
      <c r="DP4842" s="67" t="s">
        <v>5675</v>
      </c>
      <c r="DQ4842" s="166">
        <v>6.6</v>
      </c>
      <c r="DR4842" s="166">
        <v>5.8</v>
      </c>
      <c r="DS4842" s="163"/>
      <c r="DT4842" s="163"/>
      <c r="DU4842" s="67"/>
      <c r="DV4842" s="67"/>
      <c r="DW4842" s="67"/>
      <c r="DX4842" s="67"/>
      <c r="DY4842" s="67"/>
      <c r="DZ4842" s="67"/>
      <c r="EA4842" s="67">
        <v>0.03</v>
      </c>
      <c r="EB4842" s="67">
        <v>0.04</v>
      </c>
      <c r="EC4842" s="67"/>
      <c r="ED4842" s="67"/>
      <c r="EE4842" s="67" t="s">
        <v>5628</v>
      </c>
      <c r="EF4842" s="67"/>
      <c r="EG4842" s="67"/>
      <c r="EH4842" s="67"/>
      <c r="EI4842" s="67"/>
      <c r="EJ4842" s="67"/>
      <c r="EK4842" s="94"/>
      <c r="EL4842" s="94"/>
      <c r="EM4842" s="67"/>
      <c r="EN4842" s="67"/>
      <c r="EO4842" s="67"/>
      <c r="EP4842" s="67"/>
      <c r="EQ4842" s="67"/>
      <c r="ER4842" s="67"/>
      <c r="ES4842" s="67"/>
      <c r="ET4842" s="67"/>
      <c r="EU4842" s="67"/>
      <c r="EV4842" s="67"/>
      <c r="EW4842" s="67"/>
      <c r="EX4842" s="67"/>
      <c r="EY4842" s="67"/>
      <c r="EZ4842" s="67"/>
      <c r="FA4842" s="67"/>
      <c r="FB4842" s="67"/>
      <c r="FC4842" s="67"/>
      <c r="FD4842" s="67"/>
      <c r="FE4842" s="67"/>
      <c r="FF4842" s="67"/>
      <c r="FG4842" s="67"/>
      <c r="FH4842" s="67"/>
      <c r="FI4842" s="67"/>
      <c r="FJ4842" s="67"/>
      <c r="FK4842" s="67"/>
      <c r="FL4842" s="67"/>
      <c r="FM4842" s="67"/>
      <c r="FN4842" s="67"/>
      <c r="FO4842" s="67"/>
      <c r="FP4842" s="67"/>
      <c r="FQ4842" s="67"/>
      <c r="FR4842" s="67"/>
      <c r="FS4842" s="67"/>
      <c r="FT4842" s="67"/>
      <c r="FU4842" s="67"/>
      <c r="FV4842" s="67"/>
      <c r="FW4842" s="67"/>
      <c r="FX4842" s="67"/>
      <c r="FY4842" s="67"/>
      <c r="FZ4842" s="67"/>
      <c r="GA4842" s="67"/>
      <c r="GB4842" s="67"/>
      <c r="GC4842" s="67"/>
      <c r="GD4842" s="67"/>
      <c r="GE4842" s="67"/>
      <c r="GF4842" s="67"/>
      <c r="GG4842" s="67"/>
      <c r="GH4842" s="67"/>
      <c r="GI4842" s="67"/>
      <c r="GJ4842" s="67"/>
      <c r="GK4842" s="67"/>
      <c r="GL4842" s="67"/>
      <c r="GM4842" s="67"/>
      <c r="GN4842" s="292"/>
      <c r="GO4842" s="292"/>
      <c r="GP4842" s="292" t="s">
        <v>7494</v>
      </c>
      <c r="GQ4842" s="67"/>
      <c r="GR4842" s="67"/>
      <c r="GS4842" s="67"/>
      <c r="GT4842" s="67"/>
      <c r="GU4842" s="67"/>
      <c r="GV4842" s="67"/>
      <c r="GW4842" s="67"/>
      <c r="GX4842" s="67"/>
      <c r="GY4842" s="67"/>
      <c r="GZ4842" s="67"/>
      <c r="HA4842" s="67"/>
      <c r="HB4842" s="67"/>
      <c r="HC4842" s="67"/>
      <c r="HD4842" s="67"/>
      <c r="HE4842" s="67"/>
      <c r="HF4842" s="67"/>
      <c r="HG4842" s="67"/>
      <c r="HH4842" s="67"/>
      <c r="HI4842" s="67"/>
      <c r="HJ4842" s="67"/>
      <c r="HK4842" s="67"/>
      <c r="HL4842" s="67"/>
      <c r="HM4842" s="67"/>
      <c r="HN4842" s="67"/>
      <c r="HO4842" s="67"/>
      <c r="HP4842" s="67"/>
      <c r="HQ4842" s="67"/>
      <c r="HR4842" s="67"/>
      <c r="HS4842" s="67"/>
      <c r="HT4842" s="67"/>
      <c r="HU4842" s="67"/>
      <c r="HV4842" s="67"/>
      <c r="HW4842" s="67"/>
      <c r="HX4842" s="67"/>
      <c r="HY4842" s="67"/>
      <c r="HZ4842" s="67"/>
      <c r="IA4842" s="67"/>
      <c r="IB4842" s="67"/>
      <c r="IC4842" s="67">
        <v>7</v>
      </c>
      <c r="ID4842" s="67">
        <v>8</v>
      </c>
      <c r="IE4842" s="67"/>
      <c r="IF4842" s="67"/>
      <c r="IG4842" s="67" t="s">
        <v>2242</v>
      </c>
      <c r="IH4842" s="67"/>
      <c r="II4842" s="67"/>
      <c r="IJ4842" s="67"/>
      <c r="IK4842" s="67"/>
      <c r="IL4842" s="67"/>
      <c r="IM4842" s="67"/>
      <c r="IN4842" s="67"/>
      <c r="IO4842" s="67"/>
      <c r="IP4842" s="67"/>
      <c r="IQ4842" s="67"/>
      <c r="IR4842" s="67"/>
      <c r="IS4842" s="67"/>
      <c r="IT4842" s="67"/>
      <c r="IU4842" s="67"/>
      <c r="IV4842" s="67"/>
      <c r="IW4842" s="67"/>
      <c r="IX4842" s="67"/>
      <c r="IY4842" s="67"/>
      <c r="IZ4842" s="67"/>
      <c r="JA4842" s="67"/>
      <c r="JB4842" s="67"/>
      <c r="JC4842" s="67"/>
      <c r="JD4842" s="67"/>
      <c r="JE4842" s="67"/>
      <c r="JF4842" s="67"/>
      <c r="JG4842" s="67"/>
      <c r="JH4842" s="67"/>
      <c r="JI4842" s="67"/>
      <c r="JJ4842" s="67"/>
      <c r="JK4842" s="67"/>
      <c r="JL4842" s="67"/>
      <c r="JM4842" s="67"/>
      <c r="JN4842" s="67"/>
      <c r="JO4842" s="67"/>
      <c r="JP4842" s="67"/>
      <c r="JQ4842" s="67"/>
      <c r="JR4842" s="67"/>
      <c r="JS4842" s="67"/>
      <c r="JT4842" s="67"/>
      <c r="JU4842" s="58"/>
      <c r="JV4842" s="58"/>
      <c r="JW4842" s="58"/>
    </row>
    <row r="4843" spans="1:283" s="23" customFormat="1" x14ac:dyDescent="0.25">
      <c r="A4843" s="55">
        <v>4842</v>
      </c>
      <c r="B4843" s="12" t="s">
        <v>7067</v>
      </c>
      <c r="C4843" s="156">
        <v>219</v>
      </c>
      <c r="D4843" s="58" t="s">
        <v>4902</v>
      </c>
      <c r="E4843" s="160" t="str">
        <f>G4843</f>
        <v>Deria et al. 2003_site 4</v>
      </c>
      <c r="F4843" s="160"/>
      <c r="G4843" s="60" t="s">
        <v>4826</v>
      </c>
      <c r="H4843" s="58">
        <v>2003</v>
      </c>
      <c r="I4843" s="58">
        <v>1993</v>
      </c>
      <c r="J4843" s="243" t="s">
        <v>1426</v>
      </c>
      <c r="K4843" s="63" t="s">
        <v>5122</v>
      </c>
      <c r="L4843" s="58" t="s">
        <v>2746</v>
      </c>
      <c r="M4843" s="94">
        <f>-29-13/60</f>
        <v>-29.216666666666665</v>
      </c>
      <c r="N4843" s="94">
        <f>116</f>
        <v>116</v>
      </c>
      <c r="O4843" s="94">
        <v>287</v>
      </c>
      <c r="P4843" s="58"/>
      <c r="Q4843" s="244">
        <v>18.600000000000001</v>
      </c>
      <c r="R4843" s="58"/>
      <c r="S4843" s="245">
        <v>753</v>
      </c>
      <c r="T4843" s="58"/>
      <c r="U4843" s="58" t="s">
        <v>1805</v>
      </c>
      <c r="V4843" s="244">
        <v>4</v>
      </c>
      <c r="W4843" s="174"/>
      <c r="X4843" s="174"/>
      <c r="Y4843" s="58" t="s">
        <v>5361</v>
      </c>
      <c r="Z4843" s="244" t="s">
        <v>1355</v>
      </c>
      <c r="AA4843" s="245">
        <v>10</v>
      </c>
      <c r="AB4843" s="67"/>
      <c r="AC4843" s="67"/>
      <c r="AD4843" s="94"/>
      <c r="AE4843" s="94"/>
      <c r="AF4843" s="94"/>
      <c r="AG4843" s="245"/>
      <c r="AH4843" s="58"/>
      <c r="AI4843" s="169"/>
      <c r="AJ4843" s="94"/>
      <c r="AK4843" s="94"/>
      <c r="AL4843" s="58"/>
      <c r="AM4843" s="58"/>
      <c r="AN4843" s="186"/>
      <c r="AO4843" s="185" t="s">
        <v>7494</v>
      </c>
      <c r="AP4843" s="58"/>
      <c r="AQ4843" s="58"/>
      <c r="AR4843" s="58" t="s">
        <v>116</v>
      </c>
      <c r="AS4843" s="58" t="s">
        <v>116</v>
      </c>
      <c r="AT4843" s="247"/>
      <c r="AU4843" s="181" t="s">
        <v>7494</v>
      </c>
      <c r="AV4843" s="185" t="s">
        <v>176</v>
      </c>
      <c r="AW4843" s="244"/>
      <c r="AX4843" s="185" t="s">
        <v>176</v>
      </c>
      <c r="AY4843" s="244"/>
      <c r="AZ4843" s="58"/>
      <c r="BA4843" s="58"/>
      <c r="BB4843" s="58"/>
      <c r="BC4843" s="58"/>
      <c r="BD4843" s="58"/>
      <c r="BE4843" s="236" t="s">
        <v>5164</v>
      </c>
      <c r="BF4843" s="191" t="s">
        <v>479</v>
      </c>
      <c r="BG4843" s="191" t="s">
        <v>479</v>
      </c>
      <c r="BH4843" s="236" t="s">
        <v>5155</v>
      </c>
      <c r="BI4843" s="191" t="s">
        <v>479</v>
      </c>
      <c r="BJ4843" s="58" t="str">
        <f>IF(BE4843=BH4843,"No","yes")</f>
        <v>yes</v>
      </c>
      <c r="BK4843" s="58" t="s">
        <v>6334</v>
      </c>
      <c r="BL4843" s="58"/>
      <c r="BM4843" s="237"/>
      <c r="BN4843" s="244">
        <v>4</v>
      </c>
      <c r="BO4843" s="244">
        <v>4</v>
      </c>
      <c r="BP4843" s="58"/>
      <c r="BQ4843" s="58"/>
      <c r="BR4843" s="58"/>
      <c r="BS4843" s="58"/>
      <c r="BT4843" s="58"/>
      <c r="BU4843" s="58"/>
      <c r="BV4843" s="58"/>
      <c r="BW4843" s="67">
        <v>4811</v>
      </c>
      <c r="BX4843" s="67">
        <v>4940</v>
      </c>
      <c r="BY4843" s="67"/>
      <c r="BZ4843" s="67"/>
      <c r="CA4843" s="67" t="s">
        <v>5673</v>
      </c>
      <c r="CB4843" s="70">
        <v>1566</v>
      </c>
      <c r="CC4843" s="70">
        <v>1181</v>
      </c>
      <c r="CD4843" s="70"/>
      <c r="CE4843" s="67"/>
      <c r="CF4843" s="67"/>
      <c r="CG4843" s="67" t="s">
        <v>545</v>
      </c>
      <c r="CH4843" s="245"/>
      <c r="CI4843" s="245"/>
      <c r="CJ4843" s="67"/>
      <c r="CK4843" s="67"/>
      <c r="CL4843" s="67"/>
      <c r="CM4843" s="242">
        <v>0.68</v>
      </c>
      <c r="CN4843" s="242">
        <v>0.55000000000000004</v>
      </c>
      <c r="CO4843" s="242"/>
      <c r="CP4843" s="242"/>
      <c r="CQ4843" s="242" t="s">
        <v>164</v>
      </c>
      <c r="CR4843" s="242"/>
      <c r="CS4843" s="242"/>
      <c r="CT4843" s="242"/>
      <c r="CU4843" s="242"/>
      <c r="CV4843" s="242"/>
      <c r="CW4843" s="242"/>
      <c r="CX4843" s="242"/>
      <c r="CY4843" s="242"/>
      <c r="CZ4843" s="242"/>
      <c r="DA4843" s="67" t="s">
        <v>5443</v>
      </c>
      <c r="DB4843" s="67"/>
      <c r="DC4843" s="67"/>
      <c r="DD4843" s="67"/>
      <c r="DE4843" s="67"/>
      <c r="DF4843" s="67"/>
      <c r="DG4843" s="67">
        <v>50</v>
      </c>
      <c r="DH4843" s="67">
        <v>33</v>
      </c>
      <c r="DI4843" s="67"/>
      <c r="DJ4843" s="67"/>
      <c r="DK4843" s="67" t="s">
        <v>5674</v>
      </c>
      <c r="DL4843" s="67">
        <v>332</v>
      </c>
      <c r="DM4843" s="67">
        <v>374</v>
      </c>
      <c r="DN4843" s="67"/>
      <c r="DO4843" s="67"/>
      <c r="DP4843" s="67" t="s">
        <v>5675</v>
      </c>
      <c r="DQ4843" s="166">
        <v>5.2</v>
      </c>
      <c r="DR4843" s="166">
        <v>5.3</v>
      </c>
      <c r="DS4843" s="163"/>
      <c r="DT4843" s="163"/>
      <c r="DU4843" s="67"/>
      <c r="DV4843" s="67"/>
      <c r="DW4843" s="67"/>
      <c r="DX4843" s="67"/>
      <c r="DY4843" s="67"/>
      <c r="DZ4843" s="67"/>
      <c r="EA4843" s="67">
        <v>7.0000000000000007E-2</v>
      </c>
      <c r="EB4843" s="67">
        <v>0.04</v>
      </c>
      <c r="EC4843" s="67"/>
      <c r="ED4843" s="67"/>
      <c r="EE4843" s="67" t="s">
        <v>5628</v>
      </c>
      <c r="EF4843" s="67"/>
      <c r="EG4843" s="67"/>
      <c r="EH4843" s="67"/>
      <c r="EI4843" s="67"/>
      <c r="EJ4843" s="67"/>
      <c r="EK4843" s="94"/>
      <c r="EL4843" s="94"/>
      <c r="EM4843" s="67"/>
      <c r="EN4843" s="67"/>
      <c r="EO4843" s="67"/>
      <c r="EP4843" s="67"/>
      <c r="EQ4843" s="67"/>
      <c r="ER4843" s="67"/>
      <c r="ES4843" s="67"/>
      <c r="ET4843" s="67"/>
      <c r="EU4843" s="67"/>
      <c r="EV4843" s="67"/>
      <c r="EW4843" s="67"/>
      <c r="EX4843" s="67"/>
      <c r="EY4843" s="67"/>
      <c r="EZ4843" s="67"/>
      <c r="FA4843" s="67"/>
      <c r="FB4843" s="67"/>
      <c r="FC4843" s="67"/>
      <c r="FD4843" s="67"/>
      <c r="FE4843" s="67"/>
      <c r="FF4843" s="67"/>
      <c r="FG4843" s="67"/>
      <c r="FH4843" s="67"/>
      <c r="FI4843" s="67"/>
      <c r="FJ4843" s="67"/>
      <c r="FK4843" s="67"/>
      <c r="FL4843" s="67"/>
      <c r="FM4843" s="67"/>
      <c r="FN4843" s="67"/>
      <c r="FO4843" s="67"/>
      <c r="FP4843" s="67"/>
      <c r="FQ4843" s="67"/>
      <c r="FR4843" s="67"/>
      <c r="FS4843" s="67"/>
      <c r="FT4843" s="67"/>
      <c r="FU4843" s="67"/>
      <c r="FV4843" s="67"/>
      <c r="FW4843" s="67"/>
      <c r="FX4843" s="67"/>
      <c r="FY4843" s="67"/>
      <c r="FZ4843" s="67"/>
      <c r="GA4843" s="67"/>
      <c r="GB4843" s="67"/>
      <c r="GC4843" s="67"/>
      <c r="GD4843" s="67"/>
      <c r="GE4843" s="67"/>
      <c r="GF4843" s="67"/>
      <c r="GG4843" s="67"/>
      <c r="GH4843" s="67"/>
      <c r="GI4843" s="67"/>
      <c r="GJ4843" s="67"/>
      <c r="GK4843" s="67"/>
      <c r="GL4843" s="67"/>
      <c r="GM4843" s="67"/>
      <c r="GN4843" s="292"/>
      <c r="GO4843" s="292"/>
      <c r="GP4843" s="292" t="s">
        <v>7494</v>
      </c>
      <c r="GQ4843" s="67"/>
      <c r="GR4843" s="67"/>
      <c r="GS4843" s="67"/>
      <c r="GT4843" s="67"/>
      <c r="GU4843" s="67"/>
      <c r="GV4843" s="67"/>
      <c r="GW4843" s="67"/>
      <c r="GX4843" s="67"/>
      <c r="GY4843" s="67"/>
      <c r="GZ4843" s="67"/>
      <c r="HA4843" s="67"/>
      <c r="HB4843" s="67"/>
      <c r="HC4843" s="67"/>
      <c r="HD4843" s="67"/>
      <c r="HE4843" s="67"/>
      <c r="HF4843" s="67"/>
      <c r="HG4843" s="67"/>
      <c r="HH4843" s="67"/>
      <c r="HI4843" s="67"/>
      <c r="HJ4843" s="67"/>
      <c r="HK4843" s="67"/>
      <c r="HL4843" s="67"/>
      <c r="HM4843" s="67"/>
      <c r="HN4843" s="67"/>
      <c r="HO4843" s="67"/>
      <c r="HP4843" s="67"/>
      <c r="HQ4843" s="67"/>
      <c r="HR4843" s="67"/>
      <c r="HS4843" s="67"/>
      <c r="HT4843" s="67"/>
      <c r="HU4843" s="67"/>
      <c r="HV4843" s="67"/>
      <c r="HW4843" s="67"/>
      <c r="HX4843" s="67"/>
      <c r="HY4843" s="67"/>
      <c r="HZ4843" s="67"/>
      <c r="IA4843" s="67"/>
      <c r="IB4843" s="67"/>
      <c r="IC4843" s="67">
        <v>5</v>
      </c>
      <c r="ID4843" s="67">
        <v>4</v>
      </c>
      <c r="IE4843" s="67"/>
      <c r="IF4843" s="67"/>
      <c r="IG4843" s="67" t="s">
        <v>2242</v>
      </c>
      <c r="IH4843" s="67"/>
      <c r="II4843" s="67"/>
      <c r="IJ4843" s="67"/>
      <c r="IK4843" s="67"/>
      <c r="IL4843" s="67"/>
      <c r="IM4843" s="67"/>
      <c r="IN4843" s="67"/>
      <c r="IO4843" s="67"/>
      <c r="IP4843" s="67"/>
      <c r="IQ4843" s="67"/>
      <c r="IR4843" s="67"/>
      <c r="IS4843" s="67"/>
      <c r="IT4843" s="67"/>
      <c r="IU4843" s="67"/>
      <c r="IV4843" s="67"/>
      <c r="IW4843" s="67"/>
      <c r="IX4843" s="67"/>
      <c r="IY4843" s="67"/>
      <c r="IZ4843" s="67"/>
      <c r="JA4843" s="67"/>
      <c r="JB4843" s="67"/>
      <c r="JC4843" s="67"/>
      <c r="JD4843" s="67"/>
      <c r="JE4843" s="67"/>
      <c r="JF4843" s="67"/>
      <c r="JG4843" s="67"/>
      <c r="JH4843" s="67"/>
      <c r="JI4843" s="67"/>
      <c r="JJ4843" s="67"/>
      <c r="JK4843" s="67"/>
      <c r="JL4843" s="67"/>
      <c r="JM4843" s="67"/>
      <c r="JN4843" s="67"/>
      <c r="JO4843" s="67"/>
      <c r="JP4843" s="67"/>
      <c r="JQ4843" s="67"/>
      <c r="JR4843" s="67"/>
      <c r="JS4843" s="67"/>
      <c r="JT4843" s="67"/>
      <c r="JU4843" s="58"/>
      <c r="JV4843" s="58"/>
      <c r="JW4843" s="58"/>
    </row>
    <row r="4844" spans="1:283" s="23" customFormat="1" x14ac:dyDescent="0.25">
      <c r="A4844" s="55">
        <v>4843</v>
      </c>
      <c r="B4844" s="12" t="s">
        <v>7067</v>
      </c>
      <c r="C4844" s="156">
        <v>219</v>
      </c>
      <c r="D4844" s="58" t="s">
        <v>4903</v>
      </c>
      <c r="E4844" s="160" t="str">
        <f>G4844</f>
        <v>Deria et al. 2003_site 5</v>
      </c>
      <c r="F4844" s="160"/>
      <c r="G4844" s="60" t="s">
        <v>4825</v>
      </c>
      <c r="H4844" s="58">
        <v>2003</v>
      </c>
      <c r="I4844" s="58">
        <v>1993</v>
      </c>
      <c r="J4844" s="243" t="s">
        <v>1426</v>
      </c>
      <c r="K4844" s="63" t="s">
        <v>5122</v>
      </c>
      <c r="L4844" s="58" t="s">
        <v>2746</v>
      </c>
      <c r="M4844" s="94">
        <f>-30-29/60</f>
        <v>-30.483333333333334</v>
      </c>
      <c r="N4844" s="94">
        <f>116</f>
        <v>116</v>
      </c>
      <c r="O4844" s="94">
        <v>215</v>
      </c>
      <c r="P4844" s="58"/>
      <c r="Q4844" s="244">
        <v>18.600000000000001</v>
      </c>
      <c r="R4844" s="58"/>
      <c r="S4844" s="245">
        <v>753</v>
      </c>
      <c r="T4844" s="58"/>
      <c r="U4844" s="58" t="s">
        <v>1805</v>
      </c>
      <c r="V4844" s="244">
        <v>4</v>
      </c>
      <c r="W4844" s="174"/>
      <c r="X4844" s="174"/>
      <c r="Y4844" s="58" t="s">
        <v>5361</v>
      </c>
      <c r="Z4844" s="244" t="s">
        <v>1355</v>
      </c>
      <c r="AA4844" s="245">
        <v>10</v>
      </c>
      <c r="AB4844" s="67"/>
      <c r="AC4844" s="67"/>
      <c r="AD4844" s="94"/>
      <c r="AE4844" s="94"/>
      <c r="AF4844" s="94"/>
      <c r="AG4844" s="245"/>
      <c r="AH4844" s="58"/>
      <c r="AI4844" s="169"/>
      <c r="AJ4844" s="94"/>
      <c r="AK4844" s="94"/>
      <c r="AL4844" s="58"/>
      <c r="AM4844" s="58"/>
      <c r="AN4844" s="186"/>
      <c r="AO4844" s="185" t="s">
        <v>7494</v>
      </c>
      <c r="AP4844" s="58"/>
      <c r="AQ4844" s="58"/>
      <c r="AR4844" s="58" t="s">
        <v>116</v>
      </c>
      <c r="AS4844" s="58" t="s">
        <v>116</v>
      </c>
      <c r="AT4844" s="247"/>
      <c r="AU4844" s="181" t="s">
        <v>7494</v>
      </c>
      <c r="AV4844" s="185" t="s">
        <v>176</v>
      </c>
      <c r="AW4844" s="244"/>
      <c r="AX4844" s="185" t="s">
        <v>176</v>
      </c>
      <c r="AY4844" s="244"/>
      <c r="AZ4844" s="58"/>
      <c r="BA4844" s="58"/>
      <c r="BB4844" s="58"/>
      <c r="BC4844" s="58"/>
      <c r="BD4844" s="58"/>
      <c r="BE4844" s="236" t="s">
        <v>5165</v>
      </c>
      <c r="BF4844" s="191" t="s">
        <v>479</v>
      </c>
      <c r="BG4844" s="191" t="s">
        <v>479</v>
      </c>
      <c r="BH4844" s="236" t="s">
        <v>5236</v>
      </c>
      <c r="BI4844" s="191" t="s">
        <v>479</v>
      </c>
      <c r="BJ4844" s="58" t="str">
        <f>IF(BE4844=BH4844,"No","yes")</f>
        <v>yes</v>
      </c>
      <c r="BK4844" s="58" t="s">
        <v>6334</v>
      </c>
      <c r="BL4844" s="58"/>
      <c r="BM4844" s="237"/>
      <c r="BN4844" s="244">
        <v>4</v>
      </c>
      <c r="BO4844" s="244">
        <v>4</v>
      </c>
      <c r="BP4844" s="58"/>
      <c r="BQ4844" s="58"/>
      <c r="BR4844" s="58"/>
      <c r="BS4844" s="58"/>
      <c r="BT4844" s="58"/>
      <c r="BU4844" s="58"/>
      <c r="BV4844" s="58"/>
      <c r="BW4844" s="67">
        <v>6413</v>
      </c>
      <c r="BX4844" s="67">
        <v>7834</v>
      </c>
      <c r="BY4844" s="67"/>
      <c r="BZ4844" s="67"/>
      <c r="CA4844" s="67" t="s">
        <v>5673</v>
      </c>
      <c r="CB4844" s="70">
        <v>1563</v>
      </c>
      <c r="CC4844" s="70">
        <v>1334</v>
      </c>
      <c r="CD4844" s="70"/>
      <c r="CE4844" s="67"/>
      <c r="CF4844" s="67"/>
      <c r="CG4844" s="67" t="s">
        <v>545</v>
      </c>
      <c r="CH4844" s="245"/>
      <c r="CI4844" s="245"/>
      <c r="CJ4844" s="67"/>
      <c r="CK4844" s="67"/>
      <c r="CL4844" s="67"/>
      <c r="CM4844" s="242">
        <v>1.74</v>
      </c>
      <c r="CN4844" s="242">
        <v>1.9</v>
      </c>
      <c r="CO4844" s="242"/>
      <c r="CP4844" s="242"/>
      <c r="CQ4844" s="242" t="s">
        <v>164</v>
      </c>
      <c r="CR4844" s="242"/>
      <c r="CS4844" s="242"/>
      <c r="CT4844" s="242"/>
      <c r="CU4844" s="242"/>
      <c r="CV4844" s="242"/>
      <c r="CW4844" s="242"/>
      <c r="CX4844" s="242"/>
      <c r="CY4844" s="242"/>
      <c r="CZ4844" s="242"/>
      <c r="DA4844" s="67" t="s">
        <v>5443</v>
      </c>
      <c r="DB4844" s="67"/>
      <c r="DC4844" s="67"/>
      <c r="DD4844" s="67"/>
      <c r="DE4844" s="67"/>
      <c r="DF4844" s="67"/>
      <c r="DG4844" s="67">
        <v>19</v>
      </c>
      <c r="DH4844" s="67">
        <v>10</v>
      </c>
      <c r="DI4844" s="67"/>
      <c r="DJ4844" s="67"/>
      <c r="DK4844" s="67" t="s">
        <v>5674</v>
      </c>
      <c r="DL4844" s="67">
        <v>133</v>
      </c>
      <c r="DM4844" s="67">
        <v>256</v>
      </c>
      <c r="DN4844" s="67"/>
      <c r="DO4844" s="67"/>
      <c r="DP4844" s="67" t="s">
        <v>5675</v>
      </c>
      <c r="DQ4844" s="166">
        <v>5.5</v>
      </c>
      <c r="DR4844" s="166">
        <v>5.8</v>
      </c>
      <c r="DS4844" s="163"/>
      <c r="DT4844" s="163"/>
      <c r="DU4844" s="67"/>
      <c r="DV4844" s="67"/>
      <c r="DW4844" s="67"/>
      <c r="DX4844" s="67"/>
      <c r="DY4844" s="67"/>
      <c r="DZ4844" s="67"/>
      <c r="EA4844" s="67"/>
      <c r="EB4844" s="67"/>
      <c r="EC4844" s="67"/>
      <c r="ED4844" s="67"/>
      <c r="EE4844" s="67"/>
      <c r="EF4844" s="67"/>
      <c r="EG4844" s="67"/>
      <c r="EH4844" s="67"/>
      <c r="EI4844" s="67"/>
      <c r="EJ4844" s="67"/>
      <c r="EK4844" s="94"/>
      <c r="EL4844" s="94"/>
      <c r="EM4844" s="67"/>
      <c r="EN4844" s="67"/>
      <c r="EO4844" s="67"/>
      <c r="EP4844" s="67"/>
      <c r="EQ4844" s="67"/>
      <c r="ER4844" s="67"/>
      <c r="ES4844" s="67"/>
      <c r="ET4844" s="67"/>
      <c r="EU4844" s="67"/>
      <c r="EV4844" s="67"/>
      <c r="EW4844" s="67"/>
      <c r="EX4844" s="67"/>
      <c r="EY4844" s="67"/>
      <c r="EZ4844" s="67"/>
      <c r="FA4844" s="67"/>
      <c r="FB4844" s="67"/>
      <c r="FC4844" s="67"/>
      <c r="FD4844" s="67"/>
      <c r="FE4844" s="67"/>
      <c r="FF4844" s="67"/>
      <c r="FG4844" s="67"/>
      <c r="FH4844" s="67"/>
      <c r="FI4844" s="67"/>
      <c r="FJ4844" s="67"/>
      <c r="FK4844" s="67"/>
      <c r="FL4844" s="67"/>
      <c r="FM4844" s="67"/>
      <c r="FN4844" s="67"/>
      <c r="FO4844" s="67"/>
      <c r="FP4844" s="67"/>
      <c r="FQ4844" s="67"/>
      <c r="FR4844" s="67"/>
      <c r="FS4844" s="67"/>
      <c r="FT4844" s="67"/>
      <c r="FU4844" s="67"/>
      <c r="FV4844" s="67"/>
      <c r="FW4844" s="67"/>
      <c r="FX4844" s="67"/>
      <c r="FY4844" s="67"/>
      <c r="FZ4844" s="67"/>
      <c r="GA4844" s="67"/>
      <c r="GB4844" s="67"/>
      <c r="GC4844" s="67"/>
      <c r="GD4844" s="67"/>
      <c r="GE4844" s="67"/>
      <c r="GF4844" s="67"/>
      <c r="GG4844" s="67"/>
      <c r="GH4844" s="67"/>
      <c r="GI4844" s="67"/>
      <c r="GJ4844" s="67"/>
      <c r="GK4844" s="67"/>
      <c r="GL4844" s="67"/>
      <c r="GM4844" s="67"/>
      <c r="GN4844" s="292"/>
      <c r="GO4844" s="292"/>
      <c r="GP4844" s="292" t="s">
        <v>7494</v>
      </c>
      <c r="GQ4844" s="67"/>
      <c r="GR4844" s="67"/>
      <c r="GS4844" s="67"/>
      <c r="GT4844" s="67"/>
      <c r="GU4844" s="67"/>
      <c r="GV4844" s="67"/>
      <c r="GW4844" s="67"/>
      <c r="GX4844" s="67"/>
      <c r="GY4844" s="67"/>
      <c r="GZ4844" s="67"/>
      <c r="HA4844" s="67"/>
      <c r="HB4844" s="67"/>
      <c r="HC4844" s="67"/>
      <c r="HD4844" s="67"/>
      <c r="HE4844" s="67"/>
      <c r="HF4844" s="67"/>
      <c r="HG4844" s="67"/>
      <c r="HH4844" s="67"/>
      <c r="HI4844" s="67"/>
      <c r="HJ4844" s="67"/>
      <c r="HK4844" s="67"/>
      <c r="HL4844" s="67"/>
      <c r="HM4844" s="67"/>
      <c r="HN4844" s="67"/>
      <c r="HO4844" s="67"/>
      <c r="HP4844" s="67"/>
      <c r="HQ4844" s="67"/>
      <c r="HR4844" s="67"/>
      <c r="HS4844" s="67"/>
      <c r="HT4844" s="67"/>
      <c r="HU4844" s="67"/>
      <c r="HV4844" s="67"/>
      <c r="HW4844" s="67"/>
      <c r="HX4844" s="67"/>
      <c r="HY4844" s="67"/>
      <c r="HZ4844" s="67"/>
      <c r="IA4844" s="67"/>
      <c r="IB4844" s="67"/>
      <c r="IC4844" s="67">
        <v>10</v>
      </c>
      <c r="ID4844" s="67">
        <v>7</v>
      </c>
      <c r="IE4844" s="67"/>
      <c r="IF4844" s="67"/>
      <c r="IG4844" s="67" t="s">
        <v>2242</v>
      </c>
      <c r="IH4844" s="67"/>
      <c r="II4844" s="67"/>
      <c r="IJ4844" s="67"/>
      <c r="IK4844" s="67"/>
      <c r="IL4844" s="67"/>
      <c r="IM4844" s="67"/>
      <c r="IN4844" s="67"/>
      <c r="IO4844" s="67"/>
      <c r="IP4844" s="67"/>
      <c r="IQ4844" s="67"/>
      <c r="IR4844" s="67"/>
      <c r="IS4844" s="67"/>
      <c r="IT4844" s="67"/>
      <c r="IU4844" s="67"/>
      <c r="IV4844" s="67"/>
      <c r="IW4844" s="67"/>
      <c r="IX4844" s="67"/>
      <c r="IY4844" s="67"/>
      <c r="IZ4844" s="67"/>
      <c r="JA4844" s="67"/>
      <c r="JB4844" s="67"/>
      <c r="JC4844" s="67"/>
      <c r="JD4844" s="67"/>
      <c r="JE4844" s="67"/>
      <c r="JF4844" s="67"/>
      <c r="JG4844" s="67"/>
      <c r="JH4844" s="67"/>
      <c r="JI4844" s="67"/>
      <c r="JJ4844" s="67"/>
      <c r="JK4844" s="67"/>
      <c r="JL4844" s="67"/>
      <c r="JM4844" s="67"/>
      <c r="JN4844" s="67"/>
      <c r="JO4844" s="67"/>
      <c r="JP4844" s="67"/>
      <c r="JQ4844" s="67"/>
      <c r="JR4844" s="67"/>
      <c r="JS4844" s="67"/>
      <c r="JT4844" s="67"/>
      <c r="JU4844" s="58"/>
      <c r="JV4844" s="58"/>
      <c r="JW4844" s="58"/>
    </row>
    <row r="4845" spans="1:283" s="23" customFormat="1" x14ac:dyDescent="0.25">
      <c r="A4845" s="55">
        <v>4844</v>
      </c>
      <c r="B4845" s="12" t="s">
        <v>7067</v>
      </c>
      <c r="C4845" s="156">
        <v>219</v>
      </c>
      <c r="D4845" s="58" t="s">
        <v>4904</v>
      </c>
      <c r="E4845" s="160" t="str">
        <f>G4845</f>
        <v>Deria et al. 2003_site 6</v>
      </c>
      <c r="F4845" s="160"/>
      <c r="G4845" s="60" t="s">
        <v>4824</v>
      </c>
      <c r="H4845" s="58">
        <v>2003</v>
      </c>
      <c r="I4845" s="58">
        <v>1993</v>
      </c>
      <c r="J4845" s="243" t="s">
        <v>1426</v>
      </c>
      <c r="K4845" s="63" t="s">
        <v>5122</v>
      </c>
      <c r="L4845" s="58" t="s">
        <v>2746</v>
      </c>
      <c r="M4845" s="94">
        <f>-30-29/60</f>
        <v>-30.483333333333334</v>
      </c>
      <c r="N4845" s="94">
        <f>116</f>
        <v>116</v>
      </c>
      <c r="O4845" s="94">
        <v>215</v>
      </c>
      <c r="P4845" s="58"/>
      <c r="Q4845" s="244">
        <v>18.600000000000001</v>
      </c>
      <c r="R4845" s="58"/>
      <c r="S4845" s="245">
        <v>753</v>
      </c>
      <c r="T4845" s="58"/>
      <c r="U4845" s="58" t="s">
        <v>1805</v>
      </c>
      <c r="V4845" s="244">
        <v>3</v>
      </c>
      <c r="W4845" s="174"/>
      <c r="X4845" s="174"/>
      <c r="Y4845" s="58" t="s">
        <v>5361</v>
      </c>
      <c r="Z4845" s="244" t="s">
        <v>1355</v>
      </c>
      <c r="AA4845" s="245">
        <v>10</v>
      </c>
      <c r="AB4845" s="67"/>
      <c r="AC4845" s="67"/>
      <c r="AD4845" s="94"/>
      <c r="AE4845" s="94"/>
      <c r="AF4845" s="94"/>
      <c r="AG4845" s="245"/>
      <c r="AH4845" s="58"/>
      <c r="AI4845" s="169"/>
      <c r="AJ4845" s="94"/>
      <c r="AK4845" s="94"/>
      <c r="AL4845" s="58"/>
      <c r="AM4845" s="58"/>
      <c r="AN4845" s="186"/>
      <c r="AO4845" s="185" t="s">
        <v>7494</v>
      </c>
      <c r="AP4845" s="58"/>
      <c r="AQ4845" s="58"/>
      <c r="AR4845" s="58" t="s">
        <v>116</v>
      </c>
      <c r="AS4845" s="58" t="s">
        <v>116</v>
      </c>
      <c r="AT4845" s="247"/>
      <c r="AU4845" s="181" t="s">
        <v>7494</v>
      </c>
      <c r="AV4845" s="185" t="s">
        <v>176</v>
      </c>
      <c r="AW4845" s="244"/>
      <c r="AX4845" s="185" t="s">
        <v>176</v>
      </c>
      <c r="AY4845" s="244"/>
      <c r="AZ4845" s="58"/>
      <c r="BA4845" s="58"/>
      <c r="BB4845" s="58"/>
      <c r="BC4845" s="58"/>
      <c r="BD4845" s="58"/>
      <c r="BE4845" s="236" t="s">
        <v>5166</v>
      </c>
      <c r="BF4845" s="191" t="s">
        <v>479</v>
      </c>
      <c r="BG4845" s="191" t="s">
        <v>479</v>
      </c>
      <c r="BH4845" s="236" t="s">
        <v>5155</v>
      </c>
      <c r="BI4845" s="191" t="s">
        <v>479</v>
      </c>
      <c r="BJ4845" s="58" t="str">
        <f>IF(BE4845=BH4845,"No","yes")</f>
        <v>yes</v>
      </c>
      <c r="BK4845" s="58" t="s">
        <v>6334</v>
      </c>
      <c r="BL4845" s="58"/>
      <c r="BM4845" s="237"/>
      <c r="BN4845" s="244">
        <v>4</v>
      </c>
      <c r="BO4845" s="244">
        <v>4</v>
      </c>
      <c r="BP4845" s="58"/>
      <c r="BQ4845" s="58"/>
      <c r="BR4845" s="58"/>
      <c r="BS4845" s="58"/>
      <c r="BT4845" s="58"/>
      <c r="BU4845" s="58"/>
      <c r="BV4845" s="58"/>
      <c r="BW4845" s="67">
        <v>1389</v>
      </c>
      <c r="BX4845" s="67">
        <v>1418</v>
      </c>
      <c r="BY4845" s="67"/>
      <c r="BZ4845" s="67"/>
      <c r="CA4845" s="67" t="s">
        <v>5673</v>
      </c>
      <c r="CB4845" s="70">
        <v>451</v>
      </c>
      <c r="CC4845" s="70">
        <v>342</v>
      </c>
      <c r="CD4845" s="70"/>
      <c r="CE4845" s="67"/>
      <c r="CF4845" s="67"/>
      <c r="CG4845" s="67" t="s">
        <v>545</v>
      </c>
      <c r="CH4845" s="245"/>
      <c r="CI4845" s="245"/>
      <c r="CJ4845" s="67"/>
      <c r="CK4845" s="67"/>
      <c r="CL4845" s="67"/>
      <c r="CM4845" s="242">
        <v>0.69</v>
      </c>
      <c r="CN4845" s="242">
        <v>0.75</v>
      </c>
      <c r="CO4845" s="242"/>
      <c r="CP4845" s="242"/>
      <c r="CQ4845" s="242" t="s">
        <v>164</v>
      </c>
      <c r="CR4845" s="242"/>
      <c r="CS4845" s="242"/>
      <c r="CT4845" s="242"/>
      <c r="CU4845" s="242"/>
      <c r="CV4845" s="242"/>
      <c r="CW4845" s="242"/>
      <c r="CX4845" s="242"/>
      <c r="CY4845" s="242"/>
      <c r="CZ4845" s="242"/>
      <c r="DA4845" s="67" t="s">
        <v>5443</v>
      </c>
      <c r="DB4845" s="67"/>
      <c r="DC4845" s="67"/>
      <c r="DD4845" s="67"/>
      <c r="DE4845" s="67"/>
      <c r="DF4845" s="67"/>
      <c r="DG4845" s="67">
        <v>29</v>
      </c>
      <c r="DH4845" s="67">
        <v>43</v>
      </c>
      <c r="DI4845" s="67"/>
      <c r="DJ4845" s="67"/>
      <c r="DK4845" s="67" t="s">
        <v>5674</v>
      </c>
      <c r="DL4845" s="67">
        <v>478</v>
      </c>
      <c r="DM4845" s="67">
        <v>469</v>
      </c>
      <c r="DN4845" s="67"/>
      <c r="DO4845" s="67"/>
      <c r="DP4845" s="67" t="s">
        <v>5675</v>
      </c>
      <c r="DQ4845" s="166">
        <v>5.2</v>
      </c>
      <c r="DR4845" s="166">
        <v>4.9000000000000004</v>
      </c>
      <c r="DS4845" s="163"/>
      <c r="DT4845" s="163"/>
      <c r="DU4845" s="67"/>
      <c r="DV4845" s="67"/>
      <c r="DW4845" s="67"/>
      <c r="DX4845" s="67"/>
      <c r="DY4845" s="67"/>
      <c r="DZ4845" s="67"/>
      <c r="EA4845" s="67"/>
      <c r="EB4845" s="67"/>
      <c r="EC4845" s="67"/>
      <c r="ED4845" s="67"/>
      <c r="EE4845" s="67"/>
      <c r="EF4845" s="67"/>
      <c r="EG4845" s="67"/>
      <c r="EH4845" s="67"/>
      <c r="EI4845" s="67"/>
      <c r="EJ4845" s="67"/>
      <c r="EK4845" s="94"/>
      <c r="EL4845" s="94"/>
      <c r="EM4845" s="67"/>
      <c r="EN4845" s="67"/>
      <c r="EO4845" s="67"/>
      <c r="EP4845" s="67"/>
      <c r="EQ4845" s="67"/>
      <c r="ER4845" s="67"/>
      <c r="ES4845" s="67"/>
      <c r="ET4845" s="67"/>
      <c r="EU4845" s="67"/>
      <c r="EV4845" s="67"/>
      <c r="EW4845" s="67"/>
      <c r="EX4845" s="67"/>
      <c r="EY4845" s="67"/>
      <c r="EZ4845" s="67"/>
      <c r="FA4845" s="67"/>
      <c r="FB4845" s="67"/>
      <c r="FC4845" s="67"/>
      <c r="FD4845" s="67"/>
      <c r="FE4845" s="67"/>
      <c r="FF4845" s="67"/>
      <c r="FG4845" s="67"/>
      <c r="FH4845" s="67"/>
      <c r="FI4845" s="67"/>
      <c r="FJ4845" s="67"/>
      <c r="FK4845" s="67"/>
      <c r="FL4845" s="67"/>
      <c r="FM4845" s="67"/>
      <c r="FN4845" s="67"/>
      <c r="FO4845" s="67"/>
      <c r="FP4845" s="67"/>
      <c r="FQ4845" s="67"/>
      <c r="FR4845" s="67"/>
      <c r="FS4845" s="67"/>
      <c r="FT4845" s="67"/>
      <c r="FU4845" s="67"/>
      <c r="FV4845" s="67"/>
      <c r="FW4845" s="67"/>
      <c r="FX4845" s="67"/>
      <c r="FY4845" s="67"/>
      <c r="FZ4845" s="67"/>
      <c r="GA4845" s="67"/>
      <c r="GB4845" s="67"/>
      <c r="GC4845" s="67"/>
      <c r="GD4845" s="67"/>
      <c r="GE4845" s="67"/>
      <c r="GF4845" s="67"/>
      <c r="GG4845" s="67"/>
      <c r="GH4845" s="67"/>
      <c r="GI4845" s="67"/>
      <c r="GJ4845" s="67"/>
      <c r="GK4845" s="67"/>
      <c r="GL4845" s="67"/>
      <c r="GM4845" s="67"/>
      <c r="GN4845" s="292"/>
      <c r="GO4845" s="292"/>
      <c r="GP4845" s="292" t="s">
        <v>7494</v>
      </c>
      <c r="GQ4845" s="67"/>
      <c r="GR4845" s="67"/>
      <c r="GS4845" s="67"/>
      <c r="GT4845" s="67"/>
      <c r="GU4845" s="67"/>
      <c r="GV4845" s="67"/>
      <c r="GW4845" s="67"/>
      <c r="GX4845" s="67"/>
      <c r="GY4845" s="67"/>
      <c r="GZ4845" s="67"/>
      <c r="HA4845" s="67"/>
      <c r="HB4845" s="67"/>
      <c r="HC4845" s="67"/>
      <c r="HD4845" s="67"/>
      <c r="HE4845" s="67"/>
      <c r="HF4845" s="67"/>
      <c r="HG4845" s="67"/>
      <c r="HH4845" s="67"/>
      <c r="HI4845" s="67"/>
      <c r="HJ4845" s="67"/>
      <c r="HK4845" s="67"/>
      <c r="HL4845" s="67"/>
      <c r="HM4845" s="67"/>
      <c r="HN4845" s="67"/>
      <c r="HO4845" s="67"/>
      <c r="HP4845" s="67"/>
      <c r="HQ4845" s="67"/>
      <c r="HR4845" s="67"/>
      <c r="HS4845" s="67"/>
      <c r="HT4845" s="67"/>
      <c r="HU4845" s="67"/>
      <c r="HV4845" s="67"/>
      <c r="HW4845" s="67"/>
      <c r="HX4845" s="67"/>
      <c r="HY4845" s="67"/>
      <c r="HZ4845" s="67"/>
      <c r="IA4845" s="67"/>
      <c r="IB4845" s="67"/>
      <c r="IC4845" s="67">
        <v>5</v>
      </c>
      <c r="ID4845" s="67">
        <v>7</v>
      </c>
      <c r="IE4845" s="67"/>
      <c r="IF4845" s="67"/>
      <c r="IG4845" s="67" t="s">
        <v>2242</v>
      </c>
      <c r="IH4845" s="67"/>
      <c r="II4845" s="67"/>
      <c r="IJ4845" s="67"/>
      <c r="IK4845" s="67"/>
      <c r="IL4845" s="67"/>
      <c r="IM4845" s="67"/>
      <c r="IN4845" s="67"/>
      <c r="IO4845" s="67"/>
      <c r="IP4845" s="67"/>
      <c r="IQ4845" s="67"/>
      <c r="IR4845" s="67"/>
      <c r="IS4845" s="67"/>
      <c r="IT4845" s="67"/>
      <c r="IU4845" s="67"/>
      <c r="IV4845" s="67"/>
      <c r="IW4845" s="67"/>
      <c r="IX4845" s="67"/>
      <c r="IY4845" s="67"/>
      <c r="IZ4845" s="67"/>
      <c r="JA4845" s="67"/>
      <c r="JB4845" s="67"/>
      <c r="JC4845" s="67"/>
      <c r="JD4845" s="67"/>
      <c r="JE4845" s="67"/>
      <c r="JF4845" s="67"/>
      <c r="JG4845" s="67"/>
      <c r="JH4845" s="67"/>
      <c r="JI4845" s="67"/>
      <c r="JJ4845" s="67"/>
      <c r="JK4845" s="67"/>
      <c r="JL4845" s="67"/>
      <c r="JM4845" s="67"/>
      <c r="JN4845" s="67"/>
      <c r="JO4845" s="67"/>
      <c r="JP4845" s="67"/>
      <c r="JQ4845" s="67"/>
      <c r="JR4845" s="67"/>
      <c r="JS4845" s="67"/>
      <c r="JT4845" s="67"/>
      <c r="JU4845" s="58"/>
      <c r="JV4845" s="58"/>
      <c r="JW4845" s="58"/>
    </row>
    <row r="4846" spans="1:283" s="23" customFormat="1" x14ac:dyDescent="0.25">
      <c r="A4846" s="55">
        <v>4845</v>
      </c>
      <c r="B4846" s="12" t="s">
        <v>7067</v>
      </c>
      <c r="C4846" s="156">
        <v>219</v>
      </c>
      <c r="D4846" s="58" t="s">
        <v>4905</v>
      </c>
      <c r="E4846" s="160" t="str">
        <f>G4846</f>
        <v>Deria et al. 2003_site 7</v>
      </c>
      <c r="F4846" s="160"/>
      <c r="G4846" s="60" t="s">
        <v>4823</v>
      </c>
      <c r="H4846" s="58">
        <v>2003</v>
      </c>
      <c r="I4846" s="58">
        <v>1993</v>
      </c>
      <c r="J4846" s="243" t="s">
        <v>1426</v>
      </c>
      <c r="K4846" s="63" t="s">
        <v>5122</v>
      </c>
      <c r="L4846" s="58" t="s">
        <v>2746</v>
      </c>
      <c r="M4846" s="94">
        <f>-30-29/60</f>
        <v>-30.483333333333334</v>
      </c>
      <c r="N4846" s="94">
        <f>116</f>
        <v>116</v>
      </c>
      <c r="O4846" s="94">
        <v>215</v>
      </c>
      <c r="P4846" s="58"/>
      <c r="Q4846" s="244">
        <v>18.600000000000001</v>
      </c>
      <c r="R4846" s="58"/>
      <c r="S4846" s="245">
        <v>753</v>
      </c>
      <c r="T4846" s="58"/>
      <c r="U4846" s="58" t="s">
        <v>1805</v>
      </c>
      <c r="V4846" s="244">
        <v>4</v>
      </c>
      <c r="W4846" s="174"/>
      <c r="X4846" s="174"/>
      <c r="Y4846" s="58" t="s">
        <v>5361</v>
      </c>
      <c r="Z4846" s="244" t="s">
        <v>1355</v>
      </c>
      <c r="AA4846" s="245">
        <v>10</v>
      </c>
      <c r="AB4846" s="67"/>
      <c r="AC4846" s="67"/>
      <c r="AD4846" s="94"/>
      <c r="AE4846" s="94"/>
      <c r="AF4846" s="94"/>
      <c r="AG4846" s="245"/>
      <c r="AH4846" s="58"/>
      <c r="AI4846" s="169"/>
      <c r="AJ4846" s="94"/>
      <c r="AK4846" s="94"/>
      <c r="AL4846" s="58"/>
      <c r="AM4846" s="58"/>
      <c r="AN4846" s="186"/>
      <c r="AO4846" s="185" t="s">
        <v>7494</v>
      </c>
      <c r="AP4846" s="58"/>
      <c r="AQ4846" s="58"/>
      <c r="AR4846" s="58" t="s">
        <v>116</v>
      </c>
      <c r="AS4846" s="58" t="s">
        <v>116</v>
      </c>
      <c r="AT4846" s="247"/>
      <c r="AU4846" s="181" t="s">
        <v>7494</v>
      </c>
      <c r="AV4846" s="185" t="s">
        <v>176</v>
      </c>
      <c r="AW4846" s="244"/>
      <c r="AX4846" s="185" t="s">
        <v>176</v>
      </c>
      <c r="AY4846" s="244"/>
      <c r="AZ4846" s="58"/>
      <c r="BA4846" s="58"/>
      <c r="BB4846" s="58"/>
      <c r="BC4846" s="58"/>
      <c r="BD4846" s="58"/>
      <c r="BE4846" s="236" t="s">
        <v>5165</v>
      </c>
      <c r="BF4846" s="191" t="s">
        <v>479</v>
      </c>
      <c r="BG4846" s="191" t="s">
        <v>479</v>
      </c>
      <c r="BH4846" s="236" t="s">
        <v>5236</v>
      </c>
      <c r="BI4846" s="191" t="s">
        <v>479</v>
      </c>
      <c r="BJ4846" s="58" t="str">
        <f>IF(BE4846=BH4846,"No","yes")</f>
        <v>yes</v>
      </c>
      <c r="BK4846" s="58" t="s">
        <v>6334</v>
      </c>
      <c r="BL4846" s="58"/>
      <c r="BM4846" s="237"/>
      <c r="BN4846" s="244">
        <v>4</v>
      </c>
      <c r="BO4846" s="244">
        <v>4</v>
      </c>
      <c r="BP4846" s="58"/>
      <c r="BQ4846" s="58"/>
      <c r="BR4846" s="58"/>
      <c r="BS4846" s="58"/>
      <c r="BT4846" s="58"/>
      <c r="BU4846" s="58"/>
      <c r="BV4846" s="58"/>
      <c r="BW4846" s="67">
        <v>1055</v>
      </c>
      <c r="BX4846" s="67">
        <v>995</v>
      </c>
      <c r="BY4846" s="67"/>
      <c r="BZ4846" s="67"/>
      <c r="CA4846" s="67" t="s">
        <v>5673</v>
      </c>
      <c r="CB4846" s="70">
        <v>342</v>
      </c>
      <c r="CC4846" s="70">
        <v>236</v>
      </c>
      <c r="CD4846" s="70"/>
      <c r="CE4846" s="67"/>
      <c r="CF4846" s="67"/>
      <c r="CG4846" s="67" t="s">
        <v>545</v>
      </c>
      <c r="CH4846" s="245"/>
      <c r="CI4846" s="245"/>
      <c r="CJ4846" s="67"/>
      <c r="CK4846" s="67"/>
      <c r="CL4846" s="67"/>
      <c r="CM4846" s="242">
        <v>0.16</v>
      </c>
      <c r="CN4846" s="242">
        <v>0.14000000000000001</v>
      </c>
      <c r="CO4846" s="242"/>
      <c r="CP4846" s="242"/>
      <c r="CQ4846" s="242" t="s">
        <v>164</v>
      </c>
      <c r="CR4846" s="242"/>
      <c r="CS4846" s="242"/>
      <c r="CT4846" s="242"/>
      <c r="CU4846" s="242"/>
      <c r="CV4846" s="242"/>
      <c r="CW4846" s="242"/>
      <c r="CX4846" s="242"/>
      <c r="CY4846" s="242"/>
      <c r="CZ4846" s="242"/>
      <c r="DA4846" s="67" t="s">
        <v>5443</v>
      </c>
      <c r="DB4846" s="67"/>
      <c r="DC4846" s="67"/>
      <c r="DD4846" s="67"/>
      <c r="DE4846" s="67"/>
      <c r="DF4846" s="67"/>
      <c r="DG4846" s="67">
        <v>20</v>
      </c>
      <c r="DH4846" s="67">
        <v>15</v>
      </c>
      <c r="DI4846" s="67"/>
      <c r="DJ4846" s="67"/>
      <c r="DK4846" s="67" t="s">
        <v>5674</v>
      </c>
      <c r="DL4846" s="67">
        <v>60</v>
      </c>
      <c r="DM4846" s="67">
        <v>50</v>
      </c>
      <c r="DN4846" s="67"/>
      <c r="DO4846" s="67"/>
      <c r="DP4846" s="67" t="s">
        <v>5675</v>
      </c>
      <c r="DQ4846" s="166">
        <v>5.6</v>
      </c>
      <c r="DR4846" s="166">
        <v>5.4</v>
      </c>
      <c r="DS4846" s="163"/>
      <c r="DT4846" s="163"/>
      <c r="DU4846" s="67"/>
      <c r="DV4846" s="67"/>
      <c r="DW4846" s="67"/>
      <c r="DX4846" s="67"/>
      <c r="DY4846" s="67"/>
      <c r="DZ4846" s="67"/>
      <c r="EA4846" s="67"/>
      <c r="EB4846" s="67"/>
      <c r="EC4846" s="67"/>
      <c r="ED4846" s="67"/>
      <c r="EE4846" s="67"/>
      <c r="EF4846" s="67"/>
      <c r="EG4846" s="67"/>
      <c r="EH4846" s="67"/>
      <c r="EI4846" s="67"/>
      <c r="EJ4846" s="67"/>
      <c r="EK4846" s="94"/>
      <c r="EL4846" s="94"/>
      <c r="EM4846" s="67"/>
      <c r="EN4846" s="67"/>
      <c r="EO4846" s="67"/>
      <c r="EP4846" s="67"/>
      <c r="EQ4846" s="67"/>
      <c r="ER4846" s="67"/>
      <c r="ES4846" s="67"/>
      <c r="ET4846" s="67"/>
      <c r="EU4846" s="67"/>
      <c r="EV4846" s="67"/>
      <c r="EW4846" s="67"/>
      <c r="EX4846" s="67"/>
      <c r="EY4846" s="67"/>
      <c r="EZ4846" s="67"/>
      <c r="FA4846" s="67"/>
      <c r="FB4846" s="67"/>
      <c r="FC4846" s="67"/>
      <c r="FD4846" s="67"/>
      <c r="FE4846" s="67"/>
      <c r="FF4846" s="67"/>
      <c r="FG4846" s="67"/>
      <c r="FH4846" s="67"/>
      <c r="FI4846" s="67"/>
      <c r="FJ4846" s="67"/>
      <c r="FK4846" s="67"/>
      <c r="FL4846" s="67"/>
      <c r="FM4846" s="67"/>
      <c r="FN4846" s="67"/>
      <c r="FO4846" s="67"/>
      <c r="FP4846" s="67"/>
      <c r="FQ4846" s="67"/>
      <c r="FR4846" s="67"/>
      <c r="FS4846" s="67"/>
      <c r="FT4846" s="67"/>
      <c r="FU4846" s="67"/>
      <c r="FV4846" s="67"/>
      <c r="FW4846" s="67"/>
      <c r="FX4846" s="67"/>
      <c r="FY4846" s="67"/>
      <c r="FZ4846" s="67"/>
      <c r="GA4846" s="67"/>
      <c r="GB4846" s="67"/>
      <c r="GC4846" s="67"/>
      <c r="GD4846" s="67"/>
      <c r="GE4846" s="67"/>
      <c r="GF4846" s="67"/>
      <c r="GG4846" s="67"/>
      <c r="GH4846" s="67"/>
      <c r="GI4846" s="67"/>
      <c r="GJ4846" s="67"/>
      <c r="GK4846" s="67"/>
      <c r="GL4846" s="67"/>
      <c r="GM4846" s="67"/>
      <c r="GN4846" s="292"/>
      <c r="GO4846" s="292"/>
      <c r="GP4846" s="292" t="s">
        <v>7494</v>
      </c>
      <c r="GQ4846" s="67"/>
      <c r="GR4846" s="67"/>
      <c r="GS4846" s="67"/>
      <c r="GT4846" s="67"/>
      <c r="GU4846" s="67"/>
      <c r="GV4846" s="67"/>
      <c r="GW4846" s="67"/>
      <c r="GX4846" s="67"/>
      <c r="GY4846" s="67"/>
      <c r="GZ4846" s="67"/>
      <c r="HA4846" s="67"/>
      <c r="HB4846" s="67"/>
      <c r="HC4846" s="67"/>
      <c r="HD4846" s="67"/>
      <c r="HE4846" s="67"/>
      <c r="HF4846" s="67"/>
      <c r="HG4846" s="67"/>
      <c r="HH4846" s="67"/>
      <c r="HI4846" s="67"/>
      <c r="HJ4846" s="67"/>
      <c r="HK4846" s="67"/>
      <c r="HL4846" s="67"/>
      <c r="HM4846" s="67"/>
      <c r="HN4846" s="67"/>
      <c r="HO4846" s="67"/>
      <c r="HP4846" s="67"/>
      <c r="HQ4846" s="67"/>
      <c r="HR4846" s="67"/>
      <c r="HS4846" s="67"/>
      <c r="HT4846" s="67"/>
      <c r="HU4846" s="67"/>
      <c r="HV4846" s="67"/>
      <c r="HW4846" s="67"/>
      <c r="HX4846" s="67"/>
      <c r="HY4846" s="67"/>
      <c r="HZ4846" s="67"/>
      <c r="IA4846" s="67"/>
      <c r="IB4846" s="67"/>
      <c r="IC4846" s="67">
        <v>12</v>
      </c>
      <c r="ID4846" s="67">
        <v>12</v>
      </c>
      <c r="IE4846" s="67"/>
      <c r="IF4846" s="67"/>
      <c r="IG4846" s="67" t="s">
        <v>2242</v>
      </c>
      <c r="IH4846" s="67"/>
      <c r="II4846" s="67"/>
      <c r="IJ4846" s="67"/>
      <c r="IK4846" s="67"/>
      <c r="IL4846" s="67"/>
      <c r="IM4846" s="67"/>
      <c r="IN4846" s="67"/>
      <c r="IO4846" s="67"/>
      <c r="IP4846" s="67"/>
      <c r="IQ4846" s="67"/>
      <c r="IR4846" s="67"/>
      <c r="IS4846" s="67"/>
      <c r="IT4846" s="67"/>
      <c r="IU4846" s="67"/>
      <c r="IV4846" s="67"/>
      <c r="IW4846" s="67"/>
      <c r="IX4846" s="67"/>
      <c r="IY4846" s="67"/>
      <c r="IZ4846" s="67"/>
      <c r="JA4846" s="67"/>
      <c r="JB4846" s="67"/>
      <c r="JC4846" s="67"/>
      <c r="JD4846" s="67"/>
      <c r="JE4846" s="67"/>
      <c r="JF4846" s="67"/>
      <c r="JG4846" s="67"/>
      <c r="JH4846" s="67"/>
      <c r="JI4846" s="67"/>
      <c r="JJ4846" s="67"/>
      <c r="JK4846" s="67"/>
      <c r="JL4846" s="67"/>
      <c r="JM4846" s="67"/>
      <c r="JN4846" s="67"/>
      <c r="JO4846" s="67"/>
      <c r="JP4846" s="67"/>
      <c r="JQ4846" s="67"/>
      <c r="JR4846" s="67"/>
      <c r="JS4846" s="67"/>
      <c r="JT4846" s="67"/>
      <c r="JU4846" s="58"/>
      <c r="JV4846" s="58"/>
      <c r="JW4846" s="58"/>
    </row>
    <row r="4847" spans="1:283" s="23" customFormat="1" x14ac:dyDescent="0.25">
      <c r="A4847" s="55">
        <v>4846</v>
      </c>
      <c r="B4847" s="12" t="s">
        <v>7067</v>
      </c>
      <c r="C4847" s="156">
        <v>220</v>
      </c>
      <c r="D4847" s="58" t="s">
        <v>4906</v>
      </c>
      <c r="E4847" s="160" t="str">
        <f>G4847</f>
        <v>Derrick &amp; Dumaresq 1999</v>
      </c>
      <c r="F4847" s="160"/>
      <c r="G4847" s="60" t="s">
        <v>4822</v>
      </c>
      <c r="H4847" s="58">
        <v>1999</v>
      </c>
      <c r="I4847" s="58">
        <v>1992</v>
      </c>
      <c r="J4847" s="243" t="s">
        <v>5305</v>
      </c>
      <c r="K4847" s="63" t="s">
        <v>5121</v>
      </c>
      <c r="L4847" s="58" t="s">
        <v>2746</v>
      </c>
      <c r="M4847" s="94">
        <f>-34-22/60</f>
        <v>-34.366666666666667</v>
      </c>
      <c r="N4847" s="94">
        <f>146+54/60</f>
        <v>146.9</v>
      </c>
      <c r="O4847" s="94">
        <v>204</v>
      </c>
      <c r="P4847" s="58"/>
      <c r="Q4847" s="244"/>
      <c r="R4847" s="58"/>
      <c r="S4847" s="245">
        <v>487</v>
      </c>
      <c r="T4847" s="58"/>
      <c r="U4847" s="58" t="s">
        <v>1680</v>
      </c>
      <c r="V4847" s="244">
        <v>30</v>
      </c>
      <c r="W4847" s="174"/>
      <c r="X4847" s="174"/>
      <c r="Y4847" s="58" t="s">
        <v>5362</v>
      </c>
      <c r="Z4847" s="244" t="s">
        <v>1349</v>
      </c>
      <c r="AA4847" s="245">
        <v>15</v>
      </c>
      <c r="AB4847" s="67"/>
      <c r="AC4847" s="67"/>
      <c r="AD4847" s="94"/>
      <c r="AE4847" s="94"/>
      <c r="AF4847" s="94"/>
      <c r="AG4847" s="245"/>
      <c r="AH4847" s="58"/>
      <c r="AI4847" s="169"/>
      <c r="AJ4847" s="94"/>
      <c r="AK4847" s="94"/>
      <c r="AL4847" s="58"/>
      <c r="AM4847" s="58"/>
      <c r="AN4847" s="186" t="s">
        <v>5367</v>
      </c>
      <c r="AO4847" s="185" t="s">
        <v>5150</v>
      </c>
      <c r="AP4847" s="58"/>
      <c r="AQ4847" s="58" t="s">
        <v>1546</v>
      </c>
      <c r="AR4847" s="58" t="s">
        <v>116</v>
      </c>
      <c r="AS4847" s="246" t="s">
        <v>5133</v>
      </c>
      <c r="AT4847" s="247" t="s">
        <v>5365</v>
      </c>
      <c r="AU4847" s="181" t="s">
        <v>5150</v>
      </c>
      <c r="AV4847" s="185" t="s">
        <v>176</v>
      </c>
      <c r="AW4847" s="244" t="s">
        <v>5366</v>
      </c>
      <c r="AX4847" s="185" t="s">
        <v>176</v>
      </c>
      <c r="AY4847" s="244" t="s">
        <v>479</v>
      </c>
      <c r="AZ4847" s="58"/>
      <c r="BA4847" s="58"/>
      <c r="BB4847" s="58"/>
      <c r="BC4847" s="58"/>
      <c r="BD4847" s="58"/>
      <c r="BE4847" s="236" t="s">
        <v>5153</v>
      </c>
      <c r="BF4847" s="191" t="s">
        <v>176</v>
      </c>
      <c r="BG4847" s="191" t="s">
        <v>176</v>
      </c>
      <c r="BH4847" s="236" t="s">
        <v>5153</v>
      </c>
      <c r="BI4847" s="191" t="s">
        <v>176</v>
      </c>
      <c r="BJ4847" s="58" t="str">
        <f>IF(BE4847=BH4847,"No","yes")</f>
        <v>No</v>
      </c>
      <c r="BK4847" s="58" t="s">
        <v>6335</v>
      </c>
      <c r="BL4847" s="58"/>
      <c r="BM4847" s="237" t="s">
        <v>160</v>
      </c>
      <c r="BN4847" s="244">
        <v>13</v>
      </c>
      <c r="BO4847" s="244">
        <v>14</v>
      </c>
      <c r="BP4847" s="58"/>
      <c r="BQ4847" s="58"/>
      <c r="BR4847" s="58"/>
      <c r="BS4847" s="58"/>
      <c r="BT4847" s="58"/>
      <c r="BU4847" s="58"/>
      <c r="BV4847" s="58"/>
      <c r="BW4847" s="67"/>
      <c r="BX4847" s="67"/>
      <c r="BY4847" s="67"/>
      <c r="BZ4847" s="67"/>
      <c r="CA4847" s="67"/>
      <c r="CB4847" s="70"/>
      <c r="CC4847" s="70"/>
      <c r="CD4847" s="70"/>
      <c r="CE4847" s="67"/>
      <c r="CF4847" s="67"/>
      <c r="CG4847" s="67"/>
      <c r="CH4847" s="245"/>
      <c r="CI4847" s="245"/>
      <c r="CJ4847" s="67"/>
      <c r="CK4847" s="67"/>
      <c r="CL4847" s="67"/>
      <c r="CM4847" s="242">
        <v>1.07</v>
      </c>
      <c r="CN4847" s="242">
        <v>1.21</v>
      </c>
      <c r="CO4847" s="242">
        <v>0.10816653826391967</v>
      </c>
      <c r="CP4847" s="242">
        <v>0.14966629547095767</v>
      </c>
      <c r="CQ4847" s="242" t="s">
        <v>164</v>
      </c>
      <c r="CR4847" s="242">
        <v>23.814456420773706</v>
      </c>
      <c r="CS4847" s="242">
        <v>26.598826299099009</v>
      </c>
      <c r="CT4847" s="242">
        <v>2.3814456420773706</v>
      </c>
      <c r="CU4847" s="242">
        <v>2.6598826299099012</v>
      </c>
      <c r="CV4847" s="242" t="s">
        <v>5151</v>
      </c>
      <c r="CW4847" s="242"/>
      <c r="CX4847" s="242"/>
      <c r="CY4847" s="242"/>
      <c r="CZ4847" s="242"/>
      <c r="DA4847" s="67" t="s">
        <v>5443</v>
      </c>
      <c r="DB4847" s="67">
        <v>850</v>
      </c>
      <c r="DC4847" s="67">
        <v>1004</v>
      </c>
      <c r="DD4847" s="67">
        <f>49*SQRT(14)</f>
        <v>183.34121195192313</v>
      </c>
      <c r="DE4847" s="67">
        <f>62*SQRT(14)</f>
        <v>231.98275797998437</v>
      </c>
      <c r="DF4847" s="67"/>
      <c r="DG4847" s="67">
        <v>268</v>
      </c>
      <c r="DH4847" s="67">
        <v>259</v>
      </c>
      <c r="DI4847" s="67">
        <f>5*SQRT(14)</f>
        <v>18.708286933869708</v>
      </c>
      <c r="DJ4847" s="67">
        <f>5*SQRT(14)</f>
        <v>18.708286933869708</v>
      </c>
      <c r="DK4847" s="67" t="s">
        <v>5364</v>
      </c>
      <c r="DL4847" s="67">
        <v>4180</v>
      </c>
      <c r="DM4847" s="67">
        <v>3991</v>
      </c>
      <c r="DN4847" s="67">
        <f>96*SQRT(14)</f>
        <v>359.19910913029838</v>
      </c>
      <c r="DO4847" s="67">
        <f>136*SQRT(14)</f>
        <v>508.86540460125605</v>
      </c>
      <c r="DP4847" s="67" t="s">
        <v>964</v>
      </c>
      <c r="DQ4847" s="166">
        <v>5.0999999999999996</v>
      </c>
      <c r="DR4847" s="166">
        <v>5.8</v>
      </c>
      <c r="DS4847" s="163">
        <f>0.03*SQRT(14)</f>
        <v>0.11224972160321824</v>
      </c>
      <c r="DT4847" s="163">
        <f>0.1*SQRT(14)</f>
        <v>0.37416573867739417</v>
      </c>
      <c r="DU4847" s="67"/>
      <c r="DV4847" s="67">
        <f>0.06+23+4.67+1.18+0.18+1.07</f>
        <v>30.159999999999997</v>
      </c>
      <c r="DW4847" s="67">
        <f>0.14+9+7.2+1.27+0.11+1.17</f>
        <v>18.89</v>
      </c>
      <c r="DX4847" s="67">
        <f>(1+0.12+0.02+0.18+1.07)*SQRT(14)</f>
        <v>8.9425611543897201</v>
      </c>
      <c r="DY4847" s="67">
        <f>(0.01+0.4+0.22+0.04+0.01+0.02)*SQRT(14)</f>
        <v>2.6191601707417593</v>
      </c>
      <c r="DZ4847" s="67" t="s">
        <v>5363</v>
      </c>
      <c r="EA4847" s="67"/>
      <c r="EB4847" s="67"/>
      <c r="EC4847" s="67"/>
      <c r="ED4847" s="67"/>
      <c r="EE4847" s="67"/>
      <c r="EF4847" s="67"/>
      <c r="EG4847" s="67"/>
      <c r="EH4847" s="67"/>
      <c r="EI4847" s="67"/>
      <c r="EJ4847" s="67"/>
      <c r="EK4847" s="94"/>
      <c r="EL4847" s="94"/>
      <c r="EM4847" s="67"/>
      <c r="EN4847" s="67"/>
      <c r="EO4847" s="67"/>
      <c r="EP4847" s="67"/>
      <c r="EQ4847" s="67"/>
      <c r="ER4847" s="67"/>
      <c r="ES4847" s="67"/>
      <c r="ET4847" s="67"/>
      <c r="EU4847" s="67"/>
      <c r="EV4847" s="67"/>
      <c r="EW4847" s="67"/>
      <c r="EX4847" s="67"/>
      <c r="EY4847" s="67"/>
      <c r="EZ4847" s="67"/>
      <c r="FA4847" s="67"/>
      <c r="FB4847" s="67"/>
      <c r="FC4847" s="67"/>
      <c r="FD4847" s="67"/>
      <c r="FE4847" s="67"/>
      <c r="FF4847" s="67"/>
      <c r="FG4847" s="67"/>
      <c r="FH4847" s="67"/>
      <c r="FI4847" s="67"/>
      <c r="FJ4847" s="67"/>
      <c r="FK4847" s="67"/>
      <c r="FL4847" s="67"/>
      <c r="FM4847" s="67"/>
      <c r="FN4847" s="67"/>
      <c r="FO4847" s="67"/>
      <c r="FP4847" s="67"/>
      <c r="FQ4847" s="67"/>
      <c r="FR4847" s="67"/>
      <c r="FS4847" s="67"/>
      <c r="FT4847" s="67"/>
      <c r="FU4847" s="67"/>
      <c r="FV4847" s="67"/>
      <c r="FW4847" s="67"/>
      <c r="FX4847" s="67"/>
      <c r="FY4847" s="67"/>
      <c r="FZ4847" s="67"/>
      <c r="GA4847" s="67"/>
      <c r="GB4847" s="67"/>
      <c r="GC4847" s="67"/>
      <c r="GD4847" s="67"/>
      <c r="GE4847" s="67"/>
      <c r="GF4847" s="67"/>
      <c r="GG4847" s="67"/>
      <c r="GH4847" s="67"/>
      <c r="GI4847" s="67"/>
      <c r="GJ4847" s="67"/>
      <c r="GK4847" s="67"/>
      <c r="GL4847" s="67"/>
      <c r="GM4847" s="67"/>
      <c r="GN4847" s="292"/>
      <c r="GO4847" s="292"/>
      <c r="GP4847" s="292" t="s">
        <v>7494</v>
      </c>
      <c r="GQ4847" s="67"/>
      <c r="GR4847" s="67"/>
      <c r="GS4847" s="67"/>
      <c r="GT4847" s="67"/>
      <c r="GU4847" s="67"/>
      <c r="GV4847" s="67"/>
      <c r="GW4847" s="67"/>
      <c r="GX4847" s="67"/>
      <c r="GY4847" s="67"/>
      <c r="GZ4847" s="67"/>
      <c r="HA4847" s="67"/>
      <c r="HB4847" s="67"/>
      <c r="HC4847" s="67"/>
      <c r="HD4847" s="67"/>
      <c r="HE4847" s="67"/>
      <c r="HF4847" s="67"/>
      <c r="HG4847" s="67"/>
      <c r="HH4847" s="67"/>
      <c r="HI4847" s="67"/>
      <c r="HJ4847" s="67"/>
      <c r="HK4847" s="67"/>
      <c r="HL4847" s="67"/>
      <c r="HM4847" s="67"/>
      <c r="HN4847" s="67"/>
      <c r="HO4847" s="67"/>
      <c r="HP4847" s="67"/>
      <c r="HQ4847" s="67"/>
      <c r="HR4847" s="67"/>
      <c r="HS4847" s="67"/>
      <c r="HT4847" s="67"/>
      <c r="HU4847" s="67"/>
      <c r="HV4847" s="67"/>
      <c r="HW4847" s="67"/>
      <c r="HX4847" s="67"/>
      <c r="HY4847" s="67"/>
      <c r="HZ4847" s="67"/>
      <c r="IA4847" s="67"/>
      <c r="IB4847" s="67"/>
      <c r="IC4847" s="67"/>
      <c r="ID4847" s="67"/>
      <c r="IE4847" s="67"/>
      <c r="IF4847" s="67"/>
      <c r="IG4847" s="67"/>
      <c r="IH4847" s="67"/>
      <c r="II4847" s="67"/>
      <c r="IJ4847" s="67"/>
      <c r="IK4847" s="67"/>
      <c r="IL4847" s="67"/>
      <c r="IM4847" s="67"/>
      <c r="IN4847" s="67"/>
      <c r="IO4847" s="67"/>
      <c r="IP4847" s="67"/>
      <c r="IQ4847" s="67"/>
      <c r="IR4847" s="67"/>
      <c r="IS4847" s="67"/>
      <c r="IT4847" s="67"/>
      <c r="IU4847" s="67"/>
      <c r="IV4847" s="67"/>
      <c r="IW4847" s="67"/>
      <c r="IX4847" s="67"/>
      <c r="IY4847" s="67"/>
      <c r="IZ4847" s="67"/>
      <c r="JA4847" s="67"/>
      <c r="JB4847" s="67"/>
      <c r="JC4847" s="67"/>
      <c r="JD4847" s="67"/>
      <c r="JE4847" s="67"/>
      <c r="JF4847" s="67"/>
      <c r="JG4847" s="67"/>
      <c r="JH4847" s="67"/>
      <c r="JI4847" s="67"/>
      <c r="JJ4847" s="67"/>
      <c r="JK4847" s="67"/>
      <c r="JL4847" s="67"/>
      <c r="JM4847" s="67"/>
      <c r="JN4847" s="67"/>
      <c r="JO4847" s="67"/>
      <c r="JP4847" s="67"/>
      <c r="JQ4847" s="67"/>
      <c r="JR4847" s="67"/>
      <c r="JS4847" s="67"/>
      <c r="JT4847" s="67"/>
      <c r="JU4847" s="58"/>
      <c r="JV4847" s="58"/>
      <c r="JW4847" s="58"/>
    </row>
    <row r="4848" spans="1:283" s="23" customFormat="1" x14ac:dyDescent="0.25">
      <c r="A4848" s="55">
        <v>4847</v>
      </c>
      <c r="B4848" s="12" t="s">
        <v>7067</v>
      </c>
      <c r="C4848" s="156">
        <v>221</v>
      </c>
      <c r="D4848" s="58" t="s">
        <v>4907</v>
      </c>
      <c r="E4848" s="160" t="str">
        <f>G4848</f>
        <v>Diez et al. 1991</v>
      </c>
      <c r="F4848" s="160"/>
      <c r="G4848" s="60" t="s">
        <v>4821</v>
      </c>
      <c r="H4848" s="58">
        <v>1991</v>
      </c>
      <c r="I4848" s="58"/>
      <c r="J4848" s="243" t="s">
        <v>5302</v>
      </c>
      <c r="K4848" s="63" t="s">
        <v>5120</v>
      </c>
      <c r="L4848" s="58" t="s">
        <v>1077</v>
      </c>
      <c r="M4848" s="94">
        <v>51.17</v>
      </c>
      <c r="N4848" s="94">
        <v>10.45</v>
      </c>
      <c r="O4848" s="94">
        <v>214</v>
      </c>
      <c r="P4848" s="58"/>
      <c r="Q4848" s="244">
        <v>7.6</v>
      </c>
      <c r="R4848" s="58"/>
      <c r="S4848" s="245">
        <v>762</v>
      </c>
      <c r="T4848" s="58"/>
      <c r="U4848" s="58"/>
      <c r="V4848" s="244">
        <v>10</v>
      </c>
      <c r="W4848" s="174"/>
      <c r="X4848" s="174"/>
      <c r="Y4848" s="58"/>
      <c r="Z4848" s="244" t="s">
        <v>1346</v>
      </c>
      <c r="AA4848" s="245">
        <v>20</v>
      </c>
      <c r="AB4848" s="67"/>
      <c r="AC4848" s="67"/>
      <c r="AD4848" s="94"/>
      <c r="AE4848" s="94"/>
      <c r="AF4848" s="94"/>
      <c r="AG4848" s="245"/>
      <c r="AH4848" s="58"/>
      <c r="AI4848" s="169"/>
      <c r="AJ4848" s="94"/>
      <c r="AK4848" s="94"/>
      <c r="AL4848" s="58"/>
      <c r="AM4848" s="58"/>
      <c r="AN4848" s="186"/>
      <c r="AO4848" s="185" t="s">
        <v>7494</v>
      </c>
      <c r="AP4848" s="58"/>
      <c r="AQ4848" s="58"/>
      <c r="AR4848" s="58"/>
      <c r="AS4848" s="246" t="s">
        <v>5133</v>
      </c>
      <c r="AT4848" s="247">
        <v>1</v>
      </c>
      <c r="AU4848" s="181" t="s">
        <v>7494</v>
      </c>
      <c r="AV4848" s="185" t="s">
        <v>176</v>
      </c>
      <c r="AW4848" s="244">
        <v>1</v>
      </c>
      <c r="AX4848" s="185" t="s">
        <v>176</v>
      </c>
      <c r="AY4848" s="244" t="s">
        <v>176</v>
      </c>
      <c r="AZ4848" s="58"/>
      <c r="BA4848" s="58"/>
      <c r="BB4848" s="58"/>
      <c r="BC4848" s="58"/>
      <c r="BD4848" s="58"/>
      <c r="BE4848" s="236" t="s">
        <v>5167</v>
      </c>
      <c r="BF4848" s="191" t="s">
        <v>479</v>
      </c>
      <c r="BG4848" s="191" t="s">
        <v>479</v>
      </c>
      <c r="BH4848" s="236" t="s">
        <v>5237</v>
      </c>
      <c r="BI4848" s="191" t="s">
        <v>479</v>
      </c>
      <c r="BJ4848" s="58" t="str">
        <f>IF(BE4848=BH4848,"No","yes")</f>
        <v>yes</v>
      </c>
      <c r="BK4848" s="58" t="s">
        <v>6334</v>
      </c>
      <c r="BL4848" s="58"/>
      <c r="BM4848" s="237"/>
      <c r="BN4848" s="244">
        <v>20</v>
      </c>
      <c r="BO4848" s="244">
        <v>20</v>
      </c>
      <c r="BP4848" s="58"/>
      <c r="BQ4848" s="58"/>
      <c r="BR4848" s="58"/>
      <c r="BS4848" s="58"/>
      <c r="BT4848" s="58"/>
      <c r="BU4848" s="58"/>
      <c r="BV4848" s="58"/>
      <c r="BW4848" s="67"/>
      <c r="BX4848" s="67"/>
      <c r="BY4848" s="67"/>
      <c r="BZ4848" s="67"/>
      <c r="CA4848" s="67"/>
      <c r="CB4848" s="70"/>
      <c r="CC4848" s="70"/>
      <c r="CD4848" s="70"/>
      <c r="CE4848" s="67"/>
      <c r="CF4848" s="67"/>
      <c r="CG4848" s="67"/>
      <c r="CH4848" s="245">
        <v>1.4616441433596472</v>
      </c>
      <c r="CI4848" s="245">
        <v>1.4376867419126957</v>
      </c>
      <c r="CJ4848" s="67"/>
      <c r="CK4848" s="67"/>
      <c r="CL4848" s="67"/>
      <c r="CM4848" s="242">
        <v>1.24</v>
      </c>
      <c r="CN4848" s="242">
        <v>1.43</v>
      </c>
      <c r="CO4848" s="242">
        <v>0.124</v>
      </c>
      <c r="CP4848" s="242">
        <v>0.14299999999999999</v>
      </c>
      <c r="CQ4848" s="242" t="s">
        <v>164</v>
      </c>
      <c r="CR4848" s="242">
        <v>36.248774755319253</v>
      </c>
      <c r="CS4848" s="242">
        <v>41.117840818703101</v>
      </c>
      <c r="CT4848" s="242">
        <v>3.6248774755319255</v>
      </c>
      <c r="CU4848" s="242">
        <v>4.1117840818703106</v>
      </c>
      <c r="CV4848" s="242" t="s">
        <v>5151</v>
      </c>
      <c r="CW4848" s="242">
        <v>52.198966600228403</v>
      </c>
      <c r="CX4848" s="242">
        <v>383.05612265373838</v>
      </c>
      <c r="CY4848" s="242">
        <v>5.2198966600228403</v>
      </c>
      <c r="CZ4848" s="242">
        <v>38.305612265373838</v>
      </c>
      <c r="DA4848" s="67" t="s">
        <v>5443</v>
      </c>
      <c r="DB4848" s="67"/>
      <c r="DC4848" s="67"/>
      <c r="DD4848" s="67"/>
      <c r="DE4848" s="67"/>
      <c r="DF4848" s="67"/>
      <c r="DG4848" s="67"/>
      <c r="DH4848" s="67"/>
      <c r="DI4848" s="67"/>
      <c r="DJ4848" s="67"/>
      <c r="DK4848" s="67"/>
      <c r="DL4848" s="67"/>
      <c r="DM4848" s="67"/>
      <c r="DN4848" s="67"/>
      <c r="DO4848" s="67"/>
      <c r="DP4848" s="67"/>
      <c r="DQ4848" s="166"/>
      <c r="DR4848" s="166"/>
      <c r="DS4848" s="163"/>
      <c r="DT4848" s="163"/>
      <c r="DU4848" s="67"/>
      <c r="DV4848" s="67"/>
      <c r="DW4848" s="67"/>
      <c r="DX4848" s="67"/>
      <c r="DY4848" s="67"/>
      <c r="DZ4848" s="67"/>
      <c r="EA4848" s="67"/>
      <c r="EB4848" s="67"/>
      <c r="EC4848" s="67"/>
      <c r="ED4848" s="67"/>
      <c r="EE4848" s="67"/>
      <c r="EF4848" s="67"/>
      <c r="EG4848" s="67"/>
      <c r="EH4848" s="67"/>
      <c r="EI4848" s="67"/>
      <c r="EJ4848" s="67"/>
      <c r="EK4848" s="94"/>
      <c r="EL4848" s="94"/>
      <c r="EM4848" s="67"/>
      <c r="EN4848" s="67"/>
      <c r="EO4848" s="67"/>
      <c r="EP4848" s="67"/>
      <c r="EQ4848" s="67"/>
      <c r="ER4848" s="67"/>
      <c r="ES4848" s="67"/>
      <c r="ET4848" s="67"/>
      <c r="EU4848" s="67"/>
      <c r="EV4848" s="67"/>
      <c r="EW4848" s="67"/>
      <c r="EX4848" s="67"/>
      <c r="EY4848" s="67"/>
      <c r="EZ4848" s="67"/>
      <c r="FA4848" s="67"/>
      <c r="FB4848" s="67"/>
      <c r="FC4848" s="67"/>
      <c r="FD4848" s="67"/>
      <c r="FE4848" s="67"/>
      <c r="FF4848" s="67"/>
      <c r="FG4848" s="67"/>
      <c r="FH4848" s="67"/>
      <c r="FI4848" s="67"/>
      <c r="FJ4848" s="67"/>
      <c r="FK4848" s="67"/>
      <c r="FL4848" s="67"/>
      <c r="FM4848" s="67"/>
      <c r="FN4848" s="67"/>
      <c r="FO4848" s="67"/>
      <c r="FP4848" s="67"/>
      <c r="FQ4848" s="67"/>
      <c r="FR4848" s="67"/>
      <c r="FS4848" s="67"/>
      <c r="FT4848" s="67"/>
      <c r="FU4848" s="67"/>
      <c r="FV4848" s="67"/>
      <c r="FW4848" s="67"/>
      <c r="FX4848" s="67"/>
      <c r="FY4848" s="67"/>
      <c r="FZ4848" s="67"/>
      <c r="GA4848" s="67"/>
      <c r="GB4848" s="67"/>
      <c r="GC4848" s="67"/>
      <c r="GD4848" s="67"/>
      <c r="GE4848" s="67"/>
      <c r="GF4848" s="67"/>
      <c r="GG4848" s="67"/>
      <c r="GH4848" s="67"/>
      <c r="GI4848" s="67"/>
      <c r="GJ4848" s="67"/>
      <c r="GK4848" s="67"/>
      <c r="GL4848" s="67"/>
      <c r="GM4848" s="67"/>
      <c r="GN4848" s="292"/>
      <c r="GO4848" s="292"/>
      <c r="GP4848" s="292" t="s">
        <v>7494</v>
      </c>
      <c r="GQ4848" s="67"/>
      <c r="GR4848" s="67"/>
      <c r="GS4848" s="67"/>
      <c r="GT4848" s="67"/>
      <c r="GU4848" s="67"/>
      <c r="GV4848" s="67"/>
      <c r="GW4848" s="67"/>
      <c r="GX4848" s="67"/>
      <c r="GY4848" s="67"/>
      <c r="GZ4848" s="67"/>
      <c r="HA4848" s="67"/>
      <c r="HB4848" s="67"/>
      <c r="HC4848" s="67"/>
      <c r="HD4848" s="67"/>
      <c r="HE4848" s="67"/>
      <c r="HF4848" s="67"/>
      <c r="HG4848" s="67"/>
      <c r="HH4848" s="67"/>
      <c r="HI4848" s="67"/>
      <c r="HJ4848" s="67"/>
      <c r="HK4848" s="67"/>
      <c r="HL4848" s="67"/>
      <c r="HM4848" s="67"/>
      <c r="HN4848" s="67"/>
      <c r="HO4848" s="67"/>
      <c r="HP4848" s="67"/>
      <c r="HQ4848" s="67"/>
      <c r="HR4848" s="67"/>
      <c r="HS4848" s="67"/>
      <c r="HT4848" s="67"/>
      <c r="HU4848" s="67"/>
      <c r="HV4848" s="67"/>
      <c r="HW4848" s="67"/>
      <c r="HX4848" s="67"/>
      <c r="HY4848" s="67"/>
      <c r="HZ4848" s="67"/>
      <c r="IA4848" s="67"/>
      <c r="IB4848" s="67"/>
      <c r="IC4848" s="67"/>
      <c r="ID4848" s="67"/>
      <c r="IE4848" s="67"/>
      <c r="IF4848" s="67"/>
      <c r="IG4848" s="67"/>
      <c r="IH4848" s="67"/>
      <c r="II4848" s="67"/>
      <c r="IJ4848" s="67"/>
      <c r="IK4848" s="67"/>
      <c r="IL4848" s="67"/>
      <c r="IM4848" s="67"/>
      <c r="IN4848" s="67"/>
      <c r="IO4848" s="67"/>
      <c r="IP4848" s="67"/>
      <c r="IQ4848" s="67"/>
      <c r="IR4848" s="67"/>
      <c r="IS4848" s="67"/>
      <c r="IT4848" s="67"/>
      <c r="IU4848" s="67"/>
      <c r="IV4848" s="67"/>
      <c r="IW4848" s="67"/>
      <c r="IX4848" s="67"/>
      <c r="IY4848" s="67"/>
      <c r="IZ4848" s="67"/>
      <c r="JA4848" s="67"/>
      <c r="JB4848" s="67"/>
      <c r="JC4848" s="67"/>
      <c r="JD4848" s="67"/>
      <c r="JE4848" s="67"/>
      <c r="JF4848" s="67"/>
      <c r="JG4848" s="67"/>
      <c r="JH4848" s="67"/>
      <c r="JI4848" s="67"/>
      <c r="JJ4848" s="67"/>
      <c r="JK4848" s="67"/>
      <c r="JL4848" s="67"/>
      <c r="JM4848" s="67"/>
      <c r="JN4848" s="67"/>
      <c r="JO4848" s="67"/>
      <c r="JP4848" s="67"/>
      <c r="JQ4848" s="67"/>
      <c r="JR4848" s="67"/>
      <c r="JS4848" s="67"/>
      <c r="JT4848" s="67"/>
      <c r="JU4848" s="58"/>
      <c r="JV4848" s="58"/>
      <c r="JW4848" s="58"/>
    </row>
    <row r="4849" spans="1:283" s="23" customFormat="1" x14ac:dyDescent="0.25">
      <c r="A4849" s="55">
        <v>4848</v>
      </c>
      <c r="B4849" s="12" t="s">
        <v>7067</v>
      </c>
      <c r="C4849" s="156">
        <v>222</v>
      </c>
      <c r="D4849" s="58" t="s">
        <v>4909</v>
      </c>
      <c r="E4849" s="160" t="str">
        <f>G4849</f>
        <v>Dilly et al., 2001, Scheyern single croplands I</v>
      </c>
      <c r="F4849" s="160"/>
      <c r="G4849" s="60" t="s">
        <v>4820</v>
      </c>
      <c r="H4849" s="58">
        <v>2001</v>
      </c>
      <c r="I4849" s="58">
        <v>1995</v>
      </c>
      <c r="J4849" s="243" t="s">
        <v>5306</v>
      </c>
      <c r="K4849" s="63" t="s">
        <v>5368</v>
      </c>
      <c r="L4849" s="58" t="s">
        <v>1077</v>
      </c>
      <c r="M4849" s="94">
        <v>48.5</v>
      </c>
      <c r="N4849" s="94">
        <v>11.45</v>
      </c>
      <c r="O4849" s="94">
        <v>480</v>
      </c>
      <c r="P4849" s="58"/>
      <c r="Q4849" s="244">
        <v>7.4</v>
      </c>
      <c r="R4849" s="58"/>
      <c r="S4849" s="245">
        <v>833</v>
      </c>
      <c r="T4849" s="58"/>
      <c r="U4849" s="58" t="s">
        <v>1688</v>
      </c>
      <c r="V4849" s="244">
        <v>3</v>
      </c>
      <c r="W4849" s="174"/>
      <c r="X4849" s="174"/>
      <c r="Y4849" s="58" t="s">
        <v>5369</v>
      </c>
      <c r="Z4849" s="244" t="s">
        <v>1346</v>
      </c>
      <c r="AA4849" s="245">
        <v>20</v>
      </c>
      <c r="AB4849" s="67"/>
      <c r="AC4849" s="67"/>
      <c r="AD4849" s="94"/>
      <c r="AE4849" s="94"/>
      <c r="AF4849" s="94"/>
      <c r="AG4849" s="245">
        <v>8</v>
      </c>
      <c r="AH4849" s="58" t="s">
        <v>6378</v>
      </c>
      <c r="AI4849" s="169"/>
      <c r="AJ4849" s="94"/>
      <c r="AK4849" s="94"/>
      <c r="AL4849" s="58"/>
      <c r="AM4849" s="58" t="s">
        <v>5370</v>
      </c>
      <c r="AN4849" s="186"/>
      <c r="AO4849" s="185" t="s">
        <v>7494</v>
      </c>
      <c r="AP4849" s="58"/>
      <c r="AQ4849" s="58"/>
      <c r="AR4849" s="246" t="s">
        <v>5133</v>
      </c>
      <c r="AS4849" s="246" t="s">
        <v>5133</v>
      </c>
      <c r="AT4849" s="247">
        <v>0</v>
      </c>
      <c r="AU4849" s="181" t="s">
        <v>7494</v>
      </c>
      <c r="AV4849" s="185" t="s">
        <v>176</v>
      </c>
      <c r="AW4849" s="244">
        <v>1</v>
      </c>
      <c r="AX4849" s="185" t="s">
        <v>176</v>
      </c>
      <c r="AY4849" s="244" t="s">
        <v>5150</v>
      </c>
      <c r="AZ4849" s="58"/>
      <c r="BA4849" s="58"/>
      <c r="BB4849" s="58"/>
      <c r="BC4849" s="58"/>
      <c r="BD4849" s="58"/>
      <c r="BE4849" s="236" t="s">
        <v>5168</v>
      </c>
      <c r="BF4849" s="191" t="s">
        <v>479</v>
      </c>
      <c r="BG4849" s="191" t="s">
        <v>479</v>
      </c>
      <c r="BH4849" s="236" t="s">
        <v>5238</v>
      </c>
      <c r="BI4849" s="191" t="s">
        <v>479</v>
      </c>
      <c r="BJ4849" s="58" t="str">
        <f>IF(BE4849=BH4849,"No","yes")</f>
        <v>yes</v>
      </c>
      <c r="BK4849" s="58" t="s">
        <v>6334</v>
      </c>
      <c r="BL4849" s="58"/>
      <c r="BM4849" s="237"/>
      <c r="BN4849" s="244">
        <v>25</v>
      </c>
      <c r="BO4849" s="244">
        <v>30</v>
      </c>
      <c r="BP4849" s="58"/>
      <c r="BQ4849" s="58"/>
      <c r="BR4849" s="58"/>
      <c r="BS4849" s="58"/>
      <c r="BT4849" s="58"/>
      <c r="BU4849" s="58"/>
      <c r="BV4849" s="58"/>
      <c r="BW4849" s="67"/>
      <c r="BX4849" s="67"/>
      <c r="BY4849" s="67"/>
      <c r="BZ4849" s="67"/>
      <c r="CA4849" s="67"/>
      <c r="CB4849" s="70"/>
      <c r="CC4849" s="70"/>
      <c r="CD4849" s="70"/>
      <c r="CE4849" s="67"/>
      <c r="CF4849" s="67"/>
      <c r="CG4849" s="67"/>
      <c r="CH4849" s="245"/>
      <c r="CI4849" s="245"/>
      <c r="CJ4849" s="67"/>
      <c r="CK4849" s="67"/>
      <c r="CL4849" s="67"/>
      <c r="CM4849" s="242">
        <v>1.4</v>
      </c>
      <c r="CN4849" s="242">
        <v>1.4</v>
      </c>
      <c r="CO4849" s="242"/>
      <c r="CP4849" s="242"/>
      <c r="CQ4849" s="242" t="s">
        <v>164</v>
      </c>
      <c r="CR4849" s="242">
        <v>40.359679971967012</v>
      </c>
      <c r="CS4849" s="242">
        <v>40.359679971967012</v>
      </c>
      <c r="CT4849" s="242">
        <v>4.0359679971967015</v>
      </c>
      <c r="CU4849" s="242">
        <v>4.0359679971967015</v>
      </c>
      <c r="CV4849" s="242" t="s">
        <v>5151</v>
      </c>
      <c r="CW4849" s="242"/>
      <c r="CX4849" s="242"/>
      <c r="CY4849" s="242"/>
      <c r="CZ4849" s="242"/>
      <c r="DA4849" s="67" t="s">
        <v>5443</v>
      </c>
      <c r="DB4849" s="67"/>
      <c r="DC4849" s="67"/>
      <c r="DD4849" s="67"/>
      <c r="DE4849" s="67"/>
      <c r="DF4849" s="67"/>
      <c r="DG4849" s="67"/>
      <c r="DH4849" s="67"/>
      <c r="DI4849" s="67"/>
      <c r="DJ4849" s="67"/>
      <c r="DK4849" s="67"/>
      <c r="DL4849" s="67"/>
      <c r="DM4849" s="67"/>
      <c r="DN4849" s="67"/>
      <c r="DO4849" s="67"/>
      <c r="DP4849" s="67"/>
      <c r="DQ4849" s="166">
        <v>5.8</v>
      </c>
      <c r="DR4849" s="166">
        <v>5.8</v>
      </c>
      <c r="DS4849" s="163"/>
      <c r="DT4849" s="163"/>
      <c r="DU4849" s="67"/>
      <c r="DV4849" s="67"/>
      <c r="DW4849" s="67"/>
      <c r="DX4849" s="67"/>
      <c r="DY4849" s="67"/>
      <c r="DZ4849" s="67"/>
      <c r="EA4849" s="67"/>
      <c r="EB4849" s="67"/>
      <c r="EC4849" s="67"/>
      <c r="ED4849" s="67"/>
      <c r="EE4849" s="67"/>
      <c r="EF4849" s="67"/>
      <c r="EG4849" s="67"/>
      <c r="EH4849" s="67"/>
      <c r="EI4849" s="67"/>
      <c r="EJ4849" s="67"/>
      <c r="EK4849" s="94"/>
      <c r="EL4849" s="94"/>
      <c r="EM4849" s="67"/>
      <c r="EN4849" s="67"/>
      <c r="EO4849" s="67"/>
      <c r="EP4849" s="67"/>
      <c r="EQ4849" s="67"/>
      <c r="ER4849" s="67"/>
      <c r="ES4849" s="67"/>
      <c r="ET4849" s="67"/>
      <c r="EU4849" s="67"/>
      <c r="EV4849" s="67"/>
      <c r="EW4849" s="67"/>
      <c r="EX4849" s="67"/>
      <c r="EY4849" s="67"/>
      <c r="EZ4849" s="67"/>
      <c r="FA4849" s="67"/>
      <c r="FB4849" s="67"/>
      <c r="FC4849" s="67"/>
      <c r="FD4849" s="67"/>
      <c r="FE4849" s="67"/>
      <c r="FF4849" s="67"/>
      <c r="FG4849" s="67"/>
      <c r="FH4849" s="67"/>
      <c r="FI4849" s="67"/>
      <c r="FJ4849" s="67"/>
      <c r="FK4849" s="67"/>
      <c r="FL4849" s="67"/>
      <c r="FM4849" s="67"/>
      <c r="FN4849" s="67"/>
      <c r="FO4849" s="67"/>
      <c r="FP4849" s="67"/>
      <c r="FQ4849" s="67"/>
      <c r="FR4849" s="67"/>
      <c r="FS4849" s="67"/>
      <c r="FT4849" s="67"/>
      <c r="FU4849" s="67"/>
      <c r="FV4849" s="67"/>
      <c r="FW4849" s="67"/>
      <c r="FX4849" s="67"/>
      <c r="FY4849" s="67"/>
      <c r="FZ4849" s="67"/>
      <c r="GA4849" s="67"/>
      <c r="GB4849" s="67"/>
      <c r="GC4849" s="67"/>
      <c r="GD4849" s="67"/>
      <c r="GE4849" s="67"/>
      <c r="GF4849" s="67"/>
      <c r="GG4849" s="67"/>
      <c r="GH4849" s="67"/>
      <c r="GI4849" s="67"/>
      <c r="GJ4849" s="67"/>
      <c r="GK4849" s="67"/>
      <c r="GL4849" s="67"/>
      <c r="GM4849" s="67"/>
      <c r="GN4849" s="292"/>
      <c r="GO4849" s="292"/>
      <c r="GP4849" s="292" t="s">
        <v>7494</v>
      </c>
      <c r="GQ4849" s="67"/>
      <c r="GR4849" s="67"/>
      <c r="GS4849" s="67"/>
      <c r="GT4849" s="67"/>
      <c r="GU4849" s="67"/>
      <c r="GV4849" s="67"/>
      <c r="GW4849" s="67"/>
      <c r="GX4849" s="67"/>
      <c r="GY4849" s="67"/>
      <c r="GZ4849" s="67"/>
      <c r="HA4849" s="67"/>
      <c r="HB4849" s="67"/>
      <c r="HC4849" s="67"/>
      <c r="HD4849" s="67"/>
      <c r="HE4849" s="67"/>
      <c r="HF4849" s="67"/>
      <c r="HG4849" s="67"/>
      <c r="HH4849" s="67"/>
      <c r="HI4849" s="67"/>
      <c r="HJ4849" s="67"/>
      <c r="HK4849" s="67"/>
      <c r="HL4849" s="67"/>
      <c r="HM4849" s="67"/>
      <c r="HN4849" s="67"/>
      <c r="HO4849" s="67"/>
      <c r="HP4849" s="67"/>
      <c r="HQ4849" s="67"/>
      <c r="HR4849" s="67"/>
      <c r="HS4849" s="67"/>
      <c r="HT4849" s="67"/>
      <c r="HU4849" s="67"/>
      <c r="HV4849" s="67"/>
      <c r="HW4849" s="67"/>
      <c r="HX4849" s="67"/>
      <c r="HY4849" s="67"/>
      <c r="HZ4849" s="67"/>
      <c r="IA4849" s="67"/>
      <c r="IB4849" s="67"/>
      <c r="IC4849" s="67"/>
      <c r="ID4849" s="67"/>
      <c r="IE4849" s="67"/>
      <c r="IF4849" s="67"/>
      <c r="IG4849" s="67"/>
      <c r="IH4849" s="67"/>
      <c r="II4849" s="67"/>
      <c r="IJ4849" s="67"/>
      <c r="IK4849" s="67"/>
      <c r="IL4849" s="67"/>
      <c r="IM4849" s="67"/>
      <c r="IN4849" s="67"/>
      <c r="IO4849" s="67"/>
      <c r="IP4849" s="67"/>
      <c r="IQ4849" s="67"/>
      <c r="IR4849" s="67"/>
      <c r="IS4849" s="67"/>
      <c r="IT4849" s="67"/>
      <c r="IU4849" s="67"/>
      <c r="IV4849" s="67"/>
      <c r="IW4849" s="67"/>
      <c r="IX4849" s="67"/>
      <c r="IY4849" s="67"/>
      <c r="IZ4849" s="67"/>
      <c r="JA4849" s="67"/>
      <c r="JB4849" s="67"/>
      <c r="JC4849" s="67"/>
      <c r="JD4849" s="67"/>
      <c r="JE4849" s="67"/>
      <c r="JF4849" s="67"/>
      <c r="JG4849" s="67"/>
      <c r="JH4849" s="67"/>
      <c r="JI4849" s="67"/>
      <c r="JJ4849" s="67"/>
      <c r="JK4849" s="67"/>
      <c r="JL4849" s="67"/>
      <c r="JM4849" s="67"/>
      <c r="JN4849" s="67"/>
      <c r="JO4849" s="67"/>
      <c r="JP4849" s="67"/>
      <c r="JQ4849" s="67"/>
      <c r="JR4849" s="67"/>
      <c r="JS4849" s="67"/>
      <c r="JT4849" s="67"/>
      <c r="JU4849" s="58"/>
      <c r="JV4849" s="58"/>
      <c r="JW4849" s="58"/>
    </row>
    <row r="4850" spans="1:283" s="23" customFormat="1" x14ac:dyDescent="0.25">
      <c r="A4850" s="55">
        <v>4849</v>
      </c>
      <c r="B4850" s="12" t="s">
        <v>7067</v>
      </c>
      <c r="C4850" s="156">
        <v>223</v>
      </c>
      <c r="D4850" s="58" t="s">
        <v>4913</v>
      </c>
      <c r="E4850" s="160" t="str">
        <f>G4850</f>
        <v>Droogers &amp; Bouma 1996_grass topsoil</v>
      </c>
      <c r="F4850" s="160"/>
      <c r="G4850" s="60" t="s">
        <v>4816</v>
      </c>
      <c r="H4850" s="58">
        <v>1996</v>
      </c>
      <c r="I4850" s="58" t="s">
        <v>5921</v>
      </c>
      <c r="J4850" s="243" t="s">
        <v>2013</v>
      </c>
      <c r="K4850" s="63" t="s">
        <v>5119</v>
      </c>
      <c r="L4850" s="58" t="s">
        <v>5328</v>
      </c>
      <c r="M4850" s="94">
        <v>52.02</v>
      </c>
      <c r="N4850" s="94">
        <v>4.49</v>
      </c>
      <c r="O4850" s="94">
        <v>2</v>
      </c>
      <c r="P4850" s="58"/>
      <c r="Q4850" s="244"/>
      <c r="R4850" s="58"/>
      <c r="S4850" s="245"/>
      <c r="T4850" s="58"/>
      <c r="U4850" s="58" t="s">
        <v>4536</v>
      </c>
      <c r="V4850" s="244">
        <v>70</v>
      </c>
      <c r="W4850" s="174"/>
      <c r="X4850" s="174"/>
      <c r="Y4850" s="58" t="s">
        <v>5917</v>
      </c>
      <c r="Z4850" s="244" t="s">
        <v>1356</v>
      </c>
      <c r="AA4850" s="245">
        <v>30</v>
      </c>
      <c r="AB4850" s="67"/>
      <c r="AC4850" s="67"/>
      <c r="AD4850" s="94"/>
      <c r="AE4850" s="94">
        <v>42</v>
      </c>
      <c r="AF4850" s="94">
        <v>38</v>
      </c>
      <c r="AG4850" s="245">
        <v>20</v>
      </c>
      <c r="AH4850" s="58" t="s">
        <v>139</v>
      </c>
      <c r="AI4850" s="169"/>
      <c r="AJ4850" s="94"/>
      <c r="AK4850" s="94"/>
      <c r="AL4850" s="58"/>
      <c r="AM4850" s="58" t="s">
        <v>5916</v>
      </c>
      <c r="AN4850" s="186"/>
      <c r="AO4850" s="185" t="s">
        <v>7494</v>
      </c>
      <c r="AP4850" s="58"/>
      <c r="AQ4850" s="58"/>
      <c r="AR4850" s="246" t="s">
        <v>5134</v>
      </c>
      <c r="AS4850" s="246" t="s">
        <v>5529</v>
      </c>
      <c r="AT4850" s="247">
        <v>0</v>
      </c>
      <c r="AU4850" s="181" t="s">
        <v>7494</v>
      </c>
      <c r="AV4850" s="185" t="s">
        <v>176</v>
      </c>
      <c r="AW4850" s="244">
        <v>0</v>
      </c>
      <c r="AX4850" s="185" t="s">
        <v>176</v>
      </c>
      <c r="AY4850" s="244" t="s">
        <v>176</v>
      </c>
      <c r="AZ4850" s="58"/>
      <c r="BA4850" s="58"/>
      <c r="BB4850" s="58"/>
      <c r="BC4850" s="58"/>
      <c r="BD4850" s="58"/>
      <c r="BE4850" s="236" t="s">
        <v>5155</v>
      </c>
      <c r="BF4850" s="191" t="s">
        <v>176</v>
      </c>
      <c r="BG4850" s="191" t="s">
        <v>479</v>
      </c>
      <c r="BH4850" s="236" t="s">
        <v>5155</v>
      </c>
      <c r="BI4850" s="191" t="s">
        <v>479</v>
      </c>
      <c r="BJ4850" s="58" t="str">
        <f>IF(BE4850=BH4850,"No","yes")</f>
        <v>No</v>
      </c>
      <c r="BK4850" s="58" t="s">
        <v>6334</v>
      </c>
      <c r="BL4850" s="58"/>
      <c r="BM4850" s="237"/>
      <c r="BN4850" s="244">
        <v>4</v>
      </c>
      <c r="BO4850" s="244">
        <v>4</v>
      </c>
      <c r="BP4850" s="58"/>
      <c r="BQ4850" s="58"/>
      <c r="BR4850" s="58"/>
      <c r="BS4850" s="58"/>
      <c r="BT4850" s="58"/>
      <c r="BU4850" s="58"/>
      <c r="BV4850" s="58"/>
      <c r="BW4850" s="67"/>
      <c r="BX4850" s="67"/>
      <c r="BY4850" s="67"/>
      <c r="BZ4850" s="67"/>
      <c r="CA4850" s="67"/>
      <c r="CB4850" s="70">
        <v>852.38</v>
      </c>
      <c r="CC4850" s="70">
        <v>2670</v>
      </c>
      <c r="CD4850" s="70"/>
      <c r="CE4850" s="67"/>
      <c r="CF4850" s="67"/>
      <c r="CG4850" s="67" t="s">
        <v>2053</v>
      </c>
      <c r="CH4850" s="245">
        <v>1.68</v>
      </c>
      <c r="CI4850" s="245">
        <v>1.47</v>
      </c>
      <c r="CJ4850" s="67"/>
      <c r="CK4850" s="67"/>
      <c r="CL4850" s="67"/>
      <c r="CM4850" s="242">
        <v>0.99</v>
      </c>
      <c r="CN4850" s="242">
        <v>1.92</v>
      </c>
      <c r="CO4850" s="242"/>
      <c r="CP4850" s="242"/>
      <c r="CQ4850" s="242" t="s">
        <v>164</v>
      </c>
      <c r="CR4850" s="242"/>
      <c r="CS4850" s="242"/>
      <c r="CT4850" s="242"/>
      <c r="CU4850" s="242"/>
      <c r="CV4850" s="242"/>
      <c r="CW4850" s="242"/>
      <c r="CX4850" s="242"/>
      <c r="CY4850" s="242"/>
      <c r="CZ4850" s="242"/>
      <c r="DA4850" s="67" t="s">
        <v>5443</v>
      </c>
      <c r="DB4850" s="67"/>
      <c r="DC4850" s="67"/>
      <c r="DD4850" s="67"/>
      <c r="DE4850" s="67"/>
      <c r="DF4850" s="67"/>
      <c r="DG4850" s="67"/>
      <c r="DH4850" s="67"/>
      <c r="DI4850" s="67"/>
      <c r="DJ4850" s="67"/>
      <c r="DK4850" s="67"/>
      <c r="DL4850" s="67"/>
      <c r="DM4850" s="67"/>
      <c r="DN4850" s="67"/>
      <c r="DO4850" s="67"/>
      <c r="DP4850" s="67"/>
      <c r="DQ4850" s="166"/>
      <c r="DR4850" s="166"/>
      <c r="DS4850" s="163"/>
      <c r="DT4850" s="163"/>
      <c r="DU4850" s="67"/>
      <c r="DV4850" s="67"/>
      <c r="DW4850" s="67"/>
      <c r="DX4850" s="67"/>
      <c r="DY4850" s="67"/>
      <c r="DZ4850" s="67"/>
      <c r="EA4850" s="67"/>
      <c r="EB4850" s="67"/>
      <c r="EC4850" s="67"/>
      <c r="ED4850" s="67"/>
      <c r="EE4850" s="67"/>
      <c r="EF4850" s="67"/>
      <c r="EG4850" s="67"/>
      <c r="EH4850" s="67"/>
      <c r="EI4850" s="67"/>
      <c r="EJ4850" s="67"/>
      <c r="EK4850" s="94"/>
      <c r="EL4850" s="94"/>
      <c r="EM4850" s="67"/>
      <c r="EN4850" s="67"/>
      <c r="EO4850" s="67"/>
      <c r="EP4850" s="67">
        <v>0.36</v>
      </c>
      <c r="EQ4850" s="67">
        <v>0.39</v>
      </c>
      <c r="ER4850" s="67"/>
      <c r="ES4850" s="67"/>
      <c r="ET4850" s="67" t="s">
        <v>5918</v>
      </c>
      <c r="EU4850" s="67"/>
      <c r="EV4850" s="67"/>
      <c r="EW4850" s="67"/>
      <c r="EX4850" s="67"/>
      <c r="EY4850" s="67"/>
      <c r="EZ4850" s="67"/>
      <c r="FA4850" s="67"/>
      <c r="FB4850" s="67"/>
      <c r="FC4850" s="67"/>
      <c r="FD4850" s="67"/>
      <c r="FE4850" s="67">
        <v>6.7</v>
      </c>
      <c r="FF4850" s="67">
        <v>2.2999999999999998</v>
      </c>
      <c r="FG4850" s="67"/>
      <c r="FH4850" s="67"/>
      <c r="FI4850" s="67" t="s">
        <v>902</v>
      </c>
      <c r="FJ4850" s="67"/>
      <c r="FK4850" s="67"/>
      <c r="FL4850" s="67"/>
      <c r="FM4850" s="67"/>
      <c r="FN4850" s="67"/>
      <c r="FO4850" s="67"/>
      <c r="FP4850" s="67"/>
      <c r="FQ4850" s="67"/>
      <c r="FR4850" s="67"/>
      <c r="FS4850" s="67"/>
      <c r="FT4850" s="67"/>
      <c r="FU4850" s="67"/>
      <c r="FV4850" s="67"/>
      <c r="FW4850" s="67"/>
      <c r="FX4850" s="67"/>
      <c r="FY4850" s="67"/>
      <c r="FZ4850" s="67"/>
      <c r="GA4850" s="67"/>
      <c r="GB4850" s="67"/>
      <c r="GC4850" s="67"/>
      <c r="GD4850" s="67"/>
      <c r="GE4850" s="67"/>
      <c r="GF4850" s="67"/>
      <c r="GG4850" s="67"/>
      <c r="GH4850" s="67"/>
      <c r="GI4850" s="67"/>
      <c r="GJ4850" s="67"/>
      <c r="GK4850" s="67"/>
      <c r="GL4850" s="67"/>
      <c r="GM4850" s="67"/>
      <c r="GN4850" s="292"/>
      <c r="GO4850" s="292"/>
      <c r="GP4850" s="292" t="s">
        <v>7494</v>
      </c>
      <c r="GQ4850" s="67"/>
      <c r="GR4850" s="67"/>
      <c r="GS4850" s="67"/>
      <c r="GT4850" s="67"/>
      <c r="GU4850" s="67"/>
      <c r="GV4850" s="67"/>
      <c r="GW4850" s="67"/>
      <c r="GX4850" s="67"/>
      <c r="GY4850" s="67"/>
      <c r="GZ4850" s="67"/>
      <c r="HA4850" s="67"/>
      <c r="HB4850" s="67"/>
      <c r="HC4850" s="67"/>
      <c r="HD4850" s="67"/>
      <c r="HE4850" s="67"/>
      <c r="HF4850" s="67"/>
      <c r="HG4850" s="67"/>
      <c r="HH4850" s="67"/>
      <c r="HI4850" s="67"/>
      <c r="HJ4850" s="67"/>
      <c r="HK4850" s="67"/>
      <c r="HL4850" s="67"/>
      <c r="HM4850" s="67"/>
      <c r="HN4850" s="67"/>
      <c r="HO4850" s="67"/>
      <c r="HP4850" s="67"/>
      <c r="HQ4850" s="67"/>
      <c r="HR4850" s="67"/>
      <c r="HS4850" s="67"/>
      <c r="HT4850" s="67"/>
      <c r="HU4850" s="67"/>
      <c r="HV4850" s="67"/>
      <c r="HW4850" s="67"/>
      <c r="HX4850" s="67"/>
      <c r="HY4850" s="67"/>
      <c r="HZ4850" s="67"/>
      <c r="IA4850" s="67"/>
      <c r="IB4850" s="67"/>
      <c r="IC4850" s="67"/>
      <c r="ID4850" s="67"/>
      <c r="IE4850" s="67"/>
      <c r="IF4850" s="67"/>
      <c r="IG4850" s="67"/>
      <c r="IH4850" s="67"/>
      <c r="II4850" s="67"/>
      <c r="IJ4850" s="67"/>
      <c r="IK4850" s="67"/>
      <c r="IL4850" s="67"/>
      <c r="IM4850" s="67"/>
      <c r="IN4850" s="67"/>
      <c r="IO4850" s="67"/>
      <c r="IP4850" s="67"/>
      <c r="IQ4850" s="67"/>
      <c r="IR4850" s="67"/>
      <c r="IS4850" s="67"/>
      <c r="IT4850" s="67"/>
      <c r="IU4850" s="67"/>
      <c r="IV4850" s="67"/>
      <c r="IW4850" s="67"/>
      <c r="IX4850" s="67"/>
      <c r="IY4850" s="67"/>
      <c r="IZ4850" s="67"/>
      <c r="JA4850" s="67"/>
      <c r="JB4850" s="67"/>
      <c r="JC4850" s="67"/>
      <c r="JD4850" s="67"/>
      <c r="JE4850" s="67"/>
      <c r="JF4850" s="67"/>
      <c r="JG4850" s="67"/>
      <c r="JH4850" s="67"/>
      <c r="JI4850" s="67"/>
      <c r="JJ4850" s="67"/>
      <c r="JK4850" s="67"/>
      <c r="JL4850" s="67"/>
      <c r="JM4850" s="67"/>
      <c r="JN4850" s="67"/>
      <c r="JO4850" s="67"/>
      <c r="JP4850" s="67"/>
      <c r="JQ4850" s="67"/>
      <c r="JR4850" s="67"/>
      <c r="JS4850" s="67"/>
      <c r="JT4850" s="67"/>
      <c r="JU4850" s="58"/>
      <c r="JV4850" s="58"/>
      <c r="JW4850" s="58"/>
    </row>
    <row r="4851" spans="1:283" s="23" customFormat="1" x14ac:dyDescent="0.25">
      <c r="A4851" s="55">
        <v>4850</v>
      </c>
      <c r="B4851" s="12" t="s">
        <v>7067</v>
      </c>
      <c r="C4851" s="156">
        <v>223</v>
      </c>
      <c r="D4851" s="58" t="s">
        <v>4911</v>
      </c>
      <c r="E4851" s="160" t="str">
        <f>G4851</f>
        <v>Droogers &amp; Bouma 1996_arable topsoil</v>
      </c>
      <c r="F4851" s="160"/>
      <c r="G4851" s="60" t="s">
        <v>4818</v>
      </c>
      <c r="H4851" s="58">
        <v>1996</v>
      </c>
      <c r="I4851" s="58" t="s">
        <v>5921</v>
      </c>
      <c r="J4851" s="243" t="s">
        <v>2013</v>
      </c>
      <c r="K4851" s="63" t="s">
        <v>5119</v>
      </c>
      <c r="L4851" s="58" t="s">
        <v>5328</v>
      </c>
      <c r="M4851" s="94">
        <v>52.02</v>
      </c>
      <c r="N4851" s="94">
        <v>4.49</v>
      </c>
      <c r="O4851" s="94">
        <v>2</v>
      </c>
      <c r="P4851" s="58"/>
      <c r="Q4851" s="244"/>
      <c r="R4851" s="58"/>
      <c r="S4851" s="245"/>
      <c r="T4851" s="58"/>
      <c r="U4851" s="58" t="s">
        <v>4536</v>
      </c>
      <c r="V4851" s="244">
        <v>70</v>
      </c>
      <c r="W4851" s="174"/>
      <c r="X4851" s="174"/>
      <c r="Y4851" s="58" t="s">
        <v>5917</v>
      </c>
      <c r="Z4851" s="244" t="s">
        <v>1356</v>
      </c>
      <c r="AA4851" s="245">
        <v>30</v>
      </c>
      <c r="AB4851" s="67"/>
      <c r="AC4851" s="67"/>
      <c r="AD4851" s="94"/>
      <c r="AE4851" s="94">
        <v>50</v>
      </c>
      <c r="AF4851" s="94">
        <v>34</v>
      </c>
      <c r="AG4851" s="245">
        <v>16</v>
      </c>
      <c r="AH4851" s="58" t="s">
        <v>139</v>
      </c>
      <c r="AI4851" s="169"/>
      <c r="AJ4851" s="94"/>
      <c r="AK4851" s="94"/>
      <c r="AL4851" s="58"/>
      <c r="AM4851" s="58" t="s">
        <v>5916</v>
      </c>
      <c r="AN4851" s="186"/>
      <c r="AO4851" s="185" t="s">
        <v>7494</v>
      </c>
      <c r="AP4851" s="58"/>
      <c r="AQ4851" s="58"/>
      <c r="AR4851" s="246" t="s">
        <v>5133</v>
      </c>
      <c r="AS4851" s="246" t="s">
        <v>5133</v>
      </c>
      <c r="AT4851" s="247">
        <v>0</v>
      </c>
      <c r="AU4851" s="181" t="s">
        <v>7494</v>
      </c>
      <c r="AV4851" s="185" t="s">
        <v>176</v>
      </c>
      <c r="AW4851" s="244">
        <v>1</v>
      </c>
      <c r="AX4851" s="185" t="s">
        <v>176</v>
      </c>
      <c r="AY4851" s="244" t="s">
        <v>5150</v>
      </c>
      <c r="AZ4851" s="58"/>
      <c r="BA4851" s="58"/>
      <c r="BB4851" s="58"/>
      <c r="BC4851" s="58"/>
      <c r="BD4851" s="58"/>
      <c r="BE4851" s="236" t="s">
        <v>5155</v>
      </c>
      <c r="BF4851" s="191" t="s">
        <v>176</v>
      </c>
      <c r="BG4851" s="191" t="s">
        <v>479</v>
      </c>
      <c r="BH4851" s="236" t="s">
        <v>5155</v>
      </c>
      <c r="BI4851" s="191" t="s">
        <v>479</v>
      </c>
      <c r="BJ4851" s="58" t="str">
        <f>IF(BE4851=BH4851,"No","yes")</f>
        <v>No</v>
      </c>
      <c r="BK4851" s="58" t="s">
        <v>6334</v>
      </c>
      <c r="BL4851" s="58"/>
      <c r="BM4851" s="237"/>
      <c r="BN4851" s="244">
        <v>4</v>
      </c>
      <c r="BO4851" s="244">
        <v>4</v>
      </c>
      <c r="BP4851" s="58"/>
      <c r="BQ4851" s="58"/>
      <c r="BR4851" s="58"/>
      <c r="BS4851" s="58"/>
      <c r="BT4851" s="58"/>
      <c r="BU4851" s="58"/>
      <c r="BV4851" s="58"/>
      <c r="BW4851" s="67"/>
      <c r="BX4851" s="67"/>
      <c r="BY4851" s="67"/>
      <c r="BZ4851" s="67"/>
      <c r="CA4851" s="67"/>
      <c r="CB4851" s="70">
        <v>1782</v>
      </c>
      <c r="CC4851" s="70">
        <v>3559</v>
      </c>
      <c r="CD4851" s="70"/>
      <c r="CE4851" s="67"/>
      <c r="CF4851" s="67"/>
      <c r="CG4851" s="67" t="s">
        <v>2053</v>
      </c>
      <c r="CH4851" s="245">
        <v>1.54</v>
      </c>
      <c r="CI4851" s="245">
        <v>1.52</v>
      </c>
      <c r="CJ4851" s="67"/>
      <c r="CK4851" s="67"/>
      <c r="CL4851" s="67"/>
      <c r="CM4851" s="242">
        <v>1.1100000000000001</v>
      </c>
      <c r="CN4851" s="242">
        <v>1.28</v>
      </c>
      <c r="CO4851" s="242"/>
      <c r="CP4851" s="242"/>
      <c r="CQ4851" s="242" t="s">
        <v>164</v>
      </c>
      <c r="CR4851" s="242"/>
      <c r="CS4851" s="242"/>
      <c r="CT4851" s="242"/>
      <c r="CU4851" s="242"/>
      <c r="CV4851" s="242"/>
      <c r="CW4851" s="242"/>
      <c r="CX4851" s="242"/>
      <c r="CY4851" s="242"/>
      <c r="CZ4851" s="242"/>
      <c r="DA4851" s="67" t="s">
        <v>5443</v>
      </c>
      <c r="DB4851" s="67"/>
      <c r="DC4851" s="67"/>
      <c r="DD4851" s="67"/>
      <c r="DE4851" s="67"/>
      <c r="DF4851" s="67"/>
      <c r="DG4851" s="67"/>
      <c r="DH4851" s="67"/>
      <c r="DI4851" s="67"/>
      <c r="DJ4851" s="67"/>
      <c r="DK4851" s="67"/>
      <c r="DL4851" s="67"/>
      <c r="DM4851" s="67"/>
      <c r="DN4851" s="67"/>
      <c r="DO4851" s="67"/>
      <c r="DP4851" s="67"/>
      <c r="DQ4851" s="166"/>
      <c r="DR4851" s="166"/>
      <c r="DS4851" s="163"/>
      <c r="DT4851" s="163"/>
      <c r="DU4851" s="67"/>
      <c r="DV4851" s="67"/>
      <c r="DW4851" s="67"/>
      <c r="DX4851" s="67"/>
      <c r="DY4851" s="67"/>
      <c r="DZ4851" s="67"/>
      <c r="EA4851" s="67"/>
      <c r="EB4851" s="67"/>
      <c r="EC4851" s="67"/>
      <c r="ED4851" s="67"/>
      <c r="EE4851" s="67"/>
      <c r="EF4851" s="67"/>
      <c r="EG4851" s="67"/>
      <c r="EH4851" s="67"/>
      <c r="EI4851" s="67"/>
      <c r="EJ4851" s="67"/>
      <c r="EK4851" s="94"/>
      <c r="EL4851" s="94"/>
      <c r="EM4851" s="67"/>
      <c r="EN4851" s="67"/>
      <c r="EO4851" s="67"/>
      <c r="EP4851" s="67">
        <v>0.41</v>
      </c>
      <c r="EQ4851" s="67">
        <v>0.42</v>
      </c>
      <c r="ER4851" s="67"/>
      <c r="ES4851" s="67"/>
      <c r="ET4851" s="67" t="s">
        <v>5918</v>
      </c>
      <c r="EU4851" s="67"/>
      <c r="EV4851" s="67"/>
      <c r="EW4851" s="67"/>
      <c r="EX4851" s="67"/>
      <c r="EY4851" s="67"/>
      <c r="EZ4851" s="67"/>
      <c r="FA4851" s="67"/>
      <c r="FB4851" s="67"/>
      <c r="FC4851" s="67"/>
      <c r="FD4851" s="67"/>
      <c r="FE4851" s="67">
        <v>6.6</v>
      </c>
      <c r="FF4851" s="67">
        <v>10.1</v>
      </c>
      <c r="FG4851" s="67"/>
      <c r="FH4851" s="67"/>
      <c r="FI4851" s="67" t="s">
        <v>902</v>
      </c>
      <c r="FJ4851" s="67"/>
      <c r="FK4851" s="67"/>
      <c r="FL4851" s="67"/>
      <c r="FM4851" s="67"/>
      <c r="FN4851" s="67"/>
      <c r="FO4851" s="67"/>
      <c r="FP4851" s="67"/>
      <c r="FQ4851" s="67"/>
      <c r="FR4851" s="67"/>
      <c r="FS4851" s="67"/>
      <c r="FT4851" s="67"/>
      <c r="FU4851" s="67"/>
      <c r="FV4851" s="67"/>
      <c r="FW4851" s="67"/>
      <c r="FX4851" s="67"/>
      <c r="FY4851" s="67"/>
      <c r="FZ4851" s="67"/>
      <c r="GA4851" s="67"/>
      <c r="GB4851" s="67"/>
      <c r="GC4851" s="67"/>
      <c r="GD4851" s="67"/>
      <c r="GE4851" s="67"/>
      <c r="GF4851" s="67"/>
      <c r="GG4851" s="67"/>
      <c r="GH4851" s="67"/>
      <c r="GI4851" s="67"/>
      <c r="GJ4851" s="67"/>
      <c r="GK4851" s="67"/>
      <c r="GL4851" s="67"/>
      <c r="GM4851" s="67"/>
      <c r="GN4851" s="292"/>
      <c r="GO4851" s="292"/>
      <c r="GP4851" s="292" t="s">
        <v>7494</v>
      </c>
      <c r="GQ4851" s="67"/>
      <c r="GR4851" s="67"/>
      <c r="GS4851" s="67"/>
      <c r="GT4851" s="67"/>
      <c r="GU4851" s="67"/>
      <c r="GV4851" s="67"/>
      <c r="GW4851" s="67"/>
      <c r="GX4851" s="67"/>
      <c r="GY4851" s="67"/>
      <c r="GZ4851" s="67"/>
      <c r="HA4851" s="67"/>
      <c r="HB4851" s="67"/>
      <c r="HC4851" s="67"/>
      <c r="HD4851" s="67"/>
      <c r="HE4851" s="67"/>
      <c r="HF4851" s="67"/>
      <c r="HG4851" s="67"/>
      <c r="HH4851" s="67"/>
      <c r="HI4851" s="67"/>
      <c r="HJ4851" s="67"/>
      <c r="HK4851" s="67"/>
      <c r="HL4851" s="67"/>
      <c r="HM4851" s="67"/>
      <c r="HN4851" s="67"/>
      <c r="HO4851" s="67"/>
      <c r="HP4851" s="67"/>
      <c r="HQ4851" s="67"/>
      <c r="HR4851" s="67"/>
      <c r="HS4851" s="67"/>
      <c r="HT4851" s="67"/>
      <c r="HU4851" s="67"/>
      <c r="HV4851" s="67"/>
      <c r="HW4851" s="67"/>
      <c r="HX4851" s="67"/>
      <c r="HY4851" s="67"/>
      <c r="HZ4851" s="67"/>
      <c r="IA4851" s="67"/>
      <c r="IB4851" s="67"/>
      <c r="IC4851" s="67"/>
      <c r="ID4851" s="67"/>
      <c r="IE4851" s="67"/>
      <c r="IF4851" s="67"/>
      <c r="IG4851" s="67"/>
      <c r="IH4851" s="67"/>
      <c r="II4851" s="67"/>
      <c r="IJ4851" s="67"/>
      <c r="IK4851" s="67"/>
      <c r="IL4851" s="67"/>
      <c r="IM4851" s="67"/>
      <c r="IN4851" s="67"/>
      <c r="IO4851" s="67"/>
      <c r="IP4851" s="67"/>
      <c r="IQ4851" s="67"/>
      <c r="IR4851" s="67"/>
      <c r="IS4851" s="67"/>
      <c r="IT4851" s="67"/>
      <c r="IU4851" s="67"/>
      <c r="IV4851" s="67"/>
      <c r="IW4851" s="67"/>
      <c r="IX4851" s="67"/>
      <c r="IY4851" s="67"/>
      <c r="IZ4851" s="67"/>
      <c r="JA4851" s="67"/>
      <c r="JB4851" s="67"/>
      <c r="JC4851" s="67"/>
      <c r="JD4851" s="67"/>
      <c r="JE4851" s="67"/>
      <c r="JF4851" s="67"/>
      <c r="JG4851" s="67"/>
      <c r="JH4851" s="67"/>
      <c r="JI4851" s="67"/>
      <c r="JJ4851" s="67"/>
      <c r="JK4851" s="67"/>
      <c r="JL4851" s="67"/>
      <c r="JM4851" s="67"/>
      <c r="JN4851" s="67"/>
      <c r="JO4851" s="67"/>
      <c r="JP4851" s="67"/>
      <c r="JQ4851" s="67"/>
      <c r="JR4851" s="67"/>
      <c r="JS4851" s="67"/>
      <c r="JT4851" s="67"/>
      <c r="JU4851" s="58"/>
      <c r="JV4851" s="58"/>
      <c r="JW4851" s="58"/>
    </row>
    <row r="4852" spans="1:283" s="23" customFormat="1" x14ac:dyDescent="0.25">
      <c r="A4852" s="55">
        <v>4851</v>
      </c>
      <c r="B4852" s="12" t="s">
        <v>7067</v>
      </c>
      <c r="C4852" s="156">
        <v>223</v>
      </c>
      <c r="D4852" s="58" t="s">
        <v>4912</v>
      </c>
      <c r="E4852" s="160" t="str">
        <f>G4852</f>
        <v>Droogers &amp; Bouma 1996_grass subsoil</v>
      </c>
      <c r="F4852" s="160"/>
      <c r="G4852" s="60" t="s">
        <v>4817</v>
      </c>
      <c r="H4852" s="58">
        <v>1996</v>
      </c>
      <c r="I4852" s="58" t="s">
        <v>5921</v>
      </c>
      <c r="J4852" s="243" t="s">
        <v>2013</v>
      </c>
      <c r="K4852" s="63" t="s">
        <v>5119</v>
      </c>
      <c r="L4852" s="58" t="s">
        <v>5328</v>
      </c>
      <c r="M4852" s="94">
        <v>52.02</v>
      </c>
      <c r="N4852" s="94">
        <v>4.49</v>
      </c>
      <c r="O4852" s="94">
        <v>2</v>
      </c>
      <c r="P4852" s="58"/>
      <c r="Q4852" s="244"/>
      <c r="R4852" s="58"/>
      <c r="S4852" s="245"/>
      <c r="T4852" s="58"/>
      <c r="U4852" s="58" t="s">
        <v>4536</v>
      </c>
      <c r="V4852" s="244">
        <v>70</v>
      </c>
      <c r="W4852" s="174"/>
      <c r="X4852" s="174"/>
      <c r="Y4852" s="58" t="s">
        <v>5917</v>
      </c>
      <c r="Z4852" s="244" t="s">
        <v>1369</v>
      </c>
      <c r="AA4852" s="245">
        <v>30</v>
      </c>
      <c r="AB4852" s="67"/>
      <c r="AC4852" s="67"/>
      <c r="AD4852" s="94"/>
      <c r="AE4852" s="94">
        <v>37</v>
      </c>
      <c r="AF4852" s="94">
        <v>45</v>
      </c>
      <c r="AG4852" s="245">
        <v>18</v>
      </c>
      <c r="AH4852" s="58" t="s">
        <v>139</v>
      </c>
      <c r="AI4852" s="169"/>
      <c r="AJ4852" s="94"/>
      <c r="AK4852" s="94"/>
      <c r="AL4852" s="58"/>
      <c r="AM4852" s="58" t="s">
        <v>5916</v>
      </c>
      <c r="AN4852" s="186"/>
      <c r="AO4852" s="185" t="s">
        <v>7494</v>
      </c>
      <c r="AP4852" s="58"/>
      <c r="AQ4852" s="58"/>
      <c r="AR4852" s="246" t="s">
        <v>5134</v>
      </c>
      <c r="AS4852" s="246" t="s">
        <v>5529</v>
      </c>
      <c r="AT4852" s="247">
        <v>0</v>
      </c>
      <c r="AU4852" s="181" t="s">
        <v>7494</v>
      </c>
      <c r="AV4852" s="185" t="s">
        <v>176</v>
      </c>
      <c r="AW4852" s="244">
        <v>0</v>
      </c>
      <c r="AX4852" s="185" t="s">
        <v>176</v>
      </c>
      <c r="AY4852" s="244" t="s">
        <v>176</v>
      </c>
      <c r="AZ4852" s="58"/>
      <c r="BA4852" s="58"/>
      <c r="BB4852" s="58"/>
      <c r="BC4852" s="58"/>
      <c r="BD4852" s="58"/>
      <c r="BE4852" s="236" t="s">
        <v>5155</v>
      </c>
      <c r="BF4852" s="191" t="s">
        <v>176</v>
      </c>
      <c r="BG4852" s="191" t="s">
        <v>479</v>
      </c>
      <c r="BH4852" s="236" t="s">
        <v>5155</v>
      </c>
      <c r="BI4852" s="191" t="s">
        <v>479</v>
      </c>
      <c r="BJ4852" s="58" t="str">
        <f>IF(BE4852=BH4852,"No","yes")</f>
        <v>No</v>
      </c>
      <c r="BK4852" s="58" t="s">
        <v>6334</v>
      </c>
      <c r="BL4852" s="58"/>
      <c r="BM4852" s="237"/>
      <c r="BN4852" s="244">
        <v>4</v>
      </c>
      <c r="BO4852" s="244">
        <v>4</v>
      </c>
      <c r="BP4852" s="58"/>
      <c r="BQ4852" s="58"/>
      <c r="BR4852" s="58"/>
      <c r="BS4852" s="58"/>
      <c r="BT4852" s="58"/>
      <c r="BU4852" s="58"/>
      <c r="BV4852" s="58"/>
      <c r="BW4852" s="67"/>
      <c r="BX4852" s="67"/>
      <c r="BY4852" s="67"/>
      <c r="BZ4852" s="67"/>
      <c r="CA4852" s="67"/>
      <c r="CB4852" s="70">
        <v>6060</v>
      </c>
      <c r="CC4852" s="70">
        <v>8120</v>
      </c>
      <c r="CD4852" s="70"/>
      <c r="CE4852" s="67"/>
      <c r="CF4852" s="67"/>
      <c r="CG4852" s="67" t="s">
        <v>2053</v>
      </c>
      <c r="CH4852" s="245">
        <v>1.59</v>
      </c>
      <c r="CI4852" s="245">
        <v>1.51</v>
      </c>
      <c r="CJ4852" s="67"/>
      <c r="CK4852" s="67"/>
      <c r="CL4852" s="67"/>
      <c r="CM4852" s="242">
        <v>0.57999999999999996</v>
      </c>
      <c r="CN4852" s="242">
        <v>0.64</v>
      </c>
      <c r="CO4852" s="242"/>
      <c r="CP4852" s="242"/>
      <c r="CQ4852" s="242" t="s">
        <v>164</v>
      </c>
      <c r="CR4852" s="242"/>
      <c r="CS4852" s="242"/>
      <c r="CT4852" s="242"/>
      <c r="CU4852" s="242"/>
      <c r="CV4852" s="242"/>
      <c r="CW4852" s="242"/>
      <c r="CX4852" s="242"/>
      <c r="CY4852" s="242"/>
      <c r="CZ4852" s="242"/>
      <c r="DA4852" s="67" t="s">
        <v>5443</v>
      </c>
      <c r="DB4852" s="67"/>
      <c r="DC4852" s="67"/>
      <c r="DD4852" s="67"/>
      <c r="DE4852" s="67"/>
      <c r="DF4852" s="67"/>
      <c r="DG4852" s="67"/>
      <c r="DH4852" s="67"/>
      <c r="DI4852" s="67"/>
      <c r="DJ4852" s="67"/>
      <c r="DK4852" s="67"/>
      <c r="DL4852" s="67"/>
      <c r="DM4852" s="67"/>
      <c r="DN4852" s="67"/>
      <c r="DO4852" s="67"/>
      <c r="DP4852" s="67"/>
      <c r="DQ4852" s="166"/>
      <c r="DR4852" s="166"/>
      <c r="DS4852" s="163"/>
      <c r="DT4852" s="163"/>
      <c r="DU4852" s="67"/>
      <c r="DV4852" s="67"/>
      <c r="DW4852" s="67"/>
      <c r="DX4852" s="67"/>
      <c r="DY4852" s="67"/>
      <c r="DZ4852" s="67"/>
      <c r="EA4852" s="67"/>
      <c r="EB4852" s="67"/>
      <c r="EC4852" s="67"/>
      <c r="ED4852" s="67"/>
      <c r="EE4852" s="67"/>
      <c r="EF4852" s="67"/>
      <c r="EG4852" s="67"/>
      <c r="EH4852" s="67"/>
      <c r="EI4852" s="67"/>
      <c r="EJ4852" s="67"/>
      <c r="EK4852" s="94"/>
      <c r="EL4852" s="94"/>
      <c r="EM4852" s="67"/>
      <c r="EN4852" s="67"/>
      <c r="EO4852" s="67"/>
      <c r="EP4852" s="67">
        <v>0.4</v>
      </c>
      <c r="EQ4852" s="67">
        <v>0.39</v>
      </c>
      <c r="ER4852" s="67"/>
      <c r="ES4852" s="67"/>
      <c r="ET4852" s="67" t="s">
        <v>5918</v>
      </c>
      <c r="EU4852" s="67"/>
      <c r="EV4852" s="67"/>
      <c r="EW4852" s="67"/>
      <c r="EX4852" s="67"/>
      <c r="EY4852" s="67"/>
      <c r="EZ4852" s="67"/>
      <c r="FA4852" s="67"/>
      <c r="FB4852" s="67"/>
      <c r="FC4852" s="67"/>
      <c r="FD4852" s="67"/>
      <c r="FE4852" s="67">
        <v>10.5</v>
      </c>
      <c r="FF4852" s="67">
        <v>5</v>
      </c>
      <c r="FG4852" s="67"/>
      <c r="FH4852" s="67"/>
      <c r="FI4852" s="67" t="s">
        <v>902</v>
      </c>
      <c r="FJ4852" s="67"/>
      <c r="FK4852" s="67"/>
      <c r="FL4852" s="67"/>
      <c r="FM4852" s="67"/>
      <c r="FN4852" s="67"/>
      <c r="FO4852" s="67"/>
      <c r="FP4852" s="67"/>
      <c r="FQ4852" s="67"/>
      <c r="FR4852" s="67"/>
      <c r="FS4852" s="67"/>
      <c r="FT4852" s="67"/>
      <c r="FU4852" s="67"/>
      <c r="FV4852" s="67"/>
      <c r="FW4852" s="67"/>
      <c r="FX4852" s="67"/>
      <c r="FY4852" s="67"/>
      <c r="FZ4852" s="67"/>
      <c r="GA4852" s="67"/>
      <c r="GB4852" s="67"/>
      <c r="GC4852" s="67"/>
      <c r="GD4852" s="67"/>
      <c r="GE4852" s="67"/>
      <c r="GF4852" s="67"/>
      <c r="GG4852" s="67"/>
      <c r="GH4852" s="67"/>
      <c r="GI4852" s="67"/>
      <c r="GJ4852" s="67"/>
      <c r="GK4852" s="67"/>
      <c r="GL4852" s="67"/>
      <c r="GM4852" s="67"/>
      <c r="GN4852" s="292"/>
      <c r="GO4852" s="292"/>
      <c r="GP4852" s="292" t="s">
        <v>7494</v>
      </c>
      <c r="GQ4852" s="67"/>
      <c r="GR4852" s="67"/>
      <c r="GS4852" s="67"/>
      <c r="GT4852" s="67"/>
      <c r="GU4852" s="67"/>
      <c r="GV4852" s="67"/>
      <c r="GW4852" s="67"/>
      <c r="GX4852" s="67"/>
      <c r="GY4852" s="67"/>
      <c r="GZ4852" s="67"/>
      <c r="HA4852" s="67"/>
      <c r="HB4852" s="67"/>
      <c r="HC4852" s="67"/>
      <c r="HD4852" s="67"/>
      <c r="HE4852" s="67"/>
      <c r="HF4852" s="67"/>
      <c r="HG4852" s="67"/>
      <c r="HH4852" s="67"/>
      <c r="HI4852" s="67"/>
      <c r="HJ4852" s="67"/>
      <c r="HK4852" s="67"/>
      <c r="HL4852" s="67"/>
      <c r="HM4852" s="67"/>
      <c r="HN4852" s="67"/>
      <c r="HO4852" s="67"/>
      <c r="HP4852" s="67"/>
      <c r="HQ4852" s="67"/>
      <c r="HR4852" s="67"/>
      <c r="HS4852" s="67"/>
      <c r="HT4852" s="67"/>
      <c r="HU4852" s="67"/>
      <c r="HV4852" s="67"/>
      <c r="HW4852" s="67"/>
      <c r="HX4852" s="67"/>
      <c r="HY4852" s="67"/>
      <c r="HZ4852" s="67"/>
      <c r="IA4852" s="67"/>
      <c r="IB4852" s="67"/>
      <c r="IC4852" s="67"/>
      <c r="ID4852" s="67"/>
      <c r="IE4852" s="67"/>
      <c r="IF4852" s="67"/>
      <c r="IG4852" s="67"/>
      <c r="IH4852" s="67"/>
      <c r="II4852" s="67"/>
      <c r="IJ4852" s="67"/>
      <c r="IK4852" s="67"/>
      <c r="IL4852" s="67"/>
      <c r="IM4852" s="67"/>
      <c r="IN4852" s="67"/>
      <c r="IO4852" s="67"/>
      <c r="IP4852" s="67"/>
      <c r="IQ4852" s="67"/>
      <c r="IR4852" s="67"/>
      <c r="IS4852" s="67"/>
      <c r="IT4852" s="67"/>
      <c r="IU4852" s="67"/>
      <c r="IV4852" s="67"/>
      <c r="IW4852" s="67"/>
      <c r="IX4852" s="67"/>
      <c r="IY4852" s="67"/>
      <c r="IZ4852" s="67"/>
      <c r="JA4852" s="67"/>
      <c r="JB4852" s="67"/>
      <c r="JC4852" s="67"/>
      <c r="JD4852" s="67"/>
      <c r="JE4852" s="67"/>
      <c r="JF4852" s="67"/>
      <c r="JG4852" s="67"/>
      <c r="JH4852" s="67"/>
      <c r="JI4852" s="67"/>
      <c r="JJ4852" s="67"/>
      <c r="JK4852" s="67"/>
      <c r="JL4852" s="67"/>
      <c r="JM4852" s="67"/>
      <c r="JN4852" s="67"/>
      <c r="JO4852" s="67"/>
      <c r="JP4852" s="67"/>
      <c r="JQ4852" s="67"/>
      <c r="JR4852" s="67"/>
      <c r="JS4852" s="67"/>
      <c r="JT4852" s="67"/>
      <c r="JU4852" s="58"/>
      <c r="JV4852" s="58"/>
      <c r="JW4852" s="58"/>
    </row>
    <row r="4853" spans="1:283" s="23" customFormat="1" x14ac:dyDescent="0.25">
      <c r="A4853" s="55">
        <v>4852</v>
      </c>
      <c r="B4853" s="12" t="s">
        <v>7067</v>
      </c>
      <c r="C4853" s="156">
        <v>223</v>
      </c>
      <c r="D4853" s="58" t="s">
        <v>4908</v>
      </c>
      <c r="E4853" s="160" t="str">
        <f>G4853</f>
        <v>Droogers &amp; Bouma 1996_arable subsoil</v>
      </c>
      <c r="F4853" s="160"/>
      <c r="G4853" s="60" t="s">
        <v>4819</v>
      </c>
      <c r="H4853" s="58">
        <v>1996</v>
      </c>
      <c r="I4853" s="58" t="s">
        <v>5921</v>
      </c>
      <c r="J4853" s="243" t="s">
        <v>2013</v>
      </c>
      <c r="K4853" s="63" t="s">
        <v>5119</v>
      </c>
      <c r="L4853" s="58" t="s">
        <v>5328</v>
      </c>
      <c r="M4853" s="94">
        <v>52.02</v>
      </c>
      <c r="N4853" s="94">
        <v>4.49</v>
      </c>
      <c r="O4853" s="94">
        <v>2</v>
      </c>
      <c r="P4853" s="58"/>
      <c r="Q4853" s="244"/>
      <c r="R4853" s="58"/>
      <c r="S4853" s="245"/>
      <c r="T4853" s="58"/>
      <c r="U4853" s="58" t="s">
        <v>4536</v>
      </c>
      <c r="V4853" s="244">
        <v>70</v>
      </c>
      <c r="W4853" s="174"/>
      <c r="X4853" s="174"/>
      <c r="Y4853" s="58" t="s">
        <v>5917</v>
      </c>
      <c r="Z4853" s="244" t="s">
        <v>1369</v>
      </c>
      <c r="AA4853" s="245">
        <v>30</v>
      </c>
      <c r="AB4853" s="67"/>
      <c r="AC4853" s="67"/>
      <c r="AD4853" s="94"/>
      <c r="AE4853" s="94">
        <v>43</v>
      </c>
      <c r="AF4853" s="94">
        <v>41</v>
      </c>
      <c r="AG4853" s="245">
        <v>16</v>
      </c>
      <c r="AH4853" s="58" t="s">
        <v>139</v>
      </c>
      <c r="AI4853" s="169"/>
      <c r="AJ4853" s="94"/>
      <c r="AK4853" s="94"/>
      <c r="AL4853" s="58"/>
      <c r="AM4853" s="58" t="s">
        <v>5916</v>
      </c>
      <c r="AN4853" s="186"/>
      <c r="AO4853" s="185" t="s">
        <v>7494</v>
      </c>
      <c r="AP4853" s="58"/>
      <c r="AQ4853" s="58"/>
      <c r="AR4853" s="246" t="s">
        <v>5133</v>
      </c>
      <c r="AS4853" s="246" t="s">
        <v>5133</v>
      </c>
      <c r="AT4853" s="247">
        <v>0</v>
      </c>
      <c r="AU4853" s="181" t="s">
        <v>7494</v>
      </c>
      <c r="AV4853" s="185" t="s">
        <v>176</v>
      </c>
      <c r="AW4853" s="244">
        <v>1</v>
      </c>
      <c r="AX4853" s="185" t="s">
        <v>176</v>
      </c>
      <c r="AY4853" s="244" t="s">
        <v>5150</v>
      </c>
      <c r="AZ4853" s="58"/>
      <c r="BA4853" s="58"/>
      <c r="BB4853" s="58"/>
      <c r="BC4853" s="58"/>
      <c r="BD4853" s="58"/>
      <c r="BE4853" s="236" t="s">
        <v>5155</v>
      </c>
      <c r="BF4853" s="191" t="s">
        <v>176</v>
      </c>
      <c r="BG4853" s="191" t="s">
        <v>479</v>
      </c>
      <c r="BH4853" s="236" t="s">
        <v>5155</v>
      </c>
      <c r="BI4853" s="191" t="s">
        <v>479</v>
      </c>
      <c r="BJ4853" s="58" t="str">
        <f>IF(BE4853=BH4853,"No","yes")</f>
        <v>No</v>
      </c>
      <c r="BK4853" s="58" t="s">
        <v>6334</v>
      </c>
      <c r="BL4853" s="58"/>
      <c r="BM4853" s="237"/>
      <c r="BN4853" s="244">
        <v>4</v>
      </c>
      <c r="BO4853" s="244">
        <v>4</v>
      </c>
      <c r="BP4853" s="58"/>
      <c r="BQ4853" s="58"/>
      <c r="BR4853" s="58"/>
      <c r="BS4853" s="58"/>
      <c r="BT4853" s="58"/>
      <c r="BU4853" s="58"/>
      <c r="BV4853" s="58"/>
      <c r="BW4853" s="67"/>
      <c r="BX4853" s="67"/>
      <c r="BY4853" s="67"/>
      <c r="BZ4853" s="67"/>
      <c r="CA4853" s="67"/>
      <c r="CB4853" s="70">
        <v>7232</v>
      </c>
      <c r="CC4853" s="70">
        <v>8120</v>
      </c>
      <c r="CD4853" s="70"/>
      <c r="CE4853" s="67"/>
      <c r="CF4853" s="67"/>
      <c r="CG4853" s="67" t="s">
        <v>2053</v>
      </c>
      <c r="CH4853" s="245">
        <v>1.52</v>
      </c>
      <c r="CI4853" s="245">
        <v>1.55</v>
      </c>
      <c r="CJ4853" s="67"/>
      <c r="CK4853" s="67"/>
      <c r="CL4853" s="67"/>
      <c r="CM4853" s="242">
        <v>0.64</v>
      </c>
      <c r="CN4853" s="242">
        <v>0.52</v>
      </c>
      <c r="CO4853" s="242"/>
      <c r="CP4853" s="242"/>
      <c r="CQ4853" s="242" t="s">
        <v>164</v>
      </c>
      <c r="CR4853" s="242"/>
      <c r="CS4853" s="242"/>
      <c r="CT4853" s="242"/>
      <c r="CU4853" s="242"/>
      <c r="CV4853" s="242"/>
      <c r="CW4853" s="242"/>
      <c r="CX4853" s="242"/>
      <c r="CY4853" s="242"/>
      <c r="CZ4853" s="242"/>
      <c r="DA4853" s="67" t="s">
        <v>5443</v>
      </c>
      <c r="DB4853" s="67"/>
      <c r="DC4853" s="67"/>
      <c r="DD4853" s="67"/>
      <c r="DE4853" s="67"/>
      <c r="DF4853" s="67"/>
      <c r="DG4853" s="67"/>
      <c r="DH4853" s="67"/>
      <c r="DI4853" s="67"/>
      <c r="DJ4853" s="67"/>
      <c r="DK4853" s="67"/>
      <c r="DL4853" s="67"/>
      <c r="DM4853" s="67"/>
      <c r="DN4853" s="67"/>
      <c r="DO4853" s="67"/>
      <c r="DP4853" s="67"/>
      <c r="DQ4853" s="166"/>
      <c r="DR4853" s="166"/>
      <c r="DS4853" s="163"/>
      <c r="DT4853" s="163"/>
      <c r="DU4853" s="67"/>
      <c r="DV4853" s="67"/>
      <c r="DW4853" s="67"/>
      <c r="DX4853" s="67"/>
      <c r="DY4853" s="67"/>
      <c r="DZ4853" s="67"/>
      <c r="EA4853" s="67"/>
      <c r="EB4853" s="67"/>
      <c r="EC4853" s="67"/>
      <c r="ED4853" s="67"/>
      <c r="EE4853" s="67"/>
      <c r="EF4853" s="67"/>
      <c r="EG4853" s="67"/>
      <c r="EH4853" s="67"/>
      <c r="EI4853" s="67"/>
      <c r="EJ4853" s="67"/>
      <c r="EK4853" s="94"/>
      <c r="EL4853" s="94"/>
      <c r="EM4853" s="67"/>
      <c r="EN4853" s="67"/>
      <c r="EO4853" s="67"/>
      <c r="EP4853" s="67">
        <v>0.43</v>
      </c>
      <c r="EQ4853" s="67">
        <v>0.4</v>
      </c>
      <c r="ER4853" s="67"/>
      <c r="ES4853" s="67"/>
      <c r="ET4853" s="67" t="s">
        <v>5918</v>
      </c>
      <c r="EU4853" s="67"/>
      <c r="EV4853" s="67"/>
      <c r="EW4853" s="67"/>
      <c r="EX4853" s="67"/>
      <c r="EY4853" s="67"/>
      <c r="EZ4853" s="67"/>
      <c r="FA4853" s="67"/>
      <c r="FB4853" s="67"/>
      <c r="FC4853" s="67"/>
      <c r="FD4853" s="67"/>
      <c r="FE4853" s="67">
        <v>9.9</v>
      </c>
      <c r="FF4853" s="67">
        <v>6.5</v>
      </c>
      <c r="FG4853" s="67"/>
      <c r="FH4853" s="67"/>
      <c r="FI4853" s="67" t="s">
        <v>902</v>
      </c>
      <c r="FJ4853" s="67"/>
      <c r="FK4853" s="67"/>
      <c r="FL4853" s="67"/>
      <c r="FM4853" s="67"/>
      <c r="FN4853" s="67"/>
      <c r="FO4853" s="67"/>
      <c r="FP4853" s="67"/>
      <c r="FQ4853" s="67"/>
      <c r="FR4853" s="67"/>
      <c r="FS4853" s="67"/>
      <c r="FT4853" s="67"/>
      <c r="FU4853" s="67"/>
      <c r="FV4853" s="67"/>
      <c r="FW4853" s="67"/>
      <c r="FX4853" s="67"/>
      <c r="FY4853" s="67"/>
      <c r="FZ4853" s="67"/>
      <c r="GA4853" s="67"/>
      <c r="GB4853" s="67"/>
      <c r="GC4853" s="67"/>
      <c r="GD4853" s="67"/>
      <c r="GE4853" s="67"/>
      <c r="GF4853" s="67"/>
      <c r="GG4853" s="67"/>
      <c r="GH4853" s="67"/>
      <c r="GI4853" s="67"/>
      <c r="GJ4853" s="67"/>
      <c r="GK4853" s="67"/>
      <c r="GL4853" s="67"/>
      <c r="GM4853" s="67"/>
      <c r="GN4853" s="292"/>
      <c r="GO4853" s="292"/>
      <c r="GP4853" s="292" t="s">
        <v>7494</v>
      </c>
      <c r="GQ4853" s="67"/>
      <c r="GR4853" s="67"/>
      <c r="GS4853" s="67"/>
      <c r="GT4853" s="67"/>
      <c r="GU4853" s="67"/>
      <c r="GV4853" s="67"/>
      <c r="GW4853" s="67"/>
      <c r="GX4853" s="67"/>
      <c r="GY4853" s="67"/>
      <c r="GZ4853" s="67"/>
      <c r="HA4853" s="67"/>
      <c r="HB4853" s="67"/>
      <c r="HC4853" s="67"/>
      <c r="HD4853" s="67"/>
      <c r="HE4853" s="67"/>
      <c r="HF4853" s="67"/>
      <c r="HG4853" s="67"/>
      <c r="HH4853" s="67"/>
      <c r="HI4853" s="67"/>
      <c r="HJ4853" s="67"/>
      <c r="HK4853" s="67"/>
      <c r="HL4853" s="67"/>
      <c r="HM4853" s="67"/>
      <c r="HN4853" s="67"/>
      <c r="HO4853" s="67"/>
      <c r="HP4853" s="67"/>
      <c r="HQ4853" s="67"/>
      <c r="HR4853" s="67"/>
      <c r="HS4853" s="67"/>
      <c r="HT4853" s="67"/>
      <c r="HU4853" s="67"/>
      <c r="HV4853" s="67"/>
      <c r="HW4853" s="67"/>
      <c r="HX4853" s="67"/>
      <c r="HY4853" s="67"/>
      <c r="HZ4853" s="67"/>
      <c r="IA4853" s="67"/>
      <c r="IB4853" s="67"/>
      <c r="IC4853" s="67"/>
      <c r="ID4853" s="67"/>
      <c r="IE4853" s="67"/>
      <c r="IF4853" s="67"/>
      <c r="IG4853" s="67"/>
      <c r="IH4853" s="67"/>
      <c r="II4853" s="67"/>
      <c r="IJ4853" s="67"/>
      <c r="IK4853" s="67"/>
      <c r="IL4853" s="67"/>
      <c r="IM4853" s="67"/>
      <c r="IN4853" s="67"/>
      <c r="IO4853" s="67"/>
      <c r="IP4853" s="67"/>
      <c r="IQ4853" s="67"/>
      <c r="IR4853" s="67"/>
      <c r="IS4853" s="67"/>
      <c r="IT4853" s="67"/>
      <c r="IU4853" s="67"/>
      <c r="IV4853" s="67"/>
      <c r="IW4853" s="67"/>
      <c r="IX4853" s="67"/>
      <c r="IY4853" s="67"/>
      <c r="IZ4853" s="67"/>
      <c r="JA4853" s="67"/>
      <c r="JB4853" s="67"/>
      <c r="JC4853" s="67"/>
      <c r="JD4853" s="67"/>
      <c r="JE4853" s="67"/>
      <c r="JF4853" s="67"/>
      <c r="JG4853" s="67"/>
      <c r="JH4853" s="67"/>
      <c r="JI4853" s="67"/>
      <c r="JJ4853" s="67"/>
      <c r="JK4853" s="67"/>
      <c r="JL4853" s="67"/>
      <c r="JM4853" s="67"/>
      <c r="JN4853" s="67"/>
      <c r="JO4853" s="67"/>
      <c r="JP4853" s="67"/>
      <c r="JQ4853" s="67"/>
      <c r="JR4853" s="67"/>
      <c r="JS4853" s="67"/>
      <c r="JT4853" s="67"/>
      <c r="JU4853" s="58"/>
      <c r="JV4853" s="58"/>
      <c r="JW4853" s="58"/>
    </row>
    <row r="4854" spans="1:283" s="23" customFormat="1" x14ac:dyDescent="0.25">
      <c r="A4854" s="55">
        <v>4853</v>
      </c>
      <c r="B4854" s="12" t="s">
        <v>7067</v>
      </c>
      <c r="C4854" s="156">
        <v>224</v>
      </c>
      <c r="D4854" s="58" t="s">
        <v>4914</v>
      </c>
      <c r="E4854" s="160" t="str">
        <f>G4854</f>
        <v>Efthimiadou et al. 2010_1</v>
      </c>
      <c r="F4854" s="160"/>
      <c r="G4854" s="60" t="s">
        <v>4815</v>
      </c>
      <c r="H4854" s="58">
        <v>2010</v>
      </c>
      <c r="I4854" s="58">
        <v>2008</v>
      </c>
      <c r="J4854" s="243" t="s">
        <v>5307</v>
      </c>
      <c r="K4854" s="63" t="s">
        <v>5374</v>
      </c>
      <c r="L4854" s="58" t="s">
        <v>5329</v>
      </c>
      <c r="M4854" s="94">
        <v>40.799999999999997</v>
      </c>
      <c r="N4854" s="94">
        <v>21.02</v>
      </c>
      <c r="O4854" s="94">
        <v>841</v>
      </c>
      <c r="P4854" s="58"/>
      <c r="Q4854" s="244"/>
      <c r="R4854" s="58"/>
      <c r="S4854" s="245">
        <v>750</v>
      </c>
      <c r="T4854" s="58"/>
      <c r="U4854" s="58" t="s">
        <v>1694</v>
      </c>
      <c r="V4854" s="244">
        <v>7</v>
      </c>
      <c r="W4854" s="174"/>
      <c r="X4854" s="174"/>
      <c r="Y4854" s="58" t="s">
        <v>5377</v>
      </c>
      <c r="Z4854" s="244" t="s">
        <v>5143</v>
      </c>
      <c r="AA4854" s="245">
        <v>12</v>
      </c>
      <c r="AB4854" s="67"/>
      <c r="AC4854" s="67"/>
      <c r="AD4854" s="94">
        <v>1.49</v>
      </c>
      <c r="AE4854" s="94">
        <v>61.3</v>
      </c>
      <c r="AF4854" s="94">
        <v>19.600000000000001</v>
      </c>
      <c r="AG4854" s="245">
        <v>19.100000000000001</v>
      </c>
      <c r="AH4854" s="58" t="s">
        <v>238</v>
      </c>
      <c r="AI4854" s="169">
        <v>7.37</v>
      </c>
      <c r="AJ4854" s="94"/>
      <c r="AK4854" s="94"/>
      <c r="AL4854" s="58"/>
      <c r="AM4854" s="58"/>
      <c r="AN4854" s="186" t="s">
        <v>5372</v>
      </c>
      <c r="AO4854" s="185" t="s">
        <v>5150</v>
      </c>
      <c r="AP4854" s="58"/>
      <c r="AQ4854" s="58" t="s">
        <v>553</v>
      </c>
      <c r="AR4854" s="58" t="s">
        <v>5373</v>
      </c>
      <c r="AS4854" s="246" t="s">
        <v>227</v>
      </c>
      <c r="AT4854" s="247">
        <v>1</v>
      </c>
      <c r="AU4854" s="181" t="s">
        <v>7494</v>
      </c>
      <c r="AV4854" s="185" t="s">
        <v>176</v>
      </c>
      <c r="AW4854" s="244">
        <v>1</v>
      </c>
      <c r="AX4854" s="185" t="s">
        <v>176</v>
      </c>
      <c r="AY4854" s="244" t="s">
        <v>176</v>
      </c>
      <c r="AZ4854" s="58"/>
      <c r="BA4854" s="58"/>
      <c r="BB4854" s="58"/>
      <c r="BC4854" s="58"/>
      <c r="BD4854" s="58"/>
      <c r="BE4854" s="236" t="s">
        <v>5169</v>
      </c>
      <c r="BF4854" s="191" t="s">
        <v>479</v>
      </c>
      <c r="BG4854" s="191" t="s">
        <v>479</v>
      </c>
      <c r="BH4854" s="236" t="s">
        <v>5239</v>
      </c>
      <c r="BI4854" s="191" t="s">
        <v>479</v>
      </c>
      <c r="BJ4854" s="58" t="str">
        <f>IF(BE4854=BH4854,"No","yes")</f>
        <v>yes</v>
      </c>
      <c r="BK4854" s="58" t="s">
        <v>6335</v>
      </c>
      <c r="BL4854" s="58"/>
      <c r="BM4854" s="237" t="s">
        <v>160</v>
      </c>
      <c r="BN4854" s="244">
        <v>10</v>
      </c>
      <c r="BO4854" s="244">
        <v>10</v>
      </c>
      <c r="BP4854" s="58"/>
      <c r="BQ4854" s="58"/>
      <c r="BR4854" s="58"/>
      <c r="BS4854" s="58"/>
      <c r="BT4854" s="58"/>
      <c r="BU4854" s="58"/>
      <c r="BV4854" s="58"/>
      <c r="BW4854" s="67"/>
      <c r="BX4854" s="67"/>
      <c r="BY4854" s="67"/>
      <c r="BZ4854" s="67"/>
      <c r="CA4854" s="67"/>
      <c r="CB4854" s="70"/>
      <c r="CC4854" s="70"/>
      <c r="CD4854" s="70"/>
      <c r="CE4854" s="67"/>
      <c r="CF4854" s="67"/>
      <c r="CG4854" s="67"/>
      <c r="CH4854" s="245">
        <v>1.49</v>
      </c>
      <c r="CI4854" s="245">
        <v>1.36</v>
      </c>
      <c r="CJ4854" s="67"/>
      <c r="CK4854" s="67"/>
      <c r="CL4854" s="67"/>
      <c r="CM4854" s="242">
        <v>1.472</v>
      </c>
      <c r="CN4854" s="242">
        <v>1.1870000000000001</v>
      </c>
      <c r="CO4854" s="242">
        <f>1.42*0.1*SQRT(10)</f>
        <v>0.44904342774390987</v>
      </c>
      <c r="CP4854" s="242">
        <f>1.62*0.1*SQRT(10)</f>
        <v>0.51228898094727759</v>
      </c>
      <c r="CQ4854" s="242" t="s">
        <v>164</v>
      </c>
      <c r="CR4854" s="242">
        <f>CM4854*0.01*100*100*0.12*1.49</f>
        <v>26.319359999999996</v>
      </c>
      <c r="CS4854" s="242">
        <f>CN4854*0.01*100*100*0.12*1.36</f>
        <v>19.371840000000002</v>
      </c>
      <c r="CT4854" s="242">
        <f>CO4854*0.01*100*100*0.12*1.49</f>
        <v>8.0288964880611076</v>
      </c>
      <c r="CU4854" s="242">
        <f>CP4854*0.01*100*100*0.12*1.36</f>
        <v>8.3605561690595707</v>
      </c>
      <c r="CV4854" s="242" t="s">
        <v>5151</v>
      </c>
      <c r="CW4854" s="242"/>
      <c r="CX4854" s="242"/>
      <c r="CY4854" s="242"/>
      <c r="CZ4854" s="242"/>
      <c r="DA4854" s="67" t="s">
        <v>5443</v>
      </c>
      <c r="DB4854" s="67">
        <f>910+45.13</f>
        <v>955.13</v>
      </c>
      <c r="DC4854" s="67">
        <f>1350+51.2</f>
        <v>1401.2</v>
      </c>
      <c r="DD4854" s="67">
        <f>(0.04*1000+2.05)*SQRT(10)</f>
        <v>132.97377561008034</v>
      </c>
      <c r="DE4854" s="67">
        <f>(0.09*1000+3.11)*SQRT(10)</f>
        <v>294.43967293827779</v>
      </c>
      <c r="DF4854" s="67" t="s">
        <v>5380</v>
      </c>
      <c r="DG4854" s="67">
        <v>23.81</v>
      </c>
      <c r="DH4854" s="67">
        <v>24.11</v>
      </c>
      <c r="DI4854" s="67">
        <f>2.15*SQRT(10)</f>
        <v>6.7988969693620156</v>
      </c>
      <c r="DJ4854" s="67">
        <f>1.76*SQRT(10)</f>
        <v>5.5656086818963484</v>
      </c>
      <c r="DK4854" s="67" t="s">
        <v>5383</v>
      </c>
      <c r="DL4854" s="67"/>
      <c r="DM4854" s="67"/>
      <c r="DN4854" s="67"/>
      <c r="DO4854" s="67"/>
      <c r="DP4854" s="67"/>
      <c r="DQ4854" s="166"/>
      <c r="DR4854" s="166"/>
      <c r="DS4854" s="163"/>
      <c r="DT4854" s="163"/>
      <c r="DU4854" s="67"/>
      <c r="DV4854" s="67"/>
      <c r="DW4854" s="67"/>
      <c r="DX4854" s="67"/>
      <c r="DY4854" s="67"/>
      <c r="DZ4854" s="67"/>
      <c r="EA4854" s="67"/>
      <c r="EB4854" s="67"/>
      <c r="EC4854" s="67"/>
      <c r="ED4854" s="67"/>
      <c r="EE4854" s="67"/>
      <c r="EF4854" s="67"/>
      <c r="EG4854" s="67"/>
      <c r="EH4854" s="67"/>
      <c r="EI4854" s="67"/>
      <c r="EJ4854" s="67"/>
      <c r="EK4854" s="94"/>
      <c r="EL4854" s="94"/>
      <c r="EM4854" s="67"/>
      <c r="EN4854" s="67"/>
      <c r="EO4854" s="67"/>
      <c r="EP4854" s="67"/>
      <c r="EQ4854" s="67"/>
      <c r="ER4854" s="67"/>
      <c r="ES4854" s="67"/>
      <c r="ET4854" s="67"/>
      <c r="EU4854" s="67"/>
      <c r="EV4854" s="67"/>
      <c r="EW4854" s="67"/>
      <c r="EX4854" s="67"/>
      <c r="EY4854" s="67"/>
      <c r="EZ4854" s="67"/>
      <c r="FA4854" s="67"/>
      <c r="FB4854" s="67"/>
      <c r="FC4854" s="67"/>
      <c r="FD4854" s="67"/>
      <c r="FE4854" s="67"/>
      <c r="FF4854" s="67"/>
      <c r="FG4854" s="67"/>
      <c r="FH4854" s="67"/>
      <c r="FI4854" s="67"/>
      <c r="FJ4854" s="67"/>
      <c r="FK4854" s="67"/>
      <c r="FL4854" s="67"/>
      <c r="FM4854" s="67"/>
      <c r="FN4854" s="67"/>
      <c r="FO4854" s="67"/>
      <c r="FP4854" s="67"/>
      <c r="FQ4854" s="67"/>
      <c r="FR4854" s="67"/>
      <c r="FS4854" s="67"/>
      <c r="FT4854" s="67"/>
      <c r="FU4854" s="67"/>
      <c r="FV4854" s="67"/>
      <c r="FW4854" s="67"/>
      <c r="FX4854" s="67"/>
      <c r="FY4854" s="67"/>
      <c r="FZ4854" s="67"/>
      <c r="GA4854" s="67"/>
      <c r="GB4854" s="67"/>
      <c r="GC4854" s="67"/>
      <c r="GD4854" s="67"/>
      <c r="GE4854" s="67"/>
      <c r="GF4854" s="67"/>
      <c r="GG4854" s="67"/>
      <c r="GH4854" s="67"/>
      <c r="GI4854" s="67"/>
      <c r="GJ4854" s="67"/>
      <c r="GK4854" s="67"/>
      <c r="GL4854" s="67"/>
      <c r="GM4854" s="67"/>
      <c r="GN4854" s="292"/>
      <c r="GO4854" s="292"/>
      <c r="GP4854" s="292" t="s">
        <v>7494</v>
      </c>
      <c r="GQ4854" s="67"/>
      <c r="GR4854" s="67"/>
      <c r="GS4854" s="67"/>
      <c r="GT4854" s="67"/>
      <c r="GU4854" s="67"/>
      <c r="GV4854" s="67"/>
      <c r="GW4854" s="67"/>
      <c r="GX4854" s="67"/>
      <c r="GY4854" s="67"/>
      <c r="GZ4854" s="67"/>
      <c r="HA4854" s="67"/>
      <c r="HB4854" s="67"/>
      <c r="HC4854" s="67"/>
      <c r="HD4854" s="67"/>
      <c r="HE4854" s="67"/>
      <c r="HF4854" s="67"/>
      <c r="HG4854" s="67"/>
      <c r="HH4854" s="67"/>
      <c r="HI4854" s="67"/>
      <c r="HJ4854" s="67"/>
      <c r="HK4854" s="67"/>
      <c r="HL4854" s="67"/>
      <c r="HM4854" s="67"/>
      <c r="HN4854" s="67"/>
      <c r="HO4854" s="67"/>
      <c r="HP4854" s="67"/>
      <c r="HQ4854" s="67"/>
      <c r="HR4854" s="67"/>
      <c r="HS4854" s="67"/>
      <c r="HT4854" s="67"/>
      <c r="HU4854" s="67"/>
      <c r="HV4854" s="67"/>
      <c r="HW4854" s="67"/>
      <c r="HX4854" s="67">
        <f>3350</f>
        <v>3350</v>
      </c>
      <c r="HY4854" s="67">
        <v>3140</v>
      </c>
      <c r="HZ4854" s="67">
        <f>270*SQRT(10)</f>
        <v>853.81496824546252</v>
      </c>
      <c r="IA4854" s="67">
        <f>220*SQRT(10)</f>
        <v>695.70108523704346</v>
      </c>
      <c r="IB4854" s="67" t="s">
        <v>5381</v>
      </c>
      <c r="IC4854" s="67">
        <f>0.36*30.5</f>
        <v>10.98</v>
      </c>
      <c r="ID4854" s="67">
        <f>0.85*30.5</f>
        <v>25.925000000000001</v>
      </c>
      <c r="IE4854" s="67">
        <f>0.07*30.5*SQRT(10)</f>
        <v>6.7514628044594911</v>
      </c>
      <c r="IF4854" s="67">
        <f>0.24*30.5*SQRT(10)</f>
        <v>23.147872472432535</v>
      </c>
      <c r="IG4854" s="67" t="s">
        <v>5382</v>
      </c>
      <c r="IH4854" s="67"/>
      <c r="II4854" s="67"/>
      <c r="IJ4854" s="67"/>
      <c r="IK4854" s="67"/>
      <c r="IL4854" s="67"/>
      <c r="IM4854" s="67"/>
      <c r="IN4854" s="67"/>
      <c r="IO4854" s="67"/>
      <c r="IP4854" s="67"/>
      <c r="IQ4854" s="67"/>
      <c r="IR4854" s="67"/>
      <c r="IS4854" s="67"/>
      <c r="IT4854" s="67"/>
      <c r="IU4854" s="67"/>
      <c r="IV4854" s="67"/>
      <c r="IW4854" s="67"/>
      <c r="IX4854" s="67"/>
      <c r="IY4854" s="67"/>
      <c r="IZ4854" s="67"/>
      <c r="JA4854" s="67"/>
      <c r="JB4854" s="67"/>
      <c r="JC4854" s="67"/>
      <c r="JD4854" s="67"/>
      <c r="JE4854" s="67"/>
      <c r="JF4854" s="67"/>
      <c r="JG4854" s="67">
        <f>910</f>
        <v>910</v>
      </c>
      <c r="JH4854" s="67">
        <v>720</v>
      </c>
      <c r="JI4854" s="67">
        <f>180*SQRT(10)</f>
        <v>569.20997883030827</v>
      </c>
      <c r="JJ4854" s="67">
        <f>60*SQRT(10)</f>
        <v>189.73665961010278</v>
      </c>
      <c r="JK4854" s="67" t="s">
        <v>5379</v>
      </c>
      <c r="JL4854" s="67">
        <v>70</v>
      </c>
      <c r="JM4854" s="67">
        <v>70</v>
      </c>
      <c r="JN4854" s="67">
        <f>0.01*1000*SQRT(10)</f>
        <v>31.622776601683796</v>
      </c>
      <c r="JO4854" s="67">
        <f>0.01*1000*SQRT(10)</f>
        <v>31.622776601683796</v>
      </c>
      <c r="JP4854" s="67" t="s">
        <v>5379</v>
      </c>
      <c r="JQ4854" s="67"/>
      <c r="JR4854" s="67"/>
      <c r="JS4854" s="67"/>
      <c r="JT4854" s="67"/>
      <c r="JU4854" s="58"/>
      <c r="JV4854" s="58"/>
      <c r="JW4854" s="58"/>
    </row>
    <row r="4855" spans="1:283" s="23" customFormat="1" x14ac:dyDescent="0.25">
      <c r="A4855" s="55">
        <v>4854</v>
      </c>
      <c r="B4855" s="12" t="s">
        <v>7067</v>
      </c>
      <c r="C4855" s="156">
        <v>224</v>
      </c>
      <c r="D4855" s="58" t="s">
        <v>4915</v>
      </c>
      <c r="E4855" s="160" t="str">
        <f>G4855</f>
        <v>Efthimiadou et al. 2010_2</v>
      </c>
      <c r="F4855" s="160"/>
      <c r="G4855" s="60" t="s">
        <v>4814</v>
      </c>
      <c r="H4855" s="58">
        <v>2010</v>
      </c>
      <c r="I4855" s="58">
        <v>2008</v>
      </c>
      <c r="J4855" s="243" t="s">
        <v>5307</v>
      </c>
      <c r="K4855" s="63" t="s">
        <v>5375</v>
      </c>
      <c r="L4855" s="58" t="s">
        <v>5329</v>
      </c>
      <c r="M4855" s="94">
        <v>40.880000000000003</v>
      </c>
      <c r="N4855" s="94">
        <v>21.02</v>
      </c>
      <c r="O4855" s="94">
        <v>841</v>
      </c>
      <c r="P4855" s="58"/>
      <c r="Q4855" s="244"/>
      <c r="R4855" s="58"/>
      <c r="S4855" s="245">
        <v>750</v>
      </c>
      <c r="T4855" s="58"/>
      <c r="U4855" s="58" t="s">
        <v>1694</v>
      </c>
      <c r="V4855" s="244">
        <v>7</v>
      </c>
      <c r="W4855" s="174"/>
      <c r="X4855" s="174"/>
      <c r="Y4855" s="58" t="s">
        <v>5377</v>
      </c>
      <c r="Z4855" s="244" t="s">
        <v>5143</v>
      </c>
      <c r="AA4855" s="245">
        <v>12</v>
      </c>
      <c r="AB4855" s="67"/>
      <c r="AC4855" s="67"/>
      <c r="AD4855" s="94">
        <v>1.49</v>
      </c>
      <c r="AE4855" s="94">
        <v>61.3</v>
      </c>
      <c r="AF4855" s="94">
        <v>19.600000000000001</v>
      </c>
      <c r="AG4855" s="245">
        <v>19.100000000000001</v>
      </c>
      <c r="AH4855" s="58" t="s">
        <v>238</v>
      </c>
      <c r="AI4855" s="169">
        <v>7.37</v>
      </c>
      <c r="AJ4855" s="94"/>
      <c r="AK4855" s="94"/>
      <c r="AL4855" s="58"/>
      <c r="AM4855" s="58"/>
      <c r="AN4855" s="186" t="s">
        <v>5372</v>
      </c>
      <c r="AO4855" s="185" t="s">
        <v>5150</v>
      </c>
      <c r="AP4855" s="58"/>
      <c r="AQ4855" s="58" t="s">
        <v>553</v>
      </c>
      <c r="AR4855" s="58" t="s">
        <v>5373</v>
      </c>
      <c r="AS4855" s="246" t="s">
        <v>227</v>
      </c>
      <c r="AT4855" s="247">
        <v>1</v>
      </c>
      <c r="AU4855" s="181" t="s">
        <v>7494</v>
      </c>
      <c r="AV4855" s="185" t="s">
        <v>176</v>
      </c>
      <c r="AW4855" s="244">
        <v>1</v>
      </c>
      <c r="AX4855" s="185" t="s">
        <v>176</v>
      </c>
      <c r="AY4855" s="244" t="s">
        <v>176</v>
      </c>
      <c r="AZ4855" s="58"/>
      <c r="BA4855" s="58"/>
      <c r="BB4855" s="58"/>
      <c r="BC4855" s="58"/>
      <c r="BD4855" s="58"/>
      <c r="BE4855" s="236" t="s">
        <v>5169</v>
      </c>
      <c r="BF4855" s="191" t="s">
        <v>479</v>
      </c>
      <c r="BG4855" s="191" t="s">
        <v>479</v>
      </c>
      <c r="BH4855" s="236" t="s">
        <v>5239</v>
      </c>
      <c r="BI4855" s="191" t="s">
        <v>479</v>
      </c>
      <c r="BJ4855" s="58" t="str">
        <f>IF(BE4855=BH4855,"No","yes")</f>
        <v>yes</v>
      </c>
      <c r="BK4855" s="58" t="s">
        <v>6335</v>
      </c>
      <c r="BL4855" s="58"/>
      <c r="BM4855" s="237" t="s">
        <v>160</v>
      </c>
      <c r="BN4855" s="244">
        <v>10</v>
      </c>
      <c r="BO4855" s="244">
        <v>10</v>
      </c>
      <c r="BP4855" s="58"/>
      <c r="BQ4855" s="58"/>
      <c r="BR4855" s="58"/>
      <c r="BS4855" s="58"/>
      <c r="BT4855" s="58"/>
      <c r="BU4855" s="58"/>
      <c r="BV4855" s="58"/>
      <c r="BW4855" s="67"/>
      <c r="BX4855" s="67"/>
      <c r="BY4855" s="67"/>
      <c r="BZ4855" s="67"/>
      <c r="CA4855" s="67"/>
      <c r="CB4855" s="70"/>
      <c r="CC4855" s="70"/>
      <c r="CD4855" s="70"/>
      <c r="CE4855" s="67"/>
      <c r="CF4855" s="67"/>
      <c r="CG4855" s="67"/>
      <c r="CH4855" s="245">
        <v>1.49</v>
      </c>
      <c r="CI4855" s="245">
        <v>1.29</v>
      </c>
      <c r="CJ4855" s="67"/>
      <c r="CK4855" s="67"/>
      <c r="CL4855" s="67"/>
      <c r="CM4855" s="242">
        <v>1.472</v>
      </c>
      <c r="CN4855" s="242">
        <v>1.1950000000000001</v>
      </c>
      <c r="CO4855" s="242">
        <f>1.42*0.1*SQRT(10)</f>
        <v>0.44904342774390987</v>
      </c>
      <c r="CP4855" s="242">
        <f>1.74*0.1*SQRT(10)</f>
        <v>0.55023631286929808</v>
      </c>
      <c r="CQ4855" s="242" t="s">
        <v>164</v>
      </c>
      <c r="CR4855" s="242">
        <f>CM4855*0.01*100*100*0.12*1.49</f>
        <v>26.319359999999996</v>
      </c>
      <c r="CS4855" s="242">
        <f>CN4855*0.01*100*100*0.12*1.29</f>
        <v>18.4986</v>
      </c>
      <c r="CT4855" s="242">
        <f>CO4855*0.01*100*100*0.12*1.49</f>
        <v>8.0288964880611076</v>
      </c>
      <c r="CU4855" s="242">
        <f>CP4855*0.01*100*100*0.12*1.29</f>
        <v>8.5176581232167337</v>
      </c>
      <c r="CV4855" s="242" t="s">
        <v>5151</v>
      </c>
      <c r="CW4855" s="242"/>
      <c r="CX4855" s="242"/>
      <c r="CY4855" s="242"/>
      <c r="CZ4855" s="242"/>
      <c r="DA4855" s="67" t="s">
        <v>5443</v>
      </c>
      <c r="DB4855" s="67">
        <f>910+45.13</f>
        <v>955.13</v>
      </c>
      <c r="DC4855" s="67">
        <f>1370+61.09</f>
        <v>1431.09</v>
      </c>
      <c r="DD4855" s="67">
        <f>(0.04*1000+2.05)*SQRT(10)</f>
        <v>132.97377561008034</v>
      </c>
      <c r="DE4855" s="67">
        <f>(0.05*1000+3.64)*SQRT(10)</f>
        <v>169.62457369143189</v>
      </c>
      <c r="DF4855" s="67" t="s">
        <v>5380</v>
      </c>
      <c r="DG4855" s="67">
        <v>23.81</v>
      </c>
      <c r="DH4855" s="67">
        <v>28.41</v>
      </c>
      <c r="DI4855" s="67">
        <f>2.15*SQRT(10)</f>
        <v>6.7988969693620156</v>
      </c>
      <c r="DJ4855" s="67">
        <f>0.96*SQRT(10)</f>
        <v>3.0357865537616444</v>
      </c>
      <c r="DK4855" s="67" t="s">
        <v>5383</v>
      </c>
      <c r="DL4855" s="67"/>
      <c r="DM4855" s="67"/>
      <c r="DN4855" s="67"/>
      <c r="DO4855" s="67"/>
      <c r="DP4855" s="67"/>
      <c r="DQ4855" s="166"/>
      <c r="DR4855" s="166"/>
      <c r="DS4855" s="163"/>
      <c r="DT4855" s="163"/>
      <c r="DU4855" s="67"/>
      <c r="DV4855" s="67"/>
      <c r="DW4855" s="67"/>
      <c r="DX4855" s="67"/>
      <c r="DY4855" s="67"/>
      <c r="DZ4855" s="67"/>
      <c r="EA4855" s="67"/>
      <c r="EB4855" s="67"/>
      <c r="EC4855" s="67"/>
      <c r="ED4855" s="67"/>
      <c r="EE4855" s="67"/>
      <c r="EF4855" s="67"/>
      <c r="EG4855" s="67"/>
      <c r="EH4855" s="67"/>
      <c r="EI4855" s="67"/>
      <c r="EJ4855" s="67"/>
      <c r="EK4855" s="94"/>
      <c r="EL4855" s="94"/>
      <c r="EM4855" s="67"/>
      <c r="EN4855" s="67"/>
      <c r="EO4855" s="67"/>
      <c r="EP4855" s="67"/>
      <c r="EQ4855" s="67"/>
      <c r="ER4855" s="67"/>
      <c r="ES4855" s="67"/>
      <c r="ET4855" s="67"/>
      <c r="EU4855" s="67"/>
      <c r="EV4855" s="67"/>
      <c r="EW4855" s="67"/>
      <c r="EX4855" s="67"/>
      <c r="EY4855" s="67"/>
      <c r="EZ4855" s="67"/>
      <c r="FA4855" s="67"/>
      <c r="FB4855" s="67"/>
      <c r="FC4855" s="67"/>
      <c r="FD4855" s="67"/>
      <c r="FE4855" s="67"/>
      <c r="FF4855" s="67"/>
      <c r="FG4855" s="67"/>
      <c r="FH4855" s="67"/>
      <c r="FI4855" s="67"/>
      <c r="FJ4855" s="67"/>
      <c r="FK4855" s="67"/>
      <c r="FL4855" s="67"/>
      <c r="FM4855" s="67"/>
      <c r="FN4855" s="67"/>
      <c r="FO4855" s="67"/>
      <c r="FP4855" s="67"/>
      <c r="FQ4855" s="67"/>
      <c r="FR4855" s="67"/>
      <c r="FS4855" s="67"/>
      <c r="FT4855" s="67"/>
      <c r="FU4855" s="67"/>
      <c r="FV4855" s="67"/>
      <c r="FW4855" s="67"/>
      <c r="FX4855" s="67"/>
      <c r="FY4855" s="67"/>
      <c r="FZ4855" s="67"/>
      <c r="GA4855" s="67"/>
      <c r="GB4855" s="67"/>
      <c r="GC4855" s="67"/>
      <c r="GD4855" s="67"/>
      <c r="GE4855" s="67"/>
      <c r="GF4855" s="67"/>
      <c r="GG4855" s="67"/>
      <c r="GH4855" s="67"/>
      <c r="GI4855" s="67"/>
      <c r="GJ4855" s="67"/>
      <c r="GK4855" s="67"/>
      <c r="GL4855" s="67"/>
      <c r="GM4855" s="67"/>
      <c r="GN4855" s="292"/>
      <c r="GO4855" s="292"/>
      <c r="GP4855" s="292" t="s">
        <v>7494</v>
      </c>
      <c r="GQ4855" s="67"/>
      <c r="GR4855" s="67"/>
      <c r="GS4855" s="67"/>
      <c r="GT4855" s="67"/>
      <c r="GU4855" s="67"/>
      <c r="GV4855" s="67"/>
      <c r="GW4855" s="67"/>
      <c r="GX4855" s="67"/>
      <c r="GY4855" s="67"/>
      <c r="GZ4855" s="67"/>
      <c r="HA4855" s="67"/>
      <c r="HB4855" s="67"/>
      <c r="HC4855" s="67"/>
      <c r="HD4855" s="67"/>
      <c r="HE4855" s="67"/>
      <c r="HF4855" s="67"/>
      <c r="HG4855" s="67"/>
      <c r="HH4855" s="67"/>
      <c r="HI4855" s="67"/>
      <c r="HJ4855" s="67"/>
      <c r="HK4855" s="67"/>
      <c r="HL4855" s="67"/>
      <c r="HM4855" s="67"/>
      <c r="HN4855" s="67"/>
      <c r="HO4855" s="67"/>
      <c r="HP4855" s="67"/>
      <c r="HQ4855" s="67"/>
      <c r="HR4855" s="67"/>
      <c r="HS4855" s="67"/>
      <c r="HT4855" s="67"/>
      <c r="HU4855" s="67"/>
      <c r="HV4855" s="67"/>
      <c r="HW4855" s="67"/>
      <c r="HX4855" s="67">
        <f>3350</f>
        <v>3350</v>
      </c>
      <c r="HY4855" s="67">
        <v>3400</v>
      </c>
      <c r="HZ4855" s="67">
        <f>270*SQRT(10)</f>
        <v>853.81496824546252</v>
      </c>
      <c r="IA4855" s="67">
        <f>290*SQRT(10)</f>
        <v>917.06052144883006</v>
      </c>
      <c r="IB4855" s="67" t="s">
        <v>5381</v>
      </c>
      <c r="IC4855" s="67">
        <f>0.36*30.5</f>
        <v>10.98</v>
      </c>
      <c r="ID4855" s="67">
        <f>0.49*30.5</f>
        <v>14.945</v>
      </c>
      <c r="IE4855" s="67">
        <f>0.07*30.5*SQRT(10)</f>
        <v>6.7514628044594911</v>
      </c>
      <c r="IF4855" s="67">
        <f>0.06*30.5*SQRT(10)</f>
        <v>5.7869681181081338</v>
      </c>
      <c r="IG4855" s="67" t="s">
        <v>5382</v>
      </c>
      <c r="IH4855" s="67"/>
      <c r="II4855" s="67"/>
      <c r="IJ4855" s="67"/>
      <c r="IK4855" s="67"/>
      <c r="IL4855" s="67"/>
      <c r="IM4855" s="67"/>
      <c r="IN4855" s="67"/>
      <c r="IO4855" s="67"/>
      <c r="IP4855" s="67"/>
      <c r="IQ4855" s="67"/>
      <c r="IR4855" s="67"/>
      <c r="IS4855" s="67"/>
      <c r="IT4855" s="67"/>
      <c r="IU4855" s="67"/>
      <c r="IV4855" s="67"/>
      <c r="IW4855" s="67"/>
      <c r="IX4855" s="67"/>
      <c r="IY4855" s="67"/>
      <c r="IZ4855" s="67"/>
      <c r="JA4855" s="67"/>
      <c r="JB4855" s="67"/>
      <c r="JC4855" s="67"/>
      <c r="JD4855" s="67"/>
      <c r="JE4855" s="67"/>
      <c r="JF4855" s="67"/>
      <c r="JG4855" s="67">
        <f>910</f>
        <v>910</v>
      </c>
      <c r="JH4855" s="67">
        <v>780</v>
      </c>
      <c r="JI4855" s="67">
        <f>180*SQRT(10)</f>
        <v>569.20997883030827</v>
      </c>
      <c r="JJ4855" s="67">
        <f>110*SQRT(10)</f>
        <v>347.85054261852173</v>
      </c>
      <c r="JK4855" s="67" t="s">
        <v>5379</v>
      </c>
      <c r="JL4855" s="67">
        <v>70</v>
      </c>
      <c r="JM4855" s="67">
        <v>80</v>
      </c>
      <c r="JN4855" s="67">
        <f>0.01*1000*SQRT(10)</f>
        <v>31.622776601683796</v>
      </c>
      <c r="JO4855" s="67">
        <f>0.02*1000*SQRT(10)</f>
        <v>63.245553203367592</v>
      </c>
      <c r="JP4855" s="67" t="s">
        <v>5379</v>
      </c>
      <c r="JQ4855" s="67"/>
      <c r="JR4855" s="67"/>
      <c r="JS4855" s="67"/>
      <c r="JT4855" s="67"/>
      <c r="JU4855" s="58"/>
      <c r="JV4855" s="58"/>
      <c r="JW4855" s="58"/>
    </row>
    <row r="4856" spans="1:283" s="23" customFormat="1" x14ac:dyDescent="0.25">
      <c r="A4856" s="55">
        <v>4855</v>
      </c>
      <c r="B4856" s="12" t="s">
        <v>7067</v>
      </c>
      <c r="C4856" s="156">
        <v>224</v>
      </c>
      <c r="D4856" s="58" t="s">
        <v>5378</v>
      </c>
      <c r="E4856" s="160" t="str">
        <f>G4856</f>
        <v>Efthimiadou et al. 2010_2</v>
      </c>
      <c r="F4856" s="160"/>
      <c r="G4856" s="60" t="s">
        <v>4814</v>
      </c>
      <c r="H4856" s="58">
        <v>2010</v>
      </c>
      <c r="I4856" s="58">
        <v>2008</v>
      </c>
      <c r="J4856" s="243" t="s">
        <v>5307</v>
      </c>
      <c r="K4856" s="63" t="s">
        <v>5376</v>
      </c>
      <c r="L4856" s="58" t="s">
        <v>5329</v>
      </c>
      <c r="M4856" s="94">
        <v>40.880000000000003</v>
      </c>
      <c r="N4856" s="94">
        <v>21.12</v>
      </c>
      <c r="O4856" s="94">
        <v>841</v>
      </c>
      <c r="P4856" s="58"/>
      <c r="Q4856" s="244"/>
      <c r="R4856" s="58"/>
      <c r="S4856" s="245">
        <v>750</v>
      </c>
      <c r="T4856" s="58"/>
      <c r="U4856" s="58" t="s">
        <v>1694</v>
      </c>
      <c r="V4856" s="244">
        <v>7</v>
      </c>
      <c r="W4856" s="174"/>
      <c r="X4856" s="174"/>
      <c r="Y4856" s="58" t="s">
        <v>5377</v>
      </c>
      <c r="Z4856" s="244" t="s">
        <v>5143</v>
      </c>
      <c r="AA4856" s="245">
        <v>12</v>
      </c>
      <c r="AB4856" s="67"/>
      <c r="AC4856" s="67"/>
      <c r="AD4856" s="94">
        <v>1.49</v>
      </c>
      <c r="AE4856" s="94">
        <v>61.3</v>
      </c>
      <c r="AF4856" s="94">
        <v>19.600000000000001</v>
      </c>
      <c r="AG4856" s="245">
        <v>19.100000000000001</v>
      </c>
      <c r="AH4856" s="58" t="s">
        <v>238</v>
      </c>
      <c r="AI4856" s="169">
        <v>7.37</v>
      </c>
      <c r="AJ4856" s="94"/>
      <c r="AK4856" s="94"/>
      <c r="AL4856" s="58"/>
      <c r="AM4856" s="58"/>
      <c r="AN4856" s="186" t="s">
        <v>5372</v>
      </c>
      <c r="AO4856" s="185" t="s">
        <v>5150</v>
      </c>
      <c r="AP4856" s="58"/>
      <c r="AQ4856" s="58" t="s">
        <v>553</v>
      </c>
      <c r="AR4856" s="58" t="s">
        <v>5373</v>
      </c>
      <c r="AS4856" s="246" t="s">
        <v>227</v>
      </c>
      <c r="AT4856" s="247">
        <v>1</v>
      </c>
      <c r="AU4856" s="181" t="s">
        <v>7494</v>
      </c>
      <c r="AV4856" s="185" t="s">
        <v>176</v>
      </c>
      <c r="AW4856" s="244">
        <v>1</v>
      </c>
      <c r="AX4856" s="185" t="s">
        <v>176</v>
      </c>
      <c r="AY4856" s="244" t="s">
        <v>176</v>
      </c>
      <c r="AZ4856" s="58"/>
      <c r="BA4856" s="58"/>
      <c r="BB4856" s="58"/>
      <c r="BC4856" s="58"/>
      <c r="BD4856" s="58"/>
      <c r="BE4856" s="236" t="s">
        <v>5169</v>
      </c>
      <c r="BF4856" s="191" t="s">
        <v>479</v>
      </c>
      <c r="BG4856" s="191" t="s">
        <v>479</v>
      </c>
      <c r="BH4856" s="236" t="s">
        <v>5239</v>
      </c>
      <c r="BI4856" s="191" t="s">
        <v>479</v>
      </c>
      <c r="BJ4856" s="58" t="str">
        <f>IF(BE4856=BH4856,"No","yes")</f>
        <v>yes</v>
      </c>
      <c r="BK4856" s="58" t="s">
        <v>6335</v>
      </c>
      <c r="BL4856" s="58"/>
      <c r="BM4856" s="237" t="s">
        <v>160</v>
      </c>
      <c r="BN4856" s="244">
        <v>10</v>
      </c>
      <c r="BO4856" s="244">
        <v>10</v>
      </c>
      <c r="BP4856" s="58"/>
      <c r="BQ4856" s="58"/>
      <c r="BR4856" s="58"/>
      <c r="BS4856" s="58"/>
      <c r="BT4856" s="58"/>
      <c r="BU4856" s="58"/>
      <c r="BV4856" s="58"/>
      <c r="BW4856" s="67"/>
      <c r="BX4856" s="67"/>
      <c r="BY4856" s="67"/>
      <c r="BZ4856" s="67"/>
      <c r="CA4856" s="67"/>
      <c r="CB4856" s="70"/>
      <c r="CC4856" s="70"/>
      <c r="CD4856" s="70"/>
      <c r="CE4856" s="67"/>
      <c r="CF4856" s="67"/>
      <c r="CG4856" s="67"/>
      <c r="CH4856" s="245">
        <v>1.49</v>
      </c>
      <c r="CI4856" s="245">
        <v>1.28</v>
      </c>
      <c r="CJ4856" s="67"/>
      <c r="CK4856" s="67"/>
      <c r="CL4856" s="67"/>
      <c r="CM4856" s="242">
        <v>1.472</v>
      </c>
      <c r="CN4856" s="242">
        <v>1.6339999999999999</v>
      </c>
      <c r="CO4856" s="242">
        <f>1.42*0.1*SQRT(10)</f>
        <v>0.44904342774390987</v>
      </c>
      <c r="CP4856" s="242">
        <f>2.34*0.1*SQRT(10)</f>
        <v>0.73997297247940075</v>
      </c>
      <c r="CQ4856" s="242" t="s">
        <v>164</v>
      </c>
      <c r="CR4856" s="242">
        <f>CM4856*0.01*100*100*0.12*1.49</f>
        <v>26.319359999999996</v>
      </c>
      <c r="CS4856" s="242">
        <f>CN4856*0.01*100*100*0.12*1.28</f>
        <v>25.098240000000001</v>
      </c>
      <c r="CT4856" s="242">
        <f>CO4856*0.01*100*100*0.12*1.49</f>
        <v>8.0288964880611076</v>
      </c>
      <c r="CU4856" s="242">
        <f>CP4856*0.01*100*100*0.12*1.28</f>
        <v>11.365984857283594</v>
      </c>
      <c r="CV4856" s="242" t="s">
        <v>5151</v>
      </c>
      <c r="CW4856" s="242"/>
      <c r="CX4856" s="242"/>
      <c r="CY4856" s="242"/>
      <c r="CZ4856" s="242"/>
      <c r="DA4856" s="67" t="s">
        <v>5443</v>
      </c>
      <c r="DB4856" s="67">
        <f>910+45.13</f>
        <v>955.13</v>
      </c>
      <c r="DC4856" s="67">
        <f>1380+50.13</f>
        <v>1430.13</v>
      </c>
      <c r="DD4856" s="67">
        <f>(0.04*1000+2.05)*SQRT(10)</f>
        <v>132.97377561008034</v>
      </c>
      <c r="DE4856" s="67">
        <f>(0.12*1000+3.17)*SQRT(10)</f>
        <v>389.49773940293932</v>
      </c>
      <c r="DF4856" s="67" t="s">
        <v>5380</v>
      </c>
      <c r="DG4856" s="67">
        <v>23.81</v>
      </c>
      <c r="DH4856" s="67">
        <v>21.53</v>
      </c>
      <c r="DI4856" s="67">
        <f>2.15*SQRT(10)</f>
        <v>6.7988969693620156</v>
      </c>
      <c r="DJ4856" s="67">
        <f>1.05*SQRT(10)</f>
        <v>3.3203915431767985</v>
      </c>
      <c r="DK4856" s="67" t="s">
        <v>5383</v>
      </c>
      <c r="DL4856" s="67"/>
      <c r="DM4856" s="67"/>
      <c r="DN4856" s="67"/>
      <c r="DO4856" s="67"/>
      <c r="DP4856" s="67"/>
      <c r="DQ4856" s="166"/>
      <c r="DR4856" s="166"/>
      <c r="DS4856" s="163"/>
      <c r="DT4856" s="163"/>
      <c r="DU4856" s="67"/>
      <c r="DV4856" s="67"/>
      <c r="DW4856" s="67"/>
      <c r="DX4856" s="67"/>
      <c r="DY4856" s="67"/>
      <c r="DZ4856" s="67"/>
      <c r="EA4856" s="67"/>
      <c r="EB4856" s="67"/>
      <c r="EC4856" s="67"/>
      <c r="ED4856" s="67"/>
      <c r="EE4856" s="67"/>
      <c r="EF4856" s="67"/>
      <c r="EG4856" s="67"/>
      <c r="EH4856" s="67"/>
      <c r="EI4856" s="67"/>
      <c r="EJ4856" s="67"/>
      <c r="EK4856" s="94"/>
      <c r="EL4856" s="94"/>
      <c r="EM4856" s="67"/>
      <c r="EN4856" s="67"/>
      <c r="EO4856" s="67"/>
      <c r="EP4856" s="67"/>
      <c r="EQ4856" s="67"/>
      <c r="ER4856" s="67"/>
      <c r="ES4856" s="67"/>
      <c r="ET4856" s="67"/>
      <c r="EU4856" s="67"/>
      <c r="EV4856" s="67"/>
      <c r="EW4856" s="67"/>
      <c r="EX4856" s="67"/>
      <c r="EY4856" s="67"/>
      <c r="EZ4856" s="67"/>
      <c r="FA4856" s="67"/>
      <c r="FB4856" s="67"/>
      <c r="FC4856" s="67"/>
      <c r="FD4856" s="67"/>
      <c r="FE4856" s="67"/>
      <c r="FF4856" s="67"/>
      <c r="FG4856" s="67"/>
      <c r="FH4856" s="67"/>
      <c r="FI4856" s="67"/>
      <c r="FJ4856" s="67"/>
      <c r="FK4856" s="67"/>
      <c r="FL4856" s="67"/>
      <c r="FM4856" s="67"/>
      <c r="FN4856" s="67"/>
      <c r="FO4856" s="67"/>
      <c r="FP4856" s="67"/>
      <c r="FQ4856" s="67"/>
      <c r="FR4856" s="67"/>
      <c r="FS4856" s="67"/>
      <c r="FT4856" s="67"/>
      <c r="FU4856" s="67"/>
      <c r="FV4856" s="67"/>
      <c r="FW4856" s="67"/>
      <c r="FX4856" s="67"/>
      <c r="FY4856" s="67"/>
      <c r="FZ4856" s="67"/>
      <c r="GA4856" s="67"/>
      <c r="GB4856" s="67"/>
      <c r="GC4856" s="67"/>
      <c r="GD4856" s="67"/>
      <c r="GE4856" s="67"/>
      <c r="GF4856" s="67"/>
      <c r="GG4856" s="67"/>
      <c r="GH4856" s="67"/>
      <c r="GI4856" s="67"/>
      <c r="GJ4856" s="67"/>
      <c r="GK4856" s="67"/>
      <c r="GL4856" s="67"/>
      <c r="GM4856" s="67"/>
      <c r="GN4856" s="292"/>
      <c r="GO4856" s="292"/>
      <c r="GP4856" s="292" t="s">
        <v>7494</v>
      </c>
      <c r="GQ4856" s="67"/>
      <c r="GR4856" s="67"/>
      <c r="GS4856" s="67"/>
      <c r="GT4856" s="67"/>
      <c r="GU4856" s="67"/>
      <c r="GV4856" s="67"/>
      <c r="GW4856" s="67"/>
      <c r="GX4856" s="67"/>
      <c r="GY4856" s="67"/>
      <c r="GZ4856" s="67"/>
      <c r="HA4856" s="67"/>
      <c r="HB4856" s="67"/>
      <c r="HC4856" s="67"/>
      <c r="HD4856" s="67"/>
      <c r="HE4856" s="67"/>
      <c r="HF4856" s="67"/>
      <c r="HG4856" s="67"/>
      <c r="HH4856" s="67"/>
      <c r="HI4856" s="67"/>
      <c r="HJ4856" s="67"/>
      <c r="HK4856" s="67"/>
      <c r="HL4856" s="67"/>
      <c r="HM4856" s="67"/>
      <c r="HN4856" s="67"/>
      <c r="HO4856" s="67"/>
      <c r="HP4856" s="67"/>
      <c r="HQ4856" s="67"/>
      <c r="HR4856" s="67"/>
      <c r="HS4856" s="67"/>
      <c r="HT4856" s="67"/>
      <c r="HU4856" s="67"/>
      <c r="HV4856" s="67"/>
      <c r="HW4856" s="67"/>
      <c r="HX4856" s="67">
        <f>3350</f>
        <v>3350</v>
      </c>
      <c r="HY4856" s="67">
        <v>3930</v>
      </c>
      <c r="HZ4856" s="67">
        <f>270*SQRT(10)</f>
        <v>853.81496824546252</v>
      </c>
      <c r="IA4856" s="67">
        <f>450*SQRT(10)</f>
        <v>1423.0249470757708</v>
      </c>
      <c r="IB4856" s="67" t="s">
        <v>5381</v>
      </c>
      <c r="IC4856" s="67">
        <f>0.36*30.5</f>
        <v>10.98</v>
      </c>
      <c r="ID4856" s="67">
        <f>0.54*30.5</f>
        <v>16.470000000000002</v>
      </c>
      <c r="IE4856" s="67">
        <f>0.07*30.5*SQRT(10)</f>
        <v>6.7514628044594911</v>
      </c>
      <c r="IF4856" s="67">
        <f>0.14*30.5*SQRT(10)</f>
        <v>13.502925608918982</v>
      </c>
      <c r="IG4856" s="67" t="s">
        <v>5382</v>
      </c>
      <c r="IH4856" s="67"/>
      <c r="II4856" s="67"/>
      <c r="IJ4856" s="67"/>
      <c r="IK4856" s="67"/>
      <c r="IL4856" s="67"/>
      <c r="IM4856" s="67"/>
      <c r="IN4856" s="67"/>
      <c r="IO4856" s="67"/>
      <c r="IP4856" s="67"/>
      <c r="IQ4856" s="67"/>
      <c r="IR4856" s="67"/>
      <c r="IS4856" s="67"/>
      <c r="IT4856" s="67"/>
      <c r="IU4856" s="67"/>
      <c r="IV4856" s="67"/>
      <c r="IW4856" s="67"/>
      <c r="IX4856" s="67"/>
      <c r="IY4856" s="67"/>
      <c r="IZ4856" s="67"/>
      <c r="JA4856" s="67"/>
      <c r="JB4856" s="67"/>
      <c r="JC4856" s="67"/>
      <c r="JD4856" s="67"/>
      <c r="JE4856" s="67"/>
      <c r="JF4856" s="67"/>
      <c r="JG4856" s="67">
        <f>910</f>
        <v>910</v>
      </c>
      <c r="JH4856" s="67">
        <v>760</v>
      </c>
      <c r="JI4856" s="67">
        <f>180*SQRT(10)</f>
        <v>569.20997883030827</v>
      </c>
      <c r="JJ4856" s="67">
        <f>140*SQRT(10)</f>
        <v>442.71887242357315</v>
      </c>
      <c r="JK4856" s="67" t="s">
        <v>5379</v>
      </c>
      <c r="JL4856" s="67">
        <v>70</v>
      </c>
      <c r="JM4856" s="67">
        <v>100</v>
      </c>
      <c r="JN4856" s="67">
        <f>0.01*1000*SQRT(10)</f>
        <v>31.622776601683796</v>
      </c>
      <c r="JO4856" s="67">
        <f>0.02*1000*SQRT(10)</f>
        <v>63.245553203367592</v>
      </c>
      <c r="JP4856" s="67" t="s">
        <v>5379</v>
      </c>
      <c r="JQ4856" s="67"/>
      <c r="JR4856" s="67"/>
      <c r="JS4856" s="67"/>
      <c r="JT4856" s="67"/>
      <c r="JU4856" s="58"/>
      <c r="JV4856" s="58"/>
      <c r="JW4856" s="58"/>
    </row>
    <row r="4857" spans="1:283" s="23" customFormat="1" x14ac:dyDescent="0.25">
      <c r="A4857" s="55">
        <v>4856</v>
      </c>
      <c r="B4857" s="12" t="s">
        <v>7067</v>
      </c>
      <c r="C4857" s="156">
        <v>225</v>
      </c>
      <c r="D4857" s="58" t="s">
        <v>4916</v>
      </c>
      <c r="E4857" s="160" t="str">
        <f>G4857</f>
        <v>Eltun et al 2002_arable 1</v>
      </c>
      <c r="F4857" s="160"/>
      <c r="G4857" s="60" t="s">
        <v>4813</v>
      </c>
      <c r="H4857" s="58">
        <v>2002</v>
      </c>
      <c r="I4857" s="58">
        <v>1994</v>
      </c>
      <c r="J4857" s="243" t="s">
        <v>427</v>
      </c>
      <c r="K4857" s="63" t="s">
        <v>5118</v>
      </c>
      <c r="L4857" s="58" t="s">
        <v>5330</v>
      </c>
      <c r="M4857" s="94">
        <f>60+42/60</f>
        <v>60.7</v>
      </c>
      <c r="N4857" s="94">
        <f>10+51/60</f>
        <v>10.85</v>
      </c>
      <c r="O4857" s="94">
        <v>250</v>
      </c>
      <c r="P4857" s="58"/>
      <c r="Q4857" s="244">
        <v>3.6</v>
      </c>
      <c r="R4857" s="58"/>
      <c r="S4857" s="245">
        <v>600</v>
      </c>
      <c r="T4857" s="58"/>
      <c r="U4857" s="58" t="s">
        <v>1816</v>
      </c>
      <c r="V4857" s="244">
        <v>7</v>
      </c>
      <c r="W4857" s="174"/>
      <c r="X4857" s="174"/>
      <c r="Y4857" s="58" t="s">
        <v>5384</v>
      </c>
      <c r="Z4857" s="244" t="s">
        <v>1367</v>
      </c>
      <c r="AA4857" s="245">
        <v>25</v>
      </c>
      <c r="AB4857" s="67"/>
      <c r="AC4857" s="67"/>
      <c r="AD4857" s="94"/>
      <c r="AE4857" s="94"/>
      <c r="AF4857" s="94"/>
      <c r="AG4857" s="245">
        <v>19</v>
      </c>
      <c r="AH4857" s="58" t="s">
        <v>139</v>
      </c>
      <c r="AI4857" s="169"/>
      <c r="AJ4857" s="94"/>
      <c r="AK4857" s="94"/>
      <c r="AL4857" s="58"/>
      <c r="AM4857" s="58"/>
      <c r="AN4857" s="186"/>
      <c r="AO4857" s="185" t="s">
        <v>7494</v>
      </c>
      <c r="AP4857" s="58"/>
      <c r="AQ4857" s="58"/>
      <c r="AR4857" s="58"/>
      <c r="AS4857" s="246" t="s">
        <v>5133</v>
      </c>
      <c r="AT4857" s="247">
        <v>0</v>
      </c>
      <c r="AU4857" s="181" t="s">
        <v>7494</v>
      </c>
      <c r="AV4857" s="185" t="s">
        <v>176</v>
      </c>
      <c r="AW4857" s="244">
        <v>1</v>
      </c>
      <c r="AX4857" s="185" t="s">
        <v>176</v>
      </c>
      <c r="AY4857" s="244" t="s">
        <v>5150</v>
      </c>
      <c r="AZ4857" s="58"/>
      <c r="BA4857" s="58"/>
      <c r="BB4857" s="58"/>
      <c r="BC4857" s="58"/>
      <c r="BD4857" s="58"/>
      <c r="BE4857" s="236" t="s">
        <v>5170</v>
      </c>
      <c r="BF4857" s="191" t="s">
        <v>479</v>
      </c>
      <c r="BG4857" s="191" t="s">
        <v>479</v>
      </c>
      <c r="BH4857" s="236" t="s">
        <v>5240</v>
      </c>
      <c r="BI4857" s="191" t="s">
        <v>479</v>
      </c>
      <c r="BJ4857" s="58" t="str">
        <f>IF(BE4857=BH4857,"No","yes")</f>
        <v>yes</v>
      </c>
      <c r="BK4857" s="58" t="s">
        <v>6334</v>
      </c>
      <c r="BL4857" s="58"/>
      <c r="BM4857" s="237"/>
      <c r="BN4857" s="244">
        <v>3</v>
      </c>
      <c r="BO4857" s="244">
        <v>3</v>
      </c>
      <c r="BP4857" s="58"/>
      <c r="BQ4857" s="58"/>
      <c r="BR4857" s="58"/>
      <c r="BS4857" s="58"/>
      <c r="BT4857" s="58"/>
      <c r="BU4857" s="58"/>
      <c r="BV4857" s="58" t="s">
        <v>5385</v>
      </c>
      <c r="BW4857" s="67"/>
      <c r="BX4857" s="67"/>
      <c r="BY4857" s="67"/>
      <c r="BZ4857" s="67"/>
      <c r="CA4857" s="67"/>
      <c r="CB4857" s="70">
        <v>5200</v>
      </c>
      <c r="CC4857" s="70">
        <v>3400</v>
      </c>
      <c r="CD4857" s="70"/>
      <c r="CE4857" s="67"/>
      <c r="CF4857" s="67"/>
      <c r="CG4857" s="67" t="s">
        <v>2053</v>
      </c>
      <c r="CH4857" s="245">
        <v>1.3613510001602485</v>
      </c>
      <c r="CI4857" s="245">
        <v>1.3341063789008276</v>
      </c>
      <c r="CJ4857" s="67"/>
      <c r="CK4857" s="67"/>
      <c r="CL4857" s="67"/>
      <c r="CM4857" s="242">
        <v>2.08</v>
      </c>
      <c r="CN4857" s="242">
        <v>2.33</v>
      </c>
      <c r="CO4857" s="242">
        <v>0.20800000000000002</v>
      </c>
      <c r="CP4857" s="242">
        <v>0.23300000000000001</v>
      </c>
      <c r="CQ4857" s="242" t="s">
        <v>164</v>
      </c>
      <c r="CR4857" s="242">
        <v>70.790252008332914</v>
      </c>
      <c r="CS4857" s="242">
        <v>77.711696570973203</v>
      </c>
      <c r="CT4857" s="242">
        <v>7.0790252008332919</v>
      </c>
      <c r="CU4857" s="242">
        <v>7.771169657097321</v>
      </c>
      <c r="CV4857" s="242" t="s">
        <v>5151</v>
      </c>
      <c r="CW4857" s="242">
        <v>-1957.4684989583861</v>
      </c>
      <c r="CX4857" s="242">
        <v>-1507.9129286283521</v>
      </c>
      <c r="CY4857" s="242">
        <v>-195.74684989583864</v>
      </c>
      <c r="CZ4857" s="242">
        <v>-150.79129286283521</v>
      </c>
      <c r="DA4857" s="67" t="s">
        <v>5443</v>
      </c>
      <c r="DB4857" s="67"/>
      <c r="DC4857" s="67"/>
      <c r="DD4857" s="67"/>
      <c r="DE4857" s="67"/>
      <c r="DF4857" s="67"/>
      <c r="DG4857" s="67"/>
      <c r="DH4857" s="67"/>
      <c r="DI4857" s="67"/>
      <c r="DJ4857" s="67"/>
      <c r="DK4857" s="67"/>
      <c r="DL4857" s="67"/>
      <c r="DM4857" s="67"/>
      <c r="DN4857" s="67"/>
      <c r="DO4857" s="67"/>
      <c r="DP4857" s="67"/>
      <c r="DQ4857" s="166"/>
      <c r="DR4857" s="166"/>
      <c r="DS4857" s="163"/>
      <c r="DT4857" s="163"/>
      <c r="DU4857" s="67"/>
      <c r="DV4857" s="67"/>
      <c r="DW4857" s="67"/>
      <c r="DX4857" s="67"/>
      <c r="DY4857" s="67"/>
      <c r="DZ4857" s="67"/>
      <c r="EA4857" s="67"/>
      <c r="EB4857" s="67"/>
      <c r="EC4857" s="67"/>
      <c r="ED4857" s="67"/>
      <c r="EE4857" s="67"/>
      <c r="EF4857" s="67"/>
      <c r="EG4857" s="67"/>
      <c r="EH4857" s="67"/>
      <c r="EI4857" s="67"/>
      <c r="EJ4857" s="67"/>
      <c r="EK4857" s="94"/>
      <c r="EL4857" s="94"/>
      <c r="EM4857" s="67"/>
      <c r="EN4857" s="67"/>
      <c r="EO4857" s="67"/>
      <c r="EP4857" s="67"/>
      <c r="EQ4857" s="67"/>
      <c r="ER4857" s="67"/>
      <c r="ES4857" s="67"/>
      <c r="ET4857" s="67"/>
      <c r="EU4857" s="67"/>
      <c r="EV4857" s="67"/>
      <c r="EW4857" s="67"/>
      <c r="EX4857" s="67"/>
      <c r="EY4857" s="67"/>
      <c r="EZ4857" s="67"/>
      <c r="FA4857" s="67"/>
      <c r="FB4857" s="67"/>
      <c r="FC4857" s="67"/>
      <c r="FD4857" s="67"/>
      <c r="FE4857" s="67"/>
      <c r="FF4857" s="67"/>
      <c r="FG4857" s="67"/>
      <c r="FH4857" s="67"/>
      <c r="FI4857" s="67"/>
      <c r="FJ4857" s="67">
        <f>1/1000*211.6</f>
        <v>0.21160000000000001</v>
      </c>
      <c r="FK4857" s="67">
        <f>1/1000*99.8</f>
        <v>9.98E-2</v>
      </c>
      <c r="FL4857" s="67"/>
      <c r="FM4857" s="67"/>
      <c r="FN4857" s="67" t="s">
        <v>6363</v>
      </c>
      <c r="FO4857" s="67"/>
      <c r="FP4857" s="67"/>
      <c r="FQ4857" s="67"/>
      <c r="FR4857" s="67"/>
      <c r="FS4857" s="67"/>
      <c r="FT4857" s="67">
        <f>30.6+0.46</f>
        <v>31.060000000000002</v>
      </c>
      <c r="FU4857" s="67">
        <f>17.74+0.59</f>
        <v>18.329999999999998</v>
      </c>
      <c r="FV4857" s="67"/>
      <c r="FW4857" s="67"/>
      <c r="FX4857" s="67" t="s">
        <v>5389</v>
      </c>
      <c r="FY4857" s="67"/>
      <c r="FZ4857" s="67"/>
      <c r="GA4857" s="67"/>
      <c r="GB4857" s="67"/>
      <c r="GC4857" s="67"/>
      <c r="GD4857" s="67"/>
      <c r="GE4857" s="67"/>
      <c r="GF4857" s="67"/>
      <c r="GG4857" s="67"/>
      <c r="GH4857" s="67"/>
      <c r="GI4857" s="67">
        <v>0.18</v>
      </c>
      <c r="GJ4857" s="67">
        <v>0.19900000000000001</v>
      </c>
      <c r="GK4857" s="67"/>
      <c r="GL4857" s="67"/>
      <c r="GM4857" s="67" t="s">
        <v>5919</v>
      </c>
      <c r="GN4857" s="292"/>
      <c r="GO4857" s="292"/>
      <c r="GP4857" s="292" t="s">
        <v>7494</v>
      </c>
      <c r="GQ4857" s="67"/>
      <c r="GR4857" s="67"/>
      <c r="GS4857" s="67"/>
      <c r="GT4857" s="67"/>
      <c r="GU4857" s="67"/>
      <c r="GV4857" s="67"/>
      <c r="GW4857" s="67"/>
      <c r="GX4857" s="67"/>
      <c r="GY4857" s="67"/>
      <c r="GZ4857" s="67"/>
      <c r="HA4857" s="67"/>
      <c r="HB4857" s="67"/>
      <c r="HC4857" s="67"/>
      <c r="HD4857" s="67">
        <v>48</v>
      </c>
      <c r="HE4857" s="67">
        <v>68</v>
      </c>
      <c r="HF4857" s="67"/>
      <c r="HG4857" s="67"/>
      <c r="HH4857" s="67" t="s">
        <v>5390</v>
      </c>
      <c r="HI4857" s="67"/>
      <c r="HJ4857" s="67"/>
      <c r="HK4857" s="67"/>
      <c r="HL4857" s="67"/>
      <c r="HM4857" s="67"/>
      <c r="HN4857" s="67"/>
      <c r="HO4857" s="67"/>
      <c r="HP4857" s="67"/>
      <c r="HQ4857" s="67"/>
      <c r="HR4857" s="67"/>
      <c r="HS4857" s="67"/>
      <c r="HT4857" s="67"/>
      <c r="HU4857" s="67"/>
      <c r="HV4857" s="67"/>
      <c r="HW4857" s="67"/>
      <c r="HX4857" s="67"/>
      <c r="HY4857" s="67"/>
      <c r="HZ4857" s="67"/>
      <c r="IA4857" s="67"/>
      <c r="IB4857" s="67"/>
      <c r="IC4857" s="67"/>
      <c r="ID4857" s="67"/>
      <c r="IE4857" s="67"/>
      <c r="IF4857" s="67"/>
      <c r="IG4857" s="67"/>
      <c r="IH4857" s="67"/>
      <c r="II4857" s="67"/>
      <c r="IJ4857" s="67"/>
      <c r="IK4857" s="67"/>
      <c r="IL4857" s="67"/>
      <c r="IM4857" s="67"/>
      <c r="IN4857" s="67"/>
      <c r="IO4857" s="67"/>
      <c r="IP4857" s="67"/>
      <c r="IQ4857" s="67"/>
      <c r="IR4857" s="67"/>
      <c r="IS4857" s="67"/>
      <c r="IT4857" s="67"/>
      <c r="IU4857" s="67"/>
      <c r="IV4857" s="67"/>
      <c r="IW4857" s="67"/>
      <c r="IX4857" s="67"/>
      <c r="IY4857" s="67"/>
      <c r="IZ4857" s="67"/>
      <c r="JA4857" s="67"/>
      <c r="JB4857" s="67"/>
      <c r="JC4857" s="67"/>
      <c r="JD4857" s="67"/>
      <c r="JE4857" s="67"/>
      <c r="JF4857" s="67"/>
      <c r="JG4857" s="67">
        <v>220</v>
      </c>
      <c r="JH4857" s="67">
        <v>305</v>
      </c>
      <c r="JI4857" s="67"/>
      <c r="JJ4857" s="67"/>
      <c r="JK4857" s="67" t="s">
        <v>2242</v>
      </c>
      <c r="JL4857" s="67">
        <v>36.700000000000003</v>
      </c>
      <c r="JM4857" s="67">
        <v>49.3</v>
      </c>
      <c r="JN4857" s="67"/>
      <c r="JO4857" s="67"/>
      <c r="JP4857" s="67" t="s">
        <v>2242</v>
      </c>
      <c r="JQ4857" s="67"/>
      <c r="JR4857" s="67"/>
      <c r="JS4857" s="67"/>
      <c r="JT4857" s="67"/>
      <c r="JU4857" s="58"/>
      <c r="JV4857" s="58"/>
      <c r="JW4857" s="58"/>
    </row>
    <row r="4858" spans="1:283" s="23" customFormat="1" x14ac:dyDescent="0.25">
      <c r="A4858" s="55">
        <v>4857</v>
      </c>
      <c r="B4858" s="12" t="s">
        <v>7067</v>
      </c>
      <c r="C4858" s="156">
        <v>225</v>
      </c>
      <c r="D4858" s="58" t="s">
        <v>4917</v>
      </c>
      <c r="E4858" s="160" t="str">
        <f>G4858</f>
        <v>Eltun et al 2002_arable 2</v>
      </c>
      <c r="F4858" s="160"/>
      <c r="G4858" s="60" t="s">
        <v>4812</v>
      </c>
      <c r="H4858" s="58">
        <v>2002</v>
      </c>
      <c r="I4858" s="58">
        <v>1994</v>
      </c>
      <c r="J4858" s="243" t="s">
        <v>427</v>
      </c>
      <c r="K4858" s="63" t="s">
        <v>5118</v>
      </c>
      <c r="L4858" s="58" t="s">
        <v>5330</v>
      </c>
      <c r="M4858" s="94">
        <f>60+42/60</f>
        <v>60.7</v>
      </c>
      <c r="N4858" s="94">
        <f>10+51/60</f>
        <v>10.85</v>
      </c>
      <c r="O4858" s="94">
        <v>250</v>
      </c>
      <c r="P4858" s="58"/>
      <c r="Q4858" s="244">
        <v>3.6</v>
      </c>
      <c r="R4858" s="58"/>
      <c r="S4858" s="245">
        <v>600</v>
      </c>
      <c r="T4858" s="58"/>
      <c r="U4858" s="58" t="s">
        <v>1816</v>
      </c>
      <c r="V4858" s="244">
        <v>7</v>
      </c>
      <c r="W4858" s="174"/>
      <c r="X4858" s="174"/>
      <c r="Y4858" s="58" t="s">
        <v>5384</v>
      </c>
      <c r="Z4858" s="244" t="s">
        <v>1367</v>
      </c>
      <c r="AA4858" s="245">
        <v>25</v>
      </c>
      <c r="AB4858" s="67"/>
      <c r="AC4858" s="67"/>
      <c r="AD4858" s="94"/>
      <c r="AE4858" s="94"/>
      <c r="AF4858" s="94"/>
      <c r="AG4858" s="245">
        <v>15</v>
      </c>
      <c r="AH4858" s="58" t="s">
        <v>139</v>
      </c>
      <c r="AI4858" s="169"/>
      <c r="AJ4858" s="94"/>
      <c r="AK4858" s="94"/>
      <c r="AL4858" s="58"/>
      <c r="AM4858" s="58"/>
      <c r="AN4858" s="186"/>
      <c r="AO4858" s="185" t="s">
        <v>7494</v>
      </c>
      <c r="AP4858" s="58"/>
      <c r="AQ4858" s="58"/>
      <c r="AR4858" s="58"/>
      <c r="AS4858" s="246" t="s">
        <v>5133</v>
      </c>
      <c r="AT4858" s="247">
        <v>0</v>
      </c>
      <c r="AU4858" s="181" t="s">
        <v>7494</v>
      </c>
      <c r="AV4858" s="185" t="s">
        <v>176</v>
      </c>
      <c r="AW4858" s="244">
        <v>1</v>
      </c>
      <c r="AX4858" s="185" t="s">
        <v>176</v>
      </c>
      <c r="AY4858" s="244" t="s">
        <v>5150</v>
      </c>
      <c r="AZ4858" s="58"/>
      <c r="BA4858" s="58"/>
      <c r="BB4858" s="58"/>
      <c r="BC4858" s="58"/>
      <c r="BD4858" s="58"/>
      <c r="BE4858" s="236" t="s">
        <v>5171</v>
      </c>
      <c r="BF4858" s="191" t="s">
        <v>479</v>
      </c>
      <c r="BG4858" s="191" t="s">
        <v>479</v>
      </c>
      <c r="BH4858" s="236" t="s">
        <v>5240</v>
      </c>
      <c r="BI4858" s="191" t="s">
        <v>479</v>
      </c>
      <c r="BJ4858" s="58" t="str">
        <f>IF(BE4858=BH4858,"No","yes")</f>
        <v>yes</v>
      </c>
      <c r="BK4858" s="58" t="s">
        <v>6334</v>
      </c>
      <c r="BL4858" s="58"/>
      <c r="BM4858" s="237"/>
      <c r="BN4858" s="244">
        <v>3</v>
      </c>
      <c r="BO4858" s="244">
        <v>3</v>
      </c>
      <c r="BP4858" s="58"/>
      <c r="BQ4858" s="58"/>
      <c r="BR4858" s="58"/>
      <c r="BS4858" s="58"/>
      <c r="BT4858" s="58"/>
      <c r="BU4858" s="58"/>
      <c r="BV4858" s="58" t="s">
        <v>5386</v>
      </c>
      <c r="BW4858" s="67"/>
      <c r="BX4858" s="67"/>
      <c r="BY4858" s="67"/>
      <c r="BZ4858" s="67"/>
      <c r="CA4858" s="67"/>
      <c r="CB4858" s="70">
        <v>4400</v>
      </c>
      <c r="CC4858" s="70">
        <v>3400</v>
      </c>
      <c r="CD4858" s="70"/>
      <c r="CE4858" s="67"/>
      <c r="CF4858" s="67"/>
      <c r="CG4858" s="67" t="s">
        <v>2053</v>
      </c>
      <c r="CH4858" s="245">
        <v>1.305881112082298</v>
      </c>
      <c r="CI4858" s="245">
        <v>1.3341063789008276</v>
      </c>
      <c r="CJ4858" s="67"/>
      <c r="CK4858" s="67"/>
      <c r="CL4858" s="67"/>
      <c r="CM4858" s="242">
        <v>2.6</v>
      </c>
      <c r="CN4858" s="242">
        <v>2.33</v>
      </c>
      <c r="CO4858" s="242">
        <v>0.26</v>
      </c>
      <c r="CP4858" s="242">
        <v>0.23300000000000001</v>
      </c>
      <c r="CQ4858" s="242" t="s">
        <v>164</v>
      </c>
      <c r="CR4858" s="242">
        <v>84.882272285349373</v>
      </c>
      <c r="CS4858" s="242">
        <v>77.711696570973203</v>
      </c>
      <c r="CT4858" s="242">
        <v>8.4882272285349369</v>
      </c>
      <c r="CU4858" s="242">
        <v>7.771169657097321</v>
      </c>
      <c r="CV4858" s="242" t="s">
        <v>5151</v>
      </c>
      <c r="CW4858" s="242">
        <v>-195.96596433132873</v>
      </c>
      <c r="CX4858" s="242">
        <v>-1507.9129286283521</v>
      </c>
      <c r="CY4858" s="242">
        <v>-19.596596433132873</v>
      </c>
      <c r="CZ4858" s="242">
        <v>-150.79129286283521</v>
      </c>
      <c r="DA4858" s="67" t="s">
        <v>5443</v>
      </c>
      <c r="DB4858" s="67"/>
      <c r="DC4858" s="67"/>
      <c r="DD4858" s="67"/>
      <c r="DE4858" s="67"/>
      <c r="DF4858" s="67"/>
      <c r="DG4858" s="67"/>
      <c r="DH4858" s="67"/>
      <c r="DI4858" s="67"/>
      <c r="DJ4858" s="67"/>
      <c r="DK4858" s="67"/>
      <c r="DL4858" s="67"/>
      <c r="DM4858" s="67"/>
      <c r="DN4858" s="67"/>
      <c r="DO4858" s="67"/>
      <c r="DP4858" s="67"/>
      <c r="DQ4858" s="166"/>
      <c r="DR4858" s="166"/>
      <c r="DS4858" s="163"/>
      <c r="DT4858" s="163"/>
      <c r="DU4858" s="67"/>
      <c r="DV4858" s="67"/>
      <c r="DW4858" s="67"/>
      <c r="DX4858" s="67"/>
      <c r="DY4858" s="67"/>
      <c r="DZ4858" s="67"/>
      <c r="EA4858" s="67"/>
      <c r="EB4858" s="67"/>
      <c r="EC4858" s="67"/>
      <c r="ED4858" s="67"/>
      <c r="EE4858" s="67"/>
      <c r="EF4858" s="67"/>
      <c r="EG4858" s="67"/>
      <c r="EH4858" s="67"/>
      <c r="EI4858" s="67"/>
      <c r="EJ4858" s="67"/>
      <c r="EK4858" s="94"/>
      <c r="EL4858" s="94"/>
      <c r="EM4858" s="67"/>
      <c r="EN4858" s="67"/>
      <c r="EO4858" s="67"/>
      <c r="EP4858" s="67"/>
      <c r="EQ4858" s="67"/>
      <c r="ER4858" s="67"/>
      <c r="ES4858" s="67"/>
      <c r="ET4858" s="67"/>
      <c r="EU4858" s="67"/>
      <c r="EV4858" s="67"/>
      <c r="EW4858" s="67"/>
      <c r="EX4858" s="67"/>
      <c r="EY4858" s="67"/>
      <c r="EZ4858" s="67"/>
      <c r="FA4858" s="67"/>
      <c r="FB4858" s="67"/>
      <c r="FC4858" s="67"/>
      <c r="FD4858" s="67"/>
      <c r="FE4858" s="67"/>
      <c r="FF4858" s="67"/>
      <c r="FG4858" s="67"/>
      <c r="FH4858" s="67"/>
      <c r="FI4858" s="67"/>
      <c r="FJ4858" s="67">
        <f>1/1000*141.7</f>
        <v>0.14169999999999999</v>
      </c>
      <c r="FK4858" s="67">
        <f>1/1000*99.8</f>
        <v>9.98E-2</v>
      </c>
      <c r="FL4858" s="67"/>
      <c r="FM4858" s="67"/>
      <c r="FN4858" s="67" t="s">
        <v>6363</v>
      </c>
      <c r="FO4858" s="67"/>
      <c r="FP4858" s="67"/>
      <c r="FQ4858" s="67"/>
      <c r="FR4858" s="67"/>
      <c r="FS4858" s="67"/>
      <c r="FT4858" s="67">
        <f>25.52+0.36</f>
        <v>25.88</v>
      </c>
      <c r="FU4858" s="67">
        <f>17.74+0.59</f>
        <v>18.329999999999998</v>
      </c>
      <c r="FV4858" s="67"/>
      <c r="FW4858" s="67"/>
      <c r="FX4858" s="67" t="s">
        <v>5389</v>
      </c>
      <c r="FY4858" s="67"/>
      <c r="FZ4858" s="67"/>
      <c r="GA4858" s="67"/>
      <c r="GB4858" s="67"/>
      <c r="GC4858" s="67"/>
      <c r="GD4858" s="67"/>
      <c r="GE4858" s="67"/>
      <c r="GF4858" s="67"/>
      <c r="GG4858" s="67"/>
      <c r="GH4858" s="67"/>
      <c r="GI4858" s="67">
        <v>0.19700000000000001</v>
      </c>
      <c r="GJ4858" s="67">
        <v>0.24</v>
      </c>
      <c r="GK4858" s="67"/>
      <c r="GL4858" s="67"/>
      <c r="GM4858" s="67" t="s">
        <v>5919</v>
      </c>
      <c r="GN4858" s="292"/>
      <c r="GO4858" s="292"/>
      <c r="GP4858" s="292" t="s">
        <v>7494</v>
      </c>
      <c r="GQ4858" s="67"/>
      <c r="GR4858" s="67"/>
      <c r="GS4858" s="67"/>
      <c r="GT4858" s="67"/>
      <c r="GU4858" s="67"/>
      <c r="GV4858" s="67"/>
      <c r="GW4858" s="67"/>
      <c r="GX4858" s="67"/>
      <c r="GY4858" s="67"/>
      <c r="GZ4858" s="67"/>
      <c r="HA4858" s="67"/>
      <c r="HB4858" s="67"/>
      <c r="HC4858" s="67"/>
      <c r="HD4858" s="67">
        <v>20</v>
      </c>
      <c r="HE4858" s="67">
        <v>68</v>
      </c>
      <c r="HF4858" s="67"/>
      <c r="HG4858" s="67"/>
      <c r="HH4858" s="67" t="s">
        <v>5390</v>
      </c>
      <c r="HI4858" s="67"/>
      <c r="HJ4858" s="67"/>
      <c r="HK4858" s="67"/>
      <c r="HL4858" s="67"/>
      <c r="HM4858" s="67"/>
      <c r="HN4858" s="67"/>
      <c r="HO4858" s="67"/>
      <c r="HP4858" s="67"/>
      <c r="HQ4858" s="67"/>
      <c r="HR4858" s="67"/>
      <c r="HS4858" s="67"/>
      <c r="HT4858" s="67"/>
      <c r="HU4858" s="67"/>
      <c r="HV4858" s="67"/>
      <c r="HW4858" s="67"/>
      <c r="HX4858" s="67"/>
      <c r="HY4858" s="67"/>
      <c r="HZ4858" s="67"/>
      <c r="IA4858" s="67"/>
      <c r="IB4858" s="67"/>
      <c r="IC4858" s="67"/>
      <c r="ID4858" s="67"/>
      <c r="IE4858" s="67"/>
      <c r="IF4858" s="67"/>
      <c r="IG4858" s="67"/>
      <c r="IH4858" s="67"/>
      <c r="II4858" s="67"/>
      <c r="IJ4858" s="67"/>
      <c r="IK4858" s="67"/>
      <c r="IL4858" s="67"/>
      <c r="IM4858" s="67"/>
      <c r="IN4858" s="67"/>
      <c r="IO4858" s="67"/>
      <c r="IP4858" s="67"/>
      <c r="IQ4858" s="67"/>
      <c r="IR4858" s="67"/>
      <c r="IS4858" s="67"/>
      <c r="IT4858" s="67"/>
      <c r="IU4858" s="67"/>
      <c r="IV4858" s="67"/>
      <c r="IW4858" s="67"/>
      <c r="IX4858" s="67"/>
      <c r="IY4858" s="67"/>
      <c r="IZ4858" s="67"/>
      <c r="JA4858" s="67"/>
      <c r="JB4858" s="67"/>
      <c r="JC4858" s="67"/>
      <c r="JD4858" s="67"/>
      <c r="JE4858" s="67"/>
      <c r="JF4858" s="67"/>
      <c r="JG4858" s="67">
        <v>200</v>
      </c>
      <c r="JH4858" s="67">
        <v>305</v>
      </c>
      <c r="JI4858" s="67"/>
      <c r="JJ4858" s="67"/>
      <c r="JK4858" s="67" t="s">
        <v>2242</v>
      </c>
      <c r="JL4858" s="67">
        <v>37.200000000000003</v>
      </c>
      <c r="JM4858" s="67">
        <v>49.3</v>
      </c>
      <c r="JN4858" s="67"/>
      <c r="JO4858" s="67"/>
      <c r="JP4858" s="67" t="s">
        <v>2242</v>
      </c>
      <c r="JQ4858" s="67"/>
      <c r="JR4858" s="67"/>
      <c r="JS4858" s="67"/>
      <c r="JT4858" s="67"/>
      <c r="JU4858" s="58"/>
      <c r="JV4858" s="58"/>
      <c r="JW4858" s="58"/>
    </row>
    <row r="4859" spans="1:283" s="23" customFormat="1" x14ac:dyDescent="0.25">
      <c r="A4859" s="55">
        <v>4858</v>
      </c>
      <c r="B4859" s="12" t="s">
        <v>7067</v>
      </c>
      <c r="C4859" s="156">
        <v>225</v>
      </c>
      <c r="D4859" s="58" t="s">
        <v>4918</v>
      </c>
      <c r="E4859" s="160" t="str">
        <f>G4859</f>
        <v>Eltun et al 2002_forage 1</v>
      </c>
      <c r="F4859" s="160"/>
      <c r="G4859" s="60" t="s">
        <v>4811</v>
      </c>
      <c r="H4859" s="58">
        <v>2002</v>
      </c>
      <c r="I4859" s="58">
        <v>1994</v>
      </c>
      <c r="J4859" s="243" t="s">
        <v>427</v>
      </c>
      <c r="K4859" s="63" t="s">
        <v>5118</v>
      </c>
      <c r="L4859" s="58" t="s">
        <v>5330</v>
      </c>
      <c r="M4859" s="94">
        <f>60+42/60</f>
        <v>60.7</v>
      </c>
      <c r="N4859" s="94">
        <f>10+51/60</f>
        <v>10.85</v>
      </c>
      <c r="O4859" s="94">
        <v>250</v>
      </c>
      <c r="P4859" s="58"/>
      <c r="Q4859" s="244">
        <v>3.6</v>
      </c>
      <c r="R4859" s="58"/>
      <c r="S4859" s="245">
        <v>600</v>
      </c>
      <c r="T4859" s="58"/>
      <c r="U4859" s="58" t="s">
        <v>1816</v>
      </c>
      <c r="V4859" s="244">
        <v>7</v>
      </c>
      <c r="W4859" s="174"/>
      <c r="X4859" s="174"/>
      <c r="Y4859" s="58" t="s">
        <v>5384</v>
      </c>
      <c r="Z4859" s="244" t="s">
        <v>1367</v>
      </c>
      <c r="AA4859" s="245">
        <v>25</v>
      </c>
      <c r="AB4859" s="67"/>
      <c r="AC4859" s="67"/>
      <c r="AD4859" s="94"/>
      <c r="AE4859" s="94"/>
      <c r="AF4859" s="94"/>
      <c r="AG4859" s="245">
        <v>19</v>
      </c>
      <c r="AH4859" s="58" t="s">
        <v>139</v>
      </c>
      <c r="AI4859" s="169"/>
      <c r="AJ4859" s="94"/>
      <c r="AK4859" s="94"/>
      <c r="AL4859" s="58"/>
      <c r="AM4859" s="58"/>
      <c r="AN4859" s="186"/>
      <c r="AO4859" s="185" t="s">
        <v>7494</v>
      </c>
      <c r="AP4859" s="58"/>
      <c r="AQ4859" s="58"/>
      <c r="AR4859" s="58"/>
      <c r="AS4859" s="246" t="s">
        <v>5133</v>
      </c>
      <c r="AT4859" s="247">
        <v>1</v>
      </c>
      <c r="AU4859" s="181" t="s">
        <v>7494</v>
      </c>
      <c r="AV4859" s="185" t="s">
        <v>176</v>
      </c>
      <c r="AW4859" s="244">
        <v>1</v>
      </c>
      <c r="AX4859" s="185" t="s">
        <v>176</v>
      </c>
      <c r="AY4859" s="244" t="s">
        <v>176</v>
      </c>
      <c r="AZ4859" s="58"/>
      <c r="BA4859" s="58"/>
      <c r="BB4859" s="58"/>
      <c r="BC4859" s="58"/>
      <c r="BD4859" s="58"/>
      <c r="BE4859" s="236" t="s">
        <v>5172</v>
      </c>
      <c r="BF4859" s="191" t="s">
        <v>479</v>
      </c>
      <c r="BG4859" s="191" t="s">
        <v>479</v>
      </c>
      <c r="BH4859" s="236" t="s">
        <v>5241</v>
      </c>
      <c r="BI4859" s="191" t="s">
        <v>479</v>
      </c>
      <c r="BJ4859" s="58" t="str">
        <f>IF(BE4859=BH4859,"No","yes")</f>
        <v>yes</v>
      </c>
      <c r="BK4859" s="58" t="s">
        <v>6334</v>
      </c>
      <c r="BL4859" s="58"/>
      <c r="BM4859" s="237"/>
      <c r="BN4859" s="244">
        <v>3</v>
      </c>
      <c r="BO4859" s="244">
        <v>3</v>
      </c>
      <c r="BP4859" s="58"/>
      <c r="BQ4859" s="58"/>
      <c r="BR4859" s="58"/>
      <c r="BS4859" s="58"/>
      <c r="BT4859" s="58"/>
      <c r="BU4859" s="58"/>
      <c r="BV4859" s="58" t="s">
        <v>5387</v>
      </c>
      <c r="BW4859" s="67"/>
      <c r="BX4859" s="67"/>
      <c r="BY4859" s="67"/>
      <c r="BZ4859" s="67"/>
      <c r="CA4859" s="67"/>
      <c r="CB4859" s="70">
        <v>5000</v>
      </c>
      <c r="CC4859" s="70">
        <v>3700</v>
      </c>
      <c r="CD4859" s="70"/>
      <c r="CE4859" s="67"/>
      <c r="CF4859" s="67"/>
      <c r="CG4859" s="67" t="s">
        <v>2053</v>
      </c>
      <c r="CH4859" s="245">
        <v>1.2768658105930646</v>
      </c>
      <c r="CI4859" s="245">
        <v>1.3536109778337406</v>
      </c>
      <c r="CJ4859" s="67"/>
      <c r="CK4859" s="67"/>
      <c r="CL4859" s="67"/>
      <c r="CM4859" s="242">
        <v>2.89</v>
      </c>
      <c r="CN4859" s="242">
        <v>2.15</v>
      </c>
      <c r="CO4859" s="242">
        <v>0.28900000000000003</v>
      </c>
      <c r="CP4859" s="242">
        <v>0.215</v>
      </c>
      <c r="CQ4859" s="242" t="s">
        <v>164</v>
      </c>
      <c r="CR4859" s="242">
        <v>92.253554815348906</v>
      </c>
      <c r="CS4859" s="242">
        <v>72.756590058563546</v>
      </c>
      <c r="CT4859" s="242">
        <v>9.2253554815348906</v>
      </c>
      <c r="CU4859" s="242">
        <v>7.2756590058563546</v>
      </c>
      <c r="CV4859" s="242" t="s">
        <v>5151</v>
      </c>
      <c r="CW4859" s="242">
        <v>1141.0693519186132</v>
      </c>
      <c r="CX4859" s="242">
        <v>-880.42624267955819</v>
      </c>
      <c r="CY4859" s="242">
        <v>114.10693519186133</v>
      </c>
      <c r="CZ4859" s="242">
        <v>-88.04262426795583</v>
      </c>
      <c r="DA4859" s="67" t="s">
        <v>5443</v>
      </c>
      <c r="DB4859" s="67"/>
      <c r="DC4859" s="67"/>
      <c r="DD4859" s="67"/>
      <c r="DE4859" s="67"/>
      <c r="DF4859" s="67"/>
      <c r="DG4859" s="67"/>
      <c r="DH4859" s="67"/>
      <c r="DI4859" s="67"/>
      <c r="DJ4859" s="67"/>
      <c r="DK4859" s="67"/>
      <c r="DL4859" s="67"/>
      <c r="DM4859" s="67"/>
      <c r="DN4859" s="67"/>
      <c r="DO4859" s="67"/>
      <c r="DP4859" s="67"/>
      <c r="DQ4859" s="166"/>
      <c r="DR4859" s="166"/>
      <c r="DS4859" s="163"/>
      <c r="DT4859" s="163"/>
      <c r="DU4859" s="67"/>
      <c r="DV4859" s="67"/>
      <c r="DW4859" s="67"/>
      <c r="DX4859" s="67"/>
      <c r="DY4859" s="67"/>
      <c r="DZ4859" s="67"/>
      <c r="EA4859" s="67"/>
      <c r="EB4859" s="67"/>
      <c r="EC4859" s="67"/>
      <c r="ED4859" s="67"/>
      <c r="EE4859" s="67"/>
      <c r="EF4859" s="67"/>
      <c r="EG4859" s="67"/>
      <c r="EH4859" s="67"/>
      <c r="EI4859" s="67"/>
      <c r="EJ4859" s="67"/>
      <c r="EK4859" s="94"/>
      <c r="EL4859" s="94"/>
      <c r="EM4859" s="67"/>
      <c r="EN4859" s="67"/>
      <c r="EO4859" s="67"/>
      <c r="EP4859" s="67"/>
      <c r="EQ4859" s="67"/>
      <c r="ER4859" s="67"/>
      <c r="ES4859" s="67"/>
      <c r="ET4859" s="67"/>
      <c r="EU4859" s="67"/>
      <c r="EV4859" s="67"/>
      <c r="EW4859" s="67"/>
      <c r="EX4859" s="67"/>
      <c r="EY4859" s="67"/>
      <c r="EZ4859" s="67"/>
      <c r="FA4859" s="67"/>
      <c r="FB4859" s="67"/>
      <c r="FC4859" s="67"/>
      <c r="FD4859" s="67"/>
      <c r="FE4859" s="67"/>
      <c r="FF4859" s="67"/>
      <c r="FG4859" s="67"/>
      <c r="FH4859" s="67"/>
      <c r="FI4859" s="67"/>
      <c r="FJ4859" s="67">
        <f>1/1000*114.8</f>
        <v>0.1148</v>
      </c>
      <c r="FK4859" s="67">
        <f>1/1000*140.2</f>
        <v>0.14019999999999999</v>
      </c>
      <c r="FL4859" s="67"/>
      <c r="FM4859" s="67"/>
      <c r="FN4859" s="67" t="s">
        <v>6363</v>
      </c>
      <c r="FO4859" s="67"/>
      <c r="FP4859" s="67"/>
      <c r="FQ4859" s="67"/>
      <c r="FR4859" s="67"/>
      <c r="FS4859" s="67"/>
      <c r="FT4859" s="67">
        <f>26.94+0.55</f>
        <v>27.490000000000002</v>
      </c>
      <c r="FU4859" s="67">
        <f>15.71+0.75</f>
        <v>16.46</v>
      </c>
      <c r="FV4859" s="67"/>
      <c r="FW4859" s="67"/>
      <c r="FX4859" s="67" t="s">
        <v>5389</v>
      </c>
      <c r="FY4859" s="67"/>
      <c r="FZ4859" s="67"/>
      <c r="GA4859" s="67"/>
      <c r="GB4859" s="67"/>
      <c r="GC4859" s="67"/>
      <c r="GD4859" s="67"/>
      <c r="GE4859" s="67"/>
      <c r="GF4859" s="67"/>
      <c r="GG4859" s="67"/>
      <c r="GH4859" s="67"/>
      <c r="GI4859" s="67">
        <v>5.8999999999999997E-2</v>
      </c>
      <c r="GJ4859" s="67">
        <v>8.6999999999999994E-2</v>
      </c>
      <c r="GK4859" s="67"/>
      <c r="GL4859" s="67"/>
      <c r="GM4859" s="67" t="s">
        <v>5920</v>
      </c>
      <c r="GN4859" s="292"/>
      <c r="GO4859" s="292"/>
      <c r="GP4859" s="292" t="s">
        <v>7494</v>
      </c>
      <c r="GQ4859" s="67"/>
      <c r="GR4859" s="67"/>
      <c r="GS4859" s="67"/>
      <c r="GT4859" s="67"/>
      <c r="GU4859" s="67"/>
      <c r="GV4859" s="67"/>
      <c r="GW4859" s="67"/>
      <c r="GX4859" s="67"/>
      <c r="GY4859" s="67"/>
      <c r="GZ4859" s="67"/>
      <c r="HA4859" s="67"/>
      <c r="HB4859" s="67"/>
      <c r="HC4859" s="67"/>
      <c r="HD4859" s="67">
        <v>148</v>
      </c>
      <c r="HE4859" s="67">
        <v>92</v>
      </c>
      <c r="HF4859" s="67"/>
      <c r="HG4859" s="67"/>
      <c r="HH4859" s="67" t="s">
        <v>5390</v>
      </c>
      <c r="HI4859" s="67"/>
      <c r="HJ4859" s="67"/>
      <c r="HK4859" s="67"/>
      <c r="HL4859" s="67"/>
      <c r="HM4859" s="67"/>
      <c r="HN4859" s="67"/>
      <c r="HO4859" s="67"/>
      <c r="HP4859" s="67"/>
      <c r="HQ4859" s="67"/>
      <c r="HR4859" s="67"/>
      <c r="HS4859" s="67"/>
      <c r="HT4859" s="67"/>
      <c r="HU4859" s="67"/>
      <c r="HV4859" s="67"/>
      <c r="HW4859" s="67"/>
      <c r="HX4859" s="67"/>
      <c r="HY4859" s="67"/>
      <c r="HZ4859" s="67"/>
      <c r="IA4859" s="67"/>
      <c r="IB4859" s="67"/>
      <c r="IC4859" s="67"/>
      <c r="ID4859" s="67"/>
      <c r="IE4859" s="67"/>
      <c r="IF4859" s="67"/>
      <c r="IG4859" s="67"/>
      <c r="IH4859" s="67"/>
      <c r="II4859" s="67"/>
      <c r="IJ4859" s="67"/>
      <c r="IK4859" s="67"/>
      <c r="IL4859" s="67"/>
      <c r="IM4859" s="67"/>
      <c r="IN4859" s="67"/>
      <c r="IO4859" s="67"/>
      <c r="IP4859" s="67"/>
      <c r="IQ4859" s="67"/>
      <c r="IR4859" s="67"/>
      <c r="IS4859" s="67"/>
      <c r="IT4859" s="67"/>
      <c r="IU4859" s="67"/>
      <c r="IV4859" s="67"/>
      <c r="IW4859" s="67"/>
      <c r="IX4859" s="67"/>
      <c r="IY4859" s="67"/>
      <c r="IZ4859" s="67"/>
      <c r="JA4859" s="67"/>
      <c r="JB4859" s="67"/>
      <c r="JC4859" s="67"/>
      <c r="JD4859" s="67"/>
      <c r="JE4859" s="67"/>
      <c r="JF4859" s="67"/>
      <c r="JG4859" s="67">
        <v>324</v>
      </c>
      <c r="JH4859" s="67">
        <v>297</v>
      </c>
      <c r="JI4859" s="67"/>
      <c r="JJ4859" s="67"/>
      <c r="JK4859" s="67" t="s">
        <v>2242</v>
      </c>
      <c r="JL4859" s="67">
        <v>46.6</v>
      </c>
      <c r="JM4859" s="67">
        <v>53.9</v>
      </c>
      <c r="JN4859" s="67"/>
      <c r="JO4859" s="67"/>
      <c r="JP4859" s="67" t="s">
        <v>2242</v>
      </c>
      <c r="JQ4859" s="67"/>
      <c r="JR4859" s="67"/>
      <c r="JS4859" s="67"/>
      <c r="JT4859" s="67"/>
      <c r="JU4859" s="58"/>
      <c r="JV4859" s="58"/>
      <c r="JW4859" s="58"/>
    </row>
    <row r="4860" spans="1:283" s="23" customFormat="1" x14ac:dyDescent="0.25">
      <c r="A4860" s="55">
        <v>4859</v>
      </c>
      <c r="B4860" s="12" t="s">
        <v>7067</v>
      </c>
      <c r="C4860" s="156">
        <v>225</v>
      </c>
      <c r="D4860" s="58" t="s">
        <v>4919</v>
      </c>
      <c r="E4860" s="160" t="str">
        <f>G4860</f>
        <v>Eltun et al 2002_forage 2</v>
      </c>
      <c r="F4860" s="160"/>
      <c r="G4860" s="60" t="s">
        <v>4810</v>
      </c>
      <c r="H4860" s="58">
        <v>2002</v>
      </c>
      <c r="I4860" s="58">
        <v>1994</v>
      </c>
      <c r="J4860" s="243" t="s">
        <v>427</v>
      </c>
      <c r="K4860" s="63" t="s">
        <v>5118</v>
      </c>
      <c r="L4860" s="58" t="s">
        <v>5330</v>
      </c>
      <c r="M4860" s="94">
        <f>60+42/60</f>
        <v>60.7</v>
      </c>
      <c r="N4860" s="94">
        <f>10+51/60</f>
        <v>10.85</v>
      </c>
      <c r="O4860" s="94">
        <v>250</v>
      </c>
      <c r="P4860" s="58"/>
      <c r="Q4860" s="244">
        <v>3.6</v>
      </c>
      <c r="R4860" s="58"/>
      <c r="S4860" s="245">
        <v>600</v>
      </c>
      <c r="T4860" s="58"/>
      <c r="U4860" s="58" t="s">
        <v>1816</v>
      </c>
      <c r="V4860" s="244">
        <v>7</v>
      </c>
      <c r="W4860" s="174"/>
      <c r="X4860" s="174"/>
      <c r="Y4860" s="58" t="s">
        <v>5384</v>
      </c>
      <c r="Z4860" s="244" t="s">
        <v>1367</v>
      </c>
      <c r="AA4860" s="245">
        <v>25</v>
      </c>
      <c r="AB4860" s="67"/>
      <c r="AC4860" s="67"/>
      <c r="AD4860" s="94"/>
      <c r="AE4860" s="94"/>
      <c r="AF4860" s="94"/>
      <c r="AG4860" s="245">
        <v>19</v>
      </c>
      <c r="AH4860" s="58" t="s">
        <v>139</v>
      </c>
      <c r="AI4860" s="169"/>
      <c r="AJ4860" s="94"/>
      <c r="AK4860" s="94"/>
      <c r="AL4860" s="58"/>
      <c r="AM4860" s="58"/>
      <c r="AN4860" s="186"/>
      <c r="AO4860" s="185" t="s">
        <v>7494</v>
      </c>
      <c r="AP4860" s="58"/>
      <c r="AQ4860" s="58"/>
      <c r="AR4860" s="58"/>
      <c r="AS4860" s="246" t="s">
        <v>5133</v>
      </c>
      <c r="AT4860" s="247">
        <v>1</v>
      </c>
      <c r="AU4860" s="181" t="s">
        <v>7494</v>
      </c>
      <c r="AV4860" s="185" t="s">
        <v>176</v>
      </c>
      <c r="AW4860" s="244">
        <v>1</v>
      </c>
      <c r="AX4860" s="185" t="s">
        <v>176</v>
      </c>
      <c r="AY4860" s="244" t="s">
        <v>176</v>
      </c>
      <c r="AZ4860" s="58"/>
      <c r="BA4860" s="58"/>
      <c r="BB4860" s="58"/>
      <c r="BC4860" s="58"/>
      <c r="BD4860" s="58"/>
      <c r="BE4860" s="236" t="s">
        <v>5173</v>
      </c>
      <c r="BF4860" s="191" t="s">
        <v>479</v>
      </c>
      <c r="BG4860" s="191" t="s">
        <v>479</v>
      </c>
      <c r="BH4860" s="236" t="s">
        <v>5241</v>
      </c>
      <c r="BI4860" s="191" t="s">
        <v>479</v>
      </c>
      <c r="BJ4860" s="58" t="str">
        <f>IF(BE4860=BH4860,"No","yes")</f>
        <v>yes</v>
      </c>
      <c r="BK4860" s="58" t="s">
        <v>6334</v>
      </c>
      <c r="BL4860" s="58"/>
      <c r="BM4860" s="237"/>
      <c r="BN4860" s="244">
        <v>3</v>
      </c>
      <c r="BO4860" s="244">
        <v>3</v>
      </c>
      <c r="BP4860" s="58"/>
      <c r="BQ4860" s="58"/>
      <c r="BR4860" s="58"/>
      <c r="BS4860" s="58"/>
      <c r="BT4860" s="58"/>
      <c r="BU4860" s="58"/>
      <c r="BV4860" s="58" t="s">
        <v>5388</v>
      </c>
      <c r="BW4860" s="67"/>
      <c r="BX4860" s="67"/>
      <c r="BY4860" s="67"/>
      <c r="BZ4860" s="67"/>
      <c r="CA4860" s="67"/>
      <c r="CB4860" s="70">
        <v>4200</v>
      </c>
      <c r="CC4860" s="70">
        <v>3700</v>
      </c>
      <c r="CD4860" s="70"/>
      <c r="CE4860" s="67"/>
      <c r="CF4860" s="67"/>
      <c r="CG4860" s="67" t="s">
        <v>2053</v>
      </c>
      <c r="CH4860" s="245">
        <v>1.2671572252306862</v>
      </c>
      <c r="CI4860" s="245">
        <v>1.3536109778337406</v>
      </c>
      <c r="CJ4860" s="67"/>
      <c r="CK4860" s="67"/>
      <c r="CL4860" s="67"/>
      <c r="CM4860" s="242">
        <v>2.99</v>
      </c>
      <c r="CN4860" s="242">
        <v>2.15</v>
      </c>
      <c r="CO4860" s="242">
        <v>0.29900000000000004</v>
      </c>
      <c r="CP4860" s="242">
        <v>0.215</v>
      </c>
      <c r="CQ4860" s="242" t="s">
        <v>164</v>
      </c>
      <c r="CR4860" s="242">
        <v>94.720002585993811</v>
      </c>
      <c r="CS4860" s="242">
        <v>72.756590058563546</v>
      </c>
      <c r="CT4860" s="242">
        <v>9.4720002585993814</v>
      </c>
      <c r="CU4860" s="242">
        <v>7.2756590058563546</v>
      </c>
      <c r="CV4860" s="242" t="s">
        <v>5151</v>
      </c>
      <c r="CW4860" s="242">
        <v>-213.12467675077505</v>
      </c>
      <c r="CX4860" s="242">
        <v>-880.42624267955819</v>
      </c>
      <c r="CY4860" s="242">
        <v>-21.312467675077507</v>
      </c>
      <c r="CZ4860" s="242">
        <v>-88.04262426795583</v>
      </c>
      <c r="DA4860" s="67" t="s">
        <v>5443</v>
      </c>
      <c r="DB4860" s="67"/>
      <c r="DC4860" s="67"/>
      <c r="DD4860" s="67"/>
      <c r="DE4860" s="67"/>
      <c r="DF4860" s="67"/>
      <c r="DG4860" s="67"/>
      <c r="DH4860" s="67"/>
      <c r="DI4860" s="67"/>
      <c r="DJ4860" s="67"/>
      <c r="DK4860" s="67"/>
      <c r="DL4860" s="67"/>
      <c r="DM4860" s="67"/>
      <c r="DN4860" s="67"/>
      <c r="DO4860" s="67"/>
      <c r="DP4860" s="67"/>
      <c r="DQ4860" s="166"/>
      <c r="DR4860" s="166"/>
      <c r="DS4860" s="163"/>
      <c r="DT4860" s="163"/>
      <c r="DU4860" s="67"/>
      <c r="DV4860" s="67"/>
      <c r="DW4860" s="67"/>
      <c r="DX4860" s="67"/>
      <c r="DY4860" s="67"/>
      <c r="DZ4860" s="67"/>
      <c r="EA4860" s="67"/>
      <c r="EB4860" s="67"/>
      <c r="EC4860" s="67"/>
      <c r="ED4860" s="67"/>
      <c r="EE4860" s="67"/>
      <c r="EF4860" s="67"/>
      <c r="EG4860" s="67"/>
      <c r="EH4860" s="67"/>
      <c r="EI4860" s="67"/>
      <c r="EJ4860" s="67"/>
      <c r="EK4860" s="94"/>
      <c r="EL4860" s="94"/>
      <c r="EM4860" s="67"/>
      <c r="EN4860" s="67"/>
      <c r="EO4860" s="67"/>
      <c r="EP4860" s="67"/>
      <c r="EQ4860" s="67"/>
      <c r="ER4860" s="67"/>
      <c r="ES4860" s="67"/>
      <c r="ET4860" s="67"/>
      <c r="EU4860" s="67"/>
      <c r="EV4860" s="67"/>
      <c r="EW4860" s="67"/>
      <c r="EX4860" s="67"/>
      <c r="EY4860" s="67"/>
      <c r="EZ4860" s="67"/>
      <c r="FA4860" s="67"/>
      <c r="FB4860" s="67"/>
      <c r="FC4860" s="67"/>
      <c r="FD4860" s="67"/>
      <c r="FE4860" s="67"/>
      <c r="FF4860" s="67"/>
      <c r="FG4860" s="67"/>
      <c r="FH4860" s="67"/>
      <c r="FI4860" s="67"/>
      <c r="FJ4860" s="67">
        <f>1/1000*79.2</f>
        <v>7.9200000000000007E-2</v>
      </c>
      <c r="FK4860" s="67">
        <f>1/1000*140.2</f>
        <v>0.14019999999999999</v>
      </c>
      <c r="FL4860" s="67"/>
      <c r="FM4860" s="67"/>
      <c r="FN4860" s="67" t="s">
        <v>6363</v>
      </c>
      <c r="FO4860" s="67"/>
      <c r="FP4860" s="67"/>
      <c r="FQ4860" s="67"/>
      <c r="FR4860" s="67"/>
      <c r="FS4860" s="67"/>
      <c r="FT4860" s="67">
        <f>14.54+0.57</f>
        <v>15.11</v>
      </c>
      <c r="FU4860" s="67">
        <f>15.71+0.75</f>
        <v>16.46</v>
      </c>
      <c r="FV4860" s="67"/>
      <c r="FW4860" s="67"/>
      <c r="FX4860" s="67" t="s">
        <v>5389</v>
      </c>
      <c r="FY4860" s="67"/>
      <c r="FZ4860" s="67"/>
      <c r="GA4860" s="67"/>
      <c r="GB4860" s="67"/>
      <c r="GC4860" s="67"/>
      <c r="GD4860" s="67"/>
      <c r="GE4860" s="67"/>
      <c r="GF4860" s="67"/>
      <c r="GG4860" s="67"/>
      <c r="GH4860" s="67"/>
      <c r="GI4860" s="67">
        <v>0.08</v>
      </c>
      <c r="GJ4860" s="67">
        <v>9.1999999999999998E-2</v>
      </c>
      <c r="GK4860" s="67"/>
      <c r="GL4860" s="67"/>
      <c r="GM4860" s="67" t="s">
        <v>5920</v>
      </c>
      <c r="GN4860" s="292"/>
      <c r="GO4860" s="292"/>
      <c r="GP4860" s="292" t="s">
        <v>7494</v>
      </c>
      <c r="GQ4860" s="67"/>
      <c r="GR4860" s="67"/>
      <c r="GS4860" s="67"/>
      <c r="GT4860" s="67"/>
      <c r="GU4860" s="67"/>
      <c r="GV4860" s="67"/>
      <c r="GW4860" s="67"/>
      <c r="GX4860" s="67"/>
      <c r="GY4860" s="67"/>
      <c r="GZ4860" s="67"/>
      <c r="HA4860" s="67"/>
      <c r="HB4860" s="67"/>
      <c r="HC4860" s="67"/>
      <c r="HD4860" s="67">
        <v>96</v>
      </c>
      <c r="HE4860" s="67">
        <v>92</v>
      </c>
      <c r="HF4860" s="67"/>
      <c r="HG4860" s="67"/>
      <c r="HH4860" s="67" t="s">
        <v>5390</v>
      </c>
      <c r="HI4860" s="67"/>
      <c r="HJ4860" s="67"/>
      <c r="HK4860" s="67"/>
      <c r="HL4860" s="67"/>
      <c r="HM4860" s="67"/>
      <c r="HN4860" s="67"/>
      <c r="HO4860" s="67"/>
      <c r="HP4860" s="67"/>
      <c r="HQ4860" s="67"/>
      <c r="HR4860" s="67"/>
      <c r="HS4860" s="67"/>
      <c r="HT4860" s="67"/>
      <c r="HU4860" s="67"/>
      <c r="HV4860" s="67"/>
      <c r="HW4860" s="67"/>
      <c r="HX4860" s="67"/>
      <c r="HY4860" s="67"/>
      <c r="HZ4860" s="67"/>
      <c r="IA4860" s="67"/>
      <c r="IB4860" s="67"/>
      <c r="IC4860" s="67"/>
      <c r="ID4860" s="67"/>
      <c r="IE4860" s="67"/>
      <c r="IF4860" s="67"/>
      <c r="IG4860" s="67"/>
      <c r="IH4860" s="67"/>
      <c r="II4860" s="67"/>
      <c r="IJ4860" s="67"/>
      <c r="IK4860" s="67"/>
      <c r="IL4860" s="67"/>
      <c r="IM4860" s="67"/>
      <c r="IN4860" s="67"/>
      <c r="IO4860" s="67"/>
      <c r="IP4860" s="67"/>
      <c r="IQ4860" s="67"/>
      <c r="IR4860" s="67"/>
      <c r="IS4860" s="67"/>
      <c r="IT4860" s="67"/>
      <c r="IU4860" s="67"/>
      <c r="IV4860" s="67"/>
      <c r="IW4860" s="67"/>
      <c r="IX4860" s="67"/>
      <c r="IY4860" s="67"/>
      <c r="IZ4860" s="67"/>
      <c r="JA4860" s="67"/>
      <c r="JB4860" s="67"/>
      <c r="JC4860" s="67"/>
      <c r="JD4860" s="67"/>
      <c r="JE4860" s="67"/>
      <c r="JF4860" s="67"/>
      <c r="JG4860" s="67">
        <v>287</v>
      </c>
      <c r="JH4860" s="67">
        <v>297</v>
      </c>
      <c r="JI4860" s="67"/>
      <c r="JJ4860" s="67"/>
      <c r="JK4860" s="67" t="s">
        <v>2242</v>
      </c>
      <c r="JL4860" s="67">
        <v>43.7</v>
      </c>
      <c r="JM4860" s="67">
        <v>53.9</v>
      </c>
      <c r="JN4860" s="67"/>
      <c r="JO4860" s="67"/>
      <c r="JP4860" s="67" t="s">
        <v>2242</v>
      </c>
      <c r="JQ4860" s="67"/>
      <c r="JR4860" s="67"/>
      <c r="JS4860" s="67"/>
      <c r="JT4860" s="67"/>
      <c r="JU4860" s="58"/>
      <c r="JV4860" s="58"/>
      <c r="JW4860" s="58"/>
    </row>
    <row r="4861" spans="1:283" s="277" customFormat="1" x14ac:dyDescent="0.25">
      <c r="A4861" s="261">
        <v>4860</v>
      </c>
      <c r="B4861" s="262" t="s">
        <v>7067</v>
      </c>
      <c r="C4861" s="263">
        <v>226</v>
      </c>
      <c r="D4861" s="264" t="s">
        <v>4920</v>
      </c>
      <c r="E4861" s="265" t="str">
        <f>G4861</f>
        <v>Eyhorn et al. 2007</v>
      </c>
      <c r="F4861" s="265"/>
      <c r="G4861" s="266" t="s">
        <v>4809</v>
      </c>
      <c r="H4861" s="264">
        <v>2007</v>
      </c>
      <c r="I4861" s="264">
        <v>2003</v>
      </c>
      <c r="J4861" s="267" t="s">
        <v>5308</v>
      </c>
      <c r="K4861" s="268" t="s">
        <v>5117</v>
      </c>
      <c r="L4861" s="264" t="s">
        <v>5331</v>
      </c>
      <c r="M4861" s="269">
        <v>20.59</v>
      </c>
      <c r="N4861" s="269">
        <v>78.959999999999994</v>
      </c>
      <c r="O4861" s="269">
        <v>250</v>
      </c>
      <c r="P4861" s="264"/>
      <c r="Q4861" s="270"/>
      <c r="R4861" s="264"/>
      <c r="S4861" s="271"/>
      <c r="T4861" s="264"/>
      <c r="U4861" s="264"/>
      <c r="V4861" s="270">
        <v>5</v>
      </c>
      <c r="W4861" s="264"/>
      <c r="X4861" s="264"/>
      <c r="Y4861" s="264" t="s">
        <v>5391</v>
      </c>
      <c r="Z4861" s="270" t="s">
        <v>1349</v>
      </c>
      <c r="AA4861" s="271">
        <v>15</v>
      </c>
      <c r="AB4861" s="272"/>
      <c r="AC4861" s="272"/>
      <c r="AD4861" s="269"/>
      <c r="AE4861" s="269">
        <v>38.4</v>
      </c>
      <c r="AF4861" s="269">
        <v>22.4</v>
      </c>
      <c r="AG4861" s="271">
        <v>39.200000000000003</v>
      </c>
      <c r="AH4861" s="264" t="s">
        <v>769</v>
      </c>
      <c r="AI4861" s="264"/>
      <c r="AJ4861" s="269"/>
      <c r="AK4861" s="269"/>
      <c r="AL4861" s="264"/>
      <c r="AM4861" s="264"/>
      <c r="AN4861" s="264" t="s">
        <v>553</v>
      </c>
      <c r="AO4861" s="185" t="s">
        <v>5150</v>
      </c>
      <c r="AP4861" s="264"/>
      <c r="AQ4861" s="264" t="s">
        <v>553</v>
      </c>
      <c r="AR4861" s="264" t="s">
        <v>1607</v>
      </c>
      <c r="AS4861" s="273" t="s">
        <v>5133</v>
      </c>
      <c r="AT4861" s="270" t="s">
        <v>5392</v>
      </c>
      <c r="AU4861" s="181" t="s">
        <v>5150</v>
      </c>
      <c r="AV4861" s="261" t="s">
        <v>176</v>
      </c>
      <c r="AW4861" s="270" t="s">
        <v>5392</v>
      </c>
      <c r="AX4861" s="261" t="s">
        <v>176</v>
      </c>
      <c r="AY4861" s="270" t="s">
        <v>176</v>
      </c>
      <c r="AZ4861" s="264"/>
      <c r="BA4861" s="264"/>
      <c r="BB4861" s="264"/>
      <c r="BC4861" s="264"/>
      <c r="BD4861" s="264"/>
      <c r="BE4861" s="264" t="s">
        <v>5174</v>
      </c>
      <c r="BF4861" s="261" t="s">
        <v>479</v>
      </c>
      <c r="BG4861" s="261" t="s">
        <v>479</v>
      </c>
      <c r="BH4861" s="264" t="s">
        <v>5242</v>
      </c>
      <c r="BI4861" s="261" t="s">
        <v>479</v>
      </c>
      <c r="BJ4861" s="264" t="str">
        <f>IF(BE4861=BH4861,"No","yes")</f>
        <v>yes</v>
      </c>
      <c r="BK4861" s="264" t="s">
        <v>6335</v>
      </c>
      <c r="BL4861" s="264"/>
      <c r="BM4861" s="264" t="s">
        <v>160</v>
      </c>
      <c r="BN4861" s="270">
        <v>121</v>
      </c>
      <c r="BO4861" s="270">
        <v>204</v>
      </c>
      <c r="BP4861" s="264"/>
      <c r="BQ4861" s="264"/>
      <c r="BR4861" s="264"/>
      <c r="BS4861" s="264"/>
      <c r="BT4861" s="264"/>
      <c r="BU4861" s="264"/>
      <c r="BV4861" s="264"/>
      <c r="BW4861" s="272"/>
      <c r="BX4861" s="272"/>
      <c r="BY4861" s="272"/>
      <c r="BZ4861" s="272"/>
      <c r="CA4861" s="272"/>
      <c r="CB4861" s="274"/>
      <c r="CC4861" s="274"/>
      <c r="CD4861" s="274"/>
      <c r="CE4861" s="272"/>
      <c r="CF4861" s="272"/>
      <c r="CG4861" s="272"/>
      <c r="CH4861" s="271"/>
      <c r="CI4861" s="271"/>
      <c r="CJ4861" s="272"/>
      <c r="CK4861" s="272"/>
      <c r="CL4861" s="272"/>
      <c r="CM4861" s="275">
        <v>0.88</v>
      </c>
      <c r="CN4861" s="275">
        <v>0.9</v>
      </c>
      <c r="CO4861" s="275">
        <v>8.8000000000000009E-2</v>
      </c>
      <c r="CP4861" s="275">
        <v>9.0000000000000011E-2</v>
      </c>
      <c r="CQ4861" s="275" t="s">
        <v>164</v>
      </c>
      <c r="CR4861" s="275">
        <v>19.922735521721098</v>
      </c>
      <c r="CS4861" s="275">
        <v>20.338685941437166</v>
      </c>
      <c r="CT4861" s="275">
        <v>1.9922735521721098</v>
      </c>
      <c r="CU4861" s="275">
        <v>2.0338685941437169</v>
      </c>
      <c r="CV4861" s="275" t="s">
        <v>5151</v>
      </c>
      <c r="CW4861" s="275"/>
      <c r="CX4861" s="275"/>
      <c r="CY4861" s="275"/>
      <c r="CZ4861" s="275"/>
      <c r="DA4861" s="272" t="s">
        <v>5443</v>
      </c>
      <c r="DB4861" s="272"/>
      <c r="DC4861" s="272"/>
      <c r="DD4861" s="272"/>
      <c r="DE4861" s="272"/>
      <c r="DF4861" s="272"/>
      <c r="DG4861" s="272">
        <v>7.31</v>
      </c>
      <c r="DH4861" s="272">
        <v>6.48</v>
      </c>
      <c r="DI4861" s="272"/>
      <c r="DJ4861" s="272"/>
      <c r="DK4861" s="272" t="s">
        <v>325</v>
      </c>
      <c r="DL4861" s="272">
        <v>200</v>
      </c>
      <c r="DM4861" s="272">
        <v>189</v>
      </c>
      <c r="DN4861" s="272"/>
      <c r="DO4861" s="272"/>
      <c r="DP4861" s="272" t="s">
        <v>2879</v>
      </c>
      <c r="DQ4861" s="276">
        <v>8.09</v>
      </c>
      <c r="DR4861" s="276">
        <v>8.24</v>
      </c>
      <c r="DS4861" s="272"/>
      <c r="DT4861" s="272"/>
      <c r="DU4861" s="272"/>
      <c r="DV4861" s="272"/>
      <c r="DW4861" s="272"/>
      <c r="DX4861" s="272"/>
      <c r="DY4861" s="272"/>
      <c r="DZ4861" s="272"/>
      <c r="EA4861" s="272"/>
      <c r="EB4861" s="272"/>
      <c r="EC4861" s="272"/>
      <c r="ED4861" s="272"/>
      <c r="EE4861" s="272"/>
      <c r="EF4861" s="272"/>
      <c r="EG4861" s="272"/>
      <c r="EH4861" s="272"/>
      <c r="EI4861" s="272"/>
      <c r="EJ4861" s="272"/>
      <c r="EK4861" s="269"/>
      <c r="EL4861" s="269"/>
      <c r="EM4861" s="272"/>
      <c r="EN4861" s="272"/>
      <c r="EO4861" s="272"/>
      <c r="EP4861" s="272"/>
      <c r="EQ4861" s="272"/>
      <c r="ER4861" s="272"/>
      <c r="ES4861" s="272"/>
      <c r="ET4861" s="272"/>
      <c r="EU4861" s="272"/>
      <c r="EV4861" s="272"/>
      <c r="EW4861" s="272"/>
      <c r="EX4861" s="272"/>
      <c r="EY4861" s="272"/>
      <c r="EZ4861" s="272"/>
      <c r="FA4861" s="272"/>
      <c r="FB4861" s="272"/>
      <c r="FC4861" s="272"/>
      <c r="FD4861" s="272"/>
      <c r="FE4861" s="272"/>
      <c r="FF4861" s="272"/>
      <c r="FG4861" s="272"/>
      <c r="FH4861" s="272"/>
      <c r="FI4861" s="272"/>
      <c r="FJ4861" s="272"/>
      <c r="FK4861" s="272"/>
      <c r="FL4861" s="272"/>
      <c r="FM4861" s="272"/>
      <c r="FN4861" s="272"/>
      <c r="FO4861" s="272"/>
      <c r="FP4861" s="272"/>
      <c r="FQ4861" s="272"/>
      <c r="FR4861" s="272"/>
      <c r="FS4861" s="272"/>
      <c r="FT4861" s="272"/>
      <c r="FU4861" s="272"/>
      <c r="FV4861" s="272"/>
      <c r="FW4861" s="272"/>
      <c r="FX4861" s="272"/>
      <c r="FY4861" s="272"/>
      <c r="FZ4861" s="272"/>
      <c r="GA4861" s="272"/>
      <c r="GB4861" s="272"/>
      <c r="GC4861" s="272"/>
      <c r="GD4861" s="272"/>
      <c r="GE4861" s="272"/>
      <c r="GF4861" s="272"/>
      <c r="GG4861" s="272"/>
      <c r="GH4861" s="272"/>
      <c r="GI4861" s="272">
        <v>0.13</v>
      </c>
      <c r="GJ4861" s="272">
        <v>0.13</v>
      </c>
      <c r="GK4861" s="272"/>
      <c r="GL4861" s="272"/>
      <c r="GM4861" s="272" t="s">
        <v>5397</v>
      </c>
      <c r="GN4861" s="292"/>
      <c r="GO4861" s="292"/>
      <c r="GP4861" s="292" t="s">
        <v>7494</v>
      </c>
      <c r="GQ4861" s="272"/>
      <c r="GR4861" s="272"/>
      <c r="GS4861" s="272"/>
      <c r="GT4861" s="272"/>
      <c r="GU4861" s="272"/>
      <c r="GV4861" s="272"/>
      <c r="GW4861" s="272"/>
      <c r="GX4861" s="272"/>
      <c r="GY4861" s="272"/>
      <c r="GZ4861" s="272"/>
      <c r="HA4861" s="272"/>
      <c r="HB4861" s="272"/>
      <c r="HC4861" s="272"/>
      <c r="HD4861" s="272"/>
      <c r="HE4861" s="272"/>
      <c r="HF4861" s="272"/>
      <c r="HG4861" s="272"/>
      <c r="HH4861" s="272"/>
      <c r="HI4861" s="272"/>
      <c r="HJ4861" s="272"/>
      <c r="HK4861" s="272"/>
      <c r="HL4861" s="272"/>
      <c r="HM4861" s="272"/>
      <c r="HN4861" s="272"/>
      <c r="HO4861" s="272"/>
      <c r="HP4861" s="272"/>
      <c r="HQ4861" s="272"/>
      <c r="HR4861" s="272"/>
      <c r="HS4861" s="272"/>
      <c r="HT4861" s="272"/>
      <c r="HU4861" s="272"/>
      <c r="HV4861" s="272"/>
      <c r="HW4861" s="272"/>
      <c r="HX4861" s="272"/>
      <c r="HY4861" s="272"/>
      <c r="HZ4861" s="272"/>
      <c r="IA4861" s="272"/>
      <c r="IB4861" s="272"/>
      <c r="IC4861" s="272"/>
      <c r="ID4861" s="272"/>
      <c r="IE4861" s="272"/>
      <c r="IF4861" s="272"/>
      <c r="IG4861" s="272"/>
      <c r="IH4861" s="272"/>
      <c r="II4861" s="272"/>
      <c r="IJ4861" s="272"/>
      <c r="IK4861" s="272"/>
      <c r="IL4861" s="272"/>
      <c r="IM4861" s="272"/>
      <c r="IN4861" s="272"/>
      <c r="IO4861" s="272"/>
      <c r="IP4861" s="272"/>
      <c r="IQ4861" s="272"/>
      <c r="IR4861" s="272"/>
      <c r="IS4861" s="272"/>
      <c r="IT4861" s="272"/>
      <c r="IU4861" s="272"/>
      <c r="IV4861" s="272"/>
      <c r="IW4861" s="272"/>
      <c r="IX4861" s="272"/>
      <c r="IY4861" s="272"/>
      <c r="IZ4861" s="272"/>
      <c r="JA4861" s="272"/>
      <c r="JB4861" s="272"/>
      <c r="JC4861" s="272"/>
      <c r="JD4861" s="272"/>
      <c r="JE4861" s="272"/>
      <c r="JF4861" s="272"/>
      <c r="JG4861" s="272"/>
      <c r="JH4861" s="272"/>
      <c r="JI4861" s="272"/>
      <c r="JJ4861" s="272"/>
      <c r="JK4861" s="272"/>
      <c r="JL4861" s="272"/>
      <c r="JM4861" s="272"/>
      <c r="JN4861" s="272"/>
      <c r="JO4861" s="272"/>
      <c r="JP4861" s="272"/>
      <c r="JQ4861" s="272">
        <v>99999</v>
      </c>
      <c r="JR4861" s="272"/>
      <c r="JS4861" s="272"/>
      <c r="JT4861" s="272">
        <v>99999</v>
      </c>
      <c r="JU4861" s="264" t="s">
        <v>5398</v>
      </c>
      <c r="JV4861" s="264"/>
      <c r="JW4861" s="264"/>
    </row>
    <row r="4862" spans="1:283" s="277" customFormat="1" x14ac:dyDescent="0.25">
      <c r="A4862" s="261">
        <v>4861</v>
      </c>
      <c r="B4862" s="262" t="s">
        <v>7067</v>
      </c>
      <c r="C4862" s="263">
        <v>226</v>
      </c>
      <c r="D4862" s="264" t="s">
        <v>4920</v>
      </c>
      <c r="E4862" s="265" t="str">
        <f>G4862</f>
        <v>Eyhorn et al. 2007</v>
      </c>
      <c r="F4862" s="265"/>
      <c r="G4862" s="266" t="s">
        <v>4809</v>
      </c>
      <c r="H4862" s="264">
        <v>2007</v>
      </c>
      <c r="I4862" s="264">
        <v>2003</v>
      </c>
      <c r="J4862" s="267" t="s">
        <v>5308</v>
      </c>
      <c r="K4862" s="268" t="s">
        <v>5117</v>
      </c>
      <c r="L4862" s="264" t="s">
        <v>5331</v>
      </c>
      <c r="M4862" s="269">
        <v>20.59</v>
      </c>
      <c r="N4862" s="269">
        <v>78.959999999999994</v>
      </c>
      <c r="O4862" s="269">
        <v>250</v>
      </c>
      <c r="P4862" s="264"/>
      <c r="Q4862" s="270"/>
      <c r="R4862" s="264"/>
      <c r="S4862" s="271"/>
      <c r="T4862" s="264"/>
      <c r="U4862" s="264"/>
      <c r="V4862" s="270">
        <v>5</v>
      </c>
      <c r="W4862" s="264"/>
      <c r="X4862" s="264"/>
      <c r="Y4862" s="264" t="s">
        <v>5391</v>
      </c>
      <c r="Z4862" s="270" t="s">
        <v>1349</v>
      </c>
      <c r="AA4862" s="271">
        <v>15</v>
      </c>
      <c r="AB4862" s="272"/>
      <c r="AC4862" s="272"/>
      <c r="AD4862" s="269"/>
      <c r="AE4862" s="269">
        <v>38.4</v>
      </c>
      <c r="AF4862" s="269">
        <v>22.4</v>
      </c>
      <c r="AG4862" s="271">
        <v>39.200000000000003</v>
      </c>
      <c r="AH4862" s="264" t="s">
        <v>769</v>
      </c>
      <c r="AI4862" s="264"/>
      <c r="AJ4862" s="269"/>
      <c r="AK4862" s="269"/>
      <c r="AL4862" s="264"/>
      <c r="AM4862" s="264"/>
      <c r="AN4862" s="264" t="s">
        <v>553</v>
      </c>
      <c r="AO4862" s="185" t="s">
        <v>5150</v>
      </c>
      <c r="AP4862" s="264"/>
      <c r="AQ4862" s="264" t="s">
        <v>553</v>
      </c>
      <c r="AR4862" s="264" t="s">
        <v>1607</v>
      </c>
      <c r="AS4862" s="273" t="s">
        <v>5133</v>
      </c>
      <c r="AT4862" s="270" t="s">
        <v>5392</v>
      </c>
      <c r="AU4862" s="181" t="s">
        <v>5150</v>
      </c>
      <c r="AV4862" s="261" t="s">
        <v>176</v>
      </c>
      <c r="AW4862" s="270" t="s">
        <v>5392</v>
      </c>
      <c r="AX4862" s="261" t="s">
        <v>176</v>
      </c>
      <c r="AY4862" s="270" t="s">
        <v>176</v>
      </c>
      <c r="AZ4862" s="264"/>
      <c r="BA4862" s="264"/>
      <c r="BB4862" s="264"/>
      <c r="BC4862" s="264"/>
      <c r="BD4862" s="264"/>
      <c r="BE4862" s="264" t="s">
        <v>5174</v>
      </c>
      <c r="BF4862" s="261" t="s">
        <v>479</v>
      </c>
      <c r="BG4862" s="261" t="s">
        <v>479</v>
      </c>
      <c r="BH4862" s="264" t="s">
        <v>5242</v>
      </c>
      <c r="BI4862" s="261" t="s">
        <v>479</v>
      </c>
      <c r="BJ4862" s="264" t="str">
        <f>IF(BE4862=BH4862,"No","yes")</f>
        <v>yes</v>
      </c>
      <c r="BK4862" s="264" t="s">
        <v>6335</v>
      </c>
      <c r="BL4862" s="264"/>
      <c r="BM4862" s="264" t="s">
        <v>160</v>
      </c>
      <c r="BN4862" s="270">
        <v>24</v>
      </c>
      <c r="BO4862" s="270">
        <v>39</v>
      </c>
      <c r="BP4862" s="264"/>
      <c r="BQ4862" s="264"/>
      <c r="BR4862" s="264"/>
      <c r="BS4862" s="264"/>
      <c r="BT4862" s="264"/>
      <c r="BU4862" s="264"/>
      <c r="BV4862" s="264"/>
      <c r="BW4862" s="272"/>
      <c r="BX4862" s="272"/>
      <c r="BY4862" s="272"/>
      <c r="BZ4862" s="272"/>
      <c r="CA4862" s="272"/>
      <c r="CB4862" s="274">
        <v>2434</v>
      </c>
      <c r="CC4862" s="274">
        <v>2148</v>
      </c>
      <c r="CD4862" s="274">
        <f>(CC4862-CB4862)/CB4862</f>
        <v>-0.11750205423171733</v>
      </c>
      <c r="CE4862" s="272"/>
      <c r="CF4862" s="272"/>
      <c r="CG4862" s="272" t="s">
        <v>2053</v>
      </c>
      <c r="CH4862" s="271"/>
      <c r="CI4862" s="271"/>
      <c r="CJ4862" s="272"/>
      <c r="CK4862" s="272"/>
      <c r="CL4862" s="272"/>
      <c r="CM4862" s="275"/>
      <c r="CN4862" s="275"/>
      <c r="CO4862" s="275"/>
      <c r="CP4862" s="275"/>
      <c r="CQ4862" s="275"/>
      <c r="CR4862" s="275"/>
      <c r="CS4862" s="275"/>
      <c r="CT4862" s="275"/>
      <c r="CU4862" s="275"/>
      <c r="CV4862" s="275"/>
      <c r="CW4862" s="275"/>
      <c r="CX4862" s="275"/>
      <c r="CY4862" s="275"/>
      <c r="CZ4862" s="275"/>
      <c r="DA4862" s="272"/>
      <c r="DB4862" s="272"/>
      <c r="DC4862" s="272"/>
      <c r="DD4862" s="272"/>
      <c r="DE4862" s="272"/>
      <c r="DF4862" s="272"/>
      <c r="DG4862" s="272"/>
      <c r="DH4862" s="272"/>
      <c r="DI4862" s="272"/>
      <c r="DJ4862" s="272"/>
      <c r="DK4862" s="272"/>
      <c r="DL4862" s="272"/>
      <c r="DM4862" s="272"/>
      <c r="DN4862" s="272"/>
      <c r="DO4862" s="272"/>
      <c r="DP4862" s="272"/>
      <c r="DQ4862" s="276"/>
      <c r="DR4862" s="276"/>
      <c r="DS4862" s="272"/>
      <c r="DT4862" s="272"/>
      <c r="DU4862" s="272"/>
      <c r="DV4862" s="272"/>
      <c r="DW4862" s="272"/>
      <c r="DX4862" s="272"/>
      <c r="DY4862" s="272"/>
      <c r="DZ4862" s="272"/>
      <c r="EA4862" s="272"/>
      <c r="EB4862" s="272"/>
      <c r="EC4862" s="272"/>
      <c r="ED4862" s="272"/>
      <c r="EE4862" s="272"/>
      <c r="EF4862" s="272"/>
      <c r="EG4862" s="272"/>
      <c r="EH4862" s="272"/>
      <c r="EI4862" s="272"/>
      <c r="EJ4862" s="272"/>
      <c r="EK4862" s="269"/>
      <c r="EL4862" s="269"/>
      <c r="EM4862" s="272"/>
      <c r="EN4862" s="272"/>
      <c r="EO4862" s="272"/>
      <c r="EP4862" s="272"/>
      <c r="EQ4862" s="272"/>
      <c r="ER4862" s="272"/>
      <c r="ES4862" s="272"/>
      <c r="ET4862" s="272"/>
      <c r="EU4862" s="272"/>
      <c r="EV4862" s="272"/>
      <c r="EW4862" s="272"/>
      <c r="EX4862" s="272"/>
      <c r="EY4862" s="272"/>
      <c r="EZ4862" s="272"/>
      <c r="FA4862" s="272"/>
      <c r="FB4862" s="272"/>
      <c r="FC4862" s="272"/>
      <c r="FD4862" s="272"/>
      <c r="FE4862" s="272"/>
      <c r="FF4862" s="272"/>
      <c r="FG4862" s="272"/>
      <c r="FH4862" s="272"/>
      <c r="FI4862" s="272"/>
      <c r="FJ4862" s="272"/>
      <c r="FK4862" s="272"/>
      <c r="FL4862" s="272"/>
      <c r="FM4862" s="272"/>
      <c r="FN4862" s="272"/>
      <c r="FO4862" s="272"/>
      <c r="FP4862" s="272"/>
      <c r="FQ4862" s="272"/>
      <c r="FR4862" s="272"/>
      <c r="FS4862" s="272"/>
      <c r="FT4862" s="272"/>
      <c r="FU4862" s="272"/>
      <c r="FV4862" s="272"/>
      <c r="FW4862" s="272"/>
      <c r="FX4862" s="272"/>
      <c r="FY4862" s="272"/>
      <c r="FZ4862" s="272"/>
      <c r="GA4862" s="272"/>
      <c r="GB4862" s="272"/>
      <c r="GC4862" s="272"/>
      <c r="GD4862" s="272"/>
      <c r="GE4862" s="272"/>
      <c r="GF4862" s="272"/>
      <c r="GG4862" s="272"/>
      <c r="GH4862" s="272"/>
      <c r="GI4862" s="272"/>
      <c r="GJ4862" s="272"/>
      <c r="GK4862" s="272"/>
      <c r="GL4862" s="272"/>
      <c r="GM4862" s="272"/>
      <c r="GN4862" s="292"/>
      <c r="GO4862" s="292"/>
      <c r="GP4862" s="292" t="s">
        <v>7494</v>
      </c>
      <c r="GQ4862" s="272"/>
      <c r="GR4862" s="272"/>
      <c r="GS4862" s="272"/>
      <c r="GT4862" s="272"/>
      <c r="GU4862" s="272"/>
      <c r="GV4862" s="272"/>
      <c r="GW4862" s="272"/>
      <c r="GX4862" s="272"/>
      <c r="GY4862" s="272"/>
      <c r="GZ4862" s="272"/>
      <c r="HA4862" s="272"/>
      <c r="HB4862" s="272"/>
      <c r="HC4862" s="272"/>
      <c r="HD4862" s="272"/>
      <c r="HE4862" s="272"/>
      <c r="HF4862" s="272"/>
      <c r="HG4862" s="272"/>
      <c r="HH4862" s="272"/>
      <c r="HI4862" s="272"/>
      <c r="HJ4862" s="272"/>
      <c r="HK4862" s="272"/>
      <c r="HL4862" s="272"/>
      <c r="HM4862" s="272"/>
      <c r="HN4862" s="272"/>
      <c r="HO4862" s="272"/>
      <c r="HP4862" s="272"/>
      <c r="HQ4862" s="272"/>
      <c r="HR4862" s="272"/>
      <c r="HS4862" s="272"/>
      <c r="HT4862" s="272"/>
      <c r="HU4862" s="272"/>
      <c r="HV4862" s="272"/>
      <c r="HW4862" s="272"/>
      <c r="HX4862" s="272"/>
      <c r="HY4862" s="272"/>
      <c r="HZ4862" s="272"/>
      <c r="IA4862" s="272"/>
      <c r="IB4862" s="272"/>
      <c r="IC4862" s="272"/>
      <c r="ID4862" s="272"/>
      <c r="IE4862" s="272"/>
      <c r="IF4862" s="272"/>
      <c r="IG4862" s="272"/>
      <c r="IH4862" s="272"/>
      <c r="II4862" s="272"/>
      <c r="IJ4862" s="272"/>
      <c r="IK4862" s="272"/>
      <c r="IL4862" s="272"/>
      <c r="IM4862" s="272"/>
      <c r="IN4862" s="272"/>
      <c r="IO4862" s="272"/>
      <c r="IP4862" s="272"/>
      <c r="IQ4862" s="272"/>
      <c r="IR4862" s="272"/>
      <c r="IS4862" s="272"/>
      <c r="IT4862" s="272"/>
      <c r="IU4862" s="272"/>
      <c r="IV4862" s="272"/>
      <c r="IW4862" s="272"/>
      <c r="IX4862" s="272"/>
      <c r="IY4862" s="272"/>
      <c r="IZ4862" s="272"/>
      <c r="JA4862" s="272"/>
      <c r="JB4862" s="272"/>
      <c r="JC4862" s="272"/>
      <c r="JD4862" s="272"/>
      <c r="JE4862" s="272"/>
      <c r="JF4862" s="272"/>
      <c r="JG4862" s="272"/>
      <c r="JH4862" s="272"/>
      <c r="JI4862" s="272"/>
      <c r="JJ4862" s="272"/>
      <c r="JK4862" s="272"/>
      <c r="JL4862" s="272"/>
      <c r="JM4862" s="272"/>
      <c r="JN4862" s="272"/>
      <c r="JO4862" s="272"/>
      <c r="JP4862" s="272"/>
      <c r="JQ4862" s="272"/>
      <c r="JR4862" s="272"/>
      <c r="JS4862" s="272"/>
      <c r="JT4862" s="272"/>
      <c r="JU4862" s="264"/>
      <c r="JV4862" s="264"/>
      <c r="JW4862" s="264"/>
    </row>
    <row r="4863" spans="1:283" s="277" customFormat="1" x14ac:dyDescent="0.25">
      <c r="A4863" s="261">
        <v>4862</v>
      </c>
      <c r="B4863" s="262" t="s">
        <v>7067</v>
      </c>
      <c r="C4863" s="263">
        <v>226</v>
      </c>
      <c r="D4863" s="264" t="s">
        <v>4920</v>
      </c>
      <c r="E4863" s="265" t="str">
        <f>G4863</f>
        <v>Eyhorn et al. 2007</v>
      </c>
      <c r="F4863" s="265"/>
      <c r="G4863" s="266" t="s">
        <v>4809</v>
      </c>
      <c r="H4863" s="264">
        <v>2007</v>
      </c>
      <c r="I4863" s="264">
        <v>2003</v>
      </c>
      <c r="J4863" s="267" t="s">
        <v>5308</v>
      </c>
      <c r="K4863" s="268" t="s">
        <v>5117</v>
      </c>
      <c r="L4863" s="264" t="s">
        <v>5331</v>
      </c>
      <c r="M4863" s="269">
        <v>20.59</v>
      </c>
      <c r="N4863" s="269">
        <v>78.959999999999994</v>
      </c>
      <c r="O4863" s="269">
        <v>250</v>
      </c>
      <c r="P4863" s="264"/>
      <c r="Q4863" s="270"/>
      <c r="R4863" s="264"/>
      <c r="S4863" s="271"/>
      <c r="T4863" s="264"/>
      <c r="U4863" s="264"/>
      <c r="V4863" s="270">
        <v>5</v>
      </c>
      <c r="W4863" s="264"/>
      <c r="X4863" s="264"/>
      <c r="Y4863" s="264" t="s">
        <v>5391</v>
      </c>
      <c r="Z4863" s="270" t="s">
        <v>1349</v>
      </c>
      <c r="AA4863" s="271">
        <v>15</v>
      </c>
      <c r="AB4863" s="272"/>
      <c r="AC4863" s="272"/>
      <c r="AD4863" s="269"/>
      <c r="AE4863" s="269">
        <v>38.4</v>
      </c>
      <c r="AF4863" s="269">
        <v>22.4</v>
      </c>
      <c r="AG4863" s="271">
        <v>39.200000000000003</v>
      </c>
      <c r="AH4863" s="264" t="s">
        <v>769</v>
      </c>
      <c r="AI4863" s="264"/>
      <c r="AJ4863" s="269"/>
      <c r="AK4863" s="269"/>
      <c r="AL4863" s="264"/>
      <c r="AM4863" s="264"/>
      <c r="AN4863" s="264" t="s">
        <v>553</v>
      </c>
      <c r="AO4863" s="185" t="s">
        <v>5150</v>
      </c>
      <c r="AP4863" s="264"/>
      <c r="AQ4863" s="264" t="s">
        <v>553</v>
      </c>
      <c r="AR4863" s="264" t="s">
        <v>2599</v>
      </c>
      <c r="AS4863" s="273" t="s">
        <v>5133</v>
      </c>
      <c r="AT4863" s="270" t="s">
        <v>5393</v>
      </c>
      <c r="AU4863" s="181" t="s">
        <v>5150</v>
      </c>
      <c r="AV4863" s="261" t="s">
        <v>176</v>
      </c>
      <c r="AW4863" s="270" t="s">
        <v>5393</v>
      </c>
      <c r="AX4863" s="261" t="s">
        <v>176</v>
      </c>
      <c r="AY4863" s="270" t="s">
        <v>176</v>
      </c>
      <c r="AZ4863" s="264"/>
      <c r="BA4863" s="264"/>
      <c r="BB4863" s="264"/>
      <c r="BC4863" s="264"/>
      <c r="BD4863" s="264"/>
      <c r="BE4863" s="264" t="s">
        <v>5174</v>
      </c>
      <c r="BF4863" s="261" t="s">
        <v>479</v>
      </c>
      <c r="BG4863" s="261" t="s">
        <v>479</v>
      </c>
      <c r="BH4863" s="264" t="s">
        <v>5242</v>
      </c>
      <c r="BI4863" s="261" t="s">
        <v>479</v>
      </c>
      <c r="BJ4863" s="264" t="str">
        <f>IF(BE4863=BH4863,"No","yes")</f>
        <v>yes</v>
      </c>
      <c r="BK4863" s="264" t="s">
        <v>6335</v>
      </c>
      <c r="BL4863" s="264"/>
      <c r="BM4863" s="264" t="s">
        <v>160</v>
      </c>
      <c r="BN4863" s="270">
        <v>17</v>
      </c>
      <c r="BO4863" s="270">
        <v>38</v>
      </c>
      <c r="BP4863" s="264"/>
      <c r="BQ4863" s="264"/>
      <c r="BR4863" s="264"/>
      <c r="BS4863" s="264"/>
      <c r="BT4863" s="264"/>
      <c r="BU4863" s="264"/>
      <c r="BV4863" s="264"/>
      <c r="BW4863" s="272"/>
      <c r="BX4863" s="272"/>
      <c r="BY4863" s="272"/>
      <c r="BZ4863" s="272"/>
      <c r="CA4863" s="272"/>
      <c r="CB4863" s="274">
        <v>611</v>
      </c>
      <c r="CC4863" s="274">
        <v>533</v>
      </c>
      <c r="CD4863" s="274">
        <f>(CC4863-CB4863)/CB4863</f>
        <v>-0.1276595744680851</v>
      </c>
      <c r="CE4863" s="272"/>
      <c r="CF4863" s="272"/>
      <c r="CG4863" s="272" t="s">
        <v>2053</v>
      </c>
      <c r="CH4863" s="271"/>
      <c r="CI4863" s="271"/>
      <c r="CJ4863" s="272"/>
      <c r="CK4863" s="272"/>
      <c r="CL4863" s="272"/>
      <c r="CM4863" s="275"/>
      <c r="CN4863" s="275"/>
      <c r="CO4863" s="275"/>
      <c r="CP4863" s="275"/>
      <c r="CQ4863" s="275"/>
      <c r="CR4863" s="275"/>
      <c r="CS4863" s="275"/>
      <c r="CT4863" s="275"/>
      <c r="CU4863" s="275"/>
      <c r="CV4863" s="275"/>
      <c r="CW4863" s="275"/>
      <c r="CX4863" s="275"/>
      <c r="CY4863" s="275"/>
      <c r="CZ4863" s="275"/>
      <c r="DA4863" s="272"/>
      <c r="DB4863" s="272"/>
      <c r="DC4863" s="272"/>
      <c r="DD4863" s="272"/>
      <c r="DE4863" s="272"/>
      <c r="DF4863" s="272"/>
      <c r="DG4863" s="272"/>
      <c r="DH4863" s="272"/>
      <c r="DI4863" s="272"/>
      <c r="DJ4863" s="272"/>
      <c r="DK4863" s="272"/>
      <c r="DL4863" s="272"/>
      <c r="DM4863" s="272"/>
      <c r="DN4863" s="272"/>
      <c r="DO4863" s="272"/>
      <c r="DP4863" s="272"/>
      <c r="DQ4863" s="276"/>
      <c r="DR4863" s="276"/>
      <c r="DS4863" s="272"/>
      <c r="DT4863" s="272"/>
      <c r="DU4863" s="272"/>
      <c r="DV4863" s="272"/>
      <c r="DW4863" s="272"/>
      <c r="DX4863" s="272"/>
      <c r="DY4863" s="272"/>
      <c r="DZ4863" s="272"/>
      <c r="EA4863" s="272"/>
      <c r="EB4863" s="272"/>
      <c r="EC4863" s="272"/>
      <c r="ED4863" s="272"/>
      <c r="EE4863" s="272"/>
      <c r="EF4863" s="272"/>
      <c r="EG4863" s="272"/>
      <c r="EH4863" s="272"/>
      <c r="EI4863" s="272"/>
      <c r="EJ4863" s="272"/>
      <c r="EK4863" s="269"/>
      <c r="EL4863" s="269"/>
      <c r="EM4863" s="272"/>
      <c r="EN4863" s="272"/>
      <c r="EO4863" s="272"/>
      <c r="EP4863" s="272"/>
      <c r="EQ4863" s="272"/>
      <c r="ER4863" s="272"/>
      <c r="ES4863" s="272"/>
      <c r="ET4863" s="272"/>
      <c r="EU4863" s="272"/>
      <c r="EV4863" s="272"/>
      <c r="EW4863" s="272"/>
      <c r="EX4863" s="272"/>
      <c r="EY4863" s="272"/>
      <c r="EZ4863" s="272"/>
      <c r="FA4863" s="272"/>
      <c r="FB4863" s="272"/>
      <c r="FC4863" s="272"/>
      <c r="FD4863" s="272"/>
      <c r="FE4863" s="272"/>
      <c r="FF4863" s="272"/>
      <c r="FG4863" s="272"/>
      <c r="FH4863" s="272"/>
      <c r="FI4863" s="272"/>
      <c r="FJ4863" s="272"/>
      <c r="FK4863" s="272"/>
      <c r="FL4863" s="272"/>
      <c r="FM4863" s="272"/>
      <c r="FN4863" s="272"/>
      <c r="FO4863" s="272"/>
      <c r="FP4863" s="272"/>
      <c r="FQ4863" s="272"/>
      <c r="FR4863" s="272"/>
      <c r="FS4863" s="272"/>
      <c r="FT4863" s="272"/>
      <c r="FU4863" s="272"/>
      <c r="FV4863" s="272"/>
      <c r="FW4863" s="272"/>
      <c r="FX4863" s="272"/>
      <c r="FY4863" s="272"/>
      <c r="FZ4863" s="272"/>
      <c r="GA4863" s="272"/>
      <c r="GB4863" s="272"/>
      <c r="GC4863" s="272"/>
      <c r="GD4863" s="272"/>
      <c r="GE4863" s="272"/>
      <c r="GF4863" s="272"/>
      <c r="GG4863" s="272"/>
      <c r="GH4863" s="272"/>
      <c r="GI4863" s="272"/>
      <c r="GJ4863" s="272"/>
      <c r="GK4863" s="272"/>
      <c r="GL4863" s="272"/>
      <c r="GM4863" s="272"/>
      <c r="GN4863" s="292"/>
      <c r="GO4863" s="292"/>
      <c r="GP4863" s="292" t="s">
        <v>7494</v>
      </c>
      <c r="GQ4863" s="272"/>
      <c r="GR4863" s="272"/>
      <c r="GS4863" s="272"/>
      <c r="GT4863" s="272"/>
      <c r="GU4863" s="272"/>
      <c r="GV4863" s="272"/>
      <c r="GW4863" s="272"/>
      <c r="GX4863" s="272"/>
      <c r="GY4863" s="272"/>
      <c r="GZ4863" s="272"/>
      <c r="HA4863" s="272"/>
      <c r="HB4863" s="272"/>
      <c r="HC4863" s="272"/>
      <c r="HD4863" s="272"/>
      <c r="HE4863" s="272"/>
      <c r="HF4863" s="272"/>
      <c r="HG4863" s="272"/>
      <c r="HH4863" s="272"/>
      <c r="HI4863" s="272"/>
      <c r="HJ4863" s="272"/>
      <c r="HK4863" s="272"/>
      <c r="HL4863" s="272"/>
      <c r="HM4863" s="272"/>
      <c r="HN4863" s="272"/>
      <c r="HO4863" s="272"/>
      <c r="HP4863" s="272"/>
      <c r="HQ4863" s="272"/>
      <c r="HR4863" s="272"/>
      <c r="HS4863" s="272"/>
      <c r="HT4863" s="272"/>
      <c r="HU4863" s="272"/>
      <c r="HV4863" s="272"/>
      <c r="HW4863" s="272"/>
      <c r="HX4863" s="272"/>
      <c r="HY4863" s="272"/>
      <c r="HZ4863" s="272"/>
      <c r="IA4863" s="272"/>
      <c r="IB4863" s="272"/>
      <c r="IC4863" s="272"/>
      <c r="ID4863" s="272"/>
      <c r="IE4863" s="272"/>
      <c r="IF4863" s="272"/>
      <c r="IG4863" s="272"/>
      <c r="IH4863" s="272"/>
      <c r="II4863" s="272"/>
      <c r="IJ4863" s="272"/>
      <c r="IK4863" s="272"/>
      <c r="IL4863" s="272"/>
      <c r="IM4863" s="272"/>
      <c r="IN4863" s="272"/>
      <c r="IO4863" s="272"/>
      <c r="IP4863" s="272"/>
      <c r="IQ4863" s="272"/>
      <c r="IR4863" s="272"/>
      <c r="IS4863" s="272"/>
      <c r="IT4863" s="272"/>
      <c r="IU4863" s="272"/>
      <c r="IV4863" s="272"/>
      <c r="IW4863" s="272"/>
      <c r="IX4863" s="272"/>
      <c r="IY4863" s="272"/>
      <c r="IZ4863" s="272"/>
      <c r="JA4863" s="272"/>
      <c r="JB4863" s="272"/>
      <c r="JC4863" s="272"/>
      <c r="JD4863" s="272"/>
      <c r="JE4863" s="272"/>
      <c r="JF4863" s="272"/>
      <c r="JG4863" s="272"/>
      <c r="JH4863" s="272"/>
      <c r="JI4863" s="272"/>
      <c r="JJ4863" s="272"/>
      <c r="JK4863" s="272"/>
      <c r="JL4863" s="272"/>
      <c r="JM4863" s="272"/>
      <c r="JN4863" s="272"/>
      <c r="JO4863" s="272"/>
      <c r="JP4863" s="272"/>
      <c r="JQ4863" s="272"/>
      <c r="JR4863" s="272"/>
      <c r="JS4863" s="272"/>
      <c r="JT4863" s="272"/>
      <c r="JU4863" s="264"/>
      <c r="JV4863" s="264"/>
      <c r="JW4863" s="264"/>
    </row>
    <row r="4864" spans="1:283" s="277" customFormat="1" x14ac:dyDescent="0.25">
      <c r="A4864" s="261">
        <v>4863</v>
      </c>
      <c r="B4864" s="262" t="s">
        <v>7067</v>
      </c>
      <c r="C4864" s="263">
        <v>226</v>
      </c>
      <c r="D4864" s="264" t="s">
        <v>4920</v>
      </c>
      <c r="E4864" s="265" t="str">
        <f>G4864</f>
        <v>Eyhorn et al. 2007</v>
      </c>
      <c r="F4864" s="265"/>
      <c r="G4864" s="266" t="s">
        <v>4809</v>
      </c>
      <c r="H4864" s="264">
        <v>2007</v>
      </c>
      <c r="I4864" s="264">
        <v>2003</v>
      </c>
      <c r="J4864" s="267" t="s">
        <v>5308</v>
      </c>
      <c r="K4864" s="268" t="s">
        <v>5117</v>
      </c>
      <c r="L4864" s="264" t="s">
        <v>5331</v>
      </c>
      <c r="M4864" s="269">
        <v>20.59</v>
      </c>
      <c r="N4864" s="269">
        <v>78.959999999999994</v>
      </c>
      <c r="O4864" s="269">
        <v>250</v>
      </c>
      <c r="P4864" s="264"/>
      <c r="Q4864" s="270"/>
      <c r="R4864" s="264"/>
      <c r="S4864" s="271"/>
      <c r="T4864" s="264"/>
      <c r="U4864" s="264"/>
      <c r="V4864" s="270">
        <v>5</v>
      </c>
      <c r="W4864" s="264"/>
      <c r="X4864" s="264"/>
      <c r="Y4864" s="264" t="s">
        <v>5391</v>
      </c>
      <c r="Z4864" s="270" t="s">
        <v>1349</v>
      </c>
      <c r="AA4864" s="271">
        <v>15</v>
      </c>
      <c r="AB4864" s="272"/>
      <c r="AC4864" s="272"/>
      <c r="AD4864" s="269"/>
      <c r="AE4864" s="269">
        <v>38.4</v>
      </c>
      <c r="AF4864" s="269">
        <v>22.4</v>
      </c>
      <c r="AG4864" s="271">
        <v>39.200000000000003</v>
      </c>
      <c r="AH4864" s="264" t="s">
        <v>769</v>
      </c>
      <c r="AI4864" s="264"/>
      <c r="AJ4864" s="269"/>
      <c r="AK4864" s="269"/>
      <c r="AL4864" s="264"/>
      <c r="AM4864" s="264"/>
      <c r="AN4864" s="264" t="s">
        <v>553</v>
      </c>
      <c r="AO4864" s="185" t="s">
        <v>5150</v>
      </c>
      <c r="AP4864" s="264"/>
      <c r="AQ4864" s="264" t="s">
        <v>553</v>
      </c>
      <c r="AR4864" s="264" t="s">
        <v>2599</v>
      </c>
      <c r="AS4864" s="273" t="s">
        <v>5133</v>
      </c>
      <c r="AT4864" s="270" t="s">
        <v>5394</v>
      </c>
      <c r="AU4864" s="181" t="s">
        <v>5150</v>
      </c>
      <c r="AV4864" s="261" t="s">
        <v>176</v>
      </c>
      <c r="AW4864" s="270" t="s">
        <v>5394</v>
      </c>
      <c r="AX4864" s="261" t="s">
        <v>176</v>
      </c>
      <c r="AY4864" s="270" t="s">
        <v>176</v>
      </c>
      <c r="AZ4864" s="264"/>
      <c r="BA4864" s="264"/>
      <c r="BB4864" s="264"/>
      <c r="BC4864" s="264"/>
      <c r="BD4864" s="264"/>
      <c r="BE4864" s="264" t="s">
        <v>5174</v>
      </c>
      <c r="BF4864" s="261" t="s">
        <v>479</v>
      </c>
      <c r="BG4864" s="261" t="s">
        <v>479</v>
      </c>
      <c r="BH4864" s="264" t="s">
        <v>5242</v>
      </c>
      <c r="BI4864" s="261" t="s">
        <v>479</v>
      </c>
      <c r="BJ4864" s="264" t="str">
        <f>IF(BE4864=BH4864,"No","yes")</f>
        <v>yes</v>
      </c>
      <c r="BK4864" s="264" t="s">
        <v>6335</v>
      </c>
      <c r="BL4864" s="264"/>
      <c r="BM4864" s="264" t="s">
        <v>160</v>
      </c>
      <c r="BN4864" s="270">
        <v>9</v>
      </c>
      <c r="BO4864" s="270">
        <v>23</v>
      </c>
      <c r="BP4864" s="264"/>
      <c r="BQ4864" s="264"/>
      <c r="BR4864" s="264"/>
      <c r="BS4864" s="264"/>
      <c r="BT4864" s="264"/>
      <c r="BU4864" s="264"/>
      <c r="BV4864" s="264"/>
      <c r="BW4864" s="272"/>
      <c r="BX4864" s="272"/>
      <c r="BY4864" s="272"/>
      <c r="BZ4864" s="272"/>
      <c r="CA4864" s="272"/>
      <c r="CB4864" s="274">
        <v>1552</v>
      </c>
      <c r="CC4864" s="274">
        <v>1540</v>
      </c>
      <c r="CD4864" s="274">
        <f>(CC4864-CB4864)/CB4864</f>
        <v>-7.7319587628865982E-3</v>
      </c>
      <c r="CE4864" s="272"/>
      <c r="CF4864" s="272"/>
      <c r="CG4864" s="272" t="s">
        <v>2053</v>
      </c>
      <c r="CH4864" s="271"/>
      <c r="CI4864" s="271"/>
      <c r="CJ4864" s="272"/>
      <c r="CK4864" s="272"/>
      <c r="CL4864" s="272"/>
      <c r="CM4864" s="275"/>
      <c r="CN4864" s="275"/>
      <c r="CO4864" s="275"/>
      <c r="CP4864" s="275"/>
      <c r="CQ4864" s="275"/>
      <c r="CR4864" s="275"/>
      <c r="CS4864" s="275"/>
      <c r="CT4864" s="275"/>
      <c r="CU4864" s="275"/>
      <c r="CV4864" s="275"/>
      <c r="CW4864" s="275"/>
      <c r="CX4864" s="275"/>
      <c r="CY4864" s="275"/>
      <c r="CZ4864" s="275"/>
      <c r="DA4864" s="272"/>
      <c r="DB4864" s="272"/>
      <c r="DC4864" s="272"/>
      <c r="DD4864" s="272"/>
      <c r="DE4864" s="272"/>
      <c r="DF4864" s="272"/>
      <c r="DG4864" s="272"/>
      <c r="DH4864" s="272"/>
      <c r="DI4864" s="272"/>
      <c r="DJ4864" s="272"/>
      <c r="DK4864" s="272"/>
      <c r="DL4864" s="272"/>
      <c r="DM4864" s="272"/>
      <c r="DN4864" s="272"/>
      <c r="DO4864" s="272"/>
      <c r="DP4864" s="272"/>
      <c r="DQ4864" s="276"/>
      <c r="DR4864" s="276"/>
      <c r="DS4864" s="272"/>
      <c r="DT4864" s="272"/>
      <c r="DU4864" s="272"/>
      <c r="DV4864" s="272"/>
      <c r="DW4864" s="272"/>
      <c r="DX4864" s="272"/>
      <c r="DY4864" s="272"/>
      <c r="DZ4864" s="272"/>
      <c r="EA4864" s="272"/>
      <c r="EB4864" s="272"/>
      <c r="EC4864" s="272"/>
      <c r="ED4864" s="272"/>
      <c r="EE4864" s="272"/>
      <c r="EF4864" s="272"/>
      <c r="EG4864" s="272"/>
      <c r="EH4864" s="272"/>
      <c r="EI4864" s="272"/>
      <c r="EJ4864" s="272"/>
      <c r="EK4864" s="269"/>
      <c r="EL4864" s="269"/>
      <c r="EM4864" s="272"/>
      <c r="EN4864" s="272"/>
      <c r="EO4864" s="272"/>
      <c r="EP4864" s="272"/>
      <c r="EQ4864" s="272"/>
      <c r="ER4864" s="272"/>
      <c r="ES4864" s="272"/>
      <c r="ET4864" s="272"/>
      <c r="EU4864" s="272"/>
      <c r="EV4864" s="272"/>
      <c r="EW4864" s="272"/>
      <c r="EX4864" s="272"/>
      <c r="EY4864" s="272"/>
      <c r="EZ4864" s="272"/>
      <c r="FA4864" s="272"/>
      <c r="FB4864" s="272"/>
      <c r="FC4864" s="272"/>
      <c r="FD4864" s="272"/>
      <c r="FE4864" s="272"/>
      <c r="FF4864" s="272"/>
      <c r="FG4864" s="272"/>
      <c r="FH4864" s="272"/>
      <c r="FI4864" s="272"/>
      <c r="FJ4864" s="272"/>
      <c r="FK4864" s="272"/>
      <c r="FL4864" s="272"/>
      <c r="FM4864" s="272"/>
      <c r="FN4864" s="272"/>
      <c r="FO4864" s="272"/>
      <c r="FP4864" s="272"/>
      <c r="FQ4864" s="272"/>
      <c r="FR4864" s="272"/>
      <c r="FS4864" s="272"/>
      <c r="FT4864" s="272"/>
      <c r="FU4864" s="272"/>
      <c r="FV4864" s="272"/>
      <c r="FW4864" s="272"/>
      <c r="FX4864" s="272"/>
      <c r="FY4864" s="272"/>
      <c r="FZ4864" s="272"/>
      <c r="GA4864" s="272"/>
      <c r="GB4864" s="272"/>
      <c r="GC4864" s="272"/>
      <c r="GD4864" s="272"/>
      <c r="GE4864" s="272"/>
      <c r="GF4864" s="272"/>
      <c r="GG4864" s="272"/>
      <c r="GH4864" s="272"/>
      <c r="GI4864" s="272"/>
      <c r="GJ4864" s="272"/>
      <c r="GK4864" s="272"/>
      <c r="GL4864" s="272"/>
      <c r="GM4864" s="272"/>
      <c r="GN4864" s="292"/>
      <c r="GO4864" s="292"/>
      <c r="GP4864" s="292" t="s">
        <v>7494</v>
      </c>
      <c r="GQ4864" s="272"/>
      <c r="GR4864" s="272"/>
      <c r="GS4864" s="272"/>
      <c r="GT4864" s="272"/>
      <c r="GU4864" s="272"/>
      <c r="GV4864" s="272"/>
      <c r="GW4864" s="272"/>
      <c r="GX4864" s="272"/>
      <c r="GY4864" s="272"/>
      <c r="GZ4864" s="272"/>
      <c r="HA4864" s="272"/>
      <c r="HB4864" s="272"/>
      <c r="HC4864" s="272"/>
      <c r="HD4864" s="272"/>
      <c r="HE4864" s="272"/>
      <c r="HF4864" s="272"/>
      <c r="HG4864" s="272"/>
      <c r="HH4864" s="272"/>
      <c r="HI4864" s="272"/>
      <c r="HJ4864" s="272"/>
      <c r="HK4864" s="272"/>
      <c r="HL4864" s="272"/>
      <c r="HM4864" s="272"/>
      <c r="HN4864" s="272"/>
      <c r="HO4864" s="272"/>
      <c r="HP4864" s="272"/>
      <c r="HQ4864" s="272"/>
      <c r="HR4864" s="272"/>
      <c r="HS4864" s="272"/>
      <c r="HT4864" s="272"/>
      <c r="HU4864" s="272"/>
      <c r="HV4864" s="272"/>
      <c r="HW4864" s="272"/>
      <c r="HX4864" s="272"/>
      <c r="HY4864" s="272"/>
      <c r="HZ4864" s="272"/>
      <c r="IA4864" s="272"/>
      <c r="IB4864" s="272"/>
      <c r="IC4864" s="272"/>
      <c r="ID4864" s="272"/>
      <c r="IE4864" s="272"/>
      <c r="IF4864" s="272"/>
      <c r="IG4864" s="272"/>
      <c r="IH4864" s="272"/>
      <c r="II4864" s="272"/>
      <c r="IJ4864" s="272"/>
      <c r="IK4864" s="272"/>
      <c r="IL4864" s="272"/>
      <c r="IM4864" s="272"/>
      <c r="IN4864" s="272"/>
      <c r="IO4864" s="272"/>
      <c r="IP4864" s="272"/>
      <c r="IQ4864" s="272"/>
      <c r="IR4864" s="272"/>
      <c r="IS4864" s="272"/>
      <c r="IT4864" s="272"/>
      <c r="IU4864" s="272"/>
      <c r="IV4864" s="272"/>
      <c r="IW4864" s="272"/>
      <c r="IX4864" s="272"/>
      <c r="IY4864" s="272"/>
      <c r="IZ4864" s="272"/>
      <c r="JA4864" s="272"/>
      <c r="JB4864" s="272"/>
      <c r="JC4864" s="272"/>
      <c r="JD4864" s="272"/>
      <c r="JE4864" s="272"/>
      <c r="JF4864" s="272"/>
      <c r="JG4864" s="272"/>
      <c r="JH4864" s="272"/>
      <c r="JI4864" s="272"/>
      <c r="JJ4864" s="272"/>
      <c r="JK4864" s="272"/>
      <c r="JL4864" s="272"/>
      <c r="JM4864" s="272"/>
      <c r="JN4864" s="272"/>
      <c r="JO4864" s="272"/>
      <c r="JP4864" s="272"/>
      <c r="JQ4864" s="272"/>
      <c r="JR4864" s="272"/>
      <c r="JS4864" s="272"/>
      <c r="JT4864" s="272"/>
      <c r="JU4864" s="264"/>
      <c r="JV4864" s="264"/>
      <c r="JW4864" s="264"/>
    </row>
    <row r="4865" spans="1:286" s="277" customFormat="1" x14ac:dyDescent="0.25">
      <c r="A4865" s="261">
        <v>4864</v>
      </c>
      <c r="B4865" s="262" t="s">
        <v>7067</v>
      </c>
      <c r="C4865" s="263">
        <v>226</v>
      </c>
      <c r="D4865" s="264" t="s">
        <v>4920</v>
      </c>
      <c r="E4865" s="265" t="str">
        <f>G4865</f>
        <v>Eyhorn et al. 2007</v>
      </c>
      <c r="F4865" s="265"/>
      <c r="G4865" s="266" t="s">
        <v>4809</v>
      </c>
      <c r="H4865" s="264">
        <v>2007</v>
      </c>
      <c r="I4865" s="264">
        <v>2003</v>
      </c>
      <c r="J4865" s="267" t="s">
        <v>5308</v>
      </c>
      <c r="K4865" s="268" t="s">
        <v>5117</v>
      </c>
      <c r="L4865" s="264" t="s">
        <v>5331</v>
      </c>
      <c r="M4865" s="269">
        <v>20.59</v>
      </c>
      <c r="N4865" s="269">
        <v>78.959999999999994</v>
      </c>
      <c r="O4865" s="269">
        <v>250</v>
      </c>
      <c r="P4865" s="264"/>
      <c r="Q4865" s="270"/>
      <c r="R4865" s="264"/>
      <c r="S4865" s="271"/>
      <c r="T4865" s="264"/>
      <c r="U4865" s="264"/>
      <c r="V4865" s="270">
        <v>5</v>
      </c>
      <c r="W4865" s="264"/>
      <c r="X4865" s="264"/>
      <c r="Y4865" s="264" t="s">
        <v>5391</v>
      </c>
      <c r="Z4865" s="270" t="s">
        <v>1349</v>
      </c>
      <c r="AA4865" s="271">
        <v>15</v>
      </c>
      <c r="AB4865" s="272"/>
      <c r="AC4865" s="272"/>
      <c r="AD4865" s="269"/>
      <c r="AE4865" s="269">
        <v>38.4</v>
      </c>
      <c r="AF4865" s="269">
        <v>22.4</v>
      </c>
      <c r="AG4865" s="271">
        <v>39.200000000000003</v>
      </c>
      <c r="AH4865" s="264" t="s">
        <v>769</v>
      </c>
      <c r="AI4865" s="264"/>
      <c r="AJ4865" s="269"/>
      <c r="AK4865" s="269"/>
      <c r="AL4865" s="264"/>
      <c r="AM4865" s="264"/>
      <c r="AN4865" s="264" t="s">
        <v>553</v>
      </c>
      <c r="AO4865" s="185" t="s">
        <v>5150</v>
      </c>
      <c r="AP4865" s="264"/>
      <c r="AQ4865" s="264" t="s">
        <v>553</v>
      </c>
      <c r="AR4865" s="264" t="s">
        <v>158</v>
      </c>
      <c r="AS4865" s="273" t="s">
        <v>5133</v>
      </c>
      <c r="AT4865" s="270" t="s">
        <v>912</v>
      </c>
      <c r="AU4865" s="181" t="s">
        <v>5150</v>
      </c>
      <c r="AV4865" s="261" t="s">
        <v>176</v>
      </c>
      <c r="AW4865" s="270" t="s">
        <v>912</v>
      </c>
      <c r="AX4865" s="261" t="s">
        <v>176</v>
      </c>
      <c r="AY4865" s="270" t="s">
        <v>176</v>
      </c>
      <c r="AZ4865" s="264"/>
      <c r="BA4865" s="264"/>
      <c r="BB4865" s="264"/>
      <c r="BC4865" s="264"/>
      <c r="BD4865" s="264"/>
      <c r="BE4865" s="264" t="s">
        <v>5174</v>
      </c>
      <c r="BF4865" s="261" t="s">
        <v>479</v>
      </c>
      <c r="BG4865" s="261" t="s">
        <v>479</v>
      </c>
      <c r="BH4865" s="264" t="s">
        <v>5242</v>
      </c>
      <c r="BI4865" s="261" t="s">
        <v>479</v>
      </c>
      <c r="BJ4865" s="264" t="str">
        <f>IF(BE4865=BH4865,"No","yes")</f>
        <v>yes</v>
      </c>
      <c r="BK4865" s="264" t="s">
        <v>6335</v>
      </c>
      <c r="BL4865" s="264"/>
      <c r="BM4865" s="264" t="s">
        <v>160</v>
      </c>
      <c r="BN4865" s="270">
        <v>17</v>
      </c>
      <c r="BO4865" s="270">
        <v>29</v>
      </c>
      <c r="BP4865" s="264"/>
      <c r="BQ4865" s="264"/>
      <c r="BR4865" s="264"/>
      <c r="BS4865" s="264"/>
      <c r="BT4865" s="264"/>
      <c r="BU4865" s="264"/>
      <c r="BV4865" s="264"/>
      <c r="BW4865" s="272"/>
      <c r="BX4865" s="272"/>
      <c r="BY4865" s="272"/>
      <c r="BZ4865" s="272"/>
      <c r="CA4865" s="272"/>
      <c r="CB4865" s="274">
        <v>1436</v>
      </c>
      <c r="CC4865" s="274">
        <v>1395</v>
      </c>
      <c r="CD4865" s="274">
        <f>(CC4865-CB4865)/CB4865</f>
        <v>-2.8551532033426183E-2</v>
      </c>
      <c r="CE4865" s="272"/>
      <c r="CF4865" s="272"/>
      <c r="CG4865" s="272" t="s">
        <v>2053</v>
      </c>
      <c r="CH4865" s="271"/>
      <c r="CI4865" s="271"/>
      <c r="CJ4865" s="272"/>
      <c r="CK4865" s="272"/>
      <c r="CL4865" s="272"/>
      <c r="CM4865" s="275"/>
      <c r="CN4865" s="275"/>
      <c r="CO4865" s="275"/>
      <c r="CP4865" s="275"/>
      <c r="CQ4865" s="275"/>
      <c r="CR4865" s="275"/>
      <c r="CS4865" s="275"/>
      <c r="CT4865" s="275"/>
      <c r="CU4865" s="275"/>
      <c r="CV4865" s="275"/>
      <c r="CW4865" s="275"/>
      <c r="CX4865" s="275"/>
      <c r="CY4865" s="275"/>
      <c r="CZ4865" s="275"/>
      <c r="DA4865" s="272"/>
      <c r="DB4865" s="272"/>
      <c r="DC4865" s="272"/>
      <c r="DD4865" s="272"/>
      <c r="DE4865" s="272"/>
      <c r="DF4865" s="272"/>
      <c r="DG4865" s="272"/>
      <c r="DH4865" s="272"/>
      <c r="DI4865" s="272"/>
      <c r="DJ4865" s="272"/>
      <c r="DK4865" s="272"/>
      <c r="DL4865" s="272"/>
      <c r="DM4865" s="272"/>
      <c r="DN4865" s="272"/>
      <c r="DO4865" s="272"/>
      <c r="DP4865" s="272"/>
      <c r="DQ4865" s="276"/>
      <c r="DR4865" s="276"/>
      <c r="DS4865" s="272"/>
      <c r="DT4865" s="272"/>
      <c r="DU4865" s="272"/>
      <c r="DV4865" s="272"/>
      <c r="DW4865" s="272"/>
      <c r="DX4865" s="272"/>
      <c r="DY4865" s="272"/>
      <c r="DZ4865" s="272"/>
      <c r="EA4865" s="272"/>
      <c r="EB4865" s="272"/>
      <c r="EC4865" s="272"/>
      <c r="ED4865" s="272"/>
      <c r="EE4865" s="272"/>
      <c r="EF4865" s="272"/>
      <c r="EG4865" s="272"/>
      <c r="EH4865" s="272"/>
      <c r="EI4865" s="272"/>
      <c r="EJ4865" s="272"/>
      <c r="EK4865" s="269"/>
      <c r="EL4865" s="269"/>
      <c r="EM4865" s="272"/>
      <c r="EN4865" s="272"/>
      <c r="EO4865" s="272"/>
      <c r="EP4865" s="272"/>
      <c r="EQ4865" s="272"/>
      <c r="ER4865" s="272"/>
      <c r="ES4865" s="272"/>
      <c r="ET4865" s="272"/>
      <c r="EU4865" s="272"/>
      <c r="EV4865" s="272"/>
      <c r="EW4865" s="272"/>
      <c r="EX4865" s="272"/>
      <c r="EY4865" s="272"/>
      <c r="EZ4865" s="272"/>
      <c r="FA4865" s="272"/>
      <c r="FB4865" s="272"/>
      <c r="FC4865" s="272"/>
      <c r="FD4865" s="272"/>
      <c r="FE4865" s="272"/>
      <c r="FF4865" s="272"/>
      <c r="FG4865" s="272"/>
      <c r="FH4865" s="272"/>
      <c r="FI4865" s="272"/>
      <c r="FJ4865" s="272"/>
      <c r="FK4865" s="272"/>
      <c r="FL4865" s="272"/>
      <c r="FM4865" s="272"/>
      <c r="FN4865" s="272"/>
      <c r="FO4865" s="272"/>
      <c r="FP4865" s="272"/>
      <c r="FQ4865" s="272"/>
      <c r="FR4865" s="272"/>
      <c r="FS4865" s="272"/>
      <c r="FT4865" s="272"/>
      <c r="FU4865" s="272"/>
      <c r="FV4865" s="272"/>
      <c r="FW4865" s="272"/>
      <c r="FX4865" s="272"/>
      <c r="FY4865" s="272"/>
      <c r="FZ4865" s="272"/>
      <c r="GA4865" s="272"/>
      <c r="GB4865" s="272"/>
      <c r="GC4865" s="272"/>
      <c r="GD4865" s="272"/>
      <c r="GE4865" s="272"/>
      <c r="GF4865" s="272"/>
      <c r="GG4865" s="272"/>
      <c r="GH4865" s="272"/>
      <c r="GI4865" s="272"/>
      <c r="GJ4865" s="272"/>
      <c r="GK4865" s="272"/>
      <c r="GL4865" s="272"/>
      <c r="GM4865" s="272"/>
      <c r="GN4865" s="292"/>
      <c r="GO4865" s="292"/>
      <c r="GP4865" s="292" t="s">
        <v>7494</v>
      </c>
      <c r="GQ4865" s="272"/>
      <c r="GR4865" s="272"/>
      <c r="GS4865" s="272"/>
      <c r="GT4865" s="272"/>
      <c r="GU4865" s="272"/>
      <c r="GV4865" s="272"/>
      <c r="GW4865" s="272"/>
      <c r="GX4865" s="272"/>
      <c r="GY4865" s="272"/>
      <c r="GZ4865" s="272"/>
      <c r="HA4865" s="272"/>
      <c r="HB4865" s="272"/>
      <c r="HC4865" s="272"/>
      <c r="HD4865" s="272"/>
      <c r="HE4865" s="272"/>
      <c r="HF4865" s="272"/>
      <c r="HG4865" s="272"/>
      <c r="HH4865" s="272"/>
      <c r="HI4865" s="272"/>
      <c r="HJ4865" s="272"/>
      <c r="HK4865" s="272"/>
      <c r="HL4865" s="272"/>
      <c r="HM4865" s="272"/>
      <c r="HN4865" s="272"/>
      <c r="HO4865" s="272"/>
      <c r="HP4865" s="272"/>
      <c r="HQ4865" s="272"/>
      <c r="HR4865" s="272"/>
      <c r="HS4865" s="272"/>
      <c r="HT4865" s="272"/>
      <c r="HU4865" s="272"/>
      <c r="HV4865" s="272"/>
      <c r="HW4865" s="272"/>
      <c r="HX4865" s="272"/>
      <c r="HY4865" s="272"/>
      <c r="HZ4865" s="272"/>
      <c r="IA4865" s="272"/>
      <c r="IB4865" s="272"/>
      <c r="IC4865" s="272"/>
      <c r="ID4865" s="272"/>
      <c r="IE4865" s="272"/>
      <c r="IF4865" s="272"/>
      <c r="IG4865" s="272"/>
      <c r="IH4865" s="272"/>
      <c r="II4865" s="272"/>
      <c r="IJ4865" s="272"/>
      <c r="IK4865" s="272"/>
      <c r="IL4865" s="272"/>
      <c r="IM4865" s="272"/>
      <c r="IN4865" s="272"/>
      <c r="IO4865" s="272"/>
      <c r="IP4865" s="272"/>
      <c r="IQ4865" s="272"/>
      <c r="IR4865" s="272"/>
      <c r="IS4865" s="272"/>
      <c r="IT4865" s="272"/>
      <c r="IU4865" s="272"/>
      <c r="IV4865" s="272"/>
      <c r="IW4865" s="272"/>
      <c r="IX4865" s="272"/>
      <c r="IY4865" s="272"/>
      <c r="IZ4865" s="272"/>
      <c r="JA4865" s="272"/>
      <c r="JB4865" s="272"/>
      <c r="JC4865" s="272"/>
      <c r="JD4865" s="272"/>
      <c r="JE4865" s="272"/>
      <c r="JF4865" s="272"/>
      <c r="JG4865" s="272"/>
      <c r="JH4865" s="272"/>
      <c r="JI4865" s="272"/>
      <c r="JJ4865" s="272"/>
      <c r="JK4865" s="272"/>
      <c r="JL4865" s="272"/>
      <c r="JM4865" s="272"/>
      <c r="JN4865" s="272"/>
      <c r="JO4865" s="272"/>
      <c r="JP4865" s="272"/>
      <c r="JQ4865" s="272"/>
      <c r="JR4865" s="272"/>
      <c r="JS4865" s="272"/>
      <c r="JT4865" s="272"/>
      <c r="JU4865" s="264"/>
      <c r="JV4865" s="264"/>
      <c r="JW4865" s="264"/>
    </row>
    <row r="4866" spans="1:286" s="277" customFormat="1" x14ac:dyDescent="0.25">
      <c r="A4866" s="261">
        <v>4865</v>
      </c>
      <c r="B4866" s="262" t="s">
        <v>7067</v>
      </c>
      <c r="C4866" s="263">
        <v>226</v>
      </c>
      <c r="D4866" s="264" t="s">
        <v>4920</v>
      </c>
      <c r="E4866" s="265" t="str">
        <f>G4866</f>
        <v>Eyhorn et al. 2007</v>
      </c>
      <c r="F4866" s="265"/>
      <c r="G4866" s="266" t="s">
        <v>4809</v>
      </c>
      <c r="H4866" s="264">
        <v>2007</v>
      </c>
      <c r="I4866" s="264">
        <v>2003</v>
      </c>
      <c r="J4866" s="267" t="s">
        <v>5308</v>
      </c>
      <c r="K4866" s="268" t="s">
        <v>5117</v>
      </c>
      <c r="L4866" s="264" t="s">
        <v>5331</v>
      </c>
      <c r="M4866" s="269">
        <v>20.59</v>
      </c>
      <c r="N4866" s="269">
        <v>78.959999999999994</v>
      </c>
      <c r="O4866" s="269">
        <v>250</v>
      </c>
      <c r="P4866" s="264"/>
      <c r="Q4866" s="270"/>
      <c r="R4866" s="264"/>
      <c r="S4866" s="271"/>
      <c r="T4866" s="264"/>
      <c r="U4866" s="264"/>
      <c r="V4866" s="270">
        <v>5</v>
      </c>
      <c r="W4866" s="264"/>
      <c r="X4866" s="264"/>
      <c r="Y4866" s="264" t="s">
        <v>5391</v>
      </c>
      <c r="Z4866" s="270" t="s">
        <v>1349</v>
      </c>
      <c r="AA4866" s="271">
        <v>15</v>
      </c>
      <c r="AB4866" s="272"/>
      <c r="AC4866" s="272"/>
      <c r="AD4866" s="269"/>
      <c r="AE4866" s="269">
        <v>38.4</v>
      </c>
      <c r="AF4866" s="269">
        <v>22.4</v>
      </c>
      <c r="AG4866" s="271">
        <v>39.200000000000003</v>
      </c>
      <c r="AH4866" s="264" t="s">
        <v>769</v>
      </c>
      <c r="AI4866" s="264"/>
      <c r="AJ4866" s="269"/>
      <c r="AK4866" s="269"/>
      <c r="AL4866" s="264"/>
      <c r="AM4866" s="264"/>
      <c r="AN4866" s="264" t="s">
        <v>553</v>
      </c>
      <c r="AO4866" s="185" t="s">
        <v>5150</v>
      </c>
      <c r="AP4866" s="264"/>
      <c r="AQ4866" s="264" t="s">
        <v>553</v>
      </c>
      <c r="AR4866" s="264" t="s">
        <v>116</v>
      </c>
      <c r="AS4866" s="273" t="s">
        <v>5133</v>
      </c>
      <c r="AT4866" s="270" t="s">
        <v>5395</v>
      </c>
      <c r="AU4866" s="181" t="s">
        <v>5150</v>
      </c>
      <c r="AV4866" s="261" t="s">
        <v>176</v>
      </c>
      <c r="AW4866" s="270" t="s">
        <v>5395</v>
      </c>
      <c r="AX4866" s="261" t="s">
        <v>176</v>
      </c>
      <c r="AY4866" s="270" t="s">
        <v>176</v>
      </c>
      <c r="AZ4866" s="264"/>
      <c r="BA4866" s="264"/>
      <c r="BB4866" s="264"/>
      <c r="BC4866" s="264"/>
      <c r="BD4866" s="264"/>
      <c r="BE4866" s="264" t="s">
        <v>5174</v>
      </c>
      <c r="BF4866" s="261" t="s">
        <v>479</v>
      </c>
      <c r="BG4866" s="261" t="s">
        <v>479</v>
      </c>
      <c r="BH4866" s="264" t="s">
        <v>5242</v>
      </c>
      <c r="BI4866" s="261" t="s">
        <v>479</v>
      </c>
      <c r="BJ4866" s="264" t="str">
        <f>IF(BE4866=BH4866,"No","yes")</f>
        <v>yes</v>
      </c>
      <c r="BK4866" s="264" t="s">
        <v>6335</v>
      </c>
      <c r="BL4866" s="264"/>
      <c r="BM4866" s="264" t="s">
        <v>160</v>
      </c>
      <c r="BN4866" s="270">
        <v>30</v>
      </c>
      <c r="BO4866" s="270">
        <v>55</v>
      </c>
      <c r="BP4866" s="264"/>
      <c r="BQ4866" s="264"/>
      <c r="BR4866" s="264"/>
      <c r="BS4866" s="264"/>
      <c r="BT4866" s="264"/>
      <c r="BU4866" s="264"/>
      <c r="BV4866" s="264"/>
      <c r="BW4866" s="272"/>
      <c r="BX4866" s="272"/>
      <c r="BY4866" s="272"/>
      <c r="BZ4866" s="272"/>
      <c r="CA4866" s="272"/>
      <c r="CB4866" s="274">
        <v>2486</v>
      </c>
      <c r="CC4866" s="274">
        <v>2326</v>
      </c>
      <c r="CD4866" s="274">
        <f>(CC4866-CB4866)/CB4866</f>
        <v>-6.4360418342719231E-2</v>
      </c>
      <c r="CE4866" s="272"/>
      <c r="CF4866" s="272"/>
      <c r="CG4866" s="272" t="s">
        <v>2053</v>
      </c>
      <c r="CH4866" s="271"/>
      <c r="CI4866" s="271"/>
      <c r="CJ4866" s="272"/>
      <c r="CK4866" s="272"/>
      <c r="CL4866" s="272"/>
      <c r="CM4866" s="275"/>
      <c r="CN4866" s="275"/>
      <c r="CO4866" s="275"/>
      <c r="CP4866" s="275"/>
      <c r="CQ4866" s="275"/>
      <c r="CR4866" s="275"/>
      <c r="CS4866" s="275"/>
      <c r="CT4866" s="275"/>
      <c r="CU4866" s="275"/>
      <c r="CV4866" s="275"/>
      <c r="CW4866" s="275"/>
      <c r="CX4866" s="275"/>
      <c r="CY4866" s="275"/>
      <c r="CZ4866" s="275"/>
      <c r="DA4866" s="272"/>
      <c r="DB4866" s="272"/>
      <c r="DC4866" s="272"/>
      <c r="DD4866" s="272"/>
      <c r="DE4866" s="272"/>
      <c r="DF4866" s="272"/>
      <c r="DG4866" s="272"/>
      <c r="DH4866" s="272"/>
      <c r="DI4866" s="272"/>
      <c r="DJ4866" s="272"/>
      <c r="DK4866" s="272"/>
      <c r="DL4866" s="272"/>
      <c r="DM4866" s="272"/>
      <c r="DN4866" s="272"/>
      <c r="DO4866" s="272"/>
      <c r="DP4866" s="272"/>
      <c r="DQ4866" s="276"/>
      <c r="DR4866" s="276"/>
      <c r="DS4866" s="272"/>
      <c r="DT4866" s="272"/>
      <c r="DU4866" s="272"/>
      <c r="DV4866" s="272"/>
      <c r="DW4866" s="272"/>
      <c r="DX4866" s="272"/>
      <c r="DY4866" s="272"/>
      <c r="DZ4866" s="272"/>
      <c r="EA4866" s="272"/>
      <c r="EB4866" s="272"/>
      <c r="EC4866" s="272"/>
      <c r="ED4866" s="272"/>
      <c r="EE4866" s="272"/>
      <c r="EF4866" s="272"/>
      <c r="EG4866" s="272"/>
      <c r="EH4866" s="272"/>
      <c r="EI4866" s="272"/>
      <c r="EJ4866" s="272"/>
      <c r="EK4866" s="269"/>
      <c r="EL4866" s="269"/>
      <c r="EM4866" s="272"/>
      <c r="EN4866" s="272"/>
      <c r="EO4866" s="272"/>
      <c r="EP4866" s="272"/>
      <c r="EQ4866" s="272"/>
      <c r="ER4866" s="272"/>
      <c r="ES4866" s="272"/>
      <c r="ET4866" s="272"/>
      <c r="EU4866" s="272"/>
      <c r="EV4866" s="272"/>
      <c r="EW4866" s="272"/>
      <c r="EX4866" s="272"/>
      <c r="EY4866" s="272"/>
      <c r="EZ4866" s="272"/>
      <c r="FA4866" s="272"/>
      <c r="FB4866" s="272"/>
      <c r="FC4866" s="272"/>
      <c r="FD4866" s="272"/>
      <c r="FE4866" s="272"/>
      <c r="FF4866" s="272"/>
      <c r="FG4866" s="272"/>
      <c r="FH4866" s="272"/>
      <c r="FI4866" s="272"/>
      <c r="FJ4866" s="272"/>
      <c r="FK4866" s="272"/>
      <c r="FL4866" s="272"/>
      <c r="FM4866" s="272"/>
      <c r="FN4866" s="272"/>
      <c r="FO4866" s="272"/>
      <c r="FP4866" s="272"/>
      <c r="FQ4866" s="272"/>
      <c r="FR4866" s="272"/>
      <c r="FS4866" s="272"/>
      <c r="FT4866" s="272"/>
      <c r="FU4866" s="272"/>
      <c r="FV4866" s="272"/>
      <c r="FW4866" s="272"/>
      <c r="FX4866" s="272"/>
      <c r="FY4866" s="272"/>
      <c r="FZ4866" s="272"/>
      <c r="GA4866" s="272"/>
      <c r="GB4866" s="272"/>
      <c r="GC4866" s="272"/>
      <c r="GD4866" s="272"/>
      <c r="GE4866" s="272"/>
      <c r="GF4866" s="272"/>
      <c r="GG4866" s="272"/>
      <c r="GH4866" s="272"/>
      <c r="GI4866" s="272"/>
      <c r="GJ4866" s="272"/>
      <c r="GK4866" s="272"/>
      <c r="GL4866" s="272"/>
      <c r="GM4866" s="272"/>
      <c r="GN4866" s="292"/>
      <c r="GO4866" s="292"/>
      <c r="GP4866" s="292" t="s">
        <v>7494</v>
      </c>
      <c r="GQ4866" s="272"/>
      <c r="GR4866" s="272"/>
      <c r="GS4866" s="272"/>
      <c r="GT4866" s="272"/>
      <c r="GU4866" s="272"/>
      <c r="GV4866" s="272"/>
      <c r="GW4866" s="272"/>
      <c r="GX4866" s="272"/>
      <c r="GY4866" s="272"/>
      <c r="GZ4866" s="272"/>
      <c r="HA4866" s="272"/>
      <c r="HB4866" s="272"/>
      <c r="HC4866" s="272"/>
      <c r="HD4866" s="272"/>
      <c r="HE4866" s="272"/>
      <c r="HF4866" s="272"/>
      <c r="HG4866" s="272"/>
      <c r="HH4866" s="272"/>
      <c r="HI4866" s="272"/>
      <c r="HJ4866" s="272"/>
      <c r="HK4866" s="272"/>
      <c r="HL4866" s="272"/>
      <c r="HM4866" s="272"/>
      <c r="HN4866" s="272"/>
      <c r="HO4866" s="272"/>
      <c r="HP4866" s="272"/>
      <c r="HQ4866" s="272"/>
      <c r="HR4866" s="272"/>
      <c r="HS4866" s="272"/>
      <c r="HT4866" s="272"/>
      <c r="HU4866" s="272"/>
      <c r="HV4866" s="272"/>
      <c r="HW4866" s="272"/>
      <c r="HX4866" s="272"/>
      <c r="HY4866" s="272"/>
      <c r="HZ4866" s="272"/>
      <c r="IA4866" s="272"/>
      <c r="IB4866" s="272"/>
      <c r="IC4866" s="272"/>
      <c r="ID4866" s="272"/>
      <c r="IE4866" s="272"/>
      <c r="IF4866" s="272"/>
      <c r="IG4866" s="272"/>
      <c r="IH4866" s="272"/>
      <c r="II4866" s="272"/>
      <c r="IJ4866" s="272"/>
      <c r="IK4866" s="272"/>
      <c r="IL4866" s="272"/>
      <c r="IM4866" s="272"/>
      <c r="IN4866" s="272"/>
      <c r="IO4866" s="272"/>
      <c r="IP4866" s="272"/>
      <c r="IQ4866" s="272"/>
      <c r="IR4866" s="272"/>
      <c r="IS4866" s="272"/>
      <c r="IT4866" s="272"/>
      <c r="IU4866" s="272"/>
      <c r="IV4866" s="272"/>
      <c r="IW4866" s="272"/>
      <c r="IX4866" s="272"/>
      <c r="IY4866" s="272"/>
      <c r="IZ4866" s="272"/>
      <c r="JA4866" s="272"/>
      <c r="JB4866" s="272"/>
      <c r="JC4866" s="272"/>
      <c r="JD4866" s="272"/>
      <c r="JE4866" s="272"/>
      <c r="JF4866" s="272"/>
      <c r="JG4866" s="272"/>
      <c r="JH4866" s="272"/>
      <c r="JI4866" s="272"/>
      <c r="JJ4866" s="272"/>
      <c r="JK4866" s="272"/>
      <c r="JL4866" s="272"/>
      <c r="JM4866" s="272"/>
      <c r="JN4866" s="272"/>
      <c r="JO4866" s="272"/>
      <c r="JP4866" s="272"/>
      <c r="JQ4866" s="272"/>
      <c r="JR4866" s="272"/>
      <c r="JS4866" s="272"/>
      <c r="JT4866" s="272"/>
      <c r="JU4866" s="264"/>
      <c r="JV4866" s="264"/>
      <c r="JW4866" s="264"/>
    </row>
    <row r="4867" spans="1:286" s="277" customFormat="1" x14ac:dyDescent="0.25">
      <c r="A4867" s="173">
        <v>4866</v>
      </c>
      <c r="B4867" s="175" t="s">
        <v>7067</v>
      </c>
      <c r="C4867" s="278">
        <v>226</v>
      </c>
      <c r="D4867" s="174" t="s">
        <v>4920</v>
      </c>
      <c r="E4867" s="279" t="str">
        <f>G4867</f>
        <v>Eyhorn et al. 2007</v>
      </c>
      <c r="F4867" s="279"/>
      <c r="G4867" s="280" t="s">
        <v>4809</v>
      </c>
      <c r="H4867" s="174">
        <v>2007</v>
      </c>
      <c r="I4867" s="174">
        <v>2003</v>
      </c>
      <c r="J4867" s="281" t="s">
        <v>5308</v>
      </c>
      <c r="K4867" s="282" t="s">
        <v>5117</v>
      </c>
      <c r="L4867" s="174" t="s">
        <v>5331</v>
      </c>
      <c r="M4867" s="283">
        <v>20.59</v>
      </c>
      <c r="N4867" s="283">
        <v>78.959999999999994</v>
      </c>
      <c r="O4867" s="283">
        <v>250</v>
      </c>
      <c r="P4867" s="174"/>
      <c r="Q4867" s="284"/>
      <c r="R4867" s="174"/>
      <c r="S4867" s="285"/>
      <c r="T4867" s="174"/>
      <c r="U4867" s="174"/>
      <c r="V4867" s="284">
        <v>5</v>
      </c>
      <c r="W4867" s="174"/>
      <c r="X4867" s="174"/>
      <c r="Y4867" s="174" t="s">
        <v>5391</v>
      </c>
      <c r="Z4867" s="284" t="s">
        <v>1349</v>
      </c>
      <c r="AA4867" s="285">
        <v>15</v>
      </c>
      <c r="AB4867" s="286"/>
      <c r="AC4867" s="286"/>
      <c r="AD4867" s="283"/>
      <c r="AE4867" s="283">
        <v>38.4</v>
      </c>
      <c r="AF4867" s="283">
        <v>22.4</v>
      </c>
      <c r="AG4867" s="285">
        <v>39.200000000000003</v>
      </c>
      <c r="AH4867" s="174" t="s">
        <v>769</v>
      </c>
      <c r="AI4867" s="174"/>
      <c r="AJ4867" s="283"/>
      <c r="AK4867" s="283"/>
      <c r="AL4867" s="174"/>
      <c r="AM4867" s="174"/>
      <c r="AN4867" s="174" t="s">
        <v>553</v>
      </c>
      <c r="AO4867" s="185" t="s">
        <v>5150</v>
      </c>
      <c r="AP4867" s="174"/>
      <c r="AQ4867" s="174" t="s">
        <v>553</v>
      </c>
      <c r="AR4867" s="174" t="s">
        <v>7492</v>
      </c>
      <c r="AS4867" s="287" t="s">
        <v>5133</v>
      </c>
      <c r="AT4867" s="284" t="s">
        <v>5396</v>
      </c>
      <c r="AU4867" s="181" t="s">
        <v>5150</v>
      </c>
      <c r="AV4867" s="173" t="s">
        <v>176</v>
      </c>
      <c r="AW4867" s="284" t="s">
        <v>5396</v>
      </c>
      <c r="AX4867" s="173" t="s">
        <v>176</v>
      </c>
      <c r="AY4867" s="284" t="s">
        <v>176</v>
      </c>
      <c r="AZ4867" s="174"/>
      <c r="BA4867" s="174"/>
      <c r="BB4867" s="174"/>
      <c r="BC4867" s="174"/>
      <c r="BD4867" s="174"/>
      <c r="BE4867" s="174" t="s">
        <v>5174</v>
      </c>
      <c r="BF4867" s="173" t="s">
        <v>479</v>
      </c>
      <c r="BG4867" s="173" t="s">
        <v>479</v>
      </c>
      <c r="BH4867" s="174" t="s">
        <v>5242</v>
      </c>
      <c r="BI4867" s="173" t="s">
        <v>479</v>
      </c>
      <c r="BJ4867" s="174" t="str">
        <f>IF(BE4867=BH4867,"No","yes")</f>
        <v>yes</v>
      </c>
      <c r="BK4867" s="174" t="s">
        <v>6335</v>
      </c>
      <c r="BL4867" s="174"/>
      <c r="BM4867" s="174" t="s">
        <v>160</v>
      </c>
      <c r="BN4867" s="284">
        <v>12</v>
      </c>
      <c r="BO4867" s="284">
        <v>30</v>
      </c>
      <c r="BP4867" s="174"/>
      <c r="BQ4867" s="174"/>
      <c r="BR4867" s="174"/>
      <c r="BS4867" s="174"/>
      <c r="BT4867" s="174"/>
      <c r="BU4867" s="174"/>
      <c r="BV4867" s="174"/>
      <c r="BW4867" s="286"/>
      <c r="BX4867" s="286"/>
      <c r="BY4867" s="286"/>
      <c r="BZ4867" s="286"/>
      <c r="CA4867" s="286"/>
      <c r="CB4867" s="288">
        <v>3146</v>
      </c>
      <c r="CC4867" s="288">
        <v>789</v>
      </c>
      <c r="CD4867" s="288">
        <f>(CC4867-CB4867)/CB4867</f>
        <v>-0.74920534011443107</v>
      </c>
      <c r="CE4867" s="286"/>
      <c r="CF4867" s="286"/>
      <c r="CG4867" s="286" t="s">
        <v>2053</v>
      </c>
      <c r="CH4867" s="285"/>
      <c r="CI4867" s="285"/>
      <c r="CJ4867" s="286"/>
      <c r="CK4867" s="286"/>
      <c r="CL4867" s="286"/>
      <c r="CM4867" s="289"/>
      <c r="CN4867" s="289"/>
      <c r="CO4867" s="289"/>
      <c r="CP4867" s="289"/>
      <c r="CQ4867" s="289"/>
      <c r="CR4867" s="289"/>
      <c r="CS4867" s="289"/>
      <c r="CT4867" s="289"/>
      <c r="CU4867" s="289"/>
      <c r="CV4867" s="289"/>
      <c r="CW4867" s="289"/>
      <c r="CX4867" s="289"/>
      <c r="CY4867" s="289"/>
      <c r="CZ4867" s="289"/>
      <c r="DA4867" s="286"/>
      <c r="DB4867" s="286"/>
      <c r="DC4867" s="286"/>
      <c r="DD4867" s="286"/>
      <c r="DE4867" s="286"/>
      <c r="DF4867" s="286"/>
      <c r="DG4867" s="286"/>
      <c r="DH4867" s="286"/>
      <c r="DI4867" s="286"/>
      <c r="DJ4867" s="286"/>
      <c r="DK4867" s="286"/>
      <c r="DL4867" s="286"/>
      <c r="DM4867" s="286"/>
      <c r="DN4867" s="286"/>
      <c r="DO4867" s="286"/>
      <c r="DP4867" s="286"/>
      <c r="DQ4867" s="290"/>
      <c r="DR4867" s="290"/>
      <c r="DS4867" s="286"/>
      <c r="DT4867" s="286"/>
      <c r="DU4867" s="286"/>
      <c r="DV4867" s="286"/>
      <c r="DW4867" s="286"/>
      <c r="DX4867" s="286"/>
      <c r="DY4867" s="286"/>
      <c r="DZ4867" s="286"/>
      <c r="EA4867" s="286"/>
      <c r="EB4867" s="286"/>
      <c r="EC4867" s="286"/>
      <c r="ED4867" s="286"/>
      <c r="EE4867" s="286"/>
      <c r="EF4867" s="286"/>
      <c r="EG4867" s="286"/>
      <c r="EH4867" s="286"/>
      <c r="EI4867" s="286"/>
      <c r="EJ4867" s="286"/>
      <c r="EK4867" s="283"/>
      <c r="EL4867" s="283"/>
      <c r="EM4867" s="286"/>
      <c r="EN4867" s="286"/>
      <c r="EO4867" s="286"/>
      <c r="EP4867" s="286"/>
      <c r="EQ4867" s="286"/>
      <c r="ER4867" s="286"/>
      <c r="ES4867" s="286"/>
      <c r="ET4867" s="286"/>
      <c r="EU4867" s="286"/>
      <c r="EV4867" s="286"/>
      <c r="EW4867" s="286"/>
      <c r="EX4867" s="286"/>
      <c r="EY4867" s="286"/>
      <c r="EZ4867" s="286"/>
      <c r="FA4867" s="286"/>
      <c r="FB4867" s="286"/>
      <c r="FC4867" s="286"/>
      <c r="FD4867" s="286"/>
      <c r="FE4867" s="286"/>
      <c r="FF4867" s="286"/>
      <c r="FG4867" s="286"/>
      <c r="FH4867" s="286"/>
      <c r="FI4867" s="286"/>
      <c r="FJ4867" s="286"/>
      <c r="FK4867" s="286"/>
      <c r="FL4867" s="286"/>
      <c r="FM4867" s="286"/>
      <c r="FN4867" s="286"/>
      <c r="FO4867" s="286"/>
      <c r="FP4867" s="286"/>
      <c r="FQ4867" s="286"/>
      <c r="FR4867" s="286"/>
      <c r="FS4867" s="286"/>
      <c r="FT4867" s="286"/>
      <c r="FU4867" s="286"/>
      <c r="FV4867" s="286"/>
      <c r="FW4867" s="286"/>
      <c r="FX4867" s="286"/>
      <c r="FY4867" s="286"/>
      <c r="FZ4867" s="286"/>
      <c r="GA4867" s="286"/>
      <c r="GB4867" s="286"/>
      <c r="GC4867" s="286"/>
      <c r="GD4867" s="286"/>
      <c r="GE4867" s="286"/>
      <c r="GF4867" s="286"/>
      <c r="GG4867" s="286"/>
      <c r="GH4867" s="286"/>
      <c r="GI4867" s="286"/>
      <c r="GJ4867" s="286"/>
      <c r="GK4867" s="286"/>
      <c r="GL4867" s="286"/>
      <c r="GM4867" s="286"/>
      <c r="GN4867" s="292"/>
      <c r="GO4867" s="292"/>
      <c r="GP4867" s="292" t="s">
        <v>7494</v>
      </c>
      <c r="GQ4867" s="286"/>
      <c r="GR4867" s="286"/>
      <c r="GS4867" s="286"/>
      <c r="GT4867" s="286"/>
      <c r="GU4867" s="286"/>
      <c r="GV4867" s="286"/>
      <c r="GW4867" s="286"/>
      <c r="GX4867" s="286"/>
      <c r="GY4867" s="286"/>
      <c r="GZ4867" s="286"/>
      <c r="HA4867" s="286"/>
      <c r="HB4867" s="286"/>
      <c r="HC4867" s="286"/>
      <c r="HD4867" s="286"/>
      <c r="HE4867" s="286"/>
      <c r="HF4867" s="286"/>
      <c r="HG4867" s="286"/>
      <c r="HH4867" s="286"/>
      <c r="HI4867" s="286"/>
      <c r="HJ4867" s="286"/>
      <c r="HK4867" s="286"/>
      <c r="HL4867" s="286"/>
      <c r="HM4867" s="286"/>
      <c r="HN4867" s="286"/>
      <c r="HO4867" s="286"/>
      <c r="HP4867" s="286"/>
      <c r="HQ4867" s="286"/>
      <c r="HR4867" s="286"/>
      <c r="HS4867" s="286"/>
      <c r="HT4867" s="286"/>
      <c r="HU4867" s="286"/>
      <c r="HV4867" s="286"/>
      <c r="HW4867" s="286"/>
      <c r="HX4867" s="286"/>
      <c r="HY4867" s="286"/>
      <c r="HZ4867" s="286"/>
      <c r="IA4867" s="286"/>
      <c r="IB4867" s="286"/>
      <c r="IC4867" s="286"/>
      <c r="ID4867" s="286"/>
      <c r="IE4867" s="286"/>
      <c r="IF4867" s="286"/>
      <c r="IG4867" s="286"/>
      <c r="IH4867" s="286"/>
      <c r="II4867" s="286"/>
      <c r="IJ4867" s="286"/>
      <c r="IK4867" s="286"/>
      <c r="IL4867" s="286"/>
      <c r="IM4867" s="286"/>
      <c r="IN4867" s="286"/>
      <c r="IO4867" s="286"/>
      <c r="IP4867" s="286"/>
      <c r="IQ4867" s="286"/>
      <c r="IR4867" s="286"/>
      <c r="IS4867" s="286"/>
      <c r="IT4867" s="286"/>
      <c r="IU4867" s="286"/>
      <c r="IV4867" s="286"/>
      <c r="IW4867" s="286"/>
      <c r="IX4867" s="286"/>
      <c r="IY4867" s="286"/>
      <c r="IZ4867" s="286"/>
      <c r="JA4867" s="286"/>
      <c r="JB4867" s="286"/>
      <c r="JC4867" s="286"/>
      <c r="JD4867" s="286"/>
      <c r="JE4867" s="286"/>
      <c r="JF4867" s="286"/>
      <c r="JG4867" s="286"/>
      <c r="JH4867" s="286"/>
      <c r="JI4867" s="286"/>
      <c r="JJ4867" s="286"/>
      <c r="JK4867" s="286"/>
      <c r="JL4867" s="286"/>
      <c r="JM4867" s="286"/>
      <c r="JN4867" s="286"/>
      <c r="JO4867" s="286"/>
      <c r="JP4867" s="286"/>
      <c r="JQ4867" s="286"/>
      <c r="JR4867" s="286"/>
      <c r="JS4867" s="286"/>
      <c r="JT4867" s="286"/>
      <c r="JU4867" s="174"/>
      <c r="JV4867" s="174"/>
      <c r="JW4867" s="174"/>
      <c r="JX4867" s="250"/>
      <c r="JY4867" s="250"/>
      <c r="JZ4867" s="250"/>
    </row>
    <row r="4868" spans="1:286" s="277" customFormat="1" x14ac:dyDescent="0.25">
      <c r="A4868" s="261">
        <v>4867</v>
      </c>
      <c r="B4868" s="262" t="s">
        <v>7067</v>
      </c>
      <c r="C4868" s="263">
        <v>226</v>
      </c>
      <c r="D4868" s="264" t="s">
        <v>4920</v>
      </c>
      <c r="E4868" s="265" t="str">
        <f>G4868</f>
        <v>Eyhorn et al. 2007</v>
      </c>
      <c r="F4868" s="265"/>
      <c r="G4868" s="266" t="s">
        <v>4809</v>
      </c>
      <c r="H4868" s="264">
        <v>2007</v>
      </c>
      <c r="I4868" s="264">
        <v>2004</v>
      </c>
      <c r="J4868" s="267" t="s">
        <v>5308</v>
      </c>
      <c r="K4868" s="268" t="s">
        <v>5117</v>
      </c>
      <c r="L4868" s="264" t="s">
        <v>5331</v>
      </c>
      <c r="M4868" s="269">
        <v>20.59</v>
      </c>
      <c r="N4868" s="269">
        <v>78.959999999999994</v>
      </c>
      <c r="O4868" s="269">
        <v>250</v>
      </c>
      <c r="P4868" s="264"/>
      <c r="Q4868" s="270"/>
      <c r="R4868" s="264"/>
      <c r="S4868" s="271"/>
      <c r="T4868" s="264"/>
      <c r="U4868" s="264"/>
      <c r="V4868" s="270">
        <v>5</v>
      </c>
      <c r="W4868" s="264"/>
      <c r="X4868" s="264"/>
      <c r="Y4868" s="264" t="s">
        <v>5391</v>
      </c>
      <c r="Z4868" s="270" t="s">
        <v>1349</v>
      </c>
      <c r="AA4868" s="271">
        <v>15</v>
      </c>
      <c r="AB4868" s="272"/>
      <c r="AC4868" s="272"/>
      <c r="AD4868" s="269"/>
      <c r="AE4868" s="269">
        <v>38.4</v>
      </c>
      <c r="AF4868" s="269">
        <v>22.4</v>
      </c>
      <c r="AG4868" s="271">
        <v>39.200000000000003</v>
      </c>
      <c r="AH4868" s="264" t="s">
        <v>769</v>
      </c>
      <c r="AI4868" s="264"/>
      <c r="AJ4868" s="269"/>
      <c r="AK4868" s="269"/>
      <c r="AL4868" s="264"/>
      <c r="AM4868" s="264"/>
      <c r="AN4868" s="264" t="s">
        <v>553</v>
      </c>
      <c r="AO4868" s="185" t="s">
        <v>5150</v>
      </c>
      <c r="AP4868" s="264"/>
      <c r="AQ4868" s="264" t="s">
        <v>553</v>
      </c>
      <c r="AR4868" s="264" t="s">
        <v>1607</v>
      </c>
      <c r="AS4868" s="273" t="s">
        <v>5133</v>
      </c>
      <c r="AT4868" s="270" t="s">
        <v>5392</v>
      </c>
      <c r="AU4868" s="181" t="s">
        <v>5150</v>
      </c>
      <c r="AV4868" s="261" t="s">
        <v>176</v>
      </c>
      <c r="AW4868" s="270" t="s">
        <v>5392</v>
      </c>
      <c r="AX4868" s="261" t="s">
        <v>176</v>
      </c>
      <c r="AY4868" s="270" t="s">
        <v>176</v>
      </c>
      <c r="AZ4868" s="264"/>
      <c r="BA4868" s="264"/>
      <c r="BB4868" s="264"/>
      <c r="BC4868" s="264"/>
      <c r="BD4868" s="264"/>
      <c r="BE4868" s="264" t="s">
        <v>5174</v>
      </c>
      <c r="BF4868" s="261" t="s">
        <v>479</v>
      </c>
      <c r="BG4868" s="261" t="s">
        <v>479</v>
      </c>
      <c r="BH4868" s="264" t="s">
        <v>5242</v>
      </c>
      <c r="BI4868" s="261" t="s">
        <v>479</v>
      </c>
      <c r="BJ4868" s="264" t="str">
        <f>IF(BE4868=BH4868,"No","yes")</f>
        <v>yes</v>
      </c>
      <c r="BK4868" s="264" t="s">
        <v>6335</v>
      </c>
      <c r="BL4868" s="264"/>
      <c r="BM4868" s="264" t="s">
        <v>160</v>
      </c>
      <c r="BN4868" s="270">
        <v>25</v>
      </c>
      <c r="BO4868" s="270">
        <v>33</v>
      </c>
      <c r="BP4868" s="264"/>
      <c r="BQ4868" s="264"/>
      <c r="BR4868" s="264"/>
      <c r="BS4868" s="264"/>
      <c r="BT4868" s="264"/>
      <c r="BU4868" s="264"/>
      <c r="BV4868" s="264"/>
      <c r="BW4868" s="272"/>
      <c r="BX4868" s="272"/>
      <c r="BY4868" s="272"/>
      <c r="BZ4868" s="272"/>
      <c r="CA4868" s="272"/>
      <c r="CB4868" s="274">
        <v>1287</v>
      </c>
      <c r="CC4868" s="274">
        <v>1373</v>
      </c>
      <c r="CD4868" s="274">
        <f>(CC4868-CB4868)/CB4868</f>
        <v>6.6822066822066817E-2</v>
      </c>
      <c r="CE4868" s="272"/>
      <c r="CF4868" s="272"/>
      <c r="CG4868" s="272" t="s">
        <v>2053</v>
      </c>
      <c r="CH4868" s="271"/>
      <c r="CI4868" s="271"/>
      <c r="CJ4868" s="272"/>
      <c r="CK4868" s="272"/>
      <c r="CL4868" s="272"/>
      <c r="CM4868" s="275"/>
      <c r="CN4868" s="275"/>
      <c r="CO4868" s="275"/>
      <c r="CP4868" s="275"/>
      <c r="CQ4868" s="275"/>
      <c r="CR4868" s="275"/>
      <c r="CS4868" s="275"/>
      <c r="CT4868" s="275"/>
      <c r="CU4868" s="275"/>
      <c r="CV4868" s="275"/>
      <c r="CW4868" s="275"/>
      <c r="CX4868" s="275"/>
      <c r="CY4868" s="275"/>
      <c r="CZ4868" s="275"/>
      <c r="DA4868" s="272"/>
      <c r="DB4868" s="272"/>
      <c r="DC4868" s="272"/>
      <c r="DD4868" s="272"/>
      <c r="DE4868" s="272"/>
      <c r="DF4868" s="272"/>
      <c r="DG4868" s="272"/>
      <c r="DH4868" s="272"/>
      <c r="DI4868" s="272"/>
      <c r="DJ4868" s="272"/>
      <c r="DK4868" s="272"/>
      <c r="DL4868" s="272"/>
      <c r="DM4868" s="272"/>
      <c r="DN4868" s="272"/>
      <c r="DO4868" s="272"/>
      <c r="DP4868" s="272"/>
      <c r="DQ4868" s="276"/>
      <c r="DR4868" s="276"/>
      <c r="DS4868" s="272"/>
      <c r="DT4868" s="272"/>
      <c r="DU4868" s="272"/>
      <c r="DV4868" s="272"/>
      <c r="DW4868" s="272"/>
      <c r="DX4868" s="272"/>
      <c r="DY4868" s="272"/>
      <c r="DZ4868" s="272"/>
      <c r="EA4868" s="272"/>
      <c r="EB4868" s="272"/>
      <c r="EC4868" s="272"/>
      <c r="ED4868" s="272"/>
      <c r="EE4868" s="272"/>
      <c r="EF4868" s="272"/>
      <c r="EG4868" s="272"/>
      <c r="EH4868" s="272"/>
      <c r="EI4868" s="272"/>
      <c r="EJ4868" s="272"/>
      <c r="EK4868" s="269"/>
      <c r="EL4868" s="269"/>
      <c r="EM4868" s="272"/>
      <c r="EN4868" s="272"/>
      <c r="EO4868" s="272"/>
      <c r="EP4868" s="272"/>
      <c r="EQ4868" s="272"/>
      <c r="ER4868" s="272"/>
      <c r="ES4868" s="272"/>
      <c r="ET4868" s="272"/>
      <c r="EU4868" s="272"/>
      <c r="EV4868" s="272"/>
      <c r="EW4868" s="272"/>
      <c r="EX4868" s="272"/>
      <c r="EY4868" s="272"/>
      <c r="EZ4868" s="272"/>
      <c r="FA4868" s="272"/>
      <c r="FB4868" s="272"/>
      <c r="FC4868" s="272"/>
      <c r="FD4868" s="272"/>
      <c r="FE4868" s="272"/>
      <c r="FF4868" s="272"/>
      <c r="FG4868" s="272"/>
      <c r="FH4868" s="272"/>
      <c r="FI4868" s="272"/>
      <c r="FJ4868" s="272"/>
      <c r="FK4868" s="272"/>
      <c r="FL4868" s="272"/>
      <c r="FM4868" s="272"/>
      <c r="FN4868" s="272"/>
      <c r="FO4868" s="272"/>
      <c r="FP4868" s="272"/>
      <c r="FQ4868" s="272"/>
      <c r="FR4868" s="272"/>
      <c r="FS4868" s="272"/>
      <c r="FT4868" s="272"/>
      <c r="FU4868" s="272"/>
      <c r="FV4868" s="272"/>
      <c r="FW4868" s="272"/>
      <c r="FX4868" s="272"/>
      <c r="FY4868" s="272"/>
      <c r="FZ4868" s="272"/>
      <c r="GA4868" s="272"/>
      <c r="GB4868" s="272"/>
      <c r="GC4868" s="272"/>
      <c r="GD4868" s="272"/>
      <c r="GE4868" s="272"/>
      <c r="GF4868" s="272"/>
      <c r="GG4868" s="272"/>
      <c r="GH4868" s="272"/>
      <c r="GI4868" s="272"/>
      <c r="GJ4868" s="272"/>
      <c r="GK4868" s="272"/>
      <c r="GL4868" s="272"/>
      <c r="GM4868" s="272"/>
      <c r="GN4868" s="292"/>
      <c r="GO4868" s="292"/>
      <c r="GP4868" s="292" t="s">
        <v>7494</v>
      </c>
      <c r="GQ4868" s="272"/>
      <c r="GR4868" s="272"/>
      <c r="GS4868" s="272"/>
      <c r="GT4868" s="272"/>
      <c r="GU4868" s="272"/>
      <c r="GV4868" s="272"/>
      <c r="GW4868" s="272"/>
      <c r="GX4868" s="272"/>
      <c r="GY4868" s="272"/>
      <c r="GZ4868" s="272"/>
      <c r="HA4868" s="272"/>
      <c r="HB4868" s="272"/>
      <c r="HC4868" s="272"/>
      <c r="HD4868" s="272"/>
      <c r="HE4868" s="272"/>
      <c r="HF4868" s="272"/>
      <c r="HG4868" s="272"/>
      <c r="HH4868" s="272"/>
      <c r="HI4868" s="272"/>
      <c r="HJ4868" s="272"/>
      <c r="HK4868" s="272"/>
      <c r="HL4868" s="272"/>
      <c r="HM4868" s="272"/>
      <c r="HN4868" s="272"/>
      <c r="HO4868" s="272"/>
      <c r="HP4868" s="272"/>
      <c r="HQ4868" s="272"/>
      <c r="HR4868" s="272"/>
      <c r="HS4868" s="272"/>
      <c r="HT4868" s="272"/>
      <c r="HU4868" s="272"/>
      <c r="HV4868" s="272"/>
      <c r="HW4868" s="272"/>
      <c r="HX4868" s="272"/>
      <c r="HY4868" s="272"/>
      <c r="HZ4868" s="272"/>
      <c r="IA4868" s="272"/>
      <c r="IB4868" s="272"/>
      <c r="IC4868" s="272"/>
      <c r="ID4868" s="272"/>
      <c r="IE4868" s="272"/>
      <c r="IF4868" s="272"/>
      <c r="IG4868" s="272"/>
      <c r="IH4868" s="272"/>
      <c r="II4868" s="272"/>
      <c r="IJ4868" s="272"/>
      <c r="IK4868" s="272"/>
      <c r="IL4868" s="272"/>
      <c r="IM4868" s="272"/>
      <c r="IN4868" s="272"/>
      <c r="IO4868" s="272"/>
      <c r="IP4868" s="272"/>
      <c r="IQ4868" s="272"/>
      <c r="IR4868" s="272"/>
      <c r="IS4868" s="272"/>
      <c r="IT4868" s="272"/>
      <c r="IU4868" s="272"/>
      <c r="IV4868" s="272"/>
      <c r="IW4868" s="272"/>
      <c r="IX4868" s="272"/>
      <c r="IY4868" s="272"/>
      <c r="IZ4868" s="272"/>
      <c r="JA4868" s="272"/>
      <c r="JB4868" s="272"/>
      <c r="JC4868" s="272"/>
      <c r="JD4868" s="272"/>
      <c r="JE4868" s="272"/>
      <c r="JF4868" s="272"/>
      <c r="JG4868" s="272"/>
      <c r="JH4868" s="272"/>
      <c r="JI4868" s="272"/>
      <c r="JJ4868" s="272"/>
      <c r="JK4868" s="272"/>
      <c r="JL4868" s="272"/>
      <c r="JM4868" s="272"/>
      <c r="JN4868" s="272"/>
      <c r="JO4868" s="272"/>
      <c r="JP4868" s="272"/>
      <c r="JQ4868" s="272"/>
      <c r="JR4868" s="272"/>
      <c r="JS4868" s="272"/>
      <c r="JT4868" s="272"/>
      <c r="JU4868" s="264"/>
      <c r="JV4868" s="264"/>
      <c r="JW4868" s="264"/>
    </row>
    <row r="4869" spans="1:286" s="277" customFormat="1" x14ac:dyDescent="0.25">
      <c r="A4869" s="261">
        <v>4868</v>
      </c>
      <c r="B4869" s="262" t="s">
        <v>7067</v>
      </c>
      <c r="C4869" s="263">
        <v>226</v>
      </c>
      <c r="D4869" s="264" t="s">
        <v>4920</v>
      </c>
      <c r="E4869" s="265" t="str">
        <f>G4869</f>
        <v>Eyhorn et al. 2007</v>
      </c>
      <c r="F4869" s="265"/>
      <c r="G4869" s="266" t="s">
        <v>4809</v>
      </c>
      <c r="H4869" s="264">
        <v>2007</v>
      </c>
      <c r="I4869" s="264">
        <v>2004</v>
      </c>
      <c r="J4869" s="267" t="s">
        <v>5308</v>
      </c>
      <c r="K4869" s="268" t="s">
        <v>5117</v>
      </c>
      <c r="L4869" s="264" t="s">
        <v>5331</v>
      </c>
      <c r="M4869" s="269">
        <v>20.59</v>
      </c>
      <c r="N4869" s="269">
        <v>78.959999999999994</v>
      </c>
      <c r="O4869" s="269">
        <v>250</v>
      </c>
      <c r="P4869" s="264"/>
      <c r="Q4869" s="270"/>
      <c r="R4869" s="264"/>
      <c r="S4869" s="271"/>
      <c r="T4869" s="264"/>
      <c r="U4869" s="264"/>
      <c r="V4869" s="270">
        <v>5</v>
      </c>
      <c r="W4869" s="264"/>
      <c r="X4869" s="264"/>
      <c r="Y4869" s="264" t="s">
        <v>5391</v>
      </c>
      <c r="Z4869" s="270" t="s">
        <v>1349</v>
      </c>
      <c r="AA4869" s="271">
        <v>15</v>
      </c>
      <c r="AB4869" s="272"/>
      <c r="AC4869" s="272"/>
      <c r="AD4869" s="269"/>
      <c r="AE4869" s="269">
        <v>38.4</v>
      </c>
      <c r="AF4869" s="269">
        <v>22.4</v>
      </c>
      <c r="AG4869" s="271">
        <v>39.200000000000003</v>
      </c>
      <c r="AH4869" s="264" t="s">
        <v>769</v>
      </c>
      <c r="AI4869" s="264"/>
      <c r="AJ4869" s="269"/>
      <c r="AK4869" s="269"/>
      <c r="AL4869" s="264"/>
      <c r="AM4869" s="264"/>
      <c r="AN4869" s="264" t="s">
        <v>553</v>
      </c>
      <c r="AO4869" s="185" t="s">
        <v>5150</v>
      </c>
      <c r="AP4869" s="264"/>
      <c r="AQ4869" s="264" t="s">
        <v>553</v>
      </c>
      <c r="AR4869" s="264" t="s">
        <v>2599</v>
      </c>
      <c r="AS4869" s="273" t="s">
        <v>5133</v>
      </c>
      <c r="AT4869" s="270" t="s">
        <v>5393</v>
      </c>
      <c r="AU4869" s="181" t="s">
        <v>5150</v>
      </c>
      <c r="AV4869" s="261" t="s">
        <v>176</v>
      </c>
      <c r="AW4869" s="270" t="s">
        <v>5393</v>
      </c>
      <c r="AX4869" s="261" t="s">
        <v>176</v>
      </c>
      <c r="AY4869" s="270" t="s">
        <v>176</v>
      </c>
      <c r="AZ4869" s="264"/>
      <c r="BA4869" s="264"/>
      <c r="BB4869" s="264"/>
      <c r="BC4869" s="264"/>
      <c r="BD4869" s="264"/>
      <c r="BE4869" s="264" t="s">
        <v>5174</v>
      </c>
      <c r="BF4869" s="261" t="s">
        <v>479</v>
      </c>
      <c r="BG4869" s="261" t="s">
        <v>479</v>
      </c>
      <c r="BH4869" s="264" t="s">
        <v>5242</v>
      </c>
      <c r="BI4869" s="261" t="s">
        <v>479</v>
      </c>
      <c r="BJ4869" s="264" t="str">
        <f>IF(BE4869=BH4869,"No","yes")</f>
        <v>yes</v>
      </c>
      <c r="BK4869" s="264" t="s">
        <v>6335</v>
      </c>
      <c r="BL4869" s="264"/>
      <c r="BM4869" s="264" t="s">
        <v>160</v>
      </c>
      <c r="BN4869" s="270">
        <v>20</v>
      </c>
      <c r="BO4869" s="270">
        <v>33</v>
      </c>
      <c r="BP4869" s="264"/>
      <c r="BQ4869" s="264"/>
      <c r="BR4869" s="264"/>
      <c r="BS4869" s="264"/>
      <c r="BT4869" s="264"/>
      <c r="BU4869" s="264"/>
      <c r="BV4869" s="264"/>
      <c r="BW4869" s="272"/>
      <c r="BX4869" s="272"/>
      <c r="BY4869" s="272"/>
      <c r="BZ4869" s="272"/>
      <c r="CA4869" s="272"/>
      <c r="CB4869" s="274">
        <v>430</v>
      </c>
      <c r="CC4869" s="274">
        <v>424</v>
      </c>
      <c r="CD4869" s="274">
        <f>(CC4869-CB4869)/CB4869</f>
        <v>-1.3953488372093023E-2</v>
      </c>
      <c r="CE4869" s="272"/>
      <c r="CF4869" s="272"/>
      <c r="CG4869" s="272" t="s">
        <v>2053</v>
      </c>
      <c r="CH4869" s="271"/>
      <c r="CI4869" s="271"/>
      <c r="CJ4869" s="272"/>
      <c r="CK4869" s="272"/>
      <c r="CL4869" s="272"/>
      <c r="CM4869" s="275"/>
      <c r="CN4869" s="275"/>
      <c r="CO4869" s="275"/>
      <c r="CP4869" s="275"/>
      <c r="CQ4869" s="275"/>
      <c r="CR4869" s="275"/>
      <c r="CS4869" s="275"/>
      <c r="CT4869" s="275"/>
      <c r="CU4869" s="275"/>
      <c r="CV4869" s="275"/>
      <c r="CW4869" s="275"/>
      <c r="CX4869" s="275"/>
      <c r="CY4869" s="275"/>
      <c r="CZ4869" s="275"/>
      <c r="DA4869" s="272"/>
      <c r="DB4869" s="272"/>
      <c r="DC4869" s="272"/>
      <c r="DD4869" s="272"/>
      <c r="DE4869" s="272"/>
      <c r="DF4869" s="272"/>
      <c r="DG4869" s="272"/>
      <c r="DH4869" s="272"/>
      <c r="DI4869" s="272"/>
      <c r="DJ4869" s="272"/>
      <c r="DK4869" s="272"/>
      <c r="DL4869" s="272"/>
      <c r="DM4869" s="272"/>
      <c r="DN4869" s="272"/>
      <c r="DO4869" s="272"/>
      <c r="DP4869" s="272"/>
      <c r="DQ4869" s="276"/>
      <c r="DR4869" s="276"/>
      <c r="DS4869" s="272"/>
      <c r="DT4869" s="272"/>
      <c r="DU4869" s="272"/>
      <c r="DV4869" s="272"/>
      <c r="DW4869" s="272"/>
      <c r="DX4869" s="272"/>
      <c r="DY4869" s="272"/>
      <c r="DZ4869" s="272"/>
      <c r="EA4869" s="272"/>
      <c r="EB4869" s="272"/>
      <c r="EC4869" s="272"/>
      <c r="ED4869" s="272"/>
      <c r="EE4869" s="272"/>
      <c r="EF4869" s="272"/>
      <c r="EG4869" s="272"/>
      <c r="EH4869" s="272"/>
      <c r="EI4869" s="272"/>
      <c r="EJ4869" s="272"/>
      <c r="EK4869" s="269"/>
      <c r="EL4869" s="269"/>
      <c r="EM4869" s="272"/>
      <c r="EN4869" s="272"/>
      <c r="EO4869" s="272"/>
      <c r="EP4869" s="272"/>
      <c r="EQ4869" s="272"/>
      <c r="ER4869" s="272"/>
      <c r="ES4869" s="272"/>
      <c r="ET4869" s="272"/>
      <c r="EU4869" s="272"/>
      <c r="EV4869" s="272"/>
      <c r="EW4869" s="272"/>
      <c r="EX4869" s="272"/>
      <c r="EY4869" s="272"/>
      <c r="EZ4869" s="272"/>
      <c r="FA4869" s="272"/>
      <c r="FB4869" s="272"/>
      <c r="FC4869" s="272"/>
      <c r="FD4869" s="272"/>
      <c r="FE4869" s="272"/>
      <c r="FF4869" s="272"/>
      <c r="FG4869" s="272"/>
      <c r="FH4869" s="272"/>
      <c r="FI4869" s="272"/>
      <c r="FJ4869" s="272"/>
      <c r="FK4869" s="272"/>
      <c r="FL4869" s="272"/>
      <c r="FM4869" s="272"/>
      <c r="FN4869" s="272"/>
      <c r="FO4869" s="272"/>
      <c r="FP4869" s="272"/>
      <c r="FQ4869" s="272"/>
      <c r="FR4869" s="272"/>
      <c r="FS4869" s="272"/>
      <c r="FT4869" s="272"/>
      <c r="FU4869" s="272"/>
      <c r="FV4869" s="272"/>
      <c r="FW4869" s="272"/>
      <c r="FX4869" s="272"/>
      <c r="FY4869" s="272"/>
      <c r="FZ4869" s="272"/>
      <c r="GA4869" s="272"/>
      <c r="GB4869" s="272"/>
      <c r="GC4869" s="272"/>
      <c r="GD4869" s="272"/>
      <c r="GE4869" s="272"/>
      <c r="GF4869" s="272"/>
      <c r="GG4869" s="272"/>
      <c r="GH4869" s="272"/>
      <c r="GI4869" s="272"/>
      <c r="GJ4869" s="272"/>
      <c r="GK4869" s="272"/>
      <c r="GL4869" s="272"/>
      <c r="GM4869" s="272"/>
      <c r="GN4869" s="292"/>
      <c r="GO4869" s="292"/>
      <c r="GP4869" s="292" t="s">
        <v>7494</v>
      </c>
      <c r="GQ4869" s="272"/>
      <c r="GR4869" s="272"/>
      <c r="GS4869" s="272"/>
      <c r="GT4869" s="272"/>
      <c r="GU4869" s="272"/>
      <c r="GV4869" s="272"/>
      <c r="GW4869" s="272"/>
      <c r="GX4869" s="272"/>
      <c r="GY4869" s="272"/>
      <c r="GZ4869" s="272"/>
      <c r="HA4869" s="272"/>
      <c r="HB4869" s="272"/>
      <c r="HC4869" s="272"/>
      <c r="HD4869" s="272"/>
      <c r="HE4869" s="272"/>
      <c r="HF4869" s="272"/>
      <c r="HG4869" s="272"/>
      <c r="HH4869" s="272"/>
      <c r="HI4869" s="272"/>
      <c r="HJ4869" s="272"/>
      <c r="HK4869" s="272"/>
      <c r="HL4869" s="272"/>
      <c r="HM4869" s="272"/>
      <c r="HN4869" s="272"/>
      <c r="HO4869" s="272"/>
      <c r="HP4869" s="272"/>
      <c r="HQ4869" s="272"/>
      <c r="HR4869" s="272"/>
      <c r="HS4869" s="272"/>
      <c r="HT4869" s="272"/>
      <c r="HU4869" s="272"/>
      <c r="HV4869" s="272"/>
      <c r="HW4869" s="272"/>
      <c r="HX4869" s="272"/>
      <c r="HY4869" s="272"/>
      <c r="HZ4869" s="272"/>
      <c r="IA4869" s="272"/>
      <c r="IB4869" s="272"/>
      <c r="IC4869" s="272"/>
      <c r="ID4869" s="272"/>
      <c r="IE4869" s="272"/>
      <c r="IF4869" s="272"/>
      <c r="IG4869" s="272"/>
      <c r="IH4869" s="272"/>
      <c r="II4869" s="272"/>
      <c r="IJ4869" s="272"/>
      <c r="IK4869" s="272"/>
      <c r="IL4869" s="272"/>
      <c r="IM4869" s="272"/>
      <c r="IN4869" s="272"/>
      <c r="IO4869" s="272"/>
      <c r="IP4869" s="272"/>
      <c r="IQ4869" s="272"/>
      <c r="IR4869" s="272"/>
      <c r="IS4869" s="272"/>
      <c r="IT4869" s="272"/>
      <c r="IU4869" s="272"/>
      <c r="IV4869" s="272"/>
      <c r="IW4869" s="272"/>
      <c r="IX4869" s="272"/>
      <c r="IY4869" s="272"/>
      <c r="IZ4869" s="272"/>
      <c r="JA4869" s="272"/>
      <c r="JB4869" s="272"/>
      <c r="JC4869" s="272"/>
      <c r="JD4869" s="272"/>
      <c r="JE4869" s="272"/>
      <c r="JF4869" s="272"/>
      <c r="JG4869" s="272"/>
      <c r="JH4869" s="272"/>
      <c r="JI4869" s="272"/>
      <c r="JJ4869" s="272"/>
      <c r="JK4869" s="272"/>
      <c r="JL4869" s="272"/>
      <c r="JM4869" s="272"/>
      <c r="JN4869" s="272"/>
      <c r="JO4869" s="272"/>
      <c r="JP4869" s="272"/>
      <c r="JQ4869" s="272"/>
      <c r="JR4869" s="272"/>
      <c r="JS4869" s="272"/>
      <c r="JT4869" s="272"/>
      <c r="JU4869" s="264"/>
      <c r="JV4869" s="264"/>
      <c r="JW4869" s="264"/>
    </row>
    <row r="4870" spans="1:286" s="277" customFormat="1" x14ac:dyDescent="0.25">
      <c r="A4870" s="261">
        <v>4869</v>
      </c>
      <c r="B4870" s="262" t="s">
        <v>7067</v>
      </c>
      <c r="C4870" s="263">
        <v>226</v>
      </c>
      <c r="D4870" s="264" t="s">
        <v>4920</v>
      </c>
      <c r="E4870" s="265" t="str">
        <f>G4870</f>
        <v>Eyhorn et al. 2007</v>
      </c>
      <c r="F4870" s="265"/>
      <c r="G4870" s="266" t="s">
        <v>4809</v>
      </c>
      <c r="H4870" s="264">
        <v>2007</v>
      </c>
      <c r="I4870" s="264">
        <v>2004</v>
      </c>
      <c r="J4870" s="267" t="s">
        <v>5308</v>
      </c>
      <c r="K4870" s="268" t="s">
        <v>5117</v>
      </c>
      <c r="L4870" s="264" t="s">
        <v>5331</v>
      </c>
      <c r="M4870" s="269">
        <v>20.59</v>
      </c>
      <c r="N4870" s="269">
        <v>78.959999999999994</v>
      </c>
      <c r="O4870" s="269">
        <v>250</v>
      </c>
      <c r="P4870" s="264"/>
      <c r="Q4870" s="270"/>
      <c r="R4870" s="264"/>
      <c r="S4870" s="271"/>
      <c r="T4870" s="264"/>
      <c r="U4870" s="264"/>
      <c r="V4870" s="270">
        <v>5</v>
      </c>
      <c r="W4870" s="264"/>
      <c r="X4870" s="264"/>
      <c r="Y4870" s="264" t="s">
        <v>5391</v>
      </c>
      <c r="Z4870" s="270" t="s">
        <v>1349</v>
      </c>
      <c r="AA4870" s="271">
        <v>15</v>
      </c>
      <c r="AB4870" s="272"/>
      <c r="AC4870" s="272"/>
      <c r="AD4870" s="269"/>
      <c r="AE4870" s="269">
        <v>38.4</v>
      </c>
      <c r="AF4870" s="269">
        <v>22.4</v>
      </c>
      <c r="AG4870" s="271">
        <v>39.200000000000003</v>
      </c>
      <c r="AH4870" s="264" t="s">
        <v>769</v>
      </c>
      <c r="AI4870" s="264"/>
      <c r="AJ4870" s="269"/>
      <c r="AK4870" s="269"/>
      <c r="AL4870" s="264"/>
      <c r="AM4870" s="264"/>
      <c r="AN4870" s="264" t="s">
        <v>553</v>
      </c>
      <c r="AO4870" s="185" t="s">
        <v>5150</v>
      </c>
      <c r="AP4870" s="264"/>
      <c r="AQ4870" s="264" t="s">
        <v>553</v>
      </c>
      <c r="AR4870" s="264" t="s">
        <v>218</v>
      </c>
      <c r="AS4870" s="273" t="s">
        <v>5133</v>
      </c>
      <c r="AT4870" s="270" t="s">
        <v>5394</v>
      </c>
      <c r="AU4870" s="181" t="s">
        <v>5150</v>
      </c>
      <c r="AV4870" s="261" t="s">
        <v>176</v>
      </c>
      <c r="AW4870" s="270" t="s">
        <v>5394</v>
      </c>
      <c r="AX4870" s="261" t="s">
        <v>176</v>
      </c>
      <c r="AY4870" s="270" t="s">
        <v>176</v>
      </c>
      <c r="AZ4870" s="264"/>
      <c r="BA4870" s="264"/>
      <c r="BB4870" s="264"/>
      <c r="BC4870" s="264"/>
      <c r="BD4870" s="264"/>
      <c r="BE4870" s="264" t="s">
        <v>5174</v>
      </c>
      <c r="BF4870" s="261" t="s">
        <v>479</v>
      </c>
      <c r="BG4870" s="261" t="s">
        <v>479</v>
      </c>
      <c r="BH4870" s="264" t="s">
        <v>5242</v>
      </c>
      <c r="BI4870" s="261" t="s">
        <v>479</v>
      </c>
      <c r="BJ4870" s="264" t="str">
        <f>IF(BE4870=BH4870,"No","yes")</f>
        <v>yes</v>
      </c>
      <c r="BK4870" s="264" t="s">
        <v>6335</v>
      </c>
      <c r="BL4870" s="264"/>
      <c r="BM4870" s="264" t="s">
        <v>160</v>
      </c>
      <c r="BN4870" s="270">
        <v>13</v>
      </c>
      <c r="BO4870" s="270">
        <v>14</v>
      </c>
      <c r="BP4870" s="264"/>
      <c r="BQ4870" s="264"/>
      <c r="BR4870" s="264"/>
      <c r="BS4870" s="264"/>
      <c r="BT4870" s="264"/>
      <c r="BU4870" s="264"/>
      <c r="BV4870" s="264"/>
      <c r="BW4870" s="272"/>
      <c r="BX4870" s="272"/>
      <c r="BY4870" s="272"/>
      <c r="BZ4870" s="272"/>
      <c r="CA4870" s="272"/>
      <c r="CB4870" s="274">
        <v>765</v>
      </c>
      <c r="CC4870" s="274">
        <v>1022</v>
      </c>
      <c r="CD4870" s="274">
        <f>(CC4870-CB4870)/CB4870</f>
        <v>0.33594771241830068</v>
      </c>
      <c r="CE4870" s="272"/>
      <c r="CF4870" s="272"/>
      <c r="CG4870" s="272" t="s">
        <v>2053</v>
      </c>
      <c r="CH4870" s="271"/>
      <c r="CI4870" s="271"/>
      <c r="CJ4870" s="272"/>
      <c r="CK4870" s="272"/>
      <c r="CL4870" s="272"/>
      <c r="CM4870" s="275"/>
      <c r="CN4870" s="275"/>
      <c r="CO4870" s="275"/>
      <c r="CP4870" s="275"/>
      <c r="CQ4870" s="275"/>
      <c r="CR4870" s="275"/>
      <c r="CS4870" s="275"/>
      <c r="CT4870" s="275"/>
      <c r="CU4870" s="275"/>
      <c r="CV4870" s="275"/>
      <c r="CW4870" s="275"/>
      <c r="CX4870" s="275"/>
      <c r="CY4870" s="275"/>
      <c r="CZ4870" s="275"/>
      <c r="DA4870" s="272"/>
      <c r="DB4870" s="272"/>
      <c r="DC4870" s="272"/>
      <c r="DD4870" s="272"/>
      <c r="DE4870" s="272"/>
      <c r="DF4870" s="272"/>
      <c r="DG4870" s="272"/>
      <c r="DH4870" s="272"/>
      <c r="DI4870" s="272"/>
      <c r="DJ4870" s="272"/>
      <c r="DK4870" s="272"/>
      <c r="DL4870" s="272"/>
      <c r="DM4870" s="272"/>
      <c r="DN4870" s="272"/>
      <c r="DO4870" s="272"/>
      <c r="DP4870" s="272"/>
      <c r="DQ4870" s="276"/>
      <c r="DR4870" s="276"/>
      <c r="DS4870" s="272"/>
      <c r="DT4870" s="272"/>
      <c r="DU4870" s="272"/>
      <c r="DV4870" s="272"/>
      <c r="DW4870" s="272"/>
      <c r="DX4870" s="272"/>
      <c r="DY4870" s="272"/>
      <c r="DZ4870" s="272"/>
      <c r="EA4870" s="272"/>
      <c r="EB4870" s="272"/>
      <c r="EC4870" s="272"/>
      <c r="ED4870" s="272"/>
      <c r="EE4870" s="272"/>
      <c r="EF4870" s="272"/>
      <c r="EG4870" s="272"/>
      <c r="EH4870" s="272"/>
      <c r="EI4870" s="272"/>
      <c r="EJ4870" s="272"/>
      <c r="EK4870" s="269"/>
      <c r="EL4870" s="269"/>
      <c r="EM4870" s="272"/>
      <c r="EN4870" s="272"/>
      <c r="EO4870" s="272"/>
      <c r="EP4870" s="272"/>
      <c r="EQ4870" s="272"/>
      <c r="ER4870" s="272"/>
      <c r="ES4870" s="272"/>
      <c r="ET4870" s="272"/>
      <c r="EU4870" s="272"/>
      <c r="EV4870" s="272"/>
      <c r="EW4870" s="272"/>
      <c r="EX4870" s="272"/>
      <c r="EY4870" s="272"/>
      <c r="EZ4870" s="272"/>
      <c r="FA4870" s="272"/>
      <c r="FB4870" s="272"/>
      <c r="FC4870" s="272"/>
      <c r="FD4870" s="272"/>
      <c r="FE4870" s="272"/>
      <c r="FF4870" s="272"/>
      <c r="FG4870" s="272"/>
      <c r="FH4870" s="272"/>
      <c r="FI4870" s="272"/>
      <c r="FJ4870" s="272"/>
      <c r="FK4870" s="272"/>
      <c r="FL4870" s="272"/>
      <c r="FM4870" s="272"/>
      <c r="FN4870" s="272"/>
      <c r="FO4870" s="272"/>
      <c r="FP4870" s="272"/>
      <c r="FQ4870" s="272"/>
      <c r="FR4870" s="272"/>
      <c r="FS4870" s="272"/>
      <c r="FT4870" s="272"/>
      <c r="FU4870" s="272"/>
      <c r="FV4870" s="272"/>
      <c r="FW4870" s="272"/>
      <c r="FX4870" s="272"/>
      <c r="FY4870" s="272"/>
      <c r="FZ4870" s="272"/>
      <c r="GA4870" s="272"/>
      <c r="GB4870" s="272"/>
      <c r="GC4870" s="272"/>
      <c r="GD4870" s="272"/>
      <c r="GE4870" s="272"/>
      <c r="GF4870" s="272"/>
      <c r="GG4870" s="272"/>
      <c r="GH4870" s="272"/>
      <c r="GI4870" s="272"/>
      <c r="GJ4870" s="272"/>
      <c r="GK4870" s="272"/>
      <c r="GL4870" s="272"/>
      <c r="GM4870" s="272"/>
      <c r="GN4870" s="292"/>
      <c r="GO4870" s="292"/>
      <c r="GP4870" s="292" t="s">
        <v>7494</v>
      </c>
      <c r="GQ4870" s="272"/>
      <c r="GR4870" s="272"/>
      <c r="GS4870" s="272"/>
      <c r="GT4870" s="272"/>
      <c r="GU4870" s="272"/>
      <c r="GV4870" s="272"/>
      <c r="GW4870" s="272"/>
      <c r="GX4870" s="272"/>
      <c r="GY4870" s="272"/>
      <c r="GZ4870" s="272"/>
      <c r="HA4870" s="272"/>
      <c r="HB4870" s="272"/>
      <c r="HC4870" s="272"/>
      <c r="HD4870" s="272"/>
      <c r="HE4870" s="272"/>
      <c r="HF4870" s="272"/>
      <c r="HG4870" s="272"/>
      <c r="HH4870" s="272"/>
      <c r="HI4870" s="272"/>
      <c r="HJ4870" s="272"/>
      <c r="HK4870" s="272"/>
      <c r="HL4870" s="272"/>
      <c r="HM4870" s="272"/>
      <c r="HN4870" s="272"/>
      <c r="HO4870" s="272"/>
      <c r="HP4870" s="272"/>
      <c r="HQ4870" s="272"/>
      <c r="HR4870" s="272"/>
      <c r="HS4870" s="272"/>
      <c r="HT4870" s="272"/>
      <c r="HU4870" s="272"/>
      <c r="HV4870" s="272"/>
      <c r="HW4870" s="272"/>
      <c r="HX4870" s="272"/>
      <c r="HY4870" s="272"/>
      <c r="HZ4870" s="272"/>
      <c r="IA4870" s="272"/>
      <c r="IB4870" s="272"/>
      <c r="IC4870" s="272"/>
      <c r="ID4870" s="272"/>
      <c r="IE4870" s="272"/>
      <c r="IF4870" s="272"/>
      <c r="IG4870" s="272"/>
      <c r="IH4870" s="272"/>
      <c r="II4870" s="272"/>
      <c r="IJ4870" s="272"/>
      <c r="IK4870" s="272"/>
      <c r="IL4870" s="272"/>
      <c r="IM4870" s="272"/>
      <c r="IN4870" s="272"/>
      <c r="IO4870" s="272"/>
      <c r="IP4870" s="272"/>
      <c r="IQ4870" s="272"/>
      <c r="IR4870" s="272"/>
      <c r="IS4870" s="272"/>
      <c r="IT4870" s="272"/>
      <c r="IU4870" s="272"/>
      <c r="IV4870" s="272"/>
      <c r="IW4870" s="272"/>
      <c r="IX4870" s="272"/>
      <c r="IY4870" s="272"/>
      <c r="IZ4870" s="272"/>
      <c r="JA4870" s="272"/>
      <c r="JB4870" s="272"/>
      <c r="JC4870" s="272"/>
      <c r="JD4870" s="272"/>
      <c r="JE4870" s="272"/>
      <c r="JF4870" s="272"/>
      <c r="JG4870" s="272"/>
      <c r="JH4870" s="272"/>
      <c r="JI4870" s="272"/>
      <c r="JJ4870" s="272"/>
      <c r="JK4870" s="272"/>
      <c r="JL4870" s="272"/>
      <c r="JM4870" s="272"/>
      <c r="JN4870" s="272"/>
      <c r="JO4870" s="272"/>
      <c r="JP4870" s="272"/>
      <c r="JQ4870" s="272"/>
      <c r="JR4870" s="272"/>
      <c r="JS4870" s="272"/>
      <c r="JT4870" s="272"/>
      <c r="JU4870" s="264"/>
      <c r="JV4870" s="264"/>
      <c r="JW4870" s="264"/>
    </row>
    <row r="4871" spans="1:286" s="277" customFormat="1" x14ac:dyDescent="0.25">
      <c r="A4871" s="261">
        <v>4870</v>
      </c>
      <c r="B4871" s="262" t="s">
        <v>7067</v>
      </c>
      <c r="C4871" s="263">
        <v>226</v>
      </c>
      <c r="D4871" s="264" t="s">
        <v>4920</v>
      </c>
      <c r="E4871" s="265" t="str">
        <f>G4871</f>
        <v>Eyhorn et al. 2007</v>
      </c>
      <c r="F4871" s="265"/>
      <c r="G4871" s="266" t="s">
        <v>4809</v>
      </c>
      <c r="H4871" s="264">
        <v>2007</v>
      </c>
      <c r="I4871" s="264">
        <v>2004</v>
      </c>
      <c r="J4871" s="267" t="s">
        <v>5308</v>
      </c>
      <c r="K4871" s="268" t="s">
        <v>5117</v>
      </c>
      <c r="L4871" s="264" t="s">
        <v>5331</v>
      </c>
      <c r="M4871" s="269">
        <v>20.59</v>
      </c>
      <c r="N4871" s="269">
        <v>78.959999999999994</v>
      </c>
      <c r="O4871" s="269">
        <v>250</v>
      </c>
      <c r="P4871" s="264"/>
      <c r="Q4871" s="270"/>
      <c r="R4871" s="264"/>
      <c r="S4871" s="271"/>
      <c r="T4871" s="264"/>
      <c r="U4871" s="264"/>
      <c r="V4871" s="270">
        <v>5</v>
      </c>
      <c r="W4871" s="264"/>
      <c r="X4871" s="264"/>
      <c r="Y4871" s="264" t="s">
        <v>5391</v>
      </c>
      <c r="Z4871" s="270" t="s">
        <v>1349</v>
      </c>
      <c r="AA4871" s="271">
        <v>15</v>
      </c>
      <c r="AB4871" s="272"/>
      <c r="AC4871" s="272"/>
      <c r="AD4871" s="269"/>
      <c r="AE4871" s="269">
        <v>38.4</v>
      </c>
      <c r="AF4871" s="269">
        <v>22.4</v>
      </c>
      <c r="AG4871" s="271">
        <v>39.200000000000003</v>
      </c>
      <c r="AH4871" s="264" t="s">
        <v>769</v>
      </c>
      <c r="AI4871" s="264"/>
      <c r="AJ4871" s="269"/>
      <c r="AK4871" s="269"/>
      <c r="AL4871" s="264"/>
      <c r="AM4871" s="264"/>
      <c r="AN4871" s="264" t="s">
        <v>553</v>
      </c>
      <c r="AO4871" s="185" t="s">
        <v>5150</v>
      </c>
      <c r="AP4871" s="264"/>
      <c r="AQ4871" s="264" t="s">
        <v>553</v>
      </c>
      <c r="AR4871" s="264" t="s">
        <v>158</v>
      </c>
      <c r="AS4871" s="273" t="s">
        <v>5133</v>
      </c>
      <c r="AT4871" s="270" t="s">
        <v>912</v>
      </c>
      <c r="AU4871" s="181" t="s">
        <v>5150</v>
      </c>
      <c r="AV4871" s="261" t="s">
        <v>176</v>
      </c>
      <c r="AW4871" s="270" t="s">
        <v>912</v>
      </c>
      <c r="AX4871" s="261" t="s">
        <v>176</v>
      </c>
      <c r="AY4871" s="270" t="s">
        <v>176</v>
      </c>
      <c r="AZ4871" s="264"/>
      <c r="BA4871" s="264"/>
      <c r="BB4871" s="264"/>
      <c r="BC4871" s="264"/>
      <c r="BD4871" s="264"/>
      <c r="BE4871" s="264" t="s">
        <v>5174</v>
      </c>
      <c r="BF4871" s="261" t="s">
        <v>479</v>
      </c>
      <c r="BG4871" s="261" t="s">
        <v>479</v>
      </c>
      <c r="BH4871" s="264" t="s">
        <v>5242</v>
      </c>
      <c r="BI4871" s="261" t="s">
        <v>479</v>
      </c>
      <c r="BJ4871" s="264" t="str">
        <f>IF(BE4871=BH4871,"No","yes")</f>
        <v>yes</v>
      </c>
      <c r="BK4871" s="264" t="s">
        <v>6335</v>
      </c>
      <c r="BL4871" s="264"/>
      <c r="BM4871" s="264" t="s">
        <v>160</v>
      </c>
      <c r="BN4871" s="270">
        <v>25</v>
      </c>
      <c r="BO4871" s="270">
        <v>31</v>
      </c>
      <c r="BP4871" s="264"/>
      <c r="BQ4871" s="264"/>
      <c r="BR4871" s="264"/>
      <c r="BS4871" s="264"/>
      <c r="BT4871" s="264"/>
      <c r="BU4871" s="264"/>
      <c r="BV4871" s="264"/>
      <c r="BW4871" s="272"/>
      <c r="BX4871" s="272"/>
      <c r="BY4871" s="272"/>
      <c r="BZ4871" s="272"/>
      <c r="CA4871" s="272"/>
      <c r="CB4871" s="274">
        <v>870</v>
      </c>
      <c r="CC4871" s="274">
        <v>803</v>
      </c>
      <c r="CD4871" s="274">
        <f>(CC4871-CB4871)/CB4871</f>
        <v>-7.7011494252873569E-2</v>
      </c>
      <c r="CE4871" s="272"/>
      <c r="CF4871" s="272"/>
      <c r="CG4871" s="272" t="s">
        <v>2053</v>
      </c>
      <c r="CH4871" s="271"/>
      <c r="CI4871" s="271"/>
      <c r="CJ4871" s="272"/>
      <c r="CK4871" s="272"/>
      <c r="CL4871" s="272"/>
      <c r="CM4871" s="275"/>
      <c r="CN4871" s="275"/>
      <c r="CO4871" s="275"/>
      <c r="CP4871" s="275"/>
      <c r="CQ4871" s="275"/>
      <c r="CR4871" s="275"/>
      <c r="CS4871" s="275"/>
      <c r="CT4871" s="275"/>
      <c r="CU4871" s="275"/>
      <c r="CV4871" s="275"/>
      <c r="CW4871" s="275"/>
      <c r="CX4871" s="275"/>
      <c r="CY4871" s="275"/>
      <c r="CZ4871" s="275"/>
      <c r="DA4871" s="272"/>
      <c r="DB4871" s="272"/>
      <c r="DC4871" s="272"/>
      <c r="DD4871" s="272"/>
      <c r="DE4871" s="272"/>
      <c r="DF4871" s="272"/>
      <c r="DG4871" s="272"/>
      <c r="DH4871" s="272"/>
      <c r="DI4871" s="272"/>
      <c r="DJ4871" s="272"/>
      <c r="DK4871" s="272"/>
      <c r="DL4871" s="272"/>
      <c r="DM4871" s="272"/>
      <c r="DN4871" s="272"/>
      <c r="DO4871" s="272"/>
      <c r="DP4871" s="272"/>
      <c r="DQ4871" s="276"/>
      <c r="DR4871" s="276"/>
      <c r="DS4871" s="272"/>
      <c r="DT4871" s="272"/>
      <c r="DU4871" s="272"/>
      <c r="DV4871" s="272"/>
      <c r="DW4871" s="272"/>
      <c r="DX4871" s="272"/>
      <c r="DY4871" s="272"/>
      <c r="DZ4871" s="272"/>
      <c r="EA4871" s="272"/>
      <c r="EB4871" s="272"/>
      <c r="EC4871" s="272"/>
      <c r="ED4871" s="272"/>
      <c r="EE4871" s="272"/>
      <c r="EF4871" s="272"/>
      <c r="EG4871" s="272"/>
      <c r="EH4871" s="272"/>
      <c r="EI4871" s="272"/>
      <c r="EJ4871" s="272"/>
      <c r="EK4871" s="269"/>
      <c r="EL4871" s="269"/>
      <c r="EM4871" s="272"/>
      <c r="EN4871" s="272"/>
      <c r="EO4871" s="272"/>
      <c r="EP4871" s="272"/>
      <c r="EQ4871" s="272"/>
      <c r="ER4871" s="272"/>
      <c r="ES4871" s="272"/>
      <c r="ET4871" s="272"/>
      <c r="EU4871" s="272"/>
      <c r="EV4871" s="272"/>
      <c r="EW4871" s="272"/>
      <c r="EX4871" s="272"/>
      <c r="EY4871" s="272"/>
      <c r="EZ4871" s="272"/>
      <c r="FA4871" s="272"/>
      <c r="FB4871" s="272"/>
      <c r="FC4871" s="272"/>
      <c r="FD4871" s="272"/>
      <c r="FE4871" s="272"/>
      <c r="FF4871" s="272"/>
      <c r="FG4871" s="272"/>
      <c r="FH4871" s="272"/>
      <c r="FI4871" s="272"/>
      <c r="FJ4871" s="272"/>
      <c r="FK4871" s="272"/>
      <c r="FL4871" s="272"/>
      <c r="FM4871" s="272"/>
      <c r="FN4871" s="272"/>
      <c r="FO4871" s="272"/>
      <c r="FP4871" s="272"/>
      <c r="FQ4871" s="272"/>
      <c r="FR4871" s="272"/>
      <c r="FS4871" s="272"/>
      <c r="FT4871" s="272"/>
      <c r="FU4871" s="272"/>
      <c r="FV4871" s="272"/>
      <c r="FW4871" s="272"/>
      <c r="FX4871" s="272"/>
      <c r="FY4871" s="272"/>
      <c r="FZ4871" s="272"/>
      <c r="GA4871" s="272"/>
      <c r="GB4871" s="272"/>
      <c r="GC4871" s="272"/>
      <c r="GD4871" s="272"/>
      <c r="GE4871" s="272"/>
      <c r="GF4871" s="272"/>
      <c r="GG4871" s="272"/>
      <c r="GH4871" s="272"/>
      <c r="GI4871" s="272"/>
      <c r="GJ4871" s="272"/>
      <c r="GK4871" s="272"/>
      <c r="GL4871" s="272"/>
      <c r="GM4871" s="272"/>
      <c r="GN4871" s="292"/>
      <c r="GO4871" s="292"/>
      <c r="GP4871" s="292" t="s">
        <v>7494</v>
      </c>
      <c r="GQ4871" s="272"/>
      <c r="GR4871" s="272"/>
      <c r="GS4871" s="272"/>
      <c r="GT4871" s="272"/>
      <c r="GU4871" s="272"/>
      <c r="GV4871" s="272"/>
      <c r="GW4871" s="272"/>
      <c r="GX4871" s="272"/>
      <c r="GY4871" s="272"/>
      <c r="GZ4871" s="272"/>
      <c r="HA4871" s="272"/>
      <c r="HB4871" s="272"/>
      <c r="HC4871" s="272"/>
      <c r="HD4871" s="272"/>
      <c r="HE4871" s="272"/>
      <c r="HF4871" s="272"/>
      <c r="HG4871" s="272"/>
      <c r="HH4871" s="272"/>
      <c r="HI4871" s="272"/>
      <c r="HJ4871" s="272"/>
      <c r="HK4871" s="272"/>
      <c r="HL4871" s="272"/>
      <c r="HM4871" s="272"/>
      <c r="HN4871" s="272"/>
      <c r="HO4871" s="272"/>
      <c r="HP4871" s="272"/>
      <c r="HQ4871" s="272"/>
      <c r="HR4871" s="272"/>
      <c r="HS4871" s="272"/>
      <c r="HT4871" s="272"/>
      <c r="HU4871" s="272"/>
      <c r="HV4871" s="272"/>
      <c r="HW4871" s="272"/>
      <c r="HX4871" s="272"/>
      <c r="HY4871" s="272"/>
      <c r="HZ4871" s="272"/>
      <c r="IA4871" s="272"/>
      <c r="IB4871" s="272"/>
      <c r="IC4871" s="272"/>
      <c r="ID4871" s="272"/>
      <c r="IE4871" s="272"/>
      <c r="IF4871" s="272"/>
      <c r="IG4871" s="272"/>
      <c r="IH4871" s="272"/>
      <c r="II4871" s="272"/>
      <c r="IJ4871" s="272"/>
      <c r="IK4871" s="272"/>
      <c r="IL4871" s="272"/>
      <c r="IM4871" s="272"/>
      <c r="IN4871" s="272"/>
      <c r="IO4871" s="272"/>
      <c r="IP4871" s="272"/>
      <c r="IQ4871" s="272"/>
      <c r="IR4871" s="272"/>
      <c r="IS4871" s="272"/>
      <c r="IT4871" s="272"/>
      <c r="IU4871" s="272"/>
      <c r="IV4871" s="272"/>
      <c r="IW4871" s="272"/>
      <c r="IX4871" s="272"/>
      <c r="IY4871" s="272"/>
      <c r="IZ4871" s="272"/>
      <c r="JA4871" s="272"/>
      <c r="JB4871" s="272"/>
      <c r="JC4871" s="272"/>
      <c r="JD4871" s="272"/>
      <c r="JE4871" s="272"/>
      <c r="JF4871" s="272"/>
      <c r="JG4871" s="272"/>
      <c r="JH4871" s="272"/>
      <c r="JI4871" s="272"/>
      <c r="JJ4871" s="272"/>
      <c r="JK4871" s="272"/>
      <c r="JL4871" s="272"/>
      <c r="JM4871" s="272"/>
      <c r="JN4871" s="272"/>
      <c r="JO4871" s="272"/>
      <c r="JP4871" s="272"/>
      <c r="JQ4871" s="272"/>
      <c r="JR4871" s="272"/>
      <c r="JS4871" s="272"/>
      <c r="JT4871" s="272"/>
      <c r="JU4871" s="264"/>
      <c r="JV4871" s="264"/>
      <c r="JW4871" s="264"/>
    </row>
    <row r="4872" spans="1:286" s="277" customFormat="1" x14ac:dyDescent="0.25">
      <c r="A4872" s="261">
        <v>4871</v>
      </c>
      <c r="B4872" s="262" t="s">
        <v>7067</v>
      </c>
      <c r="C4872" s="263">
        <v>226</v>
      </c>
      <c r="D4872" s="264" t="s">
        <v>4920</v>
      </c>
      <c r="E4872" s="265" t="str">
        <f>G4872</f>
        <v>Eyhorn et al. 2007</v>
      </c>
      <c r="F4872" s="265"/>
      <c r="G4872" s="266" t="s">
        <v>4809</v>
      </c>
      <c r="H4872" s="264">
        <v>2007</v>
      </c>
      <c r="I4872" s="264">
        <v>2004</v>
      </c>
      <c r="J4872" s="267" t="s">
        <v>5308</v>
      </c>
      <c r="K4872" s="268" t="s">
        <v>5117</v>
      </c>
      <c r="L4872" s="264" t="s">
        <v>5331</v>
      </c>
      <c r="M4872" s="269">
        <v>20.59</v>
      </c>
      <c r="N4872" s="269">
        <v>78.959999999999994</v>
      </c>
      <c r="O4872" s="269">
        <v>250</v>
      </c>
      <c r="P4872" s="264"/>
      <c r="Q4872" s="270"/>
      <c r="R4872" s="264"/>
      <c r="S4872" s="271"/>
      <c r="T4872" s="264"/>
      <c r="U4872" s="264"/>
      <c r="V4872" s="270">
        <v>5</v>
      </c>
      <c r="W4872" s="264"/>
      <c r="X4872" s="264"/>
      <c r="Y4872" s="264" t="s">
        <v>5391</v>
      </c>
      <c r="Z4872" s="270" t="s">
        <v>1349</v>
      </c>
      <c r="AA4872" s="271">
        <v>15</v>
      </c>
      <c r="AB4872" s="272"/>
      <c r="AC4872" s="272"/>
      <c r="AD4872" s="269"/>
      <c r="AE4872" s="269">
        <v>38.4</v>
      </c>
      <c r="AF4872" s="269">
        <v>22.4</v>
      </c>
      <c r="AG4872" s="271">
        <v>39.200000000000003</v>
      </c>
      <c r="AH4872" s="264" t="s">
        <v>769</v>
      </c>
      <c r="AI4872" s="264"/>
      <c r="AJ4872" s="269"/>
      <c r="AK4872" s="269"/>
      <c r="AL4872" s="264"/>
      <c r="AM4872" s="264"/>
      <c r="AN4872" s="264" t="s">
        <v>553</v>
      </c>
      <c r="AO4872" s="185" t="s">
        <v>5150</v>
      </c>
      <c r="AP4872" s="264"/>
      <c r="AQ4872" s="264" t="s">
        <v>553</v>
      </c>
      <c r="AR4872" s="264" t="s">
        <v>116</v>
      </c>
      <c r="AS4872" s="273" t="s">
        <v>5133</v>
      </c>
      <c r="AT4872" s="270" t="s">
        <v>5395</v>
      </c>
      <c r="AU4872" s="181" t="s">
        <v>5150</v>
      </c>
      <c r="AV4872" s="261" t="s">
        <v>176</v>
      </c>
      <c r="AW4872" s="270" t="s">
        <v>5395</v>
      </c>
      <c r="AX4872" s="261" t="s">
        <v>176</v>
      </c>
      <c r="AY4872" s="270" t="s">
        <v>176</v>
      </c>
      <c r="AZ4872" s="264"/>
      <c r="BA4872" s="264"/>
      <c r="BB4872" s="264"/>
      <c r="BC4872" s="264"/>
      <c r="BD4872" s="264"/>
      <c r="BE4872" s="264" t="s">
        <v>5174</v>
      </c>
      <c r="BF4872" s="261" t="s">
        <v>479</v>
      </c>
      <c r="BG4872" s="261" t="s">
        <v>479</v>
      </c>
      <c r="BH4872" s="264" t="s">
        <v>5242</v>
      </c>
      <c r="BI4872" s="261" t="s">
        <v>479</v>
      </c>
      <c r="BJ4872" s="264" t="str">
        <f>IF(BE4872=BH4872,"No","yes")</f>
        <v>yes</v>
      </c>
      <c r="BK4872" s="264" t="s">
        <v>6335</v>
      </c>
      <c r="BL4872" s="264"/>
      <c r="BM4872" s="264" t="s">
        <v>160</v>
      </c>
      <c r="BN4872" s="270">
        <v>36</v>
      </c>
      <c r="BO4872" s="270">
        <v>48</v>
      </c>
      <c r="BP4872" s="264"/>
      <c r="BQ4872" s="264"/>
      <c r="BR4872" s="264"/>
      <c r="BS4872" s="264"/>
      <c r="BT4872" s="264"/>
      <c r="BU4872" s="264"/>
      <c r="BV4872" s="264"/>
      <c r="BW4872" s="272"/>
      <c r="BX4872" s="272"/>
      <c r="BY4872" s="272"/>
      <c r="BZ4872" s="272"/>
      <c r="CA4872" s="272"/>
      <c r="CB4872" s="274">
        <v>2472</v>
      </c>
      <c r="CC4872" s="274">
        <v>2369</v>
      </c>
      <c r="CD4872" s="274">
        <f>(CC4872-CB4872)/CB4872</f>
        <v>-4.1666666666666664E-2</v>
      </c>
      <c r="CE4872" s="272"/>
      <c r="CF4872" s="272"/>
      <c r="CG4872" s="272" t="s">
        <v>2053</v>
      </c>
      <c r="CH4872" s="271"/>
      <c r="CI4872" s="271"/>
      <c r="CJ4872" s="272"/>
      <c r="CK4872" s="272"/>
      <c r="CL4872" s="272"/>
      <c r="CM4872" s="275"/>
      <c r="CN4872" s="275"/>
      <c r="CO4872" s="275"/>
      <c r="CP4872" s="275"/>
      <c r="CQ4872" s="275"/>
      <c r="CR4872" s="275"/>
      <c r="CS4872" s="275"/>
      <c r="CT4872" s="275"/>
      <c r="CU4872" s="275"/>
      <c r="CV4872" s="275"/>
      <c r="CW4872" s="275"/>
      <c r="CX4872" s="275"/>
      <c r="CY4872" s="275"/>
      <c r="CZ4872" s="275"/>
      <c r="DA4872" s="272"/>
      <c r="DB4872" s="272"/>
      <c r="DC4872" s="272"/>
      <c r="DD4872" s="272"/>
      <c r="DE4872" s="272"/>
      <c r="DF4872" s="272"/>
      <c r="DG4872" s="272"/>
      <c r="DH4872" s="272"/>
      <c r="DI4872" s="272"/>
      <c r="DJ4872" s="272"/>
      <c r="DK4872" s="272"/>
      <c r="DL4872" s="272"/>
      <c r="DM4872" s="272"/>
      <c r="DN4872" s="272"/>
      <c r="DO4872" s="272"/>
      <c r="DP4872" s="272"/>
      <c r="DQ4872" s="276"/>
      <c r="DR4872" s="276"/>
      <c r="DS4872" s="272"/>
      <c r="DT4872" s="272"/>
      <c r="DU4872" s="272"/>
      <c r="DV4872" s="272"/>
      <c r="DW4872" s="272"/>
      <c r="DX4872" s="272"/>
      <c r="DY4872" s="272"/>
      <c r="DZ4872" s="272"/>
      <c r="EA4872" s="272"/>
      <c r="EB4872" s="272"/>
      <c r="EC4872" s="272"/>
      <c r="ED4872" s="272"/>
      <c r="EE4872" s="272"/>
      <c r="EF4872" s="272"/>
      <c r="EG4872" s="272"/>
      <c r="EH4872" s="272"/>
      <c r="EI4872" s="272"/>
      <c r="EJ4872" s="272"/>
      <c r="EK4872" s="269"/>
      <c r="EL4872" s="269"/>
      <c r="EM4872" s="272"/>
      <c r="EN4872" s="272"/>
      <c r="EO4872" s="272"/>
      <c r="EP4872" s="272"/>
      <c r="EQ4872" s="272"/>
      <c r="ER4872" s="272"/>
      <c r="ES4872" s="272"/>
      <c r="ET4872" s="272"/>
      <c r="EU4872" s="272"/>
      <c r="EV4872" s="272"/>
      <c r="EW4872" s="272"/>
      <c r="EX4872" s="272"/>
      <c r="EY4872" s="272"/>
      <c r="EZ4872" s="272"/>
      <c r="FA4872" s="272"/>
      <c r="FB4872" s="272"/>
      <c r="FC4872" s="272"/>
      <c r="FD4872" s="272"/>
      <c r="FE4872" s="272"/>
      <c r="FF4872" s="272"/>
      <c r="FG4872" s="272"/>
      <c r="FH4872" s="272"/>
      <c r="FI4872" s="272"/>
      <c r="FJ4872" s="272"/>
      <c r="FK4872" s="272"/>
      <c r="FL4872" s="272"/>
      <c r="FM4872" s="272"/>
      <c r="FN4872" s="272"/>
      <c r="FO4872" s="272"/>
      <c r="FP4872" s="272"/>
      <c r="FQ4872" s="272"/>
      <c r="FR4872" s="272"/>
      <c r="FS4872" s="272"/>
      <c r="FT4872" s="272"/>
      <c r="FU4872" s="272"/>
      <c r="FV4872" s="272"/>
      <c r="FW4872" s="272"/>
      <c r="FX4872" s="272"/>
      <c r="FY4872" s="272"/>
      <c r="FZ4872" s="272"/>
      <c r="GA4872" s="272"/>
      <c r="GB4872" s="272"/>
      <c r="GC4872" s="272"/>
      <c r="GD4872" s="272"/>
      <c r="GE4872" s="272"/>
      <c r="GF4872" s="272"/>
      <c r="GG4872" s="272"/>
      <c r="GH4872" s="272"/>
      <c r="GI4872" s="272"/>
      <c r="GJ4872" s="272"/>
      <c r="GK4872" s="272"/>
      <c r="GL4872" s="272"/>
      <c r="GM4872" s="272"/>
      <c r="GN4872" s="292"/>
      <c r="GO4872" s="292"/>
      <c r="GP4872" s="292" t="s">
        <v>7494</v>
      </c>
      <c r="GQ4872" s="272"/>
      <c r="GR4872" s="272"/>
      <c r="GS4872" s="272"/>
      <c r="GT4872" s="272"/>
      <c r="GU4872" s="272"/>
      <c r="GV4872" s="272"/>
      <c r="GW4872" s="272"/>
      <c r="GX4872" s="272"/>
      <c r="GY4872" s="272"/>
      <c r="GZ4872" s="272"/>
      <c r="HA4872" s="272"/>
      <c r="HB4872" s="272"/>
      <c r="HC4872" s="272"/>
      <c r="HD4872" s="272"/>
      <c r="HE4872" s="272"/>
      <c r="HF4872" s="272"/>
      <c r="HG4872" s="272"/>
      <c r="HH4872" s="272"/>
      <c r="HI4872" s="272"/>
      <c r="HJ4872" s="272"/>
      <c r="HK4872" s="272"/>
      <c r="HL4872" s="272"/>
      <c r="HM4872" s="272"/>
      <c r="HN4872" s="272"/>
      <c r="HO4872" s="272"/>
      <c r="HP4872" s="272"/>
      <c r="HQ4872" s="272"/>
      <c r="HR4872" s="272"/>
      <c r="HS4872" s="272"/>
      <c r="HT4872" s="272"/>
      <c r="HU4872" s="272"/>
      <c r="HV4872" s="272"/>
      <c r="HW4872" s="272"/>
      <c r="HX4872" s="272"/>
      <c r="HY4872" s="272"/>
      <c r="HZ4872" s="272"/>
      <c r="IA4872" s="272"/>
      <c r="IB4872" s="272"/>
      <c r="IC4872" s="272"/>
      <c r="ID4872" s="272"/>
      <c r="IE4872" s="272"/>
      <c r="IF4872" s="272"/>
      <c r="IG4872" s="272"/>
      <c r="IH4872" s="272"/>
      <c r="II4872" s="272"/>
      <c r="IJ4872" s="272"/>
      <c r="IK4872" s="272"/>
      <c r="IL4872" s="272"/>
      <c r="IM4872" s="272"/>
      <c r="IN4872" s="272"/>
      <c r="IO4872" s="272"/>
      <c r="IP4872" s="272"/>
      <c r="IQ4872" s="272"/>
      <c r="IR4872" s="272"/>
      <c r="IS4872" s="272"/>
      <c r="IT4872" s="272"/>
      <c r="IU4872" s="272"/>
      <c r="IV4872" s="272"/>
      <c r="IW4872" s="272"/>
      <c r="IX4872" s="272"/>
      <c r="IY4872" s="272"/>
      <c r="IZ4872" s="272"/>
      <c r="JA4872" s="272"/>
      <c r="JB4872" s="272"/>
      <c r="JC4872" s="272"/>
      <c r="JD4872" s="272"/>
      <c r="JE4872" s="272"/>
      <c r="JF4872" s="272"/>
      <c r="JG4872" s="272"/>
      <c r="JH4872" s="272"/>
      <c r="JI4872" s="272"/>
      <c r="JJ4872" s="272"/>
      <c r="JK4872" s="272"/>
      <c r="JL4872" s="272"/>
      <c r="JM4872" s="272"/>
      <c r="JN4872" s="272"/>
      <c r="JO4872" s="272"/>
      <c r="JP4872" s="272"/>
      <c r="JQ4872" s="272"/>
      <c r="JR4872" s="272"/>
      <c r="JS4872" s="272"/>
      <c r="JT4872" s="272"/>
      <c r="JU4872" s="264"/>
      <c r="JV4872" s="264"/>
      <c r="JW4872" s="264"/>
    </row>
    <row r="4873" spans="1:286" s="277" customFormat="1" x14ac:dyDescent="0.25">
      <c r="A4873" s="173">
        <v>4872</v>
      </c>
      <c r="B4873" s="175" t="s">
        <v>7067</v>
      </c>
      <c r="C4873" s="278">
        <v>226</v>
      </c>
      <c r="D4873" s="174" t="s">
        <v>4920</v>
      </c>
      <c r="E4873" s="279" t="str">
        <f>G4873</f>
        <v>Eyhorn et al. 2007</v>
      </c>
      <c r="F4873" s="279"/>
      <c r="G4873" s="280" t="s">
        <v>4809</v>
      </c>
      <c r="H4873" s="174">
        <v>2007</v>
      </c>
      <c r="I4873" s="174">
        <v>2004</v>
      </c>
      <c r="J4873" s="281" t="s">
        <v>5308</v>
      </c>
      <c r="K4873" s="282" t="s">
        <v>5117</v>
      </c>
      <c r="L4873" s="174" t="s">
        <v>5331</v>
      </c>
      <c r="M4873" s="283">
        <v>20.59</v>
      </c>
      <c r="N4873" s="283">
        <v>78.959999999999994</v>
      </c>
      <c r="O4873" s="283">
        <v>250</v>
      </c>
      <c r="P4873" s="174"/>
      <c r="Q4873" s="284"/>
      <c r="R4873" s="174"/>
      <c r="S4873" s="285"/>
      <c r="T4873" s="174"/>
      <c r="U4873" s="174"/>
      <c r="V4873" s="284">
        <v>5</v>
      </c>
      <c r="W4873" s="174"/>
      <c r="X4873" s="174"/>
      <c r="Y4873" s="174" t="s">
        <v>5391</v>
      </c>
      <c r="Z4873" s="284" t="s">
        <v>1349</v>
      </c>
      <c r="AA4873" s="285">
        <v>15</v>
      </c>
      <c r="AB4873" s="286"/>
      <c r="AC4873" s="286"/>
      <c r="AD4873" s="283"/>
      <c r="AE4873" s="283">
        <v>38.4</v>
      </c>
      <c r="AF4873" s="283">
        <v>22.4</v>
      </c>
      <c r="AG4873" s="285">
        <v>39.200000000000003</v>
      </c>
      <c r="AH4873" s="174" t="s">
        <v>769</v>
      </c>
      <c r="AI4873" s="174"/>
      <c r="AJ4873" s="283"/>
      <c r="AK4873" s="283"/>
      <c r="AL4873" s="174"/>
      <c r="AM4873" s="174"/>
      <c r="AN4873" s="174" t="s">
        <v>553</v>
      </c>
      <c r="AO4873" s="185" t="s">
        <v>5150</v>
      </c>
      <c r="AP4873" s="174"/>
      <c r="AQ4873" s="174" t="s">
        <v>553</v>
      </c>
      <c r="AR4873" s="174" t="s">
        <v>7492</v>
      </c>
      <c r="AS4873" s="287" t="s">
        <v>5133</v>
      </c>
      <c r="AT4873" s="284" t="s">
        <v>5396</v>
      </c>
      <c r="AU4873" s="181" t="s">
        <v>5150</v>
      </c>
      <c r="AV4873" s="173" t="s">
        <v>176</v>
      </c>
      <c r="AW4873" s="284" t="s">
        <v>5396</v>
      </c>
      <c r="AX4873" s="173" t="s">
        <v>176</v>
      </c>
      <c r="AY4873" s="284" t="s">
        <v>176</v>
      </c>
      <c r="AZ4873" s="174"/>
      <c r="BA4873" s="174"/>
      <c r="BB4873" s="174"/>
      <c r="BC4873" s="174"/>
      <c r="BD4873" s="174"/>
      <c r="BE4873" s="174" t="s">
        <v>5174</v>
      </c>
      <c r="BF4873" s="173" t="s">
        <v>479</v>
      </c>
      <c r="BG4873" s="173" t="s">
        <v>479</v>
      </c>
      <c r="BH4873" s="174" t="s">
        <v>5242</v>
      </c>
      <c r="BI4873" s="173" t="s">
        <v>479</v>
      </c>
      <c r="BJ4873" s="174" t="str">
        <f>IF(BE4873=BH4873,"No","yes")</f>
        <v>yes</v>
      </c>
      <c r="BK4873" s="174" t="s">
        <v>6335</v>
      </c>
      <c r="BL4873" s="174"/>
      <c r="BM4873" s="174" t="s">
        <v>160</v>
      </c>
      <c r="BN4873" s="284">
        <v>11</v>
      </c>
      <c r="BO4873" s="284">
        <v>16</v>
      </c>
      <c r="BP4873" s="174"/>
      <c r="BQ4873" s="174"/>
      <c r="BR4873" s="174"/>
      <c r="BS4873" s="174"/>
      <c r="BT4873" s="174"/>
      <c r="BU4873" s="174"/>
      <c r="BV4873" s="174"/>
      <c r="BW4873" s="286"/>
      <c r="BX4873" s="286"/>
      <c r="BY4873" s="286"/>
      <c r="BZ4873" s="286"/>
      <c r="CA4873" s="286"/>
      <c r="CB4873" s="288">
        <v>1383</v>
      </c>
      <c r="CC4873" s="288">
        <v>424</v>
      </c>
      <c r="CD4873" s="288">
        <f>(CC4873-CB4873)/CB4873</f>
        <v>-0.69342010122921183</v>
      </c>
      <c r="CE4873" s="286"/>
      <c r="CF4873" s="286"/>
      <c r="CG4873" s="286" t="s">
        <v>2053</v>
      </c>
      <c r="CH4873" s="285"/>
      <c r="CI4873" s="285"/>
      <c r="CJ4873" s="286"/>
      <c r="CK4873" s="286"/>
      <c r="CL4873" s="286"/>
      <c r="CM4873" s="289"/>
      <c r="CN4873" s="289"/>
      <c r="CO4873" s="289"/>
      <c r="CP4873" s="289"/>
      <c r="CQ4873" s="289"/>
      <c r="CR4873" s="289"/>
      <c r="CS4873" s="289"/>
      <c r="CT4873" s="289"/>
      <c r="CU4873" s="289"/>
      <c r="CV4873" s="289"/>
      <c r="CW4873" s="289"/>
      <c r="CX4873" s="289"/>
      <c r="CY4873" s="289"/>
      <c r="CZ4873" s="289"/>
      <c r="DA4873" s="286"/>
      <c r="DB4873" s="286"/>
      <c r="DC4873" s="286"/>
      <c r="DD4873" s="286"/>
      <c r="DE4873" s="286"/>
      <c r="DF4873" s="286"/>
      <c r="DG4873" s="286"/>
      <c r="DH4873" s="286"/>
      <c r="DI4873" s="286"/>
      <c r="DJ4873" s="286"/>
      <c r="DK4873" s="286"/>
      <c r="DL4873" s="286"/>
      <c r="DM4873" s="286"/>
      <c r="DN4873" s="286"/>
      <c r="DO4873" s="286"/>
      <c r="DP4873" s="286"/>
      <c r="DQ4873" s="290"/>
      <c r="DR4873" s="290"/>
      <c r="DS4873" s="286"/>
      <c r="DT4873" s="286"/>
      <c r="DU4873" s="286"/>
      <c r="DV4873" s="286"/>
      <c r="DW4873" s="286"/>
      <c r="DX4873" s="286"/>
      <c r="DY4873" s="286"/>
      <c r="DZ4873" s="286"/>
      <c r="EA4873" s="286"/>
      <c r="EB4873" s="286"/>
      <c r="EC4873" s="286"/>
      <c r="ED4873" s="286"/>
      <c r="EE4873" s="286"/>
      <c r="EF4873" s="286"/>
      <c r="EG4873" s="286"/>
      <c r="EH4873" s="286"/>
      <c r="EI4873" s="286"/>
      <c r="EJ4873" s="286"/>
      <c r="EK4873" s="283"/>
      <c r="EL4873" s="283"/>
      <c r="EM4873" s="286"/>
      <c r="EN4873" s="286"/>
      <c r="EO4873" s="286"/>
      <c r="EP4873" s="286"/>
      <c r="EQ4873" s="286"/>
      <c r="ER4873" s="286"/>
      <c r="ES4873" s="286"/>
      <c r="ET4873" s="286"/>
      <c r="EU4873" s="286"/>
      <c r="EV4873" s="286"/>
      <c r="EW4873" s="286"/>
      <c r="EX4873" s="286"/>
      <c r="EY4873" s="286"/>
      <c r="EZ4873" s="286"/>
      <c r="FA4873" s="286"/>
      <c r="FB4873" s="286"/>
      <c r="FC4873" s="286"/>
      <c r="FD4873" s="286"/>
      <c r="FE4873" s="286"/>
      <c r="FF4873" s="286"/>
      <c r="FG4873" s="286"/>
      <c r="FH4873" s="286"/>
      <c r="FI4873" s="286"/>
      <c r="FJ4873" s="286"/>
      <c r="FK4873" s="286"/>
      <c r="FL4873" s="286"/>
      <c r="FM4873" s="286"/>
      <c r="FN4873" s="286"/>
      <c r="FO4873" s="286"/>
      <c r="FP4873" s="286"/>
      <c r="FQ4873" s="286"/>
      <c r="FR4873" s="286"/>
      <c r="FS4873" s="286"/>
      <c r="FT4873" s="286"/>
      <c r="FU4873" s="286"/>
      <c r="FV4873" s="286"/>
      <c r="FW4873" s="286"/>
      <c r="FX4873" s="286"/>
      <c r="FY4873" s="286"/>
      <c r="FZ4873" s="286"/>
      <c r="GA4873" s="286"/>
      <c r="GB4873" s="286"/>
      <c r="GC4873" s="286"/>
      <c r="GD4873" s="286"/>
      <c r="GE4873" s="286"/>
      <c r="GF4873" s="286"/>
      <c r="GG4873" s="286"/>
      <c r="GH4873" s="286"/>
      <c r="GI4873" s="286"/>
      <c r="GJ4873" s="286"/>
      <c r="GK4873" s="286"/>
      <c r="GL4873" s="286"/>
      <c r="GM4873" s="286"/>
      <c r="GN4873" s="292"/>
      <c r="GO4873" s="292"/>
      <c r="GP4873" s="292" t="s">
        <v>7494</v>
      </c>
      <c r="GQ4873" s="286"/>
      <c r="GR4873" s="286"/>
      <c r="GS4873" s="286"/>
      <c r="GT4873" s="286"/>
      <c r="GU4873" s="286"/>
      <c r="GV4873" s="286"/>
      <c r="GW4873" s="286"/>
      <c r="GX4873" s="286"/>
      <c r="GY4873" s="286"/>
      <c r="GZ4873" s="286"/>
      <c r="HA4873" s="286"/>
      <c r="HB4873" s="286"/>
      <c r="HC4873" s="286"/>
      <c r="HD4873" s="286"/>
      <c r="HE4873" s="286"/>
      <c r="HF4873" s="286"/>
      <c r="HG4873" s="286"/>
      <c r="HH4873" s="286"/>
      <c r="HI4873" s="286"/>
      <c r="HJ4873" s="286"/>
      <c r="HK4873" s="286"/>
      <c r="HL4873" s="286"/>
      <c r="HM4873" s="286"/>
      <c r="HN4873" s="286"/>
      <c r="HO4873" s="286"/>
      <c r="HP4873" s="286"/>
      <c r="HQ4873" s="286"/>
      <c r="HR4873" s="286"/>
      <c r="HS4873" s="286"/>
      <c r="HT4873" s="286"/>
      <c r="HU4873" s="286"/>
      <c r="HV4873" s="286"/>
      <c r="HW4873" s="286"/>
      <c r="HX4873" s="286"/>
      <c r="HY4873" s="286"/>
      <c r="HZ4873" s="286"/>
      <c r="IA4873" s="286"/>
      <c r="IB4873" s="286"/>
      <c r="IC4873" s="286"/>
      <c r="ID4873" s="286"/>
      <c r="IE4873" s="286"/>
      <c r="IF4873" s="286"/>
      <c r="IG4873" s="286"/>
      <c r="IH4873" s="286"/>
      <c r="II4873" s="286"/>
      <c r="IJ4873" s="286"/>
      <c r="IK4873" s="286"/>
      <c r="IL4873" s="286"/>
      <c r="IM4873" s="286"/>
      <c r="IN4873" s="286"/>
      <c r="IO4873" s="286"/>
      <c r="IP4873" s="286"/>
      <c r="IQ4873" s="286"/>
      <c r="IR4873" s="286"/>
      <c r="IS4873" s="286"/>
      <c r="IT4873" s="286"/>
      <c r="IU4873" s="286"/>
      <c r="IV4873" s="286"/>
      <c r="IW4873" s="286"/>
      <c r="IX4873" s="286"/>
      <c r="IY4873" s="286"/>
      <c r="IZ4873" s="286"/>
      <c r="JA4873" s="286"/>
      <c r="JB4873" s="286"/>
      <c r="JC4873" s="286"/>
      <c r="JD4873" s="286"/>
      <c r="JE4873" s="286"/>
      <c r="JF4873" s="286"/>
      <c r="JG4873" s="286"/>
      <c r="JH4873" s="286"/>
      <c r="JI4873" s="286"/>
      <c r="JJ4873" s="286"/>
      <c r="JK4873" s="286"/>
      <c r="JL4873" s="286"/>
      <c r="JM4873" s="286"/>
      <c r="JN4873" s="286"/>
      <c r="JO4873" s="286"/>
      <c r="JP4873" s="286"/>
      <c r="JQ4873" s="286"/>
      <c r="JR4873" s="286"/>
      <c r="JS4873" s="286"/>
      <c r="JT4873" s="286"/>
      <c r="JU4873" s="174"/>
      <c r="JV4873" s="174"/>
      <c r="JW4873" s="174"/>
      <c r="JX4873" s="250"/>
      <c r="JY4873" s="250"/>
      <c r="JZ4873" s="250"/>
    </row>
    <row r="4874" spans="1:286" s="23" customFormat="1" x14ac:dyDescent="0.25">
      <c r="A4874" s="55">
        <v>4873</v>
      </c>
      <c r="B4874" s="12" t="s">
        <v>7067</v>
      </c>
      <c r="C4874" s="156">
        <v>227</v>
      </c>
      <c r="D4874" s="58" t="s">
        <v>4921</v>
      </c>
      <c r="E4874" s="160" t="str">
        <f>G4874</f>
        <v>Fraser et al 1988_pair1_total</v>
      </c>
      <c r="F4874" s="160"/>
      <c r="G4874" s="60" t="s">
        <v>4808</v>
      </c>
      <c r="H4874" s="58">
        <v>1988</v>
      </c>
      <c r="I4874" s="58" t="s">
        <v>5923</v>
      </c>
      <c r="J4874" s="243" t="s">
        <v>916</v>
      </c>
      <c r="K4874" s="63" t="s">
        <v>5116</v>
      </c>
      <c r="L4874" s="58" t="s">
        <v>2737</v>
      </c>
      <c r="M4874" s="94">
        <v>40.82</v>
      </c>
      <c r="N4874" s="94">
        <v>-96.7</v>
      </c>
      <c r="O4874" s="94">
        <v>360</v>
      </c>
      <c r="P4874" s="58"/>
      <c r="Q4874" s="244">
        <v>11</v>
      </c>
      <c r="R4874" s="58"/>
      <c r="S4874" s="245">
        <v>680</v>
      </c>
      <c r="T4874" s="58"/>
      <c r="U4874" s="58" t="s">
        <v>1688</v>
      </c>
      <c r="V4874" s="244">
        <v>6</v>
      </c>
      <c r="W4874" s="174"/>
      <c r="X4874" s="174"/>
      <c r="Y4874" s="58" t="s">
        <v>5922</v>
      </c>
      <c r="Z4874" s="244" t="s">
        <v>1347</v>
      </c>
      <c r="AA4874" s="245">
        <v>7.5</v>
      </c>
      <c r="AB4874" s="67"/>
      <c r="AC4874" s="67"/>
      <c r="AD4874" s="94"/>
      <c r="AE4874" s="94"/>
      <c r="AF4874" s="94"/>
      <c r="AG4874" s="245">
        <v>35</v>
      </c>
      <c r="AH4874" s="58" t="s">
        <v>1022</v>
      </c>
      <c r="AI4874" s="169"/>
      <c r="AJ4874" s="94"/>
      <c r="AK4874" s="94"/>
      <c r="AL4874" s="58"/>
      <c r="AM4874" s="58" t="s">
        <v>5924</v>
      </c>
      <c r="AN4874" s="186"/>
      <c r="AO4874" s="185" t="s">
        <v>5150</v>
      </c>
      <c r="AP4874" s="58"/>
      <c r="AQ4874" s="58"/>
      <c r="AR4874" s="58"/>
      <c r="AS4874" s="246" t="s">
        <v>5133</v>
      </c>
      <c r="AT4874" s="247">
        <v>1</v>
      </c>
      <c r="AU4874" s="181" t="s">
        <v>7494</v>
      </c>
      <c r="AV4874" s="185" t="s">
        <v>176</v>
      </c>
      <c r="AW4874" s="244">
        <v>1</v>
      </c>
      <c r="AX4874" s="185" t="s">
        <v>176</v>
      </c>
      <c r="AY4874" s="244" t="s">
        <v>176</v>
      </c>
      <c r="AZ4874" s="58"/>
      <c r="BA4874" s="58"/>
      <c r="BB4874" s="58"/>
      <c r="BC4874" s="58"/>
      <c r="BD4874" s="58"/>
      <c r="BE4874" s="236" t="s">
        <v>5175</v>
      </c>
      <c r="BF4874" s="191" t="s">
        <v>479</v>
      </c>
      <c r="BG4874" s="191" t="s">
        <v>479</v>
      </c>
      <c r="BH4874" s="236" t="s">
        <v>5243</v>
      </c>
      <c r="BI4874" s="191" t="s">
        <v>479</v>
      </c>
      <c r="BJ4874" s="58" t="str">
        <f>IF(BE4874=BH4874,"No","yes")</f>
        <v>yes</v>
      </c>
      <c r="BK4874" s="58" t="s">
        <v>6334</v>
      </c>
      <c r="BL4874" s="58" t="s">
        <v>5739</v>
      </c>
      <c r="BM4874" s="237" t="s">
        <v>160</v>
      </c>
      <c r="BN4874" s="244">
        <v>4</v>
      </c>
      <c r="BO4874" s="244">
        <v>4</v>
      </c>
      <c r="BP4874" s="58"/>
      <c r="BQ4874" s="58"/>
      <c r="BR4874" s="58"/>
      <c r="BS4874" s="58"/>
      <c r="BT4874" s="58"/>
      <c r="BU4874" s="58"/>
      <c r="BV4874" s="58" t="s">
        <v>5933</v>
      </c>
      <c r="BW4874" s="67"/>
      <c r="BX4874" s="67"/>
      <c r="BY4874" s="67"/>
      <c r="BZ4874" s="67"/>
      <c r="CA4874" s="67"/>
      <c r="CB4874" s="70"/>
      <c r="CC4874" s="70"/>
      <c r="CD4874" s="70"/>
      <c r="CE4874" s="67"/>
      <c r="CF4874" s="67"/>
      <c r="CG4874" s="67"/>
      <c r="CH4874" s="245">
        <v>1.22</v>
      </c>
      <c r="CI4874" s="245">
        <v>1.1599999999999999</v>
      </c>
      <c r="CJ4874" s="67"/>
      <c r="CK4874" s="67"/>
      <c r="CL4874" s="67"/>
      <c r="CM4874" s="242">
        <f>CR4874/(100*100*CH4874*AA4874/100)*100</f>
        <v>1.8032786885245904</v>
      </c>
      <c r="CN4874" s="242">
        <f>CS4874/(100*100*CI4874*AA4874/100)*100</f>
        <v>2.5862068965517242</v>
      </c>
      <c r="CO4874" s="242"/>
      <c r="CP4874" s="242"/>
      <c r="CQ4874" s="242"/>
      <c r="CR4874" s="242">
        <v>16.5</v>
      </c>
      <c r="CS4874" s="242">
        <v>22.5</v>
      </c>
      <c r="CT4874" s="242"/>
      <c r="CU4874" s="242"/>
      <c r="CV4874" s="242" t="s">
        <v>873</v>
      </c>
      <c r="CW4874" s="242"/>
      <c r="CX4874" s="242"/>
      <c r="CY4874" s="242"/>
      <c r="CZ4874" s="242"/>
      <c r="DA4874" s="67"/>
      <c r="DB4874" s="67">
        <v>10</v>
      </c>
      <c r="DC4874" s="67">
        <v>22</v>
      </c>
      <c r="DD4874" s="67"/>
      <c r="DE4874" s="67"/>
      <c r="DF4874" s="67" t="s">
        <v>5932</v>
      </c>
      <c r="DG4874" s="67">
        <v>20</v>
      </c>
      <c r="DH4874" s="67">
        <v>165</v>
      </c>
      <c r="DI4874" s="67"/>
      <c r="DJ4874" s="67"/>
      <c r="DK4874" s="67" t="s">
        <v>5931</v>
      </c>
      <c r="DL4874" s="67"/>
      <c r="DM4874" s="67"/>
      <c r="DN4874" s="67"/>
      <c r="DO4874" s="67"/>
      <c r="DP4874" s="67"/>
      <c r="DQ4874" s="166">
        <v>7.3</v>
      </c>
      <c r="DR4874" s="166">
        <v>7.4</v>
      </c>
      <c r="DS4874" s="163"/>
      <c r="DT4874" s="163"/>
      <c r="DU4874" s="67"/>
      <c r="DV4874" s="67"/>
      <c r="DW4874" s="67"/>
      <c r="DX4874" s="67"/>
      <c r="DY4874" s="67"/>
      <c r="DZ4874" s="67"/>
      <c r="EA4874" s="67"/>
      <c r="EB4874" s="67"/>
      <c r="EC4874" s="67"/>
      <c r="ED4874" s="67"/>
      <c r="EE4874" s="67"/>
      <c r="EF4874" s="67"/>
      <c r="EG4874" s="67"/>
      <c r="EH4874" s="67"/>
      <c r="EI4874" s="67"/>
      <c r="EJ4874" s="67"/>
      <c r="EK4874" s="94"/>
      <c r="EL4874" s="94"/>
      <c r="EM4874" s="67"/>
      <c r="EN4874" s="67"/>
      <c r="EO4874" s="67"/>
      <c r="EP4874" s="67"/>
      <c r="EQ4874" s="67"/>
      <c r="ER4874" s="67"/>
      <c r="ES4874" s="67"/>
      <c r="ET4874" s="67"/>
      <c r="EU4874" s="67"/>
      <c r="EV4874" s="67"/>
      <c r="EW4874" s="67"/>
      <c r="EX4874" s="67"/>
      <c r="EY4874" s="67"/>
      <c r="EZ4874" s="67"/>
      <c r="FA4874" s="67"/>
      <c r="FB4874" s="67"/>
      <c r="FC4874" s="67"/>
      <c r="FD4874" s="67"/>
      <c r="FE4874" s="67"/>
      <c r="FF4874" s="67"/>
      <c r="FG4874" s="67"/>
      <c r="FH4874" s="67"/>
      <c r="FI4874" s="67"/>
      <c r="FJ4874" s="67"/>
      <c r="FK4874" s="67"/>
      <c r="FL4874" s="67"/>
      <c r="FM4874" s="67"/>
      <c r="FN4874" s="67"/>
      <c r="FO4874" s="67"/>
      <c r="FP4874" s="67"/>
      <c r="FQ4874" s="67"/>
      <c r="FR4874" s="67"/>
      <c r="FS4874" s="67"/>
      <c r="FT4874" s="67"/>
      <c r="FU4874" s="67"/>
      <c r="FV4874" s="67"/>
      <c r="FW4874" s="67"/>
      <c r="FX4874" s="67"/>
      <c r="FY4874" s="67"/>
      <c r="FZ4874" s="67"/>
      <c r="GA4874" s="67"/>
      <c r="GB4874" s="67"/>
      <c r="GC4874" s="67"/>
      <c r="GD4874" s="67">
        <v>43.4</v>
      </c>
      <c r="GE4874" s="67">
        <v>42.5</v>
      </c>
      <c r="GF4874" s="67"/>
      <c r="GG4874" s="67"/>
      <c r="GH4874" s="67" t="s">
        <v>5937</v>
      </c>
      <c r="GI4874" s="67"/>
      <c r="GJ4874" s="67"/>
      <c r="GK4874" s="67"/>
      <c r="GL4874" s="67"/>
      <c r="GM4874" s="67"/>
      <c r="GN4874" s="292"/>
      <c r="GO4874" s="292"/>
      <c r="GP4874" s="292" t="s">
        <v>7494</v>
      </c>
      <c r="GQ4874" s="67"/>
      <c r="GR4874" s="67"/>
      <c r="GS4874" s="67"/>
      <c r="GT4874" s="67"/>
      <c r="GU4874" s="67"/>
      <c r="GV4874" s="67"/>
      <c r="GW4874" s="67"/>
      <c r="GX4874" s="67"/>
      <c r="GY4874" s="67"/>
      <c r="GZ4874" s="67"/>
      <c r="HA4874" s="67"/>
      <c r="HB4874" s="67"/>
      <c r="HC4874" s="67"/>
      <c r="HD4874" s="67"/>
      <c r="HE4874" s="67"/>
      <c r="HF4874" s="67"/>
      <c r="HG4874" s="67"/>
      <c r="HH4874" s="67"/>
      <c r="HI4874" s="67"/>
      <c r="HJ4874" s="67"/>
      <c r="HK4874" s="67"/>
      <c r="HL4874" s="67"/>
      <c r="HM4874" s="67"/>
      <c r="HN4874" s="67"/>
      <c r="HO4874" s="67"/>
      <c r="HP4874" s="67"/>
      <c r="HQ4874" s="67"/>
      <c r="HR4874" s="67"/>
      <c r="HS4874" s="67"/>
      <c r="HT4874" s="67"/>
      <c r="HU4874" s="67"/>
      <c r="HV4874" s="67"/>
      <c r="HW4874" s="67"/>
      <c r="HX4874" s="67"/>
      <c r="HY4874" s="67"/>
      <c r="HZ4874" s="67"/>
      <c r="IA4874" s="67"/>
      <c r="IB4874" s="67"/>
      <c r="IC4874" s="67">
        <v>340</v>
      </c>
      <c r="ID4874" s="67">
        <v>454</v>
      </c>
      <c r="IE4874" s="67"/>
      <c r="IF4874" s="67"/>
      <c r="IG4874" s="67" t="s">
        <v>5936</v>
      </c>
      <c r="IH4874" s="67">
        <v>0.2</v>
      </c>
      <c r="II4874" s="67">
        <v>0.19</v>
      </c>
      <c r="IJ4874" s="67"/>
      <c r="IK4874" s="67"/>
      <c r="IL4874" s="67" t="s">
        <v>5939</v>
      </c>
      <c r="IM4874" s="67"/>
      <c r="IN4874" s="67"/>
      <c r="IO4874" s="67"/>
      <c r="IP4874" s="67"/>
      <c r="IQ4874" s="67"/>
      <c r="IR4874" s="67"/>
      <c r="IS4874" s="67"/>
      <c r="IT4874" s="67"/>
      <c r="IU4874" s="67"/>
      <c r="IV4874" s="67"/>
      <c r="IW4874" s="67">
        <v>202</v>
      </c>
      <c r="IX4874" s="67">
        <v>246</v>
      </c>
      <c r="IY4874" s="67"/>
      <c r="IZ4874" s="67"/>
      <c r="JA4874" s="67" t="s">
        <v>5938</v>
      </c>
      <c r="JB4874" s="67"/>
      <c r="JC4874" s="67"/>
      <c r="JD4874" s="67"/>
      <c r="JE4874" s="67"/>
      <c r="JF4874" s="67"/>
      <c r="JG4874" s="67">
        <v>480</v>
      </c>
      <c r="JH4874" s="67">
        <v>570</v>
      </c>
      <c r="JI4874" s="67"/>
      <c r="JJ4874" s="67"/>
      <c r="JK4874" s="67" t="s">
        <v>5932</v>
      </c>
      <c r="JL4874" s="67"/>
      <c r="JM4874" s="67"/>
      <c r="JN4874" s="67"/>
      <c r="JO4874" s="67"/>
      <c r="JP4874" s="67"/>
      <c r="JQ4874" s="67"/>
      <c r="JR4874" s="67"/>
      <c r="JS4874" s="67"/>
      <c r="JT4874" s="67"/>
      <c r="JU4874" s="58"/>
      <c r="JV4874" s="58"/>
      <c r="JW4874" s="58"/>
    </row>
    <row r="4875" spans="1:286" s="23" customFormat="1" x14ac:dyDescent="0.25">
      <c r="A4875" s="55">
        <v>4874</v>
      </c>
      <c r="B4875" s="12" t="s">
        <v>7067</v>
      </c>
      <c r="C4875" s="156">
        <v>227</v>
      </c>
      <c r="D4875" s="58" t="s">
        <v>4922</v>
      </c>
      <c r="E4875" s="160" t="str">
        <f>G4875</f>
        <v>Fraser et al 1988_pair2_total</v>
      </c>
      <c r="F4875" s="160"/>
      <c r="G4875" s="60" t="s">
        <v>4807</v>
      </c>
      <c r="H4875" s="58">
        <v>1988</v>
      </c>
      <c r="I4875" s="58" t="s">
        <v>5923</v>
      </c>
      <c r="J4875" s="243" t="s">
        <v>916</v>
      </c>
      <c r="K4875" s="63" t="s">
        <v>5116</v>
      </c>
      <c r="L4875" s="58" t="s">
        <v>2737</v>
      </c>
      <c r="M4875" s="94">
        <v>40.82</v>
      </c>
      <c r="N4875" s="94">
        <v>-96.7</v>
      </c>
      <c r="O4875" s="94">
        <v>360</v>
      </c>
      <c r="P4875" s="58"/>
      <c r="Q4875" s="244">
        <v>11</v>
      </c>
      <c r="R4875" s="58"/>
      <c r="S4875" s="245">
        <v>680</v>
      </c>
      <c r="T4875" s="58"/>
      <c r="U4875" s="58" t="s">
        <v>1688</v>
      </c>
      <c r="V4875" s="244">
        <v>6</v>
      </c>
      <c r="W4875" s="174"/>
      <c r="X4875" s="174"/>
      <c r="Y4875" s="58" t="s">
        <v>5922</v>
      </c>
      <c r="Z4875" s="244" t="s">
        <v>1347</v>
      </c>
      <c r="AA4875" s="245">
        <v>7.5</v>
      </c>
      <c r="AB4875" s="67"/>
      <c r="AC4875" s="67"/>
      <c r="AD4875" s="94"/>
      <c r="AE4875" s="94"/>
      <c r="AF4875" s="94"/>
      <c r="AG4875" s="245">
        <v>35</v>
      </c>
      <c r="AH4875" s="58" t="s">
        <v>1022</v>
      </c>
      <c r="AI4875" s="169"/>
      <c r="AJ4875" s="94"/>
      <c r="AK4875" s="94"/>
      <c r="AL4875" s="58"/>
      <c r="AM4875" s="58" t="s">
        <v>5924</v>
      </c>
      <c r="AN4875" s="186"/>
      <c r="AO4875" s="185" t="s">
        <v>5150</v>
      </c>
      <c r="AP4875" s="58"/>
      <c r="AQ4875" s="58"/>
      <c r="AR4875" s="58"/>
      <c r="AS4875" s="246" t="s">
        <v>5133</v>
      </c>
      <c r="AT4875" s="247">
        <v>1</v>
      </c>
      <c r="AU4875" s="181" t="s">
        <v>7494</v>
      </c>
      <c r="AV4875" s="185" t="s">
        <v>176</v>
      </c>
      <c r="AW4875" s="244">
        <v>1</v>
      </c>
      <c r="AX4875" s="185" t="s">
        <v>176</v>
      </c>
      <c r="AY4875" s="244" t="s">
        <v>176</v>
      </c>
      <c r="AZ4875" s="58"/>
      <c r="BA4875" s="58"/>
      <c r="BB4875" s="58"/>
      <c r="BC4875" s="58"/>
      <c r="BD4875" s="58"/>
      <c r="BE4875" s="236" t="s">
        <v>5176</v>
      </c>
      <c r="BF4875" s="191" t="s">
        <v>479</v>
      </c>
      <c r="BG4875" s="191" t="s">
        <v>479</v>
      </c>
      <c r="BH4875" s="236" t="s">
        <v>5243</v>
      </c>
      <c r="BI4875" s="191" t="s">
        <v>479</v>
      </c>
      <c r="BJ4875" s="58" t="str">
        <f>IF(BE4875=BH4875,"No","yes")</f>
        <v>yes</v>
      </c>
      <c r="BK4875" s="58" t="s">
        <v>6334</v>
      </c>
      <c r="BL4875" s="58" t="s">
        <v>5739</v>
      </c>
      <c r="BM4875" s="237" t="s">
        <v>160</v>
      </c>
      <c r="BN4875" s="244">
        <v>4</v>
      </c>
      <c r="BO4875" s="244">
        <v>4</v>
      </c>
      <c r="BP4875" s="58"/>
      <c r="BQ4875" s="58"/>
      <c r="BR4875" s="58"/>
      <c r="BS4875" s="58"/>
      <c r="BT4875" s="58"/>
      <c r="BU4875" s="58"/>
      <c r="BV4875" s="58" t="s">
        <v>5933</v>
      </c>
      <c r="BW4875" s="67"/>
      <c r="BX4875" s="67"/>
      <c r="BY4875" s="67"/>
      <c r="BZ4875" s="67"/>
      <c r="CA4875" s="67"/>
      <c r="CB4875" s="70"/>
      <c r="CC4875" s="70"/>
      <c r="CD4875" s="70"/>
      <c r="CE4875" s="67"/>
      <c r="CF4875" s="67"/>
      <c r="CG4875" s="67"/>
      <c r="CH4875" s="245">
        <v>1.21</v>
      </c>
      <c r="CI4875" s="245">
        <v>1.1599999999999999</v>
      </c>
      <c r="CJ4875" s="67"/>
      <c r="CK4875" s="67"/>
      <c r="CL4875" s="67"/>
      <c r="CM4875" s="242">
        <f>CR4875/(100*100*CH4875*AA4875/100)*100</f>
        <v>1.8181818181818181</v>
      </c>
      <c r="CN4875" s="242">
        <f>CS4875/(100*100*CI4875*AA4875/100)*100</f>
        <v>2.5862068965517242</v>
      </c>
      <c r="CO4875" s="242"/>
      <c r="CP4875" s="242"/>
      <c r="CQ4875" s="242"/>
      <c r="CR4875" s="242">
        <v>16.5</v>
      </c>
      <c r="CS4875" s="242">
        <v>22.5</v>
      </c>
      <c r="CT4875" s="242"/>
      <c r="CU4875" s="242"/>
      <c r="CV4875" s="242" t="s">
        <v>873</v>
      </c>
      <c r="CW4875" s="242"/>
      <c r="CX4875" s="242"/>
      <c r="CY4875" s="242"/>
      <c r="CZ4875" s="242"/>
      <c r="DA4875" s="67"/>
      <c r="DB4875" s="67">
        <v>11</v>
      </c>
      <c r="DC4875" s="67">
        <v>22</v>
      </c>
      <c r="DD4875" s="67"/>
      <c r="DE4875" s="67"/>
      <c r="DF4875" s="67" t="s">
        <v>5932</v>
      </c>
      <c r="DG4875" s="67">
        <v>22</v>
      </c>
      <c r="DH4875" s="67">
        <v>165</v>
      </c>
      <c r="DI4875" s="67"/>
      <c r="DJ4875" s="67"/>
      <c r="DK4875" s="67" t="s">
        <v>5931</v>
      </c>
      <c r="DL4875" s="67"/>
      <c r="DM4875" s="67"/>
      <c r="DN4875" s="67"/>
      <c r="DO4875" s="67"/>
      <c r="DP4875" s="67"/>
      <c r="DQ4875" s="166">
        <v>7.2</v>
      </c>
      <c r="DR4875" s="166">
        <v>7.4</v>
      </c>
      <c r="DS4875" s="163"/>
      <c r="DT4875" s="163"/>
      <c r="DU4875" s="67"/>
      <c r="DV4875" s="67"/>
      <c r="DW4875" s="67"/>
      <c r="DX4875" s="67"/>
      <c r="DY4875" s="67"/>
      <c r="DZ4875" s="67"/>
      <c r="EA4875" s="67"/>
      <c r="EB4875" s="67"/>
      <c r="EC4875" s="67"/>
      <c r="ED4875" s="67"/>
      <c r="EE4875" s="67"/>
      <c r="EF4875" s="67"/>
      <c r="EG4875" s="67"/>
      <c r="EH4875" s="67"/>
      <c r="EI4875" s="67"/>
      <c r="EJ4875" s="67"/>
      <c r="EK4875" s="94"/>
      <c r="EL4875" s="94"/>
      <c r="EM4875" s="67"/>
      <c r="EN4875" s="67"/>
      <c r="EO4875" s="67"/>
      <c r="EP4875" s="67"/>
      <c r="EQ4875" s="67"/>
      <c r="ER4875" s="67"/>
      <c r="ES4875" s="67"/>
      <c r="ET4875" s="67"/>
      <c r="EU4875" s="67"/>
      <c r="EV4875" s="67"/>
      <c r="EW4875" s="67"/>
      <c r="EX4875" s="67"/>
      <c r="EY4875" s="67"/>
      <c r="EZ4875" s="67"/>
      <c r="FA4875" s="67"/>
      <c r="FB4875" s="67"/>
      <c r="FC4875" s="67"/>
      <c r="FD4875" s="67"/>
      <c r="FE4875" s="67"/>
      <c r="FF4875" s="67"/>
      <c r="FG4875" s="67"/>
      <c r="FH4875" s="67"/>
      <c r="FI4875" s="67"/>
      <c r="FJ4875" s="67"/>
      <c r="FK4875" s="67"/>
      <c r="FL4875" s="67"/>
      <c r="FM4875" s="67"/>
      <c r="FN4875" s="67"/>
      <c r="FO4875" s="67"/>
      <c r="FP4875" s="67"/>
      <c r="FQ4875" s="67"/>
      <c r="FR4875" s="67"/>
      <c r="FS4875" s="67"/>
      <c r="FT4875" s="67"/>
      <c r="FU4875" s="67"/>
      <c r="FV4875" s="67"/>
      <c r="FW4875" s="67"/>
      <c r="FX4875" s="67"/>
      <c r="FY4875" s="67"/>
      <c r="FZ4875" s="67"/>
      <c r="GA4875" s="67"/>
      <c r="GB4875" s="67"/>
      <c r="GC4875" s="67"/>
      <c r="GD4875" s="67">
        <v>42.8</v>
      </c>
      <c r="GE4875" s="67">
        <v>42.5</v>
      </c>
      <c r="GF4875" s="67"/>
      <c r="GG4875" s="67"/>
      <c r="GH4875" s="67" t="s">
        <v>5937</v>
      </c>
      <c r="GI4875" s="67"/>
      <c r="GJ4875" s="67"/>
      <c r="GK4875" s="67"/>
      <c r="GL4875" s="67"/>
      <c r="GM4875" s="67"/>
      <c r="GN4875" s="292"/>
      <c r="GO4875" s="292"/>
      <c r="GP4875" s="292" t="s">
        <v>7494</v>
      </c>
      <c r="GQ4875" s="67"/>
      <c r="GR4875" s="67"/>
      <c r="GS4875" s="67"/>
      <c r="GT4875" s="67"/>
      <c r="GU4875" s="67"/>
      <c r="GV4875" s="67"/>
      <c r="GW4875" s="67"/>
      <c r="GX4875" s="67"/>
      <c r="GY4875" s="67"/>
      <c r="GZ4875" s="67"/>
      <c r="HA4875" s="67"/>
      <c r="HB4875" s="67"/>
      <c r="HC4875" s="67"/>
      <c r="HD4875" s="67"/>
      <c r="HE4875" s="67"/>
      <c r="HF4875" s="67"/>
      <c r="HG4875" s="67"/>
      <c r="HH4875" s="67"/>
      <c r="HI4875" s="67"/>
      <c r="HJ4875" s="67"/>
      <c r="HK4875" s="67"/>
      <c r="HL4875" s="67"/>
      <c r="HM4875" s="67"/>
      <c r="HN4875" s="67"/>
      <c r="HO4875" s="67"/>
      <c r="HP4875" s="67"/>
      <c r="HQ4875" s="67"/>
      <c r="HR4875" s="67"/>
      <c r="HS4875" s="67"/>
      <c r="HT4875" s="67"/>
      <c r="HU4875" s="67"/>
      <c r="HV4875" s="67"/>
      <c r="HW4875" s="67"/>
      <c r="HX4875" s="67"/>
      <c r="HY4875" s="67"/>
      <c r="HZ4875" s="67"/>
      <c r="IA4875" s="67"/>
      <c r="IB4875" s="67"/>
      <c r="IC4875" s="67">
        <v>332</v>
      </c>
      <c r="ID4875" s="67">
        <v>454</v>
      </c>
      <c r="IE4875" s="67"/>
      <c r="IF4875" s="67"/>
      <c r="IG4875" s="67" t="s">
        <v>5936</v>
      </c>
      <c r="IH4875" s="67">
        <v>0.17</v>
      </c>
      <c r="II4875" s="67">
        <v>0.19</v>
      </c>
      <c r="IJ4875" s="67"/>
      <c r="IK4875" s="67"/>
      <c r="IL4875" s="67" t="s">
        <v>5939</v>
      </c>
      <c r="IM4875" s="67"/>
      <c r="IN4875" s="67"/>
      <c r="IO4875" s="67"/>
      <c r="IP4875" s="67"/>
      <c r="IQ4875" s="67"/>
      <c r="IR4875" s="67"/>
      <c r="IS4875" s="67"/>
      <c r="IT4875" s="67"/>
      <c r="IU4875" s="67"/>
      <c r="IV4875" s="67"/>
      <c r="IW4875" s="67">
        <v>223</v>
      </c>
      <c r="IX4875" s="67">
        <v>246</v>
      </c>
      <c r="IY4875" s="67"/>
      <c r="IZ4875" s="67"/>
      <c r="JA4875" s="67" t="s">
        <v>5938</v>
      </c>
      <c r="JB4875" s="67"/>
      <c r="JC4875" s="67"/>
      <c r="JD4875" s="67"/>
      <c r="JE4875" s="67"/>
      <c r="JF4875" s="67"/>
      <c r="JG4875" s="67">
        <v>440</v>
      </c>
      <c r="JH4875" s="67">
        <v>570</v>
      </c>
      <c r="JI4875" s="67"/>
      <c r="JJ4875" s="67"/>
      <c r="JK4875" s="67" t="s">
        <v>5932</v>
      </c>
      <c r="JL4875" s="67"/>
      <c r="JM4875" s="67"/>
      <c r="JN4875" s="67"/>
      <c r="JO4875" s="67"/>
      <c r="JP4875" s="67"/>
      <c r="JQ4875" s="67"/>
      <c r="JR4875" s="67"/>
      <c r="JS4875" s="67"/>
      <c r="JT4875" s="67"/>
      <c r="JU4875" s="58"/>
      <c r="JV4875" s="58"/>
      <c r="JW4875" s="58"/>
    </row>
    <row r="4876" spans="1:286" s="23" customFormat="1" x14ac:dyDescent="0.25">
      <c r="A4876" s="55">
        <v>4875</v>
      </c>
      <c r="B4876" s="12" t="s">
        <v>7067</v>
      </c>
      <c r="C4876" s="156">
        <v>227</v>
      </c>
      <c r="D4876" s="58" t="s">
        <v>4923</v>
      </c>
      <c r="E4876" s="160" t="str">
        <f>G4876</f>
        <v>Fraser et al 1988_pair3_total</v>
      </c>
      <c r="F4876" s="160"/>
      <c r="G4876" s="60" t="s">
        <v>4806</v>
      </c>
      <c r="H4876" s="58">
        <v>1988</v>
      </c>
      <c r="I4876" s="58" t="s">
        <v>5923</v>
      </c>
      <c r="J4876" s="243" t="s">
        <v>916</v>
      </c>
      <c r="K4876" s="63" t="s">
        <v>5116</v>
      </c>
      <c r="L4876" s="58" t="s">
        <v>2737</v>
      </c>
      <c r="M4876" s="94">
        <v>40.82</v>
      </c>
      <c r="N4876" s="94">
        <v>-96.7</v>
      </c>
      <c r="O4876" s="94">
        <v>360</v>
      </c>
      <c r="P4876" s="58"/>
      <c r="Q4876" s="244">
        <v>11</v>
      </c>
      <c r="R4876" s="58"/>
      <c r="S4876" s="245">
        <v>680</v>
      </c>
      <c r="T4876" s="58"/>
      <c r="U4876" s="58" t="s">
        <v>1688</v>
      </c>
      <c r="V4876" s="244">
        <v>6</v>
      </c>
      <c r="W4876" s="174"/>
      <c r="X4876" s="174"/>
      <c r="Y4876" s="58" t="s">
        <v>5922</v>
      </c>
      <c r="Z4876" s="244" t="s">
        <v>1347</v>
      </c>
      <c r="AA4876" s="245">
        <v>7.5</v>
      </c>
      <c r="AB4876" s="67"/>
      <c r="AC4876" s="67"/>
      <c r="AD4876" s="94"/>
      <c r="AE4876" s="94"/>
      <c r="AF4876" s="94"/>
      <c r="AG4876" s="245">
        <v>35</v>
      </c>
      <c r="AH4876" s="58" t="s">
        <v>1022</v>
      </c>
      <c r="AI4876" s="169"/>
      <c r="AJ4876" s="94"/>
      <c r="AK4876" s="94"/>
      <c r="AL4876" s="58"/>
      <c r="AM4876" s="58" t="s">
        <v>5924</v>
      </c>
      <c r="AN4876" s="186"/>
      <c r="AO4876" s="185" t="s">
        <v>5150</v>
      </c>
      <c r="AP4876" s="58"/>
      <c r="AQ4876" s="58"/>
      <c r="AR4876" s="58"/>
      <c r="AS4876" s="246" t="s">
        <v>5133</v>
      </c>
      <c r="AT4876" s="247">
        <v>1</v>
      </c>
      <c r="AU4876" s="181" t="s">
        <v>7494</v>
      </c>
      <c r="AV4876" s="185" t="s">
        <v>176</v>
      </c>
      <c r="AW4876" s="244">
        <v>1</v>
      </c>
      <c r="AX4876" s="185" t="s">
        <v>176</v>
      </c>
      <c r="AY4876" s="244" t="s">
        <v>176</v>
      </c>
      <c r="AZ4876" s="58"/>
      <c r="BA4876" s="58"/>
      <c r="BB4876" s="58"/>
      <c r="BC4876" s="58"/>
      <c r="BD4876" s="58"/>
      <c r="BE4876" s="236" t="s">
        <v>5176</v>
      </c>
      <c r="BF4876" s="191" t="s">
        <v>479</v>
      </c>
      <c r="BG4876" s="191" t="s">
        <v>479</v>
      </c>
      <c r="BH4876" s="236" t="s">
        <v>5243</v>
      </c>
      <c r="BI4876" s="191" t="s">
        <v>479</v>
      </c>
      <c r="BJ4876" s="58" t="str">
        <f>IF(BE4876=BH4876,"No","yes")</f>
        <v>yes</v>
      </c>
      <c r="BK4876" s="58" t="s">
        <v>6334</v>
      </c>
      <c r="BL4876" s="58" t="s">
        <v>5739</v>
      </c>
      <c r="BM4876" s="237" t="s">
        <v>160</v>
      </c>
      <c r="BN4876" s="244">
        <v>4</v>
      </c>
      <c r="BO4876" s="244">
        <v>4</v>
      </c>
      <c r="BP4876" s="58"/>
      <c r="BQ4876" s="58"/>
      <c r="BR4876" s="58"/>
      <c r="BS4876" s="58"/>
      <c r="BT4876" s="58"/>
      <c r="BU4876" s="58"/>
      <c r="BV4876" s="58" t="s">
        <v>5933</v>
      </c>
      <c r="BW4876" s="67"/>
      <c r="BX4876" s="67"/>
      <c r="BY4876" s="67"/>
      <c r="BZ4876" s="67"/>
      <c r="CA4876" s="67"/>
      <c r="CB4876" s="70"/>
      <c r="CC4876" s="70"/>
      <c r="CD4876" s="70"/>
      <c r="CE4876" s="67"/>
      <c r="CF4876" s="67"/>
      <c r="CG4876" s="67"/>
      <c r="CH4876" s="245">
        <v>1.2</v>
      </c>
      <c r="CI4876" s="245">
        <v>1.1599999999999999</v>
      </c>
      <c r="CJ4876" s="67"/>
      <c r="CK4876" s="67"/>
      <c r="CL4876" s="67"/>
      <c r="CM4876" s="242">
        <f>CR4876/(100*100*CH4876*AA4876/100)*100</f>
        <v>1.6666666666666667</v>
      </c>
      <c r="CN4876" s="242">
        <f>CS4876/(100*100*CI4876*AA4876/100)*100</f>
        <v>2.5862068965517242</v>
      </c>
      <c r="CO4876" s="242"/>
      <c r="CP4876" s="242"/>
      <c r="CQ4876" s="242"/>
      <c r="CR4876" s="242">
        <v>15</v>
      </c>
      <c r="CS4876" s="242">
        <v>22.5</v>
      </c>
      <c r="CT4876" s="242"/>
      <c r="CU4876" s="242"/>
      <c r="CV4876" s="242" t="s">
        <v>873</v>
      </c>
      <c r="CW4876" s="242"/>
      <c r="CX4876" s="242"/>
      <c r="CY4876" s="242"/>
      <c r="CZ4876" s="242"/>
      <c r="DA4876" s="67"/>
      <c r="DB4876" s="67">
        <v>11</v>
      </c>
      <c r="DC4876" s="67">
        <v>22</v>
      </c>
      <c r="DD4876" s="67"/>
      <c r="DE4876" s="67"/>
      <c r="DF4876" s="67" t="s">
        <v>5932</v>
      </c>
      <c r="DG4876" s="67">
        <v>23</v>
      </c>
      <c r="DH4876" s="67">
        <v>165</v>
      </c>
      <c r="DI4876" s="67"/>
      <c r="DJ4876" s="67"/>
      <c r="DK4876" s="67" t="s">
        <v>5931</v>
      </c>
      <c r="DL4876" s="67"/>
      <c r="DM4876" s="67"/>
      <c r="DN4876" s="67"/>
      <c r="DO4876" s="67"/>
      <c r="DP4876" s="67"/>
      <c r="DQ4876" s="166">
        <v>6.5</v>
      </c>
      <c r="DR4876" s="166">
        <v>7.4</v>
      </c>
      <c r="DS4876" s="163"/>
      <c r="DT4876" s="163"/>
      <c r="DU4876" s="67"/>
      <c r="DV4876" s="67"/>
      <c r="DW4876" s="67"/>
      <c r="DX4876" s="67"/>
      <c r="DY4876" s="67"/>
      <c r="DZ4876" s="67"/>
      <c r="EA4876" s="67"/>
      <c r="EB4876" s="67"/>
      <c r="EC4876" s="67"/>
      <c r="ED4876" s="67"/>
      <c r="EE4876" s="67"/>
      <c r="EF4876" s="67"/>
      <c r="EG4876" s="67"/>
      <c r="EH4876" s="67"/>
      <c r="EI4876" s="67"/>
      <c r="EJ4876" s="67"/>
      <c r="EK4876" s="94"/>
      <c r="EL4876" s="94"/>
      <c r="EM4876" s="67"/>
      <c r="EN4876" s="67"/>
      <c r="EO4876" s="67"/>
      <c r="EP4876" s="67"/>
      <c r="EQ4876" s="67"/>
      <c r="ER4876" s="67"/>
      <c r="ES4876" s="67"/>
      <c r="ET4876" s="67"/>
      <c r="EU4876" s="67"/>
      <c r="EV4876" s="67"/>
      <c r="EW4876" s="67"/>
      <c r="EX4876" s="67"/>
      <c r="EY4876" s="67"/>
      <c r="EZ4876" s="67"/>
      <c r="FA4876" s="67"/>
      <c r="FB4876" s="67"/>
      <c r="FC4876" s="67"/>
      <c r="FD4876" s="67"/>
      <c r="FE4876" s="67"/>
      <c r="FF4876" s="67"/>
      <c r="FG4876" s="67"/>
      <c r="FH4876" s="67"/>
      <c r="FI4876" s="67"/>
      <c r="FJ4876" s="67"/>
      <c r="FK4876" s="67"/>
      <c r="FL4876" s="67"/>
      <c r="FM4876" s="67"/>
      <c r="FN4876" s="67"/>
      <c r="FO4876" s="67"/>
      <c r="FP4876" s="67"/>
      <c r="FQ4876" s="67"/>
      <c r="FR4876" s="67"/>
      <c r="FS4876" s="67"/>
      <c r="FT4876" s="67"/>
      <c r="FU4876" s="67"/>
      <c r="FV4876" s="67"/>
      <c r="FW4876" s="67"/>
      <c r="FX4876" s="67"/>
      <c r="FY4876" s="67"/>
      <c r="FZ4876" s="67"/>
      <c r="GA4876" s="67"/>
      <c r="GB4876" s="67"/>
      <c r="GC4876" s="67"/>
      <c r="GD4876" s="67">
        <v>40.6</v>
      </c>
      <c r="GE4876" s="67">
        <v>42.5</v>
      </c>
      <c r="GF4876" s="67"/>
      <c r="GG4876" s="67"/>
      <c r="GH4876" s="67" t="s">
        <v>5937</v>
      </c>
      <c r="GI4876" s="67"/>
      <c r="GJ4876" s="67"/>
      <c r="GK4876" s="67"/>
      <c r="GL4876" s="67"/>
      <c r="GM4876" s="67"/>
      <c r="GN4876" s="292"/>
      <c r="GO4876" s="292"/>
      <c r="GP4876" s="292" t="s">
        <v>7494</v>
      </c>
      <c r="GQ4876" s="67"/>
      <c r="GR4876" s="67"/>
      <c r="GS4876" s="67"/>
      <c r="GT4876" s="67"/>
      <c r="GU4876" s="67"/>
      <c r="GV4876" s="67"/>
      <c r="GW4876" s="67"/>
      <c r="GX4876" s="67"/>
      <c r="GY4876" s="67"/>
      <c r="GZ4876" s="67"/>
      <c r="HA4876" s="67"/>
      <c r="HB4876" s="67"/>
      <c r="HC4876" s="67"/>
      <c r="HD4876" s="67"/>
      <c r="HE4876" s="67"/>
      <c r="HF4876" s="67"/>
      <c r="HG4876" s="67"/>
      <c r="HH4876" s="67"/>
      <c r="HI4876" s="67"/>
      <c r="HJ4876" s="67"/>
      <c r="HK4876" s="67"/>
      <c r="HL4876" s="67"/>
      <c r="HM4876" s="67"/>
      <c r="HN4876" s="67"/>
      <c r="HO4876" s="67"/>
      <c r="HP4876" s="67"/>
      <c r="HQ4876" s="67"/>
      <c r="HR4876" s="67"/>
      <c r="HS4876" s="67"/>
      <c r="HT4876" s="67"/>
      <c r="HU4876" s="67"/>
      <c r="HV4876" s="67"/>
      <c r="HW4876" s="67"/>
      <c r="HX4876" s="67"/>
      <c r="HY4876" s="67"/>
      <c r="HZ4876" s="67"/>
      <c r="IA4876" s="67"/>
      <c r="IB4876" s="67"/>
      <c r="IC4876" s="67">
        <v>322</v>
      </c>
      <c r="ID4876" s="67">
        <v>454</v>
      </c>
      <c r="IE4876" s="67"/>
      <c r="IF4876" s="67"/>
      <c r="IG4876" s="67" t="s">
        <v>5936</v>
      </c>
      <c r="IH4876" s="67">
        <v>0.14000000000000001</v>
      </c>
      <c r="II4876" s="67">
        <v>0.19</v>
      </c>
      <c r="IJ4876" s="67"/>
      <c r="IK4876" s="67"/>
      <c r="IL4876" s="67" t="s">
        <v>5939</v>
      </c>
      <c r="IM4876" s="67"/>
      <c r="IN4876" s="67"/>
      <c r="IO4876" s="67"/>
      <c r="IP4876" s="67"/>
      <c r="IQ4876" s="67"/>
      <c r="IR4876" s="67"/>
      <c r="IS4876" s="67"/>
      <c r="IT4876" s="67"/>
      <c r="IU4876" s="67"/>
      <c r="IV4876" s="67"/>
      <c r="IW4876" s="67">
        <v>167</v>
      </c>
      <c r="IX4876" s="67">
        <v>246</v>
      </c>
      <c r="IY4876" s="67"/>
      <c r="IZ4876" s="67"/>
      <c r="JA4876" s="67" t="s">
        <v>5938</v>
      </c>
      <c r="JB4876" s="67"/>
      <c r="JC4876" s="67"/>
      <c r="JD4876" s="67"/>
      <c r="JE4876" s="67"/>
      <c r="JF4876" s="67"/>
      <c r="JG4876" s="67">
        <v>410</v>
      </c>
      <c r="JH4876" s="67">
        <v>570</v>
      </c>
      <c r="JI4876" s="67"/>
      <c r="JJ4876" s="67"/>
      <c r="JK4876" s="67" t="s">
        <v>5932</v>
      </c>
      <c r="JL4876" s="67"/>
      <c r="JM4876" s="67"/>
      <c r="JN4876" s="67"/>
      <c r="JO4876" s="67"/>
      <c r="JP4876" s="67"/>
      <c r="JQ4876" s="67"/>
      <c r="JR4876" s="67"/>
      <c r="JS4876" s="67"/>
      <c r="JT4876" s="67"/>
      <c r="JU4876" s="58"/>
      <c r="JV4876" s="58"/>
      <c r="JW4876" s="58"/>
    </row>
    <row r="4877" spans="1:286" s="23" customFormat="1" x14ac:dyDescent="0.25">
      <c r="A4877" s="55">
        <v>4876</v>
      </c>
      <c r="B4877" s="12" t="s">
        <v>7067</v>
      </c>
      <c r="C4877" s="156">
        <v>227</v>
      </c>
      <c r="D4877" s="58" t="s">
        <v>5925</v>
      </c>
      <c r="E4877" s="160" t="str">
        <f>G4877</f>
        <v>Fraser et al 1988_pair1_total</v>
      </c>
      <c r="F4877" s="160"/>
      <c r="G4877" s="60" t="s">
        <v>4808</v>
      </c>
      <c r="H4877" s="58">
        <v>1988</v>
      </c>
      <c r="I4877" s="58" t="s">
        <v>5923</v>
      </c>
      <c r="J4877" s="243" t="s">
        <v>916</v>
      </c>
      <c r="K4877" s="63" t="s">
        <v>5116</v>
      </c>
      <c r="L4877" s="58" t="s">
        <v>2737</v>
      </c>
      <c r="M4877" s="94">
        <v>40.82</v>
      </c>
      <c r="N4877" s="94">
        <v>-96.7</v>
      </c>
      <c r="O4877" s="94">
        <v>360</v>
      </c>
      <c r="P4877" s="58"/>
      <c r="Q4877" s="244">
        <v>11</v>
      </c>
      <c r="R4877" s="58"/>
      <c r="S4877" s="245">
        <v>680</v>
      </c>
      <c r="T4877" s="58"/>
      <c r="U4877" s="58" t="s">
        <v>1688</v>
      </c>
      <c r="V4877" s="244">
        <v>6</v>
      </c>
      <c r="W4877" s="174"/>
      <c r="X4877" s="174"/>
      <c r="Y4877" s="58" t="s">
        <v>5922</v>
      </c>
      <c r="Z4877" s="244" t="s">
        <v>1348</v>
      </c>
      <c r="AA4877" s="245">
        <v>7.5</v>
      </c>
      <c r="AB4877" s="67"/>
      <c r="AC4877" s="67"/>
      <c r="AD4877" s="94"/>
      <c r="AE4877" s="94"/>
      <c r="AF4877" s="94"/>
      <c r="AG4877" s="245">
        <v>35</v>
      </c>
      <c r="AH4877" s="58" t="s">
        <v>1022</v>
      </c>
      <c r="AI4877" s="169"/>
      <c r="AJ4877" s="94"/>
      <c r="AK4877" s="94"/>
      <c r="AL4877" s="58"/>
      <c r="AM4877" s="58" t="s">
        <v>5924</v>
      </c>
      <c r="AN4877" s="186"/>
      <c r="AO4877" s="185" t="s">
        <v>5150</v>
      </c>
      <c r="AP4877" s="58"/>
      <c r="AQ4877" s="58"/>
      <c r="AR4877" s="58"/>
      <c r="AS4877" s="246" t="s">
        <v>5133</v>
      </c>
      <c r="AT4877" s="247">
        <v>1</v>
      </c>
      <c r="AU4877" s="181" t="s">
        <v>7494</v>
      </c>
      <c r="AV4877" s="185" t="s">
        <v>176</v>
      </c>
      <c r="AW4877" s="244">
        <v>1</v>
      </c>
      <c r="AX4877" s="185" t="s">
        <v>176</v>
      </c>
      <c r="AY4877" s="244" t="s">
        <v>176</v>
      </c>
      <c r="AZ4877" s="58"/>
      <c r="BA4877" s="58"/>
      <c r="BB4877" s="58"/>
      <c r="BC4877" s="58"/>
      <c r="BD4877" s="58"/>
      <c r="BE4877" s="236" t="s">
        <v>5175</v>
      </c>
      <c r="BF4877" s="191" t="s">
        <v>479</v>
      </c>
      <c r="BG4877" s="191" t="s">
        <v>479</v>
      </c>
      <c r="BH4877" s="236" t="s">
        <v>5243</v>
      </c>
      <c r="BI4877" s="191" t="s">
        <v>479</v>
      </c>
      <c r="BJ4877" s="58" t="str">
        <f>IF(BE4877=BH4877,"No","yes")</f>
        <v>yes</v>
      </c>
      <c r="BK4877" s="58" t="s">
        <v>6334</v>
      </c>
      <c r="BL4877" s="58" t="s">
        <v>5739</v>
      </c>
      <c r="BM4877" s="237" t="s">
        <v>160</v>
      </c>
      <c r="BN4877" s="244">
        <v>4</v>
      </c>
      <c r="BO4877" s="244">
        <v>4</v>
      </c>
      <c r="BP4877" s="58"/>
      <c r="BQ4877" s="58"/>
      <c r="BR4877" s="58"/>
      <c r="BS4877" s="58"/>
      <c r="BT4877" s="58"/>
      <c r="BU4877" s="58"/>
      <c r="BV4877" s="58" t="s">
        <v>5933</v>
      </c>
      <c r="BW4877" s="67"/>
      <c r="BX4877" s="67"/>
      <c r="BY4877" s="67"/>
      <c r="BZ4877" s="67"/>
      <c r="CA4877" s="67"/>
      <c r="CB4877" s="70"/>
      <c r="CC4877" s="70"/>
      <c r="CD4877" s="70"/>
      <c r="CE4877" s="67"/>
      <c r="CF4877" s="67"/>
      <c r="CG4877" s="67"/>
      <c r="CH4877" s="245">
        <v>1.39</v>
      </c>
      <c r="CI4877" s="245">
        <v>1.35</v>
      </c>
      <c r="CJ4877" s="67"/>
      <c r="CK4877" s="67"/>
      <c r="CL4877" s="67"/>
      <c r="CM4877" s="242">
        <f>CR4877/(100*100*CH4877*AA4877/100)*100</f>
        <v>1.5827338129496407</v>
      </c>
      <c r="CN4877" s="242">
        <f>CS4877/(100*100*CI4877*AA4877/100)*100</f>
        <v>1.9950617283950618</v>
      </c>
      <c r="CO4877" s="242"/>
      <c r="CP4877" s="242"/>
      <c r="CQ4877" s="242"/>
      <c r="CR4877" s="242">
        <v>16.5</v>
      </c>
      <c r="CS4877" s="242">
        <v>20.2</v>
      </c>
      <c r="CT4877" s="242"/>
      <c r="CU4877" s="242"/>
      <c r="CV4877" s="242" t="s">
        <v>873</v>
      </c>
      <c r="CW4877" s="242"/>
      <c r="CX4877" s="242"/>
      <c r="CY4877" s="242"/>
      <c r="CZ4877" s="242"/>
      <c r="DA4877" s="67"/>
      <c r="DB4877" s="67">
        <v>7</v>
      </c>
      <c r="DC4877" s="67">
        <v>16</v>
      </c>
      <c r="DD4877" s="67"/>
      <c r="DE4877" s="67"/>
      <c r="DF4877" s="67" t="s">
        <v>5932</v>
      </c>
      <c r="DG4877" s="67">
        <v>9</v>
      </c>
      <c r="DH4877" s="67">
        <v>163</v>
      </c>
      <c r="DI4877" s="67"/>
      <c r="DJ4877" s="67"/>
      <c r="DK4877" s="67" t="s">
        <v>5931</v>
      </c>
      <c r="DL4877" s="67"/>
      <c r="DM4877" s="67"/>
      <c r="DN4877" s="67"/>
      <c r="DO4877" s="67"/>
      <c r="DP4877" s="67"/>
      <c r="DQ4877" s="166">
        <v>7.1</v>
      </c>
      <c r="DR4877" s="166">
        <v>7.2</v>
      </c>
      <c r="DS4877" s="163"/>
      <c r="DT4877" s="163"/>
      <c r="DU4877" s="67"/>
      <c r="DV4877" s="67"/>
      <c r="DW4877" s="67"/>
      <c r="DX4877" s="67"/>
      <c r="DY4877" s="67"/>
      <c r="DZ4877" s="67"/>
      <c r="EA4877" s="67"/>
      <c r="EB4877" s="67"/>
      <c r="EC4877" s="67"/>
      <c r="ED4877" s="67"/>
      <c r="EE4877" s="67"/>
      <c r="EF4877" s="67"/>
      <c r="EG4877" s="67"/>
      <c r="EH4877" s="67"/>
      <c r="EI4877" s="67"/>
      <c r="EJ4877" s="67"/>
      <c r="EK4877" s="94"/>
      <c r="EL4877" s="94"/>
      <c r="EM4877" s="67"/>
      <c r="EN4877" s="67"/>
      <c r="EO4877" s="67"/>
      <c r="EP4877" s="67"/>
      <c r="EQ4877" s="67"/>
      <c r="ER4877" s="67"/>
      <c r="ES4877" s="67"/>
      <c r="ET4877" s="67"/>
      <c r="EU4877" s="67"/>
      <c r="EV4877" s="67"/>
      <c r="EW4877" s="67"/>
      <c r="EX4877" s="67"/>
      <c r="EY4877" s="67"/>
      <c r="EZ4877" s="67"/>
      <c r="FA4877" s="67"/>
      <c r="FB4877" s="67"/>
      <c r="FC4877" s="67"/>
      <c r="FD4877" s="67"/>
      <c r="FE4877" s="67"/>
      <c r="FF4877" s="67"/>
      <c r="FG4877" s="67"/>
      <c r="FH4877" s="67"/>
      <c r="FI4877" s="67"/>
      <c r="FJ4877" s="67"/>
      <c r="FK4877" s="67"/>
      <c r="FL4877" s="67"/>
      <c r="FM4877" s="67"/>
      <c r="FN4877" s="67"/>
      <c r="FO4877" s="67"/>
      <c r="FP4877" s="67"/>
      <c r="FQ4877" s="67"/>
      <c r="FR4877" s="67"/>
      <c r="FS4877" s="67"/>
      <c r="FT4877" s="67"/>
      <c r="FU4877" s="67"/>
      <c r="FV4877" s="67"/>
      <c r="FW4877" s="67"/>
      <c r="FX4877" s="67"/>
      <c r="FY4877" s="67"/>
      <c r="FZ4877" s="67"/>
      <c r="GA4877" s="67"/>
      <c r="GB4877" s="67"/>
      <c r="GC4877" s="67"/>
      <c r="GD4877" s="67"/>
      <c r="GE4877" s="67"/>
      <c r="GF4877" s="67"/>
      <c r="GG4877" s="67"/>
      <c r="GH4877" s="67"/>
      <c r="GI4877" s="67"/>
      <c r="GJ4877" s="67"/>
      <c r="GK4877" s="67"/>
      <c r="GL4877" s="67"/>
      <c r="GM4877" s="67"/>
      <c r="GN4877" s="292"/>
      <c r="GO4877" s="292"/>
      <c r="GP4877" s="292" t="s">
        <v>7494</v>
      </c>
      <c r="GQ4877" s="67"/>
      <c r="GR4877" s="67"/>
      <c r="GS4877" s="67"/>
      <c r="GT4877" s="67"/>
      <c r="GU4877" s="67"/>
      <c r="GV4877" s="67"/>
      <c r="GW4877" s="67"/>
      <c r="GX4877" s="67"/>
      <c r="GY4877" s="67"/>
      <c r="GZ4877" s="67"/>
      <c r="HA4877" s="67"/>
      <c r="HB4877" s="67"/>
      <c r="HC4877" s="67"/>
      <c r="HD4877" s="67"/>
      <c r="HE4877" s="67"/>
      <c r="HF4877" s="67"/>
      <c r="HG4877" s="67"/>
      <c r="HH4877" s="67"/>
      <c r="HI4877" s="67"/>
      <c r="HJ4877" s="67"/>
      <c r="HK4877" s="67"/>
      <c r="HL4877" s="67"/>
      <c r="HM4877" s="67"/>
      <c r="HN4877" s="67"/>
      <c r="HO4877" s="67"/>
      <c r="HP4877" s="67"/>
      <c r="HQ4877" s="67"/>
      <c r="HR4877" s="67"/>
      <c r="HS4877" s="67"/>
      <c r="HT4877" s="67"/>
      <c r="HU4877" s="67"/>
      <c r="HV4877" s="67"/>
      <c r="HW4877" s="67"/>
      <c r="HX4877" s="67"/>
      <c r="HY4877" s="67"/>
      <c r="HZ4877" s="67"/>
      <c r="IA4877" s="67"/>
      <c r="IB4877" s="67"/>
      <c r="IC4877" s="67">
        <v>313</v>
      </c>
      <c r="ID4877" s="67">
        <v>411</v>
      </c>
      <c r="IE4877" s="67"/>
      <c r="IF4877" s="67"/>
      <c r="IG4877" s="67" t="s">
        <v>5936</v>
      </c>
      <c r="IH4877" s="67"/>
      <c r="II4877" s="67"/>
      <c r="IJ4877" s="67"/>
      <c r="IK4877" s="67"/>
      <c r="IL4877" s="67"/>
      <c r="IM4877" s="67"/>
      <c r="IN4877" s="67"/>
      <c r="IO4877" s="67"/>
      <c r="IP4877" s="67"/>
      <c r="IQ4877" s="67"/>
      <c r="IR4877" s="67"/>
      <c r="IS4877" s="67"/>
      <c r="IT4877" s="67"/>
      <c r="IU4877" s="67"/>
      <c r="IV4877" s="67"/>
      <c r="IW4877" s="67"/>
      <c r="IX4877" s="67"/>
      <c r="IY4877" s="67"/>
      <c r="IZ4877" s="67"/>
      <c r="JA4877" s="67"/>
      <c r="JB4877" s="67"/>
      <c r="JC4877" s="67"/>
      <c r="JD4877" s="67"/>
      <c r="JE4877" s="67"/>
      <c r="JF4877" s="67"/>
      <c r="JG4877" s="67">
        <v>440</v>
      </c>
      <c r="JH4877" s="67">
        <v>510</v>
      </c>
      <c r="JI4877" s="67"/>
      <c r="JJ4877" s="67"/>
      <c r="JK4877" s="67" t="s">
        <v>5932</v>
      </c>
      <c r="JL4877" s="67"/>
      <c r="JM4877" s="67"/>
      <c r="JN4877" s="67"/>
      <c r="JO4877" s="67"/>
      <c r="JP4877" s="67"/>
      <c r="JQ4877" s="67"/>
      <c r="JR4877" s="67"/>
      <c r="JS4877" s="67"/>
      <c r="JT4877" s="67"/>
      <c r="JU4877" s="58"/>
      <c r="JV4877" s="58"/>
      <c r="JW4877" s="58"/>
    </row>
    <row r="4878" spans="1:286" s="23" customFormat="1" x14ac:dyDescent="0.25">
      <c r="A4878" s="55">
        <v>4877</v>
      </c>
      <c r="B4878" s="12" t="s">
        <v>7067</v>
      </c>
      <c r="C4878" s="156">
        <v>227</v>
      </c>
      <c r="D4878" s="58" t="s">
        <v>5926</v>
      </c>
      <c r="E4878" s="160" t="str">
        <f>G4878</f>
        <v>Fraser et al 1988_pair2_total</v>
      </c>
      <c r="F4878" s="160"/>
      <c r="G4878" s="60" t="s">
        <v>4807</v>
      </c>
      <c r="H4878" s="58">
        <v>1988</v>
      </c>
      <c r="I4878" s="58" t="s">
        <v>5923</v>
      </c>
      <c r="J4878" s="243" t="s">
        <v>916</v>
      </c>
      <c r="K4878" s="63" t="s">
        <v>5116</v>
      </c>
      <c r="L4878" s="58" t="s">
        <v>2737</v>
      </c>
      <c r="M4878" s="94">
        <v>40.82</v>
      </c>
      <c r="N4878" s="94">
        <v>-96.7</v>
      </c>
      <c r="O4878" s="94">
        <v>360</v>
      </c>
      <c r="P4878" s="58"/>
      <c r="Q4878" s="244">
        <v>11</v>
      </c>
      <c r="R4878" s="58"/>
      <c r="S4878" s="245">
        <v>680</v>
      </c>
      <c r="T4878" s="58"/>
      <c r="U4878" s="58" t="s">
        <v>1688</v>
      </c>
      <c r="V4878" s="244">
        <v>6</v>
      </c>
      <c r="W4878" s="174"/>
      <c r="X4878" s="174"/>
      <c r="Y4878" s="58" t="s">
        <v>5922</v>
      </c>
      <c r="Z4878" s="244" t="s">
        <v>1348</v>
      </c>
      <c r="AA4878" s="245">
        <v>7.5</v>
      </c>
      <c r="AB4878" s="67"/>
      <c r="AC4878" s="67"/>
      <c r="AD4878" s="94"/>
      <c r="AE4878" s="94"/>
      <c r="AF4878" s="94"/>
      <c r="AG4878" s="245">
        <v>35</v>
      </c>
      <c r="AH4878" s="58" t="s">
        <v>1022</v>
      </c>
      <c r="AI4878" s="169"/>
      <c r="AJ4878" s="94"/>
      <c r="AK4878" s="94"/>
      <c r="AL4878" s="58"/>
      <c r="AM4878" s="58" t="s">
        <v>5924</v>
      </c>
      <c r="AN4878" s="186"/>
      <c r="AO4878" s="185" t="s">
        <v>5150</v>
      </c>
      <c r="AP4878" s="58"/>
      <c r="AQ4878" s="58"/>
      <c r="AR4878" s="58"/>
      <c r="AS4878" s="246" t="s">
        <v>5133</v>
      </c>
      <c r="AT4878" s="247">
        <v>1</v>
      </c>
      <c r="AU4878" s="181" t="s">
        <v>7494</v>
      </c>
      <c r="AV4878" s="185" t="s">
        <v>176</v>
      </c>
      <c r="AW4878" s="244">
        <v>1</v>
      </c>
      <c r="AX4878" s="185" t="s">
        <v>176</v>
      </c>
      <c r="AY4878" s="244" t="s">
        <v>176</v>
      </c>
      <c r="AZ4878" s="58"/>
      <c r="BA4878" s="58"/>
      <c r="BB4878" s="58"/>
      <c r="BC4878" s="58"/>
      <c r="BD4878" s="58"/>
      <c r="BE4878" s="236" t="s">
        <v>5176</v>
      </c>
      <c r="BF4878" s="191" t="s">
        <v>479</v>
      </c>
      <c r="BG4878" s="191" t="s">
        <v>479</v>
      </c>
      <c r="BH4878" s="236" t="s">
        <v>5243</v>
      </c>
      <c r="BI4878" s="191" t="s">
        <v>479</v>
      </c>
      <c r="BJ4878" s="58" t="str">
        <f>IF(BE4878=BH4878,"No","yes")</f>
        <v>yes</v>
      </c>
      <c r="BK4878" s="58" t="s">
        <v>6334</v>
      </c>
      <c r="BL4878" s="58" t="s">
        <v>5739</v>
      </c>
      <c r="BM4878" s="237" t="s">
        <v>160</v>
      </c>
      <c r="BN4878" s="244">
        <v>4</v>
      </c>
      <c r="BO4878" s="244">
        <v>4</v>
      </c>
      <c r="BP4878" s="58"/>
      <c r="BQ4878" s="58"/>
      <c r="BR4878" s="58"/>
      <c r="BS4878" s="58"/>
      <c r="BT4878" s="58"/>
      <c r="BU4878" s="58"/>
      <c r="BV4878" s="58" t="s">
        <v>5933</v>
      </c>
      <c r="BW4878" s="67"/>
      <c r="BX4878" s="67"/>
      <c r="BY4878" s="67"/>
      <c r="BZ4878" s="67"/>
      <c r="CA4878" s="67"/>
      <c r="CB4878" s="70"/>
      <c r="CC4878" s="70"/>
      <c r="CD4878" s="70"/>
      <c r="CE4878" s="67"/>
      <c r="CF4878" s="67"/>
      <c r="CG4878" s="67"/>
      <c r="CH4878" s="245">
        <v>1.37</v>
      </c>
      <c r="CI4878" s="245">
        <v>1.35</v>
      </c>
      <c r="CJ4878" s="67"/>
      <c r="CK4878" s="67"/>
      <c r="CL4878" s="67"/>
      <c r="CM4878" s="242">
        <f>CR4878/(100*100*CH4878*AA4878/100)*100</f>
        <v>1.5377128953771286</v>
      </c>
      <c r="CN4878" s="242">
        <f>CS4878/(100*100*CI4878*AA4878/100)*100</f>
        <v>1.9950617283950618</v>
      </c>
      <c r="CO4878" s="242"/>
      <c r="CP4878" s="242"/>
      <c r="CQ4878" s="242"/>
      <c r="CR4878" s="242">
        <v>15.8</v>
      </c>
      <c r="CS4878" s="242">
        <v>20.2</v>
      </c>
      <c r="CT4878" s="242"/>
      <c r="CU4878" s="242"/>
      <c r="CV4878" s="242" t="s">
        <v>873</v>
      </c>
      <c r="CW4878" s="242"/>
      <c r="CX4878" s="242"/>
      <c r="CY4878" s="242"/>
      <c r="CZ4878" s="242"/>
      <c r="DA4878" s="67"/>
      <c r="DB4878" s="67">
        <v>8</v>
      </c>
      <c r="DC4878" s="67">
        <v>16</v>
      </c>
      <c r="DD4878" s="67"/>
      <c r="DE4878" s="67"/>
      <c r="DF4878" s="67" t="s">
        <v>5932</v>
      </c>
      <c r="DG4878" s="67">
        <v>8</v>
      </c>
      <c r="DH4878" s="67">
        <v>163</v>
      </c>
      <c r="DI4878" s="67"/>
      <c r="DJ4878" s="67"/>
      <c r="DK4878" s="67" t="s">
        <v>5931</v>
      </c>
      <c r="DL4878" s="67"/>
      <c r="DM4878" s="67"/>
      <c r="DN4878" s="67"/>
      <c r="DO4878" s="67"/>
      <c r="DP4878" s="67"/>
      <c r="DQ4878" s="166">
        <v>7</v>
      </c>
      <c r="DR4878" s="166">
        <v>7.2</v>
      </c>
      <c r="DS4878" s="163"/>
      <c r="DT4878" s="163"/>
      <c r="DU4878" s="67"/>
      <c r="DV4878" s="67"/>
      <c r="DW4878" s="67"/>
      <c r="DX4878" s="67"/>
      <c r="DY4878" s="67"/>
      <c r="DZ4878" s="67"/>
      <c r="EA4878" s="67"/>
      <c r="EB4878" s="67"/>
      <c r="EC4878" s="67"/>
      <c r="ED4878" s="67"/>
      <c r="EE4878" s="67"/>
      <c r="EF4878" s="67"/>
      <c r="EG4878" s="67"/>
      <c r="EH4878" s="67"/>
      <c r="EI4878" s="67"/>
      <c r="EJ4878" s="67"/>
      <c r="EK4878" s="94"/>
      <c r="EL4878" s="94"/>
      <c r="EM4878" s="67"/>
      <c r="EN4878" s="67"/>
      <c r="EO4878" s="67"/>
      <c r="EP4878" s="67"/>
      <c r="EQ4878" s="67"/>
      <c r="ER4878" s="67"/>
      <c r="ES4878" s="67"/>
      <c r="ET4878" s="67"/>
      <c r="EU4878" s="67"/>
      <c r="EV4878" s="67"/>
      <c r="EW4878" s="67"/>
      <c r="EX4878" s="67"/>
      <c r="EY4878" s="67"/>
      <c r="EZ4878" s="67"/>
      <c r="FA4878" s="67"/>
      <c r="FB4878" s="67"/>
      <c r="FC4878" s="67"/>
      <c r="FD4878" s="67"/>
      <c r="FE4878" s="67"/>
      <c r="FF4878" s="67"/>
      <c r="FG4878" s="67"/>
      <c r="FH4878" s="67"/>
      <c r="FI4878" s="67"/>
      <c r="FJ4878" s="67"/>
      <c r="FK4878" s="67"/>
      <c r="FL4878" s="67"/>
      <c r="FM4878" s="67"/>
      <c r="FN4878" s="67"/>
      <c r="FO4878" s="67"/>
      <c r="FP4878" s="67"/>
      <c r="FQ4878" s="67"/>
      <c r="FR4878" s="67"/>
      <c r="FS4878" s="67"/>
      <c r="FT4878" s="67"/>
      <c r="FU4878" s="67"/>
      <c r="FV4878" s="67"/>
      <c r="FW4878" s="67"/>
      <c r="FX4878" s="67"/>
      <c r="FY4878" s="67"/>
      <c r="FZ4878" s="67"/>
      <c r="GA4878" s="67"/>
      <c r="GB4878" s="67"/>
      <c r="GC4878" s="67"/>
      <c r="GD4878" s="67"/>
      <c r="GE4878" s="67"/>
      <c r="GF4878" s="67"/>
      <c r="GG4878" s="67"/>
      <c r="GH4878" s="67"/>
      <c r="GI4878" s="67"/>
      <c r="GJ4878" s="67"/>
      <c r="GK4878" s="67"/>
      <c r="GL4878" s="67"/>
      <c r="GM4878" s="67"/>
      <c r="GN4878" s="292"/>
      <c r="GO4878" s="292"/>
      <c r="GP4878" s="292" t="s">
        <v>7494</v>
      </c>
      <c r="GQ4878" s="67"/>
      <c r="GR4878" s="67"/>
      <c r="GS4878" s="67"/>
      <c r="GT4878" s="67"/>
      <c r="GU4878" s="67"/>
      <c r="GV4878" s="67"/>
      <c r="GW4878" s="67"/>
      <c r="GX4878" s="67"/>
      <c r="GY4878" s="67"/>
      <c r="GZ4878" s="67"/>
      <c r="HA4878" s="67"/>
      <c r="HB4878" s="67"/>
      <c r="HC4878" s="67"/>
      <c r="HD4878" s="67"/>
      <c r="HE4878" s="67"/>
      <c r="HF4878" s="67"/>
      <c r="HG4878" s="67"/>
      <c r="HH4878" s="67"/>
      <c r="HI4878" s="67"/>
      <c r="HJ4878" s="67"/>
      <c r="HK4878" s="67"/>
      <c r="HL4878" s="67"/>
      <c r="HM4878" s="67"/>
      <c r="HN4878" s="67"/>
      <c r="HO4878" s="67"/>
      <c r="HP4878" s="67"/>
      <c r="HQ4878" s="67"/>
      <c r="HR4878" s="67"/>
      <c r="HS4878" s="67"/>
      <c r="HT4878" s="67"/>
      <c r="HU4878" s="67"/>
      <c r="HV4878" s="67"/>
      <c r="HW4878" s="67"/>
      <c r="HX4878" s="67"/>
      <c r="HY4878" s="67"/>
      <c r="HZ4878" s="67"/>
      <c r="IA4878" s="67"/>
      <c r="IB4878" s="67"/>
      <c r="IC4878" s="67">
        <v>321</v>
      </c>
      <c r="ID4878" s="67">
        <v>411</v>
      </c>
      <c r="IE4878" s="67"/>
      <c r="IF4878" s="67"/>
      <c r="IG4878" s="67" t="s">
        <v>5936</v>
      </c>
      <c r="IH4878" s="67"/>
      <c r="II4878" s="67"/>
      <c r="IJ4878" s="67"/>
      <c r="IK4878" s="67"/>
      <c r="IL4878" s="67"/>
      <c r="IM4878" s="67"/>
      <c r="IN4878" s="67"/>
      <c r="IO4878" s="67"/>
      <c r="IP4878" s="67"/>
      <c r="IQ4878" s="67"/>
      <c r="IR4878" s="67"/>
      <c r="IS4878" s="67"/>
      <c r="IT4878" s="67"/>
      <c r="IU4878" s="67"/>
      <c r="IV4878" s="67"/>
      <c r="IW4878" s="67"/>
      <c r="IX4878" s="67"/>
      <c r="IY4878" s="67"/>
      <c r="IZ4878" s="67"/>
      <c r="JA4878" s="67"/>
      <c r="JB4878" s="67"/>
      <c r="JC4878" s="67"/>
      <c r="JD4878" s="67"/>
      <c r="JE4878" s="67"/>
      <c r="JF4878" s="67"/>
      <c r="JG4878" s="67">
        <v>470</v>
      </c>
      <c r="JH4878" s="67">
        <v>510</v>
      </c>
      <c r="JI4878" s="67"/>
      <c r="JJ4878" s="67"/>
      <c r="JK4878" s="67" t="s">
        <v>5932</v>
      </c>
      <c r="JL4878" s="67"/>
      <c r="JM4878" s="67"/>
      <c r="JN4878" s="67"/>
      <c r="JO4878" s="67"/>
      <c r="JP4878" s="67"/>
      <c r="JQ4878" s="67"/>
      <c r="JR4878" s="67"/>
      <c r="JS4878" s="67"/>
      <c r="JT4878" s="67"/>
      <c r="JU4878" s="58"/>
      <c r="JV4878" s="58"/>
      <c r="JW4878" s="58"/>
    </row>
    <row r="4879" spans="1:286" s="23" customFormat="1" x14ac:dyDescent="0.25">
      <c r="A4879" s="55">
        <v>4878</v>
      </c>
      <c r="B4879" s="12" t="s">
        <v>7067</v>
      </c>
      <c r="C4879" s="156">
        <v>227</v>
      </c>
      <c r="D4879" s="58" t="s">
        <v>5927</v>
      </c>
      <c r="E4879" s="160" t="str">
        <f>G4879</f>
        <v>Fraser et al 1988_pair3_total</v>
      </c>
      <c r="F4879" s="160"/>
      <c r="G4879" s="60" t="s">
        <v>4806</v>
      </c>
      <c r="H4879" s="58">
        <v>1988</v>
      </c>
      <c r="I4879" s="58" t="s">
        <v>5923</v>
      </c>
      <c r="J4879" s="243" t="s">
        <v>916</v>
      </c>
      <c r="K4879" s="63" t="s">
        <v>5116</v>
      </c>
      <c r="L4879" s="58" t="s">
        <v>2737</v>
      </c>
      <c r="M4879" s="94">
        <v>40.82</v>
      </c>
      <c r="N4879" s="94">
        <v>-96.7</v>
      </c>
      <c r="O4879" s="94">
        <v>360</v>
      </c>
      <c r="P4879" s="58"/>
      <c r="Q4879" s="244">
        <v>11</v>
      </c>
      <c r="R4879" s="58"/>
      <c r="S4879" s="245">
        <v>680</v>
      </c>
      <c r="T4879" s="58"/>
      <c r="U4879" s="58" t="s">
        <v>1688</v>
      </c>
      <c r="V4879" s="244">
        <v>6</v>
      </c>
      <c r="W4879" s="174"/>
      <c r="X4879" s="174"/>
      <c r="Y4879" s="58" t="s">
        <v>5922</v>
      </c>
      <c r="Z4879" s="244" t="s">
        <v>1348</v>
      </c>
      <c r="AA4879" s="245">
        <v>7.5</v>
      </c>
      <c r="AB4879" s="67"/>
      <c r="AC4879" s="67"/>
      <c r="AD4879" s="94"/>
      <c r="AE4879" s="94"/>
      <c r="AF4879" s="94"/>
      <c r="AG4879" s="245">
        <v>35</v>
      </c>
      <c r="AH4879" s="58" t="s">
        <v>1022</v>
      </c>
      <c r="AI4879" s="169"/>
      <c r="AJ4879" s="94"/>
      <c r="AK4879" s="94"/>
      <c r="AL4879" s="58"/>
      <c r="AM4879" s="58" t="s">
        <v>5924</v>
      </c>
      <c r="AN4879" s="186"/>
      <c r="AO4879" s="185" t="s">
        <v>5150</v>
      </c>
      <c r="AP4879" s="58"/>
      <c r="AQ4879" s="58"/>
      <c r="AR4879" s="58"/>
      <c r="AS4879" s="246" t="s">
        <v>5133</v>
      </c>
      <c r="AT4879" s="247">
        <v>1</v>
      </c>
      <c r="AU4879" s="181" t="s">
        <v>7494</v>
      </c>
      <c r="AV4879" s="185" t="s">
        <v>176</v>
      </c>
      <c r="AW4879" s="244">
        <v>1</v>
      </c>
      <c r="AX4879" s="185" t="s">
        <v>176</v>
      </c>
      <c r="AY4879" s="244" t="s">
        <v>176</v>
      </c>
      <c r="AZ4879" s="58"/>
      <c r="BA4879" s="58"/>
      <c r="BB4879" s="58"/>
      <c r="BC4879" s="58"/>
      <c r="BD4879" s="58"/>
      <c r="BE4879" s="236" t="s">
        <v>5176</v>
      </c>
      <c r="BF4879" s="191" t="s">
        <v>479</v>
      </c>
      <c r="BG4879" s="191" t="s">
        <v>479</v>
      </c>
      <c r="BH4879" s="236" t="s">
        <v>5243</v>
      </c>
      <c r="BI4879" s="191" t="s">
        <v>479</v>
      </c>
      <c r="BJ4879" s="58" t="str">
        <f>IF(BE4879=BH4879,"No","yes")</f>
        <v>yes</v>
      </c>
      <c r="BK4879" s="58" t="s">
        <v>6334</v>
      </c>
      <c r="BL4879" s="58" t="s">
        <v>5739</v>
      </c>
      <c r="BM4879" s="237" t="s">
        <v>160</v>
      </c>
      <c r="BN4879" s="244">
        <v>4</v>
      </c>
      <c r="BO4879" s="244">
        <v>4</v>
      </c>
      <c r="BP4879" s="58"/>
      <c r="BQ4879" s="58"/>
      <c r="BR4879" s="58"/>
      <c r="BS4879" s="58"/>
      <c r="BT4879" s="58"/>
      <c r="BU4879" s="58"/>
      <c r="BV4879" s="58" t="s">
        <v>5933</v>
      </c>
      <c r="BW4879" s="67"/>
      <c r="BX4879" s="67"/>
      <c r="BY4879" s="67"/>
      <c r="BZ4879" s="67"/>
      <c r="CA4879" s="67"/>
      <c r="CB4879" s="70"/>
      <c r="CC4879" s="70"/>
      <c r="CD4879" s="70"/>
      <c r="CE4879" s="67"/>
      <c r="CF4879" s="67"/>
      <c r="CG4879" s="67"/>
      <c r="CH4879" s="245">
        <v>1.38</v>
      </c>
      <c r="CI4879" s="245">
        <v>1.35</v>
      </c>
      <c r="CJ4879" s="67"/>
      <c r="CK4879" s="67"/>
      <c r="CL4879" s="67"/>
      <c r="CM4879" s="242">
        <f>CR4879/(100*100*CH4879*AA4879/100)*100</f>
        <v>1.449275362318841</v>
      </c>
      <c r="CN4879" s="242">
        <f>CS4879/(100*100*CI4879*AA4879/100)*100</f>
        <v>1.9950617283950618</v>
      </c>
      <c r="CO4879" s="242"/>
      <c r="CP4879" s="242"/>
      <c r="CQ4879" s="242"/>
      <c r="CR4879" s="242">
        <v>15</v>
      </c>
      <c r="CS4879" s="242">
        <v>20.2</v>
      </c>
      <c r="CT4879" s="242"/>
      <c r="CU4879" s="242"/>
      <c r="CV4879" s="242" t="s">
        <v>873</v>
      </c>
      <c r="CW4879" s="242"/>
      <c r="CX4879" s="242"/>
      <c r="CY4879" s="242"/>
      <c r="CZ4879" s="242"/>
      <c r="DA4879" s="67"/>
      <c r="DB4879" s="67">
        <v>9</v>
      </c>
      <c r="DC4879" s="67">
        <v>16</v>
      </c>
      <c r="DD4879" s="67"/>
      <c r="DE4879" s="67"/>
      <c r="DF4879" s="67" t="s">
        <v>5932</v>
      </c>
      <c r="DG4879" s="67">
        <v>9</v>
      </c>
      <c r="DH4879" s="67">
        <v>163</v>
      </c>
      <c r="DI4879" s="67"/>
      <c r="DJ4879" s="67"/>
      <c r="DK4879" s="67" t="s">
        <v>5931</v>
      </c>
      <c r="DL4879" s="67"/>
      <c r="DM4879" s="67"/>
      <c r="DN4879" s="67"/>
      <c r="DO4879" s="67"/>
      <c r="DP4879" s="67"/>
      <c r="DQ4879" s="166">
        <v>6.9</v>
      </c>
      <c r="DR4879" s="166">
        <v>7.2</v>
      </c>
      <c r="DS4879" s="163"/>
      <c r="DT4879" s="163"/>
      <c r="DU4879" s="67"/>
      <c r="DV4879" s="67"/>
      <c r="DW4879" s="67"/>
      <c r="DX4879" s="67"/>
      <c r="DY4879" s="67"/>
      <c r="DZ4879" s="67"/>
      <c r="EA4879" s="67"/>
      <c r="EB4879" s="67"/>
      <c r="EC4879" s="67"/>
      <c r="ED4879" s="67"/>
      <c r="EE4879" s="67"/>
      <c r="EF4879" s="67"/>
      <c r="EG4879" s="67"/>
      <c r="EH4879" s="67"/>
      <c r="EI4879" s="67"/>
      <c r="EJ4879" s="67"/>
      <c r="EK4879" s="94"/>
      <c r="EL4879" s="94"/>
      <c r="EM4879" s="67"/>
      <c r="EN4879" s="67"/>
      <c r="EO4879" s="67"/>
      <c r="EP4879" s="67"/>
      <c r="EQ4879" s="67"/>
      <c r="ER4879" s="67"/>
      <c r="ES4879" s="67"/>
      <c r="ET4879" s="67"/>
      <c r="EU4879" s="67"/>
      <c r="EV4879" s="67"/>
      <c r="EW4879" s="67"/>
      <c r="EX4879" s="67"/>
      <c r="EY4879" s="67"/>
      <c r="EZ4879" s="67"/>
      <c r="FA4879" s="67"/>
      <c r="FB4879" s="67"/>
      <c r="FC4879" s="67"/>
      <c r="FD4879" s="67"/>
      <c r="FE4879" s="67"/>
      <c r="FF4879" s="67"/>
      <c r="FG4879" s="67"/>
      <c r="FH4879" s="67"/>
      <c r="FI4879" s="67"/>
      <c r="FJ4879" s="67"/>
      <c r="FK4879" s="67"/>
      <c r="FL4879" s="67"/>
      <c r="FM4879" s="67"/>
      <c r="FN4879" s="67"/>
      <c r="FO4879" s="67"/>
      <c r="FP4879" s="67"/>
      <c r="FQ4879" s="67"/>
      <c r="FR4879" s="67"/>
      <c r="FS4879" s="67"/>
      <c r="FT4879" s="67"/>
      <c r="FU4879" s="67"/>
      <c r="FV4879" s="67"/>
      <c r="FW4879" s="67"/>
      <c r="FX4879" s="67"/>
      <c r="FY4879" s="67"/>
      <c r="FZ4879" s="67"/>
      <c r="GA4879" s="67"/>
      <c r="GB4879" s="67"/>
      <c r="GC4879" s="67"/>
      <c r="GD4879" s="67"/>
      <c r="GE4879" s="67"/>
      <c r="GF4879" s="67"/>
      <c r="GG4879" s="67"/>
      <c r="GH4879" s="67"/>
      <c r="GI4879" s="67"/>
      <c r="GJ4879" s="67"/>
      <c r="GK4879" s="67"/>
      <c r="GL4879" s="67"/>
      <c r="GM4879" s="67"/>
      <c r="GN4879" s="292"/>
      <c r="GO4879" s="292"/>
      <c r="GP4879" s="292" t="s">
        <v>7494</v>
      </c>
      <c r="GQ4879" s="67"/>
      <c r="GR4879" s="67"/>
      <c r="GS4879" s="67"/>
      <c r="GT4879" s="67"/>
      <c r="GU4879" s="67"/>
      <c r="GV4879" s="67"/>
      <c r="GW4879" s="67"/>
      <c r="GX4879" s="67"/>
      <c r="GY4879" s="67"/>
      <c r="GZ4879" s="67"/>
      <c r="HA4879" s="67"/>
      <c r="HB4879" s="67"/>
      <c r="HC4879" s="67"/>
      <c r="HD4879" s="67"/>
      <c r="HE4879" s="67"/>
      <c r="HF4879" s="67"/>
      <c r="HG4879" s="67"/>
      <c r="HH4879" s="67"/>
      <c r="HI4879" s="67"/>
      <c r="HJ4879" s="67"/>
      <c r="HK4879" s="67"/>
      <c r="HL4879" s="67"/>
      <c r="HM4879" s="67"/>
      <c r="HN4879" s="67"/>
      <c r="HO4879" s="67"/>
      <c r="HP4879" s="67"/>
      <c r="HQ4879" s="67"/>
      <c r="HR4879" s="67"/>
      <c r="HS4879" s="67"/>
      <c r="HT4879" s="67"/>
      <c r="HU4879" s="67"/>
      <c r="HV4879" s="67"/>
      <c r="HW4879" s="67"/>
      <c r="HX4879" s="67"/>
      <c r="HY4879" s="67"/>
      <c r="HZ4879" s="67"/>
      <c r="IA4879" s="67"/>
      <c r="IB4879" s="67"/>
      <c r="IC4879" s="67">
        <v>309</v>
      </c>
      <c r="ID4879" s="67">
        <v>411</v>
      </c>
      <c r="IE4879" s="67"/>
      <c r="IF4879" s="67"/>
      <c r="IG4879" s="67" t="s">
        <v>5936</v>
      </c>
      <c r="IH4879" s="67"/>
      <c r="II4879" s="67"/>
      <c r="IJ4879" s="67"/>
      <c r="IK4879" s="67"/>
      <c r="IL4879" s="67"/>
      <c r="IM4879" s="67"/>
      <c r="IN4879" s="67"/>
      <c r="IO4879" s="67"/>
      <c r="IP4879" s="67"/>
      <c r="IQ4879" s="67"/>
      <c r="IR4879" s="67"/>
      <c r="IS4879" s="67"/>
      <c r="IT4879" s="67"/>
      <c r="IU4879" s="67"/>
      <c r="IV4879" s="67"/>
      <c r="IW4879" s="67"/>
      <c r="IX4879" s="67"/>
      <c r="IY4879" s="67"/>
      <c r="IZ4879" s="67"/>
      <c r="JA4879" s="67"/>
      <c r="JB4879" s="67"/>
      <c r="JC4879" s="67"/>
      <c r="JD4879" s="67"/>
      <c r="JE4879" s="67"/>
      <c r="JF4879" s="67"/>
      <c r="JG4879" s="67">
        <v>470</v>
      </c>
      <c r="JH4879" s="67">
        <v>510</v>
      </c>
      <c r="JI4879" s="67"/>
      <c r="JJ4879" s="67"/>
      <c r="JK4879" s="67" t="s">
        <v>5932</v>
      </c>
      <c r="JL4879" s="67"/>
      <c r="JM4879" s="67"/>
      <c r="JN4879" s="67"/>
      <c r="JO4879" s="67"/>
      <c r="JP4879" s="67"/>
      <c r="JQ4879" s="67"/>
      <c r="JR4879" s="67"/>
      <c r="JS4879" s="67"/>
      <c r="JT4879" s="67"/>
      <c r="JU4879" s="58"/>
      <c r="JV4879" s="58"/>
      <c r="JW4879" s="58"/>
    </row>
    <row r="4880" spans="1:286" s="23" customFormat="1" x14ac:dyDescent="0.25">
      <c r="A4880" s="55">
        <v>4879</v>
      </c>
      <c r="B4880" s="12" t="s">
        <v>7067</v>
      </c>
      <c r="C4880" s="156">
        <v>227</v>
      </c>
      <c r="D4880" s="58" t="s">
        <v>5928</v>
      </c>
      <c r="E4880" s="160" t="str">
        <f>G4880</f>
        <v>Fraser et al 1988_pair1_total</v>
      </c>
      <c r="F4880" s="160"/>
      <c r="G4880" s="60" t="s">
        <v>4808</v>
      </c>
      <c r="H4880" s="58">
        <v>1988</v>
      </c>
      <c r="I4880" s="58" t="s">
        <v>5923</v>
      </c>
      <c r="J4880" s="243" t="s">
        <v>916</v>
      </c>
      <c r="K4880" s="63" t="s">
        <v>5116</v>
      </c>
      <c r="L4880" s="58" t="s">
        <v>2737</v>
      </c>
      <c r="M4880" s="94">
        <v>40.82</v>
      </c>
      <c r="N4880" s="94">
        <v>-96.7</v>
      </c>
      <c r="O4880" s="94">
        <v>360</v>
      </c>
      <c r="P4880" s="58"/>
      <c r="Q4880" s="244">
        <v>11</v>
      </c>
      <c r="R4880" s="58"/>
      <c r="S4880" s="245">
        <v>680</v>
      </c>
      <c r="T4880" s="58"/>
      <c r="U4880" s="58" t="s">
        <v>1688</v>
      </c>
      <c r="V4880" s="244">
        <v>6</v>
      </c>
      <c r="W4880" s="174"/>
      <c r="X4880" s="174"/>
      <c r="Y4880" s="58" t="s">
        <v>5922</v>
      </c>
      <c r="Z4880" s="244" t="s">
        <v>1357</v>
      </c>
      <c r="AA4880" s="245">
        <v>15</v>
      </c>
      <c r="AB4880" s="67"/>
      <c r="AC4880" s="67"/>
      <c r="AD4880" s="94"/>
      <c r="AE4880" s="94"/>
      <c r="AF4880" s="94"/>
      <c r="AG4880" s="245">
        <v>35</v>
      </c>
      <c r="AH4880" s="58" t="s">
        <v>1022</v>
      </c>
      <c r="AI4880" s="169"/>
      <c r="AJ4880" s="94"/>
      <c r="AK4880" s="94"/>
      <c r="AL4880" s="58"/>
      <c r="AM4880" s="58" t="s">
        <v>5924</v>
      </c>
      <c r="AN4880" s="186"/>
      <c r="AO4880" s="185" t="s">
        <v>5150</v>
      </c>
      <c r="AP4880" s="58"/>
      <c r="AQ4880" s="58"/>
      <c r="AR4880" s="58"/>
      <c r="AS4880" s="246" t="s">
        <v>5133</v>
      </c>
      <c r="AT4880" s="247">
        <v>1</v>
      </c>
      <c r="AU4880" s="181" t="s">
        <v>7494</v>
      </c>
      <c r="AV4880" s="185" t="s">
        <v>176</v>
      </c>
      <c r="AW4880" s="244">
        <v>1</v>
      </c>
      <c r="AX4880" s="185" t="s">
        <v>176</v>
      </c>
      <c r="AY4880" s="244" t="s">
        <v>176</v>
      </c>
      <c r="AZ4880" s="58"/>
      <c r="BA4880" s="58"/>
      <c r="BB4880" s="58"/>
      <c r="BC4880" s="58"/>
      <c r="BD4880" s="58"/>
      <c r="BE4880" s="236" t="s">
        <v>5175</v>
      </c>
      <c r="BF4880" s="191" t="s">
        <v>479</v>
      </c>
      <c r="BG4880" s="191" t="s">
        <v>479</v>
      </c>
      <c r="BH4880" s="236" t="s">
        <v>5243</v>
      </c>
      <c r="BI4880" s="191" t="s">
        <v>479</v>
      </c>
      <c r="BJ4880" s="58" t="str">
        <f>IF(BE4880=BH4880,"No","yes")</f>
        <v>yes</v>
      </c>
      <c r="BK4880" s="58" t="s">
        <v>6334</v>
      </c>
      <c r="BL4880" s="58" t="s">
        <v>5739</v>
      </c>
      <c r="BM4880" s="237" t="s">
        <v>160</v>
      </c>
      <c r="BN4880" s="244">
        <v>4</v>
      </c>
      <c r="BO4880" s="244">
        <v>4</v>
      </c>
      <c r="BP4880" s="58"/>
      <c r="BQ4880" s="58"/>
      <c r="BR4880" s="58"/>
      <c r="BS4880" s="58"/>
      <c r="BT4880" s="58"/>
      <c r="BU4880" s="58"/>
      <c r="BV4880" s="58" t="s">
        <v>5933</v>
      </c>
      <c r="BW4880" s="67"/>
      <c r="BX4880" s="67"/>
      <c r="BY4880" s="67"/>
      <c r="BZ4880" s="67"/>
      <c r="CA4880" s="67"/>
      <c r="CB4880" s="70"/>
      <c r="CC4880" s="70"/>
      <c r="CD4880" s="70"/>
      <c r="CE4880" s="67"/>
      <c r="CF4880" s="67"/>
      <c r="CG4880" s="67"/>
      <c r="CH4880" s="245">
        <v>1.38</v>
      </c>
      <c r="CI4880" s="245">
        <v>1.36</v>
      </c>
      <c r="CJ4880" s="67"/>
      <c r="CK4880" s="67"/>
      <c r="CL4880" s="67"/>
      <c r="CM4880" s="242">
        <f>CR4880/(100*100*CH4880*AA4880/100)*100</f>
        <v>1.2318840579710146</v>
      </c>
      <c r="CN4880" s="242">
        <f>CS4880/(100*100*CI4880*AA4880/100)*100</f>
        <v>1.3235294117647056</v>
      </c>
      <c r="CO4880" s="242"/>
      <c r="CP4880" s="242"/>
      <c r="CQ4880" s="242"/>
      <c r="CR4880" s="242">
        <v>25.5</v>
      </c>
      <c r="CS4880" s="242">
        <v>27</v>
      </c>
      <c r="CT4880" s="242"/>
      <c r="CU4880" s="242"/>
      <c r="CV4880" s="242" t="s">
        <v>873</v>
      </c>
      <c r="CW4880" s="242"/>
      <c r="CX4880" s="242"/>
      <c r="CY4880" s="242"/>
      <c r="CZ4880" s="242"/>
      <c r="DA4880" s="67"/>
      <c r="DB4880" s="67">
        <v>9</v>
      </c>
      <c r="DC4880" s="67">
        <v>20</v>
      </c>
      <c r="DD4880" s="67"/>
      <c r="DE4880" s="67"/>
      <c r="DF4880" s="67" t="s">
        <v>5932</v>
      </c>
      <c r="DG4880" s="67">
        <v>9</v>
      </c>
      <c r="DH4880" s="67">
        <v>21</v>
      </c>
      <c r="DI4880" s="67"/>
      <c r="DJ4880" s="67"/>
      <c r="DK4880" s="67" t="s">
        <v>5931</v>
      </c>
      <c r="DL4880" s="67"/>
      <c r="DM4880" s="67"/>
      <c r="DN4880" s="67"/>
      <c r="DO4880" s="67"/>
      <c r="DP4880" s="67"/>
      <c r="DQ4880" s="166">
        <v>6.8</v>
      </c>
      <c r="DR4880" s="166">
        <v>6.9</v>
      </c>
      <c r="DS4880" s="163"/>
      <c r="DT4880" s="163"/>
      <c r="DU4880" s="67"/>
      <c r="DV4880" s="67"/>
      <c r="DW4880" s="67"/>
      <c r="DX4880" s="67"/>
      <c r="DY4880" s="67"/>
      <c r="DZ4880" s="67"/>
      <c r="EA4880" s="67"/>
      <c r="EB4880" s="67"/>
      <c r="EC4880" s="67"/>
      <c r="ED4880" s="67"/>
      <c r="EE4880" s="67"/>
      <c r="EF4880" s="67"/>
      <c r="EG4880" s="67"/>
      <c r="EH4880" s="67"/>
      <c r="EI4880" s="67"/>
      <c r="EJ4880" s="67"/>
      <c r="EK4880" s="94"/>
      <c r="EL4880" s="94"/>
      <c r="EM4880" s="67"/>
      <c r="EN4880" s="67"/>
      <c r="EO4880" s="67"/>
      <c r="EP4880" s="67"/>
      <c r="EQ4880" s="67"/>
      <c r="ER4880" s="67"/>
      <c r="ES4880" s="67"/>
      <c r="ET4880" s="67"/>
      <c r="EU4880" s="67"/>
      <c r="EV4880" s="67"/>
      <c r="EW4880" s="67"/>
      <c r="EX4880" s="67"/>
      <c r="EY4880" s="67"/>
      <c r="EZ4880" s="67"/>
      <c r="FA4880" s="67"/>
      <c r="FB4880" s="67"/>
      <c r="FC4880" s="67"/>
      <c r="FD4880" s="67"/>
      <c r="FE4880" s="67"/>
      <c r="FF4880" s="67"/>
      <c r="FG4880" s="67"/>
      <c r="FH4880" s="67"/>
      <c r="FI4880" s="67"/>
      <c r="FJ4880" s="67"/>
      <c r="FK4880" s="67"/>
      <c r="FL4880" s="67"/>
      <c r="FM4880" s="67"/>
      <c r="FN4880" s="67"/>
      <c r="FO4880" s="67"/>
      <c r="FP4880" s="67"/>
      <c r="FQ4880" s="67"/>
      <c r="FR4880" s="67"/>
      <c r="FS4880" s="67"/>
      <c r="FT4880" s="67"/>
      <c r="FU4880" s="67"/>
      <c r="FV4880" s="67"/>
      <c r="FW4880" s="67"/>
      <c r="FX4880" s="67"/>
      <c r="FY4880" s="67"/>
      <c r="FZ4880" s="67"/>
      <c r="GA4880" s="67"/>
      <c r="GB4880" s="67"/>
      <c r="GC4880" s="67"/>
      <c r="GD4880" s="67"/>
      <c r="GE4880" s="67"/>
      <c r="GF4880" s="67"/>
      <c r="GG4880" s="67"/>
      <c r="GH4880" s="67"/>
      <c r="GI4880" s="67"/>
      <c r="GJ4880" s="67"/>
      <c r="GK4880" s="67"/>
      <c r="GL4880" s="67"/>
      <c r="GM4880" s="67"/>
      <c r="GN4880" s="292"/>
      <c r="GO4880" s="292"/>
      <c r="GP4880" s="292" t="s">
        <v>7494</v>
      </c>
      <c r="GQ4880" s="67"/>
      <c r="GR4880" s="67"/>
      <c r="GS4880" s="67"/>
      <c r="GT4880" s="67"/>
      <c r="GU4880" s="67"/>
      <c r="GV4880" s="67"/>
      <c r="GW4880" s="67"/>
      <c r="GX4880" s="67"/>
      <c r="GY4880" s="67"/>
      <c r="GZ4880" s="67"/>
      <c r="HA4880" s="67"/>
      <c r="HB4880" s="67"/>
      <c r="HC4880" s="67"/>
      <c r="HD4880" s="67"/>
      <c r="HE4880" s="67"/>
      <c r="HF4880" s="67"/>
      <c r="HG4880" s="67"/>
      <c r="HH4880" s="67"/>
      <c r="HI4880" s="67"/>
      <c r="HJ4880" s="67"/>
      <c r="HK4880" s="67"/>
      <c r="HL4880" s="67"/>
      <c r="HM4880" s="67"/>
      <c r="HN4880" s="67"/>
      <c r="HO4880" s="67"/>
      <c r="HP4880" s="67"/>
      <c r="HQ4880" s="67"/>
      <c r="HR4880" s="67"/>
      <c r="HS4880" s="67"/>
      <c r="HT4880" s="67"/>
      <c r="HU4880" s="67"/>
      <c r="HV4880" s="67"/>
      <c r="HW4880" s="67"/>
      <c r="HX4880" s="67"/>
      <c r="HY4880" s="67"/>
      <c r="HZ4880" s="67"/>
      <c r="IA4880" s="67"/>
      <c r="IB4880" s="67"/>
      <c r="IC4880" s="67"/>
      <c r="ID4880" s="67"/>
      <c r="IE4880" s="67"/>
      <c r="IF4880" s="67"/>
      <c r="IG4880" s="67"/>
      <c r="IH4880" s="67"/>
      <c r="II4880" s="67"/>
      <c r="IJ4880" s="67"/>
      <c r="IK4880" s="67"/>
      <c r="IL4880" s="67"/>
      <c r="IM4880" s="67"/>
      <c r="IN4880" s="67"/>
      <c r="IO4880" s="67"/>
      <c r="IP4880" s="67"/>
      <c r="IQ4880" s="67"/>
      <c r="IR4880" s="67"/>
      <c r="IS4880" s="67"/>
      <c r="IT4880" s="67"/>
      <c r="IU4880" s="67"/>
      <c r="IV4880" s="67"/>
      <c r="IW4880" s="67"/>
      <c r="IX4880" s="67"/>
      <c r="IY4880" s="67"/>
      <c r="IZ4880" s="67"/>
      <c r="JA4880" s="67"/>
      <c r="JB4880" s="67"/>
      <c r="JC4880" s="67"/>
      <c r="JD4880" s="67"/>
      <c r="JE4880" s="67"/>
      <c r="JF4880" s="67"/>
      <c r="JG4880" s="67">
        <v>900</v>
      </c>
      <c r="JH4880" s="67">
        <v>900</v>
      </c>
      <c r="JI4880" s="67"/>
      <c r="JJ4880" s="67"/>
      <c r="JK4880" s="67" t="s">
        <v>5932</v>
      </c>
      <c r="JL4880" s="67"/>
      <c r="JM4880" s="67"/>
      <c r="JN4880" s="67"/>
      <c r="JO4880" s="67"/>
      <c r="JP4880" s="67"/>
      <c r="JQ4880" s="67"/>
      <c r="JR4880" s="67"/>
      <c r="JS4880" s="67"/>
      <c r="JT4880" s="67"/>
      <c r="JU4880" s="58"/>
      <c r="JV4880" s="58"/>
      <c r="JW4880" s="58"/>
    </row>
    <row r="4881" spans="1:283" s="23" customFormat="1" x14ac:dyDescent="0.25">
      <c r="A4881" s="55">
        <v>4880</v>
      </c>
      <c r="B4881" s="12" t="s">
        <v>7067</v>
      </c>
      <c r="C4881" s="156">
        <v>227</v>
      </c>
      <c r="D4881" s="58" t="s">
        <v>5929</v>
      </c>
      <c r="E4881" s="160" t="str">
        <f>G4881</f>
        <v>Fraser et al 1988_pair2_total</v>
      </c>
      <c r="F4881" s="160"/>
      <c r="G4881" s="60" t="s">
        <v>4807</v>
      </c>
      <c r="H4881" s="58">
        <v>1988</v>
      </c>
      <c r="I4881" s="58" t="s">
        <v>5923</v>
      </c>
      <c r="J4881" s="243" t="s">
        <v>916</v>
      </c>
      <c r="K4881" s="63" t="s">
        <v>5116</v>
      </c>
      <c r="L4881" s="58" t="s">
        <v>2737</v>
      </c>
      <c r="M4881" s="94">
        <v>40.82</v>
      </c>
      <c r="N4881" s="94">
        <v>-96.7</v>
      </c>
      <c r="O4881" s="94">
        <v>360</v>
      </c>
      <c r="P4881" s="58"/>
      <c r="Q4881" s="244">
        <v>11</v>
      </c>
      <c r="R4881" s="58"/>
      <c r="S4881" s="245">
        <v>680</v>
      </c>
      <c r="T4881" s="58"/>
      <c r="U4881" s="58" t="s">
        <v>1688</v>
      </c>
      <c r="V4881" s="244">
        <v>6</v>
      </c>
      <c r="W4881" s="174"/>
      <c r="X4881" s="174"/>
      <c r="Y4881" s="58" t="s">
        <v>5922</v>
      </c>
      <c r="Z4881" s="244" t="s">
        <v>1357</v>
      </c>
      <c r="AA4881" s="245">
        <v>15</v>
      </c>
      <c r="AB4881" s="67"/>
      <c r="AC4881" s="67"/>
      <c r="AD4881" s="94"/>
      <c r="AE4881" s="94"/>
      <c r="AF4881" s="94"/>
      <c r="AG4881" s="245">
        <v>35</v>
      </c>
      <c r="AH4881" s="58" t="s">
        <v>1022</v>
      </c>
      <c r="AI4881" s="169"/>
      <c r="AJ4881" s="94"/>
      <c r="AK4881" s="94"/>
      <c r="AL4881" s="58"/>
      <c r="AM4881" s="58" t="s">
        <v>5924</v>
      </c>
      <c r="AN4881" s="186"/>
      <c r="AO4881" s="185" t="s">
        <v>5150</v>
      </c>
      <c r="AP4881" s="58"/>
      <c r="AQ4881" s="58"/>
      <c r="AR4881" s="58"/>
      <c r="AS4881" s="246" t="s">
        <v>5133</v>
      </c>
      <c r="AT4881" s="247">
        <v>1</v>
      </c>
      <c r="AU4881" s="181" t="s">
        <v>7494</v>
      </c>
      <c r="AV4881" s="185" t="s">
        <v>176</v>
      </c>
      <c r="AW4881" s="244">
        <v>1</v>
      </c>
      <c r="AX4881" s="185" t="s">
        <v>176</v>
      </c>
      <c r="AY4881" s="244" t="s">
        <v>176</v>
      </c>
      <c r="AZ4881" s="58"/>
      <c r="BA4881" s="58"/>
      <c r="BB4881" s="58"/>
      <c r="BC4881" s="58"/>
      <c r="BD4881" s="58"/>
      <c r="BE4881" s="236" t="s">
        <v>5176</v>
      </c>
      <c r="BF4881" s="191" t="s">
        <v>479</v>
      </c>
      <c r="BG4881" s="191" t="s">
        <v>479</v>
      </c>
      <c r="BH4881" s="236" t="s">
        <v>5243</v>
      </c>
      <c r="BI4881" s="191" t="s">
        <v>479</v>
      </c>
      <c r="BJ4881" s="58" t="str">
        <f>IF(BE4881=BH4881,"No","yes")</f>
        <v>yes</v>
      </c>
      <c r="BK4881" s="58" t="s">
        <v>6334</v>
      </c>
      <c r="BL4881" s="58" t="s">
        <v>5739</v>
      </c>
      <c r="BM4881" s="237" t="s">
        <v>160</v>
      </c>
      <c r="BN4881" s="244">
        <v>4</v>
      </c>
      <c r="BO4881" s="244">
        <v>4</v>
      </c>
      <c r="BP4881" s="58"/>
      <c r="BQ4881" s="58"/>
      <c r="BR4881" s="58"/>
      <c r="BS4881" s="58"/>
      <c r="BT4881" s="58"/>
      <c r="BU4881" s="58"/>
      <c r="BV4881" s="58" t="s">
        <v>5933</v>
      </c>
      <c r="BW4881" s="67"/>
      <c r="BX4881" s="67"/>
      <c r="BY4881" s="67"/>
      <c r="BZ4881" s="67"/>
      <c r="CA4881" s="67"/>
      <c r="CB4881" s="70"/>
      <c r="CC4881" s="70"/>
      <c r="CD4881" s="70"/>
      <c r="CE4881" s="67"/>
      <c r="CF4881" s="67"/>
      <c r="CG4881" s="67"/>
      <c r="CH4881" s="245">
        <v>1.37</v>
      </c>
      <c r="CI4881" s="245">
        <v>1.36</v>
      </c>
      <c r="CJ4881" s="67"/>
      <c r="CK4881" s="67"/>
      <c r="CL4881" s="67"/>
      <c r="CM4881" s="242">
        <f>CR4881/(100*100*CH4881*AA4881/100)*100</f>
        <v>1.3138686131386859</v>
      </c>
      <c r="CN4881" s="242">
        <f>CS4881/(100*100*CI4881*AA4881/100)*100</f>
        <v>1.3235294117647056</v>
      </c>
      <c r="CO4881" s="242"/>
      <c r="CP4881" s="242"/>
      <c r="CQ4881" s="242"/>
      <c r="CR4881" s="242">
        <v>27</v>
      </c>
      <c r="CS4881" s="242">
        <v>27</v>
      </c>
      <c r="CT4881" s="242"/>
      <c r="CU4881" s="242"/>
      <c r="CV4881" s="242" t="s">
        <v>873</v>
      </c>
      <c r="CW4881" s="242"/>
      <c r="CX4881" s="242"/>
      <c r="CY4881" s="242"/>
      <c r="CZ4881" s="242"/>
      <c r="DA4881" s="67"/>
      <c r="DB4881" s="67">
        <v>13</v>
      </c>
      <c r="DC4881" s="67">
        <v>20</v>
      </c>
      <c r="DD4881" s="67"/>
      <c r="DE4881" s="67"/>
      <c r="DF4881" s="67" t="s">
        <v>5932</v>
      </c>
      <c r="DG4881" s="67">
        <v>10</v>
      </c>
      <c r="DH4881" s="67">
        <v>21</v>
      </c>
      <c r="DI4881" s="67"/>
      <c r="DJ4881" s="67"/>
      <c r="DK4881" s="67" t="s">
        <v>5931</v>
      </c>
      <c r="DL4881" s="67"/>
      <c r="DM4881" s="67"/>
      <c r="DN4881" s="67"/>
      <c r="DO4881" s="67"/>
      <c r="DP4881" s="67"/>
      <c r="DQ4881" s="166">
        <v>6.6</v>
      </c>
      <c r="DR4881" s="166">
        <v>6.9</v>
      </c>
      <c r="DS4881" s="163"/>
      <c r="DT4881" s="163"/>
      <c r="DU4881" s="67"/>
      <c r="DV4881" s="67"/>
      <c r="DW4881" s="67"/>
      <c r="DX4881" s="67"/>
      <c r="DY4881" s="67"/>
      <c r="DZ4881" s="67"/>
      <c r="EA4881" s="67"/>
      <c r="EB4881" s="67"/>
      <c r="EC4881" s="67"/>
      <c r="ED4881" s="67"/>
      <c r="EE4881" s="67"/>
      <c r="EF4881" s="67"/>
      <c r="EG4881" s="67"/>
      <c r="EH4881" s="67"/>
      <c r="EI4881" s="67"/>
      <c r="EJ4881" s="67"/>
      <c r="EK4881" s="94"/>
      <c r="EL4881" s="94"/>
      <c r="EM4881" s="67"/>
      <c r="EN4881" s="67"/>
      <c r="EO4881" s="67"/>
      <c r="EP4881" s="67"/>
      <c r="EQ4881" s="67"/>
      <c r="ER4881" s="67"/>
      <c r="ES4881" s="67"/>
      <c r="ET4881" s="67"/>
      <c r="EU4881" s="67"/>
      <c r="EV4881" s="67"/>
      <c r="EW4881" s="67"/>
      <c r="EX4881" s="67"/>
      <c r="EY4881" s="67"/>
      <c r="EZ4881" s="67"/>
      <c r="FA4881" s="67"/>
      <c r="FB4881" s="67"/>
      <c r="FC4881" s="67"/>
      <c r="FD4881" s="67"/>
      <c r="FE4881" s="67"/>
      <c r="FF4881" s="67"/>
      <c r="FG4881" s="67"/>
      <c r="FH4881" s="67"/>
      <c r="FI4881" s="67"/>
      <c r="FJ4881" s="67"/>
      <c r="FK4881" s="67"/>
      <c r="FL4881" s="67"/>
      <c r="FM4881" s="67"/>
      <c r="FN4881" s="67"/>
      <c r="FO4881" s="67"/>
      <c r="FP4881" s="67"/>
      <c r="FQ4881" s="67"/>
      <c r="FR4881" s="67"/>
      <c r="FS4881" s="67"/>
      <c r="FT4881" s="67"/>
      <c r="FU4881" s="67"/>
      <c r="FV4881" s="67"/>
      <c r="FW4881" s="67"/>
      <c r="FX4881" s="67"/>
      <c r="FY4881" s="67"/>
      <c r="FZ4881" s="67"/>
      <c r="GA4881" s="67"/>
      <c r="GB4881" s="67"/>
      <c r="GC4881" s="67"/>
      <c r="GD4881" s="67"/>
      <c r="GE4881" s="67"/>
      <c r="GF4881" s="67"/>
      <c r="GG4881" s="67"/>
      <c r="GH4881" s="67"/>
      <c r="GI4881" s="67"/>
      <c r="GJ4881" s="67"/>
      <c r="GK4881" s="67"/>
      <c r="GL4881" s="67"/>
      <c r="GM4881" s="67"/>
      <c r="GN4881" s="292"/>
      <c r="GO4881" s="292"/>
      <c r="GP4881" s="292" t="s">
        <v>7494</v>
      </c>
      <c r="GQ4881" s="67"/>
      <c r="GR4881" s="67"/>
      <c r="GS4881" s="67"/>
      <c r="GT4881" s="67"/>
      <c r="GU4881" s="67"/>
      <c r="GV4881" s="67"/>
      <c r="GW4881" s="67"/>
      <c r="GX4881" s="67"/>
      <c r="GY4881" s="67"/>
      <c r="GZ4881" s="67"/>
      <c r="HA4881" s="67"/>
      <c r="HB4881" s="67"/>
      <c r="HC4881" s="67"/>
      <c r="HD4881" s="67"/>
      <c r="HE4881" s="67"/>
      <c r="HF4881" s="67"/>
      <c r="HG4881" s="67"/>
      <c r="HH4881" s="67"/>
      <c r="HI4881" s="67"/>
      <c r="HJ4881" s="67"/>
      <c r="HK4881" s="67"/>
      <c r="HL4881" s="67"/>
      <c r="HM4881" s="67"/>
      <c r="HN4881" s="67"/>
      <c r="HO4881" s="67"/>
      <c r="HP4881" s="67"/>
      <c r="HQ4881" s="67"/>
      <c r="HR4881" s="67"/>
      <c r="HS4881" s="67"/>
      <c r="HT4881" s="67"/>
      <c r="HU4881" s="67"/>
      <c r="HV4881" s="67"/>
      <c r="HW4881" s="67"/>
      <c r="HX4881" s="67"/>
      <c r="HY4881" s="67"/>
      <c r="HZ4881" s="67"/>
      <c r="IA4881" s="67"/>
      <c r="IB4881" s="67"/>
      <c r="IC4881" s="67"/>
      <c r="ID4881" s="67"/>
      <c r="IE4881" s="67"/>
      <c r="IF4881" s="67"/>
      <c r="IG4881" s="67"/>
      <c r="IH4881" s="67"/>
      <c r="II4881" s="67"/>
      <c r="IJ4881" s="67"/>
      <c r="IK4881" s="67"/>
      <c r="IL4881" s="67"/>
      <c r="IM4881" s="67"/>
      <c r="IN4881" s="67"/>
      <c r="IO4881" s="67"/>
      <c r="IP4881" s="67"/>
      <c r="IQ4881" s="67"/>
      <c r="IR4881" s="67"/>
      <c r="IS4881" s="67"/>
      <c r="IT4881" s="67"/>
      <c r="IU4881" s="67"/>
      <c r="IV4881" s="67"/>
      <c r="IW4881" s="67"/>
      <c r="IX4881" s="67"/>
      <c r="IY4881" s="67"/>
      <c r="IZ4881" s="67"/>
      <c r="JA4881" s="67"/>
      <c r="JB4881" s="67"/>
      <c r="JC4881" s="67"/>
      <c r="JD4881" s="67"/>
      <c r="JE4881" s="67"/>
      <c r="JF4881" s="67"/>
      <c r="JG4881" s="67">
        <v>880</v>
      </c>
      <c r="JH4881" s="67">
        <v>900</v>
      </c>
      <c r="JI4881" s="67"/>
      <c r="JJ4881" s="67"/>
      <c r="JK4881" s="67" t="s">
        <v>5932</v>
      </c>
      <c r="JL4881" s="67"/>
      <c r="JM4881" s="67"/>
      <c r="JN4881" s="67"/>
      <c r="JO4881" s="67"/>
      <c r="JP4881" s="67"/>
      <c r="JQ4881" s="67"/>
      <c r="JR4881" s="67"/>
      <c r="JS4881" s="67"/>
      <c r="JT4881" s="67"/>
      <c r="JU4881" s="58"/>
      <c r="JV4881" s="58"/>
      <c r="JW4881" s="58"/>
    </row>
    <row r="4882" spans="1:283" s="23" customFormat="1" x14ac:dyDescent="0.25">
      <c r="A4882" s="55">
        <v>4881</v>
      </c>
      <c r="B4882" s="12" t="s">
        <v>7067</v>
      </c>
      <c r="C4882" s="156">
        <v>227</v>
      </c>
      <c r="D4882" s="58" t="s">
        <v>5930</v>
      </c>
      <c r="E4882" s="160" t="str">
        <f>G4882</f>
        <v>Fraser et al 1988_pair3_total</v>
      </c>
      <c r="F4882" s="160"/>
      <c r="G4882" s="60" t="s">
        <v>4806</v>
      </c>
      <c r="H4882" s="58">
        <v>1988</v>
      </c>
      <c r="I4882" s="58" t="s">
        <v>5923</v>
      </c>
      <c r="J4882" s="243" t="s">
        <v>916</v>
      </c>
      <c r="K4882" s="63" t="s">
        <v>5116</v>
      </c>
      <c r="L4882" s="58" t="s">
        <v>2737</v>
      </c>
      <c r="M4882" s="94">
        <v>40.82</v>
      </c>
      <c r="N4882" s="94">
        <v>-96.7</v>
      </c>
      <c r="O4882" s="94">
        <v>360</v>
      </c>
      <c r="P4882" s="58"/>
      <c r="Q4882" s="244">
        <v>11</v>
      </c>
      <c r="R4882" s="58"/>
      <c r="S4882" s="245">
        <v>680</v>
      </c>
      <c r="T4882" s="58"/>
      <c r="U4882" s="58" t="s">
        <v>1688</v>
      </c>
      <c r="V4882" s="244">
        <v>6</v>
      </c>
      <c r="W4882" s="174"/>
      <c r="X4882" s="174"/>
      <c r="Y4882" s="58" t="s">
        <v>5922</v>
      </c>
      <c r="Z4882" s="244" t="s">
        <v>1357</v>
      </c>
      <c r="AA4882" s="245">
        <v>15</v>
      </c>
      <c r="AB4882" s="67"/>
      <c r="AC4882" s="67"/>
      <c r="AD4882" s="94"/>
      <c r="AE4882" s="94"/>
      <c r="AF4882" s="94"/>
      <c r="AG4882" s="245">
        <v>35</v>
      </c>
      <c r="AH4882" s="58" t="s">
        <v>1022</v>
      </c>
      <c r="AI4882" s="169"/>
      <c r="AJ4882" s="94"/>
      <c r="AK4882" s="94"/>
      <c r="AL4882" s="58"/>
      <c r="AM4882" s="58" t="s">
        <v>5924</v>
      </c>
      <c r="AN4882" s="186"/>
      <c r="AO4882" s="185" t="s">
        <v>5150</v>
      </c>
      <c r="AP4882" s="58"/>
      <c r="AQ4882" s="58"/>
      <c r="AR4882" s="58"/>
      <c r="AS4882" s="246" t="s">
        <v>5133</v>
      </c>
      <c r="AT4882" s="247">
        <v>1</v>
      </c>
      <c r="AU4882" s="181" t="s">
        <v>7494</v>
      </c>
      <c r="AV4882" s="185" t="s">
        <v>176</v>
      </c>
      <c r="AW4882" s="244">
        <v>1</v>
      </c>
      <c r="AX4882" s="185" t="s">
        <v>176</v>
      </c>
      <c r="AY4882" s="244" t="s">
        <v>176</v>
      </c>
      <c r="AZ4882" s="58"/>
      <c r="BA4882" s="58"/>
      <c r="BB4882" s="58"/>
      <c r="BC4882" s="58"/>
      <c r="BD4882" s="58"/>
      <c r="BE4882" s="236" t="s">
        <v>5176</v>
      </c>
      <c r="BF4882" s="191" t="s">
        <v>479</v>
      </c>
      <c r="BG4882" s="191" t="s">
        <v>479</v>
      </c>
      <c r="BH4882" s="236" t="s">
        <v>5243</v>
      </c>
      <c r="BI4882" s="191" t="s">
        <v>479</v>
      </c>
      <c r="BJ4882" s="58" t="str">
        <f>IF(BE4882=BH4882,"No","yes")</f>
        <v>yes</v>
      </c>
      <c r="BK4882" s="58" t="s">
        <v>6334</v>
      </c>
      <c r="BL4882" s="58" t="s">
        <v>5739</v>
      </c>
      <c r="BM4882" s="237" t="s">
        <v>160</v>
      </c>
      <c r="BN4882" s="244">
        <v>4</v>
      </c>
      <c r="BO4882" s="244">
        <v>4</v>
      </c>
      <c r="BP4882" s="58"/>
      <c r="BQ4882" s="58"/>
      <c r="BR4882" s="58"/>
      <c r="BS4882" s="58"/>
      <c r="BT4882" s="58"/>
      <c r="BU4882" s="58"/>
      <c r="BV4882" s="58" t="s">
        <v>5933</v>
      </c>
      <c r="BW4882" s="67"/>
      <c r="BX4882" s="67"/>
      <c r="BY4882" s="67"/>
      <c r="BZ4882" s="67"/>
      <c r="CA4882" s="67"/>
      <c r="CB4882" s="70"/>
      <c r="CC4882" s="70"/>
      <c r="CD4882" s="70"/>
      <c r="CE4882" s="67"/>
      <c r="CF4882" s="67"/>
      <c r="CG4882" s="67"/>
      <c r="CH4882" s="245">
        <v>1.36</v>
      </c>
      <c r="CI4882" s="245">
        <v>1.36</v>
      </c>
      <c r="CJ4882" s="67"/>
      <c r="CK4882" s="67"/>
      <c r="CL4882" s="67"/>
      <c r="CM4882" s="242">
        <f>CR4882/(100*100*CH4882*AA4882/100)*100</f>
        <v>1.3235294117647056</v>
      </c>
      <c r="CN4882" s="242">
        <f>CS4882/(100*100*CI4882*AA4882/100)*100</f>
        <v>1.3235294117647056</v>
      </c>
      <c r="CO4882" s="242"/>
      <c r="CP4882" s="242"/>
      <c r="CQ4882" s="242"/>
      <c r="CR4882" s="242">
        <v>27</v>
      </c>
      <c r="CS4882" s="242">
        <v>27</v>
      </c>
      <c r="CT4882" s="242"/>
      <c r="CU4882" s="242"/>
      <c r="CV4882" s="242" t="s">
        <v>873</v>
      </c>
      <c r="CW4882" s="242"/>
      <c r="CX4882" s="242"/>
      <c r="CY4882" s="242"/>
      <c r="CZ4882" s="242"/>
      <c r="DA4882" s="67"/>
      <c r="DB4882" s="67">
        <v>17</v>
      </c>
      <c r="DC4882" s="67">
        <v>20</v>
      </c>
      <c r="DD4882" s="67"/>
      <c r="DE4882" s="67"/>
      <c r="DF4882" s="67" t="s">
        <v>5932</v>
      </c>
      <c r="DG4882" s="67">
        <v>10</v>
      </c>
      <c r="DH4882" s="67">
        <v>21</v>
      </c>
      <c r="DI4882" s="67"/>
      <c r="DJ4882" s="67"/>
      <c r="DK4882" s="67" t="s">
        <v>5931</v>
      </c>
      <c r="DL4882" s="67"/>
      <c r="DM4882" s="67"/>
      <c r="DN4882" s="67"/>
      <c r="DO4882" s="67"/>
      <c r="DP4882" s="67"/>
      <c r="DQ4882" s="166">
        <v>6.6</v>
      </c>
      <c r="DR4882" s="166">
        <v>6.9</v>
      </c>
      <c r="DS4882" s="163"/>
      <c r="DT4882" s="163"/>
      <c r="DU4882" s="67"/>
      <c r="DV4882" s="67"/>
      <c r="DW4882" s="67"/>
      <c r="DX4882" s="67"/>
      <c r="DY4882" s="67"/>
      <c r="DZ4882" s="67"/>
      <c r="EA4882" s="67"/>
      <c r="EB4882" s="67"/>
      <c r="EC4882" s="67"/>
      <c r="ED4882" s="67"/>
      <c r="EE4882" s="67"/>
      <c r="EF4882" s="67"/>
      <c r="EG4882" s="67"/>
      <c r="EH4882" s="67"/>
      <c r="EI4882" s="67"/>
      <c r="EJ4882" s="67"/>
      <c r="EK4882" s="94"/>
      <c r="EL4882" s="94"/>
      <c r="EM4882" s="67"/>
      <c r="EN4882" s="67"/>
      <c r="EO4882" s="67"/>
      <c r="EP4882" s="67"/>
      <c r="EQ4882" s="67"/>
      <c r="ER4882" s="67"/>
      <c r="ES4882" s="67"/>
      <c r="ET4882" s="67"/>
      <c r="EU4882" s="67"/>
      <c r="EV4882" s="67"/>
      <c r="EW4882" s="67"/>
      <c r="EX4882" s="67"/>
      <c r="EY4882" s="67"/>
      <c r="EZ4882" s="67"/>
      <c r="FA4882" s="67"/>
      <c r="FB4882" s="67"/>
      <c r="FC4882" s="67"/>
      <c r="FD4882" s="67"/>
      <c r="FE4882" s="67"/>
      <c r="FF4882" s="67"/>
      <c r="FG4882" s="67"/>
      <c r="FH4882" s="67"/>
      <c r="FI4882" s="67"/>
      <c r="FJ4882" s="67"/>
      <c r="FK4882" s="67"/>
      <c r="FL4882" s="67"/>
      <c r="FM4882" s="67"/>
      <c r="FN4882" s="67"/>
      <c r="FO4882" s="67"/>
      <c r="FP4882" s="67"/>
      <c r="FQ4882" s="67"/>
      <c r="FR4882" s="67"/>
      <c r="FS4882" s="67"/>
      <c r="FT4882" s="67"/>
      <c r="FU4882" s="67"/>
      <c r="FV4882" s="67"/>
      <c r="FW4882" s="67"/>
      <c r="FX4882" s="67"/>
      <c r="FY4882" s="67"/>
      <c r="FZ4882" s="67"/>
      <c r="GA4882" s="67"/>
      <c r="GB4882" s="67"/>
      <c r="GC4882" s="67"/>
      <c r="GD4882" s="67"/>
      <c r="GE4882" s="67"/>
      <c r="GF4882" s="67"/>
      <c r="GG4882" s="67"/>
      <c r="GH4882" s="67"/>
      <c r="GI4882" s="67"/>
      <c r="GJ4882" s="67"/>
      <c r="GK4882" s="67"/>
      <c r="GL4882" s="67"/>
      <c r="GM4882" s="67"/>
      <c r="GN4882" s="292"/>
      <c r="GO4882" s="292"/>
      <c r="GP4882" s="292" t="s">
        <v>7494</v>
      </c>
      <c r="GQ4882" s="67"/>
      <c r="GR4882" s="67"/>
      <c r="GS4882" s="67"/>
      <c r="GT4882" s="67"/>
      <c r="GU4882" s="67"/>
      <c r="GV4882" s="67"/>
      <c r="GW4882" s="67"/>
      <c r="GX4882" s="67"/>
      <c r="GY4882" s="67"/>
      <c r="GZ4882" s="67"/>
      <c r="HA4882" s="67"/>
      <c r="HB4882" s="67"/>
      <c r="HC4882" s="67"/>
      <c r="HD4882" s="67"/>
      <c r="HE4882" s="67"/>
      <c r="HF4882" s="67"/>
      <c r="HG4882" s="67"/>
      <c r="HH4882" s="67"/>
      <c r="HI4882" s="67"/>
      <c r="HJ4882" s="67"/>
      <c r="HK4882" s="67"/>
      <c r="HL4882" s="67"/>
      <c r="HM4882" s="67"/>
      <c r="HN4882" s="67"/>
      <c r="HO4882" s="67"/>
      <c r="HP4882" s="67"/>
      <c r="HQ4882" s="67"/>
      <c r="HR4882" s="67"/>
      <c r="HS4882" s="67"/>
      <c r="HT4882" s="67"/>
      <c r="HU4882" s="67"/>
      <c r="HV4882" s="67"/>
      <c r="HW4882" s="67"/>
      <c r="HX4882" s="67"/>
      <c r="HY4882" s="67"/>
      <c r="HZ4882" s="67"/>
      <c r="IA4882" s="67"/>
      <c r="IB4882" s="67"/>
      <c r="IC4882" s="67"/>
      <c r="ID4882" s="67"/>
      <c r="IE4882" s="67"/>
      <c r="IF4882" s="67"/>
      <c r="IG4882" s="67"/>
      <c r="IH4882" s="67"/>
      <c r="II4882" s="67"/>
      <c r="IJ4882" s="67"/>
      <c r="IK4882" s="67"/>
      <c r="IL4882" s="67"/>
      <c r="IM4882" s="67"/>
      <c r="IN4882" s="67"/>
      <c r="IO4882" s="67"/>
      <c r="IP4882" s="67"/>
      <c r="IQ4882" s="67"/>
      <c r="IR4882" s="67"/>
      <c r="IS4882" s="67"/>
      <c r="IT4882" s="67"/>
      <c r="IU4882" s="67"/>
      <c r="IV4882" s="67"/>
      <c r="IW4882" s="67"/>
      <c r="IX4882" s="67"/>
      <c r="IY4882" s="67"/>
      <c r="IZ4882" s="67"/>
      <c r="JA4882" s="67"/>
      <c r="JB4882" s="67"/>
      <c r="JC4882" s="67"/>
      <c r="JD4882" s="67"/>
      <c r="JE4882" s="67"/>
      <c r="JF4882" s="67"/>
      <c r="JG4882" s="67">
        <v>870</v>
      </c>
      <c r="JH4882" s="67">
        <v>900</v>
      </c>
      <c r="JI4882" s="67"/>
      <c r="JJ4882" s="67"/>
      <c r="JK4882" s="67" t="s">
        <v>5932</v>
      </c>
      <c r="JL4882" s="67"/>
      <c r="JM4882" s="67"/>
      <c r="JN4882" s="67"/>
      <c r="JO4882" s="67"/>
      <c r="JP4882" s="67"/>
      <c r="JQ4882" s="67"/>
      <c r="JR4882" s="67"/>
      <c r="JS4882" s="67"/>
      <c r="JT4882" s="67"/>
      <c r="JU4882" s="58"/>
      <c r="JV4882" s="58"/>
      <c r="JW4882" s="58"/>
    </row>
    <row r="4883" spans="1:283" s="23" customFormat="1" x14ac:dyDescent="0.25">
      <c r="A4883" s="55">
        <v>4882</v>
      </c>
      <c r="B4883" s="12" t="s">
        <v>7067</v>
      </c>
      <c r="C4883" s="156">
        <v>227</v>
      </c>
      <c r="D4883" s="58" t="s">
        <v>4921</v>
      </c>
      <c r="E4883" s="160" t="str">
        <f>G4883</f>
        <v>Fraser et al 1988_pair1_total</v>
      </c>
      <c r="F4883" s="160"/>
      <c r="G4883" s="60" t="s">
        <v>4808</v>
      </c>
      <c r="H4883" s="58">
        <v>1988</v>
      </c>
      <c r="I4883" s="58" t="s">
        <v>5923</v>
      </c>
      <c r="J4883" s="243" t="s">
        <v>916</v>
      </c>
      <c r="K4883" s="63" t="s">
        <v>5116</v>
      </c>
      <c r="L4883" s="58" t="s">
        <v>2737</v>
      </c>
      <c r="M4883" s="94">
        <v>40.82</v>
      </c>
      <c r="N4883" s="94">
        <v>-96.7</v>
      </c>
      <c r="O4883" s="94">
        <v>360</v>
      </c>
      <c r="P4883" s="58"/>
      <c r="Q4883" s="244">
        <v>11</v>
      </c>
      <c r="R4883" s="58"/>
      <c r="S4883" s="245">
        <v>680</v>
      </c>
      <c r="T4883" s="58"/>
      <c r="U4883" s="58" t="s">
        <v>1688</v>
      </c>
      <c r="V4883" s="244">
        <v>6</v>
      </c>
      <c r="W4883" s="174"/>
      <c r="X4883" s="174"/>
      <c r="Y4883" s="58" t="s">
        <v>5922</v>
      </c>
      <c r="Z4883" s="244" t="s">
        <v>1347</v>
      </c>
      <c r="AA4883" s="245">
        <v>7.5</v>
      </c>
      <c r="AB4883" s="67"/>
      <c r="AC4883" s="67"/>
      <c r="AD4883" s="94"/>
      <c r="AE4883" s="94"/>
      <c r="AF4883" s="94"/>
      <c r="AG4883" s="245">
        <v>35</v>
      </c>
      <c r="AH4883" s="58" t="s">
        <v>1022</v>
      </c>
      <c r="AI4883" s="169"/>
      <c r="AJ4883" s="94"/>
      <c r="AK4883" s="94"/>
      <c r="AL4883" s="58"/>
      <c r="AM4883" s="58" t="s">
        <v>5924</v>
      </c>
      <c r="AN4883" s="186"/>
      <c r="AO4883" s="185" t="s">
        <v>5150</v>
      </c>
      <c r="AP4883" s="58"/>
      <c r="AQ4883" s="58"/>
      <c r="AR4883" s="58"/>
      <c r="AS4883" s="246" t="s">
        <v>5133</v>
      </c>
      <c r="AT4883" s="247">
        <v>1</v>
      </c>
      <c r="AU4883" s="181" t="s">
        <v>7494</v>
      </c>
      <c r="AV4883" s="185" t="s">
        <v>176</v>
      </c>
      <c r="AW4883" s="244">
        <v>1</v>
      </c>
      <c r="AX4883" s="185" t="s">
        <v>176</v>
      </c>
      <c r="AY4883" s="244" t="s">
        <v>176</v>
      </c>
      <c r="AZ4883" s="58"/>
      <c r="BA4883" s="58"/>
      <c r="BB4883" s="58"/>
      <c r="BC4883" s="58"/>
      <c r="BD4883" s="58"/>
      <c r="BE4883" s="236" t="s">
        <v>5175</v>
      </c>
      <c r="BF4883" s="191" t="s">
        <v>479</v>
      </c>
      <c r="BG4883" s="191" t="s">
        <v>479</v>
      </c>
      <c r="BH4883" s="236" t="s">
        <v>5243</v>
      </c>
      <c r="BI4883" s="191" t="s">
        <v>479</v>
      </c>
      <c r="BJ4883" s="58" t="str">
        <f>IF(BE4883=BH4883,"No","yes")</f>
        <v>yes</v>
      </c>
      <c r="BK4883" s="58" t="s">
        <v>6334</v>
      </c>
      <c r="BL4883" s="58" t="s">
        <v>5739</v>
      </c>
      <c r="BM4883" s="237" t="s">
        <v>160</v>
      </c>
      <c r="BN4883" s="244">
        <v>4</v>
      </c>
      <c r="BO4883" s="244">
        <v>4</v>
      </c>
      <c r="BP4883" s="58"/>
      <c r="BQ4883" s="58"/>
      <c r="BR4883" s="58"/>
      <c r="BS4883" s="58"/>
      <c r="BT4883" s="58"/>
      <c r="BU4883" s="58"/>
      <c r="BV4883" s="58" t="s">
        <v>5935</v>
      </c>
      <c r="BW4883" s="67"/>
      <c r="BX4883" s="67"/>
      <c r="BY4883" s="67"/>
      <c r="BZ4883" s="67"/>
      <c r="CA4883" s="67"/>
      <c r="CB4883" s="70"/>
      <c r="CC4883" s="70"/>
      <c r="CD4883" s="70"/>
      <c r="CE4883" s="67"/>
      <c r="CF4883" s="67"/>
      <c r="CG4883" s="67"/>
      <c r="CH4883" s="245"/>
      <c r="CI4883" s="245"/>
      <c r="CJ4883" s="67"/>
      <c r="CK4883" s="67"/>
      <c r="CL4883" s="67"/>
      <c r="CM4883" s="242"/>
      <c r="CN4883" s="242"/>
      <c r="CO4883" s="242"/>
      <c r="CP4883" s="242"/>
      <c r="CQ4883" s="242"/>
      <c r="CR4883" s="242"/>
      <c r="CS4883" s="242"/>
      <c r="CT4883" s="242"/>
      <c r="CU4883" s="242"/>
      <c r="CV4883" s="242"/>
      <c r="CW4883" s="242"/>
      <c r="CX4883" s="242"/>
      <c r="CY4883" s="242"/>
      <c r="CZ4883" s="242"/>
      <c r="DA4883" s="67"/>
      <c r="DB4883" s="67">
        <v>13</v>
      </c>
      <c r="DC4883" s="67">
        <v>10</v>
      </c>
      <c r="DD4883" s="67"/>
      <c r="DE4883" s="67"/>
      <c r="DF4883" s="67" t="s">
        <v>5932</v>
      </c>
      <c r="DG4883" s="67"/>
      <c r="DH4883" s="67"/>
      <c r="DI4883" s="67"/>
      <c r="DJ4883" s="67"/>
      <c r="DK4883" s="67"/>
      <c r="DL4883" s="67"/>
      <c r="DM4883" s="67"/>
      <c r="DN4883" s="67"/>
      <c r="DO4883" s="67"/>
      <c r="DP4883" s="67"/>
      <c r="DQ4883" s="166"/>
      <c r="DR4883" s="166"/>
      <c r="DS4883" s="163"/>
      <c r="DT4883" s="163"/>
      <c r="DU4883" s="67"/>
      <c r="DV4883" s="67"/>
      <c r="DW4883" s="67"/>
      <c r="DX4883" s="67"/>
      <c r="DY4883" s="67"/>
      <c r="DZ4883" s="67"/>
      <c r="EA4883" s="67"/>
      <c r="EB4883" s="67"/>
      <c r="EC4883" s="67"/>
      <c r="ED4883" s="67"/>
      <c r="EE4883" s="67"/>
      <c r="EF4883" s="67"/>
      <c r="EG4883" s="67"/>
      <c r="EH4883" s="67"/>
      <c r="EI4883" s="67"/>
      <c r="EJ4883" s="67"/>
      <c r="EK4883" s="94"/>
      <c r="EL4883" s="94"/>
      <c r="EM4883" s="67"/>
      <c r="EN4883" s="67"/>
      <c r="EO4883" s="67"/>
      <c r="EP4883" s="67"/>
      <c r="EQ4883" s="67"/>
      <c r="ER4883" s="67"/>
      <c r="ES4883" s="67"/>
      <c r="ET4883" s="67"/>
      <c r="EU4883" s="67"/>
      <c r="EV4883" s="67"/>
      <c r="EW4883" s="67"/>
      <c r="EX4883" s="67"/>
      <c r="EY4883" s="67"/>
      <c r="EZ4883" s="67"/>
      <c r="FA4883" s="67"/>
      <c r="FB4883" s="67"/>
      <c r="FC4883" s="67"/>
      <c r="FD4883" s="67"/>
      <c r="FE4883" s="67"/>
      <c r="FF4883" s="67"/>
      <c r="FG4883" s="67"/>
      <c r="FH4883" s="67"/>
      <c r="FI4883" s="67"/>
      <c r="FJ4883" s="67"/>
      <c r="FK4883" s="67"/>
      <c r="FL4883" s="67"/>
      <c r="FM4883" s="67"/>
      <c r="FN4883" s="67"/>
      <c r="FO4883" s="67"/>
      <c r="FP4883" s="67"/>
      <c r="FQ4883" s="67"/>
      <c r="FR4883" s="67"/>
      <c r="FS4883" s="67"/>
      <c r="FT4883" s="67"/>
      <c r="FU4883" s="67"/>
      <c r="FV4883" s="67"/>
      <c r="FW4883" s="67"/>
      <c r="FX4883" s="67"/>
      <c r="FY4883" s="67"/>
      <c r="FZ4883" s="67"/>
      <c r="GA4883" s="67"/>
      <c r="GB4883" s="67"/>
      <c r="GC4883" s="67"/>
      <c r="GD4883" s="67"/>
      <c r="GE4883" s="67"/>
      <c r="GF4883" s="67"/>
      <c r="GG4883" s="67"/>
      <c r="GH4883" s="67"/>
      <c r="GI4883" s="67"/>
      <c r="GJ4883" s="67"/>
      <c r="GK4883" s="67"/>
      <c r="GL4883" s="67"/>
      <c r="GM4883" s="67"/>
      <c r="GN4883" s="292"/>
      <c r="GO4883" s="292"/>
      <c r="GP4883" s="292" t="s">
        <v>7494</v>
      </c>
      <c r="GQ4883" s="67"/>
      <c r="GR4883" s="67"/>
      <c r="GS4883" s="67"/>
      <c r="GT4883" s="67"/>
      <c r="GU4883" s="67"/>
      <c r="GV4883" s="67"/>
      <c r="GW4883" s="67"/>
      <c r="GX4883" s="67"/>
      <c r="GY4883" s="67"/>
      <c r="GZ4883" s="67"/>
      <c r="HA4883" s="67"/>
      <c r="HB4883" s="67"/>
      <c r="HC4883" s="67"/>
      <c r="HD4883" s="67"/>
      <c r="HE4883" s="67"/>
      <c r="HF4883" s="67"/>
      <c r="HG4883" s="67"/>
      <c r="HH4883" s="67"/>
      <c r="HI4883" s="67"/>
      <c r="HJ4883" s="67"/>
      <c r="HK4883" s="67"/>
      <c r="HL4883" s="67"/>
      <c r="HM4883" s="67"/>
      <c r="HN4883" s="67"/>
      <c r="HO4883" s="67"/>
      <c r="HP4883" s="67"/>
      <c r="HQ4883" s="67"/>
      <c r="HR4883" s="67"/>
      <c r="HS4883" s="67"/>
      <c r="HT4883" s="67"/>
      <c r="HU4883" s="67"/>
      <c r="HV4883" s="67"/>
      <c r="HW4883" s="67"/>
      <c r="HX4883" s="67"/>
      <c r="HY4883" s="67"/>
      <c r="HZ4883" s="67"/>
      <c r="IA4883" s="67"/>
      <c r="IB4883" s="67"/>
      <c r="IC4883" s="67"/>
      <c r="ID4883" s="67"/>
      <c r="IE4883" s="67"/>
      <c r="IF4883" s="67"/>
      <c r="IG4883" s="67"/>
      <c r="IH4883" s="67"/>
      <c r="II4883" s="67"/>
      <c r="IJ4883" s="67"/>
      <c r="IK4883" s="67"/>
      <c r="IL4883" s="67"/>
      <c r="IM4883" s="67"/>
      <c r="IN4883" s="67"/>
      <c r="IO4883" s="67"/>
      <c r="IP4883" s="67"/>
      <c r="IQ4883" s="67"/>
      <c r="IR4883" s="67"/>
      <c r="IS4883" s="67"/>
      <c r="IT4883" s="67"/>
      <c r="IU4883" s="67"/>
      <c r="IV4883" s="67"/>
      <c r="IW4883" s="67"/>
      <c r="IX4883" s="67"/>
      <c r="IY4883" s="67"/>
      <c r="IZ4883" s="67"/>
      <c r="JA4883" s="67"/>
      <c r="JB4883" s="67"/>
      <c r="JC4883" s="67"/>
      <c r="JD4883" s="67"/>
      <c r="JE4883" s="67"/>
      <c r="JF4883" s="67"/>
      <c r="JG4883" s="67">
        <v>760</v>
      </c>
      <c r="JH4883" s="67">
        <v>840</v>
      </c>
      <c r="JI4883" s="67"/>
      <c r="JJ4883" s="67"/>
      <c r="JK4883" s="67" t="s">
        <v>5932</v>
      </c>
      <c r="JL4883" s="67"/>
      <c r="JM4883" s="67"/>
      <c r="JN4883" s="67"/>
      <c r="JO4883" s="67"/>
      <c r="JP4883" s="67"/>
      <c r="JQ4883" s="67"/>
      <c r="JR4883" s="67"/>
      <c r="JS4883" s="67"/>
      <c r="JT4883" s="67"/>
      <c r="JU4883" s="58"/>
      <c r="JV4883" s="58"/>
      <c r="JW4883" s="58"/>
    </row>
    <row r="4884" spans="1:283" s="23" customFormat="1" x14ac:dyDescent="0.25">
      <c r="A4884" s="55">
        <v>4883</v>
      </c>
      <c r="B4884" s="12" t="s">
        <v>7067</v>
      </c>
      <c r="C4884" s="156">
        <v>227</v>
      </c>
      <c r="D4884" s="58" t="s">
        <v>4922</v>
      </c>
      <c r="E4884" s="160" t="str">
        <f>G4884</f>
        <v>Fraser et al 1988_pair2_total</v>
      </c>
      <c r="F4884" s="160"/>
      <c r="G4884" s="60" t="s">
        <v>4807</v>
      </c>
      <c r="H4884" s="58">
        <v>1988</v>
      </c>
      <c r="I4884" s="58" t="s">
        <v>5923</v>
      </c>
      <c r="J4884" s="243" t="s">
        <v>916</v>
      </c>
      <c r="K4884" s="63" t="s">
        <v>5116</v>
      </c>
      <c r="L4884" s="58" t="s">
        <v>2737</v>
      </c>
      <c r="M4884" s="94">
        <v>40.82</v>
      </c>
      <c r="N4884" s="94">
        <v>-96.7</v>
      </c>
      <c r="O4884" s="94">
        <v>360</v>
      </c>
      <c r="P4884" s="58"/>
      <c r="Q4884" s="244">
        <v>11</v>
      </c>
      <c r="R4884" s="58"/>
      <c r="S4884" s="245">
        <v>680</v>
      </c>
      <c r="T4884" s="58"/>
      <c r="U4884" s="58" t="s">
        <v>1688</v>
      </c>
      <c r="V4884" s="244">
        <v>6</v>
      </c>
      <c r="W4884" s="174"/>
      <c r="X4884" s="174"/>
      <c r="Y4884" s="58" t="s">
        <v>5922</v>
      </c>
      <c r="Z4884" s="244" t="s">
        <v>1347</v>
      </c>
      <c r="AA4884" s="245">
        <v>7.5</v>
      </c>
      <c r="AB4884" s="67"/>
      <c r="AC4884" s="67"/>
      <c r="AD4884" s="94"/>
      <c r="AE4884" s="94"/>
      <c r="AF4884" s="94"/>
      <c r="AG4884" s="245">
        <v>35</v>
      </c>
      <c r="AH4884" s="58" t="s">
        <v>1022</v>
      </c>
      <c r="AI4884" s="169"/>
      <c r="AJ4884" s="94"/>
      <c r="AK4884" s="94"/>
      <c r="AL4884" s="58"/>
      <c r="AM4884" s="58" t="s">
        <v>5924</v>
      </c>
      <c r="AN4884" s="186"/>
      <c r="AO4884" s="185" t="s">
        <v>5150</v>
      </c>
      <c r="AP4884" s="58"/>
      <c r="AQ4884" s="58"/>
      <c r="AR4884" s="58"/>
      <c r="AS4884" s="246" t="s">
        <v>5133</v>
      </c>
      <c r="AT4884" s="247">
        <v>1</v>
      </c>
      <c r="AU4884" s="181" t="s">
        <v>7494</v>
      </c>
      <c r="AV4884" s="185" t="s">
        <v>176</v>
      </c>
      <c r="AW4884" s="244">
        <v>1</v>
      </c>
      <c r="AX4884" s="185" t="s">
        <v>176</v>
      </c>
      <c r="AY4884" s="244" t="s">
        <v>176</v>
      </c>
      <c r="AZ4884" s="58"/>
      <c r="BA4884" s="58"/>
      <c r="BB4884" s="58"/>
      <c r="BC4884" s="58"/>
      <c r="BD4884" s="58"/>
      <c r="BE4884" s="236" t="s">
        <v>5176</v>
      </c>
      <c r="BF4884" s="191" t="s">
        <v>479</v>
      </c>
      <c r="BG4884" s="191" t="s">
        <v>479</v>
      </c>
      <c r="BH4884" s="236" t="s">
        <v>5243</v>
      </c>
      <c r="BI4884" s="191" t="s">
        <v>479</v>
      </c>
      <c r="BJ4884" s="58" t="str">
        <f>IF(BE4884=BH4884,"No","yes")</f>
        <v>yes</v>
      </c>
      <c r="BK4884" s="58" t="s">
        <v>6334</v>
      </c>
      <c r="BL4884" s="58" t="s">
        <v>5739</v>
      </c>
      <c r="BM4884" s="237" t="s">
        <v>160</v>
      </c>
      <c r="BN4884" s="244">
        <v>4</v>
      </c>
      <c r="BO4884" s="244">
        <v>4</v>
      </c>
      <c r="BP4884" s="58"/>
      <c r="BQ4884" s="58"/>
      <c r="BR4884" s="58"/>
      <c r="BS4884" s="58"/>
      <c r="BT4884" s="58"/>
      <c r="BU4884" s="58"/>
      <c r="BV4884" s="58" t="s">
        <v>5935</v>
      </c>
      <c r="BW4884" s="67"/>
      <c r="BX4884" s="67"/>
      <c r="BY4884" s="67"/>
      <c r="BZ4884" s="67"/>
      <c r="CA4884" s="67"/>
      <c r="CB4884" s="70"/>
      <c r="CC4884" s="70"/>
      <c r="CD4884" s="70"/>
      <c r="CE4884" s="67"/>
      <c r="CF4884" s="67"/>
      <c r="CG4884" s="67"/>
      <c r="CH4884" s="245"/>
      <c r="CI4884" s="245"/>
      <c r="CJ4884" s="67"/>
      <c r="CK4884" s="67"/>
      <c r="CL4884" s="67"/>
      <c r="CM4884" s="242"/>
      <c r="CN4884" s="242"/>
      <c r="CO4884" s="242"/>
      <c r="CP4884" s="242"/>
      <c r="CQ4884" s="242"/>
      <c r="CR4884" s="242"/>
      <c r="CS4884" s="242"/>
      <c r="CT4884" s="242"/>
      <c r="CU4884" s="242"/>
      <c r="CV4884" s="242"/>
      <c r="CW4884" s="242"/>
      <c r="CX4884" s="242"/>
      <c r="CY4884" s="242"/>
      <c r="CZ4884" s="242"/>
      <c r="DA4884" s="67"/>
      <c r="DB4884" s="67">
        <v>8</v>
      </c>
      <c r="DC4884" s="67">
        <v>10</v>
      </c>
      <c r="DD4884" s="67"/>
      <c r="DE4884" s="67"/>
      <c r="DF4884" s="67" t="s">
        <v>5932</v>
      </c>
      <c r="DG4884" s="67"/>
      <c r="DH4884" s="67"/>
      <c r="DI4884" s="67"/>
      <c r="DJ4884" s="67"/>
      <c r="DK4884" s="67"/>
      <c r="DL4884" s="67"/>
      <c r="DM4884" s="67"/>
      <c r="DN4884" s="67"/>
      <c r="DO4884" s="67"/>
      <c r="DP4884" s="67"/>
      <c r="DQ4884" s="166"/>
      <c r="DR4884" s="166"/>
      <c r="DS4884" s="163"/>
      <c r="DT4884" s="163"/>
      <c r="DU4884" s="67"/>
      <c r="DV4884" s="67"/>
      <c r="DW4884" s="67"/>
      <c r="DX4884" s="67"/>
      <c r="DY4884" s="67"/>
      <c r="DZ4884" s="67"/>
      <c r="EA4884" s="67"/>
      <c r="EB4884" s="67"/>
      <c r="EC4884" s="67"/>
      <c r="ED4884" s="67"/>
      <c r="EE4884" s="67"/>
      <c r="EF4884" s="67"/>
      <c r="EG4884" s="67"/>
      <c r="EH4884" s="67"/>
      <c r="EI4884" s="67"/>
      <c r="EJ4884" s="67"/>
      <c r="EK4884" s="94"/>
      <c r="EL4884" s="94"/>
      <c r="EM4884" s="67"/>
      <c r="EN4884" s="67"/>
      <c r="EO4884" s="67"/>
      <c r="EP4884" s="67"/>
      <c r="EQ4884" s="67"/>
      <c r="ER4884" s="67"/>
      <c r="ES4884" s="67"/>
      <c r="ET4884" s="67"/>
      <c r="EU4884" s="67"/>
      <c r="EV4884" s="67"/>
      <c r="EW4884" s="67"/>
      <c r="EX4884" s="67"/>
      <c r="EY4884" s="67"/>
      <c r="EZ4884" s="67"/>
      <c r="FA4884" s="67"/>
      <c r="FB4884" s="67"/>
      <c r="FC4884" s="67"/>
      <c r="FD4884" s="67"/>
      <c r="FE4884" s="67"/>
      <c r="FF4884" s="67"/>
      <c r="FG4884" s="67"/>
      <c r="FH4884" s="67"/>
      <c r="FI4884" s="67"/>
      <c r="FJ4884" s="67"/>
      <c r="FK4884" s="67"/>
      <c r="FL4884" s="67"/>
      <c r="FM4884" s="67"/>
      <c r="FN4884" s="67"/>
      <c r="FO4884" s="67"/>
      <c r="FP4884" s="67"/>
      <c r="FQ4884" s="67"/>
      <c r="FR4884" s="67"/>
      <c r="FS4884" s="67"/>
      <c r="FT4884" s="67"/>
      <c r="FU4884" s="67"/>
      <c r="FV4884" s="67"/>
      <c r="FW4884" s="67"/>
      <c r="FX4884" s="67"/>
      <c r="FY4884" s="67"/>
      <c r="FZ4884" s="67"/>
      <c r="GA4884" s="67"/>
      <c r="GB4884" s="67"/>
      <c r="GC4884" s="67"/>
      <c r="GD4884" s="67"/>
      <c r="GE4884" s="67"/>
      <c r="GF4884" s="67"/>
      <c r="GG4884" s="67"/>
      <c r="GH4884" s="67"/>
      <c r="GI4884" s="67"/>
      <c r="GJ4884" s="67"/>
      <c r="GK4884" s="67"/>
      <c r="GL4884" s="67"/>
      <c r="GM4884" s="67"/>
      <c r="GN4884" s="292"/>
      <c r="GO4884" s="292"/>
      <c r="GP4884" s="292" t="s">
        <v>7494</v>
      </c>
      <c r="GQ4884" s="67"/>
      <c r="GR4884" s="67"/>
      <c r="GS4884" s="67"/>
      <c r="GT4884" s="67"/>
      <c r="GU4884" s="67"/>
      <c r="GV4884" s="67"/>
      <c r="GW4884" s="67"/>
      <c r="GX4884" s="67"/>
      <c r="GY4884" s="67"/>
      <c r="GZ4884" s="67"/>
      <c r="HA4884" s="67"/>
      <c r="HB4884" s="67"/>
      <c r="HC4884" s="67"/>
      <c r="HD4884" s="67"/>
      <c r="HE4884" s="67"/>
      <c r="HF4884" s="67"/>
      <c r="HG4884" s="67"/>
      <c r="HH4884" s="67"/>
      <c r="HI4884" s="67"/>
      <c r="HJ4884" s="67"/>
      <c r="HK4884" s="67"/>
      <c r="HL4884" s="67"/>
      <c r="HM4884" s="67"/>
      <c r="HN4884" s="67"/>
      <c r="HO4884" s="67"/>
      <c r="HP4884" s="67"/>
      <c r="HQ4884" s="67"/>
      <c r="HR4884" s="67"/>
      <c r="HS4884" s="67"/>
      <c r="HT4884" s="67"/>
      <c r="HU4884" s="67"/>
      <c r="HV4884" s="67"/>
      <c r="HW4884" s="67"/>
      <c r="HX4884" s="67"/>
      <c r="HY4884" s="67"/>
      <c r="HZ4884" s="67"/>
      <c r="IA4884" s="67"/>
      <c r="IB4884" s="67"/>
      <c r="IC4884" s="67"/>
      <c r="ID4884" s="67"/>
      <c r="IE4884" s="67"/>
      <c r="IF4884" s="67"/>
      <c r="IG4884" s="67"/>
      <c r="IH4884" s="67"/>
      <c r="II4884" s="67"/>
      <c r="IJ4884" s="67"/>
      <c r="IK4884" s="67"/>
      <c r="IL4884" s="67"/>
      <c r="IM4884" s="67"/>
      <c r="IN4884" s="67"/>
      <c r="IO4884" s="67"/>
      <c r="IP4884" s="67"/>
      <c r="IQ4884" s="67"/>
      <c r="IR4884" s="67"/>
      <c r="IS4884" s="67"/>
      <c r="IT4884" s="67"/>
      <c r="IU4884" s="67"/>
      <c r="IV4884" s="67"/>
      <c r="IW4884" s="67"/>
      <c r="IX4884" s="67"/>
      <c r="IY4884" s="67"/>
      <c r="IZ4884" s="67"/>
      <c r="JA4884" s="67"/>
      <c r="JB4884" s="67"/>
      <c r="JC4884" s="67"/>
      <c r="JD4884" s="67"/>
      <c r="JE4884" s="67"/>
      <c r="JF4884" s="67"/>
      <c r="JG4884" s="67">
        <v>740</v>
      </c>
      <c r="JH4884" s="67">
        <v>840</v>
      </c>
      <c r="JI4884" s="67"/>
      <c r="JJ4884" s="67"/>
      <c r="JK4884" s="67" t="s">
        <v>5932</v>
      </c>
      <c r="JL4884" s="67"/>
      <c r="JM4884" s="67"/>
      <c r="JN4884" s="67"/>
      <c r="JO4884" s="67"/>
      <c r="JP4884" s="67"/>
      <c r="JQ4884" s="67"/>
      <c r="JR4884" s="67"/>
      <c r="JS4884" s="67"/>
      <c r="JT4884" s="67"/>
      <c r="JU4884" s="58"/>
      <c r="JV4884" s="58"/>
      <c r="JW4884" s="58"/>
    </row>
    <row r="4885" spans="1:283" s="23" customFormat="1" x14ac:dyDescent="0.25">
      <c r="A4885" s="55">
        <v>4884</v>
      </c>
      <c r="B4885" s="12" t="s">
        <v>7067</v>
      </c>
      <c r="C4885" s="156">
        <v>227</v>
      </c>
      <c r="D4885" s="58" t="s">
        <v>4923</v>
      </c>
      <c r="E4885" s="160" t="str">
        <f>G4885</f>
        <v>Fraser et al 1988_pair3_total</v>
      </c>
      <c r="F4885" s="160"/>
      <c r="G4885" s="60" t="s">
        <v>4806</v>
      </c>
      <c r="H4885" s="58">
        <v>1988</v>
      </c>
      <c r="I4885" s="58" t="s">
        <v>5923</v>
      </c>
      <c r="J4885" s="243" t="s">
        <v>916</v>
      </c>
      <c r="K4885" s="63" t="s">
        <v>5116</v>
      </c>
      <c r="L4885" s="58" t="s">
        <v>2737</v>
      </c>
      <c r="M4885" s="94">
        <v>40.82</v>
      </c>
      <c r="N4885" s="94">
        <v>-96.7</v>
      </c>
      <c r="O4885" s="94">
        <v>360</v>
      </c>
      <c r="P4885" s="58"/>
      <c r="Q4885" s="244">
        <v>11</v>
      </c>
      <c r="R4885" s="58"/>
      <c r="S4885" s="245">
        <v>680</v>
      </c>
      <c r="T4885" s="58"/>
      <c r="U4885" s="58" t="s">
        <v>1688</v>
      </c>
      <c r="V4885" s="244">
        <v>6</v>
      </c>
      <c r="W4885" s="174"/>
      <c r="X4885" s="174"/>
      <c r="Y4885" s="58" t="s">
        <v>5922</v>
      </c>
      <c r="Z4885" s="244" t="s">
        <v>1347</v>
      </c>
      <c r="AA4885" s="245">
        <v>7.5</v>
      </c>
      <c r="AB4885" s="67"/>
      <c r="AC4885" s="67"/>
      <c r="AD4885" s="94"/>
      <c r="AE4885" s="94"/>
      <c r="AF4885" s="94"/>
      <c r="AG4885" s="245">
        <v>35</v>
      </c>
      <c r="AH4885" s="58" t="s">
        <v>1022</v>
      </c>
      <c r="AI4885" s="169"/>
      <c r="AJ4885" s="94"/>
      <c r="AK4885" s="94"/>
      <c r="AL4885" s="58"/>
      <c r="AM4885" s="58" t="s">
        <v>5924</v>
      </c>
      <c r="AN4885" s="186"/>
      <c r="AO4885" s="185" t="s">
        <v>5150</v>
      </c>
      <c r="AP4885" s="58"/>
      <c r="AQ4885" s="58"/>
      <c r="AR4885" s="58"/>
      <c r="AS4885" s="246" t="s">
        <v>5133</v>
      </c>
      <c r="AT4885" s="247">
        <v>1</v>
      </c>
      <c r="AU4885" s="181" t="s">
        <v>7494</v>
      </c>
      <c r="AV4885" s="185" t="s">
        <v>176</v>
      </c>
      <c r="AW4885" s="244">
        <v>1</v>
      </c>
      <c r="AX4885" s="185" t="s">
        <v>176</v>
      </c>
      <c r="AY4885" s="244" t="s">
        <v>176</v>
      </c>
      <c r="AZ4885" s="58"/>
      <c r="BA4885" s="58"/>
      <c r="BB4885" s="58"/>
      <c r="BC4885" s="58"/>
      <c r="BD4885" s="58"/>
      <c r="BE4885" s="236" t="s">
        <v>5176</v>
      </c>
      <c r="BF4885" s="191" t="s">
        <v>479</v>
      </c>
      <c r="BG4885" s="191" t="s">
        <v>479</v>
      </c>
      <c r="BH4885" s="236" t="s">
        <v>5243</v>
      </c>
      <c r="BI4885" s="191" t="s">
        <v>479</v>
      </c>
      <c r="BJ4885" s="58" t="str">
        <f>IF(BE4885=BH4885,"No","yes")</f>
        <v>yes</v>
      </c>
      <c r="BK4885" s="58" t="s">
        <v>6334</v>
      </c>
      <c r="BL4885" s="58" t="s">
        <v>5739</v>
      </c>
      <c r="BM4885" s="237" t="s">
        <v>160</v>
      </c>
      <c r="BN4885" s="244">
        <v>4</v>
      </c>
      <c r="BO4885" s="244">
        <v>4</v>
      </c>
      <c r="BP4885" s="58"/>
      <c r="BQ4885" s="58"/>
      <c r="BR4885" s="58"/>
      <c r="BS4885" s="58"/>
      <c r="BT4885" s="58"/>
      <c r="BU4885" s="58"/>
      <c r="BV4885" s="58" t="s">
        <v>5935</v>
      </c>
      <c r="BW4885" s="67"/>
      <c r="BX4885" s="67"/>
      <c r="BY4885" s="67"/>
      <c r="BZ4885" s="67"/>
      <c r="CA4885" s="67"/>
      <c r="CB4885" s="70"/>
      <c r="CC4885" s="70"/>
      <c r="CD4885" s="70"/>
      <c r="CE4885" s="67"/>
      <c r="CF4885" s="67"/>
      <c r="CG4885" s="67"/>
      <c r="CH4885" s="245"/>
      <c r="CI4885" s="245"/>
      <c r="CJ4885" s="67"/>
      <c r="CK4885" s="67"/>
      <c r="CL4885" s="67"/>
      <c r="CM4885" s="242"/>
      <c r="CN4885" s="242"/>
      <c r="CO4885" s="242"/>
      <c r="CP4885" s="242"/>
      <c r="CQ4885" s="242"/>
      <c r="CR4885" s="242"/>
      <c r="CS4885" s="242"/>
      <c r="CT4885" s="242"/>
      <c r="CU4885" s="242"/>
      <c r="CV4885" s="242"/>
      <c r="CW4885" s="242"/>
      <c r="CX4885" s="242"/>
      <c r="CY4885" s="242"/>
      <c r="CZ4885" s="242"/>
      <c r="DA4885" s="67"/>
      <c r="DB4885" s="67">
        <v>7</v>
      </c>
      <c r="DC4885" s="67">
        <v>10</v>
      </c>
      <c r="DD4885" s="67"/>
      <c r="DE4885" s="67"/>
      <c r="DF4885" s="67" t="s">
        <v>5932</v>
      </c>
      <c r="DG4885" s="67"/>
      <c r="DH4885" s="67"/>
      <c r="DI4885" s="67"/>
      <c r="DJ4885" s="67"/>
      <c r="DK4885" s="67"/>
      <c r="DL4885" s="67"/>
      <c r="DM4885" s="67"/>
      <c r="DN4885" s="67"/>
      <c r="DO4885" s="67"/>
      <c r="DP4885" s="67"/>
      <c r="DQ4885" s="166"/>
      <c r="DR4885" s="166"/>
      <c r="DS4885" s="163"/>
      <c r="DT4885" s="163"/>
      <c r="DU4885" s="67"/>
      <c r="DV4885" s="67"/>
      <c r="DW4885" s="67"/>
      <c r="DX4885" s="67"/>
      <c r="DY4885" s="67"/>
      <c r="DZ4885" s="67"/>
      <c r="EA4885" s="67"/>
      <c r="EB4885" s="67"/>
      <c r="EC4885" s="67"/>
      <c r="ED4885" s="67"/>
      <c r="EE4885" s="67"/>
      <c r="EF4885" s="67"/>
      <c r="EG4885" s="67"/>
      <c r="EH4885" s="67"/>
      <c r="EI4885" s="67"/>
      <c r="EJ4885" s="67"/>
      <c r="EK4885" s="94"/>
      <c r="EL4885" s="94"/>
      <c r="EM4885" s="67"/>
      <c r="EN4885" s="67"/>
      <c r="EO4885" s="67"/>
      <c r="EP4885" s="67"/>
      <c r="EQ4885" s="67"/>
      <c r="ER4885" s="67"/>
      <c r="ES4885" s="67"/>
      <c r="ET4885" s="67"/>
      <c r="EU4885" s="67"/>
      <c r="EV4885" s="67"/>
      <c r="EW4885" s="67"/>
      <c r="EX4885" s="67"/>
      <c r="EY4885" s="67"/>
      <c r="EZ4885" s="67"/>
      <c r="FA4885" s="67"/>
      <c r="FB4885" s="67"/>
      <c r="FC4885" s="67"/>
      <c r="FD4885" s="67"/>
      <c r="FE4885" s="67"/>
      <c r="FF4885" s="67"/>
      <c r="FG4885" s="67"/>
      <c r="FH4885" s="67"/>
      <c r="FI4885" s="67"/>
      <c r="FJ4885" s="67"/>
      <c r="FK4885" s="67"/>
      <c r="FL4885" s="67"/>
      <c r="FM4885" s="67"/>
      <c r="FN4885" s="67"/>
      <c r="FO4885" s="67"/>
      <c r="FP4885" s="67"/>
      <c r="FQ4885" s="67"/>
      <c r="FR4885" s="67"/>
      <c r="FS4885" s="67"/>
      <c r="FT4885" s="67"/>
      <c r="FU4885" s="67"/>
      <c r="FV4885" s="67"/>
      <c r="FW4885" s="67"/>
      <c r="FX4885" s="67"/>
      <c r="FY4885" s="67"/>
      <c r="FZ4885" s="67"/>
      <c r="GA4885" s="67"/>
      <c r="GB4885" s="67"/>
      <c r="GC4885" s="67"/>
      <c r="GD4885" s="67"/>
      <c r="GE4885" s="67"/>
      <c r="GF4885" s="67"/>
      <c r="GG4885" s="67"/>
      <c r="GH4885" s="67"/>
      <c r="GI4885" s="67"/>
      <c r="GJ4885" s="67"/>
      <c r="GK4885" s="67"/>
      <c r="GL4885" s="67"/>
      <c r="GM4885" s="67"/>
      <c r="GN4885" s="292"/>
      <c r="GO4885" s="292"/>
      <c r="GP4885" s="292" t="s">
        <v>7494</v>
      </c>
      <c r="GQ4885" s="67"/>
      <c r="GR4885" s="67"/>
      <c r="GS4885" s="67"/>
      <c r="GT4885" s="67"/>
      <c r="GU4885" s="67"/>
      <c r="GV4885" s="67"/>
      <c r="GW4885" s="67"/>
      <c r="GX4885" s="67"/>
      <c r="GY4885" s="67"/>
      <c r="GZ4885" s="67"/>
      <c r="HA4885" s="67"/>
      <c r="HB4885" s="67"/>
      <c r="HC4885" s="67"/>
      <c r="HD4885" s="67"/>
      <c r="HE4885" s="67"/>
      <c r="HF4885" s="67"/>
      <c r="HG4885" s="67"/>
      <c r="HH4885" s="67"/>
      <c r="HI4885" s="67"/>
      <c r="HJ4885" s="67"/>
      <c r="HK4885" s="67"/>
      <c r="HL4885" s="67"/>
      <c r="HM4885" s="67"/>
      <c r="HN4885" s="67"/>
      <c r="HO4885" s="67"/>
      <c r="HP4885" s="67"/>
      <c r="HQ4885" s="67"/>
      <c r="HR4885" s="67"/>
      <c r="HS4885" s="67"/>
      <c r="HT4885" s="67"/>
      <c r="HU4885" s="67"/>
      <c r="HV4885" s="67"/>
      <c r="HW4885" s="67"/>
      <c r="HX4885" s="67"/>
      <c r="HY4885" s="67"/>
      <c r="HZ4885" s="67"/>
      <c r="IA4885" s="67"/>
      <c r="IB4885" s="67"/>
      <c r="IC4885" s="67"/>
      <c r="ID4885" s="67"/>
      <c r="IE4885" s="67"/>
      <c r="IF4885" s="67"/>
      <c r="IG4885" s="67"/>
      <c r="IH4885" s="67"/>
      <c r="II4885" s="67"/>
      <c r="IJ4885" s="67"/>
      <c r="IK4885" s="67"/>
      <c r="IL4885" s="67"/>
      <c r="IM4885" s="67"/>
      <c r="IN4885" s="67"/>
      <c r="IO4885" s="67"/>
      <c r="IP4885" s="67"/>
      <c r="IQ4885" s="67"/>
      <c r="IR4885" s="67"/>
      <c r="IS4885" s="67"/>
      <c r="IT4885" s="67"/>
      <c r="IU4885" s="67"/>
      <c r="IV4885" s="67"/>
      <c r="IW4885" s="67"/>
      <c r="IX4885" s="67"/>
      <c r="IY4885" s="67"/>
      <c r="IZ4885" s="67"/>
      <c r="JA4885" s="67"/>
      <c r="JB4885" s="67"/>
      <c r="JC4885" s="67"/>
      <c r="JD4885" s="67"/>
      <c r="JE4885" s="67"/>
      <c r="JF4885" s="67"/>
      <c r="JG4885" s="67">
        <v>710</v>
      </c>
      <c r="JH4885" s="67">
        <v>840</v>
      </c>
      <c r="JI4885" s="67"/>
      <c r="JJ4885" s="67"/>
      <c r="JK4885" s="67" t="s">
        <v>5932</v>
      </c>
      <c r="JL4885" s="67"/>
      <c r="JM4885" s="67"/>
      <c r="JN4885" s="67"/>
      <c r="JO4885" s="67"/>
      <c r="JP4885" s="67"/>
      <c r="JQ4885" s="67"/>
      <c r="JR4885" s="67"/>
      <c r="JS4885" s="67"/>
      <c r="JT4885" s="67"/>
      <c r="JU4885" s="58"/>
      <c r="JV4885" s="58"/>
      <c r="JW4885" s="58"/>
    </row>
    <row r="4886" spans="1:283" s="23" customFormat="1" x14ac:dyDescent="0.25">
      <c r="A4886" s="55">
        <v>4885</v>
      </c>
      <c r="B4886" s="12" t="s">
        <v>7067</v>
      </c>
      <c r="C4886" s="156">
        <v>227</v>
      </c>
      <c r="D4886" s="58" t="s">
        <v>5925</v>
      </c>
      <c r="E4886" s="160" t="str">
        <f>G4886</f>
        <v>Fraser et al 1988_pair1_total</v>
      </c>
      <c r="F4886" s="160"/>
      <c r="G4886" s="60" t="s">
        <v>4808</v>
      </c>
      <c r="H4886" s="58">
        <v>1988</v>
      </c>
      <c r="I4886" s="58" t="s">
        <v>5923</v>
      </c>
      <c r="J4886" s="243" t="s">
        <v>916</v>
      </c>
      <c r="K4886" s="63" t="s">
        <v>5116</v>
      </c>
      <c r="L4886" s="58" t="s">
        <v>2737</v>
      </c>
      <c r="M4886" s="94">
        <v>40.82</v>
      </c>
      <c r="N4886" s="94">
        <v>-96.7</v>
      </c>
      <c r="O4886" s="94">
        <v>360</v>
      </c>
      <c r="P4886" s="58"/>
      <c r="Q4886" s="244">
        <v>11</v>
      </c>
      <c r="R4886" s="58"/>
      <c r="S4886" s="245">
        <v>680</v>
      </c>
      <c r="T4886" s="58"/>
      <c r="U4886" s="58" t="s">
        <v>1688</v>
      </c>
      <c r="V4886" s="244">
        <v>6</v>
      </c>
      <c r="W4886" s="174"/>
      <c r="X4886" s="174"/>
      <c r="Y4886" s="58" t="s">
        <v>5922</v>
      </c>
      <c r="Z4886" s="244" t="s">
        <v>1348</v>
      </c>
      <c r="AA4886" s="245">
        <v>7.5</v>
      </c>
      <c r="AB4886" s="67"/>
      <c r="AC4886" s="67"/>
      <c r="AD4886" s="94"/>
      <c r="AE4886" s="94"/>
      <c r="AF4886" s="94"/>
      <c r="AG4886" s="245">
        <v>35</v>
      </c>
      <c r="AH4886" s="58" t="s">
        <v>1022</v>
      </c>
      <c r="AI4886" s="169"/>
      <c r="AJ4886" s="94"/>
      <c r="AK4886" s="94"/>
      <c r="AL4886" s="58"/>
      <c r="AM4886" s="58" t="s">
        <v>5924</v>
      </c>
      <c r="AN4886" s="186"/>
      <c r="AO4886" s="185" t="s">
        <v>5150</v>
      </c>
      <c r="AP4886" s="58"/>
      <c r="AQ4886" s="58"/>
      <c r="AR4886" s="58"/>
      <c r="AS4886" s="246" t="s">
        <v>5133</v>
      </c>
      <c r="AT4886" s="247">
        <v>1</v>
      </c>
      <c r="AU4886" s="181" t="s">
        <v>7494</v>
      </c>
      <c r="AV4886" s="185" t="s">
        <v>176</v>
      </c>
      <c r="AW4886" s="244">
        <v>1</v>
      </c>
      <c r="AX4886" s="185" t="s">
        <v>176</v>
      </c>
      <c r="AY4886" s="244" t="s">
        <v>176</v>
      </c>
      <c r="AZ4886" s="58"/>
      <c r="BA4886" s="58"/>
      <c r="BB4886" s="58"/>
      <c r="BC4886" s="58"/>
      <c r="BD4886" s="58"/>
      <c r="BE4886" s="236" t="s">
        <v>5175</v>
      </c>
      <c r="BF4886" s="191" t="s">
        <v>479</v>
      </c>
      <c r="BG4886" s="191" t="s">
        <v>479</v>
      </c>
      <c r="BH4886" s="236" t="s">
        <v>5243</v>
      </c>
      <c r="BI4886" s="191" t="s">
        <v>479</v>
      </c>
      <c r="BJ4886" s="58" t="str">
        <f>IF(BE4886=BH4886,"No","yes")</f>
        <v>yes</v>
      </c>
      <c r="BK4886" s="58" t="s">
        <v>6334</v>
      </c>
      <c r="BL4886" s="58" t="s">
        <v>5739</v>
      </c>
      <c r="BM4886" s="237" t="s">
        <v>160</v>
      </c>
      <c r="BN4886" s="244">
        <v>4</v>
      </c>
      <c r="BO4886" s="244">
        <v>4</v>
      </c>
      <c r="BP4886" s="58"/>
      <c r="BQ4886" s="58"/>
      <c r="BR4886" s="58"/>
      <c r="BS4886" s="58"/>
      <c r="BT4886" s="58"/>
      <c r="BU4886" s="58"/>
      <c r="BV4886" s="58" t="s">
        <v>5935</v>
      </c>
      <c r="BW4886" s="67"/>
      <c r="BX4886" s="67"/>
      <c r="BY4886" s="67"/>
      <c r="BZ4886" s="67"/>
      <c r="CA4886" s="67"/>
      <c r="CB4886" s="70"/>
      <c r="CC4886" s="70"/>
      <c r="CD4886" s="70"/>
      <c r="CE4886" s="67"/>
      <c r="CF4886" s="67"/>
      <c r="CG4886" s="67"/>
      <c r="CH4886" s="245"/>
      <c r="CI4886" s="245"/>
      <c r="CJ4886" s="67"/>
      <c r="CK4886" s="67"/>
      <c r="CL4886" s="67"/>
      <c r="CM4886" s="242"/>
      <c r="CN4886" s="242"/>
      <c r="CO4886" s="242"/>
      <c r="CP4886" s="242"/>
      <c r="CQ4886" s="242"/>
      <c r="CR4886" s="242"/>
      <c r="CS4886" s="242"/>
      <c r="CT4886" s="242"/>
      <c r="CU4886" s="242"/>
      <c r="CV4886" s="242"/>
      <c r="CW4886" s="242"/>
      <c r="CX4886" s="242"/>
      <c r="CY4886" s="242"/>
      <c r="CZ4886" s="242"/>
      <c r="DA4886" s="67"/>
      <c r="DB4886" s="67">
        <v>15</v>
      </c>
      <c r="DC4886" s="67">
        <v>9</v>
      </c>
      <c r="DD4886" s="67"/>
      <c r="DE4886" s="67"/>
      <c r="DF4886" s="67" t="s">
        <v>5932</v>
      </c>
      <c r="DG4886" s="67"/>
      <c r="DH4886" s="67"/>
      <c r="DI4886" s="67"/>
      <c r="DJ4886" s="67"/>
      <c r="DK4886" s="67"/>
      <c r="DL4886" s="67"/>
      <c r="DM4886" s="67"/>
      <c r="DN4886" s="67"/>
      <c r="DO4886" s="67"/>
      <c r="DP4886" s="67"/>
      <c r="DQ4886" s="166"/>
      <c r="DR4886" s="166"/>
      <c r="DS4886" s="163"/>
      <c r="DT4886" s="163"/>
      <c r="DU4886" s="67"/>
      <c r="DV4886" s="67"/>
      <c r="DW4886" s="67"/>
      <c r="DX4886" s="67"/>
      <c r="DY4886" s="67"/>
      <c r="DZ4886" s="67"/>
      <c r="EA4886" s="67"/>
      <c r="EB4886" s="67"/>
      <c r="EC4886" s="67"/>
      <c r="ED4886" s="67"/>
      <c r="EE4886" s="67"/>
      <c r="EF4886" s="67"/>
      <c r="EG4886" s="67"/>
      <c r="EH4886" s="67"/>
      <c r="EI4886" s="67"/>
      <c r="EJ4886" s="67"/>
      <c r="EK4886" s="94"/>
      <c r="EL4886" s="94"/>
      <c r="EM4886" s="67"/>
      <c r="EN4886" s="67"/>
      <c r="EO4886" s="67"/>
      <c r="EP4886" s="67"/>
      <c r="EQ4886" s="67"/>
      <c r="ER4886" s="67"/>
      <c r="ES4886" s="67"/>
      <c r="ET4886" s="67"/>
      <c r="EU4886" s="67"/>
      <c r="EV4886" s="67"/>
      <c r="EW4886" s="67"/>
      <c r="EX4886" s="67"/>
      <c r="EY4886" s="67"/>
      <c r="EZ4886" s="67"/>
      <c r="FA4886" s="67"/>
      <c r="FB4886" s="67"/>
      <c r="FC4886" s="67"/>
      <c r="FD4886" s="67"/>
      <c r="FE4886" s="67"/>
      <c r="FF4886" s="67"/>
      <c r="FG4886" s="67"/>
      <c r="FH4886" s="67"/>
      <c r="FI4886" s="67"/>
      <c r="FJ4886" s="67"/>
      <c r="FK4886" s="67"/>
      <c r="FL4886" s="67"/>
      <c r="FM4886" s="67"/>
      <c r="FN4886" s="67"/>
      <c r="FO4886" s="67"/>
      <c r="FP4886" s="67"/>
      <c r="FQ4886" s="67"/>
      <c r="FR4886" s="67"/>
      <c r="FS4886" s="67"/>
      <c r="FT4886" s="67"/>
      <c r="FU4886" s="67"/>
      <c r="FV4886" s="67"/>
      <c r="FW4886" s="67"/>
      <c r="FX4886" s="67"/>
      <c r="FY4886" s="67"/>
      <c r="FZ4886" s="67"/>
      <c r="GA4886" s="67"/>
      <c r="GB4886" s="67"/>
      <c r="GC4886" s="67"/>
      <c r="GD4886" s="67"/>
      <c r="GE4886" s="67"/>
      <c r="GF4886" s="67"/>
      <c r="GG4886" s="67"/>
      <c r="GH4886" s="67"/>
      <c r="GI4886" s="67"/>
      <c r="GJ4886" s="67"/>
      <c r="GK4886" s="67"/>
      <c r="GL4886" s="67"/>
      <c r="GM4886" s="67"/>
      <c r="GN4886" s="292"/>
      <c r="GO4886" s="292"/>
      <c r="GP4886" s="292" t="s">
        <v>7494</v>
      </c>
      <c r="GQ4886" s="67"/>
      <c r="GR4886" s="67"/>
      <c r="GS4886" s="67"/>
      <c r="GT4886" s="67"/>
      <c r="GU4886" s="67"/>
      <c r="GV4886" s="67"/>
      <c r="GW4886" s="67"/>
      <c r="GX4886" s="67"/>
      <c r="GY4886" s="67"/>
      <c r="GZ4886" s="67"/>
      <c r="HA4886" s="67"/>
      <c r="HB4886" s="67"/>
      <c r="HC4886" s="67"/>
      <c r="HD4886" s="67"/>
      <c r="HE4886" s="67"/>
      <c r="HF4886" s="67"/>
      <c r="HG4886" s="67"/>
      <c r="HH4886" s="67"/>
      <c r="HI4886" s="67"/>
      <c r="HJ4886" s="67"/>
      <c r="HK4886" s="67"/>
      <c r="HL4886" s="67"/>
      <c r="HM4886" s="67"/>
      <c r="HN4886" s="67"/>
      <c r="HO4886" s="67"/>
      <c r="HP4886" s="67"/>
      <c r="HQ4886" s="67"/>
      <c r="HR4886" s="67"/>
      <c r="HS4886" s="67"/>
      <c r="HT4886" s="67"/>
      <c r="HU4886" s="67"/>
      <c r="HV4886" s="67"/>
      <c r="HW4886" s="67"/>
      <c r="HX4886" s="67"/>
      <c r="HY4886" s="67"/>
      <c r="HZ4886" s="67"/>
      <c r="IA4886" s="67"/>
      <c r="IB4886" s="67"/>
      <c r="IC4886" s="67"/>
      <c r="ID4886" s="67"/>
      <c r="IE4886" s="67"/>
      <c r="IF4886" s="67"/>
      <c r="IG4886" s="67"/>
      <c r="IH4886" s="67"/>
      <c r="II4886" s="67"/>
      <c r="IJ4886" s="67"/>
      <c r="IK4886" s="67"/>
      <c r="IL4886" s="67"/>
      <c r="IM4886" s="67"/>
      <c r="IN4886" s="67"/>
      <c r="IO4886" s="67"/>
      <c r="IP4886" s="67"/>
      <c r="IQ4886" s="67"/>
      <c r="IR4886" s="67"/>
      <c r="IS4886" s="67"/>
      <c r="IT4886" s="67"/>
      <c r="IU4886" s="67"/>
      <c r="IV4886" s="67"/>
      <c r="IW4886" s="67"/>
      <c r="IX4886" s="67"/>
      <c r="IY4886" s="67"/>
      <c r="IZ4886" s="67"/>
      <c r="JA4886" s="67"/>
      <c r="JB4886" s="67"/>
      <c r="JC4886" s="67"/>
      <c r="JD4886" s="67"/>
      <c r="JE4886" s="67"/>
      <c r="JF4886" s="67"/>
      <c r="JG4886" s="67">
        <v>750</v>
      </c>
      <c r="JH4886" s="67">
        <v>750</v>
      </c>
      <c r="JI4886" s="67"/>
      <c r="JJ4886" s="67"/>
      <c r="JK4886" s="67" t="s">
        <v>5932</v>
      </c>
      <c r="JL4886" s="67"/>
      <c r="JM4886" s="67"/>
      <c r="JN4886" s="67"/>
      <c r="JO4886" s="67"/>
      <c r="JP4886" s="67"/>
      <c r="JQ4886" s="67"/>
      <c r="JR4886" s="67"/>
      <c r="JS4886" s="67"/>
      <c r="JT4886" s="67"/>
      <c r="JU4886" s="58"/>
      <c r="JV4886" s="58"/>
      <c r="JW4886" s="58"/>
    </row>
    <row r="4887" spans="1:283" s="23" customFormat="1" x14ac:dyDescent="0.25">
      <c r="A4887" s="55">
        <v>4886</v>
      </c>
      <c r="B4887" s="12" t="s">
        <v>7067</v>
      </c>
      <c r="C4887" s="156">
        <v>227</v>
      </c>
      <c r="D4887" s="58" t="s">
        <v>5926</v>
      </c>
      <c r="E4887" s="160" t="str">
        <f>G4887</f>
        <v>Fraser et al 1988_pair2_total</v>
      </c>
      <c r="F4887" s="160"/>
      <c r="G4887" s="60" t="s">
        <v>4807</v>
      </c>
      <c r="H4887" s="58">
        <v>1988</v>
      </c>
      <c r="I4887" s="58" t="s">
        <v>5923</v>
      </c>
      <c r="J4887" s="243" t="s">
        <v>916</v>
      </c>
      <c r="K4887" s="63" t="s">
        <v>5116</v>
      </c>
      <c r="L4887" s="58" t="s">
        <v>2737</v>
      </c>
      <c r="M4887" s="94">
        <v>40.82</v>
      </c>
      <c r="N4887" s="94">
        <v>-96.7</v>
      </c>
      <c r="O4887" s="94">
        <v>360</v>
      </c>
      <c r="P4887" s="58"/>
      <c r="Q4887" s="244">
        <v>11</v>
      </c>
      <c r="R4887" s="58"/>
      <c r="S4887" s="245">
        <v>680</v>
      </c>
      <c r="T4887" s="58"/>
      <c r="U4887" s="58" t="s">
        <v>1688</v>
      </c>
      <c r="V4887" s="244">
        <v>6</v>
      </c>
      <c r="W4887" s="174"/>
      <c r="X4887" s="174"/>
      <c r="Y4887" s="58" t="s">
        <v>5922</v>
      </c>
      <c r="Z4887" s="244" t="s">
        <v>1348</v>
      </c>
      <c r="AA4887" s="245">
        <v>7.5</v>
      </c>
      <c r="AB4887" s="67"/>
      <c r="AC4887" s="67"/>
      <c r="AD4887" s="94"/>
      <c r="AE4887" s="94"/>
      <c r="AF4887" s="94"/>
      <c r="AG4887" s="245">
        <v>35</v>
      </c>
      <c r="AH4887" s="58" t="s">
        <v>1022</v>
      </c>
      <c r="AI4887" s="169"/>
      <c r="AJ4887" s="94"/>
      <c r="AK4887" s="94"/>
      <c r="AL4887" s="58"/>
      <c r="AM4887" s="58" t="s">
        <v>5924</v>
      </c>
      <c r="AN4887" s="186"/>
      <c r="AO4887" s="185" t="s">
        <v>5150</v>
      </c>
      <c r="AP4887" s="58"/>
      <c r="AQ4887" s="58"/>
      <c r="AR4887" s="58"/>
      <c r="AS4887" s="246" t="s">
        <v>5133</v>
      </c>
      <c r="AT4887" s="247">
        <v>1</v>
      </c>
      <c r="AU4887" s="181" t="s">
        <v>7494</v>
      </c>
      <c r="AV4887" s="185" t="s">
        <v>176</v>
      </c>
      <c r="AW4887" s="244">
        <v>1</v>
      </c>
      <c r="AX4887" s="185" t="s">
        <v>176</v>
      </c>
      <c r="AY4887" s="244" t="s">
        <v>176</v>
      </c>
      <c r="AZ4887" s="58"/>
      <c r="BA4887" s="58"/>
      <c r="BB4887" s="58"/>
      <c r="BC4887" s="58"/>
      <c r="BD4887" s="58"/>
      <c r="BE4887" s="236" t="s">
        <v>5176</v>
      </c>
      <c r="BF4887" s="191" t="s">
        <v>479</v>
      </c>
      <c r="BG4887" s="191" t="s">
        <v>479</v>
      </c>
      <c r="BH4887" s="236" t="s">
        <v>5243</v>
      </c>
      <c r="BI4887" s="191" t="s">
        <v>479</v>
      </c>
      <c r="BJ4887" s="58" t="str">
        <f>IF(BE4887=BH4887,"No","yes")</f>
        <v>yes</v>
      </c>
      <c r="BK4887" s="58" t="s">
        <v>6334</v>
      </c>
      <c r="BL4887" s="58" t="s">
        <v>5739</v>
      </c>
      <c r="BM4887" s="237" t="s">
        <v>160</v>
      </c>
      <c r="BN4887" s="244">
        <v>4</v>
      </c>
      <c r="BO4887" s="244">
        <v>4</v>
      </c>
      <c r="BP4887" s="58"/>
      <c r="BQ4887" s="58"/>
      <c r="BR4887" s="58"/>
      <c r="BS4887" s="58"/>
      <c r="BT4887" s="58"/>
      <c r="BU4887" s="58"/>
      <c r="BV4887" s="58" t="s">
        <v>5935</v>
      </c>
      <c r="BW4887" s="67"/>
      <c r="BX4887" s="67"/>
      <c r="BY4887" s="67"/>
      <c r="BZ4887" s="67"/>
      <c r="CA4887" s="67"/>
      <c r="CB4887" s="70"/>
      <c r="CC4887" s="70"/>
      <c r="CD4887" s="70"/>
      <c r="CE4887" s="67"/>
      <c r="CF4887" s="67"/>
      <c r="CG4887" s="67"/>
      <c r="CH4887" s="245"/>
      <c r="CI4887" s="245"/>
      <c r="CJ4887" s="67"/>
      <c r="CK4887" s="67"/>
      <c r="CL4887" s="67"/>
      <c r="CM4887" s="242"/>
      <c r="CN4887" s="242"/>
      <c r="CO4887" s="242"/>
      <c r="CP4887" s="242"/>
      <c r="CQ4887" s="242"/>
      <c r="CR4887" s="242"/>
      <c r="CS4887" s="242"/>
      <c r="CT4887" s="242"/>
      <c r="CU4887" s="242"/>
      <c r="CV4887" s="242"/>
      <c r="CW4887" s="242"/>
      <c r="CX4887" s="242"/>
      <c r="CY4887" s="242"/>
      <c r="CZ4887" s="242"/>
      <c r="DA4887" s="67"/>
      <c r="DB4887" s="67">
        <v>10</v>
      </c>
      <c r="DC4887" s="67">
        <v>9</v>
      </c>
      <c r="DD4887" s="67"/>
      <c r="DE4887" s="67"/>
      <c r="DF4887" s="67" t="s">
        <v>5932</v>
      </c>
      <c r="DG4887" s="67"/>
      <c r="DH4887" s="67"/>
      <c r="DI4887" s="67"/>
      <c r="DJ4887" s="67"/>
      <c r="DK4887" s="67"/>
      <c r="DL4887" s="67"/>
      <c r="DM4887" s="67"/>
      <c r="DN4887" s="67"/>
      <c r="DO4887" s="67"/>
      <c r="DP4887" s="67"/>
      <c r="DQ4887" s="166"/>
      <c r="DR4887" s="166"/>
      <c r="DS4887" s="163"/>
      <c r="DT4887" s="163"/>
      <c r="DU4887" s="67"/>
      <c r="DV4887" s="67"/>
      <c r="DW4887" s="67"/>
      <c r="DX4887" s="67"/>
      <c r="DY4887" s="67"/>
      <c r="DZ4887" s="67"/>
      <c r="EA4887" s="67"/>
      <c r="EB4887" s="67"/>
      <c r="EC4887" s="67"/>
      <c r="ED4887" s="67"/>
      <c r="EE4887" s="67"/>
      <c r="EF4887" s="67"/>
      <c r="EG4887" s="67"/>
      <c r="EH4887" s="67"/>
      <c r="EI4887" s="67"/>
      <c r="EJ4887" s="67"/>
      <c r="EK4887" s="94"/>
      <c r="EL4887" s="94"/>
      <c r="EM4887" s="67"/>
      <c r="EN4887" s="67"/>
      <c r="EO4887" s="67"/>
      <c r="EP4887" s="67"/>
      <c r="EQ4887" s="67"/>
      <c r="ER4887" s="67"/>
      <c r="ES4887" s="67"/>
      <c r="ET4887" s="67"/>
      <c r="EU4887" s="67"/>
      <c r="EV4887" s="67"/>
      <c r="EW4887" s="67"/>
      <c r="EX4887" s="67"/>
      <c r="EY4887" s="67"/>
      <c r="EZ4887" s="67"/>
      <c r="FA4887" s="67"/>
      <c r="FB4887" s="67"/>
      <c r="FC4887" s="67"/>
      <c r="FD4887" s="67"/>
      <c r="FE4887" s="67"/>
      <c r="FF4887" s="67"/>
      <c r="FG4887" s="67"/>
      <c r="FH4887" s="67"/>
      <c r="FI4887" s="67"/>
      <c r="FJ4887" s="67"/>
      <c r="FK4887" s="67"/>
      <c r="FL4887" s="67"/>
      <c r="FM4887" s="67"/>
      <c r="FN4887" s="67"/>
      <c r="FO4887" s="67"/>
      <c r="FP4887" s="67"/>
      <c r="FQ4887" s="67"/>
      <c r="FR4887" s="67"/>
      <c r="FS4887" s="67"/>
      <c r="FT4887" s="67"/>
      <c r="FU4887" s="67"/>
      <c r="FV4887" s="67"/>
      <c r="FW4887" s="67"/>
      <c r="FX4887" s="67"/>
      <c r="FY4887" s="67"/>
      <c r="FZ4887" s="67"/>
      <c r="GA4887" s="67"/>
      <c r="GB4887" s="67"/>
      <c r="GC4887" s="67"/>
      <c r="GD4887" s="67"/>
      <c r="GE4887" s="67"/>
      <c r="GF4887" s="67"/>
      <c r="GG4887" s="67"/>
      <c r="GH4887" s="67"/>
      <c r="GI4887" s="67"/>
      <c r="GJ4887" s="67"/>
      <c r="GK4887" s="67"/>
      <c r="GL4887" s="67"/>
      <c r="GM4887" s="67"/>
      <c r="GN4887" s="292"/>
      <c r="GO4887" s="292"/>
      <c r="GP4887" s="292" t="s">
        <v>7494</v>
      </c>
      <c r="GQ4887" s="67"/>
      <c r="GR4887" s="67"/>
      <c r="GS4887" s="67"/>
      <c r="GT4887" s="67"/>
      <c r="GU4887" s="67"/>
      <c r="GV4887" s="67"/>
      <c r="GW4887" s="67"/>
      <c r="GX4887" s="67"/>
      <c r="GY4887" s="67"/>
      <c r="GZ4887" s="67"/>
      <c r="HA4887" s="67"/>
      <c r="HB4887" s="67"/>
      <c r="HC4887" s="67"/>
      <c r="HD4887" s="67"/>
      <c r="HE4887" s="67"/>
      <c r="HF4887" s="67"/>
      <c r="HG4887" s="67"/>
      <c r="HH4887" s="67"/>
      <c r="HI4887" s="67"/>
      <c r="HJ4887" s="67"/>
      <c r="HK4887" s="67"/>
      <c r="HL4887" s="67"/>
      <c r="HM4887" s="67"/>
      <c r="HN4887" s="67"/>
      <c r="HO4887" s="67"/>
      <c r="HP4887" s="67"/>
      <c r="HQ4887" s="67"/>
      <c r="HR4887" s="67"/>
      <c r="HS4887" s="67"/>
      <c r="HT4887" s="67"/>
      <c r="HU4887" s="67"/>
      <c r="HV4887" s="67"/>
      <c r="HW4887" s="67"/>
      <c r="HX4887" s="67"/>
      <c r="HY4887" s="67"/>
      <c r="HZ4887" s="67"/>
      <c r="IA4887" s="67"/>
      <c r="IB4887" s="67"/>
      <c r="IC4887" s="67"/>
      <c r="ID4887" s="67"/>
      <c r="IE4887" s="67"/>
      <c r="IF4887" s="67"/>
      <c r="IG4887" s="67"/>
      <c r="IH4887" s="67"/>
      <c r="II4887" s="67"/>
      <c r="IJ4887" s="67"/>
      <c r="IK4887" s="67"/>
      <c r="IL4887" s="67"/>
      <c r="IM4887" s="67"/>
      <c r="IN4887" s="67"/>
      <c r="IO4887" s="67"/>
      <c r="IP4887" s="67"/>
      <c r="IQ4887" s="67"/>
      <c r="IR4887" s="67"/>
      <c r="IS4887" s="67"/>
      <c r="IT4887" s="67"/>
      <c r="IU4887" s="67"/>
      <c r="IV4887" s="67"/>
      <c r="IW4887" s="67"/>
      <c r="IX4887" s="67"/>
      <c r="IY4887" s="67"/>
      <c r="IZ4887" s="67"/>
      <c r="JA4887" s="67"/>
      <c r="JB4887" s="67"/>
      <c r="JC4887" s="67"/>
      <c r="JD4887" s="67"/>
      <c r="JE4887" s="67"/>
      <c r="JF4887" s="67"/>
      <c r="JG4887" s="67">
        <v>700</v>
      </c>
      <c r="JH4887" s="67">
        <v>750</v>
      </c>
      <c r="JI4887" s="67"/>
      <c r="JJ4887" s="67"/>
      <c r="JK4887" s="67" t="s">
        <v>5932</v>
      </c>
      <c r="JL4887" s="67"/>
      <c r="JM4887" s="67"/>
      <c r="JN4887" s="67"/>
      <c r="JO4887" s="67"/>
      <c r="JP4887" s="67"/>
      <c r="JQ4887" s="67"/>
      <c r="JR4887" s="67"/>
      <c r="JS4887" s="67"/>
      <c r="JT4887" s="67"/>
      <c r="JU4887" s="58"/>
      <c r="JV4887" s="58"/>
      <c r="JW4887" s="58"/>
    </row>
    <row r="4888" spans="1:283" s="23" customFormat="1" x14ac:dyDescent="0.25">
      <c r="A4888" s="55">
        <v>4887</v>
      </c>
      <c r="B4888" s="12" t="s">
        <v>7067</v>
      </c>
      <c r="C4888" s="156">
        <v>227</v>
      </c>
      <c r="D4888" s="58" t="s">
        <v>5927</v>
      </c>
      <c r="E4888" s="160" t="str">
        <f>G4888</f>
        <v>Fraser et al 1988_pair3_total</v>
      </c>
      <c r="F4888" s="160"/>
      <c r="G4888" s="60" t="s">
        <v>4806</v>
      </c>
      <c r="H4888" s="58">
        <v>1988</v>
      </c>
      <c r="I4888" s="58" t="s">
        <v>5923</v>
      </c>
      <c r="J4888" s="243" t="s">
        <v>916</v>
      </c>
      <c r="K4888" s="63" t="s">
        <v>5116</v>
      </c>
      <c r="L4888" s="58" t="s">
        <v>2737</v>
      </c>
      <c r="M4888" s="94">
        <v>40.82</v>
      </c>
      <c r="N4888" s="94">
        <v>-96.7</v>
      </c>
      <c r="O4888" s="94">
        <v>360</v>
      </c>
      <c r="P4888" s="58"/>
      <c r="Q4888" s="244">
        <v>11</v>
      </c>
      <c r="R4888" s="58"/>
      <c r="S4888" s="245">
        <v>680</v>
      </c>
      <c r="T4888" s="58"/>
      <c r="U4888" s="58" t="s">
        <v>1688</v>
      </c>
      <c r="V4888" s="244">
        <v>6</v>
      </c>
      <c r="W4888" s="174"/>
      <c r="X4888" s="174"/>
      <c r="Y4888" s="58" t="s">
        <v>5922</v>
      </c>
      <c r="Z4888" s="244" t="s">
        <v>1348</v>
      </c>
      <c r="AA4888" s="245">
        <v>7.5</v>
      </c>
      <c r="AB4888" s="67"/>
      <c r="AC4888" s="67"/>
      <c r="AD4888" s="94"/>
      <c r="AE4888" s="94"/>
      <c r="AF4888" s="94"/>
      <c r="AG4888" s="245">
        <v>35</v>
      </c>
      <c r="AH4888" s="58" t="s">
        <v>1022</v>
      </c>
      <c r="AI4888" s="169"/>
      <c r="AJ4888" s="94"/>
      <c r="AK4888" s="94"/>
      <c r="AL4888" s="58"/>
      <c r="AM4888" s="58" t="s">
        <v>5924</v>
      </c>
      <c r="AN4888" s="186"/>
      <c r="AO4888" s="185" t="s">
        <v>5150</v>
      </c>
      <c r="AP4888" s="58"/>
      <c r="AQ4888" s="58"/>
      <c r="AR4888" s="58"/>
      <c r="AS4888" s="246" t="s">
        <v>5133</v>
      </c>
      <c r="AT4888" s="247">
        <v>1</v>
      </c>
      <c r="AU4888" s="181" t="s">
        <v>7494</v>
      </c>
      <c r="AV4888" s="185" t="s">
        <v>176</v>
      </c>
      <c r="AW4888" s="244">
        <v>1</v>
      </c>
      <c r="AX4888" s="185" t="s">
        <v>176</v>
      </c>
      <c r="AY4888" s="244" t="s">
        <v>176</v>
      </c>
      <c r="AZ4888" s="58"/>
      <c r="BA4888" s="58"/>
      <c r="BB4888" s="58"/>
      <c r="BC4888" s="58"/>
      <c r="BD4888" s="58"/>
      <c r="BE4888" s="236" t="s">
        <v>5176</v>
      </c>
      <c r="BF4888" s="191" t="s">
        <v>479</v>
      </c>
      <c r="BG4888" s="191" t="s">
        <v>479</v>
      </c>
      <c r="BH4888" s="236" t="s">
        <v>5243</v>
      </c>
      <c r="BI4888" s="191" t="s">
        <v>479</v>
      </c>
      <c r="BJ4888" s="58" t="str">
        <f>IF(BE4888=BH4888,"No","yes")</f>
        <v>yes</v>
      </c>
      <c r="BK4888" s="58" t="s">
        <v>6334</v>
      </c>
      <c r="BL4888" s="58" t="s">
        <v>5739</v>
      </c>
      <c r="BM4888" s="237" t="s">
        <v>160</v>
      </c>
      <c r="BN4888" s="244">
        <v>4</v>
      </c>
      <c r="BO4888" s="244">
        <v>4</v>
      </c>
      <c r="BP4888" s="58"/>
      <c r="BQ4888" s="58"/>
      <c r="BR4888" s="58"/>
      <c r="BS4888" s="58"/>
      <c r="BT4888" s="58"/>
      <c r="BU4888" s="58"/>
      <c r="BV4888" s="58" t="s">
        <v>5935</v>
      </c>
      <c r="BW4888" s="67"/>
      <c r="BX4888" s="67"/>
      <c r="BY4888" s="67"/>
      <c r="BZ4888" s="67"/>
      <c r="CA4888" s="67"/>
      <c r="CB4888" s="70"/>
      <c r="CC4888" s="70"/>
      <c r="CD4888" s="70"/>
      <c r="CE4888" s="67"/>
      <c r="CF4888" s="67"/>
      <c r="CG4888" s="67"/>
      <c r="CH4888" s="245"/>
      <c r="CI4888" s="245"/>
      <c r="CJ4888" s="67"/>
      <c r="CK4888" s="67"/>
      <c r="CL4888" s="67"/>
      <c r="CM4888" s="242"/>
      <c r="CN4888" s="242"/>
      <c r="CO4888" s="242"/>
      <c r="CP4888" s="242"/>
      <c r="CQ4888" s="242"/>
      <c r="CR4888" s="242"/>
      <c r="CS4888" s="242"/>
      <c r="CT4888" s="242"/>
      <c r="CU4888" s="242"/>
      <c r="CV4888" s="242"/>
      <c r="CW4888" s="242"/>
      <c r="CX4888" s="242"/>
      <c r="CY4888" s="242"/>
      <c r="CZ4888" s="242"/>
      <c r="DA4888" s="67"/>
      <c r="DB4888" s="67">
        <v>11</v>
      </c>
      <c r="DC4888" s="67">
        <v>9</v>
      </c>
      <c r="DD4888" s="67"/>
      <c r="DE4888" s="67"/>
      <c r="DF4888" s="67" t="s">
        <v>5932</v>
      </c>
      <c r="DG4888" s="67"/>
      <c r="DH4888" s="67"/>
      <c r="DI4888" s="67"/>
      <c r="DJ4888" s="67"/>
      <c r="DK4888" s="67"/>
      <c r="DL4888" s="67"/>
      <c r="DM4888" s="67"/>
      <c r="DN4888" s="67"/>
      <c r="DO4888" s="67"/>
      <c r="DP4888" s="67"/>
      <c r="DQ4888" s="166"/>
      <c r="DR4888" s="166"/>
      <c r="DS4888" s="163"/>
      <c r="DT4888" s="163"/>
      <c r="DU4888" s="67"/>
      <c r="DV4888" s="67"/>
      <c r="DW4888" s="67"/>
      <c r="DX4888" s="67"/>
      <c r="DY4888" s="67"/>
      <c r="DZ4888" s="67"/>
      <c r="EA4888" s="67"/>
      <c r="EB4888" s="67"/>
      <c r="EC4888" s="67"/>
      <c r="ED4888" s="67"/>
      <c r="EE4888" s="67"/>
      <c r="EF4888" s="67"/>
      <c r="EG4888" s="67"/>
      <c r="EH4888" s="67"/>
      <c r="EI4888" s="67"/>
      <c r="EJ4888" s="67"/>
      <c r="EK4888" s="94"/>
      <c r="EL4888" s="94"/>
      <c r="EM4888" s="67"/>
      <c r="EN4888" s="67"/>
      <c r="EO4888" s="67"/>
      <c r="EP4888" s="67"/>
      <c r="EQ4888" s="67"/>
      <c r="ER4888" s="67"/>
      <c r="ES4888" s="67"/>
      <c r="ET4888" s="67"/>
      <c r="EU4888" s="67"/>
      <c r="EV4888" s="67"/>
      <c r="EW4888" s="67"/>
      <c r="EX4888" s="67"/>
      <c r="EY4888" s="67"/>
      <c r="EZ4888" s="67"/>
      <c r="FA4888" s="67"/>
      <c r="FB4888" s="67"/>
      <c r="FC4888" s="67"/>
      <c r="FD4888" s="67"/>
      <c r="FE4888" s="67"/>
      <c r="FF4888" s="67"/>
      <c r="FG4888" s="67"/>
      <c r="FH4888" s="67"/>
      <c r="FI4888" s="67"/>
      <c r="FJ4888" s="67"/>
      <c r="FK4888" s="67"/>
      <c r="FL4888" s="67"/>
      <c r="FM4888" s="67"/>
      <c r="FN4888" s="67"/>
      <c r="FO4888" s="67"/>
      <c r="FP4888" s="67"/>
      <c r="FQ4888" s="67"/>
      <c r="FR4888" s="67"/>
      <c r="FS4888" s="67"/>
      <c r="FT4888" s="67"/>
      <c r="FU4888" s="67"/>
      <c r="FV4888" s="67"/>
      <c r="FW4888" s="67"/>
      <c r="FX4888" s="67"/>
      <c r="FY4888" s="67"/>
      <c r="FZ4888" s="67"/>
      <c r="GA4888" s="67"/>
      <c r="GB4888" s="67"/>
      <c r="GC4888" s="67"/>
      <c r="GD4888" s="67"/>
      <c r="GE4888" s="67"/>
      <c r="GF4888" s="67"/>
      <c r="GG4888" s="67"/>
      <c r="GH4888" s="67"/>
      <c r="GI4888" s="67"/>
      <c r="GJ4888" s="67"/>
      <c r="GK4888" s="67"/>
      <c r="GL4888" s="67"/>
      <c r="GM4888" s="67"/>
      <c r="GN4888" s="292"/>
      <c r="GO4888" s="292"/>
      <c r="GP4888" s="292" t="s">
        <v>7494</v>
      </c>
      <c r="GQ4888" s="67"/>
      <c r="GR4888" s="67"/>
      <c r="GS4888" s="67"/>
      <c r="GT4888" s="67"/>
      <c r="GU4888" s="67"/>
      <c r="GV4888" s="67"/>
      <c r="GW4888" s="67"/>
      <c r="GX4888" s="67"/>
      <c r="GY4888" s="67"/>
      <c r="GZ4888" s="67"/>
      <c r="HA4888" s="67"/>
      <c r="HB4888" s="67"/>
      <c r="HC4888" s="67"/>
      <c r="HD4888" s="67"/>
      <c r="HE4888" s="67"/>
      <c r="HF4888" s="67"/>
      <c r="HG4888" s="67"/>
      <c r="HH4888" s="67"/>
      <c r="HI4888" s="67"/>
      <c r="HJ4888" s="67"/>
      <c r="HK4888" s="67"/>
      <c r="HL4888" s="67"/>
      <c r="HM4888" s="67"/>
      <c r="HN4888" s="67"/>
      <c r="HO4888" s="67"/>
      <c r="HP4888" s="67"/>
      <c r="HQ4888" s="67"/>
      <c r="HR4888" s="67"/>
      <c r="HS4888" s="67"/>
      <c r="HT4888" s="67"/>
      <c r="HU4888" s="67"/>
      <c r="HV4888" s="67"/>
      <c r="HW4888" s="67"/>
      <c r="HX4888" s="67"/>
      <c r="HY4888" s="67"/>
      <c r="HZ4888" s="67"/>
      <c r="IA4888" s="67"/>
      <c r="IB4888" s="67"/>
      <c r="IC4888" s="67"/>
      <c r="ID4888" s="67"/>
      <c r="IE4888" s="67"/>
      <c r="IF4888" s="67"/>
      <c r="IG4888" s="67"/>
      <c r="IH4888" s="67"/>
      <c r="II4888" s="67"/>
      <c r="IJ4888" s="67"/>
      <c r="IK4888" s="67"/>
      <c r="IL4888" s="67"/>
      <c r="IM4888" s="67"/>
      <c r="IN4888" s="67"/>
      <c r="IO4888" s="67"/>
      <c r="IP4888" s="67"/>
      <c r="IQ4888" s="67"/>
      <c r="IR4888" s="67"/>
      <c r="IS4888" s="67"/>
      <c r="IT4888" s="67"/>
      <c r="IU4888" s="67"/>
      <c r="IV4888" s="67"/>
      <c r="IW4888" s="67"/>
      <c r="IX4888" s="67"/>
      <c r="IY4888" s="67"/>
      <c r="IZ4888" s="67"/>
      <c r="JA4888" s="67"/>
      <c r="JB4888" s="67"/>
      <c r="JC4888" s="67"/>
      <c r="JD4888" s="67"/>
      <c r="JE4888" s="67"/>
      <c r="JF4888" s="67"/>
      <c r="JG4888" s="67">
        <v>720</v>
      </c>
      <c r="JH4888" s="67">
        <v>750</v>
      </c>
      <c r="JI4888" s="67"/>
      <c r="JJ4888" s="67"/>
      <c r="JK4888" s="67" t="s">
        <v>5932</v>
      </c>
      <c r="JL4888" s="67"/>
      <c r="JM4888" s="67"/>
      <c r="JN4888" s="67"/>
      <c r="JO4888" s="67"/>
      <c r="JP4888" s="67"/>
      <c r="JQ4888" s="67"/>
      <c r="JR4888" s="67"/>
      <c r="JS4888" s="67"/>
      <c r="JT4888" s="67"/>
      <c r="JU4888" s="58"/>
      <c r="JV4888" s="58"/>
      <c r="JW4888" s="58"/>
    </row>
    <row r="4889" spans="1:283" s="23" customFormat="1" x14ac:dyDescent="0.25">
      <c r="A4889" s="55">
        <v>4888</v>
      </c>
      <c r="B4889" s="12" t="s">
        <v>7067</v>
      </c>
      <c r="C4889" s="156">
        <v>227</v>
      </c>
      <c r="D4889" s="58" t="s">
        <v>5928</v>
      </c>
      <c r="E4889" s="160" t="str">
        <f>G4889</f>
        <v>Fraser et al 1988_pair1_total</v>
      </c>
      <c r="F4889" s="160"/>
      <c r="G4889" s="60" t="s">
        <v>4808</v>
      </c>
      <c r="H4889" s="58">
        <v>1988</v>
      </c>
      <c r="I4889" s="58" t="s">
        <v>5923</v>
      </c>
      <c r="J4889" s="243" t="s">
        <v>916</v>
      </c>
      <c r="K4889" s="63" t="s">
        <v>5116</v>
      </c>
      <c r="L4889" s="58" t="s">
        <v>2737</v>
      </c>
      <c r="M4889" s="94">
        <v>40.82</v>
      </c>
      <c r="N4889" s="94">
        <v>-96.7</v>
      </c>
      <c r="O4889" s="94">
        <v>360</v>
      </c>
      <c r="P4889" s="58"/>
      <c r="Q4889" s="244">
        <v>11</v>
      </c>
      <c r="R4889" s="58"/>
      <c r="S4889" s="245">
        <v>680</v>
      </c>
      <c r="T4889" s="58"/>
      <c r="U4889" s="58" t="s">
        <v>1688</v>
      </c>
      <c r="V4889" s="244">
        <v>6</v>
      </c>
      <c r="W4889" s="174"/>
      <c r="X4889" s="174"/>
      <c r="Y4889" s="58" t="s">
        <v>5922</v>
      </c>
      <c r="Z4889" s="244" t="s">
        <v>1357</v>
      </c>
      <c r="AA4889" s="245">
        <v>15</v>
      </c>
      <c r="AB4889" s="67"/>
      <c r="AC4889" s="67"/>
      <c r="AD4889" s="94"/>
      <c r="AE4889" s="94"/>
      <c r="AF4889" s="94"/>
      <c r="AG4889" s="245">
        <v>35</v>
      </c>
      <c r="AH4889" s="58" t="s">
        <v>1022</v>
      </c>
      <c r="AI4889" s="169"/>
      <c r="AJ4889" s="94"/>
      <c r="AK4889" s="94"/>
      <c r="AL4889" s="58"/>
      <c r="AM4889" s="58" t="s">
        <v>5924</v>
      </c>
      <c r="AN4889" s="186"/>
      <c r="AO4889" s="185" t="s">
        <v>5150</v>
      </c>
      <c r="AP4889" s="58"/>
      <c r="AQ4889" s="58"/>
      <c r="AR4889" s="58"/>
      <c r="AS4889" s="246" t="s">
        <v>5133</v>
      </c>
      <c r="AT4889" s="247">
        <v>1</v>
      </c>
      <c r="AU4889" s="181" t="s">
        <v>7494</v>
      </c>
      <c r="AV4889" s="185" t="s">
        <v>176</v>
      </c>
      <c r="AW4889" s="244">
        <v>1</v>
      </c>
      <c r="AX4889" s="185" t="s">
        <v>176</v>
      </c>
      <c r="AY4889" s="244" t="s">
        <v>176</v>
      </c>
      <c r="AZ4889" s="58"/>
      <c r="BA4889" s="58"/>
      <c r="BB4889" s="58"/>
      <c r="BC4889" s="58"/>
      <c r="BD4889" s="58"/>
      <c r="BE4889" s="236" t="s">
        <v>5175</v>
      </c>
      <c r="BF4889" s="191" t="s">
        <v>479</v>
      </c>
      <c r="BG4889" s="191" t="s">
        <v>479</v>
      </c>
      <c r="BH4889" s="236" t="s">
        <v>5243</v>
      </c>
      <c r="BI4889" s="191" t="s">
        <v>479</v>
      </c>
      <c r="BJ4889" s="58" t="str">
        <f>IF(BE4889=BH4889,"No","yes")</f>
        <v>yes</v>
      </c>
      <c r="BK4889" s="58" t="s">
        <v>6334</v>
      </c>
      <c r="BL4889" s="58" t="s">
        <v>5739</v>
      </c>
      <c r="BM4889" s="237" t="s">
        <v>160</v>
      </c>
      <c r="BN4889" s="244">
        <v>4</v>
      </c>
      <c r="BO4889" s="244">
        <v>4</v>
      </c>
      <c r="BP4889" s="58"/>
      <c r="BQ4889" s="58"/>
      <c r="BR4889" s="58"/>
      <c r="BS4889" s="58"/>
      <c r="BT4889" s="58"/>
      <c r="BU4889" s="58"/>
      <c r="BV4889" s="58" t="s">
        <v>5935</v>
      </c>
      <c r="BW4889" s="67"/>
      <c r="BX4889" s="67"/>
      <c r="BY4889" s="67"/>
      <c r="BZ4889" s="67"/>
      <c r="CA4889" s="67"/>
      <c r="CB4889" s="70"/>
      <c r="CC4889" s="70"/>
      <c r="CD4889" s="70"/>
      <c r="CE4889" s="67"/>
      <c r="CF4889" s="67"/>
      <c r="CG4889" s="67"/>
      <c r="CH4889" s="245"/>
      <c r="CI4889" s="245"/>
      <c r="CJ4889" s="67"/>
      <c r="CK4889" s="67"/>
      <c r="CL4889" s="67"/>
      <c r="CM4889" s="242"/>
      <c r="CN4889" s="242"/>
      <c r="CO4889" s="242"/>
      <c r="CP4889" s="242"/>
      <c r="CQ4889" s="242"/>
      <c r="CR4889" s="242"/>
      <c r="CS4889" s="242"/>
      <c r="CT4889" s="242"/>
      <c r="CU4889" s="242"/>
      <c r="CV4889" s="242"/>
      <c r="CW4889" s="242"/>
      <c r="CX4889" s="242"/>
      <c r="CY4889" s="242"/>
      <c r="CZ4889" s="242"/>
      <c r="DA4889" s="67"/>
      <c r="DB4889" s="67">
        <v>21</v>
      </c>
      <c r="DC4889" s="67">
        <v>13</v>
      </c>
      <c r="DD4889" s="67"/>
      <c r="DE4889" s="67"/>
      <c r="DF4889" s="67" t="s">
        <v>5932</v>
      </c>
      <c r="DG4889" s="67"/>
      <c r="DH4889" s="67"/>
      <c r="DI4889" s="67"/>
      <c r="DJ4889" s="67"/>
      <c r="DK4889" s="67"/>
      <c r="DL4889" s="67"/>
      <c r="DM4889" s="67"/>
      <c r="DN4889" s="67"/>
      <c r="DO4889" s="67"/>
      <c r="DP4889" s="67"/>
      <c r="DQ4889" s="166"/>
      <c r="DR4889" s="166"/>
      <c r="DS4889" s="163"/>
      <c r="DT4889" s="163"/>
      <c r="DU4889" s="67"/>
      <c r="DV4889" s="67"/>
      <c r="DW4889" s="67"/>
      <c r="DX4889" s="67"/>
      <c r="DY4889" s="67"/>
      <c r="DZ4889" s="67"/>
      <c r="EA4889" s="67"/>
      <c r="EB4889" s="67"/>
      <c r="EC4889" s="67"/>
      <c r="ED4889" s="67"/>
      <c r="EE4889" s="67"/>
      <c r="EF4889" s="67"/>
      <c r="EG4889" s="67"/>
      <c r="EH4889" s="67"/>
      <c r="EI4889" s="67"/>
      <c r="EJ4889" s="67"/>
      <c r="EK4889" s="94"/>
      <c r="EL4889" s="94"/>
      <c r="EM4889" s="67"/>
      <c r="EN4889" s="67"/>
      <c r="EO4889" s="67"/>
      <c r="EP4889" s="67"/>
      <c r="EQ4889" s="67"/>
      <c r="ER4889" s="67"/>
      <c r="ES4889" s="67"/>
      <c r="ET4889" s="67"/>
      <c r="EU4889" s="67"/>
      <c r="EV4889" s="67"/>
      <c r="EW4889" s="67"/>
      <c r="EX4889" s="67"/>
      <c r="EY4889" s="67"/>
      <c r="EZ4889" s="67"/>
      <c r="FA4889" s="67"/>
      <c r="FB4889" s="67"/>
      <c r="FC4889" s="67"/>
      <c r="FD4889" s="67"/>
      <c r="FE4889" s="67"/>
      <c r="FF4889" s="67"/>
      <c r="FG4889" s="67"/>
      <c r="FH4889" s="67"/>
      <c r="FI4889" s="67"/>
      <c r="FJ4889" s="67"/>
      <c r="FK4889" s="67"/>
      <c r="FL4889" s="67"/>
      <c r="FM4889" s="67"/>
      <c r="FN4889" s="67"/>
      <c r="FO4889" s="67"/>
      <c r="FP4889" s="67"/>
      <c r="FQ4889" s="67"/>
      <c r="FR4889" s="67"/>
      <c r="FS4889" s="67"/>
      <c r="FT4889" s="67"/>
      <c r="FU4889" s="67"/>
      <c r="FV4889" s="67"/>
      <c r="FW4889" s="67"/>
      <c r="FX4889" s="67"/>
      <c r="FY4889" s="67"/>
      <c r="FZ4889" s="67"/>
      <c r="GA4889" s="67"/>
      <c r="GB4889" s="67"/>
      <c r="GC4889" s="67"/>
      <c r="GD4889" s="67"/>
      <c r="GE4889" s="67"/>
      <c r="GF4889" s="67"/>
      <c r="GG4889" s="67"/>
      <c r="GH4889" s="67"/>
      <c r="GI4889" s="67"/>
      <c r="GJ4889" s="67"/>
      <c r="GK4889" s="67"/>
      <c r="GL4889" s="67"/>
      <c r="GM4889" s="67"/>
      <c r="GN4889" s="292"/>
      <c r="GO4889" s="292"/>
      <c r="GP4889" s="292" t="s">
        <v>7494</v>
      </c>
      <c r="GQ4889" s="67"/>
      <c r="GR4889" s="67"/>
      <c r="GS4889" s="67"/>
      <c r="GT4889" s="67"/>
      <c r="GU4889" s="67"/>
      <c r="GV4889" s="67"/>
      <c r="GW4889" s="67"/>
      <c r="GX4889" s="67"/>
      <c r="GY4889" s="67"/>
      <c r="GZ4889" s="67"/>
      <c r="HA4889" s="67"/>
      <c r="HB4889" s="67"/>
      <c r="HC4889" s="67"/>
      <c r="HD4889" s="67"/>
      <c r="HE4889" s="67"/>
      <c r="HF4889" s="67"/>
      <c r="HG4889" s="67"/>
      <c r="HH4889" s="67"/>
      <c r="HI4889" s="67"/>
      <c r="HJ4889" s="67"/>
      <c r="HK4889" s="67"/>
      <c r="HL4889" s="67"/>
      <c r="HM4889" s="67"/>
      <c r="HN4889" s="67"/>
      <c r="HO4889" s="67"/>
      <c r="HP4889" s="67"/>
      <c r="HQ4889" s="67"/>
      <c r="HR4889" s="67"/>
      <c r="HS4889" s="67"/>
      <c r="HT4889" s="67"/>
      <c r="HU4889" s="67"/>
      <c r="HV4889" s="67"/>
      <c r="HW4889" s="67"/>
      <c r="HX4889" s="67"/>
      <c r="HY4889" s="67"/>
      <c r="HZ4889" s="67"/>
      <c r="IA4889" s="67"/>
      <c r="IB4889" s="67"/>
      <c r="IC4889" s="67"/>
      <c r="ID4889" s="67"/>
      <c r="IE4889" s="67"/>
      <c r="IF4889" s="67"/>
      <c r="IG4889" s="67"/>
      <c r="IH4889" s="67"/>
      <c r="II4889" s="67"/>
      <c r="IJ4889" s="67"/>
      <c r="IK4889" s="67"/>
      <c r="IL4889" s="67"/>
      <c r="IM4889" s="67"/>
      <c r="IN4889" s="67"/>
      <c r="IO4889" s="67"/>
      <c r="IP4889" s="67"/>
      <c r="IQ4889" s="67"/>
      <c r="IR4889" s="67"/>
      <c r="IS4889" s="67"/>
      <c r="IT4889" s="67"/>
      <c r="IU4889" s="67"/>
      <c r="IV4889" s="67"/>
      <c r="IW4889" s="67"/>
      <c r="IX4889" s="67"/>
      <c r="IY4889" s="67"/>
      <c r="IZ4889" s="67"/>
      <c r="JA4889" s="67"/>
      <c r="JB4889" s="67"/>
      <c r="JC4889" s="67"/>
      <c r="JD4889" s="67"/>
      <c r="JE4889" s="67"/>
      <c r="JF4889" s="67"/>
      <c r="JG4889" s="67">
        <v>980</v>
      </c>
      <c r="JH4889" s="67">
        <v>990</v>
      </c>
      <c r="JI4889" s="67"/>
      <c r="JJ4889" s="67"/>
      <c r="JK4889" s="67" t="s">
        <v>5932</v>
      </c>
      <c r="JL4889" s="67"/>
      <c r="JM4889" s="67"/>
      <c r="JN4889" s="67"/>
      <c r="JO4889" s="67"/>
      <c r="JP4889" s="67"/>
      <c r="JQ4889" s="67"/>
      <c r="JR4889" s="67"/>
      <c r="JS4889" s="67"/>
      <c r="JT4889" s="67"/>
      <c r="JU4889" s="58"/>
      <c r="JV4889" s="58"/>
      <c r="JW4889" s="58"/>
    </row>
    <row r="4890" spans="1:283" s="23" customFormat="1" x14ac:dyDescent="0.25">
      <c r="A4890" s="55">
        <v>4889</v>
      </c>
      <c r="B4890" s="12" t="s">
        <v>7067</v>
      </c>
      <c r="C4890" s="156">
        <v>227</v>
      </c>
      <c r="D4890" s="58" t="s">
        <v>5929</v>
      </c>
      <c r="E4890" s="160" t="str">
        <f>G4890</f>
        <v>Fraser et al 1988_pair2_total</v>
      </c>
      <c r="F4890" s="160"/>
      <c r="G4890" s="60" t="s">
        <v>4807</v>
      </c>
      <c r="H4890" s="58">
        <v>1988</v>
      </c>
      <c r="I4890" s="58" t="s">
        <v>5923</v>
      </c>
      <c r="J4890" s="243" t="s">
        <v>916</v>
      </c>
      <c r="K4890" s="63" t="s">
        <v>5116</v>
      </c>
      <c r="L4890" s="58" t="s">
        <v>2737</v>
      </c>
      <c r="M4890" s="94">
        <v>40.82</v>
      </c>
      <c r="N4890" s="94">
        <v>-96.7</v>
      </c>
      <c r="O4890" s="94">
        <v>360</v>
      </c>
      <c r="P4890" s="58"/>
      <c r="Q4890" s="244">
        <v>11</v>
      </c>
      <c r="R4890" s="58"/>
      <c r="S4890" s="245">
        <v>680</v>
      </c>
      <c r="T4890" s="58"/>
      <c r="U4890" s="58" t="s">
        <v>1688</v>
      </c>
      <c r="V4890" s="244">
        <v>6</v>
      </c>
      <c r="W4890" s="174"/>
      <c r="X4890" s="174"/>
      <c r="Y4890" s="58" t="s">
        <v>5922</v>
      </c>
      <c r="Z4890" s="244" t="s">
        <v>1357</v>
      </c>
      <c r="AA4890" s="245">
        <v>15</v>
      </c>
      <c r="AB4890" s="67"/>
      <c r="AC4890" s="67"/>
      <c r="AD4890" s="94"/>
      <c r="AE4890" s="94"/>
      <c r="AF4890" s="94"/>
      <c r="AG4890" s="245">
        <v>35</v>
      </c>
      <c r="AH4890" s="58" t="s">
        <v>1022</v>
      </c>
      <c r="AI4890" s="169"/>
      <c r="AJ4890" s="94"/>
      <c r="AK4890" s="94"/>
      <c r="AL4890" s="58"/>
      <c r="AM4890" s="58" t="s">
        <v>5924</v>
      </c>
      <c r="AN4890" s="186"/>
      <c r="AO4890" s="185" t="s">
        <v>5150</v>
      </c>
      <c r="AP4890" s="58"/>
      <c r="AQ4890" s="58"/>
      <c r="AR4890" s="58"/>
      <c r="AS4890" s="246" t="s">
        <v>5133</v>
      </c>
      <c r="AT4890" s="247">
        <v>1</v>
      </c>
      <c r="AU4890" s="181" t="s">
        <v>7494</v>
      </c>
      <c r="AV4890" s="185" t="s">
        <v>176</v>
      </c>
      <c r="AW4890" s="244">
        <v>1</v>
      </c>
      <c r="AX4890" s="185" t="s">
        <v>176</v>
      </c>
      <c r="AY4890" s="244" t="s">
        <v>176</v>
      </c>
      <c r="AZ4890" s="58"/>
      <c r="BA4890" s="58"/>
      <c r="BB4890" s="58"/>
      <c r="BC4890" s="58"/>
      <c r="BD4890" s="58"/>
      <c r="BE4890" s="236" t="s">
        <v>5176</v>
      </c>
      <c r="BF4890" s="191" t="s">
        <v>479</v>
      </c>
      <c r="BG4890" s="191" t="s">
        <v>479</v>
      </c>
      <c r="BH4890" s="236" t="s">
        <v>5243</v>
      </c>
      <c r="BI4890" s="191" t="s">
        <v>479</v>
      </c>
      <c r="BJ4890" s="58" t="str">
        <f>IF(BE4890=BH4890,"No","yes")</f>
        <v>yes</v>
      </c>
      <c r="BK4890" s="58" t="s">
        <v>6334</v>
      </c>
      <c r="BL4890" s="58" t="s">
        <v>5739</v>
      </c>
      <c r="BM4890" s="237" t="s">
        <v>160</v>
      </c>
      <c r="BN4890" s="244">
        <v>4</v>
      </c>
      <c r="BO4890" s="244">
        <v>4</v>
      </c>
      <c r="BP4890" s="58"/>
      <c r="BQ4890" s="58"/>
      <c r="BR4890" s="58"/>
      <c r="BS4890" s="58"/>
      <c r="BT4890" s="58"/>
      <c r="BU4890" s="58"/>
      <c r="BV4890" s="58" t="s">
        <v>5935</v>
      </c>
      <c r="BW4890" s="67"/>
      <c r="BX4890" s="67"/>
      <c r="BY4890" s="67"/>
      <c r="BZ4890" s="67"/>
      <c r="CA4890" s="67"/>
      <c r="CB4890" s="70"/>
      <c r="CC4890" s="70"/>
      <c r="CD4890" s="70"/>
      <c r="CE4890" s="67"/>
      <c r="CF4890" s="67"/>
      <c r="CG4890" s="67"/>
      <c r="CH4890" s="245"/>
      <c r="CI4890" s="245"/>
      <c r="CJ4890" s="67"/>
      <c r="CK4890" s="67"/>
      <c r="CL4890" s="67"/>
      <c r="CM4890" s="242"/>
      <c r="CN4890" s="242"/>
      <c r="CO4890" s="242"/>
      <c r="CP4890" s="242"/>
      <c r="CQ4890" s="242"/>
      <c r="CR4890" s="242"/>
      <c r="CS4890" s="242"/>
      <c r="CT4890" s="242"/>
      <c r="CU4890" s="242"/>
      <c r="CV4890" s="242"/>
      <c r="CW4890" s="242"/>
      <c r="CX4890" s="242"/>
      <c r="CY4890" s="242"/>
      <c r="CZ4890" s="242"/>
      <c r="DA4890" s="67"/>
      <c r="DB4890" s="67">
        <v>13</v>
      </c>
      <c r="DC4890" s="67">
        <v>13</v>
      </c>
      <c r="DD4890" s="67"/>
      <c r="DE4890" s="67"/>
      <c r="DF4890" s="67" t="s">
        <v>5932</v>
      </c>
      <c r="DG4890" s="67"/>
      <c r="DH4890" s="67"/>
      <c r="DI4890" s="67"/>
      <c r="DJ4890" s="67"/>
      <c r="DK4890" s="67"/>
      <c r="DL4890" s="67"/>
      <c r="DM4890" s="67"/>
      <c r="DN4890" s="67"/>
      <c r="DO4890" s="67"/>
      <c r="DP4890" s="67"/>
      <c r="DQ4890" s="166"/>
      <c r="DR4890" s="166"/>
      <c r="DS4890" s="163"/>
      <c r="DT4890" s="163"/>
      <c r="DU4890" s="67"/>
      <c r="DV4890" s="67"/>
      <c r="DW4890" s="67"/>
      <c r="DX4890" s="67"/>
      <c r="DY4890" s="67"/>
      <c r="DZ4890" s="67"/>
      <c r="EA4890" s="67"/>
      <c r="EB4890" s="67"/>
      <c r="EC4890" s="67"/>
      <c r="ED4890" s="67"/>
      <c r="EE4890" s="67"/>
      <c r="EF4890" s="67"/>
      <c r="EG4890" s="67"/>
      <c r="EH4890" s="67"/>
      <c r="EI4890" s="67"/>
      <c r="EJ4890" s="67"/>
      <c r="EK4890" s="94"/>
      <c r="EL4890" s="94"/>
      <c r="EM4890" s="67"/>
      <c r="EN4890" s="67"/>
      <c r="EO4890" s="67"/>
      <c r="EP4890" s="67"/>
      <c r="EQ4890" s="67"/>
      <c r="ER4890" s="67"/>
      <c r="ES4890" s="67"/>
      <c r="ET4890" s="67"/>
      <c r="EU4890" s="67"/>
      <c r="EV4890" s="67"/>
      <c r="EW4890" s="67"/>
      <c r="EX4890" s="67"/>
      <c r="EY4890" s="67"/>
      <c r="EZ4890" s="67"/>
      <c r="FA4890" s="67"/>
      <c r="FB4890" s="67"/>
      <c r="FC4890" s="67"/>
      <c r="FD4890" s="67"/>
      <c r="FE4890" s="67"/>
      <c r="FF4890" s="67"/>
      <c r="FG4890" s="67"/>
      <c r="FH4890" s="67"/>
      <c r="FI4890" s="67"/>
      <c r="FJ4890" s="67"/>
      <c r="FK4890" s="67"/>
      <c r="FL4890" s="67"/>
      <c r="FM4890" s="67"/>
      <c r="FN4890" s="67"/>
      <c r="FO4890" s="67"/>
      <c r="FP4890" s="67"/>
      <c r="FQ4890" s="67"/>
      <c r="FR4890" s="67"/>
      <c r="FS4890" s="67"/>
      <c r="FT4890" s="67"/>
      <c r="FU4890" s="67"/>
      <c r="FV4890" s="67"/>
      <c r="FW4890" s="67"/>
      <c r="FX4890" s="67"/>
      <c r="FY4890" s="67"/>
      <c r="FZ4890" s="67"/>
      <c r="GA4890" s="67"/>
      <c r="GB4890" s="67"/>
      <c r="GC4890" s="67"/>
      <c r="GD4890" s="67"/>
      <c r="GE4890" s="67"/>
      <c r="GF4890" s="67"/>
      <c r="GG4890" s="67"/>
      <c r="GH4890" s="67"/>
      <c r="GI4890" s="67"/>
      <c r="GJ4890" s="67"/>
      <c r="GK4890" s="67"/>
      <c r="GL4890" s="67"/>
      <c r="GM4890" s="67"/>
      <c r="GN4890" s="292"/>
      <c r="GO4890" s="292"/>
      <c r="GP4890" s="292" t="s">
        <v>7494</v>
      </c>
      <c r="GQ4890" s="67"/>
      <c r="GR4890" s="67"/>
      <c r="GS4890" s="67"/>
      <c r="GT4890" s="67"/>
      <c r="GU4890" s="67"/>
      <c r="GV4890" s="67"/>
      <c r="GW4890" s="67"/>
      <c r="GX4890" s="67"/>
      <c r="GY4890" s="67"/>
      <c r="GZ4890" s="67"/>
      <c r="HA4890" s="67"/>
      <c r="HB4890" s="67"/>
      <c r="HC4890" s="67"/>
      <c r="HD4890" s="67"/>
      <c r="HE4890" s="67"/>
      <c r="HF4890" s="67"/>
      <c r="HG4890" s="67"/>
      <c r="HH4890" s="67"/>
      <c r="HI4890" s="67"/>
      <c r="HJ4890" s="67"/>
      <c r="HK4890" s="67"/>
      <c r="HL4890" s="67"/>
      <c r="HM4890" s="67"/>
      <c r="HN4890" s="67"/>
      <c r="HO4890" s="67"/>
      <c r="HP4890" s="67"/>
      <c r="HQ4890" s="67"/>
      <c r="HR4890" s="67"/>
      <c r="HS4890" s="67"/>
      <c r="HT4890" s="67"/>
      <c r="HU4890" s="67"/>
      <c r="HV4890" s="67"/>
      <c r="HW4890" s="67"/>
      <c r="HX4890" s="67"/>
      <c r="HY4890" s="67"/>
      <c r="HZ4890" s="67"/>
      <c r="IA4890" s="67"/>
      <c r="IB4890" s="67"/>
      <c r="IC4890" s="67"/>
      <c r="ID4890" s="67"/>
      <c r="IE4890" s="67"/>
      <c r="IF4890" s="67"/>
      <c r="IG4890" s="67"/>
      <c r="IH4890" s="67"/>
      <c r="II4890" s="67"/>
      <c r="IJ4890" s="67"/>
      <c r="IK4890" s="67"/>
      <c r="IL4890" s="67"/>
      <c r="IM4890" s="67"/>
      <c r="IN4890" s="67"/>
      <c r="IO4890" s="67"/>
      <c r="IP4890" s="67"/>
      <c r="IQ4890" s="67"/>
      <c r="IR4890" s="67"/>
      <c r="IS4890" s="67"/>
      <c r="IT4890" s="67"/>
      <c r="IU4890" s="67"/>
      <c r="IV4890" s="67"/>
      <c r="IW4890" s="67"/>
      <c r="IX4890" s="67"/>
      <c r="IY4890" s="67"/>
      <c r="IZ4890" s="67"/>
      <c r="JA4890" s="67"/>
      <c r="JB4890" s="67"/>
      <c r="JC4890" s="67"/>
      <c r="JD4890" s="67"/>
      <c r="JE4890" s="67"/>
      <c r="JF4890" s="67"/>
      <c r="JG4890" s="67">
        <v>990</v>
      </c>
      <c r="JH4890" s="67">
        <v>990</v>
      </c>
      <c r="JI4890" s="67"/>
      <c r="JJ4890" s="67"/>
      <c r="JK4890" s="67" t="s">
        <v>5932</v>
      </c>
      <c r="JL4890" s="67"/>
      <c r="JM4890" s="67"/>
      <c r="JN4890" s="67"/>
      <c r="JO4890" s="67"/>
      <c r="JP4890" s="67"/>
      <c r="JQ4890" s="67"/>
      <c r="JR4890" s="67"/>
      <c r="JS4890" s="67"/>
      <c r="JT4890" s="67"/>
      <c r="JU4890" s="58"/>
      <c r="JV4890" s="58"/>
      <c r="JW4890" s="58"/>
    </row>
    <row r="4891" spans="1:283" s="23" customFormat="1" x14ac:dyDescent="0.25">
      <c r="A4891" s="55">
        <v>4890</v>
      </c>
      <c r="B4891" s="12" t="s">
        <v>7067</v>
      </c>
      <c r="C4891" s="156">
        <v>227</v>
      </c>
      <c r="D4891" s="58" t="s">
        <v>5930</v>
      </c>
      <c r="E4891" s="160" t="str">
        <f>G4891</f>
        <v>Fraser et al 1988_pair3_total</v>
      </c>
      <c r="F4891" s="160"/>
      <c r="G4891" s="60" t="s">
        <v>4806</v>
      </c>
      <c r="H4891" s="58">
        <v>1988</v>
      </c>
      <c r="I4891" s="58" t="s">
        <v>5923</v>
      </c>
      <c r="J4891" s="243" t="s">
        <v>916</v>
      </c>
      <c r="K4891" s="63" t="s">
        <v>5116</v>
      </c>
      <c r="L4891" s="58" t="s">
        <v>2737</v>
      </c>
      <c r="M4891" s="94">
        <v>40.82</v>
      </c>
      <c r="N4891" s="94">
        <v>-96.7</v>
      </c>
      <c r="O4891" s="94">
        <v>360</v>
      </c>
      <c r="P4891" s="58"/>
      <c r="Q4891" s="244">
        <v>11</v>
      </c>
      <c r="R4891" s="58"/>
      <c r="S4891" s="245">
        <v>680</v>
      </c>
      <c r="T4891" s="58"/>
      <c r="U4891" s="58" t="s">
        <v>1688</v>
      </c>
      <c r="V4891" s="244">
        <v>6</v>
      </c>
      <c r="W4891" s="174"/>
      <c r="X4891" s="174"/>
      <c r="Y4891" s="58" t="s">
        <v>5922</v>
      </c>
      <c r="Z4891" s="244" t="s">
        <v>1357</v>
      </c>
      <c r="AA4891" s="245">
        <v>15</v>
      </c>
      <c r="AB4891" s="67"/>
      <c r="AC4891" s="67"/>
      <c r="AD4891" s="94"/>
      <c r="AE4891" s="94"/>
      <c r="AF4891" s="94"/>
      <c r="AG4891" s="245">
        <v>35</v>
      </c>
      <c r="AH4891" s="58" t="s">
        <v>1022</v>
      </c>
      <c r="AI4891" s="169"/>
      <c r="AJ4891" s="94"/>
      <c r="AK4891" s="94"/>
      <c r="AL4891" s="58"/>
      <c r="AM4891" s="58" t="s">
        <v>5924</v>
      </c>
      <c r="AN4891" s="186"/>
      <c r="AO4891" s="185" t="s">
        <v>5150</v>
      </c>
      <c r="AP4891" s="58"/>
      <c r="AQ4891" s="58"/>
      <c r="AR4891" s="58"/>
      <c r="AS4891" s="246" t="s">
        <v>5133</v>
      </c>
      <c r="AT4891" s="247">
        <v>1</v>
      </c>
      <c r="AU4891" s="181" t="s">
        <v>7494</v>
      </c>
      <c r="AV4891" s="185" t="s">
        <v>176</v>
      </c>
      <c r="AW4891" s="244">
        <v>1</v>
      </c>
      <c r="AX4891" s="185" t="s">
        <v>176</v>
      </c>
      <c r="AY4891" s="244" t="s">
        <v>176</v>
      </c>
      <c r="AZ4891" s="58"/>
      <c r="BA4891" s="58"/>
      <c r="BB4891" s="58"/>
      <c r="BC4891" s="58"/>
      <c r="BD4891" s="58"/>
      <c r="BE4891" s="236" t="s">
        <v>5176</v>
      </c>
      <c r="BF4891" s="191" t="s">
        <v>479</v>
      </c>
      <c r="BG4891" s="191" t="s">
        <v>479</v>
      </c>
      <c r="BH4891" s="236" t="s">
        <v>5243</v>
      </c>
      <c r="BI4891" s="191" t="s">
        <v>479</v>
      </c>
      <c r="BJ4891" s="58" t="str">
        <f>IF(BE4891=BH4891,"No","yes")</f>
        <v>yes</v>
      </c>
      <c r="BK4891" s="58" t="s">
        <v>6334</v>
      </c>
      <c r="BL4891" s="58" t="s">
        <v>5739</v>
      </c>
      <c r="BM4891" s="237" t="s">
        <v>160</v>
      </c>
      <c r="BN4891" s="244">
        <v>4</v>
      </c>
      <c r="BO4891" s="244">
        <v>4</v>
      </c>
      <c r="BP4891" s="58"/>
      <c r="BQ4891" s="58"/>
      <c r="BR4891" s="58"/>
      <c r="BS4891" s="58"/>
      <c r="BT4891" s="58"/>
      <c r="BU4891" s="58"/>
      <c r="BV4891" s="58" t="s">
        <v>5935</v>
      </c>
      <c r="BW4891" s="67"/>
      <c r="BX4891" s="67"/>
      <c r="BY4891" s="67"/>
      <c r="BZ4891" s="67"/>
      <c r="CA4891" s="67"/>
      <c r="CB4891" s="70"/>
      <c r="CC4891" s="70"/>
      <c r="CD4891" s="70"/>
      <c r="CE4891" s="67"/>
      <c r="CF4891" s="67"/>
      <c r="CG4891" s="67"/>
      <c r="CH4891" s="245"/>
      <c r="CI4891" s="245"/>
      <c r="CJ4891" s="67"/>
      <c r="CK4891" s="67"/>
      <c r="CL4891" s="67"/>
      <c r="CM4891" s="242"/>
      <c r="CN4891" s="242"/>
      <c r="CO4891" s="242"/>
      <c r="CP4891" s="242"/>
      <c r="CQ4891" s="242"/>
      <c r="CR4891" s="242"/>
      <c r="CS4891" s="242"/>
      <c r="CT4891" s="242"/>
      <c r="CU4891" s="242"/>
      <c r="CV4891" s="242"/>
      <c r="CW4891" s="242"/>
      <c r="CX4891" s="242"/>
      <c r="CY4891" s="242"/>
      <c r="CZ4891" s="242"/>
      <c r="DA4891" s="67"/>
      <c r="DB4891" s="67">
        <v>16</v>
      </c>
      <c r="DC4891" s="67">
        <v>13</v>
      </c>
      <c r="DD4891" s="67"/>
      <c r="DE4891" s="67"/>
      <c r="DF4891" s="67" t="s">
        <v>5932</v>
      </c>
      <c r="DG4891" s="67"/>
      <c r="DH4891" s="67"/>
      <c r="DI4891" s="67"/>
      <c r="DJ4891" s="67"/>
      <c r="DK4891" s="67"/>
      <c r="DL4891" s="67"/>
      <c r="DM4891" s="67"/>
      <c r="DN4891" s="67"/>
      <c r="DO4891" s="67"/>
      <c r="DP4891" s="67"/>
      <c r="DQ4891" s="166"/>
      <c r="DR4891" s="166"/>
      <c r="DS4891" s="163"/>
      <c r="DT4891" s="163"/>
      <c r="DU4891" s="67"/>
      <c r="DV4891" s="67"/>
      <c r="DW4891" s="67"/>
      <c r="DX4891" s="67"/>
      <c r="DY4891" s="67"/>
      <c r="DZ4891" s="67"/>
      <c r="EA4891" s="67"/>
      <c r="EB4891" s="67"/>
      <c r="EC4891" s="67"/>
      <c r="ED4891" s="67"/>
      <c r="EE4891" s="67"/>
      <c r="EF4891" s="67"/>
      <c r="EG4891" s="67"/>
      <c r="EH4891" s="67"/>
      <c r="EI4891" s="67"/>
      <c r="EJ4891" s="67"/>
      <c r="EK4891" s="94"/>
      <c r="EL4891" s="94"/>
      <c r="EM4891" s="67"/>
      <c r="EN4891" s="67"/>
      <c r="EO4891" s="67"/>
      <c r="EP4891" s="67"/>
      <c r="EQ4891" s="67"/>
      <c r="ER4891" s="67"/>
      <c r="ES4891" s="67"/>
      <c r="ET4891" s="67"/>
      <c r="EU4891" s="67"/>
      <c r="EV4891" s="67"/>
      <c r="EW4891" s="67"/>
      <c r="EX4891" s="67"/>
      <c r="EY4891" s="67"/>
      <c r="EZ4891" s="67"/>
      <c r="FA4891" s="67"/>
      <c r="FB4891" s="67"/>
      <c r="FC4891" s="67"/>
      <c r="FD4891" s="67"/>
      <c r="FE4891" s="67"/>
      <c r="FF4891" s="67"/>
      <c r="FG4891" s="67"/>
      <c r="FH4891" s="67"/>
      <c r="FI4891" s="67"/>
      <c r="FJ4891" s="67"/>
      <c r="FK4891" s="67"/>
      <c r="FL4891" s="67"/>
      <c r="FM4891" s="67"/>
      <c r="FN4891" s="67"/>
      <c r="FO4891" s="67"/>
      <c r="FP4891" s="67"/>
      <c r="FQ4891" s="67"/>
      <c r="FR4891" s="67"/>
      <c r="FS4891" s="67"/>
      <c r="FT4891" s="67"/>
      <c r="FU4891" s="67"/>
      <c r="FV4891" s="67"/>
      <c r="FW4891" s="67"/>
      <c r="FX4891" s="67"/>
      <c r="FY4891" s="67"/>
      <c r="FZ4891" s="67"/>
      <c r="GA4891" s="67"/>
      <c r="GB4891" s="67"/>
      <c r="GC4891" s="67"/>
      <c r="GD4891" s="67"/>
      <c r="GE4891" s="67"/>
      <c r="GF4891" s="67"/>
      <c r="GG4891" s="67"/>
      <c r="GH4891" s="67"/>
      <c r="GI4891" s="67"/>
      <c r="GJ4891" s="67"/>
      <c r="GK4891" s="67"/>
      <c r="GL4891" s="67"/>
      <c r="GM4891" s="67"/>
      <c r="GN4891" s="292"/>
      <c r="GO4891" s="292"/>
      <c r="GP4891" s="292" t="s">
        <v>7494</v>
      </c>
      <c r="GQ4891" s="67"/>
      <c r="GR4891" s="67"/>
      <c r="GS4891" s="67"/>
      <c r="GT4891" s="67"/>
      <c r="GU4891" s="67"/>
      <c r="GV4891" s="67"/>
      <c r="GW4891" s="67"/>
      <c r="GX4891" s="67"/>
      <c r="GY4891" s="67"/>
      <c r="GZ4891" s="67"/>
      <c r="HA4891" s="67"/>
      <c r="HB4891" s="67"/>
      <c r="HC4891" s="67"/>
      <c r="HD4891" s="67"/>
      <c r="HE4891" s="67"/>
      <c r="HF4891" s="67"/>
      <c r="HG4891" s="67"/>
      <c r="HH4891" s="67"/>
      <c r="HI4891" s="67"/>
      <c r="HJ4891" s="67"/>
      <c r="HK4891" s="67"/>
      <c r="HL4891" s="67"/>
      <c r="HM4891" s="67"/>
      <c r="HN4891" s="67"/>
      <c r="HO4891" s="67"/>
      <c r="HP4891" s="67"/>
      <c r="HQ4891" s="67"/>
      <c r="HR4891" s="67"/>
      <c r="HS4891" s="67"/>
      <c r="HT4891" s="67"/>
      <c r="HU4891" s="67"/>
      <c r="HV4891" s="67"/>
      <c r="HW4891" s="67"/>
      <c r="HX4891" s="67"/>
      <c r="HY4891" s="67"/>
      <c r="HZ4891" s="67"/>
      <c r="IA4891" s="67"/>
      <c r="IB4891" s="67"/>
      <c r="IC4891" s="67"/>
      <c r="ID4891" s="67"/>
      <c r="IE4891" s="67"/>
      <c r="IF4891" s="67"/>
      <c r="IG4891" s="67"/>
      <c r="IH4891" s="67"/>
      <c r="II4891" s="67"/>
      <c r="IJ4891" s="67"/>
      <c r="IK4891" s="67"/>
      <c r="IL4891" s="67"/>
      <c r="IM4891" s="67"/>
      <c r="IN4891" s="67"/>
      <c r="IO4891" s="67"/>
      <c r="IP4891" s="67"/>
      <c r="IQ4891" s="67"/>
      <c r="IR4891" s="67"/>
      <c r="IS4891" s="67"/>
      <c r="IT4891" s="67"/>
      <c r="IU4891" s="67"/>
      <c r="IV4891" s="67"/>
      <c r="IW4891" s="67"/>
      <c r="IX4891" s="67"/>
      <c r="IY4891" s="67"/>
      <c r="IZ4891" s="67"/>
      <c r="JA4891" s="67"/>
      <c r="JB4891" s="67"/>
      <c r="JC4891" s="67"/>
      <c r="JD4891" s="67"/>
      <c r="JE4891" s="67"/>
      <c r="JF4891" s="67"/>
      <c r="JG4891" s="67">
        <v>1000</v>
      </c>
      <c r="JH4891" s="67">
        <v>990</v>
      </c>
      <c r="JI4891" s="67"/>
      <c r="JJ4891" s="67"/>
      <c r="JK4891" s="67" t="s">
        <v>5932</v>
      </c>
      <c r="JL4891" s="67"/>
      <c r="JM4891" s="67"/>
      <c r="JN4891" s="67"/>
      <c r="JO4891" s="67"/>
      <c r="JP4891" s="67"/>
      <c r="JQ4891" s="67"/>
      <c r="JR4891" s="67"/>
      <c r="JS4891" s="67"/>
      <c r="JT4891" s="67"/>
      <c r="JU4891" s="58"/>
      <c r="JV4891" s="58"/>
      <c r="JW4891" s="58"/>
    </row>
    <row r="4892" spans="1:283" s="23" customFormat="1" x14ac:dyDescent="0.25">
      <c r="A4892" s="55">
        <v>4891</v>
      </c>
      <c r="B4892" s="12" t="s">
        <v>7067</v>
      </c>
      <c r="C4892" s="156">
        <v>227</v>
      </c>
      <c r="D4892" s="58" t="s">
        <v>4921</v>
      </c>
      <c r="E4892" s="160" t="str">
        <f>G4892</f>
        <v>Fraser et al 1988_pair1_total</v>
      </c>
      <c r="F4892" s="160"/>
      <c r="G4892" s="60" t="s">
        <v>4808</v>
      </c>
      <c r="H4892" s="58">
        <v>1988</v>
      </c>
      <c r="I4892" s="58" t="s">
        <v>5923</v>
      </c>
      <c r="J4892" s="243" t="s">
        <v>916</v>
      </c>
      <c r="K4892" s="63" t="s">
        <v>5116</v>
      </c>
      <c r="L4892" s="58" t="s">
        <v>2737</v>
      </c>
      <c r="M4892" s="94">
        <v>40.82</v>
      </c>
      <c r="N4892" s="94">
        <v>-96.7</v>
      </c>
      <c r="O4892" s="94">
        <v>360</v>
      </c>
      <c r="P4892" s="58"/>
      <c r="Q4892" s="244">
        <v>11</v>
      </c>
      <c r="R4892" s="58"/>
      <c r="S4892" s="245">
        <v>680</v>
      </c>
      <c r="T4892" s="58"/>
      <c r="U4892" s="58" t="s">
        <v>1688</v>
      </c>
      <c r="V4892" s="244">
        <v>6</v>
      </c>
      <c r="W4892" s="174"/>
      <c r="X4892" s="174"/>
      <c r="Y4892" s="58" t="s">
        <v>5922</v>
      </c>
      <c r="Z4892" s="244" t="s">
        <v>1347</v>
      </c>
      <c r="AA4892" s="245">
        <v>7.5</v>
      </c>
      <c r="AB4892" s="67"/>
      <c r="AC4892" s="67"/>
      <c r="AD4892" s="94"/>
      <c r="AE4892" s="94"/>
      <c r="AF4892" s="94"/>
      <c r="AG4892" s="245">
        <v>35</v>
      </c>
      <c r="AH4892" s="58" t="s">
        <v>1022</v>
      </c>
      <c r="AI4892" s="169"/>
      <c r="AJ4892" s="94"/>
      <c r="AK4892" s="94"/>
      <c r="AL4892" s="58"/>
      <c r="AM4892" s="58" t="s">
        <v>5924</v>
      </c>
      <c r="AN4892" s="186"/>
      <c r="AO4892" s="185" t="s">
        <v>5150</v>
      </c>
      <c r="AP4892" s="58"/>
      <c r="AQ4892" s="58"/>
      <c r="AR4892" s="58"/>
      <c r="AS4892" s="246" t="s">
        <v>5133</v>
      </c>
      <c r="AT4892" s="247">
        <v>1</v>
      </c>
      <c r="AU4892" s="181" t="s">
        <v>7494</v>
      </c>
      <c r="AV4892" s="185" t="s">
        <v>176</v>
      </c>
      <c r="AW4892" s="244">
        <v>1</v>
      </c>
      <c r="AX4892" s="185" t="s">
        <v>176</v>
      </c>
      <c r="AY4892" s="244" t="s">
        <v>176</v>
      </c>
      <c r="AZ4892" s="58"/>
      <c r="BA4892" s="58"/>
      <c r="BB4892" s="58"/>
      <c r="BC4892" s="58"/>
      <c r="BD4892" s="58"/>
      <c r="BE4892" s="236" t="s">
        <v>5175</v>
      </c>
      <c r="BF4892" s="191" t="s">
        <v>479</v>
      </c>
      <c r="BG4892" s="191" t="s">
        <v>479</v>
      </c>
      <c r="BH4892" s="236" t="s">
        <v>5243</v>
      </c>
      <c r="BI4892" s="191" t="s">
        <v>479</v>
      </c>
      <c r="BJ4892" s="58" t="str">
        <f>IF(BE4892=BH4892,"No","yes")</f>
        <v>yes</v>
      </c>
      <c r="BK4892" s="58" t="s">
        <v>6334</v>
      </c>
      <c r="BL4892" s="58" t="s">
        <v>5739</v>
      </c>
      <c r="BM4892" s="237" t="s">
        <v>160</v>
      </c>
      <c r="BN4892" s="244">
        <v>4</v>
      </c>
      <c r="BO4892" s="244">
        <v>4</v>
      </c>
      <c r="BP4892" s="58"/>
      <c r="BQ4892" s="58"/>
      <c r="BR4892" s="58"/>
      <c r="BS4892" s="58"/>
      <c r="BT4892" s="58"/>
      <c r="BU4892" s="58"/>
      <c r="BV4892" s="58" t="s">
        <v>5934</v>
      </c>
      <c r="BW4892" s="67"/>
      <c r="BX4892" s="67"/>
      <c r="BY4892" s="67"/>
      <c r="BZ4892" s="67"/>
      <c r="CA4892" s="67"/>
      <c r="CB4892" s="70"/>
      <c r="CC4892" s="70"/>
      <c r="CD4892" s="70"/>
      <c r="CE4892" s="67"/>
      <c r="CF4892" s="67"/>
      <c r="CG4892" s="67"/>
      <c r="CH4892" s="245"/>
      <c r="CI4892" s="245"/>
      <c r="CJ4892" s="67"/>
      <c r="CK4892" s="67"/>
      <c r="CL4892" s="67"/>
      <c r="CM4892" s="242"/>
      <c r="CN4892" s="242"/>
      <c r="CO4892" s="242"/>
      <c r="CP4892" s="242"/>
      <c r="CQ4892" s="242"/>
      <c r="CR4892" s="242"/>
      <c r="CS4892" s="242"/>
      <c r="CT4892" s="242"/>
      <c r="CU4892" s="242"/>
      <c r="CV4892" s="242"/>
      <c r="CW4892" s="242"/>
      <c r="CX4892" s="242"/>
      <c r="CY4892" s="242"/>
      <c r="CZ4892" s="242"/>
      <c r="DA4892" s="67"/>
      <c r="DB4892" s="67">
        <v>6</v>
      </c>
      <c r="DC4892" s="67">
        <v>8</v>
      </c>
      <c r="DD4892" s="67"/>
      <c r="DE4892" s="67"/>
      <c r="DF4892" s="67" t="s">
        <v>5932</v>
      </c>
      <c r="DG4892" s="67"/>
      <c r="DH4892" s="67"/>
      <c r="DI4892" s="67"/>
      <c r="DJ4892" s="67"/>
      <c r="DK4892" s="67"/>
      <c r="DL4892" s="67"/>
      <c r="DM4892" s="67"/>
      <c r="DN4892" s="67"/>
      <c r="DO4892" s="67"/>
      <c r="DP4892" s="67"/>
      <c r="DQ4892" s="166"/>
      <c r="DR4892" s="166"/>
      <c r="DS4892" s="163"/>
      <c r="DT4892" s="163"/>
      <c r="DU4892" s="67"/>
      <c r="DV4892" s="67"/>
      <c r="DW4892" s="67"/>
      <c r="DX4892" s="67"/>
      <c r="DY4892" s="67"/>
      <c r="DZ4892" s="67"/>
      <c r="EA4892" s="67"/>
      <c r="EB4892" s="67"/>
      <c r="EC4892" s="67"/>
      <c r="ED4892" s="67"/>
      <c r="EE4892" s="67"/>
      <c r="EF4892" s="67"/>
      <c r="EG4892" s="67"/>
      <c r="EH4892" s="67"/>
      <c r="EI4892" s="67"/>
      <c r="EJ4892" s="67"/>
      <c r="EK4892" s="94"/>
      <c r="EL4892" s="94"/>
      <c r="EM4892" s="67"/>
      <c r="EN4892" s="67"/>
      <c r="EO4892" s="67"/>
      <c r="EP4892" s="67"/>
      <c r="EQ4892" s="67"/>
      <c r="ER4892" s="67"/>
      <c r="ES4892" s="67"/>
      <c r="ET4892" s="67"/>
      <c r="EU4892" s="67"/>
      <c r="EV4892" s="67"/>
      <c r="EW4892" s="67"/>
      <c r="EX4892" s="67"/>
      <c r="EY4892" s="67"/>
      <c r="EZ4892" s="67"/>
      <c r="FA4892" s="67"/>
      <c r="FB4892" s="67"/>
      <c r="FC4892" s="67"/>
      <c r="FD4892" s="67"/>
      <c r="FE4892" s="67"/>
      <c r="FF4892" s="67"/>
      <c r="FG4892" s="67"/>
      <c r="FH4892" s="67"/>
      <c r="FI4892" s="67"/>
      <c r="FJ4892" s="67"/>
      <c r="FK4892" s="67"/>
      <c r="FL4892" s="67"/>
      <c r="FM4892" s="67"/>
      <c r="FN4892" s="67"/>
      <c r="FO4892" s="67"/>
      <c r="FP4892" s="67"/>
      <c r="FQ4892" s="67"/>
      <c r="FR4892" s="67"/>
      <c r="FS4892" s="67"/>
      <c r="FT4892" s="67"/>
      <c r="FU4892" s="67"/>
      <c r="FV4892" s="67"/>
      <c r="FW4892" s="67"/>
      <c r="FX4892" s="67"/>
      <c r="FY4892" s="67"/>
      <c r="FZ4892" s="67"/>
      <c r="GA4892" s="67"/>
      <c r="GB4892" s="67"/>
      <c r="GC4892" s="67"/>
      <c r="GD4892" s="67"/>
      <c r="GE4892" s="67"/>
      <c r="GF4892" s="67"/>
      <c r="GG4892" s="67"/>
      <c r="GH4892" s="67"/>
      <c r="GI4892" s="67"/>
      <c r="GJ4892" s="67"/>
      <c r="GK4892" s="67"/>
      <c r="GL4892" s="67"/>
      <c r="GM4892" s="67"/>
      <c r="GN4892" s="292"/>
      <c r="GO4892" s="292"/>
      <c r="GP4892" s="292" t="s">
        <v>7494</v>
      </c>
      <c r="GQ4892" s="67"/>
      <c r="GR4892" s="67"/>
      <c r="GS4892" s="67"/>
      <c r="GT4892" s="67"/>
      <c r="GU4892" s="67"/>
      <c r="GV4892" s="67"/>
      <c r="GW4892" s="67"/>
      <c r="GX4892" s="67"/>
      <c r="GY4892" s="67"/>
      <c r="GZ4892" s="67"/>
      <c r="HA4892" s="67"/>
      <c r="HB4892" s="67"/>
      <c r="HC4892" s="67"/>
      <c r="HD4892" s="67"/>
      <c r="HE4892" s="67"/>
      <c r="HF4892" s="67"/>
      <c r="HG4892" s="67"/>
      <c r="HH4892" s="67"/>
      <c r="HI4892" s="67"/>
      <c r="HJ4892" s="67"/>
      <c r="HK4892" s="67"/>
      <c r="HL4892" s="67"/>
      <c r="HM4892" s="67"/>
      <c r="HN4892" s="67"/>
      <c r="HO4892" s="67"/>
      <c r="HP4892" s="67"/>
      <c r="HQ4892" s="67"/>
      <c r="HR4892" s="67"/>
      <c r="HS4892" s="67"/>
      <c r="HT4892" s="67"/>
      <c r="HU4892" s="67"/>
      <c r="HV4892" s="67"/>
      <c r="HW4892" s="67"/>
      <c r="HX4892" s="67"/>
      <c r="HY4892" s="67"/>
      <c r="HZ4892" s="67"/>
      <c r="IA4892" s="67"/>
      <c r="IB4892" s="67"/>
      <c r="IC4892" s="67"/>
      <c r="ID4892" s="67"/>
      <c r="IE4892" s="67"/>
      <c r="IF4892" s="67"/>
      <c r="IG4892" s="67"/>
      <c r="IH4892" s="67"/>
      <c r="II4892" s="67"/>
      <c r="IJ4892" s="67"/>
      <c r="IK4892" s="67"/>
      <c r="IL4892" s="67"/>
      <c r="IM4892" s="67"/>
      <c r="IN4892" s="67"/>
      <c r="IO4892" s="67"/>
      <c r="IP4892" s="67"/>
      <c r="IQ4892" s="67"/>
      <c r="IR4892" s="67"/>
      <c r="IS4892" s="67"/>
      <c r="IT4892" s="67"/>
      <c r="IU4892" s="67"/>
      <c r="IV4892" s="67"/>
      <c r="IW4892" s="67"/>
      <c r="IX4892" s="67"/>
      <c r="IY4892" s="67"/>
      <c r="IZ4892" s="67"/>
      <c r="JA4892" s="67"/>
      <c r="JB4892" s="67"/>
      <c r="JC4892" s="67"/>
      <c r="JD4892" s="67"/>
      <c r="JE4892" s="67"/>
      <c r="JF4892" s="67"/>
      <c r="JG4892" s="67">
        <v>610</v>
      </c>
      <c r="JH4892" s="67">
        <v>660</v>
      </c>
      <c r="JI4892" s="67"/>
      <c r="JJ4892" s="67"/>
      <c r="JK4892" s="67" t="s">
        <v>5932</v>
      </c>
      <c r="JL4892" s="67"/>
      <c r="JM4892" s="67"/>
      <c r="JN4892" s="67"/>
      <c r="JO4892" s="67"/>
      <c r="JP4892" s="67"/>
      <c r="JQ4892" s="67"/>
      <c r="JR4892" s="67"/>
      <c r="JS4892" s="67"/>
      <c r="JT4892" s="67"/>
      <c r="JU4892" s="58"/>
      <c r="JV4892" s="58"/>
      <c r="JW4892" s="58"/>
    </row>
    <row r="4893" spans="1:283" s="23" customFormat="1" x14ac:dyDescent="0.25">
      <c r="A4893" s="55">
        <v>4892</v>
      </c>
      <c r="B4893" s="12" t="s">
        <v>7067</v>
      </c>
      <c r="C4893" s="156">
        <v>227</v>
      </c>
      <c r="D4893" s="58" t="s">
        <v>4922</v>
      </c>
      <c r="E4893" s="160" t="str">
        <f>G4893</f>
        <v>Fraser et al 1988_pair2_total</v>
      </c>
      <c r="F4893" s="160"/>
      <c r="G4893" s="60" t="s">
        <v>4807</v>
      </c>
      <c r="H4893" s="58">
        <v>1988</v>
      </c>
      <c r="I4893" s="58" t="s">
        <v>5923</v>
      </c>
      <c r="J4893" s="243" t="s">
        <v>916</v>
      </c>
      <c r="K4893" s="63" t="s">
        <v>5116</v>
      </c>
      <c r="L4893" s="58" t="s">
        <v>2737</v>
      </c>
      <c r="M4893" s="94">
        <v>40.82</v>
      </c>
      <c r="N4893" s="94">
        <v>-96.7</v>
      </c>
      <c r="O4893" s="94">
        <v>360</v>
      </c>
      <c r="P4893" s="58"/>
      <c r="Q4893" s="244">
        <v>11</v>
      </c>
      <c r="R4893" s="58"/>
      <c r="S4893" s="245">
        <v>680</v>
      </c>
      <c r="T4893" s="58"/>
      <c r="U4893" s="58" t="s">
        <v>1688</v>
      </c>
      <c r="V4893" s="244">
        <v>6</v>
      </c>
      <c r="W4893" s="174"/>
      <c r="X4893" s="174"/>
      <c r="Y4893" s="58" t="s">
        <v>5922</v>
      </c>
      <c r="Z4893" s="244" t="s">
        <v>1347</v>
      </c>
      <c r="AA4893" s="245">
        <v>7.5</v>
      </c>
      <c r="AB4893" s="67"/>
      <c r="AC4893" s="67"/>
      <c r="AD4893" s="94"/>
      <c r="AE4893" s="94"/>
      <c r="AF4893" s="94"/>
      <c r="AG4893" s="245">
        <v>35</v>
      </c>
      <c r="AH4893" s="58" t="s">
        <v>1022</v>
      </c>
      <c r="AI4893" s="169"/>
      <c r="AJ4893" s="94"/>
      <c r="AK4893" s="94"/>
      <c r="AL4893" s="58"/>
      <c r="AM4893" s="58" t="s">
        <v>5924</v>
      </c>
      <c r="AN4893" s="186"/>
      <c r="AO4893" s="185" t="s">
        <v>5150</v>
      </c>
      <c r="AP4893" s="58"/>
      <c r="AQ4893" s="58"/>
      <c r="AR4893" s="58"/>
      <c r="AS4893" s="246" t="s">
        <v>5133</v>
      </c>
      <c r="AT4893" s="247">
        <v>1</v>
      </c>
      <c r="AU4893" s="181" t="s">
        <v>7494</v>
      </c>
      <c r="AV4893" s="185" t="s">
        <v>176</v>
      </c>
      <c r="AW4893" s="244">
        <v>1</v>
      </c>
      <c r="AX4893" s="185" t="s">
        <v>176</v>
      </c>
      <c r="AY4893" s="244" t="s">
        <v>176</v>
      </c>
      <c r="AZ4893" s="58"/>
      <c r="BA4893" s="58"/>
      <c r="BB4893" s="58"/>
      <c r="BC4893" s="58"/>
      <c r="BD4893" s="58"/>
      <c r="BE4893" s="236" t="s">
        <v>5176</v>
      </c>
      <c r="BF4893" s="191" t="s">
        <v>479</v>
      </c>
      <c r="BG4893" s="191" t="s">
        <v>479</v>
      </c>
      <c r="BH4893" s="236" t="s">
        <v>5243</v>
      </c>
      <c r="BI4893" s="191" t="s">
        <v>479</v>
      </c>
      <c r="BJ4893" s="58" t="str">
        <f>IF(BE4893=BH4893,"No","yes")</f>
        <v>yes</v>
      </c>
      <c r="BK4893" s="58" t="s">
        <v>6334</v>
      </c>
      <c r="BL4893" s="58" t="s">
        <v>5739</v>
      </c>
      <c r="BM4893" s="237" t="s">
        <v>160</v>
      </c>
      <c r="BN4893" s="244">
        <v>4</v>
      </c>
      <c r="BO4893" s="244">
        <v>4</v>
      </c>
      <c r="BP4893" s="58"/>
      <c r="BQ4893" s="58"/>
      <c r="BR4893" s="58"/>
      <c r="BS4893" s="58"/>
      <c r="BT4893" s="58"/>
      <c r="BU4893" s="58"/>
      <c r="BV4893" s="58" t="s">
        <v>5934</v>
      </c>
      <c r="BW4893" s="67"/>
      <c r="BX4893" s="67"/>
      <c r="BY4893" s="67"/>
      <c r="BZ4893" s="67"/>
      <c r="CA4893" s="67"/>
      <c r="CB4893" s="70"/>
      <c r="CC4893" s="70"/>
      <c r="CD4893" s="70"/>
      <c r="CE4893" s="67"/>
      <c r="CF4893" s="67"/>
      <c r="CG4893" s="67"/>
      <c r="CH4893" s="245"/>
      <c r="CI4893" s="245"/>
      <c r="CJ4893" s="67"/>
      <c r="CK4893" s="67"/>
      <c r="CL4893" s="67"/>
      <c r="CM4893" s="242"/>
      <c r="CN4893" s="242"/>
      <c r="CO4893" s="242"/>
      <c r="CP4893" s="242"/>
      <c r="CQ4893" s="242"/>
      <c r="CR4893" s="242"/>
      <c r="CS4893" s="242"/>
      <c r="CT4893" s="242"/>
      <c r="CU4893" s="242"/>
      <c r="CV4893" s="242"/>
      <c r="CW4893" s="242"/>
      <c r="CX4893" s="242"/>
      <c r="CY4893" s="242"/>
      <c r="CZ4893" s="242"/>
      <c r="DA4893" s="67"/>
      <c r="DB4893" s="67">
        <v>5</v>
      </c>
      <c r="DC4893" s="67">
        <v>8</v>
      </c>
      <c r="DD4893" s="67"/>
      <c r="DE4893" s="67"/>
      <c r="DF4893" s="67" t="s">
        <v>5932</v>
      </c>
      <c r="DG4893" s="67"/>
      <c r="DH4893" s="67"/>
      <c r="DI4893" s="67"/>
      <c r="DJ4893" s="67"/>
      <c r="DK4893" s="67"/>
      <c r="DL4893" s="67"/>
      <c r="DM4893" s="67"/>
      <c r="DN4893" s="67"/>
      <c r="DO4893" s="67"/>
      <c r="DP4893" s="67"/>
      <c r="DQ4893" s="166"/>
      <c r="DR4893" s="166"/>
      <c r="DS4893" s="163"/>
      <c r="DT4893" s="163"/>
      <c r="DU4893" s="67"/>
      <c r="DV4893" s="67"/>
      <c r="DW4893" s="67"/>
      <c r="DX4893" s="67"/>
      <c r="DY4893" s="67"/>
      <c r="DZ4893" s="67"/>
      <c r="EA4893" s="67"/>
      <c r="EB4893" s="67"/>
      <c r="EC4893" s="67"/>
      <c r="ED4893" s="67"/>
      <c r="EE4893" s="67"/>
      <c r="EF4893" s="67"/>
      <c r="EG4893" s="67"/>
      <c r="EH4893" s="67"/>
      <c r="EI4893" s="67"/>
      <c r="EJ4893" s="67"/>
      <c r="EK4893" s="94"/>
      <c r="EL4893" s="94"/>
      <c r="EM4893" s="67"/>
      <c r="EN4893" s="67"/>
      <c r="EO4893" s="67"/>
      <c r="EP4893" s="67"/>
      <c r="EQ4893" s="67"/>
      <c r="ER4893" s="67"/>
      <c r="ES4893" s="67"/>
      <c r="ET4893" s="67"/>
      <c r="EU4893" s="67"/>
      <c r="EV4893" s="67"/>
      <c r="EW4893" s="67"/>
      <c r="EX4893" s="67"/>
      <c r="EY4893" s="67"/>
      <c r="EZ4893" s="67"/>
      <c r="FA4893" s="67"/>
      <c r="FB4893" s="67"/>
      <c r="FC4893" s="67"/>
      <c r="FD4893" s="67"/>
      <c r="FE4893" s="67"/>
      <c r="FF4893" s="67"/>
      <c r="FG4893" s="67"/>
      <c r="FH4893" s="67"/>
      <c r="FI4893" s="67"/>
      <c r="FJ4893" s="67"/>
      <c r="FK4893" s="67"/>
      <c r="FL4893" s="67"/>
      <c r="FM4893" s="67"/>
      <c r="FN4893" s="67"/>
      <c r="FO4893" s="67"/>
      <c r="FP4893" s="67"/>
      <c r="FQ4893" s="67"/>
      <c r="FR4893" s="67"/>
      <c r="FS4893" s="67"/>
      <c r="FT4893" s="67"/>
      <c r="FU4893" s="67"/>
      <c r="FV4893" s="67"/>
      <c r="FW4893" s="67"/>
      <c r="FX4893" s="67"/>
      <c r="FY4893" s="67"/>
      <c r="FZ4893" s="67"/>
      <c r="GA4893" s="67"/>
      <c r="GB4893" s="67"/>
      <c r="GC4893" s="67"/>
      <c r="GD4893" s="67"/>
      <c r="GE4893" s="67"/>
      <c r="GF4893" s="67"/>
      <c r="GG4893" s="67"/>
      <c r="GH4893" s="67"/>
      <c r="GI4893" s="67"/>
      <c r="GJ4893" s="67"/>
      <c r="GK4893" s="67"/>
      <c r="GL4893" s="67"/>
      <c r="GM4893" s="67"/>
      <c r="GN4893" s="292"/>
      <c r="GO4893" s="292"/>
      <c r="GP4893" s="292" t="s">
        <v>7494</v>
      </c>
      <c r="GQ4893" s="67"/>
      <c r="GR4893" s="67"/>
      <c r="GS4893" s="67"/>
      <c r="GT4893" s="67"/>
      <c r="GU4893" s="67"/>
      <c r="GV4893" s="67"/>
      <c r="GW4893" s="67"/>
      <c r="GX4893" s="67"/>
      <c r="GY4893" s="67"/>
      <c r="GZ4893" s="67"/>
      <c r="HA4893" s="67"/>
      <c r="HB4893" s="67"/>
      <c r="HC4893" s="67"/>
      <c r="HD4893" s="67"/>
      <c r="HE4893" s="67"/>
      <c r="HF4893" s="67"/>
      <c r="HG4893" s="67"/>
      <c r="HH4893" s="67"/>
      <c r="HI4893" s="67"/>
      <c r="HJ4893" s="67"/>
      <c r="HK4893" s="67"/>
      <c r="HL4893" s="67"/>
      <c r="HM4893" s="67"/>
      <c r="HN4893" s="67"/>
      <c r="HO4893" s="67"/>
      <c r="HP4893" s="67"/>
      <c r="HQ4893" s="67"/>
      <c r="HR4893" s="67"/>
      <c r="HS4893" s="67"/>
      <c r="HT4893" s="67"/>
      <c r="HU4893" s="67"/>
      <c r="HV4893" s="67"/>
      <c r="HW4893" s="67"/>
      <c r="HX4893" s="67"/>
      <c r="HY4893" s="67"/>
      <c r="HZ4893" s="67"/>
      <c r="IA4893" s="67"/>
      <c r="IB4893" s="67"/>
      <c r="IC4893" s="67"/>
      <c r="ID4893" s="67"/>
      <c r="IE4893" s="67"/>
      <c r="IF4893" s="67"/>
      <c r="IG4893" s="67"/>
      <c r="IH4893" s="67"/>
      <c r="II4893" s="67"/>
      <c r="IJ4893" s="67"/>
      <c r="IK4893" s="67"/>
      <c r="IL4893" s="67"/>
      <c r="IM4893" s="67"/>
      <c r="IN4893" s="67"/>
      <c r="IO4893" s="67"/>
      <c r="IP4893" s="67"/>
      <c r="IQ4893" s="67"/>
      <c r="IR4893" s="67"/>
      <c r="IS4893" s="67"/>
      <c r="IT4893" s="67"/>
      <c r="IU4893" s="67"/>
      <c r="IV4893" s="67"/>
      <c r="IW4893" s="67"/>
      <c r="IX4893" s="67"/>
      <c r="IY4893" s="67"/>
      <c r="IZ4893" s="67"/>
      <c r="JA4893" s="67"/>
      <c r="JB4893" s="67"/>
      <c r="JC4893" s="67"/>
      <c r="JD4893" s="67"/>
      <c r="JE4893" s="67"/>
      <c r="JF4893" s="67"/>
      <c r="JG4893" s="67">
        <v>570</v>
      </c>
      <c r="JH4893" s="67">
        <v>660</v>
      </c>
      <c r="JI4893" s="67"/>
      <c r="JJ4893" s="67"/>
      <c r="JK4893" s="67" t="s">
        <v>5932</v>
      </c>
      <c r="JL4893" s="67"/>
      <c r="JM4893" s="67"/>
      <c r="JN4893" s="67"/>
      <c r="JO4893" s="67"/>
      <c r="JP4893" s="67"/>
      <c r="JQ4893" s="67"/>
      <c r="JR4893" s="67"/>
      <c r="JS4893" s="67"/>
      <c r="JT4893" s="67"/>
      <c r="JU4893" s="58"/>
      <c r="JV4893" s="58"/>
      <c r="JW4893" s="58"/>
    </row>
    <row r="4894" spans="1:283" s="23" customFormat="1" x14ac:dyDescent="0.25">
      <c r="A4894" s="55">
        <v>4893</v>
      </c>
      <c r="B4894" s="12" t="s">
        <v>7067</v>
      </c>
      <c r="C4894" s="156">
        <v>227</v>
      </c>
      <c r="D4894" s="58" t="s">
        <v>4923</v>
      </c>
      <c r="E4894" s="160" t="str">
        <f>G4894</f>
        <v>Fraser et al 1988_pair3_total</v>
      </c>
      <c r="F4894" s="160"/>
      <c r="G4894" s="60" t="s">
        <v>4806</v>
      </c>
      <c r="H4894" s="58">
        <v>1988</v>
      </c>
      <c r="I4894" s="58" t="s">
        <v>5923</v>
      </c>
      <c r="J4894" s="243" t="s">
        <v>916</v>
      </c>
      <c r="K4894" s="63" t="s">
        <v>5116</v>
      </c>
      <c r="L4894" s="58" t="s">
        <v>2737</v>
      </c>
      <c r="M4894" s="94">
        <v>40.82</v>
      </c>
      <c r="N4894" s="94">
        <v>-96.7</v>
      </c>
      <c r="O4894" s="94">
        <v>360</v>
      </c>
      <c r="P4894" s="58"/>
      <c r="Q4894" s="244">
        <v>11</v>
      </c>
      <c r="R4894" s="58"/>
      <c r="S4894" s="245">
        <v>680</v>
      </c>
      <c r="T4894" s="58"/>
      <c r="U4894" s="58" t="s">
        <v>1688</v>
      </c>
      <c r="V4894" s="244">
        <v>6</v>
      </c>
      <c r="W4894" s="174"/>
      <c r="X4894" s="174"/>
      <c r="Y4894" s="58" t="s">
        <v>5922</v>
      </c>
      <c r="Z4894" s="244" t="s">
        <v>1347</v>
      </c>
      <c r="AA4894" s="245">
        <v>7.5</v>
      </c>
      <c r="AB4894" s="67"/>
      <c r="AC4894" s="67"/>
      <c r="AD4894" s="94"/>
      <c r="AE4894" s="94"/>
      <c r="AF4894" s="94"/>
      <c r="AG4894" s="245">
        <v>35</v>
      </c>
      <c r="AH4894" s="58" t="s">
        <v>1022</v>
      </c>
      <c r="AI4894" s="169"/>
      <c r="AJ4894" s="94"/>
      <c r="AK4894" s="94"/>
      <c r="AL4894" s="58"/>
      <c r="AM4894" s="58" t="s">
        <v>5924</v>
      </c>
      <c r="AN4894" s="186"/>
      <c r="AO4894" s="185" t="s">
        <v>5150</v>
      </c>
      <c r="AP4894" s="58"/>
      <c r="AQ4894" s="58"/>
      <c r="AR4894" s="58"/>
      <c r="AS4894" s="246" t="s">
        <v>5133</v>
      </c>
      <c r="AT4894" s="247">
        <v>1</v>
      </c>
      <c r="AU4894" s="181" t="s">
        <v>7494</v>
      </c>
      <c r="AV4894" s="185" t="s">
        <v>176</v>
      </c>
      <c r="AW4894" s="244">
        <v>1</v>
      </c>
      <c r="AX4894" s="185" t="s">
        <v>176</v>
      </c>
      <c r="AY4894" s="244" t="s">
        <v>176</v>
      </c>
      <c r="AZ4894" s="58"/>
      <c r="BA4894" s="58"/>
      <c r="BB4894" s="58"/>
      <c r="BC4894" s="58"/>
      <c r="BD4894" s="58"/>
      <c r="BE4894" s="236" t="s">
        <v>5176</v>
      </c>
      <c r="BF4894" s="191" t="s">
        <v>479</v>
      </c>
      <c r="BG4894" s="191" t="s">
        <v>479</v>
      </c>
      <c r="BH4894" s="236" t="s">
        <v>5243</v>
      </c>
      <c r="BI4894" s="191" t="s">
        <v>479</v>
      </c>
      <c r="BJ4894" s="58" t="str">
        <f>IF(BE4894=BH4894,"No","yes")</f>
        <v>yes</v>
      </c>
      <c r="BK4894" s="58" t="s">
        <v>6334</v>
      </c>
      <c r="BL4894" s="58" t="s">
        <v>5739</v>
      </c>
      <c r="BM4894" s="237" t="s">
        <v>160</v>
      </c>
      <c r="BN4894" s="244">
        <v>4</v>
      </c>
      <c r="BO4894" s="244">
        <v>4</v>
      </c>
      <c r="BP4894" s="58"/>
      <c r="BQ4894" s="58"/>
      <c r="BR4894" s="58"/>
      <c r="BS4894" s="58"/>
      <c r="BT4894" s="58"/>
      <c r="BU4894" s="58"/>
      <c r="BV4894" s="58" t="s">
        <v>5934</v>
      </c>
      <c r="BW4894" s="67"/>
      <c r="BX4894" s="67"/>
      <c r="BY4894" s="67"/>
      <c r="BZ4894" s="67"/>
      <c r="CA4894" s="67"/>
      <c r="CB4894" s="70"/>
      <c r="CC4894" s="70"/>
      <c r="CD4894" s="70"/>
      <c r="CE4894" s="67"/>
      <c r="CF4894" s="67"/>
      <c r="CG4894" s="67"/>
      <c r="CH4894" s="245"/>
      <c r="CI4894" s="245"/>
      <c r="CJ4894" s="67"/>
      <c r="CK4894" s="67"/>
      <c r="CL4894" s="67"/>
      <c r="CM4894" s="242"/>
      <c r="CN4894" s="242"/>
      <c r="CO4894" s="242"/>
      <c r="CP4894" s="242"/>
      <c r="CQ4894" s="242"/>
      <c r="CR4894" s="242"/>
      <c r="CS4894" s="242"/>
      <c r="CT4894" s="242"/>
      <c r="CU4894" s="242"/>
      <c r="CV4894" s="242"/>
      <c r="CW4894" s="242"/>
      <c r="CX4894" s="242"/>
      <c r="CY4894" s="242"/>
      <c r="CZ4894" s="242"/>
      <c r="DA4894" s="67"/>
      <c r="DB4894" s="67">
        <v>4</v>
      </c>
      <c r="DC4894" s="67">
        <v>8</v>
      </c>
      <c r="DD4894" s="67"/>
      <c r="DE4894" s="67"/>
      <c r="DF4894" s="67" t="s">
        <v>5932</v>
      </c>
      <c r="DG4894" s="67"/>
      <c r="DH4894" s="67"/>
      <c r="DI4894" s="67"/>
      <c r="DJ4894" s="67"/>
      <c r="DK4894" s="67"/>
      <c r="DL4894" s="67"/>
      <c r="DM4894" s="67"/>
      <c r="DN4894" s="67"/>
      <c r="DO4894" s="67"/>
      <c r="DP4894" s="67"/>
      <c r="DQ4894" s="166"/>
      <c r="DR4894" s="166"/>
      <c r="DS4894" s="163"/>
      <c r="DT4894" s="163"/>
      <c r="DU4894" s="67"/>
      <c r="DV4894" s="67"/>
      <c r="DW4894" s="67"/>
      <c r="DX4894" s="67"/>
      <c r="DY4894" s="67"/>
      <c r="DZ4894" s="67"/>
      <c r="EA4894" s="67"/>
      <c r="EB4894" s="67"/>
      <c r="EC4894" s="67"/>
      <c r="ED4894" s="67"/>
      <c r="EE4894" s="67"/>
      <c r="EF4894" s="67"/>
      <c r="EG4894" s="67"/>
      <c r="EH4894" s="67"/>
      <c r="EI4894" s="67"/>
      <c r="EJ4894" s="67"/>
      <c r="EK4894" s="94"/>
      <c r="EL4894" s="94"/>
      <c r="EM4894" s="67"/>
      <c r="EN4894" s="67"/>
      <c r="EO4894" s="67"/>
      <c r="EP4894" s="67"/>
      <c r="EQ4894" s="67"/>
      <c r="ER4894" s="67"/>
      <c r="ES4894" s="67"/>
      <c r="ET4894" s="67"/>
      <c r="EU4894" s="67"/>
      <c r="EV4894" s="67"/>
      <c r="EW4894" s="67"/>
      <c r="EX4894" s="67"/>
      <c r="EY4894" s="67"/>
      <c r="EZ4894" s="67"/>
      <c r="FA4894" s="67"/>
      <c r="FB4894" s="67"/>
      <c r="FC4894" s="67"/>
      <c r="FD4894" s="67"/>
      <c r="FE4894" s="67"/>
      <c r="FF4894" s="67"/>
      <c r="FG4894" s="67"/>
      <c r="FH4894" s="67"/>
      <c r="FI4894" s="67"/>
      <c r="FJ4894" s="67"/>
      <c r="FK4894" s="67"/>
      <c r="FL4894" s="67"/>
      <c r="FM4894" s="67"/>
      <c r="FN4894" s="67"/>
      <c r="FO4894" s="67"/>
      <c r="FP4894" s="67"/>
      <c r="FQ4894" s="67"/>
      <c r="FR4894" s="67"/>
      <c r="FS4894" s="67"/>
      <c r="FT4894" s="67"/>
      <c r="FU4894" s="67"/>
      <c r="FV4894" s="67"/>
      <c r="FW4894" s="67"/>
      <c r="FX4894" s="67"/>
      <c r="FY4894" s="67"/>
      <c r="FZ4894" s="67"/>
      <c r="GA4894" s="67"/>
      <c r="GB4894" s="67"/>
      <c r="GC4894" s="67"/>
      <c r="GD4894" s="67"/>
      <c r="GE4894" s="67"/>
      <c r="GF4894" s="67"/>
      <c r="GG4894" s="67"/>
      <c r="GH4894" s="67"/>
      <c r="GI4894" s="67"/>
      <c r="GJ4894" s="67"/>
      <c r="GK4894" s="67"/>
      <c r="GL4894" s="67"/>
      <c r="GM4894" s="67"/>
      <c r="GN4894" s="292"/>
      <c r="GO4894" s="292"/>
      <c r="GP4894" s="292" t="s">
        <v>7494</v>
      </c>
      <c r="GQ4894" s="67"/>
      <c r="GR4894" s="67"/>
      <c r="GS4894" s="67"/>
      <c r="GT4894" s="67"/>
      <c r="GU4894" s="67"/>
      <c r="GV4894" s="67"/>
      <c r="GW4894" s="67"/>
      <c r="GX4894" s="67"/>
      <c r="GY4894" s="67"/>
      <c r="GZ4894" s="67"/>
      <c r="HA4894" s="67"/>
      <c r="HB4894" s="67"/>
      <c r="HC4894" s="67"/>
      <c r="HD4894" s="67"/>
      <c r="HE4894" s="67"/>
      <c r="HF4894" s="67"/>
      <c r="HG4894" s="67"/>
      <c r="HH4894" s="67"/>
      <c r="HI4894" s="67"/>
      <c r="HJ4894" s="67"/>
      <c r="HK4894" s="67"/>
      <c r="HL4894" s="67"/>
      <c r="HM4894" s="67"/>
      <c r="HN4894" s="67"/>
      <c r="HO4894" s="67"/>
      <c r="HP4894" s="67"/>
      <c r="HQ4894" s="67"/>
      <c r="HR4894" s="67"/>
      <c r="HS4894" s="67"/>
      <c r="HT4894" s="67"/>
      <c r="HU4894" s="67"/>
      <c r="HV4894" s="67"/>
      <c r="HW4894" s="67"/>
      <c r="HX4894" s="67"/>
      <c r="HY4894" s="67"/>
      <c r="HZ4894" s="67"/>
      <c r="IA4894" s="67"/>
      <c r="IB4894" s="67"/>
      <c r="IC4894" s="67"/>
      <c r="ID4894" s="67"/>
      <c r="IE4894" s="67"/>
      <c r="IF4894" s="67"/>
      <c r="IG4894" s="67"/>
      <c r="IH4894" s="67"/>
      <c r="II4894" s="67"/>
      <c r="IJ4894" s="67"/>
      <c r="IK4894" s="67"/>
      <c r="IL4894" s="67"/>
      <c r="IM4894" s="67"/>
      <c r="IN4894" s="67"/>
      <c r="IO4894" s="67"/>
      <c r="IP4894" s="67"/>
      <c r="IQ4894" s="67"/>
      <c r="IR4894" s="67"/>
      <c r="IS4894" s="67"/>
      <c r="IT4894" s="67"/>
      <c r="IU4894" s="67"/>
      <c r="IV4894" s="67"/>
      <c r="IW4894" s="67"/>
      <c r="IX4894" s="67"/>
      <c r="IY4894" s="67"/>
      <c r="IZ4894" s="67"/>
      <c r="JA4894" s="67"/>
      <c r="JB4894" s="67"/>
      <c r="JC4894" s="67"/>
      <c r="JD4894" s="67"/>
      <c r="JE4894" s="67"/>
      <c r="JF4894" s="67"/>
      <c r="JG4894" s="67">
        <v>660</v>
      </c>
      <c r="JH4894" s="67">
        <v>660</v>
      </c>
      <c r="JI4894" s="67"/>
      <c r="JJ4894" s="67"/>
      <c r="JK4894" s="67" t="s">
        <v>5932</v>
      </c>
      <c r="JL4894" s="67"/>
      <c r="JM4894" s="67"/>
      <c r="JN4894" s="67"/>
      <c r="JO4894" s="67"/>
      <c r="JP4894" s="67"/>
      <c r="JQ4894" s="67"/>
      <c r="JR4894" s="67"/>
      <c r="JS4894" s="67"/>
      <c r="JT4894" s="67"/>
      <c r="JU4894" s="58"/>
      <c r="JV4894" s="58"/>
      <c r="JW4894" s="58"/>
    </row>
    <row r="4895" spans="1:283" s="23" customFormat="1" x14ac:dyDescent="0.25">
      <c r="A4895" s="55">
        <v>4894</v>
      </c>
      <c r="B4895" s="12" t="s">
        <v>7067</v>
      </c>
      <c r="C4895" s="156">
        <v>227</v>
      </c>
      <c r="D4895" s="58" t="s">
        <v>5925</v>
      </c>
      <c r="E4895" s="160" t="str">
        <f>G4895</f>
        <v>Fraser et al 1988_pair1_total</v>
      </c>
      <c r="F4895" s="160"/>
      <c r="G4895" s="60" t="s">
        <v>4808</v>
      </c>
      <c r="H4895" s="58">
        <v>1988</v>
      </c>
      <c r="I4895" s="58" t="s">
        <v>5923</v>
      </c>
      <c r="J4895" s="243" t="s">
        <v>916</v>
      </c>
      <c r="K4895" s="63" t="s">
        <v>5116</v>
      </c>
      <c r="L4895" s="58" t="s">
        <v>2737</v>
      </c>
      <c r="M4895" s="94">
        <v>40.82</v>
      </c>
      <c r="N4895" s="94">
        <v>-96.7</v>
      </c>
      <c r="O4895" s="94">
        <v>360</v>
      </c>
      <c r="P4895" s="58"/>
      <c r="Q4895" s="244">
        <v>11</v>
      </c>
      <c r="R4895" s="58"/>
      <c r="S4895" s="245">
        <v>680</v>
      </c>
      <c r="T4895" s="58"/>
      <c r="U4895" s="58" t="s">
        <v>1688</v>
      </c>
      <c r="V4895" s="244">
        <v>6</v>
      </c>
      <c r="W4895" s="174"/>
      <c r="X4895" s="174"/>
      <c r="Y4895" s="58" t="s">
        <v>5922</v>
      </c>
      <c r="Z4895" s="244" t="s">
        <v>1348</v>
      </c>
      <c r="AA4895" s="245">
        <v>7.5</v>
      </c>
      <c r="AB4895" s="67"/>
      <c r="AC4895" s="67"/>
      <c r="AD4895" s="94"/>
      <c r="AE4895" s="94"/>
      <c r="AF4895" s="94"/>
      <c r="AG4895" s="245">
        <v>35</v>
      </c>
      <c r="AH4895" s="58" t="s">
        <v>1022</v>
      </c>
      <c r="AI4895" s="169"/>
      <c r="AJ4895" s="94"/>
      <c r="AK4895" s="94"/>
      <c r="AL4895" s="58"/>
      <c r="AM4895" s="58" t="s">
        <v>5924</v>
      </c>
      <c r="AN4895" s="186"/>
      <c r="AO4895" s="185" t="s">
        <v>5150</v>
      </c>
      <c r="AP4895" s="58"/>
      <c r="AQ4895" s="58"/>
      <c r="AR4895" s="58"/>
      <c r="AS4895" s="246" t="s">
        <v>5133</v>
      </c>
      <c r="AT4895" s="247">
        <v>1</v>
      </c>
      <c r="AU4895" s="181" t="s">
        <v>7494</v>
      </c>
      <c r="AV4895" s="185" t="s">
        <v>176</v>
      </c>
      <c r="AW4895" s="244">
        <v>1</v>
      </c>
      <c r="AX4895" s="185" t="s">
        <v>176</v>
      </c>
      <c r="AY4895" s="244" t="s">
        <v>176</v>
      </c>
      <c r="AZ4895" s="58"/>
      <c r="BA4895" s="58"/>
      <c r="BB4895" s="58"/>
      <c r="BC4895" s="58"/>
      <c r="BD4895" s="58"/>
      <c r="BE4895" s="236" t="s">
        <v>5175</v>
      </c>
      <c r="BF4895" s="191" t="s">
        <v>479</v>
      </c>
      <c r="BG4895" s="191" t="s">
        <v>479</v>
      </c>
      <c r="BH4895" s="236" t="s">
        <v>5243</v>
      </c>
      <c r="BI4895" s="191" t="s">
        <v>479</v>
      </c>
      <c r="BJ4895" s="58" t="str">
        <f>IF(BE4895=BH4895,"No","yes")</f>
        <v>yes</v>
      </c>
      <c r="BK4895" s="58" t="s">
        <v>6334</v>
      </c>
      <c r="BL4895" s="58" t="s">
        <v>5739</v>
      </c>
      <c r="BM4895" s="237" t="s">
        <v>160</v>
      </c>
      <c r="BN4895" s="244">
        <v>4</v>
      </c>
      <c r="BO4895" s="244">
        <v>4</v>
      </c>
      <c r="BP4895" s="58"/>
      <c r="BQ4895" s="58"/>
      <c r="BR4895" s="58"/>
      <c r="BS4895" s="58"/>
      <c r="BT4895" s="58"/>
      <c r="BU4895" s="58"/>
      <c r="BV4895" s="58" t="s">
        <v>5934</v>
      </c>
      <c r="BW4895" s="67"/>
      <c r="BX4895" s="67"/>
      <c r="BY4895" s="67"/>
      <c r="BZ4895" s="67"/>
      <c r="CA4895" s="67"/>
      <c r="CB4895" s="70"/>
      <c r="CC4895" s="70"/>
      <c r="CD4895" s="70"/>
      <c r="CE4895" s="67"/>
      <c r="CF4895" s="67"/>
      <c r="CG4895" s="67"/>
      <c r="CH4895" s="245"/>
      <c r="CI4895" s="245"/>
      <c r="CJ4895" s="67"/>
      <c r="CK4895" s="67"/>
      <c r="CL4895" s="67"/>
      <c r="CM4895" s="242"/>
      <c r="CN4895" s="242"/>
      <c r="CO4895" s="242"/>
      <c r="CP4895" s="242"/>
      <c r="CQ4895" s="242"/>
      <c r="CR4895" s="242"/>
      <c r="CS4895" s="242"/>
      <c r="CT4895" s="242"/>
      <c r="CU4895" s="242"/>
      <c r="CV4895" s="242"/>
      <c r="CW4895" s="242"/>
      <c r="CX4895" s="242"/>
      <c r="CY4895" s="242"/>
      <c r="CZ4895" s="242"/>
      <c r="DA4895" s="67"/>
      <c r="DB4895" s="67">
        <v>5</v>
      </c>
      <c r="DC4895" s="67">
        <v>6</v>
      </c>
      <c r="DD4895" s="67"/>
      <c r="DE4895" s="67"/>
      <c r="DF4895" s="67" t="s">
        <v>5932</v>
      </c>
      <c r="DG4895" s="67"/>
      <c r="DH4895" s="67"/>
      <c r="DI4895" s="67"/>
      <c r="DJ4895" s="67"/>
      <c r="DK4895" s="67"/>
      <c r="DL4895" s="67"/>
      <c r="DM4895" s="67"/>
      <c r="DN4895" s="67"/>
      <c r="DO4895" s="67"/>
      <c r="DP4895" s="67"/>
      <c r="DQ4895" s="166"/>
      <c r="DR4895" s="166"/>
      <c r="DS4895" s="163"/>
      <c r="DT4895" s="163"/>
      <c r="DU4895" s="67"/>
      <c r="DV4895" s="67"/>
      <c r="DW4895" s="67"/>
      <c r="DX4895" s="67"/>
      <c r="DY4895" s="67"/>
      <c r="DZ4895" s="67"/>
      <c r="EA4895" s="67"/>
      <c r="EB4895" s="67"/>
      <c r="EC4895" s="67"/>
      <c r="ED4895" s="67"/>
      <c r="EE4895" s="67"/>
      <c r="EF4895" s="67"/>
      <c r="EG4895" s="67"/>
      <c r="EH4895" s="67"/>
      <c r="EI4895" s="67"/>
      <c r="EJ4895" s="67"/>
      <c r="EK4895" s="94"/>
      <c r="EL4895" s="94"/>
      <c r="EM4895" s="67"/>
      <c r="EN4895" s="67"/>
      <c r="EO4895" s="67"/>
      <c r="EP4895" s="67"/>
      <c r="EQ4895" s="67"/>
      <c r="ER4895" s="67"/>
      <c r="ES4895" s="67"/>
      <c r="ET4895" s="67"/>
      <c r="EU4895" s="67"/>
      <c r="EV4895" s="67"/>
      <c r="EW4895" s="67"/>
      <c r="EX4895" s="67"/>
      <c r="EY4895" s="67"/>
      <c r="EZ4895" s="67"/>
      <c r="FA4895" s="67"/>
      <c r="FB4895" s="67"/>
      <c r="FC4895" s="67"/>
      <c r="FD4895" s="67"/>
      <c r="FE4895" s="67"/>
      <c r="FF4895" s="67"/>
      <c r="FG4895" s="67"/>
      <c r="FH4895" s="67"/>
      <c r="FI4895" s="67"/>
      <c r="FJ4895" s="67"/>
      <c r="FK4895" s="67"/>
      <c r="FL4895" s="67"/>
      <c r="FM4895" s="67"/>
      <c r="FN4895" s="67"/>
      <c r="FO4895" s="67"/>
      <c r="FP4895" s="67"/>
      <c r="FQ4895" s="67"/>
      <c r="FR4895" s="67"/>
      <c r="FS4895" s="67"/>
      <c r="FT4895" s="67"/>
      <c r="FU4895" s="67"/>
      <c r="FV4895" s="67"/>
      <c r="FW4895" s="67"/>
      <c r="FX4895" s="67"/>
      <c r="FY4895" s="67"/>
      <c r="FZ4895" s="67"/>
      <c r="GA4895" s="67"/>
      <c r="GB4895" s="67"/>
      <c r="GC4895" s="67"/>
      <c r="GD4895" s="67"/>
      <c r="GE4895" s="67"/>
      <c r="GF4895" s="67"/>
      <c r="GG4895" s="67"/>
      <c r="GH4895" s="67"/>
      <c r="GI4895" s="67"/>
      <c r="GJ4895" s="67"/>
      <c r="GK4895" s="67"/>
      <c r="GL4895" s="67"/>
      <c r="GM4895" s="67"/>
      <c r="GN4895" s="292"/>
      <c r="GO4895" s="292"/>
      <c r="GP4895" s="292" t="s">
        <v>7494</v>
      </c>
      <c r="GQ4895" s="67"/>
      <c r="GR4895" s="67"/>
      <c r="GS4895" s="67"/>
      <c r="GT4895" s="67"/>
      <c r="GU4895" s="67"/>
      <c r="GV4895" s="67"/>
      <c r="GW4895" s="67"/>
      <c r="GX4895" s="67"/>
      <c r="GY4895" s="67"/>
      <c r="GZ4895" s="67"/>
      <c r="HA4895" s="67"/>
      <c r="HB4895" s="67"/>
      <c r="HC4895" s="67"/>
      <c r="HD4895" s="67"/>
      <c r="HE4895" s="67"/>
      <c r="HF4895" s="67"/>
      <c r="HG4895" s="67"/>
      <c r="HH4895" s="67"/>
      <c r="HI4895" s="67"/>
      <c r="HJ4895" s="67"/>
      <c r="HK4895" s="67"/>
      <c r="HL4895" s="67"/>
      <c r="HM4895" s="67"/>
      <c r="HN4895" s="67"/>
      <c r="HO4895" s="67"/>
      <c r="HP4895" s="67"/>
      <c r="HQ4895" s="67"/>
      <c r="HR4895" s="67"/>
      <c r="HS4895" s="67"/>
      <c r="HT4895" s="67"/>
      <c r="HU4895" s="67"/>
      <c r="HV4895" s="67"/>
      <c r="HW4895" s="67"/>
      <c r="HX4895" s="67"/>
      <c r="HY4895" s="67"/>
      <c r="HZ4895" s="67"/>
      <c r="IA4895" s="67"/>
      <c r="IB4895" s="67"/>
      <c r="IC4895" s="67"/>
      <c r="ID4895" s="67"/>
      <c r="IE4895" s="67"/>
      <c r="IF4895" s="67"/>
      <c r="IG4895" s="67"/>
      <c r="IH4895" s="67"/>
      <c r="II4895" s="67"/>
      <c r="IJ4895" s="67"/>
      <c r="IK4895" s="67"/>
      <c r="IL4895" s="67"/>
      <c r="IM4895" s="67"/>
      <c r="IN4895" s="67"/>
      <c r="IO4895" s="67"/>
      <c r="IP4895" s="67"/>
      <c r="IQ4895" s="67"/>
      <c r="IR4895" s="67"/>
      <c r="IS4895" s="67"/>
      <c r="IT4895" s="67"/>
      <c r="IU4895" s="67"/>
      <c r="IV4895" s="67"/>
      <c r="IW4895" s="67"/>
      <c r="IX4895" s="67"/>
      <c r="IY4895" s="67"/>
      <c r="IZ4895" s="67"/>
      <c r="JA4895" s="67"/>
      <c r="JB4895" s="67"/>
      <c r="JC4895" s="67"/>
      <c r="JD4895" s="67"/>
      <c r="JE4895" s="67"/>
      <c r="JF4895" s="67"/>
      <c r="JG4895" s="67">
        <v>570</v>
      </c>
      <c r="JH4895" s="67">
        <v>590</v>
      </c>
      <c r="JI4895" s="67"/>
      <c r="JJ4895" s="67"/>
      <c r="JK4895" s="67" t="s">
        <v>5932</v>
      </c>
      <c r="JL4895" s="67"/>
      <c r="JM4895" s="67"/>
      <c r="JN4895" s="67"/>
      <c r="JO4895" s="67"/>
      <c r="JP4895" s="67"/>
      <c r="JQ4895" s="67"/>
      <c r="JR4895" s="67"/>
      <c r="JS4895" s="67"/>
      <c r="JT4895" s="67"/>
      <c r="JU4895" s="58"/>
      <c r="JV4895" s="58"/>
      <c r="JW4895" s="58"/>
    </row>
    <row r="4896" spans="1:283" s="23" customFormat="1" x14ac:dyDescent="0.25">
      <c r="A4896" s="55">
        <v>4895</v>
      </c>
      <c r="B4896" s="12" t="s">
        <v>7067</v>
      </c>
      <c r="C4896" s="156">
        <v>227</v>
      </c>
      <c r="D4896" s="58" t="s">
        <v>5926</v>
      </c>
      <c r="E4896" s="160" t="str">
        <f>G4896</f>
        <v>Fraser et al 1988_pair2_total</v>
      </c>
      <c r="F4896" s="160"/>
      <c r="G4896" s="60" t="s">
        <v>4807</v>
      </c>
      <c r="H4896" s="58">
        <v>1988</v>
      </c>
      <c r="I4896" s="58" t="s">
        <v>5923</v>
      </c>
      <c r="J4896" s="243" t="s">
        <v>916</v>
      </c>
      <c r="K4896" s="63" t="s">
        <v>5116</v>
      </c>
      <c r="L4896" s="58" t="s">
        <v>2737</v>
      </c>
      <c r="M4896" s="94">
        <v>40.82</v>
      </c>
      <c r="N4896" s="94">
        <v>-96.7</v>
      </c>
      <c r="O4896" s="94">
        <v>360</v>
      </c>
      <c r="P4896" s="58"/>
      <c r="Q4896" s="244">
        <v>11</v>
      </c>
      <c r="R4896" s="58"/>
      <c r="S4896" s="245">
        <v>680</v>
      </c>
      <c r="T4896" s="58"/>
      <c r="U4896" s="58" t="s">
        <v>1688</v>
      </c>
      <c r="V4896" s="244">
        <v>6</v>
      </c>
      <c r="W4896" s="174"/>
      <c r="X4896" s="174"/>
      <c r="Y4896" s="58" t="s">
        <v>5922</v>
      </c>
      <c r="Z4896" s="244" t="s">
        <v>1348</v>
      </c>
      <c r="AA4896" s="245">
        <v>7.5</v>
      </c>
      <c r="AB4896" s="67"/>
      <c r="AC4896" s="67"/>
      <c r="AD4896" s="94"/>
      <c r="AE4896" s="94"/>
      <c r="AF4896" s="94"/>
      <c r="AG4896" s="245">
        <v>35</v>
      </c>
      <c r="AH4896" s="58" t="s">
        <v>1022</v>
      </c>
      <c r="AI4896" s="169"/>
      <c r="AJ4896" s="94"/>
      <c r="AK4896" s="94"/>
      <c r="AL4896" s="58"/>
      <c r="AM4896" s="58" t="s">
        <v>5924</v>
      </c>
      <c r="AN4896" s="186"/>
      <c r="AO4896" s="185" t="s">
        <v>5150</v>
      </c>
      <c r="AP4896" s="58"/>
      <c r="AQ4896" s="58"/>
      <c r="AR4896" s="58"/>
      <c r="AS4896" s="246" t="s">
        <v>5133</v>
      </c>
      <c r="AT4896" s="247">
        <v>1</v>
      </c>
      <c r="AU4896" s="181" t="s">
        <v>7494</v>
      </c>
      <c r="AV4896" s="185" t="s">
        <v>176</v>
      </c>
      <c r="AW4896" s="244">
        <v>1</v>
      </c>
      <c r="AX4896" s="185" t="s">
        <v>176</v>
      </c>
      <c r="AY4896" s="244" t="s">
        <v>176</v>
      </c>
      <c r="AZ4896" s="58"/>
      <c r="BA4896" s="58"/>
      <c r="BB4896" s="58"/>
      <c r="BC4896" s="58"/>
      <c r="BD4896" s="58"/>
      <c r="BE4896" s="236" t="s">
        <v>5176</v>
      </c>
      <c r="BF4896" s="191" t="s">
        <v>479</v>
      </c>
      <c r="BG4896" s="191" t="s">
        <v>479</v>
      </c>
      <c r="BH4896" s="236" t="s">
        <v>5243</v>
      </c>
      <c r="BI4896" s="191" t="s">
        <v>479</v>
      </c>
      <c r="BJ4896" s="58" t="str">
        <f>IF(BE4896=BH4896,"No","yes")</f>
        <v>yes</v>
      </c>
      <c r="BK4896" s="58" t="s">
        <v>6334</v>
      </c>
      <c r="BL4896" s="58" t="s">
        <v>5739</v>
      </c>
      <c r="BM4896" s="237" t="s">
        <v>160</v>
      </c>
      <c r="BN4896" s="244">
        <v>4</v>
      </c>
      <c r="BO4896" s="244">
        <v>4</v>
      </c>
      <c r="BP4896" s="58"/>
      <c r="BQ4896" s="58"/>
      <c r="BR4896" s="58"/>
      <c r="BS4896" s="58"/>
      <c r="BT4896" s="58"/>
      <c r="BU4896" s="58"/>
      <c r="BV4896" s="58" t="s">
        <v>5934</v>
      </c>
      <c r="BW4896" s="67"/>
      <c r="BX4896" s="67"/>
      <c r="BY4896" s="67"/>
      <c r="BZ4896" s="67"/>
      <c r="CA4896" s="67"/>
      <c r="CB4896" s="70"/>
      <c r="CC4896" s="70"/>
      <c r="CD4896" s="70"/>
      <c r="CE4896" s="67"/>
      <c r="CF4896" s="67"/>
      <c r="CG4896" s="67"/>
      <c r="CH4896" s="245"/>
      <c r="CI4896" s="245"/>
      <c r="CJ4896" s="67"/>
      <c r="CK4896" s="67"/>
      <c r="CL4896" s="67"/>
      <c r="CM4896" s="242"/>
      <c r="CN4896" s="242"/>
      <c r="CO4896" s="242"/>
      <c r="CP4896" s="242"/>
      <c r="CQ4896" s="242"/>
      <c r="CR4896" s="242"/>
      <c r="CS4896" s="242"/>
      <c r="CT4896" s="242"/>
      <c r="CU4896" s="242"/>
      <c r="CV4896" s="242"/>
      <c r="CW4896" s="242"/>
      <c r="CX4896" s="242"/>
      <c r="CY4896" s="242"/>
      <c r="CZ4896" s="242"/>
      <c r="DA4896" s="67"/>
      <c r="DB4896" s="67">
        <v>4</v>
      </c>
      <c r="DC4896" s="67">
        <v>6</v>
      </c>
      <c r="DD4896" s="67"/>
      <c r="DE4896" s="67"/>
      <c r="DF4896" s="67" t="s">
        <v>5932</v>
      </c>
      <c r="DG4896" s="67"/>
      <c r="DH4896" s="67"/>
      <c r="DI4896" s="67"/>
      <c r="DJ4896" s="67"/>
      <c r="DK4896" s="67"/>
      <c r="DL4896" s="67"/>
      <c r="DM4896" s="67"/>
      <c r="DN4896" s="67"/>
      <c r="DO4896" s="67"/>
      <c r="DP4896" s="67"/>
      <c r="DQ4896" s="166"/>
      <c r="DR4896" s="166"/>
      <c r="DS4896" s="163"/>
      <c r="DT4896" s="163"/>
      <c r="DU4896" s="67"/>
      <c r="DV4896" s="67"/>
      <c r="DW4896" s="67"/>
      <c r="DX4896" s="67"/>
      <c r="DY4896" s="67"/>
      <c r="DZ4896" s="67"/>
      <c r="EA4896" s="67"/>
      <c r="EB4896" s="67"/>
      <c r="EC4896" s="67"/>
      <c r="ED4896" s="67"/>
      <c r="EE4896" s="67"/>
      <c r="EF4896" s="67"/>
      <c r="EG4896" s="67"/>
      <c r="EH4896" s="67"/>
      <c r="EI4896" s="67"/>
      <c r="EJ4896" s="67"/>
      <c r="EK4896" s="94"/>
      <c r="EL4896" s="94"/>
      <c r="EM4896" s="67"/>
      <c r="EN4896" s="67"/>
      <c r="EO4896" s="67"/>
      <c r="EP4896" s="67"/>
      <c r="EQ4896" s="67"/>
      <c r="ER4896" s="67"/>
      <c r="ES4896" s="67"/>
      <c r="ET4896" s="67"/>
      <c r="EU4896" s="67"/>
      <c r="EV4896" s="67"/>
      <c r="EW4896" s="67"/>
      <c r="EX4896" s="67"/>
      <c r="EY4896" s="67"/>
      <c r="EZ4896" s="67"/>
      <c r="FA4896" s="67"/>
      <c r="FB4896" s="67"/>
      <c r="FC4896" s="67"/>
      <c r="FD4896" s="67"/>
      <c r="FE4896" s="67"/>
      <c r="FF4896" s="67"/>
      <c r="FG4896" s="67"/>
      <c r="FH4896" s="67"/>
      <c r="FI4896" s="67"/>
      <c r="FJ4896" s="67"/>
      <c r="FK4896" s="67"/>
      <c r="FL4896" s="67"/>
      <c r="FM4896" s="67"/>
      <c r="FN4896" s="67"/>
      <c r="FO4896" s="67"/>
      <c r="FP4896" s="67"/>
      <c r="FQ4896" s="67"/>
      <c r="FR4896" s="67"/>
      <c r="FS4896" s="67"/>
      <c r="FT4896" s="67"/>
      <c r="FU4896" s="67"/>
      <c r="FV4896" s="67"/>
      <c r="FW4896" s="67"/>
      <c r="FX4896" s="67"/>
      <c r="FY4896" s="67"/>
      <c r="FZ4896" s="67"/>
      <c r="GA4896" s="67"/>
      <c r="GB4896" s="67"/>
      <c r="GC4896" s="67"/>
      <c r="GD4896" s="67"/>
      <c r="GE4896" s="67"/>
      <c r="GF4896" s="67"/>
      <c r="GG4896" s="67"/>
      <c r="GH4896" s="67"/>
      <c r="GI4896" s="67"/>
      <c r="GJ4896" s="67"/>
      <c r="GK4896" s="67"/>
      <c r="GL4896" s="67"/>
      <c r="GM4896" s="67"/>
      <c r="GN4896" s="292"/>
      <c r="GO4896" s="292"/>
      <c r="GP4896" s="292" t="s">
        <v>7494</v>
      </c>
      <c r="GQ4896" s="67"/>
      <c r="GR4896" s="67"/>
      <c r="GS4896" s="67"/>
      <c r="GT4896" s="67"/>
      <c r="GU4896" s="67"/>
      <c r="GV4896" s="67"/>
      <c r="GW4896" s="67"/>
      <c r="GX4896" s="67"/>
      <c r="GY4896" s="67"/>
      <c r="GZ4896" s="67"/>
      <c r="HA4896" s="67"/>
      <c r="HB4896" s="67"/>
      <c r="HC4896" s="67"/>
      <c r="HD4896" s="67"/>
      <c r="HE4896" s="67"/>
      <c r="HF4896" s="67"/>
      <c r="HG4896" s="67"/>
      <c r="HH4896" s="67"/>
      <c r="HI4896" s="67"/>
      <c r="HJ4896" s="67"/>
      <c r="HK4896" s="67"/>
      <c r="HL4896" s="67"/>
      <c r="HM4896" s="67"/>
      <c r="HN4896" s="67"/>
      <c r="HO4896" s="67"/>
      <c r="HP4896" s="67"/>
      <c r="HQ4896" s="67"/>
      <c r="HR4896" s="67"/>
      <c r="HS4896" s="67"/>
      <c r="HT4896" s="67"/>
      <c r="HU4896" s="67"/>
      <c r="HV4896" s="67"/>
      <c r="HW4896" s="67"/>
      <c r="HX4896" s="67"/>
      <c r="HY4896" s="67"/>
      <c r="HZ4896" s="67"/>
      <c r="IA4896" s="67"/>
      <c r="IB4896" s="67"/>
      <c r="IC4896" s="67"/>
      <c r="ID4896" s="67"/>
      <c r="IE4896" s="67"/>
      <c r="IF4896" s="67"/>
      <c r="IG4896" s="67"/>
      <c r="IH4896" s="67"/>
      <c r="II4896" s="67"/>
      <c r="IJ4896" s="67"/>
      <c r="IK4896" s="67"/>
      <c r="IL4896" s="67"/>
      <c r="IM4896" s="67"/>
      <c r="IN4896" s="67"/>
      <c r="IO4896" s="67"/>
      <c r="IP4896" s="67"/>
      <c r="IQ4896" s="67"/>
      <c r="IR4896" s="67"/>
      <c r="IS4896" s="67"/>
      <c r="IT4896" s="67"/>
      <c r="IU4896" s="67"/>
      <c r="IV4896" s="67"/>
      <c r="IW4896" s="67"/>
      <c r="IX4896" s="67"/>
      <c r="IY4896" s="67"/>
      <c r="IZ4896" s="67"/>
      <c r="JA4896" s="67"/>
      <c r="JB4896" s="67"/>
      <c r="JC4896" s="67"/>
      <c r="JD4896" s="67"/>
      <c r="JE4896" s="67"/>
      <c r="JF4896" s="67"/>
      <c r="JG4896" s="67">
        <v>550</v>
      </c>
      <c r="JH4896" s="67">
        <v>590</v>
      </c>
      <c r="JI4896" s="67"/>
      <c r="JJ4896" s="67"/>
      <c r="JK4896" s="67" t="s">
        <v>5932</v>
      </c>
      <c r="JL4896" s="67"/>
      <c r="JM4896" s="67"/>
      <c r="JN4896" s="67"/>
      <c r="JO4896" s="67"/>
      <c r="JP4896" s="67"/>
      <c r="JQ4896" s="67"/>
      <c r="JR4896" s="67"/>
      <c r="JS4896" s="67"/>
      <c r="JT4896" s="67"/>
      <c r="JU4896" s="58"/>
      <c r="JV4896" s="58"/>
      <c r="JW4896" s="58"/>
    </row>
    <row r="4897" spans="1:283" s="23" customFormat="1" x14ac:dyDescent="0.25">
      <c r="A4897" s="55">
        <v>4896</v>
      </c>
      <c r="B4897" s="12" t="s">
        <v>7067</v>
      </c>
      <c r="C4897" s="156">
        <v>227</v>
      </c>
      <c r="D4897" s="58" t="s">
        <v>5927</v>
      </c>
      <c r="E4897" s="160" t="str">
        <f>G4897</f>
        <v>Fraser et al 1988_pair3_total</v>
      </c>
      <c r="F4897" s="160"/>
      <c r="G4897" s="60" t="s">
        <v>4806</v>
      </c>
      <c r="H4897" s="58">
        <v>1988</v>
      </c>
      <c r="I4897" s="58" t="s">
        <v>5923</v>
      </c>
      <c r="J4897" s="243" t="s">
        <v>916</v>
      </c>
      <c r="K4897" s="63" t="s">
        <v>5116</v>
      </c>
      <c r="L4897" s="58" t="s">
        <v>2737</v>
      </c>
      <c r="M4897" s="94">
        <v>40.82</v>
      </c>
      <c r="N4897" s="94">
        <v>-96.7</v>
      </c>
      <c r="O4897" s="94">
        <v>360</v>
      </c>
      <c r="P4897" s="58"/>
      <c r="Q4897" s="244">
        <v>11</v>
      </c>
      <c r="R4897" s="58"/>
      <c r="S4897" s="245">
        <v>680</v>
      </c>
      <c r="T4897" s="58"/>
      <c r="U4897" s="58" t="s">
        <v>1688</v>
      </c>
      <c r="V4897" s="244">
        <v>6</v>
      </c>
      <c r="W4897" s="174"/>
      <c r="X4897" s="174"/>
      <c r="Y4897" s="58" t="s">
        <v>5922</v>
      </c>
      <c r="Z4897" s="244" t="s">
        <v>1348</v>
      </c>
      <c r="AA4897" s="245">
        <v>7.5</v>
      </c>
      <c r="AB4897" s="67"/>
      <c r="AC4897" s="67"/>
      <c r="AD4897" s="94"/>
      <c r="AE4897" s="94"/>
      <c r="AF4897" s="94"/>
      <c r="AG4897" s="245">
        <v>35</v>
      </c>
      <c r="AH4897" s="58" t="s">
        <v>1022</v>
      </c>
      <c r="AI4897" s="169"/>
      <c r="AJ4897" s="94"/>
      <c r="AK4897" s="94"/>
      <c r="AL4897" s="58"/>
      <c r="AM4897" s="58" t="s">
        <v>5924</v>
      </c>
      <c r="AN4897" s="186"/>
      <c r="AO4897" s="185" t="s">
        <v>5150</v>
      </c>
      <c r="AP4897" s="58"/>
      <c r="AQ4897" s="58"/>
      <c r="AR4897" s="58"/>
      <c r="AS4897" s="246" t="s">
        <v>5133</v>
      </c>
      <c r="AT4897" s="247">
        <v>1</v>
      </c>
      <c r="AU4897" s="181" t="s">
        <v>7494</v>
      </c>
      <c r="AV4897" s="185" t="s">
        <v>176</v>
      </c>
      <c r="AW4897" s="244">
        <v>1</v>
      </c>
      <c r="AX4897" s="185" t="s">
        <v>176</v>
      </c>
      <c r="AY4897" s="244" t="s">
        <v>176</v>
      </c>
      <c r="AZ4897" s="58"/>
      <c r="BA4897" s="58"/>
      <c r="BB4897" s="58"/>
      <c r="BC4897" s="58"/>
      <c r="BD4897" s="58"/>
      <c r="BE4897" s="236" t="s">
        <v>5176</v>
      </c>
      <c r="BF4897" s="191" t="s">
        <v>479</v>
      </c>
      <c r="BG4897" s="191" t="s">
        <v>479</v>
      </c>
      <c r="BH4897" s="236" t="s">
        <v>5243</v>
      </c>
      <c r="BI4897" s="191" t="s">
        <v>479</v>
      </c>
      <c r="BJ4897" s="58" t="str">
        <f>IF(BE4897=BH4897,"No","yes")</f>
        <v>yes</v>
      </c>
      <c r="BK4897" s="58" t="s">
        <v>6334</v>
      </c>
      <c r="BL4897" s="58" t="s">
        <v>5739</v>
      </c>
      <c r="BM4897" s="237" t="s">
        <v>160</v>
      </c>
      <c r="BN4897" s="244">
        <v>4</v>
      </c>
      <c r="BO4897" s="244">
        <v>4</v>
      </c>
      <c r="BP4897" s="58"/>
      <c r="BQ4897" s="58"/>
      <c r="BR4897" s="58"/>
      <c r="BS4897" s="58"/>
      <c r="BT4897" s="58"/>
      <c r="BU4897" s="58"/>
      <c r="BV4897" s="58" t="s">
        <v>5934</v>
      </c>
      <c r="BW4897" s="67"/>
      <c r="BX4897" s="67"/>
      <c r="BY4897" s="67"/>
      <c r="BZ4897" s="67"/>
      <c r="CA4897" s="67"/>
      <c r="CB4897" s="70"/>
      <c r="CC4897" s="70"/>
      <c r="CD4897" s="70"/>
      <c r="CE4897" s="67"/>
      <c r="CF4897" s="67"/>
      <c r="CG4897" s="67"/>
      <c r="CH4897" s="245"/>
      <c r="CI4897" s="245"/>
      <c r="CJ4897" s="67"/>
      <c r="CK4897" s="67"/>
      <c r="CL4897" s="67"/>
      <c r="CM4897" s="242"/>
      <c r="CN4897" s="242"/>
      <c r="CO4897" s="242"/>
      <c r="CP4897" s="242"/>
      <c r="CQ4897" s="242"/>
      <c r="CR4897" s="242"/>
      <c r="CS4897" s="242"/>
      <c r="CT4897" s="242"/>
      <c r="CU4897" s="242"/>
      <c r="CV4897" s="242"/>
      <c r="CW4897" s="242"/>
      <c r="CX4897" s="242"/>
      <c r="CY4897" s="242"/>
      <c r="CZ4897" s="242"/>
      <c r="DA4897" s="67"/>
      <c r="DB4897" s="67">
        <v>3</v>
      </c>
      <c r="DC4897" s="67">
        <v>6</v>
      </c>
      <c r="DD4897" s="67"/>
      <c r="DE4897" s="67"/>
      <c r="DF4897" s="67" t="s">
        <v>5932</v>
      </c>
      <c r="DG4897" s="67"/>
      <c r="DH4897" s="67"/>
      <c r="DI4897" s="67"/>
      <c r="DJ4897" s="67"/>
      <c r="DK4897" s="67"/>
      <c r="DL4897" s="67"/>
      <c r="DM4897" s="67"/>
      <c r="DN4897" s="67"/>
      <c r="DO4897" s="67"/>
      <c r="DP4897" s="67"/>
      <c r="DQ4897" s="166"/>
      <c r="DR4897" s="166"/>
      <c r="DS4897" s="163"/>
      <c r="DT4897" s="163"/>
      <c r="DU4897" s="67"/>
      <c r="DV4897" s="67"/>
      <c r="DW4897" s="67"/>
      <c r="DX4897" s="67"/>
      <c r="DY4897" s="67"/>
      <c r="DZ4897" s="67"/>
      <c r="EA4897" s="67"/>
      <c r="EB4897" s="67"/>
      <c r="EC4897" s="67"/>
      <c r="ED4897" s="67"/>
      <c r="EE4897" s="67"/>
      <c r="EF4897" s="67"/>
      <c r="EG4897" s="67"/>
      <c r="EH4897" s="67"/>
      <c r="EI4897" s="67"/>
      <c r="EJ4897" s="67"/>
      <c r="EK4897" s="94"/>
      <c r="EL4897" s="94"/>
      <c r="EM4897" s="67"/>
      <c r="EN4897" s="67"/>
      <c r="EO4897" s="67"/>
      <c r="EP4897" s="67"/>
      <c r="EQ4897" s="67"/>
      <c r="ER4897" s="67"/>
      <c r="ES4897" s="67"/>
      <c r="ET4897" s="67"/>
      <c r="EU4897" s="67"/>
      <c r="EV4897" s="67"/>
      <c r="EW4897" s="67"/>
      <c r="EX4897" s="67"/>
      <c r="EY4897" s="67"/>
      <c r="EZ4897" s="67"/>
      <c r="FA4897" s="67"/>
      <c r="FB4897" s="67"/>
      <c r="FC4897" s="67"/>
      <c r="FD4897" s="67"/>
      <c r="FE4897" s="67"/>
      <c r="FF4897" s="67"/>
      <c r="FG4897" s="67"/>
      <c r="FH4897" s="67"/>
      <c r="FI4897" s="67"/>
      <c r="FJ4897" s="67"/>
      <c r="FK4897" s="67"/>
      <c r="FL4897" s="67"/>
      <c r="FM4897" s="67"/>
      <c r="FN4897" s="67"/>
      <c r="FO4897" s="67"/>
      <c r="FP4897" s="67"/>
      <c r="FQ4897" s="67"/>
      <c r="FR4897" s="67"/>
      <c r="FS4897" s="67"/>
      <c r="FT4897" s="67"/>
      <c r="FU4897" s="67"/>
      <c r="FV4897" s="67"/>
      <c r="FW4897" s="67"/>
      <c r="FX4897" s="67"/>
      <c r="FY4897" s="67"/>
      <c r="FZ4897" s="67"/>
      <c r="GA4897" s="67"/>
      <c r="GB4897" s="67"/>
      <c r="GC4897" s="67"/>
      <c r="GD4897" s="67"/>
      <c r="GE4897" s="67"/>
      <c r="GF4897" s="67"/>
      <c r="GG4897" s="67"/>
      <c r="GH4897" s="67"/>
      <c r="GI4897" s="67"/>
      <c r="GJ4897" s="67"/>
      <c r="GK4897" s="67"/>
      <c r="GL4897" s="67"/>
      <c r="GM4897" s="67"/>
      <c r="GN4897" s="292"/>
      <c r="GO4897" s="292"/>
      <c r="GP4897" s="292" t="s">
        <v>7494</v>
      </c>
      <c r="GQ4897" s="67"/>
      <c r="GR4897" s="67"/>
      <c r="GS4897" s="67"/>
      <c r="GT4897" s="67"/>
      <c r="GU4897" s="67"/>
      <c r="GV4897" s="67"/>
      <c r="GW4897" s="67"/>
      <c r="GX4897" s="67"/>
      <c r="GY4897" s="67"/>
      <c r="GZ4897" s="67"/>
      <c r="HA4897" s="67"/>
      <c r="HB4897" s="67"/>
      <c r="HC4897" s="67"/>
      <c r="HD4897" s="67"/>
      <c r="HE4897" s="67"/>
      <c r="HF4897" s="67"/>
      <c r="HG4897" s="67"/>
      <c r="HH4897" s="67"/>
      <c r="HI4897" s="67"/>
      <c r="HJ4897" s="67"/>
      <c r="HK4897" s="67"/>
      <c r="HL4897" s="67"/>
      <c r="HM4897" s="67"/>
      <c r="HN4897" s="67"/>
      <c r="HO4897" s="67"/>
      <c r="HP4897" s="67"/>
      <c r="HQ4897" s="67"/>
      <c r="HR4897" s="67"/>
      <c r="HS4897" s="67"/>
      <c r="HT4897" s="67"/>
      <c r="HU4897" s="67"/>
      <c r="HV4897" s="67"/>
      <c r="HW4897" s="67"/>
      <c r="HX4897" s="67"/>
      <c r="HY4897" s="67"/>
      <c r="HZ4897" s="67"/>
      <c r="IA4897" s="67"/>
      <c r="IB4897" s="67"/>
      <c r="IC4897" s="67"/>
      <c r="ID4897" s="67"/>
      <c r="IE4897" s="67"/>
      <c r="IF4897" s="67"/>
      <c r="IG4897" s="67"/>
      <c r="IH4897" s="67"/>
      <c r="II4897" s="67"/>
      <c r="IJ4897" s="67"/>
      <c r="IK4897" s="67"/>
      <c r="IL4897" s="67"/>
      <c r="IM4897" s="67"/>
      <c r="IN4897" s="67"/>
      <c r="IO4897" s="67"/>
      <c r="IP4897" s="67"/>
      <c r="IQ4897" s="67"/>
      <c r="IR4897" s="67"/>
      <c r="IS4897" s="67"/>
      <c r="IT4897" s="67"/>
      <c r="IU4897" s="67"/>
      <c r="IV4897" s="67"/>
      <c r="IW4897" s="67"/>
      <c r="IX4897" s="67"/>
      <c r="IY4897" s="67"/>
      <c r="IZ4897" s="67"/>
      <c r="JA4897" s="67"/>
      <c r="JB4897" s="67"/>
      <c r="JC4897" s="67"/>
      <c r="JD4897" s="67"/>
      <c r="JE4897" s="67"/>
      <c r="JF4897" s="67"/>
      <c r="JG4897" s="67">
        <v>530</v>
      </c>
      <c r="JH4897" s="67">
        <v>590</v>
      </c>
      <c r="JI4897" s="67"/>
      <c r="JJ4897" s="67"/>
      <c r="JK4897" s="67" t="s">
        <v>5932</v>
      </c>
      <c r="JL4897" s="67"/>
      <c r="JM4897" s="67"/>
      <c r="JN4897" s="67"/>
      <c r="JO4897" s="67"/>
      <c r="JP4897" s="67"/>
      <c r="JQ4897" s="67"/>
      <c r="JR4897" s="67"/>
      <c r="JS4897" s="67"/>
      <c r="JT4897" s="67"/>
      <c r="JU4897" s="58"/>
      <c r="JV4897" s="58"/>
      <c r="JW4897" s="58"/>
    </row>
    <row r="4898" spans="1:283" s="23" customFormat="1" x14ac:dyDescent="0.25">
      <c r="A4898" s="55">
        <v>4897</v>
      </c>
      <c r="B4898" s="12" t="s">
        <v>7067</v>
      </c>
      <c r="C4898" s="156">
        <v>227</v>
      </c>
      <c r="D4898" s="58" t="s">
        <v>5928</v>
      </c>
      <c r="E4898" s="160" t="str">
        <f>G4898</f>
        <v>Fraser et al 1988_pair1_total</v>
      </c>
      <c r="F4898" s="160"/>
      <c r="G4898" s="60" t="s">
        <v>4808</v>
      </c>
      <c r="H4898" s="58">
        <v>1988</v>
      </c>
      <c r="I4898" s="58" t="s">
        <v>5923</v>
      </c>
      <c r="J4898" s="243" t="s">
        <v>916</v>
      </c>
      <c r="K4898" s="63" t="s">
        <v>5116</v>
      </c>
      <c r="L4898" s="58" t="s">
        <v>2737</v>
      </c>
      <c r="M4898" s="94">
        <v>40.82</v>
      </c>
      <c r="N4898" s="94">
        <v>-96.7</v>
      </c>
      <c r="O4898" s="94">
        <v>360</v>
      </c>
      <c r="P4898" s="58"/>
      <c r="Q4898" s="244">
        <v>11</v>
      </c>
      <c r="R4898" s="58"/>
      <c r="S4898" s="245">
        <v>680</v>
      </c>
      <c r="T4898" s="58"/>
      <c r="U4898" s="58" t="s">
        <v>1688</v>
      </c>
      <c r="V4898" s="244">
        <v>6</v>
      </c>
      <c r="W4898" s="174"/>
      <c r="X4898" s="174"/>
      <c r="Y4898" s="58" t="s">
        <v>5922</v>
      </c>
      <c r="Z4898" s="244" t="s">
        <v>1357</v>
      </c>
      <c r="AA4898" s="245">
        <v>15</v>
      </c>
      <c r="AB4898" s="67"/>
      <c r="AC4898" s="67"/>
      <c r="AD4898" s="94"/>
      <c r="AE4898" s="94"/>
      <c r="AF4898" s="94"/>
      <c r="AG4898" s="245">
        <v>35</v>
      </c>
      <c r="AH4898" s="58" t="s">
        <v>1022</v>
      </c>
      <c r="AI4898" s="169"/>
      <c r="AJ4898" s="94"/>
      <c r="AK4898" s="94"/>
      <c r="AL4898" s="58"/>
      <c r="AM4898" s="58" t="s">
        <v>5924</v>
      </c>
      <c r="AN4898" s="186"/>
      <c r="AO4898" s="185" t="s">
        <v>5150</v>
      </c>
      <c r="AP4898" s="58"/>
      <c r="AQ4898" s="58"/>
      <c r="AR4898" s="58"/>
      <c r="AS4898" s="246" t="s">
        <v>5133</v>
      </c>
      <c r="AT4898" s="247">
        <v>1</v>
      </c>
      <c r="AU4898" s="181" t="s">
        <v>7494</v>
      </c>
      <c r="AV4898" s="185" t="s">
        <v>176</v>
      </c>
      <c r="AW4898" s="244">
        <v>1</v>
      </c>
      <c r="AX4898" s="185" t="s">
        <v>176</v>
      </c>
      <c r="AY4898" s="244" t="s">
        <v>176</v>
      </c>
      <c r="AZ4898" s="58"/>
      <c r="BA4898" s="58"/>
      <c r="BB4898" s="58"/>
      <c r="BC4898" s="58"/>
      <c r="BD4898" s="58"/>
      <c r="BE4898" s="236" t="s">
        <v>5175</v>
      </c>
      <c r="BF4898" s="191" t="s">
        <v>479</v>
      </c>
      <c r="BG4898" s="191" t="s">
        <v>479</v>
      </c>
      <c r="BH4898" s="236" t="s">
        <v>5243</v>
      </c>
      <c r="BI4898" s="191" t="s">
        <v>479</v>
      </c>
      <c r="BJ4898" s="58" t="str">
        <f>IF(BE4898=BH4898,"No","yes")</f>
        <v>yes</v>
      </c>
      <c r="BK4898" s="58" t="s">
        <v>6334</v>
      </c>
      <c r="BL4898" s="58" t="s">
        <v>5739</v>
      </c>
      <c r="BM4898" s="237" t="s">
        <v>160</v>
      </c>
      <c r="BN4898" s="244">
        <v>4</v>
      </c>
      <c r="BO4898" s="244">
        <v>4</v>
      </c>
      <c r="BP4898" s="58"/>
      <c r="BQ4898" s="58"/>
      <c r="BR4898" s="58"/>
      <c r="BS4898" s="58"/>
      <c r="BT4898" s="58"/>
      <c r="BU4898" s="58"/>
      <c r="BV4898" s="58" t="s">
        <v>5934</v>
      </c>
      <c r="BW4898" s="67"/>
      <c r="BX4898" s="67"/>
      <c r="BY4898" s="67"/>
      <c r="BZ4898" s="67"/>
      <c r="CA4898" s="67"/>
      <c r="CB4898" s="70"/>
      <c r="CC4898" s="70"/>
      <c r="CD4898" s="70"/>
      <c r="CE4898" s="67"/>
      <c r="CF4898" s="67"/>
      <c r="CG4898" s="67"/>
      <c r="CH4898" s="245"/>
      <c r="CI4898" s="245"/>
      <c r="CJ4898" s="67"/>
      <c r="CK4898" s="67"/>
      <c r="CL4898" s="67"/>
      <c r="CM4898" s="242"/>
      <c r="CN4898" s="242"/>
      <c r="CO4898" s="242"/>
      <c r="CP4898" s="242"/>
      <c r="CQ4898" s="242"/>
      <c r="CR4898" s="242"/>
      <c r="CS4898" s="242"/>
      <c r="CT4898" s="242"/>
      <c r="CU4898" s="242"/>
      <c r="CV4898" s="242"/>
      <c r="CW4898" s="242"/>
      <c r="CX4898" s="242"/>
      <c r="CY4898" s="242"/>
      <c r="CZ4898" s="242"/>
      <c r="DA4898" s="67"/>
      <c r="DB4898" s="67">
        <v>9</v>
      </c>
      <c r="DC4898" s="67">
        <v>8</v>
      </c>
      <c r="DD4898" s="67"/>
      <c r="DE4898" s="67"/>
      <c r="DF4898" s="67" t="s">
        <v>5932</v>
      </c>
      <c r="DG4898" s="67"/>
      <c r="DH4898" s="67"/>
      <c r="DI4898" s="67"/>
      <c r="DJ4898" s="67"/>
      <c r="DK4898" s="67"/>
      <c r="DL4898" s="67"/>
      <c r="DM4898" s="67"/>
      <c r="DN4898" s="67"/>
      <c r="DO4898" s="67"/>
      <c r="DP4898" s="67"/>
      <c r="DQ4898" s="166"/>
      <c r="DR4898" s="166"/>
      <c r="DS4898" s="163"/>
      <c r="DT4898" s="163"/>
      <c r="DU4898" s="67"/>
      <c r="DV4898" s="67"/>
      <c r="DW4898" s="67"/>
      <c r="DX4898" s="67"/>
      <c r="DY4898" s="67"/>
      <c r="DZ4898" s="67"/>
      <c r="EA4898" s="67"/>
      <c r="EB4898" s="67"/>
      <c r="EC4898" s="67"/>
      <c r="ED4898" s="67"/>
      <c r="EE4898" s="67"/>
      <c r="EF4898" s="67"/>
      <c r="EG4898" s="67"/>
      <c r="EH4898" s="67"/>
      <c r="EI4898" s="67"/>
      <c r="EJ4898" s="67"/>
      <c r="EK4898" s="94"/>
      <c r="EL4898" s="94"/>
      <c r="EM4898" s="67"/>
      <c r="EN4898" s="67"/>
      <c r="EO4898" s="67"/>
      <c r="EP4898" s="67"/>
      <c r="EQ4898" s="67"/>
      <c r="ER4898" s="67"/>
      <c r="ES4898" s="67"/>
      <c r="ET4898" s="67"/>
      <c r="EU4898" s="67"/>
      <c r="EV4898" s="67"/>
      <c r="EW4898" s="67"/>
      <c r="EX4898" s="67"/>
      <c r="EY4898" s="67"/>
      <c r="EZ4898" s="67"/>
      <c r="FA4898" s="67"/>
      <c r="FB4898" s="67"/>
      <c r="FC4898" s="67"/>
      <c r="FD4898" s="67"/>
      <c r="FE4898" s="67"/>
      <c r="FF4898" s="67"/>
      <c r="FG4898" s="67"/>
      <c r="FH4898" s="67"/>
      <c r="FI4898" s="67"/>
      <c r="FJ4898" s="67"/>
      <c r="FK4898" s="67"/>
      <c r="FL4898" s="67"/>
      <c r="FM4898" s="67"/>
      <c r="FN4898" s="67"/>
      <c r="FO4898" s="67"/>
      <c r="FP4898" s="67"/>
      <c r="FQ4898" s="67"/>
      <c r="FR4898" s="67"/>
      <c r="FS4898" s="67"/>
      <c r="FT4898" s="67"/>
      <c r="FU4898" s="67"/>
      <c r="FV4898" s="67"/>
      <c r="FW4898" s="67"/>
      <c r="FX4898" s="67"/>
      <c r="FY4898" s="67"/>
      <c r="FZ4898" s="67"/>
      <c r="GA4898" s="67"/>
      <c r="GB4898" s="67"/>
      <c r="GC4898" s="67"/>
      <c r="GD4898" s="67"/>
      <c r="GE4898" s="67"/>
      <c r="GF4898" s="67"/>
      <c r="GG4898" s="67"/>
      <c r="GH4898" s="67"/>
      <c r="GI4898" s="67"/>
      <c r="GJ4898" s="67"/>
      <c r="GK4898" s="67"/>
      <c r="GL4898" s="67"/>
      <c r="GM4898" s="67"/>
      <c r="GN4898" s="292"/>
      <c r="GO4898" s="292"/>
      <c r="GP4898" s="292" t="s">
        <v>7494</v>
      </c>
      <c r="GQ4898" s="67"/>
      <c r="GR4898" s="67"/>
      <c r="GS4898" s="67"/>
      <c r="GT4898" s="67"/>
      <c r="GU4898" s="67"/>
      <c r="GV4898" s="67"/>
      <c r="GW4898" s="67"/>
      <c r="GX4898" s="67"/>
      <c r="GY4898" s="67"/>
      <c r="GZ4898" s="67"/>
      <c r="HA4898" s="67"/>
      <c r="HB4898" s="67"/>
      <c r="HC4898" s="67"/>
      <c r="HD4898" s="67"/>
      <c r="HE4898" s="67"/>
      <c r="HF4898" s="67"/>
      <c r="HG4898" s="67"/>
      <c r="HH4898" s="67"/>
      <c r="HI4898" s="67"/>
      <c r="HJ4898" s="67"/>
      <c r="HK4898" s="67"/>
      <c r="HL4898" s="67"/>
      <c r="HM4898" s="67"/>
      <c r="HN4898" s="67"/>
      <c r="HO4898" s="67"/>
      <c r="HP4898" s="67"/>
      <c r="HQ4898" s="67"/>
      <c r="HR4898" s="67"/>
      <c r="HS4898" s="67"/>
      <c r="HT4898" s="67"/>
      <c r="HU4898" s="67"/>
      <c r="HV4898" s="67"/>
      <c r="HW4898" s="67"/>
      <c r="HX4898" s="67"/>
      <c r="HY4898" s="67"/>
      <c r="HZ4898" s="67"/>
      <c r="IA4898" s="67"/>
      <c r="IB4898" s="67"/>
      <c r="IC4898" s="67"/>
      <c r="ID4898" s="67"/>
      <c r="IE4898" s="67"/>
      <c r="IF4898" s="67"/>
      <c r="IG4898" s="67"/>
      <c r="IH4898" s="67"/>
      <c r="II4898" s="67"/>
      <c r="IJ4898" s="67"/>
      <c r="IK4898" s="67"/>
      <c r="IL4898" s="67"/>
      <c r="IM4898" s="67"/>
      <c r="IN4898" s="67"/>
      <c r="IO4898" s="67"/>
      <c r="IP4898" s="67"/>
      <c r="IQ4898" s="67"/>
      <c r="IR4898" s="67"/>
      <c r="IS4898" s="67"/>
      <c r="IT4898" s="67"/>
      <c r="IU4898" s="67"/>
      <c r="IV4898" s="67"/>
      <c r="IW4898" s="67"/>
      <c r="IX4898" s="67"/>
      <c r="IY4898" s="67"/>
      <c r="IZ4898" s="67"/>
      <c r="JA4898" s="67"/>
      <c r="JB4898" s="67"/>
      <c r="JC4898" s="67"/>
      <c r="JD4898" s="67"/>
      <c r="JE4898" s="67"/>
      <c r="JF4898" s="67"/>
      <c r="JG4898" s="67">
        <v>1000</v>
      </c>
      <c r="JH4898" s="67">
        <v>1040</v>
      </c>
      <c r="JI4898" s="67"/>
      <c r="JJ4898" s="67"/>
      <c r="JK4898" s="67" t="s">
        <v>5932</v>
      </c>
      <c r="JL4898" s="67"/>
      <c r="JM4898" s="67"/>
      <c r="JN4898" s="67"/>
      <c r="JO4898" s="67"/>
      <c r="JP4898" s="67"/>
      <c r="JQ4898" s="67"/>
      <c r="JR4898" s="67"/>
      <c r="JS4898" s="67"/>
      <c r="JT4898" s="67"/>
      <c r="JU4898" s="58"/>
      <c r="JV4898" s="58"/>
      <c r="JW4898" s="58"/>
    </row>
    <row r="4899" spans="1:283" s="23" customFormat="1" x14ac:dyDescent="0.25">
      <c r="A4899" s="55">
        <v>4898</v>
      </c>
      <c r="B4899" s="12" t="s">
        <v>7067</v>
      </c>
      <c r="C4899" s="156">
        <v>227</v>
      </c>
      <c r="D4899" s="58" t="s">
        <v>5929</v>
      </c>
      <c r="E4899" s="160" t="str">
        <f>G4899</f>
        <v>Fraser et al 1988_pair2_total</v>
      </c>
      <c r="F4899" s="160"/>
      <c r="G4899" s="60" t="s">
        <v>4807</v>
      </c>
      <c r="H4899" s="58">
        <v>1988</v>
      </c>
      <c r="I4899" s="58" t="s">
        <v>5923</v>
      </c>
      <c r="J4899" s="243" t="s">
        <v>916</v>
      </c>
      <c r="K4899" s="63" t="s">
        <v>5116</v>
      </c>
      <c r="L4899" s="58" t="s">
        <v>2737</v>
      </c>
      <c r="M4899" s="94">
        <v>40.82</v>
      </c>
      <c r="N4899" s="94">
        <v>-96.7</v>
      </c>
      <c r="O4899" s="94">
        <v>360</v>
      </c>
      <c r="P4899" s="58"/>
      <c r="Q4899" s="244">
        <v>11</v>
      </c>
      <c r="R4899" s="58"/>
      <c r="S4899" s="245">
        <v>680</v>
      </c>
      <c r="T4899" s="58"/>
      <c r="U4899" s="58" t="s">
        <v>1688</v>
      </c>
      <c r="V4899" s="244">
        <v>6</v>
      </c>
      <c r="W4899" s="174"/>
      <c r="X4899" s="174"/>
      <c r="Y4899" s="58" t="s">
        <v>5922</v>
      </c>
      <c r="Z4899" s="244" t="s">
        <v>1357</v>
      </c>
      <c r="AA4899" s="245">
        <v>15</v>
      </c>
      <c r="AB4899" s="67"/>
      <c r="AC4899" s="67"/>
      <c r="AD4899" s="94"/>
      <c r="AE4899" s="94"/>
      <c r="AF4899" s="94"/>
      <c r="AG4899" s="245">
        <v>35</v>
      </c>
      <c r="AH4899" s="58" t="s">
        <v>1022</v>
      </c>
      <c r="AI4899" s="169"/>
      <c r="AJ4899" s="94"/>
      <c r="AK4899" s="94"/>
      <c r="AL4899" s="58"/>
      <c r="AM4899" s="58" t="s">
        <v>5924</v>
      </c>
      <c r="AN4899" s="186"/>
      <c r="AO4899" s="185" t="s">
        <v>5150</v>
      </c>
      <c r="AP4899" s="58"/>
      <c r="AQ4899" s="58"/>
      <c r="AR4899" s="58"/>
      <c r="AS4899" s="246" t="s">
        <v>5133</v>
      </c>
      <c r="AT4899" s="247">
        <v>1</v>
      </c>
      <c r="AU4899" s="181" t="s">
        <v>7494</v>
      </c>
      <c r="AV4899" s="185" t="s">
        <v>176</v>
      </c>
      <c r="AW4899" s="244">
        <v>1</v>
      </c>
      <c r="AX4899" s="185" t="s">
        <v>176</v>
      </c>
      <c r="AY4899" s="244" t="s">
        <v>176</v>
      </c>
      <c r="AZ4899" s="58"/>
      <c r="BA4899" s="58"/>
      <c r="BB4899" s="58"/>
      <c r="BC4899" s="58"/>
      <c r="BD4899" s="58"/>
      <c r="BE4899" s="236" t="s">
        <v>5176</v>
      </c>
      <c r="BF4899" s="191" t="s">
        <v>479</v>
      </c>
      <c r="BG4899" s="191" t="s">
        <v>479</v>
      </c>
      <c r="BH4899" s="236" t="s">
        <v>5243</v>
      </c>
      <c r="BI4899" s="191" t="s">
        <v>479</v>
      </c>
      <c r="BJ4899" s="58" t="str">
        <f>IF(BE4899=BH4899,"No","yes")</f>
        <v>yes</v>
      </c>
      <c r="BK4899" s="58" t="s">
        <v>6334</v>
      </c>
      <c r="BL4899" s="58" t="s">
        <v>5739</v>
      </c>
      <c r="BM4899" s="237" t="s">
        <v>160</v>
      </c>
      <c r="BN4899" s="244">
        <v>4</v>
      </c>
      <c r="BO4899" s="244">
        <v>4</v>
      </c>
      <c r="BP4899" s="58"/>
      <c r="BQ4899" s="58"/>
      <c r="BR4899" s="58"/>
      <c r="BS4899" s="58"/>
      <c r="BT4899" s="58"/>
      <c r="BU4899" s="58"/>
      <c r="BV4899" s="58" t="s">
        <v>5934</v>
      </c>
      <c r="BW4899" s="67"/>
      <c r="BX4899" s="67"/>
      <c r="BY4899" s="67"/>
      <c r="BZ4899" s="67"/>
      <c r="CA4899" s="67"/>
      <c r="CB4899" s="70"/>
      <c r="CC4899" s="70"/>
      <c r="CD4899" s="70"/>
      <c r="CE4899" s="67"/>
      <c r="CF4899" s="67"/>
      <c r="CG4899" s="67"/>
      <c r="CH4899" s="245"/>
      <c r="CI4899" s="245"/>
      <c r="CJ4899" s="67"/>
      <c r="CK4899" s="67"/>
      <c r="CL4899" s="67"/>
      <c r="CM4899" s="242"/>
      <c r="CN4899" s="242"/>
      <c r="CO4899" s="242"/>
      <c r="CP4899" s="242"/>
      <c r="CQ4899" s="242"/>
      <c r="CR4899" s="242"/>
      <c r="CS4899" s="242"/>
      <c r="CT4899" s="242"/>
      <c r="CU4899" s="242"/>
      <c r="CV4899" s="242"/>
      <c r="CW4899" s="242"/>
      <c r="CX4899" s="242"/>
      <c r="CY4899" s="242"/>
      <c r="CZ4899" s="242"/>
      <c r="DA4899" s="67"/>
      <c r="DB4899" s="67">
        <v>7</v>
      </c>
      <c r="DC4899" s="67">
        <v>8</v>
      </c>
      <c r="DD4899" s="67"/>
      <c r="DE4899" s="67"/>
      <c r="DF4899" s="67" t="s">
        <v>5932</v>
      </c>
      <c r="DG4899" s="67"/>
      <c r="DH4899" s="67"/>
      <c r="DI4899" s="67"/>
      <c r="DJ4899" s="67"/>
      <c r="DK4899" s="67"/>
      <c r="DL4899" s="67"/>
      <c r="DM4899" s="67"/>
      <c r="DN4899" s="67"/>
      <c r="DO4899" s="67"/>
      <c r="DP4899" s="67"/>
      <c r="DQ4899" s="166"/>
      <c r="DR4899" s="166"/>
      <c r="DS4899" s="163"/>
      <c r="DT4899" s="163"/>
      <c r="DU4899" s="67"/>
      <c r="DV4899" s="67"/>
      <c r="DW4899" s="67"/>
      <c r="DX4899" s="67"/>
      <c r="DY4899" s="67"/>
      <c r="DZ4899" s="67"/>
      <c r="EA4899" s="67"/>
      <c r="EB4899" s="67"/>
      <c r="EC4899" s="67"/>
      <c r="ED4899" s="67"/>
      <c r="EE4899" s="67"/>
      <c r="EF4899" s="67"/>
      <c r="EG4899" s="67"/>
      <c r="EH4899" s="67"/>
      <c r="EI4899" s="67"/>
      <c r="EJ4899" s="67"/>
      <c r="EK4899" s="94"/>
      <c r="EL4899" s="94"/>
      <c r="EM4899" s="67"/>
      <c r="EN4899" s="67"/>
      <c r="EO4899" s="67"/>
      <c r="EP4899" s="67"/>
      <c r="EQ4899" s="67"/>
      <c r="ER4899" s="67"/>
      <c r="ES4899" s="67"/>
      <c r="ET4899" s="67"/>
      <c r="EU4899" s="67"/>
      <c r="EV4899" s="67"/>
      <c r="EW4899" s="67"/>
      <c r="EX4899" s="67"/>
      <c r="EY4899" s="67"/>
      <c r="EZ4899" s="67"/>
      <c r="FA4899" s="67"/>
      <c r="FB4899" s="67"/>
      <c r="FC4899" s="67"/>
      <c r="FD4899" s="67"/>
      <c r="FE4899" s="67"/>
      <c r="FF4899" s="67"/>
      <c r="FG4899" s="67"/>
      <c r="FH4899" s="67"/>
      <c r="FI4899" s="67"/>
      <c r="FJ4899" s="67"/>
      <c r="FK4899" s="67"/>
      <c r="FL4899" s="67"/>
      <c r="FM4899" s="67"/>
      <c r="FN4899" s="67"/>
      <c r="FO4899" s="67"/>
      <c r="FP4899" s="67"/>
      <c r="FQ4899" s="67"/>
      <c r="FR4899" s="67"/>
      <c r="FS4899" s="67"/>
      <c r="FT4899" s="67"/>
      <c r="FU4899" s="67"/>
      <c r="FV4899" s="67"/>
      <c r="FW4899" s="67"/>
      <c r="FX4899" s="67"/>
      <c r="FY4899" s="67"/>
      <c r="FZ4899" s="67"/>
      <c r="GA4899" s="67"/>
      <c r="GB4899" s="67"/>
      <c r="GC4899" s="67"/>
      <c r="GD4899" s="67"/>
      <c r="GE4899" s="67"/>
      <c r="GF4899" s="67"/>
      <c r="GG4899" s="67"/>
      <c r="GH4899" s="67"/>
      <c r="GI4899" s="67"/>
      <c r="GJ4899" s="67"/>
      <c r="GK4899" s="67"/>
      <c r="GL4899" s="67"/>
      <c r="GM4899" s="67"/>
      <c r="GN4899" s="292"/>
      <c r="GO4899" s="292"/>
      <c r="GP4899" s="292" t="s">
        <v>7494</v>
      </c>
      <c r="GQ4899" s="67"/>
      <c r="GR4899" s="67"/>
      <c r="GS4899" s="67"/>
      <c r="GT4899" s="67"/>
      <c r="GU4899" s="67"/>
      <c r="GV4899" s="67"/>
      <c r="GW4899" s="67"/>
      <c r="GX4899" s="67"/>
      <c r="GY4899" s="67"/>
      <c r="GZ4899" s="67"/>
      <c r="HA4899" s="67"/>
      <c r="HB4899" s="67"/>
      <c r="HC4899" s="67"/>
      <c r="HD4899" s="67"/>
      <c r="HE4899" s="67"/>
      <c r="HF4899" s="67"/>
      <c r="HG4899" s="67"/>
      <c r="HH4899" s="67"/>
      <c r="HI4899" s="67"/>
      <c r="HJ4899" s="67"/>
      <c r="HK4899" s="67"/>
      <c r="HL4899" s="67"/>
      <c r="HM4899" s="67"/>
      <c r="HN4899" s="67"/>
      <c r="HO4899" s="67"/>
      <c r="HP4899" s="67"/>
      <c r="HQ4899" s="67"/>
      <c r="HR4899" s="67"/>
      <c r="HS4899" s="67"/>
      <c r="HT4899" s="67"/>
      <c r="HU4899" s="67"/>
      <c r="HV4899" s="67"/>
      <c r="HW4899" s="67"/>
      <c r="HX4899" s="67"/>
      <c r="HY4899" s="67"/>
      <c r="HZ4899" s="67"/>
      <c r="IA4899" s="67"/>
      <c r="IB4899" s="67"/>
      <c r="IC4899" s="67"/>
      <c r="ID4899" s="67"/>
      <c r="IE4899" s="67"/>
      <c r="IF4899" s="67"/>
      <c r="IG4899" s="67"/>
      <c r="IH4899" s="67"/>
      <c r="II4899" s="67"/>
      <c r="IJ4899" s="67"/>
      <c r="IK4899" s="67"/>
      <c r="IL4899" s="67"/>
      <c r="IM4899" s="67"/>
      <c r="IN4899" s="67"/>
      <c r="IO4899" s="67"/>
      <c r="IP4899" s="67"/>
      <c r="IQ4899" s="67"/>
      <c r="IR4899" s="67"/>
      <c r="IS4899" s="67"/>
      <c r="IT4899" s="67"/>
      <c r="IU4899" s="67"/>
      <c r="IV4899" s="67"/>
      <c r="IW4899" s="67"/>
      <c r="IX4899" s="67"/>
      <c r="IY4899" s="67"/>
      <c r="IZ4899" s="67"/>
      <c r="JA4899" s="67"/>
      <c r="JB4899" s="67"/>
      <c r="JC4899" s="67"/>
      <c r="JD4899" s="67"/>
      <c r="JE4899" s="67"/>
      <c r="JF4899" s="67"/>
      <c r="JG4899" s="67">
        <v>1030</v>
      </c>
      <c r="JH4899" s="67">
        <v>1040</v>
      </c>
      <c r="JI4899" s="67"/>
      <c r="JJ4899" s="67"/>
      <c r="JK4899" s="67" t="s">
        <v>5932</v>
      </c>
      <c r="JL4899" s="67"/>
      <c r="JM4899" s="67"/>
      <c r="JN4899" s="67"/>
      <c r="JO4899" s="67"/>
      <c r="JP4899" s="67"/>
      <c r="JQ4899" s="67"/>
      <c r="JR4899" s="67"/>
      <c r="JS4899" s="67"/>
      <c r="JT4899" s="67"/>
      <c r="JU4899" s="58"/>
      <c r="JV4899" s="58"/>
      <c r="JW4899" s="58"/>
    </row>
    <row r="4900" spans="1:283" s="23" customFormat="1" x14ac:dyDescent="0.25">
      <c r="A4900" s="55">
        <v>4899</v>
      </c>
      <c r="B4900" s="12" t="s">
        <v>7067</v>
      </c>
      <c r="C4900" s="156">
        <v>227</v>
      </c>
      <c r="D4900" s="58" t="s">
        <v>5930</v>
      </c>
      <c r="E4900" s="160" t="str">
        <f>G4900</f>
        <v>Fraser et al 1988_pair3_total</v>
      </c>
      <c r="F4900" s="160"/>
      <c r="G4900" s="60" t="s">
        <v>4806</v>
      </c>
      <c r="H4900" s="58">
        <v>1988</v>
      </c>
      <c r="I4900" s="58" t="s">
        <v>5923</v>
      </c>
      <c r="J4900" s="243" t="s">
        <v>916</v>
      </c>
      <c r="K4900" s="63" t="s">
        <v>5116</v>
      </c>
      <c r="L4900" s="58" t="s">
        <v>2737</v>
      </c>
      <c r="M4900" s="94">
        <v>40.82</v>
      </c>
      <c r="N4900" s="94">
        <v>-96.7</v>
      </c>
      <c r="O4900" s="94">
        <v>360</v>
      </c>
      <c r="P4900" s="58"/>
      <c r="Q4900" s="244">
        <v>11</v>
      </c>
      <c r="R4900" s="58"/>
      <c r="S4900" s="245">
        <v>680</v>
      </c>
      <c r="T4900" s="58"/>
      <c r="U4900" s="58" t="s">
        <v>1688</v>
      </c>
      <c r="V4900" s="244">
        <v>6</v>
      </c>
      <c r="W4900" s="174"/>
      <c r="X4900" s="174"/>
      <c r="Y4900" s="58" t="s">
        <v>5922</v>
      </c>
      <c r="Z4900" s="244" t="s">
        <v>1357</v>
      </c>
      <c r="AA4900" s="245">
        <v>15</v>
      </c>
      <c r="AB4900" s="67"/>
      <c r="AC4900" s="67"/>
      <c r="AD4900" s="94"/>
      <c r="AE4900" s="94"/>
      <c r="AF4900" s="94"/>
      <c r="AG4900" s="245">
        <v>35</v>
      </c>
      <c r="AH4900" s="58" t="s">
        <v>1022</v>
      </c>
      <c r="AI4900" s="169"/>
      <c r="AJ4900" s="94"/>
      <c r="AK4900" s="94"/>
      <c r="AL4900" s="58"/>
      <c r="AM4900" s="58" t="s">
        <v>5924</v>
      </c>
      <c r="AN4900" s="186"/>
      <c r="AO4900" s="185" t="s">
        <v>5150</v>
      </c>
      <c r="AP4900" s="58"/>
      <c r="AQ4900" s="58"/>
      <c r="AR4900" s="58"/>
      <c r="AS4900" s="246" t="s">
        <v>5133</v>
      </c>
      <c r="AT4900" s="247">
        <v>1</v>
      </c>
      <c r="AU4900" s="181" t="s">
        <v>7494</v>
      </c>
      <c r="AV4900" s="185" t="s">
        <v>176</v>
      </c>
      <c r="AW4900" s="244">
        <v>1</v>
      </c>
      <c r="AX4900" s="185" t="s">
        <v>176</v>
      </c>
      <c r="AY4900" s="244" t="s">
        <v>176</v>
      </c>
      <c r="AZ4900" s="58"/>
      <c r="BA4900" s="58"/>
      <c r="BB4900" s="58"/>
      <c r="BC4900" s="58"/>
      <c r="BD4900" s="58"/>
      <c r="BE4900" s="236" t="s">
        <v>5176</v>
      </c>
      <c r="BF4900" s="191" t="s">
        <v>479</v>
      </c>
      <c r="BG4900" s="191" t="s">
        <v>479</v>
      </c>
      <c r="BH4900" s="236" t="s">
        <v>5243</v>
      </c>
      <c r="BI4900" s="191" t="s">
        <v>479</v>
      </c>
      <c r="BJ4900" s="58" t="str">
        <f>IF(BE4900=BH4900,"No","yes")</f>
        <v>yes</v>
      </c>
      <c r="BK4900" s="58" t="s">
        <v>6334</v>
      </c>
      <c r="BL4900" s="58" t="s">
        <v>5739</v>
      </c>
      <c r="BM4900" s="237" t="s">
        <v>160</v>
      </c>
      <c r="BN4900" s="244">
        <v>4</v>
      </c>
      <c r="BO4900" s="244">
        <v>4</v>
      </c>
      <c r="BP4900" s="58"/>
      <c r="BQ4900" s="58"/>
      <c r="BR4900" s="58"/>
      <c r="BS4900" s="58"/>
      <c r="BT4900" s="58"/>
      <c r="BU4900" s="58"/>
      <c r="BV4900" s="58" t="s">
        <v>5934</v>
      </c>
      <c r="BW4900" s="67"/>
      <c r="BX4900" s="67"/>
      <c r="BY4900" s="67"/>
      <c r="BZ4900" s="67"/>
      <c r="CA4900" s="67"/>
      <c r="CB4900" s="70"/>
      <c r="CC4900" s="70"/>
      <c r="CD4900" s="70"/>
      <c r="CE4900" s="67"/>
      <c r="CF4900" s="67"/>
      <c r="CG4900" s="67"/>
      <c r="CH4900" s="245"/>
      <c r="CI4900" s="245"/>
      <c r="CJ4900" s="67"/>
      <c r="CK4900" s="67"/>
      <c r="CL4900" s="67"/>
      <c r="CM4900" s="242"/>
      <c r="CN4900" s="242"/>
      <c r="CO4900" s="242"/>
      <c r="CP4900" s="242"/>
      <c r="CQ4900" s="242"/>
      <c r="CR4900" s="242"/>
      <c r="CS4900" s="242"/>
      <c r="CT4900" s="242"/>
      <c r="CU4900" s="242"/>
      <c r="CV4900" s="242"/>
      <c r="CW4900" s="242"/>
      <c r="CX4900" s="242"/>
      <c r="CY4900" s="242"/>
      <c r="CZ4900" s="242"/>
      <c r="DA4900" s="67"/>
      <c r="DB4900" s="67">
        <v>10</v>
      </c>
      <c r="DC4900" s="67">
        <v>8</v>
      </c>
      <c r="DD4900" s="67"/>
      <c r="DE4900" s="67"/>
      <c r="DF4900" s="67" t="s">
        <v>5932</v>
      </c>
      <c r="DG4900" s="67"/>
      <c r="DH4900" s="67"/>
      <c r="DI4900" s="67"/>
      <c r="DJ4900" s="67"/>
      <c r="DK4900" s="67"/>
      <c r="DL4900" s="67"/>
      <c r="DM4900" s="67"/>
      <c r="DN4900" s="67"/>
      <c r="DO4900" s="67"/>
      <c r="DP4900" s="67"/>
      <c r="DQ4900" s="166"/>
      <c r="DR4900" s="166"/>
      <c r="DS4900" s="163"/>
      <c r="DT4900" s="163"/>
      <c r="DU4900" s="67"/>
      <c r="DV4900" s="67"/>
      <c r="DW4900" s="67"/>
      <c r="DX4900" s="67"/>
      <c r="DY4900" s="67"/>
      <c r="DZ4900" s="67"/>
      <c r="EA4900" s="67"/>
      <c r="EB4900" s="67"/>
      <c r="EC4900" s="67"/>
      <c r="ED4900" s="67"/>
      <c r="EE4900" s="67"/>
      <c r="EF4900" s="67"/>
      <c r="EG4900" s="67"/>
      <c r="EH4900" s="67"/>
      <c r="EI4900" s="67"/>
      <c r="EJ4900" s="67"/>
      <c r="EK4900" s="94"/>
      <c r="EL4900" s="94"/>
      <c r="EM4900" s="67"/>
      <c r="EN4900" s="67"/>
      <c r="EO4900" s="67"/>
      <c r="EP4900" s="67"/>
      <c r="EQ4900" s="67"/>
      <c r="ER4900" s="67"/>
      <c r="ES4900" s="67"/>
      <c r="ET4900" s="67"/>
      <c r="EU4900" s="67"/>
      <c r="EV4900" s="67"/>
      <c r="EW4900" s="67"/>
      <c r="EX4900" s="67"/>
      <c r="EY4900" s="67"/>
      <c r="EZ4900" s="67"/>
      <c r="FA4900" s="67"/>
      <c r="FB4900" s="67"/>
      <c r="FC4900" s="67"/>
      <c r="FD4900" s="67"/>
      <c r="FE4900" s="67"/>
      <c r="FF4900" s="67"/>
      <c r="FG4900" s="67"/>
      <c r="FH4900" s="67"/>
      <c r="FI4900" s="67"/>
      <c r="FJ4900" s="67"/>
      <c r="FK4900" s="67"/>
      <c r="FL4900" s="67"/>
      <c r="FM4900" s="67"/>
      <c r="FN4900" s="67"/>
      <c r="FO4900" s="67"/>
      <c r="FP4900" s="67"/>
      <c r="FQ4900" s="67"/>
      <c r="FR4900" s="67"/>
      <c r="FS4900" s="67"/>
      <c r="FT4900" s="67"/>
      <c r="FU4900" s="67"/>
      <c r="FV4900" s="67"/>
      <c r="FW4900" s="67"/>
      <c r="FX4900" s="67"/>
      <c r="FY4900" s="67"/>
      <c r="FZ4900" s="67"/>
      <c r="GA4900" s="67"/>
      <c r="GB4900" s="67"/>
      <c r="GC4900" s="67"/>
      <c r="GD4900" s="67"/>
      <c r="GE4900" s="67"/>
      <c r="GF4900" s="67"/>
      <c r="GG4900" s="67"/>
      <c r="GH4900" s="67"/>
      <c r="GI4900" s="67"/>
      <c r="GJ4900" s="67"/>
      <c r="GK4900" s="67"/>
      <c r="GL4900" s="67"/>
      <c r="GM4900" s="67"/>
      <c r="GN4900" s="292"/>
      <c r="GO4900" s="292"/>
      <c r="GP4900" s="292" t="s">
        <v>7494</v>
      </c>
      <c r="GQ4900" s="67"/>
      <c r="GR4900" s="67"/>
      <c r="GS4900" s="67"/>
      <c r="GT4900" s="67"/>
      <c r="GU4900" s="67"/>
      <c r="GV4900" s="67"/>
      <c r="GW4900" s="67"/>
      <c r="GX4900" s="67"/>
      <c r="GY4900" s="67"/>
      <c r="GZ4900" s="67"/>
      <c r="HA4900" s="67"/>
      <c r="HB4900" s="67"/>
      <c r="HC4900" s="67"/>
      <c r="HD4900" s="67"/>
      <c r="HE4900" s="67"/>
      <c r="HF4900" s="67"/>
      <c r="HG4900" s="67"/>
      <c r="HH4900" s="67"/>
      <c r="HI4900" s="67"/>
      <c r="HJ4900" s="67"/>
      <c r="HK4900" s="67"/>
      <c r="HL4900" s="67"/>
      <c r="HM4900" s="67"/>
      <c r="HN4900" s="67"/>
      <c r="HO4900" s="67"/>
      <c r="HP4900" s="67"/>
      <c r="HQ4900" s="67"/>
      <c r="HR4900" s="67"/>
      <c r="HS4900" s="67"/>
      <c r="HT4900" s="67"/>
      <c r="HU4900" s="67"/>
      <c r="HV4900" s="67"/>
      <c r="HW4900" s="67"/>
      <c r="HX4900" s="67"/>
      <c r="HY4900" s="67"/>
      <c r="HZ4900" s="67"/>
      <c r="IA4900" s="67"/>
      <c r="IB4900" s="67"/>
      <c r="IC4900" s="67"/>
      <c r="ID4900" s="67"/>
      <c r="IE4900" s="67"/>
      <c r="IF4900" s="67"/>
      <c r="IG4900" s="67"/>
      <c r="IH4900" s="67"/>
      <c r="II4900" s="67"/>
      <c r="IJ4900" s="67"/>
      <c r="IK4900" s="67"/>
      <c r="IL4900" s="67"/>
      <c r="IM4900" s="67"/>
      <c r="IN4900" s="67"/>
      <c r="IO4900" s="67"/>
      <c r="IP4900" s="67"/>
      <c r="IQ4900" s="67"/>
      <c r="IR4900" s="67"/>
      <c r="IS4900" s="67"/>
      <c r="IT4900" s="67"/>
      <c r="IU4900" s="67"/>
      <c r="IV4900" s="67"/>
      <c r="IW4900" s="67"/>
      <c r="IX4900" s="67"/>
      <c r="IY4900" s="67"/>
      <c r="IZ4900" s="67"/>
      <c r="JA4900" s="67"/>
      <c r="JB4900" s="67"/>
      <c r="JC4900" s="67"/>
      <c r="JD4900" s="67"/>
      <c r="JE4900" s="67"/>
      <c r="JF4900" s="67"/>
      <c r="JG4900" s="67">
        <v>1060</v>
      </c>
      <c r="JH4900" s="67">
        <v>1040</v>
      </c>
      <c r="JI4900" s="67"/>
      <c r="JJ4900" s="67"/>
      <c r="JK4900" s="67" t="s">
        <v>5932</v>
      </c>
      <c r="JL4900" s="67"/>
      <c r="JM4900" s="67"/>
      <c r="JN4900" s="67"/>
      <c r="JO4900" s="67"/>
      <c r="JP4900" s="67"/>
      <c r="JQ4900" s="67"/>
      <c r="JR4900" s="67"/>
      <c r="JS4900" s="67"/>
      <c r="JT4900" s="67"/>
      <c r="JU4900" s="58"/>
      <c r="JV4900" s="58"/>
      <c r="JW4900" s="58"/>
    </row>
    <row r="4901" spans="1:283" s="23" customFormat="1" x14ac:dyDescent="0.25">
      <c r="A4901" s="55">
        <v>4900</v>
      </c>
      <c r="B4901" s="12" t="s">
        <v>7067</v>
      </c>
      <c r="C4901" s="156">
        <v>228</v>
      </c>
      <c r="D4901" s="58" t="s">
        <v>4924</v>
      </c>
      <c r="E4901" s="160" t="str">
        <f>G4901</f>
        <v>Friedel et al 2000</v>
      </c>
      <c r="F4901" s="160"/>
      <c r="G4901" s="60" t="s">
        <v>4805</v>
      </c>
      <c r="H4901" s="58">
        <v>2000</v>
      </c>
      <c r="I4901" s="58">
        <v>1982</v>
      </c>
      <c r="J4901" s="243" t="s">
        <v>5306</v>
      </c>
      <c r="K4901" s="63" t="s">
        <v>5115</v>
      </c>
      <c r="L4901" s="58" t="s">
        <v>1077</v>
      </c>
      <c r="M4901" s="94">
        <v>48.19</v>
      </c>
      <c r="N4901" s="94">
        <v>9.3699999999999992</v>
      </c>
      <c r="O4901" s="94">
        <v>700</v>
      </c>
      <c r="P4901" s="58"/>
      <c r="Q4901" s="244">
        <v>7</v>
      </c>
      <c r="R4901" s="58"/>
      <c r="S4901" s="245">
        <v>720</v>
      </c>
      <c r="T4901" s="58"/>
      <c r="U4901" s="58" t="s">
        <v>1679</v>
      </c>
      <c r="V4901" s="244">
        <v>20</v>
      </c>
      <c r="W4901" s="174"/>
      <c r="X4901" s="174"/>
      <c r="Y4901" s="58" t="s">
        <v>5399</v>
      </c>
      <c r="Z4901" s="244" t="s">
        <v>1367</v>
      </c>
      <c r="AA4901" s="245">
        <v>25</v>
      </c>
      <c r="AB4901" s="67"/>
      <c r="AC4901" s="67"/>
      <c r="AD4901" s="94">
        <v>1.3</v>
      </c>
      <c r="AE4901" s="94">
        <v>1.9</v>
      </c>
      <c r="AF4901" s="94">
        <v>28.8</v>
      </c>
      <c r="AG4901" s="245">
        <v>69.599999999999994</v>
      </c>
      <c r="AH4901" s="58" t="s">
        <v>769</v>
      </c>
      <c r="AI4901" s="169"/>
      <c r="AJ4901" s="94">
        <v>3.15</v>
      </c>
      <c r="AK4901" s="94"/>
      <c r="AL4901" s="58"/>
      <c r="AM4901" s="58"/>
      <c r="AN4901" s="186" t="s">
        <v>5401</v>
      </c>
      <c r="AO4901" s="185" t="s">
        <v>5150</v>
      </c>
      <c r="AP4901" s="58"/>
      <c r="AQ4901" s="58" t="s">
        <v>4584</v>
      </c>
      <c r="AR4901" s="58" t="s">
        <v>116</v>
      </c>
      <c r="AS4901" s="58" t="s">
        <v>116</v>
      </c>
      <c r="AT4901" s="247" t="s">
        <v>5400</v>
      </c>
      <c r="AU4901" s="181" t="s">
        <v>5150</v>
      </c>
      <c r="AV4901" s="185" t="s">
        <v>479</v>
      </c>
      <c r="AW4901" s="244" t="s">
        <v>5400</v>
      </c>
      <c r="AX4901" s="185" t="s">
        <v>479</v>
      </c>
      <c r="AY4901" s="244" t="s">
        <v>176</v>
      </c>
      <c r="AZ4901" s="58"/>
      <c r="BA4901" s="58"/>
      <c r="BB4901" s="58"/>
      <c r="BC4901" s="58"/>
      <c r="BD4901" s="58"/>
      <c r="BE4901" s="236" t="s">
        <v>5177</v>
      </c>
      <c r="BF4901" s="191" t="s">
        <v>479</v>
      </c>
      <c r="BG4901" s="191" t="s">
        <v>479</v>
      </c>
      <c r="BH4901" s="236" t="s">
        <v>5244</v>
      </c>
      <c r="BI4901" s="191" t="s">
        <v>479</v>
      </c>
      <c r="BJ4901" s="58" t="str">
        <f>IF(BE4901=BH4901,"No","yes")</f>
        <v>yes</v>
      </c>
      <c r="BK4901" s="58" t="s">
        <v>6335</v>
      </c>
      <c r="BL4901" s="58"/>
      <c r="BM4901" s="237" t="s">
        <v>160</v>
      </c>
      <c r="BN4901" s="244">
        <v>3</v>
      </c>
      <c r="BO4901" s="244">
        <v>3</v>
      </c>
      <c r="BP4901" s="58"/>
      <c r="BQ4901" s="58"/>
      <c r="BR4901" s="58"/>
      <c r="BS4901" s="58"/>
      <c r="BT4901" s="58"/>
      <c r="BU4901" s="58"/>
      <c r="BV4901" s="58">
        <v>34029</v>
      </c>
      <c r="BW4901" s="67"/>
      <c r="BX4901" s="67"/>
      <c r="BY4901" s="67"/>
      <c r="BZ4901" s="67"/>
      <c r="CA4901" s="67"/>
      <c r="CB4901" s="70">
        <v>100</v>
      </c>
      <c r="CC4901" s="70">
        <v>86</v>
      </c>
      <c r="CD4901" s="70"/>
      <c r="CE4901" s="67"/>
      <c r="CF4901" s="67"/>
      <c r="CG4901" s="67" t="s">
        <v>5152</v>
      </c>
      <c r="CH4901" s="245">
        <v>1.3</v>
      </c>
      <c r="CI4901" s="245">
        <v>1.3</v>
      </c>
      <c r="CJ4901" s="67"/>
      <c r="CK4901" s="67"/>
      <c r="CL4901" s="67"/>
      <c r="CM4901" s="242">
        <v>3.16</v>
      </c>
      <c r="CN4901" s="242">
        <v>3.5</v>
      </c>
      <c r="CO4901" s="242">
        <v>0.16</v>
      </c>
      <c r="CP4901" s="242">
        <v>0.18</v>
      </c>
      <c r="CQ4901" s="242" t="s">
        <v>164</v>
      </c>
      <c r="CR4901" s="242">
        <v>102.70000000000002</v>
      </c>
      <c r="CS4901" s="242">
        <v>113.75</v>
      </c>
      <c r="CT4901" s="242">
        <v>5.1350000000000016</v>
      </c>
      <c r="CU4901" s="242">
        <v>5.6875</v>
      </c>
      <c r="CV4901" s="242" t="s">
        <v>5151</v>
      </c>
      <c r="CW4901" s="242">
        <v>75.000000000000711</v>
      </c>
      <c r="CX4901" s="242">
        <v>627.49999999999989</v>
      </c>
      <c r="CY4901" s="242">
        <v>7.5000000000000711</v>
      </c>
      <c r="CZ4901" s="242">
        <v>62.749999999999993</v>
      </c>
      <c r="DA4901" s="67" t="s">
        <v>5443</v>
      </c>
      <c r="DB4901" s="67">
        <f>0.37/100*100*100*1.3*0.25</f>
        <v>12.025</v>
      </c>
      <c r="DC4901" s="67">
        <f>0.41/100*100*100*1.3*0.25</f>
        <v>13.324999999999998</v>
      </c>
      <c r="DD4901" s="67">
        <f>0.01/100*100*100*1.3*0.25</f>
        <v>0.32500000000000001</v>
      </c>
      <c r="DE4901" s="67">
        <f>0.06/100*100*100*1.3*0.25</f>
        <v>1.9500000000000002</v>
      </c>
      <c r="DF4901" s="67"/>
      <c r="DG4901" s="67"/>
      <c r="DH4901" s="67"/>
      <c r="DI4901" s="67"/>
      <c r="DJ4901" s="67"/>
      <c r="DK4901" s="67"/>
      <c r="DL4901" s="67"/>
      <c r="DM4901" s="67"/>
      <c r="DN4901" s="67"/>
      <c r="DO4901" s="67"/>
      <c r="DP4901" s="67"/>
      <c r="DQ4901" s="166">
        <v>7.2</v>
      </c>
      <c r="DR4901" s="166">
        <v>7.2</v>
      </c>
      <c r="DS4901" s="163">
        <v>0.02</v>
      </c>
      <c r="DT4901" s="163">
        <v>0.02</v>
      </c>
      <c r="DU4901" s="67"/>
      <c r="DV4901" s="67"/>
      <c r="DW4901" s="67"/>
      <c r="DX4901" s="67"/>
      <c r="DY4901" s="67"/>
      <c r="DZ4901" s="67"/>
      <c r="EA4901" s="67"/>
      <c r="EB4901" s="67"/>
      <c r="EC4901" s="67"/>
      <c r="ED4901" s="67"/>
      <c r="EE4901" s="67"/>
      <c r="EF4901" s="67"/>
      <c r="EG4901" s="67"/>
      <c r="EH4901" s="67"/>
      <c r="EI4901" s="67"/>
      <c r="EJ4901" s="67"/>
      <c r="EK4901" s="94"/>
      <c r="EL4901" s="94"/>
      <c r="EM4901" s="67"/>
      <c r="EN4901" s="67"/>
      <c r="EO4901" s="67"/>
      <c r="EP4901" s="67"/>
      <c r="EQ4901" s="67"/>
      <c r="ER4901" s="67"/>
      <c r="ES4901" s="67"/>
      <c r="ET4901" s="67"/>
      <c r="EU4901" s="67"/>
      <c r="EV4901" s="67"/>
      <c r="EW4901" s="67"/>
      <c r="EX4901" s="67"/>
      <c r="EY4901" s="67"/>
      <c r="EZ4901" s="67"/>
      <c r="FA4901" s="67"/>
      <c r="FB4901" s="67"/>
      <c r="FC4901" s="67"/>
      <c r="FD4901" s="67"/>
      <c r="FE4901" s="67"/>
      <c r="FF4901" s="67"/>
      <c r="FG4901" s="67"/>
      <c r="FH4901" s="67"/>
      <c r="FI4901" s="67"/>
      <c r="FJ4901" s="67"/>
      <c r="FK4901" s="67"/>
      <c r="FL4901" s="67"/>
      <c r="FM4901" s="67"/>
      <c r="FN4901" s="67"/>
      <c r="FO4901" s="67"/>
      <c r="FP4901" s="67"/>
      <c r="FQ4901" s="67"/>
      <c r="FR4901" s="67"/>
      <c r="FS4901" s="67"/>
      <c r="FT4901" s="67"/>
      <c r="FU4901" s="67"/>
      <c r="FV4901" s="67"/>
      <c r="FW4901" s="67"/>
      <c r="FX4901" s="67"/>
      <c r="FY4901" s="67"/>
      <c r="FZ4901" s="67"/>
      <c r="GA4901" s="67"/>
      <c r="GB4901" s="67"/>
      <c r="GC4901" s="67"/>
      <c r="GD4901" s="67"/>
      <c r="GE4901" s="67"/>
      <c r="GF4901" s="67"/>
      <c r="GG4901" s="67"/>
      <c r="GH4901" s="67"/>
      <c r="GI4901" s="67"/>
      <c r="GJ4901" s="67"/>
      <c r="GK4901" s="67"/>
      <c r="GL4901" s="67"/>
      <c r="GM4901" s="67"/>
      <c r="GN4901" s="292"/>
      <c r="GO4901" s="292"/>
      <c r="GP4901" s="292" t="s">
        <v>7494</v>
      </c>
      <c r="GQ4901" s="67"/>
      <c r="GR4901" s="67"/>
      <c r="GS4901" s="67"/>
      <c r="GT4901" s="67"/>
      <c r="GU4901" s="67"/>
      <c r="GV4901" s="67"/>
      <c r="GW4901" s="67"/>
      <c r="GX4901" s="67"/>
      <c r="GY4901" s="67"/>
      <c r="GZ4901" s="67"/>
      <c r="HA4901" s="67"/>
      <c r="HB4901" s="67"/>
      <c r="HC4901" s="67"/>
      <c r="HD4901" s="67"/>
      <c r="HE4901" s="67"/>
      <c r="HF4901" s="67"/>
      <c r="HG4901" s="67"/>
      <c r="HH4901" s="67"/>
      <c r="HI4901" s="67"/>
      <c r="HJ4901" s="67"/>
      <c r="HK4901" s="67"/>
      <c r="HL4901" s="67"/>
      <c r="HM4901" s="67"/>
      <c r="HN4901" s="67"/>
      <c r="HO4901" s="67"/>
      <c r="HP4901" s="67"/>
      <c r="HQ4901" s="67"/>
      <c r="HR4901" s="67"/>
      <c r="HS4901" s="67"/>
      <c r="HT4901" s="67"/>
      <c r="HU4901" s="67"/>
      <c r="HV4901" s="67"/>
      <c r="HW4901" s="67"/>
      <c r="HX4901" s="67">
        <v>792</v>
      </c>
      <c r="HY4901" s="67">
        <v>949</v>
      </c>
      <c r="HZ4901" s="67">
        <v>110</v>
      </c>
      <c r="IA4901" s="67">
        <v>147</v>
      </c>
      <c r="IB4901" s="67" t="s">
        <v>5403</v>
      </c>
      <c r="IC4901" s="67">
        <v>14</v>
      </c>
      <c r="ID4901" s="67">
        <v>23</v>
      </c>
      <c r="IE4901" s="67">
        <v>3</v>
      </c>
      <c r="IF4901" s="67">
        <v>6</v>
      </c>
      <c r="IG4901" s="67" t="s">
        <v>5402</v>
      </c>
      <c r="IH4901" s="67"/>
      <c r="II4901" s="67"/>
      <c r="IJ4901" s="67"/>
      <c r="IK4901" s="67"/>
      <c r="IL4901" s="67"/>
      <c r="IM4901" s="67"/>
      <c r="IN4901" s="67"/>
      <c r="IO4901" s="67"/>
      <c r="IP4901" s="67"/>
      <c r="IQ4901" s="67"/>
      <c r="IR4901" s="67"/>
      <c r="IS4901" s="67"/>
      <c r="IT4901" s="67"/>
      <c r="IU4901" s="67"/>
      <c r="IV4901" s="67"/>
      <c r="IW4901" s="67"/>
      <c r="IX4901" s="67"/>
      <c r="IY4901" s="67"/>
      <c r="IZ4901" s="67"/>
      <c r="JA4901" s="67"/>
      <c r="JB4901" s="67"/>
      <c r="JC4901" s="67"/>
      <c r="JD4901" s="67"/>
      <c r="JE4901" s="67"/>
      <c r="JF4901" s="67"/>
      <c r="JG4901" s="67">
        <v>640</v>
      </c>
      <c r="JH4901" s="67">
        <v>769</v>
      </c>
      <c r="JI4901" s="67">
        <v>14</v>
      </c>
      <c r="JJ4901" s="67">
        <v>101</v>
      </c>
      <c r="JK4901" s="67" t="s">
        <v>5402</v>
      </c>
      <c r="JL4901" s="67">
        <v>2</v>
      </c>
      <c r="JM4901" s="67">
        <v>2</v>
      </c>
      <c r="JN4901" s="67"/>
      <c r="JO4901" s="67"/>
      <c r="JP4901" s="67" t="s">
        <v>5402</v>
      </c>
      <c r="JQ4901" s="67"/>
      <c r="JR4901" s="67"/>
      <c r="JS4901" s="67"/>
      <c r="JT4901" s="67"/>
      <c r="JU4901" s="58"/>
      <c r="JV4901" s="58"/>
      <c r="JW4901" s="58"/>
    </row>
    <row r="4902" spans="1:283" s="23" customFormat="1" x14ac:dyDescent="0.25">
      <c r="A4902" s="55">
        <v>4901</v>
      </c>
      <c r="B4902" s="12" t="s">
        <v>7067</v>
      </c>
      <c r="C4902" s="156">
        <v>228</v>
      </c>
      <c r="D4902" s="58" t="s">
        <v>4924</v>
      </c>
      <c r="E4902" s="160" t="str">
        <f>G4902</f>
        <v>Friedel et al 2000</v>
      </c>
      <c r="F4902" s="160"/>
      <c r="G4902" s="60" t="s">
        <v>4805</v>
      </c>
      <c r="H4902" s="58">
        <v>2000</v>
      </c>
      <c r="I4902" s="58">
        <v>1982</v>
      </c>
      <c r="J4902" s="243" t="s">
        <v>5306</v>
      </c>
      <c r="K4902" s="63" t="s">
        <v>5115</v>
      </c>
      <c r="L4902" s="58" t="s">
        <v>1077</v>
      </c>
      <c r="M4902" s="94">
        <v>48.19</v>
      </c>
      <c r="N4902" s="94">
        <v>9.3699999999999992</v>
      </c>
      <c r="O4902" s="94">
        <v>700</v>
      </c>
      <c r="P4902" s="58"/>
      <c r="Q4902" s="244">
        <v>7</v>
      </c>
      <c r="R4902" s="58"/>
      <c r="S4902" s="245">
        <v>720</v>
      </c>
      <c r="T4902" s="58"/>
      <c r="U4902" s="58" t="s">
        <v>1679</v>
      </c>
      <c r="V4902" s="244">
        <v>20</v>
      </c>
      <c r="W4902" s="174"/>
      <c r="X4902" s="174"/>
      <c r="Y4902" s="58" t="s">
        <v>5399</v>
      </c>
      <c r="Z4902" s="244" t="s">
        <v>1367</v>
      </c>
      <c r="AA4902" s="245">
        <v>25</v>
      </c>
      <c r="AB4902" s="67"/>
      <c r="AC4902" s="67"/>
      <c r="AD4902" s="94">
        <v>1.3</v>
      </c>
      <c r="AE4902" s="94">
        <v>1.9</v>
      </c>
      <c r="AF4902" s="94">
        <v>28.8</v>
      </c>
      <c r="AG4902" s="245">
        <v>69.599999999999994</v>
      </c>
      <c r="AH4902" s="58" t="s">
        <v>769</v>
      </c>
      <c r="AI4902" s="169"/>
      <c r="AJ4902" s="94">
        <v>3.15</v>
      </c>
      <c r="AK4902" s="94"/>
      <c r="AL4902" s="58"/>
      <c r="AM4902" s="58"/>
      <c r="AN4902" s="186" t="s">
        <v>5401</v>
      </c>
      <c r="AO4902" s="185" t="s">
        <v>5150</v>
      </c>
      <c r="AP4902" s="58"/>
      <c r="AQ4902" s="58" t="s">
        <v>4584</v>
      </c>
      <c r="AR4902" s="58" t="s">
        <v>116</v>
      </c>
      <c r="AS4902" s="58" t="s">
        <v>116</v>
      </c>
      <c r="AT4902" s="247" t="s">
        <v>5400</v>
      </c>
      <c r="AU4902" s="181" t="s">
        <v>5150</v>
      </c>
      <c r="AV4902" s="185" t="s">
        <v>479</v>
      </c>
      <c r="AW4902" s="244" t="s">
        <v>5400</v>
      </c>
      <c r="AX4902" s="185" t="s">
        <v>479</v>
      </c>
      <c r="AY4902" s="244" t="s">
        <v>176</v>
      </c>
      <c r="AZ4902" s="58"/>
      <c r="BA4902" s="58"/>
      <c r="BB4902" s="58"/>
      <c r="BC4902" s="58"/>
      <c r="BD4902" s="58"/>
      <c r="BE4902" s="236" t="s">
        <v>5177</v>
      </c>
      <c r="BF4902" s="191" t="s">
        <v>479</v>
      </c>
      <c r="BG4902" s="191" t="s">
        <v>479</v>
      </c>
      <c r="BH4902" s="236" t="s">
        <v>5244</v>
      </c>
      <c r="BI4902" s="191" t="s">
        <v>479</v>
      </c>
      <c r="BJ4902" s="58" t="str">
        <f>IF(BE4902=BH4902,"No","yes")</f>
        <v>yes</v>
      </c>
      <c r="BK4902" s="58" t="s">
        <v>6335</v>
      </c>
      <c r="BL4902" s="58"/>
      <c r="BM4902" s="237" t="s">
        <v>160</v>
      </c>
      <c r="BN4902" s="244">
        <v>3</v>
      </c>
      <c r="BO4902" s="244">
        <v>3</v>
      </c>
      <c r="BP4902" s="58"/>
      <c r="BQ4902" s="58"/>
      <c r="BR4902" s="58"/>
      <c r="BS4902" s="58"/>
      <c r="BT4902" s="58"/>
      <c r="BU4902" s="58"/>
      <c r="BV4902" s="58">
        <v>34243</v>
      </c>
      <c r="BW4902" s="67"/>
      <c r="BX4902" s="67"/>
      <c r="BY4902" s="67"/>
      <c r="BZ4902" s="67"/>
      <c r="CA4902" s="67"/>
      <c r="CB4902" s="70"/>
      <c r="CC4902" s="70"/>
      <c r="CD4902" s="70"/>
      <c r="CE4902" s="67"/>
      <c r="CF4902" s="67"/>
      <c r="CG4902" s="67"/>
      <c r="CH4902" s="245"/>
      <c r="CI4902" s="245"/>
      <c r="CJ4902" s="67"/>
      <c r="CK4902" s="67"/>
      <c r="CL4902" s="67"/>
      <c r="CM4902" s="242"/>
      <c r="CN4902" s="242"/>
      <c r="CO4902" s="242"/>
      <c r="CP4902" s="242"/>
      <c r="CQ4902" s="242"/>
      <c r="CR4902" s="242"/>
      <c r="CS4902" s="242"/>
      <c r="CT4902" s="242"/>
      <c r="CU4902" s="242"/>
      <c r="CV4902" s="242"/>
      <c r="CW4902" s="242"/>
      <c r="CX4902" s="242"/>
      <c r="CY4902" s="242"/>
      <c r="CZ4902" s="242"/>
      <c r="DA4902" s="67"/>
      <c r="DB4902" s="67"/>
      <c r="DC4902" s="67"/>
      <c r="DD4902" s="67"/>
      <c r="DE4902" s="67"/>
      <c r="DF4902" s="67"/>
      <c r="DG4902" s="67"/>
      <c r="DH4902" s="67"/>
      <c r="DI4902" s="67"/>
      <c r="DJ4902" s="67"/>
      <c r="DK4902" s="67"/>
      <c r="DL4902" s="67"/>
      <c r="DM4902" s="67"/>
      <c r="DN4902" s="67"/>
      <c r="DO4902" s="67"/>
      <c r="DP4902" s="67"/>
      <c r="DQ4902" s="166"/>
      <c r="DR4902" s="166"/>
      <c r="DS4902" s="163"/>
      <c r="DT4902" s="163"/>
      <c r="DU4902" s="67"/>
      <c r="DV4902" s="67"/>
      <c r="DW4902" s="67"/>
      <c r="DX4902" s="67"/>
      <c r="DY4902" s="67"/>
      <c r="DZ4902" s="67"/>
      <c r="EA4902" s="67"/>
      <c r="EB4902" s="67"/>
      <c r="EC4902" s="67"/>
      <c r="ED4902" s="67"/>
      <c r="EE4902" s="67"/>
      <c r="EF4902" s="67"/>
      <c r="EG4902" s="67"/>
      <c r="EH4902" s="67"/>
      <c r="EI4902" s="67"/>
      <c r="EJ4902" s="67"/>
      <c r="EK4902" s="94"/>
      <c r="EL4902" s="94"/>
      <c r="EM4902" s="67"/>
      <c r="EN4902" s="67"/>
      <c r="EO4902" s="67"/>
      <c r="EP4902" s="67"/>
      <c r="EQ4902" s="67"/>
      <c r="ER4902" s="67"/>
      <c r="ES4902" s="67"/>
      <c r="ET4902" s="67"/>
      <c r="EU4902" s="67"/>
      <c r="EV4902" s="67"/>
      <c r="EW4902" s="67"/>
      <c r="EX4902" s="67"/>
      <c r="EY4902" s="67"/>
      <c r="EZ4902" s="67"/>
      <c r="FA4902" s="67"/>
      <c r="FB4902" s="67"/>
      <c r="FC4902" s="67"/>
      <c r="FD4902" s="67"/>
      <c r="FE4902" s="67"/>
      <c r="FF4902" s="67"/>
      <c r="FG4902" s="67"/>
      <c r="FH4902" s="67"/>
      <c r="FI4902" s="67"/>
      <c r="FJ4902" s="67"/>
      <c r="FK4902" s="67"/>
      <c r="FL4902" s="67"/>
      <c r="FM4902" s="67"/>
      <c r="FN4902" s="67"/>
      <c r="FO4902" s="67"/>
      <c r="FP4902" s="67"/>
      <c r="FQ4902" s="67"/>
      <c r="FR4902" s="67"/>
      <c r="FS4902" s="67"/>
      <c r="FT4902" s="67"/>
      <c r="FU4902" s="67"/>
      <c r="FV4902" s="67"/>
      <c r="FW4902" s="67"/>
      <c r="FX4902" s="67"/>
      <c r="FY4902" s="67"/>
      <c r="FZ4902" s="67"/>
      <c r="GA4902" s="67"/>
      <c r="GB4902" s="67"/>
      <c r="GC4902" s="67"/>
      <c r="GD4902" s="67"/>
      <c r="GE4902" s="67"/>
      <c r="GF4902" s="67"/>
      <c r="GG4902" s="67"/>
      <c r="GH4902" s="67"/>
      <c r="GI4902" s="67"/>
      <c r="GJ4902" s="67"/>
      <c r="GK4902" s="67"/>
      <c r="GL4902" s="67"/>
      <c r="GM4902" s="67"/>
      <c r="GN4902" s="292"/>
      <c r="GO4902" s="292"/>
      <c r="GP4902" s="292" t="s">
        <v>7494</v>
      </c>
      <c r="GQ4902" s="67"/>
      <c r="GR4902" s="67"/>
      <c r="GS4902" s="67"/>
      <c r="GT4902" s="67"/>
      <c r="GU4902" s="67"/>
      <c r="GV4902" s="67"/>
      <c r="GW4902" s="67"/>
      <c r="GX4902" s="67"/>
      <c r="GY4902" s="67"/>
      <c r="GZ4902" s="67"/>
      <c r="HA4902" s="67"/>
      <c r="HB4902" s="67"/>
      <c r="HC4902" s="67"/>
      <c r="HD4902" s="67"/>
      <c r="HE4902" s="67"/>
      <c r="HF4902" s="67"/>
      <c r="HG4902" s="67"/>
      <c r="HH4902" s="67"/>
      <c r="HI4902" s="67"/>
      <c r="HJ4902" s="67"/>
      <c r="HK4902" s="67"/>
      <c r="HL4902" s="67"/>
      <c r="HM4902" s="67"/>
      <c r="HN4902" s="67"/>
      <c r="HO4902" s="67"/>
      <c r="HP4902" s="67"/>
      <c r="HQ4902" s="67"/>
      <c r="HR4902" s="67"/>
      <c r="HS4902" s="67"/>
      <c r="HT4902" s="67"/>
      <c r="HU4902" s="67"/>
      <c r="HV4902" s="67"/>
      <c r="HW4902" s="67"/>
      <c r="HX4902" s="67">
        <v>484</v>
      </c>
      <c r="HY4902" s="67">
        <v>593</v>
      </c>
      <c r="HZ4902" s="67">
        <v>57</v>
      </c>
      <c r="IA4902" s="67">
        <v>99</v>
      </c>
      <c r="IB4902" s="67" t="s">
        <v>5403</v>
      </c>
      <c r="IC4902" s="67">
        <v>52</v>
      </c>
      <c r="ID4902" s="67">
        <v>65</v>
      </c>
      <c r="IE4902" s="67">
        <v>16</v>
      </c>
      <c r="IF4902" s="67">
        <v>3</v>
      </c>
      <c r="IG4902" s="67" t="s">
        <v>5402</v>
      </c>
      <c r="IH4902" s="67"/>
      <c r="II4902" s="67"/>
      <c r="IJ4902" s="67"/>
      <c r="IK4902" s="67"/>
      <c r="IL4902" s="67"/>
      <c r="IM4902" s="67"/>
      <c r="IN4902" s="67"/>
      <c r="IO4902" s="67"/>
      <c r="IP4902" s="67"/>
      <c r="IQ4902" s="67"/>
      <c r="IR4902" s="67"/>
      <c r="IS4902" s="67"/>
      <c r="IT4902" s="67"/>
      <c r="IU4902" s="67"/>
      <c r="IV4902" s="67"/>
      <c r="IW4902" s="67"/>
      <c r="IX4902" s="67"/>
      <c r="IY4902" s="67"/>
      <c r="IZ4902" s="67"/>
      <c r="JA4902" s="67"/>
      <c r="JB4902" s="67"/>
      <c r="JC4902" s="67"/>
      <c r="JD4902" s="67"/>
      <c r="JE4902" s="67"/>
      <c r="JF4902" s="67"/>
      <c r="JG4902" s="67">
        <v>480</v>
      </c>
      <c r="JH4902" s="67">
        <v>558</v>
      </c>
      <c r="JI4902" s="67">
        <v>26</v>
      </c>
      <c r="JJ4902" s="67">
        <v>69</v>
      </c>
      <c r="JK4902" s="67" t="s">
        <v>5402</v>
      </c>
      <c r="JL4902" s="67">
        <v>1.5</v>
      </c>
      <c r="JM4902" s="67">
        <v>1.5</v>
      </c>
      <c r="JN4902" s="67"/>
      <c r="JO4902" s="67"/>
      <c r="JP4902" s="67" t="s">
        <v>5402</v>
      </c>
      <c r="JQ4902" s="67"/>
      <c r="JR4902" s="67"/>
      <c r="JS4902" s="67"/>
      <c r="JT4902" s="67"/>
      <c r="JU4902" s="58"/>
      <c r="JV4902" s="58"/>
      <c r="JW4902" s="58"/>
    </row>
    <row r="4903" spans="1:283" s="23" customFormat="1" x14ac:dyDescent="0.25">
      <c r="A4903" s="55">
        <v>4902</v>
      </c>
      <c r="B4903" s="12" t="s">
        <v>7067</v>
      </c>
      <c r="C4903" s="156">
        <v>228</v>
      </c>
      <c r="D4903" s="58" t="s">
        <v>4924</v>
      </c>
      <c r="E4903" s="160" t="str">
        <f>G4903</f>
        <v>Friedel et al 2000</v>
      </c>
      <c r="F4903" s="160"/>
      <c r="G4903" s="60" t="s">
        <v>4805</v>
      </c>
      <c r="H4903" s="58">
        <v>2000</v>
      </c>
      <c r="I4903" s="58">
        <v>1982</v>
      </c>
      <c r="J4903" s="243" t="s">
        <v>5306</v>
      </c>
      <c r="K4903" s="63" t="s">
        <v>5115</v>
      </c>
      <c r="L4903" s="58" t="s">
        <v>1077</v>
      </c>
      <c r="M4903" s="94">
        <v>48.19</v>
      </c>
      <c r="N4903" s="94">
        <v>9.3699999999999992</v>
      </c>
      <c r="O4903" s="94">
        <v>700</v>
      </c>
      <c r="P4903" s="58"/>
      <c r="Q4903" s="244">
        <v>7</v>
      </c>
      <c r="R4903" s="58"/>
      <c r="S4903" s="245">
        <v>720</v>
      </c>
      <c r="T4903" s="58"/>
      <c r="U4903" s="58" t="s">
        <v>1679</v>
      </c>
      <c r="V4903" s="244">
        <v>20</v>
      </c>
      <c r="W4903" s="174"/>
      <c r="X4903" s="174"/>
      <c r="Y4903" s="58" t="s">
        <v>5399</v>
      </c>
      <c r="Z4903" s="244" t="s">
        <v>1367</v>
      </c>
      <c r="AA4903" s="245">
        <v>25</v>
      </c>
      <c r="AB4903" s="67"/>
      <c r="AC4903" s="67"/>
      <c r="AD4903" s="94">
        <v>1.3</v>
      </c>
      <c r="AE4903" s="94">
        <v>1.9</v>
      </c>
      <c r="AF4903" s="94">
        <v>28.8</v>
      </c>
      <c r="AG4903" s="245">
        <v>69.599999999999994</v>
      </c>
      <c r="AH4903" s="58" t="s">
        <v>769</v>
      </c>
      <c r="AI4903" s="169"/>
      <c r="AJ4903" s="94">
        <v>3.15</v>
      </c>
      <c r="AK4903" s="94"/>
      <c r="AL4903" s="58"/>
      <c r="AM4903" s="58"/>
      <c r="AN4903" s="186" t="s">
        <v>5401</v>
      </c>
      <c r="AO4903" s="185" t="s">
        <v>5150</v>
      </c>
      <c r="AP4903" s="58"/>
      <c r="AQ4903" s="58" t="s">
        <v>4584</v>
      </c>
      <c r="AR4903" s="58" t="s">
        <v>116</v>
      </c>
      <c r="AS4903" s="58" t="s">
        <v>116</v>
      </c>
      <c r="AT4903" s="247" t="s">
        <v>5400</v>
      </c>
      <c r="AU4903" s="181" t="s">
        <v>5150</v>
      </c>
      <c r="AV4903" s="185" t="s">
        <v>479</v>
      </c>
      <c r="AW4903" s="244" t="s">
        <v>5400</v>
      </c>
      <c r="AX4903" s="185" t="s">
        <v>479</v>
      </c>
      <c r="AY4903" s="244" t="s">
        <v>176</v>
      </c>
      <c r="AZ4903" s="58"/>
      <c r="BA4903" s="58"/>
      <c r="BB4903" s="58"/>
      <c r="BC4903" s="58"/>
      <c r="BD4903" s="58"/>
      <c r="BE4903" s="236" t="s">
        <v>5177</v>
      </c>
      <c r="BF4903" s="191" t="s">
        <v>479</v>
      </c>
      <c r="BG4903" s="191" t="s">
        <v>479</v>
      </c>
      <c r="BH4903" s="236" t="s">
        <v>5244</v>
      </c>
      <c r="BI4903" s="191" t="s">
        <v>479</v>
      </c>
      <c r="BJ4903" s="58" t="str">
        <f>IF(BE4903=BH4903,"No","yes")</f>
        <v>yes</v>
      </c>
      <c r="BK4903" s="58" t="s">
        <v>6335</v>
      </c>
      <c r="BL4903" s="58"/>
      <c r="BM4903" s="237" t="s">
        <v>160</v>
      </c>
      <c r="BN4903" s="244">
        <v>3</v>
      </c>
      <c r="BO4903" s="244">
        <v>3</v>
      </c>
      <c r="BP4903" s="58"/>
      <c r="BQ4903" s="58"/>
      <c r="BR4903" s="58"/>
      <c r="BS4903" s="58"/>
      <c r="BT4903" s="58"/>
      <c r="BU4903" s="58"/>
      <c r="BV4903" s="58">
        <v>34394</v>
      </c>
      <c r="BW4903" s="67"/>
      <c r="BX4903" s="67"/>
      <c r="BY4903" s="67"/>
      <c r="BZ4903" s="67"/>
      <c r="CA4903" s="67"/>
      <c r="CB4903" s="70"/>
      <c r="CC4903" s="70"/>
      <c r="CD4903" s="70"/>
      <c r="CE4903" s="67"/>
      <c r="CF4903" s="67"/>
      <c r="CG4903" s="67"/>
      <c r="CH4903" s="245"/>
      <c r="CI4903" s="245"/>
      <c r="CJ4903" s="67"/>
      <c r="CK4903" s="67"/>
      <c r="CL4903" s="67"/>
      <c r="CM4903" s="242"/>
      <c r="CN4903" s="242"/>
      <c r="CO4903" s="242"/>
      <c r="CP4903" s="242"/>
      <c r="CQ4903" s="242"/>
      <c r="CR4903" s="242"/>
      <c r="CS4903" s="242"/>
      <c r="CT4903" s="242"/>
      <c r="CU4903" s="242"/>
      <c r="CV4903" s="242"/>
      <c r="CW4903" s="242"/>
      <c r="CX4903" s="242"/>
      <c r="CY4903" s="242"/>
      <c r="CZ4903" s="242"/>
      <c r="DA4903" s="67"/>
      <c r="DB4903" s="67"/>
      <c r="DC4903" s="67"/>
      <c r="DD4903" s="67"/>
      <c r="DE4903" s="67"/>
      <c r="DF4903" s="67"/>
      <c r="DG4903" s="67"/>
      <c r="DH4903" s="67"/>
      <c r="DI4903" s="67"/>
      <c r="DJ4903" s="67"/>
      <c r="DK4903" s="67"/>
      <c r="DL4903" s="67"/>
      <c r="DM4903" s="67"/>
      <c r="DN4903" s="67"/>
      <c r="DO4903" s="67"/>
      <c r="DP4903" s="67"/>
      <c r="DQ4903" s="166"/>
      <c r="DR4903" s="166"/>
      <c r="DS4903" s="163"/>
      <c r="DT4903" s="163"/>
      <c r="DU4903" s="67"/>
      <c r="DV4903" s="67"/>
      <c r="DW4903" s="67"/>
      <c r="DX4903" s="67"/>
      <c r="DY4903" s="67"/>
      <c r="DZ4903" s="67"/>
      <c r="EA4903" s="67"/>
      <c r="EB4903" s="67"/>
      <c r="EC4903" s="67"/>
      <c r="ED4903" s="67"/>
      <c r="EE4903" s="67"/>
      <c r="EF4903" s="67"/>
      <c r="EG4903" s="67"/>
      <c r="EH4903" s="67"/>
      <c r="EI4903" s="67"/>
      <c r="EJ4903" s="67"/>
      <c r="EK4903" s="94"/>
      <c r="EL4903" s="94"/>
      <c r="EM4903" s="67"/>
      <c r="EN4903" s="67"/>
      <c r="EO4903" s="67"/>
      <c r="EP4903" s="67"/>
      <c r="EQ4903" s="67"/>
      <c r="ER4903" s="67"/>
      <c r="ES4903" s="67"/>
      <c r="ET4903" s="67"/>
      <c r="EU4903" s="67"/>
      <c r="EV4903" s="67"/>
      <c r="EW4903" s="67"/>
      <c r="EX4903" s="67"/>
      <c r="EY4903" s="67"/>
      <c r="EZ4903" s="67"/>
      <c r="FA4903" s="67"/>
      <c r="FB4903" s="67"/>
      <c r="FC4903" s="67"/>
      <c r="FD4903" s="67"/>
      <c r="FE4903" s="67"/>
      <c r="FF4903" s="67"/>
      <c r="FG4903" s="67"/>
      <c r="FH4903" s="67"/>
      <c r="FI4903" s="67"/>
      <c r="FJ4903" s="67"/>
      <c r="FK4903" s="67"/>
      <c r="FL4903" s="67"/>
      <c r="FM4903" s="67"/>
      <c r="FN4903" s="67"/>
      <c r="FO4903" s="67"/>
      <c r="FP4903" s="67"/>
      <c r="FQ4903" s="67"/>
      <c r="FR4903" s="67"/>
      <c r="FS4903" s="67"/>
      <c r="FT4903" s="67"/>
      <c r="FU4903" s="67"/>
      <c r="FV4903" s="67"/>
      <c r="FW4903" s="67"/>
      <c r="FX4903" s="67"/>
      <c r="FY4903" s="67"/>
      <c r="FZ4903" s="67"/>
      <c r="GA4903" s="67"/>
      <c r="GB4903" s="67"/>
      <c r="GC4903" s="67"/>
      <c r="GD4903" s="67"/>
      <c r="GE4903" s="67"/>
      <c r="GF4903" s="67"/>
      <c r="GG4903" s="67"/>
      <c r="GH4903" s="67"/>
      <c r="GI4903" s="67"/>
      <c r="GJ4903" s="67"/>
      <c r="GK4903" s="67"/>
      <c r="GL4903" s="67"/>
      <c r="GM4903" s="67"/>
      <c r="GN4903" s="292"/>
      <c r="GO4903" s="292"/>
      <c r="GP4903" s="292" t="s">
        <v>7494</v>
      </c>
      <c r="GQ4903" s="67"/>
      <c r="GR4903" s="67"/>
      <c r="GS4903" s="67"/>
      <c r="GT4903" s="67"/>
      <c r="GU4903" s="67"/>
      <c r="GV4903" s="67"/>
      <c r="GW4903" s="67"/>
      <c r="GX4903" s="67"/>
      <c r="GY4903" s="67"/>
      <c r="GZ4903" s="67"/>
      <c r="HA4903" s="67"/>
      <c r="HB4903" s="67"/>
      <c r="HC4903" s="67"/>
      <c r="HD4903" s="67"/>
      <c r="HE4903" s="67"/>
      <c r="HF4903" s="67"/>
      <c r="HG4903" s="67"/>
      <c r="HH4903" s="67"/>
      <c r="HI4903" s="67"/>
      <c r="HJ4903" s="67"/>
      <c r="HK4903" s="67"/>
      <c r="HL4903" s="67"/>
      <c r="HM4903" s="67"/>
      <c r="HN4903" s="67"/>
      <c r="HO4903" s="67"/>
      <c r="HP4903" s="67"/>
      <c r="HQ4903" s="67"/>
      <c r="HR4903" s="67"/>
      <c r="HS4903" s="67"/>
      <c r="HT4903" s="67"/>
      <c r="HU4903" s="67"/>
      <c r="HV4903" s="67"/>
      <c r="HW4903" s="67"/>
      <c r="HX4903" s="67">
        <v>1017</v>
      </c>
      <c r="HY4903" s="67">
        <v>1108</v>
      </c>
      <c r="HZ4903" s="67">
        <v>82</v>
      </c>
      <c r="IA4903" s="67">
        <v>144</v>
      </c>
      <c r="IB4903" s="67" t="s">
        <v>5403</v>
      </c>
      <c r="IC4903" s="67">
        <v>17</v>
      </c>
      <c r="ID4903" s="67">
        <v>18</v>
      </c>
      <c r="IE4903" s="67">
        <v>3</v>
      </c>
      <c r="IF4903" s="67">
        <v>4</v>
      </c>
      <c r="IG4903" s="67" t="s">
        <v>5402</v>
      </c>
      <c r="IH4903" s="67"/>
      <c r="II4903" s="67"/>
      <c r="IJ4903" s="67"/>
      <c r="IK4903" s="67"/>
      <c r="IL4903" s="67"/>
      <c r="IM4903" s="67"/>
      <c r="IN4903" s="67"/>
      <c r="IO4903" s="67"/>
      <c r="IP4903" s="67"/>
      <c r="IQ4903" s="67"/>
      <c r="IR4903" s="67"/>
      <c r="IS4903" s="67"/>
      <c r="IT4903" s="67"/>
      <c r="IU4903" s="67"/>
      <c r="IV4903" s="67"/>
      <c r="IW4903" s="67"/>
      <c r="IX4903" s="67"/>
      <c r="IY4903" s="67"/>
      <c r="IZ4903" s="67"/>
      <c r="JA4903" s="67"/>
      <c r="JB4903" s="67"/>
      <c r="JC4903" s="67"/>
      <c r="JD4903" s="67"/>
      <c r="JE4903" s="67"/>
      <c r="JF4903" s="67"/>
      <c r="JG4903" s="67">
        <v>439</v>
      </c>
      <c r="JH4903" s="67">
        <v>578</v>
      </c>
      <c r="JI4903" s="67">
        <v>34</v>
      </c>
      <c r="JJ4903" s="67">
        <v>44</v>
      </c>
      <c r="JK4903" s="67" t="s">
        <v>5402</v>
      </c>
      <c r="JL4903" s="67">
        <v>1.5</v>
      </c>
      <c r="JM4903" s="67">
        <v>1.8</v>
      </c>
      <c r="JN4903" s="67"/>
      <c r="JO4903" s="67"/>
      <c r="JP4903" s="67" t="s">
        <v>5402</v>
      </c>
      <c r="JQ4903" s="67"/>
      <c r="JR4903" s="67"/>
      <c r="JS4903" s="67"/>
      <c r="JT4903" s="67"/>
      <c r="JU4903" s="58"/>
      <c r="JV4903" s="58"/>
      <c r="JW4903" s="58"/>
    </row>
    <row r="4904" spans="1:283" s="23" customFormat="1" x14ac:dyDescent="0.25">
      <c r="A4904" s="55">
        <v>4903</v>
      </c>
      <c r="B4904" s="12" t="s">
        <v>7067</v>
      </c>
      <c r="C4904" s="156">
        <v>229</v>
      </c>
      <c r="D4904" s="58" t="s">
        <v>4925</v>
      </c>
      <c r="E4904" s="160" t="str">
        <f>G4904</f>
        <v>Garcia-Ruizet al 2009_PG site</v>
      </c>
      <c r="F4904" s="160"/>
      <c r="G4904" s="60" t="s">
        <v>4804</v>
      </c>
      <c r="H4904" s="58">
        <v>2009</v>
      </c>
      <c r="I4904" s="58">
        <v>2003</v>
      </c>
      <c r="J4904" s="243" t="s">
        <v>112</v>
      </c>
      <c r="K4904" s="63" t="s">
        <v>5404</v>
      </c>
      <c r="L4904" s="58" t="s">
        <v>4516</v>
      </c>
      <c r="M4904" s="94">
        <v>37.74</v>
      </c>
      <c r="N4904" s="94">
        <v>-3.65</v>
      </c>
      <c r="O4904" s="94">
        <v>816</v>
      </c>
      <c r="P4904" s="58"/>
      <c r="Q4904" s="244">
        <v>16</v>
      </c>
      <c r="R4904" s="58"/>
      <c r="S4904" s="245">
        <v>560</v>
      </c>
      <c r="T4904" s="58"/>
      <c r="U4904" s="58" t="s">
        <v>1688</v>
      </c>
      <c r="V4904" s="244">
        <v>5</v>
      </c>
      <c r="W4904" s="174"/>
      <c r="X4904" s="174"/>
      <c r="Y4904" s="58" t="s">
        <v>5407</v>
      </c>
      <c r="Z4904" s="244" t="s">
        <v>1355</v>
      </c>
      <c r="AA4904" s="245">
        <v>10</v>
      </c>
      <c r="AB4904" s="67">
        <v>171</v>
      </c>
      <c r="AC4904" s="67" t="s">
        <v>5413</v>
      </c>
      <c r="AD4904" s="94"/>
      <c r="AE4904" s="94">
        <v>24.5</v>
      </c>
      <c r="AF4904" s="94">
        <v>60.1</v>
      </c>
      <c r="AG4904" s="245">
        <v>25.3</v>
      </c>
      <c r="AH4904" s="58" t="s">
        <v>6378</v>
      </c>
      <c r="AI4904" s="169"/>
      <c r="AJ4904" s="94">
        <v>5.3</v>
      </c>
      <c r="AK4904" s="94"/>
      <c r="AL4904" s="58"/>
      <c r="AM4904" s="58"/>
      <c r="AN4904" s="186"/>
      <c r="AO4904" s="185" t="s">
        <v>5150</v>
      </c>
      <c r="AP4904" s="58"/>
      <c r="AQ4904" s="58"/>
      <c r="AR4904" s="58" t="s">
        <v>4638</v>
      </c>
      <c r="AS4904" s="246" t="s">
        <v>3471</v>
      </c>
      <c r="AT4904" s="247">
        <v>0</v>
      </c>
      <c r="AU4904" s="181" t="s">
        <v>7494</v>
      </c>
      <c r="AV4904" s="185" t="s">
        <v>176</v>
      </c>
      <c r="AW4904" s="244">
        <v>0</v>
      </c>
      <c r="AX4904" s="185" t="s">
        <v>176</v>
      </c>
      <c r="AY4904" s="244" t="s">
        <v>176</v>
      </c>
      <c r="AZ4904" s="58"/>
      <c r="BA4904" s="58"/>
      <c r="BB4904" s="58"/>
      <c r="BC4904" s="58"/>
      <c r="BD4904" s="58"/>
      <c r="BE4904" s="236" t="s">
        <v>5178</v>
      </c>
      <c r="BF4904" s="191" t="s">
        <v>479</v>
      </c>
      <c r="BG4904" s="191" t="s">
        <v>479</v>
      </c>
      <c r="BH4904" s="236" t="s">
        <v>5245</v>
      </c>
      <c r="BI4904" s="191" t="s">
        <v>479</v>
      </c>
      <c r="BJ4904" s="58" t="str">
        <f>IF(BE4904=BH4904,"No","yes")</f>
        <v>yes</v>
      </c>
      <c r="BK4904" s="58" t="s">
        <v>6334</v>
      </c>
      <c r="BL4904" s="58"/>
      <c r="BM4904" s="237"/>
      <c r="BN4904" s="244">
        <v>5</v>
      </c>
      <c r="BO4904" s="244">
        <v>5</v>
      </c>
      <c r="BP4904" s="58"/>
      <c r="BQ4904" s="58"/>
      <c r="BR4904" s="58"/>
      <c r="BS4904" s="58"/>
      <c r="BT4904" s="58"/>
      <c r="BU4904" s="58"/>
      <c r="BV4904" s="58" t="s">
        <v>5411</v>
      </c>
      <c r="BW4904" s="67"/>
      <c r="BX4904" s="67"/>
      <c r="BY4904" s="67"/>
      <c r="BZ4904" s="67"/>
      <c r="CA4904" s="67"/>
      <c r="CB4904" s="70"/>
      <c r="CC4904" s="70"/>
      <c r="CD4904" s="70"/>
      <c r="CE4904" s="67"/>
      <c r="CF4904" s="67"/>
      <c r="CG4904" s="67"/>
      <c r="CH4904" s="245"/>
      <c r="CI4904" s="245"/>
      <c r="CJ4904" s="67"/>
      <c r="CK4904" s="67"/>
      <c r="CL4904" s="67"/>
      <c r="CM4904" s="242">
        <v>5.3</v>
      </c>
      <c r="CN4904" s="242">
        <v>8.4</v>
      </c>
      <c r="CO4904" s="242">
        <v>0.52</v>
      </c>
      <c r="CP4904" s="242">
        <v>0.56000000000000005</v>
      </c>
      <c r="CQ4904" s="242" t="s">
        <v>164</v>
      </c>
      <c r="CR4904" s="242">
        <v>38.859690545101898</v>
      </c>
      <c r="CS4904" s="242">
        <v>52.933440920882127</v>
      </c>
      <c r="CT4904" s="242">
        <v>3.8859690545101886</v>
      </c>
      <c r="CU4904" s="242">
        <v>5.2933440920882129</v>
      </c>
      <c r="CV4904" s="242" t="s">
        <v>5151</v>
      </c>
      <c r="CW4904" s="242"/>
      <c r="CX4904" s="242"/>
      <c r="CY4904" s="242"/>
      <c r="CZ4904" s="242"/>
      <c r="DA4904" s="67" t="s">
        <v>5443</v>
      </c>
      <c r="DB4904" s="67">
        <v>2600</v>
      </c>
      <c r="DC4904" s="67">
        <v>3300</v>
      </c>
      <c r="DD4904" s="67"/>
      <c r="DE4904" s="67"/>
      <c r="DF4904" s="67" t="s">
        <v>5414</v>
      </c>
      <c r="DG4904" s="67">
        <v>19</v>
      </c>
      <c r="DH4904" s="67">
        <v>61.3</v>
      </c>
      <c r="DI4904" s="67"/>
      <c r="DJ4904" s="67"/>
      <c r="DK4904" s="67" t="s">
        <v>5412</v>
      </c>
      <c r="DL4904" s="67">
        <v>15.8</v>
      </c>
      <c r="DM4904" s="67">
        <v>31</v>
      </c>
      <c r="DN4904" s="67"/>
      <c r="DO4904" s="67"/>
      <c r="DP4904" s="67" t="s">
        <v>5416</v>
      </c>
      <c r="DQ4904" s="166">
        <v>7.9</v>
      </c>
      <c r="DR4904" s="166">
        <v>7.8</v>
      </c>
      <c r="DS4904" s="163"/>
      <c r="DT4904" s="163"/>
      <c r="DU4904" s="67"/>
      <c r="DV4904" s="67">
        <v>171</v>
      </c>
      <c r="DW4904" s="67">
        <v>198</v>
      </c>
      <c r="DX4904" s="67"/>
      <c r="DY4904" s="67"/>
      <c r="DZ4904" s="67" t="s">
        <v>5413</v>
      </c>
      <c r="EA4904" s="67"/>
      <c r="EB4904" s="67"/>
      <c r="EC4904" s="67"/>
      <c r="ED4904" s="67"/>
      <c r="EE4904" s="67"/>
      <c r="EF4904" s="67"/>
      <c r="EG4904" s="67"/>
      <c r="EH4904" s="67"/>
      <c r="EI4904" s="67"/>
      <c r="EJ4904" s="67"/>
      <c r="EK4904" s="94"/>
      <c r="EL4904" s="94"/>
      <c r="EM4904" s="67"/>
      <c r="EN4904" s="67"/>
      <c r="EO4904" s="67"/>
      <c r="EP4904" s="67"/>
      <c r="EQ4904" s="67"/>
      <c r="ER4904" s="67"/>
      <c r="ES4904" s="67"/>
      <c r="ET4904" s="67"/>
      <c r="EU4904" s="67"/>
      <c r="EV4904" s="67"/>
      <c r="EW4904" s="67"/>
      <c r="EX4904" s="67"/>
      <c r="EY4904" s="67"/>
      <c r="EZ4904" s="67"/>
      <c r="FA4904" s="67"/>
      <c r="FB4904" s="67"/>
      <c r="FC4904" s="67"/>
      <c r="FD4904" s="67"/>
      <c r="FE4904" s="67"/>
      <c r="FF4904" s="67"/>
      <c r="FG4904" s="67"/>
      <c r="FH4904" s="67"/>
      <c r="FI4904" s="67"/>
      <c r="FJ4904" s="67"/>
      <c r="FK4904" s="67"/>
      <c r="FL4904" s="67"/>
      <c r="FM4904" s="67"/>
      <c r="FN4904" s="67"/>
      <c r="FO4904" s="67"/>
      <c r="FP4904" s="67"/>
      <c r="FQ4904" s="67"/>
      <c r="FR4904" s="67"/>
      <c r="FS4904" s="67"/>
      <c r="FT4904" s="67"/>
      <c r="FU4904" s="67"/>
      <c r="FV4904" s="67"/>
      <c r="FW4904" s="67"/>
      <c r="FX4904" s="67"/>
      <c r="FY4904" s="67"/>
      <c r="FZ4904" s="67"/>
      <c r="GA4904" s="67"/>
      <c r="GB4904" s="67"/>
      <c r="GC4904" s="67"/>
      <c r="GD4904" s="67"/>
      <c r="GE4904" s="67"/>
      <c r="GF4904" s="67"/>
      <c r="GG4904" s="67"/>
      <c r="GH4904" s="67"/>
      <c r="GI4904" s="67"/>
      <c r="GJ4904" s="67"/>
      <c r="GK4904" s="67"/>
      <c r="GL4904" s="67"/>
      <c r="GM4904" s="67"/>
      <c r="GN4904" s="292"/>
      <c r="GO4904" s="292"/>
      <c r="GP4904" s="292" t="s">
        <v>7494</v>
      </c>
      <c r="GQ4904" s="67"/>
      <c r="GR4904" s="67"/>
      <c r="GS4904" s="67"/>
      <c r="GT4904" s="67"/>
      <c r="GU4904" s="67"/>
      <c r="GV4904" s="67"/>
      <c r="GW4904" s="67"/>
      <c r="GX4904" s="67"/>
      <c r="GY4904" s="67"/>
      <c r="GZ4904" s="67"/>
      <c r="HA4904" s="67"/>
      <c r="HB4904" s="67"/>
      <c r="HC4904" s="67"/>
      <c r="HD4904" s="67"/>
      <c r="HE4904" s="67"/>
      <c r="HF4904" s="67"/>
      <c r="HG4904" s="67"/>
      <c r="HH4904" s="67"/>
      <c r="HI4904" s="67"/>
      <c r="HJ4904" s="67"/>
      <c r="HK4904" s="67"/>
      <c r="HL4904" s="67"/>
      <c r="HM4904" s="67"/>
      <c r="HN4904" s="67"/>
      <c r="HO4904" s="67"/>
      <c r="HP4904" s="67"/>
      <c r="HQ4904" s="67"/>
      <c r="HR4904" s="67"/>
      <c r="HS4904" s="67"/>
      <c r="HT4904" s="67"/>
      <c r="HU4904" s="67"/>
      <c r="HV4904" s="67"/>
      <c r="HW4904" s="67"/>
      <c r="HX4904" s="67"/>
      <c r="HY4904" s="67"/>
      <c r="HZ4904" s="67"/>
      <c r="IA4904" s="67"/>
      <c r="IB4904" s="67"/>
      <c r="IC4904" s="67"/>
      <c r="ID4904" s="67"/>
      <c r="IE4904" s="67"/>
      <c r="IF4904" s="67"/>
      <c r="IG4904" s="67"/>
      <c r="IH4904" s="67"/>
      <c r="II4904" s="67"/>
      <c r="IJ4904" s="67"/>
      <c r="IK4904" s="67"/>
      <c r="IL4904" s="67"/>
      <c r="IM4904" s="67"/>
      <c r="IN4904" s="67"/>
      <c r="IO4904" s="67"/>
      <c r="IP4904" s="67"/>
      <c r="IQ4904" s="67"/>
      <c r="IR4904" s="67"/>
      <c r="IS4904" s="67"/>
      <c r="IT4904" s="67"/>
      <c r="IU4904" s="67"/>
      <c r="IV4904" s="67"/>
      <c r="IW4904" s="67"/>
      <c r="IX4904" s="67"/>
      <c r="IY4904" s="67"/>
      <c r="IZ4904" s="67"/>
      <c r="JA4904" s="67"/>
      <c r="JB4904" s="67"/>
      <c r="JC4904" s="67"/>
      <c r="JD4904" s="67"/>
      <c r="JE4904" s="67"/>
      <c r="JF4904" s="67"/>
      <c r="JG4904" s="67"/>
      <c r="JH4904" s="67"/>
      <c r="JI4904" s="67"/>
      <c r="JJ4904" s="67"/>
      <c r="JK4904" s="67"/>
      <c r="JL4904" s="67"/>
      <c r="JM4904" s="67"/>
      <c r="JN4904" s="67"/>
      <c r="JO4904" s="67"/>
      <c r="JP4904" s="67"/>
      <c r="JQ4904" s="67"/>
      <c r="JR4904" s="67"/>
      <c r="JS4904" s="67"/>
      <c r="JT4904" s="67"/>
      <c r="JU4904" s="58"/>
      <c r="JV4904" s="58"/>
      <c r="JW4904" s="58"/>
    </row>
    <row r="4905" spans="1:283" s="23" customFormat="1" x14ac:dyDescent="0.25">
      <c r="A4905" s="55">
        <v>4904</v>
      </c>
      <c r="B4905" s="12" t="s">
        <v>7067</v>
      </c>
      <c r="C4905" s="156">
        <v>229</v>
      </c>
      <c r="D4905" s="58" t="s">
        <v>4926</v>
      </c>
      <c r="E4905" s="160" t="str">
        <f>G4905</f>
        <v>Garcia-Ruizet al 2009_PT site</v>
      </c>
      <c r="F4905" s="160"/>
      <c r="G4905" s="60" t="s">
        <v>4802</v>
      </c>
      <c r="H4905" s="58">
        <v>2009</v>
      </c>
      <c r="I4905" s="58">
        <v>2003</v>
      </c>
      <c r="J4905" s="243" t="s">
        <v>112</v>
      </c>
      <c r="K4905" s="63" t="s">
        <v>5405</v>
      </c>
      <c r="L4905" s="58" t="s">
        <v>4516</v>
      </c>
      <c r="M4905" s="94">
        <v>37.799999999999997</v>
      </c>
      <c r="N4905" s="94">
        <v>-3.75</v>
      </c>
      <c r="O4905" s="94">
        <v>487</v>
      </c>
      <c r="P4905" s="58"/>
      <c r="Q4905" s="244">
        <v>16</v>
      </c>
      <c r="R4905" s="58"/>
      <c r="S4905" s="245">
        <v>560</v>
      </c>
      <c r="T4905" s="58"/>
      <c r="U4905" s="58" t="s">
        <v>1688</v>
      </c>
      <c r="V4905" s="244">
        <v>4</v>
      </c>
      <c r="W4905" s="174"/>
      <c r="X4905" s="174"/>
      <c r="Y4905" s="58" t="s">
        <v>5407</v>
      </c>
      <c r="Z4905" s="244" t="s">
        <v>1355</v>
      </c>
      <c r="AA4905" s="245">
        <v>10</v>
      </c>
      <c r="AB4905" s="67">
        <v>123</v>
      </c>
      <c r="AC4905" s="67" t="s">
        <v>5413</v>
      </c>
      <c r="AD4905" s="94"/>
      <c r="AE4905" s="94">
        <v>16.600000000000001</v>
      </c>
      <c r="AF4905" s="94">
        <v>37.200000000000003</v>
      </c>
      <c r="AG4905" s="245">
        <v>46</v>
      </c>
      <c r="AH4905" s="58" t="s">
        <v>769</v>
      </c>
      <c r="AI4905" s="169"/>
      <c r="AJ4905" s="94">
        <v>3.6</v>
      </c>
      <c r="AK4905" s="94"/>
      <c r="AL4905" s="58"/>
      <c r="AM4905" s="58"/>
      <c r="AN4905" s="186"/>
      <c r="AO4905" s="185" t="s">
        <v>5150</v>
      </c>
      <c r="AP4905" s="58"/>
      <c r="AQ4905" s="58"/>
      <c r="AR4905" s="58" t="s">
        <v>4638</v>
      </c>
      <c r="AS4905" s="246" t="s">
        <v>3471</v>
      </c>
      <c r="AT4905" s="247">
        <v>0</v>
      </c>
      <c r="AU4905" s="181" t="s">
        <v>7494</v>
      </c>
      <c r="AV4905" s="185" t="s">
        <v>176</v>
      </c>
      <c r="AW4905" s="244">
        <v>0</v>
      </c>
      <c r="AX4905" s="185" t="s">
        <v>176</v>
      </c>
      <c r="AY4905" s="244" t="s">
        <v>176</v>
      </c>
      <c r="AZ4905" s="58"/>
      <c r="BA4905" s="58"/>
      <c r="BB4905" s="58"/>
      <c r="BC4905" s="58"/>
      <c r="BD4905" s="58"/>
      <c r="BE4905" s="236" t="s">
        <v>5178</v>
      </c>
      <c r="BF4905" s="191" t="s">
        <v>479</v>
      </c>
      <c r="BG4905" s="191" t="s">
        <v>479</v>
      </c>
      <c r="BH4905" s="236" t="s">
        <v>5246</v>
      </c>
      <c r="BI4905" s="191" t="s">
        <v>479</v>
      </c>
      <c r="BJ4905" s="58" t="str">
        <f>IF(BE4905=BH4905,"No","yes")</f>
        <v>yes</v>
      </c>
      <c r="BK4905" s="58" t="s">
        <v>6334</v>
      </c>
      <c r="BL4905" s="58"/>
      <c r="BM4905" s="237"/>
      <c r="BN4905" s="244">
        <v>5</v>
      </c>
      <c r="BO4905" s="244">
        <v>5</v>
      </c>
      <c r="BP4905" s="58"/>
      <c r="BQ4905" s="58"/>
      <c r="BR4905" s="58"/>
      <c r="BS4905" s="58"/>
      <c r="BT4905" s="58"/>
      <c r="BU4905" s="58"/>
      <c r="BV4905" s="58" t="s">
        <v>5411</v>
      </c>
      <c r="BW4905" s="67"/>
      <c r="BX4905" s="67"/>
      <c r="BY4905" s="67"/>
      <c r="BZ4905" s="67"/>
      <c r="CA4905" s="67"/>
      <c r="CB4905" s="70"/>
      <c r="CC4905" s="70"/>
      <c r="CD4905" s="70"/>
      <c r="CE4905" s="67"/>
      <c r="CF4905" s="67"/>
      <c r="CG4905" s="67"/>
      <c r="CH4905" s="245"/>
      <c r="CI4905" s="245"/>
      <c r="CJ4905" s="67"/>
      <c r="CK4905" s="67"/>
      <c r="CL4905" s="67"/>
      <c r="CM4905" s="242">
        <v>3.6</v>
      </c>
      <c r="CN4905" s="242">
        <v>5</v>
      </c>
      <c r="CO4905" s="242">
        <v>0.23</v>
      </c>
      <c r="CP4905" s="242">
        <v>0.23</v>
      </c>
      <c r="CQ4905" s="242" t="s">
        <v>164</v>
      </c>
      <c r="CR4905" s="242">
        <v>28.541741502173469</v>
      </c>
      <c r="CS4905" s="242">
        <v>36.901421926139562</v>
      </c>
      <c r="CT4905" s="242">
        <v>2.854174150217347</v>
      </c>
      <c r="CU4905" s="242">
        <v>3.6901421926139566</v>
      </c>
      <c r="CV4905" s="242" t="s">
        <v>5151</v>
      </c>
      <c r="CW4905" s="242"/>
      <c r="CX4905" s="242"/>
      <c r="CY4905" s="242"/>
      <c r="CZ4905" s="242"/>
      <c r="DA4905" s="67" t="s">
        <v>5443</v>
      </c>
      <c r="DB4905" s="67">
        <v>1500</v>
      </c>
      <c r="DC4905" s="67">
        <v>2200</v>
      </c>
      <c r="DD4905" s="67"/>
      <c r="DE4905" s="67"/>
      <c r="DF4905" s="67" t="s">
        <v>5414</v>
      </c>
      <c r="DG4905" s="67">
        <v>46.6</v>
      </c>
      <c r="DH4905" s="67">
        <v>105</v>
      </c>
      <c r="DI4905" s="67"/>
      <c r="DJ4905" s="67"/>
      <c r="DK4905" s="67" t="s">
        <v>5412</v>
      </c>
      <c r="DL4905" s="67">
        <v>26</v>
      </c>
      <c r="DM4905" s="67">
        <v>25</v>
      </c>
      <c r="DN4905" s="67"/>
      <c r="DO4905" s="67"/>
      <c r="DP4905" s="67" t="s">
        <v>5416</v>
      </c>
      <c r="DQ4905" s="166">
        <v>7.6</v>
      </c>
      <c r="DR4905" s="166">
        <v>7.6</v>
      </c>
      <c r="DS4905" s="163"/>
      <c r="DT4905" s="163"/>
      <c r="DU4905" s="67"/>
      <c r="DV4905" s="67">
        <v>123</v>
      </c>
      <c r="DW4905" s="67">
        <v>155</v>
      </c>
      <c r="DX4905" s="67"/>
      <c r="DY4905" s="67"/>
      <c r="DZ4905" s="67" t="s">
        <v>5413</v>
      </c>
      <c r="EA4905" s="67"/>
      <c r="EB4905" s="67"/>
      <c r="EC4905" s="67"/>
      <c r="ED4905" s="67"/>
      <c r="EE4905" s="67"/>
      <c r="EF4905" s="67"/>
      <c r="EG4905" s="67"/>
      <c r="EH4905" s="67"/>
      <c r="EI4905" s="67"/>
      <c r="EJ4905" s="67"/>
      <c r="EK4905" s="94"/>
      <c r="EL4905" s="94"/>
      <c r="EM4905" s="67"/>
      <c r="EN4905" s="67"/>
      <c r="EO4905" s="67"/>
      <c r="EP4905" s="67"/>
      <c r="EQ4905" s="67"/>
      <c r="ER4905" s="67"/>
      <c r="ES4905" s="67"/>
      <c r="ET4905" s="67"/>
      <c r="EU4905" s="67"/>
      <c r="EV4905" s="67"/>
      <c r="EW4905" s="67"/>
      <c r="EX4905" s="67"/>
      <c r="EY4905" s="67"/>
      <c r="EZ4905" s="67"/>
      <c r="FA4905" s="67"/>
      <c r="FB4905" s="67"/>
      <c r="FC4905" s="67"/>
      <c r="FD4905" s="67"/>
      <c r="FE4905" s="67"/>
      <c r="FF4905" s="67"/>
      <c r="FG4905" s="67"/>
      <c r="FH4905" s="67"/>
      <c r="FI4905" s="67"/>
      <c r="FJ4905" s="67"/>
      <c r="FK4905" s="67"/>
      <c r="FL4905" s="67"/>
      <c r="FM4905" s="67"/>
      <c r="FN4905" s="67"/>
      <c r="FO4905" s="67"/>
      <c r="FP4905" s="67"/>
      <c r="FQ4905" s="67"/>
      <c r="FR4905" s="67"/>
      <c r="FS4905" s="67"/>
      <c r="FT4905" s="67"/>
      <c r="FU4905" s="67"/>
      <c r="FV4905" s="67"/>
      <c r="FW4905" s="67"/>
      <c r="FX4905" s="67"/>
      <c r="FY4905" s="67"/>
      <c r="FZ4905" s="67"/>
      <c r="GA4905" s="67"/>
      <c r="GB4905" s="67"/>
      <c r="GC4905" s="67"/>
      <c r="GD4905" s="67"/>
      <c r="GE4905" s="67"/>
      <c r="GF4905" s="67"/>
      <c r="GG4905" s="67"/>
      <c r="GH4905" s="67"/>
      <c r="GI4905" s="67"/>
      <c r="GJ4905" s="67"/>
      <c r="GK4905" s="67"/>
      <c r="GL4905" s="67"/>
      <c r="GM4905" s="67"/>
      <c r="GN4905" s="292"/>
      <c r="GO4905" s="292"/>
      <c r="GP4905" s="292" t="s">
        <v>7494</v>
      </c>
      <c r="GQ4905" s="67"/>
      <c r="GR4905" s="67"/>
      <c r="GS4905" s="67"/>
      <c r="GT4905" s="67"/>
      <c r="GU4905" s="67"/>
      <c r="GV4905" s="67"/>
      <c r="GW4905" s="67"/>
      <c r="GX4905" s="67"/>
      <c r="GY4905" s="67"/>
      <c r="GZ4905" s="67"/>
      <c r="HA4905" s="67"/>
      <c r="HB4905" s="67"/>
      <c r="HC4905" s="67"/>
      <c r="HD4905" s="67"/>
      <c r="HE4905" s="67"/>
      <c r="HF4905" s="67"/>
      <c r="HG4905" s="67"/>
      <c r="HH4905" s="67"/>
      <c r="HI4905" s="67"/>
      <c r="HJ4905" s="67"/>
      <c r="HK4905" s="67"/>
      <c r="HL4905" s="67"/>
      <c r="HM4905" s="67"/>
      <c r="HN4905" s="67"/>
      <c r="HO4905" s="67"/>
      <c r="HP4905" s="67"/>
      <c r="HQ4905" s="67"/>
      <c r="HR4905" s="67"/>
      <c r="HS4905" s="67"/>
      <c r="HT4905" s="67"/>
      <c r="HU4905" s="67"/>
      <c r="HV4905" s="67"/>
      <c r="HW4905" s="67"/>
      <c r="HX4905" s="67"/>
      <c r="HY4905" s="67"/>
      <c r="HZ4905" s="67"/>
      <c r="IA4905" s="67"/>
      <c r="IB4905" s="67"/>
      <c r="IC4905" s="67"/>
      <c r="ID4905" s="67"/>
      <c r="IE4905" s="67"/>
      <c r="IF4905" s="67"/>
      <c r="IG4905" s="67"/>
      <c r="IH4905" s="67"/>
      <c r="II4905" s="67"/>
      <c r="IJ4905" s="67"/>
      <c r="IK4905" s="67"/>
      <c r="IL4905" s="67"/>
      <c r="IM4905" s="67"/>
      <c r="IN4905" s="67"/>
      <c r="IO4905" s="67"/>
      <c r="IP4905" s="67"/>
      <c r="IQ4905" s="67"/>
      <c r="IR4905" s="67"/>
      <c r="IS4905" s="67"/>
      <c r="IT4905" s="67"/>
      <c r="IU4905" s="67"/>
      <c r="IV4905" s="67"/>
      <c r="IW4905" s="67"/>
      <c r="IX4905" s="67"/>
      <c r="IY4905" s="67"/>
      <c r="IZ4905" s="67"/>
      <c r="JA4905" s="67"/>
      <c r="JB4905" s="67"/>
      <c r="JC4905" s="67"/>
      <c r="JD4905" s="67"/>
      <c r="JE4905" s="67"/>
      <c r="JF4905" s="67"/>
      <c r="JG4905" s="67"/>
      <c r="JH4905" s="67"/>
      <c r="JI4905" s="67"/>
      <c r="JJ4905" s="67"/>
      <c r="JK4905" s="67"/>
      <c r="JL4905" s="67"/>
      <c r="JM4905" s="67"/>
      <c r="JN4905" s="67"/>
      <c r="JO4905" s="67"/>
      <c r="JP4905" s="67"/>
      <c r="JQ4905" s="67"/>
      <c r="JR4905" s="67"/>
      <c r="JS4905" s="67"/>
      <c r="JT4905" s="67"/>
      <c r="JU4905" s="58"/>
      <c r="JV4905" s="58"/>
      <c r="JW4905" s="58"/>
    </row>
    <row r="4906" spans="1:283" s="23" customFormat="1" x14ac:dyDescent="0.25">
      <c r="A4906" s="55">
        <v>4905</v>
      </c>
      <c r="B4906" s="12" t="s">
        <v>7067</v>
      </c>
      <c r="C4906" s="156">
        <v>229</v>
      </c>
      <c r="D4906" s="58" t="s">
        <v>4927</v>
      </c>
      <c r="E4906" s="160" t="str">
        <f>G4906</f>
        <v>Garcia-Ruizet al 2009_PS site</v>
      </c>
      <c r="F4906" s="160"/>
      <c r="G4906" s="60" t="s">
        <v>4803</v>
      </c>
      <c r="H4906" s="58">
        <v>2009</v>
      </c>
      <c r="I4906" s="58">
        <v>2003</v>
      </c>
      <c r="J4906" s="243" t="s">
        <v>112</v>
      </c>
      <c r="K4906" s="63" t="s">
        <v>5406</v>
      </c>
      <c r="L4906" s="58" t="s">
        <v>4516</v>
      </c>
      <c r="M4906" s="94">
        <v>37.72</v>
      </c>
      <c r="N4906" s="94">
        <v>-3.76</v>
      </c>
      <c r="O4906" s="94">
        <v>487</v>
      </c>
      <c r="P4906" s="58"/>
      <c r="Q4906" s="244">
        <v>16</v>
      </c>
      <c r="R4906" s="58"/>
      <c r="S4906" s="245">
        <v>560</v>
      </c>
      <c r="T4906" s="58"/>
      <c r="U4906" s="58" t="s">
        <v>1688</v>
      </c>
      <c r="V4906" s="244">
        <v>5</v>
      </c>
      <c r="W4906" s="174"/>
      <c r="X4906" s="174"/>
      <c r="Y4906" s="58" t="s">
        <v>5407</v>
      </c>
      <c r="Z4906" s="244" t="s">
        <v>1355</v>
      </c>
      <c r="AA4906" s="245">
        <v>10</v>
      </c>
      <c r="AB4906" s="67">
        <v>82</v>
      </c>
      <c r="AC4906" s="67" t="s">
        <v>5413</v>
      </c>
      <c r="AD4906" s="94"/>
      <c r="AE4906" s="94">
        <v>14.4</v>
      </c>
      <c r="AF4906" s="94">
        <v>58.9</v>
      </c>
      <c r="AG4906" s="245">
        <v>26.6</v>
      </c>
      <c r="AH4906" s="58" t="s">
        <v>1022</v>
      </c>
      <c r="AI4906" s="169"/>
      <c r="AJ4906" s="94">
        <v>3.3</v>
      </c>
      <c r="AK4906" s="94"/>
      <c r="AL4906" s="58"/>
      <c r="AM4906" s="58"/>
      <c r="AN4906" s="186"/>
      <c r="AO4906" s="185" t="s">
        <v>5150</v>
      </c>
      <c r="AP4906" s="58"/>
      <c r="AQ4906" s="58"/>
      <c r="AR4906" s="58" t="s">
        <v>4638</v>
      </c>
      <c r="AS4906" s="246" t="s">
        <v>3471</v>
      </c>
      <c r="AT4906" s="247">
        <v>0</v>
      </c>
      <c r="AU4906" s="181" t="s">
        <v>7494</v>
      </c>
      <c r="AV4906" s="185" t="s">
        <v>176</v>
      </c>
      <c r="AW4906" s="244">
        <v>0</v>
      </c>
      <c r="AX4906" s="185" t="s">
        <v>176</v>
      </c>
      <c r="AY4906" s="244" t="s">
        <v>176</v>
      </c>
      <c r="AZ4906" s="58"/>
      <c r="BA4906" s="58"/>
      <c r="BB4906" s="58"/>
      <c r="BC4906" s="58"/>
      <c r="BD4906" s="58"/>
      <c r="BE4906" s="236" t="s">
        <v>5178</v>
      </c>
      <c r="BF4906" s="191" t="s">
        <v>479</v>
      </c>
      <c r="BG4906" s="191" t="s">
        <v>479</v>
      </c>
      <c r="BH4906" s="236" t="s">
        <v>5246</v>
      </c>
      <c r="BI4906" s="191" t="s">
        <v>479</v>
      </c>
      <c r="BJ4906" s="58" t="str">
        <f>IF(BE4906=BH4906,"No","yes")</f>
        <v>yes</v>
      </c>
      <c r="BK4906" s="58" t="s">
        <v>6334</v>
      </c>
      <c r="BL4906" s="58"/>
      <c r="BM4906" s="237"/>
      <c r="BN4906" s="244">
        <v>5</v>
      </c>
      <c r="BO4906" s="244">
        <v>5</v>
      </c>
      <c r="BP4906" s="58"/>
      <c r="BQ4906" s="58"/>
      <c r="BR4906" s="58"/>
      <c r="BS4906" s="58"/>
      <c r="BT4906" s="58"/>
      <c r="BU4906" s="58"/>
      <c r="BV4906" s="58" t="s">
        <v>5411</v>
      </c>
      <c r="BW4906" s="67"/>
      <c r="BX4906" s="67"/>
      <c r="BY4906" s="67"/>
      <c r="BZ4906" s="67"/>
      <c r="CA4906" s="67"/>
      <c r="CB4906" s="70"/>
      <c r="CC4906" s="70"/>
      <c r="CD4906" s="70"/>
      <c r="CE4906" s="67"/>
      <c r="CF4906" s="67"/>
      <c r="CG4906" s="67"/>
      <c r="CH4906" s="245"/>
      <c r="CI4906" s="245"/>
      <c r="CJ4906" s="67"/>
      <c r="CK4906" s="67"/>
      <c r="CL4906" s="67"/>
      <c r="CM4906" s="242">
        <v>3.3</v>
      </c>
      <c r="CN4906" s="242">
        <v>4.7</v>
      </c>
      <c r="CO4906" s="242">
        <v>0.25</v>
      </c>
      <c r="CP4906" s="242">
        <v>0.26</v>
      </c>
      <c r="CQ4906" s="242" t="s">
        <v>164</v>
      </c>
      <c r="CR4906" s="242">
        <v>26.600003493815365</v>
      </c>
      <c r="CS4906" s="242">
        <v>37.099945317939707</v>
      </c>
      <c r="CT4906" s="242">
        <v>2.6600003493815367</v>
      </c>
      <c r="CU4906" s="242">
        <v>3.7099945317939707</v>
      </c>
      <c r="CV4906" s="242" t="s">
        <v>5151</v>
      </c>
      <c r="CW4906" s="242"/>
      <c r="CX4906" s="242"/>
      <c r="CY4906" s="242"/>
      <c r="CZ4906" s="242"/>
      <c r="DA4906" s="67" t="s">
        <v>5443</v>
      </c>
      <c r="DB4906" s="67">
        <v>1300</v>
      </c>
      <c r="DC4906" s="67">
        <v>2100</v>
      </c>
      <c r="DD4906" s="67"/>
      <c r="DE4906" s="67"/>
      <c r="DF4906" s="67" t="s">
        <v>5414</v>
      </c>
      <c r="DG4906" s="67">
        <v>9.6</v>
      </c>
      <c r="DH4906" s="67">
        <v>15.3</v>
      </c>
      <c r="DI4906" s="67"/>
      <c r="DJ4906" s="67"/>
      <c r="DK4906" s="67" t="s">
        <v>5412</v>
      </c>
      <c r="DL4906" s="67">
        <v>6</v>
      </c>
      <c r="DM4906" s="67">
        <v>10.4</v>
      </c>
      <c r="DN4906" s="67"/>
      <c r="DO4906" s="67"/>
      <c r="DP4906" s="67" t="s">
        <v>5416</v>
      </c>
      <c r="DQ4906" s="166">
        <v>7.6</v>
      </c>
      <c r="DR4906" s="166">
        <v>7.8</v>
      </c>
      <c r="DS4906" s="163"/>
      <c r="DT4906" s="163"/>
      <c r="DU4906" s="67"/>
      <c r="DV4906" s="67">
        <v>82</v>
      </c>
      <c r="DW4906" s="67">
        <v>101</v>
      </c>
      <c r="DX4906" s="67"/>
      <c r="DY4906" s="67"/>
      <c r="DZ4906" s="67" t="s">
        <v>5413</v>
      </c>
      <c r="EA4906" s="67"/>
      <c r="EB4906" s="67"/>
      <c r="EC4906" s="67"/>
      <c r="ED4906" s="67"/>
      <c r="EE4906" s="67"/>
      <c r="EF4906" s="67"/>
      <c r="EG4906" s="67"/>
      <c r="EH4906" s="67"/>
      <c r="EI4906" s="67"/>
      <c r="EJ4906" s="67"/>
      <c r="EK4906" s="94"/>
      <c r="EL4906" s="94"/>
      <c r="EM4906" s="67"/>
      <c r="EN4906" s="67"/>
      <c r="EO4906" s="67"/>
      <c r="EP4906" s="67"/>
      <c r="EQ4906" s="67"/>
      <c r="ER4906" s="67"/>
      <c r="ES4906" s="67"/>
      <c r="ET4906" s="67"/>
      <c r="EU4906" s="67"/>
      <c r="EV4906" s="67"/>
      <c r="EW4906" s="67"/>
      <c r="EX4906" s="67"/>
      <c r="EY4906" s="67"/>
      <c r="EZ4906" s="67"/>
      <c r="FA4906" s="67"/>
      <c r="FB4906" s="67"/>
      <c r="FC4906" s="67"/>
      <c r="FD4906" s="67"/>
      <c r="FE4906" s="67"/>
      <c r="FF4906" s="67"/>
      <c r="FG4906" s="67"/>
      <c r="FH4906" s="67"/>
      <c r="FI4906" s="67"/>
      <c r="FJ4906" s="67"/>
      <c r="FK4906" s="67"/>
      <c r="FL4906" s="67"/>
      <c r="FM4906" s="67"/>
      <c r="FN4906" s="67"/>
      <c r="FO4906" s="67"/>
      <c r="FP4906" s="67"/>
      <c r="FQ4906" s="67"/>
      <c r="FR4906" s="67"/>
      <c r="FS4906" s="67"/>
      <c r="FT4906" s="67"/>
      <c r="FU4906" s="67"/>
      <c r="FV4906" s="67"/>
      <c r="FW4906" s="67"/>
      <c r="FX4906" s="67"/>
      <c r="FY4906" s="67"/>
      <c r="FZ4906" s="67"/>
      <c r="GA4906" s="67"/>
      <c r="GB4906" s="67"/>
      <c r="GC4906" s="67"/>
      <c r="GD4906" s="67"/>
      <c r="GE4906" s="67"/>
      <c r="GF4906" s="67"/>
      <c r="GG4906" s="67"/>
      <c r="GH4906" s="67"/>
      <c r="GI4906" s="67"/>
      <c r="GJ4906" s="67"/>
      <c r="GK4906" s="67"/>
      <c r="GL4906" s="67"/>
      <c r="GM4906" s="67"/>
      <c r="GN4906" s="292"/>
      <c r="GO4906" s="292"/>
      <c r="GP4906" s="292" t="s">
        <v>7494</v>
      </c>
      <c r="GQ4906" s="67"/>
      <c r="GR4906" s="67"/>
      <c r="GS4906" s="67"/>
      <c r="GT4906" s="67"/>
      <c r="GU4906" s="67"/>
      <c r="GV4906" s="67"/>
      <c r="GW4906" s="67"/>
      <c r="GX4906" s="67"/>
      <c r="GY4906" s="67"/>
      <c r="GZ4906" s="67"/>
      <c r="HA4906" s="67"/>
      <c r="HB4906" s="67"/>
      <c r="HC4906" s="67"/>
      <c r="HD4906" s="67"/>
      <c r="HE4906" s="67"/>
      <c r="HF4906" s="67"/>
      <c r="HG4906" s="67"/>
      <c r="HH4906" s="67"/>
      <c r="HI4906" s="67"/>
      <c r="HJ4906" s="67"/>
      <c r="HK4906" s="67"/>
      <c r="HL4906" s="67"/>
      <c r="HM4906" s="67"/>
      <c r="HN4906" s="67"/>
      <c r="HO4906" s="67"/>
      <c r="HP4906" s="67"/>
      <c r="HQ4906" s="67"/>
      <c r="HR4906" s="67"/>
      <c r="HS4906" s="67"/>
      <c r="HT4906" s="67"/>
      <c r="HU4906" s="67"/>
      <c r="HV4906" s="67"/>
      <c r="HW4906" s="67"/>
      <c r="HX4906" s="67"/>
      <c r="HY4906" s="67"/>
      <c r="HZ4906" s="67"/>
      <c r="IA4906" s="67"/>
      <c r="IB4906" s="67"/>
      <c r="IC4906" s="67"/>
      <c r="ID4906" s="67"/>
      <c r="IE4906" s="67"/>
      <c r="IF4906" s="67"/>
      <c r="IG4906" s="67"/>
      <c r="IH4906" s="67"/>
      <c r="II4906" s="67"/>
      <c r="IJ4906" s="67"/>
      <c r="IK4906" s="67"/>
      <c r="IL4906" s="67"/>
      <c r="IM4906" s="67"/>
      <c r="IN4906" s="67"/>
      <c r="IO4906" s="67"/>
      <c r="IP4906" s="67"/>
      <c r="IQ4906" s="67"/>
      <c r="IR4906" s="67"/>
      <c r="IS4906" s="67"/>
      <c r="IT4906" s="67"/>
      <c r="IU4906" s="67"/>
      <c r="IV4906" s="67"/>
      <c r="IW4906" s="67"/>
      <c r="IX4906" s="67"/>
      <c r="IY4906" s="67"/>
      <c r="IZ4906" s="67"/>
      <c r="JA4906" s="67"/>
      <c r="JB4906" s="67"/>
      <c r="JC4906" s="67"/>
      <c r="JD4906" s="67"/>
      <c r="JE4906" s="67"/>
      <c r="JF4906" s="67"/>
      <c r="JG4906" s="67"/>
      <c r="JH4906" s="67"/>
      <c r="JI4906" s="67"/>
      <c r="JJ4906" s="67"/>
      <c r="JK4906" s="67"/>
      <c r="JL4906" s="67"/>
      <c r="JM4906" s="67"/>
      <c r="JN4906" s="67"/>
      <c r="JO4906" s="67"/>
      <c r="JP4906" s="67"/>
      <c r="JQ4906" s="67"/>
      <c r="JR4906" s="67"/>
      <c r="JS4906" s="67"/>
      <c r="JT4906" s="67"/>
      <c r="JU4906" s="58"/>
      <c r="JV4906" s="58"/>
      <c r="JW4906" s="58"/>
    </row>
    <row r="4907" spans="1:283" s="23" customFormat="1" x14ac:dyDescent="0.25">
      <c r="A4907" s="55">
        <v>4906</v>
      </c>
      <c r="B4907" s="12" t="s">
        <v>7067</v>
      </c>
      <c r="C4907" s="156">
        <v>229</v>
      </c>
      <c r="D4907" s="58" t="s">
        <v>5408</v>
      </c>
      <c r="E4907" s="160" t="str">
        <f>G4907</f>
        <v>Garcia-Ruizet al 2009_PG site</v>
      </c>
      <c r="F4907" s="160"/>
      <c r="G4907" s="60" t="s">
        <v>4804</v>
      </c>
      <c r="H4907" s="58">
        <v>2009</v>
      </c>
      <c r="I4907" s="58">
        <v>2003</v>
      </c>
      <c r="J4907" s="243" t="s">
        <v>112</v>
      </c>
      <c r="K4907" s="63" t="s">
        <v>5404</v>
      </c>
      <c r="L4907" s="58" t="s">
        <v>4516</v>
      </c>
      <c r="M4907" s="94">
        <v>37.74</v>
      </c>
      <c r="N4907" s="94">
        <v>-3.65</v>
      </c>
      <c r="O4907" s="94">
        <v>816</v>
      </c>
      <c r="P4907" s="58"/>
      <c r="Q4907" s="244">
        <v>16</v>
      </c>
      <c r="R4907" s="58"/>
      <c r="S4907" s="245">
        <v>560</v>
      </c>
      <c r="T4907" s="58"/>
      <c r="U4907" s="58" t="s">
        <v>1688</v>
      </c>
      <c r="V4907" s="244">
        <v>5</v>
      </c>
      <c r="W4907" s="174"/>
      <c r="X4907" s="174"/>
      <c r="Y4907" s="58" t="s">
        <v>5407</v>
      </c>
      <c r="Z4907" s="244" t="s">
        <v>1355</v>
      </c>
      <c r="AA4907" s="245">
        <v>10</v>
      </c>
      <c r="AB4907" s="67"/>
      <c r="AC4907" s="67"/>
      <c r="AD4907" s="94"/>
      <c r="AE4907" s="94">
        <v>24.5</v>
      </c>
      <c r="AF4907" s="94">
        <v>60.1</v>
      </c>
      <c r="AG4907" s="245">
        <v>25.3</v>
      </c>
      <c r="AH4907" s="58" t="s">
        <v>6378</v>
      </c>
      <c r="AI4907" s="169"/>
      <c r="AJ4907" s="94">
        <v>7.9</v>
      </c>
      <c r="AK4907" s="94"/>
      <c r="AL4907" s="58"/>
      <c r="AM4907" s="58"/>
      <c r="AN4907" s="186"/>
      <c r="AO4907" s="185" t="s">
        <v>7494</v>
      </c>
      <c r="AP4907" s="58"/>
      <c r="AQ4907" s="58"/>
      <c r="AR4907" s="58" t="s">
        <v>4638</v>
      </c>
      <c r="AS4907" s="246" t="s">
        <v>3471</v>
      </c>
      <c r="AT4907" s="247">
        <v>0</v>
      </c>
      <c r="AU4907" s="181" t="s">
        <v>7494</v>
      </c>
      <c r="AV4907" s="185" t="s">
        <v>176</v>
      </c>
      <c r="AW4907" s="244">
        <v>0</v>
      </c>
      <c r="AX4907" s="185" t="s">
        <v>176</v>
      </c>
      <c r="AY4907" s="244" t="s">
        <v>176</v>
      </c>
      <c r="AZ4907" s="58"/>
      <c r="BA4907" s="58"/>
      <c r="BB4907" s="58"/>
      <c r="BC4907" s="58"/>
      <c r="BD4907" s="58"/>
      <c r="BE4907" s="236" t="s">
        <v>5178</v>
      </c>
      <c r="BF4907" s="191" t="s">
        <v>479</v>
      </c>
      <c r="BG4907" s="191" t="s">
        <v>479</v>
      </c>
      <c r="BH4907" s="236" t="s">
        <v>5245</v>
      </c>
      <c r="BI4907" s="191" t="s">
        <v>479</v>
      </c>
      <c r="BJ4907" s="58" t="str">
        <f>IF(BE4907=BH4907,"No","yes")</f>
        <v>yes</v>
      </c>
      <c r="BK4907" s="58" t="s">
        <v>6334</v>
      </c>
      <c r="BL4907" s="58"/>
      <c r="BM4907" s="237"/>
      <c r="BN4907" s="244">
        <v>5</v>
      </c>
      <c r="BO4907" s="244">
        <v>5</v>
      </c>
      <c r="BP4907" s="58"/>
      <c r="BQ4907" s="58"/>
      <c r="BR4907" s="58"/>
      <c r="BS4907" s="58"/>
      <c r="BT4907" s="58"/>
      <c r="BU4907" s="58"/>
      <c r="BV4907" s="58" t="s">
        <v>593</v>
      </c>
      <c r="BW4907" s="67"/>
      <c r="BX4907" s="67"/>
      <c r="BY4907" s="67"/>
      <c r="BZ4907" s="67"/>
      <c r="CA4907" s="67"/>
      <c r="CB4907" s="70"/>
      <c r="CC4907" s="70"/>
      <c r="CD4907" s="70"/>
      <c r="CE4907" s="67"/>
      <c r="CF4907" s="67"/>
      <c r="CG4907" s="67"/>
      <c r="CH4907" s="245"/>
      <c r="CI4907" s="245"/>
      <c r="CJ4907" s="67"/>
      <c r="CK4907" s="67"/>
      <c r="CL4907" s="67"/>
      <c r="CM4907" s="242">
        <v>7.9</v>
      </c>
      <c r="CN4907" s="242">
        <v>8.1999999999999993</v>
      </c>
      <c r="CO4907" s="242"/>
      <c r="CP4907" s="242"/>
      <c r="CQ4907" s="242" t="s">
        <v>164</v>
      </c>
      <c r="CR4907" s="242"/>
      <c r="CS4907" s="242"/>
      <c r="CT4907" s="242"/>
      <c r="CU4907" s="242"/>
      <c r="CV4907" s="242"/>
      <c r="CW4907" s="242"/>
      <c r="CX4907" s="242"/>
      <c r="CY4907" s="242"/>
      <c r="CZ4907" s="242"/>
      <c r="DA4907" s="67" t="s">
        <v>5443</v>
      </c>
      <c r="DB4907" s="67"/>
      <c r="DC4907" s="67"/>
      <c r="DD4907" s="67"/>
      <c r="DE4907" s="67"/>
      <c r="DF4907" s="67"/>
      <c r="DG4907" s="67"/>
      <c r="DH4907" s="67"/>
      <c r="DI4907" s="67"/>
      <c r="DJ4907" s="67"/>
      <c r="DK4907" s="67"/>
      <c r="DL4907" s="67"/>
      <c r="DM4907" s="67"/>
      <c r="DN4907" s="67"/>
      <c r="DO4907" s="67"/>
      <c r="DP4907" s="67"/>
      <c r="DQ4907" s="166"/>
      <c r="DR4907" s="166"/>
      <c r="DS4907" s="163"/>
      <c r="DT4907" s="163"/>
      <c r="DU4907" s="67"/>
      <c r="DV4907" s="67"/>
      <c r="DW4907" s="67"/>
      <c r="DX4907" s="67"/>
      <c r="DY4907" s="67"/>
      <c r="DZ4907" s="67"/>
      <c r="EA4907" s="67"/>
      <c r="EB4907" s="67"/>
      <c r="EC4907" s="67"/>
      <c r="ED4907" s="67"/>
      <c r="EE4907" s="67"/>
      <c r="EF4907" s="67"/>
      <c r="EG4907" s="67"/>
      <c r="EH4907" s="67"/>
      <c r="EI4907" s="67"/>
      <c r="EJ4907" s="67"/>
      <c r="EK4907" s="94"/>
      <c r="EL4907" s="94"/>
      <c r="EM4907" s="67"/>
      <c r="EN4907" s="67"/>
      <c r="EO4907" s="67"/>
      <c r="EP4907" s="67"/>
      <c r="EQ4907" s="67"/>
      <c r="ER4907" s="67"/>
      <c r="ES4907" s="67"/>
      <c r="ET4907" s="67"/>
      <c r="EU4907" s="67"/>
      <c r="EV4907" s="67"/>
      <c r="EW4907" s="67"/>
      <c r="EX4907" s="67"/>
      <c r="EY4907" s="67"/>
      <c r="EZ4907" s="67"/>
      <c r="FA4907" s="67"/>
      <c r="FB4907" s="67"/>
      <c r="FC4907" s="67"/>
      <c r="FD4907" s="67"/>
      <c r="FE4907" s="67"/>
      <c r="FF4907" s="67"/>
      <c r="FG4907" s="67"/>
      <c r="FH4907" s="67"/>
      <c r="FI4907" s="67"/>
      <c r="FJ4907" s="67"/>
      <c r="FK4907" s="67"/>
      <c r="FL4907" s="67"/>
      <c r="FM4907" s="67"/>
      <c r="FN4907" s="67"/>
      <c r="FO4907" s="67"/>
      <c r="FP4907" s="67"/>
      <c r="FQ4907" s="67"/>
      <c r="FR4907" s="67"/>
      <c r="FS4907" s="67"/>
      <c r="FT4907" s="67"/>
      <c r="FU4907" s="67"/>
      <c r="FV4907" s="67"/>
      <c r="FW4907" s="67"/>
      <c r="FX4907" s="67"/>
      <c r="FY4907" s="67"/>
      <c r="FZ4907" s="67"/>
      <c r="GA4907" s="67"/>
      <c r="GB4907" s="67"/>
      <c r="GC4907" s="67"/>
      <c r="GD4907" s="67"/>
      <c r="GE4907" s="67"/>
      <c r="GF4907" s="67"/>
      <c r="GG4907" s="67"/>
      <c r="GH4907" s="67"/>
      <c r="GI4907" s="67"/>
      <c r="GJ4907" s="67"/>
      <c r="GK4907" s="67"/>
      <c r="GL4907" s="67"/>
      <c r="GM4907" s="67"/>
      <c r="GN4907" s="292"/>
      <c r="GO4907" s="292"/>
      <c r="GP4907" s="292" t="s">
        <v>7494</v>
      </c>
      <c r="GQ4907" s="67"/>
      <c r="GR4907" s="67"/>
      <c r="GS4907" s="67"/>
      <c r="GT4907" s="67"/>
      <c r="GU4907" s="67"/>
      <c r="GV4907" s="67"/>
      <c r="GW4907" s="67"/>
      <c r="GX4907" s="67"/>
      <c r="GY4907" s="67"/>
      <c r="GZ4907" s="67"/>
      <c r="HA4907" s="67"/>
      <c r="HB4907" s="67"/>
      <c r="HC4907" s="67"/>
      <c r="HD4907" s="67">
        <v>27.3</v>
      </c>
      <c r="HE4907" s="67">
        <v>28.3</v>
      </c>
      <c r="HF4907" s="67">
        <v>4.9000000000000004</v>
      </c>
      <c r="HG4907" s="67">
        <v>3.3</v>
      </c>
      <c r="HH4907" s="67" t="s">
        <v>5415</v>
      </c>
      <c r="HI4907" s="67"/>
      <c r="HJ4907" s="67"/>
      <c r="HK4907" s="67"/>
      <c r="HL4907" s="67"/>
      <c r="HM4907" s="67"/>
      <c r="HN4907" s="67"/>
      <c r="HO4907" s="67"/>
      <c r="HP4907" s="67"/>
      <c r="HQ4907" s="67"/>
      <c r="HR4907" s="67"/>
      <c r="HS4907" s="67"/>
      <c r="HT4907" s="67"/>
      <c r="HU4907" s="67"/>
      <c r="HV4907" s="67"/>
      <c r="HW4907" s="67"/>
      <c r="HX4907" s="67"/>
      <c r="HY4907" s="67"/>
      <c r="HZ4907" s="67"/>
      <c r="IA4907" s="67"/>
      <c r="IB4907" s="67"/>
      <c r="IC4907" s="67"/>
      <c r="ID4907" s="67"/>
      <c r="IE4907" s="67"/>
      <c r="IF4907" s="67"/>
      <c r="IG4907" s="67"/>
      <c r="IH4907" s="67"/>
      <c r="II4907" s="67"/>
      <c r="IJ4907" s="67"/>
      <c r="IK4907" s="67"/>
      <c r="IL4907" s="67"/>
      <c r="IM4907" s="67"/>
      <c r="IN4907" s="67"/>
      <c r="IO4907" s="67"/>
      <c r="IP4907" s="67"/>
      <c r="IQ4907" s="67"/>
      <c r="IR4907" s="67"/>
      <c r="IS4907" s="67"/>
      <c r="IT4907" s="67"/>
      <c r="IU4907" s="67"/>
      <c r="IV4907" s="67"/>
      <c r="IW4907" s="67"/>
      <c r="IX4907" s="67"/>
      <c r="IY4907" s="67"/>
      <c r="IZ4907" s="67"/>
      <c r="JA4907" s="67"/>
      <c r="JB4907" s="67"/>
      <c r="JC4907" s="67"/>
      <c r="JD4907" s="67"/>
      <c r="JE4907" s="67"/>
      <c r="JF4907" s="67"/>
      <c r="JG4907" s="67"/>
      <c r="JH4907" s="67"/>
      <c r="JI4907" s="67"/>
      <c r="JJ4907" s="67"/>
      <c r="JK4907" s="67"/>
      <c r="JL4907" s="67"/>
      <c r="JM4907" s="67"/>
      <c r="JN4907" s="67"/>
      <c r="JO4907" s="67"/>
      <c r="JP4907" s="67"/>
      <c r="JQ4907" s="67"/>
      <c r="JR4907" s="67"/>
      <c r="JS4907" s="67"/>
      <c r="JT4907" s="67"/>
      <c r="JU4907" s="58"/>
      <c r="JV4907" s="58"/>
      <c r="JW4907" s="58"/>
    </row>
    <row r="4908" spans="1:283" s="23" customFormat="1" x14ac:dyDescent="0.25">
      <c r="A4908" s="55">
        <v>4907</v>
      </c>
      <c r="B4908" s="12" t="s">
        <v>7067</v>
      </c>
      <c r="C4908" s="156">
        <v>229</v>
      </c>
      <c r="D4908" s="58" t="s">
        <v>5409</v>
      </c>
      <c r="E4908" s="160" t="str">
        <f>G4908</f>
        <v>Garcia-Ruizet al 2009_PT site</v>
      </c>
      <c r="F4908" s="160"/>
      <c r="G4908" s="60" t="s">
        <v>4802</v>
      </c>
      <c r="H4908" s="58">
        <v>2009</v>
      </c>
      <c r="I4908" s="58">
        <v>2003</v>
      </c>
      <c r="J4908" s="243" t="s">
        <v>112</v>
      </c>
      <c r="K4908" s="63" t="s">
        <v>5405</v>
      </c>
      <c r="L4908" s="58" t="s">
        <v>4516</v>
      </c>
      <c r="M4908" s="94">
        <v>37.799999999999997</v>
      </c>
      <c r="N4908" s="94">
        <v>-3.75</v>
      </c>
      <c r="O4908" s="94">
        <v>487</v>
      </c>
      <c r="P4908" s="58"/>
      <c r="Q4908" s="244">
        <v>16</v>
      </c>
      <c r="R4908" s="58"/>
      <c r="S4908" s="245">
        <v>560</v>
      </c>
      <c r="T4908" s="58"/>
      <c r="U4908" s="58" t="s">
        <v>1688</v>
      </c>
      <c r="V4908" s="244">
        <v>4</v>
      </c>
      <c r="W4908" s="174"/>
      <c r="X4908" s="174"/>
      <c r="Y4908" s="58" t="s">
        <v>5407</v>
      </c>
      <c r="Z4908" s="244" t="s">
        <v>1355</v>
      </c>
      <c r="AA4908" s="245">
        <v>10</v>
      </c>
      <c r="AB4908" s="67"/>
      <c r="AC4908" s="67"/>
      <c r="AD4908" s="94"/>
      <c r="AE4908" s="94">
        <v>16.600000000000001</v>
      </c>
      <c r="AF4908" s="94">
        <v>37.200000000000003</v>
      </c>
      <c r="AG4908" s="245">
        <v>46</v>
      </c>
      <c r="AH4908" s="58" t="s">
        <v>769</v>
      </c>
      <c r="AI4908" s="169"/>
      <c r="AJ4908" s="94">
        <v>4.5999999999999996</v>
      </c>
      <c r="AK4908" s="94"/>
      <c r="AL4908" s="58"/>
      <c r="AM4908" s="58"/>
      <c r="AN4908" s="186"/>
      <c r="AO4908" s="185" t="s">
        <v>7494</v>
      </c>
      <c r="AP4908" s="58"/>
      <c r="AQ4908" s="58"/>
      <c r="AR4908" s="58" t="s">
        <v>4638</v>
      </c>
      <c r="AS4908" s="246" t="s">
        <v>3471</v>
      </c>
      <c r="AT4908" s="247">
        <v>0</v>
      </c>
      <c r="AU4908" s="181" t="s">
        <v>7494</v>
      </c>
      <c r="AV4908" s="185" t="s">
        <v>176</v>
      </c>
      <c r="AW4908" s="244">
        <v>0</v>
      </c>
      <c r="AX4908" s="185" t="s">
        <v>176</v>
      </c>
      <c r="AY4908" s="244" t="s">
        <v>176</v>
      </c>
      <c r="AZ4908" s="58"/>
      <c r="BA4908" s="58"/>
      <c r="BB4908" s="58"/>
      <c r="BC4908" s="58"/>
      <c r="BD4908" s="58"/>
      <c r="BE4908" s="236" t="s">
        <v>5178</v>
      </c>
      <c r="BF4908" s="191" t="s">
        <v>479</v>
      </c>
      <c r="BG4908" s="191" t="s">
        <v>479</v>
      </c>
      <c r="BH4908" s="236" t="s">
        <v>5246</v>
      </c>
      <c r="BI4908" s="191" t="s">
        <v>479</v>
      </c>
      <c r="BJ4908" s="58" t="str">
        <f>IF(BE4908=BH4908,"No","yes")</f>
        <v>yes</v>
      </c>
      <c r="BK4908" s="58" t="s">
        <v>6334</v>
      </c>
      <c r="BL4908" s="58"/>
      <c r="BM4908" s="237"/>
      <c r="BN4908" s="244">
        <v>5</v>
      </c>
      <c r="BO4908" s="244">
        <v>5</v>
      </c>
      <c r="BP4908" s="58"/>
      <c r="BQ4908" s="58"/>
      <c r="BR4908" s="58"/>
      <c r="BS4908" s="58"/>
      <c r="BT4908" s="58"/>
      <c r="BU4908" s="58"/>
      <c r="BV4908" s="58" t="s">
        <v>593</v>
      </c>
      <c r="BW4908" s="67"/>
      <c r="BX4908" s="67"/>
      <c r="BY4908" s="67"/>
      <c r="BZ4908" s="67"/>
      <c r="CA4908" s="67"/>
      <c r="CB4908" s="70"/>
      <c r="CC4908" s="70"/>
      <c r="CD4908" s="70"/>
      <c r="CE4908" s="67"/>
      <c r="CF4908" s="67"/>
      <c r="CG4908" s="67"/>
      <c r="CH4908" s="245"/>
      <c r="CI4908" s="245"/>
      <c r="CJ4908" s="67"/>
      <c r="CK4908" s="67"/>
      <c r="CL4908" s="67"/>
      <c r="CM4908" s="242">
        <v>4.5999999999999996</v>
      </c>
      <c r="CN4908" s="242">
        <v>5.6</v>
      </c>
      <c r="CO4908" s="242"/>
      <c r="CP4908" s="242"/>
      <c r="CQ4908" s="242" t="s">
        <v>164</v>
      </c>
      <c r="CR4908" s="242"/>
      <c r="CS4908" s="242"/>
      <c r="CT4908" s="242"/>
      <c r="CU4908" s="242"/>
      <c r="CV4908" s="242"/>
      <c r="CW4908" s="242"/>
      <c r="CX4908" s="242"/>
      <c r="CY4908" s="242"/>
      <c r="CZ4908" s="242"/>
      <c r="DA4908" s="67" t="s">
        <v>5443</v>
      </c>
      <c r="DB4908" s="67"/>
      <c r="DC4908" s="67"/>
      <c r="DD4908" s="67"/>
      <c r="DE4908" s="67"/>
      <c r="DF4908" s="67"/>
      <c r="DG4908" s="67"/>
      <c r="DH4908" s="67"/>
      <c r="DI4908" s="67"/>
      <c r="DJ4908" s="67"/>
      <c r="DK4908" s="67"/>
      <c r="DL4908" s="67"/>
      <c r="DM4908" s="67"/>
      <c r="DN4908" s="67"/>
      <c r="DO4908" s="67"/>
      <c r="DP4908" s="67"/>
      <c r="DQ4908" s="166"/>
      <c r="DR4908" s="166"/>
      <c r="DS4908" s="163"/>
      <c r="DT4908" s="163"/>
      <c r="DU4908" s="67"/>
      <c r="DV4908" s="67"/>
      <c r="DW4908" s="67"/>
      <c r="DX4908" s="67"/>
      <c r="DY4908" s="67"/>
      <c r="DZ4908" s="67"/>
      <c r="EA4908" s="67"/>
      <c r="EB4908" s="67"/>
      <c r="EC4908" s="67"/>
      <c r="ED4908" s="67"/>
      <c r="EE4908" s="67"/>
      <c r="EF4908" s="67"/>
      <c r="EG4908" s="67"/>
      <c r="EH4908" s="67"/>
      <c r="EI4908" s="67"/>
      <c r="EJ4908" s="67"/>
      <c r="EK4908" s="94"/>
      <c r="EL4908" s="94"/>
      <c r="EM4908" s="67"/>
      <c r="EN4908" s="67"/>
      <c r="EO4908" s="67"/>
      <c r="EP4908" s="67"/>
      <c r="EQ4908" s="67"/>
      <c r="ER4908" s="67"/>
      <c r="ES4908" s="67"/>
      <c r="ET4908" s="67"/>
      <c r="EU4908" s="67"/>
      <c r="EV4908" s="67"/>
      <c r="EW4908" s="67"/>
      <c r="EX4908" s="67"/>
      <c r="EY4908" s="67"/>
      <c r="EZ4908" s="67"/>
      <c r="FA4908" s="67"/>
      <c r="FB4908" s="67"/>
      <c r="FC4908" s="67"/>
      <c r="FD4908" s="67"/>
      <c r="FE4908" s="67"/>
      <c r="FF4908" s="67"/>
      <c r="FG4908" s="67"/>
      <c r="FH4908" s="67"/>
      <c r="FI4908" s="67"/>
      <c r="FJ4908" s="67"/>
      <c r="FK4908" s="67"/>
      <c r="FL4908" s="67"/>
      <c r="FM4908" s="67"/>
      <c r="FN4908" s="67"/>
      <c r="FO4908" s="67"/>
      <c r="FP4908" s="67"/>
      <c r="FQ4908" s="67"/>
      <c r="FR4908" s="67"/>
      <c r="FS4908" s="67"/>
      <c r="FT4908" s="67"/>
      <c r="FU4908" s="67"/>
      <c r="FV4908" s="67"/>
      <c r="FW4908" s="67"/>
      <c r="FX4908" s="67"/>
      <c r="FY4908" s="67"/>
      <c r="FZ4908" s="67"/>
      <c r="GA4908" s="67"/>
      <c r="GB4908" s="67"/>
      <c r="GC4908" s="67"/>
      <c r="GD4908" s="67"/>
      <c r="GE4908" s="67"/>
      <c r="GF4908" s="67"/>
      <c r="GG4908" s="67"/>
      <c r="GH4908" s="67"/>
      <c r="GI4908" s="67"/>
      <c r="GJ4908" s="67"/>
      <c r="GK4908" s="67"/>
      <c r="GL4908" s="67"/>
      <c r="GM4908" s="67"/>
      <c r="GN4908" s="292"/>
      <c r="GO4908" s="292"/>
      <c r="GP4908" s="292" t="s">
        <v>7494</v>
      </c>
      <c r="GQ4908" s="67"/>
      <c r="GR4908" s="67"/>
      <c r="GS4908" s="67"/>
      <c r="GT4908" s="67"/>
      <c r="GU4908" s="67"/>
      <c r="GV4908" s="67"/>
      <c r="GW4908" s="67"/>
      <c r="GX4908" s="67"/>
      <c r="GY4908" s="67"/>
      <c r="GZ4908" s="67"/>
      <c r="HA4908" s="67"/>
      <c r="HB4908" s="67"/>
      <c r="HC4908" s="67"/>
      <c r="HD4908" s="67">
        <v>18.3</v>
      </c>
      <c r="HE4908" s="67">
        <v>16.3</v>
      </c>
      <c r="HF4908" s="67">
        <v>1.7</v>
      </c>
      <c r="HG4908" s="67">
        <v>6.9</v>
      </c>
      <c r="HH4908" s="67" t="s">
        <v>5415</v>
      </c>
      <c r="HI4908" s="67"/>
      <c r="HJ4908" s="67"/>
      <c r="HK4908" s="67"/>
      <c r="HL4908" s="67"/>
      <c r="HM4908" s="67"/>
      <c r="HN4908" s="67"/>
      <c r="HO4908" s="67"/>
      <c r="HP4908" s="67"/>
      <c r="HQ4908" s="67"/>
      <c r="HR4908" s="67"/>
      <c r="HS4908" s="67"/>
      <c r="HT4908" s="67"/>
      <c r="HU4908" s="67"/>
      <c r="HV4908" s="67"/>
      <c r="HW4908" s="67"/>
      <c r="HX4908" s="67"/>
      <c r="HY4908" s="67"/>
      <c r="HZ4908" s="67"/>
      <c r="IA4908" s="67"/>
      <c r="IB4908" s="67"/>
      <c r="IC4908" s="67"/>
      <c r="ID4908" s="67"/>
      <c r="IE4908" s="67"/>
      <c r="IF4908" s="67"/>
      <c r="IG4908" s="67"/>
      <c r="IH4908" s="67"/>
      <c r="II4908" s="67"/>
      <c r="IJ4908" s="67"/>
      <c r="IK4908" s="67"/>
      <c r="IL4908" s="67"/>
      <c r="IM4908" s="67"/>
      <c r="IN4908" s="67"/>
      <c r="IO4908" s="67"/>
      <c r="IP4908" s="67"/>
      <c r="IQ4908" s="67"/>
      <c r="IR4908" s="67"/>
      <c r="IS4908" s="67"/>
      <c r="IT4908" s="67"/>
      <c r="IU4908" s="67"/>
      <c r="IV4908" s="67"/>
      <c r="IW4908" s="67"/>
      <c r="IX4908" s="67"/>
      <c r="IY4908" s="67"/>
      <c r="IZ4908" s="67"/>
      <c r="JA4908" s="67"/>
      <c r="JB4908" s="67"/>
      <c r="JC4908" s="67"/>
      <c r="JD4908" s="67"/>
      <c r="JE4908" s="67"/>
      <c r="JF4908" s="67"/>
      <c r="JG4908" s="67"/>
      <c r="JH4908" s="67"/>
      <c r="JI4908" s="67"/>
      <c r="JJ4908" s="67"/>
      <c r="JK4908" s="67"/>
      <c r="JL4908" s="67"/>
      <c r="JM4908" s="67"/>
      <c r="JN4908" s="67"/>
      <c r="JO4908" s="67"/>
      <c r="JP4908" s="67"/>
      <c r="JQ4908" s="67"/>
      <c r="JR4908" s="67"/>
      <c r="JS4908" s="67"/>
      <c r="JT4908" s="67"/>
      <c r="JU4908" s="58"/>
      <c r="JV4908" s="58"/>
      <c r="JW4908" s="58"/>
    </row>
    <row r="4909" spans="1:283" s="23" customFormat="1" x14ac:dyDescent="0.25">
      <c r="A4909" s="55">
        <v>4908</v>
      </c>
      <c r="B4909" s="12" t="s">
        <v>7067</v>
      </c>
      <c r="C4909" s="156">
        <v>229</v>
      </c>
      <c r="D4909" s="58" t="s">
        <v>5410</v>
      </c>
      <c r="E4909" s="160" t="str">
        <f>G4909</f>
        <v>Garcia-Ruizet al 2009_PS site</v>
      </c>
      <c r="F4909" s="160"/>
      <c r="G4909" s="60" t="s">
        <v>4803</v>
      </c>
      <c r="H4909" s="58">
        <v>2009</v>
      </c>
      <c r="I4909" s="58">
        <v>2003</v>
      </c>
      <c r="J4909" s="243" t="s">
        <v>112</v>
      </c>
      <c r="K4909" s="63" t="s">
        <v>5406</v>
      </c>
      <c r="L4909" s="58" t="s">
        <v>4516</v>
      </c>
      <c r="M4909" s="94">
        <v>37.72</v>
      </c>
      <c r="N4909" s="94">
        <v>-3.76</v>
      </c>
      <c r="O4909" s="94">
        <v>487</v>
      </c>
      <c r="P4909" s="58"/>
      <c r="Q4909" s="244">
        <v>16</v>
      </c>
      <c r="R4909" s="58"/>
      <c r="S4909" s="245">
        <v>560</v>
      </c>
      <c r="T4909" s="58"/>
      <c r="U4909" s="58" t="s">
        <v>1688</v>
      </c>
      <c r="V4909" s="244">
        <v>5</v>
      </c>
      <c r="W4909" s="174"/>
      <c r="X4909" s="174"/>
      <c r="Y4909" s="58" t="s">
        <v>5407</v>
      </c>
      <c r="Z4909" s="244" t="s">
        <v>1355</v>
      </c>
      <c r="AA4909" s="245">
        <v>10</v>
      </c>
      <c r="AB4909" s="67"/>
      <c r="AC4909" s="67"/>
      <c r="AD4909" s="94"/>
      <c r="AE4909" s="94">
        <v>14.4</v>
      </c>
      <c r="AF4909" s="94">
        <v>58.9</v>
      </c>
      <c r="AG4909" s="245">
        <v>26.6</v>
      </c>
      <c r="AH4909" s="58" t="s">
        <v>1022</v>
      </c>
      <c r="AI4909" s="169"/>
      <c r="AJ4909" s="94">
        <v>7.8</v>
      </c>
      <c r="AK4909" s="94"/>
      <c r="AL4909" s="58"/>
      <c r="AM4909" s="58"/>
      <c r="AN4909" s="186"/>
      <c r="AO4909" s="185" t="s">
        <v>7494</v>
      </c>
      <c r="AP4909" s="58"/>
      <c r="AQ4909" s="58"/>
      <c r="AR4909" s="58" t="s">
        <v>4638</v>
      </c>
      <c r="AS4909" s="246" t="s">
        <v>3471</v>
      </c>
      <c r="AT4909" s="247">
        <v>0</v>
      </c>
      <c r="AU4909" s="181" t="s">
        <v>7494</v>
      </c>
      <c r="AV4909" s="185" t="s">
        <v>176</v>
      </c>
      <c r="AW4909" s="244">
        <v>0</v>
      </c>
      <c r="AX4909" s="185" t="s">
        <v>176</v>
      </c>
      <c r="AY4909" s="244" t="s">
        <v>176</v>
      </c>
      <c r="AZ4909" s="58"/>
      <c r="BA4909" s="58"/>
      <c r="BB4909" s="58"/>
      <c r="BC4909" s="58"/>
      <c r="BD4909" s="58"/>
      <c r="BE4909" s="236" t="s">
        <v>5178</v>
      </c>
      <c r="BF4909" s="191" t="s">
        <v>479</v>
      </c>
      <c r="BG4909" s="191" t="s">
        <v>479</v>
      </c>
      <c r="BH4909" s="236" t="s">
        <v>5246</v>
      </c>
      <c r="BI4909" s="191" t="s">
        <v>479</v>
      </c>
      <c r="BJ4909" s="58" t="str">
        <f>IF(BE4909=BH4909,"No","yes")</f>
        <v>yes</v>
      </c>
      <c r="BK4909" s="58" t="s">
        <v>6334</v>
      </c>
      <c r="BL4909" s="58"/>
      <c r="BM4909" s="237"/>
      <c r="BN4909" s="244">
        <v>5</v>
      </c>
      <c r="BO4909" s="244">
        <v>5</v>
      </c>
      <c r="BP4909" s="58"/>
      <c r="BQ4909" s="58"/>
      <c r="BR4909" s="58"/>
      <c r="BS4909" s="58"/>
      <c r="BT4909" s="58"/>
      <c r="BU4909" s="58"/>
      <c r="BV4909" s="58" t="s">
        <v>593</v>
      </c>
      <c r="BW4909" s="67"/>
      <c r="BX4909" s="67"/>
      <c r="BY4909" s="67"/>
      <c r="BZ4909" s="67"/>
      <c r="CA4909" s="67"/>
      <c r="CB4909" s="70"/>
      <c r="CC4909" s="70"/>
      <c r="CD4909" s="70"/>
      <c r="CE4909" s="67"/>
      <c r="CF4909" s="67"/>
      <c r="CG4909" s="67"/>
      <c r="CH4909" s="245"/>
      <c r="CI4909" s="245"/>
      <c r="CJ4909" s="67"/>
      <c r="CK4909" s="67"/>
      <c r="CL4909" s="67"/>
      <c r="CM4909" s="242">
        <v>7.8</v>
      </c>
      <c r="CN4909" s="242">
        <v>8.9</v>
      </c>
      <c r="CO4909" s="242"/>
      <c r="CP4909" s="242"/>
      <c r="CQ4909" s="242" t="s">
        <v>164</v>
      </c>
      <c r="CR4909" s="242"/>
      <c r="CS4909" s="242"/>
      <c r="CT4909" s="242"/>
      <c r="CU4909" s="242"/>
      <c r="CV4909" s="242"/>
      <c r="CW4909" s="242"/>
      <c r="CX4909" s="242"/>
      <c r="CY4909" s="242"/>
      <c r="CZ4909" s="242"/>
      <c r="DA4909" s="67" t="s">
        <v>5443</v>
      </c>
      <c r="DB4909" s="67"/>
      <c r="DC4909" s="67"/>
      <c r="DD4909" s="67"/>
      <c r="DE4909" s="67"/>
      <c r="DF4909" s="67"/>
      <c r="DG4909" s="67"/>
      <c r="DH4909" s="67"/>
      <c r="DI4909" s="67"/>
      <c r="DJ4909" s="67"/>
      <c r="DK4909" s="67"/>
      <c r="DL4909" s="67"/>
      <c r="DM4909" s="67"/>
      <c r="DN4909" s="67"/>
      <c r="DO4909" s="67"/>
      <c r="DP4909" s="67"/>
      <c r="DQ4909" s="166"/>
      <c r="DR4909" s="166"/>
      <c r="DS4909" s="163"/>
      <c r="DT4909" s="163"/>
      <c r="DU4909" s="67"/>
      <c r="DV4909" s="67"/>
      <c r="DW4909" s="67"/>
      <c r="DX4909" s="67"/>
      <c r="DY4909" s="67"/>
      <c r="DZ4909" s="67"/>
      <c r="EA4909" s="67"/>
      <c r="EB4909" s="67"/>
      <c r="EC4909" s="67"/>
      <c r="ED4909" s="67"/>
      <c r="EE4909" s="67"/>
      <c r="EF4909" s="67"/>
      <c r="EG4909" s="67"/>
      <c r="EH4909" s="67"/>
      <c r="EI4909" s="67"/>
      <c r="EJ4909" s="67"/>
      <c r="EK4909" s="94"/>
      <c r="EL4909" s="94"/>
      <c r="EM4909" s="67"/>
      <c r="EN4909" s="67"/>
      <c r="EO4909" s="67"/>
      <c r="EP4909" s="67"/>
      <c r="EQ4909" s="67"/>
      <c r="ER4909" s="67"/>
      <c r="ES4909" s="67"/>
      <c r="ET4909" s="67"/>
      <c r="EU4909" s="67"/>
      <c r="EV4909" s="67"/>
      <c r="EW4909" s="67"/>
      <c r="EX4909" s="67"/>
      <c r="EY4909" s="67"/>
      <c r="EZ4909" s="67"/>
      <c r="FA4909" s="67"/>
      <c r="FB4909" s="67"/>
      <c r="FC4909" s="67"/>
      <c r="FD4909" s="67"/>
      <c r="FE4909" s="67"/>
      <c r="FF4909" s="67"/>
      <c r="FG4909" s="67"/>
      <c r="FH4909" s="67"/>
      <c r="FI4909" s="67"/>
      <c r="FJ4909" s="67"/>
      <c r="FK4909" s="67"/>
      <c r="FL4909" s="67"/>
      <c r="FM4909" s="67"/>
      <c r="FN4909" s="67"/>
      <c r="FO4909" s="67"/>
      <c r="FP4909" s="67"/>
      <c r="FQ4909" s="67"/>
      <c r="FR4909" s="67"/>
      <c r="FS4909" s="67"/>
      <c r="FT4909" s="67"/>
      <c r="FU4909" s="67"/>
      <c r="FV4909" s="67"/>
      <c r="FW4909" s="67"/>
      <c r="FX4909" s="67"/>
      <c r="FY4909" s="67"/>
      <c r="FZ4909" s="67"/>
      <c r="GA4909" s="67"/>
      <c r="GB4909" s="67"/>
      <c r="GC4909" s="67"/>
      <c r="GD4909" s="67"/>
      <c r="GE4909" s="67"/>
      <c r="GF4909" s="67"/>
      <c r="GG4909" s="67"/>
      <c r="GH4909" s="67"/>
      <c r="GI4909" s="67"/>
      <c r="GJ4909" s="67"/>
      <c r="GK4909" s="67"/>
      <c r="GL4909" s="67"/>
      <c r="GM4909" s="67"/>
      <c r="GN4909" s="292"/>
      <c r="GO4909" s="292"/>
      <c r="GP4909" s="292" t="s">
        <v>7494</v>
      </c>
      <c r="GQ4909" s="67"/>
      <c r="GR4909" s="67"/>
      <c r="GS4909" s="67"/>
      <c r="GT4909" s="67"/>
      <c r="GU4909" s="67"/>
      <c r="GV4909" s="67"/>
      <c r="GW4909" s="67"/>
      <c r="GX4909" s="67"/>
      <c r="GY4909" s="67"/>
      <c r="GZ4909" s="67"/>
      <c r="HA4909" s="67"/>
      <c r="HB4909" s="67"/>
      <c r="HC4909" s="67"/>
      <c r="HD4909" s="67">
        <v>11</v>
      </c>
      <c r="HE4909" s="67">
        <v>22</v>
      </c>
      <c r="HF4909" s="67">
        <v>2.1</v>
      </c>
      <c r="HG4909" s="67">
        <v>5.7</v>
      </c>
      <c r="HH4909" s="67" t="s">
        <v>5415</v>
      </c>
      <c r="HI4909" s="67"/>
      <c r="HJ4909" s="67"/>
      <c r="HK4909" s="67"/>
      <c r="HL4909" s="67"/>
      <c r="HM4909" s="67"/>
      <c r="HN4909" s="67"/>
      <c r="HO4909" s="67"/>
      <c r="HP4909" s="67"/>
      <c r="HQ4909" s="67"/>
      <c r="HR4909" s="67"/>
      <c r="HS4909" s="67"/>
      <c r="HT4909" s="67"/>
      <c r="HU4909" s="67"/>
      <c r="HV4909" s="67"/>
      <c r="HW4909" s="67"/>
      <c r="HX4909" s="67"/>
      <c r="HY4909" s="67"/>
      <c r="HZ4909" s="67"/>
      <c r="IA4909" s="67"/>
      <c r="IB4909" s="67"/>
      <c r="IC4909" s="67"/>
      <c r="ID4909" s="67"/>
      <c r="IE4909" s="67"/>
      <c r="IF4909" s="67"/>
      <c r="IG4909" s="67"/>
      <c r="IH4909" s="67"/>
      <c r="II4909" s="67"/>
      <c r="IJ4909" s="67"/>
      <c r="IK4909" s="67"/>
      <c r="IL4909" s="67"/>
      <c r="IM4909" s="67"/>
      <c r="IN4909" s="67"/>
      <c r="IO4909" s="67"/>
      <c r="IP4909" s="67"/>
      <c r="IQ4909" s="67"/>
      <c r="IR4909" s="67"/>
      <c r="IS4909" s="67"/>
      <c r="IT4909" s="67"/>
      <c r="IU4909" s="67"/>
      <c r="IV4909" s="67"/>
      <c r="IW4909" s="67"/>
      <c r="IX4909" s="67"/>
      <c r="IY4909" s="67"/>
      <c r="IZ4909" s="67"/>
      <c r="JA4909" s="67"/>
      <c r="JB4909" s="67"/>
      <c r="JC4909" s="67"/>
      <c r="JD4909" s="67"/>
      <c r="JE4909" s="67"/>
      <c r="JF4909" s="67"/>
      <c r="JG4909" s="67"/>
      <c r="JH4909" s="67"/>
      <c r="JI4909" s="67"/>
      <c r="JJ4909" s="67"/>
      <c r="JK4909" s="67"/>
      <c r="JL4909" s="67"/>
      <c r="JM4909" s="67"/>
      <c r="JN4909" s="67"/>
      <c r="JO4909" s="67"/>
      <c r="JP4909" s="67"/>
      <c r="JQ4909" s="67"/>
      <c r="JR4909" s="67"/>
      <c r="JS4909" s="67"/>
      <c r="JT4909" s="67"/>
      <c r="JU4909" s="58"/>
      <c r="JV4909" s="58"/>
      <c r="JW4909" s="58"/>
    </row>
    <row r="4910" spans="1:283" s="23" customFormat="1" x14ac:dyDescent="0.25">
      <c r="A4910" s="55">
        <v>4909</v>
      </c>
      <c r="B4910" s="12" t="s">
        <v>7067</v>
      </c>
      <c r="C4910" s="156">
        <v>230</v>
      </c>
      <c r="D4910" s="58" t="s">
        <v>4930</v>
      </c>
      <c r="E4910" s="160" t="str">
        <f>G4910</f>
        <v>Gardner &amp; Glancy, 1996_ND East-1</v>
      </c>
      <c r="F4910" s="160"/>
      <c r="G4910" s="60" t="s">
        <v>4799</v>
      </c>
      <c r="H4910" s="58">
        <v>1996</v>
      </c>
      <c r="I4910" s="58" t="s">
        <v>5941</v>
      </c>
      <c r="J4910" s="243" t="s">
        <v>5309</v>
      </c>
      <c r="K4910" s="63" t="s">
        <v>5114</v>
      </c>
      <c r="L4910" s="58" t="s">
        <v>2737</v>
      </c>
      <c r="M4910" s="94">
        <v>47.55</v>
      </c>
      <c r="N4910" s="94">
        <v>-101</v>
      </c>
      <c r="O4910" s="94">
        <v>563</v>
      </c>
      <c r="P4910" s="58"/>
      <c r="Q4910" s="244"/>
      <c r="R4910" s="58"/>
      <c r="S4910" s="245"/>
      <c r="T4910" s="58"/>
      <c r="U4910" s="58" t="s">
        <v>1682</v>
      </c>
      <c r="V4910" s="244">
        <v>10</v>
      </c>
      <c r="W4910" s="174"/>
      <c r="X4910" s="174"/>
      <c r="Y4910" s="58" t="s">
        <v>5940</v>
      </c>
      <c r="Z4910" s="244" t="s">
        <v>1349</v>
      </c>
      <c r="AA4910" s="245">
        <v>15</v>
      </c>
      <c r="AB4910" s="67"/>
      <c r="AC4910" s="67"/>
      <c r="AD4910" s="94"/>
      <c r="AE4910" s="94"/>
      <c r="AF4910" s="94"/>
      <c r="AG4910" s="245"/>
      <c r="AH4910" s="58"/>
      <c r="AI4910" s="169"/>
      <c r="AJ4910" s="94"/>
      <c r="AK4910" s="94">
        <f>101.4*0.58*0.1</f>
        <v>5.8811999999999998</v>
      </c>
      <c r="AL4910" s="58"/>
      <c r="AM4910" s="58"/>
      <c r="AN4910" s="186"/>
      <c r="AO4910" s="185" t="s">
        <v>5150</v>
      </c>
      <c r="AP4910" s="58"/>
      <c r="AQ4910" s="58"/>
      <c r="AR4910" s="58"/>
      <c r="AS4910" s="246" t="s">
        <v>5133</v>
      </c>
      <c r="AT4910" s="247"/>
      <c r="AU4910" s="181" t="s">
        <v>7494</v>
      </c>
      <c r="AV4910" s="185" t="s">
        <v>176</v>
      </c>
      <c r="AW4910" s="244"/>
      <c r="AX4910" s="185" t="s">
        <v>176</v>
      </c>
      <c r="AY4910" s="244"/>
      <c r="AZ4910" s="58"/>
      <c r="BA4910" s="58"/>
      <c r="BB4910" s="58"/>
      <c r="BC4910" s="58"/>
      <c r="BD4910" s="58"/>
      <c r="BE4910" s="236" t="s">
        <v>5153</v>
      </c>
      <c r="BF4910" s="191" t="s">
        <v>176</v>
      </c>
      <c r="BG4910" s="191" t="s">
        <v>176</v>
      </c>
      <c r="BH4910" s="236" t="s">
        <v>5153</v>
      </c>
      <c r="BI4910" s="191" t="s">
        <v>176</v>
      </c>
      <c r="BJ4910" s="58" t="str">
        <f>IF(BE4910=BH4910,"No","yes")</f>
        <v>No</v>
      </c>
      <c r="BK4910" s="58" t="s">
        <v>6334</v>
      </c>
      <c r="BL4910" s="58"/>
      <c r="BM4910" s="237"/>
      <c r="BN4910" s="244">
        <v>3</v>
      </c>
      <c r="BO4910" s="244">
        <v>3</v>
      </c>
      <c r="BP4910" s="58"/>
      <c r="BQ4910" s="58"/>
      <c r="BR4910" s="58"/>
      <c r="BS4910" s="58"/>
      <c r="BT4910" s="58"/>
      <c r="BU4910" s="58"/>
      <c r="BV4910" s="58"/>
      <c r="BW4910" s="67"/>
      <c r="BX4910" s="67"/>
      <c r="BY4910" s="67"/>
      <c r="BZ4910" s="67"/>
      <c r="CA4910" s="67"/>
      <c r="CB4910" s="70"/>
      <c r="CC4910" s="70"/>
      <c r="CD4910" s="70"/>
      <c r="CE4910" s="67"/>
      <c r="CF4910" s="67"/>
      <c r="CG4910" s="67"/>
      <c r="CH4910" s="245">
        <v>1.04</v>
      </c>
      <c r="CI4910" s="245">
        <v>1.02</v>
      </c>
      <c r="CJ4910" s="67">
        <f>0.16*CH4910</f>
        <v>0.16640000000000002</v>
      </c>
      <c r="CK4910" s="67">
        <f>0.16*CI4910</f>
        <v>0.16320000000000001</v>
      </c>
      <c r="CL4910" s="67"/>
      <c r="CM4910" s="242">
        <v>1.8038163387000596</v>
      </c>
      <c r="CN4910" s="242">
        <v>2.697978416172671</v>
      </c>
      <c r="CO4910" s="242">
        <v>5.4114490161001789E-2</v>
      </c>
      <c r="CP4910" s="242">
        <v>0.2967776257789938</v>
      </c>
      <c r="CQ4910" s="242" t="s">
        <v>164</v>
      </c>
      <c r="CR4910" s="242">
        <v>28.13953488372093</v>
      </c>
      <c r="CS4910" s="242">
        <v>41.279069767441861</v>
      </c>
      <c r="CT4910" s="242">
        <v>0.84418604651162787</v>
      </c>
      <c r="CU4910" s="242">
        <v>4.5406976744186052</v>
      </c>
      <c r="CV4910" s="242" t="s">
        <v>5151</v>
      </c>
      <c r="CW4910" s="242"/>
      <c r="CX4910" s="242"/>
      <c r="CY4910" s="242"/>
      <c r="CZ4910" s="242"/>
      <c r="DA4910" s="67" t="s">
        <v>5443</v>
      </c>
      <c r="DB4910" s="67">
        <v>1458</v>
      </c>
      <c r="DC4910" s="67">
        <v>1108</v>
      </c>
      <c r="DD4910" s="67">
        <f>DB4910*0.27</f>
        <v>393.66</v>
      </c>
      <c r="DE4910" s="67">
        <f>DC4910*0.2</f>
        <v>221.60000000000002</v>
      </c>
      <c r="DF4910" s="67" t="s">
        <v>5942</v>
      </c>
      <c r="DG4910" s="67">
        <v>31.3</v>
      </c>
      <c r="DH4910" s="67">
        <v>13.8</v>
      </c>
      <c r="DI4910" s="67">
        <f>0.09*DG4910</f>
        <v>2.8170000000000002</v>
      </c>
      <c r="DJ4910" s="67">
        <f>0.1*DH4910</f>
        <v>1.3800000000000001</v>
      </c>
      <c r="DK4910" s="67" t="s">
        <v>5943</v>
      </c>
      <c r="DL4910" s="67"/>
      <c r="DM4910" s="67"/>
      <c r="DN4910" s="67"/>
      <c r="DO4910" s="67"/>
      <c r="DP4910" s="67"/>
      <c r="DQ4910" s="166">
        <v>8</v>
      </c>
      <c r="DR4910" s="166">
        <v>8</v>
      </c>
      <c r="DS4910" s="163">
        <f>0.02*DQ4910</f>
        <v>0.16</v>
      </c>
      <c r="DT4910" s="163">
        <f>0.02*DR4910</f>
        <v>0.16</v>
      </c>
      <c r="DU4910" s="67"/>
      <c r="DV4910" s="67"/>
      <c r="DW4910" s="67"/>
      <c r="DX4910" s="67"/>
      <c r="DY4910" s="67"/>
      <c r="DZ4910" s="67"/>
      <c r="EA4910" s="67"/>
      <c r="EB4910" s="67"/>
      <c r="EC4910" s="67"/>
      <c r="ED4910" s="67"/>
      <c r="EE4910" s="67"/>
      <c r="EF4910" s="67"/>
      <c r="EG4910" s="67"/>
      <c r="EH4910" s="67"/>
      <c r="EI4910" s="67"/>
      <c r="EJ4910" s="67"/>
      <c r="EK4910" s="94">
        <v>81</v>
      </c>
      <c r="EL4910" s="94">
        <v>81</v>
      </c>
      <c r="EM4910" s="67">
        <f>0.02*EK4910</f>
        <v>1.62</v>
      </c>
      <c r="EN4910" s="67">
        <f>0.06*EL4910</f>
        <v>4.8599999999999994</v>
      </c>
      <c r="EO4910" s="67" t="s">
        <v>5944</v>
      </c>
      <c r="EP4910" s="67"/>
      <c r="EQ4910" s="67"/>
      <c r="ER4910" s="67"/>
      <c r="ES4910" s="67"/>
      <c r="ET4910" s="67"/>
      <c r="EU4910" s="67"/>
      <c r="EV4910" s="67"/>
      <c r="EW4910" s="67"/>
      <c r="EX4910" s="67"/>
      <c r="EY4910" s="67"/>
      <c r="EZ4910" s="67"/>
      <c r="FA4910" s="67"/>
      <c r="FB4910" s="67"/>
      <c r="FC4910" s="67"/>
      <c r="FD4910" s="67"/>
      <c r="FE4910" s="67"/>
      <c r="FF4910" s="67"/>
      <c r="FG4910" s="67"/>
      <c r="FH4910" s="67"/>
      <c r="FI4910" s="67"/>
      <c r="FJ4910" s="67"/>
      <c r="FK4910" s="67"/>
      <c r="FL4910" s="67"/>
      <c r="FM4910" s="67"/>
      <c r="FN4910" s="67"/>
      <c r="FO4910" s="67"/>
      <c r="FP4910" s="67"/>
      <c r="FQ4910" s="67"/>
      <c r="FR4910" s="67"/>
      <c r="FS4910" s="67"/>
      <c r="FT4910" s="67"/>
      <c r="FU4910" s="67"/>
      <c r="FV4910" s="67"/>
      <c r="FW4910" s="67"/>
      <c r="FX4910" s="67"/>
      <c r="FY4910" s="67"/>
      <c r="FZ4910" s="67"/>
      <c r="GA4910" s="67"/>
      <c r="GB4910" s="67"/>
      <c r="GC4910" s="67"/>
      <c r="GD4910" s="67"/>
      <c r="GE4910" s="67"/>
      <c r="GF4910" s="67"/>
      <c r="GG4910" s="67"/>
      <c r="GH4910" s="67"/>
      <c r="GI4910" s="67"/>
      <c r="GJ4910" s="67"/>
      <c r="GK4910" s="67"/>
      <c r="GL4910" s="67"/>
      <c r="GM4910" s="67"/>
      <c r="GN4910" s="292"/>
      <c r="GO4910" s="292"/>
      <c r="GP4910" s="292" t="s">
        <v>7494</v>
      </c>
      <c r="GQ4910" s="67"/>
      <c r="GR4910" s="67"/>
      <c r="GS4910" s="67"/>
      <c r="GT4910" s="67"/>
      <c r="GU4910" s="67"/>
      <c r="GV4910" s="67"/>
      <c r="GW4910" s="67"/>
      <c r="GX4910" s="67"/>
      <c r="GY4910" s="67"/>
      <c r="GZ4910" s="67"/>
      <c r="HA4910" s="67"/>
      <c r="HB4910" s="67"/>
      <c r="HC4910" s="67"/>
      <c r="HD4910" s="67"/>
      <c r="HE4910" s="67"/>
      <c r="HF4910" s="67"/>
      <c r="HG4910" s="67"/>
      <c r="HH4910" s="67"/>
      <c r="HI4910" s="67"/>
      <c r="HJ4910" s="67"/>
      <c r="HK4910" s="67"/>
      <c r="HL4910" s="67"/>
      <c r="HM4910" s="67"/>
      <c r="HN4910" s="67"/>
      <c r="HO4910" s="67"/>
      <c r="HP4910" s="67"/>
      <c r="HQ4910" s="67"/>
      <c r="HR4910" s="67"/>
      <c r="HS4910" s="67"/>
      <c r="HT4910" s="67"/>
      <c r="HU4910" s="67"/>
      <c r="HV4910" s="67"/>
      <c r="HW4910" s="67"/>
      <c r="HX4910" s="67"/>
      <c r="HY4910" s="67"/>
      <c r="HZ4910" s="67"/>
      <c r="IA4910" s="67"/>
      <c r="IB4910" s="67"/>
      <c r="IC4910" s="67"/>
      <c r="ID4910" s="67"/>
      <c r="IE4910" s="67"/>
      <c r="IF4910" s="67"/>
      <c r="IG4910" s="67"/>
      <c r="IH4910" s="67"/>
      <c r="II4910" s="67"/>
      <c r="IJ4910" s="67"/>
      <c r="IK4910" s="67"/>
      <c r="IL4910" s="67"/>
      <c r="IM4910" s="67"/>
      <c r="IN4910" s="67"/>
      <c r="IO4910" s="67"/>
      <c r="IP4910" s="67"/>
      <c r="IQ4910" s="67"/>
      <c r="IR4910" s="67"/>
      <c r="IS4910" s="67"/>
      <c r="IT4910" s="67"/>
      <c r="IU4910" s="67"/>
      <c r="IV4910" s="67"/>
      <c r="IW4910" s="67"/>
      <c r="IX4910" s="67"/>
      <c r="IY4910" s="67"/>
      <c r="IZ4910" s="67"/>
      <c r="JA4910" s="67"/>
      <c r="JB4910" s="67"/>
      <c r="JC4910" s="67"/>
      <c r="JD4910" s="67"/>
      <c r="JE4910" s="67"/>
      <c r="JF4910" s="67"/>
      <c r="JG4910" s="67"/>
      <c r="JH4910" s="67"/>
      <c r="JI4910" s="67"/>
      <c r="JJ4910" s="67"/>
      <c r="JK4910" s="67"/>
      <c r="JL4910" s="67"/>
      <c r="JM4910" s="67"/>
      <c r="JN4910" s="67"/>
      <c r="JO4910" s="67"/>
      <c r="JP4910" s="67"/>
      <c r="JQ4910" s="67"/>
      <c r="JR4910" s="67"/>
      <c r="JS4910" s="67"/>
      <c r="JT4910" s="67"/>
      <c r="JU4910" s="58"/>
      <c r="JV4910" s="58"/>
      <c r="JW4910" s="58"/>
    </row>
    <row r="4911" spans="1:283" s="23" customFormat="1" x14ac:dyDescent="0.25">
      <c r="A4911" s="55">
        <v>4910</v>
      </c>
      <c r="B4911" s="12" t="s">
        <v>7067</v>
      </c>
      <c r="C4911" s="156">
        <v>230</v>
      </c>
      <c r="D4911" s="58" t="s">
        <v>4928</v>
      </c>
      <c r="E4911" s="160" t="str">
        <f>G4911</f>
        <v>Gardner &amp; Glancy, 1996_ND Central-1</v>
      </c>
      <c r="F4911" s="160"/>
      <c r="G4911" s="60" t="s">
        <v>4801</v>
      </c>
      <c r="H4911" s="58">
        <v>1996</v>
      </c>
      <c r="I4911" s="58" t="s">
        <v>5941</v>
      </c>
      <c r="J4911" s="243" t="s">
        <v>5309</v>
      </c>
      <c r="K4911" s="63" t="s">
        <v>5113</v>
      </c>
      <c r="L4911" s="58" t="s">
        <v>2737</v>
      </c>
      <c r="M4911" s="94">
        <v>47.12</v>
      </c>
      <c r="N4911" s="94">
        <v>-101.3</v>
      </c>
      <c r="O4911" s="94">
        <v>550</v>
      </c>
      <c r="P4911" s="58"/>
      <c r="Q4911" s="244"/>
      <c r="R4911" s="58"/>
      <c r="S4911" s="245"/>
      <c r="T4911" s="58"/>
      <c r="U4911" s="58" t="s">
        <v>1682</v>
      </c>
      <c r="V4911" s="244">
        <v>10</v>
      </c>
      <c r="W4911" s="174"/>
      <c r="X4911" s="174"/>
      <c r="Y4911" s="58" t="s">
        <v>5940</v>
      </c>
      <c r="Z4911" s="244" t="s">
        <v>1349</v>
      </c>
      <c r="AA4911" s="245">
        <v>15</v>
      </c>
      <c r="AB4911" s="67"/>
      <c r="AC4911" s="67"/>
      <c r="AD4911" s="94"/>
      <c r="AE4911" s="94"/>
      <c r="AF4911" s="94"/>
      <c r="AG4911" s="245"/>
      <c r="AH4911" s="58"/>
      <c r="AI4911" s="169"/>
      <c r="AJ4911" s="94"/>
      <c r="AK4911" s="94">
        <f>87.9*0.58*0.1</f>
        <v>5.0982000000000003</v>
      </c>
      <c r="AL4911" s="58"/>
      <c r="AM4911" s="58"/>
      <c r="AN4911" s="186"/>
      <c r="AO4911" s="185" t="s">
        <v>5150</v>
      </c>
      <c r="AP4911" s="58"/>
      <c r="AQ4911" s="58"/>
      <c r="AR4911" s="58"/>
      <c r="AS4911" s="246" t="s">
        <v>5133</v>
      </c>
      <c r="AT4911" s="247"/>
      <c r="AU4911" s="181" t="s">
        <v>7494</v>
      </c>
      <c r="AV4911" s="185" t="s">
        <v>176</v>
      </c>
      <c r="AW4911" s="244"/>
      <c r="AX4911" s="185" t="s">
        <v>176</v>
      </c>
      <c r="AY4911" s="244"/>
      <c r="AZ4911" s="58"/>
      <c r="BA4911" s="58"/>
      <c r="BB4911" s="58"/>
      <c r="BC4911" s="58"/>
      <c r="BD4911" s="58"/>
      <c r="BE4911" s="236" t="s">
        <v>5153</v>
      </c>
      <c r="BF4911" s="191" t="s">
        <v>176</v>
      </c>
      <c r="BG4911" s="191" t="s">
        <v>176</v>
      </c>
      <c r="BH4911" s="236" t="s">
        <v>5153</v>
      </c>
      <c r="BI4911" s="191" t="s">
        <v>176</v>
      </c>
      <c r="BJ4911" s="58" t="str">
        <f>IF(BE4911=BH4911,"No","yes")</f>
        <v>No</v>
      </c>
      <c r="BK4911" s="58" t="s">
        <v>6334</v>
      </c>
      <c r="BL4911" s="58"/>
      <c r="BM4911" s="237"/>
      <c r="BN4911" s="244">
        <v>3</v>
      </c>
      <c r="BO4911" s="244">
        <v>3</v>
      </c>
      <c r="BP4911" s="58"/>
      <c r="BQ4911" s="58"/>
      <c r="BR4911" s="58"/>
      <c r="BS4911" s="58"/>
      <c r="BT4911" s="58"/>
      <c r="BU4911" s="58"/>
      <c r="BV4911" s="58"/>
      <c r="BW4911" s="67"/>
      <c r="BX4911" s="67"/>
      <c r="BY4911" s="67"/>
      <c r="BZ4911" s="67"/>
      <c r="CA4911" s="67"/>
      <c r="CB4911" s="70"/>
      <c r="CC4911" s="70"/>
      <c r="CD4911" s="70"/>
      <c r="CE4911" s="67"/>
      <c r="CF4911" s="67"/>
      <c r="CG4911" s="67"/>
      <c r="CH4911" s="245">
        <v>1.113</v>
      </c>
      <c r="CI4911" s="245">
        <v>0.95</v>
      </c>
      <c r="CJ4911" s="67">
        <f>0.07*CH4911</f>
        <v>7.7910000000000007E-2</v>
      </c>
      <c r="CK4911" s="67">
        <f>0.08*CI4911</f>
        <v>7.5999999999999998E-2</v>
      </c>
      <c r="CL4911" s="67"/>
      <c r="CM4911" s="242">
        <v>1.8248048085696178</v>
      </c>
      <c r="CN4911" s="242">
        <v>2.419420644634843</v>
      </c>
      <c r="CO4911" s="242">
        <v>0.10948828851417707</v>
      </c>
      <c r="CP4911" s="242">
        <v>9.6776825785393719E-2</v>
      </c>
      <c r="CQ4911" s="242" t="s">
        <v>164</v>
      </c>
      <c r="CR4911" s="242">
        <v>30.465116279069768</v>
      </c>
      <c r="CS4911" s="242">
        <v>34.47674418604651</v>
      </c>
      <c r="CT4911" s="242">
        <v>1.827906976744186</v>
      </c>
      <c r="CU4911" s="242">
        <v>1.3790697674418604</v>
      </c>
      <c r="CV4911" s="242" t="s">
        <v>5151</v>
      </c>
      <c r="CW4911" s="242"/>
      <c r="CX4911" s="242"/>
      <c r="CY4911" s="242"/>
      <c r="CZ4911" s="242"/>
      <c r="DA4911" s="67" t="s">
        <v>5443</v>
      </c>
      <c r="DB4911" s="67">
        <v>1309</v>
      </c>
      <c r="DC4911" s="67">
        <v>2205</v>
      </c>
      <c r="DD4911" s="67">
        <f>DB4911*0.56</f>
        <v>733.04000000000008</v>
      </c>
      <c r="DE4911" s="67">
        <f>DC4911*0.14</f>
        <v>308.70000000000005</v>
      </c>
      <c r="DF4911" s="67" t="s">
        <v>5942</v>
      </c>
      <c r="DG4911" s="67">
        <v>39.4</v>
      </c>
      <c r="DH4911" s="67">
        <v>27.8</v>
      </c>
      <c r="DI4911" s="67">
        <f>0.19*DG4911</f>
        <v>7.4859999999999998</v>
      </c>
      <c r="DJ4911" s="67">
        <f>0.07*DH4911</f>
        <v>1.9460000000000002</v>
      </c>
      <c r="DK4911" s="67" t="s">
        <v>5943</v>
      </c>
      <c r="DL4911" s="67"/>
      <c r="DM4911" s="67"/>
      <c r="DN4911" s="67"/>
      <c r="DO4911" s="67"/>
      <c r="DP4911" s="67"/>
      <c r="DQ4911" s="166">
        <v>7.2</v>
      </c>
      <c r="DR4911" s="166">
        <v>7.5</v>
      </c>
      <c r="DS4911" s="163">
        <f>0.02*DQ4911</f>
        <v>0.14400000000000002</v>
      </c>
      <c r="DT4911" s="163">
        <f>0.02*DR4911</f>
        <v>0.15</v>
      </c>
      <c r="DU4911" s="67"/>
      <c r="DV4911" s="67"/>
      <c r="DW4911" s="67"/>
      <c r="DX4911" s="67"/>
      <c r="DY4911" s="67"/>
      <c r="DZ4911" s="67"/>
      <c r="EA4911" s="67"/>
      <c r="EB4911" s="67"/>
      <c r="EC4911" s="67"/>
      <c r="ED4911" s="67"/>
      <c r="EE4911" s="67"/>
      <c r="EF4911" s="67"/>
      <c r="EG4911" s="67"/>
      <c r="EH4911" s="67"/>
      <c r="EI4911" s="67"/>
      <c r="EJ4911" s="67"/>
      <c r="EK4911" s="94">
        <v>84</v>
      </c>
      <c r="EL4911" s="94">
        <v>92</v>
      </c>
      <c r="EM4911" s="67">
        <f>0.02*EK4911</f>
        <v>1.68</v>
      </c>
      <c r="EN4911" s="67">
        <f>0.03*EL4911</f>
        <v>2.76</v>
      </c>
      <c r="EO4911" s="67" t="s">
        <v>5944</v>
      </c>
      <c r="EP4911" s="67"/>
      <c r="EQ4911" s="67"/>
      <c r="ER4911" s="67"/>
      <c r="ES4911" s="67"/>
      <c r="ET4911" s="67"/>
      <c r="EU4911" s="67"/>
      <c r="EV4911" s="67"/>
      <c r="EW4911" s="67"/>
      <c r="EX4911" s="67"/>
      <c r="EY4911" s="67"/>
      <c r="EZ4911" s="67"/>
      <c r="FA4911" s="67"/>
      <c r="FB4911" s="67"/>
      <c r="FC4911" s="67"/>
      <c r="FD4911" s="67"/>
      <c r="FE4911" s="67"/>
      <c r="FF4911" s="67"/>
      <c r="FG4911" s="67"/>
      <c r="FH4911" s="67"/>
      <c r="FI4911" s="67"/>
      <c r="FJ4911" s="67"/>
      <c r="FK4911" s="67"/>
      <c r="FL4911" s="67"/>
      <c r="FM4911" s="67"/>
      <c r="FN4911" s="67"/>
      <c r="FO4911" s="67"/>
      <c r="FP4911" s="67"/>
      <c r="FQ4911" s="67"/>
      <c r="FR4911" s="67"/>
      <c r="FS4911" s="67"/>
      <c r="FT4911" s="67"/>
      <c r="FU4911" s="67"/>
      <c r="FV4911" s="67"/>
      <c r="FW4911" s="67"/>
      <c r="FX4911" s="67"/>
      <c r="FY4911" s="67"/>
      <c r="FZ4911" s="67"/>
      <c r="GA4911" s="67"/>
      <c r="GB4911" s="67"/>
      <c r="GC4911" s="67"/>
      <c r="GD4911" s="67"/>
      <c r="GE4911" s="67"/>
      <c r="GF4911" s="67"/>
      <c r="GG4911" s="67"/>
      <c r="GH4911" s="67"/>
      <c r="GI4911" s="67"/>
      <c r="GJ4911" s="67"/>
      <c r="GK4911" s="67"/>
      <c r="GL4911" s="67"/>
      <c r="GM4911" s="67"/>
      <c r="GN4911" s="292"/>
      <c r="GO4911" s="292"/>
      <c r="GP4911" s="292" t="s">
        <v>7494</v>
      </c>
      <c r="GQ4911" s="67"/>
      <c r="GR4911" s="67"/>
      <c r="GS4911" s="67"/>
      <c r="GT4911" s="67"/>
      <c r="GU4911" s="67"/>
      <c r="GV4911" s="67"/>
      <c r="GW4911" s="67"/>
      <c r="GX4911" s="67"/>
      <c r="GY4911" s="67"/>
      <c r="GZ4911" s="67"/>
      <c r="HA4911" s="67"/>
      <c r="HB4911" s="67"/>
      <c r="HC4911" s="67"/>
      <c r="HD4911" s="67"/>
      <c r="HE4911" s="67"/>
      <c r="HF4911" s="67"/>
      <c r="HG4911" s="67"/>
      <c r="HH4911" s="67"/>
      <c r="HI4911" s="67"/>
      <c r="HJ4911" s="67"/>
      <c r="HK4911" s="67"/>
      <c r="HL4911" s="67"/>
      <c r="HM4911" s="67"/>
      <c r="HN4911" s="67"/>
      <c r="HO4911" s="67"/>
      <c r="HP4911" s="67"/>
      <c r="HQ4911" s="67"/>
      <c r="HR4911" s="67"/>
      <c r="HS4911" s="67"/>
      <c r="HT4911" s="67"/>
      <c r="HU4911" s="67"/>
      <c r="HV4911" s="67"/>
      <c r="HW4911" s="67"/>
      <c r="HX4911" s="67"/>
      <c r="HY4911" s="67"/>
      <c r="HZ4911" s="67"/>
      <c r="IA4911" s="67"/>
      <c r="IB4911" s="67"/>
      <c r="IC4911" s="67"/>
      <c r="ID4911" s="67"/>
      <c r="IE4911" s="67"/>
      <c r="IF4911" s="67"/>
      <c r="IG4911" s="67"/>
      <c r="IH4911" s="67"/>
      <c r="II4911" s="67"/>
      <c r="IJ4911" s="67"/>
      <c r="IK4911" s="67"/>
      <c r="IL4911" s="67"/>
      <c r="IM4911" s="67"/>
      <c r="IN4911" s="67"/>
      <c r="IO4911" s="67"/>
      <c r="IP4911" s="67"/>
      <c r="IQ4911" s="67"/>
      <c r="IR4911" s="67"/>
      <c r="IS4911" s="67"/>
      <c r="IT4911" s="67"/>
      <c r="IU4911" s="67"/>
      <c r="IV4911" s="67"/>
      <c r="IW4911" s="67"/>
      <c r="IX4911" s="67"/>
      <c r="IY4911" s="67"/>
      <c r="IZ4911" s="67"/>
      <c r="JA4911" s="67"/>
      <c r="JB4911" s="67"/>
      <c r="JC4911" s="67"/>
      <c r="JD4911" s="67"/>
      <c r="JE4911" s="67"/>
      <c r="JF4911" s="67"/>
      <c r="JG4911" s="67"/>
      <c r="JH4911" s="67"/>
      <c r="JI4911" s="67"/>
      <c r="JJ4911" s="67"/>
      <c r="JK4911" s="67"/>
      <c r="JL4911" s="67"/>
      <c r="JM4911" s="67"/>
      <c r="JN4911" s="67"/>
      <c r="JO4911" s="67"/>
      <c r="JP4911" s="67"/>
      <c r="JQ4911" s="67"/>
      <c r="JR4911" s="67"/>
      <c r="JS4911" s="67"/>
      <c r="JT4911" s="67"/>
      <c r="JU4911" s="58"/>
      <c r="JV4911" s="58"/>
      <c r="JW4911" s="58"/>
    </row>
    <row r="4912" spans="1:283" s="23" customFormat="1" x14ac:dyDescent="0.25">
      <c r="A4912" s="55">
        <v>4911</v>
      </c>
      <c r="B4912" s="12" t="s">
        <v>7067</v>
      </c>
      <c r="C4912" s="156">
        <v>230</v>
      </c>
      <c r="D4912" s="58" t="s">
        <v>4932</v>
      </c>
      <c r="E4912" s="160" t="str">
        <f>G4912</f>
        <v>Gardner &amp; Glancy, 1996_ND West-1</v>
      </c>
      <c r="F4912" s="160"/>
      <c r="G4912" s="60" t="s">
        <v>4797</v>
      </c>
      <c r="H4912" s="58">
        <v>1996</v>
      </c>
      <c r="I4912" s="58" t="s">
        <v>5941</v>
      </c>
      <c r="J4912" s="243" t="s">
        <v>5309</v>
      </c>
      <c r="K4912" s="63" t="s">
        <v>5113</v>
      </c>
      <c r="L4912" s="58" t="s">
        <v>2737</v>
      </c>
      <c r="M4912" s="94">
        <v>47.55</v>
      </c>
      <c r="N4912" s="94">
        <v>-103</v>
      </c>
      <c r="O4912" s="94">
        <v>760</v>
      </c>
      <c r="P4912" s="58"/>
      <c r="Q4912" s="244"/>
      <c r="R4912" s="58"/>
      <c r="S4912" s="245"/>
      <c r="T4912" s="58"/>
      <c r="U4912" s="58" t="s">
        <v>1682</v>
      </c>
      <c r="V4912" s="244">
        <v>10</v>
      </c>
      <c r="W4912" s="174"/>
      <c r="X4912" s="174"/>
      <c r="Y4912" s="58" t="s">
        <v>5940</v>
      </c>
      <c r="Z4912" s="244" t="s">
        <v>1349</v>
      </c>
      <c r="AA4912" s="245">
        <v>15</v>
      </c>
      <c r="AB4912" s="67"/>
      <c r="AC4912" s="67"/>
      <c r="AD4912" s="94"/>
      <c r="AE4912" s="94"/>
      <c r="AF4912" s="94"/>
      <c r="AG4912" s="245"/>
      <c r="AH4912" s="58"/>
      <c r="AI4912" s="169"/>
      <c r="AJ4912" s="94"/>
      <c r="AK4912" s="94">
        <f>63.7*0.58*0.1</f>
        <v>3.6945999999999999</v>
      </c>
      <c r="AL4912" s="58"/>
      <c r="AM4912" s="58"/>
      <c r="AN4912" s="186"/>
      <c r="AO4912" s="185" t="s">
        <v>5150</v>
      </c>
      <c r="AP4912" s="58"/>
      <c r="AQ4912" s="58"/>
      <c r="AR4912" s="58"/>
      <c r="AS4912" s="246" t="s">
        <v>5133</v>
      </c>
      <c r="AT4912" s="247"/>
      <c r="AU4912" s="181" t="s">
        <v>7494</v>
      </c>
      <c r="AV4912" s="185" t="s">
        <v>176</v>
      </c>
      <c r="AW4912" s="244"/>
      <c r="AX4912" s="185" t="s">
        <v>176</v>
      </c>
      <c r="AY4912" s="244"/>
      <c r="AZ4912" s="58"/>
      <c r="BA4912" s="58"/>
      <c r="BB4912" s="58"/>
      <c r="BC4912" s="58"/>
      <c r="BD4912" s="58"/>
      <c r="BE4912" s="236" t="s">
        <v>5153</v>
      </c>
      <c r="BF4912" s="191" t="s">
        <v>176</v>
      </c>
      <c r="BG4912" s="191" t="s">
        <v>176</v>
      </c>
      <c r="BH4912" s="236" t="s">
        <v>5153</v>
      </c>
      <c r="BI4912" s="191" t="s">
        <v>176</v>
      </c>
      <c r="BJ4912" s="58" t="str">
        <f>IF(BE4912=BH4912,"No","yes")</f>
        <v>No</v>
      </c>
      <c r="BK4912" s="58" t="s">
        <v>6334</v>
      </c>
      <c r="BL4912" s="58"/>
      <c r="BM4912" s="237"/>
      <c r="BN4912" s="244">
        <v>3</v>
      </c>
      <c r="BO4912" s="244">
        <v>3</v>
      </c>
      <c r="BP4912" s="58"/>
      <c r="BQ4912" s="58"/>
      <c r="BR4912" s="58"/>
      <c r="BS4912" s="58"/>
      <c r="BT4912" s="58"/>
      <c r="BU4912" s="58"/>
      <c r="BV4912" s="58"/>
      <c r="BW4912" s="67"/>
      <c r="BX4912" s="67"/>
      <c r="BY4912" s="67"/>
      <c r="BZ4912" s="67"/>
      <c r="CA4912" s="67"/>
      <c r="CB4912" s="70"/>
      <c r="CC4912" s="70"/>
      <c r="CD4912" s="70"/>
      <c r="CE4912" s="67"/>
      <c r="CF4912" s="67"/>
      <c r="CG4912" s="67"/>
      <c r="CH4912" s="245">
        <v>1.17</v>
      </c>
      <c r="CI4912" s="245">
        <v>1.02</v>
      </c>
      <c r="CJ4912" s="67">
        <f>0.12*CH4912</f>
        <v>0.1404</v>
      </c>
      <c r="CK4912" s="67">
        <f>0.12*CI4912</f>
        <v>0.12239999999999999</v>
      </c>
      <c r="CL4912" s="67"/>
      <c r="CM4912" s="242">
        <v>1.7789703836215469</v>
      </c>
      <c r="CN4912" s="242">
        <v>1.6377868977048184</v>
      </c>
      <c r="CO4912" s="242">
        <v>0.14231763068972375</v>
      </c>
      <c r="CP4912" s="242">
        <v>0.14740082079343367</v>
      </c>
      <c r="CQ4912" s="242" t="s">
        <v>164</v>
      </c>
      <c r="CR4912" s="242">
        <v>31.220930232558143</v>
      </c>
      <c r="CS4912" s="242">
        <v>25.058139534883722</v>
      </c>
      <c r="CT4912" s="242">
        <v>2.4976744186046513</v>
      </c>
      <c r="CU4912" s="242">
        <v>2.2552325581395349</v>
      </c>
      <c r="CV4912" s="242" t="s">
        <v>5151</v>
      </c>
      <c r="CW4912" s="242"/>
      <c r="CX4912" s="242"/>
      <c r="CY4912" s="242"/>
      <c r="CZ4912" s="242"/>
      <c r="DA4912" s="67" t="s">
        <v>5443</v>
      </c>
      <c r="DB4912" s="67">
        <v>2022</v>
      </c>
      <c r="DC4912" s="67">
        <v>852</v>
      </c>
      <c r="DD4912" s="67">
        <f>DB4912*0.08</f>
        <v>161.76</v>
      </c>
      <c r="DE4912" s="67">
        <f>DC4912*0.34</f>
        <v>289.68</v>
      </c>
      <c r="DF4912" s="67" t="s">
        <v>5942</v>
      </c>
      <c r="DG4912" s="67">
        <v>110.6</v>
      </c>
      <c r="DH4912" s="67">
        <v>43.6</v>
      </c>
      <c r="DI4912" s="67">
        <f>0.06*DG4912</f>
        <v>6.6359999999999992</v>
      </c>
      <c r="DJ4912" s="67">
        <f>0.09*DH4912</f>
        <v>3.9239999999999999</v>
      </c>
      <c r="DK4912" s="67" t="s">
        <v>5943</v>
      </c>
      <c r="DL4912" s="67"/>
      <c r="DM4912" s="67"/>
      <c r="DN4912" s="67"/>
      <c r="DO4912" s="67"/>
      <c r="DP4912" s="67"/>
      <c r="DQ4912" s="166">
        <v>6.9</v>
      </c>
      <c r="DR4912" s="166">
        <v>7.4</v>
      </c>
      <c r="DS4912" s="163">
        <f>0.02*DQ4912</f>
        <v>0.13800000000000001</v>
      </c>
      <c r="DT4912" s="163">
        <f>0.02*DR4912</f>
        <v>0.14800000000000002</v>
      </c>
      <c r="DU4912" s="67"/>
      <c r="DV4912" s="67"/>
      <c r="DW4912" s="67"/>
      <c r="DX4912" s="67"/>
      <c r="DY4912" s="67"/>
      <c r="DZ4912" s="67"/>
      <c r="EA4912" s="67"/>
      <c r="EB4912" s="67"/>
      <c r="EC4912" s="67"/>
      <c r="ED4912" s="67"/>
      <c r="EE4912" s="67"/>
      <c r="EF4912" s="67"/>
      <c r="EG4912" s="67"/>
      <c r="EH4912" s="67"/>
      <c r="EI4912" s="67"/>
      <c r="EJ4912" s="67"/>
      <c r="EK4912" s="94">
        <v>79</v>
      </c>
      <c r="EL4912" s="94">
        <v>79</v>
      </c>
      <c r="EM4912" s="67">
        <f>0.02*EK4912</f>
        <v>1.58</v>
      </c>
      <c r="EN4912" s="67">
        <f>0.02*EL4912</f>
        <v>1.58</v>
      </c>
      <c r="EO4912" s="67" t="s">
        <v>5944</v>
      </c>
      <c r="EP4912" s="67"/>
      <c r="EQ4912" s="67"/>
      <c r="ER4912" s="67"/>
      <c r="ES4912" s="67"/>
      <c r="ET4912" s="67"/>
      <c r="EU4912" s="67"/>
      <c r="EV4912" s="67"/>
      <c r="EW4912" s="67"/>
      <c r="EX4912" s="67"/>
      <c r="EY4912" s="67"/>
      <c r="EZ4912" s="67"/>
      <c r="FA4912" s="67"/>
      <c r="FB4912" s="67"/>
      <c r="FC4912" s="67"/>
      <c r="FD4912" s="67"/>
      <c r="FE4912" s="67"/>
      <c r="FF4912" s="67"/>
      <c r="FG4912" s="67"/>
      <c r="FH4912" s="67"/>
      <c r="FI4912" s="67"/>
      <c r="FJ4912" s="67"/>
      <c r="FK4912" s="67"/>
      <c r="FL4912" s="67"/>
      <c r="FM4912" s="67"/>
      <c r="FN4912" s="67"/>
      <c r="FO4912" s="67"/>
      <c r="FP4912" s="67"/>
      <c r="FQ4912" s="67"/>
      <c r="FR4912" s="67"/>
      <c r="FS4912" s="67"/>
      <c r="FT4912" s="67"/>
      <c r="FU4912" s="67"/>
      <c r="FV4912" s="67"/>
      <c r="FW4912" s="67"/>
      <c r="FX4912" s="67"/>
      <c r="FY4912" s="67"/>
      <c r="FZ4912" s="67"/>
      <c r="GA4912" s="67"/>
      <c r="GB4912" s="67"/>
      <c r="GC4912" s="67"/>
      <c r="GD4912" s="67"/>
      <c r="GE4912" s="67"/>
      <c r="GF4912" s="67"/>
      <c r="GG4912" s="67"/>
      <c r="GH4912" s="67"/>
      <c r="GI4912" s="67"/>
      <c r="GJ4912" s="67"/>
      <c r="GK4912" s="67"/>
      <c r="GL4912" s="67"/>
      <c r="GM4912" s="67"/>
      <c r="GN4912" s="292"/>
      <c r="GO4912" s="292"/>
      <c r="GP4912" s="292" t="s">
        <v>7494</v>
      </c>
      <c r="GQ4912" s="67"/>
      <c r="GR4912" s="67"/>
      <c r="GS4912" s="67"/>
      <c r="GT4912" s="67"/>
      <c r="GU4912" s="67"/>
      <c r="GV4912" s="67"/>
      <c r="GW4912" s="67"/>
      <c r="GX4912" s="67"/>
      <c r="GY4912" s="67"/>
      <c r="GZ4912" s="67"/>
      <c r="HA4912" s="67"/>
      <c r="HB4912" s="67"/>
      <c r="HC4912" s="67"/>
      <c r="HD4912" s="67"/>
      <c r="HE4912" s="67"/>
      <c r="HF4912" s="67"/>
      <c r="HG4912" s="67"/>
      <c r="HH4912" s="67"/>
      <c r="HI4912" s="67"/>
      <c r="HJ4912" s="67"/>
      <c r="HK4912" s="67"/>
      <c r="HL4912" s="67"/>
      <c r="HM4912" s="67"/>
      <c r="HN4912" s="67"/>
      <c r="HO4912" s="67"/>
      <c r="HP4912" s="67"/>
      <c r="HQ4912" s="67"/>
      <c r="HR4912" s="67"/>
      <c r="HS4912" s="67"/>
      <c r="HT4912" s="67"/>
      <c r="HU4912" s="67"/>
      <c r="HV4912" s="67"/>
      <c r="HW4912" s="67"/>
      <c r="HX4912" s="67"/>
      <c r="HY4912" s="67"/>
      <c r="HZ4912" s="67"/>
      <c r="IA4912" s="67"/>
      <c r="IB4912" s="67"/>
      <c r="IC4912" s="67"/>
      <c r="ID4912" s="67"/>
      <c r="IE4912" s="67"/>
      <c r="IF4912" s="67"/>
      <c r="IG4912" s="67"/>
      <c r="IH4912" s="67"/>
      <c r="II4912" s="67"/>
      <c r="IJ4912" s="67"/>
      <c r="IK4912" s="67"/>
      <c r="IL4912" s="67"/>
      <c r="IM4912" s="67"/>
      <c r="IN4912" s="67"/>
      <c r="IO4912" s="67"/>
      <c r="IP4912" s="67"/>
      <c r="IQ4912" s="67"/>
      <c r="IR4912" s="67"/>
      <c r="IS4912" s="67"/>
      <c r="IT4912" s="67"/>
      <c r="IU4912" s="67"/>
      <c r="IV4912" s="67"/>
      <c r="IW4912" s="67"/>
      <c r="IX4912" s="67"/>
      <c r="IY4912" s="67"/>
      <c r="IZ4912" s="67"/>
      <c r="JA4912" s="67"/>
      <c r="JB4912" s="67"/>
      <c r="JC4912" s="67"/>
      <c r="JD4912" s="67"/>
      <c r="JE4912" s="67"/>
      <c r="JF4912" s="67"/>
      <c r="JG4912" s="67"/>
      <c r="JH4912" s="67"/>
      <c r="JI4912" s="67"/>
      <c r="JJ4912" s="67"/>
      <c r="JK4912" s="67"/>
      <c r="JL4912" s="67"/>
      <c r="JM4912" s="67"/>
      <c r="JN4912" s="67"/>
      <c r="JO4912" s="67"/>
      <c r="JP4912" s="67"/>
      <c r="JQ4912" s="67"/>
      <c r="JR4912" s="67"/>
      <c r="JS4912" s="67"/>
      <c r="JT4912" s="67"/>
      <c r="JU4912" s="58"/>
      <c r="JV4912" s="58"/>
      <c r="JW4912" s="58"/>
    </row>
    <row r="4913" spans="1:283" s="23" customFormat="1" x14ac:dyDescent="0.25">
      <c r="A4913" s="55">
        <v>4912</v>
      </c>
      <c r="B4913" s="12" t="s">
        <v>7067</v>
      </c>
      <c r="C4913" s="156">
        <v>230</v>
      </c>
      <c r="D4913" s="58" t="s">
        <v>4931</v>
      </c>
      <c r="E4913" s="160" t="str">
        <f>G4913</f>
        <v>Gardner &amp; Glancy, 1996_ND East-2</v>
      </c>
      <c r="F4913" s="160"/>
      <c r="G4913" s="60" t="s">
        <v>4798</v>
      </c>
      <c r="H4913" s="58">
        <v>1996</v>
      </c>
      <c r="I4913" s="58" t="s">
        <v>5941</v>
      </c>
      <c r="J4913" s="243" t="s">
        <v>5309</v>
      </c>
      <c r="K4913" s="63" t="s">
        <v>5114</v>
      </c>
      <c r="L4913" s="58" t="s">
        <v>2737</v>
      </c>
      <c r="M4913" s="94">
        <v>47.55</v>
      </c>
      <c r="N4913" s="94">
        <v>-101</v>
      </c>
      <c r="O4913" s="94">
        <v>563</v>
      </c>
      <c r="P4913" s="58"/>
      <c r="Q4913" s="244"/>
      <c r="R4913" s="58"/>
      <c r="S4913" s="245"/>
      <c r="T4913" s="58"/>
      <c r="U4913" s="58" t="s">
        <v>1682</v>
      </c>
      <c r="V4913" s="244">
        <v>10</v>
      </c>
      <c r="W4913" s="174"/>
      <c r="X4913" s="174"/>
      <c r="Y4913" s="58" t="s">
        <v>5940</v>
      </c>
      <c r="Z4913" s="244" t="s">
        <v>1349</v>
      </c>
      <c r="AA4913" s="245">
        <v>15</v>
      </c>
      <c r="AB4913" s="67"/>
      <c r="AC4913" s="67"/>
      <c r="AD4913" s="94"/>
      <c r="AE4913" s="94"/>
      <c r="AF4913" s="94"/>
      <c r="AG4913" s="245"/>
      <c r="AH4913" s="58"/>
      <c r="AI4913" s="169"/>
      <c r="AJ4913" s="94"/>
      <c r="AK4913" s="94">
        <f>101.4*0.58*0.1</f>
        <v>5.8811999999999998</v>
      </c>
      <c r="AL4913" s="58"/>
      <c r="AM4913" s="58"/>
      <c r="AN4913" s="186"/>
      <c r="AO4913" s="185" t="s">
        <v>5150</v>
      </c>
      <c r="AP4913" s="58"/>
      <c r="AQ4913" s="58"/>
      <c r="AR4913" s="58"/>
      <c r="AS4913" s="246" t="s">
        <v>5133</v>
      </c>
      <c r="AT4913" s="247"/>
      <c r="AU4913" s="181" t="s">
        <v>7494</v>
      </c>
      <c r="AV4913" s="185" t="s">
        <v>176</v>
      </c>
      <c r="AW4913" s="244"/>
      <c r="AX4913" s="185" t="s">
        <v>176</v>
      </c>
      <c r="AY4913" s="244"/>
      <c r="AZ4913" s="58"/>
      <c r="BA4913" s="58"/>
      <c r="BB4913" s="58"/>
      <c r="BC4913" s="58"/>
      <c r="BD4913" s="58"/>
      <c r="BE4913" s="236" t="s">
        <v>5153</v>
      </c>
      <c r="BF4913" s="191" t="s">
        <v>176</v>
      </c>
      <c r="BG4913" s="191" t="s">
        <v>176</v>
      </c>
      <c r="BH4913" s="236" t="s">
        <v>5153</v>
      </c>
      <c r="BI4913" s="191" t="s">
        <v>176</v>
      </c>
      <c r="BJ4913" s="58" t="str">
        <f>IF(BE4913=BH4913,"No","yes")</f>
        <v>No</v>
      </c>
      <c r="BK4913" s="58" t="s">
        <v>6336</v>
      </c>
      <c r="BL4913" s="58"/>
      <c r="BM4913" s="237"/>
      <c r="BN4913" s="244">
        <v>3</v>
      </c>
      <c r="BO4913" s="244">
        <v>3</v>
      </c>
      <c r="BP4913" s="58"/>
      <c r="BQ4913" s="58"/>
      <c r="BR4913" s="58"/>
      <c r="BS4913" s="58"/>
      <c r="BT4913" s="58"/>
      <c r="BU4913" s="58"/>
      <c r="BV4913" s="58"/>
      <c r="BW4913" s="67"/>
      <c r="BX4913" s="67"/>
      <c r="BY4913" s="67"/>
      <c r="BZ4913" s="67"/>
      <c r="CA4913" s="67"/>
      <c r="CB4913" s="70"/>
      <c r="CC4913" s="70"/>
      <c r="CD4913" s="70"/>
      <c r="CE4913" s="67"/>
      <c r="CF4913" s="67"/>
      <c r="CG4913" s="67"/>
      <c r="CH4913" s="245">
        <v>0.88</v>
      </c>
      <c r="CI4913" s="245">
        <v>1.02</v>
      </c>
      <c r="CJ4913" s="67">
        <f>0.16*CH4913</f>
        <v>0.14080000000000001</v>
      </c>
      <c r="CK4913" s="67">
        <f>0.16*CI4913</f>
        <v>0.16320000000000001</v>
      </c>
      <c r="CL4913" s="67"/>
      <c r="CM4913" s="242">
        <v>3.5676532769556024</v>
      </c>
      <c r="CN4913" s="242">
        <v>2.697978416172671</v>
      </c>
      <c r="CO4913" s="242">
        <v>0.35676532769556024</v>
      </c>
      <c r="CP4913" s="242">
        <v>0.2967776257789938</v>
      </c>
      <c r="CQ4913" s="242" t="s">
        <v>164</v>
      </c>
      <c r="CR4913" s="242">
        <v>47.093023255813954</v>
      </c>
      <c r="CS4913" s="242">
        <v>41.279069767441861</v>
      </c>
      <c r="CT4913" s="242">
        <v>4.7093023255813957</v>
      </c>
      <c r="CU4913" s="242">
        <v>4.5406976744186052</v>
      </c>
      <c r="CV4913" s="242" t="s">
        <v>5151</v>
      </c>
      <c r="CW4913" s="242"/>
      <c r="CX4913" s="242"/>
      <c r="CY4913" s="242"/>
      <c r="CZ4913" s="242"/>
      <c r="DA4913" s="67" t="s">
        <v>5443</v>
      </c>
      <c r="DB4913" s="67">
        <v>1458</v>
      </c>
      <c r="DC4913" s="67">
        <v>2112</v>
      </c>
      <c r="DD4913" s="67">
        <f>DB4913*0.27</f>
        <v>393.66</v>
      </c>
      <c r="DE4913" s="67">
        <f>DC4913*0.25</f>
        <v>528</v>
      </c>
      <c r="DF4913" s="67" t="s">
        <v>5942</v>
      </c>
      <c r="DG4913" s="67">
        <v>31.3</v>
      </c>
      <c r="DH4913" s="67">
        <v>19.8</v>
      </c>
      <c r="DI4913" s="67">
        <f>0.09*DG4913</f>
        <v>2.8170000000000002</v>
      </c>
      <c r="DJ4913" s="67">
        <f>0.08*DH4913</f>
        <v>1.5840000000000001</v>
      </c>
      <c r="DK4913" s="67" t="s">
        <v>5943</v>
      </c>
      <c r="DL4913" s="67"/>
      <c r="DM4913" s="67"/>
      <c r="DN4913" s="67"/>
      <c r="DO4913" s="67"/>
      <c r="DP4913" s="67"/>
      <c r="DQ4913" s="166">
        <v>8</v>
      </c>
      <c r="DR4913" s="166">
        <v>7.6</v>
      </c>
      <c r="DS4913" s="163">
        <f>0.02*DQ4913</f>
        <v>0.16</v>
      </c>
      <c r="DT4913" s="163">
        <f>0.02*DR4913</f>
        <v>0.152</v>
      </c>
      <c r="DU4913" s="67"/>
      <c r="DV4913" s="67"/>
      <c r="DW4913" s="67"/>
      <c r="DX4913" s="67"/>
      <c r="DY4913" s="67"/>
      <c r="DZ4913" s="67"/>
      <c r="EA4913" s="67"/>
      <c r="EB4913" s="67"/>
      <c r="EC4913" s="67"/>
      <c r="ED4913" s="67"/>
      <c r="EE4913" s="67"/>
      <c r="EF4913" s="67"/>
      <c r="EG4913" s="67"/>
      <c r="EH4913" s="67"/>
      <c r="EI4913" s="67"/>
      <c r="EJ4913" s="67"/>
      <c r="EK4913" s="94">
        <v>81</v>
      </c>
      <c r="EL4913" s="94">
        <v>94</v>
      </c>
      <c r="EM4913" s="67">
        <f>0.02*EK4913</f>
        <v>1.62</v>
      </c>
      <c r="EN4913" s="67">
        <f>0.01*EL4913</f>
        <v>0.94000000000000006</v>
      </c>
      <c r="EO4913" s="67" t="s">
        <v>5944</v>
      </c>
      <c r="EP4913" s="67"/>
      <c r="EQ4913" s="67"/>
      <c r="ER4913" s="67"/>
      <c r="ES4913" s="67"/>
      <c r="ET4913" s="67"/>
      <c r="EU4913" s="67"/>
      <c r="EV4913" s="67"/>
      <c r="EW4913" s="67"/>
      <c r="EX4913" s="67"/>
      <c r="EY4913" s="67"/>
      <c r="EZ4913" s="67"/>
      <c r="FA4913" s="67"/>
      <c r="FB4913" s="67"/>
      <c r="FC4913" s="67"/>
      <c r="FD4913" s="67"/>
      <c r="FE4913" s="67"/>
      <c r="FF4913" s="67"/>
      <c r="FG4913" s="67"/>
      <c r="FH4913" s="67"/>
      <c r="FI4913" s="67"/>
      <c r="FJ4913" s="67"/>
      <c r="FK4913" s="67"/>
      <c r="FL4913" s="67"/>
      <c r="FM4913" s="67"/>
      <c r="FN4913" s="67"/>
      <c r="FO4913" s="67"/>
      <c r="FP4913" s="67"/>
      <c r="FQ4913" s="67"/>
      <c r="FR4913" s="67"/>
      <c r="FS4913" s="67"/>
      <c r="FT4913" s="67"/>
      <c r="FU4913" s="67"/>
      <c r="FV4913" s="67"/>
      <c r="FW4913" s="67"/>
      <c r="FX4913" s="67"/>
      <c r="FY4913" s="67"/>
      <c r="FZ4913" s="67"/>
      <c r="GA4913" s="67"/>
      <c r="GB4913" s="67"/>
      <c r="GC4913" s="67"/>
      <c r="GD4913" s="67"/>
      <c r="GE4913" s="67"/>
      <c r="GF4913" s="67"/>
      <c r="GG4913" s="67"/>
      <c r="GH4913" s="67"/>
      <c r="GI4913" s="67"/>
      <c r="GJ4913" s="67"/>
      <c r="GK4913" s="67"/>
      <c r="GL4913" s="67"/>
      <c r="GM4913" s="67"/>
      <c r="GN4913" s="292"/>
      <c r="GO4913" s="292"/>
      <c r="GP4913" s="292" t="s">
        <v>7494</v>
      </c>
      <c r="GQ4913" s="67"/>
      <c r="GR4913" s="67"/>
      <c r="GS4913" s="67"/>
      <c r="GT4913" s="67"/>
      <c r="GU4913" s="67"/>
      <c r="GV4913" s="67"/>
      <c r="GW4913" s="67"/>
      <c r="GX4913" s="67"/>
      <c r="GY4913" s="67"/>
      <c r="GZ4913" s="67"/>
      <c r="HA4913" s="67"/>
      <c r="HB4913" s="67"/>
      <c r="HC4913" s="67"/>
      <c r="HD4913" s="67"/>
      <c r="HE4913" s="67"/>
      <c r="HF4913" s="67"/>
      <c r="HG4913" s="67"/>
      <c r="HH4913" s="67"/>
      <c r="HI4913" s="67"/>
      <c r="HJ4913" s="67"/>
      <c r="HK4913" s="67"/>
      <c r="HL4913" s="67"/>
      <c r="HM4913" s="67"/>
      <c r="HN4913" s="67"/>
      <c r="HO4913" s="67"/>
      <c r="HP4913" s="67"/>
      <c r="HQ4913" s="67"/>
      <c r="HR4913" s="67"/>
      <c r="HS4913" s="67"/>
      <c r="HT4913" s="67"/>
      <c r="HU4913" s="67"/>
      <c r="HV4913" s="67"/>
      <c r="HW4913" s="67"/>
      <c r="HX4913" s="67"/>
      <c r="HY4913" s="67"/>
      <c r="HZ4913" s="67"/>
      <c r="IA4913" s="67"/>
      <c r="IB4913" s="67"/>
      <c r="IC4913" s="67"/>
      <c r="ID4913" s="67"/>
      <c r="IE4913" s="67"/>
      <c r="IF4913" s="67"/>
      <c r="IG4913" s="67"/>
      <c r="IH4913" s="67"/>
      <c r="II4913" s="67"/>
      <c r="IJ4913" s="67"/>
      <c r="IK4913" s="67"/>
      <c r="IL4913" s="67"/>
      <c r="IM4913" s="67"/>
      <c r="IN4913" s="67"/>
      <c r="IO4913" s="67"/>
      <c r="IP4913" s="67"/>
      <c r="IQ4913" s="67"/>
      <c r="IR4913" s="67"/>
      <c r="IS4913" s="67"/>
      <c r="IT4913" s="67"/>
      <c r="IU4913" s="67"/>
      <c r="IV4913" s="67"/>
      <c r="IW4913" s="67"/>
      <c r="IX4913" s="67"/>
      <c r="IY4913" s="67"/>
      <c r="IZ4913" s="67"/>
      <c r="JA4913" s="67"/>
      <c r="JB4913" s="67"/>
      <c r="JC4913" s="67"/>
      <c r="JD4913" s="67"/>
      <c r="JE4913" s="67"/>
      <c r="JF4913" s="67"/>
      <c r="JG4913" s="67"/>
      <c r="JH4913" s="67"/>
      <c r="JI4913" s="67"/>
      <c r="JJ4913" s="67"/>
      <c r="JK4913" s="67"/>
      <c r="JL4913" s="67"/>
      <c r="JM4913" s="67"/>
      <c r="JN4913" s="67"/>
      <c r="JO4913" s="67"/>
      <c r="JP4913" s="67"/>
      <c r="JQ4913" s="67"/>
      <c r="JR4913" s="67"/>
      <c r="JS4913" s="67"/>
      <c r="JT4913" s="67"/>
      <c r="JU4913" s="58"/>
      <c r="JV4913" s="58"/>
      <c r="JW4913" s="58"/>
    </row>
    <row r="4914" spans="1:283" s="23" customFormat="1" x14ac:dyDescent="0.25">
      <c r="A4914" s="55">
        <v>4913</v>
      </c>
      <c r="B4914" s="12" t="s">
        <v>7067</v>
      </c>
      <c r="C4914" s="156">
        <v>230</v>
      </c>
      <c r="D4914" s="58" t="s">
        <v>4929</v>
      </c>
      <c r="E4914" s="160" t="str">
        <f>G4914</f>
        <v>Gardner &amp; Glancy, 1996_ND Central-2</v>
      </c>
      <c r="F4914" s="160"/>
      <c r="G4914" s="60" t="s">
        <v>4800</v>
      </c>
      <c r="H4914" s="58">
        <v>1996</v>
      </c>
      <c r="I4914" s="58" t="s">
        <v>5941</v>
      </c>
      <c r="J4914" s="243" t="s">
        <v>5309</v>
      </c>
      <c r="K4914" s="63" t="s">
        <v>5113</v>
      </c>
      <c r="L4914" s="58" t="s">
        <v>2737</v>
      </c>
      <c r="M4914" s="94">
        <v>47.12</v>
      </c>
      <c r="N4914" s="94">
        <v>-101.3</v>
      </c>
      <c r="O4914" s="94">
        <v>550</v>
      </c>
      <c r="P4914" s="58"/>
      <c r="Q4914" s="244"/>
      <c r="R4914" s="58"/>
      <c r="S4914" s="245"/>
      <c r="T4914" s="58"/>
      <c r="U4914" s="58" t="s">
        <v>1682</v>
      </c>
      <c r="V4914" s="244">
        <v>10</v>
      </c>
      <c r="W4914" s="174"/>
      <c r="X4914" s="174"/>
      <c r="Y4914" s="58" t="s">
        <v>5940</v>
      </c>
      <c r="Z4914" s="244" t="s">
        <v>1349</v>
      </c>
      <c r="AA4914" s="245">
        <v>15</v>
      </c>
      <c r="AB4914" s="67"/>
      <c r="AC4914" s="67"/>
      <c r="AD4914" s="94"/>
      <c r="AE4914" s="94"/>
      <c r="AF4914" s="94"/>
      <c r="AG4914" s="245"/>
      <c r="AH4914" s="58"/>
      <c r="AI4914" s="169"/>
      <c r="AJ4914" s="94"/>
      <c r="AK4914" s="94">
        <f>87.9*0.58*0.1</f>
        <v>5.0982000000000003</v>
      </c>
      <c r="AL4914" s="58"/>
      <c r="AM4914" s="58"/>
      <c r="AN4914" s="186"/>
      <c r="AO4914" s="185" t="s">
        <v>5150</v>
      </c>
      <c r="AP4914" s="58"/>
      <c r="AQ4914" s="58"/>
      <c r="AR4914" s="58"/>
      <c r="AS4914" s="246" t="s">
        <v>5133</v>
      </c>
      <c r="AT4914" s="247"/>
      <c r="AU4914" s="181" t="s">
        <v>7494</v>
      </c>
      <c r="AV4914" s="185" t="s">
        <v>176</v>
      </c>
      <c r="AW4914" s="244"/>
      <c r="AX4914" s="185" t="s">
        <v>176</v>
      </c>
      <c r="AY4914" s="244"/>
      <c r="AZ4914" s="58"/>
      <c r="BA4914" s="58"/>
      <c r="BB4914" s="58"/>
      <c r="BC4914" s="58"/>
      <c r="BD4914" s="58"/>
      <c r="BE4914" s="236" t="s">
        <v>5153</v>
      </c>
      <c r="BF4914" s="191" t="s">
        <v>176</v>
      </c>
      <c r="BG4914" s="191" t="s">
        <v>176</v>
      </c>
      <c r="BH4914" s="236" t="s">
        <v>5153</v>
      </c>
      <c r="BI4914" s="191" t="s">
        <v>176</v>
      </c>
      <c r="BJ4914" s="58" t="str">
        <f>IF(BE4914=BH4914,"No","yes")</f>
        <v>No</v>
      </c>
      <c r="BK4914" s="58" t="s">
        <v>6336</v>
      </c>
      <c r="BL4914" s="58"/>
      <c r="BM4914" s="237"/>
      <c r="BN4914" s="244">
        <v>3</v>
      </c>
      <c r="BO4914" s="244">
        <v>3</v>
      </c>
      <c r="BP4914" s="58"/>
      <c r="BQ4914" s="58"/>
      <c r="BR4914" s="58"/>
      <c r="BS4914" s="58"/>
      <c r="BT4914" s="58"/>
      <c r="BU4914" s="58"/>
      <c r="BV4914" s="58"/>
      <c r="BW4914" s="67"/>
      <c r="BX4914" s="67"/>
      <c r="BY4914" s="67"/>
      <c r="BZ4914" s="67"/>
      <c r="CA4914" s="67"/>
      <c r="CB4914" s="70"/>
      <c r="CC4914" s="70"/>
      <c r="CD4914" s="70"/>
      <c r="CE4914" s="67"/>
      <c r="CF4914" s="67"/>
      <c r="CG4914" s="67"/>
      <c r="CH4914" s="245">
        <v>0.9</v>
      </c>
      <c r="CI4914" s="245">
        <v>0.95</v>
      </c>
      <c r="CJ4914" s="67">
        <f>0.07*CH4914</f>
        <v>6.3000000000000014E-2</v>
      </c>
      <c r="CK4914" s="67">
        <f>0.08*CI4914</f>
        <v>7.5999999999999998E-2</v>
      </c>
      <c r="CL4914" s="67"/>
      <c r="CM4914" s="242">
        <v>3.1007751937984498</v>
      </c>
      <c r="CN4914" s="242">
        <v>2.419420644634843</v>
      </c>
      <c r="CO4914" s="242">
        <v>0.18604651162790697</v>
      </c>
      <c r="CP4914" s="242">
        <v>9.6776825785393719E-2</v>
      </c>
      <c r="CQ4914" s="242" t="s">
        <v>164</v>
      </c>
      <c r="CR4914" s="242">
        <v>41.860465116279073</v>
      </c>
      <c r="CS4914" s="242">
        <v>34.47674418604651</v>
      </c>
      <c r="CT4914" s="242">
        <v>2.5116279069767442</v>
      </c>
      <c r="CU4914" s="242">
        <v>1.3790697674418604</v>
      </c>
      <c r="CV4914" s="242" t="s">
        <v>5151</v>
      </c>
      <c r="CW4914" s="242"/>
      <c r="CX4914" s="242"/>
      <c r="CY4914" s="242"/>
      <c r="CZ4914" s="242"/>
      <c r="DA4914" s="67" t="s">
        <v>5443</v>
      </c>
      <c r="DB4914" s="67">
        <v>1309</v>
      </c>
      <c r="DC4914" s="67">
        <v>1075</v>
      </c>
      <c r="DD4914" s="67">
        <f>DB4914*0.56</f>
        <v>733.04000000000008</v>
      </c>
      <c r="DE4914" s="67">
        <f>DC4914*0.35</f>
        <v>376.25</v>
      </c>
      <c r="DF4914" s="67" t="s">
        <v>5942</v>
      </c>
      <c r="DG4914" s="67">
        <v>39.4</v>
      </c>
      <c r="DH4914" s="67">
        <v>41.6</v>
      </c>
      <c r="DI4914" s="67">
        <f>0.19*DG4914</f>
        <v>7.4859999999999998</v>
      </c>
      <c r="DJ4914" s="67">
        <f>0.021*DH4914</f>
        <v>0.87360000000000004</v>
      </c>
      <c r="DK4914" s="67" t="s">
        <v>5943</v>
      </c>
      <c r="DL4914" s="67"/>
      <c r="DM4914" s="67"/>
      <c r="DN4914" s="67"/>
      <c r="DO4914" s="67"/>
      <c r="DP4914" s="67"/>
      <c r="DQ4914" s="166">
        <v>7.2</v>
      </c>
      <c r="DR4914" s="166">
        <v>7</v>
      </c>
      <c r="DS4914" s="163">
        <f>0.02*DQ4914</f>
        <v>0.14400000000000002</v>
      </c>
      <c r="DT4914" s="163">
        <f>0.02*DR4914</f>
        <v>0.14000000000000001</v>
      </c>
      <c r="DU4914" s="67"/>
      <c r="DV4914" s="67"/>
      <c r="DW4914" s="67"/>
      <c r="DX4914" s="67"/>
      <c r="DY4914" s="67"/>
      <c r="DZ4914" s="67"/>
      <c r="EA4914" s="67"/>
      <c r="EB4914" s="67"/>
      <c r="EC4914" s="67"/>
      <c r="ED4914" s="67"/>
      <c r="EE4914" s="67"/>
      <c r="EF4914" s="67"/>
      <c r="EG4914" s="67"/>
      <c r="EH4914" s="67"/>
      <c r="EI4914" s="67"/>
      <c r="EJ4914" s="67"/>
      <c r="EK4914" s="94">
        <v>84</v>
      </c>
      <c r="EL4914" s="94">
        <v>95</v>
      </c>
      <c r="EM4914" s="67">
        <f>0.02*EK4914</f>
        <v>1.68</v>
      </c>
      <c r="EN4914" s="67">
        <f>0.01*EL4914</f>
        <v>0.95000000000000007</v>
      </c>
      <c r="EO4914" s="67" t="s">
        <v>5944</v>
      </c>
      <c r="EP4914" s="67"/>
      <c r="EQ4914" s="67"/>
      <c r="ER4914" s="67"/>
      <c r="ES4914" s="67"/>
      <c r="ET4914" s="67"/>
      <c r="EU4914" s="67"/>
      <c r="EV4914" s="67"/>
      <c r="EW4914" s="67"/>
      <c r="EX4914" s="67"/>
      <c r="EY4914" s="67"/>
      <c r="EZ4914" s="67"/>
      <c r="FA4914" s="67"/>
      <c r="FB4914" s="67"/>
      <c r="FC4914" s="67"/>
      <c r="FD4914" s="67"/>
      <c r="FE4914" s="67"/>
      <c r="FF4914" s="67"/>
      <c r="FG4914" s="67"/>
      <c r="FH4914" s="67"/>
      <c r="FI4914" s="67"/>
      <c r="FJ4914" s="67"/>
      <c r="FK4914" s="67"/>
      <c r="FL4914" s="67"/>
      <c r="FM4914" s="67"/>
      <c r="FN4914" s="67"/>
      <c r="FO4914" s="67"/>
      <c r="FP4914" s="67"/>
      <c r="FQ4914" s="67"/>
      <c r="FR4914" s="67"/>
      <c r="FS4914" s="67"/>
      <c r="FT4914" s="67"/>
      <c r="FU4914" s="67"/>
      <c r="FV4914" s="67"/>
      <c r="FW4914" s="67"/>
      <c r="FX4914" s="67"/>
      <c r="FY4914" s="67"/>
      <c r="FZ4914" s="67"/>
      <c r="GA4914" s="67"/>
      <c r="GB4914" s="67"/>
      <c r="GC4914" s="67"/>
      <c r="GD4914" s="67"/>
      <c r="GE4914" s="67"/>
      <c r="GF4914" s="67"/>
      <c r="GG4914" s="67"/>
      <c r="GH4914" s="67"/>
      <c r="GI4914" s="67"/>
      <c r="GJ4914" s="67"/>
      <c r="GK4914" s="67"/>
      <c r="GL4914" s="67"/>
      <c r="GM4914" s="67"/>
      <c r="GN4914" s="292"/>
      <c r="GO4914" s="292"/>
      <c r="GP4914" s="292" t="s">
        <v>7494</v>
      </c>
      <c r="GQ4914" s="67"/>
      <c r="GR4914" s="67"/>
      <c r="GS4914" s="67"/>
      <c r="GT4914" s="67"/>
      <c r="GU4914" s="67"/>
      <c r="GV4914" s="67"/>
      <c r="GW4914" s="67"/>
      <c r="GX4914" s="67"/>
      <c r="GY4914" s="67"/>
      <c r="GZ4914" s="67"/>
      <c r="HA4914" s="67"/>
      <c r="HB4914" s="67"/>
      <c r="HC4914" s="67"/>
      <c r="HD4914" s="67"/>
      <c r="HE4914" s="67"/>
      <c r="HF4914" s="67"/>
      <c r="HG4914" s="67"/>
      <c r="HH4914" s="67"/>
      <c r="HI4914" s="67"/>
      <c r="HJ4914" s="67"/>
      <c r="HK4914" s="67"/>
      <c r="HL4914" s="67"/>
      <c r="HM4914" s="67"/>
      <c r="HN4914" s="67"/>
      <c r="HO4914" s="67"/>
      <c r="HP4914" s="67"/>
      <c r="HQ4914" s="67"/>
      <c r="HR4914" s="67"/>
      <c r="HS4914" s="67"/>
      <c r="HT4914" s="67"/>
      <c r="HU4914" s="67"/>
      <c r="HV4914" s="67"/>
      <c r="HW4914" s="67"/>
      <c r="HX4914" s="67"/>
      <c r="HY4914" s="67"/>
      <c r="HZ4914" s="67"/>
      <c r="IA4914" s="67"/>
      <c r="IB4914" s="67"/>
      <c r="IC4914" s="67"/>
      <c r="ID4914" s="67"/>
      <c r="IE4914" s="67"/>
      <c r="IF4914" s="67"/>
      <c r="IG4914" s="67"/>
      <c r="IH4914" s="67"/>
      <c r="II4914" s="67"/>
      <c r="IJ4914" s="67"/>
      <c r="IK4914" s="67"/>
      <c r="IL4914" s="67"/>
      <c r="IM4914" s="67"/>
      <c r="IN4914" s="67"/>
      <c r="IO4914" s="67"/>
      <c r="IP4914" s="67"/>
      <c r="IQ4914" s="67"/>
      <c r="IR4914" s="67"/>
      <c r="IS4914" s="67"/>
      <c r="IT4914" s="67"/>
      <c r="IU4914" s="67"/>
      <c r="IV4914" s="67"/>
      <c r="IW4914" s="67"/>
      <c r="IX4914" s="67"/>
      <c r="IY4914" s="67"/>
      <c r="IZ4914" s="67"/>
      <c r="JA4914" s="67"/>
      <c r="JB4914" s="67"/>
      <c r="JC4914" s="67"/>
      <c r="JD4914" s="67"/>
      <c r="JE4914" s="67"/>
      <c r="JF4914" s="67"/>
      <c r="JG4914" s="67"/>
      <c r="JH4914" s="67"/>
      <c r="JI4914" s="67"/>
      <c r="JJ4914" s="67"/>
      <c r="JK4914" s="67"/>
      <c r="JL4914" s="67"/>
      <c r="JM4914" s="67"/>
      <c r="JN4914" s="67"/>
      <c r="JO4914" s="67"/>
      <c r="JP4914" s="67"/>
      <c r="JQ4914" s="67"/>
      <c r="JR4914" s="67"/>
      <c r="JS4914" s="67"/>
      <c r="JT4914" s="67"/>
      <c r="JU4914" s="58"/>
      <c r="JV4914" s="58"/>
      <c r="JW4914" s="58"/>
    </row>
    <row r="4915" spans="1:283" s="23" customFormat="1" x14ac:dyDescent="0.25">
      <c r="A4915" s="55">
        <v>4914</v>
      </c>
      <c r="B4915" s="12" t="s">
        <v>7067</v>
      </c>
      <c r="C4915" s="156">
        <v>230</v>
      </c>
      <c r="D4915" s="58" t="s">
        <v>4933</v>
      </c>
      <c r="E4915" s="160" t="str">
        <f>G4915</f>
        <v>Gardner &amp; Glancy, 1996_ND West-2</v>
      </c>
      <c r="F4915" s="160"/>
      <c r="G4915" s="60" t="s">
        <v>4796</v>
      </c>
      <c r="H4915" s="58">
        <v>1996</v>
      </c>
      <c r="I4915" s="58" t="s">
        <v>5941</v>
      </c>
      <c r="J4915" s="243" t="s">
        <v>5309</v>
      </c>
      <c r="K4915" s="63" t="s">
        <v>5113</v>
      </c>
      <c r="L4915" s="58" t="s">
        <v>2737</v>
      </c>
      <c r="M4915" s="94">
        <v>47.55</v>
      </c>
      <c r="N4915" s="94">
        <v>-103</v>
      </c>
      <c r="O4915" s="94">
        <v>760</v>
      </c>
      <c r="P4915" s="58"/>
      <c r="Q4915" s="244"/>
      <c r="R4915" s="58"/>
      <c r="S4915" s="245"/>
      <c r="T4915" s="58"/>
      <c r="U4915" s="58" t="s">
        <v>1682</v>
      </c>
      <c r="V4915" s="244">
        <v>10</v>
      </c>
      <c r="W4915" s="174"/>
      <c r="X4915" s="174"/>
      <c r="Y4915" s="58" t="s">
        <v>5940</v>
      </c>
      <c r="Z4915" s="244" t="s">
        <v>1349</v>
      </c>
      <c r="AA4915" s="245">
        <v>15</v>
      </c>
      <c r="AB4915" s="67"/>
      <c r="AC4915" s="67"/>
      <c r="AD4915" s="94"/>
      <c r="AE4915" s="94"/>
      <c r="AF4915" s="94"/>
      <c r="AG4915" s="245"/>
      <c r="AH4915" s="58"/>
      <c r="AI4915" s="169"/>
      <c r="AJ4915" s="94"/>
      <c r="AK4915" s="94">
        <f>63.7*0.58*0.1</f>
        <v>3.6945999999999999</v>
      </c>
      <c r="AL4915" s="58"/>
      <c r="AM4915" s="58"/>
      <c r="AN4915" s="186"/>
      <c r="AO4915" s="185" t="s">
        <v>5150</v>
      </c>
      <c r="AP4915" s="58"/>
      <c r="AQ4915" s="58"/>
      <c r="AR4915" s="58"/>
      <c r="AS4915" s="246" t="s">
        <v>5133</v>
      </c>
      <c r="AT4915" s="247"/>
      <c r="AU4915" s="181" t="s">
        <v>7494</v>
      </c>
      <c r="AV4915" s="185" t="s">
        <v>176</v>
      </c>
      <c r="AW4915" s="244"/>
      <c r="AX4915" s="185" t="s">
        <v>176</v>
      </c>
      <c r="AY4915" s="244"/>
      <c r="AZ4915" s="58"/>
      <c r="BA4915" s="58"/>
      <c r="BB4915" s="58"/>
      <c r="BC4915" s="58"/>
      <c r="BD4915" s="58"/>
      <c r="BE4915" s="236" t="s">
        <v>5153</v>
      </c>
      <c r="BF4915" s="191" t="s">
        <v>176</v>
      </c>
      <c r="BG4915" s="191" t="s">
        <v>176</v>
      </c>
      <c r="BH4915" s="236" t="s">
        <v>5153</v>
      </c>
      <c r="BI4915" s="191" t="s">
        <v>176</v>
      </c>
      <c r="BJ4915" s="58" t="str">
        <f>IF(BE4915=BH4915,"No","yes")</f>
        <v>No</v>
      </c>
      <c r="BK4915" s="58" t="s">
        <v>6336</v>
      </c>
      <c r="BL4915" s="58"/>
      <c r="BM4915" s="237"/>
      <c r="BN4915" s="244">
        <v>3</v>
      </c>
      <c r="BO4915" s="244">
        <v>3</v>
      </c>
      <c r="BP4915" s="58"/>
      <c r="BQ4915" s="58"/>
      <c r="BR4915" s="58"/>
      <c r="BS4915" s="58"/>
      <c r="BT4915" s="58"/>
      <c r="BU4915" s="58"/>
      <c r="BV4915" s="58"/>
      <c r="BW4915" s="67"/>
      <c r="BX4915" s="67"/>
      <c r="BY4915" s="67"/>
      <c r="BZ4915" s="67"/>
      <c r="CA4915" s="67"/>
      <c r="CB4915" s="70"/>
      <c r="CC4915" s="70"/>
      <c r="CD4915" s="70"/>
      <c r="CE4915" s="67"/>
      <c r="CF4915" s="67"/>
      <c r="CG4915" s="67"/>
      <c r="CH4915" s="245">
        <v>1.07</v>
      </c>
      <c r="CI4915" s="245">
        <v>1.02</v>
      </c>
      <c r="CJ4915" s="67">
        <f>0.12*CH4915</f>
        <v>0.12840000000000001</v>
      </c>
      <c r="CK4915" s="67">
        <f>0.12*CI4915</f>
        <v>0.12239999999999999</v>
      </c>
      <c r="CL4915" s="67"/>
      <c r="CM4915" s="242">
        <v>2.0249221183800623</v>
      </c>
      <c r="CN4915" s="242">
        <v>1.6377868977048184</v>
      </c>
      <c r="CO4915" s="242">
        <v>0.12149532710280374</v>
      </c>
      <c r="CP4915" s="242">
        <v>0.14740082079343367</v>
      </c>
      <c r="CQ4915" s="242" t="s">
        <v>164</v>
      </c>
      <c r="CR4915" s="242">
        <v>32.5</v>
      </c>
      <c r="CS4915" s="242">
        <v>25.058139534883722</v>
      </c>
      <c r="CT4915" s="242">
        <v>1.95</v>
      </c>
      <c r="CU4915" s="242">
        <v>2.2552325581395349</v>
      </c>
      <c r="CV4915" s="242" t="s">
        <v>5151</v>
      </c>
      <c r="CW4915" s="242"/>
      <c r="CX4915" s="242"/>
      <c r="CY4915" s="242"/>
      <c r="CZ4915" s="242"/>
      <c r="DA4915" s="67" t="s">
        <v>5443</v>
      </c>
      <c r="DB4915" s="67">
        <v>2022</v>
      </c>
      <c r="DC4915" s="67">
        <v>3394</v>
      </c>
      <c r="DD4915" s="67">
        <f>DB4915*0.08</f>
        <v>161.76</v>
      </c>
      <c r="DE4915" s="67">
        <f>DC4915*0.28</f>
        <v>950.32</v>
      </c>
      <c r="DF4915" s="67" t="s">
        <v>5942</v>
      </c>
      <c r="DG4915" s="67">
        <v>110.6</v>
      </c>
      <c r="DH4915" s="67">
        <v>29.4</v>
      </c>
      <c r="DI4915" s="67">
        <f>0.06*DG4915</f>
        <v>6.6359999999999992</v>
      </c>
      <c r="DJ4915" s="67">
        <f>0.041*DH4915</f>
        <v>1.2054</v>
      </c>
      <c r="DK4915" s="67" t="s">
        <v>5943</v>
      </c>
      <c r="DL4915" s="67"/>
      <c r="DM4915" s="67"/>
      <c r="DN4915" s="67"/>
      <c r="DO4915" s="67"/>
      <c r="DP4915" s="67"/>
      <c r="DQ4915" s="166">
        <v>6.9</v>
      </c>
      <c r="DR4915" s="166">
        <v>7.9</v>
      </c>
      <c r="DS4915" s="163">
        <f>0.02*DQ4915</f>
        <v>0.13800000000000001</v>
      </c>
      <c r="DT4915" s="163">
        <f>0.02*DR4915</f>
        <v>0.158</v>
      </c>
      <c r="DU4915" s="67"/>
      <c r="DV4915" s="67"/>
      <c r="DW4915" s="67"/>
      <c r="DX4915" s="67"/>
      <c r="DY4915" s="67"/>
      <c r="DZ4915" s="67"/>
      <c r="EA4915" s="67"/>
      <c r="EB4915" s="67"/>
      <c r="EC4915" s="67"/>
      <c r="ED4915" s="67"/>
      <c r="EE4915" s="67"/>
      <c r="EF4915" s="67"/>
      <c r="EG4915" s="67"/>
      <c r="EH4915" s="67"/>
      <c r="EI4915" s="67"/>
      <c r="EJ4915" s="67"/>
      <c r="EK4915" s="94">
        <v>79</v>
      </c>
      <c r="EL4915" s="94">
        <v>79</v>
      </c>
      <c r="EM4915" s="67">
        <f>0.02*EK4915</f>
        <v>1.58</v>
      </c>
      <c r="EN4915" s="67">
        <f>0.1*EL4915</f>
        <v>7.9</v>
      </c>
      <c r="EO4915" s="67" t="s">
        <v>5944</v>
      </c>
      <c r="EP4915" s="67"/>
      <c r="EQ4915" s="67"/>
      <c r="ER4915" s="67"/>
      <c r="ES4915" s="67"/>
      <c r="ET4915" s="67"/>
      <c r="EU4915" s="67"/>
      <c r="EV4915" s="67"/>
      <c r="EW4915" s="67"/>
      <c r="EX4915" s="67"/>
      <c r="EY4915" s="67"/>
      <c r="EZ4915" s="67"/>
      <c r="FA4915" s="67"/>
      <c r="FB4915" s="67"/>
      <c r="FC4915" s="67"/>
      <c r="FD4915" s="67"/>
      <c r="FE4915" s="67"/>
      <c r="FF4915" s="67"/>
      <c r="FG4915" s="67"/>
      <c r="FH4915" s="67"/>
      <c r="FI4915" s="67"/>
      <c r="FJ4915" s="67"/>
      <c r="FK4915" s="67"/>
      <c r="FL4915" s="67"/>
      <c r="FM4915" s="67"/>
      <c r="FN4915" s="67"/>
      <c r="FO4915" s="67"/>
      <c r="FP4915" s="67"/>
      <c r="FQ4915" s="67"/>
      <c r="FR4915" s="67"/>
      <c r="FS4915" s="67"/>
      <c r="FT4915" s="67"/>
      <c r="FU4915" s="67"/>
      <c r="FV4915" s="67"/>
      <c r="FW4915" s="67"/>
      <c r="FX4915" s="67"/>
      <c r="FY4915" s="67"/>
      <c r="FZ4915" s="67"/>
      <c r="GA4915" s="67"/>
      <c r="GB4915" s="67"/>
      <c r="GC4915" s="67"/>
      <c r="GD4915" s="67"/>
      <c r="GE4915" s="67"/>
      <c r="GF4915" s="67"/>
      <c r="GG4915" s="67"/>
      <c r="GH4915" s="67"/>
      <c r="GI4915" s="67"/>
      <c r="GJ4915" s="67"/>
      <c r="GK4915" s="67"/>
      <c r="GL4915" s="67"/>
      <c r="GM4915" s="67"/>
      <c r="GN4915" s="292"/>
      <c r="GO4915" s="292"/>
      <c r="GP4915" s="292" t="s">
        <v>7494</v>
      </c>
      <c r="GQ4915" s="67"/>
      <c r="GR4915" s="67"/>
      <c r="GS4915" s="67"/>
      <c r="GT4915" s="67"/>
      <c r="GU4915" s="67"/>
      <c r="GV4915" s="67"/>
      <c r="GW4915" s="67"/>
      <c r="GX4915" s="67"/>
      <c r="GY4915" s="67"/>
      <c r="GZ4915" s="67"/>
      <c r="HA4915" s="67"/>
      <c r="HB4915" s="67"/>
      <c r="HC4915" s="67"/>
      <c r="HD4915" s="67"/>
      <c r="HE4915" s="67"/>
      <c r="HF4915" s="67"/>
      <c r="HG4915" s="67"/>
      <c r="HH4915" s="67"/>
      <c r="HI4915" s="67"/>
      <c r="HJ4915" s="67"/>
      <c r="HK4915" s="67"/>
      <c r="HL4915" s="67"/>
      <c r="HM4915" s="67"/>
      <c r="HN4915" s="67"/>
      <c r="HO4915" s="67"/>
      <c r="HP4915" s="67"/>
      <c r="HQ4915" s="67"/>
      <c r="HR4915" s="67"/>
      <c r="HS4915" s="67"/>
      <c r="HT4915" s="67"/>
      <c r="HU4915" s="67"/>
      <c r="HV4915" s="67"/>
      <c r="HW4915" s="67"/>
      <c r="HX4915" s="67"/>
      <c r="HY4915" s="67"/>
      <c r="HZ4915" s="67"/>
      <c r="IA4915" s="67"/>
      <c r="IB4915" s="67"/>
      <c r="IC4915" s="67"/>
      <c r="ID4915" s="67"/>
      <c r="IE4915" s="67"/>
      <c r="IF4915" s="67"/>
      <c r="IG4915" s="67"/>
      <c r="IH4915" s="67"/>
      <c r="II4915" s="67"/>
      <c r="IJ4915" s="67"/>
      <c r="IK4915" s="67"/>
      <c r="IL4915" s="67"/>
      <c r="IM4915" s="67"/>
      <c r="IN4915" s="67"/>
      <c r="IO4915" s="67"/>
      <c r="IP4915" s="67"/>
      <c r="IQ4915" s="67"/>
      <c r="IR4915" s="67"/>
      <c r="IS4915" s="67"/>
      <c r="IT4915" s="67"/>
      <c r="IU4915" s="67"/>
      <c r="IV4915" s="67"/>
      <c r="IW4915" s="67"/>
      <c r="IX4915" s="67"/>
      <c r="IY4915" s="67"/>
      <c r="IZ4915" s="67"/>
      <c r="JA4915" s="67"/>
      <c r="JB4915" s="67"/>
      <c r="JC4915" s="67"/>
      <c r="JD4915" s="67"/>
      <c r="JE4915" s="67"/>
      <c r="JF4915" s="67"/>
      <c r="JG4915" s="67"/>
      <c r="JH4915" s="67"/>
      <c r="JI4915" s="67"/>
      <c r="JJ4915" s="67"/>
      <c r="JK4915" s="67"/>
      <c r="JL4915" s="67"/>
      <c r="JM4915" s="67"/>
      <c r="JN4915" s="67"/>
      <c r="JO4915" s="67"/>
      <c r="JP4915" s="67"/>
      <c r="JQ4915" s="67"/>
      <c r="JR4915" s="67"/>
      <c r="JS4915" s="67"/>
      <c r="JT4915" s="67"/>
      <c r="JU4915" s="58"/>
      <c r="JV4915" s="58"/>
      <c r="JW4915" s="58"/>
    </row>
    <row r="4916" spans="1:283" s="23" customFormat="1" x14ac:dyDescent="0.25">
      <c r="A4916" s="55">
        <v>4915</v>
      </c>
      <c r="B4916" s="12" t="s">
        <v>7067</v>
      </c>
      <c r="C4916" s="156">
        <v>231</v>
      </c>
      <c r="D4916" s="58" t="s">
        <v>4934</v>
      </c>
      <c r="E4916" s="160" t="str">
        <f>G4916</f>
        <v>Ge et al., 2011</v>
      </c>
      <c r="F4916" s="160"/>
      <c r="G4916" s="60" t="s">
        <v>4795</v>
      </c>
      <c r="H4916" s="58">
        <v>2011</v>
      </c>
      <c r="I4916" s="58">
        <v>2008</v>
      </c>
      <c r="J4916" s="243" t="s">
        <v>5310</v>
      </c>
      <c r="K4916" s="63" t="s">
        <v>5112</v>
      </c>
      <c r="L4916" s="58" t="s">
        <v>3377</v>
      </c>
      <c r="M4916" s="94">
        <v>30.92</v>
      </c>
      <c r="N4916" s="94">
        <v>121.47</v>
      </c>
      <c r="O4916" s="94">
        <v>5</v>
      </c>
      <c r="P4916" s="58"/>
      <c r="Q4916" s="244">
        <v>17.5</v>
      </c>
      <c r="R4916" s="58"/>
      <c r="S4916" s="245">
        <v>1793</v>
      </c>
      <c r="T4916" s="58"/>
      <c r="U4916" s="58" t="s">
        <v>1805</v>
      </c>
      <c r="V4916" s="244">
        <v>3</v>
      </c>
      <c r="W4916" s="174"/>
      <c r="X4916" s="174"/>
      <c r="Y4916" s="58" t="s">
        <v>2381</v>
      </c>
      <c r="Z4916" s="244" t="s">
        <v>1355</v>
      </c>
      <c r="AA4916" s="245">
        <v>10</v>
      </c>
      <c r="AB4916" s="67">
        <v>12.66</v>
      </c>
      <c r="AC4916" s="67" t="s">
        <v>7001</v>
      </c>
      <c r="AD4916" s="94"/>
      <c r="AE4916" s="94">
        <v>9.3000000000000007</v>
      </c>
      <c r="AF4916" s="94">
        <v>70.7</v>
      </c>
      <c r="AG4916" s="245">
        <v>20</v>
      </c>
      <c r="AH4916" s="58" t="s">
        <v>6378</v>
      </c>
      <c r="AI4916" s="169"/>
      <c r="AJ4916" s="94"/>
      <c r="AK4916" s="94"/>
      <c r="AL4916" s="58"/>
      <c r="AM4916" s="58"/>
      <c r="AN4916" s="186"/>
      <c r="AO4916" s="185" t="s">
        <v>5150</v>
      </c>
      <c r="AP4916" s="58"/>
      <c r="AQ4916" s="58"/>
      <c r="AR4916" s="58"/>
      <c r="AS4916" s="246" t="s">
        <v>227</v>
      </c>
      <c r="AT4916" s="247">
        <v>0</v>
      </c>
      <c r="AU4916" s="181" t="s">
        <v>7494</v>
      </c>
      <c r="AV4916" s="185" t="s">
        <v>176</v>
      </c>
      <c r="AW4916" s="244">
        <v>0</v>
      </c>
      <c r="AX4916" s="185" t="s">
        <v>176</v>
      </c>
      <c r="AY4916" s="244" t="s">
        <v>176</v>
      </c>
      <c r="AZ4916" s="58"/>
      <c r="BA4916" s="58"/>
      <c r="BB4916" s="58"/>
      <c r="BC4916" s="58"/>
      <c r="BD4916" s="58"/>
      <c r="BE4916" s="236" t="s">
        <v>5179</v>
      </c>
      <c r="BF4916" s="191" t="s">
        <v>479</v>
      </c>
      <c r="BG4916" s="191" t="s">
        <v>479</v>
      </c>
      <c r="BH4916" s="236" t="s">
        <v>5247</v>
      </c>
      <c r="BI4916" s="191" t="s">
        <v>479</v>
      </c>
      <c r="BJ4916" s="58" t="str">
        <f>IF(BE4916=BH4916,"No","yes")</f>
        <v>yes</v>
      </c>
      <c r="BK4916" s="58" t="s">
        <v>6334</v>
      </c>
      <c r="BL4916" s="58"/>
      <c r="BM4916" s="237"/>
      <c r="BN4916" s="244">
        <v>3</v>
      </c>
      <c r="BO4916" s="244">
        <v>3</v>
      </c>
      <c r="BP4916" s="58"/>
      <c r="BQ4916" s="58"/>
      <c r="BR4916" s="58"/>
      <c r="BS4916" s="58"/>
      <c r="BT4916" s="58"/>
      <c r="BU4916" s="58"/>
      <c r="BV4916" s="58" t="s">
        <v>5417</v>
      </c>
      <c r="BW4916" s="67"/>
      <c r="BX4916" s="67"/>
      <c r="BY4916" s="67"/>
      <c r="BZ4916" s="67"/>
      <c r="CA4916" s="67"/>
      <c r="CB4916" s="70"/>
      <c r="CC4916" s="70"/>
      <c r="CD4916" s="70"/>
      <c r="CE4916" s="67"/>
      <c r="CF4916" s="67"/>
      <c r="CG4916" s="67"/>
      <c r="CH4916" s="245">
        <v>1.47</v>
      </c>
      <c r="CI4916" s="245">
        <v>1.38</v>
      </c>
      <c r="CJ4916" s="67"/>
      <c r="CK4916" s="67"/>
      <c r="CL4916" s="67"/>
      <c r="CM4916" s="242">
        <v>0.77</v>
      </c>
      <c r="CN4916" s="242">
        <v>1.65</v>
      </c>
      <c r="CO4916" s="242">
        <f>0.04*SQRT(3)*0.1</f>
        <v>6.9282032302755096E-3</v>
      </c>
      <c r="CP4916" s="242">
        <f>0.384*SQRT(3)*0.1</f>
        <v>6.6510751010644895E-2</v>
      </c>
      <c r="CQ4916" s="242" t="s">
        <v>164</v>
      </c>
      <c r="CR4916" s="242">
        <v>11.318999999999999</v>
      </c>
      <c r="CS4916" s="242">
        <v>22.77</v>
      </c>
      <c r="CT4916" s="242">
        <v>0.79232999999999998</v>
      </c>
      <c r="CU4916" s="242">
        <v>0.22770000000000001</v>
      </c>
      <c r="CV4916" s="242" t="s">
        <v>5151</v>
      </c>
      <c r="CW4916" s="242"/>
      <c r="CX4916" s="242"/>
      <c r="CY4916" s="242"/>
      <c r="CZ4916" s="242"/>
      <c r="DA4916" s="67" t="s">
        <v>5443</v>
      </c>
      <c r="DB4916" s="67">
        <v>1080</v>
      </c>
      <c r="DC4916" s="67">
        <v>2010</v>
      </c>
      <c r="DD4916" s="67">
        <f>0.02*1000*SQRT(3)</f>
        <v>34.641016151377542</v>
      </c>
      <c r="DE4916" s="67">
        <f>0.05*1000*SQRT(3)</f>
        <v>86.602540378443862</v>
      </c>
      <c r="DF4916" s="67" t="s">
        <v>5420</v>
      </c>
      <c r="DG4916" s="67">
        <v>31.6</v>
      </c>
      <c r="DH4916" s="67">
        <v>203.1</v>
      </c>
      <c r="DI4916" s="67">
        <f>1.21*SQRT(3)</f>
        <v>2.0957814771583414</v>
      </c>
      <c r="DJ4916" s="67">
        <f>13.5*SQRT(3)</f>
        <v>23.382685902179841</v>
      </c>
      <c r="DK4916" s="67" t="s">
        <v>2645</v>
      </c>
      <c r="DL4916" s="67">
        <v>0.39</v>
      </c>
      <c r="DM4916" s="67">
        <v>0.73</v>
      </c>
      <c r="DN4916" s="67">
        <f>0.04*SQRT(3)</f>
        <v>6.9282032302755092E-2</v>
      </c>
      <c r="DO4916" s="67">
        <f>0.21*SQRT(3)</f>
        <v>0.36373066958946421</v>
      </c>
      <c r="DP4916" s="67" t="s">
        <v>5421</v>
      </c>
      <c r="DQ4916" s="166">
        <v>8.3800000000000008</v>
      </c>
      <c r="DR4916" s="166">
        <v>8.0299999999999994</v>
      </c>
      <c r="DS4916" s="163">
        <f>0.05*SQRT(3)</f>
        <v>8.6602540378443865E-2</v>
      </c>
      <c r="DT4916" s="163">
        <f>0.04*SQRT(3)</f>
        <v>6.9282032302755092E-2</v>
      </c>
      <c r="DU4916" s="67"/>
      <c r="DV4916" s="67">
        <v>12.66</v>
      </c>
      <c r="DW4916" s="67">
        <v>15.02</v>
      </c>
      <c r="DX4916" s="67">
        <f>0.38*SQRT(3)</f>
        <v>0.65817930687617332</v>
      </c>
      <c r="DY4916" s="67">
        <f>0.18*SQRT(3)</f>
        <v>0.31176914536239786</v>
      </c>
      <c r="DZ4916" s="67" t="s">
        <v>2880</v>
      </c>
      <c r="EA4916" s="67">
        <v>265.7</v>
      </c>
      <c r="EB4916" s="67">
        <v>272.89999999999998</v>
      </c>
      <c r="EC4916" s="67">
        <f>39.8*SQRT(3)</f>
        <v>68.935622141241311</v>
      </c>
      <c r="ED4916" s="67">
        <f>22.7*SQRT(3)</f>
        <v>39.317553331813514</v>
      </c>
      <c r="EE4916" s="67" t="s">
        <v>5419</v>
      </c>
      <c r="EF4916" s="67"/>
      <c r="EG4916" s="67"/>
      <c r="EH4916" s="67"/>
      <c r="EI4916" s="67"/>
      <c r="EJ4916" s="67"/>
      <c r="EK4916" s="94"/>
      <c r="EL4916" s="94"/>
      <c r="EM4916" s="67"/>
      <c r="EN4916" s="67"/>
      <c r="EO4916" s="67"/>
      <c r="EP4916" s="67"/>
      <c r="EQ4916" s="67"/>
      <c r="ER4916" s="67"/>
      <c r="ES4916" s="67"/>
      <c r="ET4916" s="67"/>
      <c r="EU4916" s="67"/>
      <c r="EV4916" s="67"/>
      <c r="EW4916" s="67"/>
      <c r="EX4916" s="67"/>
      <c r="EY4916" s="67"/>
      <c r="EZ4916" s="67"/>
      <c r="FA4916" s="67"/>
      <c r="FB4916" s="67"/>
      <c r="FC4916" s="67"/>
      <c r="FD4916" s="67"/>
      <c r="FE4916" s="67"/>
      <c r="FF4916" s="67"/>
      <c r="FG4916" s="67"/>
      <c r="FH4916" s="67"/>
      <c r="FI4916" s="67"/>
      <c r="FJ4916" s="67"/>
      <c r="FK4916" s="67"/>
      <c r="FL4916" s="67"/>
      <c r="FM4916" s="67"/>
      <c r="FN4916" s="67"/>
      <c r="FO4916" s="67"/>
      <c r="FP4916" s="67"/>
      <c r="FQ4916" s="67"/>
      <c r="FR4916" s="67"/>
      <c r="FS4916" s="67"/>
      <c r="FT4916" s="67"/>
      <c r="FU4916" s="67"/>
      <c r="FV4916" s="67"/>
      <c r="FW4916" s="67"/>
      <c r="FX4916" s="67"/>
      <c r="FY4916" s="67"/>
      <c r="FZ4916" s="67"/>
      <c r="GA4916" s="67"/>
      <c r="GB4916" s="67"/>
      <c r="GC4916" s="67"/>
      <c r="GD4916" s="67"/>
      <c r="GE4916" s="67"/>
      <c r="GF4916" s="67"/>
      <c r="GG4916" s="67"/>
      <c r="GH4916" s="67"/>
      <c r="GI4916" s="67"/>
      <c r="GJ4916" s="67"/>
      <c r="GK4916" s="67"/>
      <c r="GL4916" s="67"/>
      <c r="GM4916" s="67"/>
      <c r="GN4916" s="292"/>
      <c r="GO4916" s="292"/>
      <c r="GP4916" s="292" t="s">
        <v>7494</v>
      </c>
      <c r="GQ4916" s="67"/>
      <c r="GR4916" s="67"/>
      <c r="GS4916" s="67"/>
      <c r="GT4916" s="67"/>
      <c r="GU4916" s="67"/>
      <c r="GV4916" s="67"/>
      <c r="GW4916" s="67"/>
      <c r="GX4916" s="67"/>
      <c r="GY4916" s="67"/>
      <c r="GZ4916" s="67"/>
      <c r="HA4916" s="67"/>
      <c r="HB4916" s="67"/>
      <c r="HC4916" s="67"/>
      <c r="HD4916" s="67"/>
      <c r="HE4916" s="67"/>
      <c r="HF4916" s="67"/>
      <c r="HG4916" s="67"/>
      <c r="HH4916" s="67"/>
      <c r="HI4916" s="67"/>
      <c r="HJ4916" s="67"/>
      <c r="HK4916" s="67"/>
      <c r="HL4916" s="67"/>
      <c r="HM4916" s="67"/>
      <c r="HN4916" s="67"/>
      <c r="HO4916" s="67"/>
      <c r="HP4916" s="67"/>
      <c r="HQ4916" s="67"/>
      <c r="HR4916" s="67"/>
      <c r="HS4916" s="67"/>
      <c r="HT4916" s="67"/>
      <c r="HU4916" s="67"/>
      <c r="HV4916" s="67"/>
      <c r="HW4916" s="67"/>
      <c r="HX4916" s="67"/>
      <c r="HY4916" s="67"/>
      <c r="HZ4916" s="67"/>
      <c r="IA4916" s="67"/>
      <c r="IB4916" s="67"/>
      <c r="IC4916" s="67"/>
      <c r="ID4916" s="67"/>
      <c r="IE4916" s="67"/>
      <c r="IF4916" s="67"/>
      <c r="IG4916" s="67"/>
      <c r="IH4916" s="67"/>
      <c r="II4916" s="67"/>
      <c r="IJ4916" s="67"/>
      <c r="IK4916" s="67"/>
      <c r="IL4916" s="67"/>
      <c r="IM4916" s="67"/>
      <c r="IN4916" s="67"/>
      <c r="IO4916" s="67"/>
      <c r="IP4916" s="67"/>
      <c r="IQ4916" s="67"/>
      <c r="IR4916" s="67"/>
      <c r="IS4916" s="67"/>
      <c r="IT4916" s="67"/>
      <c r="IU4916" s="67"/>
      <c r="IV4916" s="67"/>
      <c r="IW4916" s="67"/>
      <c r="IX4916" s="67"/>
      <c r="IY4916" s="67"/>
      <c r="IZ4916" s="67"/>
      <c r="JA4916" s="67"/>
      <c r="JB4916" s="67"/>
      <c r="JC4916" s="67"/>
      <c r="JD4916" s="67"/>
      <c r="JE4916" s="67"/>
      <c r="JF4916" s="67"/>
      <c r="JG4916" s="67"/>
      <c r="JH4916" s="67"/>
      <c r="JI4916" s="67"/>
      <c r="JJ4916" s="67"/>
      <c r="JK4916" s="67"/>
      <c r="JL4916" s="67"/>
      <c r="JM4916" s="67"/>
      <c r="JN4916" s="67"/>
      <c r="JO4916" s="67"/>
      <c r="JP4916" s="67"/>
      <c r="JQ4916" s="67"/>
      <c r="JR4916" s="67"/>
      <c r="JS4916" s="67"/>
      <c r="JT4916" s="67"/>
      <c r="JU4916" s="58"/>
      <c r="JV4916" s="58"/>
      <c r="JW4916" s="58"/>
    </row>
    <row r="4917" spans="1:283" s="23" customFormat="1" x14ac:dyDescent="0.25">
      <c r="A4917" s="55">
        <v>4916</v>
      </c>
      <c r="B4917" s="12" t="s">
        <v>7067</v>
      </c>
      <c r="C4917" s="156">
        <v>231</v>
      </c>
      <c r="D4917" s="58" t="s">
        <v>4934</v>
      </c>
      <c r="E4917" s="160" t="str">
        <f>G4917</f>
        <v>Ge et al., 2011</v>
      </c>
      <c r="F4917" s="160"/>
      <c r="G4917" s="60" t="s">
        <v>4795</v>
      </c>
      <c r="H4917" s="58">
        <v>2011</v>
      </c>
      <c r="I4917" s="58">
        <v>2008</v>
      </c>
      <c r="J4917" s="243" t="s">
        <v>5310</v>
      </c>
      <c r="K4917" s="63" t="s">
        <v>5112</v>
      </c>
      <c r="L4917" s="58" t="s">
        <v>3377</v>
      </c>
      <c r="M4917" s="94">
        <v>30.22</v>
      </c>
      <c r="N4917" s="94">
        <v>121.17</v>
      </c>
      <c r="O4917" s="94">
        <v>5</v>
      </c>
      <c r="P4917" s="58"/>
      <c r="Q4917" s="244">
        <v>17.5</v>
      </c>
      <c r="R4917" s="58"/>
      <c r="S4917" s="245">
        <v>1793</v>
      </c>
      <c r="T4917" s="58"/>
      <c r="U4917" s="58" t="s">
        <v>1805</v>
      </c>
      <c r="V4917" s="244">
        <v>3</v>
      </c>
      <c r="W4917" s="174"/>
      <c r="X4917" s="174"/>
      <c r="Y4917" s="58" t="s">
        <v>2381</v>
      </c>
      <c r="Z4917" s="244" t="s">
        <v>1355</v>
      </c>
      <c r="AA4917" s="245">
        <v>10</v>
      </c>
      <c r="AB4917" s="67">
        <v>14.3</v>
      </c>
      <c r="AC4917" s="67" t="s">
        <v>7001</v>
      </c>
      <c r="AD4917" s="94"/>
      <c r="AE4917" s="94">
        <v>9.3000000000000007</v>
      </c>
      <c r="AF4917" s="94">
        <v>70.7</v>
      </c>
      <c r="AG4917" s="245">
        <v>20</v>
      </c>
      <c r="AH4917" s="58" t="s">
        <v>6378</v>
      </c>
      <c r="AI4917" s="169"/>
      <c r="AJ4917" s="94"/>
      <c r="AK4917" s="94"/>
      <c r="AL4917" s="58"/>
      <c r="AM4917" s="58"/>
      <c r="AN4917" s="186"/>
      <c r="AO4917" s="185" t="s">
        <v>5150</v>
      </c>
      <c r="AP4917" s="58"/>
      <c r="AQ4917" s="58"/>
      <c r="AR4917" s="58"/>
      <c r="AS4917" s="246" t="s">
        <v>227</v>
      </c>
      <c r="AT4917" s="247">
        <v>0</v>
      </c>
      <c r="AU4917" s="181" t="s">
        <v>7494</v>
      </c>
      <c r="AV4917" s="185" t="s">
        <v>176</v>
      </c>
      <c r="AW4917" s="244">
        <v>0</v>
      </c>
      <c r="AX4917" s="185" t="s">
        <v>176</v>
      </c>
      <c r="AY4917" s="244" t="s">
        <v>176</v>
      </c>
      <c r="AZ4917" s="58"/>
      <c r="BA4917" s="58"/>
      <c r="BB4917" s="58"/>
      <c r="BC4917" s="58"/>
      <c r="BD4917" s="58"/>
      <c r="BE4917" s="236" t="s">
        <v>5179</v>
      </c>
      <c r="BF4917" s="191" t="s">
        <v>479</v>
      </c>
      <c r="BG4917" s="191" t="s">
        <v>479</v>
      </c>
      <c r="BH4917" s="236" t="s">
        <v>5247</v>
      </c>
      <c r="BI4917" s="191" t="s">
        <v>479</v>
      </c>
      <c r="BJ4917" s="58" t="str">
        <f>IF(BE4917=BH4917,"No","yes")</f>
        <v>yes</v>
      </c>
      <c r="BK4917" s="58" t="s">
        <v>6334</v>
      </c>
      <c r="BL4917" s="58"/>
      <c r="BM4917" s="237"/>
      <c r="BN4917" s="244">
        <v>3</v>
      </c>
      <c r="BO4917" s="244">
        <v>3</v>
      </c>
      <c r="BP4917" s="58"/>
      <c r="BQ4917" s="58"/>
      <c r="BR4917" s="58"/>
      <c r="BS4917" s="58"/>
      <c r="BT4917" s="58"/>
      <c r="BU4917" s="58"/>
      <c r="BV4917" s="58" t="s">
        <v>5418</v>
      </c>
      <c r="BW4917" s="67"/>
      <c r="BX4917" s="67"/>
      <c r="BY4917" s="67"/>
      <c r="BZ4917" s="67"/>
      <c r="CA4917" s="67"/>
      <c r="CB4917" s="70"/>
      <c r="CC4917" s="70"/>
      <c r="CD4917" s="70"/>
      <c r="CE4917" s="67"/>
      <c r="CF4917" s="67"/>
      <c r="CG4917" s="67"/>
      <c r="CH4917" s="245">
        <v>1.47</v>
      </c>
      <c r="CI4917" s="245">
        <v>1.38</v>
      </c>
      <c r="CJ4917" s="67"/>
      <c r="CK4917" s="67"/>
      <c r="CL4917" s="67"/>
      <c r="CM4917" s="242">
        <v>0.93</v>
      </c>
      <c r="CN4917" s="242">
        <v>2.57</v>
      </c>
      <c r="CO4917" s="242">
        <f>0.13*SQRT(3)*0.1</f>
        <v>2.2516660498395406E-2</v>
      </c>
      <c r="CP4917" s="242">
        <f>0.1*1.01*SQRT(3)</f>
        <v>0.17493713156445662</v>
      </c>
      <c r="CQ4917" s="242" t="s">
        <v>164</v>
      </c>
      <c r="CR4917" s="242">
        <f>CM4917/100*100*100*CH4917*0.1</f>
        <v>13.671000000000001</v>
      </c>
      <c r="CS4917" s="242">
        <f>CN4917/100*100*100*CI4917*0.1</f>
        <v>35.466000000000001</v>
      </c>
      <c r="CT4917" s="242">
        <f>CO4917/100*100*100*1.47*0.1</f>
        <v>0.33099490932641251</v>
      </c>
      <c r="CU4917" s="242">
        <f>CP4917/100*100*100*1.38*0.1</f>
        <v>2.414132415589501</v>
      </c>
      <c r="CV4917" s="242" t="s">
        <v>5151</v>
      </c>
      <c r="CW4917" s="242"/>
      <c r="CX4917" s="242"/>
      <c r="CY4917" s="242"/>
      <c r="CZ4917" s="242"/>
      <c r="DA4917" s="67" t="s">
        <v>5443</v>
      </c>
      <c r="DB4917" s="67">
        <v>1760</v>
      </c>
      <c r="DC4917" s="67">
        <v>3300</v>
      </c>
      <c r="DD4917" s="67">
        <f>0.05*1000*SQRT(3)</f>
        <v>86.602540378443862</v>
      </c>
      <c r="DE4917" s="67">
        <f>0.145*1000*SQRT(3)</f>
        <v>251.14736709748721</v>
      </c>
      <c r="DF4917" s="67" t="s">
        <v>5420</v>
      </c>
      <c r="DG4917" s="67">
        <v>73.400000000000006</v>
      </c>
      <c r="DH4917" s="67">
        <v>330.7</v>
      </c>
      <c r="DI4917" s="67">
        <f>7.33*SQRT(3)</f>
        <v>12.69593241947987</v>
      </c>
      <c r="DJ4917" s="67">
        <f>15*SQRT(3)</f>
        <v>25.980762113533157</v>
      </c>
      <c r="DK4917" s="67" t="s">
        <v>2645</v>
      </c>
      <c r="DL4917" s="67">
        <v>0.97</v>
      </c>
      <c r="DM4917" s="67">
        <v>1.23</v>
      </c>
      <c r="DN4917" s="67">
        <f>0.01*SQRT(3)</f>
        <v>1.7320508075688773E-2</v>
      </c>
      <c r="DO4917" s="67">
        <f>0.4*SQRT(3)</f>
        <v>0.69282032302755092</v>
      </c>
      <c r="DP4917" s="67" t="s">
        <v>5421</v>
      </c>
      <c r="DQ4917" s="166">
        <v>8.15</v>
      </c>
      <c r="DR4917" s="166">
        <v>7.49</v>
      </c>
      <c r="DS4917" s="163">
        <f>0.04*SQRT(3)</f>
        <v>6.9282032302755092E-2</v>
      </c>
      <c r="DT4917" s="163">
        <f>0.09*SQRT(3)</f>
        <v>0.15588457268119893</v>
      </c>
      <c r="DU4917" s="67"/>
      <c r="DV4917" s="67">
        <v>14.3</v>
      </c>
      <c r="DW4917" s="67">
        <v>20.36</v>
      </c>
      <c r="DX4917" s="67">
        <f>0.34*SQRT(3)</f>
        <v>0.58889727457341834</v>
      </c>
      <c r="DY4917" s="67">
        <f>0.364*SQRT(3)</f>
        <v>0.63046649395507126</v>
      </c>
      <c r="DZ4917" s="67" t="s">
        <v>2880</v>
      </c>
      <c r="EA4917" s="67">
        <v>530.29999999999995</v>
      </c>
      <c r="EB4917" s="67">
        <v>1971.6</v>
      </c>
      <c r="EC4917" s="67">
        <f>22.4*SQRT(3)</f>
        <v>38.797938089542846</v>
      </c>
      <c r="ED4917" s="67">
        <f>153.7*SQRT(3)</f>
        <v>266.2162091233364</v>
      </c>
      <c r="EE4917" s="67" t="s">
        <v>5419</v>
      </c>
      <c r="EF4917" s="67"/>
      <c r="EG4917" s="67"/>
      <c r="EH4917" s="67"/>
      <c r="EI4917" s="67"/>
      <c r="EJ4917" s="67"/>
      <c r="EK4917" s="94"/>
      <c r="EL4917" s="94"/>
      <c r="EM4917" s="67"/>
      <c r="EN4917" s="67"/>
      <c r="EO4917" s="67"/>
      <c r="EP4917" s="67"/>
      <c r="EQ4917" s="67"/>
      <c r="ER4917" s="67"/>
      <c r="ES4917" s="67"/>
      <c r="ET4917" s="67"/>
      <c r="EU4917" s="67"/>
      <c r="EV4917" s="67"/>
      <c r="EW4917" s="67"/>
      <c r="EX4917" s="67"/>
      <c r="EY4917" s="67"/>
      <c r="EZ4917" s="67"/>
      <c r="FA4917" s="67"/>
      <c r="FB4917" s="67"/>
      <c r="FC4917" s="67"/>
      <c r="FD4917" s="67"/>
      <c r="FE4917" s="67"/>
      <c r="FF4917" s="67"/>
      <c r="FG4917" s="67"/>
      <c r="FH4917" s="67"/>
      <c r="FI4917" s="67"/>
      <c r="FJ4917" s="67"/>
      <c r="FK4917" s="67"/>
      <c r="FL4917" s="67"/>
      <c r="FM4917" s="67"/>
      <c r="FN4917" s="67"/>
      <c r="FO4917" s="67"/>
      <c r="FP4917" s="67"/>
      <c r="FQ4917" s="67"/>
      <c r="FR4917" s="67"/>
      <c r="FS4917" s="67"/>
      <c r="FT4917" s="67"/>
      <c r="FU4917" s="67"/>
      <c r="FV4917" s="67"/>
      <c r="FW4917" s="67"/>
      <c r="FX4917" s="67"/>
      <c r="FY4917" s="67"/>
      <c r="FZ4917" s="67"/>
      <c r="GA4917" s="67"/>
      <c r="GB4917" s="67"/>
      <c r="GC4917" s="67"/>
      <c r="GD4917" s="67"/>
      <c r="GE4917" s="67"/>
      <c r="GF4917" s="67"/>
      <c r="GG4917" s="67"/>
      <c r="GH4917" s="67"/>
      <c r="GI4917" s="67"/>
      <c r="GJ4917" s="67"/>
      <c r="GK4917" s="67"/>
      <c r="GL4917" s="67"/>
      <c r="GM4917" s="67"/>
      <c r="GN4917" s="292"/>
      <c r="GO4917" s="292"/>
      <c r="GP4917" s="292" t="s">
        <v>7494</v>
      </c>
      <c r="GQ4917" s="67"/>
      <c r="GR4917" s="67"/>
      <c r="GS4917" s="67"/>
      <c r="GT4917" s="67"/>
      <c r="GU4917" s="67"/>
      <c r="GV4917" s="67"/>
      <c r="GW4917" s="67"/>
      <c r="GX4917" s="67"/>
      <c r="GY4917" s="67"/>
      <c r="GZ4917" s="67"/>
      <c r="HA4917" s="67"/>
      <c r="HB4917" s="67"/>
      <c r="HC4917" s="67"/>
      <c r="HD4917" s="67"/>
      <c r="HE4917" s="67"/>
      <c r="HF4917" s="67"/>
      <c r="HG4917" s="67"/>
      <c r="HH4917" s="67"/>
      <c r="HI4917" s="67"/>
      <c r="HJ4917" s="67"/>
      <c r="HK4917" s="67"/>
      <c r="HL4917" s="67"/>
      <c r="HM4917" s="67"/>
      <c r="HN4917" s="67"/>
      <c r="HO4917" s="67"/>
      <c r="HP4917" s="67"/>
      <c r="HQ4917" s="67"/>
      <c r="HR4917" s="67"/>
      <c r="HS4917" s="67"/>
      <c r="HT4917" s="67"/>
      <c r="HU4917" s="67"/>
      <c r="HV4917" s="67"/>
      <c r="HW4917" s="67"/>
      <c r="HX4917" s="67"/>
      <c r="HY4917" s="67"/>
      <c r="HZ4917" s="67"/>
      <c r="IA4917" s="67"/>
      <c r="IB4917" s="67"/>
      <c r="IC4917" s="67"/>
      <c r="ID4917" s="67"/>
      <c r="IE4917" s="67"/>
      <c r="IF4917" s="67"/>
      <c r="IG4917" s="67"/>
      <c r="IH4917" s="67"/>
      <c r="II4917" s="67"/>
      <c r="IJ4917" s="67"/>
      <c r="IK4917" s="67"/>
      <c r="IL4917" s="67"/>
      <c r="IM4917" s="67"/>
      <c r="IN4917" s="67"/>
      <c r="IO4917" s="67"/>
      <c r="IP4917" s="67"/>
      <c r="IQ4917" s="67"/>
      <c r="IR4917" s="67"/>
      <c r="IS4917" s="67"/>
      <c r="IT4917" s="67"/>
      <c r="IU4917" s="67"/>
      <c r="IV4917" s="67"/>
      <c r="IW4917" s="67"/>
      <c r="IX4917" s="67"/>
      <c r="IY4917" s="67"/>
      <c r="IZ4917" s="67"/>
      <c r="JA4917" s="67"/>
      <c r="JB4917" s="67"/>
      <c r="JC4917" s="67"/>
      <c r="JD4917" s="67"/>
      <c r="JE4917" s="67"/>
      <c r="JF4917" s="67"/>
      <c r="JG4917" s="67"/>
      <c r="JH4917" s="67"/>
      <c r="JI4917" s="67"/>
      <c r="JJ4917" s="67"/>
      <c r="JK4917" s="67"/>
      <c r="JL4917" s="67"/>
      <c r="JM4917" s="67"/>
      <c r="JN4917" s="67"/>
      <c r="JO4917" s="67"/>
      <c r="JP4917" s="67"/>
      <c r="JQ4917" s="67"/>
      <c r="JR4917" s="67"/>
      <c r="JS4917" s="67"/>
      <c r="JT4917" s="67"/>
      <c r="JU4917" s="58"/>
      <c r="JV4917" s="58"/>
      <c r="JW4917" s="58"/>
    </row>
    <row r="4918" spans="1:283" s="23" customFormat="1" x14ac:dyDescent="0.25">
      <c r="A4918" s="55">
        <v>4917</v>
      </c>
      <c r="B4918" s="12" t="s">
        <v>7067</v>
      </c>
      <c r="C4918" s="156">
        <v>232</v>
      </c>
      <c r="D4918" s="58" t="s">
        <v>4935</v>
      </c>
      <c r="E4918" s="160" t="str">
        <f>G4918</f>
        <v>Gehrhardt, 1997</v>
      </c>
      <c r="F4918" s="160"/>
      <c r="G4918" s="60" t="s">
        <v>4794</v>
      </c>
      <c r="H4918" s="58">
        <v>1997</v>
      </c>
      <c r="I4918" s="58">
        <v>1973</v>
      </c>
      <c r="J4918" s="243" t="s">
        <v>350</v>
      </c>
      <c r="K4918" s="63" t="s">
        <v>5111</v>
      </c>
      <c r="L4918" s="58" t="s">
        <v>2737</v>
      </c>
      <c r="M4918" s="94">
        <v>41.66</v>
      </c>
      <c r="N4918" s="94">
        <v>-91.5</v>
      </c>
      <c r="O4918" s="94">
        <v>222</v>
      </c>
      <c r="P4918" s="58"/>
      <c r="Q4918" s="244">
        <v>10.8</v>
      </c>
      <c r="R4918" s="58"/>
      <c r="S4918" s="245">
        <v>789</v>
      </c>
      <c r="T4918" s="58"/>
      <c r="U4918" s="58" t="s">
        <v>1675</v>
      </c>
      <c r="V4918" s="244">
        <v>40</v>
      </c>
      <c r="W4918" s="174"/>
      <c r="X4918" s="174"/>
      <c r="Y4918" s="58" t="s">
        <v>5422</v>
      </c>
      <c r="Z4918" s="244" t="s">
        <v>1358</v>
      </c>
      <c r="AA4918" s="245">
        <v>18</v>
      </c>
      <c r="AB4918" s="67"/>
      <c r="AC4918" s="67"/>
      <c r="AD4918" s="94"/>
      <c r="AE4918" s="94"/>
      <c r="AF4918" s="94"/>
      <c r="AG4918" s="245">
        <v>14</v>
      </c>
      <c r="AH4918" s="58" t="s">
        <v>6378</v>
      </c>
      <c r="AI4918" s="169"/>
      <c r="AJ4918" s="94"/>
      <c r="AK4918" s="94"/>
      <c r="AL4918" s="58"/>
      <c r="AM4918" s="58" t="s">
        <v>5423</v>
      </c>
      <c r="AN4918" s="186" t="s">
        <v>228</v>
      </c>
      <c r="AO4918" s="185" t="s">
        <v>5150</v>
      </c>
      <c r="AP4918" s="58"/>
      <c r="AQ4918" s="58" t="s">
        <v>1545</v>
      </c>
      <c r="AR4918" s="58" t="s">
        <v>658</v>
      </c>
      <c r="AS4918" s="246" t="s">
        <v>4584</v>
      </c>
      <c r="AT4918" s="247" t="s">
        <v>658</v>
      </c>
      <c r="AU4918" s="181" t="s">
        <v>5150</v>
      </c>
      <c r="AV4918" s="185" t="s">
        <v>176</v>
      </c>
      <c r="AW4918" s="244" t="s">
        <v>658</v>
      </c>
      <c r="AX4918" s="185" t="s">
        <v>176</v>
      </c>
      <c r="AY4918" s="244" t="s">
        <v>176</v>
      </c>
      <c r="AZ4918" s="58"/>
      <c r="BA4918" s="58"/>
      <c r="BB4918" s="58"/>
      <c r="BC4918" s="58"/>
      <c r="BD4918" s="58"/>
      <c r="BE4918" s="236" t="s">
        <v>5153</v>
      </c>
      <c r="BF4918" s="191" t="s">
        <v>176</v>
      </c>
      <c r="BG4918" s="191" t="s">
        <v>176</v>
      </c>
      <c r="BH4918" s="236" t="s">
        <v>5155</v>
      </c>
      <c r="BI4918" s="191" t="s">
        <v>479</v>
      </c>
      <c r="BJ4918" s="58" t="str">
        <f>IF(BE4918=BH4918,"No","yes")</f>
        <v>yes</v>
      </c>
      <c r="BK4918" s="58" t="s">
        <v>6335</v>
      </c>
      <c r="BL4918" s="58"/>
      <c r="BM4918" s="237"/>
      <c r="BN4918" s="244">
        <v>5</v>
      </c>
      <c r="BO4918" s="244">
        <v>5</v>
      </c>
      <c r="BP4918" s="58"/>
      <c r="BQ4918" s="58"/>
      <c r="BR4918" s="58"/>
      <c r="BS4918" s="58"/>
      <c r="BT4918" s="58"/>
      <c r="BU4918" s="58"/>
      <c r="BV4918" s="58" t="s">
        <v>5424</v>
      </c>
      <c r="BW4918" s="67"/>
      <c r="BX4918" s="67"/>
      <c r="BY4918" s="67"/>
      <c r="BZ4918" s="67"/>
      <c r="CA4918" s="67"/>
      <c r="CB4918" s="70"/>
      <c r="CC4918" s="70"/>
      <c r="CD4918" s="70"/>
      <c r="CE4918" s="67"/>
      <c r="CF4918" s="67"/>
      <c r="CG4918" s="67"/>
      <c r="CH4918" s="245"/>
      <c r="CI4918" s="245"/>
      <c r="CJ4918" s="67"/>
      <c r="CK4918" s="67"/>
      <c r="CL4918" s="67"/>
      <c r="CM4918" s="242">
        <v>1.2267441860465116</v>
      </c>
      <c r="CN4918" s="242">
        <v>3.75</v>
      </c>
      <c r="CO4918" s="242">
        <v>0.12267441860465117</v>
      </c>
      <c r="CP4918" s="242">
        <v>0.375</v>
      </c>
      <c r="CQ4918" s="242" t="s">
        <v>5427</v>
      </c>
      <c r="CR4918" s="242">
        <v>32.312708764386969</v>
      </c>
      <c r="CS4918" s="242">
        <v>80.8604905969908</v>
      </c>
      <c r="CT4918" s="242">
        <v>3.231270876438697</v>
      </c>
      <c r="CU4918" s="242">
        <v>8.0860490596990804</v>
      </c>
      <c r="CV4918" s="242" t="s">
        <v>5151</v>
      </c>
      <c r="CW4918" s="242"/>
      <c r="CX4918" s="242"/>
      <c r="CY4918" s="242"/>
      <c r="CZ4918" s="242"/>
      <c r="DA4918" s="67" t="s">
        <v>5443</v>
      </c>
      <c r="DB4918" s="67"/>
      <c r="DC4918" s="67"/>
      <c r="DD4918" s="67"/>
      <c r="DE4918" s="67"/>
      <c r="DF4918" s="67"/>
      <c r="DG4918" s="67"/>
      <c r="DH4918" s="67"/>
      <c r="DI4918" s="67"/>
      <c r="DJ4918" s="67"/>
      <c r="DK4918" s="67"/>
      <c r="DL4918" s="67"/>
      <c r="DM4918" s="67"/>
      <c r="DN4918" s="67"/>
      <c r="DO4918" s="67"/>
      <c r="DP4918" s="67"/>
      <c r="DQ4918" s="166"/>
      <c r="DR4918" s="166"/>
      <c r="DS4918" s="163"/>
      <c r="DT4918" s="163"/>
      <c r="DU4918" s="67"/>
      <c r="DV4918" s="67"/>
      <c r="DW4918" s="67"/>
      <c r="DX4918" s="67"/>
      <c r="DY4918" s="67"/>
      <c r="DZ4918" s="67"/>
      <c r="EA4918" s="67"/>
      <c r="EB4918" s="67"/>
      <c r="EC4918" s="67"/>
      <c r="ED4918" s="67"/>
      <c r="EE4918" s="67"/>
      <c r="EF4918" s="67"/>
      <c r="EG4918" s="67"/>
      <c r="EH4918" s="67"/>
      <c r="EI4918" s="67"/>
      <c r="EJ4918" s="67"/>
      <c r="EK4918" s="94"/>
      <c r="EL4918" s="94"/>
      <c r="EM4918" s="67"/>
      <c r="EN4918" s="67"/>
      <c r="EO4918" s="67"/>
      <c r="EP4918" s="67">
        <v>0.5</v>
      </c>
      <c r="EQ4918" s="67">
        <v>5</v>
      </c>
      <c r="ER4918" s="67"/>
      <c r="ES4918" s="67"/>
      <c r="ET4918" s="67" t="s">
        <v>164</v>
      </c>
      <c r="EU4918" s="67"/>
      <c r="EV4918" s="67"/>
      <c r="EW4918" s="67"/>
      <c r="EX4918" s="67"/>
      <c r="EY4918" s="67"/>
      <c r="EZ4918" s="67"/>
      <c r="FA4918" s="67"/>
      <c r="FB4918" s="67"/>
      <c r="FC4918" s="67"/>
      <c r="FD4918" s="67"/>
      <c r="FE4918" s="67"/>
      <c r="FF4918" s="67"/>
      <c r="FG4918" s="67"/>
      <c r="FH4918" s="67"/>
      <c r="FI4918" s="67"/>
      <c r="FJ4918" s="67"/>
      <c r="FK4918" s="67"/>
      <c r="FL4918" s="67"/>
      <c r="FM4918" s="67"/>
      <c r="FN4918" s="67"/>
      <c r="FO4918" s="67"/>
      <c r="FP4918" s="67"/>
      <c r="FQ4918" s="67"/>
      <c r="FR4918" s="67"/>
      <c r="FS4918" s="67"/>
      <c r="FT4918" s="67"/>
      <c r="FU4918" s="67"/>
      <c r="FV4918" s="67"/>
      <c r="FW4918" s="67"/>
      <c r="FX4918" s="67"/>
      <c r="FY4918" s="67"/>
      <c r="FZ4918" s="67"/>
      <c r="GA4918" s="67"/>
      <c r="GB4918" s="67"/>
      <c r="GC4918" s="67"/>
      <c r="GD4918" s="67"/>
      <c r="GE4918" s="67"/>
      <c r="GF4918" s="67"/>
      <c r="GG4918" s="67"/>
      <c r="GH4918" s="67"/>
      <c r="GI4918" s="67"/>
      <c r="GJ4918" s="67"/>
      <c r="GK4918" s="67"/>
      <c r="GL4918" s="67"/>
      <c r="GM4918" s="67"/>
      <c r="GN4918" s="292"/>
      <c r="GO4918" s="292"/>
      <c r="GP4918" s="292" t="s">
        <v>7494</v>
      </c>
      <c r="GQ4918" s="67"/>
      <c r="GR4918" s="67"/>
      <c r="GS4918" s="67"/>
      <c r="GT4918" s="67"/>
      <c r="GU4918" s="67"/>
      <c r="GV4918" s="67"/>
      <c r="GW4918" s="67"/>
      <c r="GX4918" s="67"/>
      <c r="GY4918" s="67"/>
      <c r="GZ4918" s="67"/>
      <c r="HA4918" s="67"/>
      <c r="HB4918" s="67"/>
      <c r="HC4918" s="67"/>
      <c r="HD4918" s="67"/>
      <c r="HE4918" s="67"/>
      <c r="HF4918" s="67"/>
      <c r="HG4918" s="67"/>
      <c r="HH4918" s="67"/>
      <c r="HI4918" s="67"/>
      <c r="HJ4918" s="67"/>
      <c r="HK4918" s="67"/>
      <c r="HL4918" s="67"/>
      <c r="HM4918" s="67"/>
      <c r="HN4918" s="67"/>
      <c r="HO4918" s="67"/>
      <c r="HP4918" s="67"/>
      <c r="HQ4918" s="67"/>
      <c r="HR4918" s="67"/>
      <c r="HS4918" s="67"/>
      <c r="HT4918" s="67"/>
      <c r="HU4918" s="67"/>
      <c r="HV4918" s="67"/>
      <c r="HW4918" s="67"/>
      <c r="HX4918" s="67"/>
      <c r="HY4918" s="67"/>
      <c r="HZ4918" s="67"/>
      <c r="IA4918" s="67"/>
      <c r="IB4918" s="67"/>
      <c r="IC4918" s="67"/>
      <c r="ID4918" s="67"/>
      <c r="IE4918" s="67"/>
      <c r="IF4918" s="67"/>
      <c r="IG4918" s="67"/>
      <c r="IH4918" s="67"/>
      <c r="II4918" s="67"/>
      <c r="IJ4918" s="67"/>
      <c r="IK4918" s="67"/>
      <c r="IL4918" s="67"/>
      <c r="IM4918" s="67"/>
      <c r="IN4918" s="67"/>
      <c r="IO4918" s="67"/>
      <c r="IP4918" s="67"/>
      <c r="IQ4918" s="67"/>
      <c r="IR4918" s="67"/>
      <c r="IS4918" s="67"/>
      <c r="IT4918" s="67"/>
      <c r="IU4918" s="67"/>
      <c r="IV4918" s="67"/>
      <c r="IW4918" s="67"/>
      <c r="IX4918" s="67"/>
      <c r="IY4918" s="67"/>
      <c r="IZ4918" s="67"/>
      <c r="JA4918" s="67"/>
      <c r="JB4918" s="67"/>
      <c r="JC4918" s="67"/>
      <c r="JD4918" s="67"/>
      <c r="JE4918" s="67"/>
      <c r="JF4918" s="67"/>
      <c r="JG4918" s="67"/>
      <c r="JH4918" s="67"/>
      <c r="JI4918" s="67"/>
      <c r="JJ4918" s="67"/>
      <c r="JK4918" s="67"/>
      <c r="JL4918" s="67"/>
      <c r="JM4918" s="67"/>
      <c r="JN4918" s="67"/>
      <c r="JO4918" s="67"/>
      <c r="JP4918" s="67"/>
      <c r="JQ4918" s="67"/>
      <c r="JR4918" s="67"/>
      <c r="JS4918" s="67"/>
      <c r="JT4918" s="67"/>
      <c r="JU4918" s="58"/>
      <c r="JV4918" s="58"/>
      <c r="JW4918" s="58"/>
    </row>
    <row r="4919" spans="1:283" s="23" customFormat="1" x14ac:dyDescent="0.25">
      <c r="A4919" s="55">
        <v>4918</v>
      </c>
      <c r="B4919" s="12" t="s">
        <v>7067</v>
      </c>
      <c r="C4919" s="156">
        <v>232</v>
      </c>
      <c r="D4919" s="58" t="s">
        <v>4935</v>
      </c>
      <c r="E4919" s="160" t="str">
        <f>G4919</f>
        <v>Gehrhardt, 1997</v>
      </c>
      <c r="F4919" s="160"/>
      <c r="G4919" s="60" t="s">
        <v>4794</v>
      </c>
      <c r="H4919" s="58">
        <v>1997</v>
      </c>
      <c r="I4919" s="58">
        <v>1973</v>
      </c>
      <c r="J4919" s="243" t="s">
        <v>350</v>
      </c>
      <c r="K4919" s="63" t="s">
        <v>5111</v>
      </c>
      <c r="L4919" s="58" t="s">
        <v>2737</v>
      </c>
      <c r="M4919" s="94">
        <v>41.66</v>
      </c>
      <c r="N4919" s="94">
        <v>-91.5</v>
      </c>
      <c r="O4919" s="94">
        <v>222</v>
      </c>
      <c r="P4919" s="58"/>
      <c r="Q4919" s="244">
        <v>10.8</v>
      </c>
      <c r="R4919" s="58"/>
      <c r="S4919" s="245">
        <v>789</v>
      </c>
      <c r="T4919" s="58"/>
      <c r="U4919" s="58" t="s">
        <v>1675</v>
      </c>
      <c r="V4919" s="244">
        <v>40</v>
      </c>
      <c r="W4919" s="174"/>
      <c r="X4919" s="174"/>
      <c r="Y4919" s="58" t="s">
        <v>5422</v>
      </c>
      <c r="Z4919" s="244" t="s">
        <v>5426</v>
      </c>
      <c r="AA4919" s="245">
        <v>18</v>
      </c>
      <c r="AB4919" s="67"/>
      <c r="AC4919" s="67"/>
      <c r="AD4919" s="94"/>
      <c r="AE4919" s="94"/>
      <c r="AF4919" s="94"/>
      <c r="AG4919" s="245">
        <v>14</v>
      </c>
      <c r="AH4919" s="58" t="s">
        <v>6378</v>
      </c>
      <c r="AI4919" s="169"/>
      <c r="AJ4919" s="94"/>
      <c r="AK4919" s="94"/>
      <c r="AL4919" s="58"/>
      <c r="AM4919" s="58" t="s">
        <v>5423</v>
      </c>
      <c r="AN4919" s="186" t="s">
        <v>228</v>
      </c>
      <c r="AO4919" s="185" t="s">
        <v>5150</v>
      </c>
      <c r="AP4919" s="58"/>
      <c r="AQ4919" s="58" t="s">
        <v>1545</v>
      </c>
      <c r="AR4919" s="58" t="s">
        <v>658</v>
      </c>
      <c r="AS4919" s="246" t="s">
        <v>4584</v>
      </c>
      <c r="AT4919" s="247" t="s">
        <v>658</v>
      </c>
      <c r="AU4919" s="181" t="s">
        <v>5150</v>
      </c>
      <c r="AV4919" s="185" t="s">
        <v>176</v>
      </c>
      <c r="AW4919" s="244" t="s">
        <v>658</v>
      </c>
      <c r="AX4919" s="185" t="s">
        <v>176</v>
      </c>
      <c r="AY4919" s="244" t="s">
        <v>176</v>
      </c>
      <c r="AZ4919" s="58"/>
      <c r="BA4919" s="58"/>
      <c r="BB4919" s="58"/>
      <c r="BC4919" s="58"/>
      <c r="BD4919" s="58"/>
      <c r="BE4919" s="236" t="s">
        <v>5153</v>
      </c>
      <c r="BF4919" s="191" t="s">
        <v>176</v>
      </c>
      <c r="BG4919" s="191" t="s">
        <v>176</v>
      </c>
      <c r="BH4919" s="236" t="s">
        <v>5155</v>
      </c>
      <c r="BI4919" s="191" t="s">
        <v>479</v>
      </c>
      <c r="BJ4919" s="58" t="str">
        <f>IF(BE4919=BH4919,"No","yes")</f>
        <v>yes</v>
      </c>
      <c r="BK4919" s="58" t="s">
        <v>6335</v>
      </c>
      <c r="BL4919" s="58"/>
      <c r="BM4919" s="237"/>
      <c r="BN4919" s="244">
        <v>5</v>
      </c>
      <c r="BO4919" s="244">
        <v>5</v>
      </c>
      <c r="BP4919" s="58"/>
      <c r="BQ4919" s="58"/>
      <c r="BR4919" s="58"/>
      <c r="BS4919" s="58"/>
      <c r="BT4919" s="58"/>
      <c r="BU4919" s="58"/>
      <c r="BV4919" s="58" t="s">
        <v>5425</v>
      </c>
      <c r="BW4919" s="67"/>
      <c r="BX4919" s="67"/>
      <c r="BY4919" s="67"/>
      <c r="BZ4919" s="67"/>
      <c r="CA4919" s="67"/>
      <c r="CB4919" s="70"/>
      <c r="CC4919" s="70"/>
      <c r="CD4919" s="70"/>
      <c r="CE4919" s="67"/>
      <c r="CF4919" s="67"/>
      <c r="CG4919" s="67"/>
      <c r="CH4919" s="245"/>
      <c r="CI4919" s="245"/>
      <c r="CJ4919" s="67"/>
      <c r="CK4919" s="67"/>
      <c r="CL4919" s="67"/>
      <c r="CM4919" s="242">
        <f>0.92*0.58</f>
        <v>0.53359999999999996</v>
      </c>
      <c r="CN4919" s="242">
        <f>0.81*0.58</f>
        <v>0.4698</v>
      </c>
      <c r="CO4919" s="242"/>
      <c r="CP4919" s="242"/>
      <c r="CQ4919" s="242" t="s">
        <v>5427</v>
      </c>
      <c r="CR4919" s="242"/>
      <c r="CS4919" s="242"/>
      <c r="CT4919" s="242"/>
      <c r="CU4919" s="242"/>
      <c r="CV4919" s="242"/>
      <c r="CW4919" s="242"/>
      <c r="CX4919" s="242"/>
      <c r="CY4919" s="242"/>
      <c r="CZ4919" s="242"/>
      <c r="DA4919" s="67"/>
      <c r="DB4919" s="67"/>
      <c r="DC4919" s="67"/>
      <c r="DD4919" s="67"/>
      <c r="DE4919" s="67"/>
      <c r="DF4919" s="67"/>
      <c r="DG4919" s="67"/>
      <c r="DH4919" s="67"/>
      <c r="DI4919" s="67"/>
      <c r="DJ4919" s="67"/>
      <c r="DK4919" s="67"/>
      <c r="DL4919" s="67"/>
      <c r="DM4919" s="67"/>
      <c r="DN4919" s="67"/>
      <c r="DO4919" s="67"/>
      <c r="DP4919" s="67"/>
      <c r="DQ4919" s="166"/>
      <c r="DR4919" s="166"/>
      <c r="DS4919" s="163"/>
      <c r="DT4919" s="163"/>
      <c r="DU4919" s="67"/>
      <c r="DV4919" s="67"/>
      <c r="DW4919" s="67"/>
      <c r="DX4919" s="67"/>
      <c r="DY4919" s="67"/>
      <c r="DZ4919" s="67"/>
      <c r="EA4919" s="67"/>
      <c r="EB4919" s="67"/>
      <c r="EC4919" s="67"/>
      <c r="ED4919" s="67"/>
      <c r="EE4919" s="67"/>
      <c r="EF4919" s="67"/>
      <c r="EG4919" s="67"/>
      <c r="EH4919" s="67"/>
      <c r="EI4919" s="67"/>
      <c r="EJ4919" s="67"/>
      <c r="EK4919" s="94"/>
      <c r="EL4919" s="94"/>
      <c r="EM4919" s="67"/>
      <c r="EN4919" s="67"/>
      <c r="EO4919" s="67"/>
      <c r="EP4919" s="67">
        <v>1.5</v>
      </c>
      <c r="EQ4919" s="67">
        <v>2</v>
      </c>
      <c r="ER4919" s="67"/>
      <c r="ES4919" s="67"/>
      <c r="ET4919" s="67" t="s">
        <v>164</v>
      </c>
      <c r="EU4919" s="67"/>
      <c r="EV4919" s="67"/>
      <c r="EW4919" s="67"/>
      <c r="EX4919" s="67"/>
      <c r="EY4919" s="67"/>
      <c r="EZ4919" s="67"/>
      <c r="FA4919" s="67"/>
      <c r="FB4919" s="67"/>
      <c r="FC4919" s="67"/>
      <c r="FD4919" s="67"/>
      <c r="FE4919" s="67"/>
      <c r="FF4919" s="67"/>
      <c r="FG4919" s="67"/>
      <c r="FH4919" s="67"/>
      <c r="FI4919" s="67"/>
      <c r="FJ4919" s="67"/>
      <c r="FK4919" s="67"/>
      <c r="FL4919" s="67"/>
      <c r="FM4919" s="67"/>
      <c r="FN4919" s="67"/>
      <c r="FO4919" s="67"/>
      <c r="FP4919" s="67"/>
      <c r="FQ4919" s="67"/>
      <c r="FR4919" s="67"/>
      <c r="FS4919" s="67"/>
      <c r="FT4919" s="67"/>
      <c r="FU4919" s="67"/>
      <c r="FV4919" s="67"/>
      <c r="FW4919" s="67"/>
      <c r="FX4919" s="67"/>
      <c r="FY4919" s="67"/>
      <c r="FZ4919" s="67"/>
      <c r="GA4919" s="67"/>
      <c r="GB4919" s="67"/>
      <c r="GC4919" s="67"/>
      <c r="GD4919" s="67"/>
      <c r="GE4919" s="67"/>
      <c r="GF4919" s="67"/>
      <c r="GG4919" s="67"/>
      <c r="GH4919" s="67"/>
      <c r="GI4919" s="67"/>
      <c r="GJ4919" s="67"/>
      <c r="GK4919" s="67"/>
      <c r="GL4919" s="67"/>
      <c r="GM4919" s="67"/>
      <c r="GN4919" s="292"/>
      <c r="GO4919" s="292"/>
      <c r="GP4919" s="292" t="s">
        <v>7494</v>
      </c>
      <c r="GQ4919" s="67"/>
      <c r="GR4919" s="67"/>
      <c r="GS4919" s="67"/>
      <c r="GT4919" s="67"/>
      <c r="GU4919" s="67"/>
      <c r="GV4919" s="67"/>
      <c r="GW4919" s="67"/>
      <c r="GX4919" s="67"/>
      <c r="GY4919" s="67"/>
      <c r="GZ4919" s="67"/>
      <c r="HA4919" s="67"/>
      <c r="HB4919" s="67"/>
      <c r="HC4919" s="67"/>
      <c r="HD4919" s="67"/>
      <c r="HE4919" s="67"/>
      <c r="HF4919" s="67"/>
      <c r="HG4919" s="67"/>
      <c r="HH4919" s="67"/>
      <c r="HI4919" s="67"/>
      <c r="HJ4919" s="67"/>
      <c r="HK4919" s="67"/>
      <c r="HL4919" s="67"/>
      <c r="HM4919" s="67"/>
      <c r="HN4919" s="67"/>
      <c r="HO4919" s="67"/>
      <c r="HP4919" s="67"/>
      <c r="HQ4919" s="67"/>
      <c r="HR4919" s="67"/>
      <c r="HS4919" s="67"/>
      <c r="HT4919" s="67"/>
      <c r="HU4919" s="67"/>
      <c r="HV4919" s="67"/>
      <c r="HW4919" s="67"/>
      <c r="HX4919" s="67"/>
      <c r="HY4919" s="67"/>
      <c r="HZ4919" s="67"/>
      <c r="IA4919" s="67"/>
      <c r="IB4919" s="67"/>
      <c r="IC4919" s="67"/>
      <c r="ID4919" s="67"/>
      <c r="IE4919" s="67"/>
      <c r="IF4919" s="67"/>
      <c r="IG4919" s="67"/>
      <c r="IH4919" s="67"/>
      <c r="II4919" s="67"/>
      <c r="IJ4919" s="67"/>
      <c r="IK4919" s="67"/>
      <c r="IL4919" s="67"/>
      <c r="IM4919" s="67"/>
      <c r="IN4919" s="67"/>
      <c r="IO4919" s="67"/>
      <c r="IP4919" s="67"/>
      <c r="IQ4919" s="67"/>
      <c r="IR4919" s="67"/>
      <c r="IS4919" s="67"/>
      <c r="IT4919" s="67"/>
      <c r="IU4919" s="67"/>
      <c r="IV4919" s="67"/>
      <c r="IW4919" s="67"/>
      <c r="IX4919" s="67"/>
      <c r="IY4919" s="67"/>
      <c r="IZ4919" s="67"/>
      <c r="JA4919" s="67"/>
      <c r="JB4919" s="67"/>
      <c r="JC4919" s="67"/>
      <c r="JD4919" s="67"/>
      <c r="JE4919" s="67"/>
      <c r="JF4919" s="67"/>
      <c r="JG4919" s="67"/>
      <c r="JH4919" s="67"/>
      <c r="JI4919" s="67"/>
      <c r="JJ4919" s="67"/>
      <c r="JK4919" s="67"/>
      <c r="JL4919" s="67"/>
      <c r="JM4919" s="67"/>
      <c r="JN4919" s="67"/>
      <c r="JO4919" s="67"/>
      <c r="JP4919" s="67"/>
      <c r="JQ4919" s="67"/>
      <c r="JR4919" s="67"/>
      <c r="JS4919" s="67"/>
      <c r="JT4919" s="67"/>
      <c r="JU4919" s="58"/>
      <c r="JV4919" s="58"/>
      <c r="JW4919" s="58"/>
    </row>
    <row r="4920" spans="1:283" s="23" customFormat="1" x14ac:dyDescent="0.25">
      <c r="A4920" s="55">
        <v>4919</v>
      </c>
      <c r="B4920" s="12" t="s">
        <v>7067</v>
      </c>
      <c r="C4920" s="156">
        <v>233</v>
      </c>
      <c r="D4920" s="58" t="s">
        <v>4936</v>
      </c>
      <c r="E4920" s="160" t="str">
        <f>G4920</f>
        <v>Glover et al. 2000_orchard 1</v>
      </c>
      <c r="F4920" s="160"/>
      <c r="G4920" s="60" t="s">
        <v>4793</v>
      </c>
      <c r="H4920" s="58">
        <v>2000</v>
      </c>
      <c r="I4920" s="58">
        <v>1998</v>
      </c>
      <c r="J4920" s="243" t="s">
        <v>5311</v>
      </c>
      <c r="K4920" s="63" t="s">
        <v>5110</v>
      </c>
      <c r="L4920" s="58" t="s">
        <v>2737</v>
      </c>
      <c r="M4920" s="94">
        <v>46.5</v>
      </c>
      <c r="N4920" s="94">
        <v>-120.76</v>
      </c>
      <c r="O4920" s="94">
        <v>882</v>
      </c>
      <c r="P4920" s="58"/>
      <c r="Q4920" s="244">
        <v>10.7</v>
      </c>
      <c r="R4920" s="58"/>
      <c r="S4920" s="245">
        <v>200</v>
      </c>
      <c r="T4920" s="58"/>
      <c r="U4920" s="58" t="s">
        <v>1805</v>
      </c>
      <c r="V4920" s="244">
        <v>4</v>
      </c>
      <c r="W4920" s="174"/>
      <c r="X4920" s="174"/>
      <c r="Y4920" s="58" t="s">
        <v>5428</v>
      </c>
      <c r="Z4920" s="244" t="s">
        <v>1347</v>
      </c>
      <c r="AA4920" s="245">
        <v>7.5</v>
      </c>
      <c r="AB4920" s="67">
        <v>17.5</v>
      </c>
      <c r="AC4920" s="67" t="s">
        <v>7003</v>
      </c>
      <c r="AD4920" s="94"/>
      <c r="AE4920" s="94"/>
      <c r="AF4920" s="94"/>
      <c r="AG4920" s="245"/>
      <c r="AH4920" s="58" t="s">
        <v>139</v>
      </c>
      <c r="AI4920" s="169"/>
      <c r="AJ4920" s="94"/>
      <c r="AK4920" s="94"/>
      <c r="AL4920" s="58"/>
      <c r="AM4920" s="58" t="s">
        <v>5429</v>
      </c>
      <c r="AN4920" s="186"/>
      <c r="AO4920" s="185" t="s">
        <v>5150</v>
      </c>
      <c r="AP4920" s="58"/>
      <c r="AQ4920" s="58"/>
      <c r="AR4920" s="58" t="s">
        <v>3680</v>
      </c>
      <c r="AS4920" s="246" t="s">
        <v>3471</v>
      </c>
      <c r="AT4920" s="247">
        <v>0</v>
      </c>
      <c r="AU4920" s="181" t="s">
        <v>7494</v>
      </c>
      <c r="AV4920" s="185" t="s">
        <v>176</v>
      </c>
      <c r="AW4920" s="244">
        <v>0</v>
      </c>
      <c r="AX4920" s="185" t="s">
        <v>176</v>
      </c>
      <c r="AY4920" s="244" t="s">
        <v>176</v>
      </c>
      <c r="AZ4920" s="58"/>
      <c r="BA4920" s="58"/>
      <c r="BB4920" s="58"/>
      <c r="BC4920" s="58"/>
      <c r="BD4920" s="58"/>
      <c r="BE4920" s="236" t="s">
        <v>5180</v>
      </c>
      <c r="BF4920" s="191" t="s">
        <v>479</v>
      </c>
      <c r="BG4920" s="191" t="s">
        <v>479</v>
      </c>
      <c r="BH4920" s="236" t="s">
        <v>5248</v>
      </c>
      <c r="BI4920" s="191" t="s">
        <v>479</v>
      </c>
      <c r="BJ4920" s="58" t="str">
        <f>IF(BE4920=BH4920,"No","yes")</f>
        <v>yes</v>
      </c>
      <c r="BK4920" s="58" t="s">
        <v>6334</v>
      </c>
      <c r="BL4920" s="58"/>
      <c r="BM4920" s="237"/>
      <c r="BN4920" s="244">
        <v>3</v>
      </c>
      <c r="BO4920" s="244">
        <v>3</v>
      </c>
      <c r="BP4920" s="58"/>
      <c r="BQ4920" s="58"/>
      <c r="BR4920" s="58"/>
      <c r="BS4920" s="58"/>
      <c r="BT4920" s="58"/>
      <c r="BU4920" s="58"/>
      <c r="BV4920" s="58"/>
      <c r="BW4920" s="67"/>
      <c r="BX4920" s="67"/>
      <c r="BY4920" s="67"/>
      <c r="BZ4920" s="67"/>
      <c r="CA4920" s="67"/>
      <c r="CB4920" s="70">
        <v>66000</v>
      </c>
      <c r="CC4920" s="70">
        <v>72000</v>
      </c>
      <c r="CD4920" s="70"/>
      <c r="CE4920" s="67"/>
      <c r="CF4920" s="67"/>
      <c r="CG4920" s="67" t="s">
        <v>2053</v>
      </c>
      <c r="CH4920" s="245">
        <v>1.18</v>
      </c>
      <c r="CI4920" s="245">
        <v>0.93</v>
      </c>
      <c r="CJ4920" s="67">
        <v>0.16</v>
      </c>
      <c r="CK4920" s="67">
        <v>0.2</v>
      </c>
      <c r="CL4920" s="67"/>
      <c r="CM4920" s="242">
        <v>0.94728378965667104</v>
      </c>
      <c r="CN4920" s="242">
        <v>1.3221987190786766</v>
      </c>
      <c r="CO4920" s="242">
        <v>7.2694480660582358E-2</v>
      </c>
      <c r="CP4920" s="242">
        <v>0.13372671719842527</v>
      </c>
      <c r="CQ4920" s="242" t="s">
        <v>164</v>
      </c>
      <c r="CR4920" s="242">
        <v>10.65</v>
      </c>
      <c r="CS4920" s="242">
        <v>12.100000000000001</v>
      </c>
      <c r="CT4920" s="242">
        <v>0.87000000000000011</v>
      </c>
      <c r="CU4920" s="242">
        <v>1.4795</v>
      </c>
      <c r="CV4920" s="242" t="s">
        <v>5151</v>
      </c>
      <c r="CW4920" s="242"/>
      <c r="CX4920" s="242"/>
      <c r="CY4920" s="242"/>
      <c r="CZ4920" s="242"/>
      <c r="DA4920" s="67" t="s">
        <v>5443</v>
      </c>
      <c r="DB4920" s="67">
        <v>1547</v>
      </c>
      <c r="DC4920" s="67">
        <v>1573</v>
      </c>
      <c r="DD4920" s="67">
        <v>295</v>
      </c>
      <c r="DE4920" s="67">
        <v>360</v>
      </c>
      <c r="DF4920" s="67" t="s">
        <v>232</v>
      </c>
      <c r="DG4920" s="67">
        <v>41.8</v>
      </c>
      <c r="DH4920" s="67">
        <v>45.7</v>
      </c>
      <c r="DI4920" s="67">
        <v>14.3</v>
      </c>
      <c r="DJ4920" s="67">
        <v>17.5</v>
      </c>
      <c r="DK4920" s="67" t="s">
        <v>5431</v>
      </c>
      <c r="DL4920" s="67"/>
      <c r="DM4920" s="67"/>
      <c r="DN4920" s="67"/>
      <c r="DO4920" s="67"/>
      <c r="DP4920" s="67"/>
      <c r="DQ4920" s="166">
        <v>6.65</v>
      </c>
      <c r="DR4920" s="166">
        <v>6.78</v>
      </c>
      <c r="DS4920" s="163">
        <v>0.56000000000000005</v>
      </c>
      <c r="DT4920" s="163">
        <v>0.69</v>
      </c>
      <c r="DU4920" s="67"/>
      <c r="DV4920" s="67">
        <v>17.5</v>
      </c>
      <c r="DW4920" s="67">
        <v>18.100000000000001</v>
      </c>
      <c r="DX4920" s="67">
        <v>2.1</v>
      </c>
      <c r="DY4920" s="67">
        <v>2.6</v>
      </c>
      <c r="DZ4920" s="67" t="s">
        <v>5432</v>
      </c>
      <c r="EA4920" s="67">
        <v>0.63</v>
      </c>
      <c r="EB4920" s="67">
        <v>0.5</v>
      </c>
      <c r="EC4920" s="67">
        <v>0.19</v>
      </c>
      <c r="ED4920" s="67">
        <v>0.23</v>
      </c>
      <c r="EE4920" s="67" t="s">
        <v>5433</v>
      </c>
      <c r="EF4920" s="67"/>
      <c r="EG4920" s="67"/>
      <c r="EH4920" s="67"/>
      <c r="EI4920" s="67"/>
      <c r="EJ4920" s="67"/>
      <c r="EK4920" s="94">
        <v>10.6</v>
      </c>
      <c r="EL4920" s="94">
        <v>13.5</v>
      </c>
      <c r="EM4920" s="67">
        <v>9.6</v>
      </c>
      <c r="EN4920" s="67">
        <v>11.6</v>
      </c>
      <c r="EO4920" s="67" t="s">
        <v>5430</v>
      </c>
      <c r="EP4920" s="67">
        <v>55.5</v>
      </c>
      <c r="EQ4920" s="67">
        <v>65</v>
      </c>
      <c r="ER4920" s="67">
        <v>5.87</v>
      </c>
      <c r="ES4920" s="67">
        <v>7.16</v>
      </c>
      <c r="ET4920" s="67" t="s">
        <v>164</v>
      </c>
      <c r="EU4920" s="67"/>
      <c r="EV4920" s="67"/>
      <c r="EW4920" s="67"/>
      <c r="EX4920" s="67"/>
      <c r="EY4920" s="67"/>
      <c r="EZ4920" s="67"/>
      <c r="FA4920" s="67"/>
      <c r="FB4920" s="67"/>
      <c r="FC4920" s="67"/>
      <c r="FD4920" s="67"/>
      <c r="FE4920" s="67"/>
      <c r="FF4920" s="67"/>
      <c r="FG4920" s="67"/>
      <c r="FH4920" s="67"/>
      <c r="FI4920" s="67"/>
      <c r="FJ4920" s="67"/>
      <c r="FK4920" s="67"/>
      <c r="FL4920" s="67"/>
      <c r="FM4920" s="67"/>
      <c r="FN4920" s="67"/>
      <c r="FO4920" s="67"/>
      <c r="FP4920" s="67"/>
      <c r="FQ4920" s="67"/>
      <c r="FR4920" s="67"/>
      <c r="FS4920" s="67"/>
      <c r="FT4920" s="67"/>
      <c r="FU4920" s="67"/>
      <c r="FV4920" s="67"/>
      <c r="FW4920" s="67"/>
      <c r="FX4920" s="67"/>
      <c r="FY4920" s="67"/>
      <c r="FZ4920" s="67"/>
      <c r="GA4920" s="67"/>
      <c r="GB4920" s="67"/>
      <c r="GC4920" s="67"/>
      <c r="GD4920" s="67"/>
      <c r="GE4920" s="67"/>
      <c r="GF4920" s="67"/>
      <c r="GG4920" s="67"/>
      <c r="GH4920" s="67"/>
      <c r="GI4920" s="67"/>
      <c r="GJ4920" s="67"/>
      <c r="GK4920" s="67"/>
      <c r="GL4920" s="67"/>
      <c r="GM4920" s="67"/>
      <c r="GN4920" s="292"/>
      <c r="GO4920" s="292"/>
      <c r="GP4920" s="292" t="s">
        <v>7494</v>
      </c>
      <c r="GQ4920" s="67"/>
      <c r="GR4920" s="67"/>
      <c r="GS4920" s="67"/>
      <c r="GT4920" s="67"/>
      <c r="GU4920" s="67"/>
      <c r="GV4920" s="67"/>
      <c r="GW4920" s="67"/>
      <c r="GX4920" s="67"/>
      <c r="GY4920" s="67"/>
      <c r="GZ4920" s="67"/>
      <c r="HA4920" s="67"/>
      <c r="HB4920" s="67"/>
      <c r="HC4920" s="67"/>
      <c r="HD4920" s="67">
        <v>35</v>
      </c>
      <c r="HE4920" s="67">
        <v>106</v>
      </c>
      <c r="HF4920" s="67"/>
      <c r="HG4920" s="67"/>
      <c r="HH4920" s="67" t="s">
        <v>5390</v>
      </c>
      <c r="HI4920" s="67"/>
      <c r="HJ4920" s="67"/>
      <c r="HK4920" s="67"/>
      <c r="HL4920" s="67"/>
      <c r="HM4920" s="67"/>
      <c r="HN4920" s="67"/>
      <c r="HO4920" s="67"/>
      <c r="HP4920" s="67"/>
      <c r="HQ4920" s="67"/>
      <c r="HR4920" s="67"/>
      <c r="HS4920" s="67"/>
      <c r="HT4920" s="67"/>
      <c r="HU4920" s="67"/>
      <c r="HV4920" s="67"/>
      <c r="HW4920" s="67"/>
      <c r="HX4920" s="67"/>
      <c r="HY4920" s="67"/>
      <c r="HZ4920" s="67"/>
      <c r="IA4920" s="67"/>
      <c r="IB4920" s="67"/>
      <c r="IC4920" s="67"/>
      <c r="ID4920" s="67"/>
      <c r="IE4920" s="67"/>
      <c r="IF4920" s="67"/>
      <c r="IG4920" s="67"/>
      <c r="IH4920" s="67"/>
      <c r="II4920" s="67"/>
      <c r="IJ4920" s="67"/>
      <c r="IK4920" s="67"/>
      <c r="IL4920" s="67"/>
      <c r="IM4920" s="67"/>
      <c r="IN4920" s="67"/>
      <c r="IO4920" s="67"/>
      <c r="IP4920" s="67"/>
      <c r="IQ4920" s="67"/>
      <c r="IR4920" s="67"/>
      <c r="IS4920" s="67"/>
      <c r="IT4920" s="67"/>
      <c r="IU4920" s="67"/>
      <c r="IV4920" s="67"/>
      <c r="IW4920" s="67"/>
      <c r="IX4920" s="67"/>
      <c r="IY4920" s="67"/>
      <c r="IZ4920" s="67"/>
      <c r="JA4920" s="67"/>
      <c r="JB4920" s="67"/>
      <c r="JC4920" s="67"/>
      <c r="JD4920" s="67"/>
      <c r="JE4920" s="67"/>
      <c r="JF4920" s="67"/>
      <c r="JG4920" s="67">
        <v>151</v>
      </c>
      <c r="JH4920" s="67">
        <v>177</v>
      </c>
      <c r="JI4920" s="67">
        <v>23.3</v>
      </c>
      <c r="JJ4920" s="67">
        <v>28.5</v>
      </c>
      <c r="JK4920" s="67" t="s">
        <v>5434</v>
      </c>
      <c r="JL4920" s="67">
        <v>61</v>
      </c>
      <c r="JM4920" s="67">
        <v>72</v>
      </c>
      <c r="JN4920" s="67">
        <v>15.6</v>
      </c>
      <c r="JO4920" s="67">
        <v>19</v>
      </c>
      <c r="JP4920" s="67" t="s">
        <v>5435</v>
      </c>
      <c r="JQ4920" s="67"/>
      <c r="JR4920" s="67"/>
      <c r="JS4920" s="67"/>
      <c r="JT4920" s="67"/>
      <c r="JU4920" s="58"/>
      <c r="JV4920" s="58"/>
      <c r="JW4920" s="58"/>
    </row>
    <row r="4921" spans="1:283" s="23" customFormat="1" x14ac:dyDescent="0.25">
      <c r="A4921" s="55">
        <v>4920</v>
      </c>
      <c r="B4921" s="12" t="s">
        <v>7067</v>
      </c>
      <c r="C4921" s="156">
        <v>233</v>
      </c>
      <c r="D4921" s="58" t="s">
        <v>4937</v>
      </c>
      <c r="E4921" s="160" t="str">
        <f>G4921</f>
        <v>Glover et al. 2000_orchard 2</v>
      </c>
      <c r="F4921" s="160"/>
      <c r="G4921" s="60" t="s">
        <v>4792</v>
      </c>
      <c r="H4921" s="58">
        <v>2000</v>
      </c>
      <c r="I4921" s="58">
        <v>1998</v>
      </c>
      <c r="J4921" s="243" t="s">
        <v>5311</v>
      </c>
      <c r="K4921" s="63" t="s">
        <v>5110</v>
      </c>
      <c r="L4921" s="58" t="s">
        <v>2737</v>
      </c>
      <c r="M4921" s="94">
        <v>46.5</v>
      </c>
      <c r="N4921" s="94">
        <v>-120.76</v>
      </c>
      <c r="O4921" s="94">
        <v>882</v>
      </c>
      <c r="P4921" s="58"/>
      <c r="Q4921" s="244">
        <v>10.7</v>
      </c>
      <c r="R4921" s="58"/>
      <c r="S4921" s="245">
        <v>200</v>
      </c>
      <c r="T4921" s="58"/>
      <c r="U4921" s="58" t="s">
        <v>1805</v>
      </c>
      <c r="V4921" s="244">
        <v>4</v>
      </c>
      <c r="W4921" s="174"/>
      <c r="X4921" s="174"/>
      <c r="Y4921" s="58" t="s">
        <v>5428</v>
      </c>
      <c r="Z4921" s="244" t="s">
        <v>1348</v>
      </c>
      <c r="AA4921" s="245">
        <v>7.5</v>
      </c>
      <c r="AB4921" s="67">
        <v>17</v>
      </c>
      <c r="AC4921" s="67" t="s">
        <v>7003</v>
      </c>
      <c r="AD4921" s="94"/>
      <c r="AE4921" s="94"/>
      <c r="AF4921" s="94"/>
      <c r="AG4921" s="245"/>
      <c r="AH4921" s="58" t="s">
        <v>139</v>
      </c>
      <c r="AI4921" s="169"/>
      <c r="AJ4921" s="94"/>
      <c r="AK4921" s="94"/>
      <c r="AL4921" s="58"/>
      <c r="AM4921" s="58" t="s">
        <v>5429</v>
      </c>
      <c r="AN4921" s="186"/>
      <c r="AO4921" s="185" t="s">
        <v>5150</v>
      </c>
      <c r="AP4921" s="58"/>
      <c r="AQ4921" s="58"/>
      <c r="AR4921" s="58" t="s">
        <v>3680</v>
      </c>
      <c r="AS4921" s="246" t="s">
        <v>3471</v>
      </c>
      <c r="AT4921" s="247">
        <v>0</v>
      </c>
      <c r="AU4921" s="181" t="s">
        <v>7494</v>
      </c>
      <c r="AV4921" s="185" t="s">
        <v>176</v>
      </c>
      <c r="AW4921" s="244">
        <v>0</v>
      </c>
      <c r="AX4921" s="185" t="s">
        <v>176</v>
      </c>
      <c r="AY4921" s="244" t="s">
        <v>176</v>
      </c>
      <c r="AZ4921" s="58"/>
      <c r="BA4921" s="58"/>
      <c r="BB4921" s="58"/>
      <c r="BC4921" s="58"/>
      <c r="BD4921" s="58"/>
      <c r="BE4921" s="236" t="s">
        <v>5181</v>
      </c>
      <c r="BF4921" s="191" t="s">
        <v>479</v>
      </c>
      <c r="BG4921" s="191" t="s">
        <v>479</v>
      </c>
      <c r="BH4921" s="236" t="s">
        <v>5249</v>
      </c>
      <c r="BI4921" s="191" t="s">
        <v>479</v>
      </c>
      <c r="BJ4921" s="58" t="str">
        <f>IF(BE4921=BH4921,"No","yes")</f>
        <v>yes</v>
      </c>
      <c r="BK4921" s="58" t="s">
        <v>6334</v>
      </c>
      <c r="BL4921" s="58"/>
      <c r="BM4921" s="237"/>
      <c r="BN4921" s="244">
        <v>3</v>
      </c>
      <c r="BO4921" s="244">
        <v>3</v>
      </c>
      <c r="BP4921" s="58"/>
      <c r="BQ4921" s="58"/>
      <c r="BR4921" s="58"/>
      <c r="BS4921" s="58"/>
      <c r="BT4921" s="58"/>
      <c r="BU4921" s="58"/>
      <c r="BV4921" s="58"/>
      <c r="BW4921" s="67"/>
      <c r="BX4921" s="67"/>
      <c r="BY4921" s="67"/>
      <c r="BZ4921" s="67"/>
      <c r="CA4921" s="67"/>
      <c r="CB4921" s="70">
        <v>64000</v>
      </c>
      <c r="CC4921" s="70">
        <v>72000</v>
      </c>
      <c r="CD4921" s="70"/>
      <c r="CE4921" s="67"/>
      <c r="CF4921" s="67"/>
      <c r="CG4921" s="67" t="s">
        <v>2053</v>
      </c>
      <c r="CH4921" s="245">
        <v>1.3</v>
      </c>
      <c r="CI4921" s="245">
        <v>1.22</v>
      </c>
      <c r="CJ4921" s="67">
        <v>0.06</v>
      </c>
      <c r="CK4921" s="67">
        <v>7.0000000000000007E-2</v>
      </c>
      <c r="CL4921" s="67"/>
      <c r="CM4921" s="242">
        <v>1.1811755952380951</v>
      </c>
      <c r="CN4921" s="242">
        <v>1.3221987190786766</v>
      </c>
      <c r="CO4921" s="242">
        <v>9.1968005952380943E-2</v>
      </c>
      <c r="CP4921" s="242">
        <v>0.13372671719842527</v>
      </c>
      <c r="CQ4921" s="242" t="s">
        <v>164</v>
      </c>
      <c r="CR4921" s="242">
        <v>12.649999999999999</v>
      </c>
      <c r="CS4921" s="242">
        <v>12.100000000000001</v>
      </c>
      <c r="CT4921" s="242">
        <v>0.96350000000000002</v>
      </c>
      <c r="CU4921" s="242">
        <v>1.4795</v>
      </c>
      <c r="CV4921" s="242" t="s">
        <v>5151</v>
      </c>
      <c r="CW4921" s="242"/>
      <c r="CX4921" s="242"/>
      <c r="CY4921" s="242"/>
      <c r="CZ4921" s="242"/>
      <c r="DA4921" s="67" t="s">
        <v>5443</v>
      </c>
      <c r="DB4921" s="67">
        <v>1041</v>
      </c>
      <c r="DC4921" s="67">
        <v>1070</v>
      </c>
      <c r="DD4921" s="67">
        <v>143</v>
      </c>
      <c r="DE4921" s="67">
        <v>174</v>
      </c>
      <c r="DF4921" s="67" t="s">
        <v>232</v>
      </c>
      <c r="DG4921" s="67">
        <v>33.5</v>
      </c>
      <c r="DH4921" s="67">
        <v>37</v>
      </c>
      <c r="DI4921" s="67">
        <v>8.3000000000000007</v>
      </c>
      <c r="DJ4921" s="67">
        <v>10.1</v>
      </c>
      <c r="DK4921" s="67" t="s">
        <v>5431</v>
      </c>
      <c r="DL4921" s="67"/>
      <c r="DM4921" s="67"/>
      <c r="DN4921" s="67"/>
      <c r="DO4921" s="67"/>
      <c r="DP4921" s="67"/>
      <c r="DQ4921" s="166">
        <v>6.45</v>
      </c>
      <c r="DR4921" s="166">
        <v>6.5</v>
      </c>
      <c r="DS4921" s="163">
        <v>0.76</v>
      </c>
      <c r="DT4921" s="163">
        <v>0.92</v>
      </c>
      <c r="DU4921" s="67"/>
      <c r="DV4921" s="67">
        <v>17</v>
      </c>
      <c r="DW4921" s="67">
        <v>18.100000000000001</v>
      </c>
      <c r="DX4921" s="67">
        <v>2.1</v>
      </c>
      <c r="DY4921" s="67">
        <v>2.6</v>
      </c>
      <c r="DZ4921" s="67" t="s">
        <v>5432</v>
      </c>
      <c r="EA4921" s="67">
        <v>0.6</v>
      </c>
      <c r="EB4921" s="67">
        <v>0.45</v>
      </c>
      <c r="EC4921" s="67">
        <v>0.22</v>
      </c>
      <c r="ED4921" s="67">
        <v>0.26</v>
      </c>
      <c r="EE4921" s="67" t="s">
        <v>5433</v>
      </c>
      <c r="EF4921" s="67"/>
      <c r="EG4921" s="67"/>
      <c r="EH4921" s="67"/>
      <c r="EI4921" s="67"/>
      <c r="EJ4921" s="67"/>
      <c r="EK4921" s="94"/>
      <c r="EL4921" s="94"/>
      <c r="EM4921" s="67"/>
      <c r="EN4921" s="67"/>
      <c r="EO4921" s="67"/>
      <c r="EP4921" s="67">
        <v>51</v>
      </c>
      <c r="EQ4921" s="67">
        <v>54</v>
      </c>
      <c r="ER4921" s="67">
        <v>2.2200000000000002</v>
      </c>
      <c r="ES4921" s="67">
        <v>2.71</v>
      </c>
      <c r="ET4921" s="67" t="s">
        <v>164</v>
      </c>
      <c r="EU4921" s="67"/>
      <c r="EV4921" s="67"/>
      <c r="EW4921" s="67"/>
      <c r="EX4921" s="67"/>
      <c r="EY4921" s="67"/>
      <c r="EZ4921" s="67"/>
      <c r="FA4921" s="67"/>
      <c r="FB4921" s="67"/>
      <c r="FC4921" s="67"/>
      <c r="FD4921" s="67"/>
      <c r="FE4921" s="67"/>
      <c r="FF4921" s="67"/>
      <c r="FG4921" s="67"/>
      <c r="FH4921" s="67"/>
      <c r="FI4921" s="67"/>
      <c r="FJ4921" s="67"/>
      <c r="FK4921" s="67"/>
      <c r="FL4921" s="67"/>
      <c r="FM4921" s="67"/>
      <c r="FN4921" s="67"/>
      <c r="FO4921" s="67"/>
      <c r="FP4921" s="67"/>
      <c r="FQ4921" s="67"/>
      <c r="FR4921" s="67"/>
      <c r="FS4921" s="67"/>
      <c r="FT4921" s="67"/>
      <c r="FU4921" s="67"/>
      <c r="FV4921" s="67"/>
      <c r="FW4921" s="67"/>
      <c r="FX4921" s="67"/>
      <c r="FY4921" s="67"/>
      <c r="FZ4921" s="67"/>
      <c r="GA4921" s="67"/>
      <c r="GB4921" s="67"/>
      <c r="GC4921" s="67"/>
      <c r="GD4921" s="67"/>
      <c r="GE4921" s="67"/>
      <c r="GF4921" s="67"/>
      <c r="GG4921" s="67"/>
      <c r="GH4921" s="67"/>
      <c r="GI4921" s="67"/>
      <c r="GJ4921" s="67"/>
      <c r="GK4921" s="67"/>
      <c r="GL4921" s="67"/>
      <c r="GM4921" s="67"/>
      <c r="GN4921" s="292"/>
      <c r="GO4921" s="292"/>
      <c r="GP4921" s="292" t="s">
        <v>7494</v>
      </c>
      <c r="GQ4921" s="67"/>
      <c r="GR4921" s="67"/>
      <c r="GS4921" s="67"/>
      <c r="GT4921" s="67"/>
      <c r="GU4921" s="67"/>
      <c r="GV4921" s="67"/>
      <c r="GW4921" s="67"/>
      <c r="GX4921" s="67"/>
      <c r="GY4921" s="67"/>
      <c r="GZ4921" s="67"/>
      <c r="HA4921" s="67"/>
      <c r="HB4921" s="67"/>
      <c r="HC4921" s="67"/>
      <c r="HD4921" s="67"/>
      <c r="HE4921" s="67"/>
      <c r="HF4921" s="67"/>
      <c r="HG4921" s="67"/>
      <c r="HH4921" s="67"/>
      <c r="HI4921" s="67"/>
      <c r="HJ4921" s="67"/>
      <c r="HK4921" s="67"/>
      <c r="HL4921" s="67"/>
      <c r="HM4921" s="67"/>
      <c r="HN4921" s="67"/>
      <c r="HO4921" s="67"/>
      <c r="HP4921" s="67"/>
      <c r="HQ4921" s="67"/>
      <c r="HR4921" s="67"/>
      <c r="HS4921" s="67"/>
      <c r="HT4921" s="67"/>
      <c r="HU4921" s="67"/>
      <c r="HV4921" s="67"/>
      <c r="HW4921" s="67"/>
      <c r="HX4921" s="67"/>
      <c r="HY4921" s="67"/>
      <c r="HZ4921" s="67"/>
      <c r="IA4921" s="67"/>
      <c r="IB4921" s="67"/>
      <c r="IC4921" s="67"/>
      <c r="ID4921" s="67"/>
      <c r="IE4921" s="67"/>
      <c r="IF4921" s="67"/>
      <c r="IG4921" s="67"/>
      <c r="IH4921" s="67"/>
      <c r="II4921" s="67"/>
      <c r="IJ4921" s="67"/>
      <c r="IK4921" s="67"/>
      <c r="IL4921" s="67"/>
      <c r="IM4921" s="67"/>
      <c r="IN4921" s="67"/>
      <c r="IO4921" s="67"/>
      <c r="IP4921" s="67"/>
      <c r="IQ4921" s="67"/>
      <c r="IR4921" s="67"/>
      <c r="IS4921" s="67"/>
      <c r="IT4921" s="67"/>
      <c r="IU4921" s="67"/>
      <c r="IV4921" s="67"/>
      <c r="IW4921" s="67"/>
      <c r="IX4921" s="67"/>
      <c r="IY4921" s="67"/>
      <c r="IZ4921" s="67"/>
      <c r="JA4921" s="67"/>
      <c r="JB4921" s="67"/>
      <c r="JC4921" s="67"/>
      <c r="JD4921" s="67"/>
      <c r="JE4921" s="67"/>
      <c r="JF4921" s="67"/>
      <c r="JG4921" s="67">
        <v>83</v>
      </c>
      <c r="JH4921" s="67">
        <v>93</v>
      </c>
      <c r="JI4921" s="67">
        <v>24.8</v>
      </c>
      <c r="JJ4921" s="67">
        <v>30.3</v>
      </c>
      <c r="JK4921" s="67" t="s">
        <v>5434</v>
      </c>
      <c r="JL4921" s="67">
        <v>25</v>
      </c>
      <c r="JM4921" s="67">
        <v>32</v>
      </c>
      <c r="JN4921" s="67">
        <v>9.6999999999999993</v>
      </c>
      <c r="JO4921" s="67">
        <v>11.8</v>
      </c>
      <c r="JP4921" s="67" t="s">
        <v>5435</v>
      </c>
      <c r="JQ4921" s="67"/>
      <c r="JR4921" s="67"/>
      <c r="JS4921" s="67"/>
      <c r="JT4921" s="67"/>
      <c r="JU4921" s="58"/>
      <c r="JV4921" s="58"/>
      <c r="JW4921" s="58"/>
    </row>
    <row r="4922" spans="1:283" s="23" customFormat="1" x14ac:dyDescent="0.25">
      <c r="A4922" s="55">
        <v>4921</v>
      </c>
      <c r="B4922" s="12" t="s">
        <v>7067</v>
      </c>
      <c r="C4922" s="156">
        <v>234</v>
      </c>
      <c r="D4922" s="58" t="s">
        <v>4941</v>
      </c>
      <c r="E4922" s="160" t="str">
        <f>G4922</f>
        <v>Gosling &amp; Shepherd 2005_pair 1</v>
      </c>
      <c r="F4922" s="160"/>
      <c r="G4922" s="60" t="s">
        <v>4791</v>
      </c>
      <c r="H4922" s="58">
        <v>2005</v>
      </c>
      <c r="I4922" s="58">
        <v>2001</v>
      </c>
      <c r="J4922" s="243" t="s">
        <v>2114</v>
      </c>
      <c r="K4922" s="63" t="s">
        <v>5109</v>
      </c>
      <c r="L4922" s="58" t="s">
        <v>5327</v>
      </c>
      <c r="M4922" s="94">
        <v>51.86</v>
      </c>
      <c r="N4922" s="94">
        <v>-2.23</v>
      </c>
      <c r="O4922" s="94">
        <v>22</v>
      </c>
      <c r="P4922" s="58"/>
      <c r="Q4922" s="244"/>
      <c r="R4922" s="58"/>
      <c r="S4922" s="245"/>
      <c r="T4922" s="58"/>
      <c r="U4922" s="58" t="s">
        <v>1677</v>
      </c>
      <c r="V4922" s="244">
        <v>15</v>
      </c>
      <c r="W4922" s="174"/>
      <c r="X4922" s="174"/>
      <c r="Y4922" s="58" t="s">
        <v>2188</v>
      </c>
      <c r="Z4922" s="244" t="s">
        <v>1356</v>
      </c>
      <c r="AA4922" s="245">
        <v>30</v>
      </c>
      <c r="AB4922" s="67"/>
      <c r="AC4922" s="67"/>
      <c r="AD4922" s="94"/>
      <c r="AE4922" s="94"/>
      <c r="AF4922" s="94"/>
      <c r="AG4922" s="245"/>
      <c r="AH4922" s="58"/>
      <c r="AI4922" s="169"/>
      <c r="AJ4922" s="94"/>
      <c r="AK4922" s="94"/>
      <c r="AL4922" s="58"/>
      <c r="AM4922" s="58"/>
      <c r="AN4922" s="186"/>
      <c r="AO4922" s="185" t="s">
        <v>5150</v>
      </c>
      <c r="AP4922" s="58"/>
      <c r="AQ4922" s="58"/>
      <c r="AR4922" s="58" t="s">
        <v>4584</v>
      </c>
      <c r="AS4922" s="246" t="s">
        <v>5133</v>
      </c>
      <c r="AT4922" s="247">
        <v>1</v>
      </c>
      <c r="AU4922" s="181" t="s">
        <v>7494</v>
      </c>
      <c r="AV4922" s="185" t="s">
        <v>176</v>
      </c>
      <c r="AW4922" s="244">
        <v>1</v>
      </c>
      <c r="AX4922" s="185" t="s">
        <v>176</v>
      </c>
      <c r="AY4922" s="244" t="s">
        <v>176</v>
      </c>
      <c r="AZ4922" s="58"/>
      <c r="BA4922" s="58"/>
      <c r="BB4922" s="58"/>
      <c r="BC4922" s="58"/>
      <c r="BD4922" s="58"/>
      <c r="BE4922" s="236" t="s">
        <v>5155</v>
      </c>
      <c r="BF4922" s="191" t="s">
        <v>176</v>
      </c>
      <c r="BG4922" s="191" t="s">
        <v>479</v>
      </c>
      <c r="BH4922" s="236" t="s">
        <v>5155</v>
      </c>
      <c r="BI4922" s="191" t="s">
        <v>479</v>
      </c>
      <c r="BJ4922" s="58" t="str">
        <f>IF(BE4922=BH4922,"No","yes")</f>
        <v>No</v>
      </c>
      <c r="BK4922" s="58" t="s">
        <v>6334</v>
      </c>
      <c r="BL4922" s="58"/>
      <c r="BM4922" s="237"/>
      <c r="BN4922" s="244">
        <v>8</v>
      </c>
      <c r="BO4922" s="244">
        <v>8</v>
      </c>
      <c r="BP4922" s="58"/>
      <c r="BQ4922" s="58"/>
      <c r="BR4922" s="58"/>
      <c r="BS4922" s="58"/>
      <c r="BT4922" s="58"/>
      <c r="BU4922" s="58"/>
      <c r="BV4922" s="58" t="s">
        <v>5436</v>
      </c>
      <c r="BW4922" s="67"/>
      <c r="BX4922" s="67"/>
      <c r="BY4922" s="67"/>
      <c r="BZ4922" s="67"/>
      <c r="CA4922" s="67"/>
      <c r="CB4922" s="70"/>
      <c r="CC4922" s="70"/>
      <c r="CD4922" s="70"/>
      <c r="CE4922" s="67"/>
      <c r="CF4922" s="67"/>
      <c r="CG4922" s="67"/>
      <c r="CH4922" s="245"/>
      <c r="CI4922" s="245"/>
      <c r="CJ4922" s="67"/>
      <c r="CK4922" s="67"/>
      <c r="CL4922" s="67"/>
      <c r="CM4922" s="242">
        <v>2.0813953488372094</v>
      </c>
      <c r="CN4922" s="242">
        <v>2.4069767441860463</v>
      </c>
      <c r="CO4922" s="242">
        <v>0.76279069767441854</v>
      </c>
      <c r="CP4922" s="242">
        <v>1.0854651162790698</v>
      </c>
      <c r="CQ4922" s="242" t="s">
        <v>164</v>
      </c>
      <c r="CR4922" s="242">
        <v>84.995601298200839</v>
      </c>
      <c r="CS4922" s="242">
        <v>95.744899238039707</v>
      </c>
      <c r="CT4922" s="242">
        <v>8.4995601298200842</v>
      </c>
      <c r="CU4922" s="242">
        <v>9.5744899238039718</v>
      </c>
      <c r="CV4922" s="242" t="s">
        <v>5151</v>
      </c>
      <c r="CW4922" s="242"/>
      <c r="CX4922" s="242"/>
      <c r="CY4922" s="242"/>
      <c r="CZ4922" s="242"/>
      <c r="DA4922" s="67" t="s">
        <v>5443</v>
      </c>
      <c r="DB4922" s="67">
        <v>2600</v>
      </c>
      <c r="DC4922" s="67">
        <v>2800</v>
      </c>
      <c r="DD4922" s="67">
        <v>960</v>
      </c>
      <c r="DE4922" s="67">
        <v>1220</v>
      </c>
      <c r="DF4922" s="67" t="s">
        <v>5439</v>
      </c>
      <c r="DG4922" s="67">
        <v>42.25</v>
      </c>
      <c r="DH4922" s="67">
        <v>27.88</v>
      </c>
      <c r="DI4922" s="67">
        <v>22.99</v>
      </c>
      <c r="DJ4922" s="67">
        <v>13.15</v>
      </c>
      <c r="DK4922" s="67" t="s">
        <v>5438</v>
      </c>
      <c r="DL4922" s="67">
        <v>212.75</v>
      </c>
      <c r="DM4922" s="67">
        <v>141</v>
      </c>
      <c r="DN4922" s="67">
        <v>81.66</v>
      </c>
      <c r="DO4922" s="67">
        <v>91.64</v>
      </c>
      <c r="DP4922" s="67" t="s">
        <v>5438</v>
      </c>
      <c r="DQ4922" s="166">
        <v>7.46</v>
      </c>
      <c r="DR4922" s="166">
        <v>6.9</v>
      </c>
      <c r="DS4922" s="163">
        <v>0.51</v>
      </c>
      <c r="DT4922" s="163">
        <v>0.59</v>
      </c>
      <c r="DU4922" s="67"/>
      <c r="DV4922" s="67"/>
      <c r="DW4922" s="67"/>
      <c r="DX4922" s="67"/>
      <c r="DY4922" s="67"/>
      <c r="DZ4922" s="67"/>
      <c r="EA4922" s="67"/>
      <c r="EB4922" s="67"/>
      <c r="EC4922" s="67"/>
      <c r="ED4922" s="67"/>
      <c r="EE4922" s="67"/>
      <c r="EF4922" s="67"/>
      <c r="EG4922" s="67"/>
      <c r="EH4922" s="67"/>
      <c r="EI4922" s="67"/>
      <c r="EJ4922" s="67"/>
      <c r="EK4922" s="94"/>
      <c r="EL4922" s="94"/>
      <c r="EM4922" s="67"/>
      <c r="EN4922" s="67"/>
      <c r="EO4922" s="67"/>
      <c r="EP4922" s="67"/>
      <c r="EQ4922" s="67"/>
      <c r="ER4922" s="67"/>
      <c r="ES4922" s="67"/>
      <c r="ET4922" s="67"/>
      <c r="EU4922" s="67"/>
      <c r="EV4922" s="67"/>
      <c r="EW4922" s="67"/>
      <c r="EX4922" s="67"/>
      <c r="EY4922" s="67"/>
      <c r="EZ4922" s="67"/>
      <c r="FA4922" s="67"/>
      <c r="FB4922" s="67"/>
      <c r="FC4922" s="67"/>
      <c r="FD4922" s="67"/>
      <c r="FE4922" s="67"/>
      <c r="FF4922" s="67"/>
      <c r="FG4922" s="67"/>
      <c r="FH4922" s="67"/>
      <c r="FI4922" s="67"/>
      <c r="FJ4922" s="67"/>
      <c r="FK4922" s="67"/>
      <c r="FL4922" s="67"/>
      <c r="FM4922" s="67"/>
      <c r="FN4922" s="67"/>
      <c r="FO4922" s="67"/>
      <c r="FP4922" s="67"/>
      <c r="FQ4922" s="67"/>
      <c r="FR4922" s="67"/>
      <c r="FS4922" s="67"/>
      <c r="FT4922" s="67"/>
      <c r="FU4922" s="67"/>
      <c r="FV4922" s="67"/>
      <c r="FW4922" s="67"/>
      <c r="FX4922" s="67"/>
      <c r="FY4922" s="67"/>
      <c r="FZ4922" s="67"/>
      <c r="GA4922" s="67"/>
      <c r="GB4922" s="67"/>
      <c r="GC4922" s="67"/>
      <c r="GD4922" s="67"/>
      <c r="GE4922" s="67"/>
      <c r="GF4922" s="67"/>
      <c r="GG4922" s="67"/>
      <c r="GH4922" s="67"/>
      <c r="GI4922" s="67"/>
      <c r="GJ4922" s="67"/>
      <c r="GK4922" s="67"/>
      <c r="GL4922" s="67"/>
      <c r="GM4922" s="67"/>
      <c r="GN4922" s="292"/>
      <c r="GO4922" s="292"/>
      <c r="GP4922" s="292" t="s">
        <v>7494</v>
      </c>
      <c r="GQ4922" s="67"/>
      <c r="GR4922" s="67"/>
      <c r="GS4922" s="67"/>
      <c r="GT4922" s="67"/>
      <c r="GU4922" s="67"/>
      <c r="GV4922" s="67"/>
      <c r="GW4922" s="67"/>
      <c r="GX4922" s="67"/>
      <c r="GY4922" s="67"/>
      <c r="GZ4922" s="67"/>
      <c r="HA4922" s="67"/>
      <c r="HB4922" s="67"/>
      <c r="HC4922" s="67"/>
      <c r="HD4922" s="67"/>
      <c r="HE4922" s="67"/>
      <c r="HF4922" s="67"/>
      <c r="HG4922" s="67"/>
      <c r="HH4922" s="67"/>
      <c r="HI4922" s="67"/>
      <c r="HJ4922" s="67"/>
      <c r="HK4922" s="67"/>
      <c r="HL4922" s="67"/>
      <c r="HM4922" s="67"/>
      <c r="HN4922" s="67"/>
      <c r="HO4922" s="67"/>
      <c r="HP4922" s="67"/>
      <c r="HQ4922" s="67"/>
      <c r="HR4922" s="67"/>
      <c r="HS4922" s="67"/>
      <c r="HT4922" s="67"/>
      <c r="HU4922" s="67"/>
      <c r="HV4922" s="67"/>
      <c r="HW4922" s="67"/>
      <c r="HX4922" s="67"/>
      <c r="HY4922" s="67"/>
      <c r="HZ4922" s="67"/>
      <c r="IA4922" s="67"/>
      <c r="IB4922" s="67"/>
      <c r="IC4922" s="67"/>
      <c r="ID4922" s="67"/>
      <c r="IE4922" s="67"/>
      <c r="IF4922" s="67"/>
      <c r="IG4922" s="67"/>
      <c r="IH4922" s="67"/>
      <c r="II4922" s="67"/>
      <c r="IJ4922" s="67"/>
      <c r="IK4922" s="67"/>
      <c r="IL4922" s="67"/>
      <c r="IM4922" s="67"/>
      <c r="IN4922" s="67"/>
      <c r="IO4922" s="67"/>
      <c r="IP4922" s="67"/>
      <c r="IQ4922" s="67"/>
      <c r="IR4922" s="67"/>
      <c r="IS4922" s="67"/>
      <c r="IT4922" s="67"/>
      <c r="IU4922" s="67"/>
      <c r="IV4922" s="67"/>
      <c r="IW4922" s="67"/>
      <c r="IX4922" s="67"/>
      <c r="IY4922" s="67"/>
      <c r="IZ4922" s="67"/>
      <c r="JA4922" s="67"/>
      <c r="JB4922" s="67"/>
      <c r="JC4922" s="67"/>
      <c r="JD4922" s="67"/>
      <c r="JE4922" s="67"/>
      <c r="JF4922" s="67"/>
      <c r="JG4922" s="67"/>
      <c r="JH4922" s="67"/>
      <c r="JI4922" s="67"/>
      <c r="JJ4922" s="67"/>
      <c r="JK4922" s="67"/>
      <c r="JL4922" s="67"/>
      <c r="JM4922" s="67"/>
      <c r="JN4922" s="67"/>
      <c r="JO4922" s="67"/>
      <c r="JP4922" s="67"/>
      <c r="JQ4922" s="67"/>
      <c r="JR4922" s="67"/>
      <c r="JS4922" s="67"/>
      <c r="JT4922" s="67"/>
      <c r="JU4922" s="58"/>
      <c r="JV4922" s="58"/>
      <c r="JW4922" s="58"/>
    </row>
    <row r="4923" spans="1:283" s="23" customFormat="1" x14ac:dyDescent="0.25">
      <c r="A4923" s="55">
        <v>4922</v>
      </c>
      <c r="B4923" s="12" t="s">
        <v>7067</v>
      </c>
      <c r="C4923" s="156">
        <v>234</v>
      </c>
      <c r="D4923" s="58" t="s">
        <v>4942</v>
      </c>
      <c r="E4923" s="160" t="str">
        <f>G4923</f>
        <v>Gosling &amp; Shepherd 2005_pair 2</v>
      </c>
      <c r="F4923" s="160"/>
      <c r="G4923" s="60" t="s">
        <v>4790</v>
      </c>
      <c r="H4923" s="58">
        <v>2005</v>
      </c>
      <c r="I4923" s="58">
        <v>2001</v>
      </c>
      <c r="J4923" s="243" t="s">
        <v>2114</v>
      </c>
      <c r="K4923" s="63" t="s">
        <v>5109</v>
      </c>
      <c r="L4923" s="58" t="s">
        <v>5327</v>
      </c>
      <c r="M4923" s="94">
        <v>51.06</v>
      </c>
      <c r="N4923" s="94">
        <v>-1.31</v>
      </c>
      <c r="O4923" s="94">
        <v>35</v>
      </c>
      <c r="P4923" s="58"/>
      <c r="Q4923" s="244"/>
      <c r="R4923" s="58"/>
      <c r="S4923" s="245"/>
      <c r="T4923" s="58"/>
      <c r="U4923" s="58" t="s">
        <v>1677</v>
      </c>
      <c r="V4923" s="244">
        <v>15</v>
      </c>
      <c r="W4923" s="174"/>
      <c r="X4923" s="174"/>
      <c r="Y4923" s="58" t="s">
        <v>2188</v>
      </c>
      <c r="Z4923" s="244" t="s">
        <v>1356</v>
      </c>
      <c r="AA4923" s="245">
        <v>30</v>
      </c>
      <c r="AB4923" s="67"/>
      <c r="AC4923" s="67"/>
      <c r="AD4923" s="94"/>
      <c r="AE4923" s="94"/>
      <c r="AF4923" s="94"/>
      <c r="AG4923" s="245"/>
      <c r="AH4923" s="58"/>
      <c r="AI4923" s="169"/>
      <c r="AJ4923" s="94"/>
      <c r="AK4923" s="94"/>
      <c r="AL4923" s="58"/>
      <c r="AM4923" s="58"/>
      <c r="AN4923" s="186"/>
      <c r="AO4923" s="185" t="s">
        <v>5150</v>
      </c>
      <c r="AP4923" s="58"/>
      <c r="AQ4923" s="58"/>
      <c r="AR4923" s="58" t="s">
        <v>4584</v>
      </c>
      <c r="AS4923" s="246" t="s">
        <v>5133</v>
      </c>
      <c r="AT4923" s="247">
        <v>1</v>
      </c>
      <c r="AU4923" s="181" t="s">
        <v>7494</v>
      </c>
      <c r="AV4923" s="185" t="s">
        <v>176</v>
      </c>
      <c r="AW4923" s="244">
        <v>1</v>
      </c>
      <c r="AX4923" s="185" t="s">
        <v>176</v>
      </c>
      <c r="AY4923" s="244" t="s">
        <v>176</v>
      </c>
      <c r="AZ4923" s="58"/>
      <c r="BA4923" s="58"/>
      <c r="BB4923" s="58"/>
      <c r="BC4923" s="58"/>
      <c r="BD4923" s="58"/>
      <c r="BE4923" s="236" t="s">
        <v>5155</v>
      </c>
      <c r="BF4923" s="191" t="s">
        <v>176</v>
      </c>
      <c r="BG4923" s="191" t="s">
        <v>479</v>
      </c>
      <c r="BH4923" s="236" t="s">
        <v>5155</v>
      </c>
      <c r="BI4923" s="191" t="s">
        <v>479</v>
      </c>
      <c r="BJ4923" s="58" t="str">
        <f>IF(BE4923=BH4923,"No","yes")</f>
        <v>No</v>
      </c>
      <c r="BK4923" s="58" t="s">
        <v>6334</v>
      </c>
      <c r="BL4923" s="58"/>
      <c r="BM4923" s="237"/>
      <c r="BN4923" s="244">
        <v>8</v>
      </c>
      <c r="BO4923" s="244">
        <v>8</v>
      </c>
      <c r="BP4923" s="58"/>
      <c r="BQ4923" s="58"/>
      <c r="BR4923" s="58"/>
      <c r="BS4923" s="58"/>
      <c r="BT4923" s="58"/>
      <c r="BU4923" s="58"/>
      <c r="BV4923" s="58" t="s">
        <v>5437</v>
      </c>
      <c r="BW4923" s="67"/>
      <c r="BX4923" s="67"/>
      <c r="BY4923" s="67"/>
      <c r="BZ4923" s="67"/>
      <c r="CA4923" s="67"/>
      <c r="CB4923" s="70"/>
      <c r="CC4923" s="70"/>
      <c r="CD4923" s="70"/>
      <c r="CE4923" s="67"/>
      <c r="CF4923" s="67"/>
      <c r="CG4923" s="67"/>
      <c r="CH4923" s="245"/>
      <c r="CI4923" s="245"/>
      <c r="CJ4923" s="67"/>
      <c r="CK4923" s="67"/>
      <c r="CL4923" s="67"/>
      <c r="CM4923" s="242">
        <v>2.0813953488372094</v>
      </c>
      <c r="CN4923" s="242">
        <v>2.1860465116279069</v>
      </c>
      <c r="CO4923" s="242">
        <v>0.76279069767441854</v>
      </c>
      <c r="CP4923" s="242">
        <v>0.98197674418604652</v>
      </c>
      <c r="CQ4923" s="242" t="s">
        <v>164</v>
      </c>
      <c r="CR4923" s="242">
        <v>84.995601298200839</v>
      </c>
      <c r="CS4923" s="242">
        <v>88.512552085438074</v>
      </c>
      <c r="CT4923" s="242">
        <v>8.4995601298200842</v>
      </c>
      <c r="CU4923" s="242">
        <v>8.8512552085438081</v>
      </c>
      <c r="CV4923" s="242" t="s">
        <v>5151</v>
      </c>
      <c r="CW4923" s="242"/>
      <c r="CX4923" s="242"/>
      <c r="CY4923" s="242"/>
      <c r="CZ4923" s="242"/>
      <c r="DA4923" s="67" t="s">
        <v>5443</v>
      </c>
      <c r="DB4923" s="67">
        <v>2600</v>
      </c>
      <c r="DC4923" s="67">
        <v>2800</v>
      </c>
      <c r="DD4923" s="67">
        <v>960</v>
      </c>
      <c r="DE4923" s="67">
        <v>1020</v>
      </c>
      <c r="DF4923" s="67" t="s">
        <v>5439</v>
      </c>
      <c r="DG4923" s="67">
        <v>42.25</v>
      </c>
      <c r="DH4923" s="67">
        <v>24.88</v>
      </c>
      <c r="DI4923" s="67">
        <v>22.99</v>
      </c>
      <c r="DJ4923" s="67">
        <v>10.8</v>
      </c>
      <c r="DK4923" s="67" t="s">
        <v>5438</v>
      </c>
      <c r="DL4923" s="67">
        <v>212.75</v>
      </c>
      <c r="DM4923" s="67">
        <v>123.88</v>
      </c>
      <c r="DN4923" s="67">
        <v>81.66</v>
      </c>
      <c r="DO4923" s="67">
        <v>50.23</v>
      </c>
      <c r="DP4923" s="67" t="s">
        <v>5438</v>
      </c>
      <c r="DQ4923" s="166">
        <v>7.46</v>
      </c>
      <c r="DR4923" s="166">
        <v>7.04</v>
      </c>
      <c r="DS4923" s="163">
        <v>0.51</v>
      </c>
      <c r="DT4923" s="163">
        <v>0.48</v>
      </c>
      <c r="DU4923" s="67"/>
      <c r="DV4923" s="67"/>
      <c r="DW4923" s="67"/>
      <c r="DX4923" s="67"/>
      <c r="DY4923" s="67"/>
      <c r="DZ4923" s="67"/>
      <c r="EA4923" s="67"/>
      <c r="EB4923" s="67"/>
      <c r="EC4923" s="67"/>
      <c r="ED4923" s="67"/>
      <c r="EE4923" s="67"/>
      <c r="EF4923" s="67"/>
      <c r="EG4923" s="67"/>
      <c r="EH4923" s="67"/>
      <c r="EI4923" s="67"/>
      <c r="EJ4923" s="67"/>
      <c r="EK4923" s="94"/>
      <c r="EL4923" s="94"/>
      <c r="EM4923" s="67"/>
      <c r="EN4923" s="67"/>
      <c r="EO4923" s="67"/>
      <c r="EP4923" s="67"/>
      <c r="EQ4923" s="67"/>
      <c r="ER4923" s="67"/>
      <c r="ES4923" s="67"/>
      <c r="ET4923" s="67"/>
      <c r="EU4923" s="67"/>
      <c r="EV4923" s="67"/>
      <c r="EW4923" s="67"/>
      <c r="EX4923" s="67"/>
      <c r="EY4923" s="67"/>
      <c r="EZ4923" s="67"/>
      <c r="FA4923" s="67"/>
      <c r="FB4923" s="67"/>
      <c r="FC4923" s="67"/>
      <c r="FD4923" s="67"/>
      <c r="FE4923" s="67"/>
      <c r="FF4923" s="67"/>
      <c r="FG4923" s="67"/>
      <c r="FH4923" s="67"/>
      <c r="FI4923" s="67"/>
      <c r="FJ4923" s="67"/>
      <c r="FK4923" s="67"/>
      <c r="FL4923" s="67"/>
      <c r="FM4923" s="67"/>
      <c r="FN4923" s="67"/>
      <c r="FO4923" s="67"/>
      <c r="FP4923" s="67"/>
      <c r="FQ4923" s="67"/>
      <c r="FR4923" s="67"/>
      <c r="FS4923" s="67"/>
      <c r="FT4923" s="67"/>
      <c r="FU4923" s="67"/>
      <c r="FV4923" s="67"/>
      <c r="FW4923" s="67"/>
      <c r="FX4923" s="67"/>
      <c r="FY4923" s="67"/>
      <c r="FZ4923" s="67"/>
      <c r="GA4923" s="67"/>
      <c r="GB4923" s="67"/>
      <c r="GC4923" s="67"/>
      <c r="GD4923" s="67"/>
      <c r="GE4923" s="67"/>
      <c r="GF4923" s="67"/>
      <c r="GG4923" s="67"/>
      <c r="GH4923" s="67"/>
      <c r="GI4923" s="67"/>
      <c r="GJ4923" s="67"/>
      <c r="GK4923" s="67"/>
      <c r="GL4923" s="67"/>
      <c r="GM4923" s="67"/>
      <c r="GN4923" s="292"/>
      <c r="GO4923" s="292"/>
      <c r="GP4923" s="292" t="s">
        <v>7494</v>
      </c>
      <c r="GQ4923" s="67"/>
      <c r="GR4923" s="67"/>
      <c r="GS4923" s="67"/>
      <c r="GT4923" s="67"/>
      <c r="GU4923" s="67"/>
      <c r="GV4923" s="67"/>
      <c r="GW4923" s="67"/>
      <c r="GX4923" s="67"/>
      <c r="GY4923" s="67"/>
      <c r="GZ4923" s="67"/>
      <c r="HA4923" s="67"/>
      <c r="HB4923" s="67"/>
      <c r="HC4923" s="67"/>
      <c r="HD4923" s="67"/>
      <c r="HE4923" s="67"/>
      <c r="HF4923" s="67"/>
      <c r="HG4923" s="67"/>
      <c r="HH4923" s="67"/>
      <c r="HI4923" s="67"/>
      <c r="HJ4923" s="67"/>
      <c r="HK4923" s="67"/>
      <c r="HL4923" s="67"/>
      <c r="HM4923" s="67"/>
      <c r="HN4923" s="67"/>
      <c r="HO4923" s="67"/>
      <c r="HP4923" s="67"/>
      <c r="HQ4923" s="67"/>
      <c r="HR4923" s="67"/>
      <c r="HS4923" s="67"/>
      <c r="HT4923" s="67"/>
      <c r="HU4923" s="67"/>
      <c r="HV4923" s="67"/>
      <c r="HW4923" s="67"/>
      <c r="HX4923" s="67"/>
      <c r="HY4923" s="67"/>
      <c r="HZ4923" s="67"/>
      <c r="IA4923" s="67"/>
      <c r="IB4923" s="67"/>
      <c r="IC4923" s="67"/>
      <c r="ID4923" s="67"/>
      <c r="IE4923" s="67"/>
      <c r="IF4923" s="67"/>
      <c r="IG4923" s="67"/>
      <c r="IH4923" s="67"/>
      <c r="II4923" s="67"/>
      <c r="IJ4923" s="67"/>
      <c r="IK4923" s="67"/>
      <c r="IL4923" s="67"/>
      <c r="IM4923" s="67"/>
      <c r="IN4923" s="67"/>
      <c r="IO4923" s="67"/>
      <c r="IP4923" s="67"/>
      <c r="IQ4923" s="67"/>
      <c r="IR4923" s="67"/>
      <c r="IS4923" s="67"/>
      <c r="IT4923" s="67"/>
      <c r="IU4923" s="67"/>
      <c r="IV4923" s="67"/>
      <c r="IW4923" s="67"/>
      <c r="IX4923" s="67"/>
      <c r="IY4923" s="67"/>
      <c r="IZ4923" s="67"/>
      <c r="JA4923" s="67"/>
      <c r="JB4923" s="67"/>
      <c r="JC4923" s="67"/>
      <c r="JD4923" s="67"/>
      <c r="JE4923" s="67"/>
      <c r="JF4923" s="67"/>
      <c r="JG4923" s="67"/>
      <c r="JH4923" s="67"/>
      <c r="JI4923" s="67"/>
      <c r="JJ4923" s="67"/>
      <c r="JK4923" s="67"/>
      <c r="JL4923" s="67"/>
      <c r="JM4923" s="67"/>
      <c r="JN4923" s="67"/>
      <c r="JO4923" s="67"/>
      <c r="JP4923" s="67"/>
      <c r="JQ4923" s="67"/>
      <c r="JR4923" s="67"/>
      <c r="JS4923" s="67"/>
      <c r="JT4923" s="67"/>
      <c r="JU4923" s="58"/>
      <c r="JV4923" s="58"/>
      <c r="JW4923" s="58"/>
    </row>
    <row r="4924" spans="1:283" s="23" customFormat="1" x14ac:dyDescent="0.25">
      <c r="A4924" s="55">
        <v>4923</v>
      </c>
      <c r="B4924" s="12" t="s">
        <v>7067</v>
      </c>
      <c r="C4924" s="156">
        <v>235</v>
      </c>
      <c r="D4924" s="58" t="s">
        <v>4938</v>
      </c>
      <c r="E4924" s="160" t="str">
        <f>G4924</f>
        <v>Grandy &amp; Robertson 2007_pair 1</v>
      </c>
      <c r="F4924" s="160"/>
      <c r="G4924" s="60" t="s">
        <v>4789</v>
      </c>
      <c r="H4924" s="58">
        <v>2007</v>
      </c>
      <c r="I4924" s="58">
        <v>2001</v>
      </c>
      <c r="J4924" s="243" t="s">
        <v>5312</v>
      </c>
      <c r="K4924" s="63" t="s">
        <v>5108</v>
      </c>
      <c r="L4924" s="58" t="s">
        <v>2737</v>
      </c>
      <c r="M4924" s="94">
        <v>42.41</v>
      </c>
      <c r="N4924" s="94">
        <v>-85.4</v>
      </c>
      <c r="O4924" s="94">
        <v>277</v>
      </c>
      <c r="P4924" s="58"/>
      <c r="Q4924" s="244">
        <v>9</v>
      </c>
      <c r="R4924" s="58"/>
      <c r="S4924" s="245">
        <v>920</v>
      </c>
      <c r="T4924" s="58"/>
      <c r="U4924" s="58" t="s">
        <v>1889</v>
      </c>
      <c r="V4924" s="244">
        <v>12</v>
      </c>
      <c r="W4924" s="174"/>
      <c r="X4924" s="174"/>
      <c r="Y4924" s="58" t="s">
        <v>5440</v>
      </c>
      <c r="Z4924" s="244" t="s">
        <v>1361</v>
      </c>
      <c r="AA4924" s="245">
        <v>5</v>
      </c>
      <c r="AB4924" s="67"/>
      <c r="AC4924" s="67"/>
      <c r="AD4924" s="94"/>
      <c r="AE4924" s="94"/>
      <c r="AF4924" s="94"/>
      <c r="AG4924" s="245">
        <v>19</v>
      </c>
      <c r="AH4924" s="58" t="s">
        <v>139</v>
      </c>
      <c r="AI4924" s="169"/>
      <c r="AJ4924" s="94"/>
      <c r="AK4924" s="94"/>
      <c r="AL4924" s="58"/>
      <c r="AM4924" s="58" t="s">
        <v>5441</v>
      </c>
      <c r="AN4924" s="186" t="s">
        <v>553</v>
      </c>
      <c r="AO4924" s="185" t="s">
        <v>5150</v>
      </c>
      <c r="AP4924" s="58"/>
      <c r="AQ4924" s="58" t="s">
        <v>553</v>
      </c>
      <c r="AR4924" s="58" t="s">
        <v>4584</v>
      </c>
      <c r="AS4924" s="246" t="s">
        <v>5133</v>
      </c>
      <c r="AT4924" s="247" t="s">
        <v>400</v>
      </c>
      <c r="AU4924" s="181" t="s">
        <v>5150</v>
      </c>
      <c r="AV4924" s="185" t="s">
        <v>479</v>
      </c>
      <c r="AW4924" s="244" t="s">
        <v>400</v>
      </c>
      <c r="AX4924" s="185" t="s">
        <v>479</v>
      </c>
      <c r="AY4924" s="244" t="s">
        <v>176</v>
      </c>
      <c r="AZ4924" s="58"/>
      <c r="BA4924" s="58"/>
      <c r="BB4924" s="58"/>
      <c r="BC4924" s="58"/>
      <c r="BD4924" s="58"/>
      <c r="BE4924" s="236" t="s">
        <v>5182</v>
      </c>
      <c r="BF4924" s="191" t="s">
        <v>176</v>
      </c>
      <c r="BG4924" s="191" t="s">
        <v>479</v>
      </c>
      <c r="BH4924" s="236" t="s">
        <v>5153</v>
      </c>
      <c r="BI4924" s="191" t="s">
        <v>176</v>
      </c>
      <c r="BJ4924" s="58" t="str">
        <f>IF(BE4924=BH4924,"No","yes")</f>
        <v>yes</v>
      </c>
      <c r="BK4924" s="58" t="s">
        <v>6335</v>
      </c>
      <c r="BL4924" s="58"/>
      <c r="BM4924" s="237"/>
      <c r="BN4924" s="244">
        <v>6</v>
      </c>
      <c r="BO4924" s="244">
        <v>6</v>
      </c>
      <c r="BP4924" s="58"/>
      <c r="BQ4924" s="58"/>
      <c r="BR4924" s="58"/>
      <c r="BS4924" s="58"/>
      <c r="BT4924" s="58"/>
      <c r="BU4924" s="58"/>
      <c r="BV4924" s="58"/>
      <c r="BW4924" s="67"/>
      <c r="BX4924" s="67"/>
      <c r="BY4924" s="67"/>
      <c r="BZ4924" s="67"/>
      <c r="CA4924" s="67"/>
      <c r="CB4924" s="70"/>
      <c r="CC4924" s="70"/>
      <c r="CD4924" s="70"/>
      <c r="CE4924" s="67"/>
      <c r="CF4924" s="67"/>
      <c r="CG4924" s="67"/>
      <c r="CH4924" s="245">
        <v>1.37</v>
      </c>
      <c r="CI4924" s="245">
        <v>1.34</v>
      </c>
      <c r="CJ4924" s="67">
        <f>0.01*SQRT(6)</f>
        <v>2.4494897427831779E-2</v>
      </c>
      <c r="CK4924" s="67">
        <f>0.03*SQRT(6)</f>
        <v>7.3484692283495329E-2</v>
      </c>
      <c r="CL4924" s="67"/>
      <c r="CM4924" s="242">
        <v>0.91</v>
      </c>
      <c r="CN4924" s="242">
        <v>1.0900000000000001</v>
      </c>
      <c r="CO4924" s="242">
        <f>0.08*SQRT(6)</f>
        <v>0.19595917942265423</v>
      </c>
      <c r="CP4924" s="242">
        <f>0.05*SQRT(6)</f>
        <v>0.1224744871391589</v>
      </c>
      <c r="CQ4924" s="242" t="s">
        <v>164</v>
      </c>
      <c r="CR4924" s="242">
        <v>6.21</v>
      </c>
      <c r="CS4924" s="242">
        <v>7.28</v>
      </c>
      <c r="CT4924" s="242">
        <f>0.51*SQRT(6)</f>
        <v>1.2492397688194208</v>
      </c>
      <c r="CU4924" s="242">
        <f>0.46*SQRT(6)</f>
        <v>1.1267652816802618</v>
      </c>
      <c r="CV4924" s="242" t="s">
        <v>5151</v>
      </c>
      <c r="CW4924" s="242"/>
      <c r="CX4924" s="242">
        <v>89</v>
      </c>
      <c r="CY4924" s="242"/>
      <c r="CZ4924" s="242"/>
      <c r="DA4924" s="67" t="s">
        <v>5443</v>
      </c>
      <c r="DB4924" s="67">
        <f>0.08*10000</f>
        <v>800</v>
      </c>
      <c r="DC4924" s="67">
        <v>1000</v>
      </c>
      <c r="DD4924" s="67">
        <v>100</v>
      </c>
      <c r="DE4924" s="67">
        <v>100</v>
      </c>
      <c r="DF4924" s="67" t="s">
        <v>5442</v>
      </c>
      <c r="DG4924" s="67"/>
      <c r="DH4924" s="67"/>
      <c r="DI4924" s="67"/>
      <c r="DJ4924" s="67"/>
      <c r="DK4924" s="67"/>
      <c r="DL4924" s="67"/>
      <c r="DM4924" s="67"/>
      <c r="DN4924" s="67"/>
      <c r="DO4924" s="67"/>
      <c r="DP4924" s="67"/>
      <c r="DQ4924" s="166">
        <v>6.26</v>
      </c>
      <c r="DR4924" s="166">
        <v>6.25</v>
      </c>
      <c r="DS4924" s="163">
        <v>0.04</v>
      </c>
      <c r="DT4924" s="163">
        <v>0.05</v>
      </c>
      <c r="DU4924" s="67"/>
      <c r="DV4924" s="67"/>
      <c r="DW4924" s="67"/>
      <c r="DX4924" s="67"/>
      <c r="DY4924" s="67"/>
      <c r="DZ4924" s="67"/>
      <c r="EA4924" s="67"/>
      <c r="EB4924" s="67"/>
      <c r="EC4924" s="67"/>
      <c r="ED4924" s="67"/>
      <c r="EE4924" s="67"/>
      <c r="EF4924" s="67"/>
      <c r="EG4924" s="67"/>
      <c r="EH4924" s="67"/>
      <c r="EI4924" s="67"/>
      <c r="EJ4924" s="67"/>
      <c r="EK4924" s="94"/>
      <c r="EL4924" s="94"/>
      <c r="EM4924" s="67"/>
      <c r="EN4924" s="67"/>
      <c r="EO4924" s="67"/>
      <c r="EP4924" s="67"/>
      <c r="EQ4924" s="67"/>
      <c r="ER4924" s="67"/>
      <c r="ES4924" s="67"/>
      <c r="ET4924" s="67"/>
      <c r="EU4924" s="67"/>
      <c r="EV4924" s="67"/>
      <c r="EW4924" s="67"/>
      <c r="EX4924" s="67"/>
      <c r="EY4924" s="67"/>
      <c r="EZ4924" s="67"/>
      <c r="FA4924" s="67"/>
      <c r="FB4924" s="67"/>
      <c r="FC4924" s="67"/>
      <c r="FD4924" s="67"/>
      <c r="FE4924" s="67"/>
      <c r="FF4924" s="67"/>
      <c r="FG4924" s="67"/>
      <c r="FH4924" s="67"/>
      <c r="FI4924" s="67"/>
      <c r="FJ4924" s="67"/>
      <c r="FK4924" s="67"/>
      <c r="FL4924" s="67"/>
      <c r="FM4924" s="67"/>
      <c r="FN4924" s="67"/>
      <c r="FO4924" s="67"/>
      <c r="FP4924" s="67"/>
      <c r="FQ4924" s="67"/>
      <c r="FR4924" s="67"/>
      <c r="FS4924" s="67"/>
      <c r="FT4924" s="67"/>
      <c r="FU4924" s="67"/>
      <c r="FV4924" s="67"/>
      <c r="FW4924" s="67"/>
      <c r="FX4924" s="67"/>
      <c r="FY4924" s="67"/>
      <c r="FZ4924" s="67"/>
      <c r="GA4924" s="67"/>
      <c r="GB4924" s="67"/>
      <c r="GC4924" s="67"/>
      <c r="GD4924" s="67"/>
      <c r="GE4924" s="67"/>
      <c r="GF4924" s="67"/>
      <c r="GG4924" s="67"/>
      <c r="GH4924" s="67"/>
      <c r="GI4924" s="67"/>
      <c r="GJ4924" s="67"/>
      <c r="GK4924" s="67"/>
      <c r="GL4924" s="67"/>
      <c r="GM4924" s="67"/>
      <c r="GN4924" s="292"/>
      <c r="GO4924" s="292"/>
      <c r="GP4924" s="292" t="s">
        <v>7494</v>
      </c>
      <c r="GQ4924" s="67"/>
      <c r="GR4924" s="67"/>
      <c r="GS4924" s="67"/>
      <c r="GT4924" s="67"/>
      <c r="GU4924" s="67"/>
      <c r="GV4924" s="67"/>
      <c r="GW4924" s="67"/>
      <c r="GX4924" s="67"/>
      <c r="GY4924" s="67"/>
      <c r="GZ4924" s="67"/>
      <c r="HA4924" s="67"/>
      <c r="HB4924" s="67"/>
      <c r="HC4924" s="67"/>
      <c r="HD4924" s="67"/>
      <c r="HE4924" s="67"/>
      <c r="HF4924" s="67"/>
      <c r="HG4924" s="67"/>
      <c r="HH4924" s="67"/>
      <c r="HI4924" s="67"/>
      <c r="HJ4924" s="67"/>
      <c r="HK4924" s="67"/>
      <c r="HL4924" s="67"/>
      <c r="HM4924" s="67"/>
      <c r="HN4924" s="67"/>
      <c r="HO4924" s="67"/>
      <c r="HP4924" s="67"/>
      <c r="HQ4924" s="67"/>
      <c r="HR4924" s="67"/>
      <c r="HS4924" s="67"/>
      <c r="HT4924" s="67"/>
      <c r="HU4924" s="67"/>
      <c r="HV4924" s="67"/>
      <c r="HW4924" s="67"/>
      <c r="HX4924" s="67"/>
      <c r="HY4924" s="67"/>
      <c r="HZ4924" s="67"/>
      <c r="IA4924" s="67"/>
      <c r="IB4924" s="67"/>
      <c r="IC4924" s="67"/>
      <c r="ID4924" s="67"/>
      <c r="IE4924" s="67"/>
      <c r="IF4924" s="67"/>
      <c r="IG4924" s="67"/>
      <c r="IH4924" s="67"/>
      <c r="II4924" s="67"/>
      <c r="IJ4924" s="67"/>
      <c r="IK4924" s="67"/>
      <c r="IL4924" s="67"/>
      <c r="IM4924" s="67"/>
      <c r="IN4924" s="67"/>
      <c r="IO4924" s="67"/>
      <c r="IP4924" s="67"/>
      <c r="IQ4924" s="67"/>
      <c r="IR4924" s="67"/>
      <c r="IS4924" s="67"/>
      <c r="IT4924" s="67"/>
      <c r="IU4924" s="67"/>
      <c r="IV4924" s="67"/>
      <c r="IW4924" s="67"/>
      <c r="IX4924" s="67"/>
      <c r="IY4924" s="67"/>
      <c r="IZ4924" s="67"/>
      <c r="JA4924" s="67"/>
      <c r="JB4924" s="67"/>
      <c r="JC4924" s="67"/>
      <c r="JD4924" s="67"/>
      <c r="JE4924" s="67"/>
      <c r="JF4924" s="67"/>
      <c r="JG4924" s="67"/>
      <c r="JH4924" s="67"/>
      <c r="JI4924" s="67"/>
      <c r="JJ4924" s="67"/>
      <c r="JK4924" s="67"/>
      <c r="JL4924" s="67"/>
      <c r="JM4924" s="67"/>
      <c r="JN4924" s="67"/>
      <c r="JO4924" s="67"/>
      <c r="JP4924" s="67"/>
      <c r="JQ4924" s="67"/>
      <c r="JR4924" s="67"/>
      <c r="JS4924" s="67"/>
      <c r="JT4924" s="67"/>
      <c r="JU4924" s="58"/>
      <c r="JV4924" s="58"/>
      <c r="JW4924" s="58"/>
    </row>
    <row r="4925" spans="1:283" s="23" customFormat="1" x14ac:dyDescent="0.25">
      <c r="A4925" s="55">
        <v>4924</v>
      </c>
      <c r="B4925" s="12" t="s">
        <v>7067</v>
      </c>
      <c r="C4925" s="156">
        <v>235</v>
      </c>
      <c r="D4925" s="58" t="s">
        <v>4939</v>
      </c>
      <c r="E4925" s="160" t="str">
        <f>G4925</f>
        <v>Grandy &amp; Robertson 2007_pair 2</v>
      </c>
      <c r="F4925" s="160"/>
      <c r="G4925" s="60" t="s">
        <v>4788</v>
      </c>
      <c r="H4925" s="58">
        <v>2007</v>
      </c>
      <c r="I4925" s="58">
        <v>2001</v>
      </c>
      <c r="J4925" s="243" t="s">
        <v>5312</v>
      </c>
      <c r="K4925" s="63" t="s">
        <v>5108</v>
      </c>
      <c r="L4925" s="58" t="s">
        <v>2737</v>
      </c>
      <c r="M4925" s="94">
        <v>42.41</v>
      </c>
      <c r="N4925" s="94">
        <v>-85.4</v>
      </c>
      <c r="O4925" s="94">
        <v>277</v>
      </c>
      <c r="P4925" s="58"/>
      <c r="Q4925" s="244">
        <v>9</v>
      </c>
      <c r="R4925" s="58"/>
      <c r="S4925" s="245">
        <v>920</v>
      </c>
      <c r="T4925" s="58"/>
      <c r="U4925" s="58" t="s">
        <v>1889</v>
      </c>
      <c r="V4925" s="244">
        <v>12</v>
      </c>
      <c r="W4925" s="174"/>
      <c r="X4925" s="174"/>
      <c r="Y4925" s="58" t="s">
        <v>5440</v>
      </c>
      <c r="Z4925" s="244" t="s">
        <v>1361</v>
      </c>
      <c r="AA4925" s="245">
        <v>5</v>
      </c>
      <c r="AB4925" s="67"/>
      <c r="AC4925" s="67"/>
      <c r="AD4925" s="94"/>
      <c r="AE4925" s="94"/>
      <c r="AF4925" s="94"/>
      <c r="AG4925" s="245">
        <v>19</v>
      </c>
      <c r="AH4925" s="58" t="s">
        <v>139</v>
      </c>
      <c r="AI4925" s="169"/>
      <c r="AJ4925" s="94"/>
      <c r="AK4925" s="94"/>
      <c r="AL4925" s="58"/>
      <c r="AM4925" s="58" t="s">
        <v>5441</v>
      </c>
      <c r="AN4925" s="186" t="s">
        <v>553</v>
      </c>
      <c r="AO4925" s="185" t="s">
        <v>5150</v>
      </c>
      <c r="AP4925" s="58"/>
      <c r="AQ4925" s="58" t="s">
        <v>553</v>
      </c>
      <c r="AR4925" s="58" t="s">
        <v>4584</v>
      </c>
      <c r="AS4925" s="246" t="s">
        <v>5133</v>
      </c>
      <c r="AT4925" s="247" t="s">
        <v>400</v>
      </c>
      <c r="AU4925" s="181" t="s">
        <v>5150</v>
      </c>
      <c r="AV4925" s="185" t="s">
        <v>479</v>
      </c>
      <c r="AW4925" s="244" t="s">
        <v>400</v>
      </c>
      <c r="AX4925" s="185" t="s">
        <v>479</v>
      </c>
      <c r="AY4925" s="244" t="s">
        <v>176</v>
      </c>
      <c r="AZ4925" s="58"/>
      <c r="BA4925" s="58"/>
      <c r="BB4925" s="58"/>
      <c r="BC4925" s="58"/>
      <c r="BD4925" s="58"/>
      <c r="BE4925" s="236" t="s">
        <v>5183</v>
      </c>
      <c r="BF4925" s="191" t="s">
        <v>176</v>
      </c>
      <c r="BG4925" s="191" t="s">
        <v>479</v>
      </c>
      <c r="BH4925" s="236" t="s">
        <v>5153</v>
      </c>
      <c r="BI4925" s="191" t="s">
        <v>176</v>
      </c>
      <c r="BJ4925" s="58" t="str">
        <f>IF(BE4925=BH4925,"No","yes")</f>
        <v>yes</v>
      </c>
      <c r="BK4925" s="58" t="s">
        <v>6335</v>
      </c>
      <c r="BL4925" s="58"/>
      <c r="BM4925" s="237"/>
      <c r="BN4925" s="244">
        <v>6</v>
      </c>
      <c r="BO4925" s="244">
        <v>6</v>
      </c>
      <c r="BP4925" s="58"/>
      <c r="BQ4925" s="58"/>
      <c r="BR4925" s="58"/>
      <c r="BS4925" s="58"/>
      <c r="BT4925" s="58"/>
      <c r="BU4925" s="58"/>
      <c r="BV4925" s="58"/>
      <c r="BW4925" s="67"/>
      <c r="BX4925" s="67"/>
      <c r="BY4925" s="67"/>
      <c r="BZ4925" s="67"/>
      <c r="CA4925" s="67"/>
      <c r="CB4925" s="70"/>
      <c r="CC4925" s="70"/>
      <c r="CD4925" s="70"/>
      <c r="CE4925" s="67"/>
      <c r="CF4925" s="67"/>
      <c r="CG4925" s="67"/>
      <c r="CH4925" s="245">
        <v>1.37</v>
      </c>
      <c r="CI4925" s="245">
        <v>1.36</v>
      </c>
      <c r="CJ4925" s="67">
        <f>0.01*SQRT(6)</f>
        <v>2.4494897427831779E-2</v>
      </c>
      <c r="CK4925" s="67">
        <f>0.04*SQRT(6)</f>
        <v>9.7979589711327114E-2</v>
      </c>
      <c r="CL4925" s="67"/>
      <c r="CM4925" s="242">
        <v>0.91</v>
      </c>
      <c r="CN4925" s="242">
        <v>1.1299999999999999</v>
      </c>
      <c r="CO4925" s="242">
        <f>0.08*SQRT(6)</f>
        <v>0.19595917942265423</v>
      </c>
      <c r="CP4925" s="242">
        <f>0.04*SQRT(6)</f>
        <v>9.7979589711327114E-2</v>
      </c>
      <c r="CQ4925" s="242" t="s">
        <v>164</v>
      </c>
      <c r="CR4925" s="242">
        <v>6.21</v>
      </c>
      <c r="CS4925" s="242">
        <v>7.69</v>
      </c>
      <c r="CT4925" s="242">
        <f>0.51*SQRT(6)</f>
        <v>1.2492397688194208</v>
      </c>
      <c r="CU4925" s="242">
        <f>0.445*SQRT(6)</f>
        <v>1.0900229355385143</v>
      </c>
      <c r="CV4925" s="242" t="s">
        <v>5151</v>
      </c>
      <c r="CW4925" s="242"/>
      <c r="CX4925" s="242">
        <v>123</v>
      </c>
      <c r="CY4925" s="242"/>
      <c r="CZ4925" s="242"/>
      <c r="DA4925" s="67" t="s">
        <v>5443</v>
      </c>
      <c r="DB4925" s="67">
        <f>0.08*10000</f>
        <v>800</v>
      </c>
      <c r="DC4925" s="67">
        <v>1100</v>
      </c>
      <c r="DD4925" s="67">
        <v>100</v>
      </c>
      <c r="DE4925" s="67">
        <v>100</v>
      </c>
      <c r="DF4925" s="67" t="s">
        <v>5442</v>
      </c>
      <c r="DG4925" s="67"/>
      <c r="DH4925" s="67"/>
      <c r="DI4925" s="67"/>
      <c r="DJ4925" s="67"/>
      <c r="DK4925" s="67"/>
      <c r="DL4925" s="67"/>
      <c r="DM4925" s="67"/>
      <c r="DN4925" s="67"/>
      <c r="DO4925" s="67"/>
      <c r="DP4925" s="67"/>
      <c r="DQ4925" s="166">
        <v>6.26</v>
      </c>
      <c r="DR4925" s="166">
        <v>6.18</v>
      </c>
      <c r="DS4925" s="163">
        <v>0.04</v>
      </c>
      <c r="DT4925" s="163">
        <v>0.04</v>
      </c>
      <c r="DU4925" s="67"/>
      <c r="DV4925" s="67"/>
      <c r="DW4925" s="67"/>
      <c r="DX4925" s="67"/>
      <c r="DY4925" s="67"/>
      <c r="DZ4925" s="67"/>
      <c r="EA4925" s="67"/>
      <c r="EB4925" s="67"/>
      <c r="EC4925" s="67"/>
      <c r="ED4925" s="67"/>
      <c r="EE4925" s="67"/>
      <c r="EF4925" s="67"/>
      <c r="EG4925" s="67"/>
      <c r="EH4925" s="67"/>
      <c r="EI4925" s="67"/>
      <c r="EJ4925" s="67"/>
      <c r="EK4925" s="94"/>
      <c r="EL4925" s="94"/>
      <c r="EM4925" s="67"/>
      <c r="EN4925" s="67"/>
      <c r="EO4925" s="67"/>
      <c r="EP4925" s="67"/>
      <c r="EQ4925" s="67"/>
      <c r="ER4925" s="67"/>
      <c r="ES4925" s="67"/>
      <c r="ET4925" s="67"/>
      <c r="EU4925" s="67"/>
      <c r="EV4925" s="67"/>
      <c r="EW4925" s="67"/>
      <c r="EX4925" s="67"/>
      <c r="EY4925" s="67"/>
      <c r="EZ4925" s="67"/>
      <c r="FA4925" s="67"/>
      <c r="FB4925" s="67"/>
      <c r="FC4925" s="67"/>
      <c r="FD4925" s="67"/>
      <c r="FE4925" s="67"/>
      <c r="FF4925" s="67"/>
      <c r="FG4925" s="67"/>
      <c r="FH4925" s="67"/>
      <c r="FI4925" s="67"/>
      <c r="FJ4925" s="67"/>
      <c r="FK4925" s="67"/>
      <c r="FL4925" s="67"/>
      <c r="FM4925" s="67"/>
      <c r="FN4925" s="67"/>
      <c r="FO4925" s="67"/>
      <c r="FP4925" s="67"/>
      <c r="FQ4925" s="67"/>
      <c r="FR4925" s="67"/>
      <c r="FS4925" s="67"/>
      <c r="FT4925" s="67"/>
      <c r="FU4925" s="67"/>
      <c r="FV4925" s="67"/>
      <c r="FW4925" s="67"/>
      <c r="FX4925" s="67"/>
      <c r="FY4925" s="67"/>
      <c r="FZ4925" s="67"/>
      <c r="GA4925" s="67"/>
      <c r="GB4925" s="67"/>
      <c r="GC4925" s="67"/>
      <c r="GD4925" s="67"/>
      <c r="GE4925" s="67"/>
      <c r="GF4925" s="67"/>
      <c r="GG4925" s="67"/>
      <c r="GH4925" s="67"/>
      <c r="GI4925" s="67"/>
      <c r="GJ4925" s="67"/>
      <c r="GK4925" s="67"/>
      <c r="GL4925" s="67"/>
      <c r="GM4925" s="67"/>
      <c r="GN4925" s="292"/>
      <c r="GO4925" s="292"/>
      <c r="GP4925" s="292" t="s">
        <v>7494</v>
      </c>
      <c r="GQ4925" s="67"/>
      <c r="GR4925" s="67"/>
      <c r="GS4925" s="67"/>
      <c r="GT4925" s="67"/>
      <c r="GU4925" s="67"/>
      <c r="GV4925" s="67"/>
      <c r="GW4925" s="67"/>
      <c r="GX4925" s="67"/>
      <c r="GY4925" s="67"/>
      <c r="GZ4925" s="67"/>
      <c r="HA4925" s="67"/>
      <c r="HB4925" s="67"/>
      <c r="HC4925" s="67"/>
      <c r="HD4925" s="67"/>
      <c r="HE4925" s="67"/>
      <c r="HF4925" s="67"/>
      <c r="HG4925" s="67"/>
      <c r="HH4925" s="67"/>
      <c r="HI4925" s="67"/>
      <c r="HJ4925" s="67"/>
      <c r="HK4925" s="67"/>
      <c r="HL4925" s="67"/>
      <c r="HM4925" s="67"/>
      <c r="HN4925" s="67"/>
      <c r="HO4925" s="67"/>
      <c r="HP4925" s="67"/>
      <c r="HQ4925" s="67"/>
      <c r="HR4925" s="67"/>
      <c r="HS4925" s="67"/>
      <c r="HT4925" s="67"/>
      <c r="HU4925" s="67"/>
      <c r="HV4925" s="67"/>
      <c r="HW4925" s="67"/>
      <c r="HX4925" s="67"/>
      <c r="HY4925" s="67"/>
      <c r="HZ4925" s="67"/>
      <c r="IA4925" s="67"/>
      <c r="IB4925" s="67"/>
      <c r="IC4925" s="67"/>
      <c r="ID4925" s="67"/>
      <c r="IE4925" s="67"/>
      <c r="IF4925" s="67"/>
      <c r="IG4925" s="67"/>
      <c r="IH4925" s="67"/>
      <c r="II4925" s="67"/>
      <c r="IJ4925" s="67"/>
      <c r="IK4925" s="67"/>
      <c r="IL4925" s="67"/>
      <c r="IM4925" s="67"/>
      <c r="IN4925" s="67"/>
      <c r="IO4925" s="67"/>
      <c r="IP4925" s="67"/>
      <c r="IQ4925" s="67"/>
      <c r="IR4925" s="67"/>
      <c r="IS4925" s="67"/>
      <c r="IT4925" s="67"/>
      <c r="IU4925" s="67"/>
      <c r="IV4925" s="67"/>
      <c r="IW4925" s="67"/>
      <c r="IX4925" s="67"/>
      <c r="IY4925" s="67"/>
      <c r="IZ4925" s="67"/>
      <c r="JA4925" s="67"/>
      <c r="JB4925" s="67"/>
      <c r="JC4925" s="67"/>
      <c r="JD4925" s="67"/>
      <c r="JE4925" s="67"/>
      <c r="JF4925" s="67"/>
      <c r="JG4925" s="67"/>
      <c r="JH4925" s="67"/>
      <c r="JI4925" s="67"/>
      <c r="JJ4925" s="67"/>
      <c r="JK4925" s="67"/>
      <c r="JL4925" s="67"/>
      <c r="JM4925" s="67"/>
      <c r="JN4925" s="67"/>
      <c r="JO4925" s="67"/>
      <c r="JP4925" s="67"/>
      <c r="JQ4925" s="67"/>
      <c r="JR4925" s="67"/>
      <c r="JS4925" s="67"/>
      <c r="JT4925" s="67"/>
      <c r="JU4925" s="58"/>
      <c r="JV4925" s="58"/>
      <c r="JW4925" s="58"/>
    </row>
    <row r="4926" spans="1:283" s="23" customFormat="1" x14ac:dyDescent="0.25">
      <c r="A4926" s="55">
        <v>4925</v>
      </c>
      <c r="B4926" s="12" t="s">
        <v>7067</v>
      </c>
      <c r="C4926" s="156">
        <v>235</v>
      </c>
      <c r="D4926" s="58" t="s">
        <v>4940</v>
      </c>
      <c r="E4926" s="160" t="str">
        <f>G4926</f>
        <v>Grandy &amp; Robertson 2007_pair 3</v>
      </c>
      <c r="F4926" s="160"/>
      <c r="G4926" s="60" t="s">
        <v>4787</v>
      </c>
      <c r="H4926" s="58">
        <v>2007</v>
      </c>
      <c r="I4926" s="58">
        <v>2001</v>
      </c>
      <c r="J4926" s="243" t="s">
        <v>5312</v>
      </c>
      <c r="K4926" s="63" t="s">
        <v>5108</v>
      </c>
      <c r="L4926" s="58" t="s">
        <v>2737</v>
      </c>
      <c r="M4926" s="94">
        <v>42.41</v>
      </c>
      <c r="N4926" s="94">
        <v>-85.4</v>
      </c>
      <c r="O4926" s="94">
        <v>277</v>
      </c>
      <c r="P4926" s="58"/>
      <c r="Q4926" s="244">
        <v>9</v>
      </c>
      <c r="R4926" s="58"/>
      <c r="S4926" s="245">
        <v>920</v>
      </c>
      <c r="T4926" s="58"/>
      <c r="U4926" s="58" t="s">
        <v>1889</v>
      </c>
      <c r="V4926" s="244">
        <v>12</v>
      </c>
      <c r="W4926" s="174"/>
      <c r="X4926" s="174"/>
      <c r="Y4926" s="58" t="s">
        <v>5440</v>
      </c>
      <c r="Z4926" s="244" t="s">
        <v>1361</v>
      </c>
      <c r="AA4926" s="245">
        <v>5</v>
      </c>
      <c r="AB4926" s="67"/>
      <c r="AC4926" s="67"/>
      <c r="AD4926" s="94"/>
      <c r="AE4926" s="94"/>
      <c r="AF4926" s="94"/>
      <c r="AG4926" s="245">
        <v>19</v>
      </c>
      <c r="AH4926" s="58" t="s">
        <v>139</v>
      </c>
      <c r="AI4926" s="169"/>
      <c r="AJ4926" s="94"/>
      <c r="AK4926" s="94"/>
      <c r="AL4926" s="58"/>
      <c r="AM4926" s="58" t="s">
        <v>5441</v>
      </c>
      <c r="AN4926" s="186" t="s">
        <v>553</v>
      </c>
      <c r="AO4926" s="185" t="s">
        <v>5150</v>
      </c>
      <c r="AP4926" s="58"/>
      <c r="AQ4926" s="58" t="s">
        <v>553</v>
      </c>
      <c r="AR4926" s="58" t="s">
        <v>4584</v>
      </c>
      <c r="AS4926" s="246" t="s">
        <v>5133</v>
      </c>
      <c r="AT4926" s="247" t="s">
        <v>400</v>
      </c>
      <c r="AU4926" s="181" t="s">
        <v>5150</v>
      </c>
      <c r="AV4926" s="185" t="s">
        <v>479</v>
      </c>
      <c r="AW4926" s="244" t="s">
        <v>400</v>
      </c>
      <c r="AX4926" s="185" t="s">
        <v>479</v>
      </c>
      <c r="AY4926" s="244" t="s">
        <v>176</v>
      </c>
      <c r="AZ4926" s="58"/>
      <c r="BA4926" s="58"/>
      <c r="BB4926" s="58"/>
      <c r="BC4926" s="58"/>
      <c r="BD4926" s="58"/>
      <c r="BE4926" s="236" t="s">
        <v>5182</v>
      </c>
      <c r="BF4926" s="191" t="s">
        <v>176</v>
      </c>
      <c r="BG4926" s="191" t="s">
        <v>479</v>
      </c>
      <c r="BH4926" s="236" t="s">
        <v>5153</v>
      </c>
      <c r="BI4926" s="191" t="s">
        <v>176</v>
      </c>
      <c r="BJ4926" s="58" t="str">
        <f>IF(BE4926=BH4926,"No","yes")</f>
        <v>yes</v>
      </c>
      <c r="BK4926" s="58" t="s">
        <v>6336</v>
      </c>
      <c r="BL4926" s="58"/>
      <c r="BM4926" s="237"/>
      <c r="BN4926" s="244">
        <v>6</v>
      </c>
      <c r="BO4926" s="244">
        <v>6</v>
      </c>
      <c r="BP4926" s="58"/>
      <c r="BQ4926" s="58"/>
      <c r="BR4926" s="58"/>
      <c r="BS4926" s="58"/>
      <c r="BT4926" s="58"/>
      <c r="BU4926" s="58"/>
      <c r="BV4926" s="58"/>
      <c r="BW4926" s="67"/>
      <c r="BX4926" s="67"/>
      <c r="BY4926" s="67"/>
      <c r="BZ4926" s="67"/>
      <c r="CA4926" s="67"/>
      <c r="CB4926" s="70"/>
      <c r="CC4926" s="70"/>
      <c r="CD4926" s="70"/>
      <c r="CE4926" s="67"/>
      <c r="CF4926" s="67"/>
      <c r="CG4926" s="67"/>
      <c r="CH4926" s="245">
        <v>1.37</v>
      </c>
      <c r="CI4926" s="245">
        <v>1.36</v>
      </c>
      <c r="CJ4926" s="67">
        <f>0.01*SQRT(6)</f>
        <v>2.4494897427831779E-2</v>
      </c>
      <c r="CK4926" s="67">
        <f>0.03*SQRT(6)</f>
        <v>7.3484692283495329E-2</v>
      </c>
      <c r="CL4926" s="67"/>
      <c r="CM4926" s="242">
        <v>0.91</v>
      </c>
      <c r="CN4926" s="242">
        <v>1.3</v>
      </c>
      <c r="CO4926" s="242">
        <f>0.08*SQRT(6)</f>
        <v>0.19595917942265423</v>
      </c>
      <c r="CP4926" s="242">
        <f>0.08*SQRT(6)</f>
        <v>0.19595917942265423</v>
      </c>
      <c r="CQ4926" s="242" t="s">
        <v>164</v>
      </c>
      <c r="CR4926" s="242">
        <v>6.21</v>
      </c>
      <c r="CS4926" s="242">
        <v>8.85</v>
      </c>
      <c r="CT4926" s="242">
        <f>0.51*SQRT(6)</f>
        <v>1.2492397688194208</v>
      </c>
      <c r="CU4926" s="242">
        <f>0.551*SQRT(6)</f>
        <v>1.3496688482735311</v>
      </c>
      <c r="CV4926" s="242" t="s">
        <v>5151</v>
      </c>
      <c r="CW4926" s="242"/>
      <c r="CX4926" s="242">
        <v>220</v>
      </c>
      <c r="CY4926" s="242"/>
      <c r="CZ4926" s="242"/>
      <c r="DA4926" s="67" t="s">
        <v>5443</v>
      </c>
      <c r="DB4926" s="67">
        <f>0.08*10000</f>
        <v>800</v>
      </c>
      <c r="DC4926" s="67">
        <v>1200</v>
      </c>
      <c r="DD4926" s="67">
        <v>100</v>
      </c>
      <c r="DE4926" s="67">
        <v>100</v>
      </c>
      <c r="DF4926" s="67" t="s">
        <v>5442</v>
      </c>
      <c r="DG4926" s="67"/>
      <c r="DH4926" s="67"/>
      <c r="DI4926" s="67"/>
      <c r="DJ4926" s="67"/>
      <c r="DK4926" s="67"/>
      <c r="DL4926" s="67"/>
      <c r="DM4926" s="67"/>
      <c r="DN4926" s="67"/>
      <c r="DO4926" s="67"/>
      <c r="DP4926" s="67"/>
      <c r="DQ4926" s="166">
        <v>6.26</v>
      </c>
      <c r="DR4926" s="166">
        <v>6.4</v>
      </c>
      <c r="DS4926" s="163">
        <v>0.04</v>
      </c>
      <c r="DT4926" s="163">
        <v>0.05</v>
      </c>
      <c r="DU4926" s="67"/>
      <c r="DV4926" s="67"/>
      <c r="DW4926" s="67"/>
      <c r="DX4926" s="67"/>
      <c r="DY4926" s="67"/>
      <c r="DZ4926" s="67"/>
      <c r="EA4926" s="67"/>
      <c r="EB4926" s="67"/>
      <c r="EC4926" s="67"/>
      <c r="ED4926" s="67"/>
      <c r="EE4926" s="67"/>
      <c r="EF4926" s="67"/>
      <c r="EG4926" s="67"/>
      <c r="EH4926" s="67"/>
      <c r="EI4926" s="67"/>
      <c r="EJ4926" s="67"/>
      <c r="EK4926" s="94"/>
      <c r="EL4926" s="94"/>
      <c r="EM4926" s="67"/>
      <c r="EN4926" s="67"/>
      <c r="EO4926" s="67"/>
      <c r="EP4926" s="67"/>
      <c r="EQ4926" s="67"/>
      <c r="ER4926" s="67"/>
      <c r="ES4926" s="67"/>
      <c r="ET4926" s="67"/>
      <c r="EU4926" s="67"/>
      <c r="EV4926" s="67"/>
      <c r="EW4926" s="67"/>
      <c r="EX4926" s="67"/>
      <c r="EY4926" s="67"/>
      <c r="EZ4926" s="67"/>
      <c r="FA4926" s="67"/>
      <c r="FB4926" s="67"/>
      <c r="FC4926" s="67"/>
      <c r="FD4926" s="67"/>
      <c r="FE4926" s="67"/>
      <c r="FF4926" s="67"/>
      <c r="FG4926" s="67"/>
      <c r="FH4926" s="67"/>
      <c r="FI4926" s="67"/>
      <c r="FJ4926" s="67"/>
      <c r="FK4926" s="67"/>
      <c r="FL4926" s="67"/>
      <c r="FM4926" s="67"/>
      <c r="FN4926" s="67"/>
      <c r="FO4926" s="67"/>
      <c r="FP4926" s="67"/>
      <c r="FQ4926" s="67"/>
      <c r="FR4926" s="67"/>
      <c r="FS4926" s="67"/>
      <c r="FT4926" s="67"/>
      <c r="FU4926" s="67"/>
      <c r="FV4926" s="67"/>
      <c r="FW4926" s="67"/>
      <c r="FX4926" s="67"/>
      <c r="FY4926" s="67"/>
      <c r="FZ4926" s="67"/>
      <c r="GA4926" s="67"/>
      <c r="GB4926" s="67"/>
      <c r="GC4926" s="67"/>
      <c r="GD4926" s="67"/>
      <c r="GE4926" s="67"/>
      <c r="GF4926" s="67"/>
      <c r="GG4926" s="67"/>
      <c r="GH4926" s="67"/>
      <c r="GI4926" s="67"/>
      <c r="GJ4926" s="67"/>
      <c r="GK4926" s="67"/>
      <c r="GL4926" s="67"/>
      <c r="GM4926" s="67"/>
      <c r="GN4926" s="292"/>
      <c r="GO4926" s="292"/>
      <c r="GP4926" s="292" t="s">
        <v>7494</v>
      </c>
      <c r="GQ4926" s="67"/>
      <c r="GR4926" s="67"/>
      <c r="GS4926" s="67"/>
      <c r="GT4926" s="67"/>
      <c r="GU4926" s="67"/>
      <c r="GV4926" s="67"/>
      <c r="GW4926" s="67"/>
      <c r="GX4926" s="67"/>
      <c r="GY4926" s="67"/>
      <c r="GZ4926" s="67"/>
      <c r="HA4926" s="67"/>
      <c r="HB4926" s="67"/>
      <c r="HC4926" s="67"/>
      <c r="HD4926" s="67"/>
      <c r="HE4926" s="67"/>
      <c r="HF4926" s="67"/>
      <c r="HG4926" s="67"/>
      <c r="HH4926" s="67"/>
      <c r="HI4926" s="67"/>
      <c r="HJ4926" s="67"/>
      <c r="HK4926" s="67"/>
      <c r="HL4926" s="67"/>
      <c r="HM4926" s="67"/>
      <c r="HN4926" s="67"/>
      <c r="HO4926" s="67"/>
      <c r="HP4926" s="67"/>
      <c r="HQ4926" s="67"/>
      <c r="HR4926" s="67"/>
      <c r="HS4926" s="67"/>
      <c r="HT4926" s="67"/>
      <c r="HU4926" s="67"/>
      <c r="HV4926" s="67"/>
      <c r="HW4926" s="67"/>
      <c r="HX4926" s="67"/>
      <c r="HY4926" s="67"/>
      <c r="HZ4926" s="67"/>
      <c r="IA4926" s="67"/>
      <c r="IB4926" s="67"/>
      <c r="IC4926" s="67"/>
      <c r="ID4926" s="67"/>
      <c r="IE4926" s="67"/>
      <c r="IF4926" s="67"/>
      <c r="IG4926" s="67"/>
      <c r="IH4926" s="67"/>
      <c r="II4926" s="67"/>
      <c r="IJ4926" s="67"/>
      <c r="IK4926" s="67"/>
      <c r="IL4926" s="67"/>
      <c r="IM4926" s="67"/>
      <c r="IN4926" s="67"/>
      <c r="IO4926" s="67"/>
      <c r="IP4926" s="67"/>
      <c r="IQ4926" s="67"/>
      <c r="IR4926" s="67"/>
      <c r="IS4926" s="67"/>
      <c r="IT4926" s="67"/>
      <c r="IU4926" s="67"/>
      <c r="IV4926" s="67"/>
      <c r="IW4926" s="67"/>
      <c r="IX4926" s="67"/>
      <c r="IY4926" s="67"/>
      <c r="IZ4926" s="67"/>
      <c r="JA4926" s="67"/>
      <c r="JB4926" s="67"/>
      <c r="JC4926" s="67"/>
      <c r="JD4926" s="67"/>
      <c r="JE4926" s="67"/>
      <c r="JF4926" s="67"/>
      <c r="JG4926" s="67"/>
      <c r="JH4926" s="67"/>
      <c r="JI4926" s="67"/>
      <c r="JJ4926" s="67"/>
      <c r="JK4926" s="67"/>
      <c r="JL4926" s="67"/>
      <c r="JM4926" s="67"/>
      <c r="JN4926" s="67"/>
      <c r="JO4926" s="67"/>
      <c r="JP4926" s="67"/>
      <c r="JQ4926" s="67"/>
      <c r="JR4926" s="67"/>
      <c r="JS4926" s="67"/>
      <c r="JT4926" s="67"/>
      <c r="JU4926" s="58"/>
      <c r="JV4926" s="58"/>
      <c r="JW4926" s="58"/>
    </row>
    <row r="4927" spans="1:283" s="23" customFormat="1" x14ac:dyDescent="0.25">
      <c r="A4927" s="55">
        <v>4926</v>
      </c>
      <c r="B4927" s="12" t="s">
        <v>7067</v>
      </c>
      <c r="C4927" s="156">
        <v>236</v>
      </c>
      <c r="D4927" s="58" t="s">
        <v>4943</v>
      </c>
      <c r="E4927" s="160" t="str">
        <f>G4927</f>
        <v>Granstedt et al 2008_subsoil</v>
      </c>
      <c r="F4927" s="160"/>
      <c r="G4927" s="60" t="s">
        <v>4786</v>
      </c>
      <c r="H4927" s="58">
        <v>2008</v>
      </c>
      <c r="I4927" s="58">
        <v>1990</v>
      </c>
      <c r="J4927" s="243" t="s">
        <v>5303</v>
      </c>
      <c r="K4927" s="63" t="s">
        <v>5107</v>
      </c>
      <c r="L4927" s="58" t="s">
        <v>2742</v>
      </c>
      <c r="M4927" s="94">
        <v>59.09</v>
      </c>
      <c r="N4927" s="94">
        <v>17.559999999999999</v>
      </c>
      <c r="O4927" s="94">
        <v>44</v>
      </c>
      <c r="P4927" s="58"/>
      <c r="Q4927" s="244">
        <v>6</v>
      </c>
      <c r="R4927" s="58"/>
      <c r="S4927" s="245">
        <v>550</v>
      </c>
      <c r="T4927" s="58"/>
      <c r="U4927" s="58" t="s">
        <v>1877</v>
      </c>
      <c r="V4927" s="244">
        <v>32</v>
      </c>
      <c r="W4927" s="174"/>
      <c r="X4927" s="174"/>
      <c r="Y4927" s="58" t="s">
        <v>5444</v>
      </c>
      <c r="Z4927" s="244" t="s">
        <v>5144</v>
      </c>
      <c r="AA4927" s="245">
        <v>10</v>
      </c>
      <c r="AB4927" s="67"/>
      <c r="AC4927" s="67"/>
      <c r="AD4927" s="94"/>
      <c r="AE4927" s="94"/>
      <c r="AF4927" s="94"/>
      <c r="AG4927" s="245">
        <v>34</v>
      </c>
      <c r="AH4927" s="58"/>
      <c r="AI4927" s="169"/>
      <c r="AJ4927" s="94"/>
      <c r="AK4927" s="94"/>
      <c r="AL4927" s="58"/>
      <c r="AM4927" s="58"/>
      <c r="AN4927" s="186"/>
      <c r="AO4927" s="185" t="s">
        <v>7494</v>
      </c>
      <c r="AP4927" s="58"/>
      <c r="AQ4927" s="58"/>
      <c r="AR4927" s="58" t="s">
        <v>4584</v>
      </c>
      <c r="AS4927" s="246" t="s">
        <v>5133</v>
      </c>
      <c r="AT4927" s="247">
        <v>1</v>
      </c>
      <c r="AU4927" s="181" t="s">
        <v>7494</v>
      </c>
      <c r="AV4927" s="185" t="s">
        <v>176</v>
      </c>
      <c r="AW4927" s="244">
        <v>1</v>
      </c>
      <c r="AX4927" s="185" t="s">
        <v>176</v>
      </c>
      <c r="AY4927" s="244" t="s">
        <v>176</v>
      </c>
      <c r="AZ4927" s="58"/>
      <c r="BA4927" s="58"/>
      <c r="BB4927" s="58"/>
      <c r="BC4927" s="58"/>
      <c r="BD4927" s="58"/>
      <c r="BE4927" s="236" t="s">
        <v>5184</v>
      </c>
      <c r="BF4927" s="191" t="s">
        <v>479</v>
      </c>
      <c r="BG4927" s="191" t="s">
        <v>479</v>
      </c>
      <c r="BH4927" s="236" t="s">
        <v>5250</v>
      </c>
      <c r="BI4927" s="191" t="s">
        <v>479</v>
      </c>
      <c r="BJ4927" s="58" t="str">
        <f>IF(BE4927=BH4927,"No","yes")</f>
        <v>yes</v>
      </c>
      <c r="BK4927" s="58" t="s">
        <v>6334</v>
      </c>
      <c r="BL4927" s="58"/>
      <c r="BM4927" s="237"/>
      <c r="BN4927" s="244">
        <v>3</v>
      </c>
      <c r="BO4927" s="244">
        <v>3</v>
      </c>
      <c r="BP4927" s="58"/>
      <c r="BQ4927" s="58"/>
      <c r="BR4927" s="58"/>
      <c r="BS4927" s="58"/>
      <c r="BT4927" s="58"/>
      <c r="BU4927" s="58"/>
      <c r="BV4927" s="58"/>
      <c r="BW4927" s="67"/>
      <c r="BX4927" s="67"/>
      <c r="BY4927" s="67"/>
      <c r="BZ4927" s="67"/>
      <c r="CA4927" s="67"/>
      <c r="CB4927" s="70">
        <v>100</v>
      </c>
      <c r="CC4927" s="70">
        <v>99.24</v>
      </c>
      <c r="CD4927" s="70"/>
      <c r="CE4927" s="67"/>
      <c r="CF4927" s="67"/>
      <c r="CG4927" s="67"/>
      <c r="CH4927" s="245"/>
      <c r="CI4927" s="245"/>
      <c r="CJ4927" s="67"/>
      <c r="CK4927" s="67"/>
      <c r="CL4927" s="67"/>
      <c r="CM4927" s="242">
        <v>2.12</v>
      </c>
      <c r="CN4927" s="242">
        <v>2.02</v>
      </c>
      <c r="CO4927" s="242">
        <v>0.16</v>
      </c>
      <c r="CP4927" s="242">
        <v>0.41</v>
      </c>
      <c r="CQ4927" s="242" t="s">
        <v>164</v>
      </c>
      <c r="CR4927" s="242">
        <v>31.18</v>
      </c>
      <c r="CS4927" s="242">
        <v>28.83</v>
      </c>
      <c r="CT4927" s="242">
        <v>2.31</v>
      </c>
      <c r="CU4927" s="242">
        <v>5.98</v>
      </c>
      <c r="CV4927" s="242" t="s">
        <v>5151</v>
      </c>
      <c r="CW4927" s="242">
        <v>624.375</v>
      </c>
      <c r="CX4927" s="242">
        <v>305.9375</v>
      </c>
      <c r="CY4927" s="242">
        <v>62.4375</v>
      </c>
      <c r="CZ4927" s="242">
        <v>30.59375</v>
      </c>
      <c r="DA4927" s="67" t="s">
        <v>5443</v>
      </c>
      <c r="DB4927" s="67"/>
      <c r="DC4927" s="67"/>
      <c r="DD4927" s="67"/>
      <c r="DE4927" s="67"/>
      <c r="DF4927" s="67"/>
      <c r="DG4927" s="67"/>
      <c r="DH4927" s="67"/>
      <c r="DI4927" s="67"/>
      <c r="DJ4927" s="67"/>
      <c r="DK4927" s="67"/>
      <c r="DL4927" s="67"/>
      <c r="DM4927" s="67"/>
      <c r="DN4927" s="67"/>
      <c r="DO4927" s="67"/>
      <c r="DP4927" s="67"/>
      <c r="DQ4927" s="166"/>
      <c r="DR4927" s="166"/>
      <c r="DS4927" s="163"/>
      <c r="DT4927" s="163"/>
      <c r="DU4927" s="67"/>
      <c r="DV4927" s="67"/>
      <c r="DW4927" s="67"/>
      <c r="DX4927" s="67"/>
      <c r="DY4927" s="67"/>
      <c r="DZ4927" s="67"/>
      <c r="EA4927" s="67"/>
      <c r="EB4927" s="67"/>
      <c r="EC4927" s="67"/>
      <c r="ED4927" s="67"/>
      <c r="EE4927" s="67"/>
      <c r="EF4927" s="67"/>
      <c r="EG4927" s="67"/>
      <c r="EH4927" s="67"/>
      <c r="EI4927" s="67"/>
      <c r="EJ4927" s="67"/>
      <c r="EK4927" s="94"/>
      <c r="EL4927" s="94"/>
      <c r="EM4927" s="67"/>
      <c r="EN4927" s="67"/>
      <c r="EO4927" s="67"/>
      <c r="EP4927" s="67"/>
      <c r="EQ4927" s="67"/>
      <c r="ER4927" s="67"/>
      <c r="ES4927" s="67"/>
      <c r="ET4927" s="67"/>
      <c r="EU4927" s="67"/>
      <c r="EV4927" s="67"/>
      <c r="EW4927" s="67"/>
      <c r="EX4927" s="67"/>
      <c r="EY4927" s="67"/>
      <c r="EZ4927" s="67"/>
      <c r="FA4927" s="67"/>
      <c r="FB4927" s="67"/>
      <c r="FC4927" s="67"/>
      <c r="FD4927" s="67"/>
      <c r="FE4927" s="67"/>
      <c r="FF4927" s="67"/>
      <c r="FG4927" s="67"/>
      <c r="FH4927" s="67"/>
      <c r="FI4927" s="67"/>
      <c r="FJ4927" s="67"/>
      <c r="FK4927" s="67"/>
      <c r="FL4927" s="67"/>
      <c r="FM4927" s="67"/>
      <c r="FN4927" s="67"/>
      <c r="FO4927" s="67"/>
      <c r="FP4927" s="67"/>
      <c r="FQ4927" s="67"/>
      <c r="FR4927" s="67"/>
      <c r="FS4927" s="67"/>
      <c r="FT4927" s="67"/>
      <c r="FU4927" s="67"/>
      <c r="FV4927" s="67"/>
      <c r="FW4927" s="67"/>
      <c r="FX4927" s="67"/>
      <c r="FY4927" s="67"/>
      <c r="FZ4927" s="67"/>
      <c r="GA4927" s="67"/>
      <c r="GB4927" s="67"/>
      <c r="GC4927" s="67"/>
      <c r="GD4927" s="67"/>
      <c r="GE4927" s="67"/>
      <c r="GF4927" s="67"/>
      <c r="GG4927" s="67"/>
      <c r="GH4927" s="67"/>
      <c r="GI4927" s="67"/>
      <c r="GJ4927" s="67"/>
      <c r="GK4927" s="67"/>
      <c r="GL4927" s="67"/>
      <c r="GM4927" s="67"/>
      <c r="GN4927" s="292"/>
      <c r="GO4927" s="292"/>
      <c r="GP4927" s="292" t="s">
        <v>7494</v>
      </c>
      <c r="GQ4927" s="67"/>
      <c r="GR4927" s="67"/>
      <c r="GS4927" s="67"/>
      <c r="GT4927" s="67"/>
      <c r="GU4927" s="67"/>
      <c r="GV4927" s="67"/>
      <c r="GW4927" s="67"/>
      <c r="GX4927" s="67"/>
      <c r="GY4927" s="67"/>
      <c r="GZ4927" s="67"/>
      <c r="HA4927" s="67"/>
      <c r="HB4927" s="67"/>
      <c r="HC4927" s="67"/>
      <c r="HD4927" s="67"/>
      <c r="HE4927" s="67"/>
      <c r="HF4927" s="67"/>
      <c r="HG4927" s="67"/>
      <c r="HH4927" s="67"/>
      <c r="HI4927" s="67"/>
      <c r="HJ4927" s="67"/>
      <c r="HK4927" s="67"/>
      <c r="HL4927" s="67"/>
      <c r="HM4927" s="67"/>
      <c r="HN4927" s="67"/>
      <c r="HO4927" s="67"/>
      <c r="HP4927" s="67"/>
      <c r="HQ4927" s="67"/>
      <c r="HR4927" s="67"/>
      <c r="HS4927" s="67"/>
      <c r="HT4927" s="67"/>
      <c r="HU4927" s="67"/>
      <c r="HV4927" s="67"/>
      <c r="HW4927" s="67"/>
      <c r="HX4927" s="67"/>
      <c r="HY4927" s="67"/>
      <c r="HZ4927" s="67"/>
      <c r="IA4927" s="67"/>
      <c r="IB4927" s="67"/>
      <c r="IC4927" s="67"/>
      <c r="ID4927" s="67"/>
      <c r="IE4927" s="67"/>
      <c r="IF4927" s="67"/>
      <c r="IG4927" s="67"/>
      <c r="IH4927" s="67"/>
      <c r="II4927" s="67"/>
      <c r="IJ4927" s="67"/>
      <c r="IK4927" s="67"/>
      <c r="IL4927" s="67"/>
      <c r="IM4927" s="67"/>
      <c r="IN4927" s="67"/>
      <c r="IO4927" s="67"/>
      <c r="IP4927" s="67"/>
      <c r="IQ4927" s="67"/>
      <c r="IR4927" s="67"/>
      <c r="IS4927" s="67"/>
      <c r="IT4927" s="67"/>
      <c r="IU4927" s="67"/>
      <c r="IV4927" s="67"/>
      <c r="IW4927" s="67"/>
      <c r="IX4927" s="67"/>
      <c r="IY4927" s="67"/>
      <c r="IZ4927" s="67"/>
      <c r="JA4927" s="67"/>
      <c r="JB4927" s="67"/>
      <c r="JC4927" s="67"/>
      <c r="JD4927" s="67"/>
      <c r="JE4927" s="67"/>
      <c r="JF4927" s="67"/>
      <c r="JG4927" s="67"/>
      <c r="JH4927" s="67"/>
      <c r="JI4927" s="67"/>
      <c r="JJ4927" s="67"/>
      <c r="JK4927" s="67"/>
      <c r="JL4927" s="67"/>
      <c r="JM4927" s="67"/>
      <c r="JN4927" s="67"/>
      <c r="JO4927" s="67"/>
      <c r="JP4927" s="67"/>
      <c r="JQ4927" s="67"/>
      <c r="JR4927" s="67"/>
      <c r="JS4927" s="67"/>
      <c r="JT4927" s="67"/>
      <c r="JU4927" s="58"/>
      <c r="JV4927" s="58"/>
      <c r="JW4927" s="58"/>
    </row>
    <row r="4928" spans="1:283" s="23" customFormat="1" x14ac:dyDescent="0.25">
      <c r="A4928" s="55">
        <v>4927</v>
      </c>
      <c r="B4928" s="12" t="s">
        <v>7067</v>
      </c>
      <c r="C4928" s="156">
        <v>236</v>
      </c>
      <c r="D4928" s="58" t="s">
        <v>4944</v>
      </c>
      <c r="E4928" s="160" t="str">
        <f>G4928</f>
        <v>Granstedt et al 2008_topsoil</v>
      </c>
      <c r="F4928" s="160"/>
      <c r="G4928" s="60" t="s">
        <v>4785</v>
      </c>
      <c r="H4928" s="58">
        <v>2008</v>
      </c>
      <c r="I4928" s="58">
        <v>1990</v>
      </c>
      <c r="J4928" s="243" t="s">
        <v>5304</v>
      </c>
      <c r="K4928" s="63" t="s">
        <v>5107</v>
      </c>
      <c r="L4928" s="58" t="s">
        <v>2742</v>
      </c>
      <c r="M4928" s="94">
        <v>59.09</v>
      </c>
      <c r="N4928" s="94">
        <v>17.559999999999999</v>
      </c>
      <c r="O4928" s="94">
        <v>44</v>
      </c>
      <c r="P4928" s="58"/>
      <c r="Q4928" s="244">
        <v>6</v>
      </c>
      <c r="R4928" s="58"/>
      <c r="S4928" s="245">
        <v>550</v>
      </c>
      <c r="T4928" s="58"/>
      <c r="U4928" s="58" t="s">
        <v>1877</v>
      </c>
      <c r="V4928" s="244">
        <v>32</v>
      </c>
      <c r="W4928" s="174"/>
      <c r="X4928" s="174"/>
      <c r="Y4928" s="58" t="s">
        <v>5444</v>
      </c>
      <c r="Z4928" s="244" t="s">
        <v>1355</v>
      </c>
      <c r="AA4928" s="245">
        <v>10</v>
      </c>
      <c r="AB4928" s="67"/>
      <c r="AC4928" s="67"/>
      <c r="AD4928" s="94"/>
      <c r="AE4928" s="94"/>
      <c r="AF4928" s="94"/>
      <c r="AG4928" s="245">
        <v>34</v>
      </c>
      <c r="AH4928" s="58"/>
      <c r="AI4928" s="169"/>
      <c r="AJ4928" s="94"/>
      <c r="AK4928" s="94"/>
      <c r="AL4928" s="58"/>
      <c r="AM4928" s="58"/>
      <c r="AN4928" s="186"/>
      <c r="AO4928" s="185" t="s">
        <v>7494</v>
      </c>
      <c r="AP4928" s="58"/>
      <c r="AQ4928" s="58"/>
      <c r="AR4928" s="58" t="s">
        <v>4584</v>
      </c>
      <c r="AS4928" s="246" t="s">
        <v>5133</v>
      </c>
      <c r="AT4928" s="247">
        <v>1</v>
      </c>
      <c r="AU4928" s="181" t="s">
        <v>7494</v>
      </c>
      <c r="AV4928" s="185" t="s">
        <v>176</v>
      </c>
      <c r="AW4928" s="244">
        <v>1</v>
      </c>
      <c r="AX4928" s="185" t="s">
        <v>176</v>
      </c>
      <c r="AY4928" s="244" t="s">
        <v>176</v>
      </c>
      <c r="AZ4928" s="58"/>
      <c r="BA4928" s="58"/>
      <c r="BB4928" s="58"/>
      <c r="BC4928" s="58"/>
      <c r="BD4928" s="58"/>
      <c r="BE4928" s="236" t="s">
        <v>5184</v>
      </c>
      <c r="BF4928" s="191" t="s">
        <v>479</v>
      </c>
      <c r="BG4928" s="191" t="s">
        <v>479</v>
      </c>
      <c r="BH4928" s="236" t="s">
        <v>5250</v>
      </c>
      <c r="BI4928" s="191" t="s">
        <v>479</v>
      </c>
      <c r="BJ4928" s="58" t="str">
        <f>IF(BE4928=BH4928,"No","yes")</f>
        <v>yes</v>
      </c>
      <c r="BK4928" s="58" t="s">
        <v>6334</v>
      </c>
      <c r="BL4928" s="58"/>
      <c r="BM4928" s="237"/>
      <c r="BN4928" s="244">
        <v>3</v>
      </c>
      <c r="BO4928" s="244">
        <v>3</v>
      </c>
      <c r="BP4928" s="58"/>
      <c r="BQ4928" s="58"/>
      <c r="BR4928" s="58"/>
      <c r="BS4928" s="58"/>
      <c r="BT4928" s="58"/>
      <c r="BU4928" s="58"/>
      <c r="BV4928" s="58"/>
      <c r="BW4928" s="67"/>
      <c r="BX4928" s="67"/>
      <c r="BY4928" s="67"/>
      <c r="BZ4928" s="67"/>
      <c r="CA4928" s="67"/>
      <c r="CB4928" s="70"/>
      <c r="CC4928" s="70"/>
      <c r="CD4928" s="70"/>
      <c r="CE4928" s="67"/>
      <c r="CF4928" s="67"/>
      <c r="CG4928" s="67"/>
      <c r="CH4928" s="245"/>
      <c r="CI4928" s="245"/>
      <c r="CJ4928" s="67"/>
      <c r="CK4928" s="67"/>
      <c r="CL4928" s="67"/>
      <c r="CM4928" s="242">
        <v>2.5</v>
      </c>
      <c r="CN4928" s="242">
        <v>2.86</v>
      </c>
      <c r="CO4928" s="242">
        <v>0.09</v>
      </c>
      <c r="CP4928" s="242">
        <v>0.21501937897159776</v>
      </c>
      <c r="CQ4928" s="242" t="s">
        <v>164</v>
      </c>
      <c r="CR4928" s="242">
        <v>36.799999999999997</v>
      </c>
      <c r="CS4928" s="242">
        <v>40.86</v>
      </c>
      <c r="CT4928" s="242">
        <v>2.13</v>
      </c>
      <c r="CU4928" s="242">
        <v>4.32</v>
      </c>
      <c r="CV4928" s="242" t="s">
        <v>5151</v>
      </c>
      <c r="CW4928" s="242">
        <v>-11.562500000000142</v>
      </c>
      <c r="CX4928" s="242">
        <v>142.50000000000006</v>
      </c>
      <c r="CY4928" s="242">
        <v>-1.1562500000000142</v>
      </c>
      <c r="CZ4928" s="242">
        <v>14.250000000000007</v>
      </c>
      <c r="DA4928" s="67" t="s">
        <v>5443</v>
      </c>
      <c r="DB4928" s="67"/>
      <c r="DC4928" s="67"/>
      <c r="DD4928" s="67"/>
      <c r="DE4928" s="67"/>
      <c r="DF4928" s="67"/>
      <c r="DG4928" s="67"/>
      <c r="DH4928" s="67"/>
      <c r="DI4928" s="67"/>
      <c r="DJ4928" s="67"/>
      <c r="DK4928" s="67"/>
      <c r="DL4928" s="67"/>
      <c r="DM4928" s="67"/>
      <c r="DN4928" s="67"/>
      <c r="DO4928" s="67"/>
      <c r="DP4928" s="67"/>
      <c r="DQ4928" s="166"/>
      <c r="DR4928" s="166"/>
      <c r="DS4928" s="163"/>
      <c r="DT4928" s="163"/>
      <c r="DU4928" s="67"/>
      <c r="DV4928" s="67"/>
      <c r="DW4928" s="67"/>
      <c r="DX4928" s="67"/>
      <c r="DY4928" s="67"/>
      <c r="DZ4928" s="67"/>
      <c r="EA4928" s="67"/>
      <c r="EB4928" s="67"/>
      <c r="EC4928" s="67"/>
      <c r="ED4928" s="67"/>
      <c r="EE4928" s="67"/>
      <c r="EF4928" s="67"/>
      <c r="EG4928" s="67"/>
      <c r="EH4928" s="67"/>
      <c r="EI4928" s="67"/>
      <c r="EJ4928" s="67"/>
      <c r="EK4928" s="94"/>
      <c r="EL4928" s="94"/>
      <c r="EM4928" s="67"/>
      <c r="EN4928" s="67"/>
      <c r="EO4928" s="67"/>
      <c r="EP4928" s="67"/>
      <c r="EQ4928" s="67"/>
      <c r="ER4928" s="67"/>
      <c r="ES4928" s="67"/>
      <c r="ET4928" s="67"/>
      <c r="EU4928" s="67"/>
      <c r="EV4928" s="67"/>
      <c r="EW4928" s="67"/>
      <c r="EX4928" s="67"/>
      <c r="EY4928" s="67"/>
      <c r="EZ4928" s="67"/>
      <c r="FA4928" s="67"/>
      <c r="FB4928" s="67"/>
      <c r="FC4928" s="67"/>
      <c r="FD4928" s="67"/>
      <c r="FE4928" s="67"/>
      <c r="FF4928" s="67"/>
      <c r="FG4928" s="67"/>
      <c r="FH4928" s="67"/>
      <c r="FI4928" s="67"/>
      <c r="FJ4928" s="67"/>
      <c r="FK4928" s="67"/>
      <c r="FL4928" s="67"/>
      <c r="FM4928" s="67"/>
      <c r="FN4928" s="67"/>
      <c r="FO4928" s="67"/>
      <c r="FP4928" s="67"/>
      <c r="FQ4928" s="67"/>
      <c r="FR4928" s="67"/>
      <c r="FS4928" s="67"/>
      <c r="FT4928" s="67"/>
      <c r="FU4928" s="67"/>
      <c r="FV4928" s="67"/>
      <c r="FW4928" s="67"/>
      <c r="FX4928" s="67"/>
      <c r="FY4928" s="67"/>
      <c r="FZ4928" s="67"/>
      <c r="GA4928" s="67"/>
      <c r="GB4928" s="67"/>
      <c r="GC4928" s="67"/>
      <c r="GD4928" s="67"/>
      <c r="GE4928" s="67"/>
      <c r="GF4928" s="67"/>
      <c r="GG4928" s="67"/>
      <c r="GH4928" s="67"/>
      <c r="GI4928" s="67"/>
      <c r="GJ4928" s="67"/>
      <c r="GK4928" s="67"/>
      <c r="GL4928" s="67"/>
      <c r="GM4928" s="67"/>
      <c r="GN4928" s="292"/>
      <c r="GO4928" s="292"/>
      <c r="GP4928" s="292" t="s">
        <v>7494</v>
      </c>
      <c r="GQ4928" s="67"/>
      <c r="GR4928" s="67"/>
      <c r="GS4928" s="67"/>
      <c r="GT4928" s="67"/>
      <c r="GU4928" s="67"/>
      <c r="GV4928" s="67"/>
      <c r="GW4928" s="67"/>
      <c r="GX4928" s="67"/>
      <c r="GY4928" s="67"/>
      <c r="GZ4928" s="67"/>
      <c r="HA4928" s="67"/>
      <c r="HB4928" s="67"/>
      <c r="HC4928" s="67"/>
      <c r="HD4928" s="67"/>
      <c r="HE4928" s="67"/>
      <c r="HF4928" s="67"/>
      <c r="HG4928" s="67"/>
      <c r="HH4928" s="67"/>
      <c r="HI4928" s="67"/>
      <c r="HJ4928" s="67"/>
      <c r="HK4928" s="67"/>
      <c r="HL4928" s="67"/>
      <c r="HM4928" s="67"/>
      <c r="HN4928" s="67"/>
      <c r="HO4928" s="67"/>
      <c r="HP4928" s="67"/>
      <c r="HQ4928" s="67"/>
      <c r="HR4928" s="67"/>
      <c r="HS4928" s="67"/>
      <c r="HT4928" s="67"/>
      <c r="HU4928" s="67"/>
      <c r="HV4928" s="67"/>
      <c r="HW4928" s="67"/>
      <c r="HX4928" s="67"/>
      <c r="HY4928" s="67"/>
      <c r="HZ4928" s="67"/>
      <c r="IA4928" s="67"/>
      <c r="IB4928" s="67"/>
      <c r="IC4928" s="67"/>
      <c r="ID4928" s="67"/>
      <c r="IE4928" s="67"/>
      <c r="IF4928" s="67"/>
      <c r="IG4928" s="67"/>
      <c r="IH4928" s="67"/>
      <c r="II4928" s="67"/>
      <c r="IJ4928" s="67"/>
      <c r="IK4928" s="67"/>
      <c r="IL4928" s="67"/>
      <c r="IM4928" s="67"/>
      <c r="IN4928" s="67"/>
      <c r="IO4928" s="67"/>
      <c r="IP4928" s="67"/>
      <c r="IQ4928" s="67"/>
      <c r="IR4928" s="67"/>
      <c r="IS4928" s="67"/>
      <c r="IT4928" s="67"/>
      <c r="IU4928" s="67"/>
      <c r="IV4928" s="67"/>
      <c r="IW4928" s="67"/>
      <c r="IX4928" s="67"/>
      <c r="IY4928" s="67"/>
      <c r="IZ4928" s="67"/>
      <c r="JA4928" s="67"/>
      <c r="JB4928" s="67"/>
      <c r="JC4928" s="67"/>
      <c r="JD4928" s="67"/>
      <c r="JE4928" s="67"/>
      <c r="JF4928" s="67"/>
      <c r="JG4928" s="67"/>
      <c r="JH4928" s="67"/>
      <c r="JI4928" s="67"/>
      <c r="JJ4928" s="67"/>
      <c r="JK4928" s="67"/>
      <c r="JL4928" s="67"/>
      <c r="JM4928" s="67"/>
      <c r="JN4928" s="67"/>
      <c r="JO4928" s="67"/>
      <c r="JP4928" s="67"/>
      <c r="JQ4928" s="67"/>
      <c r="JR4928" s="67"/>
      <c r="JS4928" s="67"/>
      <c r="JT4928" s="67"/>
      <c r="JU4928" s="58"/>
      <c r="JV4928" s="58"/>
      <c r="JW4928" s="58"/>
    </row>
    <row r="4929" spans="1:283" s="23" customFormat="1" x14ac:dyDescent="0.25">
      <c r="A4929" s="55">
        <v>4928</v>
      </c>
      <c r="B4929" s="12" t="s">
        <v>7067</v>
      </c>
      <c r="C4929" s="156">
        <v>237</v>
      </c>
      <c r="D4929" s="58" t="s">
        <v>4945</v>
      </c>
      <c r="E4929" s="160" t="str">
        <f>G4929</f>
        <v>Haggar et al. 2011_Costa Rica, CE</v>
      </c>
      <c r="F4929" s="160"/>
      <c r="G4929" s="60" t="s">
        <v>4784</v>
      </c>
      <c r="H4929" s="58">
        <v>2011</v>
      </c>
      <c r="I4929" s="58">
        <v>2003</v>
      </c>
      <c r="J4929" s="243" t="s">
        <v>2688</v>
      </c>
      <c r="K4929" s="63" t="s">
        <v>5106</v>
      </c>
      <c r="L4929" s="58" t="s">
        <v>5332</v>
      </c>
      <c r="M4929" s="94">
        <v>9.91</v>
      </c>
      <c r="N4929" s="94">
        <v>-83.68</v>
      </c>
      <c r="O4929" s="94">
        <v>647</v>
      </c>
      <c r="P4929" s="58"/>
      <c r="Q4929" s="244">
        <v>22.6</v>
      </c>
      <c r="R4929" s="58"/>
      <c r="S4929" s="245">
        <v>3200</v>
      </c>
      <c r="T4929" s="58"/>
      <c r="U4929" s="58" t="s">
        <v>1688</v>
      </c>
      <c r="V4929" s="244">
        <v>5</v>
      </c>
      <c r="W4929" s="174"/>
      <c r="X4929" s="174"/>
      <c r="Y4929" s="58" t="s">
        <v>5445</v>
      </c>
      <c r="Z4929" s="244" t="s">
        <v>1355</v>
      </c>
      <c r="AA4929" s="245">
        <v>10</v>
      </c>
      <c r="AB4929" s="67"/>
      <c r="AC4929" s="67"/>
      <c r="AD4929" s="94"/>
      <c r="AE4929" s="94"/>
      <c r="AF4929" s="94"/>
      <c r="AG4929" s="245"/>
      <c r="AH4929" s="58"/>
      <c r="AI4929" s="169"/>
      <c r="AJ4929" s="94"/>
      <c r="AK4929" s="94"/>
      <c r="AL4929" s="58"/>
      <c r="AM4929" s="58"/>
      <c r="AN4929" s="186" t="s">
        <v>5446</v>
      </c>
      <c r="AO4929" s="185" t="s">
        <v>5150</v>
      </c>
      <c r="AP4929" s="58"/>
      <c r="AQ4929" s="58" t="s">
        <v>1603</v>
      </c>
      <c r="AR4929" s="58" t="s">
        <v>5447</v>
      </c>
      <c r="AS4929" s="246" t="s">
        <v>3471</v>
      </c>
      <c r="AT4929" s="247">
        <v>0</v>
      </c>
      <c r="AU4929" s="181" t="s">
        <v>7494</v>
      </c>
      <c r="AV4929" s="185" t="s">
        <v>176</v>
      </c>
      <c r="AW4929" s="244">
        <v>0</v>
      </c>
      <c r="AX4929" s="185" t="s">
        <v>176</v>
      </c>
      <c r="AY4929" s="244" t="s">
        <v>176</v>
      </c>
      <c r="AZ4929" s="58"/>
      <c r="BA4929" s="58"/>
      <c r="BB4929" s="58"/>
      <c r="BC4929" s="58"/>
      <c r="BD4929" s="58"/>
      <c r="BE4929" s="236" t="s">
        <v>5185</v>
      </c>
      <c r="BF4929" s="191" t="s">
        <v>479</v>
      </c>
      <c r="BG4929" s="191" t="s">
        <v>479</v>
      </c>
      <c r="BH4929" s="236" t="s">
        <v>5251</v>
      </c>
      <c r="BI4929" s="191" t="s">
        <v>479</v>
      </c>
      <c r="BJ4929" s="58" t="str">
        <f>IF(BE4929=BH4929,"No","yes")</f>
        <v>yes</v>
      </c>
      <c r="BK4929" s="58" t="s">
        <v>6334</v>
      </c>
      <c r="BL4929" s="58"/>
      <c r="BM4929" s="237"/>
      <c r="BN4929" s="244">
        <v>3</v>
      </c>
      <c r="BO4929" s="244">
        <v>3</v>
      </c>
      <c r="BP4929" s="58"/>
      <c r="BQ4929" s="58"/>
      <c r="BR4929" s="58"/>
      <c r="BS4929" s="58"/>
      <c r="BT4929" s="58"/>
      <c r="BU4929" s="58"/>
      <c r="BV4929" s="58"/>
      <c r="BW4929" s="67"/>
      <c r="BX4929" s="67"/>
      <c r="BY4929" s="67"/>
      <c r="BZ4929" s="67"/>
      <c r="CA4929" s="67"/>
      <c r="CB4929" s="70"/>
      <c r="CC4929" s="70"/>
      <c r="CD4929" s="70"/>
      <c r="CE4929" s="67"/>
      <c r="CF4929" s="67"/>
      <c r="CG4929" s="67"/>
      <c r="CH4929" s="245"/>
      <c r="CI4929" s="245"/>
      <c r="CJ4929" s="67"/>
      <c r="CK4929" s="67"/>
      <c r="CL4929" s="67"/>
      <c r="CM4929" s="242">
        <v>3.4651162790697674</v>
      </c>
      <c r="CN4929" s="242">
        <v>3.63953488372093</v>
      </c>
      <c r="CO4929" s="242">
        <v>0.34651162790697676</v>
      </c>
      <c r="CP4929" s="242">
        <v>0.36395348837209301</v>
      </c>
      <c r="CQ4929" s="242" t="s">
        <v>164</v>
      </c>
      <c r="CR4929" s="242">
        <v>42.377571816047286</v>
      </c>
      <c r="CS4929" s="242">
        <v>43.948158876131515</v>
      </c>
      <c r="CT4929" s="242">
        <v>4.2377571816047288</v>
      </c>
      <c r="CU4929" s="242">
        <v>4.3948158876131513</v>
      </c>
      <c r="CV4929" s="242" t="s">
        <v>5151</v>
      </c>
      <c r="CW4929" s="242"/>
      <c r="CX4929" s="242"/>
      <c r="CY4929" s="242"/>
      <c r="CZ4929" s="242"/>
      <c r="DA4929" s="67" t="s">
        <v>5443</v>
      </c>
      <c r="DB4929" s="67"/>
      <c r="DC4929" s="67"/>
      <c r="DD4929" s="67"/>
      <c r="DE4929" s="67"/>
      <c r="DF4929" s="67"/>
      <c r="DG4929" s="67"/>
      <c r="DH4929" s="67"/>
      <c r="DI4929" s="67"/>
      <c r="DJ4929" s="67"/>
      <c r="DK4929" s="67"/>
      <c r="DL4929" s="67"/>
      <c r="DM4929" s="67"/>
      <c r="DN4929" s="67"/>
      <c r="DO4929" s="67"/>
      <c r="DP4929" s="67"/>
      <c r="DQ4929" s="166"/>
      <c r="DR4929" s="166"/>
      <c r="DS4929" s="163"/>
      <c r="DT4929" s="163"/>
      <c r="DU4929" s="67"/>
      <c r="DV4929" s="67"/>
      <c r="DW4929" s="67"/>
      <c r="DX4929" s="67"/>
      <c r="DY4929" s="67"/>
      <c r="DZ4929" s="67"/>
      <c r="EA4929" s="67"/>
      <c r="EB4929" s="67"/>
      <c r="EC4929" s="67"/>
      <c r="ED4929" s="67"/>
      <c r="EE4929" s="67"/>
      <c r="EF4929" s="67"/>
      <c r="EG4929" s="67"/>
      <c r="EH4929" s="67"/>
      <c r="EI4929" s="67"/>
      <c r="EJ4929" s="67"/>
      <c r="EK4929" s="94"/>
      <c r="EL4929" s="94"/>
      <c r="EM4929" s="67"/>
      <c r="EN4929" s="67"/>
      <c r="EO4929" s="67"/>
      <c r="EP4929" s="67"/>
      <c r="EQ4929" s="67"/>
      <c r="ER4929" s="67"/>
      <c r="ES4929" s="67"/>
      <c r="ET4929" s="67"/>
      <c r="EU4929" s="67"/>
      <c r="EV4929" s="67"/>
      <c r="EW4929" s="67"/>
      <c r="EX4929" s="67"/>
      <c r="EY4929" s="67"/>
      <c r="EZ4929" s="67"/>
      <c r="FA4929" s="67"/>
      <c r="FB4929" s="67"/>
      <c r="FC4929" s="67"/>
      <c r="FD4929" s="67"/>
      <c r="FE4929" s="67"/>
      <c r="FF4929" s="67"/>
      <c r="FG4929" s="67"/>
      <c r="FH4929" s="67"/>
      <c r="FI4929" s="67"/>
      <c r="FJ4929" s="67"/>
      <c r="FK4929" s="67"/>
      <c r="FL4929" s="67"/>
      <c r="FM4929" s="67"/>
      <c r="FN4929" s="67"/>
      <c r="FO4929" s="67"/>
      <c r="FP4929" s="67"/>
      <c r="FQ4929" s="67"/>
      <c r="FR4929" s="67"/>
      <c r="FS4929" s="67"/>
      <c r="FT4929" s="67"/>
      <c r="FU4929" s="67"/>
      <c r="FV4929" s="67"/>
      <c r="FW4929" s="67"/>
      <c r="FX4929" s="67"/>
      <c r="FY4929" s="67"/>
      <c r="FZ4929" s="67"/>
      <c r="GA4929" s="67"/>
      <c r="GB4929" s="67"/>
      <c r="GC4929" s="67"/>
      <c r="GD4929" s="67"/>
      <c r="GE4929" s="67"/>
      <c r="GF4929" s="67"/>
      <c r="GG4929" s="67"/>
      <c r="GH4929" s="67"/>
      <c r="GI4929" s="67"/>
      <c r="GJ4929" s="67"/>
      <c r="GK4929" s="67"/>
      <c r="GL4929" s="67"/>
      <c r="GM4929" s="67"/>
      <c r="GN4929" s="292"/>
      <c r="GO4929" s="292"/>
      <c r="GP4929" s="292" t="s">
        <v>7494</v>
      </c>
      <c r="GQ4929" s="67"/>
      <c r="GR4929" s="67"/>
      <c r="GS4929" s="67"/>
      <c r="GT4929" s="67"/>
      <c r="GU4929" s="67"/>
      <c r="GV4929" s="67"/>
      <c r="GW4929" s="67"/>
      <c r="GX4929" s="67"/>
      <c r="GY4929" s="67"/>
      <c r="GZ4929" s="67"/>
      <c r="HA4929" s="67"/>
      <c r="HB4929" s="67"/>
      <c r="HC4929" s="67"/>
      <c r="HD4929" s="67"/>
      <c r="HE4929" s="67"/>
      <c r="HF4929" s="67"/>
      <c r="HG4929" s="67"/>
      <c r="HH4929" s="67"/>
      <c r="HI4929" s="67"/>
      <c r="HJ4929" s="67"/>
      <c r="HK4929" s="67"/>
      <c r="HL4929" s="67"/>
      <c r="HM4929" s="67"/>
      <c r="HN4929" s="67"/>
      <c r="HO4929" s="67"/>
      <c r="HP4929" s="67"/>
      <c r="HQ4929" s="67"/>
      <c r="HR4929" s="67"/>
      <c r="HS4929" s="67"/>
      <c r="HT4929" s="67"/>
      <c r="HU4929" s="67"/>
      <c r="HV4929" s="67"/>
      <c r="HW4929" s="67"/>
      <c r="HX4929" s="67"/>
      <c r="HY4929" s="67"/>
      <c r="HZ4929" s="67"/>
      <c r="IA4929" s="67"/>
      <c r="IB4929" s="67"/>
      <c r="IC4929" s="67"/>
      <c r="ID4929" s="67"/>
      <c r="IE4929" s="67"/>
      <c r="IF4929" s="67"/>
      <c r="IG4929" s="67"/>
      <c r="IH4929" s="67"/>
      <c r="II4929" s="67"/>
      <c r="IJ4929" s="67"/>
      <c r="IK4929" s="67"/>
      <c r="IL4929" s="67"/>
      <c r="IM4929" s="67"/>
      <c r="IN4929" s="67"/>
      <c r="IO4929" s="67"/>
      <c r="IP4929" s="67"/>
      <c r="IQ4929" s="67"/>
      <c r="IR4929" s="67"/>
      <c r="IS4929" s="67"/>
      <c r="IT4929" s="67"/>
      <c r="IU4929" s="67"/>
      <c r="IV4929" s="67"/>
      <c r="IW4929" s="67"/>
      <c r="IX4929" s="67"/>
      <c r="IY4929" s="67"/>
      <c r="IZ4929" s="67"/>
      <c r="JA4929" s="67"/>
      <c r="JB4929" s="67"/>
      <c r="JC4929" s="67"/>
      <c r="JD4929" s="67"/>
      <c r="JE4929" s="67"/>
      <c r="JF4929" s="67"/>
      <c r="JG4929" s="67"/>
      <c r="JH4929" s="67"/>
      <c r="JI4929" s="67"/>
      <c r="JJ4929" s="67"/>
      <c r="JK4929" s="67"/>
      <c r="JL4929" s="67"/>
      <c r="JM4929" s="67"/>
      <c r="JN4929" s="67"/>
      <c r="JO4929" s="67"/>
      <c r="JP4929" s="67"/>
      <c r="JQ4929" s="67"/>
      <c r="JR4929" s="67"/>
      <c r="JS4929" s="67"/>
      <c r="JT4929" s="67"/>
      <c r="JU4929" s="58"/>
      <c r="JV4929" s="58"/>
      <c r="JW4929" s="58"/>
    </row>
    <row r="4930" spans="1:283" s="23" customFormat="1" x14ac:dyDescent="0.25">
      <c r="A4930" s="55">
        <v>4929</v>
      </c>
      <c r="B4930" s="12" t="s">
        <v>7067</v>
      </c>
      <c r="C4930" s="156">
        <v>237</v>
      </c>
      <c r="D4930" s="58" t="s">
        <v>4946</v>
      </c>
      <c r="E4930" s="160" t="str">
        <f>G4930</f>
        <v>Haggar et al. 2011_Costa Rica, CEEP</v>
      </c>
      <c r="F4930" s="160"/>
      <c r="G4930" s="60" t="s">
        <v>4783</v>
      </c>
      <c r="H4930" s="58">
        <v>2011</v>
      </c>
      <c r="I4930" s="58">
        <v>2003</v>
      </c>
      <c r="J4930" s="243" t="s">
        <v>2688</v>
      </c>
      <c r="K4930" s="63" t="s">
        <v>5106</v>
      </c>
      <c r="L4930" s="58" t="s">
        <v>5332</v>
      </c>
      <c r="M4930" s="94">
        <v>9.91</v>
      </c>
      <c r="N4930" s="94">
        <v>-83.68</v>
      </c>
      <c r="O4930" s="94">
        <v>647</v>
      </c>
      <c r="P4930" s="58"/>
      <c r="Q4930" s="244">
        <v>22.6</v>
      </c>
      <c r="R4930" s="58"/>
      <c r="S4930" s="245">
        <v>3200</v>
      </c>
      <c r="T4930" s="58"/>
      <c r="U4930" s="58" t="s">
        <v>1688</v>
      </c>
      <c r="V4930" s="244">
        <v>5</v>
      </c>
      <c r="W4930" s="174"/>
      <c r="X4930" s="174"/>
      <c r="Y4930" s="58" t="s">
        <v>5445</v>
      </c>
      <c r="Z4930" s="244" t="s">
        <v>1355</v>
      </c>
      <c r="AA4930" s="245">
        <v>10</v>
      </c>
      <c r="AB4930" s="67"/>
      <c r="AC4930" s="67"/>
      <c r="AD4930" s="94"/>
      <c r="AE4930" s="94"/>
      <c r="AF4930" s="94"/>
      <c r="AG4930" s="245"/>
      <c r="AH4930" s="58"/>
      <c r="AI4930" s="169"/>
      <c r="AJ4930" s="94"/>
      <c r="AK4930" s="94"/>
      <c r="AL4930" s="58"/>
      <c r="AM4930" s="58"/>
      <c r="AN4930" s="186" t="s">
        <v>5446</v>
      </c>
      <c r="AO4930" s="185" t="s">
        <v>5150</v>
      </c>
      <c r="AP4930" s="58"/>
      <c r="AQ4930" s="58" t="s">
        <v>1603</v>
      </c>
      <c r="AR4930" s="58" t="s">
        <v>5447</v>
      </c>
      <c r="AS4930" s="246" t="s">
        <v>3471</v>
      </c>
      <c r="AT4930" s="247">
        <v>0</v>
      </c>
      <c r="AU4930" s="181" t="s">
        <v>7494</v>
      </c>
      <c r="AV4930" s="185" t="s">
        <v>176</v>
      </c>
      <c r="AW4930" s="244">
        <v>0</v>
      </c>
      <c r="AX4930" s="185" t="s">
        <v>176</v>
      </c>
      <c r="AY4930" s="244" t="s">
        <v>176</v>
      </c>
      <c r="AZ4930" s="58"/>
      <c r="BA4930" s="58"/>
      <c r="BB4930" s="58"/>
      <c r="BC4930" s="58"/>
      <c r="BD4930" s="58"/>
      <c r="BE4930" s="236" t="s">
        <v>5185</v>
      </c>
      <c r="BF4930" s="191" t="s">
        <v>479</v>
      </c>
      <c r="BG4930" s="191" t="s">
        <v>479</v>
      </c>
      <c r="BH4930" s="236" t="s">
        <v>5251</v>
      </c>
      <c r="BI4930" s="191" t="s">
        <v>479</v>
      </c>
      <c r="BJ4930" s="58" t="str">
        <f>IF(BE4930=BH4930,"No","yes")</f>
        <v>yes</v>
      </c>
      <c r="BK4930" s="58" t="s">
        <v>6334</v>
      </c>
      <c r="BL4930" s="58"/>
      <c r="BM4930" s="237"/>
      <c r="BN4930" s="244">
        <v>3</v>
      </c>
      <c r="BO4930" s="244">
        <v>3</v>
      </c>
      <c r="BP4930" s="58"/>
      <c r="BQ4930" s="58"/>
      <c r="BR4930" s="58"/>
      <c r="BS4930" s="58"/>
      <c r="BT4930" s="58"/>
      <c r="BU4930" s="58"/>
      <c r="BV4930" s="58"/>
      <c r="BW4930" s="67"/>
      <c r="BX4930" s="67"/>
      <c r="BY4930" s="67"/>
      <c r="BZ4930" s="67"/>
      <c r="CA4930" s="67"/>
      <c r="CB4930" s="70"/>
      <c r="CC4930" s="70"/>
      <c r="CD4930" s="70"/>
      <c r="CE4930" s="67"/>
      <c r="CF4930" s="67"/>
      <c r="CG4930" s="67"/>
      <c r="CH4930" s="245"/>
      <c r="CI4930" s="245"/>
      <c r="CJ4930" s="67"/>
      <c r="CK4930" s="67"/>
      <c r="CL4930" s="67"/>
      <c r="CM4930" s="242">
        <v>3.6627906976744184</v>
      </c>
      <c r="CN4930" s="242">
        <v>3.9069767441860463</v>
      </c>
      <c r="CO4930" s="242">
        <v>0.36627906976744184</v>
      </c>
      <c r="CP4930" s="242">
        <v>0.39069767441860465</v>
      </c>
      <c r="CQ4930" s="242" t="s">
        <v>164</v>
      </c>
      <c r="CR4930" s="242">
        <v>44.154576186071168</v>
      </c>
      <c r="CS4930" s="242">
        <v>46.280757238169969</v>
      </c>
      <c r="CT4930" s="242">
        <v>4.4154576186071166</v>
      </c>
      <c r="CU4930" s="242">
        <v>4.6280757238169974</v>
      </c>
      <c r="CV4930" s="242" t="s">
        <v>5151</v>
      </c>
      <c r="CW4930" s="242"/>
      <c r="CX4930" s="242"/>
      <c r="CY4930" s="242"/>
      <c r="CZ4930" s="242"/>
      <c r="DA4930" s="67" t="s">
        <v>5443</v>
      </c>
      <c r="DB4930" s="67"/>
      <c r="DC4930" s="67"/>
      <c r="DD4930" s="67"/>
      <c r="DE4930" s="67"/>
      <c r="DF4930" s="67"/>
      <c r="DG4930" s="67"/>
      <c r="DH4930" s="67"/>
      <c r="DI4930" s="67"/>
      <c r="DJ4930" s="67"/>
      <c r="DK4930" s="67"/>
      <c r="DL4930" s="67"/>
      <c r="DM4930" s="67"/>
      <c r="DN4930" s="67"/>
      <c r="DO4930" s="67"/>
      <c r="DP4930" s="67"/>
      <c r="DQ4930" s="166"/>
      <c r="DR4930" s="166"/>
      <c r="DS4930" s="163"/>
      <c r="DT4930" s="163"/>
      <c r="DU4930" s="67"/>
      <c r="DV4930" s="67"/>
      <c r="DW4930" s="67"/>
      <c r="DX4930" s="67"/>
      <c r="DY4930" s="67"/>
      <c r="DZ4930" s="67"/>
      <c r="EA4930" s="67"/>
      <c r="EB4930" s="67"/>
      <c r="EC4930" s="67"/>
      <c r="ED4930" s="67"/>
      <c r="EE4930" s="67"/>
      <c r="EF4930" s="67"/>
      <c r="EG4930" s="67"/>
      <c r="EH4930" s="67"/>
      <c r="EI4930" s="67"/>
      <c r="EJ4930" s="67"/>
      <c r="EK4930" s="94"/>
      <c r="EL4930" s="94"/>
      <c r="EM4930" s="67"/>
      <c r="EN4930" s="67"/>
      <c r="EO4930" s="67"/>
      <c r="EP4930" s="67"/>
      <c r="EQ4930" s="67"/>
      <c r="ER4930" s="67"/>
      <c r="ES4930" s="67"/>
      <c r="ET4930" s="67"/>
      <c r="EU4930" s="67"/>
      <c r="EV4930" s="67"/>
      <c r="EW4930" s="67"/>
      <c r="EX4930" s="67"/>
      <c r="EY4930" s="67"/>
      <c r="EZ4930" s="67"/>
      <c r="FA4930" s="67"/>
      <c r="FB4930" s="67"/>
      <c r="FC4930" s="67"/>
      <c r="FD4930" s="67"/>
      <c r="FE4930" s="67"/>
      <c r="FF4930" s="67"/>
      <c r="FG4930" s="67"/>
      <c r="FH4930" s="67"/>
      <c r="FI4930" s="67"/>
      <c r="FJ4930" s="67"/>
      <c r="FK4930" s="67"/>
      <c r="FL4930" s="67"/>
      <c r="FM4930" s="67"/>
      <c r="FN4930" s="67"/>
      <c r="FO4930" s="67"/>
      <c r="FP4930" s="67"/>
      <c r="FQ4930" s="67"/>
      <c r="FR4930" s="67"/>
      <c r="FS4930" s="67"/>
      <c r="FT4930" s="67"/>
      <c r="FU4930" s="67"/>
      <c r="FV4930" s="67"/>
      <c r="FW4930" s="67"/>
      <c r="FX4930" s="67"/>
      <c r="FY4930" s="67"/>
      <c r="FZ4930" s="67"/>
      <c r="GA4930" s="67"/>
      <c r="GB4930" s="67"/>
      <c r="GC4930" s="67"/>
      <c r="GD4930" s="67"/>
      <c r="GE4930" s="67"/>
      <c r="GF4930" s="67"/>
      <c r="GG4930" s="67"/>
      <c r="GH4930" s="67"/>
      <c r="GI4930" s="67"/>
      <c r="GJ4930" s="67"/>
      <c r="GK4930" s="67"/>
      <c r="GL4930" s="67"/>
      <c r="GM4930" s="67"/>
      <c r="GN4930" s="292"/>
      <c r="GO4930" s="292"/>
      <c r="GP4930" s="292" t="s">
        <v>7494</v>
      </c>
      <c r="GQ4930" s="67"/>
      <c r="GR4930" s="67"/>
      <c r="GS4930" s="67"/>
      <c r="GT4930" s="67"/>
      <c r="GU4930" s="67"/>
      <c r="GV4930" s="67"/>
      <c r="GW4930" s="67"/>
      <c r="GX4930" s="67"/>
      <c r="GY4930" s="67"/>
      <c r="GZ4930" s="67"/>
      <c r="HA4930" s="67"/>
      <c r="HB4930" s="67"/>
      <c r="HC4930" s="67"/>
      <c r="HD4930" s="67"/>
      <c r="HE4930" s="67"/>
      <c r="HF4930" s="67"/>
      <c r="HG4930" s="67"/>
      <c r="HH4930" s="67"/>
      <c r="HI4930" s="67"/>
      <c r="HJ4930" s="67"/>
      <c r="HK4930" s="67"/>
      <c r="HL4930" s="67"/>
      <c r="HM4930" s="67"/>
      <c r="HN4930" s="67"/>
      <c r="HO4930" s="67"/>
      <c r="HP4930" s="67"/>
      <c r="HQ4930" s="67"/>
      <c r="HR4930" s="67"/>
      <c r="HS4930" s="67"/>
      <c r="HT4930" s="67"/>
      <c r="HU4930" s="67"/>
      <c r="HV4930" s="67"/>
      <c r="HW4930" s="67"/>
      <c r="HX4930" s="67"/>
      <c r="HY4930" s="67"/>
      <c r="HZ4930" s="67"/>
      <c r="IA4930" s="67"/>
      <c r="IB4930" s="67"/>
      <c r="IC4930" s="67"/>
      <c r="ID4930" s="67"/>
      <c r="IE4930" s="67"/>
      <c r="IF4930" s="67"/>
      <c r="IG4930" s="67"/>
      <c r="IH4930" s="67"/>
      <c r="II4930" s="67"/>
      <c r="IJ4930" s="67"/>
      <c r="IK4930" s="67"/>
      <c r="IL4930" s="67"/>
      <c r="IM4930" s="67"/>
      <c r="IN4930" s="67"/>
      <c r="IO4930" s="67"/>
      <c r="IP4930" s="67"/>
      <c r="IQ4930" s="67"/>
      <c r="IR4930" s="67"/>
      <c r="IS4930" s="67"/>
      <c r="IT4930" s="67"/>
      <c r="IU4930" s="67"/>
      <c r="IV4930" s="67"/>
      <c r="IW4930" s="67"/>
      <c r="IX4930" s="67"/>
      <c r="IY4930" s="67"/>
      <c r="IZ4930" s="67"/>
      <c r="JA4930" s="67"/>
      <c r="JB4930" s="67"/>
      <c r="JC4930" s="67"/>
      <c r="JD4930" s="67"/>
      <c r="JE4930" s="67"/>
      <c r="JF4930" s="67"/>
      <c r="JG4930" s="67"/>
      <c r="JH4930" s="67"/>
      <c r="JI4930" s="67"/>
      <c r="JJ4930" s="67"/>
      <c r="JK4930" s="67"/>
      <c r="JL4930" s="67"/>
      <c r="JM4930" s="67"/>
      <c r="JN4930" s="67"/>
      <c r="JO4930" s="67"/>
      <c r="JP4930" s="67"/>
      <c r="JQ4930" s="67"/>
      <c r="JR4930" s="67"/>
      <c r="JS4930" s="67"/>
      <c r="JT4930" s="67"/>
      <c r="JU4930" s="58"/>
      <c r="JV4930" s="58"/>
      <c r="JW4930" s="58"/>
    </row>
    <row r="4931" spans="1:283" s="23" customFormat="1" x14ac:dyDescent="0.25">
      <c r="A4931" s="55">
        <v>4930</v>
      </c>
      <c r="B4931" s="12" t="s">
        <v>7067</v>
      </c>
      <c r="C4931" s="156">
        <v>237</v>
      </c>
      <c r="D4931" s="58" t="s">
        <v>4947</v>
      </c>
      <c r="E4931" s="160" t="str">
        <f>G4931</f>
        <v>Haggar et al. 2011_Costa Rica, CETA</v>
      </c>
      <c r="F4931" s="160"/>
      <c r="G4931" s="60" t="s">
        <v>4782</v>
      </c>
      <c r="H4931" s="58">
        <v>2011</v>
      </c>
      <c r="I4931" s="58">
        <v>2003</v>
      </c>
      <c r="J4931" s="243" t="s">
        <v>2688</v>
      </c>
      <c r="K4931" s="63" t="s">
        <v>5106</v>
      </c>
      <c r="L4931" s="58" t="s">
        <v>5332</v>
      </c>
      <c r="M4931" s="94">
        <v>9.91</v>
      </c>
      <c r="N4931" s="94">
        <v>-83.68</v>
      </c>
      <c r="O4931" s="94">
        <v>647</v>
      </c>
      <c r="P4931" s="58"/>
      <c r="Q4931" s="244">
        <v>22.6</v>
      </c>
      <c r="R4931" s="58"/>
      <c r="S4931" s="245">
        <v>3200</v>
      </c>
      <c r="T4931" s="58"/>
      <c r="U4931" s="58" t="s">
        <v>1688</v>
      </c>
      <c r="V4931" s="244">
        <v>5</v>
      </c>
      <c r="W4931" s="174"/>
      <c r="X4931" s="174"/>
      <c r="Y4931" s="58" t="s">
        <v>5445</v>
      </c>
      <c r="Z4931" s="244" t="s">
        <v>1355</v>
      </c>
      <c r="AA4931" s="245">
        <v>10</v>
      </c>
      <c r="AB4931" s="67"/>
      <c r="AC4931" s="67"/>
      <c r="AD4931" s="94"/>
      <c r="AE4931" s="94"/>
      <c r="AF4931" s="94"/>
      <c r="AG4931" s="245"/>
      <c r="AH4931" s="58"/>
      <c r="AI4931" s="169"/>
      <c r="AJ4931" s="94"/>
      <c r="AK4931" s="94"/>
      <c r="AL4931" s="58"/>
      <c r="AM4931" s="58"/>
      <c r="AN4931" s="186" t="s">
        <v>5446</v>
      </c>
      <c r="AO4931" s="185" t="s">
        <v>5150</v>
      </c>
      <c r="AP4931" s="58"/>
      <c r="AQ4931" s="58" t="s">
        <v>1603</v>
      </c>
      <c r="AR4931" s="58" t="s">
        <v>5447</v>
      </c>
      <c r="AS4931" s="246" t="s">
        <v>3471</v>
      </c>
      <c r="AT4931" s="247">
        <v>0</v>
      </c>
      <c r="AU4931" s="181" t="s">
        <v>7494</v>
      </c>
      <c r="AV4931" s="185" t="s">
        <v>176</v>
      </c>
      <c r="AW4931" s="244">
        <v>0</v>
      </c>
      <c r="AX4931" s="185" t="s">
        <v>176</v>
      </c>
      <c r="AY4931" s="244" t="s">
        <v>176</v>
      </c>
      <c r="AZ4931" s="58"/>
      <c r="BA4931" s="58"/>
      <c r="BB4931" s="58"/>
      <c r="BC4931" s="58"/>
      <c r="BD4931" s="58"/>
      <c r="BE4931" s="236" t="s">
        <v>5185</v>
      </c>
      <c r="BF4931" s="191" t="s">
        <v>479</v>
      </c>
      <c r="BG4931" s="191" t="s">
        <v>479</v>
      </c>
      <c r="BH4931" s="236" t="s">
        <v>5251</v>
      </c>
      <c r="BI4931" s="191" t="s">
        <v>479</v>
      </c>
      <c r="BJ4931" s="58" t="str">
        <f>IF(BE4931=BH4931,"No","yes")</f>
        <v>yes</v>
      </c>
      <c r="BK4931" s="58" t="s">
        <v>6334</v>
      </c>
      <c r="BL4931" s="58"/>
      <c r="BM4931" s="237"/>
      <c r="BN4931" s="244">
        <v>3</v>
      </c>
      <c r="BO4931" s="244">
        <v>3</v>
      </c>
      <c r="BP4931" s="58"/>
      <c r="BQ4931" s="58"/>
      <c r="BR4931" s="58"/>
      <c r="BS4931" s="58"/>
      <c r="BT4931" s="58"/>
      <c r="BU4931" s="58"/>
      <c r="BV4931" s="58"/>
      <c r="BW4931" s="67"/>
      <c r="BX4931" s="67"/>
      <c r="BY4931" s="67"/>
      <c r="BZ4931" s="67"/>
      <c r="CA4931" s="67"/>
      <c r="CB4931" s="70"/>
      <c r="CC4931" s="70"/>
      <c r="CD4931" s="70"/>
      <c r="CE4931" s="67"/>
      <c r="CF4931" s="67"/>
      <c r="CG4931" s="67"/>
      <c r="CH4931" s="245"/>
      <c r="CI4931" s="245"/>
      <c r="CJ4931" s="67"/>
      <c r="CK4931" s="67"/>
      <c r="CL4931" s="67"/>
      <c r="CM4931" s="242">
        <v>3.1279069767441858</v>
      </c>
      <c r="CN4931" s="242">
        <v>3.5988372093023258</v>
      </c>
      <c r="CO4931" s="242">
        <v>0.31279069767441858</v>
      </c>
      <c r="CP4931" s="242">
        <v>0.35988372093023258</v>
      </c>
      <c r="CQ4931" s="242" t="s">
        <v>164</v>
      </c>
      <c r="CR4931" s="242">
        <v>39.224206461762826</v>
      </c>
      <c r="CS4931" s="242">
        <v>43.585249756801467</v>
      </c>
      <c r="CT4931" s="242">
        <v>3.9224206461762829</v>
      </c>
      <c r="CU4931" s="242">
        <v>4.3585249756801465</v>
      </c>
      <c r="CV4931" s="242" t="s">
        <v>5151</v>
      </c>
      <c r="CW4931" s="242"/>
      <c r="CX4931" s="242"/>
      <c r="CY4931" s="242"/>
      <c r="CZ4931" s="242"/>
      <c r="DA4931" s="67" t="s">
        <v>5443</v>
      </c>
      <c r="DB4931" s="67"/>
      <c r="DC4931" s="67"/>
      <c r="DD4931" s="67"/>
      <c r="DE4931" s="67"/>
      <c r="DF4931" s="67"/>
      <c r="DG4931" s="67"/>
      <c r="DH4931" s="67"/>
      <c r="DI4931" s="67"/>
      <c r="DJ4931" s="67"/>
      <c r="DK4931" s="67"/>
      <c r="DL4931" s="67"/>
      <c r="DM4931" s="67"/>
      <c r="DN4931" s="67"/>
      <c r="DO4931" s="67"/>
      <c r="DP4931" s="67"/>
      <c r="DQ4931" s="166"/>
      <c r="DR4931" s="166"/>
      <c r="DS4931" s="163"/>
      <c r="DT4931" s="163"/>
      <c r="DU4931" s="67"/>
      <c r="DV4931" s="67"/>
      <c r="DW4931" s="67"/>
      <c r="DX4931" s="67"/>
      <c r="DY4931" s="67"/>
      <c r="DZ4931" s="67"/>
      <c r="EA4931" s="67"/>
      <c r="EB4931" s="67"/>
      <c r="EC4931" s="67"/>
      <c r="ED4931" s="67"/>
      <c r="EE4931" s="67"/>
      <c r="EF4931" s="67"/>
      <c r="EG4931" s="67"/>
      <c r="EH4931" s="67"/>
      <c r="EI4931" s="67"/>
      <c r="EJ4931" s="67"/>
      <c r="EK4931" s="94"/>
      <c r="EL4931" s="94"/>
      <c r="EM4931" s="67"/>
      <c r="EN4931" s="67"/>
      <c r="EO4931" s="67"/>
      <c r="EP4931" s="67"/>
      <c r="EQ4931" s="67"/>
      <c r="ER4931" s="67"/>
      <c r="ES4931" s="67"/>
      <c r="ET4931" s="67"/>
      <c r="EU4931" s="67"/>
      <c r="EV4931" s="67"/>
      <c r="EW4931" s="67"/>
      <c r="EX4931" s="67"/>
      <c r="EY4931" s="67"/>
      <c r="EZ4931" s="67"/>
      <c r="FA4931" s="67"/>
      <c r="FB4931" s="67"/>
      <c r="FC4931" s="67"/>
      <c r="FD4931" s="67"/>
      <c r="FE4931" s="67"/>
      <c r="FF4931" s="67"/>
      <c r="FG4931" s="67"/>
      <c r="FH4931" s="67"/>
      <c r="FI4931" s="67"/>
      <c r="FJ4931" s="67"/>
      <c r="FK4931" s="67"/>
      <c r="FL4931" s="67"/>
      <c r="FM4931" s="67"/>
      <c r="FN4931" s="67"/>
      <c r="FO4931" s="67"/>
      <c r="FP4931" s="67"/>
      <c r="FQ4931" s="67"/>
      <c r="FR4931" s="67"/>
      <c r="FS4931" s="67"/>
      <c r="FT4931" s="67"/>
      <c r="FU4931" s="67"/>
      <c r="FV4931" s="67"/>
      <c r="FW4931" s="67"/>
      <c r="FX4931" s="67"/>
      <c r="FY4931" s="67"/>
      <c r="FZ4931" s="67"/>
      <c r="GA4931" s="67"/>
      <c r="GB4931" s="67"/>
      <c r="GC4931" s="67"/>
      <c r="GD4931" s="67"/>
      <c r="GE4931" s="67"/>
      <c r="GF4931" s="67"/>
      <c r="GG4931" s="67"/>
      <c r="GH4931" s="67"/>
      <c r="GI4931" s="67"/>
      <c r="GJ4931" s="67"/>
      <c r="GK4931" s="67"/>
      <c r="GL4931" s="67"/>
      <c r="GM4931" s="67"/>
      <c r="GN4931" s="292"/>
      <c r="GO4931" s="292"/>
      <c r="GP4931" s="292" t="s">
        <v>7494</v>
      </c>
      <c r="GQ4931" s="67"/>
      <c r="GR4931" s="67"/>
      <c r="GS4931" s="67"/>
      <c r="GT4931" s="67"/>
      <c r="GU4931" s="67"/>
      <c r="GV4931" s="67"/>
      <c r="GW4931" s="67"/>
      <c r="GX4931" s="67"/>
      <c r="GY4931" s="67"/>
      <c r="GZ4931" s="67"/>
      <c r="HA4931" s="67"/>
      <c r="HB4931" s="67"/>
      <c r="HC4931" s="67"/>
      <c r="HD4931" s="67"/>
      <c r="HE4931" s="67"/>
      <c r="HF4931" s="67"/>
      <c r="HG4931" s="67"/>
      <c r="HH4931" s="67"/>
      <c r="HI4931" s="67"/>
      <c r="HJ4931" s="67"/>
      <c r="HK4931" s="67"/>
      <c r="HL4931" s="67"/>
      <c r="HM4931" s="67"/>
      <c r="HN4931" s="67"/>
      <c r="HO4931" s="67"/>
      <c r="HP4931" s="67"/>
      <c r="HQ4931" s="67"/>
      <c r="HR4931" s="67"/>
      <c r="HS4931" s="67"/>
      <c r="HT4931" s="67"/>
      <c r="HU4931" s="67"/>
      <c r="HV4931" s="67"/>
      <c r="HW4931" s="67"/>
      <c r="HX4931" s="67"/>
      <c r="HY4931" s="67"/>
      <c r="HZ4931" s="67"/>
      <c r="IA4931" s="67"/>
      <c r="IB4931" s="67"/>
      <c r="IC4931" s="67"/>
      <c r="ID4931" s="67"/>
      <c r="IE4931" s="67"/>
      <c r="IF4931" s="67"/>
      <c r="IG4931" s="67"/>
      <c r="IH4931" s="67"/>
      <c r="II4931" s="67"/>
      <c r="IJ4931" s="67"/>
      <c r="IK4931" s="67"/>
      <c r="IL4931" s="67"/>
      <c r="IM4931" s="67"/>
      <c r="IN4931" s="67"/>
      <c r="IO4931" s="67"/>
      <c r="IP4931" s="67"/>
      <c r="IQ4931" s="67"/>
      <c r="IR4931" s="67"/>
      <c r="IS4931" s="67"/>
      <c r="IT4931" s="67"/>
      <c r="IU4931" s="67"/>
      <c r="IV4931" s="67"/>
      <c r="IW4931" s="67"/>
      <c r="IX4931" s="67"/>
      <c r="IY4931" s="67"/>
      <c r="IZ4931" s="67"/>
      <c r="JA4931" s="67"/>
      <c r="JB4931" s="67"/>
      <c r="JC4931" s="67"/>
      <c r="JD4931" s="67"/>
      <c r="JE4931" s="67"/>
      <c r="JF4931" s="67"/>
      <c r="JG4931" s="67"/>
      <c r="JH4931" s="67"/>
      <c r="JI4931" s="67"/>
      <c r="JJ4931" s="67"/>
      <c r="JK4931" s="67"/>
      <c r="JL4931" s="67"/>
      <c r="JM4931" s="67"/>
      <c r="JN4931" s="67"/>
      <c r="JO4931" s="67"/>
      <c r="JP4931" s="67"/>
      <c r="JQ4931" s="67"/>
      <c r="JR4931" s="67"/>
      <c r="JS4931" s="67"/>
      <c r="JT4931" s="67"/>
      <c r="JU4931" s="58"/>
      <c r="JV4931" s="58"/>
      <c r="JW4931" s="58"/>
    </row>
    <row r="4932" spans="1:283" s="23" customFormat="1" x14ac:dyDescent="0.25">
      <c r="A4932" s="55">
        <v>4931</v>
      </c>
      <c r="B4932" s="12" t="s">
        <v>7067</v>
      </c>
      <c r="C4932" s="156">
        <v>237</v>
      </c>
      <c r="D4932" s="58" t="s">
        <v>4948</v>
      </c>
      <c r="E4932" s="160" t="str">
        <f>G4932</f>
        <v>Haggar et al. 2011_Costa Rica, EP</v>
      </c>
      <c r="F4932" s="160"/>
      <c r="G4932" s="60" t="s">
        <v>4781</v>
      </c>
      <c r="H4932" s="58">
        <v>2011</v>
      </c>
      <c r="I4932" s="58">
        <v>2003</v>
      </c>
      <c r="J4932" s="243" t="s">
        <v>2688</v>
      </c>
      <c r="K4932" s="63" t="s">
        <v>5106</v>
      </c>
      <c r="L4932" s="58" t="s">
        <v>5332</v>
      </c>
      <c r="M4932" s="94">
        <v>9.91</v>
      </c>
      <c r="N4932" s="94">
        <v>-83.68</v>
      </c>
      <c r="O4932" s="94">
        <v>647</v>
      </c>
      <c r="P4932" s="58"/>
      <c r="Q4932" s="244">
        <v>22.6</v>
      </c>
      <c r="R4932" s="58"/>
      <c r="S4932" s="245">
        <v>3200</v>
      </c>
      <c r="T4932" s="58"/>
      <c r="U4932" s="58" t="s">
        <v>1688</v>
      </c>
      <c r="V4932" s="244">
        <v>5</v>
      </c>
      <c r="W4932" s="174"/>
      <c r="X4932" s="174"/>
      <c r="Y4932" s="58" t="s">
        <v>5445</v>
      </c>
      <c r="Z4932" s="244" t="s">
        <v>1355</v>
      </c>
      <c r="AA4932" s="245">
        <v>10</v>
      </c>
      <c r="AB4932" s="67"/>
      <c r="AC4932" s="67"/>
      <c r="AD4932" s="94"/>
      <c r="AE4932" s="94"/>
      <c r="AF4932" s="94"/>
      <c r="AG4932" s="245"/>
      <c r="AH4932" s="58"/>
      <c r="AI4932" s="169"/>
      <c r="AJ4932" s="94"/>
      <c r="AK4932" s="94"/>
      <c r="AL4932" s="58"/>
      <c r="AM4932" s="58"/>
      <c r="AN4932" s="186" t="s">
        <v>5446</v>
      </c>
      <c r="AO4932" s="185" t="s">
        <v>5150</v>
      </c>
      <c r="AP4932" s="58"/>
      <c r="AQ4932" s="58" t="s">
        <v>1603</v>
      </c>
      <c r="AR4932" s="58" t="s">
        <v>5447</v>
      </c>
      <c r="AS4932" s="246" t="s">
        <v>3471</v>
      </c>
      <c r="AT4932" s="247">
        <v>0</v>
      </c>
      <c r="AU4932" s="181" t="s">
        <v>7494</v>
      </c>
      <c r="AV4932" s="185" t="s">
        <v>176</v>
      </c>
      <c r="AW4932" s="244">
        <v>0</v>
      </c>
      <c r="AX4932" s="185" t="s">
        <v>176</v>
      </c>
      <c r="AY4932" s="244" t="s">
        <v>176</v>
      </c>
      <c r="AZ4932" s="58"/>
      <c r="BA4932" s="58"/>
      <c r="BB4932" s="58"/>
      <c r="BC4932" s="58"/>
      <c r="BD4932" s="58"/>
      <c r="BE4932" s="236" t="s">
        <v>5185</v>
      </c>
      <c r="BF4932" s="191" t="s">
        <v>479</v>
      </c>
      <c r="BG4932" s="191" t="s">
        <v>479</v>
      </c>
      <c r="BH4932" s="236" t="s">
        <v>5251</v>
      </c>
      <c r="BI4932" s="191" t="s">
        <v>479</v>
      </c>
      <c r="BJ4932" s="58" t="str">
        <f>IF(BE4932=BH4932,"No","yes")</f>
        <v>yes</v>
      </c>
      <c r="BK4932" s="58" t="s">
        <v>6334</v>
      </c>
      <c r="BL4932" s="58"/>
      <c r="BM4932" s="237"/>
      <c r="BN4932" s="244">
        <v>3</v>
      </c>
      <c r="BO4932" s="244">
        <v>3</v>
      </c>
      <c r="BP4932" s="58"/>
      <c r="BQ4932" s="58"/>
      <c r="BR4932" s="58"/>
      <c r="BS4932" s="58"/>
      <c r="BT4932" s="58"/>
      <c r="BU4932" s="58"/>
      <c r="BV4932" s="58"/>
      <c r="BW4932" s="67"/>
      <c r="BX4932" s="67"/>
      <c r="BY4932" s="67"/>
      <c r="BZ4932" s="67"/>
      <c r="CA4932" s="67"/>
      <c r="CB4932" s="70"/>
      <c r="CC4932" s="70"/>
      <c r="CD4932" s="70"/>
      <c r="CE4932" s="67"/>
      <c r="CF4932" s="67"/>
      <c r="CG4932" s="67"/>
      <c r="CH4932" s="245"/>
      <c r="CI4932" s="245"/>
      <c r="CJ4932" s="67"/>
      <c r="CK4932" s="67"/>
      <c r="CL4932" s="67"/>
      <c r="CM4932" s="242">
        <v>3.3546511627906974</v>
      </c>
      <c r="CN4932" s="242">
        <v>3.8779069767441863</v>
      </c>
      <c r="CO4932" s="242">
        <v>0.33546511627906977</v>
      </c>
      <c r="CP4932" s="242">
        <v>0.38779069767441865</v>
      </c>
      <c r="CQ4932" s="242" t="s">
        <v>164</v>
      </c>
      <c r="CR4932" s="242">
        <v>41.361901656276629</v>
      </c>
      <c r="CS4932" s="242">
        <v>46.031518665360885</v>
      </c>
      <c r="CT4932" s="242">
        <v>4.1361901656276627</v>
      </c>
      <c r="CU4932" s="242">
        <v>4.6031518665360887</v>
      </c>
      <c r="CV4932" s="242" t="s">
        <v>5151</v>
      </c>
      <c r="CW4932" s="242"/>
      <c r="CX4932" s="242"/>
      <c r="CY4932" s="242"/>
      <c r="CZ4932" s="242"/>
      <c r="DA4932" s="67" t="s">
        <v>5443</v>
      </c>
      <c r="DB4932" s="67"/>
      <c r="DC4932" s="67"/>
      <c r="DD4932" s="67"/>
      <c r="DE4932" s="67"/>
      <c r="DF4932" s="67"/>
      <c r="DG4932" s="67"/>
      <c r="DH4932" s="67"/>
      <c r="DI4932" s="67"/>
      <c r="DJ4932" s="67"/>
      <c r="DK4932" s="67"/>
      <c r="DL4932" s="67"/>
      <c r="DM4932" s="67"/>
      <c r="DN4932" s="67"/>
      <c r="DO4932" s="67"/>
      <c r="DP4932" s="67"/>
      <c r="DQ4932" s="166"/>
      <c r="DR4932" s="166"/>
      <c r="DS4932" s="163"/>
      <c r="DT4932" s="163"/>
      <c r="DU4932" s="67"/>
      <c r="DV4932" s="67"/>
      <c r="DW4932" s="67"/>
      <c r="DX4932" s="67"/>
      <c r="DY4932" s="67"/>
      <c r="DZ4932" s="67"/>
      <c r="EA4932" s="67"/>
      <c r="EB4932" s="67"/>
      <c r="EC4932" s="67"/>
      <c r="ED4932" s="67"/>
      <c r="EE4932" s="67"/>
      <c r="EF4932" s="67"/>
      <c r="EG4932" s="67"/>
      <c r="EH4932" s="67"/>
      <c r="EI4932" s="67"/>
      <c r="EJ4932" s="67"/>
      <c r="EK4932" s="94"/>
      <c r="EL4932" s="94"/>
      <c r="EM4932" s="67"/>
      <c r="EN4932" s="67"/>
      <c r="EO4932" s="67"/>
      <c r="EP4932" s="67"/>
      <c r="EQ4932" s="67"/>
      <c r="ER4932" s="67"/>
      <c r="ES4932" s="67"/>
      <c r="ET4932" s="67"/>
      <c r="EU4932" s="67"/>
      <c r="EV4932" s="67"/>
      <c r="EW4932" s="67"/>
      <c r="EX4932" s="67"/>
      <c r="EY4932" s="67"/>
      <c r="EZ4932" s="67"/>
      <c r="FA4932" s="67"/>
      <c r="FB4932" s="67"/>
      <c r="FC4932" s="67"/>
      <c r="FD4932" s="67"/>
      <c r="FE4932" s="67"/>
      <c r="FF4932" s="67"/>
      <c r="FG4932" s="67"/>
      <c r="FH4932" s="67"/>
      <c r="FI4932" s="67"/>
      <c r="FJ4932" s="67"/>
      <c r="FK4932" s="67"/>
      <c r="FL4932" s="67"/>
      <c r="FM4932" s="67"/>
      <c r="FN4932" s="67"/>
      <c r="FO4932" s="67"/>
      <c r="FP4932" s="67"/>
      <c r="FQ4932" s="67"/>
      <c r="FR4932" s="67"/>
      <c r="FS4932" s="67"/>
      <c r="FT4932" s="67"/>
      <c r="FU4932" s="67"/>
      <c r="FV4932" s="67"/>
      <c r="FW4932" s="67"/>
      <c r="FX4932" s="67"/>
      <c r="FY4932" s="67"/>
      <c r="FZ4932" s="67"/>
      <c r="GA4932" s="67"/>
      <c r="GB4932" s="67"/>
      <c r="GC4932" s="67"/>
      <c r="GD4932" s="67"/>
      <c r="GE4932" s="67"/>
      <c r="GF4932" s="67"/>
      <c r="GG4932" s="67"/>
      <c r="GH4932" s="67"/>
      <c r="GI4932" s="67"/>
      <c r="GJ4932" s="67"/>
      <c r="GK4932" s="67"/>
      <c r="GL4932" s="67"/>
      <c r="GM4932" s="67"/>
      <c r="GN4932" s="292"/>
      <c r="GO4932" s="292"/>
      <c r="GP4932" s="292" t="s">
        <v>7494</v>
      </c>
      <c r="GQ4932" s="67"/>
      <c r="GR4932" s="67"/>
      <c r="GS4932" s="67"/>
      <c r="GT4932" s="67"/>
      <c r="GU4932" s="67"/>
      <c r="GV4932" s="67"/>
      <c r="GW4932" s="67"/>
      <c r="GX4932" s="67"/>
      <c r="GY4932" s="67"/>
      <c r="GZ4932" s="67"/>
      <c r="HA4932" s="67"/>
      <c r="HB4932" s="67"/>
      <c r="HC4932" s="67"/>
      <c r="HD4932" s="67"/>
      <c r="HE4932" s="67"/>
      <c r="HF4932" s="67"/>
      <c r="HG4932" s="67"/>
      <c r="HH4932" s="67"/>
      <c r="HI4932" s="67"/>
      <c r="HJ4932" s="67"/>
      <c r="HK4932" s="67"/>
      <c r="HL4932" s="67"/>
      <c r="HM4932" s="67"/>
      <c r="HN4932" s="67"/>
      <c r="HO4932" s="67"/>
      <c r="HP4932" s="67"/>
      <c r="HQ4932" s="67"/>
      <c r="HR4932" s="67"/>
      <c r="HS4932" s="67"/>
      <c r="HT4932" s="67"/>
      <c r="HU4932" s="67"/>
      <c r="HV4932" s="67"/>
      <c r="HW4932" s="67"/>
      <c r="HX4932" s="67"/>
      <c r="HY4932" s="67"/>
      <c r="HZ4932" s="67"/>
      <c r="IA4932" s="67"/>
      <c r="IB4932" s="67"/>
      <c r="IC4932" s="67"/>
      <c r="ID4932" s="67"/>
      <c r="IE4932" s="67"/>
      <c r="IF4932" s="67"/>
      <c r="IG4932" s="67"/>
      <c r="IH4932" s="67"/>
      <c r="II4932" s="67"/>
      <c r="IJ4932" s="67"/>
      <c r="IK4932" s="67"/>
      <c r="IL4932" s="67"/>
      <c r="IM4932" s="67"/>
      <c r="IN4932" s="67"/>
      <c r="IO4932" s="67"/>
      <c r="IP4932" s="67"/>
      <c r="IQ4932" s="67"/>
      <c r="IR4932" s="67"/>
      <c r="IS4932" s="67"/>
      <c r="IT4932" s="67"/>
      <c r="IU4932" s="67"/>
      <c r="IV4932" s="67"/>
      <c r="IW4932" s="67"/>
      <c r="IX4932" s="67"/>
      <c r="IY4932" s="67"/>
      <c r="IZ4932" s="67"/>
      <c r="JA4932" s="67"/>
      <c r="JB4932" s="67"/>
      <c r="JC4932" s="67"/>
      <c r="JD4932" s="67"/>
      <c r="JE4932" s="67"/>
      <c r="JF4932" s="67"/>
      <c r="JG4932" s="67"/>
      <c r="JH4932" s="67"/>
      <c r="JI4932" s="67"/>
      <c r="JJ4932" s="67"/>
      <c r="JK4932" s="67"/>
      <c r="JL4932" s="67"/>
      <c r="JM4932" s="67"/>
      <c r="JN4932" s="67"/>
      <c r="JO4932" s="67"/>
      <c r="JP4932" s="67"/>
      <c r="JQ4932" s="67"/>
      <c r="JR4932" s="67"/>
      <c r="JS4932" s="67"/>
      <c r="JT4932" s="67"/>
      <c r="JU4932" s="58"/>
      <c r="JV4932" s="58"/>
      <c r="JW4932" s="58"/>
    </row>
    <row r="4933" spans="1:283" s="23" customFormat="1" x14ac:dyDescent="0.25">
      <c r="A4933" s="55">
        <v>4932</v>
      </c>
      <c r="B4933" s="12" t="s">
        <v>7067</v>
      </c>
      <c r="C4933" s="156">
        <v>237</v>
      </c>
      <c r="D4933" s="58" t="s">
        <v>4949</v>
      </c>
      <c r="E4933" s="160" t="str">
        <f>G4933</f>
        <v>Haggar et al. 2011_Costa Rica, EPTA</v>
      </c>
      <c r="F4933" s="160"/>
      <c r="G4933" s="60" t="s">
        <v>4780</v>
      </c>
      <c r="H4933" s="58">
        <v>2011</v>
      </c>
      <c r="I4933" s="58">
        <v>2003</v>
      </c>
      <c r="J4933" s="243" t="s">
        <v>2688</v>
      </c>
      <c r="K4933" s="63" t="s">
        <v>5106</v>
      </c>
      <c r="L4933" s="58" t="s">
        <v>5332</v>
      </c>
      <c r="M4933" s="94">
        <v>9.91</v>
      </c>
      <c r="N4933" s="94">
        <v>-83.68</v>
      </c>
      <c r="O4933" s="94">
        <v>647</v>
      </c>
      <c r="P4933" s="58"/>
      <c r="Q4933" s="244">
        <v>22.6</v>
      </c>
      <c r="R4933" s="58"/>
      <c r="S4933" s="245">
        <v>3200</v>
      </c>
      <c r="T4933" s="58"/>
      <c r="U4933" s="58" t="s">
        <v>1688</v>
      </c>
      <c r="V4933" s="244">
        <v>5</v>
      </c>
      <c r="W4933" s="174"/>
      <c r="X4933" s="174"/>
      <c r="Y4933" s="58" t="s">
        <v>5445</v>
      </c>
      <c r="Z4933" s="244" t="s">
        <v>1355</v>
      </c>
      <c r="AA4933" s="245">
        <v>10</v>
      </c>
      <c r="AB4933" s="67"/>
      <c r="AC4933" s="67"/>
      <c r="AD4933" s="94"/>
      <c r="AE4933" s="94"/>
      <c r="AF4933" s="94"/>
      <c r="AG4933" s="245"/>
      <c r="AH4933" s="58"/>
      <c r="AI4933" s="169"/>
      <c r="AJ4933" s="94"/>
      <c r="AK4933" s="94"/>
      <c r="AL4933" s="58"/>
      <c r="AM4933" s="58"/>
      <c r="AN4933" s="186" t="s">
        <v>5446</v>
      </c>
      <c r="AO4933" s="185" t="s">
        <v>5150</v>
      </c>
      <c r="AP4933" s="58"/>
      <c r="AQ4933" s="58" t="s">
        <v>1603</v>
      </c>
      <c r="AR4933" s="58" t="s">
        <v>5447</v>
      </c>
      <c r="AS4933" s="246" t="s">
        <v>3471</v>
      </c>
      <c r="AT4933" s="247">
        <v>0</v>
      </c>
      <c r="AU4933" s="181" t="s">
        <v>7494</v>
      </c>
      <c r="AV4933" s="185" t="s">
        <v>176</v>
      </c>
      <c r="AW4933" s="244">
        <v>0</v>
      </c>
      <c r="AX4933" s="185" t="s">
        <v>176</v>
      </c>
      <c r="AY4933" s="244" t="s">
        <v>176</v>
      </c>
      <c r="AZ4933" s="58"/>
      <c r="BA4933" s="58"/>
      <c r="BB4933" s="58"/>
      <c r="BC4933" s="58"/>
      <c r="BD4933" s="58"/>
      <c r="BE4933" s="236" t="s">
        <v>5185</v>
      </c>
      <c r="BF4933" s="191" t="s">
        <v>479</v>
      </c>
      <c r="BG4933" s="191" t="s">
        <v>479</v>
      </c>
      <c r="BH4933" s="236" t="s">
        <v>5251</v>
      </c>
      <c r="BI4933" s="191" t="s">
        <v>479</v>
      </c>
      <c r="BJ4933" s="58" t="str">
        <f>IF(BE4933=BH4933,"No","yes")</f>
        <v>yes</v>
      </c>
      <c r="BK4933" s="58" t="s">
        <v>6334</v>
      </c>
      <c r="BL4933" s="58"/>
      <c r="BM4933" s="237"/>
      <c r="BN4933" s="244">
        <v>3</v>
      </c>
      <c r="BO4933" s="244">
        <v>3</v>
      </c>
      <c r="BP4933" s="58"/>
      <c r="BQ4933" s="58"/>
      <c r="BR4933" s="58"/>
      <c r="BS4933" s="58"/>
      <c r="BT4933" s="58"/>
      <c r="BU4933" s="58"/>
      <c r="BV4933" s="58"/>
      <c r="BW4933" s="67"/>
      <c r="BX4933" s="67"/>
      <c r="BY4933" s="67"/>
      <c r="BZ4933" s="67"/>
      <c r="CA4933" s="67"/>
      <c r="CB4933" s="70"/>
      <c r="CC4933" s="70"/>
      <c r="CD4933" s="70"/>
      <c r="CE4933" s="67"/>
      <c r="CF4933" s="67"/>
      <c r="CG4933" s="67"/>
      <c r="CH4933" s="245"/>
      <c r="CI4933" s="245"/>
      <c r="CJ4933" s="67"/>
      <c r="CK4933" s="67"/>
      <c r="CL4933" s="67"/>
      <c r="CM4933" s="242">
        <v>3.0465116279069768</v>
      </c>
      <c r="CN4933" s="242">
        <v>3.2732558139534884</v>
      </c>
      <c r="CO4933" s="242">
        <v>0.3046511627906977</v>
      </c>
      <c r="CP4933" s="242">
        <v>0.32732558139534884</v>
      </c>
      <c r="CQ4933" s="242" t="s">
        <v>164</v>
      </c>
      <c r="CR4933" s="242">
        <v>38.438926547885664</v>
      </c>
      <c r="CS4933" s="242">
        <v>40.602825789864809</v>
      </c>
      <c r="CT4933" s="242">
        <v>3.8438926547885668</v>
      </c>
      <c r="CU4933" s="242">
        <v>4.0602825789864809</v>
      </c>
      <c r="CV4933" s="242" t="s">
        <v>5151</v>
      </c>
      <c r="CW4933" s="242"/>
      <c r="CX4933" s="242"/>
      <c r="CY4933" s="242"/>
      <c r="CZ4933" s="242"/>
      <c r="DA4933" s="67" t="s">
        <v>5443</v>
      </c>
      <c r="DB4933" s="67"/>
      <c r="DC4933" s="67"/>
      <c r="DD4933" s="67"/>
      <c r="DE4933" s="67"/>
      <c r="DF4933" s="67"/>
      <c r="DG4933" s="67"/>
      <c r="DH4933" s="67"/>
      <c r="DI4933" s="67"/>
      <c r="DJ4933" s="67"/>
      <c r="DK4933" s="67"/>
      <c r="DL4933" s="67"/>
      <c r="DM4933" s="67"/>
      <c r="DN4933" s="67"/>
      <c r="DO4933" s="67"/>
      <c r="DP4933" s="67"/>
      <c r="DQ4933" s="166"/>
      <c r="DR4933" s="166"/>
      <c r="DS4933" s="163"/>
      <c r="DT4933" s="163"/>
      <c r="DU4933" s="67"/>
      <c r="DV4933" s="67"/>
      <c r="DW4933" s="67"/>
      <c r="DX4933" s="67"/>
      <c r="DY4933" s="67"/>
      <c r="DZ4933" s="67"/>
      <c r="EA4933" s="67"/>
      <c r="EB4933" s="67"/>
      <c r="EC4933" s="67"/>
      <c r="ED4933" s="67"/>
      <c r="EE4933" s="67"/>
      <c r="EF4933" s="67"/>
      <c r="EG4933" s="67"/>
      <c r="EH4933" s="67"/>
      <c r="EI4933" s="67"/>
      <c r="EJ4933" s="67"/>
      <c r="EK4933" s="94"/>
      <c r="EL4933" s="94"/>
      <c r="EM4933" s="67"/>
      <c r="EN4933" s="67"/>
      <c r="EO4933" s="67"/>
      <c r="EP4933" s="67"/>
      <c r="EQ4933" s="67"/>
      <c r="ER4933" s="67"/>
      <c r="ES4933" s="67"/>
      <c r="ET4933" s="67"/>
      <c r="EU4933" s="67"/>
      <c r="EV4933" s="67"/>
      <c r="EW4933" s="67"/>
      <c r="EX4933" s="67"/>
      <c r="EY4933" s="67"/>
      <c r="EZ4933" s="67"/>
      <c r="FA4933" s="67"/>
      <c r="FB4933" s="67"/>
      <c r="FC4933" s="67"/>
      <c r="FD4933" s="67"/>
      <c r="FE4933" s="67"/>
      <c r="FF4933" s="67"/>
      <c r="FG4933" s="67"/>
      <c r="FH4933" s="67"/>
      <c r="FI4933" s="67"/>
      <c r="FJ4933" s="67"/>
      <c r="FK4933" s="67"/>
      <c r="FL4933" s="67"/>
      <c r="FM4933" s="67"/>
      <c r="FN4933" s="67"/>
      <c r="FO4933" s="67"/>
      <c r="FP4933" s="67"/>
      <c r="FQ4933" s="67"/>
      <c r="FR4933" s="67"/>
      <c r="FS4933" s="67"/>
      <c r="FT4933" s="67"/>
      <c r="FU4933" s="67"/>
      <c r="FV4933" s="67"/>
      <c r="FW4933" s="67"/>
      <c r="FX4933" s="67"/>
      <c r="FY4933" s="67"/>
      <c r="FZ4933" s="67"/>
      <c r="GA4933" s="67"/>
      <c r="GB4933" s="67"/>
      <c r="GC4933" s="67"/>
      <c r="GD4933" s="67"/>
      <c r="GE4933" s="67"/>
      <c r="GF4933" s="67"/>
      <c r="GG4933" s="67"/>
      <c r="GH4933" s="67"/>
      <c r="GI4933" s="67"/>
      <c r="GJ4933" s="67"/>
      <c r="GK4933" s="67"/>
      <c r="GL4933" s="67"/>
      <c r="GM4933" s="67"/>
      <c r="GN4933" s="292"/>
      <c r="GO4933" s="292"/>
      <c r="GP4933" s="292" t="s">
        <v>7494</v>
      </c>
      <c r="GQ4933" s="67"/>
      <c r="GR4933" s="67"/>
      <c r="GS4933" s="67"/>
      <c r="GT4933" s="67"/>
      <c r="GU4933" s="67"/>
      <c r="GV4933" s="67"/>
      <c r="GW4933" s="67"/>
      <c r="GX4933" s="67"/>
      <c r="GY4933" s="67"/>
      <c r="GZ4933" s="67"/>
      <c r="HA4933" s="67"/>
      <c r="HB4933" s="67"/>
      <c r="HC4933" s="67"/>
      <c r="HD4933" s="67"/>
      <c r="HE4933" s="67"/>
      <c r="HF4933" s="67"/>
      <c r="HG4933" s="67"/>
      <c r="HH4933" s="67"/>
      <c r="HI4933" s="67"/>
      <c r="HJ4933" s="67"/>
      <c r="HK4933" s="67"/>
      <c r="HL4933" s="67"/>
      <c r="HM4933" s="67"/>
      <c r="HN4933" s="67"/>
      <c r="HO4933" s="67"/>
      <c r="HP4933" s="67"/>
      <c r="HQ4933" s="67"/>
      <c r="HR4933" s="67"/>
      <c r="HS4933" s="67"/>
      <c r="HT4933" s="67"/>
      <c r="HU4933" s="67"/>
      <c r="HV4933" s="67"/>
      <c r="HW4933" s="67"/>
      <c r="HX4933" s="67"/>
      <c r="HY4933" s="67"/>
      <c r="HZ4933" s="67"/>
      <c r="IA4933" s="67"/>
      <c r="IB4933" s="67"/>
      <c r="IC4933" s="67"/>
      <c r="ID4933" s="67"/>
      <c r="IE4933" s="67"/>
      <c r="IF4933" s="67"/>
      <c r="IG4933" s="67"/>
      <c r="IH4933" s="67"/>
      <c r="II4933" s="67"/>
      <c r="IJ4933" s="67"/>
      <c r="IK4933" s="67"/>
      <c r="IL4933" s="67"/>
      <c r="IM4933" s="67"/>
      <c r="IN4933" s="67"/>
      <c r="IO4933" s="67"/>
      <c r="IP4933" s="67"/>
      <c r="IQ4933" s="67"/>
      <c r="IR4933" s="67"/>
      <c r="IS4933" s="67"/>
      <c r="IT4933" s="67"/>
      <c r="IU4933" s="67"/>
      <c r="IV4933" s="67"/>
      <c r="IW4933" s="67"/>
      <c r="IX4933" s="67"/>
      <c r="IY4933" s="67"/>
      <c r="IZ4933" s="67"/>
      <c r="JA4933" s="67"/>
      <c r="JB4933" s="67"/>
      <c r="JC4933" s="67"/>
      <c r="JD4933" s="67"/>
      <c r="JE4933" s="67"/>
      <c r="JF4933" s="67"/>
      <c r="JG4933" s="67"/>
      <c r="JH4933" s="67"/>
      <c r="JI4933" s="67"/>
      <c r="JJ4933" s="67"/>
      <c r="JK4933" s="67"/>
      <c r="JL4933" s="67"/>
      <c r="JM4933" s="67"/>
      <c r="JN4933" s="67"/>
      <c r="JO4933" s="67"/>
      <c r="JP4933" s="67"/>
      <c r="JQ4933" s="67"/>
      <c r="JR4933" s="67"/>
      <c r="JS4933" s="67"/>
      <c r="JT4933" s="67"/>
      <c r="JU4933" s="58"/>
      <c r="JV4933" s="58"/>
      <c r="JW4933" s="58"/>
    </row>
    <row r="4934" spans="1:283" s="23" customFormat="1" x14ac:dyDescent="0.25">
      <c r="A4934" s="55">
        <v>4933</v>
      </c>
      <c r="B4934" s="12" t="s">
        <v>7067</v>
      </c>
      <c r="C4934" s="156">
        <v>237</v>
      </c>
      <c r="D4934" s="58" t="s">
        <v>4950</v>
      </c>
      <c r="E4934" s="160" t="str">
        <f>G4934</f>
        <v>Haggar et al. 2011_Costa Rica, TA</v>
      </c>
      <c r="F4934" s="160"/>
      <c r="G4934" s="60" t="s">
        <v>4779</v>
      </c>
      <c r="H4934" s="58">
        <v>2011</v>
      </c>
      <c r="I4934" s="58">
        <v>2003</v>
      </c>
      <c r="J4934" s="243" t="s">
        <v>2688</v>
      </c>
      <c r="K4934" s="63" t="s">
        <v>5106</v>
      </c>
      <c r="L4934" s="58" t="s">
        <v>5332</v>
      </c>
      <c r="M4934" s="94">
        <v>9.91</v>
      </c>
      <c r="N4934" s="94">
        <v>-83.68</v>
      </c>
      <c r="O4934" s="94">
        <v>647</v>
      </c>
      <c r="P4934" s="58"/>
      <c r="Q4934" s="244">
        <v>22.6</v>
      </c>
      <c r="R4934" s="58"/>
      <c r="S4934" s="245">
        <v>3200</v>
      </c>
      <c r="T4934" s="58"/>
      <c r="U4934" s="58" t="s">
        <v>1688</v>
      </c>
      <c r="V4934" s="244">
        <v>5</v>
      </c>
      <c r="W4934" s="174"/>
      <c r="X4934" s="174"/>
      <c r="Y4934" s="58" t="s">
        <v>5445</v>
      </c>
      <c r="Z4934" s="244" t="s">
        <v>1355</v>
      </c>
      <c r="AA4934" s="245">
        <v>10</v>
      </c>
      <c r="AB4934" s="67"/>
      <c r="AC4934" s="67"/>
      <c r="AD4934" s="94"/>
      <c r="AE4934" s="94"/>
      <c r="AF4934" s="94"/>
      <c r="AG4934" s="245"/>
      <c r="AH4934" s="58"/>
      <c r="AI4934" s="169"/>
      <c r="AJ4934" s="94"/>
      <c r="AK4934" s="94"/>
      <c r="AL4934" s="58"/>
      <c r="AM4934" s="58"/>
      <c r="AN4934" s="186" t="s">
        <v>5446</v>
      </c>
      <c r="AO4934" s="185" t="s">
        <v>5150</v>
      </c>
      <c r="AP4934" s="58"/>
      <c r="AQ4934" s="58" t="s">
        <v>1603</v>
      </c>
      <c r="AR4934" s="58" t="s">
        <v>5447</v>
      </c>
      <c r="AS4934" s="246" t="s">
        <v>3471</v>
      </c>
      <c r="AT4934" s="247">
        <v>0</v>
      </c>
      <c r="AU4934" s="181" t="s">
        <v>7494</v>
      </c>
      <c r="AV4934" s="185" t="s">
        <v>176</v>
      </c>
      <c r="AW4934" s="244">
        <v>0</v>
      </c>
      <c r="AX4934" s="185" t="s">
        <v>176</v>
      </c>
      <c r="AY4934" s="244" t="s">
        <v>176</v>
      </c>
      <c r="AZ4934" s="58"/>
      <c r="BA4934" s="58"/>
      <c r="BB4934" s="58"/>
      <c r="BC4934" s="58"/>
      <c r="BD4934" s="58"/>
      <c r="BE4934" s="236" t="s">
        <v>5185</v>
      </c>
      <c r="BF4934" s="191" t="s">
        <v>479</v>
      </c>
      <c r="BG4934" s="191" t="s">
        <v>479</v>
      </c>
      <c r="BH4934" s="236" t="s">
        <v>5251</v>
      </c>
      <c r="BI4934" s="191" t="s">
        <v>479</v>
      </c>
      <c r="BJ4934" s="58" t="str">
        <f>IF(BE4934=BH4934,"No","yes")</f>
        <v>yes</v>
      </c>
      <c r="BK4934" s="58" t="s">
        <v>6334</v>
      </c>
      <c r="BL4934" s="58"/>
      <c r="BM4934" s="237"/>
      <c r="BN4934" s="244">
        <v>3</v>
      </c>
      <c r="BO4934" s="244">
        <v>3</v>
      </c>
      <c r="BP4934" s="58"/>
      <c r="BQ4934" s="58"/>
      <c r="BR4934" s="58"/>
      <c r="BS4934" s="58"/>
      <c r="BT4934" s="58"/>
      <c r="BU4934" s="58"/>
      <c r="BV4934" s="58"/>
      <c r="BW4934" s="67"/>
      <c r="BX4934" s="67"/>
      <c r="BY4934" s="67"/>
      <c r="BZ4934" s="67"/>
      <c r="CA4934" s="67"/>
      <c r="CB4934" s="70"/>
      <c r="CC4934" s="70"/>
      <c r="CD4934" s="70"/>
      <c r="CE4934" s="67"/>
      <c r="CF4934" s="67"/>
      <c r="CG4934" s="67"/>
      <c r="CH4934" s="245"/>
      <c r="CI4934" s="245"/>
      <c r="CJ4934" s="67"/>
      <c r="CK4934" s="67"/>
      <c r="CL4934" s="67"/>
      <c r="CM4934" s="242">
        <v>3.5930232558139532</v>
      </c>
      <c r="CN4934" s="242">
        <v>3.7383720930232558</v>
      </c>
      <c r="CO4934" s="242">
        <v>0.35930232558139535</v>
      </c>
      <c r="CP4934" s="242">
        <v>0.37383720930232561</v>
      </c>
      <c r="CQ4934" s="242" t="s">
        <v>164</v>
      </c>
      <c r="CR4934" s="242">
        <v>43.533230288613275</v>
      </c>
      <c r="CS4934" s="242">
        <v>44.820662360939743</v>
      </c>
      <c r="CT4934" s="242">
        <v>4.353323028861328</v>
      </c>
      <c r="CU4934" s="242">
        <v>4.4820662360939743</v>
      </c>
      <c r="CV4934" s="242" t="s">
        <v>5151</v>
      </c>
      <c r="CW4934" s="242"/>
      <c r="CX4934" s="242"/>
      <c r="CY4934" s="242"/>
      <c r="CZ4934" s="242"/>
      <c r="DA4934" s="67" t="s">
        <v>5443</v>
      </c>
      <c r="DB4934" s="67"/>
      <c r="DC4934" s="67"/>
      <c r="DD4934" s="67"/>
      <c r="DE4934" s="67"/>
      <c r="DF4934" s="67"/>
      <c r="DG4934" s="67"/>
      <c r="DH4934" s="67"/>
      <c r="DI4934" s="67"/>
      <c r="DJ4934" s="67"/>
      <c r="DK4934" s="67"/>
      <c r="DL4934" s="67"/>
      <c r="DM4934" s="67"/>
      <c r="DN4934" s="67"/>
      <c r="DO4934" s="67"/>
      <c r="DP4934" s="67"/>
      <c r="DQ4934" s="166"/>
      <c r="DR4934" s="166"/>
      <c r="DS4934" s="163"/>
      <c r="DT4934" s="163"/>
      <c r="DU4934" s="67"/>
      <c r="DV4934" s="67"/>
      <c r="DW4934" s="67"/>
      <c r="DX4934" s="67"/>
      <c r="DY4934" s="67"/>
      <c r="DZ4934" s="67"/>
      <c r="EA4934" s="67"/>
      <c r="EB4934" s="67"/>
      <c r="EC4934" s="67"/>
      <c r="ED4934" s="67"/>
      <c r="EE4934" s="67"/>
      <c r="EF4934" s="67"/>
      <c r="EG4934" s="67"/>
      <c r="EH4934" s="67"/>
      <c r="EI4934" s="67"/>
      <c r="EJ4934" s="67"/>
      <c r="EK4934" s="94"/>
      <c r="EL4934" s="94"/>
      <c r="EM4934" s="67"/>
      <c r="EN4934" s="67"/>
      <c r="EO4934" s="67"/>
      <c r="EP4934" s="67"/>
      <c r="EQ4934" s="67"/>
      <c r="ER4934" s="67"/>
      <c r="ES4934" s="67"/>
      <c r="ET4934" s="67"/>
      <c r="EU4934" s="67"/>
      <c r="EV4934" s="67"/>
      <c r="EW4934" s="67"/>
      <c r="EX4934" s="67"/>
      <c r="EY4934" s="67"/>
      <c r="EZ4934" s="67"/>
      <c r="FA4934" s="67"/>
      <c r="FB4934" s="67"/>
      <c r="FC4934" s="67"/>
      <c r="FD4934" s="67"/>
      <c r="FE4934" s="67"/>
      <c r="FF4934" s="67"/>
      <c r="FG4934" s="67"/>
      <c r="FH4934" s="67"/>
      <c r="FI4934" s="67"/>
      <c r="FJ4934" s="67"/>
      <c r="FK4934" s="67"/>
      <c r="FL4934" s="67"/>
      <c r="FM4934" s="67"/>
      <c r="FN4934" s="67"/>
      <c r="FO4934" s="67"/>
      <c r="FP4934" s="67"/>
      <c r="FQ4934" s="67"/>
      <c r="FR4934" s="67"/>
      <c r="FS4934" s="67"/>
      <c r="FT4934" s="67"/>
      <c r="FU4934" s="67"/>
      <c r="FV4934" s="67"/>
      <c r="FW4934" s="67"/>
      <c r="FX4934" s="67"/>
      <c r="FY4934" s="67"/>
      <c r="FZ4934" s="67"/>
      <c r="GA4934" s="67"/>
      <c r="GB4934" s="67"/>
      <c r="GC4934" s="67"/>
      <c r="GD4934" s="67"/>
      <c r="GE4934" s="67"/>
      <c r="GF4934" s="67"/>
      <c r="GG4934" s="67"/>
      <c r="GH4934" s="67"/>
      <c r="GI4934" s="67"/>
      <c r="GJ4934" s="67"/>
      <c r="GK4934" s="67"/>
      <c r="GL4934" s="67"/>
      <c r="GM4934" s="67"/>
      <c r="GN4934" s="292"/>
      <c r="GO4934" s="292"/>
      <c r="GP4934" s="292" t="s">
        <v>7494</v>
      </c>
      <c r="GQ4934" s="67"/>
      <c r="GR4934" s="67"/>
      <c r="GS4934" s="67"/>
      <c r="GT4934" s="67"/>
      <c r="GU4934" s="67"/>
      <c r="GV4934" s="67"/>
      <c r="GW4934" s="67"/>
      <c r="GX4934" s="67"/>
      <c r="GY4934" s="67"/>
      <c r="GZ4934" s="67"/>
      <c r="HA4934" s="67"/>
      <c r="HB4934" s="67"/>
      <c r="HC4934" s="67"/>
      <c r="HD4934" s="67"/>
      <c r="HE4934" s="67"/>
      <c r="HF4934" s="67"/>
      <c r="HG4934" s="67"/>
      <c r="HH4934" s="67"/>
      <c r="HI4934" s="67"/>
      <c r="HJ4934" s="67"/>
      <c r="HK4934" s="67"/>
      <c r="HL4934" s="67"/>
      <c r="HM4934" s="67"/>
      <c r="HN4934" s="67"/>
      <c r="HO4934" s="67"/>
      <c r="HP4934" s="67"/>
      <c r="HQ4934" s="67"/>
      <c r="HR4934" s="67"/>
      <c r="HS4934" s="67"/>
      <c r="HT4934" s="67"/>
      <c r="HU4934" s="67"/>
      <c r="HV4934" s="67"/>
      <c r="HW4934" s="67"/>
      <c r="HX4934" s="67"/>
      <c r="HY4934" s="67"/>
      <c r="HZ4934" s="67"/>
      <c r="IA4934" s="67"/>
      <c r="IB4934" s="67"/>
      <c r="IC4934" s="67"/>
      <c r="ID4934" s="67"/>
      <c r="IE4934" s="67"/>
      <c r="IF4934" s="67"/>
      <c r="IG4934" s="67"/>
      <c r="IH4934" s="67"/>
      <c r="II4934" s="67"/>
      <c r="IJ4934" s="67"/>
      <c r="IK4934" s="67"/>
      <c r="IL4934" s="67"/>
      <c r="IM4934" s="67"/>
      <c r="IN4934" s="67"/>
      <c r="IO4934" s="67"/>
      <c r="IP4934" s="67"/>
      <c r="IQ4934" s="67"/>
      <c r="IR4934" s="67"/>
      <c r="IS4934" s="67"/>
      <c r="IT4934" s="67"/>
      <c r="IU4934" s="67"/>
      <c r="IV4934" s="67"/>
      <c r="IW4934" s="67"/>
      <c r="IX4934" s="67"/>
      <c r="IY4934" s="67"/>
      <c r="IZ4934" s="67"/>
      <c r="JA4934" s="67"/>
      <c r="JB4934" s="67"/>
      <c r="JC4934" s="67"/>
      <c r="JD4934" s="67"/>
      <c r="JE4934" s="67"/>
      <c r="JF4934" s="67"/>
      <c r="JG4934" s="67"/>
      <c r="JH4934" s="67"/>
      <c r="JI4934" s="67"/>
      <c r="JJ4934" s="67"/>
      <c r="JK4934" s="67"/>
      <c r="JL4934" s="67"/>
      <c r="JM4934" s="67"/>
      <c r="JN4934" s="67"/>
      <c r="JO4934" s="67"/>
      <c r="JP4934" s="67"/>
      <c r="JQ4934" s="67"/>
      <c r="JR4934" s="67"/>
      <c r="JS4934" s="67"/>
      <c r="JT4934" s="67"/>
      <c r="JU4934" s="58"/>
      <c r="JV4934" s="58"/>
      <c r="JW4934" s="58"/>
    </row>
    <row r="4935" spans="1:283" s="23" customFormat="1" x14ac:dyDescent="0.25">
      <c r="A4935" s="55">
        <v>4934</v>
      </c>
      <c r="B4935" s="12" t="s">
        <v>7067</v>
      </c>
      <c r="C4935" s="156">
        <v>237</v>
      </c>
      <c r="D4935" s="58" t="s">
        <v>4951</v>
      </c>
      <c r="E4935" s="160" t="str">
        <f>G4935</f>
        <v>Haggar et al. 2011_Nicaragua ILSG</v>
      </c>
      <c r="F4935" s="160"/>
      <c r="G4935" s="60" t="s">
        <v>4778</v>
      </c>
      <c r="H4935" s="58">
        <v>2011</v>
      </c>
      <c r="I4935" s="58">
        <v>2003</v>
      </c>
      <c r="J4935" s="243" t="s">
        <v>2688</v>
      </c>
      <c r="K4935" s="63" t="s">
        <v>5105</v>
      </c>
      <c r="L4935" s="58" t="s">
        <v>5332</v>
      </c>
      <c r="M4935" s="94">
        <v>11.92</v>
      </c>
      <c r="N4935" s="94">
        <v>-86.15</v>
      </c>
      <c r="O4935" s="94">
        <v>428</v>
      </c>
      <c r="P4935" s="58"/>
      <c r="Q4935" s="244">
        <v>24.3</v>
      </c>
      <c r="R4935" s="58"/>
      <c r="S4935" s="245">
        <v>1470</v>
      </c>
      <c r="T4935" s="58"/>
      <c r="U4935" s="58" t="s">
        <v>1688</v>
      </c>
      <c r="V4935" s="244">
        <v>5</v>
      </c>
      <c r="W4935" s="174"/>
      <c r="X4935" s="174"/>
      <c r="Y4935" s="58" t="s">
        <v>5445</v>
      </c>
      <c r="Z4935" s="244" t="s">
        <v>1355</v>
      </c>
      <c r="AA4935" s="245">
        <v>10</v>
      </c>
      <c r="AB4935" s="67"/>
      <c r="AC4935" s="67"/>
      <c r="AD4935" s="94"/>
      <c r="AE4935" s="94"/>
      <c r="AF4935" s="94"/>
      <c r="AG4935" s="245"/>
      <c r="AH4935" s="58"/>
      <c r="AI4935" s="169"/>
      <c r="AJ4935" s="94"/>
      <c r="AK4935" s="94"/>
      <c r="AL4935" s="58"/>
      <c r="AM4935" s="58"/>
      <c r="AN4935" s="186" t="s">
        <v>5446</v>
      </c>
      <c r="AO4935" s="185" t="s">
        <v>5150</v>
      </c>
      <c r="AP4935" s="58"/>
      <c r="AQ4935" s="58" t="s">
        <v>1603</v>
      </c>
      <c r="AR4935" s="58" t="s">
        <v>5447</v>
      </c>
      <c r="AS4935" s="246" t="s">
        <v>3471</v>
      </c>
      <c r="AT4935" s="247">
        <v>0</v>
      </c>
      <c r="AU4935" s="181" t="s">
        <v>7494</v>
      </c>
      <c r="AV4935" s="185" t="s">
        <v>176</v>
      </c>
      <c r="AW4935" s="244">
        <v>0</v>
      </c>
      <c r="AX4935" s="185" t="s">
        <v>176</v>
      </c>
      <c r="AY4935" s="244" t="s">
        <v>176</v>
      </c>
      <c r="AZ4935" s="58"/>
      <c r="BA4935" s="58"/>
      <c r="BB4935" s="58"/>
      <c r="BC4935" s="58"/>
      <c r="BD4935" s="58"/>
      <c r="BE4935" s="236" t="s">
        <v>5186</v>
      </c>
      <c r="BF4935" s="191" t="s">
        <v>479</v>
      </c>
      <c r="BG4935" s="191" t="s">
        <v>479</v>
      </c>
      <c r="BH4935" s="236" t="s">
        <v>5252</v>
      </c>
      <c r="BI4935" s="191" t="s">
        <v>479</v>
      </c>
      <c r="BJ4935" s="58" t="str">
        <f>IF(BE4935=BH4935,"No","yes")</f>
        <v>yes</v>
      </c>
      <c r="BK4935" s="58" t="s">
        <v>6334</v>
      </c>
      <c r="BL4935" s="58"/>
      <c r="BM4935" s="237"/>
      <c r="BN4935" s="244">
        <v>3</v>
      </c>
      <c r="BO4935" s="244">
        <v>3</v>
      </c>
      <c r="BP4935" s="58"/>
      <c r="BQ4935" s="58"/>
      <c r="BR4935" s="58"/>
      <c r="BS4935" s="58"/>
      <c r="BT4935" s="58"/>
      <c r="BU4935" s="58"/>
      <c r="BV4935" s="58"/>
      <c r="BW4935" s="67"/>
      <c r="BX4935" s="67"/>
      <c r="BY4935" s="67"/>
      <c r="BZ4935" s="67"/>
      <c r="CA4935" s="67"/>
      <c r="CB4935" s="70"/>
      <c r="CC4935" s="70"/>
      <c r="CD4935" s="70"/>
      <c r="CE4935" s="67"/>
      <c r="CF4935" s="67"/>
      <c r="CG4935" s="67"/>
      <c r="CH4935" s="245"/>
      <c r="CI4935" s="245"/>
      <c r="CJ4935" s="67"/>
      <c r="CK4935" s="67"/>
      <c r="CL4935" s="67"/>
      <c r="CM4935" s="242">
        <v>6.4534883720930232</v>
      </c>
      <c r="CN4935" s="242">
        <v>6.1976744186046515</v>
      </c>
      <c r="CO4935" s="242">
        <v>0.64534883720930236</v>
      </c>
      <c r="CP4935" s="242">
        <v>0.61976744186046517</v>
      </c>
      <c r="CQ4935" s="242" t="s">
        <v>164</v>
      </c>
      <c r="CR4935" s="242">
        <v>64.729642040143403</v>
      </c>
      <c r="CS4935" s="242">
        <v>63.135833264144544</v>
      </c>
      <c r="CT4935" s="242">
        <v>6.4729642040143407</v>
      </c>
      <c r="CU4935" s="242">
        <v>6.313583326414455</v>
      </c>
      <c r="CV4935" s="242" t="s">
        <v>5151</v>
      </c>
      <c r="CW4935" s="242"/>
      <c r="CX4935" s="242"/>
      <c r="CY4935" s="242"/>
      <c r="CZ4935" s="242"/>
      <c r="DA4935" s="67" t="s">
        <v>5443</v>
      </c>
      <c r="DB4935" s="67"/>
      <c r="DC4935" s="67"/>
      <c r="DD4935" s="67"/>
      <c r="DE4935" s="67"/>
      <c r="DF4935" s="67"/>
      <c r="DG4935" s="67"/>
      <c r="DH4935" s="67"/>
      <c r="DI4935" s="67"/>
      <c r="DJ4935" s="67"/>
      <c r="DK4935" s="67"/>
      <c r="DL4935" s="67"/>
      <c r="DM4935" s="67"/>
      <c r="DN4935" s="67"/>
      <c r="DO4935" s="67"/>
      <c r="DP4935" s="67"/>
      <c r="DQ4935" s="166"/>
      <c r="DR4935" s="166"/>
      <c r="DS4935" s="163"/>
      <c r="DT4935" s="163"/>
      <c r="DU4935" s="67"/>
      <c r="DV4935" s="67"/>
      <c r="DW4935" s="67"/>
      <c r="DX4935" s="67"/>
      <c r="DY4935" s="67"/>
      <c r="DZ4935" s="67"/>
      <c r="EA4935" s="67"/>
      <c r="EB4935" s="67"/>
      <c r="EC4935" s="67"/>
      <c r="ED4935" s="67"/>
      <c r="EE4935" s="67"/>
      <c r="EF4935" s="67"/>
      <c r="EG4935" s="67"/>
      <c r="EH4935" s="67"/>
      <c r="EI4935" s="67"/>
      <c r="EJ4935" s="67"/>
      <c r="EK4935" s="94"/>
      <c r="EL4935" s="94"/>
      <c r="EM4935" s="67"/>
      <c r="EN4935" s="67"/>
      <c r="EO4935" s="67"/>
      <c r="EP4935" s="67"/>
      <c r="EQ4935" s="67"/>
      <c r="ER4935" s="67"/>
      <c r="ES4935" s="67"/>
      <c r="ET4935" s="67"/>
      <c r="EU4935" s="67"/>
      <c r="EV4935" s="67"/>
      <c r="EW4935" s="67"/>
      <c r="EX4935" s="67"/>
      <c r="EY4935" s="67"/>
      <c r="EZ4935" s="67"/>
      <c r="FA4935" s="67"/>
      <c r="FB4935" s="67"/>
      <c r="FC4935" s="67"/>
      <c r="FD4935" s="67"/>
      <c r="FE4935" s="67"/>
      <c r="FF4935" s="67"/>
      <c r="FG4935" s="67"/>
      <c r="FH4935" s="67"/>
      <c r="FI4935" s="67"/>
      <c r="FJ4935" s="67"/>
      <c r="FK4935" s="67"/>
      <c r="FL4935" s="67"/>
      <c r="FM4935" s="67"/>
      <c r="FN4935" s="67"/>
      <c r="FO4935" s="67"/>
      <c r="FP4935" s="67"/>
      <c r="FQ4935" s="67"/>
      <c r="FR4935" s="67"/>
      <c r="FS4935" s="67"/>
      <c r="FT4935" s="67"/>
      <c r="FU4935" s="67"/>
      <c r="FV4935" s="67"/>
      <c r="FW4935" s="67"/>
      <c r="FX4935" s="67"/>
      <c r="FY4935" s="67"/>
      <c r="FZ4935" s="67"/>
      <c r="GA4935" s="67"/>
      <c r="GB4935" s="67"/>
      <c r="GC4935" s="67"/>
      <c r="GD4935" s="67"/>
      <c r="GE4935" s="67"/>
      <c r="GF4935" s="67"/>
      <c r="GG4935" s="67"/>
      <c r="GH4935" s="67"/>
      <c r="GI4935" s="67"/>
      <c r="GJ4935" s="67"/>
      <c r="GK4935" s="67"/>
      <c r="GL4935" s="67"/>
      <c r="GM4935" s="67"/>
      <c r="GN4935" s="292"/>
      <c r="GO4935" s="292"/>
      <c r="GP4935" s="292" t="s">
        <v>7494</v>
      </c>
      <c r="GQ4935" s="67"/>
      <c r="GR4935" s="67"/>
      <c r="GS4935" s="67"/>
      <c r="GT4935" s="67"/>
      <c r="GU4935" s="67"/>
      <c r="GV4935" s="67"/>
      <c r="GW4935" s="67"/>
      <c r="GX4935" s="67"/>
      <c r="GY4935" s="67"/>
      <c r="GZ4935" s="67"/>
      <c r="HA4935" s="67"/>
      <c r="HB4935" s="67"/>
      <c r="HC4935" s="67"/>
      <c r="HD4935" s="67"/>
      <c r="HE4935" s="67"/>
      <c r="HF4935" s="67"/>
      <c r="HG4935" s="67"/>
      <c r="HH4935" s="67"/>
      <c r="HI4935" s="67"/>
      <c r="HJ4935" s="67"/>
      <c r="HK4935" s="67"/>
      <c r="HL4935" s="67"/>
      <c r="HM4935" s="67"/>
      <c r="HN4935" s="67"/>
      <c r="HO4935" s="67"/>
      <c r="HP4935" s="67"/>
      <c r="HQ4935" s="67"/>
      <c r="HR4935" s="67"/>
      <c r="HS4935" s="67"/>
      <c r="HT4935" s="67"/>
      <c r="HU4935" s="67"/>
      <c r="HV4935" s="67"/>
      <c r="HW4935" s="67"/>
      <c r="HX4935" s="67"/>
      <c r="HY4935" s="67"/>
      <c r="HZ4935" s="67"/>
      <c r="IA4935" s="67"/>
      <c r="IB4935" s="67"/>
      <c r="IC4935" s="67"/>
      <c r="ID4935" s="67"/>
      <c r="IE4935" s="67"/>
      <c r="IF4935" s="67"/>
      <c r="IG4935" s="67"/>
      <c r="IH4935" s="67"/>
      <c r="II4935" s="67"/>
      <c r="IJ4935" s="67"/>
      <c r="IK4935" s="67"/>
      <c r="IL4935" s="67"/>
      <c r="IM4935" s="67"/>
      <c r="IN4935" s="67"/>
      <c r="IO4935" s="67"/>
      <c r="IP4935" s="67"/>
      <c r="IQ4935" s="67"/>
      <c r="IR4935" s="67"/>
      <c r="IS4935" s="67"/>
      <c r="IT4935" s="67"/>
      <c r="IU4935" s="67"/>
      <c r="IV4935" s="67"/>
      <c r="IW4935" s="67"/>
      <c r="IX4935" s="67"/>
      <c r="IY4935" s="67"/>
      <c r="IZ4935" s="67"/>
      <c r="JA4935" s="67"/>
      <c r="JB4935" s="67"/>
      <c r="JC4935" s="67"/>
      <c r="JD4935" s="67"/>
      <c r="JE4935" s="67"/>
      <c r="JF4935" s="67"/>
      <c r="JG4935" s="67"/>
      <c r="JH4935" s="67"/>
      <c r="JI4935" s="67"/>
      <c r="JJ4935" s="67"/>
      <c r="JK4935" s="67"/>
      <c r="JL4935" s="67"/>
      <c r="JM4935" s="67"/>
      <c r="JN4935" s="67"/>
      <c r="JO4935" s="67"/>
      <c r="JP4935" s="67"/>
      <c r="JQ4935" s="67"/>
      <c r="JR4935" s="67"/>
      <c r="JS4935" s="67"/>
      <c r="JT4935" s="67"/>
      <c r="JU4935" s="58"/>
      <c r="JV4935" s="58"/>
      <c r="JW4935" s="58"/>
    </row>
    <row r="4936" spans="1:283" s="23" customFormat="1" x14ac:dyDescent="0.25">
      <c r="A4936" s="55">
        <v>4935</v>
      </c>
      <c r="B4936" s="12" t="s">
        <v>7067</v>
      </c>
      <c r="C4936" s="156">
        <v>237</v>
      </c>
      <c r="D4936" s="58" t="s">
        <v>4952</v>
      </c>
      <c r="E4936" s="160" t="str">
        <f>G4936</f>
        <v>Haggar et al. 2011_Nicaragua ILSS</v>
      </c>
      <c r="F4936" s="160"/>
      <c r="G4936" s="60" t="s">
        <v>4777</v>
      </c>
      <c r="H4936" s="58">
        <v>2011</v>
      </c>
      <c r="I4936" s="58">
        <v>2003</v>
      </c>
      <c r="J4936" s="243" t="s">
        <v>2688</v>
      </c>
      <c r="K4936" s="63" t="s">
        <v>5105</v>
      </c>
      <c r="L4936" s="58" t="s">
        <v>5332</v>
      </c>
      <c r="M4936" s="94">
        <v>11.92</v>
      </c>
      <c r="N4936" s="94">
        <v>-86.15</v>
      </c>
      <c r="O4936" s="94">
        <v>428</v>
      </c>
      <c r="P4936" s="58"/>
      <c r="Q4936" s="244">
        <v>24.3</v>
      </c>
      <c r="R4936" s="58"/>
      <c r="S4936" s="245">
        <v>1470</v>
      </c>
      <c r="T4936" s="58"/>
      <c r="U4936" s="58" t="s">
        <v>1688</v>
      </c>
      <c r="V4936" s="244">
        <v>5</v>
      </c>
      <c r="W4936" s="174"/>
      <c r="X4936" s="174"/>
      <c r="Y4936" s="58" t="s">
        <v>5445</v>
      </c>
      <c r="Z4936" s="244" t="s">
        <v>1355</v>
      </c>
      <c r="AA4936" s="245">
        <v>10</v>
      </c>
      <c r="AB4936" s="67"/>
      <c r="AC4936" s="67"/>
      <c r="AD4936" s="94"/>
      <c r="AE4936" s="94"/>
      <c r="AF4936" s="94"/>
      <c r="AG4936" s="245"/>
      <c r="AH4936" s="58"/>
      <c r="AI4936" s="169"/>
      <c r="AJ4936" s="94"/>
      <c r="AK4936" s="94"/>
      <c r="AL4936" s="58"/>
      <c r="AM4936" s="58"/>
      <c r="AN4936" s="186" t="s">
        <v>5446</v>
      </c>
      <c r="AO4936" s="185" t="s">
        <v>5150</v>
      </c>
      <c r="AP4936" s="58"/>
      <c r="AQ4936" s="58" t="s">
        <v>1603</v>
      </c>
      <c r="AR4936" s="58" t="s">
        <v>5447</v>
      </c>
      <c r="AS4936" s="246" t="s">
        <v>3471</v>
      </c>
      <c r="AT4936" s="247">
        <v>0</v>
      </c>
      <c r="AU4936" s="181" t="s">
        <v>7494</v>
      </c>
      <c r="AV4936" s="185" t="s">
        <v>176</v>
      </c>
      <c r="AW4936" s="244">
        <v>0</v>
      </c>
      <c r="AX4936" s="185" t="s">
        <v>176</v>
      </c>
      <c r="AY4936" s="244" t="s">
        <v>176</v>
      </c>
      <c r="AZ4936" s="58"/>
      <c r="BA4936" s="58"/>
      <c r="BB4936" s="58"/>
      <c r="BC4936" s="58"/>
      <c r="BD4936" s="58"/>
      <c r="BE4936" s="236" t="s">
        <v>5186</v>
      </c>
      <c r="BF4936" s="191" t="s">
        <v>479</v>
      </c>
      <c r="BG4936" s="191" t="s">
        <v>479</v>
      </c>
      <c r="BH4936" s="236" t="s">
        <v>5252</v>
      </c>
      <c r="BI4936" s="191" t="s">
        <v>479</v>
      </c>
      <c r="BJ4936" s="58" t="str">
        <f>IF(BE4936=BH4936,"No","yes")</f>
        <v>yes</v>
      </c>
      <c r="BK4936" s="58" t="s">
        <v>6334</v>
      </c>
      <c r="BL4936" s="58"/>
      <c r="BM4936" s="237"/>
      <c r="BN4936" s="244">
        <v>3</v>
      </c>
      <c r="BO4936" s="244">
        <v>3</v>
      </c>
      <c r="BP4936" s="58"/>
      <c r="BQ4936" s="58"/>
      <c r="BR4936" s="58"/>
      <c r="BS4936" s="58"/>
      <c r="BT4936" s="58"/>
      <c r="BU4936" s="58"/>
      <c r="BV4936" s="58"/>
      <c r="BW4936" s="67"/>
      <c r="BX4936" s="67"/>
      <c r="BY4936" s="67"/>
      <c r="BZ4936" s="67"/>
      <c r="CA4936" s="67"/>
      <c r="CB4936" s="70"/>
      <c r="CC4936" s="70"/>
      <c r="CD4936" s="70"/>
      <c r="CE4936" s="67"/>
      <c r="CF4936" s="67"/>
      <c r="CG4936" s="67"/>
      <c r="CH4936" s="245"/>
      <c r="CI4936" s="245"/>
      <c r="CJ4936" s="67"/>
      <c r="CK4936" s="67"/>
      <c r="CL4936" s="67"/>
      <c r="CM4936" s="242">
        <v>5.8372093023255811</v>
      </c>
      <c r="CN4936" s="242">
        <v>6.3720930232558146</v>
      </c>
      <c r="CO4936" s="242">
        <v>0.58372093023255811</v>
      </c>
      <c r="CP4936" s="242">
        <v>0.63720930232558148</v>
      </c>
      <c r="CQ4936" s="242" t="s">
        <v>164</v>
      </c>
      <c r="CR4936" s="242">
        <v>60.803503825989601</v>
      </c>
      <c r="CS4936" s="242">
        <v>64.227870723595231</v>
      </c>
      <c r="CT4936" s="242">
        <v>6.0803503825989607</v>
      </c>
      <c r="CU4936" s="242">
        <v>6.4227870723595233</v>
      </c>
      <c r="CV4936" s="242" t="s">
        <v>5151</v>
      </c>
      <c r="CW4936" s="242"/>
      <c r="CX4936" s="242"/>
      <c r="CY4936" s="242"/>
      <c r="CZ4936" s="242"/>
      <c r="DA4936" s="67" t="s">
        <v>5443</v>
      </c>
      <c r="DB4936" s="67"/>
      <c r="DC4936" s="67"/>
      <c r="DD4936" s="67"/>
      <c r="DE4936" s="67"/>
      <c r="DF4936" s="67"/>
      <c r="DG4936" s="67"/>
      <c r="DH4936" s="67"/>
      <c r="DI4936" s="67"/>
      <c r="DJ4936" s="67"/>
      <c r="DK4936" s="67"/>
      <c r="DL4936" s="67"/>
      <c r="DM4936" s="67"/>
      <c r="DN4936" s="67"/>
      <c r="DO4936" s="67"/>
      <c r="DP4936" s="67"/>
      <c r="DQ4936" s="166"/>
      <c r="DR4936" s="166"/>
      <c r="DS4936" s="163"/>
      <c r="DT4936" s="163"/>
      <c r="DU4936" s="67"/>
      <c r="DV4936" s="67"/>
      <c r="DW4936" s="67"/>
      <c r="DX4936" s="67"/>
      <c r="DY4936" s="67"/>
      <c r="DZ4936" s="67"/>
      <c r="EA4936" s="67"/>
      <c r="EB4936" s="67"/>
      <c r="EC4936" s="67"/>
      <c r="ED4936" s="67"/>
      <c r="EE4936" s="67"/>
      <c r="EF4936" s="67"/>
      <c r="EG4936" s="67"/>
      <c r="EH4936" s="67"/>
      <c r="EI4936" s="67"/>
      <c r="EJ4936" s="67"/>
      <c r="EK4936" s="94"/>
      <c r="EL4936" s="94"/>
      <c r="EM4936" s="67"/>
      <c r="EN4936" s="67"/>
      <c r="EO4936" s="67"/>
      <c r="EP4936" s="67"/>
      <c r="EQ4936" s="67"/>
      <c r="ER4936" s="67"/>
      <c r="ES4936" s="67"/>
      <c r="ET4936" s="67"/>
      <c r="EU4936" s="67"/>
      <c r="EV4936" s="67"/>
      <c r="EW4936" s="67"/>
      <c r="EX4936" s="67"/>
      <c r="EY4936" s="67"/>
      <c r="EZ4936" s="67"/>
      <c r="FA4936" s="67"/>
      <c r="FB4936" s="67"/>
      <c r="FC4936" s="67"/>
      <c r="FD4936" s="67"/>
      <c r="FE4936" s="67"/>
      <c r="FF4936" s="67"/>
      <c r="FG4936" s="67"/>
      <c r="FH4936" s="67"/>
      <c r="FI4936" s="67"/>
      <c r="FJ4936" s="67"/>
      <c r="FK4936" s="67"/>
      <c r="FL4936" s="67"/>
      <c r="FM4936" s="67"/>
      <c r="FN4936" s="67"/>
      <c r="FO4936" s="67"/>
      <c r="FP4936" s="67"/>
      <c r="FQ4936" s="67"/>
      <c r="FR4936" s="67"/>
      <c r="FS4936" s="67"/>
      <c r="FT4936" s="67"/>
      <c r="FU4936" s="67"/>
      <c r="FV4936" s="67"/>
      <c r="FW4936" s="67"/>
      <c r="FX4936" s="67"/>
      <c r="FY4936" s="67"/>
      <c r="FZ4936" s="67"/>
      <c r="GA4936" s="67"/>
      <c r="GB4936" s="67"/>
      <c r="GC4936" s="67"/>
      <c r="GD4936" s="67"/>
      <c r="GE4936" s="67"/>
      <c r="GF4936" s="67"/>
      <c r="GG4936" s="67"/>
      <c r="GH4936" s="67"/>
      <c r="GI4936" s="67"/>
      <c r="GJ4936" s="67"/>
      <c r="GK4936" s="67"/>
      <c r="GL4936" s="67"/>
      <c r="GM4936" s="67"/>
      <c r="GN4936" s="292"/>
      <c r="GO4936" s="292"/>
      <c r="GP4936" s="292" t="s">
        <v>7494</v>
      </c>
      <c r="GQ4936" s="67"/>
      <c r="GR4936" s="67"/>
      <c r="GS4936" s="67"/>
      <c r="GT4936" s="67"/>
      <c r="GU4936" s="67"/>
      <c r="GV4936" s="67"/>
      <c r="GW4936" s="67"/>
      <c r="GX4936" s="67"/>
      <c r="GY4936" s="67"/>
      <c r="GZ4936" s="67"/>
      <c r="HA4936" s="67"/>
      <c r="HB4936" s="67"/>
      <c r="HC4936" s="67"/>
      <c r="HD4936" s="67"/>
      <c r="HE4936" s="67"/>
      <c r="HF4936" s="67"/>
      <c r="HG4936" s="67"/>
      <c r="HH4936" s="67"/>
      <c r="HI4936" s="67"/>
      <c r="HJ4936" s="67"/>
      <c r="HK4936" s="67"/>
      <c r="HL4936" s="67"/>
      <c r="HM4936" s="67"/>
      <c r="HN4936" s="67"/>
      <c r="HO4936" s="67"/>
      <c r="HP4936" s="67"/>
      <c r="HQ4936" s="67"/>
      <c r="HR4936" s="67"/>
      <c r="HS4936" s="67"/>
      <c r="HT4936" s="67"/>
      <c r="HU4936" s="67"/>
      <c r="HV4936" s="67"/>
      <c r="HW4936" s="67"/>
      <c r="HX4936" s="67"/>
      <c r="HY4936" s="67"/>
      <c r="HZ4936" s="67"/>
      <c r="IA4936" s="67"/>
      <c r="IB4936" s="67"/>
      <c r="IC4936" s="67"/>
      <c r="ID4936" s="67"/>
      <c r="IE4936" s="67"/>
      <c r="IF4936" s="67"/>
      <c r="IG4936" s="67"/>
      <c r="IH4936" s="67"/>
      <c r="II4936" s="67"/>
      <c r="IJ4936" s="67"/>
      <c r="IK4936" s="67"/>
      <c r="IL4936" s="67"/>
      <c r="IM4936" s="67"/>
      <c r="IN4936" s="67"/>
      <c r="IO4936" s="67"/>
      <c r="IP4936" s="67"/>
      <c r="IQ4936" s="67"/>
      <c r="IR4936" s="67"/>
      <c r="IS4936" s="67"/>
      <c r="IT4936" s="67"/>
      <c r="IU4936" s="67"/>
      <c r="IV4936" s="67"/>
      <c r="IW4936" s="67"/>
      <c r="IX4936" s="67"/>
      <c r="IY4936" s="67"/>
      <c r="IZ4936" s="67"/>
      <c r="JA4936" s="67"/>
      <c r="JB4936" s="67"/>
      <c r="JC4936" s="67"/>
      <c r="JD4936" s="67"/>
      <c r="JE4936" s="67"/>
      <c r="JF4936" s="67"/>
      <c r="JG4936" s="67"/>
      <c r="JH4936" s="67"/>
      <c r="JI4936" s="67"/>
      <c r="JJ4936" s="67"/>
      <c r="JK4936" s="67"/>
      <c r="JL4936" s="67"/>
      <c r="JM4936" s="67"/>
      <c r="JN4936" s="67"/>
      <c r="JO4936" s="67"/>
      <c r="JP4936" s="67"/>
      <c r="JQ4936" s="67"/>
      <c r="JR4936" s="67"/>
      <c r="JS4936" s="67"/>
      <c r="JT4936" s="67"/>
      <c r="JU4936" s="58"/>
      <c r="JV4936" s="58"/>
      <c r="JW4936" s="58"/>
    </row>
    <row r="4937" spans="1:283" s="23" customFormat="1" x14ac:dyDescent="0.25">
      <c r="A4937" s="55">
        <v>4936</v>
      </c>
      <c r="B4937" s="12" t="s">
        <v>7067</v>
      </c>
      <c r="C4937" s="156">
        <v>237</v>
      </c>
      <c r="D4937" s="58" t="s">
        <v>4953</v>
      </c>
      <c r="E4937" s="160" t="str">
        <f>G4937</f>
        <v>Haggar et al. 2011_Nicaragua SGTR</v>
      </c>
      <c r="F4937" s="160"/>
      <c r="G4937" s="60" t="s">
        <v>4776</v>
      </c>
      <c r="H4937" s="58">
        <v>2011</v>
      </c>
      <c r="I4937" s="58">
        <v>2003</v>
      </c>
      <c r="J4937" s="243" t="s">
        <v>2688</v>
      </c>
      <c r="K4937" s="63" t="s">
        <v>5105</v>
      </c>
      <c r="L4937" s="58" t="s">
        <v>5332</v>
      </c>
      <c r="M4937" s="94">
        <v>11.92</v>
      </c>
      <c r="N4937" s="94">
        <v>-86.15</v>
      </c>
      <c r="O4937" s="94">
        <v>428</v>
      </c>
      <c r="P4937" s="58"/>
      <c r="Q4937" s="244">
        <v>24.3</v>
      </c>
      <c r="R4937" s="58"/>
      <c r="S4937" s="245">
        <v>1470</v>
      </c>
      <c r="T4937" s="58"/>
      <c r="U4937" s="58" t="s">
        <v>1688</v>
      </c>
      <c r="V4937" s="244">
        <v>5</v>
      </c>
      <c r="W4937" s="174"/>
      <c r="X4937" s="174"/>
      <c r="Y4937" s="58" t="s">
        <v>5445</v>
      </c>
      <c r="Z4937" s="244" t="s">
        <v>1355</v>
      </c>
      <c r="AA4937" s="245">
        <v>10</v>
      </c>
      <c r="AB4937" s="67"/>
      <c r="AC4937" s="67"/>
      <c r="AD4937" s="94"/>
      <c r="AE4937" s="94"/>
      <c r="AF4937" s="94"/>
      <c r="AG4937" s="245"/>
      <c r="AH4937" s="58"/>
      <c r="AI4937" s="169"/>
      <c r="AJ4937" s="94"/>
      <c r="AK4937" s="94"/>
      <c r="AL4937" s="58"/>
      <c r="AM4937" s="58"/>
      <c r="AN4937" s="186" t="s">
        <v>5446</v>
      </c>
      <c r="AO4937" s="185" t="s">
        <v>5150</v>
      </c>
      <c r="AP4937" s="58"/>
      <c r="AQ4937" s="58" t="s">
        <v>1603</v>
      </c>
      <c r="AR4937" s="58" t="s">
        <v>5447</v>
      </c>
      <c r="AS4937" s="246" t="s">
        <v>3471</v>
      </c>
      <c r="AT4937" s="247">
        <v>0</v>
      </c>
      <c r="AU4937" s="181" t="s">
        <v>7494</v>
      </c>
      <c r="AV4937" s="185" t="s">
        <v>176</v>
      </c>
      <c r="AW4937" s="244">
        <v>0</v>
      </c>
      <c r="AX4937" s="185" t="s">
        <v>176</v>
      </c>
      <c r="AY4937" s="244" t="s">
        <v>176</v>
      </c>
      <c r="AZ4937" s="58"/>
      <c r="BA4937" s="58"/>
      <c r="BB4937" s="58"/>
      <c r="BC4937" s="58"/>
      <c r="BD4937" s="58"/>
      <c r="BE4937" s="236" t="s">
        <v>5186</v>
      </c>
      <c r="BF4937" s="191" t="s">
        <v>479</v>
      </c>
      <c r="BG4937" s="191" t="s">
        <v>479</v>
      </c>
      <c r="BH4937" s="236" t="s">
        <v>5252</v>
      </c>
      <c r="BI4937" s="191" t="s">
        <v>479</v>
      </c>
      <c r="BJ4937" s="58" t="str">
        <f>IF(BE4937=BH4937,"No","yes")</f>
        <v>yes</v>
      </c>
      <c r="BK4937" s="58" t="s">
        <v>6334</v>
      </c>
      <c r="BL4937" s="58"/>
      <c r="BM4937" s="237"/>
      <c r="BN4937" s="244">
        <v>3</v>
      </c>
      <c r="BO4937" s="244">
        <v>3</v>
      </c>
      <c r="BP4937" s="58"/>
      <c r="BQ4937" s="58"/>
      <c r="BR4937" s="58"/>
      <c r="BS4937" s="58"/>
      <c r="BT4937" s="58"/>
      <c r="BU4937" s="58"/>
      <c r="BV4937" s="58"/>
      <c r="BW4937" s="67"/>
      <c r="BX4937" s="67"/>
      <c r="BY4937" s="67"/>
      <c r="BZ4937" s="67"/>
      <c r="CA4937" s="67"/>
      <c r="CB4937" s="70"/>
      <c r="CC4937" s="70"/>
      <c r="CD4937" s="70"/>
      <c r="CE4937" s="67"/>
      <c r="CF4937" s="67"/>
      <c r="CG4937" s="67"/>
      <c r="CH4937" s="245"/>
      <c r="CI4937" s="245"/>
      <c r="CJ4937" s="67"/>
      <c r="CK4937" s="67"/>
      <c r="CL4937" s="67"/>
      <c r="CM4937" s="242">
        <v>6.8604651162790704</v>
      </c>
      <c r="CN4937" s="242">
        <v>6.1744186046511622</v>
      </c>
      <c r="CO4937" s="242">
        <v>0.68604651162790709</v>
      </c>
      <c r="CP4937" s="242">
        <v>0.61744186046511629</v>
      </c>
      <c r="CQ4937" s="242" t="s">
        <v>164</v>
      </c>
      <c r="CR4937" s="242">
        <v>67.16651956631874</v>
      </c>
      <c r="CS4937" s="242">
        <v>62.98846640751249</v>
      </c>
      <c r="CT4937" s="242">
        <v>6.7166519566318748</v>
      </c>
      <c r="CU4937" s="242">
        <v>6.2988466407512496</v>
      </c>
      <c r="CV4937" s="242" t="s">
        <v>5151</v>
      </c>
      <c r="CW4937" s="242"/>
      <c r="CX4937" s="242"/>
      <c r="CY4937" s="242"/>
      <c r="CZ4937" s="242"/>
      <c r="DA4937" s="67" t="s">
        <v>5443</v>
      </c>
      <c r="DB4937" s="67"/>
      <c r="DC4937" s="67"/>
      <c r="DD4937" s="67"/>
      <c r="DE4937" s="67"/>
      <c r="DF4937" s="67"/>
      <c r="DG4937" s="67"/>
      <c r="DH4937" s="67"/>
      <c r="DI4937" s="67"/>
      <c r="DJ4937" s="67"/>
      <c r="DK4937" s="67"/>
      <c r="DL4937" s="67"/>
      <c r="DM4937" s="67"/>
      <c r="DN4937" s="67"/>
      <c r="DO4937" s="67"/>
      <c r="DP4937" s="67"/>
      <c r="DQ4937" s="166"/>
      <c r="DR4937" s="166"/>
      <c r="DS4937" s="163"/>
      <c r="DT4937" s="163"/>
      <c r="DU4937" s="67"/>
      <c r="DV4937" s="67"/>
      <c r="DW4937" s="67"/>
      <c r="DX4937" s="67"/>
      <c r="DY4937" s="67"/>
      <c r="DZ4937" s="67"/>
      <c r="EA4937" s="67"/>
      <c r="EB4937" s="67"/>
      <c r="EC4937" s="67"/>
      <c r="ED4937" s="67"/>
      <c r="EE4937" s="67"/>
      <c r="EF4937" s="67"/>
      <c r="EG4937" s="67"/>
      <c r="EH4937" s="67"/>
      <c r="EI4937" s="67"/>
      <c r="EJ4937" s="67"/>
      <c r="EK4937" s="94"/>
      <c r="EL4937" s="94"/>
      <c r="EM4937" s="67"/>
      <c r="EN4937" s="67"/>
      <c r="EO4937" s="67"/>
      <c r="EP4937" s="67"/>
      <c r="EQ4937" s="67"/>
      <c r="ER4937" s="67"/>
      <c r="ES4937" s="67"/>
      <c r="ET4937" s="67"/>
      <c r="EU4937" s="67"/>
      <c r="EV4937" s="67"/>
      <c r="EW4937" s="67"/>
      <c r="EX4937" s="67"/>
      <c r="EY4937" s="67"/>
      <c r="EZ4937" s="67"/>
      <c r="FA4937" s="67"/>
      <c r="FB4937" s="67"/>
      <c r="FC4937" s="67"/>
      <c r="FD4937" s="67"/>
      <c r="FE4937" s="67"/>
      <c r="FF4937" s="67"/>
      <c r="FG4937" s="67"/>
      <c r="FH4937" s="67"/>
      <c r="FI4937" s="67"/>
      <c r="FJ4937" s="67"/>
      <c r="FK4937" s="67"/>
      <c r="FL4937" s="67"/>
      <c r="FM4937" s="67"/>
      <c r="FN4937" s="67"/>
      <c r="FO4937" s="67"/>
      <c r="FP4937" s="67"/>
      <c r="FQ4937" s="67"/>
      <c r="FR4937" s="67"/>
      <c r="FS4937" s="67"/>
      <c r="FT4937" s="67"/>
      <c r="FU4937" s="67"/>
      <c r="FV4937" s="67"/>
      <c r="FW4937" s="67"/>
      <c r="FX4937" s="67"/>
      <c r="FY4937" s="67"/>
      <c r="FZ4937" s="67"/>
      <c r="GA4937" s="67"/>
      <c r="GB4937" s="67"/>
      <c r="GC4937" s="67"/>
      <c r="GD4937" s="67"/>
      <c r="GE4937" s="67"/>
      <c r="GF4937" s="67"/>
      <c r="GG4937" s="67"/>
      <c r="GH4937" s="67"/>
      <c r="GI4937" s="67"/>
      <c r="GJ4937" s="67"/>
      <c r="GK4937" s="67"/>
      <c r="GL4937" s="67"/>
      <c r="GM4937" s="67"/>
      <c r="GN4937" s="292"/>
      <c r="GO4937" s="292"/>
      <c r="GP4937" s="292" t="s">
        <v>7494</v>
      </c>
      <c r="GQ4937" s="67"/>
      <c r="GR4937" s="67"/>
      <c r="GS4937" s="67"/>
      <c r="GT4937" s="67"/>
      <c r="GU4937" s="67"/>
      <c r="GV4937" s="67"/>
      <c r="GW4937" s="67"/>
      <c r="GX4937" s="67"/>
      <c r="GY4937" s="67"/>
      <c r="GZ4937" s="67"/>
      <c r="HA4937" s="67"/>
      <c r="HB4937" s="67"/>
      <c r="HC4937" s="67"/>
      <c r="HD4937" s="67"/>
      <c r="HE4937" s="67"/>
      <c r="HF4937" s="67"/>
      <c r="HG4937" s="67"/>
      <c r="HH4937" s="67"/>
      <c r="HI4937" s="67"/>
      <c r="HJ4937" s="67"/>
      <c r="HK4937" s="67"/>
      <c r="HL4937" s="67"/>
      <c r="HM4937" s="67"/>
      <c r="HN4937" s="67"/>
      <c r="HO4937" s="67"/>
      <c r="HP4937" s="67"/>
      <c r="HQ4937" s="67"/>
      <c r="HR4937" s="67"/>
      <c r="HS4937" s="67"/>
      <c r="HT4937" s="67"/>
      <c r="HU4937" s="67"/>
      <c r="HV4937" s="67"/>
      <c r="HW4937" s="67"/>
      <c r="HX4937" s="67"/>
      <c r="HY4937" s="67"/>
      <c r="HZ4937" s="67"/>
      <c r="IA4937" s="67"/>
      <c r="IB4937" s="67"/>
      <c r="IC4937" s="67"/>
      <c r="ID4937" s="67"/>
      <c r="IE4937" s="67"/>
      <c r="IF4937" s="67"/>
      <c r="IG4937" s="67"/>
      <c r="IH4937" s="67"/>
      <c r="II4937" s="67"/>
      <c r="IJ4937" s="67"/>
      <c r="IK4937" s="67"/>
      <c r="IL4937" s="67"/>
      <c r="IM4937" s="67"/>
      <c r="IN4937" s="67"/>
      <c r="IO4937" s="67"/>
      <c r="IP4937" s="67"/>
      <c r="IQ4937" s="67"/>
      <c r="IR4937" s="67"/>
      <c r="IS4937" s="67"/>
      <c r="IT4937" s="67"/>
      <c r="IU4937" s="67"/>
      <c r="IV4937" s="67"/>
      <c r="IW4937" s="67"/>
      <c r="IX4937" s="67"/>
      <c r="IY4937" s="67"/>
      <c r="IZ4937" s="67"/>
      <c r="JA4937" s="67"/>
      <c r="JB4937" s="67"/>
      <c r="JC4937" s="67"/>
      <c r="JD4937" s="67"/>
      <c r="JE4937" s="67"/>
      <c r="JF4937" s="67"/>
      <c r="JG4937" s="67"/>
      <c r="JH4937" s="67"/>
      <c r="JI4937" s="67"/>
      <c r="JJ4937" s="67"/>
      <c r="JK4937" s="67"/>
      <c r="JL4937" s="67"/>
      <c r="JM4937" s="67"/>
      <c r="JN4937" s="67"/>
      <c r="JO4937" s="67"/>
      <c r="JP4937" s="67"/>
      <c r="JQ4937" s="67"/>
      <c r="JR4937" s="67"/>
      <c r="JS4937" s="67"/>
      <c r="JT4937" s="67"/>
      <c r="JU4937" s="58"/>
      <c r="JV4937" s="58"/>
      <c r="JW4937" s="58"/>
    </row>
    <row r="4938" spans="1:283" s="23" customFormat="1" x14ac:dyDescent="0.25">
      <c r="A4938" s="55">
        <v>4937</v>
      </c>
      <c r="B4938" s="12" t="s">
        <v>7067</v>
      </c>
      <c r="C4938" s="156">
        <v>238</v>
      </c>
      <c r="D4938" s="58" t="s">
        <v>4954</v>
      </c>
      <c r="E4938" s="160" t="str">
        <f>G4938</f>
        <v>Heitkamp et al. 2009_high fert.</v>
      </c>
      <c r="F4938" s="160"/>
      <c r="G4938" s="60" t="s">
        <v>4775</v>
      </c>
      <c r="H4938" s="58">
        <v>2009</v>
      </c>
      <c r="I4938" s="58">
        <v>2006</v>
      </c>
      <c r="J4938" s="243" t="s">
        <v>2853</v>
      </c>
      <c r="K4938" s="63" t="s">
        <v>5104</v>
      </c>
      <c r="L4938" s="58" t="s">
        <v>1077</v>
      </c>
      <c r="M4938" s="94">
        <f>49+50/60</f>
        <v>49.833333333333336</v>
      </c>
      <c r="N4938" s="94">
        <f>8+34/60</f>
        <v>8.5666666666666664</v>
      </c>
      <c r="O4938" s="94">
        <v>100</v>
      </c>
      <c r="P4938" s="58"/>
      <c r="Q4938" s="244">
        <v>9.5</v>
      </c>
      <c r="R4938" s="58"/>
      <c r="S4938" s="245">
        <v>590</v>
      </c>
      <c r="T4938" s="58"/>
      <c r="U4938" s="244">
        <v>26</v>
      </c>
      <c r="V4938" s="244">
        <v>26</v>
      </c>
      <c r="W4938" s="174"/>
      <c r="X4938" s="174"/>
      <c r="Y4938" s="58" t="s">
        <v>5449</v>
      </c>
      <c r="Z4938" s="244" t="s">
        <v>1367</v>
      </c>
      <c r="AA4938" s="245">
        <v>25</v>
      </c>
      <c r="AB4938" s="67"/>
      <c r="AC4938" s="67"/>
      <c r="AD4938" s="94">
        <v>1.35</v>
      </c>
      <c r="AE4938" s="94">
        <v>86.5</v>
      </c>
      <c r="AF4938" s="94">
        <v>9</v>
      </c>
      <c r="AG4938" s="245">
        <v>4.5999999999999996</v>
      </c>
      <c r="AH4938" s="55" t="s">
        <v>201</v>
      </c>
      <c r="AI4938" s="169">
        <v>6</v>
      </c>
      <c r="AJ4938" s="94">
        <f>(24.2)/(100*100*0.25*AD4938)*100</f>
        <v>0.71703703703703703</v>
      </c>
      <c r="AK4938" s="94"/>
      <c r="AL4938" s="58"/>
      <c r="AM4938" s="58"/>
      <c r="AN4938" s="186" t="s">
        <v>5448</v>
      </c>
      <c r="AO4938" s="185" t="s">
        <v>5150</v>
      </c>
      <c r="AP4938" s="58"/>
      <c r="AQ4938" s="58" t="s">
        <v>3136</v>
      </c>
      <c r="AR4938" s="58"/>
      <c r="AS4938" s="246" t="s">
        <v>5133</v>
      </c>
      <c r="AT4938" s="247">
        <v>1</v>
      </c>
      <c r="AU4938" s="181" t="s">
        <v>7494</v>
      </c>
      <c r="AV4938" s="185" t="s">
        <v>176</v>
      </c>
      <c r="AW4938" s="244">
        <v>1</v>
      </c>
      <c r="AX4938" s="185" t="s">
        <v>176</v>
      </c>
      <c r="AY4938" s="244" t="s">
        <v>176</v>
      </c>
      <c r="AZ4938" s="58"/>
      <c r="BA4938" s="58"/>
      <c r="BB4938" s="58"/>
      <c r="BC4938" s="58"/>
      <c r="BD4938" s="58"/>
      <c r="BE4938" s="236" t="s">
        <v>5187</v>
      </c>
      <c r="BF4938" s="191" t="s">
        <v>479</v>
      </c>
      <c r="BG4938" s="191" t="s">
        <v>479</v>
      </c>
      <c r="BH4938" s="236" t="s">
        <v>5253</v>
      </c>
      <c r="BI4938" s="191" t="s">
        <v>479</v>
      </c>
      <c r="BJ4938" s="58" t="str">
        <f>IF(BE4938=BH4938,"No","yes")</f>
        <v>yes</v>
      </c>
      <c r="BK4938" s="58" t="s">
        <v>6334</v>
      </c>
      <c r="BL4938" s="58"/>
      <c r="BM4938" s="237"/>
      <c r="BN4938" s="244">
        <v>4</v>
      </c>
      <c r="BO4938" s="244">
        <v>4</v>
      </c>
      <c r="BP4938" s="58"/>
      <c r="BQ4938" s="58"/>
      <c r="BR4938" s="58"/>
      <c r="BS4938" s="58"/>
      <c r="BT4938" s="58"/>
      <c r="BU4938" s="58"/>
      <c r="BV4938" s="58"/>
      <c r="BW4938" s="67"/>
      <c r="BX4938" s="67"/>
      <c r="BY4938" s="67"/>
      <c r="BZ4938" s="67"/>
      <c r="CA4938" s="67"/>
      <c r="CB4938" s="70">
        <v>4100</v>
      </c>
      <c r="CC4938" s="70">
        <v>3400</v>
      </c>
      <c r="CD4938" s="70"/>
      <c r="CE4938" s="67">
        <v>400</v>
      </c>
      <c r="CF4938" s="67">
        <v>400</v>
      </c>
      <c r="CG4938" s="67" t="s">
        <v>2053</v>
      </c>
      <c r="CH4938" s="245">
        <v>1.35</v>
      </c>
      <c r="CI4938" s="245">
        <v>1.38</v>
      </c>
      <c r="CJ4938" s="67"/>
      <c r="CK4938" s="67"/>
      <c r="CL4938" s="67"/>
      <c r="CM4938" s="242">
        <v>0.71703703703703692</v>
      </c>
      <c r="CN4938" s="242">
        <v>0.81449275362318863</v>
      </c>
      <c r="CO4938" s="242">
        <v>7.1703703703703695E-3</v>
      </c>
      <c r="CP4938" s="242">
        <v>1.6289855072463773E-2</v>
      </c>
      <c r="CQ4938" s="242" t="s">
        <v>164</v>
      </c>
      <c r="CR4938" s="242">
        <v>24.2</v>
      </c>
      <c r="CS4938" s="242">
        <v>28.1</v>
      </c>
      <c r="CT4938" s="242">
        <v>0.25</v>
      </c>
      <c r="CU4938" s="242">
        <v>0.45</v>
      </c>
      <c r="CV4938" s="242" t="s">
        <v>5151</v>
      </c>
      <c r="CW4938" s="242">
        <v>-264.00000000000006</v>
      </c>
      <c r="CX4938" s="242">
        <v>-67.999999999999972</v>
      </c>
      <c r="CY4938" s="242">
        <v>-26.400000000000006</v>
      </c>
      <c r="CZ4938" s="242">
        <v>-6.7999999999999972</v>
      </c>
      <c r="DA4938" s="67" t="s">
        <v>5443</v>
      </c>
      <c r="DB4938" s="67">
        <f>(2.3*1000*1000*1000)/(100*100*CH4938*0.25*1000)</f>
        <v>681.48148148148152</v>
      </c>
      <c r="DC4938" s="67">
        <f>(2.3*1000*1000*1000)/(100*100*CI4938*0.25*1000)</f>
        <v>666.66666666666674</v>
      </c>
      <c r="DD4938" s="67">
        <f>(0.2*1000*1000*1000)/(100*100*CH4938*0.25*1000)</f>
        <v>59.25925925925926</v>
      </c>
      <c r="DE4938" s="67">
        <f>(0.2*1000*1000*1000)/(100*100*CI4938*0.25*1000)</f>
        <v>57.971014492753632</v>
      </c>
      <c r="DF4938" s="67" t="s">
        <v>5450</v>
      </c>
      <c r="DG4938" s="67"/>
      <c r="DH4938" s="67"/>
      <c r="DI4938" s="67"/>
      <c r="DJ4938" s="67"/>
      <c r="DK4938" s="67"/>
      <c r="DL4938" s="67"/>
      <c r="DM4938" s="67"/>
      <c r="DN4938" s="67"/>
      <c r="DO4938" s="67"/>
      <c r="DP4938" s="67"/>
      <c r="DQ4938" s="166"/>
      <c r="DR4938" s="166"/>
      <c r="DS4938" s="163"/>
      <c r="DT4938" s="163"/>
      <c r="DU4938" s="67"/>
      <c r="DV4938" s="67"/>
      <c r="DW4938" s="67"/>
      <c r="DX4938" s="67"/>
      <c r="DY4938" s="67"/>
      <c r="DZ4938" s="67"/>
      <c r="EA4938" s="67"/>
      <c r="EB4938" s="67"/>
      <c r="EC4938" s="67"/>
      <c r="ED4938" s="67"/>
      <c r="EE4938" s="67"/>
      <c r="EF4938" s="67"/>
      <c r="EG4938" s="67"/>
      <c r="EH4938" s="67"/>
      <c r="EI4938" s="67"/>
      <c r="EJ4938" s="67"/>
      <c r="EK4938" s="94"/>
      <c r="EL4938" s="94"/>
      <c r="EM4938" s="67"/>
      <c r="EN4938" s="67"/>
      <c r="EO4938" s="67"/>
      <c r="EP4938" s="67"/>
      <c r="EQ4938" s="67"/>
      <c r="ER4938" s="67"/>
      <c r="ES4938" s="67"/>
      <c r="ET4938" s="67"/>
      <c r="EU4938" s="67"/>
      <c r="EV4938" s="67"/>
      <c r="EW4938" s="67"/>
      <c r="EX4938" s="67"/>
      <c r="EY4938" s="67"/>
      <c r="EZ4938" s="67"/>
      <c r="FA4938" s="67"/>
      <c r="FB4938" s="67"/>
      <c r="FC4938" s="67"/>
      <c r="FD4938" s="67"/>
      <c r="FE4938" s="67"/>
      <c r="FF4938" s="67"/>
      <c r="FG4938" s="67"/>
      <c r="FH4938" s="67"/>
      <c r="FI4938" s="67"/>
      <c r="FJ4938" s="67"/>
      <c r="FK4938" s="67"/>
      <c r="FL4938" s="67"/>
      <c r="FM4938" s="67"/>
      <c r="FN4938" s="67"/>
      <c r="FO4938" s="67"/>
      <c r="FP4938" s="67"/>
      <c r="FQ4938" s="67"/>
      <c r="FR4938" s="67"/>
      <c r="FS4938" s="67"/>
      <c r="FT4938" s="67"/>
      <c r="FU4938" s="67"/>
      <c r="FV4938" s="67"/>
      <c r="FW4938" s="67"/>
      <c r="FX4938" s="67"/>
      <c r="FY4938" s="67"/>
      <c r="FZ4938" s="67"/>
      <c r="GA4938" s="67"/>
      <c r="GB4938" s="67"/>
      <c r="GC4938" s="67"/>
      <c r="GD4938" s="67"/>
      <c r="GE4938" s="67"/>
      <c r="GF4938" s="67"/>
      <c r="GG4938" s="67"/>
      <c r="GH4938" s="67"/>
      <c r="GI4938" s="67"/>
      <c r="GJ4938" s="67"/>
      <c r="GK4938" s="67"/>
      <c r="GL4938" s="67"/>
      <c r="GM4938" s="67"/>
      <c r="GN4938" s="292"/>
      <c r="GO4938" s="292"/>
      <c r="GP4938" s="292" t="s">
        <v>7494</v>
      </c>
      <c r="GQ4938" s="67"/>
      <c r="GR4938" s="67"/>
      <c r="GS4938" s="67"/>
      <c r="GT4938" s="67"/>
      <c r="GU4938" s="67"/>
      <c r="GV4938" s="67"/>
      <c r="GW4938" s="67"/>
      <c r="GX4938" s="67"/>
      <c r="GY4938" s="67"/>
      <c r="GZ4938" s="67"/>
      <c r="HA4938" s="67"/>
      <c r="HB4938" s="67"/>
      <c r="HC4938" s="67"/>
      <c r="HD4938" s="67"/>
      <c r="HE4938" s="67"/>
      <c r="HF4938" s="67"/>
      <c r="HG4938" s="67"/>
      <c r="HH4938" s="67"/>
      <c r="HI4938" s="67"/>
      <c r="HJ4938" s="67"/>
      <c r="HK4938" s="67"/>
      <c r="HL4938" s="67"/>
      <c r="HM4938" s="67"/>
      <c r="HN4938" s="67"/>
      <c r="HO4938" s="67"/>
      <c r="HP4938" s="67"/>
      <c r="HQ4938" s="67"/>
      <c r="HR4938" s="67"/>
      <c r="HS4938" s="67"/>
      <c r="HT4938" s="67"/>
      <c r="HU4938" s="67"/>
      <c r="HV4938" s="67"/>
      <c r="HW4938" s="67"/>
      <c r="HX4938" s="67">
        <v>308</v>
      </c>
      <c r="HY4938" s="67">
        <v>520</v>
      </c>
      <c r="HZ4938" s="67">
        <f>27*2</f>
        <v>54</v>
      </c>
      <c r="IA4938" s="67">
        <v>66</v>
      </c>
      <c r="IB4938" s="67" t="s">
        <v>2053</v>
      </c>
      <c r="IC4938" s="67">
        <v>42</v>
      </c>
      <c r="ID4938" s="67">
        <v>68</v>
      </c>
      <c r="IE4938" s="67">
        <v>20</v>
      </c>
      <c r="IF4938" s="67">
        <v>20</v>
      </c>
      <c r="IG4938" s="67" t="s">
        <v>2053</v>
      </c>
      <c r="IH4938" s="67"/>
      <c r="II4938" s="67"/>
      <c r="IJ4938" s="67"/>
      <c r="IK4938" s="67"/>
      <c r="IL4938" s="67"/>
      <c r="IM4938" s="67"/>
      <c r="IN4938" s="67"/>
      <c r="IO4938" s="67"/>
      <c r="IP4938" s="67"/>
      <c r="IQ4938" s="67"/>
      <c r="IR4938" s="67"/>
      <c r="IS4938" s="67"/>
      <c r="IT4938" s="67"/>
      <c r="IU4938" s="67"/>
      <c r="IV4938" s="67"/>
      <c r="IW4938" s="67"/>
      <c r="IX4938" s="67"/>
      <c r="IY4938" s="67"/>
      <c r="IZ4938" s="67"/>
      <c r="JA4938" s="67"/>
      <c r="JB4938" s="67"/>
      <c r="JC4938" s="67"/>
      <c r="JD4938" s="67"/>
      <c r="JE4938" s="67"/>
      <c r="JF4938" s="67"/>
      <c r="JG4938" s="67"/>
      <c r="JH4938" s="67"/>
      <c r="JI4938" s="67"/>
      <c r="JJ4938" s="67"/>
      <c r="JK4938" s="67"/>
      <c r="JL4938" s="67"/>
      <c r="JM4938" s="67"/>
      <c r="JN4938" s="67"/>
      <c r="JO4938" s="67"/>
      <c r="JP4938" s="67"/>
      <c r="JQ4938" s="67"/>
      <c r="JR4938" s="67"/>
      <c r="JS4938" s="67"/>
      <c r="JT4938" s="67">
        <v>99999</v>
      </c>
      <c r="JU4938" s="58"/>
      <c r="JV4938" s="58"/>
      <c r="JW4938" s="58"/>
    </row>
    <row r="4939" spans="1:283" s="23" customFormat="1" x14ac:dyDescent="0.25">
      <c r="A4939" s="55">
        <v>4938</v>
      </c>
      <c r="B4939" s="12" t="s">
        <v>7067</v>
      </c>
      <c r="C4939" s="156">
        <v>238</v>
      </c>
      <c r="D4939" s="58" t="s">
        <v>4956</v>
      </c>
      <c r="E4939" s="160" t="str">
        <f>G4939</f>
        <v>Heitkamp et al. 2009_medium fert.</v>
      </c>
      <c r="F4939" s="160"/>
      <c r="G4939" s="60" t="s">
        <v>4773</v>
      </c>
      <c r="H4939" s="58">
        <v>2009</v>
      </c>
      <c r="I4939" s="58">
        <v>2006</v>
      </c>
      <c r="J4939" s="243" t="s">
        <v>2853</v>
      </c>
      <c r="K4939" s="63" t="s">
        <v>5104</v>
      </c>
      <c r="L4939" s="58" t="s">
        <v>1077</v>
      </c>
      <c r="M4939" s="94">
        <f>49+50/60</f>
        <v>49.833333333333336</v>
      </c>
      <c r="N4939" s="94">
        <f>8+34/60</f>
        <v>8.5666666666666664</v>
      </c>
      <c r="O4939" s="94">
        <v>102</v>
      </c>
      <c r="P4939" s="58"/>
      <c r="Q4939" s="244">
        <v>9.5</v>
      </c>
      <c r="R4939" s="58"/>
      <c r="S4939" s="245">
        <v>590</v>
      </c>
      <c r="T4939" s="58"/>
      <c r="U4939" s="244">
        <v>26</v>
      </c>
      <c r="V4939" s="244">
        <v>26</v>
      </c>
      <c r="W4939" s="174"/>
      <c r="X4939" s="174"/>
      <c r="Y4939" s="58" t="s">
        <v>5449</v>
      </c>
      <c r="Z4939" s="244" t="s">
        <v>1367</v>
      </c>
      <c r="AA4939" s="245">
        <v>25</v>
      </c>
      <c r="AB4939" s="67"/>
      <c r="AC4939" s="67"/>
      <c r="AD4939" s="94">
        <v>1.37</v>
      </c>
      <c r="AE4939" s="94">
        <v>85.9</v>
      </c>
      <c r="AF4939" s="94">
        <v>9.1999999999999993</v>
      </c>
      <c r="AG4939" s="245">
        <v>4.9000000000000004</v>
      </c>
      <c r="AH4939" s="55" t="s">
        <v>201</v>
      </c>
      <c r="AI4939" s="169">
        <v>6.1</v>
      </c>
      <c r="AJ4939" s="94">
        <f>(24.2)/(100*100*0.25*AD4939)*100</f>
        <v>0.7065693430656933</v>
      </c>
      <c r="AK4939" s="94"/>
      <c r="AL4939" s="58"/>
      <c r="AM4939" s="58"/>
      <c r="AN4939" s="186" t="s">
        <v>5448</v>
      </c>
      <c r="AO4939" s="185" t="s">
        <v>5150</v>
      </c>
      <c r="AP4939" s="58"/>
      <c r="AQ4939" s="58" t="s">
        <v>3136</v>
      </c>
      <c r="AR4939" s="58"/>
      <c r="AS4939" s="246" t="s">
        <v>5133</v>
      </c>
      <c r="AT4939" s="247">
        <v>1</v>
      </c>
      <c r="AU4939" s="181" t="s">
        <v>7494</v>
      </c>
      <c r="AV4939" s="185" t="s">
        <v>176</v>
      </c>
      <c r="AW4939" s="244">
        <v>1</v>
      </c>
      <c r="AX4939" s="185" t="s">
        <v>176</v>
      </c>
      <c r="AY4939" s="244" t="s">
        <v>176</v>
      </c>
      <c r="AZ4939" s="58"/>
      <c r="BA4939" s="58"/>
      <c r="BB4939" s="58"/>
      <c r="BC4939" s="58"/>
      <c r="BD4939" s="58"/>
      <c r="BE4939" s="236" t="s">
        <v>5189</v>
      </c>
      <c r="BF4939" s="191" t="s">
        <v>479</v>
      </c>
      <c r="BG4939" s="191" t="s">
        <v>479</v>
      </c>
      <c r="BH4939" s="236" t="s">
        <v>5255</v>
      </c>
      <c r="BI4939" s="191" t="s">
        <v>479</v>
      </c>
      <c r="BJ4939" s="58" t="str">
        <f>IF(BE4939=BH4939,"No","yes")</f>
        <v>yes</v>
      </c>
      <c r="BK4939" s="58" t="s">
        <v>6334</v>
      </c>
      <c r="BL4939" s="58"/>
      <c r="BM4939" s="237"/>
      <c r="BN4939" s="244">
        <v>4</v>
      </c>
      <c r="BO4939" s="244">
        <v>4</v>
      </c>
      <c r="BP4939" s="58"/>
      <c r="BQ4939" s="58"/>
      <c r="BR4939" s="58"/>
      <c r="BS4939" s="58"/>
      <c r="BT4939" s="58"/>
      <c r="BU4939" s="58"/>
      <c r="BV4939" s="58"/>
      <c r="BW4939" s="67"/>
      <c r="BX4939" s="67"/>
      <c r="BY4939" s="67"/>
      <c r="BZ4939" s="67"/>
      <c r="CA4939" s="67"/>
      <c r="CB4939" s="70">
        <v>4100</v>
      </c>
      <c r="CC4939" s="70">
        <v>3200</v>
      </c>
      <c r="CD4939" s="70"/>
      <c r="CE4939" s="67">
        <v>400</v>
      </c>
      <c r="CF4939" s="67">
        <v>200</v>
      </c>
      <c r="CG4939" s="67" t="s">
        <v>2053</v>
      </c>
      <c r="CH4939" s="245">
        <v>1.37</v>
      </c>
      <c r="CI4939" s="245">
        <v>1.38</v>
      </c>
      <c r="CJ4939" s="67"/>
      <c r="CK4939" s="67"/>
      <c r="CL4939" s="67"/>
      <c r="CM4939" s="242">
        <v>0.69197080291970792</v>
      </c>
      <c r="CN4939" s="242">
        <v>0.81449275362318863</v>
      </c>
      <c r="CO4939" s="242">
        <v>1.3839416058394158E-2</v>
      </c>
      <c r="CP4939" s="242">
        <v>1.6289855072463773E-2</v>
      </c>
      <c r="CQ4939" s="242" t="s">
        <v>164</v>
      </c>
      <c r="CR4939" s="242">
        <v>23.7</v>
      </c>
      <c r="CS4939" s="242">
        <v>28.1</v>
      </c>
      <c r="CT4939" s="242">
        <v>0.45</v>
      </c>
      <c r="CU4939" s="242">
        <v>0.5</v>
      </c>
      <c r="CV4939" s="242" t="s">
        <v>5151</v>
      </c>
      <c r="CW4939" s="242">
        <v>-216.00000000000009</v>
      </c>
      <c r="CX4939" s="242">
        <v>-247.99999999999983</v>
      </c>
      <c r="CY4939" s="242">
        <v>-21.600000000000009</v>
      </c>
      <c r="CZ4939" s="242">
        <v>-24.799999999999983</v>
      </c>
      <c r="DA4939" s="67" t="s">
        <v>5443</v>
      </c>
      <c r="DB4939" s="67">
        <f>(2.3*1000*1000*1000)/(100*100*CH4939*0.25*1000)</f>
        <v>671.53284671532833</v>
      </c>
      <c r="DC4939" s="67">
        <f>(2.3*1000*1000*1000)/(100*100*CI4939*0.25*1000)</f>
        <v>666.66666666666674</v>
      </c>
      <c r="DD4939" s="67">
        <f>(0.2*1000*1000*1000)/(100*100*CH4939*0.25*1000)</f>
        <v>58.394160583941598</v>
      </c>
      <c r="DE4939" s="67">
        <f>(0.2*1000*1000*1000)/(100*100*CI4939*0.25*1000)</f>
        <v>57.971014492753632</v>
      </c>
      <c r="DF4939" s="67" t="s">
        <v>5450</v>
      </c>
      <c r="DG4939" s="67"/>
      <c r="DH4939" s="67"/>
      <c r="DI4939" s="67"/>
      <c r="DJ4939" s="67"/>
      <c r="DK4939" s="67"/>
      <c r="DL4939" s="67"/>
      <c r="DM4939" s="67"/>
      <c r="DN4939" s="67"/>
      <c r="DO4939" s="67"/>
      <c r="DP4939" s="67"/>
      <c r="DQ4939" s="166"/>
      <c r="DR4939" s="166"/>
      <c r="DS4939" s="163"/>
      <c r="DT4939" s="163"/>
      <c r="DU4939" s="67"/>
      <c r="DV4939" s="67"/>
      <c r="DW4939" s="67"/>
      <c r="DX4939" s="67"/>
      <c r="DY4939" s="67"/>
      <c r="DZ4939" s="67"/>
      <c r="EA4939" s="67"/>
      <c r="EB4939" s="67"/>
      <c r="EC4939" s="67"/>
      <c r="ED4939" s="67"/>
      <c r="EE4939" s="67"/>
      <c r="EF4939" s="67"/>
      <c r="EG4939" s="67"/>
      <c r="EH4939" s="67"/>
      <c r="EI4939" s="67"/>
      <c r="EJ4939" s="67"/>
      <c r="EK4939" s="94"/>
      <c r="EL4939" s="94"/>
      <c r="EM4939" s="67"/>
      <c r="EN4939" s="67"/>
      <c r="EO4939" s="67"/>
      <c r="EP4939" s="67"/>
      <c r="EQ4939" s="67"/>
      <c r="ER4939" s="67"/>
      <c r="ES4939" s="67"/>
      <c r="ET4939" s="67"/>
      <c r="EU4939" s="67"/>
      <c r="EV4939" s="67"/>
      <c r="EW4939" s="67"/>
      <c r="EX4939" s="67"/>
      <c r="EY4939" s="67"/>
      <c r="EZ4939" s="67"/>
      <c r="FA4939" s="67"/>
      <c r="FB4939" s="67"/>
      <c r="FC4939" s="67"/>
      <c r="FD4939" s="67"/>
      <c r="FE4939" s="67"/>
      <c r="FF4939" s="67"/>
      <c r="FG4939" s="67"/>
      <c r="FH4939" s="67"/>
      <c r="FI4939" s="67"/>
      <c r="FJ4939" s="67"/>
      <c r="FK4939" s="67"/>
      <c r="FL4939" s="67"/>
      <c r="FM4939" s="67"/>
      <c r="FN4939" s="67"/>
      <c r="FO4939" s="67"/>
      <c r="FP4939" s="67"/>
      <c r="FQ4939" s="67"/>
      <c r="FR4939" s="67"/>
      <c r="FS4939" s="67"/>
      <c r="FT4939" s="67"/>
      <c r="FU4939" s="67"/>
      <c r="FV4939" s="67"/>
      <c r="FW4939" s="67"/>
      <c r="FX4939" s="67"/>
      <c r="FY4939" s="67"/>
      <c r="FZ4939" s="67"/>
      <c r="GA4939" s="67"/>
      <c r="GB4939" s="67"/>
      <c r="GC4939" s="67"/>
      <c r="GD4939" s="67"/>
      <c r="GE4939" s="67"/>
      <c r="GF4939" s="67"/>
      <c r="GG4939" s="67"/>
      <c r="GH4939" s="67"/>
      <c r="GI4939" s="67"/>
      <c r="GJ4939" s="67"/>
      <c r="GK4939" s="67"/>
      <c r="GL4939" s="67"/>
      <c r="GM4939" s="67"/>
      <c r="GN4939" s="292"/>
      <c r="GO4939" s="292"/>
      <c r="GP4939" s="292" t="s">
        <v>7494</v>
      </c>
      <c r="GQ4939" s="67"/>
      <c r="GR4939" s="67"/>
      <c r="GS4939" s="67"/>
      <c r="GT4939" s="67"/>
      <c r="GU4939" s="67"/>
      <c r="GV4939" s="67"/>
      <c r="GW4939" s="67"/>
      <c r="GX4939" s="67"/>
      <c r="GY4939" s="67"/>
      <c r="GZ4939" s="67"/>
      <c r="HA4939" s="67"/>
      <c r="HB4939" s="67"/>
      <c r="HC4939" s="67"/>
      <c r="HD4939" s="67"/>
      <c r="HE4939" s="67"/>
      <c r="HF4939" s="67"/>
      <c r="HG4939" s="67"/>
      <c r="HH4939" s="67"/>
      <c r="HI4939" s="67"/>
      <c r="HJ4939" s="67"/>
      <c r="HK4939" s="67"/>
      <c r="HL4939" s="67"/>
      <c r="HM4939" s="67"/>
      <c r="HN4939" s="67"/>
      <c r="HO4939" s="67"/>
      <c r="HP4939" s="67"/>
      <c r="HQ4939" s="67"/>
      <c r="HR4939" s="67"/>
      <c r="HS4939" s="67"/>
      <c r="HT4939" s="67"/>
      <c r="HU4939" s="67"/>
      <c r="HV4939" s="67"/>
      <c r="HW4939" s="67"/>
      <c r="HX4939" s="67">
        <v>339</v>
      </c>
      <c r="HY4939" s="67">
        <v>404</v>
      </c>
      <c r="HZ4939" s="67">
        <v>38</v>
      </c>
      <c r="IA4939" s="67">
        <v>54</v>
      </c>
      <c r="IB4939" s="67" t="s">
        <v>2053</v>
      </c>
      <c r="IC4939" s="67">
        <v>45</v>
      </c>
      <c r="ID4939" s="67">
        <v>67</v>
      </c>
      <c r="IE4939" s="67">
        <v>10</v>
      </c>
      <c r="IF4939" s="67">
        <v>18</v>
      </c>
      <c r="IG4939" s="67" t="s">
        <v>2053</v>
      </c>
      <c r="IH4939" s="67"/>
      <c r="II4939" s="67"/>
      <c r="IJ4939" s="67"/>
      <c r="IK4939" s="67"/>
      <c r="IL4939" s="67"/>
      <c r="IM4939" s="67"/>
      <c r="IN4939" s="67"/>
      <c r="IO4939" s="67"/>
      <c r="IP4939" s="67"/>
      <c r="IQ4939" s="67"/>
      <c r="IR4939" s="67"/>
      <c r="IS4939" s="67"/>
      <c r="IT4939" s="67"/>
      <c r="IU4939" s="67"/>
      <c r="IV4939" s="67"/>
      <c r="IW4939" s="67"/>
      <c r="IX4939" s="67"/>
      <c r="IY4939" s="67"/>
      <c r="IZ4939" s="67"/>
      <c r="JA4939" s="67"/>
      <c r="JB4939" s="67"/>
      <c r="JC4939" s="67"/>
      <c r="JD4939" s="67"/>
      <c r="JE4939" s="67"/>
      <c r="JF4939" s="67"/>
      <c r="JG4939" s="67"/>
      <c r="JH4939" s="67"/>
      <c r="JI4939" s="67"/>
      <c r="JJ4939" s="67"/>
      <c r="JK4939" s="67"/>
      <c r="JL4939" s="67"/>
      <c r="JM4939" s="67"/>
      <c r="JN4939" s="67"/>
      <c r="JO4939" s="67"/>
      <c r="JP4939" s="67"/>
      <c r="JQ4939" s="67"/>
      <c r="JR4939" s="67"/>
      <c r="JS4939" s="67"/>
      <c r="JT4939" s="67">
        <v>99999</v>
      </c>
      <c r="JU4939" s="58"/>
      <c r="JV4939" s="58"/>
      <c r="JW4939" s="58"/>
    </row>
    <row r="4940" spans="1:283" s="23" customFormat="1" x14ac:dyDescent="0.25">
      <c r="A4940" s="55">
        <v>4939</v>
      </c>
      <c r="B4940" s="12" t="s">
        <v>7067</v>
      </c>
      <c r="C4940" s="156">
        <v>238</v>
      </c>
      <c r="D4940" s="58" t="s">
        <v>4955</v>
      </c>
      <c r="E4940" s="160" t="str">
        <f>G4940</f>
        <v>Heitkamp et al. 2009_low fert.</v>
      </c>
      <c r="F4940" s="160"/>
      <c r="G4940" s="60" t="s">
        <v>4774</v>
      </c>
      <c r="H4940" s="58">
        <v>2009</v>
      </c>
      <c r="I4940" s="58">
        <v>2006</v>
      </c>
      <c r="J4940" s="243" t="s">
        <v>2853</v>
      </c>
      <c r="K4940" s="63" t="s">
        <v>5104</v>
      </c>
      <c r="L4940" s="58" t="s">
        <v>1077</v>
      </c>
      <c r="M4940" s="94">
        <f>49+50/60</f>
        <v>49.833333333333336</v>
      </c>
      <c r="N4940" s="94">
        <f>8+34/60</f>
        <v>8.5666666666666664</v>
      </c>
      <c r="O4940" s="94">
        <v>101</v>
      </c>
      <c r="P4940" s="58"/>
      <c r="Q4940" s="244">
        <v>9.5</v>
      </c>
      <c r="R4940" s="58"/>
      <c r="S4940" s="245">
        <v>590</v>
      </c>
      <c r="T4940" s="58"/>
      <c r="U4940" s="244">
        <v>26</v>
      </c>
      <c r="V4940" s="244">
        <v>26</v>
      </c>
      <c r="W4940" s="174"/>
      <c r="X4940" s="174"/>
      <c r="Y4940" s="58" t="s">
        <v>5449</v>
      </c>
      <c r="Z4940" s="244" t="s">
        <v>1367</v>
      </c>
      <c r="AA4940" s="245">
        <v>25</v>
      </c>
      <c r="AB4940" s="67"/>
      <c r="AC4940" s="67"/>
      <c r="AD4940" s="94">
        <v>1.41</v>
      </c>
      <c r="AE4940" s="94">
        <v>84.8</v>
      </c>
      <c r="AF4940" s="94">
        <v>10.5</v>
      </c>
      <c r="AG4940" s="245">
        <v>4.7</v>
      </c>
      <c r="AH4940" s="55" t="s">
        <v>201</v>
      </c>
      <c r="AI4940" s="169">
        <v>6</v>
      </c>
      <c r="AJ4940" s="94">
        <f>(24.2)/(100*100*0.25*AD4940)*100</f>
        <v>0.68652482269503545</v>
      </c>
      <c r="AK4940" s="94"/>
      <c r="AL4940" s="58"/>
      <c r="AM4940" s="58"/>
      <c r="AN4940" s="186" t="s">
        <v>5448</v>
      </c>
      <c r="AO4940" s="185" t="s">
        <v>5150</v>
      </c>
      <c r="AP4940" s="58"/>
      <c r="AQ4940" s="58" t="s">
        <v>3136</v>
      </c>
      <c r="AR4940" s="58"/>
      <c r="AS4940" s="246" t="s">
        <v>5133</v>
      </c>
      <c r="AT4940" s="247">
        <v>1</v>
      </c>
      <c r="AU4940" s="181" t="s">
        <v>7494</v>
      </c>
      <c r="AV4940" s="185" t="s">
        <v>176</v>
      </c>
      <c r="AW4940" s="244">
        <v>1</v>
      </c>
      <c r="AX4940" s="185" t="s">
        <v>176</v>
      </c>
      <c r="AY4940" s="244" t="s">
        <v>176</v>
      </c>
      <c r="AZ4940" s="58"/>
      <c r="BA4940" s="58"/>
      <c r="BB4940" s="58"/>
      <c r="BC4940" s="58"/>
      <c r="BD4940" s="58"/>
      <c r="BE4940" s="236" t="s">
        <v>5188</v>
      </c>
      <c r="BF4940" s="191" t="s">
        <v>479</v>
      </c>
      <c r="BG4940" s="191" t="s">
        <v>479</v>
      </c>
      <c r="BH4940" s="236" t="s">
        <v>5254</v>
      </c>
      <c r="BI4940" s="191" t="s">
        <v>479</v>
      </c>
      <c r="BJ4940" s="58" t="str">
        <f>IF(BE4940=BH4940,"No","yes")</f>
        <v>yes</v>
      </c>
      <c r="BK4940" s="58" t="s">
        <v>6334</v>
      </c>
      <c r="BL4940" s="58"/>
      <c r="BM4940" s="237"/>
      <c r="BN4940" s="244">
        <v>4</v>
      </c>
      <c r="BO4940" s="244">
        <v>4</v>
      </c>
      <c r="BP4940" s="58"/>
      <c r="BQ4940" s="58"/>
      <c r="BR4940" s="58"/>
      <c r="BS4940" s="58"/>
      <c r="BT4940" s="58"/>
      <c r="BU4940" s="58"/>
      <c r="BV4940" s="58"/>
      <c r="BW4940" s="67"/>
      <c r="BX4940" s="67"/>
      <c r="BY4940" s="67"/>
      <c r="BZ4940" s="67"/>
      <c r="CA4940" s="67"/>
      <c r="CB4940" s="70">
        <v>3800</v>
      </c>
      <c r="CC4940" s="70">
        <v>2800</v>
      </c>
      <c r="CD4940" s="70"/>
      <c r="CE4940" s="67">
        <v>200</v>
      </c>
      <c r="CF4940" s="67">
        <v>400</v>
      </c>
      <c r="CG4940" s="67" t="s">
        <v>2053</v>
      </c>
      <c r="CH4940" s="245">
        <v>1.41</v>
      </c>
      <c r="CI4940" s="245">
        <v>1.35</v>
      </c>
      <c r="CJ4940" s="67"/>
      <c r="CK4940" s="67"/>
      <c r="CL4940" s="67"/>
      <c r="CM4940" s="242">
        <v>0.66950354609929097</v>
      </c>
      <c r="CN4940" s="242">
        <v>0.74962962962962965</v>
      </c>
      <c r="CO4940" s="242">
        <v>1.339007092198582E-2</v>
      </c>
      <c r="CP4940" s="242">
        <v>1.4992592592592594E-2</v>
      </c>
      <c r="CQ4940" s="242" t="s">
        <v>164</v>
      </c>
      <c r="CR4940" s="242">
        <v>23.6</v>
      </c>
      <c r="CS4940" s="242">
        <v>25.3</v>
      </c>
      <c r="CT4940" s="242">
        <v>0.4</v>
      </c>
      <c r="CU4940" s="242">
        <v>0.6</v>
      </c>
      <c r="CV4940" s="242" t="s">
        <v>5151</v>
      </c>
      <c r="CW4940" s="242">
        <v>-247.99999999999997</v>
      </c>
      <c r="CX4940" s="242">
        <v>-180</v>
      </c>
      <c r="CY4940" s="242">
        <v>-24.799999999999997</v>
      </c>
      <c r="CZ4940" s="242">
        <v>-18</v>
      </c>
      <c r="DA4940" s="67" t="s">
        <v>5443</v>
      </c>
      <c r="DB4940" s="67">
        <f>(2.3*1000*1000*1000)/(100*100*CH4940*0.25*1000)</f>
        <v>652.48226950354615</v>
      </c>
      <c r="DC4940" s="67">
        <f>(2.3*1000*1000*1000)/(100*100*CI4940*0.25*1000)</f>
        <v>681.48148148148152</v>
      </c>
      <c r="DD4940" s="67">
        <f>(0.2*1000*1000*1000)/(100*100*CH4940*0.25*1000)</f>
        <v>56.737588652482266</v>
      </c>
      <c r="DE4940" s="67">
        <f>(0.2*1000*1000*1000)/(100*100*CI4940*0.25*1000)</f>
        <v>59.25925925925926</v>
      </c>
      <c r="DF4940" s="67" t="s">
        <v>5450</v>
      </c>
      <c r="DG4940" s="67"/>
      <c r="DH4940" s="67"/>
      <c r="DI4940" s="67"/>
      <c r="DJ4940" s="67"/>
      <c r="DK4940" s="67"/>
      <c r="DL4940" s="67"/>
      <c r="DM4940" s="67"/>
      <c r="DN4940" s="67"/>
      <c r="DO4940" s="67"/>
      <c r="DP4940" s="67"/>
      <c r="DQ4940" s="166"/>
      <c r="DR4940" s="166"/>
      <c r="DS4940" s="163"/>
      <c r="DT4940" s="163"/>
      <c r="DU4940" s="67"/>
      <c r="DV4940" s="67"/>
      <c r="DW4940" s="67"/>
      <c r="DX4940" s="67"/>
      <c r="DY4940" s="67"/>
      <c r="DZ4940" s="67"/>
      <c r="EA4940" s="67"/>
      <c r="EB4940" s="67"/>
      <c r="EC4940" s="67"/>
      <c r="ED4940" s="67"/>
      <c r="EE4940" s="67"/>
      <c r="EF4940" s="67"/>
      <c r="EG4940" s="67"/>
      <c r="EH4940" s="67"/>
      <c r="EI4940" s="67"/>
      <c r="EJ4940" s="67"/>
      <c r="EK4940" s="94"/>
      <c r="EL4940" s="94"/>
      <c r="EM4940" s="67"/>
      <c r="EN4940" s="67"/>
      <c r="EO4940" s="67"/>
      <c r="EP4940" s="67"/>
      <c r="EQ4940" s="67"/>
      <c r="ER4940" s="67"/>
      <c r="ES4940" s="67"/>
      <c r="ET4940" s="67"/>
      <c r="EU4940" s="67"/>
      <c r="EV4940" s="67"/>
      <c r="EW4940" s="67"/>
      <c r="EX4940" s="67"/>
      <c r="EY4940" s="67"/>
      <c r="EZ4940" s="67"/>
      <c r="FA4940" s="67"/>
      <c r="FB4940" s="67"/>
      <c r="FC4940" s="67"/>
      <c r="FD4940" s="67"/>
      <c r="FE4940" s="67"/>
      <c r="FF4940" s="67"/>
      <c r="FG4940" s="67"/>
      <c r="FH4940" s="67"/>
      <c r="FI4940" s="67"/>
      <c r="FJ4940" s="67"/>
      <c r="FK4940" s="67"/>
      <c r="FL4940" s="67"/>
      <c r="FM4940" s="67"/>
      <c r="FN4940" s="67"/>
      <c r="FO4940" s="67"/>
      <c r="FP4940" s="67"/>
      <c r="FQ4940" s="67"/>
      <c r="FR4940" s="67"/>
      <c r="FS4940" s="67"/>
      <c r="FT4940" s="67"/>
      <c r="FU4940" s="67"/>
      <c r="FV4940" s="67"/>
      <c r="FW4940" s="67"/>
      <c r="FX4940" s="67"/>
      <c r="FY4940" s="67"/>
      <c r="FZ4940" s="67"/>
      <c r="GA4940" s="67"/>
      <c r="GB4940" s="67"/>
      <c r="GC4940" s="67"/>
      <c r="GD4940" s="67"/>
      <c r="GE4940" s="67"/>
      <c r="GF4940" s="67"/>
      <c r="GG4940" s="67"/>
      <c r="GH4940" s="67"/>
      <c r="GI4940" s="67"/>
      <c r="GJ4940" s="67"/>
      <c r="GK4940" s="67"/>
      <c r="GL4940" s="67"/>
      <c r="GM4940" s="67"/>
      <c r="GN4940" s="292"/>
      <c r="GO4940" s="292"/>
      <c r="GP4940" s="292" t="s">
        <v>7494</v>
      </c>
      <c r="GQ4940" s="67"/>
      <c r="GR4940" s="67"/>
      <c r="GS4940" s="67"/>
      <c r="GT4940" s="67"/>
      <c r="GU4940" s="67"/>
      <c r="GV4940" s="67"/>
      <c r="GW4940" s="67"/>
      <c r="GX4940" s="67"/>
      <c r="GY4940" s="67"/>
      <c r="GZ4940" s="67"/>
      <c r="HA4940" s="67"/>
      <c r="HB4940" s="67"/>
      <c r="HC4940" s="67"/>
      <c r="HD4940" s="67"/>
      <c r="HE4940" s="67"/>
      <c r="HF4940" s="67"/>
      <c r="HG4940" s="67"/>
      <c r="HH4940" s="67"/>
      <c r="HI4940" s="67"/>
      <c r="HJ4940" s="67"/>
      <c r="HK4940" s="67"/>
      <c r="HL4940" s="67"/>
      <c r="HM4940" s="67"/>
      <c r="HN4940" s="67"/>
      <c r="HO4940" s="67"/>
      <c r="HP4940" s="67"/>
      <c r="HQ4940" s="67"/>
      <c r="HR4940" s="67"/>
      <c r="HS4940" s="67"/>
      <c r="HT4940" s="67"/>
      <c r="HU4940" s="67"/>
      <c r="HV4940" s="67"/>
      <c r="HW4940" s="67"/>
      <c r="HX4940" s="67">
        <v>361</v>
      </c>
      <c r="HY4940" s="67">
        <v>423</v>
      </c>
      <c r="HZ4940" s="67">
        <v>74</v>
      </c>
      <c r="IA4940" s="67">
        <v>126</v>
      </c>
      <c r="IB4940" s="67" t="s">
        <v>2053</v>
      </c>
      <c r="IC4940" s="67">
        <v>48</v>
      </c>
      <c r="ID4940" s="67">
        <v>60</v>
      </c>
      <c r="IE4940" s="67">
        <v>12</v>
      </c>
      <c r="IF4940" s="67">
        <v>26</v>
      </c>
      <c r="IG4940" s="67" t="s">
        <v>2053</v>
      </c>
      <c r="IH4940" s="67"/>
      <c r="II4940" s="67"/>
      <c r="IJ4940" s="67"/>
      <c r="IK4940" s="67"/>
      <c r="IL4940" s="67"/>
      <c r="IM4940" s="67"/>
      <c r="IN4940" s="67"/>
      <c r="IO4940" s="67"/>
      <c r="IP4940" s="67"/>
      <c r="IQ4940" s="67"/>
      <c r="IR4940" s="67"/>
      <c r="IS4940" s="67"/>
      <c r="IT4940" s="67"/>
      <c r="IU4940" s="67"/>
      <c r="IV4940" s="67"/>
      <c r="IW4940" s="67"/>
      <c r="IX4940" s="67"/>
      <c r="IY4940" s="67"/>
      <c r="IZ4940" s="67"/>
      <c r="JA4940" s="67"/>
      <c r="JB4940" s="67"/>
      <c r="JC4940" s="67"/>
      <c r="JD4940" s="67"/>
      <c r="JE4940" s="67"/>
      <c r="JF4940" s="67"/>
      <c r="JG4940" s="67"/>
      <c r="JH4940" s="67"/>
      <c r="JI4940" s="67"/>
      <c r="JJ4940" s="67"/>
      <c r="JK4940" s="67"/>
      <c r="JL4940" s="67"/>
      <c r="JM4940" s="67"/>
      <c r="JN4940" s="67"/>
      <c r="JO4940" s="67"/>
      <c r="JP4940" s="67"/>
      <c r="JQ4940" s="67"/>
      <c r="JR4940" s="67"/>
      <c r="JS4940" s="67"/>
      <c r="JT4940" s="67">
        <v>99999</v>
      </c>
      <c r="JU4940" s="58"/>
      <c r="JV4940" s="58"/>
      <c r="JW4940" s="58"/>
    </row>
    <row r="4941" spans="1:283" s="23" customFormat="1" x14ac:dyDescent="0.25">
      <c r="A4941" s="55">
        <v>4940</v>
      </c>
      <c r="B4941" s="12" t="s">
        <v>7067</v>
      </c>
      <c r="C4941" s="156">
        <v>238</v>
      </c>
      <c r="D4941" s="58" t="s">
        <v>4954</v>
      </c>
      <c r="E4941" s="160" t="str">
        <f>G4941</f>
        <v>Heitkamp et al. 2009_high fert.</v>
      </c>
      <c r="F4941" s="160"/>
      <c r="G4941" s="60" t="s">
        <v>4775</v>
      </c>
      <c r="H4941" s="58">
        <v>2009</v>
      </c>
      <c r="I4941" s="58">
        <v>2006</v>
      </c>
      <c r="J4941" s="243" t="s">
        <v>2853</v>
      </c>
      <c r="K4941" s="63" t="s">
        <v>5104</v>
      </c>
      <c r="L4941" s="58" t="s">
        <v>1077</v>
      </c>
      <c r="M4941" s="94">
        <f>49+50/60</f>
        <v>49.833333333333336</v>
      </c>
      <c r="N4941" s="94">
        <f>8+34/60</f>
        <v>8.5666666666666664</v>
      </c>
      <c r="O4941" s="94">
        <v>100</v>
      </c>
      <c r="P4941" s="58"/>
      <c r="Q4941" s="244">
        <v>9.5</v>
      </c>
      <c r="R4941" s="58"/>
      <c r="S4941" s="245">
        <v>590</v>
      </c>
      <c r="T4941" s="58"/>
      <c r="U4941" s="244">
        <v>26</v>
      </c>
      <c r="V4941" s="244">
        <v>26</v>
      </c>
      <c r="W4941" s="174"/>
      <c r="X4941" s="174"/>
      <c r="Y4941" s="58" t="s">
        <v>5449</v>
      </c>
      <c r="Z4941" s="244" t="s">
        <v>1367</v>
      </c>
      <c r="AA4941" s="245">
        <v>25</v>
      </c>
      <c r="AB4941" s="67"/>
      <c r="AC4941" s="67"/>
      <c r="AD4941" s="94">
        <v>1.35</v>
      </c>
      <c r="AE4941" s="94">
        <v>86.5</v>
      </c>
      <c r="AF4941" s="94">
        <v>9</v>
      </c>
      <c r="AG4941" s="245">
        <v>4.5999999999999996</v>
      </c>
      <c r="AH4941" s="58" t="s">
        <v>201</v>
      </c>
      <c r="AI4941" s="169">
        <v>6</v>
      </c>
      <c r="AJ4941" s="94">
        <f>(24.2)/(100*100*0.25*AD4941)*100</f>
        <v>0.71703703703703703</v>
      </c>
      <c r="AK4941" s="94"/>
      <c r="AL4941" s="58"/>
      <c r="AM4941" s="58"/>
      <c r="AN4941" s="186" t="s">
        <v>5448</v>
      </c>
      <c r="AO4941" s="185" t="s">
        <v>5150</v>
      </c>
      <c r="AP4941" s="58"/>
      <c r="AQ4941" s="58" t="s">
        <v>3136</v>
      </c>
      <c r="AR4941" s="58"/>
      <c r="AS4941" s="246" t="s">
        <v>5133</v>
      </c>
      <c r="AT4941" s="247">
        <v>1</v>
      </c>
      <c r="AU4941" s="181" t="s">
        <v>7494</v>
      </c>
      <c r="AV4941" s="185" t="s">
        <v>176</v>
      </c>
      <c r="AW4941" s="244">
        <v>1</v>
      </c>
      <c r="AX4941" s="185" t="s">
        <v>176</v>
      </c>
      <c r="AY4941" s="244" t="s">
        <v>176</v>
      </c>
      <c r="AZ4941" s="58"/>
      <c r="BA4941" s="58"/>
      <c r="BB4941" s="58"/>
      <c r="BC4941" s="58"/>
      <c r="BD4941" s="58"/>
      <c r="BE4941" s="236" t="s">
        <v>5187</v>
      </c>
      <c r="BF4941" s="191" t="s">
        <v>479</v>
      </c>
      <c r="BG4941" s="191" t="s">
        <v>479</v>
      </c>
      <c r="BH4941" s="236" t="s">
        <v>5253</v>
      </c>
      <c r="BI4941" s="191" t="s">
        <v>479</v>
      </c>
      <c r="BJ4941" s="58" t="str">
        <f>IF(BE4941=BH4941,"No","yes")</f>
        <v>yes</v>
      </c>
      <c r="BK4941" s="58" t="s">
        <v>6334</v>
      </c>
      <c r="BL4941" s="58"/>
      <c r="BM4941" s="237"/>
      <c r="BN4941" s="244">
        <v>4</v>
      </c>
      <c r="BO4941" s="244">
        <v>4</v>
      </c>
      <c r="BP4941" s="58"/>
      <c r="BQ4941" s="58"/>
      <c r="BR4941" s="58"/>
      <c r="BS4941" s="58"/>
      <c r="BT4941" s="58"/>
      <c r="BU4941" s="58"/>
      <c r="BV4941" s="58"/>
      <c r="BW4941" s="67"/>
      <c r="BX4941" s="67"/>
      <c r="BY4941" s="67"/>
      <c r="BZ4941" s="67"/>
      <c r="CA4941" s="67"/>
      <c r="CB4941" s="70">
        <v>26100</v>
      </c>
      <c r="CC4941" s="70">
        <v>21300</v>
      </c>
      <c r="CD4941" s="70"/>
      <c r="CE4941" s="67">
        <v>1800</v>
      </c>
      <c r="CF4941" s="67">
        <v>2000</v>
      </c>
      <c r="CG4941" s="67" t="s">
        <v>2053</v>
      </c>
      <c r="CH4941" s="245"/>
      <c r="CI4941" s="245"/>
      <c r="CJ4941" s="67"/>
      <c r="CK4941" s="67"/>
      <c r="CL4941" s="67"/>
      <c r="CM4941" s="242"/>
      <c r="CN4941" s="242"/>
      <c r="CO4941" s="242"/>
      <c r="CP4941" s="242"/>
      <c r="CQ4941" s="242"/>
      <c r="CR4941" s="242"/>
      <c r="CS4941" s="242"/>
      <c r="CT4941" s="242"/>
      <c r="CU4941" s="242"/>
      <c r="CV4941" s="242"/>
      <c r="CW4941" s="242"/>
      <c r="CX4941" s="242"/>
      <c r="CY4941" s="242"/>
      <c r="CZ4941" s="242"/>
      <c r="DA4941" s="67"/>
      <c r="DB4941" s="67"/>
      <c r="DC4941" s="67"/>
      <c r="DD4941" s="67"/>
      <c r="DE4941" s="67"/>
      <c r="DF4941" s="67"/>
      <c r="DG4941" s="67"/>
      <c r="DH4941" s="67"/>
      <c r="DI4941" s="67"/>
      <c r="DJ4941" s="67"/>
      <c r="DK4941" s="67"/>
      <c r="DL4941" s="67"/>
      <c r="DM4941" s="67"/>
      <c r="DN4941" s="67"/>
      <c r="DO4941" s="67"/>
      <c r="DP4941" s="67"/>
      <c r="DQ4941" s="166"/>
      <c r="DR4941" s="166"/>
      <c r="DS4941" s="163"/>
      <c r="DT4941" s="163"/>
      <c r="DU4941" s="67"/>
      <c r="DV4941" s="67"/>
      <c r="DW4941" s="67"/>
      <c r="DX4941" s="67"/>
      <c r="DY4941" s="67"/>
      <c r="DZ4941" s="67"/>
      <c r="EA4941" s="67"/>
      <c r="EB4941" s="67"/>
      <c r="EC4941" s="67"/>
      <c r="ED4941" s="67"/>
      <c r="EE4941" s="67"/>
      <c r="EF4941" s="67"/>
      <c r="EG4941" s="67"/>
      <c r="EH4941" s="67"/>
      <c r="EI4941" s="67"/>
      <c r="EJ4941" s="67"/>
      <c r="EK4941" s="94"/>
      <c r="EL4941" s="94"/>
      <c r="EM4941" s="67"/>
      <c r="EN4941" s="67"/>
      <c r="EO4941" s="67"/>
      <c r="EP4941" s="67"/>
      <c r="EQ4941" s="67"/>
      <c r="ER4941" s="67"/>
      <c r="ES4941" s="67"/>
      <c r="ET4941" s="67"/>
      <c r="EU4941" s="67"/>
      <c r="EV4941" s="67"/>
      <c r="EW4941" s="67"/>
      <c r="EX4941" s="67"/>
      <c r="EY4941" s="67"/>
      <c r="EZ4941" s="67"/>
      <c r="FA4941" s="67"/>
      <c r="FB4941" s="67"/>
      <c r="FC4941" s="67"/>
      <c r="FD4941" s="67"/>
      <c r="FE4941" s="67"/>
      <c r="FF4941" s="67"/>
      <c r="FG4941" s="67"/>
      <c r="FH4941" s="67"/>
      <c r="FI4941" s="67"/>
      <c r="FJ4941" s="67"/>
      <c r="FK4941" s="67"/>
      <c r="FL4941" s="67"/>
      <c r="FM4941" s="67"/>
      <c r="FN4941" s="67"/>
      <c r="FO4941" s="67"/>
      <c r="FP4941" s="67"/>
      <c r="FQ4941" s="67"/>
      <c r="FR4941" s="67"/>
      <c r="FS4941" s="67"/>
      <c r="FT4941" s="67"/>
      <c r="FU4941" s="67"/>
      <c r="FV4941" s="67"/>
      <c r="FW4941" s="67"/>
      <c r="FX4941" s="67"/>
      <c r="FY4941" s="67"/>
      <c r="FZ4941" s="67"/>
      <c r="GA4941" s="67"/>
      <c r="GB4941" s="67"/>
      <c r="GC4941" s="67"/>
      <c r="GD4941" s="67"/>
      <c r="GE4941" s="67"/>
      <c r="GF4941" s="67"/>
      <c r="GG4941" s="67"/>
      <c r="GH4941" s="67"/>
      <c r="GI4941" s="67"/>
      <c r="GJ4941" s="67"/>
      <c r="GK4941" s="67"/>
      <c r="GL4941" s="67"/>
      <c r="GM4941" s="67"/>
      <c r="GN4941" s="292"/>
      <c r="GO4941" s="292"/>
      <c r="GP4941" s="292" t="s">
        <v>7494</v>
      </c>
      <c r="GQ4941" s="67"/>
      <c r="GR4941" s="67"/>
      <c r="GS4941" s="67"/>
      <c r="GT4941" s="67"/>
      <c r="GU4941" s="67"/>
      <c r="GV4941" s="67"/>
      <c r="GW4941" s="67"/>
      <c r="GX4941" s="67"/>
      <c r="GY4941" s="67"/>
      <c r="GZ4941" s="67"/>
      <c r="HA4941" s="67"/>
      <c r="HB4941" s="67"/>
      <c r="HC4941" s="67"/>
      <c r="HD4941" s="67"/>
      <c r="HE4941" s="67"/>
      <c r="HF4941" s="67"/>
      <c r="HG4941" s="67"/>
      <c r="HH4941" s="67"/>
      <c r="HI4941" s="67"/>
      <c r="HJ4941" s="67"/>
      <c r="HK4941" s="67"/>
      <c r="HL4941" s="67"/>
      <c r="HM4941" s="67"/>
      <c r="HN4941" s="67"/>
      <c r="HO4941" s="67"/>
      <c r="HP4941" s="67"/>
      <c r="HQ4941" s="67"/>
      <c r="HR4941" s="67"/>
      <c r="HS4941" s="67"/>
      <c r="HT4941" s="67"/>
      <c r="HU4941" s="67"/>
      <c r="HV4941" s="67"/>
      <c r="HW4941" s="67"/>
      <c r="HX4941" s="67"/>
      <c r="HY4941" s="67"/>
      <c r="HZ4941" s="67"/>
      <c r="IA4941" s="67"/>
      <c r="IB4941" s="67"/>
      <c r="IC4941" s="67"/>
      <c r="ID4941" s="67"/>
      <c r="IE4941" s="67"/>
      <c r="IF4941" s="67"/>
      <c r="IG4941" s="67"/>
      <c r="IH4941" s="67"/>
      <c r="II4941" s="67"/>
      <c r="IJ4941" s="67"/>
      <c r="IK4941" s="67"/>
      <c r="IL4941" s="67"/>
      <c r="IM4941" s="67"/>
      <c r="IN4941" s="67"/>
      <c r="IO4941" s="67"/>
      <c r="IP4941" s="67"/>
      <c r="IQ4941" s="67"/>
      <c r="IR4941" s="67"/>
      <c r="IS4941" s="67"/>
      <c r="IT4941" s="67"/>
      <c r="IU4941" s="67"/>
      <c r="IV4941" s="67"/>
      <c r="IW4941" s="67"/>
      <c r="IX4941" s="67"/>
      <c r="IY4941" s="67"/>
      <c r="IZ4941" s="67"/>
      <c r="JA4941" s="67"/>
      <c r="JB4941" s="67"/>
      <c r="JC4941" s="67"/>
      <c r="JD4941" s="67"/>
      <c r="JE4941" s="67"/>
      <c r="JF4941" s="67"/>
      <c r="JG4941" s="67"/>
      <c r="JH4941" s="67"/>
      <c r="JI4941" s="67"/>
      <c r="JJ4941" s="67"/>
      <c r="JK4941" s="67"/>
      <c r="JL4941" s="67"/>
      <c r="JM4941" s="67"/>
      <c r="JN4941" s="67"/>
      <c r="JO4941" s="67"/>
      <c r="JP4941" s="67"/>
      <c r="JQ4941" s="67"/>
      <c r="JR4941" s="67"/>
      <c r="JS4941" s="67"/>
      <c r="JT4941" s="67">
        <v>99999</v>
      </c>
      <c r="JU4941" s="58"/>
      <c r="JV4941" s="58"/>
      <c r="JW4941" s="58"/>
    </row>
    <row r="4942" spans="1:283" s="23" customFormat="1" x14ac:dyDescent="0.25">
      <c r="A4942" s="55">
        <v>4941</v>
      </c>
      <c r="B4942" s="12" t="s">
        <v>7067</v>
      </c>
      <c r="C4942" s="156">
        <v>238</v>
      </c>
      <c r="D4942" s="58" t="s">
        <v>4956</v>
      </c>
      <c r="E4942" s="160" t="str">
        <f>G4942</f>
        <v>Heitkamp et al. 2009_medium fert.</v>
      </c>
      <c r="F4942" s="160"/>
      <c r="G4942" s="60" t="s">
        <v>4773</v>
      </c>
      <c r="H4942" s="58">
        <v>2009</v>
      </c>
      <c r="I4942" s="58">
        <v>2006</v>
      </c>
      <c r="J4942" s="243" t="s">
        <v>2853</v>
      </c>
      <c r="K4942" s="63" t="s">
        <v>5104</v>
      </c>
      <c r="L4942" s="58" t="s">
        <v>1077</v>
      </c>
      <c r="M4942" s="94">
        <f>49+50/60</f>
        <v>49.833333333333336</v>
      </c>
      <c r="N4942" s="94">
        <f>8+34/60</f>
        <v>8.5666666666666664</v>
      </c>
      <c r="O4942" s="94">
        <v>102</v>
      </c>
      <c r="P4942" s="58"/>
      <c r="Q4942" s="244">
        <v>9.5</v>
      </c>
      <c r="R4942" s="58"/>
      <c r="S4942" s="245">
        <v>590</v>
      </c>
      <c r="T4942" s="58"/>
      <c r="U4942" s="244">
        <v>26</v>
      </c>
      <c r="V4942" s="244">
        <v>26</v>
      </c>
      <c r="W4942" s="174"/>
      <c r="X4942" s="174"/>
      <c r="Y4942" s="58" t="s">
        <v>5449</v>
      </c>
      <c r="Z4942" s="244" t="s">
        <v>1367</v>
      </c>
      <c r="AA4942" s="245">
        <v>25</v>
      </c>
      <c r="AB4942" s="67"/>
      <c r="AC4942" s="67"/>
      <c r="AD4942" s="94">
        <v>1.37</v>
      </c>
      <c r="AE4942" s="94">
        <v>85.9</v>
      </c>
      <c r="AF4942" s="94">
        <v>9.1999999999999993</v>
      </c>
      <c r="AG4942" s="245">
        <v>4.9000000000000004</v>
      </c>
      <c r="AH4942" s="58" t="s">
        <v>201</v>
      </c>
      <c r="AI4942" s="169">
        <v>6.1</v>
      </c>
      <c r="AJ4942" s="94">
        <f>(24.2)/(100*100*0.25*AD4942)*100</f>
        <v>0.7065693430656933</v>
      </c>
      <c r="AK4942" s="94"/>
      <c r="AL4942" s="58"/>
      <c r="AM4942" s="58"/>
      <c r="AN4942" s="186" t="s">
        <v>5448</v>
      </c>
      <c r="AO4942" s="185" t="s">
        <v>5150</v>
      </c>
      <c r="AP4942" s="58"/>
      <c r="AQ4942" s="58" t="s">
        <v>3136</v>
      </c>
      <c r="AR4942" s="58"/>
      <c r="AS4942" s="246" t="s">
        <v>5133</v>
      </c>
      <c r="AT4942" s="247">
        <v>1</v>
      </c>
      <c r="AU4942" s="181" t="s">
        <v>7494</v>
      </c>
      <c r="AV4942" s="185" t="s">
        <v>176</v>
      </c>
      <c r="AW4942" s="244">
        <v>1</v>
      </c>
      <c r="AX4942" s="185" t="s">
        <v>176</v>
      </c>
      <c r="AY4942" s="244" t="s">
        <v>176</v>
      </c>
      <c r="AZ4942" s="58"/>
      <c r="BA4942" s="58"/>
      <c r="BB4942" s="58"/>
      <c r="BC4942" s="58"/>
      <c r="BD4942" s="58"/>
      <c r="BE4942" s="236" t="s">
        <v>5189</v>
      </c>
      <c r="BF4942" s="191" t="s">
        <v>479</v>
      </c>
      <c r="BG4942" s="191" t="s">
        <v>479</v>
      </c>
      <c r="BH4942" s="236" t="s">
        <v>5255</v>
      </c>
      <c r="BI4942" s="191" t="s">
        <v>479</v>
      </c>
      <c r="BJ4942" s="58" t="str">
        <f>IF(BE4942=BH4942,"No","yes")</f>
        <v>yes</v>
      </c>
      <c r="BK4942" s="58" t="s">
        <v>6334</v>
      </c>
      <c r="BL4942" s="58"/>
      <c r="BM4942" s="237"/>
      <c r="BN4942" s="244">
        <v>4</v>
      </c>
      <c r="BO4942" s="244">
        <v>4</v>
      </c>
      <c r="BP4942" s="58"/>
      <c r="BQ4942" s="58"/>
      <c r="BR4942" s="58"/>
      <c r="BS4942" s="58"/>
      <c r="BT4942" s="58"/>
      <c r="BU4942" s="58"/>
      <c r="BV4942" s="58"/>
      <c r="BW4942" s="67"/>
      <c r="BX4942" s="67"/>
      <c r="BY4942" s="67"/>
      <c r="BZ4942" s="67"/>
      <c r="CA4942" s="67"/>
      <c r="CB4942" s="70">
        <v>25800</v>
      </c>
      <c r="CC4942" s="70">
        <v>19700</v>
      </c>
      <c r="CD4942" s="70"/>
      <c r="CE4942" s="67">
        <v>1000</v>
      </c>
      <c r="CF4942" s="67">
        <v>3200</v>
      </c>
      <c r="CG4942" s="67" t="s">
        <v>2053</v>
      </c>
      <c r="CH4942" s="245"/>
      <c r="CI4942" s="245"/>
      <c r="CJ4942" s="67"/>
      <c r="CK4942" s="67"/>
      <c r="CL4942" s="67"/>
      <c r="CM4942" s="242"/>
      <c r="CN4942" s="242"/>
      <c r="CO4942" s="242"/>
      <c r="CP4942" s="242"/>
      <c r="CQ4942" s="242"/>
      <c r="CR4942" s="242"/>
      <c r="CS4942" s="242"/>
      <c r="CT4942" s="242"/>
      <c r="CU4942" s="242"/>
      <c r="CV4942" s="242"/>
      <c r="CW4942" s="242"/>
      <c r="CX4942" s="242"/>
      <c r="CY4942" s="242"/>
      <c r="CZ4942" s="242"/>
      <c r="DA4942" s="67"/>
      <c r="DB4942" s="67"/>
      <c r="DC4942" s="67"/>
      <c r="DD4942" s="67"/>
      <c r="DE4942" s="67"/>
      <c r="DF4942" s="67"/>
      <c r="DG4942" s="67"/>
      <c r="DH4942" s="67"/>
      <c r="DI4942" s="67"/>
      <c r="DJ4942" s="67"/>
      <c r="DK4942" s="67"/>
      <c r="DL4942" s="67"/>
      <c r="DM4942" s="67"/>
      <c r="DN4942" s="67"/>
      <c r="DO4942" s="67"/>
      <c r="DP4942" s="67"/>
      <c r="DQ4942" s="166"/>
      <c r="DR4942" s="166"/>
      <c r="DS4942" s="163"/>
      <c r="DT4942" s="163"/>
      <c r="DU4942" s="67"/>
      <c r="DV4942" s="67"/>
      <c r="DW4942" s="67"/>
      <c r="DX4942" s="67"/>
      <c r="DY4942" s="67"/>
      <c r="DZ4942" s="67"/>
      <c r="EA4942" s="67"/>
      <c r="EB4942" s="67"/>
      <c r="EC4942" s="67"/>
      <c r="ED4942" s="67"/>
      <c r="EE4942" s="67"/>
      <c r="EF4942" s="67"/>
      <c r="EG4942" s="67"/>
      <c r="EH4942" s="67"/>
      <c r="EI4942" s="67"/>
      <c r="EJ4942" s="67"/>
      <c r="EK4942" s="94"/>
      <c r="EL4942" s="94"/>
      <c r="EM4942" s="67"/>
      <c r="EN4942" s="67"/>
      <c r="EO4942" s="67"/>
      <c r="EP4942" s="67"/>
      <c r="EQ4942" s="67"/>
      <c r="ER4942" s="67"/>
      <c r="ES4942" s="67"/>
      <c r="ET4942" s="67"/>
      <c r="EU4942" s="67"/>
      <c r="EV4942" s="67"/>
      <c r="EW4942" s="67"/>
      <c r="EX4942" s="67"/>
      <c r="EY4942" s="67"/>
      <c r="EZ4942" s="67"/>
      <c r="FA4942" s="67"/>
      <c r="FB4942" s="67"/>
      <c r="FC4942" s="67"/>
      <c r="FD4942" s="67"/>
      <c r="FE4942" s="67"/>
      <c r="FF4942" s="67"/>
      <c r="FG4942" s="67"/>
      <c r="FH4942" s="67"/>
      <c r="FI4942" s="67"/>
      <c r="FJ4942" s="67"/>
      <c r="FK4942" s="67"/>
      <c r="FL4942" s="67"/>
      <c r="FM4942" s="67"/>
      <c r="FN4942" s="67"/>
      <c r="FO4942" s="67"/>
      <c r="FP4942" s="67"/>
      <c r="FQ4942" s="67"/>
      <c r="FR4942" s="67"/>
      <c r="FS4942" s="67"/>
      <c r="FT4942" s="67"/>
      <c r="FU4942" s="67"/>
      <c r="FV4942" s="67"/>
      <c r="FW4942" s="67"/>
      <c r="FX4942" s="67"/>
      <c r="FY4942" s="67"/>
      <c r="FZ4942" s="67"/>
      <c r="GA4942" s="67"/>
      <c r="GB4942" s="67"/>
      <c r="GC4942" s="67"/>
      <c r="GD4942" s="67"/>
      <c r="GE4942" s="67"/>
      <c r="GF4942" s="67"/>
      <c r="GG4942" s="67"/>
      <c r="GH4942" s="67"/>
      <c r="GI4942" s="67"/>
      <c r="GJ4942" s="67"/>
      <c r="GK4942" s="67"/>
      <c r="GL4942" s="67"/>
      <c r="GM4942" s="67"/>
      <c r="GN4942" s="292"/>
      <c r="GO4942" s="292"/>
      <c r="GP4942" s="292" t="s">
        <v>7494</v>
      </c>
      <c r="GQ4942" s="67"/>
      <c r="GR4942" s="67"/>
      <c r="GS4942" s="67"/>
      <c r="GT4942" s="67"/>
      <c r="GU4942" s="67"/>
      <c r="GV4942" s="67"/>
      <c r="GW4942" s="67"/>
      <c r="GX4942" s="67"/>
      <c r="GY4942" s="67"/>
      <c r="GZ4942" s="67"/>
      <c r="HA4942" s="67"/>
      <c r="HB4942" s="67"/>
      <c r="HC4942" s="67"/>
      <c r="HD4942" s="67"/>
      <c r="HE4942" s="67"/>
      <c r="HF4942" s="67"/>
      <c r="HG4942" s="67"/>
      <c r="HH4942" s="67"/>
      <c r="HI4942" s="67"/>
      <c r="HJ4942" s="67"/>
      <c r="HK4942" s="67"/>
      <c r="HL4942" s="67"/>
      <c r="HM4942" s="67"/>
      <c r="HN4942" s="67"/>
      <c r="HO4942" s="67"/>
      <c r="HP4942" s="67"/>
      <c r="HQ4942" s="67"/>
      <c r="HR4942" s="67"/>
      <c r="HS4942" s="67"/>
      <c r="HT4942" s="67"/>
      <c r="HU4942" s="67"/>
      <c r="HV4942" s="67"/>
      <c r="HW4942" s="67"/>
      <c r="HX4942" s="67"/>
      <c r="HY4942" s="67"/>
      <c r="HZ4942" s="67"/>
      <c r="IA4942" s="67"/>
      <c r="IB4942" s="67"/>
      <c r="IC4942" s="67"/>
      <c r="ID4942" s="67"/>
      <c r="IE4942" s="67"/>
      <c r="IF4942" s="67"/>
      <c r="IG4942" s="67"/>
      <c r="IH4942" s="67"/>
      <c r="II4942" s="67"/>
      <c r="IJ4942" s="67"/>
      <c r="IK4942" s="67"/>
      <c r="IL4942" s="67"/>
      <c r="IM4942" s="67"/>
      <c r="IN4942" s="67"/>
      <c r="IO4942" s="67"/>
      <c r="IP4942" s="67"/>
      <c r="IQ4942" s="67"/>
      <c r="IR4942" s="67"/>
      <c r="IS4942" s="67"/>
      <c r="IT4942" s="67"/>
      <c r="IU4942" s="67"/>
      <c r="IV4942" s="67"/>
      <c r="IW4942" s="67"/>
      <c r="IX4942" s="67"/>
      <c r="IY4942" s="67"/>
      <c r="IZ4942" s="67"/>
      <c r="JA4942" s="67"/>
      <c r="JB4942" s="67"/>
      <c r="JC4942" s="67"/>
      <c r="JD4942" s="67"/>
      <c r="JE4942" s="67"/>
      <c r="JF4942" s="67"/>
      <c r="JG4942" s="67"/>
      <c r="JH4942" s="67"/>
      <c r="JI4942" s="67"/>
      <c r="JJ4942" s="67"/>
      <c r="JK4942" s="67"/>
      <c r="JL4942" s="67"/>
      <c r="JM4942" s="67"/>
      <c r="JN4942" s="67"/>
      <c r="JO4942" s="67"/>
      <c r="JP4942" s="67"/>
      <c r="JQ4942" s="67"/>
      <c r="JR4942" s="67"/>
      <c r="JS4942" s="67"/>
      <c r="JT4942" s="67">
        <v>99999</v>
      </c>
      <c r="JU4942" s="58"/>
      <c r="JV4942" s="58"/>
      <c r="JW4942" s="58"/>
    </row>
    <row r="4943" spans="1:283" s="23" customFormat="1" x14ac:dyDescent="0.25">
      <c r="A4943" s="55">
        <v>4942</v>
      </c>
      <c r="B4943" s="12" t="s">
        <v>7067</v>
      </c>
      <c r="C4943" s="156">
        <v>238</v>
      </c>
      <c r="D4943" s="58" t="s">
        <v>4955</v>
      </c>
      <c r="E4943" s="160" t="str">
        <f>G4943</f>
        <v>Heitkamp et al. 2009_low fert.</v>
      </c>
      <c r="F4943" s="160"/>
      <c r="G4943" s="60" t="s">
        <v>4774</v>
      </c>
      <c r="H4943" s="58">
        <v>2009</v>
      </c>
      <c r="I4943" s="58">
        <v>2006</v>
      </c>
      <c r="J4943" s="243" t="s">
        <v>2853</v>
      </c>
      <c r="K4943" s="63" t="s">
        <v>5104</v>
      </c>
      <c r="L4943" s="58" t="s">
        <v>1077</v>
      </c>
      <c r="M4943" s="94">
        <f>49+50/60</f>
        <v>49.833333333333336</v>
      </c>
      <c r="N4943" s="94">
        <f>8+34/60</f>
        <v>8.5666666666666664</v>
      </c>
      <c r="O4943" s="94">
        <v>101</v>
      </c>
      <c r="P4943" s="58"/>
      <c r="Q4943" s="244">
        <v>9.5</v>
      </c>
      <c r="R4943" s="58"/>
      <c r="S4943" s="245">
        <v>590</v>
      </c>
      <c r="T4943" s="58"/>
      <c r="U4943" s="244">
        <v>26</v>
      </c>
      <c r="V4943" s="244">
        <v>26</v>
      </c>
      <c r="W4943" s="174"/>
      <c r="X4943" s="174"/>
      <c r="Y4943" s="58" t="s">
        <v>5449</v>
      </c>
      <c r="Z4943" s="244" t="s">
        <v>1367</v>
      </c>
      <c r="AA4943" s="245">
        <v>25</v>
      </c>
      <c r="AB4943" s="67"/>
      <c r="AC4943" s="67"/>
      <c r="AD4943" s="94">
        <v>1.41</v>
      </c>
      <c r="AE4943" s="94">
        <v>84.8</v>
      </c>
      <c r="AF4943" s="94">
        <v>10.5</v>
      </c>
      <c r="AG4943" s="245">
        <v>4.7</v>
      </c>
      <c r="AH4943" s="58" t="s">
        <v>201</v>
      </c>
      <c r="AI4943" s="169">
        <v>6</v>
      </c>
      <c r="AJ4943" s="94">
        <f>(24.2)/(100*100*0.25*AD4943)*100</f>
        <v>0.68652482269503545</v>
      </c>
      <c r="AK4943" s="94"/>
      <c r="AL4943" s="58"/>
      <c r="AM4943" s="58"/>
      <c r="AN4943" s="186" t="s">
        <v>5448</v>
      </c>
      <c r="AO4943" s="185" t="s">
        <v>5150</v>
      </c>
      <c r="AP4943" s="58"/>
      <c r="AQ4943" s="58" t="s">
        <v>3136</v>
      </c>
      <c r="AR4943" s="58"/>
      <c r="AS4943" s="246" t="s">
        <v>5133</v>
      </c>
      <c r="AT4943" s="247">
        <v>1</v>
      </c>
      <c r="AU4943" s="181" t="s">
        <v>7494</v>
      </c>
      <c r="AV4943" s="185" t="s">
        <v>176</v>
      </c>
      <c r="AW4943" s="244">
        <v>1</v>
      </c>
      <c r="AX4943" s="185" t="s">
        <v>176</v>
      </c>
      <c r="AY4943" s="244" t="s">
        <v>176</v>
      </c>
      <c r="AZ4943" s="58"/>
      <c r="BA4943" s="58"/>
      <c r="BB4943" s="58"/>
      <c r="BC4943" s="58"/>
      <c r="BD4943" s="58"/>
      <c r="BE4943" s="236" t="s">
        <v>5188</v>
      </c>
      <c r="BF4943" s="191" t="s">
        <v>479</v>
      </c>
      <c r="BG4943" s="191" t="s">
        <v>479</v>
      </c>
      <c r="BH4943" s="236" t="s">
        <v>5254</v>
      </c>
      <c r="BI4943" s="191" t="s">
        <v>479</v>
      </c>
      <c r="BJ4943" s="58" t="str">
        <f>IF(BE4943=BH4943,"No","yes")</f>
        <v>yes</v>
      </c>
      <c r="BK4943" s="58" t="s">
        <v>6334</v>
      </c>
      <c r="BL4943" s="58"/>
      <c r="BM4943" s="237"/>
      <c r="BN4943" s="244">
        <v>4</v>
      </c>
      <c r="BO4943" s="244">
        <v>4</v>
      </c>
      <c r="BP4943" s="58"/>
      <c r="BQ4943" s="58"/>
      <c r="BR4943" s="58"/>
      <c r="BS4943" s="58"/>
      <c r="BT4943" s="58"/>
      <c r="BU4943" s="58"/>
      <c r="BV4943" s="58"/>
      <c r="BW4943" s="67"/>
      <c r="BX4943" s="67"/>
      <c r="BY4943" s="67"/>
      <c r="BZ4943" s="67"/>
      <c r="CA4943" s="67"/>
      <c r="CB4943" s="70">
        <v>19100</v>
      </c>
      <c r="CC4943" s="70">
        <v>17800</v>
      </c>
      <c r="CD4943" s="70"/>
      <c r="CE4943" s="67">
        <v>1800</v>
      </c>
      <c r="CF4943" s="67">
        <v>600</v>
      </c>
      <c r="CG4943" s="67" t="s">
        <v>2053</v>
      </c>
      <c r="CH4943" s="245"/>
      <c r="CI4943" s="245"/>
      <c r="CJ4943" s="67"/>
      <c r="CK4943" s="67"/>
      <c r="CL4943" s="67"/>
      <c r="CM4943" s="242"/>
      <c r="CN4943" s="242"/>
      <c r="CO4943" s="242"/>
      <c r="CP4943" s="242"/>
      <c r="CQ4943" s="242"/>
      <c r="CR4943" s="242"/>
      <c r="CS4943" s="242"/>
      <c r="CT4943" s="242"/>
      <c r="CU4943" s="242"/>
      <c r="CV4943" s="242"/>
      <c r="CW4943" s="242"/>
      <c r="CX4943" s="242"/>
      <c r="CY4943" s="242"/>
      <c r="CZ4943" s="242"/>
      <c r="DA4943" s="67"/>
      <c r="DB4943" s="67"/>
      <c r="DC4943" s="67"/>
      <c r="DD4943" s="67"/>
      <c r="DE4943" s="67"/>
      <c r="DF4943" s="67"/>
      <c r="DG4943" s="67"/>
      <c r="DH4943" s="67"/>
      <c r="DI4943" s="67"/>
      <c r="DJ4943" s="67"/>
      <c r="DK4943" s="67"/>
      <c r="DL4943" s="67"/>
      <c r="DM4943" s="67"/>
      <c r="DN4943" s="67"/>
      <c r="DO4943" s="67"/>
      <c r="DP4943" s="67"/>
      <c r="DQ4943" s="166"/>
      <c r="DR4943" s="166"/>
      <c r="DS4943" s="163"/>
      <c r="DT4943" s="163"/>
      <c r="DU4943" s="67"/>
      <c r="DV4943" s="67"/>
      <c r="DW4943" s="67"/>
      <c r="DX4943" s="67"/>
      <c r="DY4943" s="67"/>
      <c r="DZ4943" s="67"/>
      <c r="EA4943" s="67"/>
      <c r="EB4943" s="67"/>
      <c r="EC4943" s="67"/>
      <c r="ED4943" s="67"/>
      <c r="EE4943" s="67"/>
      <c r="EF4943" s="67"/>
      <c r="EG4943" s="67"/>
      <c r="EH4943" s="67"/>
      <c r="EI4943" s="67"/>
      <c r="EJ4943" s="67"/>
      <c r="EK4943" s="94"/>
      <c r="EL4943" s="94"/>
      <c r="EM4943" s="67"/>
      <c r="EN4943" s="67"/>
      <c r="EO4943" s="67"/>
      <c r="EP4943" s="67"/>
      <c r="EQ4943" s="67"/>
      <c r="ER4943" s="67"/>
      <c r="ES4943" s="67"/>
      <c r="ET4943" s="67"/>
      <c r="EU4943" s="67"/>
      <c r="EV4943" s="67"/>
      <c r="EW4943" s="67"/>
      <c r="EX4943" s="67"/>
      <c r="EY4943" s="67"/>
      <c r="EZ4943" s="67"/>
      <c r="FA4943" s="67"/>
      <c r="FB4943" s="67"/>
      <c r="FC4943" s="67"/>
      <c r="FD4943" s="67"/>
      <c r="FE4943" s="67"/>
      <c r="FF4943" s="67"/>
      <c r="FG4943" s="67"/>
      <c r="FH4943" s="67"/>
      <c r="FI4943" s="67"/>
      <c r="FJ4943" s="67"/>
      <c r="FK4943" s="67"/>
      <c r="FL4943" s="67"/>
      <c r="FM4943" s="67"/>
      <c r="FN4943" s="67"/>
      <c r="FO4943" s="67"/>
      <c r="FP4943" s="67"/>
      <c r="FQ4943" s="67"/>
      <c r="FR4943" s="67"/>
      <c r="FS4943" s="67"/>
      <c r="FT4943" s="67"/>
      <c r="FU4943" s="67"/>
      <c r="FV4943" s="67"/>
      <c r="FW4943" s="67"/>
      <c r="FX4943" s="67"/>
      <c r="FY4943" s="67"/>
      <c r="FZ4943" s="67"/>
      <c r="GA4943" s="67"/>
      <c r="GB4943" s="67"/>
      <c r="GC4943" s="67"/>
      <c r="GD4943" s="67"/>
      <c r="GE4943" s="67"/>
      <c r="GF4943" s="67"/>
      <c r="GG4943" s="67"/>
      <c r="GH4943" s="67"/>
      <c r="GI4943" s="67"/>
      <c r="GJ4943" s="67"/>
      <c r="GK4943" s="67"/>
      <c r="GL4943" s="67"/>
      <c r="GM4943" s="67"/>
      <c r="GN4943" s="292"/>
      <c r="GO4943" s="292"/>
      <c r="GP4943" s="292" t="s">
        <v>7494</v>
      </c>
      <c r="GQ4943" s="67"/>
      <c r="GR4943" s="67"/>
      <c r="GS4943" s="67"/>
      <c r="GT4943" s="67"/>
      <c r="GU4943" s="67"/>
      <c r="GV4943" s="67"/>
      <c r="GW4943" s="67"/>
      <c r="GX4943" s="67"/>
      <c r="GY4943" s="67"/>
      <c r="GZ4943" s="67"/>
      <c r="HA4943" s="67"/>
      <c r="HB4943" s="67"/>
      <c r="HC4943" s="67"/>
      <c r="HD4943" s="67"/>
      <c r="HE4943" s="67"/>
      <c r="HF4943" s="67"/>
      <c r="HG4943" s="67"/>
      <c r="HH4943" s="67"/>
      <c r="HI4943" s="67"/>
      <c r="HJ4943" s="67"/>
      <c r="HK4943" s="67"/>
      <c r="HL4943" s="67"/>
      <c r="HM4943" s="67"/>
      <c r="HN4943" s="67"/>
      <c r="HO4943" s="67"/>
      <c r="HP4943" s="67"/>
      <c r="HQ4943" s="67"/>
      <c r="HR4943" s="67"/>
      <c r="HS4943" s="67"/>
      <c r="HT4943" s="67"/>
      <c r="HU4943" s="67"/>
      <c r="HV4943" s="67"/>
      <c r="HW4943" s="67"/>
      <c r="HX4943" s="67"/>
      <c r="HY4943" s="67"/>
      <c r="HZ4943" s="67"/>
      <c r="IA4943" s="67"/>
      <c r="IB4943" s="67"/>
      <c r="IC4943" s="67"/>
      <c r="ID4943" s="67"/>
      <c r="IE4943" s="67"/>
      <c r="IF4943" s="67"/>
      <c r="IG4943" s="67"/>
      <c r="IH4943" s="67"/>
      <c r="II4943" s="67"/>
      <c r="IJ4943" s="67"/>
      <c r="IK4943" s="67"/>
      <c r="IL4943" s="67"/>
      <c r="IM4943" s="67"/>
      <c r="IN4943" s="67"/>
      <c r="IO4943" s="67"/>
      <c r="IP4943" s="67"/>
      <c r="IQ4943" s="67"/>
      <c r="IR4943" s="67"/>
      <c r="IS4943" s="67"/>
      <c r="IT4943" s="67"/>
      <c r="IU4943" s="67"/>
      <c r="IV4943" s="67"/>
      <c r="IW4943" s="67"/>
      <c r="IX4943" s="67"/>
      <c r="IY4943" s="67"/>
      <c r="IZ4943" s="67"/>
      <c r="JA4943" s="67"/>
      <c r="JB4943" s="67"/>
      <c r="JC4943" s="67"/>
      <c r="JD4943" s="67"/>
      <c r="JE4943" s="67"/>
      <c r="JF4943" s="67"/>
      <c r="JG4943" s="67"/>
      <c r="JH4943" s="67"/>
      <c r="JI4943" s="67"/>
      <c r="JJ4943" s="67"/>
      <c r="JK4943" s="67"/>
      <c r="JL4943" s="67"/>
      <c r="JM4943" s="67"/>
      <c r="JN4943" s="67"/>
      <c r="JO4943" s="67"/>
      <c r="JP4943" s="67"/>
      <c r="JQ4943" s="67"/>
      <c r="JR4943" s="67"/>
      <c r="JS4943" s="67"/>
      <c r="JT4943" s="67">
        <v>99999</v>
      </c>
      <c r="JU4943" s="58"/>
      <c r="JV4943" s="58"/>
      <c r="JW4943" s="58"/>
    </row>
    <row r="4944" spans="1:283" s="23" customFormat="1" x14ac:dyDescent="0.25">
      <c r="A4944" s="55">
        <v>4943</v>
      </c>
      <c r="B4944" s="12" t="s">
        <v>7067</v>
      </c>
      <c r="C4944" s="156">
        <v>239</v>
      </c>
      <c r="D4944" s="58" t="s">
        <v>4957</v>
      </c>
      <c r="E4944" s="160" t="str">
        <f>G4944</f>
        <v>Hepperly et al 2006_pair 1</v>
      </c>
      <c r="F4944" s="160"/>
      <c r="G4944" s="60" t="s">
        <v>4772</v>
      </c>
      <c r="H4944" s="58">
        <v>2006</v>
      </c>
      <c r="I4944" s="58" t="s">
        <v>5945</v>
      </c>
      <c r="J4944" s="243" t="s">
        <v>5313</v>
      </c>
      <c r="K4944" s="63" t="s">
        <v>5103</v>
      </c>
      <c r="L4944" s="58" t="s">
        <v>2737</v>
      </c>
      <c r="M4944" s="94">
        <v>40.520000000000003</v>
      </c>
      <c r="N4944" s="94">
        <v>-75.78</v>
      </c>
      <c r="O4944" s="94">
        <v>135</v>
      </c>
      <c r="P4944" s="58"/>
      <c r="Q4944" s="244">
        <v>12.4</v>
      </c>
      <c r="R4944" s="58"/>
      <c r="S4944" s="245">
        <v>1105</v>
      </c>
      <c r="T4944" s="58"/>
      <c r="U4944" s="58" t="s">
        <v>1935</v>
      </c>
      <c r="V4944" s="244" t="s">
        <v>1687</v>
      </c>
      <c r="W4944" s="174"/>
      <c r="X4944" s="174"/>
      <c r="Y4944" s="58" t="s">
        <v>5947</v>
      </c>
      <c r="Z4944" s="244" t="s">
        <v>1356</v>
      </c>
      <c r="AA4944" s="245">
        <v>30</v>
      </c>
      <c r="AB4944" s="67"/>
      <c r="AC4944" s="67"/>
      <c r="AD4944" s="94">
        <v>1.33</v>
      </c>
      <c r="AE4944" s="94"/>
      <c r="AF4944" s="94"/>
      <c r="AG4944" s="245">
        <v>27.1</v>
      </c>
      <c r="AH4944" s="58" t="s">
        <v>6378</v>
      </c>
      <c r="AI4944" s="169"/>
      <c r="AJ4944" s="94">
        <f>(24.2)/(100*100*0.25*AD4944)*100</f>
        <v>0.72781954887218048</v>
      </c>
      <c r="AK4944" s="94"/>
      <c r="AL4944" s="58"/>
      <c r="AM4944" s="58"/>
      <c r="AN4944" s="186" t="s">
        <v>553</v>
      </c>
      <c r="AO4944" s="185" t="s">
        <v>5150</v>
      </c>
      <c r="AP4944" s="58"/>
      <c r="AQ4944" s="58" t="s">
        <v>553</v>
      </c>
      <c r="AR4944" s="58"/>
      <c r="AS4944" s="246" t="s">
        <v>5133</v>
      </c>
      <c r="AT4944" s="247">
        <v>0</v>
      </c>
      <c r="AU4944" s="181" t="s">
        <v>7494</v>
      </c>
      <c r="AV4944" s="185" t="s">
        <v>176</v>
      </c>
      <c r="AW4944" s="244">
        <v>1</v>
      </c>
      <c r="AX4944" s="185" t="s">
        <v>176</v>
      </c>
      <c r="AY4944" s="244" t="s">
        <v>5150</v>
      </c>
      <c r="AZ4944" s="58"/>
      <c r="BA4944" s="58"/>
      <c r="BB4944" s="58"/>
      <c r="BC4944" s="58"/>
      <c r="BD4944" s="58"/>
      <c r="BE4944" s="236" t="s">
        <v>5190</v>
      </c>
      <c r="BF4944" s="191" t="s">
        <v>479</v>
      </c>
      <c r="BG4944" s="191" t="s">
        <v>479</v>
      </c>
      <c r="BH4944" s="236" t="s">
        <v>5256</v>
      </c>
      <c r="BI4944" s="191" t="s">
        <v>479</v>
      </c>
      <c r="BJ4944" s="58" t="str">
        <f>IF(BE4944=BH4944,"No","yes")</f>
        <v>yes</v>
      </c>
      <c r="BK4944" s="58" t="s">
        <v>6335</v>
      </c>
      <c r="BL4944" s="58"/>
      <c r="BM4944" s="237"/>
      <c r="BN4944" s="244">
        <v>8</v>
      </c>
      <c r="BO4944" s="244">
        <v>8</v>
      </c>
      <c r="BP4944" s="58"/>
      <c r="BQ4944" s="58"/>
      <c r="BR4944" s="58"/>
      <c r="BS4944" s="58"/>
      <c r="BT4944" s="58"/>
      <c r="BU4944" s="58"/>
      <c r="BV4944" s="58"/>
      <c r="BW4944" s="67">
        <v>207</v>
      </c>
      <c r="BX4944" s="67">
        <v>242</v>
      </c>
      <c r="BY4944" s="67"/>
      <c r="BZ4944" s="67"/>
      <c r="CA4944" s="67" t="s">
        <v>5948</v>
      </c>
      <c r="CB4944" s="70">
        <v>2523</v>
      </c>
      <c r="CC4944" s="70">
        <v>2354</v>
      </c>
      <c r="CD4944" s="70"/>
      <c r="CE4944" s="67"/>
      <c r="CF4944" s="67"/>
      <c r="CG4944" s="67" t="s">
        <v>5949</v>
      </c>
      <c r="CH4944" s="245"/>
      <c r="CI4944" s="245"/>
      <c r="CJ4944" s="67"/>
      <c r="CK4944" s="67"/>
      <c r="CL4944" s="67"/>
      <c r="CM4944" s="242">
        <v>1.8580000000000001</v>
      </c>
      <c r="CN4944" s="242">
        <v>2.0579999999999998</v>
      </c>
      <c r="CO4944" s="242"/>
      <c r="CP4944" s="242"/>
      <c r="CQ4944" s="242" t="s">
        <v>164</v>
      </c>
      <c r="CR4944" s="242">
        <f>CM4944*0.01*(100*100*AA4944/100*AD4944)</f>
        <v>74.134200000000007</v>
      </c>
      <c r="CS4944" s="242">
        <f>CN4944*0.01*(100*100*AA4944/100*AD4944)</f>
        <v>82.114199999999997</v>
      </c>
      <c r="CT4944" s="242"/>
      <c r="CU4944" s="242"/>
      <c r="CV4944" s="242"/>
      <c r="CW4944" s="242"/>
      <c r="CX4944" s="242">
        <f>(CS4944-74.134)/U4944*1000</f>
        <v>7980.1999999999962</v>
      </c>
      <c r="CY4944" s="242"/>
      <c r="CZ4944" s="242"/>
      <c r="DA4944" s="67" t="s">
        <v>5443</v>
      </c>
      <c r="DB4944" s="67"/>
      <c r="DC4944" s="67"/>
      <c r="DD4944" s="67"/>
      <c r="DE4944" s="67"/>
      <c r="DF4944" s="67"/>
      <c r="DG4944" s="67"/>
      <c r="DH4944" s="67"/>
      <c r="DI4944" s="67"/>
      <c r="DJ4944" s="67"/>
      <c r="DK4944" s="67"/>
      <c r="DL4944" s="67"/>
      <c r="DM4944" s="67"/>
      <c r="DN4944" s="67"/>
      <c r="DO4944" s="67"/>
      <c r="DP4944" s="67"/>
      <c r="DQ4944" s="166"/>
      <c r="DR4944" s="166"/>
      <c r="DS4944" s="163"/>
      <c r="DT4944" s="163"/>
      <c r="DU4944" s="67"/>
      <c r="DV4944" s="67"/>
      <c r="DW4944" s="67"/>
      <c r="DX4944" s="67"/>
      <c r="DY4944" s="67"/>
      <c r="DZ4944" s="67"/>
      <c r="EA4944" s="67"/>
      <c r="EB4944" s="67"/>
      <c r="EC4944" s="67"/>
      <c r="ED4944" s="67"/>
      <c r="EE4944" s="67"/>
      <c r="EF4944" s="67"/>
      <c r="EG4944" s="67"/>
      <c r="EH4944" s="67"/>
      <c r="EI4944" s="67"/>
      <c r="EJ4944" s="67"/>
      <c r="EK4944" s="94"/>
      <c r="EL4944" s="94"/>
      <c r="EM4944" s="67"/>
      <c r="EN4944" s="67"/>
      <c r="EO4944" s="67"/>
      <c r="EP4944" s="67"/>
      <c r="EQ4944" s="67"/>
      <c r="ER4944" s="67"/>
      <c r="ES4944" s="67"/>
      <c r="ET4944" s="67"/>
      <c r="EU4944" s="67"/>
      <c r="EV4944" s="67"/>
      <c r="EW4944" s="67"/>
      <c r="EX4944" s="67"/>
      <c r="EY4944" s="67"/>
      <c r="EZ4944" s="67"/>
      <c r="FA4944" s="67"/>
      <c r="FB4944" s="67"/>
      <c r="FC4944" s="67"/>
      <c r="FD4944" s="67"/>
      <c r="FE4944" s="67"/>
      <c r="FF4944" s="67"/>
      <c r="FG4944" s="67"/>
      <c r="FH4944" s="67"/>
      <c r="FI4944" s="67"/>
      <c r="FJ4944" s="67"/>
      <c r="FK4944" s="67"/>
      <c r="FL4944" s="67"/>
      <c r="FM4944" s="67"/>
      <c r="FN4944" s="67"/>
      <c r="FO4944" s="67"/>
      <c r="FP4944" s="67"/>
      <c r="FQ4944" s="67"/>
      <c r="FR4944" s="67"/>
      <c r="FS4944" s="67"/>
      <c r="FT4944" s="67"/>
      <c r="FU4944" s="67"/>
      <c r="FV4944" s="67"/>
      <c r="FW4944" s="67"/>
      <c r="FX4944" s="67"/>
      <c r="FY4944" s="67"/>
      <c r="FZ4944" s="67"/>
      <c r="GA4944" s="67"/>
      <c r="GB4944" s="67"/>
      <c r="GC4944" s="67"/>
      <c r="GD4944" s="67"/>
      <c r="GE4944" s="67"/>
      <c r="GF4944" s="67"/>
      <c r="GG4944" s="67"/>
      <c r="GH4944" s="67"/>
      <c r="GI4944" s="67"/>
      <c r="GJ4944" s="67"/>
      <c r="GK4944" s="67"/>
      <c r="GL4944" s="67"/>
      <c r="GM4944" s="67"/>
      <c r="GN4944" s="292"/>
      <c r="GO4944" s="292"/>
      <c r="GP4944" s="292" t="s">
        <v>7494</v>
      </c>
      <c r="GQ4944" s="67"/>
      <c r="GR4944" s="67"/>
      <c r="GS4944" s="67"/>
      <c r="GT4944" s="67"/>
      <c r="GU4944" s="67"/>
      <c r="GV4944" s="67"/>
      <c r="GW4944" s="67"/>
      <c r="GX4944" s="67"/>
      <c r="GY4944" s="67"/>
      <c r="GZ4944" s="67"/>
      <c r="HA4944" s="67"/>
      <c r="HB4944" s="67"/>
      <c r="HC4944" s="67"/>
      <c r="HD4944" s="67"/>
      <c r="HE4944" s="67"/>
      <c r="HF4944" s="67"/>
      <c r="HG4944" s="67"/>
      <c r="HH4944" s="67"/>
      <c r="HI4944" s="67"/>
      <c r="HJ4944" s="67"/>
      <c r="HK4944" s="67"/>
      <c r="HL4944" s="67"/>
      <c r="HM4944" s="67"/>
      <c r="HN4944" s="67"/>
      <c r="HO4944" s="67"/>
      <c r="HP4944" s="67"/>
      <c r="HQ4944" s="67"/>
      <c r="HR4944" s="67"/>
      <c r="HS4944" s="67"/>
      <c r="HT4944" s="67"/>
      <c r="HU4944" s="67"/>
      <c r="HV4944" s="67"/>
      <c r="HW4944" s="67"/>
      <c r="HX4944" s="67"/>
      <c r="HY4944" s="67"/>
      <c r="HZ4944" s="67"/>
      <c r="IA4944" s="67"/>
      <c r="IB4944" s="67"/>
      <c r="IC4944" s="67"/>
      <c r="ID4944" s="67"/>
      <c r="IE4944" s="67"/>
      <c r="IF4944" s="67"/>
      <c r="IG4944" s="67"/>
      <c r="IH4944" s="67"/>
      <c r="II4944" s="67"/>
      <c r="IJ4944" s="67"/>
      <c r="IK4944" s="67"/>
      <c r="IL4944" s="67"/>
      <c r="IM4944" s="67"/>
      <c r="IN4944" s="67"/>
      <c r="IO4944" s="67"/>
      <c r="IP4944" s="67"/>
      <c r="IQ4944" s="67"/>
      <c r="IR4944" s="67"/>
      <c r="IS4944" s="67"/>
      <c r="IT4944" s="67"/>
      <c r="IU4944" s="67"/>
      <c r="IV4944" s="67"/>
      <c r="IW4944" s="67"/>
      <c r="IX4944" s="67"/>
      <c r="IY4944" s="67"/>
      <c r="IZ4944" s="67"/>
      <c r="JA4944" s="67"/>
      <c r="JB4944" s="67"/>
      <c r="JC4944" s="67"/>
      <c r="JD4944" s="67"/>
      <c r="JE4944" s="67"/>
      <c r="JF4944" s="67"/>
      <c r="JG4944" s="67"/>
      <c r="JH4944" s="67"/>
      <c r="JI4944" s="67"/>
      <c r="JJ4944" s="67"/>
      <c r="JK4944" s="67"/>
      <c r="JL4944" s="67"/>
      <c r="JM4944" s="67"/>
      <c r="JN4944" s="67"/>
      <c r="JO4944" s="67"/>
      <c r="JP4944" s="67"/>
      <c r="JQ4944" s="67"/>
      <c r="JR4944" s="67"/>
      <c r="JS4944" s="67"/>
      <c r="JT4944" s="67"/>
      <c r="JU4944" s="58"/>
      <c r="JV4944" s="58"/>
      <c r="JW4944" s="58"/>
    </row>
    <row r="4945" spans="1:283" s="23" customFormat="1" x14ac:dyDescent="0.25">
      <c r="A4945" s="55">
        <v>4944</v>
      </c>
      <c r="B4945" s="12" t="s">
        <v>7067</v>
      </c>
      <c r="C4945" s="156">
        <v>239</v>
      </c>
      <c r="D4945" s="58" t="s">
        <v>4958</v>
      </c>
      <c r="E4945" s="160" t="str">
        <f>G4945</f>
        <v>Hepperly et al 2006_pair 2</v>
      </c>
      <c r="F4945" s="160"/>
      <c r="G4945" s="60" t="s">
        <v>4771</v>
      </c>
      <c r="H4945" s="58">
        <v>2006</v>
      </c>
      <c r="I4945" s="58" t="s">
        <v>5946</v>
      </c>
      <c r="J4945" s="243" t="s">
        <v>5313</v>
      </c>
      <c r="K4945" s="63" t="s">
        <v>5103</v>
      </c>
      <c r="L4945" s="58" t="s">
        <v>2737</v>
      </c>
      <c r="M4945" s="94">
        <v>40.520000000000003</v>
      </c>
      <c r="N4945" s="94">
        <v>-75.78</v>
      </c>
      <c r="O4945" s="94">
        <v>135</v>
      </c>
      <c r="P4945" s="58"/>
      <c r="Q4945" s="244">
        <v>12.4</v>
      </c>
      <c r="R4945" s="58"/>
      <c r="S4945" s="245">
        <v>1105</v>
      </c>
      <c r="T4945" s="58"/>
      <c r="U4945" s="58" t="s">
        <v>1682</v>
      </c>
      <c r="V4945" s="244" t="s">
        <v>1687</v>
      </c>
      <c r="W4945" s="174"/>
      <c r="X4945" s="174"/>
      <c r="Y4945" s="58" t="s">
        <v>5947</v>
      </c>
      <c r="Z4945" s="244" t="s">
        <v>1356</v>
      </c>
      <c r="AA4945" s="245">
        <v>30</v>
      </c>
      <c r="AB4945" s="67"/>
      <c r="AC4945" s="67"/>
      <c r="AD4945" s="94">
        <v>1.33</v>
      </c>
      <c r="AE4945" s="94"/>
      <c r="AF4945" s="94"/>
      <c r="AG4945" s="245">
        <v>27.1</v>
      </c>
      <c r="AH4945" s="58" t="s">
        <v>6378</v>
      </c>
      <c r="AI4945" s="169"/>
      <c r="AJ4945" s="94"/>
      <c r="AK4945" s="94"/>
      <c r="AL4945" s="58"/>
      <c r="AM4945" s="58"/>
      <c r="AN4945" s="186" t="s">
        <v>553</v>
      </c>
      <c r="AO4945" s="185" t="s">
        <v>5150</v>
      </c>
      <c r="AP4945" s="58"/>
      <c r="AQ4945" s="58" t="s">
        <v>553</v>
      </c>
      <c r="AR4945" s="58"/>
      <c r="AS4945" s="246" t="s">
        <v>5133</v>
      </c>
      <c r="AT4945" s="247">
        <v>0</v>
      </c>
      <c r="AU4945" s="181" t="s">
        <v>7494</v>
      </c>
      <c r="AV4945" s="185" t="s">
        <v>176</v>
      </c>
      <c r="AW4945" s="244">
        <v>1</v>
      </c>
      <c r="AX4945" s="185" t="s">
        <v>176</v>
      </c>
      <c r="AY4945" s="244" t="s">
        <v>5150</v>
      </c>
      <c r="AZ4945" s="58"/>
      <c r="BA4945" s="58"/>
      <c r="BB4945" s="58"/>
      <c r="BC4945" s="58"/>
      <c r="BD4945" s="58"/>
      <c r="BE4945" s="236" t="s">
        <v>5190</v>
      </c>
      <c r="BF4945" s="191" t="s">
        <v>479</v>
      </c>
      <c r="BG4945" s="191" t="s">
        <v>479</v>
      </c>
      <c r="BH4945" s="236" t="s">
        <v>5257</v>
      </c>
      <c r="BI4945" s="191" t="s">
        <v>479</v>
      </c>
      <c r="BJ4945" s="58" t="str">
        <f>IF(BE4945=BH4945,"No","yes")</f>
        <v>yes</v>
      </c>
      <c r="BK4945" s="58" t="s">
        <v>6335</v>
      </c>
      <c r="BL4945" s="58"/>
      <c r="BM4945" s="237"/>
      <c r="BN4945" s="244">
        <v>8</v>
      </c>
      <c r="BO4945" s="244">
        <v>8</v>
      </c>
      <c r="BP4945" s="58"/>
      <c r="BQ4945" s="58"/>
      <c r="BR4945" s="58"/>
      <c r="BS4945" s="58"/>
      <c r="BT4945" s="58"/>
      <c r="BU4945" s="58"/>
      <c r="BV4945" s="58"/>
      <c r="BW4945" s="67"/>
      <c r="BX4945" s="67"/>
      <c r="BY4945" s="67"/>
      <c r="BZ4945" s="67"/>
      <c r="CA4945" s="67"/>
      <c r="CB4945" s="70">
        <v>5900</v>
      </c>
      <c r="CC4945" s="70">
        <v>4685.3999999999996</v>
      </c>
      <c r="CD4945" s="70"/>
      <c r="CE4945" s="67"/>
      <c r="CF4945" s="67"/>
      <c r="CG4945" s="67" t="s">
        <v>5950</v>
      </c>
      <c r="CH4945" s="245"/>
      <c r="CI4945" s="245"/>
      <c r="CJ4945" s="67"/>
      <c r="CK4945" s="67"/>
      <c r="CL4945" s="67"/>
      <c r="CM4945" s="242">
        <v>2.0499999999999998</v>
      </c>
      <c r="CN4945" s="242">
        <v>2.2570000000000001</v>
      </c>
      <c r="CO4945" s="242"/>
      <c r="CP4945" s="242"/>
      <c r="CQ4945" s="242" t="s">
        <v>164</v>
      </c>
      <c r="CR4945" s="242">
        <f>CM4945*0.01*(100*100*AA4945/100*AD4945)</f>
        <v>81.794999999999987</v>
      </c>
      <c r="CS4945" s="242">
        <f>CN4945*0.01*(100*100*AA4945/100*AD4945)</f>
        <v>90.054300000000012</v>
      </c>
      <c r="CT4945" s="242"/>
      <c r="CU4945" s="242"/>
      <c r="CV4945" s="242"/>
      <c r="CW4945" s="242">
        <f>(CR4945-74.134)/U4945*1000</f>
        <v>1532.1999999999973</v>
      </c>
      <c r="CX4945" s="242">
        <f>(CS4945-74.134)/U4945*1000</f>
        <v>3184.0600000000022</v>
      </c>
      <c r="CY4945" s="242"/>
      <c r="CZ4945" s="242"/>
      <c r="DA4945" s="67" t="s">
        <v>5443</v>
      </c>
      <c r="DB4945" s="67"/>
      <c r="DC4945" s="67"/>
      <c r="DD4945" s="67"/>
      <c r="DE4945" s="67"/>
      <c r="DF4945" s="67"/>
      <c r="DG4945" s="67"/>
      <c r="DH4945" s="67"/>
      <c r="DI4945" s="67"/>
      <c r="DJ4945" s="67"/>
      <c r="DK4945" s="67"/>
      <c r="DL4945" s="67"/>
      <c r="DM4945" s="67"/>
      <c r="DN4945" s="67"/>
      <c r="DO4945" s="67"/>
      <c r="DP4945" s="67"/>
      <c r="DQ4945" s="166"/>
      <c r="DR4945" s="166"/>
      <c r="DS4945" s="163"/>
      <c r="DT4945" s="163"/>
      <c r="DU4945" s="67"/>
      <c r="DV4945" s="67"/>
      <c r="DW4945" s="67"/>
      <c r="DX4945" s="67"/>
      <c r="DY4945" s="67"/>
      <c r="DZ4945" s="67"/>
      <c r="EA4945" s="67"/>
      <c r="EB4945" s="67"/>
      <c r="EC4945" s="67"/>
      <c r="ED4945" s="67"/>
      <c r="EE4945" s="67"/>
      <c r="EF4945" s="67"/>
      <c r="EG4945" s="67"/>
      <c r="EH4945" s="67"/>
      <c r="EI4945" s="67"/>
      <c r="EJ4945" s="67"/>
      <c r="EK4945" s="94"/>
      <c r="EL4945" s="94"/>
      <c r="EM4945" s="67"/>
      <c r="EN4945" s="67"/>
      <c r="EO4945" s="67"/>
      <c r="EP4945" s="67"/>
      <c r="EQ4945" s="67"/>
      <c r="ER4945" s="67"/>
      <c r="ES4945" s="67"/>
      <c r="ET4945" s="67"/>
      <c r="EU4945" s="67"/>
      <c r="EV4945" s="67"/>
      <c r="EW4945" s="67"/>
      <c r="EX4945" s="67"/>
      <c r="EY4945" s="67"/>
      <c r="EZ4945" s="67"/>
      <c r="FA4945" s="67"/>
      <c r="FB4945" s="67"/>
      <c r="FC4945" s="67"/>
      <c r="FD4945" s="67"/>
      <c r="FE4945" s="67"/>
      <c r="FF4945" s="67"/>
      <c r="FG4945" s="67"/>
      <c r="FH4945" s="67"/>
      <c r="FI4945" s="67"/>
      <c r="FJ4945" s="67"/>
      <c r="FK4945" s="67"/>
      <c r="FL4945" s="67"/>
      <c r="FM4945" s="67"/>
      <c r="FN4945" s="67"/>
      <c r="FO4945" s="67"/>
      <c r="FP4945" s="67"/>
      <c r="FQ4945" s="67"/>
      <c r="FR4945" s="67"/>
      <c r="FS4945" s="67"/>
      <c r="FT4945" s="67"/>
      <c r="FU4945" s="67"/>
      <c r="FV4945" s="67"/>
      <c r="FW4945" s="67"/>
      <c r="FX4945" s="67"/>
      <c r="FY4945" s="67"/>
      <c r="FZ4945" s="67"/>
      <c r="GA4945" s="67"/>
      <c r="GB4945" s="67"/>
      <c r="GC4945" s="67"/>
      <c r="GD4945" s="67"/>
      <c r="GE4945" s="67"/>
      <c r="GF4945" s="67"/>
      <c r="GG4945" s="67"/>
      <c r="GH4945" s="67"/>
      <c r="GI4945" s="67"/>
      <c r="GJ4945" s="67"/>
      <c r="GK4945" s="67"/>
      <c r="GL4945" s="67"/>
      <c r="GM4945" s="67"/>
      <c r="GN4945" s="292"/>
      <c r="GO4945" s="292"/>
      <c r="GP4945" s="292" t="s">
        <v>7494</v>
      </c>
      <c r="GQ4945" s="67"/>
      <c r="GR4945" s="67"/>
      <c r="GS4945" s="67"/>
      <c r="GT4945" s="67"/>
      <c r="GU4945" s="67"/>
      <c r="GV4945" s="67"/>
      <c r="GW4945" s="67"/>
      <c r="GX4945" s="67"/>
      <c r="GY4945" s="67"/>
      <c r="GZ4945" s="67"/>
      <c r="HA4945" s="67"/>
      <c r="HB4945" s="67"/>
      <c r="HC4945" s="67"/>
      <c r="HD4945" s="67"/>
      <c r="HE4945" s="67"/>
      <c r="HF4945" s="67"/>
      <c r="HG4945" s="67"/>
      <c r="HH4945" s="67"/>
      <c r="HI4945" s="67"/>
      <c r="HJ4945" s="67"/>
      <c r="HK4945" s="67"/>
      <c r="HL4945" s="67"/>
      <c r="HM4945" s="67"/>
      <c r="HN4945" s="67"/>
      <c r="HO4945" s="67"/>
      <c r="HP4945" s="67"/>
      <c r="HQ4945" s="67"/>
      <c r="HR4945" s="67"/>
      <c r="HS4945" s="67"/>
      <c r="HT4945" s="67"/>
      <c r="HU4945" s="67"/>
      <c r="HV4945" s="67"/>
      <c r="HW4945" s="67"/>
      <c r="HX4945" s="67"/>
      <c r="HY4945" s="67"/>
      <c r="HZ4945" s="67"/>
      <c r="IA4945" s="67"/>
      <c r="IB4945" s="67"/>
      <c r="IC4945" s="67"/>
      <c r="ID4945" s="67"/>
      <c r="IE4945" s="67"/>
      <c r="IF4945" s="67"/>
      <c r="IG4945" s="67"/>
      <c r="IH4945" s="67"/>
      <c r="II4945" s="67"/>
      <c r="IJ4945" s="67"/>
      <c r="IK4945" s="67"/>
      <c r="IL4945" s="67"/>
      <c r="IM4945" s="67"/>
      <c r="IN4945" s="67"/>
      <c r="IO4945" s="67"/>
      <c r="IP4945" s="67"/>
      <c r="IQ4945" s="67"/>
      <c r="IR4945" s="67"/>
      <c r="IS4945" s="67"/>
      <c r="IT4945" s="67"/>
      <c r="IU4945" s="67"/>
      <c r="IV4945" s="67"/>
      <c r="IW4945" s="67"/>
      <c r="IX4945" s="67"/>
      <c r="IY4945" s="67"/>
      <c r="IZ4945" s="67"/>
      <c r="JA4945" s="67"/>
      <c r="JB4945" s="67"/>
      <c r="JC4945" s="67"/>
      <c r="JD4945" s="67"/>
      <c r="JE4945" s="67"/>
      <c r="JF4945" s="67"/>
      <c r="JG4945" s="67"/>
      <c r="JH4945" s="67"/>
      <c r="JI4945" s="67"/>
      <c r="JJ4945" s="67"/>
      <c r="JK4945" s="67"/>
      <c r="JL4945" s="67"/>
      <c r="JM4945" s="67"/>
      <c r="JN4945" s="67"/>
      <c r="JO4945" s="67"/>
      <c r="JP4945" s="67"/>
      <c r="JQ4945" s="67"/>
      <c r="JR4945" s="67"/>
      <c r="JS4945" s="67"/>
      <c r="JT4945" s="67"/>
      <c r="JU4945" s="58"/>
      <c r="JV4945" s="58"/>
      <c r="JW4945" s="58"/>
    </row>
    <row r="4946" spans="1:283" s="23" customFormat="1" x14ac:dyDescent="0.25">
      <c r="A4946" s="55">
        <v>4945</v>
      </c>
      <c r="B4946" s="12" t="s">
        <v>7067</v>
      </c>
      <c r="C4946" s="156">
        <v>239</v>
      </c>
      <c r="D4946" s="58" t="s">
        <v>4957</v>
      </c>
      <c r="E4946" s="160" t="str">
        <f>G4946</f>
        <v>Hepperly et al 2006_pair 1</v>
      </c>
      <c r="F4946" s="160"/>
      <c r="G4946" s="60" t="s">
        <v>4772</v>
      </c>
      <c r="H4946" s="58">
        <v>2006</v>
      </c>
      <c r="I4946" s="58" t="s">
        <v>5941</v>
      </c>
      <c r="J4946" s="243" t="s">
        <v>5313</v>
      </c>
      <c r="K4946" s="63" t="s">
        <v>5103</v>
      </c>
      <c r="L4946" s="58" t="s">
        <v>2737</v>
      </c>
      <c r="M4946" s="94">
        <v>40.520000000000003</v>
      </c>
      <c r="N4946" s="94">
        <v>-75.78</v>
      </c>
      <c r="O4946" s="94">
        <v>135</v>
      </c>
      <c r="P4946" s="58"/>
      <c r="Q4946" s="244">
        <v>12.4</v>
      </c>
      <c r="R4946" s="58"/>
      <c r="S4946" s="245">
        <v>1105</v>
      </c>
      <c r="T4946" s="58"/>
      <c r="U4946" s="58" t="s">
        <v>1679</v>
      </c>
      <c r="V4946" s="244" t="s">
        <v>1687</v>
      </c>
      <c r="W4946" s="174"/>
      <c r="X4946" s="174"/>
      <c r="Y4946" s="58" t="s">
        <v>5947</v>
      </c>
      <c r="Z4946" s="244" t="s">
        <v>1356</v>
      </c>
      <c r="AA4946" s="245">
        <v>30</v>
      </c>
      <c r="AB4946" s="67"/>
      <c r="AC4946" s="67"/>
      <c r="AD4946" s="94">
        <v>1.33</v>
      </c>
      <c r="AE4946" s="94"/>
      <c r="AF4946" s="94"/>
      <c r="AG4946" s="245">
        <v>27.1</v>
      </c>
      <c r="AH4946" s="58" t="s">
        <v>6378</v>
      </c>
      <c r="AI4946" s="169"/>
      <c r="AJ4946" s="94"/>
      <c r="AK4946" s="94"/>
      <c r="AL4946" s="58"/>
      <c r="AM4946" s="58"/>
      <c r="AN4946" s="186" t="s">
        <v>553</v>
      </c>
      <c r="AO4946" s="185" t="s">
        <v>5150</v>
      </c>
      <c r="AP4946" s="58"/>
      <c r="AQ4946" s="58" t="s">
        <v>553</v>
      </c>
      <c r="AR4946" s="58"/>
      <c r="AS4946" s="246" t="s">
        <v>5133</v>
      </c>
      <c r="AT4946" s="247">
        <v>0</v>
      </c>
      <c r="AU4946" s="181" t="s">
        <v>7494</v>
      </c>
      <c r="AV4946" s="185" t="s">
        <v>176</v>
      </c>
      <c r="AW4946" s="244">
        <v>1</v>
      </c>
      <c r="AX4946" s="185" t="s">
        <v>176</v>
      </c>
      <c r="AY4946" s="244" t="s">
        <v>5150</v>
      </c>
      <c r="AZ4946" s="58"/>
      <c r="BA4946" s="58"/>
      <c r="BB4946" s="58"/>
      <c r="BC4946" s="58"/>
      <c r="BD4946" s="58"/>
      <c r="BE4946" s="236" t="s">
        <v>5190</v>
      </c>
      <c r="BF4946" s="191" t="s">
        <v>479</v>
      </c>
      <c r="BG4946" s="191" t="s">
        <v>479</v>
      </c>
      <c r="BH4946" s="236" t="s">
        <v>5256</v>
      </c>
      <c r="BI4946" s="191" t="s">
        <v>479</v>
      </c>
      <c r="BJ4946" s="58" t="str">
        <f>IF(BE4946=BH4946,"No","yes")</f>
        <v>yes</v>
      </c>
      <c r="BK4946" s="58" t="s">
        <v>6335</v>
      </c>
      <c r="BL4946" s="58"/>
      <c r="BM4946" s="237"/>
      <c r="BN4946" s="244">
        <v>8</v>
      </c>
      <c r="BO4946" s="244">
        <v>8</v>
      </c>
      <c r="BP4946" s="58"/>
      <c r="BQ4946" s="58"/>
      <c r="BR4946" s="58"/>
      <c r="BS4946" s="58"/>
      <c r="BT4946" s="58"/>
      <c r="BU4946" s="58"/>
      <c r="BV4946" s="58"/>
      <c r="BW4946" s="67"/>
      <c r="BX4946" s="67"/>
      <c r="BY4946" s="67"/>
      <c r="BZ4946" s="67"/>
      <c r="CA4946" s="67"/>
      <c r="CB4946" s="70"/>
      <c r="CC4946" s="70"/>
      <c r="CD4946" s="70"/>
      <c r="CE4946" s="67"/>
      <c r="CF4946" s="67"/>
      <c r="CG4946" s="67"/>
      <c r="CH4946" s="245"/>
      <c r="CI4946" s="245"/>
      <c r="CJ4946" s="67"/>
      <c r="CK4946" s="67"/>
      <c r="CL4946" s="67"/>
      <c r="CM4946" s="242">
        <v>2.0920000000000001</v>
      </c>
      <c r="CN4946" s="242">
        <v>2.2570000000000001</v>
      </c>
      <c r="CO4946" s="242"/>
      <c r="CP4946" s="242"/>
      <c r="CQ4946" s="242" t="s">
        <v>164</v>
      </c>
      <c r="CR4946" s="242">
        <f>CM4946*0.01*(100*100*AA4946/100*AD4946)</f>
        <v>83.470800000000011</v>
      </c>
      <c r="CS4946" s="242">
        <f>CN4946*0.01*(100*100*AA4946/100*AD4946)</f>
        <v>90.054300000000012</v>
      </c>
      <c r="CT4946" s="242"/>
      <c r="CU4946" s="242"/>
      <c r="CV4946" s="242"/>
      <c r="CW4946" s="242">
        <f>(CR4946-74.134)/U4946*1000</f>
        <v>933.68000000000109</v>
      </c>
      <c r="CX4946" s="242">
        <f>(CS4946-74.134)/U4946*1000</f>
        <v>1592.0300000000011</v>
      </c>
      <c r="CY4946" s="242"/>
      <c r="CZ4946" s="242"/>
      <c r="DA4946" s="67" t="s">
        <v>5443</v>
      </c>
      <c r="DB4946" s="67"/>
      <c r="DC4946" s="67"/>
      <c r="DD4946" s="67"/>
      <c r="DE4946" s="67"/>
      <c r="DF4946" s="67"/>
      <c r="DG4946" s="67"/>
      <c r="DH4946" s="67"/>
      <c r="DI4946" s="67"/>
      <c r="DJ4946" s="67"/>
      <c r="DK4946" s="67"/>
      <c r="DL4946" s="67"/>
      <c r="DM4946" s="67"/>
      <c r="DN4946" s="67"/>
      <c r="DO4946" s="67"/>
      <c r="DP4946" s="67"/>
      <c r="DQ4946" s="166"/>
      <c r="DR4946" s="166"/>
      <c r="DS4946" s="163"/>
      <c r="DT4946" s="163"/>
      <c r="DU4946" s="67"/>
      <c r="DV4946" s="67"/>
      <c r="DW4946" s="67"/>
      <c r="DX4946" s="67"/>
      <c r="DY4946" s="67"/>
      <c r="DZ4946" s="67"/>
      <c r="EA4946" s="67"/>
      <c r="EB4946" s="67"/>
      <c r="EC4946" s="67"/>
      <c r="ED4946" s="67"/>
      <c r="EE4946" s="67"/>
      <c r="EF4946" s="67"/>
      <c r="EG4946" s="67"/>
      <c r="EH4946" s="67"/>
      <c r="EI4946" s="67"/>
      <c r="EJ4946" s="67"/>
      <c r="EK4946" s="94"/>
      <c r="EL4946" s="94"/>
      <c r="EM4946" s="67"/>
      <c r="EN4946" s="67"/>
      <c r="EO4946" s="67"/>
      <c r="EP4946" s="67"/>
      <c r="EQ4946" s="67"/>
      <c r="ER4946" s="67"/>
      <c r="ES4946" s="67"/>
      <c r="ET4946" s="67"/>
      <c r="EU4946" s="67"/>
      <c r="EV4946" s="67"/>
      <c r="EW4946" s="67"/>
      <c r="EX4946" s="67"/>
      <c r="EY4946" s="67"/>
      <c r="EZ4946" s="67"/>
      <c r="FA4946" s="67"/>
      <c r="FB4946" s="67"/>
      <c r="FC4946" s="67"/>
      <c r="FD4946" s="67"/>
      <c r="FE4946" s="67"/>
      <c r="FF4946" s="67"/>
      <c r="FG4946" s="67"/>
      <c r="FH4946" s="67"/>
      <c r="FI4946" s="67"/>
      <c r="FJ4946" s="67"/>
      <c r="FK4946" s="67"/>
      <c r="FL4946" s="67"/>
      <c r="FM4946" s="67"/>
      <c r="FN4946" s="67"/>
      <c r="FO4946" s="67"/>
      <c r="FP4946" s="67"/>
      <c r="FQ4946" s="67"/>
      <c r="FR4946" s="67"/>
      <c r="FS4946" s="67"/>
      <c r="FT4946" s="67"/>
      <c r="FU4946" s="67"/>
      <c r="FV4946" s="67"/>
      <c r="FW4946" s="67"/>
      <c r="FX4946" s="67"/>
      <c r="FY4946" s="67"/>
      <c r="FZ4946" s="67"/>
      <c r="GA4946" s="67"/>
      <c r="GB4946" s="67"/>
      <c r="GC4946" s="67"/>
      <c r="GD4946" s="67"/>
      <c r="GE4946" s="67"/>
      <c r="GF4946" s="67"/>
      <c r="GG4946" s="67"/>
      <c r="GH4946" s="67"/>
      <c r="GI4946" s="67"/>
      <c r="GJ4946" s="67"/>
      <c r="GK4946" s="67"/>
      <c r="GL4946" s="67"/>
      <c r="GM4946" s="67"/>
      <c r="GN4946" s="292"/>
      <c r="GO4946" s="292"/>
      <c r="GP4946" s="292" t="s">
        <v>7494</v>
      </c>
      <c r="GQ4946" s="67"/>
      <c r="GR4946" s="67"/>
      <c r="GS4946" s="67"/>
      <c r="GT4946" s="67"/>
      <c r="GU4946" s="67"/>
      <c r="GV4946" s="67"/>
      <c r="GW4946" s="67"/>
      <c r="GX4946" s="67"/>
      <c r="GY4946" s="67"/>
      <c r="GZ4946" s="67"/>
      <c r="HA4946" s="67"/>
      <c r="HB4946" s="67"/>
      <c r="HC4946" s="67"/>
      <c r="HD4946" s="67"/>
      <c r="HE4946" s="67"/>
      <c r="HF4946" s="67"/>
      <c r="HG4946" s="67"/>
      <c r="HH4946" s="67"/>
      <c r="HI4946" s="67"/>
      <c r="HJ4946" s="67"/>
      <c r="HK4946" s="67"/>
      <c r="HL4946" s="67"/>
      <c r="HM4946" s="67"/>
      <c r="HN4946" s="67"/>
      <c r="HO4946" s="67"/>
      <c r="HP4946" s="67"/>
      <c r="HQ4946" s="67"/>
      <c r="HR4946" s="67"/>
      <c r="HS4946" s="67"/>
      <c r="HT4946" s="67"/>
      <c r="HU4946" s="67"/>
      <c r="HV4946" s="67"/>
      <c r="HW4946" s="67"/>
      <c r="HX4946" s="67"/>
      <c r="HY4946" s="67"/>
      <c r="HZ4946" s="67"/>
      <c r="IA4946" s="67"/>
      <c r="IB4946" s="67"/>
      <c r="IC4946" s="67"/>
      <c r="ID4946" s="67"/>
      <c r="IE4946" s="67"/>
      <c r="IF4946" s="67"/>
      <c r="IG4946" s="67"/>
      <c r="IH4946" s="67"/>
      <c r="II4946" s="67"/>
      <c r="IJ4946" s="67"/>
      <c r="IK4946" s="67"/>
      <c r="IL4946" s="67"/>
      <c r="IM4946" s="67"/>
      <c r="IN4946" s="67"/>
      <c r="IO4946" s="67"/>
      <c r="IP4946" s="67"/>
      <c r="IQ4946" s="67"/>
      <c r="IR4946" s="67"/>
      <c r="IS4946" s="67"/>
      <c r="IT4946" s="67"/>
      <c r="IU4946" s="67"/>
      <c r="IV4946" s="67"/>
      <c r="IW4946" s="67"/>
      <c r="IX4946" s="67"/>
      <c r="IY4946" s="67"/>
      <c r="IZ4946" s="67"/>
      <c r="JA4946" s="67"/>
      <c r="JB4946" s="67"/>
      <c r="JC4946" s="67"/>
      <c r="JD4946" s="67"/>
      <c r="JE4946" s="67"/>
      <c r="JF4946" s="67"/>
      <c r="JG4946" s="67"/>
      <c r="JH4946" s="67"/>
      <c r="JI4946" s="67"/>
      <c r="JJ4946" s="67"/>
      <c r="JK4946" s="67"/>
      <c r="JL4946" s="67"/>
      <c r="JM4946" s="67"/>
      <c r="JN4946" s="67"/>
      <c r="JO4946" s="67"/>
      <c r="JP4946" s="67"/>
      <c r="JQ4946" s="67"/>
      <c r="JR4946" s="67"/>
      <c r="JS4946" s="67"/>
      <c r="JT4946" s="67"/>
      <c r="JU4946" s="58"/>
      <c r="JV4946" s="58"/>
      <c r="JW4946" s="58"/>
    </row>
    <row r="4947" spans="1:283" s="23" customFormat="1" x14ac:dyDescent="0.25">
      <c r="A4947" s="55">
        <v>4946</v>
      </c>
      <c r="B4947" s="12" t="s">
        <v>7067</v>
      </c>
      <c r="C4947" s="156">
        <v>239</v>
      </c>
      <c r="D4947" s="58" t="s">
        <v>4958</v>
      </c>
      <c r="E4947" s="160" t="str">
        <f>G4947</f>
        <v>Hepperly et al 2006_pair 2</v>
      </c>
      <c r="F4947" s="160"/>
      <c r="G4947" s="60" t="s">
        <v>4771</v>
      </c>
      <c r="H4947" s="58">
        <v>2006</v>
      </c>
      <c r="I4947" s="58" t="s">
        <v>5626</v>
      </c>
      <c r="J4947" s="243" t="s">
        <v>5313</v>
      </c>
      <c r="K4947" s="63" t="s">
        <v>5103</v>
      </c>
      <c r="L4947" s="58" t="s">
        <v>2737</v>
      </c>
      <c r="M4947" s="94">
        <v>40.520000000000003</v>
      </c>
      <c r="N4947" s="94">
        <v>-75.78</v>
      </c>
      <c r="O4947" s="94">
        <v>135</v>
      </c>
      <c r="P4947" s="58"/>
      <c r="Q4947" s="244">
        <v>12.4</v>
      </c>
      <c r="R4947" s="58"/>
      <c r="S4947" s="245">
        <v>1105</v>
      </c>
      <c r="T4947" s="58"/>
      <c r="U4947" s="58" t="s">
        <v>1677</v>
      </c>
      <c r="V4947" s="244" t="s">
        <v>1687</v>
      </c>
      <c r="W4947" s="174"/>
      <c r="X4947" s="174"/>
      <c r="Y4947" s="58" t="s">
        <v>5947</v>
      </c>
      <c r="Z4947" s="244" t="s">
        <v>1356</v>
      </c>
      <c r="AA4947" s="245">
        <v>30</v>
      </c>
      <c r="AB4947" s="67"/>
      <c r="AC4947" s="67"/>
      <c r="AD4947" s="94">
        <v>1.33</v>
      </c>
      <c r="AE4947" s="94"/>
      <c r="AF4947" s="94"/>
      <c r="AG4947" s="245">
        <v>27.1</v>
      </c>
      <c r="AH4947" s="58" t="s">
        <v>6378</v>
      </c>
      <c r="AI4947" s="169"/>
      <c r="AJ4947" s="94"/>
      <c r="AK4947" s="94"/>
      <c r="AL4947" s="58"/>
      <c r="AM4947" s="58"/>
      <c r="AN4947" s="186" t="s">
        <v>553</v>
      </c>
      <c r="AO4947" s="185" t="s">
        <v>5150</v>
      </c>
      <c r="AP4947" s="58"/>
      <c r="AQ4947" s="58" t="s">
        <v>553</v>
      </c>
      <c r="AR4947" s="58"/>
      <c r="AS4947" s="246" t="s">
        <v>5133</v>
      </c>
      <c r="AT4947" s="247">
        <v>0</v>
      </c>
      <c r="AU4947" s="181" t="s">
        <v>7494</v>
      </c>
      <c r="AV4947" s="185" t="s">
        <v>176</v>
      </c>
      <c r="AW4947" s="244">
        <v>1</v>
      </c>
      <c r="AX4947" s="185" t="s">
        <v>176</v>
      </c>
      <c r="AY4947" s="244" t="s">
        <v>5150</v>
      </c>
      <c r="AZ4947" s="58"/>
      <c r="BA4947" s="58"/>
      <c r="BB4947" s="58"/>
      <c r="BC4947" s="58"/>
      <c r="BD4947" s="58"/>
      <c r="BE4947" s="236" t="s">
        <v>5190</v>
      </c>
      <c r="BF4947" s="191" t="s">
        <v>479</v>
      </c>
      <c r="BG4947" s="191" t="s">
        <v>479</v>
      </c>
      <c r="BH4947" s="236" t="s">
        <v>5257</v>
      </c>
      <c r="BI4947" s="191" t="s">
        <v>479</v>
      </c>
      <c r="BJ4947" s="58" t="str">
        <f>IF(BE4947=BH4947,"No","yes")</f>
        <v>yes</v>
      </c>
      <c r="BK4947" s="58" t="s">
        <v>6335</v>
      </c>
      <c r="BL4947" s="58"/>
      <c r="BM4947" s="237"/>
      <c r="BN4947" s="244">
        <v>8</v>
      </c>
      <c r="BO4947" s="244">
        <v>8</v>
      </c>
      <c r="BP4947" s="58"/>
      <c r="BQ4947" s="58"/>
      <c r="BR4947" s="58"/>
      <c r="BS4947" s="58"/>
      <c r="BT4947" s="58"/>
      <c r="BU4947" s="58"/>
      <c r="BV4947" s="58"/>
      <c r="BW4947" s="67"/>
      <c r="BX4947" s="67"/>
      <c r="BY4947" s="67"/>
      <c r="BZ4947" s="67"/>
      <c r="CA4947" s="67"/>
      <c r="CB4947" s="70"/>
      <c r="CC4947" s="70"/>
      <c r="CD4947" s="70"/>
      <c r="CE4947" s="67"/>
      <c r="CF4947" s="67"/>
      <c r="CG4947" s="67"/>
      <c r="CH4947" s="245"/>
      <c r="CI4947" s="245"/>
      <c r="CJ4947" s="67"/>
      <c r="CK4947" s="67"/>
      <c r="CL4947" s="67"/>
      <c r="CM4947" s="242">
        <v>1.8939999999999999</v>
      </c>
      <c r="CN4947" s="242">
        <v>2.4510000000000001</v>
      </c>
      <c r="CO4947" s="242"/>
      <c r="CP4947" s="242"/>
      <c r="CQ4947" s="242" t="s">
        <v>164</v>
      </c>
      <c r="CR4947" s="242">
        <f>CM4947*0.01*(100*100*AA4947/100*AD4947)</f>
        <v>75.570599999999999</v>
      </c>
      <c r="CS4947" s="242">
        <f>CN4947*0.01*(100*100*AA4947/100*AD4947)</f>
        <v>97.794899999999998</v>
      </c>
      <c r="CT4947" s="242"/>
      <c r="CU4947" s="242"/>
      <c r="CV4947" s="242"/>
      <c r="CW4947" s="242">
        <f>(CR4947-74.134)/U4947*1000</f>
        <v>95.773333333333241</v>
      </c>
      <c r="CX4947" s="242">
        <f>(CS4947-74.134)/U4947*1000</f>
        <v>1577.3933333333332</v>
      </c>
      <c r="CY4947" s="242"/>
      <c r="CZ4947" s="242"/>
      <c r="DA4947" s="67" t="s">
        <v>5443</v>
      </c>
      <c r="DB4947" s="67"/>
      <c r="DC4947" s="67"/>
      <c r="DD4947" s="67"/>
      <c r="DE4947" s="67"/>
      <c r="DF4947" s="67"/>
      <c r="DG4947" s="67"/>
      <c r="DH4947" s="67"/>
      <c r="DI4947" s="67"/>
      <c r="DJ4947" s="67"/>
      <c r="DK4947" s="67"/>
      <c r="DL4947" s="67"/>
      <c r="DM4947" s="67"/>
      <c r="DN4947" s="67"/>
      <c r="DO4947" s="67"/>
      <c r="DP4947" s="67"/>
      <c r="DQ4947" s="166"/>
      <c r="DR4947" s="166"/>
      <c r="DS4947" s="163"/>
      <c r="DT4947" s="163"/>
      <c r="DU4947" s="67"/>
      <c r="DV4947" s="67"/>
      <c r="DW4947" s="67"/>
      <c r="DX4947" s="67"/>
      <c r="DY4947" s="67"/>
      <c r="DZ4947" s="67"/>
      <c r="EA4947" s="67"/>
      <c r="EB4947" s="67"/>
      <c r="EC4947" s="67"/>
      <c r="ED4947" s="67"/>
      <c r="EE4947" s="67"/>
      <c r="EF4947" s="67"/>
      <c r="EG4947" s="67"/>
      <c r="EH4947" s="67"/>
      <c r="EI4947" s="67"/>
      <c r="EJ4947" s="67"/>
      <c r="EK4947" s="94"/>
      <c r="EL4947" s="94"/>
      <c r="EM4947" s="67"/>
      <c r="EN4947" s="67"/>
      <c r="EO4947" s="67"/>
      <c r="EP4947" s="67"/>
      <c r="EQ4947" s="67"/>
      <c r="ER4947" s="67"/>
      <c r="ES4947" s="67"/>
      <c r="ET4947" s="67"/>
      <c r="EU4947" s="67"/>
      <c r="EV4947" s="67"/>
      <c r="EW4947" s="67"/>
      <c r="EX4947" s="67"/>
      <c r="EY4947" s="67"/>
      <c r="EZ4947" s="67"/>
      <c r="FA4947" s="67"/>
      <c r="FB4947" s="67"/>
      <c r="FC4947" s="67"/>
      <c r="FD4947" s="67"/>
      <c r="FE4947" s="67"/>
      <c r="FF4947" s="67"/>
      <c r="FG4947" s="67"/>
      <c r="FH4947" s="67"/>
      <c r="FI4947" s="67"/>
      <c r="FJ4947" s="67"/>
      <c r="FK4947" s="67"/>
      <c r="FL4947" s="67"/>
      <c r="FM4947" s="67"/>
      <c r="FN4947" s="67"/>
      <c r="FO4947" s="67"/>
      <c r="FP4947" s="67"/>
      <c r="FQ4947" s="67"/>
      <c r="FR4947" s="67"/>
      <c r="FS4947" s="67"/>
      <c r="FT4947" s="67"/>
      <c r="FU4947" s="67"/>
      <c r="FV4947" s="67"/>
      <c r="FW4947" s="67"/>
      <c r="FX4947" s="67"/>
      <c r="FY4947" s="67"/>
      <c r="FZ4947" s="67"/>
      <c r="GA4947" s="67"/>
      <c r="GB4947" s="67"/>
      <c r="GC4947" s="67"/>
      <c r="GD4947" s="67"/>
      <c r="GE4947" s="67"/>
      <c r="GF4947" s="67"/>
      <c r="GG4947" s="67"/>
      <c r="GH4947" s="67"/>
      <c r="GI4947" s="67"/>
      <c r="GJ4947" s="67"/>
      <c r="GK4947" s="67"/>
      <c r="GL4947" s="67"/>
      <c r="GM4947" s="67"/>
      <c r="GN4947" s="292"/>
      <c r="GO4947" s="292"/>
      <c r="GP4947" s="292" t="s">
        <v>7494</v>
      </c>
      <c r="GQ4947" s="67"/>
      <c r="GR4947" s="67"/>
      <c r="GS4947" s="67"/>
      <c r="GT4947" s="67"/>
      <c r="GU4947" s="67"/>
      <c r="GV4947" s="67"/>
      <c r="GW4947" s="67"/>
      <c r="GX4947" s="67"/>
      <c r="GY4947" s="67"/>
      <c r="GZ4947" s="67"/>
      <c r="HA4947" s="67"/>
      <c r="HB4947" s="67"/>
      <c r="HC4947" s="67"/>
      <c r="HD4947" s="67"/>
      <c r="HE4947" s="67"/>
      <c r="HF4947" s="67"/>
      <c r="HG4947" s="67"/>
      <c r="HH4947" s="67"/>
      <c r="HI4947" s="67"/>
      <c r="HJ4947" s="67"/>
      <c r="HK4947" s="67"/>
      <c r="HL4947" s="67"/>
      <c r="HM4947" s="67"/>
      <c r="HN4947" s="67"/>
      <c r="HO4947" s="67"/>
      <c r="HP4947" s="67"/>
      <c r="HQ4947" s="67"/>
      <c r="HR4947" s="67"/>
      <c r="HS4947" s="67"/>
      <c r="HT4947" s="67"/>
      <c r="HU4947" s="67"/>
      <c r="HV4947" s="67"/>
      <c r="HW4947" s="67"/>
      <c r="HX4947" s="67"/>
      <c r="HY4947" s="67"/>
      <c r="HZ4947" s="67"/>
      <c r="IA4947" s="67"/>
      <c r="IB4947" s="67"/>
      <c r="IC4947" s="67"/>
      <c r="ID4947" s="67"/>
      <c r="IE4947" s="67"/>
      <c r="IF4947" s="67"/>
      <c r="IG4947" s="67"/>
      <c r="IH4947" s="67"/>
      <c r="II4947" s="67"/>
      <c r="IJ4947" s="67"/>
      <c r="IK4947" s="67"/>
      <c r="IL4947" s="67"/>
      <c r="IM4947" s="67"/>
      <c r="IN4947" s="67"/>
      <c r="IO4947" s="67"/>
      <c r="IP4947" s="67"/>
      <c r="IQ4947" s="67"/>
      <c r="IR4947" s="67"/>
      <c r="IS4947" s="67"/>
      <c r="IT4947" s="67"/>
      <c r="IU4947" s="67"/>
      <c r="IV4947" s="67"/>
      <c r="IW4947" s="67"/>
      <c r="IX4947" s="67"/>
      <c r="IY4947" s="67"/>
      <c r="IZ4947" s="67"/>
      <c r="JA4947" s="67"/>
      <c r="JB4947" s="67"/>
      <c r="JC4947" s="67"/>
      <c r="JD4947" s="67"/>
      <c r="JE4947" s="67"/>
      <c r="JF4947" s="67"/>
      <c r="JG4947" s="67"/>
      <c r="JH4947" s="67"/>
      <c r="JI4947" s="67"/>
      <c r="JJ4947" s="67"/>
      <c r="JK4947" s="67"/>
      <c r="JL4947" s="67"/>
      <c r="JM4947" s="67"/>
      <c r="JN4947" s="67"/>
      <c r="JO4947" s="67"/>
      <c r="JP4947" s="67"/>
      <c r="JQ4947" s="67"/>
      <c r="JR4947" s="67"/>
      <c r="JS4947" s="67"/>
      <c r="JT4947" s="67"/>
      <c r="JU4947" s="58"/>
      <c r="JV4947" s="58"/>
      <c r="JW4947" s="58"/>
    </row>
    <row r="4948" spans="1:283" s="23" customFormat="1" x14ac:dyDescent="0.25">
      <c r="A4948" s="55">
        <v>4947</v>
      </c>
      <c r="B4948" s="12" t="s">
        <v>7067</v>
      </c>
      <c r="C4948" s="156">
        <v>239</v>
      </c>
      <c r="D4948" s="58" t="s">
        <v>4957</v>
      </c>
      <c r="E4948" s="160" t="str">
        <f>G4948</f>
        <v>Hepperly et al 2006_pair 1</v>
      </c>
      <c r="F4948" s="160"/>
      <c r="G4948" s="60" t="s">
        <v>4772</v>
      </c>
      <c r="H4948" s="58">
        <v>2006</v>
      </c>
      <c r="I4948" s="58" t="s">
        <v>5599</v>
      </c>
      <c r="J4948" s="243" t="s">
        <v>5313</v>
      </c>
      <c r="K4948" s="63" t="s">
        <v>5103</v>
      </c>
      <c r="L4948" s="58" t="s">
        <v>2737</v>
      </c>
      <c r="M4948" s="94">
        <v>40.520000000000003</v>
      </c>
      <c r="N4948" s="94">
        <v>-75.78</v>
      </c>
      <c r="O4948" s="94">
        <v>135</v>
      </c>
      <c r="P4948" s="58"/>
      <c r="Q4948" s="244">
        <v>12.4</v>
      </c>
      <c r="R4948" s="58"/>
      <c r="S4948" s="245">
        <v>1105</v>
      </c>
      <c r="T4948" s="58"/>
      <c r="U4948" s="58" t="s">
        <v>1675</v>
      </c>
      <c r="V4948" s="244" t="s">
        <v>1687</v>
      </c>
      <c r="W4948" s="174"/>
      <c r="X4948" s="174"/>
      <c r="Y4948" s="58" t="s">
        <v>5947</v>
      </c>
      <c r="Z4948" s="244" t="s">
        <v>1356</v>
      </c>
      <c r="AA4948" s="245">
        <v>30</v>
      </c>
      <c r="AB4948" s="67"/>
      <c r="AC4948" s="67"/>
      <c r="AD4948" s="94">
        <v>1.33</v>
      </c>
      <c r="AE4948" s="94"/>
      <c r="AF4948" s="94"/>
      <c r="AG4948" s="245">
        <v>27.1</v>
      </c>
      <c r="AH4948" s="58" t="s">
        <v>6378</v>
      </c>
      <c r="AI4948" s="169"/>
      <c r="AJ4948" s="94"/>
      <c r="AK4948" s="94"/>
      <c r="AL4948" s="58"/>
      <c r="AM4948" s="58"/>
      <c r="AN4948" s="186" t="s">
        <v>553</v>
      </c>
      <c r="AO4948" s="185" t="s">
        <v>5150</v>
      </c>
      <c r="AP4948" s="58"/>
      <c r="AQ4948" s="58" t="s">
        <v>553</v>
      </c>
      <c r="AR4948" s="58"/>
      <c r="AS4948" s="246" t="s">
        <v>5133</v>
      </c>
      <c r="AT4948" s="247">
        <v>0</v>
      </c>
      <c r="AU4948" s="181" t="s">
        <v>7494</v>
      </c>
      <c r="AV4948" s="185" t="s">
        <v>176</v>
      </c>
      <c r="AW4948" s="244">
        <v>1</v>
      </c>
      <c r="AX4948" s="185" t="s">
        <v>176</v>
      </c>
      <c r="AY4948" s="244" t="s">
        <v>5150</v>
      </c>
      <c r="AZ4948" s="58"/>
      <c r="BA4948" s="58"/>
      <c r="BB4948" s="58"/>
      <c r="BC4948" s="58"/>
      <c r="BD4948" s="58"/>
      <c r="BE4948" s="236" t="s">
        <v>5190</v>
      </c>
      <c r="BF4948" s="191" t="s">
        <v>479</v>
      </c>
      <c r="BG4948" s="191" t="s">
        <v>479</v>
      </c>
      <c r="BH4948" s="236" t="s">
        <v>5256</v>
      </c>
      <c r="BI4948" s="191" t="s">
        <v>479</v>
      </c>
      <c r="BJ4948" s="58" t="str">
        <f>IF(BE4948=BH4948,"No","yes")</f>
        <v>yes</v>
      </c>
      <c r="BK4948" s="58" t="s">
        <v>6335</v>
      </c>
      <c r="BL4948" s="58"/>
      <c r="BM4948" s="237"/>
      <c r="BN4948" s="244">
        <v>8</v>
      </c>
      <c r="BO4948" s="244">
        <v>8</v>
      </c>
      <c r="BP4948" s="58"/>
      <c r="BQ4948" s="58"/>
      <c r="BR4948" s="58"/>
      <c r="BS4948" s="58"/>
      <c r="BT4948" s="58"/>
      <c r="BU4948" s="58"/>
      <c r="BV4948" s="58"/>
      <c r="BW4948" s="67"/>
      <c r="BX4948" s="67"/>
      <c r="BY4948" s="67"/>
      <c r="BZ4948" s="67"/>
      <c r="CA4948" s="67"/>
      <c r="CB4948" s="70">
        <v>6500.6</v>
      </c>
      <c r="CC4948" s="70">
        <v>6327</v>
      </c>
      <c r="CD4948" s="70"/>
      <c r="CE4948" s="67"/>
      <c r="CF4948" s="67"/>
      <c r="CG4948" s="67" t="s">
        <v>5950</v>
      </c>
      <c r="CH4948" s="245"/>
      <c r="CI4948" s="245"/>
      <c r="CJ4948" s="67"/>
      <c r="CK4948" s="67"/>
      <c r="CL4948" s="67"/>
      <c r="CM4948" s="242">
        <v>2.0129999999999999</v>
      </c>
      <c r="CN4948" s="242">
        <v>2.371</v>
      </c>
      <c r="CO4948" s="242"/>
      <c r="CP4948" s="242"/>
      <c r="CQ4948" s="242" t="s">
        <v>164</v>
      </c>
      <c r="CR4948" s="242">
        <f>CM4948*0.01*(100*100*AA4948/100*AD4948)</f>
        <v>80.318699999999993</v>
      </c>
      <c r="CS4948" s="242">
        <f>CN4948*0.01*(100*100*AA4948/100*AD4948)</f>
        <v>94.602900000000005</v>
      </c>
      <c r="CT4948" s="242"/>
      <c r="CU4948" s="242"/>
      <c r="CV4948" s="242"/>
      <c r="CW4948" s="242">
        <f>(CR4948-74.134)/U4948*1000</f>
        <v>309.23499999999962</v>
      </c>
      <c r="CX4948" s="242">
        <f>(CS4948-74.134)/U4948*1000</f>
        <v>1023.4450000000002</v>
      </c>
      <c r="CY4948" s="242"/>
      <c r="CZ4948" s="242"/>
      <c r="DA4948" s="67" t="s">
        <v>5443</v>
      </c>
      <c r="DB4948" s="67"/>
      <c r="DC4948" s="67"/>
      <c r="DD4948" s="67"/>
      <c r="DE4948" s="67"/>
      <c r="DF4948" s="67"/>
      <c r="DG4948" s="67"/>
      <c r="DH4948" s="67"/>
      <c r="DI4948" s="67"/>
      <c r="DJ4948" s="67"/>
      <c r="DK4948" s="67"/>
      <c r="DL4948" s="67"/>
      <c r="DM4948" s="67"/>
      <c r="DN4948" s="67"/>
      <c r="DO4948" s="67"/>
      <c r="DP4948" s="67"/>
      <c r="DQ4948" s="166"/>
      <c r="DR4948" s="166"/>
      <c r="DS4948" s="163"/>
      <c r="DT4948" s="163"/>
      <c r="DU4948" s="67"/>
      <c r="DV4948" s="67"/>
      <c r="DW4948" s="67"/>
      <c r="DX4948" s="67"/>
      <c r="DY4948" s="67"/>
      <c r="DZ4948" s="67"/>
      <c r="EA4948" s="67"/>
      <c r="EB4948" s="67"/>
      <c r="EC4948" s="67"/>
      <c r="ED4948" s="67"/>
      <c r="EE4948" s="67"/>
      <c r="EF4948" s="67"/>
      <c r="EG4948" s="67"/>
      <c r="EH4948" s="67"/>
      <c r="EI4948" s="67"/>
      <c r="EJ4948" s="67"/>
      <c r="EK4948" s="94"/>
      <c r="EL4948" s="94"/>
      <c r="EM4948" s="67"/>
      <c r="EN4948" s="67"/>
      <c r="EO4948" s="67"/>
      <c r="EP4948" s="67"/>
      <c r="EQ4948" s="67"/>
      <c r="ER4948" s="67"/>
      <c r="ES4948" s="67"/>
      <c r="ET4948" s="67"/>
      <c r="EU4948" s="67"/>
      <c r="EV4948" s="67"/>
      <c r="EW4948" s="67"/>
      <c r="EX4948" s="67"/>
      <c r="EY4948" s="67"/>
      <c r="EZ4948" s="67"/>
      <c r="FA4948" s="67"/>
      <c r="FB4948" s="67"/>
      <c r="FC4948" s="67"/>
      <c r="FD4948" s="67"/>
      <c r="FE4948" s="67"/>
      <c r="FF4948" s="67"/>
      <c r="FG4948" s="67"/>
      <c r="FH4948" s="67"/>
      <c r="FI4948" s="67"/>
      <c r="FJ4948" s="67"/>
      <c r="FK4948" s="67"/>
      <c r="FL4948" s="67"/>
      <c r="FM4948" s="67"/>
      <c r="FN4948" s="67"/>
      <c r="FO4948" s="67"/>
      <c r="FP4948" s="67"/>
      <c r="FQ4948" s="67"/>
      <c r="FR4948" s="67"/>
      <c r="FS4948" s="67"/>
      <c r="FT4948" s="67"/>
      <c r="FU4948" s="67"/>
      <c r="FV4948" s="67"/>
      <c r="FW4948" s="67"/>
      <c r="FX4948" s="67"/>
      <c r="FY4948" s="67"/>
      <c r="FZ4948" s="67"/>
      <c r="GA4948" s="67"/>
      <c r="GB4948" s="67"/>
      <c r="GC4948" s="67"/>
      <c r="GD4948" s="67"/>
      <c r="GE4948" s="67"/>
      <c r="GF4948" s="67"/>
      <c r="GG4948" s="67"/>
      <c r="GH4948" s="67"/>
      <c r="GI4948" s="67"/>
      <c r="GJ4948" s="67"/>
      <c r="GK4948" s="67"/>
      <c r="GL4948" s="67"/>
      <c r="GM4948" s="67"/>
      <c r="GN4948" s="292"/>
      <c r="GO4948" s="292"/>
      <c r="GP4948" s="292" t="s">
        <v>7494</v>
      </c>
      <c r="GQ4948" s="67"/>
      <c r="GR4948" s="67"/>
      <c r="GS4948" s="67"/>
      <c r="GT4948" s="67"/>
      <c r="GU4948" s="67"/>
      <c r="GV4948" s="67"/>
      <c r="GW4948" s="67"/>
      <c r="GX4948" s="67"/>
      <c r="GY4948" s="67"/>
      <c r="GZ4948" s="67"/>
      <c r="HA4948" s="67"/>
      <c r="HB4948" s="67"/>
      <c r="HC4948" s="67"/>
      <c r="HD4948" s="67"/>
      <c r="HE4948" s="67"/>
      <c r="HF4948" s="67"/>
      <c r="HG4948" s="67"/>
      <c r="HH4948" s="67"/>
      <c r="HI4948" s="67"/>
      <c r="HJ4948" s="67"/>
      <c r="HK4948" s="67"/>
      <c r="HL4948" s="67"/>
      <c r="HM4948" s="67"/>
      <c r="HN4948" s="67"/>
      <c r="HO4948" s="67"/>
      <c r="HP4948" s="67"/>
      <c r="HQ4948" s="67"/>
      <c r="HR4948" s="67"/>
      <c r="HS4948" s="67"/>
      <c r="HT4948" s="67"/>
      <c r="HU4948" s="67"/>
      <c r="HV4948" s="67"/>
      <c r="HW4948" s="67"/>
      <c r="HX4948" s="67"/>
      <c r="HY4948" s="67"/>
      <c r="HZ4948" s="67"/>
      <c r="IA4948" s="67"/>
      <c r="IB4948" s="67"/>
      <c r="IC4948" s="67"/>
      <c r="ID4948" s="67"/>
      <c r="IE4948" s="67"/>
      <c r="IF4948" s="67"/>
      <c r="IG4948" s="67"/>
      <c r="IH4948" s="67"/>
      <c r="II4948" s="67"/>
      <c r="IJ4948" s="67"/>
      <c r="IK4948" s="67"/>
      <c r="IL4948" s="67"/>
      <c r="IM4948" s="67"/>
      <c r="IN4948" s="67"/>
      <c r="IO4948" s="67"/>
      <c r="IP4948" s="67"/>
      <c r="IQ4948" s="67"/>
      <c r="IR4948" s="67"/>
      <c r="IS4948" s="67"/>
      <c r="IT4948" s="67"/>
      <c r="IU4948" s="67"/>
      <c r="IV4948" s="67"/>
      <c r="IW4948" s="67"/>
      <c r="IX4948" s="67"/>
      <c r="IY4948" s="67"/>
      <c r="IZ4948" s="67"/>
      <c r="JA4948" s="67"/>
      <c r="JB4948" s="67"/>
      <c r="JC4948" s="67"/>
      <c r="JD4948" s="67"/>
      <c r="JE4948" s="67"/>
      <c r="JF4948" s="67"/>
      <c r="JG4948" s="67"/>
      <c r="JH4948" s="67"/>
      <c r="JI4948" s="67"/>
      <c r="JJ4948" s="67"/>
      <c r="JK4948" s="67"/>
      <c r="JL4948" s="67"/>
      <c r="JM4948" s="67"/>
      <c r="JN4948" s="67"/>
      <c r="JO4948" s="67"/>
      <c r="JP4948" s="67"/>
      <c r="JQ4948" s="67"/>
      <c r="JR4948" s="67"/>
      <c r="JS4948" s="67"/>
      <c r="JT4948" s="67"/>
      <c r="JU4948" s="58"/>
      <c r="JV4948" s="58"/>
      <c r="JW4948" s="58"/>
    </row>
    <row r="4949" spans="1:283" s="23" customFormat="1" x14ac:dyDescent="0.25">
      <c r="A4949" s="55">
        <v>4948</v>
      </c>
      <c r="B4949" s="12" t="s">
        <v>7067</v>
      </c>
      <c r="C4949" s="156">
        <v>239</v>
      </c>
      <c r="D4949" s="58" t="s">
        <v>4958</v>
      </c>
      <c r="E4949" s="160" t="str">
        <f>G4949</f>
        <v>Hepperly et al 2006_pair 2</v>
      </c>
      <c r="F4949" s="160"/>
      <c r="G4949" s="60" t="s">
        <v>4771</v>
      </c>
      <c r="H4949" s="58">
        <v>2006</v>
      </c>
      <c r="I4949" s="58" t="s">
        <v>5550</v>
      </c>
      <c r="J4949" s="243" t="s">
        <v>5313</v>
      </c>
      <c r="K4949" s="63" t="s">
        <v>5103</v>
      </c>
      <c r="L4949" s="58" t="s">
        <v>2737</v>
      </c>
      <c r="M4949" s="94">
        <v>40.520000000000003</v>
      </c>
      <c r="N4949" s="94">
        <v>-75.78</v>
      </c>
      <c r="O4949" s="94">
        <v>135</v>
      </c>
      <c r="P4949" s="58"/>
      <c r="Q4949" s="244">
        <v>12.4</v>
      </c>
      <c r="R4949" s="58"/>
      <c r="S4949" s="245">
        <v>1105</v>
      </c>
      <c r="T4949" s="58"/>
      <c r="U4949" s="58" t="s">
        <v>1687</v>
      </c>
      <c r="V4949" s="244" t="s">
        <v>1687</v>
      </c>
      <c r="W4949" s="174"/>
      <c r="X4949" s="174"/>
      <c r="Y4949" s="58" t="s">
        <v>5947</v>
      </c>
      <c r="Z4949" s="244" t="s">
        <v>1356</v>
      </c>
      <c r="AA4949" s="245">
        <v>30</v>
      </c>
      <c r="AB4949" s="67"/>
      <c r="AC4949" s="67"/>
      <c r="AD4949" s="94">
        <v>1.33</v>
      </c>
      <c r="AE4949" s="94"/>
      <c r="AF4949" s="94"/>
      <c r="AG4949" s="245">
        <v>27.1</v>
      </c>
      <c r="AH4949" s="58" t="s">
        <v>6378</v>
      </c>
      <c r="AI4949" s="169"/>
      <c r="AJ4949" s="94"/>
      <c r="AK4949" s="94"/>
      <c r="AL4949" s="58"/>
      <c r="AM4949" s="58"/>
      <c r="AN4949" s="186" t="s">
        <v>553</v>
      </c>
      <c r="AO4949" s="185" t="s">
        <v>5150</v>
      </c>
      <c r="AP4949" s="58"/>
      <c r="AQ4949" s="58" t="s">
        <v>553</v>
      </c>
      <c r="AR4949" s="58"/>
      <c r="AS4949" s="246" t="s">
        <v>5133</v>
      </c>
      <c r="AT4949" s="247">
        <v>0</v>
      </c>
      <c r="AU4949" s="181" t="s">
        <v>7494</v>
      </c>
      <c r="AV4949" s="185" t="s">
        <v>176</v>
      </c>
      <c r="AW4949" s="244">
        <v>1</v>
      </c>
      <c r="AX4949" s="185" t="s">
        <v>176</v>
      </c>
      <c r="AY4949" s="244" t="s">
        <v>5150</v>
      </c>
      <c r="AZ4949" s="58"/>
      <c r="BA4949" s="58"/>
      <c r="BB4949" s="58"/>
      <c r="BC4949" s="58"/>
      <c r="BD4949" s="58"/>
      <c r="BE4949" s="236" t="s">
        <v>5190</v>
      </c>
      <c r="BF4949" s="191" t="s">
        <v>479</v>
      </c>
      <c r="BG4949" s="191" t="s">
        <v>479</v>
      </c>
      <c r="BH4949" s="236" t="s">
        <v>5257</v>
      </c>
      <c r="BI4949" s="191" t="s">
        <v>479</v>
      </c>
      <c r="BJ4949" s="58" t="str">
        <f>IF(BE4949=BH4949,"No","yes")</f>
        <v>yes</v>
      </c>
      <c r="BK4949" s="58" t="s">
        <v>6335</v>
      </c>
      <c r="BL4949" s="58"/>
      <c r="BM4949" s="237"/>
      <c r="BN4949" s="244">
        <v>8</v>
      </c>
      <c r="BO4949" s="244">
        <v>8</v>
      </c>
      <c r="BP4949" s="58"/>
      <c r="BQ4949" s="58"/>
      <c r="BR4949" s="58"/>
      <c r="BS4949" s="58"/>
      <c r="BT4949" s="58"/>
      <c r="BU4949" s="58"/>
      <c r="BV4949" s="58"/>
      <c r="BW4949" s="67"/>
      <c r="BX4949" s="67"/>
      <c r="BY4949" s="67"/>
      <c r="BZ4949" s="67"/>
      <c r="CA4949" s="67"/>
      <c r="CB4949" s="70"/>
      <c r="CC4949" s="70"/>
      <c r="CD4949" s="70"/>
      <c r="CE4949" s="67"/>
      <c r="CF4949" s="67"/>
      <c r="CG4949" s="67"/>
      <c r="CH4949" s="245"/>
      <c r="CI4949" s="245"/>
      <c r="CJ4949" s="67"/>
      <c r="CK4949" s="67"/>
      <c r="CL4949" s="67"/>
      <c r="CM4949" s="242">
        <v>1.996</v>
      </c>
      <c r="CN4949" s="242">
        <v>2.5019999999999998</v>
      </c>
      <c r="CO4949" s="242"/>
      <c r="CP4949" s="242"/>
      <c r="CQ4949" s="242" t="s">
        <v>164</v>
      </c>
      <c r="CR4949" s="242">
        <f>CM4949*0.01*(100*100*AA4949/100*AD4949)</f>
        <v>79.640400000000014</v>
      </c>
      <c r="CS4949" s="242">
        <f>CN4949*0.01*(100*100*AA4949/100*AD4949)</f>
        <v>99.829799999999992</v>
      </c>
      <c r="CT4949" s="242"/>
      <c r="CU4949" s="242"/>
      <c r="CV4949" s="242"/>
      <c r="CW4949" s="242">
        <f>(CR4949-74.134)/U4949*1000</f>
        <v>220.25600000000054</v>
      </c>
      <c r="CX4949" s="242">
        <f>(CS4949-74.134)/U4949*1000</f>
        <v>1027.8319999999997</v>
      </c>
      <c r="CY4949" s="242"/>
      <c r="CZ4949" s="242"/>
      <c r="DA4949" s="67" t="s">
        <v>5443</v>
      </c>
      <c r="DB4949" s="67"/>
      <c r="DC4949" s="67"/>
      <c r="DD4949" s="67"/>
      <c r="DE4949" s="67"/>
      <c r="DF4949" s="67"/>
      <c r="DG4949" s="67"/>
      <c r="DH4949" s="67"/>
      <c r="DI4949" s="67"/>
      <c r="DJ4949" s="67"/>
      <c r="DK4949" s="67"/>
      <c r="DL4949" s="67"/>
      <c r="DM4949" s="67"/>
      <c r="DN4949" s="67"/>
      <c r="DO4949" s="67"/>
      <c r="DP4949" s="67"/>
      <c r="DQ4949" s="166"/>
      <c r="DR4949" s="166"/>
      <c r="DS4949" s="163"/>
      <c r="DT4949" s="163"/>
      <c r="DU4949" s="67"/>
      <c r="DV4949" s="67"/>
      <c r="DW4949" s="67"/>
      <c r="DX4949" s="67"/>
      <c r="DY4949" s="67"/>
      <c r="DZ4949" s="67"/>
      <c r="EA4949" s="67"/>
      <c r="EB4949" s="67"/>
      <c r="EC4949" s="67"/>
      <c r="ED4949" s="67"/>
      <c r="EE4949" s="67"/>
      <c r="EF4949" s="67"/>
      <c r="EG4949" s="67"/>
      <c r="EH4949" s="67"/>
      <c r="EI4949" s="67"/>
      <c r="EJ4949" s="67"/>
      <c r="EK4949" s="94"/>
      <c r="EL4949" s="94"/>
      <c r="EM4949" s="67"/>
      <c r="EN4949" s="67"/>
      <c r="EO4949" s="67"/>
      <c r="EP4949" s="67"/>
      <c r="EQ4949" s="67"/>
      <c r="ER4949" s="67"/>
      <c r="ES4949" s="67"/>
      <c r="ET4949" s="67"/>
      <c r="EU4949" s="67"/>
      <c r="EV4949" s="67"/>
      <c r="EW4949" s="67"/>
      <c r="EX4949" s="67"/>
      <c r="EY4949" s="67"/>
      <c r="EZ4949" s="67"/>
      <c r="FA4949" s="67"/>
      <c r="FB4949" s="67"/>
      <c r="FC4949" s="67"/>
      <c r="FD4949" s="67"/>
      <c r="FE4949" s="67"/>
      <c r="FF4949" s="67"/>
      <c r="FG4949" s="67"/>
      <c r="FH4949" s="67"/>
      <c r="FI4949" s="67"/>
      <c r="FJ4949" s="67"/>
      <c r="FK4949" s="67"/>
      <c r="FL4949" s="67"/>
      <c r="FM4949" s="67"/>
      <c r="FN4949" s="67"/>
      <c r="FO4949" s="67"/>
      <c r="FP4949" s="67"/>
      <c r="FQ4949" s="67"/>
      <c r="FR4949" s="67"/>
      <c r="FS4949" s="67"/>
      <c r="FT4949" s="67"/>
      <c r="FU4949" s="67"/>
      <c r="FV4949" s="67"/>
      <c r="FW4949" s="67"/>
      <c r="FX4949" s="67"/>
      <c r="FY4949" s="67"/>
      <c r="FZ4949" s="67"/>
      <c r="GA4949" s="67"/>
      <c r="GB4949" s="67"/>
      <c r="GC4949" s="67"/>
      <c r="GD4949" s="67"/>
      <c r="GE4949" s="67"/>
      <c r="GF4949" s="67"/>
      <c r="GG4949" s="67"/>
      <c r="GH4949" s="67"/>
      <c r="GI4949" s="67"/>
      <c r="GJ4949" s="67"/>
      <c r="GK4949" s="67"/>
      <c r="GL4949" s="67"/>
      <c r="GM4949" s="67"/>
      <c r="GN4949" s="292"/>
      <c r="GO4949" s="292"/>
      <c r="GP4949" s="292" t="s">
        <v>7494</v>
      </c>
      <c r="GQ4949" s="67"/>
      <c r="GR4949" s="67"/>
      <c r="GS4949" s="67"/>
      <c r="GT4949" s="67"/>
      <c r="GU4949" s="67"/>
      <c r="GV4949" s="67"/>
      <c r="GW4949" s="67"/>
      <c r="GX4949" s="67"/>
      <c r="GY4949" s="67"/>
      <c r="GZ4949" s="67"/>
      <c r="HA4949" s="67"/>
      <c r="HB4949" s="67"/>
      <c r="HC4949" s="67"/>
      <c r="HD4949" s="67"/>
      <c r="HE4949" s="67"/>
      <c r="HF4949" s="67"/>
      <c r="HG4949" s="67"/>
      <c r="HH4949" s="67"/>
      <c r="HI4949" s="67"/>
      <c r="HJ4949" s="67"/>
      <c r="HK4949" s="67"/>
      <c r="HL4949" s="67"/>
      <c r="HM4949" s="67"/>
      <c r="HN4949" s="67"/>
      <c r="HO4949" s="67"/>
      <c r="HP4949" s="67"/>
      <c r="HQ4949" s="67"/>
      <c r="HR4949" s="67"/>
      <c r="HS4949" s="67"/>
      <c r="HT4949" s="67"/>
      <c r="HU4949" s="67"/>
      <c r="HV4949" s="67"/>
      <c r="HW4949" s="67"/>
      <c r="HX4949" s="67"/>
      <c r="HY4949" s="67"/>
      <c r="HZ4949" s="67"/>
      <c r="IA4949" s="67"/>
      <c r="IB4949" s="67"/>
      <c r="IC4949" s="67"/>
      <c r="ID4949" s="67"/>
      <c r="IE4949" s="67"/>
      <c r="IF4949" s="67"/>
      <c r="IG4949" s="67"/>
      <c r="IH4949" s="67"/>
      <c r="II4949" s="67"/>
      <c r="IJ4949" s="67"/>
      <c r="IK4949" s="67"/>
      <c r="IL4949" s="67"/>
      <c r="IM4949" s="67"/>
      <c r="IN4949" s="67"/>
      <c r="IO4949" s="67"/>
      <c r="IP4949" s="67"/>
      <c r="IQ4949" s="67"/>
      <c r="IR4949" s="67"/>
      <c r="IS4949" s="67"/>
      <c r="IT4949" s="67"/>
      <c r="IU4949" s="67"/>
      <c r="IV4949" s="67"/>
      <c r="IW4949" s="67"/>
      <c r="IX4949" s="67"/>
      <c r="IY4949" s="67"/>
      <c r="IZ4949" s="67"/>
      <c r="JA4949" s="67"/>
      <c r="JB4949" s="67"/>
      <c r="JC4949" s="67"/>
      <c r="JD4949" s="67"/>
      <c r="JE4949" s="67"/>
      <c r="JF4949" s="67"/>
      <c r="JG4949" s="67"/>
      <c r="JH4949" s="67"/>
      <c r="JI4949" s="67"/>
      <c r="JJ4949" s="67"/>
      <c r="JK4949" s="67"/>
      <c r="JL4949" s="67"/>
      <c r="JM4949" s="67"/>
      <c r="JN4949" s="67"/>
      <c r="JO4949" s="67"/>
      <c r="JP4949" s="67"/>
      <c r="JQ4949" s="67"/>
      <c r="JR4949" s="67"/>
      <c r="JS4949" s="67"/>
      <c r="JT4949" s="67"/>
      <c r="JU4949" s="58"/>
      <c r="JV4949" s="58"/>
      <c r="JW4949" s="58"/>
    </row>
    <row r="4950" spans="1:283" s="23" customFormat="1" x14ac:dyDescent="0.25">
      <c r="A4950" s="55">
        <v>4949</v>
      </c>
      <c r="B4950" s="12" t="s">
        <v>7067</v>
      </c>
      <c r="C4950" s="156">
        <v>239</v>
      </c>
      <c r="D4950" s="58" t="s">
        <v>4957</v>
      </c>
      <c r="E4950" s="160" t="str">
        <f>G4950</f>
        <v>Hepperly et al 2006_pair 1</v>
      </c>
      <c r="F4950" s="160"/>
      <c r="G4950" s="60" t="s">
        <v>4772</v>
      </c>
      <c r="H4950" s="58">
        <v>2006</v>
      </c>
      <c r="I4950" s="58" t="s">
        <v>5945</v>
      </c>
      <c r="J4950" s="243" t="s">
        <v>5313</v>
      </c>
      <c r="K4950" s="63" t="s">
        <v>5103</v>
      </c>
      <c r="L4950" s="58" t="s">
        <v>2737</v>
      </c>
      <c r="M4950" s="94">
        <v>40.520000000000003</v>
      </c>
      <c r="N4950" s="94">
        <v>-75.78</v>
      </c>
      <c r="O4950" s="94">
        <v>135</v>
      </c>
      <c r="P4950" s="58"/>
      <c r="Q4950" s="244">
        <v>12.4</v>
      </c>
      <c r="R4950" s="58"/>
      <c r="S4950" s="245">
        <v>1105</v>
      </c>
      <c r="T4950" s="58"/>
      <c r="U4950" s="58" t="s">
        <v>1935</v>
      </c>
      <c r="V4950" s="244" t="s">
        <v>1687</v>
      </c>
      <c r="W4950" s="174"/>
      <c r="X4950" s="174"/>
      <c r="Y4950" s="58" t="s">
        <v>5947</v>
      </c>
      <c r="Z4950" s="244" t="s">
        <v>1356</v>
      </c>
      <c r="AA4950" s="245">
        <v>30</v>
      </c>
      <c r="AB4950" s="67"/>
      <c r="AC4950" s="67"/>
      <c r="AD4950" s="94">
        <v>1.33</v>
      </c>
      <c r="AE4950" s="94"/>
      <c r="AF4950" s="94"/>
      <c r="AG4950" s="245">
        <v>27.1</v>
      </c>
      <c r="AH4950" s="58" t="s">
        <v>6378</v>
      </c>
      <c r="AI4950" s="169"/>
      <c r="AJ4950" s="94"/>
      <c r="AK4950" s="94"/>
      <c r="AL4950" s="58"/>
      <c r="AM4950" s="58"/>
      <c r="AN4950" s="186"/>
      <c r="AO4950" s="185" t="s">
        <v>7494</v>
      </c>
      <c r="AP4950" s="58"/>
      <c r="AQ4950" s="58"/>
      <c r="AR4950" s="58"/>
      <c r="AS4950" s="246" t="s">
        <v>5133</v>
      </c>
      <c r="AT4950" s="247">
        <v>0</v>
      </c>
      <c r="AU4950" s="181" t="s">
        <v>7494</v>
      </c>
      <c r="AV4950" s="185" t="s">
        <v>176</v>
      </c>
      <c r="AW4950" s="244">
        <v>1</v>
      </c>
      <c r="AX4950" s="185" t="s">
        <v>176</v>
      </c>
      <c r="AY4950" s="244" t="s">
        <v>5150</v>
      </c>
      <c r="AZ4950" s="58"/>
      <c r="BA4950" s="58"/>
      <c r="BB4950" s="58"/>
      <c r="BC4950" s="58"/>
      <c r="BD4950" s="58"/>
      <c r="BE4950" s="236" t="s">
        <v>5190</v>
      </c>
      <c r="BF4950" s="191" t="s">
        <v>479</v>
      </c>
      <c r="BG4950" s="191" t="s">
        <v>479</v>
      </c>
      <c r="BH4950" s="236" t="s">
        <v>5256</v>
      </c>
      <c r="BI4950" s="191" t="s">
        <v>479</v>
      </c>
      <c r="BJ4950" s="58" t="str">
        <f>IF(BE4950=BH4950,"No","yes")</f>
        <v>yes</v>
      </c>
      <c r="BK4950" s="58" t="s">
        <v>6334</v>
      </c>
      <c r="BL4950" s="58"/>
      <c r="BM4950" s="237"/>
      <c r="BN4950" s="244">
        <v>8</v>
      </c>
      <c r="BO4950" s="244">
        <v>8</v>
      </c>
      <c r="BP4950" s="58"/>
      <c r="BQ4950" s="58"/>
      <c r="BR4950" s="58"/>
      <c r="BS4950" s="58"/>
      <c r="BT4950" s="58"/>
      <c r="BU4950" s="58"/>
      <c r="BV4950" s="58"/>
      <c r="BW4950" s="67"/>
      <c r="BX4950" s="67"/>
      <c r="BY4950" s="67"/>
      <c r="BZ4950" s="67"/>
      <c r="CA4950" s="67"/>
      <c r="CB4950" s="70">
        <v>2523</v>
      </c>
      <c r="CC4950" s="70">
        <v>2456</v>
      </c>
      <c r="CD4950" s="70"/>
      <c r="CE4950" s="67"/>
      <c r="CF4950" s="67"/>
      <c r="CG4950" s="67" t="s">
        <v>5949</v>
      </c>
      <c r="CH4950" s="245"/>
      <c r="CI4950" s="245"/>
      <c r="CJ4950" s="67"/>
      <c r="CK4950" s="67"/>
      <c r="CL4950" s="67"/>
      <c r="CM4950" s="242">
        <v>1.8580000000000001</v>
      </c>
      <c r="CN4950" s="242">
        <v>1.9159999999999999</v>
      </c>
      <c r="CO4950" s="242"/>
      <c r="CP4950" s="242"/>
      <c r="CQ4950" s="242" t="s">
        <v>164</v>
      </c>
      <c r="CR4950" s="242">
        <f>CM4950*0.01*(100*100*AA4950/100*AD4950)</f>
        <v>74.134200000000007</v>
      </c>
      <c r="CS4950" s="242">
        <f>CN4950*0.01*(100*100*AA4950/100*AD4950)</f>
        <v>76.448400000000007</v>
      </c>
      <c r="CT4950" s="242"/>
      <c r="CU4950" s="242"/>
      <c r="CV4950" s="242"/>
      <c r="CW4950" s="242">
        <f>(CR4950-74.134)/U4950*1000</f>
        <v>0.20000000000663931</v>
      </c>
      <c r="CX4950" s="242">
        <f>(CS4950-74.134)/U4950*1000</f>
        <v>2314.400000000006</v>
      </c>
      <c r="CY4950" s="242"/>
      <c r="CZ4950" s="242"/>
      <c r="DA4950" s="67" t="s">
        <v>5443</v>
      </c>
      <c r="DB4950" s="67"/>
      <c r="DC4950" s="67"/>
      <c r="DD4950" s="67"/>
      <c r="DE4950" s="67"/>
      <c r="DF4950" s="67"/>
      <c r="DG4950" s="67"/>
      <c r="DH4950" s="67"/>
      <c r="DI4950" s="67"/>
      <c r="DJ4950" s="67"/>
      <c r="DK4950" s="67"/>
      <c r="DL4950" s="67"/>
      <c r="DM4950" s="67"/>
      <c r="DN4950" s="67"/>
      <c r="DO4950" s="67"/>
      <c r="DP4950" s="67"/>
      <c r="DQ4950" s="166"/>
      <c r="DR4950" s="166"/>
      <c r="DS4950" s="163"/>
      <c r="DT4950" s="163"/>
      <c r="DU4950" s="67"/>
      <c r="DV4950" s="67"/>
      <c r="DW4950" s="67"/>
      <c r="DX4950" s="67"/>
      <c r="DY4950" s="67"/>
      <c r="DZ4950" s="67"/>
      <c r="EA4950" s="67"/>
      <c r="EB4950" s="67"/>
      <c r="EC4950" s="67"/>
      <c r="ED4950" s="67"/>
      <c r="EE4950" s="67"/>
      <c r="EF4950" s="67"/>
      <c r="EG4950" s="67"/>
      <c r="EH4950" s="67"/>
      <c r="EI4950" s="67"/>
      <c r="EJ4950" s="67"/>
      <c r="EK4950" s="94"/>
      <c r="EL4950" s="94"/>
      <c r="EM4950" s="67"/>
      <c r="EN4950" s="67"/>
      <c r="EO4950" s="67"/>
      <c r="EP4950" s="67"/>
      <c r="EQ4950" s="67"/>
      <c r="ER4950" s="67"/>
      <c r="ES4950" s="67"/>
      <c r="ET4950" s="67"/>
      <c r="EU4950" s="67"/>
      <c r="EV4950" s="67"/>
      <c r="EW4950" s="67"/>
      <c r="EX4950" s="67"/>
      <c r="EY4950" s="67"/>
      <c r="EZ4950" s="67"/>
      <c r="FA4950" s="67"/>
      <c r="FB4950" s="67"/>
      <c r="FC4950" s="67"/>
      <c r="FD4950" s="67"/>
      <c r="FE4950" s="67"/>
      <c r="FF4950" s="67"/>
      <c r="FG4950" s="67"/>
      <c r="FH4950" s="67"/>
      <c r="FI4950" s="67"/>
      <c r="FJ4950" s="67"/>
      <c r="FK4950" s="67"/>
      <c r="FL4950" s="67"/>
      <c r="FM4950" s="67"/>
      <c r="FN4950" s="67"/>
      <c r="FO4950" s="67"/>
      <c r="FP4950" s="67"/>
      <c r="FQ4950" s="67"/>
      <c r="FR4950" s="67"/>
      <c r="FS4950" s="67"/>
      <c r="FT4950" s="67"/>
      <c r="FU4950" s="67"/>
      <c r="FV4950" s="67"/>
      <c r="FW4950" s="67"/>
      <c r="FX4950" s="67"/>
      <c r="FY4950" s="67"/>
      <c r="FZ4950" s="67"/>
      <c r="GA4950" s="67"/>
      <c r="GB4950" s="67"/>
      <c r="GC4950" s="67"/>
      <c r="GD4950" s="67"/>
      <c r="GE4950" s="67"/>
      <c r="GF4950" s="67"/>
      <c r="GG4950" s="67"/>
      <c r="GH4950" s="67"/>
      <c r="GI4950" s="67"/>
      <c r="GJ4950" s="67"/>
      <c r="GK4950" s="67"/>
      <c r="GL4950" s="67"/>
      <c r="GM4950" s="67"/>
      <c r="GN4950" s="292"/>
      <c r="GO4950" s="292"/>
      <c r="GP4950" s="292" t="s">
        <v>7494</v>
      </c>
      <c r="GQ4950" s="67"/>
      <c r="GR4950" s="67"/>
      <c r="GS4950" s="67"/>
      <c r="GT4950" s="67"/>
      <c r="GU4950" s="67"/>
      <c r="GV4950" s="67"/>
      <c r="GW4950" s="67"/>
      <c r="GX4950" s="67"/>
      <c r="GY4950" s="67"/>
      <c r="GZ4950" s="67"/>
      <c r="HA4950" s="67"/>
      <c r="HB4950" s="67"/>
      <c r="HC4950" s="67"/>
      <c r="HD4950" s="67"/>
      <c r="HE4950" s="67"/>
      <c r="HF4950" s="67"/>
      <c r="HG4950" s="67"/>
      <c r="HH4950" s="67"/>
      <c r="HI4950" s="67"/>
      <c r="HJ4950" s="67"/>
      <c r="HK4950" s="67"/>
      <c r="HL4950" s="67"/>
      <c r="HM4950" s="67"/>
      <c r="HN4950" s="67"/>
      <c r="HO4950" s="67"/>
      <c r="HP4950" s="67"/>
      <c r="HQ4950" s="67"/>
      <c r="HR4950" s="67"/>
      <c r="HS4950" s="67"/>
      <c r="HT4950" s="67"/>
      <c r="HU4950" s="67"/>
      <c r="HV4950" s="67"/>
      <c r="HW4950" s="67"/>
      <c r="HX4950" s="67"/>
      <c r="HY4950" s="67"/>
      <c r="HZ4950" s="67"/>
      <c r="IA4950" s="67"/>
      <c r="IB4950" s="67"/>
      <c r="IC4950" s="67"/>
      <c r="ID4950" s="67"/>
      <c r="IE4950" s="67"/>
      <c r="IF4950" s="67"/>
      <c r="IG4950" s="67"/>
      <c r="IH4950" s="67"/>
      <c r="II4950" s="67"/>
      <c r="IJ4950" s="67"/>
      <c r="IK4950" s="67"/>
      <c r="IL4950" s="67"/>
      <c r="IM4950" s="67"/>
      <c r="IN4950" s="67"/>
      <c r="IO4950" s="67"/>
      <c r="IP4950" s="67"/>
      <c r="IQ4950" s="67"/>
      <c r="IR4950" s="67"/>
      <c r="IS4950" s="67"/>
      <c r="IT4950" s="67"/>
      <c r="IU4950" s="67"/>
      <c r="IV4950" s="67"/>
      <c r="IW4950" s="67"/>
      <c r="IX4950" s="67"/>
      <c r="IY4950" s="67"/>
      <c r="IZ4950" s="67"/>
      <c r="JA4950" s="67"/>
      <c r="JB4950" s="67"/>
      <c r="JC4950" s="67"/>
      <c r="JD4950" s="67"/>
      <c r="JE4950" s="67"/>
      <c r="JF4950" s="67"/>
      <c r="JG4950" s="67"/>
      <c r="JH4950" s="67"/>
      <c r="JI4950" s="67"/>
      <c r="JJ4950" s="67"/>
      <c r="JK4950" s="67"/>
      <c r="JL4950" s="67"/>
      <c r="JM4950" s="67"/>
      <c r="JN4950" s="67"/>
      <c r="JO4950" s="67"/>
      <c r="JP4950" s="67"/>
      <c r="JQ4950" s="67"/>
      <c r="JR4950" s="67"/>
      <c r="JS4950" s="67"/>
      <c r="JT4950" s="67"/>
      <c r="JU4950" s="58"/>
      <c r="JV4950" s="58"/>
      <c r="JW4950" s="58"/>
    </row>
    <row r="4951" spans="1:283" s="23" customFormat="1" x14ac:dyDescent="0.25">
      <c r="A4951" s="55">
        <v>4950</v>
      </c>
      <c r="B4951" s="12" t="s">
        <v>7067</v>
      </c>
      <c r="C4951" s="156">
        <v>239</v>
      </c>
      <c r="D4951" s="58" t="s">
        <v>4958</v>
      </c>
      <c r="E4951" s="160" t="str">
        <f>G4951</f>
        <v>Hepperly et al 2006_pair 2</v>
      </c>
      <c r="F4951" s="160"/>
      <c r="G4951" s="60" t="s">
        <v>4771</v>
      </c>
      <c r="H4951" s="58">
        <v>2006</v>
      </c>
      <c r="I4951" s="58" t="s">
        <v>5946</v>
      </c>
      <c r="J4951" s="243" t="s">
        <v>5313</v>
      </c>
      <c r="K4951" s="63" t="s">
        <v>5103</v>
      </c>
      <c r="L4951" s="58" t="s">
        <v>2737</v>
      </c>
      <c r="M4951" s="94">
        <v>40.520000000000003</v>
      </c>
      <c r="N4951" s="94">
        <v>-75.78</v>
      </c>
      <c r="O4951" s="94">
        <v>135</v>
      </c>
      <c r="P4951" s="58"/>
      <c r="Q4951" s="244">
        <v>12.4</v>
      </c>
      <c r="R4951" s="58"/>
      <c r="S4951" s="245">
        <v>1105</v>
      </c>
      <c r="T4951" s="58"/>
      <c r="U4951" s="58" t="s">
        <v>1682</v>
      </c>
      <c r="V4951" s="244" t="s">
        <v>1687</v>
      </c>
      <c r="W4951" s="174"/>
      <c r="X4951" s="174"/>
      <c r="Y4951" s="58" t="s">
        <v>5947</v>
      </c>
      <c r="Z4951" s="244" t="s">
        <v>1356</v>
      </c>
      <c r="AA4951" s="245">
        <v>30</v>
      </c>
      <c r="AB4951" s="67"/>
      <c r="AC4951" s="67"/>
      <c r="AD4951" s="94">
        <v>1.33</v>
      </c>
      <c r="AE4951" s="94"/>
      <c r="AF4951" s="94"/>
      <c r="AG4951" s="245">
        <v>27.1</v>
      </c>
      <c r="AH4951" s="58" t="s">
        <v>6378</v>
      </c>
      <c r="AI4951" s="169"/>
      <c r="AJ4951" s="94"/>
      <c r="AK4951" s="94"/>
      <c r="AL4951" s="58"/>
      <c r="AM4951" s="58"/>
      <c r="AN4951" s="186"/>
      <c r="AO4951" s="185" t="s">
        <v>7494</v>
      </c>
      <c r="AP4951" s="58"/>
      <c r="AQ4951" s="58"/>
      <c r="AR4951" s="58"/>
      <c r="AS4951" s="246" t="s">
        <v>5133</v>
      </c>
      <c r="AT4951" s="247">
        <v>0</v>
      </c>
      <c r="AU4951" s="181" t="s">
        <v>7494</v>
      </c>
      <c r="AV4951" s="185" t="s">
        <v>176</v>
      </c>
      <c r="AW4951" s="244">
        <v>1</v>
      </c>
      <c r="AX4951" s="185" t="s">
        <v>176</v>
      </c>
      <c r="AY4951" s="244" t="s">
        <v>5150</v>
      </c>
      <c r="AZ4951" s="58"/>
      <c r="BA4951" s="58"/>
      <c r="BB4951" s="58"/>
      <c r="BC4951" s="58"/>
      <c r="BD4951" s="58"/>
      <c r="BE4951" s="236" t="s">
        <v>5190</v>
      </c>
      <c r="BF4951" s="191" t="s">
        <v>479</v>
      </c>
      <c r="BG4951" s="191" t="s">
        <v>479</v>
      </c>
      <c r="BH4951" s="236" t="s">
        <v>5257</v>
      </c>
      <c r="BI4951" s="191" t="s">
        <v>479</v>
      </c>
      <c r="BJ4951" s="58" t="str">
        <f>IF(BE4951=BH4951,"No","yes")</f>
        <v>yes</v>
      </c>
      <c r="BK4951" s="58" t="s">
        <v>6334</v>
      </c>
      <c r="BL4951" s="58"/>
      <c r="BM4951" s="237"/>
      <c r="BN4951" s="244">
        <v>8</v>
      </c>
      <c r="BO4951" s="244">
        <v>8</v>
      </c>
      <c r="BP4951" s="58"/>
      <c r="BQ4951" s="58"/>
      <c r="BR4951" s="58"/>
      <c r="BS4951" s="58"/>
      <c r="BT4951" s="58"/>
      <c r="BU4951" s="58"/>
      <c r="BV4951" s="58"/>
      <c r="BW4951" s="67"/>
      <c r="BX4951" s="67"/>
      <c r="BY4951" s="67"/>
      <c r="BZ4951" s="67"/>
      <c r="CA4951" s="67"/>
      <c r="CB4951" s="70">
        <v>5900</v>
      </c>
      <c r="CC4951" s="70">
        <v>4222</v>
      </c>
      <c r="CD4951" s="70"/>
      <c r="CE4951" s="67"/>
      <c r="CF4951" s="67"/>
      <c r="CG4951" s="67" t="s">
        <v>5950</v>
      </c>
      <c r="CH4951" s="245"/>
      <c r="CI4951" s="245"/>
      <c r="CJ4951" s="67"/>
      <c r="CK4951" s="67"/>
      <c r="CL4951" s="67"/>
      <c r="CM4951" s="242">
        <v>2.0499999999999998</v>
      </c>
      <c r="CN4951" s="242">
        <v>2.2170000000000001</v>
      </c>
      <c r="CO4951" s="242"/>
      <c r="CP4951" s="242"/>
      <c r="CQ4951" s="242" t="s">
        <v>164</v>
      </c>
      <c r="CR4951" s="242">
        <f>CM4951*0.01*(100*100*AA4951/100*AD4951)</f>
        <v>81.794999999999987</v>
      </c>
      <c r="CS4951" s="242">
        <f>CN4951*0.01*(100*100*AA4951/100*AD4951)</f>
        <v>88.458300000000008</v>
      </c>
      <c r="CT4951" s="242"/>
      <c r="CU4951" s="242"/>
      <c r="CV4951" s="242"/>
      <c r="CW4951" s="242">
        <f>(CR4951-74.134)/U4951*1000</f>
        <v>1532.1999999999973</v>
      </c>
      <c r="CX4951" s="242">
        <f>(CS4951-74.134)/U4951*1000</f>
        <v>2864.8600000000015</v>
      </c>
      <c r="CY4951" s="242"/>
      <c r="CZ4951" s="242"/>
      <c r="DA4951" s="67" t="s">
        <v>5443</v>
      </c>
      <c r="DB4951" s="67"/>
      <c r="DC4951" s="67"/>
      <c r="DD4951" s="67"/>
      <c r="DE4951" s="67"/>
      <c r="DF4951" s="67"/>
      <c r="DG4951" s="67"/>
      <c r="DH4951" s="67"/>
      <c r="DI4951" s="67"/>
      <c r="DJ4951" s="67"/>
      <c r="DK4951" s="67"/>
      <c r="DL4951" s="67"/>
      <c r="DM4951" s="67"/>
      <c r="DN4951" s="67"/>
      <c r="DO4951" s="67"/>
      <c r="DP4951" s="67"/>
      <c r="DQ4951" s="166"/>
      <c r="DR4951" s="166"/>
      <c r="DS4951" s="163"/>
      <c r="DT4951" s="163"/>
      <c r="DU4951" s="67"/>
      <c r="DV4951" s="67"/>
      <c r="DW4951" s="67"/>
      <c r="DX4951" s="67"/>
      <c r="DY4951" s="67"/>
      <c r="DZ4951" s="67"/>
      <c r="EA4951" s="67"/>
      <c r="EB4951" s="67"/>
      <c r="EC4951" s="67"/>
      <c r="ED4951" s="67"/>
      <c r="EE4951" s="67"/>
      <c r="EF4951" s="67"/>
      <c r="EG4951" s="67"/>
      <c r="EH4951" s="67"/>
      <c r="EI4951" s="67"/>
      <c r="EJ4951" s="67"/>
      <c r="EK4951" s="94"/>
      <c r="EL4951" s="94"/>
      <c r="EM4951" s="67"/>
      <c r="EN4951" s="67"/>
      <c r="EO4951" s="67"/>
      <c r="EP4951" s="67"/>
      <c r="EQ4951" s="67"/>
      <c r="ER4951" s="67"/>
      <c r="ES4951" s="67"/>
      <c r="ET4951" s="67"/>
      <c r="EU4951" s="67"/>
      <c r="EV4951" s="67"/>
      <c r="EW4951" s="67"/>
      <c r="EX4951" s="67"/>
      <c r="EY4951" s="67"/>
      <c r="EZ4951" s="67"/>
      <c r="FA4951" s="67"/>
      <c r="FB4951" s="67"/>
      <c r="FC4951" s="67"/>
      <c r="FD4951" s="67"/>
      <c r="FE4951" s="67"/>
      <c r="FF4951" s="67"/>
      <c r="FG4951" s="67"/>
      <c r="FH4951" s="67"/>
      <c r="FI4951" s="67"/>
      <c r="FJ4951" s="67"/>
      <c r="FK4951" s="67"/>
      <c r="FL4951" s="67"/>
      <c r="FM4951" s="67"/>
      <c r="FN4951" s="67"/>
      <c r="FO4951" s="67"/>
      <c r="FP4951" s="67"/>
      <c r="FQ4951" s="67"/>
      <c r="FR4951" s="67"/>
      <c r="FS4951" s="67"/>
      <c r="FT4951" s="67"/>
      <c r="FU4951" s="67"/>
      <c r="FV4951" s="67"/>
      <c r="FW4951" s="67"/>
      <c r="FX4951" s="67"/>
      <c r="FY4951" s="67"/>
      <c r="FZ4951" s="67"/>
      <c r="GA4951" s="67"/>
      <c r="GB4951" s="67"/>
      <c r="GC4951" s="67"/>
      <c r="GD4951" s="67"/>
      <c r="GE4951" s="67"/>
      <c r="GF4951" s="67"/>
      <c r="GG4951" s="67"/>
      <c r="GH4951" s="67"/>
      <c r="GI4951" s="67"/>
      <c r="GJ4951" s="67"/>
      <c r="GK4951" s="67"/>
      <c r="GL4951" s="67"/>
      <c r="GM4951" s="67"/>
      <c r="GN4951" s="292"/>
      <c r="GO4951" s="292"/>
      <c r="GP4951" s="292" t="s">
        <v>7494</v>
      </c>
      <c r="GQ4951" s="67"/>
      <c r="GR4951" s="67"/>
      <c r="GS4951" s="67"/>
      <c r="GT4951" s="67"/>
      <c r="GU4951" s="67"/>
      <c r="GV4951" s="67"/>
      <c r="GW4951" s="67"/>
      <c r="GX4951" s="67"/>
      <c r="GY4951" s="67"/>
      <c r="GZ4951" s="67"/>
      <c r="HA4951" s="67"/>
      <c r="HB4951" s="67"/>
      <c r="HC4951" s="67"/>
      <c r="HD4951" s="67"/>
      <c r="HE4951" s="67"/>
      <c r="HF4951" s="67"/>
      <c r="HG4951" s="67"/>
      <c r="HH4951" s="67"/>
      <c r="HI4951" s="67"/>
      <c r="HJ4951" s="67"/>
      <c r="HK4951" s="67"/>
      <c r="HL4951" s="67"/>
      <c r="HM4951" s="67"/>
      <c r="HN4951" s="67"/>
      <c r="HO4951" s="67"/>
      <c r="HP4951" s="67"/>
      <c r="HQ4951" s="67"/>
      <c r="HR4951" s="67"/>
      <c r="HS4951" s="67"/>
      <c r="HT4951" s="67"/>
      <c r="HU4951" s="67"/>
      <c r="HV4951" s="67"/>
      <c r="HW4951" s="67"/>
      <c r="HX4951" s="67"/>
      <c r="HY4951" s="67"/>
      <c r="HZ4951" s="67"/>
      <c r="IA4951" s="67"/>
      <c r="IB4951" s="67"/>
      <c r="IC4951" s="67"/>
      <c r="ID4951" s="67"/>
      <c r="IE4951" s="67"/>
      <c r="IF4951" s="67"/>
      <c r="IG4951" s="67"/>
      <c r="IH4951" s="67"/>
      <c r="II4951" s="67"/>
      <c r="IJ4951" s="67"/>
      <c r="IK4951" s="67"/>
      <c r="IL4951" s="67"/>
      <c r="IM4951" s="67"/>
      <c r="IN4951" s="67"/>
      <c r="IO4951" s="67"/>
      <c r="IP4951" s="67"/>
      <c r="IQ4951" s="67"/>
      <c r="IR4951" s="67"/>
      <c r="IS4951" s="67"/>
      <c r="IT4951" s="67"/>
      <c r="IU4951" s="67"/>
      <c r="IV4951" s="67"/>
      <c r="IW4951" s="67"/>
      <c r="IX4951" s="67"/>
      <c r="IY4951" s="67"/>
      <c r="IZ4951" s="67"/>
      <c r="JA4951" s="67"/>
      <c r="JB4951" s="67"/>
      <c r="JC4951" s="67"/>
      <c r="JD4951" s="67"/>
      <c r="JE4951" s="67"/>
      <c r="JF4951" s="67"/>
      <c r="JG4951" s="67"/>
      <c r="JH4951" s="67"/>
      <c r="JI4951" s="67"/>
      <c r="JJ4951" s="67"/>
      <c r="JK4951" s="67"/>
      <c r="JL4951" s="67"/>
      <c r="JM4951" s="67"/>
      <c r="JN4951" s="67"/>
      <c r="JO4951" s="67"/>
      <c r="JP4951" s="67"/>
      <c r="JQ4951" s="67"/>
      <c r="JR4951" s="67"/>
      <c r="JS4951" s="67"/>
      <c r="JT4951" s="67"/>
      <c r="JU4951" s="58"/>
      <c r="JV4951" s="58"/>
      <c r="JW4951" s="58"/>
    </row>
    <row r="4952" spans="1:283" s="23" customFormat="1" x14ac:dyDescent="0.25">
      <c r="A4952" s="55">
        <v>4951</v>
      </c>
      <c r="B4952" s="12" t="s">
        <v>7067</v>
      </c>
      <c r="C4952" s="156">
        <v>239</v>
      </c>
      <c r="D4952" s="58" t="s">
        <v>4957</v>
      </c>
      <c r="E4952" s="160" t="str">
        <f>G4952</f>
        <v>Hepperly et al 2006_pair 1</v>
      </c>
      <c r="F4952" s="160"/>
      <c r="G4952" s="60" t="s">
        <v>4772</v>
      </c>
      <c r="H4952" s="58">
        <v>2006</v>
      </c>
      <c r="I4952" s="58" t="s">
        <v>5941</v>
      </c>
      <c r="J4952" s="243" t="s">
        <v>5313</v>
      </c>
      <c r="K4952" s="63" t="s">
        <v>5103</v>
      </c>
      <c r="L4952" s="58" t="s">
        <v>2737</v>
      </c>
      <c r="M4952" s="94">
        <v>40.520000000000003</v>
      </c>
      <c r="N4952" s="94">
        <v>-75.78</v>
      </c>
      <c r="O4952" s="94">
        <v>135</v>
      </c>
      <c r="P4952" s="58"/>
      <c r="Q4952" s="244">
        <v>12.4</v>
      </c>
      <c r="R4952" s="58"/>
      <c r="S4952" s="245">
        <v>1105</v>
      </c>
      <c r="T4952" s="58"/>
      <c r="U4952" s="58" t="s">
        <v>1679</v>
      </c>
      <c r="V4952" s="244" t="s">
        <v>1687</v>
      </c>
      <c r="W4952" s="174"/>
      <c r="X4952" s="174"/>
      <c r="Y4952" s="58" t="s">
        <v>5947</v>
      </c>
      <c r="Z4952" s="244" t="s">
        <v>1356</v>
      </c>
      <c r="AA4952" s="245">
        <v>30</v>
      </c>
      <c r="AB4952" s="67"/>
      <c r="AC4952" s="67"/>
      <c r="AD4952" s="94">
        <v>1.33</v>
      </c>
      <c r="AE4952" s="94"/>
      <c r="AF4952" s="94"/>
      <c r="AG4952" s="245">
        <v>27.1</v>
      </c>
      <c r="AH4952" s="58" t="s">
        <v>6378</v>
      </c>
      <c r="AI4952" s="169"/>
      <c r="AJ4952" s="94"/>
      <c r="AK4952" s="94"/>
      <c r="AL4952" s="58"/>
      <c r="AM4952" s="58"/>
      <c r="AN4952" s="186"/>
      <c r="AO4952" s="185" t="s">
        <v>7494</v>
      </c>
      <c r="AP4952" s="58"/>
      <c r="AQ4952" s="58"/>
      <c r="AR4952" s="58"/>
      <c r="AS4952" s="246" t="s">
        <v>5133</v>
      </c>
      <c r="AT4952" s="247">
        <v>0</v>
      </c>
      <c r="AU4952" s="181" t="s">
        <v>7494</v>
      </c>
      <c r="AV4952" s="185" t="s">
        <v>176</v>
      </c>
      <c r="AW4952" s="244">
        <v>1</v>
      </c>
      <c r="AX4952" s="185" t="s">
        <v>176</v>
      </c>
      <c r="AY4952" s="244" t="s">
        <v>5150</v>
      </c>
      <c r="AZ4952" s="58"/>
      <c r="BA4952" s="58"/>
      <c r="BB4952" s="58"/>
      <c r="BC4952" s="58"/>
      <c r="BD4952" s="58"/>
      <c r="BE4952" s="236" t="s">
        <v>5190</v>
      </c>
      <c r="BF4952" s="191" t="s">
        <v>479</v>
      </c>
      <c r="BG4952" s="191" t="s">
        <v>479</v>
      </c>
      <c r="BH4952" s="236" t="s">
        <v>5256</v>
      </c>
      <c r="BI4952" s="191" t="s">
        <v>479</v>
      </c>
      <c r="BJ4952" s="58" t="str">
        <f>IF(BE4952=BH4952,"No","yes")</f>
        <v>yes</v>
      </c>
      <c r="BK4952" s="58" t="s">
        <v>6334</v>
      </c>
      <c r="BL4952" s="58"/>
      <c r="BM4952" s="237"/>
      <c r="BN4952" s="244">
        <v>8</v>
      </c>
      <c r="BO4952" s="244">
        <v>8</v>
      </c>
      <c r="BP4952" s="58"/>
      <c r="BQ4952" s="58"/>
      <c r="BR4952" s="58"/>
      <c r="BS4952" s="58"/>
      <c r="BT4952" s="58"/>
      <c r="BU4952" s="58"/>
      <c r="BV4952" s="58"/>
      <c r="BW4952" s="67"/>
      <c r="BX4952" s="67"/>
      <c r="BY4952" s="67"/>
      <c r="BZ4952" s="67"/>
      <c r="CA4952" s="67"/>
      <c r="CB4952" s="70"/>
      <c r="CC4952" s="70"/>
      <c r="CD4952" s="70"/>
      <c r="CE4952" s="67"/>
      <c r="CF4952" s="67"/>
      <c r="CG4952" s="67"/>
      <c r="CH4952" s="245"/>
      <c r="CI4952" s="245"/>
      <c r="CJ4952" s="67"/>
      <c r="CK4952" s="67"/>
      <c r="CL4952" s="67"/>
      <c r="CM4952" s="242">
        <v>2.0920000000000001</v>
      </c>
      <c r="CN4952" s="242">
        <v>2.3359999999999999</v>
      </c>
      <c r="CO4952" s="242"/>
      <c r="CP4952" s="242"/>
      <c r="CQ4952" s="242" t="s">
        <v>164</v>
      </c>
      <c r="CR4952" s="242">
        <f>CM4952*0.01*(100*100*AA4952/100*AD4952)</f>
        <v>83.470800000000011</v>
      </c>
      <c r="CS4952" s="242">
        <f>CN4952*0.01*(100*100*AA4952/100*AD4952)</f>
        <v>93.206400000000002</v>
      </c>
      <c r="CT4952" s="242"/>
      <c r="CU4952" s="242"/>
      <c r="CV4952" s="242"/>
      <c r="CW4952" s="242">
        <f>(CR4952-74.134)/U4952*1000</f>
        <v>933.68000000000109</v>
      </c>
      <c r="CX4952" s="242">
        <f>(CS4952-74.134)/U4952*1000</f>
        <v>1907.2400000000002</v>
      </c>
      <c r="CY4952" s="242"/>
      <c r="CZ4952" s="242"/>
      <c r="DA4952" s="67" t="s">
        <v>5443</v>
      </c>
      <c r="DB4952" s="67"/>
      <c r="DC4952" s="67"/>
      <c r="DD4952" s="67"/>
      <c r="DE4952" s="67"/>
      <c r="DF4952" s="67"/>
      <c r="DG4952" s="67"/>
      <c r="DH4952" s="67"/>
      <c r="DI4952" s="67"/>
      <c r="DJ4952" s="67"/>
      <c r="DK4952" s="67"/>
      <c r="DL4952" s="67"/>
      <c r="DM4952" s="67"/>
      <c r="DN4952" s="67"/>
      <c r="DO4952" s="67"/>
      <c r="DP4952" s="67"/>
      <c r="DQ4952" s="166"/>
      <c r="DR4952" s="166"/>
      <c r="DS4952" s="163"/>
      <c r="DT4952" s="163"/>
      <c r="DU4952" s="67"/>
      <c r="DV4952" s="67"/>
      <c r="DW4952" s="67"/>
      <c r="DX4952" s="67"/>
      <c r="DY4952" s="67"/>
      <c r="DZ4952" s="67"/>
      <c r="EA4952" s="67"/>
      <c r="EB4952" s="67"/>
      <c r="EC4952" s="67"/>
      <c r="ED4952" s="67"/>
      <c r="EE4952" s="67"/>
      <c r="EF4952" s="67"/>
      <c r="EG4952" s="67"/>
      <c r="EH4952" s="67"/>
      <c r="EI4952" s="67"/>
      <c r="EJ4952" s="67"/>
      <c r="EK4952" s="94"/>
      <c r="EL4952" s="94"/>
      <c r="EM4952" s="67"/>
      <c r="EN4952" s="67"/>
      <c r="EO4952" s="67"/>
      <c r="EP4952" s="67"/>
      <c r="EQ4952" s="67"/>
      <c r="ER4952" s="67"/>
      <c r="ES4952" s="67"/>
      <c r="ET4952" s="67"/>
      <c r="EU4952" s="67"/>
      <c r="EV4952" s="67"/>
      <c r="EW4952" s="67"/>
      <c r="EX4952" s="67"/>
      <c r="EY4952" s="67"/>
      <c r="EZ4952" s="67"/>
      <c r="FA4952" s="67"/>
      <c r="FB4952" s="67"/>
      <c r="FC4952" s="67"/>
      <c r="FD4952" s="67"/>
      <c r="FE4952" s="67"/>
      <c r="FF4952" s="67"/>
      <c r="FG4952" s="67"/>
      <c r="FH4952" s="67"/>
      <c r="FI4952" s="67"/>
      <c r="FJ4952" s="67"/>
      <c r="FK4952" s="67"/>
      <c r="FL4952" s="67"/>
      <c r="FM4952" s="67"/>
      <c r="FN4952" s="67"/>
      <c r="FO4952" s="67"/>
      <c r="FP4952" s="67"/>
      <c r="FQ4952" s="67"/>
      <c r="FR4952" s="67"/>
      <c r="FS4952" s="67"/>
      <c r="FT4952" s="67"/>
      <c r="FU4952" s="67"/>
      <c r="FV4952" s="67"/>
      <c r="FW4952" s="67"/>
      <c r="FX4952" s="67"/>
      <c r="FY4952" s="67"/>
      <c r="FZ4952" s="67"/>
      <c r="GA4952" s="67"/>
      <c r="GB4952" s="67"/>
      <c r="GC4952" s="67"/>
      <c r="GD4952" s="67"/>
      <c r="GE4952" s="67"/>
      <c r="GF4952" s="67"/>
      <c r="GG4952" s="67"/>
      <c r="GH4952" s="67"/>
      <c r="GI4952" s="67"/>
      <c r="GJ4952" s="67"/>
      <c r="GK4952" s="67"/>
      <c r="GL4952" s="67"/>
      <c r="GM4952" s="67"/>
      <c r="GN4952" s="292"/>
      <c r="GO4952" s="292"/>
      <c r="GP4952" s="292" t="s">
        <v>7494</v>
      </c>
      <c r="GQ4952" s="67"/>
      <c r="GR4952" s="67"/>
      <c r="GS4952" s="67"/>
      <c r="GT4952" s="67"/>
      <c r="GU4952" s="67"/>
      <c r="GV4952" s="67"/>
      <c r="GW4952" s="67"/>
      <c r="GX4952" s="67"/>
      <c r="GY4952" s="67"/>
      <c r="GZ4952" s="67"/>
      <c r="HA4952" s="67"/>
      <c r="HB4952" s="67"/>
      <c r="HC4952" s="67"/>
      <c r="HD4952" s="67"/>
      <c r="HE4952" s="67"/>
      <c r="HF4952" s="67"/>
      <c r="HG4952" s="67"/>
      <c r="HH4952" s="67"/>
      <c r="HI4952" s="67"/>
      <c r="HJ4952" s="67"/>
      <c r="HK4952" s="67"/>
      <c r="HL4952" s="67"/>
      <c r="HM4952" s="67"/>
      <c r="HN4952" s="67"/>
      <c r="HO4952" s="67"/>
      <c r="HP4952" s="67"/>
      <c r="HQ4952" s="67"/>
      <c r="HR4952" s="67"/>
      <c r="HS4952" s="67"/>
      <c r="HT4952" s="67"/>
      <c r="HU4952" s="67"/>
      <c r="HV4952" s="67"/>
      <c r="HW4952" s="67"/>
      <c r="HX4952" s="67"/>
      <c r="HY4952" s="67"/>
      <c r="HZ4952" s="67"/>
      <c r="IA4952" s="67"/>
      <c r="IB4952" s="67"/>
      <c r="IC4952" s="67"/>
      <c r="ID4952" s="67"/>
      <c r="IE4952" s="67"/>
      <c r="IF4952" s="67"/>
      <c r="IG4952" s="67"/>
      <c r="IH4952" s="67"/>
      <c r="II4952" s="67"/>
      <c r="IJ4952" s="67"/>
      <c r="IK4952" s="67"/>
      <c r="IL4952" s="67"/>
      <c r="IM4952" s="67"/>
      <c r="IN4952" s="67"/>
      <c r="IO4952" s="67"/>
      <c r="IP4952" s="67"/>
      <c r="IQ4952" s="67"/>
      <c r="IR4952" s="67"/>
      <c r="IS4952" s="67"/>
      <c r="IT4952" s="67"/>
      <c r="IU4952" s="67"/>
      <c r="IV4952" s="67"/>
      <c r="IW4952" s="67"/>
      <c r="IX4952" s="67"/>
      <c r="IY4952" s="67"/>
      <c r="IZ4952" s="67"/>
      <c r="JA4952" s="67"/>
      <c r="JB4952" s="67"/>
      <c r="JC4952" s="67"/>
      <c r="JD4952" s="67"/>
      <c r="JE4952" s="67"/>
      <c r="JF4952" s="67"/>
      <c r="JG4952" s="67"/>
      <c r="JH4952" s="67"/>
      <c r="JI4952" s="67"/>
      <c r="JJ4952" s="67"/>
      <c r="JK4952" s="67"/>
      <c r="JL4952" s="67"/>
      <c r="JM4952" s="67"/>
      <c r="JN4952" s="67"/>
      <c r="JO4952" s="67"/>
      <c r="JP4952" s="67"/>
      <c r="JQ4952" s="67"/>
      <c r="JR4952" s="67"/>
      <c r="JS4952" s="67"/>
      <c r="JT4952" s="67"/>
      <c r="JU4952" s="58"/>
      <c r="JV4952" s="58"/>
      <c r="JW4952" s="58"/>
    </row>
    <row r="4953" spans="1:283" s="23" customFormat="1" x14ac:dyDescent="0.25">
      <c r="A4953" s="55">
        <v>4952</v>
      </c>
      <c r="B4953" s="12" t="s">
        <v>7067</v>
      </c>
      <c r="C4953" s="156">
        <v>239</v>
      </c>
      <c r="D4953" s="58" t="s">
        <v>4958</v>
      </c>
      <c r="E4953" s="160" t="str">
        <f>G4953</f>
        <v>Hepperly et al 2006_pair 2</v>
      </c>
      <c r="F4953" s="160"/>
      <c r="G4953" s="60" t="s">
        <v>4771</v>
      </c>
      <c r="H4953" s="58">
        <v>2006</v>
      </c>
      <c r="I4953" s="58" t="s">
        <v>5626</v>
      </c>
      <c r="J4953" s="243" t="s">
        <v>5313</v>
      </c>
      <c r="K4953" s="63" t="s">
        <v>5103</v>
      </c>
      <c r="L4953" s="58" t="s">
        <v>2737</v>
      </c>
      <c r="M4953" s="94">
        <v>40.520000000000003</v>
      </c>
      <c r="N4953" s="94">
        <v>-75.78</v>
      </c>
      <c r="O4953" s="94">
        <v>135</v>
      </c>
      <c r="P4953" s="58"/>
      <c r="Q4953" s="244">
        <v>12.4</v>
      </c>
      <c r="R4953" s="58"/>
      <c r="S4953" s="245">
        <v>1105</v>
      </c>
      <c r="T4953" s="58"/>
      <c r="U4953" s="58" t="s">
        <v>1677</v>
      </c>
      <c r="V4953" s="244" t="s">
        <v>1687</v>
      </c>
      <c r="W4953" s="174"/>
      <c r="X4953" s="174"/>
      <c r="Y4953" s="58" t="s">
        <v>5947</v>
      </c>
      <c r="Z4953" s="244" t="s">
        <v>1356</v>
      </c>
      <c r="AA4953" s="245">
        <v>30</v>
      </c>
      <c r="AB4953" s="67"/>
      <c r="AC4953" s="67"/>
      <c r="AD4953" s="94">
        <v>1.33</v>
      </c>
      <c r="AE4953" s="94"/>
      <c r="AF4953" s="94"/>
      <c r="AG4953" s="245">
        <v>27.1</v>
      </c>
      <c r="AH4953" s="58" t="s">
        <v>6378</v>
      </c>
      <c r="AI4953" s="169"/>
      <c r="AJ4953" s="94"/>
      <c r="AK4953" s="94"/>
      <c r="AL4953" s="58"/>
      <c r="AM4953" s="58"/>
      <c r="AN4953" s="186"/>
      <c r="AO4953" s="185" t="s">
        <v>7494</v>
      </c>
      <c r="AP4953" s="58"/>
      <c r="AQ4953" s="58"/>
      <c r="AR4953" s="58"/>
      <c r="AS4953" s="246" t="s">
        <v>5133</v>
      </c>
      <c r="AT4953" s="247">
        <v>0</v>
      </c>
      <c r="AU4953" s="181" t="s">
        <v>7494</v>
      </c>
      <c r="AV4953" s="185" t="s">
        <v>176</v>
      </c>
      <c r="AW4953" s="244">
        <v>1</v>
      </c>
      <c r="AX4953" s="185" t="s">
        <v>176</v>
      </c>
      <c r="AY4953" s="244" t="s">
        <v>5150</v>
      </c>
      <c r="AZ4953" s="58"/>
      <c r="BA4953" s="58"/>
      <c r="BB4953" s="58"/>
      <c r="BC4953" s="58"/>
      <c r="BD4953" s="58"/>
      <c r="BE4953" s="236" t="s">
        <v>5190</v>
      </c>
      <c r="BF4953" s="191" t="s">
        <v>479</v>
      </c>
      <c r="BG4953" s="191" t="s">
        <v>479</v>
      </c>
      <c r="BH4953" s="236" t="s">
        <v>5257</v>
      </c>
      <c r="BI4953" s="191" t="s">
        <v>479</v>
      </c>
      <c r="BJ4953" s="58" t="str">
        <f>IF(BE4953=BH4953,"No","yes")</f>
        <v>yes</v>
      </c>
      <c r="BK4953" s="58" t="s">
        <v>6334</v>
      </c>
      <c r="BL4953" s="58"/>
      <c r="BM4953" s="237"/>
      <c r="BN4953" s="244">
        <v>8</v>
      </c>
      <c r="BO4953" s="244">
        <v>8</v>
      </c>
      <c r="BP4953" s="58"/>
      <c r="BQ4953" s="58"/>
      <c r="BR4953" s="58"/>
      <c r="BS4953" s="58"/>
      <c r="BT4953" s="58"/>
      <c r="BU4953" s="58"/>
      <c r="BV4953" s="58"/>
      <c r="BW4953" s="67"/>
      <c r="BX4953" s="67"/>
      <c r="BY4953" s="67"/>
      <c r="BZ4953" s="67"/>
      <c r="CA4953" s="67"/>
      <c r="CB4953" s="70"/>
      <c r="CC4953" s="70"/>
      <c r="CD4953" s="70"/>
      <c r="CE4953" s="67"/>
      <c r="CF4953" s="67"/>
      <c r="CG4953" s="67"/>
      <c r="CH4953" s="245"/>
      <c r="CI4953" s="245"/>
      <c r="CJ4953" s="67"/>
      <c r="CK4953" s="67"/>
      <c r="CL4953" s="67"/>
      <c r="CM4953" s="242">
        <v>1.8939999999999999</v>
      </c>
      <c r="CN4953" s="242">
        <v>2.347</v>
      </c>
      <c r="CO4953" s="242"/>
      <c r="CP4953" s="242"/>
      <c r="CQ4953" s="242" t="s">
        <v>164</v>
      </c>
      <c r="CR4953" s="242">
        <f>CM4953*0.01*(100*100*AA4953/100*AD4953)</f>
        <v>75.570599999999999</v>
      </c>
      <c r="CS4953" s="242">
        <f>CN4953*0.01*(100*100*AA4953/100*AD4953)</f>
        <v>93.645300000000006</v>
      </c>
      <c r="CT4953" s="242"/>
      <c r="CU4953" s="242"/>
      <c r="CV4953" s="242"/>
      <c r="CW4953" s="242">
        <f>(CR4953-74.134)/U4953*1000</f>
        <v>95.773333333333241</v>
      </c>
      <c r="CX4953" s="242">
        <f>(CS4953-74.134)/U4953*1000</f>
        <v>1300.7533333333336</v>
      </c>
      <c r="CY4953" s="242"/>
      <c r="CZ4953" s="242"/>
      <c r="DA4953" s="67" t="s">
        <v>5443</v>
      </c>
      <c r="DB4953" s="67"/>
      <c r="DC4953" s="67"/>
      <c r="DD4953" s="67"/>
      <c r="DE4953" s="67"/>
      <c r="DF4953" s="67"/>
      <c r="DG4953" s="67"/>
      <c r="DH4953" s="67"/>
      <c r="DI4953" s="67"/>
      <c r="DJ4953" s="67"/>
      <c r="DK4953" s="67"/>
      <c r="DL4953" s="67"/>
      <c r="DM4953" s="67"/>
      <c r="DN4953" s="67"/>
      <c r="DO4953" s="67"/>
      <c r="DP4953" s="67"/>
      <c r="DQ4953" s="166"/>
      <c r="DR4953" s="166"/>
      <c r="DS4953" s="163"/>
      <c r="DT4953" s="163"/>
      <c r="DU4953" s="67"/>
      <c r="DV4953" s="67"/>
      <c r="DW4953" s="67"/>
      <c r="DX4953" s="67"/>
      <c r="DY4953" s="67"/>
      <c r="DZ4953" s="67"/>
      <c r="EA4953" s="67"/>
      <c r="EB4953" s="67"/>
      <c r="EC4953" s="67"/>
      <c r="ED4953" s="67"/>
      <c r="EE4953" s="67"/>
      <c r="EF4953" s="67"/>
      <c r="EG4953" s="67"/>
      <c r="EH4953" s="67"/>
      <c r="EI4953" s="67"/>
      <c r="EJ4953" s="67"/>
      <c r="EK4953" s="94"/>
      <c r="EL4953" s="94"/>
      <c r="EM4953" s="67"/>
      <c r="EN4953" s="67"/>
      <c r="EO4953" s="67"/>
      <c r="EP4953" s="67"/>
      <c r="EQ4953" s="67"/>
      <c r="ER4953" s="67"/>
      <c r="ES4953" s="67"/>
      <c r="ET4953" s="67"/>
      <c r="EU4953" s="67"/>
      <c r="EV4953" s="67"/>
      <c r="EW4953" s="67"/>
      <c r="EX4953" s="67"/>
      <c r="EY4953" s="67"/>
      <c r="EZ4953" s="67"/>
      <c r="FA4953" s="67"/>
      <c r="FB4953" s="67"/>
      <c r="FC4953" s="67"/>
      <c r="FD4953" s="67"/>
      <c r="FE4953" s="67"/>
      <c r="FF4953" s="67"/>
      <c r="FG4953" s="67"/>
      <c r="FH4953" s="67"/>
      <c r="FI4953" s="67"/>
      <c r="FJ4953" s="67"/>
      <c r="FK4953" s="67"/>
      <c r="FL4953" s="67"/>
      <c r="FM4953" s="67"/>
      <c r="FN4953" s="67"/>
      <c r="FO4953" s="67"/>
      <c r="FP4953" s="67"/>
      <c r="FQ4953" s="67"/>
      <c r="FR4953" s="67"/>
      <c r="FS4953" s="67"/>
      <c r="FT4953" s="67"/>
      <c r="FU4953" s="67"/>
      <c r="FV4953" s="67"/>
      <c r="FW4953" s="67"/>
      <c r="FX4953" s="67"/>
      <c r="FY4953" s="67"/>
      <c r="FZ4953" s="67"/>
      <c r="GA4953" s="67"/>
      <c r="GB4953" s="67"/>
      <c r="GC4953" s="67"/>
      <c r="GD4953" s="67"/>
      <c r="GE4953" s="67"/>
      <c r="GF4953" s="67"/>
      <c r="GG4953" s="67"/>
      <c r="GH4953" s="67"/>
      <c r="GI4953" s="67"/>
      <c r="GJ4953" s="67"/>
      <c r="GK4953" s="67"/>
      <c r="GL4953" s="67"/>
      <c r="GM4953" s="67"/>
      <c r="GN4953" s="292"/>
      <c r="GO4953" s="292"/>
      <c r="GP4953" s="292" t="s">
        <v>7494</v>
      </c>
      <c r="GQ4953" s="67"/>
      <c r="GR4953" s="67"/>
      <c r="GS4953" s="67"/>
      <c r="GT4953" s="67"/>
      <c r="GU4953" s="67"/>
      <c r="GV4953" s="67"/>
      <c r="GW4953" s="67"/>
      <c r="GX4953" s="67"/>
      <c r="GY4953" s="67"/>
      <c r="GZ4953" s="67"/>
      <c r="HA4953" s="67"/>
      <c r="HB4953" s="67"/>
      <c r="HC4953" s="67"/>
      <c r="HD4953" s="67"/>
      <c r="HE4953" s="67"/>
      <c r="HF4953" s="67"/>
      <c r="HG4953" s="67"/>
      <c r="HH4953" s="67"/>
      <c r="HI4953" s="67"/>
      <c r="HJ4953" s="67"/>
      <c r="HK4953" s="67"/>
      <c r="HL4953" s="67"/>
      <c r="HM4953" s="67"/>
      <c r="HN4953" s="67"/>
      <c r="HO4953" s="67"/>
      <c r="HP4953" s="67"/>
      <c r="HQ4953" s="67"/>
      <c r="HR4953" s="67"/>
      <c r="HS4953" s="67"/>
      <c r="HT4953" s="67"/>
      <c r="HU4953" s="67"/>
      <c r="HV4953" s="67"/>
      <c r="HW4953" s="67"/>
      <c r="HX4953" s="67"/>
      <c r="HY4953" s="67"/>
      <c r="HZ4953" s="67"/>
      <c r="IA4953" s="67"/>
      <c r="IB4953" s="67"/>
      <c r="IC4953" s="67"/>
      <c r="ID4953" s="67"/>
      <c r="IE4953" s="67"/>
      <c r="IF4953" s="67"/>
      <c r="IG4953" s="67"/>
      <c r="IH4953" s="67"/>
      <c r="II4953" s="67"/>
      <c r="IJ4953" s="67"/>
      <c r="IK4953" s="67"/>
      <c r="IL4953" s="67"/>
      <c r="IM4953" s="67"/>
      <c r="IN4953" s="67"/>
      <c r="IO4953" s="67"/>
      <c r="IP4953" s="67"/>
      <c r="IQ4953" s="67"/>
      <c r="IR4953" s="67"/>
      <c r="IS4953" s="67"/>
      <c r="IT4953" s="67"/>
      <c r="IU4953" s="67"/>
      <c r="IV4953" s="67"/>
      <c r="IW4953" s="67"/>
      <c r="IX4953" s="67"/>
      <c r="IY4953" s="67"/>
      <c r="IZ4953" s="67"/>
      <c r="JA4953" s="67"/>
      <c r="JB4953" s="67"/>
      <c r="JC4953" s="67"/>
      <c r="JD4953" s="67"/>
      <c r="JE4953" s="67"/>
      <c r="JF4953" s="67"/>
      <c r="JG4953" s="67"/>
      <c r="JH4953" s="67"/>
      <c r="JI4953" s="67"/>
      <c r="JJ4953" s="67"/>
      <c r="JK4953" s="67"/>
      <c r="JL4953" s="67"/>
      <c r="JM4953" s="67"/>
      <c r="JN4953" s="67"/>
      <c r="JO4953" s="67"/>
      <c r="JP4953" s="67"/>
      <c r="JQ4953" s="67"/>
      <c r="JR4953" s="67"/>
      <c r="JS4953" s="67"/>
      <c r="JT4953" s="67"/>
      <c r="JU4953" s="58"/>
      <c r="JV4953" s="58"/>
      <c r="JW4953" s="58"/>
    </row>
    <row r="4954" spans="1:283" s="23" customFormat="1" x14ac:dyDescent="0.25">
      <c r="A4954" s="55">
        <v>4953</v>
      </c>
      <c r="B4954" s="12" t="s">
        <v>7067</v>
      </c>
      <c r="C4954" s="156">
        <v>239</v>
      </c>
      <c r="D4954" s="58" t="s">
        <v>4957</v>
      </c>
      <c r="E4954" s="160" t="str">
        <f>G4954</f>
        <v>Hepperly et al 2006_pair 1</v>
      </c>
      <c r="F4954" s="160"/>
      <c r="G4954" s="60" t="s">
        <v>4772</v>
      </c>
      <c r="H4954" s="58">
        <v>2006</v>
      </c>
      <c r="I4954" s="58" t="s">
        <v>5599</v>
      </c>
      <c r="J4954" s="243" t="s">
        <v>5313</v>
      </c>
      <c r="K4954" s="63" t="s">
        <v>5103</v>
      </c>
      <c r="L4954" s="58" t="s">
        <v>2737</v>
      </c>
      <c r="M4954" s="94">
        <v>40.520000000000003</v>
      </c>
      <c r="N4954" s="94">
        <v>-75.78</v>
      </c>
      <c r="O4954" s="94">
        <v>135</v>
      </c>
      <c r="P4954" s="58"/>
      <c r="Q4954" s="244">
        <v>12.4</v>
      </c>
      <c r="R4954" s="58"/>
      <c r="S4954" s="245">
        <v>1105</v>
      </c>
      <c r="T4954" s="58"/>
      <c r="U4954" s="58" t="s">
        <v>1675</v>
      </c>
      <c r="V4954" s="244" t="s">
        <v>1687</v>
      </c>
      <c r="W4954" s="174"/>
      <c r="X4954" s="174"/>
      <c r="Y4954" s="58" t="s">
        <v>5947</v>
      </c>
      <c r="Z4954" s="244" t="s">
        <v>1356</v>
      </c>
      <c r="AA4954" s="245">
        <v>30</v>
      </c>
      <c r="AB4954" s="67"/>
      <c r="AC4954" s="67"/>
      <c r="AD4954" s="94">
        <v>1.33</v>
      </c>
      <c r="AE4954" s="94"/>
      <c r="AF4954" s="94"/>
      <c r="AG4954" s="245">
        <v>27.1</v>
      </c>
      <c r="AH4954" s="58" t="s">
        <v>6378</v>
      </c>
      <c r="AI4954" s="169"/>
      <c r="AJ4954" s="94"/>
      <c r="AK4954" s="94"/>
      <c r="AL4954" s="58"/>
      <c r="AM4954" s="58"/>
      <c r="AN4954" s="186"/>
      <c r="AO4954" s="185" t="s">
        <v>7494</v>
      </c>
      <c r="AP4954" s="58"/>
      <c r="AQ4954" s="58"/>
      <c r="AR4954" s="58"/>
      <c r="AS4954" s="246" t="s">
        <v>5133</v>
      </c>
      <c r="AT4954" s="247">
        <v>0</v>
      </c>
      <c r="AU4954" s="181" t="s">
        <v>7494</v>
      </c>
      <c r="AV4954" s="185" t="s">
        <v>176</v>
      </c>
      <c r="AW4954" s="244">
        <v>1</v>
      </c>
      <c r="AX4954" s="185" t="s">
        <v>176</v>
      </c>
      <c r="AY4954" s="244" t="s">
        <v>5150</v>
      </c>
      <c r="AZ4954" s="58"/>
      <c r="BA4954" s="58"/>
      <c r="BB4954" s="58"/>
      <c r="BC4954" s="58"/>
      <c r="BD4954" s="58"/>
      <c r="BE4954" s="236" t="s">
        <v>5190</v>
      </c>
      <c r="BF4954" s="191" t="s">
        <v>479</v>
      </c>
      <c r="BG4954" s="191" t="s">
        <v>479</v>
      </c>
      <c r="BH4954" s="236" t="s">
        <v>5256</v>
      </c>
      <c r="BI4954" s="191" t="s">
        <v>479</v>
      </c>
      <c r="BJ4954" s="58" t="str">
        <f>IF(BE4954=BH4954,"No","yes")</f>
        <v>yes</v>
      </c>
      <c r="BK4954" s="58" t="s">
        <v>6334</v>
      </c>
      <c r="BL4954" s="58"/>
      <c r="BM4954" s="237"/>
      <c r="BN4954" s="244">
        <v>8</v>
      </c>
      <c r="BO4954" s="244">
        <v>8</v>
      </c>
      <c r="BP4954" s="58"/>
      <c r="BQ4954" s="58"/>
      <c r="BR4954" s="58"/>
      <c r="BS4954" s="58"/>
      <c r="BT4954" s="58"/>
      <c r="BU4954" s="58"/>
      <c r="BV4954" s="58"/>
      <c r="BW4954" s="67"/>
      <c r="BX4954" s="67"/>
      <c r="BY4954" s="67"/>
      <c r="BZ4954" s="67"/>
      <c r="CA4954" s="67"/>
      <c r="CB4954" s="70">
        <v>6500.6</v>
      </c>
      <c r="CC4954" s="70">
        <v>6452.6</v>
      </c>
      <c r="CD4954" s="70"/>
      <c r="CE4954" s="67"/>
      <c r="CF4954" s="67"/>
      <c r="CG4954" s="67" t="s">
        <v>5950</v>
      </c>
      <c r="CH4954" s="245"/>
      <c r="CI4954" s="245"/>
      <c r="CJ4954" s="67"/>
      <c r="CK4954" s="67"/>
      <c r="CL4954" s="67"/>
      <c r="CM4954" s="242">
        <v>2.0129999999999999</v>
      </c>
      <c r="CN4954" s="242">
        <v>2.4550000000000001</v>
      </c>
      <c r="CO4954" s="242"/>
      <c r="CP4954" s="242"/>
      <c r="CQ4954" s="242" t="s">
        <v>164</v>
      </c>
      <c r="CR4954" s="242">
        <f>CM4954*0.01*(100*100*AA4954/100*AD4954)</f>
        <v>80.318699999999993</v>
      </c>
      <c r="CS4954" s="242">
        <f>CN4954*0.01*(100*100*AA4954/100*AD4954)</f>
        <v>97.95450000000001</v>
      </c>
      <c r="CT4954" s="242"/>
      <c r="CU4954" s="242"/>
      <c r="CV4954" s="242"/>
      <c r="CW4954" s="242">
        <f>(CR4954-74.134)/U4954*1000</f>
        <v>309.23499999999962</v>
      </c>
      <c r="CX4954" s="242">
        <f>(CS4954-74.134)/U4954*1000</f>
        <v>1191.0250000000005</v>
      </c>
      <c r="CY4954" s="242"/>
      <c r="CZ4954" s="242"/>
      <c r="DA4954" s="67" t="s">
        <v>5443</v>
      </c>
      <c r="DB4954" s="67"/>
      <c r="DC4954" s="67"/>
      <c r="DD4954" s="67"/>
      <c r="DE4954" s="67"/>
      <c r="DF4954" s="67"/>
      <c r="DG4954" s="67"/>
      <c r="DH4954" s="67"/>
      <c r="DI4954" s="67"/>
      <c r="DJ4954" s="67"/>
      <c r="DK4954" s="67"/>
      <c r="DL4954" s="67"/>
      <c r="DM4954" s="67"/>
      <c r="DN4954" s="67"/>
      <c r="DO4954" s="67"/>
      <c r="DP4954" s="67"/>
      <c r="DQ4954" s="166"/>
      <c r="DR4954" s="166"/>
      <c r="DS4954" s="163"/>
      <c r="DT4954" s="163"/>
      <c r="DU4954" s="67"/>
      <c r="DV4954" s="67"/>
      <c r="DW4954" s="67"/>
      <c r="DX4954" s="67"/>
      <c r="DY4954" s="67"/>
      <c r="DZ4954" s="67"/>
      <c r="EA4954" s="67"/>
      <c r="EB4954" s="67"/>
      <c r="EC4954" s="67"/>
      <c r="ED4954" s="67"/>
      <c r="EE4954" s="67"/>
      <c r="EF4954" s="67"/>
      <c r="EG4954" s="67"/>
      <c r="EH4954" s="67"/>
      <c r="EI4954" s="67"/>
      <c r="EJ4954" s="67"/>
      <c r="EK4954" s="94"/>
      <c r="EL4954" s="94"/>
      <c r="EM4954" s="67"/>
      <c r="EN4954" s="67"/>
      <c r="EO4954" s="67"/>
      <c r="EP4954" s="67"/>
      <c r="EQ4954" s="67"/>
      <c r="ER4954" s="67"/>
      <c r="ES4954" s="67"/>
      <c r="ET4954" s="67"/>
      <c r="EU4954" s="67"/>
      <c r="EV4954" s="67"/>
      <c r="EW4954" s="67"/>
      <c r="EX4954" s="67"/>
      <c r="EY4954" s="67"/>
      <c r="EZ4954" s="67"/>
      <c r="FA4954" s="67"/>
      <c r="FB4954" s="67"/>
      <c r="FC4954" s="67"/>
      <c r="FD4954" s="67"/>
      <c r="FE4954" s="67"/>
      <c r="FF4954" s="67"/>
      <c r="FG4954" s="67"/>
      <c r="FH4954" s="67"/>
      <c r="FI4954" s="67"/>
      <c r="FJ4954" s="67"/>
      <c r="FK4954" s="67"/>
      <c r="FL4954" s="67"/>
      <c r="FM4954" s="67"/>
      <c r="FN4954" s="67"/>
      <c r="FO4954" s="67"/>
      <c r="FP4954" s="67"/>
      <c r="FQ4954" s="67"/>
      <c r="FR4954" s="67"/>
      <c r="FS4954" s="67"/>
      <c r="FT4954" s="67"/>
      <c r="FU4954" s="67"/>
      <c r="FV4954" s="67"/>
      <c r="FW4954" s="67"/>
      <c r="FX4954" s="67"/>
      <c r="FY4954" s="67"/>
      <c r="FZ4954" s="67"/>
      <c r="GA4954" s="67"/>
      <c r="GB4954" s="67"/>
      <c r="GC4954" s="67"/>
      <c r="GD4954" s="67"/>
      <c r="GE4954" s="67"/>
      <c r="GF4954" s="67"/>
      <c r="GG4954" s="67"/>
      <c r="GH4954" s="67"/>
      <c r="GI4954" s="67"/>
      <c r="GJ4954" s="67"/>
      <c r="GK4954" s="67"/>
      <c r="GL4954" s="67"/>
      <c r="GM4954" s="67"/>
      <c r="GN4954" s="292"/>
      <c r="GO4954" s="292"/>
      <c r="GP4954" s="292" t="s">
        <v>7494</v>
      </c>
      <c r="GQ4954" s="67"/>
      <c r="GR4954" s="67"/>
      <c r="GS4954" s="67"/>
      <c r="GT4954" s="67"/>
      <c r="GU4954" s="67"/>
      <c r="GV4954" s="67"/>
      <c r="GW4954" s="67"/>
      <c r="GX4954" s="67"/>
      <c r="GY4954" s="67"/>
      <c r="GZ4954" s="67"/>
      <c r="HA4954" s="67"/>
      <c r="HB4954" s="67"/>
      <c r="HC4954" s="67"/>
      <c r="HD4954" s="67"/>
      <c r="HE4954" s="67"/>
      <c r="HF4954" s="67"/>
      <c r="HG4954" s="67"/>
      <c r="HH4954" s="67"/>
      <c r="HI4954" s="67"/>
      <c r="HJ4954" s="67"/>
      <c r="HK4954" s="67"/>
      <c r="HL4954" s="67"/>
      <c r="HM4954" s="67"/>
      <c r="HN4954" s="67"/>
      <c r="HO4954" s="67"/>
      <c r="HP4954" s="67"/>
      <c r="HQ4954" s="67"/>
      <c r="HR4954" s="67"/>
      <c r="HS4954" s="67"/>
      <c r="HT4954" s="67"/>
      <c r="HU4954" s="67"/>
      <c r="HV4954" s="67"/>
      <c r="HW4954" s="67"/>
      <c r="HX4954" s="67"/>
      <c r="HY4954" s="67"/>
      <c r="HZ4954" s="67"/>
      <c r="IA4954" s="67"/>
      <c r="IB4954" s="67"/>
      <c r="IC4954" s="67"/>
      <c r="ID4954" s="67"/>
      <c r="IE4954" s="67"/>
      <c r="IF4954" s="67"/>
      <c r="IG4954" s="67"/>
      <c r="IH4954" s="67"/>
      <c r="II4954" s="67"/>
      <c r="IJ4954" s="67"/>
      <c r="IK4954" s="67"/>
      <c r="IL4954" s="67"/>
      <c r="IM4954" s="67"/>
      <c r="IN4954" s="67"/>
      <c r="IO4954" s="67"/>
      <c r="IP4954" s="67"/>
      <c r="IQ4954" s="67"/>
      <c r="IR4954" s="67"/>
      <c r="IS4954" s="67"/>
      <c r="IT4954" s="67"/>
      <c r="IU4954" s="67"/>
      <c r="IV4954" s="67"/>
      <c r="IW4954" s="67"/>
      <c r="IX4954" s="67"/>
      <c r="IY4954" s="67"/>
      <c r="IZ4954" s="67"/>
      <c r="JA4954" s="67"/>
      <c r="JB4954" s="67"/>
      <c r="JC4954" s="67"/>
      <c r="JD4954" s="67"/>
      <c r="JE4954" s="67"/>
      <c r="JF4954" s="67"/>
      <c r="JG4954" s="67"/>
      <c r="JH4954" s="67"/>
      <c r="JI4954" s="67"/>
      <c r="JJ4954" s="67"/>
      <c r="JK4954" s="67"/>
      <c r="JL4954" s="67"/>
      <c r="JM4954" s="67"/>
      <c r="JN4954" s="67"/>
      <c r="JO4954" s="67"/>
      <c r="JP4954" s="67"/>
      <c r="JQ4954" s="67"/>
      <c r="JR4954" s="67"/>
      <c r="JS4954" s="67"/>
      <c r="JT4954" s="67"/>
      <c r="JU4954" s="58"/>
      <c r="JV4954" s="58"/>
      <c r="JW4954" s="58"/>
    </row>
    <row r="4955" spans="1:283" s="23" customFormat="1" x14ac:dyDescent="0.25">
      <c r="A4955" s="55">
        <v>4954</v>
      </c>
      <c r="B4955" s="12" t="s">
        <v>7067</v>
      </c>
      <c r="C4955" s="156">
        <v>239</v>
      </c>
      <c r="D4955" s="58" t="s">
        <v>4958</v>
      </c>
      <c r="E4955" s="160" t="str">
        <f>G4955</f>
        <v>Hepperly et al 2006_pair 2</v>
      </c>
      <c r="F4955" s="160"/>
      <c r="G4955" s="60" t="s">
        <v>4771</v>
      </c>
      <c r="H4955" s="58">
        <v>2006</v>
      </c>
      <c r="I4955" s="58" t="s">
        <v>5550</v>
      </c>
      <c r="J4955" s="243" t="s">
        <v>5313</v>
      </c>
      <c r="K4955" s="63" t="s">
        <v>5103</v>
      </c>
      <c r="L4955" s="58" t="s">
        <v>2737</v>
      </c>
      <c r="M4955" s="94">
        <v>40.520000000000003</v>
      </c>
      <c r="N4955" s="94">
        <v>-75.78</v>
      </c>
      <c r="O4955" s="94">
        <v>135</v>
      </c>
      <c r="P4955" s="58"/>
      <c r="Q4955" s="244">
        <v>12.4</v>
      </c>
      <c r="R4955" s="58"/>
      <c r="S4955" s="245">
        <v>1105</v>
      </c>
      <c r="T4955" s="58"/>
      <c r="U4955" s="58" t="s">
        <v>1687</v>
      </c>
      <c r="V4955" s="244" t="s">
        <v>1687</v>
      </c>
      <c r="W4955" s="174"/>
      <c r="X4955" s="174"/>
      <c r="Y4955" s="58" t="s">
        <v>5947</v>
      </c>
      <c r="Z4955" s="244" t="s">
        <v>1356</v>
      </c>
      <c r="AA4955" s="245">
        <v>30</v>
      </c>
      <c r="AB4955" s="67"/>
      <c r="AC4955" s="67"/>
      <c r="AD4955" s="94">
        <v>1.33</v>
      </c>
      <c r="AE4955" s="94"/>
      <c r="AF4955" s="94"/>
      <c r="AG4955" s="245">
        <v>27.1</v>
      </c>
      <c r="AH4955" s="58" t="s">
        <v>6378</v>
      </c>
      <c r="AI4955" s="169"/>
      <c r="AJ4955" s="94"/>
      <c r="AK4955" s="94"/>
      <c r="AL4955" s="58"/>
      <c r="AM4955" s="58"/>
      <c r="AN4955" s="186"/>
      <c r="AO4955" s="185" t="s">
        <v>7494</v>
      </c>
      <c r="AP4955" s="58"/>
      <c r="AQ4955" s="58"/>
      <c r="AR4955" s="58"/>
      <c r="AS4955" s="246" t="s">
        <v>5133</v>
      </c>
      <c r="AT4955" s="247">
        <v>0</v>
      </c>
      <c r="AU4955" s="181" t="s">
        <v>7494</v>
      </c>
      <c r="AV4955" s="185" t="s">
        <v>176</v>
      </c>
      <c r="AW4955" s="244">
        <v>1</v>
      </c>
      <c r="AX4955" s="185" t="s">
        <v>176</v>
      </c>
      <c r="AY4955" s="244" t="s">
        <v>5150</v>
      </c>
      <c r="AZ4955" s="58"/>
      <c r="BA4955" s="58"/>
      <c r="BB4955" s="58"/>
      <c r="BC4955" s="58"/>
      <c r="BD4955" s="58"/>
      <c r="BE4955" s="236" t="s">
        <v>5190</v>
      </c>
      <c r="BF4955" s="191" t="s">
        <v>479</v>
      </c>
      <c r="BG4955" s="191" t="s">
        <v>479</v>
      </c>
      <c r="BH4955" s="236" t="s">
        <v>5257</v>
      </c>
      <c r="BI4955" s="191" t="s">
        <v>479</v>
      </c>
      <c r="BJ4955" s="58" t="str">
        <f>IF(BE4955=BH4955,"No","yes")</f>
        <v>yes</v>
      </c>
      <c r="BK4955" s="58" t="s">
        <v>6334</v>
      </c>
      <c r="BL4955" s="58"/>
      <c r="BM4955" s="237"/>
      <c r="BN4955" s="244">
        <v>8</v>
      </c>
      <c r="BO4955" s="244">
        <v>8</v>
      </c>
      <c r="BP4955" s="58"/>
      <c r="BQ4955" s="58"/>
      <c r="BR4955" s="58"/>
      <c r="BS4955" s="58"/>
      <c r="BT4955" s="58"/>
      <c r="BU4955" s="58"/>
      <c r="BV4955" s="58"/>
      <c r="BW4955" s="67"/>
      <c r="BX4955" s="67"/>
      <c r="BY4955" s="67"/>
      <c r="BZ4955" s="67"/>
      <c r="CA4955" s="67"/>
      <c r="CB4955" s="70"/>
      <c r="CC4955" s="70"/>
      <c r="CD4955" s="70"/>
      <c r="CE4955" s="67"/>
      <c r="CF4955" s="67"/>
      <c r="CG4955" s="67"/>
      <c r="CH4955" s="245"/>
      <c r="CI4955" s="245"/>
      <c r="CJ4955" s="67"/>
      <c r="CK4955" s="67"/>
      <c r="CL4955" s="67"/>
      <c r="CM4955" s="242">
        <v>1.996</v>
      </c>
      <c r="CN4955" s="242">
        <v>2.5019999999999998</v>
      </c>
      <c r="CO4955" s="242"/>
      <c r="CP4955" s="242"/>
      <c r="CQ4955" s="242" t="s">
        <v>164</v>
      </c>
      <c r="CR4955" s="242">
        <f>CM4955*0.01*(100*100*AA4955/100*AD4955)</f>
        <v>79.640400000000014</v>
      </c>
      <c r="CS4955" s="242">
        <f>CN4955*0.01*(100*100*AA4955/100*AD4955)</f>
        <v>99.829799999999992</v>
      </c>
      <c r="CT4955" s="242"/>
      <c r="CU4955" s="242"/>
      <c r="CV4955" s="242"/>
      <c r="CW4955" s="242">
        <f>(CR4955-74.134)/U4955*1000</f>
        <v>220.25600000000054</v>
      </c>
      <c r="CX4955" s="242">
        <f>(CS4955-74.134)/U4955*1000</f>
        <v>1027.8319999999997</v>
      </c>
      <c r="CY4955" s="242"/>
      <c r="CZ4955" s="242"/>
      <c r="DA4955" s="67" t="s">
        <v>5443</v>
      </c>
      <c r="DB4955" s="67"/>
      <c r="DC4955" s="67"/>
      <c r="DD4955" s="67"/>
      <c r="DE4955" s="67"/>
      <c r="DF4955" s="67"/>
      <c r="DG4955" s="67"/>
      <c r="DH4955" s="67"/>
      <c r="DI4955" s="67"/>
      <c r="DJ4955" s="67"/>
      <c r="DK4955" s="67"/>
      <c r="DL4955" s="67"/>
      <c r="DM4955" s="67"/>
      <c r="DN4955" s="67"/>
      <c r="DO4955" s="67"/>
      <c r="DP4955" s="67"/>
      <c r="DQ4955" s="166"/>
      <c r="DR4955" s="166"/>
      <c r="DS4955" s="163"/>
      <c r="DT4955" s="163"/>
      <c r="DU4955" s="67"/>
      <c r="DV4955" s="67"/>
      <c r="DW4955" s="67"/>
      <c r="DX4955" s="67"/>
      <c r="DY4955" s="67"/>
      <c r="DZ4955" s="67"/>
      <c r="EA4955" s="67"/>
      <c r="EB4955" s="67"/>
      <c r="EC4955" s="67"/>
      <c r="ED4955" s="67"/>
      <c r="EE4955" s="67"/>
      <c r="EF4955" s="67"/>
      <c r="EG4955" s="67"/>
      <c r="EH4955" s="67"/>
      <c r="EI4955" s="67"/>
      <c r="EJ4955" s="67"/>
      <c r="EK4955" s="94"/>
      <c r="EL4955" s="94"/>
      <c r="EM4955" s="67"/>
      <c r="EN4955" s="67"/>
      <c r="EO4955" s="67"/>
      <c r="EP4955" s="67"/>
      <c r="EQ4955" s="67"/>
      <c r="ER4955" s="67"/>
      <c r="ES4955" s="67"/>
      <c r="ET4955" s="67"/>
      <c r="EU4955" s="67"/>
      <c r="EV4955" s="67"/>
      <c r="EW4955" s="67"/>
      <c r="EX4955" s="67"/>
      <c r="EY4955" s="67"/>
      <c r="EZ4955" s="67"/>
      <c r="FA4955" s="67"/>
      <c r="FB4955" s="67"/>
      <c r="FC4955" s="67"/>
      <c r="FD4955" s="67"/>
      <c r="FE4955" s="67"/>
      <c r="FF4955" s="67"/>
      <c r="FG4955" s="67"/>
      <c r="FH4955" s="67"/>
      <c r="FI4955" s="67"/>
      <c r="FJ4955" s="67"/>
      <c r="FK4955" s="67"/>
      <c r="FL4955" s="67"/>
      <c r="FM4955" s="67"/>
      <c r="FN4955" s="67"/>
      <c r="FO4955" s="67"/>
      <c r="FP4955" s="67"/>
      <c r="FQ4955" s="67"/>
      <c r="FR4955" s="67"/>
      <c r="FS4955" s="67"/>
      <c r="FT4955" s="67"/>
      <c r="FU4955" s="67"/>
      <c r="FV4955" s="67"/>
      <c r="FW4955" s="67"/>
      <c r="FX4955" s="67"/>
      <c r="FY4955" s="67"/>
      <c r="FZ4955" s="67"/>
      <c r="GA4955" s="67"/>
      <c r="GB4955" s="67"/>
      <c r="GC4955" s="67"/>
      <c r="GD4955" s="67"/>
      <c r="GE4955" s="67"/>
      <c r="GF4955" s="67"/>
      <c r="GG4955" s="67"/>
      <c r="GH4955" s="67"/>
      <c r="GI4955" s="67"/>
      <c r="GJ4955" s="67"/>
      <c r="GK4955" s="67"/>
      <c r="GL4955" s="67"/>
      <c r="GM4955" s="67"/>
      <c r="GN4955" s="292"/>
      <c r="GO4955" s="292"/>
      <c r="GP4955" s="292" t="s">
        <v>7494</v>
      </c>
      <c r="GQ4955" s="67"/>
      <c r="GR4955" s="67"/>
      <c r="GS4955" s="67"/>
      <c r="GT4955" s="67"/>
      <c r="GU4955" s="67"/>
      <c r="GV4955" s="67"/>
      <c r="GW4955" s="67"/>
      <c r="GX4955" s="67"/>
      <c r="GY4955" s="67"/>
      <c r="GZ4955" s="67"/>
      <c r="HA4955" s="67"/>
      <c r="HB4955" s="67"/>
      <c r="HC4955" s="67"/>
      <c r="HD4955" s="67"/>
      <c r="HE4955" s="67"/>
      <c r="HF4955" s="67"/>
      <c r="HG4955" s="67"/>
      <c r="HH4955" s="67"/>
      <c r="HI4955" s="67"/>
      <c r="HJ4955" s="67"/>
      <c r="HK4955" s="67"/>
      <c r="HL4955" s="67"/>
      <c r="HM4955" s="67"/>
      <c r="HN4955" s="67"/>
      <c r="HO4955" s="67"/>
      <c r="HP4955" s="67"/>
      <c r="HQ4955" s="67"/>
      <c r="HR4955" s="67"/>
      <c r="HS4955" s="67"/>
      <c r="HT4955" s="67"/>
      <c r="HU4955" s="67"/>
      <c r="HV4955" s="67"/>
      <c r="HW4955" s="67"/>
      <c r="HX4955" s="67"/>
      <c r="HY4955" s="67"/>
      <c r="HZ4955" s="67"/>
      <c r="IA4955" s="67"/>
      <c r="IB4955" s="67"/>
      <c r="IC4955" s="67"/>
      <c r="ID4955" s="67"/>
      <c r="IE4955" s="67"/>
      <c r="IF4955" s="67"/>
      <c r="IG4955" s="67"/>
      <c r="IH4955" s="67"/>
      <c r="II4955" s="67"/>
      <c r="IJ4955" s="67"/>
      <c r="IK4955" s="67"/>
      <c r="IL4955" s="67"/>
      <c r="IM4955" s="67"/>
      <c r="IN4955" s="67"/>
      <c r="IO4955" s="67"/>
      <c r="IP4955" s="67"/>
      <c r="IQ4955" s="67"/>
      <c r="IR4955" s="67"/>
      <c r="IS4955" s="67"/>
      <c r="IT4955" s="67"/>
      <c r="IU4955" s="67"/>
      <c r="IV4955" s="67"/>
      <c r="IW4955" s="67"/>
      <c r="IX4955" s="67"/>
      <c r="IY4955" s="67"/>
      <c r="IZ4955" s="67"/>
      <c r="JA4955" s="67"/>
      <c r="JB4955" s="67"/>
      <c r="JC4955" s="67"/>
      <c r="JD4955" s="67"/>
      <c r="JE4955" s="67"/>
      <c r="JF4955" s="67"/>
      <c r="JG4955" s="67"/>
      <c r="JH4955" s="67"/>
      <c r="JI4955" s="67"/>
      <c r="JJ4955" s="67"/>
      <c r="JK4955" s="67"/>
      <c r="JL4955" s="67"/>
      <c r="JM4955" s="67"/>
      <c r="JN4955" s="67"/>
      <c r="JO4955" s="67"/>
      <c r="JP4955" s="67"/>
      <c r="JQ4955" s="67"/>
      <c r="JR4955" s="67"/>
      <c r="JS4955" s="67"/>
      <c r="JT4955" s="67"/>
      <c r="JU4955" s="58"/>
      <c r="JV4955" s="58"/>
      <c r="JW4955" s="58"/>
    </row>
    <row r="4956" spans="1:283" s="23" customFormat="1" x14ac:dyDescent="0.25">
      <c r="A4956" s="55">
        <v>4955</v>
      </c>
      <c r="B4956" s="12" t="s">
        <v>7067</v>
      </c>
      <c r="C4956" s="156">
        <v>240</v>
      </c>
      <c r="D4956" s="58" t="s">
        <v>4959</v>
      </c>
      <c r="E4956" s="160" t="str">
        <f>G4956</f>
        <v>Herencia Galan et al. 2011</v>
      </c>
      <c r="F4956" s="160"/>
      <c r="G4956" s="60" t="s">
        <v>4770</v>
      </c>
      <c r="H4956" s="58">
        <v>2011</v>
      </c>
      <c r="I4956" s="58">
        <v>1997</v>
      </c>
      <c r="J4956" s="243" t="s">
        <v>4368</v>
      </c>
      <c r="K4956" s="63" t="s">
        <v>5093</v>
      </c>
      <c r="L4956" s="58" t="s">
        <v>4516</v>
      </c>
      <c r="M4956" s="94">
        <f>38+8.5/60</f>
        <v>38.141666666666666</v>
      </c>
      <c r="N4956" s="94">
        <f>-5-16/60</f>
        <v>-5.2666666666666666</v>
      </c>
      <c r="O4956" s="94">
        <v>601</v>
      </c>
      <c r="P4956" s="58"/>
      <c r="Q4956" s="244">
        <v>18.2</v>
      </c>
      <c r="R4956" s="58"/>
      <c r="S4956" s="245">
        <v>534</v>
      </c>
      <c r="T4956" s="58"/>
      <c r="U4956" s="58">
        <v>1</v>
      </c>
      <c r="V4956" s="244">
        <v>11</v>
      </c>
      <c r="W4956" s="174"/>
      <c r="X4956" s="174"/>
      <c r="Y4956" s="58" t="s">
        <v>5452</v>
      </c>
      <c r="Z4956" s="244" t="s">
        <v>1349</v>
      </c>
      <c r="AA4956" s="245">
        <v>15</v>
      </c>
      <c r="AB4956" s="67"/>
      <c r="AC4956" s="67"/>
      <c r="AD4956" s="94">
        <v>1.34</v>
      </c>
      <c r="AE4956" s="94">
        <v>28.5</v>
      </c>
      <c r="AF4956" s="94">
        <v>45.8</v>
      </c>
      <c r="AG4956" s="245">
        <v>25.7</v>
      </c>
      <c r="AH4956" s="58" t="s">
        <v>139</v>
      </c>
      <c r="AI4956" s="169">
        <v>8.1999999999999993</v>
      </c>
      <c r="AJ4956" s="94">
        <f>1.31*0.58</f>
        <v>0.75980000000000003</v>
      </c>
      <c r="AK4956" s="94"/>
      <c r="AL4956" s="58"/>
      <c r="AM4956" s="58" t="s">
        <v>5451</v>
      </c>
      <c r="AN4956" s="249" t="s">
        <v>5454</v>
      </c>
      <c r="AO4956" s="185" t="s">
        <v>5150</v>
      </c>
      <c r="AP4956" s="244"/>
      <c r="AQ4956" s="58"/>
      <c r="AR4956" s="244" t="s">
        <v>5453</v>
      </c>
      <c r="AS4956" s="58" t="s">
        <v>4584</v>
      </c>
      <c r="AT4956" s="247" t="s">
        <v>5453</v>
      </c>
      <c r="AU4956" s="181" t="s">
        <v>5150</v>
      </c>
      <c r="AV4956" s="185" t="s">
        <v>479</v>
      </c>
      <c r="AW4956" s="244" t="s">
        <v>5453</v>
      </c>
      <c r="AX4956" s="185" t="s">
        <v>479</v>
      </c>
      <c r="AY4956" s="244" t="s">
        <v>176</v>
      </c>
      <c r="AZ4956" s="58"/>
      <c r="BA4956" s="58"/>
      <c r="BB4956" s="58"/>
      <c r="BC4956" s="58"/>
      <c r="BD4956" s="58"/>
      <c r="BE4956" s="236" t="s">
        <v>5191</v>
      </c>
      <c r="BF4956" s="191" t="s">
        <v>479</v>
      </c>
      <c r="BG4956" s="191" t="s">
        <v>479</v>
      </c>
      <c r="BH4956" s="236" t="s">
        <v>5258</v>
      </c>
      <c r="BI4956" s="191" t="s">
        <v>479</v>
      </c>
      <c r="BJ4956" s="58" t="str">
        <f>IF(BE4956=BH4956,"No","yes")</f>
        <v>yes</v>
      </c>
      <c r="BK4956" s="58" t="s">
        <v>6334</v>
      </c>
      <c r="BL4956" s="58"/>
      <c r="BM4956" s="237"/>
      <c r="BN4956" s="244">
        <v>12</v>
      </c>
      <c r="BO4956" s="244">
        <v>12</v>
      </c>
      <c r="BP4956" s="58"/>
      <c r="BQ4956" s="58"/>
      <c r="BR4956" s="58"/>
      <c r="BS4956" s="58"/>
      <c r="BT4956" s="58"/>
      <c r="BU4956" s="58"/>
      <c r="BV4956" s="58"/>
      <c r="BW4956" s="67"/>
      <c r="BX4956" s="67"/>
      <c r="BY4956" s="67"/>
      <c r="BZ4956" s="67"/>
      <c r="CA4956" s="67"/>
      <c r="CB4956" s="70"/>
      <c r="CC4956" s="70"/>
      <c r="CD4956" s="70"/>
      <c r="CE4956" s="67"/>
      <c r="CF4956" s="67"/>
      <c r="CG4956" s="67"/>
      <c r="CH4956" s="245">
        <v>1.53</v>
      </c>
      <c r="CI4956" s="245">
        <v>1.56</v>
      </c>
      <c r="CJ4956" s="67">
        <f>1.62-CI4956</f>
        <v>6.0000000000000053E-2</v>
      </c>
      <c r="CK4956" s="67">
        <f>1.62-CJ4956</f>
        <v>1.56</v>
      </c>
      <c r="CL4956" s="67" t="s">
        <v>5455</v>
      </c>
      <c r="CM4956" s="242">
        <v>0.66</v>
      </c>
      <c r="CN4956" s="242">
        <v>1.47</v>
      </c>
      <c r="CO4956" s="242">
        <v>6.6000000000000003E-2</v>
      </c>
      <c r="CP4956" s="242">
        <v>0.14699999999999999</v>
      </c>
      <c r="CQ4956" s="242" t="s">
        <v>164</v>
      </c>
      <c r="CR4956" s="242">
        <v>13.266000000000004</v>
      </c>
      <c r="CS4956" s="242">
        <v>26.2395</v>
      </c>
      <c r="CT4956" s="242">
        <v>1.3266000000000004</v>
      </c>
      <c r="CU4956" s="242">
        <v>2.6239500000000002</v>
      </c>
      <c r="CV4956" s="242" t="s">
        <v>5151</v>
      </c>
      <c r="CW4956" s="242">
        <v>264.00000000000114</v>
      </c>
      <c r="CX4956" s="242">
        <v>1970.4999999999989</v>
      </c>
      <c r="CY4956" s="242">
        <v>26.400000000000116</v>
      </c>
      <c r="CZ4956" s="242">
        <v>197.0499999999999</v>
      </c>
      <c r="DA4956" s="67" t="s">
        <v>5443</v>
      </c>
      <c r="DB4956" s="67"/>
      <c r="DC4956" s="67"/>
      <c r="DD4956" s="67"/>
      <c r="DE4956" s="67"/>
      <c r="DF4956" s="67"/>
      <c r="DG4956" s="67"/>
      <c r="DH4956" s="67"/>
      <c r="DI4956" s="67"/>
      <c r="DJ4956" s="67"/>
      <c r="DK4956" s="67"/>
      <c r="DL4956" s="67"/>
      <c r="DM4956" s="67"/>
      <c r="DN4956" s="67"/>
      <c r="DO4956" s="67"/>
      <c r="DP4956" s="67"/>
      <c r="DQ4956" s="166"/>
      <c r="DR4956" s="166"/>
      <c r="DS4956" s="163"/>
      <c r="DT4956" s="163"/>
      <c r="DU4956" s="67"/>
      <c r="DV4956" s="67"/>
      <c r="DW4956" s="67"/>
      <c r="DX4956" s="67"/>
      <c r="DY4956" s="67"/>
      <c r="DZ4956" s="67"/>
      <c r="EA4956" s="67"/>
      <c r="EB4956" s="67"/>
      <c r="EC4956" s="67"/>
      <c r="ED4956" s="67"/>
      <c r="EE4956" s="67"/>
      <c r="EF4956" s="67"/>
      <c r="EG4956" s="67"/>
      <c r="EH4956" s="67"/>
      <c r="EI4956" s="67"/>
      <c r="EJ4956" s="67"/>
      <c r="EK4956" s="94"/>
      <c r="EL4956" s="94"/>
      <c r="EM4956" s="67"/>
      <c r="EN4956" s="67"/>
      <c r="EO4956" s="67"/>
      <c r="EP4956" s="67"/>
      <c r="EQ4956" s="67"/>
      <c r="ER4956" s="67"/>
      <c r="ES4956" s="67"/>
      <c r="ET4956" s="67"/>
      <c r="EU4956" s="67"/>
      <c r="EV4956" s="67"/>
      <c r="EW4956" s="67"/>
      <c r="EX4956" s="67"/>
      <c r="EY4956" s="67"/>
      <c r="EZ4956" s="67"/>
      <c r="FA4956" s="67"/>
      <c r="FB4956" s="67"/>
      <c r="FC4956" s="67"/>
      <c r="FD4956" s="67"/>
      <c r="FE4956" s="67"/>
      <c r="FF4956" s="67"/>
      <c r="FG4956" s="67"/>
      <c r="FH4956" s="67"/>
      <c r="FI4956" s="67"/>
      <c r="FJ4956" s="67"/>
      <c r="FK4956" s="67"/>
      <c r="FL4956" s="67"/>
      <c r="FM4956" s="67"/>
      <c r="FN4956" s="67"/>
      <c r="FO4956" s="67"/>
      <c r="FP4956" s="67"/>
      <c r="FQ4956" s="67"/>
      <c r="FR4956" s="67"/>
      <c r="FS4956" s="67"/>
      <c r="FT4956" s="67"/>
      <c r="FU4956" s="67"/>
      <c r="FV4956" s="67"/>
      <c r="FW4956" s="67"/>
      <c r="FX4956" s="67"/>
      <c r="FY4956" s="67"/>
      <c r="FZ4956" s="67"/>
      <c r="GA4956" s="67"/>
      <c r="GB4956" s="67"/>
      <c r="GC4956" s="67"/>
      <c r="GD4956" s="67">
        <v>38</v>
      </c>
      <c r="GE4956" s="67">
        <v>10.33</v>
      </c>
      <c r="GF4956" s="67">
        <v>2</v>
      </c>
      <c r="GG4956" s="67">
        <v>2</v>
      </c>
      <c r="GH4956" s="67" t="s">
        <v>5456</v>
      </c>
      <c r="GI4956" s="67">
        <v>27.52</v>
      </c>
      <c r="GJ4956" s="67">
        <v>28.27</v>
      </c>
      <c r="GK4956" s="67">
        <f>28.62-GI4956</f>
        <v>1.1000000000000014</v>
      </c>
      <c r="GL4956" s="67">
        <v>1.5</v>
      </c>
      <c r="GM4956" s="67"/>
      <c r="GN4956" s="292"/>
      <c r="GO4956" s="292"/>
      <c r="GP4956" s="292" t="s">
        <v>7494</v>
      </c>
      <c r="GQ4956" s="67"/>
      <c r="GR4956" s="67"/>
      <c r="GS4956" s="67"/>
      <c r="GT4956" s="67"/>
      <c r="GU4956" s="67"/>
      <c r="GV4956" s="67"/>
      <c r="GW4956" s="67"/>
      <c r="GX4956" s="67"/>
      <c r="GY4956" s="67"/>
      <c r="GZ4956" s="67"/>
      <c r="HA4956" s="67"/>
      <c r="HB4956" s="67"/>
      <c r="HC4956" s="67"/>
      <c r="HD4956" s="67"/>
      <c r="HE4956" s="67"/>
      <c r="HF4956" s="67"/>
      <c r="HG4956" s="67"/>
      <c r="HH4956" s="67"/>
      <c r="HI4956" s="67"/>
      <c r="HJ4956" s="67"/>
      <c r="HK4956" s="67"/>
      <c r="HL4956" s="67"/>
      <c r="HM4956" s="67"/>
      <c r="HN4956" s="67"/>
      <c r="HO4956" s="67"/>
      <c r="HP4956" s="67"/>
      <c r="HQ4956" s="67"/>
      <c r="HR4956" s="67"/>
      <c r="HS4956" s="67"/>
      <c r="HT4956" s="67"/>
      <c r="HU4956" s="67"/>
      <c r="HV4956" s="67"/>
      <c r="HW4956" s="67"/>
      <c r="HX4956" s="67"/>
      <c r="HY4956" s="67"/>
      <c r="HZ4956" s="67"/>
      <c r="IA4956" s="67"/>
      <c r="IB4956" s="67"/>
      <c r="IC4956" s="67"/>
      <c r="ID4956" s="67"/>
      <c r="IE4956" s="67"/>
      <c r="IF4956" s="67"/>
      <c r="IG4956" s="67"/>
      <c r="IH4956" s="67"/>
      <c r="II4956" s="67"/>
      <c r="IJ4956" s="67"/>
      <c r="IK4956" s="67"/>
      <c r="IL4956" s="67"/>
      <c r="IM4956" s="67"/>
      <c r="IN4956" s="67"/>
      <c r="IO4956" s="67"/>
      <c r="IP4956" s="67"/>
      <c r="IQ4956" s="67"/>
      <c r="IR4956" s="67"/>
      <c r="IS4956" s="67"/>
      <c r="IT4956" s="67"/>
      <c r="IU4956" s="67"/>
      <c r="IV4956" s="67"/>
      <c r="IW4956" s="67"/>
      <c r="IX4956" s="67"/>
      <c r="IY4956" s="67"/>
      <c r="IZ4956" s="67"/>
      <c r="JA4956" s="67"/>
      <c r="JB4956" s="67"/>
      <c r="JC4956" s="67"/>
      <c r="JD4956" s="67"/>
      <c r="JE4956" s="67"/>
      <c r="JF4956" s="67"/>
      <c r="JG4956" s="67"/>
      <c r="JH4956" s="67"/>
      <c r="JI4956" s="67"/>
      <c r="JJ4956" s="67"/>
      <c r="JK4956" s="67"/>
      <c r="JL4956" s="67"/>
      <c r="JM4956" s="67"/>
      <c r="JN4956" s="67"/>
      <c r="JO4956" s="67"/>
      <c r="JP4956" s="67"/>
      <c r="JQ4956" s="67"/>
      <c r="JR4956" s="67"/>
      <c r="JS4956" s="67"/>
      <c r="JT4956" s="67"/>
      <c r="JU4956" s="58" t="s">
        <v>5457</v>
      </c>
      <c r="JV4956" s="58"/>
      <c r="JW4956" s="58"/>
    </row>
    <row r="4957" spans="1:283" s="23" customFormat="1" x14ac:dyDescent="0.25">
      <c r="A4957" s="55">
        <v>4956</v>
      </c>
      <c r="B4957" s="12" t="s">
        <v>7067</v>
      </c>
      <c r="C4957" s="156">
        <v>240</v>
      </c>
      <c r="D4957" s="58" t="s">
        <v>4959</v>
      </c>
      <c r="E4957" s="160" t="str">
        <f>G4957</f>
        <v>Herencia Galan et al. 2011</v>
      </c>
      <c r="F4957" s="160"/>
      <c r="G4957" s="60" t="s">
        <v>4770</v>
      </c>
      <c r="H4957" s="58">
        <v>2011</v>
      </c>
      <c r="I4957" s="58">
        <v>2001</v>
      </c>
      <c r="J4957" s="243" t="s">
        <v>4368</v>
      </c>
      <c r="K4957" s="63" t="s">
        <v>5093</v>
      </c>
      <c r="L4957" s="58" t="s">
        <v>4516</v>
      </c>
      <c r="M4957" s="94">
        <f>38+8.5/60</f>
        <v>38.141666666666666</v>
      </c>
      <c r="N4957" s="94">
        <f>-5-16/60</f>
        <v>-5.2666666666666666</v>
      </c>
      <c r="O4957" s="94">
        <v>601</v>
      </c>
      <c r="P4957" s="58"/>
      <c r="Q4957" s="244">
        <v>18.2</v>
      </c>
      <c r="R4957" s="58"/>
      <c r="S4957" s="245">
        <v>534</v>
      </c>
      <c r="T4957" s="58"/>
      <c r="U4957" s="58">
        <v>5</v>
      </c>
      <c r="V4957" s="244">
        <v>11</v>
      </c>
      <c r="W4957" s="174"/>
      <c r="X4957" s="174"/>
      <c r="Y4957" s="58" t="s">
        <v>5452</v>
      </c>
      <c r="Z4957" s="244" t="s">
        <v>1349</v>
      </c>
      <c r="AA4957" s="245">
        <v>15</v>
      </c>
      <c r="AB4957" s="67"/>
      <c r="AC4957" s="67"/>
      <c r="AD4957" s="94">
        <v>1.34</v>
      </c>
      <c r="AE4957" s="94">
        <v>28.5</v>
      </c>
      <c r="AF4957" s="94">
        <v>45.8</v>
      </c>
      <c r="AG4957" s="245">
        <v>25.7</v>
      </c>
      <c r="AH4957" s="58" t="s">
        <v>139</v>
      </c>
      <c r="AI4957" s="169">
        <v>8.1999999999999993</v>
      </c>
      <c r="AJ4957" s="94">
        <f>1.31*0.58</f>
        <v>0.75980000000000003</v>
      </c>
      <c r="AK4957" s="94"/>
      <c r="AL4957" s="58"/>
      <c r="AM4957" s="58" t="s">
        <v>5451</v>
      </c>
      <c r="AN4957" s="249" t="s">
        <v>5454</v>
      </c>
      <c r="AO4957" s="185" t="s">
        <v>5150</v>
      </c>
      <c r="AP4957" s="244"/>
      <c r="AQ4957" s="58"/>
      <c r="AR4957" s="244" t="s">
        <v>5453</v>
      </c>
      <c r="AS4957" s="58" t="s">
        <v>4584</v>
      </c>
      <c r="AT4957" s="247" t="s">
        <v>5453</v>
      </c>
      <c r="AU4957" s="181" t="s">
        <v>5150</v>
      </c>
      <c r="AV4957" s="185" t="s">
        <v>479</v>
      </c>
      <c r="AW4957" s="244" t="s">
        <v>5453</v>
      </c>
      <c r="AX4957" s="185" t="s">
        <v>479</v>
      </c>
      <c r="AY4957" s="244" t="s">
        <v>176</v>
      </c>
      <c r="AZ4957" s="58"/>
      <c r="BA4957" s="58"/>
      <c r="BB4957" s="58"/>
      <c r="BC4957" s="58"/>
      <c r="BD4957" s="58"/>
      <c r="BE4957" s="236" t="s">
        <v>5191</v>
      </c>
      <c r="BF4957" s="191" t="s">
        <v>479</v>
      </c>
      <c r="BG4957" s="191" t="s">
        <v>479</v>
      </c>
      <c r="BH4957" s="236" t="s">
        <v>5258</v>
      </c>
      <c r="BI4957" s="191" t="s">
        <v>479</v>
      </c>
      <c r="BJ4957" s="58" t="str">
        <f>IF(BE4957=BH4957,"No","yes")</f>
        <v>yes</v>
      </c>
      <c r="BK4957" s="58" t="s">
        <v>6334</v>
      </c>
      <c r="BL4957" s="58"/>
      <c r="BM4957" s="237"/>
      <c r="BN4957" s="244">
        <v>12</v>
      </c>
      <c r="BO4957" s="244">
        <v>12</v>
      </c>
      <c r="BP4957" s="58"/>
      <c r="BQ4957" s="58"/>
      <c r="BR4957" s="58"/>
      <c r="BS4957" s="58"/>
      <c r="BT4957" s="58"/>
      <c r="BU4957" s="58"/>
      <c r="BV4957" s="58"/>
      <c r="BW4957" s="67"/>
      <c r="BX4957" s="67"/>
      <c r="BY4957" s="67"/>
      <c r="BZ4957" s="67"/>
      <c r="CA4957" s="67"/>
      <c r="CB4957" s="70"/>
      <c r="CC4957" s="70"/>
      <c r="CD4957" s="70"/>
      <c r="CE4957" s="67"/>
      <c r="CF4957" s="67"/>
      <c r="CG4957" s="67"/>
      <c r="CH4957" s="245">
        <v>1.37</v>
      </c>
      <c r="CI4957" s="245">
        <v>1.1499999999999999</v>
      </c>
      <c r="CJ4957" s="67">
        <f>1.2-CI4957</f>
        <v>5.0000000000000044E-2</v>
      </c>
      <c r="CK4957" s="67">
        <f>1.2-CJ4957</f>
        <v>1.1499999999999999</v>
      </c>
      <c r="CL4957" s="67" t="s">
        <v>5455</v>
      </c>
      <c r="CM4957" s="242">
        <v>0.74</v>
      </c>
      <c r="CN4957" s="242">
        <v>1.1599999999999999</v>
      </c>
      <c r="CO4957" s="242">
        <f>0.86-CM4957</f>
        <v>0.12</v>
      </c>
      <c r="CP4957" s="242">
        <f>1.3-CN4957</f>
        <v>0.14000000000000012</v>
      </c>
      <c r="CQ4957" s="242" t="s">
        <v>164</v>
      </c>
      <c r="CR4957" s="242">
        <f>CM4957*0.01*100*100*0.15*CH4957</f>
        <v>15.207000000000001</v>
      </c>
      <c r="CS4957" s="242">
        <f>CN4957*0.01*100*100*0.15*CI4957</f>
        <v>20.009999999999998</v>
      </c>
      <c r="CT4957" s="242">
        <f>CO4957*0.01*100*100*0.15*CH4957</f>
        <v>2.4659999999999997</v>
      </c>
      <c r="CU4957" s="242">
        <f>CP4957*0.01*100*100*0.15*CI4957</f>
        <v>2.4150000000000018</v>
      </c>
      <c r="CV4957" s="242" t="s">
        <v>5151</v>
      </c>
      <c r="CW4957" s="242">
        <f>(CM4957-$AJ$4959)*1000</f>
        <v>-19.80000000000004</v>
      </c>
      <c r="CX4957" s="242">
        <f>(CN4957-$AJ$4959)*1000</f>
        <v>400.19999999999987</v>
      </c>
      <c r="CY4957" s="242">
        <v>26.400000000000116</v>
      </c>
      <c r="CZ4957" s="242">
        <v>197.0499999999999</v>
      </c>
      <c r="DA4957" s="67" t="s">
        <v>5443</v>
      </c>
      <c r="DB4957" s="67"/>
      <c r="DC4957" s="67"/>
      <c r="DD4957" s="67"/>
      <c r="DE4957" s="67"/>
      <c r="DF4957" s="67"/>
      <c r="DG4957" s="67"/>
      <c r="DH4957" s="67"/>
      <c r="DI4957" s="67"/>
      <c r="DJ4957" s="67"/>
      <c r="DK4957" s="67"/>
      <c r="DL4957" s="67"/>
      <c r="DM4957" s="67"/>
      <c r="DN4957" s="67"/>
      <c r="DO4957" s="67"/>
      <c r="DP4957" s="67"/>
      <c r="DQ4957" s="166"/>
      <c r="DR4957" s="166"/>
      <c r="DS4957" s="163"/>
      <c r="DT4957" s="163"/>
      <c r="DU4957" s="67"/>
      <c r="DV4957" s="67"/>
      <c r="DW4957" s="67"/>
      <c r="DX4957" s="67"/>
      <c r="DY4957" s="67"/>
      <c r="DZ4957" s="67"/>
      <c r="EA4957" s="67"/>
      <c r="EB4957" s="67"/>
      <c r="EC4957" s="67"/>
      <c r="ED4957" s="67"/>
      <c r="EE4957" s="67"/>
      <c r="EF4957" s="67"/>
      <c r="EG4957" s="67"/>
      <c r="EH4957" s="67"/>
      <c r="EI4957" s="67"/>
      <c r="EJ4957" s="67"/>
      <c r="EK4957" s="94"/>
      <c r="EL4957" s="94"/>
      <c r="EM4957" s="67"/>
      <c r="EN4957" s="67"/>
      <c r="EO4957" s="67"/>
      <c r="EP4957" s="67"/>
      <c r="EQ4957" s="67"/>
      <c r="ER4957" s="67"/>
      <c r="ES4957" s="67"/>
      <c r="ET4957" s="67"/>
      <c r="EU4957" s="67"/>
      <c r="EV4957" s="67"/>
      <c r="EW4957" s="67"/>
      <c r="EX4957" s="67"/>
      <c r="EY4957" s="67"/>
      <c r="EZ4957" s="67"/>
      <c r="FA4957" s="67"/>
      <c r="FB4957" s="67"/>
      <c r="FC4957" s="67"/>
      <c r="FD4957" s="67"/>
      <c r="FE4957" s="67"/>
      <c r="FF4957" s="67"/>
      <c r="FG4957" s="67"/>
      <c r="FH4957" s="67"/>
      <c r="FI4957" s="67"/>
      <c r="FJ4957" s="67"/>
      <c r="FK4957" s="67"/>
      <c r="FL4957" s="67"/>
      <c r="FM4957" s="67"/>
      <c r="FN4957" s="67"/>
      <c r="FO4957" s="67"/>
      <c r="FP4957" s="67"/>
      <c r="FQ4957" s="67"/>
      <c r="FR4957" s="67"/>
      <c r="FS4957" s="67"/>
      <c r="FT4957" s="67"/>
      <c r="FU4957" s="67"/>
      <c r="FV4957" s="67"/>
      <c r="FW4957" s="67"/>
      <c r="FX4957" s="67"/>
      <c r="FY4957" s="67"/>
      <c r="FZ4957" s="67"/>
      <c r="GA4957" s="67"/>
      <c r="GB4957" s="67"/>
      <c r="GC4957" s="67"/>
      <c r="GD4957" s="67">
        <v>37</v>
      </c>
      <c r="GE4957" s="67">
        <v>10.26</v>
      </c>
      <c r="GF4957" s="67">
        <v>5</v>
      </c>
      <c r="GG4957" s="67">
        <v>2</v>
      </c>
      <c r="GH4957" s="67" t="s">
        <v>5456</v>
      </c>
      <c r="GI4957" s="67">
        <v>26.04</v>
      </c>
      <c r="GJ4957" s="67">
        <v>24.49</v>
      </c>
      <c r="GK4957" s="67">
        <v>1.5</v>
      </c>
      <c r="GL4957" s="67">
        <v>1.3</v>
      </c>
      <c r="GM4957" s="67"/>
      <c r="GN4957" s="292"/>
      <c r="GO4957" s="292"/>
      <c r="GP4957" s="292" t="s">
        <v>7494</v>
      </c>
      <c r="GQ4957" s="67"/>
      <c r="GR4957" s="67"/>
      <c r="GS4957" s="67"/>
      <c r="GT4957" s="67"/>
      <c r="GU4957" s="67"/>
      <c r="GV4957" s="67"/>
      <c r="GW4957" s="67"/>
      <c r="GX4957" s="67"/>
      <c r="GY4957" s="67"/>
      <c r="GZ4957" s="67"/>
      <c r="HA4957" s="67"/>
      <c r="HB4957" s="67"/>
      <c r="HC4957" s="67"/>
      <c r="HD4957" s="67"/>
      <c r="HE4957" s="67"/>
      <c r="HF4957" s="67"/>
      <c r="HG4957" s="67"/>
      <c r="HH4957" s="67"/>
      <c r="HI4957" s="67"/>
      <c r="HJ4957" s="67"/>
      <c r="HK4957" s="67"/>
      <c r="HL4957" s="67"/>
      <c r="HM4957" s="67"/>
      <c r="HN4957" s="67"/>
      <c r="HO4957" s="67"/>
      <c r="HP4957" s="67"/>
      <c r="HQ4957" s="67"/>
      <c r="HR4957" s="67"/>
      <c r="HS4957" s="67"/>
      <c r="HT4957" s="67"/>
      <c r="HU4957" s="67"/>
      <c r="HV4957" s="67"/>
      <c r="HW4957" s="67"/>
      <c r="HX4957" s="67"/>
      <c r="HY4957" s="67"/>
      <c r="HZ4957" s="67"/>
      <c r="IA4957" s="67"/>
      <c r="IB4957" s="67"/>
      <c r="IC4957" s="67"/>
      <c r="ID4957" s="67"/>
      <c r="IE4957" s="67"/>
      <c r="IF4957" s="67"/>
      <c r="IG4957" s="67"/>
      <c r="IH4957" s="67"/>
      <c r="II4957" s="67"/>
      <c r="IJ4957" s="67"/>
      <c r="IK4957" s="67"/>
      <c r="IL4957" s="67"/>
      <c r="IM4957" s="67"/>
      <c r="IN4957" s="67"/>
      <c r="IO4957" s="67"/>
      <c r="IP4957" s="67"/>
      <c r="IQ4957" s="67"/>
      <c r="IR4957" s="67"/>
      <c r="IS4957" s="67"/>
      <c r="IT4957" s="67"/>
      <c r="IU4957" s="67"/>
      <c r="IV4957" s="67"/>
      <c r="IW4957" s="67"/>
      <c r="IX4957" s="67"/>
      <c r="IY4957" s="67"/>
      <c r="IZ4957" s="67"/>
      <c r="JA4957" s="67"/>
      <c r="JB4957" s="67"/>
      <c r="JC4957" s="67"/>
      <c r="JD4957" s="67"/>
      <c r="JE4957" s="67"/>
      <c r="JF4957" s="67"/>
      <c r="JG4957" s="67"/>
      <c r="JH4957" s="67"/>
      <c r="JI4957" s="67"/>
      <c r="JJ4957" s="67"/>
      <c r="JK4957" s="67"/>
      <c r="JL4957" s="67"/>
      <c r="JM4957" s="67"/>
      <c r="JN4957" s="67"/>
      <c r="JO4957" s="67"/>
      <c r="JP4957" s="67"/>
      <c r="JQ4957" s="67"/>
      <c r="JR4957" s="67"/>
      <c r="JS4957" s="67"/>
      <c r="JT4957" s="67"/>
      <c r="JU4957" s="58" t="s">
        <v>5457</v>
      </c>
      <c r="JV4957" s="58"/>
      <c r="JW4957" s="58"/>
    </row>
    <row r="4958" spans="1:283" s="23" customFormat="1" x14ac:dyDescent="0.25">
      <c r="A4958" s="55">
        <v>4957</v>
      </c>
      <c r="B4958" s="12" t="s">
        <v>7067</v>
      </c>
      <c r="C4958" s="156">
        <v>240</v>
      </c>
      <c r="D4958" s="58" t="s">
        <v>4959</v>
      </c>
      <c r="E4958" s="160" t="str">
        <f>G4958</f>
        <v>Herencia Galan et al. 2011</v>
      </c>
      <c r="F4958" s="160"/>
      <c r="G4958" s="60" t="s">
        <v>4770</v>
      </c>
      <c r="H4958" s="58">
        <v>2011</v>
      </c>
      <c r="I4958" s="58">
        <v>2004</v>
      </c>
      <c r="J4958" s="243" t="s">
        <v>4368</v>
      </c>
      <c r="K4958" s="63" t="s">
        <v>5093</v>
      </c>
      <c r="L4958" s="58" t="s">
        <v>4516</v>
      </c>
      <c r="M4958" s="94">
        <f>38+8.5/60</f>
        <v>38.141666666666666</v>
      </c>
      <c r="N4958" s="94">
        <f>-5-16/60</f>
        <v>-5.2666666666666666</v>
      </c>
      <c r="O4958" s="94">
        <v>601</v>
      </c>
      <c r="P4958" s="58"/>
      <c r="Q4958" s="244">
        <v>18.2</v>
      </c>
      <c r="R4958" s="58"/>
      <c r="S4958" s="245">
        <v>534</v>
      </c>
      <c r="T4958" s="58"/>
      <c r="U4958" s="58">
        <v>8</v>
      </c>
      <c r="V4958" s="244">
        <v>11</v>
      </c>
      <c r="W4958" s="174"/>
      <c r="X4958" s="174"/>
      <c r="Y4958" s="58" t="s">
        <v>5452</v>
      </c>
      <c r="Z4958" s="244" t="s">
        <v>1349</v>
      </c>
      <c r="AA4958" s="245">
        <v>15</v>
      </c>
      <c r="AB4958" s="67"/>
      <c r="AC4958" s="67"/>
      <c r="AD4958" s="94">
        <v>1.34</v>
      </c>
      <c r="AE4958" s="94">
        <v>28.5</v>
      </c>
      <c r="AF4958" s="94">
        <v>45.8</v>
      </c>
      <c r="AG4958" s="245">
        <v>25.7</v>
      </c>
      <c r="AH4958" s="58" t="s">
        <v>139</v>
      </c>
      <c r="AI4958" s="169">
        <v>8.1999999999999993</v>
      </c>
      <c r="AJ4958" s="94">
        <f>1.31*0.58</f>
        <v>0.75980000000000003</v>
      </c>
      <c r="AK4958" s="94"/>
      <c r="AL4958" s="58"/>
      <c r="AM4958" s="58" t="s">
        <v>5451</v>
      </c>
      <c r="AN4958" s="249" t="s">
        <v>5454</v>
      </c>
      <c r="AO4958" s="185" t="s">
        <v>5150</v>
      </c>
      <c r="AP4958" s="244"/>
      <c r="AQ4958" s="58"/>
      <c r="AR4958" s="244" t="s">
        <v>5453</v>
      </c>
      <c r="AS4958" s="58" t="s">
        <v>4584</v>
      </c>
      <c r="AT4958" s="247" t="s">
        <v>5453</v>
      </c>
      <c r="AU4958" s="181" t="s">
        <v>5150</v>
      </c>
      <c r="AV4958" s="185" t="s">
        <v>479</v>
      </c>
      <c r="AW4958" s="244" t="s">
        <v>5453</v>
      </c>
      <c r="AX4958" s="185" t="s">
        <v>479</v>
      </c>
      <c r="AY4958" s="244" t="s">
        <v>176</v>
      </c>
      <c r="AZ4958" s="58"/>
      <c r="BA4958" s="58"/>
      <c r="BB4958" s="58"/>
      <c r="BC4958" s="58"/>
      <c r="BD4958" s="58"/>
      <c r="BE4958" s="236" t="s">
        <v>5191</v>
      </c>
      <c r="BF4958" s="191" t="s">
        <v>479</v>
      </c>
      <c r="BG4958" s="191" t="s">
        <v>479</v>
      </c>
      <c r="BH4958" s="236" t="s">
        <v>5258</v>
      </c>
      <c r="BI4958" s="191" t="s">
        <v>479</v>
      </c>
      <c r="BJ4958" s="58" t="str">
        <f>IF(BE4958=BH4958,"No","yes")</f>
        <v>yes</v>
      </c>
      <c r="BK4958" s="58" t="s">
        <v>6334</v>
      </c>
      <c r="BL4958" s="58"/>
      <c r="BM4958" s="237"/>
      <c r="BN4958" s="244">
        <v>12</v>
      </c>
      <c r="BO4958" s="244">
        <v>12</v>
      </c>
      <c r="BP4958" s="58"/>
      <c r="BQ4958" s="58"/>
      <c r="BR4958" s="58"/>
      <c r="BS4958" s="58"/>
      <c r="BT4958" s="58"/>
      <c r="BU4958" s="58"/>
      <c r="BV4958" s="58"/>
      <c r="BW4958" s="67"/>
      <c r="BX4958" s="67"/>
      <c r="BY4958" s="67"/>
      <c r="BZ4958" s="67"/>
      <c r="CA4958" s="67"/>
      <c r="CB4958" s="70"/>
      <c r="CC4958" s="70"/>
      <c r="CD4958" s="70"/>
      <c r="CE4958" s="67"/>
      <c r="CF4958" s="67"/>
      <c r="CG4958" s="67"/>
      <c r="CH4958" s="245">
        <v>1.29</v>
      </c>
      <c r="CI4958" s="245">
        <v>1.1499999999999999</v>
      </c>
      <c r="CJ4958" s="67">
        <f>CI4958-1.09</f>
        <v>5.9999999999999831E-2</v>
      </c>
      <c r="CK4958" s="67">
        <f>CJ4958-1.09</f>
        <v>-1.0300000000000002</v>
      </c>
      <c r="CL4958" s="67" t="s">
        <v>5455</v>
      </c>
      <c r="CM4958" s="242">
        <v>0.83</v>
      </c>
      <c r="CN4958" s="242">
        <v>1.78</v>
      </c>
      <c r="CO4958" s="242">
        <f>0.98-CM4958</f>
        <v>0.15000000000000002</v>
      </c>
      <c r="CP4958" s="242">
        <f>1.96-CN4958</f>
        <v>0.17999999999999994</v>
      </c>
      <c r="CQ4958" s="242" t="s">
        <v>164</v>
      </c>
      <c r="CR4958" s="242">
        <f>CM4958*0.01*100*100*0.15*CH4958</f>
        <v>16.060500000000001</v>
      </c>
      <c r="CS4958" s="242">
        <f>CN4958*0.01*100*100*0.15*CI4958</f>
        <v>30.704999999999998</v>
      </c>
      <c r="CT4958" s="242">
        <f>CO4958*0.01*100*100*0.15*CH4958</f>
        <v>2.9024999999999999</v>
      </c>
      <c r="CU4958" s="242">
        <f>CP4958*0.01*100*100*0.15*CI4958</f>
        <v>3.1049999999999986</v>
      </c>
      <c r="CV4958" s="242" t="s">
        <v>5151</v>
      </c>
      <c r="CW4958" s="242">
        <f>(CM4958-$AJ$4959)*1000</f>
        <v>70.199999999999932</v>
      </c>
      <c r="CX4958" s="242">
        <f>(CN4958-$AJ$4959)*1000</f>
        <v>1020.2</v>
      </c>
      <c r="CY4958" s="242">
        <v>26.400000000000116</v>
      </c>
      <c r="CZ4958" s="242">
        <v>197.0499999999999</v>
      </c>
      <c r="DA4958" s="67" t="s">
        <v>5443</v>
      </c>
      <c r="DB4958" s="67"/>
      <c r="DC4958" s="67"/>
      <c r="DD4958" s="67"/>
      <c r="DE4958" s="67"/>
      <c r="DF4958" s="67"/>
      <c r="DG4958" s="67"/>
      <c r="DH4958" s="67"/>
      <c r="DI4958" s="67"/>
      <c r="DJ4958" s="67"/>
      <c r="DK4958" s="67"/>
      <c r="DL4958" s="67"/>
      <c r="DM4958" s="67"/>
      <c r="DN4958" s="67"/>
      <c r="DO4958" s="67"/>
      <c r="DP4958" s="67"/>
      <c r="DQ4958" s="166"/>
      <c r="DR4958" s="166"/>
      <c r="DS4958" s="163"/>
      <c r="DT4958" s="163"/>
      <c r="DU4958" s="67"/>
      <c r="DV4958" s="67"/>
      <c r="DW4958" s="67"/>
      <c r="DX4958" s="67"/>
      <c r="DY4958" s="67"/>
      <c r="DZ4958" s="67"/>
      <c r="EA4958" s="67"/>
      <c r="EB4958" s="67"/>
      <c r="EC4958" s="67"/>
      <c r="ED4958" s="67"/>
      <c r="EE4958" s="67"/>
      <c r="EF4958" s="67"/>
      <c r="EG4958" s="67"/>
      <c r="EH4958" s="67"/>
      <c r="EI4958" s="67"/>
      <c r="EJ4958" s="67"/>
      <c r="EK4958" s="94"/>
      <c r="EL4958" s="94"/>
      <c r="EM4958" s="67"/>
      <c r="EN4958" s="67"/>
      <c r="EO4958" s="67"/>
      <c r="EP4958" s="67"/>
      <c r="EQ4958" s="67"/>
      <c r="ER4958" s="67"/>
      <c r="ES4958" s="67"/>
      <c r="ET4958" s="67"/>
      <c r="EU4958" s="67"/>
      <c r="EV4958" s="67"/>
      <c r="EW4958" s="67"/>
      <c r="EX4958" s="67"/>
      <c r="EY4958" s="67"/>
      <c r="EZ4958" s="67"/>
      <c r="FA4958" s="67"/>
      <c r="FB4958" s="67"/>
      <c r="FC4958" s="67"/>
      <c r="FD4958" s="67"/>
      <c r="FE4958" s="67"/>
      <c r="FF4958" s="67"/>
      <c r="FG4958" s="67"/>
      <c r="FH4958" s="67"/>
      <c r="FI4958" s="67"/>
      <c r="FJ4958" s="67"/>
      <c r="FK4958" s="67"/>
      <c r="FL4958" s="67"/>
      <c r="FM4958" s="67"/>
      <c r="FN4958" s="67"/>
      <c r="FO4958" s="67"/>
      <c r="FP4958" s="67"/>
      <c r="FQ4958" s="67"/>
      <c r="FR4958" s="67"/>
      <c r="FS4958" s="67"/>
      <c r="FT4958" s="67"/>
      <c r="FU4958" s="67"/>
      <c r="FV4958" s="67"/>
      <c r="FW4958" s="67"/>
      <c r="FX4958" s="67"/>
      <c r="FY4958" s="67"/>
      <c r="FZ4958" s="67"/>
      <c r="GA4958" s="67"/>
      <c r="GB4958" s="67"/>
      <c r="GC4958" s="67"/>
      <c r="GD4958" s="67">
        <v>35</v>
      </c>
      <c r="GE4958" s="67">
        <v>12.44</v>
      </c>
      <c r="GF4958" s="67">
        <v>4</v>
      </c>
      <c r="GG4958" s="67">
        <v>2</v>
      </c>
      <c r="GH4958" s="67" t="s">
        <v>5456</v>
      </c>
      <c r="GI4958" s="67">
        <v>23.28</v>
      </c>
      <c r="GJ4958" s="67">
        <v>22.08</v>
      </c>
      <c r="GK4958" s="67">
        <v>1.5</v>
      </c>
      <c r="GL4958" s="67">
        <v>1.4</v>
      </c>
      <c r="GM4958" s="67"/>
      <c r="GN4958" s="292"/>
      <c r="GO4958" s="292"/>
      <c r="GP4958" s="292" t="s">
        <v>7494</v>
      </c>
      <c r="GQ4958" s="67"/>
      <c r="GR4958" s="67"/>
      <c r="GS4958" s="67"/>
      <c r="GT4958" s="67"/>
      <c r="GU4958" s="67"/>
      <c r="GV4958" s="67"/>
      <c r="GW4958" s="67"/>
      <c r="GX4958" s="67"/>
      <c r="GY4958" s="67"/>
      <c r="GZ4958" s="67"/>
      <c r="HA4958" s="67"/>
      <c r="HB4958" s="67"/>
      <c r="HC4958" s="67"/>
      <c r="HD4958" s="67"/>
      <c r="HE4958" s="67"/>
      <c r="HF4958" s="67"/>
      <c r="HG4958" s="67"/>
      <c r="HH4958" s="67"/>
      <c r="HI4958" s="67"/>
      <c r="HJ4958" s="67"/>
      <c r="HK4958" s="67"/>
      <c r="HL4958" s="67"/>
      <c r="HM4958" s="67"/>
      <c r="HN4958" s="67"/>
      <c r="HO4958" s="67"/>
      <c r="HP4958" s="67"/>
      <c r="HQ4958" s="67"/>
      <c r="HR4958" s="67"/>
      <c r="HS4958" s="67"/>
      <c r="HT4958" s="67"/>
      <c r="HU4958" s="67"/>
      <c r="HV4958" s="67"/>
      <c r="HW4958" s="67"/>
      <c r="HX4958" s="67"/>
      <c r="HY4958" s="67"/>
      <c r="HZ4958" s="67"/>
      <c r="IA4958" s="67"/>
      <c r="IB4958" s="67"/>
      <c r="IC4958" s="67"/>
      <c r="ID4958" s="67"/>
      <c r="IE4958" s="67"/>
      <c r="IF4958" s="67"/>
      <c r="IG4958" s="67"/>
      <c r="IH4958" s="67"/>
      <c r="II4958" s="67"/>
      <c r="IJ4958" s="67"/>
      <c r="IK4958" s="67"/>
      <c r="IL4958" s="67"/>
      <c r="IM4958" s="67"/>
      <c r="IN4958" s="67"/>
      <c r="IO4958" s="67"/>
      <c r="IP4958" s="67"/>
      <c r="IQ4958" s="67"/>
      <c r="IR4958" s="67"/>
      <c r="IS4958" s="67"/>
      <c r="IT4958" s="67"/>
      <c r="IU4958" s="67"/>
      <c r="IV4958" s="67"/>
      <c r="IW4958" s="67"/>
      <c r="IX4958" s="67"/>
      <c r="IY4958" s="67"/>
      <c r="IZ4958" s="67"/>
      <c r="JA4958" s="67"/>
      <c r="JB4958" s="67"/>
      <c r="JC4958" s="67"/>
      <c r="JD4958" s="67"/>
      <c r="JE4958" s="67"/>
      <c r="JF4958" s="67"/>
      <c r="JG4958" s="67"/>
      <c r="JH4958" s="67"/>
      <c r="JI4958" s="67"/>
      <c r="JJ4958" s="67"/>
      <c r="JK4958" s="67"/>
      <c r="JL4958" s="67"/>
      <c r="JM4958" s="67"/>
      <c r="JN4958" s="67"/>
      <c r="JO4958" s="67"/>
      <c r="JP4958" s="67"/>
      <c r="JQ4958" s="67"/>
      <c r="JR4958" s="67"/>
      <c r="JS4958" s="67"/>
      <c r="JT4958" s="67"/>
      <c r="JU4958" s="58" t="s">
        <v>5457</v>
      </c>
      <c r="JV4958" s="58"/>
      <c r="JW4958" s="58"/>
    </row>
    <row r="4959" spans="1:283" s="23" customFormat="1" x14ac:dyDescent="0.25">
      <c r="A4959" s="55">
        <v>4958</v>
      </c>
      <c r="B4959" s="12" t="s">
        <v>7067</v>
      </c>
      <c r="C4959" s="156">
        <v>240</v>
      </c>
      <c r="D4959" s="58" t="s">
        <v>4959</v>
      </c>
      <c r="E4959" s="160" t="str">
        <f>G4959</f>
        <v>Herencia Galan et al. 2011</v>
      </c>
      <c r="F4959" s="160"/>
      <c r="G4959" s="60" t="s">
        <v>4770</v>
      </c>
      <c r="H4959" s="58">
        <v>2011</v>
      </c>
      <c r="I4959" s="58">
        <v>2007</v>
      </c>
      <c r="J4959" s="243" t="s">
        <v>4368</v>
      </c>
      <c r="K4959" s="63" t="s">
        <v>5093</v>
      </c>
      <c r="L4959" s="58" t="s">
        <v>4516</v>
      </c>
      <c r="M4959" s="94">
        <f>38+8.5/60</f>
        <v>38.141666666666666</v>
      </c>
      <c r="N4959" s="94">
        <f>-5-16/60</f>
        <v>-5.2666666666666666</v>
      </c>
      <c r="O4959" s="94">
        <v>601</v>
      </c>
      <c r="P4959" s="58"/>
      <c r="Q4959" s="244">
        <v>18.2</v>
      </c>
      <c r="R4959" s="58"/>
      <c r="S4959" s="245">
        <v>534</v>
      </c>
      <c r="T4959" s="58"/>
      <c r="U4959" s="58">
        <v>11</v>
      </c>
      <c r="V4959" s="244">
        <v>11</v>
      </c>
      <c r="W4959" s="174"/>
      <c r="X4959" s="174"/>
      <c r="Y4959" s="58" t="s">
        <v>5452</v>
      </c>
      <c r="Z4959" s="244" t="s">
        <v>1349</v>
      </c>
      <c r="AA4959" s="245">
        <v>15</v>
      </c>
      <c r="AB4959" s="67"/>
      <c r="AC4959" s="67"/>
      <c r="AD4959" s="94">
        <v>1.34</v>
      </c>
      <c r="AE4959" s="94">
        <v>28.5</v>
      </c>
      <c r="AF4959" s="94">
        <v>45.8</v>
      </c>
      <c r="AG4959" s="245">
        <v>25.7</v>
      </c>
      <c r="AH4959" s="58" t="s">
        <v>139</v>
      </c>
      <c r="AI4959" s="169">
        <v>8.1999999999999993</v>
      </c>
      <c r="AJ4959" s="94">
        <f>1.31*0.58</f>
        <v>0.75980000000000003</v>
      </c>
      <c r="AK4959" s="94"/>
      <c r="AL4959" s="58"/>
      <c r="AM4959" s="58" t="s">
        <v>5451</v>
      </c>
      <c r="AN4959" s="249" t="s">
        <v>5454</v>
      </c>
      <c r="AO4959" s="185" t="s">
        <v>5150</v>
      </c>
      <c r="AP4959" s="244"/>
      <c r="AQ4959" s="58"/>
      <c r="AR4959" s="244" t="s">
        <v>5453</v>
      </c>
      <c r="AS4959" s="58" t="s">
        <v>4584</v>
      </c>
      <c r="AT4959" s="247" t="s">
        <v>5453</v>
      </c>
      <c r="AU4959" s="181" t="s">
        <v>5150</v>
      </c>
      <c r="AV4959" s="185" t="s">
        <v>479</v>
      </c>
      <c r="AW4959" s="244" t="s">
        <v>5453</v>
      </c>
      <c r="AX4959" s="185" t="s">
        <v>479</v>
      </c>
      <c r="AY4959" s="244" t="s">
        <v>176</v>
      </c>
      <c r="AZ4959" s="58"/>
      <c r="BA4959" s="58"/>
      <c r="BB4959" s="58"/>
      <c r="BC4959" s="58"/>
      <c r="BD4959" s="58"/>
      <c r="BE4959" s="236" t="s">
        <v>5191</v>
      </c>
      <c r="BF4959" s="191" t="s">
        <v>479</v>
      </c>
      <c r="BG4959" s="191" t="s">
        <v>479</v>
      </c>
      <c r="BH4959" s="236" t="s">
        <v>5258</v>
      </c>
      <c r="BI4959" s="191" t="s">
        <v>479</v>
      </c>
      <c r="BJ4959" s="58" t="str">
        <f>IF(BE4959=BH4959,"No","yes")</f>
        <v>yes</v>
      </c>
      <c r="BK4959" s="58" t="s">
        <v>6334</v>
      </c>
      <c r="BL4959" s="58"/>
      <c r="BM4959" s="237"/>
      <c r="BN4959" s="244">
        <v>12</v>
      </c>
      <c r="BO4959" s="244">
        <v>12</v>
      </c>
      <c r="BP4959" s="58"/>
      <c r="BQ4959" s="58"/>
      <c r="BR4959" s="58"/>
      <c r="BS4959" s="58"/>
      <c r="BT4959" s="58"/>
      <c r="BU4959" s="58"/>
      <c r="BV4959" s="58"/>
      <c r="BW4959" s="67"/>
      <c r="BX4959" s="67"/>
      <c r="BY4959" s="67"/>
      <c r="BZ4959" s="67"/>
      <c r="CA4959" s="67"/>
      <c r="CB4959" s="70"/>
      <c r="CC4959" s="70"/>
      <c r="CD4959" s="70"/>
      <c r="CE4959" s="67"/>
      <c r="CF4959" s="67"/>
      <c r="CG4959" s="67"/>
      <c r="CH4959" s="245">
        <v>1.33</v>
      </c>
      <c r="CI4959" s="245">
        <v>1.19</v>
      </c>
      <c r="CJ4959" s="67">
        <f>1.26-CI4959</f>
        <v>7.0000000000000062E-2</v>
      </c>
      <c r="CK4959" s="67">
        <f>1.26-CJ4959</f>
        <v>1.19</v>
      </c>
      <c r="CL4959" s="67" t="s">
        <v>5455</v>
      </c>
      <c r="CM4959" s="242">
        <v>0.67</v>
      </c>
      <c r="CN4959" s="242">
        <v>1.46</v>
      </c>
      <c r="CO4959" s="242">
        <v>0.13</v>
      </c>
      <c r="CP4959" s="242">
        <v>0.14000000000000001</v>
      </c>
      <c r="CQ4959" s="242" t="s">
        <v>164</v>
      </c>
      <c r="CR4959" s="242">
        <f>CM4959*0.01*100*100*0.15*CH4959</f>
        <v>13.366499999999998</v>
      </c>
      <c r="CS4959" s="242">
        <f>CN4959*0.01*100*100*0.15*CI4959</f>
        <v>26.060999999999996</v>
      </c>
      <c r="CT4959" s="242">
        <f>CO4959*0.01*100*100*0.15*CH4959</f>
        <v>2.5935000000000001</v>
      </c>
      <c r="CU4959" s="242">
        <f>CP4959*0.01*100*100*0.15*CI4959</f>
        <v>2.4990000000000001</v>
      </c>
      <c r="CV4959" s="242" t="s">
        <v>5151</v>
      </c>
      <c r="CW4959" s="242">
        <f>(CM4959-$AJ$4959)*1000</f>
        <v>-89.8</v>
      </c>
      <c r="CX4959" s="242">
        <f>(CN4959-$AJ$4959)*1000</f>
        <v>700.19999999999993</v>
      </c>
      <c r="CY4959" s="242">
        <v>26.400000000000116</v>
      </c>
      <c r="CZ4959" s="242">
        <v>197.0499999999999</v>
      </c>
      <c r="DA4959" s="67" t="s">
        <v>5443</v>
      </c>
      <c r="DB4959" s="67"/>
      <c r="DC4959" s="67"/>
      <c r="DD4959" s="67"/>
      <c r="DE4959" s="67"/>
      <c r="DF4959" s="67"/>
      <c r="DG4959" s="67"/>
      <c r="DH4959" s="67"/>
      <c r="DI4959" s="67"/>
      <c r="DJ4959" s="67"/>
      <c r="DK4959" s="67"/>
      <c r="DL4959" s="67"/>
      <c r="DM4959" s="67"/>
      <c r="DN4959" s="67"/>
      <c r="DO4959" s="67"/>
      <c r="DP4959" s="67"/>
      <c r="DQ4959" s="166"/>
      <c r="DR4959" s="166"/>
      <c r="DS4959" s="163"/>
      <c r="DT4959" s="163"/>
      <c r="DU4959" s="67"/>
      <c r="DV4959" s="67"/>
      <c r="DW4959" s="67"/>
      <c r="DX4959" s="67"/>
      <c r="DY4959" s="67"/>
      <c r="DZ4959" s="67"/>
      <c r="EA4959" s="67"/>
      <c r="EB4959" s="67"/>
      <c r="EC4959" s="67"/>
      <c r="ED4959" s="67"/>
      <c r="EE4959" s="67"/>
      <c r="EF4959" s="67"/>
      <c r="EG4959" s="67"/>
      <c r="EH4959" s="67"/>
      <c r="EI4959" s="67"/>
      <c r="EJ4959" s="67"/>
      <c r="EK4959" s="94"/>
      <c r="EL4959" s="94"/>
      <c r="EM4959" s="67"/>
      <c r="EN4959" s="67"/>
      <c r="EO4959" s="67"/>
      <c r="EP4959" s="67"/>
      <c r="EQ4959" s="67"/>
      <c r="ER4959" s="67"/>
      <c r="ES4959" s="67"/>
      <c r="ET4959" s="67"/>
      <c r="EU4959" s="67"/>
      <c r="EV4959" s="67"/>
      <c r="EW4959" s="67"/>
      <c r="EX4959" s="67"/>
      <c r="EY4959" s="67"/>
      <c r="EZ4959" s="67"/>
      <c r="FA4959" s="67"/>
      <c r="FB4959" s="67"/>
      <c r="FC4959" s="67"/>
      <c r="FD4959" s="67"/>
      <c r="FE4959" s="67"/>
      <c r="FF4959" s="67"/>
      <c r="FG4959" s="67"/>
      <c r="FH4959" s="67"/>
      <c r="FI4959" s="67"/>
      <c r="FJ4959" s="67"/>
      <c r="FK4959" s="67"/>
      <c r="FL4959" s="67"/>
      <c r="FM4959" s="67"/>
      <c r="FN4959" s="67"/>
      <c r="FO4959" s="67"/>
      <c r="FP4959" s="67"/>
      <c r="FQ4959" s="67"/>
      <c r="FR4959" s="67"/>
      <c r="FS4959" s="67"/>
      <c r="FT4959" s="67"/>
      <c r="FU4959" s="67"/>
      <c r="FV4959" s="67"/>
      <c r="FW4959" s="67"/>
      <c r="FX4959" s="67"/>
      <c r="FY4959" s="67"/>
      <c r="FZ4959" s="67"/>
      <c r="GA4959" s="67"/>
      <c r="GB4959" s="67"/>
      <c r="GC4959" s="67"/>
      <c r="GD4959" s="67">
        <v>32</v>
      </c>
      <c r="GE4959" s="67">
        <v>11.91</v>
      </c>
      <c r="GF4959" s="67">
        <v>3</v>
      </c>
      <c r="GG4959" s="67">
        <v>5</v>
      </c>
      <c r="GH4959" s="67" t="s">
        <v>5456</v>
      </c>
      <c r="GI4959" s="67">
        <v>21.04</v>
      </c>
      <c r="GJ4959" s="67">
        <v>16.41</v>
      </c>
      <c r="GK4959" s="67">
        <f>24.28-GI4959</f>
        <v>3.240000000000002</v>
      </c>
      <c r="GL4959" s="67">
        <v>1.2</v>
      </c>
      <c r="GM4959" s="67"/>
      <c r="GN4959" s="292"/>
      <c r="GO4959" s="292"/>
      <c r="GP4959" s="292" t="s">
        <v>7494</v>
      </c>
      <c r="GQ4959" s="67"/>
      <c r="GR4959" s="67"/>
      <c r="GS4959" s="67"/>
      <c r="GT4959" s="67"/>
      <c r="GU4959" s="67"/>
      <c r="GV4959" s="67"/>
      <c r="GW4959" s="67"/>
      <c r="GX4959" s="67"/>
      <c r="GY4959" s="67"/>
      <c r="GZ4959" s="67"/>
      <c r="HA4959" s="67"/>
      <c r="HB4959" s="67"/>
      <c r="HC4959" s="67"/>
      <c r="HD4959" s="67"/>
      <c r="HE4959" s="67"/>
      <c r="HF4959" s="67"/>
      <c r="HG4959" s="67"/>
      <c r="HH4959" s="67"/>
      <c r="HI4959" s="67"/>
      <c r="HJ4959" s="67"/>
      <c r="HK4959" s="67"/>
      <c r="HL4959" s="67"/>
      <c r="HM4959" s="67"/>
      <c r="HN4959" s="67"/>
      <c r="HO4959" s="67"/>
      <c r="HP4959" s="67"/>
      <c r="HQ4959" s="67"/>
      <c r="HR4959" s="67"/>
      <c r="HS4959" s="67"/>
      <c r="HT4959" s="67"/>
      <c r="HU4959" s="67"/>
      <c r="HV4959" s="67"/>
      <c r="HW4959" s="67"/>
      <c r="HX4959" s="67"/>
      <c r="HY4959" s="67"/>
      <c r="HZ4959" s="67"/>
      <c r="IA4959" s="67"/>
      <c r="IB4959" s="67"/>
      <c r="IC4959" s="67"/>
      <c r="ID4959" s="67"/>
      <c r="IE4959" s="67"/>
      <c r="IF4959" s="67"/>
      <c r="IG4959" s="67"/>
      <c r="IH4959" s="67"/>
      <c r="II4959" s="67"/>
      <c r="IJ4959" s="67"/>
      <c r="IK4959" s="67"/>
      <c r="IL4959" s="67"/>
      <c r="IM4959" s="67"/>
      <c r="IN4959" s="67"/>
      <c r="IO4959" s="67"/>
      <c r="IP4959" s="67"/>
      <c r="IQ4959" s="67"/>
      <c r="IR4959" s="67"/>
      <c r="IS4959" s="67"/>
      <c r="IT4959" s="67"/>
      <c r="IU4959" s="67"/>
      <c r="IV4959" s="67"/>
      <c r="IW4959" s="67"/>
      <c r="IX4959" s="67"/>
      <c r="IY4959" s="67"/>
      <c r="IZ4959" s="67"/>
      <c r="JA4959" s="67"/>
      <c r="JB4959" s="67"/>
      <c r="JC4959" s="67"/>
      <c r="JD4959" s="67"/>
      <c r="JE4959" s="67"/>
      <c r="JF4959" s="67"/>
      <c r="JG4959" s="67"/>
      <c r="JH4959" s="67"/>
      <c r="JI4959" s="67"/>
      <c r="JJ4959" s="67"/>
      <c r="JK4959" s="67"/>
      <c r="JL4959" s="67"/>
      <c r="JM4959" s="67"/>
      <c r="JN4959" s="67"/>
      <c r="JO4959" s="67"/>
      <c r="JP4959" s="67"/>
      <c r="JQ4959" s="67"/>
      <c r="JR4959" s="67"/>
      <c r="JS4959" s="67"/>
      <c r="JT4959" s="67"/>
      <c r="JU4959" s="58" t="s">
        <v>5457</v>
      </c>
      <c r="JV4959" s="58"/>
      <c r="JW4959" s="58"/>
    </row>
    <row r="4960" spans="1:283" s="23" customFormat="1" x14ac:dyDescent="0.25">
      <c r="A4960" s="55">
        <v>4959</v>
      </c>
      <c r="B4960" s="12" t="s">
        <v>7067</v>
      </c>
      <c r="C4960" s="156">
        <v>241</v>
      </c>
      <c r="D4960" s="58" t="s">
        <v>4960</v>
      </c>
      <c r="E4960" s="160" t="str">
        <f>G4960</f>
        <v>Kahle et al 2005</v>
      </c>
      <c r="F4960" s="160"/>
      <c r="G4960" s="60" t="s">
        <v>4769</v>
      </c>
      <c r="H4960" s="58">
        <v>2005</v>
      </c>
      <c r="I4960" s="58">
        <v>1968</v>
      </c>
      <c r="J4960" s="243" t="s">
        <v>5314</v>
      </c>
      <c r="K4960" s="63" t="s">
        <v>5102</v>
      </c>
      <c r="L4960" s="58" t="s">
        <v>1077</v>
      </c>
      <c r="M4960" s="94">
        <v>51.17</v>
      </c>
      <c r="N4960" s="94">
        <v>10.45</v>
      </c>
      <c r="O4960" s="94">
        <v>214</v>
      </c>
      <c r="P4960" s="58"/>
      <c r="Q4960" s="244">
        <v>8.1999999999999993</v>
      </c>
      <c r="R4960" s="58"/>
      <c r="S4960" s="245">
        <v>543</v>
      </c>
      <c r="T4960" s="58"/>
      <c r="U4960" s="58">
        <v>5</v>
      </c>
      <c r="V4960" s="244">
        <v>10</v>
      </c>
      <c r="W4960" s="174"/>
      <c r="X4960" s="174"/>
      <c r="Y4960" s="58" t="s">
        <v>5459</v>
      </c>
      <c r="Z4960" s="244" t="s">
        <v>1379</v>
      </c>
      <c r="AA4960" s="245">
        <v>10</v>
      </c>
      <c r="AB4960" s="67"/>
      <c r="AC4960" s="67"/>
      <c r="AD4960" s="94">
        <v>1.64</v>
      </c>
      <c r="AE4960" s="94"/>
      <c r="AF4960" s="94"/>
      <c r="AG4960" s="245">
        <v>8</v>
      </c>
      <c r="AH4960" s="58"/>
      <c r="AI4960" s="169"/>
      <c r="AJ4960" s="94"/>
      <c r="AK4960" s="94"/>
      <c r="AL4960" s="58"/>
      <c r="AM4960" s="58"/>
      <c r="AN4960" s="186" t="s">
        <v>5458</v>
      </c>
      <c r="AO4960" s="185" t="s">
        <v>5150</v>
      </c>
      <c r="AP4960" s="58"/>
      <c r="AQ4960" s="58" t="s">
        <v>553</v>
      </c>
      <c r="AR4960" s="58"/>
      <c r="AS4960" s="246" t="s">
        <v>5133</v>
      </c>
      <c r="AT4960" s="247">
        <v>1</v>
      </c>
      <c r="AU4960" s="181" t="s">
        <v>7494</v>
      </c>
      <c r="AV4960" s="185" t="s">
        <v>176</v>
      </c>
      <c r="AW4960" s="244">
        <v>1</v>
      </c>
      <c r="AX4960" s="185" t="s">
        <v>176</v>
      </c>
      <c r="AY4960" s="244" t="s">
        <v>176</v>
      </c>
      <c r="AZ4960" s="58"/>
      <c r="BA4960" s="58"/>
      <c r="BB4960" s="58"/>
      <c r="BC4960" s="58"/>
      <c r="BD4960" s="58"/>
      <c r="BE4960" s="236" t="s">
        <v>5153</v>
      </c>
      <c r="BF4960" s="191"/>
      <c r="BG4960" s="191" t="s">
        <v>479</v>
      </c>
      <c r="BH4960" s="236" t="s">
        <v>5259</v>
      </c>
      <c r="BI4960" s="191" t="s">
        <v>479</v>
      </c>
      <c r="BJ4960" s="58" t="str">
        <f>IF(BE4960=BH4960,"No","yes")</f>
        <v>yes</v>
      </c>
      <c r="BK4960" s="58" t="s">
        <v>6334</v>
      </c>
      <c r="BL4960" s="58"/>
      <c r="BM4960" s="237"/>
      <c r="BN4960" s="244">
        <v>12</v>
      </c>
      <c r="BO4960" s="244">
        <v>12</v>
      </c>
      <c r="BP4960" s="58"/>
      <c r="BQ4960" s="58"/>
      <c r="BR4960" s="58"/>
      <c r="BS4960" s="58"/>
      <c r="BT4960" s="58"/>
      <c r="BU4960" s="58"/>
      <c r="BV4960" s="58"/>
      <c r="BW4960" s="67"/>
      <c r="BX4960" s="67"/>
      <c r="BY4960" s="67"/>
      <c r="BZ4960" s="67"/>
      <c r="CA4960" s="67"/>
      <c r="CB4960" s="70"/>
      <c r="CC4960" s="70"/>
      <c r="CD4960" s="70"/>
      <c r="CE4960" s="67"/>
      <c r="CF4960" s="67"/>
      <c r="CG4960" s="67"/>
      <c r="CH4960" s="245">
        <v>1.45</v>
      </c>
      <c r="CI4960" s="245">
        <v>1.51</v>
      </c>
      <c r="CJ4960" s="67"/>
      <c r="CK4960" s="67"/>
      <c r="CL4960" s="67"/>
      <c r="CM4960" s="242">
        <v>0.749</v>
      </c>
      <c r="CN4960" s="242">
        <v>0.78200000000000003</v>
      </c>
      <c r="CO4960" s="242">
        <v>7.4900000000000008E-2</v>
      </c>
      <c r="CP4960" s="242">
        <v>7.8200000000000006E-2</v>
      </c>
      <c r="CQ4960" s="242" t="s">
        <v>164</v>
      </c>
      <c r="CR4960" s="242">
        <v>10.860500000000002</v>
      </c>
      <c r="CS4960" s="242">
        <v>11.808200000000001</v>
      </c>
      <c r="CT4960" s="242">
        <v>1.0860500000000002</v>
      </c>
      <c r="CU4960" s="242">
        <v>1.1808200000000002</v>
      </c>
      <c r="CV4960" s="242" t="s">
        <v>5151</v>
      </c>
      <c r="CW4960" s="242"/>
      <c r="CX4960" s="242"/>
      <c r="CY4960" s="242"/>
      <c r="CZ4960" s="242"/>
      <c r="DA4960" s="67" t="s">
        <v>5443</v>
      </c>
      <c r="DB4960" s="67">
        <f>0.086*0.01*100*100*0.15*CH4960*1000</f>
        <v>1870.4999999999995</v>
      </c>
      <c r="DC4960" s="67">
        <f>0.088*0.01*100*100*0.15*CI4960*1000</f>
        <v>1993.1999999999998</v>
      </c>
      <c r="DD4960" s="67"/>
      <c r="DE4960" s="67"/>
      <c r="DF4960" s="67"/>
      <c r="DG4960" s="67"/>
      <c r="DH4960" s="67"/>
      <c r="DI4960" s="67"/>
      <c r="DJ4960" s="67"/>
      <c r="DK4960" s="67"/>
      <c r="DL4960" s="67"/>
      <c r="DM4960" s="67"/>
      <c r="DN4960" s="67"/>
      <c r="DO4960" s="67"/>
      <c r="DP4960" s="67"/>
      <c r="DQ4960" s="166"/>
      <c r="DR4960" s="166"/>
      <c r="DS4960" s="163"/>
      <c r="DT4960" s="163"/>
      <c r="DU4960" s="67"/>
      <c r="DV4960" s="67"/>
      <c r="DW4960" s="67"/>
      <c r="DX4960" s="67"/>
      <c r="DY4960" s="67"/>
      <c r="DZ4960" s="67"/>
      <c r="EA4960" s="67"/>
      <c r="EB4960" s="67"/>
      <c r="EC4960" s="67"/>
      <c r="ED4960" s="67"/>
      <c r="EE4960" s="67"/>
      <c r="EF4960" s="67"/>
      <c r="EG4960" s="67"/>
      <c r="EH4960" s="67"/>
      <c r="EI4960" s="67"/>
      <c r="EJ4960" s="67"/>
      <c r="EK4960" s="94"/>
      <c r="EL4960" s="94"/>
      <c r="EM4960" s="67"/>
      <c r="EN4960" s="67"/>
      <c r="EO4960" s="67"/>
      <c r="EP4960" s="67">
        <f>10+32.4+2.8</f>
        <v>45.199999999999996</v>
      </c>
      <c r="EQ4960" s="67">
        <f>10.5+29.1+3.6</f>
        <v>43.2</v>
      </c>
      <c r="ER4960" s="67"/>
      <c r="ES4960" s="67"/>
      <c r="ET4960" s="67"/>
      <c r="EU4960" s="67"/>
      <c r="EV4960" s="67"/>
      <c r="EW4960" s="67"/>
      <c r="EX4960" s="67"/>
      <c r="EY4960" s="67"/>
      <c r="EZ4960" s="67"/>
      <c r="FA4960" s="67"/>
      <c r="FB4960" s="67"/>
      <c r="FC4960" s="67"/>
      <c r="FD4960" s="67"/>
      <c r="FE4960" s="67"/>
      <c r="FF4960" s="67"/>
      <c r="FG4960" s="67"/>
      <c r="FH4960" s="67"/>
      <c r="FI4960" s="67"/>
      <c r="FJ4960" s="67"/>
      <c r="FK4960" s="67"/>
      <c r="FL4960" s="67"/>
      <c r="FM4960" s="67"/>
      <c r="FN4960" s="67"/>
      <c r="FO4960" s="67"/>
      <c r="FP4960" s="67"/>
      <c r="FQ4960" s="67"/>
      <c r="FR4960" s="67"/>
      <c r="FS4960" s="67"/>
      <c r="FT4960" s="67"/>
      <c r="FU4960" s="67"/>
      <c r="FV4960" s="67"/>
      <c r="FW4960" s="67"/>
      <c r="FX4960" s="67"/>
      <c r="FY4960" s="67"/>
      <c r="FZ4960" s="67"/>
      <c r="GA4960" s="67"/>
      <c r="GB4960" s="67"/>
      <c r="GC4960" s="67"/>
      <c r="GD4960" s="67"/>
      <c r="GE4960" s="67"/>
      <c r="GF4960" s="67"/>
      <c r="GG4960" s="67"/>
      <c r="GH4960" s="67"/>
      <c r="GI4960" s="67"/>
      <c r="GJ4960" s="67"/>
      <c r="GK4960" s="67"/>
      <c r="GL4960" s="67"/>
      <c r="GM4960" s="67"/>
      <c r="GN4960" s="292"/>
      <c r="GO4960" s="292"/>
      <c r="GP4960" s="292" t="s">
        <v>7494</v>
      </c>
      <c r="GQ4960" s="67"/>
      <c r="GR4960" s="67"/>
      <c r="GS4960" s="67"/>
      <c r="GT4960" s="67"/>
      <c r="GU4960" s="67"/>
      <c r="GV4960" s="67"/>
      <c r="GW4960" s="67"/>
      <c r="GX4960" s="67"/>
      <c r="GY4960" s="67"/>
      <c r="GZ4960" s="67"/>
      <c r="HA4960" s="67"/>
      <c r="HB4960" s="67"/>
      <c r="HC4960" s="67"/>
      <c r="HD4960" s="67"/>
      <c r="HE4960" s="67"/>
      <c r="HF4960" s="67"/>
      <c r="HG4960" s="67"/>
      <c r="HH4960" s="67"/>
      <c r="HI4960" s="67"/>
      <c r="HJ4960" s="67"/>
      <c r="HK4960" s="67"/>
      <c r="HL4960" s="67"/>
      <c r="HM4960" s="67"/>
      <c r="HN4960" s="67"/>
      <c r="HO4960" s="67"/>
      <c r="HP4960" s="67"/>
      <c r="HQ4960" s="67"/>
      <c r="HR4960" s="67"/>
      <c r="HS4960" s="67"/>
      <c r="HT4960" s="67"/>
      <c r="HU4960" s="67"/>
      <c r="HV4960" s="67"/>
      <c r="HW4960" s="67"/>
      <c r="HX4960" s="67"/>
      <c r="HY4960" s="67"/>
      <c r="HZ4960" s="67"/>
      <c r="IA4960" s="67"/>
      <c r="IB4960" s="67"/>
      <c r="IC4960" s="67"/>
      <c r="ID4960" s="67"/>
      <c r="IE4960" s="67"/>
      <c r="IF4960" s="67"/>
      <c r="IG4960" s="67"/>
      <c r="IH4960" s="67"/>
      <c r="II4960" s="67"/>
      <c r="IJ4960" s="67"/>
      <c r="IK4960" s="67"/>
      <c r="IL4960" s="67"/>
      <c r="IM4960" s="67"/>
      <c r="IN4960" s="67"/>
      <c r="IO4960" s="67"/>
      <c r="IP4960" s="67"/>
      <c r="IQ4960" s="67"/>
      <c r="IR4960" s="67"/>
      <c r="IS4960" s="67"/>
      <c r="IT4960" s="67"/>
      <c r="IU4960" s="67"/>
      <c r="IV4960" s="67"/>
      <c r="IW4960" s="67"/>
      <c r="IX4960" s="67"/>
      <c r="IY4960" s="67"/>
      <c r="IZ4960" s="67"/>
      <c r="JA4960" s="67"/>
      <c r="JB4960" s="67"/>
      <c r="JC4960" s="67"/>
      <c r="JD4960" s="67"/>
      <c r="JE4960" s="67"/>
      <c r="JF4960" s="67"/>
      <c r="JG4960" s="67"/>
      <c r="JH4960" s="67"/>
      <c r="JI4960" s="67"/>
      <c r="JJ4960" s="67"/>
      <c r="JK4960" s="67"/>
      <c r="JL4960" s="67"/>
      <c r="JM4960" s="67"/>
      <c r="JN4960" s="67"/>
      <c r="JO4960" s="67"/>
      <c r="JP4960" s="67"/>
      <c r="JQ4960" s="67"/>
      <c r="JR4960" s="67"/>
      <c r="JS4960" s="67"/>
      <c r="JT4960" s="67"/>
      <c r="JU4960" s="58"/>
      <c r="JV4960" s="58"/>
      <c r="JW4960" s="58"/>
    </row>
    <row r="4961" spans="1:283" s="23" customFormat="1" x14ac:dyDescent="0.25">
      <c r="A4961" s="55">
        <v>4960</v>
      </c>
      <c r="B4961" s="12" t="s">
        <v>7067</v>
      </c>
      <c r="C4961" s="156">
        <v>242</v>
      </c>
      <c r="D4961" s="58" t="s">
        <v>5462</v>
      </c>
      <c r="E4961" s="160" t="str">
        <f>G4961</f>
        <v>Kirchmann et al 2007</v>
      </c>
      <c r="F4961" s="160"/>
      <c r="G4961" s="60" t="s">
        <v>4768</v>
      </c>
      <c r="H4961" s="58">
        <v>2007</v>
      </c>
      <c r="I4961" s="58">
        <v>1990</v>
      </c>
      <c r="J4961" s="243" t="s">
        <v>282</v>
      </c>
      <c r="K4961" s="63" t="s">
        <v>5101</v>
      </c>
      <c r="L4961" s="58" t="s">
        <v>2742</v>
      </c>
      <c r="M4961" s="94">
        <f>55+42/60</f>
        <v>55.7</v>
      </c>
      <c r="N4961" s="94">
        <f>13+43/60</f>
        <v>13.716666666666667</v>
      </c>
      <c r="O4961" s="94">
        <v>105</v>
      </c>
      <c r="P4961" s="58"/>
      <c r="Q4961" s="244">
        <v>7.3</v>
      </c>
      <c r="R4961" s="58"/>
      <c r="S4961" s="245">
        <v>764</v>
      </c>
      <c r="T4961" s="58"/>
      <c r="U4961" s="58">
        <v>10</v>
      </c>
      <c r="V4961" s="244">
        <v>19</v>
      </c>
      <c r="W4961" s="174"/>
      <c r="X4961" s="174"/>
      <c r="Y4961" s="58" t="s">
        <v>5461</v>
      </c>
      <c r="Z4961" s="244" t="s">
        <v>1356</v>
      </c>
      <c r="AA4961" s="245">
        <v>30</v>
      </c>
      <c r="AB4961" s="67"/>
      <c r="AC4961" s="67"/>
      <c r="AD4961" s="94"/>
      <c r="AE4961" s="94">
        <v>63</v>
      </c>
      <c r="AF4961" s="94">
        <f>100-AE4961-13.5</f>
        <v>23.5</v>
      </c>
      <c r="AG4961" s="245">
        <v>13.5</v>
      </c>
      <c r="AH4961" s="58" t="s">
        <v>238</v>
      </c>
      <c r="AI4961" s="169"/>
      <c r="AJ4961" s="94"/>
      <c r="AK4961" s="94"/>
      <c r="AL4961" s="58"/>
      <c r="AM4961" s="58" t="s">
        <v>5460</v>
      </c>
      <c r="AN4961" s="186" t="s">
        <v>5466</v>
      </c>
      <c r="AO4961" s="185" t="s">
        <v>5150</v>
      </c>
      <c r="AP4961" s="58"/>
      <c r="AQ4961" s="58" t="s">
        <v>4584</v>
      </c>
      <c r="AR4961" s="58" t="s">
        <v>5467</v>
      </c>
      <c r="AS4961" s="246" t="s">
        <v>4584</v>
      </c>
      <c r="AT4961" s="247">
        <v>1</v>
      </c>
      <c r="AU4961" s="181" t="s">
        <v>7494</v>
      </c>
      <c r="AV4961" s="185" t="s">
        <v>176</v>
      </c>
      <c r="AW4961" s="244">
        <v>1</v>
      </c>
      <c r="AX4961" s="185" t="s">
        <v>176</v>
      </c>
      <c r="AY4961" s="244" t="s">
        <v>176</v>
      </c>
      <c r="AZ4961" s="58"/>
      <c r="BA4961" s="58"/>
      <c r="BB4961" s="58"/>
      <c r="BC4961" s="58"/>
      <c r="BD4961" s="58"/>
      <c r="BE4961" s="236" t="s">
        <v>5192</v>
      </c>
      <c r="BF4961" s="191" t="s">
        <v>479</v>
      </c>
      <c r="BG4961" s="191" t="s">
        <v>479</v>
      </c>
      <c r="BH4961" s="236" t="s">
        <v>5260</v>
      </c>
      <c r="BI4961" s="191" t="s">
        <v>479</v>
      </c>
      <c r="BJ4961" s="58" t="str">
        <f>IF(BE4961=BH4961,"No","yes")</f>
        <v>yes</v>
      </c>
      <c r="BK4961" s="58" t="s">
        <v>6335</v>
      </c>
      <c r="BL4961" s="58"/>
      <c r="BM4961" s="237"/>
      <c r="BN4961" s="244">
        <v>3</v>
      </c>
      <c r="BO4961" s="244">
        <v>3</v>
      </c>
      <c r="BP4961" s="58"/>
      <c r="BQ4961" s="58"/>
      <c r="BR4961" s="58"/>
      <c r="BS4961" s="58"/>
      <c r="BT4961" s="58"/>
      <c r="BU4961" s="58"/>
      <c r="BV4961" s="58" t="s">
        <v>5464</v>
      </c>
      <c r="BW4961" s="67"/>
      <c r="BX4961" s="67"/>
      <c r="BY4961" s="67"/>
      <c r="BZ4961" s="67"/>
      <c r="CA4961" s="67"/>
      <c r="CB4961" s="70"/>
      <c r="CC4961" s="70"/>
      <c r="CD4961" s="70"/>
      <c r="CE4961" s="67"/>
      <c r="CF4961" s="67"/>
      <c r="CG4961" s="67"/>
      <c r="CH4961" s="245"/>
      <c r="CI4961" s="245"/>
      <c r="CJ4961" s="67"/>
      <c r="CK4961" s="67"/>
      <c r="CL4961" s="67"/>
      <c r="CM4961" s="242">
        <v>2.46</v>
      </c>
      <c r="CN4961" s="242">
        <v>2.71</v>
      </c>
      <c r="CO4961" s="242">
        <v>4.9200000000000001E-2</v>
      </c>
      <c r="CP4961" s="242">
        <v>8.1299999999999997E-2</v>
      </c>
      <c r="CQ4961" s="242" t="s">
        <v>164</v>
      </c>
      <c r="CR4961" s="242">
        <v>97.442988551938399</v>
      </c>
      <c r="CS4961" s="242">
        <v>105.26085012515207</v>
      </c>
      <c r="CT4961" s="242">
        <v>9.7442988551938399</v>
      </c>
      <c r="CU4961" s="242">
        <v>10.526085012515209</v>
      </c>
      <c r="CV4961" s="242" t="s">
        <v>5151</v>
      </c>
      <c r="CW4961" s="242"/>
      <c r="CX4961" s="242"/>
      <c r="CY4961" s="242"/>
      <c r="CZ4961" s="242"/>
      <c r="DA4961" s="67" t="s">
        <v>5443</v>
      </c>
      <c r="DB4961" s="67">
        <v>2600</v>
      </c>
      <c r="DC4961" s="67">
        <v>2500</v>
      </c>
      <c r="DD4961" s="67">
        <v>400</v>
      </c>
      <c r="DE4961" s="67">
        <v>300</v>
      </c>
      <c r="DF4961" s="67" t="s">
        <v>2241</v>
      </c>
      <c r="DG4961" s="67">
        <v>8</v>
      </c>
      <c r="DH4961" s="67">
        <v>13</v>
      </c>
      <c r="DI4961" s="67">
        <v>1</v>
      </c>
      <c r="DJ4961" s="67">
        <v>1</v>
      </c>
      <c r="DK4961" s="67" t="s">
        <v>2242</v>
      </c>
      <c r="DL4961" s="67">
        <v>61</v>
      </c>
      <c r="DM4961" s="67">
        <v>41</v>
      </c>
      <c r="DN4961" s="67">
        <v>10</v>
      </c>
      <c r="DO4961" s="67">
        <v>3</v>
      </c>
      <c r="DP4961" s="67" t="s">
        <v>2242</v>
      </c>
      <c r="DQ4961" s="166">
        <v>5.7</v>
      </c>
      <c r="DR4961" s="166">
        <v>5.6</v>
      </c>
      <c r="DS4961" s="163">
        <v>0.1</v>
      </c>
      <c r="DT4961" s="163">
        <v>0.1</v>
      </c>
      <c r="DU4961" s="67"/>
      <c r="DV4961" s="67"/>
      <c r="DW4961" s="67"/>
      <c r="DX4961" s="67"/>
      <c r="DY4961" s="67"/>
      <c r="DZ4961" s="67"/>
      <c r="EA4961" s="67"/>
      <c r="EB4961" s="67"/>
      <c r="EC4961" s="67"/>
      <c r="ED4961" s="67"/>
      <c r="EE4961" s="67"/>
      <c r="EF4961" s="67"/>
      <c r="EG4961" s="67"/>
      <c r="EH4961" s="67"/>
      <c r="EI4961" s="67"/>
      <c r="EJ4961" s="67"/>
      <c r="EK4961" s="94"/>
      <c r="EL4961" s="94"/>
      <c r="EM4961" s="67"/>
      <c r="EN4961" s="67"/>
      <c r="EO4961" s="67"/>
      <c r="EP4961" s="67"/>
      <c r="EQ4961" s="67"/>
      <c r="ER4961" s="67"/>
      <c r="ES4961" s="67"/>
      <c r="ET4961" s="67"/>
      <c r="EU4961" s="67"/>
      <c r="EV4961" s="67"/>
      <c r="EW4961" s="67"/>
      <c r="EX4961" s="67"/>
      <c r="EY4961" s="67"/>
      <c r="EZ4961" s="67"/>
      <c r="FA4961" s="67"/>
      <c r="FB4961" s="67"/>
      <c r="FC4961" s="67"/>
      <c r="FD4961" s="67"/>
      <c r="FE4961" s="67"/>
      <c r="FF4961" s="67"/>
      <c r="FG4961" s="67"/>
      <c r="FH4961" s="67"/>
      <c r="FI4961" s="67"/>
      <c r="FJ4961" s="67"/>
      <c r="FK4961" s="67"/>
      <c r="FL4961" s="67"/>
      <c r="FM4961" s="67"/>
      <c r="FN4961" s="67"/>
      <c r="FO4961" s="67"/>
      <c r="FP4961" s="67"/>
      <c r="FQ4961" s="67"/>
      <c r="FR4961" s="67"/>
      <c r="FS4961" s="67"/>
      <c r="FT4961" s="67"/>
      <c r="FU4961" s="67"/>
      <c r="FV4961" s="67"/>
      <c r="FW4961" s="67"/>
      <c r="FX4961" s="67"/>
      <c r="FY4961" s="67"/>
      <c r="FZ4961" s="67"/>
      <c r="GA4961" s="67"/>
      <c r="GB4961" s="67"/>
      <c r="GC4961" s="67"/>
      <c r="GD4961" s="67"/>
      <c r="GE4961" s="67"/>
      <c r="GF4961" s="67"/>
      <c r="GG4961" s="67"/>
      <c r="GH4961" s="67"/>
      <c r="GI4961" s="67"/>
      <c r="GJ4961" s="67"/>
      <c r="GK4961" s="67"/>
      <c r="GL4961" s="67"/>
      <c r="GM4961" s="67"/>
      <c r="GN4961" s="292"/>
      <c r="GO4961" s="292"/>
      <c r="GP4961" s="292" t="s">
        <v>7494</v>
      </c>
      <c r="GQ4961" s="67"/>
      <c r="GR4961" s="67"/>
      <c r="GS4961" s="67"/>
      <c r="GT4961" s="67"/>
      <c r="GU4961" s="67"/>
      <c r="GV4961" s="67"/>
      <c r="GW4961" s="67"/>
      <c r="GX4961" s="67"/>
      <c r="GY4961" s="67"/>
      <c r="GZ4961" s="67"/>
      <c r="HA4961" s="67"/>
      <c r="HB4961" s="67"/>
      <c r="HC4961" s="67"/>
      <c r="HD4961" s="67"/>
      <c r="HE4961" s="67"/>
      <c r="HF4961" s="67"/>
      <c r="HG4961" s="67"/>
      <c r="HH4961" s="67"/>
      <c r="HI4961" s="67"/>
      <c r="HJ4961" s="67"/>
      <c r="HK4961" s="67"/>
      <c r="HL4961" s="67"/>
      <c r="HM4961" s="67"/>
      <c r="HN4961" s="67"/>
      <c r="HO4961" s="67"/>
      <c r="HP4961" s="67"/>
      <c r="HQ4961" s="67"/>
      <c r="HR4961" s="67"/>
      <c r="HS4961" s="67"/>
      <c r="HT4961" s="67"/>
      <c r="HU4961" s="67"/>
      <c r="HV4961" s="67"/>
      <c r="HW4961" s="67"/>
      <c r="HX4961" s="67"/>
      <c r="HY4961" s="67"/>
      <c r="HZ4961" s="67"/>
      <c r="IA4961" s="67"/>
      <c r="IB4961" s="67"/>
      <c r="IC4961" s="67"/>
      <c r="ID4961" s="67"/>
      <c r="IE4961" s="67"/>
      <c r="IF4961" s="67"/>
      <c r="IG4961" s="67"/>
      <c r="IH4961" s="67"/>
      <c r="II4961" s="67"/>
      <c r="IJ4961" s="67"/>
      <c r="IK4961" s="67"/>
      <c r="IL4961" s="67"/>
      <c r="IM4961" s="67"/>
      <c r="IN4961" s="67"/>
      <c r="IO4961" s="67"/>
      <c r="IP4961" s="67"/>
      <c r="IQ4961" s="67"/>
      <c r="IR4961" s="67"/>
      <c r="IS4961" s="67"/>
      <c r="IT4961" s="67"/>
      <c r="IU4961" s="67"/>
      <c r="IV4961" s="67"/>
      <c r="IW4961" s="67"/>
      <c r="IX4961" s="67"/>
      <c r="IY4961" s="67"/>
      <c r="IZ4961" s="67"/>
      <c r="JA4961" s="67"/>
      <c r="JB4961" s="67"/>
      <c r="JC4961" s="67"/>
      <c r="JD4961" s="67"/>
      <c r="JE4961" s="67"/>
      <c r="JF4961" s="67"/>
      <c r="JG4961" s="67"/>
      <c r="JH4961" s="67"/>
      <c r="JI4961" s="67"/>
      <c r="JJ4961" s="67"/>
      <c r="JK4961" s="67"/>
      <c r="JL4961" s="67"/>
      <c r="JM4961" s="67"/>
      <c r="JN4961" s="67"/>
      <c r="JO4961" s="67"/>
      <c r="JP4961" s="67"/>
      <c r="JQ4961" s="67"/>
      <c r="JR4961" s="67"/>
      <c r="JS4961" s="67"/>
      <c r="JT4961" s="67"/>
      <c r="JU4961" s="58"/>
      <c r="JV4961" s="58"/>
      <c r="JW4961" s="58"/>
    </row>
    <row r="4962" spans="1:283" s="23" customFormat="1" x14ac:dyDescent="0.25">
      <c r="A4962" s="55">
        <v>4961</v>
      </c>
      <c r="B4962" s="12" t="s">
        <v>7067</v>
      </c>
      <c r="C4962" s="156">
        <v>242</v>
      </c>
      <c r="D4962" s="58" t="s">
        <v>5463</v>
      </c>
      <c r="E4962" s="160" t="str">
        <f>G4962</f>
        <v>Kirchmann et al 2007</v>
      </c>
      <c r="F4962" s="160"/>
      <c r="G4962" s="60" t="s">
        <v>4768</v>
      </c>
      <c r="H4962" s="58">
        <v>2007</v>
      </c>
      <c r="I4962" s="58">
        <v>1990</v>
      </c>
      <c r="J4962" s="243" t="s">
        <v>282</v>
      </c>
      <c r="K4962" s="63" t="s">
        <v>5101</v>
      </c>
      <c r="L4962" s="58" t="s">
        <v>2742</v>
      </c>
      <c r="M4962" s="94">
        <f>55+42/60</f>
        <v>55.7</v>
      </c>
      <c r="N4962" s="94">
        <f>13+43/60</f>
        <v>13.716666666666667</v>
      </c>
      <c r="O4962" s="94">
        <v>105</v>
      </c>
      <c r="P4962" s="58"/>
      <c r="Q4962" s="244">
        <v>7.3</v>
      </c>
      <c r="R4962" s="58"/>
      <c r="S4962" s="245">
        <v>764</v>
      </c>
      <c r="T4962" s="58"/>
      <c r="U4962" s="58">
        <v>10</v>
      </c>
      <c r="V4962" s="244">
        <v>19</v>
      </c>
      <c r="W4962" s="174"/>
      <c r="X4962" s="174"/>
      <c r="Y4962" s="58" t="s">
        <v>5461</v>
      </c>
      <c r="Z4962" s="244" t="s">
        <v>1356</v>
      </c>
      <c r="AA4962" s="245">
        <v>30</v>
      </c>
      <c r="AB4962" s="67"/>
      <c r="AC4962" s="67"/>
      <c r="AD4962" s="94"/>
      <c r="AE4962" s="94">
        <v>63</v>
      </c>
      <c r="AF4962" s="94">
        <f>100-AE4962-13.5</f>
        <v>23.5</v>
      </c>
      <c r="AG4962" s="245">
        <v>13.5</v>
      </c>
      <c r="AH4962" s="58" t="s">
        <v>238</v>
      </c>
      <c r="AI4962" s="169"/>
      <c r="AJ4962" s="94"/>
      <c r="AK4962" s="94"/>
      <c r="AL4962" s="58"/>
      <c r="AM4962" s="58" t="s">
        <v>5460</v>
      </c>
      <c r="AN4962" s="186" t="s">
        <v>5466</v>
      </c>
      <c r="AO4962" s="185" t="s">
        <v>5150</v>
      </c>
      <c r="AP4962" s="58"/>
      <c r="AQ4962" s="58" t="s">
        <v>4584</v>
      </c>
      <c r="AR4962" s="58" t="s">
        <v>5467</v>
      </c>
      <c r="AS4962" s="246" t="s">
        <v>4584</v>
      </c>
      <c r="AT4962" s="247">
        <v>1</v>
      </c>
      <c r="AU4962" s="181" t="s">
        <v>7494</v>
      </c>
      <c r="AV4962" s="185" t="s">
        <v>176</v>
      </c>
      <c r="AW4962" s="244">
        <v>1</v>
      </c>
      <c r="AX4962" s="185" t="s">
        <v>176</v>
      </c>
      <c r="AY4962" s="244" t="s">
        <v>176</v>
      </c>
      <c r="AZ4962" s="58"/>
      <c r="BA4962" s="58"/>
      <c r="BB4962" s="58"/>
      <c r="BC4962" s="58"/>
      <c r="BD4962" s="58"/>
      <c r="BE4962" s="236" t="s">
        <v>5192</v>
      </c>
      <c r="BF4962" s="191" t="s">
        <v>479</v>
      </c>
      <c r="BG4962" s="191" t="s">
        <v>479</v>
      </c>
      <c r="BH4962" s="236" t="s">
        <v>5260</v>
      </c>
      <c r="BI4962" s="191" t="s">
        <v>479</v>
      </c>
      <c r="BJ4962" s="58" t="str">
        <f>IF(BE4962=BH4962,"No","yes")</f>
        <v>yes</v>
      </c>
      <c r="BK4962" s="58" t="s">
        <v>6335</v>
      </c>
      <c r="BL4962" s="58"/>
      <c r="BM4962" s="237"/>
      <c r="BN4962" s="244">
        <v>3</v>
      </c>
      <c r="BO4962" s="244">
        <v>3</v>
      </c>
      <c r="BP4962" s="58"/>
      <c r="BQ4962" s="58"/>
      <c r="BR4962" s="58"/>
      <c r="BS4962" s="58"/>
      <c r="BT4962" s="58"/>
      <c r="BU4962" s="58"/>
      <c r="BV4962" s="58" t="s">
        <v>5465</v>
      </c>
      <c r="BW4962" s="67"/>
      <c r="BX4962" s="67"/>
      <c r="BY4962" s="67"/>
      <c r="BZ4962" s="67"/>
      <c r="CA4962" s="67"/>
      <c r="CB4962" s="70"/>
      <c r="CC4962" s="70"/>
      <c r="CD4962" s="70"/>
      <c r="CE4962" s="67"/>
      <c r="CF4962" s="67"/>
      <c r="CG4962" s="67"/>
      <c r="CH4962" s="245"/>
      <c r="CI4962" s="245"/>
      <c r="CJ4962" s="67"/>
      <c r="CK4962" s="67"/>
      <c r="CL4962" s="67"/>
      <c r="CM4962" s="242"/>
      <c r="CN4962" s="242"/>
      <c r="CO4962" s="242"/>
      <c r="CP4962" s="242"/>
      <c r="CQ4962" s="242"/>
      <c r="CR4962" s="242"/>
      <c r="CS4962" s="242"/>
      <c r="CT4962" s="242"/>
      <c r="CU4962" s="242"/>
      <c r="CV4962" s="242"/>
      <c r="CW4962" s="242"/>
      <c r="CX4962" s="242"/>
      <c r="CY4962" s="242"/>
      <c r="CZ4962" s="242"/>
      <c r="DA4962" s="67" t="s">
        <v>5443</v>
      </c>
      <c r="DB4962" s="67"/>
      <c r="DC4962" s="67"/>
      <c r="DD4962" s="67"/>
      <c r="DE4962" s="67"/>
      <c r="DF4962" s="67"/>
      <c r="DG4962" s="67">
        <v>10</v>
      </c>
      <c r="DH4962" s="67">
        <v>13</v>
      </c>
      <c r="DI4962" s="67">
        <v>1</v>
      </c>
      <c r="DJ4962" s="67">
        <v>1</v>
      </c>
      <c r="DK4962" s="67" t="s">
        <v>2242</v>
      </c>
      <c r="DL4962" s="67">
        <v>57</v>
      </c>
      <c r="DM4962" s="67">
        <v>41</v>
      </c>
      <c r="DN4962" s="67">
        <v>12</v>
      </c>
      <c r="DO4962" s="67">
        <v>3</v>
      </c>
      <c r="DP4962" s="67" t="s">
        <v>2242</v>
      </c>
      <c r="DQ4962" s="166">
        <v>5.7</v>
      </c>
      <c r="DR4962" s="166">
        <v>5.6</v>
      </c>
      <c r="DS4962" s="163">
        <v>0.1</v>
      </c>
      <c r="DT4962" s="163">
        <v>0.1</v>
      </c>
      <c r="DU4962" s="67"/>
      <c r="DV4962" s="67"/>
      <c r="DW4962" s="67"/>
      <c r="DX4962" s="67"/>
      <c r="DY4962" s="67"/>
      <c r="DZ4962" s="67"/>
      <c r="EA4962" s="67"/>
      <c r="EB4962" s="67"/>
      <c r="EC4962" s="67"/>
      <c r="ED4962" s="67"/>
      <c r="EE4962" s="67"/>
      <c r="EF4962" s="67"/>
      <c r="EG4962" s="67"/>
      <c r="EH4962" s="67"/>
      <c r="EI4962" s="67"/>
      <c r="EJ4962" s="67"/>
      <c r="EK4962" s="94"/>
      <c r="EL4962" s="94"/>
      <c r="EM4962" s="67"/>
      <c r="EN4962" s="67"/>
      <c r="EO4962" s="67"/>
      <c r="EP4962" s="67"/>
      <c r="EQ4962" s="67"/>
      <c r="ER4962" s="67"/>
      <c r="ES4962" s="67"/>
      <c r="ET4962" s="67"/>
      <c r="EU4962" s="67"/>
      <c r="EV4962" s="67"/>
      <c r="EW4962" s="67"/>
      <c r="EX4962" s="67"/>
      <c r="EY4962" s="67"/>
      <c r="EZ4962" s="67"/>
      <c r="FA4962" s="67"/>
      <c r="FB4962" s="67"/>
      <c r="FC4962" s="67"/>
      <c r="FD4962" s="67"/>
      <c r="FE4962" s="67"/>
      <c r="FF4962" s="67"/>
      <c r="FG4962" s="67"/>
      <c r="FH4962" s="67"/>
      <c r="FI4962" s="67"/>
      <c r="FJ4962" s="67"/>
      <c r="FK4962" s="67"/>
      <c r="FL4962" s="67"/>
      <c r="FM4962" s="67"/>
      <c r="FN4962" s="67"/>
      <c r="FO4962" s="67"/>
      <c r="FP4962" s="67"/>
      <c r="FQ4962" s="67"/>
      <c r="FR4962" s="67"/>
      <c r="FS4962" s="67"/>
      <c r="FT4962" s="67"/>
      <c r="FU4962" s="67"/>
      <c r="FV4962" s="67"/>
      <c r="FW4962" s="67"/>
      <c r="FX4962" s="67"/>
      <c r="FY4962" s="67"/>
      <c r="FZ4962" s="67"/>
      <c r="GA4962" s="67"/>
      <c r="GB4962" s="67"/>
      <c r="GC4962" s="67"/>
      <c r="GD4962" s="67"/>
      <c r="GE4962" s="67"/>
      <c r="GF4962" s="67"/>
      <c r="GG4962" s="67"/>
      <c r="GH4962" s="67"/>
      <c r="GI4962" s="67"/>
      <c r="GJ4962" s="67"/>
      <c r="GK4962" s="67"/>
      <c r="GL4962" s="67"/>
      <c r="GM4962" s="67"/>
      <c r="GN4962" s="292"/>
      <c r="GO4962" s="292"/>
      <c r="GP4962" s="292" t="s">
        <v>7494</v>
      </c>
      <c r="GQ4962" s="67"/>
      <c r="GR4962" s="67"/>
      <c r="GS4962" s="67"/>
      <c r="GT4962" s="67"/>
      <c r="GU4962" s="67"/>
      <c r="GV4962" s="67"/>
      <c r="GW4962" s="67"/>
      <c r="GX4962" s="67"/>
      <c r="GY4962" s="67"/>
      <c r="GZ4962" s="67"/>
      <c r="HA4962" s="67"/>
      <c r="HB4962" s="67"/>
      <c r="HC4962" s="67"/>
      <c r="HD4962" s="67"/>
      <c r="HE4962" s="67"/>
      <c r="HF4962" s="67"/>
      <c r="HG4962" s="67"/>
      <c r="HH4962" s="67"/>
      <c r="HI4962" s="67"/>
      <c r="HJ4962" s="67"/>
      <c r="HK4962" s="67"/>
      <c r="HL4962" s="67"/>
      <c r="HM4962" s="67"/>
      <c r="HN4962" s="67"/>
      <c r="HO4962" s="67"/>
      <c r="HP4962" s="67"/>
      <c r="HQ4962" s="67"/>
      <c r="HR4962" s="67"/>
      <c r="HS4962" s="67"/>
      <c r="HT4962" s="67"/>
      <c r="HU4962" s="67"/>
      <c r="HV4962" s="67"/>
      <c r="HW4962" s="67"/>
      <c r="HX4962" s="67"/>
      <c r="HY4962" s="67"/>
      <c r="HZ4962" s="67"/>
      <c r="IA4962" s="67"/>
      <c r="IB4962" s="67"/>
      <c r="IC4962" s="67"/>
      <c r="ID4962" s="67"/>
      <c r="IE4962" s="67"/>
      <c r="IF4962" s="67"/>
      <c r="IG4962" s="67"/>
      <c r="IH4962" s="67"/>
      <c r="II4962" s="67"/>
      <c r="IJ4962" s="67"/>
      <c r="IK4962" s="67"/>
      <c r="IL4962" s="67"/>
      <c r="IM4962" s="67"/>
      <c r="IN4962" s="67"/>
      <c r="IO4962" s="67"/>
      <c r="IP4962" s="67"/>
      <c r="IQ4962" s="67"/>
      <c r="IR4962" s="67"/>
      <c r="IS4962" s="67"/>
      <c r="IT4962" s="67"/>
      <c r="IU4962" s="67"/>
      <c r="IV4962" s="67"/>
      <c r="IW4962" s="67"/>
      <c r="IX4962" s="67"/>
      <c r="IY4962" s="67"/>
      <c r="IZ4962" s="67"/>
      <c r="JA4962" s="67"/>
      <c r="JB4962" s="67"/>
      <c r="JC4962" s="67"/>
      <c r="JD4962" s="67"/>
      <c r="JE4962" s="67"/>
      <c r="JF4962" s="67"/>
      <c r="JG4962" s="67"/>
      <c r="JH4962" s="67"/>
      <c r="JI4962" s="67"/>
      <c r="JJ4962" s="67"/>
      <c r="JK4962" s="67"/>
      <c r="JL4962" s="67"/>
      <c r="JM4962" s="67"/>
      <c r="JN4962" s="67"/>
      <c r="JO4962" s="67"/>
      <c r="JP4962" s="67"/>
      <c r="JQ4962" s="67"/>
      <c r="JR4962" s="67"/>
      <c r="JS4962" s="67"/>
      <c r="JT4962" s="67"/>
      <c r="JU4962" s="58"/>
      <c r="JV4962" s="58"/>
      <c r="JW4962" s="58"/>
    </row>
    <row r="4963" spans="1:283" s="23" customFormat="1" x14ac:dyDescent="0.25">
      <c r="A4963" s="55">
        <v>4962</v>
      </c>
      <c r="B4963" s="12" t="s">
        <v>7067</v>
      </c>
      <c r="C4963" s="156">
        <v>243</v>
      </c>
      <c r="D4963" s="58" t="s">
        <v>4961</v>
      </c>
      <c r="E4963" s="160" t="str">
        <f>G4963</f>
        <v>Kong et al 2005_pair 3</v>
      </c>
      <c r="F4963" s="160"/>
      <c r="G4963" s="60" t="s">
        <v>4767</v>
      </c>
      <c r="H4963" s="58">
        <v>2005</v>
      </c>
      <c r="I4963" s="58">
        <v>1993</v>
      </c>
      <c r="J4963" s="243" t="s">
        <v>2013</v>
      </c>
      <c r="K4963" s="63" t="s">
        <v>5100</v>
      </c>
      <c r="L4963" s="58" t="s">
        <v>2737</v>
      </c>
      <c r="M4963" s="94">
        <f>38+32.5/60</f>
        <v>38.541666666666664</v>
      </c>
      <c r="N4963" s="94">
        <f>-121-52/60</f>
        <v>-121.86666666666666</v>
      </c>
      <c r="O4963" s="94">
        <v>27</v>
      </c>
      <c r="P4963" s="58"/>
      <c r="Q4963" s="244">
        <v>15.7</v>
      </c>
      <c r="R4963" s="58"/>
      <c r="S4963" s="245">
        <v>42.1</v>
      </c>
      <c r="T4963" s="58"/>
      <c r="U4963" s="244">
        <v>1</v>
      </c>
      <c r="V4963" s="244">
        <v>10</v>
      </c>
      <c r="W4963" s="174"/>
      <c r="X4963" s="174"/>
      <c r="Y4963" s="58" t="s">
        <v>5468</v>
      </c>
      <c r="Z4963" s="244" t="s">
        <v>1349</v>
      </c>
      <c r="AA4963" s="245">
        <v>15</v>
      </c>
      <c r="AB4963" s="67"/>
      <c r="AC4963" s="67"/>
      <c r="AD4963" s="94">
        <f>(1.11+1.38)/2</f>
        <v>1.2450000000000001</v>
      </c>
      <c r="AE4963" s="94"/>
      <c r="AF4963" s="94"/>
      <c r="AG4963" s="245">
        <v>35</v>
      </c>
      <c r="AH4963" s="58" t="s">
        <v>6378</v>
      </c>
      <c r="AI4963" s="169"/>
      <c r="AJ4963" s="94"/>
      <c r="AK4963" s="94"/>
      <c r="AL4963" s="58"/>
      <c r="AM4963" s="58" t="s">
        <v>5469</v>
      </c>
      <c r="AN4963" s="186" t="s">
        <v>553</v>
      </c>
      <c r="AO4963" s="185" t="s">
        <v>5150</v>
      </c>
      <c r="AP4963" s="58"/>
      <c r="AQ4963" s="58" t="s">
        <v>553</v>
      </c>
      <c r="AR4963" s="58" t="s">
        <v>116</v>
      </c>
      <c r="AS4963" s="58" t="s">
        <v>116</v>
      </c>
      <c r="AT4963" s="247" t="s">
        <v>176</v>
      </c>
      <c r="AU4963" s="181" t="s">
        <v>5150</v>
      </c>
      <c r="AV4963" s="185" t="s">
        <v>176</v>
      </c>
      <c r="AW4963" s="244" t="s">
        <v>176</v>
      </c>
      <c r="AX4963" s="185" t="s">
        <v>176</v>
      </c>
      <c r="AY4963" s="244" t="s">
        <v>176</v>
      </c>
      <c r="AZ4963" s="58"/>
      <c r="BA4963" s="58"/>
      <c r="BB4963" s="58"/>
      <c r="BC4963" s="58"/>
      <c r="BD4963" s="58"/>
      <c r="BE4963" s="236" t="s">
        <v>5193</v>
      </c>
      <c r="BF4963" s="191" t="s">
        <v>479</v>
      </c>
      <c r="BG4963" s="191" t="s">
        <v>479</v>
      </c>
      <c r="BH4963" s="236" t="s">
        <v>5261</v>
      </c>
      <c r="BI4963" s="191" t="s">
        <v>479</v>
      </c>
      <c r="BJ4963" s="58" t="str">
        <f>IF(BE4963=BH4963,"No","yes")</f>
        <v>yes</v>
      </c>
      <c r="BK4963" s="58" t="s">
        <v>6335</v>
      </c>
      <c r="BL4963" s="58"/>
      <c r="BM4963" s="237" t="s">
        <v>160</v>
      </c>
      <c r="BN4963" s="244">
        <v>5</v>
      </c>
      <c r="BO4963" s="244">
        <v>5</v>
      </c>
      <c r="BP4963" s="58"/>
      <c r="BQ4963" s="58"/>
      <c r="BR4963" s="58"/>
      <c r="BS4963" s="58"/>
      <c r="BT4963" s="58"/>
      <c r="BU4963" s="58"/>
      <c r="BV4963" s="58"/>
      <c r="BW4963" s="67"/>
      <c r="BX4963" s="67"/>
      <c r="BY4963" s="67"/>
      <c r="BZ4963" s="67"/>
      <c r="CA4963" s="67"/>
      <c r="CB4963" s="70"/>
      <c r="CC4963" s="70"/>
      <c r="CD4963" s="70"/>
      <c r="CE4963" s="67"/>
      <c r="CF4963" s="67"/>
      <c r="CG4963" s="67"/>
      <c r="CH4963" s="245"/>
      <c r="CI4963" s="245"/>
      <c r="CJ4963" s="67"/>
      <c r="CK4963" s="67"/>
      <c r="CL4963" s="67"/>
      <c r="CM4963" s="242">
        <f>CR4963/(100*100*0.15*1.245)*100</f>
        <v>1.0923694779116464</v>
      </c>
      <c r="CN4963" s="242">
        <f>CS4963/(100*100*0.15*1.245)*100</f>
        <v>1.012048192771084</v>
      </c>
      <c r="CO4963" s="242"/>
      <c r="CP4963" s="242"/>
      <c r="CQ4963" s="242" t="s">
        <v>164</v>
      </c>
      <c r="CR4963" s="242">
        <v>20.399999999999999</v>
      </c>
      <c r="CS4963" s="242">
        <v>18.899999999999999</v>
      </c>
      <c r="CT4963" s="242"/>
      <c r="CU4963" s="242"/>
      <c r="CV4963" s="242" t="s">
        <v>5151</v>
      </c>
      <c r="CW4963" s="242"/>
      <c r="CX4963" s="242"/>
      <c r="CY4963" s="242"/>
      <c r="CZ4963" s="242"/>
      <c r="DA4963" s="67" t="s">
        <v>5443</v>
      </c>
      <c r="DB4963" s="67"/>
      <c r="DC4963" s="67"/>
      <c r="DD4963" s="67"/>
      <c r="DE4963" s="67"/>
      <c r="DF4963" s="67"/>
      <c r="DG4963" s="67"/>
      <c r="DH4963" s="67"/>
      <c r="DI4963" s="67"/>
      <c r="DJ4963" s="67"/>
      <c r="DK4963" s="67"/>
      <c r="DL4963" s="67"/>
      <c r="DM4963" s="67"/>
      <c r="DN4963" s="67"/>
      <c r="DO4963" s="67"/>
      <c r="DP4963" s="67"/>
      <c r="DQ4963" s="166"/>
      <c r="DR4963" s="166"/>
      <c r="DS4963" s="163"/>
      <c r="DT4963" s="163"/>
      <c r="DU4963" s="67"/>
      <c r="DV4963" s="67"/>
      <c r="DW4963" s="67"/>
      <c r="DX4963" s="67"/>
      <c r="DY4963" s="67"/>
      <c r="DZ4963" s="67"/>
      <c r="EA4963" s="67"/>
      <c r="EB4963" s="67"/>
      <c r="EC4963" s="67"/>
      <c r="ED4963" s="67"/>
      <c r="EE4963" s="67"/>
      <c r="EF4963" s="67"/>
      <c r="EG4963" s="67"/>
      <c r="EH4963" s="67"/>
      <c r="EI4963" s="67"/>
      <c r="EJ4963" s="67"/>
      <c r="EK4963" s="94"/>
      <c r="EL4963" s="94"/>
      <c r="EM4963" s="67"/>
      <c r="EN4963" s="67"/>
      <c r="EO4963" s="67"/>
      <c r="EP4963" s="67"/>
      <c r="EQ4963" s="67"/>
      <c r="ER4963" s="67"/>
      <c r="ES4963" s="67"/>
      <c r="ET4963" s="67"/>
      <c r="EU4963" s="67"/>
      <c r="EV4963" s="67"/>
      <c r="EW4963" s="67"/>
      <c r="EX4963" s="67"/>
      <c r="EY4963" s="67"/>
      <c r="EZ4963" s="67"/>
      <c r="FA4963" s="67"/>
      <c r="FB4963" s="67"/>
      <c r="FC4963" s="67"/>
      <c r="FD4963" s="67"/>
      <c r="FE4963" s="67"/>
      <c r="FF4963" s="67"/>
      <c r="FG4963" s="67"/>
      <c r="FH4963" s="67"/>
      <c r="FI4963" s="67"/>
      <c r="FJ4963" s="67"/>
      <c r="FK4963" s="67"/>
      <c r="FL4963" s="67"/>
      <c r="FM4963" s="67"/>
      <c r="FN4963" s="67"/>
      <c r="FO4963" s="67"/>
      <c r="FP4963" s="67"/>
      <c r="FQ4963" s="67"/>
      <c r="FR4963" s="67"/>
      <c r="FS4963" s="67"/>
      <c r="FT4963" s="67"/>
      <c r="FU4963" s="67"/>
      <c r="FV4963" s="67"/>
      <c r="FW4963" s="67"/>
      <c r="FX4963" s="67"/>
      <c r="FY4963" s="67"/>
      <c r="FZ4963" s="67"/>
      <c r="GA4963" s="67"/>
      <c r="GB4963" s="67"/>
      <c r="GC4963" s="67"/>
      <c r="GD4963" s="67"/>
      <c r="GE4963" s="67"/>
      <c r="GF4963" s="67"/>
      <c r="GG4963" s="67"/>
      <c r="GH4963" s="67"/>
      <c r="GI4963" s="67"/>
      <c r="GJ4963" s="67"/>
      <c r="GK4963" s="67"/>
      <c r="GL4963" s="67"/>
      <c r="GM4963" s="67"/>
      <c r="GN4963" s="292"/>
      <c r="GO4963" s="292"/>
      <c r="GP4963" s="292" t="s">
        <v>7494</v>
      </c>
      <c r="GQ4963" s="67"/>
      <c r="GR4963" s="67"/>
      <c r="GS4963" s="67"/>
      <c r="GT4963" s="67"/>
      <c r="GU4963" s="67"/>
      <c r="GV4963" s="67"/>
      <c r="GW4963" s="67"/>
      <c r="GX4963" s="67"/>
      <c r="GY4963" s="67"/>
      <c r="GZ4963" s="67"/>
      <c r="HA4963" s="67"/>
      <c r="HB4963" s="67"/>
      <c r="HC4963" s="67"/>
      <c r="HD4963" s="67"/>
      <c r="HE4963" s="67"/>
      <c r="HF4963" s="67"/>
      <c r="HG4963" s="67"/>
      <c r="HH4963" s="67"/>
      <c r="HI4963" s="67"/>
      <c r="HJ4963" s="67"/>
      <c r="HK4963" s="67"/>
      <c r="HL4963" s="67"/>
      <c r="HM4963" s="67"/>
      <c r="HN4963" s="67"/>
      <c r="HO4963" s="67"/>
      <c r="HP4963" s="67"/>
      <c r="HQ4963" s="67"/>
      <c r="HR4963" s="67"/>
      <c r="HS4963" s="67"/>
      <c r="HT4963" s="67"/>
      <c r="HU4963" s="67"/>
      <c r="HV4963" s="67"/>
      <c r="HW4963" s="67"/>
      <c r="HX4963" s="67"/>
      <c r="HY4963" s="67"/>
      <c r="HZ4963" s="67"/>
      <c r="IA4963" s="67"/>
      <c r="IB4963" s="67"/>
      <c r="IC4963" s="67"/>
      <c r="ID4963" s="67"/>
      <c r="IE4963" s="67"/>
      <c r="IF4963" s="67"/>
      <c r="IG4963" s="67"/>
      <c r="IH4963" s="67"/>
      <c r="II4963" s="67"/>
      <c r="IJ4963" s="67"/>
      <c r="IK4963" s="67"/>
      <c r="IL4963" s="67"/>
      <c r="IM4963" s="67"/>
      <c r="IN4963" s="67"/>
      <c r="IO4963" s="67"/>
      <c r="IP4963" s="67"/>
      <c r="IQ4963" s="67"/>
      <c r="IR4963" s="67"/>
      <c r="IS4963" s="67"/>
      <c r="IT4963" s="67"/>
      <c r="IU4963" s="67"/>
      <c r="IV4963" s="67"/>
      <c r="IW4963" s="67"/>
      <c r="IX4963" s="67"/>
      <c r="IY4963" s="67"/>
      <c r="IZ4963" s="67"/>
      <c r="JA4963" s="67"/>
      <c r="JB4963" s="67"/>
      <c r="JC4963" s="67"/>
      <c r="JD4963" s="67"/>
      <c r="JE4963" s="67"/>
      <c r="JF4963" s="67"/>
      <c r="JG4963" s="67"/>
      <c r="JH4963" s="67"/>
      <c r="JI4963" s="67"/>
      <c r="JJ4963" s="67"/>
      <c r="JK4963" s="67"/>
      <c r="JL4963" s="67"/>
      <c r="JM4963" s="67"/>
      <c r="JN4963" s="67"/>
      <c r="JO4963" s="67"/>
      <c r="JP4963" s="67"/>
      <c r="JQ4963" s="67"/>
      <c r="JR4963" s="67"/>
      <c r="JS4963" s="67"/>
      <c r="JT4963" s="67"/>
      <c r="JU4963" s="58"/>
      <c r="JV4963" s="58"/>
      <c r="JW4963" s="58"/>
    </row>
    <row r="4964" spans="1:283" s="23" customFormat="1" x14ac:dyDescent="0.25">
      <c r="A4964" s="55">
        <v>4963</v>
      </c>
      <c r="B4964" s="12" t="s">
        <v>7067</v>
      </c>
      <c r="C4964" s="156">
        <v>243</v>
      </c>
      <c r="D4964" s="58" t="s">
        <v>4962</v>
      </c>
      <c r="E4964" s="160" t="str">
        <f>G4964</f>
        <v>Kong et al. 2005_pair 1</v>
      </c>
      <c r="F4964" s="160"/>
      <c r="G4964" s="60" t="s">
        <v>4766</v>
      </c>
      <c r="H4964" s="58">
        <v>2005</v>
      </c>
      <c r="I4964" s="58">
        <v>1993</v>
      </c>
      <c r="J4964" s="243" t="s">
        <v>2013</v>
      </c>
      <c r="K4964" s="63" t="s">
        <v>5100</v>
      </c>
      <c r="L4964" s="58" t="s">
        <v>2737</v>
      </c>
      <c r="M4964" s="94">
        <f>38+32.5/60</f>
        <v>38.541666666666664</v>
      </c>
      <c r="N4964" s="94">
        <f>-121-52/60</f>
        <v>-121.86666666666666</v>
      </c>
      <c r="O4964" s="94">
        <v>28</v>
      </c>
      <c r="P4964" s="58"/>
      <c r="Q4964" s="244">
        <v>15.7</v>
      </c>
      <c r="R4964" s="58"/>
      <c r="S4964" s="245">
        <v>42.1</v>
      </c>
      <c r="T4964" s="58"/>
      <c r="U4964" s="244">
        <v>1</v>
      </c>
      <c r="V4964" s="244">
        <v>10</v>
      </c>
      <c r="W4964" s="174"/>
      <c r="X4964" s="174"/>
      <c r="Y4964" s="58" t="s">
        <v>5468</v>
      </c>
      <c r="Z4964" s="244" t="s">
        <v>1349</v>
      </c>
      <c r="AA4964" s="245">
        <v>15</v>
      </c>
      <c r="AB4964" s="67"/>
      <c r="AC4964" s="67"/>
      <c r="AD4964" s="94">
        <f>(1.11+1.38)/2</f>
        <v>1.2450000000000001</v>
      </c>
      <c r="AE4964" s="94"/>
      <c r="AF4964" s="94"/>
      <c r="AG4964" s="245">
        <v>35</v>
      </c>
      <c r="AH4964" s="58" t="s">
        <v>6378</v>
      </c>
      <c r="AI4964" s="169"/>
      <c r="AJ4964" s="94"/>
      <c r="AK4964" s="94"/>
      <c r="AL4964" s="58"/>
      <c r="AM4964" s="58" t="s">
        <v>5469</v>
      </c>
      <c r="AN4964" s="186" t="s">
        <v>553</v>
      </c>
      <c r="AO4964" s="185" t="s">
        <v>5150</v>
      </c>
      <c r="AP4964" s="58"/>
      <c r="AQ4964" s="58" t="s">
        <v>553</v>
      </c>
      <c r="AR4964" s="58" t="s">
        <v>116</v>
      </c>
      <c r="AS4964" s="58" t="s">
        <v>116</v>
      </c>
      <c r="AT4964" s="247" t="s">
        <v>176</v>
      </c>
      <c r="AU4964" s="181" t="s">
        <v>5150</v>
      </c>
      <c r="AV4964" s="185" t="s">
        <v>176</v>
      </c>
      <c r="AW4964" s="244" t="s">
        <v>176</v>
      </c>
      <c r="AX4964" s="185" t="s">
        <v>176</v>
      </c>
      <c r="AY4964" s="244" t="s">
        <v>176</v>
      </c>
      <c r="AZ4964" s="58"/>
      <c r="BA4964" s="58"/>
      <c r="BB4964" s="58"/>
      <c r="BC4964" s="58"/>
      <c r="BD4964" s="58"/>
      <c r="BE4964" s="236" t="s">
        <v>5194</v>
      </c>
      <c r="BF4964" s="191" t="s">
        <v>479</v>
      </c>
      <c r="BG4964" s="191" t="s">
        <v>479</v>
      </c>
      <c r="BH4964" s="236" t="s">
        <v>5261</v>
      </c>
      <c r="BI4964" s="191" t="s">
        <v>479</v>
      </c>
      <c r="BJ4964" s="58" t="str">
        <f>IF(BE4964=BH4964,"No","yes")</f>
        <v>yes</v>
      </c>
      <c r="BK4964" s="58" t="s">
        <v>6335</v>
      </c>
      <c r="BL4964" s="58"/>
      <c r="BM4964" s="237" t="s">
        <v>160</v>
      </c>
      <c r="BN4964" s="244">
        <v>5</v>
      </c>
      <c r="BO4964" s="244">
        <v>5</v>
      </c>
      <c r="BP4964" s="58"/>
      <c r="BQ4964" s="58"/>
      <c r="BR4964" s="58"/>
      <c r="BS4964" s="58"/>
      <c r="BT4964" s="58"/>
      <c r="BU4964" s="58"/>
      <c r="BV4964" s="58"/>
      <c r="BW4964" s="67"/>
      <c r="BX4964" s="67"/>
      <c r="BY4964" s="67"/>
      <c r="BZ4964" s="67"/>
      <c r="CA4964" s="67"/>
      <c r="CB4964" s="70"/>
      <c r="CC4964" s="70"/>
      <c r="CD4964" s="70"/>
      <c r="CE4964" s="67"/>
      <c r="CF4964" s="67"/>
      <c r="CG4964" s="67"/>
      <c r="CH4964" s="245"/>
      <c r="CI4964" s="245"/>
      <c r="CJ4964" s="67"/>
      <c r="CK4964" s="67"/>
      <c r="CL4964" s="67"/>
      <c r="CM4964" s="242">
        <f>CR4964/(100*100*0.15*1.245)*100</f>
        <v>0.94779116465863433</v>
      </c>
      <c r="CN4964" s="242">
        <f>CS4964/(100*100*0.15*1.245)*100</f>
        <v>0.92101740294511358</v>
      </c>
      <c r="CO4964" s="242"/>
      <c r="CP4964" s="242"/>
      <c r="CQ4964" s="242" t="s">
        <v>164</v>
      </c>
      <c r="CR4964" s="242">
        <v>17.7</v>
      </c>
      <c r="CS4964" s="242">
        <v>17.2</v>
      </c>
      <c r="CT4964" s="242"/>
      <c r="CU4964" s="242"/>
      <c r="CV4964" s="242" t="s">
        <v>5151</v>
      </c>
      <c r="CW4964" s="242"/>
      <c r="CX4964" s="242"/>
      <c r="CY4964" s="242"/>
      <c r="CZ4964" s="242"/>
      <c r="DA4964" s="67" t="s">
        <v>5443</v>
      </c>
      <c r="DB4964" s="67"/>
      <c r="DC4964" s="67"/>
      <c r="DD4964" s="67"/>
      <c r="DE4964" s="67"/>
      <c r="DF4964" s="67"/>
      <c r="DG4964" s="67"/>
      <c r="DH4964" s="67"/>
      <c r="DI4964" s="67"/>
      <c r="DJ4964" s="67"/>
      <c r="DK4964" s="67"/>
      <c r="DL4964" s="67"/>
      <c r="DM4964" s="67"/>
      <c r="DN4964" s="67"/>
      <c r="DO4964" s="67"/>
      <c r="DP4964" s="67"/>
      <c r="DQ4964" s="166"/>
      <c r="DR4964" s="166"/>
      <c r="DS4964" s="163"/>
      <c r="DT4964" s="163"/>
      <c r="DU4964" s="67"/>
      <c r="DV4964" s="67"/>
      <c r="DW4964" s="67"/>
      <c r="DX4964" s="67"/>
      <c r="DY4964" s="67"/>
      <c r="DZ4964" s="67"/>
      <c r="EA4964" s="67"/>
      <c r="EB4964" s="67"/>
      <c r="EC4964" s="67"/>
      <c r="ED4964" s="67"/>
      <c r="EE4964" s="67"/>
      <c r="EF4964" s="67"/>
      <c r="EG4964" s="67"/>
      <c r="EH4964" s="67"/>
      <c r="EI4964" s="67"/>
      <c r="EJ4964" s="67"/>
      <c r="EK4964" s="94"/>
      <c r="EL4964" s="94"/>
      <c r="EM4964" s="67"/>
      <c r="EN4964" s="67"/>
      <c r="EO4964" s="67"/>
      <c r="EP4964" s="67"/>
      <c r="EQ4964" s="67"/>
      <c r="ER4964" s="67"/>
      <c r="ES4964" s="67"/>
      <c r="ET4964" s="67"/>
      <c r="EU4964" s="67"/>
      <c r="EV4964" s="67"/>
      <c r="EW4964" s="67"/>
      <c r="EX4964" s="67"/>
      <c r="EY4964" s="67"/>
      <c r="EZ4964" s="67"/>
      <c r="FA4964" s="67"/>
      <c r="FB4964" s="67"/>
      <c r="FC4964" s="67"/>
      <c r="FD4964" s="67"/>
      <c r="FE4964" s="67"/>
      <c r="FF4964" s="67"/>
      <c r="FG4964" s="67"/>
      <c r="FH4964" s="67"/>
      <c r="FI4964" s="67"/>
      <c r="FJ4964" s="67"/>
      <c r="FK4964" s="67"/>
      <c r="FL4964" s="67"/>
      <c r="FM4964" s="67"/>
      <c r="FN4964" s="67"/>
      <c r="FO4964" s="67"/>
      <c r="FP4964" s="67"/>
      <c r="FQ4964" s="67"/>
      <c r="FR4964" s="67"/>
      <c r="FS4964" s="67"/>
      <c r="FT4964" s="67"/>
      <c r="FU4964" s="67"/>
      <c r="FV4964" s="67"/>
      <c r="FW4964" s="67"/>
      <c r="FX4964" s="67"/>
      <c r="FY4964" s="67"/>
      <c r="FZ4964" s="67"/>
      <c r="GA4964" s="67"/>
      <c r="GB4964" s="67"/>
      <c r="GC4964" s="67"/>
      <c r="GD4964" s="67"/>
      <c r="GE4964" s="67"/>
      <c r="GF4964" s="67"/>
      <c r="GG4964" s="67"/>
      <c r="GH4964" s="67"/>
      <c r="GI4964" s="67"/>
      <c r="GJ4964" s="67"/>
      <c r="GK4964" s="67"/>
      <c r="GL4964" s="67"/>
      <c r="GM4964" s="67"/>
      <c r="GN4964" s="292"/>
      <c r="GO4964" s="292"/>
      <c r="GP4964" s="292" t="s">
        <v>7494</v>
      </c>
      <c r="GQ4964" s="67"/>
      <c r="GR4964" s="67"/>
      <c r="GS4964" s="67"/>
      <c r="GT4964" s="67"/>
      <c r="GU4964" s="67"/>
      <c r="GV4964" s="67"/>
      <c r="GW4964" s="67"/>
      <c r="GX4964" s="67"/>
      <c r="GY4964" s="67"/>
      <c r="GZ4964" s="67"/>
      <c r="HA4964" s="67"/>
      <c r="HB4964" s="67"/>
      <c r="HC4964" s="67"/>
      <c r="HD4964" s="67"/>
      <c r="HE4964" s="67"/>
      <c r="HF4964" s="67"/>
      <c r="HG4964" s="67"/>
      <c r="HH4964" s="67"/>
      <c r="HI4964" s="67"/>
      <c r="HJ4964" s="67"/>
      <c r="HK4964" s="67"/>
      <c r="HL4964" s="67"/>
      <c r="HM4964" s="67"/>
      <c r="HN4964" s="67"/>
      <c r="HO4964" s="67"/>
      <c r="HP4964" s="67"/>
      <c r="HQ4964" s="67"/>
      <c r="HR4964" s="67"/>
      <c r="HS4964" s="67"/>
      <c r="HT4964" s="67"/>
      <c r="HU4964" s="67"/>
      <c r="HV4964" s="67"/>
      <c r="HW4964" s="67"/>
      <c r="HX4964" s="67"/>
      <c r="HY4964" s="67"/>
      <c r="HZ4964" s="67"/>
      <c r="IA4964" s="67"/>
      <c r="IB4964" s="67"/>
      <c r="IC4964" s="67"/>
      <c r="ID4964" s="67"/>
      <c r="IE4964" s="67"/>
      <c r="IF4964" s="67"/>
      <c r="IG4964" s="67"/>
      <c r="IH4964" s="67"/>
      <c r="II4964" s="67"/>
      <c r="IJ4964" s="67"/>
      <c r="IK4964" s="67"/>
      <c r="IL4964" s="67"/>
      <c r="IM4964" s="67"/>
      <c r="IN4964" s="67"/>
      <c r="IO4964" s="67"/>
      <c r="IP4964" s="67"/>
      <c r="IQ4964" s="67"/>
      <c r="IR4964" s="67"/>
      <c r="IS4964" s="67"/>
      <c r="IT4964" s="67"/>
      <c r="IU4964" s="67"/>
      <c r="IV4964" s="67"/>
      <c r="IW4964" s="67"/>
      <c r="IX4964" s="67"/>
      <c r="IY4964" s="67"/>
      <c r="IZ4964" s="67"/>
      <c r="JA4964" s="67"/>
      <c r="JB4964" s="67"/>
      <c r="JC4964" s="67"/>
      <c r="JD4964" s="67"/>
      <c r="JE4964" s="67"/>
      <c r="JF4964" s="67"/>
      <c r="JG4964" s="67"/>
      <c r="JH4964" s="67"/>
      <c r="JI4964" s="67"/>
      <c r="JJ4964" s="67"/>
      <c r="JK4964" s="67"/>
      <c r="JL4964" s="67"/>
      <c r="JM4964" s="67"/>
      <c r="JN4964" s="67"/>
      <c r="JO4964" s="67"/>
      <c r="JP4964" s="67"/>
      <c r="JQ4964" s="67"/>
      <c r="JR4964" s="67"/>
      <c r="JS4964" s="67"/>
      <c r="JT4964" s="67"/>
      <c r="JU4964" s="58"/>
      <c r="JV4964" s="58"/>
      <c r="JW4964" s="58"/>
    </row>
    <row r="4965" spans="1:283" s="23" customFormat="1" x14ac:dyDescent="0.25">
      <c r="A4965" s="55">
        <v>4964</v>
      </c>
      <c r="B4965" s="12" t="s">
        <v>7067</v>
      </c>
      <c r="C4965" s="156">
        <v>243</v>
      </c>
      <c r="D4965" s="58" t="s">
        <v>4963</v>
      </c>
      <c r="E4965" s="160" t="str">
        <f>G4965</f>
        <v>Kong et al. 2005_pair 2</v>
      </c>
      <c r="F4965" s="160"/>
      <c r="G4965" s="60" t="s">
        <v>4765</v>
      </c>
      <c r="H4965" s="58">
        <v>2005</v>
      </c>
      <c r="I4965" s="58">
        <v>1993</v>
      </c>
      <c r="J4965" s="243" t="s">
        <v>2013</v>
      </c>
      <c r="K4965" s="63" t="s">
        <v>5100</v>
      </c>
      <c r="L4965" s="58" t="s">
        <v>2737</v>
      </c>
      <c r="M4965" s="94">
        <f>38+32.5/60</f>
        <v>38.541666666666664</v>
      </c>
      <c r="N4965" s="94">
        <f>-121-52/60</f>
        <v>-121.86666666666666</v>
      </c>
      <c r="O4965" s="94">
        <v>29</v>
      </c>
      <c r="P4965" s="58"/>
      <c r="Q4965" s="244">
        <v>15.7</v>
      </c>
      <c r="R4965" s="58"/>
      <c r="S4965" s="245">
        <v>42.1</v>
      </c>
      <c r="T4965" s="58"/>
      <c r="U4965" s="244">
        <v>1</v>
      </c>
      <c r="V4965" s="244">
        <v>10</v>
      </c>
      <c r="W4965" s="174"/>
      <c r="X4965" s="174"/>
      <c r="Y4965" s="58" t="s">
        <v>5468</v>
      </c>
      <c r="Z4965" s="244" t="s">
        <v>1349</v>
      </c>
      <c r="AA4965" s="245">
        <v>15</v>
      </c>
      <c r="AB4965" s="67"/>
      <c r="AC4965" s="67"/>
      <c r="AD4965" s="94">
        <f>(1.11+1.38)/2</f>
        <v>1.2450000000000001</v>
      </c>
      <c r="AE4965" s="94"/>
      <c r="AF4965" s="94"/>
      <c r="AG4965" s="245">
        <v>35</v>
      </c>
      <c r="AH4965" s="58" t="s">
        <v>6378</v>
      </c>
      <c r="AI4965" s="169"/>
      <c r="AJ4965" s="94"/>
      <c r="AK4965" s="94"/>
      <c r="AL4965" s="58"/>
      <c r="AM4965" s="58" t="s">
        <v>5469</v>
      </c>
      <c r="AN4965" s="186" t="s">
        <v>553</v>
      </c>
      <c r="AO4965" s="185" t="s">
        <v>5150</v>
      </c>
      <c r="AP4965" s="58"/>
      <c r="AQ4965" s="58" t="s">
        <v>553</v>
      </c>
      <c r="AR4965" s="58" t="s">
        <v>116</v>
      </c>
      <c r="AS4965" s="58" t="s">
        <v>116</v>
      </c>
      <c r="AT4965" s="247" t="s">
        <v>176</v>
      </c>
      <c r="AU4965" s="181" t="s">
        <v>5150</v>
      </c>
      <c r="AV4965" s="185" t="s">
        <v>176</v>
      </c>
      <c r="AW4965" s="244" t="s">
        <v>176</v>
      </c>
      <c r="AX4965" s="185" t="s">
        <v>176</v>
      </c>
      <c r="AY4965" s="244" t="s">
        <v>176</v>
      </c>
      <c r="AZ4965" s="58"/>
      <c r="BA4965" s="58"/>
      <c r="BB4965" s="58"/>
      <c r="BC4965" s="58"/>
      <c r="BD4965" s="58"/>
      <c r="BE4965" s="236" t="s">
        <v>5195</v>
      </c>
      <c r="BF4965" s="191" t="s">
        <v>479</v>
      </c>
      <c r="BG4965" s="191" t="s">
        <v>479</v>
      </c>
      <c r="BH4965" s="236" t="s">
        <v>5261</v>
      </c>
      <c r="BI4965" s="191" t="s">
        <v>479</v>
      </c>
      <c r="BJ4965" s="58" t="str">
        <f>IF(BE4965=BH4965,"No","yes")</f>
        <v>yes</v>
      </c>
      <c r="BK4965" s="58" t="s">
        <v>6335</v>
      </c>
      <c r="BL4965" s="58"/>
      <c r="BM4965" s="237" t="s">
        <v>160</v>
      </c>
      <c r="BN4965" s="244">
        <v>5</v>
      </c>
      <c r="BO4965" s="244">
        <v>5</v>
      </c>
      <c r="BP4965" s="58"/>
      <c r="BQ4965" s="58"/>
      <c r="BR4965" s="58"/>
      <c r="BS4965" s="58"/>
      <c r="BT4965" s="58"/>
      <c r="BU4965" s="58"/>
      <c r="BV4965" s="58"/>
      <c r="BW4965" s="67"/>
      <c r="BX4965" s="67"/>
      <c r="BY4965" s="67"/>
      <c r="BZ4965" s="67"/>
      <c r="CA4965" s="67"/>
      <c r="CB4965" s="70"/>
      <c r="CC4965" s="70"/>
      <c r="CD4965" s="70"/>
      <c r="CE4965" s="67"/>
      <c r="CF4965" s="67"/>
      <c r="CG4965" s="67"/>
      <c r="CH4965" s="245"/>
      <c r="CI4965" s="245"/>
      <c r="CJ4965" s="67"/>
      <c r="CK4965" s="67"/>
      <c r="CL4965" s="67"/>
      <c r="CM4965" s="242">
        <f>CR4965/(100*100*0.15*1.245)*100</f>
        <v>0.98527443105756352</v>
      </c>
      <c r="CN4965" s="242">
        <f>CS4965/(100*100*0.15*1.245)*100</f>
        <v>0.84605087014725555</v>
      </c>
      <c r="CO4965" s="242"/>
      <c r="CP4965" s="242"/>
      <c r="CQ4965" s="242" t="s">
        <v>164</v>
      </c>
      <c r="CR4965" s="242">
        <v>18.399999999999999</v>
      </c>
      <c r="CS4965" s="242">
        <v>15.8</v>
      </c>
      <c r="CT4965" s="242"/>
      <c r="CU4965" s="242"/>
      <c r="CV4965" s="242" t="s">
        <v>5151</v>
      </c>
      <c r="CW4965" s="242"/>
      <c r="CX4965" s="242"/>
      <c r="CY4965" s="242"/>
      <c r="CZ4965" s="242"/>
      <c r="DA4965" s="67" t="s">
        <v>5443</v>
      </c>
      <c r="DB4965" s="67"/>
      <c r="DC4965" s="67"/>
      <c r="DD4965" s="67"/>
      <c r="DE4965" s="67"/>
      <c r="DF4965" s="67"/>
      <c r="DG4965" s="67"/>
      <c r="DH4965" s="67"/>
      <c r="DI4965" s="67"/>
      <c r="DJ4965" s="67"/>
      <c r="DK4965" s="67"/>
      <c r="DL4965" s="67"/>
      <c r="DM4965" s="67"/>
      <c r="DN4965" s="67"/>
      <c r="DO4965" s="67"/>
      <c r="DP4965" s="67"/>
      <c r="DQ4965" s="166"/>
      <c r="DR4965" s="166"/>
      <c r="DS4965" s="163"/>
      <c r="DT4965" s="163"/>
      <c r="DU4965" s="67"/>
      <c r="DV4965" s="67"/>
      <c r="DW4965" s="67"/>
      <c r="DX4965" s="67"/>
      <c r="DY4965" s="67"/>
      <c r="DZ4965" s="67"/>
      <c r="EA4965" s="67"/>
      <c r="EB4965" s="67"/>
      <c r="EC4965" s="67"/>
      <c r="ED4965" s="67"/>
      <c r="EE4965" s="67"/>
      <c r="EF4965" s="67"/>
      <c r="EG4965" s="67"/>
      <c r="EH4965" s="67"/>
      <c r="EI4965" s="67"/>
      <c r="EJ4965" s="67"/>
      <c r="EK4965" s="94"/>
      <c r="EL4965" s="94"/>
      <c r="EM4965" s="67"/>
      <c r="EN4965" s="67"/>
      <c r="EO4965" s="67"/>
      <c r="EP4965" s="67"/>
      <c r="EQ4965" s="67"/>
      <c r="ER4965" s="67"/>
      <c r="ES4965" s="67"/>
      <c r="ET4965" s="67"/>
      <c r="EU4965" s="67"/>
      <c r="EV4965" s="67"/>
      <c r="EW4965" s="67"/>
      <c r="EX4965" s="67"/>
      <c r="EY4965" s="67"/>
      <c r="EZ4965" s="67"/>
      <c r="FA4965" s="67"/>
      <c r="FB4965" s="67"/>
      <c r="FC4965" s="67"/>
      <c r="FD4965" s="67"/>
      <c r="FE4965" s="67"/>
      <c r="FF4965" s="67"/>
      <c r="FG4965" s="67"/>
      <c r="FH4965" s="67"/>
      <c r="FI4965" s="67"/>
      <c r="FJ4965" s="67"/>
      <c r="FK4965" s="67"/>
      <c r="FL4965" s="67"/>
      <c r="FM4965" s="67"/>
      <c r="FN4965" s="67"/>
      <c r="FO4965" s="67"/>
      <c r="FP4965" s="67"/>
      <c r="FQ4965" s="67"/>
      <c r="FR4965" s="67"/>
      <c r="FS4965" s="67"/>
      <c r="FT4965" s="67"/>
      <c r="FU4965" s="67"/>
      <c r="FV4965" s="67"/>
      <c r="FW4965" s="67"/>
      <c r="FX4965" s="67"/>
      <c r="FY4965" s="67"/>
      <c r="FZ4965" s="67"/>
      <c r="GA4965" s="67"/>
      <c r="GB4965" s="67"/>
      <c r="GC4965" s="67"/>
      <c r="GD4965" s="67"/>
      <c r="GE4965" s="67"/>
      <c r="GF4965" s="67"/>
      <c r="GG4965" s="67"/>
      <c r="GH4965" s="67"/>
      <c r="GI4965" s="67"/>
      <c r="GJ4965" s="67"/>
      <c r="GK4965" s="67"/>
      <c r="GL4965" s="67"/>
      <c r="GM4965" s="67"/>
      <c r="GN4965" s="292"/>
      <c r="GO4965" s="292"/>
      <c r="GP4965" s="292" t="s">
        <v>7494</v>
      </c>
      <c r="GQ4965" s="67"/>
      <c r="GR4965" s="67"/>
      <c r="GS4965" s="67"/>
      <c r="GT4965" s="67"/>
      <c r="GU4965" s="67"/>
      <c r="GV4965" s="67"/>
      <c r="GW4965" s="67"/>
      <c r="GX4965" s="67"/>
      <c r="GY4965" s="67"/>
      <c r="GZ4965" s="67"/>
      <c r="HA4965" s="67"/>
      <c r="HB4965" s="67"/>
      <c r="HC4965" s="67"/>
      <c r="HD4965" s="67"/>
      <c r="HE4965" s="67"/>
      <c r="HF4965" s="67"/>
      <c r="HG4965" s="67"/>
      <c r="HH4965" s="67"/>
      <c r="HI4965" s="67"/>
      <c r="HJ4965" s="67"/>
      <c r="HK4965" s="67"/>
      <c r="HL4965" s="67"/>
      <c r="HM4965" s="67"/>
      <c r="HN4965" s="67"/>
      <c r="HO4965" s="67"/>
      <c r="HP4965" s="67"/>
      <c r="HQ4965" s="67"/>
      <c r="HR4965" s="67"/>
      <c r="HS4965" s="67"/>
      <c r="HT4965" s="67"/>
      <c r="HU4965" s="67"/>
      <c r="HV4965" s="67"/>
      <c r="HW4965" s="67"/>
      <c r="HX4965" s="67"/>
      <c r="HY4965" s="67"/>
      <c r="HZ4965" s="67"/>
      <c r="IA4965" s="67"/>
      <c r="IB4965" s="67"/>
      <c r="IC4965" s="67"/>
      <c r="ID4965" s="67"/>
      <c r="IE4965" s="67"/>
      <c r="IF4965" s="67"/>
      <c r="IG4965" s="67"/>
      <c r="IH4965" s="67"/>
      <c r="II4965" s="67"/>
      <c r="IJ4965" s="67"/>
      <c r="IK4965" s="67"/>
      <c r="IL4965" s="67"/>
      <c r="IM4965" s="67"/>
      <c r="IN4965" s="67"/>
      <c r="IO4965" s="67"/>
      <c r="IP4965" s="67"/>
      <c r="IQ4965" s="67"/>
      <c r="IR4965" s="67"/>
      <c r="IS4965" s="67"/>
      <c r="IT4965" s="67"/>
      <c r="IU4965" s="67"/>
      <c r="IV4965" s="67"/>
      <c r="IW4965" s="67"/>
      <c r="IX4965" s="67"/>
      <c r="IY4965" s="67"/>
      <c r="IZ4965" s="67"/>
      <c r="JA4965" s="67"/>
      <c r="JB4965" s="67"/>
      <c r="JC4965" s="67"/>
      <c r="JD4965" s="67"/>
      <c r="JE4965" s="67"/>
      <c r="JF4965" s="67"/>
      <c r="JG4965" s="67"/>
      <c r="JH4965" s="67"/>
      <c r="JI4965" s="67"/>
      <c r="JJ4965" s="67"/>
      <c r="JK4965" s="67"/>
      <c r="JL4965" s="67"/>
      <c r="JM4965" s="67"/>
      <c r="JN4965" s="67"/>
      <c r="JO4965" s="67"/>
      <c r="JP4965" s="67"/>
      <c r="JQ4965" s="67"/>
      <c r="JR4965" s="67"/>
      <c r="JS4965" s="67"/>
      <c r="JT4965" s="67"/>
      <c r="JU4965" s="58"/>
      <c r="JV4965" s="58"/>
      <c r="JW4965" s="58"/>
    </row>
    <row r="4966" spans="1:283" s="23" customFormat="1" x14ac:dyDescent="0.25">
      <c r="A4966" s="55">
        <v>4965</v>
      </c>
      <c r="B4966" s="12" t="s">
        <v>7067</v>
      </c>
      <c r="C4966" s="156">
        <v>243</v>
      </c>
      <c r="D4966" s="58" t="s">
        <v>4962</v>
      </c>
      <c r="E4966" s="160" t="str">
        <f>G4966</f>
        <v>Kong et al. 2005_pair 1</v>
      </c>
      <c r="F4966" s="160"/>
      <c r="G4966" s="60" t="s">
        <v>4766</v>
      </c>
      <c r="H4966" s="58">
        <v>2005</v>
      </c>
      <c r="I4966" s="58">
        <v>1993</v>
      </c>
      <c r="J4966" s="243" t="s">
        <v>2013</v>
      </c>
      <c r="K4966" s="63" t="s">
        <v>5100</v>
      </c>
      <c r="L4966" s="58" t="s">
        <v>2737</v>
      </c>
      <c r="M4966" s="94">
        <f>38+32.5/60</f>
        <v>38.541666666666664</v>
      </c>
      <c r="N4966" s="94">
        <f>-121-52/60</f>
        <v>-121.86666666666666</v>
      </c>
      <c r="O4966" s="94">
        <v>28</v>
      </c>
      <c r="P4966" s="58"/>
      <c r="Q4966" s="244">
        <v>15.7</v>
      </c>
      <c r="R4966" s="58"/>
      <c r="S4966" s="245">
        <v>42.1</v>
      </c>
      <c r="T4966" s="58"/>
      <c r="U4966" s="244">
        <v>1</v>
      </c>
      <c r="V4966" s="244">
        <v>10</v>
      </c>
      <c r="W4966" s="174"/>
      <c r="X4966" s="174"/>
      <c r="Y4966" s="58" t="s">
        <v>5468</v>
      </c>
      <c r="Z4966" s="244" t="s">
        <v>1349</v>
      </c>
      <c r="AA4966" s="245">
        <v>15</v>
      </c>
      <c r="AB4966" s="67"/>
      <c r="AC4966" s="67"/>
      <c r="AD4966" s="94">
        <f>(1.11+1.38)/2</f>
        <v>1.2450000000000001</v>
      </c>
      <c r="AE4966" s="94"/>
      <c r="AF4966" s="94"/>
      <c r="AG4966" s="245">
        <v>35</v>
      </c>
      <c r="AH4966" s="58" t="s">
        <v>6378</v>
      </c>
      <c r="AI4966" s="169"/>
      <c r="AJ4966" s="94"/>
      <c r="AK4966" s="94"/>
      <c r="AL4966" s="58"/>
      <c r="AM4966" s="58" t="s">
        <v>5469</v>
      </c>
      <c r="AN4966" s="186" t="s">
        <v>553</v>
      </c>
      <c r="AO4966" s="185" t="s">
        <v>5150</v>
      </c>
      <c r="AP4966" s="58"/>
      <c r="AQ4966" s="58" t="s">
        <v>553</v>
      </c>
      <c r="AR4966" s="58" t="s">
        <v>1607</v>
      </c>
      <c r="AS4966" s="58" t="s">
        <v>1607</v>
      </c>
      <c r="AT4966" s="247" t="s">
        <v>176</v>
      </c>
      <c r="AU4966" s="181" t="s">
        <v>5150</v>
      </c>
      <c r="AV4966" s="185" t="s">
        <v>176</v>
      </c>
      <c r="AW4966" s="244" t="s">
        <v>176</v>
      </c>
      <c r="AX4966" s="185" t="s">
        <v>176</v>
      </c>
      <c r="AY4966" s="244" t="s">
        <v>176</v>
      </c>
      <c r="AZ4966" s="58"/>
      <c r="BA4966" s="58"/>
      <c r="BB4966" s="58"/>
      <c r="BC4966" s="58"/>
      <c r="BD4966" s="58"/>
      <c r="BE4966" s="236" t="s">
        <v>5194</v>
      </c>
      <c r="BF4966" s="191" t="s">
        <v>479</v>
      </c>
      <c r="BG4966" s="191" t="s">
        <v>479</v>
      </c>
      <c r="BH4966" s="236" t="s">
        <v>5261</v>
      </c>
      <c r="BI4966" s="191" t="s">
        <v>479</v>
      </c>
      <c r="BJ4966" s="58" t="str">
        <f>IF(BE4966=BH4966,"No","yes")</f>
        <v>yes</v>
      </c>
      <c r="BK4966" s="58" t="s">
        <v>6335</v>
      </c>
      <c r="BL4966" s="58"/>
      <c r="BM4966" s="237" t="s">
        <v>160</v>
      </c>
      <c r="BN4966" s="244">
        <v>5</v>
      </c>
      <c r="BO4966" s="244">
        <v>5</v>
      </c>
      <c r="BP4966" s="58"/>
      <c r="BQ4966" s="58"/>
      <c r="BR4966" s="58"/>
      <c r="BS4966" s="58"/>
      <c r="BT4966" s="58"/>
      <c r="BU4966" s="58"/>
      <c r="BV4966" s="58"/>
      <c r="BW4966" s="67"/>
      <c r="BX4966" s="67"/>
      <c r="BY4966" s="67"/>
      <c r="BZ4966" s="67"/>
      <c r="CA4966" s="67"/>
      <c r="CB4966" s="70"/>
      <c r="CC4966" s="70"/>
      <c r="CD4966" s="70"/>
      <c r="CE4966" s="67"/>
      <c r="CF4966" s="67"/>
      <c r="CG4966" s="67"/>
      <c r="CH4966" s="245"/>
      <c r="CI4966" s="245"/>
      <c r="CJ4966" s="67"/>
      <c r="CK4966" s="67"/>
      <c r="CL4966" s="67"/>
      <c r="CM4966" s="242">
        <f>CR4966/(100*100*0.15*1.245)*100</f>
        <v>0.94779116465863433</v>
      </c>
      <c r="CN4966" s="242">
        <f>CS4966/(100*100*0.15*1.245)*100</f>
        <v>0.91030789825970548</v>
      </c>
      <c r="CO4966" s="242"/>
      <c r="CP4966" s="242"/>
      <c r="CQ4966" s="242" t="s">
        <v>164</v>
      </c>
      <c r="CR4966" s="242">
        <v>17.7</v>
      </c>
      <c r="CS4966" s="242">
        <v>17</v>
      </c>
      <c r="CT4966" s="242"/>
      <c r="CU4966" s="242"/>
      <c r="CV4966" s="242" t="s">
        <v>5151</v>
      </c>
      <c r="CW4966" s="242"/>
      <c r="CX4966" s="242"/>
      <c r="CY4966" s="242"/>
      <c r="CZ4966" s="242"/>
      <c r="DA4966" s="67" t="s">
        <v>5443</v>
      </c>
      <c r="DB4966" s="67"/>
      <c r="DC4966" s="67"/>
      <c r="DD4966" s="67"/>
      <c r="DE4966" s="67"/>
      <c r="DF4966" s="67"/>
      <c r="DG4966" s="67"/>
      <c r="DH4966" s="67"/>
      <c r="DI4966" s="67"/>
      <c r="DJ4966" s="67"/>
      <c r="DK4966" s="67"/>
      <c r="DL4966" s="67"/>
      <c r="DM4966" s="67"/>
      <c r="DN4966" s="67"/>
      <c r="DO4966" s="67"/>
      <c r="DP4966" s="67"/>
      <c r="DQ4966" s="166"/>
      <c r="DR4966" s="166"/>
      <c r="DS4966" s="163"/>
      <c r="DT4966" s="163"/>
      <c r="DU4966" s="67"/>
      <c r="DV4966" s="67"/>
      <c r="DW4966" s="67"/>
      <c r="DX4966" s="67"/>
      <c r="DY4966" s="67"/>
      <c r="DZ4966" s="67"/>
      <c r="EA4966" s="67"/>
      <c r="EB4966" s="67"/>
      <c r="EC4966" s="67"/>
      <c r="ED4966" s="67"/>
      <c r="EE4966" s="67"/>
      <c r="EF4966" s="67"/>
      <c r="EG4966" s="67"/>
      <c r="EH4966" s="67"/>
      <c r="EI4966" s="67"/>
      <c r="EJ4966" s="67"/>
      <c r="EK4966" s="94"/>
      <c r="EL4966" s="94"/>
      <c r="EM4966" s="67"/>
      <c r="EN4966" s="67"/>
      <c r="EO4966" s="67"/>
      <c r="EP4966" s="67"/>
      <c r="EQ4966" s="67"/>
      <c r="ER4966" s="67"/>
      <c r="ES4966" s="67"/>
      <c r="ET4966" s="67"/>
      <c r="EU4966" s="67"/>
      <c r="EV4966" s="67"/>
      <c r="EW4966" s="67"/>
      <c r="EX4966" s="67"/>
      <c r="EY4966" s="67"/>
      <c r="EZ4966" s="67"/>
      <c r="FA4966" s="67"/>
      <c r="FB4966" s="67"/>
      <c r="FC4966" s="67"/>
      <c r="FD4966" s="67"/>
      <c r="FE4966" s="67"/>
      <c r="FF4966" s="67"/>
      <c r="FG4966" s="67"/>
      <c r="FH4966" s="67"/>
      <c r="FI4966" s="67"/>
      <c r="FJ4966" s="67"/>
      <c r="FK4966" s="67"/>
      <c r="FL4966" s="67"/>
      <c r="FM4966" s="67"/>
      <c r="FN4966" s="67"/>
      <c r="FO4966" s="67"/>
      <c r="FP4966" s="67"/>
      <c r="FQ4966" s="67"/>
      <c r="FR4966" s="67"/>
      <c r="FS4966" s="67"/>
      <c r="FT4966" s="67"/>
      <c r="FU4966" s="67"/>
      <c r="FV4966" s="67"/>
      <c r="FW4966" s="67"/>
      <c r="FX4966" s="67"/>
      <c r="FY4966" s="67"/>
      <c r="FZ4966" s="67"/>
      <c r="GA4966" s="67"/>
      <c r="GB4966" s="67"/>
      <c r="GC4966" s="67"/>
      <c r="GD4966" s="67"/>
      <c r="GE4966" s="67"/>
      <c r="GF4966" s="67"/>
      <c r="GG4966" s="67"/>
      <c r="GH4966" s="67"/>
      <c r="GI4966" s="67"/>
      <c r="GJ4966" s="67"/>
      <c r="GK4966" s="67"/>
      <c r="GL4966" s="67"/>
      <c r="GM4966" s="67"/>
      <c r="GN4966" s="292"/>
      <c r="GO4966" s="292"/>
      <c r="GP4966" s="292" t="s">
        <v>7494</v>
      </c>
      <c r="GQ4966" s="67"/>
      <c r="GR4966" s="67"/>
      <c r="GS4966" s="67"/>
      <c r="GT4966" s="67"/>
      <c r="GU4966" s="67"/>
      <c r="GV4966" s="67"/>
      <c r="GW4966" s="67"/>
      <c r="GX4966" s="67"/>
      <c r="GY4966" s="67"/>
      <c r="GZ4966" s="67"/>
      <c r="HA4966" s="67"/>
      <c r="HB4966" s="67"/>
      <c r="HC4966" s="67"/>
      <c r="HD4966" s="67"/>
      <c r="HE4966" s="67"/>
      <c r="HF4966" s="67"/>
      <c r="HG4966" s="67"/>
      <c r="HH4966" s="67"/>
      <c r="HI4966" s="67"/>
      <c r="HJ4966" s="67"/>
      <c r="HK4966" s="67"/>
      <c r="HL4966" s="67"/>
      <c r="HM4966" s="67"/>
      <c r="HN4966" s="67"/>
      <c r="HO4966" s="67"/>
      <c r="HP4966" s="67"/>
      <c r="HQ4966" s="67"/>
      <c r="HR4966" s="67"/>
      <c r="HS4966" s="67"/>
      <c r="HT4966" s="67"/>
      <c r="HU4966" s="67"/>
      <c r="HV4966" s="67"/>
      <c r="HW4966" s="67"/>
      <c r="HX4966" s="67"/>
      <c r="HY4966" s="67"/>
      <c r="HZ4966" s="67"/>
      <c r="IA4966" s="67"/>
      <c r="IB4966" s="67"/>
      <c r="IC4966" s="67"/>
      <c r="ID4966" s="67"/>
      <c r="IE4966" s="67"/>
      <c r="IF4966" s="67"/>
      <c r="IG4966" s="67"/>
      <c r="IH4966" s="67"/>
      <c r="II4966" s="67"/>
      <c r="IJ4966" s="67"/>
      <c r="IK4966" s="67"/>
      <c r="IL4966" s="67"/>
      <c r="IM4966" s="67"/>
      <c r="IN4966" s="67"/>
      <c r="IO4966" s="67"/>
      <c r="IP4966" s="67"/>
      <c r="IQ4966" s="67"/>
      <c r="IR4966" s="67"/>
      <c r="IS4966" s="67"/>
      <c r="IT4966" s="67"/>
      <c r="IU4966" s="67"/>
      <c r="IV4966" s="67"/>
      <c r="IW4966" s="67"/>
      <c r="IX4966" s="67"/>
      <c r="IY4966" s="67"/>
      <c r="IZ4966" s="67"/>
      <c r="JA4966" s="67"/>
      <c r="JB4966" s="67"/>
      <c r="JC4966" s="67"/>
      <c r="JD4966" s="67"/>
      <c r="JE4966" s="67"/>
      <c r="JF4966" s="67"/>
      <c r="JG4966" s="67"/>
      <c r="JH4966" s="67"/>
      <c r="JI4966" s="67"/>
      <c r="JJ4966" s="67"/>
      <c r="JK4966" s="67"/>
      <c r="JL4966" s="67"/>
      <c r="JM4966" s="67"/>
      <c r="JN4966" s="67"/>
      <c r="JO4966" s="67"/>
      <c r="JP4966" s="67"/>
      <c r="JQ4966" s="67"/>
      <c r="JR4966" s="67"/>
      <c r="JS4966" s="67"/>
      <c r="JT4966" s="67"/>
      <c r="JU4966" s="58"/>
      <c r="JV4966" s="58"/>
      <c r="JW4966" s="58"/>
    </row>
    <row r="4967" spans="1:283" s="23" customFormat="1" x14ac:dyDescent="0.25">
      <c r="A4967" s="55">
        <v>4966</v>
      </c>
      <c r="B4967" s="12" t="s">
        <v>7067</v>
      </c>
      <c r="C4967" s="156">
        <v>243</v>
      </c>
      <c r="D4967" s="58" t="s">
        <v>4963</v>
      </c>
      <c r="E4967" s="160" t="str">
        <f>G4967</f>
        <v>Kong et al. 2005_pair 2</v>
      </c>
      <c r="F4967" s="160"/>
      <c r="G4967" s="60" t="s">
        <v>4765</v>
      </c>
      <c r="H4967" s="58">
        <v>2005</v>
      </c>
      <c r="I4967" s="58">
        <v>1993</v>
      </c>
      <c r="J4967" s="243" t="s">
        <v>2013</v>
      </c>
      <c r="K4967" s="63" t="s">
        <v>5100</v>
      </c>
      <c r="L4967" s="58" t="s">
        <v>2737</v>
      </c>
      <c r="M4967" s="94">
        <f>38+32.5/60</f>
        <v>38.541666666666664</v>
      </c>
      <c r="N4967" s="94">
        <f>-121-52/60</f>
        <v>-121.86666666666666</v>
      </c>
      <c r="O4967" s="94">
        <v>29</v>
      </c>
      <c r="P4967" s="58"/>
      <c r="Q4967" s="244">
        <v>15.7</v>
      </c>
      <c r="R4967" s="58"/>
      <c r="S4967" s="245">
        <v>42.1</v>
      </c>
      <c r="T4967" s="58"/>
      <c r="U4967" s="244">
        <v>1</v>
      </c>
      <c r="V4967" s="244">
        <v>10</v>
      </c>
      <c r="W4967" s="174"/>
      <c r="X4967" s="174"/>
      <c r="Y4967" s="58" t="s">
        <v>5468</v>
      </c>
      <c r="Z4967" s="244" t="s">
        <v>1349</v>
      </c>
      <c r="AA4967" s="245">
        <v>15</v>
      </c>
      <c r="AB4967" s="67"/>
      <c r="AC4967" s="67"/>
      <c r="AD4967" s="94">
        <f>(1.11+1.38)/2</f>
        <v>1.2450000000000001</v>
      </c>
      <c r="AE4967" s="94"/>
      <c r="AF4967" s="94"/>
      <c r="AG4967" s="245">
        <v>35</v>
      </c>
      <c r="AH4967" s="58" t="s">
        <v>6378</v>
      </c>
      <c r="AI4967" s="169"/>
      <c r="AJ4967" s="94"/>
      <c r="AK4967" s="94"/>
      <c r="AL4967" s="58"/>
      <c r="AM4967" s="58" t="s">
        <v>5469</v>
      </c>
      <c r="AN4967" s="186" t="s">
        <v>553</v>
      </c>
      <c r="AO4967" s="185" t="s">
        <v>5150</v>
      </c>
      <c r="AP4967" s="58"/>
      <c r="AQ4967" s="58" t="s">
        <v>553</v>
      </c>
      <c r="AR4967" s="58" t="s">
        <v>1607</v>
      </c>
      <c r="AS4967" s="58" t="s">
        <v>1607</v>
      </c>
      <c r="AT4967" s="247" t="s">
        <v>176</v>
      </c>
      <c r="AU4967" s="181" t="s">
        <v>5150</v>
      </c>
      <c r="AV4967" s="185" t="s">
        <v>176</v>
      </c>
      <c r="AW4967" s="244" t="s">
        <v>176</v>
      </c>
      <c r="AX4967" s="185" t="s">
        <v>176</v>
      </c>
      <c r="AY4967" s="244" t="s">
        <v>176</v>
      </c>
      <c r="AZ4967" s="58"/>
      <c r="BA4967" s="58"/>
      <c r="BB4967" s="58"/>
      <c r="BC4967" s="58"/>
      <c r="BD4967" s="58"/>
      <c r="BE4967" s="236" t="s">
        <v>5195</v>
      </c>
      <c r="BF4967" s="191" t="s">
        <v>479</v>
      </c>
      <c r="BG4967" s="191" t="s">
        <v>479</v>
      </c>
      <c r="BH4967" s="236" t="s">
        <v>5261</v>
      </c>
      <c r="BI4967" s="191" t="s">
        <v>479</v>
      </c>
      <c r="BJ4967" s="58" t="str">
        <f>IF(BE4967=BH4967,"No","yes")</f>
        <v>yes</v>
      </c>
      <c r="BK4967" s="58" t="s">
        <v>6335</v>
      </c>
      <c r="BL4967" s="58"/>
      <c r="BM4967" s="237" t="s">
        <v>160</v>
      </c>
      <c r="BN4967" s="244">
        <v>5</v>
      </c>
      <c r="BO4967" s="244">
        <v>5</v>
      </c>
      <c r="BP4967" s="58"/>
      <c r="BQ4967" s="58"/>
      <c r="BR4967" s="58"/>
      <c r="BS4967" s="58"/>
      <c r="BT4967" s="58"/>
      <c r="BU4967" s="58"/>
      <c r="BV4967" s="58"/>
      <c r="BW4967" s="67"/>
      <c r="BX4967" s="67"/>
      <c r="BY4967" s="67"/>
      <c r="BZ4967" s="67"/>
      <c r="CA4967" s="67"/>
      <c r="CB4967" s="70"/>
      <c r="CC4967" s="70"/>
      <c r="CD4967" s="70"/>
      <c r="CE4967" s="67"/>
      <c r="CF4967" s="67"/>
      <c r="CG4967" s="67"/>
      <c r="CH4967" s="245"/>
      <c r="CI4967" s="245"/>
      <c r="CJ4967" s="67"/>
      <c r="CK4967" s="67"/>
      <c r="CL4967" s="67"/>
      <c r="CM4967" s="242">
        <f>CR4967/(100*100*0.15*1.245)*100</f>
        <v>0.9263721552878178</v>
      </c>
      <c r="CN4967" s="242">
        <f>CS4967/(100*100*0.15*1.245)*100</f>
        <v>0.92101740294511358</v>
      </c>
      <c r="CO4967" s="242"/>
      <c r="CP4967" s="242"/>
      <c r="CQ4967" s="242" t="s">
        <v>164</v>
      </c>
      <c r="CR4967" s="242">
        <v>17.3</v>
      </c>
      <c r="CS4967" s="242">
        <v>17.2</v>
      </c>
      <c r="CT4967" s="242"/>
      <c r="CU4967" s="242"/>
      <c r="CV4967" s="242" t="s">
        <v>5151</v>
      </c>
      <c r="CW4967" s="242"/>
      <c r="CX4967" s="242"/>
      <c r="CY4967" s="242"/>
      <c r="CZ4967" s="242"/>
      <c r="DA4967" s="67" t="s">
        <v>5443</v>
      </c>
      <c r="DB4967" s="67"/>
      <c r="DC4967" s="67"/>
      <c r="DD4967" s="67"/>
      <c r="DE4967" s="67"/>
      <c r="DF4967" s="67"/>
      <c r="DG4967" s="67"/>
      <c r="DH4967" s="67"/>
      <c r="DI4967" s="67"/>
      <c r="DJ4967" s="67"/>
      <c r="DK4967" s="67"/>
      <c r="DL4967" s="67"/>
      <c r="DM4967" s="67"/>
      <c r="DN4967" s="67"/>
      <c r="DO4967" s="67"/>
      <c r="DP4967" s="67"/>
      <c r="DQ4967" s="166"/>
      <c r="DR4967" s="166"/>
      <c r="DS4967" s="163"/>
      <c r="DT4967" s="163"/>
      <c r="DU4967" s="67"/>
      <c r="DV4967" s="67"/>
      <c r="DW4967" s="67"/>
      <c r="DX4967" s="67"/>
      <c r="DY4967" s="67"/>
      <c r="DZ4967" s="67"/>
      <c r="EA4967" s="67"/>
      <c r="EB4967" s="67"/>
      <c r="EC4967" s="67"/>
      <c r="ED4967" s="67"/>
      <c r="EE4967" s="67"/>
      <c r="EF4967" s="67"/>
      <c r="EG4967" s="67"/>
      <c r="EH4967" s="67"/>
      <c r="EI4967" s="67"/>
      <c r="EJ4967" s="67"/>
      <c r="EK4967" s="94"/>
      <c r="EL4967" s="94"/>
      <c r="EM4967" s="67"/>
      <c r="EN4967" s="67"/>
      <c r="EO4967" s="67"/>
      <c r="EP4967" s="67"/>
      <c r="EQ4967" s="67"/>
      <c r="ER4967" s="67"/>
      <c r="ES4967" s="67"/>
      <c r="ET4967" s="67"/>
      <c r="EU4967" s="67"/>
      <c r="EV4967" s="67"/>
      <c r="EW4967" s="67"/>
      <c r="EX4967" s="67"/>
      <c r="EY4967" s="67"/>
      <c r="EZ4967" s="67"/>
      <c r="FA4967" s="67"/>
      <c r="FB4967" s="67"/>
      <c r="FC4967" s="67"/>
      <c r="FD4967" s="67"/>
      <c r="FE4967" s="67"/>
      <c r="FF4967" s="67"/>
      <c r="FG4967" s="67"/>
      <c r="FH4967" s="67"/>
      <c r="FI4967" s="67"/>
      <c r="FJ4967" s="67"/>
      <c r="FK4967" s="67"/>
      <c r="FL4967" s="67"/>
      <c r="FM4967" s="67"/>
      <c r="FN4967" s="67"/>
      <c r="FO4967" s="67"/>
      <c r="FP4967" s="67"/>
      <c r="FQ4967" s="67"/>
      <c r="FR4967" s="67"/>
      <c r="FS4967" s="67"/>
      <c r="FT4967" s="67"/>
      <c r="FU4967" s="67"/>
      <c r="FV4967" s="67"/>
      <c r="FW4967" s="67"/>
      <c r="FX4967" s="67"/>
      <c r="FY4967" s="67"/>
      <c r="FZ4967" s="67"/>
      <c r="GA4967" s="67"/>
      <c r="GB4967" s="67"/>
      <c r="GC4967" s="67"/>
      <c r="GD4967" s="67"/>
      <c r="GE4967" s="67"/>
      <c r="GF4967" s="67"/>
      <c r="GG4967" s="67"/>
      <c r="GH4967" s="67"/>
      <c r="GI4967" s="67"/>
      <c r="GJ4967" s="67"/>
      <c r="GK4967" s="67"/>
      <c r="GL4967" s="67"/>
      <c r="GM4967" s="67"/>
      <c r="GN4967" s="292"/>
      <c r="GO4967" s="292"/>
      <c r="GP4967" s="292" t="s">
        <v>7494</v>
      </c>
      <c r="GQ4967" s="67"/>
      <c r="GR4967" s="67"/>
      <c r="GS4967" s="67"/>
      <c r="GT4967" s="67"/>
      <c r="GU4967" s="67"/>
      <c r="GV4967" s="67"/>
      <c r="GW4967" s="67"/>
      <c r="GX4967" s="67"/>
      <c r="GY4967" s="67"/>
      <c r="GZ4967" s="67"/>
      <c r="HA4967" s="67"/>
      <c r="HB4967" s="67"/>
      <c r="HC4967" s="67"/>
      <c r="HD4967" s="67"/>
      <c r="HE4967" s="67"/>
      <c r="HF4967" s="67"/>
      <c r="HG4967" s="67"/>
      <c r="HH4967" s="67"/>
      <c r="HI4967" s="67"/>
      <c r="HJ4967" s="67"/>
      <c r="HK4967" s="67"/>
      <c r="HL4967" s="67"/>
      <c r="HM4967" s="67"/>
      <c r="HN4967" s="67"/>
      <c r="HO4967" s="67"/>
      <c r="HP4967" s="67"/>
      <c r="HQ4967" s="67"/>
      <c r="HR4967" s="67"/>
      <c r="HS4967" s="67"/>
      <c r="HT4967" s="67"/>
      <c r="HU4967" s="67"/>
      <c r="HV4967" s="67"/>
      <c r="HW4967" s="67"/>
      <c r="HX4967" s="67"/>
      <c r="HY4967" s="67"/>
      <c r="HZ4967" s="67"/>
      <c r="IA4967" s="67"/>
      <c r="IB4967" s="67"/>
      <c r="IC4967" s="67"/>
      <c r="ID4967" s="67"/>
      <c r="IE4967" s="67"/>
      <c r="IF4967" s="67"/>
      <c r="IG4967" s="67"/>
      <c r="IH4967" s="67"/>
      <c r="II4967" s="67"/>
      <c r="IJ4967" s="67"/>
      <c r="IK4967" s="67"/>
      <c r="IL4967" s="67"/>
      <c r="IM4967" s="67"/>
      <c r="IN4967" s="67"/>
      <c r="IO4967" s="67"/>
      <c r="IP4967" s="67"/>
      <c r="IQ4967" s="67"/>
      <c r="IR4967" s="67"/>
      <c r="IS4967" s="67"/>
      <c r="IT4967" s="67"/>
      <c r="IU4967" s="67"/>
      <c r="IV4967" s="67"/>
      <c r="IW4967" s="67"/>
      <c r="IX4967" s="67"/>
      <c r="IY4967" s="67"/>
      <c r="IZ4967" s="67"/>
      <c r="JA4967" s="67"/>
      <c r="JB4967" s="67"/>
      <c r="JC4967" s="67"/>
      <c r="JD4967" s="67"/>
      <c r="JE4967" s="67"/>
      <c r="JF4967" s="67"/>
      <c r="JG4967" s="67"/>
      <c r="JH4967" s="67"/>
      <c r="JI4967" s="67"/>
      <c r="JJ4967" s="67"/>
      <c r="JK4967" s="67"/>
      <c r="JL4967" s="67"/>
      <c r="JM4967" s="67"/>
      <c r="JN4967" s="67"/>
      <c r="JO4967" s="67"/>
      <c r="JP4967" s="67"/>
      <c r="JQ4967" s="67"/>
      <c r="JR4967" s="67"/>
      <c r="JS4967" s="67"/>
      <c r="JT4967" s="67"/>
      <c r="JU4967" s="58"/>
      <c r="JV4967" s="58"/>
      <c r="JW4967" s="58"/>
    </row>
    <row r="4968" spans="1:283" s="23" customFormat="1" x14ac:dyDescent="0.25">
      <c r="A4968" s="55">
        <v>4967</v>
      </c>
      <c r="B4968" s="12" t="s">
        <v>7067</v>
      </c>
      <c r="C4968" s="156">
        <v>243</v>
      </c>
      <c r="D4968" s="58" t="s">
        <v>4961</v>
      </c>
      <c r="E4968" s="160" t="str">
        <f>G4968</f>
        <v>Kong et al 2005_pair 3</v>
      </c>
      <c r="F4968" s="160"/>
      <c r="G4968" s="60" t="s">
        <v>4767</v>
      </c>
      <c r="H4968" s="58">
        <v>2005</v>
      </c>
      <c r="I4968" s="58">
        <v>2003</v>
      </c>
      <c r="J4968" s="243" t="s">
        <v>2013</v>
      </c>
      <c r="K4968" s="63" t="s">
        <v>5100</v>
      </c>
      <c r="L4968" s="58" t="s">
        <v>2737</v>
      </c>
      <c r="M4968" s="94">
        <f>38+32.5/60</f>
        <v>38.541666666666664</v>
      </c>
      <c r="N4968" s="94">
        <f>-121-52/60</f>
        <v>-121.86666666666666</v>
      </c>
      <c r="O4968" s="94">
        <v>27</v>
      </c>
      <c r="P4968" s="58"/>
      <c r="Q4968" s="244">
        <v>15.7</v>
      </c>
      <c r="R4968" s="58"/>
      <c r="S4968" s="245">
        <v>42.1</v>
      </c>
      <c r="T4968" s="58"/>
      <c r="U4968" s="244">
        <v>10</v>
      </c>
      <c r="V4968" s="244">
        <v>10</v>
      </c>
      <c r="W4968" s="174"/>
      <c r="X4968" s="174"/>
      <c r="Y4968" s="58" t="s">
        <v>5468</v>
      </c>
      <c r="Z4968" s="244" t="s">
        <v>1349</v>
      </c>
      <c r="AA4968" s="245">
        <v>15</v>
      </c>
      <c r="AB4968" s="67"/>
      <c r="AC4968" s="67"/>
      <c r="AD4968" s="94">
        <f>(1.11+1.38)/2</f>
        <v>1.2450000000000001</v>
      </c>
      <c r="AE4968" s="94"/>
      <c r="AF4968" s="94"/>
      <c r="AG4968" s="245">
        <v>35</v>
      </c>
      <c r="AH4968" s="58" t="s">
        <v>6378</v>
      </c>
      <c r="AI4968" s="169"/>
      <c r="AJ4968" s="94"/>
      <c r="AK4968" s="94"/>
      <c r="AL4968" s="58"/>
      <c r="AM4968" s="58" t="s">
        <v>5469</v>
      </c>
      <c r="AN4968" s="186" t="s">
        <v>553</v>
      </c>
      <c r="AO4968" s="185" t="s">
        <v>5150</v>
      </c>
      <c r="AP4968" s="58"/>
      <c r="AQ4968" s="58" t="s">
        <v>553</v>
      </c>
      <c r="AR4968" s="58" t="s">
        <v>116</v>
      </c>
      <c r="AS4968" s="58" t="s">
        <v>116</v>
      </c>
      <c r="AT4968" s="247" t="s">
        <v>176</v>
      </c>
      <c r="AU4968" s="181" t="s">
        <v>5150</v>
      </c>
      <c r="AV4968" s="185" t="s">
        <v>176</v>
      </c>
      <c r="AW4968" s="244" t="s">
        <v>176</v>
      </c>
      <c r="AX4968" s="185" t="s">
        <v>176</v>
      </c>
      <c r="AY4968" s="244" t="s">
        <v>176</v>
      </c>
      <c r="AZ4968" s="58"/>
      <c r="BA4968" s="58"/>
      <c r="BB4968" s="58"/>
      <c r="BC4968" s="58"/>
      <c r="BD4968" s="58"/>
      <c r="BE4968" s="236" t="s">
        <v>5193</v>
      </c>
      <c r="BF4968" s="191" t="s">
        <v>479</v>
      </c>
      <c r="BG4968" s="191" t="s">
        <v>479</v>
      </c>
      <c r="BH4968" s="236" t="s">
        <v>5261</v>
      </c>
      <c r="BI4968" s="191" t="s">
        <v>479</v>
      </c>
      <c r="BJ4968" s="58" t="str">
        <f>IF(BE4968=BH4968,"No","yes")</f>
        <v>yes</v>
      </c>
      <c r="BK4968" s="58" t="s">
        <v>6335</v>
      </c>
      <c r="BL4968" s="58"/>
      <c r="BM4968" s="237" t="s">
        <v>160</v>
      </c>
      <c r="BN4968" s="244">
        <v>5</v>
      </c>
      <c r="BO4968" s="244">
        <v>5</v>
      </c>
      <c r="BP4968" s="58"/>
      <c r="BQ4968" s="58"/>
      <c r="BR4968" s="58"/>
      <c r="BS4968" s="58"/>
      <c r="BT4968" s="58"/>
      <c r="BU4968" s="58"/>
      <c r="BV4968" s="58"/>
      <c r="BW4968" s="67"/>
      <c r="BX4968" s="67"/>
      <c r="BY4968" s="67"/>
      <c r="BZ4968" s="67"/>
      <c r="CA4968" s="67"/>
      <c r="CB4968" s="70"/>
      <c r="CC4968" s="70"/>
      <c r="CD4968" s="70"/>
      <c r="CE4968" s="67"/>
      <c r="CF4968" s="67"/>
      <c r="CG4968" s="67"/>
      <c r="CH4968" s="245"/>
      <c r="CI4968" s="245"/>
      <c r="CJ4968" s="67"/>
      <c r="CK4968" s="67"/>
      <c r="CL4968" s="67"/>
      <c r="CM4968" s="242">
        <f>CR4968/(100*100*0.15*1.245)*100</f>
        <v>0.90495314591700127</v>
      </c>
      <c r="CN4968" s="242">
        <f>CS4968/(100*100*0.15*1.245)*100</f>
        <v>1.0495314591700133</v>
      </c>
      <c r="CO4968" s="242"/>
      <c r="CP4968" s="242"/>
      <c r="CQ4968" s="242" t="s">
        <v>164</v>
      </c>
      <c r="CR4968" s="242">
        <v>16.899999999999999</v>
      </c>
      <c r="CS4968" s="242">
        <v>19.600000000000001</v>
      </c>
      <c r="CT4968" s="242"/>
      <c r="CU4968" s="242"/>
      <c r="CV4968" s="242" t="s">
        <v>5151</v>
      </c>
      <c r="CW4968" s="242">
        <f>(CR4968-CR4963)*1000</f>
        <v>-3500</v>
      </c>
      <c r="CX4968" s="242">
        <f>(CS4968-CS4963)*1000</f>
        <v>700.00000000000284</v>
      </c>
      <c r="CY4968" s="242"/>
      <c r="CZ4968" s="242"/>
      <c r="DA4968" s="67" t="s">
        <v>5443</v>
      </c>
      <c r="DB4968" s="67"/>
      <c r="DC4968" s="67"/>
      <c r="DD4968" s="67"/>
      <c r="DE4968" s="67"/>
      <c r="DF4968" s="67"/>
      <c r="DG4968" s="67"/>
      <c r="DH4968" s="67"/>
      <c r="DI4968" s="67"/>
      <c r="DJ4968" s="67"/>
      <c r="DK4968" s="67"/>
      <c r="DL4968" s="67"/>
      <c r="DM4968" s="67"/>
      <c r="DN4968" s="67"/>
      <c r="DO4968" s="67"/>
      <c r="DP4968" s="67"/>
      <c r="DQ4968" s="166"/>
      <c r="DR4968" s="166"/>
      <c r="DS4968" s="163"/>
      <c r="DT4968" s="163"/>
      <c r="DU4968" s="67"/>
      <c r="DV4968" s="67"/>
      <c r="DW4968" s="67"/>
      <c r="DX4968" s="67"/>
      <c r="DY4968" s="67"/>
      <c r="DZ4968" s="67"/>
      <c r="EA4968" s="67"/>
      <c r="EB4968" s="67"/>
      <c r="EC4968" s="67"/>
      <c r="ED4968" s="67"/>
      <c r="EE4968" s="67"/>
      <c r="EF4968" s="67"/>
      <c r="EG4968" s="67"/>
      <c r="EH4968" s="67"/>
      <c r="EI4968" s="67"/>
      <c r="EJ4968" s="67"/>
      <c r="EK4968" s="94"/>
      <c r="EL4968" s="94"/>
      <c r="EM4968" s="67"/>
      <c r="EN4968" s="67"/>
      <c r="EO4968" s="67"/>
      <c r="EP4968" s="67"/>
      <c r="EQ4968" s="67"/>
      <c r="ER4968" s="67"/>
      <c r="ES4968" s="67"/>
      <c r="ET4968" s="67"/>
      <c r="EU4968" s="67"/>
      <c r="EV4968" s="67"/>
      <c r="EW4968" s="67"/>
      <c r="EX4968" s="67"/>
      <c r="EY4968" s="67"/>
      <c r="EZ4968" s="67"/>
      <c r="FA4968" s="67"/>
      <c r="FB4968" s="67"/>
      <c r="FC4968" s="67"/>
      <c r="FD4968" s="67"/>
      <c r="FE4968" s="67"/>
      <c r="FF4968" s="67"/>
      <c r="FG4968" s="67"/>
      <c r="FH4968" s="67"/>
      <c r="FI4968" s="67"/>
      <c r="FJ4968" s="67"/>
      <c r="FK4968" s="67"/>
      <c r="FL4968" s="67"/>
      <c r="FM4968" s="67"/>
      <c r="FN4968" s="67"/>
      <c r="FO4968" s="67"/>
      <c r="FP4968" s="67"/>
      <c r="FQ4968" s="67"/>
      <c r="FR4968" s="67"/>
      <c r="FS4968" s="67"/>
      <c r="FT4968" s="67"/>
      <c r="FU4968" s="67"/>
      <c r="FV4968" s="67"/>
      <c r="FW4968" s="67"/>
      <c r="FX4968" s="67"/>
      <c r="FY4968" s="67"/>
      <c r="FZ4968" s="67"/>
      <c r="GA4968" s="67"/>
      <c r="GB4968" s="67"/>
      <c r="GC4968" s="67"/>
      <c r="GD4968" s="67"/>
      <c r="GE4968" s="67"/>
      <c r="GF4968" s="67"/>
      <c r="GG4968" s="67"/>
      <c r="GH4968" s="67"/>
      <c r="GI4968" s="67"/>
      <c r="GJ4968" s="67"/>
      <c r="GK4968" s="67"/>
      <c r="GL4968" s="67"/>
      <c r="GM4968" s="67"/>
      <c r="GN4968" s="292"/>
      <c r="GO4968" s="292"/>
      <c r="GP4968" s="292" t="s">
        <v>7494</v>
      </c>
      <c r="GQ4968" s="67"/>
      <c r="GR4968" s="67"/>
      <c r="GS4968" s="67"/>
      <c r="GT4968" s="67"/>
      <c r="GU4968" s="67"/>
      <c r="GV4968" s="67"/>
      <c r="GW4968" s="67"/>
      <c r="GX4968" s="67"/>
      <c r="GY4968" s="67"/>
      <c r="GZ4968" s="67"/>
      <c r="HA4968" s="67"/>
      <c r="HB4968" s="67"/>
      <c r="HC4968" s="67"/>
      <c r="HD4968" s="67"/>
      <c r="HE4968" s="67"/>
      <c r="HF4968" s="67"/>
      <c r="HG4968" s="67"/>
      <c r="HH4968" s="67"/>
      <c r="HI4968" s="67"/>
      <c r="HJ4968" s="67"/>
      <c r="HK4968" s="67"/>
      <c r="HL4968" s="67"/>
      <c r="HM4968" s="67"/>
      <c r="HN4968" s="67"/>
      <c r="HO4968" s="67"/>
      <c r="HP4968" s="67"/>
      <c r="HQ4968" s="67"/>
      <c r="HR4968" s="67"/>
      <c r="HS4968" s="67"/>
      <c r="HT4968" s="67"/>
      <c r="HU4968" s="67"/>
      <c r="HV4968" s="67"/>
      <c r="HW4968" s="67"/>
      <c r="HX4968" s="67"/>
      <c r="HY4968" s="67"/>
      <c r="HZ4968" s="67"/>
      <c r="IA4968" s="67"/>
      <c r="IB4968" s="67"/>
      <c r="IC4968" s="67"/>
      <c r="ID4968" s="67"/>
      <c r="IE4968" s="67"/>
      <c r="IF4968" s="67"/>
      <c r="IG4968" s="67"/>
      <c r="IH4968" s="67"/>
      <c r="II4968" s="67"/>
      <c r="IJ4968" s="67"/>
      <c r="IK4968" s="67"/>
      <c r="IL4968" s="67"/>
      <c r="IM4968" s="67"/>
      <c r="IN4968" s="67"/>
      <c r="IO4968" s="67"/>
      <c r="IP4968" s="67"/>
      <c r="IQ4968" s="67"/>
      <c r="IR4968" s="67"/>
      <c r="IS4968" s="67"/>
      <c r="IT4968" s="67"/>
      <c r="IU4968" s="67"/>
      <c r="IV4968" s="67"/>
      <c r="IW4968" s="67"/>
      <c r="IX4968" s="67"/>
      <c r="IY4968" s="67"/>
      <c r="IZ4968" s="67"/>
      <c r="JA4968" s="67"/>
      <c r="JB4968" s="67"/>
      <c r="JC4968" s="67"/>
      <c r="JD4968" s="67"/>
      <c r="JE4968" s="67"/>
      <c r="JF4968" s="67"/>
      <c r="JG4968" s="67"/>
      <c r="JH4968" s="67"/>
      <c r="JI4968" s="67"/>
      <c r="JJ4968" s="67"/>
      <c r="JK4968" s="67"/>
      <c r="JL4968" s="67"/>
      <c r="JM4968" s="67"/>
      <c r="JN4968" s="67"/>
      <c r="JO4968" s="67"/>
      <c r="JP4968" s="67"/>
      <c r="JQ4968" s="67"/>
      <c r="JR4968" s="67"/>
      <c r="JS4968" s="67"/>
      <c r="JT4968" s="67"/>
      <c r="JU4968" s="58"/>
      <c r="JV4968" s="58"/>
      <c r="JW4968" s="58"/>
    </row>
    <row r="4969" spans="1:283" s="23" customFormat="1" x14ac:dyDescent="0.25">
      <c r="A4969" s="55">
        <v>4968</v>
      </c>
      <c r="B4969" s="12" t="s">
        <v>7067</v>
      </c>
      <c r="C4969" s="156">
        <v>243</v>
      </c>
      <c r="D4969" s="58" t="s">
        <v>4962</v>
      </c>
      <c r="E4969" s="160" t="str">
        <f>G4969</f>
        <v>Kong et al. 2005_pair 1</v>
      </c>
      <c r="F4969" s="160"/>
      <c r="G4969" s="60" t="s">
        <v>4766</v>
      </c>
      <c r="H4969" s="58">
        <v>2005</v>
      </c>
      <c r="I4969" s="58">
        <v>2003</v>
      </c>
      <c r="J4969" s="243" t="s">
        <v>2013</v>
      </c>
      <c r="K4969" s="63" t="s">
        <v>5100</v>
      </c>
      <c r="L4969" s="58" t="s">
        <v>2737</v>
      </c>
      <c r="M4969" s="94">
        <f>38+32.5/60</f>
        <v>38.541666666666664</v>
      </c>
      <c r="N4969" s="94">
        <f>-121-52/60</f>
        <v>-121.86666666666666</v>
      </c>
      <c r="O4969" s="94">
        <v>28</v>
      </c>
      <c r="P4969" s="58"/>
      <c r="Q4969" s="244">
        <v>15.7</v>
      </c>
      <c r="R4969" s="58"/>
      <c r="S4969" s="245">
        <v>42.1</v>
      </c>
      <c r="T4969" s="58"/>
      <c r="U4969" s="244">
        <v>10</v>
      </c>
      <c r="V4969" s="244">
        <v>10</v>
      </c>
      <c r="W4969" s="174"/>
      <c r="X4969" s="174"/>
      <c r="Y4969" s="58" t="s">
        <v>5468</v>
      </c>
      <c r="Z4969" s="244" t="s">
        <v>1349</v>
      </c>
      <c r="AA4969" s="245">
        <v>15</v>
      </c>
      <c r="AB4969" s="67"/>
      <c r="AC4969" s="67"/>
      <c r="AD4969" s="94">
        <f>(1.11+1.38)/2</f>
        <v>1.2450000000000001</v>
      </c>
      <c r="AE4969" s="94"/>
      <c r="AF4969" s="94"/>
      <c r="AG4969" s="245">
        <v>35</v>
      </c>
      <c r="AH4969" s="58" t="s">
        <v>6378</v>
      </c>
      <c r="AI4969" s="169"/>
      <c r="AJ4969" s="94"/>
      <c r="AK4969" s="94"/>
      <c r="AL4969" s="58"/>
      <c r="AM4969" s="58" t="s">
        <v>5469</v>
      </c>
      <c r="AN4969" s="186" t="s">
        <v>553</v>
      </c>
      <c r="AO4969" s="185" t="s">
        <v>5150</v>
      </c>
      <c r="AP4969" s="58"/>
      <c r="AQ4969" s="58" t="s">
        <v>553</v>
      </c>
      <c r="AR4969" s="58" t="s">
        <v>116</v>
      </c>
      <c r="AS4969" s="58" t="s">
        <v>116</v>
      </c>
      <c r="AT4969" s="247" t="s">
        <v>176</v>
      </c>
      <c r="AU4969" s="181" t="s">
        <v>5150</v>
      </c>
      <c r="AV4969" s="185" t="s">
        <v>176</v>
      </c>
      <c r="AW4969" s="244" t="s">
        <v>176</v>
      </c>
      <c r="AX4969" s="185" t="s">
        <v>176</v>
      </c>
      <c r="AY4969" s="244" t="s">
        <v>176</v>
      </c>
      <c r="AZ4969" s="58"/>
      <c r="BA4969" s="58"/>
      <c r="BB4969" s="58"/>
      <c r="BC4969" s="58"/>
      <c r="BD4969" s="58"/>
      <c r="BE4969" s="236" t="s">
        <v>5194</v>
      </c>
      <c r="BF4969" s="191" t="s">
        <v>479</v>
      </c>
      <c r="BG4969" s="191" t="s">
        <v>479</v>
      </c>
      <c r="BH4969" s="236" t="s">
        <v>5261</v>
      </c>
      <c r="BI4969" s="191" t="s">
        <v>479</v>
      </c>
      <c r="BJ4969" s="58" t="str">
        <f>IF(BE4969=BH4969,"No","yes")</f>
        <v>yes</v>
      </c>
      <c r="BK4969" s="58" t="s">
        <v>6335</v>
      </c>
      <c r="BL4969" s="58"/>
      <c r="BM4969" s="237" t="s">
        <v>160</v>
      </c>
      <c r="BN4969" s="244">
        <v>5</v>
      </c>
      <c r="BO4969" s="244">
        <v>5</v>
      </c>
      <c r="BP4969" s="58"/>
      <c r="BQ4969" s="58"/>
      <c r="BR4969" s="58"/>
      <c r="BS4969" s="58"/>
      <c r="BT4969" s="58"/>
      <c r="BU4969" s="58"/>
      <c r="BV4969" s="58"/>
      <c r="BW4969" s="67"/>
      <c r="BX4969" s="67"/>
      <c r="BY4969" s="67"/>
      <c r="BZ4969" s="67"/>
      <c r="CA4969" s="67"/>
      <c r="CB4969" s="70"/>
      <c r="CC4969" s="70"/>
      <c r="CD4969" s="70"/>
      <c r="CE4969" s="67"/>
      <c r="CF4969" s="67"/>
      <c r="CG4969" s="67"/>
      <c r="CH4969" s="245"/>
      <c r="CI4969" s="245"/>
      <c r="CJ4969" s="67"/>
      <c r="CK4969" s="67"/>
      <c r="CL4969" s="67"/>
      <c r="CM4969" s="242">
        <f>CR4969/(100*100*0.15*1.245)*100</f>
        <v>0.85140562248995977</v>
      </c>
      <c r="CN4969" s="242">
        <f>CS4969/(100*100*0.15*1.245)*100</f>
        <v>0.95314591700133866</v>
      </c>
      <c r="CO4969" s="242"/>
      <c r="CP4969" s="242"/>
      <c r="CQ4969" s="242" t="s">
        <v>164</v>
      </c>
      <c r="CR4969" s="242">
        <v>15.9</v>
      </c>
      <c r="CS4969" s="242">
        <v>17.8</v>
      </c>
      <c r="CT4969" s="242"/>
      <c r="CU4969" s="242"/>
      <c r="CV4969" s="242" t="s">
        <v>5151</v>
      </c>
      <c r="CW4969" s="242">
        <f>(CR4969-CR4964)*1000</f>
        <v>-1799.9999999999989</v>
      </c>
      <c r="CX4969" s="242">
        <f>(CS4969-CS4964)*1000</f>
        <v>600.00000000000136</v>
      </c>
      <c r="CY4969" s="242"/>
      <c r="CZ4969" s="242"/>
      <c r="DA4969" s="67" t="s">
        <v>5443</v>
      </c>
      <c r="DB4969" s="67"/>
      <c r="DC4969" s="67"/>
      <c r="DD4969" s="67"/>
      <c r="DE4969" s="67"/>
      <c r="DF4969" s="67"/>
      <c r="DG4969" s="67"/>
      <c r="DH4969" s="67"/>
      <c r="DI4969" s="67"/>
      <c r="DJ4969" s="67"/>
      <c r="DK4969" s="67"/>
      <c r="DL4969" s="67"/>
      <c r="DM4969" s="67"/>
      <c r="DN4969" s="67"/>
      <c r="DO4969" s="67"/>
      <c r="DP4969" s="67"/>
      <c r="DQ4969" s="166"/>
      <c r="DR4969" s="166"/>
      <c r="DS4969" s="163"/>
      <c r="DT4969" s="163"/>
      <c r="DU4969" s="67"/>
      <c r="DV4969" s="67"/>
      <c r="DW4969" s="67"/>
      <c r="DX4969" s="67"/>
      <c r="DY4969" s="67"/>
      <c r="DZ4969" s="67"/>
      <c r="EA4969" s="67"/>
      <c r="EB4969" s="67"/>
      <c r="EC4969" s="67"/>
      <c r="ED4969" s="67"/>
      <c r="EE4969" s="67"/>
      <c r="EF4969" s="67"/>
      <c r="EG4969" s="67"/>
      <c r="EH4969" s="67"/>
      <c r="EI4969" s="67"/>
      <c r="EJ4969" s="67"/>
      <c r="EK4969" s="94"/>
      <c r="EL4969" s="94"/>
      <c r="EM4969" s="67"/>
      <c r="EN4969" s="67"/>
      <c r="EO4969" s="67"/>
      <c r="EP4969" s="67"/>
      <c r="EQ4969" s="67"/>
      <c r="ER4969" s="67"/>
      <c r="ES4969" s="67"/>
      <c r="ET4969" s="67"/>
      <c r="EU4969" s="67"/>
      <c r="EV4969" s="67"/>
      <c r="EW4969" s="67"/>
      <c r="EX4969" s="67"/>
      <c r="EY4969" s="67"/>
      <c r="EZ4969" s="67"/>
      <c r="FA4969" s="67"/>
      <c r="FB4969" s="67"/>
      <c r="FC4969" s="67"/>
      <c r="FD4969" s="67"/>
      <c r="FE4969" s="67"/>
      <c r="FF4969" s="67"/>
      <c r="FG4969" s="67"/>
      <c r="FH4969" s="67"/>
      <c r="FI4969" s="67"/>
      <c r="FJ4969" s="67"/>
      <c r="FK4969" s="67"/>
      <c r="FL4969" s="67"/>
      <c r="FM4969" s="67"/>
      <c r="FN4969" s="67"/>
      <c r="FO4969" s="67"/>
      <c r="FP4969" s="67"/>
      <c r="FQ4969" s="67"/>
      <c r="FR4969" s="67"/>
      <c r="FS4969" s="67"/>
      <c r="FT4969" s="67"/>
      <c r="FU4969" s="67"/>
      <c r="FV4969" s="67"/>
      <c r="FW4969" s="67"/>
      <c r="FX4969" s="67"/>
      <c r="FY4969" s="67"/>
      <c r="FZ4969" s="67"/>
      <c r="GA4969" s="67"/>
      <c r="GB4969" s="67"/>
      <c r="GC4969" s="67"/>
      <c r="GD4969" s="67"/>
      <c r="GE4969" s="67"/>
      <c r="GF4969" s="67"/>
      <c r="GG4969" s="67"/>
      <c r="GH4969" s="67"/>
      <c r="GI4969" s="67"/>
      <c r="GJ4969" s="67"/>
      <c r="GK4969" s="67"/>
      <c r="GL4969" s="67"/>
      <c r="GM4969" s="67"/>
      <c r="GN4969" s="292"/>
      <c r="GO4969" s="292"/>
      <c r="GP4969" s="292" t="s">
        <v>7494</v>
      </c>
      <c r="GQ4969" s="67"/>
      <c r="GR4969" s="67"/>
      <c r="GS4969" s="67"/>
      <c r="GT4969" s="67"/>
      <c r="GU4969" s="67"/>
      <c r="GV4969" s="67"/>
      <c r="GW4969" s="67"/>
      <c r="GX4969" s="67"/>
      <c r="GY4969" s="67"/>
      <c r="GZ4969" s="67"/>
      <c r="HA4969" s="67"/>
      <c r="HB4969" s="67"/>
      <c r="HC4969" s="67"/>
      <c r="HD4969" s="67"/>
      <c r="HE4969" s="67"/>
      <c r="HF4969" s="67"/>
      <c r="HG4969" s="67"/>
      <c r="HH4969" s="67"/>
      <c r="HI4969" s="67"/>
      <c r="HJ4969" s="67"/>
      <c r="HK4969" s="67"/>
      <c r="HL4969" s="67"/>
      <c r="HM4969" s="67"/>
      <c r="HN4969" s="67"/>
      <c r="HO4969" s="67"/>
      <c r="HP4969" s="67"/>
      <c r="HQ4969" s="67"/>
      <c r="HR4969" s="67"/>
      <c r="HS4969" s="67"/>
      <c r="HT4969" s="67"/>
      <c r="HU4969" s="67"/>
      <c r="HV4969" s="67"/>
      <c r="HW4969" s="67"/>
      <c r="HX4969" s="67"/>
      <c r="HY4969" s="67"/>
      <c r="HZ4969" s="67"/>
      <c r="IA4969" s="67"/>
      <c r="IB4969" s="67"/>
      <c r="IC4969" s="67"/>
      <c r="ID4969" s="67"/>
      <c r="IE4969" s="67"/>
      <c r="IF4969" s="67"/>
      <c r="IG4969" s="67"/>
      <c r="IH4969" s="67"/>
      <c r="II4969" s="67"/>
      <c r="IJ4969" s="67"/>
      <c r="IK4969" s="67"/>
      <c r="IL4969" s="67"/>
      <c r="IM4969" s="67"/>
      <c r="IN4969" s="67"/>
      <c r="IO4969" s="67"/>
      <c r="IP4969" s="67"/>
      <c r="IQ4969" s="67"/>
      <c r="IR4969" s="67"/>
      <c r="IS4969" s="67"/>
      <c r="IT4969" s="67"/>
      <c r="IU4969" s="67"/>
      <c r="IV4969" s="67"/>
      <c r="IW4969" s="67"/>
      <c r="IX4969" s="67"/>
      <c r="IY4969" s="67"/>
      <c r="IZ4969" s="67"/>
      <c r="JA4969" s="67"/>
      <c r="JB4969" s="67"/>
      <c r="JC4969" s="67"/>
      <c r="JD4969" s="67"/>
      <c r="JE4969" s="67"/>
      <c r="JF4969" s="67"/>
      <c r="JG4969" s="67"/>
      <c r="JH4969" s="67"/>
      <c r="JI4969" s="67"/>
      <c r="JJ4969" s="67"/>
      <c r="JK4969" s="67"/>
      <c r="JL4969" s="67"/>
      <c r="JM4969" s="67"/>
      <c r="JN4969" s="67"/>
      <c r="JO4969" s="67"/>
      <c r="JP4969" s="67"/>
      <c r="JQ4969" s="67"/>
      <c r="JR4969" s="67"/>
      <c r="JS4969" s="67"/>
      <c r="JT4969" s="67"/>
      <c r="JU4969" s="58"/>
      <c r="JV4969" s="58"/>
      <c r="JW4969" s="58"/>
    </row>
    <row r="4970" spans="1:283" s="23" customFormat="1" x14ac:dyDescent="0.25">
      <c r="A4970" s="55">
        <v>4969</v>
      </c>
      <c r="B4970" s="12" t="s">
        <v>7067</v>
      </c>
      <c r="C4970" s="156">
        <v>243</v>
      </c>
      <c r="D4970" s="58" t="s">
        <v>4963</v>
      </c>
      <c r="E4970" s="160" t="str">
        <f>G4970</f>
        <v>Kong et al. 2005_pair 2</v>
      </c>
      <c r="F4970" s="160"/>
      <c r="G4970" s="60" t="s">
        <v>4765</v>
      </c>
      <c r="H4970" s="58">
        <v>2005</v>
      </c>
      <c r="I4970" s="58">
        <v>2003</v>
      </c>
      <c r="J4970" s="243" t="s">
        <v>2013</v>
      </c>
      <c r="K4970" s="63" t="s">
        <v>5100</v>
      </c>
      <c r="L4970" s="58" t="s">
        <v>2737</v>
      </c>
      <c r="M4970" s="94">
        <f>38+32.5/60</f>
        <v>38.541666666666664</v>
      </c>
      <c r="N4970" s="94">
        <f>-121-52/60</f>
        <v>-121.86666666666666</v>
      </c>
      <c r="O4970" s="94">
        <v>29</v>
      </c>
      <c r="P4970" s="58"/>
      <c r="Q4970" s="244">
        <v>15.7</v>
      </c>
      <c r="R4970" s="58"/>
      <c r="S4970" s="245">
        <v>42.1</v>
      </c>
      <c r="T4970" s="58"/>
      <c r="U4970" s="244">
        <v>10</v>
      </c>
      <c r="V4970" s="244">
        <v>10</v>
      </c>
      <c r="W4970" s="174"/>
      <c r="X4970" s="174"/>
      <c r="Y4970" s="58" t="s">
        <v>5468</v>
      </c>
      <c r="Z4970" s="244" t="s">
        <v>1349</v>
      </c>
      <c r="AA4970" s="245">
        <v>15</v>
      </c>
      <c r="AB4970" s="67"/>
      <c r="AC4970" s="67"/>
      <c r="AD4970" s="94">
        <f>(1.11+1.38)/2</f>
        <v>1.2450000000000001</v>
      </c>
      <c r="AE4970" s="94"/>
      <c r="AF4970" s="94"/>
      <c r="AG4970" s="245">
        <v>35</v>
      </c>
      <c r="AH4970" s="58" t="s">
        <v>6378</v>
      </c>
      <c r="AI4970" s="169"/>
      <c r="AJ4970" s="94"/>
      <c r="AK4970" s="94"/>
      <c r="AL4970" s="58"/>
      <c r="AM4970" s="58" t="s">
        <v>5469</v>
      </c>
      <c r="AN4970" s="186" t="s">
        <v>553</v>
      </c>
      <c r="AO4970" s="185" t="s">
        <v>5150</v>
      </c>
      <c r="AP4970" s="58"/>
      <c r="AQ4970" s="58" t="s">
        <v>553</v>
      </c>
      <c r="AR4970" s="58" t="s">
        <v>116</v>
      </c>
      <c r="AS4970" s="58" t="s">
        <v>116</v>
      </c>
      <c r="AT4970" s="247" t="s">
        <v>176</v>
      </c>
      <c r="AU4970" s="181" t="s">
        <v>5150</v>
      </c>
      <c r="AV4970" s="185" t="s">
        <v>176</v>
      </c>
      <c r="AW4970" s="244" t="s">
        <v>176</v>
      </c>
      <c r="AX4970" s="185" t="s">
        <v>176</v>
      </c>
      <c r="AY4970" s="244" t="s">
        <v>176</v>
      </c>
      <c r="AZ4970" s="58"/>
      <c r="BA4970" s="58"/>
      <c r="BB4970" s="58"/>
      <c r="BC4970" s="58"/>
      <c r="BD4970" s="58"/>
      <c r="BE4970" s="236" t="s">
        <v>5195</v>
      </c>
      <c r="BF4970" s="191" t="s">
        <v>479</v>
      </c>
      <c r="BG4970" s="191" t="s">
        <v>479</v>
      </c>
      <c r="BH4970" s="236" t="s">
        <v>5261</v>
      </c>
      <c r="BI4970" s="191" t="s">
        <v>479</v>
      </c>
      <c r="BJ4970" s="58" t="str">
        <f>IF(BE4970=BH4970,"No","yes")</f>
        <v>yes</v>
      </c>
      <c r="BK4970" s="58" t="s">
        <v>6335</v>
      </c>
      <c r="BL4970" s="58"/>
      <c r="BM4970" s="237" t="s">
        <v>160</v>
      </c>
      <c r="BN4970" s="244">
        <v>5</v>
      </c>
      <c r="BO4970" s="244">
        <v>5</v>
      </c>
      <c r="BP4970" s="58"/>
      <c r="BQ4970" s="58"/>
      <c r="BR4970" s="58"/>
      <c r="BS4970" s="58"/>
      <c r="BT4970" s="58"/>
      <c r="BU4970" s="58"/>
      <c r="BV4970" s="58"/>
      <c r="BW4970" s="67"/>
      <c r="BX4970" s="67"/>
      <c r="BY4970" s="67"/>
      <c r="BZ4970" s="67"/>
      <c r="CA4970" s="67"/>
      <c r="CB4970" s="70"/>
      <c r="CC4970" s="70"/>
      <c r="CD4970" s="70"/>
      <c r="CE4970" s="67"/>
      <c r="CF4970" s="67"/>
      <c r="CG4970" s="67"/>
      <c r="CH4970" s="245"/>
      <c r="CI4970" s="245"/>
      <c r="CJ4970" s="67"/>
      <c r="CK4970" s="67"/>
      <c r="CL4970" s="67"/>
      <c r="CM4970" s="242">
        <f>CR4970/(100*100*0.15*1.245)*100</f>
        <v>0.95850066934404266</v>
      </c>
      <c r="CN4970" s="242">
        <f>CS4970/(100*100*0.15*1.245)*100</f>
        <v>0.86211512717536809</v>
      </c>
      <c r="CO4970" s="242"/>
      <c r="CP4970" s="242"/>
      <c r="CQ4970" s="242" t="s">
        <v>164</v>
      </c>
      <c r="CR4970" s="242">
        <v>17.899999999999999</v>
      </c>
      <c r="CS4970" s="242">
        <v>16.100000000000001</v>
      </c>
      <c r="CT4970" s="242"/>
      <c r="CU4970" s="242"/>
      <c r="CV4970" s="242" t="s">
        <v>5151</v>
      </c>
      <c r="CW4970" s="242">
        <f>(CR4970-CR4965)*1000</f>
        <v>-500</v>
      </c>
      <c r="CX4970" s="242">
        <f>(CS4970-CS4965)*1000</f>
        <v>300.00000000000068</v>
      </c>
      <c r="CY4970" s="242"/>
      <c r="CZ4970" s="242"/>
      <c r="DA4970" s="67" t="s">
        <v>5443</v>
      </c>
      <c r="DB4970" s="67"/>
      <c r="DC4970" s="67"/>
      <c r="DD4970" s="67"/>
      <c r="DE4970" s="67"/>
      <c r="DF4970" s="67"/>
      <c r="DG4970" s="67"/>
      <c r="DH4970" s="67"/>
      <c r="DI4970" s="67"/>
      <c r="DJ4970" s="67"/>
      <c r="DK4970" s="67"/>
      <c r="DL4970" s="67"/>
      <c r="DM4970" s="67"/>
      <c r="DN4970" s="67"/>
      <c r="DO4970" s="67"/>
      <c r="DP4970" s="67"/>
      <c r="DQ4970" s="166"/>
      <c r="DR4970" s="166"/>
      <c r="DS4970" s="163"/>
      <c r="DT4970" s="163"/>
      <c r="DU4970" s="67"/>
      <c r="DV4970" s="67"/>
      <c r="DW4970" s="67"/>
      <c r="DX4970" s="67"/>
      <c r="DY4970" s="67"/>
      <c r="DZ4970" s="67"/>
      <c r="EA4970" s="67"/>
      <c r="EB4970" s="67"/>
      <c r="EC4970" s="67"/>
      <c r="ED4970" s="67"/>
      <c r="EE4970" s="67"/>
      <c r="EF4970" s="67"/>
      <c r="EG4970" s="67"/>
      <c r="EH4970" s="67"/>
      <c r="EI4970" s="67"/>
      <c r="EJ4970" s="67"/>
      <c r="EK4970" s="94"/>
      <c r="EL4970" s="94"/>
      <c r="EM4970" s="67"/>
      <c r="EN4970" s="67"/>
      <c r="EO4970" s="67"/>
      <c r="EP4970" s="67"/>
      <c r="EQ4970" s="67"/>
      <c r="ER4970" s="67"/>
      <c r="ES4970" s="67"/>
      <c r="ET4970" s="67"/>
      <c r="EU4970" s="67"/>
      <c r="EV4970" s="67"/>
      <c r="EW4970" s="67"/>
      <c r="EX4970" s="67"/>
      <c r="EY4970" s="67"/>
      <c r="EZ4970" s="67"/>
      <c r="FA4970" s="67"/>
      <c r="FB4970" s="67"/>
      <c r="FC4970" s="67"/>
      <c r="FD4970" s="67"/>
      <c r="FE4970" s="67"/>
      <c r="FF4970" s="67"/>
      <c r="FG4970" s="67"/>
      <c r="FH4970" s="67"/>
      <c r="FI4970" s="67"/>
      <c r="FJ4970" s="67"/>
      <c r="FK4970" s="67"/>
      <c r="FL4970" s="67"/>
      <c r="FM4970" s="67"/>
      <c r="FN4970" s="67"/>
      <c r="FO4970" s="67"/>
      <c r="FP4970" s="67"/>
      <c r="FQ4970" s="67"/>
      <c r="FR4970" s="67"/>
      <c r="FS4970" s="67"/>
      <c r="FT4970" s="67"/>
      <c r="FU4970" s="67"/>
      <c r="FV4970" s="67"/>
      <c r="FW4970" s="67"/>
      <c r="FX4970" s="67"/>
      <c r="FY4970" s="67"/>
      <c r="FZ4970" s="67"/>
      <c r="GA4970" s="67"/>
      <c r="GB4970" s="67"/>
      <c r="GC4970" s="67"/>
      <c r="GD4970" s="67"/>
      <c r="GE4970" s="67"/>
      <c r="GF4970" s="67"/>
      <c r="GG4970" s="67"/>
      <c r="GH4970" s="67"/>
      <c r="GI4970" s="67"/>
      <c r="GJ4970" s="67"/>
      <c r="GK4970" s="67"/>
      <c r="GL4970" s="67"/>
      <c r="GM4970" s="67"/>
      <c r="GN4970" s="292"/>
      <c r="GO4970" s="292"/>
      <c r="GP4970" s="292" t="s">
        <v>7494</v>
      </c>
      <c r="GQ4970" s="67"/>
      <c r="GR4970" s="67"/>
      <c r="GS4970" s="67"/>
      <c r="GT4970" s="67"/>
      <c r="GU4970" s="67"/>
      <c r="GV4970" s="67"/>
      <c r="GW4970" s="67"/>
      <c r="GX4970" s="67"/>
      <c r="GY4970" s="67"/>
      <c r="GZ4970" s="67"/>
      <c r="HA4970" s="67"/>
      <c r="HB4970" s="67"/>
      <c r="HC4970" s="67"/>
      <c r="HD4970" s="67"/>
      <c r="HE4970" s="67"/>
      <c r="HF4970" s="67"/>
      <c r="HG4970" s="67"/>
      <c r="HH4970" s="67"/>
      <c r="HI4970" s="67"/>
      <c r="HJ4970" s="67"/>
      <c r="HK4970" s="67"/>
      <c r="HL4970" s="67"/>
      <c r="HM4970" s="67"/>
      <c r="HN4970" s="67"/>
      <c r="HO4970" s="67"/>
      <c r="HP4970" s="67"/>
      <c r="HQ4970" s="67"/>
      <c r="HR4970" s="67"/>
      <c r="HS4970" s="67"/>
      <c r="HT4970" s="67"/>
      <c r="HU4970" s="67"/>
      <c r="HV4970" s="67"/>
      <c r="HW4970" s="67"/>
      <c r="HX4970" s="67"/>
      <c r="HY4970" s="67"/>
      <c r="HZ4970" s="67"/>
      <c r="IA4970" s="67"/>
      <c r="IB4970" s="67"/>
      <c r="IC4970" s="67"/>
      <c r="ID4970" s="67"/>
      <c r="IE4970" s="67"/>
      <c r="IF4970" s="67"/>
      <c r="IG4970" s="67"/>
      <c r="IH4970" s="67"/>
      <c r="II4970" s="67"/>
      <c r="IJ4970" s="67"/>
      <c r="IK4970" s="67"/>
      <c r="IL4970" s="67"/>
      <c r="IM4970" s="67"/>
      <c r="IN4970" s="67"/>
      <c r="IO4970" s="67"/>
      <c r="IP4970" s="67"/>
      <c r="IQ4970" s="67"/>
      <c r="IR4970" s="67"/>
      <c r="IS4970" s="67"/>
      <c r="IT4970" s="67"/>
      <c r="IU4970" s="67"/>
      <c r="IV4970" s="67"/>
      <c r="IW4970" s="67"/>
      <c r="IX4970" s="67"/>
      <c r="IY4970" s="67"/>
      <c r="IZ4970" s="67"/>
      <c r="JA4970" s="67"/>
      <c r="JB4970" s="67"/>
      <c r="JC4970" s="67"/>
      <c r="JD4970" s="67"/>
      <c r="JE4970" s="67"/>
      <c r="JF4970" s="67"/>
      <c r="JG4970" s="67"/>
      <c r="JH4970" s="67"/>
      <c r="JI4970" s="67"/>
      <c r="JJ4970" s="67"/>
      <c r="JK4970" s="67"/>
      <c r="JL4970" s="67"/>
      <c r="JM4970" s="67"/>
      <c r="JN4970" s="67"/>
      <c r="JO4970" s="67"/>
      <c r="JP4970" s="67"/>
      <c r="JQ4970" s="67"/>
      <c r="JR4970" s="67"/>
      <c r="JS4970" s="67"/>
      <c r="JT4970" s="67"/>
      <c r="JU4970" s="58"/>
      <c r="JV4970" s="58"/>
      <c r="JW4970" s="58"/>
    </row>
    <row r="4971" spans="1:283" s="23" customFormat="1" x14ac:dyDescent="0.25">
      <c r="A4971" s="55">
        <v>4970</v>
      </c>
      <c r="B4971" s="12" t="s">
        <v>7067</v>
      </c>
      <c r="C4971" s="156">
        <v>243</v>
      </c>
      <c r="D4971" s="58" t="s">
        <v>4962</v>
      </c>
      <c r="E4971" s="160" t="str">
        <f>G4971</f>
        <v>Kong et al. 2005_pair 1</v>
      </c>
      <c r="F4971" s="160"/>
      <c r="G4971" s="60" t="s">
        <v>4766</v>
      </c>
      <c r="H4971" s="58">
        <v>2005</v>
      </c>
      <c r="I4971" s="58">
        <v>2003</v>
      </c>
      <c r="J4971" s="243" t="s">
        <v>2013</v>
      </c>
      <c r="K4971" s="63" t="s">
        <v>5100</v>
      </c>
      <c r="L4971" s="58" t="s">
        <v>2737</v>
      </c>
      <c r="M4971" s="94">
        <f>38+32.5/60</f>
        <v>38.541666666666664</v>
      </c>
      <c r="N4971" s="94">
        <f>-121-52/60</f>
        <v>-121.86666666666666</v>
      </c>
      <c r="O4971" s="94">
        <v>28</v>
      </c>
      <c r="P4971" s="58"/>
      <c r="Q4971" s="244">
        <v>15.7</v>
      </c>
      <c r="R4971" s="58"/>
      <c r="S4971" s="245">
        <v>42.1</v>
      </c>
      <c r="T4971" s="58"/>
      <c r="U4971" s="244">
        <v>10</v>
      </c>
      <c r="V4971" s="244">
        <v>10</v>
      </c>
      <c r="W4971" s="174"/>
      <c r="X4971" s="174"/>
      <c r="Y4971" s="58" t="s">
        <v>5468</v>
      </c>
      <c r="Z4971" s="244" t="s">
        <v>1349</v>
      </c>
      <c r="AA4971" s="245">
        <v>15</v>
      </c>
      <c r="AB4971" s="67"/>
      <c r="AC4971" s="67"/>
      <c r="AD4971" s="94">
        <f>(1.11+1.38)/2</f>
        <v>1.2450000000000001</v>
      </c>
      <c r="AE4971" s="94"/>
      <c r="AF4971" s="94"/>
      <c r="AG4971" s="245">
        <v>35</v>
      </c>
      <c r="AH4971" s="58" t="s">
        <v>6378</v>
      </c>
      <c r="AI4971" s="169"/>
      <c r="AJ4971" s="94"/>
      <c r="AK4971" s="94"/>
      <c r="AL4971" s="58"/>
      <c r="AM4971" s="58" t="s">
        <v>5469</v>
      </c>
      <c r="AN4971" s="186" t="s">
        <v>553</v>
      </c>
      <c r="AO4971" s="185" t="s">
        <v>5150</v>
      </c>
      <c r="AP4971" s="58"/>
      <c r="AQ4971" s="58" t="s">
        <v>553</v>
      </c>
      <c r="AR4971" s="58" t="s">
        <v>1607</v>
      </c>
      <c r="AS4971" s="58" t="s">
        <v>1607</v>
      </c>
      <c r="AT4971" s="247" t="s">
        <v>176</v>
      </c>
      <c r="AU4971" s="181" t="s">
        <v>5150</v>
      </c>
      <c r="AV4971" s="185" t="s">
        <v>176</v>
      </c>
      <c r="AW4971" s="244" t="s">
        <v>176</v>
      </c>
      <c r="AX4971" s="185" t="s">
        <v>176</v>
      </c>
      <c r="AY4971" s="244" t="s">
        <v>176</v>
      </c>
      <c r="AZ4971" s="58"/>
      <c r="BA4971" s="58"/>
      <c r="BB4971" s="58"/>
      <c r="BC4971" s="58"/>
      <c r="BD4971" s="58"/>
      <c r="BE4971" s="236" t="s">
        <v>5194</v>
      </c>
      <c r="BF4971" s="191" t="s">
        <v>479</v>
      </c>
      <c r="BG4971" s="191" t="s">
        <v>479</v>
      </c>
      <c r="BH4971" s="236" t="s">
        <v>5261</v>
      </c>
      <c r="BI4971" s="191" t="s">
        <v>479</v>
      </c>
      <c r="BJ4971" s="58" t="str">
        <f>IF(BE4971=BH4971,"No","yes")</f>
        <v>yes</v>
      </c>
      <c r="BK4971" s="58" t="s">
        <v>6335</v>
      </c>
      <c r="BL4971" s="58"/>
      <c r="BM4971" s="237" t="s">
        <v>160</v>
      </c>
      <c r="BN4971" s="244">
        <v>5</v>
      </c>
      <c r="BO4971" s="244">
        <v>5</v>
      </c>
      <c r="BP4971" s="58"/>
      <c r="BQ4971" s="58"/>
      <c r="BR4971" s="58"/>
      <c r="BS4971" s="58"/>
      <c r="BT4971" s="58"/>
      <c r="BU4971" s="58"/>
      <c r="BV4971" s="58"/>
      <c r="BW4971" s="67"/>
      <c r="BX4971" s="67"/>
      <c r="BY4971" s="67"/>
      <c r="BZ4971" s="67"/>
      <c r="CA4971" s="67"/>
      <c r="CB4971" s="70"/>
      <c r="CC4971" s="70"/>
      <c r="CD4971" s="70"/>
      <c r="CE4971" s="67"/>
      <c r="CF4971" s="67"/>
      <c r="CG4971" s="67"/>
      <c r="CH4971" s="245"/>
      <c r="CI4971" s="245"/>
      <c r="CJ4971" s="67"/>
      <c r="CK4971" s="67"/>
      <c r="CL4971" s="67"/>
      <c r="CM4971" s="242">
        <f>CR4971/(100*100*0.15*1.245)*100</f>
        <v>0.91566265060240948</v>
      </c>
      <c r="CN4971" s="242">
        <f>CS4971/(100*100*0.15*1.245)*100</f>
        <v>0.90495314591700127</v>
      </c>
      <c r="CO4971" s="242"/>
      <c r="CP4971" s="242"/>
      <c r="CQ4971" s="242" t="s">
        <v>164</v>
      </c>
      <c r="CR4971" s="242">
        <v>17.100000000000001</v>
      </c>
      <c r="CS4971" s="242">
        <v>16.899999999999999</v>
      </c>
      <c r="CT4971" s="242"/>
      <c r="CU4971" s="242"/>
      <c r="CV4971" s="242" t="s">
        <v>5151</v>
      </c>
      <c r="CW4971" s="242">
        <f>(CR4971-CR4966)*1000</f>
        <v>-599.99999999999784</v>
      </c>
      <c r="CX4971" s="242">
        <f>(CS4971-CS4966)*1000</f>
        <v>-100.00000000000142</v>
      </c>
      <c r="CY4971" s="242"/>
      <c r="CZ4971" s="242"/>
      <c r="DA4971" s="67" t="s">
        <v>5443</v>
      </c>
      <c r="DB4971" s="67"/>
      <c r="DC4971" s="67"/>
      <c r="DD4971" s="67"/>
      <c r="DE4971" s="67"/>
      <c r="DF4971" s="67"/>
      <c r="DG4971" s="67"/>
      <c r="DH4971" s="67"/>
      <c r="DI4971" s="67"/>
      <c r="DJ4971" s="67"/>
      <c r="DK4971" s="67"/>
      <c r="DL4971" s="67"/>
      <c r="DM4971" s="67"/>
      <c r="DN4971" s="67"/>
      <c r="DO4971" s="67"/>
      <c r="DP4971" s="67"/>
      <c r="DQ4971" s="166"/>
      <c r="DR4971" s="166"/>
      <c r="DS4971" s="163"/>
      <c r="DT4971" s="163"/>
      <c r="DU4971" s="67"/>
      <c r="DV4971" s="67"/>
      <c r="DW4971" s="67"/>
      <c r="DX4971" s="67"/>
      <c r="DY4971" s="67"/>
      <c r="DZ4971" s="67"/>
      <c r="EA4971" s="67"/>
      <c r="EB4971" s="67"/>
      <c r="EC4971" s="67"/>
      <c r="ED4971" s="67"/>
      <c r="EE4971" s="67"/>
      <c r="EF4971" s="67"/>
      <c r="EG4971" s="67"/>
      <c r="EH4971" s="67"/>
      <c r="EI4971" s="67"/>
      <c r="EJ4971" s="67"/>
      <c r="EK4971" s="94"/>
      <c r="EL4971" s="94"/>
      <c r="EM4971" s="67"/>
      <c r="EN4971" s="67"/>
      <c r="EO4971" s="67"/>
      <c r="EP4971" s="67"/>
      <c r="EQ4971" s="67"/>
      <c r="ER4971" s="67"/>
      <c r="ES4971" s="67"/>
      <c r="ET4971" s="67"/>
      <c r="EU4971" s="67"/>
      <c r="EV4971" s="67"/>
      <c r="EW4971" s="67"/>
      <c r="EX4971" s="67"/>
      <c r="EY4971" s="67"/>
      <c r="EZ4971" s="67"/>
      <c r="FA4971" s="67"/>
      <c r="FB4971" s="67"/>
      <c r="FC4971" s="67"/>
      <c r="FD4971" s="67"/>
      <c r="FE4971" s="67"/>
      <c r="FF4971" s="67"/>
      <c r="FG4971" s="67"/>
      <c r="FH4971" s="67"/>
      <c r="FI4971" s="67"/>
      <c r="FJ4971" s="67"/>
      <c r="FK4971" s="67"/>
      <c r="FL4971" s="67"/>
      <c r="FM4971" s="67"/>
      <c r="FN4971" s="67"/>
      <c r="FO4971" s="67"/>
      <c r="FP4971" s="67"/>
      <c r="FQ4971" s="67"/>
      <c r="FR4971" s="67"/>
      <c r="FS4971" s="67"/>
      <c r="FT4971" s="67"/>
      <c r="FU4971" s="67"/>
      <c r="FV4971" s="67"/>
      <c r="FW4971" s="67"/>
      <c r="FX4971" s="67"/>
      <c r="FY4971" s="67"/>
      <c r="FZ4971" s="67"/>
      <c r="GA4971" s="67"/>
      <c r="GB4971" s="67"/>
      <c r="GC4971" s="67"/>
      <c r="GD4971" s="67"/>
      <c r="GE4971" s="67"/>
      <c r="GF4971" s="67"/>
      <c r="GG4971" s="67"/>
      <c r="GH4971" s="67"/>
      <c r="GI4971" s="67"/>
      <c r="GJ4971" s="67"/>
      <c r="GK4971" s="67"/>
      <c r="GL4971" s="67"/>
      <c r="GM4971" s="67"/>
      <c r="GN4971" s="292"/>
      <c r="GO4971" s="292"/>
      <c r="GP4971" s="292" t="s">
        <v>7494</v>
      </c>
      <c r="GQ4971" s="67"/>
      <c r="GR4971" s="67"/>
      <c r="GS4971" s="67"/>
      <c r="GT4971" s="67"/>
      <c r="GU4971" s="67"/>
      <c r="GV4971" s="67"/>
      <c r="GW4971" s="67"/>
      <c r="GX4971" s="67"/>
      <c r="GY4971" s="67"/>
      <c r="GZ4971" s="67"/>
      <c r="HA4971" s="67"/>
      <c r="HB4971" s="67"/>
      <c r="HC4971" s="67"/>
      <c r="HD4971" s="67"/>
      <c r="HE4971" s="67"/>
      <c r="HF4971" s="67"/>
      <c r="HG4971" s="67"/>
      <c r="HH4971" s="67"/>
      <c r="HI4971" s="67"/>
      <c r="HJ4971" s="67"/>
      <c r="HK4971" s="67"/>
      <c r="HL4971" s="67"/>
      <c r="HM4971" s="67"/>
      <c r="HN4971" s="67"/>
      <c r="HO4971" s="67"/>
      <c r="HP4971" s="67"/>
      <c r="HQ4971" s="67"/>
      <c r="HR4971" s="67"/>
      <c r="HS4971" s="67"/>
      <c r="HT4971" s="67"/>
      <c r="HU4971" s="67"/>
      <c r="HV4971" s="67"/>
      <c r="HW4971" s="67"/>
      <c r="HX4971" s="67"/>
      <c r="HY4971" s="67"/>
      <c r="HZ4971" s="67"/>
      <c r="IA4971" s="67"/>
      <c r="IB4971" s="67"/>
      <c r="IC4971" s="67"/>
      <c r="ID4971" s="67"/>
      <c r="IE4971" s="67"/>
      <c r="IF4971" s="67"/>
      <c r="IG4971" s="67"/>
      <c r="IH4971" s="67"/>
      <c r="II4971" s="67"/>
      <c r="IJ4971" s="67"/>
      <c r="IK4971" s="67"/>
      <c r="IL4971" s="67"/>
      <c r="IM4971" s="67"/>
      <c r="IN4971" s="67"/>
      <c r="IO4971" s="67"/>
      <c r="IP4971" s="67"/>
      <c r="IQ4971" s="67"/>
      <c r="IR4971" s="67"/>
      <c r="IS4971" s="67"/>
      <c r="IT4971" s="67"/>
      <c r="IU4971" s="67"/>
      <c r="IV4971" s="67"/>
      <c r="IW4971" s="67"/>
      <c r="IX4971" s="67"/>
      <c r="IY4971" s="67"/>
      <c r="IZ4971" s="67"/>
      <c r="JA4971" s="67"/>
      <c r="JB4971" s="67"/>
      <c r="JC4971" s="67"/>
      <c r="JD4971" s="67"/>
      <c r="JE4971" s="67"/>
      <c r="JF4971" s="67"/>
      <c r="JG4971" s="67"/>
      <c r="JH4971" s="67"/>
      <c r="JI4971" s="67"/>
      <c r="JJ4971" s="67"/>
      <c r="JK4971" s="67"/>
      <c r="JL4971" s="67"/>
      <c r="JM4971" s="67"/>
      <c r="JN4971" s="67"/>
      <c r="JO4971" s="67"/>
      <c r="JP4971" s="67"/>
      <c r="JQ4971" s="67"/>
      <c r="JR4971" s="67"/>
      <c r="JS4971" s="67"/>
      <c r="JT4971" s="67"/>
      <c r="JU4971" s="58"/>
      <c r="JV4971" s="58"/>
      <c r="JW4971" s="58"/>
    </row>
    <row r="4972" spans="1:283" s="23" customFormat="1" x14ac:dyDescent="0.25">
      <c r="A4972" s="55">
        <v>4971</v>
      </c>
      <c r="B4972" s="12" t="s">
        <v>7067</v>
      </c>
      <c r="C4972" s="156">
        <v>243</v>
      </c>
      <c r="D4972" s="58" t="s">
        <v>4963</v>
      </c>
      <c r="E4972" s="160" t="str">
        <f>G4972</f>
        <v>Kong et al. 2005_pair 2</v>
      </c>
      <c r="F4972" s="160"/>
      <c r="G4972" s="60" t="s">
        <v>4765</v>
      </c>
      <c r="H4972" s="58">
        <v>2005</v>
      </c>
      <c r="I4972" s="58">
        <v>2003</v>
      </c>
      <c r="J4972" s="243" t="s">
        <v>2013</v>
      </c>
      <c r="K4972" s="63" t="s">
        <v>5100</v>
      </c>
      <c r="L4972" s="58" t="s">
        <v>2737</v>
      </c>
      <c r="M4972" s="94">
        <f>38+32.5/60</f>
        <v>38.541666666666664</v>
      </c>
      <c r="N4972" s="94">
        <f>-121-52/60</f>
        <v>-121.86666666666666</v>
      </c>
      <c r="O4972" s="94">
        <v>29</v>
      </c>
      <c r="P4972" s="58"/>
      <c r="Q4972" s="244">
        <v>15.7</v>
      </c>
      <c r="R4972" s="58"/>
      <c r="S4972" s="245">
        <v>42.1</v>
      </c>
      <c r="T4972" s="58"/>
      <c r="U4972" s="244">
        <v>10</v>
      </c>
      <c r="V4972" s="244">
        <v>10</v>
      </c>
      <c r="W4972" s="174"/>
      <c r="X4972" s="174"/>
      <c r="Y4972" s="58" t="s">
        <v>5468</v>
      </c>
      <c r="Z4972" s="244" t="s">
        <v>1349</v>
      </c>
      <c r="AA4972" s="245">
        <v>15</v>
      </c>
      <c r="AB4972" s="67"/>
      <c r="AC4972" s="67"/>
      <c r="AD4972" s="94">
        <f>(1.11+1.38)/2</f>
        <v>1.2450000000000001</v>
      </c>
      <c r="AE4972" s="94"/>
      <c r="AF4972" s="94"/>
      <c r="AG4972" s="245">
        <v>35</v>
      </c>
      <c r="AH4972" s="58" t="s">
        <v>6378</v>
      </c>
      <c r="AI4972" s="169"/>
      <c r="AJ4972" s="94"/>
      <c r="AK4972" s="94"/>
      <c r="AL4972" s="58"/>
      <c r="AM4972" s="58" t="s">
        <v>5469</v>
      </c>
      <c r="AN4972" s="186" t="s">
        <v>553</v>
      </c>
      <c r="AO4972" s="185" t="s">
        <v>5150</v>
      </c>
      <c r="AP4972" s="58"/>
      <c r="AQ4972" s="58" t="s">
        <v>553</v>
      </c>
      <c r="AR4972" s="58" t="s">
        <v>1607</v>
      </c>
      <c r="AS4972" s="58" t="s">
        <v>1607</v>
      </c>
      <c r="AT4972" s="247" t="s">
        <v>176</v>
      </c>
      <c r="AU4972" s="181" t="s">
        <v>5150</v>
      </c>
      <c r="AV4972" s="185" t="s">
        <v>176</v>
      </c>
      <c r="AW4972" s="244" t="s">
        <v>176</v>
      </c>
      <c r="AX4972" s="185" t="s">
        <v>176</v>
      </c>
      <c r="AY4972" s="244" t="s">
        <v>176</v>
      </c>
      <c r="AZ4972" s="58"/>
      <c r="BA4972" s="58"/>
      <c r="BB4972" s="58"/>
      <c r="BC4972" s="58"/>
      <c r="BD4972" s="58"/>
      <c r="BE4972" s="236" t="s">
        <v>5195</v>
      </c>
      <c r="BF4972" s="191" t="s">
        <v>479</v>
      </c>
      <c r="BG4972" s="191" t="s">
        <v>479</v>
      </c>
      <c r="BH4972" s="236" t="s">
        <v>5261</v>
      </c>
      <c r="BI4972" s="191" t="s">
        <v>479</v>
      </c>
      <c r="BJ4972" s="58" t="str">
        <f>IF(BE4972=BH4972,"No","yes")</f>
        <v>yes</v>
      </c>
      <c r="BK4972" s="58" t="s">
        <v>6335</v>
      </c>
      <c r="BL4972" s="58"/>
      <c r="BM4972" s="237" t="s">
        <v>160</v>
      </c>
      <c r="BN4972" s="244">
        <v>5</v>
      </c>
      <c r="BO4972" s="244">
        <v>5</v>
      </c>
      <c r="BP4972" s="58"/>
      <c r="BQ4972" s="58"/>
      <c r="BR4972" s="58"/>
      <c r="BS4972" s="58"/>
      <c r="BT4972" s="58"/>
      <c r="BU4972" s="58"/>
      <c r="BV4972" s="58"/>
      <c r="BW4972" s="67"/>
      <c r="BX4972" s="67"/>
      <c r="BY4972" s="67"/>
      <c r="BZ4972" s="67"/>
      <c r="CA4972" s="67"/>
      <c r="CB4972" s="70"/>
      <c r="CC4972" s="70"/>
      <c r="CD4972" s="70"/>
      <c r="CE4972" s="67"/>
      <c r="CF4972" s="67"/>
      <c r="CG4972" s="67"/>
      <c r="CH4972" s="245"/>
      <c r="CI4972" s="245"/>
      <c r="CJ4972" s="67"/>
      <c r="CK4972" s="67"/>
      <c r="CL4972" s="67"/>
      <c r="CM4972" s="242">
        <f>CR4972/(100*100*0.15*1.245)*100</f>
        <v>0.94779116465863433</v>
      </c>
      <c r="CN4972" s="242">
        <f>CS4972/(100*100*0.15*1.245)*100</f>
        <v>1.220883534136546</v>
      </c>
      <c r="CO4972" s="242"/>
      <c r="CP4972" s="242"/>
      <c r="CQ4972" s="242" t="s">
        <v>164</v>
      </c>
      <c r="CR4972" s="242">
        <v>17.7</v>
      </c>
      <c r="CS4972" s="242">
        <v>22.8</v>
      </c>
      <c r="CT4972" s="242"/>
      <c r="CU4972" s="242"/>
      <c r="CV4972" s="242" t="s">
        <v>5151</v>
      </c>
      <c r="CW4972" s="242">
        <f>(CR4972-CR4967)*1000</f>
        <v>399.99999999999858</v>
      </c>
      <c r="CX4972" s="242">
        <f>(CS4972-CS4967)*1000</f>
        <v>5600.0000000000018</v>
      </c>
      <c r="CY4972" s="242"/>
      <c r="CZ4972" s="242"/>
      <c r="DA4972" s="67" t="s">
        <v>5443</v>
      </c>
      <c r="DB4972" s="67"/>
      <c r="DC4972" s="67"/>
      <c r="DD4972" s="67"/>
      <c r="DE4972" s="67"/>
      <c r="DF4972" s="67"/>
      <c r="DG4972" s="67"/>
      <c r="DH4972" s="67"/>
      <c r="DI4972" s="67"/>
      <c r="DJ4972" s="67"/>
      <c r="DK4972" s="67"/>
      <c r="DL4972" s="67"/>
      <c r="DM4972" s="67"/>
      <c r="DN4972" s="67"/>
      <c r="DO4972" s="67"/>
      <c r="DP4972" s="67"/>
      <c r="DQ4972" s="166"/>
      <c r="DR4972" s="166"/>
      <c r="DS4972" s="163"/>
      <c r="DT4972" s="163"/>
      <c r="DU4972" s="67"/>
      <c r="DV4972" s="67"/>
      <c r="DW4972" s="67"/>
      <c r="DX4972" s="67"/>
      <c r="DY4972" s="67"/>
      <c r="DZ4972" s="67"/>
      <c r="EA4972" s="67"/>
      <c r="EB4972" s="67"/>
      <c r="EC4972" s="67"/>
      <c r="ED4972" s="67"/>
      <c r="EE4972" s="67"/>
      <c r="EF4972" s="67"/>
      <c r="EG4972" s="67"/>
      <c r="EH4972" s="67"/>
      <c r="EI4972" s="67"/>
      <c r="EJ4972" s="67"/>
      <c r="EK4972" s="94"/>
      <c r="EL4972" s="94"/>
      <c r="EM4972" s="67"/>
      <c r="EN4972" s="67"/>
      <c r="EO4972" s="67"/>
      <c r="EP4972" s="67"/>
      <c r="EQ4972" s="67"/>
      <c r="ER4972" s="67"/>
      <c r="ES4972" s="67"/>
      <c r="ET4972" s="67"/>
      <c r="EU4972" s="67"/>
      <c r="EV4972" s="67"/>
      <c r="EW4972" s="67"/>
      <c r="EX4972" s="67"/>
      <c r="EY4972" s="67"/>
      <c r="EZ4972" s="67"/>
      <c r="FA4972" s="67"/>
      <c r="FB4972" s="67"/>
      <c r="FC4972" s="67"/>
      <c r="FD4972" s="67"/>
      <c r="FE4972" s="67"/>
      <c r="FF4972" s="67"/>
      <c r="FG4972" s="67"/>
      <c r="FH4972" s="67"/>
      <c r="FI4972" s="67"/>
      <c r="FJ4972" s="67"/>
      <c r="FK4972" s="67"/>
      <c r="FL4972" s="67"/>
      <c r="FM4972" s="67"/>
      <c r="FN4972" s="67"/>
      <c r="FO4972" s="67"/>
      <c r="FP4972" s="67"/>
      <c r="FQ4972" s="67"/>
      <c r="FR4972" s="67"/>
      <c r="FS4972" s="67"/>
      <c r="FT4972" s="67"/>
      <c r="FU4972" s="67"/>
      <c r="FV4972" s="67"/>
      <c r="FW4972" s="67"/>
      <c r="FX4972" s="67"/>
      <c r="FY4972" s="67"/>
      <c r="FZ4972" s="67"/>
      <c r="GA4972" s="67"/>
      <c r="GB4972" s="67"/>
      <c r="GC4972" s="67"/>
      <c r="GD4972" s="67"/>
      <c r="GE4972" s="67"/>
      <c r="GF4972" s="67"/>
      <c r="GG4972" s="67"/>
      <c r="GH4972" s="67"/>
      <c r="GI4972" s="67"/>
      <c r="GJ4972" s="67"/>
      <c r="GK4972" s="67"/>
      <c r="GL4972" s="67"/>
      <c r="GM4972" s="67"/>
      <c r="GN4972" s="292"/>
      <c r="GO4972" s="292"/>
      <c r="GP4972" s="292" t="s">
        <v>7494</v>
      </c>
      <c r="GQ4972" s="67"/>
      <c r="GR4972" s="67"/>
      <c r="GS4972" s="67"/>
      <c r="GT4972" s="67"/>
      <c r="GU4972" s="67"/>
      <c r="GV4972" s="67"/>
      <c r="GW4972" s="67"/>
      <c r="GX4972" s="67"/>
      <c r="GY4972" s="67"/>
      <c r="GZ4972" s="67"/>
      <c r="HA4972" s="67"/>
      <c r="HB4972" s="67"/>
      <c r="HC4972" s="67"/>
      <c r="HD4972" s="67"/>
      <c r="HE4972" s="67"/>
      <c r="HF4972" s="67"/>
      <c r="HG4972" s="67"/>
      <c r="HH4972" s="67"/>
      <c r="HI4972" s="67"/>
      <c r="HJ4972" s="67"/>
      <c r="HK4972" s="67"/>
      <c r="HL4972" s="67"/>
      <c r="HM4972" s="67"/>
      <c r="HN4972" s="67"/>
      <c r="HO4972" s="67"/>
      <c r="HP4972" s="67"/>
      <c r="HQ4972" s="67"/>
      <c r="HR4972" s="67"/>
      <c r="HS4972" s="67"/>
      <c r="HT4972" s="67"/>
      <c r="HU4972" s="67"/>
      <c r="HV4972" s="67"/>
      <c r="HW4972" s="67"/>
      <c r="HX4972" s="67"/>
      <c r="HY4972" s="67"/>
      <c r="HZ4972" s="67"/>
      <c r="IA4972" s="67"/>
      <c r="IB4972" s="67"/>
      <c r="IC4972" s="67"/>
      <c r="ID4972" s="67"/>
      <c r="IE4972" s="67"/>
      <c r="IF4972" s="67"/>
      <c r="IG4972" s="67"/>
      <c r="IH4972" s="67"/>
      <c r="II4972" s="67"/>
      <c r="IJ4972" s="67"/>
      <c r="IK4972" s="67"/>
      <c r="IL4972" s="67"/>
      <c r="IM4972" s="67"/>
      <c r="IN4972" s="67"/>
      <c r="IO4972" s="67"/>
      <c r="IP4972" s="67"/>
      <c r="IQ4972" s="67"/>
      <c r="IR4972" s="67"/>
      <c r="IS4972" s="67"/>
      <c r="IT4972" s="67"/>
      <c r="IU4972" s="67"/>
      <c r="IV4972" s="67"/>
      <c r="IW4972" s="67"/>
      <c r="IX4972" s="67"/>
      <c r="IY4972" s="67"/>
      <c r="IZ4972" s="67"/>
      <c r="JA4972" s="67"/>
      <c r="JB4972" s="67"/>
      <c r="JC4972" s="67"/>
      <c r="JD4972" s="67"/>
      <c r="JE4972" s="67"/>
      <c r="JF4972" s="67"/>
      <c r="JG4972" s="67"/>
      <c r="JH4972" s="67"/>
      <c r="JI4972" s="67"/>
      <c r="JJ4972" s="67"/>
      <c r="JK4972" s="67"/>
      <c r="JL4972" s="67"/>
      <c r="JM4972" s="67"/>
      <c r="JN4972" s="67"/>
      <c r="JO4972" s="67"/>
      <c r="JP4972" s="67"/>
      <c r="JQ4972" s="67"/>
      <c r="JR4972" s="67"/>
      <c r="JS4972" s="67"/>
      <c r="JT4972" s="67"/>
      <c r="JU4972" s="58"/>
      <c r="JV4972" s="58"/>
      <c r="JW4972" s="58"/>
    </row>
    <row r="4973" spans="1:283" s="23" customFormat="1" x14ac:dyDescent="0.25">
      <c r="A4973" s="55">
        <v>4972</v>
      </c>
      <c r="B4973" s="12" t="s">
        <v>7067</v>
      </c>
      <c r="C4973" s="156">
        <v>244</v>
      </c>
      <c r="D4973" s="58" t="s">
        <v>4964</v>
      </c>
      <c r="E4973" s="160" t="str">
        <f>G4973</f>
        <v>Kramer et al. 2006_orchard 1</v>
      </c>
      <c r="F4973" s="160"/>
      <c r="G4973" s="60" t="s">
        <v>4764</v>
      </c>
      <c r="H4973" s="58">
        <v>2006</v>
      </c>
      <c r="I4973" s="58" t="s">
        <v>5470</v>
      </c>
      <c r="J4973" s="243" t="s">
        <v>5315</v>
      </c>
      <c r="K4973" s="63" t="s">
        <v>5099</v>
      </c>
      <c r="L4973" s="58" t="s">
        <v>2737</v>
      </c>
      <c r="M4973" s="94" t="s">
        <v>5472</v>
      </c>
      <c r="N4973" s="94" t="s">
        <v>5473</v>
      </c>
      <c r="O4973" s="94" t="s">
        <v>5474</v>
      </c>
      <c r="P4973" s="58"/>
      <c r="Q4973" s="244">
        <v>10.7</v>
      </c>
      <c r="R4973" s="58"/>
      <c r="S4973" s="245">
        <v>200</v>
      </c>
      <c r="T4973" s="58"/>
      <c r="U4973" s="58" t="s">
        <v>1933</v>
      </c>
      <c r="V4973" s="244">
        <v>9</v>
      </c>
      <c r="W4973" s="174"/>
      <c r="X4973" s="174"/>
      <c r="Y4973" s="58" t="s">
        <v>5471</v>
      </c>
      <c r="Z4973" s="244" t="s">
        <v>1347</v>
      </c>
      <c r="AA4973" s="245">
        <v>7.5</v>
      </c>
      <c r="AB4973" s="67"/>
      <c r="AC4973" s="67"/>
      <c r="AD4973" s="94"/>
      <c r="AE4973" s="94"/>
      <c r="AF4973" s="94"/>
      <c r="AG4973" s="245"/>
      <c r="AH4973" s="58"/>
      <c r="AI4973" s="169"/>
      <c r="AJ4973" s="94"/>
      <c r="AK4973" s="94"/>
      <c r="AL4973" s="58"/>
      <c r="AM4973" s="58"/>
      <c r="AN4973" s="186" t="s">
        <v>114</v>
      </c>
      <c r="AO4973" s="185" t="s">
        <v>5150</v>
      </c>
      <c r="AP4973" s="58"/>
      <c r="AQ4973" s="58" t="s">
        <v>553</v>
      </c>
      <c r="AR4973" s="58" t="s">
        <v>3680</v>
      </c>
      <c r="AS4973" s="246" t="s">
        <v>3471</v>
      </c>
      <c r="AT4973" s="247">
        <v>0</v>
      </c>
      <c r="AU4973" s="181" t="s">
        <v>7494</v>
      </c>
      <c r="AV4973" s="185" t="s">
        <v>176</v>
      </c>
      <c r="AW4973" s="244">
        <v>0</v>
      </c>
      <c r="AX4973" s="185" t="s">
        <v>176</v>
      </c>
      <c r="AY4973" s="244" t="s">
        <v>176</v>
      </c>
      <c r="AZ4973" s="58"/>
      <c r="BA4973" s="58"/>
      <c r="BB4973" s="58"/>
      <c r="BC4973" s="58"/>
      <c r="BD4973" s="58"/>
      <c r="BE4973" s="236" t="s">
        <v>5180</v>
      </c>
      <c r="BF4973" s="191" t="s">
        <v>479</v>
      </c>
      <c r="BG4973" s="191" t="s">
        <v>479</v>
      </c>
      <c r="BH4973" s="236" t="s">
        <v>5248</v>
      </c>
      <c r="BI4973" s="191" t="s">
        <v>479</v>
      </c>
      <c r="BJ4973" s="58" t="str">
        <f>IF(BE4973=BH4973,"No","yes")</f>
        <v>yes</v>
      </c>
      <c r="BK4973" s="58" t="s">
        <v>6335</v>
      </c>
      <c r="BL4973" s="58"/>
      <c r="BM4973" s="237"/>
      <c r="BN4973" s="244">
        <v>4</v>
      </c>
      <c r="BO4973" s="244">
        <v>4</v>
      </c>
      <c r="BP4973" s="58"/>
      <c r="BQ4973" s="58"/>
      <c r="BR4973" s="58"/>
      <c r="BS4973" s="58"/>
      <c r="BT4973" s="58"/>
      <c r="BU4973" s="58"/>
      <c r="BV4973" s="58" t="s">
        <v>5477</v>
      </c>
      <c r="BW4973" s="67"/>
      <c r="BX4973" s="67"/>
      <c r="BY4973" s="67"/>
      <c r="BZ4973" s="67"/>
      <c r="CA4973" s="67"/>
      <c r="CB4973" s="70"/>
      <c r="CC4973" s="70"/>
      <c r="CD4973" s="70"/>
      <c r="CE4973" s="67"/>
      <c r="CF4973" s="67"/>
      <c r="CG4973" s="67"/>
      <c r="CH4973" s="245"/>
      <c r="CI4973" s="245"/>
      <c r="CJ4973" s="67"/>
      <c r="CK4973" s="67"/>
      <c r="CL4973" s="67"/>
      <c r="CM4973" s="242">
        <v>1.2965116279069768</v>
      </c>
      <c r="CN4973" s="242">
        <v>1.9767441860465116</v>
      </c>
      <c r="CO4973" s="242">
        <v>0.12965116279069769</v>
      </c>
      <c r="CP4973" s="242">
        <v>0.19767441860465118</v>
      </c>
      <c r="CQ4973" s="242" t="s">
        <v>164</v>
      </c>
      <c r="CR4973" s="242">
        <v>14.142693939298756</v>
      </c>
      <c r="CS4973" s="242">
        <v>20.354502275281988</v>
      </c>
      <c r="CT4973" s="242">
        <v>1.4142693939298756</v>
      </c>
      <c r="CU4973" s="242">
        <v>2.0354502275281989</v>
      </c>
      <c r="CV4973" s="242" t="s">
        <v>5151</v>
      </c>
      <c r="CW4973" s="242"/>
      <c r="CX4973" s="242"/>
      <c r="CY4973" s="242"/>
      <c r="CZ4973" s="242"/>
      <c r="DA4973" s="67" t="s">
        <v>5443</v>
      </c>
      <c r="DB4973" s="67">
        <v>1755</v>
      </c>
      <c r="DC4973" s="67">
        <v>1955</v>
      </c>
      <c r="DD4973" s="67"/>
      <c r="DE4973" s="67"/>
      <c r="DF4973" s="67" t="s">
        <v>325</v>
      </c>
      <c r="DG4973" s="67"/>
      <c r="DH4973" s="67"/>
      <c r="DI4973" s="67"/>
      <c r="DJ4973" s="67"/>
      <c r="DK4973" s="67"/>
      <c r="DL4973" s="67"/>
      <c r="DM4973" s="67"/>
      <c r="DN4973" s="67"/>
      <c r="DO4973" s="67"/>
      <c r="DP4973" s="67"/>
      <c r="DQ4973" s="166"/>
      <c r="DR4973" s="166"/>
      <c r="DS4973" s="163"/>
      <c r="DT4973" s="163"/>
      <c r="DU4973" s="67"/>
      <c r="DV4973" s="67"/>
      <c r="DW4973" s="67"/>
      <c r="DX4973" s="67"/>
      <c r="DY4973" s="67"/>
      <c r="DZ4973" s="67"/>
      <c r="EA4973" s="67"/>
      <c r="EB4973" s="67"/>
      <c r="EC4973" s="67"/>
      <c r="ED4973" s="67"/>
      <c r="EE4973" s="67"/>
      <c r="EF4973" s="67"/>
      <c r="EG4973" s="67"/>
      <c r="EH4973" s="67"/>
      <c r="EI4973" s="67"/>
      <c r="EJ4973" s="67"/>
      <c r="EK4973" s="94"/>
      <c r="EL4973" s="94"/>
      <c r="EM4973" s="67"/>
      <c r="EN4973" s="67"/>
      <c r="EO4973" s="67"/>
      <c r="EP4973" s="67"/>
      <c r="EQ4973" s="67"/>
      <c r="ER4973" s="67"/>
      <c r="ES4973" s="67"/>
      <c r="ET4973" s="67"/>
      <c r="EU4973" s="67"/>
      <c r="EV4973" s="67"/>
      <c r="EW4973" s="67"/>
      <c r="EX4973" s="67"/>
      <c r="EY4973" s="67"/>
      <c r="EZ4973" s="67"/>
      <c r="FA4973" s="67"/>
      <c r="FB4973" s="67"/>
      <c r="FC4973" s="67"/>
      <c r="FD4973" s="67"/>
      <c r="FE4973" s="67"/>
      <c r="FF4973" s="67"/>
      <c r="FG4973" s="67"/>
      <c r="FH4973" s="67"/>
      <c r="FI4973" s="67"/>
      <c r="FJ4973" s="67"/>
      <c r="FK4973" s="67"/>
      <c r="FL4973" s="67"/>
      <c r="FM4973" s="67"/>
      <c r="FN4973" s="67"/>
      <c r="FO4973" s="67"/>
      <c r="FP4973" s="67"/>
      <c r="FQ4973" s="67"/>
      <c r="FR4973" s="67"/>
      <c r="FS4973" s="67"/>
      <c r="FT4973" s="67"/>
      <c r="FU4973" s="67"/>
      <c r="FV4973" s="67"/>
      <c r="FW4973" s="67"/>
      <c r="FX4973" s="67"/>
      <c r="FY4973" s="67"/>
      <c r="FZ4973" s="67"/>
      <c r="GA4973" s="67"/>
      <c r="GB4973" s="67"/>
      <c r="GC4973" s="67"/>
      <c r="GD4973" s="67"/>
      <c r="GE4973" s="67"/>
      <c r="GF4973" s="67"/>
      <c r="GG4973" s="67"/>
      <c r="GH4973" s="67"/>
      <c r="GI4973" s="67"/>
      <c r="GJ4973" s="67"/>
      <c r="GK4973" s="67"/>
      <c r="GL4973" s="67"/>
      <c r="GM4973" s="67"/>
      <c r="GN4973" s="292"/>
      <c r="GO4973" s="292"/>
      <c r="GP4973" s="292" t="s">
        <v>7494</v>
      </c>
      <c r="GQ4973" s="67"/>
      <c r="GR4973" s="67"/>
      <c r="GS4973" s="67"/>
      <c r="GT4973" s="67"/>
      <c r="GU4973" s="67"/>
      <c r="GV4973" s="67"/>
      <c r="GW4973" s="67"/>
      <c r="GX4973" s="67"/>
      <c r="GY4973" s="67"/>
      <c r="GZ4973" s="67"/>
      <c r="HA4973" s="67"/>
      <c r="HB4973" s="67"/>
      <c r="HC4973" s="67"/>
      <c r="HD4973" s="67"/>
      <c r="HE4973" s="67"/>
      <c r="HF4973" s="67"/>
      <c r="HG4973" s="67"/>
      <c r="HH4973" s="67"/>
      <c r="HI4973" s="67"/>
      <c r="HJ4973" s="67"/>
      <c r="HK4973" s="67"/>
      <c r="HL4973" s="67"/>
      <c r="HM4973" s="67"/>
      <c r="HN4973" s="67"/>
      <c r="HO4973" s="67"/>
      <c r="HP4973" s="67"/>
      <c r="HQ4973" s="67"/>
      <c r="HR4973" s="67"/>
      <c r="HS4973" s="67">
        <v>134.4</v>
      </c>
      <c r="HT4973" s="67">
        <v>192.9</v>
      </c>
      <c r="HU4973" s="67"/>
      <c r="HV4973" s="67"/>
      <c r="HW4973" s="67" t="s">
        <v>5476</v>
      </c>
      <c r="HX4973" s="67"/>
      <c r="HY4973" s="67"/>
      <c r="HZ4973" s="67"/>
      <c r="IA4973" s="67"/>
      <c r="IB4973" s="67"/>
      <c r="IC4973" s="67"/>
      <c r="ID4973" s="67"/>
      <c r="IE4973" s="67"/>
      <c r="IF4973" s="67"/>
      <c r="IG4973" s="67"/>
      <c r="IH4973" s="67"/>
      <c r="II4973" s="67"/>
      <c r="IJ4973" s="67"/>
      <c r="IK4973" s="67"/>
      <c r="IL4973" s="67"/>
      <c r="IM4973" s="67"/>
      <c r="IN4973" s="67"/>
      <c r="IO4973" s="67"/>
      <c r="IP4973" s="67"/>
      <c r="IQ4973" s="67"/>
      <c r="IR4973" s="67"/>
      <c r="IS4973" s="67"/>
      <c r="IT4973" s="67"/>
      <c r="IU4973" s="67"/>
      <c r="IV4973" s="67"/>
      <c r="IW4973" s="67"/>
      <c r="IX4973" s="67"/>
      <c r="IY4973" s="67"/>
      <c r="IZ4973" s="67"/>
      <c r="JA4973" s="67"/>
      <c r="JB4973" s="67"/>
      <c r="JC4973" s="67"/>
      <c r="JD4973" s="67"/>
      <c r="JE4973" s="67"/>
      <c r="JF4973" s="67"/>
      <c r="JG4973" s="67">
        <v>420.8</v>
      </c>
      <c r="JH4973" s="67">
        <v>512.70000000000005</v>
      </c>
      <c r="JI4973" s="67"/>
      <c r="JJ4973" s="67"/>
      <c r="JK4973" s="67" t="s">
        <v>5475</v>
      </c>
      <c r="JL4973" s="67">
        <v>39.700000000000003</v>
      </c>
      <c r="JM4973" s="67">
        <v>61</v>
      </c>
      <c r="JN4973" s="67"/>
      <c r="JO4973" s="67"/>
      <c r="JP4973" s="67" t="s">
        <v>5475</v>
      </c>
      <c r="JQ4973" s="67"/>
      <c r="JR4973" s="67"/>
      <c r="JS4973" s="67"/>
      <c r="JT4973" s="67"/>
      <c r="JU4973" s="58"/>
      <c r="JV4973" s="58"/>
      <c r="JW4973" s="58"/>
    </row>
    <row r="4974" spans="1:283" s="23" customFormat="1" x14ac:dyDescent="0.25">
      <c r="A4974" s="55">
        <v>4973</v>
      </c>
      <c r="B4974" s="12" t="s">
        <v>7067</v>
      </c>
      <c r="C4974" s="156">
        <v>244</v>
      </c>
      <c r="D4974" s="58" t="s">
        <v>4965</v>
      </c>
      <c r="E4974" s="160" t="str">
        <f>G4974</f>
        <v>Kramer et al. 2006_orchard 2</v>
      </c>
      <c r="F4974" s="160"/>
      <c r="G4974" s="60" t="s">
        <v>4763</v>
      </c>
      <c r="H4974" s="58">
        <v>2006</v>
      </c>
      <c r="I4974" s="58" t="s">
        <v>5470</v>
      </c>
      <c r="J4974" s="243" t="s">
        <v>5315</v>
      </c>
      <c r="K4974" s="63" t="s">
        <v>5099</v>
      </c>
      <c r="L4974" s="58" t="s">
        <v>2737</v>
      </c>
      <c r="M4974" s="94" t="s">
        <v>5472</v>
      </c>
      <c r="N4974" s="94" t="s">
        <v>5473</v>
      </c>
      <c r="O4974" s="94" t="s">
        <v>5474</v>
      </c>
      <c r="P4974" s="58"/>
      <c r="Q4974" s="244">
        <v>10.7</v>
      </c>
      <c r="R4974" s="58"/>
      <c r="S4974" s="245">
        <v>200</v>
      </c>
      <c r="T4974" s="58"/>
      <c r="U4974" s="58" t="s">
        <v>1933</v>
      </c>
      <c r="V4974" s="244">
        <v>9</v>
      </c>
      <c r="W4974" s="174"/>
      <c r="X4974" s="174"/>
      <c r="Y4974" s="58" t="s">
        <v>5471</v>
      </c>
      <c r="Z4974" s="244" t="s">
        <v>1347</v>
      </c>
      <c r="AA4974" s="245">
        <v>7.5</v>
      </c>
      <c r="AB4974" s="67"/>
      <c r="AC4974" s="67"/>
      <c r="AD4974" s="94"/>
      <c r="AE4974" s="94"/>
      <c r="AF4974" s="94"/>
      <c r="AG4974" s="245"/>
      <c r="AH4974" s="58"/>
      <c r="AI4974" s="169"/>
      <c r="AJ4974" s="94"/>
      <c r="AK4974" s="94"/>
      <c r="AL4974" s="58"/>
      <c r="AM4974" s="58"/>
      <c r="AN4974" s="186" t="s">
        <v>114</v>
      </c>
      <c r="AO4974" s="185" t="s">
        <v>5150</v>
      </c>
      <c r="AP4974" s="58"/>
      <c r="AQ4974" s="58" t="s">
        <v>553</v>
      </c>
      <c r="AR4974" s="58" t="s">
        <v>3680</v>
      </c>
      <c r="AS4974" s="246" t="s">
        <v>3471</v>
      </c>
      <c r="AT4974" s="247">
        <v>0</v>
      </c>
      <c r="AU4974" s="181" t="s">
        <v>7494</v>
      </c>
      <c r="AV4974" s="185" t="s">
        <v>176</v>
      </c>
      <c r="AW4974" s="244">
        <v>0</v>
      </c>
      <c r="AX4974" s="185" t="s">
        <v>176</v>
      </c>
      <c r="AY4974" s="244" t="s">
        <v>176</v>
      </c>
      <c r="AZ4974" s="58"/>
      <c r="BA4974" s="58"/>
      <c r="BB4974" s="58"/>
      <c r="BC4974" s="58"/>
      <c r="BD4974" s="58"/>
      <c r="BE4974" s="236" t="s">
        <v>5196</v>
      </c>
      <c r="BF4974" s="191" t="s">
        <v>479</v>
      </c>
      <c r="BG4974" s="191" t="s">
        <v>479</v>
      </c>
      <c r="BH4974" s="236" t="s">
        <v>5248</v>
      </c>
      <c r="BI4974" s="191" t="s">
        <v>479</v>
      </c>
      <c r="BJ4974" s="58" t="str">
        <f>IF(BE4974=BH4974,"No","yes")</f>
        <v>yes</v>
      </c>
      <c r="BK4974" s="58" t="s">
        <v>6335</v>
      </c>
      <c r="BL4974" s="58"/>
      <c r="BM4974" s="237"/>
      <c r="BN4974" s="244">
        <v>4</v>
      </c>
      <c r="BO4974" s="244">
        <v>4</v>
      </c>
      <c r="BP4974" s="58"/>
      <c r="BQ4974" s="58"/>
      <c r="BR4974" s="58"/>
      <c r="BS4974" s="58"/>
      <c r="BT4974" s="58"/>
      <c r="BU4974" s="58"/>
      <c r="BV4974" s="58" t="s">
        <v>5464</v>
      </c>
      <c r="BW4974" s="67"/>
      <c r="BX4974" s="67"/>
      <c r="BY4974" s="67"/>
      <c r="BZ4974" s="67"/>
      <c r="CA4974" s="67"/>
      <c r="CB4974" s="70"/>
      <c r="CC4974" s="70"/>
      <c r="CD4974" s="70"/>
      <c r="CE4974" s="67"/>
      <c r="CF4974" s="67"/>
      <c r="CG4974" s="67"/>
      <c r="CH4974" s="245"/>
      <c r="CI4974" s="245"/>
      <c r="CJ4974" s="67"/>
      <c r="CK4974" s="67"/>
      <c r="CL4974" s="67"/>
      <c r="CM4974" s="242">
        <v>1.8023255813953489</v>
      </c>
      <c r="CN4974" s="242">
        <v>1.9767441860465116</v>
      </c>
      <c r="CO4974" s="242">
        <v>0.1802325581395349</v>
      </c>
      <c r="CP4974" s="242">
        <v>0.19767441860465118</v>
      </c>
      <c r="CQ4974" s="242" t="s">
        <v>164</v>
      </c>
      <c r="CR4974" s="242">
        <v>18.82906868267353</v>
      </c>
      <c r="CS4974" s="242">
        <v>20.354502275281988</v>
      </c>
      <c r="CT4974" s="242">
        <v>1.8829068682673531</v>
      </c>
      <c r="CU4974" s="242">
        <v>2.0354502275281989</v>
      </c>
      <c r="CV4974" s="242" t="s">
        <v>5151</v>
      </c>
      <c r="CW4974" s="242"/>
      <c r="CX4974" s="242"/>
      <c r="CY4974" s="242"/>
      <c r="CZ4974" s="242"/>
      <c r="DA4974" s="67" t="s">
        <v>5443</v>
      </c>
      <c r="DB4974" s="67">
        <v>1242</v>
      </c>
      <c r="DC4974" s="67">
        <v>1955</v>
      </c>
      <c r="DD4974" s="67"/>
      <c r="DE4974" s="67"/>
      <c r="DF4974" s="67" t="s">
        <v>325</v>
      </c>
      <c r="DG4974" s="67"/>
      <c r="DH4974" s="67"/>
      <c r="DI4974" s="67"/>
      <c r="DJ4974" s="67"/>
      <c r="DK4974" s="67"/>
      <c r="DL4974" s="67"/>
      <c r="DM4974" s="67"/>
      <c r="DN4974" s="67"/>
      <c r="DO4974" s="67"/>
      <c r="DP4974" s="67"/>
      <c r="DQ4974" s="166"/>
      <c r="DR4974" s="166"/>
      <c r="DS4974" s="163"/>
      <c r="DT4974" s="163"/>
      <c r="DU4974" s="67"/>
      <c r="DV4974" s="67"/>
      <c r="DW4974" s="67"/>
      <c r="DX4974" s="67"/>
      <c r="DY4974" s="67"/>
      <c r="DZ4974" s="67"/>
      <c r="EA4974" s="67"/>
      <c r="EB4974" s="67"/>
      <c r="EC4974" s="67"/>
      <c r="ED4974" s="67"/>
      <c r="EE4974" s="67"/>
      <c r="EF4974" s="67"/>
      <c r="EG4974" s="67"/>
      <c r="EH4974" s="67"/>
      <c r="EI4974" s="67"/>
      <c r="EJ4974" s="67"/>
      <c r="EK4974" s="94"/>
      <c r="EL4974" s="94"/>
      <c r="EM4974" s="67"/>
      <c r="EN4974" s="67"/>
      <c r="EO4974" s="67"/>
      <c r="EP4974" s="67"/>
      <c r="EQ4974" s="67"/>
      <c r="ER4974" s="67"/>
      <c r="ES4974" s="67"/>
      <c r="ET4974" s="67"/>
      <c r="EU4974" s="67"/>
      <c r="EV4974" s="67"/>
      <c r="EW4974" s="67"/>
      <c r="EX4974" s="67"/>
      <c r="EY4974" s="67"/>
      <c r="EZ4974" s="67"/>
      <c r="FA4974" s="67"/>
      <c r="FB4974" s="67"/>
      <c r="FC4974" s="67"/>
      <c r="FD4974" s="67"/>
      <c r="FE4974" s="67"/>
      <c r="FF4974" s="67"/>
      <c r="FG4974" s="67"/>
      <c r="FH4974" s="67"/>
      <c r="FI4974" s="67"/>
      <c r="FJ4974" s="67"/>
      <c r="FK4974" s="67"/>
      <c r="FL4974" s="67"/>
      <c r="FM4974" s="67"/>
      <c r="FN4974" s="67"/>
      <c r="FO4974" s="67"/>
      <c r="FP4974" s="67"/>
      <c r="FQ4974" s="67"/>
      <c r="FR4974" s="67"/>
      <c r="FS4974" s="67"/>
      <c r="FT4974" s="67"/>
      <c r="FU4974" s="67"/>
      <c r="FV4974" s="67"/>
      <c r="FW4974" s="67"/>
      <c r="FX4974" s="67"/>
      <c r="FY4974" s="67"/>
      <c r="FZ4974" s="67"/>
      <c r="GA4974" s="67"/>
      <c r="GB4974" s="67"/>
      <c r="GC4974" s="67"/>
      <c r="GD4974" s="67"/>
      <c r="GE4974" s="67"/>
      <c r="GF4974" s="67"/>
      <c r="GG4974" s="67"/>
      <c r="GH4974" s="67"/>
      <c r="GI4974" s="67"/>
      <c r="GJ4974" s="67"/>
      <c r="GK4974" s="67"/>
      <c r="GL4974" s="67"/>
      <c r="GM4974" s="67"/>
      <c r="GN4974" s="292"/>
      <c r="GO4974" s="292"/>
      <c r="GP4974" s="292" t="s">
        <v>7494</v>
      </c>
      <c r="GQ4974" s="67"/>
      <c r="GR4974" s="67"/>
      <c r="GS4974" s="67"/>
      <c r="GT4974" s="67"/>
      <c r="GU4974" s="67"/>
      <c r="GV4974" s="67"/>
      <c r="GW4974" s="67"/>
      <c r="GX4974" s="67"/>
      <c r="GY4974" s="67"/>
      <c r="GZ4974" s="67"/>
      <c r="HA4974" s="67"/>
      <c r="HB4974" s="67"/>
      <c r="HC4974" s="67"/>
      <c r="HD4974" s="67"/>
      <c r="HE4974" s="67"/>
      <c r="HF4974" s="67"/>
      <c r="HG4974" s="67"/>
      <c r="HH4974" s="67"/>
      <c r="HI4974" s="67"/>
      <c r="HJ4974" s="67"/>
      <c r="HK4974" s="67"/>
      <c r="HL4974" s="67"/>
      <c r="HM4974" s="67"/>
      <c r="HN4974" s="67"/>
      <c r="HO4974" s="67"/>
      <c r="HP4974" s="67"/>
      <c r="HQ4974" s="67"/>
      <c r="HR4974" s="67"/>
      <c r="HS4974" s="67">
        <v>131.30000000000001</v>
      </c>
      <c r="HT4974" s="67">
        <v>192.9</v>
      </c>
      <c r="HU4974" s="67"/>
      <c r="HV4974" s="67"/>
      <c r="HW4974" s="67" t="s">
        <v>5476</v>
      </c>
      <c r="HX4974" s="67"/>
      <c r="HY4974" s="67"/>
      <c r="HZ4974" s="67"/>
      <c r="IA4974" s="67"/>
      <c r="IB4974" s="67"/>
      <c r="IC4974" s="67"/>
      <c r="ID4974" s="67"/>
      <c r="IE4974" s="67"/>
      <c r="IF4974" s="67"/>
      <c r="IG4974" s="67"/>
      <c r="IH4974" s="67"/>
      <c r="II4974" s="67"/>
      <c r="IJ4974" s="67"/>
      <c r="IK4974" s="67"/>
      <c r="IL4974" s="67"/>
      <c r="IM4974" s="67"/>
      <c r="IN4974" s="67"/>
      <c r="IO4974" s="67"/>
      <c r="IP4974" s="67"/>
      <c r="IQ4974" s="67"/>
      <c r="IR4974" s="67"/>
      <c r="IS4974" s="67"/>
      <c r="IT4974" s="67"/>
      <c r="IU4974" s="67"/>
      <c r="IV4974" s="67"/>
      <c r="IW4974" s="67"/>
      <c r="IX4974" s="67"/>
      <c r="IY4974" s="67"/>
      <c r="IZ4974" s="67"/>
      <c r="JA4974" s="67"/>
      <c r="JB4974" s="67"/>
      <c r="JC4974" s="67"/>
      <c r="JD4974" s="67"/>
      <c r="JE4974" s="67"/>
      <c r="JF4974" s="67"/>
      <c r="JG4974" s="67">
        <v>357.7</v>
      </c>
      <c r="JH4974" s="67">
        <v>512.70000000000005</v>
      </c>
      <c r="JI4974" s="67"/>
      <c r="JJ4974" s="67"/>
      <c r="JK4974" s="67" t="s">
        <v>5475</v>
      </c>
      <c r="JL4974" s="67">
        <v>34</v>
      </c>
      <c r="JM4974" s="67">
        <v>61</v>
      </c>
      <c r="JN4974" s="67"/>
      <c r="JO4974" s="67"/>
      <c r="JP4974" s="67" t="s">
        <v>5475</v>
      </c>
      <c r="JQ4974" s="67"/>
      <c r="JR4974" s="67"/>
      <c r="JS4974" s="67"/>
      <c r="JT4974" s="67"/>
      <c r="JU4974" s="58"/>
      <c r="JV4974" s="58"/>
      <c r="JW4974" s="58"/>
    </row>
    <row r="4975" spans="1:283" s="23" customFormat="1" x14ac:dyDescent="0.25">
      <c r="A4975" s="55">
        <v>4974</v>
      </c>
      <c r="B4975" s="12" t="s">
        <v>7067</v>
      </c>
      <c r="C4975" s="156">
        <v>245</v>
      </c>
      <c r="D4975" s="58" t="s">
        <v>4966</v>
      </c>
      <c r="E4975" s="160" t="str">
        <f>G4975</f>
        <v>Leifeld et al. 2009_DOK 1</v>
      </c>
      <c r="F4975" s="160"/>
      <c r="G4975" s="60" t="s">
        <v>4762</v>
      </c>
      <c r="H4975" s="58">
        <v>2009</v>
      </c>
      <c r="I4975" s="58" t="s">
        <v>5483</v>
      </c>
      <c r="J4975" s="243" t="s">
        <v>282</v>
      </c>
      <c r="K4975" s="63" t="s">
        <v>5098</v>
      </c>
      <c r="L4975" s="58" t="s">
        <v>5333</v>
      </c>
      <c r="M4975" s="94" t="s">
        <v>4621</v>
      </c>
      <c r="N4975" s="94" t="s">
        <v>1676</v>
      </c>
      <c r="O4975" s="94" t="s">
        <v>5481</v>
      </c>
      <c r="P4975" s="58"/>
      <c r="Q4975" s="244">
        <v>9.5</v>
      </c>
      <c r="R4975" s="58"/>
      <c r="S4975" s="245">
        <v>785</v>
      </c>
      <c r="T4975" s="58"/>
      <c r="U4975" s="58" t="s">
        <v>5482</v>
      </c>
      <c r="V4975" s="244">
        <v>27</v>
      </c>
      <c r="W4975" s="174"/>
      <c r="X4975" s="174"/>
      <c r="Y4975" s="58" t="s">
        <v>5478</v>
      </c>
      <c r="Z4975" s="244" t="s">
        <v>1346</v>
      </c>
      <c r="AA4975" s="245">
        <v>20</v>
      </c>
      <c r="AB4975" s="67"/>
      <c r="AC4975" s="67"/>
      <c r="AD4975" s="94"/>
      <c r="AE4975" s="94" t="s">
        <v>1889</v>
      </c>
      <c r="AF4975" s="94">
        <f>100-AE4975-AG4975</f>
        <v>72.5</v>
      </c>
      <c r="AG4975" s="245">
        <v>15.5</v>
      </c>
      <c r="AH4975" s="58" t="s">
        <v>6378</v>
      </c>
      <c r="AI4975" s="169"/>
      <c r="AJ4975" s="94"/>
      <c r="AK4975" s="94"/>
      <c r="AL4975" s="58"/>
      <c r="AM4975" s="58"/>
      <c r="AN4975" s="186" t="s">
        <v>5479</v>
      </c>
      <c r="AO4975" s="185" t="s">
        <v>5150</v>
      </c>
      <c r="AP4975" s="58"/>
      <c r="AQ4975" s="58" t="s">
        <v>1546</v>
      </c>
      <c r="AR4975" s="58" t="s">
        <v>116</v>
      </c>
      <c r="AS4975" s="246" t="s">
        <v>5133</v>
      </c>
      <c r="AT4975" s="247">
        <v>1</v>
      </c>
      <c r="AU4975" s="181" t="s">
        <v>7494</v>
      </c>
      <c r="AV4975" s="185" t="s">
        <v>176</v>
      </c>
      <c r="AW4975" s="244">
        <v>1</v>
      </c>
      <c r="AX4975" s="185" t="s">
        <v>176</v>
      </c>
      <c r="AY4975" s="244" t="s">
        <v>176</v>
      </c>
      <c r="AZ4975" s="58"/>
      <c r="BA4975" s="58"/>
      <c r="BB4975" s="58"/>
      <c r="BC4975" s="58"/>
      <c r="BD4975" s="58"/>
      <c r="BE4975" s="236" t="s">
        <v>5197</v>
      </c>
      <c r="BF4975" s="191" t="s">
        <v>176</v>
      </c>
      <c r="BG4975" s="191" t="s">
        <v>479</v>
      </c>
      <c r="BH4975" s="236" t="s">
        <v>5262</v>
      </c>
      <c r="BI4975" s="191" t="s">
        <v>479</v>
      </c>
      <c r="BJ4975" s="58" t="str">
        <f>IF(BE4975=BH4975,"No","yes")</f>
        <v>yes</v>
      </c>
      <c r="BK4975" s="58" t="s">
        <v>6335</v>
      </c>
      <c r="BL4975" s="58"/>
      <c r="BM4975" s="237"/>
      <c r="BN4975" s="244">
        <v>12</v>
      </c>
      <c r="BO4975" s="244">
        <v>12</v>
      </c>
      <c r="BP4975" s="58"/>
      <c r="BQ4975" s="58"/>
      <c r="BR4975" s="58"/>
      <c r="BS4975" s="58"/>
      <c r="BT4975" s="58"/>
      <c r="BU4975" s="58"/>
      <c r="BV4975" s="58"/>
      <c r="BW4975" s="67"/>
      <c r="BX4975" s="67"/>
      <c r="BY4975" s="67"/>
      <c r="BZ4975" s="67"/>
      <c r="CA4975" s="67"/>
      <c r="CB4975" s="70"/>
      <c r="CC4975" s="70"/>
      <c r="CD4975" s="70"/>
      <c r="CE4975" s="67"/>
      <c r="CF4975" s="67"/>
      <c r="CG4975" s="67"/>
      <c r="CH4975" s="245"/>
      <c r="CI4975" s="245"/>
      <c r="CJ4975" s="67"/>
      <c r="CK4975" s="67"/>
      <c r="CL4975" s="67"/>
      <c r="CM4975" s="242">
        <v>1.1890000000000001</v>
      </c>
      <c r="CN4975" s="242">
        <v>1.34</v>
      </c>
      <c r="CO4975" s="242">
        <v>0.11890000000000001</v>
      </c>
      <c r="CP4975" s="242">
        <v>0.13400000000000001</v>
      </c>
      <c r="CQ4975" s="242" t="s">
        <v>164</v>
      </c>
      <c r="CR4975" s="242">
        <v>35.799999999999997</v>
      </c>
      <c r="CS4975" s="242">
        <v>42.1</v>
      </c>
      <c r="CT4975" s="242">
        <v>2.6</v>
      </c>
      <c r="CU4975" s="242">
        <v>6</v>
      </c>
      <c r="CV4975" s="242" t="s">
        <v>5151</v>
      </c>
      <c r="CW4975" s="242">
        <v>-140.74074074074088</v>
      </c>
      <c r="CX4975" s="242">
        <v>-140.74074074074065</v>
      </c>
      <c r="CY4975" s="242">
        <v>-14.074074074074089</v>
      </c>
      <c r="CZ4975" s="242">
        <v>-14.074074074074066</v>
      </c>
      <c r="DA4975" s="67" t="s">
        <v>5443</v>
      </c>
      <c r="DB4975" s="67"/>
      <c r="DC4975" s="67"/>
      <c r="DD4975" s="67"/>
      <c r="DE4975" s="67"/>
      <c r="DF4975" s="67"/>
      <c r="DG4975" s="67"/>
      <c r="DH4975" s="67"/>
      <c r="DI4975" s="67"/>
      <c r="DJ4975" s="67"/>
      <c r="DK4975" s="67"/>
      <c r="DL4975" s="67"/>
      <c r="DM4975" s="67"/>
      <c r="DN4975" s="67"/>
      <c r="DO4975" s="67"/>
      <c r="DP4975" s="67"/>
      <c r="DQ4975" s="166"/>
      <c r="DR4975" s="166"/>
      <c r="DS4975" s="163"/>
      <c r="DT4975" s="163"/>
      <c r="DU4975" s="67"/>
      <c r="DV4975" s="67"/>
      <c r="DW4975" s="67"/>
      <c r="DX4975" s="67"/>
      <c r="DY4975" s="67"/>
      <c r="DZ4975" s="67"/>
      <c r="EA4975" s="67"/>
      <c r="EB4975" s="67"/>
      <c r="EC4975" s="67"/>
      <c r="ED4975" s="67"/>
      <c r="EE4975" s="67"/>
      <c r="EF4975" s="67"/>
      <c r="EG4975" s="67"/>
      <c r="EH4975" s="67"/>
      <c r="EI4975" s="67"/>
      <c r="EJ4975" s="67"/>
      <c r="EK4975" s="94"/>
      <c r="EL4975" s="94"/>
      <c r="EM4975" s="67"/>
      <c r="EN4975" s="67"/>
      <c r="EO4975" s="67"/>
      <c r="EP4975" s="67"/>
      <c r="EQ4975" s="67"/>
      <c r="ER4975" s="67"/>
      <c r="ES4975" s="67"/>
      <c r="ET4975" s="67"/>
      <c r="EU4975" s="67"/>
      <c r="EV4975" s="67"/>
      <c r="EW4975" s="67"/>
      <c r="EX4975" s="67"/>
      <c r="EY4975" s="67"/>
      <c r="EZ4975" s="67"/>
      <c r="FA4975" s="67"/>
      <c r="FB4975" s="67"/>
      <c r="FC4975" s="67"/>
      <c r="FD4975" s="67"/>
      <c r="FE4975" s="67"/>
      <c r="FF4975" s="67"/>
      <c r="FG4975" s="67"/>
      <c r="FH4975" s="67"/>
      <c r="FI4975" s="67"/>
      <c r="FJ4975" s="67"/>
      <c r="FK4975" s="67"/>
      <c r="FL4975" s="67"/>
      <c r="FM4975" s="67"/>
      <c r="FN4975" s="67"/>
      <c r="FO4975" s="67"/>
      <c r="FP4975" s="67"/>
      <c r="FQ4975" s="67"/>
      <c r="FR4975" s="67"/>
      <c r="FS4975" s="67"/>
      <c r="FT4975" s="67"/>
      <c r="FU4975" s="67"/>
      <c r="FV4975" s="67"/>
      <c r="FW4975" s="67"/>
      <c r="FX4975" s="67"/>
      <c r="FY4975" s="67"/>
      <c r="FZ4975" s="67"/>
      <c r="GA4975" s="67"/>
      <c r="GB4975" s="67"/>
      <c r="GC4975" s="67"/>
      <c r="GD4975" s="67"/>
      <c r="GE4975" s="67"/>
      <c r="GF4975" s="67"/>
      <c r="GG4975" s="67"/>
      <c r="GH4975" s="67"/>
      <c r="GI4975" s="67"/>
      <c r="GJ4975" s="67"/>
      <c r="GK4975" s="67"/>
      <c r="GL4975" s="67"/>
      <c r="GM4975" s="67"/>
      <c r="GN4975" s="292"/>
      <c r="GO4975" s="292"/>
      <c r="GP4975" s="292" t="s">
        <v>7494</v>
      </c>
      <c r="GQ4975" s="67"/>
      <c r="GR4975" s="67"/>
      <c r="GS4975" s="67"/>
      <c r="GT4975" s="67"/>
      <c r="GU4975" s="67"/>
      <c r="GV4975" s="67"/>
      <c r="GW4975" s="67"/>
      <c r="GX4975" s="67"/>
      <c r="GY4975" s="67"/>
      <c r="GZ4975" s="67"/>
      <c r="HA4975" s="67"/>
      <c r="HB4975" s="67"/>
      <c r="HC4975" s="67"/>
      <c r="HD4975" s="67"/>
      <c r="HE4975" s="67"/>
      <c r="HF4975" s="67"/>
      <c r="HG4975" s="67"/>
      <c r="HH4975" s="67"/>
      <c r="HI4975" s="67"/>
      <c r="HJ4975" s="67"/>
      <c r="HK4975" s="67"/>
      <c r="HL4975" s="67"/>
      <c r="HM4975" s="67"/>
      <c r="HN4975" s="67"/>
      <c r="HO4975" s="67"/>
      <c r="HP4975" s="67"/>
      <c r="HQ4975" s="67"/>
      <c r="HR4975" s="67"/>
      <c r="HS4975" s="67"/>
      <c r="HT4975" s="67"/>
      <c r="HU4975" s="67"/>
      <c r="HV4975" s="67"/>
      <c r="HW4975" s="67"/>
      <c r="HX4975" s="67"/>
      <c r="HY4975" s="67"/>
      <c r="HZ4975" s="67"/>
      <c r="IA4975" s="67"/>
      <c r="IB4975" s="67"/>
      <c r="IC4975" s="67"/>
      <c r="ID4975" s="67"/>
      <c r="IE4975" s="67"/>
      <c r="IF4975" s="67"/>
      <c r="IG4975" s="67"/>
      <c r="IH4975" s="67"/>
      <c r="II4975" s="67"/>
      <c r="IJ4975" s="67"/>
      <c r="IK4975" s="67"/>
      <c r="IL4975" s="67"/>
      <c r="IM4975" s="67"/>
      <c r="IN4975" s="67"/>
      <c r="IO4975" s="67"/>
      <c r="IP4975" s="67"/>
      <c r="IQ4975" s="67"/>
      <c r="IR4975" s="67"/>
      <c r="IS4975" s="67"/>
      <c r="IT4975" s="67"/>
      <c r="IU4975" s="67"/>
      <c r="IV4975" s="67"/>
      <c r="IW4975" s="67"/>
      <c r="IX4975" s="67"/>
      <c r="IY4975" s="67"/>
      <c r="IZ4975" s="67"/>
      <c r="JA4975" s="67"/>
      <c r="JB4975" s="67"/>
      <c r="JC4975" s="67"/>
      <c r="JD4975" s="67"/>
      <c r="JE4975" s="67"/>
      <c r="JF4975" s="67"/>
      <c r="JG4975" s="67"/>
      <c r="JH4975" s="67"/>
      <c r="JI4975" s="67"/>
      <c r="JJ4975" s="67"/>
      <c r="JK4975" s="67"/>
      <c r="JL4975" s="67"/>
      <c r="JM4975" s="67"/>
      <c r="JN4975" s="67"/>
      <c r="JO4975" s="67"/>
      <c r="JP4975" s="67"/>
      <c r="JQ4975" s="67"/>
      <c r="JR4975" s="67"/>
      <c r="JS4975" s="67"/>
      <c r="JT4975" s="67"/>
      <c r="JU4975" s="58"/>
      <c r="JV4975" s="58"/>
      <c r="JW4975" s="58"/>
    </row>
    <row r="4976" spans="1:283" s="23" customFormat="1" x14ac:dyDescent="0.25">
      <c r="A4976" s="55">
        <v>4975</v>
      </c>
      <c r="B4976" s="12" t="s">
        <v>7067</v>
      </c>
      <c r="C4976" s="156">
        <v>245</v>
      </c>
      <c r="D4976" s="58" t="s">
        <v>4967</v>
      </c>
      <c r="E4976" s="160" t="str">
        <f>G4976</f>
        <v>Leifeld et al. 2009_DOK 2</v>
      </c>
      <c r="F4976" s="160"/>
      <c r="G4976" s="60" t="s">
        <v>4761</v>
      </c>
      <c r="H4976" s="58">
        <v>2009</v>
      </c>
      <c r="I4976" s="58" t="s">
        <v>5483</v>
      </c>
      <c r="J4976" s="243" t="s">
        <v>282</v>
      </c>
      <c r="K4976" s="63" t="s">
        <v>5098</v>
      </c>
      <c r="L4976" s="58" t="s">
        <v>5333</v>
      </c>
      <c r="M4976" s="94" t="s">
        <v>4621</v>
      </c>
      <c r="N4976" s="94" t="s">
        <v>1676</v>
      </c>
      <c r="O4976" s="94" t="s">
        <v>5481</v>
      </c>
      <c r="P4976" s="58"/>
      <c r="Q4976" s="244">
        <v>9.5</v>
      </c>
      <c r="R4976" s="58"/>
      <c r="S4976" s="245">
        <v>785</v>
      </c>
      <c r="T4976" s="58"/>
      <c r="U4976" s="58" t="s">
        <v>5482</v>
      </c>
      <c r="V4976" s="244">
        <v>27</v>
      </c>
      <c r="W4976" s="174"/>
      <c r="X4976" s="174"/>
      <c r="Y4976" s="58" t="s">
        <v>5478</v>
      </c>
      <c r="Z4976" s="244" t="s">
        <v>1346</v>
      </c>
      <c r="AA4976" s="245">
        <v>20</v>
      </c>
      <c r="AB4976" s="67"/>
      <c r="AC4976" s="67"/>
      <c r="AD4976" s="94"/>
      <c r="AE4976" s="94" t="s">
        <v>1889</v>
      </c>
      <c r="AF4976" s="94">
        <f>100-AE4976-AG4976</f>
        <v>72.5</v>
      </c>
      <c r="AG4976" s="245">
        <v>15.5</v>
      </c>
      <c r="AH4976" s="58" t="s">
        <v>6378</v>
      </c>
      <c r="AI4976" s="169"/>
      <c r="AJ4976" s="94"/>
      <c r="AK4976" s="94"/>
      <c r="AL4976" s="58"/>
      <c r="AM4976" s="58"/>
      <c r="AN4976" s="186" t="s">
        <v>5479</v>
      </c>
      <c r="AO4976" s="185" t="s">
        <v>5150</v>
      </c>
      <c r="AP4976" s="58"/>
      <c r="AQ4976" s="58" t="s">
        <v>1546</v>
      </c>
      <c r="AR4976" s="58" t="s">
        <v>116</v>
      </c>
      <c r="AS4976" s="246" t="s">
        <v>5133</v>
      </c>
      <c r="AT4976" s="247">
        <v>1</v>
      </c>
      <c r="AU4976" s="181" t="s">
        <v>7494</v>
      </c>
      <c r="AV4976" s="185" t="s">
        <v>176</v>
      </c>
      <c r="AW4976" s="244">
        <v>1</v>
      </c>
      <c r="AX4976" s="185" t="s">
        <v>176</v>
      </c>
      <c r="AY4976" s="244" t="s">
        <v>176</v>
      </c>
      <c r="AZ4976" s="58"/>
      <c r="BA4976" s="58"/>
      <c r="BB4976" s="58"/>
      <c r="BC4976" s="58"/>
      <c r="BD4976" s="58"/>
      <c r="BE4976" s="236" t="s">
        <v>5153</v>
      </c>
      <c r="BF4976" s="191" t="s">
        <v>176</v>
      </c>
      <c r="BG4976" s="191" t="s">
        <v>176</v>
      </c>
      <c r="BH4976" s="236" t="s">
        <v>5262</v>
      </c>
      <c r="BI4976" s="191" t="s">
        <v>479</v>
      </c>
      <c r="BJ4976" s="58" t="str">
        <f>IF(BE4976=BH4976,"No","yes")</f>
        <v>yes</v>
      </c>
      <c r="BK4976" s="58" t="s">
        <v>6335</v>
      </c>
      <c r="BL4976" s="58"/>
      <c r="BM4976" s="237"/>
      <c r="BN4976" s="244">
        <v>12</v>
      </c>
      <c r="BO4976" s="244">
        <v>12</v>
      </c>
      <c r="BP4976" s="58"/>
      <c r="BQ4976" s="58"/>
      <c r="BR4976" s="58"/>
      <c r="BS4976" s="58"/>
      <c r="BT4976" s="58"/>
      <c r="BU4976" s="58"/>
      <c r="BV4976" s="58"/>
      <c r="BW4976" s="67"/>
      <c r="BX4976" s="67"/>
      <c r="BY4976" s="67"/>
      <c r="BZ4976" s="67"/>
      <c r="CA4976" s="67"/>
      <c r="CB4976" s="70"/>
      <c r="CC4976" s="70"/>
      <c r="CD4976" s="70"/>
      <c r="CE4976" s="67"/>
      <c r="CF4976" s="67"/>
      <c r="CG4976" s="67"/>
      <c r="CH4976" s="245"/>
      <c r="CI4976" s="245"/>
      <c r="CJ4976" s="67"/>
      <c r="CK4976" s="67"/>
      <c r="CL4976" s="67"/>
      <c r="CM4976" s="242">
        <v>1.3</v>
      </c>
      <c r="CN4976" s="242">
        <v>1.34</v>
      </c>
      <c r="CO4976" s="242">
        <v>0.13</v>
      </c>
      <c r="CP4976" s="242">
        <v>0.13400000000000001</v>
      </c>
      <c r="CQ4976" s="242" t="s">
        <v>164</v>
      </c>
      <c r="CR4976" s="242">
        <v>37.799999999999997</v>
      </c>
      <c r="CS4976" s="242">
        <v>42.1</v>
      </c>
      <c r="CT4976" s="242">
        <v>4.8</v>
      </c>
      <c r="CU4976" s="242">
        <v>6</v>
      </c>
      <c r="CV4976" s="242" t="s">
        <v>5151</v>
      </c>
      <c r="CW4976" s="242">
        <v>-218.51851851851873</v>
      </c>
      <c r="CX4976" s="242">
        <v>-140.74074074074065</v>
      </c>
      <c r="CY4976" s="242">
        <v>-21.851851851851876</v>
      </c>
      <c r="CZ4976" s="242">
        <v>-14.074074074074066</v>
      </c>
      <c r="DA4976" s="67" t="s">
        <v>5443</v>
      </c>
      <c r="DB4976" s="67"/>
      <c r="DC4976" s="67"/>
      <c r="DD4976" s="67"/>
      <c r="DE4976" s="67"/>
      <c r="DF4976" s="67"/>
      <c r="DG4976" s="67"/>
      <c r="DH4976" s="67"/>
      <c r="DI4976" s="67"/>
      <c r="DJ4976" s="67"/>
      <c r="DK4976" s="67"/>
      <c r="DL4976" s="67"/>
      <c r="DM4976" s="67"/>
      <c r="DN4976" s="67"/>
      <c r="DO4976" s="67"/>
      <c r="DP4976" s="67"/>
      <c r="DQ4976" s="166"/>
      <c r="DR4976" s="166"/>
      <c r="DS4976" s="163"/>
      <c r="DT4976" s="163"/>
      <c r="DU4976" s="67"/>
      <c r="DV4976" s="67"/>
      <c r="DW4976" s="67"/>
      <c r="DX4976" s="67"/>
      <c r="DY4976" s="67"/>
      <c r="DZ4976" s="67"/>
      <c r="EA4976" s="67"/>
      <c r="EB4976" s="67"/>
      <c r="EC4976" s="67"/>
      <c r="ED4976" s="67"/>
      <c r="EE4976" s="67"/>
      <c r="EF4976" s="67"/>
      <c r="EG4976" s="67"/>
      <c r="EH4976" s="67"/>
      <c r="EI4976" s="67"/>
      <c r="EJ4976" s="67"/>
      <c r="EK4976" s="94"/>
      <c r="EL4976" s="94"/>
      <c r="EM4976" s="67"/>
      <c r="EN4976" s="67"/>
      <c r="EO4976" s="67"/>
      <c r="EP4976" s="67"/>
      <c r="EQ4976" s="67"/>
      <c r="ER4976" s="67"/>
      <c r="ES4976" s="67"/>
      <c r="ET4976" s="67"/>
      <c r="EU4976" s="67"/>
      <c r="EV4976" s="67"/>
      <c r="EW4976" s="67"/>
      <c r="EX4976" s="67"/>
      <c r="EY4976" s="67"/>
      <c r="EZ4976" s="67"/>
      <c r="FA4976" s="67"/>
      <c r="FB4976" s="67"/>
      <c r="FC4976" s="67"/>
      <c r="FD4976" s="67"/>
      <c r="FE4976" s="67"/>
      <c r="FF4976" s="67"/>
      <c r="FG4976" s="67"/>
      <c r="FH4976" s="67"/>
      <c r="FI4976" s="67"/>
      <c r="FJ4976" s="67"/>
      <c r="FK4976" s="67"/>
      <c r="FL4976" s="67"/>
      <c r="FM4976" s="67"/>
      <c r="FN4976" s="67"/>
      <c r="FO4976" s="67"/>
      <c r="FP4976" s="67"/>
      <c r="FQ4976" s="67"/>
      <c r="FR4976" s="67"/>
      <c r="FS4976" s="67"/>
      <c r="FT4976" s="67"/>
      <c r="FU4976" s="67"/>
      <c r="FV4976" s="67"/>
      <c r="FW4976" s="67"/>
      <c r="FX4976" s="67"/>
      <c r="FY4976" s="67"/>
      <c r="FZ4976" s="67"/>
      <c r="GA4976" s="67"/>
      <c r="GB4976" s="67"/>
      <c r="GC4976" s="67"/>
      <c r="GD4976" s="67"/>
      <c r="GE4976" s="67"/>
      <c r="GF4976" s="67"/>
      <c r="GG4976" s="67"/>
      <c r="GH4976" s="67"/>
      <c r="GI4976" s="67"/>
      <c r="GJ4976" s="67"/>
      <c r="GK4976" s="67"/>
      <c r="GL4976" s="67"/>
      <c r="GM4976" s="67"/>
      <c r="GN4976" s="292"/>
      <c r="GO4976" s="292"/>
      <c r="GP4976" s="292" t="s">
        <v>7494</v>
      </c>
      <c r="GQ4976" s="67"/>
      <c r="GR4976" s="67"/>
      <c r="GS4976" s="67"/>
      <c r="GT4976" s="67"/>
      <c r="GU4976" s="67"/>
      <c r="GV4976" s="67"/>
      <c r="GW4976" s="67"/>
      <c r="GX4976" s="67"/>
      <c r="GY4976" s="67"/>
      <c r="GZ4976" s="67"/>
      <c r="HA4976" s="67"/>
      <c r="HB4976" s="67"/>
      <c r="HC4976" s="67"/>
      <c r="HD4976" s="67"/>
      <c r="HE4976" s="67"/>
      <c r="HF4976" s="67"/>
      <c r="HG4976" s="67"/>
      <c r="HH4976" s="67"/>
      <c r="HI4976" s="67"/>
      <c r="HJ4976" s="67"/>
      <c r="HK4976" s="67"/>
      <c r="HL4976" s="67"/>
      <c r="HM4976" s="67"/>
      <c r="HN4976" s="67"/>
      <c r="HO4976" s="67"/>
      <c r="HP4976" s="67"/>
      <c r="HQ4976" s="67"/>
      <c r="HR4976" s="67"/>
      <c r="HS4976" s="67"/>
      <c r="HT4976" s="67"/>
      <c r="HU4976" s="67"/>
      <c r="HV4976" s="67"/>
      <c r="HW4976" s="67"/>
      <c r="HX4976" s="67"/>
      <c r="HY4976" s="67"/>
      <c r="HZ4976" s="67"/>
      <c r="IA4976" s="67"/>
      <c r="IB4976" s="67"/>
      <c r="IC4976" s="67"/>
      <c r="ID4976" s="67"/>
      <c r="IE4976" s="67"/>
      <c r="IF4976" s="67"/>
      <c r="IG4976" s="67"/>
      <c r="IH4976" s="67"/>
      <c r="II4976" s="67"/>
      <c r="IJ4976" s="67"/>
      <c r="IK4976" s="67"/>
      <c r="IL4976" s="67"/>
      <c r="IM4976" s="67"/>
      <c r="IN4976" s="67"/>
      <c r="IO4976" s="67"/>
      <c r="IP4976" s="67"/>
      <c r="IQ4976" s="67"/>
      <c r="IR4976" s="67"/>
      <c r="IS4976" s="67"/>
      <c r="IT4976" s="67"/>
      <c r="IU4976" s="67"/>
      <c r="IV4976" s="67"/>
      <c r="IW4976" s="67"/>
      <c r="IX4976" s="67"/>
      <c r="IY4976" s="67"/>
      <c r="IZ4976" s="67"/>
      <c r="JA4976" s="67"/>
      <c r="JB4976" s="67"/>
      <c r="JC4976" s="67"/>
      <c r="JD4976" s="67"/>
      <c r="JE4976" s="67"/>
      <c r="JF4976" s="67"/>
      <c r="JG4976" s="67"/>
      <c r="JH4976" s="67"/>
      <c r="JI4976" s="67"/>
      <c r="JJ4976" s="67"/>
      <c r="JK4976" s="67"/>
      <c r="JL4976" s="67"/>
      <c r="JM4976" s="67"/>
      <c r="JN4976" s="67"/>
      <c r="JO4976" s="67"/>
      <c r="JP4976" s="67"/>
      <c r="JQ4976" s="67"/>
      <c r="JR4976" s="67"/>
      <c r="JS4976" s="67"/>
      <c r="JT4976" s="67"/>
      <c r="JU4976" s="58"/>
      <c r="JV4976" s="58"/>
      <c r="JW4976" s="58"/>
    </row>
    <row r="4977" spans="1:283" s="23" customFormat="1" x14ac:dyDescent="0.25">
      <c r="A4977" s="55">
        <v>4976</v>
      </c>
      <c r="B4977" s="12" t="s">
        <v>7067</v>
      </c>
      <c r="C4977" s="156">
        <v>245</v>
      </c>
      <c r="D4977" s="58" t="s">
        <v>4968</v>
      </c>
      <c r="E4977" s="160" t="str">
        <f>G4977</f>
        <v>Leifeld et al. 2009_DOK 3</v>
      </c>
      <c r="F4977" s="160"/>
      <c r="G4977" s="60" t="s">
        <v>4760</v>
      </c>
      <c r="H4977" s="58">
        <v>2009</v>
      </c>
      <c r="I4977" s="58" t="s">
        <v>5483</v>
      </c>
      <c r="J4977" s="243" t="s">
        <v>282</v>
      </c>
      <c r="K4977" s="63" t="s">
        <v>5098</v>
      </c>
      <c r="L4977" s="58" t="s">
        <v>5333</v>
      </c>
      <c r="M4977" s="94" t="s">
        <v>4621</v>
      </c>
      <c r="N4977" s="94" t="s">
        <v>1676</v>
      </c>
      <c r="O4977" s="94" t="s">
        <v>5481</v>
      </c>
      <c r="P4977" s="58"/>
      <c r="Q4977" s="244">
        <v>9.5</v>
      </c>
      <c r="R4977" s="58"/>
      <c r="S4977" s="245">
        <v>785</v>
      </c>
      <c r="T4977" s="58"/>
      <c r="U4977" s="58" t="s">
        <v>5482</v>
      </c>
      <c r="V4977" s="244">
        <v>27</v>
      </c>
      <c r="W4977" s="174"/>
      <c r="X4977" s="174"/>
      <c r="Y4977" s="58" t="s">
        <v>5478</v>
      </c>
      <c r="Z4977" s="244" t="s">
        <v>1346</v>
      </c>
      <c r="AA4977" s="245">
        <v>20</v>
      </c>
      <c r="AB4977" s="67"/>
      <c r="AC4977" s="67"/>
      <c r="AD4977" s="94"/>
      <c r="AE4977" s="94" t="s">
        <v>1889</v>
      </c>
      <c r="AF4977" s="94">
        <f>100-AE4977-AG4977</f>
        <v>72.5</v>
      </c>
      <c r="AG4977" s="245">
        <v>15.5</v>
      </c>
      <c r="AH4977" s="58" t="s">
        <v>6378</v>
      </c>
      <c r="AI4977" s="169"/>
      <c r="AJ4977" s="94"/>
      <c r="AK4977" s="94"/>
      <c r="AL4977" s="58"/>
      <c r="AM4977" s="58"/>
      <c r="AN4977" s="186" t="s">
        <v>5479</v>
      </c>
      <c r="AO4977" s="185" t="s">
        <v>5150</v>
      </c>
      <c r="AP4977" s="58"/>
      <c r="AQ4977" s="58" t="s">
        <v>1546</v>
      </c>
      <c r="AR4977" s="58" t="s">
        <v>116</v>
      </c>
      <c r="AS4977" s="246" t="s">
        <v>5133</v>
      </c>
      <c r="AT4977" s="247">
        <v>1</v>
      </c>
      <c r="AU4977" s="181" t="s">
        <v>7494</v>
      </c>
      <c r="AV4977" s="185" t="s">
        <v>176</v>
      </c>
      <c r="AW4977" s="244">
        <v>1</v>
      </c>
      <c r="AX4977" s="185" t="s">
        <v>176</v>
      </c>
      <c r="AY4977" s="244" t="s">
        <v>176</v>
      </c>
      <c r="AZ4977" s="58"/>
      <c r="BA4977" s="58"/>
      <c r="BB4977" s="58"/>
      <c r="BC4977" s="58"/>
      <c r="BD4977" s="58"/>
      <c r="BE4977" s="236" t="s">
        <v>5197</v>
      </c>
      <c r="BF4977" s="191" t="s">
        <v>176</v>
      </c>
      <c r="BG4977" s="191" t="s">
        <v>479</v>
      </c>
      <c r="BH4977" s="236" t="s">
        <v>5263</v>
      </c>
      <c r="BI4977" s="191" t="s">
        <v>479</v>
      </c>
      <c r="BJ4977" s="58" t="str">
        <f>IF(BE4977=BH4977,"No","yes")</f>
        <v>yes</v>
      </c>
      <c r="BK4977" s="58" t="s">
        <v>6335</v>
      </c>
      <c r="BL4977" s="58"/>
      <c r="BM4977" s="237"/>
      <c r="BN4977" s="244">
        <v>12</v>
      </c>
      <c r="BO4977" s="244">
        <v>12</v>
      </c>
      <c r="BP4977" s="58"/>
      <c r="BQ4977" s="58"/>
      <c r="BR4977" s="58"/>
      <c r="BS4977" s="58"/>
      <c r="BT4977" s="58"/>
      <c r="BU4977" s="58"/>
      <c r="BV4977" s="58"/>
      <c r="BW4977" s="67"/>
      <c r="BX4977" s="67"/>
      <c r="BY4977" s="67"/>
      <c r="BZ4977" s="67"/>
      <c r="CA4977" s="67"/>
      <c r="CB4977" s="70"/>
      <c r="CC4977" s="70"/>
      <c r="CD4977" s="70"/>
      <c r="CE4977" s="67"/>
      <c r="CF4977" s="67"/>
      <c r="CG4977" s="67"/>
      <c r="CH4977" s="245"/>
      <c r="CI4977" s="245"/>
      <c r="CJ4977" s="67"/>
      <c r="CK4977" s="67"/>
      <c r="CL4977" s="67"/>
      <c r="CM4977" s="242">
        <v>1.1890000000000001</v>
      </c>
      <c r="CN4977" s="242">
        <v>1.2250000000000001</v>
      </c>
      <c r="CO4977" s="242">
        <v>0.11890000000000001</v>
      </c>
      <c r="CP4977" s="242">
        <v>0.12250000000000001</v>
      </c>
      <c r="CQ4977" s="242" t="s">
        <v>164</v>
      </c>
      <c r="CR4977" s="242">
        <v>35.799999999999997</v>
      </c>
      <c r="CS4977" s="242">
        <v>38.200000000000003</v>
      </c>
      <c r="CT4977" s="242">
        <v>2.6</v>
      </c>
      <c r="CU4977" s="242">
        <v>4</v>
      </c>
      <c r="CV4977" s="242" t="s">
        <v>5151</v>
      </c>
      <c r="CW4977" s="242">
        <v>-140.74074074074088</v>
      </c>
      <c r="CX4977" s="242">
        <v>-125.92592592592588</v>
      </c>
      <c r="CY4977" s="242">
        <v>-14.074074074074089</v>
      </c>
      <c r="CZ4977" s="242">
        <v>-12.592592592592588</v>
      </c>
      <c r="DA4977" s="67" t="s">
        <v>5443</v>
      </c>
      <c r="DB4977" s="67"/>
      <c r="DC4977" s="67"/>
      <c r="DD4977" s="67"/>
      <c r="DE4977" s="67"/>
      <c r="DF4977" s="67"/>
      <c r="DG4977" s="67"/>
      <c r="DH4977" s="67"/>
      <c r="DI4977" s="67"/>
      <c r="DJ4977" s="67"/>
      <c r="DK4977" s="67"/>
      <c r="DL4977" s="67"/>
      <c r="DM4977" s="67"/>
      <c r="DN4977" s="67"/>
      <c r="DO4977" s="67"/>
      <c r="DP4977" s="67"/>
      <c r="DQ4977" s="166"/>
      <c r="DR4977" s="166"/>
      <c r="DS4977" s="163"/>
      <c r="DT4977" s="163"/>
      <c r="DU4977" s="67"/>
      <c r="DV4977" s="67"/>
      <c r="DW4977" s="67"/>
      <c r="DX4977" s="67"/>
      <c r="DY4977" s="67"/>
      <c r="DZ4977" s="67"/>
      <c r="EA4977" s="67"/>
      <c r="EB4977" s="67"/>
      <c r="EC4977" s="67"/>
      <c r="ED4977" s="67"/>
      <c r="EE4977" s="67"/>
      <c r="EF4977" s="67"/>
      <c r="EG4977" s="67"/>
      <c r="EH4977" s="67"/>
      <c r="EI4977" s="67"/>
      <c r="EJ4977" s="67"/>
      <c r="EK4977" s="94"/>
      <c r="EL4977" s="94"/>
      <c r="EM4977" s="67"/>
      <c r="EN4977" s="67"/>
      <c r="EO4977" s="67"/>
      <c r="EP4977" s="67"/>
      <c r="EQ4977" s="67"/>
      <c r="ER4977" s="67"/>
      <c r="ES4977" s="67"/>
      <c r="ET4977" s="67"/>
      <c r="EU4977" s="67"/>
      <c r="EV4977" s="67"/>
      <c r="EW4977" s="67"/>
      <c r="EX4977" s="67"/>
      <c r="EY4977" s="67"/>
      <c r="EZ4977" s="67"/>
      <c r="FA4977" s="67"/>
      <c r="FB4977" s="67"/>
      <c r="FC4977" s="67"/>
      <c r="FD4977" s="67"/>
      <c r="FE4977" s="67"/>
      <c r="FF4977" s="67"/>
      <c r="FG4977" s="67"/>
      <c r="FH4977" s="67"/>
      <c r="FI4977" s="67"/>
      <c r="FJ4977" s="67"/>
      <c r="FK4977" s="67"/>
      <c r="FL4977" s="67"/>
      <c r="FM4977" s="67"/>
      <c r="FN4977" s="67"/>
      <c r="FO4977" s="67"/>
      <c r="FP4977" s="67"/>
      <c r="FQ4977" s="67"/>
      <c r="FR4977" s="67"/>
      <c r="FS4977" s="67"/>
      <c r="FT4977" s="67"/>
      <c r="FU4977" s="67"/>
      <c r="FV4977" s="67"/>
      <c r="FW4977" s="67"/>
      <c r="FX4977" s="67"/>
      <c r="FY4977" s="67"/>
      <c r="FZ4977" s="67"/>
      <c r="GA4977" s="67"/>
      <c r="GB4977" s="67"/>
      <c r="GC4977" s="67"/>
      <c r="GD4977" s="67"/>
      <c r="GE4977" s="67"/>
      <c r="GF4977" s="67"/>
      <c r="GG4977" s="67"/>
      <c r="GH4977" s="67"/>
      <c r="GI4977" s="67"/>
      <c r="GJ4977" s="67"/>
      <c r="GK4977" s="67"/>
      <c r="GL4977" s="67"/>
      <c r="GM4977" s="67"/>
      <c r="GN4977" s="292"/>
      <c r="GO4977" s="292"/>
      <c r="GP4977" s="292" t="s">
        <v>7494</v>
      </c>
      <c r="GQ4977" s="67"/>
      <c r="GR4977" s="67"/>
      <c r="GS4977" s="67"/>
      <c r="GT4977" s="67"/>
      <c r="GU4977" s="67"/>
      <c r="GV4977" s="67"/>
      <c r="GW4977" s="67"/>
      <c r="GX4977" s="67"/>
      <c r="GY4977" s="67"/>
      <c r="GZ4977" s="67"/>
      <c r="HA4977" s="67"/>
      <c r="HB4977" s="67"/>
      <c r="HC4977" s="67"/>
      <c r="HD4977" s="67"/>
      <c r="HE4977" s="67"/>
      <c r="HF4977" s="67"/>
      <c r="HG4977" s="67"/>
      <c r="HH4977" s="67"/>
      <c r="HI4977" s="67"/>
      <c r="HJ4977" s="67"/>
      <c r="HK4977" s="67"/>
      <c r="HL4977" s="67"/>
      <c r="HM4977" s="67"/>
      <c r="HN4977" s="67"/>
      <c r="HO4977" s="67"/>
      <c r="HP4977" s="67"/>
      <c r="HQ4977" s="67"/>
      <c r="HR4977" s="67"/>
      <c r="HS4977" s="67"/>
      <c r="HT4977" s="67"/>
      <c r="HU4977" s="67"/>
      <c r="HV4977" s="67"/>
      <c r="HW4977" s="67"/>
      <c r="HX4977" s="67"/>
      <c r="HY4977" s="67"/>
      <c r="HZ4977" s="67"/>
      <c r="IA4977" s="67"/>
      <c r="IB4977" s="67"/>
      <c r="IC4977" s="67"/>
      <c r="ID4977" s="67"/>
      <c r="IE4977" s="67"/>
      <c r="IF4977" s="67"/>
      <c r="IG4977" s="67"/>
      <c r="IH4977" s="67"/>
      <c r="II4977" s="67"/>
      <c r="IJ4977" s="67"/>
      <c r="IK4977" s="67"/>
      <c r="IL4977" s="67"/>
      <c r="IM4977" s="67"/>
      <c r="IN4977" s="67"/>
      <c r="IO4977" s="67"/>
      <c r="IP4977" s="67"/>
      <c r="IQ4977" s="67"/>
      <c r="IR4977" s="67"/>
      <c r="IS4977" s="67"/>
      <c r="IT4977" s="67"/>
      <c r="IU4977" s="67"/>
      <c r="IV4977" s="67"/>
      <c r="IW4977" s="67"/>
      <c r="IX4977" s="67"/>
      <c r="IY4977" s="67"/>
      <c r="IZ4977" s="67"/>
      <c r="JA4977" s="67"/>
      <c r="JB4977" s="67"/>
      <c r="JC4977" s="67"/>
      <c r="JD4977" s="67"/>
      <c r="JE4977" s="67"/>
      <c r="JF4977" s="67"/>
      <c r="JG4977" s="67"/>
      <c r="JH4977" s="67"/>
      <c r="JI4977" s="67"/>
      <c r="JJ4977" s="67"/>
      <c r="JK4977" s="67"/>
      <c r="JL4977" s="67"/>
      <c r="JM4977" s="67"/>
      <c r="JN4977" s="67"/>
      <c r="JO4977" s="67"/>
      <c r="JP4977" s="67"/>
      <c r="JQ4977" s="67"/>
      <c r="JR4977" s="67"/>
      <c r="JS4977" s="67"/>
      <c r="JT4977" s="67"/>
      <c r="JU4977" s="58"/>
      <c r="JV4977" s="58"/>
      <c r="JW4977" s="58"/>
    </row>
    <row r="4978" spans="1:283" s="23" customFormat="1" x14ac:dyDescent="0.25">
      <c r="A4978" s="55">
        <v>4977</v>
      </c>
      <c r="B4978" s="12" t="s">
        <v>7067</v>
      </c>
      <c r="C4978" s="156">
        <v>245</v>
      </c>
      <c r="D4978" s="58" t="s">
        <v>4969</v>
      </c>
      <c r="E4978" s="160" t="str">
        <f>G4978</f>
        <v>Leifeld et al. 2009_DOK 4</v>
      </c>
      <c r="F4978" s="160"/>
      <c r="G4978" s="60" t="s">
        <v>4759</v>
      </c>
      <c r="H4978" s="58">
        <v>2009</v>
      </c>
      <c r="I4978" s="58" t="s">
        <v>5483</v>
      </c>
      <c r="J4978" s="243" t="s">
        <v>282</v>
      </c>
      <c r="K4978" s="63" t="s">
        <v>5098</v>
      </c>
      <c r="L4978" s="58" t="s">
        <v>5333</v>
      </c>
      <c r="M4978" s="94" t="s">
        <v>4621</v>
      </c>
      <c r="N4978" s="94" t="s">
        <v>1676</v>
      </c>
      <c r="O4978" s="94" t="s">
        <v>5481</v>
      </c>
      <c r="P4978" s="58"/>
      <c r="Q4978" s="244">
        <v>9.5</v>
      </c>
      <c r="R4978" s="58"/>
      <c r="S4978" s="245">
        <v>785</v>
      </c>
      <c r="T4978" s="58"/>
      <c r="U4978" s="58" t="s">
        <v>5482</v>
      </c>
      <c r="V4978" s="244">
        <v>27</v>
      </c>
      <c r="W4978" s="174"/>
      <c r="X4978" s="174"/>
      <c r="Y4978" s="58" t="s">
        <v>5478</v>
      </c>
      <c r="Z4978" s="244" t="s">
        <v>1346</v>
      </c>
      <c r="AA4978" s="245">
        <v>20</v>
      </c>
      <c r="AB4978" s="67"/>
      <c r="AC4978" s="67"/>
      <c r="AD4978" s="94"/>
      <c r="AE4978" s="94" t="s">
        <v>1889</v>
      </c>
      <c r="AF4978" s="94">
        <f>100-AE4978-AG4978</f>
        <v>72.5</v>
      </c>
      <c r="AG4978" s="245">
        <v>15.5</v>
      </c>
      <c r="AH4978" s="58" t="s">
        <v>6378</v>
      </c>
      <c r="AI4978" s="169"/>
      <c r="AJ4978" s="94"/>
      <c r="AK4978" s="94"/>
      <c r="AL4978" s="58"/>
      <c r="AM4978" s="58"/>
      <c r="AN4978" s="186" t="s">
        <v>5479</v>
      </c>
      <c r="AO4978" s="185" t="s">
        <v>5150</v>
      </c>
      <c r="AP4978" s="58"/>
      <c r="AQ4978" s="58" t="s">
        <v>1546</v>
      </c>
      <c r="AR4978" s="58" t="s">
        <v>116</v>
      </c>
      <c r="AS4978" s="246" t="s">
        <v>5133</v>
      </c>
      <c r="AT4978" s="247">
        <v>1</v>
      </c>
      <c r="AU4978" s="181" t="s">
        <v>7494</v>
      </c>
      <c r="AV4978" s="185" t="s">
        <v>176</v>
      </c>
      <c r="AW4978" s="244">
        <v>1</v>
      </c>
      <c r="AX4978" s="185" t="s">
        <v>176</v>
      </c>
      <c r="AY4978" s="244" t="s">
        <v>176</v>
      </c>
      <c r="AZ4978" s="58"/>
      <c r="BA4978" s="58"/>
      <c r="BB4978" s="58"/>
      <c r="BC4978" s="58"/>
      <c r="BD4978" s="58"/>
      <c r="BE4978" s="236" t="s">
        <v>5153</v>
      </c>
      <c r="BF4978" s="191" t="s">
        <v>176</v>
      </c>
      <c r="BG4978" s="191" t="s">
        <v>176</v>
      </c>
      <c r="BH4978" s="236" t="s">
        <v>5263</v>
      </c>
      <c r="BI4978" s="191" t="s">
        <v>479</v>
      </c>
      <c r="BJ4978" s="58" t="str">
        <f>IF(BE4978=BH4978,"No","yes")</f>
        <v>yes</v>
      </c>
      <c r="BK4978" s="58" t="s">
        <v>6335</v>
      </c>
      <c r="BL4978" s="58"/>
      <c r="BM4978" s="237"/>
      <c r="BN4978" s="244">
        <v>12</v>
      </c>
      <c r="BO4978" s="244">
        <v>12</v>
      </c>
      <c r="BP4978" s="58"/>
      <c r="BQ4978" s="58"/>
      <c r="BR4978" s="58"/>
      <c r="BS4978" s="58"/>
      <c r="BT4978" s="58"/>
      <c r="BU4978" s="58"/>
      <c r="BV4978" s="58"/>
      <c r="BW4978" s="67"/>
      <c r="BX4978" s="67"/>
      <c r="BY4978" s="67"/>
      <c r="BZ4978" s="67"/>
      <c r="CA4978" s="67"/>
      <c r="CB4978" s="70"/>
      <c r="CC4978" s="70"/>
      <c r="CD4978" s="70"/>
      <c r="CE4978" s="67"/>
      <c r="CF4978" s="67"/>
      <c r="CG4978" s="67"/>
      <c r="CH4978" s="245"/>
      <c r="CI4978" s="245"/>
      <c r="CJ4978" s="67"/>
      <c r="CK4978" s="67"/>
      <c r="CL4978" s="67"/>
      <c r="CM4978" s="242">
        <v>1.3</v>
      </c>
      <c r="CN4978" s="242">
        <v>1.2250000000000001</v>
      </c>
      <c r="CO4978" s="242">
        <v>0.13</v>
      </c>
      <c r="CP4978" s="242">
        <v>0.12250000000000001</v>
      </c>
      <c r="CQ4978" s="242" t="s">
        <v>164</v>
      </c>
      <c r="CR4978" s="242">
        <v>37.799999999999997</v>
      </c>
      <c r="CS4978" s="242">
        <v>38.200000000000003</v>
      </c>
      <c r="CT4978" s="242">
        <v>4.8</v>
      </c>
      <c r="CU4978" s="242">
        <v>4</v>
      </c>
      <c r="CV4978" s="242" t="s">
        <v>5151</v>
      </c>
      <c r="CW4978" s="242">
        <v>-218.51851851851873</v>
      </c>
      <c r="CX4978" s="242">
        <v>-125.92592592592588</v>
      </c>
      <c r="CY4978" s="242">
        <v>-21.851851851851876</v>
      </c>
      <c r="CZ4978" s="242">
        <v>-12.592592592592588</v>
      </c>
      <c r="DA4978" s="67" t="s">
        <v>5443</v>
      </c>
      <c r="DB4978" s="67"/>
      <c r="DC4978" s="67"/>
      <c r="DD4978" s="67"/>
      <c r="DE4978" s="67"/>
      <c r="DF4978" s="67"/>
      <c r="DG4978" s="67"/>
      <c r="DH4978" s="67"/>
      <c r="DI4978" s="67"/>
      <c r="DJ4978" s="67"/>
      <c r="DK4978" s="67"/>
      <c r="DL4978" s="67"/>
      <c r="DM4978" s="67"/>
      <c r="DN4978" s="67"/>
      <c r="DO4978" s="67"/>
      <c r="DP4978" s="67"/>
      <c r="DQ4978" s="166"/>
      <c r="DR4978" s="166"/>
      <c r="DS4978" s="163"/>
      <c r="DT4978" s="163"/>
      <c r="DU4978" s="67"/>
      <c r="DV4978" s="67"/>
      <c r="DW4978" s="67"/>
      <c r="DX4978" s="67"/>
      <c r="DY4978" s="67"/>
      <c r="DZ4978" s="67"/>
      <c r="EA4978" s="67"/>
      <c r="EB4978" s="67"/>
      <c r="EC4978" s="67"/>
      <c r="ED4978" s="67"/>
      <c r="EE4978" s="67"/>
      <c r="EF4978" s="67"/>
      <c r="EG4978" s="67"/>
      <c r="EH4978" s="67"/>
      <c r="EI4978" s="67"/>
      <c r="EJ4978" s="67"/>
      <c r="EK4978" s="94"/>
      <c r="EL4978" s="94"/>
      <c r="EM4978" s="67"/>
      <c r="EN4978" s="67"/>
      <c r="EO4978" s="67"/>
      <c r="EP4978" s="67"/>
      <c r="EQ4978" s="67"/>
      <c r="ER4978" s="67"/>
      <c r="ES4978" s="67"/>
      <c r="ET4978" s="67"/>
      <c r="EU4978" s="67"/>
      <c r="EV4978" s="67"/>
      <c r="EW4978" s="67"/>
      <c r="EX4978" s="67"/>
      <c r="EY4978" s="67"/>
      <c r="EZ4978" s="67"/>
      <c r="FA4978" s="67"/>
      <c r="FB4978" s="67"/>
      <c r="FC4978" s="67"/>
      <c r="FD4978" s="67"/>
      <c r="FE4978" s="67"/>
      <c r="FF4978" s="67"/>
      <c r="FG4978" s="67"/>
      <c r="FH4978" s="67"/>
      <c r="FI4978" s="67"/>
      <c r="FJ4978" s="67"/>
      <c r="FK4978" s="67"/>
      <c r="FL4978" s="67"/>
      <c r="FM4978" s="67"/>
      <c r="FN4978" s="67"/>
      <c r="FO4978" s="67"/>
      <c r="FP4978" s="67"/>
      <c r="FQ4978" s="67"/>
      <c r="FR4978" s="67"/>
      <c r="FS4978" s="67"/>
      <c r="FT4978" s="67"/>
      <c r="FU4978" s="67"/>
      <c r="FV4978" s="67"/>
      <c r="FW4978" s="67"/>
      <c r="FX4978" s="67"/>
      <c r="FY4978" s="67"/>
      <c r="FZ4978" s="67"/>
      <c r="GA4978" s="67"/>
      <c r="GB4978" s="67"/>
      <c r="GC4978" s="67"/>
      <c r="GD4978" s="67"/>
      <c r="GE4978" s="67"/>
      <c r="GF4978" s="67"/>
      <c r="GG4978" s="67"/>
      <c r="GH4978" s="67"/>
      <c r="GI4978" s="67"/>
      <c r="GJ4978" s="67"/>
      <c r="GK4978" s="67"/>
      <c r="GL4978" s="67"/>
      <c r="GM4978" s="67"/>
      <c r="GN4978" s="292"/>
      <c r="GO4978" s="292"/>
      <c r="GP4978" s="292" t="s">
        <v>7494</v>
      </c>
      <c r="GQ4978" s="67"/>
      <c r="GR4978" s="67"/>
      <c r="GS4978" s="67"/>
      <c r="GT4978" s="67"/>
      <c r="GU4978" s="67"/>
      <c r="GV4978" s="67"/>
      <c r="GW4978" s="67"/>
      <c r="GX4978" s="67"/>
      <c r="GY4978" s="67"/>
      <c r="GZ4978" s="67"/>
      <c r="HA4978" s="67"/>
      <c r="HB4978" s="67"/>
      <c r="HC4978" s="67"/>
      <c r="HD4978" s="67"/>
      <c r="HE4978" s="67"/>
      <c r="HF4978" s="67"/>
      <c r="HG4978" s="67"/>
      <c r="HH4978" s="67"/>
      <c r="HI4978" s="67"/>
      <c r="HJ4978" s="67"/>
      <c r="HK4978" s="67"/>
      <c r="HL4978" s="67"/>
      <c r="HM4978" s="67"/>
      <c r="HN4978" s="67"/>
      <c r="HO4978" s="67"/>
      <c r="HP4978" s="67"/>
      <c r="HQ4978" s="67"/>
      <c r="HR4978" s="67"/>
      <c r="HS4978" s="67"/>
      <c r="HT4978" s="67"/>
      <c r="HU4978" s="67"/>
      <c r="HV4978" s="67"/>
      <c r="HW4978" s="67"/>
      <c r="HX4978" s="67"/>
      <c r="HY4978" s="67"/>
      <c r="HZ4978" s="67"/>
      <c r="IA4978" s="67"/>
      <c r="IB4978" s="67"/>
      <c r="IC4978" s="67"/>
      <c r="ID4978" s="67"/>
      <c r="IE4978" s="67"/>
      <c r="IF4978" s="67"/>
      <c r="IG4978" s="67"/>
      <c r="IH4978" s="67"/>
      <c r="II4978" s="67"/>
      <c r="IJ4978" s="67"/>
      <c r="IK4978" s="67"/>
      <c r="IL4978" s="67"/>
      <c r="IM4978" s="67"/>
      <c r="IN4978" s="67"/>
      <c r="IO4978" s="67"/>
      <c r="IP4978" s="67"/>
      <c r="IQ4978" s="67"/>
      <c r="IR4978" s="67"/>
      <c r="IS4978" s="67"/>
      <c r="IT4978" s="67"/>
      <c r="IU4978" s="67"/>
      <c r="IV4978" s="67"/>
      <c r="IW4978" s="67"/>
      <c r="IX4978" s="67"/>
      <c r="IY4978" s="67"/>
      <c r="IZ4978" s="67"/>
      <c r="JA4978" s="67"/>
      <c r="JB4978" s="67"/>
      <c r="JC4978" s="67"/>
      <c r="JD4978" s="67"/>
      <c r="JE4978" s="67"/>
      <c r="JF4978" s="67"/>
      <c r="JG4978" s="67"/>
      <c r="JH4978" s="67"/>
      <c r="JI4978" s="67"/>
      <c r="JJ4978" s="67"/>
      <c r="JK4978" s="67"/>
      <c r="JL4978" s="67"/>
      <c r="JM4978" s="67"/>
      <c r="JN4978" s="67"/>
      <c r="JO4978" s="67"/>
      <c r="JP4978" s="67"/>
      <c r="JQ4978" s="67"/>
      <c r="JR4978" s="67"/>
      <c r="JS4978" s="67"/>
      <c r="JT4978" s="67"/>
      <c r="JU4978" s="58"/>
      <c r="JV4978" s="58"/>
      <c r="JW4978" s="58"/>
    </row>
    <row r="4979" spans="1:283" s="23" customFormat="1" x14ac:dyDescent="0.25">
      <c r="A4979" s="55">
        <v>4978</v>
      </c>
      <c r="B4979" s="12" t="s">
        <v>7067</v>
      </c>
      <c r="C4979" s="156">
        <v>246</v>
      </c>
      <c r="D4979" s="58" t="s">
        <v>4970</v>
      </c>
      <c r="E4979" s="160" t="str">
        <f>G4979</f>
        <v>Leite et al. 2010_total horizon_pair 1</v>
      </c>
      <c r="F4979" s="160"/>
      <c r="G4979" s="60" t="s">
        <v>4758</v>
      </c>
      <c r="H4979" s="58">
        <v>2010</v>
      </c>
      <c r="I4979" s="58" t="s">
        <v>5490</v>
      </c>
      <c r="J4979" s="243" t="s">
        <v>5305</v>
      </c>
      <c r="K4979" s="63" t="s">
        <v>5097</v>
      </c>
      <c r="L4979" s="58" t="s">
        <v>5334</v>
      </c>
      <c r="M4979" s="94">
        <f>-4-46/60</f>
        <v>-4.7666666666666666</v>
      </c>
      <c r="N4979" s="94">
        <f>-41-49/60</f>
        <v>-41.81666666666667</v>
      </c>
      <c r="O4979" s="94">
        <v>240</v>
      </c>
      <c r="P4979" s="58"/>
      <c r="Q4979" s="244">
        <v>30</v>
      </c>
      <c r="R4979" s="58"/>
      <c r="S4979" s="245">
        <v>1000</v>
      </c>
      <c r="T4979" s="58"/>
      <c r="U4979" s="244">
        <v>12</v>
      </c>
      <c r="V4979" s="244">
        <v>12</v>
      </c>
      <c r="W4979" s="174"/>
      <c r="X4979" s="174"/>
      <c r="Y4979" s="58" t="s">
        <v>5352</v>
      </c>
      <c r="Z4979" s="244" t="s">
        <v>1355</v>
      </c>
      <c r="AA4979" s="245">
        <v>10</v>
      </c>
      <c r="AB4979" s="67"/>
      <c r="AC4979" s="67"/>
      <c r="AD4979" s="94">
        <v>1.1000000000000001</v>
      </c>
      <c r="AE4979" s="94" t="s">
        <v>1912</v>
      </c>
      <c r="AF4979" s="94">
        <v>16</v>
      </c>
      <c r="AG4979" s="245">
        <v>70</v>
      </c>
      <c r="AH4979" s="58" t="s">
        <v>769</v>
      </c>
      <c r="AI4979" s="169" t="s">
        <v>5489</v>
      </c>
      <c r="AJ4979" s="94">
        <f>1.4*0.58</f>
        <v>0.81199999999999994</v>
      </c>
      <c r="AK4979" s="94">
        <f>9/(100*100*0.1*1.1)*100</f>
        <v>0.81818181818181823</v>
      </c>
      <c r="AL4979" s="58"/>
      <c r="AM4979" s="58" t="s">
        <v>1287</v>
      </c>
      <c r="AN4979" s="186"/>
      <c r="AO4979" s="185" t="s">
        <v>5150</v>
      </c>
      <c r="AP4979" s="58"/>
      <c r="AQ4979" s="58"/>
      <c r="AR4979" s="58"/>
      <c r="AS4979" s="246" t="s">
        <v>227</v>
      </c>
      <c r="AT4979" s="247">
        <v>0</v>
      </c>
      <c r="AU4979" s="181" t="s">
        <v>7494</v>
      </c>
      <c r="AV4979" s="185" t="s">
        <v>176</v>
      </c>
      <c r="AW4979" s="244">
        <v>0</v>
      </c>
      <c r="AX4979" s="185" t="s">
        <v>176</v>
      </c>
      <c r="AY4979" s="244" t="s">
        <v>176</v>
      </c>
      <c r="AZ4979" s="58" t="s">
        <v>2082</v>
      </c>
      <c r="BA4979" s="58" t="s">
        <v>2082</v>
      </c>
      <c r="BB4979" s="58" t="s">
        <v>2082</v>
      </c>
      <c r="BC4979" s="58" t="s">
        <v>2082</v>
      </c>
      <c r="BD4979" s="58" t="s">
        <v>176</v>
      </c>
      <c r="BE4979" s="236" t="s">
        <v>5198</v>
      </c>
      <c r="BF4979" s="191" t="s">
        <v>479</v>
      </c>
      <c r="BG4979" s="191" t="s">
        <v>479</v>
      </c>
      <c r="BH4979" s="236" t="s">
        <v>5264</v>
      </c>
      <c r="BI4979" s="191" t="s">
        <v>479</v>
      </c>
      <c r="BJ4979" s="58" t="str">
        <f>IF(BE4979=BH4979,"No","yes")</f>
        <v>yes</v>
      </c>
      <c r="BK4979" s="58" t="s">
        <v>6336</v>
      </c>
      <c r="BL4979" s="58" t="s">
        <v>5488</v>
      </c>
      <c r="BM4979" s="237"/>
      <c r="BN4979" s="244">
        <v>4</v>
      </c>
      <c r="BO4979" s="244">
        <v>4</v>
      </c>
      <c r="BP4979" s="58"/>
      <c r="BQ4979" s="58"/>
      <c r="BR4979" s="58"/>
      <c r="BS4979" s="58"/>
      <c r="BT4979" s="58"/>
      <c r="BU4979" s="58"/>
      <c r="BV4979" s="58"/>
      <c r="BW4979" s="67"/>
      <c r="BX4979" s="67"/>
      <c r="BY4979" s="67"/>
      <c r="BZ4979" s="67"/>
      <c r="CA4979" s="67"/>
      <c r="CB4979" s="70"/>
      <c r="CC4979" s="70"/>
      <c r="CD4979" s="70"/>
      <c r="CE4979" s="67"/>
      <c r="CF4979" s="67"/>
      <c r="CG4979" s="67"/>
      <c r="CH4979" s="245"/>
      <c r="CI4979" s="245"/>
      <c r="CJ4979" s="67"/>
      <c r="CK4979" s="67"/>
      <c r="CL4979" s="67"/>
      <c r="CM4979" s="242">
        <f>CR4979/(100*100*0.1*1.1)*100</f>
        <v>0.76636363636363636</v>
      </c>
      <c r="CN4979" s="242">
        <f>CS4979/(100*100*0.1*1.1)*100</f>
        <v>1.01</v>
      </c>
      <c r="CO4979" s="242"/>
      <c r="CP4979" s="242"/>
      <c r="CQ4979" s="242" t="s">
        <v>164</v>
      </c>
      <c r="CR4979" s="242">
        <v>8.43</v>
      </c>
      <c r="CS4979" s="242">
        <v>11.11</v>
      </c>
      <c r="CT4979" s="242"/>
      <c r="CU4979" s="242"/>
      <c r="CV4979" s="242" t="s">
        <v>5151</v>
      </c>
      <c r="CW4979" s="242">
        <f>(CR4979-(0.81*0.01*100*100*0.1*1.1))*1000/12</f>
        <v>-40.000000000000185</v>
      </c>
      <c r="CX4979" s="242">
        <f>(CS4979-(0.81*0.01*100*100*0.1*1.1))*1000/12</f>
        <v>183.33333333333314</v>
      </c>
      <c r="CY4979" s="242"/>
      <c r="CZ4979" s="242"/>
      <c r="DA4979" s="67" t="s">
        <v>5443</v>
      </c>
      <c r="DB4979" s="67">
        <f>0.718/(100*100*0.1*1.1)*1000000</f>
        <v>652.72727272727275</v>
      </c>
      <c r="DC4979" s="67">
        <f>1.055/(100*100*0.1*1.1)*1000000</f>
        <v>959.09090909090901</v>
      </c>
      <c r="DD4979" s="67"/>
      <c r="DE4979" s="67"/>
      <c r="DF4979" s="67" t="s">
        <v>5491</v>
      </c>
      <c r="DG4979" s="67"/>
      <c r="DH4979" s="67"/>
      <c r="DI4979" s="67"/>
      <c r="DJ4979" s="67"/>
      <c r="DK4979" s="67"/>
      <c r="DL4979" s="67"/>
      <c r="DM4979" s="67"/>
      <c r="DN4979" s="67"/>
      <c r="DO4979" s="67"/>
      <c r="DP4979" s="67"/>
      <c r="DQ4979" s="166"/>
      <c r="DR4979" s="166"/>
      <c r="DS4979" s="163"/>
      <c r="DT4979" s="163"/>
      <c r="DU4979" s="67"/>
      <c r="DV4979" s="67"/>
      <c r="DW4979" s="67"/>
      <c r="DX4979" s="67"/>
      <c r="DY4979" s="67"/>
      <c r="DZ4979" s="67"/>
      <c r="EA4979" s="67"/>
      <c r="EB4979" s="67"/>
      <c r="EC4979" s="67"/>
      <c r="ED4979" s="67"/>
      <c r="EE4979" s="67"/>
      <c r="EF4979" s="67"/>
      <c r="EG4979" s="67"/>
      <c r="EH4979" s="67"/>
      <c r="EI4979" s="67"/>
      <c r="EJ4979" s="67"/>
      <c r="EK4979" s="94"/>
      <c r="EL4979" s="94"/>
      <c r="EM4979" s="67"/>
      <c r="EN4979" s="67"/>
      <c r="EO4979" s="67"/>
      <c r="EP4979" s="67"/>
      <c r="EQ4979" s="67"/>
      <c r="ER4979" s="67"/>
      <c r="ES4979" s="67"/>
      <c r="ET4979" s="67"/>
      <c r="EU4979" s="67"/>
      <c r="EV4979" s="67"/>
      <c r="EW4979" s="67"/>
      <c r="EX4979" s="67"/>
      <c r="EY4979" s="67"/>
      <c r="EZ4979" s="67"/>
      <c r="FA4979" s="67"/>
      <c r="FB4979" s="67"/>
      <c r="FC4979" s="67"/>
      <c r="FD4979" s="67"/>
      <c r="FE4979" s="67"/>
      <c r="FF4979" s="67"/>
      <c r="FG4979" s="67"/>
      <c r="FH4979" s="67"/>
      <c r="FI4979" s="67"/>
      <c r="FJ4979" s="67"/>
      <c r="FK4979" s="67"/>
      <c r="FL4979" s="67"/>
      <c r="FM4979" s="67"/>
      <c r="FN4979" s="67"/>
      <c r="FO4979" s="67"/>
      <c r="FP4979" s="67"/>
      <c r="FQ4979" s="67"/>
      <c r="FR4979" s="67"/>
      <c r="FS4979" s="67"/>
      <c r="FT4979" s="67"/>
      <c r="FU4979" s="67"/>
      <c r="FV4979" s="67"/>
      <c r="FW4979" s="67"/>
      <c r="FX4979" s="67"/>
      <c r="FY4979" s="67"/>
      <c r="FZ4979" s="67"/>
      <c r="GA4979" s="67"/>
      <c r="GB4979" s="67"/>
      <c r="GC4979" s="67"/>
      <c r="GD4979" s="67"/>
      <c r="GE4979" s="67"/>
      <c r="GF4979" s="67"/>
      <c r="GG4979" s="67"/>
      <c r="GH4979" s="67"/>
      <c r="GI4979" s="67"/>
      <c r="GJ4979" s="67"/>
      <c r="GK4979" s="67"/>
      <c r="GL4979" s="67"/>
      <c r="GM4979" s="67"/>
      <c r="GN4979" s="292"/>
      <c r="GO4979" s="292"/>
      <c r="GP4979" s="292" t="s">
        <v>7494</v>
      </c>
      <c r="GQ4979" s="67"/>
      <c r="GR4979" s="67"/>
      <c r="GS4979" s="67"/>
      <c r="GT4979" s="67"/>
      <c r="GU4979" s="67"/>
      <c r="GV4979" s="67"/>
      <c r="GW4979" s="67"/>
      <c r="GX4979" s="67"/>
      <c r="GY4979" s="67"/>
      <c r="GZ4979" s="67"/>
      <c r="HA4979" s="67"/>
      <c r="HB4979" s="67"/>
      <c r="HC4979" s="67"/>
      <c r="HD4979" s="67"/>
      <c r="HE4979" s="67"/>
      <c r="HF4979" s="67"/>
      <c r="HG4979" s="67"/>
      <c r="HH4979" s="67"/>
      <c r="HI4979" s="67"/>
      <c r="HJ4979" s="67"/>
      <c r="HK4979" s="67"/>
      <c r="HL4979" s="67"/>
      <c r="HM4979" s="67"/>
      <c r="HN4979" s="67"/>
      <c r="HO4979" s="67"/>
      <c r="HP4979" s="67"/>
      <c r="HQ4979" s="67"/>
      <c r="HR4979" s="67"/>
      <c r="HS4979" s="67"/>
      <c r="HT4979" s="67"/>
      <c r="HU4979" s="67"/>
      <c r="HV4979" s="67"/>
      <c r="HW4979" s="67"/>
      <c r="HX4979" s="67"/>
      <c r="HY4979" s="67"/>
      <c r="HZ4979" s="67"/>
      <c r="IA4979" s="67"/>
      <c r="IB4979" s="67"/>
      <c r="IC4979" s="67"/>
      <c r="ID4979" s="67"/>
      <c r="IE4979" s="67"/>
      <c r="IF4979" s="67"/>
      <c r="IG4979" s="67"/>
      <c r="IH4979" s="67"/>
      <c r="II4979" s="67"/>
      <c r="IJ4979" s="67"/>
      <c r="IK4979" s="67"/>
      <c r="IL4979" s="67"/>
      <c r="IM4979" s="67"/>
      <c r="IN4979" s="67"/>
      <c r="IO4979" s="67"/>
      <c r="IP4979" s="67"/>
      <c r="IQ4979" s="67"/>
      <c r="IR4979" s="67"/>
      <c r="IS4979" s="67"/>
      <c r="IT4979" s="67"/>
      <c r="IU4979" s="67"/>
      <c r="IV4979" s="67"/>
      <c r="IW4979" s="67"/>
      <c r="IX4979" s="67"/>
      <c r="IY4979" s="67"/>
      <c r="IZ4979" s="67"/>
      <c r="JA4979" s="67"/>
      <c r="JB4979" s="67"/>
      <c r="JC4979" s="67"/>
      <c r="JD4979" s="67"/>
      <c r="JE4979" s="67"/>
      <c r="JF4979" s="67"/>
      <c r="JG4979" s="67"/>
      <c r="JH4979" s="67"/>
      <c r="JI4979" s="67"/>
      <c r="JJ4979" s="67"/>
      <c r="JK4979" s="67"/>
      <c r="JL4979" s="67"/>
      <c r="JM4979" s="67"/>
      <c r="JN4979" s="67"/>
      <c r="JO4979" s="67"/>
      <c r="JP4979" s="67"/>
      <c r="JQ4979" s="67"/>
      <c r="JR4979" s="67"/>
      <c r="JS4979" s="67"/>
      <c r="JT4979" s="67"/>
      <c r="JU4979" s="58"/>
      <c r="JV4979" s="58"/>
      <c r="JW4979" s="58"/>
    </row>
    <row r="4980" spans="1:283" s="23" customFormat="1" x14ac:dyDescent="0.25">
      <c r="A4980" s="55">
        <v>4979</v>
      </c>
      <c r="B4980" s="12" t="s">
        <v>7067</v>
      </c>
      <c r="C4980" s="156">
        <v>246</v>
      </c>
      <c r="D4980" s="58" t="s">
        <v>4971</v>
      </c>
      <c r="E4980" s="160" t="str">
        <f>G4980</f>
        <v>Leite et al. 2010_total horizon_pair 2</v>
      </c>
      <c r="F4980" s="160"/>
      <c r="G4980" s="60" t="s">
        <v>4757</v>
      </c>
      <c r="H4980" s="58">
        <v>2010</v>
      </c>
      <c r="I4980" s="58" t="s">
        <v>5490</v>
      </c>
      <c r="J4980" s="243" t="s">
        <v>5305</v>
      </c>
      <c r="K4980" s="63" t="s">
        <v>5097</v>
      </c>
      <c r="L4980" s="58" t="s">
        <v>5334</v>
      </c>
      <c r="M4980" s="94">
        <f>-4-46/60</f>
        <v>-4.7666666666666666</v>
      </c>
      <c r="N4980" s="94">
        <f>-41-49/60</f>
        <v>-41.81666666666667</v>
      </c>
      <c r="O4980" s="94">
        <v>241</v>
      </c>
      <c r="P4980" s="58"/>
      <c r="Q4980" s="244">
        <v>30</v>
      </c>
      <c r="R4980" s="58"/>
      <c r="S4980" s="245">
        <v>1000</v>
      </c>
      <c r="T4980" s="58"/>
      <c r="U4980" s="244">
        <v>12</v>
      </c>
      <c r="V4980" s="244">
        <v>12</v>
      </c>
      <c r="W4980" s="174"/>
      <c r="X4980" s="174"/>
      <c r="Y4980" s="58" t="s">
        <v>5352</v>
      </c>
      <c r="Z4980" s="244" t="s">
        <v>1355</v>
      </c>
      <c r="AA4980" s="245">
        <v>10</v>
      </c>
      <c r="AB4980" s="67"/>
      <c r="AC4980" s="67"/>
      <c r="AD4980" s="94">
        <v>1.1000000000000001</v>
      </c>
      <c r="AE4980" s="94" t="s">
        <v>1912</v>
      </c>
      <c r="AF4980" s="94">
        <v>16</v>
      </c>
      <c r="AG4980" s="245">
        <v>70</v>
      </c>
      <c r="AH4980" s="58" t="s">
        <v>769</v>
      </c>
      <c r="AI4980" s="169" t="s">
        <v>5489</v>
      </c>
      <c r="AJ4980" s="94">
        <f>1.4*0.58</f>
        <v>0.81199999999999994</v>
      </c>
      <c r="AK4980" s="94">
        <f>9/(100*100*0.1*1.1)*100</f>
        <v>0.81818181818181823</v>
      </c>
      <c r="AL4980" s="58"/>
      <c r="AM4980" s="58" t="s">
        <v>1287</v>
      </c>
      <c r="AN4980" s="186"/>
      <c r="AO4980" s="185" t="s">
        <v>5150</v>
      </c>
      <c r="AP4980" s="58"/>
      <c r="AQ4980" s="58"/>
      <c r="AR4980" s="58"/>
      <c r="AS4980" s="246" t="s">
        <v>227</v>
      </c>
      <c r="AT4980" s="247">
        <v>0</v>
      </c>
      <c r="AU4980" s="181" t="s">
        <v>7494</v>
      </c>
      <c r="AV4980" s="185" t="s">
        <v>176</v>
      </c>
      <c r="AW4980" s="244">
        <v>0</v>
      </c>
      <c r="AX4980" s="185" t="s">
        <v>176</v>
      </c>
      <c r="AY4980" s="244" t="s">
        <v>176</v>
      </c>
      <c r="AZ4980" s="58" t="s">
        <v>2081</v>
      </c>
      <c r="BA4980" s="58" t="s">
        <v>2082</v>
      </c>
      <c r="BB4980" s="58" t="s">
        <v>2081</v>
      </c>
      <c r="BC4980" s="58" t="s">
        <v>2082</v>
      </c>
      <c r="BD4980" s="58" t="s">
        <v>479</v>
      </c>
      <c r="BE4980" s="236" t="s">
        <v>5198</v>
      </c>
      <c r="BF4980" s="191" t="s">
        <v>479</v>
      </c>
      <c r="BG4980" s="191" t="s">
        <v>479</v>
      </c>
      <c r="BH4980" s="236" t="s">
        <v>5264</v>
      </c>
      <c r="BI4980" s="191" t="s">
        <v>479</v>
      </c>
      <c r="BJ4980" s="58" t="str">
        <f>IF(BE4980=BH4980,"No","yes")</f>
        <v>yes</v>
      </c>
      <c r="BK4980" s="58" t="s">
        <v>6336</v>
      </c>
      <c r="BL4980" s="58" t="s">
        <v>5488</v>
      </c>
      <c r="BM4980" s="237"/>
      <c r="BN4980" s="244">
        <v>4</v>
      </c>
      <c r="BO4980" s="244">
        <v>4</v>
      </c>
      <c r="BP4980" s="58"/>
      <c r="BQ4980" s="58"/>
      <c r="BR4980" s="58"/>
      <c r="BS4980" s="58"/>
      <c r="BT4980" s="58"/>
      <c r="BU4980" s="58"/>
      <c r="BV4980" s="58"/>
      <c r="BW4980" s="67"/>
      <c r="BX4980" s="67"/>
      <c r="BY4980" s="67"/>
      <c r="BZ4980" s="67"/>
      <c r="CA4980" s="67"/>
      <c r="CB4980" s="70"/>
      <c r="CC4980" s="70"/>
      <c r="CD4980" s="70"/>
      <c r="CE4980" s="67"/>
      <c r="CF4980" s="67"/>
      <c r="CG4980" s="67"/>
      <c r="CH4980" s="245"/>
      <c r="CI4980" s="245"/>
      <c r="CJ4980" s="67"/>
      <c r="CK4980" s="67"/>
      <c r="CL4980" s="67"/>
      <c r="CM4980" s="242">
        <f>CR4980/(100*100*0.1*1.1)*100</f>
        <v>0.78636363636363638</v>
      </c>
      <c r="CN4980" s="242">
        <f>CS4980/(100*100*0.1*1.1)*100</f>
        <v>0.88090909090909086</v>
      </c>
      <c r="CO4980" s="242"/>
      <c r="CP4980" s="242"/>
      <c r="CQ4980" s="242" t="s">
        <v>164</v>
      </c>
      <c r="CR4980" s="242">
        <v>8.65</v>
      </c>
      <c r="CS4980" s="242">
        <v>9.69</v>
      </c>
      <c r="CT4980" s="242"/>
      <c r="CU4980" s="242"/>
      <c r="CV4980" s="242" t="s">
        <v>5151</v>
      </c>
      <c r="CW4980" s="242">
        <f>(CR4980-(0.81*0.01*100*100*0.1*1.1))*1000/12</f>
        <v>-21.666666666666799</v>
      </c>
      <c r="CX4980" s="242">
        <f>(CS4980-(0.81*0.01*100*100*0.1*1.1))*1000/12</f>
        <v>64.999999999999801</v>
      </c>
      <c r="CY4980" s="242"/>
      <c r="CZ4980" s="242"/>
      <c r="DA4980" s="67" t="s">
        <v>5443</v>
      </c>
      <c r="DB4980" s="67">
        <f>0.728/(100*100*0.1*1.1)*1000000</f>
        <v>661.81818181818187</v>
      </c>
      <c r="DC4980" s="67">
        <f>0.8/(100*100*0.1*1.1)*1000000</f>
        <v>727.27272727272737</v>
      </c>
      <c r="DD4980" s="67"/>
      <c r="DE4980" s="67"/>
      <c r="DF4980" s="67" t="s">
        <v>5491</v>
      </c>
      <c r="DG4980" s="67"/>
      <c r="DH4980" s="67"/>
      <c r="DI4980" s="67"/>
      <c r="DJ4980" s="67"/>
      <c r="DK4980" s="67"/>
      <c r="DL4980" s="67"/>
      <c r="DM4980" s="67"/>
      <c r="DN4980" s="67"/>
      <c r="DO4980" s="67"/>
      <c r="DP4980" s="67"/>
      <c r="DQ4980" s="166"/>
      <c r="DR4980" s="166"/>
      <c r="DS4980" s="163"/>
      <c r="DT4980" s="163"/>
      <c r="DU4980" s="67"/>
      <c r="DV4980" s="67"/>
      <c r="DW4980" s="67"/>
      <c r="DX4980" s="67"/>
      <c r="DY4980" s="67"/>
      <c r="DZ4980" s="67"/>
      <c r="EA4980" s="67"/>
      <c r="EB4980" s="67"/>
      <c r="EC4980" s="67"/>
      <c r="ED4980" s="67"/>
      <c r="EE4980" s="67"/>
      <c r="EF4980" s="67"/>
      <c r="EG4980" s="67"/>
      <c r="EH4980" s="67"/>
      <c r="EI4980" s="67"/>
      <c r="EJ4980" s="67"/>
      <c r="EK4980" s="94"/>
      <c r="EL4980" s="94"/>
      <c r="EM4980" s="67"/>
      <c r="EN4980" s="67"/>
      <c r="EO4980" s="67"/>
      <c r="EP4980" s="67"/>
      <c r="EQ4980" s="67"/>
      <c r="ER4980" s="67"/>
      <c r="ES4980" s="67"/>
      <c r="ET4980" s="67"/>
      <c r="EU4980" s="67"/>
      <c r="EV4980" s="67"/>
      <c r="EW4980" s="67"/>
      <c r="EX4980" s="67"/>
      <c r="EY4980" s="67"/>
      <c r="EZ4980" s="67"/>
      <c r="FA4980" s="67"/>
      <c r="FB4980" s="67"/>
      <c r="FC4980" s="67"/>
      <c r="FD4980" s="67"/>
      <c r="FE4980" s="67"/>
      <c r="FF4980" s="67"/>
      <c r="FG4980" s="67"/>
      <c r="FH4980" s="67"/>
      <c r="FI4980" s="67"/>
      <c r="FJ4980" s="67"/>
      <c r="FK4980" s="67"/>
      <c r="FL4980" s="67"/>
      <c r="FM4980" s="67"/>
      <c r="FN4980" s="67"/>
      <c r="FO4980" s="67"/>
      <c r="FP4980" s="67"/>
      <c r="FQ4980" s="67"/>
      <c r="FR4980" s="67"/>
      <c r="FS4980" s="67"/>
      <c r="FT4980" s="67"/>
      <c r="FU4980" s="67"/>
      <c r="FV4980" s="67"/>
      <c r="FW4980" s="67"/>
      <c r="FX4980" s="67"/>
      <c r="FY4980" s="67"/>
      <c r="FZ4980" s="67"/>
      <c r="GA4980" s="67"/>
      <c r="GB4980" s="67"/>
      <c r="GC4980" s="67"/>
      <c r="GD4980" s="67"/>
      <c r="GE4980" s="67"/>
      <c r="GF4980" s="67"/>
      <c r="GG4980" s="67"/>
      <c r="GH4980" s="67"/>
      <c r="GI4980" s="67"/>
      <c r="GJ4980" s="67"/>
      <c r="GK4980" s="67"/>
      <c r="GL4980" s="67"/>
      <c r="GM4980" s="67"/>
      <c r="GN4980" s="292"/>
      <c r="GO4980" s="292"/>
      <c r="GP4980" s="292" t="s">
        <v>7494</v>
      </c>
      <c r="GQ4980" s="67"/>
      <c r="GR4980" s="67"/>
      <c r="GS4980" s="67"/>
      <c r="GT4980" s="67"/>
      <c r="GU4980" s="67"/>
      <c r="GV4980" s="67"/>
      <c r="GW4980" s="67"/>
      <c r="GX4980" s="67"/>
      <c r="GY4980" s="67"/>
      <c r="GZ4980" s="67"/>
      <c r="HA4980" s="67"/>
      <c r="HB4980" s="67"/>
      <c r="HC4980" s="67"/>
      <c r="HD4980" s="67"/>
      <c r="HE4980" s="67"/>
      <c r="HF4980" s="67"/>
      <c r="HG4980" s="67"/>
      <c r="HH4980" s="67"/>
      <c r="HI4980" s="67"/>
      <c r="HJ4980" s="67"/>
      <c r="HK4980" s="67"/>
      <c r="HL4980" s="67"/>
      <c r="HM4980" s="67"/>
      <c r="HN4980" s="67"/>
      <c r="HO4980" s="67"/>
      <c r="HP4980" s="67"/>
      <c r="HQ4980" s="67"/>
      <c r="HR4980" s="67"/>
      <c r="HS4980" s="67"/>
      <c r="HT4980" s="67"/>
      <c r="HU4980" s="67"/>
      <c r="HV4980" s="67"/>
      <c r="HW4980" s="67"/>
      <c r="HX4980" s="67"/>
      <c r="HY4980" s="67"/>
      <c r="HZ4980" s="67"/>
      <c r="IA4980" s="67"/>
      <c r="IB4980" s="67"/>
      <c r="IC4980" s="67"/>
      <c r="ID4980" s="67"/>
      <c r="IE4980" s="67"/>
      <c r="IF4980" s="67"/>
      <c r="IG4980" s="67"/>
      <c r="IH4980" s="67"/>
      <c r="II4980" s="67"/>
      <c r="IJ4980" s="67"/>
      <c r="IK4980" s="67"/>
      <c r="IL4980" s="67"/>
      <c r="IM4980" s="67"/>
      <c r="IN4980" s="67"/>
      <c r="IO4980" s="67"/>
      <c r="IP4980" s="67"/>
      <c r="IQ4980" s="67"/>
      <c r="IR4980" s="67"/>
      <c r="IS4980" s="67"/>
      <c r="IT4980" s="67"/>
      <c r="IU4980" s="67"/>
      <c r="IV4980" s="67"/>
      <c r="IW4980" s="67"/>
      <c r="IX4980" s="67"/>
      <c r="IY4980" s="67"/>
      <c r="IZ4980" s="67"/>
      <c r="JA4980" s="67"/>
      <c r="JB4980" s="67"/>
      <c r="JC4980" s="67"/>
      <c r="JD4980" s="67"/>
      <c r="JE4980" s="67"/>
      <c r="JF4980" s="67"/>
      <c r="JG4980" s="67"/>
      <c r="JH4980" s="67"/>
      <c r="JI4980" s="67"/>
      <c r="JJ4980" s="67"/>
      <c r="JK4980" s="67"/>
      <c r="JL4980" s="67"/>
      <c r="JM4980" s="67"/>
      <c r="JN4980" s="67"/>
      <c r="JO4980" s="67"/>
      <c r="JP4980" s="67"/>
      <c r="JQ4980" s="67"/>
      <c r="JR4980" s="67"/>
      <c r="JS4980" s="67"/>
      <c r="JT4980" s="67"/>
      <c r="JU4980" s="58"/>
      <c r="JV4980" s="58"/>
      <c r="JW4980" s="58"/>
    </row>
    <row r="4981" spans="1:283" s="23" customFormat="1" x14ac:dyDescent="0.25">
      <c r="A4981" s="55">
        <v>4980</v>
      </c>
      <c r="B4981" s="12" t="s">
        <v>7067</v>
      </c>
      <c r="C4981" s="156">
        <v>246</v>
      </c>
      <c r="D4981" s="58" t="s">
        <v>4970</v>
      </c>
      <c r="E4981" s="160" t="str">
        <f>G4981</f>
        <v>Leite et al. 2010_total horizon_pair 1</v>
      </c>
      <c r="F4981" s="160"/>
      <c r="G4981" s="60" t="s">
        <v>4758</v>
      </c>
      <c r="H4981" s="58">
        <v>2010</v>
      </c>
      <c r="I4981" s="58" t="s">
        <v>5490</v>
      </c>
      <c r="J4981" s="243" t="s">
        <v>5305</v>
      </c>
      <c r="K4981" s="63" t="s">
        <v>5097</v>
      </c>
      <c r="L4981" s="58" t="s">
        <v>5334</v>
      </c>
      <c r="M4981" s="94">
        <f>-4-46/60</f>
        <v>-4.7666666666666666</v>
      </c>
      <c r="N4981" s="94">
        <f>-41-49/60</f>
        <v>-41.81666666666667</v>
      </c>
      <c r="O4981" s="94">
        <v>240</v>
      </c>
      <c r="P4981" s="58"/>
      <c r="Q4981" s="244">
        <v>30</v>
      </c>
      <c r="R4981" s="58"/>
      <c r="S4981" s="245">
        <v>1000</v>
      </c>
      <c r="T4981" s="58"/>
      <c r="U4981" s="244">
        <v>12</v>
      </c>
      <c r="V4981" s="244">
        <v>12</v>
      </c>
      <c r="W4981" s="174"/>
      <c r="X4981" s="174"/>
      <c r="Y4981" s="58" t="s">
        <v>5352</v>
      </c>
      <c r="Z4981" s="244" t="s">
        <v>1355</v>
      </c>
      <c r="AA4981" s="245">
        <v>10</v>
      </c>
      <c r="AB4981" s="67"/>
      <c r="AC4981" s="67"/>
      <c r="AD4981" s="94">
        <v>1.1000000000000001</v>
      </c>
      <c r="AE4981" s="94" t="s">
        <v>1912</v>
      </c>
      <c r="AF4981" s="94">
        <v>16</v>
      </c>
      <c r="AG4981" s="245">
        <v>70</v>
      </c>
      <c r="AH4981" s="58" t="s">
        <v>769</v>
      </c>
      <c r="AI4981" s="169" t="s">
        <v>5489</v>
      </c>
      <c r="AJ4981" s="94">
        <f>1.4*0.58</f>
        <v>0.81199999999999994</v>
      </c>
      <c r="AK4981" s="94">
        <f>9/(100*100*0.1*1.1)*100</f>
        <v>0.81818181818181823</v>
      </c>
      <c r="AL4981" s="58"/>
      <c r="AM4981" s="58" t="s">
        <v>1287</v>
      </c>
      <c r="AN4981" s="186"/>
      <c r="AO4981" s="185" t="s">
        <v>5150</v>
      </c>
      <c r="AP4981" s="58"/>
      <c r="AQ4981" s="58"/>
      <c r="AR4981" s="58"/>
      <c r="AS4981" s="246" t="s">
        <v>227</v>
      </c>
      <c r="AT4981" s="247">
        <v>0</v>
      </c>
      <c r="AU4981" s="181" t="s">
        <v>7494</v>
      </c>
      <c r="AV4981" s="185" t="s">
        <v>176</v>
      </c>
      <c r="AW4981" s="244">
        <v>0</v>
      </c>
      <c r="AX4981" s="185" t="s">
        <v>176</v>
      </c>
      <c r="AY4981" s="244" t="s">
        <v>176</v>
      </c>
      <c r="AZ4981" s="58" t="s">
        <v>2082</v>
      </c>
      <c r="BA4981" s="58" t="s">
        <v>2082</v>
      </c>
      <c r="BB4981" s="58" t="s">
        <v>2082</v>
      </c>
      <c r="BC4981" s="58" t="s">
        <v>2082</v>
      </c>
      <c r="BD4981" s="58" t="s">
        <v>176</v>
      </c>
      <c r="BE4981" s="236" t="s">
        <v>5198</v>
      </c>
      <c r="BF4981" s="191" t="s">
        <v>479</v>
      </c>
      <c r="BG4981" s="191" t="s">
        <v>479</v>
      </c>
      <c r="BH4981" s="236" t="s">
        <v>5264</v>
      </c>
      <c r="BI4981" s="191" t="s">
        <v>479</v>
      </c>
      <c r="BJ4981" s="58" t="str">
        <f>IF(BE4981=BH4981,"No","yes")</f>
        <v>yes</v>
      </c>
      <c r="BK4981" s="58" t="s">
        <v>6336</v>
      </c>
      <c r="BL4981" s="58" t="s">
        <v>5488</v>
      </c>
      <c r="BM4981" s="237"/>
      <c r="BN4981" s="244">
        <v>4</v>
      </c>
      <c r="BO4981" s="244">
        <v>4</v>
      </c>
      <c r="BP4981" s="58"/>
      <c r="BQ4981" s="58"/>
      <c r="BR4981" s="58"/>
      <c r="BS4981" s="58"/>
      <c r="BT4981" s="58"/>
      <c r="BU4981" s="58"/>
      <c r="BV4981" s="58"/>
      <c r="BW4981" s="67"/>
      <c r="BX4981" s="67"/>
      <c r="BY4981" s="67"/>
      <c r="BZ4981" s="67"/>
      <c r="CA4981" s="67"/>
      <c r="CB4981" s="70"/>
      <c r="CC4981" s="70"/>
      <c r="CD4981" s="70"/>
      <c r="CE4981" s="67"/>
      <c r="CF4981" s="67"/>
      <c r="CG4981" s="67"/>
      <c r="CH4981" s="245"/>
      <c r="CI4981" s="245"/>
      <c r="CJ4981" s="67"/>
      <c r="CK4981" s="67"/>
      <c r="CL4981" s="67"/>
      <c r="CM4981" s="242">
        <f>CR4981/(100*100*0.1*1.1)*100</f>
        <v>0.78636363636363638</v>
      </c>
      <c r="CN4981" s="242">
        <f>CS4981/(100*100*0.1*1.1)*100</f>
        <v>1.28</v>
      </c>
      <c r="CO4981" s="242"/>
      <c r="CP4981" s="242"/>
      <c r="CQ4981" s="242" t="s">
        <v>164</v>
      </c>
      <c r="CR4981" s="242">
        <v>8.65</v>
      </c>
      <c r="CS4981" s="242">
        <v>14.08</v>
      </c>
      <c r="CT4981" s="242"/>
      <c r="CU4981" s="242"/>
      <c r="CV4981" s="242" t="s">
        <v>5151</v>
      </c>
      <c r="CW4981" s="242">
        <f>(CR4981-(0.81*0.01*100*100*0.1*1.1))*1000/12</f>
        <v>-21.666666666666799</v>
      </c>
      <c r="CX4981" s="242">
        <f>(CS4981-(0.81*0.01*100*100*0.1*1.1))*1000/12</f>
        <v>430.8333333333332</v>
      </c>
      <c r="CY4981" s="242"/>
      <c r="CZ4981" s="242"/>
      <c r="DA4981" s="67" t="s">
        <v>5443</v>
      </c>
      <c r="DB4981" s="67">
        <f>0.728/(100*100*0.1*1.1)*1000000</f>
        <v>661.81818181818187</v>
      </c>
      <c r="DC4981" s="67">
        <f>0.98/(100*100*0.1*1.1)*1000000</f>
        <v>890.90909090909088</v>
      </c>
      <c r="DD4981" s="67"/>
      <c r="DE4981" s="67"/>
      <c r="DF4981" s="67" t="s">
        <v>5491</v>
      </c>
      <c r="DG4981" s="67"/>
      <c r="DH4981" s="67"/>
      <c r="DI4981" s="67"/>
      <c r="DJ4981" s="67"/>
      <c r="DK4981" s="67"/>
      <c r="DL4981" s="67"/>
      <c r="DM4981" s="67"/>
      <c r="DN4981" s="67"/>
      <c r="DO4981" s="67"/>
      <c r="DP4981" s="67"/>
      <c r="DQ4981" s="166"/>
      <c r="DR4981" s="166"/>
      <c r="DS4981" s="163"/>
      <c r="DT4981" s="163"/>
      <c r="DU4981" s="67"/>
      <c r="DV4981" s="67"/>
      <c r="DW4981" s="67"/>
      <c r="DX4981" s="67"/>
      <c r="DY4981" s="67"/>
      <c r="DZ4981" s="67"/>
      <c r="EA4981" s="67"/>
      <c r="EB4981" s="67"/>
      <c r="EC4981" s="67"/>
      <c r="ED4981" s="67"/>
      <c r="EE4981" s="67"/>
      <c r="EF4981" s="67"/>
      <c r="EG4981" s="67"/>
      <c r="EH4981" s="67"/>
      <c r="EI4981" s="67"/>
      <c r="EJ4981" s="67"/>
      <c r="EK4981" s="94"/>
      <c r="EL4981" s="94"/>
      <c r="EM4981" s="67"/>
      <c r="EN4981" s="67"/>
      <c r="EO4981" s="67"/>
      <c r="EP4981" s="67"/>
      <c r="EQ4981" s="67"/>
      <c r="ER4981" s="67"/>
      <c r="ES4981" s="67"/>
      <c r="ET4981" s="67"/>
      <c r="EU4981" s="67"/>
      <c r="EV4981" s="67"/>
      <c r="EW4981" s="67"/>
      <c r="EX4981" s="67"/>
      <c r="EY4981" s="67"/>
      <c r="EZ4981" s="67"/>
      <c r="FA4981" s="67"/>
      <c r="FB4981" s="67"/>
      <c r="FC4981" s="67"/>
      <c r="FD4981" s="67"/>
      <c r="FE4981" s="67"/>
      <c r="FF4981" s="67"/>
      <c r="FG4981" s="67"/>
      <c r="FH4981" s="67"/>
      <c r="FI4981" s="67"/>
      <c r="FJ4981" s="67"/>
      <c r="FK4981" s="67"/>
      <c r="FL4981" s="67"/>
      <c r="FM4981" s="67"/>
      <c r="FN4981" s="67"/>
      <c r="FO4981" s="67"/>
      <c r="FP4981" s="67"/>
      <c r="FQ4981" s="67"/>
      <c r="FR4981" s="67"/>
      <c r="FS4981" s="67"/>
      <c r="FT4981" s="67"/>
      <c r="FU4981" s="67"/>
      <c r="FV4981" s="67"/>
      <c r="FW4981" s="67"/>
      <c r="FX4981" s="67"/>
      <c r="FY4981" s="67"/>
      <c r="FZ4981" s="67"/>
      <c r="GA4981" s="67"/>
      <c r="GB4981" s="67"/>
      <c r="GC4981" s="67"/>
      <c r="GD4981" s="67"/>
      <c r="GE4981" s="67"/>
      <c r="GF4981" s="67"/>
      <c r="GG4981" s="67"/>
      <c r="GH4981" s="67"/>
      <c r="GI4981" s="67"/>
      <c r="GJ4981" s="67"/>
      <c r="GK4981" s="67"/>
      <c r="GL4981" s="67"/>
      <c r="GM4981" s="67"/>
      <c r="GN4981" s="292"/>
      <c r="GO4981" s="292"/>
      <c r="GP4981" s="292" t="s">
        <v>7494</v>
      </c>
      <c r="GQ4981" s="67"/>
      <c r="GR4981" s="67"/>
      <c r="GS4981" s="67"/>
      <c r="GT4981" s="67"/>
      <c r="GU4981" s="67"/>
      <c r="GV4981" s="67"/>
      <c r="GW4981" s="67"/>
      <c r="GX4981" s="67"/>
      <c r="GY4981" s="67"/>
      <c r="GZ4981" s="67"/>
      <c r="HA4981" s="67"/>
      <c r="HB4981" s="67"/>
      <c r="HC4981" s="67"/>
      <c r="HD4981" s="67"/>
      <c r="HE4981" s="67"/>
      <c r="HF4981" s="67"/>
      <c r="HG4981" s="67"/>
      <c r="HH4981" s="67"/>
      <c r="HI4981" s="67"/>
      <c r="HJ4981" s="67"/>
      <c r="HK4981" s="67"/>
      <c r="HL4981" s="67"/>
      <c r="HM4981" s="67"/>
      <c r="HN4981" s="67"/>
      <c r="HO4981" s="67"/>
      <c r="HP4981" s="67"/>
      <c r="HQ4981" s="67"/>
      <c r="HR4981" s="67"/>
      <c r="HS4981" s="67"/>
      <c r="HT4981" s="67"/>
      <c r="HU4981" s="67"/>
      <c r="HV4981" s="67"/>
      <c r="HW4981" s="67"/>
      <c r="HX4981" s="67"/>
      <c r="HY4981" s="67"/>
      <c r="HZ4981" s="67"/>
      <c r="IA4981" s="67"/>
      <c r="IB4981" s="67"/>
      <c r="IC4981" s="67"/>
      <c r="ID4981" s="67"/>
      <c r="IE4981" s="67"/>
      <c r="IF4981" s="67"/>
      <c r="IG4981" s="67"/>
      <c r="IH4981" s="67"/>
      <c r="II4981" s="67"/>
      <c r="IJ4981" s="67"/>
      <c r="IK4981" s="67"/>
      <c r="IL4981" s="67"/>
      <c r="IM4981" s="67"/>
      <c r="IN4981" s="67"/>
      <c r="IO4981" s="67"/>
      <c r="IP4981" s="67"/>
      <c r="IQ4981" s="67"/>
      <c r="IR4981" s="67"/>
      <c r="IS4981" s="67"/>
      <c r="IT4981" s="67"/>
      <c r="IU4981" s="67"/>
      <c r="IV4981" s="67"/>
      <c r="IW4981" s="67"/>
      <c r="IX4981" s="67"/>
      <c r="IY4981" s="67"/>
      <c r="IZ4981" s="67"/>
      <c r="JA4981" s="67"/>
      <c r="JB4981" s="67"/>
      <c r="JC4981" s="67"/>
      <c r="JD4981" s="67"/>
      <c r="JE4981" s="67"/>
      <c r="JF4981" s="67"/>
      <c r="JG4981" s="67"/>
      <c r="JH4981" s="67"/>
      <c r="JI4981" s="67"/>
      <c r="JJ4981" s="67"/>
      <c r="JK4981" s="67"/>
      <c r="JL4981" s="67"/>
      <c r="JM4981" s="67"/>
      <c r="JN4981" s="67"/>
      <c r="JO4981" s="67"/>
      <c r="JP4981" s="67"/>
      <c r="JQ4981" s="67"/>
      <c r="JR4981" s="67"/>
      <c r="JS4981" s="67"/>
      <c r="JT4981" s="67"/>
      <c r="JU4981" s="58"/>
      <c r="JV4981" s="58"/>
      <c r="JW4981" s="58"/>
    </row>
    <row r="4982" spans="1:283" s="23" customFormat="1" x14ac:dyDescent="0.25">
      <c r="A4982" s="55">
        <v>4981</v>
      </c>
      <c r="B4982" s="12" t="s">
        <v>7067</v>
      </c>
      <c r="C4982" s="156">
        <v>246</v>
      </c>
      <c r="D4982" s="58" t="s">
        <v>4971</v>
      </c>
      <c r="E4982" s="160" t="str">
        <f>G4982</f>
        <v>Leite et al. 2010_total horizon_pair 2</v>
      </c>
      <c r="F4982" s="160"/>
      <c r="G4982" s="60" t="s">
        <v>4757</v>
      </c>
      <c r="H4982" s="58">
        <v>2010</v>
      </c>
      <c r="I4982" s="58" t="s">
        <v>5490</v>
      </c>
      <c r="J4982" s="243" t="s">
        <v>5305</v>
      </c>
      <c r="K4982" s="63" t="s">
        <v>5097</v>
      </c>
      <c r="L4982" s="58" t="s">
        <v>5334</v>
      </c>
      <c r="M4982" s="94">
        <f>-4-46/60</f>
        <v>-4.7666666666666666</v>
      </c>
      <c r="N4982" s="94">
        <f>-41-49/60</f>
        <v>-41.81666666666667</v>
      </c>
      <c r="O4982" s="94">
        <v>241</v>
      </c>
      <c r="P4982" s="58"/>
      <c r="Q4982" s="244">
        <v>30</v>
      </c>
      <c r="R4982" s="58"/>
      <c r="S4982" s="245">
        <v>1000</v>
      </c>
      <c r="T4982" s="58"/>
      <c r="U4982" s="244">
        <v>12</v>
      </c>
      <c r="V4982" s="244">
        <v>12</v>
      </c>
      <c r="W4982" s="174"/>
      <c r="X4982" s="174"/>
      <c r="Y4982" s="58" t="s">
        <v>5352</v>
      </c>
      <c r="Z4982" s="244" t="s">
        <v>1359</v>
      </c>
      <c r="AA4982" s="245">
        <v>10</v>
      </c>
      <c r="AB4982" s="67"/>
      <c r="AC4982" s="67"/>
      <c r="AD4982" s="94">
        <v>1.1000000000000001</v>
      </c>
      <c r="AE4982" s="94" t="s">
        <v>1912</v>
      </c>
      <c r="AF4982" s="94">
        <v>16</v>
      </c>
      <c r="AG4982" s="245">
        <v>70</v>
      </c>
      <c r="AH4982" s="58" t="s">
        <v>769</v>
      </c>
      <c r="AI4982" s="169" t="s">
        <v>5489</v>
      </c>
      <c r="AJ4982" s="94">
        <f>1.4*0.58</f>
        <v>0.81199999999999994</v>
      </c>
      <c r="AK4982" s="94">
        <f>7.3/(100*100*0.1*1.1)*100</f>
        <v>0.66363636363636369</v>
      </c>
      <c r="AL4982" s="58"/>
      <c r="AM4982" s="58" t="s">
        <v>1287</v>
      </c>
      <c r="AN4982" s="186"/>
      <c r="AO4982" s="185" t="s">
        <v>5150</v>
      </c>
      <c r="AP4982" s="58"/>
      <c r="AQ4982" s="58"/>
      <c r="AR4982" s="58"/>
      <c r="AS4982" s="246" t="s">
        <v>227</v>
      </c>
      <c r="AT4982" s="247">
        <v>0</v>
      </c>
      <c r="AU4982" s="181" t="s">
        <v>7494</v>
      </c>
      <c r="AV4982" s="185" t="s">
        <v>176</v>
      </c>
      <c r="AW4982" s="244">
        <v>0</v>
      </c>
      <c r="AX4982" s="185" t="s">
        <v>176</v>
      </c>
      <c r="AY4982" s="244" t="s">
        <v>176</v>
      </c>
      <c r="AZ4982" s="58" t="s">
        <v>2082</v>
      </c>
      <c r="BA4982" s="58" t="s">
        <v>2082</v>
      </c>
      <c r="BB4982" s="58" t="s">
        <v>2082</v>
      </c>
      <c r="BC4982" s="58" t="s">
        <v>2082</v>
      </c>
      <c r="BD4982" s="58" t="s">
        <v>176</v>
      </c>
      <c r="BE4982" s="236" t="s">
        <v>5198</v>
      </c>
      <c r="BF4982" s="191" t="s">
        <v>479</v>
      </c>
      <c r="BG4982" s="191" t="s">
        <v>479</v>
      </c>
      <c r="BH4982" s="236" t="s">
        <v>5264</v>
      </c>
      <c r="BI4982" s="191" t="s">
        <v>479</v>
      </c>
      <c r="BJ4982" s="58" t="str">
        <f>IF(BE4982=BH4982,"No","yes")</f>
        <v>yes</v>
      </c>
      <c r="BK4982" s="58" t="s">
        <v>6336</v>
      </c>
      <c r="BL4982" s="58" t="s">
        <v>5488</v>
      </c>
      <c r="BM4982" s="237"/>
      <c r="BN4982" s="244">
        <v>4</v>
      </c>
      <c r="BO4982" s="244">
        <v>4</v>
      </c>
      <c r="BP4982" s="58"/>
      <c r="BQ4982" s="58"/>
      <c r="BR4982" s="58"/>
      <c r="BS4982" s="58"/>
      <c r="BT4982" s="58"/>
      <c r="BU4982" s="58"/>
      <c r="BV4982" s="58"/>
      <c r="BW4982" s="67"/>
      <c r="BX4982" s="67"/>
      <c r="BY4982" s="67"/>
      <c r="BZ4982" s="67"/>
      <c r="CA4982" s="67"/>
      <c r="CB4982" s="70"/>
      <c r="CC4982" s="70"/>
      <c r="CD4982" s="70"/>
      <c r="CE4982" s="67"/>
      <c r="CF4982" s="67"/>
      <c r="CG4982" s="67"/>
      <c r="CH4982" s="245"/>
      <c r="CI4982" s="245"/>
      <c r="CJ4982" s="67"/>
      <c r="CK4982" s="67"/>
      <c r="CL4982" s="67"/>
      <c r="CM4982" s="242">
        <f>CR4982/(100*100*0.1*1.1)*100</f>
        <v>0.79681818181818187</v>
      </c>
      <c r="CN4982" s="242">
        <f>CS4982/(100*100*0.1*1.1)*100</f>
        <v>1.0541818181818181</v>
      </c>
      <c r="CO4982" s="242"/>
      <c r="CP4982" s="242"/>
      <c r="CQ4982" s="242" t="s">
        <v>164</v>
      </c>
      <c r="CR4982" s="242">
        <v>8.7650000000000006</v>
      </c>
      <c r="CS4982" s="242">
        <v>11.596</v>
      </c>
      <c r="CT4982" s="242"/>
      <c r="CU4982" s="242"/>
      <c r="CV4982" s="242" t="s">
        <v>5151</v>
      </c>
      <c r="CW4982" s="242">
        <f>(CR4982-(0.81*0.01*100*100*0.1*1.1))*1000/12</f>
        <v>-12.083333333333448</v>
      </c>
      <c r="CX4982" s="242">
        <f>(CS4982-(0.81*0.01*100*100*0.1*1.1))*1000/12</f>
        <v>223.83333333333317</v>
      </c>
      <c r="CY4982" s="242"/>
      <c r="CZ4982" s="242"/>
      <c r="DA4982" s="67" t="s">
        <v>5443</v>
      </c>
      <c r="DB4982" s="67">
        <f>0.631/(100*100*0.1*1.1)*1000000</f>
        <v>573.63636363636363</v>
      </c>
      <c r="DC4982" s="67">
        <f>0.83/(100*100*0.1*1.1)*1000000</f>
        <v>754.5454545454545</v>
      </c>
      <c r="DD4982" s="67"/>
      <c r="DE4982" s="67"/>
      <c r="DF4982" s="67" t="s">
        <v>5491</v>
      </c>
      <c r="DG4982" s="67"/>
      <c r="DH4982" s="67"/>
      <c r="DI4982" s="67"/>
      <c r="DJ4982" s="67"/>
      <c r="DK4982" s="67"/>
      <c r="DL4982" s="67"/>
      <c r="DM4982" s="67"/>
      <c r="DN4982" s="67"/>
      <c r="DO4982" s="67"/>
      <c r="DP4982" s="67"/>
      <c r="DQ4982" s="166"/>
      <c r="DR4982" s="166"/>
      <c r="DS4982" s="163"/>
      <c r="DT4982" s="163"/>
      <c r="DU4982" s="67"/>
      <c r="DV4982" s="67"/>
      <c r="DW4982" s="67"/>
      <c r="DX4982" s="67"/>
      <c r="DY4982" s="67"/>
      <c r="DZ4982" s="67"/>
      <c r="EA4982" s="67"/>
      <c r="EB4982" s="67"/>
      <c r="EC4982" s="67"/>
      <c r="ED4982" s="67"/>
      <c r="EE4982" s="67"/>
      <c r="EF4982" s="67"/>
      <c r="EG4982" s="67"/>
      <c r="EH4982" s="67"/>
      <c r="EI4982" s="67"/>
      <c r="EJ4982" s="67"/>
      <c r="EK4982" s="94"/>
      <c r="EL4982" s="94"/>
      <c r="EM4982" s="67"/>
      <c r="EN4982" s="67"/>
      <c r="EO4982" s="67"/>
      <c r="EP4982" s="67"/>
      <c r="EQ4982" s="67"/>
      <c r="ER4982" s="67"/>
      <c r="ES4982" s="67"/>
      <c r="ET4982" s="67"/>
      <c r="EU4982" s="67"/>
      <c r="EV4982" s="67"/>
      <c r="EW4982" s="67"/>
      <c r="EX4982" s="67"/>
      <c r="EY4982" s="67"/>
      <c r="EZ4982" s="67"/>
      <c r="FA4982" s="67"/>
      <c r="FB4982" s="67"/>
      <c r="FC4982" s="67"/>
      <c r="FD4982" s="67"/>
      <c r="FE4982" s="67"/>
      <c r="FF4982" s="67"/>
      <c r="FG4982" s="67"/>
      <c r="FH4982" s="67"/>
      <c r="FI4982" s="67"/>
      <c r="FJ4982" s="67"/>
      <c r="FK4982" s="67"/>
      <c r="FL4982" s="67"/>
      <c r="FM4982" s="67"/>
      <c r="FN4982" s="67"/>
      <c r="FO4982" s="67"/>
      <c r="FP4982" s="67"/>
      <c r="FQ4982" s="67"/>
      <c r="FR4982" s="67"/>
      <c r="FS4982" s="67"/>
      <c r="FT4982" s="67"/>
      <c r="FU4982" s="67"/>
      <c r="FV4982" s="67"/>
      <c r="FW4982" s="67"/>
      <c r="FX4982" s="67"/>
      <c r="FY4982" s="67"/>
      <c r="FZ4982" s="67"/>
      <c r="GA4982" s="67"/>
      <c r="GB4982" s="67"/>
      <c r="GC4982" s="67"/>
      <c r="GD4982" s="67"/>
      <c r="GE4982" s="67"/>
      <c r="GF4982" s="67"/>
      <c r="GG4982" s="67"/>
      <c r="GH4982" s="67"/>
      <c r="GI4982" s="67"/>
      <c r="GJ4982" s="67"/>
      <c r="GK4982" s="67"/>
      <c r="GL4982" s="67"/>
      <c r="GM4982" s="67"/>
      <c r="GN4982" s="292"/>
      <c r="GO4982" s="292"/>
      <c r="GP4982" s="292" t="s">
        <v>7494</v>
      </c>
      <c r="GQ4982" s="67"/>
      <c r="GR4982" s="67"/>
      <c r="GS4982" s="67"/>
      <c r="GT4982" s="67"/>
      <c r="GU4982" s="67"/>
      <c r="GV4982" s="67"/>
      <c r="GW4982" s="67"/>
      <c r="GX4982" s="67"/>
      <c r="GY4982" s="67"/>
      <c r="GZ4982" s="67"/>
      <c r="HA4982" s="67"/>
      <c r="HB4982" s="67"/>
      <c r="HC4982" s="67"/>
      <c r="HD4982" s="67"/>
      <c r="HE4982" s="67"/>
      <c r="HF4982" s="67"/>
      <c r="HG4982" s="67"/>
      <c r="HH4982" s="67"/>
      <c r="HI4982" s="67"/>
      <c r="HJ4982" s="67"/>
      <c r="HK4982" s="67"/>
      <c r="HL4982" s="67"/>
      <c r="HM4982" s="67"/>
      <c r="HN4982" s="67"/>
      <c r="HO4982" s="67"/>
      <c r="HP4982" s="67"/>
      <c r="HQ4982" s="67"/>
      <c r="HR4982" s="67"/>
      <c r="HS4982" s="67"/>
      <c r="HT4982" s="67"/>
      <c r="HU4982" s="67"/>
      <c r="HV4982" s="67"/>
      <c r="HW4982" s="67"/>
      <c r="HX4982" s="67"/>
      <c r="HY4982" s="67"/>
      <c r="HZ4982" s="67"/>
      <c r="IA4982" s="67"/>
      <c r="IB4982" s="67"/>
      <c r="IC4982" s="67"/>
      <c r="ID4982" s="67"/>
      <c r="IE4982" s="67"/>
      <c r="IF4982" s="67"/>
      <c r="IG4982" s="67"/>
      <c r="IH4982" s="67"/>
      <c r="II4982" s="67"/>
      <c r="IJ4982" s="67"/>
      <c r="IK4982" s="67"/>
      <c r="IL4982" s="67"/>
      <c r="IM4982" s="67"/>
      <c r="IN4982" s="67"/>
      <c r="IO4982" s="67"/>
      <c r="IP4982" s="67"/>
      <c r="IQ4982" s="67"/>
      <c r="IR4982" s="67"/>
      <c r="IS4982" s="67"/>
      <c r="IT4982" s="67"/>
      <c r="IU4982" s="67"/>
      <c r="IV4982" s="67"/>
      <c r="IW4982" s="67"/>
      <c r="IX4982" s="67"/>
      <c r="IY4982" s="67"/>
      <c r="IZ4982" s="67"/>
      <c r="JA4982" s="67"/>
      <c r="JB4982" s="67"/>
      <c r="JC4982" s="67"/>
      <c r="JD4982" s="67"/>
      <c r="JE4982" s="67"/>
      <c r="JF4982" s="67"/>
      <c r="JG4982" s="67"/>
      <c r="JH4982" s="67"/>
      <c r="JI4982" s="67"/>
      <c r="JJ4982" s="67"/>
      <c r="JK4982" s="67"/>
      <c r="JL4982" s="67"/>
      <c r="JM4982" s="67"/>
      <c r="JN4982" s="67"/>
      <c r="JO4982" s="67"/>
      <c r="JP4982" s="67"/>
      <c r="JQ4982" s="67"/>
      <c r="JR4982" s="67"/>
      <c r="JS4982" s="67"/>
      <c r="JT4982" s="67"/>
      <c r="JU4982" s="58"/>
      <c r="JV4982" s="58"/>
      <c r="JW4982" s="58"/>
    </row>
    <row r="4983" spans="1:283" s="23" customFormat="1" x14ac:dyDescent="0.25">
      <c r="A4983" s="55">
        <v>4982</v>
      </c>
      <c r="B4983" s="12" t="s">
        <v>7067</v>
      </c>
      <c r="C4983" s="156">
        <v>246</v>
      </c>
      <c r="D4983" s="58" t="s">
        <v>4970</v>
      </c>
      <c r="E4983" s="160" t="str">
        <f>G4983</f>
        <v>Leite et al. 2010_total horizon_pair 1</v>
      </c>
      <c r="F4983" s="160"/>
      <c r="G4983" s="60" t="s">
        <v>4758</v>
      </c>
      <c r="H4983" s="58">
        <v>2010</v>
      </c>
      <c r="I4983" s="58" t="s">
        <v>5490</v>
      </c>
      <c r="J4983" s="243" t="s">
        <v>5305</v>
      </c>
      <c r="K4983" s="63" t="s">
        <v>5097</v>
      </c>
      <c r="L4983" s="58" t="s">
        <v>5334</v>
      </c>
      <c r="M4983" s="94">
        <f>-4-46/60</f>
        <v>-4.7666666666666666</v>
      </c>
      <c r="N4983" s="94">
        <f>-41-49/60</f>
        <v>-41.81666666666667</v>
      </c>
      <c r="O4983" s="94">
        <v>240</v>
      </c>
      <c r="P4983" s="58"/>
      <c r="Q4983" s="244">
        <v>30</v>
      </c>
      <c r="R4983" s="58"/>
      <c r="S4983" s="245">
        <v>1000</v>
      </c>
      <c r="T4983" s="58"/>
      <c r="U4983" s="244">
        <v>12</v>
      </c>
      <c r="V4983" s="244">
        <v>12</v>
      </c>
      <c r="W4983" s="174"/>
      <c r="X4983" s="174"/>
      <c r="Y4983" s="58" t="s">
        <v>5352</v>
      </c>
      <c r="Z4983" s="244" t="s">
        <v>1359</v>
      </c>
      <c r="AA4983" s="245">
        <v>10</v>
      </c>
      <c r="AB4983" s="67"/>
      <c r="AC4983" s="67"/>
      <c r="AD4983" s="94">
        <v>1.1000000000000001</v>
      </c>
      <c r="AE4983" s="94" t="s">
        <v>1912</v>
      </c>
      <c r="AF4983" s="94">
        <v>16</v>
      </c>
      <c r="AG4983" s="245">
        <v>70</v>
      </c>
      <c r="AH4983" s="58" t="s">
        <v>769</v>
      </c>
      <c r="AI4983" s="169" t="s">
        <v>5489</v>
      </c>
      <c r="AJ4983" s="94">
        <f>1.4*0.58</f>
        <v>0.81199999999999994</v>
      </c>
      <c r="AK4983" s="94">
        <f>7.3/(100*100*0.1*1.1)*100</f>
        <v>0.66363636363636369</v>
      </c>
      <c r="AL4983" s="58"/>
      <c r="AM4983" s="58" t="s">
        <v>1287</v>
      </c>
      <c r="AN4983" s="186"/>
      <c r="AO4983" s="185" t="s">
        <v>5150</v>
      </c>
      <c r="AP4983" s="58"/>
      <c r="AQ4983" s="58"/>
      <c r="AR4983" s="58"/>
      <c r="AS4983" s="246" t="s">
        <v>227</v>
      </c>
      <c r="AT4983" s="247">
        <v>0</v>
      </c>
      <c r="AU4983" s="181" t="s">
        <v>7494</v>
      </c>
      <c r="AV4983" s="185" t="s">
        <v>176</v>
      </c>
      <c r="AW4983" s="244">
        <v>0</v>
      </c>
      <c r="AX4983" s="185" t="s">
        <v>176</v>
      </c>
      <c r="AY4983" s="244" t="s">
        <v>176</v>
      </c>
      <c r="AZ4983" s="58" t="s">
        <v>2081</v>
      </c>
      <c r="BA4983" s="58" t="s">
        <v>2082</v>
      </c>
      <c r="BB4983" s="58" t="s">
        <v>2081</v>
      </c>
      <c r="BC4983" s="58" t="s">
        <v>2082</v>
      </c>
      <c r="BD4983" s="58" t="s">
        <v>479</v>
      </c>
      <c r="BE4983" s="236" t="s">
        <v>5198</v>
      </c>
      <c r="BF4983" s="191" t="s">
        <v>479</v>
      </c>
      <c r="BG4983" s="191" t="s">
        <v>479</v>
      </c>
      <c r="BH4983" s="236" t="s">
        <v>5264</v>
      </c>
      <c r="BI4983" s="191" t="s">
        <v>479</v>
      </c>
      <c r="BJ4983" s="58" t="str">
        <f>IF(BE4983=BH4983,"No","yes")</f>
        <v>yes</v>
      </c>
      <c r="BK4983" s="58" t="s">
        <v>6336</v>
      </c>
      <c r="BL4983" s="58" t="s">
        <v>5488</v>
      </c>
      <c r="BM4983" s="237"/>
      <c r="BN4983" s="244">
        <v>4</v>
      </c>
      <c r="BO4983" s="244">
        <v>4</v>
      </c>
      <c r="BP4983" s="58"/>
      <c r="BQ4983" s="58"/>
      <c r="BR4983" s="58"/>
      <c r="BS4983" s="58"/>
      <c r="BT4983" s="58"/>
      <c r="BU4983" s="58"/>
      <c r="BV4983" s="58"/>
      <c r="BW4983" s="67"/>
      <c r="BX4983" s="67"/>
      <c r="BY4983" s="67"/>
      <c r="BZ4983" s="67"/>
      <c r="CA4983" s="67"/>
      <c r="CB4983" s="70"/>
      <c r="CC4983" s="70"/>
      <c r="CD4983" s="70"/>
      <c r="CE4983" s="67"/>
      <c r="CF4983" s="67"/>
      <c r="CG4983" s="67"/>
      <c r="CH4983" s="245"/>
      <c r="CI4983" s="245"/>
      <c r="CJ4983" s="67"/>
      <c r="CK4983" s="67"/>
      <c r="CL4983" s="67"/>
      <c r="CM4983" s="242">
        <f>CR4983/(100*100*0.1*1.1)*100</f>
        <v>0.79681818181818187</v>
      </c>
      <c r="CN4983" s="242">
        <f>CS4983/(100*100*0.1*1.1)*100</f>
        <v>0.82090909090909092</v>
      </c>
      <c r="CO4983" s="242"/>
      <c r="CP4983" s="242"/>
      <c r="CQ4983" s="242" t="s">
        <v>164</v>
      </c>
      <c r="CR4983" s="242">
        <v>8.7650000000000006</v>
      </c>
      <c r="CS4983" s="242">
        <v>9.0299999999999994</v>
      </c>
      <c r="CT4983" s="242"/>
      <c r="CU4983" s="242"/>
      <c r="CV4983" s="242" t="s">
        <v>5151</v>
      </c>
      <c r="CW4983" s="242">
        <f>(CR4983-(0.81*0.01*100*100*0.1*1.1))*1000/12</f>
        <v>-12.083333333333448</v>
      </c>
      <c r="CX4983" s="242">
        <f>(CS4983-(0.81*0.01*100*100*0.1*1.1))*1000/12</f>
        <v>9.9999999999997868</v>
      </c>
      <c r="CY4983" s="242"/>
      <c r="CZ4983" s="242"/>
      <c r="DA4983" s="67" t="s">
        <v>5443</v>
      </c>
      <c r="DB4983" s="67">
        <f>0.638/(100*100*0.1*1.1)*1000000</f>
        <v>580</v>
      </c>
      <c r="DC4983" s="67">
        <f>0.78/(100*100*0.1*1.1)*1000000</f>
        <v>709.09090909090912</v>
      </c>
      <c r="DD4983" s="67"/>
      <c r="DE4983" s="67"/>
      <c r="DF4983" s="67" t="s">
        <v>5491</v>
      </c>
      <c r="DG4983" s="67"/>
      <c r="DH4983" s="67"/>
      <c r="DI4983" s="67"/>
      <c r="DJ4983" s="67"/>
      <c r="DK4983" s="67"/>
      <c r="DL4983" s="67"/>
      <c r="DM4983" s="67"/>
      <c r="DN4983" s="67"/>
      <c r="DO4983" s="67"/>
      <c r="DP4983" s="67"/>
      <c r="DQ4983" s="166"/>
      <c r="DR4983" s="166"/>
      <c r="DS4983" s="163"/>
      <c r="DT4983" s="163"/>
      <c r="DU4983" s="67"/>
      <c r="DV4983" s="67"/>
      <c r="DW4983" s="67"/>
      <c r="DX4983" s="67"/>
      <c r="DY4983" s="67"/>
      <c r="DZ4983" s="67"/>
      <c r="EA4983" s="67"/>
      <c r="EB4983" s="67"/>
      <c r="EC4983" s="67"/>
      <c r="ED4983" s="67"/>
      <c r="EE4983" s="67"/>
      <c r="EF4983" s="67"/>
      <c r="EG4983" s="67"/>
      <c r="EH4983" s="67"/>
      <c r="EI4983" s="67"/>
      <c r="EJ4983" s="67"/>
      <c r="EK4983" s="94"/>
      <c r="EL4983" s="94"/>
      <c r="EM4983" s="67"/>
      <c r="EN4983" s="67"/>
      <c r="EO4983" s="67"/>
      <c r="EP4983" s="67"/>
      <c r="EQ4983" s="67"/>
      <c r="ER4983" s="67"/>
      <c r="ES4983" s="67"/>
      <c r="ET4983" s="67"/>
      <c r="EU4983" s="67"/>
      <c r="EV4983" s="67"/>
      <c r="EW4983" s="67"/>
      <c r="EX4983" s="67"/>
      <c r="EY4983" s="67"/>
      <c r="EZ4983" s="67"/>
      <c r="FA4983" s="67"/>
      <c r="FB4983" s="67"/>
      <c r="FC4983" s="67"/>
      <c r="FD4983" s="67"/>
      <c r="FE4983" s="67"/>
      <c r="FF4983" s="67"/>
      <c r="FG4983" s="67"/>
      <c r="FH4983" s="67"/>
      <c r="FI4983" s="67"/>
      <c r="FJ4983" s="67"/>
      <c r="FK4983" s="67"/>
      <c r="FL4983" s="67"/>
      <c r="FM4983" s="67"/>
      <c r="FN4983" s="67"/>
      <c r="FO4983" s="67"/>
      <c r="FP4983" s="67"/>
      <c r="FQ4983" s="67"/>
      <c r="FR4983" s="67"/>
      <c r="FS4983" s="67"/>
      <c r="FT4983" s="67"/>
      <c r="FU4983" s="67"/>
      <c r="FV4983" s="67"/>
      <c r="FW4983" s="67"/>
      <c r="FX4983" s="67"/>
      <c r="FY4983" s="67"/>
      <c r="FZ4983" s="67"/>
      <c r="GA4983" s="67"/>
      <c r="GB4983" s="67"/>
      <c r="GC4983" s="67"/>
      <c r="GD4983" s="67"/>
      <c r="GE4983" s="67"/>
      <c r="GF4983" s="67"/>
      <c r="GG4983" s="67"/>
      <c r="GH4983" s="67"/>
      <c r="GI4983" s="67"/>
      <c r="GJ4983" s="67"/>
      <c r="GK4983" s="67"/>
      <c r="GL4983" s="67"/>
      <c r="GM4983" s="67"/>
      <c r="GN4983" s="292"/>
      <c r="GO4983" s="292"/>
      <c r="GP4983" s="292" t="s">
        <v>7494</v>
      </c>
      <c r="GQ4983" s="67"/>
      <c r="GR4983" s="67"/>
      <c r="GS4983" s="67"/>
      <c r="GT4983" s="67"/>
      <c r="GU4983" s="67"/>
      <c r="GV4983" s="67"/>
      <c r="GW4983" s="67"/>
      <c r="GX4983" s="67"/>
      <c r="GY4983" s="67"/>
      <c r="GZ4983" s="67"/>
      <c r="HA4983" s="67"/>
      <c r="HB4983" s="67"/>
      <c r="HC4983" s="67"/>
      <c r="HD4983" s="67"/>
      <c r="HE4983" s="67"/>
      <c r="HF4983" s="67"/>
      <c r="HG4983" s="67"/>
      <c r="HH4983" s="67"/>
      <c r="HI4983" s="67"/>
      <c r="HJ4983" s="67"/>
      <c r="HK4983" s="67"/>
      <c r="HL4983" s="67"/>
      <c r="HM4983" s="67"/>
      <c r="HN4983" s="67"/>
      <c r="HO4983" s="67"/>
      <c r="HP4983" s="67"/>
      <c r="HQ4983" s="67"/>
      <c r="HR4983" s="67"/>
      <c r="HS4983" s="67"/>
      <c r="HT4983" s="67"/>
      <c r="HU4983" s="67"/>
      <c r="HV4983" s="67"/>
      <c r="HW4983" s="67"/>
      <c r="HX4983" s="67"/>
      <c r="HY4983" s="67"/>
      <c r="HZ4983" s="67"/>
      <c r="IA4983" s="67"/>
      <c r="IB4983" s="67"/>
      <c r="IC4983" s="67"/>
      <c r="ID4983" s="67"/>
      <c r="IE4983" s="67"/>
      <c r="IF4983" s="67"/>
      <c r="IG4983" s="67"/>
      <c r="IH4983" s="67"/>
      <c r="II4983" s="67"/>
      <c r="IJ4983" s="67"/>
      <c r="IK4983" s="67"/>
      <c r="IL4983" s="67"/>
      <c r="IM4983" s="67"/>
      <c r="IN4983" s="67"/>
      <c r="IO4983" s="67"/>
      <c r="IP4983" s="67"/>
      <c r="IQ4983" s="67"/>
      <c r="IR4983" s="67"/>
      <c r="IS4983" s="67"/>
      <c r="IT4983" s="67"/>
      <c r="IU4983" s="67"/>
      <c r="IV4983" s="67"/>
      <c r="IW4983" s="67"/>
      <c r="IX4983" s="67"/>
      <c r="IY4983" s="67"/>
      <c r="IZ4983" s="67"/>
      <c r="JA4983" s="67"/>
      <c r="JB4983" s="67"/>
      <c r="JC4983" s="67"/>
      <c r="JD4983" s="67"/>
      <c r="JE4983" s="67"/>
      <c r="JF4983" s="67"/>
      <c r="JG4983" s="67"/>
      <c r="JH4983" s="67"/>
      <c r="JI4983" s="67"/>
      <c r="JJ4983" s="67"/>
      <c r="JK4983" s="67"/>
      <c r="JL4983" s="67"/>
      <c r="JM4983" s="67"/>
      <c r="JN4983" s="67"/>
      <c r="JO4983" s="67"/>
      <c r="JP4983" s="67"/>
      <c r="JQ4983" s="67"/>
      <c r="JR4983" s="67"/>
      <c r="JS4983" s="67"/>
      <c r="JT4983" s="67"/>
      <c r="JU4983" s="58"/>
      <c r="JV4983" s="58"/>
      <c r="JW4983" s="58"/>
    </row>
    <row r="4984" spans="1:283" s="23" customFormat="1" x14ac:dyDescent="0.25">
      <c r="A4984" s="55">
        <v>4983</v>
      </c>
      <c r="B4984" s="12" t="s">
        <v>7067</v>
      </c>
      <c r="C4984" s="156">
        <v>246</v>
      </c>
      <c r="D4984" s="58" t="s">
        <v>4971</v>
      </c>
      <c r="E4984" s="160" t="str">
        <f>G4984</f>
        <v>Leite et al. 2010_total horizon_pair 2</v>
      </c>
      <c r="F4984" s="160"/>
      <c r="G4984" s="60" t="s">
        <v>4757</v>
      </c>
      <c r="H4984" s="58">
        <v>2010</v>
      </c>
      <c r="I4984" s="58" t="s">
        <v>5490</v>
      </c>
      <c r="J4984" s="243" t="s">
        <v>5305</v>
      </c>
      <c r="K4984" s="63" t="s">
        <v>5097</v>
      </c>
      <c r="L4984" s="58" t="s">
        <v>5334</v>
      </c>
      <c r="M4984" s="94">
        <f>-4-46/60</f>
        <v>-4.7666666666666666</v>
      </c>
      <c r="N4984" s="94">
        <f>-41-49/60</f>
        <v>-41.81666666666667</v>
      </c>
      <c r="O4984" s="94">
        <v>241</v>
      </c>
      <c r="P4984" s="58"/>
      <c r="Q4984" s="244">
        <v>30</v>
      </c>
      <c r="R4984" s="58"/>
      <c r="S4984" s="245">
        <v>1000</v>
      </c>
      <c r="T4984" s="58"/>
      <c r="U4984" s="244">
        <v>12</v>
      </c>
      <c r="V4984" s="244">
        <v>12</v>
      </c>
      <c r="W4984" s="174"/>
      <c r="X4984" s="174"/>
      <c r="Y4984" s="58" t="s">
        <v>5352</v>
      </c>
      <c r="Z4984" s="244" t="s">
        <v>1359</v>
      </c>
      <c r="AA4984" s="245">
        <v>10</v>
      </c>
      <c r="AB4984" s="67"/>
      <c r="AC4984" s="67"/>
      <c r="AD4984" s="94">
        <v>1.1000000000000001</v>
      </c>
      <c r="AE4984" s="94" t="s">
        <v>1912</v>
      </c>
      <c r="AF4984" s="94">
        <v>16</v>
      </c>
      <c r="AG4984" s="245">
        <v>70</v>
      </c>
      <c r="AH4984" s="58" t="s">
        <v>769</v>
      </c>
      <c r="AI4984" s="169" t="s">
        <v>5489</v>
      </c>
      <c r="AJ4984" s="94">
        <f>1.4*0.58</f>
        <v>0.81199999999999994</v>
      </c>
      <c r="AK4984" s="94">
        <f>7.3/(100*100*0.1*1.1)*100</f>
        <v>0.66363636363636369</v>
      </c>
      <c r="AL4984" s="58"/>
      <c r="AM4984" s="58" t="s">
        <v>1287</v>
      </c>
      <c r="AN4984" s="186"/>
      <c r="AO4984" s="185" t="s">
        <v>5150</v>
      </c>
      <c r="AP4984" s="58"/>
      <c r="AQ4984" s="58"/>
      <c r="AR4984" s="58"/>
      <c r="AS4984" s="246" t="s">
        <v>227</v>
      </c>
      <c r="AT4984" s="247">
        <v>0</v>
      </c>
      <c r="AU4984" s="181" t="s">
        <v>7494</v>
      </c>
      <c r="AV4984" s="185" t="s">
        <v>176</v>
      </c>
      <c r="AW4984" s="244">
        <v>0</v>
      </c>
      <c r="AX4984" s="185" t="s">
        <v>176</v>
      </c>
      <c r="AY4984" s="244" t="s">
        <v>176</v>
      </c>
      <c r="AZ4984" s="58" t="s">
        <v>2082</v>
      </c>
      <c r="BA4984" s="58" t="s">
        <v>2082</v>
      </c>
      <c r="BB4984" s="58" t="s">
        <v>2082</v>
      </c>
      <c r="BC4984" s="58" t="s">
        <v>2082</v>
      </c>
      <c r="BD4984" s="58" t="s">
        <v>176</v>
      </c>
      <c r="BE4984" s="236" t="s">
        <v>5198</v>
      </c>
      <c r="BF4984" s="191" t="s">
        <v>479</v>
      </c>
      <c r="BG4984" s="191" t="s">
        <v>479</v>
      </c>
      <c r="BH4984" s="236" t="s">
        <v>5264</v>
      </c>
      <c r="BI4984" s="191" t="s">
        <v>479</v>
      </c>
      <c r="BJ4984" s="58" t="str">
        <f>IF(BE4984=BH4984,"No","yes")</f>
        <v>yes</v>
      </c>
      <c r="BK4984" s="58" t="s">
        <v>6336</v>
      </c>
      <c r="BL4984" s="58" t="s">
        <v>5488</v>
      </c>
      <c r="BM4984" s="237"/>
      <c r="BN4984" s="244">
        <v>4</v>
      </c>
      <c r="BO4984" s="244">
        <v>4</v>
      </c>
      <c r="BP4984" s="58"/>
      <c r="BQ4984" s="58"/>
      <c r="BR4984" s="58"/>
      <c r="BS4984" s="58"/>
      <c r="BT4984" s="58"/>
      <c r="BU4984" s="58"/>
      <c r="BV4984" s="58"/>
      <c r="BW4984" s="67"/>
      <c r="BX4984" s="67"/>
      <c r="BY4984" s="67"/>
      <c r="BZ4984" s="67"/>
      <c r="CA4984" s="67"/>
      <c r="CB4984" s="70"/>
      <c r="CC4984" s="70"/>
      <c r="CD4984" s="70"/>
      <c r="CE4984" s="67"/>
      <c r="CF4984" s="67"/>
      <c r="CG4984" s="67"/>
      <c r="CH4984" s="245"/>
      <c r="CI4984" s="245"/>
      <c r="CJ4984" s="67"/>
      <c r="CK4984" s="67"/>
      <c r="CL4984" s="67"/>
      <c r="CM4984" s="242">
        <f>CR4984/(100*100*0.1*1.1)*100</f>
        <v>0.79681818181818187</v>
      </c>
      <c r="CN4984" s="242">
        <f>CS4984/(100*100*0.1*1.1)*100</f>
        <v>1.1727272727272726</v>
      </c>
      <c r="CO4984" s="242"/>
      <c r="CP4984" s="242"/>
      <c r="CQ4984" s="242" t="s">
        <v>164</v>
      </c>
      <c r="CR4984" s="242">
        <v>8.7650000000000006</v>
      </c>
      <c r="CS4984" s="242">
        <v>12.9</v>
      </c>
      <c r="CT4984" s="242"/>
      <c r="CU4984" s="242"/>
      <c r="CV4984" s="242" t="s">
        <v>5151</v>
      </c>
      <c r="CW4984" s="242">
        <f>(CR4984-(0.81*0.01*100*100*0.1*1.1))*1000/12</f>
        <v>-12.083333333333448</v>
      </c>
      <c r="CX4984" s="242">
        <f>(CS4984-(0.81*0.01*100*100*0.1*1.1))*1000/12</f>
        <v>332.49999999999989</v>
      </c>
      <c r="CY4984" s="242"/>
      <c r="CZ4984" s="242"/>
      <c r="DA4984" s="67" t="s">
        <v>5443</v>
      </c>
      <c r="DB4984" s="67">
        <f>0.638/(100*100*0.1*1.1)*1000000</f>
        <v>580</v>
      </c>
      <c r="DC4984" s="67">
        <f>0.91/(100*100*0.1*1.1)*1000000</f>
        <v>827.27272727272725</v>
      </c>
      <c r="DD4984" s="67"/>
      <c r="DE4984" s="67"/>
      <c r="DF4984" s="67" t="s">
        <v>5491</v>
      </c>
      <c r="DG4984" s="67"/>
      <c r="DH4984" s="67"/>
      <c r="DI4984" s="67"/>
      <c r="DJ4984" s="67"/>
      <c r="DK4984" s="67"/>
      <c r="DL4984" s="67"/>
      <c r="DM4984" s="67"/>
      <c r="DN4984" s="67"/>
      <c r="DO4984" s="67"/>
      <c r="DP4984" s="67"/>
      <c r="DQ4984" s="166"/>
      <c r="DR4984" s="166"/>
      <c r="DS4984" s="163"/>
      <c r="DT4984" s="163"/>
      <c r="DU4984" s="67"/>
      <c r="DV4984" s="67"/>
      <c r="DW4984" s="67"/>
      <c r="DX4984" s="67"/>
      <c r="DY4984" s="67"/>
      <c r="DZ4984" s="67"/>
      <c r="EA4984" s="67"/>
      <c r="EB4984" s="67"/>
      <c r="EC4984" s="67"/>
      <c r="ED4984" s="67"/>
      <c r="EE4984" s="67"/>
      <c r="EF4984" s="67"/>
      <c r="EG4984" s="67"/>
      <c r="EH4984" s="67"/>
      <c r="EI4984" s="67"/>
      <c r="EJ4984" s="67"/>
      <c r="EK4984" s="94"/>
      <c r="EL4984" s="94"/>
      <c r="EM4984" s="67"/>
      <c r="EN4984" s="67"/>
      <c r="EO4984" s="67"/>
      <c r="EP4984" s="67"/>
      <c r="EQ4984" s="67"/>
      <c r="ER4984" s="67"/>
      <c r="ES4984" s="67"/>
      <c r="ET4984" s="67"/>
      <c r="EU4984" s="67"/>
      <c r="EV4984" s="67"/>
      <c r="EW4984" s="67"/>
      <c r="EX4984" s="67"/>
      <c r="EY4984" s="67"/>
      <c r="EZ4984" s="67"/>
      <c r="FA4984" s="67"/>
      <c r="FB4984" s="67"/>
      <c r="FC4984" s="67"/>
      <c r="FD4984" s="67"/>
      <c r="FE4984" s="67"/>
      <c r="FF4984" s="67"/>
      <c r="FG4984" s="67"/>
      <c r="FH4984" s="67"/>
      <c r="FI4984" s="67"/>
      <c r="FJ4984" s="67"/>
      <c r="FK4984" s="67"/>
      <c r="FL4984" s="67"/>
      <c r="FM4984" s="67"/>
      <c r="FN4984" s="67"/>
      <c r="FO4984" s="67"/>
      <c r="FP4984" s="67"/>
      <c r="FQ4984" s="67"/>
      <c r="FR4984" s="67"/>
      <c r="FS4984" s="67"/>
      <c r="FT4984" s="67"/>
      <c r="FU4984" s="67"/>
      <c r="FV4984" s="67"/>
      <c r="FW4984" s="67"/>
      <c r="FX4984" s="67"/>
      <c r="FY4984" s="67"/>
      <c r="FZ4984" s="67"/>
      <c r="GA4984" s="67"/>
      <c r="GB4984" s="67"/>
      <c r="GC4984" s="67"/>
      <c r="GD4984" s="67"/>
      <c r="GE4984" s="67"/>
      <c r="GF4984" s="67"/>
      <c r="GG4984" s="67"/>
      <c r="GH4984" s="67"/>
      <c r="GI4984" s="67"/>
      <c r="GJ4984" s="67"/>
      <c r="GK4984" s="67"/>
      <c r="GL4984" s="67"/>
      <c r="GM4984" s="67"/>
      <c r="GN4984" s="292"/>
      <c r="GO4984" s="292"/>
      <c r="GP4984" s="292" t="s">
        <v>7494</v>
      </c>
      <c r="GQ4984" s="67"/>
      <c r="GR4984" s="67"/>
      <c r="GS4984" s="67"/>
      <c r="GT4984" s="67"/>
      <c r="GU4984" s="67"/>
      <c r="GV4984" s="67"/>
      <c r="GW4984" s="67"/>
      <c r="GX4984" s="67"/>
      <c r="GY4984" s="67"/>
      <c r="GZ4984" s="67"/>
      <c r="HA4984" s="67"/>
      <c r="HB4984" s="67"/>
      <c r="HC4984" s="67"/>
      <c r="HD4984" s="67"/>
      <c r="HE4984" s="67"/>
      <c r="HF4984" s="67"/>
      <c r="HG4984" s="67"/>
      <c r="HH4984" s="67"/>
      <c r="HI4984" s="67"/>
      <c r="HJ4984" s="67"/>
      <c r="HK4984" s="67"/>
      <c r="HL4984" s="67"/>
      <c r="HM4984" s="67"/>
      <c r="HN4984" s="67"/>
      <c r="HO4984" s="67"/>
      <c r="HP4984" s="67"/>
      <c r="HQ4984" s="67"/>
      <c r="HR4984" s="67"/>
      <c r="HS4984" s="67"/>
      <c r="HT4984" s="67"/>
      <c r="HU4984" s="67"/>
      <c r="HV4984" s="67"/>
      <c r="HW4984" s="67"/>
      <c r="HX4984" s="67"/>
      <c r="HY4984" s="67"/>
      <c r="HZ4984" s="67"/>
      <c r="IA4984" s="67"/>
      <c r="IB4984" s="67"/>
      <c r="IC4984" s="67"/>
      <c r="ID4984" s="67"/>
      <c r="IE4984" s="67"/>
      <c r="IF4984" s="67"/>
      <c r="IG4984" s="67"/>
      <c r="IH4984" s="67"/>
      <c r="II4984" s="67"/>
      <c r="IJ4984" s="67"/>
      <c r="IK4984" s="67"/>
      <c r="IL4984" s="67"/>
      <c r="IM4984" s="67"/>
      <c r="IN4984" s="67"/>
      <c r="IO4984" s="67"/>
      <c r="IP4984" s="67"/>
      <c r="IQ4984" s="67"/>
      <c r="IR4984" s="67"/>
      <c r="IS4984" s="67"/>
      <c r="IT4984" s="67"/>
      <c r="IU4984" s="67"/>
      <c r="IV4984" s="67"/>
      <c r="IW4984" s="67"/>
      <c r="IX4984" s="67"/>
      <c r="IY4984" s="67"/>
      <c r="IZ4984" s="67"/>
      <c r="JA4984" s="67"/>
      <c r="JB4984" s="67"/>
      <c r="JC4984" s="67"/>
      <c r="JD4984" s="67"/>
      <c r="JE4984" s="67"/>
      <c r="JF4984" s="67"/>
      <c r="JG4984" s="67"/>
      <c r="JH4984" s="67"/>
      <c r="JI4984" s="67"/>
      <c r="JJ4984" s="67"/>
      <c r="JK4984" s="67"/>
      <c r="JL4984" s="67"/>
      <c r="JM4984" s="67"/>
      <c r="JN4984" s="67"/>
      <c r="JO4984" s="67"/>
      <c r="JP4984" s="67"/>
      <c r="JQ4984" s="67"/>
      <c r="JR4984" s="67"/>
      <c r="JS4984" s="67"/>
      <c r="JT4984" s="67"/>
      <c r="JU4984" s="58"/>
      <c r="JV4984" s="58"/>
      <c r="JW4984" s="58"/>
    </row>
    <row r="4985" spans="1:283" s="23" customFormat="1" x14ac:dyDescent="0.25">
      <c r="A4985" s="55">
        <v>4984</v>
      </c>
      <c r="B4985" s="12" t="s">
        <v>7067</v>
      </c>
      <c r="C4985" s="156">
        <v>247</v>
      </c>
      <c r="D4985" s="58" t="s">
        <v>4972</v>
      </c>
      <c r="E4985" s="160" t="str">
        <f>G4985</f>
        <v>Liebig &amp; Doran 1999_Deweese</v>
      </c>
      <c r="F4985" s="160"/>
      <c r="G4985" s="60" t="s">
        <v>4756</v>
      </c>
      <c r="H4985" s="58">
        <v>1999</v>
      </c>
      <c r="I4985" s="58" t="s">
        <v>5483</v>
      </c>
      <c r="J4985" s="243" t="s">
        <v>916</v>
      </c>
      <c r="K4985" s="63" t="s">
        <v>5492</v>
      </c>
      <c r="L4985" s="58" t="s">
        <v>2737</v>
      </c>
      <c r="M4985" s="94">
        <f>40.35</f>
        <v>40.35</v>
      </c>
      <c r="N4985" s="94">
        <v>-98.1</v>
      </c>
      <c r="O4985" s="94">
        <v>508</v>
      </c>
      <c r="P4985" s="58"/>
      <c r="Q4985" s="244">
        <v>10.1</v>
      </c>
      <c r="R4985" s="58"/>
      <c r="S4985" s="245">
        <v>693</v>
      </c>
      <c r="T4985" s="58"/>
      <c r="U4985" s="58" t="s">
        <v>1677</v>
      </c>
      <c r="V4985" s="244">
        <v>29</v>
      </c>
      <c r="W4985" s="174"/>
      <c r="X4985" s="174"/>
      <c r="Y4985" s="58" t="s">
        <v>5499</v>
      </c>
      <c r="Z4985" s="244" t="s">
        <v>5145</v>
      </c>
      <c r="AA4985" s="245">
        <v>30.5</v>
      </c>
      <c r="AB4985" s="67"/>
      <c r="AC4985" s="67"/>
      <c r="AD4985" s="94"/>
      <c r="AE4985" s="94"/>
      <c r="AF4985" s="94"/>
      <c r="AG4985" s="245"/>
      <c r="AH4985" s="58" t="s">
        <v>6378</v>
      </c>
      <c r="AI4985" s="169"/>
      <c r="AJ4985" s="94"/>
      <c r="AK4985" s="94"/>
      <c r="AL4985" s="58"/>
      <c r="AM4985" s="58" t="s">
        <v>5518</v>
      </c>
      <c r="AN4985" s="186" t="s">
        <v>5506</v>
      </c>
      <c r="AO4985" s="185" t="s">
        <v>5150</v>
      </c>
      <c r="AP4985" s="58"/>
      <c r="AQ4985" s="58" t="s">
        <v>4584</v>
      </c>
      <c r="AR4985" s="58" t="s">
        <v>132</v>
      </c>
      <c r="AS4985" s="246" t="s">
        <v>132</v>
      </c>
      <c r="AT4985" s="247" t="s">
        <v>5507</v>
      </c>
      <c r="AU4985" s="181" t="s">
        <v>5150</v>
      </c>
      <c r="AV4985" s="185" t="s">
        <v>176</v>
      </c>
      <c r="AW4985" s="244" t="s">
        <v>658</v>
      </c>
      <c r="AX4985" s="185" t="s">
        <v>176</v>
      </c>
      <c r="AY4985" s="244" t="s">
        <v>5150</v>
      </c>
      <c r="AZ4985" s="58" t="s">
        <v>5513</v>
      </c>
      <c r="BA4985" s="58" t="s">
        <v>5513</v>
      </c>
      <c r="BB4985" s="58" t="s">
        <v>2081</v>
      </c>
      <c r="BC4985" s="58" t="s">
        <v>2081</v>
      </c>
      <c r="BD4985" s="58" t="s">
        <v>176</v>
      </c>
      <c r="BE4985" s="236" t="s">
        <v>5199</v>
      </c>
      <c r="BF4985" s="191" t="s">
        <v>479</v>
      </c>
      <c r="BG4985" s="191" t="s">
        <v>479</v>
      </c>
      <c r="BH4985" s="236" t="s">
        <v>5155</v>
      </c>
      <c r="BI4985" s="191" t="s">
        <v>479</v>
      </c>
      <c r="BJ4985" s="58" t="str">
        <f>IF(BE4985=BH4985,"No","yes")</f>
        <v>yes</v>
      </c>
      <c r="BK4985" s="58" t="s">
        <v>6335</v>
      </c>
      <c r="BL4985" s="58"/>
      <c r="BM4985" s="237"/>
      <c r="BN4985" s="244">
        <v>3</v>
      </c>
      <c r="BO4985" s="244">
        <v>3</v>
      </c>
      <c r="BP4985" s="58"/>
      <c r="BQ4985" s="58"/>
      <c r="BR4985" s="58"/>
      <c r="BS4985" s="58"/>
      <c r="BT4985" s="58"/>
      <c r="BU4985" s="58"/>
      <c r="BV4985" s="58"/>
      <c r="BW4985" s="67"/>
      <c r="BX4985" s="67"/>
      <c r="BY4985" s="67"/>
      <c r="BZ4985" s="67"/>
      <c r="CA4985" s="67"/>
      <c r="CB4985" s="70"/>
      <c r="CC4985" s="70"/>
      <c r="CD4985" s="70"/>
      <c r="CE4985" s="67"/>
      <c r="CF4985" s="67"/>
      <c r="CG4985" s="67"/>
      <c r="CH4985" s="245">
        <v>1.34</v>
      </c>
      <c r="CI4985" s="245">
        <v>1.26</v>
      </c>
      <c r="CJ4985" s="67"/>
      <c r="CK4985" s="67"/>
      <c r="CL4985" s="67"/>
      <c r="CM4985" s="242">
        <f>CR4985/(100*100*CH4985*0.35)*100</f>
        <v>1.1377185501066098</v>
      </c>
      <c r="CN4985" s="242">
        <f>CS4985/(100*100*CI4985*0.35)*100</f>
        <v>1.2609297052154194</v>
      </c>
      <c r="CO4985" s="242">
        <f>CT4985/(100*100*CH4985*0.35)*100</f>
        <v>5.9125799573560768E-2</v>
      </c>
      <c r="CP4985" s="242">
        <f>CU4985/(100*100*CI4985*0.35)*100</f>
        <v>6.2879818594104311E-2</v>
      </c>
      <c r="CQ4985" s="242" t="s">
        <v>164</v>
      </c>
      <c r="CR4985" s="242">
        <v>53.359000000000002</v>
      </c>
      <c r="CS4985" s="242">
        <v>55.606999999999999</v>
      </c>
      <c r="CT4985" s="242">
        <v>2.7730000000000001</v>
      </c>
      <c r="CU4985" s="242">
        <v>2.7730000000000001</v>
      </c>
      <c r="CV4985" s="242" t="s">
        <v>5151</v>
      </c>
      <c r="CW4985" s="242"/>
      <c r="CX4985" s="242"/>
      <c r="CY4985" s="242"/>
      <c r="CZ4985" s="242"/>
      <c r="DA4985" s="67" t="s">
        <v>5443</v>
      </c>
      <c r="DB4985" s="67">
        <v>4681</v>
      </c>
      <c r="DC4985" s="67">
        <v>4778</v>
      </c>
      <c r="DD4985" s="67">
        <v>342</v>
      </c>
      <c r="DE4985" s="67">
        <v>342</v>
      </c>
      <c r="DF4985" s="67" t="s">
        <v>5501</v>
      </c>
      <c r="DG4985" s="67">
        <v>25</v>
      </c>
      <c r="DH4985" s="67">
        <v>57</v>
      </c>
      <c r="DI4985" s="67">
        <v>18</v>
      </c>
      <c r="DJ4985" s="67"/>
      <c r="DK4985" s="67" t="s">
        <v>5500</v>
      </c>
      <c r="DL4985" s="67"/>
      <c r="DM4985" s="67"/>
      <c r="DN4985" s="67"/>
      <c r="DO4985" s="67"/>
      <c r="DP4985" s="67"/>
      <c r="DQ4985" s="166">
        <v>5.93</v>
      </c>
      <c r="DR4985" s="166">
        <v>6.25</v>
      </c>
      <c r="DS4985" s="163">
        <v>0.38</v>
      </c>
      <c r="DT4985" s="163">
        <v>0.38</v>
      </c>
      <c r="DU4985" s="67"/>
      <c r="DV4985" s="67"/>
      <c r="DW4985" s="67"/>
      <c r="DX4985" s="67"/>
      <c r="DY4985" s="67"/>
      <c r="DZ4985" s="67"/>
      <c r="EA4985" s="67">
        <v>0.08</v>
      </c>
      <c r="EB4985" s="67">
        <v>7.0000000000000007E-2</v>
      </c>
      <c r="EC4985" s="67">
        <v>0.03</v>
      </c>
      <c r="ED4985" s="67">
        <v>0.03</v>
      </c>
      <c r="EE4985" s="67" t="s">
        <v>5433</v>
      </c>
      <c r="EF4985" s="67"/>
      <c r="EG4985" s="67"/>
      <c r="EH4985" s="67"/>
      <c r="EI4985" s="67"/>
      <c r="EJ4985" s="67"/>
      <c r="EK4985" s="94"/>
      <c r="EL4985" s="94"/>
      <c r="EM4985" s="67"/>
      <c r="EN4985" s="67"/>
      <c r="EO4985" s="67"/>
      <c r="EP4985" s="67"/>
      <c r="EQ4985" s="67"/>
      <c r="ER4985" s="67"/>
      <c r="ES4985" s="67"/>
      <c r="ET4985" s="67"/>
      <c r="EU4985" s="67"/>
      <c r="EV4985" s="67"/>
      <c r="EW4985" s="67"/>
      <c r="EX4985" s="67"/>
      <c r="EY4985" s="67"/>
      <c r="EZ4985" s="67">
        <v>78</v>
      </c>
      <c r="FA4985" s="67">
        <v>99.4</v>
      </c>
      <c r="FB4985" s="67"/>
      <c r="FC4985" s="67"/>
      <c r="FD4985" s="67" t="s">
        <v>5523</v>
      </c>
      <c r="FE4985" s="67"/>
      <c r="FF4985" s="67"/>
      <c r="FG4985" s="67"/>
      <c r="FH4985" s="67"/>
      <c r="FI4985" s="67"/>
      <c r="FJ4985" s="67"/>
      <c r="FK4985" s="67"/>
      <c r="FL4985" s="67"/>
      <c r="FM4985" s="67"/>
      <c r="FN4985" s="67"/>
      <c r="FO4985" s="67"/>
      <c r="FP4985" s="67"/>
      <c r="FQ4985" s="67"/>
      <c r="FR4985" s="67"/>
      <c r="FS4985" s="67"/>
      <c r="FT4985" s="67"/>
      <c r="FU4985" s="67"/>
      <c r="FV4985" s="67"/>
      <c r="FW4985" s="67"/>
      <c r="FX4985" s="67"/>
      <c r="FY4985" s="67">
        <v>15</v>
      </c>
      <c r="FZ4985" s="67">
        <v>22</v>
      </c>
      <c r="GA4985" s="67"/>
      <c r="GB4985" s="67"/>
      <c r="GC4985" s="67"/>
      <c r="GD4985" s="67">
        <v>23</v>
      </c>
      <c r="GE4985" s="67">
        <v>13</v>
      </c>
      <c r="GF4985" s="67"/>
      <c r="GG4985" s="67"/>
      <c r="GH4985" s="67" t="s">
        <v>164</v>
      </c>
      <c r="GI4985" s="67">
        <v>0.15</v>
      </c>
      <c r="GJ4985" s="67">
        <v>0.17</v>
      </c>
      <c r="GK4985" s="67">
        <v>0.01</v>
      </c>
      <c r="GL4985" s="67">
        <v>0.01</v>
      </c>
      <c r="GM4985" s="67" t="s">
        <v>4537</v>
      </c>
      <c r="GN4985" s="292"/>
      <c r="GO4985" s="292"/>
      <c r="GP4985" s="292" t="s">
        <v>7494</v>
      </c>
      <c r="GQ4985" s="67"/>
      <c r="GR4985" s="67"/>
      <c r="GS4985" s="67"/>
      <c r="GT4985" s="67"/>
      <c r="GU4985" s="67"/>
      <c r="GV4985" s="67"/>
      <c r="GW4985" s="67"/>
      <c r="GX4985" s="67"/>
      <c r="GY4985" s="67"/>
      <c r="GZ4985" s="67"/>
      <c r="HA4985" s="67"/>
      <c r="HB4985" s="67"/>
      <c r="HC4985" s="67"/>
      <c r="HD4985" s="67">
        <v>0.35</v>
      </c>
      <c r="HE4985" s="67">
        <v>0.5</v>
      </c>
      <c r="HF4985" s="67"/>
      <c r="HG4985" s="67"/>
      <c r="HH4985" s="67" t="s">
        <v>5502</v>
      </c>
      <c r="HI4985" s="67"/>
      <c r="HJ4985" s="67"/>
      <c r="HK4985" s="67"/>
      <c r="HL4985" s="67"/>
      <c r="HM4985" s="67"/>
      <c r="HN4985" s="67"/>
      <c r="HO4985" s="67"/>
      <c r="HP4985" s="67"/>
      <c r="HQ4985" s="67"/>
      <c r="HR4985" s="67"/>
      <c r="HS4985" s="67"/>
      <c r="HT4985" s="67"/>
      <c r="HU4985" s="67"/>
      <c r="HV4985" s="67"/>
      <c r="HW4985" s="67"/>
      <c r="HX4985" s="67"/>
      <c r="HY4985" s="67"/>
      <c r="HZ4985" s="67"/>
      <c r="IA4985" s="67"/>
      <c r="IB4985" s="67"/>
      <c r="IC4985" s="67"/>
      <c r="ID4985" s="67"/>
      <c r="IE4985" s="67"/>
      <c r="IF4985" s="67"/>
      <c r="IG4985" s="67"/>
      <c r="IH4985" s="67"/>
      <c r="II4985" s="67"/>
      <c r="IJ4985" s="67"/>
      <c r="IK4985" s="67"/>
      <c r="IL4985" s="67"/>
      <c r="IM4985" s="67"/>
      <c r="IN4985" s="67"/>
      <c r="IO4985" s="67"/>
      <c r="IP4985" s="67"/>
      <c r="IQ4985" s="67"/>
      <c r="IR4985" s="67">
        <v>20</v>
      </c>
      <c r="IS4985" s="67">
        <v>57</v>
      </c>
      <c r="IT4985" s="67"/>
      <c r="IU4985" s="67"/>
      <c r="IV4985" s="67" t="s">
        <v>5557</v>
      </c>
      <c r="IW4985" s="67">
        <v>5</v>
      </c>
      <c r="IX4985" s="67">
        <v>25</v>
      </c>
      <c r="IY4985" s="67"/>
      <c r="IZ4985" s="67"/>
      <c r="JA4985" s="67" t="s">
        <v>5524</v>
      </c>
      <c r="JB4985" s="67"/>
      <c r="JC4985" s="67"/>
      <c r="JD4985" s="67"/>
      <c r="JE4985" s="67"/>
      <c r="JF4985" s="67"/>
      <c r="JG4985" s="67">
        <v>651</v>
      </c>
      <c r="JH4985" s="67">
        <v>816</v>
      </c>
      <c r="JI4985" s="67">
        <v>210</v>
      </c>
      <c r="JJ4985" s="67"/>
      <c r="JK4985" s="67" t="s">
        <v>2053</v>
      </c>
      <c r="JL4985" s="67">
        <v>32</v>
      </c>
      <c r="JM4985" s="67">
        <v>60</v>
      </c>
      <c r="JN4985" s="67">
        <v>15</v>
      </c>
      <c r="JO4985" s="67">
        <v>15</v>
      </c>
      <c r="JP4985" s="67" t="s">
        <v>2053</v>
      </c>
      <c r="JQ4985" s="67"/>
      <c r="JR4985" s="67"/>
      <c r="JS4985" s="67"/>
      <c r="JT4985" s="67"/>
      <c r="JU4985" s="58"/>
      <c r="JV4985" s="58"/>
      <c r="JW4985" s="58"/>
    </row>
    <row r="4986" spans="1:283" s="23" customFormat="1" x14ac:dyDescent="0.25">
      <c r="A4986" s="55">
        <v>4985</v>
      </c>
      <c r="B4986" s="12" t="s">
        <v>7067</v>
      </c>
      <c r="C4986" s="156">
        <v>247</v>
      </c>
      <c r="D4986" s="58" t="s">
        <v>4973</v>
      </c>
      <c r="E4986" s="160" t="str">
        <f>G4986</f>
        <v>Liebig &amp; Doran 1999_Giltner</v>
      </c>
      <c r="F4986" s="160"/>
      <c r="G4986" s="60" t="s">
        <v>4755</v>
      </c>
      <c r="H4986" s="58">
        <v>1999</v>
      </c>
      <c r="I4986" s="58" t="s">
        <v>5483</v>
      </c>
      <c r="J4986" s="243" t="s">
        <v>916</v>
      </c>
      <c r="K4986" s="63" t="s">
        <v>5493</v>
      </c>
      <c r="L4986" s="58" t="s">
        <v>2737</v>
      </c>
      <c r="M4986" s="94">
        <v>41.19</v>
      </c>
      <c r="N4986" s="94">
        <v>-96.2</v>
      </c>
      <c r="O4986" s="94">
        <v>367</v>
      </c>
      <c r="P4986" s="58"/>
      <c r="Q4986" s="244">
        <v>10.1</v>
      </c>
      <c r="R4986" s="58"/>
      <c r="S4986" s="245">
        <v>693</v>
      </c>
      <c r="T4986" s="58"/>
      <c r="U4986" s="58" t="s">
        <v>1682</v>
      </c>
      <c r="V4986" s="244">
        <v>9</v>
      </c>
      <c r="W4986" s="174"/>
      <c r="X4986" s="174"/>
      <c r="Y4986" s="58" t="s">
        <v>5498</v>
      </c>
      <c r="Z4986" s="244" t="s">
        <v>5145</v>
      </c>
      <c r="AA4986" s="245">
        <v>30.5</v>
      </c>
      <c r="AB4986" s="67"/>
      <c r="AC4986" s="67"/>
      <c r="AD4986" s="94"/>
      <c r="AE4986" s="94"/>
      <c r="AF4986" s="94"/>
      <c r="AG4986" s="245"/>
      <c r="AH4986" s="58" t="s">
        <v>6378</v>
      </c>
      <c r="AI4986" s="169"/>
      <c r="AJ4986" s="94"/>
      <c r="AK4986" s="94"/>
      <c r="AL4986" s="58"/>
      <c r="AM4986" s="58" t="s">
        <v>5520</v>
      </c>
      <c r="AN4986" s="186" t="s">
        <v>114</v>
      </c>
      <c r="AO4986" s="185" t="s">
        <v>5150</v>
      </c>
      <c r="AP4986" s="58"/>
      <c r="AQ4986" s="58" t="s">
        <v>553</v>
      </c>
      <c r="AR4986" s="58" t="s">
        <v>5503</v>
      </c>
      <c r="AS4986" s="246" t="s">
        <v>4584</v>
      </c>
      <c r="AT4986" s="247" t="s">
        <v>658</v>
      </c>
      <c r="AU4986" s="181" t="s">
        <v>5150</v>
      </c>
      <c r="AV4986" s="185" t="s">
        <v>176</v>
      </c>
      <c r="AW4986" s="244" t="s">
        <v>5508</v>
      </c>
      <c r="AX4986" s="185" t="s">
        <v>479</v>
      </c>
      <c r="AY4986" s="244" t="s">
        <v>5150</v>
      </c>
      <c r="AZ4986" s="58" t="s">
        <v>5514</v>
      </c>
      <c r="BA4986" s="58" t="s">
        <v>5515</v>
      </c>
      <c r="BB4986" s="58" t="s">
        <v>2081</v>
      </c>
      <c r="BC4986" s="58" t="s">
        <v>2081</v>
      </c>
      <c r="BD4986" s="58" t="s">
        <v>176</v>
      </c>
      <c r="BE4986" s="236" t="s">
        <v>5200</v>
      </c>
      <c r="BF4986" s="191" t="s">
        <v>479</v>
      </c>
      <c r="BG4986" s="191" t="s">
        <v>479</v>
      </c>
      <c r="BH4986" s="236" t="s">
        <v>5265</v>
      </c>
      <c r="BI4986" s="191" t="s">
        <v>479</v>
      </c>
      <c r="BJ4986" s="58" t="str">
        <f>IF(BE4986=BH4986,"No","yes")</f>
        <v>yes</v>
      </c>
      <c r="BK4986" s="58" t="s">
        <v>6335</v>
      </c>
      <c r="BL4986" s="58"/>
      <c r="BM4986" s="237"/>
      <c r="BN4986" s="244">
        <v>3</v>
      </c>
      <c r="BO4986" s="244">
        <v>3</v>
      </c>
      <c r="BP4986" s="58"/>
      <c r="BQ4986" s="58"/>
      <c r="BR4986" s="58"/>
      <c r="BS4986" s="58"/>
      <c r="BT4986" s="58"/>
      <c r="BU4986" s="58"/>
      <c r="BV4986" s="58"/>
      <c r="BW4986" s="67"/>
      <c r="BX4986" s="67"/>
      <c r="BY4986" s="67"/>
      <c r="BZ4986" s="67"/>
      <c r="CA4986" s="67"/>
      <c r="CB4986" s="70"/>
      <c r="CC4986" s="70"/>
      <c r="CD4986" s="70"/>
      <c r="CE4986" s="67"/>
      <c r="CF4986" s="67"/>
      <c r="CG4986" s="67"/>
      <c r="CH4986" s="245">
        <v>1.35</v>
      </c>
      <c r="CI4986" s="245">
        <v>1.08</v>
      </c>
      <c r="CJ4986" s="67"/>
      <c r="CK4986" s="67"/>
      <c r="CL4986" s="67"/>
      <c r="CM4986" s="242">
        <f>CR4986/(100*100*CH4986*0.35)*100</f>
        <v>0.89602116402116416</v>
      </c>
      <c r="CN4986" s="242">
        <f>CS4986/(100*100*CI4986*0.35)*100</f>
        <v>1.5243915343915346</v>
      </c>
      <c r="CO4986" s="242">
        <f>CT4986/(100*100*CH4986*0.35)*100</f>
        <v>6.7555555555555549E-2</v>
      </c>
      <c r="CP4986" s="242">
        <f>CU4986/(100*100*CI4986*0.35)*100</f>
        <v>8.4444444444444461E-2</v>
      </c>
      <c r="CQ4986" s="242" t="s">
        <v>164</v>
      </c>
      <c r="CR4986" s="242">
        <v>42.337000000000003</v>
      </c>
      <c r="CS4986" s="242">
        <v>57.622</v>
      </c>
      <c r="CT4986" s="242">
        <v>3.1920000000000002</v>
      </c>
      <c r="CU4986" s="242">
        <v>3.1920000000000002</v>
      </c>
      <c r="CV4986" s="242" t="s">
        <v>5151</v>
      </c>
      <c r="CW4986" s="242"/>
      <c r="CX4986" s="242"/>
      <c r="CY4986" s="242"/>
      <c r="CZ4986" s="242"/>
      <c r="DA4986" s="67" t="s">
        <v>5443</v>
      </c>
      <c r="DB4986" s="67">
        <v>2849</v>
      </c>
      <c r="DC4986" s="67">
        <v>3967</v>
      </c>
      <c r="DD4986" s="67">
        <v>266</v>
      </c>
      <c r="DE4986" s="67">
        <v>266</v>
      </c>
      <c r="DF4986" s="67" t="s">
        <v>5501</v>
      </c>
      <c r="DG4986" s="67">
        <v>89</v>
      </c>
      <c r="DH4986" s="67">
        <v>66</v>
      </c>
      <c r="DI4986" s="67">
        <v>14</v>
      </c>
      <c r="DJ4986" s="67"/>
      <c r="DK4986" s="67" t="s">
        <v>5500</v>
      </c>
      <c r="DL4986" s="67"/>
      <c r="DM4986" s="67"/>
      <c r="DN4986" s="67"/>
      <c r="DO4986" s="67"/>
      <c r="DP4986" s="67"/>
      <c r="DQ4986" s="166">
        <v>4.96</v>
      </c>
      <c r="DR4986" s="166">
        <v>6.46</v>
      </c>
      <c r="DS4986" s="163">
        <v>0.17</v>
      </c>
      <c r="DT4986" s="163">
        <v>0.17</v>
      </c>
      <c r="DU4986" s="67"/>
      <c r="DV4986" s="67"/>
      <c r="DW4986" s="67"/>
      <c r="DX4986" s="67"/>
      <c r="DY4986" s="67"/>
      <c r="DZ4986" s="67"/>
      <c r="EA4986" s="67">
        <v>0.09</v>
      </c>
      <c r="EB4986" s="67">
        <v>0.06</v>
      </c>
      <c r="EC4986" s="67">
        <v>0.03</v>
      </c>
      <c r="ED4986" s="67">
        <v>0.03</v>
      </c>
      <c r="EE4986" s="67" t="s">
        <v>5433</v>
      </c>
      <c r="EF4986" s="67"/>
      <c r="EG4986" s="67"/>
      <c r="EH4986" s="67"/>
      <c r="EI4986" s="67"/>
      <c r="EJ4986" s="67"/>
      <c r="EK4986" s="94"/>
      <c r="EL4986" s="94"/>
      <c r="EM4986" s="67"/>
      <c r="EN4986" s="67"/>
      <c r="EO4986" s="67"/>
      <c r="EP4986" s="67"/>
      <c r="EQ4986" s="67"/>
      <c r="ER4986" s="67"/>
      <c r="ES4986" s="67"/>
      <c r="ET4986" s="67"/>
      <c r="EU4986" s="67"/>
      <c r="EV4986" s="67"/>
      <c r="EW4986" s="67"/>
      <c r="EX4986" s="67"/>
      <c r="EY4986" s="67"/>
      <c r="EZ4986" s="67">
        <v>2.2000000000000002</v>
      </c>
      <c r="FA4986" s="67">
        <v>17.7</v>
      </c>
      <c r="FB4986" s="67"/>
      <c r="FC4986" s="67"/>
      <c r="FD4986" s="67" t="s">
        <v>5523</v>
      </c>
      <c r="FE4986" s="67"/>
      <c r="FF4986" s="67"/>
      <c r="FG4986" s="67"/>
      <c r="FH4986" s="67"/>
      <c r="FI4986" s="67"/>
      <c r="FJ4986" s="67"/>
      <c r="FK4986" s="67"/>
      <c r="FL4986" s="67"/>
      <c r="FM4986" s="67"/>
      <c r="FN4986" s="67"/>
      <c r="FO4986" s="67"/>
      <c r="FP4986" s="67"/>
      <c r="FQ4986" s="67"/>
      <c r="FR4986" s="67"/>
      <c r="FS4986" s="67"/>
      <c r="FT4986" s="67"/>
      <c r="FU4986" s="67"/>
      <c r="FV4986" s="67"/>
      <c r="FW4986" s="67"/>
      <c r="FX4986" s="67"/>
      <c r="FY4986" s="67">
        <v>25</v>
      </c>
      <c r="FZ4986" s="67">
        <v>27</v>
      </c>
      <c r="GA4986" s="67"/>
      <c r="GB4986" s="67"/>
      <c r="GC4986" s="67"/>
      <c r="GD4986" s="67">
        <v>13</v>
      </c>
      <c r="GE4986" s="67">
        <v>26</v>
      </c>
      <c r="GF4986" s="67"/>
      <c r="GG4986" s="67"/>
      <c r="GH4986" s="67" t="s">
        <v>164</v>
      </c>
      <c r="GI4986" s="67">
        <v>0.15</v>
      </c>
      <c r="GJ4986" s="67">
        <v>0.21</v>
      </c>
      <c r="GK4986" s="67">
        <v>0.01</v>
      </c>
      <c r="GL4986" s="67">
        <v>0.01</v>
      </c>
      <c r="GM4986" s="67" t="s">
        <v>4537</v>
      </c>
      <c r="GN4986" s="292"/>
      <c r="GO4986" s="292"/>
      <c r="GP4986" s="292" t="s">
        <v>7494</v>
      </c>
      <c r="GQ4986" s="67"/>
      <c r="GR4986" s="67"/>
      <c r="GS4986" s="67"/>
      <c r="GT4986" s="67"/>
      <c r="GU4986" s="67"/>
      <c r="GV4986" s="67"/>
      <c r="GW4986" s="67"/>
      <c r="GX4986" s="67"/>
      <c r="GY4986" s="67"/>
      <c r="GZ4986" s="67"/>
      <c r="HA4986" s="67"/>
      <c r="HB4986" s="67"/>
      <c r="HC4986" s="67"/>
      <c r="HD4986" s="67">
        <v>0.23</v>
      </c>
      <c r="HE4986" s="67">
        <v>0.25</v>
      </c>
      <c r="HF4986" s="67"/>
      <c r="HG4986" s="67"/>
      <c r="HH4986" s="67" t="s">
        <v>5502</v>
      </c>
      <c r="HI4986" s="67"/>
      <c r="HJ4986" s="67"/>
      <c r="HK4986" s="67"/>
      <c r="HL4986" s="67"/>
      <c r="HM4986" s="67"/>
      <c r="HN4986" s="67"/>
      <c r="HO4986" s="67"/>
      <c r="HP4986" s="67"/>
      <c r="HQ4986" s="67"/>
      <c r="HR4986" s="67"/>
      <c r="HS4986" s="67"/>
      <c r="HT4986" s="67"/>
      <c r="HU4986" s="67"/>
      <c r="HV4986" s="67"/>
      <c r="HW4986" s="67"/>
      <c r="HX4986" s="67"/>
      <c r="HY4986" s="67"/>
      <c r="HZ4986" s="67"/>
      <c r="IA4986" s="67"/>
      <c r="IB4986" s="67"/>
      <c r="IC4986" s="67"/>
      <c r="ID4986" s="67"/>
      <c r="IE4986" s="67"/>
      <c r="IF4986" s="67"/>
      <c r="IG4986" s="67"/>
      <c r="IH4986" s="67"/>
      <c r="II4986" s="67"/>
      <c r="IJ4986" s="67"/>
      <c r="IK4986" s="67"/>
      <c r="IL4986" s="67"/>
      <c r="IM4986" s="67"/>
      <c r="IN4986" s="67"/>
      <c r="IO4986" s="67"/>
      <c r="IP4986" s="67"/>
      <c r="IQ4986" s="67"/>
      <c r="IR4986" s="67">
        <v>96</v>
      </c>
      <c r="IS4986" s="67">
        <v>102</v>
      </c>
      <c r="IT4986" s="67"/>
      <c r="IU4986" s="67"/>
      <c r="IV4986" s="67" t="s">
        <v>5557</v>
      </c>
      <c r="IW4986" s="67">
        <v>59</v>
      </c>
      <c r="IX4986" s="67">
        <v>72</v>
      </c>
      <c r="IY4986" s="67"/>
      <c r="IZ4986" s="67"/>
      <c r="JA4986" s="67" t="s">
        <v>5524</v>
      </c>
      <c r="JB4986" s="67"/>
      <c r="JC4986" s="67"/>
      <c r="JD4986" s="67"/>
      <c r="JE4986" s="67"/>
      <c r="JF4986" s="67"/>
      <c r="JG4986" s="67">
        <v>464</v>
      </c>
      <c r="JH4986" s="67">
        <v>775</v>
      </c>
      <c r="JI4986" s="67">
        <v>138</v>
      </c>
      <c r="JJ4986" s="67"/>
      <c r="JK4986" s="67" t="s">
        <v>2053</v>
      </c>
      <c r="JL4986" s="67">
        <v>26</v>
      </c>
      <c r="JM4986" s="67">
        <v>92</v>
      </c>
      <c r="JN4986" s="67">
        <v>29</v>
      </c>
      <c r="JO4986" s="67">
        <v>29</v>
      </c>
      <c r="JP4986" s="67" t="s">
        <v>2053</v>
      </c>
      <c r="JQ4986" s="67"/>
      <c r="JR4986" s="67"/>
      <c r="JS4986" s="67"/>
      <c r="JT4986" s="67"/>
      <c r="JU4986" s="58"/>
      <c r="JV4986" s="58"/>
      <c r="JW4986" s="58"/>
    </row>
    <row r="4987" spans="1:283" s="23" customFormat="1" x14ac:dyDescent="0.25">
      <c r="A4987" s="55">
        <v>4986</v>
      </c>
      <c r="B4987" s="12" t="s">
        <v>7067</v>
      </c>
      <c r="C4987" s="156">
        <v>247</v>
      </c>
      <c r="D4987" s="58" t="s">
        <v>4975</v>
      </c>
      <c r="E4987" s="160" t="str">
        <f>G4987</f>
        <v>Liebig &amp; Doran 1999_Valley</v>
      </c>
      <c r="F4987" s="160"/>
      <c r="G4987" s="60" t="s">
        <v>4753</v>
      </c>
      <c r="H4987" s="58">
        <v>1999</v>
      </c>
      <c r="I4987" s="58" t="s">
        <v>5483</v>
      </c>
      <c r="J4987" s="243" t="s">
        <v>916</v>
      </c>
      <c r="K4987" s="63" t="s">
        <v>5494</v>
      </c>
      <c r="L4987" s="58" t="s">
        <v>2737</v>
      </c>
      <c r="M4987" s="94">
        <v>40.200000000000003</v>
      </c>
      <c r="N4987" s="94">
        <v>-98.08</v>
      </c>
      <c r="O4987" s="94">
        <v>538</v>
      </c>
      <c r="P4987" s="58"/>
      <c r="Q4987" s="244">
        <v>10.1</v>
      </c>
      <c r="R4987" s="58"/>
      <c r="S4987" s="245">
        <v>693</v>
      </c>
      <c r="T4987" s="58"/>
      <c r="U4987" s="58" t="s">
        <v>1682</v>
      </c>
      <c r="V4987" s="244" t="s">
        <v>1679</v>
      </c>
      <c r="W4987" s="174"/>
      <c r="X4987" s="174"/>
      <c r="Y4987" s="58" t="s">
        <v>5497</v>
      </c>
      <c r="Z4987" s="244" t="s">
        <v>5145</v>
      </c>
      <c r="AA4987" s="245">
        <v>30.5</v>
      </c>
      <c r="AB4987" s="67"/>
      <c r="AC4987" s="67"/>
      <c r="AD4987" s="94"/>
      <c r="AE4987" s="94"/>
      <c r="AF4987" s="94"/>
      <c r="AG4987" s="245">
        <v>8</v>
      </c>
      <c r="AH4987" s="58" t="s">
        <v>6378</v>
      </c>
      <c r="AI4987" s="169"/>
      <c r="AJ4987" s="94"/>
      <c r="AK4987" s="94"/>
      <c r="AL4987" s="58"/>
      <c r="AM4987" s="58" t="s">
        <v>5519</v>
      </c>
      <c r="AN4987" s="186" t="s">
        <v>114</v>
      </c>
      <c r="AO4987" s="185" t="s">
        <v>5150</v>
      </c>
      <c r="AP4987" s="58"/>
      <c r="AQ4987" s="58" t="s">
        <v>553</v>
      </c>
      <c r="AR4987" s="58" t="s">
        <v>5503</v>
      </c>
      <c r="AS4987" s="246" t="s">
        <v>4584</v>
      </c>
      <c r="AT4987" s="247" t="s">
        <v>912</v>
      </c>
      <c r="AU4987" s="181" t="s">
        <v>5150</v>
      </c>
      <c r="AV4987" s="185" t="s">
        <v>176</v>
      </c>
      <c r="AW4987" s="244" t="s">
        <v>5509</v>
      </c>
      <c r="AX4987" s="185" t="s">
        <v>479</v>
      </c>
      <c r="AY4987" s="244" t="s">
        <v>5150</v>
      </c>
      <c r="AZ4987" s="58" t="s">
        <v>5516</v>
      </c>
      <c r="BA4987" s="58" t="s">
        <v>5517</v>
      </c>
      <c r="BB4987" s="58" t="s">
        <v>2081</v>
      </c>
      <c r="BC4987" s="58" t="s">
        <v>4499</v>
      </c>
      <c r="BD4987" s="58" t="s">
        <v>479</v>
      </c>
      <c r="BE4987" s="236" t="s">
        <v>5201</v>
      </c>
      <c r="BF4987" s="191"/>
      <c r="BG4987" s="191" t="s">
        <v>479</v>
      </c>
      <c r="BH4987" s="236" t="s">
        <v>5155</v>
      </c>
      <c r="BI4987" s="191" t="s">
        <v>479</v>
      </c>
      <c r="BJ4987" s="58" t="str">
        <f>IF(BE4987=BH4987,"No","yes")</f>
        <v>yes</v>
      </c>
      <c r="BK4987" s="58" t="s">
        <v>6335</v>
      </c>
      <c r="BL4987" s="58"/>
      <c r="BM4987" s="237"/>
      <c r="BN4987" s="244">
        <v>3</v>
      </c>
      <c r="BO4987" s="244">
        <v>3</v>
      </c>
      <c r="BP4987" s="58"/>
      <c r="BQ4987" s="58"/>
      <c r="BR4987" s="58"/>
      <c r="BS4987" s="58"/>
      <c r="BT4987" s="58"/>
      <c r="BU4987" s="58"/>
      <c r="BV4987" s="58"/>
      <c r="BW4987" s="67"/>
      <c r="BX4987" s="67"/>
      <c r="BY4987" s="67"/>
      <c r="BZ4987" s="67"/>
      <c r="CA4987" s="67"/>
      <c r="CB4987" s="70"/>
      <c r="CC4987" s="70"/>
      <c r="CD4987" s="70"/>
      <c r="CE4987" s="67"/>
      <c r="CF4987" s="67"/>
      <c r="CG4987" s="67"/>
      <c r="CH4987" s="245">
        <v>1.22</v>
      </c>
      <c r="CI4987" s="245">
        <v>1.18</v>
      </c>
      <c r="CJ4987" s="67"/>
      <c r="CK4987" s="67"/>
      <c r="CL4987" s="67"/>
      <c r="CM4987" s="242">
        <f>CR4987/(100*100*CH4987*0.35)*100</f>
        <v>1.3013348946135832</v>
      </c>
      <c r="CN4987" s="242">
        <f>CS4987/(100*100*CI4987*0.35)*100</f>
        <v>1.7016464891041163</v>
      </c>
      <c r="CO4987" s="242">
        <f>CT4987/(100*100*CH4987*0.35)*100</f>
        <v>0.11868852459016392</v>
      </c>
      <c r="CP4987" s="242">
        <f>CU4987/(100*100*CI4987*0.35)*100</f>
        <v>0.12271186440677967</v>
      </c>
      <c r="CQ4987" s="242" t="s">
        <v>164</v>
      </c>
      <c r="CR4987" s="242">
        <v>55.567</v>
      </c>
      <c r="CS4987" s="242">
        <v>70.278000000000006</v>
      </c>
      <c r="CT4987" s="242">
        <v>5.0679999999999996</v>
      </c>
      <c r="CU4987" s="242">
        <v>5.0679999999999996</v>
      </c>
      <c r="CV4987" s="242" t="s">
        <v>5151</v>
      </c>
      <c r="CW4987" s="242"/>
      <c r="CX4987" s="242"/>
      <c r="CY4987" s="242"/>
      <c r="CZ4987" s="242"/>
      <c r="DA4987" s="67" t="s">
        <v>5443</v>
      </c>
      <c r="DB4987" s="67">
        <v>4720</v>
      </c>
      <c r="DC4987" s="67">
        <v>6255</v>
      </c>
      <c r="DD4987" s="67">
        <v>616</v>
      </c>
      <c r="DE4987" s="67">
        <v>616</v>
      </c>
      <c r="DF4987" s="67" t="s">
        <v>5501</v>
      </c>
      <c r="DG4987" s="67">
        <v>133</v>
      </c>
      <c r="DH4987" s="67">
        <v>197</v>
      </c>
      <c r="DI4987" s="67">
        <v>18</v>
      </c>
      <c r="DJ4987" s="67"/>
      <c r="DK4987" s="67" t="s">
        <v>5500</v>
      </c>
      <c r="DL4987" s="67"/>
      <c r="DM4987" s="67"/>
      <c r="DN4987" s="67"/>
      <c r="DO4987" s="67"/>
      <c r="DP4987" s="67"/>
      <c r="DQ4987" s="166">
        <v>6.12</v>
      </c>
      <c r="DR4987" s="166">
        <v>6.59</v>
      </c>
      <c r="DS4987" s="163">
        <v>0.25</v>
      </c>
      <c r="DT4987" s="163">
        <v>0.25</v>
      </c>
      <c r="DU4987" s="67"/>
      <c r="DV4987" s="67"/>
      <c r="DW4987" s="67"/>
      <c r="DX4987" s="67"/>
      <c r="DY4987" s="67"/>
      <c r="DZ4987" s="67"/>
      <c r="EA4987" s="67">
        <v>0.06</v>
      </c>
      <c r="EB4987" s="67">
        <v>0.26</v>
      </c>
      <c r="EC4987" s="67">
        <v>0.05</v>
      </c>
      <c r="ED4987" s="67">
        <v>0.05</v>
      </c>
      <c r="EE4987" s="67" t="s">
        <v>5433</v>
      </c>
      <c r="EF4987" s="67"/>
      <c r="EG4987" s="67"/>
      <c r="EH4987" s="67"/>
      <c r="EI4987" s="67"/>
      <c r="EJ4987" s="67"/>
      <c r="EK4987" s="94"/>
      <c r="EL4987" s="94"/>
      <c r="EM4987" s="67"/>
      <c r="EN4987" s="67"/>
      <c r="EO4987" s="67"/>
      <c r="EP4987" s="67"/>
      <c r="EQ4987" s="67"/>
      <c r="ER4987" s="67"/>
      <c r="ES4987" s="67"/>
      <c r="ET4987" s="67"/>
      <c r="EU4987" s="67"/>
      <c r="EV4987" s="67"/>
      <c r="EW4987" s="67"/>
      <c r="EX4987" s="67"/>
      <c r="EY4987" s="67"/>
      <c r="EZ4987" s="67">
        <v>1152.2</v>
      </c>
      <c r="FA4987" s="67">
        <v>385</v>
      </c>
      <c r="FB4987" s="67"/>
      <c r="FC4987" s="67"/>
      <c r="FD4987" s="67" t="s">
        <v>5523</v>
      </c>
      <c r="FE4987" s="67"/>
      <c r="FF4987" s="67"/>
      <c r="FG4987" s="67"/>
      <c r="FH4987" s="67"/>
      <c r="FI4987" s="67"/>
      <c r="FJ4987" s="67"/>
      <c r="FK4987" s="67"/>
      <c r="FL4987" s="67"/>
      <c r="FM4987" s="67"/>
      <c r="FN4987" s="67"/>
      <c r="FO4987" s="67"/>
      <c r="FP4987" s="67"/>
      <c r="FQ4987" s="67"/>
      <c r="FR4987" s="67"/>
      <c r="FS4987" s="67"/>
      <c r="FT4987" s="67"/>
      <c r="FU4987" s="67"/>
      <c r="FV4987" s="67"/>
      <c r="FW4987" s="67"/>
      <c r="FX4987" s="67"/>
      <c r="FY4987" s="67">
        <v>20</v>
      </c>
      <c r="FZ4987" s="67">
        <v>18</v>
      </c>
      <c r="GA4987" s="67"/>
      <c r="GB4987" s="67"/>
      <c r="GC4987" s="67"/>
      <c r="GD4987" s="67">
        <v>24</v>
      </c>
      <c r="GE4987" s="67">
        <v>27</v>
      </c>
      <c r="GF4987" s="67"/>
      <c r="GG4987" s="67"/>
      <c r="GH4987" s="67" t="s">
        <v>164</v>
      </c>
      <c r="GI4987" s="67">
        <v>0.18</v>
      </c>
      <c r="GJ4987" s="67">
        <v>0.2</v>
      </c>
      <c r="GK4987" s="67">
        <v>0.02</v>
      </c>
      <c r="GL4987" s="67">
        <v>0.02</v>
      </c>
      <c r="GM4987" s="67" t="s">
        <v>4537</v>
      </c>
      <c r="GN4987" s="292"/>
      <c r="GO4987" s="292"/>
      <c r="GP4987" s="292" t="s">
        <v>7494</v>
      </c>
      <c r="GQ4987" s="67"/>
      <c r="GR4987" s="67"/>
      <c r="GS4987" s="67"/>
      <c r="GT4987" s="67"/>
      <c r="GU4987" s="67"/>
      <c r="GV4987" s="67"/>
      <c r="GW4987" s="67"/>
      <c r="GX4987" s="67"/>
      <c r="GY4987" s="67"/>
      <c r="GZ4987" s="67"/>
      <c r="HA4987" s="67"/>
      <c r="HB4987" s="67"/>
      <c r="HC4987" s="67"/>
      <c r="HD4987" s="67">
        <v>0.35</v>
      </c>
      <c r="HE4987" s="67">
        <v>0.38</v>
      </c>
      <c r="HF4987" s="67"/>
      <c r="HG4987" s="67"/>
      <c r="HH4987" s="67" t="s">
        <v>5502</v>
      </c>
      <c r="HI4987" s="67"/>
      <c r="HJ4987" s="67"/>
      <c r="HK4987" s="67"/>
      <c r="HL4987" s="67"/>
      <c r="HM4987" s="67"/>
      <c r="HN4987" s="67"/>
      <c r="HO4987" s="67"/>
      <c r="HP4987" s="67"/>
      <c r="HQ4987" s="67"/>
      <c r="HR4987" s="67"/>
      <c r="HS4987" s="67"/>
      <c r="HT4987" s="67"/>
      <c r="HU4987" s="67"/>
      <c r="HV4987" s="67"/>
      <c r="HW4987" s="67"/>
      <c r="HX4987" s="67"/>
      <c r="HY4987" s="67"/>
      <c r="HZ4987" s="67"/>
      <c r="IA4987" s="67"/>
      <c r="IB4987" s="67"/>
      <c r="IC4987" s="67"/>
      <c r="ID4987" s="67"/>
      <c r="IE4987" s="67"/>
      <c r="IF4987" s="67"/>
      <c r="IG4987" s="67"/>
      <c r="IH4987" s="67"/>
      <c r="II4987" s="67"/>
      <c r="IJ4987" s="67"/>
      <c r="IK4987" s="67"/>
      <c r="IL4987" s="67"/>
      <c r="IM4987" s="67"/>
      <c r="IN4987" s="67"/>
      <c r="IO4987" s="67"/>
      <c r="IP4987" s="67"/>
      <c r="IQ4987" s="67"/>
      <c r="IR4987" s="67">
        <v>48</v>
      </c>
      <c r="IS4987" s="67">
        <v>77</v>
      </c>
      <c r="IT4987" s="67"/>
      <c r="IU4987" s="67"/>
      <c r="IV4987" s="67" t="s">
        <v>5557</v>
      </c>
      <c r="IW4987" s="67">
        <v>21</v>
      </c>
      <c r="IX4987" s="67">
        <v>21</v>
      </c>
      <c r="IY4987" s="67"/>
      <c r="IZ4987" s="67"/>
      <c r="JA4987" s="67" t="s">
        <v>5524</v>
      </c>
      <c r="JB4987" s="67"/>
      <c r="JC4987" s="67"/>
      <c r="JD4987" s="67"/>
      <c r="JE4987" s="67"/>
      <c r="JF4987" s="67"/>
      <c r="JG4987" s="67">
        <v>654</v>
      </c>
      <c r="JH4987" s="67">
        <v>1192</v>
      </c>
      <c r="JI4987" s="67">
        <v>351</v>
      </c>
      <c r="JJ4987" s="67"/>
      <c r="JK4987" s="67" t="s">
        <v>2053</v>
      </c>
      <c r="JL4987" s="67">
        <v>47</v>
      </c>
      <c r="JM4987" s="67">
        <v>105</v>
      </c>
      <c r="JN4987" s="67">
        <v>21</v>
      </c>
      <c r="JO4987" s="67">
        <v>21</v>
      </c>
      <c r="JP4987" s="67" t="s">
        <v>2053</v>
      </c>
      <c r="JQ4987" s="67"/>
      <c r="JR4987" s="67"/>
      <c r="JS4987" s="67"/>
      <c r="JT4987" s="67"/>
      <c r="JU4987" s="58"/>
      <c r="JV4987" s="58"/>
      <c r="JW4987" s="58"/>
    </row>
    <row r="4988" spans="1:283" s="23" customFormat="1" x14ac:dyDescent="0.25">
      <c r="A4988" s="55">
        <v>4987</v>
      </c>
      <c r="B4988" s="12" t="s">
        <v>7067</v>
      </c>
      <c r="C4988" s="156">
        <v>247</v>
      </c>
      <c r="D4988" s="58" t="s">
        <v>4974</v>
      </c>
      <c r="E4988" s="160" t="str">
        <f>G4988</f>
        <v>Liebig &amp; Doran 1999_Medina</v>
      </c>
      <c r="F4988" s="160"/>
      <c r="G4988" s="60" t="s">
        <v>4754</v>
      </c>
      <c r="H4988" s="58">
        <v>1999</v>
      </c>
      <c r="I4988" s="58" t="s">
        <v>2905</v>
      </c>
      <c r="J4988" s="243" t="s">
        <v>916</v>
      </c>
      <c r="K4988" s="63" t="s">
        <v>5495</v>
      </c>
      <c r="L4988" s="58" t="s">
        <v>2737</v>
      </c>
      <c r="M4988" s="94">
        <v>46.7</v>
      </c>
      <c r="N4988" s="94">
        <v>-99.18</v>
      </c>
      <c r="O4988" s="94">
        <v>576</v>
      </c>
      <c r="P4988" s="58"/>
      <c r="Q4988" s="244">
        <v>4.9000000000000004</v>
      </c>
      <c r="R4988" s="58"/>
      <c r="S4988" s="245">
        <v>463</v>
      </c>
      <c r="T4988" s="58"/>
      <c r="U4988" s="58" t="s">
        <v>1679</v>
      </c>
      <c r="V4988" s="244">
        <v>19</v>
      </c>
      <c r="W4988" s="174"/>
      <c r="X4988" s="174"/>
      <c r="Y4988" s="58" t="s">
        <v>2206</v>
      </c>
      <c r="Z4988" s="244" t="s">
        <v>5145</v>
      </c>
      <c r="AA4988" s="245">
        <v>30.5</v>
      </c>
      <c r="AB4988" s="67"/>
      <c r="AC4988" s="67"/>
      <c r="AD4988" s="94"/>
      <c r="AE4988" s="94"/>
      <c r="AF4988" s="94"/>
      <c r="AG4988" s="245">
        <v>24</v>
      </c>
      <c r="AH4988" s="58" t="s">
        <v>139</v>
      </c>
      <c r="AI4988" s="169"/>
      <c r="AJ4988" s="94"/>
      <c r="AK4988" s="94">
        <f>110.409/(100*100*1.13*0.35)*100</f>
        <v>2.791630847029078</v>
      </c>
      <c r="AL4988" s="58"/>
      <c r="AM4988" s="58" t="s">
        <v>5521</v>
      </c>
      <c r="AN4988" s="186" t="s">
        <v>5506</v>
      </c>
      <c r="AO4988" s="185" t="s">
        <v>5150</v>
      </c>
      <c r="AP4988" s="58"/>
      <c r="AQ4988" s="58" t="s">
        <v>4584</v>
      </c>
      <c r="AR4988" s="58" t="s">
        <v>5504</v>
      </c>
      <c r="AS4988" s="246" t="s">
        <v>4584</v>
      </c>
      <c r="AT4988" s="247" t="s">
        <v>5510</v>
      </c>
      <c r="AU4988" s="181" t="s">
        <v>5150</v>
      </c>
      <c r="AV4988" s="185" t="s">
        <v>176</v>
      </c>
      <c r="AW4988" s="244" t="s">
        <v>5511</v>
      </c>
      <c r="AX4988" s="185" t="s">
        <v>479</v>
      </c>
      <c r="AY4988" s="244" t="s">
        <v>5150</v>
      </c>
      <c r="AZ4988" s="58" t="s">
        <v>5514</v>
      </c>
      <c r="BA4988" s="58" t="s">
        <v>5514</v>
      </c>
      <c r="BB4988" s="58" t="s">
        <v>2081</v>
      </c>
      <c r="BC4988" s="58" t="s">
        <v>2081</v>
      </c>
      <c r="BD4988" s="58" t="s">
        <v>176</v>
      </c>
      <c r="BE4988" s="236" t="s">
        <v>5153</v>
      </c>
      <c r="BF4988" s="191"/>
      <c r="BG4988" s="191" t="s">
        <v>176</v>
      </c>
      <c r="BH4988" s="236" t="s">
        <v>5266</v>
      </c>
      <c r="BI4988" s="191" t="s">
        <v>479</v>
      </c>
      <c r="BJ4988" s="58" t="str">
        <f>IF(BE4988=BH4988,"No","yes")</f>
        <v>yes</v>
      </c>
      <c r="BK4988" s="58" t="s">
        <v>6335</v>
      </c>
      <c r="BL4988" s="58"/>
      <c r="BM4988" s="237"/>
      <c r="BN4988" s="244">
        <v>3</v>
      </c>
      <c r="BO4988" s="244">
        <v>3</v>
      </c>
      <c r="BP4988" s="58"/>
      <c r="BQ4988" s="58"/>
      <c r="BR4988" s="58"/>
      <c r="BS4988" s="58"/>
      <c r="BT4988" s="58"/>
      <c r="BU4988" s="58"/>
      <c r="BV4988" s="58"/>
      <c r="BW4988" s="67"/>
      <c r="BX4988" s="67"/>
      <c r="BY4988" s="67"/>
      <c r="BZ4988" s="67"/>
      <c r="CA4988" s="67"/>
      <c r="CB4988" s="70"/>
      <c r="CC4988" s="70"/>
      <c r="CD4988" s="70"/>
      <c r="CE4988" s="67"/>
      <c r="CF4988" s="67"/>
      <c r="CG4988" s="67"/>
      <c r="CH4988" s="245">
        <v>1.47</v>
      </c>
      <c r="CI4988" s="245">
        <v>1.29</v>
      </c>
      <c r="CJ4988" s="67"/>
      <c r="CK4988" s="67"/>
      <c r="CL4988" s="67"/>
      <c r="CM4988" s="242">
        <f>CR4988/(100*100*CH4988*0.35)*100</f>
        <v>1.0850145772594753</v>
      </c>
      <c r="CN4988" s="242">
        <f>CS4988/(100*100*CI4988*0.35)*100</f>
        <v>1.674640088593577</v>
      </c>
      <c r="CO4988" s="242">
        <f>CT4988/(100*100*CH4988*0.35)*100</f>
        <v>0.51267249757045674</v>
      </c>
      <c r="CP4988" s="242">
        <f>CU4988/(100*100*CI4988*0.35)*100</f>
        <v>0.58420819490586928</v>
      </c>
      <c r="CQ4988" s="242" t="s">
        <v>164</v>
      </c>
      <c r="CR4988" s="242">
        <v>55.823999999999998</v>
      </c>
      <c r="CS4988" s="242">
        <v>75.61</v>
      </c>
      <c r="CT4988" s="242">
        <v>26.376999999999999</v>
      </c>
      <c r="CU4988" s="242">
        <v>26.376999999999999</v>
      </c>
      <c r="CV4988" s="242" t="s">
        <v>5151</v>
      </c>
      <c r="CW4988" s="242"/>
      <c r="CX4988" s="242"/>
      <c r="CY4988" s="242"/>
      <c r="CZ4988" s="242"/>
      <c r="DA4988" s="67" t="s">
        <v>5443</v>
      </c>
      <c r="DB4988" s="67">
        <v>4592</v>
      </c>
      <c r="DC4988" s="67">
        <v>6259</v>
      </c>
      <c r="DD4988" s="67">
        <v>1678</v>
      </c>
      <c r="DE4988" s="67">
        <v>1678</v>
      </c>
      <c r="DF4988" s="67" t="s">
        <v>5501</v>
      </c>
      <c r="DG4988" s="67">
        <v>17</v>
      </c>
      <c r="DH4988" s="67">
        <v>21</v>
      </c>
      <c r="DI4988" s="67">
        <v>25</v>
      </c>
      <c r="DJ4988" s="67"/>
      <c r="DK4988" s="67" t="s">
        <v>5500</v>
      </c>
      <c r="DL4988" s="67"/>
      <c r="DM4988" s="67"/>
      <c r="DN4988" s="67"/>
      <c r="DO4988" s="67"/>
      <c r="DP4988" s="67"/>
      <c r="DQ4988" s="166">
        <v>7.5</v>
      </c>
      <c r="DR4988" s="166">
        <v>7.37</v>
      </c>
      <c r="DS4988" s="163">
        <v>0.8</v>
      </c>
      <c r="DT4988" s="163">
        <v>0.8</v>
      </c>
      <c r="DU4988" s="67"/>
      <c r="DV4988" s="67"/>
      <c r="DW4988" s="67"/>
      <c r="DX4988" s="67"/>
      <c r="DY4988" s="67"/>
      <c r="DZ4988" s="67"/>
      <c r="EA4988" s="67">
        <v>0.13</v>
      </c>
      <c r="EB4988" s="67">
        <v>0.1</v>
      </c>
      <c r="EC4988" s="67">
        <v>7.0000000000000007E-2</v>
      </c>
      <c r="ED4988" s="67">
        <v>7.0000000000000007E-2</v>
      </c>
      <c r="EE4988" s="67" t="s">
        <v>5433</v>
      </c>
      <c r="EF4988" s="67"/>
      <c r="EG4988" s="67"/>
      <c r="EH4988" s="67"/>
      <c r="EI4988" s="67"/>
      <c r="EJ4988" s="67"/>
      <c r="EK4988" s="94"/>
      <c r="EL4988" s="94"/>
      <c r="EM4988" s="67"/>
      <c r="EN4988" s="67"/>
      <c r="EO4988" s="67"/>
      <c r="EP4988" s="67"/>
      <c r="EQ4988" s="67"/>
      <c r="ER4988" s="67"/>
      <c r="ES4988" s="67"/>
      <c r="ET4988" s="67"/>
      <c r="EU4988" s="67"/>
      <c r="EV4988" s="67"/>
      <c r="EW4988" s="67"/>
      <c r="EX4988" s="67"/>
      <c r="EY4988" s="67"/>
      <c r="EZ4988" s="67">
        <v>2.7</v>
      </c>
      <c r="FA4988" s="67">
        <v>1.6</v>
      </c>
      <c r="FB4988" s="67"/>
      <c r="FC4988" s="67"/>
      <c r="FD4988" s="67" t="s">
        <v>5523</v>
      </c>
      <c r="FE4988" s="67"/>
      <c r="FF4988" s="67"/>
      <c r="FG4988" s="67"/>
      <c r="FH4988" s="67"/>
      <c r="FI4988" s="67"/>
      <c r="FJ4988" s="67"/>
      <c r="FK4988" s="67"/>
      <c r="FL4988" s="67"/>
      <c r="FM4988" s="67"/>
      <c r="FN4988" s="67"/>
      <c r="FO4988" s="67"/>
      <c r="FP4988" s="67"/>
      <c r="FQ4988" s="67"/>
      <c r="FR4988" s="67"/>
      <c r="FS4988" s="67"/>
      <c r="FT4988" s="67"/>
      <c r="FU4988" s="67"/>
      <c r="FV4988" s="67"/>
      <c r="FW4988" s="67"/>
      <c r="FX4988" s="67"/>
      <c r="FY4988" s="67">
        <v>23</v>
      </c>
      <c r="FZ4988" s="67">
        <v>22</v>
      </c>
      <c r="GA4988" s="67"/>
      <c r="GB4988" s="67"/>
      <c r="GC4988" s="67"/>
      <c r="GD4988" s="67">
        <v>11</v>
      </c>
      <c r="GE4988" s="67">
        <v>10</v>
      </c>
      <c r="GF4988" s="67"/>
      <c r="GG4988" s="67"/>
      <c r="GH4988" s="67" t="s">
        <v>164</v>
      </c>
      <c r="GI4988" s="67">
        <v>0.08</v>
      </c>
      <c r="GJ4988" s="67">
        <v>0.13</v>
      </c>
      <c r="GK4988" s="67">
        <v>0.04</v>
      </c>
      <c r="GL4988" s="67">
        <v>0.04</v>
      </c>
      <c r="GM4988" s="67" t="s">
        <v>4537</v>
      </c>
      <c r="GN4988" s="292"/>
      <c r="GO4988" s="292"/>
      <c r="GP4988" s="292" t="s">
        <v>7494</v>
      </c>
      <c r="GQ4988" s="67"/>
      <c r="GR4988" s="67"/>
      <c r="GS4988" s="67"/>
      <c r="GT4988" s="67"/>
      <c r="GU4988" s="67"/>
      <c r="GV4988" s="67"/>
      <c r="GW4988" s="67"/>
      <c r="GX4988" s="67"/>
      <c r="GY4988" s="67"/>
      <c r="GZ4988" s="67"/>
      <c r="HA4988" s="67"/>
      <c r="HB4988" s="67"/>
      <c r="HC4988" s="67"/>
      <c r="HD4988" s="67"/>
      <c r="HE4988" s="67"/>
      <c r="HF4988" s="67"/>
      <c r="HG4988" s="67"/>
      <c r="HH4988" s="67"/>
      <c r="HI4988" s="67"/>
      <c r="HJ4988" s="67"/>
      <c r="HK4988" s="67"/>
      <c r="HL4988" s="67"/>
      <c r="HM4988" s="67"/>
      <c r="HN4988" s="67"/>
      <c r="HO4988" s="67"/>
      <c r="HP4988" s="67"/>
      <c r="HQ4988" s="67"/>
      <c r="HR4988" s="67"/>
      <c r="HS4988" s="67"/>
      <c r="HT4988" s="67"/>
      <c r="HU4988" s="67"/>
      <c r="HV4988" s="67"/>
      <c r="HW4988" s="67"/>
      <c r="HX4988" s="67"/>
      <c r="HY4988" s="67"/>
      <c r="HZ4988" s="67"/>
      <c r="IA4988" s="67"/>
      <c r="IB4988" s="67"/>
      <c r="IC4988" s="67"/>
      <c r="ID4988" s="67"/>
      <c r="IE4988" s="67"/>
      <c r="IF4988" s="67"/>
      <c r="IG4988" s="67"/>
      <c r="IH4988" s="67"/>
      <c r="II4988" s="67"/>
      <c r="IJ4988" s="67"/>
      <c r="IK4988" s="67"/>
      <c r="IL4988" s="67"/>
      <c r="IM4988" s="67"/>
      <c r="IN4988" s="67"/>
      <c r="IO4988" s="67"/>
      <c r="IP4988" s="67"/>
      <c r="IQ4988" s="67"/>
      <c r="IR4988" s="67">
        <v>66</v>
      </c>
      <c r="IS4988" s="67">
        <v>44</v>
      </c>
      <c r="IT4988" s="67"/>
      <c r="IU4988" s="67"/>
      <c r="IV4988" s="67" t="s">
        <v>5557</v>
      </c>
      <c r="IW4988" s="67">
        <v>49</v>
      </c>
      <c r="IX4988" s="67">
        <v>31</v>
      </c>
      <c r="IY4988" s="67"/>
      <c r="IZ4988" s="67"/>
      <c r="JA4988" s="67" t="s">
        <v>5524</v>
      </c>
      <c r="JB4988" s="67"/>
      <c r="JC4988" s="67"/>
      <c r="JD4988" s="67"/>
      <c r="JE4988" s="67"/>
      <c r="JF4988" s="67"/>
      <c r="JG4988" s="67">
        <v>1081</v>
      </c>
      <c r="JH4988" s="67">
        <v>2101</v>
      </c>
      <c r="JI4988" s="67">
        <v>606</v>
      </c>
      <c r="JJ4988" s="67"/>
      <c r="JK4988" s="67" t="s">
        <v>2053</v>
      </c>
      <c r="JL4988" s="67">
        <v>127</v>
      </c>
      <c r="JM4988" s="67">
        <v>247</v>
      </c>
      <c r="JN4988" s="67">
        <v>71</v>
      </c>
      <c r="JO4988" s="67">
        <v>71</v>
      </c>
      <c r="JP4988" s="67" t="s">
        <v>2053</v>
      </c>
      <c r="JQ4988" s="67"/>
      <c r="JR4988" s="67"/>
      <c r="JS4988" s="67"/>
      <c r="JT4988" s="67"/>
      <c r="JU4988" s="58"/>
      <c r="JV4988" s="58"/>
      <c r="JW4988" s="58"/>
    </row>
    <row r="4989" spans="1:283" s="23" customFormat="1" x14ac:dyDescent="0.25">
      <c r="A4989" s="55">
        <v>4988</v>
      </c>
      <c r="B4989" s="12" t="s">
        <v>7067</v>
      </c>
      <c r="C4989" s="156">
        <v>247</v>
      </c>
      <c r="D4989" s="58" t="s">
        <v>4976</v>
      </c>
      <c r="E4989" s="160" t="str">
        <f>G4989</f>
        <v>Liebig &amp; Doran 1999_Windsor</v>
      </c>
      <c r="F4989" s="160"/>
      <c r="G4989" s="60" t="s">
        <v>4752</v>
      </c>
      <c r="H4989" s="58">
        <v>1999</v>
      </c>
      <c r="I4989" s="58" t="s">
        <v>2905</v>
      </c>
      <c r="J4989" s="243" t="s">
        <v>916</v>
      </c>
      <c r="K4989" s="63" t="s">
        <v>5496</v>
      </c>
      <c r="L4989" s="58" t="s">
        <v>2737</v>
      </c>
      <c r="M4989" s="94">
        <v>46.71</v>
      </c>
      <c r="N4989" s="94">
        <v>-99.02</v>
      </c>
      <c r="O4989" s="94">
        <v>540</v>
      </c>
      <c r="P4989" s="58"/>
      <c r="Q4989" s="244">
        <v>4.9000000000000004</v>
      </c>
      <c r="R4989" s="58"/>
      <c r="S4989" s="245">
        <v>463</v>
      </c>
      <c r="T4989" s="58"/>
      <c r="U4989" s="58" t="s">
        <v>1679</v>
      </c>
      <c r="V4989" s="244">
        <v>19</v>
      </c>
      <c r="W4989" s="174"/>
      <c r="X4989" s="174"/>
      <c r="Y4989" s="58" t="s">
        <v>2206</v>
      </c>
      <c r="Z4989" s="244" t="s">
        <v>5145</v>
      </c>
      <c r="AA4989" s="245">
        <v>30.5</v>
      </c>
      <c r="AB4989" s="67"/>
      <c r="AC4989" s="67"/>
      <c r="AD4989" s="94"/>
      <c r="AE4989" s="94"/>
      <c r="AF4989" s="94"/>
      <c r="AG4989" s="245">
        <v>24</v>
      </c>
      <c r="AH4989" s="58" t="s">
        <v>139</v>
      </c>
      <c r="AI4989" s="169"/>
      <c r="AJ4989" s="94"/>
      <c r="AK4989" s="94"/>
      <c r="AL4989" s="58"/>
      <c r="AM4989" s="58" t="s">
        <v>5522</v>
      </c>
      <c r="AN4989" s="186" t="s">
        <v>5506</v>
      </c>
      <c r="AO4989" s="185" t="s">
        <v>5150</v>
      </c>
      <c r="AP4989" s="58"/>
      <c r="AQ4989" s="58" t="s">
        <v>4584</v>
      </c>
      <c r="AR4989" s="58" t="s">
        <v>5505</v>
      </c>
      <c r="AS4989" s="246" t="s">
        <v>4584</v>
      </c>
      <c r="AT4989" s="247" t="s">
        <v>5512</v>
      </c>
      <c r="AU4989" s="181" t="s">
        <v>5150</v>
      </c>
      <c r="AV4989" s="185" t="s">
        <v>176</v>
      </c>
      <c r="AW4989" s="244" t="s">
        <v>5511</v>
      </c>
      <c r="AX4989" s="185" t="s">
        <v>479</v>
      </c>
      <c r="AY4989" s="244" t="s">
        <v>5150</v>
      </c>
      <c r="AZ4989" s="58" t="s">
        <v>5514</v>
      </c>
      <c r="BA4989" s="58" t="s">
        <v>5514</v>
      </c>
      <c r="BB4989" s="58" t="s">
        <v>2081</v>
      </c>
      <c r="BC4989" s="58" t="s">
        <v>2081</v>
      </c>
      <c r="BD4989" s="58" t="s">
        <v>176</v>
      </c>
      <c r="BE4989" s="236" t="s">
        <v>5153</v>
      </c>
      <c r="BF4989" s="191"/>
      <c r="BG4989" s="191" t="s">
        <v>176</v>
      </c>
      <c r="BH4989" s="236" t="s">
        <v>5267</v>
      </c>
      <c r="BI4989" s="191" t="s">
        <v>479</v>
      </c>
      <c r="BJ4989" s="58" t="str">
        <f>IF(BE4989=BH4989,"No","yes")</f>
        <v>yes</v>
      </c>
      <c r="BK4989" s="58" t="s">
        <v>6335</v>
      </c>
      <c r="BL4989" s="58"/>
      <c r="BM4989" s="237"/>
      <c r="BN4989" s="244">
        <v>3</v>
      </c>
      <c r="BO4989" s="244">
        <v>3</v>
      </c>
      <c r="BP4989" s="58"/>
      <c r="BQ4989" s="58"/>
      <c r="BR4989" s="58"/>
      <c r="BS4989" s="58"/>
      <c r="BT4989" s="58"/>
      <c r="BU4989" s="58"/>
      <c r="BV4989" s="58"/>
      <c r="BW4989" s="67"/>
      <c r="BX4989" s="67"/>
      <c r="BY4989" s="67"/>
      <c r="BZ4989" s="67"/>
      <c r="CA4989" s="67"/>
      <c r="CB4989" s="70"/>
      <c r="CC4989" s="70"/>
      <c r="CD4989" s="70"/>
      <c r="CE4989" s="67"/>
      <c r="CF4989" s="67"/>
      <c r="CG4989" s="67"/>
      <c r="CH4989" s="245">
        <v>1.4</v>
      </c>
      <c r="CI4989" s="245">
        <v>1.39</v>
      </c>
      <c r="CJ4989" s="67"/>
      <c r="CK4989" s="67"/>
      <c r="CL4989" s="67"/>
      <c r="CM4989" s="242">
        <f>CR4989/(100*100*CH4989*0.35)*100</f>
        <v>1.6912244897959186</v>
      </c>
      <c r="CN4989" s="242">
        <f>CS4989/(100*100*CI4989*0.35)*100</f>
        <v>1.9257965056526209</v>
      </c>
      <c r="CO4989" s="242">
        <f>CT4989/(100*100*CH4989*0.35)*100</f>
        <v>0.19459183673469388</v>
      </c>
      <c r="CP4989" s="242">
        <f>CU4989/(100*100*CI4989*0.35)*100</f>
        <v>0.19599177800616652</v>
      </c>
      <c r="CQ4989" s="242" t="s">
        <v>164</v>
      </c>
      <c r="CR4989" s="242">
        <v>82.87</v>
      </c>
      <c r="CS4989" s="242">
        <v>93.69</v>
      </c>
      <c r="CT4989" s="242">
        <v>9.5350000000000001</v>
      </c>
      <c r="CU4989" s="242">
        <v>9.5350000000000001</v>
      </c>
      <c r="CV4989" s="242" t="s">
        <v>5151</v>
      </c>
      <c r="CW4989" s="242"/>
      <c r="CX4989" s="242"/>
      <c r="CY4989" s="242"/>
      <c r="CZ4989" s="242"/>
      <c r="DA4989" s="67" t="s">
        <v>5443</v>
      </c>
      <c r="DB4989" s="67">
        <v>7415</v>
      </c>
      <c r="DC4989" s="67">
        <v>8206</v>
      </c>
      <c r="DD4989" s="67">
        <v>993</v>
      </c>
      <c r="DE4989" s="67">
        <v>993</v>
      </c>
      <c r="DF4989" s="67" t="s">
        <v>5501</v>
      </c>
      <c r="DG4989" s="67">
        <v>70</v>
      </c>
      <c r="DH4989" s="67">
        <v>53</v>
      </c>
      <c r="DI4989" s="67">
        <v>11</v>
      </c>
      <c r="DJ4989" s="67"/>
      <c r="DK4989" s="67" t="s">
        <v>5500</v>
      </c>
      <c r="DL4989" s="67"/>
      <c r="DM4989" s="67"/>
      <c r="DN4989" s="67"/>
      <c r="DO4989" s="67"/>
      <c r="DP4989" s="67"/>
      <c r="DQ4989" s="166">
        <v>6.6</v>
      </c>
      <c r="DR4989" s="166">
        <v>6.93</v>
      </c>
      <c r="DS4989" s="163">
        <v>0.7</v>
      </c>
      <c r="DT4989" s="163">
        <v>0.7</v>
      </c>
      <c r="DU4989" s="67"/>
      <c r="DV4989" s="67"/>
      <c r="DW4989" s="67"/>
      <c r="DX4989" s="67"/>
      <c r="DY4989" s="67"/>
      <c r="DZ4989" s="67"/>
      <c r="EA4989" s="67">
        <v>0.27</v>
      </c>
      <c r="EB4989" s="67">
        <v>0.2</v>
      </c>
      <c r="EC4989" s="67">
        <v>7.0000000000000007E-2</v>
      </c>
      <c r="ED4989" s="67">
        <v>7.0000000000000007E-2</v>
      </c>
      <c r="EE4989" s="67" t="s">
        <v>5433</v>
      </c>
      <c r="EF4989" s="67"/>
      <c r="EG4989" s="67"/>
      <c r="EH4989" s="67"/>
      <c r="EI4989" s="67"/>
      <c r="EJ4989" s="67"/>
      <c r="EK4989" s="94"/>
      <c r="EL4989" s="94"/>
      <c r="EM4989" s="67"/>
      <c r="EN4989" s="67"/>
      <c r="EO4989" s="67"/>
      <c r="EP4989" s="67"/>
      <c r="EQ4989" s="67"/>
      <c r="ER4989" s="67"/>
      <c r="ES4989" s="67"/>
      <c r="ET4989" s="67"/>
      <c r="EU4989" s="67"/>
      <c r="EV4989" s="67"/>
      <c r="EW4989" s="67"/>
      <c r="EX4989" s="67"/>
      <c r="EY4989" s="67"/>
      <c r="EZ4989" s="67">
        <v>1.8</v>
      </c>
      <c r="FA4989" s="67">
        <v>24.2</v>
      </c>
      <c r="FB4989" s="67"/>
      <c r="FC4989" s="67"/>
      <c r="FD4989" s="67" t="s">
        <v>5523</v>
      </c>
      <c r="FE4989" s="67"/>
      <c r="FF4989" s="67"/>
      <c r="FG4989" s="67"/>
      <c r="FH4989" s="67"/>
      <c r="FI4989" s="67"/>
      <c r="FJ4989" s="67"/>
      <c r="FK4989" s="67"/>
      <c r="FL4989" s="67"/>
      <c r="FM4989" s="67"/>
      <c r="FN4989" s="67"/>
      <c r="FO4989" s="67"/>
      <c r="FP4989" s="67"/>
      <c r="FQ4989" s="67"/>
      <c r="FR4989" s="67"/>
      <c r="FS4989" s="67"/>
      <c r="FT4989" s="67"/>
      <c r="FU4989" s="67"/>
      <c r="FV4989" s="67"/>
      <c r="FW4989" s="67"/>
      <c r="FX4989" s="67"/>
      <c r="FY4989" s="67">
        <v>27</v>
      </c>
      <c r="FZ4989" s="67">
        <v>30</v>
      </c>
      <c r="GA4989" s="67"/>
      <c r="GB4989" s="67"/>
      <c r="GC4989" s="67"/>
      <c r="GD4989" s="67">
        <v>13</v>
      </c>
      <c r="GE4989" s="67">
        <v>18</v>
      </c>
      <c r="GF4989" s="67"/>
      <c r="GG4989" s="67"/>
      <c r="GH4989" s="67" t="s">
        <v>164</v>
      </c>
      <c r="GI4989" s="67">
        <v>0.11</v>
      </c>
      <c r="GJ4989" s="67">
        <v>0.09</v>
      </c>
      <c r="GK4989" s="67">
        <v>0.01</v>
      </c>
      <c r="GL4989" s="67">
        <v>0.01</v>
      </c>
      <c r="GM4989" s="67" t="s">
        <v>4537</v>
      </c>
      <c r="GN4989" s="292"/>
      <c r="GO4989" s="292"/>
      <c r="GP4989" s="292" t="s">
        <v>7494</v>
      </c>
      <c r="GQ4989" s="67"/>
      <c r="GR4989" s="67"/>
      <c r="GS4989" s="67"/>
      <c r="GT4989" s="67"/>
      <c r="GU4989" s="67"/>
      <c r="GV4989" s="67"/>
      <c r="GW4989" s="67"/>
      <c r="GX4989" s="67"/>
      <c r="GY4989" s="67"/>
      <c r="GZ4989" s="67"/>
      <c r="HA4989" s="67"/>
      <c r="HB4989" s="67"/>
      <c r="HC4989" s="67"/>
      <c r="HD4989" s="67"/>
      <c r="HE4989" s="67"/>
      <c r="HF4989" s="67"/>
      <c r="HG4989" s="67"/>
      <c r="HH4989" s="67"/>
      <c r="HI4989" s="67"/>
      <c r="HJ4989" s="67"/>
      <c r="HK4989" s="67"/>
      <c r="HL4989" s="67"/>
      <c r="HM4989" s="67"/>
      <c r="HN4989" s="67"/>
      <c r="HO4989" s="67"/>
      <c r="HP4989" s="67"/>
      <c r="HQ4989" s="67"/>
      <c r="HR4989" s="67"/>
      <c r="HS4989" s="67"/>
      <c r="HT4989" s="67"/>
      <c r="HU4989" s="67"/>
      <c r="HV4989" s="67"/>
      <c r="HW4989" s="67"/>
      <c r="HX4989" s="67"/>
      <c r="HY4989" s="67"/>
      <c r="HZ4989" s="67"/>
      <c r="IA4989" s="67"/>
      <c r="IB4989" s="67"/>
      <c r="IC4989" s="67"/>
      <c r="ID4989" s="67"/>
      <c r="IE4989" s="67"/>
      <c r="IF4989" s="67"/>
      <c r="IG4989" s="67"/>
      <c r="IH4989" s="67"/>
      <c r="II4989" s="67"/>
      <c r="IJ4989" s="67"/>
      <c r="IK4989" s="67"/>
      <c r="IL4989" s="67"/>
      <c r="IM4989" s="67"/>
      <c r="IN4989" s="67"/>
      <c r="IO4989" s="67"/>
      <c r="IP4989" s="67"/>
      <c r="IQ4989" s="67"/>
      <c r="IR4989" s="67">
        <v>39</v>
      </c>
      <c r="IS4989" s="67">
        <v>96</v>
      </c>
      <c r="IT4989" s="67"/>
      <c r="IU4989" s="67"/>
      <c r="IV4989" s="67" t="s">
        <v>5557</v>
      </c>
      <c r="IW4989" s="67">
        <v>41</v>
      </c>
      <c r="IX4989" s="67">
        <v>90</v>
      </c>
      <c r="IY4989" s="67"/>
      <c r="IZ4989" s="67"/>
      <c r="JA4989" s="67" t="s">
        <v>5524</v>
      </c>
      <c r="JB4989" s="67"/>
      <c r="JC4989" s="67"/>
      <c r="JD4989" s="67"/>
      <c r="JE4989" s="67"/>
      <c r="JF4989" s="67"/>
      <c r="JG4989" s="67">
        <v>1593</v>
      </c>
      <c r="JH4989" s="67">
        <v>1518</v>
      </c>
      <c r="JI4989" s="67">
        <v>606</v>
      </c>
      <c r="JJ4989" s="67"/>
      <c r="JK4989" s="67" t="s">
        <v>2053</v>
      </c>
      <c r="JL4989" s="67">
        <v>187</v>
      </c>
      <c r="JM4989" s="67">
        <v>179</v>
      </c>
      <c r="JN4989" s="67">
        <v>71</v>
      </c>
      <c r="JO4989" s="67">
        <v>71</v>
      </c>
      <c r="JP4989" s="67" t="s">
        <v>2053</v>
      </c>
      <c r="JQ4989" s="67"/>
      <c r="JR4989" s="67"/>
      <c r="JS4989" s="67"/>
      <c r="JT4989" s="67"/>
      <c r="JU4989" s="58"/>
      <c r="JV4989" s="58"/>
      <c r="JW4989" s="58"/>
    </row>
    <row r="4990" spans="1:283" s="23" customFormat="1" x14ac:dyDescent="0.25">
      <c r="A4990" s="55">
        <v>4989</v>
      </c>
      <c r="B4990" s="12" t="s">
        <v>7067</v>
      </c>
      <c r="C4990" s="156">
        <v>248</v>
      </c>
      <c r="D4990" s="58" t="s">
        <v>4977</v>
      </c>
      <c r="E4990" s="160" t="str">
        <f>G4990</f>
        <v>Lytton-Hitchins et al 1994</v>
      </c>
      <c r="F4990" s="160"/>
      <c r="G4990" s="60" t="s">
        <v>4751</v>
      </c>
      <c r="H4990" s="58">
        <v>1994</v>
      </c>
      <c r="I4990" s="58" t="s">
        <v>5525</v>
      </c>
      <c r="J4990" s="243" t="s">
        <v>2167</v>
      </c>
      <c r="K4990" s="63" t="s">
        <v>5096</v>
      </c>
      <c r="L4990" s="58" t="s">
        <v>2746</v>
      </c>
      <c r="M4990" s="94">
        <f>-36-18/60</f>
        <v>-36.299999999999997</v>
      </c>
      <c r="N4990" s="94">
        <f>145+37/60</f>
        <v>145.61666666666667</v>
      </c>
      <c r="O4990" s="94">
        <v>122</v>
      </c>
      <c r="P4990" s="58"/>
      <c r="Q4990" s="244">
        <v>18.100000000000001</v>
      </c>
      <c r="R4990" s="58"/>
      <c r="S4990" s="245">
        <v>425</v>
      </c>
      <c r="T4990" s="58"/>
      <c r="U4990" s="58" t="s">
        <v>1681</v>
      </c>
      <c r="V4990" s="244">
        <v>18</v>
      </c>
      <c r="W4990" s="174"/>
      <c r="X4990" s="174"/>
      <c r="Y4990" s="58" t="s">
        <v>5526</v>
      </c>
      <c r="Z4990" s="244" t="s">
        <v>1356</v>
      </c>
      <c r="AA4990" s="245">
        <v>30</v>
      </c>
      <c r="AB4990" s="67"/>
      <c r="AC4990" s="67"/>
      <c r="AD4990" s="94"/>
      <c r="AE4990" s="94"/>
      <c r="AF4990" s="94"/>
      <c r="AG4990" s="245">
        <v>27.5</v>
      </c>
      <c r="AH4990" s="58" t="s">
        <v>139</v>
      </c>
      <c r="AI4990" s="169"/>
      <c r="AJ4990" s="94"/>
      <c r="AK4990" s="94"/>
      <c r="AL4990" s="58"/>
      <c r="AM4990" s="58" t="s">
        <v>5527</v>
      </c>
      <c r="AN4990" s="186" t="s">
        <v>5528</v>
      </c>
      <c r="AO4990" s="185" t="s">
        <v>5150</v>
      </c>
      <c r="AP4990" s="58"/>
      <c r="AQ4990" s="58" t="s">
        <v>1577</v>
      </c>
      <c r="AR4990" s="58" t="s">
        <v>5529</v>
      </c>
      <c r="AS4990" s="246" t="s">
        <v>5529</v>
      </c>
      <c r="AT4990" s="247">
        <v>1</v>
      </c>
      <c r="AU4990" s="181" t="s">
        <v>7494</v>
      </c>
      <c r="AV4990" s="185" t="s">
        <v>176</v>
      </c>
      <c r="AW4990" s="244">
        <v>1</v>
      </c>
      <c r="AX4990" s="185" t="s">
        <v>176</v>
      </c>
      <c r="AY4990" s="244" t="s">
        <v>176</v>
      </c>
      <c r="AZ4990" s="58"/>
      <c r="BA4990" s="58"/>
      <c r="BB4990" s="58"/>
      <c r="BC4990" s="58"/>
      <c r="BD4990" s="58"/>
      <c r="BE4990" s="236" t="s">
        <v>5202</v>
      </c>
      <c r="BF4990" s="191" t="s">
        <v>479</v>
      </c>
      <c r="BG4990" s="191" t="s">
        <v>479</v>
      </c>
      <c r="BH4990" s="236" t="s">
        <v>5268</v>
      </c>
      <c r="BI4990" s="191" t="s">
        <v>479</v>
      </c>
      <c r="BJ4990" s="58" t="str">
        <f>IF(BE4990=BH4990,"No","yes")</f>
        <v>yes</v>
      </c>
      <c r="BK4990" s="58" t="s">
        <v>6335</v>
      </c>
      <c r="BL4990" s="58"/>
      <c r="BM4990" s="237"/>
      <c r="BN4990" s="244">
        <v>15</v>
      </c>
      <c r="BO4990" s="244">
        <v>15</v>
      </c>
      <c r="BP4990" s="58"/>
      <c r="BQ4990" s="58"/>
      <c r="BR4990" s="58"/>
      <c r="BS4990" s="58"/>
      <c r="BT4990" s="58"/>
      <c r="BU4990" s="58"/>
      <c r="BV4990" s="58"/>
      <c r="BW4990" s="67"/>
      <c r="BX4990" s="67"/>
      <c r="BY4990" s="67"/>
      <c r="BZ4990" s="67"/>
      <c r="CA4990" s="67"/>
      <c r="CB4990" s="70"/>
      <c r="CC4990" s="70"/>
      <c r="CD4990" s="70"/>
      <c r="CE4990" s="67"/>
      <c r="CF4990" s="67"/>
      <c r="CG4990" s="67"/>
      <c r="CH4990" s="245">
        <v>1.55</v>
      </c>
      <c r="CI4990" s="245">
        <v>1.46</v>
      </c>
      <c r="CJ4990" s="67"/>
      <c r="CK4990" s="67"/>
      <c r="CL4990" s="67"/>
      <c r="CM4990" s="242">
        <v>3.91</v>
      </c>
      <c r="CN4990" s="242">
        <v>4.6399999999999997</v>
      </c>
      <c r="CO4990" s="242">
        <v>0.39100000000000001</v>
      </c>
      <c r="CP4990" s="242">
        <v>0.46399999999999997</v>
      </c>
      <c r="CQ4990" s="242" t="s">
        <v>164</v>
      </c>
      <c r="CR4990" s="242">
        <v>181.81500000000003</v>
      </c>
      <c r="CS4990" s="242">
        <v>203.232</v>
      </c>
      <c r="CT4990" s="242"/>
      <c r="CU4990" s="242"/>
      <c r="CV4990" s="242" t="s">
        <v>5151</v>
      </c>
      <c r="CW4990" s="242"/>
      <c r="CX4990" s="242"/>
      <c r="CY4990" s="242"/>
      <c r="CZ4990" s="242"/>
      <c r="DA4990" s="67" t="s">
        <v>5443</v>
      </c>
      <c r="DB4990" s="67"/>
      <c r="DC4990" s="67"/>
      <c r="DD4990" s="67"/>
      <c r="DE4990" s="67"/>
      <c r="DF4990" s="67"/>
      <c r="DG4990" s="67"/>
      <c r="DH4990" s="67"/>
      <c r="DI4990" s="67"/>
      <c r="DJ4990" s="67"/>
      <c r="DK4990" s="67"/>
      <c r="DL4990" s="67"/>
      <c r="DM4990" s="67"/>
      <c r="DN4990" s="67"/>
      <c r="DO4990" s="67"/>
      <c r="DP4990" s="67"/>
      <c r="DQ4990" s="166"/>
      <c r="DR4990" s="166"/>
      <c r="DS4990" s="163"/>
      <c r="DT4990" s="163"/>
      <c r="DU4990" s="67"/>
      <c r="DV4990" s="67"/>
      <c r="DW4990" s="67"/>
      <c r="DX4990" s="67"/>
      <c r="DY4990" s="67"/>
      <c r="DZ4990" s="67"/>
      <c r="EA4990" s="67"/>
      <c r="EB4990" s="67"/>
      <c r="EC4990" s="67"/>
      <c r="ED4990" s="67"/>
      <c r="EE4990" s="67"/>
      <c r="EF4990" s="67"/>
      <c r="EG4990" s="67"/>
      <c r="EH4990" s="67"/>
      <c r="EI4990" s="67"/>
      <c r="EJ4990" s="67"/>
      <c r="EK4990" s="94"/>
      <c r="EL4990" s="94"/>
      <c r="EM4990" s="67"/>
      <c r="EN4990" s="67"/>
      <c r="EO4990" s="67"/>
      <c r="EP4990" s="67"/>
      <c r="EQ4990" s="67"/>
      <c r="ER4990" s="67"/>
      <c r="ES4990" s="67"/>
      <c r="ET4990" s="67"/>
      <c r="EU4990" s="67"/>
      <c r="EV4990" s="67"/>
      <c r="EW4990" s="67"/>
      <c r="EX4990" s="67"/>
      <c r="EY4990" s="67"/>
      <c r="EZ4990" s="67"/>
      <c r="FA4990" s="67"/>
      <c r="FB4990" s="67"/>
      <c r="FC4990" s="67"/>
      <c r="FD4990" s="67"/>
      <c r="FE4990" s="67"/>
      <c r="FF4990" s="67"/>
      <c r="FG4990" s="67"/>
      <c r="FH4990" s="67"/>
      <c r="FI4990" s="67"/>
      <c r="FJ4990" s="67"/>
      <c r="FK4990" s="67"/>
      <c r="FL4990" s="67"/>
      <c r="FM4990" s="67"/>
      <c r="FN4990" s="67"/>
      <c r="FO4990" s="67"/>
      <c r="FP4990" s="67"/>
      <c r="FQ4990" s="67"/>
      <c r="FR4990" s="67"/>
      <c r="FS4990" s="67"/>
      <c r="FT4990" s="67"/>
      <c r="FU4990" s="67"/>
      <c r="FV4990" s="67"/>
      <c r="FW4990" s="67"/>
      <c r="FX4990" s="67"/>
      <c r="FY4990" s="67"/>
      <c r="FZ4990" s="67"/>
      <c r="GA4990" s="67"/>
      <c r="GB4990" s="67"/>
      <c r="GC4990" s="67"/>
      <c r="GD4990" s="67"/>
      <c r="GE4990" s="67"/>
      <c r="GF4990" s="67"/>
      <c r="GG4990" s="67"/>
      <c r="GH4990" s="67"/>
      <c r="GI4990" s="67"/>
      <c r="GJ4990" s="67"/>
      <c r="GK4990" s="67"/>
      <c r="GL4990" s="67"/>
      <c r="GM4990" s="67"/>
      <c r="GN4990" s="292"/>
      <c r="GO4990" s="292"/>
      <c r="GP4990" s="292" t="s">
        <v>7494</v>
      </c>
      <c r="GQ4990" s="67"/>
      <c r="GR4990" s="67"/>
      <c r="GS4990" s="67"/>
      <c r="GT4990" s="67"/>
      <c r="GU4990" s="67"/>
      <c r="GV4990" s="67"/>
      <c r="GW4990" s="67"/>
      <c r="GX4990" s="67"/>
      <c r="GY4990" s="67"/>
      <c r="GZ4990" s="67"/>
      <c r="HA4990" s="67"/>
      <c r="HB4990" s="67"/>
      <c r="HC4990" s="67"/>
      <c r="HD4990" s="67"/>
      <c r="HE4990" s="67"/>
      <c r="HF4990" s="67"/>
      <c r="HG4990" s="67"/>
      <c r="HH4990" s="67"/>
      <c r="HI4990" s="67"/>
      <c r="HJ4990" s="67"/>
      <c r="HK4990" s="67"/>
      <c r="HL4990" s="67"/>
      <c r="HM4990" s="67"/>
      <c r="HN4990" s="67"/>
      <c r="HO4990" s="67"/>
      <c r="HP4990" s="67"/>
      <c r="HQ4990" s="67"/>
      <c r="HR4990" s="67"/>
      <c r="HS4990" s="67"/>
      <c r="HT4990" s="67"/>
      <c r="HU4990" s="67"/>
      <c r="HV4990" s="67"/>
      <c r="HW4990" s="67"/>
      <c r="HX4990" s="67"/>
      <c r="HY4990" s="67"/>
      <c r="HZ4990" s="67"/>
      <c r="IA4990" s="67"/>
      <c r="IB4990" s="67"/>
      <c r="IC4990" s="67"/>
      <c r="ID4990" s="67"/>
      <c r="IE4990" s="67"/>
      <c r="IF4990" s="67"/>
      <c r="IG4990" s="67"/>
      <c r="IH4990" s="67"/>
      <c r="II4990" s="67"/>
      <c r="IJ4990" s="67"/>
      <c r="IK4990" s="67"/>
      <c r="IL4990" s="67"/>
      <c r="IM4990" s="67"/>
      <c r="IN4990" s="67"/>
      <c r="IO4990" s="67"/>
      <c r="IP4990" s="67"/>
      <c r="IQ4990" s="67"/>
      <c r="IR4990" s="67"/>
      <c r="IS4990" s="67"/>
      <c r="IT4990" s="67"/>
      <c r="IU4990" s="67"/>
      <c r="IV4990" s="67"/>
      <c r="IW4990" s="67"/>
      <c r="IX4990" s="67"/>
      <c r="IY4990" s="67"/>
      <c r="IZ4990" s="67"/>
      <c r="JA4990" s="67"/>
      <c r="JB4990" s="67"/>
      <c r="JC4990" s="67"/>
      <c r="JD4990" s="67"/>
      <c r="JE4990" s="67"/>
      <c r="JF4990" s="67"/>
      <c r="JG4990" s="67"/>
      <c r="JH4990" s="67"/>
      <c r="JI4990" s="67"/>
      <c r="JJ4990" s="67"/>
      <c r="JK4990" s="67"/>
      <c r="JL4990" s="67"/>
      <c r="JM4990" s="67"/>
      <c r="JN4990" s="67"/>
      <c r="JO4990" s="67"/>
      <c r="JP4990" s="67"/>
      <c r="JQ4990" s="67"/>
      <c r="JR4990" s="67"/>
      <c r="JS4990" s="67"/>
      <c r="JT4990" s="67"/>
      <c r="JU4990" s="58"/>
      <c r="JV4990" s="58"/>
      <c r="JW4990" s="58"/>
    </row>
    <row r="4991" spans="1:283" s="23" customFormat="1" x14ac:dyDescent="0.25">
      <c r="A4991" s="55">
        <v>4990</v>
      </c>
      <c r="B4991" s="12" t="s">
        <v>7067</v>
      </c>
      <c r="C4991" s="156">
        <v>249</v>
      </c>
      <c r="D4991" s="58" t="s">
        <v>4979</v>
      </c>
      <c r="E4991" s="160" t="str">
        <f>G4991</f>
        <v>Marinari et al 2010b_Colle Valle farm scale</v>
      </c>
      <c r="F4991" s="160"/>
      <c r="G4991" s="60" t="s">
        <v>4750</v>
      </c>
      <c r="H4991" s="58">
        <v>2010</v>
      </c>
      <c r="I4991" s="58" t="s">
        <v>5550</v>
      </c>
      <c r="J4991" s="243" t="s">
        <v>5316</v>
      </c>
      <c r="K4991" s="63" t="s">
        <v>5530</v>
      </c>
      <c r="L4991" s="58" t="s">
        <v>2741</v>
      </c>
      <c r="M4991" s="94">
        <v>42.5</v>
      </c>
      <c r="N4991" s="94">
        <f>12+16/60</f>
        <v>12.266666666666667</v>
      </c>
      <c r="O4991" s="94">
        <v>130</v>
      </c>
      <c r="P4991" s="58"/>
      <c r="Q4991" s="244" t="s">
        <v>5544</v>
      </c>
      <c r="R4991" s="58"/>
      <c r="S4991" s="245" t="s">
        <v>5547</v>
      </c>
      <c r="T4991" s="58"/>
      <c r="U4991" s="58" t="s">
        <v>1801</v>
      </c>
      <c r="V4991" s="244">
        <v>12</v>
      </c>
      <c r="W4991" s="174"/>
      <c r="X4991" s="174"/>
      <c r="Y4991" s="58" t="s">
        <v>5551</v>
      </c>
      <c r="Z4991" s="244" t="s">
        <v>1346</v>
      </c>
      <c r="AA4991" s="245">
        <v>20</v>
      </c>
      <c r="AB4991" s="67"/>
      <c r="AC4991" s="67"/>
      <c r="AD4991" s="94"/>
      <c r="AE4991" s="94"/>
      <c r="AF4991" s="94"/>
      <c r="AG4991" s="245">
        <v>23.2</v>
      </c>
      <c r="AH4991" s="58" t="s">
        <v>6378</v>
      </c>
      <c r="AI4991" s="169"/>
      <c r="AJ4991" s="94"/>
      <c r="AK4991" s="94"/>
      <c r="AL4991" s="58"/>
      <c r="AM4991" s="58"/>
      <c r="AN4991" s="186" t="s">
        <v>5535</v>
      </c>
      <c r="AO4991" s="185" t="s">
        <v>5150</v>
      </c>
      <c r="AP4991" s="58"/>
      <c r="AQ4991" s="58" t="s">
        <v>1545</v>
      </c>
      <c r="AR4991" s="58" t="s">
        <v>5536</v>
      </c>
      <c r="AS4991" s="246" t="s">
        <v>4584</v>
      </c>
      <c r="AT4991" s="247" t="s">
        <v>5543</v>
      </c>
      <c r="AU4991" s="181" t="s">
        <v>5150</v>
      </c>
      <c r="AV4991" s="185" t="s">
        <v>479</v>
      </c>
      <c r="AW4991" s="58" t="s">
        <v>5540</v>
      </c>
      <c r="AX4991" s="185" t="s">
        <v>479</v>
      </c>
      <c r="AY4991" s="244" t="s">
        <v>5150</v>
      </c>
      <c r="AZ4991" s="58"/>
      <c r="BA4991" s="58"/>
      <c r="BB4991" s="58"/>
      <c r="BC4991" s="58"/>
      <c r="BD4991" s="58"/>
      <c r="BE4991" s="236" t="s">
        <v>5203</v>
      </c>
      <c r="BF4991" s="191" t="s">
        <v>479</v>
      </c>
      <c r="BG4991" s="191" t="s">
        <v>479</v>
      </c>
      <c r="BH4991" s="236" t="s">
        <v>5269</v>
      </c>
      <c r="BI4991" s="191" t="s">
        <v>479</v>
      </c>
      <c r="BJ4991" s="58" t="str">
        <f>IF(BE4991=BH4991,"No","yes")</f>
        <v>yes</v>
      </c>
      <c r="BK4991" s="58" t="s">
        <v>6335</v>
      </c>
      <c r="BL4991" s="58"/>
      <c r="BM4991" s="237"/>
      <c r="BN4991" s="244">
        <v>6</v>
      </c>
      <c r="BO4991" s="244">
        <v>6</v>
      </c>
      <c r="BP4991" s="58"/>
      <c r="BQ4991" s="58"/>
      <c r="BR4991" s="58"/>
      <c r="BS4991" s="58"/>
      <c r="BT4991" s="58"/>
      <c r="BU4991" s="58"/>
      <c r="BV4991" s="58"/>
      <c r="BW4991" s="67"/>
      <c r="BX4991" s="67"/>
      <c r="BY4991" s="67"/>
      <c r="BZ4991" s="67"/>
      <c r="CA4991" s="67"/>
      <c r="CB4991" s="70"/>
      <c r="CC4991" s="70"/>
      <c r="CD4991" s="70"/>
      <c r="CE4991" s="67"/>
      <c r="CF4991" s="67"/>
      <c r="CG4991" s="67"/>
      <c r="CH4991" s="245"/>
      <c r="CI4991" s="245"/>
      <c r="CJ4991" s="67"/>
      <c r="CK4991" s="67"/>
      <c r="CL4991" s="67"/>
      <c r="CM4991" s="242">
        <v>2.7</v>
      </c>
      <c r="CN4991" s="242">
        <v>2.98</v>
      </c>
      <c r="CO4991" s="242">
        <v>0.19595917942265423</v>
      </c>
      <c r="CP4991" s="242">
        <v>0.31843366656181316</v>
      </c>
      <c r="CQ4991" s="242" t="s">
        <v>5553</v>
      </c>
      <c r="CR4991" s="242"/>
      <c r="CS4991" s="242"/>
      <c r="CT4991" s="242"/>
      <c r="CU4991" s="242"/>
      <c r="CV4991" s="242"/>
      <c r="CW4991" s="242"/>
      <c r="CX4991" s="242"/>
      <c r="CY4991" s="242"/>
      <c r="CZ4991" s="242"/>
      <c r="DA4991" s="67"/>
      <c r="DB4991" s="67">
        <v>1500</v>
      </c>
      <c r="DC4991" s="67">
        <v>1800</v>
      </c>
      <c r="DD4991" s="67">
        <f>100*SQRT(6)</f>
        <v>244.94897427831779</v>
      </c>
      <c r="DE4991" s="67">
        <f>100*SQRT(6)</f>
        <v>244.94897427831779</v>
      </c>
      <c r="DF4991" s="242" t="s">
        <v>5554</v>
      </c>
      <c r="DG4991" s="67"/>
      <c r="DH4991" s="67"/>
      <c r="DI4991" s="67"/>
      <c r="DJ4991" s="67"/>
      <c r="DK4991" s="67"/>
      <c r="DL4991" s="67"/>
      <c r="DM4991" s="67"/>
      <c r="DN4991" s="67"/>
      <c r="DO4991" s="67"/>
      <c r="DP4991" s="67"/>
      <c r="DQ4991" s="166">
        <v>7.4</v>
      </c>
      <c r="DR4991" s="166">
        <v>7.3</v>
      </c>
      <c r="DS4991" s="163">
        <f>0.1*SQRT(6)</f>
        <v>0.2449489742783178</v>
      </c>
      <c r="DT4991" s="163">
        <f>0.1*SQRT(6)</f>
        <v>0.2449489742783178</v>
      </c>
      <c r="DU4991" s="67"/>
      <c r="DV4991" s="67"/>
      <c r="DW4991" s="67"/>
      <c r="DX4991" s="67"/>
      <c r="DY4991" s="67"/>
      <c r="DZ4991" s="67"/>
      <c r="EA4991" s="67"/>
      <c r="EB4991" s="67"/>
      <c r="EC4991" s="67"/>
      <c r="ED4991" s="67"/>
      <c r="EE4991" s="67"/>
      <c r="EF4991" s="67"/>
      <c r="EG4991" s="67"/>
      <c r="EH4991" s="67"/>
      <c r="EI4991" s="67"/>
      <c r="EJ4991" s="67"/>
      <c r="EK4991" s="94"/>
      <c r="EL4991" s="94"/>
      <c r="EM4991" s="67"/>
      <c r="EN4991" s="67"/>
      <c r="EO4991" s="67"/>
      <c r="EP4991" s="67"/>
      <c r="EQ4991" s="67"/>
      <c r="ER4991" s="67"/>
      <c r="ES4991" s="67"/>
      <c r="ET4991" s="67"/>
      <c r="EU4991" s="67"/>
      <c r="EV4991" s="67"/>
      <c r="EW4991" s="67"/>
      <c r="EX4991" s="67"/>
      <c r="EY4991" s="67"/>
      <c r="EZ4991" s="67"/>
      <c r="FA4991" s="67"/>
      <c r="FB4991" s="67"/>
      <c r="FC4991" s="67"/>
      <c r="FD4991" s="67"/>
      <c r="FE4991" s="67"/>
      <c r="FF4991" s="67"/>
      <c r="FG4991" s="67"/>
      <c r="FH4991" s="67"/>
      <c r="FI4991" s="67"/>
      <c r="FJ4991" s="67"/>
      <c r="FK4991" s="67"/>
      <c r="FL4991" s="67"/>
      <c r="FM4991" s="67"/>
      <c r="FN4991" s="67"/>
      <c r="FO4991" s="67"/>
      <c r="FP4991" s="67"/>
      <c r="FQ4991" s="67"/>
      <c r="FR4991" s="67"/>
      <c r="FS4991" s="67"/>
      <c r="FT4991" s="67"/>
      <c r="FU4991" s="67"/>
      <c r="FV4991" s="67"/>
      <c r="FW4991" s="67"/>
      <c r="FX4991" s="67"/>
      <c r="FY4991" s="67"/>
      <c r="FZ4991" s="67"/>
      <c r="GA4991" s="67"/>
      <c r="GB4991" s="67"/>
      <c r="GC4991" s="67"/>
      <c r="GD4991" s="67"/>
      <c r="GE4991" s="67"/>
      <c r="GF4991" s="67"/>
      <c r="GG4991" s="67"/>
      <c r="GH4991" s="67"/>
      <c r="GI4991" s="67"/>
      <c r="GJ4991" s="67"/>
      <c r="GK4991" s="67"/>
      <c r="GL4991" s="67"/>
      <c r="GM4991" s="67"/>
      <c r="GN4991" s="292"/>
      <c r="GO4991" s="292"/>
      <c r="GP4991" s="292" t="s">
        <v>7494</v>
      </c>
      <c r="GQ4991" s="67"/>
      <c r="GR4991" s="67"/>
      <c r="GS4991" s="67"/>
      <c r="GT4991" s="67"/>
      <c r="GU4991" s="67"/>
      <c r="GV4991" s="67"/>
      <c r="GW4991" s="67"/>
      <c r="GX4991" s="67"/>
      <c r="GY4991" s="67"/>
      <c r="GZ4991" s="67"/>
      <c r="HA4991" s="67"/>
      <c r="HB4991" s="67"/>
      <c r="HC4991" s="67"/>
      <c r="HD4991" s="67"/>
      <c r="HE4991" s="67"/>
      <c r="HF4991" s="67"/>
      <c r="HG4991" s="67"/>
      <c r="HH4991" s="67"/>
      <c r="HI4991" s="67"/>
      <c r="HJ4991" s="67"/>
      <c r="HK4991" s="67"/>
      <c r="HL4991" s="67"/>
      <c r="HM4991" s="67"/>
      <c r="HN4991" s="67"/>
      <c r="HO4991" s="67"/>
      <c r="HP4991" s="67"/>
      <c r="HQ4991" s="67"/>
      <c r="HR4991" s="67"/>
      <c r="HS4991" s="67"/>
      <c r="HT4991" s="67"/>
      <c r="HU4991" s="67"/>
      <c r="HV4991" s="67"/>
      <c r="HW4991" s="67"/>
      <c r="HX4991" s="67"/>
      <c r="HY4991" s="67"/>
      <c r="HZ4991" s="67"/>
      <c r="IA4991" s="67"/>
      <c r="IB4991" s="67"/>
      <c r="IC4991" s="67"/>
      <c r="ID4991" s="67"/>
      <c r="IE4991" s="67"/>
      <c r="IF4991" s="67"/>
      <c r="IG4991" s="67"/>
      <c r="IH4991" s="67"/>
      <c r="II4991" s="67"/>
      <c r="IJ4991" s="67"/>
      <c r="IK4991" s="67"/>
      <c r="IL4991" s="67"/>
      <c r="IM4991" s="67"/>
      <c r="IN4991" s="67"/>
      <c r="IO4991" s="67"/>
      <c r="IP4991" s="67"/>
      <c r="IQ4991" s="67"/>
      <c r="IR4991" s="67">
        <v>1.2</v>
      </c>
      <c r="IS4991" s="67">
        <v>1.73</v>
      </c>
      <c r="IT4991" s="67">
        <f>0.08*SQRT(6)</f>
        <v>0.19595917942265423</v>
      </c>
      <c r="IU4991" s="67">
        <f>0.08*SQRT(6)</f>
        <v>0.19595917942265423</v>
      </c>
      <c r="IV4991" s="67" t="s">
        <v>5555</v>
      </c>
      <c r="IW4991" s="67">
        <v>0.56000000000000005</v>
      </c>
      <c r="IX4991" s="67">
        <v>0.8</v>
      </c>
      <c r="IY4991" s="67">
        <f>0.03*SQRT(6)</f>
        <v>7.3484692283495329E-2</v>
      </c>
      <c r="IZ4991" s="67">
        <f>0.03*SQRT(6)</f>
        <v>7.3484692283495329E-2</v>
      </c>
      <c r="JA4991" s="67" t="s">
        <v>5556</v>
      </c>
      <c r="JB4991" s="67"/>
      <c r="JC4991" s="67"/>
      <c r="JD4991" s="67"/>
      <c r="JE4991" s="67"/>
      <c r="JF4991" s="67"/>
      <c r="JG4991" s="67"/>
      <c r="JH4991" s="67"/>
      <c r="JI4991" s="67"/>
      <c r="JJ4991" s="67"/>
      <c r="JK4991" s="67"/>
      <c r="JL4991" s="67"/>
      <c r="JM4991" s="67"/>
      <c r="JN4991" s="67"/>
      <c r="JO4991" s="67"/>
      <c r="JP4991" s="67"/>
      <c r="JQ4991" s="67"/>
      <c r="JR4991" s="67"/>
      <c r="JS4991" s="67"/>
      <c r="JT4991" s="67"/>
      <c r="JU4991" s="58"/>
      <c r="JV4991" s="58"/>
      <c r="JW4991" s="58"/>
    </row>
    <row r="4992" spans="1:283" s="23" customFormat="1" x14ac:dyDescent="0.25">
      <c r="A4992" s="55">
        <v>4991</v>
      </c>
      <c r="B4992" s="12" t="s">
        <v>7067</v>
      </c>
      <c r="C4992" s="156">
        <v>250</v>
      </c>
      <c r="D4992" s="58" t="s">
        <v>4978</v>
      </c>
      <c r="E4992" s="160" t="str">
        <f>G4992</f>
        <v>Marinari et al. 2010a_Colle Valle plot scale</v>
      </c>
      <c r="F4992" s="160"/>
      <c r="G4992" s="60" t="s">
        <v>4749</v>
      </c>
      <c r="H4992" s="58">
        <v>2010</v>
      </c>
      <c r="I4992" s="58" t="s">
        <v>5564</v>
      </c>
      <c r="J4992" s="243" t="s">
        <v>5316</v>
      </c>
      <c r="K4992" s="63" t="s">
        <v>5095</v>
      </c>
      <c r="L4992" s="58" t="s">
        <v>2741</v>
      </c>
      <c r="M4992" s="94">
        <f>42+26/60</f>
        <v>42.43333333333333</v>
      </c>
      <c r="N4992" s="94">
        <f>12+4/60</f>
        <v>12.066666666666666</v>
      </c>
      <c r="O4992" s="94">
        <v>310</v>
      </c>
      <c r="P4992" s="58"/>
      <c r="Q4992" s="244"/>
      <c r="R4992" s="58"/>
      <c r="S4992" s="245"/>
      <c r="T4992" s="58"/>
      <c r="U4992" s="58" t="s">
        <v>1688</v>
      </c>
      <c r="V4992" s="244" t="s">
        <v>1801</v>
      </c>
      <c r="W4992" s="174"/>
      <c r="X4992" s="174"/>
      <c r="Y4992" s="58" t="s">
        <v>5560</v>
      </c>
      <c r="Z4992" s="244" t="s">
        <v>1346</v>
      </c>
      <c r="AA4992" s="245">
        <v>20</v>
      </c>
      <c r="AB4992" s="67"/>
      <c r="AC4992" s="67"/>
      <c r="AD4992" s="94"/>
      <c r="AE4992" s="94"/>
      <c r="AF4992" s="94"/>
      <c r="AG4992" s="245">
        <v>34</v>
      </c>
      <c r="AH4992" s="94" t="s">
        <v>645</v>
      </c>
      <c r="AI4992" s="169" t="s">
        <v>5561</v>
      </c>
      <c r="AJ4992" s="94">
        <v>0.85</v>
      </c>
      <c r="AL4992" s="58"/>
      <c r="AM4992" s="58" t="s">
        <v>5558</v>
      </c>
      <c r="AN4992" s="186" t="s">
        <v>5562</v>
      </c>
      <c r="AO4992" s="185" t="s">
        <v>5150</v>
      </c>
      <c r="AP4992" s="58"/>
      <c r="AQ4992" s="58" t="s">
        <v>553</v>
      </c>
      <c r="AR4992" s="58" t="s">
        <v>5563</v>
      </c>
      <c r="AS4992" s="246" t="s">
        <v>4584</v>
      </c>
      <c r="AT4992" s="247" t="s">
        <v>5559</v>
      </c>
      <c r="AU4992" s="181" t="s">
        <v>5150</v>
      </c>
      <c r="AV4992" s="185" t="s">
        <v>479</v>
      </c>
      <c r="AW4992" s="244">
        <v>1</v>
      </c>
      <c r="AX4992" s="185" t="s">
        <v>176</v>
      </c>
      <c r="AY4992" s="244" t="s">
        <v>5150</v>
      </c>
      <c r="AZ4992" s="58"/>
      <c r="BA4992" s="58"/>
      <c r="BB4992" s="58"/>
      <c r="BC4992" s="58"/>
      <c r="BD4992" s="58"/>
      <c r="BE4992" s="236" t="s">
        <v>5204</v>
      </c>
      <c r="BF4992" s="191" t="s">
        <v>479</v>
      </c>
      <c r="BG4992" s="191" t="s">
        <v>479</v>
      </c>
      <c r="BH4992" s="236" t="s">
        <v>5270</v>
      </c>
      <c r="BI4992" s="191" t="s">
        <v>479</v>
      </c>
      <c r="BJ4992" s="58" t="str">
        <f>IF(BE4992=BH4992,"No","yes")</f>
        <v>yes</v>
      </c>
      <c r="BK4992" s="58" t="s">
        <v>6335</v>
      </c>
      <c r="BL4992" s="58"/>
      <c r="BM4992" s="237"/>
      <c r="BN4992" s="244">
        <v>9</v>
      </c>
      <c r="BO4992" s="244">
        <v>9</v>
      </c>
      <c r="BP4992" s="58"/>
      <c r="BQ4992" s="58" t="s">
        <v>141</v>
      </c>
      <c r="BR4992" s="58"/>
      <c r="BS4992" s="58"/>
      <c r="BT4992" s="58"/>
      <c r="BU4992" s="58"/>
      <c r="BV4992" s="58"/>
      <c r="BW4992" s="67"/>
      <c r="BX4992" s="67"/>
      <c r="BY4992" s="67"/>
      <c r="BZ4992" s="67"/>
      <c r="CA4992" s="67"/>
      <c r="CB4992" s="70"/>
      <c r="CC4992" s="70"/>
      <c r="CD4992" s="70"/>
      <c r="CE4992" s="67"/>
      <c r="CF4992" s="67"/>
      <c r="CG4992" s="67"/>
      <c r="CH4992" s="245"/>
      <c r="CI4992" s="245"/>
      <c r="CJ4992" s="67"/>
      <c r="CK4992" s="67"/>
      <c r="CL4992" s="67"/>
      <c r="CM4992" s="242">
        <v>1.17</v>
      </c>
      <c r="CN4992" s="242">
        <v>1.21</v>
      </c>
      <c r="CO4992" s="242">
        <f>0.04*SQRT(9)</f>
        <v>0.12</v>
      </c>
      <c r="CP4992" s="242">
        <f>0.04*SQRT(9)</f>
        <v>0.12</v>
      </c>
      <c r="CQ4992" s="242" t="s">
        <v>164</v>
      </c>
      <c r="CR4992" s="242"/>
      <c r="CS4992" s="242"/>
      <c r="CT4992" s="242"/>
      <c r="CU4992" s="242"/>
      <c r="CV4992" s="242"/>
      <c r="CW4992" s="242"/>
      <c r="CX4992" s="242"/>
      <c r="CY4992" s="242"/>
      <c r="CZ4992" s="242"/>
      <c r="DA4992" s="67"/>
      <c r="DB4992" s="67">
        <v>0.13</v>
      </c>
      <c r="DC4992" s="67">
        <v>0.13</v>
      </c>
      <c r="DD4992" s="67">
        <v>0.03</v>
      </c>
      <c r="DE4992" s="67">
        <v>0.03</v>
      </c>
      <c r="DF4992" s="67" t="s">
        <v>5565</v>
      </c>
      <c r="DG4992" s="67"/>
      <c r="DH4992" s="67"/>
      <c r="DI4992" s="67"/>
      <c r="DJ4992" s="67"/>
      <c r="DK4992" s="67"/>
      <c r="DL4992" s="67"/>
      <c r="DM4992" s="67"/>
      <c r="DN4992" s="67"/>
      <c r="DO4992" s="67"/>
      <c r="DP4992" s="67"/>
      <c r="DQ4992" s="166"/>
      <c r="DR4992" s="166"/>
      <c r="DS4992" s="163"/>
      <c r="DT4992" s="163"/>
      <c r="DU4992" s="67"/>
      <c r="DV4992" s="67"/>
      <c r="DW4992" s="67"/>
      <c r="DX4992" s="67"/>
      <c r="DY4992" s="67"/>
      <c r="DZ4992" s="67"/>
      <c r="EA4992" s="67"/>
      <c r="EB4992" s="67"/>
      <c r="EC4992" s="67"/>
      <c r="ED4992" s="67"/>
      <c r="EE4992" s="67"/>
      <c r="EF4992" s="67"/>
      <c r="EG4992" s="67"/>
      <c r="EH4992" s="67"/>
      <c r="EI4992" s="67"/>
      <c r="EJ4992" s="67"/>
      <c r="EK4992" s="94"/>
      <c r="EL4992" s="94"/>
      <c r="EM4992" s="67"/>
      <c r="EN4992" s="67"/>
      <c r="EO4992" s="67"/>
      <c r="EP4992" s="67"/>
      <c r="EQ4992" s="67"/>
      <c r="ER4992" s="67"/>
      <c r="ES4992" s="67"/>
      <c r="ET4992" s="67"/>
      <c r="EU4992" s="67"/>
      <c r="EV4992" s="67"/>
      <c r="EW4992" s="67"/>
      <c r="EX4992" s="67"/>
      <c r="EY4992" s="67"/>
      <c r="EZ4992" s="67"/>
      <c r="FA4992" s="67"/>
      <c r="FB4992" s="67"/>
      <c r="FC4992" s="67"/>
      <c r="FD4992" s="67"/>
      <c r="FE4992" s="67"/>
      <c r="FF4992" s="67"/>
      <c r="FG4992" s="67"/>
      <c r="FH4992" s="67"/>
      <c r="FI4992" s="67"/>
      <c r="FJ4992" s="67"/>
      <c r="FK4992" s="67"/>
      <c r="FL4992" s="67"/>
      <c r="FM4992" s="67"/>
      <c r="FN4992" s="67"/>
      <c r="FO4992" s="67"/>
      <c r="FP4992" s="67"/>
      <c r="FQ4992" s="67"/>
      <c r="FR4992" s="67"/>
      <c r="FS4992" s="67"/>
      <c r="FT4992" s="67"/>
      <c r="FU4992" s="67"/>
      <c r="FV4992" s="67"/>
      <c r="FW4992" s="67"/>
      <c r="FX4992" s="67"/>
      <c r="FY4992" s="67"/>
      <c r="FZ4992" s="67"/>
      <c r="GA4992" s="67"/>
      <c r="GB4992" s="67"/>
      <c r="GC4992" s="67"/>
      <c r="GD4992" s="67"/>
      <c r="GE4992" s="67"/>
      <c r="GF4992" s="67"/>
      <c r="GG4992" s="67"/>
      <c r="GH4992" s="67"/>
      <c r="GI4992" s="67"/>
      <c r="GJ4992" s="67"/>
      <c r="GK4992" s="67"/>
      <c r="GL4992" s="67"/>
      <c r="GM4992" s="67"/>
      <c r="GN4992" s="292"/>
      <c r="GO4992" s="292"/>
      <c r="GP4992" s="292" t="s">
        <v>7494</v>
      </c>
      <c r="GQ4992" s="67"/>
      <c r="GR4992" s="67"/>
      <c r="GS4992" s="67"/>
      <c r="GT4992" s="67"/>
      <c r="GU4992" s="67"/>
      <c r="GV4992" s="67"/>
      <c r="GW4992" s="67"/>
      <c r="GX4992" s="67"/>
      <c r="GY4992" s="67"/>
      <c r="GZ4992" s="67"/>
      <c r="HA4992" s="67"/>
      <c r="HB4992" s="67"/>
      <c r="HC4992" s="67"/>
      <c r="HD4992" s="67"/>
      <c r="HE4992" s="67"/>
      <c r="HF4992" s="67"/>
      <c r="HG4992" s="67"/>
      <c r="HH4992" s="67"/>
      <c r="HI4992" s="67"/>
      <c r="HJ4992" s="67"/>
      <c r="HK4992" s="67"/>
      <c r="HL4992" s="67"/>
      <c r="HM4992" s="67"/>
      <c r="HN4992" s="67"/>
      <c r="HO4992" s="67"/>
      <c r="HP4992" s="67"/>
      <c r="HQ4992" s="67"/>
      <c r="HR4992" s="67"/>
      <c r="HS4992" s="67"/>
      <c r="HT4992" s="67"/>
      <c r="HU4992" s="67"/>
      <c r="HV4992" s="67"/>
      <c r="HW4992" s="67"/>
      <c r="HX4992" s="67">
        <v>247</v>
      </c>
      <c r="HY4992" s="67">
        <v>243</v>
      </c>
      <c r="HZ4992" s="67">
        <f>26*3</f>
        <v>78</v>
      </c>
      <c r="IA4992" s="67">
        <f>17*3</f>
        <v>51</v>
      </c>
      <c r="IB4992" s="67" t="s">
        <v>5568</v>
      </c>
      <c r="IC4992" s="67">
        <v>96</v>
      </c>
      <c r="ID4992" s="67">
        <v>106</v>
      </c>
      <c r="IE4992" s="67">
        <f>15</f>
        <v>15</v>
      </c>
      <c r="IF4992" s="67">
        <f>15.6</f>
        <v>15.6</v>
      </c>
      <c r="IG4992" s="67" t="s">
        <v>5567</v>
      </c>
      <c r="IH4992" s="67"/>
      <c r="II4992" s="67"/>
      <c r="IJ4992" s="67"/>
      <c r="IK4992" s="67"/>
      <c r="IL4992" s="67"/>
      <c r="IM4992" s="67"/>
      <c r="IN4992" s="67"/>
      <c r="IO4992" s="67"/>
      <c r="IP4992" s="67"/>
      <c r="IQ4992" s="67"/>
      <c r="IR4992" s="67"/>
      <c r="IS4992" s="67"/>
      <c r="IT4992" s="67"/>
      <c r="IU4992" s="67"/>
      <c r="IV4992" s="67"/>
      <c r="IW4992" s="67">
        <v>0.4</v>
      </c>
      <c r="IX4992" s="67">
        <v>0.4</v>
      </c>
      <c r="IY4992" s="67">
        <v>0.15</v>
      </c>
      <c r="IZ4992" s="67">
        <v>0.09</v>
      </c>
      <c r="JA4992" s="67" t="s">
        <v>5556</v>
      </c>
      <c r="JB4992" s="67"/>
      <c r="JC4992" s="67"/>
      <c r="JD4992" s="67"/>
      <c r="JE4992" s="67"/>
      <c r="JF4992" s="67"/>
      <c r="JG4992" s="67">
        <v>170</v>
      </c>
      <c r="JH4992" s="67">
        <v>229</v>
      </c>
      <c r="JI4992" s="67">
        <f>21*3</f>
        <v>63</v>
      </c>
      <c r="JJ4992" s="67">
        <f>28*3</f>
        <v>84</v>
      </c>
      <c r="JK4992" s="67" t="s">
        <v>3072</v>
      </c>
      <c r="JL4992" s="67">
        <v>28.8</v>
      </c>
      <c r="JM4992" s="67">
        <v>28</v>
      </c>
      <c r="JN4992" s="67">
        <f>4.2*3</f>
        <v>12.600000000000001</v>
      </c>
      <c r="JO4992" s="67">
        <f>4.1*3</f>
        <v>12.299999999999999</v>
      </c>
      <c r="JP4992" s="67" t="s">
        <v>5566</v>
      </c>
      <c r="JQ4992" s="67"/>
      <c r="JR4992" s="67"/>
      <c r="JS4992" s="67"/>
      <c r="JT4992" s="67"/>
      <c r="JU4992" s="58"/>
      <c r="JV4992" s="58"/>
      <c r="JW4992" s="58"/>
    </row>
    <row r="4993" spans="1:283" s="23" customFormat="1" x14ac:dyDescent="0.25">
      <c r="A4993" s="55">
        <v>4992</v>
      </c>
      <c r="B4993" s="12" t="s">
        <v>7067</v>
      </c>
      <c r="C4993" s="156">
        <v>250</v>
      </c>
      <c r="D4993" s="58" t="s">
        <v>4978</v>
      </c>
      <c r="E4993" s="160" t="str">
        <f>G4993</f>
        <v>Marinari et al. 2010a_Colle Valle plot scale</v>
      </c>
      <c r="F4993" s="160"/>
      <c r="G4993" s="60" t="s">
        <v>4749</v>
      </c>
      <c r="H4993" s="58">
        <v>2010</v>
      </c>
      <c r="I4993" s="58" t="s">
        <v>5490</v>
      </c>
      <c r="J4993" s="243" t="s">
        <v>5316</v>
      </c>
      <c r="K4993" s="63" t="s">
        <v>5095</v>
      </c>
      <c r="L4993" s="58" t="s">
        <v>2741</v>
      </c>
      <c r="M4993" s="94">
        <f>42+26/60</f>
        <v>42.43333333333333</v>
      </c>
      <c r="N4993" s="94">
        <f>12+4/60</f>
        <v>12.066666666666666</v>
      </c>
      <c r="O4993" s="94">
        <v>310</v>
      </c>
      <c r="P4993" s="58"/>
      <c r="Q4993" s="244"/>
      <c r="R4993" s="58"/>
      <c r="S4993" s="245"/>
      <c r="T4993" s="58"/>
      <c r="U4993" s="58" t="s">
        <v>1816</v>
      </c>
      <c r="V4993" s="244">
        <v>8</v>
      </c>
      <c r="W4993" s="174"/>
      <c r="X4993" s="174"/>
      <c r="Y4993" s="58" t="s">
        <v>5560</v>
      </c>
      <c r="Z4993" s="244" t="s">
        <v>1346</v>
      </c>
      <c r="AA4993" s="245">
        <v>20</v>
      </c>
      <c r="AB4993" s="67"/>
      <c r="AC4993" s="67"/>
      <c r="AD4993" s="94"/>
      <c r="AE4993" s="94"/>
      <c r="AF4993" s="94"/>
      <c r="AG4993" s="245">
        <v>34</v>
      </c>
      <c r="AH4993" s="94" t="s">
        <v>645</v>
      </c>
      <c r="AI4993" s="169" t="s">
        <v>5561</v>
      </c>
      <c r="AJ4993" s="94">
        <v>0.85</v>
      </c>
      <c r="AL4993" s="58"/>
      <c r="AM4993" s="58" t="s">
        <v>5558</v>
      </c>
      <c r="AN4993" s="186" t="s">
        <v>5562</v>
      </c>
      <c r="AO4993" s="185" t="s">
        <v>5150</v>
      </c>
      <c r="AP4993" s="58"/>
      <c r="AQ4993" s="58" t="s">
        <v>553</v>
      </c>
      <c r="AR4993" s="58" t="s">
        <v>5563</v>
      </c>
      <c r="AS4993" s="246" t="s">
        <v>4584</v>
      </c>
      <c r="AT4993" s="247" t="s">
        <v>5559</v>
      </c>
      <c r="AU4993" s="181" t="s">
        <v>5150</v>
      </c>
      <c r="AV4993" s="185" t="s">
        <v>479</v>
      </c>
      <c r="AW4993" s="244">
        <v>1</v>
      </c>
      <c r="AX4993" s="185" t="s">
        <v>176</v>
      </c>
      <c r="AY4993" s="244" t="s">
        <v>5150</v>
      </c>
      <c r="AZ4993" s="58"/>
      <c r="BA4993" s="58"/>
      <c r="BB4993" s="58"/>
      <c r="BC4993" s="58"/>
      <c r="BD4993" s="58"/>
      <c r="BE4993" s="236" t="s">
        <v>5204</v>
      </c>
      <c r="BF4993" s="191" t="s">
        <v>479</v>
      </c>
      <c r="BG4993" s="191" t="s">
        <v>479</v>
      </c>
      <c r="BH4993" s="236" t="s">
        <v>5270</v>
      </c>
      <c r="BI4993" s="191" t="s">
        <v>479</v>
      </c>
      <c r="BJ4993" s="58" t="str">
        <f>IF(BE4993=BH4993,"No","yes")</f>
        <v>yes</v>
      </c>
      <c r="BK4993" s="58" t="s">
        <v>6335</v>
      </c>
      <c r="BL4993" s="58"/>
      <c r="BM4993" s="237"/>
      <c r="BN4993" s="244">
        <v>9</v>
      </c>
      <c r="BO4993" s="244">
        <v>9</v>
      </c>
      <c r="BP4993" s="58"/>
      <c r="BQ4993" s="58" t="s">
        <v>141</v>
      </c>
      <c r="BR4993" s="58"/>
      <c r="BS4993" s="58"/>
      <c r="BT4993" s="58"/>
      <c r="BU4993" s="58"/>
      <c r="BV4993" s="58"/>
      <c r="BW4993" s="67"/>
      <c r="BX4993" s="67"/>
      <c r="BY4993" s="67"/>
      <c r="BZ4993" s="67"/>
      <c r="CA4993" s="67"/>
      <c r="CB4993" s="70"/>
      <c r="CC4993" s="70"/>
      <c r="CD4993" s="70"/>
      <c r="CE4993" s="67"/>
      <c r="CF4993" s="67"/>
      <c r="CG4993" s="67"/>
      <c r="CH4993" s="245"/>
      <c r="CI4993" s="245"/>
      <c r="CJ4993" s="67"/>
      <c r="CK4993" s="67"/>
      <c r="CL4993" s="67"/>
      <c r="CM4993" s="242">
        <v>1.0900000000000001</v>
      </c>
      <c r="CN4993" s="242">
        <v>1.28</v>
      </c>
      <c r="CO4993" s="242">
        <f>0.05*SQRT(9)</f>
        <v>0.15000000000000002</v>
      </c>
      <c r="CP4993" s="242">
        <v>0.09</v>
      </c>
      <c r="CQ4993" s="242" t="s">
        <v>164</v>
      </c>
      <c r="CR4993" s="242"/>
      <c r="CS4993" s="242"/>
      <c r="CT4993" s="242"/>
      <c r="CU4993" s="242"/>
      <c r="CV4993" s="242"/>
      <c r="CW4993" s="242"/>
      <c r="CX4993" s="242"/>
      <c r="CY4993" s="242"/>
      <c r="CZ4993" s="242"/>
      <c r="DA4993" s="67"/>
      <c r="DB4993" s="67">
        <v>0.12</v>
      </c>
      <c r="DC4993" s="67">
        <v>0.15</v>
      </c>
      <c r="DD4993" s="67">
        <v>0.03</v>
      </c>
      <c r="DE4993" s="67">
        <v>0.06</v>
      </c>
      <c r="DF4993" s="67" t="s">
        <v>5565</v>
      </c>
      <c r="DG4993" s="67"/>
      <c r="DH4993" s="67"/>
      <c r="DI4993" s="67"/>
      <c r="DJ4993" s="67"/>
      <c r="DK4993" s="67"/>
      <c r="DL4993" s="67"/>
      <c r="DM4993" s="67"/>
      <c r="DN4993" s="67"/>
      <c r="DO4993" s="67"/>
      <c r="DP4993" s="67"/>
      <c r="DQ4993" s="166"/>
      <c r="DR4993" s="166"/>
      <c r="DS4993" s="163"/>
      <c r="DT4993" s="163"/>
      <c r="DU4993" s="67"/>
      <c r="DV4993" s="67"/>
      <c r="DW4993" s="67"/>
      <c r="DX4993" s="67"/>
      <c r="DY4993" s="67"/>
      <c r="DZ4993" s="67"/>
      <c r="EA4993" s="67"/>
      <c r="EB4993" s="67"/>
      <c r="EC4993" s="67"/>
      <c r="ED4993" s="67"/>
      <c r="EE4993" s="67"/>
      <c r="EF4993" s="67"/>
      <c r="EG4993" s="67"/>
      <c r="EH4993" s="67"/>
      <c r="EI4993" s="67"/>
      <c r="EJ4993" s="67"/>
      <c r="EK4993" s="94"/>
      <c r="EL4993" s="94"/>
      <c r="EM4993" s="67"/>
      <c r="EN4993" s="67"/>
      <c r="EO4993" s="67"/>
      <c r="EP4993" s="67"/>
      <c r="EQ4993" s="67"/>
      <c r="ER4993" s="67"/>
      <c r="ES4993" s="67"/>
      <c r="ET4993" s="67"/>
      <c r="EU4993" s="67"/>
      <c r="EV4993" s="67"/>
      <c r="EW4993" s="67"/>
      <c r="EX4993" s="67"/>
      <c r="EY4993" s="67"/>
      <c r="EZ4993" s="67"/>
      <c r="FA4993" s="67"/>
      <c r="FB4993" s="67"/>
      <c r="FC4993" s="67"/>
      <c r="FD4993" s="67"/>
      <c r="FE4993" s="67"/>
      <c r="FF4993" s="67"/>
      <c r="FG4993" s="67"/>
      <c r="FH4993" s="67"/>
      <c r="FI4993" s="67"/>
      <c r="FJ4993" s="67"/>
      <c r="FK4993" s="67"/>
      <c r="FL4993" s="67"/>
      <c r="FM4993" s="67"/>
      <c r="FN4993" s="67"/>
      <c r="FO4993" s="67"/>
      <c r="FP4993" s="67"/>
      <c r="FQ4993" s="67"/>
      <c r="FR4993" s="67"/>
      <c r="FS4993" s="67"/>
      <c r="FT4993" s="67"/>
      <c r="FU4993" s="67"/>
      <c r="FV4993" s="67"/>
      <c r="FW4993" s="67"/>
      <c r="FX4993" s="67"/>
      <c r="FY4993" s="67"/>
      <c r="FZ4993" s="67"/>
      <c r="GA4993" s="67"/>
      <c r="GB4993" s="67"/>
      <c r="GC4993" s="67"/>
      <c r="GD4993" s="67"/>
      <c r="GE4993" s="67"/>
      <c r="GF4993" s="67"/>
      <c r="GG4993" s="67"/>
      <c r="GH4993" s="67"/>
      <c r="GI4993" s="67"/>
      <c r="GJ4993" s="67"/>
      <c r="GK4993" s="67"/>
      <c r="GL4993" s="67"/>
      <c r="GM4993" s="67"/>
      <c r="GN4993" s="292"/>
      <c r="GO4993" s="292"/>
      <c r="GP4993" s="292" t="s">
        <v>7494</v>
      </c>
      <c r="GQ4993" s="67"/>
      <c r="GR4993" s="67"/>
      <c r="GS4993" s="67"/>
      <c r="GT4993" s="67"/>
      <c r="GU4993" s="67"/>
      <c r="GV4993" s="67"/>
      <c r="GW4993" s="67"/>
      <c r="GX4993" s="67"/>
      <c r="GY4993" s="67"/>
      <c r="GZ4993" s="67"/>
      <c r="HA4993" s="67"/>
      <c r="HB4993" s="67"/>
      <c r="HC4993" s="67"/>
      <c r="HD4993" s="67"/>
      <c r="HE4993" s="67"/>
      <c r="HF4993" s="67"/>
      <c r="HG4993" s="67"/>
      <c r="HH4993" s="67"/>
      <c r="HI4993" s="67"/>
      <c r="HJ4993" s="67"/>
      <c r="HK4993" s="67"/>
      <c r="HL4993" s="67"/>
      <c r="HM4993" s="67"/>
      <c r="HN4993" s="67"/>
      <c r="HO4993" s="67"/>
      <c r="HP4993" s="67"/>
      <c r="HQ4993" s="67"/>
      <c r="HR4993" s="67"/>
      <c r="HS4993" s="67"/>
      <c r="HT4993" s="67"/>
      <c r="HU4993" s="67"/>
      <c r="HV4993" s="67"/>
      <c r="HW4993" s="67"/>
      <c r="HX4993" s="67">
        <v>206</v>
      </c>
      <c r="HY4993" s="67">
        <v>279</v>
      </c>
      <c r="HZ4993" s="67">
        <f>31*3</f>
        <v>93</v>
      </c>
      <c r="IA4993" s="67">
        <f>18*3</f>
        <v>54</v>
      </c>
      <c r="IB4993" s="67" t="s">
        <v>5568</v>
      </c>
      <c r="IC4993" s="67">
        <v>81</v>
      </c>
      <c r="ID4993" s="67">
        <v>96</v>
      </c>
      <c r="IE4993" s="67">
        <f>2.6*3</f>
        <v>7.8000000000000007</v>
      </c>
      <c r="IF4993" s="67">
        <f>5.9*3</f>
        <v>17.700000000000003</v>
      </c>
      <c r="IG4993" s="67" t="s">
        <v>5567</v>
      </c>
      <c r="IH4993" s="67"/>
      <c r="II4993" s="67"/>
      <c r="IJ4993" s="67"/>
      <c r="IK4993" s="67"/>
      <c r="IL4993" s="67"/>
      <c r="IM4993" s="67"/>
      <c r="IN4993" s="67"/>
      <c r="IO4993" s="67"/>
      <c r="IP4993" s="67"/>
      <c r="IQ4993" s="67"/>
      <c r="IR4993" s="67"/>
      <c r="IS4993" s="67"/>
      <c r="IT4993" s="67"/>
      <c r="IU4993" s="67"/>
      <c r="IV4993" s="67"/>
      <c r="IW4993" s="67">
        <v>0.31</v>
      </c>
      <c r="IX4993" s="67">
        <v>0.42</v>
      </c>
      <c r="IY4993" s="67">
        <v>0.15</v>
      </c>
      <c r="IZ4993" s="67">
        <v>0.09</v>
      </c>
      <c r="JA4993" s="67" t="s">
        <v>5556</v>
      </c>
      <c r="JB4993" s="67"/>
      <c r="JC4993" s="67"/>
      <c r="JD4993" s="67"/>
      <c r="JE4993" s="67"/>
      <c r="JF4993" s="67"/>
      <c r="JG4993" s="67">
        <v>292</v>
      </c>
      <c r="JH4993" s="67">
        <v>248</v>
      </c>
      <c r="JI4993" s="67">
        <f>48*3</f>
        <v>144</v>
      </c>
      <c r="JJ4993" s="67">
        <f>31*3</f>
        <v>93</v>
      </c>
      <c r="JK4993" s="67" t="s">
        <v>3072</v>
      </c>
      <c r="JL4993" s="67">
        <v>61.1</v>
      </c>
      <c r="JM4993" s="67">
        <v>81.599999999999994</v>
      </c>
      <c r="JN4993" s="67">
        <f>6.8*3</f>
        <v>20.399999999999999</v>
      </c>
      <c r="JO4993" s="67">
        <f>15.5*3</f>
        <v>46.5</v>
      </c>
      <c r="JP4993" s="67" t="s">
        <v>5566</v>
      </c>
      <c r="JQ4993" s="67"/>
      <c r="JR4993" s="67"/>
      <c r="JS4993" s="67"/>
      <c r="JT4993" s="67"/>
      <c r="JU4993" s="58"/>
      <c r="JV4993" s="58"/>
      <c r="JW4993" s="58"/>
    </row>
    <row r="4994" spans="1:283" s="23" customFormat="1" x14ac:dyDescent="0.25">
      <c r="A4994" s="55">
        <v>4993</v>
      </c>
      <c r="B4994" s="12" t="s">
        <v>7067</v>
      </c>
      <c r="C4994" s="156">
        <v>251</v>
      </c>
      <c r="D4994" s="58" t="s">
        <v>5578</v>
      </c>
      <c r="E4994" s="160" t="str">
        <f>G4994</f>
        <v>Mazzoncini et al 2010</v>
      </c>
      <c r="F4994" s="160"/>
      <c r="G4994" s="60" t="s">
        <v>4747</v>
      </c>
      <c r="H4994" s="58">
        <v>2010</v>
      </c>
      <c r="I4994" s="58" t="s">
        <v>5483</v>
      </c>
      <c r="J4994" s="243" t="s">
        <v>5317</v>
      </c>
      <c r="K4994" s="63" t="s">
        <v>5094</v>
      </c>
      <c r="L4994" s="58" t="s">
        <v>2741</v>
      </c>
      <c r="M4994" s="94">
        <f>43+40/60</f>
        <v>43.666666666666664</v>
      </c>
      <c r="N4994" s="94">
        <f>10+19/60</f>
        <v>10.316666666666666</v>
      </c>
      <c r="O4994" s="94">
        <v>6</v>
      </c>
      <c r="P4994" s="58"/>
      <c r="Q4994" s="244">
        <v>14.5</v>
      </c>
      <c r="R4994" s="58"/>
      <c r="S4994" s="245">
        <v>853</v>
      </c>
      <c r="T4994" s="58"/>
      <c r="U4994" s="58" t="s">
        <v>1688</v>
      </c>
      <c r="V4994" s="244">
        <v>5</v>
      </c>
      <c r="W4994" s="174"/>
      <c r="X4994" s="174"/>
      <c r="Y4994" s="58" t="s">
        <v>5569</v>
      </c>
      <c r="Z4994" s="244" t="s">
        <v>1367</v>
      </c>
      <c r="AA4994" s="245">
        <v>25</v>
      </c>
      <c r="AB4994" s="67"/>
      <c r="AC4994" s="67"/>
      <c r="AD4994" s="94"/>
      <c r="AE4994" s="94"/>
      <c r="AF4994" s="94"/>
      <c r="AG4994" s="245">
        <v>23</v>
      </c>
      <c r="AH4994" s="94" t="s">
        <v>139</v>
      </c>
      <c r="AI4994" s="169" t="s">
        <v>5573</v>
      </c>
      <c r="AJ4994" s="94">
        <v>0.93500000000000005</v>
      </c>
      <c r="AL4994" s="58"/>
      <c r="AM4994" s="58" t="s">
        <v>5572</v>
      </c>
      <c r="AN4994" s="186" t="s">
        <v>5570</v>
      </c>
      <c r="AO4994" s="185" t="s">
        <v>5150</v>
      </c>
      <c r="AP4994" s="58"/>
      <c r="AQ4994" s="58" t="s">
        <v>553</v>
      </c>
      <c r="AR4994" s="58" t="s">
        <v>5571</v>
      </c>
      <c r="AS4994" s="246" t="s">
        <v>4584</v>
      </c>
      <c r="AT4994" s="247">
        <v>0</v>
      </c>
      <c r="AU4994" s="181" t="s">
        <v>7494</v>
      </c>
      <c r="AV4994" s="185" t="s">
        <v>479</v>
      </c>
      <c r="AW4994" s="244">
        <v>1</v>
      </c>
      <c r="AX4994" s="185" t="s">
        <v>176</v>
      </c>
      <c r="AY4994" s="244" t="s">
        <v>5150</v>
      </c>
      <c r="AZ4994" s="58"/>
      <c r="BA4994" s="58"/>
      <c r="BB4994" s="58"/>
      <c r="BC4994" s="58"/>
      <c r="BD4994" s="58"/>
      <c r="BE4994" s="236" t="s">
        <v>5153</v>
      </c>
      <c r="BF4994" s="191" t="s">
        <v>176</v>
      </c>
      <c r="BG4994" s="191" t="s">
        <v>176</v>
      </c>
      <c r="BH4994" s="236" t="s">
        <v>5272</v>
      </c>
      <c r="BI4994" s="191" t="s">
        <v>479</v>
      </c>
      <c r="BJ4994" s="58" t="str">
        <f>IF(BE4994=BH4994,"No","yes")</f>
        <v>yes</v>
      </c>
      <c r="BK4994" s="58" t="s">
        <v>6335</v>
      </c>
      <c r="BL4994" s="58"/>
      <c r="BM4994" s="237"/>
      <c r="BN4994" s="244">
        <v>15</v>
      </c>
      <c r="BO4994" s="244">
        <v>15</v>
      </c>
      <c r="BP4994" s="58"/>
      <c r="BQ4994" s="58"/>
      <c r="BR4994" s="58"/>
      <c r="BS4994" s="58"/>
      <c r="BT4994" s="58"/>
      <c r="BU4994" s="58"/>
      <c r="BV4994" s="58"/>
      <c r="BW4994" s="67"/>
      <c r="BX4994" s="67"/>
      <c r="BY4994" s="67"/>
      <c r="BZ4994" s="67"/>
      <c r="CA4994" s="67"/>
      <c r="CB4994" s="70"/>
      <c r="CC4994" s="70"/>
      <c r="CD4994" s="70"/>
      <c r="CE4994" s="67"/>
      <c r="CF4994" s="67"/>
      <c r="CG4994" s="67"/>
      <c r="CH4994" s="245"/>
      <c r="CI4994" s="245"/>
      <c r="CJ4994" s="67"/>
      <c r="CK4994" s="67"/>
      <c r="CL4994" s="67"/>
      <c r="CM4994" s="242">
        <v>0.78</v>
      </c>
      <c r="CN4994" s="242">
        <v>0.95</v>
      </c>
      <c r="CO4994" s="242"/>
      <c r="CP4994" s="242"/>
      <c r="CQ4994" s="242" t="s">
        <v>164</v>
      </c>
      <c r="CR4994" s="242">
        <v>29.700291330142125</v>
      </c>
      <c r="CS4994" s="242">
        <v>35.620018751875861</v>
      </c>
      <c r="CT4994" s="242"/>
      <c r="CU4994" s="242"/>
      <c r="CV4994" s="242" t="s">
        <v>5151</v>
      </c>
      <c r="CW4994" s="242">
        <v>-1252.4622028897832</v>
      </c>
      <c r="CX4994" s="242">
        <v>275.30454010715601</v>
      </c>
      <c r="CY4994" s="242"/>
      <c r="CZ4994" s="242"/>
      <c r="DA4994" s="67" t="s">
        <v>5443</v>
      </c>
      <c r="DB4994" s="67"/>
      <c r="DC4994" s="67"/>
      <c r="DD4994" s="67"/>
      <c r="DE4994" s="67"/>
      <c r="DF4994" s="67"/>
      <c r="DG4994" s="67"/>
      <c r="DH4994" s="67"/>
      <c r="DI4994" s="67"/>
      <c r="DJ4994" s="67"/>
      <c r="DK4994" s="67"/>
      <c r="DL4994" s="67"/>
      <c r="DM4994" s="67"/>
      <c r="DN4994" s="67"/>
      <c r="DO4994" s="67"/>
      <c r="DP4994" s="67"/>
      <c r="DQ4994" s="166"/>
      <c r="DR4994" s="166"/>
      <c r="DS4994" s="163"/>
      <c r="DT4994" s="163"/>
      <c r="DU4994" s="67"/>
      <c r="DV4994" s="67"/>
      <c r="DW4994" s="67"/>
      <c r="DX4994" s="67"/>
      <c r="DY4994" s="67"/>
      <c r="DZ4994" s="67"/>
      <c r="EA4994" s="67"/>
      <c r="EB4994" s="67"/>
      <c r="EC4994" s="67"/>
      <c r="ED4994" s="67"/>
      <c r="EE4994" s="67"/>
      <c r="EF4994" s="67"/>
      <c r="EG4994" s="67"/>
      <c r="EH4994" s="67"/>
      <c r="EI4994" s="67"/>
      <c r="EJ4994" s="67"/>
      <c r="EK4994" s="94"/>
      <c r="EL4994" s="94"/>
      <c r="EM4994" s="67"/>
      <c r="EN4994" s="67"/>
      <c r="EO4994" s="67"/>
      <c r="EP4994" s="67"/>
      <c r="EQ4994" s="67"/>
      <c r="ER4994" s="67"/>
      <c r="ES4994" s="67"/>
      <c r="ET4994" s="67"/>
      <c r="EU4994" s="67"/>
      <c r="EV4994" s="67"/>
      <c r="EW4994" s="67"/>
      <c r="EX4994" s="67"/>
      <c r="EY4994" s="67"/>
      <c r="EZ4994" s="67"/>
      <c r="FA4994" s="67"/>
      <c r="FB4994" s="67"/>
      <c r="FC4994" s="67"/>
      <c r="FD4994" s="67"/>
      <c r="FE4994" s="67"/>
      <c r="FF4994" s="67"/>
      <c r="FG4994" s="67"/>
      <c r="FH4994" s="67"/>
      <c r="FI4994" s="67"/>
      <c r="FJ4994" s="67"/>
      <c r="FK4994" s="67"/>
      <c r="FL4994" s="67"/>
      <c r="FM4994" s="67"/>
      <c r="FN4994" s="67"/>
      <c r="FO4994" s="67"/>
      <c r="FP4994" s="67"/>
      <c r="FQ4994" s="67"/>
      <c r="FR4994" s="67"/>
      <c r="FS4994" s="67"/>
      <c r="FT4994" s="67"/>
      <c r="FU4994" s="67"/>
      <c r="FV4994" s="67"/>
      <c r="FW4994" s="67"/>
      <c r="FX4994" s="67"/>
      <c r="FY4994" s="67"/>
      <c r="FZ4994" s="67"/>
      <c r="GA4994" s="67"/>
      <c r="GB4994" s="67"/>
      <c r="GC4994" s="67"/>
      <c r="GD4994" s="67"/>
      <c r="GE4994" s="67"/>
      <c r="GF4994" s="67"/>
      <c r="GG4994" s="67"/>
      <c r="GH4994" s="67"/>
      <c r="GI4994" s="67"/>
      <c r="GJ4994" s="67"/>
      <c r="GK4994" s="67"/>
      <c r="GL4994" s="67"/>
      <c r="GM4994" s="67"/>
      <c r="GN4994" s="292"/>
      <c r="GO4994" s="292"/>
      <c r="GP4994" s="292" t="s">
        <v>7494</v>
      </c>
      <c r="GQ4994" s="67"/>
      <c r="GR4994" s="67"/>
      <c r="GS4994" s="67"/>
      <c r="GT4994" s="67"/>
      <c r="GU4994" s="67"/>
      <c r="GV4994" s="67"/>
      <c r="GW4994" s="67"/>
      <c r="GX4994" s="67"/>
      <c r="GY4994" s="67"/>
      <c r="GZ4994" s="67"/>
      <c r="HA4994" s="67"/>
      <c r="HB4994" s="67"/>
      <c r="HC4994" s="67"/>
      <c r="HD4994" s="67">
        <v>40.700000000000003</v>
      </c>
      <c r="HE4994" s="67">
        <v>35.5</v>
      </c>
      <c r="HF4994" s="67"/>
      <c r="HG4994" s="67"/>
      <c r="HH4994" s="67" t="s">
        <v>5584</v>
      </c>
      <c r="HI4994" s="67"/>
      <c r="HJ4994" s="67"/>
      <c r="HK4994" s="67"/>
      <c r="HL4994" s="67"/>
      <c r="HM4994" s="67"/>
      <c r="HN4994" s="67">
        <v>0.23</v>
      </c>
      <c r="HO4994" s="67">
        <v>0.24</v>
      </c>
      <c r="HP4994" s="67"/>
      <c r="HQ4994" s="67"/>
      <c r="HR4994" s="67" t="s">
        <v>5605</v>
      </c>
      <c r="HS4994" s="67"/>
      <c r="HT4994" s="67"/>
      <c r="HU4994" s="67"/>
      <c r="HV4994" s="67"/>
      <c r="HW4994" s="67"/>
      <c r="HX4994" s="67">
        <v>254</v>
      </c>
      <c r="HY4994" s="67">
        <v>277</v>
      </c>
      <c r="HZ4994" s="67"/>
      <c r="IA4994" s="67"/>
      <c r="IB4994" s="67" t="s">
        <v>5576</v>
      </c>
      <c r="IC4994" s="67"/>
      <c r="ID4994" s="67"/>
      <c r="IE4994" s="67"/>
      <c r="IF4994" s="67"/>
      <c r="IG4994" s="67"/>
      <c r="IH4994" s="67"/>
      <c r="II4994" s="67"/>
      <c r="IJ4994" s="67"/>
      <c r="IK4994" s="67"/>
      <c r="IL4994" s="67"/>
      <c r="IM4994" s="67"/>
      <c r="IN4994" s="67"/>
      <c r="IO4994" s="67"/>
      <c r="IP4994" s="67"/>
      <c r="IQ4994" s="67"/>
      <c r="IR4994" s="67">
        <v>47.1</v>
      </c>
      <c r="IS4994" s="67">
        <v>55.2</v>
      </c>
      <c r="IT4994" s="67"/>
      <c r="IU4994" s="67"/>
      <c r="IV4994" s="67" t="s">
        <v>5574</v>
      </c>
      <c r="IW4994" s="67">
        <v>6.7</v>
      </c>
      <c r="IX4994" s="67">
        <v>7.9</v>
      </c>
      <c r="IY4994" s="67"/>
      <c r="IZ4994" s="67"/>
      <c r="JA4994" s="67" t="s">
        <v>5575</v>
      </c>
      <c r="JB4994" s="67"/>
      <c r="JC4994" s="67"/>
      <c r="JD4994" s="67"/>
      <c r="JE4994" s="67"/>
      <c r="JF4994" s="67"/>
      <c r="JG4994" s="67">
        <v>30.3</v>
      </c>
      <c r="JH4994" s="67">
        <v>33.4</v>
      </c>
      <c r="JI4994" s="67"/>
      <c r="JJ4994" s="67"/>
      <c r="JK4994" s="67" t="s">
        <v>5577</v>
      </c>
      <c r="JL4994" s="67"/>
      <c r="JM4994" s="67"/>
      <c r="JN4994" s="67"/>
      <c r="JO4994" s="67"/>
      <c r="JP4994" s="67"/>
      <c r="JQ4994" s="67"/>
      <c r="JR4994" s="67"/>
      <c r="JS4994" s="67"/>
      <c r="JT4994" s="67"/>
      <c r="JU4994" s="58"/>
      <c r="JV4994" s="58"/>
      <c r="JW4994" s="58"/>
    </row>
    <row r="4995" spans="1:283" s="23" customFormat="1" x14ac:dyDescent="0.25">
      <c r="A4995" s="55">
        <v>4994</v>
      </c>
      <c r="B4995" s="12" t="s">
        <v>7067</v>
      </c>
      <c r="C4995" s="156">
        <v>251</v>
      </c>
      <c r="D4995" s="58" t="s">
        <v>5579</v>
      </c>
      <c r="E4995" s="160" t="str">
        <f>G4995</f>
        <v>Mazzoncini et al 2010</v>
      </c>
      <c r="F4995" s="160"/>
      <c r="G4995" s="60" t="s">
        <v>4747</v>
      </c>
      <c r="H4995" s="58">
        <v>2010</v>
      </c>
      <c r="I4995" s="58" t="s">
        <v>5483</v>
      </c>
      <c r="J4995" s="243" t="s">
        <v>5317</v>
      </c>
      <c r="K4995" s="63" t="s">
        <v>5094</v>
      </c>
      <c r="L4995" s="58" t="s">
        <v>2741</v>
      </c>
      <c r="M4995" s="94">
        <f>43+40/60</f>
        <v>43.666666666666664</v>
      </c>
      <c r="N4995" s="94">
        <f>10+19/60</f>
        <v>10.316666666666666</v>
      </c>
      <c r="O4995" s="94">
        <v>6</v>
      </c>
      <c r="P4995" s="58"/>
      <c r="Q4995" s="244">
        <v>14.5</v>
      </c>
      <c r="R4995" s="58"/>
      <c r="S4995" s="245">
        <v>853</v>
      </c>
      <c r="T4995" s="58"/>
      <c r="U4995" s="58" t="s">
        <v>1688</v>
      </c>
      <c r="V4995" s="244">
        <v>5</v>
      </c>
      <c r="W4995" s="174"/>
      <c r="X4995" s="174"/>
      <c r="Y4995" s="58" t="s">
        <v>5569</v>
      </c>
      <c r="Z4995" s="244" t="s">
        <v>1367</v>
      </c>
      <c r="AA4995" s="245">
        <v>25</v>
      </c>
      <c r="AB4995" s="67"/>
      <c r="AC4995" s="67"/>
      <c r="AD4995" s="94"/>
      <c r="AE4995" s="94"/>
      <c r="AF4995" s="94"/>
      <c r="AG4995" s="245">
        <v>23</v>
      </c>
      <c r="AH4995" s="94" t="s">
        <v>139</v>
      </c>
      <c r="AI4995" s="169" t="s">
        <v>5573</v>
      </c>
      <c r="AJ4995" s="94">
        <v>0.93500000000000005</v>
      </c>
      <c r="AL4995" s="58"/>
      <c r="AM4995" s="58" t="s">
        <v>5572</v>
      </c>
      <c r="AN4995" s="186" t="s">
        <v>5570</v>
      </c>
      <c r="AO4995" s="185" t="s">
        <v>5150</v>
      </c>
      <c r="AP4995" s="58"/>
      <c r="AQ4995" s="58" t="s">
        <v>553</v>
      </c>
      <c r="AR4995" s="58" t="s">
        <v>5571</v>
      </c>
      <c r="AS4995" s="246" t="s">
        <v>4584</v>
      </c>
      <c r="AT4995" s="247">
        <v>0</v>
      </c>
      <c r="AU4995" s="181" t="s">
        <v>7494</v>
      </c>
      <c r="AV4995" s="185" t="s">
        <v>479</v>
      </c>
      <c r="AW4995" s="244">
        <v>1</v>
      </c>
      <c r="AX4995" s="185" t="s">
        <v>176</v>
      </c>
      <c r="AY4995" s="244" t="s">
        <v>5150</v>
      </c>
      <c r="AZ4995" s="58"/>
      <c r="BA4995" s="58"/>
      <c r="BB4995" s="58"/>
      <c r="BC4995" s="58"/>
      <c r="BD4995" s="58"/>
      <c r="BE4995" s="236" t="s">
        <v>5153</v>
      </c>
      <c r="BF4995" s="191" t="s">
        <v>176</v>
      </c>
      <c r="BG4995" s="191" t="s">
        <v>176</v>
      </c>
      <c r="BH4995" s="236" t="s">
        <v>5272</v>
      </c>
      <c r="BI4995" s="191" t="s">
        <v>479</v>
      </c>
      <c r="BJ4995" s="58" t="str">
        <f>IF(BE4995=BH4995,"No","yes")</f>
        <v>yes</v>
      </c>
      <c r="BK4995" s="58" t="s">
        <v>6335</v>
      </c>
      <c r="BL4995" s="58"/>
      <c r="BM4995" s="237"/>
      <c r="BN4995" s="244">
        <v>15</v>
      </c>
      <c r="BO4995" s="244">
        <v>15</v>
      </c>
      <c r="BP4995" s="58"/>
      <c r="BQ4995" s="58"/>
      <c r="BR4995" s="58"/>
      <c r="BS4995" s="58"/>
      <c r="BT4995" s="58"/>
      <c r="BU4995" s="58"/>
      <c r="BV4995" s="58"/>
      <c r="BW4995" s="67"/>
      <c r="BX4995" s="67"/>
      <c r="BY4995" s="67"/>
      <c r="BZ4995" s="67"/>
      <c r="CA4995" s="67"/>
      <c r="CB4995" s="70"/>
      <c r="CC4995" s="70"/>
      <c r="CD4995" s="70"/>
      <c r="CE4995" s="67"/>
      <c r="CF4995" s="67"/>
      <c r="CG4995" s="67"/>
      <c r="CH4995" s="245"/>
      <c r="CI4995" s="245"/>
      <c r="CJ4995" s="67"/>
      <c r="CK4995" s="67"/>
      <c r="CL4995" s="67"/>
      <c r="CM4995" s="242"/>
      <c r="CN4995" s="242"/>
      <c r="CO4995" s="242"/>
      <c r="CP4995" s="242"/>
      <c r="CQ4995" s="242"/>
      <c r="CR4995" s="242"/>
      <c r="CS4995" s="242"/>
      <c r="CT4995" s="242"/>
      <c r="CU4995" s="242"/>
      <c r="CV4995" s="242"/>
      <c r="CW4995" s="242"/>
      <c r="CX4995" s="242"/>
      <c r="CY4995" s="242"/>
      <c r="CZ4995" s="242"/>
      <c r="DA4995" s="67"/>
      <c r="DB4995" s="67"/>
      <c r="DC4995" s="67"/>
      <c r="DD4995" s="67"/>
      <c r="DE4995" s="67"/>
      <c r="DF4995" s="67"/>
      <c r="DG4995" s="67"/>
      <c r="DH4995" s="67"/>
      <c r="DI4995" s="67"/>
      <c r="DJ4995" s="67"/>
      <c r="DK4995" s="67"/>
      <c r="DL4995" s="67"/>
      <c r="DM4995" s="67"/>
      <c r="DN4995" s="67"/>
      <c r="DO4995" s="67"/>
      <c r="DP4995" s="67"/>
      <c r="DQ4995" s="166"/>
      <c r="DR4995" s="166"/>
      <c r="DS4995" s="163"/>
      <c r="DT4995" s="163"/>
      <c r="DU4995" s="67"/>
      <c r="DV4995" s="67"/>
      <c r="DW4995" s="67"/>
      <c r="DX4995" s="67"/>
      <c r="DY4995" s="67"/>
      <c r="DZ4995" s="67"/>
      <c r="EA4995" s="67"/>
      <c r="EB4995" s="67"/>
      <c r="EC4995" s="67"/>
      <c r="ED4995" s="67"/>
      <c r="EE4995" s="67"/>
      <c r="EF4995" s="67"/>
      <c r="EG4995" s="67"/>
      <c r="EH4995" s="67"/>
      <c r="EI4995" s="67"/>
      <c r="EJ4995" s="67"/>
      <c r="EK4995" s="94"/>
      <c r="EL4995" s="94"/>
      <c r="EM4995" s="67"/>
      <c r="EN4995" s="67"/>
      <c r="EO4995" s="67"/>
      <c r="EP4995" s="67"/>
      <c r="EQ4995" s="67"/>
      <c r="ER4995" s="67"/>
      <c r="ES4995" s="67"/>
      <c r="ET4995" s="67"/>
      <c r="EU4995" s="67"/>
      <c r="EV4995" s="67"/>
      <c r="EW4995" s="67"/>
      <c r="EX4995" s="67"/>
      <c r="EY4995" s="67"/>
      <c r="EZ4995" s="67"/>
      <c r="FA4995" s="67"/>
      <c r="FB4995" s="67"/>
      <c r="FC4995" s="67"/>
      <c r="FD4995" s="67"/>
      <c r="FE4995" s="67"/>
      <c r="FF4995" s="67"/>
      <c r="FG4995" s="67"/>
      <c r="FH4995" s="67"/>
      <c r="FI4995" s="67"/>
      <c r="FJ4995" s="67"/>
      <c r="FK4995" s="67"/>
      <c r="FL4995" s="67"/>
      <c r="FM4995" s="67"/>
      <c r="FN4995" s="67"/>
      <c r="FO4995" s="67"/>
      <c r="FP4995" s="67"/>
      <c r="FQ4995" s="67"/>
      <c r="FR4995" s="67"/>
      <c r="FS4995" s="67"/>
      <c r="FT4995" s="67"/>
      <c r="FU4995" s="67"/>
      <c r="FV4995" s="67"/>
      <c r="FW4995" s="67"/>
      <c r="FX4995" s="67"/>
      <c r="FY4995" s="67"/>
      <c r="FZ4995" s="67"/>
      <c r="GA4995" s="67"/>
      <c r="GB4995" s="67"/>
      <c r="GC4995" s="67"/>
      <c r="GD4995" s="67"/>
      <c r="GE4995" s="67"/>
      <c r="GF4995" s="67"/>
      <c r="GG4995" s="67"/>
      <c r="GH4995" s="67"/>
      <c r="GI4995" s="67"/>
      <c r="GJ4995" s="67"/>
      <c r="GK4995" s="67"/>
      <c r="GL4995" s="67"/>
      <c r="GM4995" s="67"/>
      <c r="GN4995" s="292"/>
      <c r="GO4995" s="292"/>
      <c r="GP4995" s="292" t="s">
        <v>7494</v>
      </c>
      <c r="GQ4995" s="67"/>
      <c r="GR4995" s="67"/>
      <c r="GS4995" s="67"/>
      <c r="GT4995" s="67"/>
      <c r="GU4995" s="67"/>
      <c r="GV4995" s="67"/>
      <c r="GW4995" s="67"/>
      <c r="GX4995" s="67"/>
      <c r="GY4995" s="67"/>
      <c r="GZ4995" s="67"/>
      <c r="HA4995" s="67"/>
      <c r="HB4995" s="67"/>
      <c r="HC4995" s="67"/>
      <c r="HD4995" s="67">
        <v>0.1</v>
      </c>
      <c r="HE4995" s="67">
        <v>1.37</v>
      </c>
      <c r="HF4995" s="67"/>
      <c r="HG4995" s="67"/>
      <c r="HH4995" s="67" t="s">
        <v>5585</v>
      </c>
      <c r="HI4995" s="67"/>
      <c r="HJ4995" s="67"/>
      <c r="HK4995" s="67"/>
      <c r="HL4995" s="67"/>
      <c r="HM4995" s="67"/>
      <c r="HN4995" s="67"/>
      <c r="HO4995" s="67"/>
      <c r="HP4995" s="67"/>
      <c r="HQ4995" s="67"/>
      <c r="HR4995" s="67"/>
      <c r="HS4995" s="67"/>
      <c r="HT4995" s="67"/>
      <c r="HU4995" s="67"/>
      <c r="HV4995" s="67"/>
      <c r="HW4995" s="67"/>
      <c r="HX4995" s="67"/>
      <c r="HY4995" s="67"/>
      <c r="HZ4995" s="67"/>
      <c r="IA4995" s="67"/>
      <c r="IB4995" s="67"/>
      <c r="IC4995" s="67"/>
      <c r="ID4995" s="67"/>
      <c r="IE4995" s="67"/>
      <c r="IF4995" s="67"/>
      <c r="IG4995" s="67"/>
      <c r="IH4995" s="67"/>
      <c r="II4995" s="67"/>
      <c r="IJ4995" s="67"/>
      <c r="IK4995" s="67"/>
      <c r="IL4995" s="67"/>
      <c r="IM4995" s="67"/>
      <c r="IN4995" s="67"/>
      <c r="IO4995" s="67"/>
      <c r="IP4995" s="67"/>
      <c r="IQ4995" s="67"/>
      <c r="IR4995" s="67"/>
      <c r="IS4995" s="67"/>
      <c r="IT4995" s="67"/>
      <c r="IU4995" s="67"/>
      <c r="IV4995" s="67"/>
      <c r="IW4995" s="67"/>
      <c r="IX4995" s="67"/>
      <c r="IY4995" s="67"/>
      <c r="IZ4995" s="67"/>
      <c r="JA4995" s="67"/>
      <c r="JB4995" s="67"/>
      <c r="JC4995" s="67"/>
      <c r="JD4995" s="67"/>
      <c r="JE4995" s="67"/>
      <c r="JF4995" s="67"/>
      <c r="JG4995" s="67"/>
      <c r="JH4995" s="67"/>
      <c r="JI4995" s="67"/>
      <c r="JJ4995" s="67"/>
      <c r="JK4995" s="67"/>
      <c r="JL4995" s="67"/>
      <c r="JM4995" s="67"/>
      <c r="JN4995" s="67"/>
      <c r="JO4995" s="67"/>
      <c r="JP4995" s="67"/>
      <c r="JQ4995" s="67"/>
      <c r="JR4995" s="67"/>
      <c r="JS4995" s="67"/>
      <c r="JT4995" s="67"/>
      <c r="JU4995" s="58"/>
      <c r="JV4995" s="58"/>
      <c r="JW4995" s="58"/>
    </row>
    <row r="4996" spans="1:283" s="23" customFormat="1" x14ac:dyDescent="0.25">
      <c r="A4996" s="55">
        <v>4995</v>
      </c>
      <c r="B4996" s="12" t="s">
        <v>7067</v>
      </c>
      <c r="C4996" s="156">
        <v>251</v>
      </c>
      <c r="D4996" s="58" t="s">
        <v>5580</v>
      </c>
      <c r="E4996" s="160" t="str">
        <f>G4996</f>
        <v>Mazzoncini et al 2010</v>
      </c>
      <c r="F4996" s="160"/>
      <c r="G4996" s="60" t="s">
        <v>4747</v>
      </c>
      <c r="H4996" s="58">
        <v>2010</v>
      </c>
      <c r="I4996" s="58" t="s">
        <v>5483</v>
      </c>
      <c r="J4996" s="243" t="s">
        <v>5317</v>
      </c>
      <c r="K4996" s="63" t="s">
        <v>5094</v>
      </c>
      <c r="L4996" s="58" t="s">
        <v>2741</v>
      </c>
      <c r="M4996" s="94">
        <f>43+40/60</f>
        <v>43.666666666666664</v>
      </c>
      <c r="N4996" s="94">
        <f>10+19/60</f>
        <v>10.316666666666666</v>
      </c>
      <c r="O4996" s="94">
        <v>6</v>
      </c>
      <c r="P4996" s="58"/>
      <c r="Q4996" s="244">
        <v>14.5</v>
      </c>
      <c r="R4996" s="58"/>
      <c r="S4996" s="245">
        <v>853</v>
      </c>
      <c r="T4996" s="58"/>
      <c r="U4996" s="58" t="s">
        <v>1688</v>
      </c>
      <c r="V4996" s="244">
        <v>5</v>
      </c>
      <c r="W4996" s="174"/>
      <c r="X4996" s="174"/>
      <c r="Y4996" s="58" t="s">
        <v>5569</v>
      </c>
      <c r="Z4996" s="244" t="s">
        <v>1367</v>
      </c>
      <c r="AA4996" s="245">
        <v>25</v>
      </c>
      <c r="AB4996" s="67"/>
      <c r="AC4996" s="67"/>
      <c r="AD4996" s="94"/>
      <c r="AE4996" s="94"/>
      <c r="AF4996" s="94"/>
      <c r="AG4996" s="245">
        <v>23</v>
      </c>
      <c r="AH4996" s="94" t="s">
        <v>139</v>
      </c>
      <c r="AI4996" s="169" t="s">
        <v>5573</v>
      </c>
      <c r="AJ4996" s="94">
        <v>0.93500000000000005</v>
      </c>
      <c r="AL4996" s="58"/>
      <c r="AM4996" s="58" t="s">
        <v>5572</v>
      </c>
      <c r="AN4996" s="186" t="s">
        <v>5570</v>
      </c>
      <c r="AO4996" s="185" t="s">
        <v>5150</v>
      </c>
      <c r="AP4996" s="58"/>
      <c r="AQ4996" s="58" t="s">
        <v>553</v>
      </c>
      <c r="AR4996" s="58" t="s">
        <v>5571</v>
      </c>
      <c r="AS4996" s="246" t="s">
        <v>4584</v>
      </c>
      <c r="AT4996" s="247">
        <v>0</v>
      </c>
      <c r="AU4996" s="181" t="s">
        <v>7494</v>
      </c>
      <c r="AV4996" s="185" t="s">
        <v>479</v>
      </c>
      <c r="AW4996" s="244">
        <v>1</v>
      </c>
      <c r="AX4996" s="185" t="s">
        <v>176</v>
      </c>
      <c r="AY4996" s="244" t="s">
        <v>5150</v>
      </c>
      <c r="AZ4996" s="58"/>
      <c r="BA4996" s="58"/>
      <c r="BB4996" s="58"/>
      <c r="BC4996" s="58"/>
      <c r="BD4996" s="58"/>
      <c r="BE4996" s="236" t="s">
        <v>5153</v>
      </c>
      <c r="BF4996" s="191" t="s">
        <v>176</v>
      </c>
      <c r="BG4996" s="191" t="s">
        <v>176</v>
      </c>
      <c r="BH4996" s="236" t="s">
        <v>5272</v>
      </c>
      <c r="BI4996" s="191" t="s">
        <v>479</v>
      </c>
      <c r="BJ4996" s="58" t="str">
        <f>IF(BE4996=BH4996,"No","yes")</f>
        <v>yes</v>
      </c>
      <c r="BK4996" s="58" t="s">
        <v>6335</v>
      </c>
      <c r="BL4996" s="58"/>
      <c r="BM4996" s="237"/>
      <c r="BN4996" s="244">
        <v>15</v>
      </c>
      <c r="BO4996" s="244">
        <v>15</v>
      </c>
      <c r="BP4996" s="58"/>
      <c r="BQ4996" s="58"/>
      <c r="BR4996" s="58"/>
      <c r="BS4996" s="58"/>
      <c r="BT4996" s="58"/>
      <c r="BU4996" s="58"/>
      <c r="BV4996" s="58"/>
      <c r="BW4996" s="67"/>
      <c r="BX4996" s="67"/>
      <c r="BY4996" s="67"/>
      <c r="BZ4996" s="67"/>
      <c r="CA4996" s="67"/>
      <c r="CB4996" s="70"/>
      <c r="CC4996" s="70"/>
      <c r="CD4996" s="70"/>
      <c r="CE4996" s="67"/>
      <c r="CF4996" s="67"/>
      <c r="CG4996" s="67"/>
      <c r="CH4996" s="245"/>
      <c r="CI4996" s="245"/>
      <c r="CJ4996" s="67"/>
      <c r="CK4996" s="67"/>
      <c r="CL4996" s="67"/>
      <c r="CM4996" s="242"/>
      <c r="CN4996" s="242"/>
      <c r="CO4996" s="242"/>
      <c r="CP4996" s="242"/>
      <c r="CQ4996" s="242"/>
      <c r="CR4996" s="242"/>
      <c r="CS4996" s="242"/>
      <c r="CT4996" s="242"/>
      <c r="CU4996" s="242"/>
      <c r="CV4996" s="242"/>
      <c r="CW4996" s="242"/>
      <c r="CX4996" s="242"/>
      <c r="CY4996" s="242"/>
      <c r="CZ4996" s="242"/>
      <c r="DA4996" s="67"/>
      <c r="DB4996" s="67"/>
      <c r="DC4996" s="67"/>
      <c r="DD4996" s="67"/>
      <c r="DE4996" s="67"/>
      <c r="DF4996" s="67"/>
      <c r="DG4996" s="67"/>
      <c r="DH4996" s="67"/>
      <c r="DI4996" s="67"/>
      <c r="DJ4996" s="67"/>
      <c r="DK4996" s="67"/>
      <c r="DL4996" s="67"/>
      <c r="DM4996" s="67"/>
      <c r="DN4996" s="67"/>
      <c r="DO4996" s="67"/>
      <c r="DP4996" s="67"/>
      <c r="DQ4996" s="166"/>
      <c r="DR4996" s="166"/>
      <c r="DS4996" s="163"/>
      <c r="DT4996" s="163"/>
      <c r="DU4996" s="67"/>
      <c r="DV4996" s="67"/>
      <c r="DW4996" s="67"/>
      <c r="DX4996" s="67"/>
      <c r="DY4996" s="67"/>
      <c r="DZ4996" s="67"/>
      <c r="EA4996" s="67"/>
      <c r="EB4996" s="67"/>
      <c r="EC4996" s="67"/>
      <c r="ED4996" s="67"/>
      <c r="EE4996" s="67"/>
      <c r="EF4996" s="67"/>
      <c r="EG4996" s="67"/>
      <c r="EH4996" s="67"/>
      <c r="EI4996" s="67"/>
      <c r="EJ4996" s="67"/>
      <c r="EK4996" s="94"/>
      <c r="EL4996" s="94"/>
      <c r="EM4996" s="67"/>
      <c r="EN4996" s="67"/>
      <c r="EO4996" s="67"/>
      <c r="EP4996" s="67"/>
      <c r="EQ4996" s="67"/>
      <c r="ER4996" s="67"/>
      <c r="ES4996" s="67"/>
      <c r="ET4996" s="67"/>
      <c r="EU4996" s="67"/>
      <c r="EV4996" s="67"/>
      <c r="EW4996" s="67"/>
      <c r="EX4996" s="67"/>
      <c r="EY4996" s="67"/>
      <c r="EZ4996" s="67"/>
      <c r="FA4996" s="67"/>
      <c r="FB4996" s="67"/>
      <c r="FC4996" s="67"/>
      <c r="FD4996" s="67"/>
      <c r="FE4996" s="67"/>
      <c r="FF4996" s="67"/>
      <c r="FG4996" s="67"/>
      <c r="FH4996" s="67"/>
      <c r="FI4996" s="67"/>
      <c r="FJ4996" s="67"/>
      <c r="FK4996" s="67"/>
      <c r="FL4996" s="67"/>
      <c r="FM4996" s="67"/>
      <c r="FN4996" s="67"/>
      <c r="FO4996" s="67"/>
      <c r="FP4996" s="67"/>
      <c r="FQ4996" s="67"/>
      <c r="FR4996" s="67"/>
      <c r="FS4996" s="67"/>
      <c r="FT4996" s="67"/>
      <c r="FU4996" s="67"/>
      <c r="FV4996" s="67"/>
      <c r="FW4996" s="67"/>
      <c r="FX4996" s="67"/>
      <c r="FY4996" s="67"/>
      <c r="FZ4996" s="67"/>
      <c r="GA4996" s="67"/>
      <c r="GB4996" s="67"/>
      <c r="GC4996" s="67"/>
      <c r="GD4996" s="67"/>
      <c r="GE4996" s="67"/>
      <c r="GF4996" s="67"/>
      <c r="GG4996" s="67"/>
      <c r="GH4996" s="67"/>
      <c r="GI4996" s="67"/>
      <c r="GJ4996" s="67"/>
      <c r="GK4996" s="67"/>
      <c r="GL4996" s="67"/>
      <c r="GM4996" s="67"/>
      <c r="GN4996" s="292"/>
      <c r="GO4996" s="292"/>
      <c r="GP4996" s="292" t="s">
        <v>7494</v>
      </c>
      <c r="GQ4996" s="67"/>
      <c r="GR4996" s="67"/>
      <c r="GS4996" s="67"/>
      <c r="GT4996" s="67"/>
      <c r="GU4996" s="67"/>
      <c r="GV4996" s="67"/>
      <c r="GW4996" s="67"/>
      <c r="GX4996" s="67"/>
      <c r="GY4996" s="67"/>
      <c r="GZ4996" s="67"/>
      <c r="HA4996" s="67"/>
      <c r="HB4996" s="67"/>
      <c r="HC4996" s="67"/>
      <c r="HD4996" s="67">
        <v>21.9</v>
      </c>
      <c r="HE4996" s="67">
        <v>10.6</v>
      </c>
      <c r="HF4996" s="67"/>
      <c r="HG4996" s="67"/>
      <c r="HH4996" s="67" t="s">
        <v>5586</v>
      </c>
      <c r="HI4996" s="67"/>
      <c r="HJ4996" s="67"/>
      <c r="HK4996" s="67"/>
      <c r="HL4996" s="67"/>
      <c r="HM4996" s="67"/>
      <c r="HN4996" s="67"/>
      <c r="HO4996" s="67"/>
      <c r="HP4996" s="67"/>
      <c r="HQ4996" s="67"/>
      <c r="HR4996" s="67"/>
      <c r="HS4996" s="67"/>
      <c r="HT4996" s="67"/>
      <c r="HU4996" s="67"/>
      <c r="HV4996" s="67"/>
      <c r="HW4996" s="67"/>
      <c r="HX4996" s="67"/>
      <c r="HY4996" s="67"/>
      <c r="HZ4996" s="67"/>
      <c r="IA4996" s="67"/>
      <c r="IB4996" s="67"/>
      <c r="IC4996" s="67"/>
      <c r="ID4996" s="67"/>
      <c r="IE4996" s="67"/>
      <c r="IF4996" s="67"/>
      <c r="IG4996" s="67"/>
      <c r="IH4996" s="67"/>
      <c r="II4996" s="67"/>
      <c r="IJ4996" s="67"/>
      <c r="IK4996" s="67"/>
      <c r="IL4996" s="67"/>
      <c r="IM4996" s="67"/>
      <c r="IN4996" s="67"/>
      <c r="IO4996" s="67"/>
      <c r="IP4996" s="67"/>
      <c r="IQ4996" s="67"/>
      <c r="IR4996" s="67"/>
      <c r="IS4996" s="67"/>
      <c r="IT4996" s="67"/>
      <c r="IU4996" s="67"/>
      <c r="IV4996" s="67"/>
      <c r="IW4996" s="67"/>
      <c r="IX4996" s="67"/>
      <c r="IY4996" s="67"/>
      <c r="IZ4996" s="67"/>
      <c r="JA4996" s="67"/>
      <c r="JB4996" s="67"/>
      <c r="JC4996" s="67"/>
      <c r="JD4996" s="67"/>
      <c r="JE4996" s="67"/>
      <c r="JF4996" s="67"/>
      <c r="JG4996" s="67"/>
      <c r="JH4996" s="67"/>
      <c r="JI4996" s="67"/>
      <c r="JJ4996" s="67"/>
      <c r="JK4996" s="67"/>
      <c r="JL4996" s="67"/>
      <c r="JM4996" s="67"/>
      <c r="JN4996" s="67"/>
      <c r="JO4996" s="67"/>
      <c r="JP4996" s="67"/>
      <c r="JQ4996" s="67"/>
      <c r="JR4996" s="67"/>
      <c r="JS4996" s="67"/>
      <c r="JT4996" s="67"/>
      <c r="JU4996" s="58"/>
      <c r="JV4996" s="58"/>
      <c r="JW4996" s="58"/>
    </row>
    <row r="4997" spans="1:283" s="23" customFormat="1" x14ac:dyDescent="0.25">
      <c r="A4997" s="55">
        <v>4996</v>
      </c>
      <c r="B4997" s="12" t="s">
        <v>7067</v>
      </c>
      <c r="C4997" s="156">
        <v>251</v>
      </c>
      <c r="D4997" s="58" t="s">
        <v>5581</v>
      </c>
      <c r="E4997" s="160" t="str">
        <f>G4997</f>
        <v>Mazzoncini et al 2010</v>
      </c>
      <c r="F4997" s="160"/>
      <c r="G4997" s="60" t="s">
        <v>4747</v>
      </c>
      <c r="H4997" s="58">
        <v>2010</v>
      </c>
      <c r="I4997" s="58" t="s">
        <v>5483</v>
      </c>
      <c r="J4997" s="243" t="s">
        <v>5317</v>
      </c>
      <c r="K4997" s="63" t="s">
        <v>5094</v>
      </c>
      <c r="L4997" s="58" t="s">
        <v>2741</v>
      </c>
      <c r="M4997" s="94">
        <f>43+40/60</f>
        <v>43.666666666666664</v>
      </c>
      <c r="N4997" s="94">
        <f>10+19/60</f>
        <v>10.316666666666666</v>
      </c>
      <c r="O4997" s="94">
        <v>6</v>
      </c>
      <c r="P4997" s="58"/>
      <c r="Q4997" s="244">
        <v>14.5</v>
      </c>
      <c r="R4997" s="58"/>
      <c r="S4997" s="245">
        <v>853</v>
      </c>
      <c r="T4997" s="58"/>
      <c r="U4997" s="58" t="s">
        <v>1688</v>
      </c>
      <c r="V4997" s="244">
        <v>5</v>
      </c>
      <c r="W4997" s="174"/>
      <c r="X4997" s="174"/>
      <c r="Y4997" s="58" t="s">
        <v>5569</v>
      </c>
      <c r="Z4997" s="244" t="s">
        <v>1367</v>
      </c>
      <c r="AA4997" s="245">
        <v>25</v>
      </c>
      <c r="AB4997" s="67"/>
      <c r="AC4997" s="67"/>
      <c r="AD4997" s="94"/>
      <c r="AE4997" s="94"/>
      <c r="AF4997" s="94"/>
      <c r="AG4997" s="245">
        <v>23</v>
      </c>
      <c r="AH4997" s="94" t="s">
        <v>139</v>
      </c>
      <c r="AI4997" s="169" t="s">
        <v>5573</v>
      </c>
      <c r="AJ4997" s="94">
        <v>0.93500000000000005</v>
      </c>
      <c r="AL4997" s="58"/>
      <c r="AM4997" s="58" t="s">
        <v>5572</v>
      </c>
      <c r="AN4997" s="186" t="s">
        <v>5570</v>
      </c>
      <c r="AO4997" s="185" t="s">
        <v>5150</v>
      </c>
      <c r="AP4997" s="58"/>
      <c r="AQ4997" s="58" t="s">
        <v>553</v>
      </c>
      <c r="AR4997" s="58" t="s">
        <v>5571</v>
      </c>
      <c r="AS4997" s="246" t="s">
        <v>4584</v>
      </c>
      <c r="AT4997" s="247">
        <v>0</v>
      </c>
      <c r="AU4997" s="181" t="s">
        <v>7494</v>
      </c>
      <c r="AV4997" s="185" t="s">
        <v>479</v>
      </c>
      <c r="AW4997" s="244">
        <v>1</v>
      </c>
      <c r="AX4997" s="185" t="s">
        <v>176</v>
      </c>
      <c r="AY4997" s="244" t="s">
        <v>5150</v>
      </c>
      <c r="AZ4997" s="58"/>
      <c r="BA4997" s="58"/>
      <c r="BB4997" s="58"/>
      <c r="BC4997" s="58"/>
      <c r="BD4997" s="58"/>
      <c r="BE4997" s="236" t="s">
        <v>5153</v>
      </c>
      <c r="BF4997" s="191" t="s">
        <v>176</v>
      </c>
      <c r="BG4997" s="191" t="s">
        <v>176</v>
      </c>
      <c r="BH4997" s="236" t="s">
        <v>5272</v>
      </c>
      <c r="BI4997" s="191" t="s">
        <v>479</v>
      </c>
      <c r="BJ4997" s="58" t="str">
        <f>IF(BE4997=BH4997,"No","yes")</f>
        <v>yes</v>
      </c>
      <c r="BK4997" s="58" t="s">
        <v>6335</v>
      </c>
      <c r="BL4997" s="58"/>
      <c r="BM4997" s="237"/>
      <c r="BN4997" s="244">
        <v>15</v>
      </c>
      <c r="BO4997" s="244">
        <v>15</v>
      </c>
      <c r="BP4997" s="58"/>
      <c r="BQ4997" s="58"/>
      <c r="BR4997" s="58"/>
      <c r="BS4997" s="58"/>
      <c r="BT4997" s="58"/>
      <c r="BU4997" s="58"/>
      <c r="BV4997" s="58"/>
      <c r="BW4997" s="67"/>
      <c r="BX4997" s="67"/>
      <c r="BY4997" s="67"/>
      <c r="BZ4997" s="67"/>
      <c r="CA4997" s="67"/>
      <c r="CB4997" s="70"/>
      <c r="CC4997" s="70"/>
      <c r="CD4997" s="70"/>
      <c r="CE4997" s="67"/>
      <c r="CF4997" s="67"/>
      <c r="CG4997" s="67"/>
      <c r="CH4997" s="245"/>
      <c r="CI4997" s="245"/>
      <c r="CJ4997" s="67"/>
      <c r="CK4997" s="67"/>
      <c r="CL4997" s="67"/>
      <c r="CM4997" s="242"/>
      <c r="CN4997" s="242"/>
      <c r="CO4997" s="242"/>
      <c r="CP4997" s="242"/>
      <c r="CQ4997" s="242"/>
      <c r="CR4997" s="242"/>
      <c r="CS4997" s="242"/>
      <c r="CT4997" s="242"/>
      <c r="CU4997" s="242"/>
      <c r="CV4997" s="242"/>
      <c r="CW4997" s="242"/>
      <c r="CX4997" s="242"/>
      <c r="CY4997" s="242"/>
      <c r="CZ4997" s="242"/>
      <c r="DA4997" s="67"/>
      <c r="DB4997" s="67"/>
      <c r="DC4997" s="67"/>
      <c r="DD4997" s="67"/>
      <c r="DE4997" s="67"/>
      <c r="DF4997" s="67"/>
      <c r="DG4997" s="67"/>
      <c r="DH4997" s="67"/>
      <c r="DI4997" s="67"/>
      <c r="DJ4997" s="67"/>
      <c r="DK4997" s="67"/>
      <c r="DL4997" s="67"/>
      <c r="DM4997" s="67"/>
      <c r="DN4997" s="67"/>
      <c r="DO4997" s="67"/>
      <c r="DP4997" s="67"/>
      <c r="DQ4997" s="166"/>
      <c r="DR4997" s="166"/>
      <c r="DS4997" s="163"/>
      <c r="DT4997" s="163"/>
      <c r="DU4997" s="67"/>
      <c r="DV4997" s="67"/>
      <c r="DW4997" s="67"/>
      <c r="DX4997" s="67"/>
      <c r="DY4997" s="67"/>
      <c r="DZ4997" s="67"/>
      <c r="EA4997" s="67"/>
      <c r="EB4997" s="67"/>
      <c r="EC4997" s="67"/>
      <c r="ED4997" s="67"/>
      <c r="EE4997" s="67"/>
      <c r="EF4997" s="67"/>
      <c r="EG4997" s="67"/>
      <c r="EH4997" s="67"/>
      <c r="EI4997" s="67"/>
      <c r="EJ4997" s="67"/>
      <c r="EK4997" s="94"/>
      <c r="EL4997" s="94"/>
      <c r="EM4997" s="67"/>
      <c r="EN4997" s="67"/>
      <c r="EO4997" s="67"/>
      <c r="EP4997" s="67"/>
      <c r="EQ4997" s="67"/>
      <c r="ER4997" s="67"/>
      <c r="ES4997" s="67"/>
      <c r="ET4997" s="67"/>
      <c r="EU4997" s="67"/>
      <c r="EV4997" s="67"/>
      <c r="EW4997" s="67"/>
      <c r="EX4997" s="67"/>
      <c r="EY4997" s="67"/>
      <c r="EZ4997" s="67"/>
      <c r="FA4997" s="67"/>
      <c r="FB4997" s="67"/>
      <c r="FC4997" s="67"/>
      <c r="FD4997" s="67"/>
      <c r="FE4997" s="67"/>
      <c r="FF4997" s="67"/>
      <c r="FG4997" s="67"/>
      <c r="FH4997" s="67"/>
      <c r="FI4997" s="67"/>
      <c r="FJ4997" s="67"/>
      <c r="FK4997" s="67"/>
      <c r="FL4997" s="67"/>
      <c r="FM4997" s="67"/>
      <c r="FN4997" s="67"/>
      <c r="FO4997" s="67"/>
      <c r="FP4997" s="67"/>
      <c r="FQ4997" s="67"/>
      <c r="FR4997" s="67"/>
      <c r="FS4997" s="67"/>
      <c r="FT4997" s="67"/>
      <c r="FU4997" s="67"/>
      <c r="FV4997" s="67"/>
      <c r="FW4997" s="67"/>
      <c r="FX4997" s="67"/>
      <c r="FY4997" s="67"/>
      <c r="FZ4997" s="67"/>
      <c r="GA4997" s="67"/>
      <c r="GB4997" s="67"/>
      <c r="GC4997" s="67"/>
      <c r="GD4997" s="67"/>
      <c r="GE4997" s="67"/>
      <c r="GF4997" s="67"/>
      <c r="GG4997" s="67"/>
      <c r="GH4997" s="67"/>
      <c r="GI4997" s="67"/>
      <c r="GJ4997" s="67"/>
      <c r="GK4997" s="67"/>
      <c r="GL4997" s="67"/>
      <c r="GM4997" s="67"/>
      <c r="GN4997" s="292"/>
      <c r="GO4997" s="292"/>
      <c r="GP4997" s="292" t="s">
        <v>7494</v>
      </c>
      <c r="GQ4997" s="67"/>
      <c r="GR4997" s="67"/>
      <c r="GS4997" s="67"/>
      <c r="GT4997" s="67"/>
      <c r="GU4997" s="67"/>
      <c r="GV4997" s="67"/>
      <c r="GW4997" s="67"/>
      <c r="GX4997" s="67"/>
      <c r="GY4997" s="67"/>
      <c r="GZ4997" s="67"/>
      <c r="HA4997" s="67"/>
      <c r="HB4997" s="67"/>
      <c r="HC4997" s="67"/>
      <c r="HD4997" s="67">
        <v>6.1</v>
      </c>
      <c r="HE4997" s="67">
        <v>6.57</v>
      </c>
      <c r="HF4997" s="67"/>
      <c r="HG4997" s="67"/>
      <c r="HH4997" s="67" t="s">
        <v>5587</v>
      </c>
      <c r="HI4997" s="67"/>
      <c r="HJ4997" s="67"/>
      <c r="HK4997" s="67"/>
      <c r="HL4997" s="67"/>
      <c r="HM4997" s="67"/>
      <c r="HN4997" s="67"/>
      <c r="HO4997" s="67"/>
      <c r="HP4997" s="67"/>
      <c r="HQ4997" s="67"/>
      <c r="HR4997" s="67"/>
      <c r="HS4997" s="67"/>
      <c r="HT4997" s="67"/>
      <c r="HU4997" s="67"/>
      <c r="HV4997" s="67"/>
      <c r="HW4997" s="67"/>
      <c r="HX4997" s="67"/>
      <c r="HY4997" s="67"/>
      <c r="HZ4997" s="67"/>
      <c r="IA4997" s="67"/>
      <c r="IB4997" s="67"/>
      <c r="IC4997" s="67"/>
      <c r="ID4997" s="67"/>
      <c r="IE4997" s="67"/>
      <c r="IF4997" s="67"/>
      <c r="IG4997" s="67"/>
      <c r="IH4997" s="67"/>
      <c r="II4997" s="67"/>
      <c r="IJ4997" s="67"/>
      <c r="IK4997" s="67"/>
      <c r="IL4997" s="67"/>
      <c r="IM4997" s="67"/>
      <c r="IN4997" s="67"/>
      <c r="IO4997" s="67"/>
      <c r="IP4997" s="67"/>
      <c r="IQ4997" s="67"/>
      <c r="IR4997" s="67"/>
      <c r="IS4997" s="67"/>
      <c r="IT4997" s="67"/>
      <c r="IU4997" s="67"/>
      <c r="IV4997" s="67"/>
      <c r="IW4997" s="67"/>
      <c r="IX4997" s="67"/>
      <c r="IY4997" s="67"/>
      <c r="IZ4997" s="67"/>
      <c r="JA4997" s="67"/>
      <c r="JB4997" s="67"/>
      <c r="JC4997" s="67"/>
      <c r="JD4997" s="67"/>
      <c r="JE4997" s="67"/>
      <c r="JF4997" s="67"/>
      <c r="JG4997" s="67"/>
      <c r="JH4997" s="67"/>
      <c r="JI4997" s="67"/>
      <c r="JJ4997" s="67"/>
      <c r="JK4997" s="67"/>
      <c r="JL4997" s="67"/>
      <c r="JM4997" s="67"/>
      <c r="JN4997" s="67"/>
      <c r="JO4997" s="67"/>
      <c r="JP4997" s="67"/>
      <c r="JQ4997" s="67"/>
      <c r="JR4997" s="67"/>
      <c r="JS4997" s="67"/>
      <c r="JT4997" s="67"/>
      <c r="JU4997" s="58"/>
      <c r="JV4997" s="58"/>
      <c r="JW4997" s="58"/>
    </row>
    <row r="4998" spans="1:283" s="23" customFormat="1" x14ac:dyDescent="0.25">
      <c r="A4998" s="55">
        <v>4997</v>
      </c>
      <c r="B4998" s="12" t="s">
        <v>7067</v>
      </c>
      <c r="C4998" s="156">
        <v>251</v>
      </c>
      <c r="D4998" s="58" t="s">
        <v>5582</v>
      </c>
      <c r="E4998" s="160" t="str">
        <f>G4998</f>
        <v>Mazzoncini et al 2010</v>
      </c>
      <c r="F4998" s="160"/>
      <c r="G4998" s="60" t="s">
        <v>4747</v>
      </c>
      <c r="H4998" s="58">
        <v>2010</v>
      </c>
      <c r="I4998" s="58" t="s">
        <v>5483</v>
      </c>
      <c r="J4998" s="243" t="s">
        <v>5317</v>
      </c>
      <c r="K4998" s="63" t="s">
        <v>5094</v>
      </c>
      <c r="L4998" s="58" t="s">
        <v>2741</v>
      </c>
      <c r="M4998" s="94">
        <f>43+40/60</f>
        <v>43.666666666666664</v>
      </c>
      <c r="N4998" s="94">
        <f>10+19/60</f>
        <v>10.316666666666666</v>
      </c>
      <c r="O4998" s="94">
        <v>6</v>
      </c>
      <c r="P4998" s="58"/>
      <c r="Q4998" s="244">
        <v>14.5</v>
      </c>
      <c r="R4998" s="58"/>
      <c r="S4998" s="245">
        <v>853</v>
      </c>
      <c r="T4998" s="58"/>
      <c r="U4998" s="58" t="s">
        <v>1688</v>
      </c>
      <c r="V4998" s="244">
        <v>5</v>
      </c>
      <c r="W4998" s="174"/>
      <c r="X4998" s="174"/>
      <c r="Y4998" s="58" t="s">
        <v>5569</v>
      </c>
      <c r="Z4998" s="244" t="s">
        <v>1367</v>
      </c>
      <c r="AA4998" s="245">
        <v>25</v>
      </c>
      <c r="AB4998" s="67"/>
      <c r="AC4998" s="67"/>
      <c r="AD4998" s="94"/>
      <c r="AE4998" s="94"/>
      <c r="AF4998" s="94"/>
      <c r="AG4998" s="245">
        <v>23</v>
      </c>
      <c r="AH4998" s="94" t="s">
        <v>139</v>
      </c>
      <c r="AI4998" s="169" t="s">
        <v>5573</v>
      </c>
      <c r="AJ4998" s="94">
        <v>0.93500000000000005</v>
      </c>
      <c r="AL4998" s="58"/>
      <c r="AM4998" s="58" t="s">
        <v>5572</v>
      </c>
      <c r="AN4998" s="186" t="s">
        <v>5570</v>
      </c>
      <c r="AO4998" s="185" t="s">
        <v>5150</v>
      </c>
      <c r="AP4998" s="58"/>
      <c r="AQ4998" s="58" t="s">
        <v>553</v>
      </c>
      <c r="AR4998" s="58" t="s">
        <v>5571</v>
      </c>
      <c r="AS4998" s="246" t="s">
        <v>4584</v>
      </c>
      <c r="AT4998" s="247">
        <v>0</v>
      </c>
      <c r="AU4998" s="181" t="s">
        <v>7494</v>
      </c>
      <c r="AV4998" s="185" t="s">
        <v>479</v>
      </c>
      <c r="AW4998" s="244">
        <v>1</v>
      </c>
      <c r="AX4998" s="185" t="s">
        <v>176</v>
      </c>
      <c r="AY4998" s="244" t="s">
        <v>5150</v>
      </c>
      <c r="AZ4998" s="58"/>
      <c r="BA4998" s="58"/>
      <c r="BB4998" s="58"/>
      <c r="BC4998" s="58"/>
      <c r="BD4998" s="58"/>
      <c r="BE4998" s="236" t="s">
        <v>5153</v>
      </c>
      <c r="BF4998" s="191" t="s">
        <v>176</v>
      </c>
      <c r="BG4998" s="191" t="s">
        <v>176</v>
      </c>
      <c r="BH4998" s="236" t="s">
        <v>5272</v>
      </c>
      <c r="BI4998" s="191" t="s">
        <v>479</v>
      </c>
      <c r="BJ4998" s="58" t="str">
        <f>IF(BE4998=BH4998,"No","yes")</f>
        <v>yes</v>
      </c>
      <c r="BK4998" s="58" t="s">
        <v>6335</v>
      </c>
      <c r="BL4998" s="58"/>
      <c r="BM4998" s="237"/>
      <c r="BN4998" s="244">
        <v>15</v>
      </c>
      <c r="BO4998" s="244">
        <v>15</v>
      </c>
      <c r="BP4998" s="58"/>
      <c r="BQ4998" s="58"/>
      <c r="BR4998" s="58"/>
      <c r="BS4998" s="58"/>
      <c r="BT4998" s="58"/>
      <c r="BU4998" s="58"/>
      <c r="BV4998" s="58"/>
      <c r="BW4998" s="67"/>
      <c r="BX4998" s="67"/>
      <c r="BY4998" s="67"/>
      <c r="BZ4998" s="67"/>
      <c r="CA4998" s="67"/>
      <c r="CB4998" s="70"/>
      <c r="CC4998" s="70"/>
      <c r="CD4998" s="70"/>
      <c r="CE4998" s="67"/>
      <c r="CF4998" s="67"/>
      <c r="CG4998" s="67"/>
      <c r="CH4998" s="245"/>
      <c r="CI4998" s="245"/>
      <c r="CJ4998" s="67"/>
      <c r="CK4998" s="67"/>
      <c r="CL4998" s="67"/>
      <c r="CM4998" s="242"/>
      <c r="CN4998" s="242"/>
      <c r="CO4998" s="242"/>
      <c r="CP4998" s="242"/>
      <c r="CQ4998" s="242"/>
      <c r="CR4998" s="242"/>
      <c r="CS4998" s="242"/>
      <c r="CT4998" s="242"/>
      <c r="CU4998" s="242"/>
      <c r="CV4998" s="242"/>
      <c r="CW4998" s="242"/>
      <c r="CX4998" s="242"/>
      <c r="CY4998" s="242"/>
      <c r="CZ4998" s="242"/>
      <c r="DA4998" s="67"/>
      <c r="DB4998" s="67"/>
      <c r="DC4998" s="67"/>
      <c r="DD4998" s="67"/>
      <c r="DE4998" s="67"/>
      <c r="DF4998" s="67"/>
      <c r="DG4998" s="67"/>
      <c r="DH4998" s="67"/>
      <c r="DI4998" s="67"/>
      <c r="DJ4998" s="67"/>
      <c r="DK4998" s="67"/>
      <c r="DL4998" s="67"/>
      <c r="DM4998" s="67"/>
      <c r="DN4998" s="67"/>
      <c r="DO4998" s="67"/>
      <c r="DP4998" s="67"/>
      <c r="DQ4998" s="166"/>
      <c r="DR4998" s="166"/>
      <c r="DS4998" s="163"/>
      <c r="DT4998" s="163"/>
      <c r="DU4998" s="67"/>
      <c r="DV4998" s="67"/>
      <c r="DW4998" s="67"/>
      <c r="DX4998" s="67"/>
      <c r="DY4998" s="67"/>
      <c r="DZ4998" s="67"/>
      <c r="EA4998" s="67"/>
      <c r="EB4998" s="67"/>
      <c r="EC4998" s="67"/>
      <c r="ED4998" s="67"/>
      <c r="EE4998" s="67"/>
      <c r="EF4998" s="67"/>
      <c r="EG4998" s="67"/>
      <c r="EH4998" s="67"/>
      <c r="EI4998" s="67"/>
      <c r="EJ4998" s="67"/>
      <c r="EK4998" s="94"/>
      <c r="EL4998" s="94"/>
      <c r="EM4998" s="67"/>
      <c r="EN4998" s="67"/>
      <c r="EO4998" s="67"/>
      <c r="EP4998" s="67"/>
      <c r="EQ4998" s="67"/>
      <c r="ER4998" s="67"/>
      <c r="ES4998" s="67"/>
      <c r="ET4998" s="67"/>
      <c r="EU4998" s="67"/>
      <c r="EV4998" s="67"/>
      <c r="EW4998" s="67"/>
      <c r="EX4998" s="67"/>
      <c r="EY4998" s="67"/>
      <c r="EZ4998" s="67"/>
      <c r="FA4998" s="67"/>
      <c r="FB4998" s="67"/>
      <c r="FC4998" s="67"/>
      <c r="FD4998" s="67"/>
      <c r="FE4998" s="67"/>
      <c r="FF4998" s="67"/>
      <c r="FG4998" s="67"/>
      <c r="FH4998" s="67"/>
      <c r="FI4998" s="67"/>
      <c r="FJ4998" s="67"/>
      <c r="FK4998" s="67"/>
      <c r="FL4998" s="67"/>
      <c r="FM4998" s="67"/>
      <c r="FN4998" s="67"/>
      <c r="FO4998" s="67"/>
      <c r="FP4998" s="67"/>
      <c r="FQ4998" s="67"/>
      <c r="FR4998" s="67"/>
      <c r="FS4998" s="67"/>
      <c r="FT4998" s="67"/>
      <c r="FU4998" s="67"/>
      <c r="FV4998" s="67"/>
      <c r="FW4998" s="67"/>
      <c r="FX4998" s="67"/>
      <c r="FY4998" s="67"/>
      <c r="FZ4998" s="67"/>
      <c r="GA4998" s="67"/>
      <c r="GB4998" s="67"/>
      <c r="GC4998" s="67"/>
      <c r="GD4998" s="67"/>
      <c r="GE4998" s="67"/>
      <c r="GF4998" s="67"/>
      <c r="GG4998" s="67"/>
      <c r="GH4998" s="67"/>
      <c r="GI4998" s="67"/>
      <c r="GJ4998" s="67"/>
      <c r="GK4998" s="67"/>
      <c r="GL4998" s="67"/>
      <c r="GM4998" s="67"/>
      <c r="GN4998" s="292"/>
      <c r="GO4998" s="292"/>
      <c r="GP4998" s="292" t="s">
        <v>7494</v>
      </c>
      <c r="GQ4998" s="67"/>
      <c r="GR4998" s="67"/>
      <c r="GS4998" s="67"/>
      <c r="GT4998" s="67"/>
      <c r="GU4998" s="67"/>
      <c r="GV4998" s="67"/>
      <c r="GW4998" s="67"/>
      <c r="GX4998" s="67"/>
      <c r="GY4998" s="67"/>
      <c r="GZ4998" s="67"/>
      <c r="HA4998" s="67"/>
      <c r="HB4998" s="67"/>
      <c r="HC4998" s="67"/>
      <c r="HD4998" s="67">
        <v>25.7</v>
      </c>
      <c r="HE4998" s="67">
        <v>41.5</v>
      </c>
      <c r="HF4998" s="67"/>
      <c r="HG4998" s="67"/>
      <c r="HH4998" s="67" t="s">
        <v>5588</v>
      </c>
      <c r="HI4998" s="67"/>
      <c r="HJ4998" s="67"/>
      <c r="HK4998" s="67"/>
      <c r="HL4998" s="67"/>
      <c r="HM4998" s="67"/>
      <c r="HN4998" s="67"/>
      <c r="HO4998" s="67"/>
      <c r="HP4998" s="67"/>
      <c r="HQ4998" s="67"/>
      <c r="HR4998" s="67"/>
      <c r="HS4998" s="67"/>
      <c r="HT4998" s="67"/>
      <c r="HU4998" s="67"/>
      <c r="HV4998" s="67"/>
      <c r="HW4998" s="67"/>
      <c r="HX4998" s="67"/>
      <c r="HY4998" s="67"/>
      <c r="HZ4998" s="67"/>
      <c r="IA4998" s="67"/>
      <c r="IB4998" s="67"/>
      <c r="IC4998" s="67"/>
      <c r="ID4998" s="67"/>
      <c r="IE4998" s="67"/>
      <c r="IF4998" s="67"/>
      <c r="IG4998" s="67"/>
      <c r="IH4998" s="67"/>
      <c r="II4998" s="67"/>
      <c r="IJ4998" s="67"/>
      <c r="IK4998" s="67"/>
      <c r="IL4998" s="67"/>
      <c r="IM4998" s="67"/>
      <c r="IN4998" s="67"/>
      <c r="IO4998" s="67"/>
      <c r="IP4998" s="67"/>
      <c r="IQ4998" s="67"/>
      <c r="IR4998" s="67"/>
      <c r="IS4998" s="67"/>
      <c r="IT4998" s="67"/>
      <c r="IU4998" s="67"/>
      <c r="IV4998" s="67"/>
      <c r="IW4998" s="67"/>
      <c r="IX4998" s="67"/>
      <c r="IY4998" s="67"/>
      <c r="IZ4998" s="67"/>
      <c r="JA4998" s="67"/>
      <c r="JB4998" s="67"/>
      <c r="JC4998" s="67"/>
      <c r="JD4998" s="67"/>
      <c r="JE4998" s="67"/>
      <c r="JF4998" s="67"/>
      <c r="JG4998" s="67"/>
      <c r="JH4998" s="67"/>
      <c r="JI4998" s="67"/>
      <c r="JJ4998" s="67"/>
      <c r="JK4998" s="67"/>
      <c r="JL4998" s="67"/>
      <c r="JM4998" s="67"/>
      <c r="JN4998" s="67"/>
      <c r="JO4998" s="67"/>
      <c r="JP4998" s="67"/>
      <c r="JQ4998" s="67"/>
      <c r="JR4998" s="67"/>
      <c r="JS4998" s="67"/>
      <c r="JT4998" s="67"/>
      <c r="JU4998" s="58"/>
      <c r="JV4998" s="58"/>
      <c r="JW4998" s="58"/>
    </row>
    <row r="4999" spans="1:283" s="23" customFormat="1" x14ac:dyDescent="0.25">
      <c r="A4999" s="55">
        <v>4998</v>
      </c>
      <c r="B4999" s="12" t="s">
        <v>7067</v>
      </c>
      <c r="C4999" s="156">
        <v>251</v>
      </c>
      <c r="D4999" s="58" t="s">
        <v>5583</v>
      </c>
      <c r="E4999" s="160" t="str">
        <f>G4999</f>
        <v>Mazzoncini et al 2010</v>
      </c>
      <c r="F4999" s="160"/>
      <c r="G4999" s="60" t="s">
        <v>4747</v>
      </c>
      <c r="H4999" s="58">
        <v>2010</v>
      </c>
      <c r="I4999" s="58" t="s">
        <v>5483</v>
      </c>
      <c r="J4999" s="243" t="s">
        <v>5317</v>
      </c>
      <c r="K4999" s="63" t="s">
        <v>5094</v>
      </c>
      <c r="L4999" s="58" t="s">
        <v>2741</v>
      </c>
      <c r="M4999" s="94">
        <f>43+40/60</f>
        <v>43.666666666666664</v>
      </c>
      <c r="N4999" s="94">
        <f>10+19/60</f>
        <v>10.316666666666666</v>
      </c>
      <c r="O4999" s="94">
        <v>6</v>
      </c>
      <c r="P4999" s="58"/>
      <c r="Q4999" s="244">
        <v>14.5</v>
      </c>
      <c r="R4999" s="58"/>
      <c r="S4999" s="245">
        <v>853</v>
      </c>
      <c r="T4999" s="58"/>
      <c r="U4999" s="58" t="s">
        <v>1688</v>
      </c>
      <c r="V4999" s="244">
        <v>5</v>
      </c>
      <c r="W4999" s="174"/>
      <c r="X4999" s="174"/>
      <c r="Y4999" s="58" t="s">
        <v>5569</v>
      </c>
      <c r="Z4999" s="244" t="s">
        <v>1367</v>
      </c>
      <c r="AA4999" s="245">
        <v>25</v>
      </c>
      <c r="AB4999" s="67"/>
      <c r="AC4999" s="67"/>
      <c r="AD4999" s="94"/>
      <c r="AE4999" s="94"/>
      <c r="AF4999" s="94"/>
      <c r="AG4999" s="245">
        <v>23</v>
      </c>
      <c r="AH4999" s="94" t="s">
        <v>139</v>
      </c>
      <c r="AI4999" s="169" t="s">
        <v>5573</v>
      </c>
      <c r="AJ4999" s="94">
        <v>0.93500000000000005</v>
      </c>
      <c r="AL4999" s="58"/>
      <c r="AM4999" s="58" t="s">
        <v>5572</v>
      </c>
      <c r="AN4999" s="186" t="s">
        <v>5570</v>
      </c>
      <c r="AO4999" s="185" t="s">
        <v>5150</v>
      </c>
      <c r="AP4999" s="58"/>
      <c r="AQ4999" s="58" t="s">
        <v>553</v>
      </c>
      <c r="AR4999" s="58" t="s">
        <v>5571</v>
      </c>
      <c r="AS4999" s="246" t="s">
        <v>4584</v>
      </c>
      <c r="AT4999" s="247">
        <v>0</v>
      </c>
      <c r="AU4999" s="181" t="s">
        <v>7494</v>
      </c>
      <c r="AV4999" s="185" t="s">
        <v>479</v>
      </c>
      <c r="AW4999" s="244">
        <v>1</v>
      </c>
      <c r="AX4999" s="185" t="s">
        <v>176</v>
      </c>
      <c r="AY4999" s="244" t="s">
        <v>5150</v>
      </c>
      <c r="AZ4999" s="58"/>
      <c r="BA4999" s="58"/>
      <c r="BB4999" s="58"/>
      <c r="BC4999" s="58"/>
      <c r="BD4999" s="58"/>
      <c r="BE4999" s="236" t="s">
        <v>5153</v>
      </c>
      <c r="BF4999" s="191" t="s">
        <v>176</v>
      </c>
      <c r="BG4999" s="191" t="s">
        <v>176</v>
      </c>
      <c r="BH4999" s="236" t="s">
        <v>5272</v>
      </c>
      <c r="BI4999" s="191" t="s">
        <v>479</v>
      </c>
      <c r="BJ4999" s="58" t="str">
        <f>IF(BE4999=BH4999,"No","yes")</f>
        <v>yes</v>
      </c>
      <c r="BK4999" s="58" t="s">
        <v>6335</v>
      </c>
      <c r="BL4999" s="58"/>
      <c r="BM4999" s="237"/>
      <c r="BN4999" s="244">
        <v>15</v>
      </c>
      <c r="BO4999" s="244">
        <v>15</v>
      </c>
      <c r="BP4999" s="58"/>
      <c r="BQ4999" s="58"/>
      <c r="BR4999" s="58"/>
      <c r="BS4999" s="58"/>
      <c r="BT4999" s="58"/>
      <c r="BU4999" s="58"/>
      <c r="BV4999" s="58"/>
      <c r="BW4999" s="67"/>
      <c r="BX4999" s="67"/>
      <c r="BY4999" s="67"/>
      <c r="BZ4999" s="67"/>
      <c r="CA4999" s="67"/>
      <c r="CB4999" s="70"/>
      <c r="CC4999" s="70"/>
      <c r="CD4999" s="70"/>
      <c r="CE4999" s="67"/>
      <c r="CF4999" s="67"/>
      <c r="CG4999" s="67"/>
      <c r="CH4999" s="245"/>
      <c r="CI4999" s="245"/>
      <c r="CJ4999" s="67"/>
      <c r="CK4999" s="67"/>
      <c r="CL4999" s="67"/>
      <c r="CM4999" s="242"/>
      <c r="CN4999" s="242"/>
      <c r="CO4999" s="242"/>
      <c r="CP4999" s="242"/>
      <c r="CQ4999" s="242"/>
      <c r="CR4999" s="242"/>
      <c r="CS4999" s="242"/>
      <c r="CT4999" s="242"/>
      <c r="CU4999" s="242"/>
      <c r="CV4999" s="242"/>
      <c r="CW4999" s="242"/>
      <c r="CX4999" s="242"/>
      <c r="CY4999" s="242"/>
      <c r="CZ4999" s="242"/>
      <c r="DA4999" s="67"/>
      <c r="DB4999" s="67"/>
      <c r="DC4999" s="67"/>
      <c r="DD4999" s="67"/>
      <c r="DE4999" s="67"/>
      <c r="DF4999" s="67"/>
      <c r="DG4999" s="67"/>
      <c r="DH4999" s="67"/>
      <c r="DI4999" s="67"/>
      <c r="DJ4999" s="67"/>
      <c r="DK4999" s="67"/>
      <c r="DL4999" s="67"/>
      <c r="DM4999" s="67"/>
      <c r="DN4999" s="67"/>
      <c r="DO4999" s="67"/>
      <c r="DP4999" s="67"/>
      <c r="DQ4999" s="166"/>
      <c r="DR4999" s="166"/>
      <c r="DS4999" s="163"/>
      <c r="DT4999" s="163"/>
      <c r="DU4999" s="67"/>
      <c r="DV4999" s="67"/>
      <c r="DW4999" s="67"/>
      <c r="DX4999" s="67"/>
      <c r="DY4999" s="67"/>
      <c r="DZ4999" s="67"/>
      <c r="EA4999" s="67"/>
      <c r="EB4999" s="67"/>
      <c r="EC4999" s="67"/>
      <c r="ED4999" s="67"/>
      <c r="EE4999" s="67"/>
      <c r="EF4999" s="67"/>
      <c r="EG4999" s="67"/>
      <c r="EH4999" s="67"/>
      <c r="EI4999" s="67"/>
      <c r="EJ4999" s="67"/>
      <c r="EK4999" s="94"/>
      <c r="EL4999" s="94"/>
      <c r="EM4999" s="67"/>
      <c r="EN4999" s="67"/>
      <c r="EO4999" s="67"/>
      <c r="EP4999" s="67"/>
      <c r="EQ4999" s="67"/>
      <c r="ER4999" s="67"/>
      <c r="ES4999" s="67"/>
      <c r="ET4999" s="67"/>
      <c r="EU4999" s="67"/>
      <c r="EV4999" s="67"/>
      <c r="EW4999" s="67"/>
      <c r="EX4999" s="67"/>
      <c r="EY4999" s="67"/>
      <c r="EZ4999" s="67"/>
      <c r="FA4999" s="67"/>
      <c r="FB4999" s="67"/>
      <c r="FC4999" s="67"/>
      <c r="FD4999" s="67"/>
      <c r="FE4999" s="67"/>
      <c r="FF4999" s="67"/>
      <c r="FG4999" s="67"/>
      <c r="FH4999" s="67"/>
      <c r="FI4999" s="67"/>
      <c r="FJ4999" s="67"/>
      <c r="FK4999" s="67"/>
      <c r="FL4999" s="67"/>
      <c r="FM4999" s="67"/>
      <c r="FN4999" s="67"/>
      <c r="FO4999" s="67"/>
      <c r="FP4999" s="67"/>
      <c r="FQ4999" s="67"/>
      <c r="FR4999" s="67"/>
      <c r="FS4999" s="67"/>
      <c r="FT4999" s="67"/>
      <c r="FU4999" s="67"/>
      <c r="FV4999" s="67"/>
      <c r="FW4999" s="67"/>
      <c r="FX4999" s="67"/>
      <c r="FY4999" s="67"/>
      <c r="FZ4999" s="67"/>
      <c r="GA4999" s="67"/>
      <c r="GB4999" s="67"/>
      <c r="GC4999" s="67"/>
      <c r="GD4999" s="67"/>
      <c r="GE4999" s="67"/>
      <c r="GF4999" s="67"/>
      <c r="GG4999" s="67"/>
      <c r="GH4999" s="67"/>
      <c r="GI4999" s="67"/>
      <c r="GJ4999" s="67"/>
      <c r="GK4999" s="67"/>
      <c r="GL4999" s="67"/>
      <c r="GM4999" s="67"/>
      <c r="GN4999" s="292"/>
      <c r="GO4999" s="292"/>
      <c r="GP4999" s="292" t="s">
        <v>7494</v>
      </c>
      <c r="GQ4999" s="67"/>
      <c r="GR4999" s="67"/>
      <c r="GS4999" s="67"/>
      <c r="GT4999" s="67"/>
      <c r="GU4999" s="67"/>
      <c r="GV4999" s="67"/>
      <c r="GW4999" s="67"/>
      <c r="GX4999" s="67"/>
      <c r="GY4999" s="67"/>
      <c r="GZ4999" s="67"/>
      <c r="HA4999" s="67"/>
      <c r="HB4999" s="67"/>
      <c r="HC4999" s="67"/>
      <c r="HD4999" s="67">
        <v>5.41</v>
      </c>
      <c r="HE4999" s="67">
        <v>4.4800000000000004</v>
      </c>
      <c r="HF4999" s="67"/>
      <c r="HG4999" s="67"/>
      <c r="HH4999" s="67" t="s">
        <v>5589</v>
      </c>
      <c r="HI4999" s="67"/>
      <c r="HJ4999" s="67"/>
      <c r="HK4999" s="67"/>
      <c r="HL4999" s="67"/>
      <c r="HM4999" s="67"/>
      <c r="HN4999" s="67"/>
      <c r="HO4999" s="67"/>
      <c r="HP4999" s="67"/>
      <c r="HQ4999" s="67"/>
      <c r="HR4999" s="67"/>
      <c r="HS4999" s="67"/>
      <c r="HT4999" s="67"/>
      <c r="HU4999" s="67"/>
      <c r="HV4999" s="67"/>
      <c r="HW4999" s="67"/>
      <c r="HX4999" s="67"/>
      <c r="HY4999" s="67"/>
      <c r="HZ4999" s="67"/>
      <c r="IA4999" s="67"/>
      <c r="IB4999" s="67"/>
      <c r="IC4999" s="67"/>
      <c r="ID4999" s="67"/>
      <c r="IE4999" s="67"/>
      <c r="IF4999" s="67"/>
      <c r="IG4999" s="67"/>
      <c r="IH4999" s="67"/>
      <c r="II4999" s="67"/>
      <c r="IJ4999" s="67"/>
      <c r="IK4999" s="67"/>
      <c r="IL4999" s="67"/>
      <c r="IM4999" s="67"/>
      <c r="IN4999" s="67"/>
      <c r="IO4999" s="67"/>
      <c r="IP4999" s="67"/>
      <c r="IQ4999" s="67"/>
      <c r="IR4999" s="67"/>
      <c r="IS4999" s="67"/>
      <c r="IT4999" s="67"/>
      <c r="IU4999" s="67"/>
      <c r="IV4999" s="67"/>
      <c r="IW4999" s="67"/>
      <c r="IX4999" s="67"/>
      <c r="IY4999" s="67"/>
      <c r="IZ4999" s="67"/>
      <c r="JA4999" s="67"/>
      <c r="JB4999" s="67"/>
      <c r="JC4999" s="67"/>
      <c r="JD4999" s="67"/>
      <c r="JE4999" s="67"/>
      <c r="JF4999" s="67"/>
      <c r="JG4999" s="67"/>
      <c r="JH4999" s="67"/>
      <c r="JI4999" s="67"/>
      <c r="JJ4999" s="67"/>
      <c r="JK4999" s="67"/>
      <c r="JL4999" s="67"/>
      <c r="JM4999" s="67"/>
      <c r="JN4999" s="67"/>
      <c r="JO4999" s="67"/>
      <c r="JP4999" s="67"/>
      <c r="JQ4999" s="67"/>
      <c r="JR4999" s="67"/>
      <c r="JS4999" s="67"/>
      <c r="JT4999" s="67"/>
      <c r="JU4999" s="58"/>
      <c r="JV4999" s="58"/>
      <c r="JW4999" s="58"/>
    </row>
    <row r="5000" spans="1:283" s="23" customFormat="1" x14ac:dyDescent="0.25">
      <c r="A5000" s="55">
        <v>4999</v>
      </c>
      <c r="B5000" s="12" t="s">
        <v>7067</v>
      </c>
      <c r="C5000" s="156">
        <v>252</v>
      </c>
      <c r="D5000" s="58" t="s">
        <v>4981</v>
      </c>
      <c r="E5000" s="160" t="str">
        <f>G5000</f>
        <v>Melero et al 2007_pair 1</v>
      </c>
      <c r="F5000" s="160"/>
      <c r="G5000" s="60" t="s">
        <v>4746</v>
      </c>
      <c r="H5000" s="58">
        <v>2007</v>
      </c>
      <c r="I5000" s="58" t="s">
        <v>5599</v>
      </c>
      <c r="J5000" s="243" t="s">
        <v>4394</v>
      </c>
      <c r="K5000" s="63" t="s">
        <v>5093</v>
      </c>
      <c r="L5000" s="58" t="s">
        <v>4516</v>
      </c>
      <c r="M5000" s="94">
        <f>37+8.5/60</f>
        <v>37.141666666666666</v>
      </c>
      <c r="N5000" s="94">
        <f>-5-16/60</f>
        <v>-5.2666666666666666</v>
      </c>
      <c r="O5000" s="94">
        <v>218</v>
      </c>
      <c r="P5000" s="58"/>
      <c r="Q5000" s="244">
        <v>18.2</v>
      </c>
      <c r="R5000" s="58"/>
      <c r="S5000" s="245">
        <v>534</v>
      </c>
      <c r="T5000" s="58"/>
      <c r="U5000" s="58" t="s">
        <v>1816</v>
      </c>
      <c r="V5000" s="244" t="s">
        <v>1801</v>
      </c>
      <c r="W5000" s="174"/>
      <c r="X5000" s="174"/>
      <c r="Y5000" s="58" t="s">
        <v>5590</v>
      </c>
      <c r="Z5000" s="244" t="s">
        <v>1349</v>
      </c>
      <c r="AA5000" s="245">
        <v>15</v>
      </c>
      <c r="AB5000" s="67"/>
      <c r="AC5000" s="67"/>
      <c r="AD5000" s="94"/>
      <c r="AE5000" s="94">
        <v>26</v>
      </c>
      <c r="AF5000" s="94">
        <v>51</v>
      </c>
      <c r="AG5000" s="245">
        <v>23</v>
      </c>
      <c r="AH5000" s="58" t="s">
        <v>6378</v>
      </c>
      <c r="AI5000" s="169" t="s">
        <v>5594</v>
      </c>
      <c r="AJ5000" s="94">
        <v>1.34</v>
      </c>
      <c r="AK5000" s="94"/>
      <c r="AL5000" s="58"/>
      <c r="AM5000" s="58" t="s">
        <v>5451</v>
      </c>
      <c r="AN5000" s="186" t="s">
        <v>553</v>
      </c>
      <c r="AO5000" s="185" t="s">
        <v>5150</v>
      </c>
      <c r="AP5000" s="58"/>
      <c r="AQ5000" s="58" t="s">
        <v>553</v>
      </c>
      <c r="AR5000" s="58" t="s">
        <v>5591</v>
      </c>
      <c r="AS5000" s="246" t="s">
        <v>227</v>
      </c>
      <c r="AT5000" s="247">
        <v>0</v>
      </c>
      <c r="AU5000" s="181" t="s">
        <v>7494</v>
      </c>
      <c r="AV5000" s="185" t="s">
        <v>176</v>
      </c>
      <c r="AW5000" s="244">
        <v>0</v>
      </c>
      <c r="AX5000" s="185" t="s">
        <v>176</v>
      </c>
      <c r="AY5000" s="244" t="s">
        <v>176</v>
      </c>
      <c r="AZ5000" s="58" t="s">
        <v>5593</v>
      </c>
      <c r="BA5000" s="58" t="s">
        <v>5593</v>
      </c>
      <c r="BB5000" s="58" t="s">
        <v>2081</v>
      </c>
      <c r="BC5000" s="58" t="s">
        <v>2081</v>
      </c>
      <c r="BD5000" s="58" t="s">
        <v>176</v>
      </c>
      <c r="BE5000" s="236" t="s">
        <v>5205</v>
      </c>
      <c r="BF5000" s="191" t="s">
        <v>479</v>
      </c>
      <c r="BG5000" s="191" t="s">
        <v>479</v>
      </c>
      <c r="BH5000" s="236" t="s">
        <v>5273</v>
      </c>
      <c r="BI5000" s="191" t="s">
        <v>479</v>
      </c>
      <c r="BJ5000" s="58" t="str">
        <f>IF(BE5000=BH5000,"No","yes")</f>
        <v>yes</v>
      </c>
      <c r="BK5000" s="58" t="s">
        <v>6335</v>
      </c>
      <c r="BL5000" s="58"/>
      <c r="BM5000" s="237"/>
      <c r="BN5000" s="244">
        <v>4</v>
      </c>
      <c r="BO5000" s="244">
        <v>4</v>
      </c>
      <c r="BP5000" s="58"/>
      <c r="BQ5000" s="58"/>
      <c r="BR5000" s="58"/>
      <c r="BS5000" s="58"/>
      <c r="BT5000" s="58"/>
      <c r="BU5000" s="58"/>
      <c r="BV5000" s="58" t="s">
        <v>5595</v>
      </c>
      <c r="BW5000" s="67"/>
      <c r="BX5000" s="67"/>
      <c r="BY5000" s="67"/>
      <c r="BZ5000" s="67"/>
      <c r="CA5000" s="67"/>
      <c r="CB5000" s="70"/>
      <c r="CC5000" s="70"/>
      <c r="CD5000" s="70"/>
      <c r="CE5000" s="67"/>
      <c r="CF5000" s="67"/>
      <c r="CG5000" s="67"/>
      <c r="CH5000" s="245"/>
      <c r="CI5000" s="245"/>
      <c r="CJ5000" s="67"/>
      <c r="CK5000" s="67"/>
      <c r="CL5000" s="67"/>
      <c r="CM5000" s="242">
        <v>0.84</v>
      </c>
      <c r="CN5000" s="242">
        <v>2</v>
      </c>
      <c r="CO5000" s="242"/>
      <c r="CP5000" s="242"/>
      <c r="CQ5000" s="242" t="s">
        <v>164</v>
      </c>
      <c r="CR5000" s="242"/>
      <c r="CS5000" s="242"/>
      <c r="CT5000" s="242"/>
      <c r="CU5000" s="242"/>
      <c r="CV5000" s="242" t="s">
        <v>5151</v>
      </c>
      <c r="CW5000" s="242"/>
      <c r="CX5000" s="242"/>
      <c r="CY5000" s="242"/>
      <c r="CZ5000" s="242"/>
      <c r="DA5000" s="67" t="s">
        <v>5443</v>
      </c>
      <c r="DB5000" s="67"/>
      <c r="DC5000" s="67"/>
      <c r="DD5000" s="67"/>
      <c r="DE5000" s="67"/>
      <c r="DF5000" s="67"/>
      <c r="DG5000" s="67"/>
      <c r="DH5000" s="67"/>
      <c r="DI5000" s="67"/>
      <c r="DJ5000" s="67"/>
      <c r="DK5000" s="67"/>
      <c r="DL5000" s="67">
        <v>1.1000000000000001</v>
      </c>
      <c r="DM5000" s="67">
        <v>2.7</v>
      </c>
      <c r="DN5000" s="67"/>
      <c r="DO5000" s="67"/>
      <c r="DP5000" s="67" t="s">
        <v>5600</v>
      </c>
      <c r="DQ5000" s="166">
        <v>8.51</v>
      </c>
      <c r="DR5000" s="166">
        <v>8.3800000000000008</v>
      </c>
      <c r="DS5000" s="163"/>
      <c r="DT5000" s="163"/>
      <c r="DU5000" s="67"/>
      <c r="DV5000" s="67"/>
      <c r="DW5000" s="67"/>
      <c r="DX5000" s="67"/>
      <c r="DY5000" s="67"/>
      <c r="DZ5000" s="67"/>
      <c r="EA5000" s="67">
        <v>0.33</v>
      </c>
      <c r="EB5000" s="67">
        <v>0.56999999999999995</v>
      </c>
      <c r="EC5000" s="67"/>
      <c r="ED5000" s="67"/>
      <c r="EE5000" s="67" t="s">
        <v>5433</v>
      </c>
      <c r="EF5000" s="67"/>
      <c r="EG5000" s="67"/>
      <c r="EH5000" s="67"/>
      <c r="EI5000" s="67"/>
      <c r="EJ5000" s="67"/>
      <c r="EK5000" s="94"/>
      <c r="EL5000" s="94"/>
      <c r="EM5000" s="67"/>
      <c r="EN5000" s="67"/>
      <c r="EO5000" s="67"/>
      <c r="EP5000" s="67"/>
      <c r="EQ5000" s="67"/>
      <c r="ER5000" s="67"/>
      <c r="ES5000" s="67"/>
      <c r="ET5000" s="67"/>
      <c r="EU5000" s="67"/>
      <c r="EV5000" s="67"/>
      <c r="EW5000" s="67"/>
      <c r="EX5000" s="67"/>
      <c r="EY5000" s="67"/>
      <c r="EZ5000" s="67"/>
      <c r="FA5000" s="67"/>
      <c r="FB5000" s="67"/>
      <c r="FC5000" s="67"/>
      <c r="FD5000" s="67"/>
      <c r="FE5000" s="67"/>
      <c r="FF5000" s="67"/>
      <c r="FG5000" s="67"/>
      <c r="FH5000" s="67"/>
      <c r="FI5000" s="67"/>
      <c r="FJ5000" s="67"/>
      <c r="FK5000" s="67"/>
      <c r="FL5000" s="67"/>
      <c r="FM5000" s="67"/>
      <c r="FN5000" s="67"/>
      <c r="FO5000" s="67"/>
      <c r="FP5000" s="67"/>
      <c r="FQ5000" s="67"/>
      <c r="FR5000" s="67"/>
      <c r="FS5000" s="67"/>
      <c r="FT5000" s="67"/>
      <c r="FU5000" s="67"/>
      <c r="FV5000" s="67"/>
      <c r="FW5000" s="67"/>
      <c r="FX5000" s="67"/>
      <c r="FY5000" s="67"/>
      <c r="FZ5000" s="67"/>
      <c r="GA5000" s="67"/>
      <c r="GB5000" s="67"/>
      <c r="GC5000" s="67"/>
      <c r="GD5000" s="67"/>
      <c r="GE5000" s="67"/>
      <c r="GF5000" s="67"/>
      <c r="GG5000" s="67"/>
      <c r="GH5000" s="67"/>
      <c r="GI5000" s="67"/>
      <c r="GJ5000" s="67"/>
      <c r="GK5000" s="67"/>
      <c r="GL5000" s="67"/>
      <c r="GM5000" s="67"/>
      <c r="GN5000" s="292"/>
      <c r="GO5000" s="292"/>
      <c r="GP5000" s="292" t="s">
        <v>7494</v>
      </c>
      <c r="GQ5000" s="67"/>
      <c r="GR5000" s="67"/>
      <c r="GS5000" s="67"/>
      <c r="GT5000" s="67"/>
      <c r="GU5000" s="67"/>
      <c r="GV5000" s="67"/>
      <c r="GW5000" s="67"/>
      <c r="GX5000" s="67"/>
      <c r="GY5000" s="67"/>
      <c r="GZ5000" s="67"/>
      <c r="HA5000" s="67"/>
      <c r="HB5000" s="67"/>
      <c r="HC5000" s="67"/>
      <c r="HD5000" s="67"/>
      <c r="HE5000" s="67"/>
      <c r="HF5000" s="67"/>
      <c r="HG5000" s="67"/>
      <c r="HH5000" s="67"/>
      <c r="HI5000" s="67"/>
      <c r="HJ5000" s="67"/>
      <c r="HK5000" s="67"/>
      <c r="HL5000" s="67"/>
      <c r="HM5000" s="67"/>
      <c r="HN5000" s="67">
        <v>8.07</v>
      </c>
      <c r="HO5000" s="67">
        <v>8.2100000000000009</v>
      </c>
      <c r="HP5000" s="67">
        <f>10.8-HN5000</f>
        <v>2.7300000000000004</v>
      </c>
      <c r="HQ5000" s="67">
        <f>9.78-HO5000</f>
        <v>1.5699999999999985</v>
      </c>
      <c r="HR5000" s="67" t="s">
        <v>5603</v>
      </c>
      <c r="HS5000" s="67">
        <v>124.8</v>
      </c>
      <c r="HT5000" s="67">
        <v>324.11</v>
      </c>
      <c r="HU5000" s="67">
        <f>141.62-HS5000</f>
        <v>16.820000000000007</v>
      </c>
      <c r="HV5000" s="67">
        <f>349.41-HT5000</f>
        <v>25.300000000000011</v>
      </c>
      <c r="HW5000" s="67" t="s">
        <v>5604</v>
      </c>
      <c r="HX5000" s="67">
        <v>196.74</v>
      </c>
      <c r="HY5000" s="67">
        <v>423.29</v>
      </c>
      <c r="HZ5000" s="67">
        <f>214.83-HX5000</f>
        <v>18.090000000000003</v>
      </c>
      <c r="IA5000" s="67">
        <f>468.9-HY5000</f>
        <v>45.609999999999957</v>
      </c>
      <c r="IB5000" s="67" t="s">
        <v>2242</v>
      </c>
      <c r="IC5000" s="67">
        <v>33.28</v>
      </c>
      <c r="ID5000" s="67">
        <v>157.09</v>
      </c>
      <c r="IE5000" s="67">
        <f>38.41-IC5000</f>
        <v>5.1299999999999955</v>
      </c>
      <c r="IF5000" s="67">
        <f>165.42-ID5000</f>
        <v>8.3299999999999841</v>
      </c>
      <c r="IG5000" s="67" t="s">
        <v>2242</v>
      </c>
      <c r="IH5000" s="67"/>
      <c r="II5000" s="67"/>
      <c r="IJ5000" s="67"/>
      <c r="IK5000" s="67"/>
      <c r="IL5000" s="67"/>
      <c r="IM5000" s="67"/>
      <c r="IN5000" s="67"/>
      <c r="IO5000" s="67"/>
      <c r="IP5000" s="67"/>
      <c r="IQ5000" s="67"/>
      <c r="IR5000" s="67"/>
      <c r="IS5000" s="67"/>
      <c r="IT5000" s="67"/>
      <c r="IU5000" s="67"/>
      <c r="IV5000" s="67"/>
      <c r="IW5000" s="67">
        <v>35.923000000000002</v>
      </c>
      <c r="IX5000" s="67">
        <v>96.03</v>
      </c>
      <c r="IY5000" s="67">
        <v>10</v>
      </c>
      <c r="IZ5000" s="67">
        <f>111-IX5000</f>
        <v>14.969999999999999</v>
      </c>
      <c r="JA5000" s="67" t="s">
        <v>5602</v>
      </c>
      <c r="JB5000" s="67"/>
      <c r="JC5000" s="67"/>
      <c r="JD5000" s="67"/>
      <c r="JE5000" s="67"/>
      <c r="JF5000" s="67"/>
      <c r="JG5000" s="67"/>
      <c r="JH5000" s="67"/>
      <c r="JI5000" s="67"/>
      <c r="JJ5000" s="67"/>
      <c r="JK5000" s="67"/>
      <c r="JL5000" s="67"/>
      <c r="JM5000" s="67"/>
      <c r="JN5000" s="67"/>
      <c r="JO5000" s="67"/>
      <c r="JP5000" s="67"/>
      <c r="JQ5000" s="67"/>
      <c r="JR5000" s="67"/>
      <c r="JS5000" s="67"/>
      <c r="JT5000" s="67"/>
      <c r="JU5000" s="58"/>
      <c r="JV5000" s="58"/>
      <c r="JW5000" s="58"/>
    </row>
    <row r="5001" spans="1:283" s="23" customFormat="1" x14ac:dyDescent="0.25">
      <c r="A5001" s="55">
        <v>5000</v>
      </c>
      <c r="B5001" s="12" t="s">
        <v>7067</v>
      </c>
      <c r="C5001" s="156">
        <v>252</v>
      </c>
      <c r="D5001" s="58" t="s">
        <v>4982</v>
      </c>
      <c r="E5001" s="160" t="str">
        <f>G5001</f>
        <v>Melero et al 2007_pair 2</v>
      </c>
      <c r="F5001" s="160"/>
      <c r="G5001" s="60" t="s">
        <v>4745</v>
      </c>
      <c r="H5001" s="58">
        <v>2007</v>
      </c>
      <c r="I5001" s="58" t="s">
        <v>5599</v>
      </c>
      <c r="J5001" s="243" t="s">
        <v>4394</v>
      </c>
      <c r="K5001" s="63" t="s">
        <v>5093</v>
      </c>
      <c r="L5001" s="58" t="s">
        <v>4516</v>
      </c>
      <c r="M5001" s="94">
        <f>37+8.5/60</f>
        <v>37.141666666666666</v>
      </c>
      <c r="N5001" s="94">
        <f>-5-16/60</f>
        <v>-5.2666666666666666</v>
      </c>
      <c r="O5001" s="94">
        <v>218</v>
      </c>
      <c r="P5001" s="58"/>
      <c r="Q5001" s="244">
        <v>18.2</v>
      </c>
      <c r="R5001" s="58"/>
      <c r="S5001" s="245">
        <v>534</v>
      </c>
      <c r="T5001" s="58"/>
      <c r="U5001" s="58" t="s">
        <v>1816</v>
      </c>
      <c r="V5001" s="244" t="s">
        <v>1801</v>
      </c>
      <c r="W5001" s="174"/>
      <c r="X5001" s="174"/>
      <c r="Y5001" s="58" t="s">
        <v>5590</v>
      </c>
      <c r="Z5001" s="244" t="s">
        <v>1349</v>
      </c>
      <c r="AA5001" s="245">
        <v>15</v>
      </c>
      <c r="AB5001" s="67"/>
      <c r="AC5001" s="67"/>
      <c r="AD5001" s="94"/>
      <c r="AE5001" s="94">
        <v>26</v>
      </c>
      <c r="AF5001" s="94">
        <v>51</v>
      </c>
      <c r="AG5001" s="245">
        <v>23</v>
      </c>
      <c r="AH5001" s="58" t="s">
        <v>6378</v>
      </c>
      <c r="AI5001" s="169" t="s">
        <v>5594</v>
      </c>
      <c r="AJ5001" s="94">
        <v>1.34</v>
      </c>
      <c r="AK5001" s="94"/>
      <c r="AL5001" s="58"/>
      <c r="AM5001" s="58" t="s">
        <v>5451</v>
      </c>
      <c r="AN5001" s="186" t="s">
        <v>553</v>
      </c>
      <c r="AO5001" s="185" t="s">
        <v>5150</v>
      </c>
      <c r="AP5001" s="58"/>
      <c r="AQ5001" s="58" t="s">
        <v>553</v>
      </c>
      <c r="AR5001" s="58" t="s">
        <v>5591</v>
      </c>
      <c r="AS5001" s="246" t="s">
        <v>227</v>
      </c>
      <c r="AT5001" s="247">
        <v>0</v>
      </c>
      <c r="AU5001" s="181" t="s">
        <v>7494</v>
      </c>
      <c r="AV5001" s="185" t="s">
        <v>176</v>
      </c>
      <c r="AW5001" s="244">
        <v>0</v>
      </c>
      <c r="AX5001" s="185" t="s">
        <v>176</v>
      </c>
      <c r="AY5001" s="244" t="s">
        <v>176</v>
      </c>
      <c r="AZ5001" s="58" t="s">
        <v>5593</v>
      </c>
      <c r="BA5001" s="58" t="s">
        <v>5593</v>
      </c>
      <c r="BB5001" s="58" t="s">
        <v>2081</v>
      </c>
      <c r="BC5001" s="58" t="s">
        <v>2081</v>
      </c>
      <c r="BD5001" s="58" t="s">
        <v>176</v>
      </c>
      <c r="BE5001" s="236" t="s">
        <v>5205</v>
      </c>
      <c r="BF5001" s="191" t="s">
        <v>479</v>
      </c>
      <c r="BG5001" s="191" t="s">
        <v>479</v>
      </c>
      <c r="BH5001" s="236" t="s">
        <v>5273</v>
      </c>
      <c r="BI5001" s="191" t="s">
        <v>479</v>
      </c>
      <c r="BJ5001" s="58" t="str">
        <f>IF(BE5001=BH5001,"No","yes")</f>
        <v>yes</v>
      </c>
      <c r="BK5001" s="58" t="s">
        <v>6335</v>
      </c>
      <c r="BL5001" s="58"/>
      <c r="BM5001" s="237"/>
      <c r="BN5001" s="244">
        <v>4</v>
      </c>
      <c r="BO5001" s="244">
        <v>4</v>
      </c>
      <c r="BP5001" s="58"/>
      <c r="BQ5001" s="58"/>
      <c r="BR5001" s="58"/>
      <c r="BS5001" s="58"/>
      <c r="BT5001" s="58"/>
      <c r="BU5001" s="58"/>
      <c r="BV5001" s="58" t="s">
        <v>5596</v>
      </c>
      <c r="BW5001" s="67"/>
      <c r="BX5001" s="67"/>
      <c r="BY5001" s="67"/>
      <c r="BZ5001" s="67"/>
      <c r="CA5001" s="67"/>
      <c r="CB5001" s="70">
        <v>11900</v>
      </c>
      <c r="CC5001" s="70">
        <v>15400</v>
      </c>
      <c r="CD5001" s="70"/>
      <c r="CE5001" s="67"/>
      <c r="CF5001" s="67"/>
      <c r="CG5001" s="67" t="s">
        <v>2053</v>
      </c>
      <c r="CH5001" s="245"/>
      <c r="CI5001" s="245"/>
      <c r="CJ5001" s="67"/>
      <c r="CK5001" s="67"/>
      <c r="CL5001" s="67"/>
      <c r="CM5001" s="242">
        <v>0.83</v>
      </c>
      <c r="CN5001" s="242">
        <v>2.2000000000000002</v>
      </c>
      <c r="CO5001" s="242"/>
      <c r="CP5001" s="242"/>
      <c r="CQ5001" s="242" t="s">
        <v>164</v>
      </c>
      <c r="CR5001" s="242"/>
      <c r="CS5001" s="242"/>
      <c r="CT5001" s="242"/>
      <c r="CU5001" s="242"/>
      <c r="CV5001" s="242" t="s">
        <v>5151</v>
      </c>
      <c r="CW5001" s="242"/>
      <c r="CX5001" s="242"/>
      <c r="CY5001" s="242"/>
      <c r="CZ5001" s="242"/>
      <c r="DA5001" s="67" t="s">
        <v>5443</v>
      </c>
      <c r="DB5001" s="67"/>
      <c r="DC5001" s="67"/>
      <c r="DD5001" s="67"/>
      <c r="DE5001" s="67"/>
      <c r="DF5001" s="67"/>
      <c r="DG5001" s="67">
        <v>24</v>
      </c>
      <c r="DH5001" s="67">
        <v>94</v>
      </c>
      <c r="DI5001" s="67"/>
      <c r="DJ5001" s="67"/>
      <c r="DK5001" s="67" t="s">
        <v>5601</v>
      </c>
      <c r="DL5001" s="67">
        <v>1.1000000000000001</v>
      </c>
      <c r="DM5001" s="67">
        <v>2.4</v>
      </c>
      <c r="DN5001" s="67"/>
      <c r="DO5001" s="67"/>
      <c r="DP5001" s="67" t="s">
        <v>5600</v>
      </c>
      <c r="DQ5001" s="166">
        <v>8.5</v>
      </c>
      <c r="DR5001" s="166">
        <v>8.33</v>
      </c>
      <c r="DS5001" s="163"/>
      <c r="DT5001" s="163"/>
      <c r="DU5001" s="67"/>
      <c r="DV5001" s="67"/>
      <c r="DW5001" s="67"/>
      <c r="DX5001" s="67"/>
      <c r="DY5001" s="67"/>
      <c r="DZ5001" s="67"/>
      <c r="EA5001" s="67">
        <v>0.24</v>
      </c>
      <c r="EB5001" s="67">
        <v>0.37</v>
      </c>
      <c r="EC5001" s="67"/>
      <c r="ED5001" s="67"/>
      <c r="EE5001" s="67" t="s">
        <v>5433</v>
      </c>
      <c r="EF5001" s="67"/>
      <c r="EG5001" s="67"/>
      <c r="EH5001" s="67"/>
      <c r="EI5001" s="67"/>
      <c r="EJ5001" s="67"/>
      <c r="EK5001" s="94"/>
      <c r="EL5001" s="94"/>
      <c r="EM5001" s="67"/>
      <c r="EN5001" s="67"/>
      <c r="EO5001" s="67"/>
      <c r="EP5001" s="67"/>
      <c r="EQ5001" s="67"/>
      <c r="ER5001" s="67"/>
      <c r="ES5001" s="67"/>
      <c r="ET5001" s="67"/>
      <c r="EU5001" s="67"/>
      <c r="EV5001" s="67"/>
      <c r="EW5001" s="67"/>
      <c r="EX5001" s="67"/>
      <c r="EY5001" s="67"/>
      <c r="EZ5001" s="67"/>
      <c r="FA5001" s="67"/>
      <c r="FB5001" s="67"/>
      <c r="FC5001" s="67"/>
      <c r="FD5001" s="67"/>
      <c r="FE5001" s="67"/>
      <c r="FF5001" s="67"/>
      <c r="FG5001" s="67"/>
      <c r="FH5001" s="67"/>
      <c r="FI5001" s="67"/>
      <c r="FJ5001" s="67"/>
      <c r="FK5001" s="67"/>
      <c r="FL5001" s="67"/>
      <c r="FM5001" s="67"/>
      <c r="FN5001" s="67"/>
      <c r="FO5001" s="67"/>
      <c r="FP5001" s="67"/>
      <c r="FQ5001" s="67"/>
      <c r="FR5001" s="67"/>
      <c r="FS5001" s="67"/>
      <c r="FT5001" s="67"/>
      <c r="FU5001" s="67"/>
      <c r="FV5001" s="67"/>
      <c r="FW5001" s="67"/>
      <c r="FX5001" s="67"/>
      <c r="FY5001" s="67"/>
      <c r="FZ5001" s="67"/>
      <c r="GA5001" s="67"/>
      <c r="GB5001" s="67"/>
      <c r="GC5001" s="67"/>
      <c r="GD5001" s="67"/>
      <c r="GE5001" s="67"/>
      <c r="GF5001" s="67"/>
      <c r="GG5001" s="67"/>
      <c r="GH5001" s="67"/>
      <c r="GI5001" s="67"/>
      <c r="GJ5001" s="67"/>
      <c r="GK5001" s="67"/>
      <c r="GL5001" s="67"/>
      <c r="GM5001" s="67"/>
      <c r="GN5001" s="292"/>
      <c r="GO5001" s="292"/>
      <c r="GP5001" s="292" t="s">
        <v>7494</v>
      </c>
      <c r="GQ5001" s="67"/>
      <c r="GR5001" s="67"/>
      <c r="GS5001" s="67"/>
      <c r="GT5001" s="67"/>
      <c r="GU5001" s="67"/>
      <c r="GV5001" s="67"/>
      <c r="GW5001" s="67"/>
      <c r="GX5001" s="67"/>
      <c r="GY5001" s="67"/>
      <c r="GZ5001" s="67"/>
      <c r="HA5001" s="67"/>
      <c r="HB5001" s="67"/>
      <c r="HC5001" s="67"/>
      <c r="HD5001" s="67"/>
      <c r="HE5001" s="67"/>
      <c r="HF5001" s="67"/>
      <c r="HG5001" s="67"/>
      <c r="HH5001" s="67"/>
      <c r="HI5001" s="67"/>
      <c r="HJ5001" s="67"/>
      <c r="HK5001" s="67"/>
      <c r="HL5001" s="67"/>
      <c r="HM5001" s="67"/>
      <c r="HN5001" s="67">
        <v>41.97</v>
      </c>
      <c r="HO5001" s="67">
        <v>18.98</v>
      </c>
      <c r="HP5001" s="67">
        <f>52.48-HN5001</f>
        <v>10.509999999999998</v>
      </c>
      <c r="HQ5001" s="67">
        <f>1.6</f>
        <v>1.6</v>
      </c>
      <c r="HR5001" s="67" t="s">
        <v>5603</v>
      </c>
      <c r="HS5001" s="67">
        <v>172.27</v>
      </c>
      <c r="HT5001" s="67">
        <v>422.11</v>
      </c>
      <c r="HU5001" s="67">
        <v>17</v>
      </c>
      <c r="HV5001" s="67">
        <f>455.87-HT5001</f>
        <v>33.759999999999991</v>
      </c>
      <c r="HW5001" s="67" t="s">
        <v>5604</v>
      </c>
      <c r="HX5001" s="67">
        <v>104.61</v>
      </c>
      <c r="HY5001" s="67">
        <v>372.24</v>
      </c>
      <c r="HZ5001" s="67">
        <f>127.07-HX5001</f>
        <v>22.459999999999994</v>
      </c>
      <c r="IA5001" s="67">
        <f>399.46-HY5001</f>
        <v>27.21999999999997</v>
      </c>
      <c r="IB5001" s="67" t="s">
        <v>2242</v>
      </c>
      <c r="IC5001" s="67">
        <v>34.840000000000003</v>
      </c>
      <c r="ID5001" s="67">
        <v>100.74</v>
      </c>
      <c r="IE5001" s="67">
        <v>5</v>
      </c>
      <c r="IF5001" s="67">
        <f>118.38-ID5001</f>
        <v>17.64</v>
      </c>
      <c r="IG5001" s="67" t="s">
        <v>2242</v>
      </c>
      <c r="IH5001" s="67"/>
      <c r="II5001" s="67"/>
      <c r="IJ5001" s="67"/>
      <c r="IK5001" s="67"/>
      <c r="IL5001" s="67"/>
      <c r="IM5001" s="67"/>
      <c r="IN5001" s="67"/>
      <c r="IO5001" s="67"/>
      <c r="IP5001" s="67"/>
      <c r="IQ5001" s="67"/>
      <c r="IR5001" s="67"/>
      <c r="IS5001" s="67"/>
      <c r="IT5001" s="67"/>
      <c r="IU5001" s="67"/>
      <c r="IV5001" s="67"/>
      <c r="IW5001" s="67">
        <v>109.91</v>
      </c>
      <c r="IX5001" s="67">
        <v>190.18</v>
      </c>
      <c r="IY5001" s="67">
        <v>15</v>
      </c>
      <c r="IZ5001" s="67">
        <v>15</v>
      </c>
      <c r="JA5001" s="67" t="s">
        <v>5602</v>
      </c>
      <c r="JB5001" s="67"/>
      <c r="JC5001" s="67"/>
      <c r="JD5001" s="67"/>
      <c r="JE5001" s="67"/>
      <c r="JF5001" s="67"/>
      <c r="JG5001" s="67"/>
      <c r="JH5001" s="67"/>
      <c r="JI5001" s="67"/>
      <c r="JJ5001" s="67"/>
      <c r="JK5001" s="67"/>
      <c r="JL5001" s="67"/>
      <c r="JM5001" s="67"/>
      <c r="JN5001" s="67"/>
      <c r="JO5001" s="67"/>
      <c r="JP5001" s="67"/>
      <c r="JQ5001" s="67"/>
      <c r="JR5001" s="67"/>
      <c r="JS5001" s="67"/>
      <c r="JT5001" s="67"/>
      <c r="JU5001" s="58"/>
      <c r="JV5001" s="58"/>
      <c r="JW5001" s="58"/>
    </row>
    <row r="5002" spans="1:283" s="23" customFormat="1" x14ac:dyDescent="0.25">
      <c r="A5002" s="55">
        <v>5001</v>
      </c>
      <c r="B5002" s="12" t="s">
        <v>7067</v>
      </c>
      <c r="C5002" s="156">
        <v>252</v>
      </c>
      <c r="D5002" s="58" t="s">
        <v>4981</v>
      </c>
      <c r="E5002" s="160" t="str">
        <f>G5002</f>
        <v>Melero et al 2007_pair 1</v>
      </c>
      <c r="F5002" s="160"/>
      <c r="G5002" s="60" t="s">
        <v>4746</v>
      </c>
      <c r="H5002" s="58">
        <v>2007</v>
      </c>
      <c r="I5002" s="58" t="s">
        <v>5599</v>
      </c>
      <c r="J5002" s="243" t="s">
        <v>4394</v>
      </c>
      <c r="K5002" s="63" t="s">
        <v>5093</v>
      </c>
      <c r="L5002" s="58" t="s">
        <v>4516</v>
      </c>
      <c r="M5002" s="94">
        <f>37+8.5/60</f>
        <v>37.141666666666666</v>
      </c>
      <c r="N5002" s="94">
        <f>-5-16/60</f>
        <v>-5.2666666666666666</v>
      </c>
      <c r="O5002" s="94">
        <v>218</v>
      </c>
      <c r="P5002" s="58"/>
      <c r="Q5002" s="244">
        <v>18.2</v>
      </c>
      <c r="R5002" s="58"/>
      <c r="S5002" s="245">
        <v>534</v>
      </c>
      <c r="T5002" s="58"/>
      <c r="U5002" s="58" t="s">
        <v>1816</v>
      </c>
      <c r="V5002" s="244" t="s">
        <v>1801</v>
      </c>
      <c r="W5002" s="174"/>
      <c r="X5002" s="174"/>
      <c r="Y5002" s="58" t="s">
        <v>5590</v>
      </c>
      <c r="Z5002" s="244" t="s">
        <v>1349</v>
      </c>
      <c r="AA5002" s="245">
        <v>15</v>
      </c>
      <c r="AB5002" s="67"/>
      <c r="AC5002" s="67"/>
      <c r="AD5002" s="94"/>
      <c r="AE5002" s="94">
        <v>26</v>
      </c>
      <c r="AF5002" s="94">
        <v>51</v>
      </c>
      <c r="AG5002" s="245">
        <v>23</v>
      </c>
      <c r="AH5002" s="58" t="s">
        <v>6378</v>
      </c>
      <c r="AI5002" s="169" t="s">
        <v>5594</v>
      </c>
      <c r="AJ5002" s="94">
        <v>1.34</v>
      </c>
      <c r="AK5002" s="94"/>
      <c r="AL5002" s="58"/>
      <c r="AM5002" s="58" t="s">
        <v>5451</v>
      </c>
      <c r="AN5002" s="186" t="s">
        <v>553</v>
      </c>
      <c r="AO5002" s="185" t="s">
        <v>5150</v>
      </c>
      <c r="AP5002" s="58"/>
      <c r="AQ5002" s="58" t="s">
        <v>553</v>
      </c>
      <c r="AR5002" s="58" t="s">
        <v>5592</v>
      </c>
      <c r="AS5002" s="246" t="s">
        <v>227</v>
      </c>
      <c r="AT5002" s="247">
        <v>0</v>
      </c>
      <c r="AU5002" s="181" t="s">
        <v>7494</v>
      </c>
      <c r="AV5002" s="185" t="s">
        <v>176</v>
      </c>
      <c r="AW5002" s="244">
        <v>0</v>
      </c>
      <c r="AX5002" s="185" t="s">
        <v>176</v>
      </c>
      <c r="AY5002" s="244" t="s">
        <v>176</v>
      </c>
      <c r="AZ5002" s="58" t="s">
        <v>5593</v>
      </c>
      <c r="BA5002" s="58" t="s">
        <v>5593</v>
      </c>
      <c r="BB5002" s="58" t="s">
        <v>2081</v>
      </c>
      <c r="BC5002" s="58" t="s">
        <v>2081</v>
      </c>
      <c r="BD5002" s="58" t="s">
        <v>176</v>
      </c>
      <c r="BE5002" s="236" t="s">
        <v>5205</v>
      </c>
      <c r="BF5002" s="191" t="s">
        <v>479</v>
      </c>
      <c r="BG5002" s="191" t="s">
        <v>479</v>
      </c>
      <c r="BH5002" s="236" t="s">
        <v>5273</v>
      </c>
      <c r="BI5002" s="191" t="s">
        <v>479</v>
      </c>
      <c r="BJ5002" s="58" t="str">
        <f>IF(BE5002=BH5002,"No","yes")</f>
        <v>yes</v>
      </c>
      <c r="BK5002" s="58" t="s">
        <v>6335</v>
      </c>
      <c r="BL5002" s="58"/>
      <c r="BM5002" s="237"/>
      <c r="BN5002" s="244">
        <v>4</v>
      </c>
      <c r="BO5002" s="244">
        <v>4</v>
      </c>
      <c r="BP5002" s="58"/>
      <c r="BQ5002" s="58"/>
      <c r="BR5002" s="58"/>
      <c r="BS5002" s="58"/>
      <c r="BT5002" s="58"/>
      <c r="BU5002" s="58"/>
      <c r="BV5002" s="58" t="s">
        <v>5597</v>
      </c>
      <c r="BW5002" s="67"/>
      <c r="BX5002" s="67"/>
      <c r="BY5002" s="67"/>
      <c r="BZ5002" s="67"/>
      <c r="CA5002" s="67"/>
      <c r="CB5002" s="70">
        <v>20800</v>
      </c>
      <c r="CC5002" s="70">
        <v>34200</v>
      </c>
      <c r="CD5002" s="70"/>
      <c r="CE5002" s="67"/>
      <c r="CF5002" s="67"/>
      <c r="CG5002" s="67" t="s">
        <v>2053</v>
      </c>
      <c r="CH5002" s="245"/>
      <c r="CI5002" s="245"/>
      <c r="CJ5002" s="67"/>
      <c r="CK5002" s="67"/>
      <c r="CL5002" s="67"/>
      <c r="CM5002" s="242">
        <v>1.06</v>
      </c>
      <c r="CN5002" s="242">
        <v>2.33</v>
      </c>
      <c r="CO5002" s="242"/>
      <c r="CP5002" s="242"/>
      <c r="CQ5002" s="242" t="s">
        <v>164</v>
      </c>
      <c r="CR5002" s="242"/>
      <c r="CS5002" s="242"/>
      <c r="CT5002" s="242"/>
      <c r="CU5002" s="242"/>
      <c r="CV5002" s="242" t="s">
        <v>5151</v>
      </c>
      <c r="CW5002" s="242"/>
      <c r="CX5002" s="242"/>
      <c r="CY5002" s="242"/>
      <c r="CZ5002" s="242"/>
      <c r="DA5002" s="67" t="s">
        <v>5443</v>
      </c>
      <c r="DB5002" s="67"/>
      <c r="DC5002" s="67"/>
      <c r="DD5002" s="67"/>
      <c r="DE5002" s="67"/>
      <c r="DF5002" s="67"/>
      <c r="DG5002" s="67">
        <v>32</v>
      </c>
      <c r="DH5002" s="67">
        <v>91</v>
      </c>
      <c r="DI5002" s="67"/>
      <c r="DJ5002" s="67"/>
      <c r="DK5002" s="67" t="s">
        <v>5601</v>
      </c>
      <c r="DL5002" s="67">
        <v>1.1000000000000001</v>
      </c>
      <c r="DM5002" s="67">
        <v>2.2000000000000002</v>
      </c>
      <c r="DN5002" s="67"/>
      <c r="DO5002" s="67"/>
      <c r="DP5002" s="67" t="s">
        <v>5600</v>
      </c>
      <c r="DQ5002" s="166">
        <v>7.37</v>
      </c>
      <c r="DR5002" s="166">
        <v>7.37</v>
      </c>
      <c r="DS5002" s="163"/>
      <c r="DT5002" s="163"/>
      <c r="DU5002" s="67"/>
      <c r="DV5002" s="67"/>
      <c r="DW5002" s="67"/>
      <c r="DX5002" s="67"/>
      <c r="DY5002" s="67"/>
      <c r="DZ5002" s="67"/>
      <c r="EA5002" s="67">
        <v>0.43</v>
      </c>
      <c r="EB5002" s="67">
        <v>0.49</v>
      </c>
      <c r="EC5002" s="67"/>
      <c r="ED5002" s="67"/>
      <c r="EE5002" s="67" t="s">
        <v>5433</v>
      </c>
      <c r="EF5002" s="67"/>
      <c r="EG5002" s="67"/>
      <c r="EH5002" s="67"/>
      <c r="EI5002" s="67"/>
      <c r="EJ5002" s="67"/>
      <c r="EK5002" s="94"/>
      <c r="EL5002" s="94"/>
      <c r="EM5002" s="67"/>
      <c r="EN5002" s="67"/>
      <c r="EO5002" s="67"/>
      <c r="EP5002" s="67"/>
      <c r="EQ5002" s="67"/>
      <c r="ER5002" s="67"/>
      <c r="ES5002" s="67"/>
      <c r="ET5002" s="67"/>
      <c r="EU5002" s="67"/>
      <c r="EV5002" s="67"/>
      <c r="EW5002" s="67"/>
      <c r="EX5002" s="67"/>
      <c r="EY5002" s="67"/>
      <c r="EZ5002" s="67"/>
      <c r="FA5002" s="67"/>
      <c r="FB5002" s="67"/>
      <c r="FC5002" s="67"/>
      <c r="FD5002" s="67"/>
      <c r="FE5002" s="67"/>
      <c r="FF5002" s="67"/>
      <c r="FG5002" s="67"/>
      <c r="FH5002" s="67"/>
      <c r="FI5002" s="67"/>
      <c r="FJ5002" s="67"/>
      <c r="FK5002" s="67"/>
      <c r="FL5002" s="67"/>
      <c r="FM5002" s="67"/>
      <c r="FN5002" s="67"/>
      <c r="FO5002" s="67"/>
      <c r="FP5002" s="67"/>
      <c r="FQ5002" s="67"/>
      <c r="FR5002" s="67"/>
      <c r="FS5002" s="67"/>
      <c r="FT5002" s="67"/>
      <c r="FU5002" s="67"/>
      <c r="FV5002" s="67"/>
      <c r="FW5002" s="67"/>
      <c r="FX5002" s="67"/>
      <c r="FY5002" s="67"/>
      <c r="FZ5002" s="67"/>
      <c r="GA5002" s="67"/>
      <c r="GB5002" s="67"/>
      <c r="GC5002" s="67"/>
      <c r="GD5002" s="67"/>
      <c r="GE5002" s="67"/>
      <c r="GF5002" s="67"/>
      <c r="GG5002" s="67"/>
      <c r="GH5002" s="67"/>
      <c r="GI5002" s="67"/>
      <c r="GJ5002" s="67"/>
      <c r="GK5002" s="67"/>
      <c r="GL5002" s="67"/>
      <c r="GM5002" s="67"/>
      <c r="GN5002" s="292"/>
      <c r="GO5002" s="292"/>
      <c r="GP5002" s="292" t="s">
        <v>7494</v>
      </c>
      <c r="GQ5002" s="67"/>
      <c r="GR5002" s="67"/>
      <c r="GS5002" s="67"/>
      <c r="GT5002" s="67"/>
      <c r="GU5002" s="67"/>
      <c r="GV5002" s="67"/>
      <c r="GW5002" s="67"/>
      <c r="GX5002" s="67"/>
      <c r="GY5002" s="67"/>
      <c r="GZ5002" s="67"/>
      <c r="HA5002" s="67"/>
      <c r="HB5002" s="67"/>
      <c r="HC5002" s="67"/>
      <c r="HD5002" s="67"/>
      <c r="HE5002" s="67"/>
      <c r="HF5002" s="67"/>
      <c r="HG5002" s="67"/>
      <c r="HH5002" s="67"/>
      <c r="HI5002" s="67"/>
      <c r="HJ5002" s="67"/>
      <c r="HK5002" s="67"/>
      <c r="HL5002" s="67"/>
      <c r="HM5002" s="67"/>
      <c r="HN5002" s="67">
        <v>39.520000000000003</v>
      </c>
      <c r="HO5002" s="67">
        <v>20.81</v>
      </c>
      <c r="HP5002" s="67">
        <f>44.98-HN5002</f>
        <v>5.4599999999999937</v>
      </c>
      <c r="HQ5002" s="67">
        <f>23.55-HO5002</f>
        <v>2.740000000000002</v>
      </c>
      <c r="HR5002" s="67" t="s">
        <v>5603</v>
      </c>
      <c r="HS5002" s="67">
        <v>171.98</v>
      </c>
      <c r="HT5002" s="67">
        <v>281.41000000000003</v>
      </c>
      <c r="HU5002" s="67">
        <v>17</v>
      </c>
      <c r="HV5002" s="67">
        <f>303.89-HT5002</f>
        <v>22.479999999999961</v>
      </c>
      <c r="HW5002" s="67" t="s">
        <v>5604</v>
      </c>
      <c r="HX5002" s="67">
        <v>325.92</v>
      </c>
      <c r="HY5002" s="67">
        <v>684.12</v>
      </c>
      <c r="HZ5002" s="67">
        <f>353-HX5002</f>
        <v>27.079999999999984</v>
      </c>
      <c r="IA5002" s="67">
        <f>720.66-HY5002</f>
        <v>36.539999999999964</v>
      </c>
      <c r="IB5002" s="67" t="s">
        <v>2242</v>
      </c>
      <c r="IC5002" s="67">
        <v>47.73</v>
      </c>
      <c r="ID5002" s="67">
        <v>97.09</v>
      </c>
      <c r="IE5002" s="67">
        <f>63.205-IC5002</f>
        <v>15.475000000000001</v>
      </c>
      <c r="IF5002" s="67">
        <f>107.51-ID5002</f>
        <v>10.420000000000002</v>
      </c>
      <c r="IG5002" s="67" t="s">
        <v>2242</v>
      </c>
      <c r="IH5002" s="67"/>
      <c r="II5002" s="67"/>
      <c r="IJ5002" s="67"/>
      <c r="IK5002" s="67"/>
      <c r="IL5002" s="67"/>
      <c r="IM5002" s="67"/>
      <c r="IN5002" s="67"/>
      <c r="IO5002" s="67"/>
      <c r="IP5002" s="67"/>
      <c r="IQ5002" s="67"/>
      <c r="IR5002" s="67"/>
      <c r="IS5002" s="67"/>
      <c r="IT5002" s="67"/>
      <c r="IU5002" s="67"/>
      <c r="IV5002" s="67"/>
      <c r="IW5002" s="67">
        <v>346.89</v>
      </c>
      <c r="IX5002" s="67">
        <v>382.86</v>
      </c>
      <c r="IY5002" s="67">
        <f>399-IW5002</f>
        <v>52.110000000000014</v>
      </c>
      <c r="IZ5002" s="67">
        <v>50</v>
      </c>
      <c r="JA5002" s="67" t="s">
        <v>5602</v>
      </c>
      <c r="JB5002" s="67"/>
      <c r="JC5002" s="67"/>
      <c r="JD5002" s="67"/>
      <c r="JE5002" s="67"/>
      <c r="JF5002" s="67"/>
      <c r="JG5002" s="67"/>
      <c r="JH5002" s="67"/>
      <c r="JI5002" s="67"/>
      <c r="JJ5002" s="67"/>
      <c r="JK5002" s="67"/>
      <c r="JL5002" s="67"/>
      <c r="JM5002" s="67"/>
      <c r="JN5002" s="67"/>
      <c r="JO5002" s="67"/>
      <c r="JP5002" s="67"/>
      <c r="JQ5002" s="67"/>
      <c r="JR5002" s="67"/>
      <c r="JS5002" s="67"/>
      <c r="JT5002" s="67"/>
      <c r="JU5002" s="58"/>
      <c r="JV5002" s="58"/>
      <c r="JW5002" s="58"/>
    </row>
    <row r="5003" spans="1:283" s="23" customFormat="1" x14ac:dyDescent="0.25">
      <c r="A5003" s="55">
        <v>5002</v>
      </c>
      <c r="B5003" s="12" t="s">
        <v>7067</v>
      </c>
      <c r="C5003" s="156">
        <v>252</v>
      </c>
      <c r="D5003" s="58" t="s">
        <v>4982</v>
      </c>
      <c r="E5003" s="160" t="str">
        <f>G5003</f>
        <v>Melero et al 2007_pair 2</v>
      </c>
      <c r="F5003" s="160"/>
      <c r="G5003" s="60" t="s">
        <v>4745</v>
      </c>
      <c r="H5003" s="58">
        <v>2007</v>
      </c>
      <c r="I5003" s="58" t="s">
        <v>3291</v>
      </c>
      <c r="J5003" s="243" t="s">
        <v>4394</v>
      </c>
      <c r="K5003" s="63" t="s">
        <v>5093</v>
      </c>
      <c r="L5003" s="58" t="s">
        <v>4516</v>
      </c>
      <c r="M5003" s="94">
        <f>37+8.5/60</f>
        <v>37.141666666666666</v>
      </c>
      <c r="N5003" s="94">
        <f>-5-16/60</f>
        <v>-5.2666666666666666</v>
      </c>
      <c r="O5003" s="94">
        <v>218</v>
      </c>
      <c r="P5003" s="58"/>
      <c r="Q5003" s="244">
        <v>18.2</v>
      </c>
      <c r="R5003" s="58"/>
      <c r="S5003" s="245">
        <v>534</v>
      </c>
      <c r="T5003" s="58"/>
      <c r="U5003" s="58" t="s">
        <v>1682</v>
      </c>
      <c r="V5003" s="244" t="s">
        <v>1801</v>
      </c>
      <c r="W5003" s="174"/>
      <c r="X5003" s="174"/>
      <c r="Y5003" s="58" t="s">
        <v>5590</v>
      </c>
      <c r="Z5003" s="244" t="s">
        <v>1349</v>
      </c>
      <c r="AA5003" s="245">
        <v>15</v>
      </c>
      <c r="AB5003" s="67"/>
      <c r="AC5003" s="67"/>
      <c r="AD5003" s="94"/>
      <c r="AE5003" s="94">
        <v>26</v>
      </c>
      <c r="AF5003" s="94">
        <v>51</v>
      </c>
      <c r="AG5003" s="245">
        <v>23</v>
      </c>
      <c r="AH5003" s="58" t="s">
        <v>6378</v>
      </c>
      <c r="AI5003" s="169" t="s">
        <v>5594</v>
      </c>
      <c r="AJ5003" s="94">
        <v>1.34</v>
      </c>
      <c r="AK5003" s="94"/>
      <c r="AL5003" s="58"/>
      <c r="AM5003" s="58" t="s">
        <v>5451</v>
      </c>
      <c r="AN5003" s="186" t="s">
        <v>553</v>
      </c>
      <c r="AO5003" s="185" t="s">
        <v>5150</v>
      </c>
      <c r="AP5003" s="58"/>
      <c r="AQ5003" s="58" t="s">
        <v>553</v>
      </c>
      <c r="AR5003" s="58" t="s">
        <v>5592</v>
      </c>
      <c r="AS5003" s="246" t="s">
        <v>227</v>
      </c>
      <c r="AT5003" s="247">
        <v>0</v>
      </c>
      <c r="AU5003" s="181" t="s">
        <v>7494</v>
      </c>
      <c r="AV5003" s="185" t="s">
        <v>176</v>
      </c>
      <c r="AW5003" s="244">
        <v>0</v>
      </c>
      <c r="AX5003" s="185" t="s">
        <v>176</v>
      </c>
      <c r="AY5003" s="244" t="s">
        <v>176</v>
      </c>
      <c r="AZ5003" s="58" t="s">
        <v>5593</v>
      </c>
      <c r="BA5003" s="58" t="s">
        <v>5593</v>
      </c>
      <c r="BB5003" s="58" t="s">
        <v>2081</v>
      </c>
      <c r="BC5003" s="58" t="s">
        <v>2081</v>
      </c>
      <c r="BD5003" s="58" t="s">
        <v>176</v>
      </c>
      <c r="BE5003" s="236" t="s">
        <v>5205</v>
      </c>
      <c r="BF5003" s="191" t="s">
        <v>479</v>
      </c>
      <c r="BG5003" s="191" t="s">
        <v>479</v>
      </c>
      <c r="BH5003" s="236" t="s">
        <v>5273</v>
      </c>
      <c r="BI5003" s="191" t="s">
        <v>479</v>
      </c>
      <c r="BJ5003" s="58" t="str">
        <f>IF(BE5003=BH5003,"No","yes")</f>
        <v>yes</v>
      </c>
      <c r="BK5003" s="58" t="s">
        <v>6335</v>
      </c>
      <c r="BL5003" s="58"/>
      <c r="BM5003" s="237"/>
      <c r="BN5003" s="244">
        <v>4</v>
      </c>
      <c r="BO5003" s="244">
        <v>4</v>
      </c>
      <c r="BP5003" s="58"/>
      <c r="BQ5003" s="58"/>
      <c r="BR5003" s="58"/>
      <c r="BS5003" s="58"/>
      <c r="BT5003" s="58"/>
      <c r="BU5003" s="58"/>
      <c r="BV5003" s="58" t="s">
        <v>5598</v>
      </c>
      <c r="BW5003" s="67"/>
      <c r="BX5003" s="67"/>
      <c r="BY5003" s="67"/>
      <c r="BZ5003" s="67"/>
      <c r="CA5003" s="67"/>
      <c r="CB5003" s="70">
        <v>30500</v>
      </c>
      <c r="CC5003" s="70">
        <v>55100</v>
      </c>
      <c r="CD5003" s="70"/>
      <c r="CE5003" s="67"/>
      <c r="CF5003" s="67"/>
      <c r="CG5003" s="67" t="s">
        <v>2053</v>
      </c>
      <c r="CH5003" s="245"/>
      <c r="CI5003" s="245"/>
      <c r="CJ5003" s="67"/>
      <c r="CK5003" s="67"/>
      <c r="CL5003" s="67"/>
      <c r="CM5003" s="242">
        <v>0.87</v>
      </c>
      <c r="CN5003" s="242">
        <v>2.0499999999999998</v>
      </c>
      <c r="CO5003" s="242"/>
      <c r="CP5003" s="242"/>
      <c r="CQ5003" s="242" t="s">
        <v>164</v>
      </c>
      <c r="CR5003" s="242"/>
      <c r="CS5003" s="242"/>
      <c r="CT5003" s="242"/>
      <c r="CU5003" s="242"/>
      <c r="CV5003" s="242" t="s">
        <v>5151</v>
      </c>
      <c r="CW5003" s="242"/>
      <c r="CX5003" s="242"/>
      <c r="CY5003" s="242"/>
      <c r="CZ5003" s="242"/>
      <c r="DA5003" s="67" t="s">
        <v>5443</v>
      </c>
      <c r="DB5003" s="67"/>
      <c r="DC5003" s="67"/>
      <c r="DD5003" s="67"/>
      <c r="DE5003" s="67"/>
      <c r="DF5003" s="67"/>
      <c r="DG5003" s="67">
        <v>22</v>
      </c>
      <c r="DH5003" s="67">
        <v>65</v>
      </c>
      <c r="DI5003" s="67"/>
      <c r="DJ5003" s="67"/>
      <c r="DK5003" s="67" t="s">
        <v>5601</v>
      </c>
      <c r="DL5003" s="67">
        <v>1.1000000000000001</v>
      </c>
      <c r="DM5003" s="67">
        <v>2</v>
      </c>
      <c r="DN5003" s="67"/>
      <c r="DO5003" s="67"/>
      <c r="DP5003" s="67" t="s">
        <v>5600</v>
      </c>
      <c r="DQ5003" s="166">
        <v>7.81</v>
      </c>
      <c r="DR5003" s="166">
        <v>7.7</v>
      </c>
      <c r="DS5003" s="163"/>
      <c r="DT5003" s="163"/>
      <c r="DU5003" s="67"/>
      <c r="DV5003" s="67"/>
      <c r="DW5003" s="67"/>
      <c r="DX5003" s="67"/>
      <c r="DY5003" s="67"/>
      <c r="DZ5003" s="67"/>
      <c r="EA5003" s="67">
        <v>0.93</v>
      </c>
      <c r="EB5003" s="67">
        <v>0.76</v>
      </c>
      <c r="EC5003" s="67"/>
      <c r="ED5003" s="67"/>
      <c r="EE5003" s="67" t="s">
        <v>5433</v>
      </c>
      <c r="EF5003" s="67"/>
      <c r="EG5003" s="67"/>
      <c r="EH5003" s="67"/>
      <c r="EI5003" s="67"/>
      <c r="EJ5003" s="67"/>
      <c r="EK5003" s="94"/>
      <c r="EL5003" s="94"/>
      <c r="EM5003" s="67"/>
      <c r="EN5003" s="67"/>
      <c r="EO5003" s="67"/>
      <c r="EP5003" s="67"/>
      <c r="EQ5003" s="67"/>
      <c r="ER5003" s="67"/>
      <c r="ES5003" s="67"/>
      <c r="ET5003" s="67"/>
      <c r="EU5003" s="67"/>
      <c r="EV5003" s="67"/>
      <c r="EW5003" s="67"/>
      <c r="EX5003" s="67"/>
      <c r="EY5003" s="67"/>
      <c r="EZ5003" s="67"/>
      <c r="FA5003" s="67"/>
      <c r="FB5003" s="67"/>
      <c r="FC5003" s="67"/>
      <c r="FD5003" s="67"/>
      <c r="FE5003" s="67"/>
      <c r="FF5003" s="67"/>
      <c r="FG5003" s="67"/>
      <c r="FH5003" s="67"/>
      <c r="FI5003" s="67"/>
      <c r="FJ5003" s="67"/>
      <c r="FK5003" s="67"/>
      <c r="FL5003" s="67"/>
      <c r="FM5003" s="67"/>
      <c r="FN5003" s="67"/>
      <c r="FO5003" s="67"/>
      <c r="FP5003" s="67"/>
      <c r="FQ5003" s="67"/>
      <c r="FR5003" s="67"/>
      <c r="FS5003" s="67"/>
      <c r="FT5003" s="67"/>
      <c r="FU5003" s="67"/>
      <c r="FV5003" s="67"/>
      <c r="FW5003" s="67"/>
      <c r="FX5003" s="67"/>
      <c r="FY5003" s="67"/>
      <c r="FZ5003" s="67"/>
      <c r="GA5003" s="67"/>
      <c r="GB5003" s="67"/>
      <c r="GC5003" s="67"/>
      <c r="GD5003" s="67"/>
      <c r="GE5003" s="67"/>
      <c r="GF5003" s="67"/>
      <c r="GG5003" s="67"/>
      <c r="GH5003" s="67"/>
      <c r="GI5003" s="67"/>
      <c r="GJ5003" s="67"/>
      <c r="GK5003" s="67"/>
      <c r="GL5003" s="67"/>
      <c r="GM5003" s="67"/>
      <c r="GN5003" s="292"/>
      <c r="GO5003" s="292"/>
      <c r="GP5003" s="292" t="s">
        <v>7494</v>
      </c>
      <c r="GQ5003" s="67"/>
      <c r="GR5003" s="67"/>
      <c r="GS5003" s="67"/>
      <c r="GT5003" s="67"/>
      <c r="GU5003" s="67"/>
      <c r="GV5003" s="67"/>
      <c r="GW5003" s="67"/>
      <c r="GX5003" s="67"/>
      <c r="GY5003" s="67"/>
      <c r="GZ5003" s="67"/>
      <c r="HA5003" s="67"/>
      <c r="HB5003" s="67"/>
      <c r="HC5003" s="67"/>
      <c r="HD5003" s="67"/>
      <c r="HE5003" s="67"/>
      <c r="HF5003" s="67"/>
      <c r="HG5003" s="67"/>
      <c r="HH5003" s="67"/>
      <c r="HI5003" s="67"/>
      <c r="HJ5003" s="67"/>
      <c r="HK5003" s="67"/>
      <c r="HL5003" s="67"/>
      <c r="HM5003" s="67"/>
      <c r="HN5003" s="67">
        <v>54.98</v>
      </c>
      <c r="HO5003" s="67">
        <v>50.25</v>
      </c>
      <c r="HP5003" s="67">
        <f>58.86-HN5003</f>
        <v>3.8800000000000026</v>
      </c>
      <c r="HQ5003" s="67">
        <f>60.7-HO5003</f>
        <v>10.450000000000003</v>
      </c>
      <c r="HR5003" s="67" t="s">
        <v>5603</v>
      </c>
      <c r="HS5003" s="67">
        <v>79</v>
      </c>
      <c r="HT5003" s="67">
        <v>126.62</v>
      </c>
      <c r="HU5003" s="67">
        <v>17</v>
      </c>
      <c r="HV5003" s="67">
        <f>135.06-HT5003</f>
        <v>8.4399999999999977</v>
      </c>
      <c r="HW5003" s="67" t="s">
        <v>5604</v>
      </c>
      <c r="HX5003" s="67">
        <v>310.89999999999998</v>
      </c>
      <c r="HY5003" s="67">
        <v>414.66</v>
      </c>
      <c r="HZ5003" s="67">
        <f>360.75-HX5003</f>
        <v>49.850000000000023</v>
      </c>
      <c r="IA5003" s="67">
        <f>455.7-HY5003</f>
        <v>41.039999999999964</v>
      </c>
      <c r="IB5003" s="67" t="s">
        <v>2242</v>
      </c>
      <c r="IC5003" s="67">
        <v>33.770000000000003</v>
      </c>
      <c r="ID5003" s="67">
        <v>61.41</v>
      </c>
      <c r="IE5003" s="67">
        <f>39.95-IC5003</f>
        <v>6.18</v>
      </c>
      <c r="IF5003" s="67">
        <f>69.74-ID5003</f>
        <v>8.3299999999999983</v>
      </c>
      <c r="IG5003" s="67" t="s">
        <v>2242</v>
      </c>
      <c r="IH5003" s="67"/>
      <c r="II5003" s="67"/>
      <c r="IJ5003" s="67"/>
      <c r="IK5003" s="67"/>
      <c r="IL5003" s="67"/>
      <c r="IM5003" s="67"/>
      <c r="IN5003" s="67"/>
      <c r="IO5003" s="67"/>
      <c r="IP5003" s="67"/>
      <c r="IQ5003" s="67"/>
      <c r="IR5003" s="67"/>
      <c r="IS5003" s="67"/>
      <c r="IT5003" s="67"/>
      <c r="IU5003" s="67"/>
      <c r="IV5003" s="67"/>
      <c r="IW5003" s="67">
        <v>451</v>
      </c>
      <c r="IX5003" s="67">
        <v>547.4</v>
      </c>
      <c r="IY5003" s="67">
        <f>491-IW5003</f>
        <v>40</v>
      </c>
      <c r="IZ5003" s="67">
        <f>607.8-IX5003</f>
        <v>60.399999999999977</v>
      </c>
      <c r="JA5003" s="67" t="s">
        <v>5602</v>
      </c>
      <c r="JB5003" s="67"/>
      <c r="JC5003" s="67"/>
      <c r="JD5003" s="67"/>
      <c r="JE5003" s="67"/>
      <c r="JF5003" s="67"/>
      <c r="JG5003" s="67"/>
      <c r="JH5003" s="67"/>
      <c r="JI5003" s="67"/>
      <c r="JJ5003" s="67"/>
      <c r="JK5003" s="67"/>
      <c r="JL5003" s="67"/>
      <c r="JM5003" s="67"/>
      <c r="JN5003" s="67"/>
      <c r="JO5003" s="67"/>
      <c r="JP5003" s="67"/>
      <c r="JQ5003" s="67"/>
      <c r="JR5003" s="67"/>
      <c r="JS5003" s="67"/>
      <c r="JT5003" s="67"/>
      <c r="JU5003" s="58"/>
      <c r="JV5003" s="58"/>
      <c r="JW5003" s="58"/>
    </row>
    <row r="5004" spans="1:283" s="23" customFormat="1" x14ac:dyDescent="0.25">
      <c r="A5004" s="55">
        <v>5003</v>
      </c>
      <c r="B5004" s="12" t="s">
        <v>7067</v>
      </c>
      <c r="C5004" s="156">
        <v>253</v>
      </c>
      <c r="D5004" s="58" t="s">
        <v>4983</v>
      </c>
      <c r="E5004" s="160" t="str">
        <f>G5004</f>
        <v>Moeskops et al 2010_Cisarua1 Pair 1</v>
      </c>
      <c r="F5004" s="160"/>
      <c r="G5004" s="60" t="s">
        <v>4744</v>
      </c>
      <c r="H5004" s="58">
        <v>2010</v>
      </c>
      <c r="I5004" s="58" t="s">
        <v>5608</v>
      </c>
      <c r="J5004" s="243" t="s">
        <v>112</v>
      </c>
      <c r="K5004" s="63" t="s">
        <v>5092</v>
      </c>
      <c r="L5004" s="58" t="s">
        <v>2754</v>
      </c>
      <c r="M5004" s="94">
        <v>-6.68</v>
      </c>
      <c r="N5004" s="94">
        <v>106.93</v>
      </c>
      <c r="O5004" s="94">
        <v>823</v>
      </c>
      <c r="P5004" s="58"/>
      <c r="Q5004" s="244">
        <v>21.25</v>
      </c>
      <c r="R5004" s="58"/>
      <c r="S5004" s="245">
        <v>3035</v>
      </c>
      <c r="T5004" s="58"/>
      <c r="U5004" s="58" t="s">
        <v>1816</v>
      </c>
      <c r="V5004" s="244">
        <v>8</v>
      </c>
      <c r="W5004" s="174"/>
      <c r="X5004" s="174"/>
      <c r="Y5004" s="58" t="s">
        <v>5606</v>
      </c>
      <c r="Z5004" s="244" t="s">
        <v>1349</v>
      </c>
      <c r="AA5004" s="245">
        <v>15</v>
      </c>
      <c r="AB5004" s="67"/>
      <c r="AC5004" s="67"/>
      <c r="AD5004" s="94"/>
      <c r="AE5004" s="94">
        <v>36.299999999999997</v>
      </c>
      <c r="AF5004" s="94">
        <v>30.2</v>
      </c>
      <c r="AG5004" s="245">
        <v>33.5</v>
      </c>
      <c r="AH5004" s="58" t="s">
        <v>645</v>
      </c>
      <c r="AI5004" s="170">
        <v>4.17</v>
      </c>
      <c r="AJ5004" s="242">
        <v>2.3199999999999998</v>
      </c>
      <c r="AK5004" s="94">
        <v>6.96</v>
      </c>
      <c r="AL5004" s="58"/>
      <c r="AM5004" s="58"/>
      <c r="AN5004" s="186" t="s">
        <v>176</v>
      </c>
      <c r="AO5004" s="185" t="s">
        <v>5150</v>
      </c>
      <c r="AP5004" s="58"/>
      <c r="AQ5004" s="58" t="s">
        <v>176</v>
      </c>
      <c r="AR5004" s="58" t="s">
        <v>5609</v>
      </c>
      <c r="AS5004" s="246" t="s">
        <v>227</v>
      </c>
      <c r="AT5004" s="247">
        <v>0</v>
      </c>
      <c r="AU5004" s="181" t="s">
        <v>7494</v>
      </c>
      <c r="AV5004" s="185" t="s">
        <v>176</v>
      </c>
      <c r="AW5004" s="244">
        <v>0</v>
      </c>
      <c r="AX5004" s="185" t="s">
        <v>176</v>
      </c>
      <c r="AY5004" s="244" t="s">
        <v>176</v>
      </c>
      <c r="AZ5004" s="58"/>
      <c r="BA5004" s="58"/>
      <c r="BB5004" s="58"/>
      <c r="BC5004" s="58"/>
      <c r="BD5004" s="58"/>
      <c r="BE5004" s="236" t="s">
        <v>5206</v>
      </c>
      <c r="BF5004" s="191" t="s">
        <v>479</v>
      </c>
      <c r="BG5004" s="191" t="s">
        <v>479</v>
      </c>
      <c r="BH5004" s="236" t="s">
        <v>5274</v>
      </c>
      <c r="BI5004" s="191" t="s">
        <v>479</v>
      </c>
      <c r="BJ5004" s="58" t="str">
        <f>IF(BE5004=BH5004,"No","yes")</f>
        <v>yes</v>
      </c>
      <c r="BK5004" s="58" t="s">
        <v>6334</v>
      </c>
      <c r="BL5004" s="58"/>
      <c r="BM5004" s="237"/>
      <c r="BN5004" s="244">
        <v>3</v>
      </c>
      <c r="BO5004" s="244">
        <v>3</v>
      </c>
      <c r="BP5004" s="58"/>
      <c r="BQ5004" s="58"/>
      <c r="BR5004" s="58"/>
      <c r="BS5004" s="58"/>
      <c r="BT5004" s="58"/>
      <c r="BU5004" s="58"/>
      <c r="BV5004" s="58"/>
      <c r="BW5004" s="67"/>
      <c r="BX5004" s="67"/>
      <c r="BY5004" s="67"/>
      <c r="BZ5004" s="67"/>
      <c r="CA5004" s="67"/>
      <c r="CB5004" s="70"/>
      <c r="CC5004" s="70"/>
      <c r="CD5004" s="70"/>
      <c r="CE5004" s="67"/>
      <c r="CF5004" s="67"/>
      <c r="CG5004" s="67"/>
      <c r="CH5004" s="245">
        <v>0.84</v>
      </c>
      <c r="CI5004" s="245">
        <v>0.78</v>
      </c>
      <c r="CJ5004" s="67">
        <v>0.06</v>
      </c>
      <c r="CK5004" s="67">
        <v>0.05</v>
      </c>
      <c r="CL5004" s="67"/>
      <c r="CM5004" s="242">
        <v>2.3199999999999998</v>
      </c>
      <c r="CN5004" s="242">
        <v>3.81</v>
      </c>
      <c r="CO5004" s="242">
        <v>0.02</v>
      </c>
      <c r="CP5004" s="242">
        <v>0.71</v>
      </c>
      <c r="CQ5004" s="242" t="s">
        <v>164</v>
      </c>
      <c r="CR5004" s="242"/>
      <c r="CS5004" s="242"/>
      <c r="CT5004" s="242"/>
      <c r="CU5004" s="242"/>
      <c r="CV5004" s="242" t="s">
        <v>5151</v>
      </c>
      <c r="CW5004" s="242"/>
      <c r="CX5004" s="242"/>
      <c r="CY5004" s="242"/>
      <c r="CZ5004" s="242"/>
      <c r="DA5004" s="67" t="s">
        <v>5443</v>
      </c>
      <c r="DB5004" s="67">
        <v>0.26</v>
      </c>
      <c r="DC5004" s="67">
        <v>0.4</v>
      </c>
      <c r="DD5004" s="67">
        <v>0.01</v>
      </c>
      <c r="DE5004" s="67">
        <v>0.08</v>
      </c>
      <c r="DF5004" s="67" t="s">
        <v>5565</v>
      </c>
      <c r="DG5004" s="67"/>
      <c r="DH5004" s="67"/>
      <c r="DI5004" s="67"/>
      <c r="DJ5004" s="67"/>
      <c r="DK5004" s="67"/>
      <c r="DL5004" s="67"/>
      <c r="DM5004" s="67"/>
      <c r="DN5004" s="67"/>
      <c r="DO5004" s="67"/>
      <c r="DP5004" s="67"/>
      <c r="DQ5004" s="166">
        <v>4.17</v>
      </c>
      <c r="DR5004" s="166">
        <v>4.91</v>
      </c>
      <c r="DS5004" s="163">
        <v>0.05</v>
      </c>
      <c r="DT5004" s="163">
        <v>0.06</v>
      </c>
      <c r="DU5004" s="67"/>
      <c r="DV5004" s="67"/>
      <c r="DW5004" s="67"/>
      <c r="DX5004" s="67"/>
      <c r="DY5004" s="67"/>
      <c r="DZ5004" s="67"/>
      <c r="EA5004" s="67"/>
      <c r="EB5004" s="67"/>
      <c r="EC5004" s="67"/>
      <c r="ED5004" s="67"/>
      <c r="EE5004" s="67"/>
      <c r="EF5004" s="67"/>
      <c r="EG5004" s="67"/>
      <c r="EH5004" s="67"/>
      <c r="EI5004" s="67"/>
      <c r="EJ5004" s="67"/>
      <c r="EK5004" s="94"/>
      <c r="EL5004" s="94"/>
      <c r="EM5004" s="67"/>
      <c r="EN5004" s="67"/>
      <c r="EO5004" s="67"/>
      <c r="EP5004" s="67"/>
      <c r="EQ5004" s="67"/>
      <c r="ER5004" s="67"/>
      <c r="ES5004" s="67"/>
      <c r="ET5004" s="67"/>
      <c r="EU5004" s="67"/>
      <c r="EV5004" s="67"/>
      <c r="EW5004" s="67"/>
      <c r="EX5004" s="67"/>
      <c r="EY5004" s="67"/>
      <c r="EZ5004" s="67"/>
      <c r="FA5004" s="67"/>
      <c r="FB5004" s="67"/>
      <c r="FC5004" s="67"/>
      <c r="FD5004" s="67"/>
      <c r="FE5004" s="67"/>
      <c r="FF5004" s="67"/>
      <c r="FG5004" s="67"/>
      <c r="FH5004" s="67"/>
      <c r="FI5004" s="67"/>
      <c r="FJ5004" s="67"/>
      <c r="FK5004" s="67"/>
      <c r="FL5004" s="67"/>
      <c r="FM5004" s="67"/>
      <c r="FN5004" s="67"/>
      <c r="FO5004" s="67"/>
      <c r="FP5004" s="67"/>
      <c r="FQ5004" s="67"/>
      <c r="FR5004" s="67"/>
      <c r="FS5004" s="67"/>
      <c r="FT5004" s="67"/>
      <c r="FU5004" s="67"/>
      <c r="FV5004" s="67"/>
      <c r="FW5004" s="67"/>
      <c r="FX5004" s="67"/>
      <c r="FY5004" s="67"/>
      <c r="FZ5004" s="67"/>
      <c r="GA5004" s="67"/>
      <c r="GB5004" s="67"/>
      <c r="GC5004" s="67"/>
      <c r="GD5004" s="67"/>
      <c r="GE5004" s="67"/>
      <c r="GF5004" s="67"/>
      <c r="GG5004" s="67"/>
      <c r="GH5004" s="67"/>
      <c r="GI5004" s="67"/>
      <c r="GJ5004" s="67"/>
      <c r="GK5004" s="67"/>
      <c r="GL5004" s="67"/>
      <c r="GM5004" s="67"/>
      <c r="GN5004" s="292"/>
      <c r="GO5004" s="292"/>
      <c r="GP5004" s="292" t="s">
        <v>7494</v>
      </c>
      <c r="GQ5004" s="67"/>
      <c r="GR5004" s="67"/>
      <c r="GS5004" s="67"/>
      <c r="GT5004" s="67"/>
      <c r="GU5004" s="67"/>
      <c r="GV5004" s="67"/>
      <c r="GW5004" s="67"/>
      <c r="GX5004" s="67"/>
      <c r="GY5004" s="67"/>
      <c r="GZ5004" s="67"/>
      <c r="HA5004" s="67"/>
      <c r="HB5004" s="67"/>
      <c r="HC5004" s="67"/>
      <c r="HD5004" s="67"/>
      <c r="HE5004" s="67"/>
      <c r="HF5004" s="67"/>
      <c r="HG5004" s="67"/>
      <c r="HH5004" s="67"/>
      <c r="HI5004" s="67">
        <v>265</v>
      </c>
      <c r="HJ5004" s="67">
        <v>659</v>
      </c>
      <c r="HK5004" s="67">
        <v>53</v>
      </c>
      <c r="HL5004" s="67">
        <v>226</v>
      </c>
      <c r="HM5004" s="67" t="s">
        <v>5613</v>
      </c>
      <c r="HN5004" s="67">
        <v>3605</v>
      </c>
      <c r="HO5004" s="67">
        <v>5982</v>
      </c>
      <c r="HP5004" s="67">
        <v>219</v>
      </c>
      <c r="HQ5004" s="67">
        <v>97</v>
      </c>
      <c r="HR5004" s="67" t="s">
        <v>5614</v>
      </c>
      <c r="HS5004" s="67">
        <v>506</v>
      </c>
      <c r="HT5004" s="67">
        <v>905</v>
      </c>
      <c r="HU5004" s="67">
        <v>36</v>
      </c>
      <c r="HV5004" s="67">
        <v>95</v>
      </c>
      <c r="HW5004" s="67" t="s">
        <v>3640</v>
      </c>
      <c r="HX5004" s="67"/>
      <c r="HY5004" s="67"/>
      <c r="HZ5004" s="67"/>
      <c r="IA5004" s="67"/>
      <c r="IB5004" s="67"/>
      <c r="IC5004" s="67"/>
      <c r="ID5004" s="67"/>
      <c r="IE5004" s="67"/>
      <c r="IF5004" s="67"/>
      <c r="IG5004" s="67"/>
      <c r="IH5004" s="67"/>
      <c r="II5004" s="67"/>
      <c r="IJ5004" s="67"/>
      <c r="IK5004" s="67"/>
      <c r="IL5004" s="67"/>
      <c r="IM5004" s="67"/>
      <c r="IN5004" s="67"/>
      <c r="IO5004" s="67"/>
      <c r="IP5004" s="67"/>
      <c r="IQ5004" s="67"/>
      <c r="IR5004" s="67"/>
      <c r="IS5004" s="67"/>
      <c r="IT5004" s="67"/>
      <c r="IU5004" s="67"/>
      <c r="IV5004" s="67"/>
      <c r="IW5004" s="67"/>
      <c r="IX5004" s="67"/>
      <c r="IY5004" s="67"/>
      <c r="IZ5004" s="67"/>
      <c r="JA5004" s="67"/>
      <c r="JB5004" s="67"/>
      <c r="JC5004" s="67"/>
      <c r="JD5004" s="67"/>
      <c r="JE5004" s="67"/>
      <c r="JF5004" s="67"/>
      <c r="JG5004" s="67">
        <v>346.31</v>
      </c>
      <c r="JH5004" s="67">
        <v>481.7</v>
      </c>
      <c r="JI5004" s="67">
        <f>374.36-JG5004</f>
        <v>28.050000000000011</v>
      </c>
      <c r="JJ5004" s="67">
        <f>617-JH5004</f>
        <v>135.30000000000001</v>
      </c>
      <c r="JK5004" s="67" t="s">
        <v>5615</v>
      </c>
      <c r="JL5004" s="67"/>
      <c r="JM5004" s="67"/>
      <c r="JN5004" s="67"/>
      <c r="JO5004" s="67"/>
      <c r="JP5004" s="67"/>
      <c r="JQ5004" s="67"/>
      <c r="JR5004" s="67"/>
      <c r="JS5004" s="67"/>
      <c r="JT5004" s="67"/>
      <c r="JU5004" s="58"/>
      <c r="JV5004" s="58"/>
      <c r="JW5004" s="58"/>
    </row>
    <row r="5005" spans="1:283" s="23" customFormat="1" x14ac:dyDescent="0.25">
      <c r="A5005" s="55">
        <v>5004</v>
      </c>
      <c r="B5005" s="12" t="s">
        <v>7067</v>
      </c>
      <c r="C5005" s="156">
        <v>253</v>
      </c>
      <c r="D5005" s="58" t="s">
        <v>4984</v>
      </c>
      <c r="E5005" s="160" t="str">
        <f>G5005</f>
        <v>Moeskops et al 2010_Cisarua1 Pair 2</v>
      </c>
      <c r="F5005" s="160"/>
      <c r="G5005" s="60" t="s">
        <v>4743</v>
      </c>
      <c r="H5005" s="58">
        <v>2010</v>
      </c>
      <c r="I5005" s="58" t="s">
        <v>5608</v>
      </c>
      <c r="J5005" s="243" t="s">
        <v>112</v>
      </c>
      <c r="K5005" s="63" t="s">
        <v>5092</v>
      </c>
      <c r="L5005" s="58" t="s">
        <v>2754</v>
      </c>
      <c r="M5005" s="94">
        <v>-6.68</v>
      </c>
      <c r="N5005" s="94">
        <v>106.93</v>
      </c>
      <c r="O5005" s="94">
        <v>823</v>
      </c>
      <c r="P5005" s="58"/>
      <c r="Q5005" s="244">
        <v>21.25</v>
      </c>
      <c r="R5005" s="58"/>
      <c r="S5005" s="245">
        <v>3035</v>
      </c>
      <c r="T5005" s="58"/>
      <c r="U5005" s="58" t="s">
        <v>1816</v>
      </c>
      <c r="V5005" s="244">
        <v>8</v>
      </c>
      <c r="W5005" s="174"/>
      <c r="X5005" s="174"/>
      <c r="Y5005" s="58" t="s">
        <v>5606</v>
      </c>
      <c r="Z5005" s="244" t="s">
        <v>1349</v>
      </c>
      <c r="AA5005" s="245">
        <v>15</v>
      </c>
      <c r="AB5005" s="67"/>
      <c r="AC5005" s="67"/>
      <c r="AD5005" s="94"/>
      <c r="AE5005" s="94">
        <v>30.2</v>
      </c>
      <c r="AF5005" s="94">
        <v>32.5</v>
      </c>
      <c r="AG5005" s="245">
        <v>37.299999999999997</v>
      </c>
      <c r="AH5005" s="58" t="s">
        <v>645</v>
      </c>
      <c r="AI5005" s="170">
        <v>4</v>
      </c>
      <c r="AJ5005" s="242">
        <v>2.29</v>
      </c>
      <c r="AK5005" s="94">
        <v>6.96</v>
      </c>
      <c r="AL5005" s="58"/>
      <c r="AM5005" s="58"/>
      <c r="AN5005" s="186" t="s">
        <v>176</v>
      </c>
      <c r="AO5005" s="185" t="s">
        <v>5150</v>
      </c>
      <c r="AP5005" s="58"/>
      <c r="AQ5005" s="58" t="s">
        <v>176</v>
      </c>
      <c r="AR5005" s="58" t="s">
        <v>5610</v>
      </c>
      <c r="AS5005" s="246" t="s">
        <v>227</v>
      </c>
      <c r="AT5005" s="247">
        <v>0</v>
      </c>
      <c r="AU5005" s="181" t="s">
        <v>7494</v>
      </c>
      <c r="AV5005" s="185" t="s">
        <v>176</v>
      </c>
      <c r="AW5005" s="244">
        <v>0</v>
      </c>
      <c r="AX5005" s="185" t="s">
        <v>176</v>
      </c>
      <c r="AY5005" s="244" t="s">
        <v>176</v>
      </c>
      <c r="AZ5005" s="58"/>
      <c r="BA5005" s="58"/>
      <c r="BB5005" s="58"/>
      <c r="BC5005" s="58"/>
      <c r="BD5005" s="58"/>
      <c r="BE5005" s="236" t="s">
        <v>5207</v>
      </c>
      <c r="BF5005" s="191" t="s">
        <v>479</v>
      </c>
      <c r="BG5005" s="191" t="s">
        <v>479</v>
      </c>
      <c r="BH5005" s="236" t="s">
        <v>5274</v>
      </c>
      <c r="BI5005" s="191" t="s">
        <v>479</v>
      </c>
      <c r="BJ5005" s="58" t="str">
        <f>IF(BE5005=BH5005,"No","yes")</f>
        <v>yes</v>
      </c>
      <c r="BK5005" s="58" t="s">
        <v>6334</v>
      </c>
      <c r="BL5005" s="58"/>
      <c r="BM5005" s="237"/>
      <c r="BN5005" s="244">
        <v>3</v>
      </c>
      <c r="BO5005" s="244">
        <v>3</v>
      </c>
      <c r="BP5005" s="58"/>
      <c r="BQ5005" s="58"/>
      <c r="BR5005" s="58"/>
      <c r="BS5005" s="58"/>
      <c r="BT5005" s="58"/>
      <c r="BU5005" s="58"/>
      <c r="BV5005" s="58"/>
      <c r="BW5005" s="67"/>
      <c r="BX5005" s="67"/>
      <c r="BY5005" s="67"/>
      <c r="BZ5005" s="67"/>
      <c r="CA5005" s="67"/>
      <c r="CB5005" s="70"/>
      <c r="CC5005" s="70"/>
      <c r="CD5005" s="70"/>
      <c r="CE5005" s="67"/>
      <c r="CF5005" s="67"/>
      <c r="CG5005" s="67"/>
      <c r="CH5005" s="245">
        <v>0.73</v>
      </c>
      <c r="CI5005" s="245">
        <v>0.7</v>
      </c>
      <c r="CJ5005" s="67">
        <v>0.02</v>
      </c>
      <c r="CK5005" s="67">
        <v>0.03</v>
      </c>
      <c r="CL5005" s="67"/>
      <c r="CM5005" s="242">
        <v>2.29</v>
      </c>
      <c r="CN5005" s="242">
        <v>3.8</v>
      </c>
      <c r="CO5005" s="242">
        <v>7.0000000000000007E-2</v>
      </c>
      <c r="CP5005" s="242">
        <v>0.33</v>
      </c>
      <c r="CQ5005" s="242" t="s">
        <v>164</v>
      </c>
      <c r="CR5005" s="242"/>
      <c r="CS5005" s="242"/>
      <c r="CT5005" s="242"/>
      <c r="CU5005" s="242"/>
      <c r="CV5005" s="242" t="s">
        <v>5151</v>
      </c>
      <c r="CW5005" s="242"/>
      <c r="CX5005" s="242"/>
      <c r="CY5005" s="242"/>
      <c r="CZ5005" s="242"/>
      <c r="DA5005" s="67" t="s">
        <v>5443</v>
      </c>
      <c r="DB5005" s="67">
        <v>0.27</v>
      </c>
      <c r="DC5005" s="67">
        <v>0.43</v>
      </c>
      <c r="DD5005" s="67">
        <v>0.01</v>
      </c>
      <c r="DE5005" s="67">
        <v>0.04</v>
      </c>
      <c r="DF5005" s="67" t="s">
        <v>5565</v>
      </c>
      <c r="DG5005" s="67"/>
      <c r="DH5005" s="67"/>
      <c r="DI5005" s="67"/>
      <c r="DJ5005" s="67"/>
      <c r="DK5005" s="67"/>
      <c r="DL5005" s="67"/>
      <c r="DM5005" s="67"/>
      <c r="DN5005" s="67"/>
      <c r="DO5005" s="67"/>
      <c r="DP5005" s="67"/>
      <c r="DQ5005" s="166">
        <v>4</v>
      </c>
      <c r="DR5005" s="166">
        <v>5.0199999999999996</v>
      </c>
      <c r="DS5005" s="163">
        <v>0.05</v>
      </c>
      <c r="DT5005" s="163">
        <v>0.23</v>
      </c>
      <c r="DU5005" s="67"/>
      <c r="DV5005" s="67"/>
      <c r="DW5005" s="67"/>
      <c r="DX5005" s="67"/>
      <c r="DY5005" s="67"/>
      <c r="DZ5005" s="67"/>
      <c r="EA5005" s="67"/>
      <c r="EB5005" s="67"/>
      <c r="EC5005" s="67"/>
      <c r="ED5005" s="67"/>
      <c r="EE5005" s="67"/>
      <c r="EF5005" s="67"/>
      <c r="EG5005" s="67"/>
      <c r="EH5005" s="67"/>
      <c r="EI5005" s="67"/>
      <c r="EJ5005" s="67"/>
      <c r="EK5005" s="94"/>
      <c r="EL5005" s="94"/>
      <c r="EM5005" s="67"/>
      <c r="EN5005" s="67"/>
      <c r="EO5005" s="67"/>
      <c r="EP5005" s="67"/>
      <c r="EQ5005" s="67"/>
      <c r="ER5005" s="67"/>
      <c r="ES5005" s="67"/>
      <c r="ET5005" s="67"/>
      <c r="EU5005" s="67"/>
      <c r="EV5005" s="67"/>
      <c r="EW5005" s="67"/>
      <c r="EX5005" s="67"/>
      <c r="EY5005" s="67"/>
      <c r="EZ5005" s="67"/>
      <c r="FA5005" s="67"/>
      <c r="FB5005" s="67"/>
      <c r="FC5005" s="67"/>
      <c r="FD5005" s="67"/>
      <c r="FE5005" s="67"/>
      <c r="FF5005" s="67"/>
      <c r="FG5005" s="67"/>
      <c r="FH5005" s="67"/>
      <c r="FI5005" s="67"/>
      <c r="FJ5005" s="67"/>
      <c r="FK5005" s="67"/>
      <c r="FL5005" s="67"/>
      <c r="FM5005" s="67"/>
      <c r="FN5005" s="67"/>
      <c r="FO5005" s="67"/>
      <c r="FP5005" s="67"/>
      <c r="FQ5005" s="67"/>
      <c r="FR5005" s="67"/>
      <c r="FS5005" s="67"/>
      <c r="FT5005" s="67"/>
      <c r="FU5005" s="67"/>
      <c r="FV5005" s="67"/>
      <c r="FW5005" s="67"/>
      <c r="FX5005" s="67"/>
      <c r="FY5005" s="67"/>
      <c r="FZ5005" s="67"/>
      <c r="GA5005" s="67"/>
      <c r="GB5005" s="67"/>
      <c r="GC5005" s="67"/>
      <c r="GD5005" s="67"/>
      <c r="GE5005" s="67"/>
      <c r="GF5005" s="67"/>
      <c r="GG5005" s="67"/>
      <c r="GH5005" s="67"/>
      <c r="GI5005" s="67"/>
      <c r="GJ5005" s="67"/>
      <c r="GK5005" s="67"/>
      <c r="GL5005" s="67"/>
      <c r="GM5005" s="67"/>
      <c r="GN5005" s="292"/>
      <c r="GO5005" s="292"/>
      <c r="GP5005" s="292" t="s">
        <v>7494</v>
      </c>
      <c r="GQ5005" s="67"/>
      <c r="GR5005" s="67"/>
      <c r="GS5005" s="67"/>
      <c r="GT5005" s="67"/>
      <c r="GU5005" s="67"/>
      <c r="GV5005" s="67"/>
      <c r="GW5005" s="67"/>
      <c r="GX5005" s="67"/>
      <c r="GY5005" s="67"/>
      <c r="GZ5005" s="67"/>
      <c r="HA5005" s="67"/>
      <c r="HB5005" s="67"/>
      <c r="HC5005" s="67"/>
      <c r="HD5005" s="67"/>
      <c r="HE5005" s="67"/>
      <c r="HF5005" s="67"/>
      <c r="HG5005" s="67"/>
      <c r="HH5005" s="67"/>
      <c r="HI5005" s="67">
        <v>478</v>
      </c>
      <c r="HJ5005" s="67">
        <v>676</v>
      </c>
      <c r="HK5005" s="67">
        <v>209</v>
      </c>
      <c r="HL5005" s="67">
        <v>200</v>
      </c>
      <c r="HM5005" s="67" t="s">
        <v>5613</v>
      </c>
      <c r="HN5005" s="67">
        <v>3484</v>
      </c>
      <c r="HO5005" s="67">
        <v>7304</v>
      </c>
      <c r="HP5005" s="67">
        <v>273</v>
      </c>
      <c r="HQ5005" s="67">
        <v>888</v>
      </c>
      <c r="HR5005" s="67" t="s">
        <v>5614</v>
      </c>
      <c r="HS5005" s="67">
        <v>455</v>
      </c>
      <c r="HT5005" s="67">
        <v>1020</v>
      </c>
      <c r="HU5005" s="67">
        <v>11</v>
      </c>
      <c r="HV5005" s="67">
        <v>42</v>
      </c>
      <c r="HW5005" s="67" t="s">
        <v>3640</v>
      </c>
      <c r="HX5005" s="67"/>
      <c r="HY5005" s="67"/>
      <c r="HZ5005" s="67"/>
      <c r="IA5005" s="67"/>
      <c r="IB5005" s="67"/>
      <c r="IC5005" s="67"/>
      <c r="ID5005" s="67"/>
      <c r="IE5005" s="67"/>
      <c r="IF5005" s="67"/>
      <c r="IG5005" s="67"/>
      <c r="IH5005" s="67"/>
      <c r="II5005" s="67"/>
      <c r="IJ5005" s="67"/>
      <c r="IK5005" s="67"/>
      <c r="IL5005" s="67"/>
      <c r="IM5005" s="67"/>
      <c r="IN5005" s="67"/>
      <c r="IO5005" s="67"/>
      <c r="IP5005" s="67"/>
      <c r="IQ5005" s="67"/>
      <c r="IR5005" s="67"/>
      <c r="IS5005" s="67"/>
      <c r="IT5005" s="67"/>
      <c r="IU5005" s="67"/>
      <c r="IV5005" s="67"/>
      <c r="IW5005" s="67"/>
      <c r="IX5005" s="67"/>
      <c r="IY5005" s="67"/>
      <c r="IZ5005" s="67"/>
      <c r="JA5005" s="67"/>
      <c r="JB5005" s="67"/>
      <c r="JC5005" s="67"/>
      <c r="JD5005" s="67"/>
      <c r="JE5005" s="67"/>
      <c r="JF5005" s="67"/>
      <c r="JG5005" s="67">
        <v>327.99</v>
      </c>
      <c r="JH5005" s="67">
        <v>479.88</v>
      </c>
      <c r="JI5005" s="67">
        <f>354.39-JG5005</f>
        <v>26.399999999999977</v>
      </c>
      <c r="JJ5005" s="67">
        <f>542.6-JH5005</f>
        <v>62.720000000000027</v>
      </c>
      <c r="JK5005" s="67" t="s">
        <v>5615</v>
      </c>
      <c r="JL5005" s="67"/>
      <c r="JM5005" s="67"/>
      <c r="JN5005" s="67"/>
      <c r="JO5005" s="67"/>
      <c r="JP5005" s="67"/>
      <c r="JQ5005" s="67"/>
      <c r="JR5005" s="67"/>
      <c r="JS5005" s="67"/>
      <c r="JT5005" s="67"/>
      <c r="JU5005" s="58"/>
      <c r="JV5005" s="58"/>
      <c r="JW5005" s="58"/>
    </row>
    <row r="5006" spans="1:283" s="23" customFormat="1" x14ac:dyDescent="0.25">
      <c r="A5006" s="55">
        <v>5005</v>
      </c>
      <c r="B5006" s="12" t="s">
        <v>7067</v>
      </c>
      <c r="C5006" s="156">
        <v>253</v>
      </c>
      <c r="D5006" s="58" t="s">
        <v>4985</v>
      </c>
      <c r="E5006" s="160" t="str">
        <f>G5006</f>
        <v>Moeskops et al 2010_Cisarua2 Pair 1</v>
      </c>
      <c r="F5006" s="160"/>
      <c r="G5006" s="60" t="s">
        <v>4742</v>
      </c>
      <c r="H5006" s="58">
        <v>2010</v>
      </c>
      <c r="I5006" s="58" t="s">
        <v>5608</v>
      </c>
      <c r="J5006" s="243" t="s">
        <v>112</v>
      </c>
      <c r="K5006" s="63" t="s">
        <v>5092</v>
      </c>
      <c r="L5006" s="58" t="s">
        <v>2754</v>
      </c>
      <c r="M5006" s="94">
        <v>-7.09</v>
      </c>
      <c r="N5006" s="94">
        <v>107.44</v>
      </c>
      <c r="O5006" s="94">
        <v>1221</v>
      </c>
      <c r="P5006" s="58"/>
      <c r="Q5006" s="244">
        <v>21.25</v>
      </c>
      <c r="R5006" s="58"/>
      <c r="S5006" s="245">
        <v>3035</v>
      </c>
      <c r="T5006" s="58"/>
      <c r="U5006" s="58" t="s">
        <v>1688</v>
      </c>
      <c r="V5006" s="244" t="s">
        <v>1682</v>
      </c>
      <c r="W5006" s="174"/>
      <c r="X5006" s="174"/>
      <c r="Y5006" s="58" t="s">
        <v>5606</v>
      </c>
      <c r="Z5006" s="244" t="s">
        <v>1349</v>
      </c>
      <c r="AA5006" s="245">
        <v>15</v>
      </c>
      <c r="AB5006" s="67"/>
      <c r="AC5006" s="67"/>
      <c r="AD5006" s="94"/>
      <c r="AE5006" s="94">
        <v>66.8</v>
      </c>
      <c r="AF5006" s="94">
        <v>31.5</v>
      </c>
      <c r="AG5006" s="245">
        <v>1.7</v>
      </c>
      <c r="AH5006" s="58" t="s">
        <v>238</v>
      </c>
      <c r="AI5006" s="170">
        <v>4.71</v>
      </c>
      <c r="AJ5006" s="242">
        <v>3.41</v>
      </c>
      <c r="AK5006" s="94"/>
      <c r="AL5006" s="58"/>
      <c r="AM5006" s="58"/>
      <c r="AN5006" s="186" t="s">
        <v>176</v>
      </c>
      <c r="AO5006" s="185" t="s">
        <v>5150</v>
      </c>
      <c r="AP5006" s="58"/>
      <c r="AQ5006" s="58" t="s">
        <v>176</v>
      </c>
      <c r="AR5006" s="58" t="s">
        <v>1064</v>
      </c>
      <c r="AS5006" s="246" t="s">
        <v>227</v>
      </c>
      <c r="AT5006" s="247">
        <v>0</v>
      </c>
      <c r="AU5006" s="181" t="s">
        <v>7494</v>
      </c>
      <c r="AV5006" s="185" t="s">
        <v>176</v>
      </c>
      <c r="AW5006" s="244">
        <v>0</v>
      </c>
      <c r="AX5006" s="185" t="s">
        <v>176</v>
      </c>
      <c r="AY5006" s="244" t="s">
        <v>176</v>
      </c>
      <c r="AZ5006" s="58"/>
      <c r="BA5006" s="58"/>
      <c r="BB5006" s="58"/>
      <c r="BC5006" s="58"/>
      <c r="BD5006" s="58"/>
      <c r="BE5006" s="236" t="s">
        <v>5208</v>
      </c>
      <c r="BF5006" s="191" t="s">
        <v>479</v>
      </c>
      <c r="BG5006" s="191" t="s">
        <v>479</v>
      </c>
      <c r="BH5006" s="236" t="s">
        <v>5275</v>
      </c>
      <c r="BI5006" s="191" t="s">
        <v>479</v>
      </c>
      <c r="BJ5006" s="58" t="str">
        <f>IF(BE5006=BH5006,"No","yes")</f>
        <v>yes</v>
      </c>
      <c r="BK5006" s="58" t="s">
        <v>6334</v>
      </c>
      <c r="BL5006" s="58"/>
      <c r="BM5006" s="237"/>
      <c r="BN5006" s="244">
        <v>3</v>
      </c>
      <c r="BO5006" s="244">
        <v>3</v>
      </c>
      <c r="BP5006" s="58"/>
      <c r="BQ5006" s="58"/>
      <c r="BR5006" s="58"/>
      <c r="BS5006" s="58"/>
      <c r="BT5006" s="58"/>
      <c r="BU5006" s="58"/>
      <c r="BV5006" s="58"/>
      <c r="BW5006" s="67"/>
      <c r="BX5006" s="67"/>
      <c r="BY5006" s="67"/>
      <c r="BZ5006" s="67"/>
      <c r="CA5006" s="67"/>
      <c r="CB5006" s="70"/>
      <c r="CC5006" s="70"/>
      <c r="CD5006" s="70"/>
      <c r="CE5006" s="67"/>
      <c r="CF5006" s="67"/>
      <c r="CG5006" s="67"/>
      <c r="CH5006" s="245">
        <v>0.71</v>
      </c>
      <c r="CI5006" s="245">
        <v>0.65</v>
      </c>
      <c r="CJ5006" s="67">
        <v>0.01</v>
      </c>
      <c r="CK5006" s="67">
        <v>0.09</v>
      </c>
      <c r="CL5006" s="67"/>
      <c r="CM5006" s="242">
        <v>3.41</v>
      </c>
      <c r="CN5006" s="242">
        <v>6.19</v>
      </c>
      <c r="CO5006" s="242">
        <v>0.05</v>
      </c>
      <c r="CP5006" s="242">
        <v>0.38</v>
      </c>
      <c r="CQ5006" s="242" t="s">
        <v>164</v>
      </c>
      <c r="CR5006" s="242"/>
      <c r="CS5006" s="242"/>
      <c r="CT5006" s="242"/>
      <c r="CU5006" s="242"/>
      <c r="CV5006" s="242" t="s">
        <v>5151</v>
      </c>
      <c r="CW5006" s="242"/>
      <c r="CX5006" s="242"/>
      <c r="CY5006" s="242"/>
      <c r="CZ5006" s="242"/>
      <c r="DA5006" s="67" t="s">
        <v>5443</v>
      </c>
      <c r="DB5006" s="67">
        <v>0.4</v>
      </c>
      <c r="DC5006" s="67">
        <v>0.61</v>
      </c>
      <c r="DD5006" s="67">
        <v>0.01</v>
      </c>
      <c r="DE5006" s="67">
        <v>0.04</v>
      </c>
      <c r="DF5006" s="67" t="s">
        <v>5565</v>
      </c>
      <c r="DG5006" s="67"/>
      <c r="DH5006" s="67"/>
      <c r="DI5006" s="67"/>
      <c r="DJ5006" s="67"/>
      <c r="DK5006" s="67"/>
      <c r="DL5006" s="67"/>
      <c r="DM5006" s="67"/>
      <c r="DN5006" s="67"/>
      <c r="DO5006" s="67"/>
      <c r="DP5006" s="67"/>
      <c r="DQ5006" s="166">
        <v>4.71</v>
      </c>
      <c r="DR5006" s="166">
        <v>5.29</v>
      </c>
      <c r="DS5006" s="163">
        <v>0.05</v>
      </c>
      <c r="DT5006" s="163">
        <v>0.12</v>
      </c>
      <c r="DU5006" s="67"/>
      <c r="DV5006" s="67"/>
      <c r="DW5006" s="67"/>
      <c r="DX5006" s="67"/>
      <c r="DY5006" s="67"/>
      <c r="DZ5006" s="67"/>
      <c r="EA5006" s="67"/>
      <c r="EB5006" s="67"/>
      <c r="EC5006" s="67"/>
      <c r="ED5006" s="67"/>
      <c r="EE5006" s="67"/>
      <c r="EF5006" s="67"/>
      <c r="EG5006" s="67"/>
      <c r="EH5006" s="67"/>
      <c r="EI5006" s="67"/>
      <c r="EJ5006" s="67"/>
      <c r="EK5006" s="94"/>
      <c r="EL5006" s="94"/>
      <c r="EM5006" s="67"/>
      <c r="EN5006" s="67"/>
      <c r="EO5006" s="67"/>
      <c r="EP5006" s="67"/>
      <c r="EQ5006" s="67"/>
      <c r="ER5006" s="67"/>
      <c r="ES5006" s="67"/>
      <c r="ET5006" s="67"/>
      <c r="EU5006" s="67"/>
      <c r="EV5006" s="67"/>
      <c r="EW5006" s="67"/>
      <c r="EX5006" s="67"/>
      <c r="EY5006" s="67"/>
      <c r="EZ5006" s="67"/>
      <c r="FA5006" s="67"/>
      <c r="FB5006" s="67"/>
      <c r="FC5006" s="67"/>
      <c r="FD5006" s="67"/>
      <c r="FE5006" s="67"/>
      <c r="FF5006" s="67"/>
      <c r="FG5006" s="67"/>
      <c r="FH5006" s="67"/>
      <c r="FI5006" s="67"/>
      <c r="FJ5006" s="67"/>
      <c r="FK5006" s="67"/>
      <c r="FL5006" s="67"/>
      <c r="FM5006" s="67"/>
      <c r="FN5006" s="67"/>
      <c r="FO5006" s="67"/>
      <c r="FP5006" s="67"/>
      <c r="FQ5006" s="67"/>
      <c r="FR5006" s="67"/>
      <c r="FS5006" s="67"/>
      <c r="FT5006" s="67"/>
      <c r="FU5006" s="67"/>
      <c r="FV5006" s="67"/>
      <c r="FW5006" s="67"/>
      <c r="FX5006" s="67"/>
      <c r="FY5006" s="67"/>
      <c r="FZ5006" s="67"/>
      <c r="GA5006" s="67"/>
      <c r="GB5006" s="67"/>
      <c r="GC5006" s="67"/>
      <c r="GD5006" s="67"/>
      <c r="GE5006" s="67"/>
      <c r="GF5006" s="67"/>
      <c r="GG5006" s="67"/>
      <c r="GH5006" s="67"/>
      <c r="GI5006" s="67"/>
      <c r="GJ5006" s="67"/>
      <c r="GK5006" s="67"/>
      <c r="GL5006" s="67"/>
      <c r="GM5006" s="67"/>
      <c r="GN5006" s="292"/>
      <c r="GO5006" s="292"/>
      <c r="GP5006" s="292" t="s">
        <v>7494</v>
      </c>
      <c r="GQ5006" s="67"/>
      <c r="GR5006" s="67"/>
      <c r="GS5006" s="67"/>
      <c r="GT5006" s="67"/>
      <c r="GU5006" s="67"/>
      <c r="GV5006" s="67"/>
      <c r="GW5006" s="67"/>
      <c r="GX5006" s="67"/>
      <c r="GY5006" s="67"/>
      <c r="GZ5006" s="67"/>
      <c r="HA5006" s="67"/>
      <c r="HB5006" s="67"/>
      <c r="HC5006" s="67"/>
      <c r="HD5006" s="67"/>
      <c r="HE5006" s="67"/>
      <c r="HF5006" s="67"/>
      <c r="HG5006" s="67"/>
      <c r="HH5006" s="67"/>
      <c r="HI5006" s="67">
        <v>308</v>
      </c>
      <c r="HJ5006" s="67">
        <v>618</v>
      </c>
      <c r="HK5006" s="67">
        <v>109</v>
      </c>
      <c r="HL5006" s="67">
        <v>86</v>
      </c>
      <c r="HM5006" s="67" t="s">
        <v>5613</v>
      </c>
      <c r="HN5006" s="67">
        <v>3467</v>
      </c>
      <c r="HO5006" s="67">
        <v>7876</v>
      </c>
      <c r="HP5006" s="67">
        <v>320</v>
      </c>
      <c r="HQ5006" s="67">
        <v>557</v>
      </c>
      <c r="HR5006" s="67" t="s">
        <v>5614</v>
      </c>
      <c r="HS5006" s="67">
        <v>391</v>
      </c>
      <c r="HT5006" s="67">
        <v>868</v>
      </c>
      <c r="HU5006" s="67">
        <v>26</v>
      </c>
      <c r="HV5006" s="67">
        <v>28</v>
      </c>
      <c r="HW5006" s="67" t="s">
        <v>3640</v>
      </c>
      <c r="HX5006" s="67"/>
      <c r="HY5006" s="67"/>
      <c r="HZ5006" s="67"/>
      <c r="IA5006" s="67"/>
      <c r="IB5006" s="67"/>
      <c r="IC5006" s="67"/>
      <c r="ID5006" s="67"/>
      <c r="IE5006" s="67"/>
      <c r="IF5006" s="67"/>
      <c r="IG5006" s="67"/>
      <c r="IH5006" s="67"/>
      <c r="II5006" s="67"/>
      <c r="IJ5006" s="67"/>
      <c r="IK5006" s="67"/>
      <c r="IL5006" s="67"/>
      <c r="IM5006" s="67"/>
      <c r="IN5006" s="67"/>
      <c r="IO5006" s="67"/>
      <c r="IP5006" s="67"/>
      <c r="IQ5006" s="67"/>
      <c r="IR5006" s="67"/>
      <c r="IS5006" s="67"/>
      <c r="IT5006" s="67"/>
      <c r="IU5006" s="67"/>
      <c r="IV5006" s="67"/>
      <c r="IW5006" s="67"/>
      <c r="IX5006" s="67"/>
      <c r="IY5006" s="67"/>
      <c r="IZ5006" s="67"/>
      <c r="JA5006" s="67"/>
      <c r="JB5006" s="67"/>
      <c r="JC5006" s="67"/>
      <c r="JD5006" s="67"/>
      <c r="JE5006" s="67"/>
      <c r="JF5006" s="67"/>
      <c r="JG5006" s="67">
        <v>274.89999999999998</v>
      </c>
      <c r="JH5006" s="67">
        <v>601.74</v>
      </c>
      <c r="JI5006" s="67">
        <v>15</v>
      </c>
      <c r="JJ5006" s="67">
        <f>710-JH5006</f>
        <v>108.25999999999999</v>
      </c>
      <c r="JK5006" s="67" t="s">
        <v>5615</v>
      </c>
      <c r="JL5006" s="67"/>
      <c r="JM5006" s="67"/>
      <c r="JN5006" s="67"/>
      <c r="JO5006" s="67"/>
      <c r="JP5006" s="67"/>
      <c r="JQ5006" s="67"/>
      <c r="JR5006" s="67"/>
      <c r="JS5006" s="67"/>
      <c r="JT5006" s="67"/>
      <c r="JU5006" s="58"/>
      <c r="JV5006" s="58"/>
      <c r="JW5006" s="58"/>
    </row>
    <row r="5007" spans="1:283" s="23" customFormat="1" x14ac:dyDescent="0.25">
      <c r="A5007" s="55">
        <v>5006</v>
      </c>
      <c r="B5007" s="12" t="s">
        <v>7067</v>
      </c>
      <c r="C5007" s="156">
        <v>253</v>
      </c>
      <c r="D5007" s="58" t="s">
        <v>4986</v>
      </c>
      <c r="E5007" s="160" t="str">
        <f>G5007</f>
        <v>Moeskops et al 2010_Cisarua2 Pair 2</v>
      </c>
      <c r="F5007" s="160"/>
      <c r="G5007" s="60" t="s">
        <v>4741</v>
      </c>
      <c r="H5007" s="58">
        <v>2010</v>
      </c>
      <c r="I5007" s="58" t="s">
        <v>5608</v>
      </c>
      <c r="J5007" s="243" t="s">
        <v>112</v>
      </c>
      <c r="K5007" s="63" t="s">
        <v>5092</v>
      </c>
      <c r="L5007" s="58" t="s">
        <v>2754</v>
      </c>
      <c r="M5007" s="94">
        <v>-7.09</v>
      </c>
      <c r="N5007" s="94">
        <v>107.44</v>
      </c>
      <c r="O5007" s="94">
        <v>1221</v>
      </c>
      <c r="P5007" s="58"/>
      <c r="Q5007" s="244">
        <v>21.25</v>
      </c>
      <c r="R5007" s="58"/>
      <c r="S5007" s="245">
        <v>3035</v>
      </c>
      <c r="T5007" s="58"/>
      <c r="U5007" s="58" t="s">
        <v>1688</v>
      </c>
      <c r="V5007" s="244" t="s">
        <v>1682</v>
      </c>
      <c r="W5007" s="174"/>
      <c r="X5007" s="174"/>
      <c r="Y5007" s="58" t="s">
        <v>5606</v>
      </c>
      <c r="Z5007" s="244" t="s">
        <v>1349</v>
      </c>
      <c r="AA5007" s="245">
        <v>15</v>
      </c>
      <c r="AB5007" s="67"/>
      <c r="AC5007" s="67"/>
      <c r="AD5007" s="94"/>
      <c r="AE5007" s="94">
        <v>56</v>
      </c>
      <c r="AF5007" s="94">
        <v>42.9</v>
      </c>
      <c r="AG5007" s="245">
        <v>1.1000000000000001</v>
      </c>
      <c r="AH5007" s="58" t="s">
        <v>238</v>
      </c>
      <c r="AI5007" s="170">
        <v>5.75</v>
      </c>
      <c r="AJ5007" s="242">
        <v>4.01</v>
      </c>
      <c r="AK5007" s="94"/>
      <c r="AL5007" s="58"/>
      <c r="AM5007" s="58"/>
      <c r="AN5007" s="186" t="s">
        <v>176</v>
      </c>
      <c r="AO5007" s="185" t="s">
        <v>5150</v>
      </c>
      <c r="AP5007" s="58"/>
      <c r="AQ5007" s="58" t="s">
        <v>176</v>
      </c>
      <c r="AR5007" s="58" t="s">
        <v>5610</v>
      </c>
      <c r="AS5007" s="246" t="s">
        <v>227</v>
      </c>
      <c r="AT5007" s="247">
        <v>0</v>
      </c>
      <c r="AU5007" s="181" t="s">
        <v>7494</v>
      </c>
      <c r="AV5007" s="185" t="s">
        <v>176</v>
      </c>
      <c r="AW5007" s="244">
        <v>0</v>
      </c>
      <c r="AX5007" s="185" t="s">
        <v>176</v>
      </c>
      <c r="AY5007" s="244" t="s">
        <v>176</v>
      </c>
      <c r="AZ5007" s="58"/>
      <c r="BA5007" s="58"/>
      <c r="BB5007" s="58"/>
      <c r="BC5007" s="58"/>
      <c r="BD5007" s="58"/>
      <c r="BE5007" s="236" t="s">
        <v>5209</v>
      </c>
      <c r="BF5007" s="191" t="s">
        <v>479</v>
      </c>
      <c r="BG5007" s="191" t="s">
        <v>479</v>
      </c>
      <c r="BH5007" s="236" t="s">
        <v>5275</v>
      </c>
      <c r="BI5007" s="191" t="s">
        <v>479</v>
      </c>
      <c r="BJ5007" s="58" t="str">
        <f>IF(BE5007=BH5007,"No","yes")</f>
        <v>yes</v>
      </c>
      <c r="BK5007" s="58" t="s">
        <v>6334</v>
      </c>
      <c r="BL5007" s="58"/>
      <c r="BM5007" s="237"/>
      <c r="BN5007" s="244">
        <v>3</v>
      </c>
      <c r="BO5007" s="244">
        <v>3</v>
      </c>
      <c r="BP5007" s="58"/>
      <c r="BQ5007" s="58"/>
      <c r="BR5007" s="58"/>
      <c r="BS5007" s="58"/>
      <c r="BT5007" s="58"/>
      <c r="BU5007" s="58"/>
      <c r="BV5007" s="58"/>
      <c r="BW5007" s="67"/>
      <c r="BX5007" s="67"/>
      <c r="BY5007" s="67"/>
      <c r="BZ5007" s="67"/>
      <c r="CA5007" s="67"/>
      <c r="CB5007" s="70"/>
      <c r="CC5007" s="70"/>
      <c r="CD5007" s="70"/>
      <c r="CE5007" s="67"/>
      <c r="CF5007" s="67"/>
      <c r="CG5007" s="67"/>
      <c r="CH5007" s="245">
        <v>0.65</v>
      </c>
      <c r="CI5007" s="245">
        <v>0.61</v>
      </c>
      <c r="CJ5007" s="67">
        <v>7.0000000000000007E-2</v>
      </c>
      <c r="CK5007" s="67">
        <v>0.05</v>
      </c>
      <c r="CL5007" s="67"/>
      <c r="CM5007" s="242">
        <v>4.01</v>
      </c>
      <c r="CN5007" s="242">
        <v>6.08</v>
      </c>
      <c r="CO5007" s="242">
        <v>0.18</v>
      </c>
      <c r="CP5007" s="242">
        <v>0.38</v>
      </c>
      <c r="CQ5007" s="242" t="s">
        <v>164</v>
      </c>
      <c r="CR5007" s="242"/>
      <c r="CS5007" s="242"/>
      <c r="CT5007" s="242"/>
      <c r="CU5007" s="242"/>
      <c r="CV5007" s="242" t="s">
        <v>5151</v>
      </c>
      <c r="CW5007" s="242"/>
      <c r="CX5007" s="242"/>
      <c r="CY5007" s="242"/>
      <c r="CZ5007" s="242"/>
      <c r="DA5007" s="67" t="s">
        <v>5443</v>
      </c>
      <c r="DB5007" s="67">
        <v>0.46</v>
      </c>
      <c r="DC5007" s="67">
        <v>0.6</v>
      </c>
      <c r="DD5007" s="67">
        <v>0.01</v>
      </c>
      <c r="DE5007" s="67">
        <v>0.04</v>
      </c>
      <c r="DF5007" s="67" t="s">
        <v>5565</v>
      </c>
      <c r="DG5007" s="67"/>
      <c r="DH5007" s="67"/>
      <c r="DI5007" s="67"/>
      <c r="DJ5007" s="67"/>
      <c r="DK5007" s="67"/>
      <c r="DL5007" s="67"/>
      <c r="DM5007" s="67"/>
      <c r="DN5007" s="67"/>
      <c r="DO5007" s="67"/>
      <c r="DP5007" s="67"/>
      <c r="DQ5007" s="166">
        <v>5.75</v>
      </c>
      <c r="DR5007" s="166">
        <v>5.37</v>
      </c>
      <c r="DS5007" s="163">
        <v>0.09</v>
      </c>
      <c r="DT5007" s="163">
        <v>0.06</v>
      </c>
      <c r="DU5007" s="67"/>
      <c r="DV5007" s="67"/>
      <c r="DW5007" s="67"/>
      <c r="DX5007" s="67"/>
      <c r="DY5007" s="67"/>
      <c r="DZ5007" s="67"/>
      <c r="EA5007" s="67"/>
      <c r="EB5007" s="67"/>
      <c r="EC5007" s="67"/>
      <c r="ED5007" s="67"/>
      <c r="EE5007" s="67"/>
      <c r="EF5007" s="67"/>
      <c r="EG5007" s="67"/>
      <c r="EH5007" s="67"/>
      <c r="EI5007" s="67"/>
      <c r="EJ5007" s="67"/>
      <c r="EK5007" s="94"/>
      <c r="EL5007" s="94"/>
      <c r="EM5007" s="67"/>
      <c r="EN5007" s="67"/>
      <c r="EO5007" s="67"/>
      <c r="EP5007" s="67"/>
      <c r="EQ5007" s="67"/>
      <c r="ER5007" s="67"/>
      <c r="ES5007" s="67"/>
      <c r="ET5007" s="67"/>
      <c r="EU5007" s="67"/>
      <c r="EV5007" s="67"/>
      <c r="EW5007" s="67"/>
      <c r="EX5007" s="67"/>
      <c r="EY5007" s="67"/>
      <c r="EZ5007" s="67"/>
      <c r="FA5007" s="67"/>
      <c r="FB5007" s="67"/>
      <c r="FC5007" s="67"/>
      <c r="FD5007" s="67"/>
      <c r="FE5007" s="67"/>
      <c r="FF5007" s="67"/>
      <c r="FG5007" s="67"/>
      <c r="FH5007" s="67"/>
      <c r="FI5007" s="67"/>
      <c r="FJ5007" s="67"/>
      <c r="FK5007" s="67"/>
      <c r="FL5007" s="67"/>
      <c r="FM5007" s="67"/>
      <c r="FN5007" s="67"/>
      <c r="FO5007" s="67"/>
      <c r="FP5007" s="67"/>
      <c r="FQ5007" s="67"/>
      <c r="FR5007" s="67"/>
      <c r="FS5007" s="67"/>
      <c r="FT5007" s="67"/>
      <c r="FU5007" s="67"/>
      <c r="FV5007" s="67"/>
      <c r="FW5007" s="67"/>
      <c r="FX5007" s="67"/>
      <c r="FY5007" s="67"/>
      <c r="FZ5007" s="67"/>
      <c r="GA5007" s="67"/>
      <c r="GB5007" s="67"/>
      <c r="GC5007" s="67"/>
      <c r="GD5007" s="67"/>
      <c r="GE5007" s="67"/>
      <c r="GF5007" s="67"/>
      <c r="GG5007" s="67"/>
      <c r="GH5007" s="67"/>
      <c r="GI5007" s="67"/>
      <c r="GJ5007" s="67"/>
      <c r="GK5007" s="67"/>
      <c r="GL5007" s="67"/>
      <c r="GM5007" s="67"/>
      <c r="GN5007" s="292"/>
      <c r="GO5007" s="292"/>
      <c r="GP5007" s="292" t="s">
        <v>7494</v>
      </c>
      <c r="GQ5007" s="67"/>
      <c r="GR5007" s="67"/>
      <c r="GS5007" s="67"/>
      <c r="GT5007" s="67"/>
      <c r="GU5007" s="67"/>
      <c r="GV5007" s="67"/>
      <c r="GW5007" s="67"/>
      <c r="GX5007" s="67"/>
      <c r="GY5007" s="67"/>
      <c r="GZ5007" s="67"/>
      <c r="HA5007" s="67"/>
      <c r="HB5007" s="67"/>
      <c r="HC5007" s="67"/>
      <c r="HD5007" s="67"/>
      <c r="HE5007" s="67"/>
      <c r="HF5007" s="67"/>
      <c r="HG5007" s="67"/>
      <c r="HH5007" s="67"/>
      <c r="HI5007" s="67">
        <v>339</v>
      </c>
      <c r="HJ5007" s="67">
        <v>458</v>
      </c>
      <c r="HK5007" s="67">
        <v>96</v>
      </c>
      <c r="HL5007" s="67">
        <v>53</v>
      </c>
      <c r="HM5007" s="67" t="s">
        <v>5613</v>
      </c>
      <c r="HN5007" s="67">
        <v>4038</v>
      </c>
      <c r="HO5007" s="67">
        <v>6289</v>
      </c>
      <c r="HP5007" s="67">
        <v>472</v>
      </c>
      <c r="HQ5007" s="67">
        <v>228</v>
      </c>
      <c r="HR5007" s="67" t="s">
        <v>5614</v>
      </c>
      <c r="HS5007" s="67">
        <v>541</v>
      </c>
      <c r="HT5007" s="67">
        <v>873</v>
      </c>
      <c r="HU5007" s="67">
        <v>44</v>
      </c>
      <c r="HV5007" s="67">
        <v>56</v>
      </c>
      <c r="HW5007" s="67" t="s">
        <v>3640</v>
      </c>
      <c r="HX5007" s="67"/>
      <c r="HY5007" s="67"/>
      <c r="HZ5007" s="67"/>
      <c r="IA5007" s="67"/>
      <c r="IB5007" s="67"/>
      <c r="IC5007" s="67"/>
      <c r="ID5007" s="67"/>
      <c r="IE5007" s="67"/>
      <c r="IF5007" s="67"/>
      <c r="IG5007" s="67"/>
      <c r="IH5007" s="67"/>
      <c r="II5007" s="67"/>
      <c r="IJ5007" s="67"/>
      <c r="IK5007" s="67"/>
      <c r="IL5007" s="67"/>
      <c r="IM5007" s="67"/>
      <c r="IN5007" s="67"/>
      <c r="IO5007" s="67"/>
      <c r="IP5007" s="67"/>
      <c r="IQ5007" s="67"/>
      <c r="IR5007" s="67"/>
      <c r="IS5007" s="67"/>
      <c r="IT5007" s="67"/>
      <c r="IU5007" s="67"/>
      <c r="IV5007" s="67"/>
      <c r="IW5007" s="67"/>
      <c r="IX5007" s="67"/>
      <c r="IY5007" s="67"/>
      <c r="IZ5007" s="67"/>
      <c r="JA5007" s="67"/>
      <c r="JB5007" s="67"/>
      <c r="JC5007" s="67"/>
      <c r="JD5007" s="67"/>
      <c r="JE5007" s="67"/>
      <c r="JF5007" s="67"/>
      <c r="JG5007" s="67">
        <v>271.45999999999998</v>
      </c>
      <c r="JH5007" s="67">
        <v>387.06</v>
      </c>
      <c r="JI5007" s="67">
        <f>321-JG5007</f>
        <v>49.54000000000002</v>
      </c>
      <c r="JJ5007" s="67">
        <f>443-JH5007</f>
        <v>55.94</v>
      </c>
      <c r="JK5007" s="67" t="s">
        <v>5615</v>
      </c>
      <c r="JL5007" s="67"/>
      <c r="JM5007" s="67"/>
      <c r="JN5007" s="67"/>
      <c r="JO5007" s="67"/>
      <c r="JP5007" s="67"/>
      <c r="JQ5007" s="67"/>
      <c r="JR5007" s="67"/>
      <c r="JS5007" s="67"/>
      <c r="JT5007" s="67"/>
      <c r="JU5007" s="58"/>
      <c r="JV5007" s="58"/>
      <c r="JW5007" s="58"/>
    </row>
    <row r="5008" spans="1:283" s="23" customFormat="1" x14ac:dyDescent="0.25">
      <c r="A5008" s="55">
        <v>5007</v>
      </c>
      <c r="B5008" s="12" t="s">
        <v>7067</v>
      </c>
      <c r="C5008" s="156">
        <v>253</v>
      </c>
      <c r="D5008" s="58" t="s">
        <v>4987</v>
      </c>
      <c r="E5008" s="160" t="str">
        <f>G5008</f>
        <v>Moeskops et al 2010_Ciwidey Pair 1</v>
      </c>
      <c r="F5008" s="160"/>
      <c r="G5008" s="60" t="s">
        <v>4740</v>
      </c>
      <c r="H5008" s="58">
        <v>2010</v>
      </c>
      <c r="I5008" s="58" t="s">
        <v>5608</v>
      </c>
      <c r="J5008" s="243" t="s">
        <v>112</v>
      </c>
      <c r="K5008" s="63" t="s">
        <v>5092</v>
      </c>
      <c r="L5008" s="58" t="s">
        <v>2754</v>
      </c>
      <c r="M5008" s="94">
        <v>-6.68</v>
      </c>
      <c r="N5008" s="94">
        <v>106.93</v>
      </c>
      <c r="O5008" s="94">
        <v>823</v>
      </c>
      <c r="P5008" s="58"/>
      <c r="Q5008" s="244">
        <v>21.25</v>
      </c>
      <c r="R5008" s="58"/>
      <c r="S5008" s="245">
        <v>2615</v>
      </c>
      <c r="T5008" s="58"/>
      <c r="U5008" s="58" t="s">
        <v>1889</v>
      </c>
      <c r="V5008" s="244" t="s">
        <v>1884</v>
      </c>
      <c r="W5008" s="174"/>
      <c r="X5008" s="174"/>
      <c r="Y5008" s="58" t="s">
        <v>5607</v>
      </c>
      <c r="Z5008" s="244" t="s">
        <v>1349</v>
      </c>
      <c r="AA5008" s="245">
        <v>15</v>
      </c>
      <c r="AB5008" s="67"/>
      <c r="AC5008" s="67"/>
      <c r="AD5008" s="94"/>
      <c r="AE5008" s="94">
        <v>30.7</v>
      </c>
      <c r="AF5008" s="94">
        <v>33.4</v>
      </c>
      <c r="AG5008" s="245">
        <v>36</v>
      </c>
      <c r="AH5008" s="58" t="s">
        <v>645</v>
      </c>
      <c r="AI5008" s="170">
        <v>4.1100000000000003</v>
      </c>
      <c r="AJ5008" s="242">
        <v>3.63</v>
      </c>
      <c r="AK5008" s="94">
        <v>6.96</v>
      </c>
      <c r="AL5008" s="58"/>
      <c r="AM5008" s="58"/>
      <c r="AN5008" s="186" t="s">
        <v>176</v>
      </c>
      <c r="AO5008" s="185" t="s">
        <v>5150</v>
      </c>
      <c r="AP5008" s="58"/>
      <c r="AQ5008" s="58" t="s">
        <v>176</v>
      </c>
      <c r="AR5008" s="58" t="s">
        <v>5611</v>
      </c>
      <c r="AS5008" s="246" t="s">
        <v>227</v>
      </c>
      <c r="AT5008" s="247">
        <v>0</v>
      </c>
      <c r="AU5008" s="181" t="s">
        <v>7494</v>
      </c>
      <c r="AV5008" s="185" t="s">
        <v>176</v>
      </c>
      <c r="AW5008" s="244">
        <v>0</v>
      </c>
      <c r="AX5008" s="185" t="s">
        <v>176</v>
      </c>
      <c r="AY5008" s="244" t="s">
        <v>176</v>
      </c>
      <c r="AZ5008" s="58"/>
      <c r="BA5008" s="58"/>
      <c r="BB5008" s="58"/>
      <c r="BC5008" s="58"/>
      <c r="BD5008" s="58"/>
      <c r="BE5008" s="236" t="s">
        <v>5210</v>
      </c>
      <c r="BF5008" s="191" t="s">
        <v>479</v>
      </c>
      <c r="BG5008" s="191" t="s">
        <v>479</v>
      </c>
      <c r="BH5008" s="236" t="s">
        <v>5276</v>
      </c>
      <c r="BI5008" s="191" t="s">
        <v>479</v>
      </c>
      <c r="BJ5008" s="58" t="str">
        <f>IF(BE5008=BH5008,"No","yes")</f>
        <v>yes</v>
      </c>
      <c r="BK5008" s="58" t="s">
        <v>6334</v>
      </c>
      <c r="BL5008" s="58"/>
      <c r="BM5008" s="237"/>
      <c r="BN5008" s="244">
        <v>3</v>
      </c>
      <c r="BO5008" s="244">
        <v>3</v>
      </c>
      <c r="BP5008" s="58"/>
      <c r="BQ5008" s="58"/>
      <c r="BR5008" s="58"/>
      <c r="BS5008" s="58"/>
      <c r="BT5008" s="58"/>
      <c r="BU5008" s="58"/>
      <c r="BV5008" s="58"/>
      <c r="BW5008" s="67"/>
      <c r="BX5008" s="67"/>
      <c r="BY5008" s="67"/>
      <c r="BZ5008" s="67"/>
      <c r="CA5008" s="67"/>
      <c r="CB5008" s="70"/>
      <c r="CC5008" s="70"/>
      <c r="CD5008" s="70"/>
      <c r="CE5008" s="67"/>
      <c r="CF5008" s="67"/>
      <c r="CG5008" s="67"/>
      <c r="CH5008" s="245">
        <v>0.79</v>
      </c>
      <c r="CI5008" s="245">
        <v>0.76</v>
      </c>
      <c r="CJ5008" s="67">
        <v>0.04</v>
      </c>
      <c r="CK5008" s="67">
        <v>0.25</v>
      </c>
      <c r="CL5008" s="67"/>
      <c r="CM5008" s="242">
        <v>3.63</v>
      </c>
      <c r="CN5008" s="242">
        <v>3.55</v>
      </c>
      <c r="CO5008" s="242">
        <v>0.08</v>
      </c>
      <c r="CP5008" s="242">
        <v>0.34</v>
      </c>
      <c r="CQ5008" s="242" t="s">
        <v>164</v>
      </c>
      <c r="CR5008" s="242"/>
      <c r="CS5008" s="242"/>
      <c r="CT5008" s="242"/>
      <c r="CU5008" s="242"/>
      <c r="CV5008" s="242" t="s">
        <v>5151</v>
      </c>
      <c r="CW5008" s="242"/>
      <c r="CX5008" s="242"/>
      <c r="CY5008" s="242"/>
      <c r="CZ5008" s="242"/>
      <c r="DA5008" s="67" t="s">
        <v>5443</v>
      </c>
      <c r="DB5008" s="67">
        <v>0.42</v>
      </c>
      <c r="DC5008" s="67">
        <v>0.4</v>
      </c>
      <c r="DD5008" s="67">
        <v>0.01</v>
      </c>
      <c r="DE5008" s="67">
        <v>0.04</v>
      </c>
      <c r="DF5008" s="67" t="s">
        <v>5565</v>
      </c>
      <c r="DG5008" s="67"/>
      <c r="DH5008" s="67"/>
      <c r="DI5008" s="67"/>
      <c r="DJ5008" s="67"/>
      <c r="DK5008" s="67"/>
      <c r="DL5008" s="67"/>
      <c r="DM5008" s="67"/>
      <c r="DN5008" s="67"/>
      <c r="DO5008" s="67"/>
      <c r="DP5008" s="67"/>
      <c r="DQ5008" s="166">
        <v>4.1100000000000003</v>
      </c>
      <c r="DR5008" s="166">
        <v>5.5</v>
      </c>
      <c r="DS5008" s="163">
        <v>0.04</v>
      </c>
      <c r="DT5008" s="163">
        <v>0.16</v>
      </c>
      <c r="DU5008" s="67"/>
      <c r="DV5008" s="67"/>
      <c r="DW5008" s="67"/>
      <c r="DX5008" s="67"/>
      <c r="DY5008" s="67"/>
      <c r="DZ5008" s="67"/>
      <c r="EA5008" s="67"/>
      <c r="EB5008" s="67"/>
      <c r="EC5008" s="67"/>
      <c r="ED5008" s="67"/>
      <c r="EE5008" s="67"/>
      <c r="EF5008" s="67"/>
      <c r="EG5008" s="67"/>
      <c r="EH5008" s="67"/>
      <c r="EI5008" s="67"/>
      <c r="EJ5008" s="67"/>
      <c r="EK5008" s="94"/>
      <c r="EL5008" s="94"/>
      <c r="EM5008" s="67"/>
      <c r="EN5008" s="67"/>
      <c r="EO5008" s="67"/>
      <c r="EP5008" s="67"/>
      <c r="EQ5008" s="67"/>
      <c r="ER5008" s="67"/>
      <c r="ES5008" s="67"/>
      <c r="ET5008" s="67"/>
      <c r="EU5008" s="67"/>
      <c r="EV5008" s="67"/>
      <c r="EW5008" s="67"/>
      <c r="EX5008" s="67"/>
      <c r="EY5008" s="67"/>
      <c r="EZ5008" s="67"/>
      <c r="FA5008" s="67"/>
      <c r="FB5008" s="67"/>
      <c r="FC5008" s="67"/>
      <c r="FD5008" s="67"/>
      <c r="FE5008" s="67"/>
      <c r="FF5008" s="67"/>
      <c r="FG5008" s="67"/>
      <c r="FH5008" s="67"/>
      <c r="FI5008" s="67"/>
      <c r="FJ5008" s="67"/>
      <c r="FK5008" s="67"/>
      <c r="FL5008" s="67"/>
      <c r="FM5008" s="67"/>
      <c r="FN5008" s="67"/>
      <c r="FO5008" s="67"/>
      <c r="FP5008" s="67"/>
      <c r="FQ5008" s="67"/>
      <c r="FR5008" s="67"/>
      <c r="FS5008" s="67"/>
      <c r="FT5008" s="67"/>
      <c r="FU5008" s="67"/>
      <c r="FV5008" s="67"/>
      <c r="FW5008" s="67"/>
      <c r="FX5008" s="67"/>
      <c r="FY5008" s="67"/>
      <c r="FZ5008" s="67"/>
      <c r="GA5008" s="67"/>
      <c r="GB5008" s="67"/>
      <c r="GC5008" s="67"/>
      <c r="GD5008" s="67"/>
      <c r="GE5008" s="67"/>
      <c r="GF5008" s="67"/>
      <c r="GG5008" s="67"/>
      <c r="GH5008" s="67"/>
      <c r="GI5008" s="67"/>
      <c r="GJ5008" s="67"/>
      <c r="GK5008" s="67"/>
      <c r="GL5008" s="67"/>
      <c r="GM5008" s="67"/>
      <c r="GN5008" s="292"/>
      <c r="GO5008" s="292"/>
      <c r="GP5008" s="292" t="s">
        <v>7494</v>
      </c>
      <c r="GQ5008" s="67"/>
      <c r="GR5008" s="67"/>
      <c r="GS5008" s="67"/>
      <c r="GT5008" s="67"/>
      <c r="GU5008" s="67"/>
      <c r="GV5008" s="67"/>
      <c r="GW5008" s="67"/>
      <c r="GX5008" s="67"/>
      <c r="GY5008" s="67"/>
      <c r="GZ5008" s="67"/>
      <c r="HA5008" s="67"/>
      <c r="HB5008" s="67"/>
      <c r="HC5008" s="67"/>
      <c r="HD5008" s="67"/>
      <c r="HE5008" s="67"/>
      <c r="HF5008" s="67"/>
      <c r="HG5008" s="67"/>
      <c r="HH5008" s="67"/>
      <c r="HI5008" s="67">
        <v>325</v>
      </c>
      <c r="HJ5008" s="67">
        <v>972</v>
      </c>
      <c r="HK5008" s="67">
        <v>83</v>
      </c>
      <c r="HL5008" s="67">
        <v>133</v>
      </c>
      <c r="HM5008" s="67" t="s">
        <v>5613</v>
      </c>
      <c r="HN5008" s="67">
        <v>4613</v>
      </c>
      <c r="HO5008" s="67">
        <v>8267</v>
      </c>
      <c r="HP5008" s="67">
        <v>588</v>
      </c>
      <c r="HQ5008" s="67">
        <v>868</v>
      </c>
      <c r="HR5008" s="67" t="s">
        <v>5614</v>
      </c>
      <c r="HS5008" s="67">
        <v>566</v>
      </c>
      <c r="HT5008" s="67">
        <v>1054</v>
      </c>
      <c r="HU5008" s="67">
        <v>42</v>
      </c>
      <c r="HV5008" s="67">
        <v>157</v>
      </c>
      <c r="HW5008" s="67" t="s">
        <v>3640</v>
      </c>
      <c r="HX5008" s="67"/>
      <c r="HY5008" s="67"/>
      <c r="HZ5008" s="67"/>
      <c r="IA5008" s="67"/>
      <c r="IB5008" s="67"/>
      <c r="IC5008" s="67"/>
      <c r="ID5008" s="67"/>
      <c r="IE5008" s="67"/>
      <c r="IF5008" s="67"/>
      <c r="IG5008" s="67"/>
      <c r="IH5008" s="67"/>
      <c r="II5008" s="67"/>
      <c r="IJ5008" s="67"/>
      <c r="IK5008" s="67"/>
      <c r="IL5008" s="67"/>
      <c r="IM5008" s="67"/>
      <c r="IN5008" s="67"/>
      <c r="IO5008" s="67"/>
      <c r="IP5008" s="67"/>
      <c r="IQ5008" s="67"/>
      <c r="IR5008" s="67"/>
      <c r="IS5008" s="67"/>
      <c r="IT5008" s="67"/>
      <c r="IU5008" s="67"/>
      <c r="IV5008" s="67"/>
      <c r="IW5008" s="67"/>
      <c r="IX5008" s="67"/>
      <c r="IY5008" s="67"/>
      <c r="IZ5008" s="67"/>
      <c r="JA5008" s="67"/>
      <c r="JB5008" s="67"/>
      <c r="JC5008" s="67"/>
      <c r="JD5008" s="67"/>
      <c r="JE5008" s="67"/>
      <c r="JF5008" s="67"/>
      <c r="JG5008" s="67">
        <v>370</v>
      </c>
      <c r="JH5008" s="67">
        <v>406.48</v>
      </c>
      <c r="JI5008" s="67">
        <v>16</v>
      </c>
      <c r="JJ5008" s="67">
        <f>489-JH5008</f>
        <v>82.519999999999982</v>
      </c>
      <c r="JK5008" s="67" t="s">
        <v>5615</v>
      </c>
      <c r="JL5008" s="67"/>
      <c r="JM5008" s="67"/>
      <c r="JN5008" s="67"/>
      <c r="JO5008" s="67"/>
      <c r="JP5008" s="67"/>
      <c r="JQ5008" s="67"/>
      <c r="JR5008" s="67"/>
      <c r="JS5008" s="67"/>
      <c r="JT5008" s="67"/>
      <c r="JU5008" s="58"/>
      <c r="JV5008" s="58"/>
      <c r="JW5008" s="58"/>
    </row>
    <row r="5009" spans="1:283" s="23" customFormat="1" x14ac:dyDescent="0.25">
      <c r="A5009" s="55">
        <v>5008</v>
      </c>
      <c r="B5009" s="12" t="s">
        <v>7067</v>
      </c>
      <c r="C5009" s="156">
        <v>253</v>
      </c>
      <c r="D5009" s="58" t="s">
        <v>4988</v>
      </c>
      <c r="E5009" s="160" t="str">
        <f>G5009</f>
        <v>Moeskops et al 2010_Ciwidey Pair 2</v>
      </c>
      <c r="F5009" s="160"/>
      <c r="G5009" s="60" t="s">
        <v>4739</v>
      </c>
      <c r="H5009" s="58">
        <v>2010</v>
      </c>
      <c r="I5009" s="58" t="s">
        <v>5608</v>
      </c>
      <c r="J5009" s="243" t="s">
        <v>112</v>
      </c>
      <c r="K5009" s="63" t="s">
        <v>5092</v>
      </c>
      <c r="L5009" s="58" t="s">
        <v>2754</v>
      </c>
      <c r="M5009" s="94">
        <v>-6.68</v>
      </c>
      <c r="N5009" s="94">
        <v>106.93</v>
      </c>
      <c r="O5009" s="94">
        <v>823</v>
      </c>
      <c r="P5009" s="58"/>
      <c r="Q5009" s="244">
        <v>21.25</v>
      </c>
      <c r="R5009" s="58"/>
      <c r="S5009" s="245">
        <v>2615</v>
      </c>
      <c r="T5009" s="58"/>
      <c r="U5009" s="58" t="s">
        <v>1889</v>
      </c>
      <c r="V5009" s="244" t="s">
        <v>1884</v>
      </c>
      <c r="W5009" s="174"/>
      <c r="X5009" s="174"/>
      <c r="Y5009" s="58" t="s">
        <v>5607</v>
      </c>
      <c r="Z5009" s="244" t="s">
        <v>1349</v>
      </c>
      <c r="AA5009" s="245">
        <v>15</v>
      </c>
      <c r="AB5009" s="67"/>
      <c r="AC5009" s="67"/>
      <c r="AD5009" s="94"/>
      <c r="AE5009" s="94">
        <v>37.299999999999997</v>
      </c>
      <c r="AF5009" s="94">
        <v>30.7</v>
      </c>
      <c r="AG5009" s="245">
        <v>32</v>
      </c>
      <c r="AH5009" s="58" t="s">
        <v>645</v>
      </c>
      <c r="AI5009" s="170">
        <v>4.1100000000000003</v>
      </c>
      <c r="AJ5009" s="242">
        <v>3.63</v>
      </c>
      <c r="AK5009" s="94">
        <v>6.96</v>
      </c>
      <c r="AL5009" s="58"/>
      <c r="AM5009" s="58"/>
      <c r="AN5009" s="186" t="s">
        <v>176</v>
      </c>
      <c r="AO5009" s="185" t="s">
        <v>5150</v>
      </c>
      <c r="AP5009" s="58"/>
      <c r="AQ5009" s="58" t="s">
        <v>176</v>
      </c>
      <c r="AR5009" s="58" t="s">
        <v>5611</v>
      </c>
      <c r="AS5009" s="246" t="s">
        <v>227</v>
      </c>
      <c r="AT5009" s="247">
        <v>0</v>
      </c>
      <c r="AU5009" s="181" t="s">
        <v>7494</v>
      </c>
      <c r="AV5009" s="185" t="s">
        <v>176</v>
      </c>
      <c r="AW5009" s="244">
        <v>0</v>
      </c>
      <c r="AX5009" s="185" t="s">
        <v>176</v>
      </c>
      <c r="AY5009" s="244" t="s">
        <v>176</v>
      </c>
      <c r="AZ5009" s="58"/>
      <c r="BA5009" s="58"/>
      <c r="BB5009" s="58"/>
      <c r="BC5009" s="58"/>
      <c r="BD5009" s="58"/>
      <c r="BE5009" s="236" t="s">
        <v>5211</v>
      </c>
      <c r="BF5009" s="191" t="s">
        <v>479</v>
      </c>
      <c r="BG5009" s="191" t="s">
        <v>479</v>
      </c>
      <c r="BH5009" s="236" t="s">
        <v>5276</v>
      </c>
      <c r="BI5009" s="191" t="s">
        <v>479</v>
      </c>
      <c r="BJ5009" s="58" t="str">
        <f>IF(BE5009=BH5009,"No","yes")</f>
        <v>yes</v>
      </c>
      <c r="BK5009" s="58" t="s">
        <v>6334</v>
      </c>
      <c r="BL5009" s="58"/>
      <c r="BM5009" s="237"/>
      <c r="BN5009" s="244">
        <v>3</v>
      </c>
      <c r="BO5009" s="244">
        <v>3</v>
      </c>
      <c r="BP5009" s="58"/>
      <c r="BQ5009" s="58"/>
      <c r="BR5009" s="58"/>
      <c r="BS5009" s="58"/>
      <c r="BT5009" s="58"/>
      <c r="BU5009" s="58"/>
      <c r="BV5009" s="58"/>
      <c r="BW5009" s="67"/>
      <c r="BX5009" s="67"/>
      <c r="BY5009" s="67"/>
      <c r="BZ5009" s="67"/>
      <c r="CA5009" s="67"/>
      <c r="CB5009" s="70"/>
      <c r="CC5009" s="70"/>
      <c r="CD5009" s="70"/>
      <c r="CE5009" s="67"/>
      <c r="CF5009" s="67"/>
      <c r="CG5009" s="67"/>
      <c r="CH5009" s="245">
        <v>0.79</v>
      </c>
      <c r="CI5009" s="245">
        <v>0.78</v>
      </c>
      <c r="CJ5009" s="67">
        <v>0.04</v>
      </c>
      <c r="CK5009" s="67">
        <v>0.15</v>
      </c>
      <c r="CL5009" s="67"/>
      <c r="CM5009" s="242">
        <v>3.63</v>
      </c>
      <c r="CN5009" s="242">
        <v>3.27</v>
      </c>
      <c r="CO5009" s="242">
        <v>0.08</v>
      </c>
      <c r="CP5009" s="242">
        <v>0.04</v>
      </c>
      <c r="CQ5009" s="242" t="s">
        <v>164</v>
      </c>
      <c r="CR5009" s="242"/>
      <c r="CS5009" s="242"/>
      <c r="CT5009" s="242"/>
      <c r="CU5009" s="242"/>
      <c r="CV5009" s="242" t="s">
        <v>5151</v>
      </c>
      <c r="CW5009" s="242"/>
      <c r="CX5009" s="242"/>
      <c r="CY5009" s="242"/>
      <c r="CZ5009" s="242"/>
      <c r="DA5009" s="67" t="s">
        <v>5443</v>
      </c>
      <c r="DB5009" s="67">
        <v>0.42</v>
      </c>
      <c r="DC5009" s="67">
        <v>0.35</v>
      </c>
      <c r="DD5009" s="67">
        <v>0.01</v>
      </c>
      <c r="DE5009" s="67">
        <v>0.01</v>
      </c>
      <c r="DF5009" s="67" t="s">
        <v>5565</v>
      </c>
      <c r="DG5009" s="67"/>
      <c r="DH5009" s="67"/>
      <c r="DI5009" s="67"/>
      <c r="DJ5009" s="67"/>
      <c r="DK5009" s="67"/>
      <c r="DL5009" s="67"/>
      <c r="DM5009" s="67"/>
      <c r="DN5009" s="67"/>
      <c r="DO5009" s="67"/>
      <c r="DP5009" s="67"/>
      <c r="DQ5009" s="166">
        <v>4.1100000000000003</v>
      </c>
      <c r="DR5009" s="166">
        <v>5.29</v>
      </c>
      <c r="DS5009" s="163">
        <v>0.04</v>
      </c>
      <c r="DT5009" s="163">
        <v>0.11</v>
      </c>
      <c r="DU5009" s="67"/>
      <c r="DV5009" s="67"/>
      <c r="DW5009" s="67"/>
      <c r="DX5009" s="67"/>
      <c r="DY5009" s="67"/>
      <c r="DZ5009" s="67"/>
      <c r="EA5009" s="67"/>
      <c r="EB5009" s="67"/>
      <c r="EC5009" s="67"/>
      <c r="ED5009" s="67"/>
      <c r="EE5009" s="67"/>
      <c r="EF5009" s="67"/>
      <c r="EG5009" s="67"/>
      <c r="EH5009" s="67"/>
      <c r="EI5009" s="67"/>
      <c r="EJ5009" s="67"/>
      <c r="EK5009" s="94"/>
      <c r="EL5009" s="94"/>
      <c r="EM5009" s="67"/>
      <c r="EN5009" s="67"/>
      <c r="EO5009" s="67"/>
      <c r="EP5009" s="67"/>
      <c r="EQ5009" s="67"/>
      <c r="ER5009" s="67"/>
      <c r="ES5009" s="67"/>
      <c r="ET5009" s="67"/>
      <c r="EU5009" s="67"/>
      <c r="EV5009" s="67"/>
      <c r="EW5009" s="67"/>
      <c r="EX5009" s="67"/>
      <c r="EY5009" s="67"/>
      <c r="EZ5009" s="67"/>
      <c r="FA5009" s="67"/>
      <c r="FB5009" s="67"/>
      <c r="FC5009" s="67"/>
      <c r="FD5009" s="67"/>
      <c r="FE5009" s="67"/>
      <c r="FF5009" s="67"/>
      <c r="FG5009" s="67"/>
      <c r="FH5009" s="67"/>
      <c r="FI5009" s="67"/>
      <c r="FJ5009" s="67"/>
      <c r="FK5009" s="67"/>
      <c r="FL5009" s="67"/>
      <c r="FM5009" s="67"/>
      <c r="FN5009" s="67"/>
      <c r="FO5009" s="67"/>
      <c r="FP5009" s="67"/>
      <c r="FQ5009" s="67"/>
      <c r="FR5009" s="67"/>
      <c r="FS5009" s="67"/>
      <c r="FT5009" s="67"/>
      <c r="FU5009" s="67"/>
      <c r="FV5009" s="67"/>
      <c r="FW5009" s="67"/>
      <c r="FX5009" s="67"/>
      <c r="FY5009" s="67"/>
      <c r="FZ5009" s="67"/>
      <c r="GA5009" s="67"/>
      <c r="GB5009" s="67"/>
      <c r="GC5009" s="67"/>
      <c r="GD5009" s="67"/>
      <c r="GE5009" s="67"/>
      <c r="GF5009" s="67"/>
      <c r="GG5009" s="67"/>
      <c r="GH5009" s="67"/>
      <c r="GI5009" s="67"/>
      <c r="GJ5009" s="67"/>
      <c r="GK5009" s="67"/>
      <c r="GL5009" s="67"/>
      <c r="GM5009" s="67"/>
      <c r="GN5009" s="292"/>
      <c r="GO5009" s="292"/>
      <c r="GP5009" s="292" t="s">
        <v>7494</v>
      </c>
      <c r="GQ5009" s="67"/>
      <c r="GR5009" s="67"/>
      <c r="GS5009" s="67"/>
      <c r="GT5009" s="67"/>
      <c r="GU5009" s="67"/>
      <c r="GV5009" s="67"/>
      <c r="GW5009" s="67"/>
      <c r="GX5009" s="67"/>
      <c r="GY5009" s="67"/>
      <c r="GZ5009" s="67"/>
      <c r="HA5009" s="67"/>
      <c r="HB5009" s="67"/>
      <c r="HC5009" s="67"/>
      <c r="HD5009" s="67"/>
      <c r="HE5009" s="67"/>
      <c r="HF5009" s="67"/>
      <c r="HG5009" s="67"/>
      <c r="HH5009" s="67"/>
      <c r="HI5009" s="67">
        <v>325</v>
      </c>
      <c r="HJ5009" s="67">
        <v>1015</v>
      </c>
      <c r="HK5009" s="67">
        <v>83</v>
      </c>
      <c r="HL5009" s="67">
        <v>121</v>
      </c>
      <c r="HM5009" s="67" t="s">
        <v>5613</v>
      </c>
      <c r="HN5009" s="67">
        <v>4613</v>
      </c>
      <c r="HO5009" s="67">
        <v>7212</v>
      </c>
      <c r="HP5009" s="67">
        <v>588</v>
      </c>
      <c r="HQ5009" s="67">
        <v>541</v>
      </c>
      <c r="HR5009" s="67" t="s">
        <v>5614</v>
      </c>
      <c r="HS5009" s="67">
        <v>566</v>
      </c>
      <c r="HT5009" s="67">
        <v>902</v>
      </c>
      <c r="HU5009" s="67">
        <v>42</v>
      </c>
      <c r="HV5009" s="67">
        <v>52</v>
      </c>
      <c r="HW5009" s="67" t="s">
        <v>3640</v>
      </c>
      <c r="HX5009" s="67"/>
      <c r="HY5009" s="67"/>
      <c r="HZ5009" s="67"/>
      <c r="IA5009" s="67"/>
      <c r="IB5009" s="67"/>
      <c r="IC5009" s="67"/>
      <c r="ID5009" s="67"/>
      <c r="IE5009" s="67"/>
      <c r="IF5009" s="67"/>
      <c r="IG5009" s="67"/>
      <c r="IH5009" s="67"/>
      <c r="II5009" s="67"/>
      <c r="IJ5009" s="67"/>
      <c r="IK5009" s="67"/>
      <c r="IL5009" s="67"/>
      <c r="IM5009" s="67"/>
      <c r="IN5009" s="67"/>
      <c r="IO5009" s="67"/>
      <c r="IP5009" s="67"/>
      <c r="IQ5009" s="67"/>
      <c r="IR5009" s="67"/>
      <c r="IS5009" s="67"/>
      <c r="IT5009" s="67"/>
      <c r="IU5009" s="67"/>
      <c r="IV5009" s="67"/>
      <c r="IW5009" s="67"/>
      <c r="IX5009" s="67"/>
      <c r="IY5009" s="67"/>
      <c r="IZ5009" s="67"/>
      <c r="JA5009" s="67"/>
      <c r="JB5009" s="67"/>
      <c r="JC5009" s="67"/>
      <c r="JD5009" s="67"/>
      <c r="JE5009" s="67"/>
      <c r="JF5009" s="67"/>
      <c r="JG5009" s="67">
        <v>260.89</v>
      </c>
      <c r="JH5009" s="67">
        <v>343.56</v>
      </c>
      <c r="JI5009" s="67">
        <v>25</v>
      </c>
      <c r="JJ5009" s="67">
        <f>406-JH5009</f>
        <v>62.44</v>
      </c>
      <c r="JK5009" s="67" t="s">
        <v>5615</v>
      </c>
      <c r="JL5009" s="67"/>
      <c r="JM5009" s="67"/>
      <c r="JN5009" s="67"/>
      <c r="JO5009" s="67"/>
      <c r="JP5009" s="67"/>
      <c r="JQ5009" s="67"/>
      <c r="JR5009" s="67"/>
      <c r="JS5009" s="67"/>
      <c r="JT5009" s="67"/>
      <c r="JU5009" s="58"/>
      <c r="JV5009" s="58"/>
      <c r="JW5009" s="58"/>
    </row>
    <row r="5010" spans="1:283" s="23" customFormat="1" x14ac:dyDescent="0.25">
      <c r="A5010" s="55">
        <v>5009</v>
      </c>
      <c r="B5010" s="12" t="s">
        <v>7067</v>
      </c>
      <c r="C5010" s="156">
        <v>253</v>
      </c>
      <c r="D5010" s="58" t="s">
        <v>4988</v>
      </c>
      <c r="E5010" s="160" t="str">
        <f>G5010</f>
        <v>Moeskops et al 2010_Ciwidey Pair 2</v>
      </c>
      <c r="F5010" s="160"/>
      <c r="G5010" s="60" t="s">
        <v>4739</v>
      </c>
      <c r="H5010" s="58">
        <v>2010</v>
      </c>
      <c r="I5010" s="58" t="s">
        <v>5608</v>
      </c>
      <c r="J5010" s="243" t="s">
        <v>112</v>
      </c>
      <c r="K5010" s="63" t="s">
        <v>5092</v>
      </c>
      <c r="L5010" s="58" t="s">
        <v>2754</v>
      </c>
      <c r="M5010" s="94">
        <v>-6.68</v>
      </c>
      <c r="N5010" s="94">
        <v>106.93</v>
      </c>
      <c r="O5010" s="94">
        <v>823</v>
      </c>
      <c r="P5010" s="58"/>
      <c r="Q5010" s="244">
        <v>21.25</v>
      </c>
      <c r="R5010" s="58"/>
      <c r="S5010" s="245">
        <v>2615</v>
      </c>
      <c r="T5010" s="58"/>
      <c r="U5010" s="58" t="s">
        <v>1889</v>
      </c>
      <c r="V5010" s="244" t="s">
        <v>1884</v>
      </c>
      <c r="W5010" s="174"/>
      <c r="X5010" s="174"/>
      <c r="Y5010" s="58" t="s">
        <v>5607</v>
      </c>
      <c r="Z5010" s="244" t="s">
        <v>1349</v>
      </c>
      <c r="AA5010" s="245">
        <v>15</v>
      </c>
      <c r="AB5010" s="67"/>
      <c r="AC5010" s="67"/>
      <c r="AD5010" s="94"/>
      <c r="AE5010" s="94">
        <v>38</v>
      </c>
      <c r="AF5010" s="94">
        <v>33.5</v>
      </c>
      <c r="AG5010" s="245">
        <v>28.4</v>
      </c>
      <c r="AH5010" s="58" t="s">
        <v>645</v>
      </c>
      <c r="AI5010" s="170">
        <v>4.34</v>
      </c>
      <c r="AJ5010" s="242">
        <v>3.27</v>
      </c>
      <c r="AK5010" s="94">
        <v>6.96</v>
      </c>
      <c r="AL5010" s="58"/>
      <c r="AM5010" s="58"/>
      <c r="AN5010" s="186" t="s">
        <v>176</v>
      </c>
      <c r="AO5010" s="185" t="s">
        <v>5150</v>
      </c>
      <c r="AP5010" s="58"/>
      <c r="AQ5010" s="58" t="s">
        <v>176</v>
      </c>
      <c r="AR5010" s="58" t="s">
        <v>5612</v>
      </c>
      <c r="AS5010" s="246" t="s">
        <v>227</v>
      </c>
      <c r="AT5010" s="247">
        <v>0</v>
      </c>
      <c r="AU5010" s="181" t="s">
        <v>7494</v>
      </c>
      <c r="AV5010" s="185" t="s">
        <v>176</v>
      </c>
      <c r="AW5010" s="244">
        <v>0</v>
      </c>
      <c r="AX5010" s="185" t="s">
        <v>176</v>
      </c>
      <c r="AY5010" s="244" t="s">
        <v>176</v>
      </c>
      <c r="AZ5010" s="58"/>
      <c r="BA5010" s="58"/>
      <c r="BB5010" s="58"/>
      <c r="BC5010" s="58"/>
      <c r="BD5010" s="58"/>
      <c r="BE5010" s="236" t="s">
        <v>5211</v>
      </c>
      <c r="BF5010" s="191" t="s">
        <v>479</v>
      </c>
      <c r="BG5010" s="191" t="s">
        <v>479</v>
      </c>
      <c r="BH5010" s="236" t="s">
        <v>5276</v>
      </c>
      <c r="BI5010" s="191" t="s">
        <v>479</v>
      </c>
      <c r="BJ5010" s="58" t="str">
        <f>IF(BE5010=BH5010,"No","yes")</f>
        <v>yes</v>
      </c>
      <c r="BK5010" s="58" t="s">
        <v>6334</v>
      </c>
      <c r="BL5010" s="58"/>
      <c r="BM5010" s="237"/>
      <c r="BN5010" s="244">
        <v>3</v>
      </c>
      <c r="BO5010" s="244">
        <v>3</v>
      </c>
      <c r="BP5010" s="58"/>
      <c r="BQ5010" s="58"/>
      <c r="BR5010" s="58"/>
      <c r="BS5010" s="58"/>
      <c r="BT5010" s="58"/>
      <c r="BU5010" s="58"/>
      <c r="BV5010" s="58"/>
      <c r="BW5010" s="67"/>
      <c r="BX5010" s="67"/>
      <c r="BY5010" s="67"/>
      <c r="BZ5010" s="67"/>
      <c r="CA5010" s="67"/>
      <c r="CB5010" s="70"/>
      <c r="CC5010" s="70"/>
      <c r="CD5010" s="70"/>
      <c r="CE5010" s="67"/>
      <c r="CF5010" s="67"/>
      <c r="CG5010" s="67"/>
      <c r="CH5010" s="245">
        <v>0.71</v>
      </c>
      <c r="CI5010" s="245">
        <v>0.64</v>
      </c>
      <c r="CJ5010" s="67">
        <v>0.11</v>
      </c>
      <c r="CK5010" s="67">
        <v>0.17</v>
      </c>
      <c r="CL5010" s="67"/>
      <c r="CM5010" s="242">
        <v>3.27</v>
      </c>
      <c r="CN5010" s="242">
        <v>3.1</v>
      </c>
      <c r="CO5010" s="242">
        <v>0.3</v>
      </c>
      <c r="CP5010" s="242">
        <v>0.24</v>
      </c>
      <c r="CQ5010" s="242" t="s">
        <v>164</v>
      </c>
      <c r="CR5010" s="242"/>
      <c r="CS5010" s="242"/>
      <c r="CT5010" s="242"/>
      <c r="CU5010" s="242"/>
      <c r="CV5010" s="242" t="s">
        <v>5151</v>
      </c>
      <c r="CW5010" s="242"/>
      <c r="CX5010" s="242"/>
      <c r="CY5010" s="242"/>
      <c r="CZ5010" s="242"/>
      <c r="DA5010" s="67" t="s">
        <v>5443</v>
      </c>
      <c r="DB5010" s="67">
        <v>0.39</v>
      </c>
      <c r="DC5010" s="67">
        <v>0.33</v>
      </c>
      <c r="DD5010" s="67">
        <v>0.04</v>
      </c>
      <c r="DE5010" s="67">
        <v>0.03</v>
      </c>
      <c r="DF5010" s="67" t="s">
        <v>5565</v>
      </c>
      <c r="DG5010" s="67"/>
      <c r="DH5010" s="67"/>
      <c r="DI5010" s="67"/>
      <c r="DJ5010" s="67"/>
      <c r="DK5010" s="67"/>
      <c r="DL5010" s="67"/>
      <c r="DM5010" s="67"/>
      <c r="DN5010" s="67"/>
      <c r="DO5010" s="67"/>
      <c r="DP5010" s="67"/>
      <c r="DQ5010" s="166">
        <v>4.34</v>
      </c>
      <c r="DR5010" s="166">
        <v>5.36</v>
      </c>
      <c r="DS5010" s="163">
        <v>0.08</v>
      </c>
      <c r="DT5010" s="163">
        <v>0.12</v>
      </c>
      <c r="DU5010" s="67"/>
      <c r="DV5010" s="67"/>
      <c r="DW5010" s="67"/>
      <c r="DX5010" s="67"/>
      <c r="DY5010" s="67"/>
      <c r="DZ5010" s="67"/>
      <c r="EA5010" s="67"/>
      <c r="EB5010" s="67"/>
      <c r="EC5010" s="67"/>
      <c r="ED5010" s="67"/>
      <c r="EE5010" s="67"/>
      <c r="EF5010" s="67"/>
      <c r="EG5010" s="67"/>
      <c r="EH5010" s="67"/>
      <c r="EI5010" s="67"/>
      <c r="EJ5010" s="67"/>
      <c r="EK5010" s="94"/>
      <c r="EL5010" s="94"/>
      <c r="EM5010" s="67"/>
      <c r="EN5010" s="67"/>
      <c r="EO5010" s="67"/>
      <c r="EP5010" s="67"/>
      <c r="EQ5010" s="67"/>
      <c r="ER5010" s="67"/>
      <c r="ES5010" s="67"/>
      <c r="ET5010" s="67"/>
      <c r="EU5010" s="67"/>
      <c r="EV5010" s="67"/>
      <c r="EW5010" s="67"/>
      <c r="EX5010" s="67"/>
      <c r="EY5010" s="67"/>
      <c r="EZ5010" s="67"/>
      <c r="FA5010" s="67"/>
      <c r="FB5010" s="67"/>
      <c r="FC5010" s="67"/>
      <c r="FD5010" s="67"/>
      <c r="FE5010" s="67"/>
      <c r="FF5010" s="67"/>
      <c r="FG5010" s="67"/>
      <c r="FH5010" s="67"/>
      <c r="FI5010" s="67"/>
      <c r="FJ5010" s="67"/>
      <c r="FK5010" s="67"/>
      <c r="FL5010" s="67"/>
      <c r="FM5010" s="67"/>
      <c r="FN5010" s="67"/>
      <c r="FO5010" s="67"/>
      <c r="FP5010" s="67"/>
      <c r="FQ5010" s="67"/>
      <c r="FR5010" s="67"/>
      <c r="FS5010" s="67"/>
      <c r="FT5010" s="67"/>
      <c r="FU5010" s="67"/>
      <c r="FV5010" s="67"/>
      <c r="FW5010" s="67"/>
      <c r="FX5010" s="67"/>
      <c r="FY5010" s="67"/>
      <c r="FZ5010" s="67"/>
      <c r="GA5010" s="67"/>
      <c r="GB5010" s="67"/>
      <c r="GC5010" s="67"/>
      <c r="GD5010" s="67"/>
      <c r="GE5010" s="67"/>
      <c r="GF5010" s="67"/>
      <c r="GG5010" s="67"/>
      <c r="GH5010" s="67"/>
      <c r="GI5010" s="67"/>
      <c r="GJ5010" s="67"/>
      <c r="GK5010" s="67"/>
      <c r="GL5010" s="67"/>
      <c r="GM5010" s="67"/>
      <c r="GN5010" s="292"/>
      <c r="GO5010" s="292"/>
      <c r="GP5010" s="292" t="s">
        <v>7494</v>
      </c>
      <c r="GQ5010" s="67"/>
      <c r="GR5010" s="67"/>
      <c r="GS5010" s="67"/>
      <c r="GT5010" s="67"/>
      <c r="GU5010" s="67"/>
      <c r="GV5010" s="67"/>
      <c r="GW5010" s="67"/>
      <c r="GX5010" s="67"/>
      <c r="GY5010" s="67"/>
      <c r="GZ5010" s="67"/>
      <c r="HA5010" s="67"/>
      <c r="HB5010" s="67"/>
      <c r="HC5010" s="67"/>
      <c r="HD5010" s="67"/>
      <c r="HE5010" s="67"/>
      <c r="HF5010" s="67"/>
      <c r="HG5010" s="67"/>
      <c r="HH5010" s="67"/>
      <c r="HI5010" s="67">
        <v>329</v>
      </c>
      <c r="HJ5010" s="67">
        <v>822</v>
      </c>
      <c r="HK5010" s="67">
        <v>90</v>
      </c>
      <c r="HL5010" s="67">
        <v>149</v>
      </c>
      <c r="HM5010" s="67" t="s">
        <v>5613</v>
      </c>
      <c r="HN5010" s="67">
        <v>4078</v>
      </c>
      <c r="HO5010" s="67">
        <v>7621</v>
      </c>
      <c r="HP5010" s="67">
        <v>351</v>
      </c>
      <c r="HQ5010" s="67">
        <v>490</v>
      </c>
      <c r="HR5010" s="67" t="s">
        <v>5614</v>
      </c>
      <c r="HS5010" s="67">
        <v>559</v>
      </c>
      <c r="HT5010" s="67">
        <v>994</v>
      </c>
      <c r="HU5010" s="67">
        <v>6</v>
      </c>
      <c r="HV5010" s="67">
        <v>113</v>
      </c>
      <c r="HW5010" s="67" t="s">
        <v>3640</v>
      </c>
      <c r="HX5010" s="67"/>
      <c r="HY5010" s="67"/>
      <c r="HZ5010" s="67"/>
      <c r="IA5010" s="67"/>
      <c r="IB5010" s="67"/>
      <c r="IC5010" s="67"/>
      <c r="ID5010" s="67"/>
      <c r="IE5010" s="67"/>
      <c r="IF5010" s="67"/>
      <c r="IG5010" s="67"/>
      <c r="IH5010" s="67"/>
      <c r="II5010" s="67"/>
      <c r="IJ5010" s="67"/>
      <c r="IK5010" s="67"/>
      <c r="IL5010" s="67"/>
      <c r="IM5010" s="67"/>
      <c r="IN5010" s="67"/>
      <c r="IO5010" s="67"/>
      <c r="IP5010" s="67"/>
      <c r="IQ5010" s="67"/>
      <c r="IR5010" s="67"/>
      <c r="IS5010" s="67"/>
      <c r="IT5010" s="67"/>
      <c r="IU5010" s="67"/>
      <c r="IV5010" s="67"/>
      <c r="IW5010" s="67"/>
      <c r="IX5010" s="67"/>
      <c r="IY5010" s="67"/>
      <c r="IZ5010" s="67"/>
      <c r="JA5010" s="67"/>
      <c r="JB5010" s="67"/>
      <c r="JC5010" s="67"/>
      <c r="JD5010" s="67"/>
      <c r="JE5010" s="67"/>
      <c r="JF5010" s="67"/>
      <c r="JG5010" s="67"/>
      <c r="JH5010" s="67"/>
      <c r="JI5010" s="67"/>
      <c r="JJ5010" s="67"/>
      <c r="JK5010" s="67"/>
      <c r="JL5010" s="67"/>
      <c r="JM5010" s="67"/>
      <c r="JN5010" s="67"/>
      <c r="JO5010" s="67"/>
      <c r="JP5010" s="67"/>
      <c r="JQ5010" s="67"/>
      <c r="JR5010" s="67"/>
      <c r="JS5010" s="67"/>
      <c r="JT5010" s="67"/>
      <c r="JU5010" s="58"/>
      <c r="JV5010" s="58"/>
      <c r="JW5010" s="58"/>
    </row>
    <row r="5011" spans="1:283" s="23" customFormat="1" x14ac:dyDescent="0.25">
      <c r="A5011" s="55">
        <v>5010</v>
      </c>
      <c r="B5011" s="12" t="s">
        <v>7067</v>
      </c>
      <c r="C5011" s="156">
        <v>254</v>
      </c>
      <c r="D5011" s="58" t="s">
        <v>4989</v>
      </c>
      <c r="E5011" s="160" t="str">
        <f>G5011</f>
        <v>Mulla et al 1992_topslope</v>
      </c>
      <c r="F5011" s="160"/>
      <c r="G5011" s="60" t="s">
        <v>4736</v>
      </c>
      <c r="H5011" s="58">
        <v>1992</v>
      </c>
      <c r="I5011" s="58" t="s">
        <v>5953</v>
      </c>
      <c r="J5011" s="58" t="s">
        <v>397</v>
      </c>
      <c r="K5011" s="63" t="s">
        <v>5091</v>
      </c>
      <c r="L5011" s="58" t="s">
        <v>2737</v>
      </c>
      <c r="M5011" s="94">
        <v>47.66</v>
      </c>
      <c r="N5011" s="94">
        <v>-117.43</v>
      </c>
      <c r="O5011" s="94">
        <v>536</v>
      </c>
      <c r="P5011" s="58"/>
      <c r="Q5011" s="244"/>
      <c r="R5011" s="58"/>
      <c r="S5011" s="245"/>
      <c r="T5011" s="58"/>
      <c r="U5011" s="58"/>
      <c r="V5011" s="244">
        <v>39</v>
      </c>
      <c r="W5011" s="174"/>
      <c r="X5011" s="174"/>
      <c r="Y5011" s="58" t="s">
        <v>5951</v>
      </c>
      <c r="Z5011" s="244" t="s">
        <v>1349</v>
      </c>
      <c r="AA5011" s="245">
        <v>15</v>
      </c>
      <c r="AB5011" s="67"/>
      <c r="AC5011" s="67"/>
      <c r="AD5011" s="94"/>
      <c r="AE5011" s="94">
        <v>15.3</v>
      </c>
      <c r="AF5011" s="94">
        <v>59.9</v>
      </c>
      <c r="AG5011" s="245">
        <v>24.7</v>
      </c>
      <c r="AH5011" s="58" t="s">
        <v>6378</v>
      </c>
      <c r="AI5011" s="169"/>
      <c r="AJ5011" s="94"/>
      <c r="AK5011" s="94"/>
      <c r="AL5011" s="58"/>
      <c r="AM5011" s="58"/>
      <c r="AN5011" s="186"/>
      <c r="AO5011" s="185" t="s">
        <v>7494</v>
      </c>
      <c r="AP5011" s="58"/>
      <c r="AQ5011" s="58"/>
      <c r="AR5011" s="58"/>
      <c r="AS5011" s="246" t="s">
        <v>5133</v>
      </c>
      <c r="AT5011" s="247">
        <v>1</v>
      </c>
      <c r="AU5011" s="181" t="s">
        <v>7494</v>
      </c>
      <c r="AV5011" s="185" t="s">
        <v>176</v>
      </c>
      <c r="AW5011" s="244">
        <v>1</v>
      </c>
      <c r="AX5011" s="185" t="s">
        <v>176</v>
      </c>
      <c r="AY5011" s="244"/>
      <c r="AZ5011" s="58"/>
      <c r="BA5011" s="58"/>
      <c r="BB5011" s="58"/>
      <c r="BC5011" s="58"/>
      <c r="BD5011" s="58"/>
      <c r="BE5011" s="236" t="s">
        <v>5153</v>
      </c>
      <c r="BF5011" s="191" t="s">
        <v>176</v>
      </c>
      <c r="BG5011" s="191" t="s">
        <v>176</v>
      </c>
      <c r="BH5011" s="236" t="s">
        <v>5153</v>
      </c>
      <c r="BI5011" s="191" t="s">
        <v>176</v>
      </c>
      <c r="BJ5011" s="58" t="str">
        <f>IF(BE5011=BH5011,"No","yes")</f>
        <v>No</v>
      </c>
      <c r="BK5011" s="58" t="s">
        <v>6334</v>
      </c>
      <c r="BL5011" s="58"/>
      <c r="BM5011" s="237"/>
      <c r="BN5011" s="244">
        <v>45</v>
      </c>
      <c r="BO5011" s="244">
        <v>45</v>
      </c>
      <c r="BP5011" s="58"/>
      <c r="BQ5011" s="58"/>
      <c r="BR5011" s="58"/>
      <c r="BS5011" s="58"/>
      <c r="BT5011" s="58"/>
      <c r="BU5011" s="58"/>
      <c r="BV5011" s="58" t="s">
        <v>5954</v>
      </c>
      <c r="BW5011" s="67"/>
      <c r="BX5011" s="67"/>
      <c r="BY5011" s="67"/>
      <c r="BZ5011" s="67"/>
      <c r="CA5011" s="67"/>
      <c r="CB5011" s="70"/>
      <c r="CC5011" s="70"/>
      <c r="CD5011" s="70"/>
      <c r="CE5011" s="67"/>
      <c r="CF5011" s="67"/>
      <c r="CG5011" s="67"/>
      <c r="CH5011" s="245"/>
      <c r="CI5011" s="245"/>
      <c r="CJ5011" s="67"/>
      <c r="CK5011" s="67"/>
      <c r="CL5011" s="67"/>
      <c r="CM5011" s="242">
        <v>0.6</v>
      </c>
      <c r="CN5011" s="242">
        <v>0.9</v>
      </c>
      <c r="CO5011" s="242"/>
      <c r="CP5011" s="242"/>
      <c r="CQ5011" s="242" t="s">
        <v>164</v>
      </c>
      <c r="CR5011" s="242"/>
      <c r="CS5011" s="242"/>
      <c r="CT5011" s="242"/>
      <c r="CU5011" s="242"/>
      <c r="CV5011" s="242"/>
      <c r="CW5011" s="242"/>
      <c r="CX5011" s="242"/>
      <c r="CY5011" s="242"/>
      <c r="CZ5011" s="242"/>
      <c r="DA5011" s="67"/>
      <c r="DB5011" s="67"/>
      <c r="DC5011" s="67"/>
      <c r="DD5011" s="67"/>
      <c r="DE5011" s="67"/>
      <c r="DF5011" s="67"/>
      <c r="DG5011" s="67"/>
      <c r="DH5011" s="67"/>
      <c r="DI5011" s="67"/>
      <c r="DJ5011" s="67"/>
      <c r="DK5011" s="67"/>
      <c r="DL5011" s="67"/>
      <c r="DM5011" s="67"/>
      <c r="DN5011" s="67"/>
      <c r="DO5011" s="67"/>
      <c r="DP5011" s="67"/>
      <c r="DQ5011" s="166"/>
      <c r="DR5011" s="166"/>
      <c r="DS5011" s="163"/>
      <c r="DT5011" s="163"/>
      <c r="DU5011" s="67"/>
      <c r="DV5011" s="67"/>
      <c r="DW5011" s="67"/>
      <c r="DX5011" s="67"/>
      <c r="DY5011" s="67"/>
      <c r="DZ5011" s="67"/>
      <c r="EA5011" s="67"/>
      <c r="EB5011" s="67"/>
      <c r="EC5011" s="67"/>
      <c r="ED5011" s="67"/>
      <c r="EE5011" s="67"/>
      <c r="EF5011" s="67"/>
      <c r="EG5011" s="67"/>
      <c r="EH5011" s="67"/>
      <c r="EI5011" s="67"/>
      <c r="EJ5011" s="67"/>
      <c r="EK5011" s="94">
        <v>80</v>
      </c>
      <c r="EL5011" s="94">
        <v>88</v>
      </c>
      <c r="EM5011" s="67"/>
      <c r="EN5011" s="67"/>
      <c r="EO5011" s="67" t="s">
        <v>5963</v>
      </c>
      <c r="EP5011" s="67"/>
      <c r="EQ5011" s="67"/>
      <c r="ER5011" s="67"/>
      <c r="ES5011" s="67"/>
      <c r="ET5011" s="67"/>
      <c r="EU5011" s="67"/>
      <c r="EV5011" s="67"/>
      <c r="EW5011" s="67"/>
      <c r="EX5011" s="67"/>
      <c r="EY5011" s="67"/>
      <c r="EZ5011" s="67"/>
      <c r="FA5011" s="67"/>
      <c r="FB5011" s="67"/>
      <c r="FC5011" s="67"/>
      <c r="FD5011" s="67"/>
      <c r="FE5011" s="67"/>
      <c r="FF5011" s="67"/>
      <c r="FG5011" s="67"/>
      <c r="FH5011" s="67"/>
      <c r="FI5011" s="67"/>
      <c r="FJ5011" s="67"/>
      <c r="FK5011" s="67"/>
      <c r="FL5011" s="67"/>
      <c r="FM5011" s="67"/>
      <c r="FN5011" s="67"/>
      <c r="FO5011" s="67"/>
      <c r="FP5011" s="67"/>
      <c r="FQ5011" s="67"/>
      <c r="FR5011" s="67"/>
      <c r="FS5011" s="67"/>
      <c r="FT5011" s="67"/>
      <c r="FU5011" s="67"/>
      <c r="FV5011" s="67"/>
      <c r="FW5011" s="67"/>
      <c r="FX5011" s="67"/>
      <c r="FY5011" s="67"/>
      <c r="FZ5011" s="67"/>
      <c r="GA5011" s="67"/>
      <c r="GB5011" s="67"/>
      <c r="GC5011" s="67"/>
      <c r="GD5011" s="67">
        <v>22</v>
      </c>
      <c r="GE5011" s="67">
        <v>23</v>
      </c>
      <c r="GF5011" s="67"/>
      <c r="GG5011" s="67"/>
      <c r="GH5011" s="67" t="s">
        <v>5952</v>
      </c>
      <c r="GI5011" s="67"/>
      <c r="GJ5011" s="67"/>
      <c r="GK5011" s="67"/>
      <c r="GL5011" s="67"/>
      <c r="GM5011" s="67"/>
      <c r="GN5011" s="292"/>
      <c r="GO5011" s="292"/>
      <c r="GP5011" s="292" t="s">
        <v>7494</v>
      </c>
      <c r="GQ5011" s="67"/>
      <c r="GR5011" s="67"/>
      <c r="GS5011" s="67"/>
      <c r="GT5011" s="67"/>
      <c r="GU5011" s="67"/>
      <c r="GV5011" s="67"/>
      <c r="GW5011" s="67"/>
      <c r="GX5011" s="67"/>
      <c r="GY5011" s="67"/>
      <c r="GZ5011" s="67"/>
      <c r="HA5011" s="67"/>
      <c r="HB5011" s="67"/>
      <c r="HC5011" s="67"/>
      <c r="HD5011" s="67"/>
      <c r="HE5011" s="67"/>
      <c r="HF5011" s="67"/>
      <c r="HG5011" s="67"/>
      <c r="HH5011" s="67"/>
      <c r="HI5011" s="67"/>
      <c r="HJ5011" s="67"/>
      <c r="HK5011" s="67"/>
      <c r="HL5011" s="67"/>
      <c r="HM5011" s="67"/>
      <c r="HN5011" s="67"/>
      <c r="HO5011" s="67"/>
      <c r="HP5011" s="67"/>
      <c r="HQ5011" s="67"/>
      <c r="HR5011" s="67"/>
      <c r="HS5011" s="67"/>
      <c r="HT5011" s="67"/>
      <c r="HU5011" s="67"/>
      <c r="HV5011" s="67"/>
      <c r="HW5011" s="67"/>
      <c r="HX5011" s="67"/>
      <c r="HY5011" s="67"/>
      <c r="HZ5011" s="67"/>
      <c r="IA5011" s="67"/>
      <c r="IB5011" s="67"/>
      <c r="IC5011" s="67"/>
      <c r="ID5011" s="67"/>
      <c r="IE5011" s="67"/>
      <c r="IF5011" s="67"/>
      <c r="IG5011" s="67"/>
      <c r="IH5011" s="67"/>
      <c r="II5011" s="67"/>
      <c r="IJ5011" s="67"/>
      <c r="IK5011" s="67"/>
      <c r="IL5011" s="67"/>
      <c r="IM5011" s="67"/>
      <c r="IN5011" s="67"/>
      <c r="IO5011" s="67"/>
      <c r="IP5011" s="67"/>
      <c r="IQ5011" s="67"/>
      <c r="IR5011" s="67"/>
      <c r="IS5011" s="67"/>
      <c r="IT5011" s="67"/>
      <c r="IU5011" s="67"/>
      <c r="IV5011" s="67"/>
      <c r="IW5011" s="67"/>
      <c r="IX5011" s="67"/>
      <c r="IY5011" s="67"/>
      <c r="IZ5011" s="67"/>
      <c r="JA5011" s="67"/>
      <c r="JB5011" s="67"/>
      <c r="JC5011" s="67"/>
      <c r="JD5011" s="67"/>
      <c r="JE5011" s="67"/>
      <c r="JF5011" s="67"/>
      <c r="JG5011" s="67"/>
      <c r="JH5011" s="67"/>
      <c r="JI5011" s="67"/>
      <c r="JJ5011" s="67"/>
      <c r="JK5011" s="67"/>
      <c r="JL5011" s="67"/>
      <c r="JM5011" s="67"/>
      <c r="JN5011" s="67"/>
      <c r="JO5011" s="67"/>
      <c r="JP5011" s="67"/>
      <c r="JQ5011" s="67"/>
      <c r="JR5011" s="67"/>
      <c r="JS5011" s="67"/>
      <c r="JT5011" s="67">
        <v>99999</v>
      </c>
      <c r="JU5011" s="58" t="s">
        <v>5964</v>
      </c>
      <c r="JV5011" s="58"/>
      <c r="JW5011" s="58"/>
    </row>
    <row r="5012" spans="1:283" s="23" customFormat="1" x14ac:dyDescent="0.25">
      <c r="A5012" s="55">
        <v>5011</v>
      </c>
      <c r="B5012" s="12" t="s">
        <v>7067</v>
      </c>
      <c r="C5012" s="156">
        <v>254</v>
      </c>
      <c r="D5012" s="58" t="s">
        <v>4990</v>
      </c>
      <c r="E5012" s="160" t="str">
        <f>G5012</f>
        <v>Mulla et al 1992_backslope</v>
      </c>
      <c r="F5012" s="160"/>
      <c r="G5012" s="60" t="s">
        <v>4738</v>
      </c>
      <c r="H5012" s="58">
        <v>1992</v>
      </c>
      <c r="I5012" s="58" t="s">
        <v>5953</v>
      </c>
      <c r="J5012" s="58" t="s">
        <v>397</v>
      </c>
      <c r="K5012" s="63" t="s">
        <v>5091</v>
      </c>
      <c r="L5012" s="58" t="s">
        <v>2737</v>
      </c>
      <c r="M5012" s="94">
        <v>47.66</v>
      </c>
      <c r="N5012" s="94">
        <v>-117.43</v>
      </c>
      <c r="O5012" s="94">
        <v>536</v>
      </c>
      <c r="P5012" s="58"/>
      <c r="Q5012" s="244"/>
      <c r="R5012" s="58"/>
      <c r="S5012" s="245"/>
      <c r="T5012" s="58"/>
      <c r="U5012" s="58"/>
      <c r="V5012" s="244">
        <v>39</v>
      </c>
      <c r="W5012" s="174"/>
      <c r="X5012" s="174"/>
      <c r="Y5012" s="58" t="s">
        <v>5951</v>
      </c>
      <c r="Z5012" s="244" t="s">
        <v>1349</v>
      </c>
      <c r="AA5012" s="245">
        <v>15</v>
      </c>
      <c r="AB5012" s="67"/>
      <c r="AC5012" s="67"/>
      <c r="AD5012" s="94"/>
      <c r="AE5012" s="94">
        <v>14</v>
      </c>
      <c r="AF5012" s="94">
        <v>66.3</v>
      </c>
      <c r="AG5012" s="245">
        <v>19.7</v>
      </c>
      <c r="AH5012" s="58" t="s">
        <v>6378</v>
      </c>
      <c r="AI5012" s="169"/>
      <c r="AJ5012" s="94"/>
      <c r="AK5012" s="94"/>
      <c r="AL5012" s="58"/>
      <c r="AM5012" s="58"/>
      <c r="AN5012" s="186"/>
      <c r="AO5012" s="185" t="s">
        <v>7494</v>
      </c>
      <c r="AP5012" s="58"/>
      <c r="AQ5012" s="58"/>
      <c r="AR5012" s="58"/>
      <c r="AS5012" s="246" t="s">
        <v>5133</v>
      </c>
      <c r="AT5012" s="247">
        <v>1</v>
      </c>
      <c r="AU5012" s="181" t="s">
        <v>7494</v>
      </c>
      <c r="AV5012" s="185" t="s">
        <v>176</v>
      </c>
      <c r="AW5012" s="244">
        <v>1</v>
      </c>
      <c r="AX5012" s="185" t="s">
        <v>176</v>
      </c>
      <c r="AY5012" s="244"/>
      <c r="AZ5012" s="58"/>
      <c r="BA5012" s="58"/>
      <c r="BB5012" s="58"/>
      <c r="BC5012" s="58"/>
      <c r="BD5012" s="58"/>
      <c r="BE5012" s="236" t="s">
        <v>5153</v>
      </c>
      <c r="BF5012" s="191" t="s">
        <v>176</v>
      </c>
      <c r="BG5012" s="191" t="s">
        <v>176</v>
      </c>
      <c r="BH5012" s="236" t="s">
        <v>5153</v>
      </c>
      <c r="BI5012" s="191" t="s">
        <v>176</v>
      </c>
      <c r="BJ5012" s="58" t="str">
        <f>IF(BE5012=BH5012,"No","yes")</f>
        <v>No</v>
      </c>
      <c r="BK5012" s="58" t="s">
        <v>6334</v>
      </c>
      <c r="BL5012" s="58"/>
      <c r="BM5012" s="237"/>
      <c r="BN5012" s="244">
        <v>45</v>
      </c>
      <c r="BO5012" s="244">
        <v>45</v>
      </c>
      <c r="BP5012" s="58"/>
      <c r="BQ5012" s="58"/>
      <c r="BR5012" s="58"/>
      <c r="BS5012" s="58"/>
      <c r="BT5012" s="58"/>
      <c r="BU5012" s="58"/>
      <c r="BV5012" s="58" t="s">
        <v>5955</v>
      </c>
      <c r="BW5012" s="67"/>
      <c r="BX5012" s="67"/>
      <c r="BY5012" s="67"/>
      <c r="BZ5012" s="67"/>
      <c r="CA5012" s="67"/>
      <c r="CB5012" s="70"/>
      <c r="CC5012" s="70"/>
      <c r="CD5012" s="70"/>
      <c r="CE5012" s="67"/>
      <c r="CF5012" s="67"/>
      <c r="CG5012" s="67"/>
      <c r="CH5012" s="245"/>
      <c r="CI5012" s="245"/>
      <c r="CJ5012" s="67"/>
      <c r="CK5012" s="67"/>
      <c r="CL5012" s="67"/>
      <c r="CM5012" s="242">
        <v>1</v>
      </c>
      <c r="CN5012" s="242">
        <v>1.3</v>
      </c>
      <c r="CO5012" s="242"/>
      <c r="CP5012" s="242"/>
      <c r="CQ5012" s="242" t="s">
        <v>164</v>
      </c>
      <c r="CR5012" s="242"/>
      <c r="CS5012" s="242"/>
      <c r="CT5012" s="242"/>
      <c r="CU5012" s="242"/>
      <c r="CV5012" s="242"/>
      <c r="CW5012" s="242"/>
      <c r="CX5012" s="242"/>
      <c r="CY5012" s="242"/>
      <c r="CZ5012" s="242"/>
      <c r="DA5012" s="67"/>
      <c r="DB5012" s="67"/>
      <c r="DC5012" s="67"/>
      <c r="DD5012" s="67"/>
      <c r="DE5012" s="67"/>
      <c r="DF5012" s="67"/>
      <c r="DG5012" s="67"/>
      <c r="DH5012" s="67"/>
      <c r="DI5012" s="67"/>
      <c r="DJ5012" s="67"/>
      <c r="DK5012" s="67"/>
      <c r="DL5012" s="67"/>
      <c r="DM5012" s="67"/>
      <c r="DN5012" s="67"/>
      <c r="DO5012" s="67"/>
      <c r="DP5012" s="67"/>
      <c r="DQ5012" s="166"/>
      <c r="DR5012" s="166"/>
      <c r="DS5012" s="163"/>
      <c r="DT5012" s="163"/>
      <c r="DU5012" s="67"/>
      <c r="DV5012" s="67"/>
      <c r="DW5012" s="67"/>
      <c r="DX5012" s="67"/>
      <c r="DY5012" s="67"/>
      <c r="DZ5012" s="67"/>
      <c r="EA5012" s="67"/>
      <c r="EB5012" s="67"/>
      <c r="EC5012" s="67"/>
      <c r="ED5012" s="67"/>
      <c r="EE5012" s="67"/>
      <c r="EF5012" s="67"/>
      <c r="EG5012" s="67"/>
      <c r="EH5012" s="67"/>
      <c r="EI5012" s="67"/>
      <c r="EJ5012" s="67"/>
      <c r="EK5012" s="94">
        <v>54</v>
      </c>
      <c r="EL5012" s="94">
        <v>57</v>
      </c>
      <c r="EM5012" s="67"/>
      <c r="EN5012" s="67"/>
      <c r="EO5012" s="67" t="s">
        <v>5963</v>
      </c>
      <c r="EP5012" s="67"/>
      <c r="EQ5012" s="67"/>
      <c r="ER5012" s="67"/>
      <c r="ES5012" s="67"/>
      <c r="ET5012" s="67"/>
      <c r="EU5012" s="67"/>
      <c r="EV5012" s="67"/>
      <c r="EW5012" s="67"/>
      <c r="EX5012" s="67"/>
      <c r="EY5012" s="67"/>
      <c r="EZ5012" s="67"/>
      <c r="FA5012" s="67"/>
      <c r="FB5012" s="67"/>
      <c r="FC5012" s="67"/>
      <c r="FD5012" s="67"/>
      <c r="FE5012" s="67"/>
      <c r="FF5012" s="67"/>
      <c r="FG5012" s="67"/>
      <c r="FH5012" s="67"/>
      <c r="FI5012" s="67"/>
      <c r="FJ5012" s="67"/>
      <c r="FK5012" s="67"/>
      <c r="FL5012" s="67"/>
      <c r="FM5012" s="67"/>
      <c r="FN5012" s="67"/>
      <c r="FO5012" s="67"/>
      <c r="FP5012" s="67"/>
      <c r="FQ5012" s="67"/>
      <c r="FR5012" s="67"/>
      <c r="FS5012" s="67"/>
      <c r="FT5012" s="67"/>
      <c r="FU5012" s="67"/>
      <c r="FV5012" s="67"/>
      <c r="FW5012" s="67"/>
      <c r="FX5012" s="67"/>
      <c r="FY5012" s="67"/>
      <c r="FZ5012" s="67"/>
      <c r="GA5012" s="67"/>
      <c r="GB5012" s="67"/>
      <c r="GC5012" s="67"/>
      <c r="GD5012" s="67">
        <v>25</v>
      </c>
      <c r="GE5012" s="67">
        <v>24</v>
      </c>
      <c r="GF5012" s="67"/>
      <c r="GG5012" s="67"/>
      <c r="GH5012" s="67" t="s">
        <v>5952</v>
      </c>
      <c r="GI5012" s="67"/>
      <c r="GJ5012" s="67"/>
      <c r="GK5012" s="67"/>
      <c r="GL5012" s="67"/>
      <c r="GM5012" s="67"/>
      <c r="GN5012" s="292"/>
      <c r="GO5012" s="292"/>
      <c r="GP5012" s="292" t="s">
        <v>7494</v>
      </c>
      <c r="GQ5012" s="67"/>
      <c r="GR5012" s="67"/>
      <c r="GS5012" s="67"/>
      <c r="GT5012" s="67"/>
      <c r="GU5012" s="67"/>
      <c r="GV5012" s="67"/>
      <c r="GW5012" s="67"/>
      <c r="GX5012" s="67"/>
      <c r="GY5012" s="67"/>
      <c r="GZ5012" s="67"/>
      <c r="HA5012" s="67"/>
      <c r="HB5012" s="67"/>
      <c r="HC5012" s="67"/>
      <c r="HD5012" s="67"/>
      <c r="HE5012" s="67"/>
      <c r="HF5012" s="67"/>
      <c r="HG5012" s="67"/>
      <c r="HH5012" s="67"/>
      <c r="HI5012" s="67"/>
      <c r="HJ5012" s="67"/>
      <c r="HK5012" s="67"/>
      <c r="HL5012" s="67"/>
      <c r="HM5012" s="67"/>
      <c r="HN5012" s="67"/>
      <c r="HO5012" s="67"/>
      <c r="HP5012" s="67"/>
      <c r="HQ5012" s="67"/>
      <c r="HR5012" s="67"/>
      <c r="HS5012" s="67"/>
      <c r="HT5012" s="67"/>
      <c r="HU5012" s="67"/>
      <c r="HV5012" s="67"/>
      <c r="HW5012" s="67"/>
      <c r="HX5012" s="67"/>
      <c r="HY5012" s="67"/>
      <c r="HZ5012" s="67"/>
      <c r="IA5012" s="67"/>
      <c r="IB5012" s="67"/>
      <c r="IC5012" s="67"/>
      <c r="ID5012" s="67"/>
      <c r="IE5012" s="67"/>
      <c r="IF5012" s="67"/>
      <c r="IG5012" s="67"/>
      <c r="IH5012" s="67"/>
      <c r="II5012" s="67"/>
      <c r="IJ5012" s="67"/>
      <c r="IK5012" s="67"/>
      <c r="IL5012" s="67"/>
      <c r="IM5012" s="67"/>
      <c r="IN5012" s="67"/>
      <c r="IO5012" s="67"/>
      <c r="IP5012" s="67"/>
      <c r="IQ5012" s="67"/>
      <c r="IR5012" s="67"/>
      <c r="IS5012" s="67"/>
      <c r="IT5012" s="67"/>
      <c r="IU5012" s="67"/>
      <c r="IV5012" s="67"/>
      <c r="IW5012" s="67"/>
      <c r="IX5012" s="67"/>
      <c r="IY5012" s="67"/>
      <c r="IZ5012" s="67"/>
      <c r="JA5012" s="67"/>
      <c r="JB5012" s="67"/>
      <c r="JC5012" s="67"/>
      <c r="JD5012" s="67"/>
      <c r="JE5012" s="67"/>
      <c r="JF5012" s="67"/>
      <c r="JG5012" s="67"/>
      <c r="JH5012" s="67"/>
      <c r="JI5012" s="67"/>
      <c r="JJ5012" s="67"/>
      <c r="JK5012" s="67"/>
      <c r="JL5012" s="67"/>
      <c r="JM5012" s="67"/>
      <c r="JN5012" s="67"/>
      <c r="JO5012" s="67"/>
      <c r="JP5012" s="67"/>
      <c r="JQ5012" s="67"/>
      <c r="JR5012" s="67"/>
      <c r="JS5012" s="67"/>
      <c r="JT5012" s="67">
        <v>99999</v>
      </c>
      <c r="JU5012" s="58" t="s">
        <v>5964</v>
      </c>
      <c r="JV5012" s="58"/>
      <c r="JW5012" s="58"/>
    </row>
    <row r="5013" spans="1:283" s="23" customFormat="1" x14ac:dyDescent="0.25">
      <c r="A5013" s="55">
        <v>5012</v>
      </c>
      <c r="B5013" s="12" t="s">
        <v>7067</v>
      </c>
      <c r="C5013" s="156">
        <v>254</v>
      </c>
      <c r="D5013" s="58" t="s">
        <v>4991</v>
      </c>
      <c r="E5013" s="160" t="str">
        <f>G5013</f>
        <v>Mulla et al 1992_footslope</v>
      </c>
      <c r="F5013" s="160"/>
      <c r="G5013" s="60" t="s">
        <v>4737</v>
      </c>
      <c r="H5013" s="58">
        <v>1992</v>
      </c>
      <c r="I5013" s="58" t="s">
        <v>5953</v>
      </c>
      <c r="J5013" s="58" t="s">
        <v>397</v>
      </c>
      <c r="K5013" s="63" t="s">
        <v>5091</v>
      </c>
      <c r="L5013" s="58" t="s">
        <v>2737</v>
      </c>
      <c r="M5013" s="94">
        <v>47.66</v>
      </c>
      <c r="N5013" s="94">
        <v>-117.43</v>
      </c>
      <c r="O5013" s="94">
        <v>536</v>
      </c>
      <c r="P5013" s="58"/>
      <c r="Q5013" s="244"/>
      <c r="R5013" s="58"/>
      <c r="S5013" s="245"/>
      <c r="T5013" s="58"/>
      <c r="U5013" s="58"/>
      <c r="V5013" s="244">
        <v>39</v>
      </c>
      <c r="W5013" s="174"/>
      <c r="X5013" s="174"/>
      <c r="Y5013" s="58" t="s">
        <v>5951</v>
      </c>
      <c r="Z5013" s="244" t="s">
        <v>1349</v>
      </c>
      <c r="AA5013" s="245">
        <v>15</v>
      </c>
      <c r="AB5013" s="67"/>
      <c r="AC5013" s="67"/>
      <c r="AD5013" s="94"/>
      <c r="AE5013" s="94">
        <v>16.2</v>
      </c>
      <c r="AF5013" s="94">
        <v>67.599999999999994</v>
      </c>
      <c r="AG5013" s="245">
        <v>16.2</v>
      </c>
      <c r="AH5013" s="58" t="s">
        <v>6378</v>
      </c>
      <c r="AI5013" s="169"/>
      <c r="AJ5013" s="94"/>
      <c r="AK5013" s="94"/>
      <c r="AL5013" s="58"/>
      <c r="AM5013" s="58"/>
      <c r="AN5013" s="186"/>
      <c r="AO5013" s="185" t="s">
        <v>7494</v>
      </c>
      <c r="AP5013" s="58"/>
      <c r="AQ5013" s="58"/>
      <c r="AR5013" s="58"/>
      <c r="AS5013" s="246" t="s">
        <v>5133</v>
      </c>
      <c r="AT5013" s="247">
        <v>1</v>
      </c>
      <c r="AU5013" s="181" t="s">
        <v>7494</v>
      </c>
      <c r="AV5013" s="185" t="s">
        <v>176</v>
      </c>
      <c r="AW5013" s="244">
        <v>1</v>
      </c>
      <c r="AX5013" s="185" t="s">
        <v>176</v>
      </c>
      <c r="AY5013" s="244"/>
      <c r="AZ5013" s="58"/>
      <c r="BA5013" s="58"/>
      <c r="BB5013" s="58"/>
      <c r="BC5013" s="58"/>
      <c r="BD5013" s="58"/>
      <c r="BE5013" s="236" t="s">
        <v>5153</v>
      </c>
      <c r="BF5013" s="191" t="s">
        <v>176</v>
      </c>
      <c r="BG5013" s="191" t="s">
        <v>176</v>
      </c>
      <c r="BH5013" s="236" t="s">
        <v>5153</v>
      </c>
      <c r="BI5013" s="191" t="s">
        <v>176</v>
      </c>
      <c r="BJ5013" s="58" t="str">
        <f>IF(BE5013=BH5013,"No","yes")</f>
        <v>No</v>
      </c>
      <c r="BK5013" s="58" t="s">
        <v>6334</v>
      </c>
      <c r="BL5013" s="58"/>
      <c r="BM5013" s="237"/>
      <c r="BN5013" s="244">
        <v>45</v>
      </c>
      <c r="BO5013" s="244">
        <v>45</v>
      </c>
      <c r="BP5013" s="58"/>
      <c r="BQ5013" s="58"/>
      <c r="BR5013" s="58"/>
      <c r="BS5013" s="58"/>
      <c r="BT5013" s="58"/>
      <c r="BU5013" s="58"/>
      <c r="BV5013" s="58" t="s">
        <v>5956</v>
      </c>
      <c r="BW5013" s="67"/>
      <c r="BX5013" s="67"/>
      <c r="BY5013" s="67"/>
      <c r="BZ5013" s="67"/>
      <c r="CA5013" s="67"/>
      <c r="CB5013" s="70"/>
      <c r="CC5013" s="70"/>
      <c r="CD5013" s="70"/>
      <c r="CE5013" s="67"/>
      <c r="CF5013" s="67"/>
      <c r="CG5013" s="67"/>
      <c r="CH5013" s="245"/>
      <c r="CI5013" s="245"/>
      <c r="CJ5013" s="67"/>
      <c r="CK5013" s="67"/>
      <c r="CL5013" s="67"/>
      <c r="CM5013" s="242">
        <v>1.1000000000000001</v>
      </c>
      <c r="CN5013" s="242">
        <v>1.9</v>
      </c>
      <c r="CO5013" s="242"/>
      <c r="CP5013" s="242"/>
      <c r="CQ5013" s="242" t="s">
        <v>164</v>
      </c>
      <c r="CR5013" s="242"/>
      <c r="CS5013" s="242"/>
      <c r="CT5013" s="242"/>
      <c r="CU5013" s="242"/>
      <c r="CV5013" s="242"/>
      <c r="CW5013" s="242"/>
      <c r="CX5013" s="242"/>
      <c r="CY5013" s="242"/>
      <c r="CZ5013" s="242"/>
      <c r="DA5013" s="67"/>
      <c r="DB5013" s="67"/>
      <c r="DC5013" s="67"/>
      <c r="DD5013" s="67"/>
      <c r="DE5013" s="67"/>
      <c r="DF5013" s="67"/>
      <c r="DG5013" s="67"/>
      <c r="DH5013" s="67"/>
      <c r="DI5013" s="67"/>
      <c r="DJ5013" s="67"/>
      <c r="DK5013" s="67"/>
      <c r="DL5013" s="67"/>
      <c r="DM5013" s="67"/>
      <c r="DN5013" s="67"/>
      <c r="DO5013" s="67"/>
      <c r="DP5013" s="67"/>
      <c r="DQ5013" s="166"/>
      <c r="DR5013" s="166"/>
      <c r="DS5013" s="163"/>
      <c r="DT5013" s="163"/>
      <c r="DU5013" s="67"/>
      <c r="DV5013" s="67"/>
      <c r="DW5013" s="67"/>
      <c r="DX5013" s="67"/>
      <c r="DY5013" s="67"/>
      <c r="DZ5013" s="67"/>
      <c r="EA5013" s="67"/>
      <c r="EB5013" s="67"/>
      <c r="EC5013" s="67"/>
      <c r="ED5013" s="67"/>
      <c r="EE5013" s="67"/>
      <c r="EF5013" s="67"/>
      <c r="EG5013" s="67"/>
      <c r="EH5013" s="67"/>
      <c r="EI5013" s="67"/>
      <c r="EJ5013" s="67"/>
      <c r="EK5013" s="94">
        <v>72</v>
      </c>
      <c r="EL5013" s="94">
        <v>60</v>
      </c>
      <c r="EM5013" s="67"/>
      <c r="EN5013" s="67"/>
      <c r="EO5013" s="67" t="s">
        <v>5963</v>
      </c>
      <c r="EP5013" s="67"/>
      <c r="EQ5013" s="67"/>
      <c r="ER5013" s="67"/>
      <c r="ES5013" s="67"/>
      <c r="ET5013" s="67"/>
      <c r="EU5013" s="67"/>
      <c r="EV5013" s="67"/>
      <c r="EW5013" s="67"/>
      <c r="EX5013" s="67"/>
      <c r="EY5013" s="67"/>
      <c r="EZ5013" s="67"/>
      <c r="FA5013" s="67"/>
      <c r="FB5013" s="67"/>
      <c r="FC5013" s="67"/>
      <c r="FD5013" s="67"/>
      <c r="FE5013" s="67"/>
      <c r="FF5013" s="67"/>
      <c r="FG5013" s="67"/>
      <c r="FH5013" s="67"/>
      <c r="FI5013" s="67"/>
      <c r="FJ5013" s="67"/>
      <c r="FK5013" s="67"/>
      <c r="FL5013" s="67"/>
      <c r="FM5013" s="67"/>
      <c r="FN5013" s="67"/>
      <c r="FO5013" s="67"/>
      <c r="FP5013" s="67"/>
      <c r="FQ5013" s="67"/>
      <c r="FR5013" s="67"/>
      <c r="FS5013" s="67"/>
      <c r="FT5013" s="67"/>
      <c r="FU5013" s="67"/>
      <c r="FV5013" s="67"/>
      <c r="FW5013" s="67"/>
      <c r="FX5013" s="67"/>
      <c r="FY5013" s="67"/>
      <c r="FZ5013" s="67"/>
      <c r="GA5013" s="67"/>
      <c r="GB5013" s="67"/>
      <c r="GC5013" s="67"/>
      <c r="GD5013" s="67">
        <v>27</v>
      </c>
      <c r="GE5013" s="67">
        <v>27</v>
      </c>
      <c r="GF5013" s="67"/>
      <c r="GG5013" s="67"/>
      <c r="GH5013" s="67" t="s">
        <v>5952</v>
      </c>
      <c r="GI5013" s="67"/>
      <c r="GJ5013" s="67"/>
      <c r="GK5013" s="67"/>
      <c r="GL5013" s="67"/>
      <c r="GM5013" s="67"/>
      <c r="GN5013" s="292"/>
      <c r="GO5013" s="292"/>
      <c r="GP5013" s="292" t="s">
        <v>7494</v>
      </c>
      <c r="GQ5013" s="67"/>
      <c r="GR5013" s="67"/>
      <c r="GS5013" s="67"/>
      <c r="GT5013" s="67"/>
      <c r="GU5013" s="67"/>
      <c r="GV5013" s="67"/>
      <c r="GW5013" s="67"/>
      <c r="GX5013" s="67"/>
      <c r="GY5013" s="67"/>
      <c r="GZ5013" s="67"/>
      <c r="HA5013" s="67"/>
      <c r="HB5013" s="67"/>
      <c r="HC5013" s="67"/>
      <c r="HD5013" s="67"/>
      <c r="HE5013" s="67"/>
      <c r="HF5013" s="67"/>
      <c r="HG5013" s="67"/>
      <c r="HH5013" s="67"/>
      <c r="HI5013" s="67"/>
      <c r="HJ5013" s="67"/>
      <c r="HK5013" s="67"/>
      <c r="HL5013" s="67"/>
      <c r="HM5013" s="67"/>
      <c r="HN5013" s="67"/>
      <c r="HO5013" s="67"/>
      <c r="HP5013" s="67"/>
      <c r="HQ5013" s="67"/>
      <c r="HR5013" s="67"/>
      <c r="HS5013" s="67"/>
      <c r="HT5013" s="67"/>
      <c r="HU5013" s="67"/>
      <c r="HV5013" s="67"/>
      <c r="HW5013" s="67"/>
      <c r="HX5013" s="67"/>
      <c r="HY5013" s="67"/>
      <c r="HZ5013" s="67"/>
      <c r="IA5013" s="67"/>
      <c r="IB5013" s="67"/>
      <c r="IC5013" s="67"/>
      <c r="ID5013" s="67"/>
      <c r="IE5013" s="67"/>
      <c r="IF5013" s="67"/>
      <c r="IG5013" s="67"/>
      <c r="IH5013" s="67"/>
      <c r="II5013" s="67"/>
      <c r="IJ5013" s="67"/>
      <c r="IK5013" s="67"/>
      <c r="IL5013" s="67"/>
      <c r="IM5013" s="67"/>
      <c r="IN5013" s="67"/>
      <c r="IO5013" s="67"/>
      <c r="IP5013" s="67"/>
      <c r="IQ5013" s="67"/>
      <c r="IR5013" s="67"/>
      <c r="IS5013" s="67"/>
      <c r="IT5013" s="67"/>
      <c r="IU5013" s="67"/>
      <c r="IV5013" s="67"/>
      <c r="IW5013" s="67"/>
      <c r="IX5013" s="67"/>
      <c r="IY5013" s="67"/>
      <c r="IZ5013" s="67"/>
      <c r="JA5013" s="67"/>
      <c r="JB5013" s="67"/>
      <c r="JC5013" s="67"/>
      <c r="JD5013" s="67"/>
      <c r="JE5013" s="67"/>
      <c r="JF5013" s="67"/>
      <c r="JG5013" s="67"/>
      <c r="JH5013" s="67"/>
      <c r="JI5013" s="67"/>
      <c r="JJ5013" s="67"/>
      <c r="JK5013" s="67"/>
      <c r="JL5013" s="67"/>
      <c r="JM5013" s="67"/>
      <c r="JN5013" s="67"/>
      <c r="JO5013" s="67"/>
      <c r="JP5013" s="67"/>
      <c r="JQ5013" s="67"/>
      <c r="JR5013" s="67"/>
      <c r="JS5013" s="67"/>
      <c r="JT5013" s="67">
        <v>99999</v>
      </c>
      <c r="JU5013" s="58" t="s">
        <v>5964</v>
      </c>
      <c r="JV5013" s="58"/>
      <c r="JW5013" s="58"/>
    </row>
    <row r="5014" spans="1:283" s="23" customFormat="1" x14ac:dyDescent="0.25">
      <c r="A5014" s="55">
        <v>5013</v>
      </c>
      <c r="B5014" s="12" t="s">
        <v>7067</v>
      </c>
      <c r="C5014" s="156">
        <v>254</v>
      </c>
      <c r="D5014" s="58" t="s">
        <v>4989</v>
      </c>
      <c r="E5014" s="160" t="str">
        <f>G5014</f>
        <v>Mulla et al 1992_topslope</v>
      </c>
      <c r="F5014" s="160"/>
      <c r="G5014" s="60" t="s">
        <v>4736</v>
      </c>
      <c r="H5014" s="58">
        <v>1992</v>
      </c>
      <c r="I5014" s="58" t="s">
        <v>5953</v>
      </c>
      <c r="J5014" s="58" t="s">
        <v>397</v>
      </c>
      <c r="K5014" s="63" t="s">
        <v>5091</v>
      </c>
      <c r="L5014" s="58" t="s">
        <v>2737</v>
      </c>
      <c r="M5014" s="94">
        <v>47.66</v>
      </c>
      <c r="N5014" s="94">
        <v>-117.43</v>
      </c>
      <c r="O5014" s="94">
        <v>536</v>
      </c>
      <c r="P5014" s="58"/>
      <c r="Q5014" s="244"/>
      <c r="R5014" s="58"/>
      <c r="S5014" s="245"/>
      <c r="T5014" s="58"/>
      <c r="U5014" s="58"/>
      <c r="V5014" s="244">
        <v>39</v>
      </c>
      <c r="W5014" s="174"/>
      <c r="X5014" s="174"/>
      <c r="Y5014" s="58" t="s">
        <v>5951</v>
      </c>
      <c r="Z5014" s="244" t="s">
        <v>1349</v>
      </c>
      <c r="AA5014" s="245">
        <v>15</v>
      </c>
      <c r="AB5014" s="67"/>
      <c r="AC5014" s="67"/>
      <c r="AD5014" s="94"/>
      <c r="AE5014" s="94">
        <v>15.3</v>
      </c>
      <c r="AF5014" s="94">
        <v>59.9</v>
      </c>
      <c r="AG5014" s="245">
        <v>24.7</v>
      </c>
      <c r="AH5014" s="58" t="s">
        <v>6378</v>
      </c>
      <c r="AI5014" s="169"/>
      <c r="AJ5014" s="94"/>
      <c r="AK5014" s="94"/>
      <c r="AL5014" s="58"/>
      <c r="AM5014" s="58"/>
      <c r="AN5014" s="186"/>
      <c r="AO5014" s="185" t="s">
        <v>7494</v>
      </c>
      <c r="AP5014" s="58"/>
      <c r="AQ5014" s="58"/>
      <c r="AR5014" s="58"/>
      <c r="AS5014" s="246" t="s">
        <v>5133</v>
      </c>
      <c r="AT5014" s="247">
        <v>1</v>
      </c>
      <c r="AU5014" s="181" t="s">
        <v>7494</v>
      </c>
      <c r="AV5014" s="185" t="s">
        <v>176</v>
      </c>
      <c r="AW5014" s="244">
        <v>1</v>
      </c>
      <c r="AX5014" s="185" t="s">
        <v>176</v>
      </c>
      <c r="AY5014" s="244"/>
      <c r="AZ5014" s="58"/>
      <c r="BA5014" s="58"/>
      <c r="BB5014" s="58"/>
      <c r="BC5014" s="58"/>
      <c r="BD5014" s="58"/>
      <c r="BE5014" s="236" t="s">
        <v>5153</v>
      </c>
      <c r="BF5014" s="191" t="s">
        <v>176</v>
      </c>
      <c r="BG5014" s="191" t="s">
        <v>176</v>
      </c>
      <c r="BH5014" s="236" t="s">
        <v>5153</v>
      </c>
      <c r="BI5014" s="191" t="s">
        <v>176</v>
      </c>
      <c r="BJ5014" s="58" t="str">
        <f>IF(BE5014=BH5014,"No","yes")</f>
        <v>No</v>
      </c>
      <c r="BK5014" s="58" t="s">
        <v>6334</v>
      </c>
      <c r="BL5014" s="58"/>
      <c r="BM5014" s="237"/>
      <c r="BN5014" s="244">
        <v>45</v>
      </c>
      <c r="BO5014" s="244">
        <v>45</v>
      </c>
      <c r="BP5014" s="58"/>
      <c r="BQ5014" s="58"/>
      <c r="BR5014" s="58"/>
      <c r="BS5014" s="58"/>
      <c r="BT5014" s="58"/>
      <c r="BU5014" s="58"/>
      <c r="BV5014" s="58" t="s">
        <v>5957</v>
      </c>
      <c r="BW5014" s="67"/>
      <c r="BX5014" s="67"/>
      <c r="BY5014" s="67"/>
      <c r="BZ5014" s="67"/>
      <c r="CA5014" s="67"/>
      <c r="CB5014" s="70"/>
      <c r="CC5014" s="70"/>
      <c r="CD5014" s="70"/>
      <c r="CE5014" s="67"/>
      <c r="CF5014" s="67"/>
      <c r="CG5014" s="67"/>
      <c r="CH5014" s="245"/>
      <c r="CI5014" s="245"/>
      <c r="CJ5014" s="67"/>
      <c r="CK5014" s="67"/>
      <c r="CL5014" s="67"/>
      <c r="CM5014" s="242"/>
      <c r="CN5014" s="242"/>
      <c r="CO5014" s="242"/>
      <c r="CP5014" s="242"/>
      <c r="CQ5014" s="242"/>
      <c r="CR5014" s="242"/>
      <c r="CS5014" s="242"/>
      <c r="CT5014" s="242"/>
      <c r="CU5014" s="242"/>
      <c r="CV5014" s="242"/>
      <c r="CW5014" s="242"/>
      <c r="CX5014" s="242"/>
      <c r="CY5014" s="242"/>
      <c r="CZ5014" s="242"/>
      <c r="DA5014" s="67"/>
      <c r="DB5014" s="67"/>
      <c r="DC5014" s="67"/>
      <c r="DD5014" s="67"/>
      <c r="DE5014" s="67"/>
      <c r="DF5014" s="67"/>
      <c r="DG5014" s="67"/>
      <c r="DH5014" s="67"/>
      <c r="DI5014" s="67"/>
      <c r="DJ5014" s="67"/>
      <c r="DK5014" s="67"/>
      <c r="DL5014" s="67"/>
      <c r="DM5014" s="67"/>
      <c r="DN5014" s="67"/>
      <c r="DO5014" s="67"/>
      <c r="DP5014" s="67"/>
      <c r="DQ5014" s="166"/>
      <c r="DR5014" s="166"/>
      <c r="DS5014" s="163"/>
      <c r="DT5014" s="163"/>
      <c r="DU5014" s="67"/>
      <c r="DV5014" s="67"/>
      <c r="DW5014" s="67"/>
      <c r="DX5014" s="67"/>
      <c r="DY5014" s="67"/>
      <c r="DZ5014" s="67"/>
      <c r="EA5014" s="67"/>
      <c r="EB5014" s="67"/>
      <c r="EC5014" s="67"/>
      <c r="ED5014" s="67"/>
      <c r="EE5014" s="67"/>
      <c r="EF5014" s="67"/>
      <c r="EG5014" s="67"/>
      <c r="EH5014" s="67"/>
      <c r="EI5014" s="67"/>
      <c r="EJ5014" s="67"/>
      <c r="EK5014" s="94">
        <v>61</v>
      </c>
      <c r="EL5014" s="94">
        <v>73</v>
      </c>
      <c r="EM5014" s="67"/>
      <c r="EN5014" s="67"/>
      <c r="EO5014" s="67" t="s">
        <v>5963</v>
      </c>
      <c r="EP5014" s="67"/>
      <c r="EQ5014" s="67"/>
      <c r="ER5014" s="67"/>
      <c r="ES5014" s="67"/>
      <c r="ET5014" s="67"/>
      <c r="EU5014" s="67"/>
      <c r="EV5014" s="67"/>
      <c r="EW5014" s="67"/>
      <c r="EX5014" s="67"/>
      <c r="EY5014" s="67"/>
      <c r="EZ5014" s="67"/>
      <c r="FA5014" s="67"/>
      <c r="FB5014" s="67"/>
      <c r="FC5014" s="67"/>
      <c r="FD5014" s="67"/>
      <c r="FE5014" s="67"/>
      <c r="FF5014" s="67"/>
      <c r="FG5014" s="67"/>
      <c r="FH5014" s="67"/>
      <c r="FI5014" s="67"/>
      <c r="FJ5014" s="67"/>
      <c r="FK5014" s="67"/>
      <c r="FL5014" s="67"/>
      <c r="FM5014" s="67"/>
      <c r="FN5014" s="67"/>
      <c r="FO5014" s="67"/>
      <c r="FP5014" s="67"/>
      <c r="FQ5014" s="67"/>
      <c r="FR5014" s="67"/>
      <c r="FS5014" s="67"/>
      <c r="FT5014" s="67"/>
      <c r="FU5014" s="67"/>
      <c r="FV5014" s="67"/>
      <c r="FW5014" s="67"/>
      <c r="FX5014" s="67"/>
      <c r="FY5014" s="67"/>
      <c r="FZ5014" s="67"/>
      <c r="GA5014" s="67"/>
      <c r="GB5014" s="67"/>
      <c r="GC5014" s="67"/>
      <c r="GD5014" s="67"/>
      <c r="GE5014" s="67"/>
      <c r="GF5014" s="67"/>
      <c r="GG5014" s="67"/>
      <c r="GH5014" s="67"/>
      <c r="GI5014" s="67"/>
      <c r="GJ5014" s="67"/>
      <c r="GK5014" s="67"/>
      <c r="GL5014" s="67"/>
      <c r="GM5014" s="67"/>
      <c r="GN5014" s="292"/>
      <c r="GO5014" s="292"/>
      <c r="GP5014" s="292" t="s">
        <v>7494</v>
      </c>
      <c r="GQ5014" s="67"/>
      <c r="GR5014" s="67"/>
      <c r="GS5014" s="67"/>
      <c r="GT5014" s="67"/>
      <c r="GU5014" s="67"/>
      <c r="GV5014" s="67"/>
      <c r="GW5014" s="67"/>
      <c r="GX5014" s="67"/>
      <c r="GY5014" s="67"/>
      <c r="GZ5014" s="67"/>
      <c r="HA5014" s="67"/>
      <c r="HB5014" s="67"/>
      <c r="HC5014" s="67"/>
      <c r="HD5014" s="67"/>
      <c r="HE5014" s="67"/>
      <c r="HF5014" s="67"/>
      <c r="HG5014" s="67"/>
      <c r="HH5014" s="67"/>
      <c r="HI5014" s="67"/>
      <c r="HJ5014" s="67"/>
      <c r="HK5014" s="67"/>
      <c r="HL5014" s="67"/>
      <c r="HM5014" s="67"/>
      <c r="HN5014" s="67"/>
      <c r="HO5014" s="67"/>
      <c r="HP5014" s="67"/>
      <c r="HQ5014" s="67"/>
      <c r="HR5014" s="67"/>
      <c r="HS5014" s="67"/>
      <c r="HT5014" s="67"/>
      <c r="HU5014" s="67"/>
      <c r="HV5014" s="67"/>
      <c r="HW5014" s="67"/>
      <c r="HX5014" s="67"/>
      <c r="HY5014" s="67"/>
      <c r="HZ5014" s="67"/>
      <c r="IA5014" s="67"/>
      <c r="IB5014" s="67"/>
      <c r="IC5014" s="67"/>
      <c r="ID5014" s="67"/>
      <c r="IE5014" s="67"/>
      <c r="IF5014" s="67"/>
      <c r="IG5014" s="67"/>
      <c r="IH5014" s="67"/>
      <c r="II5014" s="67"/>
      <c r="IJ5014" s="67"/>
      <c r="IK5014" s="67"/>
      <c r="IL5014" s="67"/>
      <c r="IM5014" s="67"/>
      <c r="IN5014" s="67"/>
      <c r="IO5014" s="67"/>
      <c r="IP5014" s="67"/>
      <c r="IQ5014" s="67"/>
      <c r="IR5014" s="67"/>
      <c r="IS5014" s="67"/>
      <c r="IT5014" s="67"/>
      <c r="IU5014" s="67"/>
      <c r="IV5014" s="67"/>
      <c r="IW5014" s="67"/>
      <c r="IX5014" s="67"/>
      <c r="IY5014" s="67"/>
      <c r="IZ5014" s="67"/>
      <c r="JA5014" s="67"/>
      <c r="JB5014" s="67"/>
      <c r="JC5014" s="67"/>
      <c r="JD5014" s="67"/>
      <c r="JE5014" s="67"/>
      <c r="JF5014" s="67"/>
      <c r="JG5014" s="67"/>
      <c r="JH5014" s="67"/>
      <c r="JI5014" s="67"/>
      <c r="JJ5014" s="67"/>
      <c r="JK5014" s="67"/>
      <c r="JL5014" s="67"/>
      <c r="JM5014" s="67"/>
      <c r="JN5014" s="67"/>
      <c r="JO5014" s="67"/>
      <c r="JP5014" s="67"/>
      <c r="JQ5014" s="67"/>
      <c r="JR5014" s="67"/>
      <c r="JS5014" s="67"/>
      <c r="JT5014" s="67">
        <v>99999</v>
      </c>
      <c r="JU5014" s="58" t="s">
        <v>5964</v>
      </c>
      <c r="JV5014" s="58"/>
      <c r="JW5014" s="58"/>
    </row>
    <row r="5015" spans="1:283" s="23" customFormat="1" x14ac:dyDescent="0.25">
      <c r="A5015" s="55">
        <v>5014</v>
      </c>
      <c r="B5015" s="12" t="s">
        <v>7067</v>
      </c>
      <c r="C5015" s="156">
        <v>254</v>
      </c>
      <c r="D5015" s="58" t="s">
        <v>4990</v>
      </c>
      <c r="E5015" s="160" t="str">
        <f>G5015</f>
        <v>Mulla et al 1992_backslope</v>
      </c>
      <c r="F5015" s="160"/>
      <c r="G5015" s="60" t="s">
        <v>4738</v>
      </c>
      <c r="H5015" s="58">
        <v>1992</v>
      </c>
      <c r="I5015" s="58" t="s">
        <v>5953</v>
      </c>
      <c r="J5015" s="58" t="s">
        <v>397</v>
      </c>
      <c r="K5015" s="63" t="s">
        <v>5091</v>
      </c>
      <c r="L5015" s="58" t="s">
        <v>2737</v>
      </c>
      <c r="M5015" s="94">
        <v>47.66</v>
      </c>
      <c r="N5015" s="94">
        <v>-117.43</v>
      </c>
      <c r="O5015" s="94">
        <v>536</v>
      </c>
      <c r="P5015" s="58"/>
      <c r="Q5015" s="244"/>
      <c r="R5015" s="58"/>
      <c r="S5015" s="245"/>
      <c r="T5015" s="58"/>
      <c r="U5015" s="58"/>
      <c r="V5015" s="244">
        <v>39</v>
      </c>
      <c r="W5015" s="174"/>
      <c r="X5015" s="174"/>
      <c r="Y5015" s="58" t="s">
        <v>5951</v>
      </c>
      <c r="Z5015" s="244" t="s">
        <v>1349</v>
      </c>
      <c r="AA5015" s="245">
        <v>15</v>
      </c>
      <c r="AB5015" s="67"/>
      <c r="AC5015" s="67"/>
      <c r="AD5015" s="94"/>
      <c r="AE5015" s="94">
        <v>14</v>
      </c>
      <c r="AF5015" s="94">
        <v>66.3</v>
      </c>
      <c r="AG5015" s="245">
        <v>19.7</v>
      </c>
      <c r="AH5015" s="58" t="s">
        <v>6378</v>
      </c>
      <c r="AI5015" s="169"/>
      <c r="AJ5015" s="94"/>
      <c r="AK5015" s="94"/>
      <c r="AL5015" s="58"/>
      <c r="AM5015" s="58"/>
      <c r="AN5015" s="186"/>
      <c r="AO5015" s="185" t="s">
        <v>7494</v>
      </c>
      <c r="AP5015" s="58"/>
      <c r="AQ5015" s="58"/>
      <c r="AR5015" s="58"/>
      <c r="AS5015" s="246" t="s">
        <v>5133</v>
      </c>
      <c r="AT5015" s="247">
        <v>1</v>
      </c>
      <c r="AU5015" s="181" t="s">
        <v>7494</v>
      </c>
      <c r="AV5015" s="185" t="s">
        <v>176</v>
      </c>
      <c r="AW5015" s="244">
        <v>1</v>
      </c>
      <c r="AX5015" s="185" t="s">
        <v>176</v>
      </c>
      <c r="AY5015" s="244"/>
      <c r="AZ5015" s="58"/>
      <c r="BA5015" s="58"/>
      <c r="BB5015" s="58"/>
      <c r="BC5015" s="58"/>
      <c r="BD5015" s="58"/>
      <c r="BE5015" s="236" t="s">
        <v>5153</v>
      </c>
      <c r="BF5015" s="191" t="s">
        <v>176</v>
      </c>
      <c r="BG5015" s="191" t="s">
        <v>176</v>
      </c>
      <c r="BH5015" s="236" t="s">
        <v>5153</v>
      </c>
      <c r="BI5015" s="191" t="s">
        <v>176</v>
      </c>
      <c r="BJ5015" s="58" t="str">
        <f>IF(BE5015=BH5015,"No","yes")</f>
        <v>No</v>
      </c>
      <c r="BK5015" s="58" t="s">
        <v>6334</v>
      </c>
      <c r="BL5015" s="58"/>
      <c r="BM5015" s="237"/>
      <c r="BN5015" s="244">
        <v>45</v>
      </c>
      <c r="BO5015" s="244">
        <v>45</v>
      </c>
      <c r="BP5015" s="58"/>
      <c r="BQ5015" s="58"/>
      <c r="BR5015" s="58"/>
      <c r="BS5015" s="58"/>
      <c r="BT5015" s="58"/>
      <c r="BU5015" s="58"/>
      <c r="BV5015" s="58" t="s">
        <v>5958</v>
      </c>
      <c r="BW5015" s="67"/>
      <c r="BX5015" s="67"/>
      <c r="BY5015" s="67"/>
      <c r="BZ5015" s="67"/>
      <c r="CA5015" s="67"/>
      <c r="CB5015" s="70"/>
      <c r="CC5015" s="70"/>
      <c r="CD5015" s="70"/>
      <c r="CE5015" s="67"/>
      <c r="CF5015" s="67"/>
      <c r="CG5015" s="67"/>
      <c r="CH5015" s="245"/>
      <c r="CI5015" s="245"/>
      <c r="CJ5015" s="67"/>
      <c r="CK5015" s="67"/>
      <c r="CL5015" s="67"/>
      <c r="CM5015" s="242"/>
      <c r="CN5015" s="242"/>
      <c r="CO5015" s="242"/>
      <c r="CP5015" s="242"/>
      <c r="CQ5015" s="242"/>
      <c r="CR5015" s="242"/>
      <c r="CS5015" s="242"/>
      <c r="CT5015" s="242"/>
      <c r="CU5015" s="242"/>
      <c r="CV5015" s="242"/>
      <c r="CW5015" s="242"/>
      <c r="CX5015" s="242"/>
      <c r="CY5015" s="242"/>
      <c r="CZ5015" s="242"/>
      <c r="DA5015" s="67"/>
      <c r="DB5015" s="67"/>
      <c r="DC5015" s="67"/>
      <c r="DD5015" s="67"/>
      <c r="DE5015" s="67"/>
      <c r="DF5015" s="67"/>
      <c r="DG5015" s="67"/>
      <c r="DH5015" s="67"/>
      <c r="DI5015" s="67"/>
      <c r="DJ5015" s="67"/>
      <c r="DK5015" s="67"/>
      <c r="DL5015" s="67"/>
      <c r="DM5015" s="67"/>
      <c r="DN5015" s="67"/>
      <c r="DO5015" s="67"/>
      <c r="DP5015" s="67"/>
      <c r="DQ5015" s="166"/>
      <c r="DR5015" s="166"/>
      <c r="DS5015" s="163"/>
      <c r="DT5015" s="163"/>
      <c r="DU5015" s="67"/>
      <c r="DV5015" s="67"/>
      <c r="DW5015" s="67"/>
      <c r="DX5015" s="67"/>
      <c r="DY5015" s="67"/>
      <c r="DZ5015" s="67"/>
      <c r="EA5015" s="67"/>
      <c r="EB5015" s="67"/>
      <c r="EC5015" s="67"/>
      <c r="ED5015" s="67"/>
      <c r="EE5015" s="67"/>
      <c r="EF5015" s="67"/>
      <c r="EG5015" s="67"/>
      <c r="EH5015" s="67"/>
      <c r="EI5015" s="67"/>
      <c r="EJ5015" s="67"/>
      <c r="EK5015" s="94">
        <v>57</v>
      </c>
      <c r="EL5015" s="94">
        <v>63</v>
      </c>
      <c r="EM5015" s="67"/>
      <c r="EN5015" s="67"/>
      <c r="EO5015" s="67" t="s">
        <v>5963</v>
      </c>
      <c r="EP5015" s="67"/>
      <c r="EQ5015" s="67"/>
      <c r="ER5015" s="67"/>
      <c r="ES5015" s="67"/>
      <c r="ET5015" s="67"/>
      <c r="EU5015" s="67"/>
      <c r="EV5015" s="67"/>
      <c r="EW5015" s="67"/>
      <c r="EX5015" s="67"/>
      <c r="EY5015" s="67"/>
      <c r="EZ5015" s="67"/>
      <c r="FA5015" s="67"/>
      <c r="FB5015" s="67"/>
      <c r="FC5015" s="67"/>
      <c r="FD5015" s="67"/>
      <c r="FE5015" s="67"/>
      <c r="FF5015" s="67"/>
      <c r="FG5015" s="67"/>
      <c r="FH5015" s="67"/>
      <c r="FI5015" s="67"/>
      <c r="FJ5015" s="67"/>
      <c r="FK5015" s="67"/>
      <c r="FL5015" s="67"/>
      <c r="FM5015" s="67"/>
      <c r="FN5015" s="67"/>
      <c r="FO5015" s="67"/>
      <c r="FP5015" s="67"/>
      <c r="FQ5015" s="67"/>
      <c r="FR5015" s="67"/>
      <c r="FS5015" s="67"/>
      <c r="FT5015" s="67"/>
      <c r="FU5015" s="67"/>
      <c r="FV5015" s="67"/>
      <c r="FW5015" s="67"/>
      <c r="FX5015" s="67"/>
      <c r="FY5015" s="67"/>
      <c r="FZ5015" s="67"/>
      <c r="GA5015" s="67"/>
      <c r="GB5015" s="67"/>
      <c r="GC5015" s="67"/>
      <c r="GD5015" s="67"/>
      <c r="GE5015" s="67"/>
      <c r="GF5015" s="67"/>
      <c r="GG5015" s="67"/>
      <c r="GH5015" s="67"/>
      <c r="GI5015" s="67"/>
      <c r="GJ5015" s="67"/>
      <c r="GK5015" s="67"/>
      <c r="GL5015" s="67"/>
      <c r="GM5015" s="67"/>
      <c r="GN5015" s="292"/>
      <c r="GO5015" s="292"/>
      <c r="GP5015" s="292" t="s">
        <v>7494</v>
      </c>
      <c r="GQ5015" s="67"/>
      <c r="GR5015" s="67"/>
      <c r="GS5015" s="67"/>
      <c r="GT5015" s="67"/>
      <c r="GU5015" s="67"/>
      <c r="GV5015" s="67"/>
      <c r="GW5015" s="67"/>
      <c r="GX5015" s="67"/>
      <c r="GY5015" s="67"/>
      <c r="GZ5015" s="67"/>
      <c r="HA5015" s="67"/>
      <c r="HB5015" s="67"/>
      <c r="HC5015" s="67"/>
      <c r="HD5015" s="67"/>
      <c r="HE5015" s="67"/>
      <c r="HF5015" s="67"/>
      <c r="HG5015" s="67"/>
      <c r="HH5015" s="67"/>
      <c r="HI5015" s="67"/>
      <c r="HJ5015" s="67"/>
      <c r="HK5015" s="67"/>
      <c r="HL5015" s="67"/>
      <c r="HM5015" s="67"/>
      <c r="HN5015" s="67"/>
      <c r="HO5015" s="67"/>
      <c r="HP5015" s="67"/>
      <c r="HQ5015" s="67"/>
      <c r="HR5015" s="67"/>
      <c r="HS5015" s="67"/>
      <c r="HT5015" s="67"/>
      <c r="HU5015" s="67"/>
      <c r="HV5015" s="67"/>
      <c r="HW5015" s="67"/>
      <c r="HX5015" s="67"/>
      <c r="HY5015" s="67"/>
      <c r="HZ5015" s="67"/>
      <c r="IA5015" s="67"/>
      <c r="IB5015" s="67"/>
      <c r="IC5015" s="67"/>
      <c r="ID5015" s="67"/>
      <c r="IE5015" s="67"/>
      <c r="IF5015" s="67"/>
      <c r="IG5015" s="67"/>
      <c r="IH5015" s="67"/>
      <c r="II5015" s="67"/>
      <c r="IJ5015" s="67"/>
      <c r="IK5015" s="67"/>
      <c r="IL5015" s="67"/>
      <c r="IM5015" s="67"/>
      <c r="IN5015" s="67"/>
      <c r="IO5015" s="67"/>
      <c r="IP5015" s="67"/>
      <c r="IQ5015" s="67"/>
      <c r="IR5015" s="67"/>
      <c r="IS5015" s="67"/>
      <c r="IT5015" s="67"/>
      <c r="IU5015" s="67"/>
      <c r="IV5015" s="67"/>
      <c r="IW5015" s="67"/>
      <c r="IX5015" s="67"/>
      <c r="IY5015" s="67"/>
      <c r="IZ5015" s="67"/>
      <c r="JA5015" s="67"/>
      <c r="JB5015" s="67"/>
      <c r="JC5015" s="67"/>
      <c r="JD5015" s="67"/>
      <c r="JE5015" s="67"/>
      <c r="JF5015" s="67"/>
      <c r="JG5015" s="67"/>
      <c r="JH5015" s="67"/>
      <c r="JI5015" s="67"/>
      <c r="JJ5015" s="67"/>
      <c r="JK5015" s="67"/>
      <c r="JL5015" s="67"/>
      <c r="JM5015" s="67"/>
      <c r="JN5015" s="67"/>
      <c r="JO5015" s="67"/>
      <c r="JP5015" s="67"/>
      <c r="JQ5015" s="67"/>
      <c r="JR5015" s="67"/>
      <c r="JS5015" s="67"/>
      <c r="JT5015" s="67">
        <v>99999</v>
      </c>
      <c r="JU5015" s="58" t="s">
        <v>5964</v>
      </c>
      <c r="JV5015" s="58"/>
      <c r="JW5015" s="58"/>
    </row>
    <row r="5016" spans="1:283" s="23" customFormat="1" x14ac:dyDescent="0.25">
      <c r="A5016" s="55">
        <v>5015</v>
      </c>
      <c r="B5016" s="12" t="s">
        <v>7067</v>
      </c>
      <c r="C5016" s="156">
        <v>254</v>
      </c>
      <c r="D5016" s="58" t="s">
        <v>4991</v>
      </c>
      <c r="E5016" s="160" t="str">
        <f>G5016</f>
        <v>Mulla et al 1992_footslope</v>
      </c>
      <c r="F5016" s="160"/>
      <c r="G5016" s="60" t="s">
        <v>4737</v>
      </c>
      <c r="H5016" s="58">
        <v>1992</v>
      </c>
      <c r="I5016" s="58" t="s">
        <v>5953</v>
      </c>
      <c r="J5016" s="58" t="s">
        <v>397</v>
      </c>
      <c r="K5016" s="63" t="s">
        <v>5091</v>
      </c>
      <c r="L5016" s="58" t="s">
        <v>2737</v>
      </c>
      <c r="M5016" s="94">
        <v>47.66</v>
      </c>
      <c r="N5016" s="94">
        <v>-117.43</v>
      </c>
      <c r="O5016" s="94">
        <v>536</v>
      </c>
      <c r="P5016" s="58"/>
      <c r="Q5016" s="244"/>
      <c r="R5016" s="58"/>
      <c r="S5016" s="245"/>
      <c r="T5016" s="58"/>
      <c r="U5016" s="58"/>
      <c r="V5016" s="244">
        <v>39</v>
      </c>
      <c r="W5016" s="174"/>
      <c r="X5016" s="174"/>
      <c r="Y5016" s="58" t="s">
        <v>5951</v>
      </c>
      <c r="Z5016" s="244" t="s">
        <v>1349</v>
      </c>
      <c r="AA5016" s="245">
        <v>15</v>
      </c>
      <c r="AB5016" s="67"/>
      <c r="AC5016" s="67"/>
      <c r="AD5016" s="94"/>
      <c r="AE5016" s="94">
        <v>16.2</v>
      </c>
      <c r="AF5016" s="94">
        <v>67.599999999999994</v>
      </c>
      <c r="AG5016" s="245">
        <v>16.2</v>
      </c>
      <c r="AH5016" s="58" t="s">
        <v>6378</v>
      </c>
      <c r="AI5016" s="169"/>
      <c r="AJ5016" s="94"/>
      <c r="AK5016" s="94"/>
      <c r="AL5016" s="58"/>
      <c r="AM5016" s="58"/>
      <c r="AN5016" s="186"/>
      <c r="AO5016" s="185" t="s">
        <v>7494</v>
      </c>
      <c r="AP5016" s="58"/>
      <c r="AQ5016" s="58"/>
      <c r="AR5016" s="58"/>
      <c r="AS5016" s="246" t="s">
        <v>5133</v>
      </c>
      <c r="AT5016" s="247">
        <v>1</v>
      </c>
      <c r="AU5016" s="181" t="s">
        <v>7494</v>
      </c>
      <c r="AV5016" s="185" t="s">
        <v>176</v>
      </c>
      <c r="AW5016" s="244">
        <v>1</v>
      </c>
      <c r="AX5016" s="185" t="s">
        <v>176</v>
      </c>
      <c r="AY5016" s="244"/>
      <c r="AZ5016" s="58"/>
      <c r="BA5016" s="58"/>
      <c r="BB5016" s="58"/>
      <c r="BC5016" s="58"/>
      <c r="BD5016" s="58"/>
      <c r="BE5016" s="236" t="s">
        <v>5153</v>
      </c>
      <c r="BF5016" s="191" t="s">
        <v>176</v>
      </c>
      <c r="BG5016" s="191" t="s">
        <v>176</v>
      </c>
      <c r="BH5016" s="236" t="s">
        <v>5153</v>
      </c>
      <c r="BI5016" s="191" t="s">
        <v>176</v>
      </c>
      <c r="BJ5016" s="58" t="str">
        <f>IF(BE5016=BH5016,"No","yes")</f>
        <v>No</v>
      </c>
      <c r="BK5016" s="58" t="s">
        <v>6334</v>
      </c>
      <c r="BL5016" s="58"/>
      <c r="BM5016" s="237"/>
      <c r="BN5016" s="244">
        <v>45</v>
      </c>
      <c r="BO5016" s="244">
        <v>45</v>
      </c>
      <c r="BP5016" s="58"/>
      <c r="BQ5016" s="58"/>
      <c r="BR5016" s="58"/>
      <c r="BS5016" s="58"/>
      <c r="BT5016" s="58"/>
      <c r="BU5016" s="58"/>
      <c r="BV5016" s="58" t="s">
        <v>5959</v>
      </c>
      <c r="BW5016" s="67"/>
      <c r="BX5016" s="67"/>
      <c r="BY5016" s="67"/>
      <c r="BZ5016" s="67"/>
      <c r="CA5016" s="67"/>
      <c r="CB5016" s="70"/>
      <c r="CC5016" s="70"/>
      <c r="CD5016" s="70"/>
      <c r="CE5016" s="67"/>
      <c r="CF5016" s="67"/>
      <c r="CG5016" s="67"/>
      <c r="CH5016" s="245"/>
      <c r="CI5016" s="245"/>
      <c r="CJ5016" s="67"/>
      <c r="CK5016" s="67"/>
      <c r="CL5016" s="67"/>
      <c r="CM5016" s="242"/>
      <c r="CN5016" s="242"/>
      <c r="CO5016" s="242"/>
      <c r="CP5016" s="242"/>
      <c r="CQ5016" s="242"/>
      <c r="CR5016" s="242"/>
      <c r="CS5016" s="242"/>
      <c r="CT5016" s="242"/>
      <c r="CU5016" s="242"/>
      <c r="CV5016" s="242"/>
      <c r="CW5016" s="242"/>
      <c r="CX5016" s="242"/>
      <c r="CY5016" s="242"/>
      <c r="CZ5016" s="242"/>
      <c r="DA5016" s="67"/>
      <c r="DB5016" s="67"/>
      <c r="DC5016" s="67"/>
      <c r="DD5016" s="67"/>
      <c r="DE5016" s="67"/>
      <c r="DF5016" s="67"/>
      <c r="DG5016" s="67"/>
      <c r="DH5016" s="67"/>
      <c r="DI5016" s="67"/>
      <c r="DJ5016" s="67"/>
      <c r="DK5016" s="67"/>
      <c r="DL5016" s="67"/>
      <c r="DM5016" s="67"/>
      <c r="DN5016" s="67"/>
      <c r="DO5016" s="67"/>
      <c r="DP5016" s="67"/>
      <c r="DQ5016" s="166"/>
      <c r="DR5016" s="166"/>
      <c r="DS5016" s="163"/>
      <c r="DT5016" s="163"/>
      <c r="DU5016" s="67"/>
      <c r="DV5016" s="67"/>
      <c r="DW5016" s="67"/>
      <c r="DX5016" s="67"/>
      <c r="DY5016" s="67"/>
      <c r="DZ5016" s="67"/>
      <c r="EA5016" s="67"/>
      <c r="EB5016" s="67"/>
      <c r="EC5016" s="67"/>
      <c r="ED5016" s="67"/>
      <c r="EE5016" s="67"/>
      <c r="EF5016" s="67"/>
      <c r="EG5016" s="67"/>
      <c r="EH5016" s="67"/>
      <c r="EI5016" s="67"/>
      <c r="EJ5016" s="67"/>
      <c r="EK5016" s="94">
        <v>65</v>
      </c>
      <c r="EL5016" s="94">
        <v>74</v>
      </c>
      <c r="EM5016" s="67"/>
      <c r="EN5016" s="67"/>
      <c r="EO5016" s="67" t="s">
        <v>5963</v>
      </c>
      <c r="EP5016" s="67"/>
      <c r="EQ5016" s="67"/>
      <c r="ER5016" s="67"/>
      <c r="ES5016" s="67"/>
      <c r="ET5016" s="67"/>
      <c r="EU5016" s="67"/>
      <c r="EV5016" s="67"/>
      <c r="EW5016" s="67"/>
      <c r="EX5016" s="67"/>
      <c r="EY5016" s="67"/>
      <c r="EZ5016" s="67"/>
      <c r="FA5016" s="67"/>
      <c r="FB5016" s="67"/>
      <c r="FC5016" s="67"/>
      <c r="FD5016" s="67"/>
      <c r="FE5016" s="67"/>
      <c r="FF5016" s="67"/>
      <c r="FG5016" s="67"/>
      <c r="FH5016" s="67"/>
      <c r="FI5016" s="67"/>
      <c r="FJ5016" s="67"/>
      <c r="FK5016" s="67"/>
      <c r="FL5016" s="67"/>
      <c r="FM5016" s="67"/>
      <c r="FN5016" s="67"/>
      <c r="FO5016" s="67"/>
      <c r="FP5016" s="67"/>
      <c r="FQ5016" s="67"/>
      <c r="FR5016" s="67"/>
      <c r="FS5016" s="67"/>
      <c r="FT5016" s="67"/>
      <c r="FU5016" s="67"/>
      <c r="FV5016" s="67"/>
      <c r="FW5016" s="67"/>
      <c r="FX5016" s="67"/>
      <c r="FY5016" s="67"/>
      <c r="FZ5016" s="67"/>
      <c r="GA5016" s="67"/>
      <c r="GB5016" s="67"/>
      <c r="GC5016" s="67"/>
      <c r="GD5016" s="67"/>
      <c r="GE5016" s="67"/>
      <c r="GF5016" s="67"/>
      <c r="GG5016" s="67"/>
      <c r="GH5016" s="67"/>
      <c r="GI5016" s="67"/>
      <c r="GJ5016" s="67"/>
      <c r="GK5016" s="67"/>
      <c r="GL5016" s="67"/>
      <c r="GM5016" s="67"/>
      <c r="GN5016" s="292"/>
      <c r="GO5016" s="292"/>
      <c r="GP5016" s="292" t="s">
        <v>7494</v>
      </c>
      <c r="GQ5016" s="67"/>
      <c r="GR5016" s="67"/>
      <c r="GS5016" s="67"/>
      <c r="GT5016" s="67"/>
      <c r="GU5016" s="67"/>
      <c r="GV5016" s="67"/>
      <c r="GW5016" s="67"/>
      <c r="GX5016" s="67"/>
      <c r="GY5016" s="67"/>
      <c r="GZ5016" s="67"/>
      <c r="HA5016" s="67"/>
      <c r="HB5016" s="67"/>
      <c r="HC5016" s="67"/>
      <c r="HD5016" s="67"/>
      <c r="HE5016" s="67"/>
      <c r="HF5016" s="67"/>
      <c r="HG5016" s="67"/>
      <c r="HH5016" s="67"/>
      <c r="HI5016" s="67"/>
      <c r="HJ5016" s="67"/>
      <c r="HK5016" s="67"/>
      <c r="HL5016" s="67"/>
      <c r="HM5016" s="67"/>
      <c r="HN5016" s="67"/>
      <c r="HO5016" s="67"/>
      <c r="HP5016" s="67"/>
      <c r="HQ5016" s="67"/>
      <c r="HR5016" s="67"/>
      <c r="HS5016" s="67"/>
      <c r="HT5016" s="67"/>
      <c r="HU5016" s="67"/>
      <c r="HV5016" s="67"/>
      <c r="HW5016" s="67"/>
      <c r="HX5016" s="67"/>
      <c r="HY5016" s="67"/>
      <c r="HZ5016" s="67"/>
      <c r="IA5016" s="67"/>
      <c r="IB5016" s="67"/>
      <c r="IC5016" s="67"/>
      <c r="ID5016" s="67"/>
      <c r="IE5016" s="67"/>
      <c r="IF5016" s="67"/>
      <c r="IG5016" s="67"/>
      <c r="IH5016" s="67"/>
      <c r="II5016" s="67"/>
      <c r="IJ5016" s="67"/>
      <c r="IK5016" s="67"/>
      <c r="IL5016" s="67"/>
      <c r="IM5016" s="67"/>
      <c r="IN5016" s="67"/>
      <c r="IO5016" s="67"/>
      <c r="IP5016" s="67"/>
      <c r="IQ5016" s="67"/>
      <c r="IR5016" s="67"/>
      <c r="IS5016" s="67"/>
      <c r="IT5016" s="67"/>
      <c r="IU5016" s="67"/>
      <c r="IV5016" s="67"/>
      <c r="IW5016" s="67"/>
      <c r="IX5016" s="67"/>
      <c r="IY5016" s="67"/>
      <c r="IZ5016" s="67"/>
      <c r="JA5016" s="67"/>
      <c r="JB5016" s="67"/>
      <c r="JC5016" s="67"/>
      <c r="JD5016" s="67"/>
      <c r="JE5016" s="67"/>
      <c r="JF5016" s="67"/>
      <c r="JG5016" s="67"/>
      <c r="JH5016" s="67"/>
      <c r="JI5016" s="67"/>
      <c r="JJ5016" s="67"/>
      <c r="JK5016" s="67"/>
      <c r="JL5016" s="67"/>
      <c r="JM5016" s="67"/>
      <c r="JN5016" s="67"/>
      <c r="JO5016" s="67"/>
      <c r="JP5016" s="67"/>
      <c r="JQ5016" s="67"/>
      <c r="JR5016" s="67"/>
      <c r="JS5016" s="67"/>
      <c r="JT5016" s="67">
        <v>99999</v>
      </c>
      <c r="JU5016" s="58" t="s">
        <v>5964</v>
      </c>
      <c r="JV5016" s="58"/>
      <c r="JW5016" s="58"/>
    </row>
    <row r="5017" spans="1:283" s="23" customFormat="1" x14ac:dyDescent="0.25">
      <c r="A5017" s="55">
        <v>5016</v>
      </c>
      <c r="B5017" s="12" t="s">
        <v>7067</v>
      </c>
      <c r="C5017" s="156">
        <v>254</v>
      </c>
      <c r="D5017" s="58" t="s">
        <v>4989</v>
      </c>
      <c r="E5017" s="160" t="str">
        <f>G5017</f>
        <v>Mulla et al 1992_topslope</v>
      </c>
      <c r="F5017" s="160"/>
      <c r="G5017" s="60" t="s">
        <v>4736</v>
      </c>
      <c r="H5017" s="58">
        <v>1992</v>
      </c>
      <c r="I5017" s="58" t="s">
        <v>5953</v>
      </c>
      <c r="J5017" s="58" t="s">
        <v>397</v>
      </c>
      <c r="K5017" s="63" t="s">
        <v>5091</v>
      </c>
      <c r="L5017" s="58" t="s">
        <v>2737</v>
      </c>
      <c r="M5017" s="94">
        <v>47.66</v>
      </c>
      <c r="N5017" s="94">
        <v>-117.43</v>
      </c>
      <c r="O5017" s="94">
        <v>536</v>
      </c>
      <c r="P5017" s="58"/>
      <c r="Q5017" s="244"/>
      <c r="R5017" s="58"/>
      <c r="S5017" s="245"/>
      <c r="T5017" s="58"/>
      <c r="U5017" s="58"/>
      <c r="V5017" s="244">
        <v>39</v>
      </c>
      <c r="W5017" s="174"/>
      <c r="X5017" s="174"/>
      <c r="Y5017" s="58" t="s">
        <v>5951</v>
      </c>
      <c r="Z5017" s="244" t="s">
        <v>1349</v>
      </c>
      <c r="AA5017" s="245">
        <v>15</v>
      </c>
      <c r="AB5017" s="67"/>
      <c r="AC5017" s="67"/>
      <c r="AD5017" s="94"/>
      <c r="AE5017" s="94">
        <v>15.3</v>
      </c>
      <c r="AF5017" s="94">
        <v>59.9</v>
      </c>
      <c r="AG5017" s="245">
        <v>24.7</v>
      </c>
      <c r="AH5017" s="58" t="s">
        <v>6378</v>
      </c>
      <c r="AI5017" s="169"/>
      <c r="AJ5017" s="94"/>
      <c r="AK5017" s="94"/>
      <c r="AL5017" s="58"/>
      <c r="AM5017" s="58"/>
      <c r="AN5017" s="186"/>
      <c r="AO5017" s="185" t="s">
        <v>7494</v>
      </c>
      <c r="AP5017" s="58"/>
      <c r="AQ5017" s="58"/>
      <c r="AR5017" s="58"/>
      <c r="AS5017" s="246" t="s">
        <v>5133</v>
      </c>
      <c r="AT5017" s="247">
        <v>1</v>
      </c>
      <c r="AU5017" s="181" t="s">
        <v>7494</v>
      </c>
      <c r="AV5017" s="185" t="s">
        <v>176</v>
      </c>
      <c r="AW5017" s="244">
        <v>1</v>
      </c>
      <c r="AX5017" s="185" t="s">
        <v>176</v>
      </c>
      <c r="AY5017" s="244"/>
      <c r="AZ5017" s="58"/>
      <c r="BA5017" s="58"/>
      <c r="BB5017" s="58"/>
      <c r="BC5017" s="58"/>
      <c r="BD5017" s="58"/>
      <c r="BE5017" s="236" t="s">
        <v>5153</v>
      </c>
      <c r="BF5017" s="191" t="s">
        <v>176</v>
      </c>
      <c r="BG5017" s="191" t="s">
        <v>176</v>
      </c>
      <c r="BH5017" s="236" t="s">
        <v>5153</v>
      </c>
      <c r="BI5017" s="191" t="s">
        <v>176</v>
      </c>
      <c r="BJ5017" s="58" t="str">
        <f>IF(BE5017=BH5017,"No","yes")</f>
        <v>No</v>
      </c>
      <c r="BK5017" s="58" t="s">
        <v>6334</v>
      </c>
      <c r="BL5017" s="58"/>
      <c r="BM5017" s="237"/>
      <c r="BN5017" s="244">
        <v>45</v>
      </c>
      <c r="BO5017" s="244">
        <v>45</v>
      </c>
      <c r="BP5017" s="58"/>
      <c r="BQ5017" s="58"/>
      <c r="BR5017" s="58"/>
      <c r="BS5017" s="58"/>
      <c r="BT5017" s="58"/>
      <c r="BU5017" s="58"/>
      <c r="BV5017" s="58" t="s">
        <v>5960</v>
      </c>
      <c r="BW5017" s="67"/>
      <c r="BX5017" s="67"/>
      <c r="BY5017" s="67"/>
      <c r="BZ5017" s="67"/>
      <c r="CA5017" s="67"/>
      <c r="CB5017" s="70"/>
      <c r="CC5017" s="70"/>
      <c r="CD5017" s="70"/>
      <c r="CE5017" s="67"/>
      <c r="CF5017" s="67"/>
      <c r="CG5017" s="67"/>
      <c r="CH5017" s="245"/>
      <c r="CI5017" s="245"/>
      <c r="CJ5017" s="67"/>
      <c r="CK5017" s="67"/>
      <c r="CL5017" s="67"/>
      <c r="CM5017" s="242"/>
      <c r="CN5017" s="242"/>
      <c r="CO5017" s="242"/>
      <c r="CP5017" s="242"/>
      <c r="CQ5017" s="242"/>
      <c r="CR5017" s="242"/>
      <c r="CS5017" s="242"/>
      <c r="CT5017" s="242"/>
      <c r="CU5017" s="242"/>
      <c r="CV5017" s="242"/>
      <c r="CW5017" s="242"/>
      <c r="CX5017" s="242"/>
      <c r="CY5017" s="242"/>
      <c r="CZ5017" s="242"/>
      <c r="DA5017" s="67"/>
      <c r="DB5017" s="67"/>
      <c r="DC5017" s="67"/>
      <c r="DD5017" s="67"/>
      <c r="DE5017" s="67"/>
      <c r="DF5017" s="67"/>
      <c r="DG5017" s="67"/>
      <c r="DH5017" s="67"/>
      <c r="DI5017" s="67"/>
      <c r="DJ5017" s="67"/>
      <c r="DK5017" s="67"/>
      <c r="DL5017" s="67"/>
      <c r="DM5017" s="67"/>
      <c r="DN5017" s="67"/>
      <c r="DO5017" s="67"/>
      <c r="DP5017" s="67"/>
      <c r="DQ5017" s="166"/>
      <c r="DR5017" s="166"/>
      <c r="DS5017" s="163"/>
      <c r="DT5017" s="163"/>
      <c r="DU5017" s="67"/>
      <c r="DV5017" s="67"/>
      <c r="DW5017" s="67"/>
      <c r="DX5017" s="67"/>
      <c r="DY5017" s="67"/>
      <c r="DZ5017" s="67"/>
      <c r="EA5017" s="67"/>
      <c r="EB5017" s="67"/>
      <c r="EC5017" s="67"/>
      <c r="ED5017" s="67"/>
      <c r="EE5017" s="67"/>
      <c r="EF5017" s="67"/>
      <c r="EG5017" s="67"/>
      <c r="EH5017" s="67"/>
      <c r="EI5017" s="67"/>
      <c r="EJ5017" s="67"/>
      <c r="EK5017" s="94">
        <v>78</v>
      </c>
      <c r="EL5017" s="94">
        <v>73</v>
      </c>
      <c r="EM5017" s="67"/>
      <c r="EN5017" s="67"/>
      <c r="EO5017" s="67" t="s">
        <v>5963</v>
      </c>
      <c r="EP5017" s="67"/>
      <c r="EQ5017" s="67"/>
      <c r="ER5017" s="67"/>
      <c r="ES5017" s="67"/>
      <c r="ET5017" s="67"/>
      <c r="EU5017" s="67"/>
      <c r="EV5017" s="67"/>
      <c r="EW5017" s="67"/>
      <c r="EX5017" s="67"/>
      <c r="EY5017" s="67"/>
      <c r="EZ5017" s="67"/>
      <c r="FA5017" s="67"/>
      <c r="FB5017" s="67"/>
      <c r="FC5017" s="67"/>
      <c r="FD5017" s="67"/>
      <c r="FE5017" s="67"/>
      <c r="FF5017" s="67"/>
      <c r="FG5017" s="67"/>
      <c r="FH5017" s="67"/>
      <c r="FI5017" s="67"/>
      <c r="FJ5017" s="67"/>
      <c r="FK5017" s="67"/>
      <c r="FL5017" s="67"/>
      <c r="FM5017" s="67"/>
      <c r="FN5017" s="67"/>
      <c r="FO5017" s="67"/>
      <c r="FP5017" s="67"/>
      <c r="FQ5017" s="67"/>
      <c r="FR5017" s="67"/>
      <c r="FS5017" s="67"/>
      <c r="FT5017" s="67"/>
      <c r="FU5017" s="67"/>
      <c r="FV5017" s="67"/>
      <c r="FW5017" s="67"/>
      <c r="FX5017" s="67"/>
      <c r="FY5017" s="67"/>
      <c r="FZ5017" s="67"/>
      <c r="GA5017" s="67"/>
      <c r="GB5017" s="67"/>
      <c r="GC5017" s="67"/>
      <c r="GD5017" s="67"/>
      <c r="GE5017" s="67"/>
      <c r="GF5017" s="67"/>
      <c r="GG5017" s="67"/>
      <c r="GH5017" s="67"/>
      <c r="GI5017" s="67"/>
      <c r="GJ5017" s="67"/>
      <c r="GK5017" s="67"/>
      <c r="GL5017" s="67"/>
      <c r="GM5017" s="67"/>
      <c r="GN5017" s="292"/>
      <c r="GO5017" s="292"/>
      <c r="GP5017" s="292" t="s">
        <v>7494</v>
      </c>
      <c r="GQ5017" s="67"/>
      <c r="GR5017" s="67"/>
      <c r="GS5017" s="67"/>
      <c r="GT5017" s="67"/>
      <c r="GU5017" s="67"/>
      <c r="GV5017" s="67"/>
      <c r="GW5017" s="67"/>
      <c r="GX5017" s="67"/>
      <c r="GY5017" s="67"/>
      <c r="GZ5017" s="67"/>
      <c r="HA5017" s="67"/>
      <c r="HB5017" s="67"/>
      <c r="HC5017" s="67"/>
      <c r="HD5017" s="67"/>
      <c r="HE5017" s="67"/>
      <c r="HF5017" s="67"/>
      <c r="HG5017" s="67"/>
      <c r="HH5017" s="67"/>
      <c r="HI5017" s="67"/>
      <c r="HJ5017" s="67"/>
      <c r="HK5017" s="67"/>
      <c r="HL5017" s="67"/>
      <c r="HM5017" s="67"/>
      <c r="HN5017" s="67"/>
      <c r="HO5017" s="67"/>
      <c r="HP5017" s="67"/>
      <c r="HQ5017" s="67"/>
      <c r="HR5017" s="67"/>
      <c r="HS5017" s="67"/>
      <c r="HT5017" s="67"/>
      <c r="HU5017" s="67"/>
      <c r="HV5017" s="67"/>
      <c r="HW5017" s="67"/>
      <c r="HX5017" s="67"/>
      <c r="HY5017" s="67"/>
      <c r="HZ5017" s="67"/>
      <c r="IA5017" s="67"/>
      <c r="IB5017" s="67"/>
      <c r="IC5017" s="67"/>
      <c r="ID5017" s="67"/>
      <c r="IE5017" s="67"/>
      <c r="IF5017" s="67"/>
      <c r="IG5017" s="67"/>
      <c r="IH5017" s="67"/>
      <c r="II5017" s="67"/>
      <c r="IJ5017" s="67"/>
      <c r="IK5017" s="67"/>
      <c r="IL5017" s="67"/>
      <c r="IM5017" s="67"/>
      <c r="IN5017" s="67"/>
      <c r="IO5017" s="67"/>
      <c r="IP5017" s="67"/>
      <c r="IQ5017" s="67"/>
      <c r="IR5017" s="67"/>
      <c r="IS5017" s="67"/>
      <c r="IT5017" s="67"/>
      <c r="IU5017" s="67"/>
      <c r="IV5017" s="67"/>
      <c r="IW5017" s="67"/>
      <c r="IX5017" s="67"/>
      <c r="IY5017" s="67"/>
      <c r="IZ5017" s="67"/>
      <c r="JA5017" s="67"/>
      <c r="JB5017" s="67"/>
      <c r="JC5017" s="67"/>
      <c r="JD5017" s="67"/>
      <c r="JE5017" s="67"/>
      <c r="JF5017" s="67"/>
      <c r="JG5017" s="67"/>
      <c r="JH5017" s="67"/>
      <c r="JI5017" s="67"/>
      <c r="JJ5017" s="67"/>
      <c r="JK5017" s="67"/>
      <c r="JL5017" s="67"/>
      <c r="JM5017" s="67"/>
      <c r="JN5017" s="67"/>
      <c r="JO5017" s="67"/>
      <c r="JP5017" s="67"/>
      <c r="JQ5017" s="67"/>
      <c r="JR5017" s="67"/>
      <c r="JS5017" s="67"/>
      <c r="JT5017" s="67">
        <v>99999</v>
      </c>
      <c r="JU5017" s="58" t="s">
        <v>5964</v>
      </c>
      <c r="JV5017" s="58"/>
      <c r="JW5017" s="58"/>
    </row>
    <row r="5018" spans="1:283" s="23" customFormat="1" x14ac:dyDescent="0.25">
      <c r="A5018" s="55">
        <v>5017</v>
      </c>
      <c r="B5018" s="12" t="s">
        <v>7067</v>
      </c>
      <c r="C5018" s="156">
        <v>254</v>
      </c>
      <c r="D5018" s="58" t="s">
        <v>4990</v>
      </c>
      <c r="E5018" s="160" t="str">
        <f>G5018</f>
        <v>Mulla et al 1992_backslope</v>
      </c>
      <c r="F5018" s="160"/>
      <c r="G5018" s="60" t="s">
        <v>4738</v>
      </c>
      <c r="H5018" s="58">
        <v>1992</v>
      </c>
      <c r="I5018" s="58" t="s">
        <v>5953</v>
      </c>
      <c r="J5018" s="58" t="s">
        <v>397</v>
      </c>
      <c r="K5018" s="63" t="s">
        <v>5091</v>
      </c>
      <c r="L5018" s="58" t="s">
        <v>2737</v>
      </c>
      <c r="M5018" s="94">
        <v>47.66</v>
      </c>
      <c r="N5018" s="94">
        <v>-117.43</v>
      </c>
      <c r="O5018" s="94">
        <v>536</v>
      </c>
      <c r="P5018" s="58"/>
      <c r="Q5018" s="244"/>
      <c r="R5018" s="58"/>
      <c r="S5018" s="245"/>
      <c r="T5018" s="58"/>
      <c r="U5018" s="58"/>
      <c r="V5018" s="244">
        <v>39</v>
      </c>
      <c r="W5018" s="174"/>
      <c r="X5018" s="174"/>
      <c r="Y5018" s="58" t="s">
        <v>5951</v>
      </c>
      <c r="Z5018" s="244" t="s">
        <v>1349</v>
      </c>
      <c r="AA5018" s="245">
        <v>15</v>
      </c>
      <c r="AB5018" s="67"/>
      <c r="AC5018" s="67"/>
      <c r="AD5018" s="94"/>
      <c r="AE5018" s="94">
        <v>14</v>
      </c>
      <c r="AF5018" s="94">
        <v>66.3</v>
      </c>
      <c r="AG5018" s="245">
        <v>19.7</v>
      </c>
      <c r="AH5018" s="58" t="s">
        <v>6378</v>
      </c>
      <c r="AI5018" s="169"/>
      <c r="AJ5018" s="94"/>
      <c r="AK5018" s="94"/>
      <c r="AL5018" s="58"/>
      <c r="AM5018" s="58"/>
      <c r="AN5018" s="186"/>
      <c r="AO5018" s="185" t="s">
        <v>7494</v>
      </c>
      <c r="AP5018" s="58"/>
      <c r="AQ5018" s="58"/>
      <c r="AR5018" s="58"/>
      <c r="AS5018" s="246" t="s">
        <v>5133</v>
      </c>
      <c r="AT5018" s="247">
        <v>1</v>
      </c>
      <c r="AU5018" s="181" t="s">
        <v>7494</v>
      </c>
      <c r="AV5018" s="185" t="s">
        <v>176</v>
      </c>
      <c r="AW5018" s="244">
        <v>1</v>
      </c>
      <c r="AX5018" s="185" t="s">
        <v>176</v>
      </c>
      <c r="AY5018" s="244"/>
      <c r="AZ5018" s="58"/>
      <c r="BA5018" s="58"/>
      <c r="BB5018" s="58"/>
      <c r="BC5018" s="58"/>
      <c r="BD5018" s="58"/>
      <c r="BE5018" s="236" t="s">
        <v>5153</v>
      </c>
      <c r="BF5018" s="191" t="s">
        <v>176</v>
      </c>
      <c r="BG5018" s="191" t="s">
        <v>176</v>
      </c>
      <c r="BH5018" s="236" t="s">
        <v>5153</v>
      </c>
      <c r="BI5018" s="191" t="s">
        <v>176</v>
      </c>
      <c r="BJ5018" s="58" t="str">
        <f>IF(BE5018=BH5018,"No","yes")</f>
        <v>No</v>
      </c>
      <c r="BK5018" s="58" t="s">
        <v>6334</v>
      </c>
      <c r="BL5018" s="58"/>
      <c r="BM5018" s="237"/>
      <c r="BN5018" s="244">
        <v>45</v>
      </c>
      <c r="BO5018" s="244">
        <v>45</v>
      </c>
      <c r="BP5018" s="58"/>
      <c r="BQ5018" s="58"/>
      <c r="BR5018" s="58"/>
      <c r="BS5018" s="58"/>
      <c r="BT5018" s="58"/>
      <c r="BU5018" s="58"/>
      <c r="BV5018" s="58" t="s">
        <v>5961</v>
      </c>
      <c r="BW5018" s="67"/>
      <c r="BX5018" s="67"/>
      <c r="BY5018" s="67"/>
      <c r="BZ5018" s="67"/>
      <c r="CA5018" s="67"/>
      <c r="CB5018" s="70"/>
      <c r="CC5018" s="70"/>
      <c r="CD5018" s="70"/>
      <c r="CE5018" s="67"/>
      <c r="CF5018" s="67"/>
      <c r="CG5018" s="67"/>
      <c r="CH5018" s="245"/>
      <c r="CI5018" s="245"/>
      <c r="CJ5018" s="67"/>
      <c r="CK5018" s="67"/>
      <c r="CL5018" s="67"/>
      <c r="CM5018" s="242"/>
      <c r="CN5018" s="242"/>
      <c r="CO5018" s="242"/>
      <c r="CP5018" s="242"/>
      <c r="CQ5018" s="242"/>
      <c r="CR5018" s="242"/>
      <c r="CS5018" s="242"/>
      <c r="CT5018" s="242"/>
      <c r="CU5018" s="242"/>
      <c r="CV5018" s="242"/>
      <c r="CW5018" s="242"/>
      <c r="CX5018" s="242"/>
      <c r="CY5018" s="242"/>
      <c r="CZ5018" s="242"/>
      <c r="DA5018" s="67"/>
      <c r="DB5018" s="67"/>
      <c r="DC5018" s="67"/>
      <c r="DD5018" s="67"/>
      <c r="DE5018" s="67"/>
      <c r="DF5018" s="67"/>
      <c r="DG5018" s="67"/>
      <c r="DH5018" s="67"/>
      <c r="DI5018" s="67"/>
      <c r="DJ5018" s="67"/>
      <c r="DK5018" s="67"/>
      <c r="DL5018" s="67"/>
      <c r="DM5018" s="67"/>
      <c r="DN5018" s="67"/>
      <c r="DO5018" s="67"/>
      <c r="DP5018" s="67"/>
      <c r="DQ5018" s="166"/>
      <c r="DR5018" s="166"/>
      <c r="DS5018" s="163"/>
      <c r="DT5018" s="163"/>
      <c r="DU5018" s="67"/>
      <c r="DV5018" s="67"/>
      <c r="DW5018" s="67"/>
      <c r="DX5018" s="67"/>
      <c r="DY5018" s="67"/>
      <c r="DZ5018" s="67"/>
      <c r="EA5018" s="67"/>
      <c r="EB5018" s="67"/>
      <c r="EC5018" s="67"/>
      <c r="ED5018" s="67"/>
      <c r="EE5018" s="67"/>
      <c r="EF5018" s="67"/>
      <c r="EG5018" s="67"/>
      <c r="EH5018" s="67"/>
      <c r="EI5018" s="67"/>
      <c r="EJ5018" s="67"/>
      <c r="EK5018" s="94">
        <v>54</v>
      </c>
      <c r="EL5018" s="94">
        <v>61</v>
      </c>
      <c r="EM5018" s="67"/>
      <c r="EN5018" s="67"/>
      <c r="EO5018" s="67" t="s">
        <v>5963</v>
      </c>
      <c r="EP5018" s="67"/>
      <c r="EQ5018" s="67"/>
      <c r="ER5018" s="67"/>
      <c r="ES5018" s="67"/>
      <c r="ET5018" s="67"/>
      <c r="EU5018" s="67"/>
      <c r="EV5018" s="67"/>
      <c r="EW5018" s="67"/>
      <c r="EX5018" s="67"/>
      <c r="EY5018" s="67"/>
      <c r="EZ5018" s="67"/>
      <c r="FA5018" s="67"/>
      <c r="FB5018" s="67"/>
      <c r="FC5018" s="67"/>
      <c r="FD5018" s="67"/>
      <c r="FE5018" s="67"/>
      <c r="FF5018" s="67"/>
      <c r="FG5018" s="67"/>
      <c r="FH5018" s="67"/>
      <c r="FI5018" s="67"/>
      <c r="FJ5018" s="67"/>
      <c r="FK5018" s="67"/>
      <c r="FL5018" s="67"/>
      <c r="FM5018" s="67"/>
      <c r="FN5018" s="67"/>
      <c r="FO5018" s="67"/>
      <c r="FP5018" s="67"/>
      <c r="FQ5018" s="67"/>
      <c r="FR5018" s="67"/>
      <c r="FS5018" s="67"/>
      <c r="FT5018" s="67"/>
      <c r="FU5018" s="67"/>
      <c r="FV5018" s="67"/>
      <c r="FW5018" s="67"/>
      <c r="FX5018" s="67"/>
      <c r="FY5018" s="67"/>
      <c r="FZ5018" s="67"/>
      <c r="GA5018" s="67"/>
      <c r="GB5018" s="67"/>
      <c r="GC5018" s="67"/>
      <c r="GD5018" s="67"/>
      <c r="GE5018" s="67"/>
      <c r="GF5018" s="67"/>
      <c r="GG5018" s="67"/>
      <c r="GH5018" s="67"/>
      <c r="GI5018" s="67"/>
      <c r="GJ5018" s="67"/>
      <c r="GK5018" s="67"/>
      <c r="GL5018" s="67"/>
      <c r="GM5018" s="67"/>
      <c r="GN5018" s="292"/>
      <c r="GO5018" s="292"/>
      <c r="GP5018" s="292" t="s">
        <v>7494</v>
      </c>
      <c r="GQ5018" s="67"/>
      <c r="GR5018" s="67"/>
      <c r="GS5018" s="67"/>
      <c r="GT5018" s="67"/>
      <c r="GU5018" s="67"/>
      <c r="GV5018" s="67"/>
      <c r="GW5018" s="67"/>
      <c r="GX5018" s="67"/>
      <c r="GY5018" s="67"/>
      <c r="GZ5018" s="67"/>
      <c r="HA5018" s="67"/>
      <c r="HB5018" s="67"/>
      <c r="HC5018" s="67"/>
      <c r="HD5018" s="67"/>
      <c r="HE5018" s="67"/>
      <c r="HF5018" s="67"/>
      <c r="HG5018" s="67"/>
      <c r="HH5018" s="67"/>
      <c r="HI5018" s="67"/>
      <c r="HJ5018" s="67"/>
      <c r="HK5018" s="67"/>
      <c r="HL5018" s="67"/>
      <c r="HM5018" s="67"/>
      <c r="HN5018" s="67"/>
      <c r="HO5018" s="67"/>
      <c r="HP5018" s="67"/>
      <c r="HQ5018" s="67"/>
      <c r="HR5018" s="67"/>
      <c r="HS5018" s="67"/>
      <c r="HT5018" s="67"/>
      <c r="HU5018" s="67"/>
      <c r="HV5018" s="67"/>
      <c r="HW5018" s="67"/>
      <c r="HX5018" s="67"/>
      <c r="HY5018" s="67"/>
      <c r="HZ5018" s="67"/>
      <c r="IA5018" s="67"/>
      <c r="IB5018" s="67"/>
      <c r="IC5018" s="67"/>
      <c r="ID5018" s="67"/>
      <c r="IE5018" s="67"/>
      <c r="IF5018" s="67"/>
      <c r="IG5018" s="67"/>
      <c r="IH5018" s="67"/>
      <c r="II5018" s="67"/>
      <c r="IJ5018" s="67"/>
      <c r="IK5018" s="67"/>
      <c r="IL5018" s="67"/>
      <c r="IM5018" s="67"/>
      <c r="IN5018" s="67"/>
      <c r="IO5018" s="67"/>
      <c r="IP5018" s="67"/>
      <c r="IQ5018" s="67"/>
      <c r="IR5018" s="67"/>
      <c r="IS5018" s="67"/>
      <c r="IT5018" s="67"/>
      <c r="IU5018" s="67"/>
      <c r="IV5018" s="67"/>
      <c r="IW5018" s="67"/>
      <c r="IX5018" s="67"/>
      <c r="IY5018" s="67"/>
      <c r="IZ5018" s="67"/>
      <c r="JA5018" s="67"/>
      <c r="JB5018" s="67"/>
      <c r="JC5018" s="67"/>
      <c r="JD5018" s="67"/>
      <c r="JE5018" s="67"/>
      <c r="JF5018" s="67"/>
      <c r="JG5018" s="67"/>
      <c r="JH5018" s="67"/>
      <c r="JI5018" s="67"/>
      <c r="JJ5018" s="67"/>
      <c r="JK5018" s="67"/>
      <c r="JL5018" s="67"/>
      <c r="JM5018" s="67"/>
      <c r="JN5018" s="67"/>
      <c r="JO5018" s="67"/>
      <c r="JP5018" s="67"/>
      <c r="JQ5018" s="67"/>
      <c r="JR5018" s="67"/>
      <c r="JS5018" s="67"/>
      <c r="JT5018" s="67">
        <v>99999</v>
      </c>
      <c r="JU5018" s="58" t="s">
        <v>5964</v>
      </c>
      <c r="JV5018" s="58"/>
      <c r="JW5018" s="58"/>
    </row>
    <row r="5019" spans="1:283" s="23" customFormat="1" x14ac:dyDescent="0.25">
      <c r="A5019" s="55">
        <v>5018</v>
      </c>
      <c r="B5019" s="12" t="s">
        <v>7067</v>
      </c>
      <c r="C5019" s="156">
        <v>254</v>
      </c>
      <c r="D5019" s="58" t="s">
        <v>4991</v>
      </c>
      <c r="E5019" s="160" t="str">
        <f>G5019</f>
        <v>Mulla et al 1992_footslope</v>
      </c>
      <c r="F5019" s="160"/>
      <c r="G5019" s="60" t="s">
        <v>4737</v>
      </c>
      <c r="H5019" s="58">
        <v>1992</v>
      </c>
      <c r="I5019" s="58" t="s">
        <v>5953</v>
      </c>
      <c r="J5019" s="58" t="s">
        <v>397</v>
      </c>
      <c r="K5019" s="63" t="s">
        <v>5091</v>
      </c>
      <c r="L5019" s="58" t="s">
        <v>2737</v>
      </c>
      <c r="M5019" s="94">
        <v>47.66</v>
      </c>
      <c r="N5019" s="94">
        <v>-117.43</v>
      </c>
      <c r="O5019" s="94">
        <v>536</v>
      </c>
      <c r="P5019" s="58"/>
      <c r="Q5019" s="244"/>
      <c r="R5019" s="58"/>
      <c r="S5019" s="245"/>
      <c r="T5019" s="58"/>
      <c r="U5019" s="58"/>
      <c r="V5019" s="244">
        <v>39</v>
      </c>
      <c r="W5019" s="174"/>
      <c r="X5019" s="174"/>
      <c r="Y5019" s="58" t="s">
        <v>5951</v>
      </c>
      <c r="Z5019" s="244" t="s">
        <v>1349</v>
      </c>
      <c r="AA5019" s="245">
        <v>15</v>
      </c>
      <c r="AB5019" s="67"/>
      <c r="AC5019" s="67"/>
      <c r="AD5019" s="94"/>
      <c r="AE5019" s="94">
        <v>16.2</v>
      </c>
      <c r="AF5019" s="94">
        <v>67.599999999999994</v>
      </c>
      <c r="AG5019" s="245">
        <v>16.2</v>
      </c>
      <c r="AH5019" s="58" t="s">
        <v>6378</v>
      </c>
      <c r="AI5019" s="169"/>
      <c r="AJ5019" s="94"/>
      <c r="AK5019" s="94"/>
      <c r="AL5019" s="58"/>
      <c r="AM5019" s="58"/>
      <c r="AN5019" s="186"/>
      <c r="AO5019" s="185" t="s">
        <v>7494</v>
      </c>
      <c r="AP5019" s="58"/>
      <c r="AQ5019" s="58"/>
      <c r="AR5019" s="58"/>
      <c r="AS5019" s="246" t="s">
        <v>5133</v>
      </c>
      <c r="AT5019" s="247">
        <v>1</v>
      </c>
      <c r="AU5019" s="181" t="s">
        <v>7494</v>
      </c>
      <c r="AV5019" s="185" t="s">
        <v>176</v>
      </c>
      <c r="AW5019" s="244">
        <v>1</v>
      </c>
      <c r="AX5019" s="185" t="s">
        <v>176</v>
      </c>
      <c r="AY5019" s="244"/>
      <c r="AZ5019" s="58"/>
      <c r="BA5019" s="58"/>
      <c r="BB5019" s="58"/>
      <c r="BC5019" s="58"/>
      <c r="BD5019" s="58"/>
      <c r="BE5019" s="236" t="s">
        <v>5153</v>
      </c>
      <c r="BF5019" s="191" t="s">
        <v>176</v>
      </c>
      <c r="BG5019" s="191" t="s">
        <v>176</v>
      </c>
      <c r="BH5019" s="236" t="s">
        <v>5153</v>
      </c>
      <c r="BI5019" s="191" t="s">
        <v>176</v>
      </c>
      <c r="BJ5019" s="58" t="str">
        <f>IF(BE5019=BH5019,"No","yes")</f>
        <v>No</v>
      </c>
      <c r="BK5019" s="58" t="s">
        <v>6334</v>
      </c>
      <c r="BL5019" s="58"/>
      <c r="BM5019" s="237"/>
      <c r="BN5019" s="244">
        <v>45</v>
      </c>
      <c r="BO5019" s="244">
        <v>45</v>
      </c>
      <c r="BP5019" s="58"/>
      <c r="BQ5019" s="58"/>
      <c r="BR5019" s="58"/>
      <c r="BS5019" s="58"/>
      <c r="BT5019" s="58"/>
      <c r="BU5019" s="58"/>
      <c r="BV5019" s="58" t="s">
        <v>5962</v>
      </c>
      <c r="BW5019" s="67"/>
      <c r="BX5019" s="67"/>
      <c r="BY5019" s="67"/>
      <c r="BZ5019" s="67"/>
      <c r="CA5019" s="67"/>
      <c r="CB5019" s="70"/>
      <c r="CC5019" s="70"/>
      <c r="CD5019" s="70"/>
      <c r="CE5019" s="67"/>
      <c r="CF5019" s="67"/>
      <c r="CG5019" s="67"/>
      <c r="CH5019" s="245"/>
      <c r="CI5019" s="245"/>
      <c r="CJ5019" s="67"/>
      <c r="CK5019" s="67"/>
      <c r="CL5019" s="67"/>
      <c r="CM5019" s="242"/>
      <c r="CN5019" s="242"/>
      <c r="CO5019" s="242"/>
      <c r="CP5019" s="242"/>
      <c r="CQ5019" s="242"/>
      <c r="CR5019" s="242"/>
      <c r="CS5019" s="242"/>
      <c r="CT5019" s="242"/>
      <c r="CU5019" s="242"/>
      <c r="CV5019" s="242"/>
      <c r="CW5019" s="242"/>
      <c r="CX5019" s="242"/>
      <c r="CY5019" s="242"/>
      <c r="CZ5019" s="242"/>
      <c r="DA5019" s="67"/>
      <c r="DB5019" s="67"/>
      <c r="DC5019" s="67"/>
      <c r="DD5019" s="67"/>
      <c r="DE5019" s="67"/>
      <c r="DF5019" s="67"/>
      <c r="DG5019" s="67"/>
      <c r="DH5019" s="67"/>
      <c r="DI5019" s="67"/>
      <c r="DJ5019" s="67"/>
      <c r="DK5019" s="67"/>
      <c r="DL5019" s="67"/>
      <c r="DM5019" s="67"/>
      <c r="DN5019" s="67"/>
      <c r="DO5019" s="67"/>
      <c r="DP5019" s="67"/>
      <c r="DQ5019" s="166"/>
      <c r="DR5019" s="166"/>
      <c r="DS5019" s="163"/>
      <c r="DT5019" s="163"/>
      <c r="DU5019" s="67"/>
      <c r="DV5019" s="67"/>
      <c r="DW5019" s="67"/>
      <c r="DX5019" s="67"/>
      <c r="DY5019" s="67"/>
      <c r="DZ5019" s="67"/>
      <c r="EA5019" s="67"/>
      <c r="EB5019" s="67"/>
      <c r="EC5019" s="67"/>
      <c r="ED5019" s="67"/>
      <c r="EE5019" s="67"/>
      <c r="EF5019" s="67"/>
      <c r="EG5019" s="67"/>
      <c r="EH5019" s="67"/>
      <c r="EI5019" s="67"/>
      <c r="EJ5019" s="67"/>
      <c r="EK5019" s="94">
        <v>68</v>
      </c>
      <c r="EL5019" s="94">
        <v>60</v>
      </c>
      <c r="EM5019" s="67"/>
      <c r="EN5019" s="67"/>
      <c r="EO5019" s="67" t="s">
        <v>5963</v>
      </c>
      <c r="EP5019" s="67"/>
      <c r="EQ5019" s="67"/>
      <c r="ER5019" s="67"/>
      <c r="ES5019" s="67"/>
      <c r="ET5019" s="67"/>
      <c r="EU5019" s="67"/>
      <c r="EV5019" s="67"/>
      <c r="EW5019" s="67"/>
      <c r="EX5019" s="67"/>
      <c r="EY5019" s="67"/>
      <c r="EZ5019" s="67"/>
      <c r="FA5019" s="67"/>
      <c r="FB5019" s="67"/>
      <c r="FC5019" s="67"/>
      <c r="FD5019" s="67"/>
      <c r="FE5019" s="67"/>
      <c r="FF5019" s="67"/>
      <c r="FG5019" s="67"/>
      <c r="FH5019" s="67"/>
      <c r="FI5019" s="67"/>
      <c r="FJ5019" s="67"/>
      <c r="FK5019" s="67"/>
      <c r="FL5019" s="67"/>
      <c r="FM5019" s="67"/>
      <c r="FN5019" s="67"/>
      <c r="FO5019" s="67"/>
      <c r="FP5019" s="67"/>
      <c r="FQ5019" s="67"/>
      <c r="FR5019" s="67"/>
      <c r="FS5019" s="67"/>
      <c r="FT5019" s="67"/>
      <c r="FU5019" s="67"/>
      <c r="FV5019" s="67"/>
      <c r="FW5019" s="67"/>
      <c r="FX5019" s="67"/>
      <c r="FY5019" s="67"/>
      <c r="FZ5019" s="67"/>
      <c r="GA5019" s="67"/>
      <c r="GB5019" s="67"/>
      <c r="GC5019" s="67"/>
      <c r="GD5019" s="67"/>
      <c r="GE5019" s="67"/>
      <c r="GF5019" s="67"/>
      <c r="GG5019" s="67"/>
      <c r="GH5019" s="67"/>
      <c r="GI5019" s="67"/>
      <c r="GJ5019" s="67"/>
      <c r="GK5019" s="67"/>
      <c r="GL5019" s="67"/>
      <c r="GM5019" s="67"/>
      <c r="GN5019" s="292"/>
      <c r="GO5019" s="292"/>
      <c r="GP5019" s="292" t="s">
        <v>7494</v>
      </c>
      <c r="GQ5019" s="67"/>
      <c r="GR5019" s="67"/>
      <c r="GS5019" s="67"/>
      <c r="GT5019" s="67"/>
      <c r="GU5019" s="67"/>
      <c r="GV5019" s="67"/>
      <c r="GW5019" s="67"/>
      <c r="GX5019" s="67"/>
      <c r="GY5019" s="67"/>
      <c r="GZ5019" s="67"/>
      <c r="HA5019" s="67"/>
      <c r="HB5019" s="67"/>
      <c r="HC5019" s="67"/>
      <c r="HD5019" s="67"/>
      <c r="HE5019" s="67"/>
      <c r="HF5019" s="67"/>
      <c r="HG5019" s="67"/>
      <c r="HH5019" s="67"/>
      <c r="HI5019" s="67"/>
      <c r="HJ5019" s="67"/>
      <c r="HK5019" s="67"/>
      <c r="HL5019" s="67"/>
      <c r="HM5019" s="67"/>
      <c r="HN5019" s="67"/>
      <c r="HO5019" s="67"/>
      <c r="HP5019" s="67"/>
      <c r="HQ5019" s="67"/>
      <c r="HR5019" s="67"/>
      <c r="HS5019" s="67"/>
      <c r="HT5019" s="67"/>
      <c r="HU5019" s="67"/>
      <c r="HV5019" s="67"/>
      <c r="HW5019" s="67"/>
      <c r="HX5019" s="67"/>
      <c r="HY5019" s="67"/>
      <c r="HZ5019" s="67"/>
      <c r="IA5019" s="67"/>
      <c r="IB5019" s="67"/>
      <c r="IC5019" s="67"/>
      <c r="ID5019" s="67"/>
      <c r="IE5019" s="67"/>
      <c r="IF5019" s="67"/>
      <c r="IG5019" s="67"/>
      <c r="IH5019" s="67"/>
      <c r="II5019" s="67"/>
      <c r="IJ5019" s="67"/>
      <c r="IK5019" s="67"/>
      <c r="IL5019" s="67"/>
      <c r="IM5019" s="67"/>
      <c r="IN5019" s="67"/>
      <c r="IO5019" s="67"/>
      <c r="IP5019" s="67"/>
      <c r="IQ5019" s="67"/>
      <c r="IR5019" s="67"/>
      <c r="IS5019" s="67"/>
      <c r="IT5019" s="67"/>
      <c r="IU5019" s="67"/>
      <c r="IV5019" s="67"/>
      <c r="IW5019" s="67"/>
      <c r="IX5019" s="67"/>
      <c r="IY5019" s="67"/>
      <c r="IZ5019" s="67"/>
      <c r="JA5019" s="67"/>
      <c r="JB5019" s="67"/>
      <c r="JC5019" s="67"/>
      <c r="JD5019" s="67"/>
      <c r="JE5019" s="67"/>
      <c r="JF5019" s="67"/>
      <c r="JG5019" s="67"/>
      <c r="JH5019" s="67"/>
      <c r="JI5019" s="67"/>
      <c r="JJ5019" s="67"/>
      <c r="JK5019" s="67"/>
      <c r="JL5019" s="67"/>
      <c r="JM5019" s="67"/>
      <c r="JN5019" s="67"/>
      <c r="JO5019" s="67"/>
      <c r="JP5019" s="67"/>
      <c r="JQ5019" s="67"/>
      <c r="JR5019" s="67"/>
      <c r="JS5019" s="67"/>
      <c r="JT5019" s="67">
        <v>99999</v>
      </c>
      <c r="JU5019" s="58" t="s">
        <v>5964</v>
      </c>
      <c r="JV5019" s="58"/>
      <c r="JW5019" s="58"/>
    </row>
    <row r="5020" spans="1:283" s="23" customFormat="1" x14ac:dyDescent="0.25">
      <c r="A5020" s="55">
        <v>5019</v>
      </c>
      <c r="B5020" s="12" t="s">
        <v>7067</v>
      </c>
      <c r="C5020" s="156">
        <v>255</v>
      </c>
      <c r="D5020" s="58" t="s">
        <v>4992</v>
      </c>
      <c r="E5020" s="160" t="str">
        <f>G5020</f>
        <v>Murata &amp; Goh, 1997_arable</v>
      </c>
      <c r="F5020" s="160"/>
      <c r="G5020" s="60" t="s">
        <v>4735</v>
      </c>
      <c r="H5020" s="58">
        <v>1997</v>
      </c>
      <c r="I5020" s="58" t="s">
        <v>2905</v>
      </c>
      <c r="J5020" s="243" t="s">
        <v>2176</v>
      </c>
      <c r="K5020" s="63" t="s">
        <v>5090</v>
      </c>
      <c r="L5020" s="58" t="s">
        <v>5335</v>
      </c>
      <c r="M5020" s="94">
        <v>-43.76</v>
      </c>
      <c r="N5020" s="94">
        <v>172.02</v>
      </c>
      <c r="O5020" s="94">
        <v>108</v>
      </c>
      <c r="P5020" s="58"/>
      <c r="Q5020" s="244"/>
      <c r="R5020" s="58"/>
      <c r="S5020" s="245">
        <v>1050</v>
      </c>
      <c r="T5020" s="58"/>
      <c r="U5020" s="58" t="s">
        <v>1816</v>
      </c>
      <c r="V5020" s="244">
        <v>8</v>
      </c>
      <c r="W5020" s="174"/>
      <c r="X5020" s="174"/>
      <c r="Y5020" s="58" t="s">
        <v>5678</v>
      </c>
      <c r="Z5020" s="244" t="s">
        <v>1347</v>
      </c>
      <c r="AA5020" s="245" t="s">
        <v>1676</v>
      </c>
      <c r="AB5020" s="67"/>
      <c r="AC5020" s="67"/>
      <c r="AD5020" s="94"/>
      <c r="AE5020" s="94"/>
      <c r="AF5020" s="94"/>
      <c r="AG5020" s="245"/>
      <c r="AH5020" s="58" t="s">
        <v>238</v>
      </c>
      <c r="AI5020" s="169"/>
      <c r="AJ5020" s="94"/>
      <c r="AK5020" s="94"/>
      <c r="AL5020" s="58"/>
      <c r="AM5020" s="58" t="s">
        <v>5676</v>
      </c>
      <c r="AN5020" s="186" t="s">
        <v>176</v>
      </c>
      <c r="AO5020" s="185" t="s">
        <v>5150</v>
      </c>
      <c r="AP5020" s="58"/>
      <c r="AQ5020" s="58" t="s">
        <v>176</v>
      </c>
      <c r="AR5020" s="58" t="s">
        <v>5677</v>
      </c>
      <c r="AS5020" s="58" t="s">
        <v>1577</v>
      </c>
      <c r="AT5020" s="247" t="s">
        <v>5677</v>
      </c>
      <c r="AU5020" s="181" t="s">
        <v>5150</v>
      </c>
      <c r="AV5020" s="185" t="s">
        <v>479</v>
      </c>
      <c r="AW5020" s="244" t="s">
        <v>5677</v>
      </c>
      <c r="AX5020" s="185" t="s">
        <v>479</v>
      </c>
      <c r="AY5020" s="244" t="s">
        <v>176</v>
      </c>
      <c r="AZ5020" s="58"/>
      <c r="BA5020" s="58"/>
      <c r="BB5020" s="58"/>
      <c r="BC5020" s="58"/>
      <c r="BD5020" s="58"/>
      <c r="BE5020" s="236" t="s">
        <v>5155</v>
      </c>
      <c r="BF5020" s="191" t="s">
        <v>176</v>
      </c>
      <c r="BG5020" s="191" t="s">
        <v>479</v>
      </c>
      <c r="BH5020" s="236" t="s">
        <v>5155</v>
      </c>
      <c r="BI5020" s="191" t="s">
        <v>479</v>
      </c>
      <c r="BJ5020" s="58" t="str">
        <f>IF(BE5020=BH5020,"No","yes")</f>
        <v>No</v>
      </c>
      <c r="BK5020" s="58" t="s">
        <v>6334</v>
      </c>
      <c r="BL5020" s="58"/>
      <c r="BM5020" s="237"/>
      <c r="BN5020" s="244" t="s">
        <v>1940</v>
      </c>
      <c r="BO5020" s="244">
        <v>8</v>
      </c>
      <c r="BP5020" s="58"/>
      <c r="BQ5020" s="58"/>
      <c r="BR5020" s="58"/>
      <c r="BS5020" s="58"/>
      <c r="BT5020" s="58"/>
      <c r="BU5020" s="58"/>
      <c r="BV5020" s="58"/>
      <c r="BW5020" s="67"/>
      <c r="BX5020" s="67"/>
      <c r="BY5020" s="67"/>
      <c r="BZ5020" s="67"/>
      <c r="CA5020" s="67"/>
      <c r="CB5020" s="70"/>
      <c r="CC5020" s="70"/>
      <c r="CD5020" s="70"/>
      <c r="CE5020" s="67"/>
      <c r="CF5020" s="67"/>
      <c r="CG5020" s="67"/>
      <c r="CH5020" s="245"/>
      <c r="CI5020" s="245"/>
      <c r="CJ5020" s="67"/>
      <c r="CK5020" s="67"/>
      <c r="CL5020" s="67"/>
      <c r="CM5020" s="242">
        <v>3.12</v>
      </c>
      <c r="CN5020" s="242">
        <v>3.9</v>
      </c>
      <c r="CO5020" s="242">
        <f>0.09*SQRT(8)</f>
        <v>0.2545584412271571</v>
      </c>
      <c r="CP5020" s="242">
        <f>0.09*SQRT(8)</f>
        <v>0.2545584412271571</v>
      </c>
      <c r="CQ5020" s="242" t="s">
        <v>164</v>
      </c>
      <c r="CR5020" s="242"/>
      <c r="CS5020" s="242"/>
      <c r="CT5020" s="242"/>
      <c r="CU5020" s="242"/>
      <c r="CV5020" s="242"/>
      <c r="CW5020" s="242"/>
      <c r="CX5020" s="242"/>
      <c r="CY5020" s="242"/>
      <c r="CZ5020" s="242"/>
      <c r="DA5020" s="67"/>
      <c r="DB5020" s="67">
        <v>0.32</v>
      </c>
      <c r="DC5020" s="67">
        <v>0.38</v>
      </c>
      <c r="DD5020" s="67">
        <f>SQRT(8)*0.01</f>
        <v>2.8284271247461905E-2</v>
      </c>
      <c r="DE5020" s="67">
        <f>SQRT(8)*0.01</f>
        <v>2.8284271247461905E-2</v>
      </c>
      <c r="DF5020" s="67" t="s">
        <v>5565</v>
      </c>
      <c r="DG5020" s="67"/>
      <c r="DH5020" s="67"/>
      <c r="DI5020" s="67"/>
      <c r="DJ5020" s="67"/>
      <c r="DK5020" s="67"/>
      <c r="DL5020" s="67"/>
      <c r="DM5020" s="67"/>
      <c r="DN5020" s="67"/>
      <c r="DO5020" s="67"/>
      <c r="DP5020" s="67"/>
      <c r="DQ5020" s="166"/>
      <c r="DR5020" s="166"/>
      <c r="DS5020" s="163"/>
      <c r="DT5020" s="163"/>
      <c r="DU5020" s="67"/>
      <c r="DV5020" s="67"/>
      <c r="DW5020" s="67"/>
      <c r="DX5020" s="67"/>
      <c r="DY5020" s="67"/>
      <c r="DZ5020" s="67"/>
      <c r="EA5020" s="67"/>
      <c r="EB5020" s="67"/>
      <c r="EC5020" s="67"/>
      <c r="ED5020" s="67"/>
      <c r="EE5020" s="67"/>
      <c r="EF5020" s="67"/>
      <c r="EG5020" s="67"/>
      <c r="EH5020" s="67"/>
      <c r="EI5020" s="67"/>
      <c r="EJ5020" s="67"/>
      <c r="EK5020" s="94"/>
      <c r="EL5020" s="94"/>
      <c r="EM5020" s="67"/>
      <c r="EN5020" s="67"/>
      <c r="EO5020" s="67"/>
      <c r="EP5020" s="67"/>
      <c r="EQ5020" s="67"/>
      <c r="ER5020" s="67"/>
      <c r="ES5020" s="67"/>
      <c r="ET5020" s="67"/>
      <c r="EU5020" s="67"/>
      <c r="EV5020" s="67"/>
      <c r="EW5020" s="67"/>
      <c r="EX5020" s="67"/>
      <c r="EY5020" s="67"/>
      <c r="EZ5020" s="67"/>
      <c r="FA5020" s="67"/>
      <c r="FB5020" s="67"/>
      <c r="FC5020" s="67"/>
      <c r="FD5020" s="67"/>
      <c r="FE5020" s="67"/>
      <c r="FF5020" s="67"/>
      <c r="FG5020" s="67"/>
      <c r="FH5020" s="67"/>
      <c r="FI5020" s="67"/>
      <c r="FJ5020" s="67"/>
      <c r="FK5020" s="67"/>
      <c r="FL5020" s="67"/>
      <c r="FM5020" s="67"/>
      <c r="FN5020" s="67"/>
      <c r="FO5020" s="67"/>
      <c r="FP5020" s="67"/>
      <c r="FQ5020" s="67"/>
      <c r="FR5020" s="67"/>
      <c r="FS5020" s="67"/>
      <c r="FT5020" s="67"/>
      <c r="FU5020" s="67"/>
      <c r="FV5020" s="67"/>
      <c r="FW5020" s="67"/>
      <c r="FX5020" s="67"/>
      <c r="FY5020" s="67"/>
      <c r="FZ5020" s="67"/>
      <c r="GA5020" s="67"/>
      <c r="GB5020" s="67"/>
      <c r="GC5020" s="67"/>
      <c r="GD5020" s="67"/>
      <c r="GE5020" s="67"/>
      <c r="GF5020" s="67"/>
      <c r="GG5020" s="67"/>
      <c r="GH5020" s="67"/>
      <c r="GI5020" s="67"/>
      <c r="GJ5020" s="67"/>
      <c r="GK5020" s="67"/>
      <c r="GL5020" s="67"/>
      <c r="GM5020" s="67"/>
      <c r="GN5020" s="292"/>
      <c r="GO5020" s="292"/>
      <c r="GP5020" s="292" t="s">
        <v>7494</v>
      </c>
      <c r="GQ5020" s="67"/>
      <c r="GR5020" s="67"/>
      <c r="GS5020" s="67"/>
      <c r="GT5020" s="67"/>
      <c r="GU5020" s="67"/>
      <c r="GV5020" s="67"/>
      <c r="GW5020" s="67"/>
      <c r="GX5020" s="67"/>
      <c r="GY5020" s="67"/>
      <c r="GZ5020" s="67"/>
      <c r="HA5020" s="67"/>
      <c r="HB5020" s="67"/>
      <c r="HC5020" s="67"/>
      <c r="HD5020" s="67"/>
      <c r="HE5020" s="67"/>
      <c r="HF5020" s="67"/>
      <c r="HG5020" s="67"/>
      <c r="HH5020" s="67"/>
      <c r="HI5020" s="67"/>
      <c r="HJ5020" s="67"/>
      <c r="HK5020" s="67"/>
      <c r="HL5020" s="67"/>
      <c r="HM5020" s="67"/>
      <c r="HN5020" s="67"/>
      <c r="HO5020" s="67"/>
      <c r="HP5020" s="67"/>
      <c r="HQ5020" s="67"/>
      <c r="HR5020" s="67"/>
      <c r="HS5020" s="67"/>
      <c r="HT5020" s="67"/>
      <c r="HU5020" s="67"/>
      <c r="HV5020" s="67"/>
      <c r="HW5020" s="67"/>
      <c r="HX5020" s="67"/>
      <c r="HY5020" s="67"/>
      <c r="HZ5020" s="67"/>
      <c r="IA5020" s="67"/>
      <c r="IB5020" s="67"/>
      <c r="IC5020" s="67"/>
      <c r="ID5020" s="67"/>
      <c r="IE5020" s="67"/>
      <c r="IF5020" s="67"/>
      <c r="IG5020" s="67"/>
      <c r="IH5020" s="67"/>
      <c r="II5020" s="67"/>
      <c r="IJ5020" s="67"/>
      <c r="IK5020" s="67"/>
      <c r="IL5020" s="67"/>
      <c r="IM5020" s="67"/>
      <c r="IN5020" s="67"/>
      <c r="IO5020" s="67"/>
      <c r="IP5020" s="67"/>
      <c r="IQ5020" s="67"/>
      <c r="IR5020" s="67"/>
      <c r="IS5020" s="67"/>
      <c r="IT5020" s="67"/>
      <c r="IU5020" s="67"/>
      <c r="IV5020" s="67"/>
      <c r="IW5020" s="67"/>
      <c r="IX5020" s="67"/>
      <c r="IY5020" s="67"/>
      <c r="IZ5020" s="67"/>
      <c r="JA5020" s="67"/>
      <c r="JB5020" s="67"/>
      <c r="JC5020" s="67"/>
      <c r="JD5020" s="67"/>
      <c r="JE5020" s="67"/>
      <c r="JF5020" s="67"/>
      <c r="JG5020" s="67">
        <v>516</v>
      </c>
      <c r="JH5020" s="67">
        <v>525</v>
      </c>
      <c r="JI5020" s="67">
        <v>88</v>
      </c>
      <c r="JJ5020" s="67">
        <v>88</v>
      </c>
      <c r="JK5020" s="67" t="s">
        <v>3072</v>
      </c>
      <c r="JL5020" s="67">
        <v>50</v>
      </c>
      <c r="JM5020" s="67">
        <v>107</v>
      </c>
      <c r="JN5020" s="67">
        <v>22</v>
      </c>
      <c r="JO5020" s="67">
        <v>22</v>
      </c>
      <c r="JP5020" s="67" t="s">
        <v>3072</v>
      </c>
      <c r="JQ5020" s="67"/>
      <c r="JR5020" s="67"/>
      <c r="JS5020" s="67"/>
      <c r="JT5020" s="67"/>
      <c r="JU5020" s="58" t="s">
        <v>5691</v>
      </c>
      <c r="JV5020" s="58"/>
      <c r="JW5020" s="58"/>
    </row>
    <row r="5021" spans="1:283" s="23" customFormat="1" x14ac:dyDescent="0.25">
      <c r="A5021" s="55">
        <v>5020</v>
      </c>
      <c r="B5021" s="12" t="s">
        <v>7067</v>
      </c>
      <c r="C5021" s="156">
        <v>255</v>
      </c>
      <c r="D5021" s="58" t="s">
        <v>4993</v>
      </c>
      <c r="E5021" s="160" t="str">
        <f>G5021</f>
        <v>Murata &amp; Goh, 1997_pasture</v>
      </c>
      <c r="F5021" s="160"/>
      <c r="G5021" s="60" t="s">
        <v>4734</v>
      </c>
      <c r="H5021" s="58">
        <v>1997</v>
      </c>
      <c r="I5021" s="58" t="s">
        <v>2905</v>
      </c>
      <c r="J5021" s="243" t="s">
        <v>2176</v>
      </c>
      <c r="K5021" s="63" t="s">
        <v>5090</v>
      </c>
      <c r="L5021" s="58" t="s">
        <v>5335</v>
      </c>
      <c r="M5021" s="94">
        <v>-43.76</v>
      </c>
      <c r="N5021" s="94">
        <v>172.02</v>
      </c>
      <c r="O5021" s="94">
        <v>108</v>
      </c>
      <c r="P5021" s="58"/>
      <c r="Q5021" s="244"/>
      <c r="R5021" s="58"/>
      <c r="S5021" s="245">
        <v>1050</v>
      </c>
      <c r="T5021" s="58"/>
      <c r="U5021" s="58" t="s">
        <v>1816</v>
      </c>
      <c r="V5021" s="244">
        <v>8</v>
      </c>
      <c r="W5021" s="174"/>
      <c r="X5021" s="174"/>
      <c r="Y5021" s="58" t="s">
        <v>5678</v>
      </c>
      <c r="Z5021" s="244" t="s">
        <v>1347</v>
      </c>
      <c r="AA5021" s="245" t="s">
        <v>1676</v>
      </c>
      <c r="AB5021" s="67"/>
      <c r="AC5021" s="67"/>
      <c r="AD5021" s="94"/>
      <c r="AE5021" s="94"/>
      <c r="AF5021" s="94"/>
      <c r="AG5021" s="245"/>
      <c r="AH5021" s="58" t="s">
        <v>238</v>
      </c>
      <c r="AI5021" s="169"/>
      <c r="AJ5021" s="94"/>
      <c r="AK5021" s="94"/>
      <c r="AL5021" s="58"/>
      <c r="AM5021" s="58" t="s">
        <v>5676</v>
      </c>
      <c r="AN5021" s="186" t="s">
        <v>176</v>
      </c>
      <c r="AO5021" s="185" t="s">
        <v>5150</v>
      </c>
      <c r="AP5021" s="58"/>
      <c r="AQ5021" s="58" t="s">
        <v>176</v>
      </c>
      <c r="AR5021" s="58" t="s">
        <v>5677</v>
      </c>
      <c r="AS5021" s="58" t="s">
        <v>1577</v>
      </c>
      <c r="AT5021" s="247" t="s">
        <v>5677</v>
      </c>
      <c r="AU5021" s="181" t="s">
        <v>5150</v>
      </c>
      <c r="AV5021" s="185" t="s">
        <v>479</v>
      </c>
      <c r="AW5021" s="244"/>
      <c r="AX5021" s="185" t="s">
        <v>479</v>
      </c>
      <c r="AY5021" s="244" t="s">
        <v>176</v>
      </c>
      <c r="AZ5021" s="58"/>
      <c r="BA5021" s="58"/>
      <c r="BB5021" s="58"/>
      <c r="BC5021" s="58"/>
      <c r="BD5021" s="58"/>
      <c r="BE5021" s="236" t="s">
        <v>5155</v>
      </c>
      <c r="BF5021" s="191" t="s">
        <v>176</v>
      </c>
      <c r="BG5021" s="191" t="s">
        <v>479</v>
      </c>
      <c r="BH5021" s="236" t="s">
        <v>5155</v>
      </c>
      <c r="BI5021" s="191" t="s">
        <v>479</v>
      </c>
      <c r="BJ5021" s="58" t="str">
        <f>IF(BE5021=BH5021,"No","yes")</f>
        <v>No</v>
      </c>
      <c r="BK5021" s="58" t="s">
        <v>6334</v>
      </c>
      <c r="BL5021" s="58"/>
      <c r="BM5021" s="237"/>
      <c r="BN5021" s="244" t="s">
        <v>1940</v>
      </c>
      <c r="BO5021" s="244">
        <v>8</v>
      </c>
      <c r="BP5021" s="58"/>
      <c r="BQ5021" s="58"/>
      <c r="BR5021" s="58"/>
      <c r="BS5021" s="58"/>
      <c r="BT5021" s="58"/>
      <c r="BU5021" s="58"/>
      <c r="BV5021" s="58"/>
      <c r="BW5021" s="67"/>
      <c r="BX5021" s="67"/>
      <c r="BY5021" s="67"/>
      <c r="BZ5021" s="67"/>
      <c r="CA5021" s="67"/>
      <c r="CB5021" s="70"/>
      <c r="CC5021" s="70"/>
      <c r="CD5021" s="70"/>
      <c r="CE5021" s="67"/>
      <c r="CF5021" s="67"/>
      <c r="CG5021" s="67"/>
      <c r="CH5021" s="245"/>
      <c r="CI5021" s="245"/>
      <c r="CJ5021" s="67"/>
      <c r="CK5021" s="67"/>
      <c r="CL5021" s="67"/>
      <c r="CM5021" s="242">
        <v>3.01</v>
      </c>
      <c r="CN5021" s="242">
        <v>3.54</v>
      </c>
      <c r="CO5021" s="242">
        <f>0.09*SQRT(8)</f>
        <v>0.2545584412271571</v>
      </c>
      <c r="CP5021" s="242">
        <f>0.09*SQRT(8)</f>
        <v>0.2545584412271571</v>
      </c>
      <c r="CQ5021" s="242" t="s">
        <v>164</v>
      </c>
      <c r="CR5021" s="242"/>
      <c r="CS5021" s="242"/>
      <c r="CT5021" s="242"/>
      <c r="CU5021" s="242"/>
      <c r="CV5021" s="242"/>
      <c r="CW5021" s="242"/>
      <c r="CX5021" s="242"/>
      <c r="CY5021" s="242"/>
      <c r="CZ5021" s="242"/>
      <c r="DA5021" s="67"/>
      <c r="DB5021" s="67">
        <v>0.3</v>
      </c>
      <c r="DC5021" s="67">
        <v>0.34</v>
      </c>
      <c r="DD5021" s="67">
        <f>SQRT(8)*0.01</f>
        <v>2.8284271247461905E-2</v>
      </c>
      <c r="DE5021" s="67">
        <f>SQRT(8)*0.01</f>
        <v>2.8284271247461905E-2</v>
      </c>
      <c r="DF5021" s="67" t="s">
        <v>5565</v>
      </c>
      <c r="DG5021" s="67"/>
      <c r="DH5021" s="67"/>
      <c r="DI5021" s="67"/>
      <c r="DJ5021" s="67"/>
      <c r="DK5021" s="67"/>
      <c r="DL5021" s="67"/>
      <c r="DM5021" s="67"/>
      <c r="DN5021" s="67"/>
      <c r="DO5021" s="67"/>
      <c r="DP5021" s="67"/>
      <c r="DQ5021" s="166"/>
      <c r="DR5021" s="166"/>
      <c r="DS5021" s="163"/>
      <c r="DT5021" s="163"/>
      <c r="DU5021" s="67"/>
      <c r="DV5021" s="67"/>
      <c r="DW5021" s="67"/>
      <c r="DX5021" s="67"/>
      <c r="DY5021" s="67"/>
      <c r="DZ5021" s="67"/>
      <c r="EA5021" s="67"/>
      <c r="EB5021" s="67"/>
      <c r="EC5021" s="67"/>
      <c r="ED5021" s="67"/>
      <c r="EE5021" s="67"/>
      <c r="EF5021" s="67"/>
      <c r="EG5021" s="67"/>
      <c r="EH5021" s="67"/>
      <c r="EI5021" s="67"/>
      <c r="EJ5021" s="67"/>
      <c r="EK5021" s="94"/>
      <c r="EL5021" s="94"/>
      <c r="EM5021" s="67"/>
      <c r="EN5021" s="67"/>
      <c r="EO5021" s="67"/>
      <c r="EP5021" s="67"/>
      <c r="EQ5021" s="67"/>
      <c r="ER5021" s="67"/>
      <c r="ES5021" s="67"/>
      <c r="ET5021" s="67"/>
      <c r="EU5021" s="67"/>
      <c r="EV5021" s="67"/>
      <c r="EW5021" s="67"/>
      <c r="EX5021" s="67"/>
      <c r="EY5021" s="67"/>
      <c r="EZ5021" s="67"/>
      <c r="FA5021" s="67"/>
      <c r="FB5021" s="67"/>
      <c r="FC5021" s="67"/>
      <c r="FD5021" s="67"/>
      <c r="FE5021" s="67"/>
      <c r="FF5021" s="67"/>
      <c r="FG5021" s="67"/>
      <c r="FH5021" s="67"/>
      <c r="FI5021" s="67"/>
      <c r="FJ5021" s="67"/>
      <c r="FK5021" s="67"/>
      <c r="FL5021" s="67"/>
      <c r="FM5021" s="67"/>
      <c r="FN5021" s="67"/>
      <c r="FO5021" s="67"/>
      <c r="FP5021" s="67"/>
      <c r="FQ5021" s="67"/>
      <c r="FR5021" s="67"/>
      <c r="FS5021" s="67"/>
      <c r="FT5021" s="67"/>
      <c r="FU5021" s="67"/>
      <c r="FV5021" s="67"/>
      <c r="FW5021" s="67"/>
      <c r="FX5021" s="67"/>
      <c r="FY5021" s="67"/>
      <c r="FZ5021" s="67"/>
      <c r="GA5021" s="67"/>
      <c r="GB5021" s="67"/>
      <c r="GC5021" s="67"/>
      <c r="GD5021" s="67"/>
      <c r="GE5021" s="67"/>
      <c r="GF5021" s="67"/>
      <c r="GG5021" s="67"/>
      <c r="GH5021" s="67"/>
      <c r="GI5021" s="67"/>
      <c r="GJ5021" s="67"/>
      <c r="GK5021" s="67"/>
      <c r="GL5021" s="67"/>
      <c r="GM5021" s="67"/>
      <c r="GN5021" s="292"/>
      <c r="GO5021" s="292"/>
      <c r="GP5021" s="292" t="s">
        <v>7494</v>
      </c>
      <c r="GQ5021" s="67"/>
      <c r="GR5021" s="67"/>
      <c r="GS5021" s="67"/>
      <c r="GT5021" s="67"/>
      <c r="GU5021" s="67"/>
      <c r="GV5021" s="67"/>
      <c r="GW5021" s="67"/>
      <c r="GX5021" s="67"/>
      <c r="GY5021" s="67"/>
      <c r="GZ5021" s="67"/>
      <c r="HA5021" s="67"/>
      <c r="HB5021" s="67"/>
      <c r="HC5021" s="67"/>
      <c r="HD5021" s="67"/>
      <c r="HE5021" s="67"/>
      <c r="HF5021" s="67"/>
      <c r="HG5021" s="67"/>
      <c r="HH5021" s="67"/>
      <c r="HI5021" s="67"/>
      <c r="HJ5021" s="67"/>
      <c r="HK5021" s="67"/>
      <c r="HL5021" s="67"/>
      <c r="HM5021" s="67"/>
      <c r="HN5021" s="67"/>
      <c r="HO5021" s="67"/>
      <c r="HP5021" s="67"/>
      <c r="HQ5021" s="67"/>
      <c r="HR5021" s="67"/>
      <c r="HS5021" s="67"/>
      <c r="HT5021" s="67"/>
      <c r="HU5021" s="67"/>
      <c r="HV5021" s="67"/>
      <c r="HW5021" s="67"/>
      <c r="HX5021" s="67"/>
      <c r="HY5021" s="67"/>
      <c r="HZ5021" s="67"/>
      <c r="IA5021" s="67"/>
      <c r="IB5021" s="67"/>
      <c r="IC5021" s="67"/>
      <c r="ID5021" s="67"/>
      <c r="IE5021" s="67"/>
      <c r="IF5021" s="67"/>
      <c r="IG5021" s="67"/>
      <c r="IH5021" s="67"/>
      <c r="II5021" s="67"/>
      <c r="IJ5021" s="67"/>
      <c r="IK5021" s="67"/>
      <c r="IL5021" s="67"/>
      <c r="IM5021" s="67"/>
      <c r="IN5021" s="67"/>
      <c r="IO5021" s="67"/>
      <c r="IP5021" s="67"/>
      <c r="IQ5021" s="67"/>
      <c r="IR5021" s="67"/>
      <c r="IS5021" s="67"/>
      <c r="IT5021" s="67"/>
      <c r="IU5021" s="67"/>
      <c r="IV5021" s="67"/>
      <c r="IW5021" s="67"/>
      <c r="IX5021" s="67"/>
      <c r="IY5021" s="67"/>
      <c r="IZ5021" s="67"/>
      <c r="JA5021" s="67"/>
      <c r="JB5021" s="67"/>
      <c r="JC5021" s="67"/>
      <c r="JD5021" s="67"/>
      <c r="JE5021" s="67"/>
      <c r="JF5021" s="67"/>
      <c r="JG5021" s="67">
        <v>324</v>
      </c>
      <c r="JH5021" s="67">
        <v>590</v>
      </c>
      <c r="JI5021" s="67">
        <v>88</v>
      </c>
      <c r="JJ5021" s="67">
        <v>88</v>
      </c>
      <c r="JK5021" s="67" t="s">
        <v>3072</v>
      </c>
      <c r="JL5021" s="67">
        <v>51</v>
      </c>
      <c r="JM5021" s="67">
        <v>80</v>
      </c>
      <c r="JN5021" s="67">
        <v>22</v>
      </c>
      <c r="JO5021" s="67">
        <v>22</v>
      </c>
      <c r="JP5021" s="67" t="s">
        <v>3072</v>
      </c>
      <c r="JQ5021" s="67"/>
      <c r="JR5021" s="67"/>
      <c r="JS5021" s="67"/>
      <c r="JT5021" s="67"/>
      <c r="JU5021" s="58" t="s">
        <v>5691</v>
      </c>
      <c r="JV5021" s="58"/>
      <c r="JW5021" s="58"/>
    </row>
    <row r="5022" spans="1:283" s="23" customFormat="1" x14ac:dyDescent="0.25">
      <c r="A5022" s="55">
        <v>5021</v>
      </c>
      <c r="B5022" s="12" t="s">
        <v>7067</v>
      </c>
      <c r="C5022" s="156">
        <v>255</v>
      </c>
      <c r="D5022" s="58" t="s">
        <v>5679</v>
      </c>
      <c r="E5022" s="160" t="str">
        <f>G5022</f>
        <v>Murata &amp; Goh, 1997_arable</v>
      </c>
      <c r="F5022" s="160"/>
      <c r="G5022" s="60" t="s">
        <v>4735</v>
      </c>
      <c r="H5022" s="58">
        <v>1997</v>
      </c>
      <c r="I5022" s="58" t="s">
        <v>2905</v>
      </c>
      <c r="J5022" s="243" t="s">
        <v>2176</v>
      </c>
      <c r="K5022" s="63" t="s">
        <v>5090</v>
      </c>
      <c r="L5022" s="58" t="s">
        <v>5335</v>
      </c>
      <c r="M5022" s="94">
        <v>-43.76</v>
      </c>
      <c r="N5022" s="94">
        <v>172.02</v>
      </c>
      <c r="O5022" s="94">
        <v>108</v>
      </c>
      <c r="P5022" s="58"/>
      <c r="Q5022" s="244"/>
      <c r="R5022" s="58"/>
      <c r="S5022" s="245">
        <v>1050</v>
      </c>
      <c r="T5022" s="58"/>
      <c r="U5022" s="58" t="s">
        <v>1816</v>
      </c>
      <c r="V5022" s="244">
        <v>8</v>
      </c>
      <c r="W5022" s="174"/>
      <c r="X5022" s="174"/>
      <c r="Y5022" s="58" t="s">
        <v>5678</v>
      </c>
      <c r="Z5022" s="244" t="s">
        <v>1347</v>
      </c>
      <c r="AA5022" s="245" t="s">
        <v>1676</v>
      </c>
      <c r="AB5022" s="67"/>
      <c r="AC5022" s="67"/>
      <c r="AD5022" s="94"/>
      <c r="AE5022" s="94"/>
      <c r="AF5022" s="94"/>
      <c r="AG5022" s="245"/>
      <c r="AH5022" s="58" t="s">
        <v>238</v>
      </c>
      <c r="AI5022" s="169"/>
      <c r="AJ5022" s="94"/>
      <c r="AK5022" s="94"/>
      <c r="AL5022" s="58"/>
      <c r="AM5022" s="58" t="s">
        <v>5676</v>
      </c>
      <c r="AN5022" s="186" t="s">
        <v>176</v>
      </c>
      <c r="AO5022" s="185" t="s">
        <v>5150</v>
      </c>
      <c r="AP5022" s="58"/>
      <c r="AQ5022" s="58" t="s">
        <v>176</v>
      </c>
      <c r="AR5022" s="58" t="s">
        <v>5677</v>
      </c>
      <c r="AS5022" s="58" t="s">
        <v>1577</v>
      </c>
      <c r="AT5022" s="247" t="s">
        <v>5677</v>
      </c>
      <c r="AU5022" s="181" t="s">
        <v>5150</v>
      </c>
      <c r="AV5022" s="185" t="s">
        <v>479</v>
      </c>
      <c r="AW5022" s="244" t="s">
        <v>5677</v>
      </c>
      <c r="AX5022" s="185" t="s">
        <v>479</v>
      </c>
      <c r="AY5022" s="244" t="s">
        <v>176</v>
      </c>
      <c r="AZ5022" s="58"/>
      <c r="BA5022" s="58"/>
      <c r="BB5022" s="58"/>
      <c r="BC5022" s="58"/>
      <c r="BD5022" s="58"/>
      <c r="BE5022" s="236" t="s">
        <v>5155</v>
      </c>
      <c r="BF5022" s="191" t="s">
        <v>176</v>
      </c>
      <c r="BG5022" s="191" t="s">
        <v>479</v>
      </c>
      <c r="BH5022" s="236" t="s">
        <v>5155</v>
      </c>
      <c r="BI5022" s="191" t="s">
        <v>479</v>
      </c>
      <c r="BJ5022" s="58" t="str">
        <f>IF(BE5022=BH5022,"No","yes")</f>
        <v>No</v>
      </c>
      <c r="BK5022" s="58" t="s">
        <v>6334</v>
      </c>
      <c r="BL5022" s="58"/>
      <c r="BM5022" s="237"/>
      <c r="BN5022" s="244" t="s">
        <v>1940</v>
      </c>
      <c r="BO5022" s="244">
        <v>8</v>
      </c>
      <c r="BP5022" s="58"/>
      <c r="BQ5022" s="58"/>
      <c r="BR5022" s="58"/>
      <c r="BS5022" s="58"/>
      <c r="BT5022" s="58"/>
      <c r="BU5022" s="58"/>
      <c r="BV5022" s="58"/>
      <c r="BW5022" s="67"/>
      <c r="BX5022" s="67"/>
      <c r="BY5022" s="67"/>
      <c r="BZ5022" s="67"/>
      <c r="CA5022" s="67"/>
      <c r="CB5022" s="70"/>
      <c r="CC5022" s="70"/>
      <c r="CD5022" s="70"/>
      <c r="CE5022" s="67"/>
      <c r="CF5022" s="67"/>
      <c r="CG5022" s="67"/>
      <c r="CH5022" s="245"/>
      <c r="CI5022" s="245"/>
      <c r="CJ5022" s="67"/>
      <c r="CK5022" s="67"/>
      <c r="CL5022" s="67"/>
      <c r="CM5022" s="242">
        <v>3.51</v>
      </c>
      <c r="CN5022" s="242">
        <v>3.63</v>
      </c>
      <c r="CO5022" s="242">
        <f>0.09*SQRT(8)</f>
        <v>0.2545584412271571</v>
      </c>
      <c r="CP5022" s="242">
        <f>0.09*SQRT(8)</f>
        <v>0.2545584412271571</v>
      </c>
      <c r="CQ5022" s="242" t="s">
        <v>164</v>
      </c>
      <c r="CR5022" s="242"/>
      <c r="CS5022" s="242"/>
      <c r="CT5022" s="242"/>
      <c r="CU5022" s="242"/>
      <c r="CV5022" s="242"/>
      <c r="CW5022" s="242"/>
      <c r="CX5022" s="242"/>
      <c r="CY5022" s="242"/>
      <c r="CZ5022" s="242"/>
      <c r="DA5022" s="67"/>
      <c r="DB5022" s="67">
        <v>0.34</v>
      </c>
      <c r="DC5022" s="67">
        <v>0.34</v>
      </c>
      <c r="DD5022" s="67">
        <f>SQRT(8)*0.01</f>
        <v>2.8284271247461905E-2</v>
      </c>
      <c r="DE5022" s="67">
        <f>SQRT(8)*0.01</f>
        <v>2.8284271247461905E-2</v>
      </c>
      <c r="DF5022" s="67" t="s">
        <v>5565</v>
      </c>
      <c r="DG5022" s="67"/>
      <c r="DH5022" s="67"/>
      <c r="DI5022" s="67"/>
      <c r="DJ5022" s="67"/>
      <c r="DK5022" s="67"/>
      <c r="DL5022" s="67"/>
      <c r="DM5022" s="67"/>
      <c r="DN5022" s="67"/>
      <c r="DO5022" s="67"/>
      <c r="DP5022" s="67"/>
      <c r="DQ5022" s="166"/>
      <c r="DR5022" s="166"/>
      <c r="DS5022" s="163"/>
      <c r="DT5022" s="163"/>
      <c r="DU5022" s="67"/>
      <c r="DV5022" s="67"/>
      <c r="DW5022" s="67"/>
      <c r="DX5022" s="67"/>
      <c r="DY5022" s="67"/>
      <c r="DZ5022" s="67"/>
      <c r="EA5022" s="67"/>
      <c r="EB5022" s="67"/>
      <c r="EC5022" s="67"/>
      <c r="ED5022" s="67"/>
      <c r="EE5022" s="67"/>
      <c r="EF5022" s="67"/>
      <c r="EG5022" s="67"/>
      <c r="EH5022" s="67"/>
      <c r="EI5022" s="67"/>
      <c r="EJ5022" s="67"/>
      <c r="EK5022" s="94"/>
      <c r="EL5022" s="94"/>
      <c r="EM5022" s="67"/>
      <c r="EN5022" s="67"/>
      <c r="EO5022" s="67"/>
      <c r="EP5022" s="67"/>
      <c r="EQ5022" s="67"/>
      <c r="ER5022" s="67"/>
      <c r="ES5022" s="67"/>
      <c r="ET5022" s="67"/>
      <c r="EU5022" s="67"/>
      <c r="EV5022" s="67"/>
      <c r="EW5022" s="67"/>
      <c r="EX5022" s="67"/>
      <c r="EY5022" s="67"/>
      <c r="EZ5022" s="67"/>
      <c r="FA5022" s="67"/>
      <c r="FB5022" s="67"/>
      <c r="FC5022" s="67"/>
      <c r="FD5022" s="67"/>
      <c r="FE5022" s="67"/>
      <c r="FF5022" s="67"/>
      <c r="FG5022" s="67"/>
      <c r="FH5022" s="67"/>
      <c r="FI5022" s="67"/>
      <c r="FJ5022" s="67"/>
      <c r="FK5022" s="67"/>
      <c r="FL5022" s="67"/>
      <c r="FM5022" s="67"/>
      <c r="FN5022" s="67"/>
      <c r="FO5022" s="67"/>
      <c r="FP5022" s="67"/>
      <c r="FQ5022" s="67"/>
      <c r="FR5022" s="67"/>
      <c r="FS5022" s="67"/>
      <c r="FT5022" s="67"/>
      <c r="FU5022" s="67"/>
      <c r="FV5022" s="67"/>
      <c r="FW5022" s="67"/>
      <c r="FX5022" s="67"/>
      <c r="FY5022" s="67"/>
      <c r="FZ5022" s="67"/>
      <c r="GA5022" s="67"/>
      <c r="GB5022" s="67"/>
      <c r="GC5022" s="67"/>
      <c r="GD5022" s="67"/>
      <c r="GE5022" s="67"/>
      <c r="GF5022" s="67"/>
      <c r="GG5022" s="67"/>
      <c r="GH5022" s="67"/>
      <c r="GI5022" s="67"/>
      <c r="GJ5022" s="67"/>
      <c r="GK5022" s="67"/>
      <c r="GL5022" s="67"/>
      <c r="GM5022" s="67"/>
      <c r="GN5022" s="292"/>
      <c r="GO5022" s="292"/>
      <c r="GP5022" s="292" t="s">
        <v>7494</v>
      </c>
      <c r="GQ5022" s="67"/>
      <c r="GR5022" s="67"/>
      <c r="GS5022" s="67"/>
      <c r="GT5022" s="67"/>
      <c r="GU5022" s="67"/>
      <c r="GV5022" s="67"/>
      <c r="GW5022" s="67"/>
      <c r="GX5022" s="67"/>
      <c r="GY5022" s="67"/>
      <c r="GZ5022" s="67"/>
      <c r="HA5022" s="67"/>
      <c r="HB5022" s="67"/>
      <c r="HC5022" s="67"/>
      <c r="HD5022" s="67"/>
      <c r="HE5022" s="67"/>
      <c r="HF5022" s="67"/>
      <c r="HG5022" s="67"/>
      <c r="HH5022" s="67"/>
      <c r="HI5022" s="67"/>
      <c r="HJ5022" s="67"/>
      <c r="HK5022" s="67"/>
      <c r="HL5022" s="67"/>
      <c r="HM5022" s="67"/>
      <c r="HN5022" s="67"/>
      <c r="HO5022" s="67"/>
      <c r="HP5022" s="67"/>
      <c r="HQ5022" s="67"/>
      <c r="HR5022" s="67"/>
      <c r="HS5022" s="67"/>
      <c r="HT5022" s="67"/>
      <c r="HU5022" s="67"/>
      <c r="HV5022" s="67"/>
      <c r="HW5022" s="67"/>
      <c r="HX5022" s="67"/>
      <c r="HY5022" s="67"/>
      <c r="HZ5022" s="67"/>
      <c r="IA5022" s="67"/>
      <c r="IB5022" s="67"/>
      <c r="IC5022" s="67"/>
      <c r="ID5022" s="67"/>
      <c r="IE5022" s="67"/>
      <c r="IF5022" s="67"/>
      <c r="IG5022" s="67"/>
      <c r="IH5022" s="67"/>
      <c r="II5022" s="67"/>
      <c r="IJ5022" s="67"/>
      <c r="IK5022" s="67"/>
      <c r="IL5022" s="67"/>
      <c r="IM5022" s="67"/>
      <c r="IN5022" s="67"/>
      <c r="IO5022" s="67"/>
      <c r="IP5022" s="67"/>
      <c r="IQ5022" s="67"/>
      <c r="IR5022" s="67"/>
      <c r="IS5022" s="67"/>
      <c r="IT5022" s="67"/>
      <c r="IU5022" s="67"/>
      <c r="IV5022" s="67"/>
      <c r="IW5022" s="67"/>
      <c r="IX5022" s="67"/>
      <c r="IY5022" s="67"/>
      <c r="IZ5022" s="67"/>
      <c r="JA5022" s="67"/>
      <c r="JB5022" s="67"/>
      <c r="JC5022" s="67"/>
      <c r="JD5022" s="67"/>
      <c r="JE5022" s="67"/>
      <c r="JF5022" s="67"/>
      <c r="JG5022" s="67">
        <v>510</v>
      </c>
      <c r="JH5022" s="67">
        <v>497</v>
      </c>
      <c r="JI5022" s="67">
        <v>88</v>
      </c>
      <c r="JJ5022" s="67">
        <v>88</v>
      </c>
      <c r="JK5022" s="67" t="s">
        <v>3072</v>
      </c>
      <c r="JL5022" s="67">
        <v>72</v>
      </c>
      <c r="JM5022" s="67">
        <v>94</v>
      </c>
      <c r="JN5022" s="67">
        <v>22</v>
      </c>
      <c r="JO5022" s="67">
        <v>22</v>
      </c>
      <c r="JP5022" s="67" t="s">
        <v>3072</v>
      </c>
      <c r="JQ5022" s="67"/>
      <c r="JR5022" s="67"/>
      <c r="JS5022" s="67"/>
      <c r="JT5022" s="67"/>
      <c r="JU5022" s="58" t="s">
        <v>5691</v>
      </c>
      <c r="JV5022" s="58"/>
      <c r="JW5022" s="58"/>
    </row>
    <row r="5023" spans="1:283" s="23" customFormat="1" x14ac:dyDescent="0.25">
      <c r="A5023" s="55">
        <v>5022</v>
      </c>
      <c r="B5023" s="12" t="s">
        <v>7067</v>
      </c>
      <c r="C5023" s="156">
        <v>255</v>
      </c>
      <c r="D5023" s="58" t="s">
        <v>5680</v>
      </c>
      <c r="E5023" s="160" t="str">
        <f>G5023</f>
        <v>Murata &amp; Goh, 1997_pasture</v>
      </c>
      <c r="F5023" s="160"/>
      <c r="G5023" s="60" t="s">
        <v>4734</v>
      </c>
      <c r="H5023" s="58">
        <v>1997</v>
      </c>
      <c r="I5023" s="58" t="s">
        <v>2905</v>
      </c>
      <c r="J5023" s="243" t="s">
        <v>2176</v>
      </c>
      <c r="K5023" s="63" t="s">
        <v>5090</v>
      </c>
      <c r="L5023" s="58" t="s">
        <v>5335</v>
      </c>
      <c r="M5023" s="94">
        <v>-43.76</v>
      </c>
      <c r="N5023" s="94">
        <v>172.02</v>
      </c>
      <c r="O5023" s="94">
        <v>108</v>
      </c>
      <c r="P5023" s="58"/>
      <c r="Q5023" s="244"/>
      <c r="R5023" s="58"/>
      <c r="S5023" s="245">
        <v>1050</v>
      </c>
      <c r="T5023" s="58"/>
      <c r="U5023" s="58" t="s">
        <v>1816</v>
      </c>
      <c r="V5023" s="244">
        <v>8</v>
      </c>
      <c r="W5023" s="174"/>
      <c r="X5023" s="174"/>
      <c r="Y5023" s="58" t="s">
        <v>5678</v>
      </c>
      <c r="Z5023" s="244" t="s">
        <v>1347</v>
      </c>
      <c r="AA5023" s="245" t="s">
        <v>1676</v>
      </c>
      <c r="AB5023" s="67"/>
      <c r="AC5023" s="67"/>
      <c r="AD5023" s="94"/>
      <c r="AE5023" s="94"/>
      <c r="AF5023" s="94"/>
      <c r="AG5023" s="245"/>
      <c r="AH5023" s="58" t="s">
        <v>238</v>
      </c>
      <c r="AI5023" s="169"/>
      <c r="AJ5023" s="94"/>
      <c r="AK5023" s="94"/>
      <c r="AL5023" s="58"/>
      <c r="AM5023" s="58" t="s">
        <v>5676</v>
      </c>
      <c r="AN5023" s="186" t="s">
        <v>176</v>
      </c>
      <c r="AO5023" s="185" t="s">
        <v>5150</v>
      </c>
      <c r="AP5023" s="58"/>
      <c r="AQ5023" s="58" t="s">
        <v>176</v>
      </c>
      <c r="AR5023" s="58" t="s">
        <v>5677</v>
      </c>
      <c r="AS5023" s="58" t="s">
        <v>1577</v>
      </c>
      <c r="AT5023" s="247" t="s">
        <v>5677</v>
      </c>
      <c r="AU5023" s="181" t="s">
        <v>5150</v>
      </c>
      <c r="AV5023" s="185" t="s">
        <v>479</v>
      </c>
      <c r="AW5023" s="244"/>
      <c r="AX5023" s="185" t="s">
        <v>479</v>
      </c>
      <c r="AY5023" s="244" t="s">
        <v>176</v>
      </c>
      <c r="AZ5023" s="58"/>
      <c r="BA5023" s="58"/>
      <c r="BB5023" s="58"/>
      <c r="BC5023" s="58"/>
      <c r="BD5023" s="58"/>
      <c r="BE5023" s="236" t="s">
        <v>5155</v>
      </c>
      <c r="BF5023" s="191" t="s">
        <v>176</v>
      </c>
      <c r="BG5023" s="191" t="s">
        <v>479</v>
      </c>
      <c r="BH5023" s="236" t="s">
        <v>5155</v>
      </c>
      <c r="BI5023" s="191" t="s">
        <v>479</v>
      </c>
      <c r="BJ5023" s="58" t="str">
        <f>IF(BE5023=BH5023,"No","yes")</f>
        <v>No</v>
      </c>
      <c r="BK5023" s="58" t="s">
        <v>6334</v>
      </c>
      <c r="BL5023" s="58"/>
      <c r="BM5023" s="237"/>
      <c r="BN5023" s="244" t="s">
        <v>1940</v>
      </c>
      <c r="BO5023" s="244">
        <v>8</v>
      </c>
      <c r="BP5023" s="58"/>
      <c r="BQ5023" s="58"/>
      <c r="BR5023" s="58"/>
      <c r="BS5023" s="58"/>
      <c r="BT5023" s="58"/>
      <c r="BU5023" s="58"/>
      <c r="BV5023" s="58"/>
      <c r="BW5023" s="67"/>
      <c r="BX5023" s="67"/>
      <c r="BY5023" s="67"/>
      <c r="BZ5023" s="67"/>
      <c r="CA5023" s="67"/>
      <c r="CB5023" s="70"/>
      <c r="CC5023" s="70"/>
      <c r="CD5023" s="70"/>
      <c r="CE5023" s="67"/>
      <c r="CF5023" s="67"/>
      <c r="CG5023" s="67"/>
      <c r="CH5023" s="245"/>
      <c r="CI5023" s="245"/>
      <c r="CJ5023" s="67"/>
      <c r="CK5023" s="67"/>
      <c r="CL5023" s="67"/>
      <c r="CM5023" s="242">
        <v>3.39</v>
      </c>
      <c r="CN5023" s="242">
        <v>3.51</v>
      </c>
      <c r="CO5023" s="242">
        <f>0.09*SQRT(8)</f>
        <v>0.2545584412271571</v>
      </c>
      <c r="CP5023" s="242">
        <f>0.09*SQRT(8)</f>
        <v>0.2545584412271571</v>
      </c>
      <c r="CQ5023" s="242" t="s">
        <v>164</v>
      </c>
      <c r="CR5023" s="242"/>
      <c r="CS5023" s="242"/>
      <c r="CT5023" s="242"/>
      <c r="CU5023" s="242"/>
      <c r="CV5023" s="242"/>
      <c r="CW5023" s="242"/>
      <c r="CX5023" s="242"/>
      <c r="CY5023" s="242"/>
      <c r="CZ5023" s="242"/>
      <c r="DA5023" s="67"/>
      <c r="DB5023" s="67">
        <v>0.34</v>
      </c>
      <c r="DC5023" s="67">
        <v>0.33</v>
      </c>
      <c r="DD5023" s="67">
        <f>SQRT(8)*0.01</f>
        <v>2.8284271247461905E-2</v>
      </c>
      <c r="DE5023" s="67">
        <f>SQRT(8)*0.01</f>
        <v>2.8284271247461905E-2</v>
      </c>
      <c r="DF5023" s="67" t="s">
        <v>5565</v>
      </c>
      <c r="DG5023" s="67"/>
      <c r="DH5023" s="67"/>
      <c r="DI5023" s="67"/>
      <c r="DJ5023" s="67"/>
      <c r="DK5023" s="67"/>
      <c r="DL5023" s="67"/>
      <c r="DM5023" s="67"/>
      <c r="DN5023" s="67"/>
      <c r="DO5023" s="67"/>
      <c r="DP5023" s="67"/>
      <c r="DQ5023" s="166"/>
      <c r="DR5023" s="166"/>
      <c r="DS5023" s="163"/>
      <c r="DT5023" s="163"/>
      <c r="DU5023" s="67"/>
      <c r="DV5023" s="67"/>
      <c r="DW5023" s="67"/>
      <c r="DX5023" s="67"/>
      <c r="DY5023" s="67"/>
      <c r="DZ5023" s="67"/>
      <c r="EA5023" s="67"/>
      <c r="EB5023" s="67"/>
      <c r="EC5023" s="67"/>
      <c r="ED5023" s="67"/>
      <c r="EE5023" s="67"/>
      <c r="EF5023" s="67"/>
      <c r="EG5023" s="67"/>
      <c r="EH5023" s="67"/>
      <c r="EI5023" s="67"/>
      <c r="EJ5023" s="67"/>
      <c r="EK5023" s="94"/>
      <c r="EL5023" s="94"/>
      <c r="EM5023" s="67"/>
      <c r="EN5023" s="67"/>
      <c r="EO5023" s="67"/>
      <c r="EP5023" s="67"/>
      <c r="EQ5023" s="67"/>
      <c r="ER5023" s="67"/>
      <c r="ES5023" s="67"/>
      <c r="ET5023" s="67"/>
      <c r="EU5023" s="67"/>
      <c r="EV5023" s="67"/>
      <c r="EW5023" s="67"/>
      <c r="EX5023" s="67"/>
      <c r="EY5023" s="67"/>
      <c r="EZ5023" s="67"/>
      <c r="FA5023" s="67"/>
      <c r="FB5023" s="67"/>
      <c r="FC5023" s="67"/>
      <c r="FD5023" s="67"/>
      <c r="FE5023" s="67"/>
      <c r="FF5023" s="67"/>
      <c r="FG5023" s="67"/>
      <c r="FH5023" s="67"/>
      <c r="FI5023" s="67"/>
      <c r="FJ5023" s="67"/>
      <c r="FK5023" s="67"/>
      <c r="FL5023" s="67"/>
      <c r="FM5023" s="67"/>
      <c r="FN5023" s="67"/>
      <c r="FO5023" s="67"/>
      <c r="FP5023" s="67"/>
      <c r="FQ5023" s="67"/>
      <c r="FR5023" s="67"/>
      <c r="FS5023" s="67"/>
      <c r="FT5023" s="67"/>
      <c r="FU5023" s="67"/>
      <c r="FV5023" s="67"/>
      <c r="FW5023" s="67"/>
      <c r="FX5023" s="67"/>
      <c r="FY5023" s="67"/>
      <c r="FZ5023" s="67"/>
      <c r="GA5023" s="67"/>
      <c r="GB5023" s="67"/>
      <c r="GC5023" s="67"/>
      <c r="GD5023" s="67"/>
      <c r="GE5023" s="67"/>
      <c r="GF5023" s="67"/>
      <c r="GG5023" s="67"/>
      <c r="GH5023" s="67"/>
      <c r="GI5023" s="67"/>
      <c r="GJ5023" s="67"/>
      <c r="GK5023" s="67"/>
      <c r="GL5023" s="67"/>
      <c r="GM5023" s="67"/>
      <c r="GN5023" s="292"/>
      <c r="GO5023" s="292"/>
      <c r="GP5023" s="292" t="s">
        <v>7494</v>
      </c>
      <c r="GQ5023" s="67"/>
      <c r="GR5023" s="67"/>
      <c r="GS5023" s="67"/>
      <c r="GT5023" s="67"/>
      <c r="GU5023" s="67"/>
      <c r="GV5023" s="67"/>
      <c r="GW5023" s="67"/>
      <c r="GX5023" s="67"/>
      <c r="GY5023" s="67"/>
      <c r="GZ5023" s="67"/>
      <c r="HA5023" s="67"/>
      <c r="HB5023" s="67"/>
      <c r="HC5023" s="67"/>
      <c r="HD5023" s="67"/>
      <c r="HE5023" s="67"/>
      <c r="HF5023" s="67"/>
      <c r="HG5023" s="67"/>
      <c r="HH5023" s="67"/>
      <c r="HI5023" s="67"/>
      <c r="HJ5023" s="67"/>
      <c r="HK5023" s="67"/>
      <c r="HL5023" s="67"/>
      <c r="HM5023" s="67"/>
      <c r="HN5023" s="67"/>
      <c r="HO5023" s="67"/>
      <c r="HP5023" s="67"/>
      <c r="HQ5023" s="67"/>
      <c r="HR5023" s="67"/>
      <c r="HS5023" s="67"/>
      <c r="HT5023" s="67"/>
      <c r="HU5023" s="67"/>
      <c r="HV5023" s="67"/>
      <c r="HW5023" s="67"/>
      <c r="HX5023" s="67"/>
      <c r="HY5023" s="67"/>
      <c r="HZ5023" s="67"/>
      <c r="IA5023" s="67"/>
      <c r="IB5023" s="67"/>
      <c r="IC5023" s="67"/>
      <c r="ID5023" s="67"/>
      <c r="IE5023" s="67"/>
      <c r="IF5023" s="67"/>
      <c r="IG5023" s="67"/>
      <c r="IH5023" s="67"/>
      <c r="II5023" s="67"/>
      <c r="IJ5023" s="67"/>
      <c r="IK5023" s="67"/>
      <c r="IL5023" s="67"/>
      <c r="IM5023" s="67"/>
      <c r="IN5023" s="67"/>
      <c r="IO5023" s="67"/>
      <c r="IP5023" s="67"/>
      <c r="IQ5023" s="67"/>
      <c r="IR5023" s="67"/>
      <c r="IS5023" s="67"/>
      <c r="IT5023" s="67"/>
      <c r="IU5023" s="67"/>
      <c r="IV5023" s="67"/>
      <c r="IW5023" s="67"/>
      <c r="IX5023" s="67"/>
      <c r="IY5023" s="67"/>
      <c r="IZ5023" s="67"/>
      <c r="JA5023" s="67"/>
      <c r="JB5023" s="67"/>
      <c r="JC5023" s="67"/>
      <c r="JD5023" s="67"/>
      <c r="JE5023" s="67"/>
      <c r="JF5023" s="67"/>
      <c r="JG5023" s="67">
        <v>649</v>
      </c>
      <c r="JH5023" s="67">
        <v>238</v>
      </c>
      <c r="JI5023" s="67">
        <v>88</v>
      </c>
      <c r="JJ5023" s="67">
        <v>88</v>
      </c>
      <c r="JK5023" s="67" t="s">
        <v>3072</v>
      </c>
      <c r="JL5023" s="67">
        <v>52</v>
      </c>
      <c r="JM5023" s="67">
        <v>27</v>
      </c>
      <c r="JN5023" s="67">
        <v>22</v>
      </c>
      <c r="JO5023" s="67">
        <v>22</v>
      </c>
      <c r="JP5023" s="67" t="s">
        <v>3072</v>
      </c>
      <c r="JQ5023" s="67"/>
      <c r="JR5023" s="67"/>
      <c r="JS5023" s="67"/>
      <c r="JT5023" s="67"/>
      <c r="JU5023" s="58" t="s">
        <v>5691</v>
      </c>
      <c r="JV5023" s="58"/>
      <c r="JW5023" s="58"/>
    </row>
    <row r="5024" spans="1:283" s="23" customFormat="1" x14ac:dyDescent="0.25">
      <c r="A5024" s="55">
        <v>5023</v>
      </c>
      <c r="B5024" s="12" t="s">
        <v>7067</v>
      </c>
      <c r="C5024" s="156">
        <v>255</v>
      </c>
      <c r="D5024" s="58" t="s">
        <v>5681</v>
      </c>
      <c r="E5024" s="160" t="str">
        <f>G5024</f>
        <v>Murata &amp; Goh, 1997_arable</v>
      </c>
      <c r="F5024" s="160"/>
      <c r="G5024" s="60" t="s">
        <v>4735</v>
      </c>
      <c r="H5024" s="58">
        <v>1997</v>
      </c>
      <c r="I5024" s="58" t="s">
        <v>2905</v>
      </c>
      <c r="J5024" s="243" t="s">
        <v>2176</v>
      </c>
      <c r="K5024" s="63" t="s">
        <v>5090</v>
      </c>
      <c r="L5024" s="58" t="s">
        <v>5335</v>
      </c>
      <c r="M5024" s="94">
        <v>-43.76</v>
      </c>
      <c r="N5024" s="94">
        <v>172.02</v>
      </c>
      <c r="O5024" s="94">
        <v>108</v>
      </c>
      <c r="P5024" s="58"/>
      <c r="Q5024" s="244"/>
      <c r="R5024" s="58"/>
      <c r="S5024" s="245">
        <v>1050</v>
      </c>
      <c r="T5024" s="58"/>
      <c r="U5024" s="58" t="s">
        <v>1816</v>
      </c>
      <c r="V5024" s="244">
        <v>8</v>
      </c>
      <c r="W5024" s="174"/>
      <c r="X5024" s="174"/>
      <c r="Y5024" s="58" t="s">
        <v>5678</v>
      </c>
      <c r="Z5024" s="244" t="s">
        <v>1347</v>
      </c>
      <c r="AA5024" s="245" t="s">
        <v>1676</v>
      </c>
      <c r="AB5024" s="67"/>
      <c r="AC5024" s="67"/>
      <c r="AD5024" s="94"/>
      <c r="AE5024" s="94"/>
      <c r="AF5024" s="94"/>
      <c r="AG5024" s="245"/>
      <c r="AH5024" s="58" t="s">
        <v>238</v>
      </c>
      <c r="AI5024" s="169"/>
      <c r="AJ5024" s="94"/>
      <c r="AK5024" s="94"/>
      <c r="AL5024" s="58"/>
      <c r="AM5024" s="58" t="s">
        <v>5676</v>
      </c>
      <c r="AN5024" s="186" t="s">
        <v>176</v>
      </c>
      <c r="AO5024" s="185" t="s">
        <v>5150</v>
      </c>
      <c r="AP5024" s="58"/>
      <c r="AQ5024" s="58" t="s">
        <v>176</v>
      </c>
      <c r="AR5024" s="58" t="s">
        <v>5134</v>
      </c>
      <c r="AS5024" s="58" t="s">
        <v>5529</v>
      </c>
      <c r="AT5024" s="247"/>
      <c r="AU5024" s="181" t="s">
        <v>7494</v>
      </c>
      <c r="AV5024" s="185" t="s">
        <v>176</v>
      </c>
      <c r="AW5024" s="244"/>
      <c r="AX5024" s="185" t="s">
        <v>176</v>
      </c>
      <c r="AY5024" s="244"/>
      <c r="AZ5024" s="58"/>
      <c r="BA5024" s="58"/>
      <c r="BB5024" s="58"/>
      <c r="BC5024" s="58"/>
      <c r="BD5024" s="58"/>
      <c r="BE5024" s="236" t="s">
        <v>5155</v>
      </c>
      <c r="BF5024" s="191" t="s">
        <v>176</v>
      </c>
      <c r="BG5024" s="191" t="s">
        <v>479</v>
      </c>
      <c r="BH5024" s="236" t="s">
        <v>5155</v>
      </c>
      <c r="BI5024" s="191" t="s">
        <v>479</v>
      </c>
      <c r="BJ5024" s="58" t="str">
        <f>IF(BE5024=BH5024,"No","yes")</f>
        <v>No</v>
      </c>
      <c r="BK5024" s="58" t="s">
        <v>6334</v>
      </c>
      <c r="BL5024" s="58"/>
      <c r="BM5024" s="237"/>
      <c r="BN5024" s="244" t="s">
        <v>1940</v>
      </c>
      <c r="BO5024" s="244">
        <v>8</v>
      </c>
      <c r="BP5024" s="58"/>
      <c r="BQ5024" s="58"/>
      <c r="BR5024" s="58"/>
      <c r="BS5024" s="58"/>
      <c r="BT5024" s="58"/>
      <c r="BU5024" s="58"/>
      <c r="BV5024" s="58"/>
      <c r="BW5024" s="67"/>
      <c r="BX5024" s="67"/>
      <c r="BY5024" s="67"/>
      <c r="BZ5024" s="67"/>
      <c r="CA5024" s="67"/>
      <c r="CB5024" s="70"/>
      <c r="CC5024" s="70"/>
      <c r="CD5024" s="70"/>
      <c r="CE5024" s="67"/>
      <c r="CF5024" s="67"/>
      <c r="CG5024" s="67"/>
      <c r="CH5024" s="245"/>
      <c r="CI5024" s="245"/>
      <c r="CJ5024" s="67"/>
      <c r="CK5024" s="67"/>
      <c r="CL5024" s="67"/>
      <c r="CM5024" s="242">
        <v>3.12</v>
      </c>
      <c r="CN5024" s="242">
        <v>3.16</v>
      </c>
      <c r="CO5024" s="242">
        <f>0.09*SQRT(8)</f>
        <v>0.2545584412271571</v>
      </c>
      <c r="CP5024" s="242">
        <f>0.09*SQRT(8)</f>
        <v>0.2545584412271571</v>
      </c>
      <c r="CQ5024" s="242" t="s">
        <v>164</v>
      </c>
      <c r="CR5024" s="242"/>
      <c r="CS5024" s="242"/>
      <c r="CT5024" s="242"/>
      <c r="CU5024" s="242"/>
      <c r="CV5024" s="242"/>
      <c r="CW5024" s="242"/>
      <c r="CX5024" s="242"/>
      <c r="CY5024" s="242"/>
      <c r="CZ5024" s="242"/>
      <c r="DA5024" s="67"/>
      <c r="DB5024" s="67">
        <v>0.31</v>
      </c>
      <c r="DC5024" s="67">
        <v>0.31</v>
      </c>
      <c r="DD5024" s="67">
        <f>SQRT(8)*0.01</f>
        <v>2.8284271247461905E-2</v>
      </c>
      <c r="DE5024" s="67">
        <f>SQRT(8)*0.01</f>
        <v>2.8284271247461905E-2</v>
      </c>
      <c r="DF5024" s="67" t="s">
        <v>5565</v>
      </c>
      <c r="DG5024" s="67"/>
      <c r="DH5024" s="67"/>
      <c r="DI5024" s="67"/>
      <c r="DJ5024" s="67"/>
      <c r="DK5024" s="67"/>
      <c r="DL5024" s="67"/>
      <c r="DM5024" s="67"/>
      <c r="DN5024" s="67"/>
      <c r="DO5024" s="67"/>
      <c r="DP5024" s="67"/>
      <c r="DQ5024" s="166"/>
      <c r="DR5024" s="166"/>
      <c r="DS5024" s="163"/>
      <c r="DT5024" s="163"/>
      <c r="DU5024" s="67"/>
      <c r="DV5024" s="67"/>
      <c r="DW5024" s="67"/>
      <c r="DX5024" s="67"/>
      <c r="DY5024" s="67"/>
      <c r="DZ5024" s="67"/>
      <c r="EA5024" s="67"/>
      <c r="EB5024" s="67"/>
      <c r="EC5024" s="67"/>
      <c r="ED5024" s="67"/>
      <c r="EE5024" s="67"/>
      <c r="EF5024" s="67"/>
      <c r="EG5024" s="67"/>
      <c r="EH5024" s="67"/>
      <c r="EI5024" s="67"/>
      <c r="EJ5024" s="67"/>
      <c r="EK5024" s="94"/>
      <c r="EL5024" s="94"/>
      <c r="EM5024" s="67"/>
      <c r="EN5024" s="67"/>
      <c r="EO5024" s="67"/>
      <c r="EP5024" s="67"/>
      <c r="EQ5024" s="67"/>
      <c r="ER5024" s="67"/>
      <c r="ES5024" s="67"/>
      <c r="ET5024" s="67"/>
      <c r="EU5024" s="67"/>
      <c r="EV5024" s="67"/>
      <c r="EW5024" s="67"/>
      <c r="EX5024" s="67"/>
      <c r="EY5024" s="67"/>
      <c r="EZ5024" s="67"/>
      <c r="FA5024" s="67"/>
      <c r="FB5024" s="67"/>
      <c r="FC5024" s="67"/>
      <c r="FD5024" s="67"/>
      <c r="FE5024" s="67"/>
      <c r="FF5024" s="67"/>
      <c r="FG5024" s="67"/>
      <c r="FH5024" s="67"/>
      <c r="FI5024" s="67"/>
      <c r="FJ5024" s="67"/>
      <c r="FK5024" s="67"/>
      <c r="FL5024" s="67"/>
      <c r="FM5024" s="67"/>
      <c r="FN5024" s="67"/>
      <c r="FO5024" s="67"/>
      <c r="FP5024" s="67"/>
      <c r="FQ5024" s="67"/>
      <c r="FR5024" s="67"/>
      <c r="FS5024" s="67"/>
      <c r="FT5024" s="67"/>
      <c r="FU5024" s="67"/>
      <c r="FV5024" s="67"/>
      <c r="FW5024" s="67"/>
      <c r="FX5024" s="67"/>
      <c r="FY5024" s="67"/>
      <c r="FZ5024" s="67"/>
      <c r="GA5024" s="67"/>
      <c r="GB5024" s="67"/>
      <c r="GC5024" s="67"/>
      <c r="GD5024" s="67"/>
      <c r="GE5024" s="67"/>
      <c r="GF5024" s="67"/>
      <c r="GG5024" s="67"/>
      <c r="GH5024" s="67"/>
      <c r="GI5024" s="67"/>
      <c r="GJ5024" s="67"/>
      <c r="GK5024" s="67"/>
      <c r="GL5024" s="67"/>
      <c r="GM5024" s="67"/>
      <c r="GN5024" s="292"/>
      <c r="GO5024" s="292"/>
      <c r="GP5024" s="292" t="s">
        <v>7494</v>
      </c>
      <c r="GQ5024" s="67"/>
      <c r="GR5024" s="67"/>
      <c r="GS5024" s="67"/>
      <c r="GT5024" s="67"/>
      <c r="GU5024" s="67"/>
      <c r="GV5024" s="67"/>
      <c r="GW5024" s="67"/>
      <c r="GX5024" s="67"/>
      <c r="GY5024" s="67"/>
      <c r="GZ5024" s="67"/>
      <c r="HA5024" s="67"/>
      <c r="HB5024" s="67"/>
      <c r="HC5024" s="67"/>
      <c r="HD5024" s="67"/>
      <c r="HE5024" s="67"/>
      <c r="HF5024" s="67"/>
      <c r="HG5024" s="67"/>
      <c r="HH5024" s="67"/>
      <c r="HI5024" s="67"/>
      <c r="HJ5024" s="67"/>
      <c r="HK5024" s="67"/>
      <c r="HL5024" s="67"/>
      <c r="HM5024" s="67"/>
      <c r="HN5024" s="67"/>
      <c r="HO5024" s="67"/>
      <c r="HP5024" s="67"/>
      <c r="HQ5024" s="67"/>
      <c r="HR5024" s="67"/>
      <c r="HS5024" s="67"/>
      <c r="HT5024" s="67"/>
      <c r="HU5024" s="67"/>
      <c r="HV5024" s="67"/>
      <c r="HW5024" s="67"/>
      <c r="HX5024" s="67"/>
      <c r="HY5024" s="67"/>
      <c r="HZ5024" s="67"/>
      <c r="IA5024" s="67"/>
      <c r="IB5024" s="67"/>
      <c r="IC5024" s="67"/>
      <c r="ID5024" s="67"/>
      <c r="IE5024" s="67"/>
      <c r="IF5024" s="67"/>
      <c r="IG5024" s="67"/>
      <c r="IH5024" s="67"/>
      <c r="II5024" s="67"/>
      <c r="IJ5024" s="67"/>
      <c r="IK5024" s="67"/>
      <c r="IL5024" s="67"/>
      <c r="IM5024" s="67"/>
      <c r="IN5024" s="67"/>
      <c r="IO5024" s="67"/>
      <c r="IP5024" s="67"/>
      <c r="IQ5024" s="67"/>
      <c r="IR5024" s="67"/>
      <c r="IS5024" s="67"/>
      <c r="IT5024" s="67"/>
      <c r="IU5024" s="67"/>
      <c r="IV5024" s="67"/>
      <c r="IW5024" s="67"/>
      <c r="IX5024" s="67"/>
      <c r="IY5024" s="67"/>
      <c r="IZ5024" s="67"/>
      <c r="JA5024" s="67"/>
      <c r="JB5024" s="67"/>
      <c r="JC5024" s="67"/>
      <c r="JD5024" s="67"/>
      <c r="JE5024" s="67"/>
      <c r="JF5024" s="67"/>
      <c r="JG5024" s="67">
        <v>629</v>
      </c>
      <c r="JH5024" s="67">
        <v>374</v>
      </c>
      <c r="JI5024" s="67">
        <v>88</v>
      </c>
      <c r="JJ5024" s="67">
        <v>88</v>
      </c>
      <c r="JK5024" s="67" t="s">
        <v>3072</v>
      </c>
      <c r="JL5024" s="67">
        <v>86</v>
      </c>
      <c r="JM5024" s="67">
        <v>75</v>
      </c>
      <c r="JN5024" s="67">
        <v>22</v>
      </c>
      <c r="JO5024" s="67">
        <v>22</v>
      </c>
      <c r="JP5024" s="67" t="s">
        <v>3072</v>
      </c>
      <c r="JQ5024" s="67"/>
      <c r="JR5024" s="67"/>
      <c r="JS5024" s="67"/>
      <c r="JT5024" s="67"/>
      <c r="JU5024" s="58" t="s">
        <v>5691</v>
      </c>
      <c r="JV5024" s="58"/>
      <c r="JW5024" s="58"/>
    </row>
    <row r="5025" spans="1:283" s="23" customFormat="1" x14ac:dyDescent="0.25">
      <c r="A5025" s="55">
        <v>5024</v>
      </c>
      <c r="B5025" s="12" t="s">
        <v>7067</v>
      </c>
      <c r="C5025" s="156">
        <v>255</v>
      </c>
      <c r="D5025" s="58" t="s">
        <v>5682</v>
      </c>
      <c r="E5025" s="160" t="str">
        <f>G5025</f>
        <v>Murata &amp; Goh, 1997_pasture</v>
      </c>
      <c r="F5025" s="160"/>
      <c r="G5025" s="60" t="s">
        <v>4734</v>
      </c>
      <c r="H5025" s="58">
        <v>1997</v>
      </c>
      <c r="I5025" s="58" t="s">
        <v>2905</v>
      </c>
      <c r="J5025" s="243" t="s">
        <v>2176</v>
      </c>
      <c r="K5025" s="63" t="s">
        <v>5090</v>
      </c>
      <c r="L5025" s="58" t="s">
        <v>5335</v>
      </c>
      <c r="M5025" s="94">
        <v>-43.76</v>
      </c>
      <c r="N5025" s="94">
        <v>172.02</v>
      </c>
      <c r="O5025" s="94">
        <v>108</v>
      </c>
      <c r="P5025" s="58"/>
      <c r="Q5025" s="244"/>
      <c r="R5025" s="58"/>
      <c r="S5025" s="245">
        <v>1050</v>
      </c>
      <c r="T5025" s="58"/>
      <c r="U5025" s="58" t="s">
        <v>1816</v>
      </c>
      <c r="V5025" s="244">
        <v>8</v>
      </c>
      <c r="W5025" s="174"/>
      <c r="X5025" s="174"/>
      <c r="Y5025" s="58" t="s">
        <v>5678</v>
      </c>
      <c r="Z5025" s="244" t="s">
        <v>1347</v>
      </c>
      <c r="AA5025" s="245" t="s">
        <v>1676</v>
      </c>
      <c r="AB5025" s="67"/>
      <c r="AC5025" s="67"/>
      <c r="AD5025" s="94"/>
      <c r="AE5025" s="94"/>
      <c r="AF5025" s="94"/>
      <c r="AG5025" s="245"/>
      <c r="AH5025" s="58" t="s">
        <v>238</v>
      </c>
      <c r="AI5025" s="169"/>
      <c r="AJ5025" s="94"/>
      <c r="AK5025" s="94"/>
      <c r="AL5025" s="58"/>
      <c r="AM5025" s="58" t="s">
        <v>5676</v>
      </c>
      <c r="AN5025" s="186" t="s">
        <v>176</v>
      </c>
      <c r="AO5025" s="185" t="s">
        <v>5150</v>
      </c>
      <c r="AP5025" s="58"/>
      <c r="AQ5025" s="58" t="s">
        <v>176</v>
      </c>
      <c r="AR5025" s="58" t="s">
        <v>5134</v>
      </c>
      <c r="AS5025" s="58" t="s">
        <v>5529</v>
      </c>
      <c r="AT5025" s="247"/>
      <c r="AU5025" s="181" t="s">
        <v>7494</v>
      </c>
      <c r="AV5025" s="185" t="s">
        <v>176</v>
      </c>
      <c r="AW5025" s="244"/>
      <c r="AX5025" s="185" t="s">
        <v>176</v>
      </c>
      <c r="AY5025" s="244"/>
      <c r="AZ5025" s="58"/>
      <c r="BA5025" s="58"/>
      <c r="BB5025" s="58"/>
      <c r="BC5025" s="58"/>
      <c r="BD5025" s="58"/>
      <c r="BE5025" s="236" t="s">
        <v>5155</v>
      </c>
      <c r="BF5025" s="191" t="s">
        <v>176</v>
      </c>
      <c r="BG5025" s="191" t="s">
        <v>479</v>
      </c>
      <c r="BH5025" s="236" t="s">
        <v>5155</v>
      </c>
      <c r="BI5025" s="191" t="s">
        <v>479</v>
      </c>
      <c r="BJ5025" s="58" t="str">
        <f>IF(BE5025=BH5025,"No","yes")</f>
        <v>No</v>
      </c>
      <c r="BK5025" s="58" t="s">
        <v>6334</v>
      </c>
      <c r="BL5025" s="58"/>
      <c r="BM5025" s="237"/>
      <c r="BN5025" s="244" t="s">
        <v>1940</v>
      </c>
      <c r="BO5025" s="244">
        <v>8</v>
      </c>
      <c r="BP5025" s="58"/>
      <c r="BQ5025" s="58"/>
      <c r="BR5025" s="58"/>
      <c r="BS5025" s="58"/>
      <c r="BT5025" s="58"/>
      <c r="BU5025" s="58"/>
      <c r="BV5025" s="58"/>
      <c r="BW5025" s="67"/>
      <c r="BX5025" s="67"/>
      <c r="BY5025" s="67"/>
      <c r="BZ5025" s="67"/>
      <c r="CA5025" s="67"/>
      <c r="CB5025" s="70"/>
      <c r="CC5025" s="70"/>
      <c r="CD5025" s="70"/>
      <c r="CE5025" s="67"/>
      <c r="CF5025" s="67"/>
      <c r="CG5025" s="67"/>
      <c r="CH5025" s="245"/>
      <c r="CI5025" s="245"/>
      <c r="CJ5025" s="67"/>
      <c r="CK5025" s="67"/>
      <c r="CL5025" s="67"/>
      <c r="CM5025" s="242">
        <v>3.47</v>
      </c>
      <c r="CN5025" s="242">
        <v>3.47</v>
      </c>
      <c r="CO5025" s="242">
        <f>0.09*SQRT(8)</f>
        <v>0.2545584412271571</v>
      </c>
      <c r="CP5025" s="242">
        <f>0.09*SQRT(8)</f>
        <v>0.2545584412271571</v>
      </c>
      <c r="CQ5025" s="242" t="s">
        <v>164</v>
      </c>
      <c r="CR5025" s="242"/>
      <c r="CS5025" s="242"/>
      <c r="CT5025" s="242"/>
      <c r="CU5025" s="242"/>
      <c r="CV5025" s="242"/>
      <c r="CW5025" s="242"/>
      <c r="CX5025" s="242"/>
      <c r="CY5025" s="242"/>
      <c r="CZ5025" s="242"/>
      <c r="DA5025" s="67"/>
      <c r="DB5025" s="67">
        <v>0.36</v>
      </c>
      <c r="DC5025" s="67">
        <v>0.32</v>
      </c>
      <c r="DD5025" s="67">
        <f>SQRT(8)*0.01</f>
        <v>2.8284271247461905E-2</v>
      </c>
      <c r="DE5025" s="67">
        <f>SQRT(8)*0.01</f>
        <v>2.8284271247461905E-2</v>
      </c>
      <c r="DF5025" s="67" t="s">
        <v>5565</v>
      </c>
      <c r="DG5025" s="67"/>
      <c r="DH5025" s="67"/>
      <c r="DI5025" s="67"/>
      <c r="DJ5025" s="67"/>
      <c r="DK5025" s="67"/>
      <c r="DL5025" s="67"/>
      <c r="DM5025" s="67"/>
      <c r="DN5025" s="67"/>
      <c r="DO5025" s="67"/>
      <c r="DP5025" s="67"/>
      <c r="DQ5025" s="166"/>
      <c r="DR5025" s="166"/>
      <c r="DS5025" s="163"/>
      <c r="DT5025" s="163"/>
      <c r="DU5025" s="67"/>
      <c r="DV5025" s="67"/>
      <c r="DW5025" s="67"/>
      <c r="DX5025" s="67"/>
      <c r="DY5025" s="67"/>
      <c r="DZ5025" s="67"/>
      <c r="EA5025" s="67"/>
      <c r="EB5025" s="67"/>
      <c r="EC5025" s="67"/>
      <c r="ED5025" s="67"/>
      <c r="EE5025" s="67"/>
      <c r="EF5025" s="67"/>
      <c r="EG5025" s="67"/>
      <c r="EH5025" s="67"/>
      <c r="EI5025" s="67"/>
      <c r="EJ5025" s="67"/>
      <c r="EK5025" s="94"/>
      <c r="EL5025" s="94"/>
      <c r="EM5025" s="67"/>
      <c r="EN5025" s="67"/>
      <c r="EO5025" s="67"/>
      <c r="EP5025" s="67"/>
      <c r="EQ5025" s="67"/>
      <c r="ER5025" s="67"/>
      <c r="ES5025" s="67"/>
      <c r="ET5025" s="67"/>
      <c r="EU5025" s="67"/>
      <c r="EV5025" s="67"/>
      <c r="EW5025" s="67"/>
      <c r="EX5025" s="67"/>
      <c r="EY5025" s="67"/>
      <c r="EZ5025" s="67"/>
      <c r="FA5025" s="67"/>
      <c r="FB5025" s="67"/>
      <c r="FC5025" s="67"/>
      <c r="FD5025" s="67"/>
      <c r="FE5025" s="67"/>
      <c r="FF5025" s="67"/>
      <c r="FG5025" s="67"/>
      <c r="FH5025" s="67"/>
      <c r="FI5025" s="67"/>
      <c r="FJ5025" s="67"/>
      <c r="FK5025" s="67"/>
      <c r="FL5025" s="67"/>
      <c r="FM5025" s="67"/>
      <c r="FN5025" s="67"/>
      <c r="FO5025" s="67"/>
      <c r="FP5025" s="67"/>
      <c r="FQ5025" s="67"/>
      <c r="FR5025" s="67"/>
      <c r="FS5025" s="67"/>
      <c r="FT5025" s="67"/>
      <c r="FU5025" s="67"/>
      <c r="FV5025" s="67"/>
      <c r="FW5025" s="67"/>
      <c r="FX5025" s="67"/>
      <c r="FY5025" s="67"/>
      <c r="FZ5025" s="67"/>
      <c r="GA5025" s="67"/>
      <c r="GB5025" s="67"/>
      <c r="GC5025" s="67"/>
      <c r="GD5025" s="67"/>
      <c r="GE5025" s="67"/>
      <c r="GF5025" s="67"/>
      <c r="GG5025" s="67"/>
      <c r="GH5025" s="67"/>
      <c r="GI5025" s="67"/>
      <c r="GJ5025" s="67"/>
      <c r="GK5025" s="67"/>
      <c r="GL5025" s="67"/>
      <c r="GM5025" s="67"/>
      <c r="GN5025" s="292"/>
      <c r="GO5025" s="292"/>
      <c r="GP5025" s="292" t="s">
        <v>7494</v>
      </c>
      <c r="GQ5025" s="67"/>
      <c r="GR5025" s="67"/>
      <c r="GS5025" s="67"/>
      <c r="GT5025" s="67"/>
      <c r="GU5025" s="67"/>
      <c r="GV5025" s="67"/>
      <c r="GW5025" s="67"/>
      <c r="GX5025" s="67"/>
      <c r="GY5025" s="67"/>
      <c r="GZ5025" s="67"/>
      <c r="HA5025" s="67"/>
      <c r="HB5025" s="67"/>
      <c r="HC5025" s="67"/>
      <c r="HD5025" s="67"/>
      <c r="HE5025" s="67"/>
      <c r="HF5025" s="67"/>
      <c r="HG5025" s="67"/>
      <c r="HH5025" s="67"/>
      <c r="HI5025" s="67"/>
      <c r="HJ5025" s="67"/>
      <c r="HK5025" s="67"/>
      <c r="HL5025" s="67"/>
      <c r="HM5025" s="67"/>
      <c r="HN5025" s="67"/>
      <c r="HO5025" s="67"/>
      <c r="HP5025" s="67"/>
      <c r="HQ5025" s="67"/>
      <c r="HR5025" s="67"/>
      <c r="HS5025" s="67"/>
      <c r="HT5025" s="67"/>
      <c r="HU5025" s="67"/>
      <c r="HV5025" s="67"/>
      <c r="HW5025" s="67"/>
      <c r="HX5025" s="67"/>
      <c r="HY5025" s="67"/>
      <c r="HZ5025" s="67"/>
      <c r="IA5025" s="67"/>
      <c r="IB5025" s="67"/>
      <c r="IC5025" s="67"/>
      <c r="ID5025" s="67"/>
      <c r="IE5025" s="67"/>
      <c r="IF5025" s="67"/>
      <c r="IG5025" s="67"/>
      <c r="IH5025" s="67"/>
      <c r="II5025" s="67"/>
      <c r="IJ5025" s="67"/>
      <c r="IK5025" s="67"/>
      <c r="IL5025" s="67"/>
      <c r="IM5025" s="67"/>
      <c r="IN5025" s="67"/>
      <c r="IO5025" s="67"/>
      <c r="IP5025" s="67"/>
      <c r="IQ5025" s="67"/>
      <c r="IR5025" s="67"/>
      <c r="IS5025" s="67"/>
      <c r="IT5025" s="67"/>
      <c r="IU5025" s="67"/>
      <c r="IV5025" s="67"/>
      <c r="IW5025" s="67"/>
      <c r="IX5025" s="67"/>
      <c r="IY5025" s="67"/>
      <c r="IZ5025" s="67"/>
      <c r="JA5025" s="67"/>
      <c r="JB5025" s="67"/>
      <c r="JC5025" s="67"/>
      <c r="JD5025" s="67"/>
      <c r="JE5025" s="67"/>
      <c r="JF5025" s="67"/>
      <c r="JG5025" s="67">
        <v>550</v>
      </c>
      <c r="JH5025" s="67">
        <v>449</v>
      </c>
      <c r="JI5025" s="67">
        <v>88</v>
      </c>
      <c r="JJ5025" s="67">
        <v>88</v>
      </c>
      <c r="JK5025" s="67" t="s">
        <v>3072</v>
      </c>
      <c r="JL5025" s="67">
        <v>86</v>
      </c>
      <c r="JM5025" s="67">
        <v>92</v>
      </c>
      <c r="JN5025" s="67">
        <v>22</v>
      </c>
      <c r="JO5025" s="67">
        <v>22</v>
      </c>
      <c r="JP5025" s="67" t="s">
        <v>3072</v>
      </c>
      <c r="JQ5025" s="67"/>
      <c r="JR5025" s="67"/>
      <c r="JS5025" s="67"/>
      <c r="JT5025" s="67"/>
      <c r="JU5025" s="58" t="s">
        <v>5691</v>
      </c>
      <c r="JV5025" s="58"/>
      <c r="JW5025" s="58"/>
    </row>
    <row r="5026" spans="1:283" s="23" customFormat="1" x14ac:dyDescent="0.25">
      <c r="A5026" s="55">
        <v>5025</v>
      </c>
      <c r="B5026" s="12" t="s">
        <v>7067</v>
      </c>
      <c r="C5026" s="156">
        <v>255</v>
      </c>
      <c r="D5026" s="58" t="s">
        <v>5683</v>
      </c>
      <c r="E5026" s="160" t="str">
        <f>G5026</f>
        <v>Murata &amp; Goh, 1997_arable</v>
      </c>
      <c r="F5026" s="160"/>
      <c r="G5026" s="60" t="s">
        <v>4735</v>
      </c>
      <c r="H5026" s="58">
        <v>1997</v>
      </c>
      <c r="I5026" s="58" t="s">
        <v>2905</v>
      </c>
      <c r="J5026" s="243" t="s">
        <v>2176</v>
      </c>
      <c r="K5026" s="63" t="s">
        <v>5090</v>
      </c>
      <c r="L5026" s="58" t="s">
        <v>5335</v>
      </c>
      <c r="M5026" s="94">
        <v>-43.76</v>
      </c>
      <c r="N5026" s="94">
        <v>172.02</v>
      </c>
      <c r="O5026" s="94">
        <v>108</v>
      </c>
      <c r="P5026" s="58"/>
      <c r="Q5026" s="244"/>
      <c r="R5026" s="58"/>
      <c r="S5026" s="245">
        <v>1050</v>
      </c>
      <c r="T5026" s="58"/>
      <c r="U5026" s="58" t="s">
        <v>1816</v>
      </c>
      <c r="V5026" s="244">
        <v>8</v>
      </c>
      <c r="W5026" s="174"/>
      <c r="X5026" s="174"/>
      <c r="Y5026" s="58" t="s">
        <v>5678</v>
      </c>
      <c r="Z5026" s="244" t="s">
        <v>1347</v>
      </c>
      <c r="AA5026" s="245" t="s">
        <v>1676</v>
      </c>
      <c r="AB5026" s="67"/>
      <c r="AC5026" s="67"/>
      <c r="AD5026" s="94"/>
      <c r="AE5026" s="94"/>
      <c r="AF5026" s="94"/>
      <c r="AG5026" s="245"/>
      <c r="AH5026" s="58" t="s">
        <v>238</v>
      </c>
      <c r="AI5026" s="169"/>
      <c r="AJ5026" s="94"/>
      <c r="AK5026" s="94"/>
      <c r="AL5026" s="58"/>
      <c r="AM5026" s="58" t="s">
        <v>5676</v>
      </c>
      <c r="AN5026" s="186" t="s">
        <v>176</v>
      </c>
      <c r="AO5026" s="185" t="s">
        <v>5150</v>
      </c>
      <c r="AP5026" s="58"/>
      <c r="AQ5026" s="58" t="s">
        <v>176</v>
      </c>
      <c r="AR5026" s="58" t="s">
        <v>5134</v>
      </c>
      <c r="AS5026" s="58" t="s">
        <v>5529</v>
      </c>
      <c r="AT5026" s="247"/>
      <c r="AU5026" s="181" t="s">
        <v>7494</v>
      </c>
      <c r="AV5026" s="185" t="s">
        <v>176</v>
      </c>
      <c r="AW5026" s="244"/>
      <c r="AX5026" s="185" t="s">
        <v>176</v>
      </c>
      <c r="AY5026" s="244"/>
      <c r="AZ5026" s="58"/>
      <c r="BA5026" s="58"/>
      <c r="BB5026" s="58"/>
      <c r="BC5026" s="58"/>
      <c r="BD5026" s="58"/>
      <c r="BE5026" s="236" t="s">
        <v>5155</v>
      </c>
      <c r="BF5026" s="191" t="s">
        <v>176</v>
      </c>
      <c r="BG5026" s="191" t="s">
        <v>479</v>
      </c>
      <c r="BH5026" s="236" t="s">
        <v>5155</v>
      </c>
      <c r="BI5026" s="191" t="s">
        <v>479</v>
      </c>
      <c r="BJ5026" s="58" t="str">
        <f>IF(BE5026=BH5026,"No","yes")</f>
        <v>No</v>
      </c>
      <c r="BK5026" s="58" t="s">
        <v>6334</v>
      </c>
      <c r="BL5026" s="58"/>
      <c r="BM5026" s="237"/>
      <c r="BN5026" s="244" t="s">
        <v>1940</v>
      </c>
      <c r="BO5026" s="244">
        <v>8</v>
      </c>
      <c r="BP5026" s="58"/>
      <c r="BQ5026" s="58"/>
      <c r="BR5026" s="58"/>
      <c r="BS5026" s="58"/>
      <c r="BT5026" s="58"/>
      <c r="BU5026" s="58"/>
      <c r="BV5026" s="58"/>
      <c r="BW5026" s="67"/>
      <c r="BX5026" s="67"/>
      <c r="BY5026" s="67"/>
      <c r="BZ5026" s="67"/>
      <c r="CA5026" s="67"/>
      <c r="CB5026" s="70"/>
      <c r="CC5026" s="70"/>
      <c r="CD5026" s="70"/>
      <c r="CE5026" s="67"/>
      <c r="CF5026" s="67"/>
      <c r="CG5026" s="67"/>
      <c r="CH5026" s="245"/>
      <c r="CI5026" s="245"/>
      <c r="CJ5026" s="67"/>
      <c r="CK5026" s="67"/>
      <c r="CL5026" s="67"/>
      <c r="CM5026" s="242">
        <v>3.39</v>
      </c>
      <c r="CN5026" s="242">
        <v>3.39</v>
      </c>
      <c r="CO5026" s="242">
        <f>0.09*SQRT(8)</f>
        <v>0.2545584412271571</v>
      </c>
      <c r="CP5026" s="242">
        <f>0.09*SQRT(8)</f>
        <v>0.2545584412271571</v>
      </c>
      <c r="CQ5026" s="242" t="s">
        <v>164</v>
      </c>
      <c r="CR5026" s="242"/>
      <c r="CS5026" s="242"/>
      <c r="CT5026" s="242"/>
      <c r="CU5026" s="242"/>
      <c r="CV5026" s="242"/>
      <c r="CW5026" s="242"/>
      <c r="CX5026" s="242"/>
      <c r="CY5026" s="242"/>
      <c r="CZ5026" s="242"/>
      <c r="DA5026" s="67"/>
      <c r="DB5026" s="67">
        <v>0.33</v>
      </c>
      <c r="DC5026" s="67">
        <v>0.37</v>
      </c>
      <c r="DD5026" s="67">
        <f>SQRT(8)*0.01</f>
        <v>2.8284271247461905E-2</v>
      </c>
      <c r="DE5026" s="67">
        <f>SQRT(8)*0.01</f>
        <v>2.8284271247461905E-2</v>
      </c>
      <c r="DF5026" s="67" t="s">
        <v>5565</v>
      </c>
      <c r="DG5026" s="67"/>
      <c r="DH5026" s="67"/>
      <c r="DI5026" s="67"/>
      <c r="DJ5026" s="67"/>
      <c r="DK5026" s="67"/>
      <c r="DL5026" s="67"/>
      <c r="DM5026" s="67"/>
      <c r="DN5026" s="67"/>
      <c r="DO5026" s="67"/>
      <c r="DP5026" s="67"/>
      <c r="DQ5026" s="166"/>
      <c r="DR5026" s="166"/>
      <c r="DS5026" s="163"/>
      <c r="DT5026" s="163"/>
      <c r="DU5026" s="67"/>
      <c r="DV5026" s="67"/>
      <c r="DW5026" s="67"/>
      <c r="DX5026" s="67"/>
      <c r="DY5026" s="67"/>
      <c r="DZ5026" s="67"/>
      <c r="EA5026" s="67"/>
      <c r="EB5026" s="67"/>
      <c r="EC5026" s="67"/>
      <c r="ED5026" s="67"/>
      <c r="EE5026" s="67"/>
      <c r="EF5026" s="67"/>
      <c r="EG5026" s="67"/>
      <c r="EH5026" s="67"/>
      <c r="EI5026" s="67"/>
      <c r="EJ5026" s="67"/>
      <c r="EK5026" s="94"/>
      <c r="EL5026" s="94"/>
      <c r="EM5026" s="67"/>
      <c r="EN5026" s="67"/>
      <c r="EO5026" s="67"/>
      <c r="EP5026" s="67"/>
      <c r="EQ5026" s="67"/>
      <c r="ER5026" s="67"/>
      <c r="ES5026" s="67"/>
      <c r="ET5026" s="67"/>
      <c r="EU5026" s="67"/>
      <c r="EV5026" s="67"/>
      <c r="EW5026" s="67"/>
      <c r="EX5026" s="67"/>
      <c r="EY5026" s="67"/>
      <c r="EZ5026" s="67"/>
      <c r="FA5026" s="67"/>
      <c r="FB5026" s="67"/>
      <c r="FC5026" s="67"/>
      <c r="FD5026" s="67"/>
      <c r="FE5026" s="67"/>
      <c r="FF5026" s="67"/>
      <c r="FG5026" s="67"/>
      <c r="FH5026" s="67"/>
      <c r="FI5026" s="67"/>
      <c r="FJ5026" s="67"/>
      <c r="FK5026" s="67"/>
      <c r="FL5026" s="67"/>
      <c r="FM5026" s="67"/>
      <c r="FN5026" s="67"/>
      <c r="FO5026" s="67"/>
      <c r="FP5026" s="67"/>
      <c r="FQ5026" s="67"/>
      <c r="FR5026" s="67"/>
      <c r="FS5026" s="67"/>
      <c r="FT5026" s="67"/>
      <c r="FU5026" s="67"/>
      <c r="FV5026" s="67"/>
      <c r="FW5026" s="67"/>
      <c r="FX5026" s="67"/>
      <c r="FY5026" s="67"/>
      <c r="FZ5026" s="67"/>
      <c r="GA5026" s="67"/>
      <c r="GB5026" s="67"/>
      <c r="GC5026" s="67"/>
      <c r="GD5026" s="67"/>
      <c r="GE5026" s="67"/>
      <c r="GF5026" s="67"/>
      <c r="GG5026" s="67"/>
      <c r="GH5026" s="67"/>
      <c r="GI5026" s="67"/>
      <c r="GJ5026" s="67"/>
      <c r="GK5026" s="67"/>
      <c r="GL5026" s="67"/>
      <c r="GM5026" s="67"/>
      <c r="GN5026" s="292"/>
      <c r="GO5026" s="292"/>
      <c r="GP5026" s="292" t="s">
        <v>7494</v>
      </c>
      <c r="GQ5026" s="67"/>
      <c r="GR5026" s="67"/>
      <c r="GS5026" s="67"/>
      <c r="GT5026" s="67"/>
      <c r="GU5026" s="67"/>
      <c r="GV5026" s="67"/>
      <c r="GW5026" s="67"/>
      <c r="GX5026" s="67"/>
      <c r="GY5026" s="67"/>
      <c r="GZ5026" s="67"/>
      <c r="HA5026" s="67"/>
      <c r="HB5026" s="67"/>
      <c r="HC5026" s="67"/>
      <c r="HD5026" s="67"/>
      <c r="HE5026" s="67"/>
      <c r="HF5026" s="67"/>
      <c r="HG5026" s="67"/>
      <c r="HH5026" s="67"/>
      <c r="HI5026" s="67"/>
      <c r="HJ5026" s="67"/>
      <c r="HK5026" s="67"/>
      <c r="HL5026" s="67"/>
      <c r="HM5026" s="67"/>
      <c r="HN5026" s="67"/>
      <c r="HO5026" s="67"/>
      <c r="HP5026" s="67"/>
      <c r="HQ5026" s="67"/>
      <c r="HR5026" s="67"/>
      <c r="HS5026" s="67"/>
      <c r="HT5026" s="67"/>
      <c r="HU5026" s="67"/>
      <c r="HV5026" s="67"/>
      <c r="HW5026" s="67"/>
      <c r="HX5026" s="67"/>
      <c r="HY5026" s="67"/>
      <c r="HZ5026" s="67"/>
      <c r="IA5026" s="67"/>
      <c r="IB5026" s="67"/>
      <c r="IC5026" s="67"/>
      <c r="ID5026" s="67"/>
      <c r="IE5026" s="67"/>
      <c r="IF5026" s="67"/>
      <c r="IG5026" s="67"/>
      <c r="IH5026" s="67"/>
      <c r="II5026" s="67"/>
      <c r="IJ5026" s="67"/>
      <c r="IK5026" s="67"/>
      <c r="IL5026" s="67"/>
      <c r="IM5026" s="67"/>
      <c r="IN5026" s="67"/>
      <c r="IO5026" s="67"/>
      <c r="IP5026" s="67"/>
      <c r="IQ5026" s="67"/>
      <c r="IR5026" s="67"/>
      <c r="IS5026" s="67"/>
      <c r="IT5026" s="67"/>
      <c r="IU5026" s="67"/>
      <c r="IV5026" s="67"/>
      <c r="IW5026" s="67"/>
      <c r="IX5026" s="67"/>
      <c r="IY5026" s="67"/>
      <c r="IZ5026" s="67"/>
      <c r="JA5026" s="67"/>
      <c r="JB5026" s="67"/>
      <c r="JC5026" s="67"/>
      <c r="JD5026" s="67"/>
      <c r="JE5026" s="67"/>
      <c r="JF5026" s="67"/>
      <c r="JG5026" s="67">
        <v>587</v>
      </c>
      <c r="JH5026" s="67">
        <v>390</v>
      </c>
      <c r="JI5026" s="67">
        <v>88</v>
      </c>
      <c r="JJ5026" s="67">
        <v>88</v>
      </c>
      <c r="JK5026" s="67" t="s">
        <v>3072</v>
      </c>
      <c r="JL5026" s="67">
        <v>63</v>
      </c>
      <c r="JM5026" s="67">
        <v>120</v>
      </c>
      <c r="JN5026" s="67">
        <v>22</v>
      </c>
      <c r="JO5026" s="67">
        <v>22</v>
      </c>
      <c r="JP5026" s="67" t="s">
        <v>3072</v>
      </c>
      <c r="JQ5026" s="67"/>
      <c r="JR5026" s="67"/>
      <c r="JS5026" s="67"/>
      <c r="JT5026" s="67"/>
      <c r="JU5026" s="58" t="s">
        <v>5691</v>
      </c>
      <c r="JV5026" s="58"/>
      <c r="JW5026" s="58"/>
    </row>
    <row r="5027" spans="1:283" s="23" customFormat="1" x14ac:dyDescent="0.25">
      <c r="A5027" s="55">
        <v>5026</v>
      </c>
      <c r="B5027" s="12" t="s">
        <v>7067</v>
      </c>
      <c r="C5027" s="156">
        <v>255</v>
      </c>
      <c r="D5027" s="58" t="s">
        <v>5684</v>
      </c>
      <c r="E5027" s="160" t="str">
        <f>G5027</f>
        <v>Murata &amp; Goh, 1997_pasture</v>
      </c>
      <c r="F5027" s="160"/>
      <c r="G5027" s="60" t="s">
        <v>4734</v>
      </c>
      <c r="H5027" s="58">
        <v>1997</v>
      </c>
      <c r="I5027" s="58" t="s">
        <v>2905</v>
      </c>
      <c r="J5027" s="243" t="s">
        <v>2176</v>
      </c>
      <c r="K5027" s="63" t="s">
        <v>5090</v>
      </c>
      <c r="L5027" s="58" t="s">
        <v>5335</v>
      </c>
      <c r="M5027" s="94">
        <v>-43.76</v>
      </c>
      <c r="N5027" s="94">
        <v>172.02</v>
      </c>
      <c r="O5027" s="94">
        <v>108</v>
      </c>
      <c r="P5027" s="58"/>
      <c r="Q5027" s="244"/>
      <c r="R5027" s="58"/>
      <c r="S5027" s="245">
        <v>1050</v>
      </c>
      <c r="T5027" s="58"/>
      <c r="U5027" s="58" t="s">
        <v>1816</v>
      </c>
      <c r="V5027" s="244">
        <v>8</v>
      </c>
      <c r="W5027" s="174"/>
      <c r="X5027" s="174"/>
      <c r="Y5027" s="58" t="s">
        <v>5678</v>
      </c>
      <c r="Z5027" s="244" t="s">
        <v>1348</v>
      </c>
      <c r="AA5027" s="245" t="s">
        <v>1676</v>
      </c>
      <c r="AB5027" s="67"/>
      <c r="AC5027" s="67"/>
      <c r="AD5027" s="94"/>
      <c r="AE5027" s="94"/>
      <c r="AF5027" s="94"/>
      <c r="AG5027" s="245"/>
      <c r="AH5027" s="58" t="s">
        <v>238</v>
      </c>
      <c r="AI5027" s="169"/>
      <c r="AJ5027" s="94"/>
      <c r="AK5027" s="94"/>
      <c r="AL5027" s="58"/>
      <c r="AM5027" s="58" t="s">
        <v>5676</v>
      </c>
      <c r="AN5027" s="186" t="s">
        <v>176</v>
      </c>
      <c r="AO5027" s="185" t="s">
        <v>5150</v>
      </c>
      <c r="AP5027" s="58"/>
      <c r="AQ5027" s="58" t="s">
        <v>176</v>
      </c>
      <c r="AR5027" s="58" t="s">
        <v>5677</v>
      </c>
      <c r="AS5027" s="58" t="s">
        <v>1577</v>
      </c>
      <c r="AT5027" s="247" t="s">
        <v>5677</v>
      </c>
      <c r="AU5027" s="181" t="s">
        <v>5150</v>
      </c>
      <c r="AV5027" s="185" t="s">
        <v>479</v>
      </c>
      <c r="AW5027" s="244" t="s">
        <v>5677</v>
      </c>
      <c r="AX5027" s="185" t="s">
        <v>479</v>
      </c>
      <c r="AY5027" s="244" t="s">
        <v>176</v>
      </c>
      <c r="AZ5027" s="58"/>
      <c r="BA5027" s="58"/>
      <c r="BB5027" s="58"/>
      <c r="BC5027" s="58"/>
      <c r="BD5027" s="58"/>
      <c r="BE5027" s="236" t="s">
        <v>5155</v>
      </c>
      <c r="BF5027" s="191" t="s">
        <v>176</v>
      </c>
      <c r="BG5027" s="191" t="s">
        <v>479</v>
      </c>
      <c r="BH5027" s="236" t="s">
        <v>5155</v>
      </c>
      <c r="BI5027" s="191" t="s">
        <v>479</v>
      </c>
      <c r="BJ5027" s="58" t="str">
        <f>IF(BE5027=BH5027,"No","yes")</f>
        <v>No</v>
      </c>
      <c r="BK5027" s="58" t="s">
        <v>6334</v>
      </c>
      <c r="BL5027" s="58"/>
      <c r="BM5027" s="237"/>
      <c r="BN5027" s="244" t="s">
        <v>1940</v>
      </c>
      <c r="BO5027" s="244">
        <v>8</v>
      </c>
      <c r="BP5027" s="58"/>
      <c r="BQ5027" s="58"/>
      <c r="BR5027" s="58"/>
      <c r="BS5027" s="58"/>
      <c r="BT5027" s="58"/>
      <c r="BU5027" s="58"/>
      <c r="BV5027" s="58"/>
      <c r="BW5027" s="67"/>
      <c r="BX5027" s="67"/>
      <c r="BY5027" s="67"/>
      <c r="BZ5027" s="67"/>
      <c r="CA5027" s="67"/>
      <c r="CB5027" s="70"/>
      <c r="CC5027" s="70"/>
      <c r="CD5027" s="70"/>
      <c r="CE5027" s="67"/>
      <c r="CF5027" s="67"/>
      <c r="CG5027" s="67"/>
      <c r="CH5027" s="245"/>
      <c r="CI5027" s="245"/>
      <c r="CJ5027" s="67"/>
      <c r="CK5027" s="67"/>
      <c r="CL5027" s="67"/>
      <c r="CM5027" s="242">
        <v>3.12</v>
      </c>
      <c r="CN5027" s="242">
        <v>3.05</v>
      </c>
      <c r="CO5027" s="242">
        <f>0.08*SQRT(8)</f>
        <v>0.22627416997969524</v>
      </c>
      <c r="CP5027" s="242">
        <f>0.08*SQRT(8)</f>
        <v>0.22627416997969524</v>
      </c>
      <c r="CQ5027" s="242" t="s">
        <v>164</v>
      </c>
      <c r="CR5027" s="242"/>
      <c r="CS5027" s="242"/>
      <c r="CT5027" s="242"/>
      <c r="CU5027" s="242"/>
      <c r="CV5027" s="242"/>
      <c r="CW5027" s="242"/>
      <c r="CX5027" s="242"/>
      <c r="CY5027" s="242"/>
      <c r="CZ5027" s="242"/>
      <c r="DA5027" s="67"/>
      <c r="DB5027" s="67">
        <v>0.3</v>
      </c>
      <c r="DC5027" s="67">
        <v>0.31</v>
      </c>
      <c r="DD5027" s="67">
        <f>SQRT(8)*0.01</f>
        <v>2.8284271247461905E-2</v>
      </c>
      <c r="DE5027" s="67">
        <f>SQRT(8)*0.01</f>
        <v>2.8284271247461905E-2</v>
      </c>
      <c r="DF5027" s="67" t="s">
        <v>5565</v>
      </c>
      <c r="DG5027" s="67"/>
      <c r="DH5027" s="67"/>
      <c r="DI5027" s="67"/>
      <c r="DJ5027" s="67"/>
      <c r="DK5027" s="67"/>
      <c r="DL5027" s="67"/>
      <c r="DM5027" s="67"/>
      <c r="DN5027" s="67"/>
      <c r="DO5027" s="67"/>
      <c r="DP5027" s="67"/>
      <c r="DQ5027" s="166"/>
      <c r="DR5027" s="166"/>
      <c r="DS5027" s="163"/>
      <c r="DT5027" s="163"/>
      <c r="DU5027" s="67"/>
      <c r="DV5027" s="67"/>
      <c r="DW5027" s="67"/>
      <c r="DX5027" s="67"/>
      <c r="DY5027" s="67"/>
      <c r="DZ5027" s="67"/>
      <c r="EA5027" s="67"/>
      <c r="EB5027" s="67"/>
      <c r="EC5027" s="67"/>
      <c r="ED5027" s="67"/>
      <c r="EE5027" s="67"/>
      <c r="EF5027" s="67"/>
      <c r="EG5027" s="67"/>
      <c r="EH5027" s="67"/>
      <c r="EI5027" s="67"/>
      <c r="EJ5027" s="67"/>
      <c r="EK5027" s="94"/>
      <c r="EL5027" s="94"/>
      <c r="EM5027" s="67"/>
      <c r="EN5027" s="67"/>
      <c r="EO5027" s="67"/>
      <c r="EP5027" s="67"/>
      <c r="EQ5027" s="67"/>
      <c r="ER5027" s="67"/>
      <c r="ES5027" s="67"/>
      <c r="ET5027" s="67"/>
      <c r="EU5027" s="67"/>
      <c r="EV5027" s="67"/>
      <c r="EW5027" s="67"/>
      <c r="EX5027" s="67"/>
      <c r="EY5027" s="67"/>
      <c r="EZ5027" s="67"/>
      <c r="FA5027" s="67"/>
      <c r="FB5027" s="67"/>
      <c r="FC5027" s="67"/>
      <c r="FD5027" s="67"/>
      <c r="FE5027" s="67"/>
      <c r="FF5027" s="67"/>
      <c r="FG5027" s="67"/>
      <c r="FH5027" s="67"/>
      <c r="FI5027" s="67"/>
      <c r="FJ5027" s="67"/>
      <c r="FK5027" s="67"/>
      <c r="FL5027" s="67"/>
      <c r="FM5027" s="67"/>
      <c r="FN5027" s="67"/>
      <c r="FO5027" s="67"/>
      <c r="FP5027" s="67"/>
      <c r="FQ5027" s="67"/>
      <c r="FR5027" s="67"/>
      <c r="FS5027" s="67"/>
      <c r="FT5027" s="67"/>
      <c r="FU5027" s="67"/>
      <c r="FV5027" s="67"/>
      <c r="FW5027" s="67"/>
      <c r="FX5027" s="67"/>
      <c r="FY5027" s="67"/>
      <c r="FZ5027" s="67"/>
      <c r="GA5027" s="67"/>
      <c r="GB5027" s="67"/>
      <c r="GC5027" s="67"/>
      <c r="GD5027" s="67"/>
      <c r="GE5027" s="67"/>
      <c r="GF5027" s="67"/>
      <c r="GG5027" s="67"/>
      <c r="GH5027" s="67"/>
      <c r="GI5027" s="67"/>
      <c r="GJ5027" s="67"/>
      <c r="GK5027" s="67"/>
      <c r="GL5027" s="67"/>
      <c r="GM5027" s="67"/>
      <c r="GN5027" s="292"/>
      <c r="GO5027" s="292"/>
      <c r="GP5027" s="292" t="s">
        <v>7494</v>
      </c>
      <c r="GQ5027" s="67"/>
      <c r="GR5027" s="67"/>
      <c r="GS5027" s="67"/>
      <c r="GT5027" s="67"/>
      <c r="GU5027" s="67"/>
      <c r="GV5027" s="67"/>
      <c r="GW5027" s="67"/>
      <c r="GX5027" s="67"/>
      <c r="GY5027" s="67"/>
      <c r="GZ5027" s="67"/>
      <c r="HA5027" s="67"/>
      <c r="HB5027" s="67"/>
      <c r="HC5027" s="67"/>
      <c r="HD5027" s="67"/>
      <c r="HE5027" s="67"/>
      <c r="HF5027" s="67"/>
      <c r="HG5027" s="67"/>
      <c r="HH5027" s="67"/>
      <c r="HI5027" s="67"/>
      <c r="HJ5027" s="67"/>
      <c r="HK5027" s="67"/>
      <c r="HL5027" s="67"/>
      <c r="HM5027" s="67"/>
      <c r="HN5027" s="67"/>
      <c r="HO5027" s="67"/>
      <c r="HP5027" s="67"/>
      <c r="HQ5027" s="67"/>
      <c r="HR5027" s="67"/>
      <c r="HS5027" s="67"/>
      <c r="HT5027" s="67"/>
      <c r="HU5027" s="67"/>
      <c r="HV5027" s="67"/>
      <c r="HW5027" s="67"/>
      <c r="HX5027" s="67"/>
      <c r="HY5027" s="67"/>
      <c r="HZ5027" s="67"/>
      <c r="IA5027" s="67"/>
      <c r="IB5027" s="67"/>
      <c r="IC5027" s="67"/>
      <c r="ID5027" s="67"/>
      <c r="IE5027" s="67"/>
      <c r="IF5027" s="67"/>
      <c r="IG5027" s="67"/>
      <c r="IH5027" s="67"/>
      <c r="II5027" s="67"/>
      <c r="IJ5027" s="67"/>
      <c r="IK5027" s="67"/>
      <c r="IL5027" s="67"/>
      <c r="IM5027" s="67"/>
      <c r="IN5027" s="67"/>
      <c r="IO5027" s="67"/>
      <c r="IP5027" s="67"/>
      <c r="IQ5027" s="67"/>
      <c r="IR5027" s="67"/>
      <c r="IS5027" s="67"/>
      <c r="IT5027" s="67"/>
      <c r="IU5027" s="67"/>
      <c r="IV5027" s="67"/>
      <c r="IW5027" s="67"/>
      <c r="IX5027" s="67"/>
      <c r="IY5027" s="67"/>
      <c r="IZ5027" s="67"/>
      <c r="JA5027" s="67"/>
      <c r="JB5027" s="67"/>
      <c r="JC5027" s="67"/>
      <c r="JD5027" s="67"/>
      <c r="JE5027" s="67"/>
      <c r="JF5027" s="67"/>
      <c r="JG5027" s="67">
        <v>425</v>
      </c>
      <c r="JH5027" s="67">
        <v>264</v>
      </c>
      <c r="JI5027" s="67">
        <v>75</v>
      </c>
      <c r="JJ5027" s="67">
        <v>75</v>
      </c>
      <c r="JK5027" s="67" t="s">
        <v>3072</v>
      </c>
      <c r="JL5027" s="67">
        <v>54</v>
      </c>
      <c r="JM5027" s="67">
        <v>68</v>
      </c>
      <c r="JN5027" s="67">
        <v>20</v>
      </c>
      <c r="JO5027" s="67">
        <v>20</v>
      </c>
      <c r="JP5027" s="67" t="s">
        <v>3072</v>
      </c>
      <c r="JQ5027" s="67"/>
      <c r="JR5027" s="67"/>
      <c r="JS5027" s="67"/>
      <c r="JT5027" s="67"/>
      <c r="JU5027" s="58" t="s">
        <v>5691</v>
      </c>
      <c r="JV5027" s="58"/>
      <c r="JW5027" s="58"/>
    </row>
    <row r="5028" spans="1:283" s="23" customFormat="1" x14ac:dyDescent="0.25">
      <c r="A5028" s="55">
        <v>5027</v>
      </c>
      <c r="B5028" s="12" t="s">
        <v>7067</v>
      </c>
      <c r="C5028" s="156">
        <v>255</v>
      </c>
      <c r="D5028" s="58" t="s">
        <v>5685</v>
      </c>
      <c r="E5028" s="160" t="str">
        <f>G5028</f>
        <v>Murata &amp; Goh, 1997_arable</v>
      </c>
      <c r="F5028" s="160"/>
      <c r="G5028" s="60" t="s">
        <v>4735</v>
      </c>
      <c r="H5028" s="58">
        <v>1997</v>
      </c>
      <c r="I5028" s="58" t="s">
        <v>2905</v>
      </c>
      <c r="J5028" s="243" t="s">
        <v>2176</v>
      </c>
      <c r="K5028" s="63" t="s">
        <v>5090</v>
      </c>
      <c r="L5028" s="58" t="s">
        <v>5335</v>
      </c>
      <c r="M5028" s="94">
        <v>-43.76</v>
      </c>
      <c r="N5028" s="94">
        <v>172.02</v>
      </c>
      <c r="O5028" s="94">
        <v>108</v>
      </c>
      <c r="P5028" s="58"/>
      <c r="Q5028" s="244"/>
      <c r="R5028" s="58"/>
      <c r="S5028" s="245">
        <v>1050</v>
      </c>
      <c r="T5028" s="58"/>
      <c r="U5028" s="58" t="s">
        <v>1816</v>
      </c>
      <c r="V5028" s="244">
        <v>8</v>
      </c>
      <c r="W5028" s="174"/>
      <c r="X5028" s="174"/>
      <c r="Y5028" s="58" t="s">
        <v>5678</v>
      </c>
      <c r="Z5028" s="244" t="s">
        <v>1348</v>
      </c>
      <c r="AA5028" s="245" t="s">
        <v>1676</v>
      </c>
      <c r="AB5028" s="67"/>
      <c r="AC5028" s="67"/>
      <c r="AD5028" s="94"/>
      <c r="AE5028" s="94"/>
      <c r="AF5028" s="94"/>
      <c r="AG5028" s="245"/>
      <c r="AH5028" s="58" t="s">
        <v>238</v>
      </c>
      <c r="AI5028" s="169"/>
      <c r="AJ5028" s="94"/>
      <c r="AK5028" s="94"/>
      <c r="AL5028" s="58"/>
      <c r="AM5028" s="58" t="s">
        <v>5676</v>
      </c>
      <c r="AN5028" s="186" t="s">
        <v>176</v>
      </c>
      <c r="AO5028" s="185" t="s">
        <v>5150</v>
      </c>
      <c r="AP5028" s="58"/>
      <c r="AQ5028" s="58" t="s">
        <v>176</v>
      </c>
      <c r="AR5028" s="246" t="s">
        <v>5677</v>
      </c>
      <c r="AS5028" s="246" t="s">
        <v>1577</v>
      </c>
      <c r="AT5028" s="247" t="s">
        <v>5677</v>
      </c>
      <c r="AU5028" s="181" t="s">
        <v>5150</v>
      </c>
      <c r="AV5028" s="185" t="s">
        <v>479</v>
      </c>
      <c r="AW5028" s="244"/>
      <c r="AX5028" s="185" t="s">
        <v>479</v>
      </c>
      <c r="AY5028" s="244" t="s">
        <v>176</v>
      </c>
      <c r="AZ5028" s="58"/>
      <c r="BA5028" s="58"/>
      <c r="BB5028" s="58"/>
      <c r="BC5028" s="58"/>
      <c r="BD5028" s="58"/>
      <c r="BE5028" s="236" t="s">
        <v>5155</v>
      </c>
      <c r="BF5028" s="191" t="s">
        <v>176</v>
      </c>
      <c r="BG5028" s="191" t="s">
        <v>479</v>
      </c>
      <c r="BH5028" s="236" t="s">
        <v>5155</v>
      </c>
      <c r="BI5028" s="191" t="s">
        <v>479</v>
      </c>
      <c r="BJ5028" s="58" t="str">
        <f>IF(BE5028=BH5028,"No","yes")</f>
        <v>No</v>
      </c>
      <c r="BK5028" s="58" t="s">
        <v>6334</v>
      </c>
      <c r="BL5028" s="58"/>
      <c r="BM5028" s="237"/>
      <c r="BN5028" s="244" t="s">
        <v>1940</v>
      </c>
      <c r="BO5028" s="244">
        <v>8</v>
      </c>
      <c r="BP5028" s="58"/>
      <c r="BQ5028" s="58"/>
      <c r="BR5028" s="58"/>
      <c r="BS5028" s="58"/>
      <c r="BT5028" s="58"/>
      <c r="BU5028" s="58"/>
      <c r="BV5028" s="58"/>
      <c r="BW5028" s="67"/>
      <c r="BX5028" s="67"/>
      <c r="BY5028" s="67"/>
      <c r="BZ5028" s="67"/>
      <c r="CA5028" s="67"/>
      <c r="CB5028" s="70"/>
      <c r="CC5028" s="70"/>
      <c r="CD5028" s="70"/>
      <c r="CE5028" s="67"/>
      <c r="CF5028" s="67"/>
      <c r="CG5028" s="67"/>
      <c r="CH5028" s="245"/>
      <c r="CI5028" s="245"/>
      <c r="CJ5028" s="67"/>
      <c r="CK5028" s="67"/>
      <c r="CL5028" s="67"/>
      <c r="CM5028" s="242">
        <v>3.3</v>
      </c>
      <c r="CN5028" s="242">
        <v>2.99</v>
      </c>
      <c r="CO5028" s="242">
        <f>0.08*SQRT(8)</f>
        <v>0.22627416997969524</v>
      </c>
      <c r="CP5028" s="242">
        <f>0.08*SQRT(8)</f>
        <v>0.22627416997969524</v>
      </c>
      <c r="CQ5028" s="242" t="s">
        <v>164</v>
      </c>
      <c r="CR5028" s="242"/>
      <c r="CS5028" s="242"/>
      <c r="CT5028" s="242"/>
      <c r="CU5028" s="242"/>
      <c r="CV5028" s="242"/>
      <c r="CW5028" s="242"/>
      <c r="CX5028" s="242"/>
      <c r="CY5028" s="242"/>
      <c r="CZ5028" s="242"/>
      <c r="DA5028" s="67"/>
      <c r="DB5028" s="67">
        <v>0.33</v>
      </c>
      <c r="DC5028" s="67">
        <v>0.31</v>
      </c>
      <c r="DD5028" s="67">
        <f>SQRT(8)*0.01</f>
        <v>2.8284271247461905E-2</v>
      </c>
      <c r="DE5028" s="67">
        <f>SQRT(8)*0.01</f>
        <v>2.8284271247461905E-2</v>
      </c>
      <c r="DF5028" s="67" t="s">
        <v>5565</v>
      </c>
      <c r="DG5028" s="67"/>
      <c r="DH5028" s="67"/>
      <c r="DI5028" s="67"/>
      <c r="DJ5028" s="67"/>
      <c r="DK5028" s="67"/>
      <c r="DL5028" s="67"/>
      <c r="DM5028" s="67"/>
      <c r="DN5028" s="67"/>
      <c r="DO5028" s="67"/>
      <c r="DP5028" s="67"/>
      <c r="DQ5028" s="166"/>
      <c r="DR5028" s="166"/>
      <c r="DS5028" s="163"/>
      <c r="DT5028" s="163"/>
      <c r="DU5028" s="67"/>
      <c r="DV5028" s="67"/>
      <c r="DW5028" s="67"/>
      <c r="DX5028" s="67"/>
      <c r="DY5028" s="67"/>
      <c r="DZ5028" s="67"/>
      <c r="EA5028" s="67"/>
      <c r="EB5028" s="67"/>
      <c r="EC5028" s="67"/>
      <c r="ED5028" s="67"/>
      <c r="EE5028" s="67"/>
      <c r="EF5028" s="67"/>
      <c r="EG5028" s="67"/>
      <c r="EH5028" s="67"/>
      <c r="EI5028" s="67"/>
      <c r="EJ5028" s="67"/>
      <c r="EK5028" s="94"/>
      <c r="EL5028" s="94"/>
      <c r="EM5028" s="67"/>
      <c r="EN5028" s="67"/>
      <c r="EO5028" s="67"/>
      <c r="EP5028" s="67"/>
      <c r="EQ5028" s="67"/>
      <c r="ER5028" s="67"/>
      <c r="ES5028" s="67"/>
      <c r="ET5028" s="67"/>
      <c r="EU5028" s="67"/>
      <c r="EV5028" s="67"/>
      <c r="EW5028" s="67"/>
      <c r="EX5028" s="67"/>
      <c r="EY5028" s="67"/>
      <c r="EZ5028" s="67"/>
      <c r="FA5028" s="67"/>
      <c r="FB5028" s="67"/>
      <c r="FC5028" s="67"/>
      <c r="FD5028" s="67"/>
      <c r="FE5028" s="67"/>
      <c r="FF5028" s="67"/>
      <c r="FG5028" s="67"/>
      <c r="FH5028" s="67"/>
      <c r="FI5028" s="67"/>
      <c r="FJ5028" s="67"/>
      <c r="FK5028" s="67"/>
      <c r="FL5028" s="67"/>
      <c r="FM5028" s="67"/>
      <c r="FN5028" s="67"/>
      <c r="FO5028" s="67"/>
      <c r="FP5028" s="67"/>
      <c r="FQ5028" s="67"/>
      <c r="FR5028" s="67"/>
      <c r="FS5028" s="67"/>
      <c r="FT5028" s="67"/>
      <c r="FU5028" s="67"/>
      <c r="FV5028" s="67"/>
      <c r="FW5028" s="67"/>
      <c r="FX5028" s="67"/>
      <c r="FY5028" s="67"/>
      <c r="FZ5028" s="67"/>
      <c r="GA5028" s="67"/>
      <c r="GB5028" s="67"/>
      <c r="GC5028" s="67"/>
      <c r="GD5028" s="67"/>
      <c r="GE5028" s="67"/>
      <c r="GF5028" s="67"/>
      <c r="GG5028" s="67"/>
      <c r="GH5028" s="67"/>
      <c r="GI5028" s="67"/>
      <c r="GJ5028" s="67"/>
      <c r="GK5028" s="67"/>
      <c r="GL5028" s="67"/>
      <c r="GM5028" s="67"/>
      <c r="GN5028" s="292"/>
      <c r="GO5028" s="292"/>
      <c r="GP5028" s="292" t="s">
        <v>7494</v>
      </c>
      <c r="GQ5028" s="67"/>
      <c r="GR5028" s="67"/>
      <c r="GS5028" s="67"/>
      <c r="GT5028" s="67"/>
      <c r="GU5028" s="67"/>
      <c r="GV5028" s="67"/>
      <c r="GW5028" s="67"/>
      <c r="GX5028" s="67"/>
      <c r="GY5028" s="67"/>
      <c r="GZ5028" s="67"/>
      <c r="HA5028" s="67"/>
      <c r="HB5028" s="67"/>
      <c r="HC5028" s="67"/>
      <c r="HD5028" s="67"/>
      <c r="HE5028" s="67"/>
      <c r="HF5028" s="67"/>
      <c r="HG5028" s="67"/>
      <c r="HH5028" s="67"/>
      <c r="HI5028" s="67"/>
      <c r="HJ5028" s="67"/>
      <c r="HK5028" s="67"/>
      <c r="HL5028" s="67"/>
      <c r="HM5028" s="67"/>
      <c r="HN5028" s="67"/>
      <c r="HO5028" s="67"/>
      <c r="HP5028" s="67"/>
      <c r="HQ5028" s="67"/>
      <c r="HR5028" s="67"/>
      <c r="HS5028" s="67"/>
      <c r="HT5028" s="67"/>
      <c r="HU5028" s="67"/>
      <c r="HV5028" s="67"/>
      <c r="HW5028" s="67"/>
      <c r="HX5028" s="67"/>
      <c r="HY5028" s="67"/>
      <c r="HZ5028" s="67"/>
      <c r="IA5028" s="67"/>
      <c r="IB5028" s="67"/>
      <c r="IC5028" s="67"/>
      <c r="ID5028" s="67"/>
      <c r="IE5028" s="67"/>
      <c r="IF5028" s="67"/>
      <c r="IG5028" s="67"/>
      <c r="IH5028" s="67"/>
      <c r="II5028" s="67"/>
      <c r="IJ5028" s="67"/>
      <c r="IK5028" s="67"/>
      <c r="IL5028" s="67"/>
      <c r="IM5028" s="67"/>
      <c r="IN5028" s="67"/>
      <c r="IO5028" s="67"/>
      <c r="IP5028" s="67"/>
      <c r="IQ5028" s="67"/>
      <c r="IR5028" s="67"/>
      <c r="IS5028" s="67"/>
      <c r="IT5028" s="67"/>
      <c r="IU5028" s="67"/>
      <c r="IV5028" s="67"/>
      <c r="IW5028" s="67"/>
      <c r="IX5028" s="67"/>
      <c r="IY5028" s="67"/>
      <c r="IZ5028" s="67"/>
      <c r="JA5028" s="67"/>
      <c r="JB5028" s="67"/>
      <c r="JC5028" s="67"/>
      <c r="JD5028" s="67"/>
      <c r="JE5028" s="67"/>
      <c r="JF5028" s="67"/>
      <c r="JG5028" s="67">
        <v>360</v>
      </c>
      <c r="JH5028" s="67">
        <v>376</v>
      </c>
      <c r="JI5028" s="67">
        <v>75</v>
      </c>
      <c r="JJ5028" s="67">
        <v>75</v>
      </c>
      <c r="JK5028" s="67" t="s">
        <v>3072</v>
      </c>
      <c r="JL5028" s="67">
        <v>56</v>
      </c>
      <c r="JM5028" s="67">
        <v>56</v>
      </c>
      <c r="JN5028" s="67">
        <v>20</v>
      </c>
      <c r="JO5028" s="67">
        <v>20</v>
      </c>
      <c r="JP5028" s="67" t="s">
        <v>3072</v>
      </c>
      <c r="JQ5028" s="67"/>
      <c r="JR5028" s="67"/>
      <c r="JS5028" s="67"/>
      <c r="JT5028" s="67"/>
      <c r="JU5028" s="58" t="s">
        <v>5691</v>
      </c>
      <c r="JV5028" s="58"/>
      <c r="JW5028" s="58"/>
    </row>
    <row r="5029" spans="1:283" s="23" customFormat="1" x14ac:dyDescent="0.25">
      <c r="A5029" s="55">
        <v>5028</v>
      </c>
      <c r="B5029" s="12" t="s">
        <v>7067</v>
      </c>
      <c r="C5029" s="156">
        <v>255</v>
      </c>
      <c r="D5029" s="58" t="s">
        <v>5686</v>
      </c>
      <c r="E5029" s="160" t="str">
        <f>G5029</f>
        <v>Murata &amp; Goh, 1997_pasture</v>
      </c>
      <c r="F5029" s="160"/>
      <c r="G5029" s="60" t="s">
        <v>4734</v>
      </c>
      <c r="H5029" s="58">
        <v>1997</v>
      </c>
      <c r="I5029" s="58" t="s">
        <v>2905</v>
      </c>
      <c r="J5029" s="243" t="s">
        <v>2176</v>
      </c>
      <c r="K5029" s="63" t="s">
        <v>5090</v>
      </c>
      <c r="L5029" s="58" t="s">
        <v>5335</v>
      </c>
      <c r="M5029" s="94">
        <v>-43.76</v>
      </c>
      <c r="N5029" s="94">
        <v>172.02</v>
      </c>
      <c r="O5029" s="94">
        <v>108</v>
      </c>
      <c r="P5029" s="58"/>
      <c r="Q5029" s="244"/>
      <c r="R5029" s="58"/>
      <c r="S5029" s="245">
        <v>1050</v>
      </c>
      <c r="T5029" s="58"/>
      <c r="U5029" s="58" t="s">
        <v>1816</v>
      </c>
      <c r="V5029" s="244">
        <v>8</v>
      </c>
      <c r="W5029" s="174"/>
      <c r="X5029" s="174"/>
      <c r="Y5029" s="58" t="s">
        <v>5678</v>
      </c>
      <c r="Z5029" s="244" t="s">
        <v>1348</v>
      </c>
      <c r="AA5029" s="245" t="s">
        <v>1676</v>
      </c>
      <c r="AB5029" s="67"/>
      <c r="AC5029" s="67"/>
      <c r="AD5029" s="94"/>
      <c r="AE5029" s="94"/>
      <c r="AF5029" s="94"/>
      <c r="AG5029" s="245"/>
      <c r="AH5029" s="58" t="s">
        <v>238</v>
      </c>
      <c r="AI5029" s="169"/>
      <c r="AJ5029" s="94"/>
      <c r="AK5029" s="94"/>
      <c r="AL5029" s="58"/>
      <c r="AM5029" s="58" t="s">
        <v>5676</v>
      </c>
      <c r="AN5029" s="186" t="s">
        <v>176</v>
      </c>
      <c r="AO5029" s="185" t="s">
        <v>5150</v>
      </c>
      <c r="AP5029" s="58"/>
      <c r="AQ5029" s="58" t="s">
        <v>176</v>
      </c>
      <c r="AR5029" s="246" t="s">
        <v>5677</v>
      </c>
      <c r="AS5029" s="246" t="s">
        <v>1577</v>
      </c>
      <c r="AT5029" s="247" t="s">
        <v>5677</v>
      </c>
      <c r="AU5029" s="181" t="s">
        <v>5150</v>
      </c>
      <c r="AV5029" s="185" t="s">
        <v>479</v>
      </c>
      <c r="AW5029" s="244" t="s">
        <v>5677</v>
      </c>
      <c r="AX5029" s="185" t="s">
        <v>479</v>
      </c>
      <c r="AY5029" s="244" t="s">
        <v>176</v>
      </c>
      <c r="AZ5029" s="58"/>
      <c r="BA5029" s="58"/>
      <c r="BB5029" s="58"/>
      <c r="BC5029" s="58"/>
      <c r="BD5029" s="58"/>
      <c r="BE5029" s="236" t="s">
        <v>5155</v>
      </c>
      <c r="BF5029" s="191" t="s">
        <v>176</v>
      </c>
      <c r="BG5029" s="191" t="s">
        <v>479</v>
      </c>
      <c r="BH5029" s="236" t="s">
        <v>5155</v>
      </c>
      <c r="BI5029" s="191" t="s">
        <v>479</v>
      </c>
      <c r="BJ5029" s="58" t="str">
        <f>IF(BE5029=BH5029,"No","yes")</f>
        <v>No</v>
      </c>
      <c r="BK5029" s="58" t="s">
        <v>6334</v>
      </c>
      <c r="BL5029" s="58"/>
      <c r="BM5029" s="237"/>
      <c r="BN5029" s="244" t="s">
        <v>1940</v>
      </c>
      <c r="BO5029" s="244">
        <v>8</v>
      </c>
      <c r="BP5029" s="58"/>
      <c r="BQ5029" s="58"/>
      <c r="BR5029" s="58"/>
      <c r="BS5029" s="58"/>
      <c r="BT5029" s="58"/>
      <c r="BU5029" s="58"/>
      <c r="BV5029" s="58"/>
      <c r="BW5029" s="67"/>
      <c r="BX5029" s="67"/>
      <c r="BY5029" s="67"/>
      <c r="BZ5029" s="67"/>
      <c r="CA5029" s="67"/>
      <c r="CB5029" s="70"/>
      <c r="CC5029" s="70"/>
      <c r="CD5029" s="70"/>
      <c r="CE5029" s="67"/>
      <c r="CF5029" s="67"/>
      <c r="CG5029" s="67"/>
      <c r="CH5029" s="245"/>
      <c r="CI5029" s="245"/>
      <c r="CJ5029" s="67"/>
      <c r="CK5029" s="67"/>
      <c r="CL5029" s="67"/>
      <c r="CM5029" s="242">
        <v>3.42</v>
      </c>
      <c r="CN5029" s="242">
        <v>2.94</v>
      </c>
      <c r="CO5029" s="242">
        <f>0.08*SQRT(8)</f>
        <v>0.22627416997969524</v>
      </c>
      <c r="CP5029" s="242">
        <f>0.08*SQRT(8)</f>
        <v>0.22627416997969524</v>
      </c>
      <c r="CQ5029" s="242" t="s">
        <v>164</v>
      </c>
      <c r="CR5029" s="242"/>
      <c r="CS5029" s="242"/>
      <c r="CT5029" s="242"/>
      <c r="CU5029" s="242"/>
      <c r="CV5029" s="242"/>
      <c r="CW5029" s="242"/>
      <c r="CX5029" s="242"/>
      <c r="CY5029" s="242"/>
      <c r="CZ5029" s="242"/>
      <c r="DA5029" s="67"/>
      <c r="DB5029" s="67">
        <v>0.32</v>
      </c>
      <c r="DC5029" s="67">
        <v>0.3</v>
      </c>
      <c r="DD5029" s="67">
        <f>SQRT(8)*0.01</f>
        <v>2.8284271247461905E-2</v>
      </c>
      <c r="DE5029" s="67">
        <f>SQRT(8)*0.01</f>
        <v>2.8284271247461905E-2</v>
      </c>
      <c r="DF5029" s="67" t="s">
        <v>5565</v>
      </c>
      <c r="DG5029" s="67"/>
      <c r="DH5029" s="67"/>
      <c r="DI5029" s="67"/>
      <c r="DJ5029" s="67"/>
      <c r="DK5029" s="67"/>
      <c r="DL5029" s="67"/>
      <c r="DM5029" s="67"/>
      <c r="DN5029" s="67"/>
      <c r="DO5029" s="67"/>
      <c r="DP5029" s="67"/>
      <c r="DQ5029" s="166"/>
      <c r="DR5029" s="166"/>
      <c r="DS5029" s="163"/>
      <c r="DT5029" s="163"/>
      <c r="DU5029" s="67"/>
      <c r="DV5029" s="67"/>
      <c r="DW5029" s="67"/>
      <c r="DX5029" s="67"/>
      <c r="DY5029" s="67"/>
      <c r="DZ5029" s="67"/>
      <c r="EA5029" s="67"/>
      <c r="EB5029" s="67"/>
      <c r="EC5029" s="67"/>
      <c r="ED5029" s="67"/>
      <c r="EE5029" s="67"/>
      <c r="EF5029" s="67"/>
      <c r="EG5029" s="67"/>
      <c r="EH5029" s="67"/>
      <c r="EI5029" s="67"/>
      <c r="EJ5029" s="67"/>
      <c r="EK5029" s="94"/>
      <c r="EL5029" s="94"/>
      <c r="EM5029" s="67"/>
      <c r="EN5029" s="67"/>
      <c r="EO5029" s="67"/>
      <c r="EP5029" s="67"/>
      <c r="EQ5029" s="67"/>
      <c r="ER5029" s="67"/>
      <c r="ES5029" s="67"/>
      <c r="ET5029" s="67"/>
      <c r="EU5029" s="67"/>
      <c r="EV5029" s="67"/>
      <c r="EW5029" s="67"/>
      <c r="EX5029" s="67"/>
      <c r="EY5029" s="67"/>
      <c r="EZ5029" s="67"/>
      <c r="FA5029" s="67"/>
      <c r="FB5029" s="67"/>
      <c r="FC5029" s="67"/>
      <c r="FD5029" s="67"/>
      <c r="FE5029" s="67"/>
      <c r="FF5029" s="67"/>
      <c r="FG5029" s="67"/>
      <c r="FH5029" s="67"/>
      <c r="FI5029" s="67"/>
      <c r="FJ5029" s="67"/>
      <c r="FK5029" s="67"/>
      <c r="FL5029" s="67"/>
      <c r="FM5029" s="67"/>
      <c r="FN5029" s="67"/>
      <c r="FO5029" s="67"/>
      <c r="FP5029" s="67"/>
      <c r="FQ5029" s="67"/>
      <c r="FR5029" s="67"/>
      <c r="FS5029" s="67"/>
      <c r="FT5029" s="67"/>
      <c r="FU5029" s="67"/>
      <c r="FV5029" s="67"/>
      <c r="FW5029" s="67"/>
      <c r="FX5029" s="67"/>
      <c r="FY5029" s="67"/>
      <c r="FZ5029" s="67"/>
      <c r="GA5029" s="67"/>
      <c r="GB5029" s="67"/>
      <c r="GC5029" s="67"/>
      <c r="GD5029" s="67"/>
      <c r="GE5029" s="67"/>
      <c r="GF5029" s="67"/>
      <c r="GG5029" s="67"/>
      <c r="GH5029" s="67"/>
      <c r="GI5029" s="67"/>
      <c r="GJ5029" s="67"/>
      <c r="GK5029" s="67"/>
      <c r="GL5029" s="67"/>
      <c r="GM5029" s="67"/>
      <c r="GN5029" s="292"/>
      <c r="GO5029" s="292"/>
      <c r="GP5029" s="292" t="s">
        <v>7494</v>
      </c>
      <c r="GQ5029" s="67"/>
      <c r="GR5029" s="67"/>
      <c r="GS5029" s="67"/>
      <c r="GT5029" s="67"/>
      <c r="GU5029" s="67"/>
      <c r="GV5029" s="67"/>
      <c r="GW5029" s="67"/>
      <c r="GX5029" s="67"/>
      <c r="GY5029" s="67"/>
      <c r="GZ5029" s="67"/>
      <c r="HA5029" s="67"/>
      <c r="HB5029" s="67"/>
      <c r="HC5029" s="67"/>
      <c r="HD5029" s="67"/>
      <c r="HE5029" s="67"/>
      <c r="HF5029" s="67"/>
      <c r="HG5029" s="67"/>
      <c r="HH5029" s="67"/>
      <c r="HI5029" s="67"/>
      <c r="HJ5029" s="67"/>
      <c r="HK5029" s="67"/>
      <c r="HL5029" s="67"/>
      <c r="HM5029" s="67"/>
      <c r="HN5029" s="67"/>
      <c r="HO5029" s="67"/>
      <c r="HP5029" s="67"/>
      <c r="HQ5029" s="67"/>
      <c r="HR5029" s="67"/>
      <c r="HS5029" s="67"/>
      <c r="HT5029" s="67"/>
      <c r="HU5029" s="67"/>
      <c r="HV5029" s="67"/>
      <c r="HW5029" s="67"/>
      <c r="HX5029" s="67"/>
      <c r="HY5029" s="67"/>
      <c r="HZ5029" s="67"/>
      <c r="IA5029" s="67"/>
      <c r="IB5029" s="67"/>
      <c r="IC5029" s="67"/>
      <c r="ID5029" s="67"/>
      <c r="IE5029" s="67"/>
      <c r="IF5029" s="67"/>
      <c r="IG5029" s="67"/>
      <c r="IH5029" s="67"/>
      <c r="II5029" s="67"/>
      <c r="IJ5029" s="67"/>
      <c r="IK5029" s="67"/>
      <c r="IL5029" s="67"/>
      <c r="IM5029" s="67"/>
      <c r="IN5029" s="67"/>
      <c r="IO5029" s="67"/>
      <c r="IP5029" s="67"/>
      <c r="IQ5029" s="67"/>
      <c r="IR5029" s="67"/>
      <c r="IS5029" s="67"/>
      <c r="IT5029" s="67"/>
      <c r="IU5029" s="67"/>
      <c r="IV5029" s="67"/>
      <c r="IW5029" s="67"/>
      <c r="IX5029" s="67"/>
      <c r="IY5029" s="67"/>
      <c r="IZ5029" s="67"/>
      <c r="JA5029" s="67"/>
      <c r="JB5029" s="67"/>
      <c r="JC5029" s="67"/>
      <c r="JD5029" s="67"/>
      <c r="JE5029" s="67"/>
      <c r="JF5029" s="67"/>
      <c r="JG5029" s="67">
        <v>435</v>
      </c>
      <c r="JH5029" s="67">
        <v>357</v>
      </c>
      <c r="JI5029" s="67">
        <v>75</v>
      </c>
      <c r="JJ5029" s="67">
        <v>75</v>
      </c>
      <c r="JK5029" s="67" t="s">
        <v>3072</v>
      </c>
      <c r="JL5029" s="67">
        <v>66</v>
      </c>
      <c r="JM5029" s="67">
        <v>73</v>
      </c>
      <c r="JN5029" s="67">
        <v>20</v>
      </c>
      <c r="JO5029" s="67">
        <v>20</v>
      </c>
      <c r="JP5029" s="67" t="s">
        <v>3072</v>
      </c>
      <c r="JQ5029" s="67"/>
      <c r="JR5029" s="67"/>
      <c r="JS5029" s="67"/>
      <c r="JT5029" s="67"/>
      <c r="JU5029" s="58" t="s">
        <v>5691</v>
      </c>
      <c r="JV5029" s="58"/>
      <c r="JW5029" s="58"/>
    </row>
    <row r="5030" spans="1:283" s="23" customFormat="1" x14ac:dyDescent="0.25">
      <c r="A5030" s="55">
        <v>5029</v>
      </c>
      <c r="B5030" s="12" t="s">
        <v>7067</v>
      </c>
      <c r="C5030" s="156">
        <v>255</v>
      </c>
      <c r="D5030" s="58" t="s">
        <v>5687</v>
      </c>
      <c r="E5030" s="160" t="str">
        <f>G5030</f>
        <v>Murata &amp; Goh, 1997_arable</v>
      </c>
      <c r="F5030" s="160"/>
      <c r="G5030" s="60" t="s">
        <v>4735</v>
      </c>
      <c r="H5030" s="58">
        <v>1997</v>
      </c>
      <c r="I5030" s="58" t="s">
        <v>2905</v>
      </c>
      <c r="J5030" s="243" t="s">
        <v>2176</v>
      </c>
      <c r="K5030" s="63" t="s">
        <v>5090</v>
      </c>
      <c r="L5030" s="58" t="s">
        <v>5335</v>
      </c>
      <c r="M5030" s="94">
        <v>-43.76</v>
      </c>
      <c r="N5030" s="94">
        <v>172.02</v>
      </c>
      <c r="O5030" s="94">
        <v>108</v>
      </c>
      <c r="P5030" s="58"/>
      <c r="Q5030" s="244"/>
      <c r="R5030" s="58"/>
      <c r="S5030" s="245">
        <v>1050</v>
      </c>
      <c r="T5030" s="58"/>
      <c r="U5030" s="58" t="s">
        <v>1816</v>
      </c>
      <c r="V5030" s="244">
        <v>8</v>
      </c>
      <c r="W5030" s="174"/>
      <c r="X5030" s="174"/>
      <c r="Y5030" s="58" t="s">
        <v>5678</v>
      </c>
      <c r="Z5030" s="244" t="s">
        <v>1348</v>
      </c>
      <c r="AA5030" s="245" t="s">
        <v>1676</v>
      </c>
      <c r="AB5030" s="67"/>
      <c r="AC5030" s="67"/>
      <c r="AD5030" s="94"/>
      <c r="AE5030" s="94"/>
      <c r="AF5030" s="94"/>
      <c r="AG5030" s="245"/>
      <c r="AH5030" s="58" t="s">
        <v>238</v>
      </c>
      <c r="AI5030" s="169"/>
      <c r="AJ5030" s="94"/>
      <c r="AK5030" s="94"/>
      <c r="AL5030" s="58"/>
      <c r="AM5030" s="58" t="s">
        <v>5676</v>
      </c>
      <c r="AN5030" s="186" t="s">
        <v>176</v>
      </c>
      <c r="AO5030" s="185" t="s">
        <v>5150</v>
      </c>
      <c r="AP5030" s="58"/>
      <c r="AQ5030" s="58" t="s">
        <v>176</v>
      </c>
      <c r="AR5030" s="246" t="s">
        <v>5677</v>
      </c>
      <c r="AS5030" s="246" t="s">
        <v>1577</v>
      </c>
      <c r="AT5030" s="247" t="s">
        <v>5677</v>
      </c>
      <c r="AU5030" s="181" t="s">
        <v>5150</v>
      </c>
      <c r="AV5030" s="185" t="s">
        <v>479</v>
      </c>
      <c r="AW5030" s="244"/>
      <c r="AX5030" s="185" t="s">
        <v>479</v>
      </c>
      <c r="AY5030" s="244" t="s">
        <v>176</v>
      </c>
      <c r="AZ5030" s="58"/>
      <c r="BA5030" s="58"/>
      <c r="BB5030" s="58"/>
      <c r="BC5030" s="58"/>
      <c r="BD5030" s="58"/>
      <c r="BE5030" s="236" t="s">
        <v>5155</v>
      </c>
      <c r="BF5030" s="191" t="s">
        <v>176</v>
      </c>
      <c r="BG5030" s="191" t="s">
        <v>479</v>
      </c>
      <c r="BH5030" s="236" t="s">
        <v>5155</v>
      </c>
      <c r="BI5030" s="191" t="s">
        <v>479</v>
      </c>
      <c r="BJ5030" s="58" t="str">
        <f>IF(BE5030=BH5030,"No","yes")</f>
        <v>No</v>
      </c>
      <c r="BK5030" s="58" t="s">
        <v>6334</v>
      </c>
      <c r="BL5030" s="58"/>
      <c r="BM5030" s="237"/>
      <c r="BN5030" s="244" t="s">
        <v>1940</v>
      </c>
      <c r="BO5030" s="244">
        <v>8</v>
      </c>
      <c r="BP5030" s="58"/>
      <c r="BQ5030" s="58"/>
      <c r="BR5030" s="58"/>
      <c r="BS5030" s="58"/>
      <c r="BT5030" s="58"/>
      <c r="BU5030" s="58"/>
      <c r="BV5030" s="58"/>
      <c r="BW5030" s="67"/>
      <c r="BX5030" s="67"/>
      <c r="BY5030" s="67"/>
      <c r="BZ5030" s="67"/>
      <c r="CA5030" s="67"/>
      <c r="CB5030" s="70"/>
      <c r="CC5030" s="70"/>
      <c r="CD5030" s="70"/>
      <c r="CE5030" s="67"/>
      <c r="CF5030" s="67"/>
      <c r="CG5030" s="67"/>
      <c r="CH5030" s="245"/>
      <c r="CI5030" s="245"/>
      <c r="CJ5030" s="67"/>
      <c r="CK5030" s="67"/>
      <c r="CL5030" s="67"/>
      <c r="CM5030" s="242">
        <v>3.15</v>
      </c>
      <c r="CN5030" s="242">
        <v>2.99</v>
      </c>
      <c r="CO5030" s="242">
        <f>0.08*SQRT(8)</f>
        <v>0.22627416997969524</v>
      </c>
      <c r="CP5030" s="242">
        <f>0.08*SQRT(8)</f>
        <v>0.22627416997969524</v>
      </c>
      <c r="CQ5030" s="242" t="s">
        <v>164</v>
      </c>
      <c r="CR5030" s="242"/>
      <c r="CS5030" s="242"/>
      <c r="CT5030" s="242"/>
      <c r="CU5030" s="242"/>
      <c r="CV5030" s="242"/>
      <c r="CW5030" s="242"/>
      <c r="CX5030" s="242"/>
      <c r="CY5030" s="242"/>
      <c r="CZ5030" s="242"/>
      <c r="DA5030" s="67"/>
      <c r="DB5030" s="67">
        <v>0.32</v>
      </c>
      <c r="DC5030" s="67">
        <v>0.31</v>
      </c>
      <c r="DD5030" s="67">
        <f>SQRT(8)*0.01</f>
        <v>2.8284271247461905E-2</v>
      </c>
      <c r="DE5030" s="67">
        <f>SQRT(8)*0.01</f>
        <v>2.8284271247461905E-2</v>
      </c>
      <c r="DF5030" s="67" t="s">
        <v>5565</v>
      </c>
      <c r="DG5030" s="67"/>
      <c r="DH5030" s="67"/>
      <c r="DI5030" s="67"/>
      <c r="DJ5030" s="67"/>
      <c r="DK5030" s="67"/>
      <c r="DL5030" s="67"/>
      <c r="DM5030" s="67"/>
      <c r="DN5030" s="67"/>
      <c r="DO5030" s="67"/>
      <c r="DP5030" s="67"/>
      <c r="DQ5030" s="166"/>
      <c r="DR5030" s="166"/>
      <c r="DS5030" s="163"/>
      <c r="DT5030" s="163"/>
      <c r="DU5030" s="67"/>
      <c r="DV5030" s="67"/>
      <c r="DW5030" s="67"/>
      <c r="DX5030" s="67"/>
      <c r="DY5030" s="67"/>
      <c r="DZ5030" s="67"/>
      <c r="EA5030" s="67"/>
      <c r="EB5030" s="67"/>
      <c r="EC5030" s="67"/>
      <c r="ED5030" s="67"/>
      <c r="EE5030" s="67"/>
      <c r="EF5030" s="67"/>
      <c r="EG5030" s="67"/>
      <c r="EH5030" s="67"/>
      <c r="EI5030" s="67"/>
      <c r="EJ5030" s="67"/>
      <c r="EK5030" s="94"/>
      <c r="EL5030" s="94"/>
      <c r="EM5030" s="67"/>
      <c r="EN5030" s="67"/>
      <c r="EO5030" s="67"/>
      <c r="EP5030" s="67"/>
      <c r="EQ5030" s="67"/>
      <c r="ER5030" s="67"/>
      <c r="ES5030" s="67"/>
      <c r="ET5030" s="67"/>
      <c r="EU5030" s="67"/>
      <c r="EV5030" s="67"/>
      <c r="EW5030" s="67"/>
      <c r="EX5030" s="67"/>
      <c r="EY5030" s="67"/>
      <c r="EZ5030" s="67"/>
      <c r="FA5030" s="67"/>
      <c r="FB5030" s="67"/>
      <c r="FC5030" s="67"/>
      <c r="FD5030" s="67"/>
      <c r="FE5030" s="67"/>
      <c r="FF5030" s="67"/>
      <c r="FG5030" s="67"/>
      <c r="FH5030" s="67"/>
      <c r="FI5030" s="67"/>
      <c r="FJ5030" s="67"/>
      <c r="FK5030" s="67"/>
      <c r="FL5030" s="67"/>
      <c r="FM5030" s="67"/>
      <c r="FN5030" s="67"/>
      <c r="FO5030" s="67"/>
      <c r="FP5030" s="67"/>
      <c r="FQ5030" s="67"/>
      <c r="FR5030" s="67"/>
      <c r="FS5030" s="67"/>
      <c r="FT5030" s="67"/>
      <c r="FU5030" s="67"/>
      <c r="FV5030" s="67"/>
      <c r="FW5030" s="67"/>
      <c r="FX5030" s="67"/>
      <c r="FY5030" s="67"/>
      <c r="FZ5030" s="67"/>
      <c r="GA5030" s="67"/>
      <c r="GB5030" s="67"/>
      <c r="GC5030" s="67"/>
      <c r="GD5030" s="67"/>
      <c r="GE5030" s="67"/>
      <c r="GF5030" s="67"/>
      <c r="GG5030" s="67"/>
      <c r="GH5030" s="67"/>
      <c r="GI5030" s="67"/>
      <c r="GJ5030" s="67"/>
      <c r="GK5030" s="67"/>
      <c r="GL5030" s="67"/>
      <c r="GM5030" s="67"/>
      <c r="GN5030" s="292"/>
      <c r="GO5030" s="292"/>
      <c r="GP5030" s="292" t="s">
        <v>7494</v>
      </c>
      <c r="GQ5030" s="67"/>
      <c r="GR5030" s="67"/>
      <c r="GS5030" s="67"/>
      <c r="GT5030" s="67"/>
      <c r="GU5030" s="67"/>
      <c r="GV5030" s="67"/>
      <c r="GW5030" s="67"/>
      <c r="GX5030" s="67"/>
      <c r="GY5030" s="67"/>
      <c r="GZ5030" s="67"/>
      <c r="HA5030" s="67"/>
      <c r="HB5030" s="67"/>
      <c r="HC5030" s="67"/>
      <c r="HD5030" s="67"/>
      <c r="HE5030" s="67"/>
      <c r="HF5030" s="67"/>
      <c r="HG5030" s="67"/>
      <c r="HH5030" s="67"/>
      <c r="HI5030" s="67"/>
      <c r="HJ5030" s="67"/>
      <c r="HK5030" s="67"/>
      <c r="HL5030" s="67"/>
      <c r="HM5030" s="67"/>
      <c r="HN5030" s="67"/>
      <c r="HO5030" s="67"/>
      <c r="HP5030" s="67"/>
      <c r="HQ5030" s="67"/>
      <c r="HR5030" s="67"/>
      <c r="HS5030" s="67"/>
      <c r="HT5030" s="67"/>
      <c r="HU5030" s="67"/>
      <c r="HV5030" s="67"/>
      <c r="HW5030" s="67"/>
      <c r="HX5030" s="67"/>
      <c r="HY5030" s="67"/>
      <c r="HZ5030" s="67"/>
      <c r="IA5030" s="67"/>
      <c r="IB5030" s="67"/>
      <c r="IC5030" s="67"/>
      <c r="ID5030" s="67"/>
      <c r="IE5030" s="67"/>
      <c r="IF5030" s="67"/>
      <c r="IG5030" s="67"/>
      <c r="IH5030" s="67"/>
      <c r="II5030" s="67"/>
      <c r="IJ5030" s="67"/>
      <c r="IK5030" s="67"/>
      <c r="IL5030" s="67"/>
      <c r="IM5030" s="67"/>
      <c r="IN5030" s="67"/>
      <c r="IO5030" s="67"/>
      <c r="IP5030" s="67"/>
      <c r="IQ5030" s="67"/>
      <c r="IR5030" s="67"/>
      <c r="IS5030" s="67"/>
      <c r="IT5030" s="67"/>
      <c r="IU5030" s="67"/>
      <c r="IV5030" s="67"/>
      <c r="IW5030" s="67"/>
      <c r="IX5030" s="67"/>
      <c r="IY5030" s="67"/>
      <c r="IZ5030" s="67"/>
      <c r="JA5030" s="67"/>
      <c r="JB5030" s="67"/>
      <c r="JC5030" s="67"/>
      <c r="JD5030" s="67"/>
      <c r="JE5030" s="67"/>
      <c r="JF5030" s="67"/>
      <c r="JG5030" s="67">
        <v>498</v>
      </c>
      <c r="JH5030" s="67">
        <v>356</v>
      </c>
      <c r="JI5030" s="67">
        <v>75</v>
      </c>
      <c r="JJ5030" s="67">
        <v>75</v>
      </c>
      <c r="JK5030" s="67" t="s">
        <v>3072</v>
      </c>
      <c r="JL5030" s="67">
        <v>50</v>
      </c>
      <c r="JM5030" s="67">
        <v>72</v>
      </c>
      <c r="JN5030" s="67">
        <v>20</v>
      </c>
      <c r="JO5030" s="67">
        <v>20</v>
      </c>
      <c r="JP5030" s="67" t="s">
        <v>3072</v>
      </c>
      <c r="JQ5030" s="67"/>
      <c r="JR5030" s="67"/>
      <c r="JS5030" s="67"/>
      <c r="JT5030" s="67"/>
      <c r="JU5030" s="58" t="s">
        <v>5691</v>
      </c>
      <c r="JV5030" s="58"/>
      <c r="JW5030" s="58"/>
    </row>
    <row r="5031" spans="1:283" s="23" customFormat="1" x14ac:dyDescent="0.25">
      <c r="A5031" s="55">
        <v>5030</v>
      </c>
      <c r="B5031" s="12" t="s">
        <v>7067</v>
      </c>
      <c r="C5031" s="156">
        <v>255</v>
      </c>
      <c r="D5031" s="58" t="s">
        <v>5688</v>
      </c>
      <c r="E5031" s="160" t="str">
        <f>G5031</f>
        <v>Murata &amp; Goh, 1997_pasture</v>
      </c>
      <c r="F5031" s="160"/>
      <c r="G5031" s="60" t="s">
        <v>4734</v>
      </c>
      <c r="H5031" s="58">
        <v>1997</v>
      </c>
      <c r="I5031" s="58" t="s">
        <v>2905</v>
      </c>
      <c r="J5031" s="243" t="s">
        <v>2176</v>
      </c>
      <c r="K5031" s="63" t="s">
        <v>5090</v>
      </c>
      <c r="L5031" s="58" t="s">
        <v>5335</v>
      </c>
      <c r="M5031" s="94">
        <v>-43.76</v>
      </c>
      <c r="N5031" s="94">
        <v>172.02</v>
      </c>
      <c r="O5031" s="94">
        <v>108</v>
      </c>
      <c r="P5031" s="58"/>
      <c r="Q5031" s="244"/>
      <c r="R5031" s="58"/>
      <c r="S5031" s="245">
        <v>1050</v>
      </c>
      <c r="T5031" s="58"/>
      <c r="U5031" s="58" t="s">
        <v>1816</v>
      </c>
      <c r="V5031" s="244">
        <v>8</v>
      </c>
      <c r="W5031" s="174"/>
      <c r="X5031" s="174"/>
      <c r="Y5031" s="58" t="s">
        <v>5678</v>
      </c>
      <c r="Z5031" s="244" t="s">
        <v>1348</v>
      </c>
      <c r="AA5031" s="245" t="s">
        <v>1676</v>
      </c>
      <c r="AB5031" s="67"/>
      <c r="AC5031" s="67"/>
      <c r="AD5031" s="94"/>
      <c r="AE5031" s="94"/>
      <c r="AF5031" s="94"/>
      <c r="AG5031" s="245"/>
      <c r="AH5031" s="58" t="s">
        <v>238</v>
      </c>
      <c r="AI5031" s="169"/>
      <c r="AJ5031" s="94"/>
      <c r="AK5031" s="94"/>
      <c r="AL5031" s="58"/>
      <c r="AM5031" s="58" t="s">
        <v>5676</v>
      </c>
      <c r="AN5031" s="186" t="s">
        <v>176</v>
      </c>
      <c r="AO5031" s="185" t="s">
        <v>5150</v>
      </c>
      <c r="AP5031" s="58"/>
      <c r="AQ5031" s="58" t="s">
        <v>176</v>
      </c>
      <c r="AR5031" s="246" t="s">
        <v>5134</v>
      </c>
      <c r="AS5031" s="246" t="s">
        <v>5529</v>
      </c>
      <c r="AT5031" s="247"/>
      <c r="AU5031" s="181" t="s">
        <v>7494</v>
      </c>
      <c r="AV5031" s="185" t="s">
        <v>176</v>
      </c>
      <c r="AW5031" s="244"/>
      <c r="AX5031" s="185" t="s">
        <v>176</v>
      </c>
      <c r="AY5031" s="244"/>
      <c r="AZ5031" s="58"/>
      <c r="BA5031" s="58"/>
      <c r="BB5031" s="58"/>
      <c r="BC5031" s="58"/>
      <c r="BD5031" s="58"/>
      <c r="BE5031" s="236" t="s">
        <v>5155</v>
      </c>
      <c r="BF5031" s="191" t="s">
        <v>176</v>
      </c>
      <c r="BG5031" s="191" t="s">
        <v>479</v>
      </c>
      <c r="BH5031" s="236" t="s">
        <v>5155</v>
      </c>
      <c r="BI5031" s="191" t="s">
        <v>479</v>
      </c>
      <c r="BJ5031" s="58" t="str">
        <f>IF(BE5031=BH5031,"No","yes")</f>
        <v>No</v>
      </c>
      <c r="BK5031" s="58" t="s">
        <v>6334</v>
      </c>
      <c r="BL5031" s="58"/>
      <c r="BM5031" s="237"/>
      <c r="BN5031" s="244" t="s">
        <v>1940</v>
      </c>
      <c r="BO5031" s="244">
        <v>8</v>
      </c>
      <c r="BP5031" s="58"/>
      <c r="BQ5031" s="58"/>
      <c r="BR5031" s="58"/>
      <c r="BS5031" s="58"/>
      <c r="BT5031" s="58"/>
      <c r="BU5031" s="58"/>
      <c r="BV5031" s="58"/>
      <c r="BW5031" s="67"/>
      <c r="BX5031" s="67"/>
      <c r="BY5031" s="67"/>
      <c r="BZ5031" s="67"/>
      <c r="CA5031" s="67"/>
      <c r="CB5031" s="70"/>
      <c r="CC5031" s="70"/>
      <c r="CD5031" s="70"/>
      <c r="CE5031" s="67"/>
      <c r="CF5031" s="67"/>
      <c r="CG5031" s="67"/>
      <c r="CH5031" s="245"/>
      <c r="CI5031" s="245"/>
      <c r="CJ5031" s="67"/>
      <c r="CK5031" s="67"/>
      <c r="CL5031" s="67"/>
      <c r="CM5031" s="242">
        <v>3.09</v>
      </c>
      <c r="CN5031" s="242">
        <v>3.04</v>
      </c>
      <c r="CO5031" s="242">
        <f>0.08*SQRT(8)</f>
        <v>0.22627416997969524</v>
      </c>
      <c r="CP5031" s="242">
        <f>0.08*SQRT(8)</f>
        <v>0.22627416997969524</v>
      </c>
      <c r="CQ5031" s="242" t="s">
        <v>164</v>
      </c>
      <c r="CR5031" s="242"/>
      <c r="CS5031" s="242"/>
      <c r="CT5031" s="242"/>
      <c r="CU5031" s="242"/>
      <c r="CV5031" s="242"/>
      <c r="CW5031" s="242"/>
      <c r="CX5031" s="242"/>
      <c r="CY5031" s="242"/>
      <c r="CZ5031" s="242"/>
      <c r="DA5031" s="67"/>
      <c r="DB5031" s="67">
        <v>0.31</v>
      </c>
      <c r="DC5031" s="67">
        <v>0.3</v>
      </c>
      <c r="DD5031" s="67">
        <f>SQRT(8)*0.01</f>
        <v>2.8284271247461905E-2</v>
      </c>
      <c r="DE5031" s="67">
        <f>SQRT(8)*0.01</f>
        <v>2.8284271247461905E-2</v>
      </c>
      <c r="DF5031" s="67" t="s">
        <v>5565</v>
      </c>
      <c r="DG5031" s="67"/>
      <c r="DH5031" s="67"/>
      <c r="DI5031" s="67"/>
      <c r="DJ5031" s="67"/>
      <c r="DK5031" s="67"/>
      <c r="DL5031" s="67"/>
      <c r="DM5031" s="67"/>
      <c r="DN5031" s="67"/>
      <c r="DO5031" s="67"/>
      <c r="DP5031" s="67"/>
      <c r="DQ5031" s="166"/>
      <c r="DR5031" s="166"/>
      <c r="DS5031" s="163"/>
      <c r="DT5031" s="163"/>
      <c r="DU5031" s="67"/>
      <c r="DV5031" s="67"/>
      <c r="DW5031" s="67"/>
      <c r="DX5031" s="67"/>
      <c r="DY5031" s="67"/>
      <c r="DZ5031" s="67"/>
      <c r="EA5031" s="67"/>
      <c r="EB5031" s="67"/>
      <c r="EC5031" s="67"/>
      <c r="ED5031" s="67"/>
      <c r="EE5031" s="67"/>
      <c r="EF5031" s="67"/>
      <c r="EG5031" s="67"/>
      <c r="EH5031" s="67"/>
      <c r="EI5031" s="67"/>
      <c r="EJ5031" s="67"/>
      <c r="EK5031" s="94"/>
      <c r="EL5031" s="94"/>
      <c r="EM5031" s="67"/>
      <c r="EN5031" s="67"/>
      <c r="EO5031" s="67"/>
      <c r="EP5031" s="67"/>
      <c r="EQ5031" s="67"/>
      <c r="ER5031" s="67"/>
      <c r="ES5031" s="67"/>
      <c r="ET5031" s="67"/>
      <c r="EU5031" s="67"/>
      <c r="EV5031" s="67"/>
      <c r="EW5031" s="67"/>
      <c r="EX5031" s="67"/>
      <c r="EY5031" s="67"/>
      <c r="EZ5031" s="67"/>
      <c r="FA5031" s="67"/>
      <c r="FB5031" s="67"/>
      <c r="FC5031" s="67"/>
      <c r="FD5031" s="67"/>
      <c r="FE5031" s="67"/>
      <c r="FF5031" s="67"/>
      <c r="FG5031" s="67"/>
      <c r="FH5031" s="67"/>
      <c r="FI5031" s="67"/>
      <c r="FJ5031" s="67"/>
      <c r="FK5031" s="67"/>
      <c r="FL5031" s="67"/>
      <c r="FM5031" s="67"/>
      <c r="FN5031" s="67"/>
      <c r="FO5031" s="67"/>
      <c r="FP5031" s="67"/>
      <c r="FQ5031" s="67"/>
      <c r="FR5031" s="67"/>
      <c r="FS5031" s="67"/>
      <c r="FT5031" s="67"/>
      <c r="FU5031" s="67"/>
      <c r="FV5031" s="67"/>
      <c r="FW5031" s="67"/>
      <c r="FX5031" s="67"/>
      <c r="FY5031" s="67"/>
      <c r="FZ5031" s="67"/>
      <c r="GA5031" s="67"/>
      <c r="GB5031" s="67"/>
      <c r="GC5031" s="67"/>
      <c r="GD5031" s="67"/>
      <c r="GE5031" s="67"/>
      <c r="GF5031" s="67"/>
      <c r="GG5031" s="67"/>
      <c r="GH5031" s="67"/>
      <c r="GI5031" s="67"/>
      <c r="GJ5031" s="67"/>
      <c r="GK5031" s="67"/>
      <c r="GL5031" s="67"/>
      <c r="GM5031" s="67"/>
      <c r="GN5031" s="292"/>
      <c r="GO5031" s="292"/>
      <c r="GP5031" s="292" t="s">
        <v>7494</v>
      </c>
      <c r="GQ5031" s="67"/>
      <c r="GR5031" s="67"/>
      <c r="GS5031" s="67"/>
      <c r="GT5031" s="67"/>
      <c r="GU5031" s="67"/>
      <c r="GV5031" s="67"/>
      <c r="GW5031" s="67"/>
      <c r="GX5031" s="67"/>
      <c r="GY5031" s="67"/>
      <c r="GZ5031" s="67"/>
      <c r="HA5031" s="67"/>
      <c r="HB5031" s="67"/>
      <c r="HC5031" s="67"/>
      <c r="HD5031" s="67"/>
      <c r="HE5031" s="67"/>
      <c r="HF5031" s="67"/>
      <c r="HG5031" s="67"/>
      <c r="HH5031" s="67"/>
      <c r="HI5031" s="67"/>
      <c r="HJ5031" s="67"/>
      <c r="HK5031" s="67"/>
      <c r="HL5031" s="67"/>
      <c r="HM5031" s="67"/>
      <c r="HN5031" s="67"/>
      <c r="HO5031" s="67"/>
      <c r="HP5031" s="67"/>
      <c r="HQ5031" s="67"/>
      <c r="HR5031" s="67"/>
      <c r="HS5031" s="67"/>
      <c r="HT5031" s="67"/>
      <c r="HU5031" s="67"/>
      <c r="HV5031" s="67"/>
      <c r="HW5031" s="67"/>
      <c r="HX5031" s="67"/>
      <c r="HY5031" s="67"/>
      <c r="HZ5031" s="67"/>
      <c r="IA5031" s="67"/>
      <c r="IB5031" s="67"/>
      <c r="IC5031" s="67"/>
      <c r="ID5031" s="67"/>
      <c r="IE5031" s="67"/>
      <c r="IF5031" s="67"/>
      <c r="IG5031" s="67"/>
      <c r="IH5031" s="67"/>
      <c r="II5031" s="67"/>
      <c r="IJ5031" s="67"/>
      <c r="IK5031" s="67"/>
      <c r="IL5031" s="67"/>
      <c r="IM5031" s="67"/>
      <c r="IN5031" s="67"/>
      <c r="IO5031" s="67"/>
      <c r="IP5031" s="67"/>
      <c r="IQ5031" s="67"/>
      <c r="IR5031" s="67"/>
      <c r="IS5031" s="67"/>
      <c r="IT5031" s="67"/>
      <c r="IU5031" s="67"/>
      <c r="IV5031" s="67"/>
      <c r="IW5031" s="67"/>
      <c r="IX5031" s="67"/>
      <c r="IY5031" s="67"/>
      <c r="IZ5031" s="67"/>
      <c r="JA5031" s="67"/>
      <c r="JB5031" s="67"/>
      <c r="JC5031" s="67"/>
      <c r="JD5031" s="67"/>
      <c r="JE5031" s="67"/>
      <c r="JF5031" s="67"/>
      <c r="JG5031" s="67">
        <v>421</v>
      </c>
      <c r="JH5031" s="67">
        <v>327</v>
      </c>
      <c r="JI5031" s="67">
        <v>75</v>
      </c>
      <c r="JJ5031" s="67">
        <v>75</v>
      </c>
      <c r="JK5031" s="67" t="s">
        <v>3072</v>
      </c>
      <c r="JL5031" s="67">
        <v>65</v>
      </c>
      <c r="JM5031" s="67">
        <v>71</v>
      </c>
      <c r="JN5031" s="67">
        <v>20</v>
      </c>
      <c r="JO5031" s="67">
        <v>20</v>
      </c>
      <c r="JP5031" s="67" t="s">
        <v>3072</v>
      </c>
      <c r="JQ5031" s="67"/>
      <c r="JR5031" s="67"/>
      <c r="JS5031" s="67"/>
      <c r="JT5031" s="67"/>
      <c r="JU5031" s="58" t="s">
        <v>5691</v>
      </c>
      <c r="JV5031" s="58"/>
      <c r="JW5031" s="58"/>
    </row>
    <row r="5032" spans="1:283" s="23" customFormat="1" x14ac:dyDescent="0.25">
      <c r="A5032" s="55">
        <v>5031</v>
      </c>
      <c r="B5032" s="12" t="s">
        <v>7067</v>
      </c>
      <c r="C5032" s="156">
        <v>255</v>
      </c>
      <c r="D5032" s="58" t="s">
        <v>5689</v>
      </c>
      <c r="E5032" s="160" t="str">
        <f>G5032</f>
        <v>Murata &amp; Goh, 1997_arable</v>
      </c>
      <c r="F5032" s="160"/>
      <c r="G5032" s="60" t="s">
        <v>4735</v>
      </c>
      <c r="H5032" s="58">
        <v>1997</v>
      </c>
      <c r="I5032" s="58" t="s">
        <v>2905</v>
      </c>
      <c r="J5032" s="243" t="s">
        <v>2176</v>
      </c>
      <c r="K5032" s="63" t="s">
        <v>5090</v>
      </c>
      <c r="L5032" s="58" t="s">
        <v>5335</v>
      </c>
      <c r="M5032" s="94">
        <v>-43.76</v>
      </c>
      <c r="N5032" s="94">
        <v>172.02</v>
      </c>
      <c r="O5032" s="94">
        <v>108</v>
      </c>
      <c r="P5032" s="58"/>
      <c r="Q5032" s="244"/>
      <c r="R5032" s="58"/>
      <c r="S5032" s="245">
        <v>1050</v>
      </c>
      <c r="T5032" s="58"/>
      <c r="U5032" s="58" t="s">
        <v>1816</v>
      </c>
      <c r="V5032" s="244">
        <v>8</v>
      </c>
      <c r="W5032" s="174"/>
      <c r="X5032" s="174"/>
      <c r="Y5032" s="58" t="s">
        <v>5678</v>
      </c>
      <c r="Z5032" s="244" t="s">
        <v>1348</v>
      </c>
      <c r="AA5032" s="245" t="s">
        <v>1676</v>
      </c>
      <c r="AB5032" s="67"/>
      <c r="AC5032" s="67"/>
      <c r="AD5032" s="94"/>
      <c r="AE5032" s="94"/>
      <c r="AF5032" s="94"/>
      <c r="AG5032" s="245"/>
      <c r="AH5032" s="58" t="s">
        <v>238</v>
      </c>
      <c r="AI5032" s="169"/>
      <c r="AJ5032" s="94"/>
      <c r="AK5032" s="94"/>
      <c r="AL5032" s="58"/>
      <c r="AM5032" s="58" t="s">
        <v>5676</v>
      </c>
      <c r="AN5032" s="186" t="s">
        <v>176</v>
      </c>
      <c r="AO5032" s="185" t="s">
        <v>5150</v>
      </c>
      <c r="AP5032" s="58"/>
      <c r="AQ5032" s="58" t="s">
        <v>176</v>
      </c>
      <c r="AR5032" s="246" t="s">
        <v>5134</v>
      </c>
      <c r="AS5032" s="246" t="s">
        <v>5529</v>
      </c>
      <c r="AT5032" s="247"/>
      <c r="AU5032" s="181" t="s">
        <v>7494</v>
      </c>
      <c r="AV5032" s="185" t="s">
        <v>176</v>
      </c>
      <c r="AW5032" s="244"/>
      <c r="AX5032" s="185" t="s">
        <v>176</v>
      </c>
      <c r="AY5032" s="244"/>
      <c r="AZ5032" s="58"/>
      <c r="BA5032" s="58"/>
      <c r="BB5032" s="58"/>
      <c r="BC5032" s="58"/>
      <c r="BD5032" s="58"/>
      <c r="BE5032" s="236" t="s">
        <v>5155</v>
      </c>
      <c r="BF5032" s="191" t="s">
        <v>176</v>
      </c>
      <c r="BG5032" s="191" t="s">
        <v>479</v>
      </c>
      <c r="BH5032" s="236" t="s">
        <v>5155</v>
      </c>
      <c r="BI5032" s="191" t="s">
        <v>479</v>
      </c>
      <c r="BJ5032" s="58" t="str">
        <f>IF(BE5032=BH5032,"No","yes")</f>
        <v>No</v>
      </c>
      <c r="BK5032" s="58" t="s">
        <v>6334</v>
      </c>
      <c r="BL5032" s="58"/>
      <c r="BM5032" s="237"/>
      <c r="BN5032" s="244" t="s">
        <v>1940</v>
      </c>
      <c r="BO5032" s="244">
        <v>8</v>
      </c>
      <c r="BP5032" s="58"/>
      <c r="BQ5032" s="58"/>
      <c r="BR5032" s="58"/>
      <c r="BS5032" s="58"/>
      <c r="BT5032" s="58"/>
      <c r="BU5032" s="58"/>
      <c r="BV5032" s="58"/>
      <c r="BW5032" s="67"/>
      <c r="BX5032" s="67"/>
      <c r="BY5032" s="67"/>
      <c r="BZ5032" s="67"/>
      <c r="CA5032" s="67"/>
      <c r="CB5032" s="70"/>
      <c r="CC5032" s="70"/>
      <c r="CD5032" s="70"/>
      <c r="CE5032" s="67"/>
      <c r="CF5032" s="67"/>
      <c r="CG5032" s="67"/>
      <c r="CH5032" s="245"/>
      <c r="CI5032" s="245"/>
      <c r="CJ5032" s="67"/>
      <c r="CK5032" s="67"/>
      <c r="CL5032" s="67"/>
      <c r="CM5032" s="242">
        <v>3.09</v>
      </c>
      <c r="CN5032" s="242">
        <v>3.03</v>
      </c>
      <c r="CO5032" s="242">
        <f>0.08*SQRT(8)</f>
        <v>0.22627416997969524</v>
      </c>
      <c r="CP5032" s="242">
        <f>0.08*SQRT(8)</f>
        <v>0.22627416997969524</v>
      </c>
      <c r="CQ5032" s="242" t="s">
        <v>164</v>
      </c>
      <c r="CR5032" s="242"/>
      <c r="CS5032" s="242"/>
      <c r="CT5032" s="242"/>
      <c r="CU5032" s="242"/>
      <c r="CV5032" s="242"/>
      <c r="CW5032" s="242"/>
      <c r="CX5032" s="242"/>
      <c r="CY5032" s="242"/>
      <c r="CZ5032" s="242"/>
      <c r="DA5032" s="67"/>
      <c r="DB5032" s="67">
        <v>0.31</v>
      </c>
      <c r="DC5032" s="67">
        <v>0.3</v>
      </c>
      <c r="DD5032" s="67">
        <f>SQRT(8)*0.01</f>
        <v>2.8284271247461905E-2</v>
      </c>
      <c r="DE5032" s="67">
        <f>SQRT(8)*0.01</f>
        <v>2.8284271247461905E-2</v>
      </c>
      <c r="DF5032" s="67" t="s">
        <v>5565</v>
      </c>
      <c r="DG5032" s="67"/>
      <c r="DH5032" s="67"/>
      <c r="DI5032" s="67"/>
      <c r="DJ5032" s="67"/>
      <c r="DK5032" s="67"/>
      <c r="DL5032" s="67"/>
      <c r="DM5032" s="67"/>
      <c r="DN5032" s="67"/>
      <c r="DO5032" s="67"/>
      <c r="DP5032" s="67"/>
      <c r="DQ5032" s="166"/>
      <c r="DR5032" s="166"/>
      <c r="DS5032" s="163"/>
      <c r="DT5032" s="163"/>
      <c r="DU5032" s="67"/>
      <c r="DV5032" s="67"/>
      <c r="DW5032" s="67"/>
      <c r="DX5032" s="67"/>
      <c r="DY5032" s="67"/>
      <c r="DZ5032" s="67"/>
      <c r="EA5032" s="67"/>
      <c r="EB5032" s="67"/>
      <c r="EC5032" s="67"/>
      <c r="ED5032" s="67"/>
      <c r="EE5032" s="67"/>
      <c r="EF5032" s="67"/>
      <c r="EG5032" s="67"/>
      <c r="EH5032" s="67"/>
      <c r="EI5032" s="67"/>
      <c r="EJ5032" s="67"/>
      <c r="EK5032" s="94"/>
      <c r="EL5032" s="94"/>
      <c r="EM5032" s="67"/>
      <c r="EN5032" s="67"/>
      <c r="EO5032" s="67"/>
      <c r="EP5032" s="67"/>
      <c r="EQ5032" s="67"/>
      <c r="ER5032" s="67"/>
      <c r="ES5032" s="67"/>
      <c r="ET5032" s="67"/>
      <c r="EU5032" s="67"/>
      <c r="EV5032" s="67"/>
      <c r="EW5032" s="67"/>
      <c r="EX5032" s="67"/>
      <c r="EY5032" s="67"/>
      <c r="EZ5032" s="67"/>
      <c r="FA5032" s="67"/>
      <c r="FB5032" s="67"/>
      <c r="FC5032" s="67"/>
      <c r="FD5032" s="67"/>
      <c r="FE5032" s="67"/>
      <c r="FF5032" s="67"/>
      <c r="FG5032" s="67"/>
      <c r="FH5032" s="67"/>
      <c r="FI5032" s="67"/>
      <c r="FJ5032" s="67"/>
      <c r="FK5032" s="67"/>
      <c r="FL5032" s="67"/>
      <c r="FM5032" s="67"/>
      <c r="FN5032" s="67"/>
      <c r="FO5032" s="67"/>
      <c r="FP5032" s="67"/>
      <c r="FQ5032" s="67"/>
      <c r="FR5032" s="67"/>
      <c r="FS5032" s="67"/>
      <c r="FT5032" s="67"/>
      <c r="FU5032" s="67"/>
      <c r="FV5032" s="67"/>
      <c r="FW5032" s="67"/>
      <c r="FX5032" s="67"/>
      <c r="FY5032" s="67"/>
      <c r="FZ5032" s="67"/>
      <c r="GA5032" s="67"/>
      <c r="GB5032" s="67"/>
      <c r="GC5032" s="67"/>
      <c r="GD5032" s="67"/>
      <c r="GE5032" s="67"/>
      <c r="GF5032" s="67"/>
      <c r="GG5032" s="67"/>
      <c r="GH5032" s="67"/>
      <c r="GI5032" s="67"/>
      <c r="GJ5032" s="67"/>
      <c r="GK5032" s="67"/>
      <c r="GL5032" s="67"/>
      <c r="GM5032" s="67"/>
      <c r="GN5032" s="292"/>
      <c r="GO5032" s="292"/>
      <c r="GP5032" s="292" t="s">
        <v>7494</v>
      </c>
      <c r="GQ5032" s="67"/>
      <c r="GR5032" s="67"/>
      <c r="GS5032" s="67"/>
      <c r="GT5032" s="67"/>
      <c r="GU5032" s="67"/>
      <c r="GV5032" s="67"/>
      <c r="GW5032" s="67"/>
      <c r="GX5032" s="67"/>
      <c r="GY5032" s="67"/>
      <c r="GZ5032" s="67"/>
      <c r="HA5032" s="67"/>
      <c r="HB5032" s="67"/>
      <c r="HC5032" s="67"/>
      <c r="HD5032" s="67"/>
      <c r="HE5032" s="67"/>
      <c r="HF5032" s="67"/>
      <c r="HG5032" s="67"/>
      <c r="HH5032" s="67"/>
      <c r="HI5032" s="67"/>
      <c r="HJ5032" s="67"/>
      <c r="HK5032" s="67"/>
      <c r="HL5032" s="67"/>
      <c r="HM5032" s="67"/>
      <c r="HN5032" s="67"/>
      <c r="HO5032" s="67"/>
      <c r="HP5032" s="67"/>
      <c r="HQ5032" s="67"/>
      <c r="HR5032" s="67"/>
      <c r="HS5032" s="67"/>
      <c r="HT5032" s="67"/>
      <c r="HU5032" s="67"/>
      <c r="HV5032" s="67"/>
      <c r="HW5032" s="67"/>
      <c r="HX5032" s="67"/>
      <c r="HY5032" s="67"/>
      <c r="HZ5032" s="67"/>
      <c r="IA5032" s="67"/>
      <c r="IB5032" s="67"/>
      <c r="IC5032" s="67"/>
      <c r="ID5032" s="67"/>
      <c r="IE5032" s="67"/>
      <c r="IF5032" s="67"/>
      <c r="IG5032" s="67"/>
      <c r="IH5032" s="67"/>
      <c r="II5032" s="67"/>
      <c r="IJ5032" s="67"/>
      <c r="IK5032" s="67"/>
      <c r="IL5032" s="67"/>
      <c r="IM5032" s="67"/>
      <c r="IN5032" s="67"/>
      <c r="IO5032" s="67"/>
      <c r="IP5032" s="67"/>
      <c r="IQ5032" s="67"/>
      <c r="IR5032" s="67"/>
      <c r="IS5032" s="67"/>
      <c r="IT5032" s="67"/>
      <c r="IU5032" s="67"/>
      <c r="IV5032" s="67"/>
      <c r="IW5032" s="67"/>
      <c r="IX5032" s="67"/>
      <c r="IY5032" s="67"/>
      <c r="IZ5032" s="67"/>
      <c r="JA5032" s="67"/>
      <c r="JB5032" s="67"/>
      <c r="JC5032" s="67"/>
      <c r="JD5032" s="67"/>
      <c r="JE5032" s="67"/>
      <c r="JF5032" s="67"/>
      <c r="JG5032" s="67">
        <v>352</v>
      </c>
      <c r="JH5032" s="67">
        <v>283</v>
      </c>
      <c r="JI5032" s="67">
        <v>75</v>
      </c>
      <c r="JJ5032" s="67">
        <v>75</v>
      </c>
      <c r="JK5032" s="67" t="s">
        <v>3072</v>
      </c>
      <c r="JL5032" s="67">
        <v>63</v>
      </c>
      <c r="JM5032" s="67">
        <v>51</v>
      </c>
      <c r="JN5032" s="67">
        <v>20</v>
      </c>
      <c r="JO5032" s="67">
        <v>20</v>
      </c>
      <c r="JP5032" s="67" t="s">
        <v>3072</v>
      </c>
      <c r="JQ5032" s="67"/>
      <c r="JR5032" s="67"/>
      <c r="JS5032" s="67"/>
      <c r="JT5032" s="67"/>
      <c r="JU5032" s="58" t="s">
        <v>5691</v>
      </c>
      <c r="JV5032" s="58"/>
      <c r="JW5032" s="58"/>
    </row>
    <row r="5033" spans="1:283" s="23" customFormat="1" x14ac:dyDescent="0.25">
      <c r="A5033" s="55">
        <v>5032</v>
      </c>
      <c r="B5033" s="12" t="s">
        <v>7067</v>
      </c>
      <c r="C5033" s="156">
        <v>255</v>
      </c>
      <c r="D5033" s="58" t="s">
        <v>5690</v>
      </c>
      <c r="E5033" s="160" t="str">
        <f>G5033</f>
        <v>Murata &amp; Goh, 1997_pasture</v>
      </c>
      <c r="F5033" s="160"/>
      <c r="G5033" s="60" t="s">
        <v>4734</v>
      </c>
      <c r="H5033" s="58">
        <v>1997</v>
      </c>
      <c r="I5033" s="58" t="s">
        <v>2905</v>
      </c>
      <c r="J5033" s="243" t="s">
        <v>2176</v>
      </c>
      <c r="K5033" s="63" t="s">
        <v>5090</v>
      </c>
      <c r="L5033" s="58" t="s">
        <v>5335</v>
      </c>
      <c r="M5033" s="94">
        <v>-43.76</v>
      </c>
      <c r="N5033" s="94">
        <v>172.02</v>
      </c>
      <c r="O5033" s="94">
        <v>108</v>
      </c>
      <c r="P5033" s="58"/>
      <c r="Q5033" s="244"/>
      <c r="R5033" s="58"/>
      <c r="S5033" s="245">
        <v>1050</v>
      </c>
      <c r="T5033" s="58"/>
      <c r="U5033" s="58" t="s">
        <v>1816</v>
      </c>
      <c r="V5033" s="244">
        <v>8</v>
      </c>
      <c r="W5033" s="174"/>
      <c r="X5033" s="174"/>
      <c r="Y5033" s="58" t="s">
        <v>5678</v>
      </c>
      <c r="Z5033" s="244" t="s">
        <v>1348</v>
      </c>
      <c r="AA5033" s="245" t="s">
        <v>1676</v>
      </c>
      <c r="AB5033" s="67"/>
      <c r="AC5033" s="67"/>
      <c r="AD5033" s="94"/>
      <c r="AE5033" s="94"/>
      <c r="AF5033" s="94"/>
      <c r="AG5033" s="245"/>
      <c r="AH5033" s="58" t="s">
        <v>238</v>
      </c>
      <c r="AI5033" s="169"/>
      <c r="AJ5033" s="94"/>
      <c r="AK5033" s="94"/>
      <c r="AL5033" s="58"/>
      <c r="AM5033" s="58" t="s">
        <v>5676</v>
      </c>
      <c r="AN5033" s="186" t="s">
        <v>176</v>
      </c>
      <c r="AO5033" s="185" t="s">
        <v>5150</v>
      </c>
      <c r="AP5033" s="58"/>
      <c r="AQ5033" s="58" t="s">
        <v>176</v>
      </c>
      <c r="AR5033" s="246" t="s">
        <v>5134</v>
      </c>
      <c r="AS5033" s="246" t="s">
        <v>5529</v>
      </c>
      <c r="AT5033" s="247"/>
      <c r="AU5033" s="181" t="s">
        <v>7494</v>
      </c>
      <c r="AV5033" s="185" t="s">
        <v>176</v>
      </c>
      <c r="AW5033" s="244"/>
      <c r="AX5033" s="185" t="s">
        <v>176</v>
      </c>
      <c r="AY5033" s="244"/>
      <c r="AZ5033" s="58"/>
      <c r="BA5033" s="58"/>
      <c r="BB5033" s="58"/>
      <c r="BC5033" s="58"/>
      <c r="BD5033" s="58"/>
      <c r="BE5033" s="236" t="s">
        <v>5155</v>
      </c>
      <c r="BF5033" s="191" t="s">
        <v>176</v>
      </c>
      <c r="BG5033" s="191" t="s">
        <v>479</v>
      </c>
      <c r="BH5033" s="236" t="s">
        <v>5155</v>
      </c>
      <c r="BI5033" s="191" t="s">
        <v>479</v>
      </c>
      <c r="BJ5033" s="58" t="str">
        <f>IF(BE5033=BH5033,"No","yes")</f>
        <v>No</v>
      </c>
      <c r="BK5033" s="58" t="s">
        <v>6334</v>
      </c>
      <c r="BL5033" s="58"/>
      <c r="BM5033" s="237"/>
      <c r="BN5033" s="244" t="s">
        <v>1940</v>
      </c>
      <c r="BO5033" s="244">
        <v>8</v>
      </c>
      <c r="BP5033" s="58"/>
      <c r="BQ5033" s="58"/>
      <c r="BR5033" s="58"/>
      <c r="BS5033" s="58"/>
      <c r="BT5033" s="58"/>
      <c r="BU5033" s="58"/>
      <c r="BV5033" s="58"/>
      <c r="BW5033" s="67"/>
      <c r="BX5033" s="67"/>
      <c r="BY5033" s="67"/>
      <c r="BZ5033" s="67"/>
      <c r="CA5033" s="67"/>
      <c r="CB5033" s="70"/>
      <c r="CC5033" s="70"/>
      <c r="CD5033" s="70"/>
      <c r="CE5033" s="67"/>
      <c r="CF5033" s="67"/>
      <c r="CG5033" s="67"/>
      <c r="CH5033" s="245"/>
      <c r="CI5033" s="245"/>
      <c r="CJ5033" s="67"/>
      <c r="CK5033" s="67"/>
      <c r="CL5033" s="67"/>
      <c r="CM5033" s="242">
        <v>3.07</v>
      </c>
      <c r="CN5033" s="242">
        <v>2.9</v>
      </c>
      <c r="CO5033" s="242">
        <f>0.08*SQRT(8)</f>
        <v>0.22627416997969524</v>
      </c>
      <c r="CP5033" s="242">
        <f>0.08*SQRT(8)</f>
        <v>0.22627416997969524</v>
      </c>
      <c r="CQ5033" s="242" t="s">
        <v>164</v>
      </c>
      <c r="CR5033" s="242"/>
      <c r="CS5033" s="242"/>
      <c r="CT5033" s="242"/>
      <c r="CU5033" s="242"/>
      <c r="CV5033" s="242"/>
      <c r="CW5033" s="242"/>
      <c r="CX5033" s="242"/>
      <c r="CY5033" s="242"/>
      <c r="CZ5033" s="242"/>
      <c r="DA5033" s="67"/>
      <c r="DB5033" s="67">
        <v>0.3</v>
      </c>
      <c r="DC5033" s="67">
        <v>0.28999999999999998</v>
      </c>
      <c r="DD5033" s="67">
        <f>SQRT(8)*0.01</f>
        <v>2.8284271247461905E-2</v>
      </c>
      <c r="DE5033" s="67">
        <f>SQRT(8)*0.01</f>
        <v>2.8284271247461905E-2</v>
      </c>
      <c r="DF5033" s="67" t="s">
        <v>5565</v>
      </c>
      <c r="DG5033" s="67"/>
      <c r="DH5033" s="67"/>
      <c r="DI5033" s="67"/>
      <c r="DJ5033" s="67"/>
      <c r="DK5033" s="67"/>
      <c r="DL5033" s="67"/>
      <c r="DM5033" s="67"/>
      <c r="DN5033" s="67"/>
      <c r="DO5033" s="67"/>
      <c r="DP5033" s="67"/>
      <c r="DQ5033" s="166"/>
      <c r="DR5033" s="166"/>
      <c r="DS5033" s="163"/>
      <c r="DT5033" s="163"/>
      <c r="DU5033" s="67"/>
      <c r="DV5033" s="67"/>
      <c r="DW5033" s="67"/>
      <c r="DX5033" s="67"/>
      <c r="DY5033" s="67"/>
      <c r="DZ5033" s="67"/>
      <c r="EA5033" s="67"/>
      <c r="EB5033" s="67"/>
      <c r="EC5033" s="67"/>
      <c r="ED5033" s="67"/>
      <c r="EE5033" s="67"/>
      <c r="EF5033" s="67"/>
      <c r="EG5033" s="67"/>
      <c r="EH5033" s="67"/>
      <c r="EI5033" s="67"/>
      <c r="EJ5033" s="67"/>
      <c r="EK5033" s="94"/>
      <c r="EL5033" s="94"/>
      <c r="EM5033" s="67"/>
      <c r="EN5033" s="67"/>
      <c r="EO5033" s="67"/>
      <c r="EP5033" s="67"/>
      <c r="EQ5033" s="67"/>
      <c r="ER5033" s="67"/>
      <c r="ES5033" s="67"/>
      <c r="ET5033" s="67"/>
      <c r="EU5033" s="67"/>
      <c r="EV5033" s="67"/>
      <c r="EW5033" s="67"/>
      <c r="EX5033" s="67"/>
      <c r="EY5033" s="67"/>
      <c r="EZ5033" s="67"/>
      <c r="FA5033" s="67"/>
      <c r="FB5033" s="67"/>
      <c r="FC5033" s="67"/>
      <c r="FD5033" s="67"/>
      <c r="FE5033" s="67"/>
      <c r="FF5033" s="67"/>
      <c r="FG5033" s="67"/>
      <c r="FH5033" s="67"/>
      <c r="FI5033" s="67"/>
      <c r="FJ5033" s="67"/>
      <c r="FK5033" s="67"/>
      <c r="FL5033" s="67"/>
      <c r="FM5033" s="67"/>
      <c r="FN5033" s="67"/>
      <c r="FO5033" s="67"/>
      <c r="FP5033" s="67"/>
      <c r="FQ5033" s="67"/>
      <c r="FR5033" s="67"/>
      <c r="FS5033" s="67"/>
      <c r="FT5033" s="67"/>
      <c r="FU5033" s="67"/>
      <c r="FV5033" s="67"/>
      <c r="FW5033" s="67"/>
      <c r="FX5033" s="67"/>
      <c r="FY5033" s="67"/>
      <c r="FZ5033" s="67"/>
      <c r="GA5033" s="67"/>
      <c r="GB5033" s="67"/>
      <c r="GC5033" s="67"/>
      <c r="GD5033" s="67"/>
      <c r="GE5033" s="67"/>
      <c r="GF5033" s="67"/>
      <c r="GG5033" s="67"/>
      <c r="GH5033" s="67"/>
      <c r="GI5033" s="67"/>
      <c r="GJ5033" s="67"/>
      <c r="GK5033" s="67"/>
      <c r="GL5033" s="67"/>
      <c r="GM5033" s="67"/>
      <c r="GN5033" s="292"/>
      <c r="GO5033" s="292"/>
      <c r="GP5033" s="292" t="s">
        <v>7494</v>
      </c>
      <c r="GQ5033" s="67"/>
      <c r="GR5033" s="67"/>
      <c r="GS5033" s="67"/>
      <c r="GT5033" s="67"/>
      <c r="GU5033" s="67"/>
      <c r="GV5033" s="67"/>
      <c r="GW5033" s="67"/>
      <c r="GX5033" s="67"/>
      <c r="GY5033" s="67"/>
      <c r="GZ5033" s="67"/>
      <c r="HA5033" s="67"/>
      <c r="HB5033" s="67"/>
      <c r="HC5033" s="67"/>
      <c r="HD5033" s="67"/>
      <c r="HE5033" s="67"/>
      <c r="HF5033" s="67"/>
      <c r="HG5033" s="67"/>
      <c r="HH5033" s="67"/>
      <c r="HI5033" s="67"/>
      <c r="HJ5033" s="67"/>
      <c r="HK5033" s="67"/>
      <c r="HL5033" s="67"/>
      <c r="HM5033" s="67"/>
      <c r="HN5033" s="67"/>
      <c r="HO5033" s="67"/>
      <c r="HP5033" s="67"/>
      <c r="HQ5033" s="67"/>
      <c r="HR5033" s="67"/>
      <c r="HS5033" s="67"/>
      <c r="HT5033" s="67"/>
      <c r="HU5033" s="67"/>
      <c r="HV5033" s="67"/>
      <c r="HW5033" s="67"/>
      <c r="HX5033" s="67"/>
      <c r="HY5033" s="67"/>
      <c r="HZ5033" s="67"/>
      <c r="IA5033" s="67"/>
      <c r="IB5033" s="67"/>
      <c r="IC5033" s="67"/>
      <c r="ID5033" s="67"/>
      <c r="IE5033" s="67"/>
      <c r="IF5033" s="67"/>
      <c r="IG5033" s="67"/>
      <c r="IH5033" s="67"/>
      <c r="II5033" s="67"/>
      <c r="IJ5033" s="67"/>
      <c r="IK5033" s="67"/>
      <c r="IL5033" s="67"/>
      <c r="IM5033" s="67"/>
      <c r="IN5033" s="67"/>
      <c r="IO5033" s="67"/>
      <c r="IP5033" s="67"/>
      <c r="IQ5033" s="67"/>
      <c r="IR5033" s="67"/>
      <c r="IS5033" s="67"/>
      <c r="IT5033" s="67"/>
      <c r="IU5033" s="67"/>
      <c r="IV5033" s="67"/>
      <c r="IW5033" s="67"/>
      <c r="IX5033" s="67"/>
      <c r="IY5033" s="67"/>
      <c r="IZ5033" s="67"/>
      <c r="JA5033" s="67"/>
      <c r="JB5033" s="67"/>
      <c r="JC5033" s="67"/>
      <c r="JD5033" s="67"/>
      <c r="JE5033" s="67"/>
      <c r="JF5033" s="67"/>
      <c r="JG5033" s="67">
        <v>563</v>
      </c>
      <c r="JH5033" s="67">
        <v>350</v>
      </c>
      <c r="JI5033" s="67">
        <v>75</v>
      </c>
      <c r="JJ5033" s="67">
        <v>75</v>
      </c>
      <c r="JK5033" s="67" t="s">
        <v>3072</v>
      </c>
      <c r="JL5033" s="67">
        <v>55</v>
      </c>
      <c r="JM5033" s="67">
        <v>76</v>
      </c>
      <c r="JN5033" s="67">
        <v>20</v>
      </c>
      <c r="JO5033" s="67">
        <v>20</v>
      </c>
      <c r="JP5033" s="67" t="s">
        <v>3072</v>
      </c>
      <c r="JQ5033" s="67"/>
      <c r="JR5033" s="67"/>
      <c r="JS5033" s="67"/>
      <c r="JT5033" s="67"/>
      <c r="JU5033" s="58" t="s">
        <v>5691</v>
      </c>
      <c r="JV5033" s="58"/>
      <c r="JW5033" s="58"/>
    </row>
    <row r="5034" spans="1:283" s="23" customFormat="1" x14ac:dyDescent="0.25">
      <c r="A5034" s="55">
        <v>5033</v>
      </c>
      <c r="B5034" s="12" t="s">
        <v>7067</v>
      </c>
      <c r="C5034" s="156">
        <v>256</v>
      </c>
      <c r="D5034" s="58" t="s">
        <v>4994</v>
      </c>
      <c r="E5034" s="160" t="str">
        <f>G5034</f>
        <v>N. Monokrousos et al. 2006_pair 1</v>
      </c>
      <c r="F5034" s="160"/>
      <c r="G5034" s="60" t="s">
        <v>4733</v>
      </c>
      <c r="H5034" s="58">
        <v>2006</v>
      </c>
      <c r="I5034" s="58" t="s">
        <v>5643</v>
      </c>
      <c r="J5034" s="243" t="s">
        <v>5318</v>
      </c>
      <c r="K5034" s="63" t="s">
        <v>5089</v>
      </c>
      <c r="L5034" s="58" t="s">
        <v>5329</v>
      </c>
      <c r="M5034" s="94">
        <v>35.46</v>
      </c>
      <c r="N5034" s="94">
        <v>23.75</v>
      </c>
      <c r="O5034" s="94">
        <v>241</v>
      </c>
      <c r="P5034" s="58"/>
      <c r="Q5034" s="244"/>
      <c r="R5034" s="58"/>
      <c r="S5034" s="245">
        <v>505</v>
      </c>
      <c r="T5034" s="58"/>
      <c r="U5034" s="244">
        <v>6</v>
      </c>
      <c r="V5034" s="244">
        <v>6</v>
      </c>
      <c r="W5034" s="174"/>
      <c r="X5034" s="174"/>
      <c r="Y5034" s="58" t="s">
        <v>1974</v>
      </c>
      <c r="Z5034" s="244" t="s">
        <v>1355</v>
      </c>
      <c r="AA5034" s="245">
        <v>10</v>
      </c>
      <c r="AB5034" s="67"/>
      <c r="AC5034" s="67"/>
      <c r="AD5034" s="94"/>
      <c r="AE5034" s="94">
        <v>55.2</v>
      </c>
      <c r="AF5034" s="94">
        <v>27.2</v>
      </c>
      <c r="AG5034" s="245">
        <v>17.600000000000001</v>
      </c>
      <c r="AH5034" s="58" t="s">
        <v>494</v>
      </c>
      <c r="AI5034" s="169" t="s">
        <v>5692</v>
      </c>
      <c r="AJ5034" s="94"/>
      <c r="AK5034" s="94"/>
      <c r="AL5034" s="58"/>
      <c r="AM5034" s="58"/>
      <c r="AN5034" s="186" t="s">
        <v>176</v>
      </c>
      <c r="AO5034" s="185" t="s">
        <v>5150</v>
      </c>
      <c r="AP5034" s="58"/>
      <c r="AQ5034" s="58" t="s">
        <v>176</v>
      </c>
      <c r="AR5034" s="58"/>
      <c r="AS5034" s="246" t="s">
        <v>227</v>
      </c>
      <c r="AT5034" s="247">
        <v>0</v>
      </c>
      <c r="AU5034" s="181" t="s">
        <v>7494</v>
      </c>
      <c r="AV5034" s="185" t="s">
        <v>176</v>
      </c>
      <c r="AW5034" s="244">
        <v>0</v>
      </c>
      <c r="AX5034" s="185" t="s">
        <v>176</v>
      </c>
      <c r="AY5034" s="244" t="s">
        <v>176</v>
      </c>
      <c r="AZ5034" s="58"/>
      <c r="BA5034" s="58"/>
      <c r="BB5034" s="58"/>
      <c r="BC5034" s="58"/>
      <c r="BD5034" s="58"/>
      <c r="BE5034" s="236" t="s">
        <v>5153</v>
      </c>
      <c r="BF5034" s="191" t="s">
        <v>176</v>
      </c>
      <c r="BG5034" s="191" t="s">
        <v>176</v>
      </c>
      <c r="BH5034" s="236" t="s">
        <v>5153</v>
      </c>
      <c r="BI5034" s="191" t="s">
        <v>176</v>
      </c>
      <c r="BJ5034" s="58" t="str">
        <f>IF(BE5034=BH5034,"No","yes")</f>
        <v>No</v>
      </c>
      <c r="BK5034" s="58" t="s">
        <v>6334</v>
      </c>
      <c r="BL5034" s="58"/>
      <c r="BM5034" s="237"/>
      <c r="BN5034" s="244" t="s">
        <v>1682</v>
      </c>
      <c r="BO5034" s="244" t="s">
        <v>1682</v>
      </c>
      <c r="BP5034" s="58"/>
      <c r="BQ5034" s="58"/>
      <c r="BR5034" s="58"/>
      <c r="BS5034" s="58"/>
      <c r="BT5034" s="58"/>
      <c r="BU5034" s="58"/>
      <c r="BV5034" s="58"/>
      <c r="BW5034" s="67"/>
      <c r="BX5034" s="67"/>
      <c r="BY5034" s="67"/>
      <c r="BZ5034" s="67"/>
      <c r="CA5034" s="67"/>
      <c r="CB5034" s="70"/>
      <c r="CC5034" s="70"/>
      <c r="CD5034" s="70"/>
      <c r="CE5034" s="67"/>
      <c r="CF5034" s="67"/>
      <c r="CG5034" s="67"/>
      <c r="CH5034" s="245"/>
      <c r="CI5034" s="245"/>
      <c r="CJ5034" s="67"/>
      <c r="CK5034" s="67"/>
      <c r="CL5034" s="67"/>
      <c r="CM5034" s="242">
        <v>1.5209999999999999</v>
      </c>
      <c r="CN5034" s="242">
        <v>1.34</v>
      </c>
      <c r="CO5034" s="242">
        <f>SQRT(5)*0.169</f>
        <v>0.37789548819746449</v>
      </c>
      <c r="CP5034" s="242">
        <f>SQRT(5)*0.398</f>
        <v>0.88995505504491634</v>
      </c>
      <c r="CQ5034" s="242" t="s">
        <v>164</v>
      </c>
      <c r="CR5034" s="242"/>
      <c r="CS5034" s="242"/>
      <c r="CT5034" s="242"/>
      <c r="CU5034" s="242"/>
      <c r="CV5034" s="242" t="s">
        <v>5151</v>
      </c>
      <c r="CW5034" s="242"/>
      <c r="CX5034" s="242"/>
      <c r="CY5034" s="242"/>
      <c r="CZ5034" s="242"/>
      <c r="DA5034" s="67" t="s">
        <v>5443</v>
      </c>
      <c r="DB5034" s="67">
        <v>466</v>
      </c>
      <c r="DC5034" s="67">
        <v>873</v>
      </c>
      <c r="DD5034" s="67">
        <f>SQRT(5)*45</f>
        <v>100.62305898749054</v>
      </c>
      <c r="DE5034" s="67">
        <f>SQRT(5)*42</f>
        <v>93.914855054991165</v>
      </c>
      <c r="DF5034" s="67" t="s">
        <v>5694</v>
      </c>
      <c r="DG5034" s="67">
        <v>43.7</v>
      </c>
      <c r="DH5034" s="67">
        <v>64.83</v>
      </c>
      <c r="DI5034" s="67">
        <f>SQRT(5)*4.23</f>
        <v>9.4585675448241116</v>
      </c>
      <c r="DJ5034" s="67">
        <f>SQRT(5)*1.78</f>
        <v>3.9802009999496257</v>
      </c>
      <c r="DK5034" s="67" t="s">
        <v>5695</v>
      </c>
      <c r="DL5034" s="67"/>
      <c r="DM5034" s="67"/>
      <c r="DN5034" s="67"/>
      <c r="DO5034" s="67"/>
      <c r="DP5034" s="67"/>
      <c r="DQ5034" s="166">
        <v>7.99</v>
      </c>
      <c r="DR5034" s="166">
        <v>7.5</v>
      </c>
      <c r="DS5034" s="163"/>
      <c r="DT5034" s="163"/>
      <c r="DU5034" s="67"/>
      <c r="DV5034" s="67"/>
      <c r="DW5034" s="67"/>
      <c r="DX5034" s="67"/>
      <c r="DY5034" s="67"/>
      <c r="DZ5034" s="67"/>
      <c r="EA5034" s="67">
        <v>1.33</v>
      </c>
      <c r="EB5034" s="67">
        <v>0.7</v>
      </c>
      <c r="EC5034" s="67"/>
      <c r="ED5034" s="67"/>
      <c r="EE5034" s="67"/>
      <c r="EF5034" s="67"/>
      <c r="EG5034" s="67"/>
      <c r="EH5034" s="67"/>
      <c r="EI5034" s="67"/>
      <c r="EJ5034" s="67"/>
      <c r="EK5034" s="94"/>
      <c r="EL5034" s="94"/>
      <c r="EM5034" s="67"/>
      <c r="EN5034" s="67"/>
      <c r="EO5034" s="67"/>
      <c r="EP5034" s="67"/>
      <c r="EQ5034" s="67"/>
      <c r="ER5034" s="67"/>
      <c r="ES5034" s="67"/>
      <c r="ET5034" s="67"/>
      <c r="EU5034" s="67"/>
      <c r="EV5034" s="67"/>
      <c r="EW5034" s="67"/>
      <c r="EX5034" s="67"/>
      <c r="EY5034" s="67"/>
      <c r="EZ5034" s="67"/>
      <c r="FA5034" s="67"/>
      <c r="FB5034" s="67"/>
      <c r="FC5034" s="67"/>
      <c r="FD5034" s="67"/>
      <c r="FE5034" s="67"/>
      <c r="FF5034" s="67"/>
      <c r="FG5034" s="67"/>
      <c r="FH5034" s="67"/>
      <c r="FI5034" s="67"/>
      <c r="FJ5034" s="67"/>
      <c r="FK5034" s="67"/>
      <c r="FL5034" s="67"/>
      <c r="FM5034" s="67"/>
      <c r="FN5034" s="67"/>
      <c r="FO5034" s="67"/>
      <c r="FP5034" s="67"/>
      <c r="FQ5034" s="67"/>
      <c r="FR5034" s="67"/>
      <c r="FS5034" s="67"/>
      <c r="FT5034" s="67"/>
      <c r="FU5034" s="67"/>
      <c r="FV5034" s="67"/>
      <c r="FW5034" s="67"/>
      <c r="FX5034" s="67"/>
      <c r="FY5034" s="67"/>
      <c r="FZ5034" s="67"/>
      <c r="GA5034" s="67"/>
      <c r="GB5034" s="67"/>
      <c r="GC5034" s="67"/>
      <c r="GD5034" s="67"/>
      <c r="GE5034" s="67"/>
      <c r="GF5034" s="67"/>
      <c r="GG5034" s="67"/>
      <c r="GH5034" s="67"/>
      <c r="GI5034" s="67"/>
      <c r="GJ5034" s="67"/>
      <c r="GK5034" s="67"/>
      <c r="GL5034" s="67"/>
      <c r="GM5034" s="67"/>
      <c r="GN5034" s="292"/>
      <c r="GO5034" s="292"/>
      <c r="GP5034" s="292" t="s">
        <v>7494</v>
      </c>
      <c r="GQ5034" s="67"/>
      <c r="GR5034" s="67"/>
      <c r="GS5034" s="67"/>
      <c r="GT5034" s="67"/>
      <c r="GU5034" s="67"/>
      <c r="GV5034" s="67"/>
      <c r="GW5034" s="67"/>
      <c r="GX5034" s="67"/>
      <c r="GY5034" s="67"/>
      <c r="GZ5034" s="67"/>
      <c r="HA5034" s="67"/>
      <c r="HB5034" s="67"/>
      <c r="HC5034" s="67"/>
      <c r="HD5034" s="67"/>
      <c r="HE5034" s="67"/>
      <c r="HF5034" s="67"/>
      <c r="HG5034" s="67"/>
      <c r="HH5034" s="67"/>
      <c r="HI5034" s="67"/>
      <c r="HJ5034" s="67"/>
      <c r="HK5034" s="67"/>
      <c r="HL5034" s="67"/>
      <c r="HM5034" s="67"/>
      <c r="HN5034" s="67"/>
      <c r="HO5034" s="67"/>
      <c r="HP5034" s="67"/>
      <c r="HQ5034" s="67"/>
      <c r="HR5034" s="67"/>
      <c r="HS5034" s="67">
        <v>12.08</v>
      </c>
      <c r="HT5034" s="67">
        <v>24.75</v>
      </c>
      <c r="HU5034" s="67">
        <f>SQRT(5)*0.85</f>
        <v>1.9006577808748213</v>
      </c>
      <c r="HV5034" s="67">
        <f>SQRT(5)*0.67</f>
        <v>1.4981655449248592</v>
      </c>
      <c r="HW5034" s="67" t="s">
        <v>5697</v>
      </c>
      <c r="HX5034" s="67">
        <v>187</v>
      </c>
      <c r="HY5034" s="67">
        <v>136</v>
      </c>
      <c r="HZ5034" s="67">
        <f>SQRT(5)*28</f>
        <v>62.609903369994115</v>
      </c>
      <c r="IA5034" s="67">
        <f>SQRT(5)*8</f>
        <v>17.888543819998318</v>
      </c>
      <c r="IB5034" s="67" t="s">
        <v>5658</v>
      </c>
      <c r="IC5034" s="67">
        <v>0.33</v>
      </c>
      <c r="ID5034" s="67">
        <v>0.66</v>
      </c>
      <c r="IE5034" s="67">
        <f>SQRT(5)*0.04</f>
        <v>8.9442719099991588E-2</v>
      </c>
      <c r="IF5034" s="67">
        <f>SQRT(5)*0.04</f>
        <v>8.9442719099991588E-2</v>
      </c>
      <c r="IG5034" s="67" t="s">
        <v>5658</v>
      </c>
      <c r="IH5034" s="67"/>
      <c r="II5034" s="67"/>
      <c r="IJ5034" s="67"/>
      <c r="IK5034" s="67"/>
      <c r="IL5034" s="67"/>
      <c r="IM5034" s="67"/>
      <c r="IN5034" s="67"/>
      <c r="IO5034" s="67"/>
      <c r="IP5034" s="67"/>
      <c r="IQ5034" s="67"/>
      <c r="IR5034" s="67"/>
      <c r="IS5034" s="67"/>
      <c r="IT5034" s="67"/>
      <c r="IU5034" s="67"/>
      <c r="IV5034" s="67"/>
      <c r="IW5034" s="67">
        <v>3.45</v>
      </c>
      <c r="IX5034" s="67">
        <v>3.58</v>
      </c>
      <c r="IY5034" s="67">
        <f>SQRT(5)*0.32</f>
        <v>0.71554175279993271</v>
      </c>
      <c r="IZ5034" s="67">
        <f>SQRT(5)*0.51</f>
        <v>1.1403946685248929</v>
      </c>
      <c r="JA5034" s="67" t="s">
        <v>5696</v>
      </c>
      <c r="JB5034" s="67"/>
      <c r="JC5034" s="67"/>
      <c r="JD5034" s="67"/>
      <c r="JE5034" s="67"/>
      <c r="JF5034" s="67"/>
      <c r="JG5034" s="67">
        <v>270</v>
      </c>
      <c r="JH5034" s="67">
        <v>292</v>
      </c>
      <c r="JI5034" s="67">
        <f>SQRT(5)*24.1</f>
        <v>53.889238257744935</v>
      </c>
      <c r="JJ5034" s="67">
        <f>SQRT(5)*9.2</f>
        <v>20.571825392998065</v>
      </c>
      <c r="JK5034" s="67" t="s">
        <v>3072</v>
      </c>
      <c r="JL5034" s="67">
        <v>23</v>
      </c>
      <c r="JM5034" s="67">
        <v>15</v>
      </c>
      <c r="JN5034" s="67">
        <f>SQRT(5)*1.38</f>
        <v>3.0857738089497095</v>
      </c>
      <c r="JO5034" s="67">
        <f>SQRT(5)*0.72</f>
        <v>1.6099689437998486</v>
      </c>
      <c r="JP5034" s="67" t="s">
        <v>3072</v>
      </c>
      <c r="JQ5034" s="67"/>
      <c r="JR5034" s="67"/>
      <c r="JS5034" s="67"/>
      <c r="JT5034" s="67"/>
      <c r="JU5034" s="58" t="s">
        <v>5698</v>
      </c>
      <c r="JV5034" s="58"/>
      <c r="JW5034" s="58"/>
    </row>
    <row r="5035" spans="1:283" s="23" customFormat="1" x14ac:dyDescent="0.25">
      <c r="A5035" s="55">
        <v>5034</v>
      </c>
      <c r="B5035" s="12" t="s">
        <v>7067</v>
      </c>
      <c r="C5035" s="156">
        <v>256</v>
      </c>
      <c r="D5035" s="58" t="s">
        <v>4995</v>
      </c>
      <c r="E5035" s="160" t="str">
        <f>G5035</f>
        <v>N. Monokrousos et al. 2006_pair 2</v>
      </c>
      <c r="F5035" s="160"/>
      <c r="G5035" s="60" t="s">
        <v>4732</v>
      </c>
      <c r="H5035" s="58">
        <v>2006</v>
      </c>
      <c r="I5035" s="58" t="s">
        <v>5643</v>
      </c>
      <c r="J5035" s="243" t="s">
        <v>5318</v>
      </c>
      <c r="K5035" s="63" t="s">
        <v>5089</v>
      </c>
      <c r="L5035" s="58" t="s">
        <v>5329</v>
      </c>
      <c r="M5035" s="94">
        <v>35.46</v>
      </c>
      <c r="N5035" s="94">
        <v>23.75</v>
      </c>
      <c r="O5035" s="94">
        <v>241</v>
      </c>
      <c r="P5035" s="58"/>
      <c r="Q5035" s="244"/>
      <c r="R5035" s="58"/>
      <c r="S5035" s="245">
        <v>505</v>
      </c>
      <c r="T5035" s="58"/>
      <c r="U5035" s="244">
        <v>5</v>
      </c>
      <c r="V5035" s="244">
        <v>5</v>
      </c>
      <c r="W5035" s="174"/>
      <c r="X5035" s="174"/>
      <c r="Y5035" s="58" t="s">
        <v>5693</v>
      </c>
      <c r="Z5035" s="244" t="s">
        <v>1355</v>
      </c>
      <c r="AA5035" s="245">
        <v>10</v>
      </c>
      <c r="AB5035" s="67"/>
      <c r="AC5035" s="67"/>
      <c r="AD5035" s="94"/>
      <c r="AE5035" s="94">
        <v>55.2</v>
      </c>
      <c r="AF5035" s="94">
        <v>27.2</v>
      </c>
      <c r="AG5035" s="245">
        <v>17.600000000000001</v>
      </c>
      <c r="AH5035" s="58" t="s">
        <v>494</v>
      </c>
      <c r="AI5035" s="169" t="s">
        <v>5692</v>
      </c>
      <c r="AJ5035" s="94"/>
      <c r="AK5035" s="94"/>
      <c r="AL5035" s="58"/>
      <c r="AM5035" s="58"/>
      <c r="AN5035" s="186" t="s">
        <v>176</v>
      </c>
      <c r="AO5035" s="185" t="s">
        <v>5150</v>
      </c>
      <c r="AP5035" s="58"/>
      <c r="AQ5035" s="58" t="s">
        <v>176</v>
      </c>
      <c r="AR5035" s="58"/>
      <c r="AS5035" s="246" t="s">
        <v>227</v>
      </c>
      <c r="AT5035" s="247">
        <v>0</v>
      </c>
      <c r="AU5035" s="181" t="s">
        <v>7494</v>
      </c>
      <c r="AV5035" s="185" t="s">
        <v>176</v>
      </c>
      <c r="AW5035" s="244">
        <v>0</v>
      </c>
      <c r="AX5035" s="185" t="s">
        <v>176</v>
      </c>
      <c r="AY5035" s="244" t="s">
        <v>176</v>
      </c>
      <c r="AZ5035" s="58"/>
      <c r="BA5035" s="58"/>
      <c r="BB5035" s="58"/>
      <c r="BC5035" s="58"/>
      <c r="BD5035" s="58"/>
      <c r="BE5035" s="236" t="s">
        <v>5153</v>
      </c>
      <c r="BF5035" s="191" t="s">
        <v>176</v>
      </c>
      <c r="BG5035" s="191" t="s">
        <v>176</v>
      </c>
      <c r="BH5035" s="236" t="s">
        <v>5153</v>
      </c>
      <c r="BI5035" s="191" t="s">
        <v>176</v>
      </c>
      <c r="BJ5035" s="58" t="str">
        <f>IF(BE5035=BH5035,"No","yes")</f>
        <v>No</v>
      </c>
      <c r="BK5035" s="58" t="s">
        <v>6334</v>
      </c>
      <c r="BL5035" s="58"/>
      <c r="BM5035" s="237"/>
      <c r="BN5035" s="244" t="s">
        <v>1682</v>
      </c>
      <c r="BO5035" s="244" t="s">
        <v>1682</v>
      </c>
      <c r="BP5035" s="58"/>
      <c r="BQ5035" s="58"/>
      <c r="BR5035" s="58"/>
      <c r="BS5035" s="58"/>
      <c r="BT5035" s="58"/>
      <c r="BU5035" s="58"/>
      <c r="BV5035" s="58"/>
      <c r="BW5035" s="67"/>
      <c r="BX5035" s="67"/>
      <c r="BY5035" s="67"/>
      <c r="BZ5035" s="67"/>
      <c r="CA5035" s="67"/>
      <c r="CB5035" s="70"/>
      <c r="CC5035" s="70"/>
      <c r="CD5035" s="70"/>
      <c r="CE5035" s="67"/>
      <c r="CF5035" s="67"/>
      <c r="CG5035" s="67"/>
      <c r="CH5035" s="245"/>
      <c r="CI5035" s="245"/>
      <c r="CJ5035" s="67"/>
      <c r="CK5035" s="67"/>
      <c r="CL5035" s="67"/>
      <c r="CM5035" s="242">
        <v>1.5209999999999999</v>
      </c>
      <c r="CN5035" s="242">
        <v>1.72</v>
      </c>
      <c r="CO5035" s="242">
        <f>SQRT(5)*0.169</f>
        <v>0.37789548819746449</v>
      </c>
      <c r="CP5035" s="242">
        <f>SQRT(5)*0.363</f>
        <v>0.81169267583242366</v>
      </c>
      <c r="CQ5035" s="242" t="s">
        <v>164</v>
      </c>
      <c r="CR5035" s="242"/>
      <c r="CS5035" s="242"/>
      <c r="CT5035" s="242"/>
      <c r="CU5035" s="242"/>
      <c r="CV5035" s="242" t="s">
        <v>5151</v>
      </c>
      <c r="CW5035" s="242"/>
      <c r="CX5035" s="242"/>
      <c r="CY5035" s="242"/>
      <c r="CZ5035" s="242"/>
      <c r="DA5035" s="67" t="s">
        <v>5443</v>
      </c>
      <c r="DB5035" s="67">
        <v>466</v>
      </c>
      <c r="DC5035" s="67">
        <v>991</v>
      </c>
      <c r="DD5035" s="67">
        <f>SQRT(5)*45</f>
        <v>100.62305898749054</v>
      </c>
      <c r="DE5035" s="67">
        <f>SQRT(5)*47</f>
        <v>105.09519494249012</v>
      </c>
      <c r="DF5035" s="67" t="s">
        <v>5694</v>
      </c>
      <c r="DG5035" s="67">
        <v>43.7</v>
      </c>
      <c r="DH5035" s="67">
        <v>58.44</v>
      </c>
      <c r="DI5035" s="67">
        <f>SQRT(5)*4.23</f>
        <v>9.4585675448241116</v>
      </c>
      <c r="DJ5035" s="67">
        <f>SQRT(5)*6.04</f>
        <v>13.505850584098731</v>
      </c>
      <c r="DK5035" s="67" t="s">
        <v>5695</v>
      </c>
      <c r="DL5035" s="67"/>
      <c r="DM5035" s="67"/>
      <c r="DN5035" s="67"/>
      <c r="DO5035" s="67"/>
      <c r="DP5035" s="67"/>
      <c r="DQ5035" s="166">
        <v>7.99</v>
      </c>
      <c r="DR5035" s="166">
        <v>7.83</v>
      </c>
      <c r="DS5035" s="163"/>
      <c r="DT5035" s="163"/>
      <c r="DU5035" s="67"/>
      <c r="DV5035" s="67"/>
      <c r="DW5035" s="67"/>
      <c r="DX5035" s="67"/>
      <c r="DY5035" s="67"/>
      <c r="DZ5035" s="67"/>
      <c r="EA5035" s="67">
        <v>1.33</v>
      </c>
      <c r="EB5035" s="67">
        <v>0.87</v>
      </c>
      <c r="EC5035" s="67"/>
      <c r="ED5035" s="67"/>
      <c r="EE5035" s="67"/>
      <c r="EF5035" s="67"/>
      <c r="EG5035" s="67"/>
      <c r="EH5035" s="67"/>
      <c r="EI5035" s="67"/>
      <c r="EJ5035" s="67"/>
      <c r="EK5035" s="94"/>
      <c r="EL5035" s="94"/>
      <c r="EM5035" s="67"/>
      <c r="EN5035" s="67"/>
      <c r="EO5035" s="67"/>
      <c r="EP5035" s="67"/>
      <c r="EQ5035" s="67"/>
      <c r="ER5035" s="67"/>
      <c r="ES5035" s="67"/>
      <c r="ET5035" s="67"/>
      <c r="EU5035" s="67"/>
      <c r="EV5035" s="67"/>
      <c r="EW5035" s="67"/>
      <c r="EX5035" s="67"/>
      <c r="EY5035" s="67"/>
      <c r="EZ5035" s="67"/>
      <c r="FA5035" s="67"/>
      <c r="FB5035" s="67"/>
      <c r="FC5035" s="67"/>
      <c r="FD5035" s="67"/>
      <c r="FE5035" s="67"/>
      <c r="FF5035" s="67"/>
      <c r="FG5035" s="67"/>
      <c r="FH5035" s="67"/>
      <c r="FI5035" s="67"/>
      <c r="FJ5035" s="67"/>
      <c r="FK5035" s="67"/>
      <c r="FL5035" s="67"/>
      <c r="FM5035" s="67"/>
      <c r="FN5035" s="67"/>
      <c r="FO5035" s="67"/>
      <c r="FP5035" s="67"/>
      <c r="FQ5035" s="67"/>
      <c r="FR5035" s="67"/>
      <c r="FS5035" s="67"/>
      <c r="FT5035" s="67"/>
      <c r="FU5035" s="67"/>
      <c r="FV5035" s="67"/>
      <c r="FW5035" s="67"/>
      <c r="FX5035" s="67"/>
      <c r="FY5035" s="67"/>
      <c r="FZ5035" s="67"/>
      <c r="GA5035" s="67"/>
      <c r="GB5035" s="67"/>
      <c r="GC5035" s="67"/>
      <c r="GD5035" s="67"/>
      <c r="GE5035" s="67"/>
      <c r="GF5035" s="67"/>
      <c r="GG5035" s="67"/>
      <c r="GH5035" s="67"/>
      <c r="GI5035" s="67"/>
      <c r="GJ5035" s="67"/>
      <c r="GK5035" s="67"/>
      <c r="GL5035" s="67"/>
      <c r="GM5035" s="67"/>
      <c r="GN5035" s="292"/>
      <c r="GO5035" s="292"/>
      <c r="GP5035" s="292" t="s">
        <v>7494</v>
      </c>
      <c r="GQ5035" s="67"/>
      <c r="GR5035" s="67"/>
      <c r="GS5035" s="67"/>
      <c r="GT5035" s="67"/>
      <c r="GU5035" s="67"/>
      <c r="GV5035" s="67"/>
      <c r="GW5035" s="67"/>
      <c r="GX5035" s="67"/>
      <c r="GY5035" s="67"/>
      <c r="GZ5035" s="67"/>
      <c r="HA5035" s="67"/>
      <c r="HB5035" s="67"/>
      <c r="HC5035" s="67"/>
      <c r="HD5035" s="67"/>
      <c r="HE5035" s="67"/>
      <c r="HF5035" s="67"/>
      <c r="HG5035" s="67"/>
      <c r="HH5035" s="67"/>
      <c r="HI5035" s="67"/>
      <c r="HJ5035" s="67"/>
      <c r="HK5035" s="67"/>
      <c r="HL5035" s="67"/>
      <c r="HM5035" s="67"/>
      <c r="HN5035" s="67"/>
      <c r="HO5035" s="67"/>
      <c r="HP5035" s="67"/>
      <c r="HQ5035" s="67"/>
      <c r="HR5035" s="67"/>
      <c r="HS5035" s="67">
        <v>12.08</v>
      </c>
      <c r="HT5035" s="67">
        <v>16.48</v>
      </c>
      <c r="HU5035" s="67">
        <f>SQRT(5)*0.85</f>
        <v>1.9006577808748213</v>
      </c>
      <c r="HV5035" s="67">
        <f>SQRT(5)*1.03</f>
        <v>2.3031500168247834</v>
      </c>
      <c r="HW5035" s="67" t="s">
        <v>5697</v>
      </c>
      <c r="HX5035" s="67">
        <v>187</v>
      </c>
      <c r="HY5035" s="67">
        <v>198</v>
      </c>
      <c r="HZ5035" s="67">
        <f>SQRT(5)*28</f>
        <v>62.609903369994115</v>
      </c>
      <c r="IA5035" s="67">
        <f>SQRT(5)*44</f>
        <v>98.386991009990751</v>
      </c>
      <c r="IB5035" s="67" t="s">
        <v>5658</v>
      </c>
      <c r="IC5035" s="67">
        <v>0.33</v>
      </c>
      <c r="ID5035" s="67">
        <v>0.54</v>
      </c>
      <c r="IE5035" s="67">
        <f>SQRT(5)*0.04</f>
        <v>8.9442719099991588E-2</v>
      </c>
      <c r="IF5035" s="67">
        <f>SQRT(5)*0.05</f>
        <v>0.1118033988749895</v>
      </c>
      <c r="IG5035" s="67" t="s">
        <v>5658</v>
      </c>
      <c r="IH5035" s="67"/>
      <c r="II5035" s="67"/>
      <c r="IJ5035" s="67"/>
      <c r="IK5035" s="67"/>
      <c r="IL5035" s="67"/>
      <c r="IM5035" s="67"/>
      <c r="IN5035" s="67"/>
      <c r="IO5035" s="67"/>
      <c r="IP5035" s="67"/>
      <c r="IQ5035" s="67"/>
      <c r="IR5035" s="67"/>
      <c r="IS5035" s="67"/>
      <c r="IT5035" s="67"/>
      <c r="IU5035" s="67"/>
      <c r="IV5035" s="67"/>
      <c r="IW5035" s="67">
        <v>3.45</v>
      </c>
      <c r="IX5035" s="67">
        <v>2.74</v>
      </c>
      <c r="IY5035" s="67">
        <f>SQRT(5)*0.32</f>
        <v>0.71554175279993271</v>
      </c>
      <c r="IZ5035" s="67">
        <f>SQRT(5)*0.17</f>
        <v>0.3801315561749643</v>
      </c>
      <c r="JA5035" s="67" t="s">
        <v>5696</v>
      </c>
      <c r="JB5035" s="67"/>
      <c r="JC5035" s="67"/>
      <c r="JD5035" s="67"/>
      <c r="JE5035" s="67"/>
      <c r="JF5035" s="67"/>
      <c r="JG5035" s="67">
        <v>270</v>
      </c>
      <c r="JH5035" s="67">
        <v>284</v>
      </c>
      <c r="JI5035" s="67">
        <f>SQRT(5)*24.1</f>
        <v>53.889238257744935</v>
      </c>
      <c r="JJ5035" s="67">
        <f>SQRT(5)*21.1</f>
        <v>47.18103432524557</v>
      </c>
      <c r="JK5035" s="67" t="s">
        <v>3072</v>
      </c>
      <c r="JL5035" s="67">
        <v>23</v>
      </c>
      <c r="JM5035" s="67">
        <v>17</v>
      </c>
      <c r="JN5035" s="67">
        <f>SQRT(5)*1.38</f>
        <v>3.0857738089497095</v>
      </c>
      <c r="JO5035" s="67">
        <f>SQRT(5)*1.12</f>
        <v>2.504396134799765</v>
      </c>
      <c r="JP5035" s="67" t="s">
        <v>3072</v>
      </c>
      <c r="JQ5035" s="67"/>
      <c r="JR5035" s="67"/>
      <c r="JS5035" s="67"/>
      <c r="JT5035" s="67"/>
      <c r="JU5035" s="58" t="s">
        <v>5698</v>
      </c>
      <c r="JV5035" s="58"/>
      <c r="JW5035" s="58"/>
    </row>
    <row r="5036" spans="1:283" s="23" customFormat="1" x14ac:dyDescent="0.25">
      <c r="A5036" s="55">
        <v>5035</v>
      </c>
      <c r="B5036" s="12" t="s">
        <v>7067</v>
      </c>
      <c r="C5036" s="156">
        <v>256</v>
      </c>
      <c r="D5036" s="58" t="s">
        <v>4996</v>
      </c>
      <c r="E5036" s="160" t="str">
        <f>G5036</f>
        <v>N. Monokrousos et al. 2006_pair 3</v>
      </c>
      <c r="F5036" s="160"/>
      <c r="G5036" s="60" t="s">
        <v>4731</v>
      </c>
      <c r="H5036" s="58">
        <v>2006</v>
      </c>
      <c r="I5036" s="58" t="s">
        <v>5643</v>
      </c>
      <c r="J5036" s="243" t="s">
        <v>5318</v>
      </c>
      <c r="K5036" s="63" t="s">
        <v>5089</v>
      </c>
      <c r="L5036" s="58" t="s">
        <v>5329</v>
      </c>
      <c r="M5036" s="94">
        <v>35.46</v>
      </c>
      <c r="N5036" s="94">
        <v>23.75</v>
      </c>
      <c r="O5036" s="94">
        <v>241</v>
      </c>
      <c r="P5036" s="58"/>
      <c r="Q5036" s="244"/>
      <c r="R5036" s="58"/>
      <c r="S5036" s="245">
        <v>505</v>
      </c>
      <c r="T5036" s="58"/>
      <c r="U5036" s="244">
        <v>3</v>
      </c>
      <c r="V5036" s="244">
        <v>3</v>
      </c>
      <c r="W5036" s="174"/>
      <c r="X5036" s="174"/>
      <c r="Y5036" s="58" t="s">
        <v>1952</v>
      </c>
      <c r="Z5036" s="244" t="s">
        <v>1355</v>
      </c>
      <c r="AA5036" s="245">
        <v>10</v>
      </c>
      <c r="AB5036" s="67"/>
      <c r="AC5036" s="67"/>
      <c r="AD5036" s="94"/>
      <c r="AE5036" s="94">
        <v>55.2</v>
      </c>
      <c r="AF5036" s="94">
        <v>27.2</v>
      </c>
      <c r="AG5036" s="245">
        <v>17.600000000000001</v>
      </c>
      <c r="AH5036" s="58" t="s">
        <v>494</v>
      </c>
      <c r="AI5036" s="169" t="s">
        <v>5692</v>
      </c>
      <c r="AJ5036" s="94"/>
      <c r="AK5036" s="94"/>
      <c r="AL5036" s="58"/>
      <c r="AM5036" s="58"/>
      <c r="AN5036" s="186" t="s">
        <v>176</v>
      </c>
      <c r="AO5036" s="185" t="s">
        <v>5150</v>
      </c>
      <c r="AP5036" s="58"/>
      <c r="AQ5036" s="58" t="s">
        <v>176</v>
      </c>
      <c r="AR5036" s="58"/>
      <c r="AS5036" s="246" t="s">
        <v>227</v>
      </c>
      <c r="AT5036" s="247">
        <v>0</v>
      </c>
      <c r="AU5036" s="181" t="s">
        <v>7494</v>
      </c>
      <c r="AV5036" s="185" t="s">
        <v>176</v>
      </c>
      <c r="AW5036" s="244">
        <v>0</v>
      </c>
      <c r="AX5036" s="185" t="s">
        <v>176</v>
      </c>
      <c r="AY5036" s="244" t="s">
        <v>176</v>
      </c>
      <c r="AZ5036" s="58"/>
      <c r="BA5036" s="58"/>
      <c r="BB5036" s="58"/>
      <c r="BC5036" s="58"/>
      <c r="BD5036" s="58"/>
      <c r="BE5036" s="236" t="s">
        <v>5153</v>
      </c>
      <c r="BF5036" s="191" t="s">
        <v>176</v>
      </c>
      <c r="BG5036" s="191" t="s">
        <v>176</v>
      </c>
      <c r="BH5036" s="236" t="s">
        <v>5153</v>
      </c>
      <c r="BI5036" s="191" t="s">
        <v>176</v>
      </c>
      <c r="BJ5036" s="58" t="str">
        <f>IF(BE5036=BH5036,"No","yes")</f>
        <v>No</v>
      </c>
      <c r="BK5036" s="58" t="s">
        <v>6334</v>
      </c>
      <c r="BL5036" s="58"/>
      <c r="BM5036" s="237"/>
      <c r="BN5036" s="244" t="s">
        <v>1682</v>
      </c>
      <c r="BO5036" s="244" t="s">
        <v>1682</v>
      </c>
      <c r="BP5036" s="58"/>
      <c r="BQ5036" s="58"/>
      <c r="BR5036" s="58"/>
      <c r="BS5036" s="58"/>
      <c r="BT5036" s="58"/>
      <c r="BU5036" s="58"/>
      <c r="BV5036" s="58"/>
      <c r="BW5036" s="67"/>
      <c r="BX5036" s="67"/>
      <c r="BY5036" s="67"/>
      <c r="BZ5036" s="67"/>
      <c r="CA5036" s="67"/>
      <c r="CB5036" s="70"/>
      <c r="CC5036" s="70"/>
      <c r="CD5036" s="70"/>
      <c r="CE5036" s="67"/>
      <c r="CF5036" s="67"/>
      <c r="CG5036" s="67"/>
      <c r="CH5036" s="245"/>
      <c r="CI5036" s="245"/>
      <c r="CJ5036" s="67"/>
      <c r="CK5036" s="67"/>
      <c r="CL5036" s="67"/>
      <c r="CM5036" s="242">
        <v>1.5209999999999999</v>
      </c>
      <c r="CN5036" s="242">
        <v>1.3109999999999999</v>
      </c>
      <c r="CO5036" s="242">
        <f>SQRT(5)*0.169</f>
        <v>0.37789548819746449</v>
      </c>
      <c r="CP5036" s="242">
        <f>SQRT(5)*0.059</f>
        <v>0.13192801067248758</v>
      </c>
      <c r="CQ5036" s="242" t="s">
        <v>164</v>
      </c>
      <c r="CR5036" s="242"/>
      <c r="CS5036" s="242"/>
      <c r="CT5036" s="242"/>
      <c r="CU5036" s="242"/>
      <c r="CV5036" s="242" t="s">
        <v>5151</v>
      </c>
      <c r="CW5036" s="242"/>
      <c r="CX5036" s="242"/>
      <c r="CY5036" s="242"/>
      <c r="CZ5036" s="242"/>
      <c r="DA5036" s="67" t="s">
        <v>5443</v>
      </c>
      <c r="DB5036" s="67">
        <v>466</v>
      </c>
      <c r="DC5036" s="67">
        <v>896</v>
      </c>
      <c r="DD5036" s="67">
        <f>SQRT(5)*45</f>
        <v>100.62305898749054</v>
      </c>
      <c r="DE5036" s="67">
        <f>SQRT(5)*35</f>
        <v>78.262379212492647</v>
      </c>
      <c r="DF5036" s="67" t="s">
        <v>5694</v>
      </c>
      <c r="DG5036" s="67">
        <v>43.7</v>
      </c>
      <c r="DH5036" s="67">
        <v>57.21</v>
      </c>
      <c r="DI5036" s="67">
        <f>SQRT(5)*4.23</f>
        <v>9.4585675448241116</v>
      </c>
      <c r="DJ5036" s="67">
        <f>SQRT(5)*5.13</f>
        <v>11.471028724573921</v>
      </c>
      <c r="DK5036" s="67" t="s">
        <v>5695</v>
      </c>
      <c r="DL5036" s="67"/>
      <c r="DM5036" s="67"/>
      <c r="DN5036" s="67"/>
      <c r="DO5036" s="67"/>
      <c r="DP5036" s="67"/>
      <c r="DQ5036" s="166">
        <v>7.99</v>
      </c>
      <c r="DR5036" s="166">
        <v>7.89</v>
      </c>
      <c r="DS5036" s="163"/>
      <c r="DT5036" s="163"/>
      <c r="DU5036" s="67"/>
      <c r="DV5036" s="67"/>
      <c r="DW5036" s="67"/>
      <c r="DX5036" s="67"/>
      <c r="DY5036" s="67"/>
      <c r="DZ5036" s="67"/>
      <c r="EA5036" s="67">
        <v>1.33</v>
      </c>
      <c r="EB5036" s="67">
        <v>0.69</v>
      </c>
      <c r="EC5036" s="67"/>
      <c r="ED5036" s="67"/>
      <c r="EE5036" s="67"/>
      <c r="EF5036" s="67"/>
      <c r="EG5036" s="67"/>
      <c r="EH5036" s="67"/>
      <c r="EI5036" s="67"/>
      <c r="EJ5036" s="67"/>
      <c r="EK5036" s="94"/>
      <c r="EL5036" s="94"/>
      <c r="EM5036" s="67"/>
      <c r="EN5036" s="67"/>
      <c r="EO5036" s="67"/>
      <c r="EP5036" s="67"/>
      <c r="EQ5036" s="67"/>
      <c r="ER5036" s="67"/>
      <c r="ES5036" s="67"/>
      <c r="ET5036" s="67"/>
      <c r="EU5036" s="67"/>
      <c r="EV5036" s="67"/>
      <c r="EW5036" s="67"/>
      <c r="EX5036" s="67"/>
      <c r="EY5036" s="67"/>
      <c r="EZ5036" s="67"/>
      <c r="FA5036" s="67"/>
      <c r="FB5036" s="67"/>
      <c r="FC5036" s="67"/>
      <c r="FD5036" s="67"/>
      <c r="FE5036" s="67"/>
      <c r="FF5036" s="67"/>
      <c r="FG5036" s="67"/>
      <c r="FH5036" s="67"/>
      <c r="FI5036" s="67"/>
      <c r="FJ5036" s="67"/>
      <c r="FK5036" s="67"/>
      <c r="FL5036" s="67"/>
      <c r="FM5036" s="67"/>
      <c r="FN5036" s="67"/>
      <c r="FO5036" s="67"/>
      <c r="FP5036" s="67"/>
      <c r="FQ5036" s="67"/>
      <c r="FR5036" s="67"/>
      <c r="FS5036" s="67"/>
      <c r="FT5036" s="67"/>
      <c r="FU5036" s="67"/>
      <c r="FV5036" s="67"/>
      <c r="FW5036" s="67"/>
      <c r="FX5036" s="67"/>
      <c r="FY5036" s="67"/>
      <c r="FZ5036" s="67"/>
      <c r="GA5036" s="67"/>
      <c r="GB5036" s="67"/>
      <c r="GC5036" s="67"/>
      <c r="GD5036" s="67"/>
      <c r="GE5036" s="67"/>
      <c r="GF5036" s="67"/>
      <c r="GG5036" s="67"/>
      <c r="GH5036" s="67"/>
      <c r="GI5036" s="67"/>
      <c r="GJ5036" s="67"/>
      <c r="GK5036" s="67"/>
      <c r="GL5036" s="67"/>
      <c r="GM5036" s="67"/>
      <c r="GN5036" s="292"/>
      <c r="GO5036" s="292"/>
      <c r="GP5036" s="292" t="s">
        <v>7494</v>
      </c>
      <c r="GQ5036" s="67"/>
      <c r="GR5036" s="67"/>
      <c r="GS5036" s="67"/>
      <c r="GT5036" s="67"/>
      <c r="GU5036" s="67"/>
      <c r="GV5036" s="67"/>
      <c r="GW5036" s="67"/>
      <c r="GX5036" s="67"/>
      <c r="GY5036" s="67"/>
      <c r="GZ5036" s="67"/>
      <c r="HA5036" s="67"/>
      <c r="HB5036" s="67"/>
      <c r="HC5036" s="67"/>
      <c r="HD5036" s="67"/>
      <c r="HE5036" s="67"/>
      <c r="HF5036" s="67"/>
      <c r="HG5036" s="67"/>
      <c r="HH5036" s="67"/>
      <c r="HI5036" s="67"/>
      <c r="HJ5036" s="67"/>
      <c r="HK5036" s="67"/>
      <c r="HL5036" s="67"/>
      <c r="HM5036" s="67"/>
      <c r="HN5036" s="67"/>
      <c r="HO5036" s="67"/>
      <c r="HP5036" s="67"/>
      <c r="HQ5036" s="67"/>
      <c r="HR5036" s="67"/>
      <c r="HS5036" s="67">
        <v>12.08</v>
      </c>
      <c r="HT5036" s="67">
        <v>20.81</v>
      </c>
      <c r="HU5036" s="67">
        <f>SQRT(5)*0.85</f>
        <v>1.9006577808748213</v>
      </c>
      <c r="HV5036" s="67">
        <f>SQRT(5)*0.83</f>
        <v>1.8559364213248255</v>
      </c>
      <c r="HW5036" s="67" t="s">
        <v>5697</v>
      </c>
      <c r="HX5036" s="67">
        <v>187</v>
      </c>
      <c r="HY5036" s="67">
        <v>154</v>
      </c>
      <c r="HZ5036" s="67">
        <f>SQRT(5)*28</f>
        <v>62.609903369994115</v>
      </c>
      <c r="IA5036" s="67">
        <f>SQRT(5)*15</f>
        <v>33.541019662496851</v>
      </c>
      <c r="IB5036" s="67" t="s">
        <v>5658</v>
      </c>
      <c r="IC5036" s="67">
        <v>0.33</v>
      </c>
      <c r="ID5036" s="67">
        <v>0.37</v>
      </c>
      <c r="IE5036" s="67">
        <f>SQRT(5)*0.04</f>
        <v>8.9442719099991588E-2</v>
      </c>
      <c r="IF5036" s="67">
        <f>SQRT(5)*0.07</f>
        <v>0.15652475842498531</v>
      </c>
      <c r="IG5036" s="67" t="s">
        <v>5658</v>
      </c>
      <c r="IH5036" s="67"/>
      <c r="II5036" s="67"/>
      <c r="IJ5036" s="67"/>
      <c r="IK5036" s="67"/>
      <c r="IL5036" s="67"/>
      <c r="IM5036" s="67"/>
      <c r="IN5036" s="67"/>
      <c r="IO5036" s="67"/>
      <c r="IP5036" s="67"/>
      <c r="IQ5036" s="67"/>
      <c r="IR5036" s="67"/>
      <c r="IS5036" s="67"/>
      <c r="IT5036" s="67"/>
      <c r="IU5036" s="67"/>
      <c r="IV5036" s="67"/>
      <c r="IW5036" s="67">
        <v>3.45</v>
      </c>
      <c r="IX5036" s="67">
        <v>3.8</v>
      </c>
      <c r="IY5036" s="67">
        <f>SQRT(5)*0.32</f>
        <v>0.71554175279993271</v>
      </c>
      <c r="IZ5036" s="67">
        <f>SQRT(5)*0.21</f>
        <v>0.46957427527495582</v>
      </c>
      <c r="JA5036" s="67" t="s">
        <v>5696</v>
      </c>
      <c r="JB5036" s="67"/>
      <c r="JC5036" s="67"/>
      <c r="JD5036" s="67"/>
      <c r="JE5036" s="67"/>
      <c r="JF5036" s="67"/>
      <c r="JG5036" s="67">
        <v>270</v>
      </c>
      <c r="JH5036" s="67">
        <v>322</v>
      </c>
      <c r="JI5036" s="67">
        <f>SQRT(5)*24.1</f>
        <v>53.889238257744935</v>
      </c>
      <c r="JJ5036" s="67">
        <f>SQRT(5)*32.2</f>
        <v>72.001388875493234</v>
      </c>
      <c r="JK5036" s="67" t="s">
        <v>3072</v>
      </c>
      <c r="JL5036" s="67">
        <v>23</v>
      </c>
      <c r="JM5036" s="67">
        <v>16</v>
      </c>
      <c r="JN5036" s="67">
        <f>SQRT(5)*1.38</f>
        <v>3.0857738089497095</v>
      </c>
      <c r="JO5036" s="67">
        <f>SQRT(5)*1.23</f>
        <v>2.7503636123247412</v>
      </c>
      <c r="JP5036" s="67" t="s">
        <v>3072</v>
      </c>
      <c r="JQ5036" s="67"/>
      <c r="JR5036" s="67"/>
      <c r="JS5036" s="67"/>
      <c r="JT5036" s="67"/>
      <c r="JU5036" s="58" t="s">
        <v>5698</v>
      </c>
      <c r="JV5036" s="58"/>
      <c r="JW5036" s="58"/>
    </row>
    <row r="5037" spans="1:283" s="23" customFormat="1" x14ac:dyDescent="0.25">
      <c r="A5037" s="55">
        <v>5036</v>
      </c>
      <c r="B5037" s="12" t="s">
        <v>7067</v>
      </c>
      <c r="C5037" s="156">
        <v>256</v>
      </c>
      <c r="D5037" s="58" t="s">
        <v>4996</v>
      </c>
      <c r="E5037" s="160" t="str">
        <f>G5037</f>
        <v>N. Monokrousos et al. 2006_pair 3</v>
      </c>
      <c r="F5037" s="160"/>
      <c r="G5037" s="60" t="s">
        <v>4731</v>
      </c>
      <c r="H5037" s="58">
        <v>2006</v>
      </c>
      <c r="I5037" s="58" t="s">
        <v>5643</v>
      </c>
      <c r="J5037" s="243" t="s">
        <v>5318</v>
      </c>
      <c r="K5037" s="63" t="s">
        <v>5089</v>
      </c>
      <c r="L5037" s="58" t="s">
        <v>5329</v>
      </c>
      <c r="M5037" s="94">
        <v>35.46</v>
      </c>
      <c r="N5037" s="94">
        <v>23.75</v>
      </c>
      <c r="O5037" s="94">
        <v>241</v>
      </c>
      <c r="P5037" s="58"/>
      <c r="Q5037" s="244"/>
      <c r="R5037" s="58"/>
      <c r="S5037" s="245">
        <v>505</v>
      </c>
      <c r="T5037" s="58"/>
      <c r="U5037" s="244" t="s">
        <v>1805</v>
      </c>
      <c r="V5037" s="244" t="s">
        <v>1805</v>
      </c>
      <c r="W5037" s="174"/>
      <c r="X5037" s="174"/>
      <c r="Y5037" s="58" t="s">
        <v>1822</v>
      </c>
      <c r="Z5037" s="244" t="s">
        <v>1355</v>
      </c>
      <c r="AA5037" s="245">
        <v>10</v>
      </c>
      <c r="AB5037" s="67"/>
      <c r="AC5037" s="67"/>
      <c r="AD5037" s="94"/>
      <c r="AE5037" s="94">
        <v>55.2</v>
      </c>
      <c r="AF5037" s="94">
        <v>27.2</v>
      </c>
      <c r="AG5037" s="245">
        <v>17.600000000000001</v>
      </c>
      <c r="AH5037" s="58" t="s">
        <v>494</v>
      </c>
      <c r="AI5037" s="169" t="s">
        <v>5692</v>
      </c>
      <c r="AJ5037" s="94"/>
      <c r="AK5037" s="94"/>
      <c r="AL5037" s="58"/>
      <c r="AM5037" s="58"/>
      <c r="AN5037" s="186" t="s">
        <v>176</v>
      </c>
      <c r="AO5037" s="185" t="s">
        <v>5150</v>
      </c>
      <c r="AP5037" s="58"/>
      <c r="AQ5037" s="58" t="s">
        <v>176</v>
      </c>
      <c r="AR5037" s="58"/>
      <c r="AS5037" s="246" t="s">
        <v>227</v>
      </c>
      <c r="AT5037" s="247">
        <v>0</v>
      </c>
      <c r="AU5037" s="181" t="s">
        <v>7494</v>
      </c>
      <c r="AV5037" s="185" t="s">
        <v>176</v>
      </c>
      <c r="AW5037" s="244">
        <v>0</v>
      </c>
      <c r="AX5037" s="185" t="s">
        <v>176</v>
      </c>
      <c r="AY5037" s="244" t="s">
        <v>176</v>
      </c>
      <c r="AZ5037" s="58"/>
      <c r="BA5037" s="58"/>
      <c r="BB5037" s="58"/>
      <c r="BC5037" s="58"/>
      <c r="BD5037" s="58"/>
      <c r="BE5037" s="236" t="s">
        <v>5153</v>
      </c>
      <c r="BF5037" s="191" t="s">
        <v>176</v>
      </c>
      <c r="BG5037" s="191" t="s">
        <v>176</v>
      </c>
      <c r="BH5037" s="236" t="s">
        <v>5153</v>
      </c>
      <c r="BI5037" s="191" t="s">
        <v>176</v>
      </c>
      <c r="BJ5037" s="58" t="str">
        <f>IF(BE5037=BH5037,"No","yes")</f>
        <v>No</v>
      </c>
      <c r="BK5037" s="58" t="s">
        <v>6334</v>
      </c>
      <c r="BL5037" s="58"/>
      <c r="BM5037" s="237"/>
      <c r="BN5037" s="244" t="s">
        <v>1682</v>
      </c>
      <c r="BO5037" s="244" t="s">
        <v>1682</v>
      </c>
      <c r="BP5037" s="58"/>
      <c r="BQ5037" s="58"/>
      <c r="BR5037" s="58"/>
      <c r="BS5037" s="58"/>
      <c r="BT5037" s="58"/>
      <c r="BU5037" s="58"/>
      <c r="BV5037" s="58"/>
      <c r="BW5037" s="67"/>
      <c r="BX5037" s="67"/>
      <c r="BY5037" s="67"/>
      <c r="BZ5037" s="67"/>
      <c r="CA5037" s="67"/>
      <c r="CB5037" s="70"/>
      <c r="CC5037" s="70"/>
      <c r="CD5037" s="70"/>
      <c r="CE5037" s="67"/>
      <c r="CF5037" s="67"/>
      <c r="CG5037" s="67"/>
      <c r="CH5037" s="245"/>
      <c r="CI5037" s="245"/>
      <c r="CJ5037" s="67"/>
      <c r="CK5037" s="67"/>
      <c r="CL5037" s="67"/>
      <c r="CM5037" s="242">
        <v>1.5209999999999999</v>
      </c>
      <c r="CN5037" s="242">
        <v>0.82499999999999996</v>
      </c>
      <c r="CO5037" s="242">
        <f>SQRT(5)*0.169</f>
        <v>0.37789548819746449</v>
      </c>
      <c r="CP5037" s="242">
        <f>SQRT(5)*0.076</f>
        <v>0.16994116628998401</v>
      </c>
      <c r="CQ5037" s="242" t="s">
        <v>164</v>
      </c>
      <c r="CR5037" s="242"/>
      <c r="CS5037" s="242"/>
      <c r="CT5037" s="242"/>
      <c r="CU5037" s="242"/>
      <c r="CV5037" s="242" t="s">
        <v>5151</v>
      </c>
      <c r="CW5037" s="242"/>
      <c r="CX5037" s="242"/>
      <c r="CY5037" s="242"/>
      <c r="CZ5037" s="242"/>
      <c r="DA5037" s="67" t="s">
        <v>5443</v>
      </c>
      <c r="DB5037" s="67">
        <v>466</v>
      </c>
      <c r="DC5037" s="67">
        <v>622</v>
      </c>
      <c r="DD5037" s="67">
        <f>SQRT(5)*45</f>
        <v>100.62305898749054</v>
      </c>
      <c r="DE5037" s="67">
        <f>SQRT(5)*20</f>
        <v>44.721359549995796</v>
      </c>
      <c r="DF5037" s="67" t="s">
        <v>5694</v>
      </c>
      <c r="DG5037" s="67">
        <v>43.7</v>
      </c>
      <c r="DH5037" s="67">
        <v>36.06</v>
      </c>
      <c r="DI5037" s="67">
        <f>SQRT(5)*4.23</f>
        <v>9.4585675448241116</v>
      </c>
      <c r="DJ5037" s="67">
        <f>SQRT(5)*4.9</f>
        <v>10.956733089748971</v>
      </c>
      <c r="DK5037" s="67" t="s">
        <v>5695</v>
      </c>
      <c r="DL5037" s="67"/>
      <c r="DM5037" s="67"/>
      <c r="DN5037" s="67"/>
      <c r="DO5037" s="67"/>
      <c r="DP5037" s="67"/>
      <c r="DQ5037" s="166">
        <v>7.99</v>
      </c>
      <c r="DR5037" s="166">
        <v>7.94</v>
      </c>
      <c r="DS5037" s="163"/>
      <c r="DT5037" s="163"/>
      <c r="DU5037" s="67"/>
      <c r="DV5037" s="67"/>
      <c r="DW5037" s="67"/>
      <c r="DX5037" s="67"/>
      <c r="DY5037" s="67"/>
      <c r="DZ5037" s="67"/>
      <c r="EA5037" s="67">
        <v>1.33</v>
      </c>
      <c r="EB5037" s="67">
        <v>0.98</v>
      </c>
      <c r="EC5037" s="67"/>
      <c r="ED5037" s="67"/>
      <c r="EE5037" s="67"/>
      <c r="EF5037" s="67"/>
      <c r="EG5037" s="67"/>
      <c r="EH5037" s="67"/>
      <c r="EI5037" s="67"/>
      <c r="EJ5037" s="67"/>
      <c r="EK5037" s="94"/>
      <c r="EL5037" s="94"/>
      <c r="EM5037" s="67"/>
      <c r="EN5037" s="67"/>
      <c r="EO5037" s="67"/>
      <c r="EP5037" s="67"/>
      <c r="EQ5037" s="67"/>
      <c r="ER5037" s="67"/>
      <c r="ES5037" s="67"/>
      <c r="ET5037" s="67"/>
      <c r="EU5037" s="67"/>
      <c r="EV5037" s="67"/>
      <c r="EW5037" s="67"/>
      <c r="EX5037" s="67"/>
      <c r="EY5037" s="67"/>
      <c r="EZ5037" s="67"/>
      <c r="FA5037" s="67"/>
      <c r="FB5037" s="67"/>
      <c r="FC5037" s="67"/>
      <c r="FD5037" s="67"/>
      <c r="FE5037" s="67"/>
      <c r="FF5037" s="67"/>
      <c r="FG5037" s="67"/>
      <c r="FH5037" s="67"/>
      <c r="FI5037" s="67"/>
      <c r="FJ5037" s="67"/>
      <c r="FK5037" s="67"/>
      <c r="FL5037" s="67"/>
      <c r="FM5037" s="67"/>
      <c r="FN5037" s="67"/>
      <c r="FO5037" s="67"/>
      <c r="FP5037" s="67"/>
      <c r="FQ5037" s="67"/>
      <c r="FR5037" s="67"/>
      <c r="FS5037" s="67"/>
      <c r="FT5037" s="67"/>
      <c r="FU5037" s="67"/>
      <c r="FV5037" s="67"/>
      <c r="FW5037" s="67"/>
      <c r="FX5037" s="67"/>
      <c r="FY5037" s="67"/>
      <c r="FZ5037" s="67"/>
      <c r="GA5037" s="67"/>
      <c r="GB5037" s="67"/>
      <c r="GC5037" s="67"/>
      <c r="GD5037" s="67"/>
      <c r="GE5037" s="67"/>
      <c r="GF5037" s="67"/>
      <c r="GG5037" s="67"/>
      <c r="GH5037" s="67"/>
      <c r="GI5037" s="67"/>
      <c r="GJ5037" s="67"/>
      <c r="GK5037" s="67"/>
      <c r="GL5037" s="67"/>
      <c r="GM5037" s="67"/>
      <c r="GN5037" s="292"/>
      <c r="GO5037" s="292"/>
      <c r="GP5037" s="292" t="s">
        <v>7494</v>
      </c>
      <c r="GQ5037" s="67"/>
      <c r="GR5037" s="67"/>
      <c r="GS5037" s="67"/>
      <c r="GT5037" s="67"/>
      <c r="GU5037" s="67"/>
      <c r="GV5037" s="67"/>
      <c r="GW5037" s="67"/>
      <c r="GX5037" s="67"/>
      <c r="GY5037" s="67"/>
      <c r="GZ5037" s="67"/>
      <c r="HA5037" s="67"/>
      <c r="HB5037" s="67"/>
      <c r="HC5037" s="67"/>
      <c r="HD5037" s="67"/>
      <c r="HE5037" s="67"/>
      <c r="HF5037" s="67"/>
      <c r="HG5037" s="67"/>
      <c r="HH5037" s="67"/>
      <c r="HI5037" s="67"/>
      <c r="HJ5037" s="67"/>
      <c r="HK5037" s="67"/>
      <c r="HL5037" s="67"/>
      <c r="HM5037" s="67"/>
      <c r="HN5037" s="67"/>
      <c r="HO5037" s="67"/>
      <c r="HP5037" s="67"/>
      <c r="HQ5037" s="67"/>
      <c r="HR5037" s="67"/>
      <c r="HS5037" s="67">
        <v>12.08</v>
      </c>
      <c r="HT5037" s="67">
        <v>13.34</v>
      </c>
      <c r="HU5037" s="67">
        <f>SQRT(5)*0.85</f>
        <v>1.9006577808748213</v>
      </c>
      <c r="HV5037" s="67">
        <f>SQRT(5)*0.99</f>
        <v>2.2137072977247918</v>
      </c>
      <c r="HW5037" s="67" t="s">
        <v>5697</v>
      </c>
      <c r="HX5037" s="67">
        <v>187</v>
      </c>
      <c r="HY5037" s="67">
        <v>123</v>
      </c>
      <c r="HZ5037" s="67">
        <f>SQRT(5)*28</f>
        <v>62.609903369994115</v>
      </c>
      <c r="IA5037" s="67">
        <f>SQRT(5)*17</f>
        <v>38.013155617496423</v>
      </c>
      <c r="IB5037" s="67" t="s">
        <v>5658</v>
      </c>
      <c r="IC5037" s="67">
        <v>0.33</v>
      </c>
      <c r="ID5037" s="67">
        <v>0.31</v>
      </c>
      <c r="IE5037" s="67">
        <f>SQRT(5)*0.04</f>
        <v>8.9442719099991588E-2</v>
      </c>
      <c r="IF5037" s="67">
        <f>SQRT(5)*0.01</f>
        <v>2.2360679774997897E-2</v>
      </c>
      <c r="IG5037" s="67" t="s">
        <v>5658</v>
      </c>
      <c r="IH5037" s="67"/>
      <c r="II5037" s="67"/>
      <c r="IJ5037" s="67"/>
      <c r="IK5037" s="67"/>
      <c r="IL5037" s="67"/>
      <c r="IM5037" s="67"/>
      <c r="IN5037" s="67"/>
      <c r="IO5037" s="67"/>
      <c r="IP5037" s="67"/>
      <c r="IQ5037" s="67"/>
      <c r="IR5037" s="67"/>
      <c r="IS5037" s="67"/>
      <c r="IT5037" s="67"/>
      <c r="IU5037" s="67"/>
      <c r="IV5037" s="67"/>
      <c r="IW5037" s="67">
        <v>3.45</v>
      </c>
      <c r="IX5037" s="67">
        <v>2.73</v>
      </c>
      <c r="IY5037" s="67">
        <f>SQRT(5)*0.32</f>
        <v>0.71554175279993271</v>
      </c>
      <c r="IZ5037" s="67">
        <f>SQRT(5)*0.46</f>
        <v>1.0285912696499033</v>
      </c>
      <c r="JA5037" s="67" t="s">
        <v>5696</v>
      </c>
      <c r="JB5037" s="67"/>
      <c r="JC5037" s="67"/>
      <c r="JD5037" s="67"/>
      <c r="JE5037" s="67"/>
      <c r="JF5037" s="67"/>
      <c r="JG5037" s="67">
        <v>270</v>
      </c>
      <c r="JH5037" s="67">
        <v>239</v>
      </c>
      <c r="JI5037" s="67">
        <f>SQRT(5)*24.1</f>
        <v>53.889238257744935</v>
      </c>
      <c r="JJ5037" s="67">
        <f>SQRT(5)*12.4</f>
        <v>27.727242920997394</v>
      </c>
      <c r="JK5037" s="67" t="s">
        <v>3072</v>
      </c>
      <c r="JL5037" s="67">
        <v>23</v>
      </c>
      <c r="JM5037" s="67">
        <v>13</v>
      </c>
      <c r="JN5037" s="67">
        <f>SQRT(5)*1.38</f>
        <v>3.0857738089497095</v>
      </c>
      <c r="JO5037" s="67">
        <f>SQRT(5)*0.067</f>
        <v>0.14981655449248593</v>
      </c>
      <c r="JP5037" s="67" t="s">
        <v>3072</v>
      </c>
      <c r="JQ5037" s="67"/>
      <c r="JR5037" s="67"/>
      <c r="JS5037" s="67"/>
      <c r="JT5037" s="67"/>
      <c r="JU5037" s="58" t="s">
        <v>5698</v>
      </c>
      <c r="JV5037" s="58"/>
      <c r="JW5037" s="58"/>
    </row>
    <row r="5038" spans="1:283" s="23" customFormat="1" x14ac:dyDescent="0.25">
      <c r="A5038" s="55">
        <v>5037</v>
      </c>
      <c r="B5038" s="12" t="s">
        <v>7067</v>
      </c>
      <c r="C5038" s="156">
        <v>257</v>
      </c>
      <c r="D5038" s="58" t="s">
        <v>4997</v>
      </c>
      <c r="E5038" s="160" t="str">
        <f>G5038</f>
        <v>Nguyen et al 1995_Kowai cropland</v>
      </c>
      <c r="F5038" s="160"/>
      <c r="G5038" s="60" t="s">
        <v>4730</v>
      </c>
      <c r="H5038" s="58">
        <v>1995</v>
      </c>
      <c r="I5038" s="58" t="s">
        <v>5699</v>
      </c>
      <c r="J5038" s="243" t="s">
        <v>427</v>
      </c>
      <c r="K5038" s="63" t="s">
        <v>5088</v>
      </c>
      <c r="L5038" s="58" t="s">
        <v>5335</v>
      </c>
      <c r="M5038" s="94">
        <v>-43.76</v>
      </c>
      <c r="N5038" s="94">
        <v>172.02</v>
      </c>
      <c r="O5038" s="94">
        <v>108</v>
      </c>
      <c r="P5038" s="58"/>
      <c r="Q5038" s="244"/>
      <c r="R5038" s="58"/>
      <c r="S5038" s="245" t="s">
        <v>5700</v>
      </c>
      <c r="T5038" s="58"/>
      <c r="U5038" s="58"/>
      <c r="V5038" s="244" t="s">
        <v>1940</v>
      </c>
      <c r="W5038" s="174"/>
      <c r="X5038" s="174"/>
      <c r="Y5038" s="58"/>
      <c r="Z5038" s="244" t="s">
        <v>1347</v>
      </c>
      <c r="AA5038" s="245">
        <v>7.5</v>
      </c>
      <c r="AB5038" s="67"/>
      <c r="AC5038" s="67"/>
      <c r="AD5038" s="94"/>
      <c r="AE5038" s="94"/>
      <c r="AF5038" s="94"/>
      <c r="AG5038" s="245">
        <v>10</v>
      </c>
      <c r="AH5038" s="58" t="s">
        <v>238</v>
      </c>
      <c r="AI5038" s="169"/>
      <c r="AJ5038" s="94"/>
      <c r="AK5038" s="94"/>
      <c r="AL5038" s="58"/>
      <c r="AM5038" s="58"/>
      <c r="AN5038" s="186" t="s">
        <v>176</v>
      </c>
      <c r="AO5038" s="185" t="s">
        <v>5150</v>
      </c>
      <c r="AP5038" s="58"/>
      <c r="AQ5038" s="58" t="s">
        <v>176</v>
      </c>
      <c r="AR5038" s="58" t="s">
        <v>5706</v>
      </c>
      <c r="AS5038" s="246" t="s">
        <v>4584</v>
      </c>
      <c r="AT5038" s="247">
        <v>1</v>
      </c>
      <c r="AU5038" s="181" t="s">
        <v>7494</v>
      </c>
      <c r="AV5038" s="185" t="s">
        <v>479</v>
      </c>
      <c r="AW5038" s="244">
        <v>1</v>
      </c>
      <c r="AX5038" s="185" t="s">
        <v>479</v>
      </c>
      <c r="AY5038" s="244" t="s">
        <v>176</v>
      </c>
      <c r="AZ5038" s="58"/>
      <c r="BA5038" s="58"/>
      <c r="BB5038" s="58"/>
      <c r="BC5038" s="58"/>
      <c r="BD5038" s="58"/>
      <c r="BE5038" s="236" t="s">
        <v>5155</v>
      </c>
      <c r="BF5038" s="191" t="s">
        <v>176</v>
      </c>
      <c r="BG5038" s="191" t="s">
        <v>479</v>
      </c>
      <c r="BH5038" s="236" t="s">
        <v>5155</v>
      </c>
      <c r="BI5038" s="191" t="s">
        <v>479</v>
      </c>
      <c r="BJ5038" s="58" t="str">
        <f>IF(BE5038=BH5038,"No","yes")</f>
        <v>No</v>
      </c>
      <c r="BK5038" s="58" t="s">
        <v>6334</v>
      </c>
      <c r="BL5038" s="58"/>
      <c r="BM5038" s="237"/>
      <c r="BN5038" s="244">
        <v>3</v>
      </c>
      <c r="BO5038" s="244">
        <v>3</v>
      </c>
      <c r="BP5038" s="58"/>
      <c r="BQ5038" s="58"/>
      <c r="BR5038" s="58"/>
      <c r="BS5038" s="58"/>
      <c r="BT5038" s="58"/>
      <c r="BU5038" s="58"/>
      <c r="BV5038" s="58" t="s">
        <v>5701</v>
      </c>
      <c r="BW5038" s="67"/>
      <c r="BX5038" s="67"/>
      <c r="BY5038" s="67"/>
      <c r="BZ5038" s="67"/>
      <c r="CA5038" s="67"/>
      <c r="CB5038" s="70">
        <v>6600</v>
      </c>
      <c r="CC5038" s="70">
        <v>4500</v>
      </c>
      <c r="CD5038" s="70"/>
      <c r="CE5038" s="67"/>
      <c r="CF5038" s="67"/>
      <c r="CG5038" s="67" t="s">
        <v>545</v>
      </c>
      <c r="CH5038" s="245"/>
      <c r="CI5038" s="245"/>
      <c r="CJ5038" s="67"/>
      <c r="CK5038" s="67"/>
      <c r="CL5038" s="67"/>
      <c r="CM5038" s="242">
        <v>3.4</v>
      </c>
      <c r="CN5038" s="242">
        <v>3.4</v>
      </c>
      <c r="CO5038" s="242">
        <v>0.17320508075688773</v>
      </c>
      <c r="CP5038" s="242">
        <v>0.1905255888325765</v>
      </c>
      <c r="CQ5038" s="242" t="s">
        <v>164</v>
      </c>
      <c r="CR5038" s="242"/>
      <c r="CS5038" s="242"/>
      <c r="CT5038" s="242"/>
      <c r="CU5038" s="242"/>
      <c r="CV5038" s="242"/>
      <c r="CW5038" s="242"/>
      <c r="CX5038" s="242"/>
      <c r="CY5038" s="242"/>
      <c r="CZ5038" s="242"/>
      <c r="DA5038" s="67" t="s">
        <v>5443</v>
      </c>
      <c r="DB5038" s="67">
        <v>0.28999999999999998</v>
      </c>
      <c r="DC5038" s="67">
        <v>0.3</v>
      </c>
      <c r="DD5038" s="67">
        <f>SQRT(3)*0.006</f>
        <v>1.0392304845413263E-2</v>
      </c>
      <c r="DE5038" s="67">
        <f>SQRT(3)*0.005</f>
        <v>8.6602540378443865E-3</v>
      </c>
      <c r="DF5038" s="67" t="s">
        <v>5565</v>
      </c>
      <c r="DG5038" s="67">
        <v>1283</v>
      </c>
      <c r="DH5038" s="67">
        <v>1220</v>
      </c>
      <c r="DI5038" s="67">
        <f>SQRT(3)*13.9</f>
        <v>24.075506225207395</v>
      </c>
      <c r="DJ5038" s="67">
        <f>SQRT(3)*9.9</f>
        <v>17.147302994931884</v>
      </c>
      <c r="DK5038" s="67" t="s">
        <v>5708</v>
      </c>
      <c r="DL5038" s="67"/>
      <c r="DM5038" s="67"/>
      <c r="DN5038" s="67"/>
      <c r="DO5038" s="67"/>
      <c r="DP5038" s="67"/>
      <c r="DQ5038" s="166">
        <v>5.8</v>
      </c>
      <c r="DR5038" s="166">
        <v>5.9</v>
      </c>
      <c r="DS5038" s="163">
        <f>SQRT(3)*0.11</f>
        <v>0.1905255888325765</v>
      </c>
      <c r="DT5038" s="163">
        <f>SQRT(3)*0.11</f>
        <v>0.1905255888325765</v>
      </c>
      <c r="DU5038" s="67"/>
      <c r="DV5038" s="67"/>
      <c r="DW5038" s="67"/>
      <c r="DX5038" s="67"/>
      <c r="DY5038" s="67"/>
      <c r="DZ5038" s="67"/>
      <c r="EA5038" s="67"/>
      <c r="EB5038" s="67"/>
      <c r="EC5038" s="67"/>
      <c r="ED5038" s="67"/>
      <c r="EE5038" s="67"/>
      <c r="EF5038" s="67"/>
      <c r="EG5038" s="67"/>
      <c r="EH5038" s="67"/>
      <c r="EI5038" s="67"/>
      <c r="EJ5038" s="67"/>
      <c r="EK5038" s="94"/>
      <c r="EL5038" s="94"/>
      <c r="EM5038" s="67"/>
      <c r="EN5038" s="67"/>
      <c r="EO5038" s="67"/>
      <c r="EP5038" s="67"/>
      <c r="EQ5038" s="67"/>
      <c r="ER5038" s="67"/>
      <c r="ES5038" s="67"/>
      <c r="ET5038" s="67"/>
      <c r="EU5038" s="67"/>
      <c r="EV5038" s="67"/>
      <c r="EW5038" s="67"/>
      <c r="EX5038" s="67"/>
      <c r="EY5038" s="67"/>
      <c r="EZ5038" s="67"/>
      <c r="FA5038" s="67"/>
      <c r="FB5038" s="67"/>
      <c r="FC5038" s="67"/>
      <c r="FD5038" s="67"/>
      <c r="FE5038" s="67"/>
      <c r="FF5038" s="67"/>
      <c r="FG5038" s="67"/>
      <c r="FH5038" s="67"/>
      <c r="FI5038" s="67"/>
      <c r="FJ5038" s="67"/>
      <c r="FK5038" s="67"/>
      <c r="FL5038" s="67"/>
      <c r="FM5038" s="67"/>
      <c r="FN5038" s="67"/>
      <c r="FO5038" s="67"/>
      <c r="FP5038" s="67"/>
      <c r="FQ5038" s="67"/>
      <c r="FR5038" s="67"/>
      <c r="FS5038" s="67"/>
      <c r="FT5038" s="67"/>
      <c r="FU5038" s="67"/>
      <c r="FV5038" s="67"/>
      <c r="FW5038" s="67"/>
      <c r="FX5038" s="67"/>
      <c r="FY5038" s="67"/>
      <c r="FZ5038" s="67"/>
      <c r="GA5038" s="67"/>
      <c r="GB5038" s="67"/>
      <c r="GC5038" s="67"/>
      <c r="GD5038" s="67"/>
      <c r="GE5038" s="67"/>
      <c r="GF5038" s="67"/>
      <c r="GG5038" s="67"/>
      <c r="GH5038" s="67"/>
      <c r="GI5038" s="67"/>
      <c r="GJ5038" s="67"/>
      <c r="GK5038" s="67"/>
      <c r="GL5038" s="67"/>
      <c r="GM5038" s="67"/>
      <c r="GN5038" s="292"/>
      <c r="GO5038" s="292"/>
      <c r="GP5038" s="292" t="s">
        <v>7494</v>
      </c>
      <c r="GQ5038" s="67"/>
      <c r="GR5038" s="67"/>
      <c r="GS5038" s="67"/>
      <c r="GT5038" s="67"/>
      <c r="GU5038" s="67"/>
      <c r="GV5038" s="67"/>
      <c r="GW5038" s="67"/>
      <c r="GX5038" s="67"/>
      <c r="GY5038" s="67"/>
      <c r="GZ5038" s="67"/>
      <c r="HA5038" s="67"/>
      <c r="HB5038" s="67"/>
      <c r="HC5038" s="67"/>
      <c r="HD5038" s="67"/>
      <c r="HE5038" s="67"/>
      <c r="HF5038" s="67"/>
      <c r="HG5038" s="67"/>
      <c r="HH5038" s="67"/>
      <c r="HI5038" s="67"/>
      <c r="HJ5038" s="67"/>
      <c r="HK5038" s="67"/>
      <c r="HL5038" s="67"/>
      <c r="HM5038" s="67"/>
      <c r="HN5038" s="67"/>
      <c r="HO5038" s="67"/>
      <c r="HP5038" s="67"/>
      <c r="HQ5038" s="67"/>
      <c r="HR5038" s="67"/>
      <c r="HS5038" s="67">
        <v>194</v>
      </c>
      <c r="HT5038" s="67">
        <v>196</v>
      </c>
      <c r="HU5038" s="67">
        <f>SQRT(3)*6.6</f>
        <v>11.431535329954588</v>
      </c>
      <c r="HV5038" s="67">
        <f>SQRT(3)*4.4</f>
        <v>7.6210235533030604</v>
      </c>
      <c r="HW5038" s="67" t="s">
        <v>5704</v>
      </c>
      <c r="HX5038" s="67"/>
      <c r="HY5038" s="67"/>
      <c r="HZ5038" s="67"/>
      <c r="IA5038" s="67"/>
      <c r="IB5038" s="67"/>
      <c r="IC5038" s="67"/>
      <c r="ID5038" s="67"/>
      <c r="IE5038" s="67"/>
      <c r="IF5038" s="67"/>
      <c r="IG5038" s="67"/>
      <c r="IH5038" s="67"/>
      <c r="II5038" s="67"/>
      <c r="IJ5038" s="67"/>
      <c r="IK5038" s="67"/>
      <c r="IL5038" s="67"/>
      <c r="IM5038" s="67"/>
      <c r="IN5038" s="67"/>
      <c r="IO5038" s="67"/>
      <c r="IP5038" s="67"/>
      <c r="IQ5038" s="67"/>
      <c r="IR5038" s="67"/>
      <c r="IS5038" s="67"/>
      <c r="IT5038" s="67"/>
      <c r="IU5038" s="67"/>
      <c r="IV5038" s="67"/>
      <c r="IW5038" s="67"/>
      <c r="IX5038" s="67"/>
      <c r="IY5038" s="67"/>
      <c r="IZ5038" s="67"/>
      <c r="JA5038" s="67"/>
      <c r="JB5038" s="67"/>
      <c r="JC5038" s="67"/>
      <c r="JD5038" s="67"/>
      <c r="JE5038" s="67"/>
      <c r="JF5038" s="67"/>
      <c r="JG5038" s="67"/>
      <c r="JH5038" s="67"/>
      <c r="JI5038" s="67"/>
      <c r="JJ5038" s="67"/>
      <c r="JK5038" s="67"/>
      <c r="JL5038" s="67"/>
      <c r="JM5038" s="67"/>
      <c r="JN5038" s="67"/>
      <c r="JO5038" s="67"/>
      <c r="JP5038" s="67"/>
      <c r="JQ5038" s="67">
        <v>99999</v>
      </c>
      <c r="JR5038" s="67"/>
      <c r="JS5038" s="67"/>
      <c r="JT5038" s="67"/>
      <c r="JU5038" s="58" t="s">
        <v>5707</v>
      </c>
      <c r="JV5038" s="58"/>
      <c r="JW5038" s="58"/>
    </row>
    <row r="5039" spans="1:283" s="23" customFormat="1" x14ac:dyDescent="0.25">
      <c r="A5039" s="55">
        <v>5038</v>
      </c>
      <c r="B5039" s="12" t="s">
        <v>7067</v>
      </c>
      <c r="C5039" s="156">
        <v>257</v>
      </c>
      <c r="D5039" s="58" t="s">
        <v>4998</v>
      </c>
      <c r="E5039" s="160" t="str">
        <f>G5039</f>
        <v>Nguyen et al 1995_Kowai pasture</v>
      </c>
      <c r="F5039" s="160"/>
      <c r="G5039" s="60" t="s">
        <v>4729</v>
      </c>
      <c r="H5039" s="58">
        <v>1995</v>
      </c>
      <c r="I5039" s="58" t="s">
        <v>5699</v>
      </c>
      <c r="J5039" s="243" t="s">
        <v>427</v>
      </c>
      <c r="K5039" s="63" t="s">
        <v>5088</v>
      </c>
      <c r="L5039" s="58" t="s">
        <v>5335</v>
      </c>
      <c r="M5039" s="94">
        <v>-43.76</v>
      </c>
      <c r="N5039" s="94">
        <v>172.02</v>
      </c>
      <c r="O5039" s="94">
        <v>108</v>
      </c>
      <c r="P5039" s="58"/>
      <c r="Q5039" s="244"/>
      <c r="R5039" s="58"/>
      <c r="S5039" s="245" t="s">
        <v>5700</v>
      </c>
      <c r="T5039" s="58"/>
      <c r="U5039" s="58"/>
      <c r="V5039" s="244">
        <v>8</v>
      </c>
      <c r="W5039" s="174"/>
      <c r="X5039" s="174"/>
      <c r="Y5039" s="58"/>
      <c r="Z5039" s="244" t="s">
        <v>1347</v>
      </c>
      <c r="AA5039" s="245">
        <v>7.5</v>
      </c>
      <c r="AB5039" s="67"/>
      <c r="AC5039" s="67"/>
      <c r="AD5039" s="94"/>
      <c r="AE5039" s="94"/>
      <c r="AF5039" s="94"/>
      <c r="AG5039" s="245">
        <v>10</v>
      </c>
      <c r="AH5039" s="58" t="s">
        <v>238</v>
      </c>
      <c r="AI5039" s="169"/>
      <c r="AJ5039" s="94"/>
      <c r="AK5039" s="94"/>
      <c r="AL5039" s="58"/>
      <c r="AM5039" s="58"/>
      <c r="AN5039" s="186" t="s">
        <v>176</v>
      </c>
      <c r="AO5039" s="185" t="s">
        <v>5150</v>
      </c>
      <c r="AP5039" s="58"/>
      <c r="AQ5039" s="58" t="s">
        <v>176</v>
      </c>
      <c r="AR5039" s="58" t="s">
        <v>5706</v>
      </c>
      <c r="AS5039" s="246" t="s">
        <v>5529</v>
      </c>
      <c r="AT5039" s="247">
        <v>1</v>
      </c>
      <c r="AU5039" s="181" t="s">
        <v>7494</v>
      </c>
      <c r="AV5039" s="185" t="s">
        <v>479</v>
      </c>
      <c r="AW5039" s="244">
        <v>1</v>
      </c>
      <c r="AX5039" s="185" t="s">
        <v>479</v>
      </c>
      <c r="AY5039" s="244" t="s">
        <v>176</v>
      </c>
      <c r="AZ5039" s="58"/>
      <c r="BA5039" s="58"/>
      <c r="BB5039" s="58"/>
      <c r="BC5039" s="58"/>
      <c r="BD5039" s="58"/>
      <c r="BE5039" s="236" t="s">
        <v>5155</v>
      </c>
      <c r="BF5039" s="191" t="s">
        <v>176</v>
      </c>
      <c r="BG5039" s="191" t="s">
        <v>479</v>
      </c>
      <c r="BH5039" s="236" t="s">
        <v>5155</v>
      </c>
      <c r="BI5039" s="191" t="s">
        <v>479</v>
      </c>
      <c r="BJ5039" s="58" t="str">
        <f>IF(BE5039=BH5039,"No","yes")</f>
        <v>No</v>
      </c>
      <c r="BK5039" s="58" t="s">
        <v>6334</v>
      </c>
      <c r="BL5039" s="58"/>
      <c r="BM5039" s="237"/>
      <c r="BN5039" s="244">
        <v>3</v>
      </c>
      <c r="BO5039" s="244">
        <v>3</v>
      </c>
      <c r="BP5039" s="58"/>
      <c r="BQ5039" s="58"/>
      <c r="BR5039" s="58"/>
      <c r="BS5039" s="58"/>
      <c r="BT5039" s="58"/>
      <c r="BU5039" s="58"/>
      <c r="BV5039" s="58" t="s">
        <v>5701</v>
      </c>
      <c r="BW5039" s="67"/>
      <c r="BX5039" s="67"/>
      <c r="BY5039" s="67"/>
      <c r="BZ5039" s="67"/>
      <c r="CA5039" s="67"/>
      <c r="CB5039" s="70">
        <v>5300</v>
      </c>
      <c r="CC5039" s="70">
        <v>3600</v>
      </c>
      <c r="CD5039" s="70"/>
      <c r="CE5039" s="67"/>
      <c r="CF5039" s="67"/>
      <c r="CG5039" s="67" t="s">
        <v>545</v>
      </c>
      <c r="CH5039" s="245"/>
      <c r="CI5039" s="245"/>
      <c r="CJ5039" s="67"/>
      <c r="CK5039" s="67"/>
      <c r="CL5039" s="67"/>
      <c r="CM5039" s="242">
        <v>3.5</v>
      </c>
      <c r="CN5039" s="242">
        <v>3.9</v>
      </c>
      <c r="CO5039" s="242">
        <v>8.6602540378443865E-2</v>
      </c>
      <c r="CP5039" s="242">
        <v>0.12124355652982141</v>
      </c>
      <c r="CQ5039" s="242" t="s">
        <v>164</v>
      </c>
      <c r="CR5039" s="242"/>
      <c r="CS5039" s="242"/>
      <c r="CT5039" s="242"/>
      <c r="CU5039" s="242"/>
      <c r="CV5039" s="242"/>
      <c r="CW5039" s="242"/>
      <c r="CX5039" s="242"/>
      <c r="CY5039" s="242"/>
      <c r="CZ5039" s="242"/>
      <c r="DA5039" s="67" t="s">
        <v>5443</v>
      </c>
      <c r="DB5039" s="67">
        <v>0.31</v>
      </c>
      <c r="DC5039" s="67">
        <v>0.35</v>
      </c>
      <c r="DD5039" s="67">
        <f>SQRT(3)*0.007</f>
        <v>1.212435565298214E-2</v>
      </c>
      <c r="DE5039" s="67">
        <f>SQRT(3)*0.032</f>
        <v>5.542562584220407E-2</v>
      </c>
      <c r="DF5039" s="67" t="s">
        <v>5565</v>
      </c>
      <c r="DG5039" s="67">
        <v>1300</v>
      </c>
      <c r="DH5039" s="67">
        <v>1266</v>
      </c>
      <c r="DI5039" s="67">
        <f>SQRT(3)*12.3</f>
        <v>21.304224933097192</v>
      </c>
      <c r="DJ5039" s="67">
        <f>SQRT(3)*18.5</f>
        <v>32.042939940024226</v>
      </c>
      <c r="DK5039" s="67" t="s">
        <v>5708</v>
      </c>
      <c r="DL5039" s="67"/>
      <c r="DM5039" s="67"/>
      <c r="DN5039" s="67"/>
      <c r="DO5039" s="67"/>
      <c r="DP5039" s="67"/>
      <c r="DQ5039" s="166">
        <v>5.8</v>
      </c>
      <c r="DR5039" s="166">
        <v>6</v>
      </c>
      <c r="DS5039" s="163">
        <f>SQRT(3)*0.03</f>
        <v>5.1961524227066312E-2</v>
      </c>
      <c r="DT5039" s="163">
        <f>SQRT(3)*0.04</f>
        <v>6.9282032302755092E-2</v>
      </c>
      <c r="DU5039" s="67"/>
      <c r="DV5039" s="67"/>
      <c r="DW5039" s="67"/>
      <c r="DX5039" s="67"/>
      <c r="DY5039" s="67"/>
      <c r="DZ5039" s="67"/>
      <c r="EA5039" s="67"/>
      <c r="EB5039" s="67"/>
      <c r="EC5039" s="67"/>
      <c r="ED5039" s="67"/>
      <c r="EE5039" s="67"/>
      <c r="EF5039" s="67"/>
      <c r="EG5039" s="67"/>
      <c r="EH5039" s="67"/>
      <c r="EI5039" s="67"/>
      <c r="EJ5039" s="67"/>
      <c r="EK5039" s="94"/>
      <c r="EL5039" s="94"/>
      <c r="EM5039" s="67"/>
      <c r="EN5039" s="67"/>
      <c r="EO5039" s="67"/>
      <c r="EP5039" s="67"/>
      <c r="EQ5039" s="67"/>
      <c r="ER5039" s="67"/>
      <c r="ES5039" s="67"/>
      <c r="ET5039" s="67"/>
      <c r="EU5039" s="67"/>
      <c r="EV5039" s="67"/>
      <c r="EW5039" s="67"/>
      <c r="EX5039" s="67"/>
      <c r="EY5039" s="67"/>
      <c r="EZ5039" s="67"/>
      <c r="FA5039" s="67"/>
      <c r="FB5039" s="67"/>
      <c r="FC5039" s="67"/>
      <c r="FD5039" s="67"/>
      <c r="FE5039" s="67"/>
      <c r="FF5039" s="67"/>
      <c r="FG5039" s="67"/>
      <c r="FH5039" s="67"/>
      <c r="FI5039" s="67"/>
      <c r="FJ5039" s="67"/>
      <c r="FK5039" s="67"/>
      <c r="FL5039" s="67"/>
      <c r="FM5039" s="67"/>
      <c r="FN5039" s="67"/>
      <c r="FO5039" s="67"/>
      <c r="FP5039" s="67"/>
      <c r="FQ5039" s="67"/>
      <c r="FR5039" s="67"/>
      <c r="FS5039" s="67"/>
      <c r="FT5039" s="67"/>
      <c r="FU5039" s="67"/>
      <c r="FV5039" s="67"/>
      <c r="FW5039" s="67"/>
      <c r="FX5039" s="67"/>
      <c r="FY5039" s="67"/>
      <c r="FZ5039" s="67"/>
      <c r="GA5039" s="67"/>
      <c r="GB5039" s="67"/>
      <c r="GC5039" s="67"/>
      <c r="GD5039" s="67"/>
      <c r="GE5039" s="67"/>
      <c r="GF5039" s="67"/>
      <c r="GG5039" s="67"/>
      <c r="GH5039" s="67"/>
      <c r="GI5039" s="67"/>
      <c r="GJ5039" s="67"/>
      <c r="GK5039" s="67"/>
      <c r="GL5039" s="67"/>
      <c r="GM5039" s="67"/>
      <c r="GN5039" s="292"/>
      <c r="GO5039" s="292"/>
      <c r="GP5039" s="292" t="s">
        <v>7494</v>
      </c>
      <c r="GQ5039" s="67"/>
      <c r="GR5039" s="67"/>
      <c r="GS5039" s="67"/>
      <c r="GT5039" s="67"/>
      <c r="GU5039" s="67"/>
      <c r="GV5039" s="67"/>
      <c r="GW5039" s="67"/>
      <c r="GX5039" s="67"/>
      <c r="GY5039" s="67"/>
      <c r="GZ5039" s="67"/>
      <c r="HA5039" s="67"/>
      <c r="HB5039" s="67"/>
      <c r="HC5039" s="67"/>
      <c r="HD5039" s="67"/>
      <c r="HE5039" s="67"/>
      <c r="HF5039" s="67"/>
      <c r="HG5039" s="67"/>
      <c r="HH5039" s="67"/>
      <c r="HI5039" s="67"/>
      <c r="HJ5039" s="67"/>
      <c r="HK5039" s="67"/>
      <c r="HL5039" s="67"/>
      <c r="HM5039" s="67"/>
      <c r="HN5039" s="67"/>
      <c r="HO5039" s="67"/>
      <c r="HP5039" s="67"/>
      <c r="HQ5039" s="67"/>
      <c r="HR5039" s="67"/>
      <c r="HS5039" s="67">
        <v>194</v>
      </c>
      <c r="HT5039" s="67">
        <v>236</v>
      </c>
      <c r="HU5039" s="67">
        <f>SQRT(3)*8.4</f>
        <v>14.549226783578568</v>
      </c>
      <c r="HV5039" s="67">
        <f>SQRT(3)*5.6</f>
        <v>9.6994845223857116</v>
      </c>
      <c r="HW5039" s="67" t="s">
        <v>5704</v>
      </c>
      <c r="HX5039" s="67"/>
      <c r="HY5039" s="67"/>
      <c r="HZ5039" s="67"/>
      <c r="IA5039" s="67"/>
      <c r="IB5039" s="67"/>
      <c r="IC5039" s="67"/>
      <c r="ID5039" s="67"/>
      <c r="IE5039" s="67"/>
      <c r="IF5039" s="67"/>
      <c r="IG5039" s="67"/>
      <c r="IH5039" s="67"/>
      <c r="II5039" s="67"/>
      <c r="IJ5039" s="67"/>
      <c r="IK5039" s="67"/>
      <c r="IL5039" s="67"/>
      <c r="IM5039" s="67"/>
      <c r="IN5039" s="67"/>
      <c r="IO5039" s="67"/>
      <c r="IP5039" s="67"/>
      <c r="IQ5039" s="67"/>
      <c r="IR5039" s="67"/>
      <c r="IS5039" s="67"/>
      <c r="IT5039" s="67"/>
      <c r="IU5039" s="67"/>
      <c r="IV5039" s="67"/>
      <c r="IW5039" s="67"/>
      <c r="IX5039" s="67"/>
      <c r="IY5039" s="67"/>
      <c r="IZ5039" s="67"/>
      <c r="JA5039" s="67"/>
      <c r="JB5039" s="67"/>
      <c r="JC5039" s="67"/>
      <c r="JD5039" s="67"/>
      <c r="JE5039" s="67"/>
      <c r="JF5039" s="67"/>
      <c r="JG5039" s="67"/>
      <c r="JH5039" s="67"/>
      <c r="JI5039" s="67"/>
      <c r="JJ5039" s="67"/>
      <c r="JK5039" s="67"/>
      <c r="JL5039" s="67"/>
      <c r="JM5039" s="67"/>
      <c r="JN5039" s="67"/>
      <c r="JO5039" s="67"/>
      <c r="JP5039" s="67"/>
      <c r="JQ5039" s="67">
        <v>99999</v>
      </c>
      <c r="JR5039" s="67"/>
      <c r="JS5039" s="67"/>
      <c r="JT5039" s="67"/>
      <c r="JU5039" s="58" t="s">
        <v>5707</v>
      </c>
      <c r="JV5039" s="58"/>
      <c r="JW5039" s="58"/>
    </row>
    <row r="5040" spans="1:283" s="23" customFormat="1" x14ac:dyDescent="0.25">
      <c r="A5040" s="55">
        <v>5039</v>
      </c>
      <c r="B5040" s="12" t="s">
        <v>7067</v>
      </c>
      <c r="C5040" s="156">
        <v>257</v>
      </c>
      <c r="D5040" s="58" t="s">
        <v>5001</v>
      </c>
      <c r="E5040" s="160" t="str">
        <f>G5040</f>
        <v>Nguyen et al 1995_Temuka cropland</v>
      </c>
      <c r="F5040" s="160"/>
      <c r="G5040" s="60" t="s">
        <v>4726</v>
      </c>
      <c r="H5040" s="58">
        <v>1995</v>
      </c>
      <c r="I5040" s="58" t="s">
        <v>5699</v>
      </c>
      <c r="J5040" s="243" t="s">
        <v>427</v>
      </c>
      <c r="K5040" s="63" t="s">
        <v>5088</v>
      </c>
      <c r="L5040" s="58" t="s">
        <v>5335</v>
      </c>
      <c r="M5040" s="94">
        <v>-43.76</v>
      </c>
      <c r="N5040" s="94">
        <v>172.02</v>
      </c>
      <c r="O5040" s="94">
        <v>108</v>
      </c>
      <c r="P5040" s="58"/>
      <c r="Q5040" s="244"/>
      <c r="R5040" s="58"/>
      <c r="S5040" s="245" t="s">
        <v>5700</v>
      </c>
      <c r="T5040" s="58"/>
      <c r="U5040" s="58"/>
      <c r="V5040" s="244">
        <v>8</v>
      </c>
      <c r="W5040" s="174"/>
      <c r="X5040" s="174"/>
      <c r="Y5040" s="58"/>
      <c r="Z5040" s="244" t="s">
        <v>1347</v>
      </c>
      <c r="AA5040" s="245">
        <v>7.5</v>
      </c>
      <c r="AB5040" s="67"/>
      <c r="AC5040" s="67"/>
      <c r="AD5040" s="94"/>
      <c r="AE5040" s="94"/>
      <c r="AF5040" s="94"/>
      <c r="AG5040" s="245">
        <v>14</v>
      </c>
      <c r="AH5040" s="58" t="s">
        <v>6378</v>
      </c>
      <c r="AI5040" s="169"/>
      <c r="AJ5040" s="94"/>
      <c r="AK5040" s="94"/>
      <c r="AL5040" s="58"/>
      <c r="AM5040" s="58"/>
      <c r="AN5040" s="186" t="s">
        <v>176</v>
      </c>
      <c r="AO5040" s="185" t="s">
        <v>5150</v>
      </c>
      <c r="AP5040" s="58"/>
      <c r="AQ5040" s="58" t="s">
        <v>176</v>
      </c>
      <c r="AR5040" s="58" t="s">
        <v>5706</v>
      </c>
      <c r="AS5040" s="246" t="s">
        <v>4584</v>
      </c>
      <c r="AT5040" s="247">
        <v>1</v>
      </c>
      <c r="AU5040" s="181" t="s">
        <v>7494</v>
      </c>
      <c r="AV5040" s="185" t="s">
        <v>479</v>
      </c>
      <c r="AW5040" s="244">
        <v>1</v>
      </c>
      <c r="AX5040" s="185" t="s">
        <v>479</v>
      </c>
      <c r="AY5040" s="244" t="s">
        <v>176</v>
      </c>
      <c r="AZ5040" s="58"/>
      <c r="BA5040" s="58"/>
      <c r="BB5040" s="58"/>
      <c r="BC5040" s="58"/>
      <c r="BD5040" s="58"/>
      <c r="BE5040" s="236" t="s">
        <v>5155</v>
      </c>
      <c r="BF5040" s="191" t="s">
        <v>176</v>
      </c>
      <c r="BG5040" s="191" t="s">
        <v>479</v>
      </c>
      <c r="BH5040" s="236" t="s">
        <v>5155</v>
      </c>
      <c r="BI5040" s="191" t="s">
        <v>479</v>
      </c>
      <c r="BJ5040" s="58" t="str">
        <f>IF(BE5040=BH5040,"No","yes")</f>
        <v>No</v>
      </c>
      <c r="BK5040" s="58" t="s">
        <v>6334</v>
      </c>
      <c r="BL5040" s="58"/>
      <c r="BM5040" s="237"/>
      <c r="BN5040" s="244">
        <v>3</v>
      </c>
      <c r="BO5040" s="244">
        <v>3</v>
      </c>
      <c r="BP5040" s="58"/>
      <c r="BQ5040" s="58"/>
      <c r="BR5040" s="58"/>
      <c r="BS5040" s="58"/>
      <c r="BT5040" s="58"/>
      <c r="BU5040" s="58"/>
      <c r="BV5040" s="58" t="s">
        <v>5703</v>
      </c>
      <c r="BW5040" s="67"/>
      <c r="BX5040" s="67"/>
      <c r="BY5040" s="67"/>
      <c r="BZ5040" s="67"/>
      <c r="CA5040" s="67"/>
      <c r="CB5040" s="70">
        <v>4100</v>
      </c>
      <c r="CC5040" s="70">
        <v>3400</v>
      </c>
      <c r="CD5040" s="70"/>
      <c r="CE5040" s="67"/>
      <c r="CF5040" s="67"/>
      <c r="CG5040" s="67" t="s">
        <v>545</v>
      </c>
      <c r="CH5040" s="245"/>
      <c r="CI5040" s="245"/>
      <c r="CJ5040" s="67"/>
      <c r="CK5040" s="67"/>
      <c r="CL5040" s="67"/>
      <c r="CM5040" s="242">
        <v>3.4</v>
      </c>
      <c r="CN5040" s="242">
        <v>3.3</v>
      </c>
      <c r="CO5040" s="242">
        <v>0.1905255888325765</v>
      </c>
      <c r="CP5040" s="242">
        <v>0.12124355652982141</v>
      </c>
      <c r="CQ5040" s="242" t="s">
        <v>164</v>
      </c>
      <c r="CR5040" s="242"/>
      <c r="CS5040" s="242"/>
      <c r="CT5040" s="242"/>
      <c r="CU5040" s="242"/>
      <c r="CV5040" s="242"/>
      <c r="CW5040" s="242"/>
      <c r="CX5040" s="242"/>
      <c r="CY5040" s="242"/>
      <c r="CZ5040" s="242"/>
      <c r="DA5040" s="67" t="s">
        <v>5443</v>
      </c>
      <c r="DB5040" s="67">
        <v>0.3</v>
      </c>
      <c r="DC5040" s="67">
        <v>0.26</v>
      </c>
      <c r="DD5040" s="67">
        <f>SQRT(3)*0.013</f>
        <v>2.2516660498395402E-2</v>
      </c>
      <c r="DE5040" s="67">
        <f>SQRT(3)*0.015</f>
        <v>2.5980762113533156E-2</v>
      </c>
      <c r="DF5040" s="67" t="s">
        <v>5565</v>
      </c>
      <c r="DG5040" s="67">
        <v>985</v>
      </c>
      <c r="DH5040" s="67">
        <v>970</v>
      </c>
      <c r="DI5040" s="67">
        <f>SQRT(3)*23.5</f>
        <v>40.703193977868615</v>
      </c>
      <c r="DJ5040" s="67">
        <f>SQRT(3)*16.8</f>
        <v>29.098453567157136</v>
      </c>
      <c r="DK5040" s="67" t="s">
        <v>5708</v>
      </c>
      <c r="DL5040" s="67"/>
      <c r="DM5040" s="67"/>
      <c r="DN5040" s="67"/>
      <c r="DO5040" s="67"/>
      <c r="DP5040" s="67"/>
      <c r="DQ5040" s="166">
        <v>5.6</v>
      </c>
      <c r="DR5040" s="166">
        <v>5.7</v>
      </c>
      <c r="DS5040" s="163">
        <f>SQRT(3)*0.11</f>
        <v>0.1905255888325765</v>
      </c>
      <c r="DT5040" s="163">
        <f>SQRT(3)*0.02</f>
        <v>3.4641016151377546E-2</v>
      </c>
      <c r="DU5040" s="67"/>
      <c r="DV5040" s="67"/>
      <c r="DW5040" s="67"/>
      <c r="DX5040" s="67"/>
      <c r="DY5040" s="67"/>
      <c r="DZ5040" s="67"/>
      <c r="EA5040" s="67"/>
      <c r="EB5040" s="67"/>
      <c r="EC5040" s="67"/>
      <c r="ED5040" s="67"/>
      <c r="EE5040" s="67"/>
      <c r="EF5040" s="67"/>
      <c r="EG5040" s="67"/>
      <c r="EH5040" s="67"/>
      <c r="EI5040" s="67"/>
      <c r="EJ5040" s="67"/>
      <c r="EK5040" s="94"/>
      <c r="EL5040" s="94"/>
      <c r="EM5040" s="67"/>
      <c r="EN5040" s="67"/>
      <c r="EO5040" s="67"/>
      <c r="EP5040" s="67"/>
      <c r="EQ5040" s="67"/>
      <c r="ER5040" s="67"/>
      <c r="ES5040" s="67"/>
      <c r="ET5040" s="67"/>
      <c r="EU5040" s="67"/>
      <c r="EV5040" s="67"/>
      <c r="EW5040" s="67"/>
      <c r="EX5040" s="67"/>
      <c r="EY5040" s="67"/>
      <c r="EZ5040" s="67"/>
      <c r="FA5040" s="67"/>
      <c r="FB5040" s="67"/>
      <c r="FC5040" s="67"/>
      <c r="FD5040" s="67"/>
      <c r="FE5040" s="67"/>
      <c r="FF5040" s="67"/>
      <c r="FG5040" s="67"/>
      <c r="FH5040" s="67"/>
      <c r="FI5040" s="67"/>
      <c r="FJ5040" s="67"/>
      <c r="FK5040" s="67"/>
      <c r="FL5040" s="67"/>
      <c r="FM5040" s="67"/>
      <c r="FN5040" s="67"/>
      <c r="FO5040" s="67"/>
      <c r="FP5040" s="67"/>
      <c r="FQ5040" s="67"/>
      <c r="FR5040" s="67"/>
      <c r="FS5040" s="67"/>
      <c r="FT5040" s="67"/>
      <c r="FU5040" s="67"/>
      <c r="FV5040" s="67"/>
      <c r="FW5040" s="67"/>
      <c r="FX5040" s="67"/>
      <c r="FY5040" s="67"/>
      <c r="FZ5040" s="67"/>
      <c r="GA5040" s="67"/>
      <c r="GB5040" s="67"/>
      <c r="GC5040" s="67"/>
      <c r="GD5040" s="67"/>
      <c r="GE5040" s="67"/>
      <c r="GF5040" s="67"/>
      <c r="GG5040" s="67"/>
      <c r="GH5040" s="67"/>
      <c r="GI5040" s="67"/>
      <c r="GJ5040" s="67"/>
      <c r="GK5040" s="67"/>
      <c r="GL5040" s="67"/>
      <c r="GM5040" s="67"/>
      <c r="GN5040" s="292"/>
      <c r="GO5040" s="292"/>
      <c r="GP5040" s="292" t="s">
        <v>7494</v>
      </c>
      <c r="GQ5040" s="67"/>
      <c r="GR5040" s="67"/>
      <c r="GS5040" s="67"/>
      <c r="GT5040" s="67"/>
      <c r="GU5040" s="67"/>
      <c r="GV5040" s="67"/>
      <c r="GW5040" s="67"/>
      <c r="GX5040" s="67"/>
      <c r="GY5040" s="67"/>
      <c r="GZ5040" s="67"/>
      <c r="HA5040" s="67"/>
      <c r="HB5040" s="67"/>
      <c r="HC5040" s="67"/>
      <c r="HD5040" s="67"/>
      <c r="HE5040" s="67"/>
      <c r="HF5040" s="67"/>
      <c r="HG5040" s="67"/>
      <c r="HH5040" s="67"/>
      <c r="HI5040" s="67"/>
      <c r="HJ5040" s="67"/>
      <c r="HK5040" s="67"/>
      <c r="HL5040" s="67"/>
      <c r="HM5040" s="67"/>
      <c r="HN5040" s="67"/>
      <c r="HO5040" s="67"/>
      <c r="HP5040" s="67"/>
      <c r="HQ5040" s="67"/>
      <c r="HR5040" s="67"/>
      <c r="HS5040" s="67">
        <v>110</v>
      </c>
      <c r="HT5040" s="67">
        <v>122</v>
      </c>
      <c r="HU5040" s="67">
        <f>SQRT(3)*4.4</f>
        <v>7.6210235533030604</v>
      </c>
      <c r="HV5040" s="67">
        <f>SQRT(3)*9.1</f>
        <v>15.761662348876781</v>
      </c>
      <c r="HW5040" s="67" t="s">
        <v>5704</v>
      </c>
      <c r="HX5040" s="67"/>
      <c r="HY5040" s="67"/>
      <c r="HZ5040" s="67"/>
      <c r="IA5040" s="67"/>
      <c r="IB5040" s="67"/>
      <c r="IC5040" s="67"/>
      <c r="ID5040" s="67"/>
      <c r="IE5040" s="67"/>
      <c r="IF5040" s="67"/>
      <c r="IG5040" s="67"/>
      <c r="IH5040" s="67"/>
      <c r="II5040" s="67"/>
      <c r="IJ5040" s="67"/>
      <c r="IK5040" s="67"/>
      <c r="IL5040" s="67"/>
      <c r="IM5040" s="67"/>
      <c r="IN5040" s="67"/>
      <c r="IO5040" s="67"/>
      <c r="IP5040" s="67"/>
      <c r="IQ5040" s="67"/>
      <c r="IR5040" s="67"/>
      <c r="IS5040" s="67"/>
      <c r="IT5040" s="67"/>
      <c r="IU5040" s="67"/>
      <c r="IV5040" s="67"/>
      <c r="IW5040" s="67"/>
      <c r="IX5040" s="67"/>
      <c r="IY5040" s="67"/>
      <c r="IZ5040" s="67"/>
      <c r="JA5040" s="67"/>
      <c r="JB5040" s="67"/>
      <c r="JC5040" s="67"/>
      <c r="JD5040" s="67"/>
      <c r="JE5040" s="67"/>
      <c r="JF5040" s="67"/>
      <c r="JG5040" s="67"/>
      <c r="JH5040" s="67"/>
      <c r="JI5040" s="67"/>
      <c r="JJ5040" s="67"/>
      <c r="JK5040" s="67"/>
      <c r="JL5040" s="67"/>
      <c r="JM5040" s="67"/>
      <c r="JN5040" s="67"/>
      <c r="JO5040" s="67"/>
      <c r="JP5040" s="67"/>
      <c r="JQ5040" s="67">
        <v>99999</v>
      </c>
      <c r="JR5040" s="67"/>
      <c r="JS5040" s="67"/>
      <c r="JT5040" s="67"/>
      <c r="JU5040" s="58" t="s">
        <v>5707</v>
      </c>
      <c r="JV5040" s="58"/>
      <c r="JW5040" s="58"/>
    </row>
    <row r="5041" spans="1:283" s="23" customFormat="1" x14ac:dyDescent="0.25">
      <c r="A5041" s="55">
        <v>5040</v>
      </c>
      <c r="B5041" s="12" t="s">
        <v>7067</v>
      </c>
      <c r="C5041" s="156">
        <v>257</v>
      </c>
      <c r="D5041" s="58" t="s">
        <v>5002</v>
      </c>
      <c r="E5041" s="160" t="str">
        <f>G5041</f>
        <v>Nguyen et al 1995_Temuka pasture</v>
      </c>
      <c r="F5041" s="160"/>
      <c r="G5041" s="60" t="s">
        <v>4725</v>
      </c>
      <c r="H5041" s="58">
        <v>1995</v>
      </c>
      <c r="I5041" s="58" t="s">
        <v>5699</v>
      </c>
      <c r="J5041" s="243" t="s">
        <v>427</v>
      </c>
      <c r="K5041" s="63" t="s">
        <v>5088</v>
      </c>
      <c r="L5041" s="58" t="s">
        <v>5335</v>
      </c>
      <c r="M5041" s="94">
        <v>-43.76</v>
      </c>
      <c r="N5041" s="94">
        <v>172.02</v>
      </c>
      <c r="O5041" s="94">
        <v>108</v>
      </c>
      <c r="P5041" s="58"/>
      <c r="Q5041" s="244"/>
      <c r="R5041" s="58"/>
      <c r="S5041" s="245" t="s">
        <v>5700</v>
      </c>
      <c r="T5041" s="58"/>
      <c r="U5041" s="58"/>
      <c r="V5041" s="244">
        <v>8</v>
      </c>
      <c r="W5041" s="174"/>
      <c r="X5041" s="174"/>
      <c r="Y5041" s="58"/>
      <c r="Z5041" s="244" t="s">
        <v>1347</v>
      </c>
      <c r="AA5041" s="245">
        <v>7.5</v>
      </c>
      <c r="AB5041" s="67"/>
      <c r="AC5041" s="67"/>
      <c r="AD5041" s="94"/>
      <c r="AE5041" s="94"/>
      <c r="AF5041" s="94"/>
      <c r="AG5041" s="245">
        <v>14</v>
      </c>
      <c r="AH5041" s="58" t="s">
        <v>6378</v>
      </c>
      <c r="AI5041" s="169"/>
      <c r="AJ5041" s="94"/>
      <c r="AK5041" s="94"/>
      <c r="AL5041" s="58"/>
      <c r="AM5041" s="58"/>
      <c r="AN5041" s="186" t="s">
        <v>176</v>
      </c>
      <c r="AO5041" s="185" t="s">
        <v>5150</v>
      </c>
      <c r="AP5041" s="58"/>
      <c r="AQ5041" s="58" t="s">
        <v>176</v>
      </c>
      <c r="AR5041" s="58" t="s">
        <v>5706</v>
      </c>
      <c r="AS5041" s="246" t="s">
        <v>5529</v>
      </c>
      <c r="AT5041" s="247">
        <v>1</v>
      </c>
      <c r="AU5041" s="181" t="s">
        <v>7494</v>
      </c>
      <c r="AV5041" s="185" t="s">
        <v>479</v>
      </c>
      <c r="AW5041" s="244">
        <v>1</v>
      </c>
      <c r="AX5041" s="185" t="s">
        <v>479</v>
      </c>
      <c r="AY5041" s="244" t="s">
        <v>176</v>
      </c>
      <c r="AZ5041" s="58"/>
      <c r="BA5041" s="58"/>
      <c r="BB5041" s="58"/>
      <c r="BC5041" s="58"/>
      <c r="BD5041" s="58"/>
      <c r="BE5041" s="236" t="s">
        <v>5153</v>
      </c>
      <c r="BF5041" s="191" t="s">
        <v>176</v>
      </c>
      <c r="BG5041" s="191" t="s">
        <v>176</v>
      </c>
      <c r="BH5041" s="236" t="s">
        <v>5155</v>
      </c>
      <c r="BI5041" s="191" t="s">
        <v>479</v>
      </c>
      <c r="BJ5041" s="58" t="str">
        <f>IF(BE5041=BH5041,"No","yes")</f>
        <v>yes</v>
      </c>
      <c r="BK5041" s="58" t="s">
        <v>6334</v>
      </c>
      <c r="BL5041" s="58"/>
      <c r="BM5041" s="237"/>
      <c r="BN5041" s="244">
        <v>3</v>
      </c>
      <c r="BO5041" s="244">
        <v>3</v>
      </c>
      <c r="BP5041" s="58"/>
      <c r="BQ5041" s="58"/>
      <c r="BR5041" s="58"/>
      <c r="BS5041" s="58"/>
      <c r="BT5041" s="58"/>
      <c r="BU5041" s="58"/>
      <c r="BV5041" s="58" t="s">
        <v>5703</v>
      </c>
      <c r="BW5041" s="67"/>
      <c r="BX5041" s="67"/>
      <c r="BY5041" s="67"/>
      <c r="BZ5041" s="67"/>
      <c r="CA5041" s="67"/>
      <c r="CB5041" s="70">
        <v>5800</v>
      </c>
      <c r="CC5041" s="70">
        <v>4800</v>
      </c>
      <c r="CD5041" s="70"/>
      <c r="CE5041" s="67"/>
      <c r="CF5041" s="67"/>
      <c r="CG5041" s="67" t="s">
        <v>545</v>
      </c>
      <c r="CH5041" s="245"/>
      <c r="CI5041" s="245"/>
      <c r="CJ5041" s="67"/>
      <c r="CK5041" s="67"/>
      <c r="CL5041" s="67"/>
      <c r="CM5041" s="242">
        <v>3.4</v>
      </c>
      <c r="CN5041" s="242">
        <v>3.5</v>
      </c>
      <c r="CO5041" s="242">
        <v>0.24248711305964282</v>
      </c>
      <c r="CP5041" s="242">
        <v>5.1961524227066312E-2</v>
      </c>
      <c r="CQ5041" s="242" t="s">
        <v>164</v>
      </c>
      <c r="CR5041" s="242"/>
      <c r="CS5041" s="242"/>
      <c r="CT5041" s="242"/>
      <c r="CU5041" s="242"/>
      <c r="CV5041" s="242"/>
      <c r="CW5041" s="242"/>
      <c r="CX5041" s="242"/>
      <c r="CY5041" s="242"/>
      <c r="CZ5041" s="242"/>
      <c r="DA5041" s="67" t="s">
        <v>5443</v>
      </c>
      <c r="DB5041" s="67">
        <v>0.32</v>
      </c>
      <c r="DC5041" s="67">
        <v>0.34</v>
      </c>
      <c r="DD5041" s="67">
        <f>SQRT(3)*0.017</f>
        <v>2.9444863728670913E-2</v>
      </c>
      <c r="DE5041" s="67">
        <f>SQRT(3)*0.011</f>
        <v>1.9052558883257648E-2</v>
      </c>
      <c r="DF5041" s="67" t="s">
        <v>5565</v>
      </c>
      <c r="DG5041" s="67">
        <v>1040</v>
      </c>
      <c r="DH5041" s="67">
        <v>1095</v>
      </c>
      <c r="DI5041" s="67">
        <f>SQRT(3)*23</f>
        <v>39.837168574084174</v>
      </c>
      <c r="DJ5041" s="67">
        <f>SQRT(3)*26.9</f>
        <v>46.592166723602794</v>
      </c>
      <c r="DK5041" s="67" t="s">
        <v>5708</v>
      </c>
      <c r="DL5041" s="67"/>
      <c r="DM5041" s="67"/>
      <c r="DN5041" s="67"/>
      <c r="DO5041" s="67"/>
      <c r="DP5041" s="67"/>
      <c r="DQ5041" s="166">
        <v>5.7</v>
      </c>
      <c r="DR5041" s="166">
        <v>5.8</v>
      </c>
      <c r="DS5041" s="163">
        <f>SQRT(3)*0.02</f>
        <v>3.4641016151377546E-2</v>
      </c>
      <c r="DT5041" s="163">
        <f>SQRT(3)*0.1</f>
        <v>0.17320508075688773</v>
      </c>
      <c r="DU5041" s="67"/>
      <c r="DV5041" s="67"/>
      <c r="DW5041" s="67"/>
      <c r="DX5041" s="67"/>
      <c r="DY5041" s="67"/>
      <c r="DZ5041" s="67"/>
      <c r="EA5041" s="67"/>
      <c r="EB5041" s="67"/>
      <c r="EC5041" s="67"/>
      <c r="ED5041" s="67"/>
      <c r="EE5041" s="67"/>
      <c r="EF5041" s="67"/>
      <c r="EG5041" s="67"/>
      <c r="EH5041" s="67"/>
      <c r="EI5041" s="67"/>
      <c r="EJ5041" s="67"/>
      <c r="EK5041" s="94"/>
      <c r="EL5041" s="94"/>
      <c r="EM5041" s="67"/>
      <c r="EN5041" s="67"/>
      <c r="EO5041" s="67"/>
      <c r="EP5041" s="67"/>
      <c r="EQ5041" s="67"/>
      <c r="ER5041" s="67"/>
      <c r="ES5041" s="67"/>
      <c r="ET5041" s="67"/>
      <c r="EU5041" s="67"/>
      <c r="EV5041" s="67"/>
      <c r="EW5041" s="67"/>
      <c r="EX5041" s="67"/>
      <c r="EY5041" s="67"/>
      <c r="EZ5041" s="67"/>
      <c r="FA5041" s="67"/>
      <c r="FB5041" s="67"/>
      <c r="FC5041" s="67"/>
      <c r="FD5041" s="67"/>
      <c r="FE5041" s="67"/>
      <c r="FF5041" s="67"/>
      <c r="FG5041" s="67"/>
      <c r="FH5041" s="67"/>
      <c r="FI5041" s="67"/>
      <c r="FJ5041" s="67"/>
      <c r="FK5041" s="67"/>
      <c r="FL5041" s="67"/>
      <c r="FM5041" s="67"/>
      <c r="FN5041" s="67"/>
      <c r="FO5041" s="67"/>
      <c r="FP5041" s="67"/>
      <c r="FQ5041" s="67"/>
      <c r="FR5041" s="67"/>
      <c r="FS5041" s="67"/>
      <c r="FT5041" s="67"/>
      <c r="FU5041" s="67"/>
      <c r="FV5041" s="67"/>
      <c r="FW5041" s="67"/>
      <c r="FX5041" s="67"/>
      <c r="FY5041" s="67"/>
      <c r="FZ5041" s="67"/>
      <c r="GA5041" s="67"/>
      <c r="GB5041" s="67"/>
      <c r="GC5041" s="67"/>
      <c r="GD5041" s="67"/>
      <c r="GE5041" s="67"/>
      <c r="GF5041" s="67"/>
      <c r="GG5041" s="67"/>
      <c r="GH5041" s="67"/>
      <c r="GI5041" s="67"/>
      <c r="GJ5041" s="67"/>
      <c r="GK5041" s="67"/>
      <c r="GL5041" s="67"/>
      <c r="GM5041" s="67"/>
      <c r="GN5041" s="292"/>
      <c r="GO5041" s="292"/>
      <c r="GP5041" s="292" t="s">
        <v>7494</v>
      </c>
      <c r="GQ5041" s="67"/>
      <c r="GR5041" s="67"/>
      <c r="GS5041" s="67"/>
      <c r="GT5041" s="67"/>
      <c r="GU5041" s="67"/>
      <c r="GV5041" s="67"/>
      <c r="GW5041" s="67"/>
      <c r="GX5041" s="67"/>
      <c r="GY5041" s="67"/>
      <c r="GZ5041" s="67"/>
      <c r="HA5041" s="67"/>
      <c r="HB5041" s="67"/>
      <c r="HC5041" s="67"/>
      <c r="HD5041" s="67"/>
      <c r="HE5041" s="67"/>
      <c r="HF5041" s="67"/>
      <c r="HG5041" s="67"/>
      <c r="HH5041" s="67"/>
      <c r="HI5041" s="67"/>
      <c r="HJ5041" s="67"/>
      <c r="HK5041" s="67"/>
      <c r="HL5041" s="67"/>
      <c r="HM5041" s="67"/>
      <c r="HN5041" s="67"/>
      <c r="HO5041" s="67"/>
      <c r="HP5041" s="67"/>
      <c r="HQ5041" s="67"/>
      <c r="HR5041" s="67"/>
      <c r="HS5041" s="67">
        <v>110</v>
      </c>
      <c r="HT5041" s="67">
        <v>112</v>
      </c>
      <c r="HU5041" s="67">
        <f>SQRT(3)*6.8</f>
        <v>11.777945491468365</v>
      </c>
      <c r="HV5041" s="67">
        <f>SQRT(3)*7.4</f>
        <v>12.817175976009691</v>
      </c>
      <c r="HW5041" s="67" t="s">
        <v>5704</v>
      </c>
      <c r="HX5041" s="67"/>
      <c r="HY5041" s="67"/>
      <c r="HZ5041" s="67"/>
      <c r="IA5041" s="67"/>
      <c r="IB5041" s="67"/>
      <c r="IC5041" s="67"/>
      <c r="ID5041" s="67"/>
      <c r="IE5041" s="67"/>
      <c r="IF5041" s="67"/>
      <c r="IG5041" s="67"/>
      <c r="IH5041" s="67"/>
      <c r="II5041" s="67"/>
      <c r="IJ5041" s="67"/>
      <c r="IK5041" s="67"/>
      <c r="IL5041" s="67"/>
      <c r="IM5041" s="67"/>
      <c r="IN5041" s="67"/>
      <c r="IO5041" s="67"/>
      <c r="IP5041" s="67"/>
      <c r="IQ5041" s="67"/>
      <c r="IR5041" s="67"/>
      <c r="IS5041" s="67"/>
      <c r="IT5041" s="67"/>
      <c r="IU5041" s="67"/>
      <c r="IV5041" s="67"/>
      <c r="IW5041" s="67"/>
      <c r="IX5041" s="67"/>
      <c r="IY5041" s="67"/>
      <c r="IZ5041" s="67"/>
      <c r="JA5041" s="67"/>
      <c r="JB5041" s="67"/>
      <c r="JC5041" s="67"/>
      <c r="JD5041" s="67"/>
      <c r="JE5041" s="67"/>
      <c r="JF5041" s="67"/>
      <c r="JG5041" s="67"/>
      <c r="JH5041" s="67"/>
      <c r="JI5041" s="67"/>
      <c r="JJ5041" s="67"/>
      <c r="JK5041" s="67"/>
      <c r="JL5041" s="67"/>
      <c r="JM5041" s="67"/>
      <c r="JN5041" s="67"/>
      <c r="JO5041" s="67"/>
      <c r="JP5041" s="67"/>
      <c r="JQ5041" s="67">
        <v>99999</v>
      </c>
      <c r="JR5041" s="67"/>
      <c r="JS5041" s="67"/>
      <c r="JT5041" s="67"/>
      <c r="JU5041" s="58" t="s">
        <v>5707</v>
      </c>
      <c r="JV5041" s="58"/>
      <c r="JW5041" s="58"/>
    </row>
    <row r="5042" spans="1:283" s="23" customFormat="1" x14ac:dyDescent="0.25">
      <c r="A5042" s="55">
        <v>5041</v>
      </c>
      <c r="B5042" s="12" t="s">
        <v>7067</v>
      </c>
      <c r="C5042" s="156">
        <v>257</v>
      </c>
      <c r="D5042" s="58" t="s">
        <v>4999</v>
      </c>
      <c r="E5042" s="160" t="str">
        <f>G5042</f>
        <v>Nguyen et al 1995_Templeton cropland</v>
      </c>
      <c r="F5042" s="160"/>
      <c r="G5042" s="60" t="s">
        <v>4728</v>
      </c>
      <c r="H5042" s="58">
        <v>1995</v>
      </c>
      <c r="I5042" s="58" t="s">
        <v>5699</v>
      </c>
      <c r="J5042" s="243" t="s">
        <v>427</v>
      </c>
      <c r="K5042" s="63" t="s">
        <v>5088</v>
      </c>
      <c r="L5042" s="58" t="s">
        <v>5335</v>
      </c>
      <c r="M5042" s="94">
        <v>-43.76</v>
      </c>
      <c r="N5042" s="94">
        <v>172.02</v>
      </c>
      <c r="O5042" s="94">
        <v>108</v>
      </c>
      <c r="P5042" s="58"/>
      <c r="Q5042" s="244"/>
      <c r="R5042" s="58"/>
      <c r="S5042" s="245" t="s">
        <v>5700</v>
      </c>
      <c r="T5042" s="58"/>
      <c r="U5042" s="58"/>
      <c r="V5042" s="244">
        <v>8</v>
      </c>
      <c r="W5042" s="174"/>
      <c r="X5042" s="174"/>
      <c r="Y5042" s="58"/>
      <c r="Z5042" s="244" t="s">
        <v>1347</v>
      </c>
      <c r="AA5042" s="245">
        <v>7.5</v>
      </c>
      <c r="AB5042" s="67"/>
      <c r="AC5042" s="67"/>
      <c r="AD5042" s="94"/>
      <c r="AE5042" s="94"/>
      <c r="AF5042" s="94"/>
      <c r="AG5042" s="245">
        <v>14</v>
      </c>
      <c r="AH5042" s="58" t="s">
        <v>6378</v>
      </c>
      <c r="AI5042" s="169"/>
      <c r="AJ5042" s="94"/>
      <c r="AK5042" s="94"/>
      <c r="AL5042" s="58"/>
      <c r="AM5042" s="58"/>
      <c r="AN5042" s="186" t="s">
        <v>176</v>
      </c>
      <c r="AO5042" s="185" t="s">
        <v>5150</v>
      </c>
      <c r="AP5042" s="58"/>
      <c r="AQ5042" s="58" t="s">
        <v>176</v>
      </c>
      <c r="AR5042" s="58" t="s">
        <v>5706</v>
      </c>
      <c r="AS5042" s="246" t="s">
        <v>4584</v>
      </c>
      <c r="AT5042" s="247">
        <v>1</v>
      </c>
      <c r="AU5042" s="181" t="s">
        <v>7494</v>
      </c>
      <c r="AV5042" s="185" t="s">
        <v>479</v>
      </c>
      <c r="AW5042" s="244">
        <v>1</v>
      </c>
      <c r="AX5042" s="185" t="s">
        <v>479</v>
      </c>
      <c r="AY5042" s="244" t="s">
        <v>176</v>
      </c>
      <c r="AZ5042" s="58"/>
      <c r="BA5042" s="58"/>
      <c r="BB5042" s="58"/>
      <c r="BC5042" s="58"/>
      <c r="BD5042" s="58"/>
      <c r="BE5042" s="236" t="s">
        <v>5153</v>
      </c>
      <c r="BF5042" s="191" t="s">
        <v>176</v>
      </c>
      <c r="BG5042" s="191" t="s">
        <v>176</v>
      </c>
      <c r="BH5042" s="236" t="s">
        <v>5155</v>
      </c>
      <c r="BI5042" s="191" t="s">
        <v>479</v>
      </c>
      <c r="BJ5042" s="58" t="str">
        <f>IF(BE5042=BH5042,"No","yes")</f>
        <v>yes</v>
      </c>
      <c r="BK5042" s="58" t="s">
        <v>6334</v>
      </c>
      <c r="BL5042" s="58"/>
      <c r="BM5042" s="237"/>
      <c r="BN5042" s="244">
        <v>3</v>
      </c>
      <c r="BO5042" s="244">
        <v>3</v>
      </c>
      <c r="BP5042" s="58"/>
      <c r="BQ5042" s="58"/>
      <c r="BR5042" s="58"/>
      <c r="BS5042" s="58"/>
      <c r="BT5042" s="58"/>
      <c r="BU5042" s="58"/>
      <c r="BV5042" s="58" t="s">
        <v>5702</v>
      </c>
      <c r="BW5042" s="67"/>
      <c r="BX5042" s="67"/>
      <c r="BY5042" s="67"/>
      <c r="BZ5042" s="67"/>
      <c r="CA5042" s="67"/>
      <c r="CB5042" s="70">
        <v>5800</v>
      </c>
      <c r="CC5042" s="70">
        <v>5000</v>
      </c>
      <c r="CD5042" s="70"/>
      <c r="CE5042" s="67"/>
      <c r="CF5042" s="67"/>
      <c r="CG5042" s="67" t="s">
        <v>545</v>
      </c>
      <c r="CH5042" s="245"/>
      <c r="CI5042" s="245"/>
      <c r="CJ5042" s="67"/>
      <c r="CK5042" s="67"/>
      <c r="CL5042" s="67"/>
      <c r="CM5042" s="242">
        <v>2.9</v>
      </c>
      <c r="CN5042" s="242">
        <v>3</v>
      </c>
      <c r="CO5042" s="242">
        <v>0.13856406460551018</v>
      </c>
      <c r="CP5042" s="242">
        <v>0.15588457268119893</v>
      </c>
      <c r="CQ5042" s="242" t="s">
        <v>164</v>
      </c>
      <c r="CR5042" s="242"/>
      <c r="CS5042" s="242"/>
      <c r="CT5042" s="242"/>
      <c r="CU5042" s="242"/>
      <c r="CV5042" s="242"/>
      <c r="CW5042" s="242"/>
      <c r="CX5042" s="242"/>
      <c r="CY5042" s="242"/>
      <c r="CZ5042" s="242"/>
      <c r="DA5042" s="67" t="s">
        <v>5443</v>
      </c>
      <c r="DB5042" s="67">
        <v>0.31</v>
      </c>
      <c r="DC5042" s="67">
        <v>0.28000000000000003</v>
      </c>
      <c r="DD5042" s="67">
        <f>SQRT(3)*0.015</f>
        <v>2.5980762113533156E-2</v>
      </c>
      <c r="DE5042" s="67">
        <f>SQRT(3)*0.01</f>
        <v>1.7320508075688773E-2</v>
      </c>
      <c r="DF5042" s="67" t="s">
        <v>5565</v>
      </c>
      <c r="DG5042" s="67">
        <v>1288</v>
      </c>
      <c r="DH5042" s="67">
        <v>1000</v>
      </c>
      <c r="DI5042" s="67">
        <f>SQRT(3)*19.1</f>
        <v>33.082170424565554</v>
      </c>
      <c r="DJ5042" s="67">
        <f>SQRT(3)*46.2</f>
        <v>80.020747309682136</v>
      </c>
      <c r="DK5042" s="67" t="s">
        <v>5708</v>
      </c>
      <c r="DL5042" s="67"/>
      <c r="DM5042" s="67"/>
      <c r="DN5042" s="67"/>
      <c r="DO5042" s="67"/>
      <c r="DP5042" s="67"/>
      <c r="DQ5042" s="166">
        <v>6.1</v>
      </c>
      <c r="DR5042" s="166">
        <v>6</v>
      </c>
      <c r="DS5042" s="163">
        <f>SQRT(3)*0.01</f>
        <v>1.7320508075688773E-2</v>
      </c>
      <c r="DT5042" s="163">
        <f>SQRT(3)*0.08</f>
        <v>0.13856406460551018</v>
      </c>
      <c r="DU5042" s="67"/>
      <c r="DV5042" s="67"/>
      <c r="DW5042" s="67"/>
      <c r="DX5042" s="67"/>
      <c r="DY5042" s="67"/>
      <c r="DZ5042" s="67"/>
      <c r="EA5042" s="67"/>
      <c r="EB5042" s="67"/>
      <c r="EC5042" s="67"/>
      <c r="ED5042" s="67"/>
      <c r="EE5042" s="67"/>
      <c r="EF5042" s="67"/>
      <c r="EG5042" s="67"/>
      <c r="EH5042" s="67"/>
      <c r="EI5042" s="67"/>
      <c r="EJ5042" s="67"/>
      <c r="EK5042" s="94"/>
      <c r="EL5042" s="94"/>
      <c r="EM5042" s="67"/>
      <c r="EN5042" s="67"/>
      <c r="EO5042" s="67"/>
      <c r="EP5042" s="67"/>
      <c r="EQ5042" s="67"/>
      <c r="ER5042" s="67"/>
      <c r="ES5042" s="67"/>
      <c r="ET5042" s="67"/>
      <c r="EU5042" s="67"/>
      <c r="EV5042" s="67"/>
      <c r="EW5042" s="67"/>
      <c r="EX5042" s="67"/>
      <c r="EY5042" s="67"/>
      <c r="EZ5042" s="67"/>
      <c r="FA5042" s="67"/>
      <c r="FB5042" s="67"/>
      <c r="FC5042" s="67"/>
      <c r="FD5042" s="67"/>
      <c r="FE5042" s="67"/>
      <c r="FF5042" s="67"/>
      <c r="FG5042" s="67"/>
      <c r="FH5042" s="67"/>
      <c r="FI5042" s="67"/>
      <c r="FJ5042" s="67"/>
      <c r="FK5042" s="67"/>
      <c r="FL5042" s="67"/>
      <c r="FM5042" s="67"/>
      <c r="FN5042" s="67"/>
      <c r="FO5042" s="67"/>
      <c r="FP5042" s="67"/>
      <c r="FQ5042" s="67"/>
      <c r="FR5042" s="67"/>
      <c r="FS5042" s="67"/>
      <c r="FT5042" s="67"/>
      <c r="FU5042" s="67"/>
      <c r="FV5042" s="67"/>
      <c r="FW5042" s="67"/>
      <c r="FX5042" s="67"/>
      <c r="FY5042" s="67"/>
      <c r="FZ5042" s="67"/>
      <c r="GA5042" s="67"/>
      <c r="GB5042" s="67"/>
      <c r="GC5042" s="67"/>
      <c r="GD5042" s="67"/>
      <c r="GE5042" s="67"/>
      <c r="GF5042" s="67"/>
      <c r="GG5042" s="67"/>
      <c r="GH5042" s="67"/>
      <c r="GI5042" s="67"/>
      <c r="GJ5042" s="67"/>
      <c r="GK5042" s="67"/>
      <c r="GL5042" s="67"/>
      <c r="GM5042" s="67"/>
      <c r="GN5042" s="292"/>
      <c r="GO5042" s="292"/>
      <c r="GP5042" s="292" t="s">
        <v>7494</v>
      </c>
      <c r="GQ5042" s="67"/>
      <c r="GR5042" s="67"/>
      <c r="GS5042" s="67"/>
      <c r="GT5042" s="67"/>
      <c r="GU5042" s="67"/>
      <c r="GV5042" s="67"/>
      <c r="GW5042" s="67"/>
      <c r="GX5042" s="67"/>
      <c r="GY5042" s="67"/>
      <c r="GZ5042" s="67"/>
      <c r="HA5042" s="67"/>
      <c r="HB5042" s="67"/>
      <c r="HC5042" s="67"/>
      <c r="HD5042" s="67"/>
      <c r="HE5042" s="67"/>
      <c r="HF5042" s="67"/>
      <c r="HG5042" s="67"/>
      <c r="HH5042" s="67"/>
      <c r="HI5042" s="67"/>
      <c r="HJ5042" s="67"/>
      <c r="HK5042" s="67"/>
      <c r="HL5042" s="67"/>
      <c r="HM5042" s="67"/>
      <c r="HN5042" s="67"/>
      <c r="HO5042" s="67"/>
      <c r="HP5042" s="67"/>
      <c r="HQ5042" s="67"/>
      <c r="HR5042" s="67"/>
      <c r="HS5042" s="67">
        <v>98</v>
      </c>
      <c r="HT5042" s="67">
        <v>104</v>
      </c>
      <c r="HU5042" s="67">
        <f>SQRT(3)*9.2</f>
        <v>15.93486742963367</v>
      </c>
      <c r="HV5042" s="67">
        <f>SQRT(3)*11.1</f>
        <v>19.225763964014536</v>
      </c>
      <c r="HW5042" s="67" t="s">
        <v>5704</v>
      </c>
      <c r="HX5042" s="67"/>
      <c r="HY5042" s="67"/>
      <c r="HZ5042" s="67"/>
      <c r="IA5042" s="67"/>
      <c r="IB5042" s="67"/>
      <c r="IC5042" s="67"/>
      <c r="ID5042" s="67"/>
      <c r="IE5042" s="67"/>
      <c r="IF5042" s="67"/>
      <c r="IG5042" s="67"/>
      <c r="IH5042" s="67"/>
      <c r="II5042" s="67"/>
      <c r="IJ5042" s="67"/>
      <c r="IK5042" s="67"/>
      <c r="IL5042" s="67"/>
      <c r="IM5042" s="67"/>
      <c r="IN5042" s="67"/>
      <c r="IO5042" s="67"/>
      <c r="IP5042" s="67"/>
      <c r="IQ5042" s="67"/>
      <c r="IR5042" s="67"/>
      <c r="IS5042" s="67"/>
      <c r="IT5042" s="67"/>
      <c r="IU5042" s="67"/>
      <c r="IV5042" s="67"/>
      <c r="IW5042" s="67"/>
      <c r="IX5042" s="67"/>
      <c r="IY5042" s="67"/>
      <c r="IZ5042" s="67"/>
      <c r="JA5042" s="67"/>
      <c r="JB5042" s="67"/>
      <c r="JC5042" s="67"/>
      <c r="JD5042" s="67"/>
      <c r="JE5042" s="67"/>
      <c r="JF5042" s="67"/>
      <c r="JG5042" s="67"/>
      <c r="JH5042" s="67"/>
      <c r="JI5042" s="67"/>
      <c r="JJ5042" s="67"/>
      <c r="JK5042" s="67"/>
      <c r="JL5042" s="67"/>
      <c r="JM5042" s="67"/>
      <c r="JN5042" s="67"/>
      <c r="JO5042" s="67"/>
      <c r="JP5042" s="67"/>
      <c r="JQ5042" s="67">
        <v>99999</v>
      </c>
      <c r="JR5042" s="67"/>
      <c r="JS5042" s="67"/>
      <c r="JT5042" s="67"/>
      <c r="JU5042" s="58" t="s">
        <v>5707</v>
      </c>
      <c r="JV5042" s="58"/>
      <c r="JW5042" s="58"/>
    </row>
    <row r="5043" spans="1:283" s="23" customFormat="1" x14ac:dyDescent="0.25">
      <c r="A5043" s="55">
        <v>5042</v>
      </c>
      <c r="B5043" s="12" t="s">
        <v>7067</v>
      </c>
      <c r="C5043" s="156">
        <v>257</v>
      </c>
      <c r="D5043" s="58" t="s">
        <v>5000</v>
      </c>
      <c r="E5043" s="160" t="str">
        <f>G5043</f>
        <v>Nguyen et al 1995_Templeton pasture</v>
      </c>
      <c r="F5043" s="160"/>
      <c r="G5043" s="60" t="s">
        <v>4727</v>
      </c>
      <c r="H5043" s="58">
        <v>1995</v>
      </c>
      <c r="I5043" s="58" t="s">
        <v>5699</v>
      </c>
      <c r="J5043" s="243" t="s">
        <v>427</v>
      </c>
      <c r="K5043" s="63" t="s">
        <v>5088</v>
      </c>
      <c r="L5043" s="58" t="s">
        <v>5335</v>
      </c>
      <c r="M5043" s="94">
        <v>-43.76</v>
      </c>
      <c r="N5043" s="94">
        <v>172.02</v>
      </c>
      <c r="O5043" s="94">
        <v>108</v>
      </c>
      <c r="P5043" s="58"/>
      <c r="Q5043" s="244"/>
      <c r="R5043" s="58"/>
      <c r="S5043" s="245" t="s">
        <v>5700</v>
      </c>
      <c r="T5043" s="58"/>
      <c r="U5043" s="58"/>
      <c r="V5043" s="244">
        <v>8</v>
      </c>
      <c r="W5043" s="174"/>
      <c r="X5043" s="174"/>
      <c r="Y5043" s="58"/>
      <c r="Z5043" s="244" t="s">
        <v>1347</v>
      </c>
      <c r="AA5043" s="245">
        <v>7.5</v>
      </c>
      <c r="AB5043" s="67"/>
      <c r="AC5043" s="67"/>
      <c r="AD5043" s="94"/>
      <c r="AE5043" s="94"/>
      <c r="AF5043" s="94"/>
      <c r="AG5043" s="245">
        <v>14</v>
      </c>
      <c r="AH5043" s="58" t="s">
        <v>6378</v>
      </c>
      <c r="AI5043" s="169"/>
      <c r="AJ5043" s="94"/>
      <c r="AK5043" s="94"/>
      <c r="AL5043" s="58"/>
      <c r="AM5043" s="58"/>
      <c r="AN5043" s="186" t="s">
        <v>176</v>
      </c>
      <c r="AO5043" s="185" t="s">
        <v>5150</v>
      </c>
      <c r="AP5043" s="58"/>
      <c r="AQ5043" s="58" t="s">
        <v>176</v>
      </c>
      <c r="AR5043" s="58" t="s">
        <v>5706</v>
      </c>
      <c r="AS5043" s="246" t="s">
        <v>5529</v>
      </c>
      <c r="AT5043" s="247">
        <v>1</v>
      </c>
      <c r="AU5043" s="181" t="s">
        <v>7494</v>
      </c>
      <c r="AV5043" s="185" t="s">
        <v>479</v>
      </c>
      <c r="AW5043" s="244">
        <v>1</v>
      </c>
      <c r="AX5043" s="185" t="s">
        <v>479</v>
      </c>
      <c r="AY5043" s="244" t="s">
        <v>176</v>
      </c>
      <c r="AZ5043" s="58"/>
      <c r="BA5043" s="58"/>
      <c r="BB5043" s="58"/>
      <c r="BC5043" s="58"/>
      <c r="BD5043" s="58"/>
      <c r="BE5043" s="236" t="s">
        <v>5153</v>
      </c>
      <c r="BF5043" s="191" t="s">
        <v>176</v>
      </c>
      <c r="BG5043" s="191" t="s">
        <v>176</v>
      </c>
      <c r="BH5043" s="236" t="s">
        <v>5155</v>
      </c>
      <c r="BI5043" s="191" t="s">
        <v>479</v>
      </c>
      <c r="BJ5043" s="58" t="str">
        <f>IF(BE5043=BH5043,"No","yes")</f>
        <v>yes</v>
      </c>
      <c r="BK5043" s="58" t="s">
        <v>6334</v>
      </c>
      <c r="BL5043" s="58"/>
      <c r="BM5043" s="237"/>
      <c r="BN5043" s="244">
        <v>3</v>
      </c>
      <c r="BO5043" s="244">
        <v>3</v>
      </c>
      <c r="BP5043" s="58"/>
      <c r="BQ5043" s="58"/>
      <c r="BR5043" s="58"/>
      <c r="BS5043" s="58"/>
      <c r="BT5043" s="58"/>
      <c r="BU5043" s="58"/>
      <c r="BV5043" s="58" t="s">
        <v>5702</v>
      </c>
      <c r="BW5043" s="67"/>
      <c r="BX5043" s="67"/>
      <c r="BY5043" s="67"/>
      <c r="BZ5043" s="67"/>
      <c r="CA5043" s="67"/>
      <c r="CB5043" s="70">
        <v>5000</v>
      </c>
      <c r="CC5043" s="70">
        <v>3400</v>
      </c>
      <c r="CD5043" s="70"/>
      <c r="CE5043" s="67"/>
      <c r="CF5043" s="67"/>
      <c r="CG5043" s="67" t="s">
        <v>545</v>
      </c>
      <c r="CH5043" s="245"/>
      <c r="CI5043" s="245"/>
      <c r="CJ5043" s="67"/>
      <c r="CK5043" s="67"/>
      <c r="CL5043" s="67"/>
      <c r="CM5043" s="242">
        <v>3.1</v>
      </c>
      <c r="CN5043" s="242">
        <v>3.2</v>
      </c>
      <c r="CO5043" s="242">
        <v>0.13856406460551018</v>
      </c>
      <c r="CP5043" s="242">
        <v>6.9282032302755092E-2</v>
      </c>
      <c r="CQ5043" s="242" t="s">
        <v>164</v>
      </c>
      <c r="CR5043" s="242"/>
      <c r="CS5043" s="242"/>
      <c r="CT5043" s="242"/>
      <c r="CU5043" s="242"/>
      <c r="CV5043" s="242"/>
      <c r="CW5043" s="242"/>
      <c r="CX5043" s="242"/>
      <c r="CY5043" s="242"/>
      <c r="CZ5043" s="242"/>
      <c r="DA5043" s="67" t="s">
        <v>5443</v>
      </c>
      <c r="DB5043" s="67">
        <v>0.34</v>
      </c>
      <c r="DC5043" s="67">
        <v>0.28999999999999998</v>
      </c>
      <c r="DD5043" s="67">
        <f>SQRT(3)*0.011</f>
        <v>1.9052558883257648E-2</v>
      </c>
      <c r="DE5043" s="67">
        <f>SQRT(3)*0.015</f>
        <v>2.5980762113533156E-2</v>
      </c>
      <c r="DF5043" s="67" t="s">
        <v>5565</v>
      </c>
      <c r="DG5043" s="67">
        <v>1366</v>
      </c>
      <c r="DH5043" s="67">
        <v>934</v>
      </c>
      <c r="DI5043" s="67">
        <f>SQRT(3)*44.8</f>
        <v>77.595876179085693</v>
      </c>
      <c r="DJ5043" s="67">
        <f>SQRT(3)*37.2</f>
        <v>64.43229004156224</v>
      </c>
      <c r="DK5043" s="67" t="s">
        <v>5708</v>
      </c>
      <c r="DL5043" s="67"/>
      <c r="DM5043" s="67"/>
      <c r="DN5043" s="67"/>
      <c r="DO5043" s="67"/>
      <c r="DP5043" s="67"/>
      <c r="DQ5043" s="166">
        <v>6</v>
      </c>
      <c r="DR5043" s="166">
        <v>6</v>
      </c>
      <c r="DS5043" s="163">
        <f>SQRT(3)*0.06</f>
        <v>0.10392304845413262</v>
      </c>
      <c r="DT5043" s="163">
        <f>SQRT(3)*0.06</f>
        <v>0.10392304845413262</v>
      </c>
      <c r="DU5043" s="67"/>
      <c r="DV5043" s="67"/>
      <c r="DW5043" s="67"/>
      <c r="DX5043" s="67"/>
      <c r="DY5043" s="67"/>
      <c r="DZ5043" s="67"/>
      <c r="EA5043" s="67"/>
      <c r="EB5043" s="67"/>
      <c r="EC5043" s="67"/>
      <c r="ED5043" s="67"/>
      <c r="EE5043" s="67"/>
      <c r="EF5043" s="67"/>
      <c r="EG5043" s="67"/>
      <c r="EH5043" s="67"/>
      <c r="EI5043" s="67"/>
      <c r="EJ5043" s="67"/>
      <c r="EK5043" s="94"/>
      <c r="EL5043" s="94"/>
      <c r="EM5043" s="67"/>
      <c r="EN5043" s="67"/>
      <c r="EO5043" s="67"/>
      <c r="EP5043" s="67"/>
      <c r="EQ5043" s="67"/>
      <c r="ER5043" s="67"/>
      <c r="ES5043" s="67"/>
      <c r="ET5043" s="67"/>
      <c r="EU5043" s="67"/>
      <c r="EV5043" s="67"/>
      <c r="EW5043" s="67"/>
      <c r="EX5043" s="67"/>
      <c r="EY5043" s="67"/>
      <c r="EZ5043" s="67"/>
      <c r="FA5043" s="67"/>
      <c r="FB5043" s="67"/>
      <c r="FC5043" s="67"/>
      <c r="FD5043" s="67"/>
      <c r="FE5043" s="67"/>
      <c r="FF5043" s="67"/>
      <c r="FG5043" s="67"/>
      <c r="FH5043" s="67"/>
      <c r="FI5043" s="67"/>
      <c r="FJ5043" s="67"/>
      <c r="FK5043" s="67"/>
      <c r="FL5043" s="67"/>
      <c r="FM5043" s="67"/>
      <c r="FN5043" s="67"/>
      <c r="FO5043" s="67"/>
      <c r="FP5043" s="67"/>
      <c r="FQ5043" s="67"/>
      <c r="FR5043" s="67"/>
      <c r="FS5043" s="67"/>
      <c r="FT5043" s="67"/>
      <c r="FU5043" s="67"/>
      <c r="FV5043" s="67"/>
      <c r="FW5043" s="67"/>
      <c r="FX5043" s="67"/>
      <c r="FY5043" s="67"/>
      <c r="FZ5043" s="67"/>
      <c r="GA5043" s="67"/>
      <c r="GB5043" s="67"/>
      <c r="GC5043" s="67"/>
      <c r="GD5043" s="67"/>
      <c r="GE5043" s="67"/>
      <c r="GF5043" s="67"/>
      <c r="GG5043" s="67"/>
      <c r="GH5043" s="67"/>
      <c r="GI5043" s="67"/>
      <c r="GJ5043" s="67"/>
      <c r="GK5043" s="67"/>
      <c r="GL5043" s="67"/>
      <c r="GM5043" s="67"/>
      <c r="GN5043" s="292"/>
      <c r="GO5043" s="292"/>
      <c r="GP5043" s="292" t="s">
        <v>7494</v>
      </c>
      <c r="GQ5043" s="67"/>
      <c r="GR5043" s="67"/>
      <c r="GS5043" s="67"/>
      <c r="GT5043" s="67"/>
      <c r="GU5043" s="67"/>
      <c r="GV5043" s="67"/>
      <c r="GW5043" s="67"/>
      <c r="GX5043" s="67"/>
      <c r="GY5043" s="67"/>
      <c r="GZ5043" s="67"/>
      <c r="HA5043" s="67"/>
      <c r="HB5043" s="67"/>
      <c r="HC5043" s="67"/>
      <c r="HD5043" s="67"/>
      <c r="HE5043" s="67"/>
      <c r="HF5043" s="67"/>
      <c r="HG5043" s="67"/>
      <c r="HH5043" s="67"/>
      <c r="HI5043" s="67"/>
      <c r="HJ5043" s="67"/>
      <c r="HK5043" s="67"/>
      <c r="HL5043" s="67"/>
      <c r="HM5043" s="67"/>
      <c r="HN5043" s="67"/>
      <c r="HO5043" s="67"/>
      <c r="HP5043" s="67"/>
      <c r="HQ5043" s="67"/>
      <c r="HR5043" s="67"/>
      <c r="HS5043" s="67">
        <v>98</v>
      </c>
      <c r="HT5043" s="67">
        <v>124</v>
      </c>
      <c r="HU5043" s="67">
        <f>SQRT(3)*3.8</f>
        <v>6.5817930687617334</v>
      </c>
      <c r="HV5043" s="67">
        <f>SQRT(3)*7.2</f>
        <v>12.470765814495916</v>
      </c>
      <c r="HW5043" s="67" t="s">
        <v>5704</v>
      </c>
      <c r="HX5043" s="67"/>
      <c r="HY5043" s="67"/>
      <c r="HZ5043" s="67"/>
      <c r="IA5043" s="67"/>
      <c r="IB5043" s="67"/>
      <c r="IC5043" s="67"/>
      <c r="ID5043" s="67"/>
      <c r="IE5043" s="67"/>
      <c r="IF5043" s="67"/>
      <c r="IG5043" s="67"/>
      <c r="IH5043" s="67"/>
      <c r="II5043" s="67"/>
      <c r="IJ5043" s="67"/>
      <c r="IK5043" s="67"/>
      <c r="IL5043" s="67"/>
      <c r="IM5043" s="67"/>
      <c r="IN5043" s="67"/>
      <c r="IO5043" s="67"/>
      <c r="IP5043" s="67"/>
      <c r="IQ5043" s="67"/>
      <c r="IR5043" s="67"/>
      <c r="IS5043" s="67"/>
      <c r="IT5043" s="67"/>
      <c r="IU5043" s="67"/>
      <c r="IV5043" s="67"/>
      <c r="IW5043" s="67"/>
      <c r="IX5043" s="67"/>
      <c r="IY5043" s="67"/>
      <c r="IZ5043" s="67"/>
      <c r="JA5043" s="67"/>
      <c r="JB5043" s="67"/>
      <c r="JC5043" s="67"/>
      <c r="JD5043" s="67"/>
      <c r="JE5043" s="67"/>
      <c r="JF5043" s="67"/>
      <c r="JG5043" s="67"/>
      <c r="JH5043" s="67"/>
      <c r="JI5043" s="67"/>
      <c r="JJ5043" s="67"/>
      <c r="JK5043" s="67"/>
      <c r="JL5043" s="67"/>
      <c r="JM5043" s="67"/>
      <c r="JN5043" s="67"/>
      <c r="JO5043" s="67"/>
      <c r="JP5043" s="67"/>
      <c r="JQ5043" s="67">
        <v>99999</v>
      </c>
      <c r="JR5043" s="67"/>
      <c r="JS5043" s="67"/>
      <c r="JT5043" s="67"/>
      <c r="JU5043" s="58" t="s">
        <v>5707</v>
      </c>
      <c r="JV5043" s="58"/>
      <c r="JW5043" s="58"/>
    </row>
    <row r="5044" spans="1:283" s="23" customFormat="1" x14ac:dyDescent="0.25">
      <c r="A5044" s="55">
        <v>5043</v>
      </c>
      <c r="B5044" s="12" t="s">
        <v>7067</v>
      </c>
      <c r="C5044" s="156">
        <v>257</v>
      </c>
      <c r="D5044" s="58" t="s">
        <v>4999</v>
      </c>
      <c r="E5044" s="160" t="str">
        <f>G5044</f>
        <v>Nguyen et al 1995_Templeton cropland</v>
      </c>
      <c r="F5044" s="160"/>
      <c r="G5044" s="60" t="s">
        <v>4728</v>
      </c>
      <c r="H5044" s="58">
        <v>1995</v>
      </c>
      <c r="I5044" s="58" t="s">
        <v>5699</v>
      </c>
      <c r="J5044" s="243" t="s">
        <v>427</v>
      </c>
      <c r="K5044" s="63" t="s">
        <v>5088</v>
      </c>
      <c r="L5044" s="58" t="s">
        <v>5335</v>
      </c>
      <c r="M5044" s="94">
        <v>-43.76</v>
      </c>
      <c r="N5044" s="94">
        <v>172.02</v>
      </c>
      <c r="O5044" s="94">
        <v>108</v>
      </c>
      <c r="P5044" s="58"/>
      <c r="Q5044" s="244"/>
      <c r="R5044" s="58"/>
      <c r="S5044" s="245" t="s">
        <v>5700</v>
      </c>
      <c r="T5044" s="58"/>
      <c r="U5044" s="58"/>
      <c r="V5044" s="244">
        <v>8</v>
      </c>
      <c r="W5044" s="174"/>
      <c r="X5044" s="174"/>
      <c r="Y5044" s="58"/>
      <c r="Z5044" s="244" t="s">
        <v>1347</v>
      </c>
      <c r="AA5044" s="245">
        <v>7.5</v>
      </c>
      <c r="AB5044" s="67"/>
      <c r="AC5044" s="67"/>
      <c r="AD5044" s="94"/>
      <c r="AE5044" s="94"/>
      <c r="AF5044" s="94"/>
      <c r="AG5044" s="245">
        <v>14</v>
      </c>
      <c r="AH5044" s="58" t="s">
        <v>6378</v>
      </c>
      <c r="AI5044" s="169"/>
      <c r="AJ5044" s="94"/>
      <c r="AK5044" s="94"/>
      <c r="AL5044" s="58"/>
      <c r="AM5044" s="58"/>
      <c r="AN5044" s="186" t="s">
        <v>176</v>
      </c>
      <c r="AO5044" s="185" t="s">
        <v>5150</v>
      </c>
      <c r="AP5044" s="58"/>
      <c r="AQ5044" s="58" t="s">
        <v>176</v>
      </c>
      <c r="AR5044" s="58" t="s">
        <v>5706</v>
      </c>
      <c r="AS5044" s="246" t="s">
        <v>4584</v>
      </c>
      <c r="AT5044" s="247">
        <v>1</v>
      </c>
      <c r="AU5044" s="181" t="s">
        <v>7494</v>
      </c>
      <c r="AV5044" s="185" t="s">
        <v>479</v>
      </c>
      <c r="AW5044" s="244">
        <v>1</v>
      </c>
      <c r="AX5044" s="185" t="s">
        <v>479</v>
      </c>
      <c r="AY5044" s="244" t="s">
        <v>176</v>
      </c>
      <c r="AZ5044" s="58"/>
      <c r="BA5044" s="58"/>
      <c r="BB5044" s="58"/>
      <c r="BC5044" s="58"/>
      <c r="BD5044" s="58"/>
      <c r="BE5044" s="236" t="s">
        <v>5153</v>
      </c>
      <c r="BF5044" s="191" t="s">
        <v>176</v>
      </c>
      <c r="BG5044" s="191" t="s">
        <v>176</v>
      </c>
      <c r="BH5044" s="236" t="s">
        <v>5155</v>
      </c>
      <c r="BI5044" s="191" t="s">
        <v>479</v>
      </c>
      <c r="BJ5044" s="58" t="str">
        <f>IF(BE5044=BH5044,"No","yes")</f>
        <v>yes</v>
      </c>
      <c r="BK5044" s="58" t="s">
        <v>6334</v>
      </c>
      <c r="BL5044" s="58"/>
      <c r="BM5044" s="237"/>
      <c r="BN5044" s="244">
        <v>3</v>
      </c>
      <c r="BO5044" s="244">
        <v>3</v>
      </c>
      <c r="BP5044" s="58"/>
      <c r="BQ5044" s="58"/>
      <c r="BR5044" s="58"/>
      <c r="BS5044" s="58"/>
      <c r="BT5044" s="58"/>
      <c r="BU5044" s="58"/>
      <c r="BV5044" s="58" t="s">
        <v>5702</v>
      </c>
      <c r="BW5044" s="67"/>
      <c r="BX5044" s="67"/>
      <c r="BY5044" s="67"/>
      <c r="BZ5044" s="67"/>
      <c r="CA5044" s="67"/>
      <c r="CB5044" s="70">
        <v>6000</v>
      </c>
      <c r="CC5044" s="70">
        <v>3500</v>
      </c>
      <c r="CD5044" s="70"/>
      <c r="CE5044" s="67"/>
      <c r="CF5044" s="67"/>
      <c r="CG5044" s="67" t="s">
        <v>545</v>
      </c>
      <c r="CH5044" s="245"/>
      <c r="CI5044" s="245"/>
      <c r="CJ5044" s="67"/>
      <c r="CK5044" s="67"/>
      <c r="CL5044" s="67"/>
      <c r="CM5044" s="242"/>
      <c r="CN5044" s="242"/>
      <c r="CO5044" s="242"/>
      <c r="CP5044" s="242"/>
      <c r="CQ5044" s="242"/>
      <c r="CR5044" s="242"/>
      <c r="CS5044" s="242"/>
      <c r="CT5044" s="242"/>
      <c r="CU5044" s="242"/>
      <c r="CV5044" s="242"/>
      <c r="CW5044" s="242"/>
      <c r="CX5044" s="242"/>
      <c r="CY5044" s="242"/>
      <c r="CZ5044" s="242"/>
      <c r="DA5044" s="67" t="s">
        <v>5443</v>
      </c>
      <c r="DB5044" s="67">
        <v>0.31</v>
      </c>
      <c r="DC5044" s="67">
        <v>0.27</v>
      </c>
      <c r="DD5044" s="67">
        <f>SQRT(3)*0.009</f>
        <v>1.5588457268119894E-2</v>
      </c>
      <c r="DE5044" s="67">
        <f>SQRT(3)*0.008</f>
        <v>1.3856406460551017E-2</v>
      </c>
      <c r="DF5044" s="67" t="s">
        <v>5565</v>
      </c>
      <c r="DG5044" s="67">
        <v>1271</v>
      </c>
      <c r="DH5044" s="67">
        <v>1020</v>
      </c>
      <c r="DI5044" s="67">
        <f>SQRT(3)*26.9</f>
        <v>46.592166723602794</v>
      </c>
      <c r="DJ5044" s="67">
        <f>SQRT(3)*31.6</f>
        <v>54.732805519176523</v>
      </c>
      <c r="DK5044" s="67" t="s">
        <v>5708</v>
      </c>
      <c r="DL5044" s="67"/>
      <c r="DM5044" s="67"/>
      <c r="DN5044" s="67"/>
      <c r="DO5044" s="67"/>
      <c r="DP5044" s="67"/>
      <c r="DQ5044" s="166"/>
      <c r="DR5044" s="166"/>
      <c r="DS5044" s="163"/>
      <c r="DT5044" s="163"/>
      <c r="DU5044" s="67"/>
      <c r="DV5044" s="67"/>
      <c r="DW5044" s="67"/>
      <c r="DX5044" s="67"/>
      <c r="DY5044" s="67"/>
      <c r="DZ5044" s="67"/>
      <c r="EA5044" s="67"/>
      <c r="EB5044" s="67"/>
      <c r="EC5044" s="67"/>
      <c r="ED5044" s="67"/>
      <c r="EE5044" s="67"/>
      <c r="EF5044" s="67"/>
      <c r="EG5044" s="67"/>
      <c r="EH5044" s="67"/>
      <c r="EI5044" s="67"/>
      <c r="EJ5044" s="67"/>
      <c r="EK5044" s="94"/>
      <c r="EL5044" s="94"/>
      <c r="EM5044" s="67"/>
      <c r="EN5044" s="67"/>
      <c r="EO5044" s="67"/>
      <c r="EP5044" s="67"/>
      <c r="EQ5044" s="67"/>
      <c r="ER5044" s="67"/>
      <c r="ES5044" s="67"/>
      <c r="ET5044" s="67"/>
      <c r="EU5044" s="67"/>
      <c r="EV5044" s="67"/>
      <c r="EW5044" s="67"/>
      <c r="EX5044" s="67"/>
      <c r="EY5044" s="67"/>
      <c r="EZ5044" s="67"/>
      <c r="FA5044" s="67"/>
      <c r="FB5044" s="67"/>
      <c r="FC5044" s="67"/>
      <c r="FD5044" s="67"/>
      <c r="FE5044" s="67"/>
      <c r="FF5044" s="67"/>
      <c r="FG5044" s="67"/>
      <c r="FH5044" s="67"/>
      <c r="FI5044" s="67"/>
      <c r="FJ5044" s="67"/>
      <c r="FK5044" s="67"/>
      <c r="FL5044" s="67"/>
      <c r="FM5044" s="67"/>
      <c r="FN5044" s="67"/>
      <c r="FO5044" s="67"/>
      <c r="FP5044" s="67"/>
      <c r="FQ5044" s="67"/>
      <c r="FR5044" s="67"/>
      <c r="FS5044" s="67"/>
      <c r="FT5044" s="67"/>
      <c r="FU5044" s="67"/>
      <c r="FV5044" s="67"/>
      <c r="FW5044" s="67"/>
      <c r="FX5044" s="67"/>
      <c r="FY5044" s="67"/>
      <c r="FZ5044" s="67"/>
      <c r="GA5044" s="67"/>
      <c r="GB5044" s="67"/>
      <c r="GC5044" s="67"/>
      <c r="GD5044" s="67"/>
      <c r="GE5044" s="67"/>
      <c r="GF5044" s="67"/>
      <c r="GG5044" s="67"/>
      <c r="GH5044" s="67"/>
      <c r="GI5044" s="67"/>
      <c r="GJ5044" s="67"/>
      <c r="GK5044" s="67"/>
      <c r="GL5044" s="67"/>
      <c r="GM5044" s="67"/>
      <c r="GN5044" s="292"/>
      <c r="GO5044" s="292"/>
      <c r="GP5044" s="292" t="s">
        <v>7494</v>
      </c>
      <c r="GQ5044" s="67"/>
      <c r="GR5044" s="67"/>
      <c r="GS5044" s="67"/>
      <c r="GT5044" s="67"/>
      <c r="GU5044" s="67"/>
      <c r="GV5044" s="67"/>
      <c r="GW5044" s="67"/>
      <c r="GX5044" s="67"/>
      <c r="GY5044" s="67"/>
      <c r="GZ5044" s="67"/>
      <c r="HA5044" s="67"/>
      <c r="HB5044" s="67"/>
      <c r="HC5044" s="67"/>
      <c r="HD5044" s="67"/>
      <c r="HE5044" s="67"/>
      <c r="HF5044" s="67"/>
      <c r="HG5044" s="67"/>
      <c r="HH5044" s="67"/>
      <c r="HI5044" s="67"/>
      <c r="HJ5044" s="67"/>
      <c r="HK5044" s="67"/>
      <c r="HL5044" s="67"/>
      <c r="HM5044" s="67"/>
      <c r="HN5044" s="67"/>
      <c r="HO5044" s="67"/>
      <c r="HP5044" s="67"/>
      <c r="HQ5044" s="67"/>
      <c r="HR5044" s="67"/>
      <c r="HS5044" s="67">
        <v>536</v>
      </c>
      <c r="HT5044" s="67">
        <v>546</v>
      </c>
      <c r="HU5044" s="67">
        <f>SQRT(3)*40.3</f>
        <v>69.801647545025745</v>
      </c>
      <c r="HV5044" s="67">
        <f>SQRT(3)*47.9</f>
        <v>82.965233682549211</v>
      </c>
      <c r="HW5044" s="67" t="s">
        <v>5705</v>
      </c>
      <c r="HX5044" s="67"/>
      <c r="HY5044" s="67"/>
      <c r="HZ5044" s="67"/>
      <c r="IA5044" s="67"/>
      <c r="IB5044" s="67"/>
      <c r="IC5044" s="67"/>
      <c r="ID5044" s="67"/>
      <c r="IE5044" s="67"/>
      <c r="IF5044" s="67"/>
      <c r="IG5044" s="67"/>
      <c r="IH5044" s="67"/>
      <c r="II5044" s="67"/>
      <c r="IJ5044" s="67"/>
      <c r="IK5044" s="67"/>
      <c r="IL5044" s="67"/>
      <c r="IM5044" s="67"/>
      <c r="IN5044" s="67"/>
      <c r="IO5044" s="67"/>
      <c r="IP5044" s="67"/>
      <c r="IQ5044" s="67"/>
      <c r="IR5044" s="67"/>
      <c r="IS5044" s="67"/>
      <c r="IT5044" s="67"/>
      <c r="IU5044" s="67"/>
      <c r="IV5044" s="67"/>
      <c r="IW5044" s="67"/>
      <c r="IX5044" s="67"/>
      <c r="IY5044" s="67"/>
      <c r="IZ5044" s="67"/>
      <c r="JA5044" s="67"/>
      <c r="JB5044" s="67"/>
      <c r="JC5044" s="67"/>
      <c r="JD5044" s="67"/>
      <c r="JE5044" s="67"/>
      <c r="JF5044" s="67"/>
      <c r="JG5044" s="67"/>
      <c r="JH5044" s="67"/>
      <c r="JI5044" s="67"/>
      <c r="JJ5044" s="67"/>
      <c r="JK5044" s="67"/>
      <c r="JL5044" s="67"/>
      <c r="JM5044" s="67"/>
      <c r="JN5044" s="67"/>
      <c r="JO5044" s="67"/>
      <c r="JP5044" s="67"/>
      <c r="JQ5044" s="67">
        <v>99999</v>
      </c>
      <c r="JR5044" s="67"/>
      <c r="JS5044" s="67"/>
      <c r="JT5044" s="67"/>
      <c r="JU5044" s="58" t="s">
        <v>5707</v>
      </c>
      <c r="JV5044" s="58"/>
      <c r="JW5044" s="58"/>
    </row>
    <row r="5045" spans="1:283" s="23" customFormat="1" x14ac:dyDescent="0.25">
      <c r="A5045" s="55">
        <v>5044</v>
      </c>
      <c r="B5045" s="12" t="s">
        <v>7067</v>
      </c>
      <c r="C5045" s="156">
        <v>257</v>
      </c>
      <c r="D5045" s="58" t="s">
        <v>5000</v>
      </c>
      <c r="E5045" s="160" t="str">
        <f>G5045</f>
        <v>Nguyen et al 1995_Templeton pasture</v>
      </c>
      <c r="F5045" s="160"/>
      <c r="G5045" s="60" t="s">
        <v>4727</v>
      </c>
      <c r="H5045" s="58">
        <v>1995</v>
      </c>
      <c r="I5045" s="58" t="s">
        <v>5699</v>
      </c>
      <c r="J5045" s="243" t="s">
        <v>427</v>
      </c>
      <c r="K5045" s="63" t="s">
        <v>5088</v>
      </c>
      <c r="L5045" s="58" t="s">
        <v>5335</v>
      </c>
      <c r="M5045" s="94">
        <v>-43.76</v>
      </c>
      <c r="N5045" s="94">
        <v>172.02</v>
      </c>
      <c r="O5045" s="94">
        <v>108</v>
      </c>
      <c r="P5045" s="58"/>
      <c r="Q5045" s="244"/>
      <c r="R5045" s="58"/>
      <c r="S5045" s="245" t="s">
        <v>5700</v>
      </c>
      <c r="T5045" s="58"/>
      <c r="U5045" s="58"/>
      <c r="V5045" s="244">
        <v>8</v>
      </c>
      <c r="W5045" s="174"/>
      <c r="X5045" s="174"/>
      <c r="Y5045" s="58"/>
      <c r="Z5045" s="244" t="s">
        <v>1347</v>
      </c>
      <c r="AA5045" s="245">
        <v>7.5</v>
      </c>
      <c r="AB5045" s="67"/>
      <c r="AC5045" s="67"/>
      <c r="AD5045" s="94"/>
      <c r="AE5045" s="94"/>
      <c r="AF5045" s="94"/>
      <c r="AG5045" s="245">
        <v>14</v>
      </c>
      <c r="AH5045" s="58" t="s">
        <v>6378</v>
      </c>
      <c r="AI5045" s="169"/>
      <c r="AJ5045" s="94"/>
      <c r="AK5045" s="94"/>
      <c r="AL5045" s="58"/>
      <c r="AM5045" s="58"/>
      <c r="AN5045" s="186" t="s">
        <v>176</v>
      </c>
      <c r="AO5045" s="185" t="s">
        <v>5150</v>
      </c>
      <c r="AP5045" s="58"/>
      <c r="AQ5045" s="58" t="s">
        <v>176</v>
      </c>
      <c r="AR5045" s="58" t="s">
        <v>5706</v>
      </c>
      <c r="AS5045" s="246" t="s">
        <v>5529</v>
      </c>
      <c r="AT5045" s="247">
        <v>1</v>
      </c>
      <c r="AU5045" s="181" t="s">
        <v>7494</v>
      </c>
      <c r="AV5045" s="185" t="s">
        <v>479</v>
      </c>
      <c r="AW5045" s="244">
        <v>1</v>
      </c>
      <c r="AX5045" s="185" t="s">
        <v>479</v>
      </c>
      <c r="AY5045" s="244" t="s">
        <v>176</v>
      </c>
      <c r="AZ5045" s="58"/>
      <c r="BA5045" s="58"/>
      <c r="BB5045" s="58"/>
      <c r="BC5045" s="58"/>
      <c r="BD5045" s="58"/>
      <c r="BE5045" s="236" t="s">
        <v>5153</v>
      </c>
      <c r="BF5045" s="191" t="s">
        <v>176</v>
      </c>
      <c r="BG5045" s="191" t="s">
        <v>176</v>
      </c>
      <c r="BH5045" s="236" t="s">
        <v>5155</v>
      </c>
      <c r="BI5045" s="191" t="s">
        <v>479</v>
      </c>
      <c r="BJ5045" s="58" t="str">
        <f>IF(BE5045=BH5045,"No","yes")</f>
        <v>yes</v>
      </c>
      <c r="BK5045" s="58" t="s">
        <v>6334</v>
      </c>
      <c r="BL5045" s="58"/>
      <c r="BM5045" s="237"/>
      <c r="BN5045" s="244">
        <v>3</v>
      </c>
      <c r="BO5045" s="244">
        <v>3</v>
      </c>
      <c r="BP5045" s="58"/>
      <c r="BQ5045" s="58"/>
      <c r="BR5045" s="58"/>
      <c r="BS5045" s="58"/>
      <c r="BT5045" s="58"/>
      <c r="BU5045" s="58"/>
      <c r="BV5045" s="58" t="s">
        <v>5702</v>
      </c>
      <c r="BW5045" s="67"/>
      <c r="BX5045" s="67"/>
      <c r="BY5045" s="67"/>
      <c r="BZ5045" s="67"/>
      <c r="CA5045" s="67"/>
      <c r="CB5045" s="70">
        <v>4000</v>
      </c>
      <c r="CC5045" s="70">
        <v>3400</v>
      </c>
      <c r="CD5045" s="70"/>
      <c r="CE5045" s="67"/>
      <c r="CF5045" s="67"/>
      <c r="CG5045" s="67" t="s">
        <v>545</v>
      </c>
      <c r="CH5045" s="245"/>
      <c r="CI5045" s="245"/>
      <c r="CJ5045" s="67"/>
      <c r="CK5045" s="67"/>
      <c r="CL5045" s="67"/>
      <c r="CM5045" s="242"/>
      <c r="CN5045" s="242"/>
      <c r="CO5045" s="242"/>
      <c r="CP5045" s="242"/>
      <c r="CQ5045" s="242"/>
      <c r="CR5045" s="242"/>
      <c r="CS5045" s="242"/>
      <c r="CT5045" s="242"/>
      <c r="CU5045" s="242"/>
      <c r="CV5045" s="242"/>
      <c r="CW5045" s="242"/>
      <c r="CX5045" s="242"/>
      <c r="CY5045" s="242"/>
      <c r="CZ5045" s="242"/>
      <c r="DA5045" s="67" t="s">
        <v>5443</v>
      </c>
      <c r="DB5045" s="67">
        <v>0.32</v>
      </c>
      <c r="DC5045" s="67">
        <v>0.28999999999999998</v>
      </c>
      <c r="DD5045" s="67">
        <f>SQRT(3)*0.012</f>
        <v>2.0784609690826527E-2</v>
      </c>
      <c r="DE5045" s="67">
        <f>SQRT(3)*0.013</f>
        <v>2.2516660498395402E-2</v>
      </c>
      <c r="DF5045" s="67" t="s">
        <v>5565</v>
      </c>
      <c r="DG5045" s="67">
        <v>1241</v>
      </c>
      <c r="DH5045" s="67">
        <v>995</v>
      </c>
      <c r="DI5045" s="67">
        <f>SQRT(3)*19.1</f>
        <v>33.082170424565554</v>
      </c>
      <c r="DJ5045" s="67">
        <f>SQRT(3)*24.7</f>
        <v>42.781654946951264</v>
      </c>
      <c r="DK5045" s="67" t="s">
        <v>5708</v>
      </c>
      <c r="DL5045" s="67"/>
      <c r="DM5045" s="67"/>
      <c r="DN5045" s="67"/>
      <c r="DO5045" s="67"/>
      <c r="DP5045" s="67"/>
      <c r="DQ5045" s="166"/>
      <c r="DR5045" s="166"/>
      <c r="DS5045" s="163"/>
      <c r="DT5045" s="163"/>
      <c r="DU5045" s="67"/>
      <c r="DV5045" s="67"/>
      <c r="DW5045" s="67"/>
      <c r="DX5045" s="67"/>
      <c r="DY5045" s="67"/>
      <c r="DZ5045" s="67"/>
      <c r="EA5045" s="67"/>
      <c r="EB5045" s="67"/>
      <c r="EC5045" s="67"/>
      <c r="ED5045" s="67"/>
      <c r="EE5045" s="67"/>
      <c r="EF5045" s="67"/>
      <c r="EG5045" s="67"/>
      <c r="EH5045" s="67"/>
      <c r="EI5045" s="67"/>
      <c r="EJ5045" s="67"/>
      <c r="EK5045" s="94"/>
      <c r="EL5045" s="94"/>
      <c r="EM5045" s="67"/>
      <c r="EN5045" s="67"/>
      <c r="EO5045" s="67"/>
      <c r="EP5045" s="67"/>
      <c r="EQ5045" s="67"/>
      <c r="ER5045" s="67"/>
      <c r="ES5045" s="67"/>
      <c r="ET5045" s="67"/>
      <c r="EU5045" s="67"/>
      <c r="EV5045" s="67"/>
      <c r="EW5045" s="67"/>
      <c r="EX5045" s="67"/>
      <c r="EY5045" s="67"/>
      <c r="EZ5045" s="67"/>
      <c r="FA5045" s="67"/>
      <c r="FB5045" s="67"/>
      <c r="FC5045" s="67"/>
      <c r="FD5045" s="67"/>
      <c r="FE5045" s="67"/>
      <c r="FF5045" s="67"/>
      <c r="FG5045" s="67"/>
      <c r="FH5045" s="67"/>
      <c r="FI5045" s="67"/>
      <c r="FJ5045" s="67"/>
      <c r="FK5045" s="67"/>
      <c r="FL5045" s="67"/>
      <c r="FM5045" s="67"/>
      <c r="FN5045" s="67"/>
      <c r="FO5045" s="67"/>
      <c r="FP5045" s="67"/>
      <c r="FQ5045" s="67"/>
      <c r="FR5045" s="67"/>
      <c r="FS5045" s="67"/>
      <c r="FT5045" s="67"/>
      <c r="FU5045" s="67"/>
      <c r="FV5045" s="67"/>
      <c r="FW5045" s="67"/>
      <c r="FX5045" s="67"/>
      <c r="FY5045" s="67"/>
      <c r="FZ5045" s="67"/>
      <c r="GA5045" s="67"/>
      <c r="GB5045" s="67"/>
      <c r="GC5045" s="67"/>
      <c r="GD5045" s="67"/>
      <c r="GE5045" s="67"/>
      <c r="GF5045" s="67"/>
      <c r="GG5045" s="67"/>
      <c r="GH5045" s="67"/>
      <c r="GI5045" s="67"/>
      <c r="GJ5045" s="67"/>
      <c r="GK5045" s="67"/>
      <c r="GL5045" s="67"/>
      <c r="GM5045" s="67"/>
      <c r="GN5045" s="292"/>
      <c r="GO5045" s="292"/>
      <c r="GP5045" s="292" t="s">
        <v>7494</v>
      </c>
      <c r="GQ5045" s="67"/>
      <c r="GR5045" s="67"/>
      <c r="GS5045" s="67"/>
      <c r="GT5045" s="67"/>
      <c r="GU5045" s="67"/>
      <c r="GV5045" s="67"/>
      <c r="GW5045" s="67"/>
      <c r="GX5045" s="67"/>
      <c r="GY5045" s="67"/>
      <c r="GZ5045" s="67"/>
      <c r="HA5045" s="67"/>
      <c r="HB5045" s="67"/>
      <c r="HC5045" s="67"/>
      <c r="HD5045" s="67"/>
      <c r="HE5045" s="67"/>
      <c r="HF5045" s="67"/>
      <c r="HG5045" s="67"/>
      <c r="HH5045" s="67"/>
      <c r="HI5045" s="67"/>
      <c r="HJ5045" s="67"/>
      <c r="HK5045" s="67"/>
      <c r="HL5045" s="67"/>
      <c r="HM5045" s="67"/>
      <c r="HN5045" s="67"/>
      <c r="HO5045" s="67"/>
      <c r="HP5045" s="67"/>
      <c r="HQ5045" s="67"/>
      <c r="HR5045" s="67"/>
      <c r="HS5045" s="67">
        <v>554</v>
      </c>
      <c r="HT5045" s="67">
        <v>640</v>
      </c>
      <c r="HU5045" s="67">
        <f>SQRT(3)*50.1</f>
        <v>86.775745459200749</v>
      </c>
      <c r="HV5045" s="67">
        <f>SQRT(3)*42.4</f>
        <v>73.438954240920395</v>
      </c>
      <c r="HW5045" s="67" t="s">
        <v>5705</v>
      </c>
      <c r="HX5045" s="67"/>
      <c r="HY5045" s="67"/>
      <c r="HZ5045" s="67"/>
      <c r="IA5045" s="67"/>
      <c r="IB5045" s="67"/>
      <c r="IC5045" s="67"/>
      <c r="ID5045" s="67"/>
      <c r="IE5045" s="67"/>
      <c r="IF5045" s="67"/>
      <c r="IG5045" s="67"/>
      <c r="IH5045" s="67"/>
      <c r="II5045" s="67"/>
      <c r="IJ5045" s="67"/>
      <c r="IK5045" s="67"/>
      <c r="IL5045" s="67"/>
      <c r="IM5045" s="67"/>
      <c r="IN5045" s="67"/>
      <c r="IO5045" s="67"/>
      <c r="IP5045" s="67"/>
      <c r="IQ5045" s="67"/>
      <c r="IR5045" s="67"/>
      <c r="IS5045" s="67"/>
      <c r="IT5045" s="67"/>
      <c r="IU5045" s="67"/>
      <c r="IV5045" s="67"/>
      <c r="IW5045" s="67"/>
      <c r="IX5045" s="67"/>
      <c r="IY5045" s="67"/>
      <c r="IZ5045" s="67"/>
      <c r="JA5045" s="67"/>
      <c r="JB5045" s="67"/>
      <c r="JC5045" s="67"/>
      <c r="JD5045" s="67"/>
      <c r="JE5045" s="67"/>
      <c r="JF5045" s="67"/>
      <c r="JG5045" s="67"/>
      <c r="JH5045" s="67"/>
      <c r="JI5045" s="67"/>
      <c r="JJ5045" s="67"/>
      <c r="JK5045" s="67"/>
      <c r="JL5045" s="67"/>
      <c r="JM5045" s="67"/>
      <c r="JN5045" s="67"/>
      <c r="JO5045" s="67"/>
      <c r="JP5045" s="67"/>
      <c r="JQ5045" s="67">
        <v>99999</v>
      </c>
      <c r="JR5045" s="67"/>
      <c r="JS5045" s="67"/>
      <c r="JT5045" s="67"/>
      <c r="JU5045" s="58" t="s">
        <v>5707</v>
      </c>
      <c r="JV5045" s="58"/>
      <c r="JW5045" s="58"/>
    </row>
    <row r="5046" spans="1:283" s="23" customFormat="1" x14ac:dyDescent="0.25">
      <c r="A5046" s="55">
        <v>5045</v>
      </c>
      <c r="B5046" s="12" t="s">
        <v>7067</v>
      </c>
      <c r="C5046" s="156">
        <v>258</v>
      </c>
      <c r="D5046" s="58" t="s">
        <v>5003</v>
      </c>
      <c r="E5046" s="160" t="str">
        <f>G5046</f>
        <v>Oberholzer et al 2000</v>
      </c>
      <c r="F5046" s="160"/>
      <c r="G5046" s="60" t="s">
        <v>4724</v>
      </c>
      <c r="H5046" s="58">
        <v>2000</v>
      </c>
      <c r="I5046" s="58" t="s">
        <v>2847</v>
      </c>
      <c r="J5046" s="243" t="s">
        <v>5319</v>
      </c>
      <c r="K5046" s="63" t="s">
        <v>5970</v>
      </c>
      <c r="L5046" s="58" t="s">
        <v>5333</v>
      </c>
      <c r="M5046" s="94">
        <v>47.5</v>
      </c>
      <c r="N5046" s="94">
        <v>7.55</v>
      </c>
      <c r="O5046" s="94"/>
      <c r="P5046" s="58"/>
      <c r="Q5046" s="244"/>
      <c r="R5046" s="58"/>
      <c r="S5046" s="245"/>
      <c r="T5046" s="58"/>
      <c r="U5046" s="58" t="s">
        <v>1675</v>
      </c>
      <c r="V5046" s="244" t="s">
        <v>1675</v>
      </c>
      <c r="W5046" s="174"/>
      <c r="X5046" s="174"/>
      <c r="Y5046" s="58" t="s">
        <v>5971</v>
      </c>
      <c r="Z5046" s="244" t="s">
        <v>1346</v>
      </c>
      <c r="AA5046" s="245">
        <v>20</v>
      </c>
      <c r="AB5046" s="67"/>
      <c r="AC5046" s="67"/>
      <c r="AD5046" s="94"/>
      <c r="AE5046" s="94"/>
      <c r="AF5046" s="94"/>
      <c r="AG5046" s="245">
        <v>27</v>
      </c>
      <c r="AH5046" s="58"/>
      <c r="AI5046" s="169"/>
      <c r="AJ5046" s="94"/>
      <c r="AK5046" s="94"/>
      <c r="AL5046" s="58"/>
      <c r="AM5046" s="58"/>
      <c r="AN5046" s="186"/>
      <c r="AO5046" s="185" t="s">
        <v>7494</v>
      </c>
      <c r="AP5046" s="58"/>
      <c r="AQ5046" s="58"/>
      <c r="AR5046" s="58"/>
      <c r="AS5046" s="246" t="s">
        <v>5133</v>
      </c>
      <c r="AT5046" s="247">
        <v>1</v>
      </c>
      <c r="AU5046" s="181" t="s">
        <v>7494</v>
      </c>
      <c r="AV5046" s="185" t="s">
        <v>176</v>
      </c>
      <c r="AW5046" s="244">
        <v>1</v>
      </c>
      <c r="AX5046" s="185" t="s">
        <v>176</v>
      </c>
      <c r="AY5046" s="244"/>
      <c r="AZ5046" s="58"/>
      <c r="BA5046" s="58"/>
      <c r="BB5046" s="58"/>
      <c r="BC5046" s="58"/>
      <c r="BD5046" s="58"/>
      <c r="BE5046" s="236" t="s">
        <v>5155</v>
      </c>
      <c r="BF5046" s="191" t="s">
        <v>176</v>
      </c>
      <c r="BG5046" s="191" t="s">
        <v>479</v>
      </c>
      <c r="BH5046" s="236" t="s">
        <v>5155</v>
      </c>
      <c r="BI5046" s="191" t="s">
        <v>479</v>
      </c>
      <c r="BJ5046" s="58" t="str">
        <f>IF(BE5046=BH5046,"No","yes")</f>
        <v>No</v>
      </c>
      <c r="BK5046" s="58" t="s">
        <v>6334</v>
      </c>
      <c r="BL5046" s="58"/>
      <c r="BM5046" s="237"/>
      <c r="BN5046" s="244">
        <v>24</v>
      </c>
      <c r="BO5046" s="244">
        <v>24</v>
      </c>
      <c r="BP5046" s="58"/>
      <c r="BQ5046" s="58"/>
      <c r="BR5046" s="58"/>
      <c r="BS5046" s="58"/>
      <c r="BT5046" s="58"/>
      <c r="BU5046" s="58"/>
      <c r="BV5046" s="58" t="s">
        <v>5821</v>
      </c>
      <c r="BW5046" s="67"/>
      <c r="BX5046" s="67"/>
      <c r="BY5046" s="67"/>
      <c r="BZ5046" s="67"/>
      <c r="CA5046" s="67"/>
      <c r="CB5046" s="70"/>
      <c r="CC5046" s="70"/>
      <c r="CD5046" s="70"/>
      <c r="CE5046" s="67"/>
      <c r="CF5046" s="67"/>
      <c r="CG5046" s="67"/>
      <c r="CH5046" s="245"/>
      <c r="CI5046" s="245"/>
      <c r="CJ5046" s="67"/>
      <c r="CK5046" s="67"/>
      <c r="CL5046" s="67"/>
      <c r="CM5046" s="242">
        <v>1.41</v>
      </c>
      <c r="CN5046" s="242">
        <v>1.3</v>
      </c>
      <c r="CO5046" s="242"/>
      <c r="CP5046" s="242"/>
      <c r="CQ5046" s="242" t="s">
        <v>164</v>
      </c>
      <c r="CR5046" s="242"/>
      <c r="CS5046" s="242"/>
      <c r="CT5046" s="242"/>
      <c r="CU5046" s="242"/>
      <c r="CV5046" s="242"/>
      <c r="CW5046" s="67"/>
      <c r="CX5046" s="67"/>
      <c r="CY5046" s="242"/>
      <c r="CZ5046" s="242"/>
      <c r="DA5046" s="67"/>
      <c r="DB5046" s="67"/>
      <c r="DC5046" s="67"/>
      <c r="DD5046" s="67"/>
      <c r="DE5046" s="67"/>
      <c r="DF5046" s="67"/>
      <c r="DG5046" s="67"/>
      <c r="DH5046" s="67"/>
      <c r="DI5046" s="67"/>
      <c r="DJ5046" s="67"/>
      <c r="DK5046" s="67"/>
      <c r="DL5046" s="67"/>
      <c r="DM5046" s="67"/>
      <c r="DN5046" s="67"/>
      <c r="DO5046" s="67"/>
      <c r="DP5046" s="67"/>
      <c r="DQ5046" s="166">
        <v>5.1100000000000003</v>
      </c>
      <c r="DR5046" s="166">
        <v>5.27</v>
      </c>
      <c r="DS5046" s="163"/>
      <c r="DT5046" s="163"/>
      <c r="DU5046" s="67"/>
      <c r="DV5046" s="67"/>
      <c r="DW5046" s="67"/>
      <c r="DX5046" s="67"/>
      <c r="DY5046" s="67"/>
      <c r="DZ5046" s="67"/>
      <c r="EA5046" s="67"/>
      <c r="EB5046" s="67"/>
      <c r="EC5046" s="67"/>
      <c r="ED5046" s="67"/>
      <c r="EE5046" s="67"/>
      <c r="EF5046" s="67"/>
      <c r="EG5046" s="67"/>
      <c r="EH5046" s="67"/>
      <c r="EI5046" s="67"/>
      <c r="EJ5046" s="67"/>
      <c r="EK5046" s="94"/>
      <c r="EL5046" s="94"/>
      <c r="EM5046" s="67"/>
      <c r="EN5046" s="67"/>
      <c r="EO5046" s="67"/>
      <c r="EP5046" s="67"/>
      <c r="EQ5046" s="67"/>
      <c r="ER5046" s="67"/>
      <c r="ES5046" s="67"/>
      <c r="ET5046" s="67"/>
      <c r="EU5046" s="67"/>
      <c r="EV5046" s="67"/>
      <c r="EW5046" s="67"/>
      <c r="EX5046" s="67"/>
      <c r="EY5046" s="67"/>
      <c r="EZ5046" s="67"/>
      <c r="FA5046" s="67"/>
      <c r="FB5046" s="67"/>
      <c r="FC5046" s="67"/>
      <c r="FD5046" s="67"/>
      <c r="FE5046" s="67"/>
      <c r="FF5046" s="67"/>
      <c r="FG5046" s="67"/>
      <c r="FH5046" s="67"/>
      <c r="FI5046" s="67"/>
      <c r="FJ5046" s="67"/>
      <c r="FK5046" s="67"/>
      <c r="FL5046" s="67"/>
      <c r="FM5046" s="67"/>
      <c r="FN5046" s="67"/>
      <c r="FO5046" s="67"/>
      <c r="FP5046" s="67"/>
      <c r="FQ5046" s="67"/>
      <c r="FR5046" s="67"/>
      <c r="FS5046" s="67"/>
      <c r="FT5046" s="67"/>
      <c r="FU5046" s="67"/>
      <c r="FV5046" s="67"/>
      <c r="FW5046" s="67"/>
      <c r="FX5046" s="67"/>
      <c r="FY5046" s="67"/>
      <c r="FZ5046" s="67"/>
      <c r="GA5046" s="67"/>
      <c r="GB5046" s="67"/>
      <c r="GC5046" s="67"/>
      <c r="GD5046" s="67"/>
      <c r="GE5046" s="67"/>
      <c r="GF5046" s="67"/>
      <c r="GG5046" s="67"/>
      <c r="GH5046" s="67"/>
      <c r="GI5046" s="67"/>
      <c r="GJ5046" s="67"/>
      <c r="GK5046" s="67"/>
      <c r="GL5046" s="67"/>
      <c r="GM5046" s="67"/>
      <c r="GN5046" s="292"/>
      <c r="GO5046" s="292"/>
      <c r="GP5046" s="292" t="s">
        <v>7494</v>
      </c>
      <c r="GQ5046" s="67"/>
      <c r="GR5046" s="67"/>
      <c r="GS5046" s="67"/>
      <c r="GT5046" s="67"/>
      <c r="GU5046" s="67"/>
      <c r="GV5046" s="67"/>
      <c r="GW5046" s="67"/>
      <c r="GX5046" s="67"/>
      <c r="GY5046" s="67"/>
      <c r="GZ5046" s="67"/>
      <c r="HA5046" s="67"/>
      <c r="HB5046" s="67"/>
      <c r="HC5046" s="67"/>
      <c r="HD5046" s="67"/>
      <c r="HE5046" s="67"/>
      <c r="HF5046" s="67"/>
      <c r="HG5046" s="67"/>
      <c r="HH5046" s="67"/>
      <c r="HI5046" s="67"/>
      <c r="HJ5046" s="67"/>
      <c r="HK5046" s="67"/>
      <c r="HL5046" s="67"/>
      <c r="HM5046" s="67"/>
      <c r="HN5046" s="67"/>
      <c r="HO5046" s="67"/>
      <c r="HP5046" s="67"/>
      <c r="HQ5046" s="67"/>
      <c r="HR5046" s="67"/>
      <c r="HS5046" s="67"/>
      <c r="HT5046" s="67"/>
      <c r="HU5046" s="67"/>
      <c r="HV5046" s="67"/>
      <c r="HW5046" s="67"/>
      <c r="HX5046" s="67">
        <v>75.8</v>
      </c>
      <c r="HY5046" s="67">
        <v>80.400000000000006</v>
      </c>
      <c r="HZ5046" s="67"/>
      <c r="IA5046" s="67"/>
      <c r="IB5046" s="67" t="s">
        <v>164</v>
      </c>
      <c r="IC5046" s="67"/>
      <c r="ID5046" s="67"/>
      <c r="IE5046" s="67"/>
      <c r="IF5046" s="67"/>
      <c r="IG5046" s="67"/>
      <c r="IH5046" s="67"/>
      <c r="II5046" s="67"/>
      <c r="IJ5046" s="67"/>
      <c r="IK5046" s="67"/>
      <c r="IL5046" s="67"/>
      <c r="IM5046" s="67">
        <v>245.16</v>
      </c>
      <c r="IN5046" s="67">
        <v>209</v>
      </c>
      <c r="IO5046" s="67">
        <f>260-IM5046</f>
        <v>14.840000000000003</v>
      </c>
      <c r="IP5046" s="67">
        <f>233-IN5046</f>
        <v>24</v>
      </c>
      <c r="IQ5046" s="67" t="s">
        <v>2879</v>
      </c>
      <c r="IR5046" s="67"/>
      <c r="IS5046" s="67"/>
      <c r="IT5046" s="67"/>
      <c r="IU5046" s="67"/>
      <c r="IV5046" s="67"/>
      <c r="IW5046" s="67"/>
      <c r="IX5046" s="67"/>
      <c r="IY5046" s="67"/>
      <c r="IZ5046" s="67"/>
      <c r="JA5046" s="67"/>
      <c r="JB5046" s="67"/>
      <c r="JC5046" s="67"/>
      <c r="JD5046" s="67"/>
      <c r="JE5046" s="67"/>
      <c r="JF5046" s="67"/>
      <c r="JG5046" s="67"/>
      <c r="JH5046" s="67"/>
      <c r="JI5046" s="67"/>
      <c r="JJ5046" s="67"/>
      <c r="JK5046" s="67"/>
      <c r="JL5046" s="67"/>
      <c r="JM5046" s="67"/>
      <c r="JN5046" s="67"/>
      <c r="JO5046" s="67"/>
      <c r="JP5046" s="67"/>
      <c r="JQ5046" s="67"/>
      <c r="JR5046" s="67"/>
      <c r="JS5046" s="67"/>
      <c r="JT5046" s="67"/>
      <c r="JU5046" s="58"/>
      <c r="JV5046" s="58"/>
      <c r="JW5046" s="58"/>
    </row>
    <row r="5047" spans="1:283" s="23" customFormat="1" x14ac:dyDescent="0.25">
      <c r="A5047" s="55">
        <v>5046</v>
      </c>
      <c r="B5047" s="12" t="s">
        <v>7067</v>
      </c>
      <c r="C5047" s="156">
        <v>258</v>
      </c>
      <c r="D5047" s="58" t="s">
        <v>5003</v>
      </c>
      <c r="E5047" s="160" t="str">
        <f>G5047</f>
        <v>Oberholzer et al 2000</v>
      </c>
      <c r="F5047" s="160"/>
      <c r="G5047" s="60" t="s">
        <v>4724</v>
      </c>
      <c r="H5047" s="58">
        <v>2000</v>
      </c>
      <c r="I5047" s="58" t="s">
        <v>2847</v>
      </c>
      <c r="J5047" s="243" t="s">
        <v>5319</v>
      </c>
      <c r="K5047" s="63" t="s">
        <v>5970</v>
      </c>
      <c r="L5047" s="58" t="s">
        <v>5333</v>
      </c>
      <c r="M5047" s="94">
        <v>47.5</v>
      </c>
      <c r="N5047" s="94">
        <v>7.55</v>
      </c>
      <c r="O5047" s="94"/>
      <c r="P5047" s="58"/>
      <c r="Q5047" s="244"/>
      <c r="R5047" s="58"/>
      <c r="S5047" s="245"/>
      <c r="T5047" s="58"/>
      <c r="U5047" s="58" t="s">
        <v>1675</v>
      </c>
      <c r="V5047" s="244" t="s">
        <v>1675</v>
      </c>
      <c r="W5047" s="174"/>
      <c r="X5047" s="174"/>
      <c r="Y5047" s="58" t="s">
        <v>5971</v>
      </c>
      <c r="Z5047" s="244" t="s">
        <v>1346</v>
      </c>
      <c r="AA5047" s="245">
        <v>20</v>
      </c>
      <c r="AB5047" s="67"/>
      <c r="AC5047" s="67"/>
      <c r="AD5047" s="94"/>
      <c r="AE5047" s="94"/>
      <c r="AF5047" s="94"/>
      <c r="AG5047" s="245">
        <v>27</v>
      </c>
      <c r="AH5047" s="58"/>
      <c r="AI5047" s="169"/>
      <c r="AJ5047" s="94"/>
      <c r="AK5047" s="94"/>
      <c r="AL5047" s="58"/>
      <c r="AM5047" s="58"/>
      <c r="AN5047" s="186"/>
      <c r="AO5047" s="185" t="s">
        <v>7494</v>
      </c>
      <c r="AP5047" s="58"/>
      <c r="AQ5047" s="58"/>
      <c r="AR5047" s="58"/>
      <c r="AS5047" s="246" t="s">
        <v>5133</v>
      </c>
      <c r="AT5047" s="247">
        <v>1</v>
      </c>
      <c r="AU5047" s="181" t="s">
        <v>7494</v>
      </c>
      <c r="AV5047" s="185" t="s">
        <v>176</v>
      </c>
      <c r="AW5047" s="244">
        <v>1</v>
      </c>
      <c r="AX5047" s="185" t="s">
        <v>176</v>
      </c>
      <c r="AY5047" s="244"/>
      <c r="AZ5047" s="58"/>
      <c r="BA5047" s="58"/>
      <c r="BB5047" s="58"/>
      <c r="BC5047" s="58"/>
      <c r="BD5047" s="58"/>
      <c r="BE5047" s="236" t="s">
        <v>5155</v>
      </c>
      <c r="BF5047" s="191" t="s">
        <v>176</v>
      </c>
      <c r="BG5047" s="191" t="s">
        <v>479</v>
      </c>
      <c r="BH5047" s="236" t="s">
        <v>5155</v>
      </c>
      <c r="BI5047" s="191" t="s">
        <v>479</v>
      </c>
      <c r="BJ5047" s="58" t="str">
        <f>IF(BE5047=BH5047,"No","yes")</f>
        <v>No</v>
      </c>
      <c r="BK5047" s="58" t="s">
        <v>6334</v>
      </c>
      <c r="BL5047" s="58"/>
      <c r="BM5047" s="237"/>
      <c r="BN5047" s="244">
        <v>24</v>
      </c>
      <c r="BO5047" s="244">
        <v>24</v>
      </c>
      <c r="BP5047" s="58"/>
      <c r="BQ5047" s="58"/>
      <c r="BR5047" s="58"/>
      <c r="BS5047" s="58"/>
      <c r="BT5047" s="58"/>
      <c r="BU5047" s="58"/>
      <c r="BV5047" s="58" t="s">
        <v>5972</v>
      </c>
      <c r="BW5047" s="67"/>
      <c r="BX5047" s="67"/>
      <c r="BY5047" s="67"/>
      <c r="BZ5047" s="67"/>
      <c r="CA5047" s="67"/>
      <c r="CB5047" s="70"/>
      <c r="CC5047" s="70"/>
      <c r="CD5047" s="70"/>
      <c r="CE5047" s="67"/>
      <c r="CF5047" s="67"/>
      <c r="CG5047" s="67"/>
      <c r="CH5047" s="245"/>
      <c r="CI5047" s="245"/>
      <c r="CJ5047" s="67"/>
      <c r="CK5047" s="67"/>
      <c r="CL5047" s="67"/>
      <c r="CM5047" s="242">
        <v>1.4</v>
      </c>
      <c r="CN5047" s="242">
        <v>1.57</v>
      </c>
      <c r="CO5047" s="242"/>
      <c r="CP5047" s="242"/>
      <c r="CQ5047" s="242" t="s">
        <v>164</v>
      </c>
      <c r="CR5047" s="242"/>
      <c r="CS5047" s="242"/>
      <c r="CT5047" s="242"/>
      <c r="CU5047" s="242"/>
      <c r="CV5047" s="242"/>
      <c r="CW5047" s="67"/>
      <c r="CX5047" s="67"/>
      <c r="CY5047" s="242"/>
      <c r="CZ5047" s="242"/>
      <c r="DA5047" s="67"/>
      <c r="DB5047" s="67"/>
      <c r="DC5047" s="67"/>
      <c r="DD5047" s="67"/>
      <c r="DE5047" s="67"/>
      <c r="DF5047" s="67"/>
      <c r="DG5047" s="67"/>
      <c r="DH5047" s="67"/>
      <c r="DI5047" s="67"/>
      <c r="DJ5047" s="67"/>
      <c r="DK5047" s="67"/>
      <c r="DL5047" s="67"/>
      <c r="DM5047" s="67"/>
      <c r="DN5047" s="67"/>
      <c r="DO5047" s="67"/>
      <c r="DP5047" s="67"/>
      <c r="DQ5047" s="166">
        <v>5.38</v>
      </c>
      <c r="DR5047" s="166">
        <v>5.92</v>
      </c>
      <c r="DS5047" s="163"/>
      <c r="DT5047" s="163"/>
      <c r="DU5047" s="67"/>
      <c r="DV5047" s="67"/>
      <c r="DW5047" s="67"/>
      <c r="DX5047" s="67"/>
      <c r="DY5047" s="67"/>
      <c r="DZ5047" s="67"/>
      <c r="EA5047" s="67"/>
      <c r="EB5047" s="67"/>
      <c r="EC5047" s="67"/>
      <c r="ED5047" s="67"/>
      <c r="EE5047" s="67"/>
      <c r="EF5047" s="67"/>
      <c r="EG5047" s="67"/>
      <c r="EH5047" s="67"/>
      <c r="EI5047" s="67"/>
      <c r="EJ5047" s="67"/>
      <c r="EK5047" s="94"/>
      <c r="EL5047" s="94"/>
      <c r="EM5047" s="67"/>
      <c r="EN5047" s="67"/>
      <c r="EO5047" s="67"/>
      <c r="EP5047" s="67"/>
      <c r="EQ5047" s="67"/>
      <c r="ER5047" s="67"/>
      <c r="ES5047" s="67"/>
      <c r="ET5047" s="67"/>
      <c r="EU5047" s="67"/>
      <c r="EV5047" s="67"/>
      <c r="EW5047" s="67"/>
      <c r="EX5047" s="67"/>
      <c r="EY5047" s="67"/>
      <c r="EZ5047" s="67"/>
      <c r="FA5047" s="67"/>
      <c r="FB5047" s="67"/>
      <c r="FC5047" s="67"/>
      <c r="FD5047" s="67"/>
      <c r="FE5047" s="67"/>
      <c r="FF5047" s="67"/>
      <c r="FG5047" s="67"/>
      <c r="FH5047" s="67"/>
      <c r="FI5047" s="67"/>
      <c r="FJ5047" s="67"/>
      <c r="FK5047" s="67"/>
      <c r="FL5047" s="67"/>
      <c r="FM5047" s="67"/>
      <c r="FN5047" s="67"/>
      <c r="FO5047" s="67"/>
      <c r="FP5047" s="67"/>
      <c r="FQ5047" s="67"/>
      <c r="FR5047" s="67"/>
      <c r="FS5047" s="67"/>
      <c r="FT5047" s="67"/>
      <c r="FU5047" s="67"/>
      <c r="FV5047" s="67"/>
      <c r="FW5047" s="67"/>
      <c r="FX5047" s="67"/>
      <c r="FY5047" s="67"/>
      <c r="FZ5047" s="67"/>
      <c r="GA5047" s="67"/>
      <c r="GB5047" s="67"/>
      <c r="GC5047" s="67"/>
      <c r="GD5047" s="67"/>
      <c r="GE5047" s="67"/>
      <c r="GF5047" s="67"/>
      <c r="GG5047" s="67"/>
      <c r="GH5047" s="67"/>
      <c r="GI5047" s="67"/>
      <c r="GJ5047" s="67"/>
      <c r="GK5047" s="67"/>
      <c r="GL5047" s="67"/>
      <c r="GM5047" s="67"/>
      <c r="GN5047" s="292"/>
      <c r="GO5047" s="292"/>
      <c r="GP5047" s="292" t="s">
        <v>7494</v>
      </c>
      <c r="GQ5047" s="67"/>
      <c r="GR5047" s="67"/>
      <c r="GS5047" s="67"/>
      <c r="GT5047" s="67"/>
      <c r="GU5047" s="67"/>
      <c r="GV5047" s="67"/>
      <c r="GW5047" s="67"/>
      <c r="GX5047" s="67"/>
      <c r="GY5047" s="67"/>
      <c r="GZ5047" s="67"/>
      <c r="HA5047" s="67"/>
      <c r="HB5047" s="67"/>
      <c r="HC5047" s="67"/>
      <c r="HD5047" s="67"/>
      <c r="HE5047" s="67"/>
      <c r="HF5047" s="67"/>
      <c r="HG5047" s="67"/>
      <c r="HH5047" s="67"/>
      <c r="HI5047" s="67"/>
      <c r="HJ5047" s="67"/>
      <c r="HK5047" s="67"/>
      <c r="HL5047" s="67"/>
      <c r="HM5047" s="67"/>
      <c r="HN5047" s="67"/>
      <c r="HO5047" s="67"/>
      <c r="HP5047" s="67"/>
      <c r="HQ5047" s="67"/>
      <c r="HR5047" s="67"/>
      <c r="HS5047" s="67"/>
      <c r="HT5047" s="67"/>
      <c r="HU5047" s="67"/>
      <c r="HV5047" s="67"/>
      <c r="HW5047" s="67"/>
      <c r="HX5047" s="67">
        <v>83.2</v>
      </c>
      <c r="HY5047" s="67">
        <v>115</v>
      </c>
      <c r="HZ5047" s="67"/>
      <c r="IA5047" s="67"/>
      <c r="IB5047" s="67" t="s">
        <v>164</v>
      </c>
      <c r="IC5047" s="67"/>
      <c r="ID5047" s="67"/>
      <c r="IE5047" s="67"/>
      <c r="IF5047" s="67"/>
      <c r="IG5047" s="67"/>
      <c r="IH5047" s="67"/>
      <c r="II5047" s="67"/>
      <c r="IJ5047" s="67"/>
      <c r="IK5047" s="67"/>
      <c r="IL5047" s="67"/>
      <c r="IM5047" s="67">
        <v>238</v>
      </c>
      <c r="IN5047" s="67">
        <v>257</v>
      </c>
      <c r="IO5047" s="67">
        <f>257-IM5047</f>
        <v>19</v>
      </c>
      <c r="IP5047" s="67">
        <f>278-IN5047</f>
        <v>21</v>
      </c>
      <c r="IQ5047" s="67" t="s">
        <v>2879</v>
      </c>
      <c r="IR5047" s="67"/>
      <c r="IS5047" s="67"/>
      <c r="IT5047" s="67"/>
      <c r="IU5047" s="67"/>
      <c r="IV5047" s="67"/>
      <c r="IW5047" s="67"/>
      <c r="IX5047" s="67"/>
      <c r="IY5047" s="67"/>
      <c r="IZ5047" s="67"/>
      <c r="JA5047" s="67"/>
      <c r="JB5047" s="67"/>
      <c r="JC5047" s="67"/>
      <c r="JD5047" s="67"/>
      <c r="JE5047" s="67"/>
      <c r="JF5047" s="67"/>
      <c r="JG5047" s="67"/>
      <c r="JH5047" s="67"/>
      <c r="JI5047" s="67"/>
      <c r="JJ5047" s="67"/>
      <c r="JK5047" s="67"/>
      <c r="JL5047" s="67"/>
      <c r="JM5047" s="67"/>
      <c r="JN5047" s="67"/>
      <c r="JO5047" s="67"/>
      <c r="JP5047" s="67"/>
      <c r="JQ5047" s="67"/>
      <c r="JR5047" s="67"/>
      <c r="JS5047" s="67"/>
      <c r="JT5047" s="67"/>
      <c r="JU5047" s="58"/>
      <c r="JV5047" s="58"/>
      <c r="JW5047" s="58"/>
    </row>
    <row r="5048" spans="1:283" s="23" customFormat="1" x14ac:dyDescent="0.25">
      <c r="A5048" s="55">
        <v>5047</v>
      </c>
      <c r="B5048" s="12" t="s">
        <v>7067</v>
      </c>
      <c r="C5048" s="156">
        <v>258</v>
      </c>
      <c r="D5048" s="58" t="s">
        <v>5003</v>
      </c>
      <c r="E5048" s="160" t="str">
        <f>G5048</f>
        <v>Oberholzer et al 2000</v>
      </c>
      <c r="F5048" s="160"/>
      <c r="G5048" s="60" t="s">
        <v>4724</v>
      </c>
      <c r="H5048" s="58">
        <v>2000</v>
      </c>
      <c r="I5048" s="58" t="s">
        <v>2847</v>
      </c>
      <c r="J5048" s="243" t="s">
        <v>5319</v>
      </c>
      <c r="K5048" s="63" t="s">
        <v>5970</v>
      </c>
      <c r="L5048" s="58" t="s">
        <v>5333</v>
      </c>
      <c r="M5048" s="94">
        <v>47.5</v>
      </c>
      <c r="N5048" s="94">
        <v>7.55</v>
      </c>
      <c r="O5048" s="94"/>
      <c r="P5048" s="58"/>
      <c r="Q5048" s="244"/>
      <c r="R5048" s="58"/>
      <c r="S5048" s="245"/>
      <c r="T5048" s="58"/>
      <c r="U5048" s="58" t="s">
        <v>1675</v>
      </c>
      <c r="V5048" s="244" t="s">
        <v>1675</v>
      </c>
      <c r="W5048" s="174"/>
      <c r="X5048" s="174"/>
      <c r="Y5048" s="58" t="s">
        <v>5971</v>
      </c>
      <c r="Z5048" s="244" t="s">
        <v>1346</v>
      </c>
      <c r="AA5048" s="245">
        <v>20</v>
      </c>
      <c r="AB5048" s="67"/>
      <c r="AC5048" s="67"/>
      <c r="AD5048" s="94"/>
      <c r="AE5048" s="94"/>
      <c r="AF5048" s="94"/>
      <c r="AG5048" s="245">
        <v>27</v>
      </c>
      <c r="AH5048" s="58"/>
      <c r="AI5048" s="169"/>
      <c r="AJ5048" s="94"/>
      <c r="AK5048" s="94"/>
      <c r="AL5048" s="58"/>
      <c r="AM5048" s="58"/>
      <c r="AN5048" s="186"/>
      <c r="AO5048" s="185" t="s">
        <v>7494</v>
      </c>
      <c r="AP5048" s="58"/>
      <c r="AQ5048" s="58"/>
      <c r="AR5048" s="58"/>
      <c r="AS5048" s="246" t="s">
        <v>5133</v>
      </c>
      <c r="AT5048" s="247">
        <v>1</v>
      </c>
      <c r="AU5048" s="181" t="s">
        <v>7494</v>
      </c>
      <c r="AV5048" s="185" t="s">
        <v>176</v>
      </c>
      <c r="AW5048" s="244">
        <v>1</v>
      </c>
      <c r="AX5048" s="185" t="s">
        <v>176</v>
      </c>
      <c r="AY5048" s="244"/>
      <c r="AZ5048" s="58"/>
      <c r="BA5048" s="58"/>
      <c r="BB5048" s="58"/>
      <c r="BC5048" s="58"/>
      <c r="BD5048" s="58"/>
      <c r="BE5048" s="236" t="s">
        <v>5155</v>
      </c>
      <c r="BF5048" s="191" t="s">
        <v>176</v>
      </c>
      <c r="BG5048" s="191" t="s">
        <v>479</v>
      </c>
      <c r="BH5048" s="236" t="s">
        <v>5155</v>
      </c>
      <c r="BI5048" s="191" t="s">
        <v>479</v>
      </c>
      <c r="BJ5048" s="58" t="str">
        <f>IF(BE5048=BH5048,"No","yes")</f>
        <v>No</v>
      </c>
      <c r="BK5048" s="58" t="s">
        <v>6334</v>
      </c>
      <c r="BL5048" s="58"/>
      <c r="BM5048" s="237"/>
      <c r="BN5048" s="244">
        <v>24</v>
      </c>
      <c r="BO5048" s="244">
        <v>24</v>
      </c>
      <c r="BP5048" s="58"/>
      <c r="BQ5048" s="58"/>
      <c r="BR5048" s="58"/>
      <c r="BS5048" s="58"/>
      <c r="BT5048" s="58"/>
      <c r="BU5048" s="58"/>
      <c r="BV5048" s="58" t="s">
        <v>2222</v>
      </c>
      <c r="BW5048" s="67"/>
      <c r="BX5048" s="67"/>
      <c r="BY5048" s="67"/>
      <c r="BZ5048" s="67"/>
      <c r="CA5048" s="67"/>
      <c r="CB5048" s="70"/>
      <c r="CC5048" s="70"/>
      <c r="CD5048" s="70"/>
      <c r="CE5048" s="67"/>
      <c r="CF5048" s="67"/>
      <c r="CG5048" s="67"/>
      <c r="CH5048" s="245"/>
      <c r="CI5048" s="245"/>
      <c r="CJ5048" s="67"/>
      <c r="CK5048" s="67"/>
      <c r="CL5048" s="67"/>
      <c r="CM5048" s="242">
        <v>1.4</v>
      </c>
      <c r="CN5048" s="242">
        <v>1.37</v>
      </c>
      <c r="CO5048" s="242"/>
      <c r="CP5048" s="242"/>
      <c r="CQ5048" s="242" t="s">
        <v>164</v>
      </c>
      <c r="CR5048" s="242"/>
      <c r="CS5048" s="242"/>
      <c r="CT5048" s="242"/>
      <c r="CU5048" s="242"/>
      <c r="CV5048" s="242"/>
      <c r="CW5048" s="67"/>
      <c r="CX5048" s="67"/>
      <c r="CY5048" s="242"/>
      <c r="CZ5048" s="242"/>
      <c r="DA5048" s="67"/>
      <c r="DB5048" s="67"/>
      <c r="DC5048" s="67"/>
      <c r="DD5048" s="67"/>
      <c r="DE5048" s="67"/>
      <c r="DF5048" s="67"/>
      <c r="DG5048" s="67"/>
      <c r="DH5048" s="67"/>
      <c r="DI5048" s="67"/>
      <c r="DJ5048" s="67"/>
      <c r="DK5048" s="67"/>
      <c r="DL5048" s="67"/>
      <c r="DM5048" s="67"/>
      <c r="DN5048" s="67"/>
      <c r="DO5048" s="67"/>
      <c r="DP5048" s="67"/>
      <c r="DQ5048" s="166">
        <v>5.38</v>
      </c>
      <c r="DR5048" s="166">
        <v>5.53</v>
      </c>
      <c r="DS5048" s="163"/>
      <c r="DT5048" s="163"/>
      <c r="DU5048" s="67"/>
      <c r="DV5048" s="67"/>
      <c r="DW5048" s="67"/>
      <c r="DX5048" s="67"/>
      <c r="DY5048" s="67"/>
      <c r="DZ5048" s="67"/>
      <c r="EA5048" s="67"/>
      <c r="EB5048" s="67"/>
      <c r="EC5048" s="67"/>
      <c r="ED5048" s="67"/>
      <c r="EE5048" s="67"/>
      <c r="EF5048" s="67"/>
      <c r="EG5048" s="67"/>
      <c r="EH5048" s="67"/>
      <c r="EI5048" s="67"/>
      <c r="EJ5048" s="67"/>
      <c r="EK5048" s="94"/>
      <c r="EL5048" s="94"/>
      <c r="EM5048" s="67"/>
      <c r="EN5048" s="67"/>
      <c r="EO5048" s="67"/>
      <c r="EP5048" s="67"/>
      <c r="EQ5048" s="67"/>
      <c r="ER5048" s="67"/>
      <c r="ES5048" s="67"/>
      <c r="ET5048" s="67"/>
      <c r="EU5048" s="67"/>
      <c r="EV5048" s="67"/>
      <c r="EW5048" s="67"/>
      <c r="EX5048" s="67"/>
      <c r="EY5048" s="67"/>
      <c r="EZ5048" s="67"/>
      <c r="FA5048" s="67"/>
      <c r="FB5048" s="67"/>
      <c r="FC5048" s="67"/>
      <c r="FD5048" s="67"/>
      <c r="FE5048" s="67"/>
      <c r="FF5048" s="67"/>
      <c r="FG5048" s="67"/>
      <c r="FH5048" s="67"/>
      <c r="FI5048" s="67"/>
      <c r="FJ5048" s="67"/>
      <c r="FK5048" s="67"/>
      <c r="FL5048" s="67"/>
      <c r="FM5048" s="67"/>
      <c r="FN5048" s="67"/>
      <c r="FO5048" s="67"/>
      <c r="FP5048" s="67"/>
      <c r="FQ5048" s="67"/>
      <c r="FR5048" s="67"/>
      <c r="FS5048" s="67"/>
      <c r="FT5048" s="67"/>
      <c r="FU5048" s="67"/>
      <c r="FV5048" s="67"/>
      <c r="FW5048" s="67"/>
      <c r="FX5048" s="67"/>
      <c r="FY5048" s="67"/>
      <c r="FZ5048" s="67"/>
      <c r="GA5048" s="67"/>
      <c r="GB5048" s="67"/>
      <c r="GC5048" s="67"/>
      <c r="GD5048" s="67"/>
      <c r="GE5048" s="67"/>
      <c r="GF5048" s="67"/>
      <c r="GG5048" s="67"/>
      <c r="GH5048" s="67"/>
      <c r="GI5048" s="67"/>
      <c r="GJ5048" s="67"/>
      <c r="GK5048" s="67"/>
      <c r="GL5048" s="67"/>
      <c r="GM5048" s="67"/>
      <c r="GN5048" s="292"/>
      <c r="GO5048" s="292"/>
      <c r="GP5048" s="292" t="s">
        <v>7494</v>
      </c>
      <c r="GQ5048" s="67"/>
      <c r="GR5048" s="67"/>
      <c r="GS5048" s="67"/>
      <c r="GT5048" s="67"/>
      <c r="GU5048" s="67"/>
      <c r="GV5048" s="67"/>
      <c r="GW5048" s="67"/>
      <c r="GX5048" s="67"/>
      <c r="GY5048" s="67"/>
      <c r="GZ5048" s="67"/>
      <c r="HA5048" s="67"/>
      <c r="HB5048" s="67"/>
      <c r="HC5048" s="67"/>
      <c r="HD5048" s="67"/>
      <c r="HE5048" s="67"/>
      <c r="HF5048" s="67"/>
      <c r="HG5048" s="67"/>
      <c r="HH5048" s="67"/>
      <c r="HI5048" s="67"/>
      <c r="HJ5048" s="67"/>
      <c r="HK5048" s="67"/>
      <c r="HL5048" s="67"/>
      <c r="HM5048" s="67"/>
      <c r="HN5048" s="67"/>
      <c r="HO5048" s="67"/>
      <c r="HP5048" s="67"/>
      <c r="HQ5048" s="67"/>
      <c r="HR5048" s="67"/>
      <c r="HS5048" s="67"/>
      <c r="HT5048" s="67"/>
      <c r="HU5048" s="67"/>
      <c r="HV5048" s="67"/>
      <c r="HW5048" s="67"/>
      <c r="HX5048" s="67">
        <v>83.2</v>
      </c>
      <c r="HY5048" s="67">
        <v>102.5</v>
      </c>
      <c r="HZ5048" s="67"/>
      <c r="IA5048" s="67"/>
      <c r="IB5048" s="67" t="s">
        <v>164</v>
      </c>
      <c r="IC5048" s="67"/>
      <c r="ID5048" s="67"/>
      <c r="IE5048" s="67"/>
      <c r="IF5048" s="67"/>
      <c r="IG5048" s="67"/>
      <c r="IH5048" s="67"/>
      <c r="II5048" s="67"/>
      <c r="IJ5048" s="67"/>
      <c r="IK5048" s="67"/>
      <c r="IL5048" s="67"/>
      <c r="IM5048" s="67">
        <v>219</v>
      </c>
      <c r="IN5048" s="67">
        <v>196</v>
      </c>
      <c r="IO5048" s="67">
        <f>264-IM5048</f>
        <v>45</v>
      </c>
      <c r="IP5048" s="67">
        <f>226-IN5048</f>
        <v>30</v>
      </c>
      <c r="IQ5048" s="67" t="s">
        <v>2879</v>
      </c>
      <c r="IR5048" s="67"/>
      <c r="IS5048" s="67"/>
      <c r="IT5048" s="67"/>
      <c r="IU5048" s="67"/>
      <c r="IV5048" s="67"/>
      <c r="IW5048" s="67"/>
      <c r="IX5048" s="67"/>
      <c r="IY5048" s="67"/>
      <c r="IZ5048" s="67"/>
      <c r="JA5048" s="67"/>
      <c r="JB5048" s="67"/>
      <c r="JC5048" s="67"/>
      <c r="JD5048" s="67"/>
      <c r="JE5048" s="67"/>
      <c r="JF5048" s="67"/>
      <c r="JG5048" s="67"/>
      <c r="JH5048" s="67"/>
      <c r="JI5048" s="67"/>
      <c r="JJ5048" s="67"/>
      <c r="JK5048" s="67"/>
      <c r="JL5048" s="67"/>
      <c r="JM5048" s="67"/>
      <c r="JN5048" s="67"/>
      <c r="JO5048" s="67"/>
      <c r="JP5048" s="67"/>
      <c r="JQ5048" s="67"/>
      <c r="JR5048" s="67"/>
      <c r="JS5048" s="67"/>
      <c r="JT5048" s="67"/>
      <c r="JU5048" s="58"/>
      <c r="JV5048" s="58"/>
      <c r="JW5048" s="58"/>
    </row>
    <row r="5049" spans="1:283" s="23" customFormat="1" x14ac:dyDescent="0.25">
      <c r="A5049" s="55">
        <v>5048</v>
      </c>
      <c r="B5049" s="12" t="s">
        <v>7067</v>
      </c>
      <c r="C5049" s="156">
        <v>258</v>
      </c>
      <c r="D5049" s="58" t="s">
        <v>5003</v>
      </c>
      <c r="E5049" s="160" t="str">
        <f>G5049</f>
        <v>Oberholzer et al 2000</v>
      </c>
      <c r="F5049" s="160"/>
      <c r="G5049" s="60" t="s">
        <v>4724</v>
      </c>
      <c r="H5049" s="58">
        <v>2000</v>
      </c>
      <c r="I5049" s="58" t="s">
        <v>2847</v>
      </c>
      <c r="J5049" s="243" t="s">
        <v>5319</v>
      </c>
      <c r="K5049" s="63" t="s">
        <v>5970</v>
      </c>
      <c r="L5049" s="58" t="s">
        <v>5333</v>
      </c>
      <c r="M5049" s="94">
        <v>47.5</v>
      </c>
      <c r="N5049" s="94">
        <v>7.55</v>
      </c>
      <c r="O5049" s="94"/>
      <c r="P5049" s="58"/>
      <c r="Q5049" s="244"/>
      <c r="R5049" s="58"/>
      <c r="S5049" s="245"/>
      <c r="T5049" s="58"/>
      <c r="U5049" s="58" t="s">
        <v>1675</v>
      </c>
      <c r="V5049" s="244" t="s">
        <v>1675</v>
      </c>
      <c r="W5049" s="174"/>
      <c r="X5049" s="174"/>
      <c r="Y5049" s="58" t="s">
        <v>5971</v>
      </c>
      <c r="Z5049" s="244" t="s">
        <v>1346</v>
      </c>
      <c r="AA5049" s="245">
        <v>20</v>
      </c>
      <c r="AB5049" s="67"/>
      <c r="AC5049" s="67"/>
      <c r="AD5049" s="94"/>
      <c r="AE5049" s="94"/>
      <c r="AF5049" s="94"/>
      <c r="AG5049" s="245">
        <v>27</v>
      </c>
      <c r="AH5049" s="58"/>
      <c r="AI5049" s="169"/>
      <c r="AJ5049" s="94"/>
      <c r="AK5049" s="94"/>
      <c r="AL5049" s="58"/>
      <c r="AM5049" s="58"/>
      <c r="AN5049" s="186"/>
      <c r="AO5049" s="185" t="s">
        <v>7494</v>
      </c>
      <c r="AP5049" s="58"/>
      <c r="AQ5049" s="58"/>
      <c r="AR5049" s="58"/>
      <c r="AS5049" s="246" t="s">
        <v>5133</v>
      </c>
      <c r="AT5049" s="247">
        <v>1</v>
      </c>
      <c r="AU5049" s="181" t="s">
        <v>7494</v>
      </c>
      <c r="AV5049" s="185" t="s">
        <v>176</v>
      </c>
      <c r="AW5049" s="244">
        <v>1</v>
      </c>
      <c r="AX5049" s="185" t="s">
        <v>176</v>
      </c>
      <c r="AY5049" s="244"/>
      <c r="AZ5049" s="58"/>
      <c r="BA5049" s="58"/>
      <c r="BB5049" s="58"/>
      <c r="BC5049" s="58"/>
      <c r="BD5049" s="58"/>
      <c r="BE5049" s="236" t="s">
        <v>5155</v>
      </c>
      <c r="BF5049" s="191" t="s">
        <v>176</v>
      </c>
      <c r="BG5049" s="191" t="s">
        <v>479</v>
      </c>
      <c r="BH5049" s="236" t="s">
        <v>5155</v>
      </c>
      <c r="BI5049" s="191" t="s">
        <v>479</v>
      </c>
      <c r="BJ5049" s="58" t="str">
        <f>IF(BE5049=BH5049,"No","yes")</f>
        <v>No</v>
      </c>
      <c r="BK5049" s="58" t="s">
        <v>6334</v>
      </c>
      <c r="BL5049" s="58"/>
      <c r="BM5049" s="237"/>
      <c r="BN5049" s="244">
        <v>24</v>
      </c>
      <c r="BO5049" s="244">
        <v>24</v>
      </c>
      <c r="BP5049" s="58"/>
      <c r="BQ5049" s="58"/>
      <c r="BR5049" s="58"/>
      <c r="BS5049" s="58"/>
      <c r="BT5049" s="58"/>
      <c r="BU5049" s="58"/>
      <c r="BV5049" s="58" t="s">
        <v>5821</v>
      </c>
      <c r="BW5049" s="67"/>
      <c r="BX5049" s="67"/>
      <c r="BY5049" s="67"/>
      <c r="BZ5049" s="67"/>
      <c r="CA5049" s="67"/>
      <c r="CB5049" s="70"/>
      <c r="CC5049" s="70"/>
      <c r="CD5049" s="70"/>
      <c r="CE5049" s="67"/>
      <c r="CF5049" s="67"/>
      <c r="CG5049" s="67"/>
      <c r="CH5049" s="245"/>
      <c r="CI5049" s="245"/>
      <c r="CJ5049" s="67"/>
      <c r="CK5049" s="67"/>
      <c r="CL5049" s="67"/>
      <c r="CM5049" s="242">
        <v>1.49</v>
      </c>
      <c r="CN5049" s="242">
        <v>1.69</v>
      </c>
      <c r="CO5049" s="242"/>
      <c r="CP5049" s="242"/>
      <c r="CQ5049" s="242" t="s">
        <v>164</v>
      </c>
      <c r="CR5049" s="242"/>
      <c r="CS5049" s="242"/>
      <c r="CT5049" s="242"/>
      <c r="CU5049" s="242"/>
      <c r="CV5049" s="242"/>
      <c r="CW5049" s="67"/>
      <c r="CX5049" s="67"/>
      <c r="CY5049" s="242"/>
      <c r="CZ5049" s="242"/>
      <c r="DA5049" s="67"/>
      <c r="DB5049" s="67"/>
      <c r="DC5049" s="67"/>
      <c r="DD5049" s="67"/>
      <c r="DE5049" s="67"/>
      <c r="DF5049" s="67"/>
      <c r="DG5049" s="67"/>
      <c r="DH5049" s="67"/>
      <c r="DI5049" s="67"/>
      <c r="DJ5049" s="67"/>
      <c r="DK5049" s="67"/>
      <c r="DL5049" s="67"/>
      <c r="DM5049" s="67"/>
      <c r="DN5049" s="67"/>
      <c r="DO5049" s="67"/>
      <c r="DP5049" s="67"/>
      <c r="DQ5049" s="166">
        <v>5.56</v>
      </c>
      <c r="DR5049" s="166">
        <v>6.12</v>
      </c>
      <c r="DS5049" s="163"/>
      <c r="DT5049" s="163"/>
      <c r="DU5049" s="67"/>
      <c r="DV5049" s="67"/>
      <c r="DW5049" s="67"/>
      <c r="DX5049" s="67"/>
      <c r="DY5049" s="67"/>
      <c r="DZ5049" s="67"/>
      <c r="EA5049" s="67"/>
      <c r="EB5049" s="67"/>
      <c r="EC5049" s="67"/>
      <c r="ED5049" s="67"/>
      <c r="EE5049" s="67"/>
      <c r="EF5049" s="67"/>
      <c r="EG5049" s="67"/>
      <c r="EH5049" s="67"/>
      <c r="EI5049" s="67"/>
      <c r="EJ5049" s="67"/>
      <c r="EK5049" s="94"/>
      <c r="EL5049" s="94"/>
      <c r="EM5049" s="67"/>
      <c r="EN5049" s="67"/>
      <c r="EO5049" s="67"/>
      <c r="EP5049" s="67"/>
      <c r="EQ5049" s="67"/>
      <c r="ER5049" s="67"/>
      <c r="ES5049" s="67"/>
      <c r="ET5049" s="67"/>
      <c r="EU5049" s="67"/>
      <c r="EV5049" s="67"/>
      <c r="EW5049" s="67"/>
      <c r="EX5049" s="67"/>
      <c r="EY5049" s="67"/>
      <c r="EZ5049" s="67"/>
      <c r="FA5049" s="67"/>
      <c r="FB5049" s="67"/>
      <c r="FC5049" s="67"/>
      <c r="FD5049" s="67"/>
      <c r="FE5049" s="67"/>
      <c r="FF5049" s="67"/>
      <c r="FG5049" s="67"/>
      <c r="FH5049" s="67"/>
      <c r="FI5049" s="67"/>
      <c r="FJ5049" s="67"/>
      <c r="FK5049" s="67"/>
      <c r="FL5049" s="67"/>
      <c r="FM5049" s="67"/>
      <c r="FN5049" s="67"/>
      <c r="FO5049" s="67"/>
      <c r="FP5049" s="67"/>
      <c r="FQ5049" s="67"/>
      <c r="FR5049" s="67"/>
      <c r="FS5049" s="67"/>
      <c r="FT5049" s="67"/>
      <c r="FU5049" s="67"/>
      <c r="FV5049" s="67"/>
      <c r="FW5049" s="67"/>
      <c r="FX5049" s="67"/>
      <c r="FY5049" s="67"/>
      <c r="FZ5049" s="67"/>
      <c r="GA5049" s="67"/>
      <c r="GB5049" s="67"/>
      <c r="GC5049" s="67"/>
      <c r="GD5049" s="67"/>
      <c r="GE5049" s="67"/>
      <c r="GF5049" s="67"/>
      <c r="GG5049" s="67"/>
      <c r="GH5049" s="67"/>
      <c r="GI5049" s="67"/>
      <c r="GJ5049" s="67"/>
      <c r="GK5049" s="67"/>
      <c r="GL5049" s="67"/>
      <c r="GM5049" s="67"/>
      <c r="GN5049" s="292"/>
      <c r="GO5049" s="292"/>
      <c r="GP5049" s="292" t="s">
        <v>7494</v>
      </c>
      <c r="GQ5049" s="67"/>
      <c r="GR5049" s="67"/>
      <c r="GS5049" s="67"/>
      <c r="GT5049" s="67"/>
      <c r="GU5049" s="67"/>
      <c r="GV5049" s="67"/>
      <c r="GW5049" s="67"/>
      <c r="GX5049" s="67"/>
      <c r="GY5049" s="67"/>
      <c r="GZ5049" s="67"/>
      <c r="HA5049" s="67"/>
      <c r="HB5049" s="67"/>
      <c r="HC5049" s="67"/>
      <c r="HD5049" s="67"/>
      <c r="HE5049" s="67"/>
      <c r="HF5049" s="67"/>
      <c r="HG5049" s="67"/>
      <c r="HH5049" s="67"/>
      <c r="HI5049" s="67"/>
      <c r="HJ5049" s="67"/>
      <c r="HK5049" s="67"/>
      <c r="HL5049" s="67"/>
      <c r="HM5049" s="67"/>
      <c r="HN5049" s="67"/>
      <c r="HO5049" s="67"/>
      <c r="HP5049" s="67"/>
      <c r="HQ5049" s="67"/>
      <c r="HR5049" s="67"/>
      <c r="HS5049" s="67"/>
      <c r="HT5049" s="67"/>
      <c r="HU5049" s="67"/>
      <c r="HV5049" s="67"/>
      <c r="HW5049" s="67"/>
      <c r="HX5049" s="67">
        <v>100</v>
      </c>
      <c r="HY5049" s="67">
        <v>138.6</v>
      </c>
      <c r="HZ5049" s="67"/>
      <c r="IA5049" s="67"/>
      <c r="IB5049" s="67" t="s">
        <v>164</v>
      </c>
      <c r="IC5049" s="67"/>
      <c r="ID5049" s="67"/>
      <c r="IE5049" s="67"/>
      <c r="IF5049" s="67"/>
      <c r="IG5049" s="67"/>
      <c r="IH5049" s="67"/>
      <c r="II5049" s="67"/>
      <c r="IJ5049" s="67"/>
      <c r="IK5049" s="67"/>
      <c r="IL5049" s="67"/>
      <c r="IM5049" s="67">
        <v>289</v>
      </c>
      <c r="IN5049" s="67">
        <v>225</v>
      </c>
      <c r="IO5049" s="67">
        <f>312-IM5049</f>
        <v>23</v>
      </c>
      <c r="IP5049" s="67">
        <f>233-IN5049</f>
        <v>8</v>
      </c>
      <c r="IQ5049" s="67" t="s">
        <v>2879</v>
      </c>
      <c r="IR5049" s="67"/>
      <c r="IS5049" s="67"/>
      <c r="IT5049" s="67"/>
      <c r="IU5049" s="67"/>
      <c r="IV5049" s="67"/>
      <c r="IW5049" s="67"/>
      <c r="IX5049" s="67"/>
      <c r="IY5049" s="67"/>
      <c r="IZ5049" s="67"/>
      <c r="JA5049" s="67"/>
      <c r="JB5049" s="67"/>
      <c r="JC5049" s="67"/>
      <c r="JD5049" s="67"/>
      <c r="JE5049" s="67"/>
      <c r="JF5049" s="67"/>
      <c r="JG5049" s="67"/>
      <c r="JH5049" s="67"/>
      <c r="JI5049" s="67"/>
      <c r="JJ5049" s="67"/>
      <c r="JK5049" s="67"/>
      <c r="JL5049" s="67"/>
      <c r="JM5049" s="67"/>
      <c r="JN5049" s="67"/>
      <c r="JO5049" s="67"/>
      <c r="JP5049" s="67"/>
      <c r="JQ5049" s="67"/>
      <c r="JR5049" s="67"/>
      <c r="JS5049" s="67"/>
      <c r="JT5049" s="67"/>
      <c r="JU5049" s="58"/>
      <c r="JV5049" s="58"/>
      <c r="JW5049" s="58"/>
    </row>
    <row r="5050" spans="1:283" s="23" customFormat="1" x14ac:dyDescent="0.25">
      <c r="A5050" s="55">
        <v>5049</v>
      </c>
      <c r="B5050" s="12" t="s">
        <v>7067</v>
      </c>
      <c r="C5050" s="156">
        <v>258</v>
      </c>
      <c r="D5050" s="58" t="s">
        <v>5003</v>
      </c>
      <c r="E5050" s="160" t="str">
        <f>G5050</f>
        <v>Oberholzer et al 2000</v>
      </c>
      <c r="F5050" s="160"/>
      <c r="G5050" s="60" t="s">
        <v>4724</v>
      </c>
      <c r="H5050" s="58">
        <v>2000</v>
      </c>
      <c r="I5050" s="58" t="s">
        <v>2847</v>
      </c>
      <c r="J5050" s="243" t="s">
        <v>5319</v>
      </c>
      <c r="K5050" s="63" t="s">
        <v>5970</v>
      </c>
      <c r="L5050" s="58" t="s">
        <v>5333</v>
      </c>
      <c r="M5050" s="94">
        <v>47.5</v>
      </c>
      <c r="N5050" s="94">
        <v>7.55</v>
      </c>
      <c r="O5050" s="94"/>
      <c r="P5050" s="58"/>
      <c r="Q5050" s="244"/>
      <c r="R5050" s="58"/>
      <c r="S5050" s="245"/>
      <c r="T5050" s="58"/>
      <c r="U5050" s="58" t="s">
        <v>1675</v>
      </c>
      <c r="V5050" s="244" t="s">
        <v>1675</v>
      </c>
      <c r="W5050" s="174"/>
      <c r="X5050" s="174"/>
      <c r="Y5050" s="58" t="s">
        <v>5971</v>
      </c>
      <c r="Z5050" s="244" t="s">
        <v>1346</v>
      </c>
      <c r="AA5050" s="245">
        <v>20</v>
      </c>
      <c r="AB5050" s="67"/>
      <c r="AC5050" s="67"/>
      <c r="AD5050" s="94"/>
      <c r="AE5050" s="94"/>
      <c r="AF5050" s="94"/>
      <c r="AG5050" s="245">
        <v>27</v>
      </c>
      <c r="AH5050" s="58"/>
      <c r="AI5050" s="169"/>
      <c r="AJ5050" s="94"/>
      <c r="AK5050" s="94"/>
      <c r="AL5050" s="58"/>
      <c r="AM5050" s="58"/>
      <c r="AN5050" s="186"/>
      <c r="AO5050" s="185" t="s">
        <v>7494</v>
      </c>
      <c r="AP5050" s="58"/>
      <c r="AQ5050" s="58"/>
      <c r="AR5050" s="58"/>
      <c r="AS5050" s="246" t="s">
        <v>5133</v>
      </c>
      <c r="AT5050" s="247">
        <v>1</v>
      </c>
      <c r="AU5050" s="181" t="s">
        <v>7494</v>
      </c>
      <c r="AV5050" s="185" t="s">
        <v>176</v>
      </c>
      <c r="AW5050" s="244">
        <v>1</v>
      </c>
      <c r="AX5050" s="185" t="s">
        <v>176</v>
      </c>
      <c r="AY5050" s="244"/>
      <c r="AZ5050" s="58"/>
      <c r="BA5050" s="58"/>
      <c r="BB5050" s="58"/>
      <c r="BC5050" s="58"/>
      <c r="BD5050" s="58"/>
      <c r="BE5050" s="236" t="s">
        <v>5155</v>
      </c>
      <c r="BF5050" s="191" t="s">
        <v>176</v>
      </c>
      <c r="BG5050" s="191" t="s">
        <v>479</v>
      </c>
      <c r="BH5050" s="236" t="s">
        <v>5155</v>
      </c>
      <c r="BI5050" s="191" t="s">
        <v>479</v>
      </c>
      <c r="BJ5050" s="58" t="str">
        <f>IF(BE5050=BH5050,"No","yes")</f>
        <v>No</v>
      </c>
      <c r="BK5050" s="58" t="s">
        <v>6334</v>
      </c>
      <c r="BL5050" s="58"/>
      <c r="BM5050" s="237"/>
      <c r="BN5050" s="244">
        <v>24</v>
      </c>
      <c r="BO5050" s="244">
        <v>24</v>
      </c>
      <c r="BP5050" s="58"/>
      <c r="BQ5050" s="58"/>
      <c r="BR5050" s="58"/>
      <c r="BS5050" s="58"/>
      <c r="BT5050" s="58"/>
      <c r="BU5050" s="58"/>
      <c r="BV5050" s="58" t="s">
        <v>5972</v>
      </c>
      <c r="BW5050" s="67"/>
      <c r="BX5050" s="67"/>
      <c r="BY5050" s="67"/>
      <c r="BZ5050" s="67"/>
      <c r="CA5050" s="67"/>
      <c r="CB5050" s="70"/>
      <c r="CC5050" s="70"/>
      <c r="CD5050" s="70"/>
      <c r="CE5050" s="67"/>
      <c r="CF5050" s="67"/>
      <c r="CG5050" s="67"/>
      <c r="CH5050" s="245"/>
      <c r="CI5050" s="245"/>
      <c r="CJ5050" s="67"/>
      <c r="CK5050" s="67"/>
      <c r="CL5050" s="67"/>
      <c r="CM5050" s="242">
        <v>1.49</v>
      </c>
      <c r="CN5050" s="242">
        <v>1.55</v>
      </c>
      <c r="CO5050" s="242"/>
      <c r="CP5050" s="242"/>
      <c r="CQ5050" s="242" t="s">
        <v>164</v>
      </c>
      <c r="CR5050" s="242"/>
      <c r="CS5050" s="242"/>
      <c r="CT5050" s="242"/>
      <c r="CU5050" s="242"/>
      <c r="CV5050" s="242"/>
      <c r="CW5050" s="67"/>
      <c r="CX5050" s="67"/>
      <c r="CY5050" s="242"/>
      <c r="CZ5050" s="242"/>
      <c r="DA5050" s="67"/>
      <c r="DB5050" s="67"/>
      <c r="DC5050" s="67"/>
      <c r="DD5050" s="67"/>
      <c r="DE5050" s="67"/>
      <c r="DF5050" s="67"/>
      <c r="DG5050" s="67"/>
      <c r="DH5050" s="67"/>
      <c r="DI5050" s="67"/>
      <c r="DJ5050" s="67"/>
      <c r="DK5050" s="67"/>
      <c r="DL5050" s="67"/>
      <c r="DM5050" s="67"/>
      <c r="DN5050" s="67"/>
      <c r="DO5050" s="67"/>
      <c r="DP5050" s="67"/>
      <c r="DQ5050" s="166">
        <v>5.56</v>
      </c>
      <c r="DR5050" s="166">
        <v>5.83</v>
      </c>
      <c r="DS5050" s="163"/>
      <c r="DT5050" s="163"/>
      <c r="DU5050" s="67"/>
      <c r="DV5050" s="67"/>
      <c r="DW5050" s="67"/>
      <c r="DX5050" s="67"/>
      <c r="DY5050" s="67"/>
      <c r="DZ5050" s="67"/>
      <c r="EA5050" s="67"/>
      <c r="EB5050" s="67"/>
      <c r="EC5050" s="67"/>
      <c r="ED5050" s="67"/>
      <c r="EE5050" s="67"/>
      <c r="EF5050" s="67"/>
      <c r="EG5050" s="67"/>
      <c r="EH5050" s="67"/>
      <c r="EI5050" s="67"/>
      <c r="EJ5050" s="67"/>
      <c r="EK5050" s="94"/>
      <c r="EL5050" s="94"/>
      <c r="EM5050" s="67"/>
      <c r="EN5050" s="67"/>
      <c r="EO5050" s="67"/>
      <c r="EP5050" s="67"/>
      <c r="EQ5050" s="67"/>
      <c r="ER5050" s="67"/>
      <c r="ES5050" s="67"/>
      <c r="ET5050" s="67"/>
      <c r="EU5050" s="67"/>
      <c r="EV5050" s="67"/>
      <c r="EW5050" s="67"/>
      <c r="EX5050" s="67"/>
      <c r="EY5050" s="67"/>
      <c r="EZ5050" s="67"/>
      <c r="FA5050" s="67"/>
      <c r="FB5050" s="67"/>
      <c r="FC5050" s="67"/>
      <c r="FD5050" s="67"/>
      <c r="FE5050" s="67"/>
      <c r="FF5050" s="67"/>
      <c r="FG5050" s="67"/>
      <c r="FH5050" s="67"/>
      <c r="FI5050" s="67"/>
      <c r="FJ5050" s="67"/>
      <c r="FK5050" s="67"/>
      <c r="FL5050" s="67"/>
      <c r="FM5050" s="67"/>
      <c r="FN5050" s="67"/>
      <c r="FO5050" s="67"/>
      <c r="FP5050" s="67"/>
      <c r="FQ5050" s="67"/>
      <c r="FR5050" s="67"/>
      <c r="FS5050" s="67"/>
      <c r="FT5050" s="67"/>
      <c r="FU5050" s="67"/>
      <c r="FV5050" s="67"/>
      <c r="FW5050" s="67"/>
      <c r="FX5050" s="67"/>
      <c r="FY5050" s="67"/>
      <c r="FZ5050" s="67"/>
      <c r="GA5050" s="67"/>
      <c r="GB5050" s="67"/>
      <c r="GC5050" s="67"/>
      <c r="GD5050" s="67"/>
      <c r="GE5050" s="67"/>
      <c r="GF5050" s="67"/>
      <c r="GG5050" s="67"/>
      <c r="GH5050" s="67"/>
      <c r="GI5050" s="67"/>
      <c r="GJ5050" s="67"/>
      <c r="GK5050" s="67"/>
      <c r="GL5050" s="67"/>
      <c r="GM5050" s="67"/>
      <c r="GN5050" s="292"/>
      <c r="GO5050" s="292"/>
      <c r="GP5050" s="292" t="s">
        <v>7494</v>
      </c>
      <c r="GQ5050" s="67"/>
      <c r="GR5050" s="67"/>
      <c r="GS5050" s="67"/>
      <c r="GT5050" s="67"/>
      <c r="GU5050" s="67"/>
      <c r="GV5050" s="67"/>
      <c r="GW5050" s="67"/>
      <c r="GX5050" s="67"/>
      <c r="GY5050" s="67"/>
      <c r="GZ5050" s="67"/>
      <c r="HA5050" s="67"/>
      <c r="HB5050" s="67"/>
      <c r="HC5050" s="67"/>
      <c r="HD5050" s="67"/>
      <c r="HE5050" s="67"/>
      <c r="HF5050" s="67"/>
      <c r="HG5050" s="67"/>
      <c r="HH5050" s="67"/>
      <c r="HI5050" s="67"/>
      <c r="HJ5050" s="67"/>
      <c r="HK5050" s="67"/>
      <c r="HL5050" s="67"/>
      <c r="HM5050" s="67"/>
      <c r="HN5050" s="67"/>
      <c r="HO5050" s="67"/>
      <c r="HP5050" s="67"/>
      <c r="HQ5050" s="67"/>
      <c r="HR5050" s="67"/>
      <c r="HS5050" s="67"/>
      <c r="HT5050" s="67"/>
      <c r="HU5050" s="67"/>
      <c r="HV5050" s="67"/>
      <c r="HW5050" s="67"/>
      <c r="HX5050" s="67">
        <v>100</v>
      </c>
      <c r="HY5050" s="67">
        <v>123</v>
      </c>
      <c r="HZ5050" s="67"/>
      <c r="IA5050" s="67"/>
      <c r="IB5050" s="67" t="s">
        <v>164</v>
      </c>
      <c r="IC5050" s="67"/>
      <c r="ID5050" s="67"/>
      <c r="IE5050" s="67"/>
      <c r="IF5050" s="67"/>
      <c r="IG5050" s="67"/>
      <c r="IH5050" s="67"/>
      <c r="II5050" s="67"/>
      <c r="IJ5050" s="67"/>
      <c r="IK5050" s="67"/>
      <c r="IL5050" s="67"/>
      <c r="IM5050" s="67">
        <v>369</v>
      </c>
      <c r="IN5050" s="67">
        <v>264</v>
      </c>
      <c r="IO5050" s="67">
        <f>400-IM5050</f>
        <v>31</v>
      </c>
      <c r="IP5050" s="67">
        <f>279-IN5050</f>
        <v>15</v>
      </c>
      <c r="IQ5050" s="67" t="s">
        <v>2879</v>
      </c>
      <c r="IR5050" s="67"/>
      <c r="IS5050" s="67"/>
      <c r="IT5050" s="67"/>
      <c r="IU5050" s="67"/>
      <c r="IV5050" s="67"/>
      <c r="IW5050" s="67"/>
      <c r="IX5050" s="67"/>
      <c r="IY5050" s="67"/>
      <c r="IZ5050" s="67"/>
      <c r="JA5050" s="67"/>
      <c r="JB5050" s="67"/>
      <c r="JC5050" s="67"/>
      <c r="JD5050" s="67"/>
      <c r="JE5050" s="67"/>
      <c r="JF5050" s="67"/>
      <c r="JG5050" s="67"/>
      <c r="JH5050" s="67"/>
      <c r="JI5050" s="67"/>
      <c r="JJ5050" s="67"/>
      <c r="JK5050" s="67"/>
      <c r="JL5050" s="67"/>
      <c r="JM5050" s="67"/>
      <c r="JN5050" s="67"/>
      <c r="JO5050" s="67"/>
      <c r="JP5050" s="67"/>
      <c r="JQ5050" s="67"/>
      <c r="JR5050" s="67"/>
      <c r="JS5050" s="67"/>
      <c r="JT5050" s="67"/>
      <c r="JU5050" s="58"/>
      <c r="JV5050" s="58"/>
      <c r="JW5050" s="58"/>
    </row>
    <row r="5051" spans="1:283" s="23" customFormat="1" x14ac:dyDescent="0.25">
      <c r="A5051" s="55">
        <v>5050</v>
      </c>
      <c r="B5051" s="12" t="s">
        <v>7067</v>
      </c>
      <c r="C5051" s="156">
        <v>258</v>
      </c>
      <c r="D5051" s="58" t="s">
        <v>5003</v>
      </c>
      <c r="E5051" s="160" t="str">
        <f>G5051</f>
        <v>Oberholzer et al 2000</v>
      </c>
      <c r="F5051" s="160"/>
      <c r="G5051" s="60" t="s">
        <v>4724</v>
      </c>
      <c r="H5051" s="58">
        <v>2000</v>
      </c>
      <c r="I5051" s="58" t="s">
        <v>2847</v>
      </c>
      <c r="J5051" s="243" t="s">
        <v>5319</v>
      </c>
      <c r="K5051" s="63" t="s">
        <v>5970</v>
      </c>
      <c r="L5051" s="58" t="s">
        <v>5333</v>
      </c>
      <c r="M5051" s="94">
        <v>47.5</v>
      </c>
      <c r="N5051" s="94">
        <v>7.55</v>
      </c>
      <c r="O5051" s="94"/>
      <c r="P5051" s="58"/>
      <c r="Q5051" s="244"/>
      <c r="R5051" s="58"/>
      <c r="S5051" s="245"/>
      <c r="T5051" s="58"/>
      <c r="U5051" s="58" t="s">
        <v>1675</v>
      </c>
      <c r="V5051" s="244" t="s">
        <v>1675</v>
      </c>
      <c r="W5051" s="174"/>
      <c r="X5051" s="174"/>
      <c r="Y5051" s="58" t="s">
        <v>5971</v>
      </c>
      <c r="Z5051" s="244" t="s">
        <v>1346</v>
      </c>
      <c r="AA5051" s="245">
        <v>20</v>
      </c>
      <c r="AB5051" s="67"/>
      <c r="AC5051" s="67"/>
      <c r="AD5051" s="94"/>
      <c r="AE5051" s="94"/>
      <c r="AF5051" s="94"/>
      <c r="AG5051" s="245">
        <v>27</v>
      </c>
      <c r="AH5051" s="58"/>
      <c r="AI5051" s="169"/>
      <c r="AJ5051" s="94"/>
      <c r="AK5051" s="94"/>
      <c r="AL5051" s="58"/>
      <c r="AM5051" s="58"/>
      <c r="AN5051" s="186"/>
      <c r="AO5051" s="185" t="s">
        <v>7494</v>
      </c>
      <c r="AP5051" s="58"/>
      <c r="AQ5051" s="58"/>
      <c r="AR5051" s="58"/>
      <c r="AS5051" s="246" t="s">
        <v>5133</v>
      </c>
      <c r="AT5051" s="247">
        <v>1</v>
      </c>
      <c r="AU5051" s="181" t="s">
        <v>7494</v>
      </c>
      <c r="AV5051" s="185" t="s">
        <v>176</v>
      </c>
      <c r="AW5051" s="244">
        <v>1</v>
      </c>
      <c r="AX5051" s="185" t="s">
        <v>176</v>
      </c>
      <c r="AY5051" s="244"/>
      <c r="AZ5051" s="58"/>
      <c r="BA5051" s="58"/>
      <c r="BB5051" s="58"/>
      <c r="BC5051" s="58"/>
      <c r="BD5051" s="58"/>
      <c r="BE5051" s="236" t="s">
        <v>5155</v>
      </c>
      <c r="BF5051" s="191" t="s">
        <v>176</v>
      </c>
      <c r="BG5051" s="191" t="s">
        <v>479</v>
      </c>
      <c r="BH5051" s="236" t="s">
        <v>5155</v>
      </c>
      <c r="BI5051" s="191" t="s">
        <v>479</v>
      </c>
      <c r="BJ5051" s="58" t="str">
        <f>IF(BE5051=BH5051,"No","yes")</f>
        <v>No</v>
      </c>
      <c r="BK5051" s="58" t="s">
        <v>6334</v>
      </c>
      <c r="BL5051" s="58"/>
      <c r="BM5051" s="237"/>
      <c r="BN5051" s="244">
        <v>24</v>
      </c>
      <c r="BO5051" s="244">
        <v>24</v>
      </c>
      <c r="BP5051" s="58"/>
      <c r="BQ5051" s="58"/>
      <c r="BR5051" s="58"/>
      <c r="BS5051" s="58"/>
      <c r="BT5051" s="58"/>
      <c r="BU5051" s="58"/>
      <c r="BV5051" s="58" t="s">
        <v>2222</v>
      </c>
      <c r="BW5051" s="67"/>
      <c r="BX5051" s="67"/>
      <c r="BY5051" s="67"/>
      <c r="BZ5051" s="67"/>
      <c r="CA5051" s="67"/>
      <c r="CB5051" s="70"/>
      <c r="CC5051" s="70"/>
      <c r="CD5051" s="70"/>
      <c r="CE5051" s="67"/>
      <c r="CF5051" s="67"/>
      <c r="CG5051" s="67"/>
      <c r="CH5051" s="245"/>
      <c r="CI5051" s="245"/>
      <c r="CJ5051" s="67"/>
      <c r="CK5051" s="67"/>
      <c r="CL5051" s="67"/>
      <c r="CM5051" s="242"/>
      <c r="CN5051" s="242"/>
      <c r="CO5051" s="242"/>
      <c r="CP5051" s="242"/>
      <c r="CQ5051" s="242"/>
      <c r="CR5051" s="242"/>
      <c r="CS5051" s="242"/>
      <c r="CT5051" s="242"/>
      <c r="CU5051" s="242"/>
      <c r="CV5051" s="242"/>
      <c r="CW5051" s="67"/>
      <c r="CX5051" s="67"/>
      <c r="CY5051" s="242"/>
      <c r="CZ5051" s="242"/>
      <c r="DA5051" s="67"/>
      <c r="DB5051" s="67"/>
      <c r="DC5051" s="67"/>
      <c r="DD5051" s="67"/>
      <c r="DE5051" s="67"/>
      <c r="DF5051" s="67"/>
      <c r="DG5051" s="67"/>
      <c r="DH5051" s="67"/>
      <c r="DI5051" s="67"/>
      <c r="DJ5051" s="67"/>
      <c r="DK5051" s="67"/>
      <c r="DL5051" s="67"/>
      <c r="DM5051" s="67"/>
      <c r="DN5051" s="67"/>
      <c r="DO5051" s="67"/>
      <c r="DP5051" s="67"/>
      <c r="DQ5051" s="166"/>
      <c r="DR5051" s="166"/>
      <c r="DS5051" s="163"/>
      <c r="DT5051" s="163"/>
      <c r="DU5051" s="67"/>
      <c r="DV5051" s="67"/>
      <c r="DW5051" s="67"/>
      <c r="DX5051" s="67"/>
      <c r="DY5051" s="67"/>
      <c r="DZ5051" s="67"/>
      <c r="EA5051" s="67"/>
      <c r="EB5051" s="67"/>
      <c r="EC5051" s="67"/>
      <c r="ED5051" s="67"/>
      <c r="EE5051" s="67"/>
      <c r="EF5051" s="67"/>
      <c r="EG5051" s="67"/>
      <c r="EH5051" s="67"/>
      <c r="EI5051" s="67"/>
      <c r="EJ5051" s="67"/>
      <c r="EK5051" s="94"/>
      <c r="EL5051" s="94"/>
      <c r="EM5051" s="67"/>
      <c r="EN5051" s="67"/>
      <c r="EO5051" s="67"/>
      <c r="EP5051" s="67"/>
      <c r="EQ5051" s="67"/>
      <c r="ER5051" s="67"/>
      <c r="ES5051" s="67"/>
      <c r="ET5051" s="67"/>
      <c r="EU5051" s="67"/>
      <c r="EV5051" s="67"/>
      <c r="EW5051" s="67"/>
      <c r="EX5051" s="67"/>
      <c r="EY5051" s="67"/>
      <c r="EZ5051" s="67"/>
      <c r="FA5051" s="67"/>
      <c r="FB5051" s="67"/>
      <c r="FC5051" s="67"/>
      <c r="FD5051" s="67"/>
      <c r="FE5051" s="67"/>
      <c r="FF5051" s="67"/>
      <c r="FG5051" s="67"/>
      <c r="FH5051" s="67"/>
      <c r="FI5051" s="67"/>
      <c r="FJ5051" s="67"/>
      <c r="FK5051" s="67"/>
      <c r="FL5051" s="67"/>
      <c r="FM5051" s="67"/>
      <c r="FN5051" s="67"/>
      <c r="FO5051" s="67"/>
      <c r="FP5051" s="67"/>
      <c r="FQ5051" s="67"/>
      <c r="FR5051" s="67"/>
      <c r="FS5051" s="67"/>
      <c r="FT5051" s="67"/>
      <c r="FU5051" s="67"/>
      <c r="FV5051" s="67"/>
      <c r="FW5051" s="67"/>
      <c r="FX5051" s="67"/>
      <c r="FY5051" s="67"/>
      <c r="FZ5051" s="67"/>
      <c r="GA5051" s="67"/>
      <c r="GB5051" s="67"/>
      <c r="GC5051" s="67"/>
      <c r="GD5051" s="67"/>
      <c r="GE5051" s="67"/>
      <c r="GF5051" s="67"/>
      <c r="GG5051" s="67"/>
      <c r="GH5051" s="67"/>
      <c r="GI5051" s="67"/>
      <c r="GJ5051" s="67"/>
      <c r="GK5051" s="67"/>
      <c r="GL5051" s="67"/>
      <c r="GM5051" s="67"/>
      <c r="GN5051" s="292"/>
      <c r="GO5051" s="292"/>
      <c r="GP5051" s="292" t="s">
        <v>7494</v>
      </c>
      <c r="GQ5051" s="67"/>
      <c r="GR5051" s="67"/>
      <c r="GS5051" s="67"/>
      <c r="GT5051" s="67"/>
      <c r="GU5051" s="67"/>
      <c r="GV5051" s="67"/>
      <c r="GW5051" s="67"/>
      <c r="GX5051" s="67"/>
      <c r="GY5051" s="67"/>
      <c r="GZ5051" s="67"/>
      <c r="HA5051" s="67"/>
      <c r="HB5051" s="67"/>
      <c r="HC5051" s="67"/>
      <c r="HD5051" s="67"/>
      <c r="HE5051" s="67"/>
      <c r="HF5051" s="67"/>
      <c r="HG5051" s="67"/>
      <c r="HH5051" s="67"/>
      <c r="HI5051" s="67"/>
      <c r="HJ5051" s="67"/>
      <c r="HK5051" s="67"/>
      <c r="HL5051" s="67"/>
      <c r="HM5051" s="67"/>
      <c r="HN5051" s="67"/>
      <c r="HO5051" s="67"/>
      <c r="HP5051" s="67"/>
      <c r="HQ5051" s="67"/>
      <c r="HR5051" s="67"/>
      <c r="HS5051" s="67"/>
      <c r="HT5051" s="67"/>
      <c r="HU5051" s="67"/>
      <c r="HV5051" s="67"/>
      <c r="HW5051" s="67"/>
      <c r="HX5051" s="67"/>
      <c r="HY5051" s="67"/>
      <c r="HZ5051" s="67"/>
      <c r="IA5051" s="67"/>
      <c r="IB5051" s="67"/>
      <c r="IC5051" s="67"/>
      <c r="ID5051" s="67"/>
      <c r="IE5051" s="67"/>
      <c r="IF5051" s="67"/>
      <c r="IG5051" s="67"/>
      <c r="IH5051" s="67"/>
      <c r="II5051" s="67"/>
      <c r="IJ5051" s="67"/>
      <c r="IK5051" s="67"/>
      <c r="IL5051" s="67"/>
      <c r="IM5051" s="67">
        <v>343</v>
      </c>
      <c r="IN5051" s="67">
        <v>239</v>
      </c>
      <c r="IO5051" s="67">
        <f>366.6-IM5051</f>
        <v>23.600000000000023</v>
      </c>
      <c r="IP5051" s="67">
        <f>258-IN5051</f>
        <v>19</v>
      </c>
      <c r="IQ5051" s="67" t="s">
        <v>2879</v>
      </c>
      <c r="IR5051" s="67"/>
      <c r="IS5051" s="67"/>
      <c r="IT5051" s="67"/>
      <c r="IU5051" s="67"/>
      <c r="IV5051" s="67"/>
      <c r="IW5051" s="67"/>
      <c r="IX5051" s="67"/>
      <c r="IY5051" s="67"/>
      <c r="IZ5051" s="67"/>
      <c r="JA5051" s="67"/>
      <c r="JB5051" s="67"/>
      <c r="JC5051" s="67"/>
      <c r="JD5051" s="67"/>
      <c r="JE5051" s="67"/>
      <c r="JF5051" s="67"/>
      <c r="JG5051" s="67"/>
      <c r="JH5051" s="67"/>
      <c r="JI5051" s="67"/>
      <c r="JJ5051" s="67"/>
      <c r="JK5051" s="67"/>
      <c r="JL5051" s="67"/>
      <c r="JM5051" s="67"/>
      <c r="JN5051" s="67"/>
      <c r="JO5051" s="67"/>
      <c r="JP5051" s="67"/>
      <c r="JQ5051" s="67"/>
      <c r="JR5051" s="67"/>
      <c r="JS5051" s="67"/>
      <c r="JT5051" s="67"/>
      <c r="JU5051" s="58"/>
      <c r="JV5051" s="58"/>
      <c r="JW5051" s="58"/>
    </row>
    <row r="5052" spans="1:283" s="23" customFormat="1" x14ac:dyDescent="0.25">
      <c r="A5052" s="55">
        <v>5051</v>
      </c>
      <c r="B5052" s="12" t="s">
        <v>7067</v>
      </c>
      <c r="C5052" s="156">
        <v>258</v>
      </c>
      <c r="D5052" s="58" t="s">
        <v>5003</v>
      </c>
      <c r="E5052" s="160" t="str">
        <f>G5052</f>
        <v>Oberholzer et al 2000</v>
      </c>
      <c r="F5052" s="160"/>
      <c r="G5052" s="60" t="s">
        <v>4724</v>
      </c>
      <c r="H5052" s="58">
        <v>2000</v>
      </c>
      <c r="I5052" s="58" t="s">
        <v>2847</v>
      </c>
      <c r="J5052" s="243" t="s">
        <v>5319</v>
      </c>
      <c r="K5052" s="63" t="s">
        <v>5970</v>
      </c>
      <c r="L5052" s="58" t="s">
        <v>5333</v>
      </c>
      <c r="M5052" s="94">
        <v>47.5</v>
      </c>
      <c r="N5052" s="94">
        <v>7.55</v>
      </c>
      <c r="O5052" s="94"/>
      <c r="P5052" s="58"/>
      <c r="Q5052" s="244"/>
      <c r="R5052" s="58"/>
      <c r="S5052" s="245"/>
      <c r="T5052" s="58"/>
      <c r="U5052" s="58" t="s">
        <v>1675</v>
      </c>
      <c r="V5052" s="244" t="s">
        <v>1675</v>
      </c>
      <c r="W5052" s="174"/>
      <c r="X5052" s="174"/>
      <c r="Y5052" s="58" t="s">
        <v>5971</v>
      </c>
      <c r="Z5052" s="244" t="s">
        <v>1346</v>
      </c>
      <c r="AA5052" s="245">
        <v>20</v>
      </c>
      <c r="AB5052" s="67"/>
      <c r="AC5052" s="67"/>
      <c r="AD5052" s="94"/>
      <c r="AE5052" s="94"/>
      <c r="AF5052" s="94"/>
      <c r="AG5052" s="245">
        <v>27</v>
      </c>
      <c r="AH5052" s="58"/>
      <c r="AI5052" s="169"/>
      <c r="AJ5052" s="94"/>
      <c r="AK5052" s="94"/>
      <c r="AL5052" s="58"/>
      <c r="AM5052" s="58"/>
      <c r="AN5052" s="186"/>
      <c r="AO5052" s="185" t="s">
        <v>7494</v>
      </c>
      <c r="AP5052" s="58"/>
      <c r="AQ5052" s="58"/>
      <c r="AR5052" s="58"/>
      <c r="AS5052" s="246" t="s">
        <v>5133</v>
      </c>
      <c r="AT5052" s="247">
        <v>1</v>
      </c>
      <c r="AU5052" s="181" t="s">
        <v>7494</v>
      </c>
      <c r="AV5052" s="185" t="s">
        <v>176</v>
      </c>
      <c r="AW5052" s="244">
        <v>1</v>
      </c>
      <c r="AX5052" s="185" t="s">
        <v>176</v>
      </c>
      <c r="AY5052" s="244"/>
      <c r="AZ5052" s="58"/>
      <c r="BA5052" s="58"/>
      <c r="BB5052" s="58"/>
      <c r="BC5052" s="58"/>
      <c r="BD5052" s="58"/>
      <c r="BE5052" s="236" t="s">
        <v>5155</v>
      </c>
      <c r="BF5052" s="191" t="s">
        <v>176</v>
      </c>
      <c r="BG5052" s="191" t="s">
        <v>479</v>
      </c>
      <c r="BH5052" s="236" t="s">
        <v>5155</v>
      </c>
      <c r="BI5052" s="191" t="s">
        <v>479</v>
      </c>
      <c r="BJ5052" s="58" t="str">
        <f>IF(BE5052=BH5052,"No","yes")</f>
        <v>No</v>
      </c>
      <c r="BK5052" s="58" t="s">
        <v>6334</v>
      </c>
      <c r="BL5052" s="58"/>
      <c r="BM5052" s="237"/>
      <c r="BN5052" s="244">
        <v>24</v>
      </c>
      <c r="BO5052" s="244">
        <v>24</v>
      </c>
      <c r="BP5052" s="58"/>
      <c r="BQ5052" s="58"/>
      <c r="BR5052" s="58"/>
      <c r="BS5052" s="58"/>
      <c r="BT5052" s="58"/>
      <c r="BU5052" s="58"/>
      <c r="BV5052" s="58" t="s">
        <v>5821</v>
      </c>
      <c r="BW5052" s="67"/>
      <c r="BX5052" s="67"/>
      <c r="BY5052" s="67"/>
      <c r="BZ5052" s="67"/>
      <c r="CA5052" s="67"/>
      <c r="CB5052" s="70"/>
      <c r="CC5052" s="70"/>
      <c r="CD5052" s="70"/>
      <c r="CE5052" s="67"/>
      <c r="CF5052" s="67"/>
      <c r="CG5052" s="67"/>
      <c r="CH5052" s="245"/>
      <c r="CI5052" s="245"/>
      <c r="CJ5052" s="67"/>
      <c r="CK5052" s="67"/>
      <c r="CL5052" s="67"/>
      <c r="CM5052" s="242"/>
      <c r="CN5052" s="242"/>
      <c r="CO5052" s="242"/>
      <c r="CP5052" s="242"/>
      <c r="CQ5052" s="242"/>
      <c r="CR5052" s="242"/>
      <c r="CS5052" s="242"/>
      <c r="CT5052" s="242"/>
      <c r="CU5052" s="242"/>
      <c r="CV5052" s="242"/>
      <c r="CW5052" s="67"/>
      <c r="CX5052" s="67"/>
      <c r="CY5052" s="242"/>
      <c r="CZ5052" s="242"/>
      <c r="DA5052" s="67"/>
      <c r="DB5052" s="67"/>
      <c r="DC5052" s="67"/>
      <c r="DD5052" s="67"/>
      <c r="DE5052" s="67"/>
      <c r="DF5052" s="67"/>
      <c r="DG5052" s="67"/>
      <c r="DH5052" s="67"/>
      <c r="DI5052" s="67"/>
      <c r="DJ5052" s="67"/>
      <c r="DK5052" s="67"/>
      <c r="DL5052" s="67"/>
      <c r="DM5052" s="67"/>
      <c r="DN5052" s="67"/>
      <c r="DO5052" s="67"/>
      <c r="DP5052" s="67"/>
      <c r="DQ5052" s="166"/>
      <c r="DR5052" s="166"/>
      <c r="DS5052" s="163"/>
      <c r="DT5052" s="163"/>
      <c r="DU5052" s="67"/>
      <c r="DV5052" s="67"/>
      <c r="DW5052" s="67"/>
      <c r="DX5052" s="67"/>
      <c r="DY5052" s="67"/>
      <c r="DZ5052" s="67"/>
      <c r="EA5052" s="67"/>
      <c r="EB5052" s="67"/>
      <c r="EC5052" s="67"/>
      <c r="ED5052" s="67"/>
      <c r="EE5052" s="67"/>
      <c r="EF5052" s="67"/>
      <c r="EG5052" s="67"/>
      <c r="EH5052" s="67"/>
      <c r="EI5052" s="67"/>
      <c r="EJ5052" s="67"/>
      <c r="EK5052" s="94"/>
      <c r="EL5052" s="94"/>
      <c r="EM5052" s="67"/>
      <c r="EN5052" s="67"/>
      <c r="EO5052" s="67"/>
      <c r="EP5052" s="67"/>
      <c r="EQ5052" s="67"/>
      <c r="ER5052" s="67"/>
      <c r="ES5052" s="67"/>
      <c r="ET5052" s="67"/>
      <c r="EU5052" s="67"/>
      <c r="EV5052" s="67"/>
      <c r="EW5052" s="67"/>
      <c r="EX5052" s="67"/>
      <c r="EY5052" s="67"/>
      <c r="EZ5052" s="67"/>
      <c r="FA5052" s="67"/>
      <c r="FB5052" s="67"/>
      <c r="FC5052" s="67"/>
      <c r="FD5052" s="67"/>
      <c r="FE5052" s="67"/>
      <c r="FF5052" s="67"/>
      <c r="FG5052" s="67"/>
      <c r="FH5052" s="67"/>
      <c r="FI5052" s="67"/>
      <c r="FJ5052" s="67"/>
      <c r="FK5052" s="67"/>
      <c r="FL5052" s="67"/>
      <c r="FM5052" s="67"/>
      <c r="FN5052" s="67"/>
      <c r="FO5052" s="67"/>
      <c r="FP5052" s="67"/>
      <c r="FQ5052" s="67"/>
      <c r="FR5052" s="67"/>
      <c r="FS5052" s="67"/>
      <c r="FT5052" s="67"/>
      <c r="FU5052" s="67"/>
      <c r="FV5052" s="67"/>
      <c r="FW5052" s="67"/>
      <c r="FX5052" s="67"/>
      <c r="FY5052" s="67"/>
      <c r="FZ5052" s="67"/>
      <c r="GA5052" s="67"/>
      <c r="GB5052" s="67"/>
      <c r="GC5052" s="67"/>
      <c r="GD5052" s="67"/>
      <c r="GE5052" s="67"/>
      <c r="GF5052" s="67"/>
      <c r="GG5052" s="67"/>
      <c r="GH5052" s="67"/>
      <c r="GI5052" s="67"/>
      <c r="GJ5052" s="67"/>
      <c r="GK5052" s="67"/>
      <c r="GL5052" s="67"/>
      <c r="GM5052" s="67"/>
      <c r="GN5052" s="292"/>
      <c r="GO5052" s="292"/>
      <c r="GP5052" s="292" t="s">
        <v>7494</v>
      </c>
      <c r="GQ5052" s="67"/>
      <c r="GR5052" s="67"/>
      <c r="GS5052" s="67"/>
      <c r="GT5052" s="67"/>
      <c r="GU5052" s="67"/>
      <c r="GV5052" s="67"/>
      <c r="GW5052" s="67"/>
      <c r="GX5052" s="67"/>
      <c r="GY5052" s="67"/>
      <c r="GZ5052" s="67"/>
      <c r="HA5052" s="67"/>
      <c r="HB5052" s="67"/>
      <c r="HC5052" s="67"/>
      <c r="HD5052" s="67"/>
      <c r="HE5052" s="67"/>
      <c r="HF5052" s="67"/>
      <c r="HG5052" s="67"/>
      <c r="HH5052" s="67"/>
      <c r="HI5052" s="67"/>
      <c r="HJ5052" s="67"/>
      <c r="HK5052" s="67"/>
      <c r="HL5052" s="67"/>
      <c r="HM5052" s="67"/>
      <c r="HN5052" s="67"/>
      <c r="HO5052" s="67"/>
      <c r="HP5052" s="67"/>
      <c r="HQ5052" s="67"/>
      <c r="HR5052" s="67"/>
      <c r="HS5052" s="67"/>
      <c r="HT5052" s="67"/>
      <c r="HU5052" s="67"/>
      <c r="HV5052" s="67"/>
      <c r="HW5052" s="67"/>
      <c r="HX5052" s="67"/>
      <c r="HY5052" s="67"/>
      <c r="HZ5052" s="67"/>
      <c r="IA5052" s="67"/>
      <c r="IB5052" s="67"/>
      <c r="IC5052" s="67"/>
      <c r="ID5052" s="67"/>
      <c r="IE5052" s="67"/>
      <c r="IF5052" s="67"/>
      <c r="IG5052" s="67"/>
      <c r="IH5052" s="67"/>
      <c r="II5052" s="67"/>
      <c r="IJ5052" s="67"/>
      <c r="IK5052" s="67"/>
      <c r="IL5052" s="67"/>
      <c r="IM5052" s="67">
        <v>279</v>
      </c>
      <c r="IN5052" s="67">
        <v>225</v>
      </c>
      <c r="IO5052" s="67">
        <f>310-IM5052</f>
        <v>31</v>
      </c>
      <c r="IP5052" s="67">
        <v>8</v>
      </c>
      <c r="IQ5052" s="67" t="s">
        <v>2879</v>
      </c>
      <c r="IR5052" s="67"/>
      <c r="IS5052" s="67"/>
      <c r="IT5052" s="67"/>
      <c r="IU5052" s="67"/>
      <c r="IV5052" s="67"/>
      <c r="IW5052" s="67"/>
      <c r="IX5052" s="67"/>
      <c r="IY5052" s="67"/>
      <c r="IZ5052" s="67"/>
      <c r="JA5052" s="67"/>
      <c r="JB5052" s="67"/>
      <c r="JC5052" s="67"/>
      <c r="JD5052" s="67"/>
      <c r="JE5052" s="67"/>
      <c r="JF5052" s="67"/>
      <c r="JG5052" s="67"/>
      <c r="JH5052" s="67"/>
      <c r="JI5052" s="67"/>
      <c r="JJ5052" s="67"/>
      <c r="JK5052" s="67"/>
      <c r="JL5052" s="67"/>
      <c r="JM5052" s="67"/>
      <c r="JN5052" s="67"/>
      <c r="JO5052" s="67"/>
      <c r="JP5052" s="67"/>
      <c r="JQ5052" s="67"/>
      <c r="JR5052" s="67"/>
      <c r="JS5052" s="67"/>
      <c r="JT5052" s="67"/>
      <c r="JU5052" s="58"/>
      <c r="JV5052" s="58"/>
      <c r="JW5052" s="58"/>
    </row>
    <row r="5053" spans="1:283" s="23" customFormat="1" x14ac:dyDescent="0.25">
      <c r="A5053" s="55">
        <v>5052</v>
      </c>
      <c r="B5053" s="12" t="s">
        <v>7067</v>
      </c>
      <c r="C5053" s="156">
        <v>258</v>
      </c>
      <c r="D5053" s="58" t="s">
        <v>5003</v>
      </c>
      <c r="E5053" s="160" t="str">
        <f>G5053</f>
        <v>Oberholzer et al 2000</v>
      </c>
      <c r="F5053" s="160"/>
      <c r="G5053" s="60" t="s">
        <v>4724</v>
      </c>
      <c r="H5053" s="58">
        <v>2000</v>
      </c>
      <c r="I5053" s="58" t="s">
        <v>2847</v>
      </c>
      <c r="J5053" s="243" t="s">
        <v>5319</v>
      </c>
      <c r="K5053" s="63" t="s">
        <v>5970</v>
      </c>
      <c r="L5053" s="58" t="s">
        <v>5333</v>
      </c>
      <c r="M5053" s="94">
        <v>47.5</v>
      </c>
      <c r="N5053" s="94">
        <v>7.55</v>
      </c>
      <c r="O5053" s="94"/>
      <c r="P5053" s="58"/>
      <c r="Q5053" s="244"/>
      <c r="R5053" s="58"/>
      <c r="S5053" s="245"/>
      <c r="T5053" s="58"/>
      <c r="U5053" s="58" t="s">
        <v>1675</v>
      </c>
      <c r="V5053" s="244" t="s">
        <v>1675</v>
      </c>
      <c r="W5053" s="174"/>
      <c r="X5053" s="174"/>
      <c r="Y5053" s="58" t="s">
        <v>5971</v>
      </c>
      <c r="Z5053" s="244" t="s">
        <v>1346</v>
      </c>
      <c r="AA5053" s="245">
        <v>20</v>
      </c>
      <c r="AB5053" s="67"/>
      <c r="AC5053" s="67"/>
      <c r="AD5053" s="94"/>
      <c r="AE5053" s="94"/>
      <c r="AF5053" s="94"/>
      <c r="AG5053" s="245">
        <v>27</v>
      </c>
      <c r="AH5053" s="58"/>
      <c r="AI5053" s="169"/>
      <c r="AJ5053" s="94"/>
      <c r="AK5053" s="94"/>
      <c r="AL5053" s="58"/>
      <c r="AM5053" s="58"/>
      <c r="AN5053" s="186"/>
      <c r="AO5053" s="185" t="s">
        <v>7494</v>
      </c>
      <c r="AP5053" s="58"/>
      <c r="AQ5053" s="58"/>
      <c r="AR5053" s="58"/>
      <c r="AS5053" s="246" t="s">
        <v>5133</v>
      </c>
      <c r="AT5053" s="247">
        <v>1</v>
      </c>
      <c r="AU5053" s="181" t="s">
        <v>7494</v>
      </c>
      <c r="AV5053" s="185" t="s">
        <v>176</v>
      </c>
      <c r="AW5053" s="244">
        <v>1</v>
      </c>
      <c r="AX5053" s="185" t="s">
        <v>176</v>
      </c>
      <c r="AY5053" s="244"/>
      <c r="AZ5053" s="58"/>
      <c r="BA5053" s="58"/>
      <c r="BB5053" s="58"/>
      <c r="BC5053" s="58"/>
      <c r="BD5053" s="58"/>
      <c r="BE5053" s="236" t="s">
        <v>5155</v>
      </c>
      <c r="BF5053" s="191" t="s">
        <v>176</v>
      </c>
      <c r="BG5053" s="191" t="s">
        <v>479</v>
      </c>
      <c r="BH5053" s="236" t="s">
        <v>5155</v>
      </c>
      <c r="BI5053" s="191" t="s">
        <v>479</v>
      </c>
      <c r="BJ5053" s="58" t="str">
        <f>IF(BE5053=BH5053,"No","yes")</f>
        <v>No</v>
      </c>
      <c r="BK5053" s="58" t="s">
        <v>6334</v>
      </c>
      <c r="BL5053" s="58"/>
      <c r="BM5053" s="237"/>
      <c r="BN5053" s="244">
        <v>24</v>
      </c>
      <c r="BO5053" s="244">
        <v>24</v>
      </c>
      <c r="BP5053" s="58"/>
      <c r="BQ5053" s="58"/>
      <c r="BR5053" s="58"/>
      <c r="BS5053" s="58"/>
      <c r="BT5053" s="58"/>
      <c r="BU5053" s="58"/>
      <c r="BV5053" s="58" t="s">
        <v>5972</v>
      </c>
      <c r="BW5053" s="67"/>
      <c r="BX5053" s="67"/>
      <c r="BY5053" s="67"/>
      <c r="BZ5053" s="67"/>
      <c r="CA5053" s="67"/>
      <c r="CB5053" s="70"/>
      <c r="CC5053" s="70"/>
      <c r="CD5053" s="70"/>
      <c r="CE5053" s="67"/>
      <c r="CF5053" s="67"/>
      <c r="CG5053" s="67"/>
      <c r="CH5053" s="245"/>
      <c r="CI5053" s="245"/>
      <c r="CJ5053" s="67"/>
      <c r="CK5053" s="67"/>
      <c r="CL5053" s="67"/>
      <c r="CM5053" s="242"/>
      <c r="CN5053" s="242"/>
      <c r="CO5053" s="242"/>
      <c r="CP5053" s="242"/>
      <c r="CQ5053" s="242"/>
      <c r="CR5053" s="242"/>
      <c r="CS5053" s="242"/>
      <c r="CT5053" s="242"/>
      <c r="CU5053" s="242"/>
      <c r="CV5053" s="242"/>
      <c r="CW5053" s="67"/>
      <c r="CX5053" s="67"/>
      <c r="CY5053" s="242"/>
      <c r="CZ5053" s="242"/>
      <c r="DA5053" s="67"/>
      <c r="DB5053" s="67"/>
      <c r="DC5053" s="67"/>
      <c r="DD5053" s="67"/>
      <c r="DE5053" s="67"/>
      <c r="DF5053" s="67"/>
      <c r="DG5053" s="67"/>
      <c r="DH5053" s="67"/>
      <c r="DI5053" s="67"/>
      <c r="DJ5053" s="67"/>
      <c r="DK5053" s="67"/>
      <c r="DL5053" s="67"/>
      <c r="DM5053" s="67"/>
      <c r="DN5053" s="67"/>
      <c r="DO5053" s="67"/>
      <c r="DP5053" s="67"/>
      <c r="DQ5053" s="166"/>
      <c r="DR5053" s="166"/>
      <c r="DS5053" s="163"/>
      <c r="DT5053" s="163"/>
      <c r="DU5053" s="67"/>
      <c r="DV5053" s="67"/>
      <c r="DW5053" s="67"/>
      <c r="DX5053" s="67"/>
      <c r="DY5053" s="67"/>
      <c r="DZ5053" s="67"/>
      <c r="EA5053" s="67"/>
      <c r="EB5053" s="67"/>
      <c r="EC5053" s="67"/>
      <c r="ED5053" s="67"/>
      <c r="EE5053" s="67"/>
      <c r="EF5053" s="67"/>
      <c r="EG5053" s="67"/>
      <c r="EH5053" s="67"/>
      <c r="EI5053" s="67"/>
      <c r="EJ5053" s="67"/>
      <c r="EK5053" s="94"/>
      <c r="EL5053" s="94"/>
      <c r="EM5053" s="67"/>
      <c r="EN5053" s="67"/>
      <c r="EO5053" s="67"/>
      <c r="EP5053" s="67"/>
      <c r="EQ5053" s="67"/>
      <c r="ER5053" s="67"/>
      <c r="ES5053" s="67"/>
      <c r="ET5053" s="67"/>
      <c r="EU5053" s="67"/>
      <c r="EV5053" s="67"/>
      <c r="EW5053" s="67"/>
      <c r="EX5053" s="67"/>
      <c r="EY5053" s="67"/>
      <c r="EZ5053" s="67"/>
      <c r="FA5053" s="67"/>
      <c r="FB5053" s="67"/>
      <c r="FC5053" s="67"/>
      <c r="FD5053" s="67"/>
      <c r="FE5053" s="67"/>
      <c r="FF5053" s="67"/>
      <c r="FG5053" s="67"/>
      <c r="FH5053" s="67"/>
      <c r="FI5053" s="67"/>
      <c r="FJ5053" s="67"/>
      <c r="FK5053" s="67"/>
      <c r="FL5053" s="67"/>
      <c r="FM5053" s="67"/>
      <c r="FN5053" s="67"/>
      <c r="FO5053" s="67"/>
      <c r="FP5053" s="67"/>
      <c r="FQ5053" s="67"/>
      <c r="FR5053" s="67"/>
      <c r="FS5053" s="67"/>
      <c r="FT5053" s="67"/>
      <c r="FU5053" s="67"/>
      <c r="FV5053" s="67"/>
      <c r="FW5053" s="67"/>
      <c r="FX5053" s="67"/>
      <c r="FY5053" s="67"/>
      <c r="FZ5053" s="67"/>
      <c r="GA5053" s="67"/>
      <c r="GB5053" s="67"/>
      <c r="GC5053" s="67"/>
      <c r="GD5053" s="67"/>
      <c r="GE5053" s="67"/>
      <c r="GF5053" s="67"/>
      <c r="GG5053" s="67"/>
      <c r="GH5053" s="67"/>
      <c r="GI5053" s="67"/>
      <c r="GJ5053" s="67"/>
      <c r="GK5053" s="67"/>
      <c r="GL5053" s="67"/>
      <c r="GM5053" s="67"/>
      <c r="GN5053" s="292"/>
      <c r="GO5053" s="292"/>
      <c r="GP5053" s="292" t="s">
        <v>7494</v>
      </c>
      <c r="GQ5053" s="67"/>
      <c r="GR5053" s="67"/>
      <c r="GS5053" s="67"/>
      <c r="GT5053" s="67"/>
      <c r="GU5053" s="67"/>
      <c r="GV5053" s="67"/>
      <c r="GW5053" s="67"/>
      <c r="GX5053" s="67"/>
      <c r="GY5053" s="67"/>
      <c r="GZ5053" s="67"/>
      <c r="HA5053" s="67"/>
      <c r="HB5053" s="67"/>
      <c r="HC5053" s="67"/>
      <c r="HD5053" s="67"/>
      <c r="HE5053" s="67"/>
      <c r="HF5053" s="67"/>
      <c r="HG5053" s="67"/>
      <c r="HH5053" s="67"/>
      <c r="HI5053" s="67"/>
      <c r="HJ5053" s="67"/>
      <c r="HK5053" s="67"/>
      <c r="HL5053" s="67"/>
      <c r="HM5053" s="67"/>
      <c r="HN5053" s="67"/>
      <c r="HO5053" s="67"/>
      <c r="HP5053" s="67"/>
      <c r="HQ5053" s="67"/>
      <c r="HR5053" s="67"/>
      <c r="HS5053" s="67"/>
      <c r="HT5053" s="67"/>
      <c r="HU5053" s="67"/>
      <c r="HV5053" s="67"/>
      <c r="HW5053" s="67"/>
      <c r="HX5053" s="67"/>
      <c r="HY5053" s="67"/>
      <c r="HZ5053" s="67"/>
      <c r="IA5053" s="67"/>
      <c r="IB5053" s="67"/>
      <c r="IC5053" s="67"/>
      <c r="ID5053" s="67"/>
      <c r="IE5053" s="67"/>
      <c r="IF5053" s="67"/>
      <c r="IG5053" s="67"/>
      <c r="IH5053" s="67"/>
      <c r="II5053" s="67"/>
      <c r="IJ5053" s="67"/>
      <c r="IK5053" s="67"/>
      <c r="IL5053" s="67"/>
      <c r="IM5053" s="67">
        <v>336</v>
      </c>
      <c r="IN5053" s="67">
        <v>264</v>
      </c>
      <c r="IO5053" s="67">
        <f>356-IM5053</f>
        <v>20</v>
      </c>
      <c r="IP5053" s="67">
        <v>15</v>
      </c>
      <c r="IQ5053" s="67" t="s">
        <v>2879</v>
      </c>
      <c r="IR5053" s="67"/>
      <c r="IS5053" s="67"/>
      <c r="IT5053" s="67"/>
      <c r="IU5053" s="67"/>
      <c r="IV5053" s="67"/>
      <c r="IW5053" s="67"/>
      <c r="IX5053" s="67"/>
      <c r="IY5053" s="67"/>
      <c r="IZ5053" s="67"/>
      <c r="JA5053" s="67"/>
      <c r="JB5053" s="67"/>
      <c r="JC5053" s="67"/>
      <c r="JD5053" s="67"/>
      <c r="JE5053" s="67"/>
      <c r="JF5053" s="67"/>
      <c r="JG5053" s="67"/>
      <c r="JH5053" s="67"/>
      <c r="JI5053" s="67"/>
      <c r="JJ5053" s="67"/>
      <c r="JK5053" s="67"/>
      <c r="JL5053" s="67"/>
      <c r="JM5053" s="67"/>
      <c r="JN5053" s="67"/>
      <c r="JO5053" s="67"/>
      <c r="JP5053" s="67"/>
      <c r="JQ5053" s="67"/>
      <c r="JR5053" s="67"/>
      <c r="JS5053" s="67"/>
      <c r="JT5053" s="67"/>
      <c r="JU5053" s="58"/>
      <c r="JV5053" s="58"/>
      <c r="JW5053" s="58"/>
    </row>
    <row r="5054" spans="1:283" s="23" customFormat="1" x14ac:dyDescent="0.25">
      <c r="A5054" s="55">
        <v>5053</v>
      </c>
      <c r="B5054" s="12" t="s">
        <v>7067</v>
      </c>
      <c r="C5054" s="156">
        <v>258</v>
      </c>
      <c r="D5054" s="58" t="s">
        <v>5003</v>
      </c>
      <c r="E5054" s="160" t="str">
        <f>G5054</f>
        <v>Oberholzer et al 2000</v>
      </c>
      <c r="F5054" s="160"/>
      <c r="G5054" s="60" t="s">
        <v>4724</v>
      </c>
      <c r="H5054" s="58">
        <v>2000</v>
      </c>
      <c r="I5054" s="58" t="s">
        <v>2847</v>
      </c>
      <c r="J5054" s="243" t="s">
        <v>5319</v>
      </c>
      <c r="K5054" s="63" t="s">
        <v>5970</v>
      </c>
      <c r="L5054" s="58" t="s">
        <v>5333</v>
      </c>
      <c r="M5054" s="94">
        <v>47.5</v>
      </c>
      <c r="N5054" s="94">
        <v>7.55</v>
      </c>
      <c r="O5054" s="94"/>
      <c r="P5054" s="58"/>
      <c r="Q5054" s="244"/>
      <c r="R5054" s="58"/>
      <c r="S5054" s="245"/>
      <c r="T5054" s="58"/>
      <c r="U5054" s="58" t="s">
        <v>1675</v>
      </c>
      <c r="V5054" s="244" t="s">
        <v>1675</v>
      </c>
      <c r="W5054" s="174"/>
      <c r="X5054" s="174"/>
      <c r="Y5054" s="58" t="s">
        <v>5971</v>
      </c>
      <c r="Z5054" s="244" t="s">
        <v>1346</v>
      </c>
      <c r="AA5054" s="245">
        <v>20</v>
      </c>
      <c r="AB5054" s="67"/>
      <c r="AC5054" s="67"/>
      <c r="AD5054" s="94"/>
      <c r="AE5054" s="94"/>
      <c r="AF5054" s="94"/>
      <c r="AG5054" s="245">
        <v>27</v>
      </c>
      <c r="AH5054" s="58"/>
      <c r="AI5054" s="169"/>
      <c r="AJ5054" s="94"/>
      <c r="AK5054" s="94"/>
      <c r="AL5054" s="58"/>
      <c r="AM5054" s="58"/>
      <c r="AN5054" s="186"/>
      <c r="AO5054" s="185" t="s">
        <v>7494</v>
      </c>
      <c r="AP5054" s="58"/>
      <c r="AQ5054" s="58"/>
      <c r="AR5054" s="58"/>
      <c r="AS5054" s="246" t="s">
        <v>5133</v>
      </c>
      <c r="AT5054" s="247">
        <v>1</v>
      </c>
      <c r="AU5054" s="181" t="s">
        <v>7494</v>
      </c>
      <c r="AV5054" s="185" t="s">
        <v>176</v>
      </c>
      <c r="AW5054" s="244">
        <v>1</v>
      </c>
      <c r="AX5054" s="185" t="s">
        <v>176</v>
      </c>
      <c r="AY5054" s="244"/>
      <c r="AZ5054" s="58"/>
      <c r="BA5054" s="58"/>
      <c r="BB5054" s="58"/>
      <c r="BC5054" s="58"/>
      <c r="BD5054" s="58"/>
      <c r="BE5054" s="236" t="s">
        <v>5155</v>
      </c>
      <c r="BF5054" s="191" t="s">
        <v>176</v>
      </c>
      <c r="BG5054" s="191" t="s">
        <v>479</v>
      </c>
      <c r="BH5054" s="236" t="s">
        <v>5155</v>
      </c>
      <c r="BI5054" s="191" t="s">
        <v>479</v>
      </c>
      <c r="BJ5054" s="58" t="str">
        <f>IF(BE5054=BH5054,"No","yes")</f>
        <v>No</v>
      </c>
      <c r="BK5054" s="58" t="s">
        <v>6334</v>
      </c>
      <c r="BL5054" s="58"/>
      <c r="BM5054" s="237"/>
      <c r="BN5054" s="244">
        <v>24</v>
      </c>
      <c r="BO5054" s="244">
        <v>24</v>
      </c>
      <c r="BP5054" s="58"/>
      <c r="BQ5054" s="58"/>
      <c r="BR5054" s="58"/>
      <c r="BS5054" s="58"/>
      <c r="BT5054" s="58"/>
      <c r="BU5054" s="58"/>
      <c r="BV5054" s="58" t="s">
        <v>2222</v>
      </c>
      <c r="BW5054" s="67"/>
      <c r="BX5054" s="67"/>
      <c r="BY5054" s="67"/>
      <c r="BZ5054" s="67"/>
      <c r="CA5054" s="67"/>
      <c r="CB5054" s="70"/>
      <c r="CC5054" s="70"/>
      <c r="CD5054" s="70"/>
      <c r="CE5054" s="67"/>
      <c r="CF5054" s="67"/>
      <c r="CG5054" s="67"/>
      <c r="CH5054" s="245"/>
      <c r="CI5054" s="245"/>
      <c r="CJ5054" s="67"/>
      <c r="CK5054" s="67"/>
      <c r="CL5054" s="67"/>
      <c r="CM5054" s="242"/>
      <c r="CN5054" s="242"/>
      <c r="CO5054" s="242"/>
      <c r="CP5054" s="242"/>
      <c r="CQ5054" s="242"/>
      <c r="CR5054" s="242"/>
      <c r="CS5054" s="242"/>
      <c r="CT5054" s="242"/>
      <c r="CU5054" s="242"/>
      <c r="CV5054" s="242"/>
      <c r="CW5054" s="67"/>
      <c r="CX5054" s="67"/>
      <c r="CY5054" s="242"/>
      <c r="CZ5054" s="242"/>
      <c r="DA5054" s="67"/>
      <c r="DB5054" s="67"/>
      <c r="DC5054" s="67"/>
      <c r="DD5054" s="67"/>
      <c r="DE5054" s="67"/>
      <c r="DF5054" s="67"/>
      <c r="DG5054" s="67"/>
      <c r="DH5054" s="67"/>
      <c r="DI5054" s="67"/>
      <c r="DJ5054" s="67"/>
      <c r="DK5054" s="67"/>
      <c r="DL5054" s="67"/>
      <c r="DM5054" s="67"/>
      <c r="DN5054" s="67"/>
      <c r="DO5054" s="67"/>
      <c r="DP5054" s="67"/>
      <c r="DQ5054" s="166"/>
      <c r="DR5054" s="166"/>
      <c r="DS5054" s="163"/>
      <c r="DT5054" s="163"/>
      <c r="DU5054" s="67"/>
      <c r="DV5054" s="67"/>
      <c r="DW5054" s="67"/>
      <c r="DX5054" s="67"/>
      <c r="DY5054" s="67"/>
      <c r="DZ5054" s="67"/>
      <c r="EA5054" s="67"/>
      <c r="EB5054" s="67"/>
      <c r="EC5054" s="67"/>
      <c r="ED5054" s="67"/>
      <c r="EE5054" s="67"/>
      <c r="EF5054" s="67"/>
      <c r="EG5054" s="67"/>
      <c r="EH5054" s="67"/>
      <c r="EI5054" s="67"/>
      <c r="EJ5054" s="67"/>
      <c r="EK5054" s="94"/>
      <c r="EL5054" s="94"/>
      <c r="EM5054" s="67"/>
      <c r="EN5054" s="67"/>
      <c r="EO5054" s="67"/>
      <c r="EP5054" s="67"/>
      <c r="EQ5054" s="67"/>
      <c r="ER5054" s="67"/>
      <c r="ES5054" s="67"/>
      <c r="ET5054" s="67"/>
      <c r="EU5054" s="67"/>
      <c r="EV5054" s="67"/>
      <c r="EW5054" s="67"/>
      <c r="EX5054" s="67"/>
      <c r="EY5054" s="67"/>
      <c r="EZ5054" s="67"/>
      <c r="FA5054" s="67"/>
      <c r="FB5054" s="67"/>
      <c r="FC5054" s="67"/>
      <c r="FD5054" s="67"/>
      <c r="FE5054" s="67"/>
      <c r="FF5054" s="67"/>
      <c r="FG5054" s="67"/>
      <c r="FH5054" s="67"/>
      <c r="FI5054" s="67"/>
      <c r="FJ5054" s="67"/>
      <c r="FK5054" s="67"/>
      <c r="FL5054" s="67"/>
      <c r="FM5054" s="67"/>
      <c r="FN5054" s="67"/>
      <c r="FO5054" s="67"/>
      <c r="FP5054" s="67"/>
      <c r="FQ5054" s="67"/>
      <c r="FR5054" s="67"/>
      <c r="FS5054" s="67"/>
      <c r="FT5054" s="67"/>
      <c r="FU5054" s="67"/>
      <c r="FV5054" s="67"/>
      <c r="FW5054" s="67"/>
      <c r="FX5054" s="67"/>
      <c r="FY5054" s="67"/>
      <c r="FZ5054" s="67"/>
      <c r="GA5054" s="67"/>
      <c r="GB5054" s="67"/>
      <c r="GC5054" s="67"/>
      <c r="GD5054" s="67"/>
      <c r="GE5054" s="67"/>
      <c r="GF5054" s="67"/>
      <c r="GG5054" s="67"/>
      <c r="GH5054" s="67"/>
      <c r="GI5054" s="67"/>
      <c r="GJ5054" s="67"/>
      <c r="GK5054" s="67"/>
      <c r="GL5054" s="67"/>
      <c r="GM5054" s="67"/>
      <c r="GN5054" s="292"/>
      <c r="GO5054" s="292"/>
      <c r="GP5054" s="292" t="s">
        <v>7494</v>
      </c>
      <c r="GQ5054" s="67"/>
      <c r="GR5054" s="67"/>
      <c r="GS5054" s="67"/>
      <c r="GT5054" s="67"/>
      <c r="GU5054" s="67"/>
      <c r="GV5054" s="67"/>
      <c r="GW5054" s="67"/>
      <c r="GX5054" s="67"/>
      <c r="GY5054" s="67"/>
      <c r="GZ5054" s="67"/>
      <c r="HA5054" s="67"/>
      <c r="HB5054" s="67"/>
      <c r="HC5054" s="67"/>
      <c r="HD5054" s="67"/>
      <c r="HE5054" s="67"/>
      <c r="HF5054" s="67"/>
      <c r="HG5054" s="67"/>
      <c r="HH5054" s="67"/>
      <c r="HI5054" s="67"/>
      <c r="HJ5054" s="67"/>
      <c r="HK5054" s="67"/>
      <c r="HL5054" s="67"/>
      <c r="HM5054" s="67"/>
      <c r="HN5054" s="67"/>
      <c r="HO5054" s="67"/>
      <c r="HP5054" s="67"/>
      <c r="HQ5054" s="67"/>
      <c r="HR5054" s="67"/>
      <c r="HS5054" s="67"/>
      <c r="HT5054" s="67"/>
      <c r="HU5054" s="67"/>
      <c r="HV5054" s="67"/>
      <c r="HW5054" s="67"/>
      <c r="HX5054" s="67"/>
      <c r="HY5054" s="67"/>
      <c r="HZ5054" s="67"/>
      <c r="IA5054" s="67"/>
      <c r="IB5054" s="67"/>
      <c r="IC5054" s="67"/>
      <c r="ID5054" s="67"/>
      <c r="IE5054" s="67"/>
      <c r="IF5054" s="67"/>
      <c r="IG5054" s="67"/>
      <c r="IH5054" s="67"/>
      <c r="II5054" s="67"/>
      <c r="IJ5054" s="67"/>
      <c r="IK5054" s="67"/>
      <c r="IL5054" s="67"/>
      <c r="IM5054" s="67">
        <v>279</v>
      </c>
      <c r="IN5054" s="67">
        <v>239</v>
      </c>
      <c r="IO5054" s="67">
        <f>295-IM5054</f>
        <v>16</v>
      </c>
      <c r="IP5054" s="67">
        <v>19</v>
      </c>
      <c r="IQ5054" s="67" t="s">
        <v>2879</v>
      </c>
      <c r="IR5054" s="67"/>
      <c r="IS5054" s="67"/>
      <c r="IT5054" s="67"/>
      <c r="IU5054" s="67"/>
      <c r="IV5054" s="67"/>
      <c r="IW5054" s="67"/>
      <c r="IX5054" s="67"/>
      <c r="IY5054" s="67"/>
      <c r="IZ5054" s="67"/>
      <c r="JA5054" s="67"/>
      <c r="JB5054" s="67"/>
      <c r="JC5054" s="67"/>
      <c r="JD5054" s="67"/>
      <c r="JE5054" s="67"/>
      <c r="JF5054" s="67"/>
      <c r="JG5054" s="67"/>
      <c r="JH5054" s="67"/>
      <c r="JI5054" s="67"/>
      <c r="JJ5054" s="67"/>
      <c r="JK5054" s="67"/>
      <c r="JL5054" s="67"/>
      <c r="JM5054" s="67"/>
      <c r="JN5054" s="67"/>
      <c r="JO5054" s="67"/>
      <c r="JP5054" s="67"/>
      <c r="JQ5054" s="67"/>
      <c r="JR5054" s="67"/>
      <c r="JS5054" s="67"/>
      <c r="JT5054" s="67"/>
      <c r="JU5054" s="58"/>
      <c r="JV5054" s="58"/>
      <c r="JW5054" s="58"/>
    </row>
    <row r="5055" spans="1:283" s="23" customFormat="1" x14ac:dyDescent="0.25">
      <c r="A5055" s="55">
        <v>5054</v>
      </c>
      <c r="B5055" s="12" t="s">
        <v>7067</v>
      </c>
      <c r="C5055" s="156">
        <v>258</v>
      </c>
      <c r="D5055" s="58" t="s">
        <v>5003</v>
      </c>
      <c r="E5055" s="160" t="str">
        <f>G5055</f>
        <v>Oberholzer et al 2000</v>
      </c>
      <c r="F5055" s="160"/>
      <c r="G5055" s="60" t="s">
        <v>4724</v>
      </c>
      <c r="H5055" s="58">
        <v>2000</v>
      </c>
      <c r="I5055" s="58" t="s">
        <v>2847</v>
      </c>
      <c r="J5055" s="243" t="s">
        <v>5319</v>
      </c>
      <c r="K5055" s="63" t="s">
        <v>5970</v>
      </c>
      <c r="L5055" s="58" t="s">
        <v>5333</v>
      </c>
      <c r="M5055" s="94">
        <v>47.5</v>
      </c>
      <c r="N5055" s="94">
        <v>7.55</v>
      </c>
      <c r="O5055" s="94"/>
      <c r="P5055" s="58"/>
      <c r="Q5055" s="244"/>
      <c r="R5055" s="58"/>
      <c r="S5055" s="245"/>
      <c r="T5055" s="58"/>
      <c r="U5055" s="58" t="s">
        <v>1675</v>
      </c>
      <c r="V5055" s="244" t="s">
        <v>1675</v>
      </c>
      <c r="W5055" s="174"/>
      <c r="X5055" s="174"/>
      <c r="Y5055" s="58" t="s">
        <v>5971</v>
      </c>
      <c r="Z5055" s="244" t="s">
        <v>1346</v>
      </c>
      <c r="AA5055" s="245">
        <v>20</v>
      </c>
      <c r="AB5055" s="67"/>
      <c r="AC5055" s="67"/>
      <c r="AD5055" s="94"/>
      <c r="AE5055" s="94"/>
      <c r="AF5055" s="94"/>
      <c r="AG5055" s="245">
        <v>27</v>
      </c>
      <c r="AH5055" s="58"/>
      <c r="AI5055" s="169"/>
      <c r="AJ5055" s="94"/>
      <c r="AK5055" s="94"/>
      <c r="AL5055" s="58"/>
      <c r="AM5055" s="58"/>
      <c r="AN5055" s="186"/>
      <c r="AO5055" s="185" t="s">
        <v>7494</v>
      </c>
      <c r="AP5055" s="58"/>
      <c r="AQ5055" s="58"/>
      <c r="AR5055" s="58"/>
      <c r="AS5055" s="246" t="s">
        <v>5133</v>
      </c>
      <c r="AT5055" s="247">
        <v>1</v>
      </c>
      <c r="AU5055" s="181" t="s">
        <v>7494</v>
      </c>
      <c r="AV5055" s="185" t="s">
        <v>176</v>
      </c>
      <c r="AW5055" s="244">
        <v>1</v>
      </c>
      <c r="AX5055" s="185" t="s">
        <v>176</v>
      </c>
      <c r="AY5055" s="244"/>
      <c r="AZ5055" s="58"/>
      <c r="BA5055" s="58"/>
      <c r="BB5055" s="58"/>
      <c r="BC5055" s="58"/>
      <c r="BD5055" s="58"/>
      <c r="BE5055" s="236" t="s">
        <v>5155</v>
      </c>
      <c r="BF5055" s="191" t="s">
        <v>176</v>
      </c>
      <c r="BG5055" s="191" t="s">
        <v>479</v>
      </c>
      <c r="BH5055" s="236" t="s">
        <v>5155</v>
      </c>
      <c r="BI5055" s="191" t="s">
        <v>479</v>
      </c>
      <c r="BJ5055" s="58" t="str">
        <f>IF(BE5055=BH5055,"No","yes")</f>
        <v>No</v>
      </c>
      <c r="BK5055" s="58" t="s">
        <v>6334</v>
      </c>
      <c r="BL5055" s="58"/>
      <c r="BM5055" s="237"/>
      <c r="BN5055" s="244">
        <v>24</v>
      </c>
      <c r="BO5055" s="244">
        <v>24</v>
      </c>
      <c r="BP5055" s="58"/>
      <c r="BQ5055" s="58"/>
      <c r="BR5055" s="58"/>
      <c r="BS5055" s="58"/>
      <c r="BT5055" s="58"/>
      <c r="BU5055" s="58"/>
      <c r="BV5055" s="58" t="s">
        <v>5821</v>
      </c>
      <c r="BW5055" s="67"/>
      <c r="BX5055" s="67"/>
      <c r="BY5055" s="67"/>
      <c r="BZ5055" s="67"/>
      <c r="CA5055" s="67"/>
      <c r="CB5055" s="70"/>
      <c r="CC5055" s="70"/>
      <c r="CD5055" s="70"/>
      <c r="CE5055" s="67"/>
      <c r="CF5055" s="67"/>
      <c r="CG5055" s="67"/>
      <c r="CH5055" s="245"/>
      <c r="CI5055" s="245"/>
      <c r="CJ5055" s="67"/>
      <c r="CK5055" s="67"/>
      <c r="CL5055" s="67"/>
      <c r="CM5055" s="242"/>
      <c r="CN5055" s="242"/>
      <c r="CO5055" s="242"/>
      <c r="CP5055" s="242"/>
      <c r="CQ5055" s="242"/>
      <c r="CR5055" s="242"/>
      <c r="CS5055" s="242"/>
      <c r="CT5055" s="242"/>
      <c r="CU5055" s="242"/>
      <c r="CV5055" s="242"/>
      <c r="CW5055" s="67"/>
      <c r="CX5055" s="67"/>
      <c r="CY5055" s="242"/>
      <c r="CZ5055" s="242"/>
      <c r="DA5055" s="67"/>
      <c r="DB5055" s="67"/>
      <c r="DC5055" s="67"/>
      <c r="DD5055" s="67"/>
      <c r="DE5055" s="67"/>
      <c r="DF5055" s="67"/>
      <c r="DG5055" s="67"/>
      <c r="DH5055" s="67"/>
      <c r="DI5055" s="67"/>
      <c r="DJ5055" s="67"/>
      <c r="DK5055" s="67"/>
      <c r="DL5055" s="67"/>
      <c r="DM5055" s="67"/>
      <c r="DN5055" s="67"/>
      <c r="DO5055" s="67"/>
      <c r="DP5055" s="67"/>
      <c r="DQ5055" s="166"/>
      <c r="DR5055" s="166"/>
      <c r="DS5055" s="163"/>
      <c r="DT5055" s="163"/>
      <c r="DU5055" s="67"/>
      <c r="DV5055" s="67"/>
      <c r="DW5055" s="67"/>
      <c r="DX5055" s="67"/>
      <c r="DY5055" s="67"/>
      <c r="DZ5055" s="67"/>
      <c r="EA5055" s="67"/>
      <c r="EB5055" s="67"/>
      <c r="EC5055" s="67"/>
      <c r="ED5055" s="67"/>
      <c r="EE5055" s="67"/>
      <c r="EF5055" s="67"/>
      <c r="EG5055" s="67"/>
      <c r="EH5055" s="67"/>
      <c r="EI5055" s="67"/>
      <c r="EJ5055" s="67"/>
      <c r="EK5055" s="94"/>
      <c r="EL5055" s="94"/>
      <c r="EM5055" s="67"/>
      <c r="EN5055" s="67"/>
      <c r="EO5055" s="67"/>
      <c r="EP5055" s="67"/>
      <c r="EQ5055" s="67"/>
      <c r="ER5055" s="67"/>
      <c r="ES5055" s="67"/>
      <c r="ET5055" s="67"/>
      <c r="EU5055" s="67"/>
      <c r="EV5055" s="67"/>
      <c r="EW5055" s="67"/>
      <c r="EX5055" s="67"/>
      <c r="EY5055" s="67"/>
      <c r="EZ5055" s="67"/>
      <c r="FA5055" s="67"/>
      <c r="FB5055" s="67"/>
      <c r="FC5055" s="67"/>
      <c r="FD5055" s="67"/>
      <c r="FE5055" s="67"/>
      <c r="FF5055" s="67"/>
      <c r="FG5055" s="67"/>
      <c r="FH5055" s="67"/>
      <c r="FI5055" s="67"/>
      <c r="FJ5055" s="67"/>
      <c r="FK5055" s="67"/>
      <c r="FL5055" s="67"/>
      <c r="FM5055" s="67"/>
      <c r="FN5055" s="67"/>
      <c r="FO5055" s="67"/>
      <c r="FP5055" s="67"/>
      <c r="FQ5055" s="67"/>
      <c r="FR5055" s="67"/>
      <c r="FS5055" s="67"/>
      <c r="FT5055" s="67"/>
      <c r="FU5055" s="67"/>
      <c r="FV5055" s="67"/>
      <c r="FW5055" s="67"/>
      <c r="FX5055" s="67"/>
      <c r="FY5055" s="67"/>
      <c r="FZ5055" s="67"/>
      <c r="GA5055" s="67"/>
      <c r="GB5055" s="67"/>
      <c r="GC5055" s="67"/>
      <c r="GD5055" s="67"/>
      <c r="GE5055" s="67"/>
      <c r="GF5055" s="67"/>
      <c r="GG5055" s="67"/>
      <c r="GH5055" s="67"/>
      <c r="GI5055" s="67"/>
      <c r="GJ5055" s="67"/>
      <c r="GK5055" s="67"/>
      <c r="GL5055" s="67"/>
      <c r="GM5055" s="67"/>
      <c r="GN5055" s="292"/>
      <c r="GO5055" s="292"/>
      <c r="GP5055" s="292" t="s">
        <v>7494</v>
      </c>
      <c r="GQ5055" s="67"/>
      <c r="GR5055" s="67"/>
      <c r="GS5055" s="67"/>
      <c r="GT5055" s="67"/>
      <c r="GU5055" s="67"/>
      <c r="GV5055" s="67"/>
      <c r="GW5055" s="67"/>
      <c r="GX5055" s="67"/>
      <c r="GY5055" s="67"/>
      <c r="GZ5055" s="67"/>
      <c r="HA5055" s="67"/>
      <c r="HB5055" s="67"/>
      <c r="HC5055" s="67"/>
      <c r="HD5055" s="67"/>
      <c r="HE5055" s="67"/>
      <c r="HF5055" s="67"/>
      <c r="HG5055" s="67"/>
      <c r="HH5055" s="67"/>
      <c r="HI5055" s="67"/>
      <c r="HJ5055" s="67"/>
      <c r="HK5055" s="67"/>
      <c r="HL5055" s="67"/>
      <c r="HM5055" s="67"/>
      <c r="HN5055" s="67"/>
      <c r="HO5055" s="67"/>
      <c r="HP5055" s="67"/>
      <c r="HQ5055" s="67"/>
      <c r="HR5055" s="67"/>
      <c r="HS5055" s="67"/>
      <c r="HT5055" s="67"/>
      <c r="HU5055" s="67"/>
      <c r="HV5055" s="67"/>
      <c r="HW5055" s="67"/>
      <c r="HX5055" s="67"/>
      <c r="HY5055" s="67"/>
      <c r="HZ5055" s="67"/>
      <c r="IA5055" s="67"/>
      <c r="IB5055" s="67"/>
      <c r="IC5055" s="67"/>
      <c r="ID5055" s="67"/>
      <c r="IE5055" s="67"/>
      <c r="IF5055" s="67"/>
      <c r="IG5055" s="67"/>
      <c r="IH5055" s="67"/>
      <c r="II5055" s="67"/>
      <c r="IJ5055" s="67"/>
      <c r="IK5055" s="67"/>
      <c r="IL5055" s="67"/>
      <c r="IM5055" s="67">
        <v>369</v>
      </c>
      <c r="IN5055" s="67">
        <v>294</v>
      </c>
      <c r="IO5055" s="67">
        <f>392-IM5055</f>
        <v>23</v>
      </c>
      <c r="IP5055" s="67">
        <f>304-IN5055</f>
        <v>10</v>
      </c>
      <c r="IQ5055" s="67" t="s">
        <v>2879</v>
      </c>
      <c r="IR5055" s="67"/>
      <c r="IS5055" s="67"/>
      <c r="IT5055" s="67"/>
      <c r="IU5055" s="67"/>
      <c r="IV5055" s="67"/>
      <c r="IW5055" s="67"/>
      <c r="IX5055" s="67"/>
      <c r="IY5055" s="67"/>
      <c r="IZ5055" s="67"/>
      <c r="JA5055" s="67"/>
      <c r="JB5055" s="67"/>
      <c r="JC5055" s="67"/>
      <c r="JD5055" s="67"/>
      <c r="JE5055" s="67"/>
      <c r="JF5055" s="67"/>
      <c r="JG5055" s="67"/>
      <c r="JH5055" s="67"/>
      <c r="JI5055" s="67"/>
      <c r="JJ5055" s="67"/>
      <c r="JK5055" s="67"/>
      <c r="JL5055" s="67"/>
      <c r="JM5055" s="67"/>
      <c r="JN5055" s="67"/>
      <c r="JO5055" s="67"/>
      <c r="JP5055" s="67"/>
      <c r="JQ5055" s="67"/>
      <c r="JR5055" s="67"/>
      <c r="JS5055" s="67"/>
      <c r="JT5055" s="67"/>
      <c r="JU5055" s="58"/>
      <c r="JV5055" s="58"/>
      <c r="JW5055" s="58"/>
    </row>
    <row r="5056" spans="1:283" s="23" customFormat="1" x14ac:dyDescent="0.25">
      <c r="A5056" s="55">
        <v>5055</v>
      </c>
      <c r="B5056" s="12" t="s">
        <v>7067</v>
      </c>
      <c r="C5056" s="156">
        <v>258</v>
      </c>
      <c r="D5056" s="58" t="s">
        <v>5003</v>
      </c>
      <c r="E5056" s="160" t="str">
        <f>G5056</f>
        <v>Oberholzer et al 2000</v>
      </c>
      <c r="F5056" s="160"/>
      <c r="G5056" s="60" t="s">
        <v>4724</v>
      </c>
      <c r="H5056" s="58">
        <v>2000</v>
      </c>
      <c r="I5056" s="58" t="s">
        <v>2847</v>
      </c>
      <c r="J5056" s="243" t="s">
        <v>5319</v>
      </c>
      <c r="K5056" s="63" t="s">
        <v>5970</v>
      </c>
      <c r="L5056" s="58" t="s">
        <v>5333</v>
      </c>
      <c r="M5056" s="94">
        <v>47.5</v>
      </c>
      <c r="N5056" s="94">
        <v>7.55</v>
      </c>
      <c r="O5056" s="94"/>
      <c r="P5056" s="58"/>
      <c r="Q5056" s="244"/>
      <c r="R5056" s="58"/>
      <c r="S5056" s="245"/>
      <c r="T5056" s="58"/>
      <c r="U5056" s="58" t="s">
        <v>1675</v>
      </c>
      <c r="V5056" s="244" t="s">
        <v>1675</v>
      </c>
      <c r="W5056" s="174"/>
      <c r="X5056" s="174"/>
      <c r="Y5056" s="58" t="s">
        <v>5971</v>
      </c>
      <c r="Z5056" s="244" t="s">
        <v>1346</v>
      </c>
      <c r="AA5056" s="245">
        <v>20</v>
      </c>
      <c r="AB5056" s="67"/>
      <c r="AC5056" s="67"/>
      <c r="AD5056" s="94"/>
      <c r="AE5056" s="94"/>
      <c r="AF5056" s="94"/>
      <c r="AG5056" s="245">
        <v>27</v>
      </c>
      <c r="AH5056" s="58"/>
      <c r="AI5056" s="169"/>
      <c r="AJ5056" s="94"/>
      <c r="AK5056" s="94"/>
      <c r="AL5056" s="58"/>
      <c r="AM5056" s="58"/>
      <c r="AN5056" s="186"/>
      <c r="AO5056" s="185" t="s">
        <v>7494</v>
      </c>
      <c r="AP5056" s="58"/>
      <c r="AQ5056" s="58"/>
      <c r="AR5056" s="58"/>
      <c r="AS5056" s="246" t="s">
        <v>5133</v>
      </c>
      <c r="AT5056" s="247">
        <v>1</v>
      </c>
      <c r="AU5056" s="181" t="s">
        <v>7494</v>
      </c>
      <c r="AV5056" s="185" t="s">
        <v>176</v>
      </c>
      <c r="AW5056" s="244">
        <v>1</v>
      </c>
      <c r="AX5056" s="185" t="s">
        <v>176</v>
      </c>
      <c r="AY5056" s="244"/>
      <c r="AZ5056" s="58"/>
      <c r="BA5056" s="58"/>
      <c r="BB5056" s="58"/>
      <c r="BC5056" s="58"/>
      <c r="BD5056" s="58"/>
      <c r="BE5056" s="236" t="s">
        <v>5155</v>
      </c>
      <c r="BF5056" s="191" t="s">
        <v>176</v>
      </c>
      <c r="BG5056" s="191" t="s">
        <v>479</v>
      </c>
      <c r="BH5056" s="236" t="s">
        <v>5155</v>
      </c>
      <c r="BI5056" s="191" t="s">
        <v>479</v>
      </c>
      <c r="BJ5056" s="58" t="str">
        <f>IF(BE5056=BH5056,"No","yes")</f>
        <v>No</v>
      </c>
      <c r="BK5056" s="58" t="s">
        <v>6334</v>
      </c>
      <c r="BL5056" s="58"/>
      <c r="BM5056" s="237"/>
      <c r="BN5056" s="244">
        <v>24</v>
      </c>
      <c r="BO5056" s="244">
        <v>24</v>
      </c>
      <c r="BP5056" s="58"/>
      <c r="BQ5056" s="58"/>
      <c r="BR5056" s="58"/>
      <c r="BS5056" s="58"/>
      <c r="BT5056" s="58"/>
      <c r="BU5056" s="58"/>
      <c r="BV5056" s="58" t="s">
        <v>5972</v>
      </c>
      <c r="BW5056" s="67"/>
      <c r="BX5056" s="67"/>
      <c r="BY5056" s="67"/>
      <c r="BZ5056" s="67"/>
      <c r="CA5056" s="67"/>
      <c r="CB5056" s="70"/>
      <c r="CC5056" s="70"/>
      <c r="CD5056" s="70"/>
      <c r="CE5056" s="67"/>
      <c r="CF5056" s="67"/>
      <c r="CG5056" s="67"/>
      <c r="CH5056" s="245"/>
      <c r="CI5056" s="245"/>
      <c r="CJ5056" s="67"/>
      <c r="CK5056" s="67"/>
      <c r="CL5056" s="67"/>
      <c r="CM5056" s="242"/>
      <c r="CN5056" s="242"/>
      <c r="CO5056" s="242"/>
      <c r="CP5056" s="242"/>
      <c r="CQ5056" s="242"/>
      <c r="CR5056" s="242"/>
      <c r="CS5056" s="242"/>
      <c r="CT5056" s="242"/>
      <c r="CU5056" s="242"/>
      <c r="CV5056" s="242"/>
      <c r="CW5056" s="67"/>
      <c r="CX5056" s="67"/>
      <c r="CY5056" s="242"/>
      <c r="CZ5056" s="242"/>
      <c r="DA5056" s="67"/>
      <c r="DB5056" s="67"/>
      <c r="DC5056" s="67"/>
      <c r="DD5056" s="67"/>
      <c r="DE5056" s="67"/>
      <c r="DF5056" s="67"/>
      <c r="DG5056" s="67"/>
      <c r="DH5056" s="67"/>
      <c r="DI5056" s="67"/>
      <c r="DJ5056" s="67"/>
      <c r="DK5056" s="67"/>
      <c r="DL5056" s="67"/>
      <c r="DM5056" s="67"/>
      <c r="DN5056" s="67"/>
      <c r="DO5056" s="67"/>
      <c r="DP5056" s="67"/>
      <c r="DQ5056" s="166"/>
      <c r="DR5056" s="166"/>
      <c r="DS5056" s="163"/>
      <c r="DT5056" s="163"/>
      <c r="DU5056" s="67"/>
      <c r="DV5056" s="67"/>
      <c r="DW5056" s="67"/>
      <c r="DX5056" s="67"/>
      <c r="DY5056" s="67"/>
      <c r="DZ5056" s="67"/>
      <c r="EA5056" s="67"/>
      <c r="EB5056" s="67"/>
      <c r="EC5056" s="67"/>
      <c r="ED5056" s="67"/>
      <c r="EE5056" s="67"/>
      <c r="EF5056" s="67"/>
      <c r="EG5056" s="67"/>
      <c r="EH5056" s="67"/>
      <c r="EI5056" s="67"/>
      <c r="EJ5056" s="67"/>
      <c r="EK5056" s="94"/>
      <c r="EL5056" s="94"/>
      <c r="EM5056" s="67"/>
      <c r="EN5056" s="67"/>
      <c r="EO5056" s="67"/>
      <c r="EP5056" s="67"/>
      <c r="EQ5056" s="67"/>
      <c r="ER5056" s="67"/>
      <c r="ES5056" s="67"/>
      <c r="ET5056" s="67"/>
      <c r="EU5056" s="67"/>
      <c r="EV5056" s="67"/>
      <c r="EW5056" s="67"/>
      <c r="EX5056" s="67"/>
      <c r="EY5056" s="67"/>
      <c r="EZ5056" s="67"/>
      <c r="FA5056" s="67"/>
      <c r="FB5056" s="67"/>
      <c r="FC5056" s="67"/>
      <c r="FD5056" s="67"/>
      <c r="FE5056" s="67"/>
      <c r="FF5056" s="67"/>
      <c r="FG5056" s="67"/>
      <c r="FH5056" s="67"/>
      <c r="FI5056" s="67"/>
      <c r="FJ5056" s="67"/>
      <c r="FK5056" s="67"/>
      <c r="FL5056" s="67"/>
      <c r="FM5056" s="67"/>
      <c r="FN5056" s="67"/>
      <c r="FO5056" s="67"/>
      <c r="FP5056" s="67"/>
      <c r="FQ5056" s="67"/>
      <c r="FR5056" s="67"/>
      <c r="FS5056" s="67"/>
      <c r="FT5056" s="67"/>
      <c r="FU5056" s="67"/>
      <c r="FV5056" s="67"/>
      <c r="FW5056" s="67"/>
      <c r="FX5056" s="67"/>
      <c r="FY5056" s="67"/>
      <c r="FZ5056" s="67"/>
      <c r="GA5056" s="67"/>
      <c r="GB5056" s="67"/>
      <c r="GC5056" s="67"/>
      <c r="GD5056" s="67"/>
      <c r="GE5056" s="67"/>
      <c r="GF5056" s="67"/>
      <c r="GG5056" s="67"/>
      <c r="GH5056" s="67"/>
      <c r="GI5056" s="67"/>
      <c r="GJ5056" s="67"/>
      <c r="GK5056" s="67"/>
      <c r="GL5056" s="67"/>
      <c r="GM5056" s="67"/>
      <c r="GN5056" s="292"/>
      <c r="GO5056" s="292"/>
      <c r="GP5056" s="292" t="s">
        <v>7494</v>
      </c>
      <c r="GQ5056" s="67"/>
      <c r="GR5056" s="67"/>
      <c r="GS5056" s="67"/>
      <c r="GT5056" s="67"/>
      <c r="GU5056" s="67"/>
      <c r="GV5056" s="67"/>
      <c r="GW5056" s="67"/>
      <c r="GX5056" s="67"/>
      <c r="GY5056" s="67"/>
      <c r="GZ5056" s="67"/>
      <c r="HA5056" s="67"/>
      <c r="HB5056" s="67"/>
      <c r="HC5056" s="67"/>
      <c r="HD5056" s="67"/>
      <c r="HE5056" s="67"/>
      <c r="HF5056" s="67"/>
      <c r="HG5056" s="67"/>
      <c r="HH5056" s="67"/>
      <c r="HI5056" s="67"/>
      <c r="HJ5056" s="67"/>
      <c r="HK5056" s="67"/>
      <c r="HL5056" s="67"/>
      <c r="HM5056" s="67"/>
      <c r="HN5056" s="67"/>
      <c r="HO5056" s="67"/>
      <c r="HP5056" s="67"/>
      <c r="HQ5056" s="67"/>
      <c r="HR5056" s="67"/>
      <c r="HS5056" s="67"/>
      <c r="HT5056" s="67"/>
      <c r="HU5056" s="67"/>
      <c r="HV5056" s="67"/>
      <c r="HW5056" s="67"/>
      <c r="HX5056" s="67"/>
      <c r="HY5056" s="67"/>
      <c r="HZ5056" s="67"/>
      <c r="IA5056" s="67"/>
      <c r="IB5056" s="67"/>
      <c r="IC5056" s="67"/>
      <c r="ID5056" s="67"/>
      <c r="IE5056" s="67"/>
      <c r="IF5056" s="67"/>
      <c r="IG5056" s="67"/>
      <c r="IH5056" s="67"/>
      <c r="II5056" s="67"/>
      <c r="IJ5056" s="67"/>
      <c r="IK5056" s="67"/>
      <c r="IL5056" s="67"/>
      <c r="IM5056" s="67">
        <v>439</v>
      </c>
      <c r="IN5056" s="67">
        <v>299</v>
      </c>
      <c r="IO5056" s="67">
        <f>459-IM5056</f>
        <v>20</v>
      </c>
      <c r="IP5056" s="67">
        <f>310-IN5056</f>
        <v>11</v>
      </c>
      <c r="IQ5056" s="67" t="s">
        <v>2879</v>
      </c>
      <c r="IR5056" s="67"/>
      <c r="IS5056" s="67"/>
      <c r="IT5056" s="67"/>
      <c r="IU5056" s="67"/>
      <c r="IV5056" s="67"/>
      <c r="IW5056" s="67"/>
      <c r="IX5056" s="67"/>
      <c r="IY5056" s="67"/>
      <c r="IZ5056" s="67"/>
      <c r="JA5056" s="67"/>
      <c r="JB5056" s="67"/>
      <c r="JC5056" s="67"/>
      <c r="JD5056" s="67"/>
      <c r="JE5056" s="67"/>
      <c r="JF5056" s="67"/>
      <c r="JG5056" s="67"/>
      <c r="JH5056" s="67"/>
      <c r="JI5056" s="67"/>
      <c r="JJ5056" s="67"/>
      <c r="JK5056" s="67"/>
      <c r="JL5056" s="67"/>
      <c r="JM5056" s="67"/>
      <c r="JN5056" s="67"/>
      <c r="JO5056" s="67"/>
      <c r="JP5056" s="67"/>
      <c r="JQ5056" s="67"/>
      <c r="JR5056" s="67"/>
      <c r="JS5056" s="67"/>
      <c r="JT5056" s="67"/>
      <c r="JU5056" s="58"/>
      <c r="JV5056" s="58"/>
      <c r="JW5056" s="58"/>
    </row>
    <row r="5057" spans="1:283" s="23" customFormat="1" x14ac:dyDescent="0.25">
      <c r="A5057" s="55">
        <v>5056</v>
      </c>
      <c r="B5057" s="12" t="s">
        <v>7067</v>
      </c>
      <c r="C5057" s="156">
        <v>258</v>
      </c>
      <c r="D5057" s="58" t="s">
        <v>5003</v>
      </c>
      <c r="E5057" s="160" t="str">
        <f>G5057</f>
        <v>Oberholzer et al 2000</v>
      </c>
      <c r="F5057" s="160"/>
      <c r="G5057" s="60" t="s">
        <v>4724</v>
      </c>
      <c r="H5057" s="58">
        <v>2000</v>
      </c>
      <c r="I5057" s="58" t="s">
        <v>2847</v>
      </c>
      <c r="J5057" s="243" t="s">
        <v>5319</v>
      </c>
      <c r="K5057" s="63" t="s">
        <v>5970</v>
      </c>
      <c r="L5057" s="58" t="s">
        <v>5333</v>
      </c>
      <c r="M5057" s="94">
        <v>47.5</v>
      </c>
      <c r="N5057" s="94">
        <v>7.55</v>
      </c>
      <c r="O5057" s="94"/>
      <c r="P5057" s="58"/>
      <c r="Q5057" s="244"/>
      <c r="R5057" s="58"/>
      <c r="S5057" s="245"/>
      <c r="T5057" s="58"/>
      <c r="U5057" s="58" t="s">
        <v>1675</v>
      </c>
      <c r="V5057" s="244" t="s">
        <v>1675</v>
      </c>
      <c r="W5057" s="174"/>
      <c r="X5057" s="174"/>
      <c r="Y5057" s="58" t="s">
        <v>5971</v>
      </c>
      <c r="Z5057" s="244" t="s">
        <v>1346</v>
      </c>
      <c r="AA5057" s="245">
        <v>20</v>
      </c>
      <c r="AB5057" s="67"/>
      <c r="AC5057" s="67"/>
      <c r="AD5057" s="94"/>
      <c r="AE5057" s="94"/>
      <c r="AF5057" s="94"/>
      <c r="AG5057" s="245">
        <v>27</v>
      </c>
      <c r="AH5057" s="58"/>
      <c r="AI5057" s="169"/>
      <c r="AJ5057" s="94"/>
      <c r="AK5057" s="94"/>
      <c r="AL5057" s="58"/>
      <c r="AM5057" s="58"/>
      <c r="AN5057" s="186"/>
      <c r="AO5057" s="185" t="s">
        <v>7494</v>
      </c>
      <c r="AP5057" s="58"/>
      <c r="AQ5057" s="58"/>
      <c r="AR5057" s="58"/>
      <c r="AS5057" s="246" t="s">
        <v>5133</v>
      </c>
      <c r="AT5057" s="247">
        <v>1</v>
      </c>
      <c r="AU5057" s="181" t="s">
        <v>7494</v>
      </c>
      <c r="AV5057" s="185" t="s">
        <v>176</v>
      </c>
      <c r="AW5057" s="244">
        <v>1</v>
      </c>
      <c r="AX5057" s="185" t="s">
        <v>176</v>
      </c>
      <c r="AY5057" s="244"/>
      <c r="AZ5057" s="58"/>
      <c r="BA5057" s="58"/>
      <c r="BB5057" s="58"/>
      <c r="BC5057" s="58"/>
      <c r="BD5057" s="58"/>
      <c r="BE5057" s="236" t="s">
        <v>5155</v>
      </c>
      <c r="BF5057" s="191" t="s">
        <v>176</v>
      </c>
      <c r="BG5057" s="191" t="s">
        <v>479</v>
      </c>
      <c r="BH5057" s="236" t="s">
        <v>5155</v>
      </c>
      <c r="BI5057" s="191" t="s">
        <v>479</v>
      </c>
      <c r="BJ5057" s="58" t="str">
        <f>IF(BE5057=BH5057,"No","yes")</f>
        <v>No</v>
      </c>
      <c r="BK5057" s="58" t="s">
        <v>6334</v>
      </c>
      <c r="BL5057" s="58"/>
      <c r="BM5057" s="237"/>
      <c r="BN5057" s="244">
        <v>24</v>
      </c>
      <c r="BO5057" s="244">
        <v>24</v>
      </c>
      <c r="BP5057" s="58"/>
      <c r="BQ5057" s="58"/>
      <c r="BR5057" s="58"/>
      <c r="BS5057" s="58"/>
      <c r="BT5057" s="58"/>
      <c r="BU5057" s="58"/>
      <c r="BV5057" s="58" t="s">
        <v>2222</v>
      </c>
      <c r="BW5057" s="67"/>
      <c r="BX5057" s="67"/>
      <c r="BY5057" s="67"/>
      <c r="BZ5057" s="67"/>
      <c r="CA5057" s="67"/>
      <c r="CB5057" s="70"/>
      <c r="CC5057" s="70"/>
      <c r="CD5057" s="70"/>
      <c r="CE5057" s="67"/>
      <c r="CF5057" s="67"/>
      <c r="CG5057" s="67"/>
      <c r="CH5057" s="245"/>
      <c r="CI5057" s="245"/>
      <c r="CJ5057" s="67"/>
      <c r="CK5057" s="67"/>
      <c r="CL5057" s="67"/>
      <c r="CM5057" s="242"/>
      <c r="CN5057" s="242"/>
      <c r="CO5057" s="242"/>
      <c r="CP5057" s="242"/>
      <c r="CQ5057" s="242"/>
      <c r="CR5057" s="242"/>
      <c r="CS5057" s="242"/>
      <c r="CT5057" s="242"/>
      <c r="CU5057" s="242"/>
      <c r="CV5057" s="242"/>
      <c r="CW5057" s="67"/>
      <c r="CX5057" s="67"/>
      <c r="CY5057" s="242"/>
      <c r="CZ5057" s="242"/>
      <c r="DA5057" s="67"/>
      <c r="DB5057" s="67"/>
      <c r="DC5057" s="67"/>
      <c r="DD5057" s="67"/>
      <c r="DE5057" s="67"/>
      <c r="DF5057" s="67"/>
      <c r="DG5057" s="67"/>
      <c r="DH5057" s="67"/>
      <c r="DI5057" s="67"/>
      <c r="DJ5057" s="67"/>
      <c r="DK5057" s="67"/>
      <c r="DL5057" s="67"/>
      <c r="DM5057" s="67"/>
      <c r="DN5057" s="67"/>
      <c r="DO5057" s="67"/>
      <c r="DP5057" s="67"/>
      <c r="DQ5057" s="166"/>
      <c r="DR5057" s="166"/>
      <c r="DS5057" s="163"/>
      <c r="DT5057" s="163"/>
      <c r="DU5057" s="67"/>
      <c r="DV5057" s="67"/>
      <c r="DW5057" s="67"/>
      <c r="DX5057" s="67"/>
      <c r="DY5057" s="67"/>
      <c r="DZ5057" s="67"/>
      <c r="EA5057" s="67"/>
      <c r="EB5057" s="67"/>
      <c r="EC5057" s="67"/>
      <c r="ED5057" s="67"/>
      <c r="EE5057" s="67"/>
      <c r="EF5057" s="67"/>
      <c r="EG5057" s="67"/>
      <c r="EH5057" s="67"/>
      <c r="EI5057" s="67"/>
      <c r="EJ5057" s="67"/>
      <c r="EK5057" s="94"/>
      <c r="EL5057" s="94"/>
      <c r="EM5057" s="67"/>
      <c r="EN5057" s="67"/>
      <c r="EO5057" s="67"/>
      <c r="EP5057" s="67"/>
      <c r="EQ5057" s="67"/>
      <c r="ER5057" s="67"/>
      <c r="ES5057" s="67"/>
      <c r="ET5057" s="67"/>
      <c r="EU5057" s="67"/>
      <c r="EV5057" s="67"/>
      <c r="EW5057" s="67"/>
      <c r="EX5057" s="67"/>
      <c r="EY5057" s="67"/>
      <c r="EZ5057" s="67"/>
      <c r="FA5057" s="67"/>
      <c r="FB5057" s="67"/>
      <c r="FC5057" s="67"/>
      <c r="FD5057" s="67"/>
      <c r="FE5057" s="67"/>
      <c r="FF5057" s="67"/>
      <c r="FG5057" s="67"/>
      <c r="FH5057" s="67"/>
      <c r="FI5057" s="67"/>
      <c r="FJ5057" s="67"/>
      <c r="FK5057" s="67"/>
      <c r="FL5057" s="67"/>
      <c r="FM5057" s="67"/>
      <c r="FN5057" s="67"/>
      <c r="FO5057" s="67"/>
      <c r="FP5057" s="67"/>
      <c r="FQ5057" s="67"/>
      <c r="FR5057" s="67"/>
      <c r="FS5057" s="67"/>
      <c r="FT5057" s="67"/>
      <c r="FU5057" s="67"/>
      <c r="FV5057" s="67"/>
      <c r="FW5057" s="67"/>
      <c r="FX5057" s="67"/>
      <c r="FY5057" s="67"/>
      <c r="FZ5057" s="67"/>
      <c r="GA5057" s="67"/>
      <c r="GB5057" s="67"/>
      <c r="GC5057" s="67"/>
      <c r="GD5057" s="67"/>
      <c r="GE5057" s="67"/>
      <c r="GF5057" s="67"/>
      <c r="GG5057" s="67"/>
      <c r="GH5057" s="67"/>
      <c r="GI5057" s="67"/>
      <c r="GJ5057" s="67"/>
      <c r="GK5057" s="67"/>
      <c r="GL5057" s="67"/>
      <c r="GM5057" s="67"/>
      <c r="GN5057" s="292"/>
      <c r="GO5057" s="292"/>
      <c r="GP5057" s="292" t="s">
        <v>7494</v>
      </c>
      <c r="GQ5057" s="67"/>
      <c r="GR5057" s="67"/>
      <c r="GS5057" s="67"/>
      <c r="GT5057" s="67"/>
      <c r="GU5057" s="67"/>
      <c r="GV5057" s="67"/>
      <c r="GW5057" s="67"/>
      <c r="GX5057" s="67"/>
      <c r="GY5057" s="67"/>
      <c r="GZ5057" s="67"/>
      <c r="HA5057" s="67"/>
      <c r="HB5057" s="67"/>
      <c r="HC5057" s="67"/>
      <c r="HD5057" s="67"/>
      <c r="HE5057" s="67"/>
      <c r="HF5057" s="67"/>
      <c r="HG5057" s="67"/>
      <c r="HH5057" s="67"/>
      <c r="HI5057" s="67"/>
      <c r="HJ5057" s="67"/>
      <c r="HK5057" s="67"/>
      <c r="HL5057" s="67"/>
      <c r="HM5057" s="67"/>
      <c r="HN5057" s="67"/>
      <c r="HO5057" s="67"/>
      <c r="HP5057" s="67"/>
      <c r="HQ5057" s="67"/>
      <c r="HR5057" s="67"/>
      <c r="HS5057" s="67"/>
      <c r="HT5057" s="67"/>
      <c r="HU5057" s="67"/>
      <c r="HV5057" s="67"/>
      <c r="HW5057" s="67"/>
      <c r="HX5057" s="67"/>
      <c r="HY5057" s="67"/>
      <c r="HZ5057" s="67"/>
      <c r="IA5057" s="67"/>
      <c r="IB5057" s="67"/>
      <c r="IC5057" s="67"/>
      <c r="ID5057" s="67"/>
      <c r="IE5057" s="67"/>
      <c r="IF5057" s="67"/>
      <c r="IG5057" s="67"/>
      <c r="IH5057" s="67"/>
      <c r="II5057" s="67"/>
      <c r="IJ5057" s="67"/>
      <c r="IK5057" s="67"/>
      <c r="IL5057" s="67"/>
      <c r="IM5057" s="67">
        <v>403</v>
      </c>
      <c r="IN5057" s="67">
        <v>289</v>
      </c>
      <c r="IO5057" s="67">
        <v>20</v>
      </c>
      <c r="IP5057" s="67">
        <f>306-IN5057</f>
        <v>17</v>
      </c>
      <c r="IQ5057" s="67" t="s">
        <v>2879</v>
      </c>
      <c r="IR5057" s="67"/>
      <c r="IS5057" s="67"/>
      <c r="IT5057" s="67"/>
      <c r="IU5057" s="67"/>
      <c r="IV5057" s="67"/>
      <c r="IW5057" s="67"/>
      <c r="IX5057" s="67"/>
      <c r="IY5057" s="67"/>
      <c r="IZ5057" s="67"/>
      <c r="JA5057" s="67"/>
      <c r="JB5057" s="67"/>
      <c r="JC5057" s="67"/>
      <c r="JD5057" s="67"/>
      <c r="JE5057" s="67"/>
      <c r="JF5057" s="67"/>
      <c r="JG5057" s="67"/>
      <c r="JH5057" s="67"/>
      <c r="JI5057" s="67"/>
      <c r="JJ5057" s="67"/>
      <c r="JK5057" s="67"/>
      <c r="JL5057" s="67"/>
      <c r="JM5057" s="67"/>
      <c r="JN5057" s="67"/>
      <c r="JO5057" s="67"/>
      <c r="JP5057" s="67"/>
      <c r="JQ5057" s="67"/>
      <c r="JR5057" s="67"/>
      <c r="JS5057" s="67"/>
      <c r="JT5057" s="67"/>
      <c r="JU5057" s="58"/>
      <c r="JV5057" s="58"/>
      <c r="JW5057" s="58"/>
    </row>
    <row r="5058" spans="1:283" s="23" customFormat="1" x14ac:dyDescent="0.25">
      <c r="A5058" s="55">
        <v>5057</v>
      </c>
      <c r="B5058" s="12" t="s">
        <v>7067</v>
      </c>
      <c r="C5058" s="156">
        <v>258</v>
      </c>
      <c r="D5058" s="58" t="s">
        <v>5003</v>
      </c>
      <c r="E5058" s="160" t="str">
        <f>G5058</f>
        <v>Oberholzer et al 2000</v>
      </c>
      <c r="F5058" s="160"/>
      <c r="G5058" s="60" t="s">
        <v>4724</v>
      </c>
      <c r="H5058" s="58">
        <v>2000</v>
      </c>
      <c r="I5058" s="58" t="s">
        <v>2847</v>
      </c>
      <c r="J5058" s="243" t="s">
        <v>5319</v>
      </c>
      <c r="K5058" s="63" t="s">
        <v>5970</v>
      </c>
      <c r="L5058" s="58" t="s">
        <v>5333</v>
      </c>
      <c r="M5058" s="94">
        <v>47.5</v>
      </c>
      <c r="N5058" s="94">
        <v>7.55</v>
      </c>
      <c r="O5058" s="94"/>
      <c r="P5058" s="58"/>
      <c r="Q5058" s="244"/>
      <c r="R5058" s="58"/>
      <c r="S5058" s="245"/>
      <c r="T5058" s="58"/>
      <c r="U5058" s="58" t="s">
        <v>1675</v>
      </c>
      <c r="V5058" s="244" t="s">
        <v>1675</v>
      </c>
      <c r="W5058" s="174"/>
      <c r="X5058" s="174"/>
      <c r="Y5058" s="58" t="s">
        <v>5971</v>
      </c>
      <c r="Z5058" s="244" t="s">
        <v>1346</v>
      </c>
      <c r="AA5058" s="245">
        <v>20</v>
      </c>
      <c r="AB5058" s="67"/>
      <c r="AC5058" s="67"/>
      <c r="AD5058" s="94"/>
      <c r="AE5058" s="94"/>
      <c r="AF5058" s="94"/>
      <c r="AG5058" s="245">
        <v>27</v>
      </c>
      <c r="AH5058" s="58"/>
      <c r="AI5058" s="169"/>
      <c r="AJ5058" s="94"/>
      <c r="AK5058" s="94"/>
      <c r="AL5058" s="58"/>
      <c r="AM5058" s="58"/>
      <c r="AN5058" s="186"/>
      <c r="AO5058" s="185" t="s">
        <v>7494</v>
      </c>
      <c r="AP5058" s="58"/>
      <c r="AQ5058" s="58"/>
      <c r="AR5058" s="58"/>
      <c r="AS5058" s="246" t="s">
        <v>5133</v>
      </c>
      <c r="AT5058" s="247">
        <v>1</v>
      </c>
      <c r="AU5058" s="181" t="s">
        <v>7494</v>
      </c>
      <c r="AV5058" s="185" t="s">
        <v>176</v>
      </c>
      <c r="AW5058" s="244">
        <v>1</v>
      </c>
      <c r="AX5058" s="185" t="s">
        <v>176</v>
      </c>
      <c r="AY5058" s="244"/>
      <c r="AZ5058" s="58"/>
      <c r="BA5058" s="58"/>
      <c r="BB5058" s="58"/>
      <c r="BC5058" s="58"/>
      <c r="BD5058" s="58"/>
      <c r="BE5058" s="236" t="s">
        <v>5155</v>
      </c>
      <c r="BF5058" s="191" t="s">
        <v>176</v>
      </c>
      <c r="BG5058" s="191" t="s">
        <v>479</v>
      </c>
      <c r="BH5058" s="236" t="s">
        <v>5155</v>
      </c>
      <c r="BI5058" s="191" t="s">
        <v>479</v>
      </c>
      <c r="BJ5058" s="58" t="str">
        <f>IF(BE5058=BH5058,"No","yes")</f>
        <v>No</v>
      </c>
      <c r="BK5058" s="58" t="s">
        <v>6334</v>
      </c>
      <c r="BL5058" s="58"/>
      <c r="BM5058" s="237"/>
      <c r="BN5058" s="244">
        <v>24</v>
      </c>
      <c r="BO5058" s="244">
        <v>24</v>
      </c>
      <c r="BP5058" s="58"/>
      <c r="BQ5058" s="58"/>
      <c r="BR5058" s="58"/>
      <c r="BS5058" s="58"/>
      <c r="BT5058" s="58"/>
      <c r="BU5058" s="58"/>
      <c r="BV5058" s="58" t="s">
        <v>5821</v>
      </c>
      <c r="BW5058" s="67"/>
      <c r="BX5058" s="67"/>
      <c r="BY5058" s="67"/>
      <c r="BZ5058" s="67"/>
      <c r="CA5058" s="67"/>
      <c r="CB5058" s="70"/>
      <c r="CC5058" s="70"/>
      <c r="CD5058" s="70"/>
      <c r="CE5058" s="67"/>
      <c r="CF5058" s="67"/>
      <c r="CG5058" s="67"/>
      <c r="CH5058" s="245"/>
      <c r="CI5058" s="245"/>
      <c r="CJ5058" s="67"/>
      <c r="CK5058" s="67"/>
      <c r="CL5058" s="67"/>
      <c r="CM5058" s="242"/>
      <c r="CN5058" s="242"/>
      <c r="CO5058" s="242"/>
      <c r="CP5058" s="242"/>
      <c r="CQ5058" s="242"/>
      <c r="CR5058" s="242"/>
      <c r="CS5058" s="242"/>
      <c r="CT5058" s="242"/>
      <c r="CU5058" s="242"/>
      <c r="CV5058" s="242"/>
      <c r="CW5058" s="67"/>
      <c r="CX5058" s="67"/>
      <c r="CY5058" s="242"/>
      <c r="CZ5058" s="242"/>
      <c r="DA5058" s="67"/>
      <c r="DB5058" s="67"/>
      <c r="DC5058" s="67"/>
      <c r="DD5058" s="67"/>
      <c r="DE5058" s="67"/>
      <c r="DF5058" s="67"/>
      <c r="DG5058" s="67"/>
      <c r="DH5058" s="67"/>
      <c r="DI5058" s="67"/>
      <c r="DJ5058" s="67"/>
      <c r="DK5058" s="67"/>
      <c r="DL5058" s="67"/>
      <c r="DM5058" s="67"/>
      <c r="DN5058" s="67"/>
      <c r="DO5058" s="67"/>
      <c r="DP5058" s="67"/>
      <c r="DQ5058" s="166"/>
      <c r="DR5058" s="166"/>
      <c r="DS5058" s="163"/>
      <c r="DT5058" s="163"/>
      <c r="DU5058" s="67"/>
      <c r="DV5058" s="67"/>
      <c r="DW5058" s="67"/>
      <c r="DX5058" s="67"/>
      <c r="DY5058" s="67"/>
      <c r="DZ5058" s="67"/>
      <c r="EA5058" s="67"/>
      <c r="EB5058" s="67"/>
      <c r="EC5058" s="67"/>
      <c r="ED5058" s="67"/>
      <c r="EE5058" s="67"/>
      <c r="EF5058" s="67"/>
      <c r="EG5058" s="67"/>
      <c r="EH5058" s="67"/>
      <c r="EI5058" s="67"/>
      <c r="EJ5058" s="67"/>
      <c r="EK5058" s="94"/>
      <c r="EL5058" s="94"/>
      <c r="EM5058" s="67"/>
      <c r="EN5058" s="67"/>
      <c r="EO5058" s="67"/>
      <c r="EP5058" s="67"/>
      <c r="EQ5058" s="67"/>
      <c r="ER5058" s="67"/>
      <c r="ES5058" s="67"/>
      <c r="ET5058" s="67"/>
      <c r="EU5058" s="67"/>
      <c r="EV5058" s="67"/>
      <c r="EW5058" s="67"/>
      <c r="EX5058" s="67"/>
      <c r="EY5058" s="67"/>
      <c r="EZ5058" s="67"/>
      <c r="FA5058" s="67"/>
      <c r="FB5058" s="67"/>
      <c r="FC5058" s="67"/>
      <c r="FD5058" s="67"/>
      <c r="FE5058" s="67"/>
      <c r="FF5058" s="67"/>
      <c r="FG5058" s="67"/>
      <c r="FH5058" s="67"/>
      <c r="FI5058" s="67"/>
      <c r="FJ5058" s="67"/>
      <c r="FK5058" s="67"/>
      <c r="FL5058" s="67"/>
      <c r="FM5058" s="67"/>
      <c r="FN5058" s="67"/>
      <c r="FO5058" s="67"/>
      <c r="FP5058" s="67"/>
      <c r="FQ5058" s="67"/>
      <c r="FR5058" s="67"/>
      <c r="FS5058" s="67"/>
      <c r="FT5058" s="67"/>
      <c r="FU5058" s="67"/>
      <c r="FV5058" s="67"/>
      <c r="FW5058" s="67"/>
      <c r="FX5058" s="67"/>
      <c r="FY5058" s="67"/>
      <c r="FZ5058" s="67"/>
      <c r="GA5058" s="67"/>
      <c r="GB5058" s="67"/>
      <c r="GC5058" s="67"/>
      <c r="GD5058" s="67"/>
      <c r="GE5058" s="67"/>
      <c r="GF5058" s="67"/>
      <c r="GG5058" s="67"/>
      <c r="GH5058" s="67"/>
      <c r="GI5058" s="67"/>
      <c r="GJ5058" s="67"/>
      <c r="GK5058" s="67"/>
      <c r="GL5058" s="67"/>
      <c r="GM5058" s="67"/>
      <c r="GN5058" s="292"/>
      <c r="GO5058" s="292"/>
      <c r="GP5058" s="292" t="s">
        <v>7494</v>
      </c>
      <c r="GQ5058" s="67"/>
      <c r="GR5058" s="67"/>
      <c r="GS5058" s="67"/>
      <c r="GT5058" s="67"/>
      <c r="GU5058" s="67"/>
      <c r="GV5058" s="67"/>
      <c r="GW5058" s="67"/>
      <c r="GX5058" s="67"/>
      <c r="GY5058" s="67"/>
      <c r="GZ5058" s="67"/>
      <c r="HA5058" s="67"/>
      <c r="HB5058" s="67"/>
      <c r="HC5058" s="67"/>
      <c r="HD5058" s="67"/>
      <c r="HE5058" s="67"/>
      <c r="HF5058" s="67"/>
      <c r="HG5058" s="67"/>
      <c r="HH5058" s="67"/>
      <c r="HI5058" s="67"/>
      <c r="HJ5058" s="67"/>
      <c r="HK5058" s="67"/>
      <c r="HL5058" s="67"/>
      <c r="HM5058" s="67"/>
      <c r="HN5058" s="67"/>
      <c r="HO5058" s="67"/>
      <c r="HP5058" s="67"/>
      <c r="HQ5058" s="67"/>
      <c r="HR5058" s="67"/>
      <c r="HS5058" s="67"/>
      <c r="HT5058" s="67"/>
      <c r="HU5058" s="67"/>
      <c r="HV5058" s="67"/>
      <c r="HW5058" s="67"/>
      <c r="HX5058" s="67"/>
      <c r="HY5058" s="67"/>
      <c r="HZ5058" s="67"/>
      <c r="IA5058" s="67"/>
      <c r="IB5058" s="67"/>
      <c r="IC5058" s="67"/>
      <c r="ID5058" s="67"/>
      <c r="IE5058" s="67"/>
      <c r="IF5058" s="67"/>
      <c r="IG5058" s="67"/>
      <c r="IH5058" s="67"/>
      <c r="II5058" s="67"/>
      <c r="IJ5058" s="67"/>
      <c r="IK5058" s="67"/>
      <c r="IL5058" s="67"/>
      <c r="IM5058" s="67">
        <v>308</v>
      </c>
      <c r="IN5058" s="67">
        <v>294</v>
      </c>
      <c r="IO5058" s="67">
        <f>332-IM5058</f>
        <v>24</v>
      </c>
      <c r="IP5058" s="67">
        <v>10</v>
      </c>
      <c r="IQ5058" s="67" t="s">
        <v>2879</v>
      </c>
      <c r="IR5058" s="67"/>
      <c r="IS5058" s="67"/>
      <c r="IT5058" s="67"/>
      <c r="IU5058" s="67"/>
      <c r="IV5058" s="67"/>
      <c r="IW5058" s="67"/>
      <c r="IX5058" s="67"/>
      <c r="IY5058" s="67"/>
      <c r="IZ5058" s="67"/>
      <c r="JA5058" s="67"/>
      <c r="JB5058" s="67"/>
      <c r="JC5058" s="67"/>
      <c r="JD5058" s="67"/>
      <c r="JE5058" s="67"/>
      <c r="JF5058" s="67"/>
      <c r="JG5058" s="67"/>
      <c r="JH5058" s="67"/>
      <c r="JI5058" s="67"/>
      <c r="JJ5058" s="67"/>
      <c r="JK5058" s="67"/>
      <c r="JL5058" s="67"/>
      <c r="JM5058" s="67"/>
      <c r="JN5058" s="67"/>
      <c r="JO5058" s="67"/>
      <c r="JP5058" s="67"/>
      <c r="JQ5058" s="67"/>
      <c r="JR5058" s="67"/>
      <c r="JS5058" s="67"/>
      <c r="JT5058" s="67"/>
      <c r="JU5058" s="58"/>
      <c r="JV5058" s="58"/>
      <c r="JW5058" s="58"/>
    </row>
    <row r="5059" spans="1:283" s="23" customFormat="1" x14ac:dyDescent="0.25">
      <c r="A5059" s="55">
        <v>5058</v>
      </c>
      <c r="B5059" s="12" t="s">
        <v>7067</v>
      </c>
      <c r="C5059" s="156">
        <v>258</v>
      </c>
      <c r="D5059" s="58" t="s">
        <v>5003</v>
      </c>
      <c r="E5059" s="160" t="str">
        <f>G5059</f>
        <v>Oberholzer et al 2000</v>
      </c>
      <c r="F5059" s="160"/>
      <c r="G5059" s="60" t="s">
        <v>4724</v>
      </c>
      <c r="H5059" s="58">
        <v>2000</v>
      </c>
      <c r="I5059" s="58" t="s">
        <v>2847</v>
      </c>
      <c r="J5059" s="243" t="s">
        <v>5319</v>
      </c>
      <c r="K5059" s="63" t="s">
        <v>5970</v>
      </c>
      <c r="L5059" s="58" t="s">
        <v>5333</v>
      </c>
      <c r="M5059" s="94">
        <v>47.5</v>
      </c>
      <c r="N5059" s="94">
        <v>7.55</v>
      </c>
      <c r="O5059" s="94"/>
      <c r="P5059" s="58"/>
      <c r="Q5059" s="244"/>
      <c r="R5059" s="58"/>
      <c r="S5059" s="245"/>
      <c r="T5059" s="58"/>
      <c r="U5059" s="58" t="s">
        <v>1675</v>
      </c>
      <c r="V5059" s="244" t="s">
        <v>1675</v>
      </c>
      <c r="W5059" s="174"/>
      <c r="X5059" s="174"/>
      <c r="Y5059" s="58" t="s">
        <v>5971</v>
      </c>
      <c r="Z5059" s="244" t="s">
        <v>1346</v>
      </c>
      <c r="AA5059" s="245">
        <v>20</v>
      </c>
      <c r="AB5059" s="67"/>
      <c r="AC5059" s="67"/>
      <c r="AD5059" s="94"/>
      <c r="AE5059" s="94"/>
      <c r="AF5059" s="94"/>
      <c r="AG5059" s="245">
        <v>27</v>
      </c>
      <c r="AH5059" s="58"/>
      <c r="AI5059" s="169"/>
      <c r="AJ5059" s="94"/>
      <c r="AK5059" s="94"/>
      <c r="AL5059" s="58"/>
      <c r="AM5059" s="58"/>
      <c r="AN5059" s="186"/>
      <c r="AO5059" s="185" t="s">
        <v>7494</v>
      </c>
      <c r="AP5059" s="58"/>
      <c r="AQ5059" s="58"/>
      <c r="AR5059" s="58"/>
      <c r="AS5059" s="246" t="s">
        <v>5133</v>
      </c>
      <c r="AT5059" s="247">
        <v>1</v>
      </c>
      <c r="AU5059" s="181" t="s">
        <v>7494</v>
      </c>
      <c r="AV5059" s="185" t="s">
        <v>176</v>
      </c>
      <c r="AW5059" s="244">
        <v>1</v>
      </c>
      <c r="AX5059" s="185" t="s">
        <v>176</v>
      </c>
      <c r="AY5059" s="244"/>
      <c r="AZ5059" s="58"/>
      <c r="BA5059" s="58"/>
      <c r="BB5059" s="58"/>
      <c r="BC5059" s="58"/>
      <c r="BD5059" s="58"/>
      <c r="BE5059" s="236" t="s">
        <v>5155</v>
      </c>
      <c r="BF5059" s="191" t="s">
        <v>176</v>
      </c>
      <c r="BG5059" s="191" t="s">
        <v>479</v>
      </c>
      <c r="BH5059" s="236" t="s">
        <v>5155</v>
      </c>
      <c r="BI5059" s="191" t="s">
        <v>479</v>
      </c>
      <c r="BJ5059" s="58" t="str">
        <f>IF(BE5059=BH5059,"No","yes")</f>
        <v>No</v>
      </c>
      <c r="BK5059" s="58" t="s">
        <v>6334</v>
      </c>
      <c r="BL5059" s="58"/>
      <c r="BM5059" s="237"/>
      <c r="BN5059" s="244">
        <v>24</v>
      </c>
      <c r="BO5059" s="244">
        <v>24</v>
      </c>
      <c r="BP5059" s="58"/>
      <c r="BQ5059" s="58"/>
      <c r="BR5059" s="58"/>
      <c r="BS5059" s="58"/>
      <c r="BT5059" s="58"/>
      <c r="BU5059" s="58"/>
      <c r="BV5059" s="58" t="s">
        <v>5972</v>
      </c>
      <c r="BW5059" s="67"/>
      <c r="BX5059" s="67"/>
      <c r="BY5059" s="67"/>
      <c r="BZ5059" s="67"/>
      <c r="CA5059" s="67"/>
      <c r="CB5059" s="70"/>
      <c r="CC5059" s="70"/>
      <c r="CD5059" s="70"/>
      <c r="CE5059" s="67"/>
      <c r="CF5059" s="67"/>
      <c r="CG5059" s="67"/>
      <c r="CH5059" s="245"/>
      <c r="CI5059" s="245"/>
      <c r="CJ5059" s="67"/>
      <c r="CK5059" s="67"/>
      <c r="CL5059" s="67"/>
      <c r="CM5059" s="242"/>
      <c r="CN5059" s="242"/>
      <c r="CO5059" s="242"/>
      <c r="CP5059" s="242"/>
      <c r="CQ5059" s="242"/>
      <c r="CR5059" s="242"/>
      <c r="CS5059" s="242"/>
      <c r="CT5059" s="242"/>
      <c r="CU5059" s="242"/>
      <c r="CV5059" s="242"/>
      <c r="CW5059" s="67"/>
      <c r="CX5059" s="67"/>
      <c r="CY5059" s="242"/>
      <c r="CZ5059" s="242"/>
      <c r="DA5059" s="67"/>
      <c r="DB5059" s="67"/>
      <c r="DC5059" s="67"/>
      <c r="DD5059" s="67"/>
      <c r="DE5059" s="67"/>
      <c r="DF5059" s="67"/>
      <c r="DG5059" s="67"/>
      <c r="DH5059" s="67"/>
      <c r="DI5059" s="67"/>
      <c r="DJ5059" s="67"/>
      <c r="DK5059" s="67"/>
      <c r="DL5059" s="67"/>
      <c r="DM5059" s="67"/>
      <c r="DN5059" s="67"/>
      <c r="DO5059" s="67"/>
      <c r="DP5059" s="67"/>
      <c r="DQ5059" s="166"/>
      <c r="DR5059" s="166"/>
      <c r="DS5059" s="163"/>
      <c r="DT5059" s="163"/>
      <c r="DU5059" s="67"/>
      <c r="DV5059" s="67"/>
      <c r="DW5059" s="67"/>
      <c r="DX5059" s="67"/>
      <c r="DY5059" s="67"/>
      <c r="DZ5059" s="67"/>
      <c r="EA5059" s="67"/>
      <c r="EB5059" s="67"/>
      <c r="EC5059" s="67"/>
      <c r="ED5059" s="67"/>
      <c r="EE5059" s="67"/>
      <c r="EF5059" s="67"/>
      <c r="EG5059" s="67"/>
      <c r="EH5059" s="67"/>
      <c r="EI5059" s="67"/>
      <c r="EJ5059" s="67"/>
      <c r="EK5059" s="94"/>
      <c r="EL5059" s="94"/>
      <c r="EM5059" s="67"/>
      <c r="EN5059" s="67"/>
      <c r="EO5059" s="67"/>
      <c r="EP5059" s="67"/>
      <c r="EQ5059" s="67"/>
      <c r="ER5059" s="67"/>
      <c r="ES5059" s="67"/>
      <c r="ET5059" s="67"/>
      <c r="EU5059" s="67"/>
      <c r="EV5059" s="67"/>
      <c r="EW5059" s="67"/>
      <c r="EX5059" s="67"/>
      <c r="EY5059" s="67"/>
      <c r="EZ5059" s="67"/>
      <c r="FA5059" s="67"/>
      <c r="FB5059" s="67"/>
      <c r="FC5059" s="67"/>
      <c r="FD5059" s="67"/>
      <c r="FE5059" s="67"/>
      <c r="FF5059" s="67"/>
      <c r="FG5059" s="67"/>
      <c r="FH5059" s="67"/>
      <c r="FI5059" s="67"/>
      <c r="FJ5059" s="67"/>
      <c r="FK5059" s="67"/>
      <c r="FL5059" s="67"/>
      <c r="FM5059" s="67"/>
      <c r="FN5059" s="67"/>
      <c r="FO5059" s="67"/>
      <c r="FP5059" s="67"/>
      <c r="FQ5059" s="67"/>
      <c r="FR5059" s="67"/>
      <c r="FS5059" s="67"/>
      <c r="FT5059" s="67"/>
      <c r="FU5059" s="67"/>
      <c r="FV5059" s="67"/>
      <c r="FW5059" s="67"/>
      <c r="FX5059" s="67"/>
      <c r="FY5059" s="67"/>
      <c r="FZ5059" s="67"/>
      <c r="GA5059" s="67"/>
      <c r="GB5059" s="67"/>
      <c r="GC5059" s="67"/>
      <c r="GD5059" s="67"/>
      <c r="GE5059" s="67"/>
      <c r="GF5059" s="67"/>
      <c r="GG5059" s="67"/>
      <c r="GH5059" s="67"/>
      <c r="GI5059" s="67"/>
      <c r="GJ5059" s="67"/>
      <c r="GK5059" s="67"/>
      <c r="GL5059" s="67"/>
      <c r="GM5059" s="67"/>
      <c r="GN5059" s="292"/>
      <c r="GO5059" s="292"/>
      <c r="GP5059" s="292" t="s">
        <v>7494</v>
      </c>
      <c r="GQ5059" s="67"/>
      <c r="GR5059" s="67"/>
      <c r="GS5059" s="67"/>
      <c r="GT5059" s="67"/>
      <c r="GU5059" s="67"/>
      <c r="GV5059" s="67"/>
      <c r="GW5059" s="67"/>
      <c r="GX5059" s="67"/>
      <c r="GY5059" s="67"/>
      <c r="GZ5059" s="67"/>
      <c r="HA5059" s="67"/>
      <c r="HB5059" s="67"/>
      <c r="HC5059" s="67"/>
      <c r="HD5059" s="67"/>
      <c r="HE5059" s="67"/>
      <c r="HF5059" s="67"/>
      <c r="HG5059" s="67"/>
      <c r="HH5059" s="67"/>
      <c r="HI5059" s="67"/>
      <c r="HJ5059" s="67"/>
      <c r="HK5059" s="67"/>
      <c r="HL5059" s="67"/>
      <c r="HM5059" s="67"/>
      <c r="HN5059" s="67"/>
      <c r="HO5059" s="67"/>
      <c r="HP5059" s="67"/>
      <c r="HQ5059" s="67"/>
      <c r="HR5059" s="67"/>
      <c r="HS5059" s="67"/>
      <c r="HT5059" s="67"/>
      <c r="HU5059" s="67"/>
      <c r="HV5059" s="67"/>
      <c r="HW5059" s="67"/>
      <c r="HX5059" s="67"/>
      <c r="HY5059" s="67"/>
      <c r="HZ5059" s="67"/>
      <c r="IA5059" s="67"/>
      <c r="IB5059" s="67"/>
      <c r="IC5059" s="67"/>
      <c r="ID5059" s="67"/>
      <c r="IE5059" s="67"/>
      <c r="IF5059" s="67"/>
      <c r="IG5059" s="67"/>
      <c r="IH5059" s="67"/>
      <c r="II5059" s="67"/>
      <c r="IJ5059" s="67"/>
      <c r="IK5059" s="67"/>
      <c r="IL5059" s="67"/>
      <c r="IM5059" s="67">
        <v>389</v>
      </c>
      <c r="IN5059" s="67">
        <v>299</v>
      </c>
      <c r="IO5059" s="67">
        <f>407-IM5059</f>
        <v>18</v>
      </c>
      <c r="IP5059" s="67">
        <v>11</v>
      </c>
      <c r="IQ5059" s="67" t="s">
        <v>2879</v>
      </c>
      <c r="IR5059" s="67"/>
      <c r="IS5059" s="67"/>
      <c r="IT5059" s="67"/>
      <c r="IU5059" s="67"/>
      <c r="IV5059" s="67"/>
      <c r="IW5059" s="67"/>
      <c r="IX5059" s="67"/>
      <c r="IY5059" s="67"/>
      <c r="IZ5059" s="67"/>
      <c r="JA5059" s="67"/>
      <c r="JB5059" s="67"/>
      <c r="JC5059" s="67"/>
      <c r="JD5059" s="67"/>
      <c r="JE5059" s="67"/>
      <c r="JF5059" s="67"/>
      <c r="JG5059" s="67"/>
      <c r="JH5059" s="67"/>
      <c r="JI5059" s="67"/>
      <c r="JJ5059" s="67"/>
      <c r="JK5059" s="67"/>
      <c r="JL5059" s="67"/>
      <c r="JM5059" s="67"/>
      <c r="JN5059" s="67"/>
      <c r="JO5059" s="67"/>
      <c r="JP5059" s="67"/>
      <c r="JQ5059" s="67"/>
      <c r="JR5059" s="67"/>
      <c r="JS5059" s="67"/>
      <c r="JT5059" s="67"/>
      <c r="JU5059" s="58"/>
      <c r="JV5059" s="58"/>
      <c r="JW5059" s="58"/>
    </row>
    <row r="5060" spans="1:283" s="23" customFormat="1" x14ac:dyDescent="0.25">
      <c r="A5060" s="55">
        <v>5059</v>
      </c>
      <c r="B5060" s="12" t="s">
        <v>7067</v>
      </c>
      <c r="C5060" s="156">
        <v>258</v>
      </c>
      <c r="D5060" s="58" t="s">
        <v>5003</v>
      </c>
      <c r="E5060" s="160" t="str">
        <f>G5060</f>
        <v>Oberholzer et al 2000</v>
      </c>
      <c r="F5060" s="160"/>
      <c r="G5060" s="60" t="s">
        <v>4724</v>
      </c>
      <c r="H5060" s="58">
        <v>2000</v>
      </c>
      <c r="I5060" s="58" t="s">
        <v>2847</v>
      </c>
      <c r="J5060" s="243" t="s">
        <v>5319</v>
      </c>
      <c r="K5060" s="63" t="s">
        <v>5970</v>
      </c>
      <c r="L5060" s="58" t="s">
        <v>5333</v>
      </c>
      <c r="M5060" s="94">
        <v>47.5</v>
      </c>
      <c r="N5060" s="94">
        <v>7.55</v>
      </c>
      <c r="O5060" s="94"/>
      <c r="P5060" s="58"/>
      <c r="Q5060" s="244"/>
      <c r="R5060" s="58"/>
      <c r="S5060" s="245"/>
      <c r="T5060" s="58"/>
      <c r="U5060" s="58" t="s">
        <v>1675</v>
      </c>
      <c r="V5060" s="244" t="s">
        <v>1675</v>
      </c>
      <c r="W5060" s="174"/>
      <c r="X5060" s="174"/>
      <c r="Y5060" s="58" t="s">
        <v>5971</v>
      </c>
      <c r="Z5060" s="244" t="s">
        <v>1346</v>
      </c>
      <c r="AA5060" s="245">
        <v>20</v>
      </c>
      <c r="AB5060" s="67"/>
      <c r="AC5060" s="67"/>
      <c r="AD5060" s="94"/>
      <c r="AE5060" s="94"/>
      <c r="AF5060" s="94"/>
      <c r="AG5060" s="245">
        <v>27</v>
      </c>
      <c r="AH5060" s="58"/>
      <c r="AI5060" s="169"/>
      <c r="AJ5060" s="94"/>
      <c r="AK5060" s="94"/>
      <c r="AL5060" s="58"/>
      <c r="AM5060" s="58"/>
      <c r="AN5060" s="186"/>
      <c r="AO5060" s="185" t="s">
        <v>7494</v>
      </c>
      <c r="AP5060" s="58"/>
      <c r="AQ5060" s="58"/>
      <c r="AR5060" s="58"/>
      <c r="AS5060" s="246" t="s">
        <v>5133</v>
      </c>
      <c r="AT5060" s="247">
        <v>1</v>
      </c>
      <c r="AU5060" s="181" t="s">
        <v>7494</v>
      </c>
      <c r="AV5060" s="185" t="s">
        <v>176</v>
      </c>
      <c r="AW5060" s="244">
        <v>1</v>
      </c>
      <c r="AX5060" s="185" t="s">
        <v>176</v>
      </c>
      <c r="AY5060" s="244"/>
      <c r="AZ5060" s="58"/>
      <c r="BA5060" s="58"/>
      <c r="BB5060" s="58"/>
      <c r="BC5060" s="58"/>
      <c r="BD5060" s="58"/>
      <c r="BE5060" s="236" t="s">
        <v>5155</v>
      </c>
      <c r="BF5060" s="191" t="s">
        <v>176</v>
      </c>
      <c r="BG5060" s="191" t="s">
        <v>479</v>
      </c>
      <c r="BH5060" s="236" t="s">
        <v>5155</v>
      </c>
      <c r="BI5060" s="191" t="s">
        <v>479</v>
      </c>
      <c r="BJ5060" s="58" t="str">
        <f>IF(BE5060=BH5060,"No","yes")</f>
        <v>No</v>
      </c>
      <c r="BK5060" s="58" t="s">
        <v>6334</v>
      </c>
      <c r="BL5060" s="58"/>
      <c r="BM5060" s="237"/>
      <c r="BN5060" s="244">
        <v>24</v>
      </c>
      <c r="BO5060" s="244">
        <v>24</v>
      </c>
      <c r="BP5060" s="58"/>
      <c r="BQ5060" s="58"/>
      <c r="BR5060" s="58"/>
      <c r="BS5060" s="58"/>
      <c r="BT5060" s="58"/>
      <c r="BU5060" s="58"/>
      <c r="BV5060" s="58" t="s">
        <v>2222</v>
      </c>
      <c r="BW5060" s="67"/>
      <c r="BX5060" s="67"/>
      <c r="BY5060" s="67"/>
      <c r="BZ5060" s="67"/>
      <c r="CA5060" s="67"/>
      <c r="CB5060" s="70"/>
      <c r="CC5060" s="70"/>
      <c r="CD5060" s="70"/>
      <c r="CE5060" s="67"/>
      <c r="CF5060" s="67"/>
      <c r="CG5060" s="67"/>
      <c r="CH5060" s="245"/>
      <c r="CI5060" s="245"/>
      <c r="CJ5060" s="67"/>
      <c r="CK5060" s="67"/>
      <c r="CL5060" s="67"/>
      <c r="CM5060" s="242"/>
      <c r="CN5060" s="242"/>
      <c r="CO5060" s="242"/>
      <c r="CP5060" s="242"/>
      <c r="CQ5060" s="242"/>
      <c r="CR5060" s="242"/>
      <c r="CS5060" s="242"/>
      <c r="CT5060" s="242"/>
      <c r="CU5060" s="242"/>
      <c r="CV5060" s="242"/>
      <c r="CW5060" s="67"/>
      <c r="CX5060" s="67"/>
      <c r="CY5060" s="242"/>
      <c r="CZ5060" s="242"/>
      <c r="DA5060" s="67"/>
      <c r="DB5060" s="67"/>
      <c r="DC5060" s="67"/>
      <c r="DD5060" s="67"/>
      <c r="DE5060" s="67"/>
      <c r="DF5060" s="67"/>
      <c r="DG5060" s="67"/>
      <c r="DH5060" s="67"/>
      <c r="DI5060" s="67"/>
      <c r="DJ5060" s="67"/>
      <c r="DK5060" s="67"/>
      <c r="DL5060" s="67"/>
      <c r="DM5060" s="67"/>
      <c r="DN5060" s="67"/>
      <c r="DO5060" s="67"/>
      <c r="DP5060" s="67"/>
      <c r="DQ5060" s="166"/>
      <c r="DR5060" s="166"/>
      <c r="DS5060" s="163"/>
      <c r="DT5060" s="163"/>
      <c r="DU5060" s="67"/>
      <c r="DV5060" s="67"/>
      <c r="DW5060" s="67"/>
      <c r="DX5060" s="67"/>
      <c r="DY5060" s="67"/>
      <c r="DZ5060" s="67"/>
      <c r="EA5060" s="67"/>
      <c r="EB5060" s="67"/>
      <c r="EC5060" s="67"/>
      <c r="ED5060" s="67"/>
      <c r="EE5060" s="67"/>
      <c r="EF5060" s="67"/>
      <c r="EG5060" s="67"/>
      <c r="EH5060" s="67"/>
      <c r="EI5060" s="67"/>
      <c r="EJ5060" s="67"/>
      <c r="EK5060" s="94"/>
      <c r="EL5060" s="94"/>
      <c r="EM5060" s="67"/>
      <c r="EN5060" s="67"/>
      <c r="EO5060" s="67"/>
      <c r="EP5060" s="67"/>
      <c r="EQ5060" s="67"/>
      <c r="ER5060" s="67"/>
      <c r="ES5060" s="67"/>
      <c r="ET5060" s="67"/>
      <c r="EU5060" s="67"/>
      <c r="EV5060" s="67"/>
      <c r="EW5060" s="67"/>
      <c r="EX5060" s="67"/>
      <c r="EY5060" s="67"/>
      <c r="EZ5060" s="67"/>
      <c r="FA5060" s="67"/>
      <c r="FB5060" s="67"/>
      <c r="FC5060" s="67"/>
      <c r="FD5060" s="67"/>
      <c r="FE5060" s="67"/>
      <c r="FF5060" s="67"/>
      <c r="FG5060" s="67"/>
      <c r="FH5060" s="67"/>
      <c r="FI5060" s="67"/>
      <c r="FJ5060" s="67"/>
      <c r="FK5060" s="67"/>
      <c r="FL5060" s="67"/>
      <c r="FM5060" s="67"/>
      <c r="FN5060" s="67"/>
      <c r="FO5060" s="67"/>
      <c r="FP5060" s="67"/>
      <c r="FQ5060" s="67"/>
      <c r="FR5060" s="67"/>
      <c r="FS5060" s="67"/>
      <c r="FT5060" s="67"/>
      <c r="FU5060" s="67"/>
      <c r="FV5060" s="67"/>
      <c r="FW5060" s="67"/>
      <c r="FX5060" s="67"/>
      <c r="FY5060" s="67"/>
      <c r="FZ5060" s="67"/>
      <c r="GA5060" s="67"/>
      <c r="GB5060" s="67"/>
      <c r="GC5060" s="67"/>
      <c r="GD5060" s="67"/>
      <c r="GE5060" s="67"/>
      <c r="GF5060" s="67"/>
      <c r="GG5060" s="67"/>
      <c r="GH5060" s="67"/>
      <c r="GI5060" s="67"/>
      <c r="GJ5060" s="67"/>
      <c r="GK5060" s="67"/>
      <c r="GL5060" s="67"/>
      <c r="GM5060" s="67"/>
      <c r="GN5060" s="292"/>
      <c r="GO5060" s="292"/>
      <c r="GP5060" s="292" t="s">
        <v>7494</v>
      </c>
      <c r="GQ5060" s="67"/>
      <c r="GR5060" s="67"/>
      <c r="GS5060" s="67"/>
      <c r="GT5060" s="67"/>
      <c r="GU5060" s="67"/>
      <c r="GV5060" s="67"/>
      <c r="GW5060" s="67"/>
      <c r="GX5060" s="67"/>
      <c r="GY5060" s="67"/>
      <c r="GZ5060" s="67"/>
      <c r="HA5060" s="67"/>
      <c r="HB5060" s="67"/>
      <c r="HC5060" s="67"/>
      <c r="HD5060" s="67"/>
      <c r="HE5060" s="67"/>
      <c r="HF5060" s="67"/>
      <c r="HG5060" s="67"/>
      <c r="HH5060" s="67"/>
      <c r="HI5060" s="67"/>
      <c r="HJ5060" s="67"/>
      <c r="HK5060" s="67"/>
      <c r="HL5060" s="67"/>
      <c r="HM5060" s="67"/>
      <c r="HN5060" s="67"/>
      <c r="HO5060" s="67"/>
      <c r="HP5060" s="67"/>
      <c r="HQ5060" s="67"/>
      <c r="HR5060" s="67"/>
      <c r="HS5060" s="67"/>
      <c r="HT5060" s="67"/>
      <c r="HU5060" s="67"/>
      <c r="HV5060" s="67"/>
      <c r="HW5060" s="67"/>
      <c r="HX5060" s="67"/>
      <c r="HY5060" s="67"/>
      <c r="HZ5060" s="67"/>
      <c r="IA5060" s="67"/>
      <c r="IB5060" s="67"/>
      <c r="IC5060" s="67"/>
      <c r="ID5060" s="67"/>
      <c r="IE5060" s="67"/>
      <c r="IF5060" s="67"/>
      <c r="IG5060" s="67"/>
      <c r="IH5060" s="67"/>
      <c r="II5060" s="67"/>
      <c r="IJ5060" s="67"/>
      <c r="IK5060" s="67"/>
      <c r="IL5060" s="67"/>
      <c r="IM5060" s="67">
        <v>377</v>
      </c>
      <c r="IN5060" s="67">
        <v>289</v>
      </c>
      <c r="IO5060" s="67">
        <f>404-IM5060</f>
        <v>27</v>
      </c>
      <c r="IP5060" s="67">
        <v>17</v>
      </c>
      <c r="IQ5060" s="67" t="s">
        <v>2879</v>
      </c>
      <c r="IR5060" s="67"/>
      <c r="IS5060" s="67"/>
      <c r="IT5060" s="67"/>
      <c r="IU5060" s="67"/>
      <c r="IV5060" s="67"/>
      <c r="IW5060" s="67"/>
      <c r="IX5060" s="67"/>
      <c r="IY5060" s="67"/>
      <c r="IZ5060" s="67"/>
      <c r="JA5060" s="67"/>
      <c r="JB5060" s="67"/>
      <c r="JC5060" s="67"/>
      <c r="JD5060" s="67"/>
      <c r="JE5060" s="67"/>
      <c r="JF5060" s="67"/>
      <c r="JG5060" s="67"/>
      <c r="JH5060" s="67"/>
      <c r="JI5060" s="67"/>
      <c r="JJ5060" s="67"/>
      <c r="JK5060" s="67"/>
      <c r="JL5060" s="67"/>
      <c r="JM5060" s="67"/>
      <c r="JN5060" s="67"/>
      <c r="JO5060" s="67"/>
      <c r="JP5060" s="67"/>
      <c r="JQ5060" s="67"/>
      <c r="JR5060" s="67"/>
      <c r="JS5060" s="67"/>
      <c r="JT5060" s="67"/>
      <c r="JU5060" s="58"/>
      <c r="JV5060" s="58"/>
      <c r="JW5060" s="58"/>
    </row>
    <row r="5061" spans="1:283" s="23" customFormat="1" x14ac:dyDescent="0.25">
      <c r="A5061" s="55">
        <v>5060</v>
      </c>
      <c r="B5061" s="12" t="s">
        <v>7067</v>
      </c>
      <c r="C5061" s="156">
        <v>259</v>
      </c>
      <c r="D5061" s="58" t="s">
        <v>5004</v>
      </c>
      <c r="E5061" s="160" t="str">
        <f>G5061</f>
        <v>Okur et al. 2009</v>
      </c>
      <c r="F5061" s="160"/>
      <c r="G5061" s="60" t="s">
        <v>4723</v>
      </c>
      <c r="H5061" s="58">
        <v>2009</v>
      </c>
      <c r="I5061" s="58" t="s">
        <v>5599</v>
      </c>
      <c r="J5061" s="243" t="s">
        <v>5320</v>
      </c>
      <c r="K5061" s="63" t="s">
        <v>5087</v>
      </c>
      <c r="L5061" s="58" t="s">
        <v>3533</v>
      </c>
      <c r="M5061" s="94">
        <v>38.61</v>
      </c>
      <c r="N5061" s="94">
        <v>27.43</v>
      </c>
      <c r="O5061" s="94">
        <v>95</v>
      </c>
      <c r="P5061" s="58"/>
      <c r="Q5061" s="244"/>
      <c r="R5061" s="58"/>
      <c r="S5061" s="245">
        <v>750</v>
      </c>
      <c r="T5061" s="58"/>
      <c r="U5061" s="58" t="s">
        <v>1935</v>
      </c>
      <c r="V5061" s="244" t="s">
        <v>1688</v>
      </c>
      <c r="W5061" s="174"/>
      <c r="X5061" s="174"/>
      <c r="Y5061" s="58" t="s">
        <v>5636</v>
      </c>
      <c r="Z5061" s="244" t="s">
        <v>1346</v>
      </c>
      <c r="AA5061" s="245">
        <v>20</v>
      </c>
      <c r="AB5061" s="67"/>
      <c r="AC5061" s="67"/>
      <c r="AD5061" s="94"/>
      <c r="AE5061" s="94">
        <v>59.12</v>
      </c>
      <c r="AF5061" s="94">
        <v>24</v>
      </c>
      <c r="AG5061" s="245">
        <v>16.88</v>
      </c>
      <c r="AH5061" s="58" t="s">
        <v>238</v>
      </c>
      <c r="AI5061" s="169" t="s">
        <v>5711</v>
      </c>
      <c r="AJ5061" s="94">
        <v>0.75</v>
      </c>
      <c r="AK5061" s="94"/>
      <c r="AL5061" s="58"/>
      <c r="AM5061" s="58" t="s">
        <v>5712</v>
      </c>
      <c r="AN5061" s="186" t="s">
        <v>5710</v>
      </c>
      <c r="AO5061" s="185" t="s">
        <v>5150</v>
      </c>
      <c r="AP5061" s="58"/>
      <c r="AQ5061" s="58" t="s">
        <v>4584</v>
      </c>
      <c r="AR5061" s="58" t="s">
        <v>4532</v>
      </c>
      <c r="AS5061" s="246" t="s">
        <v>3471</v>
      </c>
      <c r="AT5061" s="247">
        <v>0</v>
      </c>
      <c r="AU5061" s="181" t="s">
        <v>7494</v>
      </c>
      <c r="AV5061" s="185" t="s">
        <v>176</v>
      </c>
      <c r="AW5061" s="244">
        <v>0</v>
      </c>
      <c r="AX5061" s="185" t="s">
        <v>176</v>
      </c>
      <c r="AY5061" s="244" t="s">
        <v>176</v>
      </c>
      <c r="AZ5061" s="58"/>
      <c r="BA5061" s="58"/>
      <c r="BB5061" s="58"/>
      <c r="BC5061" s="58"/>
      <c r="BD5061" s="58"/>
      <c r="BE5061" s="236" t="s">
        <v>5185</v>
      </c>
      <c r="BF5061" s="191" t="s">
        <v>479</v>
      </c>
      <c r="BG5061" s="191" t="s">
        <v>479</v>
      </c>
      <c r="BH5061" s="236" t="s">
        <v>5277</v>
      </c>
      <c r="BI5061" s="191" t="s">
        <v>479</v>
      </c>
      <c r="BJ5061" s="58" t="str">
        <f>IF(BE5061=BH5061,"No","yes")</f>
        <v>yes</v>
      </c>
      <c r="BK5061" s="58" t="s">
        <v>6335</v>
      </c>
      <c r="BL5061" s="58" t="s">
        <v>5709</v>
      </c>
      <c r="BM5061" s="237" t="s">
        <v>160</v>
      </c>
      <c r="BN5061" s="244">
        <v>10</v>
      </c>
      <c r="BO5061" s="244">
        <v>10</v>
      </c>
      <c r="BP5061" s="58"/>
      <c r="BQ5061" s="58"/>
      <c r="BR5061" s="58"/>
      <c r="BS5061" s="58"/>
      <c r="BT5061" s="58"/>
      <c r="BU5061" s="58"/>
      <c r="BV5061" s="58"/>
      <c r="BW5061" s="67"/>
      <c r="BX5061" s="67"/>
      <c r="BY5061" s="67"/>
      <c r="BZ5061" s="67"/>
      <c r="CA5061" s="67"/>
      <c r="CB5061" s="70"/>
      <c r="CC5061" s="70"/>
      <c r="CD5061" s="70"/>
      <c r="CE5061" s="67"/>
      <c r="CF5061" s="67"/>
      <c r="CG5061" s="67"/>
      <c r="CH5061" s="245"/>
      <c r="CI5061" s="245"/>
      <c r="CJ5061" s="67"/>
      <c r="CK5061" s="67"/>
      <c r="CL5061" s="67"/>
      <c r="CM5061" s="242">
        <v>0.8</v>
      </c>
      <c r="CN5061" s="242">
        <v>0.95</v>
      </c>
      <c r="CO5061" s="242">
        <f>0.01*CM5061</f>
        <v>8.0000000000000002E-3</v>
      </c>
      <c r="CP5061" s="242">
        <f>0.02*CN5061</f>
        <v>1.9E-2</v>
      </c>
      <c r="CQ5061" s="242" t="s">
        <v>164</v>
      </c>
      <c r="CR5061" s="242"/>
      <c r="CS5061" s="242"/>
      <c r="CT5061" s="242"/>
      <c r="CU5061" s="242"/>
      <c r="CV5061" s="242"/>
      <c r="CW5061" s="242"/>
      <c r="CX5061" s="242"/>
      <c r="CY5061" s="242"/>
      <c r="CZ5061" s="242"/>
      <c r="DA5061" s="67" t="s">
        <v>5443</v>
      </c>
      <c r="DB5061" s="67">
        <v>0.13</v>
      </c>
      <c r="DC5061" s="67">
        <v>0.14000000000000001</v>
      </c>
      <c r="DD5061" s="67"/>
      <c r="DE5061" s="67"/>
      <c r="DF5061" s="67" t="s">
        <v>5565</v>
      </c>
      <c r="DG5061" s="67">
        <v>9.73</v>
      </c>
      <c r="DH5061" s="67">
        <v>6.42</v>
      </c>
      <c r="DI5061" s="67"/>
      <c r="DJ5061" s="67"/>
      <c r="DK5061" s="67" t="s">
        <v>3491</v>
      </c>
      <c r="DL5061" s="67"/>
      <c r="DM5061" s="67"/>
      <c r="DN5061" s="67"/>
      <c r="DO5061" s="67"/>
      <c r="DP5061" s="67"/>
      <c r="DQ5061" s="166"/>
      <c r="DR5061" s="166"/>
      <c r="DS5061" s="163"/>
      <c r="DT5061" s="163"/>
      <c r="DU5061" s="67"/>
      <c r="DV5061" s="67"/>
      <c r="DW5061" s="67"/>
      <c r="DX5061" s="67"/>
      <c r="DY5061" s="67"/>
      <c r="DZ5061" s="67"/>
      <c r="EA5061" s="67"/>
      <c r="EB5061" s="67"/>
      <c r="EC5061" s="67"/>
      <c r="ED5061" s="67"/>
      <c r="EE5061" s="67"/>
      <c r="EF5061" s="67"/>
      <c r="EG5061" s="67"/>
      <c r="EH5061" s="67"/>
      <c r="EI5061" s="67"/>
      <c r="EJ5061" s="67"/>
      <c r="EK5061" s="94"/>
      <c r="EL5061" s="94"/>
      <c r="EM5061" s="67"/>
      <c r="EN5061" s="67"/>
      <c r="EO5061" s="67"/>
      <c r="EP5061" s="67"/>
      <c r="EQ5061" s="67"/>
      <c r="ER5061" s="67"/>
      <c r="ES5061" s="67"/>
      <c r="ET5061" s="67"/>
      <c r="EU5061" s="67"/>
      <c r="EV5061" s="67"/>
      <c r="EW5061" s="67"/>
      <c r="EX5061" s="67"/>
      <c r="EY5061" s="67"/>
      <c r="EZ5061" s="67"/>
      <c r="FA5061" s="67"/>
      <c r="FB5061" s="67"/>
      <c r="FC5061" s="67"/>
      <c r="FD5061" s="67"/>
      <c r="FE5061" s="67"/>
      <c r="FF5061" s="67"/>
      <c r="FG5061" s="67"/>
      <c r="FH5061" s="67"/>
      <c r="FI5061" s="67"/>
      <c r="FJ5061" s="67"/>
      <c r="FK5061" s="67"/>
      <c r="FL5061" s="67"/>
      <c r="FM5061" s="67"/>
      <c r="FN5061" s="67"/>
      <c r="FO5061" s="67"/>
      <c r="FP5061" s="67"/>
      <c r="FQ5061" s="67"/>
      <c r="FR5061" s="67"/>
      <c r="FS5061" s="67"/>
      <c r="FT5061" s="67"/>
      <c r="FU5061" s="67"/>
      <c r="FV5061" s="67"/>
      <c r="FW5061" s="67"/>
      <c r="FX5061" s="67"/>
      <c r="FY5061" s="67"/>
      <c r="FZ5061" s="67"/>
      <c r="GA5061" s="67"/>
      <c r="GB5061" s="67"/>
      <c r="GC5061" s="67"/>
      <c r="GD5061" s="67"/>
      <c r="GE5061" s="67"/>
      <c r="GF5061" s="67"/>
      <c r="GG5061" s="67"/>
      <c r="GH5061" s="67"/>
      <c r="GI5061" s="67"/>
      <c r="GJ5061" s="67"/>
      <c r="GK5061" s="67"/>
      <c r="GL5061" s="67"/>
      <c r="GM5061" s="67"/>
      <c r="GN5061" s="292"/>
      <c r="GO5061" s="292"/>
      <c r="GP5061" s="292" t="s">
        <v>7494</v>
      </c>
      <c r="GQ5061" s="67"/>
      <c r="GR5061" s="67"/>
      <c r="GS5061" s="67"/>
      <c r="GT5061" s="67"/>
      <c r="GU5061" s="67"/>
      <c r="GV5061" s="67"/>
      <c r="GW5061" s="67"/>
      <c r="GX5061" s="67"/>
      <c r="GY5061" s="67"/>
      <c r="GZ5061" s="67"/>
      <c r="HA5061" s="67"/>
      <c r="HB5061" s="67"/>
      <c r="HC5061" s="67"/>
      <c r="HD5061" s="67"/>
      <c r="HE5061" s="67"/>
      <c r="HF5061" s="67"/>
      <c r="HG5061" s="67"/>
      <c r="HH5061" s="67"/>
      <c r="HI5061" s="67"/>
      <c r="HJ5061" s="67"/>
      <c r="HK5061" s="67"/>
      <c r="HL5061" s="67"/>
      <c r="HM5061" s="67"/>
      <c r="HN5061" s="67"/>
      <c r="HO5061" s="67"/>
      <c r="HP5061" s="67"/>
      <c r="HQ5061" s="67"/>
      <c r="HR5061" s="67"/>
      <c r="HS5061" s="67">
        <v>52.17</v>
      </c>
      <c r="HT5061" s="67">
        <v>138.51</v>
      </c>
      <c r="HU5061" s="67">
        <f>55.28-HS5061</f>
        <v>3.1099999999999994</v>
      </c>
      <c r="HV5061" s="67">
        <f>153.42-HT5061</f>
        <v>14.909999999999997</v>
      </c>
      <c r="HW5061" s="67" t="s">
        <v>5714</v>
      </c>
      <c r="HX5061" s="67"/>
      <c r="HY5061" s="67"/>
      <c r="HZ5061" s="67"/>
      <c r="IA5061" s="67"/>
      <c r="IB5061" s="67"/>
      <c r="IC5061" s="67"/>
      <c r="ID5061" s="67"/>
      <c r="IE5061" s="67"/>
      <c r="IF5061" s="67"/>
      <c r="IG5061" s="67"/>
      <c r="IH5061" s="67"/>
      <c r="II5061" s="67"/>
      <c r="IJ5061" s="67"/>
      <c r="IK5061" s="67"/>
      <c r="IL5061" s="67"/>
      <c r="IM5061" s="67"/>
      <c r="IN5061" s="67"/>
      <c r="IO5061" s="67"/>
      <c r="IP5061" s="67"/>
      <c r="IQ5061" s="67"/>
      <c r="IR5061" s="67"/>
      <c r="IS5061" s="67"/>
      <c r="IT5061" s="67"/>
      <c r="IU5061" s="67"/>
      <c r="IV5061" s="67"/>
      <c r="IW5061" s="67"/>
      <c r="IX5061" s="67"/>
      <c r="IY5061" s="67"/>
      <c r="IZ5061" s="67"/>
      <c r="JA5061" s="67"/>
      <c r="JB5061" s="67"/>
      <c r="JC5061" s="67"/>
      <c r="JD5061" s="67"/>
      <c r="JE5061" s="67"/>
      <c r="JF5061" s="67"/>
      <c r="JG5061" s="67">
        <v>314.10000000000002</v>
      </c>
      <c r="JH5061" s="67">
        <v>512.9</v>
      </c>
      <c r="JI5061" s="67"/>
      <c r="JJ5061" s="67"/>
      <c r="JK5061" s="67" t="s">
        <v>5615</v>
      </c>
      <c r="JL5061" s="67"/>
      <c r="JM5061" s="67"/>
      <c r="JN5061" s="67"/>
      <c r="JO5061" s="67"/>
      <c r="JP5061" s="67"/>
      <c r="JQ5061" s="67"/>
      <c r="JR5061" s="67"/>
      <c r="JS5061" s="67"/>
      <c r="JT5061" s="67">
        <v>99999</v>
      </c>
      <c r="JU5061" s="58"/>
      <c r="JV5061" s="58"/>
      <c r="JW5061" s="58"/>
    </row>
    <row r="5062" spans="1:283" s="23" customFormat="1" x14ac:dyDescent="0.25">
      <c r="A5062" s="55">
        <v>5061</v>
      </c>
      <c r="B5062" s="12" t="s">
        <v>7067</v>
      </c>
      <c r="C5062" s="156">
        <v>259</v>
      </c>
      <c r="D5062" s="58" t="s">
        <v>5004</v>
      </c>
      <c r="E5062" s="160" t="str">
        <f>G5062</f>
        <v>Okur et al. 2009</v>
      </c>
      <c r="F5062" s="160"/>
      <c r="G5062" s="60" t="s">
        <v>4723</v>
      </c>
      <c r="H5062" s="58">
        <v>2009</v>
      </c>
      <c r="I5062" s="58" t="s">
        <v>5599</v>
      </c>
      <c r="J5062" s="243" t="s">
        <v>5320</v>
      </c>
      <c r="K5062" s="63" t="s">
        <v>5087</v>
      </c>
      <c r="L5062" s="58" t="s">
        <v>3533</v>
      </c>
      <c r="M5062" s="94">
        <v>38.61</v>
      </c>
      <c r="N5062" s="94">
        <v>27.43</v>
      </c>
      <c r="O5062" s="94">
        <v>95</v>
      </c>
      <c r="P5062" s="58"/>
      <c r="Q5062" s="244"/>
      <c r="R5062" s="58"/>
      <c r="S5062" s="245">
        <v>750</v>
      </c>
      <c r="T5062" s="58"/>
      <c r="U5062" s="58" t="s">
        <v>1935</v>
      </c>
      <c r="V5062" s="244" t="s">
        <v>1688</v>
      </c>
      <c r="W5062" s="174"/>
      <c r="X5062" s="174"/>
      <c r="Y5062" s="58" t="s">
        <v>5636</v>
      </c>
      <c r="Z5062" s="244" t="s">
        <v>1346</v>
      </c>
      <c r="AA5062" s="245">
        <v>20</v>
      </c>
      <c r="AB5062" s="67"/>
      <c r="AC5062" s="67"/>
      <c r="AD5062" s="94"/>
      <c r="AE5062" s="94">
        <v>59.12</v>
      </c>
      <c r="AF5062" s="94">
        <v>24</v>
      </c>
      <c r="AG5062" s="245">
        <v>16.88</v>
      </c>
      <c r="AH5062" s="58" t="s">
        <v>238</v>
      </c>
      <c r="AI5062" s="169" t="s">
        <v>5711</v>
      </c>
      <c r="AJ5062" s="94">
        <v>0.75</v>
      </c>
      <c r="AK5062" s="94"/>
      <c r="AL5062" s="58"/>
      <c r="AM5062" s="58" t="s">
        <v>5712</v>
      </c>
      <c r="AN5062" s="186" t="s">
        <v>5710</v>
      </c>
      <c r="AO5062" s="185" t="s">
        <v>5150</v>
      </c>
      <c r="AP5062" s="58"/>
      <c r="AQ5062" s="58" t="s">
        <v>4584</v>
      </c>
      <c r="AR5062" s="58" t="s">
        <v>4532</v>
      </c>
      <c r="AS5062" s="246" t="s">
        <v>3471</v>
      </c>
      <c r="AT5062" s="247">
        <v>0</v>
      </c>
      <c r="AU5062" s="181" t="s">
        <v>7494</v>
      </c>
      <c r="AV5062" s="185" t="s">
        <v>176</v>
      </c>
      <c r="AW5062" s="244">
        <v>0</v>
      </c>
      <c r="AX5062" s="185" t="s">
        <v>176</v>
      </c>
      <c r="AY5062" s="244" t="s">
        <v>176</v>
      </c>
      <c r="AZ5062" s="58"/>
      <c r="BA5062" s="58"/>
      <c r="BB5062" s="58"/>
      <c r="BC5062" s="58"/>
      <c r="BD5062" s="58"/>
      <c r="BE5062" s="236" t="s">
        <v>5185</v>
      </c>
      <c r="BF5062" s="191" t="s">
        <v>479</v>
      </c>
      <c r="BG5062" s="191" t="s">
        <v>479</v>
      </c>
      <c r="BH5062" s="236" t="s">
        <v>5277</v>
      </c>
      <c r="BI5062" s="191" t="s">
        <v>479</v>
      </c>
      <c r="BJ5062" s="58" t="str">
        <f>IF(BE5062=BH5062,"No","yes")</f>
        <v>yes</v>
      </c>
      <c r="BK5062" s="58" t="s">
        <v>6335</v>
      </c>
      <c r="BL5062" s="58" t="s">
        <v>5709</v>
      </c>
      <c r="BM5062" s="237" t="s">
        <v>160</v>
      </c>
      <c r="BN5062" s="244">
        <v>10</v>
      </c>
      <c r="BO5062" s="244">
        <v>10</v>
      </c>
      <c r="BP5062" s="58"/>
      <c r="BQ5062" s="58"/>
      <c r="BR5062" s="58"/>
      <c r="BS5062" s="58"/>
      <c r="BT5062" s="58"/>
      <c r="BU5062" s="58"/>
      <c r="BV5062" s="58"/>
      <c r="BW5062" s="67"/>
      <c r="BX5062" s="67"/>
      <c r="BY5062" s="67"/>
      <c r="BZ5062" s="67"/>
      <c r="CA5062" s="67"/>
      <c r="CB5062" s="70"/>
      <c r="CC5062" s="70"/>
      <c r="CD5062" s="70"/>
      <c r="CE5062" s="67"/>
      <c r="CF5062" s="67"/>
      <c r="CG5062" s="67"/>
      <c r="CH5062" s="245"/>
      <c r="CI5062" s="245"/>
      <c r="CJ5062" s="67"/>
      <c r="CK5062" s="67"/>
      <c r="CL5062" s="67"/>
      <c r="CM5062" s="242">
        <v>0.8</v>
      </c>
      <c r="CN5062" s="242">
        <v>0.93</v>
      </c>
      <c r="CO5062" s="242">
        <f>0.01*CM5062</f>
        <v>8.0000000000000002E-3</v>
      </c>
      <c r="CP5062" s="242">
        <f>0.02*CN5062</f>
        <v>1.8600000000000002E-2</v>
      </c>
      <c r="CQ5062" s="242" t="s">
        <v>164</v>
      </c>
      <c r="CR5062" s="242"/>
      <c r="CS5062" s="242"/>
      <c r="CT5062" s="242"/>
      <c r="CU5062" s="242"/>
      <c r="CV5062" s="242"/>
      <c r="CW5062" s="242"/>
      <c r="CX5062" s="242"/>
      <c r="CY5062" s="242"/>
      <c r="CZ5062" s="242"/>
      <c r="DA5062" s="67" t="s">
        <v>5443</v>
      </c>
      <c r="DB5062" s="67"/>
      <c r="DC5062" s="67"/>
      <c r="DD5062" s="67"/>
      <c r="DE5062" s="67"/>
      <c r="DF5062" s="67"/>
      <c r="DG5062" s="67"/>
      <c r="DH5062" s="67"/>
      <c r="DI5062" s="67"/>
      <c r="DJ5062" s="67"/>
      <c r="DK5062" s="67"/>
      <c r="DL5062" s="67"/>
      <c r="DM5062" s="67"/>
      <c r="DN5062" s="67"/>
      <c r="DO5062" s="67"/>
      <c r="DP5062" s="67"/>
      <c r="DQ5062" s="166"/>
      <c r="DR5062" s="166"/>
      <c r="DS5062" s="163"/>
      <c r="DT5062" s="163"/>
      <c r="DU5062" s="67"/>
      <c r="DV5062" s="67"/>
      <c r="DW5062" s="67"/>
      <c r="DX5062" s="67"/>
      <c r="DY5062" s="67"/>
      <c r="DZ5062" s="67"/>
      <c r="EA5062" s="67"/>
      <c r="EB5062" s="67"/>
      <c r="EC5062" s="67"/>
      <c r="ED5062" s="67"/>
      <c r="EE5062" s="67"/>
      <c r="EF5062" s="67"/>
      <c r="EG5062" s="67"/>
      <c r="EH5062" s="67"/>
      <c r="EI5062" s="67"/>
      <c r="EJ5062" s="67"/>
      <c r="EK5062" s="94"/>
      <c r="EL5062" s="94"/>
      <c r="EM5062" s="67"/>
      <c r="EN5062" s="67"/>
      <c r="EO5062" s="67"/>
      <c r="EP5062" s="67"/>
      <c r="EQ5062" s="67"/>
      <c r="ER5062" s="67"/>
      <c r="ES5062" s="67"/>
      <c r="ET5062" s="67"/>
      <c r="EU5062" s="67"/>
      <c r="EV5062" s="67"/>
      <c r="EW5062" s="67"/>
      <c r="EX5062" s="67"/>
      <c r="EY5062" s="67"/>
      <c r="EZ5062" s="67"/>
      <c r="FA5062" s="67"/>
      <c r="FB5062" s="67"/>
      <c r="FC5062" s="67"/>
      <c r="FD5062" s="67"/>
      <c r="FE5062" s="67"/>
      <c r="FF5062" s="67"/>
      <c r="FG5062" s="67"/>
      <c r="FH5062" s="67"/>
      <c r="FI5062" s="67"/>
      <c r="FJ5062" s="67"/>
      <c r="FK5062" s="67"/>
      <c r="FL5062" s="67"/>
      <c r="FM5062" s="67"/>
      <c r="FN5062" s="67"/>
      <c r="FO5062" s="67"/>
      <c r="FP5062" s="67"/>
      <c r="FQ5062" s="67"/>
      <c r="FR5062" s="67"/>
      <c r="FS5062" s="67"/>
      <c r="FT5062" s="67"/>
      <c r="FU5062" s="67"/>
      <c r="FV5062" s="67"/>
      <c r="FW5062" s="67"/>
      <c r="FX5062" s="67"/>
      <c r="FY5062" s="67"/>
      <c r="FZ5062" s="67"/>
      <c r="GA5062" s="67"/>
      <c r="GB5062" s="67"/>
      <c r="GC5062" s="67"/>
      <c r="GD5062" s="67"/>
      <c r="GE5062" s="67"/>
      <c r="GF5062" s="67"/>
      <c r="GG5062" s="67"/>
      <c r="GH5062" s="67"/>
      <c r="GI5062" s="67"/>
      <c r="GJ5062" s="67"/>
      <c r="GK5062" s="67"/>
      <c r="GL5062" s="67"/>
      <c r="GM5062" s="67"/>
      <c r="GN5062" s="292"/>
      <c r="GO5062" s="292"/>
      <c r="GP5062" s="292" t="s">
        <v>7494</v>
      </c>
      <c r="GQ5062" s="67"/>
      <c r="GR5062" s="67"/>
      <c r="GS5062" s="67"/>
      <c r="GT5062" s="67"/>
      <c r="GU5062" s="67"/>
      <c r="GV5062" s="67"/>
      <c r="GW5062" s="67"/>
      <c r="GX5062" s="67"/>
      <c r="GY5062" s="67"/>
      <c r="GZ5062" s="67"/>
      <c r="HA5062" s="67"/>
      <c r="HB5062" s="67"/>
      <c r="HC5062" s="67"/>
      <c r="HD5062" s="67"/>
      <c r="HE5062" s="67"/>
      <c r="HF5062" s="67"/>
      <c r="HG5062" s="67"/>
      <c r="HH5062" s="67"/>
      <c r="HI5062" s="67"/>
      <c r="HJ5062" s="67"/>
      <c r="HK5062" s="67"/>
      <c r="HL5062" s="67"/>
      <c r="HM5062" s="67"/>
      <c r="HN5062" s="67"/>
      <c r="HO5062" s="67"/>
      <c r="HP5062" s="67"/>
      <c r="HQ5062" s="67"/>
      <c r="HR5062" s="67"/>
      <c r="HS5062" s="67">
        <v>52.17</v>
      </c>
      <c r="HT5062" s="67">
        <v>143.47999999999999</v>
      </c>
      <c r="HU5062" s="67">
        <f>55.28-HS5062</f>
        <v>3.1099999999999994</v>
      </c>
      <c r="HV5062" s="67">
        <f>152.8-HT5062</f>
        <v>9.3200000000000216</v>
      </c>
      <c r="HW5062" s="67" t="s">
        <v>5714</v>
      </c>
      <c r="HX5062" s="67"/>
      <c r="HY5062" s="67"/>
      <c r="HZ5062" s="67"/>
      <c r="IA5062" s="67"/>
      <c r="IB5062" s="67"/>
      <c r="IC5062" s="67"/>
      <c r="ID5062" s="67"/>
      <c r="IE5062" s="67"/>
      <c r="IF5062" s="67"/>
      <c r="IG5062" s="67"/>
      <c r="IH5062" s="67"/>
      <c r="II5062" s="67"/>
      <c r="IJ5062" s="67"/>
      <c r="IK5062" s="67"/>
      <c r="IL5062" s="67"/>
      <c r="IM5062" s="67"/>
      <c r="IN5062" s="67"/>
      <c r="IO5062" s="67"/>
      <c r="IP5062" s="67"/>
      <c r="IQ5062" s="67"/>
      <c r="IR5062" s="67"/>
      <c r="IS5062" s="67"/>
      <c r="IT5062" s="67"/>
      <c r="IU5062" s="67"/>
      <c r="IV5062" s="67"/>
      <c r="IW5062" s="67"/>
      <c r="IX5062" s="67"/>
      <c r="IY5062" s="67"/>
      <c r="IZ5062" s="67"/>
      <c r="JA5062" s="67"/>
      <c r="JB5062" s="67"/>
      <c r="JC5062" s="67"/>
      <c r="JD5062" s="67"/>
      <c r="JE5062" s="67"/>
      <c r="JF5062" s="67"/>
      <c r="JG5062" s="67">
        <v>314.10000000000002</v>
      </c>
      <c r="JH5062" s="67">
        <v>499.8</v>
      </c>
      <c r="JI5062" s="67"/>
      <c r="JJ5062" s="67"/>
      <c r="JK5062" s="67" t="s">
        <v>5615</v>
      </c>
      <c r="JL5062" s="67"/>
      <c r="JM5062" s="67"/>
      <c r="JN5062" s="67"/>
      <c r="JO5062" s="67"/>
      <c r="JP5062" s="67"/>
      <c r="JQ5062" s="67"/>
      <c r="JR5062" s="67"/>
      <c r="JS5062" s="67"/>
      <c r="JT5062" s="67">
        <v>99999</v>
      </c>
      <c r="JU5062" s="58"/>
      <c r="JV5062" s="58"/>
      <c r="JW5062" s="58"/>
    </row>
    <row r="5063" spans="1:283" s="23" customFormat="1" x14ac:dyDescent="0.25">
      <c r="A5063" s="55">
        <v>5062</v>
      </c>
      <c r="B5063" s="12" t="s">
        <v>7067</v>
      </c>
      <c r="C5063" s="156">
        <v>259</v>
      </c>
      <c r="D5063" s="58" t="s">
        <v>5004</v>
      </c>
      <c r="E5063" s="160" t="str">
        <f>G5063</f>
        <v>Okur et al. 2009</v>
      </c>
      <c r="F5063" s="160"/>
      <c r="G5063" s="60" t="s">
        <v>4723</v>
      </c>
      <c r="H5063" s="58">
        <v>2009</v>
      </c>
      <c r="I5063" s="58" t="s">
        <v>5599</v>
      </c>
      <c r="J5063" s="243" t="s">
        <v>5320</v>
      </c>
      <c r="K5063" s="63" t="s">
        <v>5087</v>
      </c>
      <c r="L5063" s="58" t="s">
        <v>3533</v>
      </c>
      <c r="M5063" s="94">
        <v>38.61</v>
      </c>
      <c r="N5063" s="94">
        <v>27.43</v>
      </c>
      <c r="O5063" s="94">
        <v>95</v>
      </c>
      <c r="P5063" s="58"/>
      <c r="Q5063" s="244"/>
      <c r="R5063" s="58"/>
      <c r="S5063" s="245">
        <v>750</v>
      </c>
      <c r="T5063" s="58"/>
      <c r="U5063" s="58" t="s">
        <v>1935</v>
      </c>
      <c r="V5063" s="244" t="s">
        <v>1688</v>
      </c>
      <c r="W5063" s="174"/>
      <c r="X5063" s="174"/>
      <c r="Y5063" s="58" t="s">
        <v>5636</v>
      </c>
      <c r="Z5063" s="244" t="s">
        <v>1346</v>
      </c>
      <c r="AA5063" s="245">
        <v>20</v>
      </c>
      <c r="AB5063" s="67"/>
      <c r="AC5063" s="67"/>
      <c r="AD5063" s="94"/>
      <c r="AE5063" s="94">
        <v>59.12</v>
      </c>
      <c r="AF5063" s="94">
        <v>24</v>
      </c>
      <c r="AG5063" s="245">
        <v>16.88</v>
      </c>
      <c r="AH5063" s="58" t="s">
        <v>238</v>
      </c>
      <c r="AI5063" s="169" t="s">
        <v>5711</v>
      </c>
      <c r="AJ5063" s="94">
        <v>0.75</v>
      </c>
      <c r="AK5063" s="94"/>
      <c r="AL5063" s="58"/>
      <c r="AM5063" s="58" t="s">
        <v>5712</v>
      </c>
      <c r="AN5063" s="186" t="s">
        <v>5710</v>
      </c>
      <c r="AO5063" s="185" t="s">
        <v>5150</v>
      </c>
      <c r="AP5063" s="58"/>
      <c r="AQ5063" s="58" t="s">
        <v>4584</v>
      </c>
      <c r="AR5063" s="58" t="s">
        <v>4532</v>
      </c>
      <c r="AS5063" s="246" t="s">
        <v>3471</v>
      </c>
      <c r="AT5063" s="247">
        <v>0</v>
      </c>
      <c r="AU5063" s="181" t="s">
        <v>7494</v>
      </c>
      <c r="AV5063" s="185" t="s">
        <v>176</v>
      </c>
      <c r="AW5063" s="244">
        <v>0</v>
      </c>
      <c r="AX5063" s="185" t="s">
        <v>176</v>
      </c>
      <c r="AY5063" s="244" t="s">
        <v>176</v>
      </c>
      <c r="AZ5063" s="58"/>
      <c r="BA5063" s="58"/>
      <c r="BB5063" s="58"/>
      <c r="BC5063" s="58"/>
      <c r="BD5063" s="58"/>
      <c r="BE5063" s="236" t="s">
        <v>5185</v>
      </c>
      <c r="BF5063" s="191" t="s">
        <v>479</v>
      </c>
      <c r="BG5063" s="191" t="s">
        <v>479</v>
      </c>
      <c r="BH5063" s="236" t="s">
        <v>5277</v>
      </c>
      <c r="BI5063" s="191" t="s">
        <v>479</v>
      </c>
      <c r="BJ5063" s="58" t="str">
        <f>IF(BE5063=BH5063,"No","yes")</f>
        <v>yes</v>
      </c>
      <c r="BK5063" s="58" t="s">
        <v>6335</v>
      </c>
      <c r="BL5063" s="58" t="s">
        <v>5709</v>
      </c>
      <c r="BM5063" s="237" t="s">
        <v>160</v>
      </c>
      <c r="BN5063" s="244">
        <v>10</v>
      </c>
      <c r="BO5063" s="244">
        <v>10</v>
      </c>
      <c r="BP5063" s="58"/>
      <c r="BQ5063" s="58"/>
      <c r="BR5063" s="58"/>
      <c r="BS5063" s="58"/>
      <c r="BT5063" s="58"/>
      <c r="BU5063" s="58"/>
      <c r="BV5063" s="58"/>
      <c r="BW5063" s="67"/>
      <c r="BX5063" s="67"/>
      <c r="BY5063" s="67"/>
      <c r="BZ5063" s="67"/>
      <c r="CA5063" s="67"/>
      <c r="CB5063" s="70"/>
      <c r="CC5063" s="70"/>
      <c r="CD5063" s="70"/>
      <c r="CE5063" s="67"/>
      <c r="CF5063" s="67"/>
      <c r="CG5063" s="67"/>
      <c r="CH5063" s="245"/>
      <c r="CI5063" s="245"/>
      <c r="CJ5063" s="67"/>
      <c r="CK5063" s="67"/>
      <c r="CL5063" s="67"/>
      <c r="CM5063" s="242">
        <v>0.8</v>
      </c>
      <c r="CN5063" s="242">
        <v>0.88</v>
      </c>
      <c r="CO5063" s="242">
        <f>0.01*CM5063</f>
        <v>8.0000000000000002E-3</v>
      </c>
      <c r="CP5063" s="242">
        <f>0.02*CN5063</f>
        <v>1.7600000000000001E-2</v>
      </c>
      <c r="CQ5063" s="242" t="s">
        <v>164</v>
      </c>
      <c r="CR5063" s="242"/>
      <c r="CS5063" s="242"/>
      <c r="CT5063" s="242"/>
      <c r="CU5063" s="242"/>
      <c r="CV5063" s="242"/>
      <c r="CW5063" s="242"/>
      <c r="CX5063" s="242"/>
      <c r="CY5063" s="242"/>
      <c r="CZ5063" s="242"/>
      <c r="DA5063" s="67" t="s">
        <v>5443</v>
      </c>
      <c r="DB5063" s="67"/>
      <c r="DC5063" s="67"/>
      <c r="DD5063" s="67"/>
      <c r="DE5063" s="67"/>
      <c r="DF5063" s="67"/>
      <c r="DG5063" s="67"/>
      <c r="DH5063" s="67"/>
      <c r="DI5063" s="67"/>
      <c r="DJ5063" s="67"/>
      <c r="DK5063" s="67"/>
      <c r="DL5063" s="67"/>
      <c r="DM5063" s="67"/>
      <c r="DN5063" s="67"/>
      <c r="DO5063" s="67"/>
      <c r="DP5063" s="67"/>
      <c r="DQ5063" s="166"/>
      <c r="DR5063" s="166"/>
      <c r="DS5063" s="163"/>
      <c r="DT5063" s="163"/>
      <c r="DU5063" s="67"/>
      <c r="DV5063" s="67"/>
      <c r="DW5063" s="67"/>
      <c r="DX5063" s="67"/>
      <c r="DY5063" s="67"/>
      <c r="DZ5063" s="67"/>
      <c r="EA5063" s="67"/>
      <c r="EB5063" s="67"/>
      <c r="EC5063" s="67"/>
      <c r="ED5063" s="67"/>
      <c r="EE5063" s="67"/>
      <c r="EF5063" s="67"/>
      <c r="EG5063" s="67"/>
      <c r="EH5063" s="67"/>
      <c r="EI5063" s="67"/>
      <c r="EJ5063" s="67"/>
      <c r="EK5063" s="94"/>
      <c r="EL5063" s="94"/>
      <c r="EM5063" s="67"/>
      <c r="EN5063" s="67"/>
      <c r="EO5063" s="67"/>
      <c r="EP5063" s="67"/>
      <c r="EQ5063" s="67"/>
      <c r="ER5063" s="67"/>
      <c r="ES5063" s="67"/>
      <c r="ET5063" s="67"/>
      <c r="EU5063" s="67"/>
      <c r="EV5063" s="67"/>
      <c r="EW5063" s="67"/>
      <c r="EX5063" s="67"/>
      <c r="EY5063" s="67"/>
      <c r="EZ5063" s="67"/>
      <c r="FA5063" s="67"/>
      <c r="FB5063" s="67"/>
      <c r="FC5063" s="67"/>
      <c r="FD5063" s="67"/>
      <c r="FE5063" s="67"/>
      <c r="FF5063" s="67"/>
      <c r="FG5063" s="67"/>
      <c r="FH5063" s="67"/>
      <c r="FI5063" s="67"/>
      <c r="FJ5063" s="67"/>
      <c r="FK5063" s="67"/>
      <c r="FL5063" s="67"/>
      <c r="FM5063" s="67"/>
      <c r="FN5063" s="67"/>
      <c r="FO5063" s="67"/>
      <c r="FP5063" s="67"/>
      <c r="FQ5063" s="67"/>
      <c r="FR5063" s="67"/>
      <c r="FS5063" s="67"/>
      <c r="FT5063" s="67"/>
      <c r="FU5063" s="67"/>
      <c r="FV5063" s="67"/>
      <c r="FW5063" s="67"/>
      <c r="FX5063" s="67"/>
      <c r="FY5063" s="67"/>
      <c r="FZ5063" s="67"/>
      <c r="GA5063" s="67"/>
      <c r="GB5063" s="67"/>
      <c r="GC5063" s="67"/>
      <c r="GD5063" s="67"/>
      <c r="GE5063" s="67"/>
      <c r="GF5063" s="67"/>
      <c r="GG5063" s="67"/>
      <c r="GH5063" s="67"/>
      <c r="GI5063" s="67"/>
      <c r="GJ5063" s="67"/>
      <c r="GK5063" s="67"/>
      <c r="GL5063" s="67"/>
      <c r="GM5063" s="67"/>
      <c r="GN5063" s="292"/>
      <c r="GO5063" s="292"/>
      <c r="GP5063" s="292" t="s">
        <v>7494</v>
      </c>
      <c r="GQ5063" s="67"/>
      <c r="GR5063" s="67"/>
      <c r="GS5063" s="67"/>
      <c r="GT5063" s="67"/>
      <c r="GU5063" s="67"/>
      <c r="GV5063" s="67"/>
      <c r="GW5063" s="67"/>
      <c r="GX5063" s="67"/>
      <c r="GY5063" s="67"/>
      <c r="GZ5063" s="67"/>
      <c r="HA5063" s="67"/>
      <c r="HB5063" s="67"/>
      <c r="HC5063" s="67"/>
      <c r="HD5063" s="67"/>
      <c r="HE5063" s="67"/>
      <c r="HF5063" s="67"/>
      <c r="HG5063" s="67"/>
      <c r="HH5063" s="67"/>
      <c r="HI5063" s="67"/>
      <c r="HJ5063" s="67"/>
      <c r="HK5063" s="67"/>
      <c r="HL5063" s="67"/>
      <c r="HM5063" s="67"/>
      <c r="HN5063" s="67"/>
      <c r="HO5063" s="67"/>
      <c r="HP5063" s="67"/>
      <c r="HQ5063" s="67"/>
      <c r="HR5063" s="67"/>
      <c r="HS5063" s="67">
        <v>52.17</v>
      </c>
      <c r="HT5063" s="67">
        <v>134.16</v>
      </c>
      <c r="HU5063" s="67">
        <f>55.28-HS5063</f>
        <v>3.1099999999999994</v>
      </c>
      <c r="HV5063" s="67">
        <f>139.75-HT5063</f>
        <v>5.5900000000000034</v>
      </c>
      <c r="HW5063" s="67" t="s">
        <v>5714</v>
      </c>
      <c r="HX5063" s="67"/>
      <c r="HY5063" s="67"/>
      <c r="HZ5063" s="67"/>
      <c r="IA5063" s="67"/>
      <c r="IB5063" s="67"/>
      <c r="IC5063" s="67"/>
      <c r="ID5063" s="67"/>
      <c r="IE5063" s="67"/>
      <c r="IF5063" s="67"/>
      <c r="IG5063" s="67"/>
      <c r="IH5063" s="67"/>
      <c r="II5063" s="67"/>
      <c r="IJ5063" s="67"/>
      <c r="IK5063" s="67"/>
      <c r="IL5063" s="67"/>
      <c r="IM5063" s="67"/>
      <c r="IN5063" s="67"/>
      <c r="IO5063" s="67"/>
      <c r="IP5063" s="67"/>
      <c r="IQ5063" s="67"/>
      <c r="IR5063" s="67"/>
      <c r="IS5063" s="67"/>
      <c r="IT5063" s="67"/>
      <c r="IU5063" s="67"/>
      <c r="IV5063" s="67"/>
      <c r="IW5063" s="67"/>
      <c r="IX5063" s="67"/>
      <c r="IY5063" s="67"/>
      <c r="IZ5063" s="67"/>
      <c r="JA5063" s="67"/>
      <c r="JB5063" s="67"/>
      <c r="JC5063" s="67"/>
      <c r="JD5063" s="67"/>
      <c r="JE5063" s="67"/>
      <c r="JF5063" s="67"/>
      <c r="JG5063" s="67">
        <v>314.10000000000002</v>
      </c>
      <c r="JH5063" s="67">
        <v>412.1</v>
      </c>
      <c r="JI5063" s="67"/>
      <c r="JJ5063" s="67"/>
      <c r="JK5063" s="67" t="s">
        <v>5615</v>
      </c>
      <c r="JL5063" s="67"/>
      <c r="JM5063" s="67"/>
      <c r="JN5063" s="67"/>
      <c r="JO5063" s="67"/>
      <c r="JP5063" s="67"/>
      <c r="JQ5063" s="67"/>
      <c r="JR5063" s="67"/>
      <c r="JS5063" s="67"/>
      <c r="JT5063" s="67">
        <v>99999</v>
      </c>
      <c r="JU5063" s="58"/>
      <c r="JV5063" s="58"/>
      <c r="JW5063" s="58"/>
    </row>
    <row r="5064" spans="1:283" s="23" customFormat="1" x14ac:dyDescent="0.25">
      <c r="A5064" s="55">
        <v>5063</v>
      </c>
      <c r="B5064" s="12" t="s">
        <v>7067</v>
      </c>
      <c r="C5064" s="156">
        <v>259</v>
      </c>
      <c r="D5064" s="58" t="s">
        <v>5004</v>
      </c>
      <c r="E5064" s="160" t="str">
        <f>G5064</f>
        <v>Okur et al. 2009</v>
      </c>
      <c r="F5064" s="160"/>
      <c r="G5064" s="60" t="s">
        <v>4723</v>
      </c>
      <c r="H5064" s="58">
        <v>2009</v>
      </c>
      <c r="I5064" s="58" t="s">
        <v>3291</v>
      </c>
      <c r="J5064" s="243" t="s">
        <v>5320</v>
      </c>
      <c r="K5064" s="63" t="s">
        <v>5087</v>
      </c>
      <c r="L5064" s="58" t="s">
        <v>3533</v>
      </c>
      <c r="M5064" s="94">
        <v>38.61</v>
      </c>
      <c r="N5064" s="94">
        <v>27.43</v>
      </c>
      <c r="O5064" s="94">
        <v>95</v>
      </c>
      <c r="P5064" s="58"/>
      <c r="Q5064" s="244"/>
      <c r="R5064" s="58"/>
      <c r="S5064" s="245">
        <v>750</v>
      </c>
      <c r="T5064" s="58"/>
      <c r="U5064" s="58" t="s">
        <v>1805</v>
      </c>
      <c r="V5064" s="244" t="s">
        <v>1688</v>
      </c>
      <c r="W5064" s="174"/>
      <c r="X5064" s="174"/>
      <c r="Y5064" s="58" t="s">
        <v>5636</v>
      </c>
      <c r="Z5064" s="244" t="s">
        <v>1346</v>
      </c>
      <c r="AA5064" s="245">
        <v>20</v>
      </c>
      <c r="AB5064" s="67"/>
      <c r="AC5064" s="67"/>
      <c r="AD5064" s="94"/>
      <c r="AE5064" s="94">
        <v>59.12</v>
      </c>
      <c r="AF5064" s="94">
        <v>24</v>
      </c>
      <c r="AG5064" s="245">
        <v>16.88</v>
      </c>
      <c r="AH5064" s="58" t="s">
        <v>238</v>
      </c>
      <c r="AI5064" s="169" t="s">
        <v>5711</v>
      </c>
      <c r="AJ5064" s="94">
        <v>0.75</v>
      </c>
      <c r="AK5064" s="94"/>
      <c r="AL5064" s="58"/>
      <c r="AM5064" s="58" t="s">
        <v>5712</v>
      </c>
      <c r="AN5064" s="186" t="s">
        <v>5710</v>
      </c>
      <c r="AO5064" s="185" t="s">
        <v>5150</v>
      </c>
      <c r="AP5064" s="58"/>
      <c r="AQ5064" s="58" t="s">
        <v>4584</v>
      </c>
      <c r="AR5064" s="58" t="s">
        <v>4532</v>
      </c>
      <c r="AS5064" s="246" t="s">
        <v>3471</v>
      </c>
      <c r="AT5064" s="247">
        <v>0</v>
      </c>
      <c r="AU5064" s="181" t="s">
        <v>7494</v>
      </c>
      <c r="AV5064" s="185" t="s">
        <v>176</v>
      </c>
      <c r="AW5064" s="244">
        <v>0</v>
      </c>
      <c r="AX5064" s="185" t="s">
        <v>176</v>
      </c>
      <c r="AY5064" s="244" t="s">
        <v>176</v>
      </c>
      <c r="AZ5064" s="58"/>
      <c r="BA5064" s="58"/>
      <c r="BB5064" s="58"/>
      <c r="BC5064" s="58"/>
      <c r="BD5064" s="58"/>
      <c r="BE5064" s="236" t="s">
        <v>5185</v>
      </c>
      <c r="BF5064" s="191" t="s">
        <v>479</v>
      </c>
      <c r="BG5064" s="191" t="s">
        <v>479</v>
      </c>
      <c r="BH5064" s="236" t="s">
        <v>5277</v>
      </c>
      <c r="BI5064" s="191" t="s">
        <v>479</v>
      </c>
      <c r="BJ5064" s="58" t="str">
        <f>IF(BE5064=BH5064,"No","yes")</f>
        <v>yes</v>
      </c>
      <c r="BK5064" s="58" t="s">
        <v>6335</v>
      </c>
      <c r="BL5064" s="58" t="s">
        <v>5709</v>
      </c>
      <c r="BM5064" s="237" t="s">
        <v>160</v>
      </c>
      <c r="BN5064" s="244">
        <v>10</v>
      </c>
      <c r="BO5064" s="244">
        <v>10</v>
      </c>
      <c r="BP5064" s="58"/>
      <c r="BQ5064" s="58"/>
      <c r="BR5064" s="58"/>
      <c r="BS5064" s="58"/>
      <c r="BT5064" s="58"/>
      <c r="BU5064" s="58"/>
      <c r="BV5064" s="58"/>
      <c r="BW5064" s="67"/>
      <c r="BX5064" s="67"/>
      <c r="BY5064" s="67"/>
      <c r="BZ5064" s="67"/>
      <c r="CA5064" s="67"/>
      <c r="CB5064" s="70"/>
      <c r="CC5064" s="70"/>
      <c r="CD5064" s="70"/>
      <c r="CE5064" s="67"/>
      <c r="CF5064" s="67"/>
      <c r="CG5064" s="67"/>
      <c r="CH5064" s="245"/>
      <c r="CI5064" s="245"/>
      <c r="CJ5064" s="67"/>
      <c r="CK5064" s="67"/>
      <c r="CL5064" s="67"/>
      <c r="CM5064" s="242">
        <v>0.8</v>
      </c>
      <c r="CN5064" s="242">
        <v>0.97</v>
      </c>
      <c r="CO5064" s="242">
        <f>0.01*CM5064</f>
        <v>8.0000000000000002E-3</v>
      </c>
      <c r="CP5064" s="242">
        <f>0.02*CN5064</f>
        <v>1.9400000000000001E-2</v>
      </c>
      <c r="CQ5064" s="242" t="s">
        <v>164</v>
      </c>
      <c r="CR5064" s="242"/>
      <c r="CS5064" s="242"/>
      <c r="CT5064" s="242"/>
      <c r="CU5064" s="242"/>
      <c r="CV5064" s="242"/>
      <c r="CW5064" s="242"/>
      <c r="CX5064" s="242"/>
      <c r="CY5064" s="242"/>
      <c r="CZ5064" s="242"/>
      <c r="DA5064" s="67" t="s">
        <v>5443</v>
      </c>
      <c r="DB5064" s="67"/>
      <c r="DC5064" s="67"/>
      <c r="DD5064" s="67"/>
      <c r="DE5064" s="67"/>
      <c r="DF5064" s="67"/>
      <c r="DG5064" s="67"/>
      <c r="DH5064" s="67"/>
      <c r="DI5064" s="67"/>
      <c r="DJ5064" s="67"/>
      <c r="DK5064" s="67"/>
      <c r="DL5064" s="67"/>
      <c r="DM5064" s="67"/>
      <c r="DN5064" s="67"/>
      <c r="DO5064" s="67"/>
      <c r="DP5064" s="67"/>
      <c r="DQ5064" s="166"/>
      <c r="DR5064" s="166"/>
      <c r="DS5064" s="163"/>
      <c r="DT5064" s="163"/>
      <c r="DU5064" s="67"/>
      <c r="DV5064" s="67"/>
      <c r="DW5064" s="67"/>
      <c r="DX5064" s="67"/>
      <c r="DY5064" s="67"/>
      <c r="DZ5064" s="67"/>
      <c r="EA5064" s="67"/>
      <c r="EB5064" s="67"/>
      <c r="EC5064" s="67"/>
      <c r="ED5064" s="67"/>
      <c r="EE5064" s="67"/>
      <c r="EF5064" s="67"/>
      <c r="EG5064" s="67"/>
      <c r="EH5064" s="67"/>
      <c r="EI5064" s="67"/>
      <c r="EJ5064" s="67"/>
      <c r="EK5064" s="94"/>
      <c r="EL5064" s="94"/>
      <c r="EM5064" s="67"/>
      <c r="EN5064" s="67"/>
      <c r="EO5064" s="67"/>
      <c r="EP5064" s="67"/>
      <c r="EQ5064" s="67"/>
      <c r="ER5064" s="67"/>
      <c r="ES5064" s="67"/>
      <c r="ET5064" s="67"/>
      <c r="EU5064" s="67"/>
      <c r="EV5064" s="67"/>
      <c r="EW5064" s="67"/>
      <c r="EX5064" s="67"/>
      <c r="EY5064" s="67"/>
      <c r="EZ5064" s="67"/>
      <c r="FA5064" s="67"/>
      <c r="FB5064" s="67"/>
      <c r="FC5064" s="67"/>
      <c r="FD5064" s="67"/>
      <c r="FE5064" s="67"/>
      <c r="FF5064" s="67"/>
      <c r="FG5064" s="67"/>
      <c r="FH5064" s="67"/>
      <c r="FI5064" s="67"/>
      <c r="FJ5064" s="67"/>
      <c r="FK5064" s="67"/>
      <c r="FL5064" s="67"/>
      <c r="FM5064" s="67"/>
      <c r="FN5064" s="67"/>
      <c r="FO5064" s="67"/>
      <c r="FP5064" s="67"/>
      <c r="FQ5064" s="67"/>
      <c r="FR5064" s="67"/>
      <c r="FS5064" s="67"/>
      <c r="FT5064" s="67"/>
      <c r="FU5064" s="67"/>
      <c r="FV5064" s="67"/>
      <c r="FW5064" s="67"/>
      <c r="FX5064" s="67"/>
      <c r="FY5064" s="67"/>
      <c r="FZ5064" s="67"/>
      <c r="GA5064" s="67"/>
      <c r="GB5064" s="67"/>
      <c r="GC5064" s="67"/>
      <c r="GD5064" s="67"/>
      <c r="GE5064" s="67"/>
      <c r="GF5064" s="67"/>
      <c r="GG5064" s="67"/>
      <c r="GH5064" s="67"/>
      <c r="GI5064" s="67"/>
      <c r="GJ5064" s="67"/>
      <c r="GK5064" s="67"/>
      <c r="GL5064" s="67"/>
      <c r="GM5064" s="67"/>
      <c r="GN5064" s="292"/>
      <c r="GO5064" s="292"/>
      <c r="GP5064" s="292" t="s">
        <v>7494</v>
      </c>
      <c r="GQ5064" s="67"/>
      <c r="GR5064" s="67"/>
      <c r="GS5064" s="67"/>
      <c r="GT5064" s="67"/>
      <c r="GU5064" s="67"/>
      <c r="GV5064" s="67"/>
      <c r="GW5064" s="67"/>
      <c r="GX5064" s="67"/>
      <c r="GY5064" s="67"/>
      <c r="GZ5064" s="67"/>
      <c r="HA5064" s="67"/>
      <c r="HB5064" s="67"/>
      <c r="HC5064" s="67"/>
      <c r="HD5064" s="67"/>
      <c r="HE5064" s="67"/>
      <c r="HF5064" s="67"/>
      <c r="HG5064" s="67"/>
      <c r="HH5064" s="67"/>
      <c r="HI5064" s="67"/>
      <c r="HJ5064" s="67"/>
      <c r="HK5064" s="67"/>
      <c r="HL5064" s="67"/>
      <c r="HM5064" s="67"/>
      <c r="HN5064" s="67"/>
      <c r="HO5064" s="67"/>
      <c r="HP5064" s="67"/>
      <c r="HQ5064" s="67"/>
      <c r="HR5064" s="67"/>
      <c r="HS5064" s="67">
        <v>64.599999999999994</v>
      </c>
      <c r="HT5064" s="67">
        <v>136.65</v>
      </c>
      <c r="HU5064" s="67">
        <f>74.53-HS5064</f>
        <v>9.9300000000000068</v>
      </c>
      <c r="HV5064" s="67">
        <f>147.21-HT5064</f>
        <v>10.560000000000002</v>
      </c>
      <c r="HW5064" s="67" t="s">
        <v>5714</v>
      </c>
      <c r="HX5064" s="67"/>
      <c r="HY5064" s="67"/>
      <c r="HZ5064" s="67"/>
      <c r="IA5064" s="67"/>
      <c r="IB5064" s="67"/>
      <c r="IC5064" s="67"/>
      <c r="ID5064" s="67"/>
      <c r="IE5064" s="67"/>
      <c r="IF5064" s="67"/>
      <c r="IG5064" s="67"/>
      <c r="IH5064" s="67"/>
      <c r="II5064" s="67"/>
      <c r="IJ5064" s="67"/>
      <c r="IK5064" s="67"/>
      <c r="IL5064" s="67"/>
      <c r="IM5064" s="67"/>
      <c r="IN5064" s="67"/>
      <c r="IO5064" s="67"/>
      <c r="IP5064" s="67"/>
      <c r="IQ5064" s="67"/>
      <c r="IR5064" s="67"/>
      <c r="IS5064" s="67"/>
      <c r="IT5064" s="67"/>
      <c r="IU5064" s="67"/>
      <c r="IV5064" s="67"/>
      <c r="IW5064" s="67"/>
      <c r="IX5064" s="67"/>
      <c r="IY5064" s="67"/>
      <c r="IZ5064" s="67"/>
      <c r="JA5064" s="67"/>
      <c r="JB5064" s="67"/>
      <c r="JC5064" s="67"/>
      <c r="JD5064" s="67"/>
      <c r="JE5064" s="67"/>
      <c r="JF5064" s="67"/>
      <c r="JG5064" s="67">
        <v>342.2</v>
      </c>
      <c r="JH5064" s="67">
        <v>525.5</v>
      </c>
      <c r="JI5064" s="67"/>
      <c r="JJ5064" s="67"/>
      <c r="JK5064" s="67" t="s">
        <v>5615</v>
      </c>
      <c r="JL5064" s="67"/>
      <c r="JM5064" s="67"/>
      <c r="JN5064" s="67"/>
      <c r="JO5064" s="67"/>
      <c r="JP5064" s="67"/>
      <c r="JQ5064" s="67"/>
      <c r="JR5064" s="67"/>
      <c r="JS5064" s="67"/>
      <c r="JT5064" s="67">
        <v>99999</v>
      </c>
      <c r="JU5064" s="58"/>
      <c r="JV5064" s="58"/>
      <c r="JW5064" s="58"/>
    </row>
    <row r="5065" spans="1:283" s="23" customFormat="1" x14ac:dyDescent="0.25">
      <c r="A5065" s="55">
        <v>5064</v>
      </c>
      <c r="B5065" s="12" t="s">
        <v>7067</v>
      </c>
      <c r="C5065" s="156">
        <v>259</v>
      </c>
      <c r="D5065" s="58" t="s">
        <v>5004</v>
      </c>
      <c r="E5065" s="160" t="str">
        <f>G5065</f>
        <v>Okur et al. 2009</v>
      </c>
      <c r="F5065" s="160"/>
      <c r="G5065" s="60" t="s">
        <v>4723</v>
      </c>
      <c r="H5065" s="58">
        <v>2009</v>
      </c>
      <c r="I5065" s="58" t="s">
        <v>3291</v>
      </c>
      <c r="J5065" s="243" t="s">
        <v>5320</v>
      </c>
      <c r="K5065" s="63" t="s">
        <v>5087</v>
      </c>
      <c r="L5065" s="58" t="s">
        <v>3533</v>
      </c>
      <c r="M5065" s="94">
        <v>38.61</v>
      </c>
      <c r="N5065" s="94">
        <v>27.43</v>
      </c>
      <c r="O5065" s="94">
        <v>95</v>
      </c>
      <c r="P5065" s="58"/>
      <c r="Q5065" s="244"/>
      <c r="R5065" s="58"/>
      <c r="S5065" s="245">
        <v>750</v>
      </c>
      <c r="T5065" s="58"/>
      <c r="U5065" s="58" t="s">
        <v>1805</v>
      </c>
      <c r="V5065" s="244" t="s">
        <v>1688</v>
      </c>
      <c r="W5065" s="174"/>
      <c r="X5065" s="174"/>
      <c r="Y5065" s="58" t="s">
        <v>5636</v>
      </c>
      <c r="Z5065" s="244" t="s">
        <v>1346</v>
      </c>
      <c r="AA5065" s="245">
        <v>20</v>
      </c>
      <c r="AB5065" s="67"/>
      <c r="AC5065" s="67"/>
      <c r="AD5065" s="94"/>
      <c r="AE5065" s="94">
        <v>59.12</v>
      </c>
      <c r="AF5065" s="94">
        <v>24</v>
      </c>
      <c r="AG5065" s="245">
        <v>16.88</v>
      </c>
      <c r="AH5065" s="58" t="s">
        <v>238</v>
      </c>
      <c r="AI5065" s="169" t="s">
        <v>5711</v>
      </c>
      <c r="AJ5065" s="94">
        <v>0.75</v>
      </c>
      <c r="AK5065" s="94"/>
      <c r="AL5065" s="58"/>
      <c r="AM5065" s="58" t="s">
        <v>5712</v>
      </c>
      <c r="AN5065" s="186" t="s">
        <v>5710</v>
      </c>
      <c r="AO5065" s="185" t="s">
        <v>5150</v>
      </c>
      <c r="AP5065" s="58"/>
      <c r="AQ5065" s="58" t="s">
        <v>4584</v>
      </c>
      <c r="AR5065" s="58" t="s">
        <v>4532</v>
      </c>
      <c r="AS5065" s="246" t="s">
        <v>3471</v>
      </c>
      <c r="AT5065" s="247">
        <v>0</v>
      </c>
      <c r="AU5065" s="181" t="s">
        <v>7494</v>
      </c>
      <c r="AV5065" s="185" t="s">
        <v>176</v>
      </c>
      <c r="AW5065" s="244">
        <v>0</v>
      </c>
      <c r="AX5065" s="185" t="s">
        <v>176</v>
      </c>
      <c r="AY5065" s="244" t="s">
        <v>176</v>
      </c>
      <c r="AZ5065" s="58"/>
      <c r="BA5065" s="58"/>
      <c r="BB5065" s="58"/>
      <c r="BC5065" s="58"/>
      <c r="BD5065" s="58"/>
      <c r="BE5065" s="236" t="s">
        <v>5185</v>
      </c>
      <c r="BF5065" s="191" t="s">
        <v>479</v>
      </c>
      <c r="BG5065" s="191" t="s">
        <v>479</v>
      </c>
      <c r="BH5065" s="236" t="s">
        <v>5277</v>
      </c>
      <c r="BI5065" s="191" t="s">
        <v>479</v>
      </c>
      <c r="BJ5065" s="58" t="str">
        <f>IF(BE5065=BH5065,"No","yes")</f>
        <v>yes</v>
      </c>
      <c r="BK5065" s="58" t="s">
        <v>6335</v>
      </c>
      <c r="BL5065" s="58" t="s">
        <v>5709</v>
      </c>
      <c r="BM5065" s="237" t="s">
        <v>160</v>
      </c>
      <c r="BN5065" s="244">
        <v>10</v>
      </c>
      <c r="BO5065" s="244">
        <v>10</v>
      </c>
      <c r="BP5065" s="58"/>
      <c r="BQ5065" s="58"/>
      <c r="BR5065" s="58"/>
      <c r="BS5065" s="58"/>
      <c r="BT5065" s="58"/>
      <c r="BU5065" s="58"/>
      <c r="BV5065" s="58"/>
      <c r="BW5065" s="67"/>
      <c r="BX5065" s="67"/>
      <c r="BY5065" s="67"/>
      <c r="BZ5065" s="67"/>
      <c r="CA5065" s="67"/>
      <c r="CB5065" s="70"/>
      <c r="CC5065" s="70"/>
      <c r="CD5065" s="70"/>
      <c r="CE5065" s="67"/>
      <c r="CF5065" s="67"/>
      <c r="CG5065" s="67"/>
      <c r="CH5065" s="245"/>
      <c r="CI5065" s="245"/>
      <c r="CJ5065" s="67"/>
      <c r="CK5065" s="67"/>
      <c r="CL5065" s="67"/>
      <c r="CM5065" s="242">
        <v>0.8</v>
      </c>
      <c r="CN5065" s="242">
        <v>0.94</v>
      </c>
      <c r="CO5065" s="242">
        <f>0.01*CM5065</f>
        <v>8.0000000000000002E-3</v>
      </c>
      <c r="CP5065" s="242">
        <f>0.02*CN5065</f>
        <v>1.8800000000000001E-2</v>
      </c>
      <c r="CQ5065" s="242" t="s">
        <v>164</v>
      </c>
      <c r="CR5065" s="242"/>
      <c r="CS5065" s="242"/>
      <c r="CT5065" s="242"/>
      <c r="CU5065" s="242"/>
      <c r="CV5065" s="242"/>
      <c r="CW5065" s="242"/>
      <c r="CX5065" s="242"/>
      <c r="CY5065" s="242"/>
      <c r="CZ5065" s="242"/>
      <c r="DA5065" s="67" t="s">
        <v>5443</v>
      </c>
      <c r="DB5065" s="67"/>
      <c r="DC5065" s="67"/>
      <c r="DD5065" s="67"/>
      <c r="DE5065" s="67"/>
      <c r="DF5065" s="67"/>
      <c r="DG5065" s="67"/>
      <c r="DH5065" s="67"/>
      <c r="DI5065" s="67"/>
      <c r="DJ5065" s="67"/>
      <c r="DK5065" s="67"/>
      <c r="DL5065" s="67"/>
      <c r="DM5065" s="67"/>
      <c r="DN5065" s="67"/>
      <c r="DO5065" s="67"/>
      <c r="DP5065" s="67"/>
      <c r="DQ5065" s="166"/>
      <c r="DR5065" s="166"/>
      <c r="DS5065" s="163"/>
      <c r="DT5065" s="163"/>
      <c r="DU5065" s="67"/>
      <c r="DV5065" s="67"/>
      <c r="DW5065" s="67"/>
      <c r="DX5065" s="67"/>
      <c r="DY5065" s="67"/>
      <c r="DZ5065" s="67"/>
      <c r="EA5065" s="67"/>
      <c r="EB5065" s="67"/>
      <c r="EC5065" s="67"/>
      <c r="ED5065" s="67"/>
      <c r="EE5065" s="67"/>
      <c r="EF5065" s="67"/>
      <c r="EG5065" s="67"/>
      <c r="EH5065" s="67"/>
      <c r="EI5065" s="67"/>
      <c r="EJ5065" s="67"/>
      <c r="EK5065" s="94"/>
      <c r="EL5065" s="94"/>
      <c r="EM5065" s="67"/>
      <c r="EN5065" s="67"/>
      <c r="EO5065" s="67"/>
      <c r="EP5065" s="67"/>
      <c r="EQ5065" s="67"/>
      <c r="ER5065" s="67"/>
      <c r="ES5065" s="67"/>
      <c r="ET5065" s="67"/>
      <c r="EU5065" s="67"/>
      <c r="EV5065" s="67"/>
      <c r="EW5065" s="67"/>
      <c r="EX5065" s="67"/>
      <c r="EY5065" s="67"/>
      <c r="EZ5065" s="67"/>
      <c r="FA5065" s="67"/>
      <c r="FB5065" s="67"/>
      <c r="FC5065" s="67"/>
      <c r="FD5065" s="67"/>
      <c r="FE5065" s="67"/>
      <c r="FF5065" s="67"/>
      <c r="FG5065" s="67"/>
      <c r="FH5065" s="67"/>
      <c r="FI5065" s="67"/>
      <c r="FJ5065" s="67"/>
      <c r="FK5065" s="67"/>
      <c r="FL5065" s="67"/>
      <c r="FM5065" s="67"/>
      <c r="FN5065" s="67"/>
      <c r="FO5065" s="67"/>
      <c r="FP5065" s="67"/>
      <c r="FQ5065" s="67"/>
      <c r="FR5065" s="67"/>
      <c r="FS5065" s="67"/>
      <c r="FT5065" s="67"/>
      <c r="FU5065" s="67"/>
      <c r="FV5065" s="67"/>
      <c r="FW5065" s="67"/>
      <c r="FX5065" s="67"/>
      <c r="FY5065" s="67"/>
      <c r="FZ5065" s="67"/>
      <c r="GA5065" s="67"/>
      <c r="GB5065" s="67"/>
      <c r="GC5065" s="67"/>
      <c r="GD5065" s="67"/>
      <c r="GE5065" s="67"/>
      <c r="GF5065" s="67"/>
      <c r="GG5065" s="67"/>
      <c r="GH5065" s="67"/>
      <c r="GI5065" s="67"/>
      <c r="GJ5065" s="67"/>
      <c r="GK5065" s="67"/>
      <c r="GL5065" s="67"/>
      <c r="GM5065" s="67"/>
      <c r="GN5065" s="292"/>
      <c r="GO5065" s="292"/>
      <c r="GP5065" s="292" t="s">
        <v>7494</v>
      </c>
      <c r="GQ5065" s="67"/>
      <c r="GR5065" s="67"/>
      <c r="GS5065" s="67"/>
      <c r="GT5065" s="67"/>
      <c r="GU5065" s="67"/>
      <c r="GV5065" s="67"/>
      <c r="GW5065" s="67"/>
      <c r="GX5065" s="67"/>
      <c r="GY5065" s="67"/>
      <c r="GZ5065" s="67"/>
      <c r="HA5065" s="67"/>
      <c r="HB5065" s="67"/>
      <c r="HC5065" s="67"/>
      <c r="HD5065" s="67"/>
      <c r="HE5065" s="67"/>
      <c r="HF5065" s="67"/>
      <c r="HG5065" s="67"/>
      <c r="HH5065" s="67"/>
      <c r="HI5065" s="67"/>
      <c r="HJ5065" s="67"/>
      <c r="HK5065" s="67"/>
      <c r="HL5065" s="67"/>
      <c r="HM5065" s="67"/>
      <c r="HN5065" s="67"/>
      <c r="HO5065" s="67"/>
      <c r="HP5065" s="67"/>
      <c r="HQ5065" s="67"/>
      <c r="HR5065" s="67"/>
      <c r="HS5065" s="67">
        <v>64.599999999999994</v>
      </c>
      <c r="HT5065" s="67">
        <v>133.54</v>
      </c>
      <c r="HU5065" s="67">
        <f>74.53-HS5065</f>
        <v>9.9300000000000068</v>
      </c>
      <c r="HV5065" s="67">
        <f>142.86-HT5065</f>
        <v>9.3200000000000216</v>
      </c>
      <c r="HW5065" s="67" t="s">
        <v>5714</v>
      </c>
      <c r="HX5065" s="67"/>
      <c r="HY5065" s="67"/>
      <c r="HZ5065" s="67"/>
      <c r="IA5065" s="67"/>
      <c r="IB5065" s="67"/>
      <c r="IC5065" s="67"/>
      <c r="ID5065" s="67"/>
      <c r="IE5065" s="67"/>
      <c r="IF5065" s="67"/>
      <c r="IG5065" s="67"/>
      <c r="IH5065" s="67"/>
      <c r="II5065" s="67"/>
      <c r="IJ5065" s="67"/>
      <c r="IK5065" s="67"/>
      <c r="IL5065" s="67"/>
      <c r="IM5065" s="67"/>
      <c r="IN5065" s="67"/>
      <c r="IO5065" s="67"/>
      <c r="IP5065" s="67"/>
      <c r="IQ5065" s="67"/>
      <c r="IR5065" s="67"/>
      <c r="IS5065" s="67"/>
      <c r="IT5065" s="67"/>
      <c r="IU5065" s="67"/>
      <c r="IV5065" s="67"/>
      <c r="IW5065" s="67"/>
      <c r="IX5065" s="67"/>
      <c r="IY5065" s="67"/>
      <c r="IZ5065" s="67"/>
      <c r="JA5065" s="67"/>
      <c r="JB5065" s="67"/>
      <c r="JC5065" s="67"/>
      <c r="JD5065" s="67"/>
      <c r="JE5065" s="67"/>
      <c r="JF5065" s="67"/>
      <c r="JG5065" s="67">
        <v>342.2</v>
      </c>
      <c r="JH5065" s="67">
        <v>514.79999999999995</v>
      </c>
      <c r="JI5065" s="67"/>
      <c r="JJ5065" s="67"/>
      <c r="JK5065" s="67" t="s">
        <v>5615</v>
      </c>
      <c r="JL5065" s="67"/>
      <c r="JM5065" s="67"/>
      <c r="JN5065" s="67"/>
      <c r="JO5065" s="67"/>
      <c r="JP5065" s="67"/>
      <c r="JQ5065" s="67"/>
      <c r="JR5065" s="67"/>
      <c r="JS5065" s="67"/>
      <c r="JT5065" s="67">
        <v>99999</v>
      </c>
      <c r="JU5065" s="58"/>
      <c r="JV5065" s="58"/>
      <c r="JW5065" s="58"/>
    </row>
    <row r="5066" spans="1:283" s="23" customFormat="1" x14ac:dyDescent="0.25">
      <c r="A5066" s="55">
        <v>5065</v>
      </c>
      <c r="B5066" s="12" t="s">
        <v>7067</v>
      </c>
      <c r="C5066" s="156">
        <v>259</v>
      </c>
      <c r="D5066" s="58" t="s">
        <v>5004</v>
      </c>
      <c r="E5066" s="160" t="str">
        <f>G5066</f>
        <v>Okur et al. 2009</v>
      </c>
      <c r="F5066" s="160"/>
      <c r="G5066" s="60" t="s">
        <v>4723</v>
      </c>
      <c r="H5066" s="58">
        <v>2009</v>
      </c>
      <c r="I5066" s="58" t="s">
        <v>3291</v>
      </c>
      <c r="J5066" s="243" t="s">
        <v>5320</v>
      </c>
      <c r="K5066" s="63" t="s">
        <v>5087</v>
      </c>
      <c r="L5066" s="58" t="s">
        <v>3533</v>
      </c>
      <c r="M5066" s="94">
        <v>38.61</v>
      </c>
      <c r="N5066" s="94">
        <v>27.43</v>
      </c>
      <c r="O5066" s="94">
        <v>95</v>
      </c>
      <c r="P5066" s="58"/>
      <c r="Q5066" s="244"/>
      <c r="R5066" s="58"/>
      <c r="S5066" s="245">
        <v>750</v>
      </c>
      <c r="T5066" s="58"/>
      <c r="U5066" s="58" t="s">
        <v>1805</v>
      </c>
      <c r="V5066" s="244" t="s">
        <v>1688</v>
      </c>
      <c r="W5066" s="174"/>
      <c r="X5066" s="174"/>
      <c r="Y5066" s="58" t="s">
        <v>5636</v>
      </c>
      <c r="Z5066" s="244" t="s">
        <v>1346</v>
      </c>
      <c r="AA5066" s="245">
        <v>20</v>
      </c>
      <c r="AB5066" s="67"/>
      <c r="AC5066" s="67"/>
      <c r="AD5066" s="94"/>
      <c r="AE5066" s="94">
        <v>59.12</v>
      </c>
      <c r="AF5066" s="94">
        <v>24</v>
      </c>
      <c r="AG5066" s="245">
        <v>16.88</v>
      </c>
      <c r="AH5066" s="58" t="s">
        <v>238</v>
      </c>
      <c r="AI5066" s="169" t="s">
        <v>5711</v>
      </c>
      <c r="AJ5066" s="94">
        <v>0.75</v>
      </c>
      <c r="AK5066" s="94"/>
      <c r="AL5066" s="58"/>
      <c r="AM5066" s="58" t="s">
        <v>5712</v>
      </c>
      <c r="AN5066" s="186" t="s">
        <v>5710</v>
      </c>
      <c r="AO5066" s="185" t="s">
        <v>5150</v>
      </c>
      <c r="AP5066" s="58"/>
      <c r="AQ5066" s="58" t="s">
        <v>4584</v>
      </c>
      <c r="AR5066" s="58" t="s">
        <v>4532</v>
      </c>
      <c r="AS5066" s="246" t="s">
        <v>3471</v>
      </c>
      <c r="AT5066" s="247">
        <v>0</v>
      </c>
      <c r="AU5066" s="181" t="s">
        <v>7494</v>
      </c>
      <c r="AV5066" s="185" t="s">
        <v>176</v>
      </c>
      <c r="AW5066" s="244">
        <v>0</v>
      </c>
      <c r="AX5066" s="185" t="s">
        <v>176</v>
      </c>
      <c r="AY5066" s="244" t="s">
        <v>176</v>
      </c>
      <c r="AZ5066" s="58"/>
      <c r="BA5066" s="58"/>
      <c r="BB5066" s="58"/>
      <c r="BC5066" s="58"/>
      <c r="BD5066" s="58"/>
      <c r="BE5066" s="236" t="s">
        <v>5185</v>
      </c>
      <c r="BF5066" s="191" t="s">
        <v>479</v>
      </c>
      <c r="BG5066" s="191" t="s">
        <v>479</v>
      </c>
      <c r="BH5066" s="236" t="s">
        <v>5277</v>
      </c>
      <c r="BI5066" s="191" t="s">
        <v>479</v>
      </c>
      <c r="BJ5066" s="58" t="str">
        <f>IF(BE5066=BH5066,"No","yes")</f>
        <v>yes</v>
      </c>
      <c r="BK5066" s="58" t="s">
        <v>6335</v>
      </c>
      <c r="BL5066" s="58" t="s">
        <v>5709</v>
      </c>
      <c r="BM5066" s="237" t="s">
        <v>160</v>
      </c>
      <c r="BN5066" s="244">
        <v>10</v>
      </c>
      <c r="BO5066" s="244">
        <v>10</v>
      </c>
      <c r="BP5066" s="58"/>
      <c r="BQ5066" s="58"/>
      <c r="BR5066" s="58"/>
      <c r="BS5066" s="58"/>
      <c r="BT5066" s="58"/>
      <c r="BU5066" s="58"/>
      <c r="BV5066" s="58"/>
      <c r="BW5066" s="67"/>
      <c r="BX5066" s="67"/>
      <c r="BY5066" s="67"/>
      <c r="BZ5066" s="67"/>
      <c r="CA5066" s="67"/>
      <c r="CB5066" s="70"/>
      <c r="CC5066" s="70"/>
      <c r="CD5066" s="70"/>
      <c r="CE5066" s="67"/>
      <c r="CF5066" s="67"/>
      <c r="CG5066" s="67"/>
      <c r="CH5066" s="245"/>
      <c r="CI5066" s="245"/>
      <c r="CJ5066" s="67"/>
      <c r="CK5066" s="67"/>
      <c r="CL5066" s="67"/>
      <c r="CM5066" s="242">
        <v>0.8</v>
      </c>
      <c r="CN5066" s="242">
        <v>0.88</v>
      </c>
      <c r="CO5066" s="242">
        <f>0.01*CM5066</f>
        <v>8.0000000000000002E-3</v>
      </c>
      <c r="CP5066" s="242">
        <f>0.02*CN5066</f>
        <v>1.7600000000000001E-2</v>
      </c>
      <c r="CQ5066" s="242" t="s">
        <v>164</v>
      </c>
      <c r="CR5066" s="242"/>
      <c r="CS5066" s="242"/>
      <c r="CT5066" s="242"/>
      <c r="CU5066" s="242"/>
      <c r="CV5066" s="242"/>
      <c r="CW5066" s="242"/>
      <c r="CX5066" s="242"/>
      <c r="CY5066" s="242"/>
      <c r="CZ5066" s="242"/>
      <c r="DA5066" s="67" t="s">
        <v>5443</v>
      </c>
      <c r="DB5066" s="67"/>
      <c r="DC5066" s="67"/>
      <c r="DD5066" s="67"/>
      <c r="DE5066" s="67"/>
      <c r="DF5066" s="67"/>
      <c r="DG5066" s="67"/>
      <c r="DH5066" s="67"/>
      <c r="DI5066" s="67"/>
      <c r="DJ5066" s="67"/>
      <c r="DK5066" s="67"/>
      <c r="DL5066" s="67"/>
      <c r="DM5066" s="67"/>
      <c r="DN5066" s="67"/>
      <c r="DO5066" s="67"/>
      <c r="DP5066" s="67"/>
      <c r="DQ5066" s="166"/>
      <c r="DR5066" s="166"/>
      <c r="DS5066" s="163"/>
      <c r="DT5066" s="163"/>
      <c r="DU5066" s="67"/>
      <c r="DV5066" s="67"/>
      <c r="DW5066" s="67"/>
      <c r="DX5066" s="67"/>
      <c r="DY5066" s="67"/>
      <c r="DZ5066" s="67"/>
      <c r="EA5066" s="67"/>
      <c r="EB5066" s="67"/>
      <c r="EC5066" s="67"/>
      <c r="ED5066" s="67"/>
      <c r="EE5066" s="67"/>
      <c r="EF5066" s="67"/>
      <c r="EG5066" s="67"/>
      <c r="EH5066" s="67"/>
      <c r="EI5066" s="67"/>
      <c r="EJ5066" s="67"/>
      <c r="EK5066" s="94"/>
      <c r="EL5066" s="94"/>
      <c r="EM5066" s="67"/>
      <c r="EN5066" s="67"/>
      <c r="EO5066" s="67"/>
      <c r="EP5066" s="67"/>
      <c r="EQ5066" s="67"/>
      <c r="ER5066" s="67"/>
      <c r="ES5066" s="67"/>
      <c r="ET5066" s="67"/>
      <c r="EU5066" s="67"/>
      <c r="EV5066" s="67"/>
      <c r="EW5066" s="67"/>
      <c r="EX5066" s="67"/>
      <c r="EY5066" s="67"/>
      <c r="EZ5066" s="67"/>
      <c r="FA5066" s="67"/>
      <c r="FB5066" s="67"/>
      <c r="FC5066" s="67"/>
      <c r="FD5066" s="67"/>
      <c r="FE5066" s="67"/>
      <c r="FF5066" s="67"/>
      <c r="FG5066" s="67"/>
      <c r="FH5066" s="67"/>
      <c r="FI5066" s="67"/>
      <c r="FJ5066" s="67"/>
      <c r="FK5066" s="67"/>
      <c r="FL5066" s="67"/>
      <c r="FM5066" s="67"/>
      <c r="FN5066" s="67"/>
      <c r="FO5066" s="67"/>
      <c r="FP5066" s="67"/>
      <c r="FQ5066" s="67"/>
      <c r="FR5066" s="67"/>
      <c r="FS5066" s="67"/>
      <c r="FT5066" s="67"/>
      <c r="FU5066" s="67"/>
      <c r="FV5066" s="67"/>
      <c r="FW5066" s="67"/>
      <c r="FX5066" s="67"/>
      <c r="FY5066" s="67"/>
      <c r="FZ5066" s="67"/>
      <c r="GA5066" s="67"/>
      <c r="GB5066" s="67"/>
      <c r="GC5066" s="67"/>
      <c r="GD5066" s="67"/>
      <c r="GE5066" s="67"/>
      <c r="GF5066" s="67"/>
      <c r="GG5066" s="67"/>
      <c r="GH5066" s="67"/>
      <c r="GI5066" s="67"/>
      <c r="GJ5066" s="67"/>
      <c r="GK5066" s="67"/>
      <c r="GL5066" s="67"/>
      <c r="GM5066" s="67"/>
      <c r="GN5066" s="292"/>
      <c r="GO5066" s="292"/>
      <c r="GP5066" s="292" t="s">
        <v>7494</v>
      </c>
      <c r="GQ5066" s="67"/>
      <c r="GR5066" s="67"/>
      <c r="GS5066" s="67"/>
      <c r="GT5066" s="67"/>
      <c r="GU5066" s="67"/>
      <c r="GV5066" s="67"/>
      <c r="GW5066" s="67"/>
      <c r="GX5066" s="67"/>
      <c r="GY5066" s="67"/>
      <c r="GZ5066" s="67"/>
      <c r="HA5066" s="67"/>
      <c r="HB5066" s="67"/>
      <c r="HC5066" s="67"/>
      <c r="HD5066" s="67"/>
      <c r="HE5066" s="67"/>
      <c r="HF5066" s="67"/>
      <c r="HG5066" s="67"/>
      <c r="HH5066" s="67"/>
      <c r="HI5066" s="67"/>
      <c r="HJ5066" s="67"/>
      <c r="HK5066" s="67"/>
      <c r="HL5066" s="67"/>
      <c r="HM5066" s="67"/>
      <c r="HN5066" s="67"/>
      <c r="HO5066" s="67"/>
      <c r="HP5066" s="67"/>
      <c r="HQ5066" s="67"/>
      <c r="HR5066" s="67"/>
      <c r="HS5066" s="67">
        <v>64.599999999999994</v>
      </c>
      <c r="HT5066" s="67">
        <v>127.33</v>
      </c>
      <c r="HU5066" s="67">
        <f>74.53-HS5066</f>
        <v>9.9300000000000068</v>
      </c>
      <c r="HV5066" s="67">
        <f>136.65-HT5066</f>
        <v>9.3200000000000074</v>
      </c>
      <c r="HW5066" s="67" t="s">
        <v>5714</v>
      </c>
      <c r="HX5066" s="67"/>
      <c r="HY5066" s="67"/>
      <c r="HZ5066" s="67"/>
      <c r="IA5066" s="67"/>
      <c r="IB5066" s="67"/>
      <c r="IC5066" s="67"/>
      <c r="ID5066" s="67"/>
      <c r="IE5066" s="67"/>
      <c r="IF5066" s="67"/>
      <c r="IG5066" s="67"/>
      <c r="IH5066" s="67"/>
      <c r="II5066" s="67"/>
      <c r="IJ5066" s="67"/>
      <c r="IK5066" s="67"/>
      <c r="IL5066" s="67"/>
      <c r="IM5066" s="67"/>
      <c r="IN5066" s="67"/>
      <c r="IO5066" s="67"/>
      <c r="IP5066" s="67"/>
      <c r="IQ5066" s="67"/>
      <c r="IR5066" s="67"/>
      <c r="IS5066" s="67"/>
      <c r="IT5066" s="67"/>
      <c r="IU5066" s="67"/>
      <c r="IV5066" s="67"/>
      <c r="IW5066" s="67"/>
      <c r="IX5066" s="67"/>
      <c r="IY5066" s="67"/>
      <c r="IZ5066" s="67"/>
      <c r="JA5066" s="67"/>
      <c r="JB5066" s="67"/>
      <c r="JC5066" s="67"/>
      <c r="JD5066" s="67"/>
      <c r="JE5066" s="67"/>
      <c r="JF5066" s="67"/>
      <c r="JG5066" s="67">
        <v>342.2</v>
      </c>
      <c r="JH5066" s="67">
        <v>457</v>
      </c>
      <c r="JI5066" s="67"/>
      <c r="JJ5066" s="67"/>
      <c r="JK5066" s="67" t="s">
        <v>5615</v>
      </c>
      <c r="JL5066" s="67"/>
      <c r="JM5066" s="67"/>
      <c r="JN5066" s="67"/>
      <c r="JO5066" s="67"/>
      <c r="JP5066" s="67"/>
      <c r="JQ5066" s="67"/>
      <c r="JR5066" s="67"/>
      <c r="JS5066" s="67"/>
      <c r="JT5066" s="67">
        <v>99999</v>
      </c>
      <c r="JU5066" s="58"/>
      <c r="JV5066" s="58"/>
      <c r="JW5066" s="58"/>
    </row>
    <row r="5067" spans="1:283" s="23" customFormat="1" x14ac:dyDescent="0.25">
      <c r="A5067" s="55">
        <v>5066</v>
      </c>
      <c r="B5067" s="12" t="s">
        <v>7067</v>
      </c>
      <c r="C5067" s="156">
        <v>259</v>
      </c>
      <c r="D5067" s="58" t="s">
        <v>5004</v>
      </c>
      <c r="E5067" s="160" t="str">
        <f>G5067</f>
        <v>Okur et al. 2009</v>
      </c>
      <c r="F5067" s="160"/>
      <c r="G5067" s="60" t="s">
        <v>4723</v>
      </c>
      <c r="H5067" s="58">
        <v>2009</v>
      </c>
      <c r="I5067" s="58" t="s">
        <v>5470</v>
      </c>
      <c r="J5067" s="243" t="s">
        <v>5320</v>
      </c>
      <c r="K5067" s="63" t="s">
        <v>5087</v>
      </c>
      <c r="L5067" s="58" t="s">
        <v>3533</v>
      </c>
      <c r="M5067" s="94">
        <v>38.61</v>
      </c>
      <c r="N5067" s="94">
        <v>27.43</v>
      </c>
      <c r="O5067" s="94">
        <v>95</v>
      </c>
      <c r="P5067" s="58"/>
      <c r="Q5067" s="244"/>
      <c r="R5067" s="58"/>
      <c r="S5067" s="245">
        <v>750</v>
      </c>
      <c r="T5067" s="58"/>
      <c r="U5067" s="58" t="s">
        <v>1688</v>
      </c>
      <c r="V5067" s="244" t="s">
        <v>1688</v>
      </c>
      <c r="W5067" s="174"/>
      <c r="X5067" s="174"/>
      <c r="Y5067" s="58" t="s">
        <v>5636</v>
      </c>
      <c r="Z5067" s="244" t="s">
        <v>1346</v>
      </c>
      <c r="AA5067" s="245">
        <v>20</v>
      </c>
      <c r="AB5067" s="67"/>
      <c r="AC5067" s="67"/>
      <c r="AD5067" s="94"/>
      <c r="AE5067" s="94">
        <v>59.12</v>
      </c>
      <c r="AF5067" s="94">
        <v>24</v>
      </c>
      <c r="AG5067" s="245">
        <v>16.88</v>
      </c>
      <c r="AH5067" s="58" t="s">
        <v>238</v>
      </c>
      <c r="AI5067" s="169" t="s">
        <v>5711</v>
      </c>
      <c r="AJ5067" s="94">
        <v>0.75</v>
      </c>
      <c r="AK5067" s="94"/>
      <c r="AL5067" s="58"/>
      <c r="AM5067" s="58" t="s">
        <v>5712</v>
      </c>
      <c r="AN5067" s="186" t="s">
        <v>5710</v>
      </c>
      <c r="AO5067" s="185" t="s">
        <v>5150</v>
      </c>
      <c r="AP5067" s="58"/>
      <c r="AQ5067" s="58" t="s">
        <v>4584</v>
      </c>
      <c r="AR5067" s="58" t="s">
        <v>4532</v>
      </c>
      <c r="AS5067" s="246" t="s">
        <v>3471</v>
      </c>
      <c r="AT5067" s="247">
        <v>0</v>
      </c>
      <c r="AU5067" s="181" t="s">
        <v>7494</v>
      </c>
      <c r="AV5067" s="185" t="s">
        <v>176</v>
      </c>
      <c r="AW5067" s="244">
        <v>0</v>
      </c>
      <c r="AX5067" s="185" t="s">
        <v>176</v>
      </c>
      <c r="AY5067" s="244" t="s">
        <v>176</v>
      </c>
      <c r="AZ5067" s="58"/>
      <c r="BA5067" s="58"/>
      <c r="BB5067" s="58"/>
      <c r="BC5067" s="58"/>
      <c r="BD5067" s="58"/>
      <c r="BE5067" s="236" t="s">
        <v>5185</v>
      </c>
      <c r="BF5067" s="191" t="s">
        <v>479</v>
      </c>
      <c r="BG5067" s="191" t="s">
        <v>479</v>
      </c>
      <c r="BH5067" s="236" t="s">
        <v>5277</v>
      </c>
      <c r="BI5067" s="191" t="s">
        <v>479</v>
      </c>
      <c r="BJ5067" s="58" t="str">
        <f>IF(BE5067=BH5067,"No","yes")</f>
        <v>yes</v>
      </c>
      <c r="BK5067" s="58" t="s">
        <v>6335</v>
      </c>
      <c r="BL5067" s="58" t="s">
        <v>5709</v>
      </c>
      <c r="BM5067" s="237" t="s">
        <v>160</v>
      </c>
      <c r="BN5067" s="244">
        <v>10</v>
      </c>
      <c r="BO5067" s="244">
        <v>10</v>
      </c>
      <c r="BP5067" s="58"/>
      <c r="BQ5067" s="58"/>
      <c r="BR5067" s="58"/>
      <c r="BS5067" s="58"/>
      <c r="BT5067" s="58"/>
      <c r="BU5067" s="58"/>
      <c r="BV5067" s="58"/>
      <c r="BW5067" s="67"/>
      <c r="BX5067" s="67"/>
      <c r="BY5067" s="67"/>
      <c r="BZ5067" s="67"/>
      <c r="CA5067" s="67"/>
      <c r="CB5067" s="70"/>
      <c r="CC5067" s="70"/>
      <c r="CD5067" s="70"/>
      <c r="CE5067" s="67"/>
      <c r="CF5067" s="67"/>
      <c r="CG5067" s="67"/>
      <c r="CH5067" s="245"/>
      <c r="CI5067" s="245"/>
      <c r="CJ5067" s="67"/>
      <c r="CK5067" s="67"/>
      <c r="CL5067" s="67"/>
      <c r="CM5067" s="242">
        <v>0.8</v>
      </c>
      <c r="CN5067" s="242">
        <v>0.98</v>
      </c>
      <c r="CO5067" s="242">
        <f>0.01*CM5067</f>
        <v>8.0000000000000002E-3</v>
      </c>
      <c r="CP5067" s="242">
        <f>0.02*CN5067</f>
        <v>1.9599999999999999E-2</v>
      </c>
      <c r="CQ5067" s="242" t="s">
        <v>164</v>
      </c>
      <c r="CR5067" s="242"/>
      <c r="CS5067" s="242"/>
      <c r="CT5067" s="242"/>
      <c r="CU5067" s="242"/>
      <c r="CV5067" s="242"/>
      <c r="CW5067" s="242"/>
      <c r="CX5067" s="242"/>
      <c r="CY5067" s="242"/>
      <c r="CZ5067" s="242"/>
      <c r="DA5067" s="67" t="s">
        <v>5443</v>
      </c>
      <c r="DB5067" s="67"/>
      <c r="DC5067" s="67"/>
      <c r="DD5067" s="67"/>
      <c r="DE5067" s="67"/>
      <c r="DF5067" s="67"/>
      <c r="DG5067" s="67"/>
      <c r="DH5067" s="67"/>
      <c r="DI5067" s="67"/>
      <c r="DJ5067" s="67"/>
      <c r="DK5067" s="67"/>
      <c r="DL5067" s="67"/>
      <c r="DM5067" s="67"/>
      <c r="DN5067" s="67"/>
      <c r="DO5067" s="67"/>
      <c r="DP5067" s="67"/>
      <c r="DQ5067" s="166"/>
      <c r="DR5067" s="166"/>
      <c r="DS5067" s="163"/>
      <c r="DT5067" s="163"/>
      <c r="DU5067" s="67"/>
      <c r="DV5067" s="67"/>
      <c r="DW5067" s="67"/>
      <c r="DX5067" s="67"/>
      <c r="DY5067" s="67"/>
      <c r="DZ5067" s="67"/>
      <c r="EA5067" s="67"/>
      <c r="EB5067" s="67"/>
      <c r="EC5067" s="67"/>
      <c r="ED5067" s="67"/>
      <c r="EE5067" s="67"/>
      <c r="EF5067" s="67"/>
      <c r="EG5067" s="67"/>
      <c r="EH5067" s="67"/>
      <c r="EI5067" s="67"/>
      <c r="EJ5067" s="67"/>
      <c r="EK5067" s="94"/>
      <c r="EL5067" s="94"/>
      <c r="EM5067" s="67"/>
      <c r="EN5067" s="67"/>
      <c r="EO5067" s="67"/>
      <c r="EP5067" s="67"/>
      <c r="EQ5067" s="67"/>
      <c r="ER5067" s="67"/>
      <c r="ES5067" s="67"/>
      <c r="ET5067" s="67"/>
      <c r="EU5067" s="67"/>
      <c r="EV5067" s="67"/>
      <c r="EW5067" s="67"/>
      <c r="EX5067" s="67"/>
      <c r="EY5067" s="67"/>
      <c r="EZ5067" s="67"/>
      <c r="FA5067" s="67"/>
      <c r="FB5067" s="67"/>
      <c r="FC5067" s="67"/>
      <c r="FD5067" s="67"/>
      <c r="FE5067" s="67"/>
      <c r="FF5067" s="67"/>
      <c r="FG5067" s="67"/>
      <c r="FH5067" s="67"/>
      <c r="FI5067" s="67"/>
      <c r="FJ5067" s="67"/>
      <c r="FK5067" s="67"/>
      <c r="FL5067" s="67"/>
      <c r="FM5067" s="67"/>
      <c r="FN5067" s="67"/>
      <c r="FO5067" s="67"/>
      <c r="FP5067" s="67"/>
      <c r="FQ5067" s="67"/>
      <c r="FR5067" s="67"/>
      <c r="FS5067" s="67"/>
      <c r="FT5067" s="67"/>
      <c r="FU5067" s="67"/>
      <c r="FV5067" s="67"/>
      <c r="FW5067" s="67"/>
      <c r="FX5067" s="67"/>
      <c r="FY5067" s="67"/>
      <c r="FZ5067" s="67"/>
      <c r="GA5067" s="67"/>
      <c r="GB5067" s="67"/>
      <c r="GC5067" s="67"/>
      <c r="GD5067" s="67"/>
      <c r="GE5067" s="67"/>
      <c r="GF5067" s="67"/>
      <c r="GG5067" s="67"/>
      <c r="GH5067" s="67"/>
      <c r="GI5067" s="67"/>
      <c r="GJ5067" s="67"/>
      <c r="GK5067" s="67"/>
      <c r="GL5067" s="67"/>
      <c r="GM5067" s="67"/>
      <c r="GN5067" s="292"/>
      <c r="GO5067" s="292"/>
      <c r="GP5067" s="292" t="s">
        <v>7494</v>
      </c>
      <c r="GQ5067" s="67"/>
      <c r="GR5067" s="67"/>
      <c r="GS5067" s="67"/>
      <c r="GT5067" s="67"/>
      <c r="GU5067" s="67"/>
      <c r="GV5067" s="67"/>
      <c r="GW5067" s="67"/>
      <c r="GX5067" s="67"/>
      <c r="GY5067" s="67"/>
      <c r="GZ5067" s="67"/>
      <c r="HA5067" s="67"/>
      <c r="HB5067" s="67"/>
      <c r="HC5067" s="67"/>
      <c r="HD5067" s="67"/>
      <c r="HE5067" s="67"/>
      <c r="HF5067" s="67"/>
      <c r="HG5067" s="67"/>
      <c r="HH5067" s="67"/>
      <c r="HI5067" s="67"/>
      <c r="HJ5067" s="67"/>
      <c r="HK5067" s="67"/>
      <c r="HL5067" s="67"/>
      <c r="HM5067" s="67"/>
      <c r="HN5067" s="67"/>
      <c r="HO5067" s="67"/>
      <c r="HP5067" s="67"/>
      <c r="HQ5067" s="67"/>
      <c r="HR5067" s="67"/>
      <c r="HS5067" s="67">
        <v>73.91</v>
      </c>
      <c r="HT5067" s="67">
        <v>161.49</v>
      </c>
      <c r="HU5067" s="67">
        <f>82-HS5067</f>
        <v>8.0900000000000034</v>
      </c>
      <c r="HV5067" s="67">
        <f>175.78-HT5067</f>
        <v>14.289999999999992</v>
      </c>
      <c r="HW5067" s="67" t="s">
        <v>5714</v>
      </c>
      <c r="HX5067" s="67"/>
      <c r="HY5067" s="67"/>
      <c r="HZ5067" s="67"/>
      <c r="IA5067" s="67"/>
      <c r="IB5067" s="67"/>
      <c r="IC5067" s="67"/>
      <c r="ID5067" s="67"/>
      <c r="IE5067" s="67"/>
      <c r="IF5067" s="67"/>
      <c r="IG5067" s="67"/>
      <c r="IH5067" s="67"/>
      <c r="II5067" s="67"/>
      <c r="IJ5067" s="67"/>
      <c r="IK5067" s="67"/>
      <c r="IL5067" s="67"/>
      <c r="IM5067" s="67"/>
      <c r="IN5067" s="67"/>
      <c r="IO5067" s="67"/>
      <c r="IP5067" s="67"/>
      <c r="IQ5067" s="67"/>
      <c r="IR5067" s="67"/>
      <c r="IS5067" s="67"/>
      <c r="IT5067" s="67"/>
      <c r="IU5067" s="67"/>
      <c r="IV5067" s="67"/>
      <c r="IW5067" s="67"/>
      <c r="IX5067" s="67"/>
      <c r="IY5067" s="67"/>
      <c r="IZ5067" s="67"/>
      <c r="JA5067" s="67"/>
      <c r="JB5067" s="67"/>
      <c r="JC5067" s="67"/>
      <c r="JD5067" s="67"/>
      <c r="JE5067" s="67"/>
      <c r="JF5067" s="67"/>
      <c r="JG5067" s="67">
        <v>328.5</v>
      </c>
      <c r="JH5067" s="67">
        <v>485.1</v>
      </c>
      <c r="JI5067" s="67"/>
      <c r="JJ5067" s="67"/>
      <c r="JK5067" s="67" t="s">
        <v>5615</v>
      </c>
      <c r="JL5067" s="67"/>
      <c r="JM5067" s="67"/>
      <c r="JN5067" s="67"/>
      <c r="JO5067" s="67"/>
      <c r="JP5067" s="67"/>
      <c r="JQ5067" s="67"/>
      <c r="JR5067" s="67"/>
      <c r="JS5067" s="67"/>
      <c r="JT5067" s="67">
        <v>99999</v>
      </c>
      <c r="JU5067" s="58"/>
      <c r="JV5067" s="58"/>
      <c r="JW5067" s="58"/>
    </row>
    <row r="5068" spans="1:283" s="23" customFormat="1" x14ac:dyDescent="0.25">
      <c r="A5068" s="55">
        <v>5067</v>
      </c>
      <c r="B5068" s="12" t="s">
        <v>7067</v>
      </c>
      <c r="C5068" s="156">
        <v>259</v>
      </c>
      <c r="D5068" s="58" t="s">
        <v>5004</v>
      </c>
      <c r="E5068" s="160" t="str">
        <f>G5068</f>
        <v>Okur et al. 2009</v>
      </c>
      <c r="F5068" s="160"/>
      <c r="G5068" s="60" t="s">
        <v>4723</v>
      </c>
      <c r="H5068" s="58">
        <v>2009</v>
      </c>
      <c r="I5068" s="58" t="s">
        <v>5470</v>
      </c>
      <c r="J5068" s="243" t="s">
        <v>5320</v>
      </c>
      <c r="K5068" s="63" t="s">
        <v>5087</v>
      </c>
      <c r="L5068" s="58" t="s">
        <v>3533</v>
      </c>
      <c r="M5068" s="94">
        <v>38.61</v>
      </c>
      <c r="N5068" s="94">
        <v>27.43</v>
      </c>
      <c r="O5068" s="94">
        <v>95</v>
      </c>
      <c r="P5068" s="58"/>
      <c r="Q5068" s="244"/>
      <c r="R5068" s="58"/>
      <c r="S5068" s="245">
        <v>750</v>
      </c>
      <c r="T5068" s="58"/>
      <c r="U5068" s="58" t="s">
        <v>1688</v>
      </c>
      <c r="V5068" s="244" t="s">
        <v>1688</v>
      </c>
      <c r="W5068" s="174"/>
      <c r="X5068" s="174"/>
      <c r="Y5068" s="58" t="s">
        <v>5636</v>
      </c>
      <c r="Z5068" s="244" t="s">
        <v>1346</v>
      </c>
      <c r="AA5068" s="245">
        <v>20</v>
      </c>
      <c r="AB5068" s="67"/>
      <c r="AC5068" s="67"/>
      <c r="AD5068" s="94"/>
      <c r="AE5068" s="94">
        <v>59.12</v>
      </c>
      <c r="AF5068" s="94">
        <v>24</v>
      </c>
      <c r="AG5068" s="245">
        <v>16.88</v>
      </c>
      <c r="AH5068" s="58" t="s">
        <v>238</v>
      </c>
      <c r="AI5068" s="169" t="s">
        <v>5711</v>
      </c>
      <c r="AJ5068" s="94">
        <v>0.75</v>
      </c>
      <c r="AK5068" s="94"/>
      <c r="AL5068" s="58"/>
      <c r="AM5068" s="58" t="s">
        <v>5712</v>
      </c>
      <c r="AN5068" s="186" t="s">
        <v>5710</v>
      </c>
      <c r="AO5068" s="185" t="s">
        <v>5150</v>
      </c>
      <c r="AP5068" s="58"/>
      <c r="AQ5068" s="58" t="s">
        <v>4584</v>
      </c>
      <c r="AR5068" s="58" t="s">
        <v>4532</v>
      </c>
      <c r="AS5068" s="246" t="s">
        <v>3471</v>
      </c>
      <c r="AT5068" s="247">
        <v>0</v>
      </c>
      <c r="AU5068" s="181" t="s">
        <v>7494</v>
      </c>
      <c r="AV5068" s="185" t="s">
        <v>176</v>
      </c>
      <c r="AW5068" s="244">
        <v>0</v>
      </c>
      <c r="AX5068" s="185" t="s">
        <v>176</v>
      </c>
      <c r="AY5068" s="244" t="s">
        <v>176</v>
      </c>
      <c r="AZ5068" s="58"/>
      <c r="BA5068" s="58"/>
      <c r="BB5068" s="58"/>
      <c r="BC5068" s="58"/>
      <c r="BD5068" s="58"/>
      <c r="BE5068" s="236" t="s">
        <v>5185</v>
      </c>
      <c r="BF5068" s="191" t="s">
        <v>479</v>
      </c>
      <c r="BG5068" s="191" t="s">
        <v>479</v>
      </c>
      <c r="BH5068" s="236" t="s">
        <v>5277</v>
      </c>
      <c r="BI5068" s="191" t="s">
        <v>479</v>
      </c>
      <c r="BJ5068" s="58" t="str">
        <f>IF(BE5068=BH5068,"No","yes")</f>
        <v>yes</v>
      </c>
      <c r="BK5068" s="58" t="s">
        <v>6335</v>
      </c>
      <c r="BL5068" s="58" t="s">
        <v>5709</v>
      </c>
      <c r="BM5068" s="237" t="s">
        <v>160</v>
      </c>
      <c r="BN5068" s="244">
        <v>10</v>
      </c>
      <c r="BO5068" s="244">
        <v>10</v>
      </c>
      <c r="BP5068" s="58"/>
      <c r="BQ5068" s="58"/>
      <c r="BR5068" s="58"/>
      <c r="BS5068" s="58"/>
      <c r="BT5068" s="58"/>
      <c r="BU5068" s="58"/>
      <c r="BV5068" s="58"/>
      <c r="BW5068" s="67"/>
      <c r="BX5068" s="67"/>
      <c r="BY5068" s="67"/>
      <c r="BZ5068" s="67"/>
      <c r="CA5068" s="67"/>
      <c r="CB5068" s="70"/>
      <c r="CC5068" s="70"/>
      <c r="CD5068" s="70"/>
      <c r="CE5068" s="67"/>
      <c r="CF5068" s="67"/>
      <c r="CG5068" s="67"/>
      <c r="CH5068" s="245"/>
      <c r="CI5068" s="245"/>
      <c r="CJ5068" s="67"/>
      <c r="CK5068" s="67"/>
      <c r="CL5068" s="67"/>
      <c r="CM5068" s="242">
        <v>0.8</v>
      </c>
      <c r="CN5068" s="242">
        <v>0.96</v>
      </c>
      <c r="CO5068" s="242">
        <f>0.01*CM5068</f>
        <v>8.0000000000000002E-3</v>
      </c>
      <c r="CP5068" s="242">
        <f>0.02*CN5068</f>
        <v>1.9199999999999998E-2</v>
      </c>
      <c r="CQ5068" s="242" t="s">
        <v>164</v>
      </c>
      <c r="CR5068" s="242"/>
      <c r="CS5068" s="242"/>
      <c r="CT5068" s="242"/>
      <c r="CU5068" s="242"/>
      <c r="CV5068" s="242"/>
      <c r="CW5068" s="242"/>
      <c r="CX5068" s="242"/>
      <c r="CY5068" s="242"/>
      <c r="CZ5068" s="242"/>
      <c r="DA5068" s="67" t="s">
        <v>5443</v>
      </c>
      <c r="DB5068" s="67"/>
      <c r="DC5068" s="67"/>
      <c r="DD5068" s="67"/>
      <c r="DE5068" s="67"/>
      <c r="DF5068" s="67"/>
      <c r="DG5068" s="67"/>
      <c r="DH5068" s="67"/>
      <c r="DI5068" s="67"/>
      <c r="DJ5068" s="67"/>
      <c r="DK5068" s="67"/>
      <c r="DL5068" s="67"/>
      <c r="DM5068" s="67"/>
      <c r="DN5068" s="67"/>
      <c r="DO5068" s="67"/>
      <c r="DP5068" s="67"/>
      <c r="DQ5068" s="166"/>
      <c r="DR5068" s="166"/>
      <c r="DS5068" s="163"/>
      <c r="DT5068" s="163"/>
      <c r="DU5068" s="67"/>
      <c r="DV5068" s="67"/>
      <c r="DW5068" s="67"/>
      <c r="DX5068" s="67"/>
      <c r="DY5068" s="67"/>
      <c r="DZ5068" s="67"/>
      <c r="EA5068" s="67"/>
      <c r="EB5068" s="67"/>
      <c r="EC5068" s="67"/>
      <c r="ED5068" s="67"/>
      <c r="EE5068" s="67"/>
      <c r="EF5068" s="67"/>
      <c r="EG5068" s="67"/>
      <c r="EH5068" s="67"/>
      <c r="EI5068" s="67"/>
      <c r="EJ5068" s="67"/>
      <c r="EK5068" s="94"/>
      <c r="EL5068" s="94"/>
      <c r="EM5068" s="67"/>
      <c r="EN5068" s="67"/>
      <c r="EO5068" s="67"/>
      <c r="EP5068" s="67"/>
      <c r="EQ5068" s="67"/>
      <c r="ER5068" s="67"/>
      <c r="ES5068" s="67"/>
      <c r="ET5068" s="67"/>
      <c r="EU5068" s="67"/>
      <c r="EV5068" s="67"/>
      <c r="EW5068" s="67"/>
      <c r="EX5068" s="67"/>
      <c r="EY5068" s="67"/>
      <c r="EZ5068" s="67"/>
      <c r="FA5068" s="67"/>
      <c r="FB5068" s="67"/>
      <c r="FC5068" s="67"/>
      <c r="FD5068" s="67"/>
      <c r="FE5068" s="67"/>
      <c r="FF5068" s="67"/>
      <c r="FG5068" s="67"/>
      <c r="FH5068" s="67"/>
      <c r="FI5068" s="67"/>
      <c r="FJ5068" s="67"/>
      <c r="FK5068" s="67"/>
      <c r="FL5068" s="67"/>
      <c r="FM5068" s="67"/>
      <c r="FN5068" s="67"/>
      <c r="FO5068" s="67"/>
      <c r="FP5068" s="67"/>
      <c r="FQ5068" s="67"/>
      <c r="FR5068" s="67"/>
      <c r="FS5068" s="67"/>
      <c r="FT5068" s="67"/>
      <c r="FU5068" s="67"/>
      <c r="FV5068" s="67"/>
      <c r="FW5068" s="67"/>
      <c r="FX5068" s="67"/>
      <c r="FY5068" s="67"/>
      <c r="FZ5068" s="67"/>
      <c r="GA5068" s="67"/>
      <c r="GB5068" s="67"/>
      <c r="GC5068" s="67"/>
      <c r="GD5068" s="67"/>
      <c r="GE5068" s="67"/>
      <c r="GF5068" s="67"/>
      <c r="GG5068" s="67"/>
      <c r="GH5068" s="67"/>
      <c r="GI5068" s="67"/>
      <c r="GJ5068" s="67"/>
      <c r="GK5068" s="67"/>
      <c r="GL5068" s="67"/>
      <c r="GM5068" s="67"/>
      <c r="GN5068" s="292"/>
      <c r="GO5068" s="292"/>
      <c r="GP5068" s="292" t="s">
        <v>7494</v>
      </c>
      <c r="GQ5068" s="67"/>
      <c r="GR5068" s="67"/>
      <c r="GS5068" s="67"/>
      <c r="GT5068" s="67"/>
      <c r="GU5068" s="67"/>
      <c r="GV5068" s="67"/>
      <c r="GW5068" s="67"/>
      <c r="GX5068" s="67"/>
      <c r="GY5068" s="67"/>
      <c r="GZ5068" s="67"/>
      <c r="HA5068" s="67"/>
      <c r="HB5068" s="67"/>
      <c r="HC5068" s="67"/>
      <c r="HD5068" s="67"/>
      <c r="HE5068" s="67"/>
      <c r="HF5068" s="67"/>
      <c r="HG5068" s="67"/>
      <c r="HH5068" s="67"/>
      <c r="HI5068" s="67"/>
      <c r="HJ5068" s="67"/>
      <c r="HK5068" s="67"/>
      <c r="HL5068" s="67"/>
      <c r="HM5068" s="67"/>
      <c r="HN5068" s="67"/>
      <c r="HO5068" s="67"/>
      <c r="HP5068" s="67"/>
      <c r="HQ5068" s="67"/>
      <c r="HR5068" s="67"/>
      <c r="HS5068" s="67">
        <v>73.91</v>
      </c>
      <c r="HT5068" s="67">
        <v>167.08</v>
      </c>
      <c r="HU5068" s="67">
        <f>82-HS5068</f>
        <v>8.0900000000000034</v>
      </c>
      <c r="HV5068" s="67">
        <f>177.64-HT5068</f>
        <v>10.559999999999974</v>
      </c>
      <c r="HW5068" s="67" t="s">
        <v>5714</v>
      </c>
      <c r="HX5068" s="67"/>
      <c r="HY5068" s="67"/>
      <c r="HZ5068" s="67"/>
      <c r="IA5068" s="67"/>
      <c r="IB5068" s="67"/>
      <c r="IC5068" s="67"/>
      <c r="ID5068" s="67"/>
      <c r="IE5068" s="67"/>
      <c r="IF5068" s="67"/>
      <c r="IG5068" s="67"/>
      <c r="IH5068" s="67"/>
      <c r="II5068" s="67"/>
      <c r="IJ5068" s="67"/>
      <c r="IK5068" s="67"/>
      <c r="IL5068" s="67"/>
      <c r="IM5068" s="67"/>
      <c r="IN5068" s="67"/>
      <c r="IO5068" s="67"/>
      <c r="IP5068" s="67"/>
      <c r="IQ5068" s="67"/>
      <c r="IR5068" s="67"/>
      <c r="IS5068" s="67"/>
      <c r="IT5068" s="67"/>
      <c r="IU5068" s="67"/>
      <c r="IV5068" s="67"/>
      <c r="IW5068" s="67"/>
      <c r="IX5068" s="67"/>
      <c r="IY5068" s="67"/>
      <c r="IZ5068" s="67"/>
      <c r="JA5068" s="67"/>
      <c r="JB5068" s="67"/>
      <c r="JC5068" s="67"/>
      <c r="JD5068" s="67"/>
      <c r="JE5068" s="67"/>
      <c r="JF5068" s="67"/>
      <c r="JG5068" s="67">
        <v>328.5</v>
      </c>
      <c r="JH5068" s="67">
        <v>455.3</v>
      </c>
      <c r="JI5068" s="67"/>
      <c r="JJ5068" s="67"/>
      <c r="JK5068" s="67" t="s">
        <v>5615</v>
      </c>
      <c r="JL5068" s="67"/>
      <c r="JM5068" s="67"/>
      <c r="JN5068" s="67"/>
      <c r="JO5068" s="67"/>
      <c r="JP5068" s="67"/>
      <c r="JQ5068" s="67"/>
      <c r="JR5068" s="67"/>
      <c r="JS5068" s="67"/>
      <c r="JT5068" s="67">
        <v>99999</v>
      </c>
      <c r="JU5068" s="58"/>
      <c r="JV5068" s="58"/>
      <c r="JW5068" s="58"/>
    </row>
    <row r="5069" spans="1:283" s="23" customFormat="1" x14ac:dyDescent="0.25">
      <c r="A5069" s="55">
        <v>5068</v>
      </c>
      <c r="B5069" s="12" t="s">
        <v>7067</v>
      </c>
      <c r="C5069" s="156">
        <v>259</v>
      </c>
      <c r="D5069" s="58" t="s">
        <v>5004</v>
      </c>
      <c r="E5069" s="160" t="str">
        <f>G5069</f>
        <v>Okur et al. 2009</v>
      </c>
      <c r="F5069" s="160"/>
      <c r="G5069" s="60" t="s">
        <v>4723</v>
      </c>
      <c r="H5069" s="58">
        <v>2009</v>
      </c>
      <c r="I5069" s="58" t="s">
        <v>5470</v>
      </c>
      <c r="J5069" s="243" t="s">
        <v>5320</v>
      </c>
      <c r="K5069" s="63" t="s">
        <v>5087</v>
      </c>
      <c r="L5069" s="58" t="s">
        <v>3533</v>
      </c>
      <c r="M5069" s="94">
        <v>38.61</v>
      </c>
      <c r="N5069" s="94">
        <v>27.43</v>
      </c>
      <c r="O5069" s="94">
        <v>95</v>
      </c>
      <c r="P5069" s="58"/>
      <c r="Q5069" s="244"/>
      <c r="R5069" s="58"/>
      <c r="S5069" s="245">
        <v>750</v>
      </c>
      <c r="T5069" s="58"/>
      <c r="U5069" s="58" t="s">
        <v>1688</v>
      </c>
      <c r="V5069" s="244" t="s">
        <v>1688</v>
      </c>
      <c r="W5069" s="174"/>
      <c r="X5069" s="174"/>
      <c r="Y5069" s="58" t="s">
        <v>5636</v>
      </c>
      <c r="Z5069" s="244" t="s">
        <v>1346</v>
      </c>
      <c r="AA5069" s="245">
        <v>20</v>
      </c>
      <c r="AB5069" s="67"/>
      <c r="AC5069" s="67"/>
      <c r="AD5069" s="94"/>
      <c r="AE5069" s="94">
        <v>59.12</v>
      </c>
      <c r="AF5069" s="94">
        <v>24</v>
      </c>
      <c r="AG5069" s="245">
        <v>16.88</v>
      </c>
      <c r="AH5069" s="58" t="s">
        <v>238</v>
      </c>
      <c r="AI5069" s="169" t="s">
        <v>5711</v>
      </c>
      <c r="AJ5069" s="94">
        <v>0.75</v>
      </c>
      <c r="AK5069" s="94"/>
      <c r="AL5069" s="58"/>
      <c r="AM5069" s="58" t="s">
        <v>5712</v>
      </c>
      <c r="AN5069" s="186" t="s">
        <v>5710</v>
      </c>
      <c r="AO5069" s="185" t="s">
        <v>5150</v>
      </c>
      <c r="AP5069" s="58"/>
      <c r="AQ5069" s="58" t="s">
        <v>4584</v>
      </c>
      <c r="AR5069" s="58" t="s">
        <v>4532</v>
      </c>
      <c r="AS5069" s="246" t="s">
        <v>3471</v>
      </c>
      <c r="AT5069" s="247">
        <v>0</v>
      </c>
      <c r="AU5069" s="181" t="s">
        <v>7494</v>
      </c>
      <c r="AV5069" s="185" t="s">
        <v>176</v>
      </c>
      <c r="AW5069" s="244">
        <v>0</v>
      </c>
      <c r="AX5069" s="185" t="s">
        <v>176</v>
      </c>
      <c r="AY5069" s="244" t="s">
        <v>176</v>
      </c>
      <c r="AZ5069" s="58"/>
      <c r="BA5069" s="58"/>
      <c r="BB5069" s="58"/>
      <c r="BC5069" s="58"/>
      <c r="BD5069" s="58"/>
      <c r="BE5069" s="236" t="s">
        <v>5185</v>
      </c>
      <c r="BF5069" s="191" t="s">
        <v>479</v>
      </c>
      <c r="BG5069" s="191" t="s">
        <v>479</v>
      </c>
      <c r="BH5069" s="236" t="s">
        <v>5277</v>
      </c>
      <c r="BI5069" s="191" t="s">
        <v>479</v>
      </c>
      <c r="BJ5069" s="58" t="str">
        <f>IF(BE5069=BH5069,"No","yes")</f>
        <v>yes</v>
      </c>
      <c r="BK5069" s="58" t="s">
        <v>6335</v>
      </c>
      <c r="BL5069" s="58" t="s">
        <v>5709</v>
      </c>
      <c r="BM5069" s="237" t="s">
        <v>160</v>
      </c>
      <c r="BN5069" s="244">
        <v>10</v>
      </c>
      <c r="BO5069" s="244">
        <v>10</v>
      </c>
      <c r="BP5069" s="58"/>
      <c r="BQ5069" s="58"/>
      <c r="BR5069" s="58"/>
      <c r="BS5069" s="58"/>
      <c r="BT5069" s="58"/>
      <c r="BU5069" s="58"/>
      <c r="BV5069" s="58"/>
      <c r="BW5069" s="67"/>
      <c r="BX5069" s="67"/>
      <c r="BY5069" s="67"/>
      <c r="BZ5069" s="67"/>
      <c r="CA5069" s="67"/>
      <c r="CB5069" s="70"/>
      <c r="CC5069" s="70"/>
      <c r="CD5069" s="70"/>
      <c r="CE5069" s="67"/>
      <c r="CF5069" s="67"/>
      <c r="CG5069" s="67"/>
      <c r="CH5069" s="245"/>
      <c r="CI5069" s="245"/>
      <c r="CJ5069" s="67"/>
      <c r="CK5069" s="67"/>
      <c r="CL5069" s="67"/>
      <c r="CM5069" s="242">
        <v>0.8</v>
      </c>
      <c r="CN5069" s="242">
        <v>0.9</v>
      </c>
      <c r="CO5069" s="242">
        <f>0.01*CM5069</f>
        <v>8.0000000000000002E-3</v>
      </c>
      <c r="CP5069" s="242">
        <f>0.02*CN5069</f>
        <v>1.8000000000000002E-2</v>
      </c>
      <c r="CQ5069" s="242" t="s">
        <v>164</v>
      </c>
      <c r="CR5069" s="242"/>
      <c r="CS5069" s="242"/>
      <c r="CT5069" s="242"/>
      <c r="CU5069" s="242"/>
      <c r="CV5069" s="242"/>
      <c r="CW5069" s="242"/>
      <c r="CX5069" s="242"/>
      <c r="CY5069" s="242"/>
      <c r="CZ5069" s="242"/>
      <c r="DA5069" s="67" t="s">
        <v>5443</v>
      </c>
      <c r="DB5069" s="67"/>
      <c r="DC5069" s="67"/>
      <c r="DD5069" s="67"/>
      <c r="DE5069" s="67"/>
      <c r="DF5069" s="67"/>
      <c r="DG5069" s="67"/>
      <c r="DH5069" s="67"/>
      <c r="DI5069" s="67"/>
      <c r="DJ5069" s="67"/>
      <c r="DK5069" s="67"/>
      <c r="DL5069" s="67"/>
      <c r="DM5069" s="67"/>
      <c r="DN5069" s="67"/>
      <c r="DO5069" s="67"/>
      <c r="DP5069" s="67"/>
      <c r="DQ5069" s="166"/>
      <c r="DR5069" s="166"/>
      <c r="DS5069" s="163"/>
      <c r="DT5069" s="163"/>
      <c r="DU5069" s="67"/>
      <c r="DV5069" s="67"/>
      <c r="DW5069" s="67"/>
      <c r="DX5069" s="67"/>
      <c r="DY5069" s="67"/>
      <c r="DZ5069" s="67"/>
      <c r="EA5069" s="67"/>
      <c r="EB5069" s="67"/>
      <c r="EC5069" s="67"/>
      <c r="ED5069" s="67"/>
      <c r="EE5069" s="67"/>
      <c r="EF5069" s="67"/>
      <c r="EG5069" s="67"/>
      <c r="EH5069" s="67"/>
      <c r="EI5069" s="67"/>
      <c r="EJ5069" s="67"/>
      <c r="EK5069" s="94"/>
      <c r="EL5069" s="94"/>
      <c r="EM5069" s="67"/>
      <c r="EN5069" s="67"/>
      <c r="EO5069" s="67"/>
      <c r="EP5069" s="67"/>
      <c r="EQ5069" s="67"/>
      <c r="ER5069" s="67"/>
      <c r="ES5069" s="67"/>
      <c r="ET5069" s="67"/>
      <c r="EU5069" s="67"/>
      <c r="EV5069" s="67"/>
      <c r="EW5069" s="67"/>
      <c r="EX5069" s="67"/>
      <c r="EY5069" s="67"/>
      <c r="EZ5069" s="67"/>
      <c r="FA5069" s="67"/>
      <c r="FB5069" s="67"/>
      <c r="FC5069" s="67"/>
      <c r="FD5069" s="67"/>
      <c r="FE5069" s="67"/>
      <c r="FF5069" s="67"/>
      <c r="FG5069" s="67"/>
      <c r="FH5069" s="67"/>
      <c r="FI5069" s="67"/>
      <c r="FJ5069" s="67"/>
      <c r="FK5069" s="67"/>
      <c r="FL5069" s="67"/>
      <c r="FM5069" s="67"/>
      <c r="FN5069" s="67"/>
      <c r="FO5069" s="67"/>
      <c r="FP5069" s="67"/>
      <c r="FQ5069" s="67"/>
      <c r="FR5069" s="67"/>
      <c r="FS5069" s="67"/>
      <c r="FT5069" s="67"/>
      <c r="FU5069" s="67"/>
      <c r="FV5069" s="67"/>
      <c r="FW5069" s="67"/>
      <c r="FX5069" s="67"/>
      <c r="FY5069" s="67"/>
      <c r="FZ5069" s="67"/>
      <c r="GA5069" s="67"/>
      <c r="GB5069" s="67"/>
      <c r="GC5069" s="67"/>
      <c r="GD5069" s="67"/>
      <c r="GE5069" s="67"/>
      <c r="GF5069" s="67"/>
      <c r="GG5069" s="67"/>
      <c r="GH5069" s="67"/>
      <c r="GI5069" s="67"/>
      <c r="GJ5069" s="67"/>
      <c r="GK5069" s="67"/>
      <c r="GL5069" s="67"/>
      <c r="GM5069" s="67"/>
      <c r="GN5069" s="292"/>
      <c r="GO5069" s="292"/>
      <c r="GP5069" s="292" t="s">
        <v>7494</v>
      </c>
      <c r="GQ5069" s="67"/>
      <c r="GR5069" s="67"/>
      <c r="GS5069" s="67"/>
      <c r="GT5069" s="67"/>
      <c r="GU5069" s="67"/>
      <c r="GV5069" s="67"/>
      <c r="GW5069" s="67"/>
      <c r="GX5069" s="67"/>
      <c r="GY5069" s="67"/>
      <c r="GZ5069" s="67"/>
      <c r="HA5069" s="67"/>
      <c r="HB5069" s="67"/>
      <c r="HC5069" s="67"/>
      <c r="HD5069" s="67"/>
      <c r="HE5069" s="67"/>
      <c r="HF5069" s="67"/>
      <c r="HG5069" s="67"/>
      <c r="HH5069" s="67"/>
      <c r="HI5069" s="67"/>
      <c r="HJ5069" s="67"/>
      <c r="HK5069" s="67"/>
      <c r="HL5069" s="67"/>
      <c r="HM5069" s="67"/>
      <c r="HN5069" s="67"/>
      <c r="HO5069" s="67"/>
      <c r="HP5069" s="67"/>
      <c r="HQ5069" s="67"/>
      <c r="HR5069" s="67"/>
      <c r="HS5069" s="67">
        <v>73.91</v>
      </c>
      <c r="HT5069" s="67">
        <v>113.66</v>
      </c>
      <c r="HU5069" s="67">
        <f>82-HS5069</f>
        <v>8.0900000000000034</v>
      </c>
      <c r="HV5069" s="67">
        <f>121.12-HT5069</f>
        <v>7.460000000000008</v>
      </c>
      <c r="HW5069" s="67" t="s">
        <v>5714</v>
      </c>
      <c r="HX5069" s="67"/>
      <c r="HY5069" s="67"/>
      <c r="HZ5069" s="67"/>
      <c r="IA5069" s="67"/>
      <c r="IB5069" s="67"/>
      <c r="IC5069" s="67"/>
      <c r="ID5069" s="67"/>
      <c r="IE5069" s="67"/>
      <c r="IF5069" s="67"/>
      <c r="IG5069" s="67"/>
      <c r="IH5069" s="67"/>
      <c r="II5069" s="67"/>
      <c r="IJ5069" s="67"/>
      <c r="IK5069" s="67"/>
      <c r="IL5069" s="67"/>
      <c r="IM5069" s="67"/>
      <c r="IN5069" s="67"/>
      <c r="IO5069" s="67"/>
      <c r="IP5069" s="67"/>
      <c r="IQ5069" s="67"/>
      <c r="IR5069" s="67"/>
      <c r="IS5069" s="67"/>
      <c r="IT5069" s="67"/>
      <c r="IU5069" s="67"/>
      <c r="IV5069" s="67"/>
      <c r="IW5069" s="67"/>
      <c r="IX5069" s="67"/>
      <c r="IY5069" s="67"/>
      <c r="IZ5069" s="67"/>
      <c r="JA5069" s="67"/>
      <c r="JB5069" s="67"/>
      <c r="JC5069" s="67"/>
      <c r="JD5069" s="67"/>
      <c r="JE5069" s="67"/>
      <c r="JF5069" s="67"/>
      <c r="JG5069" s="67">
        <v>328.5</v>
      </c>
      <c r="JH5069" s="67">
        <v>412.9</v>
      </c>
      <c r="JI5069" s="67"/>
      <c r="JJ5069" s="67"/>
      <c r="JK5069" s="67" t="s">
        <v>5615</v>
      </c>
      <c r="JL5069" s="67"/>
      <c r="JM5069" s="67"/>
      <c r="JN5069" s="67"/>
      <c r="JO5069" s="67"/>
      <c r="JP5069" s="67"/>
      <c r="JQ5069" s="67"/>
      <c r="JR5069" s="67"/>
      <c r="JS5069" s="67"/>
      <c r="JT5069" s="67">
        <v>99999</v>
      </c>
      <c r="JU5069" s="58"/>
      <c r="JV5069" s="58"/>
      <c r="JW5069" s="58"/>
    </row>
    <row r="5070" spans="1:283" s="23" customFormat="1" x14ac:dyDescent="0.25">
      <c r="A5070" s="55">
        <v>5069</v>
      </c>
      <c r="B5070" s="12" t="s">
        <v>7067</v>
      </c>
      <c r="C5070" s="156">
        <v>260</v>
      </c>
      <c r="D5070" s="58" t="s">
        <v>5005</v>
      </c>
      <c r="E5070" s="160" t="str">
        <f>G5070</f>
        <v>Pardo et al. 2009_plot 1</v>
      </c>
      <c r="F5070" s="160"/>
      <c r="G5070" s="60" t="s">
        <v>4722</v>
      </c>
      <c r="H5070" s="58">
        <v>2009</v>
      </c>
      <c r="I5070" s="58" t="s">
        <v>5719</v>
      </c>
      <c r="J5070" s="243" t="s">
        <v>5321</v>
      </c>
      <c r="K5070" s="63" t="s">
        <v>5086</v>
      </c>
      <c r="L5070" s="58" t="s">
        <v>4516</v>
      </c>
      <c r="M5070" s="94">
        <f>42+17/60</f>
        <v>42.283333333333331</v>
      </c>
      <c r="N5070" s="94">
        <f>2+25/60</f>
        <v>2.4166666666666665</v>
      </c>
      <c r="O5070" s="94">
        <v>454</v>
      </c>
      <c r="P5070" s="58"/>
      <c r="Q5070" s="244">
        <v>14</v>
      </c>
      <c r="R5070" s="58"/>
      <c r="S5070" s="245">
        <v>516</v>
      </c>
      <c r="T5070" s="58"/>
      <c r="U5070" s="58" t="s">
        <v>1935</v>
      </c>
      <c r="V5070" s="244">
        <v>4</v>
      </c>
      <c r="W5070" s="250"/>
      <c r="X5070" s="250"/>
      <c r="Y5070" s="58" t="s">
        <v>5720</v>
      </c>
      <c r="Z5070" s="244" t="s">
        <v>5146</v>
      </c>
      <c r="AA5070" s="245">
        <v>90</v>
      </c>
      <c r="AB5070" s="67"/>
      <c r="AC5070" s="67"/>
      <c r="AD5070" s="94"/>
      <c r="AE5070" s="94">
        <f>AVERAGE(40,42.2,46.7)</f>
        <v>42.966666666666669</v>
      </c>
      <c r="AF5070" s="94">
        <f>AVERAGE(26.1,31.3,31.1)</f>
        <v>29.5</v>
      </c>
      <c r="AG5070" s="245">
        <f>AVERAGE(33.8,26.6,22.2)</f>
        <v>27.533333333333331</v>
      </c>
      <c r="AH5070" s="58" t="s">
        <v>645</v>
      </c>
      <c r="AI5070" s="169" t="s">
        <v>5716</v>
      </c>
      <c r="AJ5070" s="94">
        <f>(2.6+1.8+0.9)/3</f>
        <v>1.7666666666666668</v>
      </c>
      <c r="AK5070" s="94"/>
      <c r="AL5070" s="58"/>
      <c r="AM5070" s="58"/>
      <c r="AN5070" s="186" t="s">
        <v>5715</v>
      </c>
      <c r="AO5070" s="185" t="s">
        <v>5150</v>
      </c>
      <c r="AP5070" s="58"/>
      <c r="AQ5070" s="58" t="s">
        <v>4584</v>
      </c>
      <c r="AR5070" s="58" t="s">
        <v>592</v>
      </c>
      <c r="AS5070" s="246" t="s">
        <v>5133</v>
      </c>
      <c r="AT5070" s="247">
        <v>1</v>
      </c>
      <c r="AU5070" s="181" t="s">
        <v>7494</v>
      </c>
      <c r="AV5070" s="185" t="s">
        <v>176</v>
      </c>
      <c r="AW5070" s="244">
        <v>1</v>
      </c>
      <c r="AX5070" s="185" t="s">
        <v>176</v>
      </c>
      <c r="AY5070" s="244" t="s">
        <v>176</v>
      </c>
      <c r="AZ5070" s="58"/>
      <c r="BA5070" s="58"/>
      <c r="BB5070" s="58"/>
      <c r="BC5070" s="58"/>
      <c r="BD5070" s="58"/>
      <c r="BE5070" s="236" t="s">
        <v>5212</v>
      </c>
      <c r="BF5070" s="191" t="s">
        <v>479</v>
      </c>
      <c r="BG5070" s="191" t="s">
        <v>479</v>
      </c>
      <c r="BH5070" s="236" t="s">
        <v>5278</v>
      </c>
      <c r="BI5070" s="191" t="s">
        <v>479</v>
      </c>
      <c r="BJ5070" s="58" t="str">
        <f>IF(BE5070=BH5070,"No","yes")</f>
        <v>yes</v>
      </c>
      <c r="BK5070" s="58" t="s">
        <v>6335</v>
      </c>
      <c r="BL5070" s="58"/>
      <c r="BM5070" s="237"/>
      <c r="BN5070" s="244">
        <v>3</v>
      </c>
      <c r="BO5070" s="244">
        <v>3</v>
      </c>
      <c r="BP5070" s="58"/>
      <c r="BQ5070" s="58"/>
      <c r="BR5070" s="58"/>
      <c r="BS5070" s="58"/>
      <c r="BT5070" s="58"/>
      <c r="BU5070" s="58"/>
      <c r="BV5070" s="58" t="s">
        <v>5717</v>
      </c>
      <c r="BW5070" s="67">
        <v>8912</v>
      </c>
      <c r="BX5070" s="67">
        <v>7426</v>
      </c>
      <c r="BY5070" s="67"/>
      <c r="BZ5070" s="67"/>
      <c r="CA5070" s="67"/>
      <c r="CB5070" s="70">
        <v>1281</v>
      </c>
      <c r="CC5070" s="70">
        <v>1041</v>
      </c>
      <c r="CD5070" s="70"/>
      <c r="CE5070" s="67"/>
      <c r="CF5070" s="67"/>
      <c r="CG5070" s="67" t="s">
        <v>2053</v>
      </c>
      <c r="CH5070" s="245"/>
      <c r="CI5070" s="245"/>
      <c r="CJ5070" s="67"/>
      <c r="CK5070" s="67"/>
      <c r="CL5070" s="67"/>
      <c r="CM5070" s="242">
        <f>2.52*0.58</f>
        <v>1.4616</v>
      </c>
      <c r="CN5070" s="242">
        <f>2.79*0.58</f>
        <v>1.6181999999999999</v>
      </c>
      <c r="CO5070" s="242"/>
      <c r="CP5070" s="242"/>
      <c r="CQ5070" s="242" t="s">
        <v>164</v>
      </c>
      <c r="CR5070" s="242"/>
      <c r="CS5070" s="242"/>
      <c r="CT5070" s="242"/>
      <c r="CU5070" s="242"/>
      <c r="CV5070" s="242"/>
      <c r="CW5070" s="242"/>
      <c r="CX5070" s="242"/>
      <c r="CY5070" s="242"/>
      <c r="CZ5070" s="242"/>
      <c r="DA5070" s="67"/>
      <c r="DB5070" s="67"/>
      <c r="DC5070" s="67"/>
      <c r="DD5070" s="67"/>
      <c r="DE5070" s="67"/>
      <c r="DF5070" s="67"/>
      <c r="DG5070" s="67">
        <v>23.8</v>
      </c>
      <c r="DH5070" s="67">
        <v>25.5</v>
      </c>
      <c r="DI5070" s="67"/>
      <c r="DJ5070" s="67"/>
      <c r="DK5070" s="67" t="s">
        <v>2879</v>
      </c>
      <c r="DL5070" s="67">
        <v>241</v>
      </c>
      <c r="DM5070" s="67">
        <v>361</v>
      </c>
      <c r="DN5070" s="67"/>
      <c r="DO5070" s="67"/>
      <c r="DP5070" s="67" t="s">
        <v>2879</v>
      </c>
      <c r="DQ5070" s="166"/>
      <c r="DR5070" s="166"/>
      <c r="DS5070" s="163"/>
      <c r="DT5070" s="163"/>
      <c r="DU5070" s="67"/>
      <c r="DV5070" s="67"/>
      <c r="DW5070" s="67"/>
      <c r="DX5070" s="67"/>
      <c r="DY5070" s="67"/>
      <c r="DZ5070" s="67"/>
      <c r="EA5070" s="67"/>
      <c r="EB5070" s="67"/>
      <c r="EC5070" s="67"/>
      <c r="ED5070" s="67"/>
      <c r="EE5070" s="67"/>
      <c r="EF5070" s="67"/>
      <c r="EG5070" s="67"/>
      <c r="EH5070" s="67"/>
      <c r="EI5070" s="67"/>
      <c r="EJ5070" s="67"/>
      <c r="EK5070" s="94"/>
      <c r="EL5070" s="94"/>
      <c r="EM5070" s="67"/>
      <c r="EN5070" s="67"/>
      <c r="EO5070" s="67"/>
      <c r="EP5070" s="67"/>
      <c r="EQ5070" s="67"/>
      <c r="ER5070" s="67"/>
      <c r="ES5070" s="67"/>
      <c r="ET5070" s="67"/>
      <c r="EU5070" s="67"/>
      <c r="EV5070" s="67"/>
      <c r="EW5070" s="67"/>
      <c r="EX5070" s="67"/>
      <c r="EY5070" s="67"/>
      <c r="EZ5070" s="67"/>
      <c r="FA5070" s="67"/>
      <c r="FB5070" s="67"/>
      <c r="FC5070" s="67"/>
      <c r="FD5070" s="67"/>
      <c r="FE5070" s="67"/>
      <c r="FF5070" s="67"/>
      <c r="FG5070" s="67"/>
      <c r="FH5070" s="67"/>
      <c r="FI5070" s="67"/>
      <c r="FJ5070" s="67"/>
      <c r="FK5070" s="67"/>
      <c r="FL5070" s="67"/>
      <c r="FM5070" s="67"/>
      <c r="FN5070" s="67"/>
      <c r="FO5070" s="67"/>
      <c r="FP5070" s="67"/>
      <c r="FQ5070" s="67"/>
      <c r="FR5070" s="67"/>
      <c r="FS5070" s="67"/>
      <c r="FT5070" s="67"/>
      <c r="FU5070" s="67"/>
      <c r="FV5070" s="67"/>
      <c r="FW5070" s="67"/>
      <c r="FX5070" s="67"/>
      <c r="FY5070" s="67"/>
      <c r="FZ5070" s="67"/>
      <c r="GA5070" s="67"/>
      <c r="GB5070" s="67"/>
      <c r="GC5070" s="67"/>
      <c r="GD5070" s="67"/>
      <c r="GE5070" s="67"/>
      <c r="GF5070" s="67"/>
      <c r="GG5070" s="67"/>
      <c r="GH5070" s="67"/>
      <c r="GI5070" s="67"/>
      <c r="GJ5070" s="67"/>
      <c r="GK5070" s="67"/>
      <c r="GL5070" s="67"/>
      <c r="GM5070" s="67"/>
      <c r="GN5070" s="292"/>
      <c r="GO5070" s="292"/>
      <c r="GP5070" s="292" t="s">
        <v>7494</v>
      </c>
      <c r="GQ5070" s="67"/>
      <c r="GR5070" s="67"/>
      <c r="GS5070" s="67"/>
      <c r="GT5070" s="67"/>
      <c r="GU5070" s="67"/>
      <c r="GV5070" s="67"/>
      <c r="GW5070" s="67"/>
      <c r="GX5070" s="67"/>
      <c r="GY5070" s="67"/>
      <c r="GZ5070" s="67"/>
      <c r="HA5070" s="67"/>
      <c r="HB5070" s="67"/>
      <c r="HC5070" s="67"/>
      <c r="HD5070" s="67"/>
      <c r="HE5070" s="67"/>
      <c r="HF5070" s="67"/>
      <c r="HG5070" s="67"/>
      <c r="HH5070" s="67"/>
      <c r="HI5070" s="67"/>
      <c r="HJ5070" s="67"/>
      <c r="HK5070" s="67"/>
      <c r="HL5070" s="67"/>
      <c r="HM5070" s="67"/>
      <c r="HN5070" s="67"/>
      <c r="HO5070" s="67"/>
      <c r="HP5070" s="67"/>
      <c r="HQ5070" s="67"/>
      <c r="HR5070" s="67"/>
      <c r="HS5070" s="67"/>
      <c r="HT5070" s="67"/>
      <c r="HU5070" s="67"/>
      <c r="HV5070" s="67"/>
      <c r="HW5070" s="67"/>
      <c r="HX5070" s="67"/>
      <c r="HY5070" s="67"/>
      <c r="HZ5070" s="67"/>
      <c r="IA5070" s="67"/>
      <c r="IB5070" s="67"/>
      <c r="IC5070" s="67"/>
      <c r="ID5070" s="67"/>
      <c r="IE5070" s="67"/>
      <c r="IF5070" s="67"/>
      <c r="IG5070" s="67"/>
      <c r="IH5070" s="67"/>
      <c r="II5070" s="67"/>
      <c r="IJ5070" s="67"/>
      <c r="IK5070" s="67"/>
      <c r="IL5070" s="67"/>
      <c r="IM5070" s="67"/>
      <c r="IN5070" s="67"/>
      <c r="IO5070" s="67"/>
      <c r="IP5070" s="67"/>
      <c r="IQ5070" s="67"/>
      <c r="IR5070" s="67"/>
      <c r="IS5070" s="67"/>
      <c r="IT5070" s="67"/>
      <c r="IU5070" s="67"/>
      <c r="IV5070" s="67"/>
      <c r="IW5070" s="67"/>
      <c r="IX5070" s="67"/>
      <c r="IY5070" s="67"/>
      <c r="IZ5070" s="67"/>
      <c r="JA5070" s="67"/>
      <c r="JB5070" s="67"/>
      <c r="JC5070" s="67"/>
      <c r="JD5070" s="67"/>
      <c r="JE5070" s="67"/>
      <c r="JF5070" s="67"/>
      <c r="JG5070" s="67"/>
      <c r="JH5070" s="67"/>
      <c r="JI5070" s="67"/>
      <c r="JJ5070" s="67"/>
      <c r="JK5070" s="67"/>
      <c r="JL5070" s="67"/>
      <c r="JM5070" s="67"/>
      <c r="JN5070" s="67"/>
      <c r="JO5070" s="67"/>
      <c r="JP5070" s="67"/>
      <c r="JQ5070" s="67"/>
      <c r="JR5070" s="67"/>
      <c r="JS5070" s="67"/>
      <c r="JT5070" s="67"/>
      <c r="JU5070" s="58"/>
      <c r="JV5070" s="58"/>
    </row>
    <row r="5071" spans="1:283" s="23" customFormat="1" x14ac:dyDescent="0.25">
      <c r="A5071" s="55">
        <v>5070</v>
      </c>
      <c r="B5071" s="12" t="s">
        <v>7067</v>
      </c>
      <c r="C5071" s="156">
        <v>260</v>
      </c>
      <c r="D5071" s="58" t="s">
        <v>5005</v>
      </c>
      <c r="E5071" s="160" t="str">
        <f>G5071</f>
        <v>Pardo et al. 2009_plot 1</v>
      </c>
      <c r="F5071" s="160"/>
      <c r="G5071" s="60" t="s">
        <v>4722</v>
      </c>
      <c r="H5071" s="58">
        <v>2009</v>
      </c>
      <c r="I5071" s="58" t="s">
        <v>5599</v>
      </c>
      <c r="J5071" s="243" t="s">
        <v>5321</v>
      </c>
      <c r="K5071" s="63" t="s">
        <v>5086</v>
      </c>
      <c r="L5071" s="58" t="s">
        <v>4516</v>
      </c>
      <c r="M5071" s="94">
        <f>42+17/60</f>
        <v>42.283333333333331</v>
      </c>
      <c r="N5071" s="94">
        <f>2+25/60</f>
        <v>2.4166666666666665</v>
      </c>
      <c r="O5071" s="94">
        <v>454</v>
      </c>
      <c r="P5071" s="58"/>
      <c r="Q5071" s="244">
        <v>14</v>
      </c>
      <c r="R5071" s="58"/>
      <c r="S5071" s="245">
        <v>516</v>
      </c>
      <c r="T5071" s="58"/>
      <c r="U5071" s="58" t="s">
        <v>1805</v>
      </c>
      <c r="V5071" s="244">
        <v>4</v>
      </c>
      <c r="W5071" s="250"/>
      <c r="X5071" s="250"/>
      <c r="Y5071" s="58" t="s">
        <v>5720</v>
      </c>
      <c r="Z5071" s="244" t="s">
        <v>5146</v>
      </c>
      <c r="AA5071" s="245">
        <v>90</v>
      </c>
      <c r="AB5071" s="67"/>
      <c r="AC5071" s="67"/>
      <c r="AD5071" s="94"/>
      <c r="AE5071" s="94">
        <f>AVERAGE(40,42.2,46.7)</f>
        <v>42.966666666666669</v>
      </c>
      <c r="AF5071" s="94">
        <f>AVERAGE(26.1,31.3,31.1)</f>
        <v>29.5</v>
      </c>
      <c r="AG5071" s="245">
        <f>AVERAGE(33.8,26.6,22.2)</f>
        <v>27.533333333333331</v>
      </c>
      <c r="AH5071" s="58" t="s">
        <v>645</v>
      </c>
      <c r="AI5071" s="169" t="s">
        <v>5716</v>
      </c>
      <c r="AJ5071" s="94">
        <f>(2.6+1.8+0.9)/3</f>
        <v>1.7666666666666668</v>
      </c>
      <c r="AK5071" s="94"/>
      <c r="AL5071" s="58"/>
      <c r="AM5071" s="58"/>
      <c r="AN5071" s="186" t="s">
        <v>5715</v>
      </c>
      <c r="AO5071" s="185" t="s">
        <v>5150</v>
      </c>
      <c r="AP5071" s="58"/>
      <c r="AQ5071" s="58" t="s">
        <v>4584</v>
      </c>
      <c r="AR5071" s="58" t="s">
        <v>592</v>
      </c>
      <c r="AS5071" s="246" t="s">
        <v>5133</v>
      </c>
      <c r="AT5071" s="247">
        <v>1</v>
      </c>
      <c r="AU5071" s="181" t="s">
        <v>7494</v>
      </c>
      <c r="AV5071" s="185" t="s">
        <v>176</v>
      </c>
      <c r="AW5071" s="244">
        <v>1</v>
      </c>
      <c r="AX5071" s="185" t="s">
        <v>176</v>
      </c>
      <c r="AY5071" s="244" t="s">
        <v>176</v>
      </c>
      <c r="AZ5071" s="58"/>
      <c r="BA5071" s="58"/>
      <c r="BB5071" s="58"/>
      <c r="BC5071" s="58"/>
      <c r="BD5071" s="58"/>
      <c r="BE5071" s="236" t="s">
        <v>5212</v>
      </c>
      <c r="BF5071" s="191" t="s">
        <v>479</v>
      </c>
      <c r="BG5071" s="191" t="s">
        <v>479</v>
      </c>
      <c r="BH5071" s="236" t="s">
        <v>5278</v>
      </c>
      <c r="BI5071" s="191" t="s">
        <v>479</v>
      </c>
      <c r="BJ5071" s="58" t="str">
        <f>IF(BE5071=BH5071,"No","yes")</f>
        <v>yes</v>
      </c>
      <c r="BK5071" s="58" t="s">
        <v>6335</v>
      </c>
      <c r="BL5071" s="58"/>
      <c r="BM5071" s="237"/>
      <c r="BN5071" s="244">
        <v>3</v>
      </c>
      <c r="BO5071" s="244">
        <v>3</v>
      </c>
      <c r="BP5071" s="58"/>
      <c r="BQ5071" s="58"/>
      <c r="BR5071" s="58"/>
      <c r="BS5071" s="58"/>
      <c r="BT5071" s="58"/>
      <c r="BU5071" s="58"/>
      <c r="BV5071" s="58" t="s">
        <v>5717</v>
      </c>
      <c r="BW5071" s="67">
        <v>8026</v>
      </c>
      <c r="BX5071" s="67">
        <v>7838</v>
      </c>
      <c r="BY5071" s="67"/>
      <c r="BZ5071" s="67"/>
      <c r="CA5071" s="67"/>
      <c r="CB5071" s="70">
        <v>2838</v>
      </c>
      <c r="CC5071" s="70">
        <v>2941</v>
      </c>
      <c r="CD5071" s="70"/>
      <c r="CE5071" s="67"/>
      <c r="CF5071" s="67"/>
      <c r="CG5071" s="67" t="s">
        <v>2053</v>
      </c>
      <c r="CH5071" s="245"/>
      <c r="CI5071" s="245"/>
      <c r="CJ5071" s="67"/>
      <c r="CK5071" s="67"/>
      <c r="CL5071" s="67"/>
      <c r="CM5071" s="242"/>
      <c r="CN5071" s="242"/>
      <c r="CO5071" s="242"/>
      <c r="CP5071" s="242"/>
      <c r="CQ5071" s="242"/>
      <c r="CR5071" s="242"/>
      <c r="CS5071" s="242"/>
      <c r="CT5071" s="242"/>
      <c r="CU5071" s="242"/>
      <c r="CV5071" s="242"/>
      <c r="CW5071" s="242"/>
      <c r="CX5071" s="242"/>
      <c r="CY5071" s="242"/>
      <c r="CZ5071" s="242"/>
      <c r="DA5071" s="67"/>
      <c r="DB5071" s="67"/>
      <c r="DC5071" s="67"/>
      <c r="DD5071" s="67"/>
      <c r="DE5071" s="67"/>
      <c r="DF5071" s="67"/>
      <c r="DG5071" s="67"/>
      <c r="DH5071" s="67"/>
      <c r="DI5071" s="67"/>
      <c r="DJ5071" s="67"/>
      <c r="DK5071" s="67"/>
      <c r="DL5071" s="67"/>
      <c r="DM5071" s="67"/>
      <c r="DN5071" s="67"/>
      <c r="DO5071" s="67"/>
      <c r="DP5071" s="67"/>
      <c r="DQ5071" s="166"/>
      <c r="DR5071" s="166"/>
      <c r="DS5071" s="163"/>
      <c r="DT5071" s="163"/>
      <c r="DU5071" s="67"/>
      <c r="DV5071" s="67"/>
      <c r="DW5071" s="67"/>
      <c r="DX5071" s="67"/>
      <c r="DY5071" s="67"/>
      <c r="DZ5071" s="67"/>
      <c r="EA5071" s="67"/>
      <c r="EB5071" s="67"/>
      <c r="EC5071" s="67"/>
      <c r="ED5071" s="67"/>
      <c r="EE5071" s="67"/>
      <c r="EF5071" s="67"/>
      <c r="EG5071" s="67"/>
      <c r="EH5071" s="67"/>
      <c r="EI5071" s="67"/>
      <c r="EJ5071" s="67"/>
      <c r="EK5071" s="94"/>
      <c r="EL5071" s="94"/>
      <c r="EM5071" s="67"/>
      <c r="EN5071" s="67"/>
      <c r="EO5071" s="67"/>
      <c r="EP5071" s="67"/>
      <c r="EQ5071" s="67"/>
      <c r="ER5071" s="67"/>
      <c r="ES5071" s="67"/>
      <c r="ET5071" s="67"/>
      <c r="EU5071" s="67"/>
      <c r="EV5071" s="67"/>
      <c r="EW5071" s="67"/>
      <c r="EX5071" s="67"/>
      <c r="EY5071" s="67"/>
      <c r="EZ5071" s="67"/>
      <c r="FA5071" s="67"/>
      <c r="FB5071" s="67"/>
      <c r="FC5071" s="67"/>
      <c r="FD5071" s="67"/>
      <c r="FE5071" s="67"/>
      <c r="FF5071" s="67"/>
      <c r="FG5071" s="67"/>
      <c r="FH5071" s="67"/>
      <c r="FI5071" s="67"/>
      <c r="FJ5071" s="67"/>
      <c r="FK5071" s="67"/>
      <c r="FL5071" s="67"/>
      <c r="FM5071" s="67"/>
      <c r="FN5071" s="67"/>
      <c r="FO5071" s="67"/>
      <c r="FP5071" s="67"/>
      <c r="FQ5071" s="67"/>
      <c r="FR5071" s="67"/>
      <c r="FS5071" s="67"/>
      <c r="FT5071" s="67"/>
      <c r="FU5071" s="67"/>
      <c r="FV5071" s="67"/>
      <c r="FW5071" s="67"/>
      <c r="FX5071" s="67"/>
      <c r="FY5071" s="67"/>
      <c r="FZ5071" s="67"/>
      <c r="GA5071" s="67"/>
      <c r="GB5071" s="67"/>
      <c r="GC5071" s="67"/>
      <c r="GD5071" s="67"/>
      <c r="GE5071" s="67"/>
      <c r="GF5071" s="67"/>
      <c r="GG5071" s="67"/>
      <c r="GH5071" s="67"/>
      <c r="GI5071" s="67"/>
      <c r="GJ5071" s="67"/>
      <c r="GK5071" s="67"/>
      <c r="GL5071" s="67"/>
      <c r="GM5071" s="67"/>
      <c r="GN5071" s="292"/>
      <c r="GO5071" s="292"/>
      <c r="GP5071" s="292" t="s">
        <v>7494</v>
      </c>
      <c r="GQ5071" s="67"/>
      <c r="GR5071" s="67"/>
      <c r="GS5071" s="67"/>
      <c r="GT5071" s="67"/>
      <c r="GU5071" s="67"/>
      <c r="GV5071" s="67"/>
      <c r="GW5071" s="67"/>
      <c r="GX5071" s="67"/>
      <c r="GY5071" s="67"/>
      <c r="GZ5071" s="67"/>
      <c r="HA5071" s="67"/>
      <c r="HB5071" s="67"/>
      <c r="HC5071" s="67"/>
      <c r="HD5071" s="67"/>
      <c r="HE5071" s="67"/>
      <c r="HF5071" s="67"/>
      <c r="HG5071" s="67"/>
      <c r="HH5071" s="67"/>
      <c r="HI5071" s="67"/>
      <c r="HJ5071" s="67"/>
      <c r="HK5071" s="67"/>
      <c r="HL5071" s="67"/>
      <c r="HM5071" s="67"/>
      <c r="HN5071" s="67"/>
      <c r="HO5071" s="67"/>
      <c r="HP5071" s="67"/>
      <c r="HQ5071" s="67"/>
      <c r="HR5071" s="67"/>
      <c r="HS5071" s="67"/>
      <c r="HT5071" s="67"/>
      <c r="HU5071" s="67"/>
      <c r="HV5071" s="67"/>
      <c r="HW5071" s="67"/>
      <c r="HX5071" s="67"/>
      <c r="HY5071" s="67"/>
      <c r="HZ5071" s="67"/>
      <c r="IA5071" s="67"/>
      <c r="IB5071" s="67"/>
      <c r="IC5071" s="67"/>
      <c r="ID5071" s="67"/>
      <c r="IE5071" s="67"/>
      <c r="IF5071" s="67"/>
      <c r="IG5071" s="67"/>
      <c r="IH5071" s="67"/>
      <c r="II5071" s="67"/>
      <c r="IJ5071" s="67"/>
      <c r="IK5071" s="67"/>
      <c r="IL5071" s="67"/>
      <c r="IM5071" s="67"/>
      <c r="IN5071" s="67"/>
      <c r="IO5071" s="67"/>
      <c r="IP5071" s="67"/>
      <c r="IQ5071" s="67"/>
      <c r="IR5071" s="67"/>
      <c r="IS5071" s="67"/>
      <c r="IT5071" s="67"/>
      <c r="IU5071" s="67"/>
      <c r="IV5071" s="67"/>
      <c r="IW5071" s="67"/>
      <c r="IX5071" s="67"/>
      <c r="IY5071" s="67"/>
      <c r="IZ5071" s="67"/>
      <c r="JA5071" s="67"/>
      <c r="JB5071" s="67"/>
      <c r="JC5071" s="67"/>
      <c r="JD5071" s="67"/>
      <c r="JE5071" s="67"/>
      <c r="JF5071" s="67"/>
      <c r="JG5071" s="67"/>
      <c r="JH5071" s="67"/>
      <c r="JI5071" s="67"/>
      <c r="JJ5071" s="67"/>
      <c r="JK5071" s="67"/>
      <c r="JL5071" s="67"/>
      <c r="JM5071" s="67"/>
      <c r="JN5071" s="67"/>
      <c r="JO5071" s="67"/>
      <c r="JP5071" s="67"/>
      <c r="JQ5071" s="67"/>
      <c r="JR5071" s="67"/>
      <c r="JS5071" s="67"/>
      <c r="JT5071" s="67"/>
      <c r="JU5071" s="58"/>
      <c r="JV5071" s="58"/>
    </row>
    <row r="5072" spans="1:283" s="23" customFormat="1" x14ac:dyDescent="0.25">
      <c r="A5072" s="55">
        <v>5071</v>
      </c>
      <c r="B5072" s="12" t="s">
        <v>7067</v>
      </c>
      <c r="C5072" s="156">
        <v>260</v>
      </c>
      <c r="D5072" s="58" t="s">
        <v>5005</v>
      </c>
      <c r="E5072" s="160" t="str">
        <f>G5072</f>
        <v>Pardo et al. 2009_plot 1</v>
      </c>
      <c r="F5072" s="160"/>
      <c r="G5072" s="60" t="s">
        <v>4722</v>
      </c>
      <c r="H5072" s="58">
        <v>2009</v>
      </c>
      <c r="I5072" s="58" t="s">
        <v>3291</v>
      </c>
      <c r="J5072" s="243" t="s">
        <v>5321</v>
      </c>
      <c r="K5072" s="63" t="s">
        <v>5086</v>
      </c>
      <c r="L5072" s="58" t="s">
        <v>4516</v>
      </c>
      <c r="M5072" s="94">
        <f>42+17/60</f>
        <v>42.283333333333331</v>
      </c>
      <c r="N5072" s="94">
        <f>2+25/60</f>
        <v>2.4166666666666665</v>
      </c>
      <c r="O5072" s="94">
        <v>454</v>
      </c>
      <c r="P5072" s="58"/>
      <c r="Q5072" s="244">
        <v>14</v>
      </c>
      <c r="R5072" s="58"/>
      <c r="S5072" s="245">
        <v>516</v>
      </c>
      <c r="T5072" s="58"/>
      <c r="U5072" s="58" t="s">
        <v>1688</v>
      </c>
      <c r="V5072" s="244">
        <v>4</v>
      </c>
      <c r="W5072" s="250"/>
      <c r="X5072" s="250"/>
      <c r="Y5072" s="58" t="s">
        <v>5720</v>
      </c>
      <c r="Z5072" s="244" t="s">
        <v>5146</v>
      </c>
      <c r="AA5072" s="245">
        <v>90</v>
      </c>
      <c r="AB5072" s="67"/>
      <c r="AC5072" s="67"/>
      <c r="AD5072" s="94"/>
      <c r="AE5072" s="94">
        <f>AVERAGE(40,42.2,46.7)</f>
        <v>42.966666666666669</v>
      </c>
      <c r="AF5072" s="94">
        <f>AVERAGE(26.1,31.3,31.1)</f>
        <v>29.5</v>
      </c>
      <c r="AG5072" s="245">
        <f>AVERAGE(33.8,26.6,22.2)</f>
        <v>27.533333333333331</v>
      </c>
      <c r="AH5072" s="58" t="s">
        <v>645</v>
      </c>
      <c r="AI5072" s="169" t="s">
        <v>5716</v>
      </c>
      <c r="AJ5072" s="94">
        <f>(2.6+1.8+0.9)/3</f>
        <v>1.7666666666666668</v>
      </c>
      <c r="AK5072" s="94"/>
      <c r="AL5072" s="58"/>
      <c r="AM5072" s="58"/>
      <c r="AN5072" s="186" t="s">
        <v>5715</v>
      </c>
      <c r="AO5072" s="185" t="s">
        <v>5150</v>
      </c>
      <c r="AP5072" s="58"/>
      <c r="AQ5072" s="58" t="s">
        <v>4584</v>
      </c>
      <c r="AR5072" s="58" t="s">
        <v>592</v>
      </c>
      <c r="AS5072" s="246" t="s">
        <v>5133</v>
      </c>
      <c r="AT5072" s="247">
        <v>1</v>
      </c>
      <c r="AU5072" s="181" t="s">
        <v>7494</v>
      </c>
      <c r="AV5072" s="185" t="s">
        <v>176</v>
      </c>
      <c r="AW5072" s="244">
        <v>1</v>
      </c>
      <c r="AX5072" s="185" t="s">
        <v>176</v>
      </c>
      <c r="AY5072" s="244" t="s">
        <v>176</v>
      </c>
      <c r="AZ5072" s="58"/>
      <c r="BA5072" s="58"/>
      <c r="BB5072" s="58"/>
      <c r="BC5072" s="58"/>
      <c r="BD5072" s="58"/>
      <c r="BE5072" s="236" t="s">
        <v>5212</v>
      </c>
      <c r="BF5072" s="191" t="s">
        <v>479</v>
      </c>
      <c r="BG5072" s="191" t="s">
        <v>479</v>
      </c>
      <c r="BH5072" s="236" t="s">
        <v>5278</v>
      </c>
      <c r="BI5072" s="191" t="s">
        <v>479</v>
      </c>
      <c r="BJ5072" s="58" t="str">
        <f>IF(BE5072=BH5072,"No","yes")</f>
        <v>yes</v>
      </c>
      <c r="BK5072" s="58" t="s">
        <v>6335</v>
      </c>
      <c r="BL5072" s="58"/>
      <c r="BM5072" s="237"/>
      <c r="BN5072" s="244">
        <v>3</v>
      </c>
      <c r="BO5072" s="244">
        <v>3</v>
      </c>
      <c r="BP5072" s="58"/>
      <c r="BQ5072" s="58"/>
      <c r="BR5072" s="58"/>
      <c r="BS5072" s="58"/>
      <c r="BT5072" s="58"/>
      <c r="BU5072" s="58"/>
      <c r="BV5072" s="58" t="s">
        <v>5717</v>
      </c>
      <c r="BW5072" s="67">
        <v>2567</v>
      </c>
      <c r="BX5072" s="67">
        <v>1807</v>
      </c>
      <c r="BY5072" s="67"/>
      <c r="BZ5072" s="67"/>
      <c r="CA5072" s="67"/>
      <c r="CB5072" s="70">
        <v>818</v>
      </c>
      <c r="CC5072" s="70">
        <v>704</v>
      </c>
      <c r="CD5072" s="70"/>
      <c r="CE5072" s="67"/>
      <c r="CF5072" s="67"/>
      <c r="CG5072" s="67" t="s">
        <v>2053</v>
      </c>
      <c r="CH5072" s="245"/>
      <c r="CI5072" s="245"/>
      <c r="CJ5072" s="67"/>
      <c r="CK5072" s="67"/>
      <c r="CL5072" s="67"/>
      <c r="CM5072" s="242"/>
      <c r="CN5072" s="242"/>
      <c r="CO5072" s="242"/>
      <c r="CP5072" s="242"/>
      <c r="CQ5072" s="242"/>
      <c r="CR5072" s="242"/>
      <c r="CS5072" s="242"/>
      <c r="CT5072" s="242"/>
      <c r="CU5072" s="242"/>
      <c r="CV5072" s="242"/>
      <c r="CW5072" s="242"/>
      <c r="CX5072" s="242"/>
      <c r="CY5072" s="242"/>
      <c r="CZ5072" s="242"/>
      <c r="DA5072" s="67"/>
      <c r="DB5072" s="67"/>
      <c r="DC5072" s="67"/>
      <c r="DD5072" s="67"/>
      <c r="DE5072" s="67"/>
      <c r="DF5072" s="67"/>
      <c r="DG5072" s="67"/>
      <c r="DH5072" s="67"/>
      <c r="DI5072" s="67"/>
      <c r="DJ5072" s="67"/>
      <c r="DK5072" s="67"/>
      <c r="DL5072" s="67"/>
      <c r="DM5072" s="67"/>
      <c r="DN5072" s="67"/>
      <c r="DO5072" s="67"/>
      <c r="DP5072" s="67"/>
      <c r="DQ5072" s="166"/>
      <c r="DR5072" s="166"/>
      <c r="DS5072" s="163"/>
      <c r="DT5072" s="163"/>
      <c r="DU5072" s="67"/>
      <c r="DV5072" s="67"/>
      <c r="DW5072" s="67"/>
      <c r="DX5072" s="67"/>
      <c r="DY5072" s="67"/>
      <c r="DZ5072" s="67"/>
      <c r="EA5072" s="67"/>
      <c r="EB5072" s="67"/>
      <c r="EC5072" s="67"/>
      <c r="ED5072" s="67"/>
      <c r="EE5072" s="67"/>
      <c r="EF5072" s="67"/>
      <c r="EG5072" s="67"/>
      <c r="EH5072" s="67"/>
      <c r="EI5072" s="67"/>
      <c r="EJ5072" s="67"/>
      <c r="EK5072" s="94"/>
      <c r="EL5072" s="94"/>
      <c r="EM5072" s="67"/>
      <c r="EN5072" s="67"/>
      <c r="EO5072" s="67"/>
      <c r="EP5072" s="67"/>
      <c r="EQ5072" s="67"/>
      <c r="ER5072" s="67"/>
      <c r="ES5072" s="67"/>
      <c r="ET5072" s="67"/>
      <c r="EU5072" s="67"/>
      <c r="EV5072" s="67"/>
      <c r="EW5072" s="67"/>
      <c r="EX5072" s="67"/>
      <c r="EY5072" s="67"/>
      <c r="EZ5072" s="67"/>
      <c r="FA5072" s="67"/>
      <c r="FB5072" s="67"/>
      <c r="FC5072" s="67"/>
      <c r="FD5072" s="67"/>
      <c r="FE5072" s="67"/>
      <c r="FF5072" s="67"/>
      <c r="FG5072" s="67"/>
      <c r="FH5072" s="67"/>
      <c r="FI5072" s="67"/>
      <c r="FJ5072" s="67"/>
      <c r="FK5072" s="67"/>
      <c r="FL5072" s="67"/>
      <c r="FM5072" s="67"/>
      <c r="FN5072" s="67"/>
      <c r="FO5072" s="67"/>
      <c r="FP5072" s="67"/>
      <c r="FQ5072" s="67"/>
      <c r="FR5072" s="67"/>
      <c r="FS5072" s="67"/>
      <c r="FT5072" s="67"/>
      <c r="FU5072" s="67"/>
      <c r="FV5072" s="67"/>
      <c r="FW5072" s="67"/>
      <c r="FX5072" s="67"/>
      <c r="FY5072" s="67"/>
      <c r="FZ5072" s="67"/>
      <c r="GA5072" s="67"/>
      <c r="GB5072" s="67"/>
      <c r="GC5072" s="67"/>
      <c r="GD5072" s="67"/>
      <c r="GE5072" s="67"/>
      <c r="GF5072" s="67"/>
      <c r="GG5072" s="67"/>
      <c r="GH5072" s="67"/>
      <c r="GI5072" s="67"/>
      <c r="GJ5072" s="67"/>
      <c r="GK5072" s="67"/>
      <c r="GL5072" s="67"/>
      <c r="GM5072" s="67"/>
      <c r="GN5072" s="292"/>
      <c r="GO5072" s="292"/>
      <c r="GP5072" s="292" t="s">
        <v>7494</v>
      </c>
      <c r="GQ5072" s="67"/>
      <c r="GR5072" s="67"/>
      <c r="GS5072" s="67"/>
      <c r="GT5072" s="67"/>
      <c r="GU5072" s="67"/>
      <c r="GV5072" s="67"/>
      <c r="GW5072" s="67"/>
      <c r="GX5072" s="67"/>
      <c r="GY5072" s="67"/>
      <c r="GZ5072" s="67"/>
      <c r="HA5072" s="67"/>
      <c r="HB5072" s="67"/>
      <c r="HC5072" s="67"/>
      <c r="HD5072" s="67"/>
      <c r="HE5072" s="67"/>
      <c r="HF5072" s="67"/>
      <c r="HG5072" s="67"/>
      <c r="HH5072" s="67"/>
      <c r="HI5072" s="67"/>
      <c r="HJ5072" s="67"/>
      <c r="HK5072" s="67"/>
      <c r="HL5072" s="67"/>
      <c r="HM5072" s="67"/>
      <c r="HN5072" s="67"/>
      <c r="HO5072" s="67"/>
      <c r="HP5072" s="67"/>
      <c r="HQ5072" s="67"/>
      <c r="HR5072" s="67"/>
      <c r="HS5072" s="67"/>
      <c r="HT5072" s="67"/>
      <c r="HU5072" s="67"/>
      <c r="HV5072" s="67"/>
      <c r="HW5072" s="67"/>
      <c r="HX5072" s="67"/>
      <c r="HY5072" s="67"/>
      <c r="HZ5072" s="67"/>
      <c r="IA5072" s="67"/>
      <c r="IB5072" s="67"/>
      <c r="IC5072" s="67"/>
      <c r="ID5072" s="67"/>
      <c r="IE5072" s="67"/>
      <c r="IF5072" s="67"/>
      <c r="IG5072" s="67"/>
      <c r="IH5072" s="67"/>
      <c r="II5072" s="67"/>
      <c r="IJ5072" s="67"/>
      <c r="IK5072" s="67"/>
      <c r="IL5072" s="67"/>
      <c r="IM5072" s="67"/>
      <c r="IN5072" s="67"/>
      <c r="IO5072" s="67"/>
      <c r="IP5072" s="67"/>
      <c r="IQ5072" s="67"/>
      <c r="IR5072" s="67"/>
      <c r="IS5072" s="67"/>
      <c r="IT5072" s="67"/>
      <c r="IU5072" s="67"/>
      <c r="IV5072" s="67"/>
      <c r="IW5072" s="67"/>
      <c r="IX5072" s="67"/>
      <c r="IY5072" s="67"/>
      <c r="IZ5072" s="67"/>
      <c r="JA5072" s="67"/>
      <c r="JB5072" s="67"/>
      <c r="JC5072" s="67"/>
      <c r="JD5072" s="67"/>
      <c r="JE5072" s="67"/>
      <c r="JF5072" s="67"/>
      <c r="JG5072" s="67"/>
      <c r="JH5072" s="67"/>
      <c r="JI5072" s="67"/>
      <c r="JJ5072" s="67"/>
      <c r="JK5072" s="67"/>
      <c r="JL5072" s="67"/>
      <c r="JM5072" s="67"/>
      <c r="JN5072" s="67"/>
      <c r="JO5072" s="67"/>
      <c r="JP5072" s="67"/>
      <c r="JQ5072" s="67"/>
      <c r="JR5072" s="67"/>
      <c r="JS5072" s="67"/>
      <c r="JT5072" s="67"/>
      <c r="JU5072" s="58"/>
      <c r="JV5072" s="58"/>
    </row>
    <row r="5073" spans="1:283" s="23" customFormat="1" x14ac:dyDescent="0.25">
      <c r="A5073" s="55">
        <v>5072</v>
      </c>
      <c r="B5073" s="12" t="s">
        <v>7067</v>
      </c>
      <c r="C5073" s="156">
        <v>260</v>
      </c>
      <c r="D5073" s="58" t="s">
        <v>5005</v>
      </c>
      <c r="E5073" s="160" t="str">
        <f>G5073</f>
        <v>Pardo et al. 2009_plot 1</v>
      </c>
      <c r="F5073" s="160"/>
      <c r="G5073" s="60" t="s">
        <v>4722</v>
      </c>
      <c r="H5073" s="58">
        <v>2009</v>
      </c>
      <c r="I5073" s="58" t="s">
        <v>5470</v>
      </c>
      <c r="J5073" s="243" t="s">
        <v>5321</v>
      </c>
      <c r="K5073" s="63" t="s">
        <v>5086</v>
      </c>
      <c r="L5073" s="58" t="s">
        <v>4516</v>
      </c>
      <c r="M5073" s="94">
        <f>42+17/60</f>
        <v>42.283333333333331</v>
      </c>
      <c r="N5073" s="94">
        <f>2+25/60</f>
        <v>2.4166666666666665</v>
      </c>
      <c r="O5073" s="94">
        <v>454</v>
      </c>
      <c r="P5073" s="58"/>
      <c r="Q5073" s="244">
        <v>14</v>
      </c>
      <c r="R5073" s="58"/>
      <c r="S5073" s="245">
        <v>516</v>
      </c>
      <c r="T5073" s="58"/>
      <c r="U5073" s="58" t="s">
        <v>1816</v>
      </c>
      <c r="V5073" s="244">
        <v>4</v>
      </c>
      <c r="W5073" s="250"/>
      <c r="X5073" s="250"/>
      <c r="Y5073" s="58" t="s">
        <v>5720</v>
      </c>
      <c r="Z5073" s="244" t="s">
        <v>5146</v>
      </c>
      <c r="AA5073" s="245">
        <v>90</v>
      </c>
      <c r="AB5073" s="67"/>
      <c r="AC5073" s="67"/>
      <c r="AD5073" s="94"/>
      <c r="AE5073" s="94">
        <f>AVERAGE(40,42.2,46.7)</f>
        <v>42.966666666666669</v>
      </c>
      <c r="AF5073" s="94">
        <f>AVERAGE(26.1,31.3,31.1)</f>
        <v>29.5</v>
      </c>
      <c r="AG5073" s="245">
        <f>AVERAGE(33.8,26.6,22.2)</f>
        <v>27.533333333333331</v>
      </c>
      <c r="AH5073" s="58" t="s">
        <v>645</v>
      </c>
      <c r="AI5073" s="169" t="s">
        <v>5716</v>
      </c>
      <c r="AJ5073" s="94">
        <f>(2.6+1.8+0.9)/3</f>
        <v>1.7666666666666668</v>
      </c>
      <c r="AK5073" s="94"/>
      <c r="AL5073" s="58"/>
      <c r="AM5073" s="58"/>
      <c r="AN5073" s="186" t="s">
        <v>5715</v>
      </c>
      <c r="AO5073" s="185" t="s">
        <v>5150</v>
      </c>
      <c r="AP5073" s="58"/>
      <c r="AQ5073" s="58" t="s">
        <v>4584</v>
      </c>
      <c r="AR5073" s="58" t="s">
        <v>592</v>
      </c>
      <c r="AS5073" s="246" t="s">
        <v>5133</v>
      </c>
      <c r="AT5073" s="247">
        <v>1</v>
      </c>
      <c r="AU5073" s="181" t="s">
        <v>7494</v>
      </c>
      <c r="AV5073" s="185" t="s">
        <v>176</v>
      </c>
      <c r="AW5073" s="244">
        <v>1</v>
      </c>
      <c r="AX5073" s="185" t="s">
        <v>176</v>
      </c>
      <c r="AY5073" s="244" t="s">
        <v>176</v>
      </c>
      <c r="AZ5073" s="58"/>
      <c r="BA5073" s="58"/>
      <c r="BB5073" s="58"/>
      <c r="BC5073" s="58"/>
      <c r="BD5073" s="58"/>
      <c r="BE5073" s="236" t="s">
        <v>5212</v>
      </c>
      <c r="BF5073" s="191" t="s">
        <v>479</v>
      </c>
      <c r="BG5073" s="191" t="s">
        <v>479</v>
      </c>
      <c r="BH5073" s="236" t="s">
        <v>5278</v>
      </c>
      <c r="BI5073" s="191" t="s">
        <v>479</v>
      </c>
      <c r="BJ5073" s="58" t="str">
        <f>IF(BE5073=BH5073,"No","yes")</f>
        <v>yes</v>
      </c>
      <c r="BK5073" s="58" t="s">
        <v>6335</v>
      </c>
      <c r="BL5073" s="58"/>
      <c r="BM5073" s="237"/>
      <c r="BN5073" s="244">
        <v>3</v>
      </c>
      <c r="BO5073" s="244">
        <v>3</v>
      </c>
      <c r="BP5073" s="58"/>
      <c r="BQ5073" s="58"/>
      <c r="BR5073" s="58"/>
      <c r="BS5073" s="58"/>
      <c r="BT5073" s="58"/>
      <c r="BU5073" s="58"/>
      <c r="BV5073" s="58" t="s">
        <v>5717</v>
      </c>
      <c r="BW5073" s="67">
        <v>2358</v>
      </c>
      <c r="BX5073" s="67">
        <v>2240</v>
      </c>
      <c r="BY5073" s="67"/>
      <c r="BZ5073" s="67"/>
      <c r="CA5073" s="67"/>
      <c r="CB5073" s="70">
        <v>1595</v>
      </c>
      <c r="CC5073" s="70">
        <v>1668</v>
      </c>
      <c r="CD5073" s="70"/>
      <c r="CE5073" s="67"/>
      <c r="CF5073" s="67"/>
      <c r="CG5073" s="67" t="s">
        <v>2053</v>
      </c>
      <c r="CH5073" s="245"/>
      <c r="CI5073" s="245"/>
      <c r="CJ5073" s="67"/>
      <c r="CK5073" s="67"/>
      <c r="CL5073" s="67"/>
      <c r="CM5073" s="242"/>
      <c r="CN5073" s="242"/>
      <c r="CO5073" s="242"/>
      <c r="CP5073" s="242"/>
      <c r="CQ5073" s="242"/>
      <c r="CR5073" s="242"/>
      <c r="CS5073" s="242"/>
      <c r="CT5073" s="242"/>
      <c r="CU5073" s="242"/>
      <c r="CV5073" s="242"/>
      <c r="CW5073" s="242"/>
      <c r="CX5073" s="242"/>
      <c r="CY5073" s="242"/>
      <c r="CZ5073" s="242"/>
      <c r="DA5073" s="67"/>
      <c r="DB5073" s="67"/>
      <c r="DC5073" s="67"/>
      <c r="DD5073" s="67"/>
      <c r="DE5073" s="67"/>
      <c r="DF5073" s="67"/>
      <c r="DG5073" s="67"/>
      <c r="DH5073" s="67"/>
      <c r="DI5073" s="67"/>
      <c r="DJ5073" s="67"/>
      <c r="DK5073" s="67"/>
      <c r="DL5073" s="67"/>
      <c r="DM5073" s="67"/>
      <c r="DN5073" s="67"/>
      <c r="DO5073" s="67"/>
      <c r="DP5073" s="67"/>
      <c r="DQ5073" s="166"/>
      <c r="DR5073" s="166"/>
      <c r="DS5073" s="163"/>
      <c r="DT5073" s="163"/>
      <c r="DU5073" s="67"/>
      <c r="DV5073" s="67"/>
      <c r="DW5073" s="67"/>
      <c r="DX5073" s="67"/>
      <c r="DY5073" s="67"/>
      <c r="DZ5073" s="67"/>
      <c r="EA5073" s="67"/>
      <c r="EB5073" s="67"/>
      <c r="EC5073" s="67"/>
      <c r="ED5073" s="67"/>
      <c r="EE5073" s="67"/>
      <c r="EF5073" s="67"/>
      <c r="EG5073" s="67"/>
      <c r="EH5073" s="67"/>
      <c r="EI5073" s="67"/>
      <c r="EJ5073" s="67"/>
      <c r="EK5073" s="94"/>
      <c r="EL5073" s="94"/>
      <c r="EM5073" s="67"/>
      <c r="EN5073" s="67"/>
      <c r="EO5073" s="67"/>
      <c r="EP5073" s="67"/>
      <c r="EQ5073" s="67"/>
      <c r="ER5073" s="67"/>
      <c r="ES5073" s="67"/>
      <c r="ET5073" s="67"/>
      <c r="EU5073" s="67"/>
      <c r="EV5073" s="67"/>
      <c r="EW5073" s="67"/>
      <c r="EX5073" s="67"/>
      <c r="EY5073" s="67"/>
      <c r="EZ5073" s="67"/>
      <c r="FA5073" s="67"/>
      <c r="FB5073" s="67"/>
      <c r="FC5073" s="67"/>
      <c r="FD5073" s="67"/>
      <c r="FE5073" s="67"/>
      <c r="FF5073" s="67"/>
      <c r="FG5073" s="67"/>
      <c r="FH5073" s="67"/>
      <c r="FI5073" s="67"/>
      <c r="FJ5073" s="67"/>
      <c r="FK5073" s="67"/>
      <c r="FL5073" s="67"/>
      <c r="FM5073" s="67"/>
      <c r="FN5073" s="67"/>
      <c r="FO5073" s="67"/>
      <c r="FP5073" s="67"/>
      <c r="FQ5073" s="67"/>
      <c r="FR5073" s="67"/>
      <c r="FS5073" s="67"/>
      <c r="FT5073" s="67"/>
      <c r="FU5073" s="67"/>
      <c r="FV5073" s="67"/>
      <c r="FW5073" s="67"/>
      <c r="FX5073" s="67"/>
      <c r="FY5073" s="67"/>
      <c r="FZ5073" s="67"/>
      <c r="GA5073" s="67"/>
      <c r="GB5073" s="67"/>
      <c r="GC5073" s="67"/>
      <c r="GD5073" s="67"/>
      <c r="GE5073" s="67"/>
      <c r="GF5073" s="67"/>
      <c r="GG5073" s="67"/>
      <c r="GH5073" s="67"/>
      <c r="GI5073" s="67"/>
      <c r="GJ5073" s="67"/>
      <c r="GK5073" s="67"/>
      <c r="GL5073" s="67"/>
      <c r="GM5073" s="67"/>
      <c r="GN5073" s="292"/>
      <c r="GO5073" s="292"/>
      <c r="GP5073" s="292" t="s">
        <v>7494</v>
      </c>
      <c r="GQ5073" s="67"/>
      <c r="GR5073" s="67"/>
      <c r="GS5073" s="67"/>
      <c r="GT5073" s="67"/>
      <c r="GU5073" s="67"/>
      <c r="GV5073" s="67"/>
      <c r="GW5073" s="67"/>
      <c r="GX5073" s="67"/>
      <c r="GY5073" s="67"/>
      <c r="GZ5073" s="67"/>
      <c r="HA5073" s="67"/>
      <c r="HB5073" s="67"/>
      <c r="HC5073" s="67"/>
      <c r="HD5073" s="67"/>
      <c r="HE5073" s="67"/>
      <c r="HF5073" s="67"/>
      <c r="HG5073" s="67"/>
      <c r="HH5073" s="67"/>
      <c r="HI5073" s="67"/>
      <c r="HJ5073" s="67"/>
      <c r="HK5073" s="67"/>
      <c r="HL5073" s="67"/>
      <c r="HM5073" s="67"/>
      <c r="HN5073" s="67"/>
      <c r="HO5073" s="67"/>
      <c r="HP5073" s="67"/>
      <c r="HQ5073" s="67"/>
      <c r="HR5073" s="67"/>
      <c r="HS5073" s="67"/>
      <c r="HT5073" s="67"/>
      <c r="HU5073" s="67"/>
      <c r="HV5073" s="67"/>
      <c r="HW5073" s="67"/>
      <c r="HX5073" s="67"/>
      <c r="HY5073" s="67"/>
      <c r="HZ5073" s="67"/>
      <c r="IA5073" s="67"/>
      <c r="IB5073" s="67"/>
      <c r="IC5073" s="67"/>
      <c r="ID5073" s="67"/>
      <c r="IE5073" s="67"/>
      <c r="IF5073" s="67"/>
      <c r="IG5073" s="67"/>
      <c r="IH5073" s="67"/>
      <c r="II5073" s="67"/>
      <c r="IJ5073" s="67"/>
      <c r="IK5073" s="67"/>
      <c r="IL5073" s="67"/>
      <c r="IM5073" s="67"/>
      <c r="IN5073" s="67"/>
      <c r="IO5073" s="67"/>
      <c r="IP5073" s="67"/>
      <c r="IQ5073" s="67"/>
      <c r="IR5073" s="67"/>
      <c r="IS5073" s="67"/>
      <c r="IT5073" s="67"/>
      <c r="IU5073" s="67"/>
      <c r="IV5073" s="67"/>
      <c r="IW5073" s="67"/>
      <c r="IX5073" s="67"/>
      <c r="IY5073" s="67"/>
      <c r="IZ5073" s="67"/>
      <c r="JA5073" s="67"/>
      <c r="JB5073" s="67"/>
      <c r="JC5073" s="67"/>
      <c r="JD5073" s="67"/>
      <c r="JE5073" s="67"/>
      <c r="JF5073" s="67"/>
      <c r="JG5073" s="67"/>
      <c r="JH5073" s="67"/>
      <c r="JI5073" s="67"/>
      <c r="JJ5073" s="67"/>
      <c r="JK5073" s="67"/>
      <c r="JL5073" s="67"/>
      <c r="JM5073" s="67"/>
      <c r="JN5073" s="67"/>
      <c r="JO5073" s="67"/>
      <c r="JP5073" s="67"/>
      <c r="JQ5073" s="67"/>
      <c r="JR5073" s="67"/>
      <c r="JS5073" s="67"/>
      <c r="JT5073" s="67"/>
      <c r="JU5073" s="58"/>
      <c r="JV5073" s="58"/>
    </row>
    <row r="5074" spans="1:283" s="23" customFormat="1" x14ac:dyDescent="0.25">
      <c r="A5074" s="55">
        <v>5073</v>
      </c>
      <c r="B5074" s="12" t="s">
        <v>7067</v>
      </c>
      <c r="C5074" s="156">
        <v>260</v>
      </c>
      <c r="D5074" s="58" t="s">
        <v>5006</v>
      </c>
      <c r="E5074" s="160" t="str">
        <f>G5074</f>
        <v>Pardo et al. 2009_plot 2</v>
      </c>
      <c r="F5074" s="160"/>
      <c r="G5074" s="60" t="s">
        <v>4721</v>
      </c>
      <c r="H5074" s="58">
        <v>2009</v>
      </c>
      <c r="I5074" s="58" t="s">
        <v>3291</v>
      </c>
      <c r="J5074" s="243" t="s">
        <v>5321</v>
      </c>
      <c r="K5074" s="63" t="s">
        <v>5086</v>
      </c>
      <c r="L5074" s="58" t="s">
        <v>4516</v>
      </c>
      <c r="M5074" s="94">
        <f>42+17/60</f>
        <v>42.283333333333331</v>
      </c>
      <c r="N5074" s="94">
        <f>2+25/60</f>
        <v>2.4166666666666665</v>
      </c>
      <c r="O5074" s="94">
        <v>455</v>
      </c>
      <c r="P5074" s="58"/>
      <c r="Q5074" s="244">
        <v>14</v>
      </c>
      <c r="R5074" s="58"/>
      <c r="S5074" s="245">
        <v>516</v>
      </c>
      <c r="T5074" s="58"/>
      <c r="U5074" s="58" t="s">
        <v>1805</v>
      </c>
      <c r="V5074" s="244">
        <v>4</v>
      </c>
      <c r="W5074" s="250"/>
      <c r="X5074" s="250"/>
      <c r="Y5074" s="58" t="s">
        <v>5720</v>
      </c>
      <c r="Z5074" s="244" t="s">
        <v>5146</v>
      </c>
      <c r="AA5074" s="245">
        <v>90</v>
      </c>
      <c r="AB5074" s="67"/>
      <c r="AC5074" s="67"/>
      <c r="AD5074" s="94"/>
      <c r="AE5074" s="94">
        <f>AVERAGE(39.4,42.3,49.2)</f>
        <v>43.633333333333326</v>
      </c>
      <c r="AF5074" s="94">
        <f>AVERAGE(27.4,30.1,30.9)+0.2</f>
        <v>29.666666666666668</v>
      </c>
      <c r="AG5074" s="245">
        <f>AVERAGE(33,27.1,20)</f>
        <v>26.7</v>
      </c>
      <c r="AH5074" s="58" t="s">
        <v>645</v>
      </c>
      <c r="AI5074" s="169" t="s">
        <v>1940</v>
      </c>
      <c r="AJ5074" s="94">
        <f>(2.7+1.8+0.9)/3</f>
        <v>1.8</v>
      </c>
      <c r="AK5074" s="94"/>
      <c r="AL5074" s="58"/>
      <c r="AM5074" s="58"/>
      <c r="AN5074" s="186" t="s">
        <v>5715</v>
      </c>
      <c r="AO5074" s="185" t="s">
        <v>5150</v>
      </c>
      <c r="AP5074" s="58"/>
      <c r="AQ5074" s="58" t="s">
        <v>4584</v>
      </c>
      <c r="AR5074" s="58" t="s">
        <v>592</v>
      </c>
      <c r="AS5074" s="246" t="s">
        <v>5133</v>
      </c>
      <c r="AT5074" s="247">
        <v>1</v>
      </c>
      <c r="AU5074" s="181" t="s">
        <v>7494</v>
      </c>
      <c r="AV5074" s="185" t="s">
        <v>176</v>
      </c>
      <c r="AW5074" s="244">
        <v>1</v>
      </c>
      <c r="AX5074" s="185" t="s">
        <v>176</v>
      </c>
      <c r="AY5074" s="244" t="s">
        <v>176</v>
      </c>
      <c r="AZ5074" s="58"/>
      <c r="BA5074" s="58"/>
      <c r="BB5074" s="58"/>
      <c r="BC5074" s="58"/>
      <c r="BD5074" s="58"/>
      <c r="BE5074" s="236" t="s">
        <v>5212</v>
      </c>
      <c r="BF5074" s="191" t="s">
        <v>479</v>
      </c>
      <c r="BG5074" s="191" t="s">
        <v>479</v>
      </c>
      <c r="BH5074" s="236" t="s">
        <v>5278</v>
      </c>
      <c r="BI5074" s="191" t="s">
        <v>479</v>
      </c>
      <c r="BJ5074" s="58" t="str">
        <f>IF(BE5074=BH5074,"No","yes")</f>
        <v>yes</v>
      </c>
      <c r="BK5074" s="58" t="s">
        <v>6335</v>
      </c>
      <c r="BL5074" s="58"/>
      <c r="BM5074" s="237"/>
      <c r="BN5074" s="244">
        <v>3</v>
      </c>
      <c r="BO5074" s="244">
        <v>3</v>
      </c>
      <c r="BP5074" s="58"/>
      <c r="BQ5074" s="58"/>
      <c r="BR5074" s="58"/>
      <c r="BS5074" s="58"/>
      <c r="BT5074" s="58"/>
      <c r="BU5074" s="58"/>
      <c r="BV5074" s="58" t="s">
        <v>5718</v>
      </c>
      <c r="BW5074" s="67"/>
      <c r="BX5074" s="67"/>
      <c r="BY5074" s="67"/>
      <c r="BZ5074" s="67"/>
      <c r="CA5074" s="67"/>
      <c r="CB5074" s="70"/>
      <c r="CC5074" s="70"/>
      <c r="CD5074" s="70"/>
      <c r="CE5074" s="67"/>
      <c r="CF5074" s="67"/>
      <c r="CG5074" s="67"/>
      <c r="CH5074" s="245"/>
      <c r="CI5074" s="245"/>
      <c r="CJ5074" s="67"/>
      <c r="CK5074" s="67"/>
      <c r="CL5074" s="67"/>
      <c r="CM5074" s="242">
        <f>2.44*0.58</f>
        <v>1.4151999999999998</v>
      </c>
      <c r="CN5074" s="242">
        <f>2.48*0.58</f>
        <v>1.4383999999999999</v>
      </c>
      <c r="CO5074" s="242"/>
      <c r="CP5074" s="242"/>
      <c r="CQ5074" s="242" t="s">
        <v>164</v>
      </c>
      <c r="CR5074" s="242"/>
      <c r="CS5074" s="242"/>
      <c r="CT5074" s="242"/>
      <c r="CU5074" s="242"/>
      <c r="CV5074" s="242"/>
      <c r="CW5074" s="242"/>
      <c r="CX5074" s="242"/>
      <c r="CY5074" s="242"/>
      <c r="CZ5074" s="242"/>
      <c r="DA5074" s="67"/>
      <c r="DB5074" s="67"/>
      <c r="DC5074" s="67"/>
      <c r="DD5074" s="67"/>
      <c r="DE5074" s="67"/>
      <c r="DF5074" s="67"/>
      <c r="DG5074" s="67">
        <v>20.8</v>
      </c>
      <c r="DH5074" s="67">
        <v>22.5</v>
      </c>
      <c r="DI5074" s="67"/>
      <c r="DJ5074" s="67"/>
      <c r="DK5074" s="67" t="s">
        <v>2879</v>
      </c>
      <c r="DL5074" s="67">
        <v>265</v>
      </c>
      <c r="DM5074" s="67">
        <v>267</v>
      </c>
      <c r="DN5074" s="67"/>
      <c r="DO5074" s="67"/>
      <c r="DP5074" s="67" t="s">
        <v>2879</v>
      </c>
      <c r="DQ5074" s="166"/>
      <c r="DR5074" s="166"/>
      <c r="DS5074" s="163"/>
      <c r="DT5074" s="163"/>
      <c r="DU5074" s="67"/>
      <c r="DV5074" s="67"/>
      <c r="DW5074" s="67"/>
      <c r="DX5074" s="67"/>
      <c r="DY5074" s="67"/>
      <c r="DZ5074" s="67"/>
      <c r="EA5074" s="67"/>
      <c r="EB5074" s="67"/>
      <c r="EC5074" s="67"/>
      <c r="ED5074" s="67"/>
      <c r="EE5074" s="67"/>
      <c r="EF5074" s="67"/>
      <c r="EG5074" s="67"/>
      <c r="EH5074" s="67"/>
      <c r="EI5074" s="67"/>
      <c r="EJ5074" s="67"/>
      <c r="EK5074" s="94"/>
      <c r="EL5074" s="94"/>
      <c r="EM5074" s="67"/>
      <c r="EN5074" s="67"/>
      <c r="EO5074" s="67"/>
      <c r="EP5074" s="67"/>
      <c r="EQ5074" s="67"/>
      <c r="ER5074" s="67"/>
      <c r="ES5074" s="67"/>
      <c r="ET5074" s="67"/>
      <c r="EU5074" s="67"/>
      <c r="EV5074" s="67"/>
      <c r="EW5074" s="67"/>
      <c r="EX5074" s="67"/>
      <c r="EY5074" s="67"/>
      <c r="EZ5074" s="67"/>
      <c r="FA5074" s="67"/>
      <c r="FB5074" s="67"/>
      <c r="FC5074" s="67"/>
      <c r="FD5074" s="67"/>
      <c r="FE5074" s="67"/>
      <c r="FF5074" s="67"/>
      <c r="FG5074" s="67"/>
      <c r="FH5074" s="67"/>
      <c r="FI5074" s="67"/>
      <c r="FJ5074" s="67"/>
      <c r="FK5074" s="67"/>
      <c r="FL5074" s="67"/>
      <c r="FM5074" s="67"/>
      <c r="FN5074" s="67"/>
      <c r="FO5074" s="67"/>
      <c r="FP5074" s="67"/>
      <c r="FQ5074" s="67"/>
      <c r="FR5074" s="67"/>
      <c r="FS5074" s="67"/>
      <c r="FT5074" s="67"/>
      <c r="FU5074" s="67"/>
      <c r="FV5074" s="67"/>
      <c r="FW5074" s="67"/>
      <c r="FX5074" s="67"/>
      <c r="FY5074" s="67"/>
      <c r="FZ5074" s="67"/>
      <c r="GA5074" s="67"/>
      <c r="GB5074" s="67"/>
      <c r="GC5074" s="67"/>
      <c r="GD5074" s="67"/>
      <c r="GE5074" s="67"/>
      <c r="GF5074" s="67"/>
      <c r="GG5074" s="67"/>
      <c r="GH5074" s="67"/>
      <c r="GI5074" s="67"/>
      <c r="GJ5074" s="67"/>
      <c r="GK5074" s="67"/>
      <c r="GL5074" s="67"/>
      <c r="GM5074" s="67"/>
      <c r="GN5074" s="292"/>
      <c r="GO5074" s="292"/>
      <c r="GP5074" s="292" t="s">
        <v>7494</v>
      </c>
      <c r="GQ5074" s="67"/>
      <c r="GR5074" s="67"/>
      <c r="GS5074" s="67"/>
      <c r="GT5074" s="67"/>
      <c r="GU5074" s="67"/>
      <c r="GV5074" s="67"/>
      <c r="GW5074" s="67"/>
      <c r="GX5074" s="67"/>
      <c r="GY5074" s="67"/>
      <c r="GZ5074" s="67"/>
      <c r="HA5074" s="67"/>
      <c r="HB5074" s="67"/>
      <c r="HC5074" s="67"/>
      <c r="HD5074" s="67"/>
      <c r="HE5074" s="67"/>
      <c r="HF5074" s="67"/>
      <c r="HG5074" s="67"/>
      <c r="HH5074" s="67"/>
      <c r="HI5074" s="67"/>
      <c r="HJ5074" s="67"/>
      <c r="HK5074" s="67"/>
      <c r="HL5074" s="67"/>
      <c r="HM5074" s="67"/>
      <c r="HN5074" s="67"/>
      <c r="HO5074" s="67"/>
      <c r="HP5074" s="67"/>
      <c r="HQ5074" s="67"/>
      <c r="HR5074" s="67"/>
      <c r="HS5074" s="67"/>
      <c r="HT5074" s="67"/>
      <c r="HU5074" s="67"/>
      <c r="HV5074" s="67"/>
      <c r="HW5074" s="67"/>
      <c r="HX5074" s="67"/>
      <c r="HY5074" s="67"/>
      <c r="HZ5074" s="67"/>
      <c r="IA5074" s="67"/>
      <c r="IB5074" s="67"/>
      <c r="IC5074" s="67"/>
      <c r="ID5074" s="67"/>
      <c r="IE5074" s="67"/>
      <c r="IF5074" s="67"/>
      <c r="IG5074" s="67"/>
      <c r="IH5074" s="67"/>
      <c r="II5074" s="67"/>
      <c r="IJ5074" s="67"/>
      <c r="IK5074" s="67"/>
      <c r="IL5074" s="67"/>
      <c r="IM5074" s="67"/>
      <c r="IN5074" s="67"/>
      <c r="IO5074" s="67"/>
      <c r="IP5074" s="67"/>
      <c r="IQ5074" s="67"/>
      <c r="IR5074" s="67"/>
      <c r="IS5074" s="67"/>
      <c r="IT5074" s="67"/>
      <c r="IU5074" s="67"/>
      <c r="IV5074" s="67"/>
      <c r="IW5074" s="67"/>
      <c r="IX5074" s="67"/>
      <c r="IY5074" s="67"/>
      <c r="IZ5074" s="67"/>
      <c r="JA5074" s="67"/>
      <c r="JB5074" s="67"/>
      <c r="JC5074" s="67"/>
      <c r="JD5074" s="67"/>
      <c r="JE5074" s="67"/>
      <c r="JF5074" s="67"/>
      <c r="JG5074" s="67"/>
      <c r="JH5074" s="67"/>
      <c r="JI5074" s="67"/>
      <c r="JJ5074" s="67"/>
      <c r="JK5074" s="67"/>
      <c r="JL5074" s="67"/>
      <c r="JM5074" s="67"/>
      <c r="JN5074" s="67"/>
      <c r="JO5074" s="67"/>
      <c r="JP5074" s="67"/>
      <c r="JQ5074" s="67"/>
      <c r="JR5074" s="67"/>
      <c r="JS5074" s="67"/>
      <c r="JT5074" s="67"/>
      <c r="JU5074" s="58"/>
      <c r="JV5074" s="58"/>
    </row>
    <row r="5075" spans="1:283" s="23" customFormat="1" x14ac:dyDescent="0.25">
      <c r="A5075" s="55">
        <v>5074</v>
      </c>
      <c r="B5075" s="12" t="s">
        <v>7067</v>
      </c>
      <c r="C5075" s="156">
        <v>261</v>
      </c>
      <c r="D5075" s="58" t="s">
        <v>5007</v>
      </c>
      <c r="E5075" s="160" t="str">
        <f>G5075</f>
        <v>Petersen et al 1997_pair 1</v>
      </c>
      <c r="F5075" s="160"/>
      <c r="G5075" s="60" t="s">
        <v>4720</v>
      </c>
      <c r="H5075" s="58">
        <v>1997</v>
      </c>
      <c r="I5075" s="58" t="s">
        <v>5746</v>
      </c>
      <c r="J5075" s="243" t="s">
        <v>1397</v>
      </c>
      <c r="K5075" s="63" t="s">
        <v>5085</v>
      </c>
      <c r="L5075" s="63" t="s">
        <v>2743</v>
      </c>
      <c r="M5075" s="94">
        <v>56.51</v>
      </c>
      <c r="N5075" s="94">
        <v>9.61</v>
      </c>
      <c r="O5075" s="94"/>
      <c r="P5075" s="58"/>
      <c r="Q5075" s="244"/>
      <c r="R5075" s="58"/>
      <c r="S5075" s="245"/>
      <c r="T5075" s="58"/>
      <c r="U5075" s="58" t="s">
        <v>1940</v>
      </c>
      <c r="V5075" s="244">
        <v>15</v>
      </c>
      <c r="W5075" s="174"/>
      <c r="X5075" s="174"/>
      <c r="Y5075" s="58" t="s">
        <v>5745</v>
      </c>
      <c r="Z5075" s="244" t="s">
        <v>5147</v>
      </c>
      <c r="AA5075" s="245">
        <v>7</v>
      </c>
      <c r="AB5075" s="67"/>
      <c r="AC5075" s="67"/>
      <c r="AD5075" s="94"/>
      <c r="AE5075" s="94"/>
      <c r="AF5075" s="94"/>
      <c r="AG5075" s="245">
        <v>17.899999999999999</v>
      </c>
      <c r="AH5075" s="58" t="s">
        <v>238</v>
      </c>
      <c r="AI5075" s="169" t="s">
        <v>5722</v>
      </c>
      <c r="AJ5075" s="94">
        <v>1.28</v>
      </c>
      <c r="AK5075" s="94"/>
      <c r="AL5075" s="58"/>
      <c r="AM5075" s="58" t="s">
        <v>5721</v>
      </c>
      <c r="AN5075" s="186"/>
      <c r="AO5075" s="185" t="s">
        <v>7494</v>
      </c>
      <c r="AP5075" s="58"/>
      <c r="AQ5075" s="58"/>
      <c r="AR5075" s="58"/>
      <c r="AS5075" s="246" t="s">
        <v>5133</v>
      </c>
      <c r="AT5075" s="247">
        <v>0</v>
      </c>
      <c r="AU5075" s="181" t="s">
        <v>7494</v>
      </c>
      <c r="AV5075" s="185" t="s">
        <v>176</v>
      </c>
      <c r="AW5075" s="244">
        <v>1</v>
      </c>
      <c r="AX5075" s="185" t="s">
        <v>176</v>
      </c>
      <c r="AY5075" s="244" t="s">
        <v>5150</v>
      </c>
      <c r="AZ5075" s="58" t="s">
        <v>5725</v>
      </c>
      <c r="BA5075" s="58" t="s">
        <v>2261</v>
      </c>
      <c r="BB5075" s="58" t="s">
        <v>2081</v>
      </c>
      <c r="BC5075" s="58" t="s">
        <v>2081</v>
      </c>
      <c r="BD5075" s="58" t="s">
        <v>176</v>
      </c>
      <c r="BE5075" s="236" t="s">
        <v>5195</v>
      </c>
      <c r="BF5075" s="191"/>
      <c r="BG5075" s="191" t="s">
        <v>479</v>
      </c>
      <c r="BH5075" s="236" t="s">
        <v>5153</v>
      </c>
      <c r="BI5075" s="191" t="s">
        <v>176</v>
      </c>
      <c r="BJ5075" s="58" t="str">
        <f>IF(BE5075=BH5075,"No","yes")</f>
        <v>yes</v>
      </c>
      <c r="BK5075" s="58" t="s">
        <v>6335</v>
      </c>
      <c r="BL5075" s="58"/>
      <c r="BM5075" s="237"/>
      <c r="BN5075" s="244">
        <v>3</v>
      </c>
      <c r="BO5075" s="244">
        <v>3</v>
      </c>
      <c r="BP5075" s="58"/>
      <c r="BQ5075" s="58"/>
      <c r="BR5075" s="58"/>
      <c r="BS5075" s="58"/>
      <c r="BT5075" s="58"/>
      <c r="BU5075" s="58"/>
      <c r="BV5075" s="58" t="s">
        <v>5727</v>
      </c>
      <c r="BW5075" s="67"/>
      <c r="BX5075" s="67"/>
      <c r="BY5075" s="67"/>
      <c r="BZ5075" s="67"/>
      <c r="CA5075" s="67"/>
      <c r="CB5075" s="70"/>
      <c r="CC5075" s="70"/>
      <c r="CD5075" s="70"/>
      <c r="CE5075" s="67"/>
      <c r="CF5075" s="67"/>
      <c r="CG5075" s="67"/>
      <c r="CH5075" s="245"/>
      <c r="CI5075" s="245"/>
      <c r="CJ5075" s="67"/>
      <c r="CK5075" s="67"/>
      <c r="CL5075" s="67"/>
      <c r="CM5075" s="242">
        <v>1.28</v>
      </c>
      <c r="CN5075" s="242">
        <v>2.04</v>
      </c>
      <c r="CO5075" s="242"/>
      <c r="CP5075" s="242"/>
      <c r="CQ5075" s="242" t="s">
        <v>164</v>
      </c>
      <c r="CR5075" s="242"/>
      <c r="CS5075" s="242"/>
      <c r="CT5075" s="242"/>
      <c r="CU5075" s="242"/>
      <c r="CV5075" s="242"/>
      <c r="CW5075" s="242"/>
      <c r="CX5075" s="242"/>
      <c r="CY5075" s="242"/>
      <c r="CZ5075" s="242"/>
      <c r="DA5075" s="67"/>
      <c r="DB5075" s="67"/>
      <c r="DC5075" s="67"/>
      <c r="DD5075" s="67"/>
      <c r="DE5075" s="67"/>
      <c r="DF5075" s="67"/>
      <c r="DG5075" s="67"/>
      <c r="DH5075" s="67"/>
      <c r="DI5075" s="67"/>
      <c r="DJ5075" s="67"/>
      <c r="DK5075" s="67"/>
      <c r="DL5075" s="67"/>
      <c r="DM5075" s="67"/>
      <c r="DN5075" s="67"/>
      <c r="DO5075" s="67"/>
      <c r="DP5075" s="67"/>
      <c r="DQ5075" s="166"/>
      <c r="DR5075" s="166"/>
      <c r="DS5075" s="163"/>
      <c r="DT5075" s="163"/>
      <c r="DU5075" s="67"/>
      <c r="DV5075" s="67"/>
      <c r="DW5075" s="67"/>
      <c r="DX5075" s="67"/>
      <c r="DY5075" s="67"/>
      <c r="DZ5075" s="67"/>
      <c r="EA5075" s="67"/>
      <c r="EB5075" s="67"/>
      <c r="EC5075" s="67"/>
      <c r="ED5075" s="67"/>
      <c r="EE5075" s="67"/>
      <c r="EF5075" s="67"/>
      <c r="EG5075" s="67"/>
      <c r="EH5075" s="67"/>
      <c r="EI5075" s="67"/>
      <c r="EJ5075" s="67"/>
      <c r="EK5075" s="94">
        <f>47.7+10.4+7+6.2</f>
        <v>71.3</v>
      </c>
      <c r="EL5075" s="94">
        <f>55.6+6.7+3.9+4.3</f>
        <v>70.5</v>
      </c>
      <c r="EM5075" s="67"/>
      <c r="EN5075" s="67"/>
      <c r="EO5075" s="67" t="s">
        <v>5729</v>
      </c>
      <c r="EP5075" s="67"/>
      <c r="EQ5075" s="67"/>
      <c r="ER5075" s="67"/>
      <c r="ES5075" s="67"/>
      <c r="ET5075" s="67"/>
      <c r="EU5075" s="67"/>
      <c r="EV5075" s="67"/>
      <c r="EW5075" s="67"/>
      <c r="EX5075" s="67"/>
      <c r="EY5075" s="67"/>
      <c r="EZ5075" s="67"/>
      <c r="FA5075" s="67"/>
      <c r="FB5075" s="67"/>
      <c r="FC5075" s="67"/>
      <c r="FD5075" s="67"/>
      <c r="FE5075" s="67"/>
      <c r="FF5075" s="67"/>
      <c r="FG5075" s="67"/>
      <c r="FH5075" s="67"/>
      <c r="FI5075" s="67"/>
      <c r="FJ5075" s="67"/>
      <c r="FK5075" s="67"/>
      <c r="FL5075" s="67"/>
      <c r="FM5075" s="67"/>
      <c r="FN5075" s="67"/>
      <c r="FO5075" s="67"/>
      <c r="FP5075" s="67"/>
      <c r="FQ5075" s="67"/>
      <c r="FR5075" s="67"/>
      <c r="FS5075" s="67"/>
      <c r="FT5075" s="67"/>
      <c r="FU5075" s="67"/>
      <c r="FV5075" s="67"/>
      <c r="FW5075" s="67"/>
      <c r="FX5075" s="67"/>
      <c r="FY5075" s="67"/>
      <c r="FZ5075" s="67"/>
      <c r="GA5075" s="67"/>
      <c r="GB5075" s="67"/>
      <c r="GC5075" s="67"/>
      <c r="GD5075" s="67"/>
      <c r="GE5075" s="67"/>
      <c r="GF5075" s="67"/>
      <c r="GG5075" s="67"/>
      <c r="GH5075" s="67"/>
      <c r="GI5075" s="67"/>
      <c r="GJ5075" s="67"/>
      <c r="GK5075" s="67"/>
      <c r="GL5075" s="67"/>
      <c r="GM5075" s="67"/>
      <c r="GN5075" s="292"/>
      <c r="GO5075" s="292"/>
      <c r="GP5075" s="292" t="s">
        <v>7494</v>
      </c>
      <c r="GQ5075" s="67"/>
      <c r="GR5075" s="67"/>
      <c r="GS5075" s="67"/>
      <c r="GT5075" s="67"/>
      <c r="GU5075" s="67"/>
      <c r="GV5075" s="67"/>
      <c r="GW5075" s="67"/>
      <c r="GX5075" s="67"/>
      <c r="GY5075" s="67"/>
      <c r="GZ5075" s="67"/>
      <c r="HA5075" s="67"/>
      <c r="HB5075" s="67"/>
      <c r="HC5075" s="67"/>
      <c r="HD5075" s="67"/>
      <c r="HE5075" s="67"/>
      <c r="HF5075" s="67"/>
      <c r="HG5075" s="67"/>
      <c r="HH5075" s="67"/>
      <c r="HI5075" s="67"/>
      <c r="HJ5075" s="67"/>
      <c r="HK5075" s="67"/>
      <c r="HL5075" s="67"/>
      <c r="HM5075" s="67"/>
      <c r="HN5075" s="67">
        <v>7</v>
      </c>
      <c r="HO5075" s="67">
        <v>7.2</v>
      </c>
      <c r="HP5075" s="67"/>
      <c r="HQ5075" s="67"/>
      <c r="HR5075" s="67" t="s">
        <v>5738</v>
      </c>
      <c r="HS5075" s="67"/>
      <c r="HT5075" s="67"/>
      <c r="HU5075" s="67"/>
      <c r="HV5075" s="67"/>
      <c r="HW5075" s="67"/>
      <c r="HX5075" s="67"/>
      <c r="HY5075" s="67"/>
      <c r="HZ5075" s="67"/>
      <c r="IA5075" s="67"/>
      <c r="IB5075" s="67"/>
      <c r="IC5075" s="67"/>
      <c r="ID5075" s="67"/>
      <c r="IE5075" s="67"/>
      <c r="IF5075" s="67"/>
      <c r="IG5075" s="67"/>
      <c r="IH5075" s="67"/>
      <c r="II5075" s="67"/>
      <c r="IJ5075" s="67"/>
      <c r="IK5075" s="67"/>
      <c r="IL5075" s="67"/>
      <c r="IM5075" s="67"/>
      <c r="IN5075" s="67"/>
      <c r="IO5075" s="67"/>
      <c r="IP5075" s="67"/>
      <c r="IQ5075" s="67"/>
      <c r="IR5075" s="67">
        <f>8.3+9.7+11.3+22.3</f>
        <v>51.6</v>
      </c>
      <c r="IS5075" s="67">
        <f>12.7+13.5+16.4+18.9</f>
        <v>61.499999999999993</v>
      </c>
      <c r="IT5075" s="67">
        <f>2.2+1.2+1+8</f>
        <v>12.4</v>
      </c>
      <c r="IU5075" s="67">
        <f>0.6+0.5+3.4+1.5</f>
        <v>6</v>
      </c>
      <c r="IV5075" s="67" t="s">
        <v>5726</v>
      </c>
      <c r="IW5075" s="67"/>
      <c r="IX5075" s="67"/>
      <c r="IY5075" s="67"/>
      <c r="IZ5075" s="67"/>
      <c r="JA5075" s="67"/>
      <c r="JB5075" s="67"/>
      <c r="JC5075" s="67"/>
      <c r="JD5075" s="67"/>
      <c r="JE5075" s="67"/>
      <c r="JF5075" s="67"/>
      <c r="JG5075" s="67">
        <v>27.5</v>
      </c>
      <c r="JH5075" s="67">
        <v>27.7</v>
      </c>
      <c r="JI5075" s="67">
        <v>6.3</v>
      </c>
      <c r="JJ5075" s="67">
        <v>2</v>
      </c>
      <c r="JK5075" s="67" t="s">
        <v>360</v>
      </c>
      <c r="JL5075" s="67"/>
      <c r="JM5075" s="67"/>
      <c r="JN5075" s="67"/>
      <c r="JO5075" s="67"/>
      <c r="JP5075" s="67"/>
      <c r="JQ5075" s="67"/>
      <c r="JR5075" s="67"/>
      <c r="JS5075" s="67"/>
      <c r="JT5075" s="67">
        <v>99999</v>
      </c>
      <c r="JU5075" s="58"/>
      <c r="JV5075" s="58"/>
      <c r="JW5075" s="58"/>
    </row>
    <row r="5076" spans="1:283" s="23" customFormat="1" x14ac:dyDescent="0.25">
      <c r="A5076" s="55">
        <v>5075</v>
      </c>
      <c r="B5076" s="12" t="s">
        <v>7067</v>
      </c>
      <c r="C5076" s="156">
        <v>261</v>
      </c>
      <c r="D5076" s="58" t="s">
        <v>5008</v>
      </c>
      <c r="E5076" s="160" t="str">
        <f>G5076</f>
        <v>Petersen et al 1997_pair 2</v>
      </c>
      <c r="F5076" s="160"/>
      <c r="G5076" s="60" t="s">
        <v>4719</v>
      </c>
      <c r="H5076" s="58">
        <v>1997</v>
      </c>
      <c r="I5076" s="58" t="s">
        <v>5746</v>
      </c>
      <c r="J5076" s="243" t="s">
        <v>1397</v>
      </c>
      <c r="K5076" s="63" t="s">
        <v>5085</v>
      </c>
      <c r="L5076" s="63" t="s">
        <v>2743</v>
      </c>
      <c r="M5076" s="94">
        <v>56.51</v>
      </c>
      <c r="N5076" s="94">
        <v>9.61</v>
      </c>
      <c r="O5076" s="94"/>
      <c r="P5076" s="58"/>
      <c r="Q5076" s="244"/>
      <c r="R5076" s="58"/>
      <c r="S5076" s="245"/>
      <c r="T5076" s="58"/>
      <c r="U5076" s="58" t="s">
        <v>1940</v>
      </c>
      <c r="V5076" s="244">
        <v>15</v>
      </c>
      <c r="W5076" s="174"/>
      <c r="X5076" s="174"/>
      <c r="Y5076" s="58" t="s">
        <v>5745</v>
      </c>
      <c r="Z5076" s="244" t="s">
        <v>5147</v>
      </c>
      <c r="AA5076" s="245">
        <v>7</v>
      </c>
      <c r="AB5076" s="67"/>
      <c r="AC5076" s="67"/>
      <c r="AD5076" s="94"/>
      <c r="AE5076" s="94"/>
      <c r="AF5076" s="94"/>
      <c r="AG5076" s="245">
        <v>17.899999999999999</v>
      </c>
      <c r="AH5076" s="58" t="s">
        <v>238</v>
      </c>
      <c r="AI5076" s="169" t="s">
        <v>5722</v>
      </c>
      <c r="AJ5076" s="94">
        <v>1.28</v>
      </c>
      <c r="AK5076" s="94"/>
      <c r="AL5076" s="58"/>
      <c r="AM5076" s="58" t="s">
        <v>5721</v>
      </c>
      <c r="AN5076" s="186"/>
      <c r="AO5076" s="185" t="s">
        <v>7494</v>
      </c>
      <c r="AP5076" s="58"/>
      <c r="AQ5076" s="58"/>
      <c r="AR5076" s="58"/>
      <c r="AS5076" s="246" t="s">
        <v>5133</v>
      </c>
      <c r="AT5076" s="247">
        <v>0</v>
      </c>
      <c r="AU5076" s="181" t="s">
        <v>7494</v>
      </c>
      <c r="AV5076" s="185" t="s">
        <v>176</v>
      </c>
      <c r="AW5076" s="244">
        <v>1</v>
      </c>
      <c r="AX5076" s="185" t="s">
        <v>176</v>
      </c>
      <c r="AY5076" s="244" t="s">
        <v>5150</v>
      </c>
      <c r="AZ5076" s="58" t="s">
        <v>5725</v>
      </c>
      <c r="BA5076" s="58" t="s">
        <v>5725</v>
      </c>
      <c r="BB5076" s="58" t="s">
        <v>2081</v>
      </c>
      <c r="BC5076" s="58" t="s">
        <v>2081</v>
      </c>
      <c r="BD5076" s="58" t="s">
        <v>176</v>
      </c>
      <c r="BE5076" s="236" t="s">
        <v>5195</v>
      </c>
      <c r="BF5076" s="191"/>
      <c r="BG5076" s="191" t="s">
        <v>479</v>
      </c>
      <c r="BH5076" s="236" t="s">
        <v>5153</v>
      </c>
      <c r="BI5076" s="191" t="s">
        <v>176</v>
      </c>
      <c r="BJ5076" s="58" t="str">
        <f>IF(BE5076=BH5076,"No","yes")</f>
        <v>yes</v>
      </c>
      <c r="BK5076" s="58" t="s">
        <v>6335</v>
      </c>
      <c r="BL5076" s="58"/>
      <c r="BM5076" s="237"/>
      <c r="BN5076" s="244">
        <v>3</v>
      </c>
      <c r="BO5076" s="244">
        <v>3</v>
      </c>
      <c r="BP5076" s="58"/>
      <c r="BQ5076" s="58"/>
      <c r="BR5076" s="58"/>
      <c r="BS5076" s="58"/>
      <c r="BT5076" s="58"/>
      <c r="BU5076" s="58"/>
      <c r="BV5076" s="58" t="s">
        <v>5727</v>
      </c>
      <c r="BW5076" s="67"/>
      <c r="BX5076" s="67"/>
      <c r="BY5076" s="67"/>
      <c r="BZ5076" s="67"/>
      <c r="CA5076" s="67"/>
      <c r="CB5076" s="70"/>
      <c r="CC5076" s="70"/>
      <c r="CD5076" s="70"/>
      <c r="CE5076" s="67"/>
      <c r="CF5076" s="67"/>
      <c r="CG5076" s="67"/>
      <c r="CH5076" s="245"/>
      <c r="CI5076" s="245"/>
      <c r="CJ5076" s="67"/>
      <c r="CK5076" s="67"/>
      <c r="CL5076" s="67"/>
      <c r="CM5076" s="242">
        <v>1.28</v>
      </c>
      <c r="CN5076" s="242">
        <v>2.04</v>
      </c>
      <c r="CO5076" s="242"/>
      <c r="CP5076" s="242"/>
      <c r="CQ5076" s="242" t="s">
        <v>164</v>
      </c>
      <c r="CR5076" s="242"/>
      <c r="CS5076" s="242"/>
      <c r="CT5076" s="242"/>
      <c r="CU5076" s="242"/>
      <c r="CV5076" s="242"/>
      <c r="CW5076" s="242"/>
      <c r="CX5076" s="242"/>
      <c r="CY5076" s="242"/>
      <c r="CZ5076" s="242"/>
      <c r="DA5076" s="67"/>
      <c r="DB5076" s="67"/>
      <c r="DC5076" s="67"/>
      <c r="DD5076" s="67"/>
      <c r="DE5076" s="67"/>
      <c r="DF5076" s="67"/>
      <c r="DG5076" s="67"/>
      <c r="DH5076" s="67"/>
      <c r="DI5076" s="67"/>
      <c r="DJ5076" s="67"/>
      <c r="DK5076" s="67"/>
      <c r="DL5076" s="67"/>
      <c r="DM5076" s="67"/>
      <c r="DN5076" s="67"/>
      <c r="DO5076" s="67"/>
      <c r="DP5076" s="67"/>
      <c r="DQ5076" s="166"/>
      <c r="DR5076" s="166"/>
      <c r="DS5076" s="163"/>
      <c r="DT5076" s="163"/>
      <c r="DU5076" s="67"/>
      <c r="DV5076" s="67"/>
      <c r="DW5076" s="67"/>
      <c r="DX5076" s="67"/>
      <c r="DY5076" s="67"/>
      <c r="DZ5076" s="67"/>
      <c r="EA5076" s="67"/>
      <c r="EB5076" s="67"/>
      <c r="EC5076" s="67"/>
      <c r="ED5076" s="67"/>
      <c r="EE5076" s="67"/>
      <c r="EF5076" s="67"/>
      <c r="EG5076" s="67"/>
      <c r="EH5076" s="67"/>
      <c r="EI5076" s="67"/>
      <c r="EJ5076" s="67"/>
      <c r="EK5076" s="94">
        <f>47.7+10.4+7+6.2</f>
        <v>71.3</v>
      </c>
      <c r="EL5076" s="94">
        <f>42.2+9.8+5.8+6.3</f>
        <v>64.099999999999994</v>
      </c>
      <c r="EM5076" s="67"/>
      <c r="EN5076" s="67"/>
      <c r="EO5076" s="67" t="s">
        <v>5729</v>
      </c>
      <c r="EP5076" s="67"/>
      <c r="EQ5076" s="67"/>
      <c r="ER5076" s="67"/>
      <c r="ES5076" s="67"/>
      <c r="ET5076" s="67"/>
      <c r="EU5076" s="67"/>
      <c r="EV5076" s="67"/>
      <c r="EW5076" s="67"/>
      <c r="EX5076" s="67"/>
      <c r="EY5076" s="67"/>
      <c r="EZ5076" s="67"/>
      <c r="FA5076" s="67"/>
      <c r="FB5076" s="67"/>
      <c r="FC5076" s="67"/>
      <c r="FD5076" s="67"/>
      <c r="FE5076" s="67"/>
      <c r="FF5076" s="67"/>
      <c r="FG5076" s="67"/>
      <c r="FH5076" s="67"/>
      <c r="FI5076" s="67"/>
      <c r="FJ5076" s="67"/>
      <c r="FK5076" s="67"/>
      <c r="FL5076" s="67"/>
      <c r="FM5076" s="67"/>
      <c r="FN5076" s="67"/>
      <c r="FO5076" s="67"/>
      <c r="FP5076" s="67"/>
      <c r="FQ5076" s="67"/>
      <c r="FR5076" s="67"/>
      <c r="FS5076" s="67"/>
      <c r="FT5076" s="67"/>
      <c r="FU5076" s="67"/>
      <c r="FV5076" s="67"/>
      <c r="FW5076" s="67"/>
      <c r="FX5076" s="67"/>
      <c r="FY5076" s="67"/>
      <c r="FZ5076" s="67"/>
      <c r="GA5076" s="67"/>
      <c r="GB5076" s="67"/>
      <c r="GC5076" s="67"/>
      <c r="GD5076" s="67"/>
      <c r="GE5076" s="67"/>
      <c r="GF5076" s="67"/>
      <c r="GG5076" s="67"/>
      <c r="GH5076" s="67"/>
      <c r="GI5076" s="67"/>
      <c r="GJ5076" s="67"/>
      <c r="GK5076" s="67"/>
      <c r="GL5076" s="67"/>
      <c r="GM5076" s="67"/>
      <c r="GN5076" s="292"/>
      <c r="GO5076" s="292"/>
      <c r="GP5076" s="292" t="s">
        <v>7494</v>
      </c>
      <c r="GQ5076" s="67"/>
      <c r="GR5076" s="67"/>
      <c r="GS5076" s="67"/>
      <c r="GT5076" s="67"/>
      <c r="GU5076" s="67"/>
      <c r="GV5076" s="67"/>
      <c r="GW5076" s="67"/>
      <c r="GX5076" s="67"/>
      <c r="GY5076" s="67"/>
      <c r="GZ5076" s="67"/>
      <c r="HA5076" s="67"/>
      <c r="HB5076" s="67"/>
      <c r="HC5076" s="67"/>
      <c r="HD5076" s="67"/>
      <c r="HE5076" s="67"/>
      <c r="HF5076" s="67"/>
      <c r="HG5076" s="67"/>
      <c r="HH5076" s="67"/>
      <c r="HI5076" s="67"/>
      <c r="HJ5076" s="67"/>
      <c r="HK5076" s="67"/>
      <c r="HL5076" s="67"/>
      <c r="HM5076" s="67"/>
      <c r="HN5076" s="67">
        <v>7</v>
      </c>
      <c r="HO5076" s="67">
        <v>6.05</v>
      </c>
      <c r="HP5076" s="67"/>
      <c r="HQ5076" s="67"/>
      <c r="HR5076" s="67" t="s">
        <v>5738</v>
      </c>
      <c r="HS5076" s="67"/>
      <c r="HT5076" s="67"/>
      <c r="HU5076" s="67"/>
      <c r="HV5076" s="67"/>
      <c r="HW5076" s="67"/>
      <c r="HX5076" s="67"/>
      <c r="HY5076" s="67"/>
      <c r="HZ5076" s="67"/>
      <c r="IA5076" s="67"/>
      <c r="IB5076" s="67"/>
      <c r="IC5076" s="67"/>
      <c r="ID5076" s="67"/>
      <c r="IE5076" s="67"/>
      <c r="IF5076" s="67"/>
      <c r="IG5076" s="67"/>
      <c r="IH5076" s="67"/>
      <c r="II5076" s="67"/>
      <c r="IJ5076" s="67"/>
      <c r="IK5076" s="67"/>
      <c r="IL5076" s="67"/>
      <c r="IM5076" s="67"/>
      <c r="IN5076" s="67"/>
      <c r="IO5076" s="67"/>
      <c r="IP5076" s="67"/>
      <c r="IQ5076" s="67"/>
      <c r="IR5076" s="67">
        <f>8.3+9.7+11.3+22.3</f>
        <v>51.6</v>
      </c>
      <c r="IS5076" s="67">
        <f>13.7+14.2+15.8+11.9</f>
        <v>55.6</v>
      </c>
      <c r="IT5076" s="67">
        <f>2.2+1.2+1+8</f>
        <v>12.4</v>
      </c>
      <c r="IU5076" s="67">
        <f>1.4+1.2+2.9+4.5</f>
        <v>10</v>
      </c>
      <c r="IV5076" s="67" t="s">
        <v>5726</v>
      </c>
      <c r="IW5076" s="67"/>
      <c r="IX5076" s="67"/>
      <c r="IY5076" s="67"/>
      <c r="IZ5076" s="67"/>
      <c r="JA5076" s="67"/>
      <c r="JB5076" s="67"/>
      <c r="JC5076" s="67"/>
      <c r="JD5076" s="67"/>
      <c r="JE5076" s="67"/>
      <c r="JF5076" s="67"/>
      <c r="JG5076" s="67">
        <v>27.5</v>
      </c>
      <c r="JH5076" s="67">
        <v>25.8</v>
      </c>
      <c r="JI5076" s="67">
        <v>6.3</v>
      </c>
      <c r="JJ5076" s="67">
        <v>0.2</v>
      </c>
      <c r="JK5076" s="67" t="s">
        <v>360</v>
      </c>
      <c r="JL5076" s="67"/>
      <c r="JM5076" s="67"/>
      <c r="JN5076" s="67"/>
      <c r="JO5076" s="67"/>
      <c r="JP5076" s="67"/>
      <c r="JQ5076" s="67"/>
      <c r="JR5076" s="67"/>
      <c r="JS5076" s="67"/>
      <c r="JT5076" s="67">
        <v>99999</v>
      </c>
      <c r="JU5076" s="58"/>
      <c r="JV5076" s="58"/>
      <c r="JW5076" s="58"/>
    </row>
    <row r="5077" spans="1:283" s="23" customFormat="1" x14ac:dyDescent="0.25">
      <c r="A5077" s="55">
        <v>5076</v>
      </c>
      <c r="B5077" s="12" t="s">
        <v>7067</v>
      </c>
      <c r="C5077" s="156">
        <v>261</v>
      </c>
      <c r="D5077" s="58" t="s">
        <v>5009</v>
      </c>
      <c r="E5077" s="160" t="str">
        <f>G5077</f>
        <v>Petersen et al 1997_pair 3</v>
      </c>
      <c r="F5077" s="160"/>
      <c r="G5077" s="60" t="s">
        <v>4718</v>
      </c>
      <c r="H5077" s="58">
        <v>1997</v>
      </c>
      <c r="I5077" s="58" t="s">
        <v>5746</v>
      </c>
      <c r="J5077" s="243" t="s">
        <v>1397</v>
      </c>
      <c r="K5077" s="63" t="s">
        <v>5085</v>
      </c>
      <c r="L5077" s="63" t="s">
        <v>2743</v>
      </c>
      <c r="M5077" s="94">
        <v>56.51</v>
      </c>
      <c r="N5077" s="94">
        <v>9.61</v>
      </c>
      <c r="O5077" s="94"/>
      <c r="P5077" s="58"/>
      <c r="Q5077" s="244"/>
      <c r="R5077" s="58"/>
      <c r="S5077" s="245"/>
      <c r="T5077" s="58"/>
      <c r="U5077" s="58" t="s">
        <v>1940</v>
      </c>
      <c r="V5077" s="244">
        <v>15</v>
      </c>
      <c r="W5077" s="174"/>
      <c r="X5077" s="174"/>
      <c r="Y5077" s="58" t="s">
        <v>5745</v>
      </c>
      <c r="Z5077" s="244" t="s">
        <v>5147</v>
      </c>
      <c r="AA5077" s="245">
        <v>7</v>
      </c>
      <c r="AB5077" s="67"/>
      <c r="AC5077" s="67"/>
      <c r="AD5077" s="94"/>
      <c r="AE5077" s="94"/>
      <c r="AF5077" s="94"/>
      <c r="AG5077" s="245">
        <v>17.899999999999999</v>
      </c>
      <c r="AH5077" s="58" t="s">
        <v>238</v>
      </c>
      <c r="AI5077" s="169" t="s">
        <v>5722</v>
      </c>
      <c r="AJ5077" s="94">
        <v>1.28</v>
      </c>
      <c r="AK5077" s="94"/>
      <c r="AL5077" s="58"/>
      <c r="AM5077" s="58" t="s">
        <v>5721</v>
      </c>
      <c r="AN5077" s="186"/>
      <c r="AO5077" s="185" t="s">
        <v>7494</v>
      </c>
      <c r="AP5077" s="58"/>
      <c r="AQ5077" s="58"/>
      <c r="AR5077" s="58"/>
      <c r="AS5077" s="246" t="s">
        <v>5133</v>
      </c>
      <c r="AT5077" s="247">
        <v>0</v>
      </c>
      <c r="AU5077" s="181" t="s">
        <v>7494</v>
      </c>
      <c r="AV5077" s="185" t="s">
        <v>176</v>
      </c>
      <c r="AW5077" s="244">
        <v>1</v>
      </c>
      <c r="AX5077" s="185" t="s">
        <v>176</v>
      </c>
      <c r="AY5077" s="244" t="s">
        <v>5150</v>
      </c>
      <c r="AZ5077" s="58" t="s">
        <v>5725</v>
      </c>
      <c r="BA5077" s="58" t="s">
        <v>5725</v>
      </c>
      <c r="BB5077" s="58" t="s">
        <v>2081</v>
      </c>
      <c r="BC5077" s="58" t="s">
        <v>2081</v>
      </c>
      <c r="BD5077" s="58" t="s">
        <v>176</v>
      </c>
      <c r="BE5077" s="236" t="s">
        <v>5195</v>
      </c>
      <c r="BF5077" s="191"/>
      <c r="BG5077" s="191" t="s">
        <v>479</v>
      </c>
      <c r="BH5077" s="236" t="s">
        <v>5153</v>
      </c>
      <c r="BI5077" s="191" t="s">
        <v>176</v>
      </c>
      <c r="BJ5077" s="58" t="str">
        <f>IF(BE5077=BH5077,"No","yes")</f>
        <v>yes</v>
      </c>
      <c r="BK5077" s="58" t="s">
        <v>6335</v>
      </c>
      <c r="BL5077" s="58"/>
      <c r="BM5077" s="237"/>
      <c r="BN5077" s="244">
        <v>3</v>
      </c>
      <c r="BO5077" s="244">
        <v>3</v>
      </c>
      <c r="BP5077" s="58"/>
      <c r="BQ5077" s="58"/>
      <c r="BR5077" s="58"/>
      <c r="BS5077" s="58"/>
      <c r="BT5077" s="58"/>
      <c r="BU5077" s="58"/>
      <c r="BV5077" s="58" t="s">
        <v>5727</v>
      </c>
      <c r="BW5077" s="67"/>
      <c r="BX5077" s="67"/>
      <c r="BY5077" s="67"/>
      <c r="BZ5077" s="67"/>
      <c r="CA5077" s="67"/>
      <c r="CB5077" s="70"/>
      <c r="CC5077" s="70"/>
      <c r="CD5077" s="70"/>
      <c r="CE5077" s="67"/>
      <c r="CF5077" s="67"/>
      <c r="CG5077" s="67"/>
      <c r="CH5077" s="245"/>
      <c r="CI5077" s="245"/>
      <c r="CJ5077" s="67"/>
      <c r="CK5077" s="67"/>
      <c r="CL5077" s="67"/>
      <c r="CM5077" s="242">
        <v>1.28</v>
      </c>
      <c r="CN5077" s="242">
        <v>1.7</v>
      </c>
      <c r="CO5077" s="242"/>
      <c r="CP5077" s="242"/>
      <c r="CQ5077" s="242" t="s">
        <v>164</v>
      </c>
      <c r="CR5077" s="242"/>
      <c r="CS5077" s="242"/>
      <c r="CT5077" s="242"/>
      <c r="CU5077" s="242"/>
      <c r="CV5077" s="242"/>
      <c r="CW5077" s="242"/>
      <c r="CX5077" s="242"/>
      <c r="CY5077" s="242"/>
      <c r="CZ5077" s="242"/>
      <c r="DA5077" s="67"/>
      <c r="DB5077" s="67"/>
      <c r="DC5077" s="67"/>
      <c r="DD5077" s="67"/>
      <c r="DE5077" s="67"/>
      <c r="DF5077" s="67"/>
      <c r="DG5077" s="67"/>
      <c r="DH5077" s="67"/>
      <c r="DI5077" s="67"/>
      <c r="DJ5077" s="67"/>
      <c r="DK5077" s="67"/>
      <c r="DL5077" s="67"/>
      <c r="DM5077" s="67"/>
      <c r="DN5077" s="67"/>
      <c r="DO5077" s="67"/>
      <c r="DP5077" s="67"/>
      <c r="DQ5077" s="166"/>
      <c r="DR5077" s="166"/>
      <c r="DS5077" s="163"/>
      <c r="DT5077" s="163"/>
      <c r="DU5077" s="67"/>
      <c r="DV5077" s="67"/>
      <c r="DW5077" s="67"/>
      <c r="DX5077" s="67"/>
      <c r="DY5077" s="67"/>
      <c r="DZ5077" s="67"/>
      <c r="EA5077" s="67"/>
      <c r="EB5077" s="67"/>
      <c r="EC5077" s="67"/>
      <c r="ED5077" s="67"/>
      <c r="EE5077" s="67"/>
      <c r="EF5077" s="67"/>
      <c r="EG5077" s="67"/>
      <c r="EH5077" s="67"/>
      <c r="EI5077" s="67"/>
      <c r="EJ5077" s="67"/>
      <c r="EK5077" s="94">
        <f>47.7+10.4+7+6.2</f>
        <v>71.3</v>
      </c>
      <c r="EL5077" s="94">
        <f>42.6+9.1+6.6+6.6</f>
        <v>64.900000000000006</v>
      </c>
      <c r="EM5077" s="67"/>
      <c r="EN5077" s="67"/>
      <c r="EO5077" s="67" t="s">
        <v>5729</v>
      </c>
      <c r="EP5077" s="67"/>
      <c r="EQ5077" s="67"/>
      <c r="ER5077" s="67"/>
      <c r="ES5077" s="67"/>
      <c r="ET5077" s="67"/>
      <c r="EU5077" s="67"/>
      <c r="EV5077" s="67"/>
      <c r="EW5077" s="67"/>
      <c r="EX5077" s="67"/>
      <c r="EY5077" s="67"/>
      <c r="EZ5077" s="67"/>
      <c r="FA5077" s="67"/>
      <c r="FB5077" s="67"/>
      <c r="FC5077" s="67"/>
      <c r="FD5077" s="67"/>
      <c r="FE5077" s="67"/>
      <c r="FF5077" s="67"/>
      <c r="FG5077" s="67"/>
      <c r="FH5077" s="67"/>
      <c r="FI5077" s="67"/>
      <c r="FJ5077" s="67"/>
      <c r="FK5077" s="67"/>
      <c r="FL5077" s="67"/>
      <c r="FM5077" s="67"/>
      <c r="FN5077" s="67"/>
      <c r="FO5077" s="67"/>
      <c r="FP5077" s="67"/>
      <c r="FQ5077" s="67"/>
      <c r="FR5077" s="67"/>
      <c r="FS5077" s="67"/>
      <c r="FT5077" s="67"/>
      <c r="FU5077" s="67"/>
      <c r="FV5077" s="67"/>
      <c r="FW5077" s="67"/>
      <c r="FX5077" s="67"/>
      <c r="FY5077" s="67"/>
      <c r="FZ5077" s="67"/>
      <c r="GA5077" s="67"/>
      <c r="GB5077" s="67"/>
      <c r="GC5077" s="67"/>
      <c r="GD5077" s="67"/>
      <c r="GE5077" s="67"/>
      <c r="GF5077" s="67"/>
      <c r="GG5077" s="67"/>
      <c r="GH5077" s="67"/>
      <c r="GI5077" s="67"/>
      <c r="GJ5077" s="67"/>
      <c r="GK5077" s="67"/>
      <c r="GL5077" s="67"/>
      <c r="GM5077" s="67"/>
      <c r="GN5077" s="292"/>
      <c r="GO5077" s="292"/>
      <c r="GP5077" s="292" t="s">
        <v>7494</v>
      </c>
      <c r="GQ5077" s="67"/>
      <c r="GR5077" s="67"/>
      <c r="GS5077" s="67"/>
      <c r="GT5077" s="67"/>
      <c r="GU5077" s="67"/>
      <c r="GV5077" s="67"/>
      <c r="GW5077" s="67"/>
      <c r="GX5077" s="67"/>
      <c r="GY5077" s="67"/>
      <c r="GZ5077" s="67"/>
      <c r="HA5077" s="67"/>
      <c r="HB5077" s="67"/>
      <c r="HC5077" s="67"/>
      <c r="HD5077" s="67"/>
      <c r="HE5077" s="67"/>
      <c r="HF5077" s="67"/>
      <c r="HG5077" s="67"/>
      <c r="HH5077" s="67"/>
      <c r="HI5077" s="67"/>
      <c r="HJ5077" s="67"/>
      <c r="HK5077" s="67"/>
      <c r="HL5077" s="67"/>
      <c r="HM5077" s="67"/>
      <c r="HN5077" s="67">
        <v>7</v>
      </c>
      <c r="HO5077" s="67">
        <v>7.51</v>
      </c>
      <c r="HP5077" s="67"/>
      <c r="HQ5077" s="67"/>
      <c r="HR5077" s="67" t="s">
        <v>5738</v>
      </c>
      <c r="HS5077" s="67"/>
      <c r="HT5077" s="67"/>
      <c r="HU5077" s="67"/>
      <c r="HV5077" s="67"/>
      <c r="HW5077" s="67"/>
      <c r="HX5077" s="67"/>
      <c r="HY5077" s="67"/>
      <c r="HZ5077" s="67"/>
      <c r="IA5077" s="67"/>
      <c r="IB5077" s="67"/>
      <c r="IC5077" s="67"/>
      <c r="ID5077" s="67"/>
      <c r="IE5077" s="67"/>
      <c r="IF5077" s="67"/>
      <c r="IG5077" s="67"/>
      <c r="IH5077" s="67"/>
      <c r="II5077" s="67"/>
      <c r="IJ5077" s="67"/>
      <c r="IK5077" s="67"/>
      <c r="IL5077" s="67"/>
      <c r="IM5077" s="67"/>
      <c r="IN5077" s="67"/>
      <c r="IO5077" s="67"/>
      <c r="IP5077" s="67"/>
      <c r="IQ5077" s="67"/>
      <c r="IR5077" s="67">
        <f>8.3+9.7+11.3+22.3</f>
        <v>51.6</v>
      </c>
      <c r="IS5077" s="67">
        <f>12.3+15.2+20.3+24.7</f>
        <v>72.5</v>
      </c>
      <c r="IT5077" s="67">
        <f>2.2+1.2+1+8</f>
        <v>12.4</v>
      </c>
      <c r="IU5077" s="67">
        <f>2.4+0.9+4.8+1.3</f>
        <v>9.4</v>
      </c>
      <c r="IV5077" s="67" t="s">
        <v>5726</v>
      </c>
      <c r="IW5077" s="67"/>
      <c r="IX5077" s="67"/>
      <c r="IY5077" s="67"/>
      <c r="IZ5077" s="67"/>
      <c r="JA5077" s="67"/>
      <c r="JB5077" s="67"/>
      <c r="JC5077" s="67"/>
      <c r="JD5077" s="67"/>
      <c r="JE5077" s="67"/>
      <c r="JF5077" s="67"/>
      <c r="JG5077" s="67">
        <v>27.5</v>
      </c>
      <c r="JH5077" s="67">
        <v>26.3</v>
      </c>
      <c r="JI5077" s="67">
        <v>6.3</v>
      </c>
      <c r="JJ5077" s="67">
        <v>1.7</v>
      </c>
      <c r="JK5077" s="67" t="s">
        <v>360</v>
      </c>
      <c r="JL5077" s="67"/>
      <c r="JM5077" s="67"/>
      <c r="JN5077" s="67"/>
      <c r="JO5077" s="67"/>
      <c r="JP5077" s="67"/>
      <c r="JQ5077" s="67"/>
      <c r="JR5077" s="67"/>
      <c r="JS5077" s="67"/>
      <c r="JT5077" s="67">
        <v>99999</v>
      </c>
      <c r="JU5077" s="58"/>
      <c r="JV5077" s="58"/>
      <c r="JW5077" s="58"/>
    </row>
    <row r="5078" spans="1:283" s="23" customFormat="1" x14ac:dyDescent="0.25">
      <c r="A5078" s="55">
        <v>5077</v>
      </c>
      <c r="B5078" s="12" t="s">
        <v>7067</v>
      </c>
      <c r="C5078" s="156">
        <v>261</v>
      </c>
      <c r="D5078" s="58" t="s">
        <v>5010</v>
      </c>
      <c r="E5078" s="160" t="str">
        <f>G5078</f>
        <v>Petersen et al 1997_pair 4</v>
      </c>
      <c r="F5078" s="160"/>
      <c r="G5078" s="60" t="s">
        <v>4717</v>
      </c>
      <c r="H5078" s="58">
        <v>1997</v>
      </c>
      <c r="I5078" s="58" t="s">
        <v>5746</v>
      </c>
      <c r="J5078" s="243" t="s">
        <v>1397</v>
      </c>
      <c r="K5078" s="63" t="s">
        <v>5085</v>
      </c>
      <c r="L5078" s="63" t="s">
        <v>2743</v>
      </c>
      <c r="M5078" s="94">
        <v>56.51</v>
      </c>
      <c r="N5078" s="94">
        <v>9.61</v>
      </c>
      <c r="O5078" s="94"/>
      <c r="P5078" s="58"/>
      <c r="Q5078" s="244"/>
      <c r="R5078" s="58"/>
      <c r="S5078" s="245"/>
      <c r="T5078" s="58"/>
      <c r="U5078" s="58" t="s">
        <v>1940</v>
      </c>
      <c r="V5078" s="244">
        <v>15</v>
      </c>
      <c r="W5078" s="174"/>
      <c r="X5078" s="174"/>
      <c r="Y5078" s="58" t="s">
        <v>5745</v>
      </c>
      <c r="Z5078" s="244" t="s">
        <v>5147</v>
      </c>
      <c r="AA5078" s="245">
        <v>7</v>
      </c>
      <c r="AB5078" s="67"/>
      <c r="AC5078" s="67"/>
      <c r="AD5078" s="94"/>
      <c r="AE5078" s="94"/>
      <c r="AF5078" s="94"/>
      <c r="AG5078" s="245">
        <v>17.899999999999999</v>
      </c>
      <c r="AH5078" s="58" t="s">
        <v>238</v>
      </c>
      <c r="AI5078" s="169" t="s">
        <v>5722</v>
      </c>
      <c r="AJ5078" s="94">
        <v>1.28</v>
      </c>
      <c r="AK5078" s="94"/>
      <c r="AL5078" s="58"/>
      <c r="AM5078" s="58" t="s">
        <v>5721</v>
      </c>
      <c r="AN5078" s="186"/>
      <c r="AO5078" s="185" t="s">
        <v>7494</v>
      </c>
      <c r="AP5078" s="58"/>
      <c r="AQ5078" s="58"/>
      <c r="AR5078" s="58"/>
      <c r="AS5078" s="246" t="s">
        <v>5133</v>
      </c>
      <c r="AT5078" s="247">
        <v>0</v>
      </c>
      <c r="AU5078" s="181" t="s">
        <v>7494</v>
      </c>
      <c r="AV5078" s="185" t="s">
        <v>176</v>
      </c>
      <c r="AW5078" s="244">
        <v>1</v>
      </c>
      <c r="AX5078" s="185" t="s">
        <v>176</v>
      </c>
      <c r="AY5078" s="244" t="s">
        <v>5150</v>
      </c>
      <c r="AZ5078" s="58" t="s">
        <v>5725</v>
      </c>
      <c r="BA5078" s="58" t="s">
        <v>5725</v>
      </c>
      <c r="BB5078" s="58" t="s">
        <v>2081</v>
      </c>
      <c r="BC5078" s="58" t="s">
        <v>2081</v>
      </c>
      <c r="BD5078" s="58" t="s">
        <v>176</v>
      </c>
      <c r="BE5078" s="236" t="s">
        <v>5195</v>
      </c>
      <c r="BF5078" s="191"/>
      <c r="BG5078" s="191" t="s">
        <v>479</v>
      </c>
      <c r="BH5078" s="236" t="s">
        <v>5153</v>
      </c>
      <c r="BI5078" s="191" t="s">
        <v>176</v>
      </c>
      <c r="BJ5078" s="58" t="str">
        <f>IF(BE5078=BH5078,"No","yes")</f>
        <v>yes</v>
      </c>
      <c r="BK5078" s="58" t="s">
        <v>6335</v>
      </c>
      <c r="BL5078" s="58"/>
      <c r="BM5078" s="237"/>
      <c r="BN5078" s="244">
        <v>3</v>
      </c>
      <c r="BO5078" s="244">
        <v>3</v>
      </c>
      <c r="BP5078" s="58"/>
      <c r="BQ5078" s="58"/>
      <c r="BR5078" s="58"/>
      <c r="BS5078" s="58"/>
      <c r="BT5078" s="58"/>
      <c r="BU5078" s="58"/>
      <c r="BV5078" s="58" t="s">
        <v>5727</v>
      </c>
      <c r="BW5078" s="67"/>
      <c r="BX5078" s="67"/>
      <c r="BY5078" s="67"/>
      <c r="BZ5078" s="67"/>
      <c r="CA5078" s="67"/>
      <c r="CB5078" s="70"/>
      <c r="CC5078" s="70"/>
      <c r="CD5078" s="70"/>
      <c r="CE5078" s="67"/>
      <c r="CF5078" s="67"/>
      <c r="CG5078" s="67"/>
      <c r="CH5078" s="245"/>
      <c r="CI5078" s="245"/>
      <c r="CJ5078" s="67"/>
      <c r="CK5078" s="67"/>
      <c r="CL5078" s="67"/>
      <c r="CM5078" s="242">
        <v>1.28</v>
      </c>
      <c r="CN5078" s="242">
        <v>1.37</v>
      </c>
      <c r="CO5078" s="242"/>
      <c r="CP5078" s="242"/>
      <c r="CQ5078" s="242" t="s">
        <v>164</v>
      </c>
      <c r="CR5078" s="242"/>
      <c r="CS5078" s="242"/>
      <c r="CT5078" s="242"/>
      <c r="CU5078" s="242"/>
      <c r="CV5078" s="242"/>
      <c r="CW5078" s="242"/>
      <c r="CX5078" s="242"/>
      <c r="CY5078" s="242"/>
      <c r="CZ5078" s="242"/>
      <c r="DA5078" s="67"/>
      <c r="DB5078" s="67"/>
      <c r="DC5078" s="67"/>
      <c r="DD5078" s="67"/>
      <c r="DE5078" s="67"/>
      <c r="DF5078" s="67"/>
      <c r="DG5078" s="67"/>
      <c r="DH5078" s="67"/>
      <c r="DI5078" s="67"/>
      <c r="DJ5078" s="67"/>
      <c r="DK5078" s="67"/>
      <c r="DL5078" s="67"/>
      <c r="DM5078" s="67"/>
      <c r="DN5078" s="67"/>
      <c r="DO5078" s="67"/>
      <c r="DP5078" s="67"/>
      <c r="DQ5078" s="166"/>
      <c r="DR5078" s="166"/>
      <c r="DS5078" s="163"/>
      <c r="DT5078" s="163"/>
      <c r="DU5078" s="67"/>
      <c r="DV5078" s="67"/>
      <c r="DW5078" s="67"/>
      <c r="DX5078" s="67"/>
      <c r="DY5078" s="67"/>
      <c r="DZ5078" s="67"/>
      <c r="EA5078" s="67"/>
      <c r="EB5078" s="67"/>
      <c r="EC5078" s="67"/>
      <c r="ED5078" s="67"/>
      <c r="EE5078" s="67"/>
      <c r="EF5078" s="67"/>
      <c r="EG5078" s="67"/>
      <c r="EH5078" s="67"/>
      <c r="EI5078" s="67"/>
      <c r="EJ5078" s="67"/>
      <c r="EK5078" s="94">
        <f>47.7+10.4+7+6.2</f>
        <v>71.3</v>
      </c>
      <c r="EL5078" s="94">
        <f>33.5+8.3+7.2+9.4</f>
        <v>58.4</v>
      </c>
      <c r="EM5078" s="67"/>
      <c r="EN5078" s="67"/>
      <c r="EO5078" s="67" t="s">
        <v>5729</v>
      </c>
      <c r="EP5078" s="67"/>
      <c r="EQ5078" s="67"/>
      <c r="ER5078" s="67"/>
      <c r="ES5078" s="67"/>
      <c r="ET5078" s="67"/>
      <c r="EU5078" s="67"/>
      <c r="EV5078" s="67"/>
      <c r="EW5078" s="67"/>
      <c r="EX5078" s="67"/>
      <c r="EY5078" s="67"/>
      <c r="EZ5078" s="67"/>
      <c r="FA5078" s="67"/>
      <c r="FB5078" s="67"/>
      <c r="FC5078" s="67"/>
      <c r="FD5078" s="67"/>
      <c r="FE5078" s="67"/>
      <c r="FF5078" s="67"/>
      <c r="FG5078" s="67"/>
      <c r="FH5078" s="67"/>
      <c r="FI5078" s="67"/>
      <c r="FJ5078" s="67"/>
      <c r="FK5078" s="67"/>
      <c r="FL5078" s="67"/>
      <c r="FM5078" s="67"/>
      <c r="FN5078" s="67"/>
      <c r="FO5078" s="67"/>
      <c r="FP5078" s="67"/>
      <c r="FQ5078" s="67"/>
      <c r="FR5078" s="67"/>
      <c r="FS5078" s="67"/>
      <c r="FT5078" s="67"/>
      <c r="FU5078" s="67"/>
      <c r="FV5078" s="67"/>
      <c r="FW5078" s="67"/>
      <c r="FX5078" s="67"/>
      <c r="FY5078" s="67"/>
      <c r="FZ5078" s="67"/>
      <c r="GA5078" s="67"/>
      <c r="GB5078" s="67"/>
      <c r="GC5078" s="67"/>
      <c r="GD5078" s="67"/>
      <c r="GE5078" s="67"/>
      <c r="GF5078" s="67"/>
      <c r="GG5078" s="67"/>
      <c r="GH5078" s="67"/>
      <c r="GI5078" s="67"/>
      <c r="GJ5078" s="67"/>
      <c r="GK5078" s="67"/>
      <c r="GL5078" s="67"/>
      <c r="GM5078" s="67"/>
      <c r="GN5078" s="292"/>
      <c r="GO5078" s="292"/>
      <c r="GP5078" s="292" t="s">
        <v>7494</v>
      </c>
      <c r="GQ5078" s="67"/>
      <c r="GR5078" s="67"/>
      <c r="GS5078" s="67"/>
      <c r="GT5078" s="67"/>
      <c r="GU5078" s="67"/>
      <c r="GV5078" s="67"/>
      <c r="GW5078" s="67"/>
      <c r="GX5078" s="67"/>
      <c r="GY5078" s="67"/>
      <c r="GZ5078" s="67"/>
      <c r="HA5078" s="67"/>
      <c r="HB5078" s="67"/>
      <c r="HC5078" s="67"/>
      <c r="HD5078" s="67"/>
      <c r="HE5078" s="67"/>
      <c r="HF5078" s="67"/>
      <c r="HG5078" s="67"/>
      <c r="HH5078" s="67"/>
      <c r="HI5078" s="67"/>
      <c r="HJ5078" s="67"/>
      <c r="HK5078" s="67"/>
      <c r="HL5078" s="67"/>
      <c r="HM5078" s="67"/>
      <c r="HN5078" s="67">
        <v>7</v>
      </c>
      <c r="HO5078" s="67">
        <v>8.19</v>
      </c>
      <c r="HP5078" s="67"/>
      <c r="HQ5078" s="67"/>
      <c r="HR5078" s="67" t="s">
        <v>5738</v>
      </c>
      <c r="HS5078" s="67"/>
      <c r="HT5078" s="67"/>
      <c r="HU5078" s="67"/>
      <c r="HV5078" s="67"/>
      <c r="HW5078" s="67"/>
      <c r="HX5078" s="67"/>
      <c r="HY5078" s="67"/>
      <c r="HZ5078" s="67"/>
      <c r="IA5078" s="67"/>
      <c r="IB5078" s="67"/>
      <c r="IC5078" s="67"/>
      <c r="ID5078" s="67"/>
      <c r="IE5078" s="67"/>
      <c r="IF5078" s="67"/>
      <c r="IG5078" s="67"/>
      <c r="IH5078" s="67"/>
      <c r="II5078" s="67"/>
      <c r="IJ5078" s="67"/>
      <c r="IK5078" s="67"/>
      <c r="IL5078" s="67"/>
      <c r="IM5078" s="67"/>
      <c r="IN5078" s="67"/>
      <c r="IO5078" s="67"/>
      <c r="IP5078" s="67"/>
      <c r="IQ5078" s="67"/>
      <c r="IR5078" s="67">
        <f>8.3+9.7+11.3+22.3</f>
        <v>51.6</v>
      </c>
      <c r="IS5078" s="67">
        <f>18.4+19.2+18.5+21.7</f>
        <v>77.8</v>
      </c>
      <c r="IT5078" s="67">
        <f>2.2+1.2+1+8</f>
        <v>12.4</v>
      </c>
      <c r="IU5078" s="67">
        <f>0.8+1.7+1.7+1.6</f>
        <v>5.8000000000000007</v>
      </c>
      <c r="IV5078" s="67" t="s">
        <v>5726</v>
      </c>
      <c r="IW5078" s="67"/>
      <c r="IX5078" s="67"/>
      <c r="IY5078" s="67"/>
      <c r="IZ5078" s="67"/>
      <c r="JA5078" s="67"/>
      <c r="JB5078" s="67"/>
      <c r="JC5078" s="67"/>
      <c r="JD5078" s="67"/>
      <c r="JE5078" s="67"/>
      <c r="JF5078" s="67"/>
      <c r="JG5078" s="67">
        <v>27.5</v>
      </c>
      <c r="JH5078" s="67">
        <v>34.6</v>
      </c>
      <c r="JI5078" s="67">
        <v>6.3</v>
      </c>
      <c r="JJ5078" s="67">
        <v>2</v>
      </c>
      <c r="JK5078" s="67" t="s">
        <v>360</v>
      </c>
      <c r="JL5078" s="67"/>
      <c r="JM5078" s="67"/>
      <c r="JN5078" s="67"/>
      <c r="JO5078" s="67"/>
      <c r="JP5078" s="67"/>
      <c r="JQ5078" s="67"/>
      <c r="JR5078" s="67"/>
      <c r="JS5078" s="67"/>
      <c r="JT5078" s="67">
        <v>99999</v>
      </c>
      <c r="JU5078" s="58"/>
      <c r="JV5078" s="58"/>
      <c r="JW5078" s="58"/>
    </row>
    <row r="5079" spans="1:283" s="23" customFormat="1" x14ac:dyDescent="0.25">
      <c r="A5079" s="55">
        <v>5078</v>
      </c>
      <c r="B5079" s="12" t="s">
        <v>7067</v>
      </c>
      <c r="C5079" s="156">
        <v>261</v>
      </c>
      <c r="D5079" s="58" t="s">
        <v>5011</v>
      </c>
      <c r="E5079" s="160" t="str">
        <f>G5079</f>
        <v>Petersen et al 1997_pair 5</v>
      </c>
      <c r="F5079" s="160"/>
      <c r="G5079" s="60" t="s">
        <v>4716</v>
      </c>
      <c r="H5079" s="58">
        <v>1997</v>
      </c>
      <c r="I5079" s="58" t="s">
        <v>5746</v>
      </c>
      <c r="J5079" s="243" t="s">
        <v>1397</v>
      </c>
      <c r="K5079" s="63" t="s">
        <v>5085</v>
      </c>
      <c r="L5079" s="63" t="s">
        <v>2743</v>
      </c>
      <c r="M5079" s="94">
        <v>56.51</v>
      </c>
      <c r="N5079" s="94">
        <v>9.61</v>
      </c>
      <c r="O5079" s="94"/>
      <c r="P5079" s="58"/>
      <c r="Q5079" s="244"/>
      <c r="R5079" s="58"/>
      <c r="S5079" s="245"/>
      <c r="T5079" s="58"/>
      <c r="U5079" s="58" t="s">
        <v>1940</v>
      </c>
      <c r="V5079" s="244">
        <v>15</v>
      </c>
      <c r="W5079" s="174"/>
      <c r="X5079" s="174"/>
      <c r="Y5079" s="58" t="s">
        <v>5745</v>
      </c>
      <c r="Z5079" s="244" t="s">
        <v>5147</v>
      </c>
      <c r="AA5079" s="245">
        <v>7</v>
      </c>
      <c r="AB5079" s="67"/>
      <c r="AC5079" s="67"/>
      <c r="AD5079" s="94"/>
      <c r="AE5079" s="94"/>
      <c r="AF5079" s="94"/>
      <c r="AG5079" s="245">
        <v>14.8</v>
      </c>
      <c r="AH5079" s="58" t="s">
        <v>238</v>
      </c>
      <c r="AI5079" s="169" t="s">
        <v>5724</v>
      </c>
      <c r="AJ5079" s="94">
        <v>1.36</v>
      </c>
      <c r="AK5079" s="94"/>
      <c r="AL5079" s="58"/>
      <c r="AM5079" s="58" t="s">
        <v>5721</v>
      </c>
      <c r="AN5079" s="186"/>
      <c r="AO5079" s="185" t="s">
        <v>7494</v>
      </c>
      <c r="AP5079" s="58"/>
      <c r="AQ5079" s="58"/>
      <c r="AR5079" s="58"/>
      <c r="AS5079" s="246" t="s">
        <v>5133</v>
      </c>
      <c r="AT5079" s="247">
        <v>0</v>
      </c>
      <c r="AU5079" s="181" t="s">
        <v>7494</v>
      </c>
      <c r="AV5079" s="185" t="s">
        <v>176</v>
      </c>
      <c r="AW5079" s="244">
        <v>1</v>
      </c>
      <c r="AX5079" s="185" t="s">
        <v>176</v>
      </c>
      <c r="AY5079" s="244" t="s">
        <v>5150</v>
      </c>
      <c r="AZ5079" s="58" t="s">
        <v>5725</v>
      </c>
      <c r="BA5079" s="58" t="s">
        <v>5725</v>
      </c>
      <c r="BB5079" s="58" t="s">
        <v>2081</v>
      </c>
      <c r="BC5079" s="58" t="s">
        <v>2081</v>
      </c>
      <c r="BD5079" s="58" t="s">
        <v>176</v>
      </c>
      <c r="BE5079" s="236" t="s">
        <v>5213</v>
      </c>
      <c r="BF5079" s="191"/>
      <c r="BG5079" s="191" t="s">
        <v>479</v>
      </c>
      <c r="BH5079" s="236" t="s">
        <v>5153</v>
      </c>
      <c r="BI5079" s="191" t="s">
        <v>176</v>
      </c>
      <c r="BJ5079" s="58" t="str">
        <f>IF(BE5079=BH5079,"No","yes")</f>
        <v>yes</v>
      </c>
      <c r="BK5079" s="58" t="s">
        <v>6335</v>
      </c>
      <c r="BL5079" s="58"/>
      <c r="BM5079" s="237"/>
      <c r="BN5079" s="244">
        <v>3</v>
      </c>
      <c r="BO5079" s="244">
        <v>3</v>
      </c>
      <c r="BP5079" s="58"/>
      <c r="BQ5079" s="58"/>
      <c r="BR5079" s="58"/>
      <c r="BS5079" s="58"/>
      <c r="BT5079" s="58"/>
      <c r="BU5079" s="58"/>
      <c r="BV5079" s="58" t="s">
        <v>5727</v>
      </c>
      <c r="BW5079" s="67"/>
      <c r="BX5079" s="67"/>
      <c r="BY5079" s="67"/>
      <c r="BZ5079" s="67"/>
      <c r="CA5079" s="67"/>
      <c r="CB5079" s="70"/>
      <c r="CC5079" s="70"/>
      <c r="CD5079" s="70"/>
      <c r="CE5079" s="67"/>
      <c r="CF5079" s="67"/>
      <c r="CG5079" s="67"/>
      <c r="CH5079" s="245"/>
      <c r="CI5079" s="245"/>
      <c r="CJ5079" s="67"/>
      <c r="CK5079" s="67"/>
      <c r="CL5079" s="67"/>
      <c r="CM5079" s="242">
        <v>1.36</v>
      </c>
      <c r="CN5079" s="242">
        <v>2.04</v>
      </c>
      <c r="CO5079" s="242"/>
      <c r="CP5079" s="242"/>
      <c r="CQ5079" s="242" t="s">
        <v>164</v>
      </c>
      <c r="CR5079" s="242"/>
      <c r="CS5079" s="242"/>
      <c r="CT5079" s="242"/>
      <c r="CU5079" s="242"/>
      <c r="CV5079" s="242"/>
      <c r="CW5079" s="242"/>
      <c r="CX5079" s="242"/>
      <c r="CY5079" s="242"/>
      <c r="CZ5079" s="242"/>
      <c r="DA5079" s="67"/>
      <c r="DB5079" s="67"/>
      <c r="DC5079" s="67"/>
      <c r="DD5079" s="67"/>
      <c r="DE5079" s="67"/>
      <c r="DF5079" s="67"/>
      <c r="DG5079" s="67"/>
      <c r="DH5079" s="67"/>
      <c r="DI5079" s="67"/>
      <c r="DJ5079" s="67"/>
      <c r="DK5079" s="67"/>
      <c r="DL5079" s="67"/>
      <c r="DM5079" s="67"/>
      <c r="DN5079" s="67"/>
      <c r="DO5079" s="67"/>
      <c r="DP5079" s="67"/>
      <c r="DQ5079" s="166"/>
      <c r="DR5079" s="166"/>
      <c r="DS5079" s="163"/>
      <c r="DT5079" s="163"/>
      <c r="DU5079" s="67"/>
      <c r="DV5079" s="67"/>
      <c r="DW5079" s="67"/>
      <c r="DX5079" s="67"/>
      <c r="DY5079" s="67"/>
      <c r="DZ5079" s="67"/>
      <c r="EA5079" s="67"/>
      <c r="EB5079" s="67"/>
      <c r="EC5079" s="67"/>
      <c r="ED5079" s="67"/>
      <c r="EE5079" s="67"/>
      <c r="EF5079" s="67"/>
      <c r="EG5079" s="67"/>
      <c r="EH5079" s="67"/>
      <c r="EI5079" s="67"/>
      <c r="EJ5079" s="67"/>
      <c r="EK5079" s="94">
        <f>53.3+9.3+5.3+4.8</f>
        <v>72.699999999999989</v>
      </c>
      <c r="EL5079" s="94">
        <f>55.6+6.7+3.9+4.3</f>
        <v>70.5</v>
      </c>
      <c r="EM5079" s="67"/>
      <c r="EN5079" s="67"/>
      <c r="EO5079" s="67" t="s">
        <v>5729</v>
      </c>
      <c r="EP5079" s="67"/>
      <c r="EQ5079" s="67"/>
      <c r="ER5079" s="67"/>
      <c r="ES5079" s="67"/>
      <c r="ET5079" s="67"/>
      <c r="EU5079" s="67"/>
      <c r="EV5079" s="67"/>
      <c r="EW5079" s="67"/>
      <c r="EX5079" s="67"/>
      <c r="EY5079" s="67"/>
      <c r="EZ5079" s="67"/>
      <c r="FA5079" s="67"/>
      <c r="FB5079" s="67"/>
      <c r="FC5079" s="67"/>
      <c r="FD5079" s="67"/>
      <c r="FE5079" s="67"/>
      <c r="FF5079" s="67"/>
      <c r="FG5079" s="67"/>
      <c r="FH5079" s="67"/>
      <c r="FI5079" s="67"/>
      <c r="FJ5079" s="67"/>
      <c r="FK5079" s="67"/>
      <c r="FL5079" s="67"/>
      <c r="FM5079" s="67"/>
      <c r="FN5079" s="67"/>
      <c r="FO5079" s="67"/>
      <c r="FP5079" s="67"/>
      <c r="FQ5079" s="67"/>
      <c r="FR5079" s="67"/>
      <c r="FS5079" s="67"/>
      <c r="FT5079" s="67"/>
      <c r="FU5079" s="67"/>
      <c r="FV5079" s="67"/>
      <c r="FW5079" s="67"/>
      <c r="FX5079" s="67"/>
      <c r="FY5079" s="67"/>
      <c r="FZ5079" s="67"/>
      <c r="GA5079" s="67"/>
      <c r="GB5079" s="67"/>
      <c r="GC5079" s="67"/>
      <c r="GD5079" s="67"/>
      <c r="GE5079" s="67"/>
      <c r="GF5079" s="67"/>
      <c r="GG5079" s="67"/>
      <c r="GH5079" s="67"/>
      <c r="GI5079" s="67"/>
      <c r="GJ5079" s="67"/>
      <c r="GK5079" s="67"/>
      <c r="GL5079" s="67"/>
      <c r="GM5079" s="67"/>
      <c r="GN5079" s="292"/>
      <c r="GO5079" s="292"/>
      <c r="GP5079" s="292" t="s">
        <v>7494</v>
      </c>
      <c r="GQ5079" s="67"/>
      <c r="GR5079" s="67"/>
      <c r="GS5079" s="67"/>
      <c r="GT5079" s="67"/>
      <c r="GU5079" s="67"/>
      <c r="GV5079" s="67"/>
      <c r="GW5079" s="67"/>
      <c r="GX5079" s="67"/>
      <c r="GY5079" s="67"/>
      <c r="GZ5079" s="67"/>
      <c r="HA5079" s="67"/>
      <c r="HB5079" s="67"/>
      <c r="HC5079" s="67"/>
      <c r="HD5079" s="67"/>
      <c r="HE5079" s="67"/>
      <c r="HF5079" s="67"/>
      <c r="HG5079" s="67"/>
      <c r="HH5079" s="67"/>
      <c r="HI5079" s="67"/>
      <c r="HJ5079" s="67"/>
      <c r="HK5079" s="67"/>
      <c r="HL5079" s="67"/>
      <c r="HM5079" s="67"/>
      <c r="HN5079" s="67">
        <v>6.45</v>
      </c>
      <c r="HO5079" s="67">
        <v>7.2</v>
      </c>
      <c r="HP5079" s="67"/>
      <c r="HQ5079" s="67"/>
      <c r="HR5079" s="67" t="s">
        <v>5738</v>
      </c>
      <c r="HS5079" s="67"/>
      <c r="HT5079" s="67"/>
      <c r="HU5079" s="67"/>
      <c r="HV5079" s="67"/>
      <c r="HW5079" s="67"/>
      <c r="HX5079" s="67"/>
      <c r="HY5079" s="67"/>
      <c r="HZ5079" s="67"/>
      <c r="IA5079" s="67"/>
      <c r="IB5079" s="67"/>
      <c r="IC5079" s="67"/>
      <c r="ID5079" s="67"/>
      <c r="IE5079" s="67"/>
      <c r="IF5079" s="67"/>
      <c r="IG5079" s="67"/>
      <c r="IH5079" s="67"/>
      <c r="II5079" s="67"/>
      <c r="IJ5079" s="67"/>
      <c r="IK5079" s="67"/>
      <c r="IL5079" s="67"/>
      <c r="IM5079" s="67"/>
      <c r="IN5079" s="67"/>
      <c r="IO5079" s="67"/>
      <c r="IP5079" s="67"/>
      <c r="IQ5079" s="67"/>
      <c r="IR5079" s="67">
        <f>13.3+16.2+23.4+67.2</f>
        <v>120.1</v>
      </c>
      <c r="IS5079" s="67">
        <f>12.7+13.5+16.4+18.9</f>
        <v>61.499999999999993</v>
      </c>
      <c r="IT5079" s="67">
        <f>3.2+2.9+7.6+10.4</f>
        <v>24.1</v>
      </c>
      <c r="IU5079" s="67">
        <f>0.6+0.5+3.4+1.5</f>
        <v>6</v>
      </c>
      <c r="IV5079" s="67" t="s">
        <v>5726</v>
      </c>
      <c r="IW5079" s="67"/>
      <c r="IX5079" s="67"/>
      <c r="IY5079" s="67"/>
      <c r="IZ5079" s="67"/>
      <c r="JA5079" s="67"/>
      <c r="JB5079" s="67"/>
      <c r="JC5079" s="67"/>
      <c r="JD5079" s="67"/>
      <c r="JE5079" s="67"/>
      <c r="JF5079" s="67"/>
      <c r="JG5079" s="67">
        <v>29.8</v>
      </c>
      <c r="JH5079" s="67">
        <v>27.7</v>
      </c>
      <c r="JI5079" s="67">
        <v>4.5999999999999996</v>
      </c>
      <c r="JJ5079" s="67">
        <v>2</v>
      </c>
      <c r="JK5079" s="67" t="s">
        <v>360</v>
      </c>
      <c r="JL5079" s="67"/>
      <c r="JM5079" s="67"/>
      <c r="JN5079" s="67"/>
      <c r="JO5079" s="67"/>
      <c r="JP5079" s="67"/>
      <c r="JQ5079" s="67"/>
      <c r="JR5079" s="67"/>
      <c r="JS5079" s="67"/>
      <c r="JT5079" s="67">
        <v>99999</v>
      </c>
      <c r="JU5079" s="58"/>
      <c r="JV5079" s="58"/>
      <c r="JW5079" s="58"/>
    </row>
    <row r="5080" spans="1:283" s="23" customFormat="1" x14ac:dyDescent="0.25">
      <c r="A5080" s="55">
        <v>5079</v>
      </c>
      <c r="B5080" s="12" t="s">
        <v>7067</v>
      </c>
      <c r="C5080" s="156">
        <v>261</v>
      </c>
      <c r="D5080" s="58" t="s">
        <v>5012</v>
      </c>
      <c r="E5080" s="160" t="str">
        <f>G5080</f>
        <v>Petersen et al 1997_pair 6</v>
      </c>
      <c r="F5080" s="160"/>
      <c r="G5080" s="60" t="s">
        <v>4715</v>
      </c>
      <c r="H5080" s="58">
        <v>1997</v>
      </c>
      <c r="I5080" s="58" t="s">
        <v>5746</v>
      </c>
      <c r="J5080" s="243" t="s">
        <v>1397</v>
      </c>
      <c r="K5080" s="63" t="s">
        <v>5085</v>
      </c>
      <c r="L5080" s="63" t="s">
        <v>2743</v>
      </c>
      <c r="M5080" s="94">
        <v>56.51</v>
      </c>
      <c r="N5080" s="94">
        <v>9.61</v>
      </c>
      <c r="O5080" s="94"/>
      <c r="P5080" s="58"/>
      <c r="Q5080" s="244"/>
      <c r="R5080" s="58"/>
      <c r="S5080" s="245"/>
      <c r="T5080" s="58"/>
      <c r="U5080" s="58" t="s">
        <v>1940</v>
      </c>
      <c r="V5080" s="244">
        <v>15</v>
      </c>
      <c r="W5080" s="174"/>
      <c r="X5080" s="174"/>
      <c r="Y5080" s="58" t="s">
        <v>5745</v>
      </c>
      <c r="Z5080" s="244" t="s">
        <v>5147</v>
      </c>
      <c r="AA5080" s="245">
        <v>7</v>
      </c>
      <c r="AB5080" s="67"/>
      <c r="AC5080" s="67"/>
      <c r="AD5080" s="94"/>
      <c r="AE5080" s="94"/>
      <c r="AF5080" s="94"/>
      <c r="AG5080" s="245">
        <v>14.8</v>
      </c>
      <c r="AH5080" s="58" t="s">
        <v>238</v>
      </c>
      <c r="AI5080" s="169" t="s">
        <v>5724</v>
      </c>
      <c r="AJ5080" s="94">
        <v>1.36</v>
      </c>
      <c r="AK5080" s="94"/>
      <c r="AL5080" s="58"/>
      <c r="AM5080" s="58" t="s">
        <v>5721</v>
      </c>
      <c r="AN5080" s="186"/>
      <c r="AO5080" s="185" t="s">
        <v>7494</v>
      </c>
      <c r="AP5080" s="58"/>
      <c r="AQ5080" s="58"/>
      <c r="AR5080" s="58"/>
      <c r="AS5080" s="246" t="s">
        <v>5133</v>
      </c>
      <c r="AT5080" s="247">
        <v>0</v>
      </c>
      <c r="AU5080" s="181" t="s">
        <v>7494</v>
      </c>
      <c r="AV5080" s="185" t="s">
        <v>176</v>
      </c>
      <c r="AW5080" s="244">
        <v>1</v>
      </c>
      <c r="AX5080" s="185" t="s">
        <v>176</v>
      </c>
      <c r="AY5080" s="244" t="s">
        <v>5150</v>
      </c>
      <c r="AZ5080" s="58" t="s">
        <v>5725</v>
      </c>
      <c r="BA5080" s="58" t="s">
        <v>5725</v>
      </c>
      <c r="BB5080" s="58" t="s">
        <v>2081</v>
      </c>
      <c r="BC5080" s="58" t="s">
        <v>2081</v>
      </c>
      <c r="BD5080" s="58" t="s">
        <v>176</v>
      </c>
      <c r="BE5080" s="236" t="s">
        <v>5213</v>
      </c>
      <c r="BF5080" s="191"/>
      <c r="BG5080" s="191" t="s">
        <v>479</v>
      </c>
      <c r="BH5080" s="236" t="s">
        <v>5153</v>
      </c>
      <c r="BI5080" s="191" t="s">
        <v>176</v>
      </c>
      <c r="BJ5080" s="58" t="str">
        <f>IF(BE5080=BH5080,"No","yes")</f>
        <v>yes</v>
      </c>
      <c r="BK5080" s="58" t="s">
        <v>6335</v>
      </c>
      <c r="BL5080" s="58"/>
      <c r="BM5080" s="237"/>
      <c r="BN5080" s="244">
        <v>3</v>
      </c>
      <c r="BO5080" s="244">
        <v>3</v>
      </c>
      <c r="BP5080" s="58"/>
      <c r="BQ5080" s="58"/>
      <c r="BR5080" s="58"/>
      <c r="BS5080" s="58"/>
      <c r="BT5080" s="58"/>
      <c r="BU5080" s="58"/>
      <c r="BV5080" s="58" t="s">
        <v>5727</v>
      </c>
      <c r="BW5080" s="67"/>
      <c r="BX5080" s="67"/>
      <c r="BY5080" s="67"/>
      <c r="BZ5080" s="67"/>
      <c r="CA5080" s="67"/>
      <c r="CB5080" s="70"/>
      <c r="CC5080" s="70"/>
      <c r="CD5080" s="70"/>
      <c r="CE5080" s="67"/>
      <c r="CF5080" s="67"/>
      <c r="CG5080" s="67"/>
      <c r="CH5080" s="245"/>
      <c r="CI5080" s="245"/>
      <c r="CJ5080" s="67"/>
      <c r="CK5080" s="67"/>
      <c r="CL5080" s="67"/>
      <c r="CM5080" s="242">
        <v>1.36</v>
      </c>
      <c r="CN5080" s="242">
        <v>2.04</v>
      </c>
      <c r="CO5080" s="242"/>
      <c r="CP5080" s="242"/>
      <c r="CQ5080" s="242" t="s">
        <v>164</v>
      </c>
      <c r="CR5080" s="242"/>
      <c r="CS5080" s="242"/>
      <c r="CT5080" s="242"/>
      <c r="CU5080" s="242"/>
      <c r="CV5080" s="242"/>
      <c r="CW5080" s="242"/>
      <c r="CX5080" s="242"/>
      <c r="CY5080" s="242"/>
      <c r="CZ5080" s="242"/>
      <c r="DA5080" s="67"/>
      <c r="DB5080" s="67"/>
      <c r="DC5080" s="67"/>
      <c r="DD5080" s="67"/>
      <c r="DE5080" s="67"/>
      <c r="DF5080" s="67"/>
      <c r="DG5080" s="67"/>
      <c r="DH5080" s="67"/>
      <c r="DI5080" s="67"/>
      <c r="DJ5080" s="67"/>
      <c r="DK5080" s="67"/>
      <c r="DL5080" s="67"/>
      <c r="DM5080" s="67"/>
      <c r="DN5080" s="67"/>
      <c r="DO5080" s="67"/>
      <c r="DP5080" s="67"/>
      <c r="DQ5080" s="166"/>
      <c r="DR5080" s="166"/>
      <c r="DS5080" s="163"/>
      <c r="DT5080" s="163"/>
      <c r="DU5080" s="67"/>
      <c r="DV5080" s="67"/>
      <c r="DW5080" s="67"/>
      <c r="DX5080" s="67"/>
      <c r="DY5080" s="67"/>
      <c r="DZ5080" s="67"/>
      <c r="EA5080" s="67"/>
      <c r="EB5080" s="67"/>
      <c r="EC5080" s="67"/>
      <c r="ED5080" s="67"/>
      <c r="EE5080" s="67"/>
      <c r="EF5080" s="67"/>
      <c r="EG5080" s="67"/>
      <c r="EH5080" s="67"/>
      <c r="EI5080" s="67"/>
      <c r="EJ5080" s="67"/>
      <c r="EK5080" s="94">
        <f>53.3+9.3+5.3+4.8</f>
        <v>72.699999999999989</v>
      </c>
      <c r="EL5080" s="94">
        <f>42.2+9.8+5.8+6.3</f>
        <v>64.099999999999994</v>
      </c>
      <c r="EM5080" s="67"/>
      <c r="EN5080" s="67"/>
      <c r="EO5080" s="67" t="s">
        <v>5729</v>
      </c>
      <c r="EP5080" s="67"/>
      <c r="EQ5080" s="67"/>
      <c r="ER5080" s="67"/>
      <c r="ES5080" s="67"/>
      <c r="ET5080" s="67"/>
      <c r="EU5080" s="67"/>
      <c r="EV5080" s="67"/>
      <c r="EW5080" s="67"/>
      <c r="EX5080" s="67"/>
      <c r="EY5080" s="67"/>
      <c r="EZ5080" s="67"/>
      <c r="FA5080" s="67"/>
      <c r="FB5080" s="67"/>
      <c r="FC5080" s="67"/>
      <c r="FD5080" s="67"/>
      <c r="FE5080" s="67"/>
      <c r="FF5080" s="67"/>
      <c r="FG5080" s="67"/>
      <c r="FH5080" s="67"/>
      <c r="FI5080" s="67"/>
      <c r="FJ5080" s="67"/>
      <c r="FK5080" s="67"/>
      <c r="FL5080" s="67"/>
      <c r="FM5080" s="67"/>
      <c r="FN5080" s="67"/>
      <c r="FO5080" s="67"/>
      <c r="FP5080" s="67"/>
      <c r="FQ5080" s="67"/>
      <c r="FR5080" s="67"/>
      <c r="FS5080" s="67"/>
      <c r="FT5080" s="67"/>
      <c r="FU5080" s="67"/>
      <c r="FV5080" s="67"/>
      <c r="FW5080" s="67"/>
      <c r="FX5080" s="67"/>
      <c r="FY5080" s="67"/>
      <c r="FZ5080" s="67"/>
      <c r="GA5080" s="67"/>
      <c r="GB5080" s="67"/>
      <c r="GC5080" s="67"/>
      <c r="GD5080" s="67"/>
      <c r="GE5080" s="67"/>
      <c r="GF5080" s="67"/>
      <c r="GG5080" s="67"/>
      <c r="GH5080" s="67"/>
      <c r="GI5080" s="67"/>
      <c r="GJ5080" s="67"/>
      <c r="GK5080" s="67"/>
      <c r="GL5080" s="67"/>
      <c r="GM5080" s="67"/>
      <c r="GN5080" s="292"/>
      <c r="GO5080" s="292"/>
      <c r="GP5080" s="292" t="s">
        <v>7494</v>
      </c>
      <c r="GQ5080" s="67"/>
      <c r="GR5080" s="67"/>
      <c r="GS5080" s="67"/>
      <c r="GT5080" s="67"/>
      <c r="GU5080" s="67"/>
      <c r="GV5080" s="67"/>
      <c r="GW5080" s="67"/>
      <c r="GX5080" s="67"/>
      <c r="GY5080" s="67"/>
      <c r="GZ5080" s="67"/>
      <c r="HA5080" s="67"/>
      <c r="HB5080" s="67"/>
      <c r="HC5080" s="67"/>
      <c r="HD5080" s="67"/>
      <c r="HE5080" s="67"/>
      <c r="HF5080" s="67"/>
      <c r="HG5080" s="67"/>
      <c r="HH5080" s="67"/>
      <c r="HI5080" s="67"/>
      <c r="HJ5080" s="67"/>
      <c r="HK5080" s="67"/>
      <c r="HL5080" s="67"/>
      <c r="HM5080" s="67"/>
      <c r="HN5080" s="67">
        <v>6.45</v>
      </c>
      <c r="HO5080" s="67">
        <v>6.05</v>
      </c>
      <c r="HP5080" s="67"/>
      <c r="HQ5080" s="67"/>
      <c r="HR5080" s="67" t="s">
        <v>5738</v>
      </c>
      <c r="HS5080" s="67"/>
      <c r="HT5080" s="67"/>
      <c r="HU5080" s="67"/>
      <c r="HV5080" s="67"/>
      <c r="HW5080" s="67"/>
      <c r="HX5080" s="67"/>
      <c r="HY5080" s="67"/>
      <c r="HZ5080" s="67"/>
      <c r="IA5080" s="67"/>
      <c r="IB5080" s="67"/>
      <c r="IC5080" s="67"/>
      <c r="ID5080" s="67"/>
      <c r="IE5080" s="67"/>
      <c r="IF5080" s="67"/>
      <c r="IG5080" s="67"/>
      <c r="IH5080" s="67"/>
      <c r="II5080" s="67"/>
      <c r="IJ5080" s="67"/>
      <c r="IK5080" s="67"/>
      <c r="IL5080" s="67"/>
      <c r="IM5080" s="67"/>
      <c r="IN5080" s="67"/>
      <c r="IO5080" s="67"/>
      <c r="IP5080" s="67"/>
      <c r="IQ5080" s="67"/>
      <c r="IR5080" s="67">
        <f>13.3+16.2+23.4+67.2</f>
        <v>120.1</v>
      </c>
      <c r="IS5080" s="67">
        <f>13.7+14.2+15.8+11.9</f>
        <v>55.6</v>
      </c>
      <c r="IT5080" s="67">
        <f>3.2+2.9+7.6+10.4</f>
        <v>24.1</v>
      </c>
      <c r="IU5080" s="67">
        <f>1.4+1.2+2.9+4.5</f>
        <v>10</v>
      </c>
      <c r="IV5080" s="67" t="s">
        <v>5726</v>
      </c>
      <c r="IW5080" s="67"/>
      <c r="IX5080" s="67"/>
      <c r="IY5080" s="67"/>
      <c r="IZ5080" s="67"/>
      <c r="JA5080" s="67"/>
      <c r="JB5080" s="67"/>
      <c r="JC5080" s="67"/>
      <c r="JD5080" s="67"/>
      <c r="JE5080" s="67"/>
      <c r="JF5080" s="67"/>
      <c r="JG5080" s="67">
        <v>29.8</v>
      </c>
      <c r="JH5080" s="67">
        <v>25.8</v>
      </c>
      <c r="JI5080" s="67">
        <v>4.5999999999999996</v>
      </c>
      <c r="JJ5080" s="67">
        <v>0.2</v>
      </c>
      <c r="JK5080" s="67" t="s">
        <v>360</v>
      </c>
      <c r="JL5080" s="67"/>
      <c r="JM5080" s="67"/>
      <c r="JN5080" s="67"/>
      <c r="JO5080" s="67"/>
      <c r="JP5080" s="67"/>
      <c r="JQ5080" s="67"/>
      <c r="JR5080" s="67"/>
      <c r="JS5080" s="67"/>
      <c r="JT5080" s="67">
        <v>99999</v>
      </c>
      <c r="JU5080" s="58"/>
      <c r="JV5080" s="58"/>
      <c r="JW5080" s="58"/>
    </row>
    <row r="5081" spans="1:283" s="23" customFormat="1" x14ac:dyDescent="0.25">
      <c r="A5081" s="55">
        <v>5080</v>
      </c>
      <c r="B5081" s="12" t="s">
        <v>7067</v>
      </c>
      <c r="C5081" s="156">
        <v>261</v>
      </c>
      <c r="D5081" s="58" t="s">
        <v>5013</v>
      </c>
      <c r="E5081" s="160" t="str">
        <f>G5081</f>
        <v>Petersen et al 1997_pair 7</v>
      </c>
      <c r="F5081" s="160"/>
      <c r="G5081" s="60" t="s">
        <v>4714</v>
      </c>
      <c r="H5081" s="58">
        <v>1997</v>
      </c>
      <c r="I5081" s="58" t="s">
        <v>5746</v>
      </c>
      <c r="J5081" s="243" t="s">
        <v>1397</v>
      </c>
      <c r="K5081" s="63" t="s">
        <v>5085</v>
      </c>
      <c r="L5081" s="63" t="s">
        <v>2743</v>
      </c>
      <c r="M5081" s="94">
        <v>56.51</v>
      </c>
      <c r="N5081" s="94">
        <v>9.61</v>
      </c>
      <c r="O5081" s="94"/>
      <c r="P5081" s="58"/>
      <c r="Q5081" s="244"/>
      <c r="R5081" s="58"/>
      <c r="S5081" s="245"/>
      <c r="T5081" s="58"/>
      <c r="U5081" s="58" t="s">
        <v>1940</v>
      </c>
      <c r="V5081" s="244">
        <v>15</v>
      </c>
      <c r="W5081" s="174"/>
      <c r="X5081" s="174"/>
      <c r="Y5081" s="58" t="s">
        <v>5745</v>
      </c>
      <c r="Z5081" s="244" t="s">
        <v>5147</v>
      </c>
      <c r="AA5081" s="245">
        <v>7</v>
      </c>
      <c r="AB5081" s="67"/>
      <c r="AC5081" s="67"/>
      <c r="AD5081" s="94"/>
      <c r="AE5081" s="94"/>
      <c r="AF5081" s="94"/>
      <c r="AG5081" s="245">
        <v>14.8</v>
      </c>
      <c r="AH5081" s="58" t="s">
        <v>238</v>
      </c>
      <c r="AI5081" s="169" t="s">
        <v>5724</v>
      </c>
      <c r="AJ5081" s="94">
        <v>1.36</v>
      </c>
      <c r="AK5081" s="94"/>
      <c r="AL5081" s="58"/>
      <c r="AM5081" s="58" t="s">
        <v>5721</v>
      </c>
      <c r="AN5081" s="186"/>
      <c r="AO5081" s="185" t="s">
        <v>7494</v>
      </c>
      <c r="AP5081" s="58"/>
      <c r="AQ5081" s="58"/>
      <c r="AR5081" s="58"/>
      <c r="AS5081" s="246" t="s">
        <v>5133</v>
      </c>
      <c r="AT5081" s="247">
        <v>0</v>
      </c>
      <c r="AU5081" s="181" t="s">
        <v>7494</v>
      </c>
      <c r="AV5081" s="185" t="s">
        <v>176</v>
      </c>
      <c r="AW5081" s="244">
        <v>1</v>
      </c>
      <c r="AX5081" s="185" t="s">
        <v>176</v>
      </c>
      <c r="AY5081" s="244" t="s">
        <v>5150</v>
      </c>
      <c r="AZ5081" s="58" t="s">
        <v>5725</v>
      </c>
      <c r="BA5081" s="58" t="s">
        <v>5725</v>
      </c>
      <c r="BB5081" s="58" t="s">
        <v>2081</v>
      </c>
      <c r="BC5081" s="58" t="s">
        <v>2081</v>
      </c>
      <c r="BD5081" s="58" t="s">
        <v>176</v>
      </c>
      <c r="BE5081" s="236" t="s">
        <v>5213</v>
      </c>
      <c r="BF5081" s="191"/>
      <c r="BG5081" s="191" t="s">
        <v>479</v>
      </c>
      <c r="BH5081" s="236" t="s">
        <v>5153</v>
      </c>
      <c r="BI5081" s="191" t="s">
        <v>176</v>
      </c>
      <c r="BJ5081" s="58" t="str">
        <f>IF(BE5081=BH5081,"No","yes")</f>
        <v>yes</v>
      </c>
      <c r="BK5081" s="58" t="s">
        <v>6335</v>
      </c>
      <c r="BL5081" s="58"/>
      <c r="BM5081" s="237"/>
      <c r="BN5081" s="244">
        <v>3</v>
      </c>
      <c r="BO5081" s="244">
        <v>3</v>
      </c>
      <c r="BP5081" s="58"/>
      <c r="BQ5081" s="58"/>
      <c r="BR5081" s="58"/>
      <c r="BS5081" s="58"/>
      <c r="BT5081" s="58"/>
      <c r="BU5081" s="58"/>
      <c r="BV5081" s="58" t="s">
        <v>5727</v>
      </c>
      <c r="BW5081" s="67"/>
      <c r="BX5081" s="67"/>
      <c r="BY5081" s="67"/>
      <c r="BZ5081" s="67"/>
      <c r="CA5081" s="67"/>
      <c r="CB5081" s="70"/>
      <c r="CC5081" s="70"/>
      <c r="CD5081" s="70"/>
      <c r="CE5081" s="67"/>
      <c r="CF5081" s="67"/>
      <c r="CG5081" s="67"/>
      <c r="CH5081" s="245"/>
      <c r="CI5081" s="245"/>
      <c r="CJ5081" s="67"/>
      <c r="CK5081" s="67"/>
      <c r="CL5081" s="67"/>
      <c r="CM5081" s="242">
        <v>1.36</v>
      </c>
      <c r="CN5081" s="242">
        <v>1.7</v>
      </c>
      <c r="CO5081" s="242"/>
      <c r="CP5081" s="242"/>
      <c r="CQ5081" s="242" t="s">
        <v>164</v>
      </c>
      <c r="CR5081" s="242"/>
      <c r="CS5081" s="242"/>
      <c r="CT5081" s="242"/>
      <c r="CU5081" s="242"/>
      <c r="CV5081" s="242"/>
      <c r="CW5081" s="242"/>
      <c r="CX5081" s="242"/>
      <c r="CY5081" s="242"/>
      <c r="CZ5081" s="242"/>
      <c r="DA5081" s="67"/>
      <c r="DB5081" s="67"/>
      <c r="DC5081" s="67"/>
      <c r="DD5081" s="67"/>
      <c r="DE5081" s="67"/>
      <c r="DF5081" s="67"/>
      <c r="DG5081" s="67"/>
      <c r="DH5081" s="67"/>
      <c r="DI5081" s="67"/>
      <c r="DJ5081" s="67"/>
      <c r="DK5081" s="67"/>
      <c r="DL5081" s="67"/>
      <c r="DM5081" s="67"/>
      <c r="DN5081" s="67"/>
      <c r="DO5081" s="67"/>
      <c r="DP5081" s="67"/>
      <c r="DQ5081" s="166"/>
      <c r="DR5081" s="166"/>
      <c r="DS5081" s="163"/>
      <c r="DT5081" s="163"/>
      <c r="DU5081" s="67"/>
      <c r="DV5081" s="67"/>
      <c r="DW5081" s="67"/>
      <c r="DX5081" s="67"/>
      <c r="DY5081" s="67"/>
      <c r="DZ5081" s="67"/>
      <c r="EA5081" s="67"/>
      <c r="EB5081" s="67"/>
      <c r="EC5081" s="67"/>
      <c r="ED5081" s="67"/>
      <c r="EE5081" s="67"/>
      <c r="EF5081" s="67"/>
      <c r="EG5081" s="67"/>
      <c r="EH5081" s="67"/>
      <c r="EI5081" s="67"/>
      <c r="EJ5081" s="67"/>
      <c r="EK5081" s="94">
        <f>53.3+9.3+5.3+4.8</f>
        <v>72.699999999999989</v>
      </c>
      <c r="EL5081" s="94">
        <f>42.6+9.1+6.6+6.6</f>
        <v>64.900000000000006</v>
      </c>
      <c r="EM5081" s="67"/>
      <c r="EN5081" s="67"/>
      <c r="EO5081" s="67" t="s">
        <v>5729</v>
      </c>
      <c r="EP5081" s="67"/>
      <c r="EQ5081" s="67"/>
      <c r="ER5081" s="67"/>
      <c r="ES5081" s="67"/>
      <c r="ET5081" s="67"/>
      <c r="EU5081" s="67"/>
      <c r="EV5081" s="67"/>
      <c r="EW5081" s="67"/>
      <c r="EX5081" s="67"/>
      <c r="EY5081" s="67"/>
      <c r="EZ5081" s="67"/>
      <c r="FA5081" s="67"/>
      <c r="FB5081" s="67"/>
      <c r="FC5081" s="67"/>
      <c r="FD5081" s="67"/>
      <c r="FE5081" s="67"/>
      <c r="FF5081" s="67"/>
      <c r="FG5081" s="67"/>
      <c r="FH5081" s="67"/>
      <c r="FI5081" s="67"/>
      <c r="FJ5081" s="67"/>
      <c r="FK5081" s="67"/>
      <c r="FL5081" s="67"/>
      <c r="FM5081" s="67"/>
      <c r="FN5081" s="67"/>
      <c r="FO5081" s="67"/>
      <c r="FP5081" s="67"/>
      <c r="FQ5081" s="67"/>
      <c r="FR5081" s="67"/>
      <c r="FS5081" s="67"/>
      <c r="FT5081" s="67"/>
      <c r="FU5081" s="67"/>
      <c r="FV5081" s="67"/>
      <c r="FW5081" s="67"/>
      <c r="FX5081" s="67"/>
      <c r="FY5081" s="67"/>
      <c r="FZ5081" s="67"/>
      <c r="GA5081" s="67"/>
      <c r="GB5081" s="67"/>
      <c r="GC5081" s="67"/>
      <c r="GD5081" s="67"/>
      <c r="GE5081" s="67"/>
      <c r="GF5081" s="67"/>
      <c r="GG5081" s="67"/>
      <c r="GH5081" s="67"/>
      <c r="GI5081" s="67"/>
      <c r="GJ5081" s="67"/>
      <c r="GK5081" s="67"/>
      <c r="GL5081" s="67"/>
      <c r="GM5081" s="67"/>
      <c r="GN5081" s="292"/>
      <c r="GO5081" s="292"/>
      <c r="GP5081" s="292" t="s">
        <v>7494</v>
      </c>
      <c r="GQ5081" s="67"/>
      <c r="GR5081" s="67"/>
      <c r="GS5081" s="67"/>
      <c r="GT5081" s="67"/>
      <c r="GU5081" s="67"/>
      <c r="GV5081" s="67"/>
      <c r="GW5081" s="67"/>
      <c r="GX5081" s="67"/>
      <c r="GY5081" s="67"/>
      <c r="GZ5081" s="67"/>
      <c r="HA5081" s="67"/>
      <c r="HB5081" s="67"/>
      <c r="HC5081" s="67"/>
      <c r="HD5081" s="67"/>
      <c r="HE5081" s="67"/>
      <c r="HF5081" s="67"/>
      <c r="HG5081" s="67"/>
      <c r="HH5081" s="67"/>
      <c r="HI5081" s="67"/>
      <c r="HJ5081" s="67"/>
      <c r="HK5081" s="67"/>
      <c r="HL5081" s="67"/>
      <c r="HM5081" s="67"/>
      <c r="HN5081" s="67">
        <v>6.45</v>
      </c>
      <c r="HO5081" s="67">
        <v>7.51</v>
      </c>
      <c r="HP5081" s="67"/>
      <c r="HQ5081" s="67"/>
      <c r="HR5081" s="67" t="s">
        <v>5738</v>
      </c>
      <c r="HS5081" s="67"/>
      <c r="HT5081" s="67"/>
      <c r="HU5081" s="67"/>
      <c r="HV5081" s="67"/>
      <c r="HW5081" s="67"/>
      <c r="HX5081" s="67"/>
      <c r="HY5081" s="67"/>
      <c r="HZ5081" s="67"/>
      <c r="IA5081" s="67"/>
      <c r="IB5081" s="67"/>
      <c r="IC5081" s="67"/>
      <c r="ID5081" s="67"/>
      <c r="IE5081" s="67"/>
      <c r="IF5081" s="67"/>
      <c r="IG5081" s="67"/>
      <c r="IH5081" s="67"/>
      <c r="II5081" s="67"/>
      <c r="IJ5081" s="67"/>
      <c r="IK5081" s="67"/>
      <c r="IL5081" s="67"/>
      <c r="IM5081" s="67"/>
      <c r="IN5081" s="67"/>
      <c r="IO5081" s="67"/>
      <c r="IP5081" s="67"/>
      <c r="IQ5081" s="67"/>
      <c r="IR5081" s="67">
        <f>13.3+16.2+23.4+67.2</f>
        <v>120.1</v>
      </c>
      <c r="IS5081" s="67">
        <f>12.3+15.2+20.3+24.7</f>
        <v>72.5</v>
      </c>
      <c r="IT5081" s="67">
        <f>3.2+2.9+7.6+10.4</f>
        <v>24.1</v>
      </c>
      <c r="IU5081" s="67">
        <f>2.4+0.9+4.8+1.3</f>
        <v>9.4</v>
      </c>
      <c r="IV5081" s="67" t="s">
        <v>5726</v>
      </c>
      <c r="IW5081" s="67"/>
      <c r="IX5081" s="67"/>
      <c r="IY5081" s="67"/>
      <c r="IZ5081" s="67"/>
      <c r="JA5081" s="67"/>
      <c r="JB5081" s="67"/>
      <c r="JC5081" s="67"/>
      <c r="JD5081" s="67"/>
      <c r="JE5081" s="67"/>
      <c r="JF5081" s="67"/>
      <c r="JG5081" s="67">
        <v>29.8</v>
      </c>
      <c r="JH5081" s="67">
        <v>26.3</v>
      </c>
      <c r="JI5081" s="67">
        <v>4.5999999999999996</v>
      </c>
      <c r="JJ5081" s="67">
        <v>1.7</v>
      </c>
      <c r="JK5081" s="67" t="s">
        <v>360</v>
      </c>
      <c r="JL5081" s="67"/>
      <c r="JM5081" s="67"/>
      <c r="JN5081" s="67"/>
      <c r="JO5081" s="67"/>
      <c r="JP5081" s="67"/>
      <c r="JQ5081" s="67"/>
      <c r="JR5081" s="67"/>
      <c r="JS5081" s="67"/>
      <c r="JT5081" s="67">
        <v>99999</v>
      </c>
      <c r="JU5081" s="58"/>
      <c r="JV5081" s="58"/>
      <c r="JW5081" s="58"/>
    </row>
    <row r="5082" spans="1:283" s="23" customFormat="1" x14ac:dyDescent="0.25">
      <c r="A5082" s="55">
        <v>5081</v>
      </c>
      <c r="B5082" s="12" t="s">
        <v>7067</v>
      </c>
      <c r="C5082" s="156">
        <v>261</v>
      </c>
      <c r="D5082" s="58" t="s">
        <v>5014</v>
      </c>
      <c r="E5082" s="160" t="str">
        <f>G5082</f>
        <v>Petersen et al 1997_pair 8</v>
      </c>
      <c r="F5082" s="160"/>
      <c r="G5082" s="60" t="s">
        <v>4713</v>
      </c>
      <c r="H5082" s="58">
        <v>1997</v>
      </c>
      <c r="I5082" s="58" t="s">
        <v>5746</v>
      </c>
      <c r="J5082" s="243" t="s">
        <v>1397</v>
      </c>
      <c r="K5082" s="63" t="s">
        <v>5085</v>
      </c>
      <c r="L5082" s="63" t="s">
        <v>2743</v>
      </c>
      <c r="M5082" s="94">
        <v>56.51</v>
      </c>
      <c r="N5082" s="94">
        <v>9.61</v>
      </c>
      <c r="O5082" s="94"/>
      <c r="P5082" s="58"/>
      <c r="Q5082" s="244"/>
      <c r="R5082" s="58"/>
      <c r="S5082" s="245"/>
      <c r="T5082" s="58"/>
      <c r="U5082" s="58" t="s">
        <v>1940</v>
      </c>
      <c r="V5082" s="244">
        <v>15</v>
      </c>
      <c r="W5082" s="174"/>
      <c r="X5082" s="174"/>
      <c r="Y5082" s="58" t="s">
        <v>5745</v>
      </c>
      <c r="Z5082" s="244" t="s">
        <v>5147</v>
      </c>
      <c r="AA5082" s="245">
        <v>7</v>
      </c>
      <c r="AB5082" s="67"/>
      <c r="AC5082" s="67"/>
      <c r="AD5082" s="94"/>
      <c r="AE5082" s="94"/>
      <c r="AF5082" s="94"/>
      <c r="AG5082" s="245">
        <v>14.8</v>
      </c>
      <c r="AH5082" s="58" t="s">
        <v>238</v>
      </c>
      <c r="AI5082" s="169" t="s">
        <v>5724</v>
      </c>
      <c r="AJ5082" s="94">
        <v>1.36</v>
      </c>
      <c r="AK5082" s="94"/>
      <c r="AL5082" s="58"/>
      <c r="AM5082" s="58" t="s">
        <v>5721</v>
      </c>
      <c r="AN5082" s="186"/>
      <c r="AO5082" s="185" t="s">
        <v>7494</v>
      </c>
      <c r="AP5082" s="58"/>
      <c r="AQ5082" s="58"/>
      <c r="AR5082" s="58"/>
      <c r="AS5082" s="246" t="s">
        <v>5133</v>
      </c>
      <c r="AT5082" s="247">
        <v>0</v>
      </c>
      <c r="AU5082" s="181" t="s">
        <v>7494</v>
      </c>
      <c r="AV5082" s="185" t="s">
        <v>176</v>
      </c>
      <c r="AW5082" s="244">
        <v>1</v>
      </c>
      <c r="AX5082" s="185" t="s">
        <v>176</v>
      </c>
      <c r="AY5082" s="244" t="s">
        <v>5150</v>
      </c>
      <c r="AZ5082" s="58" t="s">
        <v>5725</v>
      </c>
      <c r="BA5082" s="58" t="s">
        <v>5725</v>
      </c>
      <c r="BB5082" s="58" t="s">
        <v>2081</v>
      </c>
      <c r="BC5082" s="58" t="s">
        <v>2081</v>
      </c>
      <c r="BD5082" s="58" t="s">
        <v>176</v>
      </c>
      <c r="BE5082" s="236" t="s">
        <v>5213</v>
      </c>
      <c r="BF5082" s="191"/>
      <c r="BG5082" s="191" t="s">
        <v>479</v>
      </c>
      <c r="BH5082" s="236" t="s">
        <v>5153</v>
      </c>
      <c r="BI5082" s="191" t="s">
        <v>176</v>
      </c>
      <c r="BJ5082" s="58" t="str">
        <f>IF(BE5082=BH5082,"No","yes")</f>
        <v>yes</v>
      </c>
      <c r="BK5082" s="58" t="s">
        <v>6335</v>
      </c>
      <c r="BL5082" s="58"/>
      <c r="BM5082" s="237"/>
      <c r="BN5082" s="244">
        <v>3</v>
      </c>
      <c r="BO5082" s="244">
        <v>3</v>
      </c>
      <c r="BP5082" s="58"/>
      <c r="BQ5082" s="58"/>
      <c r="BR5082" s="58"/>
      <c r="BS5082" s="58"/>
      <c r="BT5082" s="58"/>
      <c r="BU5082" s="58"/>
      <c r="BV5082" s="58" t="s">
        <v>5727</v>
      </c>
      <c r="BW5082" s="67"/>
      <c r="BX5082" s="67"/>
      <c r="BY5082" s="67"/>
      <c r="BZ5082" s="67"/>
      <c r="CA5082" s="67"/>
      <c r="CB5082" s="70"/>
      <c r="CC5082" s="70"/>
      <c r="CD5082" s="70"/>
      <c r="CE5082" s="67"/>
      <c r="CF5082" s="67"/>
      <c r="CG5082" s="67"/>
      <c r="CH5082" s="245"/>
      <c r="CI5082" s="245"/>
      <c r="CJ5082" s="67"/>
      <c r="CK5082" s="67"/>
      <c r="CL5082" s="67"/>
      <c r="CM5082" s="242">
        <v>1.36</v>
      </c>
      <c r="CN5082" s="242">
        <v>1.37</v>
      </c>
      <c r="CO5082" s="242"/>
      <c r="CP5082" s="242"/>
      <c r="CQ5082" s="242" t="s">
        <v>164</v>
      </c>
      <c r="CR5082" s="242"/>
      <c r="CS5082" s="242"/>
      <c r="CT5082" s="242"/>
      <c r="CU5082" s="242"/>
      <c r="CV5082" s="242"/>
      <c r="CW5082" s="242"/>
      <c r="CX5082" s="242"/>
      <c r="CY5082" s="242"/>
      <c r="CZ5082" s="242"/>
      <c r="DA5082" s="67"/>
      <c r="DB5082" s="67"/>
      <c r="DC5082" s="67"/>
      <c r="DD5082" s="67"/>
      <c r="DE5082" s="67"/>
      <c r="DF5082" s="67"/>
      <c r="DG5082" s="67"/>
      <c r="DH5082" s="67"/>
      <c r="DI5082" s="67"/>
      <c r="DJ5082" s="67"/>
      <c r="DK5082" s="67"/>
      <c r="DL5082" s="67"/>
      <c r="DM5082" s="67"/>
      <c r="DN5082" s="67"/>
      <c r="DO5082" s="67"/>
      <c r="DP5082" s="67"/>
      <c r="DQ5082" s="166"/>
      <c r="DR5082" s="166"/>
      <c r="DS5082" s="163"/>
      <c r="DT5082" s="163"/>
      <c r="DU5082" s="67"/>
      <c r="DV5082" s="67"/>
      <c r="DW5082" s="67"/>
      <c r="DX5082" s="67"/>
      <c r="DY5082" s="67"/>
      <c r="DZ5082" s="67"/>
      <c r="EA5082" s="67"/>
      <c r="EB5082" s="67"/>
      <c r="EC5082" s="67"/>
      <c r="ED5082" s="67"/>
      <c r="EE5082" s="67"/>
      <c r="EF5082" s="67"/>
      <c r="EG5082" s="67"/>
      <c r="EH5082" s="67"/>
      <c r="EI5082" s="67"/>
      <c r="EJ5082" s="67"/>
      <c r="EK5082" s="94">
        <f>53.3+9.3+5.3+4.8</f>
        <v>72.699999999999989</v>
      </c>
      <c r="EL5082" s="94">
        <f>33.5+8.3+7.2+9.4</f>
        <v>58.4</v>
      </c>
      <c r="EM5082" s="67"/>
      <c r="EN5082" s="67"/>
      <c r="EO5082" s="67" t="s">
        <v>5729</v>
      </c>
      <c r="EP5082" s="67"/>
      <c r="EQ5082" s="67"/>
      <c r="ER5082" s="67"/>
      <c r="ES5082" s="67"/>
      <c r="ET5082" s="67"/>
      <c r="EU5082" s="67"/>
      <c r="EV5082" s="67"/>
      <c r="EW5082" s="67"/>
      <c r="EX5082" s="67"/>
      <c r="EY5082" s="67"/>
      <c r="EZ5082" s="67"/>
      <c r="FA5082" s="67"/>
      <c r="FB5082" s="67"/>
      <c r="FC5082" s="67"/>
      <c r="FD5082" s="67"/>
      <c r="FE5082" s="67"/>
      <c r="FF5082" s="67"/>
      <c r="FG5082" s="67"/>
      <c r="FH5082" s="67"/>
      <c r="FI5082" s="67"/>
      <c r="FJ5082" s="67"/>
      <c r="FK5082" s="67"/>
      <c r="FL5082" s="67"/>
      <c r="FM5082" s="67"/>
      <c r="FN5082" s="67"/>
      <c r="FO5082" s="67"/>
      <c r="FP5082" s="67"/>
      <c r="FQ5082" s="67"/>
      <c r="FR5082" s="67"/>
      <c r="FS5082" s="67"/>
      <c r="FT5082" s="67"/>
      <c r="FU5082" s="67"/>
      <c r="FV5082" s="67"/>
      <c r="FW5082" s="67"/>
      <c r="FX5082" s="67"/>
      <c r="FY5082" s="67"/>
      <c r="FZ5082" s="67"/>
      <c r="GA5082" s="67"/>
      <c r="GB5082" s="67"/>
      <c r="GC5082" s="67"/>
      <c r="GD5082" s="67"/>
      <c r="GE5082" s="67"/>
      <c r="GF5082" s="67"/>
      <c r="GG5082" s="67"/>
      <c r="GH5082" s="67"/>
      <c r="GI5082" s="67"/>
      <c r="GJ5082" s="67"/>
      <c r="GK5082" s="67"/>
      <c r="GL5082" s="67"/>
      <c r="GM5082" s="67"/>
      <c r="GN5082" s="292"/>
      <c r="GO5082" s="292"/>
      <c r="GP5082" s="292" t="s">
        <v>7494</v>
      </c>
      <c r="GQ5082" s="67"/>
      <c r="GR5082" s="67"/>
      <c r="GS5082" s="67"/>
      <c r="GT5082" s="67"/>
      <c r="GU5082" s="67"/>
      <c r="GV5082" s="67"/>
      <c r="GW5082" s="67"/>
      <c r="GX5082" s="67"/>
      <c r="GY5082" s="67"/>
      <c r="GZ5082" s="67"/>
      <c r="HA5082" s="67"/>
      <c r="HB5082" s="67"/>
      <c r="HC5082" s="67"/>
      <c r="HD5082" s="67"/>
      <c r="HE5082" s="67"/>
      <c r="HF5082" s="67"/>
      <c r="HG5082" s="67"/>
      <c r="HH5082" s="67"/>
      <c r="HI5082" s="67"/>
      <c r="HJ5082" s="67"/>
      <c r="HK5082" s="67"/>
      <c r="HL5082" s="67"/>
      <c r="HM5082" s="67"/>
      <c r="HN5082" s="67">
        <v>6.45</v>
      </c>
      <c r="HO5082" s="67">
        <v>8.19</v>
      </c>
      <c r="HP5082" s="67"/>
      <c r="HQ5082" s="67"/>
      <c r="HR5082" s="67" t="s">
        <v>5738</v>
      </c>
      <c r="HS5082" s="67"/>
      <c r="HT5082" s="67"/>
      <c r="HU5082" s="67"/>
      <c r="HV5082" s="67"/>
      <c r="HW5082" s="67"/>
      <c r="HX5082" s="67"/>
      <c r="HY5082" s="67"/>
      <c r="HZ5082" s="67"/>
      <c r="IA5082" s="67"/>
      <c r="IB5082" s="67"/>
      <c r="IC5082" s="67"/>
      <c r="ID5082" s="67"/>
      <c r="IE5082" s="67"/>
      <c r="IF5082" s="67"/>
      <c r="IG5082" s="67"/>
      <c r="IH5082" s="67"/>
      <c r="II5082" s="67"/>
      <c r="IJ5082" s="67"/>
      <c r="IK5082" s="67"/>
      <c r="IL5082" s="67"/>
      <c r="IM5082" s="67"/>
      <c r="IN5082" s="67"/>
      <c r="IO5082" s="67"/>
      <c r="IP5082" s="67"/>
      <c r="IQ5082" s="67"/>
      <c r="IR5082" s="67">
        <f>13.3+16.2+23.4+67.2</f>
        <v>120.1</v>
      </c>
      <c r="IS5082" s="67">
        <f>18.4+19.2+18.5+21.7</f>
        <v>77.8</v>
      </c>
      <c r="IT5082" s="67">
        <f>3.2+2.9+7.6+10.4</f>
        <v>24.1</v>
      </c>
      <c r="IU5082" s="67">
        <f>0.8+1.7+1.7+1.6</f>
        <v>5.8000000000000007</v>
      </c>
      <c r="IV5082" s="67" t="s">
        <v>5726</v>
      </c>
      <c r="IW5082" s="67"/>
      <c r="IX5082" s="67"/>
      <c r="IY5082" s="67"/>
      <c r="IZ5082" s="67"/>
      <c r="JA5082" s="67"/>
      <c r="JB5082" s="67"/>
      <c r="JC5082" s="67"/>
      <c r="JD5082" s="67"/>
      <c r="JE5082" s="67"/>
      <c r="JF5082" s="67"/>
      <c r="JG5082" s="67">
        <v>29.8</v>
      </c>
      <c r="JH5082" s="67">
        <v>34.6</v>
      </c>
      <c r="JI5082" s="67">
        <v>4.5999999999999996</v>
      </c>
      <c r="JJ5082" s="67">
        <v>2</v>
      </c>
      <c r="JK5082" s="67" t="s">
        <v>360</v>
      </c>
      <c r="JL5082" s="67"/>
      <c r="JM5082" s="67"/>
      <c r="JN5082" s="67"/>
      <c r="JO5082" s="67"/>
      <c r="JP5082" s="67"/>
      <c r="JQ5082" s="67"/>
      <c r="JR5082" s="67"/>
      <c r="JS5082" s="67"/>
      <c r="JT5082" s="67">
        <v>99999</v>
      </c>
      <c r="JU5082" s="58"/>
      <c r="JV5082" s="58"/>
      <c r="JW5082" s="58"/>
    </row>
    <row r="5083" spans="1:283" s="23" customFormat="1" x14ac:dyDescent="0.25">
      <c r="A5083" s="55">
        <v>5082</v>
      </c>
      <c r="B5083" s="12" t="s">
        <v>7067</v>
      </c>
      <c r="C5083" s="156">
        <v>261</v>
      </c>
      <c r="D5083" s="58" t="s">
        <v>5730</v>
      </c>
      <c r="E5083" s="160" t="str">
        <f>G5083</f>
        <v>Petersen et al 1997_pair 1</v>
      </c>
      <c r="F5083" s="160"/>
      <c r="G5083" s="60" t="s">
        <v>4720</v>
      </c>
      <c r="H5083" s="58">
        <v>1997</v>
      </c>
      <c r="I5083" s="58" t="s">
        <v>5746</v>
      </c>
      <c r="J5083" s="243" t="s">
        <v>1397</v>
      </c>
      <c r="K5083" s="63" t="s">
        <v>5085</v>
      </c>
      <c r="L5083" s="63" t="s">
        <v>2743</v>
      </c>
      <c r="M5083" s="94">
        <v>56.51</v>
      </c>
      <c r="N5083" s="94">
        <v>9.61</v>
      </c>
      <c r="O5083" s="94"/>
      <c r="P5083" s="58"/>
      <c r="Q5083" s="244"/>
      <c r="R5083" s="58"/>
      <c r="S5083" s="245"/>
      <c r="T5083" s="58"/>
      <c r="U5083" s="58" t="s">
        <v>1940</v>
      </c>
      <c r="V5083" s="244">
        <v>15</v>
      </c>
      <c r="W5083" s="174"/>
      <c r="X5083" s="174"/>
      <c r="Y5083" s="58" t="s">
        <v>5745</v>
      </c>
      <c r="Z5083" s="244" t="s">
        <v>5147</v>
      </c>
      <c r="AA5083" s="245">
        <v>7</v>
      </c>
      <c r="AB5083" s="67"/>
      <c r="AC5083" s="67"/>
      <c r="AD5083" s="94"/>
      <c r="AE5083" s="94"/>
      <c r="AF5083" s="94"/>
      <c r="AG5083" s="245">
        <v>17.899999999999999</v>
      </c>
      <c r="AH5083" s="58" t="s">
        <v>238</v>
      </c>
      <c r="AI5083" s="169" t="s">
        <v>5722</v>
      </c>
      <c r="AJ5083" s="94">
        <v>1.28</v>
      </c>
      <c r="AK5083" s="94"/>
      <c r="AL5083" s="58"/>
      <c r="AM5083" s="58" t="s">
        <v>5721</v>
      </c>
      <c r="AN5083" s="186"/>
      <c r="AO5083" s="185" t="s">
        <v>7494</v>
      </c>
      <c r="AP5083" s="58"/>
      <c r="AQ5083" s="58"/>
      <c r="AR5083" s="58"/>
      <c r="AS5083" s="246" t="s">
        <v>5133</v>
      </c>
      <c r="AT5083" s="247">
        <v>0</v>
      </c>
      <c r="AU5083" s="181" t="s">
        <v>7494</v>
      </c>
      <c r="AV5083" s="185" t="s">
        <v>176</v>
      </c>
      <c r="AW5083" s="244">
        <v>1</v>
      </c>
      <c r="AX5083" s="185" t="s">
        <v>176</v>
      </c>
      <c r="AY5083" s="244" t="s">
        <v>5150</v>
      </c>
      <c r="AZ5083" s="58" t="s">
        <v>5725</v>
      </c>
      <c r="BA5083" s="58" t="s">
        <v>2261</v>
      </c>
      <c r="BB5083" s="58" t="s">
        <v>2081</v>
      </c>
      <c r="BC5083" s="58" t="s">
        <v>2081</v>
      </c>
      <c r="BD5083" s="58" t="s">
        <v>176</v>
      </c>
      <c r="BE5083" s="236" t="s">
        <v>5195</v>
      </c>
      <c r="BF5083" s="191"/>
      <c r="BG5083" s="191" t="s">
        <v>479</v>
      </c>
      <c r="BH5083" s="236" t="s">
        <v>5153</v>
      </c>
      <c r="BI5083" s="191" t="s">
        <v>176</v>
      </c>
      <c r="BJ5083" s="58" t="str">
        <f>IF(BE5083=BH5083,"No","yes")</f>
        <v>yes</v>
      </c>
      <c r="BK5083" s="58" t="s">
        <v>6335</v>
      </c>
      <c r="BL5083" s="58"/>
      <c r="BM5083" s="237"/>
      <c r="BN5083" s="244">
        <v>3</v>
      </c>
      <c r="BO5083" s="244">
        <v>3</v>
      </c>
      <c r="BP5083" s="58"/>
      <c r="BQ5083" s="58"/>
      <c r="BR5083" s="58"/>
      <c r="BS5083" s="58"/>
      <c r="BT5083" s="58"/>
      <c r="BU5083" s="58"/>
      <c r="BV5083" s="58" t="s">
        <v>5728</v>
      </c>
      <c r="BW5083" s="67"/>
      <c r="BX5083" s="67"/>
      <c r="BY5083" s="67"/>
      <c r="BZ5083" s="67"/>
      <c r="CA5083" s="67"/>
      <c r="CB5083" s="70"/>
      <c r="CC5083" s="70"/>
      <c r="CD5083" s="70"/>
      <c r="CE5083" s="67"/>
      <c r="CF5083" s="67"/>
      <c r="CG5083" s="67"/>
      <c r="CH5083" s="245"/>
      <c r="CI5083" s="245"/>
      <c r="CJ5083" s="67"/>
      <c r="CK5083" s="67"/>
      <c r="CL5083" s="67"/>
      <c r="CM5083" s="242"/>
      <c r="CN5083" s="242"/>
      <c r="CO5083" s="242"/>
      <c r="CP5083" s="242"/>
      <c r="CQ5083" s="242"/>
      <c r="CR5083" s="242"/>
      <c r="CS5083" s="242"/>
      <c r="CT5083" s="242"/>
      <c r="CU5083" s="242"/>
      <c r="CV5083" s="242"/>
      <c r="CW5083" s="242"/>
      <c r="CX5083" s="242"/>
      <c r="CY5083" s="242"/>
      <c r="CZ5083" s="242"/>
      <c r="DA5083" s="67"/>
      <c r="DB5083" s="67"/>
      <c r="DC5083" s="67"/>
      <c r="DD5083" s="67"/>
      <c r="DE5083" s="67"/>
      <c r="DF5083" s="67"/>
      <c r="DG5083" s="67"/>
      <c r="DH5083" s="67"/>
      <c r="DI5083" s="67"/>
      <c r="DJ5083" s="67"/>
      <c r="DK5083" s="67"/>
      <c r="DL5083" s="67"/>
      <c r="DM5083" s="67"/>
      <c r="DN5083" s="67"/>
      <c r="DO5083" s="67"/>
      <c r="DP5083" s="67"/>
      <c r="DQ5083" s="166"/>
      <c r="DR5083" s="166"/>
      <c r="DS5083" s="163"/>
      <c r="DT5083" s="163"/>
      <c r="DU5083" s="67"/>
      <c r="DV5083" s="67"/>
      <c r="DW5083" s="67"/>
      <c r="DX5083" s="67"/>
      <c r="DY5083" s="67"/>
      <c r="DZ5083" s="67"/>
      <c r="EA5083" s="67"/>
      <c r="EB5083" s="67"/>
      <c r="EC5083" s="67"/>
      <c r="ED5083" s="67"/>
      <c r="EE5083" s="67"/>
      <c r="EF5083" s="67"/>
      <c r="EG5083" s="67"/>
      <c r="EH5083" s="67"/>
      <c r="EI5083" s="67"/>
      <c r="EJ5083" s="67"/>
      <c r="EK5083" s="94">
        <f>46.2+9.6+4.8+1.4</f>
        <v>62</v>
      </c>
      <c r="EL5083" s="94">
        <f>54.1+5.9+2.3+0.6</f>
        <v>62.9</v>
      </c>
      <c r="EM5083" s="67"/>
      <c r="EN5083" s="67"/>
      <c r="EO5083" s="67" t="s">
        <v>5729</v>
      </c>
      <c r="EP5083" s="67"/>
      <c r="EQ5083" s="67"/>
      <c r="ER5083" s="67"/>
      <c r="ES5083" s="67"/>
      <c r="ET5083" s="67"/>
      <c r="EU5083" s="67"/>
      <c r="EV5083" s="67"/>
      <c r="EW5083" s="67"/>
      <c r="EX5083" s="67"/>
      <c r="EY5083" s="67"/>
      <c r="EZ5083" s="67"/>
      <c r="FA5083" s="67"/>
      <c r="FB5083" s="67"/>
      <c r="FC5083" s="67"/>
      <c r="FD5083" s="67"/>
      <c r="FE5083" s="67"/>
      <c r="FF5083" s="67"/>
      <c r="FG5083" s="67"/>
      <c r="FH5083" s="67"/>
      <c r="FI5083" s="67"/>
      <c r="FJ5083" s="67"/>
      <c r="FK5083" s="67"/>
      <c r="FL5083" s="67"/>
      <c r="FM5083" s="67"/>
      <c r="FN5083" s="67"/>
      <c r="FO5083" s="67"/>
      <c r="FP5083" s="67"/>
      <c r="FQ5083" s="67"/>
      <c r="FR5083" s="67"/>
      <c r="FS5083" s="67"/>
      <c r="FT5083" s="67"/>
      <c r="FU5083" s="67"/>
      <c r="FV5083" s="67"/>
      <c r="FW5083" s="67"/>
      <c r="FX5083" s="67"/>
      <c r="FY5083" s="67"/>
      <c r="FZ5083" s="67"/>
      <c r="GA5083" s="67"/>
      <c r="GB5083" s="67"/>
      <c r="GC5083" s="67"/>
      <c r="GD5083" s="67"/>
      <c r="GE5083" s="67"/>
      <c r="GF5083" s="67"/>
      <c r="GG5083" s="67"/>
      <c r="GH5083" s="67"/>
      <c r="GI5083" s="67"/>
      <c r="GJ5083" s="67"/>
      <c r="GK5083" s="67"/>
      <c r="GL5083" s="67"/>
      <c r="GM5083" s="67"/>
      <c r="GN5083" s="292"/>
      <c r="GO5083" s="292"/>
      <c r="GP5083" s="292" t="s">
        <v>7494</v>
      </c>
      <c r="GQ5083" s="67"/>
      <c r="GR5083" s="67"/>
      <c r="GS5083" s="67"/>
      <c r="GT5083" s="67"/>
      <c r="GU5083" s="67"/>
      <c r="GV5083" s="67"/>
      <c r="GW5083" s="67"/>
      <c r="GX5083" s="67"/>
      <c r="GY5083" s="67"/>
      <c r="GZ5083" s="67"/>
      <c r="HA5083" s="67"/>
      <c r="HB5083" s="67"/>
      <c r="HC5083" s="67"/>
      <c r="HD5083" s="67"/>
      <c r="HE5083" s="67"/>
      <c r="HF5083" s="67"/>
      <c r="HG5083" s="67"/>
      <c r="HH5083" s="67"/>
      <c r="HI5083" s="67"/>
      <c r="HJ5083" s="67"/>
      <c r="HK5083" s="67"/>
      <c r="HL5083" s="67"/>
      <c r="HM5083" s="67"/>
      <c r="HN5083" s="67">
        <v>2.23</v>
      </c>
      <c r="HO5083" s="67">
        <v>2.6</v>
      </c>
      <c r="HP5083" s="67"/>
      <c r="HQ5083" s="67"/>
      <c r="HR5083" s="67" t="s">
        <v>5738</v>
      </c>
      <c r="HS5083" s="67"/>
      <c r="HT5083" s="67"/>
      <c r="HU5083" s="67"/>
      <c r="HV5083" s="67"/>
      <c r="HW5083" s="67"/>
      <c r="HX5083" s="67"/>
      <c r="HY5083" s="67"/>
      <c r="HZ5083" s="67"/>
      <c r="IA5083" s="67"/>
      <c r="IB5083" s="67"/>
      <c r="IC5083" s="67"/>
      <c r="ID5083" s="67"/>
      <c r="IE5083" s="67"/>
      <c r="IF5083" s="67"/>
      <c r="IG5083" s="67"/>
      <c r="IH5083" s="67"/>
      <c r="II5083" s="67"/>
      <c r="IJ5083" s="67"/>
      <c r="IK5083" s="67"/>
      <c r="IL5083" s="67"/>
      <c r="IM5083" s="67"/>
      <c r="IN5083" s="67"/>
      <c r="IO5083" s="67"/>
      <c r="IP5083" s="67"/>
      <c r="IQ5083" s="67"/>
      <c r="IR5083" s="67"/>
      <c r="IS5083" s="67"/>
      <c r="IT5083" s="67"/>
      <c r="IU5083" s="67"/>
      <c r="IV5083" s="67"/>
      <c r="IW5083" s="67"/>
      <c r="IX5083" s="67"/>
      <c r="IY5083" s="67"/>
      <c r="IZ5083" s="67"/>
      <c r="JA5083" s="67"/>
      <c r="JB5083" s="67"/>
      <c r="JC5083" s="67"/>
      <c r="JD5083" s="67"/>
      <c r="JE5083" s="67"/>
      <c r="JF5083" s="67"/>
      <c r="JG5083" s="67"/>
      <c r="JH5083" s="67"/>
      <c r="JI5083" s="67"/>
      <c r="JJ5083" s="67"/>
      <c r="JK5083" s="67"/>
      <c r="JL5083" s="67"/>
      <c r="JM5083" s="67"/>
      <c r="JN5083" s="67"/>
      <c r="JO5083" s="67"/>
      <c r="JP5083" s="67"/>
      <c r="JQ5083" s="67"/>
      <c r="JR5083" s="67"/>
      <c r="JS5083" s="67"/>
      <c r="JT5083" s="67">
        <v>99999</v>
      </c>
      <c r="JU5083" s="58"/>
      <c r="JV5083" s="58"/>
      <c r="JW5083" s="58"/>
    </row>
    <row r="5084" spans="1:283" s="23" customFormat="1" x14ac:dyDescent="0.25">
      <c r="A5084" s="55">
        <v>5083</v>
      </c>
      <c r="B5084" s="12" t="s">
        <v>7067</v>
      </c>
      <c r="C5084" s="156">
        <v>261</v>
      </c>
      <c r="D5084" s="58" t="s">
        <v>5731</v>
      </c>
      <c r="E5084" s="160" t="str">
        <f>G5084</f>
        <v>Petersen et al 1997_pair 2</v>
      </c>
      <c r="F5084" s="160"/>
      <c r="G5084" s="60" t="s">
        <v>4719</v>
      </c>
      <c r="H5084" s="58">
        <v>1997</v>
      </c>
      <c r="I5084" s="58" t="s">
        <v>5746</v>
      </c>
      <c r="J5084" s="243" t="s">
        <v>1397</v>
      </c>
      <c r="K5084" s="63" t="s">
        <v>5085</v>
      </c>
      <c r="L5084" s="63" t="s">
        <v>2743</v>
      </c>
      <c r="M5084" s="94">
        <v>56.51</v>
      </c>
      <c r="N5084" s="94">
        <v>9.61</v>
      </c>
      <c r="O5084" s="94"/>
      <c r="P5084" s="58"/>
      <c r="Q5084" s="244"/>
      <c r="R5084" s="58"/>
      <c r="S5084" s="245"/>
      <c r="T5084" s="58"/>
      <c r="U5084" s="58" t="s">
        <v>1940</v>
      </c>
      <c r="V5084" s="244">
        <v>15</v>
      </c>
      <c r="W5084" s="174"/>
      <c r="X5084" s="174"/>
      <c r="Y5084" s="58" t="s">
        <v>5745</v>
      </c>
      <c r="Z5084" s="244" t="s">
        <v>5147</v>
      </c>
      <c r="AA5084" s="245">
        <v>7</v>
      </c>
      <c r="AB5084" s="67"/>
      <c r="AC5084" s="67"/>
      <c r="AD5084" s="94"/>
      <c r="AE5084" s="94"/>
      <c r="AF5084" s="94"/>
      <c r="AG5084" s="245">
        <v>17.899999999999999</v>
      </c>
      <c r="AH5084" s="58" t="s">
        <v>238</v>
      </c>
      <c r="AI5084" s="169" t="s">
        <v>5722</v>
      </c>
      <c r="AJ5084" s="94">
        <v>1.28</v>
      </c>
      <c r="AK5084" s="94"/>
      <c r="AL5084" s="58"/>
      <c r="AM5084" s="58" t="s">
        <v>5721</v>
      </c>
      <c r="AN5084" s="186"/>
      <c r="AO5084" s="185" t="s">
        <v>7494</v>
      </c>
      <c r="AP5084" s="58"/>
      <c r="AQ5084" s="58"/>
      <c r="AR5084" s="58"/>
      <c r="AS5084" s="246" t="s">
        <v>5133</v>
      </c>
      <c r="AT5084" s="247">
        <v>0</v>
      </c>
      <c r="AU5084" s="181" t="s">
        <v>7494</v>
      </c>
      <c r="AV5084" s="185" t="s">
        <v>176</v>
      </c>
      <c r="AW5084" s="244">
        <v>1</v>
      </c>
      <c r="AX5084" s="185" t="s">
        <v>176</v>
      </c>
      <c r="AY5084" s="244" t="s">
        <v>5150</v>
      </c>
      <c r="AZ5084" s="58" t="s">
        <v>5725</v>
      </c>
      <c r="BA5084" s="58" t="s">
        <v>5725</v>
      </c>
      <c r="BB5084" s="58" t="s">
        <v>2081</v>
      </c>
      <c r="BC5084" s="58" t="s">
        <v>2081</v>
      </c>
      <c r="BD5084" s="58" t="s">
        <v>176</v>
      </c>
      <c r="BE5084" s="236" t="s">
        <v>5195</v>
      </c>
      <c r="BF5084" s="191"/>
      <c r="BG5084" s="191" t="s">
        <v>479</v>
      </c>
      <c r="BH5084" s="236" t="s">
        <v>5153</v>
      </c>
      <c r="BI5084" s="191" t="s">
        <v>176</v>
      </c>
      <c r="BJ5084" s="58" t="str">
        <f>IF(BE5084=BH5084,"No","yes")</f>
        <v>yes</v>
      </c>
      <c r="BK5084" s="58" t="s">
        <v>6335</v>
      </c>
      <c r="BL5084" s="58"/>
      <c r="BM5084" s="237"/>
      <c r="BN5084" s="244">
        <v>3</v>
      </c>
      <c r="BO5084" s="244">
        <v>3</v>
      </c>
      <c r="BP5084" s="58"/>
      <c r="BQ5084" s="58"/>
      <c r="BR5084" s="58"/>
      <c r="BS5084" s="58"/>
      <c r="BT5084" s="58"/>
      <c r="BU5084" s="58"/>
      <c r="BV5084" s="58" t="s">
        <v>5728</v>
      </c>
      <c r="BW5084" s="67"/>
      <c r="BX5084" s="67"/>
      <c r="BY5084" s="67"/>
      <c r="BZ5084" s="67"/>
      <c r="CA5084" s="67"/>
      <c r="CB5084" s="70"/>
      <c r="CC5084" s="70"/>
      <c r="CD5084" s="70"/>
      <c r="CE5084" s="67"/>
      <c r="CF5084" s="67"/>
      <c r="CG5084" s="67"/>
      <c r="CH5084" s="245"/>
      <c r="CI5084" s="245"/>
      <c r="CJ5084" s="67"/>
      <c r="CK5084" s="67"/>
      <c r="CL5084" s="67"/>
      <c r="CM5084" s="242"/>
      <c r="CN5084" s="242"/>
      <c r="CO5084" s="242"/>
      <c r="CP5084" s="242"/>
      <c r="CQ5084" s="242"/>
      <c r="CR5084" s="242"/>
      <c r="CS5084" s="242"/>
      <c r="CT5084" s="242"/>
      <c r="CU5084" s="242"/>
      <c r="CV5084" s="242"/>
      <c r="CW5084" s="242"/>
      <c r="CX5084" s="242"/>
      <c r="CY5084" s="242"/>
      <c r="CZ5084" s="242"/>
      <c r="DA5084" s="67"/>
      <c r="DB5084" s="67"/>
      <c r="DC5084" s="67"/>
      <c r="DD5084" s="67"/>
      <c r="DE5084" s="67"/>
      <c r="DF5084" s="67"/>
      <c r="DG5084" s="67"/>
      <c r="DH5084" s="67"/>
      <c r="DI5084" s="67"/>
      <c r="DJ5084" s="67"/>
      <c r="DK5084" s="67"/>
      <c r="DL5084" s="67"/>
      <c r="DM5084" s="67"/>
      <c r="DN5084" s="67"/>
      <c r="DO5084" s="67"/>
      <c r="DP5084" s="67"/>
      <c r="DQ5084" s="166"/>
      <c r="DR5084" s="166"/>
      <c r="DS5084" s="163"/>
      <c r="DT5084" s="163"/>
      <c r="DU5084" s="67"/>
      <c r="DV5084" s="67"/>
      <c r="DW5084" s="67"/>
      <c r="DX5084" s="67"/>
      <c r="DY5084" s="67"/>
      <c r="DZ5084" s="67"/>
      <c r="EA5084" s="67"/>
      <c r="EB5084" s="67"/>
      <c r="EC5084" s="67"/>
      <c r="ED5084" s="67"/>
      <c r="EE5084" s="67"/>
      <c r="EF5084" s="67"/>
      <c r="EG5084" s="67"/>
      <c r="EH5084" s="67"/>
      <c r="EI5084" s="67"/>
      <c r="EJ5084" s="67"/>
      <c r="EK5084" s="94">
        <f>46.2+9.6+4.8+1.4</f>
        <v>62</v>
      </c>
      <c r="EL5084" s="94">
        <f>41.8+9.1+4.2+1.1</f>
        <v>56.2</v>
      </c>
      <c r="EM5084" s="67"/>
      <c r="EN5084" s="67"/>
      <c r="EO5084" s="67" t="s">
        <v>5729</v>
      </c>
      <c r="EP5084" s="67"/>
      <c r="EQ5084" s="67"/>
      <c r="ER5084" s="67"/>
      <c r="ES5084" s="67"/>
      <c r="ET5084" s="67"/>
      <c r="EU5084" s="67"/>
      <c r="EV5084" s="67"/>
      <c r="EW5084" s="67"/>
      <c r="EX5084" s="67"/>
      <c r="EY5084" s="67"/>
      <c r="EZ5084" s="67"/>
      <c r="FA5084" s="67"/>
      <c r="FB5084" s="67"/>
      <c r="FC5084" s="67"/>
      <c r="FD5084" s="67"/>
      <c r="FE5084" s="67"/>
      <c r="FF5084" s="67"/>
      <c r="FG5084" s="67"/>
      <c r="FH5084" s="67"/>
      <c r="FI5084" s="67"/>
      <c r="FJ5084" s="67"/>
      <c r="FK5084" s="67"/>
      <c r="FL5084" s="67"/>
      <c r="FM5084" s="67"/>
      <c r="FN5084" s="67"/>
      <c r="FO5084" s="67"/>
      <c r="FP5084" s="67"/>
      <c r="FQ5084" s="67"/>
      <c r="FR5084" s="67"/>
      <c r="FS5084" s="67"/>
      <c r="FT5084" s="67"/>
      <c r="FU5084" s="67"/>
      <c r="FV5084" s="67"/>
      <c r="FW5084" s="67"/>
      <c r="FX5084" s="67"/>
      <c r="FY5084" s="67"/>
      <c r="FZ5084" s="67"/>
      <c r="GA5084" s="67"/>
      <c r="GB5084" s="67"/>
      <c r="GC5084" s="67"/>
      <c r="GD5084" s="67"/>
      <c r="GE5084" s="67"/>
      <c r="GF5084" s="67"/>
      <c r="GG5084" s="67"/>
      <c r="GH5084" s="67"/>
      <c r="GI5084" s="67"/>
      <c r="GJ5084" s="67"/>
      <c r="GK5084" s="67"/>
      <c r="GL5084" s="67"/>
      <c r="GM5084" s="67"/>
      <c r="GN5084" s="292"/>
      <c r="GO5084" s="292"/>
      <c r="GP5084" s="292" t="s">
        <v>7494</v>
      </c>
      <c r="GQ5084" s="67"/>
      <c r="GR5084" s="67"/>
      <c r="GS5084" s="67"/>
      <c r="GT5084" s="67"/>
      <c r="GU5084" s="67"/>
      <c r="GV5084" s="67"/>
      <c r="GW5084" s="67"/>
      <c r="GX5084" s="67"/>
      <c r="GY5084" s="67"/>
      <c r="GZ5084" s="67"/>
      <c r="HA5084" s="67"/>
      <c r="HB5084" s="67"/>
      <c r="HC5084" s="67"/>
      <c r="HD5084" s="67"/>
      <c r="HE5084" s="67"/>
      <c r="HF5084" s="67"/>
      <c r="HG5084" s="67"/>
      <c r="HH5084" s="67"/>
      <c r="HI5084" s="67"/>
      <c r="HJ5084" s="67"/>
      <c r="HK5084" s="67"/>
      <c r="HL5084" s="67"/>
      <c r="HM5084" s="67"/>
      <c r="HN5084" s="67">
        <v>2.23</v>
      </c>
      <c r="HO5084" s="67">
        <v>2.11</v>
      </c>
      <c r="HP5084" s="67"/>
      <c r="HQ5084" s="67"/>
      <c r="HR5084" s="67" t="s">
        <v>5738</v>
      </c>
      <c r="HS5084" s="67"/>
      <c r="HT5084" s="67"/>
      <c r="HU5084" s="67"/>
      <c r="HV5084" s="67"/>
      <c r="HW5084" s="67"/>
      <c r="HX5084" s="67"/>
      <c r="HY5084" s="67"/>
      <c r="HZ5084" s="67"/>
      <c r="IA5084" s="67"/>
      <c r="IB5084" s="67"/>
      <c r="IC5084" s="67"/>
      <c r="ID5084" s="67"/>
      <c r="IE5084" s="67"/>
      <c r="IF5084" s="67"/>
      <c r="IG5084" s="67"/>
      <c r="IH5084" s="67"/>
      <c r="II5084" s="67"/>
      <c r="IJ5084" s="67"/>
      <c r="IK5084" s="67"/>
      <c r="IL5084" s="67"/>
      <c r="IM5084" s="67"/>
      <c r="IN5084" s="67"/>
      <c r="IO5084" s="67"/>
      <c r="IP5084" s="67"/>
      <c r="IQ5084" s="67"/>
      <c r="IR5084" s="67"/>
      <c r="IS5084" s="67"/>
      <c r="IT5084" s="67"/>
      <c r="IU5084" s="67"/>
      <c r="IV5084" s="67"/>
      <c r="IW5084" s="67"/>
      <c r="IX5084" s="67"/>
      <c r="IY5084" s="67"/>
      <c r="IZ5084" s="67"/>
      <c r="JA5084" s="67"/>
      <c r="JB5084" s="67"/>
      <c r="JC5084" s="67"/>
      <c r="JD5084" s="67"/>
      <c r="JE5084" s="67"/>
      <c r="JF5084" s="67"/>
      <c r="JG5084" s="67"/>
      <c r="JH5084" s="67"/>
      <c r="JI5084" s="67"/>
      <c r="JJ5084" s="67"/>
      <c r="JK5084" s="67"/>
      <c r="JL5084" s="67"/>
      <c r="JM5084" s="67"/>
      <c r="JN5084" s="67"/>
      <c r="JO5084" s="67"/>
      <c r="JP5084" s="67"/>
      <c r="JQ5084" s="67"/>
      <c r="JR5084" s="67"/>
      <c r="JS5084" s="67"/>
      <c r="JT5084" s="67">
        <v>99999</v>
      </c>
      <c r="JU5084" s="58"/>
      <c r="JV5084" s="58"/>
      <c r="JW5084" s="58"/>
    </row>
    <row r="5085" spans="1:283" s="23" customFormat="1" x14ac:dyDescent="0.25">
      <c r="A5085" s="55">
        <v>5084</v>
      </c>
      <c r="B5085" s="12" t="s">
        <v>7067</v>
      </c>
      <c r="C5085" s="156">
        <v>261</v>
      </c>
      <c r="D5085" s="58" t="s">
        <v>5732</v>
      </c>
      <c r="E5085" s="160" t="str">
        <f>G5085</f>
        <v>Petersen et al 1997_pair 3</v>
      </c>
      <c r="F5085" s="160"/>
      <c r="G5085" s="60" t="s">
        <v>4718</v>
      </c>
      <c r="H5085" s="58">
        <v>1997</v>
      </c>
      <c r="I5085" s="58" t="s">
        <v>5746</v>
      </c>
      <c r="J5085" s="243" t="s">
        <v>1397</v>
      </c>
      <c r="K5085" s="63" t="s">
        <v>5085</v>
      </c>
      <c r="L5085" s="63" t="s">
        <v>2743</v>
      </c>
      <c r="M5085" s="94">
        <v>56.51</v>
      </c>
      <c r="N5085" s="94">
        <v>9.61</v>
      </c>
      <c r="O5085" s="94"/>
      <c r="P5085" s="58"/>
      <c r="Q5085" s="244"/>
      <c r="R5085" s="58"/>
      <c r="S5085" s="245"/>
      <c r="T5085" s="58"/>
      <c r="U5085" s="58" t="s">
        <v>1940</v>
      </c>
      <c r="V5085" s="244">
        <v>15</v>
      </c>
      <c r="W5085" s="174"/>
      <c r="X5085" s="174"/>
      <c r="Y5085" s="58" t="s">
        <v>5745</v>
      </c>
      <c r="Z5085" s="244" t="s">
        <v>5147</v>
      </c>
      <c r="AA5085" s="245">
        <v>7</v>
      </c>
      <c r="AB5085" s="67"/>
      <c r="AC5085" s="67"/>
      <c r="AD5085" s="94"/>
      <c r="AE5085" s="94"/>
      <c r="AF5085" s="94"/>
      <c r="AG5085" s="245">
        <v>17.899999999999999</v>
      </c>
      <c r="AH5085" s="58" t="s">
        <v>238</v>
      </c>
      <c r="AI5085" s="169" t="s">
        <v>5722</v>
      </c>
      <c r="AJ5085" s="94">
        <v>1.28</v>
      </c>
      <c r="AK5085" s="94"/>
      <c r="AL5085" s="58"/>
      <c r="AM5085" s="58" t="s">
        <v>5721</v>
      </c>
      <c r="AN5085" s="186"/>
      <c r="AO5085" s="185" t="s">
        <v>7494</v>
      </c>
      <c r="AP5085" s="58"/>
      <c r="AQ5085" s="58"/>
      <c r="AR5085" s="58"/>
      <c r="AS5085" s="246" t="s">
        <v>5133</v>
      </c>
      <c r="AT5085" s="247">
        <v>0</v>
      </c>
      <c r="AU5085" s="181" t="s">
        <v>7494</v>
      </c>
      <c r="AV5085" s="185" t="s">
        <v>176</v>
      </c>
      <c r="AW5085" s="244">
        <v>1</v>
      </c>
      <c r="AX5085" s="185" t="s">
        <v>176</v>
      </c>
      <c r="AY5085" s="244" t="s">
        <v>5150</v>
      </c>
      <c r="AZ5085" s="58" t="s">
        <v>5725</v>
      </c>
      <c r="BA5085" s="58" t="s">
        <v>5725</v>
      </c>
      <c r="BB5085" s="58" t="s">
        <v>2081</v>
      </c>
      <c r="BC5085" s="58" t="s">
        <v>2081</v>
      </c>
      <c r="BD5085" s="58" t="s">
        <v>176</v>
      </c>
      <c r="BE5085" s="236" t="s">
        <v>5195</v>
      </c>
      <c r="BF5085" s="191"/>
      <c r="BG5085" s="191" t="s">
        <v>479</v>
      </c>
      <c r="BH5085" s="236" t="s">
        <v>5153</v>
      </c>
      <c r="BI5085" s="191" t="s">
        <v>176</v>
      </c>
      <c r="BJ5085" s="58" t="str">
        <f>IF(BE5085=BH5085,"No","yes")</f>
        <v>yes</v>
      </c>
      <c r="BK5085" s="58" t="s">
        <v>6335</v>
      </c>
      <c r="BL5085" s="58"/>
      <c r="BM5085" s="237"/>
      <c r="BN5085" s="244">
        <v>3</v>
      </c>
      <c r="BO5085" s="244">
        <v>3</v>
      </c>
      <c r="BP5085" s="58"/>
      <c r="BQ5085" s="58"/>
      <c r="BR5085" s="58"/>
      <c r="BS5085" s="58"/>
      <c r="BT5085" s="58"/>
      <c r="BU5085" s="58"/>
      <c r="BV5085" s="58" t="s">
        <v>5728</v>
      </c>
      <c r="BW5085" s="67"/>
      <c r="BX5085" s="67"/>
      <c r="BY5085" s="67"/>
      <c r="BZ5085" s="67"/>
      <c r="CA5085" s="67"/>
      <c r="CB5085" s="70"/>
      <c r="CC5085" s="70"/>
      <c r="CD5085" s="70"/>
      <c r="CE5085" s="67"/>
      <c r="CF5085" s="67"/>
      <c r="CG5085" s="67"/>
      <c r="CH5085" s="245"/>
      <c r="CI5085" s="245"/>
      <c r="CJ5085" s="67"/>
      <c r="CK5085" s="67"/>
      <c r="CL5085" s="67"/>
      <c r="CM5085" s="242"/>
      <c r="CN5085" s="242"/>
      <c r="CO5085" s="242"/>
      <c r="CP5085" s="242"/>
      <c r="CQ5085" s="242"/>
      <c r="CR5085" s="242"/>
      <c r="CS5085" s="242"/>
      <c r="CT5085" s="242"/>
      <c r="CU5085" s="242"/>
      <c r="CV5085" s="242"/>
      <c r="CW5085" s="242"/>
      <c r="CX5085" s="242"/>
      <c r="CY5085" s="242"/>
      <c r="CZ5085" s="242"/>
      <c r="DA5085" s="67"/>
      <c r="DB5085" s="67"/>
      <c r="DC5085" s="67"/>
      <c r="DD5085" s="67"/>
      <c r="DE5085" s="67"/>
      <c r="DF5085" s="67"/>
      <c r="DG5085" s="67"/>
      <c r="DH5085" s="67"/>
      <c r="DI5085" s="67"/>
      <c r="DJ5085" s="67"/>
      <c r="DK5085" s="67"/>
      <c r="DL5085" s="67"/>
      <c r="DM5085" s="67"/>
      <c r="DN5085" s="67"/>
      <c r="DO5085" s="67"/>
      <c r="DP5085" s="67"/>
      <c r="DQ5085" s="166"/>
      <c r="DR5085" s="166"/>
      <c r="DS5085" s="163"/>
      <c r="DT5085" s="163"/>
      <c r="DU5085" s="67"/>
      <c r="DV5085" s="67"/>
      <c r="DW5085" s="67"/>
      <c r="DX5085" s="67"/>
      <c r="DY5085" s="67"/>
      <c r="DZ5085" s="67"/>
      <c r="EA5085" s="67"/>
      <c r="EB5085" s="67"/>
      <c r="EC5085" s="67"/>
      <c r="ED5085" s="67"/>
      <c r="EE5085" s="67"/>
      <c r="EF5085" s="67"/>
      <c r="EG5085" s="67"/>
      <c r="EH5085" s="67"/>
      <c r="EI5085" s="67"/>
      <c r="EJ5085" s="67"/>
      <c r="EK5085" s="94">
        <f>46.2+9.6+4.8+1.4</f>
        <v>62</v>
      </c>
      <c r="EL5085" s="94">
        <f>41.9+8+3.7+1.1</f>
        <v>54.7</v>
      </c>
      <c r="EM5085" s="67"/>
      <c r="EN5085" s="67"/>
      <c r="EO5085" s="67" t="s">
        <v>5729</v>
      </c>
      <c r="EP5085" s="67"/>
      <c r="EQ5085" s="67"/>
      <c r="ER5085" s="67"/>
      <c r="ES5085" s="67"/>
      <c r="ET5085" s="67"/>
      <c r="EU5085" s="67"/>
      <c r="EV5085" s="67"/>
      <c r="EW5085" s="67"/>
      <c r="EX5085" s="67"/>
      <c r="EY5085" s="67"/>
      <c r="EZ5085" s="67"/>
      <c r="FA5085" s="67"/>
      <c r="FB5085" s="67"/>
      <c r="FC5085" s="67"/>
      <c r="FD5085" s="67"/>
      <c r="FE5085" s="67"/>
      <c r="FF5085" s="67"/>
      <c r="FG5085" s="67"/>
      <c r="FH5085" s="67"/>
      <c r="FI5085" s="67"/>
      <c r="FJ5085" s="67"/>
      <c r="FK5085" s="67"/>
      <c r="FL5085" s="67"/>
      <c r="FM5085" s="67"/>
      <c r="FN5085" s="67"/>
      <c r="FO5085" s="67"/>
      <c r="FP5085" s="67"/>
      <c r="FQ5085" s="67"/>
      <c r="FR5085" s="67"/>
      <c r="FS5085" s="67"/>
      <c r="FT5085" s="67"/>
      <c r="FU5085" s="67"/>
      <c r="FV5085" s="67"/>
      <c r="FW5085" s="67"/>
      <c r="FX5085" s="67"/>
      <c r="FY5085" s="67"/>
      <c r="FZ5085" s="67"/>
      <c r="GA5085" s="67"/>
      <c r="GB5085" s="67"/>
      <c r="GC5085" s="67"/>
      <c r="GD5085" s="67"/>
      <c r="GE5085" s="67"/>
      <c r="GF5085" s="67"/>
      <c r="GG5085" s="67"/>
      <c r="GH5085" s="67"/>
      <c r="GI5085" s="67"/>
      <c r="GJ5085" s="67"/>
      <c r="GK5085" s="67"/>
      <c r="GL5085" s="67"/>
      <c r="GM5085" s="67"/>
      <c r="GN5085" s="292"/>
      <c r="GO5085" s="292"/>
      <c r="GP5085" s="292" t="s">
        <v>7494</v>
      </c>
      <c r="GQ5085" s="67"/>
      <c r="GR5085" s="67"/>
      <c r="GS5085" s="67"/>
      <c r="GT5085" s="67"/>
      <c r="GU5085" s="67"/>
      <c r="GV5085" s="67"/>
      <c r="GW5085" s="67"/>
      <c r="GX5085" s="67"/>
      <c r="GY5085" s="67"/>
      <c r="GZ5085" s="67"/>
      <c r="HA5085" s="67"/>
      <c r="HB5085" s="67"/>
      <c r="HC5085" s="67"/>
      <c r="HD5085" s="67"/>
      <c r="HE5085" s="67"/>
      <c r="HF5085" s="67"/>
      <c r="HG5085" s="67"/>
      <c r="HH5085" s="67"/>
      <c r="HI5085" s="67"/>
      <c r="HJ5085" s="67"/>
      <c r="HK5085" s="67"/>
      <c r="HL5085" s="67"/>
      <c r="HM5085" s="67"/>
      <c r="HN5085" s="67">
        <v>2.23</v>
      </c>
      <c r="HO5085" s="67">
        <v>2.1800000000000002</v>
      </c>
      <c r="HP5085" s="67"/>
      <c r="HQ5085" s="67"/>
      <c r="HR5085" s="67" t="s">
        <v>5738</v>
      </c>
      <c r="HS5085" s="67"/>
      <c r="HT5085" s="67"/>
      <c r="HU5085" s="67"/>
      <c r="HV5085" s="67"/>
      <c r="HW5085" s="67"/>
      <c r="HX5085" s="67"/>
      <c r="HY5085" s="67"/>
      <c r="HZ5085" s="67"/>
      <c r="IA5085" s="67"/>
      <c r="IB5085" s="67"/>
      <c r="IC5085" s="67"/>
      <c r="ID5085" s="67"/>
      <c r="IE5085" s="67"/>
      <c r="IF5085" s="67"/>
      <c r="IG5085" s="67"/>
      <c r="IH5085" s="67"/>
      <c r="II5085" s="67"/>
      <c r="IJ5085" s="67"/>
      <c r="IK5085" s="67"/>
      <c r="IL5085" s="67"/>
      <c r="IM5085" s="67"/>
      <c r="IN5085" s="67"/>
      <c r="IO5085" s="67"/>
      <c r="IP5085" s="67"/>
      <c r="IQ5085" s="67"/>
      <c r="IR5085" s="67"/>
      <c r="IS5085" s="67"/>
      <c r="IT5085" s="67"/>
      <c r="IU5085" s="67"/>
      <c r="IV5085" s="67"/>
      <c r="IW5085" s="67"/>
      <c r="IX5085" s="67"/>
      <c r="IY5085" s="67"/>
      <c r="IZ5085" s="67"/>
      <c r="JA5085" s="67"/>
      <c r="JB5085" s="67"/>
      <c r="JC5085" s="67"/>
      <c r="JD5085" s="67"/>
      <c r="JE5085" s="67"/>
      <c r="JF5085" s="67"/>
      <c r="JG5085" s="67"/>
      <c r="JH5085" s="67"/>
      <c r="JI5085" s="67"/>
      <c r="JJ5085" s="67"/>
      <c r="JK5085" s="67"/>
      <c r="JL5085" s="67"/>
      <c r="JM5085" s="67"/>
      <c r="JN5085" s="67"/>
      <c r="JO5085" s="67"/>
      <c r="JP5085" s="67"/>
      <c r="JQ5085" s="67"/>
      <c r="JR5085" s="67"/>
      <c r="JS5085" s="67"/>
      <c r="JT5085" s="67">
        <v>99999</v>
      </c>
      <c r="JU5085" s="58"/>
      <c r="JV5085" s="58"/>
      <c r="JW5085" s="58"/>
    </row>
    <row r="5086" spans="1:283" s="23" customFormat="1" x14ac:dyDescent="0.25">
      <c r="A5086" s="55">
        <v>5085</v>
      </c>
      <c r="B5086" s="12" t="s">
        <v>7067</v>
      </c>
      <c r="C5086" s="156">
        <v>261</v>
      </c>
      <c r="D5086" s="58" t="s">
        <v>5733</v>
      </c>
      <c r="E5086" s="160" t="str">
        <f>G5086</f>
        <v>Petersen et al 1997_pair 4</v>
      </c>
      <c r="F5086" s="160"/>
      <c r="G5086" s="60" t="s">
        <v>4717</v>
      </c>
      <c r="H5086" s="58">
        <v>1997</v>
      </c>
      <c r="I5086" s="58" t="s">
        <v>5746</v>
      </c>
      <c r="J5086" s="243" t="s">
        <v>1397</v>
      </c>
      <c r="K5086" s="63" t="s">
        <v>5085</v>
      </c>
      <c r="L5086" s="63" t="s">
        <v>2743</v>
      </c>
      <c r="M5086" s="94">
        <v>56.51</v>
      </c>
      <c r="N5086" s="94">
        <v>9.61</v>
      </c>
      <c r="O5086" s="94"/>
      <c r="P5086" s="58"/>
      <c r="Q5086" s="244"/>
      <c r="R5086" s="58"/>
      <c r="S5086" s="245"/>
      <c r="T5086" s="58"/>
      <c r="U5086" s="58" t="s">
        <v>1940</v>
      </c>
      <c r="V5086" s="244">
        <v>15</v>
      </c>
      <c r="W5086" s="174"/>
      <c r="X5086" s="174"/>
      <c r="Y5086" s="58" t="s">
        <v>5745</v>
      </c>
      <c r="Z5086" s="244" t="s">
        <v>5147</v>
      </c>
      <c r="AA5086" s="245">
        <v>7</v>
      </c>
      <c r="AB5086" s="67"/>
      <c r="AC5086" s="67"/>
      <c r="AD5086" s="94"/>
      <c r="AE5086" s="94"/>
      <c r="AF5086" s="94"/>
      <c r="AG5086" s="245">
        <v>17.899999999999999</v>
      </c>
      <c r="AH5086" s="58" t="s">
        <v>238</v>
      </c>
      <c r="AI5086" s="169" t="s">
        <v>5722</v>
      </c>
      <c r="AJ5086" s="94">
        <v>1.28</v>
      </c>
      <c r="AK5086" s="94"/>
      <c r="AL5086" s="58"/>
      <c r="AM5086" s="58" t="s">
        <v>5721</v>
      </c>
      <c r="AN5086" s="186"/>
      <c r="AO5086" s="185" t="s">
        <v>7494</v>
      </c>
      <c r="AP5086" s="58"/>
      <c r="AQ5086" s="58"/>
      <c r="AR5086" s="58"/>
      <c r="AS5086" s="246" t="s">
        <v>5133</v>
      </c>
      <c r="AT5086" s="247">
        <v>0</v>
      </c>
      <c r="AU5086" s="181" t="s">
        <v>7494</v>
      </c>
      <c r="AV5086" s="185" t="s">
        <v>176</v>
      </c>
      <c r="AW5086" s="244">
        <v>1</v>
      </c>
      <c r="AX5086" s="185" t="s">
        <v>176</v>
      </c>
      <c r="AY5086" s="244" t="s">
        <v>5150</v>
      </c>
      <c r="AZ5086" s="58" t="s">
        <v>5725</v>
      </c>
      <c r="BA5086" s="58" t="s">
        <v>5725</v>
      </c>
      <c r="BB5086" s="58" t="s">
        <v>2081</v>
      </c>
      <c r="BC5086" s="58" t="s">
        <v>2081</v>
      </c>
      <c r="BD5086" s="58" t="s">
        <v>176</v>
      </c>
      <c r="BE5086" s="236" t="s">
        <v>5195</v>
      </c>
      <c r="BF5086" s="191"/>
      <c r="BG5086" s="191" t="s">
        <v>479</v>
      </c>
      <c r="BH5086" s="236" t="s">
        <v>5153</v>
      </c>
      <c r="BI5086" s="191" t="s">
        <v>176</v>
      </c>
      <c r="BJ5086" s="58" t="str">
        <f>IF(BE5086=BH5086,"No","yes")</f>
        <v>yes</v>
      </c>
      <c r="BK5086" s="58" t="s">
        <v>6335</v>
      </c>
      <c r="BL5086" s="58"/>
      <c r="BM5086" s="237"/>
      <c r="BN5086" s="244">
        <v>3</v>
      </c>
      <c r="BO5086" s="244">
        <v>3</v>
      </c>
      <c r="BP5086" s="58"/>
      <c r="BQ5086" s="58"/>
      <c r="BR5086" s="58"/>
      <c r="BS5086" s="58"/>
      <c r="BT5086" s="58"/>
      <c r="BU5086" s="58"/>
      <c r="BV5086" s="58" t="s">
        <v>5728</v>
      </c>
      <c r="BW5086" s="67"/>
      <c r="BX5086" s="67"/>
      <c r="BY5086" s="67"/>
      <c r="BZ5086" s="67"/>
      <c r="CA5086" s="67"/>
      <c r="CB5086" s="70"/>
      <c r="CC5086" s="70"/>
      <c r="CD5086" s="70"/>
      <c r="CE5086" s="67"/>
      <c r="CF5086" s="67"/>
      <c r="CG5086" s="67"/>
      <c r="CH5086" s="245"/>
      <c r="CI5086" s="245"/>
      <c r="CJ5086" s="67"/>
      <c r="CK5086" s="67"/>
      <c r="CL5086" s="67"/>
      <c r="CM5086" s="242"/>
      <c r="CN5086" s="242"/>
      <c r="CO5086" s="242"/>
      <c r="CP5086" s="242"/>
      <c r="CQ5086" s="242"/>
      <c r="CR5086" s="242"/>
      <c r="CS5086" s="242"/>
      <c r="CT5086" s="242"/>
      <c r="CU5086" s="242"/>
      <c r="CV5086" s="242"/>
      <c r="CW5086" s="242"/>
      <c r="CX5086" s="242"/>
      <c r="CY5086" s="242"/>
      <c r="CZ5086" s="242"/>
      <c r="DA5086" s="67"/>
      <c r="DB5086" s="67"/>
      <c r="DC5086" s="67"/>
      <c r="DD5086" s="67"/>
      <c r="DE5086" s="67"/>
      <c r="DF5086" s="67"/>
      <c r="DG5086" s="67"/>
      <c r="DH5086" s="67"/>
      <c r="DI5086" s="67"/>
      <c r="DJ5086" s="67"/>
      <c r="DK5086" s="67"/>
      <c r="DL5086" s="67"/>
      <c r="DM5086" s="67"/>
      <c r="DN5086" s="67"/>
      <c r="DO5086" s="67"/>
      <c r="DP5086" s="67"/>
      <c r="DQ5086" s="166"/>
      <c r="DR5086" s="166"/>
      <c r="DS5086" s="163"/>
      <c r="DT5086" s="163"/>
      <c r="DU5086" s="67"/>
      <c r="DV5086" s="67"/>
      <c r="DW5086" s="67"/>
      <c r="DX5086" s="67"/>
      <c r="DY5086" s="67"/>
      <c r="DZ5086" s="67"/>
      <c r="EA5086" s="67"/>
      <c r="EB5086" s="67"/>
      <c r="EC5086" s="67"/>
      <c r="ED5086" s="67"/>
      <c r="EE5086" s="67"/>
      <c r="EF5086" s="67"/>
      <c r="EG5086" s="67"/>
      <c r="EH5086" s="67"/>
      <c r="EI5086" s="67"/>
      <c r="EJ5086" s="67"/>
      <c r="EK5086" s="94">
        <f>46.2+9.6+4.8+1.4</f>
        <v>62</v>
      </c>
      <c r="EL5086" s="94">
        <f>32.8+7.2+4.3+1.7</f>
        <v>46</v>
      </c>
      <c r="EM5086" s="67"/>
      <c r="EN5086" s="67"/>
      <c r="EO5086" s="67" t="s">
        <v>5729</v>
      </c>
      <c r="EP5086" s="67"/>
      <c r="EQ5086" s="67"/>
      <c r="ER5086" s="67"/>
      <c r="ES5086" s="67"/>
      <c r="ET5086" s="67"/>
      <c r="EU5086" s="67"/>
      <c r="EV5086" s="67"/>
      <c r="EW5086" s="67"/>
      <c r="EX5086" s="67"/>
      <c r="EY5086" s="67"/>
      <c r="EZ5086" s="67"/>
      <c r="FA5086" s="67"/>
      <c r="FB5086" s="67"/>
      <c r="FC5086" s="67"/>
      <c r="FD5086" s="67"/>
      <c r="FE5086" s="67"/>
      <c r="FF5086" s="67"/>
      <c r="FG5086" s="67"/>
      <c r="FH5086" s="67"/>
      <c r="FI5086" s="67"/>
      <c r="FJ5086" s="67"/>
      <c r="FK5086" s="67"/>
      <c r="FL5086" s="67"/>
      <c r="FM5086" s="67"/>
      <c r="FN5086" s="67"/>
      <c r="FO5086" s="67"/>
      <c r="FP5086" s="67"/>
      <c r="FQ5086" s="67"/>
      <c r="FR5086" s="67"/>
      <c r="FS5086" s="67"/>
      <c r="FT5086" s="67"/>
      <c r="FU5086" s="67"/>
      <c r="FV5086" s="67"/>
      <c r="FW5086" s="67"/>
      <c r="FX5086" s="67"/>
      <c r="FY5086" s="67"/>
      <c r="FZ5086" s="67"/>
      <c r="GA5086" s="67"/>
      <c r="GB5086" s="67"/>
      <c r="GC5086" s="67"/>
      <c r="GD5086" s="67"/>
      <c r="GE5086" s="67"/>
      <c r="GF5086" s="67"/>
      <c r="GG5086" s="67"/>
      <c r="GH5086" s="67"/>
      <c r="GI5086" s="67"/>
      <c r="GJ5086" s="67"/>
      <c r="GK5086" s="67"/>
      <c r="GL5086" s="67"/>
      <c r="GM5086" s="67"/>
      <c r="GN5086" s="292"/>
      <c r="GO5086" s="292"/>
      <c r="GP5086" s="292" t="s">
        <v>7494</v>
      </c>
      <c r="GQ5086" s="67"/>
      <c r="GR5086" s="67"/>
      <c r="GS5086" s="67"/>
      <c r="GT5086" s="67"/>
      <c r="GU5086" s="67"/>
      <c r="GV5086" s="67"/>
      <c r="GW5086" s="67"/>
      <c r="GX5086" s="67"/>
      <c r="GY5086" s="67"/>
      <c r="GZ5086" s="67"/>
      <c r="HA5086" s="67"/>
      <c r="HB5086" s="67"/>
      <c r="HC5086" s="67"/>
      <c r="HD5086" s="67"/>
      <c r="HE5086" s="67"/>
      <c r="HF5086" s="67"/>
      <c r="HG5086" s="67"/>
      <c r="HH5086" s="67"/>
      <c r="HI5086" s="67"/>
      <c r="HJ5086" s="67"/>
      <c r="HK5086" s="67"/>
      <c r="HL5086" s="67"/>
      <c r="HM5086" s="67"/>
      <c r="HN5086" s="67">
        <v>2.23</v>
      </c>
      <c r="HO5086" s="67">
        <v>2.41</v>
      </c>
      <c r="HP5086" s="67"/>
      <c r="HQ5086" s="67"/>
      <c r="HR5086" s="67" t="s">
        <v>5738</v>
      </c>
      <c r="HS5086" s="67"/>
      <c r="HT5086" s="67"/>
      <c r="HU5086" s="67"/>
      <c r="HV5086" s="67"/>
      <c r="HW5086" s="67"/>
      <c r="HX5086" s="67"/>
      <c r="HY5086" s="67"/>
      <c r="HZ5086" s="67"/>
      <c r="IA5086" s="67"/>
      <c r="IB5086" s="67"/>
      <c r="IC5086" s="67"/>
      <c r="ID5086" s="67"/>
      <c r="IE5086" s="67"/>
      <c r="IF5086" s="67"/>
      <c r="IG5086" s="67"/>
      <c r="IH5086" s="67"/>
      <c r="II5086" s="67"/>
      <c r="IJ5086" s="67"/>
      <c r="IK5086" s="67"/>
      <c r="IL5086" s="67"/>
      <c r="IM5086" s="67"/>
      <c r="IN5086" s="67"/>
      <c r="IO5086" s="67"/>
      <c r="IP5086" s="67"/>
      <c r="IQ5086" s="67"/>
      <c r="IR5086" s="67"/>
      <c r="IS5086" s="67"/>
      <c r="IT5086" s="67"/>
      <c r="IU5086" s="67"/>
      <c r="IV5086" s="67"/>
      <c r="IW5086" s="67"/>
      <c r="IX5086" s="67"/>
      <c r="IY5086" s="67"/>
      <c r="IZ5086" s="67"/>
      <c r="JA5086" s="67"/>
      <c r="JB5086" s="67"/>
      <c r="JC5086" s="67"/>
      <c r="JD5086" s="67"/>
      <c r="JE5086" s="67"/>
      <c r="JF5086" s="67"/>
      <c r="JG5086" s="67"/>
      <c r="JH5086" s="67"/>
      <c r="JI5086" s="67"/>
      <c r="JJ5086" s="67"/>
      <c r="JK5086" s="67"/>
      <c r="JL5086" s="67"/>
      <c r="JM5086" s="67"/>
      <c r="JN5086" s="67"/>
      <c r="JO5086" s="67"/>
      <c r="JP5086" s="67"/>
      <c r="JQ5086" s="67"/>
      <c r="JR5086" s="67"/>
      <c r="JS5086" s="67"/>
      <c r="JT5086" s="67">
        <v>99999</v>
      </c>
      <c r="JU5086" s="58"/>
      <c r="JV5086" s="58"/>
      <c r="JW5086" s="58"/>
    </row>
    <row r="5087" spans="1:283" s="23" customFormat="1" x14ac:dyDescent="0.25">
      <c r="A5087" s="55">
        <v>5086</v>
      </c>
      <c r="B5087" s="12" t="s">
        <v>7067</v>
      </c>
      <c r="C5087" s="156">
        <v>261</v>
      </c>
      <c r="D5087" s="58" t="s">
        <v>5734</v>
      </c>
      <c r="E5087" s="160" t="str">
        <f>G5087</f>
        <v>Petersen et al 1997_pair 5</v>
      </c>
      <c r="F5087" s="160"/>
      <c r="G5087" s="60" t="s">
        <v>4716</v>
      </c>
      <c r="H5087" s="58">
        <v>1997</v>
      </c>
      <c r="I5087" s="58" t="s">
        <v>5746</v>
      </c>
      <c r="J5087" s="243" t="s">
        <v>1397</v>
      </c>
      <c r="K5087" s="63" t="s">
        <v>5085</v>
      </c>
      <c r="L5087" s="63" t="s">
        <v>2743</v>
      </c>
      <c r="M5087" s="94">
        <v>56.51</v>
      </c>
      <c r="N5087" s="94">
        <v>9.61</v>
      </c>
      <c r="O5087" s="94"/>
      <c r="P5087" s="58"/>
      <c r="Q5087" s="244"/>
      <c r="R5087" s="58"/>
      <c r="S5087" s="245"/>
      <c r="T5087" s="58"/>
      <c r="U5087" s="58" t="s">
        <v>1940</v>
      </c>
      <c r="V5087" s="244">
        <v>15</v>
      </c>
      <c r="W5087" s="174"/>
      <c r="X5087" s="174"/>
      <c r="Y5087" s="58" t="s">
        <v>5745</v>
      </c>
      <c r="Z5087" s="244" t="s">
        <v>5147</v>
      </c>
      <c r="AA5087" s="245">
        <v>7</v>
      </c>
      <c r="AB5087" s="67"/>
      <c r="AC5087" s="67"/>
      <c r="AD5087" s="94"/>
      <c r="AE5087" s="94"/>
      <c r="AF5087" s="94"/>
      <c r="AG5087" s="245">
        <v>14.8</v>
      </c>
      <c r="AH5087" s="58" t="s">
        <v>238</v>
      </c>
      <c r="AI5087" s="169" t="s">
        <v>5724</v>
      </c>
      <c r="AJ5087" s="94">
        <v>1.36</v>
      </c>
      <c r="AK5087" s="94"/>
      <c r="AL5087" s="58"/>
      <c r="AM5087" s="58" t="s">
        <v>5721</v>
      </c>
      <c r="AN5087" s="186"/>
      <c r="AO5087" s="185" t="s">
        <v>7494</v>
      </c>
      <c r="AP5087" s="58"/>
      <c r="AQ5087" s="58"/>
      <c r="AR5087" s="58"/>
      <c r="AS5087" s="246" t="s">
        <v>5133</v>
      </c>
      <c r="AT5087" s="247">
        <v>0</v>
      </c>
      <c r="AU5087" s="181" t="s">
        <v>7494</v>
      </c>
      <c r="AV5087" s="185" t="s">
        <v>176</v>
      </c>
      <c r="AW5087" s="244">
        <v>1</v>
      </c>
      <c r="AX5087" s="185" t="s">
        <v>176</v>
      </c>
      <c r="AY5087" s="244" t="s">
        <v>5150</v>
      </c>
      <c r="AZ5087" s="58" t="s">
        <v>5725</v>
      </c>
      <c r="BA5087" s="58" t="s">
        <v>5725</v>
      </c>
      <c r="BB5087" s="58" t="s">
        <v>2081</v>
      </c>
      <c r="BC5087" s="58" t="s">
        <v>2081</v>
      </c>
      <c r="BD5087" s="58" t="s">
        <v>176</v>
      </c>
      <c r="BE5087" s="236" t="s">
        <v>5213</v>
      </c>
      <c r="BF5087" s="191"/>
      <c r="BG5087" s="191" t="s">
        <v>479</v>
      </c>
      <c r="BH5087" s="236" t="s">
        <v>5153</v>
      </c>
      <c r="BI5087" s="191" t="s">
        <v>176</v>
      </c>
      <c r="BJ5087" s="58" t="str">
        <f>IF(BE5087=BH5087,"No","yes")</f>
        <v>yes</v>
      </c>
      <c r="BK5087" s="58" t="s">
        <v>6335</v>
      </c>
      <c r="BL5087" s="58"/>
      <c r="BM5087" s="237"/>
      <c r="BN5087" s="244">
        <v>3</v>
      </c>
      <c r="BO5087" s="244">
        <v>3</v>
      </c>
      <c r="BP5087" s="58"/>
      <c r="BQ5087" s="58"/>
      <c r="BR5087" s="58"/>
      <c r="BS5087" s="58"/>
      <c r="BT5087" s="58"/>
      <c r="BU5087" s="58"/>
      <c r="BV5087" s="58" t="s">
        <v>5728</v>
      </c>
      <c r="BW5087" s="67"/>
      <c r="BX5087" s="67"/>
      <c r="BY5087" s="67"/>
      <c r="BZ5087" s="67"/>
      <c r="CA5087" s="67"/>
      <c r="CB5087" s="70"/>
      <c r="CC5087" s="70"/>
      <c r="CD5087" s="70"/>
      <c r="CE5087" s="67"/>
      <c r="CF5087" s="67"/>
      <c r="CG5087" s="67"/>
      <c r="CH5087" s="245"/>
      <c r="CI5087" s="245"/>
      <c r="CJ5087" s="67"/>
      <c r="CK5087" s="67"/>
      <c r="CL5087" s="67"/>
      <c r="CM5087" s="242"/>
      <c r="CN5087" s="242"/>
      <c r="CO5087" s="242"/>
      <c r="CP5087" s="242"/>
      <c r="CQ5087" s="242"/>
      <c r="CR5087" s="242"/>
      <c r="CS5087" s="242"/>
      <c r="CT5087" s="242"/>
      <c r="CU5087" s="242"/>
      <c r="CV5087" s="242"/>
      <c r="CW5087" s="242"/>
      <c r="CX5087" s="242"/>
      <c r="CY5087" s="242"/>
      <c r="CZ5087" s="242"/>
      <c r="DA5087" s="67"/>
      <c r="DB5087" s="67"/>
      <c r="DC5087" s="67"/>
      <c r="DD5087" s="67"/>
      <c r="DE5087" s="67"/>
      <c r="DF5087" s="67"/>
      <c r="DG5087" s="67"/>
      <c r="DH5087" s="67"/>
      <c r="DI5087" s="67"/>
      <c r="DJ5087" s="67"/>
      <c r="DK5087" s="67"/>
      <c r="DL5087" s="67"/>
      <c r="DM5087" s="67"/>
      <c r="DN5087" s="67"/>
      <c r="DO5087" s="67"/>
      <c r="DP5087" s="67"/>
      <c r="DQ5087" s="166"/>
      <c r="DR5087" s="166"/>
      <c r="DS5087" s="163"/>
      <c r="DT5087" s="163"/>
      <c r="DU5087" s="67"/>
      <c r="DV5087" s="67"/>
      <c r="DW5087" s="67"/>
      <c r="DX5087" s="67"/>
      <c r="DY5087" s="67"/>
      <c r="DZ5087" s="67"/>
      <c r="EA5087" s="67"/>
      <c r="EB5087" s="67"/>
      <c r="EC5087" s="67"/>
      <c r="ED5087" s="67"/>
      <c r="EE5087" s="67"/>
      <c r="EF5087" s="67"/>
      <c r="EG5087" s="67"/>
      <c r="EH5087" s="67"/>
      <c r="EI5087" s="67"/>
      <c r="EJ5087" s="67"/>
      <c r="EK5087" s="94">
        <f>52.2+8.5+3.5+1.1</f>
        <v>65.3</v>
      </c>
      <c r="EL5087" s="94">
        <f>54.1+5.9+2.3+0.6</f>
        <v>62.9</v>
      </c>
      <c r="EM5087" s="67"/>
      <c r="EN5087" s="67"/>
      <c r="EO5087" s="67" t="s">
        <v>5729</v>
      </c>
      <c r="EP5087" s="67"/>
      <c r="EQ5087" s="67"/>
      <c r="ER5087" s="67"/>
      <c r="ES5087" s="67"/>
      <c r="ET5087" s="67"/>
      <c r="EU5087" s="67"/>
      <c r="EV5087" s="67"/>
      <c r="EW5087" s="67"/>
      <c r="EX5087" s="67"/>
      <c r="EY5087" s="67"/>
      <c r="EZ5087" s="67"/>
      <c r="FA5087" s="67"/>
      <c r="FB5087" s="67"/>
      <c r="FC5087" s="67"/>
      <c r="FD5087" s="67"/>
      <c r="FE5087" s="67"/>
      <c r="FF5087" s="67"/>
      <c r="FG5087" s="67"/>
      <c r="FH5087" s="67"/>
      <c r="FI5087" s="67"/>
      <c r="FJ5087" s="67"/>
      <c r="FK5087" s="67"/>
      <c r="FL5087" s="67"/>
      <c r="FM5087" s="67"/>
      <c r="FN5087" s="67"/>
      <c r="FO5087" s="67"/>
      <c r="FP5087" s="67"/>
      <c r="FQ5087" s="67"/>
      <c r="FR5087" s="67"/>
      <c r="FS5087" s="67"/>
      <c r="FT5087" s="67"/>
      <c r="FU5087" s="67"/>
      <c r="FV5087" s="67"/>
      <c r="FW5087" s="67"/>
      <c r="FX5087" s="67"/>
      <c r="FY5087" s="67"/>
      <c r="FZ5087" s="67"/>
      <c r="GA5087" s="67"/>
      <c r="GB5087" s="67"/>
      <c r="GC5087" s="67"/>
      <c r="GD5087" s="67"/>
      <c r="GE5087" s="67"/>
      <c r="GF5087" s="67"/>
      <c r="GG5087" s="67"/>
      <c r="GH5087" s="67"/>
      <c r="GI5087" s="67"/>
      <c r="GJ5087" s="67"/>
      <c r="GK5087" s="67"/>
      <c r="GL5087" s="67"/>
      <c r="GM5087" s="67"/>
      <c r="GN5087" s="292"/>
      <c r="GO5087" s="292"/>
      <c r="GP5087" s="292" t="s">
        <v>7494</v>
      </c>
      <c r="GQ5087" s="67"/>
      <c r="GR5087" s="67"/>
      <c r="GS5087" s="67"/>
      <c r="GT5087" s="67"/>
      <c r="GU5087" s="67"/>
      <c r="GV5087" s="67"/>
      <c r="GW5087" s="67"/>
      <c r="GX5087" s="67"/>
      <c r="GY5087" s="67"/>
      <c r="GZ5087" s="67"/>
      <c r="HA5087" s="67"/>
      <c r="HB5087" s="67"/>
      <c r="HC5087" s="67"/>
      <c r="HD5087" s="67"/>
      <c r="HE5087" s="67"/>
      <c r="HF5087" s="67"/>
      <c r="HG5087" s="67"/>
      <c r="HH5087" s="67"/>
      <c r="HI5087" s="67"/>
      <c r="HJ5087" s="67"/>
      <c r="HK5087" s="67"/>
      <c r="HL5087" s="67"/>
      <c r="HM5087" s="67"/>
      <c r="HN5087" s="67">
        <v>2.08</v>
      </c>
      <c r="HO5087" s="67">
        <v>2.6</v>
      </c>
      <c r="HP5087" s="67"/>
      <c r="HQ5087" s="67"/>
      <c r="HR5087" s="67" t="s">
        <v>5738</v>
      </c>
      <c r="HS5087" s="67"/>
      <c r="HT5087" s="67"/>
      <c r="HU5087" s="67"/>
      <c r="HV5087" s="67"/>
      <c r="HW5087" s="67"/>
      <c r="HX5087" s="67"/>
      <c r="HY5087" s="67"/>
      <c r="HZ5087" s="67"/>
      <c r="IA5087" s="67"/>
      <c r="IB5087" s="67"/>
      <c r="IC5087" s="67"/>
      <c r="ID5087" s="67"/>
      <c r="IE5087" s="67"/>
      <c r="IF5087" s="67"/>
      <c r="IG5087" s="67"/>
      <c r="IH5087" s="67"/>
      <c r="II5087" s="67"/>
      <c r="IJ5087" s="67"/>
      <c r="IK5087" s="67"/>
      <c r="IL5087" s="67"/>
      <c r="IM5087" s="67"/>
      <c r="IN5087" s="67"/>
      <c r="IO5087" s="67"/>
      <c r="IP5087" s="67"/>
      <c r="IQ5087" s="67"/>
      <c r="IR5087" s="67"/>
      <c r="IS5087" s="67"/>
      <c r="IT5087" s="67"/>
      <c r="IU5087" s="67"/>
      <c r="IV5087" s="67"/>
      <c r="IW5087" s="67"/>
      <c r="IX5087" s="67"/>
      <c r="IY5087" s="67"/>
      <c r="IZ5087" s="67"/>
      <c r="JA5087" s="67"/>
      <c r="JB5087" s="67"/>
      <c r="JC5087" s="67"/>
      <c r="JD5087" s="67"/>
      <c r="JE5087" s="67"/>
      <c r="JF5087" s="67"/>
      <c r="JG5087" s="67"/>
      <c r="JH5087" s="67"/>
      <c r="JI5087" s="67"/>
      <c r="JJ5087" s="67"/>
      <c r="JK5087" s="67"/>
      <c r="JL5087" s="67"/>
      <c r="JM5087" s="67"/>
      <c r="JN5087" s="67"/>
      <c r="JO5087" s="67"/>
      <c r="JP5087" s="67"/>
      <c r="JQ5087" s="67"/>
      <c r="JR5087" s="67"/>
      <c r="JS5087" s="67"/>
      <c r="JT5087" s="67">
        <v>99999</v>
      </c>
      <c r="JU5087" s="58"/>
      <c r="JV5087" s="58"/>
      <c r="JW5087" s="58"/>
    </row>
    <row r="5088" spans="1:283" s="23" customFormat="1" x14ac:dyDescent="0.25">
      <c r="A5088" s="55">
        <v>5087</v>
      </c>
      <c r="B5088" s="12" t="s">
        <v>7067</v>
      </c>
      <c r="C5088" s="156">
        <v>261</v>
      </c>
      <c r="D5088" s="58" t="s">
        <v>5735</v>
      </c>
      <c r="E5088" s="160" t="str">
        <f>G5088</f>
        <v>Petersen et al 1997_pair 6</v>
      </c>
      <c r="F5088" s="160"/>
      <c r="G5088" s="60" t="s">
        <v>4715</v>
      </c>
      <c r="H5088" s="58">
        <v>1997</v>
      </c>
      <c r="I5088" s="58" t="s">
        <v>5746</v>
      </c>
      <c r="J5088" s="243" t="s">
        <v>1397</v>
      </c>
      <c r="K5088" s="63" t="s">
        <v>5085</v>
      </c>
      <c r="L5088" s="63" t="s">
        <v>2743</v>
      </c>
      <c r="M5088" s="94">
        <v>56.51</v>
      </c>
      <c r="N5088" s="94">
        <v>9.61</v>
      </c>
      <c r="O5088" s="94"/>
      <c r="P5088" s="58"/>
      <c r="Q5088" s="244"/>
      <c r="R5088" s="58"/>
      <c r="S5088" s="245"/>
      <c r="T5088" s="58"/>
      <c r="U5088" s="58" t="s">
        <v>1940</v>
      </c>
      <c r="V5088" s="244">
        <v>15</v>
      </c>
      <c r="W5088" s="174"/>
      <c r="X5088" s="174"/>
      <c r="Y5088" s="58" t="s">
        <v>5745</v>
      </c>
      <c r="Z5088" s="244" t="s">
        <v>5147</v>
      </c>
      <c r="AA5088" s="245">
        <v>7</v>
      </c>
      <c r="AB5088" s="67"/>
      <c r="AC5088" s="67"/>
      <c r="AD5088" s="94"/>
      <c r="AE5088" s="94"/>
      <c r="AF5088" s="94"/>
      <c r="AG5088" s="245">
        <v>14.8</v>
      </c>
      <c r="AH5088" s="58" t="s">
        <v>238</v>
      </c>
      <c r="AI5088" s="169" t="s">
        <v>5724</v>
      </c>
      <c r="AJ5088" s="94">
        <v>1.36</v>
      </c>
      <c r="AK5088" s="94"/>
      <c r="AL5088" s="58"/>
      <c r="AM5088" s="58" t="s">
        <v>5721</v>
      </c>
      <c r="AN5088" s="186"/>
      <c r="AO5088" s="185" t="s">
        <v>7494</v>
      </c>
      <c r="AP5088" s="58"/>
      <c r="AQ5088" s="58"/>
      <c r="AR5088" s="58"/>
      <c r="AS5088" s="246" t="s">
        <v>5133</v>
      </c>
      <c r="AT5088" s="247">
        <v>0</v>
      </c>
      <c r="AU5088" s="181" t="s">
        <v>7494</v>
      </c>
      <c r="AV5088" s="185" t="s">
        <v>176</v>
      </c>
      <c r="AW5088" s="244">
        <v>1</v>
      </c>
      <c r="AX5088" s="185" t="s">
        <v>176</v>
      </c>
      <c r="AY5088" s="244" t="s">
        <v>5150</v>
      </c>
      <c r="AZ5088" s="58" t="s">
        <v>5725</v>
      </c>
      <c r="BA5088" s="58" t="s">
        <v>5725</v>
      </c>
      <c r="BB5088" s="58" t="s">
        <v>2081</v>
      </c>
      <c r="BC5088" s="58" t="s">
        <v>2081</v>
      </c>
      <c r="BD5088" s="58" t="s">
        <v>176</v>
      </c>
      <c r="BE5088" s="236" t="s">
        <v>5213</v>
      </c>
      <c r="BF5088" s="191"/>
      <c r="BG5088" s="191" t="s">
        <v>479</v>
      </c>
      <c r="BH5088" s="236" t="s">
        <v>5153</v>
      </c>
      <c r="BI5088" s="191" t="s">
        <v>176</v>
      </c>
      <c r="BJ5088" s="58" t="str">
        <f>IF(BE5088=BH5088,"No","yes")</f>
        <v>yes</v>
      </c>
      <c r="BK5088" s="58" t="s">
        <v>6335</v>
      </c>
      <c r="BL5088" s="58"/>
      <c r="BM5088" s="237"/>
      <c r="BN5088" s="244">
        <v>3</v>
      </c>
      <c r="BO5088" s="244">
        <v>3</v>
      </c>
      <c r="BP5088" s="58"/>
      <c r="BQ5088" s="58"/>
      <c r="BR5088" s="58"/>
      <c r="BS5088" s="58"/>
      <c r="BT5088" s="58"/>
      <c r="BU5088" s="58"/>
      <c r="BV5088" s="58" t="s">
        <v>5728</v>
      </c>
      <c r="BW5088" s="67"/>
      <c r="BX5088" s="67"/>
      <c r="BY5088" s="67"/>
      <c r="BZ5088" s="67"/>
      <c r="CA5088" s="67"/>
      <c r="CB5088" s="70"/>
      <c r="CC5088" s="70"/>
      <c r="CD5088" s="70"/>
      <c r="CE5088" s="67"/>
      <c r="CF5088" s="67"/>
      <c r="CG5088" s="67"/>
      <c r="CH5088" s="245"/>
      <c r="CI5088" s="245"/>
      <c r="CJ5088" s="67"/>
      <c r="CK5088" s="67"/>
      <c r="CL5088" s="67"/>
      <c r="CM5088" s="242"/>
      <c r="CN5088" s="242"/>
      <c r="CO5088" s="242"/>
      <c r="CP5088" s="242"/>
      <c r="CQ5088" s="242"/>
      <c r="CR5088" s="242"/>
      <c r="CS5088" s="242"/>
      <c r="CT5088" s="242"/>
      <c r="CU5088" s="242"/>
      <c r="CV5088" s="242"/>
      <c r="CW5088" s="242"/>
      <c r="CX5088" s="242"/>
      <c r="CY5088" s="242"/>
      <c r="CZ5088" s="242"/>
      <c r="DA5088" s="67"/>
      <c r="DB5088" s="67"/>
      <c r="DC5088" s="67"/>
      <c r="DD5088" s="67"/>
      <c r="DE5088" s="67"/>
      <c r="DF5088" s="67"/>
      <c r="DG5088" s="67"/>
      <c r="DH5088" s="67"/>
      <c r="DI5088" s="67"/>
      <c r="DJ5088" s="67"/>
      <c r="DK5088" s="67"/>
      <c r="DL5088" s="67"/>
      <c r="DM5088" s="67"/>
      <c r="DN5088" s="67"/>
      <c r="DO5088" s="67"/>
      <c r="DP5088" s="67"/>
      <c r="DQ5088" s="166"/>
      <c r="DR5088" s="166"/>
      <c r="DS5088" s="163"/>
      <c r="DT5088" s="163"/>
      <c r="DU5088" s="67"/>
      <c r="DV5088" s="67"/>
      <c r="DW5088" s="67"/>
      <c r="DX5088" s="67"/>
      <c r="DY5088" s="67"/>
      <c r="DZ5088" s="67"/>
      <c r="EA5088" s="67"/>
      <c r="EB5088" s="67"/>
      <c r="EC5088" s="67"/>
      <c r="ED5088" s="67"/>
      <c r="EE5088" s="67"/>
      <c r="EF5088" s="67"/>
      <c r="EG5088" s="67"/>
      <c r="EH5088" s="67"/>
      <c r="EI5088" s="67"/>
      <c r="EJ5088" s="67"/>
      <c r="EK5088" s="94">
        <f>52.2+8.5+3.5+1.1</f>
        <v>65.3</v>
      </c>
      <c r="EL5088" s="94">
        <f>41.8+9.1+4.2+1.1</f>
        <v>56.2</v>
      </c>
      <c r="EM5088" s="67"/>
      <c r="EN5088" s="67"/>
      <c r="EO5088" s="67" t="s">
        <v>5729</v>
      </c>
      <c r="EP5088" s="67"/>
      <c r="EQ5088" s="67"/>
      <c r="ER5088" s="67"/>
      <c r="ES5088" s="67"/>
      <c r="ET5088" s="67"/>
      <c r="EU5088" s="67"/>
      <c r="EV5088" s="67"/>
      <c r="EW5088" s="67"/>
      <c r="EX5088" s="67"/>
      <c r="EY5088" s="67"/>
      <c r="EZ5088" s="67"/>
      <c r="FA5088" s="67"/>
      <c r="FB5088" s="67"/>
      <c r="FC5088" s="67"/>
      <c r="FD5088" s="67"/>
      <c r="FE5088" s="67"/>
      <c r="FF5088" s="67"/>
      <c r="FG5088" s="67"/>
      <c r="FH5088" s="67"/>
      <c r="FI5088" s="67"/>
      <c r="FJ5088" s="67"/>
      <c r="FK5088" s="67"/>
      <c r="FL5088" s="67"/>
      <c r="FM5088" s="67"/>
      <c r="FN5088" s="67"/>
      <c r="FO5088" s="67"/>
      <c r="FP5088" s="67"/>
      <c r="FQ5088" s="67"/>
      <c r="FR5088" s="67"/>
      <c r="FS5088" s="67"/>
      <c r="FT5088" s="67"/>
      <c r="FU5088" s="67"/>
      <c r="FV5088" s="67"/>
      <c r="FW5088" s="67"/>
      <c r="FX5088" s="67"/>
      <c r="FY5088" s="67"/>
      <c r="FZ5088" s="67"/>
      <c r="GA5088" s="67"/>
      <c r="GB5088" s="67"/>
      <c r="GC5088" s="67"/>
      <c r="GD5088" s="67"/>
      <c r="GE5088" s="67"/>
      <c r="GF5088" s="67"/>
      <c r="GG5088" s="67"/>
      <c r="GH5088" s="67"/>
      <c r="GI5088" s="67"/>
      <c r="GJ5088" s="67"/>
      <c r="GK5088" s="67"/>
      <c r="GL5088" s="67"/>
      <c r="GM5088" s="67"/>
      <c r="GN5088" s="292"/>
      <c r="GO5088" s="292"/>
      <c r="GP5088" s="292" t="s">
        <v>7494</v>
      </c>
      <c r="GQ5088" s="67"/>
      <c r="GR5088" s="67"/>
      <c r="GS5088" s="67"/>
      <c r="GT5088" s="67"/>
      <c r="GU5088" s="67"/>
      <c r="GV5088" s="67"/>
      <c r="GW5088" s="67"/>
      <c r="GX5088" s="67"/>
      <c r="GY5088" s="67"/>
      <c r="GZ5088" s="67"/>
      <c r="HA5088" s="67"/>
      <c r="HB5088" s="67"/>
      <c r="HC5088" s="67"/>
      <c r="HD5088" s="67"/>
      <c r="HE5088" s="67"/>
      <c r="HF5088" s="67"/>
      <c r="HG5088" s="67"/>
      <c r="HH5088" s="67"/>
      <c r="HI5088" s="67"/>
      <c r="HJ5088" s="67"/>
      <c r="HK5088" s="67"/>
      <c r="HL5088" s="67"/>
      <c r="HM5088" s="67"/>
      <c r="HN5088" s="67">
        <v>2.08</v>
      </c>
      <c r="HO5088" s="67">
        <v>2.11</v>
      </c>
      <c r="HP5088" s="67"/>
      <c r="HQ5088" s="67"/>
      <c r="HR5088" s="67" t="s">
        <v>5738</v>
      </c>
      <c r="HS5088" s="67"/>
      <c r="HT5088" s="67"/>
      <c r="HU5088" s="67"/>
      <c r="HV5088" s="67"/>
      <c r="HW5088" s="67"/>
      <c r="HX5088" s="67"/>
      <c r="HY5088" s="67"/>
      <c r="HZ5088" s="67"/>
      <c r="IA5088" s="67"/>
      <c r="IB5088" s="67"/>
      <c r="IC5088" s="67"/>
      <c r="ID5088" s="67"/>
      <c r="IE5088" s="67"/>
      <c r="IF5088" s="67"/>
      <c r="IG5088" s="67"/>
      <c r="IH5088" s="67"/>
      <c r="II5088" s="67"/>
      <c r="IJ5088" s="67"/>
      <c r="IK5088" s="67"/>
      <c r="IL5088" s="67"/>
      <c r="IM5088" s="67"/>
      <c r="IN5088" s="67"/>
      <c r="IO5088" s="67"/>
      <c r="IP5088" s="67"/>
      <c r="IQ5088" s="67"/>
      <c r="IR5088" s="67"/>
      <c r="IS5088" s="67"/>
      <c r="IT5088" s="67"/>
      <c r="IU5088" s="67"/>
      <c r="IV5088" s="67"/>
      <c r="IW5088" s="67"/>
      <c r="IX5088" s="67"/>
      <c r="IY5088" s="67"/>
      <c r="IZ5088" s="67"/>
      <c r="JA5088" s="67"/>
      <c r="JB5088" s="67"/>
      <c r="JC5088" s="67"/>
      <c r="JD5088" s="67"/>
      <c r="JE5088" s="67"/>
      <c r="JF5088" s="67"/>
      <c r="JG5088" s="67"/>
      <c r="JH5088" s="67"/>
      <c r="JI5088" s="67"/>
      <c r="JJ5088" s="67"/>
      <c r="JK5088" s="67"/>
      <c r="JL5088" s="67"/>
      <c r="JM5088" s="67"/>
      <c r="JN5088" s="67"/>
      <c r="JO5088" s="67"/>
      <c r="JP5088" s="67"/>
      <c r="JQ5088" s="67"/>
      <c r="JR5088" s="67"/>
      <c r="JS5088" s="67"/>
      <c r="JT5088" s="67">
        <v>99999</v>
      </c>
      <c r="JU5088" s="58"/>
      <c r="JV5088" s="58"/>
      <c r="JW5088" s="58"/>
    </row>
    <row r="5089" spans="1:283" s="23" customFormat="1" x14ac:dyDescent="0.25">
      <c r="A5089" s="55">
        <v>5088</v>
      </c>
      <c r="B5089" s="12" t="s">
        <v>7067</v>
      </c>
      <c r="C5089" s="156">
        <v>261</v>
      </c>
      <c r="D5089" s="58" t="s">
        <v>5736</v>
      </c>
      <c r="E5089" s="160" t="str">
        <f>G5089</f>
        <v>Petersen et al 1997_pair 7</v>
      </c>
      <c r="F5089" s="160"/>
      <c r="G5089" s="60" t="s">
        <v>4714</v>
      </c>
      <c r="H5089" s="58">
        <v>1997</v>
      </c>
      <c r="I5089" s="58" t="s">
        <v>5746</v>
      </c>
      <c r="J5089" s="243" t="s">
        <v>1397</v>
      </c>
      <c r="K5089" s="63" t="s">
        <v>5085</v>
      </c>
      <c r="L5089" s="63" t="s">
        <v>2743</v>
      </c>
      <c r="M5089" s="94">
        <v>56.51</v>
      </c>
      <c r="N5089" s="94">
        <v>9.61</v>
      </c>
      <c r="O5089" s="94"/>
      <c r="P5089" s="58"/>
      <c r="Q5089" s="244"/>
      <c r="R5089" s="58"/>
      <c r="S5089" s="245"/>
      <c r="T5089" s="58"/>
      <c r="U5089" s="58" t="s">
        <v>1940</v>
      </c>
      <c r="V5089" s="244">
        <v>15</v>
      </c>
      <c r="W5089" s="174"/>
      <c r="X5089" s="174"/>
      <c r="Y5089" s="58" t="s">
        <v>5745</v>
      </c>
      <c r="Z5089" s="244" t="s">
        <v>5147</v>
      </c>
      <c r="AA5089" s="245">
        <v>7</v>
      </c>
      <c r="AB5089" s="67"/>
      <c r="AC5089" s="67"/>
      <c r="AD5089" s="94"/>
      <c r="AE5089" s="94"/>
      <c r="AF5089" s="94"/>
      <c r="AG5089" s="245">
        <v>14.8</v>
      </c>
      <c r="AH5089" s="58" t="s">
        <v>238</v>
      </c>
      <c r="AI5089" s="169" t="s">
        <v>5724</v>
      </c>
      <c r="AJ5089" s="94">
        <v>1.36</v>
      </c>
      <c r="AK5089" s="94"/>
      <c r="AL5089" s="58"/>
      <c r="AM5089" s="58" t="s">
        <v>5721</v>
      </c>
      <c r="AN5089" s="186"/>
      <c r="AO5089" s="185" t="s">
        <v>7494</v>
      </c>
      <c r="AP5089" s="58"/>
      <c r="AQ5089" s="58"/>
      <c r="AR5089" s="58"/>
      <c r="AS5089" s="246" t="s">
        <v>5133</v>
      </c>
      <c r="AT5089" s="247">
        <v>0</v>
      </c>
      <c r="AU5089" s="181" t="s">
        <v>7494</v>
      </c>
      <c r="AV5089" s="185" t="s">
        <v>176</v>
      </c>
      <c r="AW5089" s="244">
        <v>1</v>
      </c>
      <c r="AX5089" s="185" t="s">
        <v>176</v>
      </c>
      <c r="AY5089" s="244" t="s">
        <v>5150</v>
      </c>
      <c r="AZ5089" s="58" t="s">
        <v>5725</v>
      </c>
      <c r="BA5089" s="58" t="s">
        <v>5725</v>
      </c>
      <c r="BB5089" s="58" t="s">
        <v>2081</v>
      </c>
      <c r="BC5089" s="58" t="s">
        <v>2081</v>
      </c>
      <c r="BD5089" s="58" t="s">
        <v>176</v>
      </c>
      <c r="BE5089" s="236" t="s">
        <v>5213</v>
      </c>
      <c r="BF5089" s="191"/>
      <c r="BG5089" s="191" t="s">
        <v>479</v>
      </c>
      <c r="BH5089" s="236" t="s">
        <v>5153</v>
      </c>
      <c r="BI5089" s="191" t="s">
        <v>176</v>
      </c>
      <c r="BJ5089" s="58" t="str">
        <f>IF(BE5089=BH5089,"No","yes")</f>
        <v>yes</v>
      </c>
      <c r="BK5089" s="58" t="s">
        <v>6335</v>
      </c>
      <c r="BL5089" s="58"/>
      <c r="BM5089" s="237"/>
      <c r="BN5089" s="244">
        <v>3</v>
      </c>
      <c r="BO5089" s="244">
        <v>3</v>
      </c>
      <c r="BP5089" s="58"/>
      <c r="BQ5089" s="58"/>
      <c r="BR5089" s="58"/>
      <c r="BS5089" s="58"/>
      <c r="BT5089" s="58"/>
      <c r="BU5089" s="58"/>
      <c r="BV5089" s="58" t="s">
        <v>5728</v>
      </c>
      <c r="BW5089" s="67"/>
      <c r="BX5089" s="67"/>
      <c r="BY5089" s="67"/>
      <c r="BZ5089" s="67"/>
      <c r="CA5089" s="67"/>
      <c r="CB5089" s="70"/>
      <c r="CC5089" s="70"/>
      <c r="CD5089" s="70"/>
      <c r="CE5089" s="67"/>
      <c r="CF5089" s="67"/>
      <c r="CG5089" s="67"/>
      <c r="CH5089" s="245"/>
      <c r="CI5089" s="245"/>
      <c r="CJ5089" s="67"/>
      <c r="CK5089" s="67"/>
      <c r="CL5089" s="67"/>
      <c r="CM5089" s="242"/>
      <c r="CN5089" s="242"/>
      <c r="CO5089" s="242"/>
      <c r="CP5089" s="242"/>
      <c r="CQ5089" s="242"/>
      <c r="CR5089" s="242"/>
      <c r="CS5089" s="242"/>
      <c r="CT5089" s="242"/>
      <c r="CU5089" s="242"/>
      <c r="CV5089" s="242"/>
      <c r="CW5089" s="242"/>
      <c r="CX5089" s="242"/>
      <c r="CY5089" s="242"/>
      <c r="CZ5089" s="242"/>
      <c r="DA5089" s="67"/>
      <c r="DB5089" s="67"/>
      <c r="DC5089" s="67"/>
      <c r="DD5089" s="67"/>
      <c r="DE5089" s="67"/>
      <c r="DF5089" s="67"/>
      <c r="DG5089" s="67"/>
      <c r="DH5089" s="67"/>
      <c r="DI5089" s="67"/>
      <c r="DJ5089" s="67"/>
      <c r="DK5089" s="67"/>
      <c r="DL5089" s="67"/>
      <c r="DM5089" s="67"/>
      <c r="DN5089" s="67"/>
      <c r="DO5089" s="67"/>
      <c r="DP5089" s="67"/>
      <c r="DQ5089" s="166"/>
      <c r="DR5089" s="166"/>
      <c r="DS5089" s="163"/>
      <c r="DT5089" s="163"/>
      <c r="DU5089" s="67"/>
      <c r="DV5089" s="67"/>
      <c r="DW5089" s="67"/>
      <c r="DX5089" s="67"/>
      <c r="DY5089" s="67"/>
      <c r="DZ5089" s="67"/>
      <c r="EA5089" s="67"/>
      <c r="EB5089" s="67"/>
      <c r="EC5089" s="67"/>
      <c r="ED5089" s="67"/>
      <c r="EE5089" s="67"/>
      <c r="EF5089" s="67"/>
      <c r="EG5089" s="67"/>
      <c r="EH5089" s="67"/>
      <c r="EI5089" s="67"/>
      <c r="EJ5089" s="67"/>
      <c r="EK5089" s="94">
        <f>52.2+8.5+3.5+1.1</f>
        <v>65.3</v>
      </c>
      <c r="EL5089" s="94">
        <f>41.9+8+3.7+1.1</f>
        <v>54.7</v>
      </c>
      <c r="EM5089" s="67"/>
      <c r="EN5089" s="67"/>
      <c r="EO5089" s="67" t="s">
        <v>5729</v>
      </c>
      <c r="EP5089" s="67"/>
      <c r="EQ5089" s="67"/>
      <c r="ER5089" s="67"/>
      <c r="ES5089" s="67"/>
      <c r="ET5089" s="67"/>
      <c r="EU5089" s="67"/>
      <c r="EV5089" s="67"/>
      <c r="EW5089" s="67"/>
      <c r="EX5089" s="67"/>
      <c r="EY5089" s="67"/>
      <c r="EZ5089" s="67"/>
      <c r="FA5089" s="67"/>
      <c r="FB5089" s="67"/>
      <c r="FC5089" s="67"/>
      <c r="FD5089" s="67"/>
      <c r="FE5089" s="67"/>
      <c r="FF5089" s="67"/>
      <c r="FG5089" s="67"/>
      <c r="FH5089" s="67"/>
      <c r="FI5089" s="67"/>
      <c r="FJ5089" s="67"/>
      <c r="FK5089" s="67"/>
      <c r="FL5089" s="67"/>
      <c r="FM5089" s="67"/>
      <c r="FN5089" s="67"/>
      <c r="FO5089" s="67"/>
      <c r="FP5089" s="67"/>
      <c r="FQ5089" s="67"/>
      <c r="FR5089" s="67"/>
      <c r="FS5089" s="67"/>
      <c r="FT5089" s="67"/>
      <c r="FU5089" s="67"/>
      <c r="FV5089" s="67"/>
      <c r="FW5089" s="67"/>
      <c r="FX5089" s="67"/>
      <c r="FY5089" s="67"/>
      <c r="FZ5089" s="67"/>
      <c r="GA5089" s="67"/>
      <c r="GB5089" s="67"/>
      <c r="GC5089" s="67"/>
      <c r="GD5089" s="67"/>
      <c r="GE5089" s="67"/>
      <c r="GF5089" s="67"/>
      <c r="GG5089" s="67"/>
      <c r="GH5089" s="67"/>
      <c r="GI5089" s="67"/>
      <c r="GJ5089" s="67"/>
      <c r="GK5089" s="67"/>
      <c r="GL5089" s="67"/>
      <c r="GM5089" s="67"/>
      <c r="GN5089" s="292"/>
      <c r="GO5089" s="292"/>
      <c r="GP5089" s="292" t="s">
        <v>7494</v>
      </c>
      <c r="GQ5089" s="67"/>
      <c r="GR5089" s="67"/>
      <c r="GS5089" s="67"/>
      <c r="GT5089" s="67"/>
      <c r="GU5089" s="67"/>
      <c r="GV5089" s="67"/>
      <c r="GW5089" s="67"/>
      <c r="GX5089" s="67"/>
      <c r="GY5089" s="67"/>
      <c r="GZ5089" s="67"/>
      <c r="HA5089" s="67"/>
      <c r="HB5089" s="67"/>
      <c r="HC5089" s="67"/>
      <c r="HD5089" s="67"/>
      <c r="HE5089" s="67"/>
      <c r="HF5089" s="67"/>
      <c r="HG5089" s="67"/>
      <c r="HH5089" s="67"/>
      <c r="HI5089" s="67"/>
      <c r="HJ5089" s="67"/>
      <c r="HK5089" s="67"/>
      <c r="HL5089" s="67"/>
      <c r="HM5089" s="67"/>
      <c r="HN5089" s="67">
        <v>2.08</v>
      </c>
      <c r="HO5089" s="67">
        <v>2.1800000000000002</v>
      </c>
      <c r="HP5089" s="67"/>
      <c r="HQ5089" s="67"/>
      <c r="HR5089" s="67" t="s">
        <v>5738</v>
      </c>
      <c r="HS5089" s="67"/>
      <c r="HT5089" s="67"/>
      <c r="HU5089" s="67"/>
      <c r="HV5089" s="67"/>
      <c r="HW5089" s="67"/>
      <c r="HX5089" s="67"/>
      <c r="HY5089" s="67"/>
      <c r="HZ5089" s="67"/>
      <c r="IA5089" s="67"/>
      <c r="IB5089" s="67"/>
      <c r="IC5089" s="67"/>
      <c r="ID5089" s="67"/>
      <c r="IE5089" s="67"/>
      <c r="IF5089" s="67"/>
      <c r="IG5089" s="67"/>
      <c r="IH5089" s="67"/>
      <c r="II5089" s="67"/>
      <c r="IJ5089" s="67"/>
      <c r="IK5089" s="67"/>
      <c r="IL5089" s="67"/>
      <c r="IM5089" s="67"/>
      <c r="IN5089" s="67"/>
      <c r="IO5089" s="67"/>
      <c r="IP5089" s="67"/>
      <c r="IQ5089" s="67"/>
      <c r="IR5089" s="67"/>
      <c r="IS5089" s="67"/>
      <c r="IT5089" s="67"/>
      <c r="IU5089" s="67"/>
      <c r="IV5089" s="67"/>
      <c r="IW5089" s="67"/>
      <c r="IX5089" s="67"/>
      <c r="IY5089" s="67"/>
      <c r="IZ5089" s="67"/>
      <c r="JA5089" s="67"/>
      <c r="JB5089" s="67"/>
      <c r="JC5089" s="67"/>
      <c r="JD5089" s="67"/>
      <c r="JE5089" s="67"/>
      <c r="JF5089" s="67"/>
      <c r="JG5089" s="67"/>
      <c r="JH5089" s="67"/>
      <c r="JI5089" s="67"/>
      <c r="JJ5089" s="67"/>
      <c r="JK5089" s="67"/>
      <c r="JL5089" s="67"/>
      <c r="JM5089" s="67"/>
      <c r="JN5089" s="67"/>
      <c r="JO5089" s="67"/>
      <c r="JP5089" s="67"/>
      <c r="JQ5089" s="67"/>
      <c r="JR5089" s="67"/>
      <c r="JS5089" s="67"/>
      <c r="JT5089" s="67">
        <v>99999</v>
      </c>
      <c r="JU5089" s="58"/>
      <c r="JV5089" s="58"/>
      <c r="JW5089" s="58"/>
    </row>
    <row r="5090" spans="1:283" s="23" customFormat="1" x14ac:dyDescent="0.25">
      <c r="A5090" s="55">
        <v>5089</v>
      </c>
      <c r="B5090" s="12" t="s">
        <v>7067</v>
      </c>
      <c r="C5090" s="156">
        <v>261</v>
      </c>
      <c r="D5090" s="58" t="s">
        <v>5737</v>
      </c>
      <c r="E5090" s="160" t="str">
        <f>G5090</f>
        <v>Petersen et al 1997_pair 8</v>
      </c>
      <c r="F5090" s="160"/>
      <c r="G5090" s="60" t="s">
        <v>4713</v>
      </c>
      <c r="H5090" s="58">
        <v>1997</v>
      </c>
      <c r="I5090" s="58" t="s">
        <v>5746</v>
      </c>
      <c r="J5090" s="243" t="s">
        <v>1397</v>
      </c>
      <c r="K5090" s="63" t="s">
        <v>5085</v>
      </c>
      <c r="L5090" s="63" t="s">
        <v>2743</v>
      </c>
      <c r="M5090" s="94">
        <v>56.51</v>
      </c>
      <c r="N5090" s="94">
        <v>9.61</v>
      </c>
      <c r="O5090" s="94"/>
      <c r="P5090" s="58"/>
      <c r="Q5090" s="244"/>
      <c r="R5090" s="58"/>
      <c r="S5090" s="245"/>
      <c r="T5090" s="58"/>
      <c r="U5090" s="58" t="s">
        <v>1940</v>
      </c>
      <c r="V5090" s="244">
        <v>15</v>
      </c>
      <c r="W5090" s="174"/>
      <c r="X5090" s="174"/>
      <c r="Y5090" s="58" t="s">
        <v>5745</v>
      </c>
      <c r="Z5090" s="244" t="s">
        <v>5147</v>
      </c>
      <c r="AA5090" s="245">
        <v>7</v>
      </c>
      <c r="AB5090" s="67"/>
      <c r="AC5090" s="67"/>
      <c r="AD5090" s="94"/>
      <c r="AE5090" s="94"/>
      <c r="AF5090" s="94"/>
      <c r="AG5090" s="245">
        <v>14.8</v>
      </c>
      <c r="AH5090" s="58" t="s">
        <v>238</v>
      </c>
      <c r="AI5090" s="169" t="s">
        <v>5724</v>
      </c>
      <c r="AJ5090" s="94">
        <v>1.36</v>
      </c>
      <c r="AK5090" s="94"/>
      <c r="AL5090" s="58"/>
      <c r="AM5090" s="58" t="s">
        <v>5721</v>
      </c>
      <c r="AN5090" s="186"/>
      <c r="AO5090" s="185" t="s">
        <v>7494</v>
      </c>
      <c r="AP5090" s="58"/>
      <c r="AQ5090" s="58"/>
      <c r="AR5090" s="58"/>
      <c r="AS5090" s="246" t="s">
        <v>5133</v>
      </c>
      <c r="AT5090" s="247">
        <v>0</v>
      </c>
      <c r="AU5090" s="181" t="s">
        <v>7494</v>
      </c>
      <c r="AV5090" s="185" t="s">
        <v>176</v>
      </c>
      <c r="AW5090" s="244">
        <v>1</v>
      </c>
      <c r="AX5090" s="185" t="s">
        <v>176</v>
      </c>
      <c r="AY5090" s="244" t="s">
        <v>5150</v>
      </c>
      <c r="AZ5090" s="58" t="s">
        <v>5725</v>
      </c>
      <c r="BA5090" s="58" t="s">
        <v>5725</v>
      </c>
      <c r="BB5090" s="58" t="s">
        <v>2081</v>
      </c>
      <c r="BC5090" s="58" t="s">
        <v>2081</v>
      </c>
      <c r="BD5090" s="58" t="s">
        <v>176</v>
      </c>
      <c r="BE5090" s="236" t="s">
        <v>5213</v>
      </c>
      <c r="BF5090" s="191"/>
      <c r="BG5090" s="191" t="s">
        <v>479</v>
      </c>
      <c r="BH5090" s="236" t="s">
        <v>5153</v>
      </c>
      <c r="BI5090" s="191" t="s">
        <v>176</v>
      </c>
      <c r="BJ5090" s="58" t="str">
        <f>IF(BE5090=BH5090,"No","yes")</f>
        <v>yes</v>
      </c>
      <c r="BK5090" s="58" t="s">
        <v>6335</v>
      </c>
      <c r="BL5090" s="58"/>
      <c r="BM5090" s="237"/>
      <c r="BN5090" s="244">
        <v>3</v>
      </c>
      <c r="BO5090" s="244">
        <v>3</v>
      </c>
      <c r="BP5090" s="58"/>
      <c r="BQ5090" s="58"/>
      <c r="BR5090" s="58"/>
      <c r="BS5090" s="58"/>
      <c r="BT5090" s="58"/>
      <c r="BU5090" s="58"/>
      <c r="BV5090" s="58" t="s">
        <v>5728</v>
      </c>
      <c r="BW5090" s="67"/>
      <c r="BX5090" s="67"/>
      <c r="BY5090" s="67"/>
      <c r="BZ5090" s="67"/>
      <c r="CA5090" s="67"/>
      <c r="CB5090" s="70"/>
      <c r="CC5090" s="70"/>
      <c r="CD5090" s="70"/>
      <c r="CE5090" s="67"/>
      <c r="CF5090" s="67"/>
      <c r="CG5090" s="67"/>
      <c r="CH5090" s="245"/>
      <c r="CI5090" s="245"/>
      <c r="CJ5090" s="67"/>
      <c r="CK5090" s="67"/>
      <c r="CL5090" s="67"/>
      <c r="CM5090" s="242"/>
      <c r="CN5090" s="242"/>
      <c r="CO5090" s="242"/>
      <c r="CP5090" s="242"/>
      <c r="CQ5090" s="242"/>
      <c r="CR5090" s="242"/>
      <c r="CS5090" s="242"/>
      <c r="CT5090" s="242"/>
      <c r="CU5090" s="242"/>
      <c r="CV5090" s="242"/>
      <c r="CW5090" s="242"/>
      <c r="CX5090" s="242"/>
      <c r="CY5090" s="242"/>
      <c r="CZ5090" s="242"/>
      <c r="DA5090" s="67"/>
      <c r="DB5090" s="67"/>
      <c r="DC5090" s="67"/>
      <c r="DD5090" s="67"/>
      <c r="DE5090" s="67"/>
      <c r="DF5090" s="67"/>
      <c r="DG5090" s="67"/>
      <c r="DH5090" s="67"/>
      <c r="DI5090" s="67"/>
      <c r="DJ5090" s="67"/>
      <c r="DK5090" s="67"/>
      <c r="DL5090" s="67"/>
      <c r="DM5090" s="67"/>
      <c r="DN5090" s="67"/>
      <c r="DO5090" s="67"/>
      <c r="DP5090" s="67"/>
      <c r="DQ5090" s="166"/>
      <c r="DR5090" s="166"/>
      <c r="DS5090" s="163"/>
      <c r="DT5090" s="163"/>
      <c r="DU5090" s="67"/>
      <c r="DV5090" s="67"/>
      <c r="DW5090" s="67"/>
      <c r="DX5090" s="67"/>
      <c r="DY5090" s="67"/>
      <c r="DZ5090" s="67"/>
      <c r="EA5090" s="67"/>
      <c r="EB5090" s="67"/>
      <c r="EC5090" s="67"/>
      <c r="ED5090" s="67"/>
      <c r="EE5090" s="67"/>
      <c r="EF5090" s="67"/>
      <c r="EG5090" s="67"/>
      <c r="EH5090" s="67"/>
      <c r="EI5090" s="67"/>
      <c r="EJ5090" s="67"/>
      <c r="EK5090" s="94">
        <f>52.2+8.5+3.5+1.1</f>
        <v>65.3</v>
      </c>
      <c r="EL5090" s="94">
        <f>32.8+7.2+4.3+1.7</f>
        <v>46</v>
      </c>
      <c r="EM5090" s="67"/>
      <c r="EN5090" s="67"/>
      <c r="EO5090" s="67" t="s">
        <v>5729</v>
      </c>
      <c r="EP5090" s="67"/>
      <c r="EQ5090" s="67"/>
      <c r="ER5090" s="67"/>
      <c r="ES5090" s="67"/>
      <c r="ET5090" s="67"/>
      <c r="EU5090" s="67"/>
      <c r="EV5090" s="67"/>
      <c r="EW5090" s="67"/>
      <c r="EX5090" s="67"/>
      <c r="EY5090" s="67"/>
      <c r="EZ5090" s="67"/>
      <c r="FA5090" s="67"/>
      <c r="FB5090" s="67"/>
      <c r="FC5090" s="67"/>
      <c r="FD5090" s="67"/>
      <c r="FE5090" s="67"/>
      <c r="FF5090" s="67"/>
      <c r="FG5090" s="67"/>
      <c r="FH5090" s="67"/>
      <c r="FI5090" s="67"/>
      <c r="FJ5090" s="67"/>
      <c r="FK5090" s="67"/>
      <c r="FL5090" s="67"/>
      <c r="FM5090" s="67"/>
      <c r="FN5090" s="67"/>
      <c r="FO5090" s="67"/>
      <c r="FP5090" s="67"/>
      <c r="FQ5090" s="67"/>
      <c r="FR5090" s="67"/>
      <c r="FS5090" s="67"/>
      <c r="FT5090" s="67"/>
      <c r="FU5090" s="67"/>
      <c r="FV5090" s="67"/>
      <c r="FW5090" s="67"/>
      <c r="FX5090" s="67"/>
      <c r="FY5090" s="67"/>
      <c r="FZ5090" s="67"/>
      <c r="GA5090" s="67"/>
      <c r="GB5090" s="67"/>
      <c r="GC5090" s="67"/>
      <c r="GD5090" s="67"/>
      <c r="GE5090" s="67"/>
      <c r="GF5090" s="67"/>
      <c r="GG5090" s="67"/>
      <c r="GH5090" s="67"/>
      <c r="GI5090" s="67"/>
      <c r="GJ5090" s="67"/>
      <c r="GK5090" s="67"/>
      <c r="GL5090" s="67"/>
      <c r="GM5090" s="67"/>
      <c r="GN5090" s="292"/>
      <c r="GO5090" s="292"/>
      <c r="GP5090" s="292" t="s">
        <v>7494</v>
      </c>
      <c r="GQ5090" s="67"/>
      <c r="GR5090" s="67"/>
      <c r="GS5090" s="67"/>
      <c r="GT5090" s="67"/>
      <c r="GU5090" s="67"/>
      <c r="GV5090" s="67"/>
      <c r="GW5090" s="67"/>
      <c r="GX5090" s="67"/>
      <c r="GY5090" s="67"/>
      <c r="GZ5090" s="67"/>
      <c r="HA5090" s="67"/>
      <c r="HB5090" s="67"/>
      <c r="HC5090" s="67"/>
      <c r="HD5090" s="67"/>
      <c r="HE5090" s="67"/>
      <c r="HF5090" s="67"/>
      <c r="HG5090" s="67"/>
      <c r="HH5090" s="67"/>
      <c r="HI5090" s="67"/>
      <c r="HJ5090" s="67"/>
      <c r="HK5090" s="67"/>
      <c r="HL5090" s="67"/>
      <c r="HM5090" s="67"/>
      <c r="HN5090" s="67">
        <v>2.08</v>
      </c>
      <c r="HO5090" s="67">
        <v>2.41</v>
      </c>
      <c r="HP5090" s="67"/>
      <c r="HQ5090" s="67"/>
      <c r="HR5090" s="67" t="s">
        <v>5738</v>
      </c>
      <c r="HS5090" s="67"/>
      <c r="HT5090" s="67"/>
      <c r="HU5090" s="67"/>
      <c r="HV5090" s="67"/>
      <c r="HW5090" s="67"/>
      <c r="HX5090" s="67"/>
      <c r="HY5090" s="67"/>
      <c r="HZ5090" s="67"/>
      <c r="IA5090" s="67"/>
      <c r="IB5090" s="67"/>
      <c r="IC5090" s="67"/>
      <c r="ID5090" s="67"/>
      <c r="IE5090" s="67"/>
      <c r="IF5090" s="67"/>
      <c r="IG5090" s="67"/>
      <c r="IH5090" s="67"/>
      <c r="II5090" s="67"/>
      <c r="IJ5090" s="67"/>
      <c r="IK5090" s="67"/>
      <c r="IL5090" s="67"/>
      <c r="IM5090" s="67"/>
      <c r="IN5090" s="67"/>
      <c r="IO5090" s="67"/>
      <c r="IP5090" s="67"/>
      <c r="IQ5090" s="67"/>
      <c r="IR5090" s="67"/>
      <c r="IS5090" s="67"/>
      <c r="IT5090" s="67"/>
      <c r="IU5090" s="67"/>
      <c r="IV5090" s="67"/>
      <c r="IW5090" s="67"/>
      <c r="IX5090" s="67"/>
      <c r="IY5090" s="67"/>
      <c r="IZ5090" s="67"/>
      <c r="JA5090" s="67"/>
      <c r="JB5090" s="67"/>
      <c r="JC5090" s="67"/>
      <c r="JD5090" s="67"/>
      <c r="JE5090" s="67"/>
      <c r="JF5090" s="67"/>
      <c r="JG5090" s="67"/>
      <c r="JH5090" s="67"/>
      <c r="JI5090" s="67"/>
      <c r="JJ5090" s="67"/>
      <c r="JK5090" s="67"/>
      <c r="JL5090" s="67"/>
      <c r="JM5090" s="67"/>
      <c r="JN5090" s="67"/>
      <c r="JO5090" s="67"/>
      <c r="JP5090" s="67"/>
      <c r="JQ5090" s="67"/>
      <c r="JR5090" s="67"/>
      <c r="JS5090" s="67"/>
      <c r="JT5090" s="67">
        <v>99999</v>
      </c>
      <c r="JU5090" s="58"/>
      <c r="JV5090" s="58"/>
      <c r="JW5090" s="58"/>
    </row>
    <row r="5091" spans="1:283" s="23" customFormat="1" x14ac:dyDescent="0.25">
      <c r="A5091" s="55">
        <v>5090</v>
      </c>
      <c r="B5091" s="12" t="s">
        <v>7067</v>
      </c>
      <c r="C5091" s="156">
        <v>262</v>
      </c>
      <c r="D5091" s="58" t="s">
        <v>5015</v>
      </c>
      <c r="E5091" s="160" t="str">
        <f>G5091</f>
        <v>Phillips, 2007</v>
      </c>
      <c r="F5091" s="160"/>
      <c r="G5091" s="60" t="s">
        <v>4712</v>
      </c>
      <c r="H5091" s="58" t="s">
        <v>5608</v>
      </c>
      <c r="I5091" s="58" t="s">
        <v>5643</v>
      </c>
      <c r="J5091" s="243" t="s">
        <v>916</v>
      </c>
      <c r="K5091" s="63" t="s">
        <v>5084</v>
      </c>
      <c r="L5091" s="58" t="s">
        <v>2737</v>
      </c>
      <c r="M5091" s="94">
        <f>47+47/60</f>
        <v>47.783333333333331</v>
      </c>
      <c r="N5091" s="94">
        <f>-96-40/60</f>
        <v>-96.666666666666671</v>
      </c>
      <c r="O5091" s="94">
        <v>253</v>
      </c>
      <c r="P5091" s="58"/>
      <c r="Q5091" s="244">
        <v>6.04</v>
      </c>
      <c r="R5091" s="58"/>
      <c r="S5091" s="245">
        <v>540</v>
      </c>
      <c r="T5091" s="58"/>
      <c r="U5091" s="58" t="s">
        <v>1688</v>
      </c>
      <c r="V5091" s="244">
        <v>5</v>
      </c>
      <c r="W5091" s="174"/>
      <c r="X5091" s="174"/>
      <c r="Y5091" s="58" t="s">
        <v>1867</v>
      </c>
      <c r="Z5091" s="244" t="s">
        <v>1349</v>
      </c>
      <c r="AA5091" s="245">
        <v>15</v>
      </c>
      <c r="AB5091" s="67"/>
      <c r="AC5091" s="67"/>
      <c r="AD5091" s="94">
        <v>0.76</v>
      </c>
      <c r="AE5091" s="94"/>
      <c r="AF5091" s="94"/>
      <c r="AG5091" s="245">
        <v>35</v>
      </c>
      <c r="AH5091" s="58" t="s">
        <v>6378</v>
      </c>
      <c r="AI5091" s="169"/>
      <c r="AJ5091" s="94">
        <f>51.4/(100*100*AD5091*0.15)*100</f>
        <v>4.5087719298245617</v>
      </c>
      <c r="AK5091" s="94"/>
      <c r="AL5091" s="58"/>
      <c r="AM5091" s="58" t="s">
        <v>5743</v>
      </c>
      <c r="AN5091" s="186" t="s">
        <v>176</v>
      </c>
      <c r="AO5091" s="185" t="s">
        <v>5150</v>
      </c>
      <c r="AP5091" s="58"/>
      <c r="AQ5091" s="58" t="s">
        <v>176</v>
      </c>
      <c r="AR5091" s="58" t="s">
        <v>5744</v>
      </c>
      <c r="AS5091" s="246" t="s">
        <v>4584</v>
      </c>
      <c r="AT5091" s="247">
        <v>0</v>
      </c>
      <c r="AU5091" s="181" t="s">
        <v>7494</v>
      </c>
      <c r="AV5091" s="185" t="s">
        <v>176</v>
      </c>
      <c r="AW5091" s="244">
        <v>1</v>
      </c>
      <c r="AX5091" s="185" t="s">
        <v>176</v>
      </c>
      <c r="AY5091" s="244" t="s">
        <v>5150</v>
      </c>
      <c r="AZ5091" s="58" t="s">
        <v>5740</v>
      </c>
      <c r="BA5091" s="58" t="s">
        <v>5741</v>
      </c>
      <c r="BB5091" s="58" t="s">
        <v>2081</v>
      </c>
      <c r="BC5091" s="58" t="s">
        <v>2081</v>
      </c>
      <c r="BD5091" s="58" t="s">
        <v>176</v>
      </c>
      <c r="BE5091" s="236" t="s">
        <v>5214</v>
      </c>
      <c r="BF5091" s="191" t="s">
        <v>479</v>
      </c>
      <c r="BG5091" s="191" t="s">
        <v>479</v>
      </c>
      <c r="BH5091" s="236" t="s">
        <v>5279</v>
      </c>
      <c r="BI5091" s="191" t="s">
        <v>479</v>
      </c>
      <c r="BJ5091" s="58" t="str">
        <f>IF(BE5091=BH5091,"No","yes")</f>
        <v>yes</v>
      </c>
      <c r="BK5091" s="58" t="s">
        <v>6334</v>
      </c>
      <c r="BL5091" s="58" t="s">
        <v>5739</v>
      </c>
      <c r="BM5091" s="237"/>
      <c r="BN5091" s="244">
        <v>5</v>
      </c>
      <c r="BO5091" s="244">
        <v>5</v>
      </c>
      <c r="BP5091" s="58"/>
      <c r="BQ5091" s="58"/>
      <c r="BR5091" s="58"/>
      <c r="BS5091" s="58"/>
      <c r="BT5091" s="58"/>
      <c r="BU5091" s="58"/>
      <c r="BV5091" s="58"/>
      <c r="BW5091" s="67"/>
      <c r="BX5091" s="67"/>
      <c r="BY5091" s="67"/>
      <c r="BZ5091" s="67"/>
      <c r="CA5091" s="67"/>
      <c r="CB5091" s="70"/>
      <c r="CC5091" s="70"/>
      <c r="CD5091" s="70"/>
      <c r="CE5091" s="67"/>
      <c r="CF5091" s="67"/>
      <c r="CG5091" s="67"/>
      <c r="CH5091" s="245">
        <v>1.07</v>
      </c>
      <c r="CI5091" s="245">
        <v>1.1200000000000001</v>
      </c>
      <c r="CJ5091" s="67"/>
      <c r="CK5091" s="67"/>
      <c r="CL5091" s="67"/>
      <c r="CM5091" s="242">
        <v>3.5825545171339566</v>
      </c>
      <c r="CN5091" s="242">
        <v>3.6607142857142856</v>
      </c>
      <c r="CO5091" s="242">
        <v>0.17912772585669784</v>
      </c>
      <c r="CP5091" s="242">
        <v>0.21964285714285714</v>
      </c>
      <c r="CQ5091" s="242" t="s">
        <v>164</v>
      </c>
      <c r="CR5091" s="242">
        <v>57.5</v>
      </c>
      <c r="CS5091" s="242">
        <v>61.5</v>
      </c>
      <c r="CT5091" s="242">
        <v>2.71</v>
      </c>
      <c r="CU5091" s="242">
        <v>3.9</v>
      </c>
      <c r="CV5091" s="242" t="s">
        <v>5151</v>
      </c>
      <c r="CW5091" s="242">
        <f>(CR5091-51.4)*1000/5</f>
        <v>1220.0000000000005</v>
      </c>
      <c r="CX5091" s="242">
        <f>(CS5091-51.4)*1000/5</f>
        <v>2020.0000000000005</v>
      </c>
      <c r="CY5091" s="242"/>
      <c r="CZ5091" s="242"/>
      <c r="DA5091" s="67" t="s">
        <v>5443</v>
      </c>
      <c r="DB5091" s="67">
        <v>4.72</v>
      </c>
      <c r="DC5091" s="67">
        <v>5.0599999999999996</v>
      </c>
      <c r="DD5091" s="67">
        <v>0.2</v>
      </c>
      <c r="DE5091" s="67">
        <v>0.3</v>
      </c>
      <c r="DF5091" s="67" t="s">
        <v>5742</v>
      </c>
      <c r="DG5091" s="67"/>
      <c r="DH5091" s="67"/>
      <c r="DI5091" s="67"/>
      <c r="DJ5091" s="67"/>
      <c r="DK5091" s="67"/>
      <c r="DL5091" s="67"/>
      <c r="DM5091" s="67"/>
      <c r="DN5091" s="67"/>
      <c r="DO5091" s="67"/>
      <c r="DP5091" s="67"/>
      <c r="DQ5091" s="166"/>
      <c r="DR5091" s="166"/>
      <c r="DS5091" s="163"/>
      <c r="DT5091" s="163"/>
      <c r="DU5091" s="67"/>
      <c r="DV5091" s="67"/>
      <c r="DW5091" s="67"/>
      <c r="DX5091" s="67"/>
      <c r="DY5091" s="67"/>
      <c r="DZ5091" s="67"/>
      <c r="EA5091" s="67"/>
      <c r="EB5091" s="67"/>
      <c r="EC5091" s="67"/>
      <c r="ED5091" s="67"/>
      <c r="EE5091" s="67"/>
      <c r="EF5091" s="67"/>
      <c r="EG5091" s="67"/>
      <c r="EH5091" s="67"/>
      <c r="EI5091" s="67"/>
      <c r="EJ5091" s="67"/>
      <c r="EK5091" s="94"/>
      <c r="EL5091" s="94"/>
      <c r="EM5091" s="67"/>
      <c r="EN5091" s="67"/>
      <c r="EO5091" s="67"/>
      <c r="EP5091" s="67"/>
      <c r="EQ5091" s="67"/>
      <c r="ER5091" s="67"/>
      <c r="ES5091" s="67"/>
      <c r="ET5091" s="67"/>
      <c r="EU5091" s="67"/>
      <c r="EV5091" s="67"/>
      <c r="EW5091" s="67"/>
      <c r="EX5091" s="67"/>
      <c r="EY5091" s="67"/>
      <c r="EZ5091" s="67"/>
      <c r="FA5091" s="67"/>
      <c r="FB5091" s="67"/>
      <c r="FC5091" s="67"/>
      <c r="FD5091" s="67"/>
      <c r="FE5091" s="67"/>
      <c r="FF5091" s="67"/>
      <c r="FG5091" s="67"/>
      <c r="FH5091" s="67"/>
      <c r="FI5091" s="67"/>
      <c r="FJ5091" s="67"/>
      <c r="FK5091" s="67"/>
      <c r="FL5091" s="67"/>
      <c r="FM5091" s="67"/>
      <c r="FN5091" s="67"/>
      <c r="FO5091" s="67"/>
      <c r="FP5091" s="67"/>
      <c r="FQ5091" s="67"/>
      <c r="FR5091" s="67"/>
      <c r="FS5091" s="67"/>
      <c r="FT5091" s="67"/>
      <c r="FU5091" s="67"/>
      <c r="FV5091" s="67"/>
      <c r="FW5091" s="67"/>
      <c r="FX5091" s="67"/>
      <c r="FY5091" s="67"/>
      <c r="FZ5091" s="67"/>
      <c r="GA5091" s="67"/>
      <c r="GB5091" s="67"/>
      <c r="GC5091" s="67"/>
      <c r="GD5091" s="67"/>
      <c r="GE5091" s="67"/>
      <c r="GF5091" s="67"/>
      <c r="GG5091" s="67"/>
      <c r="GH5091" s="67"/>
      <c r="GI5091" s="67"/>
      <c r="GJ5091" s="67"/>
      <c r="GK5091" s="67"/>
      <c r="GL5091" s="67"/>
      <c r="GM5091" s="67"/>
      <c r="GN5091" s="292"/>
      <c r="GO5091" s="292"/>
      <c r="GP5091" s="292" t="s">
        <v>7494</v>
      </c>
      <c r="GQ5091" s="67"/>
      <c r="GR5091" s="67"/>
      <c r="GS5091" s="67"/>
      <c r="GT5091" s="67"/>
      <c r="GU5091" s="67"/>
      <c r="GV5091" s="67"/>
      <c r="GW5091" s="67"/>
      <c r="GX5091" s="67"/>
      <c r="GY5091" s="67"/>
      <c r="GZ5091" s="67"/>
      <c r="HA5091" s="67"/>
      <c r="HB5091" s="67"/>
      <c r="HC5091" s="67"/>
      <c r="HD5091" s="67"/>
      <c r="HE5091" s="67"/>
      <c r="HF5091" s="67"/>
      <c r="HG5091" s="67"/>
      <c r="HH5091" s="67"/>
      <c r="HI5091" s="67"/>
      <c r="HJ5091" s="67"/>
      <c r="HK5091" s="67"/>
      <c r="HL5091" s="67"/>
      <c r="HM5091" s="67"/>
      <c r="HN5091" s="67"/>
      <c r="HO5091" s="67"/>
      <c r="HP5091" s="67"/>
      <c r="HQ5091" s="67"/>
      <c r="HR5091" s="67"/>
      <c r="HS5091" s="67"/>
      <c r="HT5091" s="67"/>
      <c r="HU5091" s="67"/>
      <c r="HV5091" s="67"/>
      <c r="HW5091" s="67"/>
      <c r="HX5091" s="67"/>
      <c r="HY5091" s="67"/>
      <c r="HZ5091" s="67"/>
      <c r="IA5091" s="67"/>
      <c r="IB5091" s="67"/>
      <c r="IC5091" s="67"/>
      <c r="ID5091" s="67"/>
      <c r="IE5091" s="67"/>
      <c r="IF5091" s="67"/>
      <c r="IG5091" s="67"/>
      <c r="IH5091" s="67">
        <v>13.27</v>
      </c>
      <c r="II5091" s="67">
        <v>15.27</v>
      </c>
      <c r="IJ5091" s="67">
        <f>14.39-IH5091</f>
        <v>1.120000000000001</v>
      </c>
      <c r="IK5091" s="67">
        <f>16.79-II5091</f>
        <v>1.5199999999999996</v>
      </c>
      <c r="IL5091" s="67"/>
      <c r="IM5091" s="67"/>
      <c r="IN5091" s="67"/>
      <c r="IO5091" s="67"/>
      <c r="IP5091" s="67"/>
      <c r="IQ5091" s="67"/>
      <c r="IR5091" s="67"/>
      <c r="IS5091" s="67"/>
      <c r="IT5091" s="67"/>
      <c r="IU5091" s="67"/>
      <c r="IV5091" s="67"/>
      <c r="IW5091" s="67"/>
      <c r="IX5091" s="67"/>
      <c r="IY5091" s="67"/>
      <c r="IZ5091" s="67"/>
      <c r="JA5091" s="67"/>
      <c r="JB5091" s="67"/>
      <c r="JC5091" s="67"/>
      <c r="JD5091" s="67"/>
      <c r="JE5091" s="67"/>
      <c r="JF5091" s="67"/>
      <c r="JG5091" s="67"/>
      <c r="JH5091" s="67"/>
      <c r="JI5091" s="67"/>
      <c r="JJ5091" s="67"/>
      <c r="JK5091" s="67"/>
      <c r="JL5091" s="67"/>
      <c r="JM5091" s="67"/>
      <c r="JN5091" s="67"/>
      <c r="JO5091" s="67"/>
      <c r="JP5091" s="67"/>
      <c r="JQ5091" s="67"/>
      <c r="JR5091" s="67"/>
      <c r="JS5091" s="67"/>
      <c r="JT5091" s="67"/>
      <c r="JU5091" s="58"/>
      <c r="JV5091" s="58"/>
      <c r="JW5091" s="58"/>
    </row>
    <row r="5092" spans="1:283" s="23" customFormat="1" x14ac:dyDescent="0.25">
      <c r="A5092" s="55">
        <v>5091</v>
      </c>
      <c r="B5092" s="12" t="s">
        <v>7067</v>
      </c>
      <c r="C5092" s="156">
        <v>263</v>
      </c>
      <c r="D5092" s="58" t="s">
        <v>5016</v>
      </c>
      <c r="E5092" s="160" t="str">
        <f>G5092</f>
        <v>Probst et al. 2008_P-I-bottom</v>
      </c>
      <c r="F5092" s="160"/>
      <c r="G5092" s="60" t="s">
        <v>4711</v>
      </c>
      <c r="H5092" s="58">
        <v>2008</v>
      </c>
      <c r="I5092" s="58" t="s">
        <v>5550</v>
      </c>
      <c r="J5092" s="243" t="s">
        <v>2176</v>
      </c>
      <c r="K5092" s="63" t="s">
        <v>5083</v>
      </c>
      <c r="L5092" s="58" t="s">
        <v>2740</v>
      </c>
      <c r="M5092" s="94">
        <f>47+57/60</f>
        <v>47.95</v>
      </c>
      <c r="N5092" s="94">
        <f>7+7/60</f>
        <v>7.1166666666666663</v>
      </c>
      <c r="O5092" s="94">
        <v>729</v>
      </c>
      <c r="P5092" s="58"/>
      <c r="Q5092" s="244">
        <v>10</v>
      </c>
      <c r="R5092" s="58"/>
      <c r="S5092" s="245">
        <v>530</v>
      </c>
      <c r="T5092" s="58"/>
      <c r="U5092" s="58" t="s">
        <v>1889</v>
      </c>
      <c r="V5092" s="244">
        <v>23</v>
      </c>
      <c r="W5092" s="174"/>
      <c r="X5092" s="174"/>
      <c r="Y5092" s="58"/>
      <c r="Z5092" s="244" t="s">
        <v>1355</v>
      </c>
      <c r="AA5092" s="245">
        <v>10</v>
      </c>
      <c r="AB5092" s="67"/>
      <c r="AC5092" s="67"/>
      <c r="AD5092" s="94">
        <v>1</v>
      </c>
      <c r="AE5092" s="94"/>
      <c r="AF5092" s="94"/>
      <c r="AG5092" s="245"/>
      <c r="AH5092" s="58"/>
      <c r="AI5092" s="169" t="s">
        <v>5747</v>
      </c>
      <c r="AJ5092" s="94"/>
      <c r="AK5092" s="94"/>
      <c r="AL5092" s="58"/>
      <c r="AM5092" s="58"/>
      <c r="AN5092" s="186"/>
      <c r="AO5092" s="185" t="s">
        <v>5150</v>
      </c>
      <c r="AP5092" s="58"/>
      <c r="AQ5092" s="58"/>
      <c r="AR5092" s="58" t="s">
        <v>4532</v>
      </c>
      <c r="AS5092" s="246" t="s">
        <v>3471</v>
      </c>
      <c r="AT5092" s="247">
        <v>0</v>
      </c>
      <c r="AU5092" s="181" t="s">
        <v>7494</v>
      </c>
      <c r="AV5092" s="185" t="s">
        <v>176</v>
      </c>
      <c r="AW5092" s="244">
        <v>0</v>
      </c>
      <c r="AX5092" s="185" t="s">
        <v>176</v>
      </c>
      <c r="AY5092" s="244" t="s">
        <v>176</v>
      </c>
      <c r="AZ5092" s="58"/>
      <c r="BA5092" s="58"/>
      <c r="BB5092" s="58"/>
      <c r="BC5092" s="58"/>
      <c r="BD5092" s="58"/>
      <c r="BE5092" s="236" t="s">
        <v>5213</v>
      </c>
      <c r="BF5092" s="191"/>
      <c r="BG5092" s="191" t="s">
        <v>479</v>
      </c>
      <c r="BH5092" s="236" t="s">
        <v>5153</v>
      </c>
      <c r="BI5092" s="191" t="s">
        <v>176</v>
      </c>
      <c r="BJ5092" s="58" t="str">
        <f>IF(BE5092=BH5092,"No","yes")</f>
        <v>yes</v>
      </c>
      <c r="BK5092" s="58" t="s">
        <v>6334</v>
      </c>
      <c r="BL5092" s="58"/>
      <c r="BM5092" s="237"/>
      <c r="BN5092" s="244">
        <v>4</v>
      </c>
      <c r="BO5092" s="244">
        <v>4</v>
      </c>
      <c r="BP5092" s="58"/>
      <c r="BQ5092" s="58"/>
      <c r="BR5092" s="58"/>
      <c r="BS5092" s="58"/>
      <c r="BT5092" s="58"/>
      <c r="BU5092" s="58"/>
      <c r="BV5092" s="58"/>
      <c r="BW5092" s="67"/>
      <c r="BX5092" s="67"/>
      <c r="BY5092" s="67"/>
      <c r="BZ5092" s="67"/>
      <c r="CA5092" s="67"/>
      <c r="CB5092" s="70"/>
      <c r="CC5092" s="70"/>
      <c r="CD5092" s="70"/>
      <c r="CE5092" s="67"/>
      <c r="CF5092" s="67"/>
      <c r="CG5092" s="67"/>
      <c r="CH5092" s="245"/>
      <c r="CI5092" s="245"/>
      <c r="CJ5092" s="67"/>
      <c r="CK5092" s="67"/>
      <c r="CL5092" s="67"/>
      <c r="CM5092" s="242">
        <v>2.42</v>
      </c>
      <c r="CN5092" s="242">
        <v>3.24</v>
      </c>
      <c r="CO5092" s="242">
        <v>0.37</v>
      </c>
      <c r="CP5092" s="242">
        <v>0.25</v>
      </c>
      <c r="CQ5092" s="242" t="s">
        <v>164</v>
      </c>
      <c r="CR5092" s="242">
        <v>24.73</v>
      </c>
      <c r="CS5092" s="242">
        <v>32.659999999999997</v>
      </c>
      <c r="CT5092" s="242">
        <v>3.94</v>
      </c>
      <c r="CU5092" s="242">
        <v>3.71</v>
      </c>
      <c r="CV5092" s="242" t="s">
        <v>5151</v>
      </c>
      <c r="CW5092" s="242"/>
      <c r="CX5092" s="242"/>
      <c r="CY5092" s="242"/>
      <c r="CZ5092" s="242"/>
      <c r="DA5092" s="67" t="s">
        <v>5443</v>
      </c>
      <c r="DB5092" s="67">
        <v>2.2999999999999998</v>
      </c>
      <c r="DC5092" s="67">
        <v>2.2999999999999998</v>
      </c>
      <c r="DD5092" s="67">
        <f>0.17*DB5092</f>
        <v>0.39100000000000001</v>
      </c>
      <c r="DE5092" s="67">
        <f>0.17*DC5092</f>
        <v>0.39100000000000001</v>
      </c>
      <c r="DF5092" s="67" t="s">
        <v>5750</v>
      </c>
      <c r="DG5092" s="67">
        <v>1.5</v>
      </c>
      <c r="DH5092" s="67">
        <v>1.6</v>
      </c>
      <c r="DI5092" s="67">
        <f>0.083*DG5092</f>
        <v>0.1245</v>
      </c>
      <c r="DJ5092" s="67">
        <f>0.091*DH5092</f>
        <v>0.14560000000000001</v>
      </c>
      <c r="DK5092" s="67" t="s">
        <v>5751</v>
      </c>
      <c r="DL5092" s="67"/>
      <c r="DM5092" s="67"/>
      <c r="DN5092" s="67"/>
      <c r="DO5092" s="67"/>
      <c r="DP5092" s="67"/>
      <c r="DQ5092" s="166"/>
      <c r="DR5092" s="166"/>
      <c r="DS5092" s="163"/>
      <c r="DT5092" s="163"/>
      <c r="DU5092" s="67"/>
      <c r="DV5092" s="67"/>
      <c r="DW5092" s="67"/>
      <c r="DX5092" s="67"/>
      <c r="DY5092" s="67"/>
      <c r="DZ5092" s="67"/>
      <c r="EA5092" s="67"/>
      <c r="EB5092" s="67"/>
      <c r="EC5092" s="67"/>
      <c r="ED5092" s="67"/>
      <c r="EE5092" s="67"/>
      <c r="EF5092" s="67"/>
      <c r="EG5092" s="67"/>
      <c r="EH5092" s="67"/>
      <c r="EI5092" s="67"/>
      <c r="EJ5092" s="67"/>
      <c r="EK5092" s="94"/>
      <c r="EL5092" s="94"/>
      <c r="EM5092" s="67"/>
      <c r="EN5092" s="67"/>
      <c r="EO5092" s="67"/>
      <c r="EP5092" s="67"/>
      <c r="EQ5092" s="67"/>
      <c r="ER5092" s="67"/>
      <c r="ES5092" s="67"/>
      <c r="ET5092" s="67"/>
      <c r="EU5092" s="67"/>
      <c r="EV5092" s="67"/>
      <c r="EW5092" s="67"/>
      <c r="EX5092" s="67"/>
      <c r="EY5092" s="67"/>
      <c r="EZ5092" s="67"/>
      <c r="FA5092" s="67"/>
      <c r="FB5092" s="67"/>
      <c r="FC5092" s="67"/>
      <c r="FD5092" s="67"/>
      <c r="FE5092" s="67"/>
      <c r="FF5092" s="67"/>
      <c r="FG5092" s="67"/>
      <c r="FH5092" s="67"/>
      <c r="FI5092" s="67"/>
      <c r="FJ5092" s="67"/>
      <c r="FK5092" s="67"/>
      <c r="FL5092" s="67"/>
      <c r="FM5092" s="67"/>
      <c r="FN5092" s="67"/>
      <c r="FO5092" s="67"/>
      <c r="FP5092" s="67"/>
      <c r="FQ5092" s="67"/>
      <c r="FR5092" s="67"/>
      <c r="FS5092" s="67"/>
      <c r="FT5092" s="67"/>
      <c r="FU5092" s="67"/>
      <c r="FV5092" s="67"/>
      <c r="FW5092" s="67"/>
      <c r="FX5092" s="67"/>
      <c r="FY5092" s="67"/>
      <c r="FZ5092" s="67"/>
      <c r="GA5092" s="67"/>
      <c r="GB5092" s="67"/>
      <c r="GC5092" s="67"/>
      <c r="GD5092" s="67"/>
      <c r="GE5092" s="67"/>
      <c r="GF5092" s="67"/>
      <c r="GG5092" s="67"/>
      <c r="GH5092" s="67"/>
      <c r="GI5092" s="67"/>
      <c r="GJ5092" s="67"/>
      <c r="GK5092" s="67"/>
      <c r="GL5092" s="67"/>
      <c r="GM5092" s="67"/>
      <c r="GN5092" s="292"/>
      <c r="GO5092" s="292"/>
      <c r="GP5092" s="292" t="s">
        <v>7494</v>
      </c>
      <c r="GQ5092" s="67"/>
      <c r="GR5092" s="67"/>
      <c r="GS5092" s="67"/>
      <c r="GT5092" s="67"/>
      <c r="GU5092" s="67"/>
      <c r="GV5092" s="67"/>
      <c r="GW5092" s="67"/>
      <c r="GX5092" s="67"/>
      <c r="GY5092" s="67"/>
      <c r="GZ5092" s="67"/>
      <c r="HA5092" s="67"/>
      <c r="HB5092" s="67"/>
      <c r="HC5092" s="67"/>
      <c r="HD5092" s="67"/>
      <c r="HE5092" s="67"/>
      <c r="HF5092" s="67"/>
      <c r="HG5092" s="67"/>
      <c r="HH5092" s="67"/>
      <c r="HI5092" s="67"/>
      <c r="HJ5092" s="67"/>
      <c r="HK5092" s="67"/>
      <c r="HL5092" s="67"/>
      <c r="HM5092" s="67"/>
      <c r="HN5092" s="67">
        <v>50</v>
      </c>
      <c r="HO5092" s="67">
        <v>43</v>
      </c>
      <c r="HP5092" s="67">
        <f>0.26*HN5092</f>
        <v>13</v>
      </c>
      <c r="HQ5092" s="67">
        <f>0.26*HO5092</f>
        <v>11.18</v>
      </c>
      <c r="HR5092" s="67" t="s">
        <v>5754</v>
      </c>
      <c r="HS5092" s="67"/>
      <c r="HT5092" s="67"/>
      <c r="HU5092" s="67"/>
      <c r="HV5092" s="67"/>
      <c r="HW5092" s="67"/>
      <c r="HX5092" s="67"/>
      <c r="HY5092" s="67"/>
      <c r="HZ5092" s="67"/>
      <c r="IA5092" s="67"/>
      <c r="IB5092" s="67"/>
      <c r="IC5092" s="67"/>
      <c r="ID5092" s="67"/>
      <c r="IE5092" s="67"/>
      <c r="IF5092" s="67"/>
      <c r="IG5092" s="67"/>
      <c r="IH5092" s="67"/>
      <c r="II5092" s="67"/>
      <c r="IJ5092" s="67"/>
      <c r="IK5092" s="67"/>
      <c r="IL5092" s="67"/>
      <c r="IM5092" s="67"/>
      <c r="IN5092" s="67"/>
      <c r="IO5092" s="67"/>
      <c r="IP5092" s="67"/>
      <c r="IQ5092" s="67"/>
      <c r="IR5092" s="67">
        <v>25</v>
      </c>
      <c r="IS5092" s="67">
        <v>31</v>
      </c>
      <c r="IT5092" s="67">
        <f>0.32*IR5092</f>
        <v>8</v>
      </c>
      <c r="IU5092" s="67">
        <f>0.32*IS5092</f>
        <v>9.92</v>
      </c>
      <c r="IV5092" s="67" t="s">
        <v>5753</v>
      </c>
      <c r="IW5092" s="67"/>
      <c r="IX5092" s="67"/>
      <c r="IY5092" s="67"/>
      <c r="IZ5092" s="67"/>
      <c r="JA5092" s="67"/>
      <c r="JB5092" s="67"/>
      <c r="JC5092" s="67"/>
      <c r="JD5092" s="67"/>
      <c r="JE5092" s="67"/>
      <c r="JF5092" s="67"/>
      <c r="JG5092" s="67">
        <v>688.52</v>
      </c>
      <c r="JH5092" s="67">
        <v>770.49</v>
      </c>
      <c r="JI5092" s="67">
        <f>793-JG5092</f>
        <v>104.48000000000002</v>
      </c>
      <c r="JJ5092" s="67">
        <v>104.8</v>
      </c>
      <c r="JK5092" s="67" t="s">
        <v>3072</v>
      </c>
      <c r="JL5092" s="67">
        <v>100</v>
      </c>
      <c r="JM5092" s="67">
        <v>130</v>
      </c>
      <c r="JN5092" s="67">
        <f>0.28*JL5092</f>
        <v>28.000000000000004</v>
      </c>
      <c r="JO5092" s="67">
        <f>0.27*JM5092</f>
        <v>35.1</v>
      </c>
      <c r="JP5092" s="67" t="s">
        <v>3072</v>
      </c>
      <c r="JQ5092" s="67">
        <v>99999</v>
      </c>
      <c r="JR5092" s="67"/>
      <c r="JS5092" s="67"/>
      <c r="JT5092" s="67"/>
      <c r="JU5092" s="58" t="s">
        <v>5752</v>
      </c>
      <c r="JV5092" s="58"/>
      <c r="JW5092" s="58"/>
    </row>
    <row r="5093" spans="1:283" s="23" customFormat="1" x14ac:dyDescent="0.25">
      <c r="A5093" s="55">
        <v>5092</v>
      </c>
      <c r="B5093" s="12" t="s">
        <v>7067</v>
      </c>
      <c r="C5093" s="156">
        <v>263</v>
      </c>
      <c r="D5093" s="58" t="s">
        <v>5017</v>
      </c>
      <c r="E5093" s="160" t="str">
        <f>G5093</f>
        <v>Probst et al. 2008_P-I-top</v>
      </c>
      <c r="F5093" s="160"/>
      <c r="G5093" s="60" t="s">
        <v>4708</v>
      </c>
      <c r="H5093" s="58">
        <v>2008</v>
      </c>
      <c r="I5093" s="58" t="s">
        <v>5550</v>
      </c>
      <c r="J5093" s="243" t="s">
        <v>2176</v>
      </c>
      <c r="K5093" s="63" t="s">
        <v>5083</v>
      </c>
      <c r="L5093" s="58" t="s">
        <v>2740</v>
      </c>
      <c r="M5093" s="94">
        <f>47+57/60</f>
        <v>47.95</v>
      </c>
      <c r="N5093" s="94">
        <f>7+7/60</f>
        <v>7.1166666666666663</v>
      </c>
      <c r="O5093" s="94">
        <v>729</v>
      </c>
      <c r="P5093" s="58"/>
      <c r="Q5093" s="244">
        <v>10</v>
      </c>
      <c r="R5093" s="58"/>
      <c r="S5093" s="245">
        <v>530</v>
      </c>
      <c r="T5093" s="58"/>
      <c r="U5093" s="58" t="s">
        <v>1889</v>
      </c>
      <c r="V5093" s="244">
        <v>23</v>
      </c>
      <c r="W5093" s="174"/>
      <c r="X5093" s="174"/>
      <c r="Y5093" s="58"/>
      <c r="Z5093" s="244" t="s">
        <v>1355</v>
      </c>
      <c r="AA5093" s="245">
        <v>10</v>
      </c>
      <c r="AB5093" s="67"/>
      <c r="AC5093" s="67"/>
      <c r="AD5093" s="94">
        <v>1</v>
      </c>
      <c r="AE5093" s="94"/>
      <c r="AF5093" s="94"/>
      <c r="AG5093" s="245"/>
      <c r="AH5093" s="58"/>
      <c r="AI5093" s="169" t="s">
        <v>5747</v>
      </c>
      <c r="AJ5093" s="94"/>
      <c r="AK5093" s="94"/>
      <c r="AL5093" s="58"/>
      <c r="AM5093" s="58"/>
      <c r="AN5093" s="186"/>
      <c r="AO5093" s="185" t="s">
        <v>7494</v>
      </c>
      <c r="AP5093" s="58"/>
      <c r="AQ5093" s="58"/>
      <c r="AR5093" s="58" t="s">
        <v>4532</v>
      </c>
      <c r="AS5093" s="246" t="s">
        <v>3471</v>
      </c>
      <c r="AT5093" s="247">
        <v>0</v>
      </c>
      <c r="AU5093" s="181" t="s">
        <v>7494</v>
      </c>
      <c r="AV5093" s="185" t="s">
        <v>176</v>
      </c>
      <c r="AW5093" s="244">
        <v>0</v>
      </c>
      <c r="AX5093" s="185" t="s">
        <v>176</v>
      </c>
      <c r="AY5093" s="244" t="s">
        <v>176</v>
      </c>
      <c r="AZ5093" s="58"/>
      <c r="BA5093" s="58"/>
      <c r="BB5093" s="58"/>
      <c r="BC5093" s="58"/>
      <c r="BD5093" s="58"/>
      <c r="BE5093" s="236" t="s">
        <v>5213</v>
      </c>
      <c r="BF5093" s="191"/>
      <c r="BG5093" s="191" t="s">
        <v>479</v>
      </c>
      <c r="BH5093" s="236" t="s">
        <v>5153</v>
      </c>
      <c r="BI5093" s="191" t="s">
        <v>176</v>
      </c>
      <c r="BJ5093" s="58" t="str">
        <f>IF(BE5093=BH5093,"No","yes")</f>
        <v>yes</v>
      </c>
      <c r="BK5093" s="58" t="s">
        <v>6334</v>
      </c>
      <c r="BL5093" s="58"/>
      <c r="BM5093" s="237"/>
      <c r="BN5093" s="244">
        <v>4</v>
      </c>
      <c r="BO5093" s="244">
        <v>4</v>
      </c>
      <c r="BP5093" s="58"/>
      <c r="BQ5093" s="58"/>
      <c r="BR5093" s="58"/>
      <c r="BS5093" s="58"/>
      <c r="BT5093" s="58"/>
      <c r="BU5093" s="58"/>
      <c r="BV5093" s="58"/>
      <c r="BW5093" s="67"/>
      <c r="BX5093" s="67"/>
      <c r="BY5093" s="67"/>
      <c r="BZ5093" s="67"/>
      <c r="CA5093" s="67"/>
      <c r="CB5093" s="70"/>
      <c r="CC5093" s="70"/>
      <c r="CD5093" s="70"/>
      <c r="CE5093" s="67"/>
      <c r="CF5093" s="67"/>
      <c r="CG5093" s="67"/>
      <c r="CH5093" s="245"/>
      <c r="CI5093" s="245"/>
      <c r="CJ5093" s="67"/>
      <c r="CK5093" s="67"/>
      <c r="CL5093" s="67"/>
      <c r="CM5093" s="242">
        <v>2.66</v>
      </c>
      <c r="CN5093" s="242">
        <v>2.68</v>
      </c>
      <c r="CO5093" s="242">
        <v>0.4</v>
      </c>
      <c r="CP5093" s="242">
        <v>0.17</v>
      </c>
      <c r="CQ5093" s="242" t="s">
        <v>164</v>
      </c>
      <c r="CR5093" s="242">
        <v>28.8</v>
      </c>
      <c r="CS5093" s="242">
        <v>28.02</v>
      </c>
      <c r="CT5093" s="242">
        <v>1.25</v>
      </c>
      <c r="CU5093" s="242">
        <v>1.05</v>
      </c>
      <c r="CV5093" s="242" t="s">
        <v>5151</v>
      </c>
      <c r="CW5093" s="242"/>
      <c r="CX5093" s="242"/>
      <c r="CY5093" s="242"/>
      <c r="CZ5093" s="242"/>
      <c r="DA5093" s="67" t="s">
        <v>5443</v>
      </c>
      <c r="DB5093" s="67"/>
      <c r="DC5093" s="67"/>
      <c r="DD5093" s="67"/>
      <c r="DE5093" s="67"/>
      <c r="DF5093" s="67"/>
      <c r="DG5093" s="67"/>
      <c r="DH5093" s="67"/>
      <c r="DI5093" s="67"/>
      <c r="DJ5093" s="67"/>
      <c r="DK5093" s="67"/>
      <c r="DL5093" s="67"/>
      <c r="DM5093" s="67"/>
      <c r="DN5093" s="67"/>
      <c r="DO5093" s="67"/>
      <c r="DP5093" s="67"/>
      <c r="DQ5093" s="166"/>
      <c r="DR5093" s="166"/>
      <c r="DS5093" s="163"/>
      <c r="DT5093" s="163"/>
      <c r="DU5093" s="67"/>
      <c r="DV5093" s="67"/>
      <c r="DW5093" s="67"/>
      <c r="DX5093" s="67"/>
      <c r="DY5093" s="67"/>
      <c r="DZ5093" s="67"/>
      <c r="EA5093" s="67"/>
      <c r="EB5093" s="67"/>
      <c r="EC5093" s="67"/>
      <c r="ED5093" s="67"/>
      <c r="EE5093" s="67"/>
      <c r="EF5093" s="67"/>
      <c r="EG5093" s="67"/>
      <c r="EH5093" s="67"/>
      <c r="EI5093" s="67"/>
      <c r="EJ5093" s="67"/>
      <c r="EK5093" s="94"/>
      <c r="EL5093" s="94"/>
      <c r="EM5093" s="67"/>
      <c r="EN5093" s="67"/>
      <c r="EO5093" s="67"/>
      <c r="EP5093" s="67"/>
      <c r="EQ5093" s="67"/>
      <c r="ER5093" s="67"/>
      <c r="ES5093" s="67"/>
      <c r="ET5093" s="67"/>
      <c r="EU5093" s="67"/>
      <c r="EV5093" s="67"/>
      <c r="EW5093" s="67"/>
      <c r="EX5093" s="67"/>
      <c r="EY5093" s="67"/>
      <c r="EZ5093" s="67"/>
      <c r="FA5093" s="67"/>
      <c r="FB5093" s="67"/>
      <c r="FC5093" s="67"/>
      <c r="FD5093" s="67"/>
      <c r="FE5093" s="67"/>
      <c r="FF5093" s="67"/>
      <c r="FG5093" s="67"/>
      <c r="FH5093" s="67"/>
      <c r="FI5093" s="67"/>
      <c r="FJ5093" s="67"/>
      <c r="FK5093" s="67"/>
      <c r="FL5093" s="67"/>
      <c r="FM5093" s="67"/>
      <c r="FN5093" s="67"/>
      <c r="FO5093" s="67"/>
      <c r="FP5093" s="67"/>
      <c r="FQ5093" s="67"/>
      <c r="FR5093" s="67"/>
      <c r="FS5093" s="67"/>
      <c r="FT5093" s="67"/>
      <c r="FU5093" s="67"/>
      <c r="FV5093" s="67"/>
      <c r="FW5093" s="67"/>
      <c r="FX5093" s="67"/>
      <c r="FY5093" s="67"/>
      <c r="FZ5093" s="67"/>
      <c r="GA5093" s="67"/>
      <c r="GB5093" s="67"/>
      <c r="GC5093" s="67"/>
      <c r="GD5093" s="67"/>
      <c r="GE5093" s="67"/>
      <c r="GF5093" s="67"/>
      <c r="GG5093" s="67"/>
      <c r="GH5093" s="67"/>
      <c r="GI5093" s="67"/>
      <c r="GJ5093" s="67"/>
      <c r="GK5093" s="67"/>
      <c r="GL5093" s="67"/>
      <c r="GM5093" s="67"/>
      <c r="GN5093" s="292"/>
      <c r="GO5093" s="292"/>
      <c r="GP5093" s="292" t="s">
        <v>7494</v>
      </c>
      <c r="GQ5093" s="67"/>
      <c r="GR5093" s="67"/>
      <c r="GS5093" s="67"/>
      <c r="GT5093" s="67"/>
      <c r="GU5093" s="67"/>
      <c r="GV5093" s="67"/>
      <c r="GW5093" s="67"/>
      <c r="GX5093" s="67"/>
      <c r="GY5093" s="67"/>
      <c r="GZ5093" s="67"/>
      <c r="HA5093" s="67"/>
      <c r="HB5093" s="67"/>
      <c r="HC5093" s="67"/>
      <c r="HD5093" s="67"/>
      <c r="HE5093" s="67"/>
      <c r="HF5093" s="67"/>
      <c r="HG5093" s="67"/>
      <c r="HH5093" s="67"/>
      <c r="HI5093" s="67"/>
      <c r="HJ5093" s="67"/>
      <c r="HK5093" s="67"/>
      <c r="HL5093" s="67"/>
      <c r="HM5093" s="67"/>
      <c r="HN5093" s="67"/>
      <c r="HO5093" s="67"/>
      <c r="HP5093" s="67"/>
      <c r="HQ5093" s="67"/>
      <c r="HR5093" s="67"/>
      <c r="HS5093" s="67"/>
      <c r="HT5093" s="67"/>
      <c r="HU5093" s="67"/>
      <c r="HV5093" s="67"/>
      <c r="HW5093" s="67"/>
      <c r="HX5093" s="67"/>
      <c r="HY5093" s="67"/>
      <c r="HZ5093" s="67"/>
      <c r="IA5093" s="67"/>
      <c r="IB5093" s="67"/>
      <c r="IC5093" s="67"/>
      <c r="ID5093" s="67"/>
      <c r="IE5093" s="67"/>
      <c r="IF5093" s="67"/>
      <c r="IG5093" s="67"/>
      <c r="IH5093" s="67"/>
      <c r="II5093" s="67"/>
      <c r="IJ5093" s="67"/>
      <c r="IK5093" s="67"/>
      <c r="IL5093" s="67"/>
      <c r="IM5093" s="67"/>
      <c r="IN5093" s="67"/>
      <c r="IO5093" s="67"/>
      <c r="IP5093" s="67"/>
      <c r="IQ5093" s="67"/>
      <c r="IR5093" s="67"/>
      <c r="IS5093" s="67"/>
      <c r="IT5093" s="67"/>
      <c r="IU5093" s="67"/>
      <c r="IV5093" s="67"/>
      <c r="IW5093" s="67"/>
      <c r="IX5093" s="67"/>
      <c r="IY5093" s="67"/>
      <c r="IZ5093" s="67"/>
      <c r="JA5093" s="67"/>
      <c r="JB5093" s="67"/>
      <c r="JC5093" s="67"/>
      <c r="JD5093" s="67"/>
      <c r="JE5093" s="67"/>
      <c r="JF5093" s="67"/>
      <c r="JG5093" s="67">
        <v>662.3</v>
      </c>
      <c r="JH5093" s="67">
        <v>727.87</v>
      </c>
      <c r="JI5093" s="67">
        <v>104.48</v>
      </c>
      <c r="JJ5093" s="67">
        <v>104.8</v>
      </c>
      <c r="JK5093" s="67" t="s">
        <v>5749</v>
      </c>
      <c r="JL5093" s="67"/>
      <c r="JM5093" s="67"/>
      <c r="JN5093" s="67"/>
      <c r="JO5093" s="67"/>
      <c r="JP5093" s="67"/>
      <c r="JQ5093" s="67">
        <v>99999</v>
      </c>
      <c r="JR5093" s="67"/>
      <c r="JS5093" s="67"/>
      <c r="JT5093" s="67"/>
      <c r="JU5093" s="58" t="s">
        <v>5752</v>
      </c>
      <c r="JV5093" s="58"/>
      <c r="JW5093" s="58"/>
    </row>
    <row r="5094" spans="1:283" s="23" customFormat="1" x14ac:dyDescent="0.25">
      <c r="A5094" s="55">
        <v>5093</v>
      </c>
      <c r="B5094" s="12" t="s">
        <v>7067</v>
      </c>
      <c r="C5094" s="156">
        <v>263</v>
      </c>
      <c r="D5094" s="58" t="s">
        <v>5018</v>
      </c>
      <c r="E5094" s="160" t="str">
        <f>G5094</f>
        <v>Probst et al. 2008_P-II-bottom</v>
      </c>
      <c r="F5094" s="160"/>
      <c r="G5094" s="60" t="s">
        <v>4710</v>
      </c>
      <c r="H5094" s="58">
        <v>2008</v>
      </c>
      <c r="I5094" s="58" t="s">
        <v>5550</v>
      </c>
      <c r="J5094" s="243" t="s">
        <v>2176</v>
      </c>
      <c r="K5094" s="63" t="s">
        <v>5083</v>
      </c>
      <c r="L5094" s="58" t="s">
        <v>2740</v>
      </c>
      <c r="M5094" s="94">
        <f>47+57/60</f>
        <v>47.95</v>
      </c>
      <c r="N5094" s="94">
        <f>7+7/60</f>
        <v>7.1166666666666663</v>
      </c>
      <c r="O5094" s="94">
        <v>729</v>
      </c>
      <c r="P5094" s="58"/>
      <c r="Q5094" s="244">
        <v>10</v>
      </c>
      <c r="R5094" s="58"/>
      <c r="S5094" s="245">
        <v>530</v>
      </c>
      <c r="T5094" s="58"/>
      <c r="U5094" s="58" t="s">
        <v>1885</v>
      </c>
      <c r="V5094" s="244">
        <v>34</v>
      </c>
      <c r="W5094" s="174"/>
      <c r="X5094" s="174"/>
      <c r="Y5094" s="58"/>
      <c r="Z5094" s="244" t="s">
        <v>1355</v>
      </c>
      <c r="AA5094" s="245">
        <v>10</v>
      </c>
      <c r="AB5094" s="67"/>
      <c r="AC5094" s="67"/>
      <c r="AD5094" s="94">
        <v>1</v>
      </c>
      <c r="AE5094" s="94"/>
      <c r="AF5094" s="94"/>
      <c r="AG5094" s="245">
        <v>20.100000000000001</v>
      </c>
      <c r="AH5094" s="58" t="s">
        <v>139</v>
      </c>
      <c r="AI5094" s="169" t="s">
        <v>5748</v>
      </c>
      <c r="AJ5094" s="94"/>
      <c r="AK5094" s="94"/>
      <c r="AL5094" s="58"/>
      <c r="AM5094" s="58"/>
      <c r="AN5094" s="186"/>
      <c r="AO5094" s="185" t="s">
        <v>7494</v>
      </c>
      <c r="AP5094" s="58"/>
      <c r="AQ5094" s="58"/>
      <c r="AR5094" s="58" t="s">
        <v>4532</v>
      </c>
      <c r="AS5094" s="246" t="s">
        <v>3471</v>
      </c>
      <c r="AT5094" s="247">
        <v>0</v>
      </c>
      <c r="AU5094" s="181" t="s">
        <v>7494</v>
      </c>
      <c r="AV5094" s="185" t="s">
        <v>176</v>
      </c>
      <c r="AW5094" s="244">
        <v>0</v>
      </c>
      <c r="AX5094" s="185" t="s">
        <v>176</v>
      </c>
      <c r="AY5094" s="244" t="s">
        <v>176</v>
      </c>
      <c r="AZ5094" s="58"/>
      <c r="BA5094" s="58"/>
      <c r="BB5094" s="58"/>
      <c r="BC5094" s="58"/>
      <c r="BD5094" s="58"/>
      <c r="BE5094" s="236" t="s">
        <v>5213</v>
      </c>
      <c r="BF5094" s="191" t="s">
        <v>479</v>
      </c>
      <c r="BG5094" s="191" t="s">
        <v>479</v>
      </c>
      <c r="BH5094" s="236" t="s">
        <v>5280</v>
      </c>
      <c r="BI5094" s="191" t="s">
        <v>479</v>
      </c>
      <c r="BJ5094" s="58" t="str">
        <f>IF(BE5094=BH5094,"No","yes")</f>
        <v>yes</v>
      </c>
      <c r="BK5094" s="58" t="s">
        <v>6334</v>
      </c>
      <c r="BL5094" s="58"/>
      <c r="BM5094" s="237"/>
      <c r="BN5094" s="244">
        <v>4</v>
      </c>
      <c r="BO5094" s="244">
        <v>4</v>
      </c>
      <c r="BP5094" s="58"/>
      <c r="BQ5094" s="58"/>
      <c r="BR5094" s="58"/>
      <c r="BS5094" s="58"/>
      <c r="BT5094" s="58"/>
      <c r="BU5094" s="58"/>
      <c r="BV5094" s="58"/>
      <c r="BW5094" s="67"/>
      <c r="BX5094" s="67"/>
      <c r="BY5094" s="67"/>
      <c r="BZ5094" s="67"/>
      <c r="CA5094" s="67"/>
      <c r="CB5094" s="70"/>
      <c r="CC5094" s="70"/>
      <c r="CD5094" s="70"/>
      <c r="CE5094" s="67"/>
      <c r="CF5094" s="67"/>
      <c r="CG5094" s="67"/>
      <c r="CH5094" s="245"/>
      <c r="CI5094" s="245"/>
      <c r="CJ5094" s="67"/>
      <c r="CK5094" s="67"/>
      <c r="CL5094" s="67"/>
      <c r="CM5094" s="242">
        <v>3.13</v>
      </c>
      <c r="CN5094" s="242">
        <v>4.6500000000000004</v>
      </c>
      <c r="CO5094" s="242">
        <v>0.42</v>
      </c>
      <c r="CP5094" s="242">
        <v>0.6</v>
      </c>
      <c r="CQ5094" s="242" t="s">
        <v>164</v>
      </c>
      <c r="CR5094" s="242">
        <v>32.340000000000003</v>
      </c>
      <c r="CS5094" s="242">
        <v>47.67</v>
      </c>
      <c r="CT5094" s="242">
        <v>3.06</v>
      </c>
      <c r="CU5094" s="242">
        <v>4</v>
      </c>
      <c r="CV5094" s="242" t="s">
        <v>5151</v>
      </c>
      <c r="CW5094" s="242"/>
      <c r="CX5094" s="242"/>
      <c r="CY5094" s="242"/>
      <c r="CZ5094" s="242"/>
      <c r="DA5094" s="67" t="s">
        <v>5443</v>
      </c>
      <c r="DB5094" s="67"/>
      <c r="DC5094" s="67"/>
      <c r="DD5094" s="67"/>
      <c r="DE5094" s="67"/>
      <c r="DF5094" s="67"/>
      <c r="DG5094" s="67"/>
      <c r="DH5094" s="67"/>
      <c r="DI5094" s="67"/>
      <c r="DJ5094" s="67"/>
      <c r="DK5094" s="67"/>
      <c r="DL5094" s="67"/>
      <c r="DM5094" s="67"/>
      <c r="DN5094" s="67"/>
      <c r="DO5094" s="67"/>
      <c r="DP5094" s="67"/>
      <c r="DQ5094" s="166"/>
      <c r="DR5094" s="166"/>
      <c r="DS5094" s="163"/>
      <c r="DT5094" s="163"/>
      <c r="DU5094" s="67"/>
      <c r="DV5094" s="67"/>
      <c r="DW5094" s="67"/>
      <c r="DX5094" s="67"/>
      <c r="DY5094" s="67"/>
      <c r="DZ5094" s="67"/>
      <c r="EA5094" s="67"/>
      <c r="EB5094" s="67"/>
      <c r="EC5094" s="67"/>
      <c r="ED5094" s="67"/>
      <c r="EE5094" s="67"/>
      <c r="EF5094" s="67"/>
      <c r="EG5094" s="67"/>
      <c r="EH5094" s="67"/>
      <c r="EI5094" s="67"/>
      <c r="EJ5094" s="67"/>
      <c r="EK5094" s="94"/>
      <c r="EL5094" s="94"/>
      <c r="EM5094" s="67"/>
      <c r="EN5094" s="67"/>
      <c r="EO5094" s="67"/>
      <c r="EP5094" s="67"/>
      <c r="EQ5094" s="67"/>
      <c r="ER5094" s="67"/>
      <c r="ES5094" s="67"/>
      <c r="ET5094" s="67"/>
      <c r="EU5094" s="67"/>
      <c r="EV5094" s="67"/>
      <c r="EW5094" s="67"/>
      <c r="EX5094" s="67"/>
      <c r="EY5094" s="67"/>
      <c r="EZ5094" s="67"/>
      <c r="FA5094" s="67"/>
      <c r="FB5094" s="67"/>
      <c r="FC5094" s="67"/>
      <c r="FD5094" s="67"/>
      <c r="FE5094" s="67"/>
      <c r="FF5094" s="67"/>
      <c r="FG5094" s="67"/>
      <c r="FH5094" s="67"/>
      <c r="FI5094" s="67"/>
      <c r="FJ5094" s="67"/>
      <c r="FK5094" s="67"/>
      <c r="FL5094" s="67"/>
      <c r="FM5094" s="67"/>
      <c r="FN5094" s="67"/>
      <c r="FO5094" s="67"/>
      <c r="FP5094" s="67"/>
      <c r="FQ5094" s="67"/>
      <c r="FR5094" s="67"/>
      <c r="FS5094" s="67"/>
      <c r="FT5094" s="67"/>
      <c r="FU5094" s="67"/>
      <c r="FV5094" s="67"/>
      <c r="FW5094" s="67"/>
      <c r="FX5094" s="67"/>
      <c r="FY5094" s="67"/>
      <c r="FZ5094" s="67"/>
      <c r="GA5094" s="67"/>
      <c r="GB5094" s="67"/>
      <c r="GC5094" s="67"/>
      <c r="GD5094" s="67"/>
      <c r="GE5094" s="67"/>
      <c r="GF5094" s="67"/>
      <c r="GG5094" s="67"/>
      <c r="GH5094" s="67"/>
      <c r="GI5094" s="67"/>
      <c r="GJ5094" s="67"/>
      <c r="GK5094" s="67"/>
      <c r="GL5094" s="67"/>
      <c r="GM5094" s="67"/>
      <c r="GN5094" s="292"/>
      <c r="GO5094" s="292"/>
      <c r="GP5094" s="292" t="s">
        <v>7494</v>
      </c>
      <c r="GQ5094" s="67"/>
      <c r="GR5094" s="67"/>
      <c r="GS5094" s="67"/>
      <c r="GT5094" s="67"/>
      <c r="GU5094" s="67"/>
      <c r="GV5094" s="67"/>
      <c r="GW5094" s="67"/>
      <c r="GX5094" s="67"/>
      <c r="GY5094" s="67"/>
      <c r="GZ5094" s="67"/>
      <c r="HA5094" s="67"/>
      <c r="HB5094" s="67"/>
      <c r="HC5094" s="67"/>
      <c r="HD5094" s="67"/>
      <c r="HE5094" s="67"/>
      <c r="HF5094" s="67"/>
      <c r="HG5094" s="67"/>
      <c r="HH5094" s="67"/>
      <c r="HI5094" s="67"/>
      <c r="HJ5094" s="67"/>
      <c r="HK5094" s="67"/>
      <c r="HL5094" s="67"/>
      <c r="HM5094" s="67"/>
      <c r="HN5094" s="67"/>
      <c r="HO5094" s="67"/>
      <c r="HP5094" s="67"/>
      <c r="HQ5094" s="67"/>
      <c r="HR5094" s="67"/>
      <c r="HS5094" s="67"/>
      <c r="HT5094" s="67"/>
      <c r="HU5094" s="67"/>
      <c r="HV5094" s="67"/>
      <c r="HW5094" s="67"/>
      <c r="HX5094" s="67"/>
      <c r="HY5094" s="67"/>
      <c r="HZ5094" s="67"/>
      <c r="IA5094" s="67"/>
      <c r="IB5094" s="67"/>
      <c r="IC5094" s="67"/>
      <c r="ID5094" s="67"/>
      <c r="IE5094" s="67"/>
      <c r="IF5094" s="67"/>
      <c r="IG5094" s="67"/>
      <c r="IH5094" s="67"/>
      <c r="II5094" s="67"/>
      <c r="IJ5094" s="67"/>
      <c r="IK5094" s="67"/>
      <c r="IL5094" s="67"/>
      <c r="IM5094" s="67"/>
      <c r="IN5094" s="67"/>
      <c r="IO5094" s="67"/>
      <c r="IP5094" s="67"/>
      <c r="IQ5094" s="67"/>
      <c r="IR5094" s="67"/>
      <c r="IS5094" s="67"/>
      <c r="IT5094" s="67"/>
      <c r="IU5094" s="67"/>
      <c r="IV5094" s="67"/>
      <c r="IW5094" s="67"/>
      <c r="IX5094" s="67"/>
      <c r="IY5094" s="67"/>
      <c r="IZ5094" s="67"/>
      <c r="JA5094" s="67"/>
      <c r="JB5094" s="67"/>
      <c r="JC5094" s="67"/>
      <c r="JD5094" s="67"/>
      <c r="JE5094" s="67"/>
      <c r="JF5094" s="67"/>
      <c r="JG5094" s="67">
        <v>695.1</v>
      </c>
      <c r="JH5094" s="67">
        <v>1295.0999999999999</v>
      </c>
      <c r="JI5094" s="67">
        <v>127.7</v>
      </c>
      <c r="JJ5094" s="67">
        <f>1515-JH5094</f>
        <v>219.90000000000009</v>
      </c>
      <c r="JK5094" s="67" t="s">
        <v>3072</v>
      </c>
      <c r="JL5094" s="67"/>
      <c r="JM5094" s="67"/>
      <c r="JN5094" s="67"/>
      <c r="JO5094" s="67"/>
      <c r="JP5094" s="67"/>
      <c r="JQ5094" s="67">
        <v>99999</v>
      </c>
      <c r="JR5094" s="67"/>
      <c r="JS5094" s="67"/>
      <c r="JT5094" s="67"/>
      <c r="JU5094" s="58" t="s">
        <v>5752</v>
      </c>
      <c r="JV5094" s="58"/>
      <c r="JW5094" s="58"/>
    </row>
    <row r="5095" spans="1:283" s="23" customFormat="1" x14ac:dyDescent="0.25">
      <c r="A5095" s="55">
        <v>5094</v>
      </c>
      <c r="B5095" s="12" t="s">
        <v>7067</v>
      </c>
      <c r="C5095" s="156">
        <v>263</v>
      </c>
      <c r="D5095" s="58" t="s">
        <v>5019</v>
      </c>
      <c r="E5095" s="160" t="str">
        <f>G5095</f>
        <v>Probst et al. 2008_P-II-top</v>
      </c>
      <c r="F5095" s="160"/>
      <c r="G5095" s="60" t="s">
        <v>4709</v>
      </c>
      <c r="H5095" s="58">
        <v>2008</v>
      </c>
      <c r="I5095" s="58" t="s">
        <v>5550</v>
      </c>
      <c r="J5095" s="243" t="s">
        <v>2176</v>
      </c>
      <c r="K5095" s="63" t="s">
        <v>5083</v>
      </c>
      <c r="L5095" s="58" t="s">
        <v>2740</v>
      </c>
      <c r="M5095" s="94">
        <f>47+57/60</f>
        <v>47.95</v>
      </c>
      <c r="N5095" s="94">
        <f>7+7/60</f>
        <v>7.1166666666666663</v>
      </c>
      <c r="O5095" s="94">
        <v>729</v>
      </c>
      <c r="P5095" s="58"/>
      <c r="Q5095" s="244">
        <v>10</v>
      </c>
      <c r="R5095" s="58"/>
      <c r="S5095" s="245">
        <v>530</v>
      </c>
      <c r="T5095" s="58"/>
      <c r="U5095" s="58" t="s">
        <v>1885</v>
      </c>
      <c r="V5095" s="244">
        <v>34</v>
      </c>
      <c r="W5095" s="174"/>
      <c r="X5095" s="174"/>
      <c r="Y5095" s="58"/>
      <c r="Z5095" s="244" t="s">
        <v>1355</v>
      </c>
      <c r="AA5095" s="245">
        <v>10</v>
      </c>
      <c r="AB5095" s="67"/>
      <c r="AC5095" s="67"/>
      <c r="AD5095" s="94">
        <v>1</v>
      </c>
      <c r="AE5095" s="94"/>
      <c r="AF5095" s="94"/>
      <c r="AG5095" s="245">
        <v>21.1</v>
      </c>
      <c r="AH5095" s="58" t="s">
        <v>139</v>
      </c>
      <c r="AI5095" s="169" t="s">
        <v>5748</v>
      </c>
      <c r="AJ5095" s="94"/>
      <c r="AK5095" s="94"/>
      <c r="AL5095" s="58"/>
      <c r="AM5095" s="58"/>
      <c r="AN5095" s="186"/>
      <c r="AO5095" s="185" t="s">
        <v>7494</v>
      </c>
      <c r="AP5095" s="58"/>
      <c r="AQ5095" s="58"/>
      <c r="AR5095" s="58" t="s">
        <v>4532</v>
      </c>
      <c r="AS5095" s="246" t="s">
        <v>3471</v>
      </c>
      <c r="AT5095" s="247">
        <v>0</v>
      </c>
      <c r="AU5095" s="181" t="s">
        <v>7494</v>
      </c>
      <c r="AV5095" s="185" t="s">
        <v>176</v>
      </c>
      <c r="AW5095" s="244">
        <v>0</v>
      </c>
      <c r="AX5095" s="185" t="s">
        <v>176</v>
      </c>
      <c r="AY5095" s="244" t="s">
        <v>176</v>
      </c>
      <c r="AZ5095" s="58"/>
      <c r="BA5095" s="58"/>
      <c r="BB5095" s="58"/>
      <c r="BC5095" s="58"/>
      <c r="BD5095" s="58"/>
      <c r="BE5095" s="236" t="s">
        <v>5213</v>
      </c>
      <c r="BF5095" s="191" t="s">
        <v>479</v>
      </c>
      <c r="BG5095" s="191" t="s">
        <v>479</v>
      </c>
      <c r="BH5095" s="236" t="s">
        <v>5280</v>
      </c>
      <c r="BI5095" s="191" t="s">
        <v>479</v>
      </c>
      <c r="BJ5095" s="58" t="str">
        <f>IF(BE5095=BH5095,"No","yes")</f>
        <v>yes</v>
      </c>
      <c r="BK5095" s="58" t="s">
        <v>6334</v>
      </c>
      <c r="BL5095" s="58"/>
      <c r="BM5095" s="237"/>
      <c r="BN5095" s="244">
        <v>4</v>
      </c>
      <c r="BO5095" s="244">
        <v>4</v>
      </c>
      <c r="BP5095" s="58"/>
      <c r="BQ5095" s="58"/>
      <c r="BR5095" s="58"/>
      <c r="BS5095" s="58"/>
      <c r="BT5095" s="58"/>
      <c r="BU5095" s="58"/>
      <c r="BV5095" s="58"/>
      <c r="BW5095" s="67"/>
      <c r="BX5095" s="67"/>
      <c r="BY5095" s="67"/>
      <c r="BZ5095" s="67"/>
      <c r="CA5095" s="67"/>
      <c r="CB5095" s="70"/>
      <c r="CC5095" s="70"/>
      <c r="CD5095" s="70"/>
      <c r="CE5095" s="67"/>
      <c r="CF5095" s="67"/>
      <c r="CG5095" s="67"/>
      <c r="CH5095" s="245"/>
      <c r="CI5095" s="245"/>
      <c r="CJ5095" s="67"/>
      <c r="CK5095" s="67"/>
      <c r="CL5095" s="67"/>
      <c r="CM5095" s="242">
        <v>4.09</v>
      </c>
      <c r="CN5095" s="242">
        <v>5.09</v>
      </c>
      <c r="CO5095" s="242">
        <v>0.2</v>
      </c>
      <c r="CP5095" s="242">
        <v>0.56000000000000005</v>
      </c>
      <c r="CQ5095" s="242" t="s">
        <v>164</v>
      </c>
      <c r="CR5095" s="242">
        <v>44.93</v>
      </c>
      <c r="CS5095" s="242">
        <v>50.61</v>
      </c>
      <c r="CT5095" s="242">
        <v>4.7699999999999996</v>
      </c>
      <c r="CU5095" s="242">
        <v>4.63</v>
      </c>
      <c r="CV5095" s="242" t="s">
        <v>5151</v>
      </c>
      <c r="CW5095" s="242"/>
      <c r="CX5095" s="242"/>
      <c r="CY5095" s="242"/>
      <c r="CZ5095" s="242"/>
      <c r="DA5095" s="67" t="s">
        <v>5443</v>
      </c>
      <c r="DB5095" s="67"/>
      <c r="DC5095" s="67"/>
      <c r="DD5095" s="67"/>
      <c r="DE5095" s="67"/>
      <c r="DF5095" s="67"/>
      <c r="DG5095" s="67"/>
      <c r="DH5095" s="67"/>
      <c r="DI5095" s="67"/>
      <c r="DJ5095" s="67"/>
      <c r="DK5095" s="67"/>
      <c r="DL5095" s="67"/>
      <c r="DM5095" s="67"/>
      <c r="DN5095" s="67"/>
      <c r="DO5095" s="67"/>
      <c r="DP5095" s="67"/>
      <c r="DQ5095" s="166"/>
      <c r="DR5095" s="166"/>
      <c r="DS5095" s="163"/>
      <c r="DT5095" s="163"/>
      <c r="DU5095" s="67"/>
      <c r="DV5095" s="67"/>
      <c r="DW5095" s="67"/>
      <c r="DX5095" s="67"/>
      <c r="DY5095" s="67"/>
      <c r="DZ5095" s="67"/>
      <c r="EA5095" s="67"/>
      <c r="EB5095" s="67"/>
      <c r="EC5095" s="67"/>
      <c r="ED5095" s="67"/>
      <c r="EE5095" s="67"/>
      <c r="EF5095" s="67"/>
      <c r="EG5095" s="67"/>
      <c r="EH5095" s="67"/>
      <c r="EI5095" s="67"/>
      <c r="EJ5095" s="67"/>
      <c r="EK5095" s="94"/>
      <c r="EL5095" s="94"/>
      <c r="EM5095" s="67"/>
      <c r="EN5095" s="67"/>
      <c r="EO5095" s="67"/>
      <c r="EP5095" s="67"/>
      <c r="EQ5095" s="67"/>
      <c r="ER5095" s="67"/>
      <c r="ES5095" s="67"/>
      <c r="ET5095" s="67"/>
      <c r="EU5095" s="67"/>
      <c r="EV5095" s="67"/>
      <c r="EW5095" s="67"/>
      <c r="EX5095" s="67"/>
      <c r="EY5095" s="67"/>
      <c r="EZ5095" s="67"/>
      <c r="FA5095" s="67"/>
      <c r="FB5095" s="67"/>
      <c r="FC5095" s="67"/>
      <c r="FD5095" s="67"/>
      <c r="FE5095" s="67"/>
      <c r="FF5095" s="67"/>
      <c r="FG5095" s="67"/>
      <c r="FH5095" s="67"/>
      <c r="FI5095" s="67"/>
      <c r="FJ5095" s="67"/>
      <c r="FK5095" s="67"/>
      <c r="FL5095" s="67"/>
      <c r="FM5095" s="67"/>
      <c r="FN5095" s="67"/>
      <c r="FO5095" s="67"/>
      <c r="FP5095" s="67"/>
      <c r="FQ5095" s="67"/>
      <c r="FR5095" s="67"/>
      <c r="FS5095" s="67"/>
      <c r="FT5095" s="67"/>
      <c r="FU5095" s="67"/>
      <c r="FV5095" s="67"/>
      <c r="FW5095" s="67"/>
      <c r="FX5095" s="67"/>
      <c r="FY5095" s="67"/>
      <c r="FZ5095" s="67"/>
      <c r="GA5095" s="67"/>
      <c r="GB5095" s="67"/>
      <c r="GC5095" s="67"/>
      <c r="GD5095" s="67"/>
      <c r="GE5095" s="67"/>
      <c r="GF5095" s="67"/>
      <c r="GG5095" s="67"/>
      <c r="GH5095" s="67"/>
      <c r="GI5095" s="67"/>
      <c r="GJ5095" s="67"/>
      <c r="GK5095" s="67"/>
      <c r="GL5095" s="67"/>
      <c r="GM5095" s="67"/>
      <c r="GN5095" s="292"/>
      <c r="GO5095" s="292"/>
      <c r="GP5095" s="292" t="s">
        <v>7494</v>
      </c>
      <c r="GQ5095" s="67"/>
      <c r="GR5095" s="67"/>
      <c r="GS5095" s="67"/>
      <c r="GT5095" s="67"/>
      <c r="GU5095" s="67"/>
      <c r="GV5095" s="67"/>
      <c r="GW5095" s="67"/>
      <c r="GX5095" s="67"/>
      <c r="GY5095" s="67"/>
      <c r="GZ5095" s="67"/>
      <c r="HA5095" s="67"/>
      <c r="HB5095" s="67"/>
      <c r="HC5095" s="67"/>
      <c r="HD5095" s="67"/>
      <c r="HE5095" s="67"/>
      <c r="HF5095" s="67"/>
      <c r="HG5095" s="67"/>
      <c r="HH5095" s="67"/>
      <c r="HI5095" s="67"/>
      <c r="HJ5095" s="67"/>
      <c r="HK5095" s="67"/>
      <c r="HL5095" s="67"/>
      <c r="HM5095" s="67"/>
      <c r="HN5095" s="67"/>
      <c r="HO5095" s="67"/>
      <c r="HP5095" s="67"/>
      <c r="HQ5095" s="67"/>
      <c r="HR5095" s="67"/>
      <c r="HS5095" s="67"/>
      <c r="HT5095" s="67"/>
      <c r="HU5095" s="67"/>
      <c r="HV5095" s="67"/>
      <c r="HW5095" s="67"/>
      <c r="HX5095" s="67"/>
      <c r="HY5095" s="67"/>
      <c r="HZ5095" s="67"/>
      <c r="IA5095" s="67"/>
      <c r="IB5095" s="67"/>
      <c r="IC5095" s="67"/>
      <c r="ID5095" s="67"/>
      <c r="IE5095" s="67"/>
      <c r="IF5095" s="67"/>
      <c r="IG5095" s="67"/>
      <c r="IH5095" s="67"/>
      <c r="II5095" s="67"/>
      <c r="IJ5095" s="67"/>
      <c r="IK5095" s="67"/>
      <c r="IL5095" s="67"/>
      <c r="IM5095" s="67"/>
      <c r="IN5095" s="67"/>
      <c r="IO5095" s="67"/>
      <c r="IP5095" s="67"/>
      <c r="IQ5095" s="67"/>
      <c r="IR5095" s="67"/>
      <c r="IS5095" s="67"/>
      <c r="IT5095" s="67"/>
      <c r="IU5095" s="67"/>
      <c r="IV5095" s="67"/>
      <c r="IW5095" s="67"/>
      <c r="IX5095" s="67"/>
      <c r="IY5095" s="67"/>
      <c r="IZ5095" s="67"/>
      <c r="JA5095" s="67"/>
      <c r="JB5095" s="67"/>
      <c r="JC5095" s="67"/>
      <c r="JD5095" s="67"/>
      <c r="JE5095" s="67"/>
      <c r="JF5095" s="67"/>
      <c r="JG5095" s="67">
        <v>481.97</v>
      </c>
      <c r="JH5095" s="67">
        <v>885.74</v>
      </c>
      <c r="JI5095" s="67">
        <v>127.7</v>
      </c>
      <c r="JJ5095" s="67">
        <v>219.9</v>
      </c>
      <c r="JK5095" s="67" t="s">
        <v>5749</v>
      </c>
      <c r="JL5095" s="67"/>
      <c r="JM5095" s="67"/>
      <c r="JN5095" s="67"/>
      <c r="JO5095" s="67"/>
      <c r="JP5095" s="67"/>
      <c r="JQ5095" s="67">
        <v>99999</v>
      </c>
      <c r="JR5095" s="67"/>
      <c r="JS5095" s="67"/>
      <c r="JT5095" s="67"/>
      <c r="JU5095" s="58" t="s">
        <v>5752</v>
      </c>
      <c r="JV5095" s="58"/>
      <c r="JW5095" s="58"/>
    </row>
    <row r="5096" spans="1:283" s="23" customFormat="1" x14ac:dyDescent="0.25">
      <c r="A5096" s="55">
        <v>5095</v>
      </c>
      <c r="B5096" s="12" t="s">
        <v>7067</v>
      </c>
      <c r="C5096" s="156">
        <v>263</v>
      </c>
      <c r="D5096" s="58" t="s">
        <v>5020</v>
      </c>
      <c r="E5096" s="160" t="str">
        <f>G5096</f>
        <v>Probst et al. 2008_T-I-bottom</v>
      </c>
      <c r="F5096" s="160"/>
      <c r="G5096" s="60" t="s">
        <v>4707</v>
      </c>
      <c r="H5096" s="58">
        <v>2008</v>
      </c>
      <c r="I5096" s="58" t="s">
        <v>5550</v>
      </c>
      <c r="J5096" s="243" t="s">
        <v>2176</v>
      </c>
      <c r="K5096" s="63" t="s">
        <v>5082</v>
      </c>
      <c r="L5096" s="58" t="s">
        <v>2740</v>
      </c>
      <c r="M5096" s="94">
        <f>48+5/60</f>
        <v>48.083333333333336</v>
      </c>
      <c r="N5096" s="94">
        <f>7+16/60</f>
        <v>7.2666666666666666</v>
      </c>
      <c r="O5096" s="94">
        <v>243</v>
      </c>
      <c r="P5096" s="58"/>
      <c r="Q5096" s="244">
        <v>10</v>
      </c>
      <c r="R5096" s="58"/>
      <c r="S5096" s="245">
        <v>530</v>
      </c>
      <c r="T5096" s="58"/>
      <c r="U5096" s="58" t="s">
        <v>1688</v>
      </c>
      <c r="V5096" s="244">
        <v>6</v>
      </c>
      <c r="W5096" s="174"/>
      <c r="X5096" s="174"/>
      <c r="Y5096" s="58"/>
      <c r="Z5096" s="244" t="s">
        <v>1355</v>
      </c>
      <c r="AA5096" s="245">
        <v>10</v>
      </c>
      <c r="AB5096" s="67"/>
      <c r="AC5096" s="67"/>
      <c r="AD5096" s="94">
        <v>1.2</v>
      </c>
      <c r="AE5096" s="94"/>
      <c r="AF5096" s="94"/>
      <c r="AG5096" s="245">
        <v>6.5</v>
      </c>
      <c r="AH5096" s="58" t="s">
        <v>201</v>
      </c>
      <c r="AI5096" s="169" t="s">
        <v>5723</v>
      </c>
      <c r="AJ5096" s="94"/>
      <c r="AK5096" s="94"/>
      <c r="AL5096" s="58"/>
      <c r="AM5096" s="58"/>
      <c r="AN5096" s="186"/>
      <c r="AO5096" s="185" t="s">
        <v>7494</v>
      </c>
      <c r="AP5096" s="58"/>
      <c r="AQ5096" s="58"/>
      <c r="AR5096" s="58" t="s">
        <v>4532</v>
      </c>
      <c r="AS5096" s="246" t="s">
        <v>3471</v>
      </c>
      <c r="AT5096" s="247">
        <v>0</v>
      </c>
      <c r="AU5096" s="181" t="s">
        <v>7494</v>
      </c>
      <c r="AV5096" s="185" t="s">
        <v>176</v>
      </c>
      <c r="AW5096" s="244">
        <v>0</v>
      </c>
      <c r="AX5096" s="185" t="s">
        <v>176</v>
      </c>
      <c r="AY5096" s="244" t="s">
        <v>176</v>
      </c>
      <c r="AZ5096" s="58"/>
      <c r="BA5096" s="58"/>
      <c r="BB5096" s="58"/>
      <c r="BC5096" s="58"/>
      <c r="BD5096" s="58"/>
      <c r="BE5096" s="236" t="s">
        <v>5213</v>
      </c>
      <c r="BF5096" s="191" t="s">
        <v>479</v>
      </c>
      <c r="BG5096" s="191" t="s">
        <v>479</v>
      </c>
      <c r="BH5096" s="236" t="s">
        <v>5281</v>
      </c>
      <c r="BI5096" s="191" t="s">
        <v>479</v>
      </c>
      <c r="BJ5096" s="58" t="str">
        <f>IF(BE5096=BH5096,"No","yes")</f>
        <v>yes</v>
      </c>
      <c r="BK5096" s="58" t="s">
        <v>6334</v>
      </c>
      <c r="BL5096" s="58"/>
      <c r="BM5096" s="237"/>
      <c r="BN5096" s="244">
        <v>4</v>
      </c>
      <c r="BO5096" s="244">
        <v>4</v>
      </c>
      <c r="BP5096" s="58"/>
      <c r="BQ5096" s="58"/>
      <c r="BR5096" s="58"/>
      <c r="BS5096" s="58"/>
      <c r="BT5096" s="58"/>
      <c r="BU5096" s="58"/>
      <c r="BV5096" s="58"/>
      <c r="BW5096" s="67"/>
      <c r="BX5096" s="67"/>
      <c r="BY5096" s="67"/>
      <c r="BZ5096" s="67"/>
      <c r="CA5096" s="67"/>
      <c r="CB5096" s="70"/>
      <c r="CC5096" s="70"/>
      <c r="CD5096" s="70"/>
      <c r="CE5096" s="67"/>
      <c r="CF5096" s="67"/>
      <c r="CG5096" s="67"/>
      <c r="CH5096" s="245"/>
      <c r="CI5096" s="245"/>
      <c r="CJ5096" s="67"/>
      <c r="CK5096" s="67"/>
      <c r="CL5096" s="67"/>
      <c r="CM5096" s="242">
        <v>2.64</v>
      </c>
      <c r="CN5096" s="242">
        <v>1.68</v>
      </c>
      <c r="CO5096" s="242">
        <v>0.91</v>
      </c>
      <c r="CP5096" s="242">
        <v>0.27</v>
      </c>
      <c r="CQ5096" s="242" t="s">
        <v>164</v>
      </c>
      <c r="CR5096" s="242">
        <v>30.54</v>
      </c>
      <c r="CS5096" s="242">
        <v>19.989999999999998</v>
      </c>
      <c r="CT5096" s="242">
        <v>9.4600000000000009</v>
      </c>
      <c r="CU5096" s="242">
        <v>2.35</v>
      </c>
      <c r="CV5096" s="242" t="s">
        <v>5151</v>
      </c>
      <c r="CW5096" s="242"/>
      <c r="CX5096" s="242"/>
      <c r="CY5096" s="242"/>
      <c r="CZ5096" s="242"/>
      <c r="DA5096" s="67" t="s">
        <v>5443</v>
      </c>
      <c r="DB5096" s="67"/>
      <c r="DC5096" s="67"/>
      <c r="DD5096" s="67"/>
      <c r="DE5096" s="67"/>
      <c r="DF5096" s="67"/>
      <c r="DG5096" s="67"/>
      <c r="DH5096" s="67"/>
      <c r="DI5096" s="67"/>
      <c r="DJ5096" s="67"/>
      <c r="DK5096" s="67"/>
      <c r="DL5096" s="67"/>
      <c r="DM5096" s="67"/>
      <c r="DN5096" s="67"/>
      <c r="DO5096" s="67"/>
      <c r="DP5096" s="67"/>
      <c r="DQ5096" s="166"/>
      <c r="DR5096" s="166"/>
      <c r="DS5096" s="163"/>
      <c r="DT5096" s="163"/>
      <c r="DU5096" s="67"/>
      <c r="DV5096" s="67"/>
      <c r="DW5096" s="67"/>
      <c r="DX5096" s="67"/>
      <c r="DY5096" s="67"/>
      <c r="DZ5096" s="67"/>
      <c r="EA5096" s="67"/>
      <c r="EB5096" s="67"/>
      <c r="EC5096" s="67"/>
      <c r="ED5096" s="67"/>
      <c r="EE5096" s="67"/>
      <c r="EF5096" s="67"/>
      <c r="EG5096" s="67"/>
      <c r="EH5096" s="67"/>
      <c r="EI5096" s="67"/>
      <c r="EJ5096" s="67"/>
      <c r="EK5096" s="94"/>
      <c r="EL5096" s="94"/>
      <c r="EM5096" s="67"/>
      <c r="EN5096" s="67"/>
      <c r="EO5096" s="67"/>
      <c r="EP5096" s="67"/>
      <c r="EQ5096" s="67"/>
      <c r="ER5096" s="67"/>
      <c r="ES5096" s="67"/>
      <c r="ET5096" s="67"/>
      <c r="EU5096" s="67"/>
      <c r="EV5096" s="67"/>
      <c r="EW5096" s="67"/>
      <c r="EX5096" s="67"/>
      <c r="EY5096" s="67"/>
      <c r="EZ5096" s="67"/>
      <c r="FA5096" s="67"/>
      <c r="FB5096" s="67"/>
      <c r="FC5096" s="67"/>
      <c r="FD5096" s="67"/>
      <c r="FE5096" s="67"/>
      <c r="FF5096" s="67"/>
      <c r="FG5096" s="67"/>
      <c r="FH5096" s="67"/>
      <c r="FI5096" s="67"/>
      <c r="FJ5096" s="67"/>
      <c r="FK5096" s="67"/>
      <c r="FL5096" s="67"/>
      <c r="FM5096" s="67"/>
      <c r="FN5096" s="67"/>
      <c r="FO5096" s="67"/>
      <c r="FP5096" s="67"/>
      <c r="FQ5096" s="67"/>
      <c r="FR5096" s="67"/>
      <c r="FS5096" s="67"/>
      <c r="FT5096" s="67"/>
      <c r="FU5096" s="67"/>
      <c r="FV5096" s="67"/>
      <c r="FW5096" s="67"/>
      <c r="FX5096" s="67"/>
      <c r="FY5096" s="67"/>
      <c r="FZ5096" s="67"/>
      <c r="GA5096" s="67"/>
      <c r="GB5096" s="67"/>
      <c r="GC5096" s="67"/>
      <c r="GD5096" s="67"/>
      <c r="GE5096" s="67"/>
      <c r="GF5096" s="67"/>
      <c r="GG5096" s="67"/>
      <c r="GH5096" s="67"/>
      <c r="GI5096" s="67"/>
      <c r="GJ5096" s="67"/>
      <c r="GK5096" s="67"/>
      <c r="GL5096" s="67"/>
      <c r="GM5096" s="67"/>
      <c r="GN5096" s="292"/>
      <c r="GO5096" s="292"/>
      <c r="GP5096" s="292" t="s">
        <v>7494</v>
      </c>
      <c r="GQ5096" s="67"/>
      <c r="GR5096" s="67"/>
      <c r="GS5096" s="67"/>
      <c r="GT5096" s="67"/>
      <c r="GU5096" s="67"/>
      <c r="GV5096" s="67"/>
      <c r="GW5096" s="67"/>
      <c r="GX5096" s="67"/>
      <c r="GY5096" s="67"/>
      <c r="GZ5096" s="67"/>
      <c r="HA5096" s="67"/>
      <c r="HB5096" s="67"/>
      <c r="HC5096" s="67"/>
      <c r="HD5096" s="67"/>
      <c r="HE5096" s="67"/>
      <c r="HF5096" s="67"/>
      <c r="HG5096" s="67"/>
      <c r="HH5096" s="67"/>
      <c r="HI5096" s="67"/>
      <c r="HJ5096" s="67"/>
      <c r="HK5096" s="67"/>
      <c r="HL5096" s="67"/>
      <c r="HM5096" s="67"/>
      <c r="HN5096" s="67"/>
      <c r="HO5096" s="67"/>
      <c r="HP5096" s="67"/>
      <c r="HQ5096" s="67"/>
      <c r="HR5096" s="67"/>
      <c r="HS5096" s="67"/>
      <c r="HT5096" s="67"/>
      <c r="HU5096" s="67"/>
      <c r="HV5096" s="67"/>
      <c r="HW5096" s="67"/>
      <c r="HX5096" s="67"/>
      <c r="HY5096" s="67"/>
      <c r="HZ5096" s="67"/>
      <c r="IA5096" s="67"/>
      <c r="IB5096" s="67"/>
      <c r="IC5096" s="67"/>
      <c r="ID5096" s="67"/>
      <c r="IE5096" s="67"/>
      <c r="IF5096" s="67"/>
      <c r="IG5096" s="67"/>
      <c r="IH5096" s="67"/>
      <c r="II5096" s="67"/>
      <c r="IJ5096" s="67"/>
      <c r="IK5096" s="67"/>
      <c r="IL5096" s="67"/>
      <c r="IM5096" s="67"/>
      <c r="IN5096" s="67"/>
      <c r="IO5096" s="67"/>
      <c r="IP5096" s="67"/>
      <c r="IQ5096" s="67"/>
      <c r="IR5096" s="67"/>
      <c r="IS5096" s="67"/>
      <c r="IT5096" s="67"/>
      <c r="IU5096" s="67"/>
      <c r="IV5096" s="67"/>
      <c r="IW5096" s="67"/>
      <c r="IX5096" s="67"/>
      <c r="IY5096" s="67"/>
      <c r="IZ5096" s="67"/>
      <c r="JA5096" s="67"/>
      <c r="JB5096" s="67"/>
      <c r="JC5096" s="67"/>
      <c r="JD5096" s="67"/>
      <c r="JE5096" s="67"/>
      <c r="JF5096" s="67"/>
      <c r="JG5096" s="67">
        <v>304.92</v>
      </c>
      <c r="JH5096" s="67">
        <v>340.98</v>
      </c>
      <c r="JI5096" s="67">
        <f>416-JG5096</f>
        <v>111.07999999999998</v>
      </c>
      <c r="JJ5096" s="67">
        <v>98.26</v>
      </c>
      <c r="JK5096" s="67" t="s">
        <v>3072</v>
      </c>
      <c r="JL5096" s="67"/>
      <c r="JM5096" s="67"/>
      <c r="JN5096" s="67"/>
      <c r="JO5096" s="67"/>
      <c r="JP5096" s="67"/>
      <c r="JQ5096" s="67">
        <v>99999</v>
      </c>
      <c r="JR5096" s="67"/>
      <c r="JS5096" s="67"/>
      <c r="JT5096" s="67"/>
      <c r="JU5096" s="58" t="s">
        <v>5752</v>
      </c>
      <c r="JV5096" s="58"/>
      <c r="JW5096" s="58"/>
    </row>
    <row r="5097" spans="1:283" s="23" customFormat="1" x14ac:dyDescent="0.25">
      <c r="A5097" s="55">
        <v>5096</v>
      </c>
      <c r="B5097" s="12" t="s">
        <v>7067</v>
      </c>
      <c r="C5097" s="156">
        <v>263</v>
      </c>
      <c r="D5097" s="58" t="s">
        <v>5021</v>
      </c>
      <c r="E5097" s="160" t="str">
        <f>G5097</f>
        <v>Probst et al. 2008_T-I-top</v>
      </c>
      <c r="F5097" s="160"/>
      <c r="G5097" s="60" t="s">
        <v>4704</v>
      </c>
      <c r="H5097" s="58">
        <v>2008</v>
      </c>
      <c r="I5097" s="58" t="s">
        <v>5550</v>
      </c>
      <c r="J5097" s="243" t="s">
        <v>2176</v>
      </c>
      <c r="K5097" s="63" t="s">
        <v>5082</v>
      </c>
      <c r="L5097" s="58" t="s">
        <v>2740</v>
      </c>
      <c r="M5097" s="94">
        <f>48+5/60</f>
        <v>48.083333333333336</v>
      </c>
      <c r="N5097" s="94">
        <f>7+16/60</f>
        <v>7.2666666666666666</v>
      </c>
      <c r="O5097" s="94">
        <v>243</v>
      </c>
      <c r="P5097" s="58"/>
      <c r="Q5097" s="244">
        <v>10</v>
      </c>
      <c r="R5097" s="58"/>
      <c r="S5097" s="245">
        <v>530</v>
      </c>
      <c r="T5097" s="58"/>
      <c r="U5097" s="58" t="s">
        <v>1688</v>
      </c>
      <c r="V5097" s="244">
        <v>6</v>
      </c>
      <c r="W5097" s="174"/>
      <c r="X5097" s="174"/>
      <c r="Y5097" s="58"/>
      <c r="Z5097" s="244" t="s">
        <v>1355</v>
      </c>
      <c r="AA5097" s="245">
        <v>10</v>
      </c>
      <c r="AB5097" s="67"/>
      <c r="AC5097" s="67"/>
      <c r="AD5097" s="94">
        <v>1.2</v>
      </c>
      <c r="AE5097" s="94"/>
      <c r="AF5097" s="94"/>
      <c r="AG5097" s="245">
        <v>7.5</v>
      </c>
      <c r="AH5097" s="58" t="s">
        <v>201</v>
      </c>
      <c r="AI5097" s="169" t="s">
        <v>5723</v>
      </c>
      <c r="AJ5097" s="94"/>
      <c r="AK5097" s="94"/>
      <c r="AL5097" s="58"/>
      <c r="AM5097" s="58"/>
      <c r="AN5097" s="186"/>
      <c r="AO5097" s="185" t="s">
        <v>7494</v>
      </c>
      <c r="AP5097" s="58"/>
      <c r="AQ5097" s="58"/>
      <c r="AR5097" s="58" t="s">
        <v>4532</v>
      </c>
      <c r="AS5097" s="246" t="s">
        <v>3471</v>
      </c>
      <c r="AT5097" s="247">
        <v>0</v>
      </c>
      <c r="AU5097" s="181" t="s">
        <v>7494</v>
      </c>
      <c r="AV5097" s="185" t="s">
        <v>176</v>
      </c>
      <c r="AW5097" s="244">
        <v>0</v>
      </c>
      <c r="AX5097" s="185" t="s">
        <v>176</v>
      </c>
      <c r="AY5097" s="244" t="s">
        <v>176</v>
      </c>
      <c r="AZ5097" s="58"/>
      <c r="BA5097" s="58"/>
      <c r="BB5097" s="58"/>
      <c r="BC5097" s="58"/>
      <c r="BD5097" s="58"/>
      <c r="BE5097" s="236" t="s">
        <v>5213</v>
      </c>
      <c r="BF5097" s="191" t="s">
        <v>479</v>
      </c>
      <c r="BG5097" s="191" t="s">
        <v>479</v>
      </c>
      <c r="BH5097" s="236" t="s">
        <v>5281</v>
      </c>
      <c r="BI5097" s="191" t="s">
        <v>479</v>
      </c>
      <c r="BJ5097" s="58" t="str">
        <f>IF(BE5097=BH5097,"No","yes")</f>
        <v>yes</v>
      </c>
      <c r="BK5097" s="58" t="s">
        <v>6334</v>
      </c>
      <c r="BL5097" s="58"/>
      <c r="BM5097" s="237"/>
      <c r="BN5097" s="244">
        <v>4</v>
      </c>
      <c r="BO5097" s="244">
        <v>4</v>
      </c>
      <c r="BP5097" s="58"/>
      <c r="BQ5097" s="58"/>
      <c r="BR5097" s="58"/>
      <c r="BS5097" s="58"/>
      <c r="BT5097" s="58"/>
      <c r="BU5097" s="58"/>
      <c r="BV5097" s="58"/>
      <c r="BW5097" s="67"/>
      <c r="BX5097" s="67"/>
      <c r="BY5097" s="67"/>
      <c r="BZ5097" s="67"/>
      <c r="CA5097" s="67"/>
      <c r="CB5097" s="70"/>
      <c r="CC5097" s="70"/>
      <c r="CD5097" s="70"/>
      <c r="CE5097" s="67"/>
      <c r="CF5097" s="67"/>
      <c r="CG5097" s="67"/>
      <c r="CH5097" s="245"/>
      <c r="CI5097" s="245"/>
      <c r="CJ5097" s="67"/>
      <c r="CK5097" s="67"/>
      <c r="CL5097" s="67"/>
      <c r="CM5097" s="242">
        <v>2.96</v>
      </c>
      <c r="CN5097" s="242">
        <v>2.2599999999999998</v>
      </c>
      <c r="CO5097" s="242">
        <v>0.67</v>
      </c>
      <c r="CP5097" s="242">
        <v>0.24</v>
      </c>
      <c r="CQ5097" s="242" t="s">
        <v>164</v>
      </c>
      <c r="CR5097" s="242">
        <v>33.82</v>
      </c>
      <c r="CS5097" s="242">
        <v>30.16</v>
      </c>
      <c r="CT5097" s="242">
        <v>3.81</v>
      </c>
      <c r="CU5097" s="242">
        <v>2.73</v>
      </c>
      <c r="CV5097" s="242" t="s">
        <v>5151</v>
      </c>
      <c r="CW5097" s="242"/>
      <c r="CX5097" s="242"/>
      <c r="CY5097" s="242"/>
      <c r="CZ5097" s="242"/>
      <c r="DA5097" s="67" t="s">
        <v>5443</v>
      </c>
      <c r="DB5097" s="67"/>
      <c r="DC5097" s="67"/>
      <c r="DD5097" s="67"/>
      <c r="DE5097" s="67"/>
      <c r="DF5097" s="67"/>
      <c r="DG5097" s="67"/>
      <c r="DH5097" s="67"/>
      <c r="DI5097" s="67"/>
      <c r="DJ5097" s="67"/>
      <c r="DK5097" s="67"/>
      <c r="DL5097" s="67"/>
      <c r="DM5097" s="67"/>
      <c r="DN5097" s="67"/>
      <c r="DO5097" s="67"/>
      <c r="DP5097" s="67"/>
      <c r="DQ5097" s="166"/>
      <c r="DR5097" s="166"/>
      <c r="DS5097" s="163"/>
      <c r="DT5097" s="163"/>
      <c r="DU5097" s="67"/>
      <c r="DV5097" s="67"/>
      <c r="DW5097" s="67"/>
      <c r="DX5097" s="67"/>
      <c r="DY5097" s="67"/>
      <c r="DZ5097" s="67"/>
      <c r="EA5097" s="67"/>
      <c r="EB5097" s="67"/>
      <c r="EC5097" s="67"/>
      <c r="ED5097" s="67"/>
      <c r="EE5097" s="67"/>
      <c r="EF5097" s="67"/>
      <c r="EG5097" s="67"/>
      <c r="EH5097" s="67"/>
      <c r="EI5097" s="67"/>
      <c r="EJ5097" s="67"/>
      <c r="EK5097" s="94"/>
      <c r="EL5097" s="94"/>
      <c r="EM5097" s="67"/>
      <c r="EN5097" s="67"/>
      <c r="EO5097" s="67"/>
      <c r="EP5097" s="67"/>
      <c r="EQ5097" s="67"/>
      <c r="ER5097" s="67"/>
      <c r="ES5097" s="67"/>
      <c r="ET5097" s="67"/>
      <c r="EU5097" s="67"/>
      <c r="EV5097" s="67"/>
      <c r="EW5097" s="67"/>
      <c r="EX5097" s="67"/>
      <c r="EY5097" s="67"/>
      <c r="EZ5097" s="67"/>
      <c r="FA5097" s="67"/>
      <c r="FB5097" s="67"/>
      <c r="FC5097" s="67"/>
      <c r="FD5097" s="67"/>
      <c r="FE5097" s="67"/>
      <c r="FF5097" s="67"/>
      <c r="FG5097" s="67"/>
      <c r="FH5097" s="67"/>
      <c r="FI5097" s="67"/>
      <c r="FJ5097" s="67"/>
      <c r="FK5097" s="67"/>
      <c r="FL5097" s="67"/>
      <c r="FM5097" s="67"/>
      <c r="FN5097" s="67"/>
      <c r="FO5097" s="67"/>
      <c r="FP5097" s="67"/>
      <c r="FQ5097" s="67"/>
      <c r="FR5097" s="67"/>
      <c r="FS5097" s="67"/>
      <c r="FT5097" s="67"/>
      <c r="FU5097" s="67"/>
      <c r="FV5097" s="67"/>
      <c r="FW5097" s="67"/>
      <c r="FX5097" s="67"/>
      <c r="FY5097" s="67"/>
      <c r="FZ5097" s="67"/>
      <c r="GA5097" s="67"/>
      <c r="GB5097" s="67"/>
      <c r="GC5097" s="67"/>
      <c r="GD5097" s="67"/>
      <c r="GE5097" s="67"/>
      <c r="GF5097" s="67"/>
      <c r="GG5097" s="67"/>
      <c r="GH5097" s="67"/>
      <c r="GI5097" s="67"/>
      <c r="GJ5097" s="67"/>
      <c r="GK5097" s="67"/>
      <c r="GL5097" s="67"/>
      <c r="GM5097" s="67"/>
      <c r="GN5097" s="292"/>
      <c r="GO5097" s="292"/>
      <c r="GP5097" s="292" t="s">
        <v>7494</v>
      </c>
      <c r="GQ5097" s="67"/>
      <c r="GR5097" s="67"/>
      <c r="GS5097" s="67"/>
      <c r="GT5097" s="67"/>
      <c r="GU5097" s="67"/>
      <c r="GV5097" s="67"/>
      <c r="GW5097" s="67"/>
      <c r="GX5097" s="67"/>
      <c r="GY5097" s="67"/>
      <c r="GZ5097" s="67"/>
      <c r="HA5097" s="67"/>
      <c r="HB5097" s="67"/>
      <c r="HC5097" s="67"/>
      <c r="HD5097" s="67"/>
      <c r="HE5097" s="67"/>
      <c r="HF5097" s="67"/>
      <c r="HG5097" s="67"/>
      <c r="HH5097" s="67"/>
      <c r="HI5097" s="67"/>
      <c r="HJ5097" s="67"/>
      <c r="HK5097" s="67"/>
      <c r="HL5097" s="67"/>
      <c r="HM5097" s="67"/>
      <c r="HN5097" s="67"/>
      <c r="HO5097" s="67"/>
      <c r="HP5097" s="67"/>
      <c r="HQ5097" s="67"/>
      <c r="HR5097" s="67"/>
      <c r="HS5097" s="67"/>
      <c r="HT5097" s="67"/>
      <c r="HU5097" s="67"/>
      <c r="HV5097" s="67"/>
      <c r="HW5097" s="67"/>
      <c r="HX5097" s="67"/>
      <c r="HY5097" s="67"/>
      <c r="HZ5097" s="67"/>
      <c r="IA5097" s="67"/>
      <c r="IB5097" s="67"/>
      <c r="IC5097" s="67"/>
      <c r="ID5097" s="67"/>
      <c r="IE5097" s="67"/>
      <c r="IF5097" s="67"/>
      <c r="IG5097" s="67"/>
      <c r="IH5097" s="67"/>
      <c r="II5097" s="67"/>
      <c r="IJ5097" s="67"/>
      <c r="IK5097" s="67"/>
      <c r="IL5097" s="67"/>
      <c r="IM5097" s="67"/>
      <c r="IN5097" s="67"/>
      <c r="IO5097" s="67"/>
      <c r="IP5097" s="67"/>
      <c r="IQ5097" s="67"/>
      <c r="IR5097" s="67"/>
      <c r="IS5097" s="67"/>
      <c r="IT5097" s="67"/>
      <c r="IU5097" s="67"/>
      <c r="IV5097" s="67"/>
      <c r="IW5097" s="67"/>
      <c r="IX5097" s="67"/>
      <c r="IY5097" s="67"/>
      <c r="IZ5097" s="67"/>
      <c r="JA5097" s="67"/>
      <c r="JB5097" s="67"/>
      <c r="JC5097" s="67"/>
      <c r="JD5097" s="67"/>
      <c r="JE5097" s="67"/>
      <c r="JF5097" s="67"/>
      <c r="JG5097" s="67">
        <v>186.89</v>
      </c>
      <c r="JH5097" s="67">
        <v>232.79</v>
      </c>
      <c r="JI5097" s="67">
        <f>246-JG5097</f>
        <v>59.110000000000014</v>
      </c>
      <c r="JJ5097" s="67">
        <v>98.26</v>
      </c>
      <c r="JK5097" s="67" t="s">
        <v>5749</v>
      </c>
      <c r="JL5097" s="67"/>
      <c r="JM5097" s="67"/>
      <c r="JN5097" s="67"/>
      <c r="JO5097" s="67"/>
      <c r="JP5097" s="67"/>
      <c r="JQ5097" s="67">
        <v>99999</v>
      </c>
      <c r="JR5097" s="67"/>
      <c r="JS5097" s="67"/>
      <c r="JT5097" s="67"/>
      <c r="JU5097" s="58" t="s">
        <v>5752</v>
      </c>
      <c r="JV5097" s="58"/>
      <c r="JW5097" s="58"/>
    </row>
    <row r="5098" spans="1:283" s="23" customFormat="1" x14ac:dyDescent="0.25">
      <c r="A5098" s="55">
        <v>5097</v>
      </c>
      <c r="B5098" s="12" t="s">
        <v>7067</v>
      </c>
      <c r="C5098" s="156">
        <v>263</v>
      </c>
      <c r="D5098" s="58" t="s">
        <v>5022</v>
      </c>
      <c r="E5098" s="160" t="str">
        <f>G5098</f>
        <v>Probst et al. 2008_T-II-bottom</v>
      </c>
      <c r="F5098" s="160"/>
      <c r="G5098" s="60" t="s">
        <v>4706</v>
      </c>
      <c r="H5098" s="58">
        <v>2008</v>
      </c>
      <c r="I5098" s="58" t="s">
        <v>5550</v>
      </c>
      <c r="J5098" s="243" t="s">
        <v>2176</v>
      </c>
      <c r="K5098" s="63" t="s">
        <v>5082</v>
      </c>
      <c r="L5098" s="58" t="s">
        <v>2740</v>
      </c>
      <c r="M5098" s="94">
        <f>48+5/60</f>
        <v>48.083333333333336</v>
      </c>
      <c r="N5098" s="94">
        <f>7+16/60</f>
        <v>7.2666666666666666</v>
      </c>
      <c r="O5098" s="94">
        <v>243</v>
      </c>
      <c r="P5098" s="58"/>
      <c r="Q5098" s="244">
        <v>10</v>
      </c>
      <c r="R5098" s="58"/>
      <c r="S5098" s="245">
        <v>530</v>
      </c>
      <c r="T5098" s="58"/>
      <c r="U5098" s="58" t="s">
        <v>1688</v>
      </c>
      <c r="V5098" s="244">
        <v>6</v>
      </c>
      <c r="W5098" s="174"/>
      <c r="X5098" s="174"/>
      <c r="Y5098" s="58"/>
      <c r="Z5098" s="244" t="s">
        <v>1355</v>
      </c>
      <c r="AA5098" s="245">
        <v>10</v>
      </c>
      <c r="AB5098" s="67"/>
      <c r="AC5098" s="67"/>
      <c r="AD5098" s="94">
        <v>1.2</v>
      </c>
      <c r="AE5098" s="94"/>
      <c r="AF5098" s="94"/>
      <c r="AG5098" s="245">
        <v>27.5</v>
      </c>
      <c r="AH5098" s="58" t="s">
        <v>139</v>
      </c>
      <c r="AI5098" s="169" t="s">
        <v>5748</v>
      </c>
      <c r="AJ5098" s="94"/>
      <c r="AK5098" s="94"/>
      <c r="AL5098" s="58"/>
      <c r="AM5098" s="58"/>
      <c r="AN5098" s="186"/>
      <c r="AO5098" s="185" t="s">
        <v>7494</v>
      </c>
      <c r="AP5098" s="58"/>
      <c r="AQ5098" s="58"/>
      <c r="AR5098" s="58" t="s">
        <v>4532</v>
      </c>
      <c r="AS5098" s="246" t="s">
        <v>3471</v>
      </c>
      <c r="AT5098" s="247">
        <v>0</v>
      </c>
      <c r="AU5098" s="181" t="s">
        <v>7494</v>
      </c>
      <c r="AV5098" s="185" t="s">
        <v>176</v>
      </c>
      <c r="AW5098" s="244">
        <v>0</v>
      </c>
      <c r="AX5098" s="185" t="s">
        <v>176</v>
      </c>
      <c r="AY5098" s="244" t="s">
        <v>176</v>
      </c>
      <c r="AZ5098" s="58"/>
      <c r="BA5098" s="58"/>
      <c r="BB5098" s="58"/>
      <c r="BC5098" s="58"/>
      <c r="BD5098" s="58"/>
      <c r="BE5098" s="236" t="s">
        <v>5213</v>
      </c>
      <c r="BF5098" s="191" t="s">
        <v>479</v>
      </c>
      <c r="BG5098" s="191" t="s">
        <v>479</v>
      </c>
      <c r="BH5098" s="236" t="s">
        <v>5282</v>
      </c>
      <c r="BI5098" s="191" t="s">
        <v>479</v>
      </c>
      <c r="BJ5098" s="58" t="str">
        <f>IF(BE5098=BH5098,"No","yes")</f>
        <v>yes</v>
      </c>
      <c r="BK5098" s="58" t="s">
        <v>6334</v>
      </c>
      <c r="BL5098" s="58"/>
      <c r="BM5098" s="237"/>
      <c r="BN5098" s="244">
        <v>4</v>
      </c>
      <c r="BO5098" s="244">
        <v>4</v>
      </c>
      <c r="BP5098" s="58"/>
      <c r="BQ5098" s="58"/>
      <c r="BR5098" s="58"/>
      <c r="BS5098" s="58"/>
      <c r="BT5098" s="58"/>
      <c r="BU5098" s="58"/>
      <c r="BV5098" s="58"/>
      <c r="BW5098" s="67"/>
      <c r="BX5098" s="67"/>
      <c r="BY5098" s="67"/>
      <c r="BZ5098" s="67"/>
      <c r="CA5098" s="67"/>
      <c r="CB5098" s="70"/>
      <c r="CC5098" s="70"/>
      <c r="CD5098" s="70"/>
      <c r="CE5098" s="67"/>
      <c r="CF5098" s="67"/>
      <c r="CG5098" s="67"/>
      <c r="CH5098" s="245"/>
      <c r="CI5098" s="245"/>
      <c r="CJ5098" s="67"/>
      <c r="CK5098" s="67"/>
      <c r="CL5098" s="67"/>
      <c r="CM5098" s="242">
        <v>2.83</v>
      </c>
      <c r="CN5098" s="242">
        <v>1.78</v>
      </c>
      <c r="CO5098" s="242">
        <v>0.47</v>
      </c>
      <c r="CP5098" s="242">
        <v>0.27</v>
      </c>
      <c r="CQ5098" s="242" t="s">
        <v>164</v>
      </c>
      <c r="CR5098" s="242">
        <v>31.93</v>
      </c>
      <c r="CS5098" s="242">
        <v>21.8</v>
      </c>
      <c r="CT5098" s="242">
        <v>4.3499999999999996</v>
      </c>
      <c r="CU5098" s="242">
        <v>5.04</v>
      </c>
      <c r="CV5098" s="242" t="s">
        <v>5151</v>
      </c>
      <c r="CW5098" s="242"/>
      <c r="CX5098" s="242"/>
      <c r="CY5098" s="242"/>
      <c r="CZ5098" s="242"/>
      <c r="DA5098" s="67" t="s">
        <v>5443</v>
      </c>
      <c r="DB5098" s="67"/>
      <c r="DC5098" s="67"/>
      <c r="DD5098" s="67"/>
      <c r="DE5098" s="67"/>
      <c r="DF5098" s="67"/>
      <c r="DG5098" s="67"/>
      <c r="DH5098" s="67"/>
      <c r="DI5098" s="67"/>
      <c r="DJ5098" s="67"/>
      <c r="DK5098" s="67"/>
      <c r="DL5098" s="67"/>
      <c r="DM5098" s="67"/>
      <c r="DN5098" s="67"/>
      <c r="DO5098" s="67"/>
      <c r="DP5098" s="67"/>
      <c r="DQ5098" s="166"/>
      <c r="DR5098" s="166"/>
      <c r="DS5098" s="163"/>
      <c r="DT5098" s="163"/>
      <c r="DU5098" s="67"/>
      <c r="DV5098" s="67"/>
      <c r="DW5098" s="67"/>
      <c r="DX5098" s="67"/>
      <c r="DY5098" s="67"/>
      <c r="DZ5098" s="67"/>
      <c r="EA5098" s="67"/>
      <c r="EB5098" s="67"/>
      <c r="EC5098" s="67"/>
      <c r="ED5098" s="67"/>
      <c r="EE5098" s="67"/>
      <c r="EF5098" s="67"/>
      <c r="EG5098" s="67"/>
      <c r="EH5098" s="67"/>
      <c r="EI5098" s="67"/>
      <c r="EJ5098" s="67"/>
      <c r="EK5098" s="94"/>
      <c r="EL5098" s="94"/>
      <c r="EM5098" s="67"/>
      <c r="EN5098" s="67"/>
      <c r="EO5098" s="67"/>
      <c r="EP5098" s="67"/>
      <c r="EQ5098" s="67"/>
      <c r="ER5098" s="67"/>
      <c r="ES5098" s="67"/>
      <c r="ET5098" s="67"/>
      <c r="EU5098" s="67"/>
      <c r="EV5098" s="67"/>
      <c r="EW5098" s="67"/>
      <c r="EX5098" s="67"/>
      <c r="EY5098" s="67"/>
      <c r="EZ5098" s="67"/>
      <c r="FA5098" s="67"/>
      <c r="FB5098" s="67"/>
      <c r="FC5098" s="67"/>
      <c r="FD5098" s="67"/>
      <c r="FE5098" s="67"/>
      <c r="FF5098" s="67"/>
      <c r="FG5098" s="67"/>
      <c r="FH5098" s="67"/>
      <c r="FI5098" s="67"/>
      <c r="FJ5098" s="67"/>
      <c r="FK5098" s="67"/>
      <c r="FL5098" s="67"/>
      <c r="FM5098" s="67"/>
      <c r="FN5098" s="67"/>
      <c r="FO5098" s="67"/>
      <c r="FP5098" s="67"/>
      <c r="FQ5098" s="67"/>
      <c r="FR5098" s="67"/>
      <c r="FS5098" s="67"/>
      <c r="FT5098" s="67"/>
      <c r="FU5098" s="67"/>
      <c r="FV5098" s="67"/>
      <c r="FW5098" s="67"/>
      <c r="FX5098" s="67"/>
      <c r="FY5098" s="67"/>
      <c r="FZ5098" s="67"/>
      <c r="GA5098" s="67"/>
      <c r="GB5098" s="67"/>
      <c r="GC5098" s="67"/>
      <c r="GD5098" s="67"/>
      <c r="GE5098" s="67"/>
      <c r="GF5098" s="67"/>
      <c r="GG5098" s="67"/>
      <c r="GH5098" s="67"/>
      <c r="GI5098" s="67"/>
      <c r="GJ5098" s="67"/>
      <c r="GK5098" s="67"/>
      <c r="GL5098" s="67"/>
      <c r="GM5098" s="67"/>
      <c r="GN5098" s="292"/>
      <c r="GO5098" s="292"/>
      <c r="GP5098" s="292" t="s">
        <v>7494</v>
      </c>
      <c r="GQ5098" s="67"/>
      <c r="GR5098" s="67"/>
      <c r="GS5098" s="67"/>
      <c r="GT5098" s="67"/>
      <c r="GU5098" s="67"/>
      <c r="GV5098" s="67"/>
      <c r="GW5098" s="67"/>
      <c r="GX5098" s="67"/>
      <c r="GY5098" s="67"/>
      <c r="GZ5098" s="67"/>
      <c r="HA5098" s="67"/>
      <c r="HB5098" s="67"/>
      <c r="HC5098" s="67"/>
      <c r="HD5098" s="67"/>
      <c r="HE5098" s="67"/>
      <c r="HF5098" s="67"/>
      <c r="HG5098" s="67"/>
      <c r="HH5098" s="67"/>
      <c r="HI5098" s="67"/>
      <c r="HJ5098" s="67"/>
      <c r="HK5098" s="67"/>
      <c r="HL5098" s="67"/>
      <c r="HM5098" s="67"/>
      <c r="HN5098" s="67"/>
      <c r="HO5098" s="67"/>
      <c r="HP5098" s="67"/>
      <c r="HQ5098" s="67"/>
      <c r="HR5098" s="67"/>
      <c r="HS5098" s="67"/>
      <c r="HT5098" s="67"/>
      <c r="HU5098" s="67"/>
      <c r="HV5098" s="67"/>
      <c r="HW5098" s="67"/>
      <c r="HX5098" s="67"/>
      <c r="HY5098" s="67"/>
      <c r="HZ5098" s="67"/>
      <c r="IA5098" s="67"/>
      <c r="IB5098" s="67"/>
      <c r="IC5098" s="67"/>
      <c r="ID5098" s="67"/>
      <c r="IE5098" s="67"/>
      <c r="IF5098" s="67"/>
      <c r="IG5098" s="67"/>
      <c r="IH5098" s="67"/>
      <c r="II5098" s="67"/>
      <c r="IJ5098" s="67"/>
      <c r="IK5098" s="67"/>
      <c r="IL5098" s="67"/>
      <c r="IM5098" s="67"/>
      <c r="IN5098" s="67"/>
      <c r="IO5098" s="67"/>
      <c r="IP5098" s="67"/>
      <c r="IQ5098" s="67"/>
      <c r="IR5098" s="67"/>
      <c r="IS5098" s="67"/>
      <c r="IT5098" s="67"/>
      <c r="IU5098" s="67"/>
      <c r="IV5098" s="67"/>
      <c r="IW5098" s="67"/>
      <c r="IX5098" s="67"/>
      <c r="IY5098" s="67"/>
      <c r="IZ5098" s="67"/>
      <c r="JA5098" s="67"/>
      <c r="JB5098" s="67"/>
      <c r="JC5098" s="67"/>
      <c r="JD5098" s="67"/>
      <c r="JE5098" s="67"/>
      <c r="JF5098" s="67"/>
      <c r="JG5098" s="67">
        <v>708.2</v>
      </c>
      <c r="JH5098" s="67">
        <v>567.21</v>
      </c>
      <c r="JI5098" s="67">
        <f>1000-JG5098</f>
        <v>291.79999999999995</v>
      </c>
      <c r="JJ5098" s="67">
        <f>688-JH5098</f>
        <v>120.78999999999996</v>
      </c>
      <c r="JK5098" s="67" t="s">
        <v>3072</v>
      </c>
      <c r="JL5098" s="67"/>
      <c r="JM5098" s="67"/>
      <c r="JN5098" s="67"/>
      <c r="JO5098" s="67"/>
      <c r="JP5098" s="67"/>
      <c r="JQ5098" s="67">
        <v>99999</v>
      </c>
      <c r="JR5098" s="67"/>
      <c r="JS5098" s="67"/>
      <c r="JT5098" s="67"/>
      <c r="JU5098" s="58" t="s">
        <v>5752</v>
      </c>
      <c r="JV5098" s="58"/>
      <c r="JW5098" s="58"/>
    </row>
    <row r="5099" spans="1:283" s="23" customFormat="1" x14ac:dyDescent="0.25">
      <c r="A5099" s="55">
        <v>5098</v>
      </c>
      <c r="B5099" s="12" t="s">
        <v>7067</v>
      </c>
      <c r="C5099" s="156">
        <v>263</v>
      </c>
      <c r="D5099" s="58" t="s">
        <v>5023</v>
      </c>
      <c r="E5099" s="160" t="str">
        <f>G5099</f>
        <v>Probst et al. 2008_T-II-top</v>
      </c>
      <c r="F5099" s="160"/>
      <c r="G5099" s="60" t="s">
        <v>4705</v>
      </c>
      <c r="H5099" s="58">
        <v>2008</v>
      </c>
      <c r="I5099" s="58" t="s">
        <v>5550</v>
      </c>
      <c r="J5099" s="243" t="s">
        <v>2176</v>
      </c>
      <c r="K5099" s="63" t="s">
        <v>5082</v>
      </c>
      <c r="L5099" s="58" t="s">
        <v>2740</v>
      </c>
      <c r="M5099" s="94">
        <f>48+5/60</f>
        <v>48.083333333333336</v>
      </c>
      <c r="N5099" s="94">
        <f>7+16/60</f>
        <v>7.2666666666666666</v>
      </c>
      <c r="O5099" s="94">
        <v>243</v>
      </c>
      <c r="P5099" s="58"/>
      <c r="Q5099" s="244">
        <v>10</v>
      </c>
      <c r="R5099" s="58"/>
      <c r="S5099" s="245">
        <v>530</v>
      </c>
      <c r="T5099" s="58"/>
      <c r="U5099" s="58" t="s">
        <v>1688</v>
      </c>
      <c r="V5099" s="244">
        <v>6</v>
      </c>
      <c r="W5099" s="174"/>
      <c r="X5099" s="174"/>
      <c r="Y5099" s="58"/>
      <c r="Z5099" s="244" t="s">
        <v>1355</v>
      </c>
      <c r="AA5099" s="245">
        <v>10</v>
      </c>
      <c r="AB5099" s="67"/>
      <c r="AC5099" s="67"/>
      <c r="AD5099" s="94">
        <v>1.2</v>
      </c>
      <c r="AE5099" s="94"/>
      <c r="AF5099" s="94"/>
      <c r="AG5099" s="245">
        <v>28.5</v>
      </c>
      <c r="AH5099" s="58" t="s">
        <v>139</v>
      </c>
      <c r="AI5099" s="169" t="s">
        <v>5748</v>
      </c>
      <c r="AJ5099" s="94"/>
      <c r="AK5099" s="94"/>
      <c r="AL5099" s="58"/>
      <c r="AM5099" s="58"/>
      <c r="AN5099" s="186"/>
      <c r="AO5099" s="185" t="s">
        <v>7494</v>
      </c>
      <c r="AP5099" s="58"/>
      <c r="AQ5099" s="58"/>
      <c r="AR5099" s="58" t="s">
        <v>4532</v>
      </c>
      <c r="AS5099" s="246" t="s">
        <v>3471</v>
      </c>
      <c r="AT5099" s="247">
        <v>0</v>
      </c>
      <c r="AU5099" s="181" t="s">
        <v>7494</v>
      </c>
      <c r="AV5099" s="185" t="s">
        <v>176</v>
      </c>
      <c r="AW5099" s="244">
        <v>0</v>
      </c>
      <c r="AX5099" s="185" t="s">
        <v>176</v>
      </c>
      <c r="AY5099" s="244" t="s">
        <v>176</v>
      </c>
      <c r="AZ5099" s="58"/>
      <c r="BA5099" s="58"/>
      <c r="BB5099" s="58"/>
      <c r="BC5099" s="58"/>
      <c r="BD5099" s="58"/>
      <c r="BE5099" s="236" t="s">
        <v>5213</v>
      </c>
      <c r="BF5099" s="191" t="s">
        <v>479</v>
      </c>
      <c r="BG5099" s="191" t="s">
        <v>479</v>
      </c>
      <c r="BH5099" s="236" t="s">
        <v>5282</v>
      </c>
      <c r="BI5099" s="191" t="s">
        <v>479</v>
      </c>
      <c r="BJ5099" s="58" t="str">
        <f>IF(BE5099=BH5099,"No","yes")</f>
        <v>yes</v>
      </c>
      <c r="BK5099" s="58" t="s">
        <v>6334</v>
      </c>
      <c r="BL5099" s="58"/>
      <c r="BM5099" s="237"/>
      <c r="BN5099" s="244">
        <v>4</v>
      </c>
      <c r="BO5099" s="244">
        <v>4</v>
      </c>
      <c r="BP5099" s="58"/>
      <c r="BQ5099" s="58"/>
      <c r="BR5099" s="58"/>
      <c r="BS5099" s="58"/>
      <c r="BT5099" s="58"/>
      <c r="BU5099" s="58"/>
      <c r="BV5099" s="58"/>
      <c r="BW5099" s="67"/>
      <c r="BX5099" s="67"/>
      <c r="BY5099" s="67"/>
      <c r="BZ5099" s="67"/>
      <c r="CA5099" s="67"/>
      <c r="CB5099" s="70"/>
      <c r="CC5099" s="70"/>
      <c r="CD5099" s="70"/>
      <c r="CE5099" s="67"/>
      <c r="CF5099" s="67"/>
      <c r="CG5099" s="67"/>
      <c r="CH5099" s="245"/>
      <c r="CI5099" s="245"/>
      <c r="CJ5099" s="67"/>
      <c r="CK5099" s="67"/>
      <c r="CL5099" s="67"/>
      <c r="CM5099" s="242">
        <v>3.95</v>
      </c>
      <c r="CN5099" s="242">
        <v>2.44</v>
      </c>
      <c r="CO5099" s="242">
        <v>1.1000000000000001</v>
      </c>
      <c r="CP5099" s="242">
        <v>0.49</v>
      </c>
      <c r="CQ5099" s="242" t="s">
        <v>164</v>
      </c>
      <c r="CR5099" s="242">
        <v>43.6</v>
      </c>
      <c r="CS5099" s="242">
        <v>30</v>
      </c>
      <c r="CT5099" s="242">
        <v>11.28</v>
      </c>
      <c r="CU5099" s="242">
        <v>4.62</v>
      </c>
      <c r="CV5099" s="242" t="s">
        <v>5151</v>
      </c>
      <c r="CW5099" s="242"/>
      <c r="CX5099" s="242"/>
      <c r="CY5099" s="242"/>
      <c r="CZ5099" s="242"/>
      <c r="DA5099" s="67" t="s">
        <v>5443</v>
      </c>
      <c r="DB5099" s="67"/>
      <c r="DC5099" s="67"/>
      <c r="DD5099" s="67"/>
      <c r="DE5099" s="67"/>
      <c r="DF5099" s="67"/>
      <c r="DG5099" s="67"/>
      <c r="DH5099" s="67"/>
      <c r="DI5099" s="67"/>
      <c r="DJ5099" s="67"/>
      <c r="DK5099" s="67"/>
      <c r="DL5099" s="67"/>
      <c r="DM5099" s="67"/>
      <c r="DN5099" s="67"/>
      <c r="DO5099" s="67"/>
      <c r="DP5099" s="67"/>
      <c r="DQ5099" s="166"/>
      <c r="DR5099" s="166"/>
      <c r="DS5099" s="163"/>
      <c r="DT5099" s="163"/>
      <c r="DU5099" s="67"/>
      <c r="DV5099" s="67"/>
      <c r="DW5099" s="67"/>
      <c r="DX5099" s="67"/>
      <c r="DY5099" s="67"/>
      <c r="DZ5099" s="67"/>
      <c r="EA5099" s="67"/>
      <c r="EB5099" s="67"/>
      <c r="EC5099" s="67"/>
      <c r="ED5099" s="67"/>
      <c r="EE5099" s="67"/>
      <c r="EF5099" s="67"/>
      <c r="EG5099" s="67"/>
      <c r="EH5099" s="67"/>
      <c r="EI5099" s="67"/>
      <c r="EJ5099" s="67"/>
      <c r="EK5099" s="94"/>
      <c r="EL5099" s="94"/>
      <c r="EM5099" s="67"/>
      <c r="EN5099" s="67"/>
      <c r="EO5099" s="67"/>
      <c r="EP5099" s="67"/>
      <c r="EQ5099" s="67"/>
      <c r="ER5099" s="67"/>
      <c r="ES5099" s="67"/>
      <c r="ET5099" s="67"/>
      <c r="EU5099" s="67"/>
      <c r="EV5099" s="67"/>
      <c r="EW5099" s="67"/>
      <c r="EX5099" s="67"/>
      <c r="EY5099" s="67"/>
      <c r="EZ5099" s="67"/>
      <c r="FA5099" s="67"/>
      <c r="FB5099" s="67"/>
      <c r="FC5099" s="67"/>
      <c r="FD5099" s="67"/>
      <c r="FE5099" s="67"/>
      <c r="FF5099" s="67"/>
      <c r="FG5099" s="67"/>
      <c r="FH5099" s="67"/>
      <c r="FI5099" s="67"/>
      <c r="FJ5099" s="67"/>
      <c r="FK5099" s="67"/>
      <c r="FL5099" s="67"/>
      <c r="FM5099" s="67"/>
      <c r="FN5099" s="67"/>
      <c r="FO5099" s="67"/>
      <c r="FP5099" s="67"/>
      <c r="FQ5099" s="67"/>
      <c r="FR5099" s="67"/>
      <c r="FS5099" s="67"/>
      <c r="FT5099" s="67"/>
      <c r="FU5099" s="67"/>
      <c r="FV5099" s="67"/>
      <c r="FW5099" s="67"/>
      <c r="FX5099" s="67"/>
      <c r="FY5099" s="67"/>
      <c r="FZ5099" s="67"/>
      <c r="GA5099" s="67"/>
      <c r="GB5099" s="67"/>
      <c r="GC5099" s="67"/>
      <c r="GD5099" s="67"/>
      <c r="GE5099" s="67"/>
      <c r="GF5099" s="67"/>
      <c r="GG5099" s="67"/>
      <c r="GH5099" s="67"/>
      <c r="GI5099" s="67"/>
      <c r="GJ5099" s="67"/>
      <c r="GK5099" s="67"/>
      <c r="GL5099" s="67"/>
      <c r="GM5099" s="67"/>
      <c r="GN5099" s="292"/>
      <c r="GO5099" s="292"/>
      <c r="GP5099" s="292" t="s">
        <v>7494</v>
      </c>
      <c r="GQ5099" s="67"/>
      <c r="GR5099" s="67"/>
      <c r="GS5099" s="67"/>
      <c r="GT5099" s="67"/>
      <c r="GU5099" s="67"/>
      <c r="GV5099" s="67"/>
      <c r="GW5099" s="67"/>
      <c r="GX5099" s="67"/>
      <c r="GY5099" s="67"/>
      <c r="GZ5099" s="67"/>
      <c r="HA5099" s="67"/>
      <c r="HB5099" s="67"/>
      <c r="HC5099" s="67"/>
      <c r="HD5099" s="67"/>
      <c r="HE5099" s="67"/>
      <c r="HF5099" s="67"/>
      <c r="HG5099" s="67"/>
      <c r="HH5099" s="67"/>
      <c r="HI5099" s="67"/>
      <c r="HJ5099" s="67"/>
      <c r="HK5099" s="67"/>
      <c r="HL5099" s="67"/>
      <c r="HM5099" s="67"/>
      <c r="HN5099" s="67"/>
      <c r="HO5099" s="67"/>
      <c r="HP5099" s="67"/>
      <c r="HQ5099" s="67"/>
      <c r="HR5099" s="67"/>
      <c r="HS5099" s="67"/>
      <c r="HT5099" s="67"/>
      <c r="HU5099" s="67"/>
      <c r="HV5099" s="67"/>
      <c r="HW5099" s="67"/>
      <c r="HX5099" s="67"/>
      <c r="HY5099" s="67"/>
      <c r="HZ5099" s="67"/>
      <c r="IA5099" s="67"/>
      <c r="IB5099" s="67"/>
      <c r="IC5099" s="67"/>
      <c r="ID5099" s="67"/>
      <c r="IE5099" s="67"/>
      <c r="IF5099" s="67"/>
      <c r="IG5099" s="67"/>
      <c r="IH5099" s="67"/>
      <c r="II5099" s="67"/>
      <c r="IJ5099" s="67"/>
      <c r="IK5099" s="67"/>
      <c r="IL5099" s="67"/>
      <c r="IM5099" s="67"/>
      <c r="IN5099" s="67"/>
      <c r="IO5099" s="67"/>
      <c r="IP5099" s="67"/>
      <c r="IQ5099" s="67"/>
      <c r="IR5099" s="67"/>
      <c r="IS5099" s="67"/>
      <c r="IT5099" s="67"/>
      <c r="IU5099" s="67"/>
      <c r="IV5099" s="67"/>
      <c r="IW5099" s="67"/>
      <c r="IX5099" s="67"/>
      <c r="IY5099" s="67"/>
      <c r="IZ5099" s="67"/>
      <c r="JA5099" s="67"/>
      <c r="JB5099" s="67"/>
      <c r="JC5099" s="67"/>
      <c r="JD5099" s="67"/>
      <c r="JE5099" s="67"/>
      <c r="JF5099" s="67"/>
      <c r="JG5099" s="67">
        <v>554.1</v>
      </c>
      <c r="JH5099" s="67">
        <v>495.08</v>
      </c>
      <c r="JI5099" s="67">
        <v>291.8</v>
      </c>
      <c r="JJ5099" s="67">
        <v>120.79</v>
      </c>
      <c r="JK5099" s="67" t="s">
        <v>5749</v>
      </c>
      <c r="JL5099" s="67"/>
      <c r="JM5099" s="67"/>
      <c r="JN5099" s="67"/>
      <c r="JO5099" s="67"/>
      <c r="JP5099" s="67"/>
      <c r="JQ5099" s="67">
        <v>99999</v>
      </c>
      <c r="JR5099" s="67"/>
      <c r="JS5099" s="67"/>
      <c r="JT5099" s="67"/>
      <c r="JU5099" s="58" t="s">
        <v>5752</v>
      </c>
      <c r="JV5099" s="58"/>
      <c r="JW5099" s="58"/>
    </row>
    <row r="5100" spans="1:283" s="23" customFormat="1" x14ac:dyDescent="0.25">
      <c r="A5100" s="55">
        <v>5099</v>
      </c>
      <c r="B5100" s="12" t="s">
        <v>7067</v>
      </c>
      <c r="C5100" s="156">
        <v>264</v>
      </c>
      <c r="D5100" s="58" t="s">
        <v>5763</v>
      </c>
      <c r="E5100" s="160" t="str">
        <f>G5100</f>
        <v>Pulleman et al 2003</v>
      </c>
      <c r="F5100" s="160"/>
      <c r="G5100" s="60" t="s">
        <v>4703</v>
      </c>
      <c r="H5100" s="58">
        <v>2003</v>
      </c>
      <c r="I5100" s="58" t="s">
        <v>5599</v>
      </c>
      <c r="J5100" s="243" t="s">
        <v>2167</v>
      </c>
      <c r="K5100" s="63" t="s">
        <v>5081</v>
      </c>
      <c r="L5100" s="58" t="s">
        <v>5328</v>
      </c>
      <c r="M5100" s="94">
        <v>52.13</v>
      </c>
      <c r="N5100" s="94">
        <v>5.29</v>
      </c>
      <c r="O5100" s="94">
        <v>25</v>
      </c>
      <c r="P5100" s="58"/>
      <c r="Q5100" s="244"/>
      <c r="R5100" s="58"/>
      <c r="S5100" s="245"/>
      <c r="T5100" s="58"/>
      <c r="U5100" s="244">
        <v>70</v>
      </c>
      <c r="V5100" s="244">
        <v>70</v>
      </c>
      <c r="W5100" s="174"/>
      <c r="X5100" s="174"/>
      <c r="Y5100" s="58" t="s">
        <v>5758</v>
      </c>
      <c r="Z5100" s="244" t="s">
        <v>1355</v>
      </c>
      <c r="AA5100" s="245">
        <v>10</v>
      </c>
      <c r="AB5100" s="67"/>
      <c r="AC5100" s="67"/>
      <c r="AD5100" s="94"/>
      <c r="AE5100" s="94">
        <f>(37.8+37.9)/2</f>
        <v>37.849999999999994</v>
      </c>
      <c r="AF5100" s="94">
        <f>(40.2+40)/2</f>
        <v>40.1</v>
      </c>
      <c r="AG5100" s="245">
        <v>22.05</v>
      </c>
      <c r="AH5100" s="58" t="s">
        <v>139</v>
      </c>
      <c r="AI5100" s="169" t="s">
        <v>5756</v>
      </c>
      <c r="AJ5100" s="94">
        <f>(16.2+14.6)/2*0.1*0.58</f>
        <v>0.89319999999999999</v>
      </c>
      <c r="AK5100" s="94">
        <f>(66.9+25.8)/2*0.1*0.58</f>
        <v>2.6883000000000004</v>
      </c>
      <c r="AL5100" s="58"/>
      <c r="AM5100" s="58" t="s">
        <v>5755</v>
      </c>
      <c r="AN5100" s="186"/>
      <c r="AO5100" s="185" t="s">
        <v>7494</v>
      </c>
      <c r="AP5100" s="58"/>
      <c r="AQ5100" s="58"/>
      <c r="AR5100" s="58" t="s">
        <v>5769</v>
      </c>
      <c r="AS5100" s="246" t="s">
        <v>4584</v>
      </c>
      <c r="AT5100" s="247">
        <v>1</v>
      </c>
      <c r="AU5100" s="181" t="s">
        <v>7494</v>
      </c>
      <c r="AV5100" s="185" t="s">
        <v>479</v>
      </c>
      <c r="AW5100" s="244">
        <v>1</v>
      </c>
      <c r="AX5100" s="185" t="s">
        <v>479</v>
      </c>
      <c r="AY5100" s="244" t="s">
        <v>176</v>
      </c>
      <c r="AZ5100" s="58"/>
      <c r="BA5100" s="58"/>
      <c r="BB5100" s="58"/>
      <c r="BC5100" s="58"/>
      <c r="BD5100" s="58"/>
      <c r="BE5100" s="236" t="s">
        <v>5215</v>
      </c>
      <c r="BF5100" s="191" t="s">
        <v>479</v>
      </c>
      <c r="BG5100" s="191" t="s">
        <v>479</v>
      </c>
      <c r="BH5100" s="236" t="s">
        <v>5283</v>
      </c>
      <c r="BI5100" s="191" t="s">
        <v>479</v>
      </c>
      <c r="BJ5100" s="58" t="str">
        <f>IF(BE5100=BH5100,"No","yes")</f>
        <v>yes</v>
      </c>
      <c r="BK5100" s="58" t="s">
        <v>6334</v>
      </c>
      <c r="BL5100" s="58"/>
      <c r="BM5100" s="237"/>
      <c r="BN5100" s="244">
        <v>4</v>
      </c>
      <c r="BO5100" s="244">
        <v>4</v>
      </c>
      <c r="BP5100" s="58"/>
      <c r="BQ5100" s="58"/>
      <c r="BR5100" s="58"/>
      <c r="BS5100" s="58"/>
      <c r="BT5100" s="58"/>
      <c r="BU5100" s="58"/>
      <c r="BV5100" s="58"/>
      <c r="BW5100" s="67"/>
      <c r="BX5100" s="67"/>
      <c r="BY5100" s="67"/>
      <c r="BZ5100" s="67"/>
      <c r="CA5100" s="67"/>
      <c r="CB5100" s="70"/>
      <c r="CC5100" s="70"/>
      <c r="CD5100" s="70"/>
      <c r="CE5100" s="67"/>
      <c r="CF5100" s="67"/>
      <c r="CG5100" s="67"/>
      <c r="CH5100" s="245"/>
      <c r="CI5100" s="245"/>
      <c r="CJ5100" s="67"/>
      <c r="CK5100" s="67"/>
      <c r="CL5100" s="67"/>
      <c r="CM5100" s="242">
        <f>1.62*0.58</f>
        <v>0.93959999999999999</v>
      </c>
      <c r="CN5100" s="242">
        <f>2.49*0.58</f>
        <v>1.4441999999999999</v>
      </c>
      <c r="CO5100" s="242">
        <f>0.09*0.58*2</f>
        <v>0.10439999999999999</v>
      </c>
      <c r="CP5100" s="242">
        <f>0.07*0.58*2</f>
        <v>8.1200000000000008E-2</v>
      </c>
      <c r="CQ5100" s="242" t="s">
        <v>164</v>
      </c>
      <c r="CR5100" s="242"/>
      <c r="CS5100" s="242"/>
      <c r="CT5100" s="242"/>
      <c r="CU5100" s="242"/>
      <c r="CV5100" s="242"/>
      <c r="CW5100" s="242"/>
      <c r="CX5100" s="242"/>
      <c r="CY5100" s="242"/>
      <c r="CZ5100" s="242"/>
      <c r="DA5100" s="67" t="s">
        <v>5443</v>
      </c>
      <c r="DB5100" s="67"/>
      <c r="DC5100" s="67"/>
      <c r="DD5100" s="67"/>
      <c r="DE5100" s="67"/>
      <c r="DF5100" s="67"/>
      <c r="DG5100" s="67"/>
      <c r="DH5100" s="67"/>
      <c r="DI5100" s="67"/>
      <c r="DJ5100" s="67"/>
      <c r="DK5100" s="67"/>
      <c r="DL5100" s="67"/>
      <c r="DM5100" s="67"/>
      <c r="DN5100" s="67"/>
      <c r="DO5100" s="67"/>
      <c r="DP5100" s="67"/>
      <c r="DQ5100" s="166">
        <v>8.4</v>
      </c>
      <c r="DR5100" s="166">
        <v>8.1999999999999993</v>
      </c>
      <c r="DS5100" s="163"/>
      <c r="DT5100" s="163"/>
      <c r="DU5100" s="67"/>
      <c r="DV5100" s="67"/>
      <c r="DW5100" s="67"/>
      <c r="DX5100" s="67"/>
      <c r="DY5100" s="67"/>
      <c r="DZ5100" s="67"/>
      <c r="EA5100" s="67"/>
      <c r="EB5100" s="67"/>
      <c r="EC5100" s="67"/>
      <c r="ED5100" s="67"/>
      <c r="EE5100" s="67"/>
      <c r="EF5100" s="67"/>
      <c r="EG5100" s="67"/>
      <c r="EH5100" s="67"/>
      <c r="EI5100" s="67"/>
      <c r="EJ5100" s="67"/>
      <c r="EK5100" s="94">
        <v>13.4</v>
      </c>
      <c r="EL5100" s="94">
        <v>16.5</v>
      </c>
      <c r="EM5100" s="67">
        <v>0.6</v>
      </c>
      <c r="EN5100" s="67">
        <v>0.2</v>
      </c>
      <c r="EO5100" s="67" t="s">
        <v>5760</v>
      </c>
      <c r="EP5100" s="67"/>
      <c r="EQ5100" s="67"/>
      <c r="ER5100" s="67"/>
      <c r="ES5100" s="67"/>
      <c r="ET5100" s="67"/>
      <c r="EU5100" s="67"/>
      <c r="EV5100" s="67"/>
      <c r="EW5100" s="67"/>
      <c r="EX5100" s="67"/>
      <c r="EY5100" s="67"/>
      <c r="EZ5100" s="67"/>
      <c r="FA5100" s="67"/>
      <c r="FB5100" s="67"/>
      <c r="FC5100" s="67"/>
      <c r="FD5100" s="67"/>
      <c r="FE5100" s="67"/>
      <c r="FF5100" s="67"/>
      <c r="FG5100" s="67"/>
      <c r="FH5100" s="67"/>
      <c r="FI5100" s="67"/>
      <c r="FJ5100" s="67"/>
      <c r="FK5100" s="67"/>
      <c r="FL5100" s="67"/>
      <c r="FM5100" s="67"/>
      <c r="FN5100" s="67"/>
      <c r="FO5100" s="67"/>
      <c r="FP5100" s="67"/>
      <c r="FQ5100" s="67"/>
      <c r="FR5100" s="67"/>
      <c r="FS5100" s="67"/>
      <c r="FT5100" s="67"/>
      <c r="FU5100" s="67"/>
      <c r="FV5100" s="67"/>
      <c r="FW5100" s="67"/>
      <c r="FX5100" s="67"/>
      <c r="FY5100" s="67"/>
      <c r="FZ5100" s="67"/>
      <c r="GA5100" s="67"/>
      <c r="GB5100" s="67"/>
      <c r="GC5100" s="67"/>
      <c r="GD5100" s="67"/>
      <c r="GE5100" s="67"/>
      <c r="GF5100" s="67"/>
      <c r="GG5100" s="67"/>
      <c r="GH5100" s="67"/>
      <c r="GI5100" s="67"/>
      <c r="GJ5100" s="67"/>
      <c r="GK5100" s="67"/>
      <c r="GL5100" s="67"/>
      <c r="GM5100" s="67"/>
      <c r="GN5100" s="292"/>
      <c r="GO5100" s="292"/>
      <c r="GP5100" s="292" t="s">
        <v>7494</v>
      </c>
      <c r="GQ5100" s="67"/>
      <c r="GR5100" s="67"/>
      <c r="GS5100" s="67"/>
      <c r="GT5100" s="67"/>
      <c r="GU5100" s="67"/>
      <c r="GV5100" s="67"/>
      <c r="GW5100" s="67"/>
      <c r="GX5100" s="67"/>
      <c r="GY5100" s="67"/>
      <c r="GZ5100" s="67"/>
      <c r="HA5100" s="67"/>
      <c r="HB5100" s="67"/>
      <c r="HC5100" s="67"/>
      <c r="HD5100" s="67">
        <v>10.01</v>
      </c>
      <c r="HE5100" s="67">
        <v>22.76</v>
      </c>
      <c r="HF5100" s="67">
        <f>11.59-HD5100</f>
        <v>1.58</v>
      </c>
      <c r="HG5100" s="67">
        <f>27-HE5100</f>
        <v>4.2399999999999984</v>
      </c>
      <c r="HH5100" s="67" t="s">
        <v>5759</v>
      </c>
      <c r="HI5100" s="67"/>
      <c r="HJ5100" s="67"/>
      <c r="HK5100" s="67"/>
      <c r="HL5100" s="67"/>
      <c r="HM5100" s="67"/>
      <c r="HN5100" s="67"/>
      <c r="HO5100" s="67"/>
      <c r="HP5100" s="67"/>
      <c r="HQ5100" s="67"/>
      <c r="HR5100" s="67"/>
      <c r="HS5100" s="67"/>
      <c r="HT5100" s="67"/>
      <c r="HU5100" s="67"/>
      <c r="HV5100" s="67"/>
      <c r="HW5100" s="67"/>
      <c r="HX5100" s="67">
        <v>282</v>
      </c>
      <c r="HY5100" s="67">
        <v>490</v>
      </c>
      <c r="HZ5100" s="67">
        <f>2.3*2</f>
        <v>4.5999999999999996</v>
      </c>
      <c r="IA5100" s="67">
        <f>1.9*2</f>
        <v>3.8</v>
      </c>
      <c r="IB5100" s="67" t="s">
        <v>964</v>
      </c>
      <c r="IC5100" s="67">
        <v>22.8</v>
      </c>
      <c r="ID5100" s="67">
        <v>32.799999999999997</v>
      </c>
      <c r="IE5100" s="67">
        <v>2</v>
      </c>
      <c r="IF5100" s="67">
        <v>3</v>
      </c>
      <c r="IG5100" s="67" t="s">
        <v>964</v>
      </c>
      <c r="IH5100" s="67"/>
      <c r="II5100" s="67"/>
      <c r="IJ5100" s="67"/>
      <c r="IK5100" s="67"/>
      <c r="IL5100" s="67"/>
      <c r="IM5100" s="67"/>
      <c r="IN5100" s="67"/>
      <c r="IO5100" s="67"/>
      <c r="IP5100" s="67"/>
      <c r="IQ5100" s="67"/>
      <c r="IR5100" s="67"/>
      <c r="IS5100" s="67"/>
      <c r="IT5100" s="67"/>
      <c r="IU5100" s="67"/>
      <c r="IV5100" s="67"/>
      <c r="IW5100" s="67"/>
      <c r="IX5100" s="67"/>
      <c r="IY5100" s="67"/>
      <c r="IZ5100" s="67"/>
      <c r="JA5100" s="67"/>
      <c r="JB5100" s="67"/>
      <c r="JC5100" s="67"/>
      <c r="JD5100" s="67"/>
      <c r="JE5100" s="67"/>
      <c r="JF5100" s="67"/>
      <c r="JG5100" s="67"/>
      <c r="JH5100" s="67"/>
      <c r="JI5100" s="67"/>
      <c r="JJ5100" s="67"/>
      <c r="JK5100" s="67"/>
      <c r="JL5100" s="67"/>
      <c r="JM5100" s="67"/>
      <c r="JN5100" s="67"/>
      <c r="JO5100" s="67"/>
      <c r="JP5100" s="67"/>
      <c r="JQ5100" s="67"/>
      <c r="JR5100" s="67"/>
      <c r="JS5100" s="67"/>
      <c r="JT5100" s="67">
        <v>99999</v>
      </c>
      <c r="JU5100" s="58"/>
      <c r="JV5100" s="58"/>
      <c r="JW5100" s="58"/>
    </row>
    <row r="5101" spans="1:283" s="23" customFormat="1" x14ac:dyDescent="0.25">
      <c r="A5101" s="55">
        <v>5100</v>
      </c>
      <c r="B5101" s="12" t="s">
        <v>7067</v>
      </c>
      <c r="C5101" s="156">
        <v>264</v>
      </c>
      <c r="D5101" s="58" t="s">
        <v>5764</v>
      </c>
      <c r="E5101" s="160" t="str">
        <f>G5101</f>
        <v>Pulleman et al 2003</v>
      </c>
      <c r="F5101" s="160"/>
      <c r="G5101" s="60" t="s">
        <v>4703</v>
      </c>
      <c r="H5101" s="58">
        <v>2003</v>
      </c>
      <c r="I5101" s="58" t="s">
        <v>5599</v>
      </c>
      <c r="J5101" s="243" t="s">
        <v>2167</v>
      </c>
      <c r="K5101" s="63" t="s">
        <v>5081</v>
      </c>
      <c r="L5101" s="58" t="s">
        <v>5328</v>
      </c>
      <c r="M5101" s="94">
        <v>52.13</v>
      </c>
      <c r="N5101" s="94">
        <v>5.29</v>
      </c>
      <c r="O5101" s="94">
        <v>25</v>
      </c>
      <c r="P5101" s="58"/>
      <c r="Q5101" s="244"/>
      <c r="R5101" s="58"/>
      <c r="S5101" s="245"/>
      <c r="T5101" s="58"/>
      <c r="U5101" s="244">
        <v>70</v>
      </c>
      <c r="V5101" s="244">
        <v>70</v>
      </c>
      <c r="W5101" s="174"/>
      <c r="X5101" s="174"/>
      <c r="Y5101" s="58" t="s">
        <v>5758</v>
      </c>
      <c r="Z5101" s="244" t="s">
        <v>1359</v>
      </c>
      <c r="AA5101" s="245">
        <v>10</v>
      </c>
      <c r="AB5101" s="67"/>
      <c r="AC5101" s="67"/>
      <c r="AD5101" s="94"/>
      <c r="AE5101" s="94">
        <f>(37.8+37.9)/2</f>
        <v>37.849999999999994</v>
      </c>
      <c r="AF5101" s="94">
        <f>(40.2+40)/2</f>
        <v>40.1</v>
      </c>
      <c r="AG5101" s="245">
        <v>22.05</v>
      </c>
      <c r="AH5101" s="58" t="s">
        <v>139</v>
      </c>
      <c r="AI5101" s="169" t="s">
        <v>5757</v>
      </c>
      <c r="AJ5101" s="94">
        <f>(16.2+14.6)/2*0.1*0.58</f>
        <v>0.89319999999999999</v>
      </c>
      <c r="AK5101" s="94">
        <f>(66.9+25.8)/2*0.1*0.58</f>
        <v>2.6883000000000004</v>
      </c>
      <c r="AL5101" s="58"/>
      <c r="AM5101" s="58" t="s">
        <v>5755</v>
      </c>
      <c r="AN5101" s="186"/>
      <c r="AO5101" s="185" t="s">
        <v>7494</v>
      </c>
      <c r="AP5101" s="58"/>
      <c r="AQ5101" s="58"/>
      <c r="AR5101" s="58" t="s">
        <v>5769</v>
      </c>
      <c r="AS5101" s="246" t="s">
        <v>4584</v>
      </c>
      <c r="AT5101" s="247">
        <v>1</v>
      </c>
      <c r="AU5101" s="181" t="s">
        <v>7494</v>
      </c>
      <c r="AV5101" s="185" t="s">
        <v>479</v>
      </c>
      <c r="AW5101" s="244">
        <v>1</v>
      </c>
      <c r="AX5101" s="185" t="s">
        <v>479</v>
      </c>
      <c r="AY5101" s="244" t="s">
        <v>176</v>
      </c>
      <c r="AZ5101" s="58"/>
      <c r="BA5101" s="58"/>
      <c r="BB5101" s="58"/>
      <c r="BC5101" s="58"/>
      <c r="BD5101" s="58"/>
      <c r="BE5101" s="236" t="s">
        <v>5215</v>
      </c>
      <c r="BF5101" s="191" t="s">
        <v>479</v>
      </c>
      <c r="BG5101" s="191" t="s">
        <v>479</v>
      </c>
      <c r="BH5101" s="236" t="s">
        <v>5283</v>
      </c>
      <c r="BI5101" s="191" t="s">
        <v>479</v>
      </c>
      <c r="BJ5101" s="58" t="str">
        <f>IF(BE5101=BH5101,"No","yes")</f>
        <v>yes</v>
      </c>
      <c r="BK5101" s="58" t="s">
        <v>6334</v>
      </c>
      <c r="BL5101" s="58"/>
      <c r="BM5101" s="237"/>
      <c r="BN5101" s="244">
        <v>4</v>
      </c>
      <c r="BO5101" s="244">
        <v>4</v>
      </c>
      <c r="BP5101" s="58"/>
      <c r="BQ5101" s="58"/>
      <c r="BR5101" s="58"/>
      <c r="BS5101" s="58"/>
      <c r="BT5101" s="58"/>
      <c r="BU5101" s="58"/>
      <c r="BV5101" s="58"/>
      <c r="BW5101" s="67"/>
      <c r="BX5101" s="67"/>
      <c r="BY5101" s="67"/>
      <c r="BZ5101" s="67"/>
      <c r="CA5101" s="67"/>
      <c r="CB5101" s="70"/>
      <c r="CC5101" s="70"/>
      <c r="CD5101" s="70"/>
      <c r="CE5101" s="67"/>
      <c r="CF5101" s="67"/>
      <c r="CG5101" s="67"/>
      <c r="CH5101" s="245"/>
      <c r="CI5101" s="245"/>
      <c r="CJ5101" s="67"/>
      <c r="CK5101" s="67"/>
      <c r="CL5101" s="67"/>
      <c r="CM5101" s="242">
        <f>1.46*0.58</f>
        <v>0.84679999999999989</v>
      </c>
      <c r="CN5101" s="242">
        <f>2.32*0.58</f>
        <v>1.3455999999999999</v>
      </c>
      <c r="CO5101" s="242">
        <f>0.07*0.58*2</f>
        <v>8.1200000000000008E-2</v>
      </c>
      <c r="CP5101" s="242">
        <f>0.1*0.58*2</f>
        <v>0.11599999999999999</v>
      </c>
      <c r="CQ5101" s="242" t="s">
        <v>164</v>
      </c>
      <c r="CR5101" s="242"/>
      <c r="CS5101" s="242"/>
      <c r="CT5101" s="242"/>
      <c r="CU5101" s="242"/>
      <c r="CV5101" s="242"/>
      <c r="CW5101" s="242"/>
      <c r="CX5101" s="242"/>
      <c r="CY5101" s="242"/>
      <c r="CZ5101" s="242"/>
      <c r="DA5101" s="67" t="s">
        <v>5443</v>
      </c>
      <c r="DB5101" s="67"/>
      <c r="DC5101" s="67"/>
      <c r="DD5101" s="67"/>
      <c r="DE5101" s="67"/>
      <c r="DF5101" s="67"/>
      <c r="DG5101" s="67"/>
      <c r="DH5101" s="67"/>
      <c r="DI5101" s="67"/>
      <c r="DJ5101" s="67"/>
      <c r="DK5101" s="67"/>
      <c r="DL5101" s="67"/>
      <c r="DM5101" s="67"/>
      <c r="DN5101" s="67"/>
      <c r="DO5101" s="67"/>
      <c r="DP5101" s="67"/>
      <c r="DQ5101" s="166">
        <v>8.5</v>
      </c>
      <c r="DR5101" s="166">
        <v>8.3000000000000007</v>
      </c>
      <c r="DS5101" s="163"/>
      <c r="DT5101" s="163"/>
      <c r="DU5101" s="67"/>
      <c r="DV5101" s="67"/>
      <c r="DW5101" s="67"/>
      <c r="DX5101" s="67"/>
      <c r="DY5101" s="67"/>
      <c r="DZ5101" s="67"/>
      <c r="EA5101" s="67"/>
      <c r="EB5101" s="67"/>
      <c r="EC5101" s="67"/>
      <c r="ED5101" s="67"/>
      <c r="EE5101" s="67"/>
      <c r="EF5101" s="67"/>
      <c r="EG5101" s="67"/>
      <c r="EH5101" s="67"/>
      <c r="EI5101" s="67"/>
      <c r="EJ5101" s="67"/>
      <c r="EK5101" s="94">
        <v>13.2</v>
      </c>
      <c r="EL5101" s="94">
        <v>16.7</v>
      </c>
      <c r="EM5101" s="67">
        <v>0.6</v>
      </c>
      <c r="EN5101" s="67">
        <v>0.2</v>
      </c>
      <c r="EO5101" s="67" t="s">
        <v>5760</v>
      </c>
      <c r="EP5101" s="67"/>
      <c r="EQ5101" s="67"/>
      <c r="ER5101" s="67"/>
      <c r="ES5101" s="67"/>
      <c r="ET5101" s="67"/>
      <c r="EU5101" s="67"/>
      <c r="EV5101" s="67"/>
      <c r="EW5101" s="67"/>
      <c r="EX5101" s="67"/>
      <c r="EY5101" s="67"/>
      <c r="EZ5101" s="67"/>
      <c r="FA5101" s="67"/>
      <c r="FB5101" s="67"/>
      <c r="FC5101" s="67"/>
      <c r="FD5101" s="67"/>
      <c r="FE5101" s="67"/>
      <c r="FF5101" s="67"/>
      <c r="FG5101" s="67"/>
      <c r="FH5101" s="67"/>
      <c r="FI5101" s="67"/>
      <c r="FJ5101" s="67"/>
      <c r="FK5101" s="67"/>
      <c r="FL5101" s="67"/>
      <c r="FM5101" s="67"/>
      <c r="FN5101" s="67"/>
      <c r="FO5101" s="67"/>
      <c r="FP5101" s="67"/>
      <c r="FQ5101" s="67"/>
      <c r="FR5101" s="67"/>
      <c r="FS5101" s="67"/>
      <c r="FT5101" s="67"/>
      <c r="FU5101" s="67"/>
      <c r="FV5101" s="67"/>
      <c r="FW5101" s="67"/>
      <c r="FX5101" s="67"/>
      <c r="FY5101" s="67"/>
      <c r="FZ5101" s="67"/>
      <c r="GA5101" s="67"/>
      <c r="GB5101" s="67"/>
      <c r="GC5101" s="67"/>
      <c r="GD5101" s="67"/>
      <c r="GE5101" s="67"/>
      <c r="GF5101" s="67"/>
      <c r="GG5101" s="67"/>
      <c r="GH5101" s="67"/>
      <c r="GI5101" s="67"/>
      <c r="GJ5101" s="67"/>
      <c r="GK5101" s="67"/>
      <c r="GL5101" s="67"/>
      <c r="GM5101" s="67"/>
      <c r="GN5101" s="292"/>
      <c r="GO5101" s="292"/>
      <c r="GP5101" s="292" t="s">
        <v>7494</v>
      </c>
      <c r="GQ5101" s="67"/>
      <c r="GR5101" s="67"/>
      <c r="GS5101" s="67"/>
      <c r="GT5101" s="67"/>
      <c r="GU5101" s="67"/>
      <c r="GV5101" s="67"/>
      <c r="GW5101" s="67"/>
      <c r="GX5101" s="67"/>
      <c r="GY5101" s="67"/>
      <c r="GZ5101" s="67"/>
      <c r="HA5101" s="67"/>
      <c r="HB5101" s="67"/>
      <c r="HC5101" s="67"/>
      <c r="HD5101" s="67">
        <v>4.9800000000000004</v>
      </c>
      <c r="HE5101" s="67">
        <v>32.65</v>
      </c>
      <c r="HF5101" s="67">
        <v>0.5</v>
      </c>
      <c r="HG5101" s="67">
        <v>4.5</v>
      </c>
      <c r="HH5101" s="67" t="s">
        <v>5759</v>
      </c>
      <c r="HI5101" s="67"/>
      <c r="HJ5101" s="67"/>
      <c r="HK5101" s="67"/>
      <c r="HL5101" s="67"/>
      <c r="HM5101" s="67"/>
      <c r="HN5101" s="67"/>
      <c r="HO5101" s="67"/>
      <c r="HP5101" s="67"/>
      <c r="HQ5101" s="67"/>
      <c r="HR5101" s="67"/>
      <c r="HS5101" s="67"/>
      <c r="HT5101" s="67"/>
      <c r="HU5101" s="67"/>
      <c r="HV5101" s="67"/>
      <c r="HW5101" s="67"/>
      <c r="HX5101" s="67">
        <v>245</v>
      </c>
      <c r="HY5101" s="67">
        <v>437</v>
      </c>
      <c r="HZ5101" s="67">
        <v>2.8</v>
      </c>
      <c r="IA5101" s="67">
        <v>1.8</v>
      </c>
      <c r="IB5101" s="67" t="s">
        <v>964</v>
      </c>
      <c r="IC5101" s="67">
        <v>23.4</v>
      </c>
      <c r="ID5101" s="67">
        <v>47.2</v>
      </c>
      <c r="IE5101" s="67">
        <v>1.2</v>
      </c>
      <c r="IF5101" s="67">
        <v>4.5999999999999996</v>
      </c>
      <c r="IG5101" s="67" t="s">
        <v>964</v>
      </c>
      <c r="IH5101" s="67"/>
      <c r="II5101" s="67"/>
      <c r="IJ5101" s="67"/>
      <c r="IK5101" s="67"/>
      <c r="IL5101" s="67"/>
      <c r="IM5101" s="67"/>
      <c r="IN5101" s="67"/>
      <c r="IO5101" s="67"/>
      <c r="IP5101" s="67"/>
      <c r="IQ5101" s="67"/>
      <c r="IR5101" s="67"/>
      <c r="IS5101" s="67"/>
      <c r="IT5101" s="67"/>
      <c r="IU5101" s="67"/>
      <c r="IV5101" s="67"/>
      <c r="IW5101" s="67"/>
      <c r="IX5101" s="67"/>
      <c r="IY5101" s="67"/>
      <c r="IZ5101" s="67"/>
      <c r="JA5101" s="67"/>
      <c r="JB5101" s="67"/>
      <c r="JC5101" s="67"/>
      <c r="JD5101" s="67"/>
      <c r="JE5101" s="67"/>
      <c r="JF5101" s="67"/>
      <c r="JG5101" s="67"/>
      <c r="JH5101" s="67"/>
      <c r="JI5101" s="67"/>
      <c r="JJ5101" s="67"/>
      <c r="JK5101" s="67"/>
      <c r="JL5101" s="67"/>
      <c r="JM5101" s="67"/>
      <c r="JN5101" s="67"/>
      <c r="JO5101" s="67"/>
      <c r="JP5101" s="67"/>
      <c r="JQ5101" s="67"/>
      <c r="JR5101" s="67"/>
      <c r="JS5101" s="67"/>
      <c r="JT5101" s="67">
        <v>99999</v>
      </c>
      <c r="JU5101" s="58"/>
      <c r="JV5101" s="58"/>
      <c r="JW5101" s="58"/>
    </row>
    <row r="5102" spans="1:283" s="23" customFormat="1" x14ac:dyDescent="0.25">
      <c r="A5102" s="55">
        <v>5101</v>
      </c>
      <c r="B5102" s="12" t="s">
        <v>7067</v>
      </c>
      <c r="C5102" s="156">
        <v>264</v>
      </c>
      <c r="D5102" s="58" t="s">
        <v>5765</v>
      </c>
      <c r="E5102" s="160" t="str">
        <f>G5102</f>
        <v>Pulleman et al 2003</v>
      </c>
      <c r="F5102" s="160"/>
      <c r="G5102" s="60" t="s">
        <v>4703</v>
      </c>
      <c r="H5102" s="58">
        <v>2003</v>
      </c>
      <c r="I5102" s="58" t="s">
        <v>5599</v>
      </c>
      <c r="J5102" s="243" t="s">
        <v>2167</v>
      </c>
      <c r="K5102" s="63" t="s">
        <v>5081</v>
      </c>
      <c r="L5102" s="58" t="s">
        <v>5328</v>
      </c>
      <c r="M5102" s="94">
        <v>52.13</v>
      </c>
      <c r="N5102" s="94">
        <v>5.29</v>
      </c>
      <c r="O5102" s="94">
        <v>25</v>
      </c>
      <c r="P5102" s="58"/>
      <c r="Q5102" s="244"/>
      <c r="R5102" s="58"/>
      <c r="S5102" s="245"/>
      <c r="T5102" s="58"/>
      <c r="U5102" s="244">
        <v>70</v>
      </c>
      <c r="V5102" s="244">
        <v>70</v>
      </c>
      <c r="W5102" s="174"/>
      <c r="X5102" s="174"/>
      <c r="Y5102" s="58" t="s">
        <v>5758</v>
      </c>
      <c r="Z5102" s="244" t="s">
        <v>1355</v>
      </c>
      <c r="AA5102" s="245">
        <v>10</v>
      </c>
      <c r="AB5102" s="67"/>
      <c r="AC5102" s="67"/>
      <c r="AD5102" s="94"/>
      <c r="AE5102" s="94">
        <f>(37.8+37.9)/2</f>
        <v>37.849999999999994</v>
      </c>
      <c r="AF5102" s="94">
        <f>(40.2+40)/2</f>
        <v>40.1</v>
      </c>
      <c r="AG5102" s="245">
        <v>22.05</v>
      </c>
      <c r="AH5102" s="58" t="s">
        <v>139</v>
      </c>
      <c r="AI5102" s="169" t="s">
        <v>5756</v>
      </c>
      <c r="AJ5102" s="94">
        <f>(16.2+14.6)/2*0.1*0.58</f>
        <v>0.89319999999999999</v>
      </c>
      <c r="AK5102" s="94">
        <f>(66.9+25.8)/2*0.1*0.58</f>
        <v>2.6883000000000004</v>
      </c>
      <c r="AL5102" s="58"/>
      <c r="AM5102" s="58" t="s">
        <v>5755</v>
      </c>
      <c r="AN5102" s="186"/>
      <c r="AO5102" s="185" t="s">
        <v>7494</v>
      </c>
      <c r="AP5102" s="58"/>
      <c r="AQ5102" s="58"/>
      <c r="AR5102" s="58" t="s">
        <v>5769</v>
      </c>
      <c r="AS5102" s="246" t="s">
        <v>4584</v>
      </c>
      <c r="AT5102" s="247">
        <v>1</v>
      </c>
      <c r="AU5102" s="181" t="s">
        <v>7494</v>
      </c>
      <c r="AV5102" s="185" t="s">
        <v>479</v>
      </c>
      <c r="AW5102" s="244">
        <v>1</v>
      </c>
      <c r="AX5102" s="185" t="s">
        <v>479</v>
      </c>
      <c r="AY5102" s="244" t="s">
        <v>176</v>
      </c>
      <c r="AZ5102" s="58"/>
      <c r="BA5102" s="58"/>
      <c r="BB5102" s="58"/>
      <c r="BC5102" s="58"/>
      <c r="BD5102" s="58"/>
      <c r="BE5102" s="236" t="s">
        <v>5215</v>
      </c>
      <c r="BF5102" s="191" t="s">
        <v>479</v>
      </c>
      <c r="BG5102" s="191" t="s">
        <v>479</v>
      </c>
      <c r="BH5102" s="236" t="s">
        <v>5283</v>
      </c>
      <c r="BI5102" s="191" t="s">
        <v>479</v>
      </c>
      <c r="BJ5102" s="58" t="str">
        <f>IF(BE5102=BH5102,"No","yes")</f>
        <v>yes</v>
      </c>
      <c r="BK5102" s="58" t="s">
        <v>6334</v>
      </c>
      <c r="BL5102" s="58"/>
      <c r="BM5102" s="237"/>
      <c r="BN5102" s="244">
        <v>4</v>
      </c>
      <c r="BO5102" s="244">
        <v>4</v>
      </c>
      <c r="BP5102" s="58"/>
      <c r="BQ5102" s="58"/>
      <c r="BR5102" s="58"/>
      <c r="BS5102" s="58"/>
      <c r="BT5102" s="58"/>
      <c r="BU5102" s="58"/>
      <c r="BV5102" s="58"/>
      <c r="BW5102" s="67"/>
      <c r="BX5102" s="67"/>
      <c r="BY5102" s="67"/>
      <c r="BZ5102" s="67"/>
      <c r="CA5102" s="67"/>
      <c r="CB5102" s="70"/>
      <c r="CC5102" s="70"/>
      <c r="CD5102" s="70"/>
      <c r="CE5102" s="67"/>
      <c r="CF5102" s="67"/>
      <c r="CG5102" s="67"/>
      <c r="CH5102" s="245"/>
      <c r="CI5102" s="245"/>
      <c r="CJ5102" s="67"/>
      <c r="CK5102" s="67"/>
      <c r="CL5102" s="67"/>
      <c r="CM5102" s="242"/>
      <c r="CN5102" s="242"/>
      <c r="CO5102" s="242"/>
      <c r="CP5102" s="242"/>
      <c r="CQ5102" s="242"/>
      <c r="CR5102" s="242"/>
      <c r="CS5102" s="242"/>
      <c r="CT5102" s="242"/>
      <c r="CU5102" s="242"/>
      <c r="CV5102" s="242"/>
      <c r="CW5102" s="242"/>
      <c r="CX5102" s="242"/>
      <c r="CY5102" s="242"/>
      <c r="CZ5102" s="242"/>
      <c r="DA5102" s="67" t="s">
        <v>5443</v>
      </c>
      <c r="DB5102" s="67"/>
      <c r="DC5102" s="67"/>
      <c r="DD5102" s="67"/>
      <c r="DE5102" s="67"/>
      <c r="DF5102" s="67"/>
      <c r="DG5102" s="67"/>
      <c r="DH5102" s="67"/>
      <c r="DI5102" s="67"/>
      <c r="DJ5102" s="67"/>
      <c r="DK5102" s="67"/>
      <c r="DL5102" s="67"/>
      <c r="DM5102" s="67"/>
      <c r="DN5102" s="67"/>
      <c r="DO5102" s="67"/>
      <c r="DP5102" s="67"/>
      <c r="DQ5102" s="166"/>
      <c r="DR5102" s="166"/>
      <c r="DS5102" s="163"/>
      <c r="DT5102" s="163"/>
      <c r="DU5102" s="67"/>
      <c r="DV5102" s="67"/>
      <c r="DW5102" s="67"/>
      <c r="DX5102" s="67"/>
      <c r="DY5102" s="67"/>
      <c r="DZ5102" s="67"/>
      <c r="EA5102" s="67"/>
      <c r="EB5102" s="67"/>
      <c r="EC5102" s="67"/>
      <c r="ED5102" s="67"/>
      <c r="EE5102" s="67"/>
      <c r="EF5102" s="67"/>
      <c r="EG5102" s="67"/>
      <c r="EH5102" s="67"/>
      <c r="EI5102" s="67"/>
      <c r="EJ5102" s="67"/>
      <c r="EK5102" s="94">
        <v>0.6</v>
      </c>
      <c r="EL5102" s="94">
        <v>5.3</v>
      </c>
      <c r="EM5102" s="67">
        <v>0.2</v>
      </c>
      <c r="EN5102" s="67">
        <v>2.2000000000000002</v>
      </c>
      <c r="EO5102" s="67" t="s">
        <v>5761</v>
      </c>
      <c r="EP5102" s="67"/>
      <c r="EQ5102" s="67"/>
      <c r="ER5102" s="67"/>
      <c r="ES5102" s="67"/>
      <c r="ET5102" s="67"/>
      <c r="EU5102" s="67"/>
      <c r="EV5102" s="67"/>
      <c r="EW5102" s="67"/>
      <c r="EX5102" s="67"/>
      <c r="EY5102" s="67"/>
      <c r="EZ5102" s="67"/>
      <c r="FA5102" s="67"/>
      <c r="FB5102" s="67"/>
      <c r="FC5102" s="67"/>
      <c r="FD5102" s="67"/>
      <c r="FE5102" s="67"/>
      <c r="FF5102" s="67"/>
      <c r="FG5102" s="67"/>
      <c r="FH5102" s="67"/>
      <c r="FI5102" s="67"/>
      <c r="FJ5102" s="67"/>
      <c r="FK5102" s="67"/>
      <c r="FL5102" s="67"/>
      <c r="FM5102" s="67"/>
      <c r="FN5102" s="67"/>
      <c r="FO5102" s="67"/>
      <c r="FP5102" s="67"/>
      <c r="FQ5102" s="67"/>
      <c r="FR5102" s="67"/>
      <c r="FS5102" s="67"/>
      <c r="FT5102" s="67"/>
      <c r="FU5102" s="67"/>
      <c r="FV5102" s="67"/>
      <c r="FW5102" s="67"/>
      <c r="FX5102" s="67"/>
      <c r="FY5102" s="67"/>
      <c r="FZ5102" s="67"/>
      <c r="GA5102" s="67"/>
      <c r="GB5102" s="67"/>
      <c r="GC5102" s="67"/>
      <c r="GD5102" s="67"/>
      <c r="GE5102" s="67"/>
      <c r="GF5102" s="67"/>
      <c r="GG5102" s="67"/>
      <c r="GH5102" s="67"/>
      <c r="GI5102" s="67"/>
      <c r="GJ5102" s="67"/>
      <c r="GK5102" s="67"/>
      <c r="GL5102" s="67"/>
      <c r="GM5102" s="67"/>
      <c r="GN5102" s="292"/>
      <c r="GO5102" s="292"/>
      <c r="GP5102" s="292" t="s">
        <v>7494</v>
      </c>
      <c r="GQ5102" s="67"/>
      <c r="GR5102" s="67"/>
      <c r="GS5102" s="67"/>
      <c r="GT5102" s="67"/>
      <c r="GU5102" s="67"/>
      <c r="GV5102" s="67"/>
      <c r="GW5102" s="67"/>
      <c r="GX5102" s="67"/>
      <c r="GY5102" s="67"/>
      <c r="GZ5102" s="67"/>
      <c r="HA5102" s="67"/>
      <c r="HB5102" s="67"/>
      <c r="HC5102" s="67"/>
      <c r="HD5102" s="67"/>
      <c r="HE5102" s="67"/>
      <c r="HF5102" s="67"/>
      <c r="HG5102" s="67"/>
      <c r="HH5102" s="67"/>
      <c r="HI5102" s="67"/>
      <c r="HJ5102" s="67"/>
      <c r="HK5102" s="67"/>
      <c r="HL5102" s="67"/>
      <c r="HM5102" s="67"/>
      <c r="HN5102" s="67"/>
      <c r="HO5102" s="67"/>
      <c r="HP5102" s="67"/>
      <c r="HQ5102" s="67"/>
      <c r="HR5102" s="67"/>
      <c r="HS5102" s="67"/>
      <c r="HT5102" s="67"/>
      <c r="HU5102" s="67"/>
      <c r="HV5102" s="67"/>
      <c r="HW5102" s="67"/>
      <c r="HX5102" s="67"/>
      <c r="HY5102" s="67"/>
      <c r="HZ5102" s="67"/>
      <c r="IA5102" s="67"/>
      <c r="IB5102" s="67"/>
      <c r="IC5102" s="67"/>
      <c r="ID5102" s="67"/>
      <c r="IE5102" s="67"/>
      <c r="IF5102" s="67"/>
      <c r="IG5102" s="67"/>
      <c r="IH5102" s="67"/>
      <c r="II5102" s="67"/>
      <c r="IJ5102" s="67"/>
      <c r="IK5102" s="67"/>
      <c r="IL5102" s="67"/>
      <c r="IM5102" s="67"/>
      <c r="IN5102" s="67"/>
      <c r="IO5102" s="67"/>
      <c r="IP5102" s="67"/>
      <c r="IQ5102" s="67"/>
      <c r="IR5102" s="67"/>
      <c r="IS5102" s="67"/>
      <c r="IT5102" s="67"/>
      <c r="IU5102" s="67"/>
      <c r="IV5102" s="67"/>
      <c r="IW5102" s="67"/>
      <c r="IX5102" s="67"/>
      <c r="IY5102" s="67"/>
      <c r="IZ5102" s="67"/>
      <c r="JA5102" s="67"/>
      <c r="JB5102" s="67"/>
      <c r="JC5102" s="67"/>
      <c r="JD5102" s="67"/>
      <c r="JE5102" s="67"/>
      <c r="JF5102" s="67"/>
      <c r="JG5102" s="67"/>
      <c r="JH5102" s="67"/>
      <c r="JI5102" s="67"/>
      <c r="JJ5102" s="67"/>
      <c r="JK5102" s="67"/>
      <c r="JL5102" s="67"/>
      <c r="JM5102" s="67"/>
      <c r="JN5102" s="67"/>
      <c r="JO5102" s="67"/>
      <c r="JP5102" s="67"/>
      <c r="JQ5102" s="67"/>
      <c r="JR5102" s="67"/>
      <c r="JS5102" s="67"/>
      <c r="JT5102" s="67">
        <v>99999</v>
      </c>
      <c r="JU5102" s="58"/>
      <c r="JV5102" s="58"/>
      <c r="JW5102" s="58"/>
    </row>
    <row r="5103" spans="1:283" s="23" customFormat="1" x14ac:dyDescent="0.25">
      <c r="A5103" s="55">
        <v>5102</v>
      </c>
      <c r="B5103" s="12" t="s">
        <v>7067</v>
      </c>
      <c r="C5103" s="156">
        <v>264</v>
      </c>
      <c r="D5103" s="58" t="s">
        <v>5766</v>
      </c>
      <c r="E5103" s="160" t="str">
        <f>G5103</f>
        <v>Pulleman et al 2003</v>
      </c>
      <c r="F5103" s="160"/>
      <c r="G5103" s="60" t="s">
        <v>4703</v>
      </c>
      <c r="H5103" s="58">
        <v>2003</v>
      </c>
      <c r="I5103" s="58" t="s">
        <v>5599</v>
      </c>
      <c r="J5103" s="243" t="s">
        <v>2167</v>
      </c>
      <c r="K5103" s="63" t="s">
        <v>5081</v>
      </c>
      <c r="L5103" s="58" t="s">
        <v>5328</v>
      </c>
      <c r="M5103" s="94">
        <v>52.13</v>
      </c>
      <c r="N5103" s="94">
        <v>5.29</v>
      </c>
      <c r="O5103" s="94">
        <v>25</v>
      </c>
      <c r="P5103" s="58"/>
      <c r="Q5103" s="244"/>
      <c r="R5103" s="58"/>
      <c r="S5103" s="245"/>
      <c r="T5103" s="58"/>
      <c r="U5103" s="244">
        <v>70</v>
      </c>
      <c r="V5103" s="244">
        <v>70</v>
      </c>
      <c r="W5103" s="174"/>
      <c r="X5103" s="174"/>
      <c r="Y5103" s="58" t="s">
        <v>5758</v>
      </c>
      <c r="Z5103" s="244" t="s">
        <v>1359</v>
      </c>
      <c r="AA5103" s="245">
        <v>10</v>
      </c>
      <c r="AB5103" s="67"/>
      <c r="AC5103" s="67"/>
      <c r="AD5103" s="94"/>
      <c r="AE5103" s="94">
        <f>(37.8+37.9)/2</f>
        <v>37.849999999999994</v>
      </c>
      <c r="AF5103" s="94">
        <f>(40.2+40)/2</f>
        <v>40.1</v>
      </c>
      <c r="AG5103" s="245">
        <v>22.05</v>
      </c>
      <c r="AH5103" s="58" t="s">
        <v>139</v>
      </c>
      <c r="AI5103" s="169" t="s">
        <v>5757</v>
      </c>
      <c r="AJ5103" s="94">
        <f>(16.2+14.6)/2*0.1*0.58</f>
        <v>0.89319999999999999</v>
      </c>
      <c r="AK5103" s="94">
        <f>(66.9+25.8)/2*0.1*0.58</f>
        <v>2.6883000000000004</v>
      </c>
      <c r="AL5103" s="58"/>
      <c r="AM5103" s="58" t="s">
        <v>5755</v>
      </c>
      <c r="AN5103" s="186"/>
      <c r="AO5103" s="185" t="s">
        <v>7494</v>
      </c>
      <c r="AP5103" s="58"/>
      <c r="AQ5103" s="58"/>
      <c r="AR5103" s="58" t="s">
        <v>5769</v>
      </c>
      <c r="AS5103" s="246" t="s">
        <v>4584</v>
      </c>
      <c r="AT5103" s="247">
        <v>1</v>
      </c>
      <c r="AU5103" s="181" t="s">
        <v>7494</v>
      </c>
      <c r="AV5103" s="185" t="s">
        <v>479</v>
      </c>
      <c r="AW5103" s="244">
        <v>1</v>
      </c>
      <c r="AX5103" s="185" t="s">
        <v>479</v>
      </c>
      <c r="AY5103" s="244" t="s">
        <v>176</v>
      </c>
      <c r="AZ5103" s="58"/>
      <c r="BA5103" s="58"/>
      <c r="BB5103" s="58"/>
      <c r="BC5103" s="58"/>
      <c r="BD5103" s="58"/>
      <c r="BE5103" s="236" t="s">
        <v>5215</v>
      </c>
      <c r="BF5103" s="191" t="s">
        <v>479</v>
      </c>
      <c r="BG5103" s="191" t="s">
        <v>479</v>
      </c>
      <c r="BH5103" s="236" t="s">
        <v>5283</v>
      </c>
      <c r="BI5103" s="191" t="s">
        <v>479</v>
      </c>
      <c r="BJ5103" s="58" t="str">
        <f>IF(BE5103=BH5103,"No","yes")</f>
        <v>yes</v>
      </c>
      <c r="BK5103" s="58" t="s">
        <v>6334</v>
      </c>
      <c r="BL5103" s="58"/>
      <c r="BM5103" s="237"/>
      <c r="BN5103" s="244">
        <v>4</v>
      </c>
      <c r="BO5103" s="244">
        <v>4</v>
      </c>
      <c r="BP5103" s="58"/>
      <c r="BQ5103" s="58"/>
      <c r="BR5103" s="58"/>
      <c r="BS5103" s="58"/>
      <c r="BT5103" s="58"/>
      <c r="BU5103" s="58"/>
      <c r="BV5103" s="58"/>
      <c r="BW5103" s="67"/>
      <c r="BX5103" s="67"/>
      <c r="BY5103" s="67"/>
      <c r="BZ5103" s="67"/>
      <c r="CA5103" s="67"/>
      <c r="CB5103" s="70"/>
      <c r="CC5103" s="70"/>
      <c r="CD5103" s="70"/>
      <c r="CE5103" s="67"/>
      <c r="CF5103" s="67"/>
      <c r="CG5103" s="67"/>
      <c r="CH5103" s="245"/>
      <c r="CI5103" s="245"/>
      <c r="CJ5103" s="67"/>
      <c r="CK5103" s="67"/>
      <c r="CL5103" s="67"/>
      <c r="CM5103" s="242"/>
      <c r="CN5103" s="242"/>
      <c r="CO5103" s="242"/>
      <c r="CP5103" s="242"/>
      <c r="CQ5103" s="242"/>
      <c r="CR5103" s="242"/>
      <c r="CS5103" s="242"/>
      <c r="CT5103" s="242"/>
      <c r="CU5103" s="242"/>
      <c r="CV5103" s="242"/>
      <c r="CW5103" s="242"/>
      <c r="CX5103" s="242"/>
      <c r="CY5103" s="242"/>
      <c r="CZ5103" s="242"/>
      <c r="DA5103" s="67" t="s">
        <v>5443</v>
      </c>
      <c r="DB5103" s="67"/>
      <c r="DC5103" s="67"/>
      <c r="DD5103" s="67"/>
      <c r="DE5103" s="67"/>
      <c r="DF5103" s="67"/>
      <c r="DG5103" s="67"/>
      <c r="DH5103" s="67"/>
      <c r="DI5103" s="67"/>
      <c r="DJ5103" s="67"/>
      <c r="DK5103" s="67"/>
      <c r="DL5103" s="67"/>
      <c r="DM5103" s="67"/>
      <c r="DN5103" s="67"/>
      <c r="DO5103" s="67"/>
      <c r="DP5103" s="67"/>
      <c r="DQ5103" s="166"/>
      <c r="DR5103" s="166"/>
      <c r="DS5103" s="163"/>
      <c r="DT5103" s="163"/>
      <c r="DU5103" s="67"/>
      <c r="DV5103" s="67"/>
      <c r="DW5103" s="67"/>
      <c r="DX5103" s="67"/>
      <c r="DY5103" s="67"/>
      <c r="DZ5103" s="67"/>
      <c r="EA5103" s="67"/>
      <c r="EB5103" s="67"/>
      <c r="EC5103" s="67"/>
      <c r="ED5103" s="67"/>
      <c r="EE5103" s="67"/>
      <c r="EF5103" s="67"/>
      <c r="EG5103" s="67"/>
      <c r="EH5103" s="67"/>
      <c r="EI5103" s="67"/>
      <c r="EJ5103" s="67"/>
      <c r="EK5103" s="94">
        <v>0.5</v>
      </c>
      <c r="EL5103" s="94">
        <v>3.7</v>
      </c>
      <c r="EM5103" s="67">
        <v>0.4</v>
      </c>
      <c r="EN5103" s="67">
        <v>0.8</v>
      </c>
      <c r="EO5103" s="67" t="s">
        <v>5761</v>
      </c>
      <c r="EP5103" s="67"/>
      <c r="EQ5103" s="67"/>
      <c r="ER5103" s="67"/>
      <c r="ES5103" s="67"/>
      <c r="ET5103" s="67"/>
      <c r="EU5103" s="67"/>
      <c r="EV5103" s="67"/>
      <c r="EW5103" s="67"/>
      <c r="EX5103" s="67"/>
      <c r="EY5103" s="67"/>
      <c r="EZ5103" s="67"/>
      <c r="FA5103" s="67"/>
      <c r="FB5103" s="67"/>
      <c r="FC5103" s="67"/>
      <c r="FD5103" s="67"/>
      <c r="FE5103" s="67"/>
      <c r="FF5103" s="67"/>
      <c r="FG5103" s="67"/>
      <c r="FH5103" s="67"/>
      <c r="FI5103" s="67"/>
      <c r="FJ5103" s="67"/>
      <c r="FK5103" s="67"/>
      <c r="FL5103" s="67"/>
      <c r="FM5103" s="67"/>
      <c r="FN5103" s="67"/>
      <c r="FO5103" s="67"/>
      <c r="FP5103" s="67"/>
      <c r="FQ5103" s="67"/>
      <c r="FR5103" s="67"/>
      <c r="FS5103" s="67"/>
      <c r="FT5103" s="67"/>
      <c r="FU5103" s="67"/>
      <c r="FV5103" s="67"/>
      <c r="FW5103" s="67"/>
      <c r="FX5103" s="67"/>
      <c r="FY5103" s="67"/>
      <c r="FZ5103" s="67"/>
      <c r="GA5103" s="67"/>
      <c r="GB5103" s="67"/>
      <c r="GC5103" s="67"/>
      <c r="GD5103" s="67"/>
      <c r="GE5103" s="67"/>
      <c r="GF5103" s="67"/>
      <c r="GG5103" s="67"/>
      <c r="GH5103" s="67"/>
      <c r="GI5103" s="67"/>
      <c r="GJ5103" s="67"/>
      <c r="GK5103" s="67"/>
      <c r="GL5103" s="67"/>
      <c r="GM5103" s="67"/>
      <c r="GN5103" s="292"/>
      <c r="GO5103" s="292"/>
      <c r="GP5103" s="292" t="s">
        <v>7494</v>
      </c>
      <c r="GQ5103" s="67"/>
      <c r="GR5103" s="67"/>
      <c r="GS5103" s="67"/>
      <c r="GT5103" s="67"/>
      <c r="GU5103" s="67"/>
      <c r="GV5103" s="67"/>
      <c r="GW5103" s="67"/>
      <c r="GX5103" s="67"/>
      <c r="GY5103" s="67"/>
      <c r="GZ5103" s="67"/>
      <c r="HA5103" s="67"/>
      <c r="HB5103" s="67"/>
      <c r="HC5103" s="67"/>
      <c r="HD5103" s="67"/>
      <c r="HE5103" s="67"/>
      <c r="HF5103" s="67"/>
      <c r="HG5103" s="67"/>
      <c r="HH5103" s="67"/>
      <c r="HI5103" s="67"/>
      <c r="HJ5103" s="67"/>
      <c r="HK5103" s="67"/>
      <c r="HL5103" s="67"/>
      <c r="HM5103" s="67"/>
      <c r="HN5103" s="67"/>
      <c r="HO5103" s="67"/>
      <c r="HP5103" s="67"/>
      <c r="HQ5103" s="67"/>
      <c r="HR5103" s="67"/>
      <c r="HS5103" s="67"/>
      <c r="HT5103" s="67"/>
      <c r="HU5103" s="67"/>
      <c r="HV5103" s="67"/>
      <c r="HW5103" s="67"/>
      <c r="HX5103" s="67"/>
      <c r="HY5103" s="67"/>
      <c r="HZ5103" s="67"/>
      <c r="IA5103" s="67"/>
      <c r="IB5103" s="67"/>
      <c r="IC5103" s="67"/>
      <c r="ID5103" s="67"/>
      <c r="IE5103" s="67"/>
      <c r="IF5103" s="67"/>
      <c r="IG5103" s="67"/>
      <c r="IH5103" s="67"/>
      <c r="II5103" s="67"/>
      <c r="IJ5103" s="67"/>
      <c r="IK5103" s="67"/>
      <c r="IL5103" s="67"/>
      <c r="IM5103" s="67"/>
      <c r="IN5103" s="67"/>
      <c r="IO5103" s="67"/>
      <c r="IP5103" s="67"/>
      <c r="IQ5103" s="67"/>
      <c r="IR5103" s="67"/>
      <c r="IS5103" s="67"/>
      <c r="IT5103" s="67"/>
      <c r="IU5103" s="67"/>
      <c r="IV5103" s="67"/>
      <c r="IW5103" s="67"/>
      <c r="IX5103" s="67"/>
      <c r="IY5103" s="67"/>
      <c r="IZ5103" s="67"/>
      <c r="JA5103" s="67"/>
      <c r="JB5103" s="67"/>
      <c r="JC5103" s="67"/>
      <c r="JD5103" s="67"/>
      <c r="JE5103" s="67"/>
      <c r="JF5103" s="67"/>
      <c r="JG5103" s="67"/>
      <c r="JH5103" s="67"/>
      <c r="JI5103" s="67"/>
      <c r="JJ5103" s="67"/>
      <c r="JK5103" s="67"/>
      <c r="JL5103" s="67"/>
      <c r="JM5103" s="67"/>
      <c r="JN5103" s="67"/>
      <c r="JO5103" s="67"/>
      <c r="JP5103" s="67"/>
      <c r="JQ5103" s="67"/>
      <c r="JR5103" s="67"/>
      <c r="JS5103" s="67"/>
      <c r="JT5103" s="67">
        <v>99999</v>
      </c>
      <c r="JU5103" s="58"/>
      <c r="JV5103" s="58"/>
      <c r="JW5103" s="58"/>
    </row>
    <row r="5104" spans="1:283" s="23" customFormat="1" x14ac:dyDescent="0.25">
      <c r="A5104" s="55">
        <v>5103</v>
      </c>
      <c r="B5104" s="12" t="s">
        <v>7067</v>
      </c>
      <c r="C5104" s="156">
        <v>264</v>
      </c>
      <c r="D5104" s="58" t="s">
        <v>5767</v>
      </c>
      <c r="E5104" s="160" t="str">
        <f>G5104</f>
        <v>Pulleman et al 2003</v>
      </c>
      <c r="F5104" s="160"/>
      <c r="G5104" s="60" t="s">
        <v>4703</v>
      </c>
      <c r="H5104" s="58">
        <v>2003</v>
      </c>
      <c r="I5104" s="58" t="s">
        <v>5599</v>
      </c>
      <c r="J5104" s="243" t="s">
        <v>2167</v>
      </c>
      <c r="K5104" s="63" t="s">
        <v>5081</v>
      </c>
      <c r="L5104" s="58" t="s">
        <v>5328</v>
      </c>
      <c r="M5104" s="94">
        <v>52.13</v>
      </c>
      <c r="N5104" s="94">
        <v>5.29</v>
      </c>
      <c r="O5104" s="94">
        <v>25</v>
      </c>
      <c r="P5104" s="58"/>
      <c r="Q5104" s="244"/>
      <c r="R5104" s="58"/>
      <c r="S5104" s="245"/>
      <c r="T5104" s="58"/>
      <c r="U5104" s="244">
        <v>70</v>
      </c>
      <c r="V5104" s="244">
        <v>70</v>
      </c>
      <c r="W5104" s="174"/>
      <c r="X5104" s="174"/>
      <c r="Y5104" s="58" t="s">
        <v>5758</v>
      </c>
      <c r="Z5104" s="244" t="s">
        <v>1355</v>
      </c>
      <c r="AA5104" s="245">
        <v>10</v>
      </c>
      <c r="AB5104" s="67"/>
      <c r="AC5104" s="67"/>
      <c r="AD5104" s="94"/>
      <c r="AE5104" s="94">
        <f>(37.8+37.9)/2</f>
        <v>37.849999999999994</v>
      </c>
      <c r="AF5104" s="94">
        <f>(40.2+40)/2</f>
        <v>40.1</v>
      </c>
      <c r="AG5104" s="245">
        <v>22.05</v>
      </c>
      <c r="AH5104" s="58" t="s">
        <v>139</v>
      </c>
      <c r="AI5104" s="169" t="s">
        <v>5756</v>
      </c>
      <c r="AJ5104" s="94">
        <f>(16.2+14.6)/2*0.1*0.58</f>
        <v>0.89319999999999999</v>
      </c>
      <c r="AK5104" s="94">
        <f>(66.9+25.8)/2*0.1*0.58</f>
        <v>2.6883000000000004</v>
      </c>
      <c r="AL5104" s="58"/>
      <c r="AM5104" s="58" t="s">
        <v>5755</v>
      </c>
      <c r="AN5104" s="186"/>
      <c r="AO5104" s="185" t="s">
        <v>7494</v>
      </c>
      <c r="AP5104" s="58"/>
      <c r="AQ5104" s="58"/>
      <c r="AR5104" s="58" t="s">
        <v>5769</v>
      </c>
      <c r="AS5104" s="246" t="s">
        <v>4584</v>
      </c>
      <c r="AT5104" s="247">
        <v>1</v>
      </c>
      <c r="AU5104" s="181" t="s">
        <v>7494</v>
      </c>
      <c r="AV5104" s="185" t="s">
        <v>479</v>
      </c>
      <c r="AW5104" s="244">
        <v>1</v>
      </c>
      <c r="AX5104" s="185" t="s">
        <v>479</v>
      </c>
      <c r="AY5104" s="244" t="s">
        <v>176</v>
      </c>
      <c r="AZ5104" s="58"/>
      <c r="BA5104" s="58"/>
      <c r="BB5104" s="58"/>
      <c r="BC5104" s="58"/>
      <c r="BD5104" s="58"/>
      <c r="BE5104" s="236" t="s">
        <v>5215</v>
      </c>
      <c r="BF5104" s="191" t="s">
        <v>479</v>
      </c>
      <c r="BG5104" s="191" t="s">
        <v>479</v>
      </c>
      <c r="BH5104" s="236" t="s">
        <v>5283</v>
      </c>
      <c r="BI5104" s="191" t="s">
        <v>479</v>
      </c>
      <c r="BJ5104" s="58" t="str">
        <f>IF(BE5104=BH5104,"No","yes")</f>
        <v>yes</v>
      </c>
      <c r="BK5104" s="58" t="s">
        <v>6334</v>
      </c>
      <c r="BL5104" s="58"/>
      <c r="BM5104" s="237"/>
      <c r="BN5104" s="244">
        <v>4</v>
      </c>
      <c r="BO5104" s="244">
        <v>4</v>
      </c>
      <c r="BP5104" s="58"/>
      <c r="BQ5104" s="58"/>
      <c r="BR5104" s="58"/>
      <c r="BS5104" s="58"/>
      <c r="BT5104" s="58"/>
      <c r="BU5104" s="58"/>
      <c r="BV5104" s="58"/>
      <c r="BW5104" s="67"/>
      <c r="BX5104" s="67"/>
      <c r="BY5104" s="67"/>
      <c r="BZ5104" s="67"/>
      <c r="CA5104" s="67"/>
      <c r="CB5104" s="70"/>
      <c r="CC5104" s="70"/>
      <c r="CD5104" s="70"/>
      <c r="CE5104" s="67"/>
      <c r="CF5104" s="67"/>
      <c r="CG5104" s="67"/>
      <c r="CH5104" s="245"/>
      <c r="CI5104" s="245"/>
      <c r="CJ5104" s="67"/>
      <c r="CK5104" s="67"/>
      <c r="CL5104" s="67"/>
      <c r="CM5104" s="242"/>
      <c r="CN5104" s="242"/>
      <c r="CO5104" s="242"/>
      <c r="CP5104" s="242"/>
      <c r="CQ5104" s="242"/>
      <c r="CR5104" s="242"/>
      <c r="CS5104" s="242"/>
      <c r="CT5104" s="242"/>
      <c r="CU5104" s="242"/>
      <c r="CV5104" s="242"/>
      <c r="CW5104" s="242"/>
      <c r="CX5104" s="242"/>
      <c r="CY5104" s="242"/>
      <c r="CZ5104" s="242"/>
      <c r="DA5104" s="67" t="s">
        <v>5443</v>
      </c>
      <c r="DB5104" s="67"/>
      <c r="DC5104" s="67"/>
      <c r="DD5104" s="67"/>
      <c r="DE5104" s="67"/>
      <c r="DF5104" s="67"/>
      <c r="DG5104" s="67"/>
      <c r="DH5104" s="67"/>
      <c r="DI5104" s="67"/>
      <c r="DJ5104" s="67"/>
      <c r="DK5104" s="67"/>
      <c r="DL5104" s="67"/>
      <c r="DM5104" s="67"/>
      <c r="DN5104" s="67"/>
      <c r="DO5104" s="67"/>
      <c r="DP5104" s="67"/>
      <c r="DQ5104" s="166"/>
      <c r="DR5104" s="166"/>
      <c r="DS5104" s="163"/>
      <c r="DT5104" s="163"/>
      <c r="DU5104" s="67"/>
      <c r="DV5104" s="67"/>
      <c r="DW5104" s="67"/>
      <c r="DX5104" s="67"/>
      <c r="DY5104" s="67"/>
      <c r="DZ5104" s="67"/>
      <c r="EA5104" s="67"/>
      <c r="EB5104" s="67"/>
      <c r="EC5104" s="67"/>
      <c r="ED5104" s="67"/>
      <c r="EE5104" s="67"/>
      <c r="EF5104" s="67"/>
      <c r="EG5104" s="67"/>
      <c r="EH5104" s="67"/>
      <c r="EI5104" s="67"/>
      <c r="EJ5104" s="67"/>
      <c r="EK5104" s="94">
        <v>43.7</v>
      </c>
      <c r="EL5104" s="94">
        <v>75</v>
      </c>
      <c r="EM5104" s="67">
        <v>8.4</v>
      </c>
      <c r="EN5104" s="67">
        <v>3.6</v>
      </c>
      <c r="EO5104" s="67" t="s">
        <v>5762</v>
      </c>
      <c r="EP5104" s="67"/>
      <c r="EQ5104" s="67"/>
      <c r="ER5104" s="67"/>
      <c r="ES5104" s="67"/>
      <c r="ET5104" s="67"/>
      <c r="EU5104" s="67"/>
      <c r="EV5104" s="67"/>
      <c r="EW5104" s="67"/>
      <c r="EX5104" s="67"/>
      <c r="EY5104" s="67"/>
      <c r="EZ5104" s="67"/>
      <c r="FA5104" s="67"/>
      <c r="FB5104" s="67"/>
      <c r="FC5104" s="67"/>
      <c r="FD5104" s="67"/>
      <c r="FE5104" s="67"/>
      <c r="FF5104" s="67"/>
      <c r="FG5104" s="67"/>
      <c r="FH5104" s="67"/>
      <c r="FI5104" s="67"/>
      <c r="FJ5104" s="67"/>
      <c r="FK5104" s="67"/>
      <c r="FL5104" s="67"/>
      <c r="FM5104" s="67"/>
      <c r="FN5104" s="67"/>
      <c r="FO5104" s="67"/>
      <c r="FP5104" s="67"/>
      <c r="FQ5104" s="67"/>
      <c r="FR5104" s="67"/>
      <c r="FS5104" s="67"/>
      <c r="FT5104" s="67"/>
      <c r="FU5104" s="67"/>
      <c r="FV5104" s="67"/>
      <c r="FW5104" s="67"/>
      <c r="FX5104" s="67"/>
      <c r="FY5104" s="67"/>
      <c r="FZ5104" s="67"/>
      <c r="GA5104" s="67"/>
      <c r="GB5104" s="67"/>
      <c r="GC5104" s="67"/>
      <c r="GD5104" s="67"/>
      <c r="GE5104" s="67"/>
      <c r="GF5104" s="67"/>
      <c r="GG5104" s="67"/>
      <c r="GH5104" s="67"/>
      <c r="GI5104" s="67"/>
      <c r="GJ5104" s="67"/>
      <c r="GK5104" s="67"/>
      <c r="GL5104" s="67"/>
      <c r="GM5104" s="67"/>
      <c r="GN5104" s="292"/>
      <c r="GO5104" s="292"/>
      <c r="GP5104" s="292" t="s">
        <v>7494</v>
      </c>
      <c r="GQ5104" s="67"/>
      <c r="GR5104" s="67"/>
      <c r="GS5104" s="67"/>
      <c r="GT5104" s="67"/>
      <c r="GU5104" s="67"/>
      <c r="GV5104" s="67"/>
      <c r="GW5104" s="67"/>
      <c r="GX5104" s="67"/>
      <c r="GY5104" s="67"/>
      <c r="GZ5104" s="67"/>
      <c r="HA5104" s="67"/>
      <c r="HB5104" s="67"/>
      <c r="HC5104" s="67"/>
      <c r="HD5104" s="67"/>
      <c r="HE5104" s="67"/>
      <c r="HF5104" s="67"/>
      <c r="HG5104" s="67"/>
      <c r="HH5104" s="67"/>
      <c r="HI5104" s="67"/>
      <c r="HJ5104" s="67"/>
      <c r="HK5104" s="67"/>
      <c r="HL5104" s="67"/>
      <c r="HM5104" s="67"/>
      <c r="HN5104" s="67"/>
      <c r="HO5104" s="67"/>
      <c r="HP5104" s="67"/>
      <c r="HQ5104" s="67"/>
      <c r="HR5104" s="67"/>
      <c r="HS5104" s="67"/>
      <c r="HT5104" s="67"/>
      <c r="HU5104" s="67"/>
      <c r="HV5104" s="67"/>
      <c r="HW5104" s="67"/>
      <c r="HX5104" s="67"/>
      <c r="HY5104" s="67"/>
      <c r="HZ5104" s="67"/>
      <c r="IA5104" s="67"/>
      <c r="IB5104" s="67"/>
      <c r="IC5104" s="67"/>
      <c r="ID5104" s="67"/>
      <c r="IE5104" s="67"/>
      <c r="IF5104" s="67"/>
      <c r="IG5104" s="67"/>
      <c r="IH5104" s="67"/>
      <c r="II5104" s="67"/>
      <c r="IJ5104" s="67"/>
      <c r="IK5104" s="67"/>
      <c r="IL5104" s="67"/>
      <c r="IM5104" s="67"/>
      <c r="IN5104" s="67"/>
      <c r="IO5104" s="67"/>
      <c r="IP5104" s="67"/>
      <c r="IQ5104" s="67"/>
      <c r="IR5104" s="67"/>
      <c r="IS5104" s="67"/>
      <c r="IT5104" s="67"/>
      <c r="IU5104" s="67"/>
      <c r="IV5104" s="67"/>
      <c r="IW5104" s="67"/>
      <c r="IX5104" s="67"/>
      <c r="IY5104" s="67"/>
      <c r="IZ5104" s="67"/>
      <c r="JA5104" s="67"/>
      <c r="JB5104" s="67"/>
      <c r="JC5104" s="67"/>
      <c r="JD5104" s="67"/>
      <c r="JE5104" s="67"/>
      <c r="JF5104" s="67"/>
      <c r="JG5104" s="67"/>
      <c r="JH5104" s="67"/>
      <c r="JI5104" s="67"/>
      <c r="JJ5104" s="67"/>
      <c r="JK5104" s="67"/>
      <c r="JL5104" s="67"/>
      <c r="JM5104" s="67"/>
      <c r="JN5104" s="67"/>
      <c r="JO5104" s="67"/>
      <c r="JP5104" s="67"/>
      <c r="JQ5104" s="67"/>
      <c r="JR5104" s="67"/>
      <c r="JS5104" s="67"/>
      <c r="JT5104" s="67">
        <v>99999</v>
      </c>
      <c r="JU5104" s="58"/>
      <c r="JV5104" s="58"/>
      <c r="JW5104" s="58"/>
    </row>
    <row r="5105" spans="1:283" s="23" customFormat="1" x14ac:dyDescent="0.25">
      <c r="A5105" s="55">
        <v>5104</v>
      </c>
      <c r="B5105" s="12" t="s">
        <v>7067</v>
      </c>
      <c r="C5105" s="156">
        <v>264</v>
      </c>
      <c r="D5105" s="58" t="s">
        <v>5768</v>
      </c>
      <c r="E5105" s="160" t="str">
        <f>G5105</f>
        <v>Pulleman et al 2003</v>
      </c>
      <c r="F5105" s="160"/>
      <c r="G5105" s="60" t="s">
        <v>4703</v>
      </c>
      <c r="H5105" s="58">
        <v>2003</v>
      </c>
      <c r="I5105" s="58" t="s">
        <v>5599</v>
      </c>
      <c r="J5105" s="243" t="s">
        <v>2167</v>
      </c>
      <c r="K5105" s="63" t="s">
        <v>5081</v>
      </c>
      <c r="L5105" s="58" t="s">
        <v>5328</v>
      </c>
      <c r="M5105" s="94">
        <v>52.13</v>
      </c>
      <c r="N5105" s="94">
        <v>5.29</v>
      </c>
      <c r="O5105" s="94">
        <v>25</v>
      </c>
      <c r="P5105" s="58"/>
      <c r="Q5105" s="244"/>
      <c r="R5105" s="58"/>
      <c r="S5105" s="245"/>
      <c r="T5105" s="58"/>
      <c r="U5105" s="244">
        <v>70</v>
      </c>
      <c r="V5105" s="244">
        <v>70</v>
      </c>
      <c r="W5105" s="174"/>
      <c r="X5105" s="174"/>
      <c r="Y5105" s="58" t="s">
        <v>5758</v>
      </c>
      <c r="Z5105" s="244" t="s">
        <v>1359</v>
      </c>
      <c r="AA5105" s="245">
        <v>10</v>
      </c>
      <c r="AB5105" s="67"/>
      <c r="AC5105" s="67"/>
      <c r="AD5105" s="94"/>
      <c r="AE5105" s="94">
        <f>(37.8+37.9)/2</f>
        <v>37.849999999999994</v>
      </c>
      <c r="AF5105" s="94">
        <f>(40.2+40)/2</f>
        <v>40.1</v>
      </c>
      <c r="AG5105" s="245">
        <v>22.05</v>
      </c>
      <c r="AH5105" s="58" t="s">
        <v>139</v>
      </c>
      <c r="AI5105" s="169" t="s">
        <v>5757</v>
      </c>
      <c r="AJ5105" s="94">
        <f>(16.2+14.6)/2*0.1*0.58</f>
        <v>0.89319999999999999</v>
      </c>
      <c r="AK5105" s="94">
        <f>(66.9+25.8)/2*0.1*0.58</f>
        <v>2.6883000000000004</v>
      </c>
      <c r="AL5105" s="58"/>
      <c r="AM5105" s="58" t="s">
        <v>5755</v>
      </c>
      <c r="AN5105" s="186"/>
      <c r="AO5105" s="185" t="s">
        <v>7494</v>
      </c>
      <c r="AP5105" s="58"/>
      <c r="AQ5105" s="58"/>
      <c r="AR5105" s="58" t="s">
        <v>5769</v>
      </c>
      <c r="AS5105" s="246" t="s">
        <v>4584</v>
      </c>
      <c r="AT5105" s="247">
        <v>1</v>
      </c>
      <c r="AU5105" s="181" t="s">
        <v>7494</v>
      </c>
      <c r="AV5105" s="185" t="s">
        <v>479</v>
      </c>
      <c r="AW5105" s="244">
        <v>1</v>
      </c>
      <c r="AX5105" s="185" t="s">
        <v>479</v>
      </c>
      <c r="AY5105" s="244" t="s">
        <v>176</v>
      </c>
      <c r="AZ5105" s="58"/>
      <c r="BA5105" s="58"/>
      <c r="BB5105" s="58"/>
      <c r="BC5105" s="58"/>
      <c r="BD5105" s="58"/>
      <c r="BE5105" s="236" t="s">
        <v>5215</v>
      </c>
      <c r="BF5105" s="191" t="s">
        <v>479</v>
      </c>
      <c r="BG5105" s="191" t="s">
        <v>479</v>
      </c>
      <c r="BH5105" s="236" t="s">
        <v>5283</v>
      </c>
      <c r="BI5105" s="191" t="s">
        <v>479</v>
      </c>
      <c r="BJ5105" s="58" t="str">
        <f>IF(BE5105=BH5105,"No","yes")</f>
        <v>yes</v>
      </c>
      <c r="BK5105" s="58" t="s">
        <v>6334</v>
      </c>
      <c r="BL5105" s="58"/>
      <c r="BM5105" s="237"/>
      <c r="BN5105" s="244">
        <v>4</v>
      </c>
      <c r="BO5105" s="244">
        <v>4</v>
      </c>
      <c r="BP5105" s="58"/>
      <c r="BQ5105" s="58"/>
      <c r="BR5105" s="58"/>
      <c r="BS5105" s="58"/>
      <c r="BT5105" s="58"/>
      <c r="BU5105" s="58"/>
      <c r="BV5105" s="58"/>
      <c r="BW5105" s="67"/>
      <c r="BX5105" s="67"/>
      <c r="BY5105" s="67"/>
      <c r="BZ5105" s="67"/>
      <c r="CA5105" s="67"/>
      <c r="CB5105" s="70"/>
      <c r="CC5105" s="70"/>
      <c r="CD5105" s="70"/>
      <c r="CE5105" s="67"/>
      <c r="CF5105" s="67"/>
      <c r="CG5105" s="67"/>
      <c r="CH5105" s="245"/>
      <c r="CI5105" s="245"/>
      <c r="CJ5105" s="67"/>
      <c r="CK5105" s="67"/>
      <c r="CL5105" s="67"/>
      <c r="CM5105" s="242"/>
      <c r="CN5105" s="242"/>
      <c r="CO5105" s="242"/>
      <c r="CP5105" s="242"/>
      <c r="CQ5105" s="242"/>
      <c r="CR5105" s="242"/>
      <c r="CS5105" s="242"/>
      <c r="CT5105" s="242"/>
      <c r="CU5105" s="242"/>
      <c r="CV5105" s="242"/>
      <c r="CW5105" s="242"/>
      <c r="CX5105" s="242"/>
      <c r="CY5105" s="242"/>
      <c r="CZ5105" s="242"/>
      <c r="DA5105" s="67" t="s">
        <v>5443</v>
      </c>
      <c r="DB5105" s="67"/>
      <c r="DC5105" s="67"/>
      <c r="DD5105" s="67"/>
      <c r="DE5105" s="67"/>
      <c r="DF5105" s="67"/>
      <c r="DG5105" s="67"/>
      <c r="DH5105" s="67"/>
      <c r="DI5105" s="67"/>
      <c r="DJ5105" s="67"/>
      <c r="DK5105" s="67"/>
      <c r="DL5105" s="67"/>
      <c r="DM5105" s="67"/>
      <c r="DN5105" s="67"/>
      <c r="DO5105" s="67"/>
      <c r="DP5105" s="67"/>
      <c r="DQ5105" s="166"/>
      <c r="DR5105" s="166"/>
      <c r="DS5105" s="163"/>
      <c r="DT5105" s="163"/>
      <c r="DU5105" s="67"/>
      <c r="DV5105" s="67"/>
      <c r="DW5105" s="67"/>
      <c r="DX5105" s="67"/>
      <c r="DY5105" s="67"/>
      <c r="DZ5105" s="67"/>
      <c r="EA5105" s="67"/>
      <c r="EB5105" s="67"/>
      <c r="EC5105" s="67"/>
      <c r="ED5105" s="67"/>
      <c r="EE5105" s="67"/>
      <c r="EF5105" s="67"/>
      <c r="EG5105" s="67"/>
      <c r="EH5105" s="67"/>
      <c r="EI5105" s="67"/>
      <c r="EJ5105" s="67"/>
      <c r="EK5105" s="94">
        <v>41.2</v>
      </c>
      <c r="EL5105" s="94">
        <v>70.3</v>
      </c>
      <c r="EM5105" s="67">
        <v>6.6</v>
      </c>
      <c r="EN5105" s="67">
        <v>3.6</v>
      </c>
      <c r="EO5105" s="67" t="s">
        <v>5762</v>
      </c>
      <c r="EP5105" s="67"/>
      <c r="EQ5105" s="67"/>
      <c r="ER5105" s="67"/>
      <c r="ES5105" s="67"/>
      <c r="ET5105" s="67"/>
      <c r="EU5105" s="67"/>
      <c r="EV5105" s="67"/>
      <c r="EW5105" s="67"/>
      <c r="EX5105" s="67"/>
      <c r="EY5105" s="67"/>
      <c r="EZ5105" s="67"/>
      <c r="FA5105" s="67"/>
      <c r="FB5105" s="67"/>
      <c r="FC5105" s="67"/>
      <c r="FD5105" s="67"/>
      <c r="FE5105" s="67"/>
      <c r="FF5105" s="67"/>
      <c r="FG5105" s="67"/>
      <c r="FH5105" s="67"/>
      <c r="FI5105" s="67"/>
      <c r="FJ5105" s="67"/>
      <c r="FK5105" s="67"/>
      <c r="FL5105" s="67"/>
      <c r="FM5105" s="67"/>
      <c r="FN5105" s="67"/>
      <c r="FO5105" s="67"/>
      <c r="FP5105" s="67"/>
      <c r="FQ5105" s="67"/>
      <c r="FR5105" s="67"/>
      <c r="FS5105" s="67"/>
      <c r="FT5105" s="67"/>
      <c r="FU5105" s="67"/>
      <c r="FV5105" s="67"/>
      <c r="FW5105" s="67"/>
      <c r="FX5105" s="67"/>
      <c r="FY5105" s="67"/>
      <c r="FZ5105" s="67"/>
      <c r="GA5105" s="67"/>
      <c r="GB5105" s="67"/>
      <c r="GC5105" s="67"/>
      <c r="GD5105" s="67"/>
      <c r="GE5105" s="67"/>
      <c r="GF5105" s="67"/>
      <c r="GG5105" s="67"/>
      <c r="GH5105" s="67"/>
      <c r="GI5105" s="67"/>
      <c r="GJ5105" s="67"/>
      <c r="GK5105" s="67"/>
      <c r="GL5105" s="67"/>
      <c r="GM5105" s="67"/>
      <c r="GN5105" s="292"/>
      <c r="GO5105" s="292"/>
      <c r="GP5105" s="292" t="s">
        <v>7494</v>
      </c>
      <c r="GQ5105" s="67"/>
      <c r="GR5105" s="67"/>
      <c r="GS5105" s="67"/>
      <c r="GT5105" s="67"/>
      <c r="GU5105" s="67"/>
      <c r="GV5105" s="67"/>
      <c r="GW5105" s="67"/>
      <c r="GX5105" s="67"/>
      <c r="GY5105" s="67"/>
      <c r="GZ5105" s="67"/>
      <c r="HA5105" s="67"/>
      <c r="HB5105" s="67"/>
      <c r="HC5105" s="67"/>
      <c r="HD5105" s="67"/>
      <c r="HE5105" s="67"/>
      <c r="HF5105" s="67"/>
      <c r="HG5105" s="67"/>
      <c r="HH5105" s="67"/>
      <c r="HI5105" s="67"/>
      <c r="HJ5105" s="67"/>
      <c r="HK5105" s="67"/>
      <c r="HL5105" s="67"/>
      <c r="HM5105" s="67"/>
      <c r="HN5105" s="67"/>
      <c r="HO5105" s="67"/>
      <c r="HP5105" s="67"/>
      <c r="HQ5105" s="67"/>
      <c r="HR5105" s="67"/>
      <c r="HS5105" s="67"/>
      <c r="HT5105" s="67"/>
      <c r="HU5105" s="67"/>
      <c r="HV5105" s="67"/>
      <c r="HW5105" s="67"/>
      <c r="HX5105" s="67"/>
      <c r="HY5105" s="67"/>
      <c r="HZ5105" s="67"/>
      <c r="IA5105" s="67"/>
      <c r="IB5105" s="67"/>
      <c r="IC5105" s="67"/>
      <c r="ID5105" s="67"/>
      <c r="IE5105" s="67"/>
      <c r="IF5105" s="67"/>
      <c r="IG5105" s="67"/>
      <c r="IH5105" s="67"/>
      <c r="II5105" s="67"/>
      <c r="IJ5105" s="67"/>
      <c r="IK5105" s="67"/>
      <c r="IL5105" s="67"/>
      <c r="IM5105" s="67"/>
      <c r="IN5105" s="67"/>
      <c r="IO5105" s="67"/>
      <c r="IP5105" s="67"/>
      <c r="IQ5105" s="67"/>
      <c r="IR5105" s="67"/>
      <c r="IS5105" s="67"/>
      <c r="IT5105" s="67"/>
      <c r="IU5105" s="67"/>
      <c r="IV5105" s="67"/>
      <c r="IW5105" s="67"/>
      <c r="IX5105" s="67"/>
      <c r="IY5105" s="67"/>
      <c r="IZ5105" s="67"/>
      <c r="JA5105" s="67"/>
      <c r="JB5105" s="67"/>
      <c r="JC5105" s="67"/>
      <c r="JD5105" s="67"/>
      <c r="JE5105" s="67"/>
      <c r="JF5105" s="67"/>
      <c r="JG5105" s="67"/>
      <c r="JH5105" s="67"/>
      <c r="JI5105" s="67"/>
      <c r="JJ5105" s="67"/>
      <c r="JK5105" s="67"/>
      <c r="JL5105" s="67"/>
      <c r="JM5105" s="67"/>
      <c r="JN5105" s="67"/>
      <c r="JO5105" s="67"/>
      <c r="JP5105" s="67"/>
      <c r="JQ5105" s="67"/>
      <c r="JR5105" s="67"/>
      <c r="JS5105" s="67"/>
      <c r="JT5105" s="67">
        <v>99999</v>
      </c>
      <c r="JU5105" s="58"/>
      <c r="JV5105" s="58"/>
      <c r="JW5105" s="58"/>
    </row>
    <row r="5106" spans="1:283" s="23" customFormat="1" x14ac:dyDescent="0.25">
      <c r="A5106" s="55">
        <v>5105</v>
      </c>
      <c r="B5106" s="12" t="s">
        <v>7067</v>
      </c>
      <c r="C5106" s="156">
        <v>265</v>
      </c>
      <c r="D5106" s="58" t="s">
        <v>5024</v>
      </c>
      <c r="E5106" s="160" t="str">
        <f>G5106</f>
        <v>Purin et al. 2006</v>
      </c>
      <c r="F5106" s="160"/>
      <c r="G5106" s="60" t="s">
        <v>4702</v>
      </c>
      <c r="H5106" s="58">
        <v>2006</v>
      </c>
      <c r="I5106" s="58" t="s">
        <v>5719</v>
      </c>
      <c r="J5106" s="243" t="s">
        <v>5318</v>
      </c>
      <c r="K5106" s="63" t="s">
        <v>5080</v>
      </c>
      <c r="L5106" s="58" t="s">
        <v>5334</v>
      </c>
      <c r="M5106" s="94">
        <f>-28</f>
        <v>-28</v>
      </c>
      <c r="N5106" s="94">
        <f>-49-54/60</f>
        <v>-49.9</v>
      </c>
      <c r="O5106" s="94">
        <v>1425</v>
      </c>
      <c r="P5106" s="58"/>
      <c r="Q5106" s="244"/>
      <c r="R5106" s="58"/>
      <c r="S5106" s="245"/>
      <c r="T5106" s="58"/>
      <c r="U5106" s="58" t="s">
        <v>1940</v>
      </c>
      <c r="V5106" s="244" t="s">
        <v>1940</v>
      </c>
      <c r="W5106" s="174"/>
      <c r="X5106" s="174"/>
      <c r="Y5106" s="58" t="s">
        <v>5780</v>
      </c>
      <c r="Z5106" s="244" t="s">
        <v>1355</v>
      </c>
      <c r="AA5106" s="245">
        <v>10</v>
      </c>
      <c r="AB5106" s="67"/>
      <c r="AC5106" s="67"/>
      <c r="AD5106" s="94"/>
      <c r="AE5106" s="94"/>
      <c r="AF5106" s="94"/>
      <c r="AG5106" s="245">
        <v>53</v>
      </c>
      <c r="AH5106" s="58" t="s">
        <v>769</v>
      </c>
      <c r="AI5106" s="169" t="s">
        <v>5770</v>
      </c>
      <c r="AJ5106" s="94">
        <v>3.6120000000000001</v>
      </c>
      <c r="AK5106" s="94">
        <v>4.29</v>
      </c>
      <c r="AL5106" s="58"/>
      <c r="AM5106" s="58" t="s">
        <v>5781</v>
      </c>
      <c r="AN5106" s="186"/>
      <c r="AO5106" s="185" t="s">
        <v>7494</v>
      </c>
      <c r="AP5106" s="58"/>
      <c r="AQ5106" s="58"/>
      <c r="AR5106" s="58" t="s">
        <v>3680</v>
      </c>
      <c r="AS5106" s="246" t="s">
        <v>3471</v>
      </c>
      <c r="AT5106" s="247">
        <v>0</v>
      </c>
      <c r="AU5106" s="181" t="s">
        <v>7494</v>
      </c>
      <c r="AV5106" s="185" t="s">
        <v>176</v>
      </c>
      <c r="AW5106" s="244">
        <v>0</v>
      </c>
      <c r="AX5106" s="185" t="s">
        <v>176</v>
      </c>
      <c r="AY5106" s="244" t="s">
        <v>176</v>
      </c>
      <c r="AZ5106" s="58"/>
      <c r="BA5106" s="58"/>
      <c r="BB5106" s="58"/>
      <c r="BC5106" s="58"/>
      <c r="BD5106" s="58"/>
      <c r="BE5106" s="236" t="s">
        <v>5153</v>
      </c>
      <c r="BF5106" s="191" t="s">
        <v>176</v>
      </c>
      <c r="BG5106" s="191" t="s">
        <v>176</v>
      </c>
      <c r="BH5106" s="236" t="s">
        <v>5155</v>
      </c>
      <c r="BI5106" s="191" t="s">
        <v>479</v>
      </c>
      <c r="BJ5106" s="58" t="str">
        <f>IF(BE5106=BH5106,"No","yes")</f>
        <v>yes</v>
      </c>
      <c r="BK5106" s="58" t="s">
        <v>6334</v>
      </c>
      <c r="BL5106" s="58" t="s">
        <v>5782</v>
      </c>
      <c r="BM5106" s="237"/>
      <c r="BN5106" s="244">
        <v>24</v>
      </c>
      <c r="BO5106" s="244">
        <v>24</v>
      </c>
      <c r="BP5106" s="58"/>
      <c r="BQ5106" s="58"/>
      <c r="BR5106" s="58"/>
      <c r="BS5106" s="58"/>
      <c r="BT5106" s="58"/>
      <c r="BU5106" s="58"/>
      <c r="BV5106" s="58" t="s">
        <v>5778</v>
      </c>
      <c r="BW5106" s="67"/>
      <c r="BX5106" s="67"/>
      <c r="BY5106" s="67"/>
      <c r="BZ5106" s="67"/>
      <c r="CA5106" s="67"/>
      <c r="CB5106" s="70"/>
      <c r="CC5106" s="70"/>
      <c r="CD5106" s="70"/>
      <c r="CE5106" s="67"/>
      <c r="CF5106" s="67"/>
      <c r="CG5106" s="67"/>
      <c r="CH5106" s="245"/>
      <c r="CI5106" s="245"/>
      <c r="CJ5106" s="67"/>
      <c r="CK5106" s="67"/>
      <c r="CL5106" s="67"/>
      <c r="CM5106" s="242">
        <v>3.6120000000000001</v>
      </c>
      <c r="CN5106" s="242">
        <v>4.0119999999999996</v>
      </c>
      <c r="CO5106" s="242">
        <f>0.07*SQRT(24)</f>
        <v>0.34292856398964494</v>
      </c>
      <c r="CP5106" s="242">
        <v>0.34292856398964494</v>
      </c>
      <c r="CQ5106" s="242" t="s">
        <v>164</v>
      </c>
      <c r="CR5106" s="242"/>
      <c r="CS5106" s="242"/>
      <c r="CT5106" s="242"/>
      <c r="CU5106" s="242"/>
      <c r="CV5106" s="242"/>
      <c r="CW5106" s="242"/>
      <c r="CX5106" s="242"/>
      <c r="CY5106" s="242"/>
      <c r="CZ5106" s="242"/>
      <c r="DA5106" s="67" t="s">
        <v>5443</v>
      </c>
      <c r="DB5106" s="67"/>
      <c r="DC5106" s="67"/>
      <c r="DD5106" s="67"/>
      <c r="DE5106" s="67"/>
      <c r="DF5106" s="67"/>
      <c r="DG5106" s="67">
        <v>12.6</v>
      </c>
      <c r="DH5106" s="67">
        <v>8.11</v>
      </c>
      <c r="DI5106" s="67">
        <f>0.69*SQRT(24)</f>
        <v>3.3802958450407852</v>
      </c>
      <c r="DJ5106" s="67">
        <f>0.69*SQRT(24)</f>
        <v>3.3802958450407852</v>
      </c>
      <c r="DK5106" s="67" t="s">
        <v>5773</v>
      </c>
      <c r="DL5106" s="67">
        <v>0.64</v>
      </c>
      <c r="DM5106" s="67">
        <v>0.41</v>
      </c>
      <c r="DN5106" s="67">
        <f>0.03*SQRT(24)</f>
        <v>0.14696938456699066</v>
      </c>
      <c r="DO5106" s="67">
        <f>0.03*SQRT(24)</f>
        <v>0.14696938456699066</v>
      </c>
      <c r="DP5106" s="67" t="s">
        <v>5771</v>
      </c>
      <c r="DQ5106" s="166">
        <v>6.31</v>
      </c>
      <c r="DR5106" s="166">
        <v>5.94</v>
      </c>
      <c r="DS5106" s="163">
        <f>0.07*SQRT(24)</f>
        <v>0.34292856398964494</v>
      </c>
      <c r="DT5106" s="163">
        <f>0.07*SQRT(24)</f>
        <v>0.34292856398964494</v>
      </c>
      <c r="DU5106" s="67"/>
      <c r="DV5106" s="67">
        <f>0.03+5.58+0.11+9.18</f>
        <v>14.9</v>
      </c>
      <c r="DW5106" s="67">
        <f>0.11+4.61+0.11+7.39</f>
        <v>12.22</v>
      </c>
      <c r="DX5106" s="67">
        <f>(0.04+0.17+0.01+0.27)*SQRT(24)</f>
        <v>2.4004999479275146</v>
      </c>
      <c r="DY5106" s="67">
        <f>(0.04+0.17+0.01+0.27)*SQRT(24)</f>
        <v>2.4004999479275146</v>
      </c>
      <c r="DZ5106" s="67" t="s">
        <v>5772</v>
      </c>
      <c r="EA5106" s="67"/>
      <c r="EB5106" s="67"/>
      <c r="EC5106" s="67"/>
      <c r="ED5106" s="67"/>
      <c r="EE5106" s="67"/>
      <c r="EF5106" s="67"/>
      <c r="EG5106" s="67"/>
      <c r="EH5106" s="67"/>
      <c r="EI5106" s="67"/>
      <c r="EJ5106" s="67"/>
      <c r="EK5106" s="94"/>
      <c r="EL5106" s="94"/>
      <c r="EM5106" s="67"/>
      <c r="EN5106" s="67"/>
      <c r="EO5106" s="67"/>
      <c r="EP5106" s="67"/>
      <c r="EQ5106" s="67"/>
      <c r="ER5106" s="67"/>
      <c r="ES5106" s="67"/>
      <c r="ET5106" s="67"/>
      <c r="EU5106" s="67"/>
      <c r="EV5106" s="67"/>
      <c r="EW5106" s="67"/>
      <c r="EX5106" s="67"/>
      <c r="EY5106" s="67"/>
      <c r="EZ5106" s="67"/>
      <c r="FA5106" s="67"/>
      <c r="FB5106" s="67"/>
      <c r="FC5106" s="67"/>
      <c r="FD5106" s="67"/>
      <c r="FE5106" s="67"/>
      <c r="FF5106" s="67"/>
      <c r="FG5106" s="67"/>
      <c r="FH5106" s="67"/>
      <c r="FI5106" s="67"/>
      <c r="FJ5106" s="67"/>
      <c r="FK5106" s="67"/>
      <c r="FL5106" s="67"/>
      <c r="FM5106" s="67"/>
      <c r="FN5106" s="67"/>
      <c r="FO5106" s="67"/>
      <c r="FP5106" s="67"/>
      <c r="FQ5106" s="67"/>
      <c r="FR5106" s="67"/>
      <c r="FS5106" s="67"/>
      <c r="FT5106" s="67"/>
      <c r="FU5106" s="67"/>
      <c r="FV5106" s="67"/>
      <c r="FW5106" s="67"/>
      <c r="FX5106" s="67"/>
      <c r="FY5106" s="67"/>
      <c r="FZ5106" s="67"/>
      <c r="GA5106" s="67"/>
      <c r="GB5106" s="67"/>
      <c r="GC5106" s="67"/>
      <c r="GD5106" s="67"/>
      <c r="GE5106" s="67"/>
      <c r="GF5106" s="67"/>
      <c r="GG5106" s="67"/>
      <c r="GH5106" s="67"/>
      <c r="GI5106" s="67"/>
      <c r="GJ5106" s="67"/>
      <c r="GK5106" s="67"/>
      <c r="GL5106" s="67"/>
      <c r="GM5106" s="67"/>
      <c r="GN5106" s="292"/>
      <c r="GO5106" s="292"/>
      <c r="GP5106" s="292" t="s">
        <v>7494</v>
      </c>
      <c r="GQ5106" s="67"/>
      <c r="GR5106" s="67"/>
      <c r="GS5106" s="67"/>
      <c r="GT5106" s="67"/>
      <c r="GU5106" s="67"/>
      <c r="GV5106" s="67"/>
      <c r="GW5106" s="67"/>
      <c r="GX5106" s="67"/>
      <c r="GY5106" s="67"/>
      <c r="GZ5106" s="67"/>
      <c r="HA5106" s="67"/>
      <c r="HB5106" s="67"/>
      <c r="HC5106" s="67"/>
      <c r="HD5106" s="67"/>
      <c r="HE5106" s="67"/>
      <c r="HF5106" s="67"/>
      <c r="HG5106" s="67"/>
      <c r="HH5106" s="67"/>
      <c r="HI5106" s="67">
        <v>63.7</v>
      </c>
      <c r="HJ5106" s="67">
        <v>59.2</v>
      </c>
      <c r="HK5106" s="67">
        <v>6.6</v>
      </c>
      <c r="HL5106" s="67">
        <v>6.6</v>
      </c>
      <c r="HM5106" s="67" t="s">
        <v>5774</v>
      </c>
      <c r="HN5106" s="67">
        <v>4.25</v>
      </c>
      <c r="HO5106" s="67">
        <v>3.23</v>
      </c>
      <c r="HP5106" s="67">
        <f>0.14*SQRT(24)</f>
        <v>0.68585712797928988</v>
      </c>
      <c r="HQ5106" s="67">
        <f>0.14*SQRT(24)</f>
        <v>0.68585712797928988</v>
      </c>
      <c r="HR5106" s="67" t="s">
        <v>5777</v>
      </c>
      <c r="HS5106" s="67">
        <v>1.51</v>
      </c>
      <c r="HT5106" s="67">
        <v>1.1599999999999999</v>
      </c>
      <c r="HU5106" s="67">
        <f>(1.54-HS5106)*SQRT(24)</f>
        <v>0.1469693845669908</v>
      </c>
      <c r="HV5106" s="67">
        <v>0.1</v>
      </c>
      <c r="HW5106" s="67" t="s">
        <v>5779</v>
      </c>
      <c r="HX5106" s="67"/>
      <c r="HY5106" s="67"/>
      <c r="HZ5106" s="67"/>
      <c r="IA5106" s="67"/>
      <c r="IB5106" s="67"/>
      <c r="IC5106" s="67"/>
      <c r="ID5106" s="67"/>
      <c r="IE5106" s="67"/>
      <c r="IF5106" s="67"/>
      <c r="IG5106" s="67"/>
      <c r="IH5106" s="67"/>
      <c r="II5106" s="67"/>
      <c r="IJ5106" s="67"/>
      <c r="IK5106" s="67"/>
      <c r="IL5106" s="67"/>
      <c r="IM5106" s="67"/>
      <c r="IN5106" s="67"/>
      <c r="IO5106" s="67"/>
      <c r="IP5106" s="67"/>
      <c r="IQ5106" s="67"/>
      <c r="IR5106" s="67"/>
      <c r="IS5106" s="67"/>
      <c r="IT5106" s="67"/>
      <c r="IU5106" s="67"/>
      <c r="IV5106" s="67"/>
      <c r="IW5106" s="67"/>
      <c r="IX5106" s="67"/>
      <c r="IY5106" s="67"/>
      <c r="IZ5106" s="67"/>
      <c r="JA5106" s="67"/>
      <c r="JB5106" s="67"/>
      <c r="JC5106" s="67"/>
      <c r="JD5106" s="67"/>
      <c r="JE5106" s="67"/>
      <c r="JF5106" s="67"/>
      <c r="JG5106" s="67"/>
      <c r="JH5106" s="67"/>
      <c r="JI5106" s="67"/>
      <c r="JJ5106" s="67"/>
      <c r="JK5106" s="67"/>
      <c r="JL5106" s="67"/>
      <c r="JM5106" s="67"/>
      <c r="JN5106" s="67"/>
      <c r="JO5106" s="67"/>
      <c r="JP5106" s="67"/>
      <c r="JQ5106" s="67"/>
      <c r="JR5106" s="67"/>
      <c r="JS5106" s="67"/>
      <c r="JT5106" s="67"/>
      <c r="JU5106" s="58" t="s">
        <v>5783</v>
      </c>
      <c r="JV5106" s="58"/>
      <c r="JW5106" s="58"/>
    </row>
    <row r="5107" spans="1:283" s="23" customFormat="1" x14ac:dyDescent="0.25">
      <c r="A5107" s="55">
        <v>5106</v>
      </c>
      <c r="B5107" s="12" t="s">
        <v>7067</v>
      </c>
      <c r="C5107" s="156">
        <v>265</v>
      </c>
      <c r="D5107" s="58" t="s">
        <v>5024</v>
      </c>
      <c r="E5107" s="160" t="str">
        <f>G5107</f>
        <v>Purin et al. 2006</v>
      </c>
      <c r="F5107" s="160"/>
      <c r="G5107" s="60" t="s">
        <v>4702</v>
      </c>
      <c r="H5107" s="58">
        <v>2006</v>
      </c>
      <c r="I5107" s="58" t="s">
        <v>5719</v>
      </c>
      <c r="J5107" s="243" t="s">
        <v>5318</v>
      </c>
      <c r="K5107" s="63" t="s">
        <v>5080</v>
      </c>
      <c r="L5107" s="58" t="s">
        <v>5334</v>
      </c>
      <c r="M5107" s="94">
        <f>-28</f>
        <v>-28</v>
      </c>
      <c r="N5107" s="94">
        <f>-49-54/60</f>
        <v>-49.9</v>
      </c>
      <c r="O5107" s="94">
        <v>1425</v>
      </c>
      <c r="P5107" s="58"/>
      <c r="Q5107" s="244"/>
      <c r="R5107" s="58"/>
      <c r="S5107" s="245"/>
      <c r="T5107" s="58"/>
      <c r="U5107" s="58" t="s">
        <v>1940</v>
      </c>
      <c r="V5107" s="244" t="s">
        <v>1940</v>
      </c>
      <c r="W5107" s="174"/>
      <c r="X5107" s="174"/>
      <c r="Y5107" s="58" t="s">
        <v>5780</v>
      </c>
      <c r="Z5107" s="244" t="s">
        <v>1355</v>
      </c>
      <c r="AA5107" s="245">
        <v>10</v>
      </c>
      <c r="AB5107" s="67"/>
      <c r="AC5107" s="67"/>
      <c r="AD5107" s="94"/>
      <c r="AE5107" s="94"/>
      <c r="AF5107" s="94"/>
      <c r="AG5107" s="245">
        <v>53</v>
      </c>
      <c r="AH5107" s="58" t="s">
        <v>769</v>
      </c>
      <c r="AI5107" s="169" t="s">
        <v>5770</v>
      </c>
      <c r="AJ5107" s="94">
        <v>3.6120000000000001</v>
      </c>
      <c r="AK5107" s="94">
        <v>4.29</v>
      </c>
      <c r="AL5107" s="58"/>
      <c r="AM5107" s="58" t="s">
        <v>5781</v>
      </c>
      <c r="AN5107" s="186"/>
      <c r="AO5107" s="185" t="s">
        <v>7494</v>
      </c>
      <c r="AP5107" s="58"/>
      <c r="AQ5107" s="58"/>
      <c r="AR5107" s="58" t="s">
        <v>3680</v>
      </c>
      <c r="AS5107" s="246" t="s">
        <v>3471</v>
      </c>
      <c r="AT5107" s="247">
        <v>0</v>
      </c>
      <c r="AU5107" s="181" t="s">
        <v>7494</v>
      </c>
      <c r="AV5107" s="185" t="s">
        <v>176</v>
      </c>
      <c r="AW5107" s="244">
        <v>0</v>
      </c>
      <c r="AX5107" s="185" t="s">
        <v>176</v>
      </c>
      <c r="AY5107" s="244" t="s">
        <v>176</v>
      </c>
      <c r="AZ5107" s="58"/>
      <c r="BA5107" s="58"/>
      <c r="BB5107" s="58"/>
      <c r="BC5107" s="58"/>
      <c r="BD5107" s="58"/>
      <c r="BE5107" s="236" t="s">
        <v>5153</v>
      </c>
      <c r="BF5107" s="191" t="s">
        <v>176</v>
      </c>
      <c r="BG5107" s="191" t="s">
        <v>176</v>
      </c>
      <c r="BH5107" s="236" t="s">
        <v>5155</v>
      </c>
      <c r="BI5107" s="191" t="s">
        <v>479</v>
      </c>
      <c r="BJ5107" s="58" t="str">
        <f>IF(BE5107=BH5107,"No","yes")</f>
        <v>yes</v>
      </c>
      <c r="BK5107" s="58" t="s">
        <v>6334</v>
      </c>
      <c r="BL5107" s="58" t="s">
        <v>5782</v>
      </c>
      <c r="BM5107" s="237"/>
      <c r="BN5107" s="244">
        <v>24</v>
      </c>
      <c r="BO5107" s="244">
        <v>24</v>
      </c>
      <c r="BP5107" s="58"/>
      <c r="BQ5107" s="58"/>
      <c r="BR5107" s="58"/>
      <c r="BS5107" s="58"/>
      <c r="BT5107" s="58"/>
      <c r="BU5107" s="58"/>
      <c r="BV5107" s="58" t="s">
        <v>1122</v>
      </c>
      <c r="BW5107" s="67"/>
      <c r="BX5107" s="67"/>
      <c r="BY5107" s="67"/>
      <c r="BZ5107" s="67"/>
      <c r="CA5107" s="67"/>
      <c r="CB5107" s="70"/>
      <c r="CC5107" s="70"/>
      <c r="CD5107" s="70"/>
      <c r="CE5107" s="67"/>
      <c r="CF5107" s="67"/>
      <c r="CG5107" s="67"/>
      <c r="CH5107" s="245"/>
      <c r="CI5107" s="245"/>
      <c r="CJ5107" s="67"/>
      <c r="CK5107" s="67"/>
      <c r="CL5107" s="67"/>
      <c r="CM5107" s="242">
        <v>3.6120000000000001</v>
      </c>
      <c r="CN5107" s="242">
        <v>4.0119999999999996</v>
      </c>
      <c r="CO5107" s="242">
        <f>0.07*SQRT(24)</f>
        <v>0.34292856398964494</v>
      </c>
      <c r="CP5107" s="242">
        <v>0.34292856398964494</v>
      </c>
      <c r="CQ5107" s="242" t="s">
        <v>164</v>
      </c>
      <c r="CR5107" s="242"/>
      <c r="CS5107" s="242"/>
      <c r="CT5107" s="242"/>
      <c r="CU5107" s="242"/>
      <c r="CV5107" s="242"/>
      <c r="CW5107" s="242"/>
      <c r="CX5107" s="242"/>
      <c r="CY5107" s="242"/>
      <c r="CZ5107" s="242"/>
      <c r="DA5107" s="67" t="s">
        <v>5443</v>
      </c>
      <c r="DB5107" s="67"/>
      <c r="DC5107" s="67"/>
      <c r="DD5107" s="67"/>
      <c r="DE5107" s="67"/>
      <c r="DF5107" s="67"/>
      <c r="DG5107" s="67"/>
      <c r="DH5107" s="67"/>
      <c r="DI5107" s="67"/>
      <c r="DJ5107" s="67"/>
      <c r="DK5107" s="67"/>
      <c r="DL5107" s="67"/>
      <c r="DM5107" s="67"/>
      <c r="DN5107" s="67"/>
      <c r="DO5107" s="67"/>
      <c r="DP5107" s="67"/>
      <c r="DQ5107" s="166"/>
      <c r="DR5107" s="166"/>
      <c r="DS5107" s="163"/>
      <c r="DT5107" s="163"/>
      <c r="DU5107" s="67"/>
      <c r="DV5107" s="67"/>
      <c r="DW5107" s="67"/>
      <c r="DX5107" s="67"/>
      <c r="DY5107" s="67"/>
      <c r="DZ5107" s="67"/>
      <c r="EA5107" s="67"/>
      <c r="EB5107" s="67"/>
      <c r="EC5107" s="67"/>
      <c r="ED5107" s="67"/>
      <c r="EE5107" s="67"/>
      <c r="EF5107" s="67"/>
      <c r="EG5107" s="67"/>
      <c r="EH5107" s="67"/>
      <c r="EI5107" s="67"/>
      <c r="EJ5107" s="67"/>
      <c r="EK5107" s="94"/>
      <c r="EL5107" s="94"/>
      <c r="EM5107" s="67"/>
      <c r="EN5107" s="67"/>
      <c r="EO5107" s="67"/>
      <c r="EP5107" s="67"/>
      <c r="EQ5107" s="67"/>
      <c r="ER5107" s="67"/>
      <c r="ES5107" s="67"/>
      <c r="ET5107" s="67"/>
      <c r="EU5107" s="67"/>
      <c r="EV5107" s="67"/>
      <c r="EW5107" s="67"/>
      <c r="EX5107" s="67"/>
      <c r="EY5107" s="67"/>
      <c r="EZ5107" s="67"/>
      <c r="FA5107" s="67"/>
      <c r="FB5107" s="67"/>
      <c r="FC5107" s="67"/>
      <c r="FD5107" s="67"/>
      <c r="FE5107" s="67"/>
      <c r="FF5107" s="67"/>
      <c r="FG5107" s="67"/>
      <c r="FH5107" s="67"/>
      <c r="FI5107" s="67"/>
      <c r="FJ5107" s="67"/>
      <c r="FK5107" s="67"/>
      <c r="FL5107" s="67"/>
      <c r="FM5107" s="67"/>
      <c r="FN5107" s="67"/>
      <c r="FO5107" s="67"/>
      <c r="FP5107" s="67"/>
      <c r="FQ5107" s="67"/>
      <c r="FR5107" s="67"/>
      <c r="FS5107" s="67"/>
      <c r="FT5107" s="67"/>
      <c r="FU5107" s="67"/>
      <c r="FV5107" s="67"/>
      <c r="FW5107" s="67"/>
      <c r="FX5107" s="67"/>
      <c r="FY5107" s="67"/>
      <c r="FZ5107" s="67"/>
      <c r="GA5107" s="67"/>
      <c r="GB5107" s="67"/>
      <c r="GC5107" s="67"/>
      <c r="GD5107" s="67"/>
      <c r="GE5107" s="67"/>
      <c r="GF5107" s="67"/>
      <c r="GG5107" s="67"/>
      <c r="GH5107" s="67"/>
      <c r="GI5107" s="67"/>
      <c r="GJ5107" s="67"/>
      <c r="GK5107" s="67"/>
      <c r="GL5107" s="67"/>
      <c r="GM5107" s="67"/>
      <c r="GN5107" s="292"/>
      <c r="GO5107" s="292"/>
      <c r="GP5107" s="292" t="s">
        <v>7494</v>
      </c>
      <c r="GQ5107" s="67"/>
      <c r="GR5107" s="67"/>
      <c r="GS5107" s="67"/>
      <c r="GT5107" s="67"/>
      <c r="GU5107" s="67"/>
      <c r="GV5107" s="67"/>
      <c r="GW5107" s="67"/>
      <c r="GX5107" s="67"/>
      <c r="GY5107" s="67"/>
      <c r="GZ5107" s="67"/>
      <c r="HA5107" s="67"/>
      <c r="HB5107" s="67"/>
      <c r="HC5107" s="67"/>
      <c r="HD5107" s="67"/>
      <c r="HE5107" s="67"/>
      <c r="HF5107" s="67"/>
      <c r="HG5107" s="67"/>
      <c r="HH5107" s="67"/>
      <c r="HI5107" s="67">
        <v>43.7</v>
      </c>
      <c r="HJ5107" s="67">
        <v>48.8</v>
      </c>
      <c r="HK5107" s="67">
        <v>1.6</v>
      </c>
      <c r="HL5107" s="67">
        <v>1.6</v>
      </c>
      <c r="HM5107" s="67" t="s">
        <v>5775</v>
      </c>
      <c r="HN5107" s="67">
        <v>4.2</v>
      </c>
      <c r="HO5107" s="67">
        <v>5.6</v>
      </c>
      <c r="HP5107" s="67">
        <f>0.1*SQRT(24)</f>
        <v>0.4898979485566356</v>
      </c>
      <c r="HQ5107" s="67">
        <f>0.1*SQRT(24)</f>
        <v>0.4898979485566356</v>
      </c>
      <c r="HR5107" s="67" t="s">
        <v>5776</v>
      </c>
      <c r="HS5107" s="67">
        <v>0.83</v>
      </c>
      <c r="HT5107" s="67">
        <v>0.31</v>
      </c>
      <c r="HU5107" s="67">
        <v>0.1</v>
      </c>
      <c r="HV5107" s="67">
        <v>0.2</v>
      </c>
      <c r="HW5107" s="67" t="s">
        <v>5779</v>
      </c>
      <c r="HX5107" s="67"/>
      <c r="HY5107" s="67"/>
      <c r="HZ5107" s="67"/>
      <c r="IA5107" s="67"/>
      <c r="IB5107" s="67"/>
      <c r="IC5107" s="67"/>
      <c r="ID5107" s="67"/>
      <c r="IE5107" s="67"/>
      <c r="IF5107" s="67"/>
      <c r="IG5107" s="67"/>
      <c r="IH5107" s="67"/>
      <c r="II5107" s="67"/>
      <c r="IJ5107" s="67"/>
      <c r="IK5107" s="67"/>
      <c r="IL5107" s="67"/>
      <c r="IM5107" s="67"/>
      <c r="IN5107" s="67"/>
      <c r="IO5107" s="67"/>
      <c r="IP5107" s="67"/>
      <c r="IQ5107" s="67"/>
      <c r="IR5107" s="67"/>
      <c r="IS5107" s="67"/>
      <c r="IT5107" s="67"/>
      <c r="IU5107" s="67"/>
      <c r="IV5107" s="67"/>
      <c r="IW5107" s="67"/>
      <c r="IX5107" s="67"/>
      <c r="IY5107" s="67"/>
      <c r="IZ5107" s="67"/>
      <c r="JA5107" s="67"/>
      <c r="JB5107" s="67"/>
      <c r="JC5107" s="67"/>
      <c r="JD5107" s="67"/>
      <c r="JE5107" s="67"/>
      <c r="JF5107" s="67"/>
      <c r="JG5107" s="67"/>
      <c r="JH5107" s="67"/>
      <c r="JI5107" s="67"/>
      <c r="JJ5107" s="67"/>
      <c r="JK5107" s="67"/>
      <c r="JL5107" s="67"/>
      <c r="JM5107" s="67"/>
      <c r="JN5107" s="67"/>
      <c r="JO5107" s="67"/>
      <c r="JP5107" s="67"/>
      <c r="JQ5107" s="67"/>
      <c r="JR5107" s="67"/>
      <c r="JS5107" s="67"/>
      <c r="JT5107" s="67"/>
      <c r="JU5107" s="58" t="s">
        <v>5783</v>
      </c>
      <c r="JV5107" s="58"/>
      <c r="JW5107" s="58"/>
    </row>
    <row r="5108" spans="1:283" s="23" customFormat="1" x14ac:dyDescent="0.25">
      <c r="A5108" s="55">
        <v>5107</v>
      </c>
      <c r="B5108" s="12" t="s">
        <v>7067</v>
      </c>
      <c r="C5108" s="156">
        <v>266</v>
      </c>
      <c r="D5108" s="58" t="s">
        <v>5785</v>
      </c>
      <c r="E5108" s="160" t="str">
        <f>G5108</f>
        <v>Qin et al. 2010</v>
      </c>
      <c r="F5108" s="160"/>
      <c r="G5108" s="60" t="s">
        <v>4701</v>
      </c>
      <c r="H5108" s="58">
        <v>2010</v>
      </c>
      <c r="I5108" s="58" t="s">
        <v>5608</v>
      </c>
      <c r="J5108" s="243" t="s">
        <v>2176</v>
      </c>
      <c r="K5108" s="63" t="s">
        <v>5079</v>
      </c>
      <c r="L5108" s="58" t="s">
        <v>3377</v>
      </c>
      <c r="M5108" s="94">
        <f>31+52/60</f>
        <v>31.866666666666667</v>
      </c>
      <c r="N5108" s="94">
        <f>118+50/60</f>
        <v>118.83333333333333</v>
      </c>
      <c r="O5108" s="94">
        <v>10</v>
      </c>
      <c r="P5108" s="58"/>
      <c r="Q5108" s="244">
        <v>25.1</v>
      </c>
      <c r="R5108" s="58"/>
      <c r="S5108" s="245">
        <v>680</v>
      </c>
      <c r="T5108" s="58"/>
      <c r="U5108" s="58" t="s">
        <v>1694</v>
      </c>
      <c r="V5108" s="244">
        <v>7</v>
      </c>
      <c r="W5108" s="174"/>
      <c r="X5108" s="174"/>
      <c r="Y5108" s="58" t="s">
        <v>5784</v>
      </c>
      <c r="Z5108" s="244" t="s">
        <v>1355</v>
      </c>
      <c r="AA5108" s="245">
        <v>10</v>
      </c>
      <c r="AB5108" s="67"/>
      <c r="AC5108" s="67"/>
      <c r="AD5108" s="94"/>
      <c r="AE5108" s="94"/>
      <c r="AF5108" s="94"/>
      <c r="AG5108" s="245"/>
      <c r="AH5108" s="58"/>
      <c r="AI5108" s="169"/>
      <c r="AJ5108" s="94"/>
      <c r="AK5108" s="94"/>
      <c r="AL5108" s="58"/>
      <c r="AM5108" s="58"/>
      <c r="AN5108" s="186"/>
      <c r="AO5108" s="185" t="s">
        <v>5150</v>
      </c>
      <c r="AP5108" s="58"/>
      <c r="AQ5108" s="58"/>
      <c r="AR5108" s="58" t="s">
        <v>1096</v>
      </c>
      <c r="AS5108" s="246" t="s">
        <v>5133</v>
      </c>
      <c r="AT5108" s="247"/>
      <c r="AU5108" s="181" t="s">
        <v>7494</v>
      </c>
      <c r="AV5108" s="185" t="s">
        <v>176</v>
      </c>
      <c r="AW5108" s="244"/>
      <c r="AX5108" s="185" t="s">
        <v>176</v>
      </c>
      <c r="AY5108" s="244"/>
      <c r="AZ5108" s="58"/>
      <c r="BA5108" s="58"/>
      <c r="BB5108" s="58"/>
      <c r="BC5108" s="58"/>
      <c r="BD5108" s="58"/>
      <c r="BE5108" s="236" t="s">
        <v>5203</v>
      </c>
      <c r="BF5108" s="191" t="s">
        <v>479</v>
      </c>
      <c r="BG5108" s="191" t="s">
        <v>479</v>
      </c>
      <c r="BH5108" s="236" t="s">
        <v>5284</v>
      </c>
      <c r="BI5108" s="191" t="s">
        <v>479</v>
      </c>
      <c r="BJ5108" s="58" t="str">
        <f>IF(BE5108=BH5108,"No","yes")</f>
        <v>yes</v>
      </c>
      <c r="BK5108" s="58" t="s">
        <v>6334</v>
      </c>
      <c r="BL5108" s="58"/>
      <c r="BM5108" s="237"/>
      <c r="BN5108" s="244">
        <v>3</v>
      </c>
      <c r="BO5108" s="244">
        <v>3</v>
      </c>
      <c r="BP5108" s="58"/>
      <c r="BQ5108" s="58"/>
      <c r="BR5108" s="58"/>
      <c r="BS5108" s="58"/>
      <c r="BT5108" s="58"/>
      <c r="BU5108" s="58"/>
      <c r="BV5108" s="58" t="s">
        <v>5788</v>
      </c>
      <c r="BW5108" s="67"/>
      <c r="BX5108" s="67"/>
      <c r="BY5108" s="67"/>
      <c r="BZ5108" s="67"/>
      <c r="CA5108" s="67"/>
      <c r="CB5108" s="70">
        <v>5480</v>
      </c>
      <c r="CC5108" s="70">
        <v>4400</v>
      </c>
      <c r="CD5108" s="70"/>
      <c r="CE5108" s="67">
        <v>550</v>
      </c>
      <c r="CF5108" s="67">
        <v>650</v>
      </c>
      <c r="CG5108" s="67" t="s">
        <v>5804</v>
      </c>
      <c r="CH5108" s="245">
        <v>1.24</v>
      </c>
      <c r="CI5108" s="245">
        <v>1.23</v>
      </c>
      <c r="CJ5108" s="67"/>
      <c r="CK5108" s="67"/>
      <c r="CL5108" s="67"/>
      <c r="CM5108" s="242">
        <v>1.53</v>
      </c>
      <c r="CN5108" s="242">
        <v>1.31</v>
      </c>
      <c r="CO5108" s="242"/>
      <c r="CP5108" s="242"/>
      <c r="CQ5108" s="242" t="s">
        <v>164</v>
      </c>
      <c r="CR5108" s="242">
        <v>21.808472107516263</v>
      </c>
      <c r="CS5108" s="242">
        <v>19.030702808337196</v>
      </c>
      <c r="CT5108" s="242"/>
      <c r="CU5108" s="242"/>
      <c r="CV5108" s="242" t="s">
        <v>5151</v>
      </c>
      <c r="CW5108" s="242"/>
      <c r="CX5108" s="242"/>
      <c r="CY5108" s="242"/>
      <c r="CZ5108" s="242"/>
      <c r="DA5108" s="67" t="s">
        <v>5443</v>
      </c>
      <c r="DB5108" s="67">
        <v>1.5</v>
      </c>
      <c r="DC5108" s="67">
        <v>1.17</v>
      </c>
      <c r="DD5108" s="67"/>
      <c r="DE5108" s="67"/>
      <c r="DF5108" s="67" t="s">
        <v>165</v>
      </c>
      <c r="DG5108" s="67">
        <v>680</v>
      </c>
      <c r="DH5108" s="67">
        <v>693</v>
      </c>
      <c r="DI5108" s="67"/>
      <c r="DJ5108" s="67"/>
      <c r="DK5108" s="67" t="s">
        <v>637</v>
      </c>
      <c r="DL5108" s="67"/>
      <c r="DM5108" s="67"/>
      <c r="DN5108" s="67"/>
      <c r="DO5108" s="67"/>
      <c r="DP5108" s="67"/>
      <c r="DQ5108" s="166">
        <v>6.5</v>
      </c>
      <c r="DR5108" s="166">
        <v>6.6</v>
      </c>
      <c r="DS5108" s="163"/>
      <c r="DT5108" s="163"/>
      <c r="DU5108" s="67"/>
      <c r="DV5108" s="67"/>
      <c r="DW5108" s="67"/>
      <c r="DX5108" s="67"/>
      <c r="DY5108" s="67"/>
      <c r="DZ5108" s="67"/>
      <c r="EA5108" s="67"/>
      <c r="EB5108" s="67"/>
      <c r="EC5108" s="67"/>
      <c r="ED5108" s="67"/>
      <c r="EE5108" s="67"/>
      <c r="EF5108" s="67"/>
      <c r="EG5108" s="67"/>
      <c r="EH5108" s="67"/>
      <c r="EI5108" s="67"/>
      <c r="EJ5108" s="67"/>
      <c r="EK5108" s="94"/>
      <c r="EL5108" s="94"/>
      <c r="EM5108" s="67"/>
      <c r="EN5108" s="67"/>
      <c r="EO5108" s="67"/>
      <c r="EP5108" s="67"/>
      <c r="EQ5108" s="67"/>
      <c r="ER5108" s="67"/>
      <c r="ES5108" s="67"/>
      <c r="ET5108" s="67"/>
      <c r="EU5108" s="67"/>
      <c r="EV5108" s="67"/>
      <c r="EW5108" s="67"/>
      <c r="EX5108" s="67"/>
      <c r="EY5108" s="67"/>
      <c r="EZ5108" s="67"/>
      <c r="FA5108" s="67"/>
      <c r="FB5108" s="67"/>
      <c r="FC5108" s="67"/>
      <c r="FD5108" s="67"/>
      <c r="FE5108" s="67"/>
      <c r="FF5108" s="67"/>
      <c r="FG5108" s="67"/>
      <c r="FH5108" s="67"/>
      <c r="FI5108" s="67"/>
      <c r="FJ5108" s="67"/>
      <c r="FK5108" s="67"/>
      <c r="FL5108" s="67"/>
      <c r="FM5108" s="67"/>
      <c r="FN5108" s="67"/>
      <c r="FO5108" s="67"/>
      <c r="FP5108" s="67"/>
      <c r="FQ5108" s="67"/>
      <c r="FR5108" s="67"/>
      <c r="FS5108" s="67"/>
      <c r="FT5108" s="67"/>
      <c r="FU5108" s="67"/>
      <c r="FV5108" s="67"/>
      <c r="FW5108" s="67"/>
      <c r="FX5108" s="67"/>
      <c r="FY5108" s="67">
        <v>25.1</v>
      </c>
      <c r="FZ5108" s="67">
        <v>25.3</v>
      </c>
      <c r="GA5108" s="67"/>
      <c r="GB5108" s="67"/>
      <c r="GC5108" s="67"/>
      <c r="GD5108" s="67"/>
      <c r="GE5108" s="67"/>
      <c r="GF5108" s="67"/>
      <c r="GG5108" s="67"/>
      <c r="GH5108" s="67"/>
      <c r="GI5108" s="67"/>
      <c r="GJ5108" s="67"/>
      <c r="GK5108" s="67"/>
      <c r="GL5108" s="67"/>
      <c r="GM5108" s="67"/>
      <c r="GN5108" s="292"/>
      <c r="GO5108" s="292"/>
      <c r="GP5108" s="292" t="s">
        <v>7494</v>
      </c>
      <c r="GQ5108" s="67"/>
      <c r="GR5108" s="67"/>
      <c r="GS5108" s="67"/>
      <c r="GT5108" s="67"/>
      <c r="GU5108" s="67"/>
      <c r="GV5108" s="67"/>
      <c r="GW5108" s="67"/>
      <c r="GX5108" s="67"/>
      <c r="GY5108" s="67"/>
      <c r="GZ5108" s="67"/>
      <c r="HA5108" s="67"/>
      <c r="HB5108" s="67"/>
      <c r="HC5108" s="67"/>
      <c r="HD5108" s="67"/>
      <c r="HE5108" s="67"/>
      <c r="HF5108" s="67"/>
      <c r="HG5108" s="67"/>
      <c r="HH5108" s="67"/>
      <c r="HI5108" s="67"/>
      <c r="HJ5108" s="67"/>
      <c r="HK5108" s="67"/>
      <c r="HL5108" s="67"/>
      <c r="HM5108" s="67"/>
      <c r="HN5108" s="67"/>
      <c r="HO5108" s="67"/>
      <c r="HP5108" s="67"/>
      <c r="HQ5108" s="67"/>
      <c r="HR5108" s="67"/>
      <c r="HS5108" s="67"/>
      <c r="HT5108" s="67"/>
      <c r="HU5108" s="67"/>
      <c r="HV5108" s="67"/>
      <c r="HW5108" s="67"/>
      <c r="HX5108" s="67"/>
      <c r="HY5108" s="67"/>
      <c r="HZ5108" s="67"/>
      <c r="IA5108" s="67"/>
      <c r="IB5108" s="67"/>
      <c r="IC5108" s="67"/>
      <c r="ID5108" s="67"/>
      <c r="IE5108" s="67"/>
      <c r="IF5108" s="67"/>
      <c r="IG5108" s="67"/>
      <c r="IH5108" s="67">
        <v>0.05</v>
      </c>
      <c r="II5108" s="67">
        <v>0.18</v>
      </c>
      <c r="IJ5108" s="67">
        <v>0.03</v>
      </c>
      <c r="IK5108" s="67">
        <v>0.03</v>
      </c>
      <c r="IL5108" s="67" t="s">
        <v>5791</v>
      </c>
      <c r="IM5108" s="67"/>
      <c r="IN5108" s="67"/>
      <c r="IO5108" s="67"/>
      <c r="IP5108" s="67"/>
      <c r="IQ5108" s="67"/>
      <c r="IR5108" s="67"/>
      <c r="IS5108" s="67"/>
      <c r="IT5108" s="67"/>
      <c r="IU5108" s="67"/>
      <c r="IV5108" s="67"/>
      <c r="IW5108" s="67"/>
      <c r="IX5108" s="67"/>
      <c r="IY5108" s="67"/>
      <c r="IZ5108" s="67"/>
      <c r="JA5108" s="67"/>
      <c r="JB5108" s="67">
        <v>105.3</v>
      </c>
      <c r="JC5108" s="67">
        <v>126.7</v>
      </c>
      <c r="JD5108" s="67">
        <v>1.4</v>
      </c>
      <c r="JE5108" s="67">
        <v>24.7</v>
      </c>
      <c r="JF5108" s="67" t="s">
        <v>545</v>
      </c>
      <c r="JG5108" s="67"/>
      <c r="JH5108" s="67"/>
      <c r="JI5108" s="67"/>
      <c r="JJ5108" s="67"/>
      <c r="JK5108" s="67"/>
      <c r="JL5108" s="67"/>
      <c r="JM5108" s="67"/>
      <c r="JN5108" s="67"/>
      <c r="JO5108" s="67"/>
      <c r="JP5108" s="67"/>
      <c r="JQ5108" s="67"/>
      <c r="JR5108" s="67"/>
      <c r="JS5108" s="67"/>
      <c r="JT5108" s="67"/>
      <c r="JU5108" s="58"/>
      <c r="JV5108" s="58"/>
      <c r="JW5108" s="58"/>
    </row>
    <row r="5109" spans="1:283" s="23" customFormat="1" x14ac:dyDescent="0.25">
      <c r="A5109" s="55">
        <v>5108</v>
      </c>
      <c r="B5109" s="12" t="s">
        <v>7067</v>
      </c>
      <c r="C5109" s="156">
        <v>266</v>
      </c>
      <c r="D5109" s="58" t="s">
        <v>5786</v>
      </c>
      <c r="E5109" s="160" t="str">
        <f>G5109</f>
        <v>Qin et al. 2010</v>
      </c>
      <c r="F5109" s="160"/>
      <c r="G5109" s="60" t="s">
        <v>4701</v>
      </c>
      <c r="H5109" s="58">
        <v>2010</v>
      </c>
      <c r="I5109" s="58" t="s">
        <v>5608</v>
      </c>
      <c r="J5109" s="243" t="s">
        <v>2176</v>
      </c>
      <c r="K5109" s="63" t="s">
        <v>5079</v>
      </c>
      <c r="L5109" s="58" t="s">
        <v>3377</v>
      </c>
      <c r="M5109" s="94">
        <f>31+52/60</f>
        <v>31.866666666666667</v>
      </c>
      <c r="N5109" s="94">
        <f>118+50/60</f>
        <v>118.83333333333333</v>
      </c>
      <c r="O5109" s="94">
        <v>10</v>
      </c>
      <c r="P5109" s="58"/>
      <c r="Q5109" s="244">
        <v>25.1</v>
      </c>
      <c r="R5109" s="58"/>
      <c r="S5109" s="245">
        <v>680</v>
      </c>
      <c r="T5109" s="58"/>
      <c r="U5109" s="58" t="s">
        <v>1694</v>
      </c>
      <c r="V5109" s="244">
        <v>7</v>
      </c>
      <c r="W5109" s="174"/>
      <c r="X5109" s="174"/>
      <c r="Y5109" s="58" t="s">
        <v>5784</v>
      </c>
      <c r="Z5109" s="244" t="s">
        <v>1355</v>
      </c>
      <c r="AA5109" s="245">
        <v>10</v>
      </c>
      <c r="AB5109" s="67"/>
      <c r="AC5109" s="67"/>
      <c r="AD5109" s="94"/>
      <c r="AE5109" s="94"/>
      <c r="AF5109" s="94"/>
      <c r="AG5109" s="245"/>
      <c r="AH5109" s="58"/>
      <c r="AI5109" s="169"/>
      <c r="AJ5109" s="94"/>
      <c r="AK5109" s="94"/>
      <c r="AL5109" s="58"/>
      <c r="AM5109" s="58"/>
      <c r="AN5109" s="186"/>
      <c r="AO5109" s="185" t="s">
        <v>7494</v>
      </c>
      <c r="AP5109" s="58"/>
      <c r="AQ5109" s="58"/>
      <c r="AR5109" s="58" t="s">
        <v>1096</v>
      </c>
      <c r="AS5109" s="246" t="s">
        <v>5133</v>
      </c>
      <c r="AT5109" s="247"/>
      <c r="AU5109" s="181" t="s">
        <v>7494</v>
      </c>
      <c r="AV5109" s="185" t="s">
        <v>176</v>
      </c>
      <c r="AW5109" s="244"/>
      <c r="AX5109" s="185" t="s">
        <v>176</v>
      </c>
      <c r="AY5109" s="244"/>
      <c r="AZ5109" s="58"/>
      <c r="BA5109" s="58"/>
      <c r="BB5109" s="58"/>
      <c r="BC5109" s="58"/>
      <c r="BD5109" s="58"/>
      <c r="BE5109" s="236" t="s">
        <v>5203</v>
      </c>
      <c r="BF5109" s="191" t="s">
        <v>479</v>
      </c>
      <c r="BG5109" s="191" t="s">
        <v>479</v>
      </c>
      <c r="BH5109" s="236" t="s">
        <v>5284</v>
      </c>
      <c r="BI5109" s="191" t="s">
        <v>479</v>
      </c>
      <c r="BJ5109" s="58" t="str">
        <f>IF(BE5109=BH5109,"No","yes")</f>
        <v>yes</v>
      </c>
      <c r="BK5109" s="58" t="s">
        <v>6334</v>
      </c>
      <c r="BL5109" s="58"/>
      <c r="BM5109" s="237"/>
      <c r="BN5109" s="244">
        <v>3</v>
      </c>
      <c r="BO5109" s="244">
        <v>3</v>
      </c>
      <c r="BP5109" s="58"/>
      <c r="BQ5109" s="58"/>
      <c r="BR5109" s="58"/>
      <c r="BS5109" s="58"/>
      <c r="BT5109" s="58"/>
      <c r="BU5109" s="58"/>
      <c r="BV5109" s="58" t="s">
        <v>5789</v>
      </c>
      <c r="BW5109" s="67"/>
      <c r="BX5109" s="67"/>
      <c r="BY5109" s="67"/>
      <c r="BZ5109" s="67"/>
      <c r="CA5109" s="67"/>
      <c r="CB5109" s="70">
        <v>6200</v>
      </c>
      <c r="CC5109" s="70">
        <v>4670</v>
      </c>
      <c r="CD5109" s="70"/>
      <c r="CE5109" s="67">
        <v>380</v>
      </c>
      <c r="CF5109" s="67">
        <v>340</v>
      </c>
      <c r="CG5109" s="67" t="s">
        <v>5804</v>
      </c>
      <c r="CH5109" s="245"/>
      <c r="CI5109" s="245"/>
      <c r="CJ5109" s="67"/>
      <c r="CK5109" s="67"/>
      <c r="CL5109" s="67"/>
      <c r="CM5109" s="242"/>
      <c r="CN5109" s="242"/>
      <c r="CO5109" s="242"/>
      <c r="CP5109" s="242"/>
      <c r="CQ5109" s="242"/>
      <c r="CR5109" s="242"/>
      <c r="CS5109" s="242"/>
      <c r="CT5109" s="242"/>
      <c r="CU5109" s="242"/>
      <c r="CV5109" s="242"/>
      <c r="CW5109" s="242"/>
      <c r="CX5109" s="242"/>
      <c r="CY5109" s="242"/>
      <c r="CZ5109" s="242"/>
      <c r="DA5109" s="67" t="s">
        <v>5443</v>
      </c>
      <c r="DB5109" s="67"/>
      <c r="DC5109" s="67"/>
      <c r="DD5109" s="67"/>
      <c r="DE5109" s="67"/>
      <c r="DF5109" s="67"/>
      <c r="DG5109" s="67"/>
      <c r="DH5109" s="67"/>
      <c r="DI5109" s="67"/>
      <c r="DJ5109" s="67"/>
      <c r="DK5109" s="67"/>
      <c r="DL5109" s="67"/>
      <c r="DM5109" s="67"/>
      <c r="DN5109" s="67"/>
      <c r="DO5109" s="67"/>
      <c r="DP5109" s="67"/>
      <c r="DQ5109" s="166"/>
      <c r="DR5109" s="166"/>
      <c r="DS5109" s="163"/>
      <c r="DT5109" s="163"/>
      <c r="DU5109" s="67"/>
      <c r="DV5109" s="67"/>
      <c r="DW5109" s="67"/>
      <c r="DX5109" s="67"/>
      <c r="DY5109" s="67"/>
      <c r="DZ5109" s="67"/>
      <c r="EA5109" s="67"/>
      <c r="EB5109" s="67"/>
      <c r="EC5109" s="67"/>
      <c r="ED5109" s="67"/>
      <c r="EE5109" s="67"/>
      <c r="EF5109" s="67"/>
      <c r="EG5109" s="67"/>
      <c r="EH5109" s="67"/>
      <c r="EI5109" s="67"/>
      <c r="EJ5109" s="67"/>
      <c r="EK5109" s="94"/>
      <c r="EL5109" s="94"/>
      <c r="EM5109" s="67"/>
      <c r="EN5109" s="67"/>
      <c r="EO5109" s="67"/>
      <c r="EP5109" s="67"/>
      <c r="EQ5109" s="67"/>
      <c r="ER5109" s="67"/>
      <c r="ES5109" s="67"/>
      <c r="ET5109" s="67"/>
      <c r="EU5109" s="67"/>
      <c r="EV5109" s="67"/>
      <c r="EW5109" s="67"/>
      <c r="EX5109" s="67"/>
      <c r="EY5109" s="67"/>
      <c r="EZ5109" s="67"/>
      <c r="FA5109" s="67"/>
      <c r="FB5109" s="67"/>
      <c r="FC5109" s="67"/>
      <c r="FD5109" s="67"/>
      <c r="FE5109" s="67"/>
      <c r="FF5109" s="67"/>
      <c r="FG5109" s="67"/>
      <c r="FH5109" s="67"/>
      <c r="FI5109" s="67"/>
      <c r="FJ5109" s="67"/>
      <c r="FK5109" s="67"/>
      <c r="FL5109" s="67"/>
      <c r="FM5109" s="67"/>
      <c r="FN5109" s="67"/>
      <c r="FO5109" s="67"/>
      <c r="FP5109" s="67"/>
      <c r="FQ5109" s="67"/>
      <c r="FR5109" s="67"/>
      <c r="FS5109" s="67"/>
      <c r="FT5109" s="67"/>
      <c r="FU5109" s="67"/>
      <c r="FV5109" s="67"/>
      <c r="FW5109" s="67"/>
      <c r="FX5109" s="67"/>
      <c r="FY5109" s="67"/>
      <c r="FZ5109" s="67"/>
      <c r="GA5109" s="67"/>
      <c r="GB5109" s="67"/>
      <c r="GC5109" s="67"/>
      <c r="GD5109" s="67"/>
      <c r="GE5109" s="67"/>
      <c r="GF5109" s="67"/>
      <c r="GG5109" s="67"/>
      <c r="GH5109" s="67"/>
      <c r="GI5109" s="67"/>
      <c r="GJ5109" s="67"/>
      <c r="GK5109" s="67"/>
      <c r="GL5109" s="67"/>
      <c r="GM5109" s="67"/>
      <c r="GN5109" s="292"/>
      <c r="GO5109" s="292"/>
      <c r="GP5109" s="292" t="s">
        <v>7494</v>
      </c>
      <c r="GQ5109" s="67"/>
      <c r="GR5109" s="67"/>
      <c r="GS5109" s="67"/>
      <c r="GT5109" s="67"/>
      <c r="GU5109" s="67"/>
      <c r="GV5109" s="67"/>
      <c r="GW5109" s="67"/>
      <c r="GX5109" s="67"/>
      <c r="GY5109" s="67"/>
      <c r="GZ5109" s="67"/>
      <c r="HA5109" s="67"/>
      <c r="HB5109" s="67"/>
      <c r="HC5109" s="67"/>
      <c r="HD5109" s="67"/>
      <c r="HE5109" s="67"/>
      <c r="HF5109" s="67"/>
      <c r="HG5109" s="67"/>
      <c r="HH5109" s="67"/>
      <c r="HI5109" s="67"/>
      <c r="HJ5109" s="67"/>
      <c r="HK5109" s="67"/>
      <c r="HL5109" s="67"/>
      <c r="HM5109" s="67"/>
      <c r="HN5109" s="67"/>
      <c r="HO5109" s="67"/>
      <c r="HP5109" s="67"/>
      <c r="HQ5109" s="67"/>
      <c r="HR5109" s="67"/>
      <c r="HS5109" s="67"/>
      <c r="HT5109" s="67"/>
      <c r="HU5109" s="67"/>
      <c r="HV5109" s="67"/>
      <c r="HW5109" s="67"/>
      <c r="HX5109" s="67"/>
      <c r="HY5109" s="67"/>
      <c r="HZ5109" s="67"/>
      <c r="IA5109" s="67"/>
      <c r="IB5109" s="67"/>
      <c r="IC5109" s="67"/>
      <c r="ID5109" s="67"/>
      <c r="IE5109" s="67"/>
      <c r="IF5109" s="67"/>
      <c r="IG5109" s="67"/>
      <c r="IH5109" s="67">
        <v>0.9</v>
      </c>
      <c r="II5109" s="67">
        <v>0.31</v>
      </c>
      <c r="IJ5109" s="67">
        <v>0.16</v>
      </c>
      <c r="IK5109" s="67">
        <v>0.05</v>
      </c>
      <c r="IL5109" s="67" t="s">
        <v>5791</v>
      </c>
      <c r="IM5109" s="67"/>
      <c r="IN5109" s="67"/>
      <c r="IO5109" s="67"/>
      <c r="IP5109" s="67"/>
      <c r="IQ5109" s="67"/>
      <c r="IR5109" s="67"/>
      <c r="IS5109" s="67"/>
      <c r="IT5109" s="67"/>
      <c r="IU5109" s="67"/>
      <c r="IV5109" s="67"/>
      <c r="IW5109" s="67"/>
      <c r="IX5109" s="67"/>
      <c r="IY5109" s="67"/>
      <c r="IZ5109" s="67"/>
      <c r="JA5109" s="67"/>
      <c r="JB5109" s="67">
        <v>49.4</v>
      </c>
      <c r="JC5109" s="67">
        <v>61</v>
      </c>
      <c r="JD5109" s="67">
        <v>4.9000000000000004</v>
      </c>
      <c r="JE5109" s="67">
        <v>3.9</v>
      </c>
      <c r="JF5109" s="67" t="s">
        <v>545</v>
      </c>
      <c r="JG5109" s="67"/>
      <c r="JH5109" s="67"/>
      <c r="JI5109" s="67"/>
      <c r="JJ5109" s="67"/>
      <c r="JK5109" s="67"/>
      <c r="JL5109" s="67"/>
      <c r="JM5109" s="67"/>
      <c r="JN5109" s="67"/>
      <c r="JO5109" s="67"/>
      <c r="JP5109" s="67"/>
      <c r="JQ5109" s="67"/>
      <c r="JR5109" s="67"/>
      <c r="JS5109" s="67"/>
      <c r="JT5109" s="67"/>
      <c r="JU5109" s="58"/>
      <c r="JV5109" s="58"/>
      <c r="JW5109" s="58"/>
    </row>
    <row r="5110" spans="1:283" s="23" customFormat="1" x14ac:dyDescent="0.25">
      <c r="A5110" s="55">
        <v>5109</v>
      </c>
      <c r="B5110" s="12" t="s">
        <v>7067</v>
      </c>
      <c r="C5110" s="156">
        <v>266</v>
      </c>
      <c r="D5110" s="58" t="s">
        <v>5787</v>
      </c>
      <c r="E5110" s="160" t="str">
        <f>G5110</f>
        <v>Qin et al. 2010</v>
      </c>
      <c r="F5110" s="160"/>
      <c r="G5110" s="60" t="s">
        <v>4701</v>
      </c>
      <c r="H5110" s="58">
        <v>2010</v>
      </c>
      <c r="I5110" s="58" t="s">
        <v>5608</v>
      </c>
      <c r="J5110" s="243" t="s">
        <v>2176</v>
      </c>
      <c r="K5110" s="63" t="s">
        <v>5079</v>
      </c>
      <c r="L5110" s="58" t="s">
        <v>3377</v>
      </c>
      <c r="M5110" s="94">
        <f>31+52/60</f>
        <v>31.866666666666667</v>
      </c>
      <c r="N5110" s="94">
        <f>118+50/60</f>
        <v>118.83333333333333</v>
      </c>
      <c r="O5110" s="94">
        <v>10</v>
      </c>
      <c r="P5110" s="58"/>
      <c r="Q5110" s="244">
        <v>25.1</v>
      </c>
      <c r="R5110" s="58"/>
      <c r="S5110" s="245">
        <v>680</v>
      </c>
      <c r="T5110" s="58"/>
      <c r="U5110" s="58" t="s">
        <v>1694</v>
      </c>
      <c r="V5110" s="244">
        <v>7</v>
      </c>
      <c r="W5110" s="174"/>
      <c r="X5110" s="174"/>
      <c r="Y5110" s="58" t="s">
        <v>5784</v>
      </c>
      <c r="Z5110" s="244" t="s">
        <v>1355</v>
      </c>
      <c r="AA5110" s="245">
        <v>10</v>
      </c>
      <c r="AB5110" s="67"/>
      <c r="AC5110" s="67"/>
      <c r="AD5110" s="94"/>
      <c r="AE5110" s="94"/>
      <c r="AF5110" s="94"/>
      <c r="AG5110" s="245"/>
      <c r="AH5110" s="58"/>
      <c r="AI5110" s="169"/>
      <c r="AJ5110" s="94"/>
      <c r="AK5110" s="94"/>
      <c r="AL5110" s="58"/>
      <c r="AM5110" s="58"/>
      <c r="AN5110" s="186"/>
      <c r="AO5110" s="185" t="s">
        <v>7494</v>
      </c>
      <c r="AP5110" s="58"/>
      <c r="AQ5110" s="58"/>
      <c r="AR5110" s="58" t="s">
        <v>1096</v>
      </c>
      <c r="AS5110" s="246" t="s">
        <v>5133</v>
      </c>
      <c r="AT5110" s="247"/>
      <c r="AU5110" s="181" t="s">
        <v>7494</v>
      </c>
      <c r="AV5110" s="185" t="s">
        <v>176</v>
      </c>
      <c r="AW5110" s="244"/>
      <c r="AX5110" s="185" t="s">
        <v>176</v>
      </c>
      <c r="AY5110" s="244"/>
      <c r="AZ5110" s="58"/>
      <c r="BA5110" s="58"/>
      <c r="BB5110" s="58"/>
      <c r="BC5110" s="58"/>
      <c r="BD5110" s="58"/>
      <c r="BE5110" s="236" t="s">
        <v>5203</v>
      </c>
      <c r="BF5110" s="191" t="s">
        <v>479</v>
      </c>
      <c r="BG5110" s="191" t="s">
        <v>479</v>
      </c>
      <c r="BH5110" s="236" t="s">
        <v>5284</v>
      </c>
      <c r="BI5110" s="191" t="s">
        <v>479</v>
      </c>
      <c r="BJ5110" s="58" t="str">
        <f>IF(BE5110=BH5110,"No","yes")</f>
        <v>yes</v>
      </c>
      <c r="BK5110" s="58" t="s">
        <v>6334</v>
      </c>
      <c r="BL5110" s="58"/>
      <c r="BM5110" s="237"/>
      <c r="BN5110" s="244">
        <v>3</v>
      </c>
      <c r="BO5110" s="244">
        <v>3</v>
      </c>
      <c r="BP5110" s="58"/>
      <c r="BQ5110" s="58"/>
      <c r="BR5110" s="58"/>
      <c r="BS5110" s="58"/>
      <c r="BT5110" s="58"/>
      <c r="BU5110" s="58"/>
      <c r="BV5110" s="58" t="s">
        <v>5790</v>
      </c>
      <c r="BW5110" s="67"/>
      <c r="BX5110" s="67"/>
      <c r="BY5110" s="67"/>
      <c r="BZ5110" s="67"/>
      <c r="CA5110" s="67"/>
      <c r="CB5110" s="70">
        <v>6510</v>
      </c>
      <c r="CC5110" s="70">
        <v>4750</v>
      </c>
      <c r="CD5110" s="70"/>
      <c r="CE5110" s="67">
        <v>720</v>
      </c>
      <c r="CF5110" s="67">
        <v>620</v>
      </c>
      <c r="CG5110" s="67" t="s">
        <v>5804</v>
      </c>
      <c r="CH5110" s="245"/>
      <c r="CI5110" s="245"/>
      <c r="CJ5110" s="67"/>
      <c r="CK5110" s="67"/>
      <c r="CL5110" s="67"/>
      <c r="CM5110" s="242"/>
      <c r="CN5110" s="242"/>
      <c r="CO5110" s="242"/>
      <c r="CP5110" s="242"/>
      <c r="CQ5110" s="242"/>
      <c r="CR5110" s="242"/>
      <c r="CS5110" s="242"/>
      <c r="CT5110" s="242"/>
      <c r="CU5110" s="242"/>
      <c r="CV5110" s="242"/>
      <c r="CW5110" s="242"/>
      <c r="CX5110" s="242"/>
      <c r="CY5110" s="242"/>
      <c r="CZ5110" s="242"/>
      <c r="DA5110" s="67" t="s">
        <v>5443</v>
      </c>
      <c r="DB5110" s="67"/>
      <c r="DC5110" s="67"/>
      <c r="DD5110" s="67"/>
      <c r="DE5110" s="67"/>
      <c r="DF5110" s="67"/>
      <c r="DG5110" s="67"/>
      <c r="DH5110" s="67"/>
      <c r="DI5110" s="67"/>
      <c r="DJ5110" s="67"/>
      <c r="DK5110" s="67"/>
      <c r="DL5110" s="67"/>
      <c r="DM5110" s="67"/>
      <c r="DN5110" s="67"/>
      <c r="DO5110" s="67"/>
      <c r="DP5110" s="67"/>
      <c r="DQ5110" s="166"/>
      <c r="DR5110" s="166"/>
      <c r="DS5110" s="163"/>
      <c r="DT5110" s="163"/>
      <c r="DU5110" s="67"/>
      <c r="DV5110" s="67"/>
      <c r="DW5110" s="67"/>
      <c r="DX5110" s="67"/>
      <c r="DY5110" s="67"/>
      <c r="DZ5110" s="67"/>
      <c r="EA5110" s="67"/>
      <c r="EB5110" s="67"/>
      <c r="EC5110" s="67"/>
      <c r="ED5110" s="67"/>
      <c r="EE5110" s="67"/>
      <c r="EF5110" s="67"/>
      <c r="EG5110" s="67"/>
      <c r="EH5110" s="67"/>
      <c r="EI5110" s="67"/>
      <c r="EJ5110" s="67"/>
      <c r="EK5110" s="94"/>
      <c r="EL5110" s="94"/>
      <c r="EM5110" s="67"/>
      <c r="EN5110" s="67"/>
      <c r="EO5110" s="67"/>
      <c r="EP5110" s="67"/>
      <c r="EQ5110" s="67"/>
      <c r="ER5110" s="67"/>
      <c r="ES5110" s="67"/>
      <c r="ET5110" s="67"/>
      <c r="EU5110" s="67"/>
      <c r="EV5110" s="67"/>
      <c r="EW5110" s="67"/>
      <c r="EX5110" s="67"/>
      <c r="EY5110" s="67"/>
      <c r="EZ5110" s="67"/>
      <c r="FA5110" s="67"/>
      <c r="FB5110" s="67"/>
      <c r="FC5110" s="67"/>
      <c r="FD5110" s="67"/>
      <c r="FE5110" s="67"/>
      <c r="FF5110" s="67"/>
      <c r="FG5110" s="67"/>
      <c r="FH5110" s="67"/>
      <c r="FI5110" s="67"/>
      <c r="FJ5110" s="67"/>
      <c r="FK5110" s="67"/>
      <c r="FL5110" s="67"/>
      <c r="FM5110" s="67"/>
      <c r="FN5110" s="67"/>
      <c r="FO5110" s="67"/>
      <c r="FP5110" s="67"/>
      <c r="FQ5110" s="67"/>
      <c r="FR5110" s="67"/>
      <c r="FS5110" s="67"/>
      <c r="FT5110" s="67"/>
      <c r="FU5110" s="67"/>
      <c r="FV5110" s="67"/>
      <c r="FW5110" s="67"/>
      <c r="FX5110" s="67"/>
      <c r="FY5110" s="67"/>
      <c r="FZ5110" s="67"/>
      <c r="GA5110" s="67"/>
      <c r="GB5110" s="67"/>
      <c r="GC5110" s="67"/>
      <c r="GD5110" s="67"/>
      <c r="GE5110" s="67"/>
      <c r="GF5110" s="67"/>
      <c r="GG5110" s="67"/>
      <c r="GH5110" s="67"/>
      <c r="GI5110" s="67"/>
      <c r="GJ5110" s="67"/>
      <c r="GK5110" s="67"/>
      <c r="GL5110" s="67"/>
      <c r="GM5110" s="67"/>
      <c r="GN5110" s="292"/>
      <c r="GO5110" s="292"/>
      <c r="GP5110" s="292" t="s">
        <v>7494</v>
      </c>
      <c r="GQ5110" s="67"/>
      <c r="GR5110" s="67"/>
      <c r="GS5110" s="67"/>
      <c r="GT5110" s="67"/>
      <c r="GU5110" s="67"/>
      <c r="GV5110" s="67"/>
      <c r="GW5110" s="67"/>
      <c r="GX5110" s="67"/>
      <c r="GY5110" s="67"/>
      <c r="GZ5110" s="67"/>
      <c r="HA5110" s="67"/>
      <c r="HB5110" s="67"/>
      <c r="HC5110" s="67"/>
      <c r="HD5110" s="67"/>
      <c r="HE5110" s="67"/>
      <c r="HF5110" s="67"/>
      <c r="HG5110" s="67"/>
      <c r="HH5110" s="67"/>
      <c r="HI5110" s="67"/>
      <c r="HJ5110" s="67"/>
      <c r="HK5110" s="67"/>
      <c r="HL5110" s="67"/>
      <c r="HM5110" s="67"/>
      <c r="HN5110" s="67"/>
      <c r="HO5110" s="67"/>
      <c r="HP5110" s="67"/>
      <c r="HQ5110" s="67"/>
      <c r="HR5110" s="67"/>
      <c r="HS5110" s="67"/>
      <c r="HT5110" s="67"/>
      <c r="HU5110" s="67"/>
      <c r="HV5110" s="67"/>
      <c r="HW5110" s="67"/>
      <c r="HX5110" s="67"/>
      <c r="HY5110" s="67"/>
      <c r="HZ5110" s="67"/>
      <c r="IA5110" s="67"/>
      <c r="IB5110" s="67"/>
      <c r="IC5110" s="67"/>
      <c r="ID5110" s="67"/>
      <c r="IE5110" s="67"/>
      <c r="IF5110" s="67"/>
      <c r="IG5110" s="67"/>
      <c r="IH5110" s="67">
        <v>1.3</v>
      </c>
      <c r="II5110" s="67">
        <v>0.39</v>
      </c>
      <c r="IJ5110" s="67">
        <v>0.11</v>
      </c>
      <c r="IK5110" s="67">
        <v>0.08</v>
      </c>
      <c r="IL5110" s="67" t="s">
        <v>5791</v>
      </c>
      <c r="IM5110" s="67"/>
      <c r="IN5110" s="67"/>
      <c r="IO5110" s="67"/>
      <c r="IP5110" s="67"/>
      <c r="IQ5110" s="67"/>
      <c r="IR5110" s="67"/>
      <c r="IS5110" s="67"/>
      <c r="IT5110" s="67"/>
      <c r="IU5110" s="67"/>
      <c r="IV5110" s="67"/>
      <c r="IW5110" s="67"/>
      <c r="IX5110" s="67"/>
      <c r="IY5110" s="67"/>
      <c r="IZ5110" s="67"/>
      <c r="JA5110" s="67"/>
      <c r="JB5110" s="67">
        <v>36.9</v>
      </c>
      <c r="JC5110" s="67">
        <v>49.9</v>
      </c>
      <c r="JD5110" s="67">
        <v>3.2</v>
      </c>
      <c r="JE5110" s="67">
        <v>7.3</v>
      </c>
      <c r="JF5110" s="67" t="s">
        <v>545</v>
      </c>
      <c r="JG5110" s="67"/>
      <c r="JH5110" s="67"/>
      <c r="JI5110" s="67"/>
      <c r="JJ5110" s="67"/>
      <c r="JK5110" s="67"/>
      <c r="JL5110" s="67"/>
      <c r="JM5110" s="67"/>
      <c r="JN5110" s="67"/>
      <c r="JO5110" s="67"/>
      <c r="JP5110" s="67"/>
      <c r="JQ5110" s="67"/>
      <c r="JR5110" s="67"/>
      <c r="JS5110" s="67"/>
      <c r="JT5110" s="67"/>
      <c r="JU5110" s="58"/>
      <c r="JV5110" s="58"/>
      <c r="JW5110" s="58"/>
    </row>
    <row r="5111" spans="1:283" s="23" customFormat="1" x14ac:dyDescent="0.25">
      <c r="A5111" s="55">
        <v>5110</v>
      </c>
      <c r="B5111" s="12" t="s">
        <v>7067</v>
      </c>
      <c r="C5111" s="156">
        <v>267</v>
      </c>
      <c r="D5111" s="58" t="s">
        <v>5797</v>
      </c>
      <c r="E5111" s="160" t="str">
        <f>G5111</f>
        <v>Rasul and Thapa 2004</v>
      </c>
      <c r="F5111" s="160"/>
      <c r="G5111" s="60" t="s">
        <v>4700</v>
      </c>
      <c r="H5111" s="58">
        <v>2004</v>
      </c>
      <c r="I5111" s="58" t="s">
        <v>2847</v>
      </c>
      <c r="J5111" s="243" t="s">
        <v>757</v>
      </c>
      <c r="K5111" s="63" t="s">
        <v>5078</v>
      </c>
      <c r="L5111" s="58" t="s">
        <v>5336</v>
      </c>
      <c r="M5111" s="94">
        <v>23.68</v>
      </c>
      <c r="N5111" s="94">
        <v>90.36</v>
      </c>
      <c r="O5111" s="94">
        <v>52</v>
      </c>
      <c r="P5111" s="58"/>
      <c r="Q5111" s="244"/>
      <c r="R5111" s="58"/>
      <c r="S5111" s="245"/>
      <c r="T5111" s="58"/>
      <c r="U5111" s="58" t="s">
        <v>1889</v>
      </c>
      <c r="V5111" s="244">
        <v>12</v>
      </c>
      <c r="W5111" s="174"/>
      <c r="X5111" s="174"/>
      <c r="Y5111" s="58" t="s">
        <v>5792</v>
      </c>
      <c r="Z5111" s="244" t="s">
        <v>1346</v>
      </c>
      <c r="AA5111" s="245">
        <v>20</v>
      </c>
      <c r="AB5111" s="67"/>
      <c r="AC5111" s="67"/>
      <c r="AD5111" s="94"/>
      <c r="AE5111" s="94"/>
      <c r="AF5111" s="94"/>
      <c r="AG5111" s="245"/>
      <c r="AH5111" s="58" t="s">
        <v>238</v>
      </c>
      <c r="AI5111" s="169"/>
      <c r="AJ5111" s="94"/>
      <c r="AK5111" s="94"/>
      <c r="AL5111" s="58"/>
      <c r="AM5111" s="58"/>
      <c r="AN5111" s="186"/>
      <c r="AO5111" s="185" t="s">
        <v>5150</v>
      </c>
      <c r="AP5111" s="58"/>
      <c r="AQ5111" s="58"/>
      <c r="AR5111" s="58" t="s">
        <v>1096</v>
      </c>
      <c r="AS5111" s="246" t="s">
        <v>5133</v>
      </c>
      <c r="AT5111" s="247">
        <v>1</v>
      </c>
      <c r="AU5111" s="181" t="s">
        <v>7494</v>
      </c>
      <c r="AV5111" s="185" t="s">
        <v>176</v>
      </c>
      <c r="AW5111" s="244">
        <v>1</v>
      </c>
      <c r="AX5111" s="185" t="s">
        <v>176</v>
      </c>
      <c r="AY5111" s="244" t="s">
        <v>176</v>
      </c>
      <c r="AZ5111" s="58"/>
      <c r="BA5111" s="58"/>
      <c r="BB5111" s="58"/>
      <c r="BC5111" s="58"/>
      <c r="BD5111" s="58"/>
      <c r="BE5111" s="236" t="s">
        <v>5155</v>
      </c>
      <c r="BF5111" s="191" t="s">
        <v>176</v>
      </c>
      <c r="BG5111" s="191" t="s">
        <v>479</v>
      </c>
      <c r="BH5111" s="236" t="s">
        <v>5155</v>
      </c>
      <c r="BI5111" s="191" t="s">
        <v>479</v>
      </c>
      <c r="BJ5111" s="58" t="str">
        <f>IF(BE5111=BH5111,"No","yes")</f>
        <v>No</v>
      </c>
      <c r="BK5111" s="58" t="s">
        <v>6334</v>
      </c>
      <c r="BL5111" s="58" t="s">
        <v>5805</v>
      </c>
      <c r="BM5111" s="237"/>
      <c r="BN5111" s="244">
        <v>10</v>
      </c>
      <c r="BO5111" s="244">
        <v>10</v>
      </c>
      <c r="BP5111" s="58"/>
      <c r="BQ5111" s="58"/>
      <c r="BR5111" s="58"/>
      <c r="BS5111" s="58"/>
      <c r="BT5111" s="58"/>
      <c r="BU5111" s="58"/>
      <c r="BV5111" s="58"/>
      <c r="BW5111" s="67"/>
      <c r="BX5111" s="67"/>
      <c r="BY5111" s="67"/>
      <c r="BZ5111" s="67"/>
      <c r="CA5111" s="67"/>
      <c r="CB5111" s="70">
        <v>4910</v>
      </c>
      <c r="CC5111" s="70">
        <v>4594</v>
      </c>
      <c r="CD5111" s="70"/>
      <c r="CE5111" s="67"/>
      <c r="CF5111" s="67"/>
      <c r="CG5111" s="67" t="s">
        <v>545</v>
      </c>
      <c r="CH5111" s="245"/>
      <c r="CI5111" s="245"/>
      <c r="CJ5111" s="67"/>
      <c r="CK5111" s="67"/>
      <c r="CL5111" s="67"/>
      <c r="CM5111" s="242">
        <f>1.08*0.58</f>
        <v>0.62639999999999996</v>
      </c>
      <c r="CN5111" s="242">
        <f>2.32*0.58</f>
        <v>1.3455999999999999</v>
      </c>
      <c r="CO5111" s="242"/>
      <c r="CP5111" s="242"/>
      <c r="CQ5111" s="242" t="s">
        <v>164</v>
      </c>
      <c r="CR5111" s="242"/>
      <c r="CS5111" s="242"/>
      <c r="CT5111" s="242"/>
      <c r="CU5111" s="242"/>
      <c r="CV5111" s="242"/>
      <c r="CW5111" s="242"/>
      <c r="CX5111" s="242"/>
      <c r="CY5111" s="242"/>
      <c r="CZ5111" s="242"/>
      <c r="DA5111" s="67"/>
      <c r="DB5111" s="67">
        <v>0.09</v>
      </c>
      <c r="DC5111" s="67">
        <v>0.12</v>
      </c>
      <c r="DD5111" s="67"/>
      <c r="DE5111" s="67"/>
      <c r="DF5111" s="67" t="s">
        <v>164</v>
      </c>
      <c r="DG5111" s="67">
        <v>4</v>
      </c>
      <c r="DH5111" s="67">
        <v>2.4900000000000002</v>
      </c>
      <c r="DI5111" s="67"/>
      <c r="DJ5111" s="67"/>
      <c r="DK5111" s="67"/>
      <c r="DL5111" s="67">
        <v>0.04</v>
      </c>
      <c r="DM5111" s="67">
        <v>0.12</v>
      </c>
      <c r="DN5111" s="67"/>
      <c r="DO5111" s="67"/>
      <c r="DP5111" s="67"/>
      <c r="DQ5111" s="166">
        <v>6.24</v>
      </c>
      <c r="DR5111" s="166">
        <v>5.67</v>
      </c>
      <c r="DS5111" s="163"/>
      <c r="DT5111" s="163"/>
      <c r="DU5111" s="67"/>
      <c r="DV5111" s="67"/>
      <c r="DW5111" s="67"/>
      <c r="DX5111" s="67"/>
      <c r="DY5111" s="67"/>
      <c r="DZ5111" s="67"/>
      <c r="EA5111" s="67"/>
      <c r="EB5111" s="67"/>
      <c r="EC5111" s="67"/>
      <c r="ED5111" s="67"/>
      <c r="EE5111" s="67"/>
      <c r="EF5111" s="67"/>
      <c r="EG5111" s="67"/>
      <c r="EH5111" s="67"/>
      <c r="EI5111" s="67"/>
      <c r="EJ5111" s="67"/>
      <c r="EK5111" s="94"/>
      <c r="EL5111" s="94"/>
      <c r="EM5111" s="67"/>
      <c r="EN5111" s="67"/>
      <c r="EO5111" s="67"/>
      <c r="EP5111" s="67"/>
      <c r="EQ5111" s="67"/>
      <c r="ER5111" s="67"/>
      <c r="ES5111" s="67"/>
      <c r="ET5111" s="67"/>
      <c r="EU5111" s="67"/>
      <c r="EV5111" s="67"/>
      <c r="EW5111" s="67"/>
      <c r="EX5111" s="67"/>
      <c r="EY5111" s="67"/>
      <c r="EZ5111" s="67"/>
      <c r="FA5111" s="67"/>
      <c r="FB5111" s="67"/>
      <c r="FC5111" s="67"/>
      <c r="FD5111" s="67"/>
      <c r="FE5111" s="67"/>
      <c r="FF5111" s="67"/>
      <c r="FG5111" s="67"/>
      <c r="FH5111" s="67"/>
      <c r="FI5111" s="67"/>
      <c r="FJ5111" s="67"/>
      <c r="FK5111" s="67"/>
      <c r="FL5111" s="67"/>
      <c r="FM5111" s="67"/>
      <c r="FN5111" s="67"/>
      <c r="FO5111" s="67"/>
      <c r="FP5111" s="67"/>
      <c r="FQ5111" s="67"/>
      <c r="FR5111" s="67"/>
      <c r="FS5111" s="67"/>
      <c r="FT5111" s="67"/>
      <c r="FU5111" s="67"/>
      <c r="FV5111" s="67"/>
      <c r="FW5111" s="67"/>
      <c r="FX5111" s="67"/>
      <c r="FY5111" s="67"/>
      <c r="FZ5111" s="67"/>
      <c r="GA5111" s="67"/>
      <c r="GB5111" s="67"/>
      <c r="GC5111" s="67"/>
      <c r="GD5111" s="67"/>
      <c r="GE5111" s="67"/>
      <c r="GF5111" s="67"/>
      <c r="GG5111" s="67"/>
      <c r="GH5111" s="67"/>
      <c r="GI5111" s="67"/>
      <c r="GJ5111" s="67"/>
      <c r="GK5111" s="67"/>
      <c r="GL5111" s="67"/>
      <c r="GM5111" s="67"/>
      <c r="GN5111" s="292"/>
      <c r="GO5111" s="292"/>
      <c r="GP5111" s="292" t="s">
        <v>7494</v>
      </c>
      <c r="GQ5111" s="67"/>
      <c r="GR5111" s="67"/>
      <c r="GS5111" s="67"/>
      <c r="GT5111" s="67"/>
      <c r="GU5111" s="67"/>
      <c r="GV5111" s="67"/>
      <c r="GW5111" s="67"/>
      <c r="GX5111" s="67"/>
      <c r="GY5111" s="67"/>
      <c r="GZ5111" s="67"/>
      <c r="HA5111" s="67"/>
      <c r="HB5111" s="67"/>
      <c r="HC5111" s="67"/>
      <c r="HD5111" s="67"/>
      <c r="HE5111" s="67"/>
      <c r="HF5111" s="67"/>
      <c r="HG5111" s="67"/>
      <c r="HH5111" s="67"/>
      <c r="HI5111" s="67"/>
      <c r="HJ5111" s="67"/>
      <c r="HK5111" s="67"/>
      <c r="HL5111" s="67"/>
      <c r="HM5111" s="67"/>
      <c r="HN5111" s="67"/>
      <c r="HO5111" s="67"/>
      <c r="HP5111" s="67"/>
      <c r="HQ5111" s="67"/>
      <c r="HR5111" s="67"/>
      <c r="HS5111" s="67"/>
      <c r="HT5111" s="67"/>
      <c r="HU5111" s="67"/>
      <c r="HV5111" s="67"/>
      <c r="HW5111" s="67"/>
      <c r="HX5111" s="67"/>
      <c r="HY5111" s="67"/>
      <c r="HZ5111" s="67"/>
      <c r="IA5111" s="67"/>
      <c r="IB5111" s="67"/>
      <c r="IC5111" s="67"/>
      <c r="ID5111" s="67"/>
      <c r="IE5111" s="67"/>
      <c r="IF5111" s="67"/>
      <c r="IG5111" s="67"/>
      <c r="IH5111" s="67"/>
      <c r="II5111" s="67"/>
      <c r="IJ5111" s="67"/>
      <c r="IK5111" s="67"/>
      <c r="IL5111" s="67"/>
      <c r="IM5111" s="67"/>
      <c r="IN5111" s="67"/>
      <c r="IO5111" s="67"/>
      <c r="IP5111" s="67"/>
      <c r="IQ5111" s="67"/>
      <c r="IR5111" s="67"/>
      <c r="IS5111" s="67"/>
      <c r="IT5111" s="67"/>
      <c r="IU5111" s="67"/>
      <c r="IV5111" s="67"/>
      <c r="IW5111" s="67"/>
      <c r="IX5111" s="67"/>
      <c r="IY5111" s="67"/>
      <c r="IZ5111" s="67"/>
      <c r="JA5111" s="67"/>
      <c r="JB5111" s="67"/>
      <c r="JC5111" s="67"/>
      <c r="JD5111" s="67"/>
      <c r="JE5111" s="67"/>
      <c r="JF5111" s="67"/>
      <c r="JG5111" s="67"/>
      <c r="JH5111" s="67"/>
      <c r="JI5111" s="67"/>
      <c r="JJ5111" s="67"/>
      <c r="JK5111" s="67"/>
      <c r="JL5111" s="67"/>
      <c r="JM5111" s="67"/>
      <c r="JN5111" s="67"/>
      <c r="JO5111" s="67"/>
      <c r="JP5111" s="67"/>
      <c r="JQ5111" s="67">
        <v>99999</v>
      </c>
      <c r="JR5111" s="67"/>
      <c r="JS5111" s="67"/>
      <c r="JT5111" s="67"/>
      <c r="JU5111" s="58" t="s">
        <v>5793</v>
      </c>
      <c r="JV5111" s="58"/>
      <c r="JW5111" s="58"/>
    </row>
    <row r="5112" spans="1:283" s="23" customFormat="1" x14ac:dyDescent="0.25">
      <c r="A5112" s="55">
        <v>5111</v>
      </c>
      <c r="B5112" s="12" t="s">
        <v>7067</v>
      </c>
      <c r="C5112" s="156">
        <v>267</v>
      </c>
      <c r="D5112" s="58" t="s">
        <v>5798</v>
      </c>
      <c r="E5112" s="160" t="str">
        <f>G5112</f>
        <v>Rasul and Thapa 2004</v>
      </c>
      <c r="F5112" s="160"/>
      <c r="G5112" s="60" t="s">
        <v>4700</v>
      </c>
      <c r="H5112" s="58">
        <v>2004</v>
      </c>
      <c r="I5112" s="58" t="s">
        <v>2847</v>
      </c>
      <c r="J5112" s="243" t="s">
        <v>757</v>
      </c>
      <c r="K5112" s="63" t="s">
        <v>5078</v>
      </c>
      <c r="L5112" s="58" t="s">
        <v>5336</v>
      </c>
      <c r="M5112" s="94">
        <v>23.68</v>
      </c>
      <c r="N5112" s="94">
        <v>90.36</v>
      </c>
      <c r="O5112" s="94">
        <v>52</v>
      </c>
      <c r="P5112" s="58"/>
      <c r="Q5112" s="244"/>
      <c r="R5112" s="58"/>
      <c r="S5112" s="245"/>
      <c r="T5112" s="58"/>
      <c r="U5112" s="58" t="s">
        <v>1889</v>
      </c>
      <c r="V5112" s="244">
        <v>12</v>
      </c>
      <c r="W5112" s="174"/>
      <c r="X5112" s="174"/>
      <c r="Y5112" s="58" t="s">
        <v>5792</v>
      </c>
      <c r="Z5112" s="244" t="s">
        <v>1346</v>
      </c>
      <c r="AA5112" s="245">
        <v>20</v>
      </c>
      <c r="AB5112" s="67"/>
      <c r="AC5112" s="67"/>
      <c r="AD5112" s="94"/>
      <c r="AE5112" s="94"/>
      <c r="AF5112" s="94"/>
      <c r="AG5112" s="245"/>
      <c r="AH5112" s="58" t="s">
        <v>238</v>
      </c>
      <c r="AI5112" s="169"/>
      <c r="AJ5112" s="94"/>
      <c r="AK5112" s="94"/>
      <c r="AL5112" s="58"/>
      <c r="AM5112" s="58"/>
      <c r="AN5112" s="186"/>
      <c r="AO5112" s="185" t="s">
        <v>7494</v>
      </c>
      <c r="AP5112" s="58"/>
      <c r="AQ5112" s="58"/>
      <c r="AR5112" s="58" t="s">
        <v>1096</v>
      </c>
      <c r="AS5112" s="246" t="s">
        <v>5133</v>
      </c>
      <c r="AT5112" s="247">
        <v>1</v>
      </c>
      <c r="AU5112" s="181" t="s">
        <v>7494</v>
      </c>
      <c r="AV5112" s="185" t="s">
        <v>176</v>
      </c>
      <c r="AW5112" s="244">
        <v>1</v>
      </c>
      <c r="AX5112" s="185" t="s">
        <v>176</v>
      </c>
      <c r="AY5112" s="244" t="s">
        <v>176</v>
      </c>
      <c r="AZ5112" s="58"/>
      <c r="BA5112" s="58"/>
      <c r="BB5112" s="58"/>
      <c r="BC5112" s="58"/>
      <c r="BD5112" s="58"/>
      <c r="BE5112" s="236" t="s">
        <v>5155</v>
      </c>
      <c r="BF5112" s="191" t="s">
        <v>176</v>
      </c>
      <c r="BG5112" s="191" t="s">
        <v>479</v>
      </c>
      <c r="BH5112" s="236" t="s">
        <v>5155</v>
      </c>
      <c r="BI5112" s="191" t="s">
        <v>479</v>
      </c>
      <c r="BJ5112" s="58" t="str">
        <f>IF(BE5112=BH5112,"No","yes")</f>
        <v>No</v>
      </c>
      <c r="BK5112" s="58" t="s">
        <v>6334</v>
      </c>
      <c r="BL5112" s="58" t="s">
        <v>5805</v>
      </c>
      <c r="BM5112" s="237"/>
      <c r="BN5112" s="244">
        <v>10</v>
      </c>
      <c r="BO5112" s="244">
        <v>10</v>
      </c>
      <c r="BP5112" s="58"/>
      <c r="BQ5112" s="58"/>
      <c r="BR5112" s="58"/>
      <c r="BS5112" s="58"/>
      <c r="BT5112" s="58"/>
      <c r="BU5112" s="58"/>
      <c r="BV5112" s="58"/>
      <c r="BW5112" s="67"/>
      <c r="BX5112" s="67"/>
      <c r="BY5112" s="67"/>
      <c r="BZ5112" s="67"/>
      <c r="CA5112" s="67"/>
      <c r="CB5112" s="70">
        <v>2011</v>
      </c>
      <c r="CC5112" s="70">
        <v>1998</v>
      </c>
      <c r="CD5112" s="70"/>
      <c r="CE5112" s="67"/>
      <c r="CF5112" s="67"/>
      <c r="CG5112" s="67" t="s">
        <v>545</v>
      </c>
      <c r="CH5112" s="245"/>
      <c r="CI5112" s="245"/>
      <c r="CJ5112" s="67"/>
      <c r="CK5112" s="67"/>
      <c r="CL5112" s="67"/>
      <c r="CM5112" s="242"/>
      <c r="CN5112" s="242"/>
      <c r="CO5112" s="242"/>
      <c r="CP5112" s="242"/>
      <c r="CQ5112" s="242"/>
      <c r="CR5112" s="242"/>
      <c r="CS5112" s="242"/>
      <c r="CT5112" s="242"/>
      <c r="CU5112" s="242"/>
      <c r="CV5112" s="242"/>
      <c r="CW5112" s="242"/>
      <c r="CX5112" s="242"/>
      <c r="CY5112" s="242"/>
      <c r="CZ5112" s="242"/>
      <c r="DA5112" s="67"/>
      <c r="DB5112" s="67"/>
      <c r="DC5112" s="67"/>
      <c r="DD5112" s="67"/>
      <c r="DE5112" s="67"/>
      <c r="DF5112" s="67"/>
      <c r="DG5112" s="67"/>
      <c r="DH5112" s="67"/>
      <c r="DI5112" s="67"/>
      <c r="DJ5112" s="67"/>
      <c r="DK5112" s="67"/>
      <c r="DL5112" s="67"/>
      <c r="DM5112" s="67"/>
      <c r="DN5112" s="67"/>
      <c r="DO5112" s="67"/>
      <c r="DP5112" s="67"/>
      <c r="DQ5112" s="166"/>
      <c r="DR5112" s="166"/>
      <c r="DS5112" s="163"/>
      <c r="DT5112" s="163"/>
      <c r="DU5112" s="67"/>
      <c r="DV5112" s="67"/>
      <c r="DW5112" s="67"/>
      <c r="DX5112" s="67"/>
      <c r="DY5112" s="67"/>
      <c r="DZ5112" s="67"/>
      <c r="EA5112" s="67"/>
      <c r="EB5112" s="67"/>
      <c r="EC5112" s="67"/>
      <c r="ED5112" s="67"/>
      <c r="EE5112" s="67"/>
      <c r="EF5112" s="67"/>
      <c r="EG5112" s="67"/>
      <c r="EH5112" s="67"/>
      <c r="EI5112" s="67"/>
      <c r="EJ5112" s="67"/>
      <c r="EK5112" s="94"/>
      <c r="EL5112" s="94"/>
      <c r="EM5112" s="67"/>
      <c r="EN5112" s="67"/>
      <c r="EO5112" s="67"/>
      <c r="EP5112" s="67"/>
      <c r="EQ5112" s="67"/>
      <c r="ER5112" s="67"/>
      <c r="ES5112" s="67"/>
      <c r="ET5112" s="67"/>
      <c r="EU5112" s="67"/>
      <c r="EV5112" s="67"/>
      <c r="EW5112" s="67"/>
      <c r="EX5112" s="67"/>
      <c r="EY5112" s="67"/>
      <c r="EZ5112" s="67"/>
      <c r="FA5112" s="67"/>
      <c r="FB5112" s="67"/>
      <c r="FC5112" s="67"/>
      <c r="FD5112" s="67"/>
      <c r="FE5112" s="67"/>
      <c r="FF5112" s="67"/>
      <c r="FG5112" s="67"/>
      <c r="FH5112" s="67"/>
      <c r="FI5112" s="67"/>
      <c r="FJ5112" s="67"/>
      <c r="FK5112" s="67"/>
      <c r="FL5112" s="67"/>
      <c r="FM5112" s="67"/>
      <c r="FN5112" s="67"/>
      <c r="FO5112" s="67"/>
      <c r="FP5112" s="67"/>
      <c r="FQ5112" s="67"/>
      <c r="FR5112" s="67"/>
      <c r="FS5112" s="67"/>
      <c r="FT5112" s="67"/>
      <c r="FU5112" s="67"/>
      <c r="FV5112" s="67"/>
      <c r="FW5112" s="67"/>
      <c r="FX5112" s="67"/>
      <c r="FY5112" s="67"/>
      <c r="FZ5112" s="67"/>
      <c r="GA5112" s="67"/>
      <c r="GB5112" s="67"/>
      <c r="GC5112" s="67"/>
      <c r="GD5112" s="67"/>
      <c r="GE5112" s="67"/>
      <c r="GF5112" s="67"/>
      <c r="GG5112" s="67"/>
      <c r="GH5112" s="67"/>
      <c r="GI5112" s="67"/>
      <c r="GJ5112" s="67"/>
      <c r="GK5112" s="67"/>
      <c r="GL5112" s="67"/>
      <c r="GM5112" s="67"/>
      <c r="GN5112" s="292"/>
      <c r="GO5112" s="292"/>
      <c r="GP5112" s="292" t="s">
        <v>7494</v>
      </c>
      <c r="GQ5112" s="67"/>
      <c r="GR5112" s="67"/>
      <c r="GS5112" s="67"/>
      <c r="GT5112" s="67"/>
      <c r="GU5112" s="67"/>
      <c r="GV5112" s="67"/>
      <c r="GW5112" s="67"/>
      <c r="GX5112" s="67"/>
      <c r="GY5112" s="67"/>
      <c r="GZ5112" s="67"/>
      <c r="HA5112" s="67"/>
      <c r="HB5112" s="67"/>
      <c r="HC5112" s="67"/>
      <c r="HD5112" s="67"/>
      <c r="HE5112" s="67"/>
      <c r="HF5112" s="67"/>
      <c r="HG5112" s="67"/>
      <c r="HH5112" s="67"/>
      <c r="HI5112" s="67"/>
      <c r="HJ5112" s="67"/>
      <c r="HK5112" s="67"/>
      <c r="HL5112" s="67"/>
      <c r="HM5112" s="67"/>
      <c r="HN5112" s="67"/>
      <c r="HO5112" s="67"/>
      <c r="HP5112" s="67"/>
      <c r="HQ5112" s="67"/>
      <c r="HR5112" s="67"/>
      <c r="HS5112" s="67"/>
      <c r="HT5112" s="67"/>
      <c r="HU5112" s="67"/>
      <c r="HV5112" s="67"/>
      <c r="HW5112" s="67"/>
      <c r="HX5112" s="67"/>
      <c r="HY5112" s="67"/>
      <c r="HZ5112" s="67"/>
      <c r="IA5112" s="67"/>
      <c r="IB5112" s="67"/>
      <c r="IC5112" s="67"/>
      <c r="ID5112" s="67"/>
      <c r="IE5112" s="67"/>
      <c r="IF5112" s="67"/>
      <c r="IG5112" s="67"/>
      <c r="IH5112" s="67"/>
      <c r="II5112" s="67"/>
      <c r="IJ5112" s="67"/>
      <c r="IK5112" s="67"/>
      <c r="IL5112" s="67"/>
      <c r="IM5112" s="67"/>
      <c r="IN5112" s="67"/>
      <c r="IO5112" s="67"/>
      <c r="IP5112" s="67"/>
      <c r="IQ5112" s="67"/>
      <c r="IR5112" s="67"/>
      <c r="IS5112" s="67"/>
      <c r="IT5112" s="67"/>
      <c r="IU5112" s="67"/>
      <c r="IV5112" s="67"/>
      <c r="IW5112" s="67"/>
      <c r="IX5112" s="67"/>
      <c r="IY5112" s="67"/>
      <c r="IZ5112" s="67"/>
      <c r="JA5112" s="67"/>
      <c r="JB5112" s="67"/>
      <c r="JC5112" s="67"/>
      <c r="JD5112" s="67"/>
      <c r="JE5112" s="67"/>
      <c r="JF5112" s="67"/>
      <c r="JG5112" s="67"/>
      <c r="JH5112" s="67"/>
      <c r="JI5112" s="67"/>
      <c r="JJ5112" s="67"/>
      <c r="JK5112" s="67"/>
      <c r="JL5112" s="67"/>
      <c r="JM5112" s="67"/>
      <c r="JN5112" s="67"/>
      <c r="JO5112" s="67"/>
      <c r="JP5112" s="67"/>
      <c r="JQ5112" s="67">
        <v>99999</v>
      </c>
      <c r="JR5112" s="67"/>
      <c r="JS5112" s="67"/>
      <c r="JT5112" s="67"/>
      <c r="JU5112" s="58" t="s">
        <v>5793</v>
      </c>
      <c r="JV5112" s="58"/>
      <c r="JW5112" s="58"/>
    </row>
    <row r="5113" spans="1:283" s="23" customFormat="1" x14ac:dyDescent="0.25">
      <c r="A5113" s="55">
        <v>5112</v>
      </c>
      <c r="B5113" s="12" t="s">
        <v>7067</v>
      </c>
      <c r="C5113" s="156">
        <v>267</v>
      </c>
      <c r="D5113" s="58" t="s">
        <v>5799</v>
      </c>
      <c r="E5113" s="160" t="str">
        <f>G5113</f>
        <v>Rasul and Thapa 2004</v>
      </c>
      <c r="F5113" s="160"/>
      <c r="G5113" s="60" t="s">
        <v>4700</v>
      </c>
      <c r="H5113" s="58">
        <v>2004</v>
      </c>
      <c r="I5113" s="58" t="s">
        <v>2847</v>
      </c>
      <c r="J5113" s="243" t="s">
        <v>757</v>
      </c>
      <c r="K5113" s="63" t="s">
        <v>5078</v>
      </c>
      <c r="L5113" s="58" t="s">
        <v>5336</v>
      </c>
      <c r="M5113" s="94">
        <v>23.68</v>
      </c>
      <c r="N5113" s="94">
        <v>90.36</v>
      </c>
      <c r="O5113" s="94">
        <v>52</v>
      </c>
      <c r="P5113" s="58"/>
      <c r="Q5113" s="244"/>
      <c r="R5113" s="58"/>
      <c r="S5113" s="245"/>
      <c r="T5113" s="58"/>
      <c r="U5113" s="58" t="s">
        <v>1889</v>
      </c>
      <c r="V5113" s="244">
        <v>12</v>
      </c>
      <c r="W5113" s="174"/>
      <c r="X5113" s="174"/>
      <c r="Y5113" s="58" t="s">
        <v>5792</v>
      </c>
      <c r="Z5113" s="244" t="s">
        <v>1346</v>
      </c>
      <c r="AA5113" s="245">
        <v>20</v>
      </c>
      <c r="AB5113" s="67"/>
      <c r="AC5113" s="67"/>
      <c r="AD5113" s="94"/>
      <c r="AE5113" s="94"/>
      <c r="AF5113" s="94"/>
      <c r="AG5113" s="245"/>
      <c r="AH5113" s="58" t="s">
        <v>238</v>
      </c>
      <c r="AI5113" s="169"/>
      <c r="AJ5113" s="94"/>
      <c r="AK5113" s="94"/>
      <c r="AL5113" s="58"/>
      <c r="AM5113" s="58"/>
      <c r="AN5113" s="186"/>
      <c r="AO5113" s="185" t="s">
        <v>7494</v>
      </c>
      <c r="AP5113" s="58"/>
      <c r="AQ5113" s="58"/>
      <c r="AR5113" s="58" t="s">
        <v>116</v>
      </c>
      <c r="AS5113" s="246" t="s">
        <v>5133</v>
      </c>
      <c r="AT5113" s="247">
        <v>1</v>
      </c>
      <c r="AU5113" s="181" t="s">
        <v>7494</v>
      </c>
      <c r="AV5113" s="185" t="s">
        <v>176</v>
      </c>
      <c r="AW5113" s="244">
        <v>1</v>
      </c>
      <c r="AX5113" s="185" t="s">
        <v>176</v>
      </c>
      <c r="AY5113" s="244" t="s">
        <v>176</v>
      </c>
      <c r="AZ5113" s="58"/>
      <c r="BA5113" s="58"/>
      <c r="BB5113" s="58"/>
      <c r="BC5113" s="58"/>
      <c r="BD5113" s="58"/>
      <c r="BE5113" s="236" t="s">
        <v>5155</v>
      </c>
      <c r="BF5113" s="191" t="s">
        <v>176</v>
      </c>
      <c r="BG5113" s="191" t="s">
        <v>479</v>
      </c>
      <c r="BH5113" s="236" t="s">
        <v>5155</v>
      </c>
      <c r="BI5113" s="191" t="s">
        <v>479</v>
      </c>
      <c r="BJ5113" s="58" t="str">
        <f>IF(BE5113=BH5113,"No","yes")</f>
        <v>No</v>
      </c>
      <c r="BK5113" s="58" t="s">
        <v>6334</v>
      </c>
      <c r="BL5113" s="58" t="s">
        <v>5805</v>
      </c>
      <c r="BM5113" s="237"/>
      <c r="BN5113" s="244">
        <v>10</v>
      </c>
      <c r="BO5113" s="244">
        <v>10</v>
      </c>
      <c r="BP5113" s="58"/>
      <c r="BQ5113" s="58"/>
      <c r="BR5113" s="58"/>
      <c r="BS5113" s="58"/>
      <c r="BT5113" s="58"/>
      <c r="BU5113" s="58"/>
      <c r="BV5113" s="58"/>
      <c r="BW5113" s="67"/>
      <c r="BX5113" s="67"/>
      <c r="BY5113" s="67"/>
      <c r="BZ5113" s="67"/>
      <c r="CA5113" s="67"/>
      <c r="CB5113" s="70">
        <v>2034</v>
      </c>
      <c r="CC5113" s="70">
        <v>1914</v>
      </c>
      <c r="CD5113" s="70"/>
      <c r="CE5113" s="67"/>
      <c r="CF5113" s="67"/>
      <c r="CG5113" s="67" t="s">
        <v>545</v>
      </c>
      <c r="CH5113" s="245"/>
      <c r="CI5113" s="245"/>
      <c r="CJ5113" s="67"/>
      <c r="CK5113" s="67"/>
      <c r="CL5113" s="67"/>
      <c r="CM5113" s="242"/>
      <c r="CN5113" s="242"/>
      <c r="CO5113" s="242"/>
      <c r="CP5113" s="242"/>
      <c r="CQ5113" s="242"/>
      <c r="CR5113" s="242"/>
      <c r="CS5113" s="242"/>
      <c r="CT5113" s="242"/>
      <c r="CU5113" s="242"/>
      <c r="CV5113" s="242"/>
      <c r="CW5113" s="242"/>
      <c r="CX5113" s="242"/>
      <c r="CY5113" s="242"/>
      <c r="CZ5113" s="242"/>
      <c r="DA5113" s="67"/>
      <c r="DB5113" s="67"/>
      <c r="DC5113" s="67"/>
      <c r="DD5113" s="67"/>
      <c r="DE5113" s="67"/>
      <c r="DF5113" s="67"/>
      <c r="DG5113" s="67"/>
      <c r="DH5113" s="67"/>
      <c r="DI5113" s="67"/>
      <c r="DJ5113" s="67"/>
      <c r="DK5113" s="67"/>
      <c r="DL5113" s="67"/>
      <c r="DM5113" s="67"/>
      <c r="DN5113" s="67"/>
      <c r="DO5113" s="67"/>
      <c r="DP5113" s="67"/>
      <c r="DQ5113" s="166"/>
      <c r="DR5113" s="166"/>
      <c r="DS5113" s="163"/>
      <c r="DT5113" s="163"/>
      <c r="DU5113" s="67"/>
      <c r="DV5113" s="67"/>
      <c r="DW5113" s="67"/>
      <c r="DX5113" s="67"/>
      <c r="DY5113" s="67"/>
      <c r="DZ5113" s="67"/>
      <c r="EA5113" s="67"/>
      <c r="EB5113" s="67"/>
      <c r="EC5113" s="67"/>
      <c r="ED5113" s="67"/>
      <c r="EE5113" s="67"/>
      <c r="EF5113" s="67"/>
      <c r="EG5113" s="67"/>
      <c r="EH5113" s="67"/>
      <c r="EI5113" s="67"/>
      <c r="EJ5113" s="67"/>
      <c r="EK5113" s="94"/>
      <c r="EL5113" s="94"/>
      <c r="EM5113" s="67"/>
      <c r="EN5113" s="67"/>
      <c r="EO5113" s="67"/>
      <c r="EP5113" s="67"/>
      <c r="EQ5113" s="67"/>
      <c r="ER5113" s="67"/>
      <c r="ES5113" s="67"/>
      <c r="ET5113" s="67"/>
      <c r="EU5113" s="67"/>
      <c r="EV5113" s="67"/>
      <c r="EW5113" s="67"/>
      <c r="EX5113" s="67"/>
      <c r="EY5113" s="67"/>
      <c r="EZ5113" s="67"/>
      <c r="FA5113" s="67"/>
      <c r="FB5113" s="67"/>
      <c r="FC5113" s="67"/>
      <c r="FD5113" s="67"/>
      <c r="FE5113" s="67"/>
      <c r="FF5113" s="67"/>
      <c r="FG5113" s="67"/>
      <c r="FH5113" s="67"/>
      <c r="FI5113" s="67"/>
      <c r="FJ5113" s="67"/>
      <c r="FK5113" s="67"/>
      <c r="FL5113" s="67"/>
      <c r="FM5113" s="67"/>
      <c r="FN5113" s="67"/>
      <c r="FO5113" s="67"/>
      <c r="FP5113" s="67"/>
      <c r="FQ5113" s="67"/>
      <c r="FR5113" s="67"/>
      <c r="FS5113" s="67"/>
      <c r="FT5113" s="67"/>
      <c r="FU5113" s="67"/>
      <c r="FV5113" s="67"/>
      <c r="FW5113" s="67"/>
      <c r="FX5113" s="67"/>
      <c r="FY5113" s="67"/>
      <c r="FZ5113" s="67"/>
      <c r="GA5113" s="67"/>
      <c r="GB5113" s="67"/>
      <c r="GC5113" s="67"/>
      <c r="GD5113" s="67"/>
      <c r="GE5113" s="67"/>
      <c r="GF5113" s="67"/>
      <c r="GG5113" s="67"/>
      <c r="GH5113" s="67"/>
      <c r="GI5113" s="67"/>
      <c r="GJ5113" s="67"/>
      <c r="GK5113" s="67"/>
      <c r="GL5113" s="67"/>
      <c r="GM5113" s="67"/>
      <c r="GN5113" s="292"/>
      <c r="GO5113" s="292"/>
      <c r="GP5113" s="292" t="s">
        <v>7494</v>
      </c>
      <c r="GQ5113" s="67"/>
      <c r="GR5113" s="67"/>
      <c r="GS5113" s="67"/>
      <c r="GT5113" s="67"/>
      <c r="GU5113" s="67"/>
      <c r="GV5113" s="67"/>
      <c r="GW5113" s="67"/>
      <c r="GX5113" s="67"/>
      <c r="GY5113" s="67"/>
      <c r="GZ5113" s="67"/>
      <c r="HA5113" s="67"/>
      <c r="HB5113" s="67"/>
      <c r="HC5113" s="67"/>
      <c r="HD5113" s="67"/>
      <c r="HE5113" s="67"/>
      <c r="HF5113" s="67"/>
      <c r="HG5113" s="67"/>
      <c r="HH5113" s="67"/>
      <c r="HI5113" s="67"/>
      <c r="HJ5113" s="67"/>
      <c r="HK5113" s="67"/>
      <c r="HL5113" s="67"/>
      <c r="HM5113" s="67"/>
      <c r="HN5113" s="67"/>
      <c r="HO5113" s="67"/>
      <c r="HP5113" s="67"/>
      <c r="HQ5113" s="67"/>
      <c r="HR5113" s="67"/>
      <c r="HS5113" s="67"/>
      <c r="HT5113" s="67"/>
      <c r="HU5113" s="67"/>
      <c r="HV5113" s="67"/>
      <c r="HW5113" s="67"/>
      <c r="HX5113" s="67"/>
      <c r="HY5113" s="67"/>
      <c r="HZ5113" s="67"/>
      <c r="IA5113" s="67"/>
      <c r="IB5113" s="67"/>
      <c r="IC5113" s="67"/>
      <c r="ID5113" s="67"/>
      <c r="IE5113" s="67"/>
      <c r="IF5113" s="67"/>
      <c r="IG5113" s="67"/>
      <c r="IH5113" s="67"/>
      <c r="II5113" s="67"/>
      <c r="IJ5113" s="67"/>
      <c r="IK5113" s="67"/>
      <c r="IL5113" s="67"/>
      <c r="IM5113" s="67"/>
      <c r="IN5113" s="67"/>
      <c r="IO5113" s="67"/>
      <c r="IP5113" s="67"/>
      <c r="IQ5113" s="67"/>
      <c r="IR5113" s="67"/>
      <c r="IS5113" s="67"/>
      <c r="IT5113" s="67"/>
      <c r="IU5113" s="67"/>
      <c r="IV5113" s="67"/>
      <c r="IW5113" s="67"/>
      <c r="IX5113" s="67"/>
      <c r="IY5113" s="67"/>
      <c r="IZ5113" s="67"/>
      <c r="JA5113" s="67"/>
      <c r="JB5113" s="67"/>
      <c r="JC5113" s="67"/>
      <c r="JD5113" s="67"/>
      <c r="JE5113" s="67"/>
      <c r="JF5113" s="67"/>
      <c r="JG5113" s="67"/>
      <c r="JH5113" s="67"/>
      <c r="JI5113" s="67"/>
      <c r="JJ5113" s="67"/>
      <c r="JK5113" s="67"/>
      <c r="JL5113" s="67"/>
      <c r="JM5113" s="67"/>
      <c r="JN5113" s="67"/>
      <c r="JO5113" s="67"/>
      <c r="JP5113" s="67"/>
      <c r="JQ5113" s="67">
        <v>99999</v>
      </c>
      <c r="JR5113" s="67"/>
      <c r="JS5113" s="67"/>
      <c r="JT5113" s="67"/>
      <c r="JU5113" s="58" t="s">
        <v>5793</v>
      </c>
      <c r="JV5113" s="58"/>
      <c r="JW5113" s="58"/>
    </row>
    <row r="5114" spans="1:283" s="23" customFormat="1" x14ac:dyDescent="0.25">
      <c r="A5114" s="55">
        <v>5113</v>
      </c>
      <c r="B5114" s="12" t="s">
        <v>7067</v>
      </c>
      <c r="C5114" s="156">
        <v>267</v>
      </c>
      <c r="D5114" s="58" t="s">
        <v>5800</v>
      </c>
      <c r="E5114" s="160" t="str">
        <f>G5114</f>
        <v>Rasul and Thapa 2004</v>
      </c>
      <c r="F5114" s="160"/>
      <c r="G5114" s="60" t="s">
        <v>4700</v>
      </c>
      <c r="H5114" s="58">
        <v>2004</v>
      </c>
      <c r="I5114" s="58" t="s">
        <v>2847</v>
      </c>
      <c r="J5114" s="243" t="s">
        <v>757</v>
      </c>
      <c r="K5114" s="63" t="s">
        <v>5078</v>
      </c>
      <c r="L5114" s="58" t="s">
        <v>5336</v>
      </c>
      <c r="M5114" s="94">
        <v>23.68</v>
      </c>
      <c r="N5114" s="94">
        <v>90.36</v>
      </c>
      <c r="O5114" s="94">
        <v>52</v>
      </c>
      <c r="P5114" s="58"/>
      <c r="Q5114" s="244"/>
      <c r="R5114" s="58"/>
      <c r="S5114" s="245"/>
      <c r="T5114" s="58"/>
      <c r="U5114" s="58" t="s">
        <v>1889</v>
      </c>
      <c r="V5114" s="244">
        <v>12</v>
      </c>
      <c r="W5114" s="174"/>
      <c r="X5114" s="174"/>
      <c r="Y5114" s="58" t="s">
        <v>5792</v>
      </c>
      <c r="Z5114" s="244" t="s">
        <v>1346</v>
      </c>
      <c r="AA5114" s="245">
        <v>20</v>
      </c>
      <c r="AB5114" s="67"/>
      <c r="AC5114" s="67"/>
      <c r="AD5114" s="94"/>
      <c r="AE5114" s="94"/>
      <c r="AF5114" s="94"/>
      <c r="AG5114" s="245"/>
      <c r="AH5114" s="58" t="s">
        <v>238</v>
      </c>
      <c r="AI5114" s="169"/>
      <c r="AJ5114" s="94"/>
      <c r="AK5114" s="94"/>
      <c r="AL5114" s="58"/>
      <c r="AM5114" s="58"/>
      <c r="AN5114" s="186"/>
      <c r="AO5114" s="185" t="s">
        <v>7494</v>
      </c>
      <c r="AP5114" s="58"/>
      <c r="AQ5114" s="58"/>
      <c r="AR5114" s="58" t="s">
        <v>5794</v>
      </c>
      <c r="AS5114" s="246" t="s">
        <v>5133</v>
      </c>
      <c r="AT5114" s="247">
        <v>1</v>
      </c>
      <c r="AU5114" s="181" t="s">
        <v>7494</v>
      </c>
      <c r="AV5114" s="185" t="s">
        <v>176</v>
      </c>
      <c r="AW5114" s="244">
        <v>1</v>
      </c>
      <c r="AX5114" s="185" t="s">
        <v>176</v>
      </c>
      <c r="AY5114" s="244" t="s">
        <v>176</v>
      </c>
      <c r="AZ5114" s="58"/>
      <c r="BA5114" s="58"/>
      <c r="BB5114" s="58"/>
      <c r="BC5114" s="58"/>
      <c r="BD5114" s="58"/>
      <c r="BE5114" s="236" t="s">
        <v>5155</v>
      </c>
      <c r="BF5114" s="191" t="s">
        <v>176</v>
      </c>
      <c r="BG5114" s="191" t="s">
        <v>479</v>
      </c>
      <c r="BH5114" s="236" t="s">
        <v>5155</v>
      </c>
      <c r="BI5114" s="191" t="s">
        <v>479</v>
      </c>
      <c r="BJ5114" s="58" t="str">
        <f>IF(BE5114=BH5114,"No","yes")</f>
        <v>No</v>
      </c>
      <c r="BK5114" s="58" t="s">
        <v>6334</v>
      </c>
      <c r="BL5114" s="58" t="s">
        <v>5805</v>
      </c>
      <c r="BM5114" s="237"/>
      <c r="BN5114" s="244">
        <v>10</v>
      </c>
      <c r="BO5114" s="244">
        <v>10</v>
      </c>
      <c r="BP5114" s="58"/>
      <c r="BQ5114" s="58"/>
      <c r="BR5114" s="58"/>
      <c r="BS5114" s="58"/>
      <c r="BT5114" s="58"/>
      <c r="BU5114" s="58"/>
      <c r="BV5114" s="58"/>
      <c r="BW5114" s="67"/>
      <c r="BX5114" s="67"/>
      <c r="BY5114" s="67"/>
      <c r="BZ5114" s="67"/>
      <c r="CA5114" s="67"/>
      <c r="CB5114" s="70">
        <v>1912</v>
      </c>
      <c r="CC5114" s="70">
        <v>1890</v>
      </c>
      <c r="CD5114" s="70"/>
      <c r="CE5114" s="67"/>
      <c r="CF5114" s="67"/>
      <c r="CG5114" s="67" t="s">
        <v>545</v>
      </c>
      <c r="CH5114" s="245"/>
      <c r="CI5114" s="245"/>
      <c r="CJ5114" s="67"/>
      <c r="CK5114" s="67"/>
      <c r="CL5114" s="67"/>
      <c r="CM5114" s="242"/>
      <c r="CN5114" s="242"/>
      <c r="CO5114" s="242"/>
      <c r="CP5114" s="242"/>
      <c r="CQ5114" s="242"/>
      <c r="CR5114" s="242"/>
      <c r="CS5114" s="242"/>
      <c r="CT5114" s="242"/>
      <c r="CU5114" s="242"/>
      <c r="CV5114" s="242"/>
      <c r="CW5114" s="242"/>
      <c r="CX5114" s="242"/>
      <c r="CY5114" s="242"/>
      <c r="CZ5114" s="242"/>
      <c r="DA5114" s="67"/>
      <c r="DB5114" s="67"/>
      <c r="DC5114" s="67"/>
      <c r="DD5114" s="67"/>
      <c r="DE5114" s="67"/>
      <c r="DF5114" s="67"/>
      <c r="DG5114" s="67"/>
      <c r="DH5114" s="67"/>
      <c r="DI5114" s="67"/>
      <c r="DJ5114" s="67"/>
      <c r="DK5114" s="67"/>
      <c r="DL5114" s="67"/>
      <c r="DM5114" s="67"/>
      <c r="DN5114" s="67"/>
      <c r="DO5114" s="67"/>
      <c r="DP5114" s="67"/>
      <c r="DQ5114" s="166"/>
      <c r="DR5114" s="166"/>
      <c r="DS5114" s="163"/>
      <c r="DT5114" s="163"/>
      <c r="DU5114" s="67"/>
      <c r="DV5114" s="67"/>
      <c r="DW5114" s="67"/>
      <c r="DX5114" s="67"/>
      <c r="DY5114" s="67"/>
      <c r="DZ5114" s="67"/>
      <c r="EA5114" s="67"/>
      <c r="EB5114" s="67"/>
      <c r="EC5114" s="67"/>
      <c r="ED5114" s="67"/>
      <c r="EE5114" s="67"/>
      <c r="EF5114" s="67"/>
      <c r="EG5114" s="67"/>
      <c r="EH5114" s="67"/>
      <c r="EI5114" s="67"/>
      <c r="EJ5114" s="67"/>
      <c r="EK5114" s="94"/>
      <c r="EL5114" s="94"/>
      <c r="EM5114" s="67"/>
      <c r="EN5114" s="67"/>
      <c r="EO5114" s="67"/>
      <c r="EP5114" s="67"/>
      <c r="EQ5114" s="67"/>
      <c r="ER5114" s="67"/>
      <c r="ES5114" s="67"/>
      <c r="ET5114" s="67"/>
      <c r="EU5114" s="67"/>
      <c r="EV5114" s="67"/>
      <c r="EW5114" s="67"/>
      <c r="EX5114" s="67"/>
      <c r="EY5114" s="67"/>
      <c r="EZ5114" s="67"/>
      <c r="FA5114" s="67"/>
      <c r="FB5114" s="67"/>
      <c r="FC5114" s="67"/>
      <c r="FD5114" s="67"/>
      <c r="FE5114" s="67"/>
      <c r="FF5114" s="67"/>
      <c r="FG5114" s="67"/>
      <c r="FH5114" s="67"/>
      <c r="FI5114" s="67"/>
      <c r="FJ5114" s="67"/>
      <c r="FK5114" s="67"/>
      <c r="FL5114" s="67"/>
      <c r="FM5114" s="67"/>
      <c r="FN5114" s="67"/>
      <c r="FO5114" s="67"/>
      <c r="FP5114" s="67"/>
      <c r="FQ5114" s="67"/>
      <c r="FR5114" s="67"/>
      <c r="FS5114" s="67"/>
      <c r="FT5114" s="67"/>
      <c r="FU5114" s="67"/>
      <c r="FV5114" s="67"/>
      <c r="FW5114" s="67"/>
      <c r="FX5114" s="67"/>
      <c r="FY5114" s="67"/>
      <c r="FZ5114" s="67"/>
      <c r="GA5114" s="67"/>
      <c r="GB5114" s="67"/>
      <c r="GC5114" s="67"/>
      <c r="GD5114" s="67"/>
      <c r="GE5114" s="67"/>
      <c r="GF5114" s="67"/>
      <c r="GG5114" s="67"/>
      <c r="GH5114" s="67"/>
      <c r="GI5114" s="67"/>
      <c r="GJ5114" s="67"/>
      <c r="GK5114" s="67"/>
      <c r="GL5114" s="67"/>
      <c r="GM5114" s="67"/>
      <c r="GN5114" s="292"/>
      <c r="GO5114" s="292"/>
      <c r="GP5114" s="292" t="s">
        <v>7494</v>
      </c>
      <c r="GQ5114" s="67"/>
      <c r="GR5114" s="67"/>
      <c r="GS5114" s="67"/>
      <c r="GT5114" s="67"/>
      <c r="GU5114" s="67"/>
      <c r="GV5114" s="67"/>
      <c r="GW5114" s="67"/>
      <c r="GX5114" s="67"/>
      <c r="GY5114" s="67"/>
      <c r="GZ5114" s="67"/>
      <c r="HA5114" s="67"/>
      <c r="HB5114" s="67"/>
      <c r="HC5114" s="67"/>
      <c r="HD5114" s="67"/>
      <c r="HE5114" s="67"/>
      <c r="HF5114" s="67"/>
      <c r="HG5114" s="67"/>
      <c r="HH5114" s="67"/>
      <c r="HI5114" s="67"/>
      <c r="HJ5114" s="67"/>
      <c r="HK5114" s="67"/>
      <c r="HL5114" s="67"/>
      <c r="HM5114" s="67"/>
      <c r="HN5114" s="67"/>
      <c r="HO5114" s="67"/>
      <c r="HP5114" s="67"/>
      <c r="HQ5114" s="67"/>
      <c r="HR5114" s="67"/>
      <c r="HS5114" s="67"/>
      <c r="HT5114" s="67"/>
      <c r="HU5114" s="67"/>
      <c r="HV5114" s="67"/>
      <c r="HW5114" s="67"/>
      <c r="HX5114" s="67"/>
      <c r="HY5114" s="67"/>
      <c r="HZ5114" s="67"/>
      <c r="IA5114" s="67"/>
      <c r="IB5114" s="67"/>
      <c r="IC5114" s="67"/>
      <c r="ID5114" s="67"/>
      <c r="IE5114" s="67"/>
      <c r="IF5114" s="67"/>
      <c r="IG5114" s="67"/>
      <c r="IH5114" s="67"/>
      <c r="II5114" s="67"/>
      <c r="IJ5114" s="67"/>
      <c r="IK5114" s="67"/>
      <c r="IL5114" s="67"/>
      <c r="IM5114" s="67"/>
      <c r="IN5114" s="67"/>
      <c r="IO5114" s="67"/>
      <c r="IP5114" s="67"/>
      <c r="IQ5114" s="67"/>
      <c r="IR5114" s="67"/>
      <c r="IS5114" s="67"/>
      <c r="IT5114" s="67"/>
      <c r="IU5114" s="67"/>
      <c r="IV5114" s="67"/>
      <c r="IW5114" s="67"/>
      <c r="IX5114" s="67"/>
      <c r="IY5114" s="67"/>
      <c r="IZ5114" s="67"/>
      <c r="JA5114" s="67"/>
      <c r="JB5114" s="67"/>
      <c r="JC5114" s="67"/>
      <c r="JD5114" s="67"/>
      <c r="JE5114" s="67"/>
      <c r="JF5114" s="67"/>
      <c r="JG5114" s="67"/>
      <c r="JH5114" s="67"/>
      <c r="JI5114" s="67"/>
      <c r="JJ5114" s="67"/>
      <c r="JK5114" s="67"/>
      <c r="JL5114" s="67"/>
      <c r="JM5114" s="67"/>
      <c r="JN5114" s="67"/>
      <c r="JO5114" s="67"/>
      <c r="JP5114" s="67"/>
      <c r="JQ5114" s="67">
        <v>99999</v>
      </c>
      <c r="JR5114" s="67"/>
      <c r="JS5114" s="67"/>
      <c r="JT5114" s="67"/>
      <c r="JU5114" s="58" t="s">
        <v>5793</v>
      </c>
      <c r="JV5114" s="58"/>
      <c r="JW5114" s="58"/>
    </row>
    <row r="5115" spans="1:283" s="23" customFormat="1" x14ac:dyDescent="0.25">
      <c r="A5115" s="55">
        <v>5114</v>
      </c>
      <c r="B5115" s="12" t="s">
        <v>7067</v>
      </c>
      <c r="C5115" s="156">
        <v>267</v>
      </c>
      <c r="D5115" s="58" t="s">
        <v>5801</v>
      </c>
      <c r="E5115" s="160" t="str">
        <f>G5115</f>
        <v>Rasul and Thapa 2004</v>
      </c>
      <c r="F5115" s="160"/>
      <c r="G5115" s="60" t="s">
        <v>4700</v>
      </c>
      <c r="H5115" s="58">
        <v>2004</v>
      </c>
      <c r="I5115" s="58" t="s">
        <v>2847</v>
      </c>
      <c r="J5115" s="243" t="s">
        <v>757</v>
      </c>
      <c r="K5115" s="63" t="s">
        <v>5078</v>
      </c>
      <c r="L5115" s="58" t="s">
        <v>5336</v>
      </c>
      <c r="M5115" s="94">
        <v>23.68</v>
      </c>
      <c r="N5115" s="94">
        <v>90.36</v>
      </c>
      <c r="O5115" s="94">
        <v>52</v>
      </c>
      <c r="P5115" s="58"/>
      <c r="Q5115" s="244"/>
      <c r="R5115" s="58"/>
      <c r="S5115" s="245"/>
      <c r="T5115" s="58"/>
      <c r="U5115" s="58" t="s">
        <v>1889</v>
      </c>
      <c r="V5115" s="244">
        <v>12</v>
      </c>
      <c r="W5115" s="174"/>
      <c r="X5115" s="174"/>
      <c r="Y5115" s="58" t="s">
        <v>5792</v>
      </c>
      <c r="Z5115" s="244" t="s">
        <v>1346</v>
      </c>
      <c r="AA5115" s="245">
        <v>20</v>
      </c>
      <c r="AB5115" s="67"/>
      <c r="AC5115" s="67"/>
      <c r="AD5115" s="94"/>
      <c r="AE5115" s="94"/>
      <c r="AF5115" s="94"/>
      <c r="AG5115" s="245"/>
      <c r="AH5115" s="58" t="s">
        <v>238</v>
      </c>
      <c r="AI5115" s="169"/>
      <c r="AJ5115" s="94"/>
      <c r="AK5115" s="94"/>
      <c r="AL5115" s="58"/>
      <c r="AM5115" s="58"/>
      <c r="AN5115" s="186"/>
      <c r="AO5115" s="185" t="s">
        <v>7494</v>
      </c>
      <c r="AP5115" s="58"/>
      <c r="AQ5115" s="58"/>
      <c r="AR5115" s="58" t="s">
        <v>1064</v>
      </c>
      <c r="AS5115" s="246" t="s">
        <v>5133</v>
      </c>
      <c r="AT5115" s="247">
        <v>1</v>
      </c>
      <c r="AU5115" s="181" t="s">
        <v>7494</v>
      </c>
      <c r="AV5115" s="185" t="s">
        <v>176</v>
      </c>
      <c r="AW5115" s="244">
        <v>1</v>
      </c>
      <c r="AX5115" s="185" t="s">
        <v>176</v>
      </c>
      <c r="AY5115" s="244" t="s">
        <v>176</v>
      </c>
      <c r="AZ5115" s="58"/>
      <c r="BA5115" s="58"/>
      <c r="BB5115" s="58"/>
      <c r="BC5115" s="58"/>
      <c r="BD5115" s="58"/>
      <c r="BE5115" s="236" t="s">
        <v>5155</v>
      </c>
      <c r="BF5115" s="191" t="s">
        <v>176</v>
      </c>
      <c r="BG5115" s="191" t="s">
        <v>479</v>
      </c>
      <c r="BH5115" s="236" t="s">
        <v>5155</v>
      </c>
      <c r="BI5115" s="191" t="s">
        <v>479</v>
      </c>
      <c r="BJ5115" s="58" t="str">
        <f>IF(BE5115=BH5115,"No","yes")</f>
        <v>No</v>
      </c>
      <c r="BK5115" s="58" t="s">
        <v>6334</v>
      </c>
      <c r="BL5115" s="58" t="s">
        <v>5805</v>
      </c>
      <c r="BM5115" s="237"/>
      <c r="BN5115" s="244">
        <v>10</v>
      </c>
      <c r="BO5115" s="244">
        <v>10</v>
      </c>
      <c r="BP5115" s="58"/>
      <c r="BQ5115" s="58"/>
      <c r="BR5115" s="58"/>
      <c r="BS5115" s="58"/>
      <c r="BT5115" s="58"/>
      <c r="BU5115" s="58"/>
      <c r="BV5115" s="58"/>
      <c r="BW5115" s="67"/>
      <c r="BX5115" s="67"/>
      <c r="BY5115" s="67"/>
      <c r="BZ5115" s="67"/>
      <c r="CA5115" s="67"/>
      <c r="CB5115" s="70">
        <v>12093</v>
      </c>
      <c r="CC5115" s="70">
        <v>11255</v>
      </c>
      <c r="CD5115" s="70"/>
      <c r="CE5115" s="67"/>
      <c r="CF5115" s="67"/>
      <c r="CG5115" s="67" t="s">
        <v>545</v>
      </c>
      <c r="CH5115" s="245"/>
      <c r="CI5115" s="245"/>
      <c r="CJ5115" s="67"/>
      <c r="CK5115" s="67"/>
      <c r="CL5115" s="67"/>
      <c r="CM5115" s="242"/>
      <c r="CN5115" s="242"/>
      <c r="CO5115" s="242"/>
      <c r="CP5115" s="242"/>
      <c r="CQ5115" s="242"/>
      <c r="CR5115" s="242"/>
      <c r="CS5115" s="242"/>
      <c r="CT5115" s="242"/>
      <c r="CU5115" s="242"/>
      <c r="CV5115" s="242"/>
      <c r="CW5115" s="242"/>
      <c r="CX5115" s="242"/>
      <c r="CY5115" s="242"/>
      <c r="CZ5115" s="242"/>
      <c r="DA5115" s="67"/>
      <c r="DB5115" s="67"/>
      <c r="DC5115" s="67"/>
      <c r="DD5115" s="67"/>
      <c r="DE5115" s="67"/>
      <c r="DF5115" s="67"/>
      <c r="DG5115" s="67"/>
      <c r="DH5115" s="67"/>
      <c r="DI5115" s="67"/>
      <c r="DJ5115" s="67"/>
      <c r="DK5115" s="67"/>
      <c r="DL5115" s="67"/>
      <c r="DM5115" s="67"/>
      <c r="DN5115" s="67"/>
      <c r="DO5115" s="67"/>
      <c r="DP5115" s="67"/>
      <c r="DQ5115" s="166"/>
      <c r="DR5115" s="166"/>
      <c r="DS5115" s="163"/>
      <c r="DT5115" s="163"/>
      <c r="DU5115" s="67"/>
      <c r="DV5115" s="67"/>
      <c r="DW5115" s="67"/>
      <c r="DX5115" s="67"/>
      <c r="DY5115" s="67"/>
      <c r="DZ5115" s="67"/>
      <c r="EA5115" s="67"/>
      <c r="EB5115" s="67"/>
      <c r="EC5115" s="67"/>
      <c r="ED5115" s="67"/>
      <c r="EE5115" s="67"/>
      <c r="EF5115" s="67"/>
      <c r="EG5115" s="67"/>
      <c r="EH5115" s="67"/>
      <c r="EI5115" s="67"/>
      <c r="EJ5115" s="67"/>
      <c r="EK5115" s="94"/>
      <c r="EL5115" s="94"/>
      <c r="EM5115" s="67"/>
      <c r="EN5115" s="67"/>
      <c r="EO5115" s="67"/>
      <c r="EP5115" s="67"/>
      <c r="EQ5115" s="67"/>
      <c r="ER5115" s="67"/>
      <c r="ES5115" s="67"/>
      <c r="ET5115" s="67"/>
      <c r="EU5115" s="67"/>
      <c r="EV5115" s="67"/>
      <c r="EW5115" s="67"/>
      <c r="EX5115" s="67"/>
      <c r="EY5115" s="67"/>
      <c r="EZ5115" s="67"/>
      <c r="FA5115" s="67"/>
      <c r="FB5115" s="67"/>
      <c r="FC5115" s="67"/>
      <c r="FD5115" s="67"/>
      <c r="FE5115" s="67"/>
      <c r="FF5115" s="67"/>
      <c r="FG5115" s="67"/>
      <c r="FH5115" s="67"/>
      <c r="FI5115" s="67"/>
      <c r="FJ5115" s="67"/>
      <c r="FK5115" s="67"/>
      <c r="FL5115" s="67"/>
      <c r="FM5115" s="67"/>
      <c r="FN5115" s="67"/>
      <c r="FO5115" s="67"/>
      <c r="FP5115" s="67"/>
      <c r="FQ5115" s="67"/>
      <c r="FR5115" s="67"/>
      <c r="FS5115" s="67"/>
      <c r="FT5115" s="67"/>
      <c r="FU5115" s="67"/>
      <c r="FV5115" s="67"/>
      <c r="FW5115" s="67"/>
      <c r="FX5115" s="67"/>
      <c r="FY5115" s="67"/>
      <c r="FZ5115" s="67"/>
      <c r="GA5115" s="67"/>
      <c r="GB5115" s="67"/>
      <c r="GC5115" s="67"/>
      <c r="GD5115" s="67"/>
      <c r="GE5115" s="67"/>
      <c r="GF5115" s="67"/>
      <c r="GG5115" s="67"/>
      <c r="GH5115" s="67"/>
      <c r="GI5115" s="67"/>
      <c r="GJ5115" s="67"/>
      <c r="GK5115" s="67"/>
      <c r="GL5115" s="67"/>
      <c r="GM5115" s="67"/>
      <c r="GN5115" s="292"/>
      <c r="GO5115" s="292"/>
      <c r="GP5115" s="292" t="s">
        <v>7494</v>
      </c>
      <c r="GQ5115" s="67"/>
      <c r="GR5115" s="67"/>
      <c r="GS5115" s="67"/>
      <c r="GT5115" s="67"/>
      <c r="GU5115" s="67"/>
      <c r="GV5115" s="67"/>
      <c r="GW5115" s="67"/>
      <c r="GX5115" s="67"/>
      <c r="GY5115" s="67"/>
      <c r="GZ5115" s="67"/>
      <c r="HA5115" s="67"/>
      <c r="HB5115" s="67"/>
      <c r="HC5115" s="67"/>
      <c r="HD5115" s="67"/>
      <c r="HE5115" s="67"/>
      <c r="HF5115" s="67"/>
      <c r="HG5115" s="67"/>
      <c r="HH5115" s="67"/>
      <c r="HI5115" s="67"/>
      <c r="HJ5115" s="67"/>
      <c r="HK5115" s="67"/>
      <c r="HL5115" s="67"/>
      <c r="HM5115" s="67"/>
      <c r="HN5115" s="67"/>
      <c r="HO5115" s="67"/>
      <c r="HP5115" s="67"/>
      <c r="HQ5115" s="67"/>
      <c r="HR5115" s="67"/>
      <c r="HS5115" s="67"/>
      <c r="HT5115" s="67"/>
      <c r="HU5115" s="67"/>
      <c r="HV5115" s="67"/>
      <c r="HW5115" s="67"/>
      <c r="HX5115" s="67"/>
      <c r="HY5115" s="67"/>
      <c r="HZ5115" s="67"/>
      <c r="IA5115" s="67"/>
      <c r="IB5115" s="67"/>
      <c r="IC5115" s="67"/>
      <c r="ID5115" s="67"/>
      <c r="IE5115" s="67"/>
      <c r="IF5115" s="67"/>
      <c r="IG5115" s="67"/>
      <c r="IH5115" s="67"/>
      <c r="II5115" s="67"/>
      <c r="IJ5115" s="67"/>
      <c r="IK5115" s="67"/>
      <c r="IL5115" s="67"/>
      <c r="IM5115" s="67"/>
      <c r="IN5115" s="67"/>
      <c r="IO5115" s="67"/>
      <c r="IP5115" s="67"/>
      <c r="IQ5115" s="67"/>
      <c r="IR5115" s="67"/>
      <c r="IS5115" s="67"/>
      <c r="IT5115" s="67"/>
      <c r="IU5115" s="67"/>
      <c r="IV5115" s="67"/>
      <c r="IW5115" s="67"/>
      <c r="IX5115" s="67"/>
      <c r="IY5115" s="67"/>
      <c r="IZ5115" s="67"/>
      <c r="JA5115" s="67"/>
      <c r="JB5115" s="67"/>
      <c r="JC5115" s="67"/>
      <c r="JD5115" s="67"/>
      <c r="JE5115" s="67"/>
      <c r="JF5115" s="67"/>
      <c r="JG5115" s="67"/>
      <c r="JH5115" s="67"/>
      <c r="JI5115" s="67"/>
      <c r="JJ5115" s="67"/>
      <c r="JK5115" s="67"/>
      <c r="JL5115" s="67"/>
      <c r="JM5115" s="67"/>
      <c r="JN5115" s="67"/>
      <c r="JO5115" s="67"/>
      <c r="JP5115" s="67"/>
      <c r="JQ5115" s="67">
        <v>99999</v>
      </c>
      <c r="JR5115" s="67"/>
      <c r="JS5115" s="67"/>
      <c r="JT5115" s="67"/>
      <c r="JU5115" s="58" t="s">
        <v>5793</v>
      </c>
      <c r="JV5115" s="58"/>
      <c r="JW5115" s="58"/>
    </row>
    <row r="5116" spans="1:283" s="23" customFormat="1" x14ac:dyDescent="0.25">
      <c r="A5116" s="55">
        <v>5115</v>
      </c>
      <c r="B5116" s="12" t="s">
        <v>7067</v>
      </c>
      <c r="C5116" s="156">
        <v>267</v>
      </c>
      <c r="D5116" s="58" t="s">
        <v>5802</v>
      </c>
      <c r="E5116" s="160" t="str">
        <f>G5116</f>
        <v>Rasul and Thapa 2004</v>
      </c>
      <c r="F5116" s="160"/>
      <c r="G5116" s="60" t="s">
        <v>4700</v>
      </c>
      <c r="H5116" s="58">
        <v>2004</v>
      </c>
      <c r="I5116" s="58" t="s">
        <v>2847</v>
      </c>
      <c r="J5116" s="243" t="s">
        <v>757</v>
      </c>
      <c r="K5116" s="63" t="s">
        <v>5078</v>
      </c>
      <c r="L5116" s="58" t="s">
        <v>5336</v>
      </c>
      <c r="M5116" s="94">
        <v>23.68</v>
      </c>
      <c r="N5116" s="94">
        <v>90.36</v>
      </c>
      <c r="O5116" s="94">
        <v>52</v>
      </c>
      <c r="P5116" s="58"/>
      <c r="Q5116" s="244"/>
      <c r="R5116" s="58"/>
      <c r="S5116" s="245"/>
      <c r="T5116" s="58"/>
      <c r="U5116" s="58" t="s">
        <v>1889</v>
      </c>
      <c r="V5116" s="244">
        <v>12</v>
      </c>
      <c r="W5116" s="174"/>
      <c r="X5116" s="174"/>
      <c r="Y5116" s="58" t="s">
        <v>5792</v>
      </c>
      <c r="Z5116" s="244" t="s">
        <v>1346</v>
      </c>
      <c r="AA5116" s="245">
        <v>20</v>
      </c>
      <c r="AB5116" s="67"/>
      <c r="AC5116" s="67"/>
      <c r="AD5116" s="94"/>
      <c r="AE5116" s="94"/>
      <c r="AF5116" s="94"/>
      <c r="AG5116" s="245"/>
      <c r="AH5116" s="58" t="s">
        <v>238</v>
      </c>
      <c r="AI5116" s="169"/>
      <c r="AJ5116" s="94"/>
      <c r="AK5116" s="94"/>
      <c r="AL5116" s="58"/>
      <c r="AM5116" s="58"/>
      <c r="AN5116" s="186"/>
      <c r="AO5116" s="185" t="s">
        <v>7494</v>
      </c>
      <c r="AP5116" s="58"/>
      <c r="AQ5116" s="58"/>
      <c r="AR5116" s="58" t="s">
        <v>5795</v>
      </c>
      <c r="AS5116" s="246" t="s">
        <v>5133</v>
      </c>
      <c r="AT5116" s="247">
        <v>1</v>
      </c>
      <c r="AU5116" s="181" t="s">
        <v>7494</v>
      </c>
      <c r="AV5116" s="185" t="s">
        <v>176</v>
      </c>
      <c r="AW5116" s="244">
        <v>1</v>
      </c>
      <c r="AX5116" s="185" t="s">
        <v>176</v>
      </c>
      <c r="AY5116" s="244" t="s">
        <v>176</v>
      </c>
      <c r="AZ5116" s="58"/>
      <c r="BA5116" s="58"/>
      <c r="BB5116" s="58"/>
      <c r="BC5116" s="58"/>
      <c r="BD5116" s="58"/>
      <c r="BE5116" s="236" t="s">
        <v>5155</v>
      </c>
      <c r="BF5116" s="191" t="s">
        <v>176</v>
      </c>
      <c r="BG5116" s="191" t="s">
        <v>479</v>
      </c>
      <c r="BH5116" s="236" t="s">
        <v>5155</v>
      </c>
      <c r="BI5116" s="191" t="s">
        <v>479</v>
      </c>
      <c r="BJ5116" s="58" t="str">
        <f>IF(BE5116=BH5116,"No","yes")</f>
        <v>No</v>
      </c>
      <c r="BK5116" s="58" t="s">
        <v>6334</v>
      </c>
      <c r="BL5116" s="58" t="s">
        <v>5805</v>
      </c>
      <c r="BM5116" s="237"/>
      <c r="BN5116" s="244">
        <v>10</v>
      </c>
      <c r="BO5116" s="244">
        <v>10</v>
      </c>
      <c r="BP5116" s="58"/>
      <c r="BQ5116" s="58"/>
      <c r="BR5116" s="58"/>
      <c r="BS5116" s="58"/>
      <c r="BT5116" s="58"/>
      <c r="BU5116" s="58"/>
      <c r="BV5116" s="58"/>
      <c r="BW5116" s="67"/>
      <c r="BX5116" s="67"/>
      <c r="BY5116" s="67"/>
      <c r="BZ5116" s="67"/>
      <c r="CA5116" s="67"/>
      <c r="CB5116" s="70">
        <v>733</v>
      </c>
      <c r="CC5116" s="70">
        <v>725</v>
      </c>
      <c r="CD5116" s="70"/>
      <c r="CE5116" s="67"/>
      <c r="CF5116" s="67"/>
      <c r="CG5116" s="67" t="s">
        <v>545</v>
      </c>
      <c r="CH5116" s="245"/>
      <c r="CI5116" s="245"/>
      <c r="CJ5116" s="67"/>
      <c r="CK5116" s="67"/>
      <c r="CL5116" s="67"/>
      <c r="CM5116" s="242"/>
      <c r="CN5116" s="242"/>
      <c r="CO5116" s="242"/>
      <c r="CP5116" s="242"/>
      <c r="CQ5116" s="242"/>
      <c r="CR5116" s="242"/>
      <c r="CS5116" s="242"/>
      <c r="CT5116" s="242"/>
      <c r="CU5116" s="242"/>
      <c r="CV5116" s="242"/>
      <c r="CW5116" s="242"/>
      <c r="CX5116" s="242"/>
      <c r="CY5116" s="242"/>
      <c r="CZ5116" s="242"/>
      <c r="DA5116" s="67"/>
      <c r="DB5116" s="67"/>
      <c r="DC5116" s="67"/>
      <c r="DD5116" s="67"/>
      <c r="DE5116" s="67"/>
      <c r="DF5116" s="67"/>
      <c r="DG5116" s="67"/>
      <c r="DH5116" s="67"/>
      <c r="DI5116" s="67"/>
      <c r="DJ5116" s="67"/>
      <c r="DK5116" s="67"/>
      <c r="DL5116" s="67"/>
      <c r="DM5116" s="67"/>
      <c r="DN5116" s="67"/>
      <c r="DO5116" s="67"/>
      <c r="DP5116" s="67"/>
      <c r="DQ5116" s="166"/>
      <c r="DR5116" s="166"/>
      <c r="DS5116" s="163"/>
      <c r="DT5116" s="163"/>
      <c r="DU5116" s="67"/>
      <c r="DV5116" s="67"/>
      <c r="DW5116" s="67"/>
      <c r="DX5116" s="67"/>
      <c r="DY5116" s="67"/>
      <c r="DZ5116" s="67"/>
      <c r="EA5116" s="67"/>
      <c r="EB5116" s="67"/>
      <c r="EC5116" s="67"/>
      <c r="ED5116" s="67"/>
      <c r="EE5116" s="67"/>
      <c r="EF5116" s="67"/>
      <c r="EG5116" s="67"/>
      <c r="EH5116" s="67"/>
      <c r="EI5116" s="67"/>
      <c r="EJ5116" s="67"/>
      <c r="EK5116" s="94"/>
      <c r="EL5116" s="94"/>
      <c r="EM5116" s="67"/>
      <c r="EN5116" s="67"/>
      <c r="EO5116" s="67"/>
      <c r="EP5116" s="67"/>
      <c r="EQ5116" s="67"/>
      <c r="ER5116" s="67"/>
      <c r="ES5116" s="67"/>
      <c r="ET5116" s="67"/>
      <c r="EU5116" s="67"/>
      <c r="EV5116" s="67"/>
      <c r="EW5116" s="67"/>
      <c r="EX5116" s="67"/>
      <c r="EY5116" s="67"/>
      <c r="EZ5116" s="67"/>
      <c r="FA5116" s="67"/>
      <c r="FB5116" s="67"/>
      <c r="FC5116" s="67"/>
      <c r="FD5116" s="67"/>
      <c r="FE5116" s="67"/>
      <c r="FF5116" s="67"/>
      <c r="FG5116" s="67"/>
      <c r="FH5116" s="67"/>
      <c r="FI5116" s="67"/>
      <c r="FJ5116" s="67"/>
      <c r="FK5116" s="67"/>
      <c r="FL5116" s="67"/>
      <c r="FM5116" s="67"/>
      <c r="FN5116" s="67"/>
      <c r="FO5116" s="67"/>
      <c r="FP5116" s="67"/>
      <c r="FQ5116" s="67"/>
      <c r="FR5116" s="67"/>
      <c r="FS5116" s="67"/>
      <c r="FT5116" s="67"/>
      <c r="FU5116" s="67"/>
      <c r="FV5116" s="67"/>
      <c r="FW5116" s="67"/>
      <c r="FX5116" s="67"/>
      <c r="FY5116" s="67"/>
      <c r="FZ5116" s="67"/>
      <c r="GA5116" s="67"/>
      <c r="GB5116" s="67"/>
      <c r="GC5116" s="67"/>
      <c r="GD5116" s="67"/>
      <c r="GE5116" s="67"/>
      <c r="GF5116" s="67"/>
      <c r="GG5116" s="67"/>
      <c r="GH5116" s="67"/>
      <c r="GI5116" s="67"/>
      <c r="GJ5116" s="67"/>
      <c r="GK5116" s="67"/>
      <c r="GL5116" s="67"/>
      <c r="GM5116" s="67"/>
      <c r="GN5116" s="292"/>
      <c r="GO5116" s="292"/>
      <c r="GP5116" s="292" t="s">
        <v>7494</v>
      </c>
      <c r="GQ5116" s="67"/>
      <c r="GR5116" s="67"/>
      <c r="GS5116" s="67"/>
      <c r="GT5116" s="67"/>
      <c r="GU5116" s="67"/>
      <c r="GV5116" s="67"/>
      <c r="GW5116" s="67"/>
      <c r="GX5116" s="67"/>
      <c r="GY5116" s="67"/>
      <c r="GZ5116" s="67"/>
      <c r="HA5116" s="67"/>
      <c r="HB5116" s="67"/>
      <c r="HC5116" s="67"/>
      <c r="HD5116" s="67"/>
      <c r="HE5116" s="67"/>
      <c r="HF5116" s="67"/>
      <c r="HG5116" s="67"/>
      <c r="HH5116" s="67"/>
      <c r="HI5116" s="67"/>
      <c r="HJ5116" s="67"/>
      <c r="HK5116" s="67"/>
      <c r="HL5116" s="67"/>
      <c r="HM5116" s="67"/>
      <c r="HN5116" s="67"/>
      <c r="HO5116" s="67"/>
      <c r="HP5116" s="67"/>
      <c r="HQ5116" s="67"/>
      <c r="HR5116" s="67"/>
      <c r="HS5116" s="67"/>
      <c r="HT5116" s="67"/>
      <c r="HU5116" s="67"/>
      <c r="HV5116" s="67"/>
      <c r="HW5116" s="67"/>
      <c r="HX5116" s="67"/>
      <c r="HY5116" s="67"/>
      <c r="HZ5116" s="67"/>
      <c r="IA5116" s="67"/>
      <c r="IB5116" s="67"/>
      <c r="IC5116" s="67"/>
      <c r="ID5116" s="67"/>
      <c r="IE5116" s="67"/>
      <c r="IF5116" s="67"/>
      <c r="IG5116" s="67"/>
      <c r="IH5116" s="67"/>
      <c r="II5116" s="67"/>
      <c r="IJ5116" s="67"/>
      <c r="IK5116" s="67"/>
      <c r="IL5116" s="67"/>
      <c r="IM5116" s="67"/>
      <c r="IN5116" s="67"/>
      <c r="IO5116" s="67"/>
      <c r="IP5116" s="67"/>
      <c r="IQ5116" s="67"/>
      <c r="IR5116" s="67"/>
      <c r="IS5116" s="67"/>
      <c r="IT5116" s="67"/>
      <c r="IU5116" s="67"/>
      <c r="IV5116" s="67"/>
      <c r="IW5116" s="67"/>
      <c r="IX5116" s="67"/>
      <c r="IY5116" s="67"/>
      <c r="IZ5116" s="67"/>
      <c r="JA5116" s="67"/>
      <c r="JB5116" s="67"/>
      <c r="JC5116" s="67"/>
      <c r="JD5116" s="67"/>
      <c r="JE5116" s="67"/>
      <c r="JF5116" s="67"/>
      <c r="JG5116" s="67"/>
      <c r="JH5116" s="67"/>
      <c r="JI5116" s="67"/>
      <c r="JJ5116" s="67"/>
      <c r="JK5116" s="67"/>
      <c r="JL5116" s="67"/>
      <c r="JM5116" s="67"/>
      <c r="JN5116" s="67"/>
      <c r="JO5116" s="67"/>
      <c r="JP5116" s="67"/>
      <c r="JQ5116" s="67">
        <v>99999</v>
      </c>
      <c r="JR5116" s="67"/>
      <c r="JS5116" s="67"/>
      <c r="JT5116" s="67"/>
      <c r="JU5116" s="58" t="s">
        <v>5793</v>
      </c>
      <c r="JV5116" s="58"/>
      <c r="JW5116" s="58"/>
    </row>
    <row r="5117" spans="1:283" s="23" customFormat="1" x14ac:dyDescent="0.25">
      <c r="A5117" s="55">
        <v>5116</v>
      </c>
      <c r="B5117" s="12" t="s">
        <v>7067</v>
      </c>
      <c r="C5117" s="156">
        <v>267</v>
      </c>
      <c r="D5117" s="58" t="s">
        <v>5803</v>
      </c>
      <c r="E5117" s="160" t="str">
        <f>G5117</f>
        <v>Rasul and Thapa 2004</v>
      </c>
      <c r="F5117" s="160"/>
      <c r="G5117" s="60" t="s">
        <v>4700</v>
      </c>
      <c r="H5117" s="58">
        <v>2004</v>
      </c>
      <c r="I5117" s="58" t="s">
        <v>2847</v>
      </c>
      <c r="J5117" s="243" t="s">
        <v>757</v>
      </c>
      <c r="K5117" s="63" t="s">
        <v>5078</v>
      </c>
      <c r="L5117" s="58" t="s">
        <v>5336</v>
      </c>
      <c r="M5117" s="94">
        <v>23.68</v>
      </c>
      <c r="N5117" s="94">
        <v>90.36</v>
      </c>
      <c r="O5117" s="94">
        <v>52</v>
      </c>
      <c r="P5117" s="58"/>
      <c r="Q5117" s="244"/>
      <c r="R5117" s="58"/>
      <c r="S5117" s="245"/>
      <c r="T5117" s="58"/>
      <c r="U5117" s="58" t="s">
        <v>1889</v>
      </c>
      <c r="V5117" s="244">
        <v>12</v>
      </c>
      <c r="W5117" s="174"/>
      <c r="X5117" s="174"/>
      <c r="Y5117" s="58" t="s">
        <v>5792</v>
      </c>
      <c r="Z5117" s="244" t="s">
        <v>1346</v>
      </c>
      <c r="AA5117" s="245">
        <v>20</v>
      </c>
      <c r="AB5117" s="67"/>
      <c r="AC5117" s="67"/>
      <c r="AD5117" s="94"/>
      <c r="AE5117" s="94"/>
      <c r="AF5117" s="94"/>
      <c r="AG5117" s="245"/>
      <c r="AH5117" s="58" t="s">
        <v>238</v>
      </c>
      <c r="AI5117" s="169"/>
      <c r="AJ5117" s="94"/>
      <c r="AK5117" s="94"/>
      <c r="AL5117" s="58"/>
      <c r="AM5117" s="58"/>
      <c r="AN5117" s="186"/>
      <c r="AO5117" s="185" t="s">
        <v>7494</v>
      </c>
      <c r="AP5117" s="58"/>
      <c r="AQ5117" s="58"/>
      <c r="AR5117" s="58" t="s">
        <v>5796</v>
      </c>
      <c r="AS5117" s="246" t="s">
        <v>5133</v>
      </c>
      <c r="AT5117" s="247">
        <v>1</v>
      </c>
      <c r="AU5117" s="181" t="s">
        <v>7494</v>
      </c>
      <c r="AV5117" s="185" t="s">
        <v>176</v>
      </c>
      <c r="AW5117" s="244">
        <v>1</v>
      </c>
      <c r="AX5117" s="185" t="s">
        <v>176</v>
      </c>
      <c r="AY5117" s="244" t="s">
        <v>176</v>
      </c>
      <c r="AZ5117" s="58"/>
      <c r="BA5117" s="58"/>
      <c r="BB5117" s="58"/>
      <c r="BC5117" s="58"/>
      <c r="BD5117" s="58"/>
      <c r="BE5117" s="236" t="s">
        <v>5155</v>
      </c>
      <c r="BF5117" s="191" t="s">
        <v>176</v>
      </c>
      <c r="BG5117" s="191" t="s">
        <v>479</v>
      </c>
      <c r="BH5117" s="236" t="s">
        <v>5155</v>
      </c>
      <c r="BI5117" s="191" t="s">
        <v>479</v>
      </c>
      <c r="BJ5117" s="58" t="str">
        <f>IF(BE5117=BH5117,"No","yes")</f>
        <v>No</v>
      </c>
      <c r="BK5117" s="58" t="s">
        <v>6334</v>
      </c>
      <c r="BL5117" s="58" t="s">
        <v>5805</v>
      </c>
      <c r="BM5117" s="237"/>
      <c r="BN5117" s="244">
        <v>10</v>
      </c>
      <c r="BO5117" s="244">
        <v>10</v>
      </c>
      <c r="BP5117" s="58"/>
      <c r="BQ5117" s="58"/>
      <c r="BR5117" s="58"/>
      <c r="BS5117" s="58"/>
      <c r="BT5117" s="58"/>
      <c r="BU5117" s="58"/>
      <c r="BV5117" s="58"/>
      <c r="BW5117" s="67"/>
      <c r="BX5117" s="67"/>
      <c r="BY5117" s="67"/>
      <c r="BZ5117" s="67"/>
      <c r="CA5117" s="67"/>
      <c r="CB5117" s="70">
        <v>812</v>
      </c>
      <c r="CC5117" s="70">
        <v>780</v>
      </c>
      <c r="CD5117" s="70"/>
      <c r="CE5117" s="67"/>
      <c r="CF5117" s="67"/>
      <c r="CG5117" s="67" t="s">
        <v>545</v>
      </c>
      <c r="CH5117" s="245"/>
      <c r="CI5117" s="245"/>
      <c r="CJ5117" s="67"/>
      <c r="CK5117" s="67"/>
      <c r="CL5117" s="67"/>
      <c r="CM5117" s="242"/>
      <c r="CN5117" s="242"/>
      <c r="CO5117" s="242"/>
      <c r="CP5117" s="242"/>
      <c r="CQ5117" s="242"/>
      <c r="CR5117" s="242"/>
      <c r="CS5117" s="242"/>
      <c r="CT5117" s="242"/>
      <c r="CU5117" s="242"/>
      <c r="CV5117" s="242"/>
      <c r="CW5117" s="242"/>
      <c r="CX5117" s="242"/>
      <c r="CY5117" s="242"/>
      <c r="CZ5117" s="242"/>
      <c r="DA5117" s="67"/>
      <c r="DB5117" s="67"/>
      <c r="DC5117" s="67"/>
      <c r="DD5117" s="67"/>
      <c r="DE5117" s="67"/>
      <c r="DF5117" s="67"/>
      <c r="DG5117" s="67"/>
      <c r="DH5117" s="67"/>
      <c r="DI5117" s="67"/>
      <c r="DJ5117" s="67"/>
      <c r="DK5117" s="67"/>
      <c r="DL5117" s="67"/>
      <c r="DM5117" s="67"/>
      <c r="DN5117" s="67"/>
      <c r="DO5117" s="67"/>
      <c r="DP5117" s="67"/>
      <c r="DQ5117" s="166"/>
      <c r="DR5117" s="166"/>
      <c r="DS5117" s="163"/>
      <c r="DT5117" s="163"/>
      <c r="DU5117" s="67"/>
      <c r="DV5117" s="67"/>
      <c r="DW5117" s="67"/>
      <c r="DX5117" s="67"/>
      <c r="DY5117" s="67"/>
      <c r="DZ5117" s="67"/>
      <c r="EA5117" s="67"/>
      <c r="EB5117" s="67"/>
      <c r="EC5117" s="67"/>
      <c r="ED5117" s="67"/>
      <c r="EE5117" s="67"/>
      <c r="EF5117" s="67"/>
      <c r="EG5117" s="67"/>
      <c r="EH5117" s="67"/>
      <c r="EI5117" s="67"/>
      <c r="EJ5117" s="67"/>
      <c r="EK5117" s="94"/>
      <c r="EL5117" s="94"/>
      <c r="EM5117" s="67"/>
      <c r="EN5117" s="67"/>
      <c r="EO5117" s="67"/>
      <c r="EP5117" s="67"/>
      <c r="EQ5117" s="67"/>
      <c r="ER5117" s="67"/>
      <c r="ES5117" s="67"/>
      <c r="ET5117" s="67"/>
      <c r="EU5117" s="67"/>
      <c r="EV5117" s="67"/>
      <c r="EW5117" s="67"/>
      <c r="EX5117" s="67"/>
      <c r="EY5117" s="67"/>
      <c r="EZ5117" s="67"/>
      <c r="FA5117" s="67"/>
      <c r="FB5117" s="67"/>
      <c r="FC5117" s="67"/>
      <c r="FD5117" s="67"/>
      <c r="FE5117" s="67"/>
      <c r="FF5117" s="67"/>
      <c r="FG5117" s="67"/>
      <c r="FH5117" s="67"/>
      <c r="FI5117" s="67"/>
      <c r="FJ5117" s="67"/>
      <c r="FK5117" s="67"/>
      <c r="FL5117" s="67"/>
      <c r="FM5117" s="67"/>
      <c r="FN5117" s="67"/>
      <c r="FO5117" s="67"/>
      <c r="FP5117" s="67"/>
      <c r="FQ5117" s="67"/>
      <c r="FR5117" s="67"/>
      <c r="FS5117" s="67"/>
      <c r="FT5117" s="67"/>
      <c r="FU5117" s="67"/>
      <c r="FV5117" s="67"/>
      <c r="FW5117" s="67"/>
      <c r="FX5117" s="67"/>
      <c r="FY5117" s="67"/>
      <c r="FZ5117" s="67"/>
      <c r="GA5117" s="67"/>
      <c r="GB5117" s="67"/>
      <c r="GC5117" s="67"/>
      <c r="GD5117" s="67"/>
      <c r="GE5117" s="67"/>
      <c r="GF5117" s="67"/>
      <c r="GG5117" s="67"/>
      <c r="GH5117" s="67"/>
      <c r="GI5117" s="67"/>
      <c r="GJ5117" s="67"/>
      <c r="GK5117" s="67"/>
      <c r="GL5117" s="67"/>
      <c r="GM5117" s="67"/>
      <c r="GN5117" s="292"/>
      <c r="GO5117" s="292"/>
      <c r="GP5117" s="292" t="s">
        <v>7494</v>
      </c>
      <c r="GQ5117" s="67"/>
      <c r="GR5117" s="67"/>
      <c r="GS5117" s="67"/>
      <c r="GT5117" s="67"/>
      <c r="GU5117" s="67"/>
      <c r="GV5117" s="67"/>
      <c r="GW5117" s="67"/>
      <c r="GX5117" s="67"/>
      <c r="GY5117" s="67"/>
      <c r="GZ5117" s="67"/>
      <c r="HA5117" s="67"/>
      <c r="HB5117" s="67"/>
      <c r="HC5117" s="67"/>
      <c r="HD5117" s="67"/>
      <c r="HE5117" s="67"/>
      <c r="HF5117" s="67"/>
      <c r="HG5117" s="67"/>
      <c r="HH5117" s="67"/>
      <c r="HI5117" s="67"/>
      <c r="HJ5117" s="67"/>
      <c r="HK5117" s="67"/>
      <c r="HL5117" s="67"/>
      <c r="HM5117" s="67"/>
      <c r="HN5117" s="67"/>
      <c r="HO5117" s="67"/>
      <c r="HP5117" s="67"/>
      <c r="HQ5117" s="67"/>
      <c r="HR5117" s="67"/>
      <c r="HS5117" s="67"/>
      <c r="HT5117" s="67"/>
      <c r="HU5117" s="67"/>
      <c r="HV5117" s="67"/>
      <c r="HW5117" s="67"/>
      <c r="HX5117" s="67"/>
      <c r="HY5117" s="67"/>
      <c r="HZ5117" s="67"/>
      <c r="IA5117" s="67"/>
      <c r="IB5117" s="67"/>
      <c r="IC5117" s="67"/>
      <c r="ID5117" s="67"/>
      <c r="IE5117" s="67"/>
      <c r="IF5117" s="67"/>
      <c r="IG5117" s="67"/>
      <c r="IH5117" s="67"/>
      <c r="II5117" s="67"/>
      <c r="IJ5117" s="67"/>
      <c r="IK5117" s="67"/>
      <c r="IL5117" s="67"/>
      <c r="IM5117" s="67"/>
      <c r="IN5117" s="67"/>
      <c r="IO5117" s="67"/>
      <c r="IP5117" s="67"/>
      <c r="IQ5117" s="67"/>
      <c r="IR5117" s="67"/>
      <c r="IS5117" s="67"/>
      <c r="IT5117" s="67"/>
      <c r="IU5117" s="67"/>
      <c r="IV5117" s="67"/>
      <c r="IW5117" s="67"/>
      <c r="IX5117" s="67"/>
      <c r="IY5117" s="67"/>
      <c r="IZ5117" s="67"/>
      <c r="JA5117" s="67"/>
      <c r="JB5117" s="67"/>
      <c r="JC5117" s="67"/>
      <c r="JD5117" s="67"/>
      <c r="JE5117" s="67"/>
      <c r="JF5117" s="67"/>
      <c r="JG5117" s="67"/>
      <c r="JH5117" s="67"/>
      <c r="JI5117" s="67"/>
      <c r="JJ5117" s="67"/>
      <c r="JK5117" s="67"/>
      <c r="JL5117" s="67"/>
      <c r="JM5117" s="67"/>
      <c r="JN5117" s="67"/>
      <c r="JO5117" s="67"/>
      <c r="JP5117" s="67"/>
      <c r="JQ5117" s="67">
        <v>99999</v>
      </c>
      <c r="JR5117" s="67"/>
      <c r="JS5117" s="67"/>
      <c r="JT5117" s="67"/>
      <c r="JU5117" s="58" t="s">
        <v>5793</v>
      </c>
      <c r="JV5117" s="58"/>
      <c r="JW5117" s="58"/>
    </row>
    <row r="5118" spans="1:283" s="23" customFormat="1" x14ac:dyDescent="0.25">
      <c r="A5118" s="55">
        <v>5117</v>
      </c>
      <c r="B5118" s="12" t="s">
        <v>7067</v>
      </c>
      <c r="C5118" s="156">
        <v>268</v>
      </c>
      <c r="D5118" s="58" t="s">
        <v>5029</v>
      </c>
      <c r="E5118" s="160" t="str">
        <f>G5118</f>
        <v>Reganold et al 1993_market garden</v>
      </c>
      <c r="F5118" s="160"/>
      <c r="G5118" s="60" t="s">
        <v>4695</v>
      </c>
      <c r="H5118" s="58">
        <v>1993</v>
      </c>
      <c r="I5118" s="58" t="s">
        <v>5941</v>
      </c>
      <c r="J5118" s="243" t="s">
        <v>5322</v>
      </c>
      <c r="K5118" s="63" t="s">
        <v>5077</v>
      </c>
      <c r="L5118" s="58" t="s">
        <v>5335</v>
      </c>
      <c r="M5118" s="94">
        <v>-39.24</v>
      </c>
      <c r="N5118" s="94">
        <v>175.61</v>
      </c>
      <c r="O5118" s="94">
        <v>1606</v>
      </c>
      <c r="P5118" s="58"/>
      <c r="Q5118" s="244">
        <v>13.8</v>
      </c>
      <c r="R5118" s="58"/>
      <c r="S5118" s="245">
        <v>1184</v>
      </c>
      <c r="T5118" s="58"/>
      <c r="U5118" s="58" t="s">
        <v>1816</v>
      </c>
      <c r="V5118" s="244">
        <v>8</v>
      </c>
      <c r="W5118" s="174"/>
      <c r="X5118" s="174"/>
      <c r="Y5118" s="58" t="s">
        <v>5965</v>
      </c>
      <c r="Z5118" s="244" t="s">
        <v>1355</v>
      </c>
      <c r="AA5118" s="245">
        <v>10</v>
      </c>
      <c r="AB5118" s="67">
        <v>16.899999999999999</v>
      </c>
      <c r="AC5118" s="67" t="s">
        <v>7001</v>
      </c>
      <c r="AD5118" s="94">
        <v>1.07</v>
      </c>
      <c r="AE5118" s="94"/>
      <c r="AF5118" s="94"/>
      <c r="AG5118" s="245">
        <v>34</v>
      </c>
      <c r="AH5118" s="58" t="s">
        <v>523</v>
      </c>
      <c r="AI5118" s="169" t="s">
        <v>5722</v>
      </c>
      <c r="AJ5118" s="94">
        <v>4.84</v>
      </c>
      <c r="AK5118" s="94"/>
      <c r="AL5118" s="58"/>
      <c r="AM5118" s="58"/>
      <c r="AN5118" s="186"/>
      <c r="AO5118" s="185" t="s">
        <v>5150</v>
      </c>
      <c r="AP5118" s="58"/>
      <c r="AQ5118" s="58"/>
      <c r="AR5118" s="58"/>
      <c r="AS5118" s="246" t="s">
        <v>227</v>
      </c>
      <c r="AT5118" s="247"/>
      <c r="AU5118" s="181" t="s">
        <v>7494</v>
      </c>
      <c r="AV5118" s="185" t="s">
        <v>176</v>
      </c>
      <c r="AW5118" s="244"/>
      <c r="AX5118" s="185" t="s">
        <v>176</v>
      </c>
      <c r="AY5118" s="244"/>
      <c r="AZ5118" s="58"/>
      <c r="BA5118" s="58"/>
      <c r="BB5118" s="58"/>
      <c r="BC5118" s="58"/>
      <c r="BD5118" s="58"/>
      <c r="BE5118" s="236" t="s">
        <v>5153</v>
      </c>
      <c r="BF5118" s="191" t="s">
        <v>176</v>
      </c>
      <c r="BG5118" s="191" t="s">
        <v>176</v>
      </c>
      <c r="BH5118" s="236" t="s">
        <v>5153</v>
      </c>
      <c r="BI5118" s="191" t="s">
        <v>176</v>
      </c>
      <c r="BJ5118" s="58" t="str">
        <f>IF(BE5118=BH5118,"No","yes")</f>
        <v>No</v>
      </c>
      <c r="BK5118" s="58" t="s">
        <v>6334</v>
      </c>
      <c r="BL5118" s="58"/>
      <c r="BM5118" s="237"/>
      <c r="BN5118" s="244">
        <v>6</v>
      </c>
      <c r="BO5118" s="244">
        <v>6</v>
      </c>
      <c r="BP5118" s="58"/>
      <c r="BQ5118" s="58"/>
      <c r="BR5118" s="58"/>
      <c r="BS5118" s="58"/>
      <c r="BT5118" s="58"/>
      <c r="BU5118" s="58"/>
      <c r="BV5118" s="58"/>
      <c r="BW5118" s="67"/>
      <c r="BX5118" s="67"/>
      <c r="BY5118" s="67"/>
      <c r="BZ5118" s="67"/>
      <c r="CA5118" s="67"/>
      <c r="CB5118" s="70"/>
      <c r="CC5118" s="70"/>
      <c r="CD5118" s="70"/>
      <c r="CE5118" s="67"/>
      <c r="CF5118" s="67"/>
      <c r="CG5118" s="67"/>
      <c r="CH5118" s="245">
        <v>1.22</v>
      </c>
      <c r="CI5118" s="245">
        <v>1.1000000000000001</v>
      </c>
      <c r="CJ5118" s="67"/>
      <c r="CK5118" s="67"/>
      <c r="CL5118" s="67"/>
      <c r="CM5118" s="242">
        <v>3.06</v>
      </c>
      <c r="CN5118" s="242">
        <v>4.3</v>
      </c>
      <c r="CO5118" s="242"/>
      <c r="CP5118" s="242"/>
      <c r="CQ5118" s="242" t="s">
        <v>164</v>
      </c>
      <c r="CR5118" s="242">
        <v>18.666</v>
      </c>
      <c r="CS5118" s="242">
        <v>23.650000000000006</v>
      </c>
      <c r="CT5118" s="242"/>
      <c r="CU5118" s="242"/>
      <c r="CV5118" s="242" t="s">
        <v>5151</v>
      </c>
      <c r="CW5118" s="242"/>
      <c r="CX5118" s="242"/>
      <c r="CY5118" s="242"/>
      <c r="CZ5118" s="242"/>
      <c r="DA5118" s="67"/>
      <c r="DB5118" s="67">
        <v>2690</v>
      </c>
      <c r="DC5118" s="67">
        <v>4200</v>
      </c>
      <c r="DD5118" s="67"/>
      <c r="DE5118" s="67"/>
      <c r="DF5118" s="67" t="s">
        <v>5967</v>
      </c>
      <c r="DG5118" s="67">
        <v>2220</v>
      </c>
      <c r="DH5118" s="67">
        <v>3840</v>
      </c>
      <c r="DI5118" s="67"/>
      <c r="DJ5118" s="67"/>
      <c r="DK5118" s="67" t="s">
        <v>5968</v>
      </c>
      <c r="DL5118" s="67">
        <v>0.84</v>
      </c>
      <c r="DM5118" s="67">
        <v>1.25</v>
      </c>
      <c r="DN5118" s="67"/>
      <c r="DO5118" s="67"/>
      <c r="DP5118" s="67" t="s">
        <v>5969</v>
      </c>
      <c r="DQ5118" s="166">
        <v>6.7</v>
      </c>
      <c r="DR5118" s="166">
        <v>6.84</v>
      </c>
      <c r="DS5118" s="163"/>
      <c r="DT5118" s="163"/>
      <c r="DU5118" s="67"/>
      <c r="DV5118" s="67">
        <v>16.899999999999999</v>
      </c>
      <c r="DW5118" s="67">
        <v>24.4</v>
      </c>
      <c r="DX5118" s="67"/>
      <c r="DY5118" s="67"/>
      <c r="DZ5118" s="67" t="s">
        <v>3360</v>
      </c>
      <c r="EA5118" s="67"/>
      <c r="EB5118" s="67"/>
      <c r="EC5118" s="67"/>
      <c r="ED5118" s="67"/>
      <c r="EE5118" s="67"/>
      <c r="EF5118" s="67"/>
      <c r="EG5118" s="67"/>
      <c r="EH5118" s="67"/>
      <c r="EI5118" s="67"/>
      <c r="EJ5118" s="67"/>
      <c r="EK5118" s="94"/>
      <c r="EL5118" s="94"/>
      <c r="EM5118" s="67"/>
      <c r="EN5118" s="67"/>
      <c r="EO5118" s="67"/>
      <c r="EP5118" s="67"/>
      <c r="EQ5118" s="67"/>
      <c r="ER5118" s="67"/>
      <c r="ES5118" s="67"/>
      <c r="ET5118" s="67"/>
      <c r="EU5118" s="67">
        <v>1.31</v>
      </c>
      <c r="EV5118" s="67">
        <v>1.5</v>
      </c>
      <c r="EW5118" s="67"/>
      <c r="EX5118" s="67"/>
      <c r="EY5118" s="67" t="s">
        <v>2366</v>
      </c>
      <c r="EZ5118" s="67"/>
      <c r="FA5118" s="67"/>
      <c r="FB5118" s="67"/>
      <c r="FC5118" s="67"/>
      <c r="FD5118" s="67"/>
      <c r="FE5118" s="67"/>
      <c r="FF5118" s="67"/>
      <c r="FG5118" s="67"/>
      <c r="FH5118" s="67"/>
      <c r="FI5118" s="67"/>
      <c r="FJ5118" s="67"/>
      <c r="FK5118" s="67"/>
      <c r="FL5118" s="67"/>
      <c r="FM5118" s="67"/>
      <c r="FN5118" s="67"/>
      <c r="FO5118" s="67"/>
      <c r="FP5118" s="67"/>
      <c r="FQ5118" s="67"/>
      <c r="FR5118" s="67"/>
      <c r="FS5118" s="67"/>
      <c r="FT5118" s="67"/>
      <c r="FU5118" s="67"/>
      <c r="FV5118" s="67"/>
      <c r="FW5118" s="67"/>
      <c r="FX5118" s="67"/>
      <c r="FY5118" s="67"/>
      <c r="FZ5118" s="67"/>
      <c r="GA5118" s="67"/>
      <c r="GB5118" s="67"/>
      <c r="GC5118" s="67"/>
      <c r="GD5118" s="67"/>
      <c r="GE5118" s="67"/>
      <c r="GF5118" s="67"/>
      <c r="GG5118" s="67"/>
      <c r="GH5118" s="67"/>
      <c r="GI5118" s="67"/>
      <c r="GJ5118" s="67"/>
      <c r="GK5118" s="67"/>
      <c r="GL5118" s="67"/>
      <c r="GM5118" s="67"/>
      <c r="GN5118" s="292"/>
      <c r="GO5118" s="292"/>
      <c r="GP5118" s="292" t="s">
        <v>7494</v>
      </c>
      <c r="GQ5118" s="67"/>
      <c r="GR5118" s="67"/>
      <c r="GS5118" s="67"/>
      <c r="GT5118" s="67"/>
      <c r="GU5118" s="67"/>
      <c r="GV5118" s="67"/>
      <c r="GW5118" s="67"/>
      <c r="GX5118" s="67"/>
      <c r="GY5118" s="67"/>
      <c r="GZ5118" s="67"/>
      <c r="HA5118" s="67"/>
      <c r="HB5118" s="67"/>
      <c r="HC5118" s="67"/>
      <c r="HD5118" s="67"/>
      <c r="HE5118" s="67"/>
      <c r="HF5118" s="67"/>
      <c r="HG5118" s="67"/>
      <c r="HH5118" s="67"/>
      <c r="HI5118" s="67"/>
      <c r="HJ5118" s="67"/>
      <c r="HK5118" s="67"/>
      <c r="HL5118" s="67"/>
      <c r="HM5118" s="67"/>
      <c r="HN5118" s="67"/>
      <c r="HO5118" s="67"/>
      <c r="HP5118" s="67"/>
      <c r="HQ5118" s="67"/>
      <c r="HR5118" s="67"/>
      <c r="HS5118" s="67"/>
      <c r="HT5118" s="67"/>
      <c r="HU5118" s="67"/>
      <c r="HV5118" s="67"/>
      <c r="HW5118" s="67"/>
      <c r="HX5118" s="67"/>
      <c r="HY5118" s="67"/>
      <c r="HZ5118" s="67"/>
      <c r="IA5118" s="67"/>
      <c r="IB5118" s="67"/>
      <c r="IC5118" s="67">
        <v>62.6</v>
      </c>
      <c r="ID5118" s="67">
        <v>112.6</v>
      </c>
      <c r="IE5118" s="67"/>
      <c r="IF5118" s="67"/>
      <c r="IG5118" s="67" t="s">
        <v>2242</v>
      </c>
      <c r="IH5118" s="67"/>
      <c r="II5118" s="67"/>
      <c r="IJ5118" s="67"/>
      <c r="IK5118" s="67"/>
      <c r="IL5118" s="67"/>
      <c r="IM5118" s="67"/>
      <c r="IN5118" s="67"/>
      <c r="IO5118" s="67"/>
      <c r="IP5118" s="67"/>
      <c r="IQ5118" s="67"/>
      <c r="IR5118" s="67"/>
      <c r="IS5118" s="67"/>
      <c r="IT5118" s="67"/>
      <c r="IU5118" s="67"/>
      <c r="IV5118" s="67"/>
      <c r="IW5118" s="67">
        <v>12.6</v>
      </c>
      <c r="IX5118" s="67">
        <v>54.6</v>
      </c>
      <c r="IY5118" s="67"/>
      <c r="IZ5118" s="67"/>
      <c r="JA5118" s="67" t="s">
        <v>5966</v>
      </c>
      <c r="JB5118" s="67"/>
      <c r="JC5118" s="67"/>
      <c r="JD5118" s="67"/>
      <c r="JE5118" s="67"/>
      <c r="JF5118" s="67"/>
      <c r="JG5118" s="67"/>
      <c r="JH5118" s="67"/>
      <c r="JI5118" s="67"/>
      <c r="JJ5118" s="67"/>
      <c r="JK5118" s="67"/>
      <c r="JL5118" s="67"/>
      <c r="JM5118" s="67"/>
      <c r="JN5118" s="67"/>
      <c r="JO5118" s="67"/>
      <c r="JP5118" s="67"/>
      <c r="JQ5118" s="67">
        <v>99999</v>
      </c>
      <c r="JR5118" s="67"/>
      <c r="JS5118" s="67"/>
      <c r="JT5118" s="67"/>
      <c r="JU5118" s="58"/>
      <c r="JV5118" s="58"/>
      <c r="JW5118" s="58"/>
    </row>
    <row r="5119" spans="1:283" s="23" customFormat="1" x14ac:dyDescent="0.25">
      <c r="A5119" s="55">
        <v>5118</v>
      </c>
      <c r="B5119" s="12" t="s">
        <v>7067</v>
      </c>
      <c r="C5119" s="156">
        <v>268</v>
      </c>
      <c r="D5119" s="58" t="s">
        <v>5030</v>
      </c>
      <c r="E5119" s="160" t="str">
        <f>G5119</f>
        <v>Reganold et al 1993_pip fruit</v>
      </c>
      <c r="F5119" s="160"/>
      <c r="G5119" s="60" t="s">
        <v>4694</v>
      </c>
      <c r="H5119" s="58">
        <v>1993</v>
      </c>
      <c r="I5119" s="58" t="s">
        <v>5941</v>
      </c>
      <c r="J5119" s="243" t="s">
        <v>5322</v>
      </c>
      <c r="K5119" s="63" t="s">
        <v>5077</v>
      </c>
      <c r="L5119" s="58" t="s">
        <v>5335</v>
      </c>
      <c r="M5119" s="94">
        <v>-39.24</v>
      </c>
      <c r="N5119" s="94">
        <v>175.61</v>
      </c>
      <c r="O5119" s="94">
        <v>1606</v>
      </c>
      <c r="P5119" s="58"/>
      <c r="Q5119" s="244">
        <v>13.8</v>
      </c>
      <c r="R5119" s="58"/>
      <c r="S5119" s="245">
        <v>1184</v>
      </c>
      <c r="T5119" s="58"/>
      <c r="U5119" s="58" t="s">
        <v>1816</v>
      </c>
      <c r="V5119" s="244">
        <v>8</v>
      </c>
      <c r="W5119" s="174"/>
      <c r="X5119" s="174"/>
      <c r="Y5119" s="58" t="s">
        <v>5965</v>
      </c>
      <c r="Z5119" s="244" t="s">
        <v>1355</v>
      </c>
      <c r="AA5119" s="245">
        <v>10</v>
      </c>
      <c r="AB5119" s="67">
        <v>28.5</v>
      </c>
      <c r="AC5119" s="67" t="s">
        <v>7001</v>
      </c>
      <c r="AD5119" s="94">
        <v>1.07</v>
      </c>
      <c r="AE5119" s="94"/>
      <c r="AF5119" s="94"/>
      <c r="AG5119" s="245">
        <v>34</v>
      </c>
      <c r="AH5119" s="58" t="s">
        <v>523</v>
      </c>
      <c r="AI5119" s="169" t="s">
        <v>5722</v>
      </c>
      <c r="AJ5119" s="94">
        <v>4.84</v>
      </c>
      <c r="AK5119" s="94"/>
      <c r="AL5119" s="58"/>
      <c r="AM5119" s="58"/>
      <c r="AN5119" s="186"/>
      <c r="AO5119" s="185" t="s">
        <v>5150</v>
      </c>
      <c r="AP5119" s="58"/>
      <c r="AQ5119" s="58"/>
      <c r="AR5119" s="58"/>
      <c r="AS5119" s="246" t="s">
        <v>3471</v>
      </c>
      <c r="AT5119" s="247"/>
      <c r="AU5119" s="181" t="s">
        <v>7494</v>
      </c>
      <c r="AV5119" s="185" t="s">
        <v>176</v>
      </c>
      <c r="AW5119" s="244"/>
      <c r="AX5119" s="185" t="s">
        <v>176</v>
      </c>
      <c r="AY5119" s="244"/>
      <c r="AZ5119" s="58"/>
      <c r="BA5119" s="58"/>
      <c r="BB5119" s="58"/>
      <c r="BC5119" s="58"/>
      <c r="BD5119" s="58"/>
      <c r="BE5119" s="236" t="s">
        <v>5153</v>
      </c>
      <c r="BF5119" s="191" t="s">
        <v>176</v>
      </c>
      <c r="BG5119" s="191" t="s">
        <v>176</v>
      </c>
      <c r="BH5119" s="236" t="s">
        <v>5153</v>
      </c>
      <c r="BI5119" s="191" t="s">
        <v>176</v>
      </c>
      <c r="BJ5119" s="58" t="str">
        <f>IF(BE5119=BH5119,"No","yes")</f>
        <v>No</v>
      </c>
      <c r="BK5119" s="58" t="s">
        <v>6334</v>
      </c>
      <c r="BL5119" s="58"/>
      <c r="BM5119" s="237"/>
      <c r="BN5119" s="244">
        <v>12</v>
      </c>
      <c r="BO5119" s="244">
        <v>12</v>
      </c>
      <c r="BP5119" s="58"/>
      <c r="BQ5119" s="58"/>
      <c r="BR5119" s="58"/>
      <c r="BS5119" s="58"/>
      <c r="BT5119" s="58"/>
      <c r="BU5119" s="58"/>
      <c r="BV5119" s="58"/>
      <c r="BW5119" s="67"/>
      <c r="BX5119" s="67"/>
      <c r="BY5119" s="67"/>
      <c r="BZ5119" s="67"/>
      <c r="CA5119" s="67"/>
      <c r="CB5119" s="70"/>
      <c r="CC5119" s="70"/>
      <c r="CD5119" s="70"/>
      <c r="CE5119" s="67"/>
      <c r="CF5119" s="67"/>
      <c r="CG5119" s="67"/>
      <c r="CH5119" s="245">
        <v>1.3</v>
      </c>
      <c r="CI5119" s="245">
        <v>1.06</v>
      </c>
      <c r="CJ5119" s="67"/>
      <c r="CK5119" s="67"/>
      <c r="CL5119" s="67"/>
      <c r="CM5119" s="242">
        <v>3.85</v>
      </c>
      <c r="CN5119" s="242">
        <v>4.79</v>
      </c>
      <c r="CO5119" s="242"/>
      <c r="CP5119" s="242"/>
      <c r="CQ5119" s="242" t="s">
        <v>164</v>
      </c>
      <c r="CR5119" s="242">
        <v>25.025000000000002</v>
      </c>
      <c r="CS5119" s="242">
        <v>25.386999999999997</v>
      </c>
      <c r="CT5119" s="242"/>
      <c r="CU5119" s="242"/>
      <c r="CV5119" s="242" t="s">
        <v>5151</v>
      </c>
      <c r="CW5119" s="242"/>
      <c r="CX5119" s="242"/>
      <c r="CY5119" s="242"/>
      <c r="CZ5119" s="242"/>
      <c r="DA5119" s="67"/>
      <c r="DB5119" s="67">
        <v>3490</v>
      </c>
      <c r="DC5119" s="67">
        <v>4020</v>
      </c>
      <c r="DD5119" s="67"/>
      <c r="DE5119" s="67"/>
      <c r="DF5119" s="67" t="s">
        <v>5967</v>
      </c>
      <c r="DG5119" s="67">
        <v>990</v>
      </c>
      <c r="DH5119" s="67">
        <v>1210</v>
      </c>
      <c r="DI5119" s="67"/>
      <c r="DJ5119" s="67"/>
      <c r="DK5119" s="67" t="s">
        <v>5968</v>
      </c>
      <c r="DL5119" s="67">
        <v>1.87</v>
      </c>
      <c r="DM5119" s="67">
        <v>2.8</v>
      </c>
      <c r="DN5119" s="67"/>
      <c r="DO5119" s="67"/>
      <c r="DP5119" s="67" t="s">
        <v>5969</v>
      </c>
      <c r="DQ5119" s="166">
        <v>6.73</v>
      </c>
      <c r="DR5119" s="166">
        <v>6.4</v>
      </c>
      <c r="DS5119" s="163"/>
      <c r="DT5119" s="163"/>
      <c r="DU5119" s="67"/>
      <c r="DV5119" s="67">
        <v>28.5</v>
      </c>
      <c r="DW5119" s="67">
        <v>30.3</v>
      </c>
      <c r="DX5119" s="67"/>
      <c r="DY5119" s="67"/>
      <c r="DZ5119" s="67" t="s">
        <v>3360</v>
      </c>
      <c r="EA5119" s="67"/>
      <c r="EB5119" s="67"/>
      <c r="EC5119" s="67"/>
      <c r="ED5119" s="67"/>
      <c r="EE5119" s="67"/>
      <c r="EF5119" s="67"/>
      <c r="EG5119" s="67"/>
      <c r="EH5119" s="67"/>
      <c r="EI5119" s="67"/>
      <c r="EJ5119" s="67"/>
      <c r="EK5119" s="94"/>
      <c r="EL5119" s="94"/>
      <c r="EM5119" s="67"/>
      <c r="EN5119" s="67"/>
      <c r="EO5119" s="67"/>
      <c r="EP5119" s="67"/>
      <c r="EQ5119" s="67"/>
      <c r="ER5119" s="67"/>
      <c r="ES5119" s="67"/>
      <c r="ET5119" s="67"/>
      <c r="EU5119" s="67">
        <v>2.66</v>
      </c>
      <c r="EV5119" s="67">
        <v>1.92</v>
      </c>
      <c r="EW5119" s="67"/>
      <c r="EX5119" s="67"/>
      <c r="EY5119" s="67" t="s">
        <v>2366</v>
      </c>
      <c r="EZ5119" s="67"/>
      <c r="FA5119" s="67"/>
      <c r="FB5119" s="67"/>
      <c r="FC5119" s="67"/>
      <c r="FD5119" s="67"/>
      <c r="FE5119" s="67"/>
      <c r="FF5119" s="67"/>
      <c r="FG5119" s="67"/>
      <c r="FH5119" s="67"/>
      <c r="FI5119" s="67"/>
      <c r="FJ5119" s="67"/>
      <c r="FK5119" s="67"/>
      <c r="FL5119" s="67"/>
      <c r="FM5119" s="67"/>
      <c r="FN5119" s="67"/>
      <c r="FO5119" s="67"/>
      <c r="FP5119" s="67"/>
      <c r="FQ5119" s="67"/>
      <c r="FR5119" s="67"/>
      <c r="FS5119" s="67"/>
      <c r="FT5119" s="67"/>
      <c r="FU5119" s="67"/>
      <c r="FV5119" s="67"/>
      <c r="FW5119" s="67"/>
      <c r="FX5119" s="67"/>
      <c r="FY5119" s="67"/>
      <c r="FZ5119" s="67"/>
      <c r="GA5119" s="67"/>
      <c r="GB5119" s="67"/>
      <c r="GC5119" s="67"/>
      <c r="GD5119" s="67"/>
      <c r="GE5119" s="67"/>
      <c r="GF5119" s="67"/>
      <c r="GG5119" s="67"/>
      <c r="GH5119" s="67"/>
      <c r="GI5119" s="67"/>
      <c r="GJ5119" s="67"/>
      <c r="GK5119" s="67"/>
      <c r="GL5119" s="67"/>
      <c r="GM5119" s="67"/>
      <c r="GN5119" s="292"/>
      <c r="GO5119" s="292"/>
      <c r="GP5119" s="292" t="s">
        <v>7494</v>
      </c>
      <c r="GQ5119" s="67"/>
      <c r="GR5119" s="67"/>
      <c r="GS5119" s="67"/>
      <c r="GT5119" s="67"/>
      <c r="GU5119" s="67"/>
      <c r="GV5119" s="67"/>
      <c r="GW5119" s="67"/>
      <c r="GX5119" s="67"/>
      <c r="GY5119" s="67"/>
      <c r="GZ5119" s="67"/>
      <c r="HA5119" s="67"/>
      <c r="HB5119" s="67"/>
      <c r="HC5119" s="67"/>
      <c r="HD5119" s="67"/>
      <c r="HE5119" s="67"/>
      <c r="HF5119" s="67"/>
      <c r="HG5119" s="67"/>
      <c r="HH5119" s="67"/>
      <c r="HI5119" s="67"/>
      <c r="HJ5119" s="67"/>
      <c r="HK5119" s="67"/>
      <c r="HL5119" s="67"/>
      <c r="HM5119" s="67"/>
      <c r="HN5119" s="67"/>
      <c r="HO5119" s="67"/>
      <c r="HP5119" s="67"/>
      <c r="HQ5119" s="67"/>
      <c r="HR5119" s="67"/>
      <c r="HS5119" s="67"/>
      <c r="HT5119" s="67"/>
      <c r="HU5119" s="67"/>
      <c r="HV5119" s="67"/>
      <c r="HW5119" s="67"/>
      <c r="HX5119" s="67"/>
      <c r="HY5119" s="67"/>
      <c r="HZ5119" s="67"/>
      <c r="IA5119" s="67"/>
      <c r="IB5119" s="67"/>
      <c r="IC5119" s="67">
        <v>111.9</v>
      </c>
      <c r="ID5119" s="67">
        <v>141.1</v>
      </c>
      <c r="IE5119" s="67"/>
      <c r="IF5119" s="67"/>
      <c r="IG5119" s="67" t="s">
        <v>2242</v>
      </c>
      <c r="IH5119" s="67"/>
      <c r="II5119" s="67"/>
      <c r="IJ5119" s="67"/>
      <c r="IK5119" s="67"/>
      <c r="IL5119" s="67"/>
      <c r="IM5119" s="67"/>
      <c r="IN5119" s="67"/>
      <c r="IO5119" s="67"/>
      <c r="IP5119" s="67"/>
      <c r="IQ5119" s="67"/>
      <c r="IR5119" s="67"/>
      <c r="IS5119" s="67"/>
      <c r="IT5119" s="67"/>
      <c r="IU5119" s="67"/>
      <c r="IV5119" s="67"/>
      <c r="IW5119" s="67">
        <v>39</v>
      </c>
      <c r="IX5119" s="67">
        <v>49.2</v>
      </c>
      <c r="IY5119" s="67"/>
      <c r="IZ5119" s="67"/>
      <c r="JA5119" s="67" t="s">
        <v>5966</v>
      </c>
      <c r="JB5119" s="67"/>
      <c r="JC5119" s="67"/>
      <c r="JD5119" s="67"/>
      <c r="JE5119" s="67"/>
      <c r="JF5119" s="67"/>
      <c r="JG5119" s="67"/>
      <c r="JH5119" s="67"/>
      <c r="JI5119" s="67"/>
      <c r="JJ5119" s="67"/>
      <c r="JK5119" s="67"/>
      <c r="JL5119" s="67"/>
      <c r="JM5119" s="67"/>
      <c r="JN5119" s="67"/>
      <c r="JO5119" s="67"/>
      <c r="JP5119" s="67"/>
      <c r="JQ5119" s="67">
        <v>99999</v>
      </c>
      <c r="JR5119" s="67"/>
      <c r="JS5119" s="67"/>
      <c r="JT5119" s="67"/>
      <c r="JU5119" s="58"/>
      <c r="JV5119" s="58"/>
      <c r="JW5119" s="58"/>
    </row>
    <row r="5120" spans="1:283" s="23" customFormat="1" x14ac:dyDescent="0.25">
      <c r="A5120" s="55">
        <v>5119</v>
      </c>
      <c r="B5120" s="12" t="s">
        <v>7067</v>
      </c>
      <c r="C5120" s="156">
        <v>268</v>
      </c>
      <c r="D5120" s="58" t="s">
        <v>5025</v>
      </c>
      <c r="E5120" s="160" t="str">
        <f>G5120</f>
        <v>Reganold et al 1993_citrus</v>
      </c>
      <c r="F5120" s="160"/>
      <c r="G5120" s="60" t="s">
        <v>4699</v>
      </c>
      <c r="H5120" s="58">
        <v>1993</v>
      </c>
      <c r="I5120" s="58" t="s">
        <v>5941</v>
      </c>
      <c r="J5120" s="243" t="s">
        <v>5322</v>
      </c>
      <c r="K5120" s="63" t="s">
        <v>5077</v>
      </c>
      <c r="L5120" s="58" t="s">
        <v>5335</v>
      </c>
      <c r="M5120" s="94">
        <v>-39.24</v>
      </c>
      <c r="N5120" s="94">
        <v>175.61</v>
      </c>
      <c r="O5120" s="94">
        <v>1606</v>
      </c>
      <c r="P5120" s="58"/>
      <c r="Q5120" s="244">
        <v>13.8</v>
      </c>
      <c r="R5120" s="58"/>
      <c r="S5120" s="245">
        <v>1184</v>
      </c>
      <c r="T5120" s="58"/>
      <c r="U5120" s="58" t="s">
        <v>1816</v>
      </c>
      <c r="V5120" s="244">
        <v>8</v>
      </c>
      <c r="W5120" s="174"/>
      <c r="X5120" s="174"/>
      <c r="Y5120" s="58" t="s">
        <v>5965</v>
      </c>
      <c r="Z5120" s="244" t="s">
        <v>1355</v>
      </c>
      <c r="AA5120" s="245">
        <v>10</v>
      </c>
      <c r="AB5120" s="67">
        <v>22.4</v>
      </c>
      <c r="AC5120" s="67" t="s">
        <v>7001</v>
      </c>
      <c r="AD5120" s="94">
        <v>1.07</v>
      </c>
      <c r="AE5120" s="94"/>
      <c r="AF5120" s="94"/>
      <c r="AG5120" s="245">
        <v>34</v>
      </c>
      <c r="AH5120" s="58" t="s">
        <v>1022</v>
      </c>
      <c r="AI5120" s="169" t="s">
        <v>5722</v>
      </c>
      <c r="AJ5120" s="94">
        <v>4.84</v>
      </c>
      <c r="AK5120" s="94"/>
      <c r="AL5120" s="58"/>
      <c r="AM5120" s="58"/>
      <c r="AN5120" s="186"/>
      <c r="AO5120" s="185" t="s">
        <v>5150</v>
      </c>
      <c r="AP5120" s="58"/>
      <c r="AQ5120" s="58"/>
      <c r="AR5120" s="58"/>
      <c r="AS5120" s="246" t="s">
        <v>3471</v>
      </c>
      <c r="AT5120" s="247"/>
      <c r="AU5120" s="181" t="s">
        <v>7494</v>
      </c>
      <c r="AV5120" s="185" t="s">
        <v>176</v>
      </c>
      <c r="AW5120" s="244"/>
      <c r="AX5120" s="185" t="s">
        <v>176</v>
      </c>
      <c r="AY5120" s="244"/>
      <c r="AZ5120" s="58"/>
      <c r="BA5120" s="58"/>
      <c r="BB5120" s="58"/>
      <c r="BC5120" s="58"/>
      <c r="BD5120" s="58"/>
      <c r="BE5120" s="236" t="s">
        <v>5153</v>
      </c>
      <c r="BF5120" s="191" t="s">
        <v>176</v>
      </c>
      <c r="BG5120" s="191" t="s">
        <v>176</v>
      </c>
      <c r="BH5120" s="236" t="s">
        <v>5153</v>
      </c>
      <c r="BI5120" s="191" t="s">
        <v>176</v>
      </c>
      <c r="BJ5120" s="58" t="str">
        <f>IF(BE5120=BH5120,"No","yes")</f>
        <v>No</v>
      </c>
      <c r="BK5120" s="58" t="s">
        <v>6334</v>
      </c>
      <c r="BL5120" s="58"/>
      <c r="BM5120" s="237"/>
      <c r="BN5120" s="244">
        <v>18</v>
      </c>
      <c r="BO5120" s="244">
        <v>18</v>
      </c>
      <c r="BP5120" s="58"/>
      <c r="BQ5120" s="58"/>
      <c r="BR5120" s="58"/>
      <c r="BS5120" s="58"/>
      <c r="BT5120" s="58"/>
      <c r="BU5120" s="58"/>
      <c r="BV5120" s="58"/>
      <c r="BW5120" s="67"/>
      <c r="BX5120" s="67"/>
      <c r="BY5120" s="67"/>
      <c r="BZ5120" s="67"/>
      <c r="CA5120" s="67"/>
      <c r="CB5120" s="70"/>
      <c r="CC5120" s="70"/>
      <c r="CD5120" s="70"/>
      <c r="CE5120" s="67"/>
      <c r="CF5120" s="67"/>
      <c r="CG5120" s="67"/>
      <c r="CH5120" s="245">
        <v>1.04</v>
      </c>
      <c r="CI5120" s="245">
        <v>1</v>
      </c>
      <c r="CJ5120" s="67"/>
      <c r="CK5120" s="67"/>
      <c r="CL5120" s="67"/>
      <c r="CM5120" s="242">
        <v>5.58</v>
      </c>
      <c r="CN5120" s="242">
        <v>6.48</v>
      </c>
      <c r="CO5120" s="242"/>
      <c r="CP5120" s="242"/>
      <c r="CQ5120" s="242" t="s">
        <v>164</v>
      </c>
      <c r="CR5120" s="242">
        <v>29.016000000000002</v>
      </c>
      <c r="CS5120" s="242">
        <v>32.400000000000006</v>
      </c>
      <c r="CT5120" s="242"/>
      <c r="CU5120" s="242"/>
      <c r="CV5120" s="242" t="s">
        <v>5151</v>
      </c>
      <c r="CW5120" s="242"/>
      <c r="CX5120" s="242"/>
      <c r="CY5120" s="242"/>
      <c r="CZ5120" s="242"/>
      <c r="DA5120" s="67"/>
      <c r="DB5120" s="67">
        <v>5060</v>
      </c>
      <c r="DC5120" s="67">
        <v>6120</v>
      </c>
      <c r="DD5120" s="67"/>
      <c r="DE5120" s="67"/>
      <c r="DF5120" s="67" t="s">
        <v>5967</v>
      </c>
      <c r="DG5120" s="67">
        <v>2860</v>
      </c>
      <c r="DH5120" s="67">
        <v>2320</v>
      </c>
      <c r="DI5120" s="67"/>
      <c r="DJ5120" s="67"/>
      <c r="DK5120" s="67" t="s">
        <v>5968</v>
      </c>
      <c r="DL5120" s="67">
        <v>1.18</v>
      </c>
      <c r="DM5120" s="67">
        <v>0.6</v>
      </c>
      <c r="DN5120" s="67"/>
      <c r="DO5120" s="67"/>
      <c r="DP5120" s="67" t="s">
        <v>5969</v>
      </c>
      <c r="DQ5120" s="166">
        <v>6.3</v>
      </c>
      <c r="DR5120" s="166">
        <v>6.21</v>
      </c>
      <c r="DS5120" s="163"/>
      <c r="DT5120" s="163"/>
      <c r="DU5120" s="67"/>
      <c r="DV5120" s="67">
        <v>22.4</v>
      </c>
      <c r="DW5120" s="67">
        <v>23.9</v>
      </c>
      <c r="DX5120" s="67"/>
      <c r="DY5120" s="67"/>
      <c r="DZ5120" s="67" t="s">
        <v>3360</v>
      </c>
      <c r="EA5120" s="67"/>
      <c r="EB5120" s="67"/>
      <c r="EC5120" s="67"/>
      <c r="ED5120" s="67"/>
      <c r="EE5120" s="67"/>
      <c r="EF5120" s="67"/>
      <c r="EG5120" s="67"/>
      <c r="EH5120" s="67"/>
      <c r="EI5120" s="67"/>
      <c r="EJ5120" s="67"/>
      <c r="EK5120" s="94"/>
      <c r="EL5120" s="94"/>
      <c r="EM5120" s="67"/>
      <c r="EN5120" s="67"/>
      <c r="EO5120" s="67"/>
      <c r="EP5120" s="67"/>
      <c r="EQ5120" s="67"/>
      <c r="ER5120" s="67"/>
      <c r="ES5120" s="67"/>
      <c r="ET5120" s="67"/>
      <c r="EU5120" s="67">
        <v>3.02</v>
      </c>
      <c r="EV5120" s="67">
        <v>2.96</v>
      </c>
      <c r="EW5120" s="67"/>
      <c r="EX5120" s="67"/>
      <c r="EY5120" s="67" t="s">
        <v>2366</v>
      </c>
      <c r="EZ5120" s="67"/>
      <c r="FA5120" s="67"/>
      <c r="FB5120" s="67"/>
      <c r="FC5120" s="67"/>
      <c r="FD5120" s="67"/>
      <c r="FE5120" s="67"/>
      <c r="FF5120" s="67"/>
      <c r="FG5120" s="67"/>
      <c r="FH5120" s="67"/>
      <c r="FI5120" s="67"/>
      <c r="FJ5120" s="67"/>
      <c r="FK5120" s="67"/>
      <c r="FL5120" s="67"/>
      <c r="FM5120" s="67"/>
      <c r="FN5120" s="67"/>
      <c r="FO5120" s="67"/>
      <c r="FP5120" s="67"/>
      <c r="FQ5120" s="67"/>
      <c r="FR5120" s="67"/>
      <c r="FS5120" s="67"/>
      <c r="FT5120" s="67"/>
      <c r="FU5120" s="67"/>
      <c r="FV5120" s="67"/>
      <c r="FW5120" s="67"/>
      <c r="FX5120" s="67"/>
      <c r="FY5120" s="67"/>
      <c r="FZ5120" s="67"/>
      <c r="GA5120" s="67"/>
      <c r="GB5120" s="67"/>
      <c r="GC5120" s="67"/>
      <c r="GD5120" s="67"/>
      <c r="GE5120" s="67"/>
      <c r="GF5120" s="67"/>
      <c r="GG5120" s="67"/>
      <c r="GH5120" s="67"/>
      <c r="GI5120" s="67"/>
      <c r="GJ5120" s="67"/>
      <c r="GK5120" s="67"/>
      <c r="GL5120" s="67"/>
      <c r="GM5120" s="67"/>
      <c r="GN5120" s="292"/>
      <c r="GO5120" s="292"/>
      <c r="GP5120" s="292" t="s">
        <v>7494</v>
      </c>
      <c r="GQ5120" s="67"/>
      <c r="GR5120" s="67"/>
      <c r="GS5120" s="67"/>
      <c r="GT5120" s="67"/>
      <c r="GU5120" s="67"/>
      <c r="GV5120" s="67"/>
      <c r="GW5120" s="67"/>
      <c r="GX5120" s="67"/>
      <c r="GY5120" s="67"/>
      <c r="GZ5120" s="67"/>
      <c r="HA5120" s="67"/>
      <c r="HB5120" s="67"/>
      <c r="HC5120" s="67"/>
      <c r="HD5120" s="67"/>
      <c r="HE5120" s="67"/>
      <c r="HF5120" s="67"/>
      <c r="HG5120" s="67"/>
      <c r="HH5120" s="67"/>
      <c r="HI5120" s="67"/>
      <c r="HJ5120" s="67"/>
      <c r="HK5120" s="67"/>
      <c r="HL5120" s="67"/>
      <c r="HM5120" s="67"/>
      <c r="HN5120" s="67"/>
      <c r="HO5120" s="67"/>
      <c r="HP5120" s="67"/>
      <c r="HQ5120" s="67"/>
      <c r="HR5120" s="67"/>
      <c r="HS5120" s="67"/>
      <c r="HT5120" s="67"/>
      <c r="HU5120" s="67"/>
      <c r="HV5120" s="67"/>
      <c r="HW5120" s="67"/>
      <c r="HX5120" s="67"/>
      <c r="HY5120" s="67"/>
      <c r="HZ5120" s="67"/>
      <c r="IA5120" s="67"/>
      <c r="IB5120" s="67"/>
      <c r="IC5120" s="67">
        <v>106.4</v>
      </c>
      <c r="ID5120" s="67">
        <v>150.6</v>
      </c>
      <c r="IE5120" s="67"/>
      <c r="IF5120" s="67"/>
      <c r="IG5120" s="67" t="s">
        <v>2242</v>
      </c>
      <c r="IH5120" s="67"/>
      <c r="II5120" s="67"/>
      <c r="IJ5120" s="67"/>
      <c r="IK5120" s="67"/>
      <c r="IL5120" s="67"/>
      <c r="IM5120" s="67"/>
      <c r="IN5120" s="67"/>
      <c r="IO5120" s="67"/>
      <c r="IP5120" s="67"/>
      <c r="IQ5120" s="67"/>
      <c r="IR5120" s="67"/>
      <c r="IS5120" s="67"/>
      <c r="IT5120" s="67"/>
      <c r="IU5120" s="67"/>
      <c r="IV5120" s="67"/>
      <c r="IW5120" s="67">
        <v>60.2</v>
      </c>
      <c r="IX5120" s="67">
        <v>96.7</v>
      </c>
      <c r="IY5120" s="67"/>
      <c r="IZ5120" s="67"/>
      <c r="JA5120" s="67" t="s">
        <v>5966</v>
      </c>
      <c r="JB5120" s="67"/>
      <c r="JC5120" s="67"/>
      <c r="JD5120" s="67"/>
      <c r="JE5120" s="67"/>
      <c r="JF5120" s="67"/>
      <c r="JG5120" s="67"/>
      <c r="JH5120" s="67"/>
      <c r="JI5120" s="67"/>
      <c r="JJ5120" s="67"/>
      <c r="JK5120" s="67"/>
      <c r="JL5120" s="67"/>
      <c r="JM5120" s="67"/>
      <c r="JN5120" s="67"/>
      <c r="JO5120" s="67"/>
      <c r="JP5120" s="67"/>
      <c r="JQ5120" s="67">
        <v>99999</v>
      </c>
      <c r="JR5120" s="67"/>
      <c r="JS5120" s="67"/>
      <c r="JT5120" s="67"/>
      <c r="JU5120" s="58"/>
      <c r="JV5120" s="58"/>
      <c r="JW5120" s="58"/>
    </row>
    <row r="5121" spans="1:283" s="23" customFormat="1" x14ac:dyDescent="0.25">
      <c r="A5121" s="55">
        <v>5120</v>
      </c>
      <c r="B5121" s="12" t="s">
        <v>7067</v>
      </c>
      <c r="C5121" s="156">
        <v>268</v>
      </c>
      <c r="D5121" s="58" t="s">
        <v>5028</v>
      </c>
      <c r="E5121" s="160" t="str">
        <f>G5121</f>
        <v>Reganold et al 1993_grain</v>
      </c>
      <c r="F5121" s="160"/>
      <c r="G5121" s="60" t="s">
        <v>4696</v>
      </c>
      <c r="H5121" s="58">
        <v>1993</v>
      </c>
      <c r="I5121" s="58" t="s">
        <v>5941</v>
      </c>
      <c r="J5121" s="243" t="s">
        <v>5322</v>
      </c>
      <c r="K5121" s="63" t="s">
        <v>5077</v>
      </c>
      <c r="L5121" s="58" t="s">
        <v>5335</v>
      </c>
      <c r="M5121" s="94">
        <v>-39.24</v>
      </c>
      <c r="N5121" s="94">
        <v>175.61</v>
      </c>
      <c r="O5121" s="94">
        <v>1606</v>
      </c>
      <c r="P5121" s="58"/>
      <c r="Q5121" s="244">
        <v>13.8</v>
      </c>
      <c r="R5121" s="58"/>
      <c r="S5121" s="245">
        <v>1184</v>
      </c>
      <c r="T5121" s="58"/>
      <c r="U5121" s="58" t="s">
        <v>1816</v>
      </c>
      <c r="V5121" s="244">
        <v>8</v>
      </c>
      <c r="W5121" s="174"/>
      <c r="X5121" s="174"/>
      <c r="Y5121" s="58" t="s">
        <v>5965</v>
      </c>
      <c r="Z5121" s="244" t="s">
        <v>1355</v>
      </c>
      <c r="AA5121" s="245">
        <v>10</v>
      </c>
      <c r="AB5121" s="67">
        <v>26</v>
      </c>
      <c r="AC5121" s="67" t="s">
        <v>7001</v>
      </c>
      <c r="AD5121" s="94">
        <v>1.07</v>
      </c>
      <c r="AE5121" s="94"/>
      <c r="AF5121" s="94"/>
      <c r="AG5121" s="245">
        <v>34</v>
      </c>
      <c r="AH5121" s="58" t="s">
        <v>1022</v>
      </c>
      <c r="AI5121" s="169" t="s">
        <v>5722</v>
      </c>
      <c r="AJ5121" s="94">
        <v>4.84</v>
      </c>
      <c r="AK5121" s="94"/>
      <c r="AL5121" s="58"/>
      <c r="AM5121" s="58"/>
      <c r="AN5121" s="186"/>
      <c r="AO5121" s="185" t="s">
        <v>5150</v>
      </c>
      <c r="AP5121" s="58"/>
      <c r="AQ5121" s="58"/>
      <c r="AR5121" s="58"/>
      <c r="AS5121" s="246" t="s">
        <v>5133</v>
      </c>
      <c r="AT5121" s="247"/>
      <c r="AU5121" s="181" t="s">
        <v>7494</v>
      </c>
      <c r="AV5121" s="185" t="s">
        <v>176</v>
      </c>
      <c r="AW5121" s="244"/>
      <c r="AX5121" s="185" t="s">
        <v>176</v>
      </c>
      <c r="AY5121" s="244"/>
      <c r="AZ5121" s="58"/>
      <c r="BA5121" s="58"/>
      <c r="BB5121" s="58"/>
      <c r="BC5121" s="58"/>
      <c r="BD5121" s="58"/>
      <c r="BE5121" s="236" t="s">
        <v>5153</v>
      </c>
      <c r="BF5121" s="191" t="s">
        <v>176</v>
      </c>
      <c r="BG5121" s="191" t="s">
        <v>176</v>
      </c>
      <c r="BH5121" s="236" t="s">
        <v>5153</v>
      </c>
      <c r="BI5121" s="191" t="s">
        <v>176</v>
      </c>
      <c r="BJ5121" s="58" t="str">
        <f>IF(BE5121=BH5121,"No","yes")</f>
        <v>No</v>
      </c>
      <c r="BK5121" s="58" t="s">
        <v>6334</v>
      </c>
      <c r="BL5121" s="58"/>
      <c r="BM5121" s="237"/>
      <c r="BN5121" s="244">
        <v>6</v>
      </c>
      <c r="BO5121" s="244">
        <v>6</v>
      </c>
      <c r="BP5121" s="58"/>
      <c r="BQ5121" s="58"/>
      <c r="BR5121" s="58"/>
      <c r="BS5121" s="58"/>
      <c r="BT5121" s="58"/>
      <c r="BU5121" s="58"/>
      <c r="BV5121" s="58"/>
      <c r="BW5121" s="67"/>
      <c r="BX5121" s="67"/>
      <c r="BY5121" s="67"/>
      <c r="BZ5121" s="67"/>
      <c r="CA5121" s="67"/>
      <c r="CB5121" s="70"/>
      <c r="CC5121" s="70"/>
      <c r="CD5121" s="70"/>
      <c r="CE5121" s="67"/>
      <c r="CF5121" s="67"/>
      <c r="CG5121" s="67"/>
      <c r="CH5121" s="245">
        <v>1.01</v>
      </c>
      <c r="CI5121" s="245">
        <v>1.08</v>
      </c>
      <c r="CJ5121" s="67"/>
      <c r="CK5121" s="67"/>
      <c r="CL5121" s="67"/>
      <c r="CM5121" s="242">
        <v>5.5</v>
      </c>
      <c r="CN5121" s="242">
        <v>4.37</v>
      </c>
      <c r="CO5121" s="242"/>
      <c r="CP5121" s="242"/>
      <c r="CQ5121" s="242" t="s">
        <v>164</v>
      </c>
      <c r="CR5121" s="242">
        <v>27.774999999999999</v>
      </c>
      <c r="CS5121" s="242">
        <v>23.598000000000006</v>
      </c>
      <c r="CT5121" s="242"/>
      <c r="CU5121" s="242"/>
      <c r="CV5121" s="242" t="s">
        <v>5151</v>
      </c>
      <c r="CW5121" s="242"/>
      <c r="CX5121" s="242"/>
      <c r="CY5121" s="242"/>
      <c r="CZ5121" s="242"/>
      <c r="DA5121" s="67"/>
      <c r="DB5121" s="67">
        <v>6140</v>
      </c>
      <c r="DC5121" s="67">
        <v>4680</v>
      </c>
      <c r="DD5121" s="67"/>
      <c r="DE5121" s="67"/>
      <c r="DF5121" s="67" t="s">
        <v>5967</v>
      </c>
      <c r="DG5121" s="67">
        <v>2060</v>
      </c>
      <c r="DH5121" s="67">
        <v>1390</v>
      </c>
      <c r="DI5121" s="67"/>
      <c r="DJ5121" s="67"/>
      <c r="DK5121" s="67" t="s">
        <v>5968</v>
      </c>
      <c r="DL5121" s="67">
        <v>1.92</v>
      </c>
      <c r="DM5121" s="67">
        <v>1.54</v>
      </c>
      <c r="DN5121" s="67"/>
      <c r="DO5121" s="67"/>
      <c r="DP5121" s="67" t="s">
        <v>5969</v>
      </c>
      <c r="DQ5121" s="166">
        <v>5.72</v>
      </c>
      <c r="DR5121" s="166">
        <v>5.72</v>
      </c>
      <c r="DS5121" s="163"/>
      <c r="DT5121" s="163"/>
      <c r="DU5121" s="67"/>
      <c r="DV5121" s="67">
        <v>26</v>
      </c>
      <c r="DW5121" s="67">
        <v>22.8</v>
      </c>
      <c r="DX5121" s="67"/>
      <c r="DY5121" s="67"/>
      <c r="DZ5121" s="67" t="s">
        <v>3360</v>
      </c>
      <c r="EA5121" s="67"/>
      <c r="EB5121" s="67"/>
      <c r="EC5121" s="67"/>
      <c r="ED5121" s="67"/>
      <c r="EE5121" s="67"/>
      <c r="EF5121" s="67"/>
      <c r="EG5121" s="67"/>
      <c r="EH5121" s="67"/>
      <c r="EI5121" s="67"/>
      <c r="EJ5121" s="67"/>
      <c r="EK5121" s="94"/>
      <c r="EL5121" s="94"/>
      <c r="EM5121" s="67"/>
      <c r="EN5121" s="67"/>
      <c r="EO5121" s="67"/>
      <c r="EP5121" s="67"/>
      <c r="EQ5121" s="67"/>
      <c r="ER5121" s="67"/>
      <c r="ES5121" s="67"/>
      <c r="ET5121" s="67"/>
      <c r="EU5121" s="67">
        <v>1.87</v>
      </c>
      <c r="EV5121" s="67">
        <v>2.29</v>
      </c>
      <c r="EW5121" s="67"/>
      <c r="EX5121" s="67"/>
      <c r="EY5121" s="67" t="s">
        <v>2366</v>
      </c>
      <c r="EZ5121" s="67"/>
      <c r="FA5121" s="67"/>
      <c r="FB5121" s="67"/>
      <c r="FC5121" s="67"/>
      <c r="FD5121" s="67"/>
      <c r="FE5121" s="67"/>
      <c r="FF5121" s="67"/>
      <c r="FG5121" s="67"/>
      <c r="FH5121" s="67"/>
      <c r="FI5121" s="67"/>
      <c r="FJ5121" s="67"/>
      <c r="FK5121" s="67"/>
      <c r="FL5121" s="67"/>
      <c r="FM5121" s="67"/>
      <c r="FN5121" s="67"/>
      <c r="FO5121" s="67"/>
      <c r="FP5121" s="67"/>
      <c r="FQ5121" s="67"/>
      <c r="FR5121" s="67"/>
      <c r="FS5121" s="67"/>
      <c r="FT5121" s="67"/>
      <c r="FU5121" s="67"/>
      <c r="FV5121" s="67"/>
      <c r="FW5121" s="67"/>
      <c r="FX5121" s="67"/>
      <c r="FY5121" s="67"/>
      <c r="FZ5121" s="67"/>
      <c r="GA5121" s="67"/>
      <c r="GB5121" s="67"/>
      <c r="GC5121" s="67"/>
      <c r="GD5121" s="67"/>
      <c r="GE5121" s="67"/>
      <c r="GF5121" s="67"/>
      <c r="GG5121" s="67"/>
      <c r="GH5121" s="67"/>
      <c r="GI5121" s="67"/>
      <c r="GJ5121" s="67"/>
      <c r="GK5121" s="67"/>
      <c r="GL5121" s="67"/>
      <c r="GM5121" s="67"/>
      <c r="GN5121" s="292"/>
      <c r="GO5121" s="292"/>
      <c r="GP5121" s="292" t="s">
        <v>7494</v>
      </c>
      <c r="GQ5121" s="67"/>
      <c r="GR5121" s="67"/>
      <c r="GS5121" s="67"/>
      <c r="GT5121" s="67"/>
      <c r="GU5121" s="67"/>
      <c r="GV5121" s="67"/>
      <c r="GW5121" s="67"/>
      <c r="GX5121" s="67"/>
      <c r="GY5121" s="67"/>
      <c r="GZ5121" s="67"/>
      <c r="HA5121" s="67"/>
      <c r="HB5121" s="67"/>
      <c r="HC5121" s="67"/>
      <c r="HD5121" s="67"/>
      <c r="HE5121" s="67"/>
      <c r="HF5121" s="67"/>
      <c r="HG5121" s="67"/>
      <c r="HH5121" s="67"/>
      <c r="HI5121" s="67"/>
      <c r="HJ5121" s="67"/>
      <c r="HK5121" s="67"/>
      <c r="HL5121" s="67"/>
      <c r="HM5121" s="67"/>
      <c r="HN5121" s="67"/>
      <c r="HO5121" s="67"/>
      <c r="HP5121" s="67"/>
      <c r="HQ5121" s="67"/>
      <c r="HR5121" s="67"/>
      <c r="HS5121" s="67"/>
      <c r="HT5121" s="67"/>
      <c r="HU5121" s="67"/>
      <c r="HV5121" s="67"/>
      <c r="HW5121" s="67"/>
      <c r="HX5121" s="67"/>
      <c r="HY5121" s="67"/>
      <c r="HZ5121" s="67"/>
      <c r="IA5121" s="67"/>
      <c r="IB5121" s="67"/>
      <c r="IC5121" s="67">
        <v>65.7</v>
      </c>
      <c r="ID5121" s="67">
        <v>87.5</v>
      </c>
      <c r="IE5121" s="67"/>
      <c r="IF5121" s="67"/>
      <c r="IG5121" s="67" t="s">
        <v>2242</v>
      </c>
      <c r="IH5121" s="67"/>
      <c r="II5121" s="67"/>
      <c r="IJ5121" s="67"/>
      <c r="IK5121" s="67"/>
      <c r="IL5121" s="67"/>
      <c r="IM5121" s="67"/>
      <c r="IN5121" s="67"/>
      <c r="IO5121" s="67"/>
      <c r="IP5121" s="67"/>
      <c r="IQ5121" s="67"/>
      <c r="IR5121" s="67"/>
      <c r="IS5121" s="67"/>
      <c r="IT5121" s="67"/>
      <c r="IU5121" s="67"/>
      <c r="IV5121" s="67"/>
      <c r="IW5121" s="67">
        <v>32.1</v>
      </c>
      <c r="IX5121" s="67">
        <v>42</v>
      </c>
      <c r="IY5121" s="67"/>
      <c r="IZ5121" s="67"/>
      <c r="JA5121" s="67" t="s">
        <v>5966</v>
      </c>
      <c r="JB5121" s="67"/>
      <c r="JC5121" s="67"/>
      <c r="JD5121" s="67"/>
      <c r="JE5121" s="67"/>
      <c r="JF5121" s="67"/>
      <c r="JG5121" s="67"/>
      <c r="JH5121" s="67"/>
      <c r="JI5121" s="67"/>
      <c r="JJ5121" s="67"/>
      <c r="JK5121" s="67"/>
      <c r="JL5121" s="67"/>
      <c r="JM5121" s="67"/>
      <c r="JN5121" s="67"/>
      <c r="JO5121" s="67"/>
      <c r="JP5121" s="67"/>
      <c r="JQ5121" s="67">
        <v>99999</v>
      </c>
      <c r="JR5121" s="67"/>
      <c r="JS5121" s="67"/>
      <c r="JT5121" s="67"/>
      <c r="JU5121" s="58"/>
      <c r="JV5121" s="58"/>
      <c r="JW5121" s="58"/>
    </row>
    <row r="5122" spans="1:283" s="23" customFormat="1" x14ac:dyDescent="0.25">
      <c r="A5122" s="55">
        <v>5121</v>
      </c>
      <c r="B5122" s="12" t="s">
        <v>7067</v>
      </c>
      <c r="C5122" s="156">
        <v>268</v>
      </c>
      <c r="D5122" s="58" t="s">
        <v>5031</v>
      </c>
      <c r="E5122" s="160" t="str">
        <f>G5122</f>
        <v>Reganold et al 1993_sheep</v>
      </c>
      <c r="F5122" s="160"/>
      <c r="G5122" s="60" t="s">
        <v>4693</v>
      </c>
      <c r="H5122" s="58">
        <v>1993</v>
      </c>
      <c r="I5122" s="58" t="s">
        <v>5941</v>
      </c>
      <c r="J5122" s="243" t="s">
        <v>5322</v>
      </c>
      <c r="K5122" s="63" t="s">
        <v>5077</v>
      </c>
      <c r="L5122" s="58" t="s">
        <v>5335</v>
      </c>
      <c r="M5122" s="94">
        <v>-39.24</v>
      </c>
      <c r="N5122" s="94">
        <v>175.61</v>
      </c>
      <c r="O5122" s="94">
        <v>1606</v>
      </c>
      <c r="P5122" s="58"/>
      <c r="Q5122" s="244">
        <v>13.8</v>
      </c>
      <c r="R5122" s="58"/>
      <c r="S5122" s="245">
        <v>1184</v>
      </c>
      <c r="T5122" s="58"/>
      <c r="U5122" s="58" t="s">
        <v>1816</v>
      </c>
      <c r="V5122" s="244">
        <v>8</v>
      </c>
      <c r="W5122" s="174"/>
      <c r="X5122" s="174"/>
      <c r="Y5122" s="58" t="s">
        <v>5965</v>
      </c>
      <c r="Z5122" s="244" t="s">
        <v>1355</v>
      </c>
      <c r="AA5122" s="245">
        <v>10</v>
      </c>
      <c r="AB5122" s="67">
        <v>7.8</v>
      </c>
      <c r="AC5122" s="67" t="s">
        <v>7001</v>
      </c>
      <c r="AD5122" s="94">
        <v>1.07</v>
      </c>
      <c r="AE5122" s="94"/>
      <c r="AF5122" s="94"/>
      <c r="AG5122" s="245">
        <v>10</v>
      </c>
      <c r="AH5122" s="58" t="s">
        <v>238</v>
      </c>
      <c r="AI5122" s="169" t="s">
        <v>5722</v>
      </c>
      <c r="AJ5122" s="94">
        <v>4.84</v>
      </c>
      <c r="AK5122" s="94"/>
      <c r="AL5122" s="58"/>
      <c r="AM5122" s="58"/>
      <c r="AN5122" s="186"/>
      <c r="AO5122" s="185" t="s">
        <v>5150</v>
      </c>
      <c r="AP5122" s="58"/>
      <c r="AQ5122" s="58"/>
      <c r="AR5122" s="58" t="s">
        <v>5134</v>
      </c>
      <c r="AS5122" s="246" t="s">
        <v>5529</v>
      </c>
      <c r="AT5122" s="247"/>
      <c r="AU5122" s="181" t="s">
        <v>7494</v>
      </c>
      <c r="AV5122" s="185" t="s">
        <v>176</v>
      </c>
      <c r="AW5122" s="244"/>
      <c r="AX5122" s="185" t="s">
        <v>176</v>
      </c>
      <c r="AY5122" s="244"/>
      <c r="AZ5122" s="58"/>
      <c r="BA5122" s="58"/>
      <c r="BB5122" s="58"/>
      <c r="BC5122" s="58"/>
      <c r="BD5122" s="58"/>
      <c r="BE5122" s="236" t="s">
        <v>5155</v>
      </c>
      <c r="BF5122" s="191" t="s">
        <v>176</v>
      </c>
      <c r="BG5122" s="191" t="s">
        <v>479</v>
      </c>
      <c r="BH5122" s="236" t="s">
        <v>5155</v>
      </c>
      <c r="BI5122" s="191" t="s">
        <v>479</v>
      </c>
      <c r="BJ5122" s="58" t="str">
        <f>IF(BE5122=BH5122,"No","yes")</f>
        <v>No</v>
      </c>
      <c r="BK5122" s="58" t="s">
        <v>6334</v>
      </c>
      <c r="BL5122" s="58"/>
      <c r="BM5122" s="237"/>
      <c r="BN5122" s="244">
        <v>6</v>
      </c>
      <c r="BO5122" s="244">
        <v>6</v>
      </c>
      <c r="BP5122" s="58"/>
      <c r="BQ5122" s="58"/>
      <c r="BR5122" s="58"/>
      <c r="BS5122" s="58"/>
      <c r="BT5122" s="58"/>
      <c r="BU5122" s="58"/>
      <c r="BV5122" s="58"/>
      <c r="BW5122" s="67"/>
      <c r="BX5122" s="67"/>
      <c r="BY5122" s="67"/>
      <c r="BZ5122" s="67"/>
      <c r="CA5122" s="67"/>
      <c r="CB5122" s="70"/>
      <c r="CC5122" s="70"/>
      <c r="CD5122" s="70"/>
      <c r="CE5122" s="67"/>
      <c r="CF5122" s="67"/>
      <c r="CG5122" s="67"/>
      <c r="CH5122" s="245">
        <v>1.1599999999999999</v>
      </c>
      <c r="CI5122" s="245">
        <v>1.18</v>
      </c>
      <c r="CJ5122" s="67"/>
      <c r="CK5122" s="67"/>
      <c r="CL5122" s="67"/>
      <c r="CM5122" s="242">
        <v>2.99</v>
      </c>
      <c r="CN5122" s="242">
        <v>3.83</v>
      </c>
      <c r="CO5122" s="242"/>
      <c r="CP5122" s="242"/>
      <c r="CQ5122" s="242" t="s">
        <v>164</v>
      </c>
      <c r="CR5122" s="242">
        <v>17.342000000000002</v>
      </c>
      <c r="CS5122" s="242">
        <v>22.597000000000001</v>
      </c>
      <c r="CT5122" s="242"/>
      <c r="CU5122" s="242"/>
      <c r="CV5122" s="242" t="s">
        <v>5151</v>
      </c>
      <c r="CW5122" s="242"/>
      <c r="CX5122" s="242"/>
      <c r="CY5122" s="242"/>
      <c r="CZ5122" s="242"/>
      <c r="DA5122" s="67"/>
      <c r="DB5122" s="67">
        <v>2950</v>
      </c>
      <c r="DC5122" s="67">
        <v>3940</v>
      </c>
      <c r="DD5122" s="67"/>
      <c r="DE5122" s="67"/>
      <c r="DF5122" s="67" t="s">
        <v>5967</v>
      </c>
      <c r="DG5122" s="67">
        <v>380</v>
      </c>
      <c r="DH5122" s="67">
        <v>590</v>
      </c>
      <c r="DI5122" s="67"/>
      <c r="DJ5122" s="67"/>
      <c r="DK5122" s="67" t="s">
        <v>5968</v>
      </c>
      <c r="DL5122" s="67">
        <v>0.22</v>
      </c>
      <c r="DM5122" s="67">
        <v>0.12</v>
      </c>
      <c r="DN5122" s="67"/>
      <c r="DO5122" s="67"/>
      <c r="DP5122" s="67" t="s">
        <v>5969</v>
      </c>
      <c r="DQ5122" s="166">
        <v>6.47</v>
      </c>
      <c r="DR5122" s="166">
        <v>5.94</v>
      </c>
      <c r="DS5122" s="163"/>
      <c r="DT5122" s="163"/>
      <c r="DU5122" s="67"/>
      <c r="DV5122" s="67">
        <v>7.8</v>
      </c>
      <c r="DW5122" s="67">
        <v>13.8</v>
      </c>
      <c r="DX5122" s="67"/>
      <c r="DY5122" s="67"/>
      <c r="DZ5122" s="67" t="s">
        <v>3360</v>
      </c>
      <c r="EA5122" s="67"/>
      <c r="EB5122" s="67"/>
      <c r="EC5122" s="67"/>
      <c r="ED5122" s="67"/>
      <c r="EE5122" s="67"/>
      <c r="EF5122" s="67"/>
      <c r="EG5122" s="67"/>
      <c r="EH5122" s="67"/>
      <c r="EI5122" s="67"/>
      <c r="EJ5122" s="67"/>
      <c r="EK5122" s="94"/>
      <c r="EL5122" s="94"/>
      <c r="EM5122" s="67"/>
      <c r="EN5122" s="67"/>
      <c r="EO5122" s="67"/>
      <c r="EP5122" s="67"/>
      <c r="EQ5122" s="67"/>
      <c r="ER5122" s="67"/>
      <c r="ES5122" s="67"/>
      <c r="ET5122" s="67"/>
      <c r="EU5122" s="67">
        <v>3.38</v>
      </c>
      <c r="EV5122" s="67">
        <v>2.64</v>
      </c>
      <c r="EW5122" s="67"/>
      <c r="EX5122" s="67"/>
      <c r="EY5122" s="67" t="s">
        <v>2366</v>
      </c>
      <c r="EZ5122" s="67"/>
      <c r="FA5122" s="67"/>
      <c r="FB5122" s="67"/>
      <c r="FC5122" s="67"/>
      <c r="FD5122" s="67"/>
      <c r="FE5122" s="67"/>
      <c r="FF5122" s="67"/>
      <c r="FG5122" s="67"/>
      <c r="FH5122" s="67"/>
      <c r="FI5122" s="67"/>
      <c r="FJ5122" s="67"/>
      <c r="FK5122" s="67"/>
      <c r="FL5122" s="67"/>
      <c r="FM5122" s="67"/>
      <c r="FN5122" s="67"/>
      <c r="FO5122" s="67"/>
      <c r="FP5122" s="67"/>
      <c r="FQ5122" s="67"/>
      <c r="FR5122" s="67"/>
      <c r="FS5122" s="67"/>
      <c r="FT5122" s="67"/>
      <c r="FU5122" s="67"/>
      <c r="FV5122" s="67"/>
      <c r="FW5122" s="67"/>
      <c r="FX5122" s="67"/>
      <c r="FY5122" s="67"/>
      <c r="FZ5122" s="67"/>
      <c r="GA5122" s="67"/>
      <c r="GB5122" s="67"/>
      <c r="GC5122" s="67"/>
      <c r="GD5122" s="67"/>
      <c r="GE5122" s="67"/>
      <c r="GF5122" s="67"/>
      <c r="GG5122" s="67"/>
      <c r="GH5122" s="67"/>
      <c r="GI5122" s="67"/>
      <c r="GJ5122" s="67"/>
      <c r="GK5122" s="67"/>
      <c r="GL5122" s="67"/>
      <c r="GM5122" s="67"/>
      <c r="GN5122" s="292"/>
      <c r="GO5122" s="292"/>
      <c r="GP5122" s="292" t="s">
        <v>7494</v>
      </c>
      <c r="GQ5122" s="67"/>
      <c r="GR5122" s="67"/>
      <c r="GS5122" s="67"/>
      <c r="GT5122" s="67"/>
      <c r="GU5122" s="67"/>
      <c r="GV5122" s="67"/>
      <c r="GW5122" s="67"/>
      <c r="GX5122" s="67"/>
      <c r="GY5122" s="67"/>
      <c r="GZ5122" s="67"/>
      <c r="HA5122" s="67"/>
      <c r="HB5122" s="67"/>
      <c r="HC5122" s="67"/>
      <c r="HD5122" s="67"/>
      <c r="HE5122" s="67"/>
      <c r="HF5122" s="67"/>
      <c r="HG5122" s="67"/>
      <c r="HH5122" s="67"/>
      <c r="HI5122" s="67"/>
      <c r="HJ5122" s="67"/>
      <c r="HK5122" s="67"/>
      <c r="HL5122" s="67"/>
      <c r="HM5122" s="67"/>
      <c r="HN5122" s="67"/>
      <c r="HO5122" s="67"/>
      <c r="HP5122" s="67"/>
      <c r="HQ5122" s="67"/>
      <c r="HR5122" s="67"/>
      <c r="HS5122" s="67"/>
      <c r="HT5122" s="67"/>
      <c r="HU5122" s="67"/>
      <c r="HV5122" s="67"/>
      <c r="HW5122" s="67"/>
      <c r="HX5122" s="67"/>
      <c r="HY5122" s="67"/>
      <c r="HZ5122" s="67"/>
      <c r="IA5122" s="67"/>
      <c r="IB5122" s="67"/>
      <c r="IC5122" s="67">
        <v>51.8</v>
      </c>
      <c r="ID5122" s="67">
        <v>71.099999999999994</v>
      </c>
      <c r="IE5122" s="67"/>
      <c r="IF5122" s="67"/>
      <c r="IG5122" s="67" t="s">
        <v>2242</v>
      </c>
      <c r="IH5122" s="67"/>
      <c r="II5122" s="67"/>
      <c r="IJ5122" s="67"/>
      <c r="IK5122" s="67"/>
      <c r="IL5122" s="67"/>
      <c r="IM5122" s="67"/>
      <c r="IN5122" s="67"/>
      <c r="IO5122" s="67"/>
      <c r="IP5122" s="67"/>
      <c r="IQ5122" s="67"/>
      <c r="IR5122" s="67"/>
      <c r="IS5122" s="67"/>
      <c r="IT5122" s="67"/>
      <c r="IU5122" s="67"/>
      <c r="IV5122" s="67"/>
      <c r="IW5122" s="67">
        <v>87.6</v>
      </c>
      <c r="IX5122" s="67">
        <v>89</v>
      </c>
      <c r="IY5122" s="67"/>
      <c r="IZ5122" s="67"/>
      <c r="JA5122" s="67" t="s">
        <v>5966</v>
      </c>
      <c r="JB5122" s="67"/>
      <c r="JC5122" s="67"/>
      <c r="JD5122" s="67"/>
      <c r="JE5122" s="67"/>
      <c r="JF5122" s="67"/>
      <c r="JG5122" s="67"/>
      <c r="JH5122" s="67"/>
      <c r="JI5122" s="67"/>
      <c r="JJ5122" s="67"/>
      <c r="JK5122" s="67"/>
      <c r="JL5122" s="67"/>
      <c r="JM5122" s="67"/>
      <c r="JN5122" s="67"/>
      <c r="JO5122" s="67"/>
      <c r="JP5122" s="67"/>
      <c r="JQ5122" s="67">
        <v>99999</v>
      </c>
      <c r="JR5122" s="67"/>
      <c r="JS5122" s="67"/>
      <c r="JT5122" s="67"/>
      <c r="JU5122" s="58"/>
      <c r="JV5122" s="58"/>
      <c r="JW5122" s="58"/>
    </row>
    <row r="5123" spans="1:283" s="23" customFormat="1" x14ac:dyDescent="0.25">
      <c r="A5123" s="55">
        <v>5122</v>
      </c>
      <c r="B5123" s="12" t="s">
        <v>7067</v>
      </c>
      <c r="C5123" s="156">
        <v>268</v>
      </c>
      <c r="D5123" s="58" t="s">
        <v>5026</v>
      </c>
      <c r="E5123" s="160" t="str">
        <f>G5123</f>
        <v>Reganold et al 1993_dairy_clay loam</v>
      </c>
      <c r="F5123" s="160"/>
      <c r="G5123" s="60" t="s">
        <v>4698</v>
      </c>
      <c r="H5123" s="58">
        <v>1993</v>
      </c>
      <c r="I5123" s="58" t="s">
        <v>5941</v>
      </c>
      <c r="J5123" s="243" t="s">
        <v>5322</v>
      </c>
      <c r="K5123" s="63" t="s">
        <v>5077</v>
      </c>
      <c r="L5123" s="58" t="s">
        <v>5335</v>
      </c>
      <c r="M5123" s="94">
        <v>-39.24</v>
      </c>
      <c r="N5123" s="94">
        <v>175.61</v>
      </c>
      <c r="O5123" s="94">
        <v>1606</v>
      </c>
      <c r="P5123" s="58"/>
      <c r="Q5123" s="244">
        <v>13.8</v>
      </c>
      <c r="R5123" s="58"/>
      <c r="S5123" s="245">
        <v>1184</v>
      </c>
      <c r="T5123" s="58"/>
      <c r="U5123" s="58" t="s">
        <v>1816</v>
      </c>
      <c r="V5123" s="244">
        <v>8</v>
      </c>
      <c r="W5123" s="174"/>
      <c r="X5123" s="174"/>
      <c r="Y5123" s="58" t="s">
        <v>5965</v>
      </c>
      <c r="Z5123" s="244" t="s">
        <v>1355</v>
      </c>
      <c r="AA5123" s="245">
        <v>10</v>
      </c>
      <c r="AB5123" s="67">
        <v>17.8</v>
      </c>
      <c r="AC5123" s="67" t="s">
        <v>7001</v>
      </c>
      <c r="AD5123" s="94">
        <v>1.07</v>
      </c>
      <c r="AE5123" s="94"/>
      <c r="AF5123" s="94"/>
      <c r="AG5123" s="245">
        <v>35</v>
      </c>
      <c r="AH5123" s="58" t="s">
        <v>645</v>
      </c>
      <c r="AI5123" s="169" t="s">
        <v>5722</v>
      </c>
      <c r="AJ5123" s="94">
        <v>4.84</v>
      </c>
      <c r="AK5123" s="94"/>
      <c r="AL5123" s="58"/>
      <c r="AM5123" s="58"/>
      <c r="AN5123" s="186"/>
      <c r="AO5123" s="185" t="s">
        <v>5150</v>
      </c>
      <c r="AP5123" s="58"/>
      <c r="AQ5123" s="58"/>
      <c r="AR5123" s="58" t="s">
        <v>5134</v>
      </c>
      <c r="AS5123" s="246" t="s">
        <v>5529</v>
      </c>
      <c r="AT5123" s="247"/>
      <c r="AU5123" s="181" t="s">
        <v>7494</v>
      </c>
      <c r="AV5123" s="185" t="s">
        <v>176</v>
      </c>
      <c r="AW5123" s="244"/>
      <c r="AX5123" s="185" t="s">
        <v>176</v>
      </c>
      <c r="AY5123" s="244"/>
      <c r="AZ5123" s="58"/>
      <c r="BA5123" s="58"/>
      <c r="BB5123" s="58"/>
      <c r="BC5123" s="58"/>
      <c r="BD5123" s="58"/>
      <c r="BE5123" s="236" t="s">
        <v>5153</v>
      </c>
      <c r="BF5123" s="191" t="s">
        <v>176</v>
      </c>
      <c r="BG5123" s="191" t="s">
        <v>176</v>
      </c>
      <c r="BH5123" s="236" t="s">
        <v>5153</v>
      </c>
      <c r="BI5123" s="191" t="s">
        <v>176</v>
      </c>
      <c r="BJ5123" s="58" t="str">
        <f>IF(BE5123=BH5123,"No","yes")</f>
        <v>No</v>
      </c>
      <c r="BK5123" s="58" t="s">
        <v>6334</v>
      </c>
      <c r="BL5123" s="58"/>
      <c r="BM5123" s="237"/>
      <c r="BN5123" s="244">
        <v>6</v>
      </c>
      <c r="BO5123" s="244">
        <v>6</v>
      </c>
      <c r="BP5123" s="58"/>
      <c r="BQ5123" s="58"/>
      <c r="BR5123" s="58"/>
      <c r="BS5123" s="58"/>
      <c r="BT5123" s="58"/>
      <c r="BU5123" s="58"/>
      <c r="BV5123" s="58"/>
      <c r="BW5123" s="67"/>
      <c r="BX5123" s="67"/>
      <c r="BY5123" s="67"/>
      <c r="BZ5123" s="67"/>
      <c r="CA5123" s="67"/>
      <c r="CB5123" s="70"/>
      <c r="CC5123" s="70"/>
      <c r="CD5123" s="70"/>
      <c r="CE5123" s="67"/>
      <c r="CF5123" s="67"/>
      <c r="CG5123" s="67"/>
      <c r="CH5123" s="245">
        <v>1.1200000000000001</v>
      </c>
      <c r="CI5123" s="245">
        <v>0.96</v>
      </c>
      <c r="CJ5123" s="67"/>
      <c r="CK5123" s="67"/>
      <c r="CL5123" s="67"/>
      <c r="CM5123" s="242">
        <v>5.32</v>
      </c>
      <c r="CN5123" s="242">
        <v>4.78</v>
      </c>
      <c r="CO5123" s="242"/>
      <c r="CP5123" s="242"/>
      <c r="CQ5123" s="242" t="s">
        <v>164</v>
      </c>
      <c r="CR5123" s="242">
        <v>29.792000000000009</v>
      </c>
      <c r="CS5123" s="242">
        <v>22.943999999999999</v>
      </c>
      <c r="CT5123" s="242"/>
      <c r="CU5123" s="242"/>
      <c r="CV5123" s="242" t="s">
        <v>5151</v>
      </c>
      <c r="CW5123" s="242"/>
      <c r="CX5123" s="242"/>
      <c r="CY5123" s="242"/>
      <c r="CZ5123" s="242"/>
      <c r="DA5123" s="67"/>
      <c r="DB5123" s="67">
        <v>5780</v>
      </c>
      <c r="DC5123" s="67">
        <v>5470</v>
      </c>
      <c r="DD5123" s="67"/>
      <c r="DE5123" s="67"/>
      <c r="DF5123" s="67" t="s">
        <v>5967</v>
      </c>
      <c r="DG5123" s="67">
        <v>1610</v>
      </c>
      <c r="DH5123" s="67">
        <v>810</v>
      </c>
      <c r="DI5123" s="67"/>
      <c r="DJ5123" s="67"/>
      <c r="DK5123" s="67" t="s">
        <v>5968</v>
      </c>
      <c r="DL5123" s="67">
        <v>0.31</v>
      </c>
      <c r="DM5123" s="67">
        <v>0.28000000000000003</v>
      </c>
      <c r="DN5123" s="67"/>
      <c r="DO5123" s="67"/>
      <c r="DP5123" s="67" t="s">
        <v>5969</v>
      </c>
      <c r="DQ5123" s="166">
        <v>5.78</v>
      </c>
      <c r="DR5123" s="166">
        <v>5.56</v>
      </c>
      <c r="DS5123" s="163"/>
      <c r="DT5123" s="163"/>
      <c r="DU5123" s="67"/>
      <c r="DV5123" s="67">
        <v>17.8</v>
      </c>
      <c r="DW5123" s="67">
        <v>13.8</v>
      </c>
      <c r="DX5123" s="67"/>
      <c r="DY5123" s="67"/>
      <c r="DZ5123" s="67" t="s">
        <v>3360</v>
      </c>
      <c r="EA5123" s="67"/>
      <c r="EB5123" s="67"/>
      <c r="EC5123" s="67"/>
      <c r="ED5123" s="67"/>
      <c r="EE5123" s="67"/>
      <c r="EF5123" s="67"/>
      <c r="EG5123" s="67"/>
      <c r="EH5123" s="67"/>
      <c r="EI5123" s="67"/>
      <c r="EJ5123" s="67"/>
      <c r="EK5123" s="94"/>
      <c r="EL5123" s="94"/>
      <c r="EM5123" s="67"/>
      <c r="EN5123" s="67"/>
      <c r="EO5123" s="67"/>
      <c r="EP5123" s="67"/>
      <c r="EQ5123" s="67"/>
      <c r="ER5123" s="67"/>
      <c r="ES5123" s="67"/>
      <c r="ET5123" s="67"/>
      <c r="EU5123" s="67">
        <v>4.6100000000000003</v>
      </c>
      <c r="EV5123" s="67">
        <v>4.5599999999999996</v>
      </c>
      <c r="EW5123" s="67"/>
      <c r="EX5123" s="67"/>
      <c r="EY5123" s="67" t="s">
        <v>2366</v>
      </c>
      <c r="EZ5123" s="67"/>
      <c r="FA5123" s="67"/>
      <c r="FB5123" s="67"/>
      <c r="FC5123" s="67"/>
      <c r="FD5123" s="67"/>
      <c r="FE5123" s="67"/>
      <c r="FF5123" s="67"/>
      <c r="FG5123" s="67"/>
      <c r="FH5123" s="67"/>
      <c r="FI5123" s="67"/>
      <c r="FJ5123" s="67"/>
      <c r="FK5123" s="67"/>
      <c r="FL5123" s="67"/>
      <c r="FM5123" s="67"/>
      <c r="FN5123" s="67"/>
      <c r="FO5123" s="67"/>
      <c r="FP5123" s="67"/>
      <c r="FQ5123" s="67"/>
      <c r="FR5123" s="67"/>
      <c r="FS5123" s="67"/>
      <c r="FT5123" s="67"/>
      <c r="FU5123" s="67"/>
      <c r="FV5123" s="67"/>
      <c r="FW5123" s="67"/>
      <c r="FX5123" s="67"/>
      <c r="FY5123" s="67"/>
      <c r="FZ5123" s="67"/>
      <c r="GA5123" s="67"/>
      <c r="GB5123" s="67"/>
      <c r="GC5123" s="67"/>
      <c r="GD5123" s="67"/>
      <c r="GE5123" s="67"/>
      <c r="GF5123" s="67"/>
      <c r="GG5123" s="67"/>
      <c r="GH5123" s="67"/>
      <c r="GI5123" s="67"/>
      <c r="GJ5123" s="67"/>
      <c r="GK5123" s="67"/>
      <c r="GL5123" s="67"/>
      <c r="GM5123" s="67"/>
      <c r="GN5123" s="292"/>
      <c r="GO5123" s="292"/>
      <c r="GP5123" s="292" t="s">
        <v>7494</v>
      </c>
      <c r="GQ5123" s="67"/>
      <c r="GR5123" s="67"/>
      <c r="GS5123" s="67"/>
      <c r="GT5123" s="67"/>
      <c r="GU5123" s="67"/>
      <c r="GV5123" s="67"/>
      <c r="GW5123" s="67"/>
      <c r="GX5123" s="67"/>
      <c r="GY5123" s="67"/>
      <c r="GZ5123" s="67"/>
      <c r="HA5123" s="67"/>
      <c r="HB5123" s="67"/>
      <c r="HC5123" s="67"/>
      <c r="HD5123" s="67"/>
      <c r="HE5123" s="67"/>
      <c r="HF5123" s="67"/>
      <c r="HG5123" s="67"/>
      <c r="HH5123" s="67"/>
      <c r="HI5123" s="67"/>
      <c r="HJ5123" s="67"/>
      <c r="HK5123" s="67"/>
      <c r="HL5123" s="67"/>
      <c r="HM5123" s="67"/>
      <c r="HN5123" s="67"/>
      <c r="HO5123" s="67"/>
      <c r="HP5123" s="67"/>
      <c r="HQ5123" s="67"/>
      <c r="HR5123" s="67"/>
      <c r="HS5123" s="67"/>
      <c r="HT5123" s="67"/>
      <c r="HU5123" s="67"/>
      <c r="HV5123" s="67"/>
      <c r="HW5123" s="67"/>
      <c r="HX5123" s="67"/>
      <c r="HY5123" s="67"/>
      <c r="HZ5123" s="67"/>
      <c r="IA5123" s="67"/>
      <c r="IB5123" s="67"/>
      <c r="IC5123" s="67">
        <v>191.3</v>
      </c>
      <c r="ID5123" s="67">
        <v>224.2</v>
      </c>
      <c r="IE5123" s="67"/>
      <c r="IF5123" s="67"/>
      <c r="IG5123" s="67" t="s">
        <v>2242</v>
      </c>
      <c r="IH5123" s="67"/>
      <c r="II5123" s="67"/>
      <c r="IJ5123" s="67"/>
      <c r="IK5123" s="67"/>
      <c r="IL5123" s="67"/>
      <c r="IM5123" s="67"/>
      <c r="IN5123" s="67"/>
      <c r="IO5123" s="67"/>
      <c r="IP5123" s="67"/>
      <c r="IQ5123" s="67"/>
      <c r="IR5123" s="67"/>
      <c r="IS5123" s="67"/>
      <c r="IT5123" s="67"/>
      <c r="IU5123" s="67"/>
      <c r="IV5123" s="67"/>
      <c r="IW5123" s="67">
        <v>71.900000000000006</v>
      </c>
      <c r="IX5123" s="67">
        <v>68.2</v>
      </c>
      <c r="IY5123" s="67"/>
      <c r="IZ5123" s="67"/>
      <c r="JA5123" s="67" t="s">
        <v>5966</v>
      </c>
      <c r="JB5123" s="67"/>
      <c r="JC5123" s="67"/>
      <c r="JD5123" s="67"/>
      <c r="JE5123" s="67"/>
      <c r="JF5123" s="67"/>
      <c r="JG5123" s="67"/>
      <c r="JH5123" s="67"/>
      <c r="JI5123" s="67"/>
      <c r="JJ5123" s="67"/>
      <c r="JK5123" s="67"/>
      <c r="JL5123" s="67"/>
      <c r="JM5123" s="67"/>
      <c r="JN5123" s="67"/>
      <c r="JO5123" s="67"/>
      <c r="JP5123" s="67"/>
      <c r="JQ5123" s="67">
        <v>99999</v>
      </c>
      <c r="JR5123" s="67"/>
      <c r="JS5123" s="67"/>
      <c r="JT5123" s="67"/>
      <c r="JU5123" s="58"/>
      <c r="JV5123" s="58"/>
      <c r="JW5123" s="58"/>
    </row>
    <row r="5124" spans="1:283" s="23" customFormat="1" x14ac:dyDescent="0.25">
      <c r="A5124" s="55">
        <v>5123</v>
      </c>
      <c r="B5124" s="12" t="s">
        <v>7067</v>
      </c>
      <c r="C5124" s="156">
        <v>268</v>
      </c>
      <c r="D5124" s="58" t="s">
        <v>5027</v>
      </c>
      <c r="E5124" s="160" t="str">
        <f>G5124</f>
        <v>Reganold et al 1993_dairy_sandy loam</v>
      </c>
      <c r="F5124" s="160"/>
      <c r="G5124" s="60" t="s">
        <v>4697</v>
      </c>
      <c r="H5124" s="58">
        <v>1993</v>
      </c>
      <c r="I5124" s="58" t="s">
        <v>5941</v>
      </c>
      <c r="J5124" s="243" t="s">
        <v>5322</v>
      </c>
      <c r="K5124" s="63" t="s">
        <v>5077</v>
      </c>
      <c r="L5124" s="58" t="s">
        <v>5335</v>
      </c>
      <c r="M5124" s="94">
        <v>-39.24</v>
      </c>
      <c r="N5124" s="94">
        <v>175.61</v>
      </c>
      <c r="O5124" s="94">
        <v>1606</v>
      </c>
      <c r="P5124" s="58"/>
      <c r="Q5124" s="244">
        <v>13.8</v>
      </c>
      <c r="R5124" s="58"/>
      <c r="S5124" s="245">
        <v>1184</v>
      </c>
      <c r="T5124" s="58"/>
      <c r="U5124" s="58" t="s">
        <v>1816</v>
      </c>
      <c r="V5124" s="244">
        <v>8</v>
      </c>
      <c r="W5124" s="174"/>
      <c r="X5124" s="174"/>
      <c r="Y5124" s="58" t="s">
        <v>5965</v>
      </c>
      <c r="Z5124" s="244" t="s">
        <v>1355</v>
      </c>
      <c r="AA5124" s="245">
        <v>10</v>
      </c>
      <c r="AB5124" s="67">
        <v>18.8</v>
      </c>
      <c r="AC5124" s="67" t="s">
        <v>7001</v>
      </c>
      <c r="AD5124" s="94">
        <v>1.07</v>
      </c>
      <c r="AE5124" s="94"/>
      <c r="AF5124" s="94"/>
      <c r="AG5124" s="245">
        <v>15</v>
      </c>
      <c r="AH5124" s="58" t="s">
        <v>238</v>
      </c>
      <c r="AI5124" s="169" t="s">
        <v>5722</v>
      </c>
      <c r="AJ5124" s="94">
        <v>4.84</v>
      </c>
      <c r="AK5124" s="94"/>
      <c r="AL5124" s="58"/>
      <c r="AM5124" s="58"/>
      <c r="AN5124" s="186"/>
      <c r="AO5124" s="185" t="s">
        <v>5150</v>
      </c>
      <c r="AP5124" s="58"/>
      <c r="AQ5124" s="58"/>
      <c r="AR5124" s="58" t="s">
        <v>5134</v>
      </c>
      <c r="AS5124" s="246" t="s">
        <v>5529</v>
      </c>
      <c r="AT5124" s="247"/>
      <c r="AU5124" s="181" t="s">
        <v>7494</v>
      </c>
      <c r="AV5124" s="185" t="s">
        <v>176</v>
      </c>
      <c r="AW5124" s="244"/>
      <c r="AX5124" s="185" t="s">
        <v>176</v>
      </c>
      <c r="AY5124" s="244"/>
      <c r="AZ5124" s="58"/>
      <c r="BA5124" s="58"/>
      <c r="BB5124" s="58"/>
      <c r="BC5124" s="58"/>
      <c r="BD5124" s="58"/>
      <c r="BE5124" s="236" t="s">
        <v>5153</v>
      </c>
      <c r="BF5124" s="191" t="s">
        <v>176</v>
      </c>
      <c r="BG5124" s="191" t="s">
        <v>176</v>
      </c>
      <c r="BH5124" s="236" t="s">
        <v>5153</v>
      </c>
      <c r="BI5124" s="191" t="s">
        <v>176</v>
      </c>
      <c r="BJ5124" s="58" t="str">
        <f>IF(BE5124=BH5124,"No","yes")</f>
        <v>No</v>
      </c>
      <c r="BK5124" s="58" t="s">
        <v>6334</v>
      </c>
      <c r="BL5124" s="58"/>
      <c r="BM5124" s="237"/>
      <c r="BN5124" s="244">
        <v>12</v>
      </c>
      <c r="BO5124" s="244">
        <v>12</v>
      </c>
      <c r="BP5124" s="58"/>
      <c r="BQ5124" s="58"/>
      <c r="BR5124" s="58"/>
      <c r="BS5124" s="58"/>
      <c r="BT5124" s="58"/>
      <c r="BU5124" s="58"/>
      <c r="BV5124" s="58"/>
      <c r="BW5124" s="67"/>
      <c r="BX5124" s="67"/>
      <c r="BY5124" s="67"/>
      <c r="BZ5124" s="67"/>
      <c r="CA5124" s="67"/>
      <c r="CB5124" s="70"/>
      <c r="CC5124" s="70"/>
      <c r="CD5124" s="70"/>
      <c r="CE5124" s="67"/>
      <c r="CF5124" s="67"/>
      <c r="CG5124" s="67"/>
      <c r="CH5124" s="245">
        <v>1.24</v>
      </c>
      <c r="CI5124" s="245">
        <v>1.1299999999999999</v>
      </c>
      <c r="CJ5124" s="67"/>
      <c r="CK5124" s="67"/>
      <c r="CL5124" s="67"/>
      <c r="CM5124" s="242">
        <v>3.45</v>
      </c>
      <c r="CN5124" s="242">
        <v>4.13</v>
      </c>
      <c r="CO5124" s="242"/>
      <c r="CP5124" s="242"/>
      <c r="CQ5124" s="242" t="s">
        <v>164</v>
      </c>
      <c r="CR5124" s="242">
        <v>21.390000000000004</v>
      </c>
      <c r="CS5124" s="242">
        <v>23.334499999999998</v>
      </c>
      <c r="CT5124" s="242"/>
      <c r="CU5124" s="242"/>
      <c r="CV5124" s="242" t="s">
        <v>5151</v>
      </c>
      <c r="CW5124" s="242"/>
      <c r="CX5124" s="242"/>
      <c r="CY5124" s="242"/>
      <c r="CZ5124" s="242"/>
      <c r="DA5124" s="67"/>
      <c r="DB5124" s="67">
        <v>4110</v>
      </c>
      <c r="DC5124" s="67">
        <v>4590</v>
      </c>
      <c r="DD5124" s="67"/>
      <c r="DE5124" s="67"/>
      <c r="DF5124" s="67" t="s">
        <v>5967</v>
      </c>
      <c r="DG5124" s="67">
        <v>1350</v>
      </c>
      <c r="DH5124" s="67">
        <v>1200</v>
      </c>
      <c r="DI5124" s="67"/>
      <c r="DJ5124" s="67"/>
      <c r="DK5124" s="67" t="s">
        <v>5968</v>
      </c>
      <c r="DL5124" s="67">
        <v>0.75</v>
      </c>
      <c r="DM5124" s="67">
        <v>1.04</v>
      </c>
      <c r="DN5124" s="67"/>
      <c r="DO5124" s="67"/>
      <c r="DP5124" s="67" t="s">
        <v>5969</v>
      </c>
      <c r="DQ5124" s="166">
        <v>6.07</v>
      </c>
      <c r="DR5124" s="166">
        <v>6.06</v>
      </c>
      <c r="DS5124" s="163"/>
      <c r="DT5124" s="163"/>
      <c r="DU5124" s="67"/>
      <c r="DV5124" s="67">
        <v>18.8</v>
      </c>
      <c r="DW5124" s="67">
        <v>21.9</v>
      </c>
      <c r="DX5124" s="67"/>
      <c r="DY5124" s="67"/>
      <c r="DZ5124" s="67" t="s">
        <v>3360</v>
      </c>
      <c r="EA5124" s="67"/>
      <c r="EB5124" s="67"/>
      <c r="EC5124" s="67"/>
      <c r="ED5124" s="67"/>
      <c r="EE5124" s="67"/>
      <c r="EF5124" s="67"/>
      <c r="EG5124" s="67"/>
      <c r="EH5124" s="67"/>
      <c r="EI5124" s="67"/>
      <c r="EJ5124" s="67"/>
      <c r="EK5124" s="94"/>
      <c r="EL5124" s="94"/>
      <c r="EM5124" s="67"/>
      <c r="EN5124" s="67"/>
      <c r="EO5124" s="67"/>
      <c r="EP5124" s="67"/>
      <c r="EQ5124" s="67"/>
      <c r="ER5124" s="67"/>
      <c r="ES5124" s="67"/>
      <c r="ET5124" s="67"/>
      <c r="EU5124" s="67">
        <v>4.41</v>
      </c>
      <c r="EV5124" s="67">
        <v>3.45</v>
      </c>
      <c r="EW5124" s="67"/>
      <c r="EX5124" s="67"/>
      <c r="EY5124" s="67" t="s">
        <v>2366</v>
      </c>
      <c r="EZ5124" s="67"/>
      <c r="FA5124" s="67"/>
      <c r="FB5124" s="67"/>
      <c r="FC5124" s="67"/>
      <c r="FD5124" s="67"/>
      <c r="FE5124" s="67"/>
      <c r="FF5124" s="67"/>
      <c r="FG5124" s="67"/>
      <c r="FH5124" s="67"/>
      <c r="FI5124" s="67"/>
      <c r="FJ5124" s="67"/>
      <c r="FK5124" s="67"/>
      <c r="FL5124" s="67"/>
      <c r="FM5124" s="67"/>
      <c r="FN5124" s="67"/>
      <c r="FO5124" s="67"/>
      <c r="FP5124" s="67"/>
      <c r="FQ5124" s="67"/>
      <c r="FR5124" s="67"/>
      <c r="FS5124" s="67"/>
      <c r="FT5124" s="67"/>
      <c r="FU5124" s="67"/>
      <c r="FV5124" s="67"/>
      <c r="FW5124" s="67"/>
      <c r="FX5124" s="67"/>
      <c r="FY5124" s="67"/>
      <c r="FZ5124" s="67"/>
      <c r="GA5124" s="67"/>
      <c r="GB5124" s="67"/>
      <c r="GC5124" s="67"/>
      <c r="GD5124" s="67"/>
      <c r="GE5124" s="67"/>
      <c r="GF5124" s="67"/>
      <c r="GG5124" s="67"/>
      <c r="GH5124" s="67"/>
      <c r="GI5124" s="67"/>
      <c r="GJ5124" s="67"/>
      <c r="GK5124" s="67"/>
      <c r="GL5124" s="67"/>
      <c r="GM5124" s="67"/>
      <c r="GN5124" s="292"/>
      <c r="GO5124" s="292"/>
      <c r="GP5124" s="292" t="s">
        <v>7494</v>
      </c>
      <c r="GQ5124" s="67"/>
      <c r="GR5124" s="67"/>
      <c r="GS5124" s="67"/>
      <c r="GT5124" s="67"/>
      <c r="GU5124" s="67"/>
      <c r="GV5124" s="67"/>
      <c r="GW5124" s="67"/>
      <c r="GX5124" s="67"/>
      <c r="GY5124" s="67"/>
      <c r="GZ5124" s="67"/>
      <c r="HA5124" s="67"/>
      <c r="HB5124" s="67"/>
      <c r="HC5124" s="67"/>
      <c r="HD5124" s="67"/>
      <c r="HE5124" s="67"/>
      <c r="HF5124" s="67"/>
      <c r="HG5124" s="67"/>
      <c r="HH5124" s="67"/>
      <c r="HI5124" s="67"/>
      <c r="HJ5124" s="67"/>
      <c r="HK5124" s="67"/>
      <c r="HL5124" s="67"/>
      <c r="HM5124" s="67"/>
      <c r="HN5124" s="67"/>
      <c r="HO5124" s="67"/>
      <c r="HP5124" s="67"/>
      <c r="HQ5124" s="67"/>
      <c r="HR5124" s="67"/>
      <c r="HS5124" s="67"/>
      <c r="HT5124" s="67"/>
      <c r="HU5124" s="67"/>
      <c r="HV5124" s="67"/>
      <c r="HW5124" s="67"/>
      <c r="HX5124" s="67"/>
      <c r="HY5124" s="67"/>
      <c r="HZ5124" s="67"/>
      <c r="IA5124" s="67"/>
      <c r="IB5124" s="67"/>
      <c r="IC5124" s="67">
        <v>153.69999999999999</v>
      </c>
      <c r="ID5124" s="67">
        <v>194.8</v>
      </c>
      <c r="IE5124" s="67"/>
      <c r="IF5124" s="67"/>
      <c r="IG5124" s="67" t="s">
        <v>2242</v>
      </c>
      <c r="IH5124" s="67"/>
      <c r="II5124" s="67"/>
      <c r="IJ5124" s="67"/>
      <c r="IK5124" s="67"/>
      <c r="IL5124" s="67"/>
      <c r="IM5124" s="67"/>
      <c r="IN5124" s="67"/>
      <c r="IO5124" s="67"/>
      <c r="IP5124" s="67"/>
      <c r="IQ5124" s="67"/>
      <c r="IR5124" s="67"/>
      <c r="IS5124" s="67"/>
      <c r="IT5124" s="67"/>
      <c r="IU5124" s="67"/>
      <c r="IV5124" s="67"/>
      <c r="IW5124" s="67">
        <v>51.4</v>
      </c>
      <c r="IX5124" s="67">
        <v>70.3</v>
      </c>
      <c r="IY5124" s="67"/>
      <c r="IZ5124" s="67"/>
      <c r="JA5124" s="67" t="s">
        <v>5966</v>
      </c>
      <c r="JB5124" s="67"/>
      <c r="JC5124" s="67"/>
      <c r="JD5124" s="67"/>
      <c r="JE5124" s="67"/>
      <c r="JF5124" s="67"/>
      <c r="JG5124" s="67"/>
      <c r="JH5124" s="67"/>
      <c r="JI5124" s="67"/>
      <c r="JJ5124" s="67"/>
      <c r="JK5124" s="67"/>
      <c r="JL5124" s="67"/>
      <c r="JM5124" s="67"/>
      <c r="JN5124" s="67"/>
      <c r="JO5124" s="67"/>
      <c r="JP5124" s="67"/>
      <c r="JQ5124" s="67">
        <v>99999</v>
      </c>
      <c r="JR5124" s="67"/>
      <c r="JS5124" s="67"/>
      <c r="JT5124" s="67"/>
      <c r="JU5124" s="58"/>
      <c r="JV5124" s="58"/>
      <c r="JW5124" s="58"/>
    </row>
    <row r="5125" spans="1:283" s="23" customFormat="1" x14ac:dyDescent="0.25">
      <c r="A5125" s="55">
        <v>5124</v>
      </c>
      <c r="B5125" s="12" t="s">
        <v>7067</v>
      </c>
      <c r="C5125" s="156">
        <v>268</v>
      </c>
      <c r="D5125" s="58" t="s">
        <v>5029</v>
      </c>
      <c r="E5125" s="160" t="str">
        <f>G5125</f>
        <v>Reganold et al 1993_market garden</v>
      </c>
      <c r="F5125" s="160"/>
      <c r="G5125" s="60" t="s">
        <v>4695</v>
      </c>
      <c r="H5125" s="58">
        <v>1993</v>
      </c>
      <c r="I5125" s="58" t="s">
        <v>5941</v>
      </c>
      <c r="J5125" s="243" t="s">
        <v>5322</v>
      </c>
      <c r="K5125" s="63" t="s">
        <v>5077</v>
      </c>
      <c r="L5125" s="58" t="s">
        <v>5335</v>
      </c>
      <c r="M5125" s="94">
        <v>-39.24</v>
      </c>
      <c r="N5125" s="94">
        <v>175.61</v>
      </c>
      <c r="O5125" s="94">
        <v>1606</v>
      </c>
      <c r="P5125" s="58"/>
      <c r="Q5125" s="244">
        <v>13.8</v>
      </c>
      <c r="R5125" s="58"/>
      <c r="S5125" s="245">
        <v>1184</v>
      </c>
      <c r="T5125" s="58"/>
      <c r="U5125" s="58" t="s">
        <v>1816</v>
      </c>
      <c r="V5125" s="244">
        <v>8</v>
      </c>
      <c r="W5125" s="174"/>
      <c r="X5125" s="174"/>
      <c r="Y5125" s="58" t="s">
        <v>5965</v>
      </c>
      <c r="Z5125" s="244" t="s">
        <v>1350</v>
      </c>
      <c r="AA5125" s="245">
        <v>20</v>
      </c>
      <c r="AB5125" s="67"/>
      <c r="AC5125" s="67"/>
      <c r="AD5125" s="94"/>
      <c r="AE5125" s="94"/>
      <c r="AF5125" s="94"/>
      <c r="AG5125" s="245">
        <v>34</v>
      </c>
      <c r="AH5125" s="58" t="s">
        <v>523</v>
      </c>
      <c r="AI5125" s="169"/>
      <c r="AJ5125" s="94"/>
      <c r="AK5125" s="94"/>
      <c r="AL5125" s="58"/>
      <c r="AM5125" s="58"/>
      <c r="AN5125" s="186"/>
      <c r="AO5125" s="185" t="s">
        <v>7494</v>
      </c>
      <c r="AP5125" s="58"/>
      <c r="AQ5125" s="58"/>
      <c r="AR5125" s="58"/>
      <c r="AS5125" s="246" t="s">
        <v>227</v>
      </c>
      <c r="AT5125" s="247"/>
      <c r="AU5125" s="181" t="s">
        <v>7494</v>
      </c>
      <c r="AV5125" s="185" t="s">
        <v>176</v>
      </c>
      <c r="AW5125" s="244"/>
      <c r="AX5125" s="185" t="s">
        <v>176</v>
      </c>
      <c r="AY5125" s="244"/>
      <c r="AZ5125" s="58"/>
      <c r="BA5125" s="58"/>
      <c r="BB5125" s="58"/>
      <c r="BC5125" s="58"/>
      <c r="BD5125" s="58"/>
      <c r="BE5125" s="236" t="s">
        <v>5153</v>
      </c>
      <c r="BF5125" s="191" t="s">
        <v>176</v>
      </c>
      <c r="BG5125" s="191" t="s">
        <v>176</v>
      </c>
      <c r="BH5125" s="236" t="s">
        <v>5153</v>
      </c>
      <c r="BI5125" s="191" t="s">
        <v>176</v>
      </c>
      <c r="BJ5125" s="58" t="str">
        <f>IF(BE5125=BH5125,"No","yes")</f>
        <v>No</v>
      </c>
      <c r="BK5125" s="58" t="s">
        <v>6334</v>
      </c>
      <c r="BL5125" s="58"/>
      <c r="BM5125" s="237"/>
      <c r="BN5125" s="244">
        <v>6</v>
      </c>
      <c r="BO5125" s="244">
        <v>6</v>
      </c>
      <c r="BP5125" s="58"/>
      <c r="BQ5125" s="58"/>
      <c r="BR5125" s="58"/>
      <c r="BS5125" s="58"/>
      <c r="BT5125" s="58"/>
      <c r="BU5125" s="58"/>
      <c r="BV5125" s="58"/>
      <c r="BW5125" s="67"/>
      <c r="BX5125" s="67"/>
      <c r="BY5125" s="67"/>
      <c r="BZ5125" s="67"/>
      <c r="CA5125" s="67"/>
      <c r="CB5125" s="70"/>
      <c r="CC5125" s="70"/>
      <c r="CD5125" s="70"/>
      <c r="CE5125" s="67"/>
      <c r="CF5125" s="67"/>
      <c r="CG5125" s="67"/>
      <c r="CH5125" s="245"/>
      <c r="CI5125" s="245"/>
      <c r="CJ5125" s="67"/>
      <c r="CK5125" s="67"/>
      <c r="CL5125" s="67"/>
      <c r="CM5125" s="242"/>
      <c r="CN5125" s="242"/>
      <c r="CO5125" s="242"/>
      <c r="CP5125" s="242"/>
      <c r="CQ5125" s="242"/>
      <c r="CR5125" s="242"/>
      <c r="CS5125" s="242"/>
      <c r="CT5125" s="242"/>
      <c r="CU5125" s="242"/>
      <c r="CV5125" s="242"/>
      <c r="CW5125" s="242"/>
      <c r="CX5125" s="242"/>
      <c r="CY5125" s="242"/>
      <c r="CZ5125" s="242"/>
      <c r="DA5125" s="67"/>
      <c r="DB5125" s="67"/>
      <c r="DC5125" s="67"/>
      <c r="DD5125" s="67"/>
      <c r="DE5125" s="67"/>
      <c r="DF5125" s="67"/>
      <c r="DG5125" s="67"/>
      <c r="DH5125" s="67"/>
      <c r="DI5125" s="67"/>
      <c r="DJ5125" s="67"/>
      <c r="DK5125" s="67"/>
      <c r="DL5125" s="67"/>
      <c r="DM5125" s="67"/>
      <c r="DN5125" s="67"/>
      <c r="DO5125" s="67"/>
      <c r="DP5125" s="67"/>
      <c r="DQ5125" s="166"/>
      <c r="DR5125" s="166"/>
      <c r="DS5125" s="163"/>
      <c r="DT5125" s="163"/>
      <c r="DU5125" s="67"/>
      <c r="DV5125" s="67"/>
      <c r="DW5125" s="67"/>
      <c r="DX5125" s="67"/>
      <c r="DY5125" s="67"/>
      <c r="DZ5125" s="67"/>
      <c r="EA5125" s="67"/>
      <c r="EB5125" s="67"/>
      <c r="EC5125" s="67"/>
      <c r="ED5125" s="67"/>
      <c r="EE5125" s="67"/>
      <c r="EF5125" s="67"/>
      <c r="EG5125" s="67"/>
      <c r="EH5125" s="67"/>
      <c r="EI5125" s="67"/>
      <c r="EJ5125" s="67"/>
      <c r="EK5125" s="94"/>
      <c r="EL5125" s="94"/>
      <c r="EM5125" s="67"/>
      <c r="EN5125" s="67"/>
      <c r="EO5125" s="67"/>
      <c r="EP5125" s="67"/>
      <c r="EQ5125" s="67"/>
      <c r="ER5125" s="67"/>
      <c r="ES5125" s="67"/>
      <c r="ET5125" s="67"/>
      <c r="EU5125" s="67">
        <v>2.2400000000000002</v>
      </c>
      <c r="EV5125" s="67">
        <v>2.63</v>
      </c>
      <c r="EW5125" s="67"/>
      <c r="EX5125" s="67"/>
      <c r="EY5125" s="67" t="s">
        <v>2366</v>
      </c>
      <c r="EZ5125" s="67"/>
      <c r="FA5125" s="67"/>
      <c r="FB5125" s="67"/>
      <c r="FC5125" s="67"/>
      <c r="FD5125" s="67"/>
      <c r="FE5125" s="67"/>
      <c r="FF5125" s="67"/>
      <c r="FG5125" s="67"/>
      <c r="FH5125" s="67"/>
      <c r="FI5125" s="67"/>
      <c r="FJ5125" s="67"/>
      <c r="FK5125" s="67"/>
      <c r="FL5125" s="67"/>
      <c r="FM5125" s="67"/>
      <c r="FN5125" s="67"/>
      <c r="FO5125" s="67"/>
      <c r="FP5125" s="67"/>
      <c r="FQ5125" s="67"/>
      <c r="FR5125" s="67"/>
      <c r="FS5125" s="67"/>
      <c r="FT5125" s="67"/>
      <c r="FU5125" s="67"/>
      <c r="FV5125" s="67"/>
      <c r="FW5125" s="67"/>
      <c r="FX5125" s="67"/>
      <c r="FY5125" s="67"/>
      <c r="FZ5125" s="67"/>
      <c r="GA5125" s="67"/>
      <c r="GB5125" s="67"/>
      <c r="GC5125" s="67"/>
      <c r="GD5125" s="67"/>
      <c r="GE5125" s="67"/>
      <c r="GF5125" s="67"/>
      <c r="GG5125" s="67"/>
      <c r="GH5125" s="67"/>
      <c r="GI5125" s="67"/>
      <c r="GJ5125" s="67"/>
      <c r="GK5125" s="67"/>
      <c r="GL5125" s="67"/>
      <c r="GM5125" s="67"/>
      <c r="GN5125" s="292"/>
      <c r="GO5125" s="292"/>
      <c r="GP5125" s="292" t="s">
        <v>7494</v>
      </c>
      <c r="GQ5125" s="67"/>
      <c r="GR5125" s="67"/>
      <c r="GS5125" s="67"/>
      <c r="GT5125" s="67"/>
      <c r="GU5125" s="67"/>
      <c r="GV5125" s="67"/>
      <c r="GW5125" s="67"/>
      <c r="GX5125" s="67"/>
      <c r="GY5125" s="67"/>
      <c r="GZ5125" s="67"/>
      <c r="HA5125" s="67"/>
      <c r="HB5125" s="67"/>
      <c r="HC5125" s="67"/>
      <c r="HD5125" s="67"/>
      <c r="HE5125" s="67"/>
      <c r="HF5125" s="67"/>
      <c r="HG5125" s="67"/>
      <c r="HH5125" s="67"/>
      <c r="HI5125" s="67"/>
      <c r="HJ5125" s="67"/>
      <c r="HK5125" s="67"/>
      <c r="HL5125" s="67"/>
      <c r="HM5125" s="67"/>
      <c r="HN5125" s="67"/>
      <c r="HO5125" s="67"/>
      <c r="HP5125" s="67"/>
      <c r="HQ5125" s="67"/>
      <c r="HR5125" s="67"/>
      <c r="HS5125" s="67"/>
      <c r="HT5125" s="67"/>
      <c r="HU5125" s="67"/>
      <c r="HV5125" s="67"/>
      <c r="HW5125" s="67"/>
      <c r="HX5125" s="67"/>
      <c r="HY5125" s="67"/>
      <c r="HZ5125" s="67"/>
      <c r="IA5125" s="67"/>
      <c r="IB5125" s="67"/>
      <c r="IC5125" s="67"/>
      <c r="ID5125" s="67"/>
      <c r="IE5125" s="67"/>
      <c r="IF5125" s="67"/>
      <c r="IG5125" s="67"/>
      <c r="IH5125" s="67"/>
      <c r="II5125" s="67"/>
      <c r="IJ5125" s="67"/>
      <c r="IK5125" s="67"/>
      <c r="IL5125" s="67"/>
      <c r="IM5125" s="67"/>
      <c r="IN5125" s="67"/>
      <c r="IO5125" s="67"/>
      <c r="IP5125" s="67"/>
      <c r="IQ5125" s="67"/>
      <c r="IR5125" s="67"/>
      <c r="IS5125" s="67"/>
      <c r="IT5125" s="67"/>
      <c r="IU5125" s="67"/>
      <c r="IV5125" s="67"/>
      <c r="IW5125" s="67"/>
      <c r="IX5125" s="67"/>
      <c r="IY5125" s="67"/>
      <c r="IZ5125" s="67"/>
      <c r="JA5125" s="67"/>
      <c r="JB5125" s="67"/>
      <c r="JC5125" s="67"/>
      <c r="JD5125" s="67"/>
      <c r="JE5125" s="67"/>
      <c r="JF5125" s="67"/>
      <c r="JG5125" s="67"/>
      <c r="JH5125" s="67"/>
      <c r="JI5125" s="67"/>
      <c r="JJ5125" s="67"/>
      <c r="JK5125" s="67"/>
      <c r="JL5125" s="67"/>
      <c r="JM5125" s="67"/>
      <c r="JN5125" s="67"/>
      <c r="JO5125" s="67"/>
      <c r="JP5125" s="67"/>
      <c r="JQ5125" s="67"/>
      <c r="JR5125" s="67"/>
      <c r="JS5125" s="67"/>
      <c r="JT5125" s="67"/>
      <c r="JU5125" s="58"/>
      <c r="JV5125" s="58"/>
      <c r="JW5125" s="58"/>
    </row>
    <row r="5126" spans="1:283" s="23" customFormat="1" x14ac:dyDescent="0.25">
      <c r="A5126" s="55">
        <v>5125</v>
      </c>
      <c r="B5126" s="12" t="s">
        <v>7067</v>
      </c>
      <c r="C5126" s="156">
        <v>268</v>
      </c>
      <c r="D5126" s="58" t="s">
        <v>5030</v>
      </c>
      <c r="E5126" s="160" t="str">
        <f>G5126</f>
        <v>Reganold et al 1993_pip fruit</v>
      </c>
      <c r="F5126" s="160"/>
      <c r="G5126" s="60" t="s">
        <v>4694</v>
      </c>
      <c r="H5126" s="58">
        <v>1993</v>
      </c>
      <c r="I5126" s="58" t="s">
        <v>5941</v>
      </c>
      <c r="J5126" s="243" t="s">
        <v>5322</v>
      </c>
      <c r="K5126" s="63" t="s">
        <v>5077</v>
      </c>
      <c r="L5126" s="58" t="s">
        <v>5335</v>
      </c>
      <c r="M5126" s="94">
        <v>-39.24</v>
      </c>
      <c r="N5126" s="94">
        <v>175.61</v>
      </c>
      <c r="O5126" s="94">
        <v>1606</v>
      </c>
      <c r="P5126" s="58"/>
      <c r="Q5126" s="244">
        <v>13.8</v>
      </c>
      <c r="R5126" s="58"/>
      <c r="S5126" s="245">
        <v>1184</v>
      </c>
      <c r="T5126" s="58"/>
      <c r="U5126" s="58" t="s">
        <v>1816</v>
      </c>
      <c r="V5126" s="244">
        <v>8</v>
      </c>
      <c r="W5126" s="174"/>
      <c r="X5126" s="174"/>
      <c r="Y5126" s="58" t="s">
        <v>5965</v>
      </c>
      <c r="Z5126" s="244" t="s">
        <v>1350</v>
      </c>
      <c r="AA5126" s="245">
        <v>20</v>
      </c>
      <c r="AB5126" s="67"/>
      <c r="AC5126" s="67"/>
      <c r="AD5126" s="94"/>
      <c r="AE5126" s="94"/>
      <c r="AF5126" s="94"/>
      <c r="AG5126" s="245">
        <v>34</v>
      </c>
      <c r="AH5126" s="58" t="s">
        <v>523</v>
      </c>
      <c r="AI5126" s="169"/>
      <c r="AJ5126" s="94"/>
      <c r="AK5126" s="94"/>
      <c r="AL5126" s="58"/>
      <c r="AM5126" s="58"/>
      <c r="AN5126" s="186"/>
      <c r="AO5126" s="185" t="s">
        <v>7494</v>
      </c>
      <c r="AP5126" s="58"/>
      <c r="AQ5126" s="58"/>
      <c r="AR5126" s="58"/>
      <c r="AS5126" s="246" t="s">
        <v>3471</v>
      </c>
      <c r="AT5126" s="247"/>
      <c r="AU5126" s="181" t="s">
        <v>7494</v>
      </c>
      <c r="AV5126" s="185" t="s">
        <v>176</v>
      </c>
      <c r="AW5126" s="244"/>
      <c r="AX5126" s="185" t="s">
        <v>176</v>
      </c>
      <c r="AY5126" s="244"/>
      <c r="AZ5126" s="58"/>
      <c r="BA5126" s="58"/>
      <c r="BB5126" s="58"/>
      <c r="BC5126" s="58"/>
      <c r="BD5126" s="58"/>
      <c r="BE5126" s="236" t="s">
        <v>5153</v>
      </c>
      <c r="BF5126" s="191" t="s">
        <v>176</v>
      </c>
      <c r="BG5126" s="191" t="s">
        <v>176</v>
      </c>
      <c r="BH5126" s="236" t="s">
        <v>5153</v>
      </c>
      <c r="BI5126" s="191" t="s">
        <v>176</v>
      </c>
      <c r="BJ5126" s="58" t="str">
        <f>IF(BE5126=BH5126,"No","yes")</f>
        <v>No</v>
      </c>
      <c r="BK5126" s="58" t="s">
        <v>6334</v>
      </c>
      <c r="BL5126" s="58"/>
      <c r="BM5126" s="237"/>
      <c r="BN5126" s="244">
        <v>12</v>
      </c>
      <c r="BO5126" s="244">
        <v>12</v>
      </c>
      <c r="BP5126" s="58"/>
      <c r="BQ5126" s="58"/>
      <c r="BR5126" s="58"/>
      <c r="BS5126" s="58"/>
      <c r="BT5126" s="58"/>
      <c r="BU5126" s="58"/>
      <c r="BV5126" s="58"/>
      <c r="BW5126" s="67"/>
      <c r="BX5126" s="67"/>
      <c r="BY5126" s="67"/>
      <c r="BZ5126" s="67"/>
      <c r="CA5126" s="67"/>
      <c r="CB5126" s="70"/>
      <c r="CC5126" s="70"/>
      <c r="CD5126" s="70"/>
      <c r="CE5126" s="67"/>
      <c r="CF5126" s="67"/>
      <c r="CG5126" s="67"/>
      <c r="CH5126" s="245"/>
      <c r="CI5126" s="245"/>
      <c r="CJ5126" s="67"/>
      <c r="CK5126" s="67"/>
      <c r="CL5126" s="67"/>
      <c r="CM5126" s="242"/>
      <c r="CN5126" s="242"/>
      <c r="CO5126" s="242"/>
      <c r="CP5126" s="242"/>
      <c r="CQ5126" s="242"/>
      <c r="CR5126" s="242"/>
      <c r="CS5126" s="242"/>
      <c r="CT5126" s="242"/>
      <c r="CU5126" s="242"/>
      <c r="CV5126" s="242"/>
      <c r="CW5126" s="242"/>
      <c r="CX5126" s="242"/>
      <c r="CY5126" s="242"/>
      <c r="CZ5126" s="242"/>
      <c r="DA5126" s="67"/>
      <c r="DB5126" s="67"/>
      <c r="DC5126" s="67"/>
      <c r="DD5126" s="67"/>
      <c r="DE5126" s="67"/>
      <c r="DF5126" s="67"/>
      <c r="DG5126" s="67"/>
      <c r="DH5126" s="67"/>
      <c r="DI5126" s="67"/>
      <c r="DJ5126" s="67"/>
      <c r="DK5126" s="67"/>
      <c r="DL5126" s="67"/>
      <c r="DM5126" s="67"/>
      <c r="DN5126" s="67"/>
      <c r="DO5126" s="67"/>
      <c r="DP5126" s="67"/>
      <c r="DQ5126" s="166"/>
      <c r="DR5126" s="166"/>
      <c r="DS5126" s="163"/>
      <c r="DT5126" s="163"/>
      <c r="DU5126" s="67"/>
      <c r="DV5126" s="67"/>
      <c r="DW5126" s="67"/>
      <c r="DX5126" s="67"/>
      <c r="DY5126" s="67"/>
      <c r="DZ5126" s="67"/>
      <c r="EA5126" s="67"/>
      <c r="EB5126" s="67"/>
      <c r="EC5126" s="67"/>
      <c r="ED5126" s="67"/>
      <c r="EE5126" s="67"/>
      <c r="EF5126" s="67"/>
      <c r="EG5126" s="67"/>
      <c r="EH5126" s="67"/>
      <c r="EI5126" s="67"/>
      <c r="EJ5126" s="67"/>
      <c r="EK5126" s="94"/>
      <c r="EL5126" s="94"/>
      <c r="EM5126" s="67"/>
      <c r="EN5126" s="67"/>
      <c r="EO5126" s="67"/>
      <c r="EP5126" s="67"/>
      <c r="EQ5126" s="67"/>
      <c r="ER5126" s="67"/>
      <c r="ES5126" s="67"/>
      <c r="ET5126" s="67"/>
      <c r="EU5126" s="67">
        <v>2.66</v>
      </c>
      <c r="EV5126" s="67">
        <v>2.25</v>
      </c>
      <c r="EW5126" s="67"/>
      <c r="EX5126" s="67"/>
      <c r="EY5126" s="67" t="s">
        <v>2366</v>
      </c>
      <c r="EZ5126" s="67"/>
      <c r="FA5126" s="67"/>
      <c r="FB5126" s="67"/>
      <c r="FC5126" s="67"/>
      <c r="FD5126" s="67"/>
      <c r="FE5126" s="67"/>
      <c r="FF5126" s="67"/>
      <c r="FG5126" s="67"/>
      <c r="FH5126" s="67"/>
      <c r="FI5126" s="67"/>
      <c r="FJ5126" s="67"/>
      <c r="FK5126" s="67"/>
      <c r="FL5126" s="67"/>
      <c r="FM5126" s="67"/>
      <c r="FN5126" s="67"/>
      <c r="FO5126" s="67"/>
      <c r="FP5126" s="67"/>
      <c r="FQ5126" s="67"/>
      <c r="FR5126" s="67"/>
      <c r="FS5126" s="67"/>
      <c r="FT5126" s="67"/>
      <c r="FU5126" s="67"/>
      <c r="FV5126" s="67"/>
      <c r="FW5126" s="67"/>
      <c r="FX5126" s="67"/>
      <c r="FY5126" s="67"/>
      <c r="FZ5126" s="67"/>
      <c r="GA5126" s="67"/>
      <c r="GB5126" s="67"/>
      <c r="GC5126" s="67"/>
      <c r="GD5126" s="67"/>
      <c r="GE5126" s="67"/>
      <c r="GF5126" s="67"/>
      <c r="GG5126" s="67"/>
      <c r="GH5126" s="67"/>
      <c r="GI5126" s="67"/>
      <c r="GJ5126" s="67"/>
      <c r="GK5126" s="67"/>
      <c r="GL5126" s="67"/>
      <c r="GM5126" s="67"/>
      <c r="GN5126" s="292"/>
      <c r="GO5126" s="292"/>
      <c r="GP5126" s="292" t="s">
        <v>7494</v>
      </c>
      <c r="GQ5126" s="67"/>
      <c r="GR5126" s="67"/>
      <c r="GS5126" s="67"/>
      <c r="GT5126" s="67"/>
      <c r="GU5126" s="67"/>
      <c r="GV5126" s="67"/>
      <c r="GW5126" s="67"/>
      <c r="GX5126" s="67"/>
      <c r="GY5126" s="67"/>
      <c r="GZ5126" s="67"/>
      <c r="HA5126" s="67"/>
      <c r="HB5126" s="67"/>
      <c r="HC5126" s="67"/>
      <c r="HD5126" s="67"/>
      <c r="HE5126" s="67"/>
      <c r="HF5126" s="67"/>
      <c r="HG5126" s="67"/>
      <c r="HH5126" s="67"/>
      <c r="HI5126" s="67"/>
      <c r="HJ5126" s="67"/>
      <c r="HK5126" s="67"/>
      <c r="HL5126" s="67"/>
      <c r="HM5126" s="67"/>
      <c r="HN5126" s="67"/>
      <c r="HO5126" s="67"/>
      <c r="HP5126" s="67"/>
      <c r="HQ5126" s="67"/>
      <c r="HR5126" s="67"/>
      <c r="HS5126" s="67"/>
      <c r="HT5126" s="67"/>
      <c r="HU5126" s="67"/>
      <c r="HV5126" s="67"/>
      <c r="HW5126" s="67"/>
      <c r="HX5126" s="67"/>
      <c r="HY5126" s="67"/>
      <c r="HZ5126" s="67"/>
      <c r="IA5126" s="67"/>
      <c r="IB5126" s="67"/>
      <c r="IC5126" s="67"/>
      <c r="ID5126" s="67"/>
      <c r="IE5126" s="67"/>
      <c r="IF5126" s="67"/>
      <c r="IG5126" s="67"/>
      <c r="IH5126" s="67"/>
      <c r="II5126" s="67"/>
      <c r="IJ5126" s="67"/>
      <c r="IK5126" s="67"/>
      <c r="IL5126" s="67"/>
      <c r="IM5126" s="67"/>
      <c r="IN5126" s="67"/>
      <c r="IO5126" s="67"/>
      <c r="IP5126" s="67"/>
      <c r="IQ5126" s="67"/>
      <c r="IR5126" s="67"/>
      <c r="IS5126" s="67"/>
      <c r="IT5126" s="67"/>
      <c r="IU5126" s="67"/>
      <c r="IV5126" s="67"/>
      <c r="IW5126" s="67"/>
      <c r="IX5126" s="67"/>
      <c r="IY5126" s="67"/>
      <c r="IZ5126" s="67"/>
      <c r="JA5126" s="67"/>
      <c r="JB5126" s="67"/>
      <c r="JC5126" s="67"/>
      <c r="JD5126" s="67"/>
      <c r="JE5126" s="67"/>
      <c r="JF5126" s="67"/>
      <c r="JG5126" s="67"/>
      <c r="JH5126" s="67"/>
      <c r="JI5126" s="67"/>
      <c r="JJ5126" s="67"/>
      <c r="JK5126" s="67"/>
      <c r="JL5126" s="67"/>
      <c r="JM5126" s="67"/>
      <c r="JN5126" s="67"/>
      <c r="JO5126" s="67"/>
      <c r="JP5126" s="67"/>
      <c r="JQ5126" s="67"/>
      <c r="JR5126" s="67"/>
      <c r="JS5126" s="67"/>
      <c r="JT5126" s="67"/>
      <c r="JU5126" s="58"/>
      <c r="JV5126" s="58"/>
      <c r="JW5126" s="58"/>
    </row>
    <row r="5127" spans="1:283" s="23" customFormat="1" x14ac:dyDescent="0.25">
      <c r="A5127" s="55">
        <v>5126</v>
      </c>
      <c r="B5127" s="12" t="s">
        <v>7067</v>
      </c>
      <c r="C5127" s="156">
        <v>268</v>
      </c>
      <c r="D5127" s="58" t="s">
        <v>5025</v>
      </c>
      <c r="E5127" s="160" t="str">
        <f>G5127</f>
        <v>Reganold et al 1993_citrus</v>
      </c>
      <c r="F5127" s="160"/>
      <c r="G5127" s="60" t="s">
        <v>4699</v>
      </c>
      <c r="H5127" s="58">
        <v>1993</v>
      </c>
      <c r="I5127" s="58" t="s">
        <v>5941</v>
      </c>
      <c r="J5127" s="243" t="s">
        <v>5322</v>
      </c>
      <c r="K5127" s="63" t="s">
        <v>5077</v>
      </c>
      <c r="L5127" s="58" t="s">
        <v>5335</v>
      </c>
      <c r="M5127" s="94">
        <v>-39.24</v>
      </c>
      <c r="N5127" s="94">
        <v>175.61</v>
      </c>
      <c r="O5127" s="94">
        <v>1606</v>
      </c>
      <c r="P5127" s="58"/>
      <c r="Q5127" s="244">
        <v>13.8</v>
      </c>
      <c r="R5127" s="58"/>
      <c r="S5127" s="245">
        <v>1184</v>
      </c>
      <c r="T5127" s="58"/>
      <c r="U5127" s="58" t="s">
        <v>1816</v>
      </c>
      <c r="V5127" s="244">
        <v>8</v>
      </c>
      <c r="W5127" s="174"/>
      <c r="X5127" s="174"/>
      <c r="Y5127" s="58" t="s">
        <v>5965</v>
      </c>
      <c r="Z5127" s="244" t="s">
        <v>1350</v>
      </c>
      <c r="AA5127" s="245">
        <v>20</v>
      </c>
      <c r="AB5127" s="67"/>
      <c r="AC5127" s="67"/>
      <c r="AD5127" s="94"/>
      <c r="AE5127" s="94"/>
      <c r="AF5127" s="94"/>
      <c r="AG5127" s="245">
        <v>34</v>
      </c>
      <c r="AH5127" s="58" t="s">
        <v>1022</v>
      </c>
      <c r="AI5127" s="169"/>
      <c r="AJ5127" s="94"/>
      <c r="AK5127" s="94"/>
      <c r="AL5127" s="58"/>
      <c r="AM5127" s="58"/>
      <c r="AN5127" s="186"/>
      <c r="AO5127" s="185" t="s">
        <v>7494</v>
      </c>
      <c r="AP5127" s="58"/>
      <c r="AQ5127" s="58"/>
      <c r="AR5127" s="58"/>
      <c r="AS5127" s="246" t="s">
        <v>3471</v>
      </c>
      <c r="AT5127" s="247"/>
      <c r="AU5127" s="181" t="s">
        <v>7494</v>
      </c>
      <c r="AV5127" s="185" t="s">
        <v>176</v>
      </c>
      <c r="AW5127" s="244"/>
      <c r="AX5127" s="185" t="s">
        <v>176</v>
      </c>
      <c r="AY5127" s="244"/>
      <c r="AZ5127" s="58"/>
      <c r="BA5127" s="58"/>
      <c r="BB5127" s="58"/>
      <c r="BC5127" s="58"/>
      <c r="BD5127" s="58"/>
      <c r="BE5127" s="236" t="s">
        <v>5153</v>
      </c>
      <c r="BF5127" s="191" t="s">
        <v>176</v>
      </c>
      <c r="BG5127" s="191" t="s">
        <v>176</v>
      </c>
      <c r="BH5127" s="236" t="s">
        <v>5153</v>
      </c>
      <c r="BI5127" s="191" t="s">
        <v>176</v>
      </c>
      <c r="BJ5127" s="58" t="str">
        <f>IF(BE5127=BH5127,"No","yes")</f>
        <v>No</v>
      </c>
      <c r="BK5127" s="58" t="s">
        <v>6334</v>
      </c>
      <c r="BL5127" s="58"/>
      <c r="BM5127" s="237"/>
      <c r="BN5127" s="244">
        <v>18</v>
      </c>
      <c r="BO5127" s="244">
        <v>18</v>
      </c>
      <c r="BP5127" s="58"/>
      <c r="BQ5127" s="58"/>
      <c r="BR5127" s="58"/>
      <c r="BS5127" s="58"/>
      <c r="BT5127" s="58"/>
      <c r="BU5127" s="58"/>
      <c r="BV5127" s="58"/>
      <c r="BW5127" s="67"/>
      <c r="BX5127" s="67"/>
      <c r="BY5127" s="67"/>
      <c r="BZ5127" s="67"/>
      <c r="CA5127" s="67"/>
      <c r="CB5127" s="70"/>
      <c r="CC5127" s="70"/>
      <c r="CD5127" s="70"/>
      <c r="CE5127" s="67"/>
      <c r="CF5127" s="67"/>
      <c r="CG5127" s="67"/>
      <c r="CH5127" s="245"/>
      <c r="CI5127" s="245"/>
      <c r="CJ5127" s="67"/>
      <c r="CK5127" s="67"/>
      <c r="CL5127" s="67"/>
      <c r="CM5127" s="242"/>
      <c r="CN5127" s="242"/>
      <c r="CO5127" s="242"/>
      <c r="CP5127" s="242"/>
      <c r="CQ5127" s="242"/>
      <c r="CR5127" s="242"/>
      <c r="CS5127" s="242"/>
      <c r="CT5127" s="242"/>
      <c r="CU5127" s="242"/>
      <c r="CV5127" s="242"/>
      <c r="CW5127" s="242"/>
      <c r="CX5127" s="242"/>
      <c r="CY5127" s="242"/>
      <c r="CZ5127" s="242"/>
      <c r="DA5127" s="67"/>
      <c r="DB5127" s="67"/>
      <c r="DC5127" s="67"/>
      <c r="DD5127" s="67"/>
      <c r="DE5127" s="67"/>
      <c r="DF5127" s="67"/>
      <c r="DG5127" s="67"/>
      <c r="DH5127" s="67"/>
      <c r="DI5127" s="67"/>
      <c r="DJ5127" s="67"/>
      <c r="DK5127" s="67"/>
      <c r="DL5127" s="67"/>
      <c r="DM5127" s="67"/>
      <c r="DN5127" s="67"/>
      <c r="DO5127" s="67"/>
      <c r="DP5127" s="67"/>
      <c r="DQ5127" s="166"/>
      <c r="DR5127" s="166"/>
      <c r="DS5127" s="163"/>
      <c r="DT5127" s="163"/>
      <c r="DU5127" s="67"/>
      <c r="DV5127" s="67"/>
      <c r="DW5127" s="67"/>
      <c r="DX5127" s="67"/>
      <c r="DY5127" s="67"/>
      <c r="DZ5127" s="67"/>
      <c r="EA5127" s="67"/>
      <c r="EB5127" s="67"/>
      <c r="EC5127" s="67"/>
      <c r="ED5127" s="67"/>
      <c r="EE5127" s="67"/>
      <c r="EF5127" s="67"/>
      <c r="EG5127" s="67"/>
      <c r="EH5127" s="67"/>
      <c r="EI5127" s="67"/>
      <c r="EJ5127" s="67"/>
      <c r="EK5127" s="94"/>
      <c r="EL5127" s="94"/>
      <c r="EM5127" s="67"/>
      <c r="EN5127" s="67"/>
      <c r="EO5127" s="67"/>
      <c r="EP5127" s="67"/>
      <c r="EQ5127" s="67"/>
      <c r="ER5127" s="67"/>
      <c r="ES5127" s="67"/>
      <c r="ET5127" s="67"/>
      <c r="EU5127" s="67">
        <v>3.24</v>
      </c>
      <c r="EV5127" s="67">
        <v>3.92</v>
      </c>
      <c r="EW5127" s="67"/>
      <c r="EX5127" s="67"/>
      <c r="EY5127" s="67" t="s">
        <v>2366</v>
      </c>
      <c r="EZ5127" s="67"/>
      <c r="FA5127" s="67"/>
      <c r="FB5127" s="67"/>
      <c r="FC5127" s="67"/>
      <c r="FD5127" s="67"/>
      <c r="FE5127" s="67"/>
      <c r="FF5127" s="67"/>
      <c r="FG5127" s="67"/>
      <c r="FH5127" s="67"/>
      <c r="FI5127" s="67"/>
      <c r="FJ5127" s="67"/>
      <c r="FK5127" s="67"/>
      <c r="FL5127" s="67"/>
      <c r="FM5127" s="67"/>
      <c r="FN5127" s="67"/>
      <c r="FO5127" s="67"/>
      <c r="FP5127" s="67"/>
      <c r="FQ5127" s="67"/>
      <c r="FR5127" s="67"/>
      <c r="FS5127" s="67"/>
      <c r="FT5127" s="67"/>
      <c r="FU5127" s="67"/>
      <c r="FV5127" s="67"/>
      <c r="FW5127" s="67"/>
      <c r="FX5127" s="67"/>
      <c r="FY5127" s="67"/>
      <c r="FZ5127" s="67"/>
      <c r="GA5127" s="67"/>
      <c r="GB5127" s="67"/>
      <c r="GC5127" s="67"/>
      <c r="GD5127" s="67"/>
      <c r="GE5127" s="67"/>
      <c r="GF5127" s="67"/>
      <c r="GG5127" s="67"/>
      <c r="GH5127" s="67"/>
      <c r="GI5127" s="67"/>
      <c r="GJ5127" s="67"/>
      <c r="GK5127" s="67"/>
      <c r="GL5127" s="67"/>
      <c r="GM5127" s="67"/>
      <c r="GN5127" s="292"/>
      <c r="GO5127" s="292"/>
      <c r="GP5127" s="292" t="s">
        <v>7494</v>
      </c>
      <c r="GQ5127" s="67"/>
      <c r="GR5127" s="67"/>
      <c r="GS5127" s="67"/>
      <c r="GT5127" s="67"/>
      <c r="GU5127" s="67"/>
      <c r="GV5127" s="67"/>
      <c r="GW5127" s="67"/>
      <c r="GX5127" s="67"/>
      <c r="GY5127" s="67"/>
      <c r="GZ5127" s="67"/>
      <c r="HA5127" s="67"/>
      <c r="HB5127" s="67"/>
      <c r="HC5127" s="67"/>
      <c r="HD5127" s="67"/>
      <c r="HE5127" s="67"/>
      <c r="HF5127" s="67"/>
      <c r="HG5127" s="67"/>
      <c r="HH5127" s="67"/>
      <c r="HI5127" s="67"/>
      <c r="HJ5127" s="67"/>
      <c r="HK5127" s="67"/>
      <c r="HL5127" s="67"/>
      <c r="HM5127" s="67"/>
      <c r="HN5127" s="67"/>
      <c r="HO5127" s="67"/>
      <c r="HP5127" s="67"/>
      <c r="HQ5127" s="67"/>
      <c r="HR5127" s="67"/>
      <c r="HS5127" s="67"/>
      <c r="HT5127" s="67"/>
      <c r="HU5127" s="67"/>
      <c r="HV5127" s="67"/>
      <c r="HW5127" s="67"/>
      <c r="HX5127" s="67"/>
      <c r="HY5127" s="67"/>
      <c r="HZ5127" s="67"/>
      <c r="IA5127" s="67"/>
      <c r="IB5127" s="67"/>
      <c r="IC5127" s="67"/>
      <c r="ID5127" s="67"/>
      <c r="IE5127" s="67"/>
      <c r="IF5127" s="67"/>
      <c r="IG5127" s="67"/>
      <c r="IH5127" s="67"/>
      <c r="II5127" s="67"/>
      <c r="IJ5127" s="67"/>
      <c r="IK5127" s="67"/>
      <c r="IL5127" s="67"/>
      <c r="IM5127" s="67"/>
      <c r="IN5127" s="67"/>
      <c r="IO5127" s="67"/>
      <c r="IP5127" s="67"/>
      <c r="IQ5127" s="67"/>
      <c r="IR5127" s="67"/>
      <c r="IS5127" s="67"/>
      <c r="IT5127" s="67"/>
      <c r="IU5127" s="67"/>
      <c r="IV5127" s="67"/>
      <c r="IW5127" s="67"/>
      <c r="IX5127" s="67"/>
      <c r="IY5127" s="67"/>
      <c r="IZ5127" s="67"/>
      <c r="JA5127" s="67"/>
      <c r="JB5127" s="67"/>
      <c r="JC5127" s="67"/>
      <c r="JD5127" s="67"/>
      <c r="JE5127" s="67"/>
      <c r="JF5127" s="67"/>
      <c r="JG5127" s="67"/>
      <c r="JH5127" s="67"/>
      <c r="JI5127" s="67"/>
      <c r="JJ5127" s="67"/>
      <c r="JK5127" s="67"/>
      <c r="JL5127" s="67"/>
      <c r="JM5127" s="67"/>
      <c r="JN5127" s="67"/>
      <c r="JO5127" s="67"/>
      <c r="JP5127" s="67"/>
      <c r="JQ5127" s="67"/>
      <c r="JR5127" s="67"/>
      <c r="JS5127" s="67"/>
      <c r="JT5127" s="67"/>
      <c r="JU5127" s="58"/>
      <c r="JV5127" s="58"/>
      <c r="JW5127" s="58"/>
    </row>
    <row r="5128" spans="1:283" s="23" customFormat="1" x14ac:dyDescent="0.25">
      <c r="A5128" s="55">
        <v>5127</v>
      </c>
      <c r="B5128" s="12" t="s">
        <v>7067</v>
      </c>
      <c r="C5128" s="156">
        <v>268</v>
      </c>
      <c r="D5128" s="58" t="s">
        <v>5028</v>
      </c>
      <c r="E5128" s="160" t="str">
        <f>G5128</f>
        <v>Reganold et al 1993_grain</v>
      </c>
      <c r="F5128" s="160"/>
      <c r="G5128" s="60" t="s">
        <v>4696</v>
      </c>
      <c r="H5128" s="58">
        <v>1993</v>
      </c>
      <c r="I5128" s="58" t="s">
        <v>5941</v>
      </c>
      <c r="J5128" s="243" t="s">
        <v>5322</v>
      </c>
      <c r="K5128" s="63" t="s">
        <v>5077</v>
      </c>
      <c r="L5128" s="58" t="s">
        <v>5335</v>
      </c>
      <c r="M5128" s="94">
        <v>-39.24</v>
      </c>
      <c r="N5128" s="94">
        <v>175.61</v>
      </c>
      <c r="O5128" s="94">
        <v>1606</v>
      </c>
      <c r="P5128" s="58"/>
      <c r="Q5128" s="244">
        <v>13.8</v>
      </c>
      <c r="R5128" s="58"/>
      <c r="S5128" s="245">
        <v>1184</v>
      </c>
      <c r="T5128" s="58"/>
      <c r="U5128" s="58" t="s">
        <v>1816</v>
      </c>
      <c r="V5128" s="244">
        <v>8</v>
      </c>
      <c r="W5128" s="174"/>
      <c r="X5128" s="174"/>
      <c r="Y5128" s="58" t="s">
        <v>5965</v>
      </c>
      <c r="Z5128" s="244" t="s">
        <v>1350</v>
      </c>
      <c r="AA5128" s="245">
        <v>20</v>
      </c>
      <c r="AB5128" s="67"/>
      <c r="AC5128" s="67"/>
      <c r="AD5128" s="94"/>
      <c r="AE5128" s="94"/>
      <c r="AF5128" s="94"/>
      <c r="AG5128" s="245">
        <v>34</v>
      </c>
      <c r="AH5128" s="58" t="s">
        <v>1022</v>
      </c>
      <c r="AI5128" s="169"/>
      <c r="AJ5128" s="94"/>
      <c r="AK5128" s="94"/>
      <c r="AL5128" s="58"/>
      <c r="AM5128" s="58"/>
      <c r="AN5128" s="186"/>
      <c r="AO5128" s="185" t="s">
        <v>7494</v>
      </c>
      <c r="AP5128" s="58"/>
      <c r="AQ5128" s="58"/>
      <c r="AR5128" s="58"/>
      <c r="AS5128" s="246" t="s">
        <v>5133</v>
      </c>
      <c r="AT5128" s="247"/>
      <c r="AU5128" s="181" t="s">
        <v>7494</v>
      </c>
      <c r="AV5128" s="185" t="s">
        <v>176</v>
      </c>
      <c r="AW5128" s="244"/>
      <c r="AX5128" s="185" t="s">
        <v>176</v>
      </c>
      <c r="AY5128" s="244"/>
      <c r="AZ5128" s="58"/>
      <c r="BA5128" s="58"/>
      <c r="BB5128" s="58"/>
      <c r="BC5128" s="58"/>
      <c r="BD5128" s="58"/>
      <c r="BE5128" s="236" t="s">
        <v>5153</v>
      </c>
      <c r="BF5128" s="191" t="s">
        <v>176</v>
      </c>
      <c r="BG5128" s="191" t="s">
        <v>176</v>
      </c>
      <c r="BH5128" s="236" t="s">
        <v>5153</v>
      </c>
      <c r="BI5128" s="191" t="s">
        <v>176</v>
      </c>
      <c r="BJ5128" s="58" t="str">
        <f>IF(BE5128=BH5128,"No","yes")</f>
        <v>No</v>
      </c>
      <c r="BK5128" s="58" t="s">
        <v>6334</v>
      </c>
      <c r="BL5128" s="58"/>
      <c r="BM5128" s="237"/>
      <c r="BN5128" s="244">
        <v>6</v>
      </c>
      <c r="BO5128" s="244">
        <v>6</v>
      </c>
      <c r="BP5128" s="58"/>
      <c r="BQ5128" s="58"/>
      <c r="BR5128" s="58"/>
      <c r="BS5128" s="58"/>
      <c r="BT5128" s="58"/>
      <c r="BU5128" s="58"/>
      <c r="BV5128" s="58"/>
      <c r="BW5128" s="67"/>
      <c r="BX5128" s="67"/>
      <c r="BY5128" s="67"/>
      <c r="BZ5128" s="67"/>
      <c r="CA5128" s="67"/>
      <c r="CB5128" s="70"/>
      <c r="CC5128" s="70"/>
      <c r="CD5128" s="70"/>
      <c r="CE5128" s="67"/>
      <c r="CF5128" s="67"/>
      <c r="CG5128" s="67"/>
      <c r="CH5128" s="245"/>
      <c r="CI5128" s="245"/>
      <c r="CJ5128" s="67"/>
      <c r="CK5128" s="67"/>
      <c r="CL5128" s="67"/>
      <c r="CM5128" s="242"/>
      <c r="CN5128" s="242"/>
      <c r="CO5128" s="242"/>
      <c r="CP5128" s="242"/>
      <c r="CQ5128" s="242"/>
      <c r="CR5128" s="242"/>
      <c r="CS5128" s="242"/>
      <c r="CT5128" s="242"/>
      <c r="CU5128" s="242"/>
      <c r="CV5128" s="242"/>
      <c r="CW5128" s="242"/>
      <c r="CX5128" s="242"/>
      <c r="CY5128" s="242"/>
      <c r="CZ5128" s="242"/>
      <c r="DA5128" s="67"/>
      <c r="DB5128" s="67"/>
      <c r="DC5128" s="67"/>
      <c r="DD5128" s="67"/>
      <c r="DE5128" s="67"/>
      <c r="DF5128" s="67"/>
      <c r="DG5128" s="67"/>
      <c r="DH5128" s="67"/>
      <c r="DI5128" s="67"/>
      <c r="DJ5128" s="67"/>
      <c r="DK5128" s="67"/>
      <c r="DL5128" s="67"/>
      <c r="DM5128" s="67"/>
      <c r="DN5128" s="67"/>
      <c r="DO5128" s="67"/>
      <c r="DP5128" s="67"/>
      <c r="DQ5128" s="166"/>
      <c r="DR5128" s="166"/>
      <c r="DS5128" s="163"/>
      <c r="DT5128" s="163"/>
      <c r="DU5128" s="67"/>
      <c r="DV5128" s="67"/>
      <c r="DW5128" s="67"/>
      <c r="DX5128" s="67"/>
      <c r="DY5128" s="67"/>
      <c r="DZ5128" s="67"/>
      <c r="EA5128" s="67"/>
      <c r="EB5128" s="67"/>
      <c r="EC5128" s="67"/>
      <c r="ED5128" s="67"/>
      <c r="EE5128" s="67"/>
      <c r="EF5128" s="67"/>
      <c r="EG5128" s="67"/>
      <c r="EH5128" s="67"/>
      <c r="EI5128" s="67"/>
      <c r="EJ5128" s="67"/>
      <c r="EK5128" s="94"/>
      <c r="EL5128" s="94"/>
      <c r="EM5128" s="67"/>
      <c r="EN5128" s="67"/>
      <c r="EO5128" s="67"/>
      <c r="EP5128" s="67"/>
      <c r="EQ5128" s="67"/>
      <c r="ER5128" s="67"/>
      <c r="ES5128" s="67"/>
      <c r="ET5128" s="67"/>
      <c r="EU5128" s="67">
        <v>2.75</v>
      </c>
      <c r="EV5128" s="67">
        <v>3.19</v>
      </c>
      <c r="EW5128" s="67"/>
      <c r="EX5128" s="67"/>
      <c r="EY5128" s="67" t="s">
        <v>2366</v>
      </c>
      <c r="EZ5128" s="67"/>
      <c r="FA5128" s="67"/>
      <c r="FB5128" s="67"/>
      <c r="FC5128" s="67"/>
      <c r="FD5128" s="67"/>
      <c r="FE5128" s="67"/>
      <c r="FF5128" s="67"/>
      <c r="FG5128" s="67"/>
      <c r="FH5128" s="67"/>
      <c r="FI5128" s="67"/>
      <c r="FJ5128" s="67"/>
      <c r="FK5128" s="67"/>
      <c r="FL5128" s="67"/>
      <c r="FM5128" s="67"/>
      <c r="FN5128" s="67"/>
      <c r="FO5128" s="67"/>
      <c r="FP5128" s="67"/>
      <c r="FQ5128" s="67"/>
      <c r="FR5128" s="67"/>
      <c r="FS5128" s="67"/>
      <c r="FT5128" s="67"/>
      <c r="FU5128" s="67"/>
      <c r="FV5128" s="67"/>
      <c r="FW5128" s="67"/>
      <c r="FX5128" s="67"/>
      <c r="FY5128" s="67"/>
      <c r="FZ5128" s="67"/>
      <c r="GA5128" s="67"/>
      <c r="GB5128" s="67"/>
      <c r="GC5128" s="67"/>
      <c r="GD5128" s="67"/>
      <c r="GE5128" s="67"/>
      <c r="GF5128" s="67"/>
      <c r="GG5128" s="67"/>
      <c r="GH5128" s="67"/>
      <c r="GI5128" s="67"/>
      <c r="GJ5128" s="67"/>
      <c r="GK5128" s="67"/>
      <c r="GL5128" s="67"/>
      <c r="GM5128" s="67"/>
      <c r="GN5128" s="292"/>
      <c r="GO5128" s="292"/>
      <c r="GP5128" s="292" t="s">
        <v>7494</v>
      </c>
      <c r="GQ5128" s="67"/>
      <c r="GR5128" s="67"/>
      <c r="GS5128" s="67"/>
      <c r="GT5128" s="67"/>
      <c r="GU5128" s="67"/>
      <c r="GV5128" s="67"/>
      <c r="GW5128" s="67"/>
      <c r="GX5128" s="67"/>
      <c r="GY5128" s="67"/>
      <c r="GZ5128" s="67"/>
      <c r="HA5128" s="67"/>
      <c r="HB5128" s="67"/>
      <c r="HC5128" s="67"/>
      <c r="HD5128" s="67"/>
      <c r="HE5128" s="67"/>
      <c r="HF5128" s="67"/>
      <c r="HG5128" s="67"/>
      <c r="HH5128" s="67"/>
      <c r="HI5128" s="67"/>
      <c r="HJ5128" s="67"/>
      <c r="HK5128" s="67"/>
      <c r="HL5128" s="67"/>
      <c r="HM5128" s="67"/>
      <c r="HN5128" s="67"/>
      <c r="HO5128" s="67"/>
      <c r="HP5128" s="67"/>
      <c r="HQ5128" s="67"/>
      <c r="HR5128" s="67"/>
      <c r="HS5128" s="67"/>
      <c r="HT5128" s="67"/>
      <c r="HU5128" s="67"/>
      <c r="HV5128" s="67"/>
      <c r="HW5128" s="67"/>
      <c r="HX5128" s="67"/>
      <c r="HY5128" s="67"/>
      <c r="HZ5128" s="67"/>
      <c r="IA5128" s="67"/>
      <c r="IB5128" s="67"/>
      <c r="IC5128" s="67"/>
      <c r="ID5128" s="67"/>
      <c r="IE5128" s="67"/>
      <c r="IF5128" s="67"/>
      <c r="IG5128" s="67"/>
      <c r="IH5128" s="67"/>
      <c r="II5128" s="67"/>
      <c r="IJ5128" s="67"/>
      <c r="IK5128" s="67"/>
      <c r="IL5128" s="67"/>
      <c r="IM5128" s="67"/>
      <c r="IN5128" s="67"/>
      <c r="IO5128" s="67"/>
      <c r="IP5128" s="67"/>
      <c r="IQ5128" s="67"/>
      <c r="IR5128" s="67"/>
      <c r="IS5128" s="67"/>
      <c r="IT5128" s="67"/>
      <c r="IU5128" s="67"/>
      <c r="IV5128" s="67"/>
      <c r="IW5128" s="67"/>
      <c r="IX5128" s="67"/>
      <c r="IY5128" s="67"/>
      <c r="IZ5128" s="67"/>
      <c r="JA5128" s="67"/>
      <c r="JB5128" s="67"/>
      <c r="JC5128" s="67"/>
      <c r="JD5128" s="67"/>
      <c r="JE5128" s="67"/>
      <c r="JF5128" s="67"/>
      <c r="JG5128" s="67"/>
      <c r="JH5128" s="67"/>
      <c r="JI5128" s="67"/>
      <c r="JJ5128" s="67"/>
      <c r="JK5128" s="67"/>
      <c r="JL5128" s="67"/>
      <c r="JM5128" s="67"/>
      <c r="JN5128" s="67"/>
      <c r="JO5128" s="67"/>
      <c r="JP5128" s="67"/>
      <c r="JQ5128" s="67"/>
      <c r="JR5128" s="67"/>
      <c r="JS5128" s="67"/>
      <c r="JT5128" s="67"/>
      <c r="JU5128" s="58"/>
      <c r="JV5128" s="58"/>
      <c r="JW5128" s="58"/>
    </row>
    <row r="5129" spans="1:283" s="23" customFormat="1" x14ac:dyDescent="0.25">
      <c r="A5129" s="55">
        <v>5128</v>
      </c>
      <c r="B5129" s="12" t="s">
        <v>7067</v>
      </c>
      <c r="C5129" s="156">
        <v>268</v>
      </c>
      <c r="D5129" s="58" t="s">
        <v>5031</v>
      </c>
      <c r="E5129" s="160" t="str">
        <f>G5129</f>
        <v>Reganold et al 1993_sheep</v>
      </c>
      <c r="F5129" s="160"/>
      <c r="G5129" s="60" t="s">
        <v>4693</v>
      </c>
      <c r="H5129" s="58">
        <v>1993</v>
      </c>
      <c r="I5129" s="58" t="s">
        <v>5941</v>
      </c>
      <c r="J5129" s="243" t="s">
        <v>5322</v>
      </c>
      <c r="K5129" s="63" t="s">
        <v>5077</v>
      </c>
      <c r="L5129" s="58" t="s">
        <v>5335</v>
      </c>
      <c r="M5129" s="94">
        <v>-39.24</v>
      </c>
      <c r="N5129" s="94">
        <v>175.61</v>
      </c>
      <c r="O5129" s="94">
        <v>1606</v>
      </c>
      <c r="P5129" s="58"/>
      <c r="Q5129" s="244">
        <v>13.8</v>
      </c>
      <c r="R5129" s="58"/>
      <c r="S5129" s="245">
        <v>1184</v>
      </c>
      <c r="T5129" s="58"/>
      <c r="U5129" s="58" t="s">
        <v>1816</v>
      </c>
      <c r="V5129" s="244">
        <v>8</v>
      </c>
      <c r="W5129" s="174"/>
      <c r="X5129" s="174"/>
      <c r="Y5129" s="58" t="s">
        <v>5965</v>
      </c>
      <c r="Z5129" s="244" t="s">
        <v>1350</v>
      </c>
      <c r="AA5129" s="245">
        <v>20</v>
      </c>
      <c r="AB5129" s="67"/>
      <c r="AC5129" s="67"/>
      <c r="AD5129" s="94"/>
      <c r="AE5129" s="94"/>
      <c r="AF5129" s="94"/>
      <c r="AG5129" s="245">
        <v>10</v>
      </c>
      <c r="AH5129" s="58" t="s">
        <v>238</v>
      </c>
      <c r="AI5129" s="169"/>
      <c r="AJ5129" s="94"/>
      <c r="AK5129" s="94"/>
      <c r="AL5129" s="58"/>
      <c r="AM5129" s="58"/>
      <c r="AN5129" s="186"/>
      <c r="AO5129" s="185" t="s">
        <v>7494</v>
      </c>
      <c r="AP5129" s="58"/>
      <c r="AQ5129" s="58"/>
      <c r="AR5129" s="58" t="s">
        <v>5134</v>
      </c>
      <c r="AS5129" s="246" t="s">
        <v>5529</v>
      </c>
      <c r="AT5129" s="247"/>
      <c r="AU5129" s="181" t="s">
        <v>7494</v>
      </c>
      <c r="AV5129" s="185" t="s">
        <v>176</v>
      </c>
      <c r="AW5129" s="244"/>
      <c r="AX5129" s="185" t="s">
        <v>176</v>
      </c>
      <c r="AY5129" s="244"/>
      <c r="AZ5129" s="58"/>
      <c r="BA5129" s="58"/>
      <c r="BB5129" s="58"/>
      <c r="BC5129" s="58"/>
      <c r="BD5129" s="58"/>
      <c r="BE5129" s="236" t="s">
        <v>5155</v>
      </c>
      <c r="BF5129" s="191" t="s">
        <v>176</v>
      </c>
      <c r="BG5129" s="191" t="s">
        <v>479</v>
      </c>
      <c r="BH5129" s="236" t="s">
        <v>5155</v>
      </c>
      <c r="BI5129" s="191" t="s">
        <v>479</v>
      </c>
      <c r="BJ5129" s="58" t="str">
        <f>IF(BE5129=BH5129,"No","yes")</f>
        <v>No</v>
      </c>
      <c r="BK5129" s="58" t="s">
        <v>6334</v>
      </c>
      <c r="BL5129" s="58"/>
      <c r="BM5129" s="237"/>
      <c r="BN5129" s="244">
        <v>6</v>
      </c>
      <c r="BO5129" s="244">
        <v>6</v>
      </c>
      <c r="BP5129" s="58"/>
      <c r="BQ5129" s="58"/>
      <c r="BR5129" s="58"/>
      <c r="BS5129" s="58"/>
      <c r="BT5129" s="58"/>
      <c r="BU5129" s="58"/>
      <c r="BV5129" s="58"/>
      <c r="BW5129" s="67"/>
      <c r="BX5129" s="67"/>
      <c r="BY5129" s="67"/>
      <c r="BZ5129" s="67"/>
      <c r="CA5129" s="67"/>
      <c r="CB5129" s="70"/>
      <c r="CC5129" s="70"/>
      <c r="CD5129" s="70"/>
      <c r="CE5129" s="67"/>
      <c r="CF5129" s="67"/>
      <c r="CG5129" s="67"/>
      <c r="CH5129" s="245"/>
      <c r="CI5129" s="245"/>
      <c r="CJ5129" s="67"/>
      <c r="CK5129" s="67"/>
      <c r="CL5129" s="67"/>
      <c r="CM5129" s="242"/>
      <c r="CN5129" s="242"/>
      <c r="CO5129" s="242"/>
      <c r="CP5129" s="242"/>
      <c r="CQ5129" s="242"/>
      <c r="CR5129" s="242"/>
      <c r="CS5129" s="242"/>
      <c r="CT5129" s="242"/>
      <c r="CU5129" s="242"/>
      <c r="CV5129" s="242"/>
      <c r="CW5129" s="242"/>
      <c r="CX5129" s="242"/>
      <c r="CY5129" s="242"/>
      <c r="CZ5129" s="242"/>
      <c r="DA5129" s="67"/>
      <c r="DB5129" s="67"/>
      <c r="DC5129" s="67"/>
      <c r="DD5129" s="67"/>
      <c r="DE5129" s="67"/>
      <c r="DF5129" s="67"/>
      <c r="DG5129" s="67"/>
      <c r="DH5129" s="67"/>
      <c r="DI5129" s="67"/>
      <c r="DJ5129" s="67"/>
      <c r="DK5129" s="67"/>
      <c r="DL5129" s="67"/>
      <c r="DM5129" s="67"/>
      <c r="DN5129" s="67"/>
      <c r="DO5129" s="67"/>
      <c r="DP5129" s="67"/>
      <c r="DQ5129" s="166"/>
      <c r="DR5129" s="166"/>
      <c r="DS5129" s="163"/>
      <c r="DT5129" s="163"/>
      <c r="DU5129" s="67"/>
      <c r="DV5129" s="67"/>
      <c r="DW5129" s="67"/>
      <c r="DX5129" s="67"/>
      <c r="DY5129" s="67"/>
      <c r="DZ5129" s="67"/>
      <c r="EA5129" s="67"/>
      <c r="EB5129" s="67"/>
      <c r="EC5129" s="67"/>
      <c r="ED5129" s="67"/>
      <c r="EE5129" s="67"/>
      <c r="EF5129" s="67"/>
      <c r="EG5129" s="67"/>
      <c r="EH5129" s="67"/>
      <c r="EI5129" s="67"/>
      <c r="EJ5129" s="67"/>
      <c r="EK5129" s="94"/>
      <c r="EL5129" s="94"/>
      <c r="EM5129" s="67"/>
      <c r="EN5129" s="67"/>
      <c r="EO5129" s="67"/>
      <c r="EP5129" s="67"/>
      <c r="EQ5129" s="67"/>
      <c r="ER5129" s="67"/>
      <c r="ES5129" s="67"/>
      <c r="ET5129" s="67"/>
      <c r="EU5129" s="67">
        <v>3.92</v>
      </c>
      <c r="EV5129" s="67">
        <v>3.47</v>
      </c>
      <c r="EW5129" s="67"/>
      <c r="EX5129" s="67"/>
      <c r="EY5129" s="67" t="s">
        <v>2366</v>
      </c>
      <c r="EZ5129" s="67"/>
      <c r="FA5129" s="67"/>
      <c r="FB5129" s="67"/>
      <c r="FC5129" s="67"/>
      <c r="FD5129" s="67"/>
      <c r="FE5129" s="67"/>
      <c r="FF5129" s="67"/>
      <c r="FG5129" s="67"/>
      <c r="FH5129" s="67"/>
      <c r="FI5129" s="67"/>
      <c r="FJ5129" s="67"/>
      <c r="FK5129" s="67"/>
      <c r="FL5129" s="67"/>
      <c r="FM5129" s="67"/>
      <c r="FN5129" s="67"/>
      <c r="FO5129" s="67"/>
      <c r="FP5129" s="67"/>
      <c r="FQ5129" s="67"/>
      <c r="FR5129" s="67"/>
      <c r="FS5129" s="67"/>
      <c r="FT5129" s="67"/>
      <c r="FU5129" s="67"/>
      <c r="FV5129" s="67"/>
      <c r="FW5129" s="67"/>
      <c r="FX5129" s="67"/>
      <c r="FY5129" s="67"/>
      <c r="FZ5129" s="67"/>
      <c r="GA5129" s="67"/>
      <c r="GB5129" s="67"/>
      <c r="GC5129" s="67"/>
      <c r="GD5129" s="67"/>
      <c r="GE5129" s="67"/>
      <c r="GF5129" s="67"/>
      <c r="GG5129" s="67"/>
      <c r="GH5129" s="67"/>
      <c r="GI5129" s="67"/>
      <c r="GJ5129" s="67"/>
      <c r="GK5129" s="67"/>
      <c r="GL5129" s="67"/>
      <c r="GM5129" s="67"/>
      <c r="GN5129" s="292"/>
      <c r="GO5129" s="292"/>
      <c r="GP5129" s="292" t="s">
        <v>7494</v>
      </c>
      <c r="GQ5129" s="67"/>
      <c r="GR5129" s="67"/>
      <c r="GS5129" s="67"/>
      <c r="GT5129" s="67"/>
      <c r="GU5129" s="67"/>
      <c r="GV5129" s="67"/>
      <c r="GW5129" s="67"/>
      <c r="GX5129" s="67"/>
      <c r="GY5129" s="67"/>
      <c r="GZ5129" s="67"/>
      <c r="HA5129" s="67"/>
      <c r="HB5129" s="67"/>
      <c r="HC5129" s="67"/>
      <c r="HD5129" s="67"/>
      <c r="HE5129" s="67"/>
      <c r="HF5129" s="67"/>
      <c r="HG5129" s="67"/>
      <c r="HH5129" s="67"/>
      <c r="HI5129" s="67"/>
      <c r="HJ5129" s="67"/>
      <c r="HK5129" s="67"/>
      <c r="HL5129" s="67"/>
      <c r="HM5129" s="67"/>
      <c r="HN5129" s="67"/>
      <c r="HO5129" s="67"/>
      <c r="HP5129" s="67"/>
      <c r="HQ5129" s="67"/>
      <c r="HR5129" s="67"/>
      <c r="HS5129" s="67"/>
      <c r="HT5129" s="67"/>
      <c r="HU5129" s="67"/>
      <c r="HV5129" s="67"/>
      <c r="HW5129" s="67"/>
      <c r="HX5129" s="67"/>
      <c r="HY5129" s="67"/>
      <c r="HZ5129" s="67"/>
      <c r="IA5129" s="67"/>
      <c r="IB5129" s="67"/>
      <c r="IC5129" s="67"/>
      <c r="ID5129" s="67"/>
      <c r="IE5129" s="67"/>
      <c r="IF5129" s="67"/>
      <c r="IG5129" s="67"/>
      <c r="IH5129" s="67"/>
      <c r="II5129" s="67"/>
      <c r="IJ5129" s="67"/>
      <c r="IK5129" s="67"/>
      <c r="IL5129" s="67"/>
      <c r="IM5129" s="67"/>
      <c r="IN5129" s="67"/>
      <c r="IO5129" s="67"/>
      <c r="IP5129" s="67"/>
      <c r="IQ5129" s="67"/>
      <c r="IR5129" s="67"/>
      <c r="IS5129" s="67"/>
      <c r="IT5129" s="67"/>
      <c r="IU5129" s="67"/>
      <c r="IV5129" s="67"/>
      <c r="IW5129" s="67"/>
      <c r="IX5129" s="67"/>
      <c r="IY5129" s="67"/>
      <c r="IZ5129" s="67"/>
      <c r="JA5129" s="67"/>
      <c r="JB5129" s="67"/>
      <c r="JC5129" s="67"/>
      <c r="JD5129" s="67"/>
      <c r="JE5129" s="67"/>
      <c r="JF5129" s="67"/>
      <c r="JG5129" s="67"/>
      <c r="JH5129" s="67"/>
      <c r="JI5129" s="67"/>
      <c r="JJ5129" s="67"/>
      <c r="JK5129" s="67"/>
      <c r="JL5129" s="67"/>
      <c r="JM5129" s="67"/>
      <c r="JN5129" s="67"/>
      <c r="JO5129" s="67"/>
      <c r="JP5129" s="67"/>
      <c r="JQ5129" s="67"/>
      <c r="JR5129" s="67"/>
      <c r="JS5129" s="67"/>
      <c r="JT5129" s="67"/>
      <c r="JU5129" s="58"/>
      <c r="JV5129" s="58"/>
      <c r="JW5129" s="58"/>
    </row>
    <row r="5130" spans="1:283" s="23" customFormat="1" x14ac:dyDescent="0.25">
      <c r="A5130" s="55">
        <v>5129</v>
      </c>
      <c r="B5130" s="12" t="s">
        <v>7067</v>
      </c>
      <c r="C5130" s="156">
        <v>268</v>
      </c>
      <c r="D5130" s="58" t="s">
        <v>5026</v>
      </c>
      <c r="E5130" s="160" t="str">
        <f>G5130</f>
        <v>Reganold et al 1993_dairy_clay loam</v>
      </c>
      <c r="F5130" s="160"/>
      <c r="G5130" s="60" t="s">
        <v>4698</v>
      </c>
      <c r="H5130" s="58">
        <v>1993</v>
      </c>
      <c r="I5130" s="58" t="s">
        <v>5941</v>
      </c>
      <c r="J5130" s="243" t="s">
        <v>5322</v>
      </c>
      <c r="K5130" s="63" t="s">
        <v>5077</v>
      </c>
      <c r="L5130" s="58" t="s">
        <v>5335</v>
      </c>
      <c r="M5130" s="94">
        <v>-39.24</v>
      </c>
      <c r="N5130" s="94">
        <v>175.61</v>
      </c>
      <c r="O5130" s="94">
        <v>1606</v>
      </c>
      <c r="P5130" s="58"/>
      <c r="Q5130" s="244">
        <v>13.8</v>
      </c>
      <c r="R5130" s="58"/>
      <c r="S5130" s="245">
        <v>1184</v>
      </c>
      <c r="T5130" s="58"/>
      <c r="U5130" s="58" t="s">
        <v>1816</v>
      </c>
      <c r="V5130" s="244">
        <v>8</v>
      </c>
      <c r="W5130" s="174"/>
      <c r="X5130" s="174"/>
      <c r="Y5130" s="58" t="s">
        <v>5965</v>
      </c>
      <c r="Z5130" s="244" t="s">
        <v>1350</v>
      </c>
      <c r="AA5130" s="245">
        <v>20</v>
      </c>
      <c r="AB5130" s="67"/>
      <c r="AC5130" s="67"/>
      <c r="AD5130" s="94"/>
      <c r="AE5130" s="94"/>
      <c r="AF5130" s="94"/>
      <c r="AG5130" s="245">
        <v>35</v>
      </c>
      <c r="AH5130" s="58" t="s">
        <v>645</v>
      </c>
      <c r="AI5130" s="169"/>
      <c r="AJ5130" s="94"/>
      <c r="AK5130" s="94"/>
      <c r="AL5130" s="58"/>
      <c r="AM5130" s="58"/>
      <c r="AN5130" s="186"/>
      <c r="AO5130" s="185" t="s">
        <v>7494</v>
      </c>
      <c r="AP5130" s="58"/>
      <c r="AQ5130" s="58"/>
      <c r="AR5130" s="58" t="s">
        <v>5134</v>
      </c>
      <c r="AS5130" s="246" t="s">
        <v>5529</v>
      </c>
      <c r="AT5130" s="247"/>
      <c r="AU5130" s="181" t="s">
        <v>7494</v>
      </c>
      <c r="AV5130" s="185" t="s">
        <v>176</v>
      </c>
      <c r="AW5130" s="244"/>
      <c r="AX5130" s="185" t="s">
        <v>176</v>
      </c>
      <c r="AY5130" s="244"/>
      <c r="AZ5130" s="58"/>
      <c r="BA5130" s="58"/>
      <c r="BB5130" s="58"/>
      <c r="BC5130" s="58"/>
      <c r="BD5130" s="58"/>
      <c r="BE5130" s="236" t="s">
        <v>5153</v>
      </c>
      <c r="BF5130" s="191" t="s">
        <v>176</v>
      </c>
      <c r="BG5130" s="191" t="s">
        <v>176</v>
      </c>
      <c r="BH5130" s="236" t="s">
        <v>5153</v>
      </c>
      <c r="BI5130" s="191" t="s">
        <v>176</v>
      </c>
      <c r="BJ5130" s="58" t="str">
        <f>IF(BE5130=BH5130,"No","yes")</f>
        <v>No</v>
      </c>
      <c r="BK5130" s="58" t="s">
        <v>6334</v>
      </c>
      <c r="BL5130" s="58"/>
      <c r="BM5130" s="237"/>
      <c r="BN5130" s="244">
        <v>6</v>
      </c>
      <c r="BO5130" s="244">
        <v>6</v>
      </c>
      <c r="BP5130" s="58"/>
      <c r="BQ5130" s="58"/>
      <c r="BR5130" s="58"/>
      <c r="BS5130" s="58"/>
      <c r="BT5130" s="58"/>
      <c r="BU5130" s="58"/>
      <c r="BV5130" s="58"/>
      <c r="BW5130" s="67"/>
      <c r="BX5130" s="67"/>
      <c r="BY5130" s="67"/>
      <c r="BZ5130" s="67"/>
      <c r="CA5130" s="67"/>
      <c r="CB5130" s="70"/>
      <c r="CC5130" s="70"/>
      <c r="CD5130" s="70"/>
      <c r="CE5130" s="67"/>
      <c r="CF5130" s="67"/>
      <c r="CG5130" s="67"/>
      <c r="CH5130" s="245"/>
      <c r="CI5130" s="245"/>
      <c r="CJ5130" s="67"/>
      <c r="CK5130" s="67"/>
      <c r="CL5130" s="67"/>
      <c r="CM5130" s="242"/>
      <c r="CN5130" s="242"/>
      <c r="CO5130" s="242"/>
      <c r="CP5130" s="242"/>
      <c r="CQ5130" s="242"/>
      <c r="CR5130" s="242"/>
      <c r="CS5130" s="242"/>
      <c r="CT5130" s="242"/>
      <c r="CU5130" s="242"/>
      <c r="CV5130" s="242"/>
      <c r="CW5130" s="242"/>
      <c r="CX5130" s="242"/>
      <c r="CY5130" s="242"/>
      <c r="CZ5130" s="242"/>
      <c r="DA5130" s="67"/>
      <c r="DB5130" s="67"/>
      <c r="DC5130" s="67"/>
      <c r="DD5130" s="67"/>
      <c r="DE5130" s="67"/>
      <c r="DF5130" s="67"/>
      <c r="DG5130" s="67"/>
      <c r="DH5130" s="67"/>
      <c r="DI5130" s="67"/>
      <c r="DJ5130" s="67"/>
      <c r="DK5130" s="67"/>
      <c r="DL5130" s="67"/>
      <c r="DM5130" s="67"/>
      <c r="DN5130" s="67"/>
      <c r="DO5130" s="67"/>
      <c r="DP5130" s="67"/>
      <c r="DQ5130" s="166"/>
      <c r="DR5130" s="166"/>
      <c r="DS5130" s="163"/>
      <c r="DT5130" s="163"/>
      <c r="DU5130" s="67"/>
      <c r="DV5130" s="67"/>
      <c r="DW5130" s="67"/>
      <c r="DX5130" s="67"/>
      <c r="DY5130" s="67"/>
      <c r="DZ5130" s="67"/>
      <c r="EA5130" s="67"/>
      <c r="EB5130" s="67"/>
      <c r="EC5130" s="67"/>
      <c r="ED5130" s="67"/>
      <c r="EE5130" s="67"/>
      <c r="EF5130" s="67"/>
      <c r="EG5130" s="67"/>
      <c r="EH5130" s="67"/>
      <c r="EI5130" s="67"/>
      <c r="EJ5130" s="67"/>
      <c r="EK5130" s="94"/>
      <c r="EL5130" s="94"/>
      <c r="EM5130" s="67"/>
      <c r="EN5130" s="67"/>
      <c r="EO5130" s="67"/>
      <c r="EP5130" s="67"/>
      <c r="EQ5130" s="67"/>
      <c r="ER5130" s="67"/>
      <c r="ES5130" s="67"/>
      <c r="ET5130" s="67"/>
      <c r="EU5130" s="67">
        <v>4.96</v>
      </c>
      <c r="EV5130" s="67">
        <v>5.31</v>
      </c>
      <c r="EW5130" s="67"/>
      <c r="EX5130" s="67"/>
      <c r="EY5130" s="67" t="s">
        <v>2366</v>
      </c>
      <c r="EZ5130" s="67"/>
      <c r="FA5130" s="67"/>
      <c r="FB5130" s="67"/>
      <c r="FC5130" s="67"/>
      <c r="FD5130" s="67"/>
      <c r="FE5130" s="67"/>
      <c r="FF5130" s="67"/>
      <c r="FG5130" s="67"/>
      <c r="FH5130" s="67"/>
      <c r="FI5130" s="67"/>
      <c r="FJ5130" s="67"/>
      <c r="FK5130" s="67"/>
      <c r="FL5130" s="67"/>
      <c r="FM5130" s="67"/>
      <c r="FN5130" s="67"/>
      <c r="FO5130" s="67"/>
      <c r="FP5130" s="67"/>
      <c r="FQ5130" s="67"/>
      <c r="FR5130" s="67"/>
      <c r="FS5130" s="67"/>
      <c r="FT5130" s="67"/>
      <c r="FU5130" s="67"/>
      <c r="FV5130" s="67"/>
      <c r="FW5130" s="67"/>
      <c r="FX5130" s="67"/>
      <c r="FY5130" s="67"/>
      <c r="FZ5130" s="67"/>
      <c r="GA5130" s="67"/>
      <c r="GB5130" s="67"/>
      <c r="GC5130" s="67"/>
      <c r="GD5130" s="67"/>
      <c r="GE5130" s="67"/>
      <c r="GF5130" s="67"/>
      <c r="GG5130" s="67"/>
      <c r="GH5130" s="67"/>
      <c r="GI5130" s="67"/>
      <c r="GJ5130" s="67"/>
      <c r="GK5130" s="67"/>
      <c r="GL5130" s="67"/>
      <c r="GM5130" s="67"/>
      <c r="GN5130" s="292"/>
      <c r="GO5130" s="292"/>
      <c r="GP5130" s="292" t="s">
        <v>7494</v>
      </c>
      <c r="GQ5130" s="67"/>
      <c r="GR5130" s="67"/>
      <c r="GS5130" s="67"/>
      <c r="GT5130" s="67"/>
      <c r="GU5130" s="67"/>
      <c r="GV5130" s="67"/>
      <c r="GW5130" s="67"/>
      <c r="GX5130" s="67"/>
      <c r="GY5130" s="67"/>
      <c r="GZ5130" s="67"/>
      <c r="HA5130" s="67"/>
      <c r="HB5130" s="67"/>
      <c r="HC5130" s="67"/>
      <c r="HD5130" s="67"/>
      <c r="HE5130" s="67"/>
      <c r="HF5130" s="67"/>
      <c r="HG5130" s="67"/>
      <c r="HH5130" s="67"/>
      <c r="HI5130" s="67"/>
      <c r="HJ5130" s="67"/>
      <c r="HK5130" s="67"/>
      <c r="HL5130" s="67"/>
      <c r="HM5130" s="67"/>
      <c r="HN5130" s="67"/>
      <c r="HO5130" s="67"/>
      <c r="HP5130" s="67"/>
      <c r="HQ5130" s="67"/>
      <c r="HR5130" s="67"/>
      <c r="HS5130" s="67"/>
      <c r="HT5130" s="67"/>
      <c r="HU5130" s="67"/>
      <c r="HV5130" s="67"/>
      <c r="HW5130" s="67"/>
      <c r="HX5130" s="67"/>
      <c r="HY5130" s="67"/>
      <c r="HZ5130" s="67"/>
      <c r="IA5130" s="67"/>
      <c r="IB5130" s="67"/>
      <c r="IC5130" s="67"/>
      <c r="ID5130" s="67"/>
      <c r="IE5130" s="67"/>
      <c r="IF5130" s="67"/>
      <c r="IG5130" s="67"/>
      <c r="IH5130" s="67"/>
      <c r="II5130" s="67"/>
      <c r="IJ5130" s="67"/>
      <c r="IK5130" s="67"/>
      <c r="IL5130" s="67"/>
      <c r="IM5130" s="67"/>
      <c r="IN5130" s="67"/>
      <c r="IO5130" s="67"/>
      <c r="IP5130" s="67"/>
      <c r="IQ5130" s="67"/>
      <c r="IR5130" s="67"/>
      <c r="IS5130" s="67"/>
      <c r="IT5130" s="67"/>
      <c r="IU5130" s="67"/>
      <c r="IV5130" s="67"/>
      <c r="IW5130" s="67"/>
      <c r="IX5130" s="67"/>
      <c r="IY5130" s="67"/>
      <c r="IZ5130" s="67"/>
      <c r="JA5130" s="67"/>
      <c r="JB5130" s="67"/>
      <c r="JC5130" s="67"/>
      <c r="JD5130" s="67"/>
      <c r="JE5130" s="67"/>
      <c r="JF5130" s="67"/>
      <c r="JG5130" s="67"/>
      <c r="JH5130" s="67"/>
      <c r="JI5130" s="67"/>
      <c r="JJ5130" s="67"/>
      <c r="JK5130" s="67"/>
      <c r="JL5130" s="67"/>
      <c r="JM5130" s="67"/>
      <c r="JN5130" s="67"/>
      <c r="JO5130" s="67"/>
      <c r="JP5130" s="67"/>
      <c r="JQ5130" s="67"/>
      <c r="JR5130" s="67"/>
      <c r="JS5130" s="67"/>
      <c r="JT5130" s="67"/>
      <c r="JU5130" s="58"/>
      <c r="JV5130" s="58"/>
      <c r="JW5130" s="58"/>
    </row>
    <row r="5131" spans="1:283" s="23" customFormat="1" x14ac:dyDescent="0.25">
      <c r="A5131" s="55">
        <v>5130</v>
      </c>
      <c r="B5131" s="12" t="s">
        <v>7067</v>
      </c>
      <c r="C5131" s="156">
        <v>268</v>
      </c>
      <c r="D5131" s="58" t="s">
        <v>5027</v>
      </c>
      <c r="E5131" s="160" t="str">
        <f>G5131</f>
        <v>Reganold et al 1993_dairy_sandy loam</v>
      </c>
      <c r="F5131" s="160"/>
      <c r="G5131" s="60" t="s">
        <v>4697</v>
      </c>
      <c r="H5131" s="58">
        <v>1993</v>
      </c>
      <c r="I5131" s="58" t="s">
        <v>5941</v>
      </c>
      <c r="J5131" s="243" t="s">
        <v>5322</v>
      </c>
      <c r="K5131" s="63" t="s">
        <v>5077</v>
      </c>
      <c r="L5131" s="58" t="s">
        <v>5335</v>
      </c>
      <c r="M5131" s="94">
        <v>-39.24</v>
      </c>
      <c r="N5131" s="94">
        <v>175.61</v>
      </c>
      <c r="O5131" s="94">
        <v>1606</v>
      </c>
      <c r="P5131" s="58"/>
      <c r="Q5131" s="244">
        <v>13.8</v>
      </c>
      <c r="R5131" s="58"/>
      <c r="S5131" s="245">
        <v>1184</v>
      </c>
      <c r="T5131" s="58"/>
      <c r="U5131" s="58" t="s">
        <v>1816</v>
      </c>
      <c r="V5131" s="244">
        <v>8</v>
      </c>
      <c r="W5131" s="174"/>
      <c r="X5131" s="174"/>
      <c r="Y5131" s="58" t="s">
        <v>5965</v>
      </c>
      <c r="Z5131" s="244" t="s">
        <v>1350</v>
      </c>
      <c r="AA5131" s="245">
        <v>20</v>
      </c>
      <c r="AB5131" s="67"/>
      <c r="AC5131" s="67"/>
      <c r="AD5131" s="94"/>
      <c r="AE5131" s="94"/>
      <c r="AF5131" s="94"/>
      <c r="AG5131" s="245">
        <v>15</v>
      </c>
      <c r="AH5131" s="58" t="s">
        <v>238</v>
      </c>
      <c r="AI5131" s="169"/>
      <c r="AJ5131" s="94"/>
      <c r="AK5131" s="94"/>
      <c r="AL5131" s="58"/>
      <c r="AM5131" s="58"/>
      <c r="AN5131" s="186"/>
      <c r="AO5131" s="185" t="s">
        <v>7494</v>
      </c>
      <c r="AP5131" s="58"/>
      <c r="AQ5131" s="58"/>
      <c r="AR5131" s="58" t="s">
        <v>5134</v>
      </c>
      <c r="AS5131" s="246" t="s">
        <v>5529</v>
      </c>
      <c r="AT5131" s="247"/>
      <c r="AU5131" s="181" t="s">
        <v>7494</v>
      </c>
      <c r="AV5131" s="185" t="s">
        <v>176</v>
      </c>
      <c r="AW5131" s="244"/>
      <c r="AX5131" s="185" t="s">
        <v>176</v>
      </c>
      <c r="AY5131" s="244"/>
      <c r="AZ5131" s="58"/>
      <c r="BA5131" s="58"/>
      <c r="BB5131" s="58"/>
      <c r="BC5131" s="58"/>
      <c r="BD5131" s="58"/>
      <c r="BE5131" s="236" t="s">
        <v>5153</v>
      </c>
      <c r="BF5131" s="191" t="s">
        <v>176</v>
      </c>
      <c r="BG5131" s="191" t="s">
        <v>176</v>
      </c>
      <c r="BH5131" s="236" t="s">
        <v>5153</v>
      </c>
      <c r="BI5131" s="191" t="s">
        <v>176</v>
      </c>
      <c r="BJ5131" s="58" t="str">
        <f>IF(BE5131=BH5131,"No","yes")</f>
        <v>No</v>
      </c>
      <c r="BK5131" s="58" t="s">
        <v>6334</v>
      </c>
      <c r="BL5131" s="58"/>
      <c r="BM5131" s="237"/>
      <c r="BN5131" s="244">
        <v>12</v>
      </c>
      <c r="BO5131" s="244">
        <v>12</v>
      </c>
      <c r="BP5131" s="58"/>
      <c r="BQ5131" s="58"/>
      <c r="BR5131" s="58"/>
      <c r="BS5131" s="58"/>
      <c r="BT5131" s="58"/>
      <c r="BU5131" s="58"/>
      <c r="BV5131" s="58"/>
      <c r="BW5131" s="67"/>
      <c r="BX5131" s="67"/>
      <c r="BY5131" s="67"/>
      <c r="BZ5131" s="67"/>
      <c r="CA5131" s="67"/>
      <c r="CB5131" s="70"/>
      <c r="CC5131" s="70"/>
      <c r="CD5131" s="70"/>
      <c r="CE5131" s="67"/>
      <c r="CF5131" s="67"/>
      <c r="CG5131" s="67"/>
      <c r="CH5131" s="245"/>
      <c r="CI5131" s="245"/>
      <c r="CJ5131" s="67"/>
      <c r="CK5131" s="67"/>
      <c r="CL5131" s="67"/>
      <c r="CM5131" s="242"/>
      <c r="CN5131" s="242"/>
      <c r="CO5131" s="242"/>
      <c r="CP5131" s="242"/>
      <c r="CQ5131" s="242"/>
      <c r="CR5131" s="242"/>
      <c r="CS5131" s="242"/>
      <c r="CT5131" s="242"/>
      <c r="CU5131" s="242"/>
      <c r="CV5131" s="242"/>
      <c r="CW5131" s="242"/>
      <c r="CX5131" s="242"/>
      <c r="CY5131" s="242"/>
      <c r="CZ5131" s="242"/>
      <c r="DA5131" s="67"/>
      <c r="DB5131" s="67"/>
      <c r="DC5131" s="67"/>
      <c r="DD5131" s="67"/>
      <c r="DE5131" s="67"/>
      <c r="DF5131" s="67"/>
      <c r="DG5131" s="67"/>
      <c r="DH5131" s="67"/>
      <c r="DI5131" s="67"/>
      <c r="DJ5131" s="67"/>
      <c r="DK5131" s="67"/>
      <c r="DL5131" s="67"/>
      <c r="DM5131" s="67"/>
      <c r="DN5131" s="67"/>
      <c r="DO5131" s="67"/>
      <c r="DP5131" s="67"/>
      <c r="DQ5131" s="166"/>
      <c r="DR5131" s="166"/>
      <c r="DS5131" s="163"/>
      <c r="DT5131" s="163"/>
      <c r="DU5131" s="67"/>
      <c r="DV5131" s="67"/>
      <c r="DW5131" s="67"/>
      <c r="DX5131" s="67"/>
      <c r="DY5131" s="67"/>
      <c r="DZ5131" s="67"/>
      <c r="EA5131" s="67"/>
      <c r="EB5131" s="67"/>
      <c r="EC5131" s="67"/>
      <c r="ED5131" s="67"/>
      <c r="EE5131" s="67"/>
      <c r="EF5131" s="67"/>
      <c r="EG5131" s="67"/>
      <c r="EH5131" s="67"/>
      <c r="EI5131" s="67"/>
      <c r="EJ5131" s="67"/>
      <c r="EK5131" s="94"/>
      <c r="EL5131" s="94"/>
      <c r="EM5131" s="67"/>
      <c r="EN5131" s="67"/>
      <c r="EO5131" s="67"/>
      <c r="EP5131" s="67"/>
      <c r="EQ5131" s="67"/>
      <c r="ER5131" s="67"/>
      <c r="ES5131" s="67"/>
      <c r="ET5131" s="67"/>
      <c r="EU5131" s="67">
        <v>4.76</v>
      </c>
      <c r="EV5131" s="67">
        <v>4.07</v>
      </c>
      <c r="EW5131" s="67"/>
      <c r="EX5131" s="67"/>
      <c r="EY5131" s="67" t="s">
        <v>2366</v>
      </c>
      <c r="EZ5131" s="67"/>
      <c r="FA5131" s="67"/>
      <c r="FB5131" s="67"/>
      <c r="FC5131" s="67"/>
      <c r="FD5131" s="67"/>
      <c r="FE5131" s="67"/>
      <c r="FF5131" s="67"/>
      <c r="FG5131" s="67"/>
      <c r="FH5131" s="67"/>
      <c r="FI5131" s="67"/>
      <c r="FJ5131" s="67"/>
      <c r="FK5131" s="67"/>
      <c r="FL5131" s="67"/>
      <c r="FM5131" s="67"/>
      <c r="FN5131" s="67"/>
      <c r="FO5131" s="67"/>
      <c r="FP5131" s="67"/>
      <c r="FQ5131" s="67"/>
      <c r="FR5131" s="67"/>
      <c r="FS5131" s="67"/>
      <c r="FT5131" s="67"/>
      <c r="FU5131" s="67"/>
      <c r="FV5131" s="67"/>
      <c r="FW5131" s="67"/>
      <c r="FX5131" s="67"/>
      <c r="FY5131" s="67"/>
      <c r="FZ5131" s="67"/>
      <c r="GA5131" s="67"/>
      <c r="GB5131" s="67"/>
      <c r="GC5131" s="67"/>
      <c r="GD5131" s="67"/>
      <c r="GE5131" s="67"/>
      <c r="GF5131" s="67"/>
      <c r="GG5131" s="67"/>
      <c r="GH5131" s="67"/>
      <c r="GI5131" s="67"/>
      <c r="GJ5131" s="67"/>
      <c r="GK5131" s="67"/>
      <c r="GL5131" s="67"/>
      <c r="GM5131" s="67"/>
      <c r="GN5131" s="292"/>
      <c r="GO5131" s="292"/>
      <c r="GP5131" s="292" t="s">
        <v>7494</v>
      </c>
      <c r="GQ5131" s="67"/>
      <c r="GR5131" s="67"/>
      <c r="GS5131" s="67"/>
      <c r="GT5131" s="67"/>
      <c r="GU5131" s="67"/>
      <c r="GV5131" s="67"/>
      <c r="GW5131" s="67"/>
      <c r="GX5131" s="67"/>
      <c r="GY5131" s="67"/>
      <c r="GZ5131" s="67"/>
      <c r="HA5131" s="67"/>
      <c r="HB5131" s="67"/>
      <c r="HC5131" s="67"/>
      <c r="HD5131" s="67"/>
      <c r="HE5131" s="67"/>
      <c r="HF5131" s="67"/>
      <c r="HG5131" s="67"/>
      <c r="HH5131" s="67"/>
      <c r="HI5131" s="67"/>
      <c r="HJ5131" s="67"/>
      <c r="HK5131" s="67"/>
      <c r="HL5131" s="67"/>
      <c r="HM5131" s="67"/>
      <c r="HN5131" s="67"/>
      <c r="HO5131" s="67"/>
      <c r="HP5131" s="67"/>
      <c r="HQ5131" s="67"/>
      <c r="HR5131" s="67"/>
      <c r="HS5131" s="67"/>
      <c r="HT5131" s="67"/>
      <c r="HU5131" s="67"/>
      <c r="HV5131" s="67"/>
      <c r="HW5131" s="67"/>
      <c r="HX5131" s="67"/>
      <c r="HY5131" s="67"/>
      <c r="HZ5131" s="67"/>
      <c r="IA5131" s="67"/>
      <c r="IB5131" s="67"/>
      <c r="IC5131" s="67"/>
      <c r="ID5131" s="67"/>
      <c r="IE5131" s="67"/>
      <c r="IF5131" s="67"/>
      <c r="IG5131" s="67"/>
      <c r="IH5131" s="67"/>
      <c r="II5131" s="67"/>
      <c r="IJ5131" s="67"/>
      <c r="IK5131" s="67"/>
      <c r="IL5131" s="67"/>
      <c r="IM5131" s="67"/>
      <c r="IN5131" s="67"/>
      <c r="IO5131" s="67"/>
      <c r="IP5131" s="67"/>
      <c r="IQ5131" s="67"/>
      <c r="IR5131" s="67"/>
      <c r="IS5131" s="67"/>
      <c r="IT5131" s="67"/>
      <c r="IU5131" s="67"/>
      <c r="IV5131" s="67"/>
      <c r="IW5131" s="67"/>
      <c r="IX5131" s="67"/>
      <c r="IY5131" s="67"/>
      <c r="IZ5131" s="67"/>
      <c r="JA5131" s="67"/>
      <c r="JB5131" s="67"/>
      <c r="JC5131" s="67"/>
      <c r="JD5131" s="67"/>
      <c r="JE5131" s="67"/>
      <c r="JF5131" s="67"/>
      <c r="JG5131" s="67"/>
      <c r="JH5131" s="67"/>
      <c r="JI5131" s="67"/>
      <c r="JJ5131" s="67"/>
      <c r="JK5131" s="67"/>
      <c r="JL5131" s="67"/>
      <c r="JM5131" s="67"/>
      <c r="JN5131" s="67"/>
      <c r="JO5131" s="67"/>
      <c r="JP5131" s="67"/>
      <c r="JQ5131" s="67"/>
      <c r="JR5131" s="67"/>
      <c r="JS5131" s="67"/>
      <c r="JT5131" s="67"/>
      <c r="JU5131" s="58"/>
      <c r="JV5131" s="58"/>
      <c r="JW5131" s="58"/>
    </row>
    <row r="5132" spans="1:283" s="23" customFormat="1" x14ac:dyDescent="0.25">
      <c r="A5132" s="55">
        <v>5131</v>
      </c>
      <c r="B5132" s="12" t="s">
        <v>7067</v>
      </c>
      <c r="C5132" s="156">
        <v>269</v>
      </c>
      <c r="D5132" s="58" t="s">
        <v>5032</v>
      </c>
      <c r="E5132" s="160" t="str">
        <f>G5132</f>
        <v>Reganold et al. 2010_topsoil</v>
      </c>
      <c r="F5132" s="160"/>
      <c r="G5132" s="60" t="s">
        <v>4691</v>
      </c>
      <c r="H5132" s="58">
        <v>2010</v>
      </c>
      <c r="I5132" s="58" t="s">
        <v>5483</v>
      </c>
      <c r="J5132" s="243" t="s">
        <v>5323</v>
      </c>
      <c r="K5132" s="63" t="s">
        <v>5076</v>
      </c>
      <c r="L5132" s="58" t="s">
        <v>2737</v>
      </c>
      <c r="M5132" s="94">
        <v>36.909999999999997</v>
      </c>
      <c r="N5132" s="94">
        <v>-121.76</v>
      </c>
      <c r="O5132" s="94">
        <v>8</v>
      </c>
      <c r="P5132" s="58"/>
      <c r="Q5132" s="244">
        <v>13.9</v>
      </c>
      <c r="R5132" s="58"/>
      <c r="S5132" s="245">
        <v>591</v>
      </c>
      <c r="T5132" s="58"/>
      <c r="U5132" s="58" t="s">
        <v>1682</v>
      </c>
      <c r="V5132" s="244">
        <v>5</v>
      </c>
      <c r="W5132" s="174"/>
      <c r="X5132" s="174"/>
      <c r="Y5132" s="58" t="s">
        <v>5407</v>
      </c>
      <c r="Z5132" s="244" t="s">
        <v>1355</v>
      </c>
      <c r="AA5132" s="245">
        <v>10</v>
      </c>
      <c r="AB5132" s="67"/>
      <c r="AC5132" s="67"/>
      <c r="AD5132" s="94"/>
      <c r="AE5132" s="94">
        <v>60.5</v>
      </c>
      <c r="AF5132" s="94">
        <v>26.4</v>
      </c>
      <c r="AG5132" s="245">
        <v>13.1</v>
      </c>
      <c r="AH5132" s="58" t="s">
        <v>494</v>
      </c>
      <c r="AI5132" s="169"/>
      <c r="AJ5132" s="94"/>
      <c r="AK5132" s="94"/>
      <c r="AL5132" s="58"/>
      <c r="AM5132" s="58"/>
      <c r="AN5132" s="186" t="s">
        <v>4584</v>
      </c>
      <c r="AO5132" s="185" t="s">
        <v>5150</v>
      </c>
      <c r="AP5132" s="58"/>
      <c r="AQ5132" s="58" t="s">
        <v>4584</v>
      </c>
      <c r="AR5132" s="246" t="s">
        <v>227</v>
      </c>
      <c r="AS5132" s="246" t="s">
        <v>227</v>
      </c>
      <c r="AT5132" s="247"/>
      <c r="AU5132" s="181" t="s">
        <v>7494</v>
      </c>
      <c r="AV5132" s="185" t="s">
        <v>176</v>
      </c>
      <c r="AW5132" s="244"/>
      <c r="AX5132" s="185" t="s">
        <v>176</v>
      </c>
      <c r="AY5132" s="244" t="s">
        <v>176</v>
      </c>
      <c r="AZ5132" s="58"/>
      <c r="BA5132" s="58"/>
      <c r="BB5132" s="58"/>
      <c r="BC5132" s="58"/>
      <c r="BD5132" s="58"/>
      <c r="BE5132" s="236" t="s">
        <v>5216</v>
      </c>
      <c r="BF5132" s="191" t="s">
        <v>479</v>
      </c>
      <c r="BG5132" s="191" t="s">
        <v>479</v>
      </c>
      <c r="BH5132" s="236" t="s">
        <v>5285</v>
      </c>
      <c r="BI5132" s="191" t="s">
        <v>479</v>
      </c>
      <c r="BJ5132" s="58" t="str">
        <f>IF(BE5132=BH5132,"No","yes")</f>
        <v>yes</v>
      </c>
      <c r="BK5132" s="58" t="s">
        <v>6335</v>
      </c>
      <c r="BL5132" s="58"/>
      <c r="BM5132" s="237"/>
      <c r="BN5132" s="244">
        <v>13</v>
      </c>
      <c r="BO5132" s="244">
        <v>13</v>
      </c>
      <c r="BP5132" s="58"/>
      <c r="BQ5132" s="58"/>
      <c r="BR5132" s="58"/>
      <c r="BS5132" s="58"/>
      <c r="BT5132" s="58"/>
      <c r="BU5132" s="58"/>
      <c r="BV5132" s="58"/>
      <c r="BW5132" s="67"/>
      <c r="BX5132" s="67"/>
      <c r="BY5132" s="67"/>
      <c r="BZ5132" s="67"/>
      <c r="CA5132" s="67"/>
      <c r="CB5132" s="70"/>
      <c r="CC5132" s="70"/>
      <c r="CD5132" s="70"/>
      <c r="CE5132" s="67"/>
      <c r="CF5132" s="67"/>
      <c r="CG5132" s="67"/>
      <c r="CH5132" s="245"/>
      <c r="CI5132" s="245"/>
      <c r="CJ5132" s="67"/>
      <c r="CK5132" s="67"/>
      <c r="CL5132" s="67"/>
      <c r="CM5132" s="242">
        <v>0.82499999999999996</v>
      </c>
      <c r="CN5132" s="242">
        <v>1.004</v>
      </c>
      <c r="CO5132" s="242">
        <v>0.12</v>
      </c>
      <c r="CP5132" s="242">
        <v>0.15</v>
      </c>
      <c r="CQ5132" s="242" t="s">
        <v>164</v>
      </c>
      <c r="CR5132" s="242"/>
      <c r="CS5132" s="242"/>
      <c r="CT5132" s="242"/>
      <c r="CU5132" s="242"/>
      <c r="CV5132" s="242"/>
      <c r="CW5132" s="242"/>
      <c r="CX5132" s="242"/>
      <c r="CY5132" s="242"/>
      <c r="CZ5132" s="242"/>
      <c r="DA5132" s="67" t="s">
        <v>5443</v>
      </c>
      <c r="DB5132" s="67">
        <v>666</v>
      </c>
      <c r="DC5132" s="67">
        <v>867</v>
      </c>
      <c r="DD5132" s="67">
        <v>10</v>
      </c>
      <c r="DE5132" s="67">
        <v>14</v>
      </c>
      <c r="DF5132" s="67" t="s">
        <v>5809</v>
      </c>
      <c r="DG5132" s="67">
        <v>64.5</v>
      </c>
      <c r="DH5132" s="67">
        <v>60.9</v>
      </c>
      <c r="DI5132" s="67">
        <v>7.7</v>
      </c>
      <c r="DJ5132" s="67">
        <v>13.3</v>
      </c>
      <c r="DK5132" s="67" t="s">
        <v>964</v>
      </c>
      <c r="DL5132" s="67">
        <v>0.5</v>
      </c>
      <c r="DM5132" s="67">
        <v>0.6</v>
      </c>
      <c r="DN5132" s="67">
        <v>0.1</v>
      </c>
      <c r="DO5132" s="67">
        <v>0.1</v>
      </c>
      <c r="DP5132" s="67" t="s">
        <v>3360</v>
      </c>
      <c r="DQ5132" s="166">
        <v>7.09</v>
      </c>
      <c r="DR5132" s="166">
        <v>7.05</v>
      </c>
      <c r="DS5132" s="163">
        <v>0.16</v>
      </c>
      <c r="DT5132" s="163">
        <v>0.11</v>
      </c>
      <c r="DU5132" s="67"/>
      <c r="DV5132" s="67">
        <f>9.7+4.2+0.3</f>
        <v>14.2</v>
      </c>
      <c r="DW5132" s="67">
        <f>10.7+4.1+0.4</f>
        <v>15.2</v>
      </c>
      <c r="DX5132" s="67">
        <f>2.1+1.3+0.1</f>
        <v>3.5000000000000004</v>
      </c>
      <c r="DY5132" s="67">
        <f>2.3+1.1+0.1</f>
        <v>3.5</v>
      </c>
      <c r="DZ5132" s="67" t="s">
        <v>5807</v>
      </c>
      <c r="EA5132" s="67">
        <v>2.1800000000000002</v>
      </c>
      <c r="EB5132" s="67">
        <v>2.72</v>
      </c>
      <c r="EC5132" s="67">
        <v>0.39</v>
      </c>
      <c r="ED5132" s="67">
        <v>0.34</v>
      </c>
      <c r="EE5132" s="67" t="s">
        <v>5808</v>
      </c>
      <c r="EF5132" s="67">
        <v>14.7</v>
      </c>
      <c r="EG5132" s="67">
        <v>15.8</v>
      </c>
      <c r="EH5132" s="67">
        <v>3.3</v>
      </c>
      <c r="EI5132" s="67">
        <v>3.5</v>
      </c>
      <c r="EJ5132" s="67" t="s">
        <v>3360</v>
      </c>
      <c r="EK5132" s="94"/>
      <c r="EL5132" s="94"/>
      <c r="EM5132" s="67"/>
      <c r="EN5132" s="67"/>
      <c r="EO5132" s="67"/>
      <c r="EP5132" s="67"/>
      <c r="EQ5132" s="67"/>
      <c r="ER5132" s="67"/>
      <c r="ES5132" s="67"/>
      <c r="ET5132" s="67"/>
      <c r="EU5132" s="67"/>
      <c r="EV5132" s="67"/>
      <c r="EW5132" s="67"/>
      <c r="EX5132" s="67"/>
      <c r="EY5132" s="67"/>
      <c r="EZ5132" s="67"/>
      <c r="FA5132" s="67"/>
      <c r="FB5132" s="67"/>
      <c r="FC5132" s="67"/>
      <c r="FD5132" s="67"/>
      <c r="FE5132" s="67"/>
      <c r="FF5132" s="67"/>
      <c r="FG5132" s="67"/>
      <c r="FH5132" s="67"/>
      <c r="FI5132" s="67"/>
      <c r="FJ5132" s="67"/>
      <c r="FK5132" s="67"/>
      <c r="FL5132" s="67"/>
      <c r="FM5132" s="67"/>
      <c r="FN5132" s="67"/>
      <c r="FO5132" s="67"/>
      <c r="FP5132" s="67"/>
      <c r="FQ5132" s="67"/>
      <c r="FR5132" s="67"/>
      <c r="FS5132" s="67"/>
      <c r="FT5132" s="67"/>
      <c r="FU5132" s="67"/>
      <c r="FV5132" s="67"/>
      <c r="FW5132" s="67"/>
      <c r="FX5132" s="67"/>
      <c r="FY5132" s="67"/>
      <c r="FZ5132" s="67"/>
      <c r="GA5132" s="67"/>
      <c r="GB5132" s="67"/>
      <c r="GC5132" s="67"/>
      <c r="GD5132" s="67"/>
      <c r="GE5132" s="67"/>
      <c r="GF5132" s="67"/>
      <c r="GG5132" s="67"/>
      <c r="GH5132" s="67"/>
      <c r="GI5132" s="67"/>
      <c r="GJ5132" s="67"/>
      <c r="GK5132" s="67"/>
      <c r="GL5132" s="67"/>
      <c r="GM5132" s="67"/>
      <c r="GN5132" s="292"/>
      <c r="GO5132" s="292"/>
      <c r="GP5132" s="292" t="s">
        <v>7494</v>
      </c>
      <c r="GQ5132" s="67"/>
      <c r="GR5132" s="67"/>
      <c r="GS5132" s="67"/>
      <c r="GT5132" s="67"/>
      <c r="GU5132" s="67"/>
      <c r="GV5132" s="67"/>
      <c r="GW5132" s="67"/>
      <c r="GX5132" s="67"/>
      <c r="GY5132" s="67"/>
      <c r="GZ5132" s="67"/>
      <c r="HA5132" s="67"/>
      <c r="HB5132" s="67"/>
      <c r="HC5132" s="67"/>
      <c r="HD5132" s="67"/>
      <c r="HE5132" s="67"/>
      <c r="HF5132" s="67"/>
      <c r="HG5132" s="67"/>
      <c r="HH5132" s="67"/>
      <c r="HI5132" s="67">
        <v>104</v>
      </c>
      <c r="HJ5132" s="67">
        <v>122</v>
      </c>
      <c r="HK5132" s="67">
        <v>10</v>
      </c>
      <c r="HL5132" s="67">
        <v>11</v>
      </c>
      <c r="HM5132" s="67" t="s">
        <v>5812</v>
      </c>
      <c r="HN5132" s="67">
        <v>3.7</v>
      </c>
      <c r="HO5132" s="67">
        <v>1.9</v>
      </c>
      <c r="HP5132" s="67">
        <v>0.33</v>
      </c>
      <c r="HQ5132" s="67">
        <v>0.18</v>
      </c>
      <c r="HR5132" s="67" t="s">
        <v>5811</v>
      </c>
      <c r="HS5132" s="67">
        <v>3.49</v>
      </c>
      <c r="HT5132" s="67">
        <v>4.0599999999999996</v>
      </c>
      <c r="HU5132" s="67">
        <v>0.32</v>
      </c>
      <c r="HV5132" s="67">
        <v>0.65</v>
      </c>
      <c r="HW5132" s="67" t="s">
        <v>5813</v>
      </c>
      <c r="HX5132" s="67">
        <v>14.1</v>
      </c>
      <c r="HY5132" s="67">
        <v>17.7</v>
      </c>
      <c r="HZ5132" s="67">
        <v>1.2</v>
      </c>
      <c r="IA5132" s="67">
        <v>1.1000000000000001</v>
      </c>
      <c r="IB5132" s="67" t="s">
        <v>3072</v>
      </c>
      <c r="IC5132" s="67"/>
      <c r="ID5132" s="67"/>
      <c r="IE5132" s="67"/>
      <c r="IF5132" s="67"/>
      <c r="IG5132" s="67"/>
      <c r="IH5132" s="67"/>
      <c r="II5132" s="67"/>
      <c r="IJ5132" s="67"/>
      <c r="IK5132" s="67"/>
      <c r="IL5132" s="67"/>
      <c r="IM5132" s="67"/>
      <c r="IN5132" s="67"/>
      <c r="IO5132" s="67"/>
      <c r="IP5132" s="67"/>
      <c r="IQ5132" s="67"/>
      <c r="IR5132" s="67"/>
      <c r="IS5132" s="67"/>
      <c r="IT5132" s="67"/>
      <c r="IU5132" s="67"/>
      <c r="IV5132" s="67"/>
      <c r="IW5132" s="67">
        <v>0.35399999999999998</v>
      </c>
      <c r="IX5132" s="67">
        <v>0.47199999999999998</v>
      </c>
      <c r="IY5132" s="67">
        <v>0.03</v>
      </c>
      <c r="IZ5132" s="67">
        <v>5.5E-2</v>
      </c>
      <c r="JA5132" s="67" t="s">
        <v>5810</v>
      </c>
      <c r="JB5132" s="67"/>
      <c r="JC5132" s="67"/>
      <c r="JD5132" s="67"/>
      <c r="JE5132" s="67"/>
      <c r="JF5132" s="67"/>
      <c r="JG5132" s="67">
        <v>96</v>
      </c>
      <c r="JH5132" s="67">
        <v>249</v>
      </c>
      <c r="JI5132" s="67">
        <v>6.8</v>
      </c>
      <c r="JJ5132" s="67">
        <v>22.5</v>
      </c>
      <c r="JK5132" s="67" t="s">
        <v>3072</v>
      </c>
      <c r="JL5132" s="67"/>
      <c r="JM5132" s="67"/>
      <c r="JN5132" s="67"/>
      <c r="JO5132" s="67"/>
      <c r="JP5132" s="67"/>
      <c r="JQ5132" s="67">
        <v>99999</v>
      </c>
      <c r="JR5132" s="67"/>
      <c r="JS5132" s="67"/>
      <c r="JT5132" s="67"/>
      <c r="JU5132" s="58" t="s">
        <v>5806</v>
      </c>
      <c r="JV5132" s="58"/>
      <c r="JW5132" s="58"/>
    </row>
    <row r="5133" spans="1:283" s="23" customFormat="1" x14ac:dyDescent="0.25">
      <c r="A5133" s="55">
        <v>5132</v>
      </c>
      <c r="B5133" s="12" t="s">
        <v>7067</v>
      </c>
      <c r="C5133" s="156">
        <v>269</v>
      </c>
      <c r="D5133" s="58" t="s">
        <v>5033</v>
      </c>
      <c r="E5133" s="160" t="str">
        <f>G5133</f>
        <v>Reganold et al. 2010_subsoil</v>
      </c>
      <c r="F5133" s="160"/>
      <c r="G5133" s="60" t="s">
        <v>4692</v>
      </c>
      <c r="H5133" s="58">
        <v>2010</v>
      </c>
      <c r="I5133" s="58" t="s">
        <v>5483</v>
      </c>
      <c r="J5133" s="243" t="s">
        <v>5323</v>
      </c>
      <c r="K5133" s="63" t="s">
        <v>5076</v>
      </c>
      <c r="L5133" s="58" t="s">
        <v>2737</v>
      </c>
      <c r="M5133" s="94">
        <v>36.909999999999997</v>
      </c>
      <c r="N5133" s="94">
        <v>-121.76</v>
      </c>
      <c r="O5133" s="94">
        <v>8</v>
      </c>
      <c r="P5133" s="58"/>
      <c r="Q5133" s="244">
        <v>13.9</v>
      </c>
      <c r="R5133" s="58"/>
      <c r="S5133" s="245">
        <v>591</v>
      </c>
      <c r="T5133" s="58"/>
      <c r="U5133" s="58" t="s">
        <v>1682</v>
      </c>
      <c r="V5133" s="244">
        <v>5</v>
      </c>
      <c r="W5133" s="174"/>
      <c r="X5133" s="174"/>
      <c r="Y5133" s="58" t="s">
        <v>5407</v>
      </c>
      <c r="Z5133" s="244" t="s">
        <v>1360</v>
      </c>
      <c r="AA5133" s="245">
        <v>10</v>
      </c>
      <c r="AB5133" s="67"/>
      <c r="AC5133" s="67"/>
      <c r="AD5133" s="94"/>
      <c r="AE5133" s="94">
        <v>59.8</v>
      </c>
      <c r="AF5133" s="94">
        <v>27.3</v>
      </c>
      <c r="AG5133" s="245">
        <v>12.9</v>
      </c>
      <c r="AH5133" s="58" t="s">
        <v>494</v>
      </c>
      <c r="AI5133" s="169"/>
      <c r="AJ5133" s="94"/>
      <c r="AK5133" s="94"/>
      <c r="AL5133" s="58"/>
      <c r="AM5133" s="58"/>
      <c r="AN5133" s="186" t="s">
        <v>4584</v>
      </c>
      <c r="AO5133" s="185" t="s">
        <v>5150</v>
      </c>
      <c r="AP5133" s="58"/>
      <c r="AQ5133" s="58" t="s">
        <v>4584</v>
      </c>
      <c r="AR5133" s="246" t="s">
        <v>227</v>
      </c>
      <c r="AS5133" s="246" t="s">
        <v>227</v>
      </c>
      <c r="AT5133" s="247"/>
      <c r="AU5133" s="181" t="s">
        <v>7494</v>
      </c>
      <c r="AV5133" s="185" t="s">
        <v>176</v>
      </c>
      <c r="AW5133" s="244"/>
      <c r="AX5133" s="185" t="s">
        <v>176</v>
      </c>
      <c r="AY5133" s="244" t="s">
        <v>176</v>
      </c>
      <c r="AZ5133" s="58"/>
      <c r="BA5133" s="58"/>
      <c r="BB5133" s="58"/>
      <c r="BC5133" s="58"/>
      <c r="BD5133" s="58"/>
      <c r="BE5133" s="236" t="s">
        <v>5216</v>
      </c>
      <c r="BF5133" s="191" t="s">
        <v>479</v>
      </c>
      <c r="BG5133" s="191" t="s">
        <v>479</v>
      </c>
      <c r="BH5133" s="236" t="s">
        <v>5285</v>
      </c>
      <c r="BI5133" s="191" t="s">
        <v>479</v>
      </c>
      <c r="BJ5133" s="58" t="str">
        <f>IF(BE5133=BH5133,"No","yes")</f>
        <v>yes</v>
      </c>
      <c r="BK5133" s="58" t="s">
        <v>6335</v>
      </c>
      <c r="BL5133" s="58"/>
      <c r="BM5133" s="237"/>
      <c r="BN5133" s="244">
        <v>13</v>
      </c>
      <c r="BO5133" s="244">
        <v>13</v>
      </c>
      <c r="BP5133" s="58"/>
      <c r="BQ5133" s="58"/>
      <c r="BR5133" s="58"/>
      <c r="BS5133" s="58"/>
      <c r="BT5133" s="58"/>
      <c r="BU5133" s="58"/>
      <c r="BV5133" s="58"/>
      <c r="BW5133" s="67"/>
      <c r="BX5133" s="67"/>
      <c r="BY5133" s="67"/>
      <c r="BZ5133" s="67"/>
      <c r="CA5133" s="67"/>
      <c r="CB5133" s="70"/>
      <c r="CC5133" s="70"/>
      <c r="CD5133" s="70"/>
      <c r="CE5133" s="67"/>
      <c r="CF5133" s="67"/>
      <c r="CG5133" s="67"/>
      <c r="CH5133" s="245"/>
      <c r="CI5133" s="245"/>
      <c r="CJ5133" s="67"/>
      <c r="CK5133" s="67"/>
      <c r="CL5133" s="67"/>
      <c r="CM5133" s="242">
        <v>0.77100000000000002</v>
      </c>
      <c r="CN5133" s="242">
        <v>0.94299999999999995</v>
      </c>
      <c r="CO5133" s="242">
        <v>0.13</v>
      </c>
      <c r="CP5133" s="242">
        <v>0.17</v>
      </c>
      <c r="CQ5133" s="242" t="s">
        <v>164</v>
      </c>
      <c r="CR5133" s="242"/>
      <c r="CS5133" s="242"/>
      <c r="CT5133" s="242"/>
      <c r="CU5133" s="242"/>
      <c r="CV5133" s="242"/>
      <c r="CW5133" s="242"/>
      <c r="CX5133" s="242"/>
      <c r="CY5133" s="242"/>
      <c r="CZ5133" s="242"/>
      <c r="DA5133" s="67" t="s">
        <v>5443</v>
      </c>
      <c r="DB5133" s="67">
        <v>625</v>
      </c>
      <c r="DC5133" s="67">
        <v>783</v>
      </c>
      <c r="DD5133" s="67">
        <v>12</v>
      </c>
      <c r="DE5133" s="67">
        <v>15</v>
      </c>
      <c r="DF5133" s="67" t="s">
        <v>5809</v>
      </c>
      <c r="DG5133" s="67">
        <v>72.099999999999994</v>
      </c>
      <c r="DH5133" s="67">
        <v>60.1</v>
      </c>
      <c r="DI5133" s="67">
        <v>10.4</v>
      </c>
      <c r="DJ5133" s="67">
        <v>13.5</v>
      </c>
      <c r="DK5133" s="67" t="s">
        <v>964</v>
      </c>
      <c r="DL5133" s="67">
        <v>0.5</v>
      </c>
      <c r="DM5133" s="67">
        <v>0.6</v>
      </c>
      <c r="DN5133" s="67">
        <v>0.1</v>
      </c>
      <c r="DO5133" s="67">
        <v>0.1</v>
      </c>
      <c r="DP5133" s="67" t="s">
        <v>3360</v>
      </c>
      <c r="DQ5133" s="166">
        <v>7.09</v>
      </c>
      <c r="DR5133" s="166">
        <v>7.16</v>
      </c>
      <c r="DS5133" s="163">
        <v>0.17</v>
      </c>
      <c r="DT5133" s="163">
        <v>0.1</v>
      </c>
      <c r="DU5133" s="67"/>
      <c r="DV5133" s="67">
        <f>9.6+4.2+0.3</f>
        <v>14.100000000000001</v>
      </c>
      <c r="DW5133" s="67">
        <f>10.3+3.9+0.3</f>
        <v>14.500000000000002</v>
      </c>
      <c r="DX5133" s="67">
        <f>2.2+1.3+0.04</f>
        <v>3.54</v>
      </c>
      <c r="DY5133" s="67">
        <f>2.5+1.2+0.04</f>
        <v>3.74</v>
      </c>
      <c r="DZ5133" s="67" t="s">
        <v>5807</v>
      </c>
      <c r="EA5133" s="67">
        <v>1.5</v>
      </c>
      <c r="EB5133" s="67">
        <v>2.13</v>
      </c>
      <c r="EC5133" s="67">
        <v>0.22</v>
      </c>
      <c r="ED5133" s="67">
        <v>0.37</v>
      </c>
      <c r="EE5133" s="67" t="s">
        <v>5808</v>
      </c>
      <c r="EF5133" s="67">
        <v>14.6</v>
      </c>
      <c r="EG5133" s="67">
        <v>15.1</v>
      </c>
      <c r="EH5133" s="67">
        <v>3.5</v>
      </c>
      <c r="EI5133" s="67">
        <v>3.7</v>
      </c>
      <c r="EJ5133" s="67" t="s">
        <v>3360</v>
      </c>
      <c r="EK5133" s="94"/>
      <c r="EL5133" s="94"/>
      <c r="EM5133" s="67"/>
      <c r="EN5133" s="67"/>
      <c r="EO5133" s="67"/>
      <c r="EP5133" s="67"/>
      <c r="EQ5133" s="67"/>
      <c r="ER5133" s="67"/>
      <c r="ES5133" s="67"/>
      <c r="ET5133" s="67"/>
      <c r="EU5133" s="67"/>
      <c r="EV5133" s="67"/>
      <c r="EW5133" s="67"/>
      <c r="EX5133" s="67"/>
      <c r="EY5133" s="67"/>
      <c r="EZ5133" s="67"/>
      <c r="FA5133" s="67"/>
      <c r="FB5133" s="67"/>
      <c r="FC5133" s="67"/>
      <c r="FD5133" s="67"/>
      <c r="FE5133" s="67"/>
      <c r="FF5133" s="67"/>
      <c r="FG5133" s="67"/>
      <c r="FH5133" s="67"/>
      <c r="FI5133" s="67"/>
      <c r="FJ5133" s="67"/>
      <c r="FK5133" s="67"/>
      <c r="FL5133" s="67"/>
      <c r="FM5133" s="67"/>
      <c r="FN5133" s="67"/>
      <c r="FO5133" s="67"/>
      <c r="FP5133" s="67"/>
      <c r="FQ5133" s="67"/>
      <c r="FR5133" s="67"/>
      <c r="FS5133" s="67"/>
      <c r="FT5133" s="67"/>
      <c r="FU5133" s="67"/>
      <c r="FV5133" s="67"/>
      <c r="FW5133" s="67"/>
      <c r="FX5133" s="67"/>
      <c r="FY5133" s="67"/>
      <c r="FZ5133" s="67"/>
      <c r="GA5133" s="67"/>
      <c r="GB5133" s="67"/>
      <c r="GC5133" s="67"/>
      <c r="GD5133" s="67"/>
      <c r="GE5133" s="67"/>
      <c r="GF5133" s="67"/>
      <c r="GG5133" s="67"/>
      <c r="GH5133" s="67"/>
      <c r="GI5133" s="67"/>
      <c r="GJ5133" s="67"/>
      <c r="GK5133" s="67"/>
      <c r="GL5133" s="67"/>
      <c r="GM5133" s="67"/>
      <c r="GN5133" s="292"/>
      <c r="GO5133" s="292"/>
      <c r="GP5133" s="292" t="s">
        <v>7494</v>
      </c>
      <c r="GQ5133" s="67"/>
      <c r="GR5133" s="67"/>
      <c r="GS5133" s="67"/>
      <c r="GT5133" s="67"/>
      <c r="GU5133" s="67"/>
      <c r="GV5133" s="67"/>
      <c r="GW5133" s="67"/>
      <c r="GX5133" s="67"/>
      <c r="GY5133" s="67"/>
      <c r="GZ5133" s="67"/>
      <c r="HA5133" s="67"/>
      <c r="HB5133" s="67"/>
      <c r="HC5133" s="67"/>
      <c r="HD5133" s="67"/>
      <c r="HE5133" s="67"/>
      <c r="HF5133" s="67"/>
      <c r="HG5133" s="67"/>
      <c r="HH5133" s="67"/>
      <c r="HI5133" s="67"/>
      <c r="HJ5133" s="67"/>
      <c r="HK5133" s="67"/>
      <c r="HL5133" s="67"/>
      <c r="HM5133" s="67" t="s">
        <v>5812</v>
      </c>
      <c r="HN5133" s="67">
        <v>3.4</v>
      </c>
      <c r="HO5133" s="67">
        <v>3.5</v>
      </c>
      <c r="HP5133" s="67">
        <v>0.67</v>
      </c>
      <c r="HQ5133" s="67">
        <v>0.73</v>
      </c>
      <c r="HR5133" s="67" t="s">
        <v>5811</v>
      </c>
      <c r="HS5133" s="67">
        <v>2.78</v>
      </c>
      <c r="HT5133" s="67">
        <v>3.21</v>
      </c>
      <c r="HU5133" s="67">
        <v>0.31</v>
      </c>
      <c r="HV5133" s="67">
        <v>0.25</v>
      </c>
      <c r="HW5133" s="67" t="s">
        <v>5813</v>
      </c>
      <c r="HX5133" s="67">
        <v>11.2</v>
      </c>
      <c r="HY5133" s="67">
        <v>14.9</v>
      </c>
      <c r="HZ5133" s="67">
        <v>1.2</v>
      </c>
      <c r="IA5133" s="67">
        <v>1.6</v>
      </c>
      <c r="IB5133" s="67" t="s">
        <v>3072</v>
      </c>
      <c r="IC5133" s="67"/>
      <c r="ID5133" s="67"/>
      <c r="IE5133" s="67"/>
      <c r="IF5133" s="67"/>
      <c r="IG5133" s="67"/>
      <c r="IH5133" s="67"/>
      <c r="II5133" s="67"/>
      <c r="IJ5133" s="67"/>
      <c r="IK5133" s="67"/>
      <c r="IL5133" s="67"/>
      <c r="IM5133" s="67"/>
      <c r="IN5133" s="67"/>
      <c r="IO5133" s="67"/>
      <c r="IP5133" s="67"/>
      <c r="IQ5133" s="67"/>
      <c r="IR5133" s="67"/>
      <c r="IS5133" s="67"/>
      <c r="IT5133" s="67"/>
      <c r="IU5133" s="67"/>
      <c r="IV5133" s="67"/>
      <c r="IW5133" s="67">
        <v>0.34799999999999998</v>
      </c>
      <c r="IX5133" s="67">
        <v>0.73099999999999998</v>
      </c>
      <c r="IY5133" s="67">
        <v>0.111</v>
      </c>
      <c r="IZ5133" s="67">
        <v>0.186</v>
      </c>
      <c r="JA5133" s="67" t="s">
        <v>5810</v>
      </c>
      <c r="JB5133" s="67"/>
      <c r="JC5133" s="67"/>
      <c r="JD5133" s="67"/>
      <c r="JE5133" s="67"/>
      <c r="JF5133" s="67"/>
      <c r="JG5133" s="67">
        <v>101</v>
      </c>
      <c r="JH5133" s="67">
        <v>211</v>
      </c>
      <c r="JI5133" s="67">
        <v>12.1</v>
      </c>
      <c r="JJ5133" s="67">
        <v>20.5</v>
      </c>
      <c r="JK5133" s="67" t="s">
        <v>3072</v>
      </c>
      <c r="JL5133" s="67"/>
      <c r="JM5133" s="67"/>
      <c r="JN5133" s="67"/>
      <c r="JO5133" s="67"/>
      <c r="JP5133" s="67"/>
      <c r="JQ5133" s="67">
        <v>99999</v>
      </c>
      <c r="JR5133" s="67"/>
      <c r="JS5133" s="67"/>
      <c r="JT5133" s="67"/>
      <c r="JU5133" s="58" t="s">
        <v>5806</v>
      </c>
      <c r="JV5133" s="58"/>
      <c r="JW5133" s="58"/>
    </row>
    <row r="5134" spans="1:283" s="23" customFormat="1" x14ac:dyDescent="0.25">
      <c r="A5134" s="55">
        <v>5133</v>
      </c>
      <c r="B5134" s="12" t="s">
        <v>7067</v>
      </c>
      <c r="C5134" s="156">
        <v>270</v>
      </c>
      <c r="D5134" s="58" t="s">
        <v>5034</v>
      </c>
      <c r="E5134" s="160" t="str">
        <f>G5134</f>
        <v>Romanya and Rovira, 2009_irrigated</v>
      </c>
      <c r="F5134" s="160"/>
      <c r="G5134" s="60" t="s">
        <v>4690</v>
      </c>
      <c r="H5134" s="58">
        <v>2009</v>
      </c>
      <c r="I5134" s="58" t="s">
        <v>5483</v>
      </c>
      <c r="J5134" s="243" t="s">
        <v>1397</v>
      </c>
      <c r="K5134" s="63" t="s">
        <v>5075</v>
      </c>
      <c r="L5134" s="58" t="s">
        <v>4516</v>
      </c>
      <c r="M5134" s="94">
        <f>41+49/60</f>
        <v>41.81666666666667</v>
      </c>
      <c r="N5134" s="94">
        <f>-2/60</f>
        <v>-3.3333333333333333E-2</v>
      </c>
      <c r="O5134" s="94">
        <v>300</v>
      </c>
      <c r="P5134" s="58"/>
      <c r="Q5134" s="244">
        <v>14.4</v>
      </c>
      <c r="R5134" s="58"/>
      <c r="S5134" s="245">
        <v>436.60000000000008</v>
      </c>
      <c r="T5134" s="58"/>
      <c r="U5134" s="58" t="s">
        <v>1681</v>
      </c>
      <c r="V5134" s="244">
        <v>18</v>
      </c>
      <c r="W5134" s="174"/>
      <c r="X5134" s="174"/>
      <c r="Y5134" s="58" t="s">
        <v>5814</v>
      </c>
      <c r="Z5134" s="244" t="s">
        <v>1355</v>
      </c>
      <c r="AA5134" s="245">
        <v>10</v>
      </c>
      <c r="AB5134" s="67"/>
      <c r="AC5134" s="67"/>
      <c r="AD5134" s="94"/>
      <c r="AE5134" s="94"/>
      <c r="AF5134" s="94"/>
      <c r="AG5134" s="245"/>
      <c r="AH5134" s="58"/>
      <c r="AI5134" s="169"/>
      <c r="AJ5134" s="94"/>
      <c r="AK5134" s="94"/>
      <c r="AL5134" s="58"/>
      <c r="AM5134" s="58"/>
      <c r="AN5134" s="186"/>
      <c r="AO5134" s="185" t="s">
        <v>5150</v>
      </c>
      <c r="AP5134" s="58"/>
      <c r="AQ5134" s="58"/>
      <c r="AR5134" s="58"/>
      <c r="AS5134" s="246" t="s">
        <v>5133</v>
      </c>
      <c r="AT5134" s="247">
        <v>0</v>
      </c>
      <c r="AU5134" s="181" t="s">
        <v>7494</v>
      </c>
      <c r="AV5134" s="185" t="s">
        <v>176</v>
      </c>
      <c r="AW5134" s="244">
        <v>0</v>
      </c>
      <c r="AX5134" s="185" t="s">
        <v>176</v>
      </c>
      <c r="AY5134" s="244" t="s">
        <v>176</v>
      </c>
      <c r="AZ5134" s="58"/>
      <c r="BA5134" s="58"/>
      <c r="BB5134" s="58"/>
      <c r="BC5134" s="58"/>
      <c r="BD5134" s="58"/>
      <c r="BE5134" s="236" t="s">
        <v>5153</v>
      </c>
      <c r="BF5134" s="191"/>
      <c r="BG5134" s="191" t="s">
        <v>176</v>
      </c>
      <c r="BH5134" s="236" t="s">
        <v>5286</v>
      </c>
      <c r="BI5134" s="191" t="s">
        <v>479</v>
      </c>
      <c r="BJ5134" s="58" t="str">
        <f>IF(BE5134=BH5134,"No","yes")</f>
        <v>yes</v>
      </c>
      <c r="BK5134" s="58" t="s">
        <v>6334</v>
      </c>
      <c r="BL5134" s="58"/>
      <c r="BM5134" s="237"/>
      <c r="BN5134" s="244">
        <v>4</v>
      </c>
      <c r="BO5134" s="244">
        <v>4</v>
      </c>
      <c r="BP5134" s="58"/>
      <c r="BQ5134" s="58"/>
      <c r="BR5134" s="58"/>
      <c r="BS5134" s="58"/>
      <c r="BT5134" s="58"/>
      <c r="BU5134" s="58"/>
      <c r="BV5134" s="58" t="s">
        <v>1024</v>
      </c>
      <c r="BW5134" s="67"/>
      <c r="BX5134" s="67"/>
      <c r="BY5134" s="67"/>
      <c r="BZ5134" s="67"/>
      <c r="CA5134" s="67"/>
      <c r="CB5134" s="70"/>
      <c r="CC5134" s="70"/>
      <c r="CD5134" s="70"/>
      <c r="CE5134" s="67"/>
      <c r="CF5134" s="67"/>
      <c r="CG5134" s="67"/>
      <c r="CH5134" s="245"/>
      <c r="CI5134" s="245"/>
      <c r="CJ5134" s="67"/>
      <c r="CK5134" s="67"/>
      <c r="CL5134" s="67"/>
      <c r="CM5134" s="242">
        <v>0.89</v>
      </c>
      <c r="CN5134" s="242">
        <v>1.26</v>
      </c>
      <c r="CO5134" s="242">
        <v>0.24</v>
      </c>
      <c r="CP5134" s="242">
        <v>0.22</v>
      </c>
      <c r="CQ5134" s="242" t="s">
        <v>164</v>
      </c>
      <c r="CR5134" s="242"/>
      <c r="CS5134" s="242"/>
      <c r="CT5134" s="242"/>
      <c r="CU5134" s="242"/>
      <c r="CV5134" s="242"/>
      <c r="CW5134" s="242"/>
      <c r="CX5134" s="242"/>
      <c r="CY5134" s="242"/>
      <c r="CZ5134" s="242"/>
      <c r="DA5134" s="67" t="s">
        <v>5443</v>
      </c>
      <c r="DB5134" s="67">
        <v>1.02</v>
      </c>
      <c r="DC5134" s="67">
        <v>1.3</v>
      </c>
      <c r="DD5134" s="67">
        <v>0.2</v>
      </c>
      <c r="DE5134" s="67">
        <v>0.24</v>
      </c>
      <c r="DF5134" s="67" t="s">
        <v>5816</v>
      </c>
      <c r="DG5134" s="67"/>
      <c r="DH5134" s="67"/>
      <c r="DI5134" s="67"/>
      <c r="DJ5134" s="67"/>
      <c r="DK5134" s="67"/>
      <c r="DL5134" s="67"/>
      <c r="DM5134" s="67"/>
      <c r="DN5134" s="67"/>
      <c r="DO5134" s="67"/>
      <c r="DP5134" s="67"/>
      <c r="DQ5134" s="166">
        <v>8.82</v>
      </c>
      <c r="DR5134" s="166">
        <v>8.41</v>
      </c>
      <c r="DS5134" s="163">
        <v>0.16</v>
      </c>
      <c r="DT5134" s="163">
        <v>0.14000000000000001</v>
      </c>
      <c r="DU5134" s="67"/>
      <c r="DV5134" s="67"/>
      <c r="DW5134" s="67"/>
      <c r="DX5134" s="67"/>
      <c r="DY5134" s="67"/>
      <c r="DZ5134" s="67"/>
      <c r="EA5134" s="67"/>
      <c r="EB5134" s="67"/>
      <c r="EC5134" s="67"/>
      <c r="ED5134" s="67"/>
      <c r="EE5134" s="67"/>
      <c r="EF5134" s="67"/>
      <c r="EG5134" s="67"/>
      <c r="EH5134" s="67"/>
      <c r="EI5134" s="67"/>
      <c r="EJ5134" s="67"/>
      <c r="EK5134" s="94"/>
      <c r="EL5134" s="94"/>
      <c r="EM5134" s="67"/>
      <c r="EN5134" s="67"/>
      <c r="EO5134" s="67"/>
      <c r="EP5134" s="67"/>
      <c r="EQ5134" s="67"/>
      <c r="ER5134" s="67"/>
      <c r="ES5134" s="67"/>
      <c r="ET5134" s="67"/>
      <c r="EU5134" s="67"/>
      <c r="EV5134" s="67"/>
      <c r="EW5134" s="67"/>
      <c r="EX5134" s="67"/>
      <c r="EY5134" s="67"/>
      <c r="EZ5134" s="67"/>
      <c r="FA5134" s="67"/>
      <c r="FB5134" s="67"/>
      <c r="FC5134" s="67"/>
      <c r="FD5134" s="67"/>
      <c r="FE5134" s="67"/>
      <c r="FF5134" s="67"/>
      <c r="FG5134" s="67"/>
      <c r="FH5134" s="67"/>
      <c r="FI5134" s="67"/>
      <c r="FJ5134" s="67"/>
      <c r="FK5134" s="67"/>
      <c r="FL5134" s="67"/>
      <c r="FM5134" s="67"/>
      <c r="FN5134" s="67"/>
      <c r="FO5134" s="67"/>
      <c r="FP5134" s="67"/>
      <c r="FQ5134" s="67"/>
      <c r="FR5134" s="67"/>
      <c r="FS5134" s="67"/>
      <c r="FT5134" s="67"/>
      <c r="FU5134" s="67"/>
      <c r="FV5134" s="67"/>
      <c r="FW5134" s="67"/>
      <c r="FX5134" s="67"/>
      <c r="FY5134" s="67"/>
      <c r="FZ5134" s="67"/>
      <c r="GA5134" s="67"/>
      <c r="GB5134" s="67"/>
      <c r="GC5134" s="67"/>
      <c r="GD5134" s="67"/>
      <c r="GE5134" s="67"/>
      <c r="GF5134" s="67"/>
      <c r="GG5134" s="67"/>
      <c r="GH5134" s="67"/>
      <c r="GI5134" s="67"/>
      <c r="GJ5134" s="67"/>
      <c r="GK5134" s="67"/>
      <c r="GL5134" s="67"/>
      <c r="GM5134" s="67"/>
      <c r="GN5134" s="292"/>
      <c r="GO5134" s="292"/>
      <c r="GP5134" s="292" t="s">
        <v>7494</v>
      </c>
      <c r="GQ5134" s="67"/>
      <c r="GR5134" s="67"/>
      <c r="GS5134" s="67"/>
      <c r="GT5134" s="67"/>
      <c r="GU5134" s="67"/>
      <c r="GV5134" s="67"/>
      <c r="GW5134" s="67"/>
      <c r="GX5134" s="67"/>
      <c r="GY5134" s="67"/>
      <c r="GZ5134" s="67"/>
      <c r="HA5134" s="67"/>
      <c r="HB5134" s="67"/>
      <c r="HC5134" s="67"/>
      <c r="HD5134" s="67"/>
      <c r="HE5134" s="67"/>
      <c r="HF5134" s="67"/>
      <c r="HG5134" s="67"/>
      <c r="HH5134" s="67"/>
      <c r="HI5134" s="67"/>
      <c r="HJ5134" s="67"/>
      <c r="HK5134" s="67"/>
      <c r="HL5134" s="67"/>
      <c r="HM5134" s="67"/>
      <c r="HN5134" s="67"/>
      <c r="HO5134" s="67"/>
      <c r="HP5134" s="67"/>
      <c r="HQ5134" s="67"/>
      <c r="HR5134" s="67"/>
      <c r="HS5134" s="67"/>
      <c r="HT5134" s="67"/>
      <c r="HU5134" s="67"/>
      <c r="HV5134" s="67"/>
      <c r="HW5134" s="67"/>
      <c r="HX5134" s="67"/>
      <c r="HY5134" s="67"/>
      <c r="HZ5134" s="67"/>
      <c r="IA5134" s="67"/>
      <c r="IB5134" s="67"/>
      <c r="IC5134" s="67"/>
      <c r="ID5134" s="67"/>
      <c r="IE5134" s="67"/>
      <c r="IF5134" s="67"/>
      <c r="IG5134" s="67"/>
      <c r="IH5134" s="67"/>
      <c r="II5134" s="67"/>
      <c r="IJ5134" s="67"/>
      <c r="IK5134" s="67"/>
      <c r="IL5134" s="67"/>
      <c r="IM5134" s="67"/>
      <c r="IN5134" s="67"/>
      <c r="IO5134" s="67"/>
      <c r="IP5134" s="67"/>
      <c r="IQ5134" s="67"/>
      <c r="IR5134" s="67"/>
      <c r="IS5134" s="67"/>
      <c r="IT5134" s="67"/>
      <c r="IU5134" s="67"/>
      <c r="IV5134" s="67"/>
      <c r="IW5134" s="67"/>
      <c r="IX5134" s="67"/>
      <c r="IY5134" s="67"/>
      <c r="IZ5134" s="67"/>
      <c r="JA5134" s="67"/>
      <c r="JB5134" s="67"/>
      <c r="JC5134" s="67"/>
      <c r="JD5134" s="67"/>
      <c r="JE5134" s="67"/>
      <c r="JF5134" s="67"/>
      <c r="JG5134" s="67"/>
      <c r="JH5134" s="67"/>
      <c r="JI5134" s="67"/>
      <c r="JJ5134" s="67"/>
      <c r="JK5134" s="67"/>
      <c r="JL5134" s="67"/>
      <c r="JM5134" s="67"/>
      <c r="JN5134" s="67"/>
      <c r="JO5134" s="67"/>
      <c r="JP5134" s="67"/>
      <c r="JQ5134" s="67"/>
      <c r="JR5134" s="67"/>
      <c r="JS5134" s="67"/>
      <c r="JT5134" s="67"/>
      <c r="JU5134" s="58"/>
      <c r="JV5134" s="58"/>
      <c r="JW5134" s="58"/>
    </row>
    <row r="5135" spans="1:283" s="23" customFormat="1" x14ac:dyDescent="0.25">
      <c r="A5135" s="55">
        <v>5134</v>
      </c>
      <c r="B5135" s="12" t="s">
        <v>7067</v>
      </c>
      <c r="C5135" s="156">
        <v>270</v>
      </c>
      <c r="D5135" s="58" t="s">
        <v>5035</v>
      </c>
      <c r="E5135" s="160" t="str">
        <f>G5135</f>
        <v>Romanya and Rovira, 2009_rain-fed</v>
      </c>
      <c r="F5135" s="160"/>
      <c r="G5135" s="60" t="s">
        <v>4689</v>
      </c>
      <c r="H5135" s="58">
        <v>2009</v>
      </c>
      <c r="I5135" s="58" t="s">
        <v>5483</v>
      </c>
      <c r="J5135" s="243" t="s">
        <v>1397</v>
      </c>
      <c r="K5135" s="63" t="s">
        <v>5075</v>
      </c>
      <c r="L5135" s="58" t="s">
        <v>4516</v>
      </c>
      <c r="M5135" s="94">
        <f>41+49/60</f>
        <v>41.81666666666667</v>
      </c>
      <c r="N5135" s="94">
        <f>-2/60</f>
        <v>-3.3333333333333333E-2</v>
      </c>
      <c r="O5135" s="94">
        <v>300</v>
      </c>
      <c r="P5135" s="58"/>
      <c r="Q5135" s="244">
        <v>14.4</v>
      </c>
      <c r="R5135" s="58"/>
      <c r="S5135" s="245">
        <v>436.60000000000008</v>
      </c>
      <c r="T5135" s="58"/>
      <c r="U5135" s="58" t="s">
        <v>1681</v>
      </c>
      <c r="V5135" s="244">
        <v>18</v>
      </c>
      <c r="W5135" s="174"/>
      <c r="X5135" s="174"/>
      <c r="Y5135" s="58" t="s">
        <v>5814</v>
      </c>
      <c r="Z5135" s="244" t="s">
        <v>1355</v>
      </c>
      <c r="AA5135" s="245">
        <v>10</v>
      </c>
      <c r="AB5135" s="67"/>
      <c r="AC5135" s="67"/>
      <c r="AD5135" s="94"/>
      <c r="AE5135" s="94"/>
      <c r="AF5135" s="94"/>
      <c r="AG5135" s="245"/>
      <c r="AH5135" s="58"/>
      <c r="AI5135" s="169"/>
      <c r="AJ5135" s="94"/>
      <c r="AK5135" s="94"/>
      <c r="AL5135" s="58"/>
      <c r="AM5135" s="58"/>
      <c r="AN5135" s="186"/>
      <c r="AO5135" s="185" t="s">
        <v>5150</v>
      </c>
      <c r="AP5135" s="58"/>
      <c r="AQ5135" s="58"/>
      <c r="AR5135" s="58"/>
      <c r="AS5135" s="246" t="s">
        <v>5133</v>
      </c>
      <c r="AT5135" s="247">
        <v>0</v>
      </c>
      <c r="AU5135" s="181" t="s">
        <v>7494</v>
      </c>
      <c r="AV5135" s="185" t="s">
        <v>176</v>
      </c>
      <c r="AW5135" s="244">
        <v>0</v>
      </c>
      <c r="AX5135" s="185" t="s">
        <v>176</v>
      </c>
      <c r="AY5135" s="244" t="s">
        <v>176</v>
      </c>
      <c r="AZ5135" s="58"/>
      <c r="BA5135" s="58"/>
      <c r="BB5135" s="58"/>
      <c r="BC5135" s="58"/>
      <c r="BD5135" s="58"/>
      <c r="BE5135" s="236" t="s">
        <v>5153</v>
      </c>
      <c r="BF5135" s="191"/>
      <c r="BG5135" s="191" t="s">
        <v>176</v>
      </c>
      <c r="BH5135" s="236" t="s">
        <v>5287</v>
      </c>
      <c r="BI5135" s="191" t="s">
        <v>479</v>
      </c>
      <c r="BJ5135" s="58" t="str">
        <f>IF(BE5135=BH5135,"No","yes")</f>
        <v>yes</v>
      </c>
      <c r="BK5135" s="58" t="s">
        <v>6334</v>
      </c>
      <c r="BL5135" s="58"/>
      <c r="BM5135" s="237"/>
      <c r="BN5135" s="244">
        <v>4</v>
      </c>
      <c r="BO5135" s="244">
        <v>4</v>
      </c>
      <c r="BP5135" s="58"/>
      <c r="BQ5135" s="58"/>
      <c r="BR5135" s="58"/>
      <c r="BS5135" s="58"/>
      <c r="BT5135" s="58"/>
      <c r="BU5135" s="58"/>
      <c r="BV5135" s="58" t="s">
        <v>5815</v>
      </c>
      <c r="BW5135" s="67"/>
      <c r="BX5135" s="67"/>
      <c r="BY5135" s="67"/>
      <c r="BZ5135" s="67"/>
      <c r="CA5135" s="67"/>
      <c r="CB5135" s="70"/>
      <c r="CC5135" s="70"/>
      <c r="CD5135" s="70"/>
      <c r="CE5135" s="67"/>
      <c r="CF5135" s="67"/>
      <c r="CG5135" s="67"/>
      <c r="CH5135" s="245"/>
      <c r="CI5135" s="245"/>
      <c r="CJ5135" s="67"/>
      <c r="CK5135" s="67"/>
      <c r="CL5135" s="67"/>
      <c r="CM5135" s="242">
        <v>0.91</v>
      </c>
      <c r="CN5135" s="242">
        <v>0.79</v>
      </c>
      <c r="CO5135" s="242">
        <v>0.12</v>
      </c>
      <c r="CP5135" s="242">
        <v>0.06</v>
      </c>
      <c r="CQ5135" s="242" t="s">
        <v>164</v>
      </c>
      <c r="CR5135" s="242"/>
      <c r="CS5135" s="242"/>
      <c r="CT5135" s="242"/>
      <c r="CU5135" s="242"/>
      <c r="CV5135" s="242"/>
      <c r="CW5135" s="242"/>
      <c r="CX5135" s="242"/>
      <c r="CY5135" s="242"/>
      <c r="CZ5135" s="242"/>
      <c r="DA5135" s="67" t="s">
        <v>5443</v>
      </c>
      <c r="DB5135" s="67">
        <v>1.05</v>
      </c>
      <c r="DC5135" s="67">
        <v>0.85</v>
      </c>
      <c r="DD5135" s="67">
        <v>0.12</v>
      </c>
      <c r="DE5135" s="67">
        <v>0.1</v>
      </c>
      <c r="DF5135" s="67" t="s">
        <v>5816</v>
      </c>
      <c r="DG5135" s="67"/>
      <c r="DH5135" s="67"/>
      <c r="DI5135" s="67"/>
      <c r="DJ5135" s="67"/>
      <c r="DK5135" s="67"/>
      <c r="DL5135" s="67"/>
      <c r="DM5135" s="67"/>
      <c r="DN5135" s="67"/>
      <c r="DO5135" s="67"/>
      <c r="DP5135" s="67"/>
      <c r="DQ5135" s="166">
        <v>8.52</v>
      </c>
      <c r="DR5135" s="166">
        <v>8.56</v>
      </c>
      <c r="DS5135" s="163">
        <v>0.1</v>
      </c>
      <c r="DT5135" s="163">
        <v>0.1</v>
      </c>
      <c r="DU5135" s="67"/>
      <c r="DV5135" s="67"/>
      <c r="DW5135" s="67"/>
      <c r="DX5135" s="67"/>
      <c r="DY5135" s="67"/>
      <c r="DZ5135" s="67"/>
      <c r="EA5135" s="67"/>
      <c r="EB5135" s="67"/>
      <c r="EC5135" s="67"/>
      <c r="ED5135" s="67"/>
      <c r="EE5135" s="67"/>
      <c r="EF5135" s="67"/>
      <c r="EG5135" s="67"/>
      <c r="EH5135" s="67"/>
      <c r="EI5135" s="67"/>
      <c r="EJ5135" s="67"/>
      <c r="EK5135" s="94"/>
      <c r="EL5135" s="94"/>
      <c r="EM5135" s="67"/>
      <c r="EN5135" s="67"/>
      <c r="EO5135" s="67"/>
      <c r="EP5135" s="67"/>
      <c r="EQ5135" s="67"/>
      <c r="ER5135" s="67"/>
      <c r="ES5135" s="67"/>
      <c r="ET5135" s="67"/>
      <c r="EU5135" s="67"/>
      <c r="EV5135" s="67"/>
      <c r="EW5135" s="67"/>
      <c r="EX5135" s="67"/>
      <c r="EY5135" s="67"/>
      <c r="EZ5135" s="67"/>
      <c r="FA5135" s="67"/>
      <c r="FB5135" s="67"/>
      <c r="FC5135" s="67"/>
      <c r="FD5135" s="67"/>
      <c r="FE5135" s="67"/>
      <c r="FF5135" s="67"/>
      <c r="FG5135" s="67"/>
      <c r="FH5135" s="67"/>
      <c r="FI5135" s="67"/>
      <c r="FJ5135" s="67"/>
      <c r="FK5135" s="67"/>
      <c r="FL5135" s="67"/>
      <c r="FM5135" s="67"/>
      <c r="FN5135" s="67"/>
      <c r="FO5135" s="67"/>
      <c r="FP5135" s="67"/>
      <c r="FQ5135" s="67"/>
      <c r="FR5135" s="67"/>
      <c r="FS5135" s="67"/>
      <c r="FT5135" s="67"/>
      <c r="FU5135" s="67"/>
      <c r="FV5135" s="67"/>
      <c r="FW5135" s="67"/>
      <c r="FX5135" s="67"/>
      <c r="FY5135" s="67"/>
      <c r="FZ5135" s="67"/>
      <c r="GA5135" s="67"/>
      <c r="GB5135" s="67"/>
      <c r="GC5135" s="67"/>
      <c r="GD5135" s="67"/>
      <c r="GE5135" s="67"/>
      <c r="GF5135" s="67"/>
      <c r="GG5135" s="67"/>
      <c r="GH5135" s="67"/>
      <c r="GI5135" s="67"/>
      <c r="GJ5135" s="67"/>
      <c r="GK5135" s="67"/>
      <c r="GL5135" s="67"/>
      <c r="GM5135" s="67"/>
      <c r="GN5135" s="292"/>
      <c r="GO5135" s="292"/>
      <c r="GP5135" s="292" t="s">
        <v>7494</v>
      </c>
      <c r="GQ5135" s="67"/>
      <c r="GR5135" s="67"/>
      <c r="GS5135" s="67"/>
      <c r="GT5135" s="67"/>
      <c r="GU5135" s="67"/>
      <c r="GV5135" s="67"/>
      <c r="GW5135" s="67"/>
      <c r="GX5135" s="67"/>
      <c r="GY5135" s="67"/>
      <c r="GZ5135" s="67"/>
      <c r="HA5135" s="67"/>
      <c r="HB5135" s="67"/>
      <c r="HC5135" s="67"/>
      <c r="HD5135" s="67"/>
      <c r="HE5135" s="67"/>
      <c r="HF5135" s="67"/>
      <c r="HG5135" s="67"/>
      <c r="HH5135" s="67"/>
      <c r="HI5135" s="67"/>
      <c r="HJ5135" s="67"/>
      <c r="HK5135" s="67"/>
      <c r="HL5135" s="67"/>
      <c r="HM5135" s="67"/>
      <c r="HN5135" s="67"/>
      <c r="HO5135" s="67"/>
      <c r="HP5135" s="67"/>
      <c r="HQ5135" s="67"/>
      <c r="HR5135" s="67"/>
      <c r="HS5135" s="67"/>
      <c r="HT5135" s="67"/>
      <c r="HU5135" s="67"/>
      <c r="HV5135" s="67"/>
      <c r="HW5135" s="67"/>
      <c r="HX5135" s="67"/>
      <c r="HY5135" s="67"/>
      <c r="HZ5135" s="67"/>
      <c r="IA5135" s="67"/>
      <c r="IB5135" s="67"/>
      <c r="IC5135" s="67"/>
      <c r="ID5135" s="67"/>
      <c r="IE5135" s="67"/>
      <c r="IF5135" s="67"/>
      <c r="IG5135" s="67"/>
      <c r="IH5135" s="67"/>
      <c r="II5135" s="67"/>
      <c r="IJ5135" s="67"/>
      <c r="IK5135" s="67"/>
      <c r="IL5135" s="67"/>
      <c r="IM5135" s="67"/>
      <c r="IN5135" s="67"/>
      <c r="IO5135" s="67"/>
      <c r="IP5135" s="67"/>
      <c r="IQ5135" s="67"/>
      <c r="IR5135" s="67"/>
      <c r="IS5135" s="67"/>
      <c r="IT5135" s="67"/>
      <c r="IU5135" s="67"/>
      <c r="IV5135" s="67"/>
      <c r="IW5135" s="67"/>
      <c r="IX5135" s="67"/>
      <c r="IY5135" s="67"/>
      <c r="IZ5135" s="67"/>
      <c r="JA5135" s="67"/>
      <c r="JB5135" s="67"/>
      <c r="JC5135" s="67"/>
      <c r="JD5135" s="67"/>
      <c r="JE5135" s="67"/>
      <c r="JF5135" s="67"/>
      <c r="JG5135" s="67"/>
      <c r="JH5135" s="67"/>
      <c r="JI5135" s="67"/>
      <c r="JJ5135" s="67"/>
      <c r="JK5135" s="67"/>
      <c r="JL5135" s="67"/>
      <c r="JM5135" s="67"/>
      <c r="JN5135" s="67"/>
      <c r="JO5135" s="67"/>
      <c r="JP5135" s="67"/>
      <c r="JQ5135" s="67"/>
      <c r="JR5135" s="67"/>
      <c r="JS5135" s="67"/>
      <c r="JT5135" s="67"/>
      <c r="JU5135" s="58"/>
      <c r="JV5135" s="58"/>
      <c r="JW5135" s="58"/>
    </row>
    <row r="5136" spans="1:283" s="23" customFormat="1" x14ac:dyDescent="0.25">
      <c r="A5136" s="55">
        <v>5135</v>
      </c>
      <c r="B5136" s="12" t="s">
        <v>7067</v>
      </c>
      <c r="C5136" s="156">
        <v>270</v>
      </c>
      <c r="D5136" s="58" t="s">
        <v>5817</v>
      </c>
      <c r="E5136" s="160" t="str">
        <f>G5136</f>
        <v>Romanya and Rovira, 2009_irrigated</v>
      </c>
      <c r="F5136" s="160"/>
      <c r="G5136" s="60" t="s">
        <v>4690</v>
      </c>
      <c r="H5136" s="58">
        <v>2009</v>
      </c>
      <c r="I5136" s="58" t="s">
        <v>5483</v>
      </c>
      <c r="J5136" s="243" t="s">
        <v>1397</v>
      </c>
      <c r="K5136" s="63" t="s">
        <v>5075</v>
      </c>
      <c r="L5136" s="58" t="s">
        <v>4516</v>
      </c>
      <c r="M5136" s="94">
        <f>41+49/60</f>
        <v>41.81666666666667</v>
      </c>
      <c r="N5136" s="94">
        <f>-2/60</f>
        <v>-3.3333333333333333E-2</v>
      </c>
      <c r="O5136" s="94">
        <v>300</v>
      </c>
      <c r="P5136" s="58"/>
      <c r="Q5136" s="244">
        <v>14.4</v>
      </c>
      <c r="R5136" s="58"/>
      <c r="S5136" s="245">
        <v>436.60000000000008</v>
      </c>
      <c r="T5136" s="58"/>
      <c r="U5136" s="58" t="s">
        <v>1681</v>
      </c>
      <c r="V5136" s="244">
        <v>18</v>
      </c>
      <c r="W5136" s="174"/>
      <c r="X5136" s="174"/>
      <c r="Y5136" s="58" t="s">
        <v>5814</v>
      </c>
      <c r="Z5136" s="244" t="s">
        <v>1359</v>
      </c>
      <c r="AA5136" s="245">
        <v>10</v>
      </c>
      <c r="AB5136" s="67"/>
      <c r="AC5136" s="67"/>
      <c r="AD5136" s="94"/>
      <c r="AE5136" s="94"/>
      <c r="AF5136" s="94"/>
      <c r="AG5136" s="245"/>
      <c r="AH5136" s="58"/>
      <c r="AI5136" s="169"/>
      <c r="AJ5136" s="94"/>
      <c r="AK5136" s="94"/>
      <c r="AL5136" s="58"/>
      <c r="AM5136" s="58"/>
      <c r="AN5136" s="186"/>
      <c r="AO5136" s="185" t="s">
        <v>5150</v>
      </c>
      <c r="AP5136" s="58"/>
      <c r="AQ5136" s="58"/>
      <c r="AR5136" s="58"/>
      <c r="AS5136" s="246" t="s">
        <v>5133</v>
      </c>
      <c r="AT5136" s="247">
        <v>0</v>
      </c>
      <c r="AU5136" s="181" t="s">
        <v>7494</v>
      </c>
      <c r="AV5136" s="185" t="s">
        <v>176</v>
      </c>
      <c r="AW5136" s="244">
        <v>0</v>
      </c>
      <c r="AX5136" s="185" t="s">
        <v>176</v>
      </c>
      <c r="AY5136" s="244" t="s">
        <v>176</v>
      </c>
      <c r="AZ5136" s="58"/>
      <c r="BA5136" s="58"/>
      <c r="BB5136" s="58"/>
      <c r="BC5136" s="58"/>
      <c r="BD5136" s="58"/>
      <c r="BE5136" s="236" t="s">
        <v>5153</v>
      </c>
      <c r="BF5136" s="191"/>
      <c r="BG5136" s="191" t="s">
        <v>176</v>
      </c>
      <c r="BH5136" s="236" t="s">
        <v>5286</v>
      </c>
      <c r="BI5136" s="191" t="s">
        <v>479</v>
      </c>
      <c r="BJ5136" s="58" t="str">
        <f>IF(BE5136=BH5136,"No","yes")</f>
        <v>yes</v>
      </c>
      <c r="BK5136" s="58" t="s">
        <v>6334</v>
      </c>
      <c r="BL5136" s="58"/>
      <c r="BM5136" s="237"/>
      <c r="BN5136" s="244">
        <v>4</v>
      </c>
      <c r="BO5136" s="244">
        <v>4</v>
      </c>
      <c r="BP5136" s="58"/>
      <c r="BQ5136" s="58"/>
      <c r="BR5136" s="58"/>
      <c r="BS5136" s="58"/>
      <c r="BT5136" s="58"/>
      <c r="BU5136" s="58"/>
      <c r="BV5136" s="58" t="s">
        <v>1024</v>
      </c>
      <c r="BW5136" s="67"/>
      <c r="BX5136" s="67"/>
      <c r="BY5136" s="67"/>
      <c r="BZ5136" s="67"/>
      <c r="CA5136" s="67"/>
      <c r="CB5136" s="70"/>
      <c r="CC5136" s="70"/>
      <c r="CD5136" s="70"/>
      <c r="CE5136" s="67"/>
      <c r="CF5136" s="67"/>
      <c r="CG5136" s="67"/>
      <c r="CH5136" s="245"/>
      <c r="CI5136" s="245"/>
      <c r="CJ5136" s="67"/>
      <c r="CK5136" s="67"/>
      <c r="CL5136" s="67"/>
      <c r="CM5136" s="242">
        <v>0.69</v>
      </c>
      <c r="CN5136" s="242">
        <v>0.86</v>
      </c>
      <c r="CO5136" s="242">
        <v>0.12</v>
      </c>
      <c r="CP5136" s="242">
        <v>0.14000000000000001</v>
      </c>
      <c r="CQ5136" s="242" t="s">
        <v>164</v>
      </c>
      <c r="CR5136" s="242"/>
      <c r="CS5136" s="242"/>
      <c r="CT5136" s="242"/>
      <c r="CU5136" s="242"/>
      <c r="CV5136" s="242"/>
      <c r="CW5136" s="242"/>
      <c r="CX5136" s="242"/>
      <c r="CY5136" s="242"/>
      <c r="CZ5136" s="242"/>
      <c r="DA5136" s="67" t="s">
        <v>5443</v>
      </c>
      <c r="DB5136" s="67">
        <v>0.88</v>
      </c>
      <c r="DC5136" s="67">
        <v>0.95</v>
      </c>
      <c r="DD5136" s="67">
        <v>0.16</v>
      </c>
      <c r="DE5136" s="67">
        <v>0.14000000000000001</v>
      </c>
      <c r="DF5136" s="67" t="s">
        <v>5816</v>
      </c>
      <c r="DG5136" s="67"/>
      <c r="DH5136" s="67"/>
      <c r="DI5136" s="67"/>
      <c r="DJ5136" s="67"/>
      <c r="DK5136" s="67"/>
      <c r="DL5136" s="67"/>
      <c r="DM5136" s="67"/>
      <c r="DN5136" s="67"/>
      <c r="DO5136" s="67"/>
      <c r="DP5136" s="67"/>
      <c r="DQ5136" s="166">
        <v>8.92</v>
      </c>
      <c r="DR5136" s="166">
        <v>8.58</v>
      </c>
      <c r="DS5136" s="163">
        <v>0.1</v>
      </c>
      <c r="DT5136" s="163">
        <v>0.12</v>
      </c>
      <c r="DU5136" s="67"/>
      <c r="DV5136" s="67"/>
      <c r="DW5136" s="67"/>
      <c r="DX5136" s="67"/>
      <c r="DY5136" s="67"/>
      <c r="DZ5136" s="67"/>
      <c r="EA5136" s="67"/>
      <c r="EB5136" s="67"/>
      <c r="EC5136" s="67"/>
      <c r="ED5136" s="67"/>
      <c r="EE5136" s="67"/>
      <c r="EF5136" s="67"/>
      <c r="EG5136" s="67"/>
      <c r="EH5136" s="67"/>
      <c r="EI5136" s="67"/>
      <c r="EJ5136" s="67"/>
      <c r="EK5136" s="94"/>
      <c r="EL5136" s="94"/>
      <c r="EM5136" s="67"/>
      <c r="EN5136" s="67"/>
      <c r="EO5136" s="67"/>
      <c r="EP5136" s="67"/>
      <c r="EQ5136" s="67"/>
      <c r="ER5136" s="67"/>
      <c r="ES5136" s="67"/>
      <c r="ET5136" s="67"/>
      <c r="EU5136" s="67"/>
      <c r="EV5136" s="67"/>
      <c r="EW5136" s="67"/>
      <c r="EX5136" s="67"/>
      <c r="EY5136" s="67"/>
      <c r="EZ5136" s="67"/>
      <c r="FA5136" s="67"/>
      <c r="FB5136" s="67"/>
      <c r="FC5136" s="67"/>
      <c r="FD5136" s="67"/>
      <c r="FE5136" s="67"/>
      <c r="FF5136" s="67"/>
      <c r="FG5136" s="67"/>
      <c r="FH5136" s="67"/>
      <c r="FI5136" s="67"/>
      <c r="FJ5136" s="67"/>
      <c r="FK5136" s="67"/>
      <c r="FL5136" s="67"/>
      <c r="FM5136" s="67"/>
      <c r="FN5136" s="67"/>
      <c r="FO5136" s="67"/>
      <c r="FP5136" s="67"/>
      <c r="FQ5136" s="67"/>
      <c r="FR5136" s="67"/>
      <c r="FS5136" s="67"/>
      <c r="FT5136" s="67"/>
      <c r="FU5136" s="67"/>
      <c r="FV5136" s="67"/>
      <c r="FW5136" s="67"/>
      <c r="FX5136" s="67"/>
      <c r="FY5136" s="67"/>
      <c r="FZ5136" s="67"/>
      <c r="GA5136" s="67"/>
      <c r="GB5136" s="67"/>
      <c r="GC5136" s="67"/>
      <c r="GD5136" s="67"/>
      <c r="GE5136" s="67"/>
      <c r="GF5136" s="67"/>
      <c r="GG5136" s="67"/>
      <c r="GH5136" s="67"/>
      <c r="GI5136" s="67"/>
      <c r="GJ5136" s="67"/>
      <c r="GK5136" s="67"/>
      <c r="GL5136" s="67"/>
      <c r="GM5136" s="67"/>
      <c r="GN5136" s="292"/>
      <c r="GO5136" s="292"/>
      <c r="GP5136" s="292" t="s">
        <v>7494</v>
      </c>
      <c r="GQ5136" s="67"/>
      <c r="GR5136" s="67"/>
      <c r="GS5136" s="67"/>
      <c r="GT5136" s="67"/>
      <c r="GU5136" s="67"/>
      <c r="GV5136" s="67"/>
      <c r="GW5136" s="67"/>
      <c r="GX5136" s="67"/>
      <c r="GY5136" s="67"/>
      <c r="GZ5136" s="67"/>
      <c r="HA5136" s="67"/>
      <c r="HB5136" s="67"/>
      <c r="HC5136" s="67"/>
      <c r="HD5136" s="67"/>
      <c r="HE5136" s="67"/>
      <c r="HF5136" s="67"/>
      <c r="HG5136" s="67"/>
      <c r="HH5136" s="67"/>
      <c r="HI5136" s="67"/>
      <c r="HJ5136" s="67"/>
      <c r="HK5136" s="67"/>
      <c r="HL5136" s="67"/>
      <c r="HM5136" s="67"/>
      <c r="HN5136" s="67"/>
      <c r="HO5136" s="67"/>
      <c r="HP5136" s="67"/>
      <c r="HQ5136" s="67"/>
      <c r="HR5136" s="67"/>
      <c r="HS5136" s="67"/>
      <c r="HT5136" s="67"/>
      <c r="HU5136" s="67"/>
      <c r="HV5136" s="67"/>
      <c r="HW5136" s="67"/>
      <c r="HX5136" s="67"/>
      <c r="HY5136" s="67"/>
      <c r="HZ5136" s="67"/>
      <c r="IA5136" s="67"/>
      <c r="IB5136" s="67"/>
      <c r="IC5136" s="67"/>
      <c r="ID5136" s="67"/>
      <c r="IE5136" s="67"/>
      <c r="IF5136" s="67"/>
      <c r="IG5136" s="67"/>
      <c r="IH5136" s="67"/>
      <c r="II5136" s="67"/>
      <c r="IJ5136" s="67"/>
      <c r="IK5136" s="67"/>
      <c r="IL5136" s="67"/>
      <c r="IM5136" s="67"/>
      <c r="IN5136" s="67"/>
      <c r="IO5136" s="67"/>
      <c r="IP5136" s="67"/>
      <c r="IQ5136" s="67"/>
      <c r="IR5136" s="67"/>
      <c r="IS5136" s="67"/>
      <c r="IT5136" s="67"/>
      <c r="IU5136" s="67"/>
      <c r="IV5136" s="67"/>
      <c r="IW5136" s="67"/>
      <c r="IX5136" s="67"/>
      <c r="IY5136" s="67"/>
      <c r="IZ5136" s="67"/>
      <c r="JA5136" s="67"/>
      <c r="JB5136" s="67"/>
      <c r="JC5136" s="67"/>
      <c r="JD5136" s="67"/>
      <c r="JE5136" s="67"/>
      <c r="JF5136" s="67"/>
      <c r="JG5136" s="67"/>
      <c r="JH5136" s="67"/>
      <c r="JI5136" s="67"/>
      <c r="JJ5136" s="67"/>
      <c r="JK5136" s="67"/>
      <c r="JL5136" s="67"/>
      <c r="JM5136" s="67"/>
      <c r="JN5136" s="67"/>
      <c r="JO5136" s="67"/>
      <c r="JP5136" s="67"/>
      <c r="JQ5136" s="67"/>
      <c r="JR5136" s="67"/>
      <c r="JS5136" s="67"/>
      <c r="JT5136" s="67"/>
      <c r="JU5136" s="58"/>
      <c r="JV5136" s="58"/>
      <c r="JW5136" s="58"/>
    </row>
    <row r="5137" spans="1:283" s="23" customFormat="1" x14ac:dyDescent="0.25">
      <c r="A5137" s="55">
        <v>5136</v>
      </c>
      <c r="B5137" s="12" t="s">
        <v>7067</v>
      </c>
      <c r="C5137" s="156">
        <v>270</v>
      </c>
      <c r="D5137" s="58" t="s">
        <v>5818</v>
      </c>
      <c r="E5137" s="160" t="str">
        <f>G5137</f>
        <v>Romanya and Rovira, 2009_rain-fed</v>
      </c>
      <c r="F5137" s="160"/>
      <c r="G5137" s="60" t="s">
        <v>4689</v>
      </c>
      <c r="H5137" s="58">
        <v>2009</v>
      </c>
      <c r="I5137" s="58" t="s">
        <v>5483</v>
      </c>
      <c r="J5137" s="243" t="s">
        <v>1397</v>
      </c>
      <c r="K5137" s="63" t="s">
        <v>5075</v>
      </c>
      <c r="L5137" s="58" t="s">
        <v>4516</v>
      </c>
      <c r="M5137" s="94">
        <f>41+49/60</f>
        <v>41.81666666666667</v>
      </c>
      <c r="N5137" s="94">
        <f>-2/60</f>
        <v>-3.3333333333333333E-2</v>
      </c>
      <c r="O5137" s="94">
        <v>300</v>
      </c>
      <c r="P5137" s="58"/>
      <c r="Q5137" s="244">
        <v>14.4</v>
      </c>
      <c r="R5137" s="58"/>
      <c r="S5137" s="245">
        <v>436.60000000000008</v>
      </c>
      <c r="T5137" s="58"/>
      <c r="U5137" s="58" t="s">
        <v>1681</v>
      </c>
      <c r="V5137" s="244">
        <v>18</v>
      </c>
      <c r="W5137" s="174"/>
      <c r="X5137" s="174"/>
      <c r="Y5137" s="58" t="s">
        <v>5814</v>
      </c>
      <c r="Z5137" s="244" t="s">
        <v>1359</v>
      </c>
      <c r="AA5137" s="245">
        <v>10</v>
      </c>
      <c r="AB5137" s="67"/>
      <c r="AC5137" s="67"/>
      <c r="AD5137" s="94"/>
      <c r="AE5137" s="94"/>
      <c r="AF5137" s="94"/>
      <c r="AG5137" s="245"/>
      <c r="AH5137" s="58"/>
      <c r="AI5137" s="169"/>
      <c r="AJ5137" s="94"/>
      <c r="AK5137" s="94"/>
      <c r="AL5137" s="58"/>
      <c r="AM5137" s="58"/>
      <c r="AN5137" s="186"/>
      <c r="AO5137" s="185" t="s">
        <v>5150</v>
      </c>
      <c r="AP5137" s="58"/>
      <c r="AQ5137" s="58"/>
      <c r="AR5137" s="58"/>
      <c r="AS5137" s="246" t="s">
        <v>5133</v>
      </c>
      <c r="AT5137" s="247">
        <v>0</v>
      </c>
      <c r="AU5137" s="181" t="s">
        <v>7494</v>
      </c>
      <c r="AV5137" s="185" t="s">
        <v>176</v>
      </c>
      <c r="AW5137" s="244">
        <v>0</v>
      </c>
      <c r="AX5137" s="185" t="s">
        <v>176</v>
      </c>
      <c r="AY5137" s="244" t="s">
        <v>176</v>
      </c>
      <c r="AZ5137" s="58"/>
      <c r="BA5137" s="58"/>
      <c r="BB5137" s="58"/>
      <c r="BC5137" s="58"/>
      <c r="BD5137" s="58"/>
      <c r="BE5137" s="236" t="s">
        <v>5153</v>
      </c>
      <c r="BF5137" s="191"/>
      <c r="BG5137" s="191" t="s">
        <v>176</v>
      </c>
      <c r="BH5137" s="236" t="s">
        <v>5287</v>
      </c>
      <c r="BI5137" s="191" t="s">
        <v>479</v>
      </c>
      <c r="BJ5137" s="58" t="str">
        <f>IF(BE5137=BH5137,"No","yes")</f>
        <v>yes</v>
      </c>
      <c r="BK5137" s="58" t="s">
        <v>6334</v>
      </c>
      <c r="BL5137" s="58"/>
      <c r="BM5137" s="237"/>
      <c r="BN5137" s="244">
        <v>4</v>
      </c>
      <c r="BO5137" s="244">
        <v>4</v>
      </c>
      <c r="BP5137" s="58"/>
      <c r="BQ5137" s="58"/>
      <c r="BR5137" s="58"/>
      <c r="BS5137" s="58"/>
      <c r="BT5137" s="58"/>
      <c r="BU5137" s="58"/>
      <c r="BV5137" s="58" t="s">
        <v>5815</v>
      </c>
      <c r="BW5137" s="67"/>
      <c r="BX5137" s="67"/>
      <c r="BY5137" s="67"/>
      <c r="BZ5137" s="67"/>
      <c r="CA5137" s="67"/>
      <c r="CB5137" s="70"/>
      <c r="CC5137" s="70"/>
      <c r="CD5137" s="70"/>
      <c r="CE5137" s="67"/>
      <c r="CF5137" s="67"/>
      <c r="CG5137" s="67"/>
      <c r="CH5137" s="245"/>
      <c r="CI5137" s="245"/>
      <c r="CJ5137" s="67"/>
      <c r="CK5137" s="67"/>
      <c r="CL5137" s="67"/>
      <c r="CM5137" s="242">
        <v>0.85</v>
      </c>
      <c r="CN5137" s="242">
        <v>0.72</v>
      </c>
      <c r="CO5137" s="242">
        <v>0.12</v>
      </c>
      <c r="CP5137" s="242">
        <v>0.06</v>
      </c>
      <c r="CQ5137" s="242" t="s">
        <v>164</v>
      </c>
      <c r="CR5137" s="242"/>
      <c r="CS5137" s="242"/>
      <c r="CT5137" s="242"/>
      <c r="CU5137" s="242"/>
      <c r="CV5137" s="242"/>
      <c r="CW5137" s="242"/>
      <c r="CX5137" s="242"/>
      <c r="CY5137" s="242"/>
      <c r="CZ5137" s="242"/>
      <c r="DA5137" s="67" t="s">
        <v>5443</v>
      </c>
      <c r="DB5137" s="67">
        <v>0.96</v>
      </c>
      <c r="DC5137" s="67">
        <v>0.78</v>
      </c>
      <c r="DD5137" s="67">
        <v>0.12</v>
      </c>
      <c r="DE5137" s="67">
        <v>0.08</v>
      </c>
      <c r="DF5137" s="67" t="s">
        <v>5816</v>
      </c>
      <c r="DG5137" s="67"/>
      <c r="DH5137" s="67"/>
      <c r="DI5137" s="67"/>
      <c r="DJ5137" s="67"/>
      <c r="DK5137" s="67"/>
      <c r="DL5137" s="67"/>
      <c r="DM5137" s="67"/>
      <c r="DN5137" s="67"/>
      <c r="DO5137" s="67"/>
      <c r="DP5137" s="67"/>
      <c r="DQ5137" s="166">
        <v>8.67</v>
      </c>
      <c r="DR5137" s="166">
        <v>8.7200000000000006</v>
      </c>
      <c r="DS5137" s="163">
        <v>0.1</v>
      </c>
      <c r="DT5137" s="163">
        <v>0.06</v>
      </c>
      <c r="DU5137" s="67"/>
      <c r="DV5137" s="67"/>
      <c r="DW5137" s="67"/>
      <c r="DX5137" s="67"/>
      <c r="DY5137" s="67"/>
      <c r="DZ5137" s="67"/>
      <c r="EA5137" s="67"/>
      <c r="EB5137" s="67"/>
      <c r="EC5137" s="67"/>
      <c r="ED5137" s="67"/>
      <c r="EE5137" s="67"/>
      <c r="EF5137" s="67"/>
      <c r="EG5137" s="67"/>
      <c r="EH5137" s="67"/>
      <c r="EI5137" s="67"/>
      <c r="EJ5137" s="67"/>
      <c r="EK5137" s="94"/>
      <c r="EL5137" s="94"/>
      <c r="EM5137" s="67"/>
      <c r="EN5137" s="67"/>
      <c r="EO5137" s="67"/>
      <c r="EP5137" s="67"/>
      <c r="EQ5137" s="67"/>
      <c r="ER5137" s="67"/>
      <c r="ES5137" s="67"/>
      <c r="ET5137" s="67"/>
      <c r="EU5137" s="67"/>
      <c r="EV5137" s="67"/>
      <c r="EW5137" s="67"/>
      <c r="EX5137" s="67"/>
      <c r="EY5137" s="67"/>
      <c r="EZ5137" s="67"/>
      <c r="FA5137" s="67"/>
      <c r="FB5137" s="67"/>
      <c r="FC5137" s="67"/>
      <c r="FD5137" s="67"/>
      <c r="FE5137" s="67"/>
      <c r="FF5137" s="67"/>
      <c r="FG5137" s="67"/>
      <c r="FH5137" s="67"/>
      <c r="FI5137" s="67"/>
      <c r="FJ5137" s="67"/>
      <c r="FK5137" s="67"/>
      <c r="FL5137" s="67"/>
      <c r="FM5137" s="67"/>
      <c r="FN5137" s="67"/>
      <c r="FO5137" s="67"/>
      <c r="FP5137" s="67"/>
      <c r="FQ5137" s="67"/>
      <c r="FR5137" s="67"/>
      <c r="FS5137" s="67"/>
      <c r="FT5137" s="67"/>
      <c r="FU5137" s="67"/>
      <c r="FV5137" s="67"/>
      <c r="FW5137" s="67"/>
      <c r="FX5137" s="67"/>
      <c r="FY5137" s="67"/>
      <c r="FZ5137" s="67"/>
      <c r="GA5137" s="67"/>
      <c r="GB5137" s="67"/>
      <c r="GC5137" s="67"/>
      <c r="GD5137" s="67"/>
      <c r="GE5137" s="67"/>
      <c r="GF5137" s="67"/>
      <c r="GG5137" s="67"/>
      <c r="GH5137" s="67"/>
      <c r="GI5137" s="67"/>
      <c r="GJ5137" s="67"/>
      <c r="GK5137" s="67"/>
      <c r="GL5137" s="67"/>
      <c r="GM5137" s="67"/>
      <c r="GN5137" s="292"/>
      <c r="GO5137" s="292"/>
      <c r="GP5137" s="292" t="s">
        <v>7494</v>
      </c>
      <c r="GQ5137" s="67"/>
      <c r="GR5137" s="67"/>
      <c r="GS5137" s="67"/>
      <c r="GT5137" s="67"/>
      <c r="GU5137" s="67"/>
      <c r="GV5137" s="67"/>
      <c r="GW5137" s="67"/>
      <c r="GX5137" s="67"/>
      <c r="GY5137" s="67"/>
      <c r="GZ5137" s="67"/>
      <c r="HA5137" s="67"/>
      <c r="HB5137" s="67"/>
      <c r="HC5137" s="67"/>
      <c r="HD5137" s="67"/>
      <c r="HE5137" s="67"/>
      <c r="HF5137" s="67"/>
      <c r="HG5137" s="67"/>
      <c r="HH5137" s="67"/>
      <c r="HI5137" s="67"/>
      <c r="HJ5137" s="67"/>
      <c r="HK5137" s="67"/>
      <c r="HL5137" s="67"/>
      <c r="HM5137" s="67"/>
      <c r="HN5137" s="67"/>
      <c r="HO5137" s="67"/>
      <c r="HP5137" s="67"/>
      <c r="HQ5137" s="67"/>
      <c r="HR5137" s="67"/>
      <c r="HS5137" s="67"/>
      <c r="HT5137" s="67"/>
      <c r="HU5137" s="67"/>
      <c r="HV5137" s="67"/>
      <c r="HW5137" s="67"/>
      <c r="HX5137" s="67"/>
      <c r="HY5137" s="67"/>
      <c r="HZ5137" s="67"/>
      <c r="IA5137" s="67"/>
      <c r="IB5137" s="67"/>
      <c r="IC5137" s="67"/>
      <c r="ID5137" s="67"/>
      <c r="IE5137" s="67"/>
      <c r="IF5137" s="67"/>
      <c r="IG5137" s="67"/>
      <c r="IH5137" s="67"/>
      <c r="II5137" s="67"/>
      <c r="IJ5137" s="67"/>
      <c r="IK5137" s="67"/>
      <c r="IL5137" s="67"/>
      <c r="IM5137" s="67"/>
      <c r="IN5137" s="67"/>
      <c r="IO5137" s="67"/>
      <c r="IP5137" s="67"/>
      <c r="IQ5137" s="67"/>
      <c r="IR5137" s="67"/>
      <c r="IS5137" s="67"/>
      <c r="IT5137" s="67"/>
      <c r="IU5137" s="67"/>
      <c r="IV5137" s="67"/>
      <c r="IW5137" s="67"/>
      <c r="IX5137" s="67"/>
      <c r="IY5137" s="67"/>
      <c r="IZ5137" s="67"/>
      <c r="JA5137" s="67"/>
      <c r="JB5137" s="67"/>
      <c r="JC5137" s="67"/>
      <c r="JD5137" s="67"/>
      <c r="JE5137" s="67"/>
      <c r="JF5137" s="67"/>
      <c r="JG5137" s="67"/>
      <c r="JH5137" s="67"/>
      <c r="JI5137" s="67"/>
      <c r="JJ5137" s="67"/>
      <c r="JK5137" s="67"/>
      <c r="JL5137" s="67"/>
      <c r="JM5137" s="67"/>
      <c r="JN5137" s="67"/>
      <c r="JO5137" s="67"/>
      <c r="JP5137" s="67"/>
      <c r="JQ5137" s="67"/>
      <c r="JR5137" s="67"/>
      <c r="JS5137" s="67"/>
      <c r="JT5137" s="67"/>
      <c r="JU5137" s="58"/>
      <c r="JV5137" s="58"/>
      <c r="JW5137" s="58"/>
    </row>
    <row r="5138" spans="1:283" s="23" customFormat="1" x14ac:dyDescent="0.25">
      <c r="A5138" s="55">
        <v>5137</v>
      </c>
      <c r="B5138" s="12" t="s">
        <v>7067</v>
      </c>
      <c r="C5138" s="156">
        <v>270</v>
      </c>
      <c r="D5138" s="58" t="s">
        <v>5819</v>
      </c>
      <c r="E5138" s="160" t="str">
        <f>G5138</f>
        <v>Romanya and Rovira, 2009_irrigated</v>
      </c>
      <c r="F5138" s="160"/>
      <c r="G5138" s="60" t="s">
        <v>4690</v>
      </c>
      <c r="H5138" s="58">
        <v>2009</v>
      </c>
      <c r="I5138" s="58" t="s">
        <v>5483</v>
      </c>
      <c r="J5138" s="243" t="s">
        <v>1397</v>
      </c>
      <c r="K5138" s="63" t="s">
        <v>5075</v>
      </c>
      <c r="L5138" s="58" t="s">
        <v>4516</v>
      </c>
      <c r="M5138" s="94">
        <f>41+49/60</f>
        <v>41.81666666666667</v>
      </c>
      <c r="N5138" s="94">
        <f>-2/60</f>
        <v>-3.3333333333333333E-2</v>
      </c>
      <c r="O5138" s="94">
        <v>300</v>
      </c>
      <c r="P5138" s="58"/>
      <c r="Q5138" s="244">
        <v>14.4</v>
      </c>
      <c r="R5138" s="58"/>
      <c r="S5138" s="245">
        <v>436.60000000000008</v>
      </c>
      <c r="T5138" s="58"/>
      <c r="U5138" s="58" t="s">
        <v>1681</v>
      </c>
      <c r="V5138" s="244">
        <v>18</v>
      </c>
      <c r="W5138" s="174"/>
      <c r="X5138" s="174"/>
      <c r="Y5138" s="58" t="s">
        <v>5814</v>
      </c>
      <c r="Z5138" s="244" t="s">
        <v>1360</v>
      </c>
      <c r="AA5138" s="245">
        <v>10</v>
      </c>
      <c r="AB5138" s="67"/>
      <c r="AC5138" s="67"/>
      <c r="AD5138" s="94"/>
      <c r="AE5138" s="94"/>
      <c r="AF5138" s="94"/>
      <c r="AG5138" s="245"/>
      <c r="AH5138" s="58"/>
      <c r="AI5138" s="169"/>
      <c r="AJ5138" s="94"/>
      <c r="AK5138" s="94"/>
      <c r="AL5138" s="58"/>
      <c r="AM5138" s="58"/>
      <c r="AN5138" s="186"/>
      <c r="AO5138" s="185" t="s">
        <v>5150</v>
      </c>
      <c r="AP5138" s="58"/>
      <c r="AQ5138" s="58"/>
      <c r="AR5138" s="58"/>
      <c r="AS5138" s="246" t="s">
        <v>5133</v>
      </c>
      <c r="AT5138" s="247">
        <v>0</v>
      </c>
      <c r="AU5138" s="181" t="s">
        <v>7494</v>
      </c>
      <c r="AV5138" s="185" t="s">
        <v>176</v>
      </c>
      <c r="AW5138" s="244">
        <v>0</v>
      </c>
      <c r="AX5138" s="185" t="s">
        <v>176</v>
      </c>
      <c r="AY5138" s="244" t="s">
        <v>176</v>
      </c>
      <c r="AZ5138" s="58"/>
      <c r="BA5138" s="58"/>
      <c r="BB5138" s="58"/>
      <c r="BC5138" s="58"/>
      <c r="BD5138" s="58"/>
      <c r="BE5138" s="236" t="s">
        <v>5153</v>
      </c>
      <c r="BF5138" s="191"/>
      <c r="BG5138" s="191" t="s">
        <v>176</v>
      </c>
      <c r="BH5138" s="236" t="s">
        <v>5286</v>
      </c>
      <c r="BI5138" s="191" t="s">
        <v>479</v>
      </c>
      <c r="BJ5138" s="58" t="str">
        <f>IF(BE5138=BH5138,"No","yes")</f>
        <v>yes</v>
      </c>
      <c r="BK5138" s="58" t="s">
        <v>6334</v>
      </c>
      <c r="BL5138" s="58"/>
      <c r="BM5138" s="237"/>
      <c r="BN5138" s="244">
        <v>4</v>
      </c>
      <c r="BO5138" s="244">
        <v>4</v>
      </c>
      <c r="BP5138" s="58"/>
      <c r="BQ5138" s="58"/>
      <c r="BR5138" s="58"/>
      <c r="BS5138" s="58"/>
      <c r="BT5138" s="58"/>
      <c r="BU5138" s="58"/>
      <c r="BV5138" s="58" t="s">
        <v>1024</v>
      </c>
      <c r="BW5138" s="67"/>
      <c r="BX5138" s="67"/>
      <c r="BY5138" s="67"/>
      <c r="BZ5138" s="67"/>
      <c r="CA5138" s="67"/>
      <c r="CB5138" s="70"/>
      <c r="CC5138" s="70"/>
      <c r="CD5138" s="70"/>
      <c r="CE5138" s="67"/>
      <c r="CF5138" s="67"/>
      <c r="CG5138" s="67"/>
      <c r="CH5138" s="245"/>
      <c r="CI5138" s="245"/>
      <c r="CJ5138" s="67"/>
      <c r="CK5138" s="67"/>
      <c r="CL5138" s="67"/>
      <c r="CM5138" s="242">
        <v>0.52</v>
      </c>
      <c r="CN5138" s="242">
        <v>0.65</v>
      </c>
      <c r="CO5138" s="242">
        <v>0.08</v>
      </c>
      <c r="CP5138" s="242">
        <v>0.16</v>
      </c>
      <c r="CQ5138" s="242" t="s">
        <v>164</v>
      </c>
      <c r="CR5138" s="242"/>
      <c r="CS5138" s="242"/>
      <c r="CT5138" s="242"/>
      <c r="CU5138" s="242"/>
      <c r="CV5138" s="242"/>
      <c r="CW5138" s="242"/>
      <c r="CX5138" s="242"/>
      <c r="CY5138" s="242"/>
      <c r="CZ5138" s="242"/>
      <c r="DA5138" s="67" t="s">
        <v>5443</v>
      </c>
      <c r="DB5138" s="67">
        <v>0.61</v>
      </c>
      <c r="DC5138" s="67">
        <v>0.78</v>
      </c>
      <c r="DD5138" s="67">
        <v>0.1</v>
      </c>
      <c r="DE5138" s="67">
        <v>0.16</v>
      </c>
      <c r="DF5138" s="67" t="s">
        <v>5816</v>
      </c>
      <c r="DG5138" s="67"/>
      <c r="DH5138" s="67"/>
      <c r="DI5138" s="67"/>
      <c r="DJ5138" s="67"/>
      <c r="DK5138" s="67"/>
      <c r="DL5138" s="67"/>
      <c r="DM5138" s="67"/>
      <c r="DN5138" s="67"/>
      <c r="DO5138" s="67"/>
      <c r="DP5138" s="67"/>
      <c r="DQ5138" s="166">
        <v>9</v>
      </c>
      <c r="DR5138" s="166">
        <v>8.57</v>
      </c>
      <c r="DS5138" s="163">
        <v>0.1</v>
      </c>
      <c r="DT5138" s="163">
        <v>0.16</v>
      </c>
      <c r="DU5138" s="67"/>
      <c r="DV5138" s="67"/>
      <c r="DW5138" s="67"/>
      <c r="DX5138" s="67"/>
      <c r="DY5138" s="67"/>
      <c r="DZ5138" s="67"/>
      <c r="EA5138" s="67"/>
      <c r="EB5138" s="67"/>
      <c r="EC5138" s="67"/>
      <c r="ED5138" s="67"/>
      <c r="EE5138" s="67"/>
      <c r="EF5138" s="67"/>
      <c r="EG5138" s="67"/>
      <c r="EH5138" s="67"/>
      <c r="EI5138" s="67"/>
      <c r="EJ5138" s="67"/>
      <c r="EK5138" s="94"/>
      <c r="EL5138" s="94"/>
      <c r="EM5138" s="67"/>
      <c r="EN5138" s="67"/>
      <c r="EO5138" s="67"/>
      <c r="EP5138" s="67"/>
      <c r="EQ5138" s="67"/>
      <c r="ER5138" s="67"/>
      <c r="ES5138" s="67"/>
      <c r="ET5138" s="67"/>
      <c r="EU5138" s="67"/>
      <c r="EV5138" s="67"/>
      <c r="EW5138" s="67"/>
      <c r="EX5138" s="67"/>
      <c r="EY5138" s="67"/>
      <c r="EZ5138" s="67"/>
      <c r="FA5138" s="67"/>
      <c r="FB5138" s="67"/>
      <c r="FC5138" s="67"/>
      <c r="FD5138" s="67"/>
      <c r="FE5138" s="67"/>
      <c r="FF5138" s="67"/>
      <c r="FG5138" s="67"/>
      <c r="FH5138" s="67"/>
      <c r="FI5138" s="67"/>
      <c r="FJ5138" s="67"/>
      <c r="FK5138" s="67"/>
      <c r="FL5138" s="67"/>
      <c r="FM5138" s="67"/>
      <c r="FN5138" s="67"/>
      <c r="FO5138" s="67"/>
      <c r="FP5138" s="67"/>
      <c r="FQ5138" s="67"/>
      <c r="FR5138" s="67"/>
      <c r="FS5138" s="67"/>
      <c r="FT5138" s="67"/>
      <c r="FU5138" s="67"/>
      <c r="FV5138" s="67"/>
      <c r="FW5138" s="67"/>
      <c r="FX5138" s="67"/>
      <c r="FY5138" s="67"/>
      <c r="FZ5138" s="67"/>
      <c r="GA5138" s="67"/>
      <c r="GB5138" s="67"/>
      <c r="GC5138" s="67"/>
      <c r="GD5138" s="67"/>
      <c r="GE5138" s="67"/>
      <c r="GF5138" s="67"/>
      <c r="GG5138" s="67"/>
      <c r="GH5138" s="67"/>
      <c r="GI5138" s="67"/>
      <c r="GJ5138" s="67"/>
      <c r="GK5138" s="67"/>
      <c r="GL5138" s="67"/>
      <c r="GM5138" s="67"/>
      <c r="GN5138" s="292"/>
      <c r="GO5138" s="292"/>
      <c r="GP5138" s="292" t="s">
        <v>7494</v>
      </c>
      <c r="GQ5138" s="67"/>
      <c r="GR5138" s="67"/>
      <c r="GS5138" s="67"/>
      <c r="GT5138" s="67"/>
      <c r="GU5138" s="67"/>
      <c r="GV5138" s="67"/>
      <c r="GW5138" s="67"/>
      <c r="GX5138" s="67"/>
      <c r="GY5138" s="67"/>
      <c r="GZ5138" s="67"/>
      <c r="HA5138" s="67"/>
      <c r="HB5138" s="67"/>
      <c r="HC5138" s="67"/>
      <c r="HD5138" s="67"/>
      <c r="HE5138" s="67"/>
      <c r="HF5138" s="67"/>
      <c r="HG5138" s="67"/>
      <c r="HH5138" s="67"/>
      <c r="HI5138" s="67"/>
      <c r="HJ5138" s="67"/>
      <c r="HK5138" s="67"/>
      <c r="HL5138" s="67"/>
      <c r="HM5138" s="67"/>
      <c r="HN5138" s="67"/>
      <c r="HO5138" s="67"/>
      <c r="HP5138" s="67"/>
      <c r="HQ5138" s="67"/>
      <c r="HR5138" s="67"/>
      <c r="HS5138" s="67"/>
      <c r="HT5138" s="67"/>
      <c r="HU5138" s="67"/>
      <c r="HV5138" s="67"/>
      <c r="HW5138" s="67"/>
      <c r="HX5138" s="67"/>
      <c r="HY5138" s="67"/>
      <c r="HZ5138" s="67"/>
      <c r="IA5138" s="67"/>
      <c r="IB5138" s="67"/>
      <c r="IC5138" s="67"/>
      <c r="ID5138" s="67"/>
      <c r="IE5138" s="67"/>
      <c r="IF5138" s="67"/>
      <c r="IG5138" s="67"/>
      <c r="IH5138" s="67"/>
      <c r="II5138" s="67"/>
      <c r="IJ5138" s="67"/>
      <c r="IK5138" s="67"/>
      <c r="IL5138" s="67"/>
      <c r="IM5138" s="67"/>
      <c r="IN5138" s="67"/>
      <c r="IO5138" s="67"/>
      <c r="IP5138" s="67"/>
      <c r="IQ5138" s="67"/>
      <c r="IR5138" s="67"/>
      <c r="IS5138" s="67"/>
      <c r="IT5138" s="67"/>
      <c r="IU5138" s="67"/>
      <c r="IV5138" s="67"/>
      <c r="IW5138" s="67"/>
      <c r="IX5138" s="67"/>
      <c r="IY5138" s="67"/>
      <c r="IZ5138" s="67"/>
      <c r="JA5138" s="67"/>
      <c r="JB5138" s="67"/>
      <c r="JC5138" s="67"/>
      <c r="JD5138" s="67"/>
      <c r="JE5138" s="67"/>
      <c r="JF5138" s="67"/>
      <c r="JG5138" s="67"/>
      <c r="JH5138" s="67"/>
      <c r="JI5138" s="67"/>
      <c r="JJ5138" s="67"/>
      <c r="JK5138" s="67"/>
      <c r="JL5138" s="67"/>
      <c r="JM5138" s="67"/>
      <c r="JN5138" s="67"/>
      <c r="JO5138" s="67"/>
      <c r="JP5138" s="67"/>
      <c r="JQ5138" s="67"/>
      <c r="JR5138" s="67"/>
      <c r="JS5138" s="67"/>
      <c r="JT5138" s="67"/>
      <c r="JU5138" s="58"/>
      <c r="JV5138" s="58"/>
      <c r="JW5138" s="58"/>
    </row>
    <row r="5139" spans="1:283" s="23" customFormat="1" x14ac:dyDescent="0.25">
      <c r="A5139" s="55">
        <v>5138</v>
      </c>
      <c r="B5139" s="12" t="s">
        <v>7067</v>
      </c>
      <c r="C5139" s="156">
        <v>270</v>
      </c>
      <c r="D5139" s="58" t="s">
        <v>5820</v>
      </c>
      <c r="E5139" s="160" t="str">
        <f>G5139</f>
        <v>Romanya and Rovira, 2009_rain-fed</v>
      </c>
      <c r="F5139" s="160"/>
      <c r="G5139" s="60" t="s">
        <v>4689</v>
      </c>
      <c r="H5139" s="58">
        <v>2009</v>
      </c>
      <c r="I5139" s="58" t="s">
        <v>5483</v>
      </c>
      <c r="J5139" s="243" t="s">
        <v>1397</v>
      </c>
      <c r="K5139" s="63" t="s">
        <v>5075</v>
      </c>
      <c r="L5139" s="58" t="s">
        <v>4516</v>
      </c>
      <c r="M5139" s="94">
        <f>41+49/60</f>
        <v>41.81666666666667</v>
      </c>
      <c r="N5139" s="94">
        <f>-2/60</f>
        <v>-3.3333333333333333E-2</v>
      </c>
      <c r="O5139" s="94">
        <v>300</v>
      </c>
      <c r="P5139" s="58"/>
      <c r="Q5139" s="244">
        <v>14.4</v>
      </c>
      <c r="R5139" s="58"/>
      <c r="S5139" s="245">
        <v>436.60000000000008</v>
      </c>
      <c r="T5139" s="58"/>
      <c r="U5139" s="58" t="s">
        <v>1681</v>
      </c>
      <c r="V5139" s="244">
        <v>18</v>
      </c>
      <c r="W5139" s="174"/>
      <c r="X5139" s="174"/>
      <c r="Y5139" s="58" t="s">
        <v>5814</v>
      </c>
      <c r="Z5139" s="244" t="s">
        <v>1360</v>
      </c>
      <c r="AA5139" s="245">
        <v>10</v>
      </c>
      <c r="AB5139" s="67"/>
      <c r="AC5139" s="67"/>
      <c r="AD5139" s="94"/>
      <c r="AE5139" s="94"/>
      <c r="AF5139" s="94"/>
      <c r="AG5139" s="245"/>
      <c r="AH5139" s="58"/>
      <c r="AI5139" s="169"/>
      <c r="AJ5139" s="94"/>
      <c r="AK5139" s="94"/>
      <c r="AL5139" s="58"/>
      <c r="AM5139" s="58"/>
      <c r="AN5139" s="186"/>
      <c r="AO5139" s="185" t="s">
        <v>5150</v>
      </c>
      <c r="AP5139" s="58"/>
      <c r="AQ5139" s="58"/>
      <c r="AR5139" s="58"/>
      <c r="AS5139" s="246" t="s">
        <v>5133</v>
      </c>
      <c r="AT5139" s="247">
        <v>0</v>
      </c>
      <c r="AU5139" s="181" t="s">
        <v>7494</v>
      </c>
      <c r="AV5139" s="185" t="s">
        <v>176</v>
      </c>
      <c r="AW5139" s="244">
        <v>0</v>
      </c>
      <c r="AX5139" s="185" t="s">
        <v>176</v>
      </c>
      <c r="AY5139" s="244" t="s">
        <v>176</v>
      </c>
      <c r="AZ5139" s="58"/>
      <c r="BA5139" s="58"/>
      <c r="BB5139" s="58"/>
      <c r="BC5139" s="58"/>
      <c r="BD5139" s="58"/>
      <c r="BE5139" s="236" t="s">
        <v>5153</v>
      </c>
      <c r="BF5139" s="191"/>
      <c r="BG5139" s="191" t="s">
        <v>176</v>
      </c>
      <c r="BH5139" s="236" t="s">
        <v>5287</v>
      </c>
      <c r="BI5139" s="191" t="s">
        <v>479</v>
      </c>
      <c r="BJ5139" s="58" t="str">
        <f>IF(BE5139=BH5139,"No","yes")</f>
        <v>yes</v>
      </c>
      <c r="BK5139" s="58" t="s">
        <v>6334</v>
      </c>
      <c r="BL5139" s="58"/>
      <c r="BM5139" s="237"/>
      <c r="BN5139" s="244">
        <v>4</v>
      </c>
      <c r="BO5139" s="244">
        <v>4</v>
      </c>
      <c r="BP5139" s="58"/>
      <c r="BQ5139" s="58"/>
      <c r="BR5139" s="58"/>
      <c r="BS5139" s="58"/>
      <c r="BT5139" s="58"/>
      <c r="BU5139" s="58"/>
      <c r="BV5139" s="58" t="s">
        <v>5815</v>
      </c>
      <c r="BW5139" s="67"/>
      <c r="BX5139" s="67"/>
      <c r="BY5139" s="67"/>
      <c r="BZ5139" s="67"/>
      <c r="CA5139" s="67"/>
      <c r="CB5139" s="70"/>
      <c r="CC5139" s="70"/>
      <c r="CD5139" s="70"/>
      <c r="CE5139" s="67"/>
      <c r="CF5139" s="67"/>
      <c r="CG5139" s="67"/>
      <c r="CH5139" s="245"/>
      <c r="CI5139" s="245"/>
      <c r="CJ5139" s="67"/>
      <c r="CK5139" s="67"/>
      <c r="CL5139" s="67"/>
      <c r="CM5139" s="242">
        <v>0.68</v>
      </c>
      <c r="CN5139" s="242">
        <v>0.65</v>
      </c>
      <c r="CO5139" s="242">
        <v>0.1</v>
      </c>
      <c r="CP5139" s="242">
        <v>0.08</v>
      </c>
      <c r="CQ5139" s="242" t="s">
        <v>164</v>
      </c>
      <c r="CR5139" s="242"/>
      <c r="CS5139" s="242"/>
      <c r="CT5139" s="242"/>
      <c r="CU5139" s="242"/>
      <c r="CV5139" s="242"/>
      <c r="CW5139" s="242"/>
      <c r="CX5139" s="242"/>
      <c r="CY5139" s="242"/>
      <c r="CZ5139" s="242"/>
      <c r="DA5139" s="67" t="s">
        <v>5443</v>
      </c>
      <c r="DB5139" s="67">
        <v>0.9</v>
      </c>
      <c r="DC5139" s="67">
        <v>0.78</v>
      </c>
      <c r="DD5139" s="67">
        <v>0.08</v>
      </c>
      <c r="DE5139" s="67">
        <v>0.08</v>
      </c>
      <c r="DF5139" s="67" t="s">
        <v>5816</v>
      </c>
      <c r="DG5139" s="67"/>
      <c r="DH5139" s="67"/>
      <c r="DI5139" s="67"/>
      <c r="DJ5139" s="67"/>
      <c r="DK5139" s="67"/>
      <c r="DL5139" s="67"/>
      <c r="DM5139" s="67"/>
      <c r="DN5139" s="67"/>
      <c r="DO5139" s="67"/>
      <c r="DP5139" s="67"/>
      <c r="DQ5139" s="166">
        <v>8.77</v>
      </c>
      <c r="DR5139" s="166">
        <v>8.75</v>
      </c>
      <c r="DS5139" s="163">
        <v>0.12</v>
      </c>
      <c r="DT5139" s="163">
        <v>0.08</v>
      </c>
      <c r="DU5139" s="67"/>
      <c r="DV5139" s="67"/>
      <c r="DW5139" s="67"/>
      <c r="DX5139" s="67"/>
      <c r="DY5139" s="67"/>
      <c r="DZ5139" s="67"/>
      <c r="EA5139" s="67"/>
      <c r="EB5139" s="67"/>
      <c r="EC5139" s="67"/>
      <c r="ED5139" s="67"/>
      <c r="EE5139" s="67"/>
      <c r="EF5139" s="67"/>
      <c r="EG5139" s="67"/>
      <c r="EH5139" s="67"/>
      <c r="EI5139" s="67"/>
      <c r="EJ5139" s="67"/>
      <c r="EK5139" s="94"/>
      <c r="EL5139" s="94"/>
      <c r="EM5139" s="67"/>
      <c r="EN5139" s="67"/>
      <c r="EO5139" s="67"/>
      <c r="EP5139" s="67"/>
      <c r="EQ5139" s="67"/>
      <c r="ER5139" s="67"/>
      <c r="ES5139" s="67"/>
      <c r="ET5139" s="67"/>
      <c r="EU5139" s="67"/>
      <c r="EV5139" s="67"/>
      <c r="EW5139" s="67"/>
      <c r="EX5139" s="67"/>
      <c r="EY5139" s="67"/>
      <c r="EZ5139" s="67"/>
      <c r="FA5139" s="67"/>
      <c r="FB5139" s="67"/>
      <c r="FC5139" s="67"/>
      <c r="FD5139" s="67"/>
      <c r="FE5139" s="67"/>
      <c r="FF5139" s="67"/>
      <c r="FG5139" s="67"/>
      <c r="FH5139" s="67"/>
      <c r="FI5139" s="67"/>
      <c r="FJ5139" s="67"/>
      <c r="FK5139" s="67"/>
      <c r="FL5139" s="67"/>
      <c r="FM5139" s="67"/>
      <c r="FN5139" s="67"/>
      <c r="FO5139" s="67"/>
      <c r="FP5139" s="67"/>
      <c r="FQ5139" s="67"/>
      <c r="FR5139" s="67"/>
      <c r="FS5139" s="67"/>
      <c r="FT5139" s="67"/>
      <c r="FU5139" s="67"/>
      <c r="FV5139" s="67"/>
      <c r="FW5139" s="67"/>
      <c r="FX5139" s="67"/>
      <c r="FY5139" s="67"/>
      <c r="FZ5139" s="67"/>
      <c r="GA5139" s="67"/>
      <c r="GB5139" s="67"/>
      <c r="GC5139" s="67"/>
      <c r="GD5139" s="67"/>
      <c r="GE5139" s="67"/>
      <c r="GF5139" s="67"/>
      <c r="GG5139" s="67"/>
      <c r="GH5139" s="67"/>
      <c r="GI5139" s="67"/>
      <c r="GJ5139" s="67"/>
      <c r="GK5139" s="67"/>
      <c r="GL5139" s="67"/>
      <c r="GM5139" s="67"/>
      <c r="GN5139" s="292"/>
      <c r="GO5139" s="292"/>
      <c r="GP5139" s="292" t="s">
        <v>7494</v>
      </c>
      <c r="GQ5139" s="67"/>
      <c r="GR5139" s="67"/>
      <c r="GS5139" s="67"/>
      <c r="GT5139" s="67"/>
      <c r="GU5139" s="67"/>
      <c r="GV5139" s="67"/>
      <c r="GW5139" s="67"/>
      <c r="GX5139" s="67"/>
      <c r="GY5139" s="67"/>
      <c r="GZ5139" s="67"/>
      <c r="HA5139" s="67"/>
      <c r="HB5139" s="67"/>
      <c r="HC5139" s="67"/>
      <c r="HD5139" s="67"/>
      <c r="HE5139" s="67"/>
      <c r="HF5139" s="67"/>
      <c r="HG5139" s="67"/>
      <c r="HH5139" s="67"/>
      <c r="HI5139" s="67"/>
      <c r="HJ5139" s="67"/>
      <c r="HK5139" s="67"/>
      <c r="HL5139" s="67"/>
      <c r="HM5139" s="67"/>
      <c r="HN5139" s="67"/>
      <c r="HO5139" s="67"/>
      <c r="HP5139" s="67"/>
      <c r="HQ5139" s="67"/>
      <c r="HR5139" s="67"/>
      <c r="HS5139" s="67"/>
      <c r="HT5139" s="67"/>
      <c r="HU5139" s="67"/>
      <c r="HV5139" s="67"/>
      <c r="HW5139" s="67"/>
      <c r="HX5139" s="67"/>
      <c r="HY5139" s="67"/>
      <c r="HZ5139" s="67"/>
      <c r="IA5139" s="67"/>
      <c r="IB5139" s="67"/>
      <c r="IC5139" s="67"/>
      <c r="ID5139" s="67"/>
      <c r="IE5139" s="67"/>
      <c r="IF5139" s="67"/>
      <c r="IG5139" s="67"/>
      <c r="IH5139" s="67"/>
      <c r="II5139" s="67"/>
      <c r="IJ5139" s="67"/>
      <c r="IK5139" s="67"/>
      <c r="IL5139" s="67"/>
      <c r="IM5139" s="67"/>
      <c r="IN5139" s="67"/>
      <c r="IO5139" s="67"/>
      <c r="IP5139" s="67"/>
      <c r="IQ5139" s="67"/>
      <c r="IR5139" s="67"/>
      <c r="IS5139" s="67"/>
      <c r="IT5139" s="67"/>
      <c r="IU5139" s="67"/>
      <c r="IV5139" s="67"/>
      <c r="IW5139" s="67"/>
      <c r="IX5139" s="67"/>
      <c r="IY5139" s="67"/>
      <c r="IZ5139" s="67"/>
      <c r="JA5139" s="67"/>
      <c r="JB5139" s="67"/>
      <c r="JC5139" s="67"/>
      <c r="JD5139" s="67"/>
      <c r="JE5139" s="67"/>
      <c r="JF5139" s="67"/>
      <c r="JG5139" s="67"/>
      <c r="JH5139" s="67"/>
      <c r="JI5139" s="67"/>
      <c r="JJ5139" s="67"/>
      <c r="JK5139" s="67"/>
      <c r="JL5139" s="67"/>
      <c r="JM5139" s="67"/>
      <c r="JN5139" s="67"/>
      <c r="JO5139" s="67"/>
      <c r="JP5139" s="67"/>
      <c r="JQ5139" s="67"/>
      <c r="JR5139" s="67"/>
      <c r="JS5139" s="67"/>
      <c r="JT5139" s="67"/>
      <c r="JU5139" s="58"/>
      <c r="JV5139" s="58"/>
      <c r="JW5139" s="58"/>
    </row>
    <row r="5140" spans="1:283" s="23" customFormat="1" x14ac:dyDescent="0.25">
      <c r="A5140" s="55">
        <v>5139</v>
      </c>
      <c r="B5140" s="12" t="s">
        <v>7067</v>
      </c>
      <c r="C5140" s="156">
        <v>271</v>
      </c>
      <c r="D5140" s="58" t="s">
        <v>5036</v>
      </c>
      <c r="E5140" s="160" t="str">
        <f>G5140</f>
        <v>Rühling et al. 2005, Scheyern all fields</v>
      </c>
      <c r="F5140" s="160"/>
      <c r="G5140" s="60" t="s">
        <v>4688</v>
      </c>
      <c r="H5140" s="58">
        <v>2005</v>
      </c>
      <c r="I5140" s="58" t="s">
        <v>2847</v>
      </c>
      <c r="J5140" s="243" t="s">
        <v>5324</v>
      </c>
      <c r="K5140" s="63" t="s">
        <v>5073</v>
      </c>
      <c r="L5140" s="58" t="s">
        <v>1077</v>
      </c>
      <c r="M5140" s="94">
        <v>48.5</v>
      </c>
      <c r="N5140" s="94">
        <v>11.45</v>
      </c>
      <c r="O5140" s="94">
        <v>500</v>
      </c>
      <c r="P5140" s="58"/>
      <c r="Q5140" s="244">
        <v>7.4</v>
      </c>
      <c r="R5140" s="58"/>
      <c r="S5140" s="245">
        <v>833</v>
      </c>
      <c r="T5140" s="58"/>
      <c r="U5140" s="58" t="s">
        <v>1682</v>
      </c>
      <c r="V5140" s="244">
        <v>10</v>
      </c>
      <c r="W5140" s="174"/>
      <c r="X5140" s="174"/>
      <c r="Y5140" s="58" t="s">
        <v>5468</v>
      </c>
      <c r="Z5140" s="244" t="s">
        <v>5148</v>
      </c>
      <c r="AA5140" s="245">
        <v>24</v>
      </c>
      <c r="AB5140" s="67"/>
      <c r="AC5140" s="67"/>
      <c r="AD5140" s="94"/>
      <c r="AE5140" s="94"/>
      <c r="AF5140" s="94"/>
      <c r="AG5140" s="245"/>
      <c r="AH5140" s="58"/>
      <c r="AI5140" s="169"/>
      <c r="AJ5140" s="94"/>
      <c r="AK5140" s="94"/>
      <c r="AL5140" s="58"/>
      <c r="AM5140" s="58"/>
      <c r="AN5140" s="186"/>
      <c r="AO5140" s="185" t="s">
        <v>7494</v>
      </c>
      <c r="AP5140" s="58"/>
      <c r="AQ5140" s="58"/>
      <c r="AR5140" s="58"/>
      <c r="AS5140" s="246" t="s">
        <v>5133</v>
      </c>
      <c r="AT5140" s="247">
        <v>0</v>
      </c>
      <c r="AU5140" s="181" t="s">
        <v>7494</v>
      </c>
      <c r="AV5140" s="185" t="s">
        <v>176</v>
      </c>
      <c r="AW5140" s="244">
        <v>1</v>
      </c>
      <c r="AX5140" s="185" t="s">
        <v>176</v>
      </c>
      <c r="AY5140" s="244" t="s">
        <v>5150</v>
      </c>
      <c r="AZ5140" s="58"/>
      <c r="BA5140" s="58"/>
      <c r="BB5140" s="58"/>
      <c r="BC5140" s="58"/>
      <c r="BD5140" s="58"/>
      <c r="BE5140" s="236" t="s">
        <v>5217</v>
      </c>
      <c r="BF5140" s="191" t="s">
        <v>479</v>
      </c>
      <c r="BG5140" s="191" t="s">
        <v>176</v>
      </c>
      <c r="BH5140" s="236" t="s">
        <v>5238</v>
      </c>
      <c r="BI5140" s="191" t="s">
        <v>479</v>
      </c>
      <c r="BJ5140" s="58" t="str">
        <f>IF(BE5140=BH5140,"No","yes")</f>
        <v>yes</v>
      </c>
      <c r="BK5140" s="58" t="s">
        <v>6334</v>
      </c>
      <c r="BL5140" s="58"/>
      <c r="BM5140" s="237"/>
      <c r="BN5140" s="244">
        <v>116</v>
      </c>
      <c r="BO5140" s="244">
        <v>106</v>
      </c>
      <c r="BP5140" s="58"/>
      <c r="BQ5140" s="58"/>
      <c r="BR5140" s="58"/>
      <c r="BS5140" s="58"/>
      <c r="BT5140" s="58"/>
      <c r="BU5140" s="58"/>
      <c r="BV5140" s="58"/>
      <c r="BW5140" s="67"/>
      <c r="BX5140" s="67"/>
      <c r="BY5140" s="67"/>
      <c r="BZ5140" s="67"/>
      <c r="CA5140" s="67"/>
      <c r="CB5140" s="70">
        <v>100</v>
      </c>
      <c r="CC5140" s="70">
        <v>59.5</v>
      </c>
      <c r="CD5140" s="70"/>
      <c r="CE5140" s="67"/>
      <c r="CF5140" s="67"/>
      <c r="CG5140" s="67" t="s">
        <v>5152</v>
      </c>
      <c r="CH5140" s="245"/>
      <c r="CI5140" s="245"/>
      <c r="CJ5140" s="67"/>
      <c r="CK5140" s="67"/>
      <c r="CL5140" s="67"/>
      <c r="CM5140" s="242">
        <v>1.25</v>
      </c>
      <c r="CN5140" s="242">
        <v>1.39</v>
      </c>
      <c r="CO5140" s="242"/>
      <c r="CP5140" s="242"/>
      <c r="CQ5140" s="242" t="s">
        <v>164</v>
      </c>
      <c r="CR5140" s="242">
        <v>41</v>
      </c>
      <c r="CS5140" s="242">
        <v>46</v>
      </c>
      <c r="CT5140" s="242"/>
      <c r="CU5140" s="242"/>
      <c r="CV5140" s="242" t="s">
        <v>5151</v>
      </c>
      <c r="CW5140" s="242">
        <v>-120</v>
      </c>
      <c r="CX5140" s="242">
        <v>180</v>
      </c>
      <c r="CY5140" s="242">
        <v>-12</v>
      </c>
      <c r="CZ5140" s="242">
        <v>18</v>
      </c>
      <c r="DA5140" s="67" t="s">
        <v>5443</v>
      </c>
      <c r="DB5140" s="67"/>
      <c r="DC5140" s="67"/>
      <c r="DD5140" s="67"/>
      <c r="DE5140" s="67"/>
      <c r="DF5140" s="67"/>
      <c r="DG5140" s="67"/>
      <c r="DH5140" s="67"/>
      <c r="DI5140" s="67"/>
      <c r="DJ5140" s="67"/>
      <c r="DK5140" s="67"/>
      <c r="DL5140" s="67"/>
      <c r="DM5140" s="67"/>
      <c r="DN5140" s="67"/>
      <c r="DO5140" s="67"/>
      <c r="DP5140" s="67"/>
      <c r="DQ5140" s="166"/>
      <c r="DR5140" s="166"/>
      <c r="DS5140" s="163"/>
      <c r="DT5140" s="163"/>
      <c r="DU5140" s="67"/>
      <c r="DV5140" s="67"/>
      <c r="DW5140" s="67"/>
      <c r="DX5140" s="67"/>
      <c r="DY5140" s="67"/>
      <c r="DZ5140" s="67"/>
      <c r="EA5140" s="67"/>
      <c r="EB5140" s="67"/>
      <c r="EC5140" s="67"/>
      <c r="ED5140" s="67"/>
      <c r="EE5140" s="67"/>
      <c r="EF5140" s="67"/>
      <c r="EG5140" s="67"/>
      <c r="EH5140" s="67"/>
      <c r="EI5140" s="67"/>
      <c r="EJ5140" s="67"/>
      <c r="EK5140" s="94"/>
      <c r="EL5140" s="94"/>
      <c r="EM5140" s="67"/>
      <c r="EN5140" s="67"/>
      <c r="EO5140" s="67"/>
      <c r="EP5140" s="67"/>
      <c r="EQ5140" s="67"/>
      <c r="ER5140" s="67"/>
      <c r="ES5140" s="67"/>
      <c r="ET5140" s="67"/>
      <c r="EU5140" s="67"/>
      <c r="EV5140" s="67"/>
      <c r="EW5140" s="67"/>
      <c r="EX5140" s="67"/>
      <c r="EY5140" s="67"/>
      <c r="EZ5140" s="67"/>
      <c r="FA5140" s="67"/>
      <c r="FB5140" s="67"/>
      <c r="FC5140" s="67"/>
      <c r="FD5140" s="67"/>
      <c r="FE5140" s="67"/>
      <c r="FF5140" s="67"/>
      <c r="FG5140" s="67"/>
      <c r="FH5140" s="67"/>
      <c r="FI5140" s="67"/>
      <c r="FJ5140" s="67"/>
      <c r="FK5140" s="67"/>
      <c r="FL5140" s="67"/>
      <c r="FM5140" s="67"/>
      <c r="FN5140" s="67"/>
      <c r="FO5140" s="67"/>
      <c r="FP5140" s="67"/>
      <c r="FQ5140" s="67"/>
      <c r="FR5140" s="67"/>
      <c r="FS5140" s="67"/>
      <c r="FT5140" s="67"/>
      <c r="FU5140" s="67"/>
      <c r="FV5140" s="67"/>
      <c r="FW5140" s="67"/>
      <c r="FX5140" s="67"/>
      <c r="FY5140" s="67"/>
      <c r="FZ5140" s="67"/>
      <c r="GA5140" s="67"/>
      <c r="GB5140" s="67"/>
      <c r="GC5140" s="67"/>
      <c r="GD5140" s="67"/>
      <c r="GE5140" s="67"/>
      <c r="GF5140" s="67"/>
      <c r="GG5140" s="67"/>
      <c r="GH5140" s="67"/>
      <c r="GI5140" s="67"/>
      <c r="GJ5140" s="67"/>
      <c r="GK5140" s="67"/>
      <c r="GL5140" s="67"/>
      <c r="GM5140" s="67"/>
      <c r="GN5140" s="292"/>
      <c r="GO5140" s="292"/>
      <c r="GP5140" s="292" t="s">
        <v>7494</v>
      </c>
      <c r="GQ5140" s="67"/>
      <c r="GR5140" s="67"/>
      <c r="GS5140" s="67"/>
      <c r="GT5140" s="67"/>
      <c r="GU5140" s="67"/>
      <c r="GV5140" s="67"/>
      <c r="GW5140" s="67"/>
      <c r="GX5140" s="67"/>
      <c r="GY5140" s="67"/>
      <c r="GZ5140" s="67"/>
      <c r="HA5140" s="67"/>
      <c r="HB5140" s="67"/>
      <c r="HC5140" s="67"/>
      <c r="HD5140" s="67"/>
      <c r="HE5140" s="67"/>
      <c r="HF5140" s="67"/>
      <c r="HG5140" s="67"/>
      <c r="HH5140" s="67"/>
      <c r="HI5140" s="67"/>
      <c r="HJ5140" s="67"/>
      <c r="HK5140" s="67"/>
      <c r="HL5140" s="67"/>
      <c r="HM5140" s="67"/>
      <c r="HN5140" s="67"/>
      <c r="HO5140" s="67"/>
      <c r="HP5140" s="67"/>
      <c r="HQ5140" s="67"/>
      <c r="HR5140" s="67"/>
      <c r="HS5140" s="67"/>
      <c r="HT5140" s="67"/>
      <c r="HU5140" s="67"/>
      <c r="HV5140" s="67"/>
      <c r="HW5140" s="67"/>
      <c r="HX5140" s="67"/>
      <c r="HY5140" s="67"/>
      <c r="HZ5140" s="67"/>
      <c r="IA5140" s="67"/>
      <c r="IB5140" s="67"/>
      <c r="IC5140" s="67"/>
      <c r="ID5140" s="67"/>
      <c r="IE5140" s="67"/>
      <c r="IF5140" s="67"/>
      <c r="IG5140" s="67"/>
      <c r="IH5140" s="67"/>
      <c r="II5140" s="67"/>
      <c r="IJ5140" s="67"/>
      <c r="IK5140" s="67"/>
      <c r="IL5140" s="67"/>
      <c r="IM5140" s="67"/>
      <c r="IN5140" s="67"/>
      <c r="IO5140" s="67"/>
      <c r="IP5140" s="67"/>
      <c r="IQ5140" s="67"/>
      <c r="IR5140" s="67"/>
      <c r="IS5140" s="67"/>
      <c r="IT5140" s="67"/>
      <c r="IU5140" s="67"/>
      <c r="IV5140" s="67"/>
      <c r="IW5140" s="67"/>
      <c r="IX5140" s="67"/>
      <c r="IY5140" s="67"/>
      <c r="IZ5140" s="67"/>
      <c r="JA5140" s="67"/>
      <c r="JB5140" s="67"/>
      <c r="JC5140" s="67"/>
      <c r="JD5140" s="67"/>
      <c r="JE5140" s="67"/>
      <c r="JF5140" s="67"/>
      <c r="JG5140" s="67"/>
      <c r="JH5140" s="67"/>
      <c r="JI5140" s="67"/>
      <c r="JJ5140" s="67"/>
      <c r="JK5140" s="67"/>
      <c r="JL5140" s="67"/>
      <c r="JM5140" s="67"/>
      <c r="JN5140" s="67"/>
      <c r="JO5140" s="67"/>
      <c r="JP5140" s="67"/>
      <c r="JQ5140" s="67"/>
      <c r="JR5140" s="67"/>
      <c r="JS5140" s="67"/>
      <c r="JT5140" s="67"/>
      <c r="JU5140" s="58"/>
      <c r="JV5140" s="58"/>
      <c r="JW5140" s="58"/>
    </row>
    <row r="5141" spans="1:283" s="23" customFormat="1" x14ac:dyDescent="0.25">
      <c r="A5141" s="55">
        <v>5140</v>
      </c>
      <c r="B5141" s="12" t="s">
        <v>7067</v>
      </c>
      <c r="C5141" s="156">
        <v>272</v>
      </c>
      <c r="D5141" s="58" t="s">
        <v>5037</v>
      </c>
      <c r="E5141" s="160" t="str">
        <f>G5141</f>
        <v>Schjonning et al. 2002_group I_pair 1</v>
      </c>
      <c r="F5141" s="160"/>
      <c r="G5141" s="60" t="s">
        <v>5296</v>
      </c>
      <c r="H5141" s="58">
        <v>2002</v>
      </c>
      <c r="I5141" s="58" t="s">
        <v>2847</v>
      </c>
      <c r="J5141" s="243" t="s">
        <v>427</v>
      </c>
      <c r="K5141" s="63" t="s">
        <v>5074</v>
      </c>
      <c r="L5141" s="58" t="s">
        <v>2743</v>
      </c>
      <c r="M5141" s="94">
        <v>55.46</v>
      </c>
      <c r="N5141" s="94">
        <v>11.72</v>
      </c>
      <c r="O5141" s="94">
        <v>46</v>
      </c>
      <c r="P5141" s="58"/>
      <c r="Q5141" s="244">
        <v>7.8</v>
      </c>
      <c r="R5141" s="58"/>
      <c r="S5141" s="245">
        <v>587</v>
      </c>
      <c r="T5141" s="58"/>
      <c r="U5141" s="244">
        <v>46</v>
      </c>
      <c r="V5141" s="244">
        <v>46</v>
      </c>
      <c r="W5141" s="174"/>
      <c r="X5141" s="174"/>
      <c r="Y5141" s="58" t="s">
        <v>5824</v>
      </c>
      <c r="Z5141" s="244" t="s">
        <v>5147</v>
      </c>
      <c r="AA5141" s="245">
        <v>7</v>
      </c>
      <c r="AB5141" s="67">
        <v>110</v>
      </c>
      <c r="AC5141" s="67" t="s">
        <v>7004</v>
      </c>
      <c r="AD5141" s="94">
        <v>1.54</v>
      </c>
      <c r="AE5141" s="94">
        <f>100-AF5141-AG5141</f>
        <v>71</v>
      </c>
      <c r="AF5141" s="94">
        <v>14</v>
      </c>
      <c r="AG5141" s="245">
        <v>15</v>
      </c>
      <c r="AH5141" s="58" t="s">
        <v>174</v>
      </c>
      <c r="AI5141" s="169" t="s">
        <v>5825</v>
      </c>
      <c r="AJ5141" s="94">
        <f>2.8*0.58</f>
        <v>1.6239999999999999</v>
      </c>
      <c r="AK5141" s="94"/>
      <c r="AL5141" s="58"/>
      <c r="AM5141" s="58"/>
      <c r="AN5141" s="186" t="s">
        <v>5821</v>
      </c>
      <c r="AO5141" s="185" t="s">
        <v>5150</v>
      </c>
      <c r="AP5141" s="58"/>
      <c r="AQ5141" s="58" t="s">
        <v>4584</v>
      </c>
      <c r="AR5141" s="58" t="s">
        <v>5822</v>
      </c>
      <c r="AS5141" s="246" t="s">
        <v>4584</v>
      </c>
      <c r="AT5141" s="247">
        <v>1</v>
      </c>
      <c r="AU5141" s="181" t="s">
        <v>7494</v>
      </c>
      <c r="AV5141" s="185" t="s">
        <v>176</v>
      </c>
      <c r="AW5141" s="244">
        <v>1</v>
      </c>
      <c r="AX5141" s="185" t="s">
        <v>176</v>
      </c>
      <c r="AY5141" s="244" t="s">
        <v>176</v>
      </c>
      <c r="AZ5141" s="58"/>
      <c r="BA5141" s="58"/>
      <c r="BB5141" s="58"/>
      <c r="BC5141" s="58"/>
      <c r="BD5141" s="58"/>
      <c r="BE5141" s="236" t="s">
        <v>5218</v>
      </c>
      <c r="BF5141" s="191" t="s">
        <v>479</v>
      </c>
      <c r="BG5141" s="191" t="s">
        <v>479</v>
      </c>
      <c r="BH5141" s="236" t="s">
        <v>5288</v>
      </c>
      <c r="BI5141" s="191" t="s">
        <v>479</v>
      </c>
      <c r="BJ5141" s="58" t="str">
        <f>IF(BE5141=BH5141,"No","yes")</f>
        <v>yes</v>
      </c>
      <c r="BK5141" s="58" t="s">
        <v>6335</v>
      </c>
      <c r="BL5141" s="58"/>
      <c r="BM5141" s="237"/>
      <c r="BN5141" s="244">
        <v>3</v>
      </c>
      <c r="BO5141" s="244">
        <v>3</v>
      </c>
      <c r="BP5141" s="58"/>
      <c r="BQ5141" s="58"/>
      <c r="BR5141" s="58"/>
      <c r="BS5141" s="58"/>
      <c r="BT5141" s="58"/>
      <c r="BU5141" s="58"/>
      <c r="BV5141" s="58" t="s">
        <v>5827</v>
      </c>
      <c r="BW5141" s="67"/>
      <c r="BX5141" s="67"/>
      <c r="BY5141" s="67"/>
      <c r="BZ5141" s="67"/>
      <c r="CA5141" s="67"/>
      <c r="CB5141" s="70"/>
      <c r="CC5141" s="70"/>
      <c r="CD5141" s="70"/>
      <c r="CE5141" s="67"/>
      <c r="CF5141" s="67"/>
      <c r="CG5141" s="67"/>
      <c r="CH5141" s="245">
        <v>1.54</v>
      </c>
      <c r="CI5141" s="245">
        <v>1.54</v>
      </c>
      <c r="CJ5141" s="67">
        <v>0.05</v>
      </c>
      <c r="CK5141" s="67">
        <v>0.05</v>
      </c>
      <c r="CL5141" s="67"/>
      <c r="CM5141" s="242">
        <v>1.6442307692307694</v>
      </c>
      <c r="CN5141" s="242">
        <v>1.3878787878787879</v>
      </c>
      <c r="CO5141" s="242"/>
      <c r="CP5141" s="242"/>
      <c r="CQ5141" s="242"/>
      <c r="CR5141" s="242"/>
      <c r="CS5141" s="242"/>
      <c r="CT5141" s="242"/>
      <c r="CU5141" s="242"/>
      <c r="CV5141" s="242"/>
      <c r="CW5141" s="242"/>
      <c r="CX5141" s="242"/>
      <c r="CY5141" s="242"/>
      <c r="CZ5141" s="242"/>
      <c r="DA5141" s="67"/>
      <c r="DB5141" s="67"/>
      <c r="DC5141" s="67"/>
      <c r="DD5141" s="67"/>
      <c r="DE5141" s="67"/>
      <c r="DF5141" s="67"/>
      <c r="DG5141" s="67">
        <v>50</v>
      </c>
      <c r="DH5141" s="67">
        <v>8</v>
      </c>
      <c r="DI5141" s="67"/>
      <c r="DJ5141" s="67"/>
      <c r="DK5141" s="67" t="s">
        <v>5832</v>
      </c>
      <c r="DL5141" s="67">
        <v>346</v>
      </c>
      <c r="DM5141" s="67">
        <v>80</v>
      </c>
      <c r="DN5141" s="67"/>
      <c r="DO5141" s="67"/>
      <c r="DP5141" s="67" t="s">
        <v>5831</v>
      </c>
      <c r="DQ5141" s="166">
        <v>6.7</v>
      </c>
      <c r="DR5141" s="166">
        <v>6.7</v>
      </c>
      <c r="DS5141" s="163"/>
      <c r="DT5141" s="163"/>
      <c r="DU5141" s="67"/>
      <c r="DV5141" s="67">
        <v>110</v>
      </c>
      <c r="DW5141" s="67">
        <v>132</v>
      </c>
      <c r="DX5141" s="67"/>
      <c r="DY5141" s="67"/>
      <c r="DZ5141" s="67" t="s">
        <v>5833</v>
      </c>
      <c r="EA5141" s="67"/>
      <c r="EB5141" s="67"/>
      <c r="EC5141" s="67"/>
      <c r="ED5141" s="67"/>
      <c r="EE5141" s="67"/>
      <c r="EF5141" s="67"/>
      <c r="EG5141" s="67"/>
      <c r="EH5141" s="67"/>
      <c r="EI5141" s="67"/>
      <c r="EJ5141" s="67"/>
      <c r="EK5141" s="94">
        <v>0.36</v>
      </c>
      <c r="EL5141" s="94">
        <v>0.51</v>
      </c>
      <c r="EM5141" s="67">
        <v>0.08</v>
      </c>
      <c r="EN5141" s="67">
        <v>0.11</v>
      </c>
      <c r="EO5141" s="67" t="s">
        <v>77</v>
      </c>
      <c r="EP5141" s="67">
        <v>10.1</v>
      </c>
      <c r="EQ5141" s="67">
        <v>11.5</v>
      </c>
      <c r="ER5141" s="67">
        <v>3.3</v>
      </c>
      <c r="ES5141" s="67">
        <v>3</v>
      </c>
      <c r="ET5141" s="67" t="s">
        <v>5835</v>
      </c>
      <c r="EU5141" s="67"/>
      <c r="EV5141" s="67"/>
      <c r="EW5141" s="67"/>
      <c r="EX5141" s="67"/>
      <c r="EY5141" s="67"/>
      <c r="EZ5141" s="67"/>
      <c r="FA5141" s="67"/>
      <c r="FB5141" s="67"/>
      <c r="FC5141" s="67"/>
      <c r="FD5141" s="67"/>
      <c r="FE5141" s="67"/>
      <c r="FF5141" s="67"/>
      <c r="FG5141" s="67"/>
      <c r="FH5141" s="67"/>
      <c r="FI5141" s="67"/>
      <c r="FJ5141" s="67"/>
      <c r="FK5141" s="67"/>
      <c r="FL5141" s="67"/>
      <c r="FM5141" s="67"/>
      <c r="FN5141" s="67"/>
      <c r="FO5141" s="67"/>
      <c r="FP5141" s="67"/>
      <c r="FQ5141" s="67"/>
      <c r="FR5141" s="67"/>
      <c r="FS5141" s="67"/>
      <c r="FT5141" s="67"/>
      <c r="FU5141" s="67"/>
      <c r="FV5141" s="67"/>
      <c r="FW5141" s="67"/>
      <c r="FX5141" s="67"/>
      <c r="FY5141" s="67"/>
      <c r="FZ5141" s="67"/>
      <c r="GA5141" s="67"/>
      <c r="GB5141" s="67"/>
      <c r="GC5141" s="67"/>
      <c r="GD5141" s="67">
        <v>33.700000000000003</v>
      </c>
      <c r="GE5141" s="67">
        <v>32.700000000000003</v>
      </c>
      <c r="GF5141" s="67"/>
      <c r="GG5141" s="67"/>
      <c r="GH5141" s="67" t="s">
        <v>5834</v>
      </c>
      <c r="GI5141" s="67"/>
      <c r="GJ5141" s="67"/>
      <c r="GK5141" s="67"/>
      <c r="GL5141" s="67"/>
      <c r="GM5141" s="67"/>
      <c r="GN5141" s="292"/>
      <c r="GO5141" s="292"/>
      <c r="GP5141" s="292" t="s">
        <v>7494</v>
      </c>
      <c r="GQ5141" s="67"/>
      <c r="GR5141" s="67"/>
      <c r="GS5141" s="67"/>
      <c r="GT5141" s="67"/>
      <c r="GU5141" s="67"/>
      <c r="GV5141" s="67"/>
      <c r="GW5141" s="67"/>
      <c r="GX5141" s="67"/>
      <c r="GY5141" s="67"/>
      <c r="GZ5141" s="67"/>
      <c r="HA5141" s="67"/>
      <c r="HB5141" s="67"/>
      <c r="HC5141" s="67"/>
      <c r="HD5141" s="67"/>
      <c r="HE5141" s="67"/>
      <c r="HF5141" s="67"/>
      <c r="HG5141" s="67"/>
      <c r="HH5141" s="67"/>
      <c r="HI5141" s="67">
        <v>13.8</v>
      </c>
      <c r="HJ5141" s="67">
        <v>15</v>
      </c>
      <c r="HK5141" s="67"/>
      <c r="HL5141" s="67"/>
      <c r="HM5141" s="67" t="s">
        <v>5838</v>
      </c>
      <c r="HN5141" s="67">
        <v>2.58</v>
      </c>
      <c r="HO5141" s="67">
        <v>6.64</v>
      </c>
      <c r="HP5141" s="67">
        <v>8.1000000000000003E-2</v>
      </c>
      <c r="HQ5141" s="67">
        <v>3.1E-2</v>
      </c>
      <c r="HR5141" s="67" t="s">
        <v>5839</v>
      </c>
      <c r="HS5141" s="67">
        <v>279</v>
      </c>
      <c r="HT5141" s="67">
        <v>282</v>
      </c>
      <c r="HU5141" s="67">
        <v>6</v>
      </c>
      <c r="HV5141" s="67">
        <v>61</v>
      </c>
      <c r="HW5141" s="67" t="s">
        <v>5837</v>
      </c>
      <c r="HX5141" s="67"/>
      <c r="HY5141" s="67"/>
      <c r="HZ5141" s="67"/>
      <c r="IA5141" s="67"/>
      <c r="IB5141" s="67"/>
      <c r="IC5141" s="67"/>
      <c r="ID5141" s="67"/>
      <c r="IE5141" s="67"/>
      <c r="IF5141" s="67"/>
      <c r="IG5141" s="67"/>
      <c r="IH5141" s="67"/>
      <c r="II5141" s="67"/>
      <c r="IJ5141" s="67"/>
      <c r="IK5141" s="67"/>
      <c r="IL5141" s="67"/>
      <c r="IM5141" s="67"/>
      <c r="IN5141" s="67"/>
      <c r="IO5141" s="67"/>
      <c r="IP5141" s="67"/>
      <c r="IQ5141" s="67"/>
      <c r="IR5141" s="67"/>
      <c r="IS5141" s="67"/>
      <c r="IT5141" s="67"/>
      <c r="IU5141" s="67"/>
      <c r="IV5141" s="67"/>
      <c r="IW5141" s="67"/>
      <c r="IX5141" s="67"/>
      <c r="IY5141" s="67"/>
      <c r="IZ5141" s="67"/>
      <c r="JA5141" s="67"/>
      <c r="JB5141" s="67"/>
      <c r="JC5141" s="67"/>
      <c r="JD5141" s="67"/>
      <c r="JE5141" s="67"/>
      <c r="JF5141" s="67"/>
      <c r="JG5141" s="67">
        <v>171</v>
      </c>
      <c r="JH5141" s="67">
        <v>229</v>
      </c>
      <c r="JI5141" s="67">
        <v>15</v>
      </c>
      <c r="JJ5141" s="67">
        <v>13</v>
      </c>
      <c r="JK5141" s="67" t="s">
        <v>5836</v>
      </c>
      <c r="JL5141" s="67"/>
      <c r="JM5141" s="67"/>
      <c r="JN5141" s="67"/>
      <c r="JO5141" s="67"/>
      <c r="JP5141" s="67"/>
      <c r="JQ5141" s="67"/>
      <c r="JR5141" s="67"/>
      <c r="JS5141" s="67"/>
      <c r="JT5141" s="67"/>
      <c r="JU5141" s="58"/>
      <c r="JV5141" s="58"/>
      <c r="JW5141" s="58"/>
    </row>
    <row r="5142" spans="1:283" s="23" customFormat="1" x14ac:dyDescent="0.25">
      <c r="A5142" s="55">
        <v>5141</v>
      </c>
      <c r="B5142" s="12" t="s">
        <v>7067</v>
      </c>
      <c r="C5142" s="156">
        <v>272</v>
      </c>
      <c r="D5142" s="58" t="s">
        <v>5038</v>
      </c>
      <c r="E5142" s="160" t="str">
        <f>G5142</f>
        <v>Schjonning et al. 2002_group I_pair 2</v>
      </c>
      <c r="F5142" s="160"/>
      <c r="G5142" s="60" t="s">
        <v>5297</v>
      </c>
      <c r="H5142" s="58">
        <v>2002</v>
      </c>
      <c r="I5142" s="58" t="s">
        <v>2847</v>
      </c>
      <c r="J5142" s="243" t="s">
        <v>427</v>
      </c>
      <c r="K5142" s="63" t="s">
        <v>5074</v>
      </c>
      <c r="L5142" s="58" t="s">
        <v>2743</v>
      </c>
      <c r="M5142" s="94">
        <v>55.46</v>
      </c>
      <c r="N5142" s="94">
        <v>11.72</v>
      </c>
      <c r="O5142" s="94">
        <v>46</v>
      </c>
      <c r="P5142" s="58"/>
      <c r="Q5142" s="244">
        <v>7.8</v>
      </c>
      <c r="R5142" s="58"/>
      <c r="S5142" s="245">
        <v>587</v>
      </c>
      <c r="T5142" s="58"/>
      <c r="U5142" s="244">
        <v>46</v>
      </c>
      <c r="V5142" s="244">
        <v>46</v>
      </c>
      <c r="W5142" s="174"/>
      <c r="X5142" s="174"/>
      <c r="Y5142" s="58" t="s">
        <v>5824</v>
      </c>
      <c r="Z5142" s="244" t="s">
        <v>5147</v>
      </c>
      <c r="AA5142" s="245">
        <v>7</v>
      </c>
      <c r="AB5142" s="67">
        <v>126</v>
      </c>
      <c r="AC5142" s="67" t="s">
        <v>7004</v>
      </c>
      <c r="AD5142" s="94">
        <v>1.54</v>
      </c>
      <c r="AE5142" s="94">
        <f>100-AF5142-AG5142</f>
        <v>65</v>
      </c>
      <c r="AF5142" s="94">
        <v>21</v>
      </c>
      <c r="AG5142" s="245">
        <v>14</v>
      </c>
      <c r="AH5142" s="58" t="s">
        <v>238</v>
      </c>
      <c r="AI5142" s="169" t="s">
        <v>5826</v>
      </c>
      <c r="AJ5142" s="94">
        <f>2.5*0.58</f>
        <v>1.45</v>
      </c>
      <c r="AK5142" s="94"/>
      <c r="AL5142" s="58"/>
      <c r="AM5142" s="58"/>
      <c r="AN5142" s="186" t="s">
        <v>5821</v>
      </c>
      <c r="AO5142" s="185" t="s">
        <v>5150</v>
      </c>
      <c r="AP5142" s="58"/>
      <c r="AQ5142" s="58" t="s">
        <v>4584</v>
      </c>
      <c r="AR5142" s="58" t="s">
        <v>5822</v>
      </c>
      <c r="AS5142" s="246" t="s">
        <v>4584</v>
      </c>
      <c r="AT5142" s="247">
        <v>0</v>
      </c>
      <c r="AU5142" s="181" t="s">
        <v>7494</v>
      </c>
      <c r="AV5142" s="185" t="s">
        <v>176</v>
      </c>
      <c r="AW5142" s="244">
        <v>1</v>
      </c>
      <c r="AX5142" s="185" t="s">
        <v>176</v>
      </c>
      <c r="AY5142" s="244" t="s">
        <v>5150</v>
      </c>
      <c r="AZ5142" s="58"/>
      <c r="BA5142" s="58"/>
      <c r="BB5142" s="58"/>
      <c r="BC5142" s="58"/>
      <c r="BD5142" s="58"/>
      <c r="BE5142" s="236" t="s">
        <v>5219</v>
      </c>
      <c r="BF5142" s="191" t="s">
        <v>479</v>
      </c>
      <c r="BG5142" s="191" t="s">
        <v>479</v>
      </c>
      <c r="BH5142" s="236" t="s">
        <v>5288</v>
      </c>
      <c r="BI5142" s="191" t="s">
        <v>479</v>
      </c>
      <c r="BJ5142" s="58" t="str">
        <f>IF(BE5142=BH5142,"No","yes")</f>
        <v>yes</v>
      </c>
      <c r="BK5142" s="58" t="s">
        <v>6335</v>
      </c>
      <c r="BL5142" s="58"/>
      <c r="BM5142" s="237"/>
      <c r="BN5142" s="244">
        <v>3</v>
      </c>
      <c r="BO5142" s="244">
        <v>3</v>
      </c>
      <c r="BP5142" s="58"/>
      <c r="BQ5142" s="58"/>
      <c r="BR5142" s="58"/>
      <c r="BS5142" s="58"/>
      <c r="BT5142" s="58"/>
      <c r="BU5142" s="58"/>
      <c r="BV5142" s="58" t="s">
        <v>5828</v>
      </c>
      <c r="BW5142" s="67"/>
      <c r="BX5142" s="67"/>
      <c r="BY5142" s="67"/>
      <c r="BZ5142" s="67"/>
      <c r="CA5142" s="67"/>
      <c r="CB5142" s="70"/>
      <c r="CC5142" s="70"/>
      <c r="CD5142" s="70"/>
      <c r="CE5142" s="67"/>
      <c r="CF5142" s="67"/>
      <c r="CG5142" s="67"/>
      <c r="CH5142" s="245">
        <v>1.44</v>
      </c>
      <c r="CI5142" s="245">
        <v>1.54</v>
      </c>
      <c r="CJ5142" s="67">
        <v>0.06</v>
      </c>
      <c r="CK5142" s="67">
        <v>0.05</v>
      </c>
      <c r="CL5142" s="67"/>
      <c r="CM5142" s="242">
        <v>1.4823529411764704</v>
      </c>
      <c r="CN5142" s="242">
        <v>1.3878787878787879</v>
      </c>
      <c r="CO5142" s="242"/>
      <c r="CP5142" s="242"/>
      <c r="CQ5142" s="242"/>
      <c r="CR5142" s="242"/>
      <c r="CS5142" s="242"/>
      <c r="CT5142" s="242"/>
      <c r="CU5142" s="242"/>
      <c r="CV5142" s="242"/>
      <c r="CW5142" s="242"/>
      <c r="CX5142" s="242"/>
      <c r="CY5142" s="242"/>
      <c r="CZ5142" s="242"/>
      <c r="DA5142" s="67"/>
      <c r="DB5142" s="67"/>
      <c r="DC5142" s="67"/>
      <c r="DD5142" s="67"/>
      <c r="DE5142" s="67"/>
      <c r="DF5142" s="67"/>
      <c r="DG5142" s="67">
        <v>15</v>
      </c>
      <c r="DH5142" s="67">
        <v>8</v>
      </c>
      <c r="DI5142" s="67"/>
      <c r="DJ5142" s="67"/>
      <c r="DK5142" s="67" t="s">
        <v>5832</v>
      </c>
      <c r="DL5142" s="67">
        <v>102</v>
      </c>
      <c r="DM5142" s="67">
        <v>80</v>
      </c>
      <c r="DN5142" s="67"/>
      <c r="DO5142" s="67"/>
      <c r="DP5142" s="67" t="s">
        <v>5831</v>
      </c>
      <c r="DQ5142" s="166">
        <v>6.4</v>
      </c>
      <c r="DR5142" s="166">
        <v>6.7</v>
      </c>
      <c r="DS5142" s="163"/>
      <c r="DT5142" s="163"/>
      <c r="DU5142" s="67"/>
      <c r="DV5142" s="67">
        <v>126</v>
      </c>
      <c r="DW5142" s="67">
        <v>132</v>
      </c>
      <c r="DX5142" s="67"/>
      <c r="DY5142" s="67"/>
      <c r="DZ5142" s="67" t="s">
        <v>5833</v>
      </c>
      <c r="EA5142" s="67"/>
      <c r="EB5142" s="67"/>
      <c r="EC5142" s="67"/>
      <c r="ED5142" s="67"/>
      <c r="EE5142" s="67"/>
      <c r="EF5142" s="67"/>
      <c r="EG5142" s="67"/>
      <c r="EH5142" s="67"/>
      <c r="EI5142" s="67"/>
      <c r="EJ5142" s="67"/>
      <c r="EK5142" s="94">
        <v>0.36</v>
      </c>
      <c r="EL5142" s="94">
        <v>0.51</v>
      </c>
      <c r="EM5142" s="67">
        <v>0.09</v>
      </c>
      <c r="EN5142" s="67">
        <v>0.11</v>
      </c>
      <c r="EO5142" s="67" t="s">
        <v>77</v>
      </c>
      <c r="EP5142" s="67">
        <v>15.9</v>
      </c>
      <c r="EQ5142" s="67">
        <v>11.2</v>
      </c>
      <c r="ER5142" s="67">
        <v>3</v>
      </c>
      <c r="ES5142" s="67">
        <v>3</v>
      </c>
      <c r="ET5142" s="67" t="s">
        <v>5835</v>
      </c>
      <c r="EU5142" s="67"/>
      <c r="EV5142" s="67"/>
      <c r="EW5142" s="67"/>
      <c r="EX5142" s="67"/>
      <c r="EY5142" s="67"/>
      <c r="EZ5142" s="67"/>
      <c r="FA5142" s="67"/>
      <c r="FB5142" s="67"/>
      <c r="FC5142" s="67"/>
      <c r="FD5142" s="67"/>
      <c r="FE5142" s="67"/>
      <c r="FF5142" s="67"/>
      <c r="FG5142" s="67"/>
      <c r="FH5142" s="67"/>
      <c r="FI5142" s="67"/>
      <c r="FJ5142" s="67"/>
      <c r="FK5142" s="67"/>
      <c r="FL5142" s="67"/>
      <c r="FM5142" s="67"/>
      <c r="FN5142" s="67"/>
      <c r="FO5142" s="67"/>
      <c r="FP5142" s="67"/>
      <c r="FQ5142" s="67"/>
      <c r="FR5142" s="67"/>
      <c r="FS5142" s="67"/>
      <c r="FT5142" s="67"/>
      <c r="FU5142" s="67"/>
      <c r="FV5142" s="67"/>
      <c r="FW5142" s="67"/>
      <c r="FX5142" s="67"/>
      <c r="FY5142" s="67"/>
      <c r="FZ5142" s="67"/>
      <c r="GA5142" s="67"/>
      <c r="GB5142" s="67"/>
      <c r="GC5142" s="67"/>
      <c r="GD5142" s="67">
        <v>34.9</v>
      </c>
      <c r="GE5142" s="67">
        <v>32.700000000000003</v>
      </c>
      <c r="GF5142" s="67"/>
      <c r="GG5142" s="67"/>
      <c r="GH5142" s="67" t="s">
        <v>5834</v>
      </c>
      <c r="GI5142" s="67"/>
      <c r="GJ5142" s="67"/>
      <c r="GK5142" s="67"/>
      <c r="GL5142" s="67"/>
      <c r="GM5142" s="67"/>
      <c r="GN5142" s="292"/>
      <c r="GO5142" s="292"/>
      <c r="GP5142" s="292" t="s">
        <v>7494</v>
      </c>
      <c r="GQ5142" s="67"/>
      <c r="GR5142" s="67"/>
      <c r="GS5142" s="67"/>
      <c r="GT5142" s="67"/>
      <c r="GU5142" s="67"/>
      <c r="GV5142" s="67"/>
      <c r="GW5142" s="67"/>
      <c r="GX5142" s="67"/>
      <c r="GY5142" s="67"/>
      <c r="GZ5142" s="67"/>
      <c r="HA5142" s="67"/>
      <c r="HB5142" s="67"/>
      <c r="HC5142" s="67"/>
      <c r="HD5142" s="67"/>
      <c r="HE5142" s="67"/>
      <c r="HF5142" s="67"/>
      <c r="HG5142" s="67"/>
      <c r="HH5142" s="67"/>
      <c r="HI5142" s="67">
        <v>14.1</v>
      </c>
      <c r="HJ5142" s="67">
        <v>15</v>
      </c>
      <c r="HK5142" s="67"/>
      <c r="HL5142" s="67"/>
      <c r="HM5142" s="67" t="s">
        <v>5838</v>
      </c>
      <c r="HN5142" s="67">
        <v>3.19</v>
      </c>
      <c r="HO5142" s="67">
        <v>6.64</v>
      </c>
      <c r="HP5142" s="67">
        <v>0.107</v>
      </c>
      <c r="HQ5142" s="67">
        <v>3.1E-2</v>
      </c>
      <c r="HR5142" s="67" t="s">
        <v>5839</v>
      </c>
      <c r="HS5142" s="67">
        <v>225</v>
      </c>
      <c r="HT5142" s="67">
        <v>282</v>
      </c>
      <c r="HU5142" s="67">
        <v>14</v>
      </c>
      <c r="HV5142" s="67">
        <v>61</v>
      </c>
      <c r="HW5142" s="67" t="s">
        <v>5837</v>
      </c>
      <c r="HX5142" s="67"/>
      <c r="HY5142" s="67"/>
      <c r="HZ5142" s="67"/>
      <c r="IA5142" s="67"/>
      <c r="IB5142" s="67"/>
      <c r="IC5142" s="67"/>
      <c r="ID5142" s="67"/>
      <c r="IE5142" s="67"/>
      <c r="IF5142" s="67"/>
      <c r="IG5142" s="67"/>
      <c r="IH5142" s="67"/>
      <c r="II5142" s="67"/>
      <c r="IJ5142" s="67"/>
      <c r="IK5142" s="67"/>
      <c r="IL5142" s="67"/>
      <c r="IM5142" s="67"/>
      <c r="IN5142" s="67"/>
      <c r="IO5142" s="67"/>
      <c r="IP5142" s="67"/>
      <c r="IQ5142" s="67"/>
      <c r="IR5142" s="67"/>
      <c r="IS5142" s="67"/>
      <c r="IT5142" s="67"/>
      <c r="IU5142" s="67"/>
      <c r="IV5142" s="67"/>
      <c r="IW5142" s="67"/>
      <c r="IX5142" s="67"/>
      <c r="IY5142" s="67"/>
      <c r="IZ5142" s="67"/>
      <c r="JA5142" s="67"/>
      <c r="JB5142" s="67"/>
      <c r="JC5142" s="67"/>
      <c r="JD5142" s="67"/>
      <c r="JE5142" s="67"/>
      <c r="JF5142" s="67"/>
      <c r="JG5142" s="67">
        <v>126</v>
      </c>
      <c r="JH5142" s="67">
        <v>229</v>
      </c>
      <c r="JI5142" s="67">
        <v>8</v>
      </c>
      <c r="JJ5142" s="67">
        <v>13</v>
      </c>
      <c r="JK5142" s="67" t="s">
        <v>5836</v>
      </c>
      <c r="JL5142" s="67"/>
      <c r="JM5142" s="67"/>
      <c r="JN5142" s="67"/>
      <c r="JO5142" s="67"/>
      <c r="JP5142" s="67"/>
      <c r="JQ5142" s="67"/>
      <c r="JR5142" s="67"/>
      <c r="JS5142" s="67"/>
      <c r="JT5142" s="67"/>
      <c r="JU5142" s="58"/>
      <c r="JV5142" s="58"/>
      <c r="JW5142" s="58"/>
    </row>
    <row r="5143" spans="1:283" s="23" customFormat="1" x14ac:dyDescent="0.25">
      <c r="A5143" s="55">
        <v>5142</v>
      </c>
      <c r="B5143" s="12" t="s">
        <v>7067</v>
      </c>
      <c r="C5143" s="156">
        <v>272</v>
      </c>
      <c r="D5143" s="58" t="s">
        <v>5039</v>
      </c>
      <c r="E5143" s="160" t="str">
        <f>G5143</f>
        <v>Schjonning et al. 2002_group II</v>
      </c>
      <c r="F5143" s="160"/>
      <c r="G5143" s="60" t="s">
        <v>5298</v>
      </c>
      <c r="H5143" s="58">
        <v>2002</v>
      </c>
      <c r="I5143" s="58" t="s">
        <v>2847</v>
      </c>
      <c r="J5143" s="243" t="s">
        <v>427</v>
      </c>
      <c r="K5143" s="63" t="s">
        <v>5074</v>
      </c>
      <c r="L5143" s="58" t="s">
        <v>2743</v>
      </c>
      <c r="M5143" s="94">
        <v>55.46</v>
      </c>
      <c r="N5143" s="94">
        <v>11.72</v>
      </c>
      <c r="O5143" s="94">
        <v>46</v>
      </c>
      <c r="P5143" s="58"/>
      <c r="Q5143" s="244">
        <v>7.8</v>
      </c>
      <c r="R5143" s="58"/>
      <c r="S5143" s="245">
        <v>587</v>
      </c>
      <c r="T5143" s="58"/>
      <c r="U5143" s="244">
        <v>47</v>
      </c>
      <c r="V5143" s="244">
        <v>47</v>
      </c>
      <c r="W5143" s="174"/>
      <c r="X5143" s="174"/>
      <c r="Y5143" s="58" t="s">
        <v>5824</v>
      </c>
      <c r="Z5143" s="244" t="s">
        <v>5147</v>
      </c>
      <c r="AA5143" s="245">
        <v>7</v>
      </c>
      <c r="AB5143" s="67">
        <v>160</v>
      </c>
      <c r="AC5143" s="67" t="s">
        <v>7004</v>
      </c>
      <c r="AD5143" s="94">
        <v>1.35</v>
      </c>
      <c r="AE5143" s="94">
        <f>100-AF5143-AG5143</f>
        <v>59</v>
      </c>
      <c r="AF5143" s="94">
        <v>20</v>
      </c>
      <c r="AG5143" s="245">
        <v>21</v>
      </c>
      <c r="AH5143" s="58" t="s">
        <v>238</v>
      </c>
      <c r="AI5143" s="169" t="s">
        <v>5748</v>
      </c>
      <c r="AJ5143" s="94">
        <f>3.5*0.58</f>
        <v>2.0299999999999998</v>
      </c>
      <c r="AK5143" s="94"/>
      <c r="AL5143" s="58"/>
      <c r="AM5143" s="58"/>
      <c r="AN5143" s="186" t="s">
        <v>5821</v>
      </c>
      <c r="AO5143" s="185" t="s">
        <v>5150</v>
      </c>
      <c r="AP5143" s="58"/>
      <c r="AQ5143" s="58" t="s">
        <v>4584</v>
      </c>
      <c r="AR5143" s="58" t="s">
        <v>5822</v>
      </c>
      <c r="AS5143" s="246" t="s">
        <v>4584</v>
      </c>
      <c r="AT5143" s="247">
        <v>0</v>
      </c>
      <c r="AU5143" s="181" t="s">
        <v>7494</v>
      </c>
      <c r="AV5143" s="185" t="s">
        <v>176</v>
      </c>
      <c r="AW5143" s="244">
        <v>1</v>
      </c>
      <c r="AX5143" s="185" t="s">
        <v>176</v>
      </c>
      <c r="AY5143" s="244" t="s">
        <v>5150</v>
      </c>
      <c r="AZ5143" s="58"/>
      <c r="BA5143" s="58"/>
      <c r="BB5143" s="58"/>
      <c r="BC5143" s="58"/>
      <c r="BD5143" s="58"/>
      <c r="BE5143" s="236" t="s">
        <v>5220</v>
      </c>
      <c r="BF5143" s="191" t="s">
        <v>479</v>
      </c>
      <c r="BG5143" s="191" t="s">
        <v>479</v>
      </c>
      <c r="BH5143" s="236" t="s">
        <v>5289</v>
      </c>
      <c r="BI5143" s="191" t="s">
        <v>479</v>
      </c>
      <c r="BJ5143" s="58" t="str">
        <f>IF(BE5143=BH5143,"No","yes")</f>
        <v>yes</v>
      </c>
      <c r="BK5143" s="58" t="s">
        <v>6335</v>
      </c>
      <c r="BL5143" s="58"/>
      <c r="BM5143" s="237"/>
      <c r="BN5143" s="244">
        <v>9</v>
      </c>
      <c r="BO5143" s="244">
        <v>9</v>
      </c>
      <c r="BP5143" s="58"/>
      <c r="BQ5143" s="58"/>
      <c r="BR5143" s="58"/>
      <c r="BS5143" s="58"/>
      <c r="BT5143" s="58"/>
      <c r="BU5143" s="58"/>
      <c r="BV5143" s="58" t="s">
        <v>5829</v>
      </c>
      <c r="BW5143" s="67"/>
      <c r="BX5143" s="67"/>
      <c r="BY5143" s="67"/>
      <c r="BZ5143" s="67"/>
      <c r="CA5143" s="67"/>
      <c r="CB5143" s="70"/>
      <c r="CC5143" s="70"/>
      <c r="CD5143" s="70"/>
      <c r="CE5143" s="67"/>
      <c r="CF5143" s="67"/>
      <c r="CG5143" s="67"/>
      <c r="CH5143" s="245">
        <v>1.35</v>
      </c>
      <c r="CI5143" s="245">
        <v>1.35</v>
      </c>
      <c r="CJ5143" s="67">
        <v>0.03</v>
      </c>
      <c r="CK5143" s="67">
        <v>0.03</v>
      </c>
      <c r="CL5143" s="67"/>
      <c r="CM5143" s="242">
        <v>2.0617283950617282</v>
      </c>
      <c r="CN5143" s="242">
        <v>2.2962962962962963</v>
      </c>
      <c r="CO5143" s="242"/>
      <c r="CP5143" s="242"/>
      <c r="CQ5143" s="242"/>
      <c r="CR5143" s="242"/>
      <c r="CS5143" s="242"/>
      <c r="CT5143" s="242"/>
      <c r="CU5143" s="242"/>
      <c r="CV5143" s="242"/>
      <c r="CW5143" s="242"/>
      <c r="CX5143" s="242"/>
      <c r="CY5143" s="242"/>
      <c r="CZ5143" s="242"/>
      <c r="DA5143" s="67"/>
      <c r="DB5143" s="67"/>
      <c r="DC5143" s="67"/>
      <c r="DD5143" s="67"/>
      <c r="DE5143" s="67"/>
      <c r="DF5143" s="67"/>
      <c r="DG5143" s="67">
        <v>47</v>
      </c>
      <c r="DH5143" s="67">
        <v>39</v>
      </c>
      <c r="DI5143" s="67"/>
      <c r="DJ5143" s="67"/>
      <c r="DK5143" s="67" t="s">
        <v>5832</v>
      </c>
      <c r="DL5143" s="67">
        <v>325</v>
      </c>
      <c r="DM5143" s="67">
        <v>390</v>
      </c>
      <c r="DN5143" s="67"/>
      <c r="DO5143" s="67"/>
      <c r="DP5143" s="67" t="s">
        <v>5831</v>
      </c>
      <c r="DQ5143" s="166">
        <v>7.1</v>
      </c>
      <c r="DR5143" s="166">
        <v>6.7</v>
      </c>
      <c r="DS5143" s="163"/>
      <c r="DT5143" s="163"/>
      <c r="DU5143" s="67"/>
      <c r="DV5143" s="67">
        <v>160</v>
      </c>
      <c r="DW5143" s="67">
        <v>178</v>
      </c>
      <c r="DX5143" s="67"/>
      <c r="DY5143" s="67"/>
      <c r="DZ5143" s="67" t="s">
        <v>5833</v>
      </c>
      <c r="EA5143" s="67"/>
      <c r="EB5143" s="67"/>
      <c r="EC5143" s="67"/>
      <c r="ED5143" s="67"/>
      <c r="EE5143" s="67"/>
      <c r="EF5143" s="67"/>
      <c r="EG5143" s="67"/>
      <c r="EH5143" s="67"/>
      <c r="EI5143" s="67"/>
      <c r="EJ5143" s="67"/>
      <c r="EK5143" s="94">
        <v>0.68</v>
      </c>
      <c r="EL5143" s="94">
        <v>0.87</v>
      </c>
      <c r="EM5143" s="67">
        <v>7.0000000000000007E-2</v>
      </c>
      <c r="EN5143" s="67">
        <v>7.0000000000000007E-2</v>
      </c>
      <c r="EO5143" s="67" t="s">
        <v>77</v>
      </c>
      <c r="EP5143" s="67">
        <v>14.9</v>
      </c>
      <c r="EQ5143" s="67">
        <v>14.1</v>
      </c>
      <c r="ER5143" s="67">
        <v>2.4</v>
      </c>
      <c r="ES5143" s="67">
        <v>2.1</v>
      </c>
      <c r="ET5143" s="67" t="s">
        <v>5835</v>
      </c>
      <c r="EU5143" s="67"/>
      <c r="EV5143" s="67"/>
      <c r="EW5143" s="67"/>
      <c r="EX5143" s="67"/>
      <c r="EY5143" s="67"/>
      <c r="EZ5143" s="67"/>
      <c r="FA5143" s="67"/>
      <c r="FB5143" s="67"/>
      <c r="FC5143" s="67"/>
      <c r="FD5143" s="67"/>
      <c r="FE5143" s="67"/>
      <c r="FF5143" s="67"/>
      <c r="FG5143" s="67"/>
      <c r="FH5143" s="67"/>
      <c r="FI5143" s="67"/>
      <c r="FJ5143" s="67"/>
      <c r="FK5143" s="67"/>
      <c r="FL5143" s="67"/>
      <c r="FM5143" s="67"/>
      <c r="FN5143" s="67"/>
      <c r="FO5143" s="67"/>
      <c r="FP5143" s="67"/>
      <c r="FQ5143" s="67"/>
      <c r="FR5143" s="67"/>
      <c r="FS5143" s="67"/>
      <c r="FT5143" s="67"/>
      <c r="FU5143" s="67"/>
      <c r="FV5143" s="67"/>
      <c r="FW5143" s="67"/>
      <c r="FX5143" s="67"/>
      <c r="FY5143" s="67"/>
      <c r="FZ5143" s="67"/>
      <c r="GA5143" s="67"/>
      <c r="GB5143" s="67"/>
      <c r="GC5143" s="67"/>
      <c r="GD5143" s="67">
        <v>30.4</v>
      </c>
      <c r="GE5143" s="67">
        <v>34.299999999999997</v>
      </c>
      <c r="GF5143" s="67"/>
      <c r="GG5143" s="67"/>
      <c r="GH5143" s="67" t="s">
        <v>5834</v>
      </c>
      <c r="GI5143" s="67"/>
      <c r="GJ5143" s="67"/>
      <c r="GK5143" s="67"/>
      <c r="GL5143" s="67"/>
      <c r="GM5143" s="67"/>
      <c r="GN5143" s="292"/>
      <c r="GO5143" s="292"/>
      <c r="GP5143" s="292" t="s">
        <v>7494</v>
      </c>
      <c r="GQ5143" s="67"/>
      <c r="GR5143" s="67"/>
      <c r="GS5143" s="67"/>
      <c r="GT5143" s="67"/>
      <c r="GU5143" s="67"/>
      <c r="GV5143" s="67"/>
      <c r="GW5143" s="67"/>
      <c r="GX5143" s="67"/>
      <c r="GY5143" s="67"/>
      <c r="GZ5143" s="67"/>
      <c r="HA5143" s="67"/>
      <c r="HB5143" s="67"/>
      <c r="HC5143" s="67"/>
      <c r="HD5143" s="67"/>
      <c r="HE5143" s="67"/>
      <c r="HF5143" s="67"/>
      <c r="HG5143" s="67"/>
      <c r="HH5143" s="67"/>
      <c r="HI5143" s="67">
        <v>30.9</v>
      </c>
      <c r="HJ5143" s="67">
        <v>30.8</v>
      </c>
      <c r="HK5143" s="67"/>
      <c r="HL5143" s="67"/>
      <c r="HM5143" s="67" t="s">
        <v>5838</v>
      </c>
      <c r="HN5143" s="67"/>
      <c r="HO5143" s="67"/>
      <c r="HP5143" s="67"/>
      <c r="HQ5143" s="67"/>
      <c r="HR5143" s="67" t="s">
        <v>5839</v>
      </c>
      <c r="HS5143" s="67">
        <v>243</v>
      </c>
      <c r="HT5143" s="67">
        <v>270</v>
      </c>
      <c r="HU5143" s="67">
        <v>21</v>
      </c>
      <c r="HV5143" s="67">
        <v>24</v>
      </c>
      <c r="HW5143" s="67" t="s">
        <v>5837</v>
      </c>
      <c r="HX5143" s="67"/>
      <c r="HY5143" s="67"/>
      <c r="HZ5143" s="67"/>
      <c r="IA5143" s="67"/>
      <c r="IB5143" s="67"/>
      <c r="IC5143" s="67"/>
      <c r="ID5143" s="67"/>
      <c r="IE5143" s="67"/>
      <c r="IF5143" s="67"/>
      <c r="IG5143" s="67"/>
      <c r="IH5143" s="67"/>
      <c r="II5143" s="67"/>
      <c r="IJ5143" s="67"/>
      <c r="IK5143" s="67"/>
      <c r="IL5143" s="67"/>
      <c r="IM5143" s="67"/>
      <c r="IN5143" s="67"/>
      <c r="IO5143" s="67"/>
      <c r="IP5143" s="67"/>
      <c r="IQ5143" s="67"/>
      <c r="IR5143" s="67"/>
      <c r="IS5143" s="67"/>
      <c r="IT5143" s="67"/>
      <c r="IU5143" s="67"/>
      <c r="IV5143" s="67"/>
      <c r="IW5143" s="67"/>
      <c r="IX5143" s="67"/>
      <c r="IY5143" s="67"/>
      <c r="IZ5143" s="67"/>
      <c r="JA5143" s="67"/>
      <c r="JB5143" s="67"/>
      <c r="JC5143" s="67"/>
      <c r="JD5143" s="67"/>
      <c r="JE5143" s="67"/>
      <c r="JF5143" s="67"/>
      <c r="JG5143" s="67">
        <v>501</v>
      </c>
      <c r="JH5143" s="67">
        <v>682</v>
      </c>
      <c r="JI5143" s="67">
        <v>90</v>
      </c>
      <c r="JJ5143" s="67">
        <v>113</v>
      </c>
      <c r="JK5143" s="67" t="s">
        <v>5836</v>
      </c>
      <c r="JL5143" s="67"/>
      <c r="JM5143" s="67"/>
      <c r="JN5143" s="67"/>
      <c r="JO5143" s="67"/>
      <c r="JP5143" s="67"/>
      <c r="JQ5143" s="67"/>
      <c r="JR5143" s="67"/>
      <c r="JS5143" s="67"/>
      <c r="JT5143" s="67"/>
      <c r="JU5143" s="58"/>
      <c r="JV5143" s="58"/>
      <c r="JW5143" s="58"/>
    </row>
    <row r="5144" spans="1:283" s="23" customFormat="1" x14ac:dyDescent="0.25">
      <c r="A5144" s="55">
        <v>5143</v>
      </c>
      <c r="B5144" s="12" t="s">
        <v>7067</v>
      </c>
      <c r="C5144" s="156">
        <v>272</v>
      </c>
      <c r="D5144" s="58" t="s">
        <v>5040</v>
      </c>
      <c r="E5144" s="160" t="str">
        <f>G5144</f>
        <v>Schjonning et al. 2002_group III</v>
      </c>
      <c r="F5144" s="160"/>
      <c r="G5144" s="60" t="s">
        <v>5299</v>
      </c>
      <c r="H5144" s="58">
        <v>2002</v>
      </c>
      <c r="I5144" s="58" t="s">
        <v>2847</v>
      </c>
      <c r="J5144" s="243" t="s">
        <v>427</v>
      </c>
      <c r="K5144" s="63" t="s">
        <v>5074</v>
      </c>
      <c r="L5144" s="58" t="s">
        <v>2743</v>
      </c>
      <c r="M5144" s="94">
        <v>55.46</v>
      </c>
      <c r="N5144" s="94">
        <v>11.72</v>
      </c>
      <c r="O5144" s="94">
        <v>46</v>
      </c>
      <c r="P5144" s="58"/>
      <c r="Q5144" s="244">
        <v>7.8</v>
      </c>
      <c r="R5144" s="58"/>
      <c r="S5144" s="245">
        <v>587</v>
      </c>
      <c r="T5144" s="58"/>
      <c r="U5144" s="244">
        <v>40</v>
      </c>
      <c r="V5144" s="244">
        <v>40</v>
      </c>
      <c r="W5144" s="174"/>
      <c r="X5144" s="174"/>
      <c r="Y5144" s="58" t="s">
        <v>5823</v>
      </c>
      <c r="Z5144" s="244" t="s">
        <v>5147</v>
      </c>
      <c r="AA5144" s="245">
        <v>7</v>
      </c>
      <c r="AB5144" s="67">
        <v>123</v>
      </c>
      <c r="AC5144" s="67" t="s">
        <v>7004</v>
      </c>
      <c r="AD5144" s="94">
        <v>1.36</v>
      </c>
      <c r="AE5144" s="94">
        <f>100-AF5144-AG5144</f>
        <v>67</v>
      </c>
      <c r="AF5144" s="94">
        <v>14</v>
      </c>
      <c r="AG5144" s="245">
        <v>19</v>
      </c>
      <c r="AH5144" s="58" t="s">
        <v>238</v>
      </c>
      <c r="AI5144" s="169" t="s">
        <v>5722</v>
      </c>
      <c r="AJ5144" s="94">
        <f>2.4*0.58</f>
        <v>1.3919999999999999</v>
      </c>
      <c r="AK5144" s="94"/>
      <c r="AL5144" s="58"/>
      <c r="AM5144" s="58"/>
      <c r="AN5144" s="186" t="s">
        <v>5821</v>
      </c>
      <c r="AO5144" s="185" t="s">
        <v>5150</v>
      </c>
      <c r="AP5144" s="58"/>
      <c r="AQ5144" s="58" t="s">
        <v>4584</v>
      </c>
      <c r="AR5144" s="58" t="s">
        <v>5822</v>
      </c>
      <c r="AS5144" s="246" t="s">
        <v>4584</v>
      </c>
      <c r="AT5144" s="247">
        <v>0</v>
      </c>
      <c r="AU5144" s="181" t="s">
        <v>7494</v>
      </c>
      <c r="AV5144" s="185" t="s">
        <v>176</v>
      </c>
      <c r="AW5144" s="244">
        <v>1</v>
      </c>
      <c r="AX5144" s="185" t="s">
        <v>176</v>
      </c>
      <c r="AY5144" s="244" t="s">
        <v>5150</v>
      </c>
      <c r="AZ5144" s="58"/>
      <c r="BA5144" s="58"/>
      <c r="BB5144" s="58"/>
      <c r="BC5144" s="58"/>
      <c r="BD5144" s="58"/>
      <c r="BE5144" s="236" t="s">
        <v>5221</v>
      </c>
      <c r="BF5144" s="191" t="s">
        <v>479</v>
      </c>
      <c r="BG5144" s="191" t="s">
        <v>479</v>
      </c>
      <c r="BH5144" s="236" t="s">
        <v>5290</v>
      </c>
      <c r="BI5144" s="191" t="s">
        <v>479</v>
      </c>
      <c r="BJ5144" s="58" t="str">
        <f>IF(BE5144=BH5144,"No","yes")</f>
        <v>yes</v>
      </c>
      <c r="BK5144" s="58" t="s">
        <v>6335</v>
      </c>
      <c r="BL5144" s="58"/>
      <c r="BM5144" s="237"/>
      <c r="BN5144" s="244">
        <v>9</v>
      </c>
      <c r="BO5144" s="244">
        <v>9</v>
      </c>
      <c r="BP5144" s="58"/>
      <c r="BQ5144" s="58"/>
      <c r="BR5144" s="58"/>
      <c r="BS5144" s="58"/>
      <c r="BT5144" s="58"/>
      <c r="BU5144" s="58"/>
      <c r="BV5144" s="58" t="s">
        <v>5830</v>
      </c>
      <c r="BW5144" s="67"/>
      <c r="BX5144" s="67"/>
      <c r="BY5144" s="67"/>
      <c r="BZ5144" s="67"/>
      <c r="CA5144" s="67"/>
      <c r="CB5144" s="70"/>
      <c r="CC5144" s="70"/>
      <c r="CD5144" s="70"/>
      <c r="CE5144" s="67"/>
      <c r="CF5144" s="67"/>
      <c r="CG5144" s="67"/>
      <c r="CH5144" s="245">
        <v>1.49</v>
      </c>
      <c r="CI5144" s="245">
        <v>1.36</v>
      </c>
      <c r="CJ5144" s="67">
        <v>0.06</v>
      </c>
      <c r="CK5144" s="67">
        <v>7.0000000000000007E-2</v>
      </c>
      <c r="CL5144" s="67"/>
      <c r="CM5144" s="242">
        <v>1.4016393442622952</v>
      </c>
      <c r="CN5144" s="242">
        <v>2.0567375886524824</v>
      </c>
      <c r="CO5144" s="242"/>
      <c r="CP5144" s="242"/>
      <c r="CQ5144" s="242"/>
      <c r="CR5144" s="242"/>
      <c r="CS5144" s="242"/>
      <c r="CT5144" s="242"/>
      <c r="CU5144" s="242"/>
      <c r="CV5144" s="242"/>
      <c r="CW5144" s="242"/>
      <c r="CX5144" s="242"/>
      <c r="CY5144" s="242"/>
      <c r="CZ5144" s="242"/>
      <c r="DA5144" s="67"/>
      <c r="DB5144" s="67"/>
      <c r="DC5144" s="67"/>
      <c r="DD5144" s="67"/>
      <c r="DE5144" s="67"/>
      <c r="DF5144" s="67"/>
      <c r="DG5144" s="67">
        <v>23</v>
      </c>
      <c r="DH5144" s="67">
        <v>46</v>
      </c>
      <c r="DI5144" s="67"/>
      <c r="DJ5144" s="67"/>
      <c r="DK5144" s="67" t="s">
        <v>5832</v>
      </c>
      <c r="DL5144" s="67">
        <v>185</v>
      </c>
      <c r="DM5144" s="67">
        <v>380</v>
      </c>
      <c r="DN5144" s="67"/>
      <c r="DO5144" s="67"/>
      <c r="DP5144" s="67" t="s">
        <v>5831</v>
      </c>
      <c r="DQ5144" s="166">
        <v>6.1</v>
      </c>
      <c r="DR5144" s="166">
        <v>6.2</v>
      </c>
      <c r="DS5144" s="163"/>
      <c r="DT5144" s="163"/>
      <c r="DU5144" s="67"/>
      <c r="DV5144" s="67">
        <v>123</v>
      </c>
      <c r="DW5144" s="67">
        <v>123</v>
      </c>
      <c r="DX5144" s="67"/>
      <c r="DY5144" s="67"/>
      <c r="DZ5144" s="67" t="s">
        <v>5833</v>
      </c>
      <c r="EA5144" s="67"/>
      <c r="EB5144" s="67"/>
      <c r="EC5144" s="67"/>
      <c r="ED5144" s="67"/>
      <c r="EE5144" s="67"/>
      <c r="EF5144" s="67"/>
      <c r="EG5144" s="67"/>
      <c r="EH5144" s="67"/>
      <c r="EI5144" s="67"/>
      <c r="EJ5144" s="67"/>
      <c r="EK5144" s="94">
        <v>0.87</v>
      </c>
      <c r="EL5144" s="94">
        <v>0.64</v>
      </c>
      <c r="EM5144" s="67">
        <v>0.09</v>
      </c>
      <c r="EN5144" s="67">
        <v>0.06</v>
      </c>
      <c r="EO5144" s="67" t="s">
        <v>77</v>
      </c>
      <c r="EP5144" s="67">
        <v>11</v>
      </c>
      <c r="EQ5144" s="67">
        <v>15.9</v>
      </c>
      <c r="ER5144" s="67">
        <v>2.8</v>
      </c>
      <c r="ES5144" s="67">
        <v>3</v>
      </c>
      <c r="ET5144" s="67" t="s">
        <v>5835</v>
      </c>
      <c r="EU5144" s="67"/>
      <c r="EV5144" s="67"/>
      <c r="EW5144" s="67"/>
      <c r="EX5144" s="67"/>
      <c r="EY5144" s="67"/>
      <c r="EZ5144" s="67"/>
      <c r="FA5144" s="67"/>
      <c r="FB5144" s="67"/>
      <c r="FC5144" s="67"/>
      <c r="FD5144" s="67"/>
      <c r="FE5144" s="67"/>
      <c r="FF5144" s="67"/>
      <c r="FG5144" s="67"/>
      <c r="FH5144" s="67"/>
      <c r="FI5144" s="67"/>
      <c r="FJ5144" s="67"/>
      <c r="FK5144" s="67"/>
      <c r="FL5144" s="67"/>
      <c r="FM5144" s="67"/>
      <c r="FN5144" s="67"/>
      <c r="FO5144" s="67"/>
      <c r="FP5144" s="67"/>
      <c r="FQ5144" s="67"/>
      <c r="FR5144" s="67"/>
      <c r="FS5144" s="67"/>
      <c r="FT5144" s="67"/>
      <c r="FU5144" s="67"/>
      <c r="FV5144" s="67"/>
      <c r="FW5144" s="67"/>
      <c r="FX5144" s="67"/>
      <c r="FY5144" s="67"/>
      <c r="FZ5144" s="67"/>
      <c r="GA5144" s="67"/>
      <c r="GB5144" s="67"/>
      <c r="GC5144" s="67"/>
      <c r="GD5144" s="67">
        <v>33.4</v>
      </c>
      <c r="GE5144" s="67">
        <v>30.6</v>
      </c>
      <c r="GF5144" s="67"/>
      <c r="GG5144" s="67"/>
      <c r="GH5144" s="67" t="s">
        <v>5834</v>
      </c>
      <c r="GI5144" s="67"/>
      <c r="GJ5144" s="67"/>
      <c r="GK5144" s="67"/>
      <c r="GL5144" s="67"/>
      <c r="GM5144" s="67"/>
      <c r="GN5144" s="292"/>
      <c r="GO5144" s="292"/>
      <c r="GP5144" s="292" t="s">
        <v>7494</v>
      </c>
      <c r="GQ5144" s="67"/>
      <c r="GR5144" s="67"/>
      <c r="GS5144" s="67"/>
      <c r="GT5144" s="67"/>
      <c r="GU5144" s="67"/>
      <c r="GV5144" s="67"/>
      <c r="GW5144" s="67"/>
      <c r="GX5144" s="67"/>
      <c r="GY5144" s="67"/>
      <c r="GZ5144" s="67"/>
      <c r="HA5144" s="67"/>
      <c r="HB5144" s="67"/>
      <c r="HC5144" s="67"/>
      <c r="HD5144" s="67"/>
      <c r="HE5144" s="67"/>
      <c r="HF5144" s="67"/>
      <c r="HG5144" s="67"/>
      <c r="HH5144" s="67"/>
      <c r="HI5144" s="67">
        <v>17.100000000000001</v>
      </c>
      <c r="HJ5144" s="67">
        <v>20.100000000000001</v>
      </c>
      <c r="HK5144" s="67"/>
      <c r="HL5144" s="67"/>
      <c r="HM5144" s="67" t="s">
        <v>5838</v>
      </c>
      <c r="HN5144" s="67"/>
      <c r="HO5144" s="67"/>
      <c r="HP5144" s="67"/>
      <c r="HQ5144" s="67"/>
      <c r="HR5144" s="67" t="s">
        <v>5839</v>
      </c>
      <c r="HS5144" s="67">
        <v>178</v>
      </c>
      <c r="HT5144" s="67">
        <v>191</v>
      </c>
      <c r="HU5144" s="67">
        <v>11</v>
      </c>
      <c r="HV5144" s="67">
        <v>37</v>
      </c>
      <c r="HW5144" s="67" t="s">
        <v>5837</v>
      </c>
      <c r="HX5144" s="67"/>
      <c r="HY5144" s="67"/>
      <c r="HZ5144" s="67"/>
      <c r="IA5144" s="67"/>
      <c r="IB5144" s="67"/>
      <c r="IC5144" s="67"/>
      <c r="ID5144" s="67"/>
      <c r="IE5144" s="67"/>
      <c r="IF5144" s="67"/>
      <c r="IG5144" s="67"/>
      <c r="IH5144" s="67"/>
      <c r="II5144" s="67"/>
      <c r="IJ5144" s="67"/>
      <c r="IK5144" s="67"/>
      <c r="IL5144" s="67"/>
      <c r="IM5144" s="67"/>
      <c r="IN5144" s="67"/>
      <c r="IO5144" s="67"/>
      <c r="IP5144" s="67"/>
      <c r="IQ5144" s="67"/>
      <c r="IR5144" s="67"/>
      <c r="IS5144" s="67"/>
      <c r="IT5144" s="67"/>
      <c r="IU5144" s="67"/>
      <c r="IV5144" s="67"/>
      <c r="IW5144" s="67"/>
      <c r="IX5144" s="67"/>
      <c r="IY5144" s="67"/>
      <c r="IZ5144" s="67"/>
      <c r="JA5144" s="67"/>
      <c r="JB5144" s="67"/>
      <c r="JC5144" s="67"/>
      <c r="JD5144" s="67"/>
      <c r="JE5144" s="67"/>
      <c r="JF5144" s="67"/>
      <c r="JG5144" s="67">
        <v>171</v>
      </c>
      <c r="JH5144" s="67">
        <v>290</v>
      </c>
      <c r="JI5144" s="67">
        <v>21</v>
      </c>
      <c r="JJ5144" s="67">
        <v>93</v>
      </c>
      <c r="JK5144" s="67" t="s">
        <v>5836</v>
      </c>
      <c r="JL5144" s="67"/>
      <c r="JM5144" s="67"/>
      <c r="JN5144" s="67"/>
      <c r="JO5144" s="67"/>
      <c r="JP5144" s="67"/>
      <c r="JQ5144" s="67"/>
      <c r="JR5144" s="67"/>
      <c r="JS5144" s="67"/>
      <c r="JT5144" s="67"/>
      <c r="JU5144" s="58"/>
      <c r="JV5144" s="58"/>
      <c r="JW5144" s="58"/>
    </row>
    <row r="5145" spans="1:283" s="23" customFormat="1" x14ac:dyDescent="0.25">
      <c r="A5145" s="55">
        <v>5144</v>
      </c>
      <c r="B5145" s="12" t="s">
        <v>7067</v>
      </c>
      <c r="C5145" s="156">
        <v>273</v>
      </c>
      <c r="D5145" s="58" t="s">
        <v>5041</v>
      </c>
      <c r="E5145" s="160" t="str">
        <f>G5145</f>
        <v>Sehy, 2004, Scheyern single croplands II</v>
      </c>
      <c r="F5145" s="160"/>
      <c r="G5145" s="60" t="s">
        <v>4687</v>
      </c>
      <c r="H5145" s="58">
        <v>2004</v>
      </c>
      <c r="I5145" s="58" t="s">
        <v>2847</v>
      </c>
      <c r="J5145" s="243" t="s">
        <v>5325</v>
      </c>
      <c r="K5145" s="63" t="s">
        <v>5073</v>
      </c>
      <c r="L5145" s="58" t="s">
        <v>1077</v>
      </c>
      <c r="M5145" s="94">
        <v>48.5</v>
      </c>
      <c r="N5145" s="94">
        <v>11.45</v>
      </c>
      <c r="O5145" s="94">
        <v>500</v>
      </c>
      <c r="P5145" s="58"/>
      <c r="Q5145" s="244">
        <v>7.4</v>
      </c>
      <c r="R5145" s="58"/>
      <c r="S5145" s="245">
        <v>833</v>
      </c>
      <c r="T5145" s="58"/>
      <c r="U5145" s="58" t="s">
        <v>1682</v>
      </c>
      <c r="V5145" s="244">
        <v>8</v>
      </c>
      <c r="W5145" s="174"/>
      <c r="X5145" s="174"/>
      <c r="Y5145" s="58" t="s">
        <v>5468</v>
      </c>
      <c r="Z5145" s="244" t="s">
        <v>1379</v>
      </c>
      <c r="AA5145" s="245">
        <v>10</v>
      </c>
      <c r="AB5145" s="67"/>
      <c r="AC5145" s="67"/>
      <c r="AD5145" s="94"/>
      <c r="AE5145" s="94"/>
      <c r="AF5145" s="94"/>
      <c r="AG5145" s="245">
        <v>17.5</v>
      </c>
      <c r="AH5145" s="58"/>
      <c r="AI5145" s="169"/>
      <c r="AJ5145" s="94"/>
      <c r="AK5145" s="94"/>
      <c r="AL5145" s="58"/>
      <c r="AM5145" s="58"/>
      <c r="AN5145" s="186"/>
      <c r="AO5145" s="185" t="s">
        <v>7494</v>
      </c>
      <c r="AP5145" s="58"/>
      <c r="AQ5145" s="58"/>
      <c r="AR5145" s="58"/>
      <c r="AS5145" s="246" t="s">
        <v>5133</v>
      </c>
      <c r="AT5145" s="247">
        <v>0</v>
      </c>
      <c r="AU5145" s="181" t="s">
        <v>7494</v>
      </c>
      <c r="AV5145" s="185" t="s">
        <v>176</v>
      </c>
      <c r="AW5145" s="244">
        <v>1</v>
      </c>
      <c r="AX5145" s="185" t="s">
        <v>176</v>
      </c>
      <c r="AY5145" s="244" t="s">
        <v>5150</v>
      </c>
      <c r="AZ5145" s="58"/>
      <c r="BA5145" s="58"/>
      <c r="BB5145" s="58"/>
      <c r="BC5145" s="58"/>
      <c r="BD5145" s="58"/>
      <c r="BE5145" s="236" t="s">
        <v>5168</v>
      </c>
      <c r="BF5145" s="191" t="s">
        <v>479</v>
      </c>
      <c r="BG5145" s="191" t="s">
        <v>479</v>
      </c>
      <c r="BH5145" s="236" t="s">
        <v>5238</v>
      </c>
      <c r="BI5145" s="191" t="s">
        <v>479</v>
      </c>
      <c r="BJ5145" s="58" t="str">
        <f>IF(BE5145=BH5145,"No","yes")</f>
        <v>yes</v>
      </c>
      <c r="BK5145" s="58" t="s">
        <v>6334</v>
      </c>
      <c r="BL5145" s="58"/>
      <c r="BM5145" s="237"/>
      <c r="BN5145" s="244">
        <v>3</v>
      </c>
      <c r="BO5145" s="244">
        <v>3</v>
      </c>
      <c r="BP5145" s="58"/>
      <c r="BQ5145" s="58"/>
      <c r="BR5145" s="58"/>
      <c r="BS5145" s="58"/>
      <c r="BT5145" s="58"/>
      <c r="BU5145" s="58"/>
      <c r="BV5145" s="58"/>
      <c r="BW5145" s="67"/>
      <c r="BX5145" s="67"/>
      <c r="BY5145" s="67"/>
      <c r="BZ5145" s="67"/>
      <c r="CA5145" s="67"/>
      <c r="CB5145" s="70"/>
      <c r="CC5145" s="70"/>
      <c r="CD5145" s="70"/>
      <c r="CE5145" s="67"/>
      <c r="CF5145" s="67"/>
      <c r="CG5145" s="67"/>
      <c r="CH5145" s="245">
        <v>1.4175</v>
      </c>
      <c r="CI5145" s="245">
        <v>1.4775</v>
      </c>
      <c r="CJ5145" s="67"/>
      <c r="CK5145" s="67"/>
      <c r="CL5145" s="67"/>
      <c r="CM5145" s="242">
        <v>1.5</v>
      </c>
      <c r="CN5145" s="242">
        <v>1.4824999999999999</v>
      </c>
      <c r="CO5145" s="242">
        <v>0.13750000000000001</v>
      </c>
      <c r="CP5145" s="242">
        <v>1.2500000000000001E-2</v>
      </c>
      <c r="CQ5145" s="242" t="s">
        <v>164</v>
      </c>
      <c r="CR5145" s="242">
        <v>21.202000000000002</v>
      </c>
      <c r="CS5145" s="242">
        <v>21.896000000000001</v>
      </c>
      <c r="CT5145" s="242">
        <v>1.9314950000000004</v>
      </c>
      <c r="CU5145" s="242">
        <v>0.21895999999999999</v>
      </c>
      <c r="CV5145" s="242" t="s">
        <v>5151</v>
      </c>
      <c r="CW5145" s="242"/>
      <c r="CX5145" s="242"/>
      <c r="CY5145" s="242"/>
      <c r="CZ5145" s="242"/>
      <c r="DA5145" s="67" t="s">
        <v>5443</v>
      </c>
      <c r="DB5145" s="67"/>
      <c r="DC5145" s="67"/>
      <c r="DD5145" s="67"/>
      <c r="DE5145" s="67"/>
      <c r="DF5145" s="67"/>
      <c r="DG5145" s="67"/>
      <c r="DH5145" s="67"/>
      <c r="DI5145" s="67"/>
      <c r="DJ5145" s="67"/>
      <c r="DK5145" s="67"/>
      <c r="DL5145" s="67"/>
      <c r="DM5145" s="67"/>
      <c r="DN5145" s="67"/>
      <c r="DO5145" s="67"/>
      <c r="DP5145" s="67"/>
      <c r="DQ5145" s="166"/>
      <c r="DR5145" s="166"/>
      <c r="DS5145" s="163"/>
      <c r="DT5145" s="163"/>
      <c r="DU5145" s="67"/>
      <c r="DV5145" s="67"/>
      <c r="DW5145" s="67"/>
      <c r="DX5145" s="67"/>
      <c r="DY5145" s="67"/>
      <c r="DZ5145" s="67"/>
      <c r="EA5145" s="67"/>
      <c r="EB5145" s="67"/>
      <c r="EC5145" s="67"/>
      <c r="ED5145" s="67"/>
      <c r="EE5145" s="67"/>
      <c r="EF5145" s="67"/>
      <c r="EG5145" s="67"/>
      <c r="EH5145" s="67"/>
      <c r="EI5145" s="67"/>
      <c r="EJ5145" s="67"/>
      <c r="EK5145" s="94"/>
      <c r="EL5145" s="94"/>
      <c r="EM5145" s="67"/>
      <c r="EN5145" s="67"/>
      <c r="EO5145" s="67"/>
      <c r="EP5145" s="67"/>
      <c r="EQ5145" s="67"/>
      <c r="ER5145" s="67"/>
      <c r="ES5145" s="67"/>
      <c r="ET5145" s="67"/>
      <c r="EU5145" s="67"/>
      <c r="EV5145" s="67"/>
      <c r="EW5145" s="67"/>
      <c r="EX5145" s="67"/>
      <c r="EY5145" s="67"/>
      <c r="EZ5145" s="67"/>
      <c r="FA5145" s="67"/>
      <c r="FB5145" s="67"/>
      <c r="FC5145" s="67"/>
      <c r="FD5145" s="67"/>
      <c r="FE5145" s="67"/>
      <c r="FF5145" s="67"/>
      <c r="FG5145" s="67"/>
      <c r="FH5145" s="67"/>
      <c r="FI5145" s="67"/>
      <c r="FJ5145" s="67"/>
      <c r="FK5145" s="67"/>
      <c r="FL5145" s="67"/>
      <c r="FM5145" s="67"/>
      <c r="FN5145" s="67"/>
      <c r="FO5145" s="67"/>
      <c r="FP5145" s="67"/>
      <c r="FQ5145" s="67"/>
      <c r="FR5145" s="67"/>
      <c r="FS5145" s="67"/>
      <c r="FT5145" s="67"/>
      <c r="FU5145" s="67"/>
      <c r="FV5145" s="67"/>
      <c r="FW5145" s="67"/>
      <c r="FX5145" s="67"/>
      <c r="FY5145" s="67"/>
      <c r="FZ5145" s="67"/>
      <c r="GA5145" s="67"/>
      <c r="GB5145" s="67"/>
      <c r="GC5145" s="67"/>
      <c r="GD5145" s="67"/>
      <c r="GE5145" s="67"/>
      <c r="GF5145" s="67"/>
      <c r="GG5145" s="67"/>
      <c r="GH5145" s="67"/>
      <c r="GI5145" s="67"/>
      <c r="GJ5145" s="67"/>
      <c r="GK5145" s="67"/>
      <c r="GL5145" s="67"/>
      <c r="GM5145" s="67"/>
      <c r="GN5145" s="292"/>
      <c r="GO5145" s="292"/>
      <c r="GP5145" s="292" t="s">
        <v>7494</v>
      </c>
      <c r="GQ5145" s="67"/>
      <c r="GR5145" s="67"/>
      <c r="GS5145" s="67"/>
      <c r="GT5145" s="67"/>
      <c r="GU5145" s="67"/>
      <c r="GV5145" s="67"/>
      <c r="GW5145" s="67"/>
      <c r="GX5145" s="67"/>
      <c r="GY5145" s="67"/>
      <c r="GZ5145" s="67"/>
      <c r="HA5145" s="67"/>
      <c r="HB5145" s="67"/>
      <c r="HC5145" s="67"/>
      <c r="HD5145" s="67"/>
      <c r="HE5145" s="67"/>
      <c r="HF5145" s="67"/>
      <c r="HG5145" s="67"/>
      <c r="HH5145" s="67"/>
      <c r="HI5145" s="67"/>
      <c r="HJ5145" s="67"/>
      <c r="HK5145" s="67"/>
      <c r="HL5145" s="67"/>
      <c r="HM5145" s="67"/>
      <c r="HN5145" s="67"/>
      <c r="HO5145" s="67"/>
      <c r="HP5145" s="67"/>
      <c r="HQ5145" s="67"/>
      <c r="HR5145" s="67"/>
      <c r="HS5145" s="67"/>
      <c r="HT5145" s="67"/>
      <c r="HU5145" s="67"/>
      <c r="HV5145" s="67"/>
      <c r="HW5145" s="67"/>
      <c r="HX5145" s="67"/>
      <c r="HY5145" s="67"/>
      <c r="HZ5145" s="67"/>
      <c r="IA5145" s="67"/>
      <c r="IB5145" s="67"/>
      <c r="IC5145" s="67"/>
      <c r="ID5145" s="67"/>
      <c r="IE5145" s="67"/>
      <c r="IF5145" s="67"/>
      <c r="IG5145" s="67"/>
      <c r="IH5145" s="67"/>
      <c r="II5145" s="67"/>
      <c r="IJ5145" s="67"/>
      <c r="IK5145" s="67"/>
      <c r="IL5145" s="67"/>
      <c r="IM5145" s="67"/>
      <c r="IN5145" s="67"/>
      <c r="IO5145" s="67"/>
      <c r="IP5145" s="67"/>
      <c r="IQ5145" s="67"/>
      <c r="IR5145" s="67"/>
      <c r="IS5145" s="67"/>
      <c r="IT5145" s="67"/>
      <c r="IU5145" s="67"/>
      <c r="IV5145" s="67"/>
      <c r="IW5145" s="67"/>
      <c r="IX5145" s="67"/>
      <c r="IY5145" s="67"/>
      <c r="IZ5145" s="67"/>
      <c r="JA5145" s="67"/>
      <c r="JB5145" s="67"/>
      <c r="JC5145" s="67"/>
      <c r="JD5145" s="67"/>
      <c r="JE5145" s="67"/>
      <c r="JF5145" s="67"/>
      <c r="JG5145" s="67"/>
      <c r="JH5145" s="67"/>
      <c r="JI5145" s="67"/>
      <c r="JJ5145" s="67"/>
      <c r="JK5145" s="67"/>
      <c r="JL5145" s="67"/>
      <c r="JM5145" s="67"/>
      <c r="JN5145" s="67"/>
      <c r="JO5145" s="67"/>
      <c r="JP5145" s="67"/>
      <c r="JQ5145" s="67"/>
      <c r="JR5145" s="67"/>
      <c r="JS5145" s="67"/>
      <c r="JT5145" s="67"/>
      <c r="JU5145" s="58"/>
      <c r="JV5145" s="58"/>
      <c r="JW5145" s="58"/>
    </row>
    <row r="5146" spans="1:283" s="23" customFormat="1" x14ac:dyDescent="0.25">
      <c r="A5146" s="55">
        <v>5145</v>
      </c>
      <c r="B5146" s="12" t="s">
        <v>7067</v>
      </c>
      <c r="C5146" s="156">
        <v>274</v>
      </c>
      <c r="D5146" s="58" t="s">
        <v>5042</v>
      </c>
      <c r="E5146" s="160" t="str">
        <f>G5146</f>
        <v>Snapp et al 2010</v>
      </c>
      <c r="F5146" s="160"/>
      <c r="G5146" s="60" t="s">
        <v>4686</v>
      </c>
      <c r="H5146" s="58">
        <v>2010</v>
      </c>
      <c r="I5146" s="58" t="s">
        <v>2847</v>
      </c>
      <c r="J5146" s="243" t="s">
        <v>427</v>
      </c>
      <c r="K5146" s="63" t="s">
        <v>5072</v>
      </c>
      <c r="L5146" s="58" t="s">
        <v>2737</v>
      </c>
      <c r="M5146" s="94">
        <f>42+24/60</f>
        <v>42.4</v>
      </c>
      <c r="N5146" s="94">
        <f>-85-24/60</f>
        <v>-85.4</v>
      </c>
      <c r="O5146" s="94">
        <v>280</v>
      </c>
      <c r="P5146" s="58"/>
      <c r="Q5146" s="244">
        <v>9</v>
      </c>
      <c r="R5146" s="58"/>
      <c r="S5146" s="245">
        <v>920</v>
      </c>
      <c r="T5146" s="58"/>
      <c r="U5146" s="58" t="s">
        <v>1682</v>
      </c>
      <c r="V5146" s="244">
        <v>11</v>
      </c>
      <c r="W5146" s="174"/>
      <c r="X5146" s="174"/>
      <c r="Y5146" s="58" t="s">
        <v>5840</v>
      </c>
      <c r="Z5146" s="244" t="s">
        <v>1367</v>
      </c>
      <c r="AA5146" s="245">
        <v>25</v>
      </c>
      <c r="AB5146" s="67"/>
      <c r="AC5146" s="67"/>
      <c r="AD5146" s="94"/>
      <c r="AE5146" s="94"/>
      <c r="AF5146" s="94"/>
      <c r="AG5146" s="245">
        <v>19</v>
      </c>
      <c r="AH5146" s="58" t="s">
        <v>238</v>
      </c>
      <c r="AI5146" s="169"/>
      <c r="AJ5146" s="94"/>
      <c r="AK5146" s="94"/>
      <c r="AL5146" s="58"/>
      <c r="AM5146" s="58" t="s">
        <v>4557</v>
      </c>
      <c r="AN5146" s="186" t="s">
        <v>5841</v>
      </c>
      <c r="AO5146" s="185" t="s">
        <v>5150</v>
      </c>
      <c r="AP5146" s="58"/>
      <c r="AQ5146" s="58" t="s">
        <v>4584</v>
      </c>
      <c r="AR5146" s="58" t="s">
        <v>1607</v>
      </c>
      <c r="AS5146" s="58" t="s">
        <v>1607</v>
      </c>
      <c r="AT5146" s="247">
        <v>1</v>
      </c>
      <c r="AU5146" s="181" t="s">
        <v>7494</v>
      </c>
      <c r="AV5146" s="185" t="s">
        <v>176</v>
      </c>
      <c r="AW5146" s="244">
        <v>1</v>
      </c>
      <c r="AX5146" s="185" t="s">
        <v>176</v>
      </c>
      <c r="AY5146" s="244" t="s">
        <v>176</v>
      </c>
      <c r="AZ5146" s="58"/>
      <c r="BA5146" s="58"/>
      <c r="BB5146" s="58"/>
      <c r="BC5146" s="58"/>
      <c r="BD5146" s="58"/>
      <c r="BE5146" s="236" t="s">
        <v>5157</v>
      </c>
      <c r="BF5146" s="191" t="s">
        <v>479</v>
      </c>
      <c r="BG5146" s="191" t="s">
        <v>479</v>
      </c>
      <c r="BH5146" s="236" t="s">
        <v>5291</v>
      </c>
      <c r="BI5146" s="191" t="s">
        <v>479</v>
      </c>
      <c r="BJ5146" s="58" t="str">
        <f>IF(BE5146=BH5146,"No","yes")</f>
        <v>yes</v>
      </c>
      <c r="BK5146" s="58" t="s">
        <v>6335</v>
      </c>
      <c r="BL5146" s="58"/>
      <c r="BM5146" s="237"/>
      <c r="BN5146" s="244">
        <v>8</v>
      </c>
      <c r="BO5146" s="244">
        <v>8</v>
      </c>
      <c r="BP5146" s="58"/>
      <c r="BQ5146" s="58"/>
      <c r="BR5146" s="58"/>
      <c r="BS5146" s="58"/>
      <c r="BT5146" s="58"/>
      <c r="BU5146" s="58"/>
      <c r="BV5146" s="58" t="s">
        <v>5842</v>
      </c>
      <c r="BW5146" s="67"/>
      <c r="BX5146" s="67"/>
      <c r="BY5146" s="67"/>
      <c r="BZ5146" s="67"/>
      <c r="CA5146" s="67"/>
      <c r="CB5146" s="70"/>
      <c r="CC5146" s="70"/>
      <c r="CD5146" s="70"/>
      <c r="CE5146" s="67"/>
      <c r="CF5146" s="67"/>
      <c r="CG5146" s="67"/>
      <c r="CH5146" s="245">
        <v>1.38</v>
      </c>
      <c r="CI5146" s="245">
        <v>1.33</v>
      </c>
      <c r="CJ5146" s="67"/>
      <c r="CK5146" s="67"/>
      <c r="CL5146" s="67"/>
      <c r="CM5146" s="242">
        <v>0.79600000000000004</v>
      </c>
      <c r="CN5146" s="242">
        <v>1.153</v>
      </c>
      <c r="CO5146" s="242"/>
      <c r="CP5146" s="242"/>
      <c r="CQ5146" s="242"/>
      <c r="CR5146" s="242">
        <f>2706/1000000*(100*100)</f>
        <v>27.060000000000002</v>
      </c>
      <c r="CS5146" s="242">
        <v>39.200000000000003</v>
      </c>
      <c r="CT5146" s="242"/>
      <c r="CU5146" s="242"/>
      <c r="CV5146" s="242" t="s">
        <v>5151</v>
      </c>
      <c r="CW5146" s="242">
        <f>9.43/1000*10000</f>
        <v>94.3</v>
      </c>
      <c r="CX5146" s="242">
        <v>1028</v>
      </c>
      <c r="CY5146" s="242"/>
      <c r="CZ5146" s="242"/>
      <c r="DA5146" s="67" t="s">
        <v>5846</v>
      </c>
      <c r="DB5146" s="67">
        <v>0.85</v>
      </c>
      <c r="DC5146" s="67">
        <v>1.1499999999999999</v>
      </c>
      <c r="DD5146" s="67"/>
      <c r="DE5146" s="67"/>
      <c r="DF5146" s="67" t="s">
        <v>5847</v>
      </c>
      <c r="DG5146" s="67">
        <v>29.8</v>
      </c>
      <c r="DH5146" s="67">
        <v>50.9</v>
      </c>
      <c r="DI5146" s="67"/>
      <c r="DJ5146" s="67"/>
      <c r="DK5146" s="67" t="s">
        <v>2242</v>
      </c>
      <c r="DL5146" s="67">
        <v>94.4</v>
      </c>
      <c r="DM5146" s="67">
        <v>94.1</v>
      </c>
      <c r="DN5146" s="67"/>
      <c r="DO5146" s="67"/>
      <c r="DP5146" s="67"/>
      <c r="DQ5146" s="166"/>
      <c r="DR5146" s="166"/>
      <c r="DS5146" s="163"/>
      <c r="DT5146" s="163"/>
      <c r="DU5146" s="67"/>
      <c r="DV5146" s="67">
        <v>1228</v>
      </c>
      <c r="DW5146" s="67">
        <v>1299</v>
      </c>
      <c r="DX5146" s="67"/>
      <c r="DY5146" s="67"/>
      <c r="DZ5146" s="67" t="s">
        <v>616</v>
      </c>
      <c r="EA5146" s="67"/>
      <c r="EB5146" s="67"/>
      <c r="EC5146" s="67"/>
      <c r="ED5146" s="67"/>
      <c r="EE5146" s="67"/>
      <c r="EF5146" s="67"/>
      <c r="EG5146" s="67"/>
      <c r="EH5146" s="67"/>
      <c r="EI5146" s="67"/>
      <c r="EJ5146" s="67"/>
      <c r="EK5146" s="94"/>
      <c r="EL5146" s="94"/>
      <c r="EM5146" s="67"/>
      <c r="EN5146" s="67"/>
      <c r="EO5146" s="67"/>
      <c r="EP5146" s="67"/>
      <c r="EQ5146" s="67"/>
      <c r="ER5146" s="67"/>
      <c r="ES5146" s="67"/>
      <c r="ET5146" s="67"/>
      <c r="EU5146" s="67"/>
      <c r="EV5146" s="67"/>
      <c r="EW5146" s="67"/>
      <c r="EX5146" s="67"/>
      <c r="EY5146" s="67"/>
      <c r="EZ5146" s="67"/>
      <c r="FA5146" s="67"/>
      <c r="FB5146" s="67"/>
      <c r="FC5146" s="67"/>
      <c r="FD5146" s="67"/>
      <c r="FE5146" s="67"/>
      <c r="FF5146" s="67"/>
      <c r="FG5146" s="67"/>
      <c r="FH5146" s="67"/>
      <c r="FI5146" s="67"/>
      <c r="FJ5146" s="67"/>
      <c r="FK5146" s="67"/>
      <c r="FL5146" s="67"/>
      <c r="FM5146" s="67"/>
      <c r="FN5146" s="67"/>
      <c r="FO5146" s="67"/>
      <c r="FP5146" s="67"/>
      <c r="FQ5146" s="67"/>
      <c r="FR5146" s="67"/>
      <c r="FS5146" s="67"/>
      <c r="FT5146" s="67">
        <v>74.209999999999994</v>
      </c>
      <c r="FU5146" s="67">
        <v>31.06</v>
      </c>
      <c r="FV5146" s="67">
        <f>84.03-FT5146</f>
        <v>9.8200000000000074</v>
      </c>
      <c r="FW5146" s="67">
        <f>35.69-FU5146</f>
        <v>4.629999999999999</v>
      </c>
      <c r="FX5146" s="67" t="s">
        <v>5848</v>
      </c>
      <c r="FY5146" s="67"/>
      <c r="FZ5146" s="67"/>
      <c r="GA5146" s="67"/>
      <c r="GB5146" s="67"/>
      <c r="GC5146" s="67"/>
      <c r="GD5146" s="67"/>
      <c r="GE5146" s="67"/>
      <c r="GF5146" s="67"/>
      <c r="GG5146" s="67"/>
      <c r="GH5146" s="67"/>
      <c r="GI5146" s="67"/>
      <c r="GJ5146" s="67"/>
      <c r="GK5146" s="67"/>
      <c r="GL5146" s="67"/>
      <c r="GM5146" s="67"/>
      <c r="GN5146" s="292"/>
      <c r="GO5146" s="292"/>
      <c r="GP5146" s="292" t="s">
        <v>7494</v>
      </c>
      <c r="GQ5146" s="67"/>
      <c r="GR5146" s="67"/>
      <c r="GS5146" s="67"/>
      <c r="GT5146" s="67"/>
      <c r="GU5146" s="67"/>
      <c r="GV5146" s="67"/>
      <c r="GW5146" s="67"/>
      <c r="GX5146" s="67"/>
      <c r="GY5146" s="67"/>
      <c r="GZ5146" s="67"/>
      <c r="HA5146" s="67"/>
      <c r="HB5146" s="67"/>
      <c r="HC5146" s="67"/>
      <c r="HD5146" s="67"/>
      <c r="HE5146" s="67"/>
      <c r="HF5146" s="67"/>
      <c r="HG5146" s="67"/>
      <c r="HH5146" s="67"/>
      <c r="HI5146" s="67"/>
      <c r="HJ5146" s="67"/>
      <c r="HK5146" s="67"/>
      <c r="HL5146" s="67"/>
      <c r="HM5146" s="67"/>
      <c r="HN5146" s="67"/>
      <c r="HO5146" s="67"/>
      <c r="HP5146" s="67"/>
      <c r="HQ5146" s="67"/>
      <c r="HR5146" s="67"/>
      <c r="HS5146" s="67"/>
      <c r="HT5146" s="67"/>
      <c r="HU5146" s="67"/>
      <c r="HV5146" s="67"/>
      <c r="HW5146" s="67"/>
      <c r="HX5146" s="67"/>
      <c r="HY5146" s="67"/>
      <c r="HZ5146" s="67"/>
      <c r="IA5146" s="67"/>
      <c r="IB5146" s="67"/>
      <c r="IC5146" s="67"/>
      <c r="ID5146" s="67"/>
      <c r="IE5146" s="67"/>
      <c r="IF5146" s="67"/>
      <c r="IG5146" s="67"/>
      <c r="IH5146" s="67"/>
      <c r="II5146" s="67"/>
      <c r="IJ5146" s="67"/>
      <c r="IK5146" s="67"/>
      <c r="IL5146" s="67"/>
      <c r="IM5146" s="67"/>
      <c r="IN5146" s="67"/>
      <c r="IO5146" s="67"/>
      <c r="IP5146" s="67"/>
      <c r="IQ5146" s="67"/>
      <c r="IR5146" s="67"/>
      <c r="IS5146" s="67"/>
      <c r="IT5146" s="67"/>
      <c r="IU5146" s="67"/>
      <c r="IV5146" s="67"/>
      <c r="IW5146" s="67"/>
      <c r="IX5146" s="67"/>
      <c r="IY5146" s="67"/>
      <c r="IZ5146" s="67"/>
      <c r="JA5146" s="67"/>
      <c r="JB5146" s="67"/>
      <c r="JC5146" s="67"/>
      <c r="JD5146" s="67"/>
      <c r="JE5146" s="67"/>
      <c r="JF5146" s="67"/>
      <c r="JG5146" s="67"/>
      <c r="JH5146" s="67"/>
      <c r="JI5146" s="67"/>
      <c r="JJ5146" s="67"/>
      <c r="JK5146" s="67"/>
      <c r="JL5146" s="67"/>
      <c r="JM5146" s="67"/>
      <c r="JN5146" s="67"/>
      <c r="JO5146" s="67"/>
      <c r="JP5146" s="67"/>
      <c r="JQ5146" s="67"/>
      <c r="JR5146" s="67"/>
      <c r="JS5146" s="67"/>
      <c r="JT5146" s="67"/>
      <c r="JU5146" s="58"/>
      <c r="JV5146" s="58"/>
      <c r="JW5146" s="58"/>
    </row>
    <row r="5147" spans="1:283" s="23" customFormat="1" x14ac:dyDescent="0.25">
      <c r="A5147" s="55">
        <v>5146</v>
      </c>
      <c r="B5147" s="12" t="s">
        <v>7067</v>
      </c>
      <c r="C5147" s="156">
        <v>274</v>
      </c>
      <c r="D5147" s="58" t="s">
        <v>5042</v>
      </c>
      <c r="E5147" s="160" t="str">
        <f>G5147</f>
        <v>Snapp et al 2010</v>
      </c>
      <c r="F5147" s="160"/>
      <c r="G5147" s="60" t="s">
        <v>4686</v>
      </c>
      <c r="H5147" s="58">
        <v>2010</v>
      </c>
      <c r="I5147" s="58" t="s">
        <v>2847</v>
      </c>
      <c r="J5147" s="243" t="s">
        <v>427</v>
      </c>
      <c r="K5147" s="63" t="s">
        <v>5072</v>
      </c>
      <c r="L5147" s="58" t="s">
        <v>2737</v>
      </c>
      <c r="M5147" s="94">
        <f>42+24/60</f>
        <v>42.4</v>
      </c>
      <c r="N5147" s="94">
        <f>-85-24/60</f>
        <v>-85.4</v>
      </c>
      <c r="O5147" s="94">
        <v>280</v>
      </c>
      <c r="P5147" s="58"/>
      <c r="Q5147" s="244">
        <v>9</v>
      </c>
      <c r="R5147" s="58"/>
      <c r="S5147" s="245">
        <v>920</v>
      </c>
      <c r="T5147" s="58"/>
      <c r="U5147" s="58" t="s">
        <v>1682</v>
      </c>
      <c r="V5147" s="244">
        <v>11</v>
      </c>
      <c r="W5147" s="174"/>
      <c r="X5147" s="174"/>
      <c r="Y5147" s="58" t="s">
        <v>5840</v>
      </c>
      <c r="Z5147" s="244" t="s">
        <v>1367</v>
      </c>
      <c r="AA5147" s="245">
        <v>25</v>
      </c>
      <c r="AB5147" s="67"/>
      <c r="AC5147" s="67"/>
      <c r="AD5147" s="94"/>
      <c r="AE5147" s="94"/>
      <c r="AF5147" s="94"/>
      <c r="AG5147" s="245">
        <v>19</v>
      </c>
      <c r="AH5147" s="58" t="s">
        <v>238</v>
      </c>
      <c r="AI5147" s="169"/>
      <c r="AJ5147" s="94"/>
      <c r="AK5147" s="94"/>
      <c r="AL5147" s="58"/>
      <c r="AM5147" s="58" t="s">
        <v>4557</v>
      </c>
      <c r="AN5147" s="186" t="s">
        <v>5841</v>
      </c>
      <c r="AO5147" s="185" t="s">
        <v>5150</v>
      </c>
      <c r="AP5147" s="58"/>
      <c r="AQ5147" s="58" t="s">
        <v>4584</v>
      </c>
      <c r="AR5147" s="58" t="s">
        <v>1607</v>
      </c>
      <c r="AS5147" s="58" t="s">
        <v>1607</v>
      </c>
      <c r="AT5147" s="247">
        <v>1</v>
      </c>
      <c r="AU5147" s="181" t="s">
        <v>7494</v>
      </c>
      <c r="AV5147" s="185" t="s">
        <v>176</v>
      </c>
      <c r="AW5147" s="244">
        <v>1</v>
      </c>
      <c r="AX5147" s="185" t="s">
        <v>176</v>
      </c>
      <c r="AY5147" s="244" t="s">
        <v>176</v>
      </c>
      <c r="AZ5147" s="58"/>
      <c r="BA5147" s="58"/>
      <c r="BB5147" s="58"/>
      <c r="BC5147" s="58"/>
      <c r="BD5147" s="58"/>
      <c r="BE5147" s="236" t="s">
        <v>5157</v>
      </c>
      <c r="BF5147" s="191" t="s">
        <v>479</v>
      </c>
      <c r="BG5147" s="191" t="s">
        <v>479</v>
      </c>
      <c r="BH5147" s="236" t="s">
        <v>5291</v>
      </c>
      <c r="BI5147" s="191" t="s">
        <v>479</v>
      </c>
      <c r="BJ5147" s="58" t="str">
        <f>IF(BE5147=BH5147,"No","yes")</f>
        <v>yes</v>
      </c>
      <c r="BK5147" s="58" t="s">
        <v>6335</v>
      </c>
      <c r="BL5147" s="58"/>
      <c r="BM5147" s="237"/>
      <c r="BN5147" s="244">
        <v>8</v>
      </c>
      <c r="BO5147" s="244">
        <v>8</v>
      </c>
      <c r="BP5147" s="58"/>
      <c r="BQ5147" s="58"/>
      <c r="BR5147" s="58"/>
      <c r="BS5147" s="58"/>
      <c r="BT5147" s="58"/>
      <c r="BU5147" s="58"/>
      <c r="BV5147" s="58" t="s">
        <v>5843</v>
      </c>
      <c r="BW5147" s="67"/>
      <c r="BX5147" s="67"/>
      <c r="BY5147" s="67"/>
      <c r="BZ5147" s="67"/>
      <c r="CA5147" s="67"/>
      <c r="CB5147" s="70"/>
      <c r="CC5147" s="70"/>
      <c r="CD5147" s="70"/>
      <c r="CE5147" s="67"/>
      <c r="CF5147" s="67"/>
      <c r="CG5147" s="67"/>
      <c r="CH5147" s="245"/>
      <c r="CI5147" s="245"/>
      <c r="CJ5147" s="67"/>
      <c r="CK5147" s="67"/>
      <c r="CL5147" s="67"/>
      <c r="CM5147" s="242">
        <v>0.81100000000000005</v>
      </c>
      <c r="CN5147" s="242">
        <v>1.1599999999999999</v>
      </c>
      <c r="CO5147" s="242"/>
      <c r="CP5147" s="242"/>
      <c r="CQ5147" s="242"/>
      <c r="CR5147" s="242">
        <v>27.57</v>
      </c>
      <c r="CS5147" s="242">
        <v>39.44</v>
      </c>
      <c r="CT5147" s="242"/>
      <c r="CU5147" s="242"/>
      <c r="CV5147" s="242" t="s">
        <v>5151</v>
      </c>
      <c r="CW5147" s="242">
        <v>133</v>
      </c>
      <c r="CX5147" s="242">
        <v>1046</v>
      </c>
      <c r="CY5147" s="242"/>
      <c r="CZ5147" s="242"/>
      <c r="DA5147" s="67" t="s">
        <v>5846</v>
      </c>
      <c r="DB5147" s="67">
        <v>0.88</v>
      </c>
      <c r="DC5147" s="67">
        <v>1.17</v>
      </c>
      <c r="DD5147" s="67"/>
      <c r="DE5147" s="67"/>
      <c r="DF5147" s="67" t="s">
        <v>5847</v>
      </c>
      <c r="DG5147" s="67">
        <v>21.9</v>
      </c>
      <c r="DH5147" s="67">
        <v>53.4</v>
      </c>
      <c r="DI5147" s="67"/>
      <c r="DJ5147" s="67"/>
      <c r="DK5147" s="67" t="s">
        <v>2242</v>
      </c>
      <c r="DL5147" s="67">
        <v>79.900000000000006</v>
      </c>
      <c r="DM5147" s="67">
        <v>125.5</v>
      </c>
      <c r="DN5147" s="67"/>
      <c r="DO5147" s="67"/>
      <c r="DP5147" s="67"/>
      <c r="DQ5147" s="166"/>
      <c r="DR5147" s="166"/>
      <c r="DS5147" s="163"/>
      <c r="DT5147" s="163"/>
      <c r="DU5147" s="67"/>
      <c r="DV5147" s="67">
        <v>972</v>
      </c>
      <c r="DW5147" s="67">
        <v>1491</v>
      </c>
      <c r="DX5147" s="67"/>
      <c r="DY5147" s="67"/>
      <c r="DZ5147" s="67" t="s">
        <v>616</v>
      </c>
      <c r="EA5147" s="67"/>
      <c r="EB5147" s="67"/>
      <c r="EC5147" s="67"/>
      <c r="ED5147" s="67"/>
      <c r="EE5147" s="67"/>
      <c r="EF5147" s="67"/>
      <c r="EG5147" s="67"/>
      <c r="EH5147" s="67"/>
      <c r="EI5147" s="67"/>
      <c r="EJ5147" s="67"/>
      <c r="EK5147" s="94"/>
      <c r="EL5147" s="94"/>
      <c r="EM5147" s="67"/>
      <c r="EN5147" s="67"/>
      <c r="EO5147" s="67"/>
      <c r="EP5147" s="67"/>
      <c r="EQ5147" s="67"/>
      <c r="ER5147" s="67"/>
      <c r="ES5147" s="67"/>
      <c r="ET5147" s="67"/>
      <c r="EU5147" s="67"/>
      <c r="EV5147" s="67"/>
      <c r="EW5147" s="67"/>
      <c r="EX5147" s="67"/>
      <c r="EY5147" s="67"/>
      <c r="EZ5147" s="67"/>
      <c r="FA5147" s="67"/>
      <c r="FB5147" s="67"/>
      <c r="FC5147" s="67"/>
      <c r="FD5147" s="67"/>
      <c r="FE5147" s="67"/>
      <c r="FF5147" s="67"/>
      <c r="FG5147" s="67"/>
      <c r="FH5147" s="67"/>
      <c r="FI5147" s="67"/>
      <c r="FJ5147" s="67"/>
      <c r="FK5147" s="67"/>
      <c r="FL5147" s="67"/>
      <c r="FM5147" s="67"/>
      <c r="FN5147" s="67"/>
      <c r="FO5147" s="67"/>
      <c r="FP5147" s="67"/>
      <c r="FQ5147" s="67"/>
      <c r="FR5147" s="67"/>
      <c r="FS5147" s="67"/>
      <c r="FT5147" s="67">
        <v>66.05</v>
      </c>
      <c r="FU5147" s="67">
        <v>41.78</v>
      </c>
      <c r="FV5147" s="67">
        <f>79.42-FT5147</f>
        <v>13.370000000000005</v>
      </c>
      <c r="FW5147" s="67">
        <v>4</v>
      </c>
      <c r="FX5147" s="67" t="s">
        <v>5848</v>
      </c>
      <c r="FY5147" s="67"/>
      <c r="FZ5147" s="67"/>
      <c r="GA5147" s="67"/>
      <c r="GB5147" s="67"/>
      <c r="GC5147" s="67"/>
      <c r="GD5147" s="67"/>
      <c r="GE5147" s="67"/>
      <c r="GF5147" s="67"/>
      <c r="GG5147" s="67"/>
      <c r="GH5147" s="67"/>
      <c r="GI5147" s="67"/>
      <c r="GJ5147" s="67"/>
      <c r="GK5147" s="67"/>
      <c r="GL5147" s="67"/>
      <c r="GM5147" s="67"/>
      <c r="GN5147" s="292"/>
      <c r="GO5147" s="292"/>
      <c r="GP5147" s="292" t="s">
        <v>7494</v>
      </c>
      <c r="GQ5147" s="67"/>
      <c r="GR5147" s="67"/>
      <c r="GS5147" s="67"/>
      <c r="GT5147" s="67"/>
      <c r="GU5147" s="67"/>
      <c r="GV5147" s="67"/>
      <c r="GW5147" s="67"/>
      <c r="GX5147" s="67"/>
      <c r="GY5147" s="67"/>
      <c r="GZ5147" s="67"/>
      <c r="HA5147" s="67"/>
      <c r="HB5147" s="67"/>
      <c r="HC5147" s="67"/>
      <c r="HD5147" s="67"/>
      <c r="HE5147" s="67"/>
      <c r="HF5147" s="67"/>
      <c r="HG5147" s="67"/>
      <c r="HH5147" s="67"/>
      <c r="HI5147" s="67"/>
      <c r="HJ5147" s="67"/>
      <c r="HK5147" s="67"/>
      <c r="HL5147" s="67"/>
      <c r="HM5147" s="67"/>
      <c r="HN5147" s="67"/>
      <c r="HO5147" s="67"/>
      <c r="HP5147" s="67"/>
      <c r="HQ5147" s="67"/>
      <c r="HR5147" s="67"/>
      <c r="HS5147" s="67"/>
      <c r="HT5147" s="67"/>
      <c r="HU5147" s="67"/>
      <c r="HV5147" s="67"/>
      <c r="HW5147" s="67"/>
      <c r="HX5147" s="67"/>
      <c r="HY5147" s="67"/>
      <c r="HZ5147" s="67"/>
      <c r="IA5147" s="67"/>
      <c r="IB5147" s="67"/>
      <c r="IC5147" s="67"/>
      <c r="ID5147" s="67"/>
      <c r="IE5147" s="67"/>
      <c r="IF5147" s="67"/>
      <c r="IG5147" s="67"/>
      <c r="IH5147" s="67"/>
      <c r="II5147" s="67"/>
      <c r="IJ5147" s="67"/>
      <c r="IK5147" s="67"/>
      <c r="IL5147" s="67"/>
      <c r="IM5147" s="67"/>
      <c r="IN5147" s="67"/>
      <c r="IO5147" s="67"/>
      <c r="IP5147" s="67"/>
      <c r="IQ5147" s="67"/>
      <c r="IR5147" s="67"/>
      <c r="IS5147" s="67"/>
      <c r="IT5147" s="67"/>
      <c r="IU5147" s="67"/>
      <c r="IV5147" s="67"/>
      <c r="IW5147" s="67"/>
      <c r="IX5147" s="67"/>
      <c r="IY5147" s="67"/>
      <c r="IZ5147" s="67"/>
      <c r="JA5147" s="67"/>
      <c r="JB5147" s="67"/>
      <c r="JC5147" s="67"/>
      <c r="JD5147" s="67"/>
      <c r="JE5147" s="67"/>
      <c r="JF5147" s="67"/>
      <c r="JG5147" s="67"/>
      <c r="JH5147" s="67"/>
      <c r="JI5147" s="67"/>
      <c r="JJ5147" s="67"/>
      <c r="JK5147" s="67"/>
      <c r="JL5147" s="67"/>
      <c r="JM5147" s="67"/>
      <c r="JN5147" s="67"/>
      <c r="JO5147" s="67"/>
      <c r="JP5147" s="67"/>
      <c r="JQ5147" s="67"/>
      <c r="JR5147" s="67"/>
      <c r="JS5147" s="67"/>
      <c r="JT5147" s="67"/>
      <c r="JU5147" s="58"/>
      <c r="JV5147" s="58"/>
      <c r="JW5147" s="58"/>
    </row>
    <row r="5148" spans="1:283" s="23" customFormat="1" x14ac:dyDescent="0.25">
      <c r="A5148" s="55">
        <v>5147</v>
      </c>
      <c r="B5148" s="12" t="s">
        <v>7067</v>
      </c>
      <c r="C5148" s="156">
        <v>274</v>
      </c>
      <c r="D5148" s="58" t="s">
        <v>5042</v>
      </c>
      <c r="E5148" s="160" t="str">
        <f>G5148</f>
        <v>Snapp et al 2010</v>
      </c>
      <c r="F5148" s="160"/>
      <c r="G5148" s="60" t="s">
        <v>4686</v>
      </c>
      <c r="H5148" s="58">
        <v>2010</v>
      </c>
      <c r="I5148" s="58" t="s">
        <v>2847</v>
      </c>
      <c r="J5148" s="243" t="s">
        <v>427</v>
      </c>
      <c r="K5148" s="63" t="s">
        <v>5072</v>
      </c>
      <c r="L5148" s="58" t="s">
        <v>2737</v>
      </c>
      <c r="M5148" s="94">
        <f>42+24/60</f>
        <v>42.4</v>
      </c>
      <c r="N5148" s="94">
        <f>-85-24/60</f>
        <v>-85.4</v>
      </c>
      <c r="O5148" s="94">
        <v>280</v>
      </c>
      <c r="P5148" s="58"/>
      <c r="Q5148" s="244">
        <v>9</v>
      </c>
      <c r="R5148" s="58"/>
      <c r="S5148" s="245">
        <v>920</v>
      </c>
      <c r="T5148" s="58"/>
      <c r="U5148" s="58" t="s">
        <v>1682</v>
      </c>
      <c r="V5148" s="244">
        <v>11</v>
      </c>
      <c r="W5148" s="174"/>
      <c r="X5148" s="174"/>
      <c r="Y5148" s="58" t="s">
        <v>5840</v>
      </c>
      <c r="Z5148" s="244" t="s">
        <v>1367</v>
      </c>
      <c r="AA5148" s="245">
        <v>25</v>
      </c>
      <c r="AB5148" s="67"/>
      <c r="AC5148" s="67"/>
      <c r="AD5148" s="94"/>
      <c r="AE5148" s="94"/>
      <c r="AF5148" s="94"/>
      <c r="AG5148" s="245">
        <v>19</v>
      </c>
      <c r="AH5148" s="58" t="s">
        <v>238</v>
      </c>
      <c r="AI5148" s="169"/>
      <c r="AJ5148" s="94"/>
      <c r="AK5148" s="94"/>
      <c r="AL5148" s="58"/>
      <c r="AM5148" s="58" t="s">
        <v>4557</v>
      </c>
      <c r="AN5148" s="186" t="s">
        <v>5841</v>
      </c>
      <c r="AO5148" s="185" t="s">
        <v>5150</v>
      </c>
      <c r="AP5148" s="58"/>
      <c r="AQ5148" s="58" t="s">
        <v>4584</v>
      </c>
      <c r="AR5148" s="58" t="s">
        <v>1607</v>
      </c>
      <c r="AS5148" s="58" t="s">
        <v>1607</v>
      </c>
      <c r="AT5148" s="247">
        <v>1</v>
      </c>
      <c r="AU5148" s="181" t="s">
        <v>7494</v>
      </c>
      <c r="AV5148" s="185" t="s">
        <v>176</v>
      </c>
      <c r="AW5148" s="244">
        <v>1</v>
      </c>
      <c r="AX5148" s="185" t="s">
        <v>176</v>
      </c>
      <c r="AY5148" s="244" t="s">
        <v>176</v>
      </c>
      <c r="AZ5148" s="58"/>
      <c r="BA5148" s="58"/>
      <c r="BB5148" s="58"/>
      <c r="BC5148" s="58"/>
      <c r="BD5148" s="58"/>
      <c r="BE5148" s="236" t="s">
        <v>5157</v>
      </c>
      <c r="BF5148" s="191" t="s">
        <v>479</v>
      </c>
      <c r="BG5148" s="191" t="s">
        <v>479</v>
      </c>
      <c r="BH5148" s="236" t="s">
        <v>5291</v>
      </c>
      <c r="BI5148" s="191" t="s">
        <v>479</v>
      </c>
      <c r="BJ5148" s="58" t="str">
        <f>IF(BE5148=BH5148,"No","yes")</f>
        <v>yes</v>
      </c>
      <c r="BK5148" s="58" t="s">
        <v>6335</v>
      </c>
      <c r="BL5148" s="58"/>
      <c r="BM5148" s="237"/>
      <c r="BN5148" s="244">
        <v>8</v>
      </c>
      <c r="BO5148" s="244">
        <v>8</v>
      </c>
      <c r="BP5148" s="58"/>
      <c r="BQ5148" s="58"/>
      <c r="BR5148" s="58"/>
      <c r="BS5148" s="58"/>
      <c r="BT5148" s="58"/>
      <c r="BU5148" s="58"/>
      <c r="BV5148" s="58" t="s">
        <v>5844</v>
      </c>
      <c r="BW5148" s="67"/>
      <c r="BX5148" s="67"/>
      <c r="BY5148" s="67"/>
      <c r="BZ5148" s="67"/>
      <c r="CA5148" s="67"/>
      <c r="CB5148" s="70"/>
      <c r="CC5148" s="70"/>
      <c r="CD5148" s="70"/>
      <c r="CE5148" s="67"/>
      <c r="CF5148" s="67"/>
      <c r="CG5148" s="67"/>
      <c r="CH5148" s="245"/>
      <c r="CI5148" s="245"/>
      <c r="CJ5148" s="67"/>
      <c r="CK5148" s="67"/>
      <c r="CL5148" s="67"/>
      <c r="CM5148" s="242">
        <v>0.83</v>
      </c>
      <c r="CN5148" s="242">
        <v>1.1970000000000001</v>
      </c>
      <c r="CO5148" s="242"/>
      <c r="CP5148" s="242"/>
      <c r="CQ5148" s="242"/>
      <c r="CR5148" s="242">
        <v>28.22</v>
      </c>
      <c r="CS5148" s="242">
        <v>40.67</v>
      </c>
      <c r="CT5148" s="242"/>
      <c r="CU5148" s="242"/>
      <c r="CV5148" s="242" t="s">
        <v>5151</v>
      </c>
      <c r="CW5148" s="242">
        <v>183</v>
      </c>
      <c r="CX5148" s="242">
        <v>1143</v>
      </c>
      <c r="CY5148" s="242"/>
      <c r="CZ5148" s="242"/>
      <c r="DA5148" s="67" t="s">
        <v>5846</v>
      </c>
      <c r="DB5148" s="67">
        <v>0.9</v>
      </c>
      <c r="DC5148" s="67">
        <v>1.2</v>
      </c>
      <c r="DD5148" s="67"/>
      <c r="DE5148" s="67"/>
      <c r="DF5148" s="67" t="s">
        <v>5847</v>
      </c>
      <c r="DG5148" s="67">
        <v>25.4</v>
      </c>
      <c r="DH5148" s="67">
        <v>44.1</v>
      </c>
      <c r="DI5148" s="67"/>
      <c r="DJ5148" s="67"/>
      <c r="DK5148" s="67" t="s">
        <v>2242</v>
      </c>
      <c r="DL5148" s="67">
        <v>64.5</v>
      </c>
      <c r="DM5148" s="67">
        <v>101.5</v>
      </c>
      <c r="DN5148" s="67"/>
      <c r="DO5148" s="67"/>
      <c r="DP5148" s="67"/>
      <c r="DQ5148" s="166"/>
      <c r="DR5148" s="166"/>
      <c r="DS5148" s="163"/>
      <c r="DT5148" s="163"/>
      <c r="DU5148" s="67"/>
      <c r="DV5148" s="67">
        <v>1074</v>
      </c>
      <c r="DW5148" s="67">
        <v>1395</v>
      </c>
      <c r="DX5148" s="67"/>
      <c r="DY5148" s="67"/>
      <c r="DZ5148" s="67" t="s">
        <v>616</v>
      </c>
      <c r="EA5148" s="67"/>
      <c r="EB5148" s="67"/>
      <c r="EC5148" s="67"/>
      <c r="ED5148" s="67"/>
      <c r="EE5148" s="67"/>
      <c r="EF5148" s="67"/>
      <c r="EG5148" s="67"/>
      <c r="EH5148" s="67"/>
      <c r="EI5148" s="67"/>
      <c r="EJ5148" s="67"/>
      <c r="EK5148" s="94"/>
      <c r="EL5148" s="94"/>
      <c r="EM5148" s="67"/>
      <c r="EN5148" s="67"/>
      <c r="EO5148" s="67"/>
      <c r="EP5148" s="67"/>
      <c r="EQ5148" s="67"/>
      <c r="ER5148" s="67"/>
      <c r="ES5148" s="67"/>
      <c r="ET5148" s="67"/>
      <c r="EU5148" s="67"/>
      <c r="EV5148" s="67"/>
      <c r="EW5148" s="67"/>
      <c r="EX5148" s="67"/>
      <c r="EY5148" s="67"/>
      <c r="EZ5148" s="67"/>
      <c r="FA5148" s="67"/>
      <c r="FB5148" s="67"/>
      <c r="FC5148" s="67"/>
      <c r="FD5148" s="67"/>
      <c r="FE5148" s="67"/>
      <c r="FF5148" s="67"/>
      <c r="FG5148" s="67"/>
      <c r="FH5148" s="67"/>
      <c r="FI5148" s="67"/>
      <c r="FJ5148" s="67"/>
      <c r="FK5148" s="67"/>
      <c r="FL5148" s="67"/>
      <c r="FM5148" s="67"/>
      <c r="FN5148" s="67"/>
      <c r="FO5148" s="67"/>
      <c r="FP5148" s="67"/>
      <c r="FQ5148" s="67"/>
      <c r="FR5148" s="67"/>
      <c r="FS5148" s="67"/>
      <c r="FT5148" s="67"/>
      <c r="FU5148" s="67"/>
      <c r="FV5148" s="67"/>
      <c r="FW5148" s="67"/>
      <c r="FX5148" s="67"/>
      <c r="FY5148" s="67"/>
      <c r="FZ5148" s="67"/>
      <c r="GA5148" s="67"/>
      <c r="GB5148" s="67"/>
      <c r="GC5148" s="67"/>
      <c r="GD5148" s="67"/>
      <c r="GE5148" s="67"/>
      <c r="GF5148" s="67"/>
      <c r="GG5148" s="67"/>
      <c r="GH5148" s="67"/>
      <c r="GI5148" s="67"/>
      <c r="GJ5148" s="67"/>
      <c r="GK5148" s="67"/>
      <c r="GL5148" s="67"/>
      <c r="GM5148" s="67"/>
      <c r="GN5148" s="292"/>
      <c r="GO5148" s="292"/>
      <c r="GP5148" s="292" t="s">
        <v>7494</v>
      </c>
      <c r="GQ5148" s="67"/>
      <c r="GR5148" s="67"/>
      <c r="GS5148" s="67"/>
      <c r="GT5148" s="67"/>
      <c r="GU5148" s="67"/>
      <c r="GV5148" s="67"/>
      <c r="GW5148" s="67"/>
      <c r="GX5148" s="67"/>
      <c r="GY5148" s="67"/>
      <c r="GZ5148" s="67"/>
      <c r="HA5148" s="67"/>
      <c r="HB5148" s="67"/>
      <c r="HC5148" s="67"/>
      <c r="HD5148" s="67"/>
      <c r="HE5148" s="67"/>
      <c r="HF5148" s="67"/>
      <c r="HG5148" s="67"/>
      <c r="HH5148" s="67"/>
      <c r="HI5148" s="67"/>
      <c r="HJ5148" s="67"/>
      <c r="HK5148" s="67"/>
      <c r="HL5148" s="67"/>
      <c r="HM5148" s="67"/>
      <c r="HN5148" s="67"/>
      <c r="HO5148" s="67"/>
      <c r="HP5148" s="67"/>
      <c r="HQ5148" s="67"/>
      <c r="HR5148" s="67"/>
      <c r="HS5148" s="67"/>
      <c r="HT5148" s="67"/>
      <c r="HU5148" s="67"/>
      <c r="HV5148" s="67"/>
      <c r="HW5148" s="67"/>
      <c r="HX5148" s="67"/>
      <c r="HY5148" s="67"/>
      <c r="HZ5148" s="67"/>
      <c r="IA5148" s="67"/>
      <c r="IB5148" s="67"/>
      <c r="IC5148" s="67"/>
      <c r="ID5148" s="67"/>
      <c r="IE5148" s="67"/>
      <c r="IF5148" s="67"/>
      <c r="IG5148" s="67"/>
      <c r="IH5148" s="67"/>
      <c r="II5148" s="67"/>
      <c r="IJ5148" s="67"/>
      <c r="IK5148" s="67"/>
      <c r="IL5148" s="67"/>
      <c r="IM5148" s="67"/>
      <c r="IN5148" s="67"/>
      <c r="IO5148" s="67"/>
      <c r="IP5148" s="67"/>
      <c r="IQ5148" s="67"/>
      <c r="IR5148" s="67"/>
      <c r="IS5148" s="67"/>
      <c r="IT5148" s="67"/>
      <c r="IU5148" s="67"/>
      <c r="IV5148" s="67"/>
      <c r="IW5148" s="67"/>
      <c r="IX5148" s="67"/>
      <c r="IY5148" s="67"/>
      <c r="IZ5148" s="67"/>
      <c r="JA5148" s="67"/>
      <c r="JB5148" s="67"/>
      <c r="JC5148" s="67"/>
      <c r="JD5148" s="67"/>
      <c r="JE5148" s="67"/>
      <c r="JF5148" s="67"/>
      <c r="JG5148" s="67"/>
      <c r="JH5148" s="67"/>
      <c r="JI5148" s="67"/>
      <c r="JJ5148" s="67"/>
      <c r="JK5148" s="67"/>
      <c r="JL5148" s="67"/>
      <c r="JM5148" s="67"/>
      <c r="JN5148" s="67"/>
      <c r="JO5148" s="67"/>
      <c r="JP5148" s="67"/>
      <c r="JQ5148" s="67"/>
      <c r="JR5148" s="67"/>
      <c r="JS5148" s="67"/>
      <c r="JT5148" s="67"/>
      <c r="JU5148" s="58"/>
      <c r="JV5148" s="58"/>
      <c r="JW5148" s="58"/>
    </row>
    <row r="5149" spans="1:283" s="23" customFormat="1" x14ac:dyDescent="0.25">
      <c r="A5149" s="55">
        <v>5148</v>
      </c>
      <c r="B5149" s="12" t="s">
        <v>7067</v>
      </c>
      <c r="C5149" s="156">
        <v>274</v>
      </c>
      <c r="D5149" s="58" t="s">
        <v>5042</v>
      </c>
      <c r="E5149" s="160" t="str">
        <f>G5149</f>
        <v>Snapp et al 2010</v>
      </c>
      <c r="F5149" s="160"/>
      <c r="G5149" s="60" t="s">
        <v>4686</v>
      </c>
      <c r="H5149" s="58">
        <v>2010</v>
      </c>
      <c r="I5149" s="58" t="s">
        <v>2847</v>
      </c>
      <c r="J5149" s="243" t="s">
        <v>427</v>
      </c>
      <c r="K5149" s="63" t="s">
        <v>5072</v>
      </c>
      <c r="L5149" s="58" t="s">
        <v>2737</v>
      </c>
      <c r="M5149" s="94">
        <f>42+24/60</f>
        <v>42.4</v>
      </c>
      <c r="N5149" s="94">
        <f>-85-24/60</f>
        <v>-85.4</v>
      </c>
      <c r="O5149" s="94">
        <v>280</v>
      </c>
      <c r="P5149" s="58"/>
      <c r="Q5149" s="244">
        <v>9</v>
      </c>
      <c r="R5149" s="58"/>
      <c r="S5149" s="245">
        <v>920</v>
      </c>
      <c r="T5149" s="58"/>
      <c r="U5149" s="58" t="s">
        <v>1682</v>
      </c>
      <c r="V5149" s="244">
        <v>11</v>
      </c>
      <c r="W5149" s="174"/>
      <c r="X5149" s="174"/>
      <c r="Y5149" s="58" t="s">
        <v>5840</v>
      </c>
      <c r="Z5149" s="244" t="s">
        <v>1367</v>
      </c>
      <c r="AA5149" s="245">
        <v>25</v>
      </c>
      <c r="AB5149" s="67"/>
      <c r="AC5149" s="67"/>
      <c r="AD5149" s="94"/>
      <c r="AE5149" s="94"/>
      <c r="AF5149" s="94"/>
      <c r="AG5149" s="245">
        <v>19</v>
      </c>
      <c r="AH5149" s="58" t="s">
        <v>238</v>
      </c>
      <c r="AI5149" s="169"/>
      <c r="AJ5149" s="94"/>
      <c r="AK5149" s="94"/>
      <c r="AL5149" s="58"/>
      <c r="AM5149" s="58" t="s">
        <v>4557</v>
      </c>
      <c r="AN5149" s="186" t="s">
        <v>5841</v>
      </c>
      <c r="AO5149" s="185" t="s">
        <v>5150</v>
      </c>
      <c r="AP5149" s="58"/>
      <c r="AQ5149" s="58" t="s">
        <v>4584</v>
      </c>
      <c r="AR5149" s="58" t="s">
        <v>1607</v>
      </c>
      <c r="AS5149" s="58" t="s">
        <v>1607</v>
      </c>
      <c r="AT5149" s="247">
        <v>1</v>
      </c>
      <c r="AU5149" s="181" t="s">
        <v>7494</v>
      </c>
      <c r="AV5149" s="185" t="s">
        <v>176</v>
      </c>
      <c r="AW5149" s="244">
        <v>1</v>
      </c>
      <c r="AX5149" s="185" t="s">
        <v>176</v>
      </c>
      <c r="AY5149" s="244" t="s">
        <v>176</v>
      </c>
      <c r="AZ5149" s="58"/>
      <c r="BA5149" s="58"/>
      <c r="BB5149" s="58"/>
      <c r="BC5149" s="58"/>
      <c r="BD5149" s="58"/>
      <c r="BE5149" s="236" t="s">
        <v>5157</v>
      </c>
      <c r="BF5149" s="191" t="s">
        <v>479</v>
      </c>
      <c r="BG5149" s="191" t="s">
        <v>479</v>
      </c>
      <c r="BH5149" s="236" t="s">
        <v>5291</v>
      </c>
      <c r="BI5149" s="191" t="s">
        <v>479</v>
      </c>
      <c r="BJ5149" s="58" t="str">
        <f>IF(BE5149=BH5149,"No","yes")</f>
        <v>yes</v>
      </c>
      <c r="BK5149" s="58" t="s">
        <v>6335</v>
      </c>
      <c r="BL5149" s="58"/>
      <c r="BM5149" s="237"/>
      <c r="BN5149" s="244">
        <v>8</v>
      </c>
      <c r="BO5149" s="244">
        <v>8</v>
      </c>
      <c r="BP5149" s="58"/>
      <c r="BQ5149" s="58"/>
      <c r="BR5149" s="58"/>
      <c r="BS5149" s="58"/>
      <c r="BT5149" s="58"/>
      <c r="BU5149" s="58"/>
      <c r="BV5149" s="58" t="s">
        <v>5845</v>
      </c>
      <c r="BW5149" s="67"/>
      <c r="BX5149" s="67"/>
      <c r="BY5149" s="67"/>
      <c r="BZ5149" s="67"/>
      <c r="CA5149" s="67"/>
      <c r="CB5149" s="70"/>
      <c r="CC5149" s="70"/>
      <c r="CD5149" s="70"/>
      <c r="CE5149" s="67"/>
      <c r="CF5149" s="67"/>
      <c r="CG5149" s="67"/>
      <c r="CH5149" s="245"/>
      <c r="CI5149" s="245"/>
      <c r="CJ5149" s="67"/>
      <c r="CK5149" s="67"/>
      <c r="CL5149" s="67"/>
      <c r="CM5149" s="242">
        <v>0.96</v>
      </c>
      <c r="CN5149" s="242">
        <v>1.101</v>
      </c>
      <c r="CO5149" s="242"/>
      <c r="CP5149" s="242"/>
      <c r="CQ5149" s="242"/>
      <c r="CR5149" s="242">
        <v>32.64</v>
      </c>
      <c r="CS5149" s="242">
        <v>37.43</v>
      </c>
      <c r="CT5149" s="242"/>
      <c r="CU5149" s="242"/>
      <c r="CV5149" s="242" t="s">
        <v>5151</v>
      </c>
      <c r="CW5149" s="242">
        <v>523</v>
      </c>
      <c r="CX5149" s="242">
        <v>892</v>
      </c>
      <c r="CY5149" s="242"/>
      <c r="CZ5149" s="242"/>
      <c r="DA5149" s="67" t="s">
        <v>5846</v>
      </c>
      <c r="DB5149" s="67">
        <v>0.94</v>
      </c>
      <c r="DC5149" s="67">
        <v>1.1000000000000001</v>
      </c>
      <c r="DD5149" s="67"/>
      <c r="DE5149" s="67"/>
      <c r="DF5149" s="67" t="s">
        <v>5847</v>
      </c>
      <c r="DG5149" s="67">
        <v>28</v>
      </c>
      <c r="DH5149" s="67">
        <v>40.700000000000003</v>
      </c>
      <c r="DI5149" s="67"/>
      <c r="DJ5149" s="67"/>
      <c r="DK5149" s="67" t="s">
        <v>2242</v>
      </c>
      <c r="DL5149" s="67">
        <v>68.099999999999994</v>
      </c>
      <c r="DM5149" s="67">
        <v>117.2</v>
      </c>
      <c r="DN5149" s="67"/>
      <c r="DO5149" s="67"/>
      <c r="DP5149" s="67"/>
      <c r="DQ5149" s="166"/>
      <c r="DR5149" s="166"/>
      <c r="DS5149" s="163"/>
      <c r="DT5149" s="163"/>
      <c r="DU5149" s="67"/>
      <c r="DV5149" s="67">
        <v>1126</v>
      </c>
      <c r="DW5149" s="67">
        <v>1443</v>
      </c>
      <c r="DX5149" s="67"/>
      <c r="DY5149" s="67"/>
      <c r="DZ5149" s="67" t="s">
        <v>616</v>
      </c>
      <c r="EA5149" s="67"/>
      <c r="EB5149" s="67"/>
      <c r="EC5149" s="67"/>
      <c r="ED5149" s="67"/>
      <c r="EE5149" s="67"/>
      <c r="EF5149" s="67"/>
      <c r="EG5149" s="67"/>
      <c r="EH5149" s="67"/>
      <c r="EI5149" s="67"/>
      <c r="EJ5149" s="67"/>
      <c r="EK5149" s="94"/>
      <c r="EL5149" s="94"/>
      <c r="EM5149" s="67"/>
      <c r="EN5149" s="67"/>
      <c r="EO5149" s="67"/>
      <c r="EP5149" s="67"/>
      <c r="EQ5149" s="67"/>
      <c r="ER5149" s="67"/>
      <c r="ES5149" s="67"/>
      <c r="ET5149" s="67"/>
      <c r="EU5149" s="67"/>
      <c r="EV5149" s="67"/>
      <c r="EW5149" s="67"/>
      <c r="EX5149" s="67"/>
      <c r="EY5149" s="67"/>
      <c r="EZ5149" s="67"/>
      <c r="FA5149" s="67"/>
      <c r="FB5149" s="67"/>
      <c r="FC5149" s="67"/>
      <c r="FD5149" s="67"/>
      <c r="FE5149" s="67"/>
      <c r="FF5149" s="67"/>
      <c r="FG5149" s="67"/>
      <c r="FH5149" s="67"/>
      <c r="FI5149" s="67"/>
      <c r="FJ5149" s="67"/>
      <c r="FK5149" s="67"/>
      <c r="FL5149" s="67"/>
      <c r="FM5149" s="67"/>
      <c r="FN5149" s="67"/>
      <c r="FO5149" s="67"/>
      <c r="FP5149" s="67"/>
      <c r="FQ5149" s="67"/>
      <c r="FR5149" s="67"/>
      <c r="FS5149" s="67"/>
      <c r="FT5149" s="67"/>
      <c r="FU5149" s="67"/>
      <c r="FV5149" s="67"/>
      <c r="FW5149" s="67"/>
      <c r="FX5149" s="67"/>
      <c r="FY5149" s="67"/>
      <c r="FZ5149" s="67"/>
      <c r="GA5149" s="67"/>
      <c r="GB5149" s="67"/>
      <c r="GC5149" s="67"/>
      <c r="GD5149" s="67"/>
      <c r="GE5149" s="67"/>
      <c r="GF5149" s="67"/>
      <c r="GG5149" s="67"/>
      <c r="GH5149" s="67"/>
      <c r="GI5149" s="67"/>
      <c r="GJ5149" s="67"/>
      <c r="GK5149" s="67"/>
      <c r="GL5149" s="67"/>
      <c r="GM5149" s="67"/>
      <c r="GN5149" s="292"/>
      <c r="GO5149" s="292"/>
      <c r="GP5149" s="292" t="s">
        <v>7494</v>
      </c>
      <c r="GQ5149" s="67"/>
      <c r="GR5149" s="67"/>
      <c r="GS5149" s="67"/>
      <c r="GT5149" s="67"/>
      <c r="GU5149" s="67"/>
      <c r="GV5149" s="67"/>
      <c r="GW5149" s="67"/>
      <c r="GX5149" s="67"/>
      <c r="GY5149" s="67"/>
      <c r="GZ5149" s="67"/>
      <c r="HA5149" s="67"/>
      <c r="HB5149" s="67"/>
      <c r="HC5149" s="67"/>
      <c r="HD5149" s="67"/>
      <c r="HE5149" s="67"/>
      <c r="HF5149" s="67"/>
      <c r="HG5149" s="67"/>
      <c r="HH5149" s="67"/>
      <c r="HI5149" s="67"/>
      <c r="HJ5149" s="67"/>
      <c r="HK5149" s="67"/>
      <c r="HL5149" s="67"/>
      <c r="HM5149" s="67"/>
      <c r="HN5149" s="67"/>
      <c r="HO5149" s="67"/>
      <c r="HP5149" s="67"/>
      <c r="HQ5149" s="67"/>
      <c r="HR5149" s="67"/>
      <c r="HS5149" s="67"/>
      <c r="HT5149" s="67"/>
      <c r="HU5149" s="67"/>
      <c r="HV5149" s="67"/>
      <c r="HW5149" s="67"/>
      <c r="HX5149" s="67"/>
      <c r="HY5149" s="67"/>
      <c r="HZ5149" s="67"/>
      <c r="IA5149" s="67"/>
      <c r="IB5149" s="67"/>
      <c r="IC5149" s="67"/>
      <c r="ID5149" s="67"/>
      <c r="IE5149" s="67"/>
      <c r="IF5149" s="67"/>
      <c r="IG5149" s="67"/>
      <c r="IH5149" s="67"/>
      <c r="II5149" s="67"/>
      <c r="IJ5149" s="67"/>
      <c r="IK5149" s="67"/>
      <c r="IL5149" s="67"/>
      <c r="IM5149" s="67"/>
      <c r="IN5149" s="67"/>
      <c r="IO5149" s="67"/>
      <c r="IP5149" s="67"/>
      <c r="IQ5149" s="67"/>
      <c r="IR5149" s="67"/>
      <c r="IS5149" s="67"/>
      <c r="IT5149" s="67"/>
      <c r="IU5149" s="67"/>
      <c r="IV5149" s="67"/>
      <c r="IW5149" s="67"/>
      <c r="IX5149" s="67"/>
      <c r="IY5149" s="67"/>
      <c r="IZ5149" s="67"/>
      <c r="JA5149" s="67"/>
      <c r="JB5149" s="67"/>
      <c r="JC5149" s="67"/>
      <c r="JD5149" s="67"/>
      <c r="JE5149" s="67"/>
      <c r="JF5149" s="67"/>
      <c r="JG5149" s="67"/>
      <c r="JH5149" s="67"/>
      <c r="JI5149" s="67"/>
      <c r="JJ5149" s="67"/>
      <c r="JK5149" s="67"/>
      <c r="JL5149" s="67"/>
      <c r="JM5149" s="67"/>
      <c r="JN5149" s="67"/>
      <c r="JO5149" s="67"/>
      <c r="JP5149" s="67"/>
      <c r="JQ5149" s="67"/>
      <c r="JR5149" s="67"/>
      <c r="JS5149" s="67"/>
      <c r="JT5149" s="67"/>
      <c r="JU5149" s="58"/>
      <c r="JV5149" s="58"/>
      <c r="JW5149" s="58"/>
    </row>
    <row r="5150" spans="1:283" s="23" customFormat="1" x14ac:dyDescent="0.25">
      <c r="A5150" s="55">
        <v>5149</v>
      </c>
      <c r="B5150" s="12" t="s">
        <v>7067</v>
      </c>
      <c r="C5150" s="156">
        <v>274</v>
      </c>
      <c r="D5150" s="58" t="s">
        <v>5042</v>
      </c>
      <c r="E5150" s="160" t="str">
        <f>G5150</f>
        <v>Snapp et al 2010</v>
      </c>
      <c r="F5150" s="160"/>
      <c r="G5150" s="60" t="s">
        <v>4686</v>
      </c>
      <c r="H5150" s="58">
        <v>2010</v>
      </c>
      <c r="I5150" s="58" t="s">
        <v>2847</v>
      </c>
      <c r="J5150" s="243" t="s">
        <v>427</v>
      </c>
      <c r="K5150" s="63" t="s">
        <v>5072</v>
      </c>
      <c r="L5150" s="58" t="s">
        <v>2737</v>
      </c>
      <c r="M5150" s="94">
        <f>42+24/60</f>
        <v>42.4</v>
      </c>
      <c r="N5150" s="94">
        <f>-85-24/60</f>
        <v>-85.4</v>
      </c>
      <c r="O5150" s="94">
        <v>280</v>
      </c>
      <c r="P5150" s="58"/>
      <c r="Q5150" s="244">
        <v>9</v>
      </c>
      <c r="R5150" s="58"/>
      <c r="S5150" s="245">
        <v>920</v>
      </c>
      <c r="T5150" s="58"/>
      <c r="U5150" s="58" t="s">
        <v>1682</v>
      </c>
      <c r="V5150" s="244">
        <v>11</v>
      </c>
      <c r="W5150" s="174"/>
      <c r="X5150" s="174"/>
      <c r="Y5150" s="58" t="s">
        <v>5840</v>
      </c>
      <c r="Z5150" s="244" t="s">
        <v>1367</v>
      </c>
      <c r="AA5150" s="245">
        <v>25</v>
      </c>
      <c r="AB5150" s="67"/>
      <c r="AC5150" s="67"/>
      <c r="AD5150" s="94"/>
      <c r="AE5150" s="94"/>
      <c r="AF5150" s="94"/>
      <c r="AG5150" s="245">
        <v>19</v>
      </c>
      <c r="AH5150" s="58" t="s">
        <v>238</v>
      </c>
      <c r="AI5150" s="169"/>
      <c r="AJ5150" s="94"/>
      <c r="AK5150" s="94"/>
      <c r="AL5150" s="58"/>
      <c r="AM5150" s="58" t="s">
        <v>4557</v>
      </c>
      <c r="AN5150" s="186" t="s">
        <v>5841</v>
      </c>
      <c r="AO5150" s="185" t="s">
        <v>5150</v>
      </c>
      <c r="AP5150" s="58"/>
      <c r="AQ5150" s="58" t="s">
        <v>4584</v>
      </c>
      <c r="AR5150" s="58" t="s">
        <v>1607</v>
      </c>
      <c r="AS5150" s="58" t="s">
        <v>1607</v>
      </c>
      <c r="AT5150" s="247">
        <v>1</v>
      </c>
      <c r="AU5150" s="181" t="s">
        <v>7494</v>
      </c>
      <c r="AV5150" s="185" t="s">
        <v>176</v>
      </c>
      <c r="AW5150" s="244">
        <v>1</v>
      </c>
      <c r="AX5150" s="185" t="s">
        <v>176</v>
      </c>
      <c r="AY5150" s="244" t="s">
        <v>176</v>
      </c>
      <c r="AZ5150" s="58"/>
      <c r="BA5150" s="58"/>
      <c r="BB5150" s="58"/>
      <c r="BC5150" s="58"/>
      <c r="BD5150" s="58"/>
      <c r="BE5150" s="236" t="s">
        <v>5157</v>
      </c>
      <c r="BF5150" s="191" t="s">
        <v>479</v>
      </c>
      <c r="BG5150" s="191" t="s">
        <v>479</v>
      </c>
      <c r="BH5150" s="236" t="s">
        <v>5291</v>
      </c>
      <c r="BI5150" s="191" t="s">
        <v>479</v>
      </c>
      <c r="BJ5150" s="58" t="str">
        <f>IF(BE5150=BH5150,"No","yes")</f>
        <v>yes</v>
      </c>
      <c r="BK5150" s="58" t="s">
        <v>6335</v>
      </c>
      <c r="BL5150" s="58"/>
      <c r="BM5150" s="237"/>
      <c r="BN5150" s="244">
        <v>8</v>
      </c>
      <c r="BO5150" s="244">
        <v>8</v>
      </c>
      <c r="BP5150" s="58"/>
      <c r="BQ5150" s="58"/>
      <c r="BR5150" s="58"/>
      <c r="BS5150" s="58"/>
      <c r="BT5150" s="58"/>
      <c r="BU5150" s="58"/>
      <c r="BV5150" s="58" t="s">
        <v>5842</v>
      </c>
      <c r="BW5150" s="67"/>
      <c r="BX5150" s="67"/>
      <c r="BY5150" s="67"/>
      <c r="BZ5150" s="67"/>
      <c r="CA5150" s="67"/>
      <c r="CB5150" s="70">
        <v>6405</v>
      </c>
      <c r="CC5150" s="70">
        <v>4995</v>
      </c>
      <c r="CD5150" s="70"/>
      <c r="CE5150" s="67"/>
      <c r="CF5150" s="67"/>
      <c r="CG5150" s="67"/>
      <c r="CH5150" s="245"/>
      <c r="CI5150" s="245"/>
      <c r="CJ5150" s="67"/>
      <c r="CK5150" s="67"/>
      <c r="CL5150" s="67"/>
      <c r="CM5150" s="242"/>
      <c r="CN5150" s="242"/>
      <c r="CO5150" s="242"/>
      <c r="CP5150" s="242"/>
      <c r="CQ5150" s="242"/>
      <c r="CR5150" s="242"/>
      <c r="CS5150" s="242"/>
      <c r="CT5150" s="242"/>
      <c r="CU5150" s="242"/>
      <c r="CV5150" s="242"/>
      <c r="CW5150" s="242"/>
      <c r="CX5150" s="242"/>
      <c r="CY5150" s="242"/>
      <c r="CZ5150" s="242"/>
      <c r="DA5150" s="67"/>
      <c r="DB5150" s="67"/>
      <c r="DC5150" s="67"/>
      <c r="DD5150" s="67"/>
      <c r="DE5150" s="67"/>
      <c r="DF5150" s="67"/>
      <c r="DG5150" s="67"/>
      <c r="DH5150" s="67"/>
      <c r="DI5150" s="67"/>
      <c r="DJ5150" s="67"/>
      <c r="DK5150" s="67"/>
      <c r="DL5150" s="67"/>
      <c r="DM5150" s="67"/>
      <c r="DN5150" s="67"/>
      <c r="DO5150" s="67"/>
      <c r="DP5150" s="67"/>
      <c r="DQ5150" s="166"/>
      <c r="DR5150" s="166"/>
      <c r="DS5150" s="163"/>
      <c r="DT5150" s="163"/>
      <c r="DU5150" s="67"/>
      <c r="DV5150" s="67"/>
      <c r="DW5150" s="67"/>
      <c r="DX5150" s="67"/>
      <c r="DY5150" s="67"/>
      <c r="DZ5150" s="67"/>
      <c r="EA5150" s="67"/>
      <c r="EB5150" s="67"/>
      <c r="EC5150" s="67"/>
      <c r="ED5150" s="67"/>
      <c r="EE5150" s="67"/>
      <c r="EF5150" s="67"/>
      <c r="EG5150" s="67"/>
      <c r="EH5150" s="67"/>
      <c r="EI5150" s="67"/>
      <c r="EJ5150" s="67"/>
      <c r="EK5150" s="94"/>
      <c r="EL5150" s="94"/>
      <c r="EM5150" s="67"/>
      <c r="EN5150" s="67"/>
      <c r="EO5150" s="67"/>
      <c r="EP5150" s="67"/>
      <c r="EQ5150" s="67"/>
      <c r="ER5150" s="67"/>
      <c r="ES5150" s="67"/>
      <c r="ET5150" s="67"/>
      <c r="EU5150" s="67"/>
      <c r="EV5150" s="67"/>
      <c r="EW5150" s="67"/>
      <c r="EX5150" s="67"/>
      <c r="EY5150" s="67"/>
      <c r="EZ5150" s="67"/>
      <c r="FA5150" s="67"/>
      <c r="FB5150" s="67"/>
      <c r="FC5150" s="67"/>
      <c r="FD5150" s="67"/>
      <c r="FE5150" s="67"/>
      <c r="FF5150" s="67"/>
      <c r="FG5150" s="67"/>
      <c r="FH5150" s="67"/>
      <c r="FI5150" s="67"/>
      <c r="FJ5150" s="67"/>
      <c r="FK5150" s="67"/>
      <c r="FL5150" s="67"/>
      <c r="FM5150" s="67"/>
      <c r="FN5150" s="67"/>
      <c r="FO5150" s="67"/>
      <c r="FP5150" s="67"/>
      <c r="FQ5150" s="67"/>
      <c r="FR5150" s="67"/>
      <c r="FS5150" s="67"/>
      <c r="FT5150" s="67"/>
      <c r="FU5150" s="67"/>
      <c r="FV5150" s="67"/>
      <c r="FW5150" s="67"/>
      <c r="FX5150" s="67"/>
      <c r="FY5150" s="67"/>
      <c r="FZ5150" s="67"/>
      <c r="GA5150" s="67"/>
      <c r="GB5150" s="67"/>
      <c r="GC5150" s="67"/>
      <c r="GD5150" s="67"/>
      <c r="GE5150" s="67"/>
      <c r="GF5150" s="67"/>
      <c r="GG5150" s="67"/>
      <c r="GH5150" s="67"/>
      <c r="GI5150" s="67"/>
      <c r="GJ5150" s="67"/>
      <c r="GK5150" s="67"/>
      <c r="GL5150" s="67"/>
      <c r="GM5150" s="67"/>
      <c r="GN5150" s="292"/>
      <c r="GO5150" s="292"/>
      <c r="GP5150" s="292" t="s">
        <v>7494</v>
      </c>
      <c r="GQ5150" s="67"/>
      <c r="GR5150" s="67"/>
      <c r="GS5150" s="67"/>
      <c r="GT5150" s="67"/>
      <c r="GU5150" s="67"/>
      <c r="GV5150" s="67"/>
      <c r="GW5150" s="67"/>
      <c r="GX5150" s="67"/>
      <c r="GY5150" s="67"/>
      <c r="GZ5150" s="67"/>
      <c r="HA5150" s="67"/>
      <c r="HB5150" s="67"/>
      <c r="HC5150" s="67"/>
      <c r="HD5150" s="67"/>
      <c r="HE5150" s="67"/>
      <c r="HF5150" s="67"/>
      <c r="HG5150" s="67"/>
      <c r="HH5150" s="67"/>
      <c r="HI5150" s="67"/>
      <c r="HJ5150" s="67"/>
      <c r="HK5150" s="67"/>
      <c r="HL5150" s="67"/>
      <c r="HM5150" s="67"/>
      <c r="HN5150" s="67"/>
      <c r="HO5150" s="67"/>
      <c r="HP5150" s="67"/>
      <c r="HQ5150" s="67"/>
      <c r="HR5150" s="67"/>
      <c r="HS5150" s="67"/>
      <c r="HT5150" s="67"/>
      <c r="HU5150" s="67"/>
      <c r="HV5150" s="67"/>
      <c r="HW5150" s="67"/>
      <c r="HX5150" s="67"/>
      <c r="HY5150" s="67"/>
      <c r="HZ5150" s="67"/>
      <c r="IA5150" s="67"/>
      <c r="IB5150" s="67"/>
      <c r="IC5150" s="67"/>
      <c r="ID5150" s="67"/>
      <c r="IE5150" s="67"/>
      <c r="IF5150" s="67"/>
      <c r="IG5150" s="67"/>
      <c r="IH5150" s="67"/>
      <c r="II5150" s="67"/>
      <c r="IJ5150" s="67"/>
      <c r="IK5150" s="67"/>
      <c r="IL5150" s="67"/>
      <c r="IM5150" s="67"/>
      <c r="IN5150" s="67"/>
      <c r="IO5150" s="67"/>
      <c r="IP5150" s="67"/>
      <c r="IQ5150" s="67"/>
      <c r="IR5150" s="67"/>
      <c r="IS5150" s="67"/>
      <c r="IT5150" s="67"/>
      <c r="IU5150" s="67"/>
      <c r="IV5150" s="67"/>
      <c r="IW5150" s="67"/>
      <c r="IX5150" s="67"/>
      <c r="IY5150" s="67"/>
      <c r="IZ5150" s="67"/>
      <c r="JA5150" s="67"/>
      <c r="JB5150" s="67"/>
      <c r="JC5150" s="67"/>
      <c r="JD5150" s="67"/>
      <c r="JE5150" s="67"/>
      <c r="JF5150" s="67"/>
      <c r="JG5150" s="67"/>
      <c r="JH5150" s="67"/>
      <c r="JI5150" s="67"/>
      <c r="JJ5150" s="67"/>
      <c r="JK5150" s="67"/>
      <c r="JL5150" s="67"/>
      <c r="JM5150" s="67"/>
      <c r="JN5150" s="67"/>
      <c r="JO5150" s="67"/>
      <c r="JP5150" s="67"/>
      <c r="JQ5150" s="67"/>
      <c r="JR5150" s="67"/>
      <c r="JS5150" s="67"/>
      <c r="JT5150" s="67"/>
      <c r="JU5150" s="58"/>
      <c r="JV5150" s="58"/>
      <c r="JW5150" s="58"/>
    </row>
    <row r="5151" spans="1:283" s="23" customFormat="1" x14ac:dyDescent="0.25">
      <c r="A5151" s="55">
        <v>5150</v>
      </c>
      <c r="B5151" s="12" t="s">
        <v>7067</v>
      </c>
      <c r="C5151" s="156">
        <v>274</v>
      </c>
      <c r="D5151" s="58" t="s">
        <v>5042</v>
      </c>
      <c r="E5151" s="160" t="str">
        <f>G5151</f>
        <v>Snapp et al 2010</v>
      </c>
      <c r="F5151" s="160"/>
      <c r="G5151" s="60" t="s">
        <v>4686</v>
      </c>
      <c r="H5151" s="58">
        <v>2010</v>
      </c>
      <c r="I5151" s="58" t="s">
        <v>2847</v>
      </c>
      <c r="J5151" s="243" t="s">
        <v>427</v>
      </c>
      <c r="K5151" s="63" t="s">
        <v>5072</v>
      </c>
      <c r="L5151" s="58" t="s">
        <v>2737</v>
      </c>
      <c r="M5151" s="94">
        <f>42+24/60</f>
        <v>42.4</v>
      </c>
      <c r="N5151" s="94">
        <f>-85-24/60</f>
        <v>-85.4</v>
      </c>
      <c r="O5151" s="94">
        <v>280</v>
      </c>
      <c r="P5151" s="58"/>
      <c r="Q5151" s="244">
        <v>9</v>
      </c>
      <c r="R5151" s="58"/>
      <c r="S5151" s="245">
        <v>920</v>
      </c>
      <c r="T5151" s="58"/>
      <c r="U5151" s="58" t="s">
        <v>1682</v>
      </c>
      <c r="V5151" s="244">
        <v>11</v>
      </c>
      <c r="W5151" s="174"/>
      <c r="X5151" s="174"/>
      <c r="Y5151" s="58" t="s">
        <v>5840</v>
      </c>
      <c r="Z5151" s="244" t="s">
        <v>1367</v>
      </c>
      <c r="AA5151" s="245">
        <v>25</v>
      </c>
      <c r="AB5151" s="67"/>
      <c r="AC5151" s="67"/>
      <c r="AD5151" s="94"/>
      <c r="AE5151" s="94"/>
      <c r="AF5151" s="94"/>
      <c r="AG5151" s="245">
        <v>19</v>
      </c>
      <c r="AH5151" s="58" t="s">
        <v>238</v>
      </c>
      <c r="AI5151" s="169"/>
      <c r="AJ5151" s="94"/>
      <c r="AK5151" s="94"/>
      <c r="AL5151" s="58"/>
      <c r="AM5151" s="58" t="s">
        <v>4557</v>
      </c>
      <c r="AN5151" s="186" t="s">
        <v>5841</v>
      </c>
      <c r="AO5151" s="185" t="s">
        <v>5150</v>
      </c>
      <c r="AP5151" s="58"/>
      <c r="AQ5151" s="58" t="s">
        <v>4584</v>
      </c>
      <c r="AR5151" s="58" t="s">
        <v>1607</v>
      </c>
      <c r="AS5151" s="58" t="s">
        <v>1607</v>
      </c>
      <c r="AT5151" s="247">
        <v>1</v>
      </c>
      <c r="AU5151" s="181" t="s">
        <v>7494</v>
      </c>
      <c r="AV5151" s="185" t="s">
        <v>176</v>
      </c>
      <c r="AW5151" s="244">
        <v>1</v>
      </c>
      <c r="AX5151" s="185" t="s">
        <v>176</v>
      </c>
      <c r="AY5151" s="244" t="s">
        <v>176</v>
      </c>
      <c r="AZ5151" s="58"/>
      <c r="BA5151" s="58"/>
      <c r="BB5151" s="58"/>
      <c r="BC5151" s="58"/>
      <c r="BD5151" s="58"/>
      <c r="BE5151" s="236" t="s">
        <v>5157</v>
      </c>
      <c r="BF5151" s="191" t="s">
        <v>479</v>
      </c>
      <c r="BG5151" s="191" t="s">
        <v>479</v>
      </c>
      <c r="BH5151" s="236" t="s">
        <v>5291</v>
      </c>
      <c r="BI5151" s="191" t="s">
        <v>479</v>
      </c>
      <c r="BJ5151" s="58" t="str">
        <f>IF(BE5151=BH5151,"No","yes")</f>
        <v>yes</v>
      </c>
      <c r="BK5151" s="58" t="s">
        <v>6335</v>
      </c>
      <c r="BL5151" s="58"/>
      <c r="BM5151" s="237"/>
      <c r="BN5151" s="244">
        <v>8</v>
      </c>
      <c r="BO5151" s="244">
        <v>8</v>
      </c>
      <c r="BP5151" s="58"/>
      <c r="BQ5151" s="58"/>
      <c r="BR5151" s="58"/>
      <c r="BS5151" s="58"/>
      <c r="BT5151" s="58"/>
      <c r="BU5151" s="58"/>
      <c r="BV5151" s="58" t="s">
        <v>5843</v>
      </c>
      <c r="BW5151" s="67"/>
      <c r="BX5151" s="67"/>
      <c r="BY5151" s="67"/>
      <c r="BZ5151" s="67"/>
      <c r="CA5151" s="67"/>
      <c r="CB5151" s="70">
        <v>6423</v>
      </c>
      <c r="CC5151" s="70">
        <v>5101</v>
      </c>
      <c r="CD5151" s="70"/>
      <c r="CE5151" s="67"/>
      <c r="CF5151" s="67"/>
      <c r="CG5151" s="67"/>
      <c r="CH5151" s="245"/>
      <c r="CI5151" s="245"/>
      <c r="CJ5151" s="67"/>
      <c r="CK5151" s="67"/>
      <c r="CL5151" s="67"/>
      <c r="CM5151" s="242"/>
      <c r="CN5151" s="242"/>
      <c r="CO5151" s="242"/>
      <c r="CP5151" s="242"/>
      <c r="CQ5151" s="242"/>
      <c r="CR5151" s="242"/>
      <c r="CS5151" s="242"/>
      <c r="CT5151" s="242"/>
      <c r="CU5151" s="242"/>
      <c r="CV5151" s="242"/>
      <c r="CW5151" s="242"/>
      <c r="CX5151" s="242"/>
      <c r="CY5151" s="242"/>
      <c r="CZ5151" s="242"/>
      <c r="DA5151" s="67"/>
      <c r="DB5151" s="67"/>
      <c r="DC5151" s="67"/>
      <c r="DD5151" s="67"/>
      <c r="DE5151" s="67"/>
      <c r="DF5151" s="67"/>
      <c r="DG5151" s="67"/>
      <c r="DH5151" s="67"/>
      <c r="DI5151" s="67"/>
      <c r="DJ5151" s="67"/>
      <c r="DK5151" s="67"/>
      <c r="DL5151" s="67"/>
      <c r="DM5151" s="67"/>
      <c r="DN5151" s="67"/>
      <c r="DO5151" s="67"/>
      <c r="DP5151" s="67"/>
      <c r="DQ5151" s="166"/>
      <c r="DR5151" s="166"/>
      <c r="DS5151" s="163"/>
      <c r="DT5151" s="163"/>
      <c r="DU5151" s="67"/>
      <c r="DV5151" s="67"/>
      <c r="DW5151" s="67"/>
      <c r="DX5151" s="67"/>
      <c r="DY5151" s="67"/>
      <c r="DZ5151" s="67"/>
      <c r="EA5151" s="67"/>
      <c r="EB5151" s="67"/>
      <c r="EC5151" s="67"/>
      <c r="ED5151" s="67"/>
      <c r="EE5151" s="67"/>
      <c r="EF5151" s="67"/>
      <c r="EG5151" s="67"/>
      <c r="EH5151" s="67"/>
      <c r="EI5151" s="67"/>
      <c r="EJ5151" s="67"/>
      <c r="EK5151" s="94"/>
      <c r="EL5151" s="94"/>
      <c r="EM5151" s="67"/>
      <c r="EN5151" s="67"/>
      <c r="EO5151" s="67"/>
      <c r="EP5151" s="67"/>
      <c r="EQ5151" s="67"/>
      <c r="ER5151" s="67"/>
      <c r="ES5151" s="67"/>
      <c r="ET5151" s="67"/>
      <c r="EU5151" s="67"/>
      <c r="EV5151" s="67"/>
      <c r="EW5151" s="67"/>
      <c r="EX5151" s="67"/>
      <c r="EY5151" s="67"/>
      <c r="EZ5151" s="67"/>
      <c r="FA5151" s="67"/>
      <c r="FB5151" s="67"/>
      <c r="FC5151" s="67"/>
      <c r="FD5151" s="67"/>
      <c r="FE5151" s="67"/>
      <c r="FF5151" s="67"/>
      <c r="FG5151" s="67"/>
      <c r="FH5151" s="67"/>
      <c r="FI5151" s="67"/>
      <c r="FJ5151" s="67"/>
      <c r="FK5151" s="67"/>
      <c r="FL5151" s="67"/>
      <c r="FM5151" s="67"/>
      <c r="FN5151" s="67"/>
      <c r="FO5151" s="67"/>
      <c r="FP5151" s="67"/>
      <c r="FQ5151" s="67"/>
      <c r="FR5151" s="67"/>
      <c r="FS5151" s="67"/>
      <c r="FT5151" s="67"/>
      <c r="FU5151" s="67"/>
      <c r="FV5151" s="67"/>
      <c r="FW5151" s="67"/>
      <c r="FX5151" s="67"/>
      <c r="FY5151" s="67"/>
      <c r="FZ5151" s="67"/>
      <c r="GA5151" s="67"/>
      <c r="GB5151" s="67"/>
      <c r="GC5151" s="67"/>
      <c r="GD5151" s="67"/>
      <c r="GE5151" s="67"/>
      <c r="GF5151" s="67"/>
      <c r="GG5151" s="67"/>
      <c r="GH5151" s="67"/>
      <c r="GI5151" s="67"/>
      <c r="GJ5151" s="67"/>
      <c r="GK5151" s="67"/>
      <c r="GL5151" s="67"/>
      <c r="GM5151" s="67"/>
      <c r="GN5151" s="292"/>
      <c r="GO5151" s="292"/>
      <c r="GP5151" s="292" t="s">
        <v>7494</v>
      </c>
      <c r="GQ5151" s="67"/>
      <c r="GR5151" s="67"/>
      <c r="GS5151" s="67"/>
      <c r="GT5151" s="67"/>
      <c r="GU5151" s="67"/>
      <c r="GV5151" s="67"/>
      <c r="GW5151" s="67"/>
      <c r="GX5151" s="67"/>
      <c r="GY5151" s="67"/>
      <c r="GZ5151" s="67"/>
      <c r="HA5151" s="67"/>
      <c r="HB5151" s="67"/>
      <c r="HC5151" s="67"/>
      <c r="HD5151" s="67"/>
      <c r="HE5151" s="67"/>
      <c r="HF5151" s="67"/>
      <c r="HG5151" s="67"/>
      <c r="HH5151" s="67"/>
      <c r="HI5151" s="67"/>
      <c r="HJ5151" s="67"/>
      <c r="HK5151" s="67"/>
      <c r="HL5151" s="67"/>
      <c r="HM5151" s="67"/>
      <c r="HN5151" s="67"/>
      <c r="HO5151" s="67"/>
      <c r="HP5151" s="67"/>
      <c r="HQ5151" s="67"/>
      <c r="HR5151" s="67"/>
      <c r="HS5151" s="67"/>
      <c r="HT5151" s="67"/>
      <c r="HU5151" s="67"/>
      <c r="HV5151" s="67"/>
      <c r="HW5151" s="67"/>
      <c r="HX5151" s="67"/>
      <c r="HY5151" s="67"/>
      <c r="HZ5151" s="67"/>
      <c r="IA5151" s="67"/>
      <c r="IB5151" s="67"/>
      <c r="IC5151" s="67"/>
      <c r="ID5151" s="67"/>
      <c r="IE5151" s="67"/>
      <c r="IF5151" s="67"/>
      <c r="IG5151" s="67"/>
      <c r="IH5151" s="67"/>
      <c r="II5151" s="67"/>
      <c r="IJ5151" s="67"/>
      <c r="IK5151" s="67"/>
      <c r="IL5151" s="67"/>
      <c r="IM5151" s="67"/>
      <c r="IN5151" s="67"/>
      <c r="IO5151" s="67"/>
      <c r="IP5151" s="67"/>
      <c r="IQ5151" s="67"/>
      <c r="IR5151" s="67"/>
      <c r="IS5151" s="67"/>
      <c r="IT5151" s="67"/>
      <c r="IU5151" s="67"/>
      <c r="IV5151" s="67"/>
      <c r="IW5151" s="67"/>
      <c r="IX5151" s="67"/>
      <c r="IY5151" s="67"/>
      <c r="IZ5151" s="67"/>
      <c r="JA5151" s="67"/>
      <c r="JB5151" s="67"/>
      <c r="JC5151" s="67"/>
      <c r="JD5151" s="67"/>
      <c r="JE5151" s="67"/>
      <c r="JF5151" s="67"/>
      <c r="JG5151" s="67"/>
      <c r="JH5151" s="67"/>
      <c r="JI5151" s="67"/>
      <c r="JJ5151" s="67"/>
      <c r="JK5151" s="67"/>
      <c r="JL5151" s="67"/>
      <c r="JM5151" s="67"/>
      <c r="JN5151" s="67"/>
      <c r="JO5151" s="67"/>
      <c r="JP5151" s="67"/>
      <c r="JQ5151" s="67"/>
      <c r="JR5151" s="67"/>
      <c r="JS5151" s="67"/>
      <c r="JT5151" s="67"/>
      <c r="JU5151" s="58"/>
      <c r="JV5151" s="58"/>
      <c r="JW5151" s="58"/>
    </row>
    <row r="5152" spans="1:283" s="23" customFormat="1" x14ac:dyDescent="0.25">
      <c r="A5152" s="55">
        <v>5151</v>
      </c>
      <c r="B5152" s="12" t="s">
        <v>7067</v>
      </c>
      <c r="C5152" s="156">
        <v>274</v>
      </c>
      <c r="D5152" s="58" t="s">
        <v>5042</v>
      </c>
      <c r="E5152" s="160" t="str">
        <f>G5152</f>
        <v>Snapp et al 2010</v>
      </c>
      <c r="F5152" s="160"/>
      <c r="G5152" s="60" t="s">
        <v>4686</v>
      </c>
      <c r="H5152" s="58">
        <v>2010</v>
      </c>
      <c r="I5152" s="58" t="s">
        <v>2847</v>
      </c>
      <c r="J5152" s="243" t="s">
        <v>427</v>
      </c>
      <c r="K5152" s="63" t="s">
        <v>5072</v>
      </c>
      <c r="L5152" s="58" t="s">
        <v>2737</v>
      </c>
      <c r="M5152" s="94">
        <f>42+24/60</f>
        <v>42.4</v>
      </c>
      <c r="N5152" s="94">
        <f>-85-24/60</f>
        <v>-85.4</v>
      </c>
      <c r="O5152" s="94">
        <v>280</v>
      </c>
      <c r="P5152" s="58"/>
      <c r="Q5152" s="244">
        <v>9</v>
      </c>
      <c r="R5152" s="58"/>
      <c r="S5152" s="245">
        <v>920</v>
      </c>
      <c r="T5152" s="58"/>
      <c r="U5152" s="58" t="s">
        <v>1682</v>
      </c>
      <c r="V5152" s="244">
        <v>11</v>
      </c>
      <c r="W5152" s="174"/>
      <c r="X5152" s="174"/>
      <c r="Y5152" s="58" t="s">
        <v>5840</v>
      </c>
      <c r="Z5152" s="244" t="s">
        <v>1367</v>
      </c>
      <c r="AA5152" s="245">
        <v>25</v>
      </c>
      <c r="AB5152" s="67"/>
      <c r="AC5152" s="67"/>
      <c r="AD5152" s="94"/>
      <c r="AE5152" s="94"/>
      <c r="AF5152" s="94"/>
      <c r="AG5152" s="245">
        <v>19</v>
      </c>
      <c r="AH5152" s="58" t="s">
        <v>238</v>
      </c>
      <c r="AI5152" s="169"/>
      <c r="AJ5152" s="94"/>
      <c r="AK5152" s="94"/>
      <c r="AL5152" s="58"/>
      <c r="AM5152" s="58" t="s">
        <v>4557</v>
      </c>
      <c r="AN5152" s="186" t="s">
        <v>5841</v>
      </c>
      <c r="AO5152" s="185" t="s">
        <v>5150</v>
      </c>
      <c r="AP5152" s="58"/>
      <c r="AQ5152" s="58" t="s">
        <v>4584</v>
      </c>
      <c r="AR5152" s="58" t="s">
        <v>1607</v>
      </c>
      <c r="AS5152" s="58" t="s">
        <v>1607</v>
      </c>
      <c r="AT5152" s="247">
        <v>1</v>
      </c>
      <c r="AU5152" s="181" t="s">
        <v>7494</v>
      </c>
      <c r="AV5152" s="185" t="s">
        <v>176</v>
      </c>
      <c r="AW5152" s="244">
        <v>1</v>
      </c>
      <c r="AX5152" s="185" t="s">
        <v>176</v>
      </c>
      <c r="AY5152" s="244" t="s">
        <v>176</v>
      </c>
      <c r="AZ5152" s="58"/>
      <c r="BA5152" s="58"/>
      <c r="BB5152" s="58"/>
      <c r="BC5152" s="58"/>
      <c r="BD5152" s="58"/>
      <c r="BE5152" s="236" t="s">
        <v>5157</v>
      </c>
      <c r="BF5152" s="191" t="s">
        <v>479</v>
      </c>
      <c r="BG5152" s="191" t="s">
        <v>479</v>
      </c>
      <c r="BH5152" s="236" t="s">
        <v>5291</v>
      </c>
      <c r="BI5152" s="191" t="s">
        <v>479</v>
      </c>
      <c r="BJ5152" s="58" t="str">
        <f>IF(BE5152=BH5152,"No","yes")</f>
        <v>yes</v>
      </c>
      <c r="BK5152" s="58" t="s">
        <v>6335</v>
      </c>
      <c r="BL5152" s="58"/>
      <c r="BM5152" s="237"/>
      <c r="BN5152" s="244">
        <v>8</v>
      </c>
      <c r="BO5152" s="244">
        <v>8</v>
      </c>
      <c r="BP5152" s="58"/>
      <c r="BQ5152" s="58"/>
      <c r="BR5152" s="58"/>
      <c r="BS5152" s="58"/>
      <c r="BT5152" s="58"/>
      <c r="BU5152" s="58"/>
      <c r="BV5152" s="58" t="s">
        <v>5844</v>
      </c>
      <c r="BW5152" s="67"/>
      <c r="BX5152" s="67"/>
      <c r="BY5152" s="67"/>
      <c r="BZ5152" s="67"/>
      <c r="CA5152" s="67"/>
      <c r="CB5152" s="70">
        <v>7642</v>
      </c>
      <c r="CC5152" s="70">
        <v>6159</v>
      </c>
      <c r="CD5152" s="70"/>
      <c r="CE5152" s="67"/>
      <c r="CF5152" s="67"/>
      <c r="CG5152" s="67"/>
      <c r="CH5152" s="245"/>
      <c r="CI5152" s="245"/>
      <c r="CJ5152" s="67"/>
      <c r="CK5152" s="67"/>
      <c r="CL5152" s="67"/>
      <c r="CM5152" s="242"/>
      <c r="CN5152" s="242"/>
      <c r="CO5152" s="242"/>
      <c r="CP5152" s="242"/>
      <c r="CQ5152" s="242"/>
      <c r="CR5152" s="242"/>
      <c r="CS5152" s="242"/>
      <c r="CT5152" s="242"/>
      <c r="CU5152" s="242"/>
      <c r="CV5152" s="242"/>
      <c r="CW5152" s="242"/>
      <c r="CX5152" s="242"/>
      <c r="CY5152" s="242"/>
      <c r="CZ5152" s="242"/>
      <c r="DA5152" s="67"/>
      <c r="DB5152" s="67"/>
      <c r="DC5152" s="67"/>
      <c r="DD5152" s="67"/>
      <c r="DE5152" s="67"/>
      <c r="DF5152" s="67"/>
      <c r="DG5152" s="67"/>
      <c r="DH5152" s="67"/>
      <c r="DI5152" s="67"/>
      <c r="DJ5152" s="67"/>
      <c r="DK5152" s="67"/>
      <c r="DL5152" s="67"/>
      <c r="DM5152" s="67"/>
      <c r="DN5152" s="67"/>
      <c r="DO5152" s="67"/>
      <c r="DP5152" s="67"/>
      <c r="DQ5152" s="166"/>
      <c r="DR5152" s="166"/>
      <c r="DS5152" s="163"/>
      <c r="DT5152" s="163"/>
      <c r="DU5152" s="67"/>
      <c r="DV5152" s="67"/>
      <c r="DW5152" s="67"/>
      <c r="DX5152" s="67"/>
      <c r="DY5152" s="67"/>
      <c r="DZ5152" s="67"/>
      <c r="EA5152" s="67"/>
      <c r="EB5152" s="67"/>
      <c r="EC5152" s="67"/>
      <c r="ED5152" s="67"/>
      <c r="EE5152" s="67"/>
      <c r="EF5152" s="67"/>
      <c r="EG5152" s="67"/>
      <c r="EH5152" s="67"/>
      <c r="EI5152" s="67"/>
      <c r="EJ5152" s="67"/>
      <c r="EK5152" s="94"/>
      <c r="EL5152" s="94"/>
      <c r="EM5152" s="67"/>
      <c r="EN5152" s="67"/>
      <c r="EO5152" s="67"/>
      <c r="EP5152" s="67"/>
      <c r="EQ5152" s="67"/>
      <c r="ER5152" s="67"/>
      <c r="ES5152" s="67"/>
      <c r="ET5152" s="67"/>
      <c r="EU5152" s="67"/>
      <c r="EV5152" s="67"/>
      <c r="EW5152" s="67"/>
      <c r="EX5152" s="67"/>
      <c r="EY5152" s="67"/>
      <c r="EZ5152" s="67"/>
      <c r="FA5152" s="67"/>
      <c r="FB5152" s="67"/>
      <c r="FC5152" s="67"/>
      <c r="FD5152" s="67"/>
      <c r="FE5152" s="67"/>
      <c r="FF5152" s="67"/>
      <c r="FG5152" s="67"/>
      <c r="FH5152" s="67"/>
      <c r="FI5152" s="67"/>
      <c r="FJ5152" s="67"/>
      <c r="FK5152" s="67"/>
      <c r="FL5152" s="67"/>
      <c r="FM5152" s="67"/>
      <c r="FN5152" s="67"/>
      <c r="FO5152" s="67"/>
      <c r="FP5152" s="67"/>
      <c r="FQ5152" s="67"/>
      <c r="FR5152" s="67"/>
      <c r="FS5152" s="67"/>
      <c r="FT5152" s="67"/>
      <c r="FU5152" s="67"/>
      <c r="FV5152" s="67"/>
      <c r="FW5152" s="67"/>
      <c r="FX5152" s="67"/>
      <c r="FY5152" s="67"/>
      <c r="FZ5152" s="67"/>
      <c r="GA5152" s="67"/>
      <c r="GB5152" s="67"/>
      <c r="GC5152" s="67"/>
      <c r="GD5152" s="67"/>
      <c r="GE5152" s="67"/>
      <c r="GF5152" s="67"/>
      <c r="GG5152" s="67"/>
      <c r="GH5152" s="67"/>
      <c r="GI5152" s="67"/>
      <c r="GJ5152" s="67"/>
      <c r="GK5152" s="67"/>
      <c r="GL5152" s="67"/>
      <c r="GM5152" s="67"/>
      <c r="GN5152" s="292"/>
      <c r="GO5152" s="292"/>
      <c r="GP5152" s="292" t="s">
        <v>7494</v>
      </c>
      <c r="GQ5152" s="67"/>
      <c r="GR5152" s="67"/>
      <c r="GS5152" s="67"/>
      <c r="GT5152" s="67"/>
      <c r="GU5152" s="67"/>
      <c r="GV5152" s="67"/>
      <c r="GW5152" s="67"/>
      <c r="GX5152" s="67"/>
      <c r="GY5152" s="67"/>
      <c r="GZ5152" s="67"/>
      <c r="HA5152" s="67"/>
      <c r="HB5152" s="67"/>
      <c r="HC5152" s="67"/>
      <c r="HD5152" s="67"/>
      <c r="HE5152" s="67"/>
      <c r="HF5152" s="67"/>
      <c r="HG5152" s="67"/>
      <c r="HH5152" s="67"/>
      <c r="HI5152" s="67"/>
      <c r="HJ5152" s="67"/>
      <c r="HK5152" s="67"/>
      <c r="HL5152" s="67"/>
      <c r="HM5152" s="67"/>
      <c r="HN5152" s="67"/>
      <c r="HO5152" s="67"/>
      <c r="HP5152" s="67"/>
      <c r="HQ5152" s="67"/>
      <c r="HR5152" s="67"/>
      <c r="HS5152" s="67"/>
      <c r="HT5152" s="67"/>
      <c r="HU5152" s="67"/>
      <c r="HV5152" s="67"/>
      <c r="HW5152" s="67"/>
      <c r="HX5152" s="67"/>
      <c r="HY5152" s="67"/>
      <c r="HZ5152" s="67"/>
      <c r="IA5152" s="67"/>
      <c r="IB5152" s="67"/>
      <c r="IC5152" s="67"/>
      <c r="ID5152" s="67"/>
      <c r="IE5152" s="67"/>
      <c r="IF5152" s="67"/>
      <c r="IG5152" s="67"/>
      <c r="IH5152" s="67"/>
      <c r="II5152" s="67"/>
      <c r="IJ5152" s="67"/>
      <c r="IK5152" s="67"/>
      <c r="IL5152" s="67"/>
      <c r="IM5152" s="67"/>
      <c r="IN5152" s="67"/>
      <c r="IO5152" s="67"/>
      <c r="IP5152" s="67"/>
      <c r="IQ5152" s="67"/>
      <c r="IR5152" s="67"/>
      <c r="IS5152" s="67"/>
      <c r="IT5152" s="67"/>
      <c r="IU5152" s="67"/>
      <c r="IV5152" s="67"/>
      <c r="IW5152" s="67"/>
      <c r="IX5152" s="67"/>
      <c r="IY5152" s="67"/>
      <c r="IZ5152" s="67"/>
      <c r="JA5152" s="67"/>
      <c r="JB5152" s="67"/>
      <c r="JC5152" s="67"/>
      <c r="JD5152" s="67"/>
      <c r="JE5152" s="67"/>
      <c r="JF5152" s="67"/>
      <c r="JG5152" s="67"/>
      <c r="JH5152" s="67"/>
      <c r="JI5152" s="67"/>
      <c r="JJ5152" s="67"/>
      <c r="JK5152" s="67"/>
      <c r="JL5152" s="67"/>
      <c r="JM5152" s="67"/>
      <c r="JN5152" s="67"/>
      <c r="JO5152" s="67"/>
      <c r="JP5152" s="67"/>
      <c r="JQ5152" s="67"/>
      <c r="JR5152" s="67"/>
      <c r="JS5152" s="67"/>
      <c r="JT5152" s="67"/>
      <c r="JU5152" s="58"/>
      <c r="JV5152" s="58"/>
      <c r="JW5152" s="58"/>
    </row>
    <row r="5153" spans="1:283" s="23" customFormat="1" x14ac:dyDescent="0.25">
      <c r="A5153" s="55">
        <v>5152</v>
      </c>
      <c r="B5153" s="12" t="s">
        <v>7067</v>
      </c>
      <c r="C5153" s="156">
        <v>274</v>
      </c>
      <c r="D5153" s="58" t="s">
        <v>5042</v>
      </c>
      <c r="E5153" s="160" t="str">
        <f>G5153</f>
        <v>Snapp et al 2010</v>
      </c>
      <c r="F5153" s="160"/>
      <c r="G5153" s="60" t="s">
        <v>4686</v>
      </c>
      <c r="H5153" s="58">
        <v>2010</v>
      </c>
      <c r="I5153" s="58" t="s">
        <v>2847</v>
      </c>
      <c r="J5153" s="243" t="s">
        <v>427</v>
      </c>
      <c r="K5153" s="63" t="s">
        <v>5072</v>
      </c>
      <c r="L5153" s="58" t="s">
        <v>2737</v>
      </c>
      <c r="M5153" s="94">
        <f>42+24/60</f>
        <v>42.4</v>
      </c>
      <c r="N5153" s="94">
        <f>-85-24/60</f>
        <v>-85.4</v>
      </c>
      <c r="O5153" s="94">
        <v>280</v>
      </c>
      <c r="P5153" s="58"/>
      <c r="Q5153" s="244">
        <v>9</v>
      </c>
      <c r="R5153" s="58"/>
      <c r="S5153" s="245">
        <v>920</v>
      </c>
      <c r="T5153" s="58"/>
      <c r="U5153" s="58" t="s">
        <v>1682</v>
      </c>
      <c r="V5153" s="244">
        <v>11</v>
      </c>
      <c r="W5153" s="174"/>
      <c r="X5153" s="174"/>
      <c r="Y5153" s="58" t="s">
        <v>5840</v>
      </c>
      <c r="Z5153" s="244" t="s">
        <v>1367</v>
      </c>
      <c r="AA5153" s="245">
        <v>25</v>
      </c>
      <c r="AB5153" s="67"/>
      <c r="AC5153" s="67"/>
      <c r="AD5153" s="94"/>
      <c r="AE5153" s="94"/>
      <c r="AF5153" s="94"/>
      <c r="AG5153" s="245">
        <v>19</v>
      </c>
      <c r="AH5153" s="58" t="s">
        <v>238</v>
      </c>
      <c r="AI5153" s="169"/>
      <c r="AJ5153" s="94"/>
      <c r="AK5153" s="94"/>
      <c r="AL5153" s="58"/>
      <c r="AM5153" s="58" t="s">
        <v>4557</v>
      </c>
      <c r="AN5153" s="186" t="s">
        <v>5841</v>
      </c>
      <c r="AO5153" s="185" t="s">
        <v>5150</v>
      </c>
      <c r="AP5153" s="58"/>
      <c r="AQ5153" s="58" t="s">
        <v>4584</v>
      </c>
      <c r="AR5153" s="58" t="s">
        <v>1607</v>
      </c>
      <c r="AS5153" s="58" t="s">
        <v>1607</v>
      </c>
      <c r="AT5153" s="247">
        <v>1</v>
      </c>
      <c r="AU5153" s="181" t="s">
        <v>7494</v>
      </c>
      <c r="AV5153" s="185" t="s">
        <v>176</v>
      </c>
      <c r="AW5153" s="244">
        <v>1</v>
      </c>
      <c r="AX5153" s="185" t="s">
        <v>176</v>
      </c>
      <c r="AY5153" s="244" t="s">
        <v>176</v>
      </c>
      <c r="AZ5153" s="58"/>
      <c r="BA5153" s="58"/>
      <c r="BB5153" s="58"/>
      <c r="BC5153" s="58"/>
      <c r="BD5153" s="58"/>
      <c r="BE5153" s="236" t="s">
        <v>5157</v>
      </c>
      <c r="BF5153" s="191" t="s">
        <v>479</v>
      </c>
      <c r="BG5153" s="191" t="s">
        <v>479</v>
      </c>
      <c r="BH5153" s="236" t="s">
        <v>5291</v>
      </c>
      <c r="BI5153" s="191" t="s">
        <v>479</v>
      </c>
      <c r="BJ5153" s="58" t="str">
        <f>IF(BE5153=BH5153,"No","yes")</f>
        <v>yes</v>
      </c>
      <c r="BK5153" s="58" t="s">
        <v>6335</v>
      </c>
      <c r="BL5153" s="58"/>
      <c r="BM5153" s="237"/>
      <c r="BN5153" s="244">
        <v>8</v>
      </c>
      <c r="BO5153" s="244">
        <v>8</v>
      </c>
      <c r="BP5153" s="58"/>
      <c r="BQ5153" s="58"/>
      <c r="BR5153" s="58"/>
      <c r="BS5153" s="58"/>
      <c r="BT5153" s="58"/>
      <c r="BU5153" s="58"/>
      <c r="BV5153" s="58" t="s">
        <v>5845</v>
      </c>
      <c r="BW5153" s="67"/>
      <c r="BX5153" s="67"/>
      <c r="BY5153" s="67"/>
      <c r="BZ5153" s="67"/>
      <c r="CA5153" s="67"/>
      <c r="CB5153" s="70">
        <v>7605</v>
      </c>
      <c r="CC5153" s="70">
        <v>7012</v>
      </c>
      <c r="CD5153" s="70"/>
      <c r="CE5153" s="67"/>
      <c r="CF5153" s="67"/>
      <c r="CG5153" s="67"/>
      <c r="CH5153" s="245"/>
      <c r="CI5153" s="245"/>
      <c r="CJ5153" s="67"/>
      <c r="CK5153" s="67"/>
      <c r="CL5153" s="67"/>
      <c r="CM5153" s="242"/>
      <c r="CN5153" s="242"/>
      <c r="CO5153" s="242"/>
      <c r="CP5153" s="242"/>
      <c r="CQ5153" s="242"/>
      <c r="CR5153" s="242"/>
      <c r="CS5153" s="242"/>
      <c r="CT5153" s="242"/>
      <c r="CU5153" s="242"/>
      <c r="CV5153" s="242"/>
      <c r="CW5153" s="242"/>
      <c r="CX5153" s="242"/>
      <c r="CY5153" s="242"/>
      <c r="CZ5153" s="242"/>
      <c r="DA5153" s="67"/>
      <c r="DB5153" s="67"/>
      <c r="DC5153" s="67"/>
      <c r="DD5153" s="67"/>
      <c r="DE5153" s="67"/>
      <c r="DF5153" s="67"/>
      <c r="DG5153" s="67"/>
      <c r="DH5153" s="67"/>
      <c r="DI5153" s="67"/>
      <c r="DJ5153" s="67"/>
      <c r="DK5153" s="67"/>
      <c r="DL5153" s="67"/>
      <c r="DM5153" s="67"/>
      <c r="DN5153" s="67"/>
      <c r="DO5153" s="67"/>
      <c r="DP5153" s="67"/>
      <c r="DQ5153" s="166"/>
      <c r="DR5153" s="166"/>
      <c r="DS5153" s="163"/>
      <c r="DT5153" s="163"/>
      <c r="DU5153" s="67"/>
      <c r="DV5153" s="67"/>
      <c r="DW5153" s="67"/>
      <c r="DX5153" s="67"/>
      <c r="DY5153" s="67"/>
      <c r="DZ5153" s="67"/>
      <c r="EA5153" s="67"/>
      <c r="EB5153" s="67"/>
      <c r="EC5153" s="67"/>
      <c r="ED5153" s="67"/>
      <c r="EE5153" s="67"/>
      <c r="EF5153" s="67"/>
      <c r="EG5153" s="67"/>
      <c r="EH5153" s="67"/>
      <c r="EI5153" s="67"/>
      <c r="EJ5153" s="67"/>
      <c r="EK5153" s="94"/>
      <c r="EL5153" s="94"/>
      <c r="EM5153" s="67"/>
      <c r="EN5153" s="67"/>
      <c r="EO5153" s="67"/>
      <c r="EP5153" s="67"/>
      <c r="EQ5153" s="67"/>
      <c r="ER5153" s="67"/>
      <c r="ES5153" s="67"/>
      <c r="ET5153" s="67"/>
      <c r="EU5153" s="67"/>
      <c r="EV5153" s="67"/>
      <c r="EW5153" s="67"/>
      <c r="EX5153" s="67"/>
      <c r="EY5153" s="67"/>
      <c r="EZ5153" s="67"/>
      <c r="FA5153" s="67"/>
      <c r="FB5153" s="67"/>
      <c r="FC5153" s="67"/>
      <c r="FD5153" s="67"/>
      <c r="FE5153" s="67"/>
      <c r="FF5153" s="67"/>
      <c r="FG5153" s="67"/>
      <c r="FH5153" s="67"/>
      <c r="FI5153" s="67"/>
      <c r="FJ5153" s="67"/>
      <c r="FK5153" s="67"/>
      <c r="FL5153" s="67"/>
      <c r="FM5153" s="67"/>
      <c r="FN5153" s="67"/>
      <c r="FO5153" s="67"/>
      <c r="FP5153" s="67"/>
      <c r="FQ5153" s="67"/>
      <c r="FR5153" s="67"/>
      <c r="FS5153" s="67"/>
      <c r="FT5153" s="67"/>
      <c r="FU5153" s="67"/>
      <c r="FV5153" s="67"/>
      <c r="FW5153" s="67"/>
      <c r="FX5153" s="67"/>
      <c r="FY5153" s="67"/>
      <c r="FZ5153" s="67"/>
      <c r="GA5153" s="67"/>
      <c r="GB5153" s="67"/>
      <c r="GC5153" s="67"/>
      <c r="GD5153" s="67"/>
      <c r="GE5153" s="67"/>
      <c r="GF5153" s="67"/>
      <c r="GG5153" s="67"/>
      <c r="GH5153" s="67"/>
      <c r="GI5153" s="67"/>
      <c r="GJ5153" s="67"/>
      <c r="GK5153" s="67"/>
      <c r="GL5153" s="67"/>
      <c r="GM5153" s="67"/>
      <c r="GN5153" s="292"/>
      <c r="GO5153" s="292"/>
      <c r="GP5153" s="292" t="s">
        <v>7494</v>
      </c>
      <c r="GQ5153" s="67"/>
      <c r="GR5153" s="67"/>
      <c r="GS5153" s="67"/>
      <c r="GT5153" s="67"/>
      <c r="GU5153" s="67"/>
      <c r="GV5153" s="67"/>
      <c r="GW5153" s="67"/>
      <c r="GX5153" s="67"/>
      <c r="GY5153" s="67"/>
      <c r="GZ5153" s="67"/>
      <c r="HA5153" s="67"/>
      <c r="HB5153" s="67"/>
      <c r="HC5153" s="67"/>
      <c r="HD5153" s="67"/>
      <c r="HE5153" s="67"/>
      <c r="HF5153" s="67"/>
      <c r="HG5153" s="67"/>
      <c r="HH5153" s="67"/>
      <c r="HI5153" s="67"/>
      <c r="HJ5153" s="67"/>
      <c r="HK5153" s="67"/>
      <c r="HL5153" s="67"/>
      <c r="HM5153" s="67"/>
      <c r="HN5153" s="67"/>
      <c r="HO5153" s="67"/>
      <c r="HP5153" s="67"/>
      <c r="HQ5153" s="67"/>
      <c r="HR5153" s="67"/>
      <c r="HS5153" s="67"/>
      <c r="HT5153" s="67"/>
      <c r="HU5153" s="67"/>
      <c r="HV5153" s="67"/>
      <c r="HW5153" s="67"/>
      <c r="HX5153" s="67"/>
      <c r="HY5153" s="67"/>
      <c r="HZ5153" s="67"/>
      <c r="IA5153" s="67"/>
      <c r="IB5153" s="67"/>
      <c r="IC5153" s="67"/>
      <c r="ID5153" s="67"/>
      <c r="IE5153" s="67"/>
      <c r="IF5153" s="67"/>
      <c r="IG5153" s="67"/>
      <c r="IH5153" s="67"/>
      <c r="II5153" s="67"/>
      <c r="IJ5153" s="67"/>
      <c r="IK5153" s="67"/>
      <c r="IL5153" s="67"/>
      <c r="IM5153" s="67"/>
      <c r="IN5153" s="67"/>
      <c r="IO5153" s="67"/>
      <c r="IP5153" s="67"/>
      <c r="IQ5153" s="67"/>
      <c r="IR5153" s="67"/>
      <c r="IS5153" s="67"/>
      <c r="IT5153" s="67"/>
      <c r="IU5153" s="67"/>
      <c r="IV5153" s="67"/>
      <c r="IW5153" s="67"/>
      <c r="IX5153" s="67"/>
      <c r="IY5153" s="67"/>
      <c r="IZ5153" s="67"/>
      <c r="JA5153" s="67"/>
      <c r="JB5153" s="67"/>
      <c r="JC5153" s="67"/>
      <c r="JD5153" s="67"/>
      <c r="JE5153" s="67"/>
      <c r="JF5153" s="67"/>
      <c r="JG5153" s="67"/>
      <c r="JH5153" s="67"/>
      <c r="JI5153" s="67"/>
      <c r="JJ5153" s="67"/>
      <c r="JK5153" s="67"/>
      <c r="JL5153" s="67"/>
      <c r="JM5153" s="67"/>
      <c r="JN5153" s="67"/>
      <c r="JO5153" s="67"/>
      <c r="JP5153" s="67"/>
      <c r="JQ5153" s="67"/>
      <c r="JR5153" s="67"/>
      <c r="JS5153" s="67"/>
      <c r="JT5153" s="67"/>
      <c r="JU5153" s="58"/>
      <c r="JV5153" s="58"/>
      <c r="JW5153" s="58"/>
    </row>
    <row r="5154" spans="1:283" s="23" customFormat="1" x14ac:dyDescent="0.25">
      <c r="A5154" s="55">
        <v>5153</v>
      </c>
      <c r="B5154" s="12" t="s">
        <v>7067</v>
      </c>
      <c r="C5154" s="156">
        <v>274</v>
      </c>
      <c r="D5154" s="58" t="s">
        <v>5042</v>
      </c>
      <c r="E5154" s="160" t="str">
        <f>G5154</f>
        <v>Snapp et al 2010</v>
      </c>
      <c r="F5154" s="160"/>
      <c r="G5154" s="60" t="s">
        <v>4686</v>
      </c>
      <c r="H5154" s="58">
        <v>2010</v>
      </c>
      <c r="I5154" s="58" t="s">
        <v>2847</v>
      </c>
      <c r="J5154" s="243" t="s">
        <v>427</v>
      </c>
      <c r="K5154" s="63" t="s">
        <v>5072</v>
      </c>
      <c r="L5154" s="58" t="s">
        <v>2737</v>
      </c>
      <c r="M5154" s="94">
        <f>42+24/60</f>
        <v>42.4</v>
      </c>
      <c r="N5154" s="94">
        <f>-85-24/60</f>
        <v>-85.4</v>
      </c>
      <c r="O5154" s="94">
        <v>280</v>
      </c>
      <c r="P5154" s="58"/>
      <c r="Q5154" s="244">
        <v>9</v>
      </c>
      <c r="R5154" s="58"/>
      <c r="S5154" s="245">
        <v>920</v>
      </c>
      <c r="T5154" s="58"/>
      <c r="U5154" s="58" t="s">
        <v>1682</v>
      </c>
      <c r="V5154" s="244">
        <v>11</v>
      </c>
      <c r="W5154" s="174"/>
      <c r="X5154" s="174"/>
      <c r="Y5154" s="58" t="s">
        <v>5840</v>
      </c>
      <c r="Z5154" s="244" t="s">
        <v>1367</v>
      </c>
      <c r="AA5154" s="245">
        <v>25</v>
      </c>
      <c r="AB5154" s="67"/>
      <c r="AC5154" s="67"/>
      <c r="AD5154" s="94"/>
      <c r="AE5154" s="94"/>
      <c r="AF5154" s="94"/>
      <c r="AG5154" s="245">
        <v>19</v>
      </c>
      <c r="AH5154" s="58" t="s">
        <v>238</v>
      </c>
      <c r="AI5154" s="169"/>
      <c r="AJ5154" s="94"/>
      <c r="AK5154" s="94"/>
      <c r="AL5154" s="58"/>
      <c r="AM5154" s="58" t="s">
        <v>4557</v>
      </c>
      <c r="AN5154" s="186" t="s">
        <v>5841</v>
      </c>
      <c r="AO5154" s="185" t="s">
        <v>5150</v>
      </c>
      <c r="AP5154" s="58"/>
      <c r="AQ5154" s="58" t="s">
        <v>4584</v>
      </c>
      <c r="AR5154" s="58" t="s">
        <v>116</v>
      </c>
      <c r="AS5154" s="58" t="s">
        <v>116</v>
      </c>
      <c r="AT5154" s="247">
        <v>1</v>
      </c>
      <c r="AU5154" s="181" t="s">
        <v>7494</v>
      </c>
      <c r="AV5154" s="185" t="s">
        <v>176</v>
      </c>
      <c r="AW5154" s="244">
        <v>1</v>
      </c>
      <c r="AX5154" s="185" t="s">
        <v>176</v>
      </c>
      <c r="AY5154" s="244" t="s">
        <v>176</v>
      </c>
      <c r="AZ5154" s="58"/>
      <c r="BA5154" s="58"/>
      <c r="BB5154" s="58"/>
      <c r="BC5154" s="58"/>
      <c r="BD5154" s="58"/>
      <c r="BE5154" s="236" t="s">
        <v>5157</v>
      </c>
      <c r="BF5154" s="191" t="s">
        <v>479</v>
      </c>
      <c r="BG5154" s="191" t="s">
        <v>479</v>
      </c>
      <c r="BH5154" s="236" t="s">
        <v>5291</v>
      </c>
      <c r="BI5154" s="191" t="s">
        <v>479</v>
      </c>
      <c r="BJ5154" s="58" t="str">
        <f>IF(BE5154=BH5154,"No","yes")</f>
        <v>yes</v>
      </c>
      <c r="BK5154" s="58" t="s">
        <v>6335</v>
      </c>
      <c r="BL5154" s="58"/>
      <c r="BM5154" s="237"/>
      <c r="BN5154" s="244">
        <v>8</v>
      </c>
      <c r="BO5154" s="244">
        <v>8</v>
      </c>
      <c r="BP5154" s="58"/>
      <c r="BQ5154" s="58"/>
      <c r="BR5154" s="58"/>
      <c r="BS5154" s="58"/>
      <c r="BT5154" s="58"/>
      <c r="BU5154" s="58"/>
      <c r="BV5154" s="58" t="s">
        <v>5844</v>
      </c>
      <c r="BW5154" s="67"/>
      <c r="BX5154" s="67"/>
      <c r="BY5154" s="67"/>
      <c r="BZ5154" s="67"/>
      <c r="CA5154" s="67"/>
      <c r="CB5154" s="70">
        <v>3005</v>
      </c>
      <c r="CC5154" s="70">
        <v>2609</v>
      </c>
      <c r="CD5154" s="70"/>
      <c r="CE5154" s="67"/>
      <c r="CF5154" s="67"/>
      <c r="CG5154" s="67"/>
      <c r="CH5154" s="245"/>
      <c r="CI5154" s="245"/>
      <c r="CJ5154" s="67"/>
      <c r="CK5154" s="67"/>
      <c r="CL5154" s="67"/>
      <c r="CM5154" s="242"/>
      <c r="CN5154" s="242"/>
      <c r="CO5154" s="242"/>
      <c r="CP5154" s="242"/>
      <c r="CQ5154" s="242"/>
      <c r="CR5154" s="242"/>
      <c r="CS5154" s="242"/>
      <c r="CT5154" s="242"/>
      <c r="CU5154" s="242"/>
      <c r="CV5154" s="242"/>
      <c r="CW5154" s="242"/>
      <c r="CX5154" s="242"/>
      <c r="CY5154" s="242"/>
      <c r="CZ5154" s="242"/>
      <c r="DA5154" s="67"/>
      <c r="DB5154" s="67"/>
      <c r="DC5154" s="67"/>
      <c r="DD5154" s="67"/>
      <c r="DE5154" s="67"/>
      <c r="DF5154" s="67"/>
      <c r="DG5154" s="67"/>
      <c r="DH5154" s="67"/>
      <c r="DI5154" s="67"/>
      <c r="DJ5154" s="67"/>
      <c r="DK5154" s="67"/>
      <c r="DL5154" s="67"/>
      <c r="DM5154" s="67"/>
      <c r="DN5154" s="67"/>
      <c r="DO5154" s="67"/>
      <c r="DP5154" s="67"/>
      <c r="DQ5154" s="166"/>
      <c r="DR5154" s="166"/>
      <c r="DS5154" s="163"/>
      <c r="DT5154" s="163"/>
      <c r="DU5154" s="67"/>
      <c r="DV5154" s="67"/>
      <c r="DW5154" s="67"/>
      <c r="DX5154" s="67"/>
      <c r="DY5154" s="67"/>
      <c r="DZ5154" s="67"/>
      <c r="EA5154" s="67"/>
      <c r="EB5154" s="67"/>
      <c r="EC5154" s="67"/>
      <c r="ED5154" s="67"/>
      <c r="EE5154" s="67"/>
      <c r="EF5154" s="67"/>
      <c r="EG5154" s="67"/>
      <c r="EH5154" s="67"/>
      <c r="EI5154" s="67"/>
      <c r="EJ5154" s="67"/>
      <c r="EK5154" s="94"/>
      <c r="EL5154" s="94"/>
      <c r="EM5154" s="67"/>
      <c r="EN5154" s="67"/>
      <c r="EO5154" s="67"/>
      <c r="EP5154" s="67"/>
      <c r="EQ5154" s="67"/>
      <c r="ER5154" s="67"/>
      <c r="ES5154" s="67"/>
      <c r="ET5154" s="67"/>
      <c r="EU5154" s="67"/>
      <c r="EV5154" s="67"/>
      <c r="EW5154" s="67"/>
      <c r="EX5154" s="67"/>
      <c r="EY5154" s="67"/>
      <c r="EZ5154" s="67"/>
      <c r="FA5154" s="67"/>
      <c r="FB5154" s="67"/>
      <c r="FC5154" s="67"/>
      <c r="FD5154" s="67"/>
      <c r="FE5154" s="67"/>
      <c r="FF5154" s="67"/>
      <c r="FG5154" s="67"/>
      <c r="FH5154" s="67"/>
      <c r="FI5154" s="67"/>
      <c r="FJ5154" s="67"/>
      <c r="FK5154" s="67"/>
      <c r="FL5154" s="67"/>
      <c r="FM5154" s="67"/>
      <c r="FN5154" s="67"/>
      <c r="FO5154" s="67"/>
      <c r="FP5154" s="67"/>
      <c r="FQ5154" s="67"/>
      <c r="FR5154" s="67"/>
      <c r="FS5154" s="67"/>
      <c r="FT5154" s="67"/>
      <c r="FU5154" s="67"/>
      <c r="FV5154" s="67"/>
      <c r="FW5154" s="67"/>
      <c r="FX5154" s="67"/>
      <c r="FY5154" s="67"/>
      <c r="FZ5154" s="67"/>
      <c r="GA5154" s="67"/>
      <c r="GB5154" s="67"/>
      <c r="GC5154" s="67"/>
      <c r="GD5154" s="67"/>
      <c r="GE5154" s="67"/>
      <c r="GF5154" s="67"/>
      <c r="GG5154" s="67"/>
      <c r="GH5154" s="67"/>
      <c r="GI5154" s="67"/>
      <c r="GJ5154" s="67"/>
      <c r="GK5154" s="67"/>
      <c r="GL5154" s="67"/>
      <c r="GM5154" s="67"/>
      <c r="GN5154" s="292"/>
      <c r="GO5154" s="292"/>
      <c r="GP5154" s="292" t="s">
        <v>7494</v>
      </c>
      <c r="GQ5154" s="67"/>
      <c r="GR5154" s="67"/>
      <c r="GS5154" s="67"/>
      <c r="GT5154" s="67"/>
      <c r="GU5154" s="67"/>
      <c r="GV5154" s="67"/>
      <c r="GW5154" s="67"/>
      <c r="GX5154" s="67"/>
      <c r="GY5154" s="67"/>
      <c r="GZ5154" s="67"/>
      <c r="HA5154" s="67"/>
      <c r="HB5154" s="67"/>
      <c r="HC5154" s="67"/>
      <c r="HD5154" s="67"/>
      <c r="HE5154" s="67"/>
      <c r="HF5154" s="67"/>
      <c r="HG5154" s="67"/>
      <c r="HH5154" s="67"/>
      <c r="HI5154" s="67"/>
      <c r="HJ5154" s="67"/>
      <c r="HK5154" s="67"/>
      <c r="HL5154" s="67"/>
      <c r="HM5154" s="67"/>
      <c r="HN5154" s="67"/>
      <c r="HO5154" s="67"/>
      <c r="HP5154" s="67"/>
      <c r="HQ5154" s="67"/>
      <c r="HR5154" s="67"/>
      <c r="HS5154" s="67"/>
      <c r="HT5154" s="67"/>
      <c r="HU5154" s="67"/>
      <c r="HV5154" s="67"/>
      <c r="HW5154" s="67"/>
      <c r="HX5154" s="67"/>
      <c r="HY5154" s="67"/>
      <c r="HZ5154" s="67"/>
      <c r="IA5154" s="67"/>
      <c r="IB5154" s="67"/>
      <c r="IC5154" s="67"/>
      <c r="ID5154" s="67"/>
      <c r="IE5154" s="67"/>
      <c r="IF5154" s="67"/>
      <c r="IG5154" s="67"/>
      <c r="IH5154" s="67"/>
      <c r="II5154" s="67"/>
      <c r="IJ5154" s="67"/>
      <c r="IK5154" s="67"/>
      <c r="IL5154" s="67"/>
      <c r="IM5154" s="67"/>
      <c r="IN5154" s="67"/>
      <c r="IO5154" s="67"/>
      <c r="IP5154" s="67"/>
      <c r="IQ5154" s="67"/>
      <c r="IR5154" s="67"/>
      <c r="IS5154" s="67"/>
      <c r="IT5154" s="67"/>
      <c r="IU5154" s="67"/>
      <c r="IV5154" s="67"/>
      <c r="IW5154" s="67"/>
      <c r="IX5154" s="67"/>
      <c r="IY5154" s="67"/>
      <c r="IZ5154" s="67"/>
      <c r="JA5154" s="67"/>
      <c r="JB5154" s="67"/>
      <c r="JC5154" s="67"/>
      <c r="JD5154" s="67"/>
      <c r="JE5154" s="67"/>
      <c r="JF5154" s="67"/>
      <c r="JG5154" s="67"/>
      <c r="JH5154" s="67"/>
      <c r="JI5154" s="67"/>
      <c r="JJ5154" s="67"/>
      <c r="JK5154" s="67"/>
      <c r="JL5154" s="67"/>
      <c r="JM5154" s="67"/>
      <c r="JN5154" s="67"/>
      <c r="JO5154" s="67"/>
      <c r="JP5154" s="67"/>
      <c r="JQ5154" s="67"/>
      <c r="JR5154" s="67"/>
      <c r="JS5154" s="67"/>
      <c r="JT5154" s="67"/>
      <c r="JU5154" s="58"/>
      <c r="JV5154" s="58"/>
      <c r="JW5154" s="58"/>
    </row>
    <row r="5155" spans="1:283" s="23" customFormat="1" x14ac:dyDescent="0.25">
      <c r="A5155" s="55">
        <v>5154</v>
      </c>
      <c r="B5155" s="12" t="s">
        <v>7067</v>
      </c>
      <c r="C5155" s="156">
        <v>274</v>
      </c>
      <c r="D5155" s="58" t="s">
        <v>5042</v>
      </c>
      <c r="E5155" s="160" t="str">
        <f>G5155</f>
        <v>Snapp et al 2010</v>
      </c>
      <c r="F5155" s="160"/>
      <c r="G5155" s="60" t="s">
        <v>4686</v>
      </c>
      <c r="H5155" s="58">
        <v>2010</v>
      </c>
      <c r="I5155" s="58" t="s">
        <v>2847</v>
      </c>
      <c r="J5155" s="243" t="s">
        <v>427</v>
      </c>
      <c r="K5155" s="63" t="s">
        <v>5072</v>
      </c>
      <c r="L5155" s="58" t="s">
        <v>2737</v>
      </c>
      <c r="M5155" s="94">
        <f>42+24/60</f>
        <v>42.4</v>
      </c>
      <c r="N5155" s="94">
        <f>-85-24/60</f>
        <v>-85.4</v>
      </c>
      <c r="O5155" s="94">
        <v>280</v>
      </c>
      <c r="P5155" s="58"/>
      <c r="Q5155" s="244">
        <v>9</v>
      </c>
      <c r="R5155" s="58"/>
      <c r="S5155" s="245">
        <v>920</v>
      </c>
      <c r="T5155" s="58"/>
      <c r="U5155" s="58" t="s">
        <v>1682</v>
      </c>
      <c r="V5155" s="244">
        <v>11</v>
      </c>
      <c r="W5155" s="174"/>
      <c r="X5155" s="174"/>
      <c r="Y5155" s="58" t="s">
        <v>5840</v>
      </c>
      <c r="Z5155" s="244" t="s">
        <v>1367</v>
      </c>
      <c r="AA5155" s="245">
        <v>25</v>
      </c>
      <c r="AB5155" s="67"/>
      <c r="AC5155" s="67"/>
      <c r="AD5155" s="94"/>
      <c r="AE5155" s="94"/>
      <c r="AF5155" s="94"/>
      <c r="AG5155" s="245">
        <v>19</v>
      </c>
      <c r="AH5155" s="58" t="s">
        <v>238</v>
      </c>
      <c r="AI5155" s="169"/>
      <c r="AJ5155" s="94"/>
      <c r="AK5155" s="94"/>
      <c r="AL5155" s="58"/>
      <c r="AM5155" s="58" t="s">
        <v>4557</v>
      </c>
      <c r="AN5155" s="186" t="s">
        <v>5841</v>
      </c>
      <c r="AO5155" s="185" t="s">
        <v>5150</v>
      </c>
      <c r="AP5155" s="58"/>
      <c r="AQ5155" s="58" t="s">
        <v>4584</v>
      </c>
      <c r="AR5155" s="58" t="s">
        <v>116</v>
      </c>
      <c r="AS5155" s="58" t="s">
        <v>116</v>
      </c>
      <c r="AT5155" s="247">
        <v>1</v>
      </c>
      <c r="AU5155" s="181" t="s">
        <v>7494</v>
      </c>
      <c r="AV5155" s="185" t="s">
        <v>176</v>
      </c>
      <c r="AW5155" s="244">
        <v>1</v>
      </c>
      <c r="AX5155" s="185" t="s">
        <v>176</v>
      </c>
      <c r="AY5155" s="244" t="s">
        <v>176</v>
      </c>
      <c r="AZ5155" s="58"/>
      <c r="BA5155" s="58"/>
      <c r="BB5155" s="58"/>
      <c r="BC5155" s="58"/>
      <c r="BD5155" s="58"/>
      <c r="BE5155" s="236" t="s">
        <v>5157</v>
      </c>
      <c r="BF5155" s="191" t="s">
        <v>479</v>
      </c>
      <c r="BG5155" s="191" t="s">
        <v>479</v>
      </c>
      <c r="BH5155" s="236" t="s">
        <v>5291</v>
      </c>
      <c r="BI5155" s="191" t="s">
        <v>479</v>
      </c>
      <c r="BJ5155" s="58" t="str">
        <f>IF(BE5155=BH5155,"No","yes")</f>
        <v>yes</v>
      </c>
      <c r="BK5155" s="58" t="s">
        <v>6335</v>
      </c>
      <c r="BL5155" s="58"/>
      <c r="BM5155" s="237"/>
      <c r="BN5155" s="244">
        <v>8</v>
      </c>
      <c r="BO5155" s="244">
        <v>8</v>
      </c>
      <c r="BP5155" s="58"/>
      <c r="BQ5155" s="58"/>
      <c r="BR5155" s="58"/>
      <c r="BS5155" s="58"/>
      <c r="BT5155" s="58"/>
      <c r="BU5155" s="58"/>
      <c r="BV5155" s="58" t="s">
        <v>5845</v>
      </c>
      <c r="BW5155" s="67"/>
      <c r="BX5155" s="67"/>
      <c r="BY5155" s="67"/>
      <c r="BZ5155" s="67"/>
      <c r="CA5155" s="67"/>
      <c r="CB5155" s="70">
        <v>3004</v>
      </c>
      <c r="CC5155" s="70">
        <v>2604</v>
      </c>
      <c r="CD5155" s="70"/>
      <c r="CE5155" s="67"/>
      <c r="CF5155" s="67"/>
      <c r="CG5155" s="67"/>
      <c r="CH5155" s="245"/>
      <c r="CI5155" s="245"/>
      <c r="CJ5155" s="67"/>
      <c r="CK5155" s="67"/>
      <c r="CL5155" s="67"/>
      <c r="CM5155" s="242"/>
      <c r="CN5155" s="242"/>
      <c r="CO5155" s="242"/>
      <c r="CP5155" s="242"/>
      <c r="CQ5155" s="242"/>
      <c r="CR5155" s="242"/>
      <c r="CS5155" s="242"/>
      <c r="CT5155" s="242"/>
      <c r="CU5155" s="242"/>
      <c r="CV5155" s="242"/>
      <c r="CW5155" s="242"/>
      <c r="CX5155" s="242"/>
      <c r="CY5155" s="242"/>
      <c r="CZ5155" s="242"/>
      <c r="DA5155" s="67"/>
      <c r="DB5155" s="67"/>
      <c r="DC5155" s="67"/>
      <c r="DD5155" s="67"/>
      <c r="DE5155" s="67"/>
      <c r="DF5155" s="67"/>
      <c r="DG5155" s="67"/>
      <c r="DH5155" s="67"/>
      <c r="DI5155" s="67"/>
      <c r="DJ5155" s="67"/>
      <c r="DK5155" s="67"/>
      <c r="DL5155" s="67"/>
      <c r="DM5155" s="67"/>
      <c r="DN5155" s="67"/>
      <c r="DO5155" s="67"/>
      <c r="DP5155" s="67"/>
      <c r="DQ5155" s="166"/>
      <c r="DR5155" s="166"/>
      <c r="DS5155" s="163"/>
      <c r="DT5155" s="163"/>
      <c r="DU5155" s="67"/>
      <c r="DV5155" s="67"/>
      <c r="DW5155" s="67"/>
      <c r="DX5155" s="67"/>
      <c r="DY5155" s="67"/>
      <c r="DZ5155" s="67"/>
      <c r="EA5155" s="67"/>
      <c r="EB5155" s="67"/>
      <c r="EC5155" s="67"/>
      <c r="ED5155" s="67"/>
      <c r="EE5155" s="67"/>
      <c r="EF5155" s="67"/>
      <c r="EG5155" s="67"/>
      <c r="EH5155" s="67"/>
      <c r="EI5155" s="67"/>
      <c r="EJ5155" s="67"/>
      <c r="EK5155" s="94"/>
      <c r="EL5155" s="94"/>
      <c r="EM5155" s="67"/>
      <c r="EN5155" s="67"/>
      <c r="EO5155" s="67"/>
      <c r="EP5155" s="67"/>
      <c r="EQ5155" s="67"/>
      <c r="ER5155" s="67"/>
      <c r="ES5155" s="67"/>
      <c r="ET5155" s="67"/>
      <c r="EU5155" s="67"/>
      <c r="EV5155" s="67"/>
      <c r="EW5155" s="67"/>
      <c r="EX5155" s="67"/>
      <c r="EY5155" s="67"/>
      <c r="EZ5155" s="67"/>
      <c r="FA5155" s="67"/>
      <c r="FB5155" s="67"/>
      <c r="FC5155" s="67"/>
      <c r="FD5155" s="67"/>
      <c r="FE5155" s="67"/>
      <c r="FF5155" s="67"/>
      <c r="FG5155" s="67"/>
      <c r="FH5155" s="67"/>
      <c r="FI5155" s="67"/>
      <c r="FJ5155" s="67"/>
      <c r="FK5155" s="67"/>
      <c r="FL5155" s="67"/>
      <c r="FM5155" s="67"/>
      <c r="FN5155" s="67"/>
      <c r="FO5155" s="67"/>
      <c r="FP5155" s="67"/>
      <c r="FQ5155" s="67"/>
      <c r="FR5155" s="67"/>
      <c r="FS5155" s="67"/>
      <c r="FT5155" s="67"/>
      <c r="FU5155" s="67"/>
      <c r="FV5155" s="67"/>
      <c r="FW5155" s="67"/>
      <c r="FX5155" s="67"/>
      <c r="FY5155" s="67"/>
      <c r="FZ5155" s="67"/>
      <c r="GA5155" s="67"/>
      <c r="GB5155" s="67"/>
      <c r="GC5155" s="67"/>
      <c r="GD5155" s="67"/>
      <c r="GE5155" s="67"/>
      <c r="GF5155" s="67"/>
      <c r="GG5155" s="67"/>
      <c r="GH5155" s="67"/>
      <c r="GI5155" s="67"/>
      <c r="GJ5155" s="67"/>
      <c r="GK5155" s="67"/>
      <c r="GL5155" s="67"/>
      <c r="GM5155" s="67"/>
      <c r="GN5155" s="292"/>
      <c r="GO5155" s="292"/>
      <c r="GP5155" s="292" t="s">
        <v>7494</v>
      </c>
      <c r="GQ5155" s="67"/>
      <c r="GR5155" s="67"/>
      <c r="GS5155" s="67"/>
      <c r="GT5155" s="67"/>
      <c r="GU5155" s="67"/>
      <c r="GV5155" s="67"/>
      <c r="GW5155" s="67"/>
      <c r="GX5155" s="67"/>
      <c r="GY5155" s="67"/>
      <c r="GZ5155" s="67"/>
      <c r="HA5155" s="67"/>
      <c r="HB5155" s="67"/>
      <c r="HC5155" s="67"/>
      <c r="HD5155" s="67"/>
      <c r="HE5155" s="67"/>
      <c r="HF5155" s="67"/>
      <c r="HG5155" s="67"/>
      <c r="HH5155" s="67"/>
      <c r="HI5155" s="67"/>
      <c r="HJ5155" s="67"/>
      <c r="HK5155" s="67"/>
      <c r="HL5155" s="67"/>
      <c r="HM5155" s="67"/>
      <c r="HN5155" s="67"/>
      <c r="HO5155" s="67"/>
      <c r="HP5155" s="67"/>
      <c r="HQ5155" s="67"/>
      <c r="HR5155" s="67"/>
      <c r="HS5155" s="67"/>
      <c r="HT5155" s="67"/>
      <c r="HU5155" s="67"/>
      <c r="HV5155" s="67"/>
      <c r="HW5155" s="67"/>
      <c r="HX5155" s="67"/>
      <c r="HY5155" s="67"/>
      <c r="HZ5155" s="67"/>
      <c r="IA5155" s="67"/>
      <c r="IB5155" s="67"/>
      <c r="IC5155" s="67"/>
      <c r="ID5155" s="67"/>
      <c r="IE5155" s="67"/>
      <c r="IF5155" s="67"/>
      <c r="IG5155" s="67"/>
      <c r="IH5155" s="67"/>
      <c r="II5155" s="67"/>
      <c r="IJ5155" s="67"/>
      <c r="IK5155" s="67"/>
      <c r="IL5155" s="67"/>
      <c r="IM5155" s="67"/>
      <c r="IN5155" s="67"/>
      <c r="IO5155" s="67"/>
      <c r="IP5155" s="67"/>
      <c r="IQ5155" s="67"/>
      <c r="IR5155" s="67"/>
      <c r="IS5155" s="67"/>
      <c r="IT5155" s="67"/>
      <c r="IU5155" s="67"/>
      <c r="IV5155" s="67"/>
      <c r="IW5155" s="67"/>
      <c r="IX5155" s="67"/>
      <c r="IY5155" s="67"/>
      <c r="IZ5155" s="67"/>
      <c r="JA5155" s="67"/>
      <c r="JB5155" s="67"/>
      <c r="JC5155" s="67"/>
      <c r="JD5155" s="67"/>
      <c r="JE5155" s="67"/>
      <c r="JF5155" s="67"/>
      <c r="JG5155" s="67"/>
      <c r="JH5155" s="67"/>
      <c r="JI5155" s="67"/>
      <c r="JJ5155" s="67"/>
      <c r="JK5155" s="67"/>
      <c r="JL5155" s="67"/>
      <c r="JM5155" s="67"/>
      <c r="JN5155" s="67"/>
      <c r="JO5155" s="67"/>
      <c r="JP5155" s="67"/>
      <c r="JQ5155" s="67"/>
      <c r="JR5155" s="67"/>
      <c r="JS5155" s="67"/>
      <c r="JT5155" s="67"/>
      <c r="JU5155" s="58"/>
      <c r="JV5155" s="58"/>
      <c r="JW5155" s="58"/>
    </row>
    <row r="5156" spans="1:283" s="23" customFormat="1" x14ac:dyDescent="0.25">
      <c r="A5156" s="55">
        <v>5155</v>
      </c>
      <c r="B5156" s="12" t="s">
        <v>7067</v>
      </c>
      <c r="C5156" s="156">
        <v>274</v>
      </c>
      <c r="D5156" s="58" t="s">
        <v>5042</v>
      </c>
      <c r="E5156" s="160" t="str">
        <f>G5156</f>
        <v>Snapp et al 2010</v>
      </c>
      <c r="F5156" s="160"/>
      <c r="G5156" s="60" t="s">
        <v>4686</v>
      </c>
      <c r="H5156" s="58">
        <v>2010</v>
      </c>
      <c r="I5156" s="58" t="s">
        <v>2847</v>
      </c>
      <c r="J5156" s="243" t="s">
        <v>427</v>
      </c>
      <c r="K5156" s="63" t="s">
        <v>5072</v>
      </c>
      <c r="L5156" s="58" t="s">
        <v>2737</v>
      </c>
      <c r="M5156" s="94">
        <f>42+24/60</f>
        <v>42.4</v>
      </c>
      <c r="N5156" s="94">
        <f>-85-24/60</f>
        <v>-85.4</v>
      </c>
      <c r="O5156" s="94">
        <v>280</v>
      </c>
      <c r="P5156" s="58"/>
      <c r="Q5156" s="244">
        <v>9</v>
      </c>
      <c r="R5156" s="58"/>
      <c r="S5156" s="245">
        <v>920</v>
      </c>
      <c r="T5156" s="58"/>
      <c r="U5156" s="58" t="s">
        <v>1682</v>
      </c>
      <c r="V5156" s="244">
        <v>11</v>
      </c>
      <c r="W5156" s="174"/>
      <c r="X5156" s="174"/>
      <c r="Y5156" s="58" t="s">
        <v>5840</v>
      </c>
      <c r="Z5156" s="244" t="s">
        <v>1367</v>
      </c>
      <c r="AA5156" s="245">
        <v>25</v>
      </c>
      <c r="AB5156" s="67"/>
      <c r="AC5156" s="67"/>
      <c r="AD5156" s="94"/>
      <c r="AE5156" s="94"/>
      <c r="AF5156" s="94"/>
      <c r="AG5156" s="245">
        <v>19</v>
      </c>
      <c r="AH5156" s="58" t="s">
        <v>238</v>
      </c>
      <c r="AI5156" s="169"/>
      <c r="AJ5156" s="94"/>
      <c r="AK5156" s="94"/>
      <c r="AL5156" s="58"/>
      <c r="AM5156" s="58" t="s">
        <v>4557</v>
      </c>
      <c r="AN5156" s="186" t="s">
        <v>5841</v>
      </c>
      <c r="AO5156" s="185" t="s">
        <v>5150</v>
      </c>
      <c r="AP5156" s="58"/>
      <c r="AQ5156" s="58" t="s">
        <v>4584</v>
      </c>
      <c r="AR5156" s="58" t="s">
        <v>158</v>
      </c>
      <c r="AS5156" s="58" t="s">
        <v>158</v>
      </c>
      <c r="AT5156" s="247">
        <v>1</v>
      </c>
      <c r="AU5156" s="181" t="s">
        <v>7494</v>
      </c>
      <c r="AV5156" s="185" t="s">
        <v>176</v>
      </c>
      <c r="AW5156" s="244">
        <v>1</v>
      </c>
      <c r="AX5156" s="185" t="s">
        <v>176</v>
      </c>
      <c r="AY5156" s="244" t="s">
        <v>176</v>
      </c>
      <c r="AZ5156" s="58"/>
      <c r="BA5156" s="58"/>
      <c r="BB5156" s="58"/>
      <c r="BC5156" s="58"/>
      <c r="BD5156" s="58"/>
      <c r="BE5156" s="236" t="s">
        <v>5157</v>
      </c>
      <c r="BF5156" s="191" t="s">
        <v>479</v>
      </c>
      <c r="BG5156" s="191" t="s">
        <v>479</v>
      </c>
      <c r="BH5156" s="236" t="s">
        <v>5291</v>
      </c>
      <c r="BI5156" s="191" t="s">
        <v>479</v>
      </c>
      <c r="BJ5156" s="58" t="str">
        <f>IF(BE5156=BH5156,"No","yes")</f>
        <v>yes</v>
      </c>
      <c r="BK5156" s="58" t="s">
        <v>6335</v>
      </c>
      <c r="BL5156" s="58"/>
      <c r="BM5156" s="237"/>
      <c r="BN5156" s="244">
        <v>8</v>
      </c>
      <c r="BO5156" s="244">
        <v>8</v>
      </c>
      <c r="BP5156" s="58"/>
      <c r="BQ5156" s="58"/>
      <c r="BR5156" s="58"/>
      <c r="BS5156" s="58"/>
      <c r="BT5156" s="58"/>
      <c r="BU5156" s="58"/>
      <c r="BV5156" s="58" t="s">
        <v>5844</v>
      </c>
      <c r="BW5156" s="67"/>
      <c r="BX5156" s="67"/>
      <c r="BY5156" s="67"/>
      <c r="BZ5156" s="67"/>
      <c r="CA5156" s="67"/>
      <c r="CB5156" s="70">
        <v>2228</v>
      </c>
      <c r="CC5156" s="70">
        <v>2001</v>
      </c>
      <c r="CD5156" s="70"/>
      <c r="CE5156" s="67"/>
      <c r="CF5156" s="67"/>
      <c r="CG5156" s="67"/>
      <c r="CH5156" s="245"/>
      <c r="CI5156" s="245"/>
      <c r="CJ5156" s="67"/>
      <c r="CK5156" s="67"/>
      <c r="CL5156" s="67"/>
      <c r="CM5156" s="242"/>
      <c r="CN5156" s="242"/>
      <c r="CO5156" s="242"/>
      <c r="CP5156" s="242"/>
      <c r="CQ5156" s="242"/>
      <c r="CR5156" s="242"/>
      <c r="CS5156" s="242"/>
      <c r="CT5156" s="242"/>
      <c r="CU5156" s="242"/>
      <c r="CV5156" s="242"/>
      <c r="CW5156" s="242"/>
      <c r="CX5156" s="242"/>
      <c r="CY5156" s="242"/>
      <c r="CZ5156" s="242"/>
      <c r="DA5156" s="67"/>
      <c r="DB5156" s="67"/>
      <c r="DC5156" s="67"/>
      <c r="DD5156" s="67"/>
      <c r="DE5156" s="67"/>
      <c r="DF5156" s="67"/>
      <c r="DG5156" s="67"/>
      <c r="DH5156" s="67"/>
      <c r="DI5156" s="67"/>
      <c r="DJ5156" s="67"/>
      <c r="DK5156" s="67"/>
      <c r="DL5156" s="67"/>
      <c r="DM5156" s="67"/>
      <c r="DN5156" s="67"/>
      <c r="DO5156" s="67"/>
      <c r="DP5156" s="67"/>
      <c r="DQ5156" s="166"/>
      <c r="DR5156" s="166"/>
      <c r="DS5156" s="163"/>
      <c r="DT5156" s="163"/>
      <c r="DU5156" s="67"/>
      <c r="DV5156" s="67"/>
      <c r="DW5156" s="67"/>
      <c r="DX5156" s="67"/>
      <c r="DY5156" s="67"/>
      <c r="DZ5156" s="67"/>
      <c r="EA5156" s="67"/>
      <c r="EB5156" s="67"/>
      <c r="EC5156" s="67"/>
      <c r="ED5156" s="67"/>
      <c r="EE5156" s="67"/>
      <c r="EF5156" s="67"/>
      <c r="EG5156" s="67"/>
      <c r="EH5156" s="67"/>
      <c r="EI5156" s="67"/>
      <c r="EJ5156" s="67"/>
      <c r="EK5156" s="94"/>
      <c r="EL5156" s="94"/>
      <c r="EM5156" s="67"/>
      <c r="EN5156" s="67"/>
      <c r="EO5156" s="67"/>
      <c r="EP5156" s="67"/>
      <c r="EQ5156" s="67"/>
      <c r="ER5156" s="67"/>
      <c r="ES5156" s="67"/>
      <c r="ET5156" s="67"/>
      <c r="EU5156" s="67"/>
      <c r="EV5156" s="67"/>
      <c r="EW5156" s="67"/>
      <c r="EX5156" s="67"/>
      <c r="EY5156" s="67"/>
      <c r="EZ5156" s="67"/>
      <c r="FA5156" s="67"/>
      <c r="FB5156" s="67"/>
      <c r="FC5156" s="67"/>
      <c r="FD5156" s="67"/>
      <c r="FE5156" s="67"/>
      <c r="FF5156" s="67"/>
      <c r="FG5156" s="67"/>
      <c r="FH5156" s="67"/>
      <c r="FI5156" s="67"/>
      <c r="FJ5156" s="67"/>
      <c r="FK5156" s="67"/>
      <c r="FL5156" s="67"/>
      <c r="FM5156" s="67"/>
      <c r="FN5156" s="67"/>
      <c r="FO5156" s="67"/>
      <c r="FP5156" s="67"/>
      <c r="FQ5156" s="67"/>
      <c r="FR5156" s="67"/>
      <c r="FS5156" s="67"/>
      <c r="FT5156" s="67"/>
      <c r="FU5156" s="67"/>
      <c r="FV5156" s="67"/>
      <c r="FW5156" s="67"/>
      <c r="FX5156" s="67"/>
      <c r="FY5156" s="67"/>
      <c r="FZ5156" s="67"/>
      <c r="GA5156" s="67"/>
      <c r="GB5156" s="67"/>
      <c r="GC5156" s="67"/>
      <c r="GD5156" s="67"/>
      <c r="GE5156" s="67"/>
      <c r="GF5156" s="67"/>
      <c r="GG5156" s="67"/>
      <c r="GH5156" s="67"/>
      <c r="GI5156" s="67"/>
      <c r="GJ5156" s="67"/>
      <c r="GK5156" s="67"/>
      <c r="GL5156" s="67"/>
      <c r="GM5156" s="67"/>
      <c r="GN5156" s="292"/>
      <c r="GO5156" s="292"/>
      <c r="GP5156" s="292" t="s">
        <v>7494</v>
      </c>
      <c r="GQ5156" s="67"/>
      <c r="GR5156" s="67"/>
      <c r="GS5156" s="67"/>
      <c r="GT5156" s="67"/>
      <c r="GU5156" s="67"/>
      <c r="GV5156" s="67"/>
      <c r="GW5156" s="67"/>
      <c r="GX5156" s="67"/>
      <c r="GY5156" s="67"/>
      <c r="GZ5156" s="67"/>
      <c r="HA5156" s="67"/>
      <c r="HB5156" s="67"/>
      <c r="HC5156" s="67"/>
      <c r="HD5156" s="67"/>
      <c r="HE5156" s="67"/>
      <c r="HF5156" s="67"/>
      <c r="HG5156" s="67"/>
      <c r="HH5156" s="67"/>
      <c r="HI5156" s="67"/>
      <c r="HJ5156" s="67"/>
      <c r="HK5156" s="67"/>
      <c r="HL5156" s="67"/>
      <c r="HM5156" s="67"/>
      <c r="HN5156" s="67"/>
      <c r="HO5156" s="67"/>
      <c r="HP5156" s="67"/>
      <c r="HQ5156" s="67"/>
      <c r="HR5156" s="67"/>
      <c r="HS5156" s="67"/>
      <c r="HT5156" s="67"/>
      <c r="HU5156" s="67"/>
      <c r="HV5156" s="67"/>
      <c r="HW5156" s="67"/>
      <c r="HX5156" s="67"/>
      <c r="HY5156" s="67"/>
      <c r="HZ5156" s="67"/>
      <c r="IA5156" s="67"/>
      <c r="IB5156" s="67"/>
      <c r="IC5156" s="67"/>
      <c r="ID5156" s="67"/>
      <c r="IE5156" s="67"/>
      <c r="IF5156" s="67"/>
      <c r="IG5156" s="67"/>
      <c r="IH5156" s="67"/>
      <c r="II5156" s="67"/>
      <c r="IJ5156" s="67"/>
      <c r="IK5156" s="67"/>
      <c r="IL5156" s="67"/>
      <c r="IM5156" s="67"/>
      <c r="IN5156" s="67"/>
      <c r="IO5156" s="67"/>
      <c r="IP5156" s="67"/>
      <c r="IQ5156" s="67"/>
      <c r="IR5156" s="67"/>
      <c r="IS5156" s="67"/>
      <c r="IT5156" s="67"/>
      <c r="IU5156" s="67"/>
      <c r="IV5156" s="67"/>
      <c r="IW5156" s="67"/>
      <c r="IX5156" s="67"/>
      <c r="IY5156" s="67"/>
      <c r="IZ5156" s="67"/>
      <c r="JA5156" s="67"/>
      <c r="JB5156" s="67"/>
      <c r="JC5156" s="67"/>
      <c r="JD5156" s="67"/>
      <c r="JE5156" s="67"/>
      <c r="JF5156" s="67"/>
      <c r="JG5156" s="67"/>
      <c r="JH5156" s="67"/>
      <c r="JI5156" s="67"/>
      <c r="JJ5156" s="67"/>
      <c r="JK5156" s="67"/>
      <c r="JL5156" s="67"/>
      <c r="JM5156" s="67"/>
      <c r="JN5156" s="67"/>
      <c r="JO5156" s="67"/>
      <c r="JP5156" s="67"/>
      <c r="JQ5156" s="67"/>
      <c r="JR5156" s="67"/>
      <c r="JS5156" s="67"/>
      <c r="JT5156" s="67"/>
      <c r="JU5156" s="58"/>
      <c r="JV5156" s="58"/>
      <c r="JW5156" s="58"/>
    </row>
    <row r="5157" spans="1:283" s="23" customFormat="1" x14ac:dyDescent="0.25">
      <c r="A5157" s="55">
        <v>5156</v>
      </c>
      <c r="B5157" s="12" t="s">
        <v>7067</v>
      </c>
      <c r="C5157" s="156">
        <v>274</v>
      </c>
      <c r="D5157" s="58" t="s">
        <v>5042</v>
      </c>
      <c r="E5157" s="160" t="str">
        <f>G5157</f>
        <v>Snapp et al 2010</v>
      </c>
      <c r="F5157" s="160"/>
      <c r="G5157" s="60" t="s">
        <v>4686</v>
      </c>
      <c r="H5157" s="58">
        <v>2010</v>
      </c>
      <c r="I5157" s="58" t="s">
        <v>2847</v>
      </c>
      <c r="J5157" s="243" t="s">
        <v>427</v>
      </c>
      <c r="K5157" s="63" t="s">
        <v>5072</v>
      </c>
      <c r="L5157" s="58" t="s">
        <v>2737</v>
      </c>
      <c r="M5157" s="94">
        <f>42+24/60</f>
        <v>42.4</v>
      </c>
      <c r="N5157" s="94">
        <f>-85-24/60</f>
        <v>-85.4</v>
      </c>
      <c r="O5157" s="94">
        <v>280</v>
      </c>
      <c r="P5157" s="58"/>
      <c r="Q5157" s="244">
        <v>9</v>
      </c>
      <c r="R5157" s="58"/>
      <c r="S5157" s="245">
        <v>920</v>
      </c>
      <c r="T5157" s="58"/>
      <c r="U5157" s="58" t="s">
        <v>1682</v>
      </c>
      <c r="V5157" s="244">
        <v>11</v>
      </c>
      <c r="W5157" s="174"/>
      <c r="X5157" s="174"/>
      <c r="Y5157" s="58" t="s">
        <v>5840</v>
      </c>
      <c r="Z5157" s="244" t="s">
        <v>1367</v>
      </c>
      <c r="AA5157" s="245">
        <v>25</v>
      </c>
      <c r="AB5157" s="67"/>
      <c r="AC5157" s="67"/>
      <c r="AD5157" s="94"/>
      <c r="AE5157" s="94"/>
      <c r="AF5157" s="94"/>
      <c r="AG5157" s="245">
        <v>19</v>
      </c>
      <c r="AH5157" s="58" t="s">
        <v>238</v>
      </c>
      <c r="AI5157" s="169"/>
      <c r="AJ5157" s="94"/>
      <c r="AK5157" s="94"/>
      <c r="AL5157" s="58"/>
      <c r="AM5157" s="58" t="s">
        <v>4557</v>
      </c>
      <c r="AN5157" s="186" t="s">
        <v>5841</v>
      </c>
      <c r="AO5157" s="185" t="s">
        <v>5150</v>
      </c>
      <c r="AP5157" s="58"/>
      <c r="AQ5157" s="58" t="s">
        <v>4584</v>
      </c>
      <c r="AR5157" s="58" t="s">
        <v>158</v>
      </c>
      <c r="AS5157" s="58" t="s">
        <v>158</v>
      </c>
      <c r="AT5157" s="247">
        <v>1</v>
      </c>
      <c r="AU5157" s="181" t="s">
        <v>7494</v>
      </c>
      <c r="AV5157" s="185" t="s">
        <v>176</v>
      </c>
      <c r="AW5157" s="244">
        <v>1</v>
      </c>
      <c r="AX5157" s="185" t="s">
        <v>176</v>
      </c>
      <c r="AY5157" s="244" t="s">
        <v>176</v>
      </c>
      <c r="AZ5157" s="58"/>
      <c r="BA5157" s="58"/>
      <c r="BB5157" s="58"/>
      <c r="BC5157" s="58"/>
      <c r="BD5157" s="58"/>
      <c r="BE5157" s="236" t="s">
        <v>5157</v>
      </c>
      <c r="BF5157" s="191" t="s">
        <v>479</v>
      </c>
      <c r="BG5157" s="191" t="s">
        <v>479</v>
      </c>
      <c r="BH5157" s="236" t="s">
        <v>5291</v>
      </c>
      <c r="BI5157" s="191" t="s">
        <v>479</v>
      </c>
      <c r="BJ5157" s="58" t="str">
        <f>IF(BE5157=BH5157,"No","yes")</f>
        <v>yes</v>
      </c>
      <c r="BK5157" s="58" t="s">
        <v>6335</v>
      </c>
      <c r="BL5157" s="58"/>
      <c r="BM5157" s="237"/>
      <c r="BN5157" s="244">
        <v>8</v>
      </c>
      <c r="BO5157" s="244">
        <v>8</v>
      </c>
      <c r="BP5157" s="58"/>
      <c r="BQ5157" s="58"/>
      <c r="BR5157" s="58"/>
      <c r="BS5157" s="58"/>
      <c r="BT5157" s="58"/>
      <c r="BU5157" s="58"/>
      <c r="BV5157" s="58" t="s">
        <v>5845</v>
      </c>
      <c r="BW5157" s="67"/>
      <c r="BX5157" s="67"/>
      <c r="BY5157" s="67"/>
      <c r="BZ5157" s="67"/>
      <c r="CA5157" s="67"/>
      <c r="CB5157" s="70">
        <v>2238</v>
      </c>
      <c r="CC5157" s="70">
        <v>2062</v>
      </c>
      <c r="CD5157" s="70"/>
      <c r="CE5157" s="67"/>
      <c r="CF5157" s="67"/>
      <c r="CG5157" s="67"/>
      <c r="CH5157" s="245"/>
      <c r="CI5157" s="245"/>
      <c r="CJ5157" s="67"/>
      <c r="CK5157" s="67"/>
      <c r="CL5157" s="67"/>
      <c r="CM5157" s="242"/>
      <c r="CN5157" s="242"/>
      <c r="CO5157" s="242"/>
      <c r="CP5157" s="242"/>
      <c r="CQ5157" s="242"/>
      <c r="CR5157" s="242"/>
      <c r="CS5157" s="242"/>
      <c r="CT5157" s="242"/>
      <c r="CU5157" s="242"/>
      <c r="CV5157" s="242"/>
      <c r="CW5157" s="242"/>
      <c r="CX5157" s="242"/>
      <c r="CY5157" s="242"/>
      <c r="CZ5157" s="242"/>
      <c r="DA5157" s="67"/>
      <c r="DB5157" s="67"/>
      <c r="DC5157" s="67"/>
      <c r="DD5157" s="67"/>
      <c r="DE5157" s="67"/>
      <c r="DF5157" s="67"/>
      <c r="DG5157" s="67"/>
      <c r="DH5157" s="67"/>
      <c r="DI5157" s="67"/>
      <c r="DJ5157" s="67"/>
      <c r="DK5157" s="67"/>
      <c r="DL5157" s="67"/>
      <c r="DM5157" s="67"/>
      <c r="DN5157" s="67"/>
      <c r="DO5157" s="67"/>
      <c r="DP5157" s="67"/>
      <c r="DQ5157" s="166"/>
      <c r="DR5157" s="166"/>
      <c r="DS5157" s="163"/>
      <c r="DT5157" s="163"/>
      <c r="DU5157" s="67"/>
      <c r="DV5157" s="67"/>
      <c r="DW5157" s="67"/>
      <c r="DX5157" s="67"/>
      <c r="DY5157" s="67"/>
      <c r="DZ5157" s="67"/>
      <c r="EA5157" s="67"/>
      <c r="EB5157" s="67"/>
      <c r="EC5157" s="67"/>
      <c r="ED5157" s="67"/>
      <c r="EE5157" s="67"/>
      <c r="EF5157" s="67"/>
      <c r="EG5157" s="67"/>
      <c r="EH5157" s="67"/>
      <c r="EI5157" s="67"/>
      <c r="EJ5157" s="67"/>
      <c r="EK5157" s="94"/>
      <c r="EL5157" s="94"/>
      <c r="EM5157" s="67"/>
      <c r="EN5157" s="67"/>
      <c r="EO5157" s="67"/>
      <c r="EP5157" s="67"/>
      <c r="EQ5157" s="67"/>
      <c r="ER5157" s="67"/>
      <c r="ES5157" s="67"/>
      <c r="ET5157" s="67"/>
      <c r="EU5157" s="67"/>
      <c r="EV5157" s="67"/>
      <c r="EW5157" s="67"/>
      <c r="EX5157" s="67"/>
      <c r="EY5157" s="67"/>
      <c r="EZ5157" s="67"/>
      <c r="FA5157" s="67"/>
      <c r="FB5157" s="67"/>
      <c r="FC5157" s="67"/>
      <c r="FD5157" s="67"/>
      <c r="FE5157" s="67"/>
      <c r="FF5157" s="67"/>
      <c r="FG5157" s="67"/>
      <c r="FH5157" s="67"/>
      <c r="FI5157" s="67"/>
      <c r="FJ5157" s="67"/>
      <c r="FK5157" s="67"/>
      <c r="FL5157" s="67"/>
      <c r="FM5157" s="67"/>
      <c r="FN5157" s="67"/>
      <c r="FO5157" s="67"/>
      <c r="FP5157" s="67"/>
      <c r="FQ5157" s="67"/>
      <c r="FR5157" s="67"/>
      <c r="FS5157" s="67"/>
      <c r="FT5157" s="67"/>
      <c r="FU5157" s="67"/>
      <c r="FV5157" s="67"/>
      <c r="FW5157" s="67"/>
      <c r="FX5157" s="67"/>
      <c r="FY5157" s="67"/>
      <c r="FZ5157" s="67"/>
      <c r="GA5157" s="67"/>
      <c r="GB5157" s="67"/>
      <c r="GC5157" s="67"/>
      <c r="GD5157" s="67"/>
      <c r="GE5157" s="67"/>
      <c r="GF5157" s="67"/>
      <c r="GG5157" s="67"/>
      <c r="GH5157" s="67"/>
      <c r="GI5157" s="67"/>
      <c r="GJ5157" s="67"/>
      <c r="GK5157" s="67"/>
      <c r="GL5157" s="67"/>
      <c r="GM5157" s="67"/>
      <c r="GN5157" s="292"/>
      <c r="GO5157" s="292"/>
      <c r="GP5157" s="292" t="s">
        <v>7494</v>
      </c>
      <c r="GQ5157" s="67"/>
      <c r="GR5157" s="67"/>
      <c r="GS5157" s="67"/>
      <c r="GT5157" s="67"/>
      <c r="GU5157" s="67"/>
      <c r="GV5157" s="67"/>
      <c r="GW5157" s="67"/>
      <c r="GX5157" s="67"/>
      <c r="GY5157" s="67"/>
      <c r="GZ5157" s="67"/>
      <c r="HA5157" s="67"/>
      <c r="HB5157" s="67"/>
      <c r="HC5157" s="67"/>
      <c r="HD5157" s="67"/>
      <c r="HE5157" s="67"/>
      <c r="HF5157" s="67"/>
      <c r="HG5157" s="67"/>
      <c r="HH5157" s="67"/>
      <c r="HI5157" s="67"/>
      <c r="HJ5157" s="67"/>
      <c r="HK5157" s="67"/>
      <c r="HL5157" s="67"/>
      <c r="HM5157" s="67"/>
      <c r="HN5157" s="67"/>
      <c r="HO5157" s="67"/>
      <c r="HP5157" s="67"/>
      <c r="HQ5157" s="67"/>
      <c r="HR5157" s="67"/>
      <c r="HS5157" s="67"/>
      <c r="HT5157" s="67"/>
      <c r="HU5157" s="67"/>
      <c r="HV5157" s="67"/>
      <c r="HW5157" s="67"/>
      <c r="HX5157" s="67"/>
      <c r="HY5157" s="67"/>
      <c r="HZ5157" s="67"/>
      <c r="IA5157" s="67"/>
      <c r="IB5157" s="67"/>
      <c r="IC5157" s="67"/>
      <c r="ID5157" s="67"/>
      <c r="IE5157" s="67"/>
      <c r="IF5157" s="67"/>
      <c r="IG5157" s="67"/>
      <c r="IH5157" s="67"/>
      <c r="II5157" s="67"/>
      <c r="IJ5157" s="67"/>
      <c r="IK5157" s="67"/>
      <c r="IL5157" s="67"/>
      <c r="IM5157" s="67"/>
      <c r="IN5157" s="67"/>
      <c r="IO5157" s="67"/>
      <c r="IP5157" s="67"/>
      <c r="IQ5157" s="67"/>
      <c r="IR5157" s="67"/>
      <c r="IS5157" s="67"/>
      <c r="IT5157" s="67"/>
      <c r="IU5157" s="67"/>
      <c r="IV5157" s="67"/>
      <c r="IW5157" s="67"/>
      <c r="IX5157" s="67"/>
      <c r="IY5157" s="67"/>
      <c r="IZ5157" s="67"/>
      <c r="JA5157" s="67"/>
      <c r="JB5157" s="67"/>
      <c r="JC5157" s="67"/>
      <c r="JD5157" s="67"/>
      <c r="JE5157" s="67"/>
      <c r="JF5157" s="67"/>
      <c r="JG5157" s="67"/>
      <c r="JH5157" s="67"/>
      <c r="JI5157" s="67"/>
      <c r="JJ5157" s="67"/>
      <c r="JK5157" s="67"/>
      <c r="JL5157" s="67"/>
      <c r="JM5157" s="67"/>
      <c r="JN5157" s="67"/>
      <c r="JO5157" s="67"/>
      <c r="JP5157" s="67"/>
      <c r="JQ5157" s="67"/>
      <c r="JR5157" s="67"/>
      <c r="JS5157" s="67"/>
      <c r="JT5157" s="67"/>
      <c r="JU5157" s="58"/>
      <c r="JV5157" s="58"/>
      <c r="JW5157" s="58"/>
    </row>
    <row r="5158" spans="1:283" s="23" customFormat="1" x14ac:dyDescent="0.25">
      <c r="A5158" s="55">
        <v>5157</v>
      </c>
      <c r="B5158" s="12" t="s">
        <v>7067</v>
      </c>
      <c r="C5158" s="156">
        <v>275</v>
      </c>
      <c r="D5158" s="58" t="s">
        <v>5043</v>
      </c>
      <c r="E5158" s="160" t="str">
        <f>G5158</f>
        <v>Teasdale et al. 2007_total horizon_pair 1</v>
      </c>
      <c r="F5158" s="160"/>
      <c r="G5158" s="60" t="s">
        <v>4685</v>
      </c>
      <c r="H5158" s="58">
        <v>2007</v>
      </c>
      <c r="I5158" s="58" t="s">
        <v>2847</v>
      </c>
      <c r="J5158" s="243" t="s">
        <v>282</v>
      </c>
      <c r="K5158" s="63" t="s">
        <v>5071</v>
      </c>
      <c r="L5158" s="58" t="s">
        <v>2737</v>
      </c>
      <c r="M5158" s="94">
        <v>39.03</v>
      </c>
      <c r="N5158" s="94">
        <v>-76.91</v>
      </c>
      <c r="O5158" s="94">
        <v>37</v>
      </c>
      <c r="P5158" s="58"/>
      <c r="Q5158" s="244">
        <v>12.800000000000002</v>
      </c>
      <c r="R5158" s="58"/>
      <c r="S5158" s="245">
        <v>1110</v>
      </c>
      <c r="T5158" s="58"/>
      <c r="U5158" s="58" t="s">
        <v>1816</v>
      </c>
      <c r="V5158" s="244">
        <v>9</v>
      </c>
      <c r="W5158" s="174"/>
      <c r="X5158" s="174"/>
      <c r="Y5158" s="58" t="s">
        <v>5471</v>
      </c>
      <c r="Z5158" s="244" t="s">
        <v>1347</v>
      </c>
      <c r="AA5158" s="245">
        <v>10</v>
      </c>
      <c r="AB5158" s="67"/>
      <c r="AC5158" s="67"/>
      <c r="AD5158" s="94"/>
      <c r="AE5158" s="94"/>
      <c r="AF5158" s="94"/>
      <c r="AG5158" s="245"/>
      <c r="AH5158" s="58" t="s">
        <v>139</v>
      </c>
      <c r="AI5158" s="169"/>
      <c r="AJ5158" s="94"/>
      <c r="AK5158" s="94"/>
      <c r="AL5158" s="58"/>
      <c r="AM5158" s="58" t="s">
        <v>1291</v>
      </c>
      <c r="AN5158" s="186"/>
      <c r="AO5158" s="185" t="s">
        <v>7494</v>
      </c>
      <c r="AP5158" s="58"/>
      <c r="AQ5158" s="58"/>
      <c r="AR5158" s="58"/>
      <c r="AS5158" s="246" t="s">
        <v>5133</v>
      </c>
      <c r="AT5158" s="247">
        <v>0</v>
      </c>
      <c r="AU5158" s="181" t="s">
        <v>7494</v>
      </c>
      <c r="AV5158" s="185" t="s">
        <v>176</v>
      </c>
      <c r="AW5158" s="244">
        <v>1</v>
      </c>
      <c r="AX5158" s="185" t="s">
        <v>176</v>
      </c>
      <c r="AY5158" s="244" t="s">
        <v>5150</v>
      </c>
      <c r="AZ5158" s="58"/>
      <c r="BA5158" s="58"/>
      <c r="BB5158" s="58"/>
      <c r="BC5158" s="58"/>
      <c r="BD5158" s="58"/>
      <c r="BE5158" s="236" t="s">
        <v>5222</v>
      </c>
      <c r="BF5158" s="191" t="s">
        <v>479</v>
      </c>
      <c r="BG5158" s="191" t="s">
        <v>479</v>
      </c>
      <c r="BH5158" s="236" t="s">
        <v>5292</v>
      </c>
      <c r="BI5158" s="191" t="s">
        <v>479</v>
      </c>
      <c r="BJ5158" s="58" t="str">
        <f>IF(BE5158=BH5158,"No","yes")</f>
        <v>yes</v>
      </c>
      <c r="BK5158" s="58" t="s">
        <v>6335</v>
      </c>
      <c r="BL5158" s="58"/>
      <c r="BM5158" s="237"/>
      <c r="BN5158" s="244">
        <v>8</v>
      </c>
      <c r="BO5158" s="244">
        <v>8</v>
      </c>
      <c r="BP5158" s="58"/>
      <c r="BQ5158" s="58"/>
      <c r="BR5158" s="58"/>
      <c r="BS5158" s="58"/>
      <c r="BT5158" s="58"/>
      <c r="BU5158" s="58"/>
      <c r="BV5158" s="58"/>
      <c r="BW5158" s="67"/>
      <c r="BX5158" s="67"/>
      <c r="BY5158" s="67"/>
      <c r="BZ5158" s="67"/>
      <c r="CA5158" s="67"/>
      <c r="CB5158" s="70"/>
      <c r="CC5158" s="70"/>
      <c r="CD5158" s="70"/>
      <c r="CE5158" s="67"/>
      <c r="CF5158" s="67"/>
      <c r="CG5158" s="67"/>
      <c r="CH5158" s="245"/>
      <c r="CI5158" s="245"/>
      <c r="CJ5158" s="67"/>
      <c r="CK5158" s="67"/>
      <c r="CL5158" s="67"/>
      <c r="CM5158" s="242">
        <v>1.55</v>
      </c>
      <c r="CN5158" s="242">
        <v>1.73</v>
      </c>
      <c r="CO5158" s="242"/>
      <c r="CP5158" s="242"/>
      <c r="CQ5158" s="242"/>
      <c r="CR5158" s="242"/>
      <c r="CS5158" s="242"/>
      <c r="CT5158" s="242"/>
      <c r="CU5158" s="242"/>
      <c r="CV5158" s="242"/>
      <c r="CW5158" s="242"/>
      <c r="CX5158" s="242"/>
      <c r="CY5158" s="242"/>
      <c r="CZ5158" s="242"/>
      <c r="DA5158" s="67"/>
      <c r="DB5158" s="67">
        <v>1.29</v>
      </c>
      <c r="DC5158" s="67">
        <v>1.43</v>
      </c>
      <c r="DD5158" s="67"/>
      <c r="DE5158" s="67"/>
      <c r="DF5158" s="67"/>
      <c r="DG5158" s="67"/>
      <c r="DH5158" s="67"/>
      <c r="DI5158" s="67"/>
      <c r="DJ5158" s="67"/>
      <c r="DK5158" s="67"/>
      <c r="DL5158" s="67"/>
      <c r="DM5158" s="67"/>
      <c r="DN5158" s="67"/>
      <c r="DO5158" s="67"/>
      <c r="DP5158" s="67"/>
      <c r="DQ5158" s="166"/>
      <c r="DR5158" s="166"/>
      <c r="DS5158" s="163"/>
      <c r="DT5158" s="163"/>
      <c r="DU5158" s="67"/>
      <c r="DV5158" s="67"/>
      <c r="DW5158" s="67"/>
      <c r="DX5158" s="67"/>
      <c r="DY5158" s="67"/>
      <c r="DZ5158" s="67"/>
      <c r="EA5158" s="67"/>
      <c r="EB5158" s="67"/>
      <c r="EC5158" s="67"/>
      <c r="ED5158" s="67"/>
      <c r="EE5158" s="67"/>
      <c r="EF5158" s="67"/>
      <c r="EG5158" s="67"/>
      <c r="EH5158" s="67"/>
      <c r="EI5158" s="67"/>
      <c r="EJ5158" s="67"/>
      <c r="EK5158" s="94"/>
      <c r="EL5158" s="94"/>
      <c r="EM5158" s="67"/>
      <c r="EN5158" s="67"/>
      <c r="EO5158" s="67"/>
      <c r="EP5158" s="67"/>
      <c r="EQ5158" s="67"/>
      <c r="ER5158" s="67"/>
      <c r="ES5158" s="67"/>
      <c r="ET5158" s="67"/>
      <c r="EU5158" s="67"/>
      <c r="EV5158" s="67"/>
      <c r="EW5158" s="67"/>
      <c r="EX5158" s="67"/>
      <c r="EY5158" s="67"/>
      <c r="EZ5158" s="67"/>
      <c r="FA5158" s="67"/>
      <c r="FB5158" s="67"/>
      <c r="FC5158" s="67"/>
      <c r="FD5158" s="67"/>
      <c r="FE5158" s="67"/>
      <c r="FF5158" s="67"/>
      <c r="FG5158" s="67"/>
      <c r="FH5158" s="67"/>
      <c r="FI5158" s="67"/>
      <c r="FJ5158" s="67"/>
      <c r="FK5158" s="67"/>
      <c r="FL5158" s="67"/>
      <c r="FM5158" s="67"/>
      <c r="FN5158" s="67"/>
      <c r="FO5158" s="67"/>
      <c r="FP5158" s="67"/>
      <c r="FQ5158" s="67"/>
      <c r="FR5158" s="67"/>
      <c r="FS5158" s="67"/>
      <c r="FT5158" s="67"/>
      <c r="FU5158" s="67"/>
      <c r="FV5158" s="67"/>
      <c r="FW5158" s="67"/>
      <c r="FX5158" s="67"/>
      <c r="FY5158" s="67"/>
      <c r="FZ5158" s="67"/>
      <c r="GA5158" s="67"/>
      <c r="GB5158" s="67"/>
      <c r="GC5158" s="67"/>
      <c r="GD5158" s="67"/>
      <c r="GE5158" s="67"/>
      <c r="GF5158" s="67"/>
      <c r="GG5158" s="67"/>
      <c r="GH5158" s="67"/>
      <c r="GI5158" s="67"/>
      <c r="GJ5158" s="67"/>
      <c r="GK5158" s="67"/>
      <c r="GL5158" s="67"/>
      <c r="GM5158" s="67"/>
      <c r="GN5158" s="292">
        <v>54</v>
      </c>
      <c r="GO5158" s="292">
        <v>79</v>
      </c>
      <c r="GP5158" s="292" t="s">
        <v>5150</v>
      </c>
      <c r="GQ5158" s="67"/>
      <c r="GR5158" s="67"/>
      <c r="GS5158" s="67"/>
      <c r="GT5158" s="67"/>
      <c r="GU5158" s="67"/>
      <c r="GV5158" s="67"/>
      <c r="GW5158" s="67"/>
      <c r="GX5158" s="67"/>
      <c r="GY5158" s="67"/>
      <c r="GZ5158" s="67"/>
      <c r="HA5158" s="67"/>
      <c r="HB5158" s="67"/>
      <c r="HC5158" s="67"/>
      <c r="HD5158" s="67"/>
      <c r="HE5158" s="67"/>
      <c r="HF5158" s="67"/>
      <c r="HG5158" s="67"/>
      <c r="HH5158" s="67"/>
      <c r="HI5158" s="67"/>
      <c r="HJ5158" s="67"/>
      <c r="HK5158" s="67"/>
      <c r="HL5158" s="67"/>
      <c r="HM5158" s="67"/>
      <c r="HN5158" s="67"/>
      <c r="HO5158" s="67"/>
      <c r="HP5158" s="67"/>
      <c r="HQ5158" s="67"/>
      <c r="HR5158" s="67"/>
      <c r="HS5158" s="67"/>
      <c r="HT5158" s="67"/>
      <c r="HU5158" s="67"/>
      <c r="HV5158" s="67"/>
      <c r="HW5158" s="67"/>
      <c r="HX5158" s="67"/>
      <c r="HY5158" s="67"/>
      <c r="HZ5158" s="67"/>
      <c r="IA5158" s="67"/>
      <c r="IB5158" s="67"/>
      <c r="IC5158" s="67"/>
      <c r="ID5158" s="67"/>
      <c r="IE5158" s="67"/>
      <c r="IF5158" s="67"/>
      <c r="IG5158" s="67"/>
      <c r="IH5158" s="67"/>
      <c r="II5158" s="67"/>
      <c r="IJ5158" s="67"/>
      <c r="IK5158" s="67"/>
      <c r="IL5158" s="67"/>
      <c r="IM5158" s="67"/>
      <c r="IN5158" s="67"/>
      <c r="IO5158" s="67"/>
      <c r="IP5158" s="67"/>
      <c r="IQ5158" s="67"/>
      <c r="IR5158" s="67"/>
      <c r="IS5158" s="67"/>
      <c r="IT5158" s="67"/>
      <c r="IU5158" s="67"/>
      <c r="IV5158" s="67"/>
      <c r="IW5158" s="67"/>
      <c r="IX5158" s="67"/>
      <c r="IY5158" s="67"/>
      <c r="IZ5158" s="67"/>
      <c r="JA5158" s="67"/>
      <c r="JB5158" s="67"/>
      <c r="JC5158" s="67"/>
      <c r="JD5158" s="67"/>
      <c r="JE5158" s="67"/>
      <c r="JF5158" s="67"/>
      <c r="JG5158" s="67"/>
      <c r="JH5158" s="67"/>
      <c r="JI5158" s="67"/>
      <c r="JJ5158" s="67"/>
      <c r="JK5158" s="67"/>
      <c r="JL5158" s="67"/>
      <c r="JM5158" s="67"/>
      <c r="JN5158" s="67"/>
      <c r="JO5158" s="67"/>
      <c r="JP5158" s="67"/>
      <c r="JQ5158" s="67"/>
      <c r="JR5158" s="67"/>
      <c r="JS5158" s="67"/>
      <c r="JT5158" s="67"/>
      <c r="JU5158" s="58"/>
      <c r="JV5158" s="58"/>
      <c r="JW5158" s="58"/>
    </row>
    <row r="5159" spans="1:283" s="23" customFormat="1" x14ac:dyDescent="0.25">
      <c r="A5159" s="55">
        <v>5158</v>
      </c>
      <c r="B5159" s="12" t="s">
        <v>7067</v>
      </c>
      <c r="C5159" s="156">
        <v>275</v>
      </c>
      <c r="D5159" s="58" t="s">
        <v>5044</v>
      </c>
      <c r="E5159" s="160" t="str">
        <f>G5159</f>
        <v>Teasdale et al. 2007_total horizon_pair 2</v>
      </c>
      <c r="F5159" s="160"/>
      <c r="G5159" s="60" t="s">
        <v>4684</v>
      </c>
      <c r="H5159" s="58">
        <v>2007</v>
      </c>
      <c r="I5159" s="58" t="s">
        <v>2847</v>
      </c>
      <c r="J5159" s="243" t="s">
        <v>282</v>
      </c>
      <c r="K5159" s="63" t="s">
        <v>5071</v>
      </c>
      <c r="L5159" s="58" t="s">
        <v>2737</v>
      </c>
      <c r="M5159" s="94">
        <v>39.03</v>
      </c>
      <c r="N5159" s="94">
        <v>-76.91</v>
      </c>
      <c r="O5159" s="94">
        <v>37</v>
      </c>
      <c r="P5159" s="58"/>
      <c r="Q5159" s="244">
        <v>12.800000000000002</v>
      </c>
      <c r="R5159" s="58"/>
      <c r="S5159" s="245">
        <v>1110</v>
      </c>
      <c r="T5159" s="58"/>
      <c r="U5159" s="58" t="s">
        <v>1816</v>
      </c>
      <c r="V5159" s="244">
        <v>9</v>
      </c>
      <c r="W5159" s="174"/>
      <c r="X5159" s="174"/>
      <c r="Y5159" s="58" t="s">
        <v>5471</v>
      </c>
      <c r="Z5159" s="244" t="s">
        <v>1347</v>
      </c>
      <c r="AA5159" s="245">
        <v>10</v>
      </c>
      <c r="AB5159" s="67"/>
      <c r="AC5159" s="67"/>
      <c r="AD5159" s="94"/>
      <c r="AE5159" s="94"/>
      <c r="AF5159" s="94"/>
      <c r="AG5159" s="245"/>
      <c r="AH5159" s="58" t="s">
        <v>139</v>
      </c>
      <c r="AI5159" s="169"/>
      <c r="AJ5159" s="94"/>
      <c r="AK5159" s="94"/>
      <c r="AL5159" s="58"/>
      <c r="AM5159" s="58" t="s">
        <v>1291</v>
      </c>
      <c r="AN5159" s="186"/>
      <c r="AO5159" s="185" t="s">
        <v>7494</v>
      </c>
      <c r="AP5159" s="58"/>
      <c r="AQ5159" s="58"/>
      <c r="AR5159" s="58"/>
      <c r="AS5159" s="246" t="s">
        <v>5133</v>
      </c>
      <c r="AT5159" s="247">
        <v>0</v>
      </c>
      <c r="AU5159" s="181" t="s">
        <v>7494</v>
      </c>
      <c r="AV5159" s="185" t="s">
        <v>176</v>
      </c>
      <c r="AW5159" s="244">
        <v>1</v>
      </c>
      <c r="AX5159" s="185" t="s">
        <v>176</v>
      </c>
      <c r="AY5159" s="244" t="s">
        <v>5150</v>
      </c>
      <c r="AZ5159" s="58"/>
      <c r="BA5159" s="58"/>
      <c r="BB5159" s="58"/>
      <c r="BC5159" s="58"/>
      <c r="BD5159" s="58"/>
      <c r="BE5159" s="236" t="s">
        <v>5223</v>
      </c>
      <c r="BF5159" s="191" t="s">
        <v>479</v>
      </c>
      <c r="BG5159" s="191" t="s">
        <v>479</v>
      </c>
      <c r="BH5159" s="236" t="s">
        <v>5292</v>
      </c>
      <c r="BI5159" s="191" t="s">
        <v>479</v>
      </c>
      <c r="BJ5159" s="58" t="str">
        <f>IF(BE5159=BH5159,"No","yes")</f>
        <v>yes</v>
      </c>
      <c r="BK5159" s="58" t="s">
        <v>6335</v>
      </c>
      <c r="BL5159" s="58"/>
      <c r="BM5159" s="237"/>
      <c r="BN5159" s="244">
        <v>8</v>
      </c>
      <c r="BO5159" s="244">
        <v>8</v>
      </c>
      <c r="BP5159" s="58"/>
      <c r="BQ5159" s="58"/>
      <c r="BR5159" s="58"/>
      <c r="BS5159" s="58"/>
      <c r="BT5159" s="58"/>
      <c r="BU5159" s="58"/>
      <c r="BV5159" s="58"/>
      <c r="BW5159" s="67"/>
      <c r="BX5159" s="67"/>
      <c r="BY5159" s="67"/>
      <c r="BZ5159" s="67"/>
      <c r="CA5159" s="67"/>
      <c r="CB5159" s="70"/>
      <c r="CC5159" s="70"/>
      <c r="CD5159" s="70"/>
      <c r="CE5159" s="67"/>
      <c r="CF5159" s="67"/>
      <c r="CG5159" s="67"/>
      <c r="CH5159" s="245"/>
      <c r="CI5159" s="245"/>
      <c r="CJ5159" s="67"/>
      <c r="CK5159" s="67"/>
      <c r="CL5159" s="67"/>
      <c r="CM5159" s="242">
        <v>1.55</v>
      </c>
      <c r="CN5159" s="242">
        <v>1.44</v>
      </c>
      <c r="CO5159" s="242"/>
      <c r="CP5159" s="242"/>
      <c r="CQ5159" s="242"/>
      <c r="CR5159" s="242"/>
      <c r="CS5159" s="242"/>
      <c r="CT5159" s="242"/>
      <c r="CU5159" s="242"/>
      <c r="CV5159" s="242"/>
      <c r="CW5159" s="242"/>
      <c r="CX5159" s="242"/>
      <c r="CY5159" s="242"/>
      <c r="CZ5159" s="242"/>
      <c r="DA5159" s="67"/>
      <c r="DB5159" s="67">
        <v>1.29</v>
      </c>
      <c r="DC5159" s="67">
        <v>1.22</v>
      </c>
      <c r="DD5159" s="67"/>
      <c r="DE5159" s="67"/>
      <c r="DF5159" s="67"/>
      <c r="DG5159" s="67"/>
      <c r="DH5159" s="67"/>
      <c r="DI5159" s="67"/>
      <c r="DJ5159" s="67"/>
      <c r="DK5159" s="67"/>
      <c r="DL5159" s="67"/>
      <c r="DM5159" s="67"/>
      <c r="DN5159" s="67"/>
      <c r="DO5159" s="67"/>
      <c r="DP5159" s="67"/>
      <c r="DQ5159" s="166"/>
      <c r="DR5159" s="166"/>
      <c r="DS5159" s="163"/>
      <c r="DT5159" s="163"/>
      <c r="DU5159" s="67"/>
      <c r="DV5159" s="67"/>
      <c r="DW5159" s="67"/>
      <c r="DX5159" s="67"/>
      <c r="DY5159" s="67"/>
      <c r="DZ5159" s="67"/>
      <c r="EA5159" s="67"/>
      <c r="EB5159" s="67"/>
      <c r="EC5159" s="67"/>
      <c r="ED5159" s="67"/>
      <c r="EE5159" s="67"/>
      <c r="EF5159" s="67"/>
      <c r="EG5159" s="67"/>
      <c r="EH5159" s="67"/>
      <c r="EI5159" s="67"/>
      <c r="EJ5159" s="67"/>
      <c r="EK5159" s="94"/>
      <c r="EL5159" s="94"/>
      <c r="EM5159" s="67"/>
      <c r="EN5159" s="67"/>
      <c r="EO5159" s="67"/>
      <c r="EP5159" s="67"/>
      <c r="EQ5159" s="67"/>
      <c r="ER5159" s="67"/>
      <c r="ES5159" s="67"/>
      <c r="ET5159" s="67"/>
      <c r="EU5159" s="67"/>
      <c r="EV5159" s="67"/>
      <c r="EW5159" s="67"/>
      <c r="EX5159" s="67"/>
      <c r="EY5159" s="67"/>
      <c r="EZ5159" s="67"/>
      <c r="FA5159" s="67"/>
      <c r="FB5159" s="67"/>
      <c r="FC5159" s="67"/>
      <c r="FD5159" s="67"/>
      <c r="FE5159" s="67"/>
      <c r="FF5159" s="67"/>
      <c r="FG5159" s="67"/>
      <c r="FH5159" s="67"/>
      <c r="FI5159" s="67"/>
      <c r="FJ5159" s="67"/>
      <c r="FK5159" s="67"/>
      <c r="FL5159" s="67"/>
      <c r="FM5159" s="67"/>
      <c r="FN5159" s="67"/>
      <c r="FO5159" s="67"/>
      <c r="FP5159" s="67"/>
      <c r="FQ5159" s="67"/>
      <c r="FR5159" s="67"/>
      <c r="FS5159" s="67"/>
      <c r="FT5159" s="67"/>
      <c r="FU5159" s="67"/>
      <c r="FV5159" s="67"/>
      <c r="FW5159" s="67"/>
      <c r="FX5159" s="67"/>
      <c r="FY5159" s="67"/>
      <c r="FZ5159" s="67"/>
      <c r="GA5159" s="67"/>
      <c r="GB5159" s="67"/>
      <c r="GC5159" s="67"/>
      <c r="GD5159" s="67"/>
      <c r="GE5159" s="67"/>
      <c r="GF5159" s="67"/>
      <c r="GG5159" s="67"/>
      <c r="GH5159" s="67"/>
      <c r="GI5159" s="67"/>
      <c r="GJ5159" s="67"/>
      <c r="GK5159" s="67"/>
      <c r="GL5159" s="67"/>
      <c r="GM5159" s="67"/>
      <c r="GN5159" s="292">
        <v>54</v>
      </c>
      <c r="GO5159" s="292">
        <v>83</v>
      </c>
      <c r="GP5159" s="292" t="s">
        <v>5150</v>
      </c>
      <c r="GQ5159" s="67"/>
      <c r="GR5159" s="67"/>
      <c r="GS5159" s="67"/>
      <c r="GT5159" s="67"/>
      <c r="GU5159" s="67"/>
      <c r="GV5159" s="67"/>
      <c r="GW5159" s="67"/>
      <c r="GX5159" s="67"/>
      <c r="GY5159" s="67"/>
      <c r="GZ5159" s="67"/>
      <c r="HA5159" s="67"/>
      <c r="HB5159" s="67"/>
      <c r="HC5159" s="67"/>
      <c r="HD5159" s="67"/>
      <c r="HE5159" s="67"/>
      <c r="HF5159" s="67"/>
      <c r="HG5159" s="67"/>
      <c r="HH5159" s="67"/>
      <c r="HI5159" s="67"/>
      <c r="HJ5159" s="67"/>
      <c r="HK5159" s="67"/>
      <c r="HL5159" s="67"/>
      <c r="HM5159" s="67"/>
      <c r="HN5159" s="67"/>
      <c r="HO5159" s="67"/>
      <c r="HP5159" s="67"/>
      <c r="HQ5159" s="67"/>
      <c r="HR5159" s="67"/>
      <c r="HS5159" s="67"/>
      <c r="HT5159" s="67"/>
      <c r="HU5159" s="67"/>
      <c r="HV5159" s="67"/>
      <c r="HW5159" s="67"/>
      <c r="HX5159" s="67"/>
      <c r="HY5159" s="67"/>
      <c r="HZ5159" s="67"/>
      <c r="IA5159" s="67"/>
      <c r="IB5159" s="67"/>
      <c r="IC5159" s="67"/>
      <c r="ID5159" s="67"/>
      <c r="IE5159" s="67"/>
      <c r="IF5159" s="67"/>
      <c r="IG5159" s="67"/>
      <c r="IH5159" s="67"/>
      <c r="II5159" s="67"/>
      <c r="IJ5159" s="67"/>
      <c r="IK5159" s="67"/>
      <c r="IL5159" s="67"/>
      <c r="IM5159" s="67"/>
      <c r="IN5159" s="67"/>
      <c r="IO5159" s="67"/>
      <c r="IP5159" s="67"/>
      <c r="IQ5159" s="67"/>
      <c r="IR5159" s="67"/>
      <c r="IS5159" s="67"/>
      <c r="IT5159" s="67"/>
      <c r="IU5159" s="67"/>
      <c r="IV5159" s="67"/>
      <c r="IW5159" s="67"/>
      <c r="IX5159" s="67"/>
      <c r="IY5159" s="67"/>
      <c r="IZ5159" s="67"/>
      <c r="JA5159" s="67"/>
      <c r="JB5159" s="67"/>
      <c r="JC5159" s="67"/>
      <c r="JD5159" s="67"/>
      <c r="JE5159" s="67"/>
      <c r="JF5159" s="67"/>
      <c r="JG5159" s="67"/>
      <c r="JH5159" s="67"/>
      <c r="JI5159" s="67"/>
      <c r="JJ5159" s="67"/>
      <c r="JK5159" s="67"/>
      <c r="JL5159" s="67"/>
      <c r="JM5159" s="67"/>
      <c r="JN5159" s="67"/>
      <c r="JO5159" s="67"/>
      <c r="JP5159" s="67"/>
      <c r="JQ5159" s="67"/>
      <c r="JR5159" s="67"/>
      <c r="JS5159" s="67"/>
      <c r="JT5159" s="67"/>
      <c r="JU5159" s="58"/>
      <c r="JV5159" s="58"/>
      <c r="JW5159" s="58"/>
    </row>
    <row r="5160" spans="1:283" s="23" customFormat="1" x14ac:dyDescent="0.25">
      <c r="A5160" s="55">
        <v>5159</v>
      </c>
      <c r="B5160" s="12" t="s">
        <v>7067</v>
      </c>
      <c r="C5160" s="156">
        <v>275</v>
      </c>
      <c r="D5160" s="58" t="s">
        <v>5045</v>
      </c>
      <c r="E5160" s="160" t="str">
        <f>G5160</f>
        <v>Teasdale et al. 2007_total horizon_pair 3</v>
      </c>
      <c r="F5160" s="160"/>
      <c r="G5160" s="60" t="s">
        <v>4683</v>
      </c>
      <c r="H5160" s="58">
        <v>2007</v>
      </c>
      <c r="I5160" s="58" t="s">
        <v>2847</v>
      </c>
      <c r="J5160" s="243" t="s">
        <v>282</v>
      </c>
      <c r="K5160" s="63" t="s">
        <v>5071</v>
      </c>
      <c r="L5160" s="58" t="s">
        <v>2737</v>
      </c>
      <c r="M5160" s="94">
        <v>39.03</v>
      </c>
      <c r="N5160" s="94">
        <v>-76.91</v>
      </c>
      <c r="O5160" s="94">
        <v>37</v>
      </c>
      <c r="P5160" s="58"/>
      <c r="Q5160" s="244">
        <v>12.800000000000002</v>
      </c>
      <c r="R5160" s="58"/>
      <c r="S5160" s="245">
        <v>1110</v>
      </c>
      <c r="T5160" s="58"/>
      <c r="U5160" s="58" t="s">
        <v>1816</v>
      </c>
      <c r="V5160" s="244">
        <v>9</v>
      </c>
      <c r="W5160" s="174"/>
      <c r="X5160" s="174"/>
      <c r="Y5160" s="58" t="s">
        <v>5471</v>
      </c>
      <c r="Z5160" s="244" t="s">
        <v>1347</v>
      </c>
      <c r="AA5160" s="245">
        <v>10</v>
      </c>
      <c r="AB5160" s="67"/>
      <c r="AC5160" s="67"/>
      <c r="AD5160" s="94"/>
      <c r="AE5160" s="94"/>
      <c r="AF5160" s="94"/>
      <c r="AG5160" s="245"/>
      <c r="AH5160" s="58" t="s">
        <v>139</v>
      </c>
      <c r="AI5160" s="169"/>
      <c r="AJ5160" s="94"/>
      <c r="AK5160" s="94"/>
      <c r="AL5160" s="58"/>
      <c r="AM5160" s="58" t="s">
        <v>1291</v>
      </c>
      <c r="AN5160" s="186"/>
      <c r="AO5160" s="185" t="s">
        <v>7494</v>
      </c>
      <c r="AP5160" s="58"/>
      <c r="AQ5160" s="58"/>
      <c r="AR5160" s="58"/>
      <c r="AS5160" s="246" t="s">
        <v>5133</v>
      </c>
      <c r="AT5160" s="247">
        <v>0</v>
      </c>
      <c r="AU5160" s="181" t="s">
        <v>7494</v>
      </c>
      <c r="AV5160" s="185" t="s">
        <v>176</v>
      </c>
      <c r="AW5160" s="244">
        <v>1</v>
      </c>
      <c r="AX5160" s="185" t="s">
        <v>176</v>
      </c>
      <c r="AY5160" s="244" t="s">
        <v>5150</v>
      </c>
      <c r="AZ5160" s="58"/>
      <c r="BA5160" s="58"/>
      <c r="BB5160" s="58"/>
      <c r="BC5160" s="58"/>
      <c r="BD5160" s="58"/>
      <c r="BE5160" s="236" t="s">
        <v>5222</v>
      </c>
      <c r="BF5160" s="191" t="s">
        <v>479</v>
      </c>
      <c r="BG5160" s="191" t="s">
        <v>479</v>
      </c>
      <c r="BH5160" s="236" t="s">
        <v>5292</v>
      </c>
      <c r="BI5160" s="191" t="s">
        <v>479</v>
      </c>
      <c r="BJ5160" s="58" t="str">
        <f>IF(BE5160=BH5160,"No","yes")</f>
        <v>yes</v>
      </c>
      <c r="BK5160" s="58" t="s">
        <v>6335</v>
      </c>
      <c r="BL5160" s="58"/>
      <c r="BM5160" s="237"/>
      <c r="BN5160" s="244">
        <v>8</v>
      </c>
      <c r="BO5160" s="244">
        <v>8</v>
      </c>
      <c r="BP5160" s="58"/>
      <c r="BQ5160" s="58"/>
      <c r="BR5160" s="58"/>
      <c r="BS5160" s="58"/>
      <c r="BT5160" s="58"/>
      <c r="BU5160" s="58"/>
      <c r="BV5160" s="58"/>
      <c r="BW5160" s="67"/>
      <c r="BX5160" s="67"/>
      <c r="BY5160" s="67"/>
      <c r="BZ5160" s="67"/>
      <c r="CA5160" s="67"/>
      <c r="CB5160" s="70"/>
      <c r="CC5160" s="70"/>
      <c r="CD5160" s="70"/>
      <c r="CE5160" s="67"/>
      <c r="CF5160" s="67"/>
      <c r="CG5160" s="67"/>
      <c r="CH5160" s="245"/>
      <c r="CI5160" s="245"/>
      <c r="CJ5160" s="67"/>
      <c r="CK5160" s="67"/>
      <c r="CL5160" s="67"/>
      <c r="CM5160" s="242">
        <v>1.55</v>
      </c>
      <c r="CN5160" s="242">
        <v>1.92</v>
      </c>
      <c r="CO5160" s="242"/>
      <c r="CP5160" s="242"/>
      <c r="CQ5160" s="242"/>
      <c r="CR5160" s="242"/>
      <c r="CS5160" s="242"/>
      <c r="CT5160" s="242"/>
      <c r="CU5160" s="242"/>
      <c r="CV5160" s="242"/>
      <c r="CW5160" s="242"/>
      <c r="CX5160" s="242"/>
      <c r="CY5160" s="242"/>
      <c r="CZ5160" s="242"/>
      <c r="DA5160" s="67"/>
      <c r="DB5160" s="67">
        <v>1.29</v>
      </c>
      <c r="DC5160" s="67">
        <v>1.59</v>
      </c>
      <c r="DD5160" s="67"/>
      <c r="DE5160" s="67"/>
      <c r="DF5160" s="67"/>
      <c r="DG5160" s="67"/>
      <c r="DH5160" s="67"/>
      <c r="DI5160" s="67"/>
      <c r="DJ5160" s="67"/>
      <c r="DK5160" s="67"/>
      <c r="DL5160" s="67"/>
      <c r="DM5160" s="67"/>
      <c r="DN5160" s="67"/>
      <c r="DO5160" s="67"/>
      <c r="DP5160" s="67"/>
      <c r="DQ5160" s="166"/>
      <c r="DR5160" s="166"/>
      <c r="DS5160" s="163"/>
      <c r="DT5160" s="163"/>
      <c r="DU5160" s="67"/>
      <c r="DV5160" s="67"/>
      <c r="DW5160" s="67"/>
      <c r="DX5160" s="67"/>
      <c r="DY5160" s="67"/>
      <c r="DZ5160" s="67"/>
      <c r="EA5160" s="67"/>
      <c r="EB5160" s="67"/>
      <c r="EC5160" s="67"/>
      <c r="ED5160" s="67"/>
      <c r="EE5160" s="67"/>
      <c r="EF5160" s="67"/>
      <c r="EG5160" s="67"/>
      <c r="EH5160" s="67"/>
      <c r="EI5160" s="67"/>
      <c r="EJ5160" s="67"/>
      <c r="EK5160" s="94"/>
      <c r="EL5160" s="94"/>
      <c r="EM5160" s="67"/>
      <c r="EN5160" s="67"/>
      <c r="EO5160" s="67"/>
      <c r="EP5160" s="67"/>
      <c r="EQ5160" s="67"/>
      <c r="ER5160" s="67"/>
      <c r="ES5160" s="67"/>
      <c r="ET5160" s="67"/>
      <c r="EU5160" s="67"/>
      <c r="EV5160" s="67"/>
      <c r="EW5160" s="67"/>
      <c r="EX5160" s="67"/>
      <c r="EY5160" s="67"/>
      <c r="EZ5160" s="67"/>
      <c r="FA5160" s="67"/>
      <c r="FB5160" s="67"/>
      <c r="FC5160" s="67"/>
      <c r="FD5160" s="67"/>
      <c r="FE5160" s="67"/>
      <c r="FF5160" s="67"/>
      <c r="FG5160" s="67"/>
      <c r="FH5160" s="67"/>
      <c r="FI5160" s="67"/>
      <c r="FJ5160" s="67"/>
      <c r="FK5160" s="67"/>
      <c r="FL5160" s="67"/>
      <c r="FM5160" s="67"/>
      <c r="FN5160" s="67"/>
      <c r="FO5160" s="67"/>
      <c r="FP5160" s="67"/>
      <c r="FQ5160" s="67"/>
      <c r="FR5160" s="67"/>
      <c r="FS5160" s="67"/>
      <c r="FT5160" s="67"/>
      <c r="FU5160" s="67"/>
      <c r="FV5160" s="67"/>
      <c r="FW5160" s="67"/>
      <c r="FX5160" s="67"/>
      <c r="FY5160" s="67"/>
      <c r="FZ5160" s="67"/>
      <c r="GA5160" s="67"/>
      <c r="GB5160" s="67"/>
      <c r="GC5160" s="67"/>
      <c r="GD5160" s="67"/>
      <c r="GE5160" s="67"/>
      <c r="GF5160" s="67"/>
      <c r="GG5160" s="67"/>
      <c r="GH5160" s="67"/>
      <c r="GI5160" s="67"/>
      <c r="GJ5160" s="67"/>
      <c r="GK5160" s="67"/>
      <c r="GL5160" s="67"/>
      <c r="GM5160" s="67"/>
      <c r="GN5160" s="292">
        <v>54</v>
      </c>
      <c r="GO5160" s="292">
        <v>93</v>
      </c>
      <c r="GP5160" s="292" t="s">
        <v>5150</v>
      </c>
      <c r="GQ5160" s="67"/>
      <c r="GR5160" s="67"/>
      <c r="GS5160" s="67"/>
      <c r="GT5160" s="67"/>
      <c r="GU5160" s="67"/>
      <c r="GV5160" s="67"/>
      <c r="GW5160" s="67"/>
      <c r="GX5160" s="67"/>
      <c r="GY5160" s="67"/>
      <c r="GZ5160" s="67"/>
      <c r="HA5160" s="67"/>
      <c r="HB5160" s="67"/>
      <c r="HC5160" s="67"/>
      <c r="HD5160" s="67"/>
      <c r="HE5160" s="67"/>
      <c r="HF5160" s="67"/>
      <c r="HG5160" s="67"/>
      <c r="HH5160" s="67"/>
      <c r="HI5160" s="67"/>
      <c r="HJ5160" s="67"/>
      <c r="HK5160" s="67"/>
      <c r="HL5160" s="67"/>
      <c r="HM5160" s="67"/>
      <c r="HN5160" s="67"/>
      <c r="HO5160" s="67"/>
      <c r="HP5160" s="67"/>
      <c r="HQ5160" s="67"/>
      <c r="HR5160" s="67"/>
      <c r="HS5160" s="67"/>
      <c r="HT5160" s="67"/>
      <c r="HU5160" s="67"/>
      <c r="HV5160" s="67"/>
      <c r="HW5160" s="67"/>
      <c r="HX5160" s="67"/>
      <c r="HY5160" s="67"/>
      <c r="HZ5160" s="67"/>
      <c r="IA5160" s="67"/>
      <c r="IB5160" s="67"/>
      <c r="IC5160" s="67"/>
      <c r="ID5160" s="67"/>
      <c r="IE5160" s="67"/>
      <c r="IF5160" s="67"/>
      <c r="IG5160" s="67"/>
      <c r="IH5160" s="67"/>
      <c r="II5160" s="67"/>
      <c r="IJ5160" s="67"/>
      <c r="IK5160" s="67"/>
      <c r="IL5160" s="67"/>
      <c r="IM5160" s="67"/>
      <c r="IN5160" s="67"/>
      <c r="IO5160" s="67"/>
      <c r="IP5160" s="67"/>
      <c r="IQ5160" s="67"/>
      <c r="IR5160" s="67"/>
      <c r="IS5160" s="67"/>
      <c r="IT5160" s="67"/>
      <c r="IU5160" s="67"/>
      <c r="IV5160" s="67"/>
      <c r="IW5160" s="67"/>
      <c r="IX5160" s="67"/>
      <c r="IY5160" s="67"/>
      <c r="IZ5160" s="67"/>
      <c r="JA5160" s="67"/>
      <c r="JB5160" s="67"/>
      <c r="JC5160" s="67"/>
      <c r="JD5160" s="67"/>
      <c r="JE5160" s="67"/>
      <c r="JF5160" s="67"/>
      <c r="JG5160" s="67"/>
      <c r="JH5160" s="67"/>
      <c r="JI5160" s="67"/>
      <c r="JJ5160" s="67"/>
      <c r="JK5160" s="67"/>
      <c r="JL5160" s="67"/>
      <c r="JM5160" s="67"/>
      <c r="JN5160" s="67"/>
      <c r="JO5160" s="67"/>
      <c r="JP5160" s="67"/>
      <c r="JQ5160" s="67"/>
      <c r="JR5160" s="67"/>
      <c r="JS5160" s="67"/>
      <c r="JT5160" s="67"/>
      <c r="JU5160" s="58"/>
      <c r="JV5160" s="58"/>
      <c r="JW5160" s="58"/>
    </row>
    <row r="5161" spans="1:283" s="23" customFormat="1" x14ac:dyDescent="0.25">
      <c r="A5161" s="55">
        <v>5160</v>
      </c>
      <c r="B5161" s="12" t="s">
        <v>7067</v>
      </c>
      <c r="C5161" s="156">
        <v>275</v>
      </c>
      <c r="D5161" s="58" t="s">
        <v>5043</v>
      </c>
      <c r="E5161" s="160" t="str">
        <f>G5161</f>
        <v>Teasdale et al. 2007_total horizon_pair 1</v>
      </c>
      <c r="F5161" s="160"/>
      <c r="G5161" s="60" t="s">
        <v>4685</v>
      </c>
      <c r="H5161" s="58">
        <v>2007</v>
      </c>
      <c r="I5161" s="58" t="s">
        <v>2847</v>
      </c>
      <c r="J5161" s="243" t="s">
        <v>282</v>
      </c>
      <c r="K5161" s="63" t="s">
        <v>5071</v>
      </c>
      <c r="L5161" s="58" t="s">
        <v>2737</v>
      </c>
      <c r="M5161" s="94">
        <v>39.03</v>
      </c>
      <c r="N5161" s="94">
        <v>-76.91</v>
      </c>
      <c r="O5161" s="94">
        <v>37</v>
      </c>
      <c r="P5161" s="58"/>
      <c r="Q5161" s="244">
        <v>12.800000000000002</v>
      </c>
      <c r="R5161" s="58"/>
      <c r="S5161" s="245">
        <v>1110</v>
      </c>
      <c r="T5161" s="58"/>
      <c r="U5161" s="58" t="s">
        <v>1816</v>
      </c>
      <c r="V5161" s="244">
        <v>9</v>
      </c>
      <c r="W5161" s="174"/>
      <c r="X5161" s="174"/>
      <c r="Y5161" s="58" t="s">
        <v>5471</v>
      </c>
      <c r="Z5161" s="244" t="s">
        <v>1347</v>
      </c>
      <c r="AA5161" s="245">
        <v>10</v>
      </c>
      <c r="AB5161" s="67"/>
      <c r="AC5161" s="67"/>
      <c r="AD5161" s="94"/>
      <c r="AE5161" s="94"/>
      <c r="AF5161" s="94"/>
      <c r="AG5161" s="245"/>
      <c r="AH5161" s="58" t="s">
        <v>139</v>
      </c>
      <c r="AI5161" s="169"/>
      <c r="AJ5161" s="94"/>
      <c r="AK5161" s="94"/>
      <c r="AL5161" s="58"/>
      <c r="AM5161" s="58" t="s">
        <v>1291</v>
      </c>
      <c r="AN5161" s="186"/>
      <c r="AO5161" s="185" t="s">
        <v>7494</v>
      </c>
      <c r="AP5161" s="58"/>
      <c r="AQ5161" s="58"/>
      <c r="AR5161" s="58"/>
      <c r="AS5161" s="246" t="s">
        <v>5133</v>
      </c>
      <c r="AT5161" s="247">
        <v>0</v>
      </c>
      <c r="AU5161" s="181" t="s">
        <v>7494</v>
      </c>
      <c r="AV5161" s="185" t="s">
        <v>176</v>
      </c>
      <c r="AW5161" s="244">
        <v>1</v>
      </c>
      <c r="AX5161" s="185" t="s">
        <v>176</v>
      </c>
      <c r="AY5161" s="244" t="s">
        <v>5150</v>
      </c>
      <c r="AZ5161" s="58"/>
      <c r="BA5161" s="58"/>
      <c r="BB5161" s="58"/>
      <c r="BC5161" s="58"/>
      <c r="BD5161" s="58"/>
      <c r="BE5161" s="236" t="s">
        <v>5222</v>
      </c>
      <c r="BF5161" s="191" t="s">
        <v>479</v>
      </c>
      <c r="BG5161" s="191" t="s">
        <v>479</v>
      </c>
      <c r="BH5161" s="236" t="s">
        <v>5292</v>
      </c>
      <c r="BI5161" s="191" t="s">
        <v>479</v>
      </c>
      <c r="BJ5161" s="58" t="str">
        <f>IF(BE5161=BH5161,"No","yes")</f>
        <v>yes</v>
      </c>
      <c r="BK5161" s="58" t="s">
        <v>6335</v>
      </c>
      <c r="BL5161" s="58"/>
      <c r="BM5161" s="237"/>
      <c r="BN5161" s="244">
        <v>8</v>
      </c>
      <c r="BO5161" s="244">
        <v>8</v>
      </c>
      <c r="BP5161" s="58"/>
      <c r="BQ5161" s="58"/>
      <c r="BR5161" s="58"/>
      <c r="BS5161" s="58"/>
      <c r="BT5161" s="58"/>
      <c r="BU5161" s="58"/>
      <c r="BV5161" s="58"/>
      <c r="BW5161" s="67"/>
      <c r="BX5161" s="67"/>
      <c r="BY5161" s="67"/>
      <c r="BZ5161" s="67"/>
      <c r="CA5161" s="67"/>
      <c r="CB5161" s="70"/>
      <c r="CC5161" s="70"/>
      <c r="CD5161" s="70"/>
      <c r="CE5161" s="67"/>
      <c r="CF5161" s="67"/>
      <c r="CG5161" s="67"/>
      <c r="CH5161" s="245"/>
      <c r="CI5161" s="245"/>
      <c r="CJ5161" s="67"/>
      <c r="CK5161" s="67"/>
      <c r="CL5161" s="67"/>
      <c r="CM5161" s="242">
        <v>1.1100000000000001</v>
      </c>
      <c r="CN5161" s="242">
        <v>1.24</v>
      </c>
      <c r="CO5161" s="242"/>
      <c r="CP5161" s="242"/>
      <c r="CQ5161" s="242"/>
      <c r="CR5161" s="242"/>
      <c r="CS5161" s="242"/>
      <c r="CT5161" s="242"/>
      <c r="CU5161" s="242"/>
      <c r="CV5161" s="242"/>
      <c r="CW5161" s="242"/>
      <c r="CX5161" s="242"/>
      <c r="CY5161" s="242"/>
      <c r="CZ5161" s="242"/>
      <c r="DA5161" s="67"/>
      <c r="DB5161" s="67">
        <v>0.93</v>
      </c>
      <c r="DC5161" s="67">
        <v>1.04</v>
      </c>
      <c r="DD5161" s="67"/>
      <c r="DE5161" s="67"/>
      <c r="DF5161" s="67"/>
      <c r="DG5161" s="67"/>
      <c r="DH5161" s="67"/>
      <c r="DI5161" s="67"/>
      <c r="DJ5161" s="67"/>
      <c r="DK5161" s="67"/>
      <c r="DL5161" s="67"/>
      <c r="DM5161" s="67"/>
      <c r="DN5161" s="67"/>
      <c r="DO5161" s="67"/>
      <c r="DP5161" s="67"/>
      <c r="DQ5161" s="166"/>
      <c r="DR5161" s="166"/>
      <c r="DS5161" s="163"/>
      <c r="DT5161" s="163"/>
      <c r="DU5161" s="67"/>
      <c r="DV5161" s="67"/>
      <c r="DW5161" s="67"/>
      <c r="DX5161" s="67"/>
      <c r="DY5161" s="67"/>
      <c r="DZ5161" s="67"/>
      <c r="EA5161" s="67"/>
      <c r="EB5161" s="67"/>
      <c r="EC5161" s="67"/>
      <c r="ED5161" s="67"/>
      <c r="EE5161" s="67"/>
      <c r="EF5161" s="67"/>
      <c r="EG5161" s="67"/>
      <c r="EH5161" s="67"/>
      <c r="EI5161" s="67"/>
      <c r="EJ5161" s="67"/>
      <c r="EK5161" s="94"/>
      <c r="EL5161" s="94"/>
      <c r="EM5161" s="67"/>
      <c r="EN5161" s="67"/>
      <c r="EO5161" s="67"/>
      <c r="EP5161" s="67"/>
      <c r="EQ5161" s="67"/>
      <c r="ER5161" s="67"/>
      <c r="ES5161" s="67"/>
      <c r="ET5161" s="67"/>
      <c r="EU5161" s="67"/>
      <c r="EV5161" s="67"/>
      <c r="EW5161" s="67"/>
      <c r="EX5161" s="67"/>
      <c r="EY5161" s="67"/>
      <c r="EZ5161" s="67"/>
      <c r="FA5161" s="67"/>
      <c r="FB5161" s="67"/>
      <c r="FC5161" s="67"/>
      <c r="FD5161" s="67"/>
      <c r="FE5161" s="67"/>
      <c r="FF5161" s="67"/>
      <c r="FG5161" s="67"/>
      <c r="FH5161" s="67"/>
      <c r="FI5161" s="67"/>
      <c r="FJ5161" s="67"/>
      <c r="FK5161" s="67"/>
      <c r="FL5161" s="67"/>
      <c r="FM5161" s="67"/>
      <c r="FN5161" s="67"/>
      <c r="FO5161" s="67"/>
      <c r="FP5161" s="67"/>
      <c r="FQ5161" s="67"/>
      <c r="FR5161" s="67"/>
      <c r="FS5161" s="67"/>
      <c r="FT5161" s="67"/>
      <c r="FU5161" s="67"/>
      <c r="FV5161" s="67"/>
      <c r="FW5161" s="67"/>
      <c r="FX5161" s="67"/>
      <c r="FY5161" s="67"/>
      <c r="FZ5161" s="67"/>
      <c r="GA5161" s="67"/>
      <c r="GB5161" s="67"/>
      <c r="GC5161" s="67"/>
      <c r="GD5161" s="67"/>
      <c r="GE5161" s="67"/>
      <c r="GF5161" s="67"/>
      <c r="GG5161" s="67"/>
      <c r="GH5161" s="67"/>
      <c r="GI5161" s="67"/>
      <c r="GJ5161" s="67"/>
      <c r="GK5161" s="67"/>
      <c r="GL5161" s="67"/>
      <c r="GM5161" s="67"/>
      <c r="GN5161" s="292">
        <v>87</v>
      </c>
      <c r="GO5161" s="292">
        <v>88</v>
      </c>
      <c r="GP5161" s="292" t="s">
        <v>5150</v>
      </c>
      <c r="GQ5161" s="67"/>
      <c r="GR5161" s="67"/>
      <c r="GS5161" s="67"/>
      <c r="GT5161" s="67"/>
      <c r="GU5161" s="67"/>
      <c r="GV5161" s="67"/>
      <c r="GW5161" s="67"/>
      <c r="GX5161" s="67"/>
      <c r="GY5161" s="67"/>
      <c r="GZ5161" s="67"/>
      <c r="HA5161" s="67"/>
      <c r="HB5161" s="67"/>
      <c r="HC5161" s="67"/>
      <c r="HD5161" s="67"/>
      <c r="HE5161" s="67"/>
      <c r="HF5161" s="67"/>
      <c r="HG5161" s="67"/>
      <c r="HH5161" s="67"/>
      <c r="HI5161" s="67"/>
      <c r="HJ5161" s="67"/>
      <c r="HK5161" s="67"/>
      <c r="HL5161" s="67"/>
      <c r="HM5161" s="67"/>
      <c r="HN5161" s="67"/>
      <c r="HO5161" s="67"/>
      <c r="HP5161" s="67"/>
      <c r="HQ5161" s="67"/>
      <c r="HR5161" s="67"/>
      <c r="HS5161" s="67"/>
      <c r="HT5161" s="67"/>
      <c r="HU5161" s="67"/>
      <c r="HV5161" s="67"/>
      <c r="HW5161" s="67"/>
      <c r="HX5161" s="67"/>
      <c r="HY5161" s="67"/>
      <c r="HZ5161" s="67"/>
      <c r="IA5161" s="67"/>
      <c r="IB5161" s="67"/>
      <c r="IC5161" s="67"/>
      <c r="ID5161" s="67"/>
      <c r="IE5161" s="67"/>
      <c r="IF5161" s="67"/>
      <c r="IG5161" s="67"/>
      <c r="IH5161" s="67"/>
      <c r="II5161" s="67"/>
      <c r="IJ5161" s="67"/>
      <c r="IK5161" s="67"/>
      <c r="IL5161" s="67"/>
      <c r="IM5161" s="67"/>
      <c r="IN5161" s="67"/>
      <c r="IO5161" s="67"/>
      <c r="IP5161" s="67"/>
      <c r="IQ5161" s="67"/>
      <c r="IR5161" s="67"/>
      <c r="IS5161" s="67"/>
      <c r="IT5161" s="67"/>
      <c r="IU5161" s="67"/>
      <c r="IV5161" s="67"/>
      <c r="IW5161" s="67"/>
      <c r="IX5161" s="67"/>
      <c r="IY5161" s="67"/>
      <c r="IZ5161" s="67"/>
      <c r="JA5161" s="67"/>
      <c r="JB5161" s="67"/>
      <c r="JC5161" s="67"/>
      <c r="JD5161" s="67"/>
      <c r="JE5161" s="67"/>
      <c r="JF5161" s="67"/>
      <c r="JG5161" s="67"/>
      <c r="JH5161" s="67"/>
      <c r="JI5161" s="67"/>
      <c r="JJ5161" s="67"/>
      <c r="JK5161" s="67"/>
      <c r="JL5161" s="67"/>
      <c r="JM5161" s="67"/>
      <c r="JN5161" s="67"/>
      <c r="JO5161" s="67"/>
      <c r="JP5161" s="67"/>
      <c r="JQ5161" s="67"/>
      <c r="JR5161" s="67"/>
      <c r="JS5161" s="67"/>
      <c r="JT5161" s="67"/>
      <c r="JU5161" s="58"/>
      <c r="JV5161" s="58"/>
      <c r="JW5161" s="58"/>
    </row>
    <row r="5162" spans="1:283" s="23" customFormat="1" x14ac:dyDescent="0.25">
      <c r="A5162" s="55">
        <v>5161</v>
      </c>
      <c r="B5162" s="12" t="s">
        <v>7067</v>
      </c>
      <c r="C5162" s="156">
        <v>275</v>
      </c>
      <c r="D5162" s="58" t="s">
        <v>5044</v>
      </c>
      <c r="E5162" s="160" t="str">
        <f>G5162</f>
        <v>Teasdale et al. 2007_total horizon_pair 2</v>
      </c>
      <c r="F5162" s="160"/>
      <c r="G5162" s="60" t="s">
        <v>4684</v>
      </c>
      <c r="H5162" s="58">
        <v>2007</v>
      </c>
      <c r="I5162" s="58" t="s">
        <v>2847</v>
      </c>
      <c r="J5162" s="243" t="s">
        <v>282</v>
      </c>
      <c r="K5162" s="63" t="s">
        <v>5071</v>
      </c>
      <c r="L5162" s="58" t="s">
        <v>2737</v>
      </c>
      <c r="M5162" s="94">
        <v>39.03</v>
      </c>
      <c r="N5162" s="94">
        <v>-76.91</v>
      </c>
      <c r="O5162" s="94">
        <v>37</v>
      </c>
      <c r="P5162" s="58"/>
      <c r="Q5162" s="244">
        <v>12.800000000000002</v>
      </c>
      <c r="R5162" s="58"/>
      <c r="S5162" s="245">
        <v>1110</v>
      </c>
      <c r="T5162" s="58"/>
      <c r="U5162" s="58" t="s">
        <v>1816</v>
      </c>
      <c r="V5162" s="244">
        <v>9</v>
      </c>
      <c r="W5162" s="174"/>
      <c r="X5162" s="174"/>
      <c r="Y5162" s="58" t="s">
        <v>5471</v>
      </c>
      <c r="Z5162" s="244" t="s">
        <v>1347</v>
      </c>
      <c r="AA5162" s="245">
        <v>10</v>
      </c>
      <c r="AB5162" s="67"/>
      <c r="AC5162" s="67"/>
      <c r="AD5162" s="94"/>
      <c r="AE5162" s="94"/>
      <c r="AF5162" s="94"/>
      <c r="AG5162" s="245"/>
      <c r="AH5162" s="58" t="s">
        <v>139</v>
      </c>
      <c r="AI5162" s="169"/>
      <c r="AJ5162" s="94"/>
      <c r="AK5162" s="94"/>
      <c r="AL5162" s="58"/>
      <c r="AM5162" s="58" t="s">
        <v>1291</v>
      </c>
      <c r="AN5162" s="186"/>
      <c r="AO5162" s="185" t="s">
        <v>7494</v>
      </c>
      <c r="AP5162" s="58"/>
      <c r="AQ5162" s="58"/>
      <c r="AR5162" s="58"/>
      <c r="AS5162" s="246" t="s">
        <v>5133</v>
      </c>
      <c r="AT5162" s="247">
        <v>0</v>
      </c>
      <c r="AU5162" s="181" t="s">
        <v>7494</v>
      </c>
      <c r="AV5162" s="185" t="s">
        <v>176</v>
      </c>
      <c r="AW5162" s="244">
        <v>1</v>
      </c>
      <c r="AX5162" s="185" t="s">
        <v>176</v>
      </c>
      <c r="AY5162" s="244" t="s">
        <v>5150</v>
      </c>
      <c r="AZ5162" s="58"/>
      <c r="BA5162" s="58"/>
      <c r="BB5162" s="58"/>
      <c r="BC5162" s="58"/>
      <c r="BD5162" s="58"/>
      <c r="BE5162" s="236" t="s">
        <v>5223</v>
      </c>
      <c r="BF5162" s="191" t="s">
        <v>479</v>
      </c>
      <c r="BG5162" s="191" t="s">
        <v>479</v>
      </c>
      <c r="BH5162" s="236" t="s">
        <v>5292</v>
      </c>
      <c r="BI5162" s="191" t="s">
        <v>479</v>
      </c>
      <c r="BJ5162" s="58" t="str">
        <f>IF(BE5162=BH5162,"No","yes")</f>
        <v>yes</v>
      </c>
      <c r="BK5162" s="58" t="s">
        <v>6335</v>
      </c>
      <c r="BL5162" s="58"/>
      <c r="BM5162" s="237"/>
      <c r="BN5162" s="244">
        <v>8</v>
      </c>
      <c r="BO5162" s="244">
        <v>8</v>
      </c>
      <c r="BP5162" s="58"/>
      <c r="BQ5162" s="58"/>
      <c r="BR5162" s="58"/>
      <c r="BS5162" s="58"/>
      <c r="BT5162" s="58"/>
      <c r="BU5162" s="58"/>
      <c r="BV5162" s="58"/>
      <c r="BW5162" s="67"/>
      <c r="BX5162" s="67"/>
      <c r="BY5162" s="67"/>
      <c r="BZ5162" s="67"/>
      <c r="CA5162" s="67"/>
      <c r="CB5162" s="70"/>
      <c r="CC5162" s="70"/>
      <c r="CD5162" s="70"/>
      <c r="CE5162" s="67"/>
      <c r="CF5162" s="67"/>
      <c r="CG5162" s="67"/>
      <c r="CH5162" s="245"/>
      <c r="CI5162" s="245"/>
      <c r="CJ5162" s="67"/>
      <c r="CK5162" s="67"/>
      <c r="CL5162" s="67"/>
      <c r="CM5162" s="242">
        <v>1.1100000000000001</v>
      </c>
      <c r="CN5162" s="242">
        <v>1.1100000000000001</v>
      </c>
      <c r="CO5162" s="242"/>
      <c r="CP5162" s="242"/>
      <c r="CQ5162" s="242"/>
      <c r="CR5162" s="242"/>
      <c r="CS5162" s="242"/>
      <c r="CT5162" s="242"/>
      <c r="CU5162" s="242"/>
      <c r="CV5162" s="242"/>
      <c r="CW5162" s="242"/>
      <c r="CX5162" s="242"/>
      <c r="CY5162" s="242"/>
      <c r="CZ5162" s="242"/>
      <c r="DA5162" s="67"/>
      <c r="DB5162" s="67">
        <v>0.93</v>
      </c>
      <c r="DC5162" s="67">
        <v>0.98</v>
      </c>
      <c r="DD5162" s="67"/>
      <c r="DE5162" s="67"/>
      <c r="DF5162" s="67"/>
      <c r="DG5162" s="67"/>
      <c r="DH5162" s="67"/>
      <c r="DI5162" s="67"/>
      <c r="DJ5162" s="67"/>
      <c r="DK5162" s="67"/>
      <c r="DL5162" s="67"/>
      <c r="DM5162" s="67"/>
      <c r="DN5162" s="67"/>
      <c r="DO5162" s="67"/>
      <c r="DP5162" s="67"/>
      <c r="DQ5162" s="166"/>
      <c r="DR5162" s="166"/>
      <c r="DS5162" s="163"/>
      <c r="DT5162" s="163"/>
      <c r="DU5162" s="67"/>
      <c r="DV5162" s="67"/>
      <c r="DW5162" s="67"/>
      <c r="DX5162" s="67"/>
      <c r="DY5162" s="67"/>
      <c r="DZ5162" s="67"/>
      <c r="EA5162" s="67"/>
      <c r="EB5162" s="67"/>
      <c r="EC5162" s="67"/>
      <c r="ED5162" s="67"/>
      <c r="EE5162" s="67"/>
      <c r="EF5162" s="67"/>
      <c r="EG5162" s="67"/>
      <c r="EH5162" s="67"/>
      <c r="EI5162" s="67"/>
      <c r="EJ5162" s="67"/>
      <c r="EK5162" s="94"/>
      <c r="EL5162" s="94"/>
      <c r="EM5162" s="67"/>
      <c r="EN5162" s="67"/>
      <c r="EO5162" s="67"/>
      <c r="EP5162" s="67"/>
      <c r="EQ5162" s="67"/>
      <c r="ER5162" s="67"/>
      <c r="ES5162" s="67"/>
      <c r="ET5162" s="67"/>
      <c r="EU5162" s="67"/>
      <c r="EV5162" s="67"/>
      <c r="EW5162" s="67"/>
      <c r="EX5162" s="67"/>
      <c r="EY5162" s="67"/>
      <c r="EZ5162" s="67"/>
      <c r="FA5162" s="67"/>
      <c r="FB5162" s="67"/>
      <c r="FC5162" s="67"/>
      <c r="FD5162" s="67"/>
      <c r="FE5162" s="67"/>
      <c r="FF5162" s="67"/>
      <c r="FG5162" s="67"/>
      <c r="FH5162" s="67"/>
      <c r="FI5162" s="67"/>
      <c r="FJ5162" s="67"/>
      <c r="FK5162" s="67"/>
      <c r="FL5162" s="67"/>
      <c r="FM5162" s="67"/>
      <c r="FN5162" s="67"/>
      <c r="FO5162" s="67"/>
      <c r="FP5162" s="67"/>
      <c r="FQ5162" s="67"/>
      <c r="FR5162" s="67"/>
      <c r="FS5162" s="67"/>
      <c r="FT5162" s="67"/>
      <c r="FU5162" s="67"/>
      <c r="FV5162" s="67"/>
      <c r="FW5162" s="67"/>
      <c r="FX5162" s="67"/>
      <c r="FY5162" s="67"/>
      <c r="FZ5162" s="67"/>
      <c r="GA5162" s="67"/>
      <c r="GB5162" s="67"/>
      <c r="GC5162" s="67"/>
      <c r="GD5162" s="67"/>
      <c r="GE5162" s="67"/>
      <c r="GF5162" s="67"/>
      <c r="GG5162" s="67"/>
      <c r="GH5162" s="67"/>
      <c r="GI5162" s="67"/>
      <c r="GJ5162" s="67"/>
      <c r="GK5162" s="67"/>
      <c r="GL5162" s="67"/>
      <c r="GM5162" s="67"/>
      <c r="GN5162" s="292">
        <v>87</v>
      </c>
      <c r="GO5162" s="292">
        <v>84</v>
      </c>
      <c r="GP5162" s="292" t="s">
        <v>5150</v>
      </c>
      <c r="GQ5162" s="67"/>
      <c r="GR5162" s="67"/>
      <c r="GS5162" s="67"/>
      <c r="GT5162" s="67"/>
      <c r="GU5162" s="67"/>
      <c r="GV5162" s="67"/>
      <c r="GW5162" s="67"/>
      <c r="GX5162" s="67"/>
      <c r="GY5162" s="67"/>
      <c r="GZ5162" s="67"/>
      <c r="HA5162" s="67"/>
      <c r="HB5162" s="67"/>
      <c r="HC5162" s="67"/>
      <c r="HD5162" s="67"/>
      <c r="HE5162" s="67"/>
      <c r="HF5162" s="67"/>
      <c r="HG5162" s="67"/>
      <c r="HH5162" s="67"/>
      <c r="HI5162" s="67"/>
      <c r="HJ5162" s="67"/>
      <c r="HK5162" s="67"/>
      <c r="HL5162" s="67"/>
      <c r="HM5162" s="67"/>
      <c r="HN5162" s="67"/>
      <c r="HO5162" s="67"/>
      <c r="HP5162" s="67"/>
      <c r="HQ5162" s="67"/>
      <c r="HR5162" s="67"/>
      <c r="HS5162" s="67"/>
      <c r="HT5162" s="67"/>
      <c r="HU5162" s="67"/>
      <c r="HV5162" s="67"/>
      <c r="HW5162" s="67"/>
      <c r="HX5162" s="67"/>
      <c r="HY5162" s="67"/>
      <c r="HZ5162" s="67"/>
      <c r="IA5162" s="67"/>
      <c r="IB5162" s="67"/>
      <c r="IC5162" s="67"/>
      <c r="ID5162" s="67"/>
      <c r="IE5162" s="67"/>
      <c r="IF5162" s="67"/>
      <c r="IG5162" s="67"/>
      <c r="IH5162" s="67"/>
      <c r="II5162" s="67"/>
      <c r="IJ5162" s="67"/>
      <c r="IK5162" s="67"/>
      <c r="IL5162" s="67"/>
      <c r="IM5162" s="67"/>
      <c r="IN5162" s="67"/>
      <c r="IO5162" s="67"/>
      <c r="IP5162" s="67"/>
      <c r="IQ5162" s="67"/>
      <c r="IR5162" s="67"/>
      <c r="IS5162" s="67"/>
      <c r="IT5162" s="67"/>
      <c r="IU5162" s="67"/>
      <c r="IV5162" s="67"/>
      <c r="IW5162" s="67"/>
      <c r="IX5162" s="67"/>
      <c r="IY5162" s="67"/>
      <c r="IZ5162" s="67"/>
      <c r="JA5162" s="67"/>
      <c r="JB5162" s="67"/>
      <c r="JC5162" s="67"/>
      <c r="JD5162" s="67"/>
      <c r="JE5162" s="67"/>
      <c r="JF5162" s="67"/>
      <c r="JG5162" s="67"/>
      <c r="JH5162" s="67"/>
      <c r="JI5162" s="67"/>
      <c r="JJ5162" s="67"/>
      <c r="JK5162" s="67"/>
      <c r="JL5162" s="67"/>
      <c r="JM5162" s="67"/>
      <c r="JN5162" s="67"/>
      <c r="JO5162" s="67"/>
      <c r="JP5162" s="67"/>
      <c r="JQ5162" s="67"/>
      <c r="JR5162" s="67"/>
      <c r="JS5162" s="67"/>
      <c r="JT5162" s="67"/>
      <c r="JU5162" s="58"/>
      <c r="JV5162" s="58"/>
      <c r="JW5162" s="58"/>
    </row>
    <row r="5163" spans="1:283" s="23" customFormat="1" x14ac:dyDescent="0.25">
      <c r="A5163" s="55">
        <v>5162</v>
      </c>
      <c r="B5163" s="12" t="s">
        <v>7067</v>
      </c>
      <c r="C5163" s="156">
        <v>275</v>
      </c>
      <c r="D5163" s="58" t="s">
        <v>5045</v>
      </c>
      <c r="E5163" s="160" t="str">
        <f>G5163</f>
        <v>Teasdale et al. 2007_total horizon_pair 3</v>
      </c>
      <c r="F5163" s="160"/>
      <c r="G5163" s="60" t="s">
        <v>4683</v>
      </c>
      <c r="H5163" s="58">
        <v>2007</v>
      </c>
      <c r="I5163" s="58" t="s">
        <v>2847</v>
      </c>
      <c r="J5163" s="243" t="s">
        <v>282</v>
      </c>
      <c r="K5163" s="63" t="s">
        <v>5071</v>
      </c>
      <c r="L5163" s="58" t="s">
        <v>2737</v>
      </c>
      <c r="M5163" s="94">
        <v>39.03</v>
      </c>
      <c r="N5163" s="94">
        <v>-76.91</v>
      </c>
      <c r="O5163" s="94">
        <v>37</v>
      </c>
      <c r="P5163" s="58"/>
      <c r="Q5163" s="244">
        <v>12.800000000000002</v>
      </c>
      <c r="R5163" s="58"/>
      <c r="S5163" s="245">
        <v>1110</v>
      </c>
      <c r="T5163" s="58"/>
      <c r="U5163" s="58" t="s">
        <v>1816</v>
      </c>
      <c r="V5163" s="244">
        <v>9</v>
      </c>
      <c r="W5163" s="174"/>
      <c r="X5163" s="174"/>
      <c r="Y5163" s="58" t="s">
        <v>5471</v>
      </c>
      <c r="Z5163" s="244" t="s">
        <v>1347</v>
      </c>
      <c r="AA5163" s="245">
        <v>10</v>
      </c>
      <c r="AB5163" s="67"/>
      <c r="AC5163" s="67"/>
      <c r="AD5163" s="94"/>
      <c r="AE5163" s="94"/>
      <c r="AF5163" s="94"/>
      <c r="AG5163" s="245"/>
      <c r="AH5163" s="58" t="s">
        <v>139</v>
      </c>
      <c r="AI5163" s="169"/>
      <c r="AJ5163" s="94"/>
      <c r="AK5163" s="94"/>
      <c r="AL5163" s="58"/>
      <c r="AM5163" s="58" t="s">
        <v>1291</v>
      </c>
      <c r="AN5163" s="186"/>
      <c r="AO5163" s="185" t="s">
        <v>7494</v>
      </c>
      <c r="AP5163" s="58"/>
      <c r="AQ5163" s="58"/>
      <c r="AR5163" s="58"/>
      <c r="AS5163" s="246" t="s">
        <v>5133</v>
      </c>
      <c r="AT5163" s="247">
        <v>0</v>
      </c>
      <c r="AU5163" s="181" t="s">
        <v>7494</v>
      </c>
      <c r="AV5163" s="185" t="s">
        <v>176</v>
      </c>
      <c r="AW5163" s="244">
        <v>1</v>
      </c>
      <c r="AX5163" s="185" t="s">
        <v>176</v>
      </c>
      <c r="AY5163" s="244" t="s">
        <v>5150</v>
      </c>
      <c r="AZ5163" s="58"/>
      <c r="BA5163" s="58"/>
      <c r="BB5163" s="58"/>
      <c r="BC5163" s="58"/>
      <c r="BD5163" s="58"/>
      <c r="BE5163" s="236" t="s">
        <v>5222</v>
      </c>
      <c r="BF5163" s="191" t="s">
        <v>479</v>
      </c>
      <c r="BG5163" s="191" t="s">
        <v>479</v>
      </c>
      <c r="BH5163" s="236" t="s">
        <v>5292</v>
      </c>
      <c r="BI5163" s="191" t="s">
        <v>479</v>
      </c>
      <c r="BJ5163" s="58" t="str">
        <f>IF(BE5163=BH5163,"No","yes")</f>
        <v>yes</v>
      </c>
      <c r="BK5163" s="58" t="s">
        <v>6335</v>
      </c>
      <c r="BL5163" s="58"/>
      <c r="BM5163" s="237"/>
      <c r="BN5163" s="244">
        <v>8</v>
      </c>
      <c r="BO5163" s="244">
        <v>8</v>
      </c>
      <c r="BP5163" s="58"/>
      <c r="BQ5163" s="58"/>
      <c r="BR5163" s="58"/>
      <c r="BS5163" s="58"/>
      <c r="BT5163" s="58"/>
      <c r="BU5163" s="58"/>
      <c r="BV5163" s="58"/>
      <c r="BW5163" s="67"/>
      <c r="BX5163" s="67"/>
      <c r="BY5163" s="67"/>
      <c r="BZ5163" s="67"/>
      <c r="CA5163" s="67"/>
      <c r="CB5163" s="70"/>
      <c r="CC5163" s="70"/>
      <c r="CD5163" s="70"/>
      <c r="CE5163" s="67"/>
      <c r="CF5163" s="67"/>
      <c r="CG5163" s="67"/>
      <c r="CH5163" s="245"/>
      <c r="CI5163" s="245"/>
      <c r="CJ5163" s="67"/>
      <c r="CK5163" s="67"/>
      <c r="CL5163" s="67"/>
      <c r="CM5163" s="242">
        <v>1.1100000000000001</v>
      </c>
      <c r="CN5163" s="242">
        <v>1.59</v>
      </c>
      <c r="CO5163" s="242"/>
      <c r="CP5163" s="242"/>
      <c r="CQ5163" s="242"/>
      <c r="CR5163" s="242"/>
      <c r="CS5163" s="242"/>
      <c r="CT5163" s="242"/>
      <c r="CU5163" s="242"/>
      <c r="CV5163" s="242"/>
      <c r="CW5163" s="242"/>
      <c r="CX5163" s="242"/>
      <c r="CY5163" s="242"/>
      <c r="CZ5163" s="242"/>
      <c r="DA5163" s="67"/>
      <c r="DB5163" s="67">
        <v>0.93</v>
      </c>
      <c r="DC5163" s="67">
        <v>1.3</v>
      </c>
      <c r="DD5163" s="67"/>
      <c r="DE5163" s="67"/>
      <c r="DF5163" s="67"/>
      <c r="DG5163" s="67"/>
      <c r="DH5163" s="67"/>
      <c r="DI5163" s="67"/>
      <c r="DJ5163" s="67"/>
      <c r="DK5163" s="67"/>
      <c r="DL5163" s="67"/>
      <c r="DM5163" s="67"/>
      <c r="DN5163" s="67"/>
      <c r="DO5163" s="67"/>
      <c r="DP5163" s="67"/>
      <c r="DQ5163" s="166"/>
      <c r="DR5163" s="166"/>
      <c r="DS5163" s="163"/>
      <c r="DT5163" s="163"/>
      <c r="DU5163" s="67"/>
      <c r="DV5163" s="67"/>
      <c r="DW5163" s="67"/>
      <c r="DX5163" s="67"/>
      <c r="DY5163" s="67"/>
      <c r="DZ5163" s="67"/>
      <c r="EA5163" s="67"/>
      <c r="EB5163" s="67"/>
      <c r="EC5163" s="67"/>
      <c r="ED5163" s="67"/>
      <c r="EE5163" s="67"/>
      <c r="EF5163" s="67"/>
      <c r="EG5163" s="67"/>
      <c r="EH5163" s="67"/>
      <c r="EI5163" s="67"/>
      <c r="EJ5163" s="67"/>
      <c r="EK5163" s="94"/>
      <c r="EL5163" s="94"/>
      <c r="EM5163" s="67"/>
      <c r="EN5163" s="67"/>
      <c r="EO5163" s="67"/>
      <c r="EP5163" s="67"/>
      <c r="EQ5163" s="67"/>
      <c r="ER5163" s="67"/>
      <c r="ES5163" s="67"/>
      <c r="ET5163" s="67"/>
      <c r="EU5163" s="67"/>
      <c r="EV5163" s="67"/>
      <c r="EW5163" s="67"/>
      <c r="EX5163" s="67"/>
      <c r="EY5163" s="67"/>
      <c r="EZ5163" s="67"/>
      <c r="FA5163" s="67"/>
      <c r="FB5163" s="67"/>
      <c r="FC5163" s="67"/>
      <c r="FD5163" s="67"/>
      <c r="FE5163" s="67"/>
      <c r="FF5163" s="67"/>
      <c r="FG5163" s="67"/>
      <c r="FH5163" s="67"/>
      <c r="FI5163" s="67"/>
      <c r="FJ5163" s="67"/>
      <c r="FK5163" s="67"/>
      <c r="FL5163" s="67"/>
      <c r="FM5163" s="67"/>
      <c r="FN5163" s="67"/>
      <c r="FO5163" s="67"/>
      <c r="FP5163" s="67"/>
      <c r="FQ5163" s="67"/>
      <c r="FR5163" s="67"/>
      <c r="FS5163" s="67"/>
      <c r="FT5163" s="67"/>
      <c r="FU5163" s="67"/>
      <c r="FV5163" s="67"/>
      <c r="FW5163" s="67"/>
      <c r="FX5163" s="67"/>
      <c r="FY5163" s="67"/>
      <c r="FZ5163" s="67"/>
      <c r="GA5163" s="67"/>
      <c r="GB5163" s="67"/>
      <c r="GC5163" s="67"/>
      <c r="GD5163" s="67"/>
      <c r="GE5163" s="67"/>
      <c r="GF5163" s="67"/>
      <c r="GG5163" s="67"/>
      <c r="GH5163" s="67"/>
      <c r="GI5163" s="67"/>
      <c r="GJ5163" s="67"/>
      <c r="GK5163" s="67"/>
      <c r="GL5163" s="67"/>
      <c r="GM5163" s="67"/>
      <c r="GN5163" s="292">
        <v>87</v>
      </c>
      <c r="GO5163" s="292">
        <v>82</v>
      </c>
      <c r="GP5163" s="292" t="s">
        <v>5150</v>
      </c>
      <c r="GQ5163" s="67"/>
      <c r="GR5163" s="67"/>
      <c r="GS5163" s="67"/>
      <c r="GT5163" s="67"/>
      <c r="GU5163" s="67"/>
      <c r="GV5163" s="67"/>
      <c r="GW5163" s="67"/>
      <c r="GX5163" s="67"/>
      <c r="GY5163" s="67"/>
      <c r="GZ5163" s="67"/>
      <c r="HA5163" s="67"/>
      <c r="HB5163" s="67"/>
      <c r="HC5163" s="67"/>
      <c r="HD5163" s="67"/>
      <c r="HE5163" s="67"/>
      <c r="HF5163" s="67"/>
      <c r="HG5163" s="67"/>
      <c r="HH5163" s="67"/>
      <c r="HI5163" s="67"/>
      <c r="HJ5163" s="67"/>
      <c r="HK5163" s="67"/>
      <c r="HL5163" s="67"/>
      <c r="HM5163" s="67"/>
      <c r="HN5163" s="67"/>
      <c r="HO5163" s="67"/>
      <c r="HP5163" s="67"/>
      <c r="HQ5163" s="67"/>
      <c r="HR5163" s="67"/>
      <c r="HS5163" s="67"/>
      <c r="HT5163" s="67"/>
      <c r="HU5163" s="67"/>
      <c r="HV5163" s="67"/>
      <c r="HW5163" s="67"/>
      <c r="HX5163" s="67"/>
      <c r="HY5163" s="67"/>
      <c r="HZ5163" s="67"/>
      <c r="IA5163" s="67"/>
      <c r="IB5163" s="67"/>
      <c r="IC5163" s="67"/>
      <c r="ID5163" s="67"/>
      <c r="IE5163" s="67"/>
      <c r="IF5163" s="67"/>
      <c r="IG5163" s="67"/>
      <c r="IH5163" s="67"/>
      <c r="II5163" s="67"/>
      <c r="IJ5163" s="67"/>
      <c r="IK5163" s="67"/>
      <c r="IL5163" s="67"/>
      <c r="IM5163" s="67"/>
      <c r="IN5163" s="67"/>
      <c r="IO5163" s="67"/>
      <c r="IP5163" s="67"/>
      <c r="IQ5163" s="67"/>
      <c r="IR5163" s="67"/>
      <c r="IS5163" s="67"/>
      <c r="IT5163" s="67"/>
      <c r="IU5163" s="67"/>
      <c r="IV5163" s="67"/>
      <c r="IW5163" s="67"/>
      <c r="IX5163" s="67"/>
      <c r="IY5163" s="67"/>
      <c r="IZ5163" s="67"/>
      <c r="JA5163" s="67"/>
      <c r="JB5163" s="67"/>
      <c r="JC5163" s="67"/>
      <c r="JD5163" s="67"/>
      <c r="JE5163" s="67"/>
      <c r="JF5163" s="67"/>
      <c r="JG5163" s="67"/>
      <c r="JH5163" s="67"/>
      <c r="JI5163" s="67"/>
      <c r="JJ5163" s="67"/>
      <c r="JK5163" s="67"/>
      <c r="JL5163" s="67"/>
      <c r="JM5163" s="67"/>
      <c r="JN5163" s="67"/>
      <c r="JO5163" s="67"/>
      <c r="JP5163" s="67"/>
      <c r="JQ5163" s="67"/>
      <c r="JR5163" s="67"/>
      <c r="JS5163" s="67"/>
      <c r="JT5163" s="67"/>
      <c r="JU5163" s="58"/>
      <c r="JV5163" s="58"/>
      <c r="JW5163" s="58"/>
    </row>
    <row r="5164" spans="1:283" s="23" customFormat="1" x14ac:dyDescent="0.25">
      <c r="A5164" s="55">
        <v>5163</v>
      </c>
      <c r="B5164" s="12" t="s">
        <v>7067</v>
      </c>
      <c r="C5164" s="156">
        <v>275</v>
      </c>
      <c r="D5164" s="58" t="s">
        <v>5043</v>
      </c>
      <c r="E5164" s="160" t="str">
        <f>G5164</f>
        <v>Teasdale et al. 2007_total horizon_pair 1</v>
      </c>
      <c r="F5164" s="160"/>
      <c r="G5164" s="60" t="s">
        <v>4685</v>
      </c>
      <c r="H5164" s="58">
        <v>2007</v>
      </c>
      <c r="I5164" s="58" t="s">
        <v>2847</v>
      </c>
      <c r="J5164" s="243" t="s">
        <v>282</v>
      </c>
      <c r="K5164" s="63" t="s">
        <v>5071</v>
      </c>
      <c r="L5164" s="58" t="s">
        <v>2737</v>
      </c>
      <c r="M5164" s="94">
        <v>39.03</v>
      </c>
      <c r="N5164" s="94">
        <v>-76.91</v>
      </c>
      <c r="O5164" s="94">
        <v>37</v>
      </c>
      <c r="P5164" s="58"/>
      <c r="Q5164" s="244">
        <v>12.800000000000002</v>
      </c>
      <c r="R5164" s="58"/>
      <c r="S5164" s="245">
        <v>1110</v>
      </c>
      <c r="T5164" s="58"/>
      <c r="U5164" s="58" t="s">
        <v>1816</v>
      </c>
      <c r="V5164" s="244">
        <v>9</v>
      </c>
      <c r="W5164" s="174"/>
      <c r="X5164" s="174"/>
      <c r="Y5164" s="58" t="s">
        <v>5471</v>
      </c>
      <c r="Z5164" s="244" t="s">
        <v>1347</v>
      </c>
      <c r="AA5164" s="245">
        <v>10</v>
      </c>
      <c r="AB5164" s="67"/>
      <c r="AC5164" s="67"/>
      <c r="AD5164" s="94"/>
      <c r="AE5164" s="94"/>
      <c r="AF5164" s="94"/>
      <c r="AG5164" s="245"/>
      <c r="AH5164" s="58" t="s">
        <v>139</v>
      </c>
      <c r="AI5164" s="169"/>
      <c r="AJ5164" s="94"/>
      <c r="AK5164" s="94"/>
      <c r="AL5164" s="58"/>
      <c r="AM5164" s="58" t="s">
        <v>1291</v>
      </c>
      <c r="AN5164" s="186"/>
      <c r="AO5164" s="185" t="s">
        <v>7494</v>
      </c>
      <c r="AP5164" s="58"/>
      <c r="AQ5164" s="58"/>
      <c r="AR5164" s="58"/>
      <c r="AS5164" s="246" t="s">
        <v>5133</v>
      </c>
      <c r="AT5164" s="247">
        <v>0</v>
      </c>
      <c r="AU5164" s="181" t="s">
        <v>7494</v>
      </c>
      <c r="AV5164" s="185" t="s">
        <v>176</v>
      </c>
      <c r="AW5164" s="244">
        <v>1</v>
      </c>
      <c r="AX5164" s="185" t="s">
        <v>176</v>
      </c>
      <c r="AY5164" s="244" t="s">
        <v>5150</v>
      </c>
      <c r="AZ5164" s="58"/>
      <c r="BA5164" s="58"/>
      <c r="BB5164" s="58"/>
      <c r="BC5164" s="58"/>
      <c r="BD5164" s="58"/>
      <c r="BE5164" s="236" t="s">
        <v>5222</v>
      </c>
      <c r="BF5164" s="191" t="s">
        <v>479</v>
      </c>
      <c r="BG5164" s="191" t="s">
        <v>479</v>
      </c>
      <c r="BH5164" s="236" t="s">
        <v>5292</v>
      </c>
      <c r="BI5164" s="191" t="s">
        <v>479</v>
      </c>
      <c r="BJ5164" s="58" t="str">
        <f>IF(BE5164=BH5164,"No","yes")</f>
        <v>yes</v>
      </c>
      <c r="BK5164" s="58" t="s">
        <v>6335</v>
      </c>
      <c r="BL5164" s="58"/>
      <c r="BM5164" s="237"/>
      <c r="BN5164" s="244">
        <v>8</v>
      </c>
      <c r="BO5164" s="244">
        <v>8</v>
      </c>
      <c r="BP5164" s="58"/>
      <c r="BQ5164" s="58"/>
      <c r="BR5164" s="58"/>
      <c r="BS5164" s="58"/>
      <c r="BT5164" s="58"/>
      <c r="BU5164" s="58"/>
      <c r="BV5164" s="58"/>
      <c r="BW5164" s="67"/>
      <c r="BX5164" s="67"/>
      <c r="BY5164" s="67"/>
      <c r="BZ5164" s="67"/>
      <c r="CA5164" s="67"/>
      <c r="CB5164" s="70"/>
      <c r="CC5164" s="70"/>
      <c r="CD5164" s="70"/>
      <c r="CE5164" s="67"/>
      <c r="CF5164" s="67"/>
      <c r="CG5164" s="67"/>
      <c r="CH5164" s="245"/>
      <c r="CI5164" s="245"/>
      <c r="CJ5164" s="67"/>
      <c r="CK5164" s="67"/>
      <c r="CL5164" s="67"/>
      <c r="CM5164" s="242">
        <v>0.71</v>
      </c>
      <c r="CN5164" s="242">
        <v>0.78</v>
      </c>
      <c r="CO5164" s="242"/>
      <c r="CP5164" s="242"/>
      <c r="CQ5164" s="242"/>
      <c r="CR5164" s="242"/>
      <c r="CS5164" s="242"/>
      <c r="CT5164" s="242"/>
      <c r="CU5164" s="242"/>
      <c r="CV5164" s="242"/>
      <c r="CW5164" s="242"/>
      <c r="CX5164" s="242"/>
      <c r="CY5164" s="242"/>
      <c r="CZ5164" s="242"/>
      <c r="DA5164" s="67"/>
      <c r="DB5164" s="67">
        <v>0.57999999999999996</v>
      </c>
      <c r="DC5164" s="67">
        <v>0.64</v>
      </c>
      <c r="DD5164" s="67"/>
      <c r="DE5164" s="67"/>
      <c r="DF5164" s="67"/>
      <c r="DG5164" s="67"/>
      <c r="DH5164" s="67"/>
      <c r="DI5164" s="67"/>
      <c r="DJ5164" s="67"/>
      <c r="DK5164" s="67"/>
      <c r="DL5164" s="67"/>
      <c r="DM5164" s="67"/>
      <c r="DN5164" s="67"/>
      <c r="DO5164" s="67"/>
      <c r="DP5164" s="67"/>
      <c r="DQ5164" s="166"/>
      <c r="DR5164" s="166"/>
      <c r="DS5164" s="163"/>
      <c r="DT5164" s="163"/>
      <c r="DU5164" s="67"/>
      <c r="DV5164" s="67"/>
      <c r="DW5164" s="67"/>
      <c r="DX5164" s="67"/>
      <c r="DY5164" s="67"/>
      <c r="DZ5164" s="67"/>
      <c r="EA5164" s="67"/>
      <c r="EB5164" s="67"/>
      <c r="EC5164" s="67"/>
      <c r="ED5164" s="67"/>
      <c r="EE5164" s="67"/>
      <c r="EF5164" s="67"/>
      <c r="EG5164" s="67"/>
      <c r="EH5164" s="67"/>
      <c r="EI5164" s="67"/>
      <c r="EJ5164" s="67"/>
      <c r="EK5164" s="94"/>
      <c r="EL5164" s="94"/>
      <c r="EM5164" s="67"/>
      <c r="EN5164" s="67"/>
      <c r="EO5164" s="67"/>
      <c r="EP5164" s="67"/>
      <c r="EQ5164" s="67"/>
      <c r="ER5164" s="67"/>
      <c r="ES5164" s="67"/>
      <c r="ET5164" s="67"/>
      <c r="EU5164" s="67"/>
      <c r="EV5164" s="67"/>
      <c r="EW5164" s="67"/>
      <c r="EX5164" s="67"/>
      <c r="EY5164" s="67"/>
      <c r="EZ5164" s="67"/>
      <c r="FA5164" s="67"/>
      <c r="FB5164" s="67"/>
      <c r="FC5164" s="67"/>
      <c r="FD5164" s="67"/>
      <c r="FE5164" s="67"/>
      <c r="FF5164" s="67"/>
      <c r="FG5164" s="67"/>
      <c r="FH5164" s="67"/>
      <c r="FI5164" s="67"/>
      <c r="FJ5164" s="67"/>
      <c r="FK5164" s="67"/>
      <c r="FL5164" s="67"/>
      <c r="FM5164" s="67"/>
      <c r="FN5164" s="67"/>
      <c r="FO5164" s="67"/>
      <c r="FP5164" s="67"/>
      <c r="FQ5164" s="67"/>
      <c r="FR5164" s="67"/>
      <c r="FS5164" s="67"/>
      <c r="FT5164" s="67"/>
      <c r="FU5164" s="67"/>
      <c r="FV5164" s="67"/>
      <c r="FW5164" s="67"/>
      <c r="FX5164" s="67"/>
      <c r="FY5164" s="67"/>
      <c r="FZ5164" s="67"/>
      <c r="GA5164" s="67"/>
      <c r="GB5164" s="67"/>
      <c r="GC5164" s="67"/>
      <c r="GD5164" s="67"/>
      <c r="GE5164" s="67"/>
      <c r="GF5164" s="67"/>
      <c r="GG5164" s="67"/>
      <c r="GH5164" s="67"/>
      <c r="GI5164" s="67"/>
      <c r="GJ5164" s="67"/>
      <c r="GK5164" s="67"/>
      <c r="GL5164" s="67"/>
      <c r="GM5164" s="67"/>
      <c r="GN5164" s="292"/>
      <c r="GO5164" s="292"/>
      <c r="GP5164" s="292" t="s">
        <v>7494</v>
      </c>
      <c r="GQ5164" s="67"/>
      <c r="GR5164" s="67"/>
      <c r="GS5164" s="67"/>
      <c r="GT5164" s="67"/>
      <c r="GU5164" s="67"/>
      <c r="GV5164" s="67"/>
      <c r="GW5164" s="67"/>
      <c r="GX5164" s="67"/>
      <c r="GY5164" s="67"/>
      <c r="GZ5164" s="67"/>
      <c r="HA5164" s="67"/>
      <c r="HB5164" s="67"/>
      <c r="HC5164" s="67"/>
      <c r="HD5164" s="67"/>
      <c r="HE5164" s="67"/>
      <c r="HF5164" s="67"/>
      <c r="HG5164" s="67"/>
      <c r="HH5164" s="67"/>
      <c r="HI5164" s="67"/>
      <c r="HJ5164" s="67"/>
      <c r="HK5164" s="67"/>
      <c r="HL5164" s="67"/>
      <c r="HM5164" s="67"/>
      <c r="HN5164" s="67"/>
      <c r="HO5164" s="67"/>
      <c r="HP5164" s="67"/>
      <c r="HQ5164" s="67"/>
      <c r="HR5164" s="67"/>
      <c r="HS5164" s="67"/>
      <c r="HT5164" s="67"/>
      <c r="HU5164" s="67"/>
      <c r="HV5164" s="67"/>
      <c r="HW5164" s="67"/>
      <c r="HX5164" s="67"/>
      <c r="HY5164" s="67"/>
      <c r="HZ5164" s="67"/>
      <c r="IA5164" s="67"/>
      <c r="IB5164" s="67"/>
      <c r="IC5164" s="67"/>
      <c r="ID5164" s="67"/>
      <c r="IE5164" s="67"/>
      <c r="IF5164" s="67"/>
      <c r="IG5164" s="67"/>
      <c r="IH5164" s="67"/>
      <c r="II5164" s="67"/>
      <c r="IJ5164" s="67"/>
      <c r="IK5164" s="67"/>
      <c r="IL5164" s="67"/>
      <c r="IM5164" s="67"/>
      <c r="IN5164" s="67"/>
      <c r="IO5164" s="67"/>
      <c r="IP5164" s="67"/>
      <c r="IQ5164" s="67"/>
      <c r="IR5164" s="67"/>
      <c r="IS5164" s="67"/>
      <c r="IT5164" s="67"/>
      <c r="IU5164" s="67"/>
      <c r="IV5164" s="67"/>
      <c r="IW5164" s="67"/>
      <c r="IX5164" s="67"/>
      <c r="IY5164" s="67"/>
      <c r="IZ5164" s="67"/>
      <c r="JA5164" s="67"/>
      <c r="JB5164" s="67"/>
      <c r="JC5164" s="67"/>
      <c r="JD5164" s="67"/>
      <c r="JE5164" s="67"/>
      <c r="JF5164" s="67"/>
      <c r="JG5164" s="67"/>
      <c r="JH5164" s="67"/>
      <c r="JI5164" s="67"/>
      <c r="JJ5164" s="67"/>
      <c r="JK5164" s="67"/>
      <c r="JL5164" s="67"/>
      <c r="JM5164" s="67"/>
      <c r="JN5164" s="67"/>
      <c r="JO5164" s="67"/>
      <c r="JP5164" s="67"/>
      <c r="JQ5164" s="67"/>
      <c r="JR5164" s="67"/>
      <c r="JS5164" s="67"/>
      <c r="JT5164" s="67"/>
      <c r="JU5164" s="58"/>
      <c r="JV5164" s="58"/>
      <c r="JW5164" s="58"/>
    </row>
    <row r="5165" spans="1:283" s="23" customFormat="1" x14ac:dyDescent="0.25">
      <c r="A5165" s="55">
        <v>5164</v>
      </c>
      <c r="B5165" s="12" t="s">
        <v>7067</v>
      </c>
      <c r="C5165" s="156">
        <v>275</v>
      </c>
      <c r="D5165" s="58" t="s">
        <v>5044</v>
      </c>
      <c r="E5165" s="160" t="str">
        <f>G5165</f>
        <v>Teasdale et al. 2007_total horizon_pair 2</v>
      </c>
      <c r="F5165" s="160"/>
      <c r="G5165" s="60" t="s">
        <v>4684</v>
      </c>
      <c r="H5165" s="58">
        <v>2007</v>
      </c>
      <c r="I5165" s="58" t="s">
        <v>2847</v>
      </c>
      <c r="J5165" s="243" t="s">
        <v>282</v>
      </c>
      <c r="K5165" s="63" t="s">
        <v>5071</v>
      </c>
      <c r="L5165" s="58" t="s">
        <v>2737</v>
      </c>
      <c r="M5165" s="94">
        <v>39.03</v>
      </c>
      <c r="N5165" s="94">
        <v>-76.91</v>
      </c>
      <c r="O5165" s="94">
        <v>37</v>
      </c>
      <c r="P5165" s="58"/>
      <c r="Q5165" s="244">
        <v>12.800000000000002</v>
      </c>
      <c r="R5165" s="58"/>
      <c r="S5165" s="245">
        <v>1110</v>
      </c>
      <c r="T5165" s="58"/>
      <c r="U5165" s="58" t="s">
        <v>1816</v>
      </c>
      <c r="V5165" s="244">
        <v>9</v>
      </c>
      <c r="W5165" s="174"/>
      <c r="X5165" s="174"/>
      <c r="Y5165" s="58" t="s">
        <v>5471</v>
      </c>
      <c r="Z5165" s="244" t="s">
        <v>1347</v>
      </c>
      <c r="AA5165" s="245">
        <v>10</v>
      </c>
      <c r="AB5165" s="67"/>
      <c r="AC5165" s="67"/>
      <c r="AD5165" s="94"/>
      <c r="AE5165" s="94"/>
      <c r="AF5165" s="94"/>
      <c r="AG5165" s="245"/>
      <c r="AH5165" s="58" t="s">
        <v>139</v>
      </c>
      <c r="AI5165" s="169"/>
      <c r="AJ5165" s="94"/>
      <c r="AK5165" s="94"/>
      <c r="AL5165" s="58"/>
      <c r="AM5165" s="58" t="s">
        <v>1291</v>
      </c>
      <c r="AN5165" s="186"/>
      <c r="AO5165" s="185" t="s">
        <v>7494</v>
      </c>
      <c r="AP5165" s="58"/>
      <c r="AQ5165" s="58"/>
      <c r="AR5165" s="58"/>
      <c r="AS5165" s="246" t="s">
        <v>5133</v>
      </c>
      <c r="AT5165" s="247">
        <v>0</v>
      </c>
      <c r="AU5165" s="181" t="s">
        <v>7494</v>
      </c>
      <c r="AV5165" s="185" t="s">
        <v>176</v>
      </c>
      <c r="AW5165" s="244">
        <v>1</v>
      </c>
      <c r="AX5165" s="185" t="s">
        <v>176</v>
      </c>
      <c r="AY5165" s="244" t="s">
        <v>5150</v>
      </c>
      <c r="AZ5165" s="58"/>
      <c r="BA5165" s="58"/>
      <c r="BB5165" s="58"/>
      <c r="BC5165" s="58"/>
      <c r="BD5165" s="58"/>
      <c r="BE5165" s="236" t="s">
        <v>5223</v>
      </c>
      <c r="BF5165" s="191" t="s">
        <v>479</v>
      </c>
      <c r="BG5165" s="191" t="s">
        <v>479</v>
      </c>
      <c r="BH5165" s="236" t="s">
        <v>5292</v>
      </c>
      <c r="BI5165" s="191" t="s">
        <v>479</v>
      </c>
      <c r="BJ5165" s="58" t="str">
        <f>IF(BE5165=BH5165,"No","yes")</f>
        <v>yes</v>
      </c>
      <c r="BK5165" s="58" t="s">
        <v>6335</v>
      </c>
      <c r="BL5165" s="58"/>
      <c r="BM5165" s="237"/>
      <c r="BN5165" s="244">
        <v>8</v>
      </c>
      <c r="BO5165" s="244">
        <v>8</v>
      </c>
      <c r="BP5165" s="58"/>
      <c r="BQ5165" s="58"/>
      <c r="BR5165" s="58"/>
      <c r="BS5165" s="58"/>
      <c r="BT5165" s="58"/>
      <c r="BU5165" s="58"/>
      <c r="BV5165" s="58"/>
      <c r="BW5165" s="67"/>
      <c r="BX5165" s="67"/>
      <c r="BY5165" s="67"/>
      <c r="BZ5165" s="67"/>
      <c r="CA5165" s="67"/>
      <c r="CB5165" s="70"/>
      <c r="CC5165" s="70"/>
      <c r="CD5165" s="70"/>
      <c r="CE5165" s="67"/>
      <c r="CF5165" s="67"/>
      <c r="CG5165" s="67"/>
      <c r="CH5165" s="245"/>
      <c r="CI5165" s="245"/>
      <c r="CJ5165" s="67"/>
      <c r="CK5165" s="67"/>
      <c r="CL5165" s="67"/>
      <c r="CM5165" s="242">
        <v>0.71</v>
      </c>
      <c r="CN5165" s="242">
        <v>0.74</v>
      </c>
      <c r="CO5165" s="242"/>
      <c r="CP5165" s="242"/>
      <c r="CQ5165" s="242"/>
      <c r="CR5165" s="242"/>
      <c r="CS5165" s="242"/>
      <c r="CT5165" s="242"/>
      <c r="CU5165" s="242"/>
      <c r="CV5165" s="242"/>
      <c r="CW5165" s="242"/>
      <c r="CX5165" s="242"/>
      <c r="CY5165" s="242"/>
      <c r="CZ5165" s="242"/>
      <c r="DA5165" s="67"/>
      <c r="DB5165" s="67">
        <v>0.57999999999999996</v>
      </c>
      <c r="DC5165" s="67">
        <v>0.66</v>
      </c>
      <c r="DD5165" s="67"/>
      <c r="DE5165" s="67"/>
      <c r="DF5165" s="67"/>
      <c r="DG5165" s="67"/>
      <c r="DH5165" s="67"/>
      <c r="DI5165" s="67"/>
      <c r="DJ5165" s="67"/>
      <c r="DK5165" s="67"/>
      <c r="DL5165" s="67"/>
      <c r="DM5165" s="67"/>
      <c r="DN5165" s="67"/>
      <c r="DO5165" s="67"/>
      <c r="DP5165" s="67"/>
      <c r="DQ5165" s="166"/>
      <c r="DR5165" s="166"/>
      <c r="DS5165" s="163"/>
      <c r="DT5165" s="163"/>
      <c r="DU5165" s="67"/>
      <c r="DV5165" s="67"/>
      <c r="DW5165" s="67"/>
      <c r="DX5165" s="67"/>
      <c r="DY5165" s="67"/>
      <c r="DZ5165" s="67"/>
      <c r="EA5165" s="67"/>
      <c r="EB5165" s="67"/>
      <c r="EC5165" s="67"/>
      <c r="ED5165" s="67"/>
      <c r="EE5165" s="67"/>
      <c r="EF5165" s="67"/>
      <c r="EG5165" s="67"/>
      <c r="EH5165" s="67"/>
      <c r="EI5165" s="67"/>
      <c r="EJ5165" s="67"/>
      <c r="EK5165" s="94"/>
      <c r="EL5165" s="94"/>
      <c r="EM5165" s="67"/>
      <c r="EN5165" s="67"/>
      <c r="EO5165" s="67"/>
      <c r="EP5165" s="67"/>
      <c r="EQ5165" s="67"/>
      <c r="ER5165" s="67"/>
      <c r="ES5165" s="67"/>
      <c r="ET5165" s="67"/>
      <c r="EU5165" s="67"/>
      <c r="EV5165" s="67"/>
      <c r="EW5165" s="67"/>
      <c r="EX5165" s="67"/>
      <c r="EY5165" s="67"/>
      <c r="EZ5165" s="67"/>
      <c r="FA5165" s="67"/>
      <c r="FB5165" s="67"/>
      <c r="FC5165" s="67"/>
      <c r="FD5165" s="67"/>
      <c r="FE5165" s="67"/>
      <c r="FF5165" s="67"/>
      <c r="FG5165" s="67"/>
      <c r="FH5165" s="67"/>
      <c r="FI5165" s="67"/>
      <c r="FJ5165" s="67"/>
      <c r="FK5165" s="67"/>
      <c r="FL5165" s="67"/>
      <c r="FM5165" s="67"/>
      <c r="FN5165" s="67"/>
      <c r="FO5165" s="67"/>
      <c r="FP5165" s="67"/>
      <c r="FQ5165" s="67"/>
      <c r="FR5165" s="67"/>
      <c r="FS5165" s="67"/>
      <c r="FT5165" s="67"/>
      <c r="FU5165" s="67"/>
      <c r="FV5165" s="67"/>
      <c r="FW5165" s="67"/>
      <c r="FX5165" s="67"/>
      <c r="FY5165" s="67"/>
      <c r="FZ5165" s="67"/>
      <c r="GA5165" s="67"/>
      <c r="GB5165" s="67"/>
      <c r="GC5165" s="67"/>
      <c r="GD5165" s="67"/>
      <c r="GE5165" s="67"/>
      <c r="GF5165" s="67"/>
      <c r="GG5165" s="67"/>
      <c r="GH5165" s="67"/>
      <c r="GI5165" s="67"/>
      <c r="GJ5165" s="67"/>
      <c r="GK5165" s="67"/>
      <c r="GL5165" s="67"/>
      <c r="GM5165" s="67"/>
      <c r="GN5165" s="292"/>
      <c r="GO5165" s="292"/>
      <c r="GP5165" s="292" t="s">
        <v>7494</v>
      </c>
      <c r="GQ5165" s="67"/>
      <c r="GR5165" s="67"/>
      <c r="GS5165" s="67"/>
      <c r="GT5165" s="67"/>
      <c r="GU5165" s="67"/>
      <c r="GV5165" s="67"/>
      <c r="GW5165" s="67"/>
      <c r="GX5165" s="67"/>
      <c r="GY5165" s="67"/>
      <c r="GZ5165" s="67"/>
      <c r="HA5165" s="67"/>
      <c r="HB5165" s="67"/>
      <c r="HC5165" s="67"/>
      <c r="HD5165" s="67"/>
      <c r="HE5165" s="67"/>
      <c r="HF5165" s="67"/>
      <c r="HG5165" s="67"/>
      <c r="HH5165" s="67"/>
      <c r="HI5165" s="67"/>
      <c r="HJ5165" s="67"/>
      <c r="HK5165" s="67"/>
      <c r="HL5165" s="67"/>
      <c r="HM5165" s="67"/>
      <c r="HN5165" s="67"/>
      <c r="HO5165" s="67"/>
      <c r="HP5165" s="67"/>
      <c r="HQ5165" s="67"/>
      <c r="HR5165" s="67"/>
      <c r="HS5165" s="67"/>
      <c r="HT5165" s="67"/>
      <c r="HU5165" s="67"/>
      <c r="HV5165" s="67"/>
      <c r="HW5165" s="67"/>
      <c r="HX5165" s="67"/>
      <c r="HY5165" s="67"/>
      <c r="HZ5165" s="67"/>
      <c r="IA5165" s="67"/>
      <c r="IB5165" s="67"/>
      <c r="IC5165" s="67"/>
      <c r="ID5165" s="67"/>
      <c r="IE5165" s="67"/>
      <c r="IF5165" s="67"/>
      <c r="IG5165" s="67"/>
      <c r="IH5165" s="67"/>
      <c r="II5165" s="67"/>
      <c r="IJ5165" s="67"/>
      <c r="IK5165" s="67"/>
      <c r="IL5165" s="67"/>
      <c r="IM5165" s="67"/>
      <c r="IN5165" s="67"/>
      <c r="IO5165" s="67"/>
      <c r="IP5165" s="67"/>
      <c r="IQ5165" s="67"/>
      <c r="IR5165" s="67"/>
      <c r="IS5165" s="67"/>
      <c r="IT5165" s="67"/>
      <c r="IU5165" s="67"/>
      <c r="IV5165" s="67"/>
      <c r="IW5165" s="67"/>
      <c r="IX5165" s="67"/>
      <c r="IY5165" s="67"/>
      <c r="IZ5165" s="67"/>
      <c r="JA5165" s="67"/>
      <c r="JB5165" s="67"/>
      <c r="JC5165" s="67"/>
      <c r="JD5165" s="67"/>
      <c r="JE5165" s="67"/>
      <c r="JF5165" s="67"/>
      <c r="JG5165" s="67"/>
      <c r="JH5165" s="67"/>
      <c r="JI5165" s="67"/>
      <c r="JJ5165" s="67"/>
      <c r="JK5165" s="67"/>
      <c r="JL5165" s="67"/>
      <c r="JM5165" s="67"/>
      <c r="JN5165" s="67"/>
      <c r="JO5165" s="67"/>
      <c r="JP5165" s="67"/>
      <c r="JQ5165" s="67"/>
      <c r="JR5165" s="67"/>
      <c r="JS5165" s="67"/>
      <c r="JT5165" s="67"/>
      <c r="JU5165" s="58"/>
      <c r="JV5165" s="58"/>
      <c r="JW5165" s="58"/>
    </row>
    <row r="5166" spans="1:283" s="23" customFormat="1" x14ac:dyDescent="0.25">
      <c r="A5166" s="55">
        <v>5165</v>
      </c>
      <c r="B5166" s="12" t="s">
        <v>7067</v>
      </c>
      <c r="C5166" s="156">
        <v>275</v>
      </c>
      <c r="D5166" s="58" t="s">
        <v>5045</v>
      </c>
      <c r="E5166" s="160" t="str">
        <f>G5166</f>
        <v>Teasdale et al. 2007_total horizon_pair 3</v>
      </c>
      <c r="F5166" s="160"/>
      <c r="G5166" s="60" t="s">
        <v>4683</v>
      </c>
      <c r="H5166" s="58">
        <v>2007</v>
      </c>
      <c r="I5166" s="58" t="s">
        <v>2847</v>
      </c>
      <c r="J5166" s="243" t="s">
        <v>282</v>
      </c>
      <c r="K5166" s="63" t="s">
        <v>5071</v>
      </c>
      <c r="L5166" s="58" t="s">
        <v>2737</v>
      </c>
      <c r="M5166" s="94">
        <v>39.03</v>
      </c>
      <c r="N5166" s="94">
        <v>-76.91</v>
      </c>
      <c r="O5166" s="94">
        <v>37</v>
      </c>
      <c r="P5166" s="58"/>
      <c r="Q5166" s="244">
        <v>12.800000000000002</v>
      </c>
      <c r="R5166" s="58"/>
      <c r="S5166" s="245">
        <v>1110</v>
      </c>
      <c r="T5166" s="58"/>
      <c r="U5166" s="58" t="s">
        <v>1816</v>
      </c>
      <c r="V5166" s="244">
        <v>9</v>
      </c>
      <c r="W5166" s="174"/>
      <c r="X5166" s="174"/>
      <c r="Y5166" s="58" t="s">
        <v>5471</v>
      </c>
      <c r="Z5166" s="244" t="s">
        <v>1347</v>
      </c>
      <c r="AA5166" s="245">
        <v>10</v>
      </c>
      <c r="AB5166" s="67"/>
      <c r="AC5166" s="67"/>
      <c r="AD5166" s="94"/>
      <c r="AE5166" s="94"/>
      <c r="AF5166" s="94"/>
      <c r="AG5166" s="245"/>
      <c r="AH5166" s="58" t="s">
        <v>139</v>
      </c>
      <c r="AI5166" s="169"/>
      <c r="AJ5166" s="94"/>
      <c r="AK5166" s="94"/>
      <c r="AL5166" s="58"/>
      <c r="AM5166" s="58" t="s">
        <v>1291</v>
      </c>
      <c r="AN5166" s="186"/>
      <c r="AO5166" s="185" t="s">
        <v>7494</v>
      </c>
      <c r="AP5166" s="58"/>
      <c r="AQ5166" s="58"/>
      <c r="AR5166" s="58"/>
      <c r="AS5166" s="246" t="s">
        <v>5133</v>
      </c>
      <c r="AT5166" s="247">
        <v>0</v>
      </c>
      <c r="AU5166" s="181" t="s">
        <v>7494</v>
      </c>
      <c r="AV5166" s="185" t="s">
        <v>176</v>
      </c>
      <c r="AW5166" s="244">
        <v>1</v>
      </c>
      <c r="AX5166" s="185" t="s">
        <v>176</v>
      </c>
      <c r="AY5166" s="244" t="s">
        <v>5150</v>
      </c>
      <c r="AZ5166" s="58"/>
      <c r="BA5166" s="58"/>
      <c r="BB5166" s="58"/>
      <c r="BC5166" s="58"/>
      <c r="BD5166" s="58"/>
      <c r="BE5166" s="236" t="s">
        <v>5222</v>
      </c>
      <c r="BF5166" s="191" t="s">
        <v>479</v>
      </c>
      <c r="BG5166" s="191" t="s">
        <v>479</v>
      </c>
      <c r="BH5166" s="236" t="s">
        <v>5292</v>
      </c>
      <c r="BI5166" s="191" t="s">
        <v>479</v>
      </c>
      <c r="BJ5166" s="58" t="str">
        <f>IF(BE5166=BH5166,"No","yes")</f>
        <v>yes</v>
      </c>
      <c r="BK5166" s="58" t="s">
        <v>6335</v>
      </c>
      <c r="BL5166" s="58"/>
      <c r="BM5166" s="237"/>
      <c r="BN5166" s="244">
        <v>8</v>
      </c>
      <c r="BO5166" s="244">
        <v>8</v>
      </c>
      <c r="BP5166" s="58"/>
      <c r="BQ5166" s="58"/>
      <c r="BR5166" s="58"/>
      <c r="BS5166" s="58"/>
      <c r="BT5166" s="58"/>
      <c r="BU5166" s="58"/>
      <c r="BV5166" s="58"/>
      <c r="BW5166" s="67"/>
      <c r="BX5166" s="67"/>
      <c r="BY5166" s="67"/>
      <c r="BZ5166" s="67"/>
      <c r="CA5166" s="67"/>
      <c r="CB5166" s="70"/>
      <c r="CC5166" s="70"/>
      <c r="CD5166" s="70"/>
      <c r="CE5166" s="67"/>
      <c r="CF5166" s="67"/>
      <c r="CG5166" s="67"/>
      <c r="CH5166" s="245"/>
      <c r="CI5166" s="245"/>
      <c r="CJ5166" s="67"/>
      <c r="CK5166" s="67"/>
      <c r="CL5166" s="67"/>
      <c r="CM5166" s="242">
        <v>0.71</v>
      </c>
      <c r="CN5166" s="242">
        <v>1.03</v>
      </c>
      <c r="CO5166" s="242"/>
      <c r="CP5166" s="242"/>
      <c r="CQ5166" s="242"/>
      <c r="CR5166" s="242"/>
      <c r="CS5166" s="242"/>
      <c r="CT5166" s="242"/>
      <c r="CU5166" s="242"/>
      <c r="CV5166" s="242"/>
      <c r="CW5166" s="242"/>
      <c r="CX5166" s="242"/>
      <c r="CY5166" s="242"/>
      <c r="CZ5166" s="242"/>
      <c r="DA5166" s="67"/>
      <c r="DB5166" s="67">
        <v>0.57999999999999996</v>
      </c>
      <c r="DC5166" s="67">
        <v>0.87</v>
      </c>
      <c r="DD5166" s="67"/>
      <c r="DE5166" s="67"/>
      <c r="DF5166" s="67"/>
      <c r="DG5166" s="67"/>
      <c r="DH5166" s="67"/>
      <c r="DI5166" s="67"/>
      <c r="DJ5166" s="67"/>
      <c r="DK5166" s="67"/>
      <c r="DL5166" s="67"/>
      <c r="DM5166" s="67"/>
      <c r="DN5166" s="67"/>
      <c r="DO5166" s="67"/>
      <c r="DP5166" s="67"/>
      <c r="DQ5166" s="166"/>
      <c r="DR5166" s="166"/>
      <c r="DS5166" s="163"/>
      <c r="DT5166" s="163"/>
      <c r="DU5166" s="67"/>
      <c r="DV5166" s="67"/>
      <c r="DW5166" s="67"/>
      <c r="DX5166" s="67"/>
      <c r="DY5166" s="67"/>
      <c r="DZ5166" s="67"/>
      <c r="EA5166" s="67"/>
      <c r="EB5166" s="67"/>
      <c r="EC5166" s="67"/>
      <c r="ED5166" s="67"/>
      <c r="EE5166" s="67"/>
      <c r="EF5166" s="67"/>
      <c r="EG5166" s="67"/>
      <c r="EH5166" s="67"/>
      <c r="EI5166" s="67"/>
      <c r="EJ5166" s="67"/>
      <c r="EK5166" s="94"/>
      <c r="EL5166" s="94"/>
      <c r="EM5166" s="67"/>
      <c r="EN5166" s="67"/>
      <c r="EO5166" s="67"/>
      <c r="EP5166" s="67"/>
      <c r="EQ5166" s="67"/>
      <c r="ER5166" s="67"/>
      <c r="ES5166" s="67"/>
      <c r="ET5166" s="67"/>
      <c r="EU5166" s="67"/>
      <c r="EV5166" s="67"/>
      <c r="EW5166" s="67"/>
      <c r="EX5166" s="67"/>
      <c r="EY5166" s="67"/>
      <c r="EZ5166" s="67"/>
      <c r="FA5166" s="67"/>
      <c r="FB5166" s="67"/>
      <c r="FC5166" s="67"/>
      <c r="FD5166" s="67"/>
      <c r="FE5166" s="67"/>
      <c r="FF5166" s="67"/>
      <c r="FG5166" s="67"/>
      <c r="FH5166" s="67"/>
      <c r="FI5166" s="67"/>
      <c r="FJ5166" s="67"/>
      <c r="FK5166" s="67"/>
      <c r="FL5166" s="67"/>
      <c r="FM5166" s="67"/>
      <c r="FN5166" s="67"/>
      <c r="FO5166" s="67"/>
      <c r="FP5166" s="67"/>
      <c r="FQ5166" s="67"/>
      <c r="FR5166" s="67"/>
      <c r="FS5166" s="67"/>
      <c r="FT5166" s="67"/>
      <c r="FU5166" s="67"/>
      <c r="FV5166" s="67"/>
      <c r="FW5166" s="67"/>
      <c r="FX5166" s="67"/>
      <c r="FY5166" s="67"/>
      <c r="FZ5166" s="67"/>
      <c r="GA5166" s="67"/>
      <c r="GB5166" s="67"/>
      <c r="GC5166" s="67"/>
      <c r="GD5166" s="67"/>
      <c r="GE5166" s="67"/>
      <c r="GF5166" s="67"/>
      <c r="GG5166" s="67"/>
      <c r="GH5166" s="67"/>
      <c r="GI5166" s="67"/>
      <c r="GJ5166" s="67"/>
      <c r="GK5166" s="67"/>
      <c r="GL5166" s="67"/>
      <c r="GM5166" s="67"/>
      <c r="GN5166" s="292"/>
      <c r="GO5166" s="292"/>
      <c r="GP5166" s="292" t="s">
        <v>7494</v>
      </c>
      <c r="GQ5166" s="67"/>
      <c r="GR5166" s="67"/>
      <c r="GS5166" s="67"/>
      <c r="GT5166" s="67"/>
      <c r="GU5166" s="67"/>
      <c r="GV5166" s="67"/>
      <c r="GW5166" s="67"/>
      <c r="GX5166" s="67"/>
      <c r="GY5166" s="67"/>
      <c r="GZ5166" s="67"/>
      <c r="HA5166" s="67"/>
      <c r="HB5166" s="67"/>
      <c r="HC5166" s="67"/>
      <c r="HD5166" s="67"/>
      <c r="HE5166" s="67"/>
      <c r="HF5166" s="67"/>
      <c r="HG5166" s="67"/>
      <c r="HH5166" s="67"/>
      <c r="HI5166" s="67"/>
      <c r="HJ5166" s="67"/>
      <c r="HK5166" s="67"/>
      <c r="HL5166" s="67"/>
      <c r="HM5166" s="67"/>
      <c r="HN5166" s="67"/>
      <c r="HO5166" s="67"/>
      <c r="HP5166" s="67"/>
      <c r="HQ5166" s="67"/>
      <c r="HR5166" s="67"/>
      <c r="HS5166" s="67"/>
      <c r="HT5166" s="67"/>
      <c r="HU5166" s="67"/>
      <c r="HV5166" s="67"/>
      <c r="HW5166" s="67"/>
      <c r="HX5166" s="67"/>
      <c r="HY5166" s="67"/>
      <c r="HZ5166" s="67"/>
      <c r="IA5166" s="67"/>
      <c r="IB5166" s="67"/>
      <c r="IC5166" s="67"/>
      <c r="ID5166" s="67"/>
      <c r="IE5166" s="67"/>
      <c r="IF5166" s="67"/>
      <c r="IG5166" s="67"/>
      <c r="IH5166" s="67"/>
      <c r="II5166" s="67"/>
      <c r="IJ5166" s="67"/>
      <c r="IK5166" s="67"/>
      <c r="IL5166" s="67"/>
      <c r="IM5166" s="67"/>
      <c r="IN5166" s="67"/>
      <c r="IO5166" s="67"/>
      <c r="IP5166" s="67"/>
      <c r="IQ5166" s="67"/>
      <c r="IR5166" s="67"/>
      <c r="IS5166" s="67"/>
      <c r="IT5166" s="67"/>
      <c r="IU5166" s="67"/>
      <c r="IV5166" s="67"/>
      <c r="IW5166" s="67"/>
      <c r="IX5166" s="67"/>
      <c r="IY5166" s="67"/>
      <c r="IZ5166" s="67"/>
      <c r="JA5166" s="67"/>
      <c r="JB5166" s="67"/>
      <c r="JC5166" s="67"/>
      <c r="JD5166" s="67"/>
      <c r="JE5166" s="67"/>
      <c r="JF5166" s="67"/>
      <c r="JG5166" s="67"/>
      <c r="JH5166" s="67"/>
      <c r="JI5166" s="67"/>
      <c r="JJ5166" s="67"/>
      <c r="JK5166" s="67"/>
      <c r="JL5166" s="67"/>
      <c r="JM5166" s="67"/>
      <c r="JN5166" s="67"/>
      <c r="JO5166" s="67"/>
      <c r="JP5166" s="67"/>
      <c r="JQ5166" s="67"/>
      <c r="JR5166" s="67"/>
      <c r="JS5166" s="67"/>
      <c r="JT5166" s="67"/>
      <c r="JU5166" s="58"/>
      <c r="JV5166" s="58"/>
      <c r="JW5166" s="58"/>
    </row>
    <row r="5167" spans="1:283" s="23" customFormat="1" x14ac:dyDescent="0.25">
      <c r="A5167" s="55">
        <v>5166</v>
      </c>
      <c r="B5167" s="12" t="s">
        <v>7067</v>
      </c>
      <c r="C5167" s="156">
        <v>275</v>
      </c>
      <c r="D5167" s="58" t="s">
        <v>5043</v>
      </c>
      <c r="E5167" s="160" t="str">
        <f>G5167</f>
        <v>Teasdale et al. 2007_total horizon_pair 1</v>
      </c>
      <c r="F5167" s="160"/>
      <c r="G5167" s="60" t="s">
        <v>4685</v>
      </c>
      <c r="H5167" s="58">
        <v>2007</v>
      </c>
      <c r="I5167" s="58" t="s">
        <v>2905</v>
      </c>
      <c r="J5167" s="243" t="s">
        <v>282</v>
      </c>
      <c r="K5167" s="63" t="s">
        <v>5071</v>
      </c>
      <c r="L5167" s="58" t="s">
        <v>2737</v>
      </c>
      <c r="M5167" s="94">
        <v>39.03</v>
      </c>
      <c r="N5167" s="94">
        <v>-76.91</v>
      </c>
      <c r="O5167" s="94">
        <v>37</v>
      </c>
      <c r="P5167" s="58"/>
      <c r="Q5167" s="244">
        <v>12.800000000000002</v>
      </c>
      <c r="R5167" s="58"/>
      <c r="S5167" s="245">
        <v>1110</v>
      </c>
      <c r="T5167" s="58"/>
      <c r="U5167" s="58" t="s">
        <v>1816</v>
      </c>
      <c r="V5167" s="244">
        <v>9</v>
      </c>
      <c r="W5167" s="174"/>
      <c r="X5167" s="174"/>
      <c r="Y5167" s="58" t="s">
        <v>5471</v>
      </c>
      <c r="Z5167" s="244" t="s">
        <v>1347</v>
      </c>
      <c r="AA5167" s="245">
        <v>10</v>
      </c>
      <c r="AB5167" s="67"/>
      <c r="AC5167" s="67"/>
      <c r="AD5167" s="94"/>
      <c r="AE5167" s="94"/>
      <c r="AF5167" s="94"/>
      <c r="AG5167" s="245"/>
      <c r="AH5167" s="58" t="s">
        <v>139</v>
      </c>
      <c r="AI5167" s="169"/>
      <c r="AJ5167" s="94"/>
      <c r="AK5167" s="94"/>
      <c r="AL5167" s="58"/>
      <c r="AM5167" s="58" t="s">
        <v>1291</v>
      </c>
      <c r="AN5167" s="186"/>
      <c r="AO5167" s="185" t="s">
        <v>7494</v>
      </c>
      <c r="AP5167" s="58"/>
      <c r="AQ5167" s="58"/>
      <c r="AR5167" s="58" t="s">
        <v>132</v>
      </c>
      <c r="AS5167" s="58" t="s">
        <v>132</v>
      </c>
      <c r="AT5167" s="247">
        <v>0</v>
      </c>
      <c r="AU5167" s="181" t="s">
        <v>7494</v>
      </c>
      <c r="AV5167" s="185" t="s">
        <v>176</v>
      </c>
      <c r="AW5167" s="244">
        <v>1</v>
      </c>
      <c r="AX5167" s="185" t="s">
        <v>176</v>
      </c>
      <c r="AY5167" s="244" t="s">
        <v>5150</v>
      </c>
      <c r="AZ5167" s="58"/>
      <c r="BA5167" s="58"/>
      <c r="BB5167" s="58"/>
      <c r="BC5167" s="58"/>
      <c r="BD5167" s="58"/>
      <c r="BE5167" s="236" t="s">
        <v>5222</v>
      </c>
      <c r="BF5167" s="191" t="s">
        <v>479</v>
      </c>
      <c r="BG5167" s="191" t="s">
        <v>479</v>
      </c>
      <c r="BH5167" s="236" t="s">
        <v>5292</v>
      </c>
      <c r="BI5167" s="191" t="s">
        <v>479</v>
      </c>
      <c r="BJ5167" s="58" t="str">
        <f>IF(BE5167=BH5167,"No","yes")</f>
        <v>yes</v>
      </c>
      <c r="BK5167" s="58" t="s">
        <v>6335</v>
      </c>
      <c r="BL5167" s="58"/>
      <c r="BM5167" s="237"/>
      <c r="BN5167" s="244">
        <v>8</v>
      </c>
      <c r="BO5167" s="244">
        <v>8</v>
      </c>
      <c r="BP5167" s="58"/>
      <c r="BQ5167" s="58"/>
      <c r="BR5167" s="58"/>
      <c r="BS5167" s="58"/>
      <c r="BT5167" s="58"/>
      <c r="BU5167" s="58"/>
      <c r="BV5167" s="58"/>
      <c r="BW5167" s="67"/>
      <c r="BX5167" s="67"/>
      <c r="BY5167" s="67"/>
      <c r="BZ5167" s="67"/>
      <c r="CA5167" s="67"/>
      <c r="CB5167" s="70">
        <v>11190</v>
      </c>
      <c r="CC5167" s="70">
        <v>11580</v>
      </c>
      <c r="CD5167" s="70"/>
      <c r="CE5167" s="67"/>
      <c r="CF5167" s="67"/>
      <c r="CG5167" s="67"/>
      <c r="CH5167" s="245"/>
      <c r="CI5167" s="245"/>
      <c r="CJ5167" s="67"/>
      <c r="CK5167" s="67"/>
      <c r="CL5167" s="67"/>
      <c r="CM5167" s="242"/>
      <c r="CN5167" s="242"/>
      <c r="CO5167" s="242"/>
      <c r="CP5167" s="242"/>
      <c r="CQ5167" s="242"/>
      <c r="CR5167" s="242"/>
      <c r="CS5167" s="242"/>
      <c r="CT5167" s="242"/>
      <c r="CU5167" s="242"/>
      <c r="CV5167" s="242"/>
      <c r="CW5167" s="242"/>
      <c r="CX5167" s="242"/>
      <c r="CY5167" s="242"/>
      <c r="CZ5167" s="242"/>
      <c r="DA5167" s="67"/>
      <c r="DB5167" s="67"/>
      <c r="DC5167" s="67"/>
      <c r="DD5167" s="67"/>
      <c r="DE5167" s="67"/>
      <c r="DF5167" s="67"/>
      <c r="DG5167" s="67"/>
      <c r="DH5167" s="67"/>
      <c r="DI5167" s="67"/>
      <c r="DJ5167" s="67"/>
      <c r="DK5167" s="67"/>
      <c r="DL5167" s="67"/>
      <c r="DM5167" s="67"/>
      <c r="DN5167" s="67"/>
      <c r="DO5167" s="67"/>
      <c r="DP5167" s="67"/>
      <c r="DQ5167" s="166"/>
      <c r="DR5167" s="166"/>
      <c r="DS5167" s="163"/>
      <c r="DT5167" s="163"/>
      <c r="DU5167" s="67"/>
      <c r="DV5167" s="67"/>
      <c r="DW5167" s="67"/>
      <c r="DX5167" s="67"/>
      <c r="DY5167" s="67"/>
      <c r="DZ5167" s="67"/>
      <c r="EA5167" s="67"/>
      <c r="EB5167" s="67"/>
      <c r="EC5167" s="67"/>
      <c r="ED5167" s="67"/>
      <c r="EE5167" s="67"/>
      <c r="EF5167" s="67"/>
      <c r="EG5167" s="67"/>
      <c r="EH5167" s="67"/>
      <c r="EI5167" s="67"/>
      <c r="EJ5167" s="67"/>
      <c r="EK5167" s="94"/>
      <c r="EL5167" s="94"/>
      <c r="EM5167" s="67"/>
      <c r="EN5167" s="67"/>
      <c r="EO5167" s="67"/>
      <c r="EP5167" s="67"/>
      <c r="EQ5167" s="67"/>
      <c r="ER5167" s="67"/>
      <c r="ES5167" s="67"/>
      <c r="ET5167" s="67"/>
      <c r="EU5167" s="67"/>
      <c r="EV5167" s="67"/>
      <c r="EW5167" s="67"/>
      <c r="EX5167" s="67"/>
      <c r="EY5167" s="67"/>
      <c r="EZ5167" s="67"/>
      <c r="FA5167" s="67"/>
      <c r="FB5167" s="67"/>
      <c r="FC5167" s="67"/>
      <c r="FD5167" s="67"/>
      <c r="FE5167" s="67"/>
      <c r="FF5167" s="67"/>
      <c r="FG5167" s="67"/>
      <c r="FH5167" s="67"/>
      <c r="FI5167" s="67"/>
      <c r="FJ5167" s="67"/>
      <c r="FK5167" s="67"/>
      <c r="FL5167" s="67"/>
      <c r="FM5167" s="67"/>
      <c r="FN5167" s="67"/>
      <c r="FO5167" s="67"/>
      <c r="FP5167" s="67"/>
      <c r="FQ5167" s="67"/>
      <c r="FR5167" s="67"/>
      <c r="FS5167" s="67"/>
      <c r="FT5167" s="67"/>
      <c r="FU5167" s="67"/>
      <c r="FV5167" s="67"/>
      <c r="FW5167" s="67"/>
      <c r="FX5167" s="67"/>
      <c r="FY5167" s="67"/>
      <c r="FZ5167" s="67"/>
      <c r="GA5167" s="67"/>
      <c r="GB5167" s="67"/>
      <c r="GC5167" s="67"/>
      <c r="GD5167" s="67"/>
      <c r="GE5167" s="67"/>
      <c r="GF5167" s="67"/>
      <c r="GG5167" s="67"/>
      <c r="GH5167" s="67"/>
      <c r="GI5167" s="67"/>
      <c r="GJ5167" s="67"/>
      <c r="GK5167" s="67"/>
      <c r="GL5167" s="67"/>
      <c r="GM5167" s="67"/>
      <c r="GN5167" s="292"/>
      <c r="GO5167" s="292"/>
      <c r="GP5167" s="292" t="s">
        <v>7494</v>
      </c>
      <c r="GQ5167" s="67"/>
      <c r="GR5167" s="67"/>
      <c r="GS5167" s="67"/>
      <c r="GT5167" s="67"/>
      <c r="GU5167" s="67"/>
      <c r="GV5167" s="67"/>
      <c r="GW5167" s="67"/>
      <c r="GX5167" s="67"/>
      <c r="GY5167" s="67"/>
      <c r="GZ5167" s="67"/>
      <c r="HA5167" s="67"/>
      <c r="HB5167" s="67"/>
      <c r="HC5167" s="67"/>
      <c r="HD5167" s="67"/>
      <c r="HE5167" s="67"/>
      <c r="HF5167" s="67"/>
      <c r="HG5167" s="67"/>
      <c r="HH5167" s="67"/>
      <c r="HI5167" s="67"/>
      <c r="HJ5167" s="67"/>
      <c r="HK5167" s="67"/>
      <c r="HL5167" s="67"/>
      <c r="HM5167" s="67"/>
      <c r="HN5167" s="67"/>
      <c r="HO5167" s="67"/>
      <c r="HP5167" s="67"/>
      <c r="HQ5167" s="67"/>
      <c r="HR5167" s="67"/>
      <c r="HS5167" s="67"/>
      <c r="HT5167" s="67"/>
      <c r="HU5167" s="67"/>
      <c r="HV5167" s="67"/>
      <c r="HW5167" s="67"/>
      <c r="HX5167" s="67"/>
      <c r="HY5167" s="67"/>
      <c r="HZ5167" s="67"/>
      <c r="IA5167" s="67"/>
      <c r="IB5167" s="67"/>
      <c r="IC5167" s="67"/>
      <c r="ID5167" s="67"/>
      <c r="IE5167" s="67"/>
      <c r="IF5167" s="67"/>
      <c r="IG5167" s="67"/>
      <c r="IH5167" s="67"/>
      <c r="II5167" s="67"/>
      <c r="IJ5167" s="67"/>
      <c r="IK5167" s="67"/>
      <c r="IL5167" s="67"/>
      <c r="IM5167" s="67"/>
      <c r="IN5167" s="67"/>
      <c r="IO5167" s="67"/>
      <c r="IP5167" s="67"/>
      <c r="IQ5167" s="67"/>
      <c r="IR5167" s="67"/>
      <c r="IS5167" s="67"/>
      <c r="IT5167" s="67"/>
      <c r="IU5167" s="67"/>
      <c r="IV5167" s="67"/>
      <c r="IW5167" s="67"/>
      <c r="IX5167" s="67"/>
      <c r="IY5167" s="67"/>
      <c r="IZ5167" s="67"/>
      <c r="JA5167" s="67"/>
      <c r="JB5167" s="67"/>
      <c r="JC5167" s="67"/>
      <c r="JD5167" s="67"/>
      <c r="JE5167" s="67"/>
      <c r="JF5167" s="67"/>
      <c r="JG5167" s="67"/>
      <c r="JH5167" s="67"/>
      <c r="JI5167" s="67"/>
      <c r="JJ5167" s="67"/>
      <c r="JK5167" s="67"/>
      <c r="JL5167" s="67"/>
      <c r="JM5167" s="67"/>
      <c r="JN5167" s="67"/>
      <c r="JO5167" s="67"/>
      <c r="JP5167" s="67"/>
      <c r="JQ5167" s="67"/>
      <c r="JR5167" s="67"/>
      <c r="JS5167" s="67"/>
      <c r="JT5167" s="67"/>
      <c r="JU5167" s="58"/>
      <c r="JV5167" s="58"/>
      <c r="JW5167" s="58"/>
    </row>
    <row r="5168" spans="1:283" s="23" customFormat="1" x14ac:dyDescent="0.25">
      <c r="A5168" s="55">
        <v>5167</v>
      </c>
      <c r="B5168" s="12" t="s">
        <v>7067</v>
      </c>
      <c r="C5168" s="156">
        <v>275</v>
      </c>
      <c r="D5168" s="58" t="s">
        <v>5045</v>
      </c>
      <c r="E5168" s="160" t="str">
        <f>G5168</f>
        <v>Teasdale et al. 2007_total horizon_pair 3</v>
      </c>
      <c r="F5168" s="160"/>
      <c r="G5168" s="60" t="s">
        <v>4683</v>
      </c>
      <c r="H5168" s="58">
        <v>2007</v>
      </c>
      <c r="I5168" s="58" t="s">
        <v>2905</v>
      </c>
      <c r="J5168" s="243" t="s">
        <v>282</v>
      </c>
      <c r="K5168" s="63" t="s">
        <v>5071</v>
      </c>
      <c r="L5168" s="58" t="s">
        <v>2737</v>
      </c>
      <c r="M5168" s="94">
        <v>39.03</v>
      </c>
      <c r="N5168" s="94">
        <v>-76.91</v>
      </c>
      <c r="O5168" s="94">
        <v>37</v>
      </c>
      <c r="P5168" s="58"/>
      <c r="Q5168" s="244">
        <v>12.800000000000002</v>
      </c>
      <c r="R5168" s="58"/>
      <c r="S5168" s="245">
        <v>1110</v>
      </c>
      <c r="T5168" s="58"/>
      <c r="U5168" s="58" t="s">
        <v>1816</v>
      </c>
      <c r="V5168" s="244">
        <v>9</v>
      </c>
      <c r="W5168" s="174"/>
      <c r="X5168" s="174"/>
      <c r="Y5168" s="58" t="s">
        <v>5471</v>
      </c>
      <c r="Z5168" s="244" t="s">
        <v>1347</v>
      </c>
      <c r="AA5168" s="245">
        <v>10</v>
      </c>
      <c r="AB5168" s="67"/>
      <c r="AC5168" s="67"/>
      <c r="AD5168" s="94"/>
      <c r="AE5168" s="94"/>
      <c r="AF5168" s="94"/>
      <c r="AG5168" s="245"/>
      <c r="AH5168" s="58" t="s">
        <v>139</v>
      </c>
      <c r="AI5168" s="169"/>
      <c r="AJ5168" s="94"/>
      <c r="AK5168" s="94"/>
      <c r="AL5168" s="58"/>
      <c r="AM5168" s="58" t="s">
        <v>1291</v>
      </c>
      <c r="AN5168" s="186"/>
      <c r="AO5168" s="185" t="s">
        <v>7494</v>
      </c>
      <c r="AP5168" s="58"/>
      <c r="AQ5168" s="58"/>
      <c r="AR5168" s="58" t="s">
        <v>132</v>
      </c>
      <c r="AS5168" s="58" t="s">
        <v>132</v>
      </c>
      <c r="AT5168" s="247">
        <v>0</v>
      </c>
      <c r="AU5168" s="181" t="s">
        <v>7494</v>
      </c>
      <c r="AV5168" s="185" t="s">
        <v>176</v>
      </c>
      <c r="AW5168" s="244">
        <v>1</v>
      </c>
      <c r="AX5168" s="185" t="s">
        <v>176</v>
      </c>
      <c r="AY5168" s="244" t="s">
        <v>5150</v>
      </c>
      <c r="AZ5168" s="58"/>
      <c r="BA5168" s="58"/>
      <c r="BB5168" s="58"/>
      <c r="BC5168" s="58"/>
      <c r="BD5168" s="58"/>
      <c r="BE5168" s="236" t="s">
        <v>5222</v>
      </c>
      <c r="BF5168" s="191" t="s">
        <v>479</v>
      </c>
      <c r="BG5168" s="191" t="s">
        <v>479</v>
      </c>
      <c r="BH5168" s="236" t="s">
        <v>5292</v>
      </c>
      <c r="BI5168" s="191" t="s">
        <v>479</v>
      </c>
      <c r="BJ5168" s="58" t="str">
        <f>IF(BE5168=BH5168,"No","yes")</f>
        <v>yes</v>
      </c>
      <c r="BK5168" s="58" t="s">
        <v>6335</v>
      </c>
      <c r="BL5168" s="58"/>
      <c r="BM5168" s="237"/>
      <c r="BN5168" s="244">
        <v>8</v>
      </c>
      <c r="BO5168" s="244">
        <v>8</v>
      </c>
      <c r="BP5168" s="58"/>
      <c r="BQ5168" s="58"/>
      <c r="BR5168" s="58"/>
      <c r="BS5168" s="58"/>
      <c r="BT5168" s="58"/>
      <c r="BU5168" s="58"/>
      <c r="BV5168" s="58"/>
      <c r="BW5168" s="67"/>
      <c r="BX5168" s="67"/>
      <c r="BY5168" s="67"/>
      <c r="BZ5168" s="67"/>
      <c r="CA5168" s="67"/>
      <c r="CB5168" s="70">
        <v>11190</v>
      </c>
      <c r="CC5168" s="70">
        <v>9250</v>
      </c>
      <c r="CD5168" s="70"/>
      <c r="CE5168" s="67"/>
      <c r="CF5168" s="67"/>
      <c r="CG5168" s="67"/>
      <c r="CH5168" s="245"/>
      <c r="CI5168" s="245"/>
      <c r="CJ5168" s="67"/>
      <c r="CK5168" s="67"/>
      <c r="CL5168" s="67"/>
      <c r="CM5168" s="242"/>
      <c r="CN5168" s="242"/>
      <c r="CO5168" s="242"/>
      <c r="CP5168" s="242"/>
      <c r="CQ5168" s="242"/>
      <c r="CR5168" s="242"/>
      <c r="CS5168" s="242"/>
      <c r="CT5168" s="242"/>
      <c r="CU5168" s="242"/>
      <c r="CV5168" s="242"/>
      <c r="CW5168" s="242"/>
      <c r="CX5168" s="242"/>
      <c r="CY5168" s="242"/>
      <c r="CZ5168" s="242"/>
      <c r="DA5168" s="67"/>
      <c r="DB5168" s="67"/>
      <c r="DC5168" s="67"/>
      <c r="DD5168" s="67"/>
      <c r="DE5168" s="67"/>
      <c r="DF5168" s="67"/>
      <c r="DG5168" s="67"/>
      <c r="DH5168" s="67"/>
      <c r="DI5168" s="67"/>
      <c r="DJ5168" s="67"/>
      <c r="DK5168" s="67"/>
      <c r="DL5168" s="67"/>
      <c r="DM5168" s="67"/>
      <c r="DN5168" s="67"/>
      <c r="DO5168" s="67"/>
      <c r="DP5168" s="67"/>
      <c r="DQ5168" s="166"/>
      <c r="DR5168" s="166"/>
      <c r="DS5168" s="163"/>
      <c r="DT5168" s="163"/>
      <c r="DU5168" s="67"/>
      <c r="DV5168" s="67"/>
      <c r="DW5168" s="67"/>
      <c r="DX5168" s="67"/>
      <c r="DY5168" s="67"/>
      <c r="DZ5168" s="67"/>
      <c r="EA5168" s="67"/>
      <c r="EB5168" s="67"/>
      <c r="EC5168" s="67"/>
      <c r="ED5168" s="67"/>
      <c r="EE5168" s="67"/>
      <c r="EF5168" s="67"/>
      <c r="EG5168" s="67"/>
      <c r="EH5168" s="67"/>
      <c r="EI5168" s="67"/>
      <c r="EJ5168" s="67"/>
      <c r="EK5168" s="94"/>
      <c r="EL5168" s="94"/>
      <c r="EM5168" s="67"/>
      <c r="EN5168" s="67"/>
      <c r="EO5168" s="67"/>
      <c r="EP5168" s="67"/>
      <c r="EQ5168" s="67"/>
      <c r="ER5168" s="67"/>
      <c r="ES5168" s="67"/>
      <c r="ET5168" s="67"/>
      <c r="EU5168" s="67"/>
      <c r="EV5168" s="67"/>
      <c r="EW5168" s="67"/>
      <c r="EX5168" s="67"/>
      <c r="EY5168" s="67"/>
      <c r="EZ5168" s="67"/>
      <c r="FA5168" s="67"/>
      <c r="FB5168" s="67"/>
      <c r="FC5168" s="67"/>
      <c r="FD5168" s="67"/>
      <c r="FE5168" s="67"/>
      <c r="FF5168" s="67"/>
      <c r="FG5168" s="67"/>
      <c r="FH5168" s="67"/>
      <c r="FI5168" s="67"/>
      <c r="FJ5168" s="67"/>
      <c r="FK5168" s="67"/>
      <c r="FL5168" s="67"/>
      <c r="FM5168" s="67"/>
      <c r="FN5168" s="67"/>
      <c r="FO5168" s="67"/>
      <c r="FP5168" s="67"/>
      <c r="FQ5168" s="67"/>
      <c r="FR5168" s="67"/>
      <c r="FS5168" s="67"/>
      <c r="FT5168" s="67"/>
      <c r="FU5168" s="67"/>
      <c r="FV5168" s="67"/>
      <c r="FW5168" s="67"/>
      <c r="FX5168" s="67"/>
      <c r="FY5168" s="67"/>
      <c r="FZ5168" s="67"/>
      <c r="GA5168" s="67"/>
      <c r="GB5168" s="67"/>
      <c r="GC5168" s="67"/>
      <c r="GD5168" s="67"/>
      <c r="GE5168" s="67"/>
      <c r="GF5168" s="67"/>
      <c r="GG5168" s="67"/>
      <c r="GH5168" s="67"/>
      <c r="GI5168" s="67"/>
      <c r="GJ5168" s="67"/>
      <c r="GK5168" s="67"/>
      <c r="GL5168" s="67"/>
      <c r="GM5168" s="67"/>
      <c r="GN5168" s="292"/>
      <c r="GO5168" s="292"/>
      <c r="GP5168" s="292" t="s">
        <v>7494</v>
      </c>
      <c r="GQ5168" s="67"/>
      <c r="GR5168" s="67"/>
      <c r="GS5168" s="67"/>
      <c r="GT5168" s="67"/>
      <c r="GU5168" s="67"/>
      <c r="GV5168" s="67"/>
      <c r="GW5168" s="67"/>
      <c r="GX5168" s="67"/>
      <c r="GY5168" s="67"/>
      <c r="GZ5168" s="67"/>
      <c r="HA5168" s="67"/>
      <c r="HB5168" s="67"/>
      <c r="HC5168" s="67"/>
      <c r="HD5168" s="67"/>
      <c r="HE5168" s="67"/>
      <c r="HF5168" s="67"/>
      <c r="HG5168" s="67"/>
      <c r="HH5168" s="67"/>
      <c r="HI5168" s="67"/>
      <c r="HJ5168" s="67"/>
      <c r="HK5168" s="67"/>
      <c r="HL5168" s="67"/>
      <c r="HM5168" s="67"/>
      <c r="HN5168" s="67"/>
      <c r="HO5168" s="67"/>
      <c r="HP5168" s="67"/>
      <c r="HQ5168" s="67"/>
      <c r="HR5168" s="67"/>
      <c r="HS5168" s="67"/>
      <c r="HT5168" s="67"/>
      <c r="HU5168" s="67"/>
      <c r="HV5168" s="67"/>
      <c r="HW5168" s="67"/>
      <c r="HX5168" s="67"/>
      <c r="HY5168" s="67"/>
      <c r="HZ5168" s="67"/>
      <c r="IA5168" s="67"/>
      <c r="IB5168" s="67"/>
      <c r="IC5168" s="67"/>
      <c r="ID5168" s="67"/>
      <c r="IE5168" s="67"/>
      <c r="IF5168" s="67"/>
      <c r="IG5168" s="67"/>
      <c r="IH5168" s="67"/>
      <c r="II5168" s="67"/>
      <c r="IJ5168" s="67"/>
      <c r="IK5168" s="67"/>
      <c r="IL5168" s="67"/>
      <c r="IM5168" s="67"/>
      <c r="IN5168" s="67"/>
      <c r="IO5168" s="67"/>
      <c r="IP5168" s="67"/>
      <c r="IQ5168" s="67"/>
      <c r="IR5168" s="67"/>
      <c r="IS5168" s="67"/>
      <c r="IT5168" s="67"/>
      <c r="IU5168" s="67"/>
      <c r="IV5168" s="67"/>
      <c r="IW5168" s="67"/>
      <c r="IX5168" s="67"/>
      <c r="IY5168" s="67"/>
      <c r="IZ5168" s="67"/>
      <c r="JA5168" s="67"/>
      <c r="JB5168" s="67"/>
      <c r="JC5168" s="67"/>
      <c r="JD5168" s="67"/>
      <c r="JE5168" s="67"/>
      <c r="JF5168" s="67"/>
      <c r="JG5168" s="67"/>
      <c r="JH5168" s="67"/>
      <c r="JI5168" s="67"/>
      <c r="JJ5168" s="67"/>
      <c r="JK5168" s="67"/>
      <c r="JL5168" s="67"/>
      <c r="JM5168" s="67"/>
      <c r="JN5168" s="67"/>
      <c r="JO5168" s="67"/>
      <c r="JP5168" s="67"/>
      <c r="JQ5168" s="67"/>
      <c r="JR5168" s="67"/>
      <c r="JS5168" s="67"/>
      <c r="JT5168" s="67"/>
      <c r="JU5168" s="58"/>
      <c r="JV5168" s="58"/>
      <c r="JW5168" s="58"/>
    </row>
    <row r="5169" spans="1:283" s="23" customFormat="1" x14ac:dyDescent="0.25">
      <c r="A5169" s="55">
        <v>5168</v>
      </c>
      <c r="B5169" s="12" t="s">
        <v>7067</v>
      </c>
      <c r="C5169" s="156">
        <v>275</v>
      </c>
      <c r="D5169" s="58" t="s">
        <v>5045</v>
      </c>
      <c r="E5169" s="160" t="str">
        <f>G5169</f>
        <v>Teasdale et al. 2007_total horizon_pair 3</v>
      </c>
      <c r="F5169" s="160"/>
      <c r="G5169" s="60" t="s">
        <v>4683</v>
      </c>
      <c r="H5169" s="58">
        <v>2007</v>
      </c>
      <c r="I5169" s="58" t="s">
        <v>2905</v>
      </c>
      <c r="J5169" s="243" t="s">
        <v>282</v>
      </c>
      <c r="K5169" s="63" t="s">
        <v>5071</v>
      </c>
      <c r="L5169" s="58" t="s">
        <v>2737</v>
      </c>
      <c r="M5169" s="94">
        <v>39.03</v>
      </c>
      <c r="N5169" s="94">
        <v>-76.91</v>
      </c>
      <c r="O5169" s="94">
        <v>37</v>
      </c>
      <c r="P5169" s="58"/>
      <c r="Q5169" s="244">
        <v>12.800000000000002</v>
      </c>
      <c r="R5169" s="58"/>
      <c r="S5169" s="245">
        <v>1110</v>
      </c>
      <c r="T5169" s="58"/>
      <c r="U5169" s="58" t="s">
        <v>1816</v>
      </c>
      <c r="V5169" s="244">
        <v>9</v>
      </c>
      <c r="W5169" s="174"/>
      <c r="X5169" s="174"/>
      <c r="Y5169" s="58" t="s">
        <v>5471</v>
      </c>
      <c r="Z5169" s="244" t="s">
        <v>1347</v>
      </c>
      <c r="AA5169" s="245">
        <v>10</v>
      </c>
      <c r="AB5169" s="67"/>
      <c r="AC5169" s="67"/>
      <c r="AD5169" s="94"/>
      <c r="AE5169" s="94"/>
      <c r="AF5169" s="94"/>
      <c r="AG5169" s="245"/>
      <c r="AH5169" s="58" t="s">
        <v>139</v>
      </c>
      <c r="AI5169" s="169"/>
      <c r="AJ5169" s="94"/>
      <c r="AK5169" s="94"/>
      <c r="AL5169" s="58"/>
      <c r="AM5169" s="58" t="s">
        <v>1291</v>
      </c>
      <c r="AN5169" s="186"/>
      <c r="AO5169" s="185" t="s">
        <v>7494</v>
      </c>
      <c r="AP5169" s="58"/>
      <c r="AQ5169" s="58"/>
      <c r="AR5169" s="58" t="s">
        <v>116</v>
      </c>
      <c r="AS5169" s="58" t="s">
        <v>116</v>
      </c>
      <c r="AT5169" s="247">
        <v>0</v>
      </c>
      <c r="AU5169" s="181" t="s">
        <v>7494</v>
      </c>
      <c r="AV5169" s="185" t="s">
        <v>176</v>
      </c>
      <c r="AW5169" s="244">
        <v>1</v>
      </c>
      <c r="AX5169" s="185" t="s">
        <v>176</v>
      </c>
      <c r="AY5169" s="244" t="s">
        <v>5150</v>
      </c>
      <c r="AZ5169" s="58"/>
      <c r="BA5169" s="58"/>
      <c r="BB5169" s="58"/>
      <c r="BC5169" s="58"/>
      <c r="BD5169" s="58"/>
      <c r="BE5169" s="236" t="s">
        <v>5222</v>
      </c>
      <c r="BF5169" s="191" t="s">
        <v>479</v>
      </c>
      <c r="BG5169" s="191" t="s">
        <v>479</v>
      </c>
      <c r="BH5169" s="236" t="s">
        <v>5292</v>
      </c>
      <c r="BI5169" s="191" t="s">
        <v>479</v>
      </c>
      <c r="BJ5169" s="58" t="str">
        <f>IF(BE5169=BH5169,"No","yes")</f>
        <v>yes</v>
      </c>
      <c r="BK5169" s="58" t="s">
        <v>6335</v>
      </c>
      <c r="BL5169" s="58"/>
      <c r="BM5169" s="237"/>
      <c r="BN5169" s="244">
        <v>8</v>
      </c>
      <c r="BO5169" s="244">
        <v>8</v>
      </c>
      <c r="BP5169" s="58"/>
      <c r="BQ5169" s="58"/>
      <c r="BR5169" s="58"/>
      <c r="BS5169" s="58"/>
      <c r="BT5169" s="58"/>
      <c r="BU5169" s="58"/>
      <c r="BV5169" s="58"/>
      <c r="BW5169" s="67"/>
      <c r="BX5169" s="67"/>
      <c r="BY5169" s="67"/>
      <c r="BZ5169" s="67"/>
      <c r="CA5169" s="67"/>
      <c r="CB5169" s="70">
        <v>1980</v>
      </c>
      <c r="CC5169" s="70">
        <v>3270</v>
      </c>
      <c r="CD5169" s="70"/>
      <c r="CE5169" s="67"/>
      <c r="CF5169" s="67"/>
      <c r="CG5169" s="67"/>
      <c r="CH5169" s="245"/>
      <c r="CI5169" s="245"/>
      <c r="CJ5169" s="67"/>
      <c r="CK5169" s="67"/>
      <c r="CL5169" s="67"/>
      <c r="CM5169" s="242"/>
      <c r="CN5169" s="242"/>
      <c r="CO5169" s="242"/>
      <c r="CP5169" s="242"/>
      <c r="CQ5169" s="242"/>
      <c r="CR5169" s="242"/>
      <c r="CS5169" s="242"/>
      <c r="CT5169" s="242"/>
      <c r="CU5169" s="242"/>
      <c r="CV5169" s="242"/>
      <c r="CW5169" s="242"/>
      <c r="CX5169" s="242"/>
      <c r="CY5169" s="242"/>
      <c r="CZ5169" s="242"/>
      <c r="DA5169" s="67"/>
      <c r="DB5169" s="67"/>
      <c r="DC5169" s="67"/>
      <c r="DD5169" s="67"/>
      <c r="DE5169" s="67"/>
      <c r="DF5169" s="67"/>
      <c r="DG5169" s="67"/>
      <c r="DH5169" s="67"/>
      <c r="DI5169" s="67"/>
      <c r="DJ5169" s="67"/>
      <c r="DK5169" s="67"/>
      <c r="DL5169" s="67"/>
      <c r="DM5169" s="67"/>
      <c r="DN5169" s="67"/>
      <c r="DO5169" s="67"/>
      <c r="DP5169" s="67"/>
      <c r="DQ5169" s="166"/>
      <c r="DR5169" s="166"/>
      <c r="DS5169" s="163"/>
      <c r="DT5169" s="163"/>
      <c r="DU5169" s="67"/>
      <c r="DV5169" s="67"/>
      <c r="DW5169" s="67"/>
      <c r="DX5169" s="67"/>
      <c r="DY5169" s="67"/>
      <c r="DZ5169" s="67"/>
      <c r="EA5169" s="67"/>
      <c r="EB5169" s="67"/>
      <c r="EC5169" s="67"/>
      <c r="ED5169" s="67"/>
      <c r="EE5169" s="67"/>
      <c r="EF5169" s="67"/>
      <c r="EG5169" s="67"/>
      <c r="EH5169" s="67"/>
      <c r="EI5169" s="67"/>
      <c r="EJ5169" s="67"/>
      <c r="EK5169" s="94"/>
      <c r="EL5169" s="94"/>
      <c r="EM5169" s="67"/>
      <c r="EN5169" s="67"/>
      <c r="EO5169" s="67"/>
      <c r="EP5169" s="67"/>
      <c r="EQ5169" s="67"/>
      <c r="ER5169" s="67"/>
      <c r="ES5169" s="67"/>
      <c r="ET5169" s="67"/>
      <c r="EU5169" s="67"/>
      <c r="EV5169" s="67"/>
      <c r="EW5169" s="67"/>
      <c r="EX5169" s="67"/>
      <c r="EY5169" s="67"/>
      <c r="EZ5169" s="67"/>
      <c r="FA5169" s="67"/>
      <c r="FB5169" s="67"/>
      <c r="FC5169" s="67"/>
      <c r="FD5169" s="67"/>
      <c r="FE5169" s="67"/>
      <c r="FF5169" s="67"/>
      <c r="FG5169" s="67"/>
      <c r="FH5169" s="67"/>
      <c r="FI5169" s="67"/>
      <c r="FJ5169" s="67"/>
      <c r="FK5169" s="67"/>
      <c r="FL5169" s="67"/>
      <c r="FM5169" s="67"/>
      <c r="FN5169" s="67"/>
      <c r="FO5169" s="67"/>
      <c r="FP5169" s="67"/>
      <c r="FQ5169" s="67"/>
      <c r="FR5169" s="67"/>
      <c r="FS5169" s="67"/>
      <c r="FT5169" s="67"/>
      <c r="FU5169" s="67"/>
      <c r="FV5169" s="67"/>
      <c r="FW5169" s="67"/>
      <c r="FX5169" s="67"/>
      <c r="FY5169" s="67"/>
      <c r="FZ5169" s="67"/>
      <c r="GA5169" s="67"/>
      <c r="GB5169" s="67"/>
      <c r="GC5169" s="67"/>
      <c r="GD5169" s="67"/>
      <c r="GE5169" s="67"/>
      <c r="GF5169" s="67"/>
      <c r="GG5169" s="67"/>
      <c r="GH5169" s="67"/>
      <c r="GI5169" s="67"/>
      <c r="GJ5169" s="67"/>
      <c r="GK5169" s="67"/>
      <c r="GL5169" s="67"/>
      <c r="GM5169" s="67"/>
      <c r="GN5169" s="292"/>
      <c r="GO5169" s="292"/>
      <c r="GP5169" s="292" t="s">
        <v>7494</v>
      </c>
      <c r="GQ5169" s="67"/>
      <c r="GR5169" s="67"/>
      <c r="GS5169" s="67"/>
      <c r="GT5169" s="67"/>
      <c r="GU5169" s="67"/>
      <c r="GV5169" s="67"/>
      <c r="GW5169" s="67"/>
      <c r="GX5169" s="67"/>
      <c r="GY5169" s="67"/>
      <c r="GZ5169" s="67"/>
      <c r="HA5169" s="67"/>
      <c r="HB5169" s="67"/>
      <c r="HC5169" s="67"/>
      <c r="HD5169" s="67"/>
      <c r="HE5169" s="67"/>
      <c r="HF5169" s="67"/>
      <c r="HG5169" s="67"/>
      <c r="HH5169" s="67"/>
      <c r="HI5169" s="67"/>
      <c r="HJ5169" s="67"/>
      <c r="HK5169" s="67"/>
      <c r="HL5169" s="67"/>
      <c r="HM5169" s="67"/>
      <c r="HN5169" s="67"/>
      <c r="HO5169" s="67"/>
      <c r="HP5169" s="67"/>
      <c r="HQ5169" s="67"/>
      <c r="HR5169" s="67"/>
      <c r="HS5169" s="67"/>
      <c r="HT5169" s="67"/>
      <c r="HU5169" s="67"/>
      <c r="HV5169" s="67"/>
      <c r="HW5169" s="67"/>
      <c r="HX5169" s="67"/>
      <c r="HY5169" s="67"/>
      <c r="HZ5169" s="67"/>
      <c r="IA5169" s="67"/>
      <c r="IB5169" s="67"/>
      <c r="IC5169" s="67"/>
      <c r="ID5169" s="67"/>
      <c r="IE5169" s="67"/>
      <c r="IF5169" s="67"/>
      <c r="IG5169" s="67"/>
      <c r="IH5169" s="67"/>
      <c r="II5169" s="67"/>
      <c r="IJ5169" s="67"/>
      <c r="IK5169" s="67"/>
      <c r="IL5169" s="67"/>
      <c r="IM5169" s="67"/>
      <c r="IN5169" s="67"/>
      <c r="IO5169" s="67"/>
      <c r="IP5169" s="67"/>
      <c r="IQ5169" s="67"/>
      <c r="IR5169" s="67"/>
      <c r="IS5169" s="67"/>
      <c r="IT5169" s="67"/>
      <c r="IU5169" s="67"/>
      <c r="IV5169" s="67"/>
      <c r="IW5169" s="67"/>
      <c r="IX5169" s="67"/>
      <c r="IY5169" s="67"/>
      <c r="IZ5169" s="67"/>
      <c r="JA5169" s="67"/>
      <c r="JB5169" s="67"/>
      <c r="JC5169" s="67"/>
      <c r="JD5169" s="67"/>
      <c r="JE5169" s="67"/>
      <c r="JF5169" s="67"/>
      <c r="JG5169" s="67"/>
      <c r="JH5169" s="67"/>
      <c r="JI5169" s="67"/>
      <c r="JJ5169" s="67"/>
      <c r="JK5169" s="67"/>
      <c r="JL5169" s="67"/>
      <c r="JM5169" s="67"/>
      <c r="JN5169" s="67"/>
      <c r="JO5169" s="67"/>
      <c r="JP5169" s="67"/>
      <c r="JQ5169" s="67"/>
      <c r="JR5169" s="67"/>
      <c r="JS5169" s="67"/>
      <c r="JT5169" s="67"/>
      <c r="JU5169" s="58"/>
      <c r="JV5169" s="58"/>
      <c r="JW5169" s="58"/>
    </row>
    <row r="5170" spans="1:283" s="23" customFormat="1" x14ac:dyDescent="0.25">
      <c r="A5170" s="55">
        <v>5169</v>
      </c>
      <c r="B5170" s="12" t="s">
        <v>7067</v>
      </c>
      <c r="C5170" s="156">
        <v>275</v>
      </c>
      <c r="D5170" s="58" t="s">
        <v>5043</v>
      </c>
      <c r="E5170" s="160" t="str">
        <f>G5170</f>
        <v>Teasdale et al. 2007_total horizon_pair 1</v>
      </c>
      <c r="F5170" s="160"/>
      <c r="G5170" s="60" t="s">
        <v>4685</v>
      </c>
      <c r="H5170" s="58">
        <v>2007</v>
      </c>
      <c r="I5170" s="58" t="s">
        <v>5626</v>
      </c>
      <c r="J5170" s="243" t="s">
        <v>282</v>
      </c>
      <c r="K5170" s="63" t="s">
        <v>5071</v>
      </c>
      <c r="L5170" s="58" t="s">
        <v>2737</v>
      </c>
      <c r="M5170" s="94">
        <v>39.03</v>
      </c>
      <c r="N5170" s="94">
        <v>-76.91</v>
      </c>
      <c r="O5170" s="94">
        <v>37</v>
      </c>
      <c r="P5170" s="58"/>
      <c r="Q5170" s="244">
        <v>12.800000000000002</v>
      </c>
      <c r="R5170" s="58"/>
      <c r="S5170" s="245">
        <v>1110</v>
      </c>
      <c r="T5170" s="58"/>
      <c r="U5170" s="58" t="s">
        <v>1816</v>
      </c>
      <c r="V5170" s="244">
        <v>9</v>
      </c>
      <c r="W5170" s="174"/>
      <c r="X5170" s="174"/>
      <c r="Y5170" s="58" t="s">
        <v>5471</v>
      </c>
      <c r="Z5170" s="244" t="s">
        <v>1347</v>
      </c>
      <c r="AA5170" s="245">
        <v>10</v>
      </c>
      <c r="AB5170" s="67"/>
      <c r="AC5170" s="67"/>
      <c r="AD5170" s="94"/>
      <c r="AE5170" s="94"/>
      <c r="AF5170" s="94"/>
      <c r="AG5170" s="245"/>
      <c r="AH5170" s="58" t="s">
        <v>139</v>
      </c>
      <c r="AI5170" s="169"/>
      <c r="AJ5170" s="94"/>
      <c r="AK5170" s="94"/>
      <c r="AL5170" s="58"/>
      <c r="AM5170" s="58" t="s">
        <v>1291</v>
      </c>
      <c r="AN5170" s="186"/>
      <c r="AO5170" s="185" t="s">
        <v>7494</v>
      </c>
      <c r="AP5170" s="58"/>
      <c r="AQ5170" s="58"/>
      <c r="AR5170" s="58" t="s">
        <v>132</v>
      </c>
      <c r="AS5170" s="246" t="s">
        <v>132</v>
      </c>
      <c r="AT5170" s="247">
        <v>0</v>
      </c>
      <c r="AU5170" s="181" t="s">
        <v>7494</v>
      </c>
      <c r="AV5170" s="185" t="s">
        <v>176</v>
      </c>
      <c r="AW5170" s="244">
        <v>1</v>
      </c>
      <c r="AX5170" s="185" t="s">
        <v>176</v>
      </c>
      <c r="AY5170" s="244" t="s">
        <v>5150</v>
      </c>
      <c r="AZ5170" s="58"/>
      <c r="BA5170" s="58"/>
      <c r="BB5170" s="58"/>
      <c r="BC5170" s="58"/>
      <c r="BD5170" s="58"/>
      <c r="BE5170" s="236" t="s">
        <v>5222</v>
      </c>
      <c r="BF5170" s="191" t="s">
        <v>479</v>
      </c>
      <c r="BG5170" s="191" t="s">
        <v>479</v>
      </c>
      <c r="BH5170" s="236" t="s">
        <v>5292</v>
      </c>
      <c r="BI5170" s="191" t="s">
        <v>479</v>
      </c>
      <c r="BJ5170" s="58" t="str">
        <f>IF(BE5170=BH5170,"No","yes")</f>
        <v>yes</v>
      </c>
      <c r="BK5170" s="58" t="s">
        <v>6335</v>
      </c>
      <c r="BL5170" s="58"/>
      <c r="BM5170" s="237"/>
      <c r="BN5170" s="244">
        <v>8</v>
      </c>
      <c r="BO5170" s="244">
        <v>8</v>
      </c>
      <c r="BP5170" s="58"/>
      <c r="BQ5170" s="58"/>
      <c r="BR5170" s="58"/>
      <c r="BS5170" s="58"/>
      <c r="BT5170" s="58"/>
      <c r="BU5170" s="58"/>
      <c r="BV5170" s="58"/>
      <c r="BW5170" s="67"/>
      <c r="BX5170" s="67"/>
      <c r="BY5170" s="67"/>
      <c r="BZ5170" s="67"/>
      <c r="CA5170" s="67"/>
      <c r="CB5170" s="70">
        <v>6630</v>
      </c>
      <c r="CC5170" s="70">
        <v>6210</v>
      </c>
      <c r="CD5170" s="70"/>
      <c r="CE5170" s="67"/>
      <c r="CF5170" s="67"/>
      <c r="CG5170" s="67"/>
      <c r="CH5170" s="245"/>
      <c r="CI5170" s="245"/>
      <c r="CJ5170" s="67"/>
      <c r="CK5170" s="67"/>
      <c r="CL5170" s="67"/>
      <c r="CM5170" s="242"/>
      <c r="CN5170" s="242"/>
      <c r="CO5170" s="242"/>
      <c r="CP5170" s="242"/>
      <c r="CQ5170" s="242"/>
      <c r="CR5170" s="242"/>
      <c r="CS5170" s="242"/>
      <c r="CT5170" s="242"/>
      <c r="CU5170" s="242"/>
      <c r="CV5170" s="242"/>
      <c r="CW5170" s="242"/>
      <c r="CX5170" s="242"/>
      <c r="CY5170" s="242"/>
      <c r="CZ5170" s="242"/>
      <c r="DA5170" s="67"/>
      <c r="DB5170" s="67"/>
      <c r="DC5170" s="67"/>
      <c r="DD5170" s="67"/>
      <c r="DE5170" s="67"/>
      <c r="DF5170" s="67"/>
      <c r="DG5170" s="67"/>
      <c r="DH5170" s="67"/>
      <c r="DI5170" s="67"/>
      <c r="DJ5170" s="67"/>
      <c r="DK5170" s="67"/>
      <c r="DL5170" s="67"/>
      <c r="DM5170" s="67"/>
      <c r="DN5170" s="67"/>
      <c r="DO5170" s="67"/>
      <c r="DP5170" s="67"/>
      <c r="DQ5170" s="166"/>
      <c r="DR5170" s="166"/>
      <c r="DS5170" s="163"/>
      <c r="DT5170" s="163"/>
      <c r="DU5170" s="67"/>
      <c r="DV5170" s="67"/>
      <c r="DW5170" s="67"/>
      <c r="DX5170" s="67"/>
      <c r="DY5170" s="67"/>
      <c r="DZ5170" s="67"/>
      <c r="EA5170" s="67"/>
      <c r="EB5170" s="67"/>
      <c r="EC5170" s="67"/>
      <c r="ED5170" s="67"/>
      <c r="EE5170" s="67"/>
      <c r="EF5170" s="67"/>
      <c r="EG5170" s="67"/>
      <c r="EH5170" s="67"/>
      <c r="EI5170" s="67"/>
      <c r="EJ5170" s="67"/>
      <c r="EK5170" s="94"/>
      <c r="EL5170" s="94"/>
      <c r="EM5170" s="67"/>
      <c r="EN5170" s="67"/>
      <c r="EO5170" s="67"/>
      <c r="EP5170" s="67"/>
      <c r="EQ5170" s="67"/>
      <c r="ER5170" s="67"/>
      <c r="ES5170" s="67"/>
      <c r="ET5170" s="67"/>
      <c r="EU5170" s="67"/>
      <c r="EV5170" s="67"/>
      <c r="EW5170" s="67"/>
      <c r="EX5170" s="67"/>
      <c r="EY5170" s="67"/>
      <c r="EZ5170" s="67"/>
      <c r="FA5170" s="67"/>
      <c r="FB5170" s="67"/>
      <c r="FC5170" s="67"/>
      <c r="FD5170" s="67"/>
      <c r="FE5170" s="67"/>
      <c r="FF5170" s="67"/>
      <c r="FG5170" s="67"/>
      <c r="FH5170" s="67"/>
      <c r="FI5170" s="67"/>
      <c r="FJ5170" s="67"/>
      <c r="FK5170" s="67"/>
      <c r="FL5170" s="67"/>
      <c r="FM5170" s="67"/>
      <c r="FN5170" s="67"/>
      <c r="FO5170" s="67"/>
      <c r="FP5170" s="67"/>
      <c r="FQ5170" s="67"/>
      <c r="FR5170" s="67"/>
      <c r="FS5170" s="67"/>
      <c r="FT5170" s="67"/>
      <c r="FU5170" s="67"/>
      <c r="FV5170" s="67"/>
      <c r="FW5170" s="67"/>
      <c r="FX5170" s="67"/>
      <c r="FY5170" s="67"/>
      <c r="FZ5170" s="67"/>
      <c r="GA5170" s="67"/>
      <c r="GB5170" s="67"/>
      <c r="GC5170" s="67"/>
      <c r="GD5170" s="67"/>
      <c r="GE5170" s="67"/>
      <c r="GF5170" s="67"/>
      <c r="GG5170" s="67"/>
      <c r="GH5170" s="67"/>
      <c r="GI5170" s="67"/>
      <c r="GJ5170" s="67"/>
      <c r="GK5170" s="67"/>
      <c r="GL5170" s="67"/>
      <c r="GM5170" s="67"/>
      <c r="GN5170" s="292"/>
      <c r="GO5170" s="292"/>
      <c r="GP5170" s="292" t="s">
        <v>7494</v>
      </c>
      <c r="GQ5170" s="67"/>
      <c r="GR5170" s="67"/>
      <c r="GS5170" s="67"/>
      <c r="GT5170" s="67"/>
      <c r="GU5170" s="67"/>
      <c r="GV5170" s="67"/>
      <c r="GW5170" s="67"/>
      <c r="GX5170" s="67"/>
      <c r="GY5170" s="67"/>
      <c r="GZ5170" s="67"/>
      <c r="HA5170" s="67"/>
      <c r="HB5170" s="67"/>
      <c r="HC5170" s="67"/>
      <c r="HD5170" s="67"/>
      <c r="HE5170" s="67"/>
      <c r="HF5170" s="67"/>
      <c r="HG5170" s="67"/>
      <c r="HH5170" s="67"/>
      <c r="HI5170" s="67"/>
      <c r="HJ5170" s="67"/>
      <c r="HK5170" s="67"/>
      <c r="HL5170" s="67"/>
      <c r="HM5170" s="67"/>
      <c r="HN5170" s="67"/>
      <c r="HO5170" s="67"/>
      <c r="HP5170" s="67"/>
      <c r="HQ5170" s="67"/>
      <c r="HR5170" s="67"/>
      <c r="HS5170" s="67"/>
      <c r="HT5170" s="67"/>
      <c r="HU5170" s="67"/>
      <c r="HV5170" s="67"/>
      <c r="HW5170" s="67"/>
      <c r="HX5170" s="67"/>
      <c r="HY5170" s="67"/>
      <c r="HZ5170" s="67"/>
      <c r="IA5170" s="67"/>
      <c r="IB5170" s="67"/>
      <c r="IC5170" s="67"/>
      <c r="ID5170" s="67"/>
      <c r="IE5170" s="67"/>
      <c r="IF5170" s="67"/>
      <c r="IG5170" s="67"/>
      <c r="IH5170" s="67"/>
      <c r="II5170" s="67"/>
      <c r="IJ5170" s="67"/>
      <c r="IK5170" s="67"/>
      <c r="IL5170" s="67"/>
      <c r="IM5170" s="67"/>
      <c r="IN5170" s="67"/>
      <c r="IO5170" s="67"/>
      <c r="IP5170" s="67"/>
      <c r="IQ5170" s="67"/>
      <c r="IR5170" s="67"/>
      <c r="IS5170" s="67"/>
      <c r="IT5170" s="67"/>
      <c r="IU5170" s="67"/>
      <c r="IV5170" s="67"/>
      <c r="IW5170" s="67"/>
      <c r="IX5170" s="67"/>
      <c r="IY5170" s="67"/>
      <c r="IZ5170" s="67"/>
      <c r="JA5170" s="67"/>
      <c r="JB5170" s="67"/>
      <c r="JC5170" s="67"/>
      <c r="JD5170" s="67"/>
      <c r="JE5170" s="67"/>
      <c r="JF5170" s="67"/>
      <c r="JG5170" s="67"/>
      <c r="JH5170" s="67"/>
      <c r="JI5170" s="67"/>
      <c r="JJ5170" s="67"/>
      <c r="JK5170" s="67"/>
      <c r="JL5170" s="67"/>
      <c r="JM5170" s="67"/>
      <c r="JN5170" s="67"/>
      <c r="JO5170" s="67"/>
      <c r="JP5170" s="67"/>
      <c r="JQ5170" s="67"/>
      <c r="JR5170" s="67"/>
      <c r="JS5170" s="67"/>
      <c r="JT5170" s="67"/>
      <c r="JU5170" s="58"/>
      <c r="JV5170" s="58"/>
      <c r="JW5170" s="58"/>
    </row>
    <row r="5171" spans="1:283" s="23" customFormat="1" x14ac:dyDescent="0.25">
      <c r="A5171" s="55">
        <v>5170</v>
      </c>
      <c r="B5171" s="12" t="s">
        <v>7067</v>
      </c>
      <c r="C5171" s="156">
        <v>275</v>
      </c>
      <c r="D5171" s="58" t="s">
        <v>5044</v>
      </c>
      <c r="E5171" s="160" t="str">
        <f>G5171</f>
        <v>Teasdale et al. 2007_total horizon_pair 2</v>
      </c>
      <c r="F5171" s="160"/>
      <c r="G5171" s="60" t="s">
        <v>4684</v>
      </c>
      <c r="H5171" s="58">
        <v>2007</v>
      </c>
      <c r="I5171" s="58" t="s">
        <v>5626</v>
      </c>
      <c r="J5171" s="243" t="s">
        <v>282</v>
      </c>
      <c r="K5171" s="63" t="s">
        <v>5071</v>
      </c>
      <c r="L5171" s="58" t="s">
        <v>2737</v>
      </c>
      <c r="M5171" s="94">
        <v>39.03</v>
      </c>
      <c r="N5171" s="94">
        <v>-76.91</v>
      </c>
      <c r="O5171" s="94">
        <v>37</v>
      </c>
      <c r="P5171" s="58"/>
      <c r="Q5171" s="244">
        <v>12.800000000000002</v>
      </c>
      <c r="R5171" s="58"/>
      <c r="S5171" s="245">
        <v>1110</v>
      </c>
      <c r="T5171" s="58"/>
      <c r="U5171" s="58" t="s">
        <v>1816</v>
      </c>
      <c r="V5171" s="244">
        <v>9</v>
      </c>
      <c r="W5171" s="174"/>
      <c r="X5171" s="174"/>
      <c r="Y5171" s="58" t="s">
        <v>5471</v>
      </c>
      <c r="Z5171" s="244" t="s">
        <v>1347</v>
      </c>
      <c r="AA5171" s="245">
        <v>10</v>
      </c>
      <c r="AB5171" s="67"/>
      <c r="AC5171" s="67"/>
      <c r="AD5171" s="94"/>
      <c r="AE5171" s="94"/>
      <c r="AF5171" s="94"/>
      <c r="AG5171" s="245"/>
      <c r="AH5171" s="58" t="s">
        <v>139</v>
      </c>
      <c r="AI5171" s="169"/>
      <c r="AJ5171" s="94"/>
      <c r="AK5171" s="94"/>
      <c r="AL5171" s="58"/>
      <c r="AM5171" s="58" t="s">
        <v>1291</v>
      </c>
      <c r="AN5171" s="186"/>
      <c r="AO5171" s="185" t="s">
        <v>7494</v>
      </c>
      <c r="AP5171" s="58"/>
      <c r="AQ5171" s="58"/>
      <c r="AR5171" s="58" t="s">
        <v>132</v>
      </c>
      <c r="AS5171" s="246" t="s">
        <v>132</v>
      </c>
      <c r="AT5171" s="247">
        <v>0</v>
      </c>
      <c r="AU5171" s="181" t="s">
        <v>7494</v>
      </c>
      <c r="AV5171" s="185" t="s">
        <v>176</v>
      </c>
      <c r="AW5171" s="244">
        <v>1</v>
      </c>
      <c r="AX5171" s="185" t="s">
        <v>176</v>
      </c>
      <c r="AY5171" s="244" t="s">
        <v>5150</v>
      </c>
      <c r="AZ5171" s="58"/>
      <c r="BA5171" s="58"/>
      <c r="BB5171" s="58"/>
      <c r="BC5171" s="58"/>
      <c r="BD5171" s="58"/>
      <c r="BE5171" s="236" t="s">
        <v>5223</v>
      </c>
      <c r="BF5171" s="191" t="s">
        <v>479</v>
      </c>
      <c r="BG5171" s="191" t="s">
        <v>479</v>
      </c>
      <c r="BH5171" s="236" t="s">
        <v>5292</v>
      </c>
      <c r="BI5171" s="191" t="s">
        <v>479</v>
      </c>
      <c r="BJ5171" s="58" t="str">
        <f>IF(BE5171=BH5171,"No","yes")</f>
        <v>yes</v>
      </c>
      <c r="BK5171" s="58" t="s">
        <v>6335</v>
      </c>
      <c r="BL5171" s="58"/>
      <c r="BM5171" s="237"/>
      <c r="BN5171" s="244">
        <v>8</v>
      </c>
      <c r="BO5171" s="244">
        <v>8</v>
      </c>
      <c r="BP5171" s="58"/>
      <c r="BQ5171" s="58"/>
      <c r="BR5171" s="58"/>
      <c r="BS5171" s="58"/>
      <c r="BT5171" s="58"/>
      <c r="BU5171" s="58"/>
      <c r="BV5171" s="58"/>
      <c r="BW5171" s="67"/>
      <c r="BX5171" s="67"/>
      <c r="BY5171" s="67"/>
      <c r="BZ5171" s="67"/>
      <c r="CA5171" s="67"/>
      <c r="CB5171" s="70">
        <v>6630</v>
      </c>
      <c r="CC5171" s="70">
        <v>3630</v>
      </c>
      <c r="CD5171" s="70"/>
      <c r="CE5171" s="67"/>
      <c r="CF5171" s="67"/>
      <c r="CG5171" s="67"/>
      <c r="CH5171" s="245"/>
      <c r="CI5171" s="245"/>
      <c r="CJ5171" s="67"/>
      <c r="CK5171" s="67"/>
      <c r="CL5171" s="67"/>
      <c r="CM5171" s="242"/>
      <c r="CN5171" s="242"/>
      <c r="CO5171" s="242"/>
      <c r="CP5171" s="242"/>
      <c r="CQ5171" s="242"/>
      <c r="CR5171" s="242"/>
      <c r="CS5171" s="242"/>
      <c r="CT5171" s="242"/>
      <c r="CU5171" s="242"/>
      <c r="CV5171" s="242"/>
      <c r="CW5171" s="242"/>
      <c r="CX5171" s="242"/>
      <c r="CY5171" s="242"/>
      <c r="CZ5171" s="242"/>
      <c r="DA5171" s="67"/>
      <c r="DB5171" s="67"/>
      <c r="DC5171" s="67"/>
      <c r="DD5171" s="67"/>
      <c r="DE5171" s="67"/>
      <c r="DF5171" s="67"/>
      <c r="DG5171" s="67"/>
      <c r="DH5171" s="67"/>
      <c r="DI5171" s="67"/>
      <c r="DJ5171" s="67"/>
      <c r="DK5171" s="67"/>
      <c r="DL5171" s="67"/>
      <c r="DM5171" s="67"/>
      <c r="DN5171" s="67"/>
      <c r="DO5171" s="67"/>
      <c r="DP5171" s="67"/>
      <c r="DQ5171" s="166"/>
      <c r="DR5171" s="166"/>
      <c r="DS5171" s="163"/>
      <c r="DT5171" s="163"/>
      <c r="DU5171" s="67"/>
      <c r="DV5171" s="67"/>
      <c r="DW5171" s="67"/>
      <c r="DX5171" s="67"/>
      <c r="DY5171" s="67"/>
      <c r="DZ5171" s="67"/>
      <c r="EA5171" s="67"/>
      <c r="EB5171" s="67"/>
      <c r="EC5171" s="67"/>
      <c r="ED5171" s="67"/>
      <c r="EE5171" s="67"/>
      <c r="EF5171" s="67"/>
      <c r="EG5171" s="67"/>
      <c r="EH5171" s="67"/>
      <c r="EI5171" s="67"/>
      <c r="EJ5171" s="67"/>
      <c r="EK5171" s="94"/>
      <c r="EL5171" s="94"/>
      <c r="EM5171" s="67"/>
      <c r="EN5171" s="67"/>
      <c r="EO5171" s="67"/>
      <c r="EP5171" s="67"/>
      <c r="EQ5171" s="67"/>
      <c r="ER5171" s="67"/>
      <c r="ES5171" s="67"/>
      <c r="ET5171" s="67"/>
      <c r="EU5171" s="67"/>
      <c r="EV5171" s="67"/>
      <c r="EW5171" s="67"/>
      <c r="EX5171" s="67"/>
      <c r="EY5171" s="67"/>
      <c r="EZ5171" s="67"/>
      <c r="FA5171" s="67"/>
      <c r="FB5171" s="67"/>
      <c r="FC5171" s="67"/>
      <c r="FD5171" s="67"/>
      <c r="FE5171" s="67"/>
      <c r="FF5171" s="67"/>
      <c r="FG5171" s="67"/>
      <c r="FH5171" s="67"/>
      <c r="FI5171" s="67"/>
      <c r="FJ5171" s="67"/>
      <c r="FK5171" s="67"/>
      <c r="FL5171" s="67"/>
      <c r="FM5171" s="67"/>
      <c r="FN5171" s="67"/>
      <c r="FO5171" s="67"/>
      <c r="FP5171" s="67"/>
      <c r="FQ5171" s="67"/>
      <c r="FR5171" s="67"/>
      <c r="FS5171" s="67"/>
      <c r="FT5171" s="67"/>
      <c r="FU5171" s="67"/>
      <c r="FV5171" s="67"/>
      <c r="FW5171" s="67"/>
      <c r="FX5171" s="67"/>
      <c r="FY5171" s="67"/>
      <c r="FZ5171" s="67"/>
      <c r="GA5171" s="67"/>
      <c r="GB5171" s="67"/>
      <c r="GC5171" s="67"/>
      <c r="GD5171" s="67"/>
      <c r="GE5171" s="67"/>
      <c r="GF5171" s="67"/>
      <c r="GG5171" s="67"/>
      <c r="GH5171" s="67"/>
      <c r="GI5171" s="67"/>
      <c r="GJ5171" s="67"/>
      <c r="GK5171" s="67"/>
      <c r="GL5171" s="67"/>
      <c r="GM5171" s="67"/>
      <c r="GN5171" s="292"/>
      <c r="GO5171" s="292"/>
      <c r="GP5171" s="292" t="s">
        <v>7494</v>
      </c>
      <c r="GQ5171" s="67"/>
      <c r="GR5171" s="67"/>
      <c r="GS5171" s="67"/>
      <c r="GT5171" s="67"/>
      <c r="GU5171" s="67"/>
      <c r="GV5171" s="67"/>
      <c r="GW5171" s="67"/>
      <c r="GX5171" s="67"/>
      <c r="GY5171" s="67"/>
      <c r="GZ5171" s="67"/>
      <c r="HA5171" s="67"/>
      <c r="HB5171" s="67"/>
      <c r="HC5171" s="67"/>
      <c r="HD5171" s="67"/>
      <c r="HE5171" s="67"/>
      <c r="HF5171" s="67"/>
      <c r="HG5171" s="67"/>
      <c r="HH5171" s="67"/>
      <c r="HI5171" s="67"/>
      <c r="HJ5171" s="67"/>
      <c r="HK5171" s="67"/>
      <c r="HL5171" s="67"/>
      <c r="HM5171" s="67"/>
      <c r="HN5171" s="67"/>
      <c r="HO5171" s="67"/>
      <c r="HP5171" s="67"/>
      <c r="HQ5171" s="67"/>
      <c r="HR5171" s="67"/>
      <c r="HS5171" s="67"/>
      <c r="HT5171" s="67"/>
      <c r="HU5171" s="67"/>
      <c r="HV5171" s="67"/>
      <c r="HW5171" s="67"/>
      <c r="HX5171" s="67"/>
      <c r="HY5171" s="67"/>
      <c r="HZ5171" s="67"/>
      <c r="IA5171" s="67"/>
      <c r="IB5171" s="67"/>
      <c r="IC5171" s="67"/>
      <c r="ID5171" s="67"/>
      <c r="IE5171" s="67"/>
      <c r="IF5171" s="67"/>
      <c r="IG5171" s="67"/>
      <c r="IH5171" s="67"/>
      <c r="II5171" s="67"/>
      <c r="IJ5171" s="67"/>
      <c r="IK5171" s="67"/>
      <c r="IL5171" s="67"/>
      <c r="IM5171" s="67"/>
      <c r="IN5171" s="67"/>
      <c r="IO5171" s="67"/>
      <c r="IP5171" s="67"/>
      <c r="IQ5171" s="67"/>
      <c r="IR5171" s="67"/>
      <c r="IS5171" s="67"/>
      <c r="IT5171" s="67"/>
      <c r="IU5171" s="67"/>
      <c r="IV5171" s="67"/>
      <c r="IW5171" s="67"/>
      <c r="IX5171" s="67"/>
      <c r="IY5171" s="67"/>
      <c r="IZ5171" s="67"/>
      <c r="JA5171" s="67"/>
      <c r="JB5171" s="67"/>
      <c r="JC5171" s="67"/>
      <c r="JD5171" s="67"/>
      <c r="JE5171" s="67"/>
      <c r="JF5171" s="67"/>
      <c r="JG5171" s="67"/>
      <c r="JH5171" s="67"/>
      <c r="JI5171" s="67"/>
      <c r="JJ5171" s="67"/>
      <c r="JK5171" s="67"/>
      <c r="JL5171" s="67"/>
      <c r="JM5171" s="67"/>
      <c r="JN5171" s="67"/>
      <c r="JO5171" s="67"/>
      <c r="JP5171" s="67"/>
      <c r="JQ5171" s="67"/>
      <c r="JR5171" s="67"/>
      <c r="JS5171" s="67"/>
      <c r="JT5171" s="67"/>
      <c r="JU5171" s="58"/>
      <c r="JV5171" s="58"/>
      <c r="JW5171" s="58"/>
    </row>
    <row r="5172" spans="1:283" s="23" customFormat="1" x14ac:dyDescent="0.25">
      <c r="A5172" s="55">
        <v>5171</v>
      </c>
      <c r="B5172" s="12" t="s">
        <v>7067</v>
      </c>
      <c r="C5172" s="156">
        <v>275</v>
      </c>
      <c r="D5172" s="58" t="s">
        <v>5045</v>
      </c>
      <c r="E5172" s="160" t="str">
        <f>G5172</f>
        <v>Teasdale et al. 2007_total horizon_pair 3</v>
      </c>
      <c r="F5172" s="160"/>
      <c r="G5172" s="60" t="s">
        <v>4683</v>
      </c>
      <c r="H5172" s="58">
        <v>2007</v>
      </c>
      <c r="I5172" s="58" t="s">
        <v>5626</v>
      </c>
      <c r="J5172" s="243" t="s">
        <v>282</v>
      </c>
      <c r="K5172" s="63" t="s">
        <v>5071</v>
      </c>
      <c r="L5172" s="58" t="s">
        <v>2737</v>
      </c>
      <c r="M5172" s="94">
        <v>39.03</v>
      </c>
      <c r="N5172" s="94">
        <v>-76.91</v>
      </c>
      <c r="O5172" s="94">
        <v>37</v>
      </c>
      <c r="P5172" s="58"/>
      <c r="Q5172" s="244">
        <v>12.800000000000002</v>
      </c>
      <c r="R5172" s="58"/>
      <c r="S5172" s="245">
        <v>1110</v>
      </c>
      <c r="T5172" s="58"/>
      <c r="U5172" s="58" t="s">
        <v>1816</v>
      </c>
      <c r="V5172" s="244">
        <v>9</v>
      </c>
      <c r="W5172" s="174"/>
      <c r="X5172" s="174"/>
      <c r="Y5172" s="58" t="s">
        <v>5471</v>
      </c>
      <c r="Z5172" s="244" t="s">
        <v>1347</v>
      </c>
      <c r="AA5172" s="245">
        <v>10</v>
      </c>
      <c r="AB5172" s="67"/>
      <c r="AC5172" s="67"/>
      <c r="AD5172" s="94"/>
      <c r="AE5172" s="94"/>
      <c r="AF5172" s="94"/>
      <c r="AG5172" s="245"/>
      <c r="AH5172" s="58" t="s">
        <v>139</v>
      </c>
      <c r="AI5172" s="169"/>
      <c r="AJ5172" s="94"/>
      <c r="AK5172" s="94"/>
      <c r="AL5172" s="58"/>
      <c r="AM5172" s="58" t="s">
        <v>1291</v>
      </c>
      <c r="AN5172" s="186"/>
      <c r="AO5172" s="185" t="s">
        <v>7494</v>
      </c>
      <c r="AP5172" s="58"/>
      <c r="AQ5172" s="58"/>
      <c r="AR5172" s="58" t="s">
        <v>132</v>
      </c>
      <c r="AS5172" s="246" t="s">
        <v>132</v>
      </c>
      <c r="AT5172" s="247">
        <v>0</v>
      </c>
      <c r="AU5172" s="181" t="s">
        <v>7494</v>
      </c>
      <c r="AV5172" s="185" t="s">
        <v>176</v>
      </c>
      <c r="AW5172" s="244">
        <v>1</v>
      </c>
      <c r="AX5172" s="185" t="s">
        <v>176</v>
      </c>
      <c r="AY5172" s="244" t="s">
        <v>5150</v>
      </c>
      <c r="AZ5172" s="58"/>
      <c r="BA5172" s="58"/>
      <c r="BB5172" s="58"/>
      <c r="BC5172" s="58"/>
      <c r="BD5172" s="58"/>
      <c r="BE5172" s="236" t="s">
        <v>5222</v>
      </c>
      <c r="BF5172" s="191" t="s">
        <v>479</v>
      </c>
      <c r="BG5172" s="191" t="s">
        <v>479</v>
      </c>
      <c r="BH5172" s="236" t="s">
        <v>5292</v>
      </c>
      <c r="BI5172" s="191" t="s">
        <v>479</v>
      </c>
      <c r="BJ5172" s="58" t="str">
        <f>IF(BE5172=BH5172,"No","yes")</f>
        <v>yes</v>
      </c>
      <c r="BK5172" s="58" t="s">
        <v>6335</v>
      </c>
      <c r="BL5172" s="58"/>
      <c r="BM5172" s="237"/>
      <c r="BN5172" s="244">
        <v>8</v>
      </c>
      <c r="BO5172" s="244">
        <v>8</v>
      </c>
      <c r="BP5172" s="58"/>
      <c r="BQ5172" s="58"/>
      <c r="BR5172" s="58"/>
      <c r="BS5172" s="58"/>
      <c r="BT5172" s="58"/>
      <c r="BU5172" s="58"/>
      <c r="BV5172" s="58"/>
      <c r="BW5172" s="67"/>
      <c r="BX5172" s="67"/>
      <c r="BY5172" s="67"/>
      <c r="BZ5172" s="67"/>
      <c r="CA5172" s="67"/>
      <c r="CB5172" s="70">
        <v>6630</v>
      </c>
      <c r="CC5172" s="70">
        <v>6270</v>
      </c>
      <c r="CD5172" s="70"/>
      <c r="CE5172" s="67"/>
      <c r="CF5172" s="67"/>
      <c r="CG5172" s="67"/>
      <c r="CH5172" s="245"/>
      <c r="CI5172" s="245"/>
      <c r="CJ5172" s="67"/>
      <c r="CK5172" s="67"/>
      <c r="CL5172" s="67"/>
      <c r="CM5172" s="242"/>
      <c r="CN5172" s="242"/>
      <c r="CO5172" s="242"/>
      <c r="CP5172" s="242"/>
      <c r="CQ5172" s="242"/>
      <c r="CR5172" s="242"/>
      <c r="CS5172" s="242"/>
      <c r="CT5172" s="242"/>
      <c r="CU5172" s="242"/>
      <c r="CV5172" s="242"/>
      <c r="CW5172" s="242"/>
      <c r="CX5172" s="242"/>
      <c r="CY5172" s="242"/>
      <c r="CZ5172" s="242"/>
      <c r="DA5172" s="67"/>
      <c r="DB5172" s="67"/>
      <c r="DC5172" s="67"/>
      <c r="DD5172" s="67"/>
      <c r="DE5172" s="67"/>
      <c r="DF5172" s="67"/>
      <c r="DG5172" s="67"/>
      <c r="DH5172" s="67"/>
      <c r="DI5172" s="67"/>
      <c r="DJ5172" s="67"/>
      <c r="DK5172" s="67"/>
      <c r="DL5172" s="67"/>
      <c r="DM5172" s="67"/>
      <c r="DN5172" s="67"/>
      <c r="DO5172" s="67"/>
      <c r="DP5172" s="67"/>
      <c r="DQ5172" s="166"/>
      <c r="DR5172" s="166"/>
      <c r="DS5172" s="163"/>
      <c r="DT5172" s="163"/>
      <c r="DU5172" s="67"/>
      <c r="DV5172" s="67"/>
      <c r="DW5172" s="67"/>
      <c r="DX5172" s="67"/>
      <c r="DY5172" s="67"/>
      <c r="DZ5172" s="67"/>
      <c r="EA5172" s="67"/>
      <c r="EB5172" s="67"/>
      <c r="EC5172" s="67"/>
      <c r="ED5172" s="67"/>
      <c r="EE5172" s="67"/>
      <c r="EF5172" s="67"/>
      <c r="EG5172" s="67"/>
      <c r="EH5172" s="67"/>
      <c r="EI5172" s="67"/>
      <c r="EJ5172" s="67"/>
      <c r="EK5172" s="94"/>
      <c r="EL5172" s="94"/>
      <c r="EM5172" s="67"/>
      <c r="EN5172" s="67"/>
      <c r="EO5172" s="67"/>
      <c r="EP5172" s="67"/>
      <c r="EQ5172" s="67"/>
      <c r="ER5172" s="67"/>
      <c r="ES5172" s="67"/>
      <c r="ET5172" s="67"/>
      <c r="EU5172" s="67"/>
      <c r="EV5172" s="67"/>
      <c r="EW5172" s="67"/>
      <c r="EX5172" s="67"/>
      <c r="EY5172" s="67"/>
      <c r="EZ5172" s="67"/>
      <c r="FA5172" s="67"/>
      <c r="FB5172" s="67"/>
      <c r="FC5172" s="67"/>
      <c r="FD5172" s="67"/>
      <c r="FE5172" s="67"/>
      <c r="FF5172" s="67"/>
      <c r="FG5172" s="67"/>
      <c r="FH5172" s="67"/>
      <c r="FI5172" s="67"/>
      <c r="FJ5172" s="67"/>
      <c r="FK5172" s="67"/>
      <c r="FL5172" s="67"/>
      <c r="FM5172" s="67"/>
      <c r="FN5172" s="67"/>
      <c r="FO5172" s="67"/>
      <c r="FP5172" s="67"/>
      <c r="FQ5172" s="67"/>
      <c r="FR5172" s="67"/>
      <c r="FS5172" s="67"/>
      <c r="FT5172" s="67"/>
      <c r="FU5172" s="67"/>
      <c r="FV5172" s="67"/>
      <c r="FW5172" s="67"/>
      <c r="FX5172" s="67"/>
      <c r="FY5172" s="67"/>
      <c r="FZ5172" s="67"/>
      <c r="GA5172" s="67"/>
      <c r="GB5172" s="67"/>
      <c r="GC5172" s="67"/>
      <c r="GD5172" s="67"/>
      <c r="GE5172" s="67"/>
      <c r="GF5172" s="67"/>
      <c r="GG5172" s="67"/>
      <c r="GH5172" s="67"/>
      <c r="GI5172" s="67"/>
      <c r="GJ5172" s="67"/>
      <c r="GK5172" s="67"/>
      <c r="GL5172" s="67"/>
      <c r="GM5172" s="67"/>
      <c r="GN5172" s="292"/>
      <c r="GO5172" s="292"/>
      <c r="GP5172" s="292" t="s">
        <v>7494</v>
      </c>
      <c r="GQ5172" s="67"/>
      <c r="GR5172" s="67"/>
      <c r="GS5172" s="67"/>
      <c r="GT5172" s="67"/>
      <c r="GU5172" s="67"/>
      <c r="GV5172" s="67"/>
      <c r="GW5172" s="67"/>
      <c r="GX5172" s="67"/>
      <c r="GY5172" s="67"/>
      <c r="GZ5172" s="67"/>
      <c r="HA5172" s="67"/>
      <c r="HB5172" s="67"/>
      <c r="HC5172" s="67"/>
      <c r="HD5172" s="67"/>
      <c r="HE5172" s="67"/>
      <c r="HF5172" s="67"/>
      <c r="HG5172" s="67"/>
      <c r="HH5172" s="67"/>
      <c r="HI5172" s="67"/>
      <c r="HJ5172" s="67"/>
      <c r="HK5172" s="67"/>
      <c r="HL5172" s="67"/>
      <c r="HM5172" s="67"/>
      <c r="HN5172" s="67"/>
      <c r="HO5172" s="67"/>
      <c r="HP5172" s="67"/>
      <c r="HQ5172" s="67"/>
      <c r="HR5172" s="67"/>
      <c r="HS5172" s="67"/>
      <c r="HT5172" s="67"/>
      <c r="HU5172" s="67"/>
      <c r="HV5172" s="67"/>
      <c r="HW5172" s="67"/>
      <c r="HX5172" s="67"/>
      <c r="HY5172" s="67"/>
      <c r="HZ5172" s="67"/>
      <c r="IA5172" s="67"/>
      <c r="IB5172" s="67"/>
      <c r="IC5172" s="67"/>
      <c r="ID5172" s="67"/>
      <c r="IE5172" s="67"/>
      <c r="IF5172" s="67"/>
      <c r="IG5172" s="67"/>
      <c r="IH5172" s="67"/>
      <c r="II5172" s="67"/>
      <c r="IJ5172" s="67"/>
      <c r="IK5172" s="67"/>
      <c r="IL5172" s="67"/>
      <c r="IM5172" s="67"/>
      <c r="IN5172" s="67"/>
      <c r="IO5172" s="67"/>
      <c r="IP5172" s="67"/>
      <c r="IQ5172" s="67"/>
      <c r="IR5172" s="67"/>
      <c r="IS5172" s="67"/>
      <c r="IT5172" s="67"/>
      <c r="IU5172" s="67"/>
      <c r="IV5172" s="67"/>
      <c r="IW5172" s="67"/>
      <c r="IX5172" s="67"/>
      <c r="IY5172" s="67"/>
      <c r="IZ5172" s="67"/>
      <c r="JA5172" s="67"/>
      <c r="JB5172" s="67"/>
      <c r="JC5172" s="67"/>
      <c r="JD5172" s="67"/>
      <c r="JE5172" s="67"/>
      <c r="JF5172" s="67"/>
      <c r="JG5172" s="67"/>
      <c r="JH5172" s="67"/>
      <c r="JI5172" s="67"/>
      <c r="JJ5172" s="67"/>
      <c r="JK5172" s="67"/>
      <c r="JL5172" s="67"/>
      <c r="JM5172" s="67"/>
      <c r="JN5172" s="67"/>
      <c r="JO5172" s="67"/>
      <c r="JP5172" s="67"/>
      <c r="JQ5172" s="67"/>
      <c r="JR5172" s="67"/>
      <c r="JS5172" s="67"/>
      <c r="JT5172" s="67"/>
      <c r="JU5172" s="58"/>
      <c r="JV5172" s="58"/>
      <c r="JW5172" s="58"/>
    </row>
    <row r="5173" spans="1:283" s="23" customFormat="1" x14ac:dyDescent="0.25">
      <c r="A5173" s="55">
        <v>5172</v>
      </c>
      <c r="B5173" s="12" t="s">
        <v>7067</v>
      </c>
      <c r="C5173" s="156">
        <v>275</v>
      </c>
      <c r="D5173" s="58" t="s">
        <v>5045</v>
      </c>
      <c r="E5173" s="160" t="str">
        <f>G5173</f>
        <v>Teasdale et al. 2007_total horizon_pair 3</v>
      </c>
      <c r="F5173" s="160"/>
      <c r="G5173" s="60" t="s">
        <v>4683</v>
      </c>
      <c r="H5173" s="58">
        <v>2007</v>
      </c>
      <c r="I5173" s="58" t="s">
        <v>5626</v>
      </c>
      <c r="J5173" s="243" t="s">
        <v>282</v>
      </c>
      <c r="K5173" s="63" t="s">
        <v>5071</v>
      </c>
      <c r="L5173" s="58" t="s">
        <v>2737</v>
      </c>
      <c r="M5173" s="94">
        <v>39.03</v>
      </c>
      <c r="N5173" s="94">
        <v>-76.91</v>
      </c>
      <c r="O5173" s="94">
        <v>37</v>
      </c>
      <c r="P5173" s="58"/>
      <c r="Q5173" s="244">
        <v>12.800000000000002</v>
      </c>
      <c r="R5173" s="58"/>
      <c r="S5173" s="245">
        <v>1110</v>
      </c>
      <c r="T5173" s="58"/>
      <c r="U5173" s="58" t="s">
        <v>1816</v>
      </c>
      <c r="V5173" s="244">
        <v>9</v>
      </c>
      <c r="W5173" s="174"/>
      <c r="X5173" s="174"/>
      <c r="Y5173" s="58" t="s">
        <v>5471</v>
      </c>
      <c r="Z5173" s="244" t="s">
        <v>1347</v>
      </c>
      <c r="AA5173" s="245">
        <v>10</v>
      </c>
      <c r="AB5173" s="67"/>
      <c r="AC5173" s="67"/>
      <c r="AD5173" s="94"/>
      <c r="AE5173" s="94"/>
      <c r="AF5173" s="94"/>
      <c r="AG5173" s="245"/>
      <c r="AH5173" s="58" t="s">
        <v>139</v>
      </c>
      <c r="AI5173" s="169"/>
      <c r="AJ5173" s="94"/>
      <c r="AK5173" s="94"/>
      <c r="AL5173" s="58"/>
      <c r="AM5173" s="58" t="s">
        <v>1291</v>
      </c>
      <c r="AN5173" s="186"/>
      <c r="AO5173" s="185" t="s">
        <v>7494</v>
      </c>
      <c r="AP5173" s="58"/>
      <c r="AQ5173" s="58"/>
      <c r="AR5173" s="58" t="s">
        <v>116</v>
      </c>
      <c r="AS5173" s="246" t="s">
        <v>116</v>
      </c>
      <c r="AT5173" s="247">
        <v>0</v>
      </c>
      <c r="AU5173" s="181" t="s">
        <v>7494</v>
      </c>
      <c r="AV5173" s="185" t="s">
        <v>176</v>
      </c>
      <c r="AW5173" s="244">
        <v>1</v>
      </c>
      <c r="AX5173" s="185" t="s">
        <v>176</v>
      </c>
      <c r="AY5173" s="244" t="s">
        <v>5150</v>
      </c>
      <c r="AZ5173" s="58"/>
      <c r="BA5173" s="58"/>
      <c r="BB5173" s="58"/>
      <c r="BC5173" s="58"/>
      <c r="BD5173" s="58"/>
      <c r="BE5173" s="236" t="s">
        <v>5222</v>
      </c>
      <c r="BF5173" s="191" t="s">
        <v>479</v>
      </c>
      <c r="BG5173" s="191" t="s">
        <v>479</v>
      </c>
      <c r="BH5173" s="236" t="s">
        <v>5292</v>
      </c>
      <c r="BI5173" s="191" t="s">
        <v>479</v>
      </c>
      <c r="BJ5173" s="58" t="str">
        <f>IF(BE5173=BH5173,"No","yes")</f>
        <v>yes</v>
      </c>
      <c r="BK5173" s="58" t="s">
        <v>6335</v>
      </c>
      <c r="BL5173" s="58"/>
      <c r="BM5173" s="237"/>
      <c r="BN5173" s="244">
        <v>8</v>
      </c>
      <c r="BO5173" s="244">
        <v>8</v>
      </c>
      <c r="BP5173" s="58"/>
      <c r="BQ5173" s="58"/>
      <c r="BR5173" s="58"/>
      <c r="BS5173" s="58"/>
      <c r="BT5173" s="58"/>
      <c r="BU5173" s="58"/>
      <c r="BV5173" s="58"/>
      <c r="BW5173" s="67"/>
      <c r="BX5173" s="67"/>
      <c r="BY5173" s="67"/>
      <c r="BZ5173" s="67"/>
      <c r="CA5173" s="67"/>
      <c r="CB5173" s="70">
        <v>3450</v>
      </c>
      <c r="CC5173" s="70">
        <v>4020</v>
      </c>
      <c r="CD5173" s="70"/>
      <c r="CE5173" s="67"/>
      <c r="CF5173" s="67"/>
      <c r="CG5173" s="67"/>
      <c r="CH5173" s="245"/>
      <c r="CI5173" s="245"/>
      <c r="CJ5173" s="67"/>
      <c r="CK5173" s="67"/>
      <c r="CL5173" s="67"/>
      <c r="CM5173" s="242"/>
      <c r="CN5173" s="242"/>
      <c r="CO5173" s="242"/>
      <c r="CP5173" s="242"/>
      <c r="CQ5173" s="242"/>
      <c r="CR5173" s="242"/>
      <c r="CS5173" s="242"/>
      <c r="CT5173" s="242"/>
      <c r="CU5173" s="242"/>
      <c r="CV5173" s="242"/>
      <c r="CW5173" s="242"/>
      <c r="CX5173" s="242"/>
      <c r="CY5173" s="242"/>
      <c r="CZ5173" s="242"/>
      <c r="DA5173" s="67"/>
      <c r="DB5173" s="67"/>
      <c r="DC5173" s="67"/>
      <c r="DD5173" s="67"/>
      <c r="DE5173" s="67"/>
      <c r="DF5173" s="67"/>
      <c r="DG5173" s="67"/>
      <c r="DH5173" s="67"/>
      <c r="DI5173" s="67"/>
      <c r="DJ5173" s="67"/>
      <c r="DK5173" s="67"/>
      <c r="DL5173" s="67"/>
      <c r="DM5173" s="67"/>
      <c r="DN5173" s="67"/>
      <c r="DO5173" s="67"/>
      <c r="DP5173" s="67"/>
      <c r="DQ5173" s="166"/>
      <c r="DR5173" s="166"/>
      <c r="DS5173" s="163"/>
      <c r="DT5173" s="163"/>
      <c r="DU5173" s="67"/>
      <c r="DV5173" s="67"/>
      <c r="DW5173" s="67"/>
      <c r="DX5173" s="67"/>
      <c r="DY5173" s="67"/>
      <c r="DZ5173" s="67"/>
      <c r="EA5173" s="67"/>
      <c r="EB5173" s="67"/>
      <c r="EC5173" s="67"/>
      <c r="ED5173" s="67"/>
      <c r="EE5173" s="67"/>
      <c r="EF5173" s="67"/>
      <c r="EG5173" s="67"/>
      <c r="EH5173" s="67"/>
      <c r="EI5173" s="67"/>
      <c r="EJ5173" s="67"/>
      <c r="EK5173" s="94"/>
      <c r="EL5173" s="94"/>
      <c r="EM5173" s="67"/>
      <c r="EN5173" s="67"/>
      <c r="EO5173" s="67"/>
      <c r="EP5173" s="67"/>
      <c r="EQ5173" s="67"/>
      <c r="ER5173" s="67"/>
      <c r="ES5173" s="67"/>
      <c r="ET5173" s="67"/>
      <c r="EU5173" s="67"/>
      <c r="EV5173" s="67"/>
      <c r="EW5173" s="67"/>
      <c r="EX5173" s="67"/>
      <c r="EY5173" s="67"/>
      <c r="EZ5173" s="67"/>
      <c r="FA5173" s="67"/>
      <c r="FB5173" s="67"/>
      <c r="FC5173" s="67"/>
      <c r="FD5173" s="67"/>
      <c r="FE5173" s="67"/>
      <c r="FF5173" s="67"/>
      <c r="FG5173" s="67"/>
      <c r="FH5173" s="67"/>
      <c r="FI5173" s="67"/>
      <c r="FJ5173" s="67"/>
      <c r="FK5173" s="67"/>
      <c r="FL5173" s="67"/>
      <c r="FM5173" s="67"/>
      <c r="FN5173" s="67"/>
      <c r="FO5173" s="67"/>
      <c r="FP5173" s="67"/>
      <c r="FQ5173" s="67"/>
      <c r="FR5173" s="67"/>
      <c r="FS5173" s="67"/>
      <c r="FT5173" s="67"/>
      <c r="FU5173" s="67"/>
      <c r="FV5173" s="67"/>
      <c r="FW5173" s="67"/>
      <c r="FX5173" s="67"/>
      <c r="FY5173" s="67"/>
      <c r="FZ5173" s="67"/>
      <c r="GA5173" s="67"/>
      <c r="GB5173" s="67"/>
      <c r="GC5173" s="67"/>
      <c r="GD5173" s="67"/>
      <c r="GE5173" s="67"/>
      <c r="GF5173" s="67"/>
      <c r="GG5173" s="67"/>
      <c r="GH5173" s="67"/>
      <c r="GI5173" s="67"/>
      <c r="GJ5173" s="67"/>
      <c r="GK5173" s="67"/>
      <c r="GL5173" s="67"/>
      <c r="GM5173" s="67"/>
      <c r="GN5173" s="292"/>
      <c r="GO5173" s="292"/>
      <c r="GP5173" s="292" t="s">
        <v>7494</v>
      </c>
      <c r="GQ5173" s="67"/>
      <c r="GR5173" s="67"/>
      <c r="GS5173" s="67"/>
      <c r="GT5173" s="67"/>
      <c r="GU5173" s="67"/>
      <c r="GV5173" s="67"/>
      <c r="GW5173" s="67"/>
      <c r="GX5173" s="67"/>
      <c r="GY5173" s="67"/>
      <c r="GZ5173" s="67"/>
      <c r="HA5173" s="67"/>
      <c r="HB5173" s="67"/>
      <c r="HC5173" s="67"/>
      <c r="HD5173" s="67"/>
      <c r="HE5173" s="67"/>
      <c r="HF5173" s="67"/>
      <c r="HG5173" s="67"/>
      <c r="HH5173" s="67"/>
      <c r="HI5173" s="67"/>
      <c r="HJ5173" s="67"/>
      <c r="HK5173" s="67"/>
      <c r="HL5173" s="67"/>
      <c r="HM5173" s="67"/>
      <c r="HN5173" s="67"/>
      <c r="HO5173" s="67"/>
      <c r="HP5173" s="67"/>
      <c r="HQ5173" s="67"/>
      <c r="HR5173" s="67"/>
      <c r="HS5173" s="67"/>
      <c r="HT5173" s="67"/>
      <c r="HU5173" s="67"/>
      <c r="HV5173" s="67"/>
      <c r="HW5173" s="67"/>
      <c r="HX5173" s="67"/>
      <c r="HY5173" s="67"/>
      <c r="HZ5173" s="67"/>
      <c r="IA5173" s="67"/>
      <c r="IB5173" s="67"/>
      <c r="IC5173" s="67"/>
      <c r="ID5173" s="67"/>
      <c r="IE5173" s="67"/>
      <c r="IF5173" s="67"/>
      <c r="IG5173" s="67"/>
      <c r="IH5173" s="67"/>
      <c r="II5173" s="67"/>
      <c r="IJ5173" s="67"/>
      <c r="IK5173" s="67"/>
      <c r="IL5173" s="67"/>
      <c r="IM5173" s="67"/>
      <c r="IN5173" s="67"/>
      <c r="IO5173" s="67"/>
      <c r="IP5173" s="67"/>
      <c r="IQ5173" s="67"/>
      <c r="IR5173" s="67"/>
      <c r="IS5173" s="67"/>
      <c r="IT5173" s="67"/>
      <c r="IU5173" s="67"/>
      <c r="IV5173" s="67"/>
      <c r="IW5173" s="67"/>
      <c r="IX5173" s="67"/>
      <c r="IY5173" s="67"/>
      <c r="IZ5173" s="67"/>
      <c r="JA5173" s="67"/>
      <c r="JB5173" s="67"/>
      <c r="JC5173" s="67"/>
      <c r="JD5173" s="67"/>
      <c r="JE5173" s="67"/>
      <c r="JF5173" s="67"/>
      <c r="JG5173" s="67"/>
      <c r="JH5173" s="67"/>
      <c r="JI5173" s="67"/>
      <c r="JJ5173" s="67"/>
      <c r="JK5173" s="67"/>
      <c r="JL5173" s="67"/>
      <c r="JM5173" s="67"/>
      <c r="JN5173" s="67"/>
      <c r="JO5173" s="67"/>
      <c r="JP5173" s="67"/>
      <c r="JQ5173" s="67"/>
      <c r="JR5173" s="67"/>
      <c r="JS5173" s="67"/>
      <c r="JT5173" s="67"/>
      <c r="JU5173" s="58"/>
      <c r="JV5173" s="58"/>
      <c r="JW5173" s="58"/>
    </row>
    <row r="5174" spans="1:283" s="23" customFormat="1" x14ac:dyDescent="0.25">
      <c r="A5174" s="55">
        <v>5173</v>
      </c>
      <c r="B5174" s="12" t="s">
        <v>7067</v>
      </c>
      <c r="C5174" s="156">
        <v>275</v>
      </c>
      <c r="D5174" s="58" t="s">
        <v>5043</v>
      </c>
      <c r="E5174" s="160" t="str">
        <f>G5174</f>
        <v>Teasdale et al. 2007_total horizon_pair 1</v>
      </c>
      <c r="F5174" s="160"/>
      <c r="G5174" s="60" t="s">
        <v>4685</v>
      </c>
      <c r="H5174" s="58">
        <v>2007</v>
      </c>
      <c r="I5174" s="58" t="s">
        <v>3181</v>
      </c>
      <c r="J5174" s="243" t="s">
        <v>282</v>
      </c>
      <c r="K5174" s="63" t="s">
        <v>5071</v>
      </c>
      <c r="L5174" s="58" t="s">
        <v>2737</v>
      </c>
      <c r="M5174" s="94">
        <v>39.03</v>
      </c>
      <c r="N5174" s="94">
        <v>-76.91</v>
      </c>
      <c r="O5174" s="94">
        <v>37</v>
      </c>
      <c r="P5174" s="58"/>
      <c r="Q5174" s="244">
        <v>12.800000000000002</v>
      </c>
      <c r="R5174" s="58"/>
      <c r="S5174" s="245">
        <v>1110</v>
      </c>
      <c r="T5174" s="58"/>
      <c r="U5174" s="58" t="s">
        <v>1816</v>
      </c>
      <c r="V5174" s="244">
        <v>9</v>
      </c>
      <c r="W5174" s="174"/>
      <c r="X5174" s="174"/>
      <c r="Y5174" s="58" t="s">
        <v>5471</v>
      </c>
      <c r="Z5174" s="244" t="s">
        <v>1347</v>
      </c>
      <c r="AA5174" s="245">
        <v>10</v>
      </c>
      <c r="AB5174" s="67"/>
      <c r="AC5174" s="67"/>
      <c r="AD5174" s="94"/>
      <c r="AE5174" s="94"/>
      <c r="AF5174" s="94"/>
      <c r="AG5174" s="245"/>
      <c r="AH5174" s="58" t="s">
        <v>139</v>
      </c>
      <c r="AI5174" s="169"/>
      <c r="AJ5174" s="94"/>
      <c r="AK5174" s="94"/>
      <c r="AL5174" s="58"/>
      <c r="AM5174" s="58" t="s">
        <v>1291</v>
      </c>
      <c r="AN5174" s="186"/>
      <c r="AO5174" s="185" t="s">
        <v>7494</v>
      </c>
      <c r="AP5174" s="58"/>
      <c r="AQ5174" s="58"/>
      <c r="AR5174" s="58" t="s">
        <v>132</v>
      </c>
      <c r="AS5174" s="58" t="s">
        <v>132</v>
      </c>
      <c r="AT5174" s="247">
        <v>0</v>
      </c>
      <c r="AU5174" s="181" t="s">
        <v>7494</v>
      </c>
      <c r="AV5174" s="185" t="s">
        <v>176</v>
      </c>
      <c r="AW5174" s="244">
        <v>1</v>
      </c>
      <c r="AX5174" s="185" t="s">
        <v>176</v>
      </c>
      <c r="AY5174" s="244" t="s">
        <v>5150</v>
      </c>
      <c r="AZ5174" s="58"/>
      <c r="BA5174" s="58"/>
      <c r="BB5174" s="58"/>
      <c r="BC5174" s="58"/>
      <c r="BD5174" s="58"/>
      <c r="BE5174" s="236" t="s">
        <v>5222</v>
      </c>
      <c r="BF5174" s="191" t="s">
        <v>479</v>
      </c>
      <c r="BG5174" s="191" t="s">
        <v>479</v>
      </c>
      <c r="BH5174" s="236" t="s">
        <v>5292</v>
      </c>
      <c r="BI5174" s="191" t="s">
        <v>479</v>
      </c>
      <c r="BJ5174" s="58" t="str">
        <f>IF(BE5174=BH5174,"No","yes")</f>
        <v>yes</v>
      </c>
      <c r="BK5174" s="58" t="s">
        <v>6335</v>
      </c>
      <c r="BL5174" s="58"/>
      <c r="BM5174" s="237"/>
      <c r="BN5174" s="244">
        <v>8</v>
      </c>
      <c r="BO5174" s="244">
        <v>8</v>
      </c>
      <c r="BP5174" s="58"/>
      <c r="BQ5174" s="58"/>
      <c r="BR5174" s="58"/>
      <c r="BS5174" s="58"/>
      <c r="BT5174" s="58"/>
      <c r="BU5174" s="58"/>
      <c r="BV5174" s="58"/>
      <c r="BW5174" s="67"/>
      <c r="BX5174" s="67"/>
      <c r="BY5174" s="67"/>
      <c r="BZ5174" s="67"/>
      <c r="CA5174" s="67"/>
      <c r="CB5174" s="70">
        <v>10460</v>
      </c>
      <c r="CC5174" s="70">
        <v>9800</v>
      </c>
      <c r="CD5174" s="70"/>
      <c r="CE5174" s="67"/>
      <c r="CF5174" s="67"/>
      <c r="CG5174" s="67"/>
      <c r="CH5174" s="245"/>
      <c r="CI5174" s="245"/>
      <c r="CJ5174" s="67"/>
      <c r="CK5174" s="67"/>
      <c r="CL5174" s="67"/>
      <c r="CM5174" s="242"/>
      <c r="CN5174" s="242"/>
      <c r="CO5174" s="242"/>
      <c r="CP5174" s="242"/>
      <c r="CQ5174" s="242"/>
      <c r="CR5174" s="242"/>
      <c r="CS5174" s="242"/>
      <c r="CT5174" s="242"/>
      <c r="CU5174" s="242"/>
      <c r="CV5174" s="242"/>
      <c r="CW5174" s="242"/>
      <c r="CX5174" s="242"/>
      <c r="CY5174" s="242"/>
      <c r="CZ5174" s="242"/>
      <c r="DA5174" s="67"/>
      <c r="DB5174" s="67"/>
      <c r="DC5174" s="67"/>
      <c r="DD5174" s="67"/>
      <c r="DE5174" s="67"/>
      <c r="DF5174" s="67"/>
      <c r="DG5174" s="67"/>
      <c r="DH5174" s="67"/>
      <c r="DI5174" s="67"/>
      <c r="DJ5174" s="67"/>
      <c r="DK5174" s="67"/>
      <c r="DL5174" s="67"/>
      <c r="DM5174" s="67"/>
      <c r="DN5174" s="67"/>
      <c r="DO5174" s="67"/>
      <c r="DP5174" s="67"/>
      <c r="DQ5174" s="166"/>
      <c r="DR5174" s="166"/>
      <c r="DS5174" s="163"/>
      <c r="DT5174" s="163"/>
      <c r="DU5174" s="67"/>
      <c r="DV5174" s="67"/>
      <c r="DW5174" s="67"/>
      <c r="DX5174" s="67"/>
      <c r="DY5174" s="67"/>
      <c r="DZ5174" s="67"/>
      <c r="EA5174" s="67"/>
      <c r="EB5174" s="67"/>
      <c r="EC5174" s="67"/>
      <c r="ED5174" s="67"/>
      <c r="EE5174" s="67"/>
      <c r="EF5174" s="67"/>
      <c r="EG5174" s="67"/>
      <c r="EH5174" s="67"/>
      <c r="EI5174" s="67"/>
      <c r="EJ5174" s="67"/>
      <c r="EK5174" s="94"/>
      <c r="EL5174" s="94"/>
      <c r="EM5174" s="67"/>
      <c r="EN5174" s="67"/>
      <c r="EO5174" s="67"/>
      <c r="EP5174" s="67"/>
      <c r="EQ5174" s="67"/>
      <c r="ER5174" s="67"/>
      <c r="ES5174" s="67"/>
      <c r="ET5174" s="67"/>
      <c r="EU5174" s="67"/>
      <c r="EV5174" s="67"/>
      <c r="EW5174" s="67"/>
      <c r="EX5174" s="67"/>
      <c r="EY5174" s="67"/>
      <c r="EZ5174" s="67"/>
      <c r="FA5174" s="67"/>
      <c r="FB5174" s="67"/>
      <c r="FC5174" s="67"/>
      <c r="FD5174" s="67"/>
      <c r="FE5174" s="67"/>
      <c r="FF5174" s="67"/>
      <c r="FG5174" s="67"/>
      <c r="FH5174" s="67"/>
      <c r="FI5174" s="67"/>
      <c r="FJ5174" s="67"/>
      <c r="FK5174" s="67"/>
      <c r="FL5174" s="67"/>
      <c r="FM5174" s="67"/>
      <c r="FN5174" s="67"/>
      <c r="FO5174" s="67"/>
      <c r="FP5174" s="67"/>
      <c r="FQ5174" s="67"/>
      <c r="FR5174" s="67"/>
      <c r="FS5174" s="67"/>
      <c r="FT5174" s="67"/>
      <c r="FU5174" s="67"/>
      <c r="FV5174" s="67"/>
      <c r="FW5174" s="67"/>
      <c r="FX5174" s="67"/>
      <c r="FY5174" s="67"/>
      <c r="FZ5174" s="67"/>
      <c r="GA5174" s="67"/>
      <c r="GB5174" s="67"/>
      <c r="GC5174" s="67"/>
      <c r="GD5174" s="67"/>
      <c r="GE5174" s="67"/>
      <c r="GF5174" s="67"/>
      <c r="GG5174" s="67"/>
      <c r="GH5174" s="67"/>
      <c r="GI5174" s="67"/>
      <c r="GJ5174" s="67"/>
      <c r="GK5174" s="67"/>
      <c r="GL5174" s="67"/>
      <c r="GM5174" s="67"/>
      <c r="GN5174" s="292"/>
      <c r="GO5174" s="292"/>
      <c r="GP5174" s="292" t="s">
        <v>7494</v>
      </c>
      <c r="GQ5174" s="67"/>
      <c r="GR5174" s="67"/>
      <c r="GS5174" s="67"/>
      <c r="GT5174" s="67"/>
      <c r="GU5174" s="67"/>
      <c r="GV5174" s="67"/>
      <c r="GW5174" s="67"/>
      <c r="GX5174" s="67"/>
      <c r="GY5174" s="67"/>
      <c r="GZ5174" s="67"/>
      <c r="HA5174" s="67"/>
      <c r="HB5174" s="67"/>
      <c r="HC5174" s="67"/>
      <c r="HD5174" s="67"/>
      <c r="HE5174" s="67"/>
      <c r="HF5174" s="67"/>
      <c r="HG5174" s="67"/>
      <c r="HH5174" s="67"/>
      <c r="HI5174" s="67"/>
      <c r="HJ5174" s="67"/>
      <c r="HK5174" s="67"/>
      <c r="HL5174" s="67"/>
      <c r="HM5174" s="67"/>
      <c r="HN5174" s="67"/>
      <c r="HO5174" s="67"/>
      <c r="HP5174" s="67"/>
      <c r="HQ5174" s="67"/>
      <c r="HR5174" s="67"/>
      <c r="HS5174" s="67"/>
      <c r="HT5174" s="67"/>
      <c r="HU5174" s="67"/>
      <c r="HV5174" s="67"/>
      <c r="HW5174" s="67"/>
      <c r="HX5174" s="67"/>
      <c r="HY5174" s="67"/>
      <c r="HZ5174" s="67"/>
      <c r="IA5174" s="67"/>
      <c r="IB5174" s="67"/>
      <c r="IC5174" s="67"/>
      <c r="ID5174" s="67"/>
      <c r="IE5174" s="67"/>
      <c r="IF5174" s="67"/>
      <c r="IG5174" s="67"/>
      <c r="IH5174" s="67"/>
      <c r="II5174" s="67"/>
      <c r="IJ5174" s="67"/>
      <c r="IK5174" s="67"/>
      <c r="IL5174" s="67"/>
      <c r="IM5174" s="67"/>
      <c r="IN5174" s="67"/>
      <c r="IO5174" s="67"/>
      <c r="IP5174" s="67"/>
      <c r="IQ5174" s="67"/>
      <c r="IR5174" s="67"/>
      <c r="IS5174" s="67"/>
      <c r="IT5174" s="67"/>
      <c r="IU5174" s="67"/>
      <c r="IV5174" s="67"/>
      <c r="IW5174" s="67"/>
      <c r="IX5174" s="67"/>
      <c r="IY5174" s="67"/>
      <c r="IZ5174" s="67"/>
      <c r="JA5174" s="67"/>
      <c r="JB5174" s="67"/>
      <c r="JC5174" s="67"/>
      <c r="JD5174" s="67"/>
      <c r="JE5174" s="67"/>
      <c r="JF5174" s="67"/>
      <c r="JG5174" s="67"/>
      <c r="JH5174" s="67"/>
      <c r="JI5174" s="67"/>
      <c r="JJ5174" s="67"/>
      <c r="JK5174" s="67"/>
      <c r="JL5174" s="67"/>
      <c r="JM5174" s="67"/>
      <c r="JN5174" s="67"/>
      <c r="JO5174" s="67"/>
      <c r="JP5174" s="67"/>
      <c r="JQ5174" s="67"/>
      <c r="JR5174" s="67"/>
      <c r="JS5174" s="67"/>
      <c r="JT5174" s="67"/>
      <c r="JU5174" s="58"/>
      <c r="JV5174" s="58"/>
      <c r="JW5174" s="58"/>
    </row>
    <row r="5175" spans="1:283" s="23" customFormat="1" x14ac:dyDescent="0.25">
      <c r="A5175" s="55">
        <v>5174</v>
      </c>
      <c r="B5175" s="12" t="s">
        <v>7067</v>
      </c>
      <c r="C5175" s="156">
        <v>275</v>
      </c>
      <c r="D5175" s="58" t="s">
        <v>5044</v>
      </c>
      <c r="E5175" s="160" t="str">
        <f>G5175</f>
        <v>Teasdale et al. 2007_total horizon_pair 2</v>
      </c>
      <c r="F5175" s="160"/>
      <c r="G5175" s="60" t="s">
        <v>4684</v>
      </c>
      <c r="H5175" s="58">
        <v>2007</v>
      </c>
      <c r="I5175" s="58" t="s">
        <v>3181</v>
      </c>
      <c r="J5175" s="243" t="s">
        <v>282</v>
      </c>
      <c r="K5175" s="63" t="s">
        <v>5071</v>
      </c>
      <c r="L5175" s="58" t="s">
        <v>2737</v>
      </c>
      <c r="M5175" s="94">
        <v>39.03</v>
      </c>
      <c r="N5175" s="94">
        <v>-76.91</v>
      </c>
      <c r="O5175" s="94">
        <v>37</v>
      </c>
      <c r="P5175" s="58"/>
      <c r="Q5175" s="244">
        <v>12.800000000000002</v>
      </c>
      <c r="R5175" s="58"/>
      <c r="S5175" s="245">
        <v>1110</v>
      </c>
      <c r="T5175" s="58"/>
      <c r="U5175" s="58" t="s">
        <v>1816</v>
      </c>
      <c r="V5175" s="244">
        <v>9</v>
      </c>
      <c r="W5175" s="174"/>
      <c r="X5175" s="174"/>
      <c r="Y5175" s="58" t="s">
        <v>5471</v>
      </c>
      <c r="Z5175" s="244" t="s">
        <v>1347</v>
      </c>
      <c r="AA5175" s="245">
        <v>10</v>
      </c>
      <c r="AB5175" s="67"/>
      <c r="AC5175" s="67"/>
      <c r="AD5175" s="94"/>
      <c r="AE5175" s="94"/>
      <c r="AF5175" s="94"/>
      <c r="AG5175" s="245"/>
      <c r="AH5175" s="58" t="s">
        <v>139</v>
      </c>
      <c r="AI5175" s="169"/>
      <c r="AJ5175" s="94"/>
      <c r="AK5175" s="94"/>
      <c r="AL5175" s="58"/>
      <c r="AM5175" s="58" t="s">
        <v>1291</v>
      </c>
      <c r="AN5175" s="186"/>
      <c r="AO5175" s="185" t="s">
        <v>7494</v>
      </c>
      <c r="AP5175" s="58"/>
      <c r="AQ5175" s="58"/>
      <c r="AR5175" s="58" t="s">
        <v>132</v>
      </c>
      <c r="AS5175" s="58" t="s">
        <v>132</v>
      </c>
      <c r="AT5175" s="247">
        <v>0</v>
      </c>
      <c r="AU5175" s="181" t="s">
        <v>7494</v>
      </c>
      <c r="AV5175" s="185" t="s">
        <v>176</v>
      </c>
      <c r="AW5175" s="244">
        <v>1</v>
      </c>
      <c r="AX5175" s="185" t="s">
        <v>176</v>
      </c>
      <c r="AY5175" s="244" t="s">
        <v>5150</v>
      </c>
      <c r="AZ5175" s="58"/>
      <c r="BA5175" s="58"/>
      <c r="BB5175" s="58"/>
      <c r="BC5175" s="58"/>
      <c r="BD5175" s="58"/>
      <c r="BE5175" s="236" t="s">
        <v>5223</v>
      </c>
      <c r="BF5175" s="191" t="s">
        <v>479</v>
      </c>
      <c r="BG5175" s="191" t="s">
        <v>479</v>
      </c>
      <c r="BH5175" s="236" t="s">
        <v>5292</v>
      </c>
      <c r="BI5175" s="191" t="s">
        <v>479</v>
      </c>
      <c r="BJ5175" s="58" t="str">
        <f>IF(BE5175=BH5175,"No","yes")</f>
        <v>yes</v>
      </c>
      <c r="BK5175" s="58" t="s">
        <v>6335</v>
      </c>
      <c r="BL5175" s="58"/>
      <c r="BM5175" s="237"/>
      <c r="BN5175" s="244">
        <v>8</v>
      </c>
      <c r="BO5175" s="244">
        <v>8</v>
      </c>
      <c r="BP5175" s="58"/>
      <c r="BQ5175" s="58"/>
      <c r="BR5175" s="58"/>
      <c r="BS5175" s="58"/>
      <c r="BT5175" s="58"/>
      <c r="BU5175" s="58"/>
      <c r="BV5175" s="58"/>
      <c r="BW5175" s="67"/>
      <c r="BX5175" s="67"/>
      <c r="BY5175" s="67"/>
      <c r="BZ5175" s="67"/>
      <c r="CA5175" s="67"/>
      <c r="CB5175" s="70">
        <v>10460</v>
      </c>
      <c r="CC5175" s="70">
        <v>12180</v>
      </c>
      <c r="CD5175" s="70"/>
      <c r="CE5175" s="67"/>
      <c r="CF5175" s="67"/>
      <c r="CG5175" s="67"/>
      <c r="CH5175" s="245"/>
      <c r="CI5175" s="245"/>
      <c r="CJ5175" s="67"/>
      <c r="CK5175" s="67"/>
      <c r="CL5175" s="67"/>
      <c r="CM5175" s="242"/>
      <c r="CN5175" s="242"/>
      <c r="CO5175" s="242"/>
      <c r="CP5175" s="242"/>
      <c r="CQ5175" s="242"/>
      <c r="CR5175" s="242"/>
      <c r="CS5175" s="242"/>
      <c r="CT5175" s="242"/>
      <c r="CU5175" s="242"/>
      <c r="CV5175" s="242"/>
      <c r="CW5175" s="242"/>
      <c r="CX5175" s="242"/>
      <c r="CY5175" s="242"/>
      <c r="CZ5175" s="242"/>
      <c r="DA5175" s="67"/>
      <c r="DB5175" s="67"/>
      <c r="DC5175" s="67"/>
      <c r="DD5175" s="67"/>
      <c r="DE5175" s="67"/>
      <c r="DF5175" s="67"/>
      <c r="DG5175" s="67"/>
      <c r="DH5175" s="67"/>
      <c r="DI5175" s="67"/>
      <c r="DJ5175" s="67"/>
      <c r="DK5175" s="67"/>
      <c r="DL5175" s="67"/>
      <c r="DM5175" s="67"/>
      <c r="DN5175" s="67"/>
      <c r="DO5175" s="67"/>
      <c r="DP5175" s="67"/>
      <c r="DQ5175" s="166"/>
      <c r="DR5175" s="166"/>
      <c r="DS5175" s="163"/>
      <c r="DT5175" s="163"/>
      <c r="DU5175" s="67"/>
      <c r="DV5175" s="67"/>
      <c r="DW5175" s="67"/>
      <c r="DX5175" s="67"/>
      <c r="DY5175" s="67"/>
      <c r="DZ5175" s="67"/>
      <c r="EA5175" s="67"/>
      <c r="EB5175" s="67"/>
      <c r="EC5175" s="67"/>
      <c r="ED5175" s="67"/>
      <c r="EE5175" s="67"/>
      <c r="EF5175" s="67"/>
      <c r="EG5175" s="67"/>
      <c r="EH5175" s="67"/>
      <c r="EI5175" s="67"/>
      <c r="EJ5175" s="67"/>
      <c r="EK5175" s="94"/>
      <c r="EL5175" s="94"/>
      <c r="EM5175" s="67"/>
      <c r="EN5175" s="67"/>
      <c r="EO5175" s="67"/>
      <c r="EP5175" s="67"/>
      <c r="EQ5175" s="67"/>
      <c r="ER5175" s="67"/>
      <c r="ES5175" s="67"/>
      <c r="ET5175" s="67"/>
      <c r="EU5175" s="67"/>
      <c r="EV5175" s="67"/>
      <c r="EW5175" s="67"/>
      <c r="EX5175" s="67"/>
      <c r="EY5175" s="67"/>
      <c r="EZ5175" s="67"/>
      <c r="FA5175" s="67"/>
      <c r="FB5175" s="67"/>
      <c r="FC5175" s="67"/>
      <c r="FD5175" s="67"/>
      <c r="FE5175" s="67"/>
      <c r="FF5175" s="67"/>
      <c r="FG5175" s="67"/>
      <c r="FH5175" s="67"/>
      <c r="FI5175" s="67"/>
      <c r="FJ5175" s="67"/>
      <c r="FK5175" s="67"/>
      <c r="FL5175" s="67"/>
      <c r="FM5175" s="67"/>
      <c r="FN5175" s="67"/>
      <c r="FO5175" s="67"/>
      <c r="FP5175" s="67"/>
      <c r="FQ5175" s="67"/>
      <c r="FR5175" s="67"/>
      <c r="FS5175" s="67"/>
      <c r="FT5175" s="67"/>
      <c r="FU5175" s="67"/>
      <c r="FV5175" s="67"/>
      <c r="FW5175" s="67"/>
      <c r="FX5175" s="67"/>
      <c r="FY5175" s="67"/>
      <c r="FZ5175" s="67"/>
      <c r="GA5175" s="67"/>
      <c r="GB5175" s="67"/>
      <c r="GC5175" s="67"/>
      <c r="GD5175" s="67"/>
      <c r="GE5175" s="67"/>
      <c r="GF5175" s="67"/>
      <c r="GG5175" s="67"/>
      <c r="GH5175" s="67"/>
      <c r="GI5175" s="67"/>
      <c r="GJ5175" s="67"/>
      <c r="GK5175" s="67"/>
      <c r="GL5175" s="67"/>
      <c r="GM5175" s="67"/>
      <c r="GN5175" s="292"/>
      <c r="GO5175" s="292"/>
      <c r="GP5175" s="292" t="s">
        <v>7494</v>
      </c>
      <c r="GQ5175" s="67"/>
      <c r="GR5175" s="67"/>
      <c r="GS5175" s="67"/>
      <c r="GT5175" s="67"/>
      <c r="GU5175" s="67"/>
      <c r="GV5175" s="67"/>
      <c r="GW5175" s="67"/>
      <c r="GX5175" s="67"/>
      <c r="GY5175" s="67"/>
      <c r="GZ5175" s="67"/>
      <c r="HA5175" s="67"/>
      <c r="HB5175" s="67"/>
      <c r="HC5175" s="67"/>
      <c r="HD5175" s="67"/>
      <c r="HE5175" s="67"/>
      <c r="HF5175" s="67"/>
      <c r="HG5175" s="67"/>
      <c r="HH5175" s="67"/>
      <c r="HI5175" s="67"/>
      <c r="HJ5175" s="67"/>
      <c r="HK5175" s="67"/>
      <c r="HL5175" s="67"/>
      <c r="HM5175" s="67"/>
      <c r="HN5175" s="67"/>
      <c r="HO5175" s="67"/>
      <c r="HP5175" s="67"/>
      <c r="HQ5175" s="67"/>
      <c r="HR5175" s="67"/>
      <c r="HS5175" s="67"/>
      <c r="HT5175" s="67"/>
      <c r="HU5175" s="67"/>
      <c r="HV5175" s="67"/>
      <c r="HW5175" s="67"/>
      <c r="HX5175" s="67"/>
      <c r="HY5175" s="67"/>
      <c r="HZ5175" s="67"/>
      <c r="IA5175" s="67"/>
      <c r="IB5175" s="67"/>
      <c r="IC5175" s="67"/>
      <c r="ID5175" s="67"/>
      <c r="IE5175" s="67"/>
      <c r="IF5175" s="67"/>
      <c r="IG5175" s="67"/>
      <c r="IH5175" s="67"/>
      <c r="II5175" s="67"/>
      <c r="IJ5175" s="67"/>
      <c r="IK5175" s="67"/>
      <c r="IL5175" s="67"/>
      <c r="IM5175" s="67"/>
      <c r="IN5175" s="67"/>
      <c r="IO5175" s="67"/>
      <c r="IP5175" s="67"/>
      <c r="IQ5175" s="67"/>
      <c r="IR5175" s="67"/>
      <c r="IS5175" s="67"/>
      <c r="IT5175" s="67"/>
      <c r="IU5175" s="67"/>
      <c r="IV5175" s="67"/>
      <c r="IW5175" s="67"/>
      <c r="IX5175" s="67"/>
      <c r="IY5175" s="67"/>
      <c r="IZ5175" s="67"/>
      <c r="JA5175" s="67"/>
      <c r="JB5175" s="67"/>
      <c r="JC5175" s="67"/>
      <c r="JD5175" s="67"/>
      <c r="JE5175" s="67"/>
      <c r="JF5175" s="67"/>
      <c r="JG5175" s="67"/>
      <c r="JH5175" s="67"/>
      <c r="JI5175" s="67"/>
      <c r="JJ5175" s="67"/>
      <c r="JK5175" s="67"/>
      <c r="JL5175" s="67"/>
      <c r="JM5175" s="67"/>
      <c r="JN5175" s="67"/>
      <c r="JO5175" s="67"/>
      <c r="JP5175" s="67"/>
      <c r="JQ5175" s="67"/>
      <c r="JR5175" s="67"/>
      <c r="JS5175" s="67"/>
      <c r="JT5175" s="67"/>
      <c r="JU5175" s="58"/>
      <c r="JV5175" s="58"/>
      <c r="JW5175" s="58"/>
    </row>
    <row r="5176" spans="1:283" s="23" customFormat="1" x14ac:dyDescent="0.25">
      <c r="A5176" s="55">
        <v>5175</v>
      </c>
      <c r="B5176" s="12" t="s">
        <v>7067</v>
      </c>
      <c r="C5176" s="156">
        <v>275</v>
      </c>
      <c r="D5176" s="58" t="s">
        <v>5045</v>
      </c>
      <c r="E5176" s="160" t="str">
        <f>G5176</f>
        <v>Teasdale et al. 2007_total horizon_pair 3</v>
      </c>
      <c r="F5176" s="160"/>
      <c r="G5176" s="60" t="s">
        <v>4683</v>
      </c>
      <c r="H5176" s="58">
        <v>2007</v>
      </c>
      <c r="I5176" s="58" t="s">
        <v>3181</v>
      </c>
      <c r="J5176" s="243" t="s">
        <v>282</v>
      </c>
      <c r="K5176" s="63" t="s">
        <v>5071</v>
      </c>
      <c r="L5176" s="58" t="s">
        <v>2737</v>
      </c>
      <c r="M5176" s="94">
        <v>39.03</v>
      </c>
      <c r="N5176" s="94">
        <v>-76.91</v>
      </c>
      <c r="O5176" s="94">
        <v>37</v>
      </c>
      <c r="P5176" s="58"/>
      <c r="Q5176" s="244">
        <v>12.800000000000002</v>
      </c>
      <c r="R5176" s="58"/>
      <c r="S5176" s="245">
        <v>1110</v>
      </c>
      <c r="T5176" s="58"/>
      <c r="U5176" s="58" t="s">
        <v>1816</v>
      </c>
      <c r="V5176" s="244">
        <v>9</v>
      </c>
      <c r="W5176" s="174"/>
      <c r="X5176" s="174"/>
      <c r="Y5176" s="58" t="s">
        <v>5471</v>
      </c>
      <c r="Z5176" s="244" t="s">
        <v>1347</v>
      </c>
      <c r="AA5176" s="245">
        <v>10</v>
      </c>
      <c r="AB5176" s="67"/>
      <c r="AC5176" s="67"/>
      <c r="AD5176" s="94"/>
      <c r="AE5176" s="94"/>
      <c r="AF5176" s="94"/>
      <c r="AG5176" s="245"/>
      <c r="AH5176" s="58" t="s">
        <v>139</v>
      </c>
      <c r="AI5176" s="169"/>
      <c r="AJ5176" s="94"/>
      <c r="AK5176" s="94"/>
      <c r="AL5176" s="58"/>
      <c r="AM5176" s="58" t="s">
        <v>1291</v>
      </c>
      <c r="AN5176" s="186"/>
      <c r="AO5176" s="185" t="s">
        <v>7494</v>
      </c>
      <c r="AP5176" s="58"/>
      <c r="AQ5176" s="58"/>
      <c r="AR5176" s="58" t="s">
        <v>132</v>
      </c>
      <c r="AS5176" s="58" t="s">
        <v>132</v>
      </c>
      <c r="AT5176" s="247">
        <v>0</v>
      </c>
      <c r="AU5176" s="181" t="s">
        <v>7494</v>
      </c>
      <c r="AV5176" s="185" t="s">
        <v>176</v>
      </c>
      <c r="AW5176" s="244">
        <v>1</v>
      </c>
      <c r="AX5176" s="185" t="s">
        <v>176</v>
      </c>
      <c r="AY5176" s="244" t="s">
        <v>5150</v>
      </c>
      <c r="AZ5176" s="58"/>
      <c r="BA5176" s="58"/>
      <c r="BB5176" s="58"/>
      <c r="BC5176" s="58"/>
      <c r="BD5176" s="58"/>
      <c r="BE5176" s="236" t="s">
        <v>5222</v>
      </c>
      <c r="BF5176" s="191" t="s">
        <v>479</v>
      </c>
      <c r="BG5176" s="191" t="s">
        <v>479</v>
      </c>
      <c r="BH5176" s="236" t="s">
        <v>5292</v>
      </c>
      <c r="BI5176" s="191" t="s">
        <v>479</v>
      </c>
      <c r="BJ5176" s="58" t="str">
        <f>IF(BE5176=BH5176,"No","yes")</f>
        <v>yes</v>
      </c>
      <c r="BK5176" s="58" t="s">
        <v>6335</v>
      </c>
      <c r="BL5176" s="58"/>
      <c r="BM5176" s="237"/>
      <c r="BN5176" s="244">
        <v>8</v>
      </c>
      <c r="BO5176" s="244">
        <v>8</v>
      </c>
      <c r="BP5176" s="58"/>
      <c r="BQ5176" s="58"/>
      <c r="BR5176" s="58"/>
      <c r="BS5176" s="58"/>
      <c r="BT5176" s="58"/>
      <c r="BU5176" s="58"/>
      <c r="BV5176" s="58"/>
      <c r="BW5176" s="67"/>
      <c r="BX5176" s="67"/>
      <c r="BY5176" s="67"/>
      <c r="BZ5176" s="67"/>
      <c r="CA5176" s="67"/>
      <c r="CB5176" s="70">
        <v>10460</v>
      </c>
      <c r="CC5176" s="70">
        <v>5870</v>
      </c>
      <c r="CD5176" s="70"/>
      <c r="CE5176" s="67"/>
      <c r="CF5176" s="67"/>
      <c r="CG5176" s="67"/>
      <c r="CH5176" s="245"/>
      <c r="CI5176" s="245"/>
      <c r="CJ5176" s="67"/>
      <c r="CK5176" s="67"/>
      <c r="CL5176" s="67"/>
      <c r="CM5176" s="242"/>
      <c r="CN5176" s="242"/>
      <c r="CO5176" s="242"/>
      <c r="CP5176" s="242"/>
      <c r="CQ5176" s="242"/>
      <c r="CR5176" s="242"/>
      <c r="CS5176" s="242"/>
      <c r="CT5176" s="242"/>
      <c r="CU5176" s="242"/>
      <c r="CV5176" s="242"/>
      <c r="CW5176" s="242"/>
      <c r="CX5176" s="242"/>
      <c r="CY5176" s="242"/>
      <c r="CZ5176" s="242"/>
      <c r="DA5176" s="67"/>
      <c r="DB5176" s="67"/>
      <c r="DC5176" s="67"/>
      <c r="DD5176" s="67"/>
      <c r="DE5176" s="67"/>
      <c r="DF5176" s="67"/>
      <c r="DG5176" s="67"/>
      <c r="DH5176" s="67"/>
      <c r="DI5176" s="67"/>
      <c r="DJ5176" s="67"/>
      <c r="DK5176" s="67"/>
      <c r="DL5176" s="67"/>
      <c r="DM5176" s="67"/>
      <c r="DN5176" s="67"/>
      <c r="DO5176" s="67"/>
      <c r="DP5176" s="67"/>
      <c r="DQ5176" s="166"/>
      <c r="DR5176" s="166"/>
      <c r="DS5176" s="163"/>
      <c r="DT5176" s="163"/>
      <c r="DU5176" s="67"/>
      <c r="DV5176" s="67"/>
      <c r="DW5176" s="67"/>
      <c r="DX5176" s="67"/>
      <c r="DY5176" s="67"/>
      <c r="DZ5176" s="67"/>
      <c r="EA5176" s="67"/>
      <c r="EB5176" s="67"/>
      <c r="EC5176" s="67"/>
      <c r="ED5176" s="67"/>
      <c r="EE5176" s="67"/>
      <c r="EF5176" s="67"/>
      <c r="EG5176" s="67"/>
      <c r="EH5176" s="67"/>
      <c r="EI5176" s="67"/>
      <c r="EJ5176" s="67"/>
      <c r="EK5176" s="94"/>
      <c r="EL5176" s="94"/>
      <c r="EM5176" s="67"/>
      <c r="EN5176" s="67"/>
      <c r="EO5176" s="67"/>
      <c r="EP5176" s="67"/>
      <c r="EQ5176" s="67"/>
      <c r="ER5176" s="67"/>
      <c r="ES5176" s="67"/>
      <c r="ET5176" s="67"/>
      <c r="EU5176" s="67"/>
      <c r="EV5176" s="67"/>
      <c r="EW5176" s="67"/>
      <c r="EX5176" s="67"/>
      <c r="EY5176" s="67"/>
      <c r="EZ5176" s="67"/>
      <c r="FA5176" s="67"/>
      <c r="FB5176" s="67"/>
      <c r="FC5176" s="67"/>
      <c r="FD5176" s="67"/>
      <c r="FE5176" s="67"/>
      <c r="FF5176" s="67"/>
      <c r="FG5176" s="67"/>
      <c r="FH5176" s="67"/>
      <c r="FI5176" s="67"/>
      <c r="FJ5176" s="67"/>
      <c r="FK5176" s="67"/>
      <c r="FL5176" s="67"/>
      <c r="FM5176" s="67"/>
      <c r="FN5176" s="67"/>
      <c r="FO5176" s="67"/>
      <c r="FP5176" s="67"/>
      <c r="FQ5176" s="67"/>
      <c r="FR5176" s="67"/>
      <c r="FS5176" s="67"/>
      <c r="FT5176" s="67"/>
      <c r="FU5176" s="67"/>
      <c r="FV5176" s="67"/>
      <c r="FW5176" s="67"/>
      <c r="FX5176" s="67"/>
      <c r="FY5176" s="67"/>
      <c r="FZ5176" s="67"/>
      <c r="GA5176" s="67"/>
      <c r="GB5176" s="67"/>
      <c r="GC5176" s="67"/>
      <c r="GD5176" s="67"/>
      <c r="GE5176" s="67"/>
      <c r="GF5176" s="67"/>
      <c r="GG5176" s="67"/>
      <c r="GH5176" s="67"/>
      <c r="GI5176" s="67"/>
      <c r="GJ5176" s="67"/>
      <c r="GK5176" s="67"/>
      <c r="GL5176" s="67"/>
      <c r="GM5176" s="67"/>
      <c r="GN5176" s="292"/>
      <c r="GO5176" s="292"/>
      <c r="GP5176" s="292" t="s">
        <v>7494</v>
      </c>
      <c r="GQ5176" s="67"/>
      <c r="GR5176" s="67"/>
      <c r="GS5176" s="67"/>
      <c r="GT5176" s="67"/>
      <c r="GU5176" s="67"/>
      <c r="GV5176" s="67"/>
      <c r="GW5176" s="67"/>
      <c r="GX5176" s="67"/>
      <c r="GY5176" s="67"/>
      <c r="GZ5176" s="67"/>
      <c r="HA5176" s="67"/>
      <c r="HB5176" s="67"/>
      <c r="HC5176" s="67"/>
      <c r="HD5176" s="67"/>
      <c r="HE5176" s="67"/>
      <c r="HF5176" s="67"/>
      <c r="HG5176" s="67"/>
      <c r="HH5176" s="67"/>
      <c r="HI5176" s="67"/>
      <c r="HJ5176" s="67"/>
      <c r="HK5176" s="67"/>
      <c r="HL5176" s="67"/>
      <c r="HM5176" s="67"/>
      <c r="HN5176" s="67"/>
      <c r="HO5176" s="67"/>
      <c r="HP5176" s="67"/>
      <c r="HQ5176" s="67"/>
      <c r="HR5176" s="67"/>
      <c r="HS5176" s="67"/>
      <c r="HT5176" s="67"/>
      <c r="HU5176" s="67"/>
      <c r="HV5176" s="67"/>
      <c r="HW5176" s="67"/>
      <c r="HX5176" s="67"/>
      <c r="HY5176" s="67"/>
      <c r="HZ5176" s="67"/>
      <c r="IA5176" s="67"/>
      <c r="IB5176" s="67"/>
      <c r="IC5176" s="67"/>
      <c r="ID5176" s="67"/>
      <c r="IE5176" s="67"/>
      <c r="IF5176" s="67"/>
      <c r="IG5176" s="67"/>
      <c r="IH5176" s="67"/>
      <c r="II5176" s="67"/>
      <c r="IJ5176" s="67"/>
      <c r="IK5176" s="67"/>
      <c r="IL5176" s="67"/>
      <c r="IM5176" s="67"/>
      <c r="IN5176" s="67"/>
      <c r="IO5176" s="67"/>
      <c r="IP5176" s="67"/>
      <c r="IQ5176" s="67"/>
      <c r="IR5176" s="67"/>
      <c r="IS5176" s="67"/>
      <c r="IT5176" s="67"/>
      <c r="IU5176" s="67"/>
      <c r="IV5176" s="67"/>
      <c r="IW5176" s="67"/>
      <c r="IX5176" s="67"/>
      <c r="IY5176" s="67"/>
      <c r="IZ5176" s="67"/>
      <c r="JA5176" s="67"/>
      <c r="JB5176" s="67"/>
      <c r="JC5176" s="67"/>
      <c r="JD5176" s="67"/>
      <c r="JE5176" s="67"/>
      <c r="JF5176" s="67"/>
      <c r="JG5176" s="67"/>
      <c r="JH5176" s="67"/>
      <c r="JI5176" s="67"/>
      <c r="JJ5176" s="67"/>
      <c r="JK5176" s="67"/>
      <c r="JL5176" s="67"/>
      <c r="JM5176" s="67"/>
      <c r="JN5176" s="67"/>
      <c r="JO5176" s="67"/>
      <c r="JP5176" s="67"/>
      <c r="JQ5176" s="67"/>
      <c r="JR5176" s="67"/>
      <c r="JS5176" s="67"/>
      <c r="JT5176" s="67"/>
      <c r="JU5176" s="58"/>
      <c r="JV5176" s="58"/>
      <c r="JW5176" s="58"/>
    </row>
    <row r="5177" spans="1:283" s="23" customFormat="1" x14ac:dyDescent="0.25">
      <c r="A5177" s="55">
        <v>5176</v>
      </c>
      <c r="B5177" s="12" t="s">
        <v>7067</v>
      </c>
      <c r="C5177" s="156">
        <v>275</v>
      </c>
      <c r="D5177" s="58" t="s">
        <v>5045</v>
      </c>
      <c r="E5177" s="160" t="str">
        <f>G5177</f>
        <v>Teasdale et al. 2007_total horizon_pair 3</v>
      </c>
      <c r="F5177" s="160"/>
      <c r="G5177" s="60" t="s">
        <v>4683</v>
      </c>
      <c r="H5177" s="58">
        <v>2007</v>
      </c>
      <c r="I5177" s="58" t="s">
        <v>3181</v>
      </c>
      <c r="J5177" s="243" t="s">
        <v>282</v>
      </c>
      <c r="K5177" s="63" t="s">
        <v>5071</v>
      </c>
      <c r="L5177" s="58" t="s">
        <v>2737</v>
      </c>
      <c r="M5177" s="94">
        <v>39.03</v>
      </c>
      <c r="N5177" s="94">
        <v>-76.91</v>
      </c>
      <c r="O5177" s="94">
        <v>37</v>
      </c>
      <c r="P5177" s="58"/>
      <c r="Q5177" s="244">
        <v>12.800000000000002</v>
      </c>
      <c r="R5177" s="58"/>
      <c r="S5177" s="245">
        <v>1110</v>
      </c>
      <c r="T5177" s="58"/>
      <c r="U5177" s="58" t="s">
        <v>1816</v>
      </c>
      <c r="V5177" s="244">
        <v>9</v>
      </c>
      <c r="W5177" s="174"/>
      <c r="X5177" s="174"/>
      <c r="Y5177" s="58" t="s">
        <v>5471</v>
      </c>
      <c r="Z5177" s="244" t="s">
        <v>1347</v>
      </c>
      <c r="AA5177" s="245">
        <v>10</v>
      </c>
      <c r="AB5177" s="67"/>
      <c r="AC5177" s="67"/>
      <c r="AD5177" s="94"/>
      <c r="AE5177" s="94"/>
      <c r="AF5177" s="94"/>
      <c r="AG5177" s="245"/>
      <c r="AH5177" s="58" t="s">
        <v>139</v>
      </c>
      <c r="AI5177" s="169"/>
      <c r="AJ5177" s="94"/>
      <c r="AK5177" s="94"/>
      <c r="AL5177" s="58"/>
      <c r="AM5177" s="58" t="s">
        <v>1291</v>
      </c>
      <c r="AN5177" s="186"/>
      <c r="AO5177" s="185" t="s">
        <v>7494</v>
      </c>
      <c r="AP5177" s="58"/>
      <c r="AQ5177" s="58"/>
      <c r="AR5177" s="58" t="s">
        <v>116</v>
      </c>
      <c r="AS5177" s="58" t="s">
        <v>116</v>
      </c>
      <c r="AT5177" s="247">
        <v>0</v>
      </c>
      <c r="AU5177" s="181" t="s">
        <v>7494</v>
      </c>
      <c r="AV5177" s="185" t="s">
        <v>176</v>
      </c>
      <c r="AW5177" s="244">
        <v>1</v>
      </c>
      <c r="AX5177" s="185" t="s">
        <v>176</v>
      </c>
      <c r="AY5177" s="244" t="s">
        <v>5150</v>
      </c>
      <c r="AZ5177" s="58"/>
      <c r="BA5177" s="58"/>
      <c r="BB5177" s="58"/>
      <c r="BC5177" s="58"/>
      <c r="BD5177" s="58"/>
      <c r="BE5177" s="236" t="s">
        <v>5222</v>
      </c>
      <c r="BF5177" s="191" t="s">
        <v>479</v>
      </c>
      <c r="BG5177" s="191" t="s">
        <v>479</v>
      </c>
      <c r="BH5177" s="236" t="s">
        <v>5292</v>
      </c>
      <c r="BI5177" s="191" t="s">
        <v>479</v>
      </c>
      <c r="BJ5177" s="58" t="str">
        <f>IF(BE5177=BH5177,"No","yes")</f>
        <v>yes</v>
      </c>
      <c r="BK5177" s="58" t="s">
        <v>6335</v>
      </c>
      <c r="BL5177" s="58"/>
      <c r="BM5177" s="237"/>
      <c r="BN5177" s="244">
        <v>8</v>
      </c>
      <c r="BO5177" s="244">
        <v>8</v>
      </c>
      <c r="BP5177" s="58"/>
      <c r="BQ5177" s="58"/>
      <c r="BR5177" s="58"/>
      <c r="BS5177" s="58"/>
      <c r="BT5177" s="58"/>
      <c r="BU5177" s="58"/>
      <c r="BV5177" s="58"/>
      <c r="BW5177" s="67"/>
      <c r="BX5177" s="67"/>
      <c r="BY5177" s="67"/>
      <c r="BZ5177" s="67"/>
      <c r="CA5177" s="67"/>
      <c r="CB5177" s="70">
        <v>3660</v>
      </c>
      <c r="CC5177" s="70">
        <v>4180</v>
      </c>
      <c r="CD5177" s="70"/>
      <c r="CE5177" s="67"/>
      <c r="CF5177" s="67"/>
      <c r="CG5177" s="67"/>
      <c r="CH5177" s="245"/>
      <c r="CI5177" s="245"/>
      <c r="CJ5177" s="67"/>
      <c r="CK5177" s="67"/>
      <c r="CL5177" s="67"/>
      <c r="CM5177" s="242"/>
      <c r="CN5177" s="242"/>
      <c r="CO5177" s="242"/>
      <c r="CP5177" s="242"/>
      <c r="CQ5177" s="242"/>
      <c r="CR5177" s="242"/>
      <c r="CS5177" s="242"/>
      <c r="CT5177" s="242"/>
      <c r="CU5177" s="242"/>
      <c r="CV5177" s="242"/>
      <c r="CW5177" s="242"/>
      <c r="CX5177" s="242"/>
      <c r="CY5177" s="242"/>
      <c r="CZ5177" s="242"/>
      <c r="DA5177" s="67"/>
      <c r="DB5177" s="67"/>
      <c r="DC5177" s="67"/>
      <c r="DD5177" s="67"/>
      <c r="DE5177" s="67"/>
      <c r="DF5177" s="67"/>
      <c r="DG5177" s="67"/>
      <c r="DH5177" s="67"/>
      <c r="DI5177" s="67"/>
      <c r="DJ5177" s="67"/>
      <c r="DK5177" s="67"/>
      <c r="DL5177" s="67"/>
      <c r="DM5177" s="67"/>
      <c r="DN5177" s="67"/>
      <c r="DO5177" s="67"/>
      <c r="DP5177" s="67"/>
      <c r="DQ5177" s="166"/>
      <c r="DR5177" s="166"/>
      <c r="DS5177" s="163"/>
      <c r="DT5177" s="163"/>
      <c r="DU5177" s="67"/>
      <c r="DV5177" s="67"/>
      <c r="DW5177" s="67"/>
      <c r="DX5177" s="67"/>
      <c r="DY5177" s="67"/>
      <c r="DZ5177" s="67"/>
      <c r="EA5177" s="67"/>
      <c r="EB5177" s="67"/>
      <c r="EC5177" s="67"/>
      <c r="ED5177" s="67"/>
      <c r="EE5177" s="67"/>
      <c r="EF5177" s="67"/>
      <c r="EG5177" s="67"/>
      <c r="EH5177" s="67"/>
      <c r="EI5177" s="67"/>
      <c r="EJ5177" s="67"/>
      <c r="EK5177" s="94"/>
      <c r="EL5177" s="94"/>
      <c r="EM5177" s="67"/>
      <c r="EN5177" s="67"/>
      <c r="EO5177" s="67"/>
      <c r="EP5177" s="67"/>
      <c r="EQ5177" s="67"/>
      <c r="ER5177" s="67"/>
      <c r="ES5177" s="67"/>
      <c r="ET5177" s="67"/>
      <c r="EU5177" s="67"/>
      <c r="EV5177" s="67"/>
      <c r="EW5177" s="67"/>
      <c r="EX5177" s="67"/>
      <c r="EY5177" s="67"/>
      <c r="EZ5177" s="67"/>
      <c r="FA5177" s="67"/>
      <c r="FB5177" s="67"/>
      <c r="FC5177" s="67"/>
      <c r="FD5177" s="67"/>
      <c r="FE5177" s="67"/>
      <c r="FF5177" s="67"/>
      <c r="FG5177" s="67"/>
      <c r="FH5177" s="67"/>
      <c r="FI5177" s="67"/>
      <c r="FJ5177" s="67"/>
      <c r="FK5177" s="67"/>
      <c r="FL5177" s="67"/>
      <c r="FM5177" s="67"/>
      <c r="FN5177" s="67"/>
      <c r="FO5177" s="67"/>
      <c r="FP5177" s="67"/>
      <c r="FQ5177" s="67"/>
      <c r="FR5177" s="67"/>
      <c r="FS5177" s="67"/>
      <c r="FT5177" s="67"/>
      <c r="FU5177" s="67"/>
      <c r="FV5177" s="67"/>
      <c r="FW5177" s="67"/>
      <c r="FX5177" s="67"/>
      <c r="FY5177" s="67"/>
      <c r="FZ5177" s="67"/>
      <c r="GA5177" s="67"/>
      <c r="GB5177" s="67"/>
      <c r="GC5177" s="67"/>
      <c r="GD5177" s="67"/>
      <c r="GE5177" s="67"/>
      <c r="GF5177" s="67"/>
      <c r="GG5177" s="67"/>
      <c r="GH5177" s="67"/>
      <c r="GI5177" s="67"/>
      <c r="GJ5177" s="67"/>
      <c r="GK5177" s="67"/>
      <c r="GL5177" s="67"/>
      <c r="GM5177" s="67"/>
      <c r="GN5177" s="292"/>
      <c r="GO5177" s="292"/>
      <c r="GP5177" s="292" t="s">
        <v>7494</v>
      </c>
      <c r="GQ5177" s="67"/>
      <c r="GR5177" s="67"/>
      <c r="GS5177" s="67"/>
      <c r="GT5177" s="67"/>
      <c r="GU5177" s="67"/>
      <c r="GV5177" s="67"/>
      <c r="GW5177" s="67"/>
      <c r="GX5177" s="67"/>
      <c r="GY5177" s="67"/>
      <c r="GZ5177" s="67"/>
      <c r="HA5177" s="67"/>
      <c r="HB5177" s="67"/>
      <c r="HC5177" s="67"/>
      <c r="HD5177" s="67"/>
      <c r="HE5177" s="67"/>
      <c r="HF5177" s="67"/>
      <c r="HG5177" s="67"/>
      <c r="HH5177" s="67"/>
      <c r="HI5177" s="67"/>
      <c r="HJ5177" s="67"/>
      <c r="HK5177" s="67"/>
      <c r="HL5177" s="67"/>
      <c r="HM5177" s="67"/>
      <c r="HN5177" s="67"/>
      <c r="HO5177" s="67"/>
      <c r="HP5177" s="67"/>
      <c r="HQ5177" s="67"/>
      <c r="HR5177" s="67"/>
      <c r="HS5177" s="67"/>
      <c r="HT5177" s="67"/>
      <c r="HU5177" s="67"/>
      <c r="HV5177" s="67"/>
      <c r="HW5177" s="67"/>
      <c r="HX5177" s="67"/>
      <c r="HY5177" s="67"/>
      <c r="HZ5177" s="67"/>
      <c r="IA5177" s="67"/>
      <c r="IB5177" s="67"/>
      <c r="IC5177" s="67"/>
      <c r="ID5177" s="67"/>
      <c r="IE5177" s="67"/>
      <c r="IF5177" s="67"/>
      <c r="IG5177" s="67"/>
      <c r="IH5177" s="67"/>
      <c r="II5177" s="67"/>
      <c r="IJ5177" s="67"/>
      <c r="IK5177" s="67"/>
      <c r="IL5177" s="67"/>
      <c r="IM5177" s="67"/>
      <c r="IN5177" s="67"/>
      <c r="IO5177" s="67"/>
      <c r="IP5177" s="67"/>
      <c r="IQ5177" s="67"/>
      <c r="IR5177" s="67"/>
      <c r="IS5177" s="67"/>
      <c r="IT5177" s="67"/>
      <c r="IU5177" s="67"/>
      <c r="IV5177" s="67"/>
      <c r="IW5177" s="67"/>
      <c r="IX5177" s="67"/>
      <c r="IY5177" s="67"/>
      <c r="IZ5177" s="67"/>
      <c r="JA5177" s="67"/>
      <c r="JB5177" s="67"/>
      <c r="JC5177" s="67"/>
      <c r="JD5177" s="67"/>
      <c r="JE5177" s="67"/>
      <c r="JF5177" s="67"/>
      <c r="JG5177" s="67"/>
      <c r="JH5177" s="67"/>
      <c r="JI5177" s="67"/>
      <c r="JJ5177" s="67"/>
      <c r="JK5177" s="67"/>
      <c r="JL5177" s="67"/>
      <c r="JM5177" s="67"/>
      <c r="JN5177" s="67"/>
      <c r="JO5177" s="67"/>
      <c r="JP5177" s="67"/>
      <c r="JQ5177" s="67"/>
      <c r="JR5177" s="67"/>
      <c r="JS5177" s="67"/>
      <c r="JT5177" s="67"/>
      <c r="JU5177" s="58"/>
      <c r="JV5177" s="58"/>
      <c r="JW5177" s="58"/>
    </row>
    <row r="5178" spans="1:283" s="23" customFormat="1" x14ac:dyDescent="0.25">
      <c r="A5178" s="55">
        <v>5177</v>
      </c>
      <c r="B5178" s="12" t="s">
        <v>7067</v>
      </c>
      <c r="C5178" s="156">
        <v>275</v>
      </c>
      <c r="D5178" s="58" t="s">
        <v>5045</v>
      </c>
      <c r="E5178" s="160" t="str">
        <f>G5178</f>
        <v>Teasdale et al. 2007_total horizon_pair 3</v>
      </c>
      <c r="F5178" s="160"/>
      <c r="G5178" s="60" t="s">
        <v>4683</v>
      </c>
      <c r="H5178" s="58">
        <v>2007</v>
      </c>
      <c r="I5178" s="58" t="s">
        <v>3181</v>
      </c>
      <c r="J5178" s="243" t="s">
        <v>282</v>
      </c>
      <c r="K5178" s="63" t="s">
        <v>5071</v>
      </c>
      <c r="L5178" s="58" t="s">
        <v>2737</v>
      </c>
      <c r="M5178" s="94">
        <v>39.03</v>
      </c>
      <c r="N5178" s="94">
        <v>-76.91</v>
      </c>
      <c r="O5178" s="94">
        <v>37</v>
      </c>
      <c r="P5178" s="58"/>
      <c r="Q5178" s="244">
        <v>12.800000000000002</v>
      </c>
      <c r="R5178" s="58"/>
      <c r="S5178" s="245">
        <v>1110</v>
      </c>
      <c r="T5178" s="58"/>
      <c r="U5178" s="58" t="s">
        <v>1816</v>
      </c>
      <c r="V5178" s="244">
        <v>9</v>
      </c>
      <c r="W5178" s="174"/>
      <c r="X5178" s="174"/>
      <c r="Y5178" s="58" t="s">
        <v>5471</v>
      </c>
      <c r="Z5178" s="244" t="s">
        <v>1347</v>
      </c>
      <c r="AA5178" s="245">
        <v>10</v>
      </c>
      <c r="AB5178" s="67"/>
      <c r="AC5178" s="67"/>
      <c r="AD5178" s="94"/>
      <c r="AE5178" s="94"/>
      <c r="AF5178" s="94"/>
      <c r="AG5178" s="245"/>
      <c r="AH5178" s="58" t="s">
        <v>139</v>
      </c>
      <c r="AI5178" s="169"/>
      <c r="AJ5178" s="94"/>
      <c r="AK5178" s="94"/>
      <c r="AL5178" s="58"/>
      <c r="AM5178" s="58" t="s">
        <v>1291</v>
      </c>
      <c r="AN5178" s="186"/>
      <c r="AO5178" s="185" t="s">
        <v>7494</v>
      </c>
      <c r="AP5178" s="58"/>
      <c r="AQ5178" s="58"/>
      <c r="AR5178" s="58" t="s">
        <v>116</v>
      </c>
      <c r="AS5178" s="58" t="s">
        <v>116</v>
      </c>
      <c r="AT5178" s="247">
        <v>0</v>
      </c>
      <c r="AU5178" s="181" t="s">
        <v>7494</v>
      </c>
      <c r="AV5178" s="185" t="s">
        <v>176</v>
      </c>
      <c r="AW5178" s="244">
        <v>1</v>
      </c>
      <c r="AX5178" s="185" t="s">
        <v>176</v>
      </c>
      <c r="AY5178" s="244" t="s">
        <v>5150</v>
      </c>
      <c r="AZ5178" s="58"/>
      <c r="BA5178" s="58"/>
      <c r="BB5178" s="58"/>
      <c r="BC5178" s="58"/>
      <c r="BD5178" s="58"/>
      <c r="BE5178" s="236" t="s">
        <v>5222</v>
      </c>
      <c r="BF5178" s="191" t="s">
        <v>479</v>
      </c>
      <c r="BG5178" s="191" t="s">
        <v>479</v>
      </c>
      <c r="BH5178" s="236" t="s">
        <v>5292</v>
      </c>
      <c r="BI5178" s="191" t="s">
        <v>479</v>
      </c>
      <c r="BJ5178" s="58" t="str">
        <f>IF(BE5178=BH5178,"No","yes")</f>
        <v>yes</v>
      </c>
      <c r="BK5178" s="58" t="s">
        <v>6335</v>
      </c>
      <c r="BL5178" s="58"/>
      <c r="BM5178" s="237"/>
      <c r="BN5178" s="244">
        <v>8</v>
      </c>
      <c r="BO5178" s="244">
        <v>8</v>
      </c>
      <c r="BP5178" s="58"/>
      <c r="BQ5178" s="58"/>
      <c r="BR5178" s="58"/>
      <c r="BS5178" s="58"/>
      <c r="BT5178" s="58"/>
      <c r="BU5178" s="58"/>
      <c r="BV5178" s="58"/>
      <c r="BW5178" s="67"/>
      <c r="BX5178" s="67"/>
      <c r="BY5178" s="67"/>
      <c r="BZ5178" s="67"/>
      <c r="CA5178" s="67"/>
      <c r="CB5178" s="70">
        <v>3660</v>
      </c>
      <c r="CC5178" s="70">
        <v>2610</v>
      </c>
      <c r="CD5178" s="70"/>
      <c r="CE5178" s="67"/>
      <c r="CF5178" s="67"/>
      <c r="CG5178" s="67"/>
      <c r="CH5178" s="245"/>
      <c r="CI5178" s="245"/>
      <c r="CJ5178" s="67"/>
      <c r="CK5178" s="67"/>
      <c r="CL5178" s="67"/>
      <c r="CM5178" s="242"/>
      <c r="CN5178" s="242"/>
      <c r="CO5178" s="242"/>
      <c r="CP5178" s="242"/>
      <c r="CQ5178" s="242"/>
      <c r="CR5178" s="242"/>
      <c r="CS5178" s="242"/>
      <c r="CT5178" s="242"/>
      <c r="CU5178" s="242"/>
      <c r="CV5178" s="242"/>
      <c r="CW5178" s="242"/>
      <c r="CX5178" s="242"/>
      <c r="CY5178" s="242"/>
      <c r="CZ5178" s="242"/>
      <c r="DA5178" s="67"/>
      <c r="DB5178" s="67"/>
      <c r="DC5178" s="67"/>
      <c r="DD5178" s="67"/>
      <c r="DE5178" s="67"/>
      <c r="DF5178" s="67"/>
      <c r="DG5178" s="67"/>
      <c r="DH5178" s="67"/>
      <c r="DI5178" s="67"/>
      <c r="DJ5178" s="67"/>
      <c r="DK5178" s="67"/>
      <c r="DL5178" s="67"/>
      <c r="DM5178" s="67"/>
      <c r="DN5178" s="67"/>
      <c r="DO5178" s="67"/>
      <c r="DP5178" s="67"/>
      <c r="DQ5178" s="166"/>
      <c r="DR5178" s="166"/>
      <c r="DS5178" s="163"/>
      <c r="DT5178" s="163"/>
      <c r="DU5178" s="67"/>
      <c r="DV5178" s="67"/>
      <c r="DW5178" s="67"/>
      <c r="DX5178" s="67"/>
      <c r="DY5178" s="67"/>
      <c r="DZ5178" s="67"/>
      <c r="EA5178" s="67"/>
      <c r="EB5178" s="67"/>
      <c r="EC5178" s="67"/>
      <c r="ED5178" s="67"/>
      <c r="EE5178" s="67"/>
      <c r="EF5178" s="67"/>
      <c r="EG5178" s="67"/>
      <c r="EH5178" s="67"/>
      <c r="EI5178" s="67"/>
      <c r="EJ5178" s="67"/>
      <c r="EK5178" s="94"/>
      <c r="EL5178" s="94"/>
      <c r="EM5178" s="67"/>
      <c r="EN5178" s="67"/>
      <c r="EO5178" s="67"/>
      <c r="EP5178" s="67"/>
      <c r="EQ5178" s="67"/>
      <c r="ER5178" s="67"/>
      <c r="ES5178" s="67"/>
      <c r="ET5178" s="67"/>
      <c r="EU5178" s="67"/>
      <c r="EV5178" s="67"/>
      <c r="EW5178" s="67"/>
      <c r="EX5178" s="67"/>
      <c r="EY5178" s="67"/>
      <c r="EZ5178" s="67"/>
      <c r="FA5178" s="67"/>
      <c r="FB5178" s="67"/>
      <c r="FC5178" s="67"/>
      <c r="FD5178" s="67"/>
      <c r="FE5178" s="67"/>
      <c r="FF5178" s="67"/>
      <c r="FG5178" s="67"/>
      <c r="FH5178" s="67"/>
      <c r="FI5178" s="67"/>
      <c r="FJ5178" s="67"/>
      <c r="FK5178" s="67"/>
      <c r="FL5178" s="67"/>
      <c r="FM5178" s="67"/>
      <c r="FN5178" s="67"/>
      <c r="FO5178" s="67"/>
      <c r="FP5178" s="67"/>
      <c r="FQ5178" s="67"/>
      <c r="FR5178" s="67"/>
      <c r="FS5178" s="67"/>
      <c r="FT5178" s="67"/>
      <c r="FU5178" s="67"/>
      <c r="FV5178" s="67"/>
      <c r="FW5178" s="67"/>
      <c r="FX5178" s="67"/>
      <c r="FY5178" s="67"/>
      <c r="FZ5178" s="67"/>
      <c r="GA5178" s="67"/>
      <c r="GB5178" s="67"/>
      <c r="GC5178" s="67"/>
      <c r="GD5178" s="67"/>
      <c r="GE5178" s="67"/>
      <c r="GF5178" s="67"/>
      <c r="GG5178" s="67"/>
      <c r="GH5178" s="67"/>
      <c r="GI5178" s="67"/>
      <c r="GJ5178" s="67"/>
      <c r="GK5178" s="67"/>
      <c r="GL5178" s="67"/>
      <c r="GM5178" s="67"/>
      <c r="GN5178" s="292"/>
      <c r="GO5178" s="292"/>
      <c r="GP5178" s="292" t="s">
        <v>7494</v>
      </c>
      <c r="GQ5178" s="67"/>
      <c r="GR5178" s="67"/>
      <c r="GS5178" s="67"/>
      <c r="GT5178" s="67"/>
      <c r="GU5178" s="67"/>
      <c r="GV5178" s="67"/>
      <c r="GW5178" s="67"/>
      <c r="GX5178" s="67"/>
      <c r="GY5178" s="67"/>
      <c r="GZ5178" s="67"/>
      <c r="HA5178" s="67"/>
      <c r="HB5178" s="67"/>
      <c r="HC5178" s="67"/>
      <c r="HD5178" s="67"/>
      <c r="HE5178" s="67"/>
      <c r="HF5178" s="67"/>
      <c r="HG5178" s="67"/>
      <c r="HH5178" s="67"/>
      <c r="HI5178" s="67"/>
      <c r="HJ5178" s="67"/>
      <c r="HK5178" s="67"/>
      <c r="HL5178" s="67"/>
      <c r="HM5178" s="67"/>
      <c r="HN5178" s="67"/>
      <c r="HO5178" s="67"/>
      <c r="HP5178" s="67"/>
      <c r="HQ5178" s="67"/>
      <c r="HR5178" s="67"/>
      <c r="HS5178" s="67"/>
      <c r="HT5178" s="67"/>
      <c r="HU5178" s="67"/>
      <c r="HV5178" s="67"/>
      <c r="HW5178" s="67"/>
      <c r="HX5178" s="67"/>
      <c r="HY5178" s="67"/>
      <c r="HZ5178" s="67"/>
      <c r="IA5178" s="67"/>
      <c r="IB5178" s="67"/>
      <c r="IC5178" s="67"/>
      <c r="ID5178" s="67"/>
      <c r="IE5178" s="67"/>
      <c r="IF5178" s="67"/>
      <c r="IG5178" s="67"/>
      <c r="IH5178" s="67"/>
      <c r="II5178" s="67"/>
      <c r="IJ5178" s="67"/>
      <c r="IK5178" s="67"/>
      <c r="IL5178" s="67"/>
      <c r="IM5178" s="67"/>
      <c r="IN5178" s="67"/>
      <c r="IO5178" s="67"/>
      <c r="IP5178" s="67"/>
      <c r="IQ5178" s="67"/>
      <c r="IR5178" s="67"/>
      <c r="IS5178" s="67"/>
      <c r="IT5178" s="67"/>
      <c r="IU5178" s="67"/>
      <c r="IV5178" s="67"/>
      <c r="IW5178" s="67"/>
      <c r="IX5178" s="67"/>
      <c r="IY5178" s="67"/>
      <c r="IZ5178" s="67"/>
      <c r="JA5178" s="67"/>
      <c r="JB5178" s="67"/>
      <c r="JC5178" s="67"/>
      <c r="JD5178" s="67"/>
      <c r="JE5178" s="67"/>
      <c r="JF5178" s="67"/>
      <c r="JG5178" s="67"/>
      <c r="JH5178" s="67"/>
      <c r="JI5178" s="67"/>
      <c r="JJ5178" s="67"/>
      <c r="JK5178" s="67"/>
      <c r="JL5178" s="67"/>
      <c r="JM5178" s="67"/>
      <c r="JN5178" s="67"/>
      <c r="JO5178" s="67"/>
      <c r="JP5178" s="67"/>
      <c r="JQ5178" s="67"/>
      <c r="JR5178" s="67"/>
      <c r="JS5178" s="67"/>
      <c r="JT5178" s="67"/>
      <c r="JU5178" s="58"/>
      <c r="JV5178" s="58"/>
      <c r="JW5178" s="58"/>
    </row>
    <row r="5179" spans="1:283" s="23" customFormat="1" x14ac:dyDescent="0.25">
      <c r="A5179" s="55">
        <v>5178</v>
      </c>
      <c r="B5179" s="12" t="s">
        <v>7067</v>
      </c>
      <c r="C5179" s="156">
        <v>275</v>
      </c>
      <c r="D5179" s="58" t="s">
        <v>5043</v>
      </c>
      <c r="E5179" s="160" t="str">
        <f>G5179</f>
        <v>Teasdale et al. 2007_total horizon_pair 1</v>
      </c>
      <c r="F5179" s="160"/>
      <c r="G5179" s="60" t="s">
        <v>4685</v>
      </c>
      <c r="H5179" s="58">
        <v>2007</v>
      </c>
      <c r="I5179" s="58" t="s">
        <v>1934</v>
      </c>
      <c r="J5179" s="243" t="s">
        <v>282</v>
      </c>
      <c r="K5179" s="63" t="s">
        <v>5071</v>
      </c>
      <c r="L5179" s="58" t="s">
        <v>2737</v>
      </c>
      <c r="M5179" s="94">
        <v>39.03</v>
      </c>
      <c r="N5179" s="94">
        <v>-76.91</v>
      </c>
      <c r="O5179" s="94">
        <v>37</v>
      </c>
      <c r="P5179" s="58"/>
      <c r="Q5179" s="244">
        <v>12.800000000000002</v>
      </c>
      <c r="R5179" s="58"/>
      <c r="S5179" s="245">
        <v>1110</v>
      </c>
      <c r="T5179" s="58"/>
      <c r="U5179" s="58" t="s">
        <v>1816</v>
      </c>
      <c r="V5179" s="244">
        <v>9</v>
      </c>
      <c r="W5179" s="174"/>
      <c r="X5179" s="174"/>
      <c r="Y5179" s="58" t="s">
        <v>5471</v>
      </c>
      <c r="Z5179" s="244" t="s">
        <v>1347</v>
      </c>
      <c r="AA5179" s="245">
        <v>10</v>
      </c>
      <c r="AB5179" s="67"/>
      <c r="AC5179" s="67"/>
      <c r="AD5179" s="94"/>
      <c r="AE5179" s="94"/>
      <c r="AF5179" s="94"/>
      <c r="AG5179" s="245"/>
      <c r="AH5179" s="58" t="s">
        <v>139</v>
      </c>
      <c r="AI5179" s="169"/>
      <c r="AJ5179" s="94"/>
      <c r="AK5179" s="94"/>
      <c r="AL5179" s="58"/>
      <c r="AM5179" s="58" t="s">
        <v>1291</v>
      </c>
      <c r="AN5179" s="186"/>
      <c r="AO5179" s="185" t="s">
        <v>7494</v>
      </c>
      <c r="AP5179" s="58"/>
      <c r="AQ5179" s="58"/>
      <c r="AR5179" s="58" t="s">
        <v>132</v>
      </c>
      <c r="AS5179" s="246" t="s">
        <v>132</v>
      </c>
      <c r="AT5179" s="247">
        <v>0</v>
      </c>
      <c r="AU5179" s="181" t="s">
        <v>7494</v>
      </c>
      <c r="AV5179" s="185" t="s">
        <v>176</v>
      </c>
      <c r="AW5179" s="244">
        <v>1</v>
      </c>
      <c r="AX5179" s="185" t="s">
        <v>176</v>
      </c>
      <c r="AY5179" s="244" t="s">
        <v>5150</v>
      </c>
      <c r="AZ5179" s="58"/>
      <c r="BA5179" s="58"/>
      <c r="BB5179" s="58"/>
      <c r="BC5179" s="58"/>
      <c r="BD5179" s="58"/>
      <c r="BE5179" s="236" t="s">
        <v>5222</v>
      </c>
      <c r="BF5179" s="191" t="s">
        <v>479</v>
      </c>
      <c r="BG5179" s="191" t="s">
        <v>479</v>
      </c>
      <c r="BH5179" s="236" t="s">
        <v>5292</v>
      </c>
      <c r="BI5179" s="191" t="s">
        <v>479</v>
      </c>
      <c r="BJ5179" s="58" t="str">
        <f>IF(BE5179=BH5179,"No","yes")</f>
        <v>yes</v>
      </c>
      <c r="BK5179" s="58" t="s">
        <v>6335</v>
      </c>
      <c r="BL5179" s="58"/>
      <c r="BM5179" s="237"/>
      <c r="BN5179" s="244">
        <v>8</v>
      </c>
      <c r="BO5179" s="244">
        <v>8</v>
      </c>
      <c r="BP5179" s="58"/>
      <c r="BQ5179" s="58"/>
      <c r="BR5179" s="58"/>
      <c r="BS5179" s="58"/>
      <c r="BT5179" s="58"/>
      <c r="BU5179" s="58"/>
      <c r="BV5179" s="58"/>
      <c r="BW5179" s="67"/>
      <c r="BX5179" s="67"/>
      <c r="BY5179" s="67"/>
      <c r="BZ5179" s="67"/>
      <c r="CA5179" s="67"/>
      <c r="CB5179" s="70">
        <v>3010</v>
      </c>
      <c r="CC5179" s="70">
        <v>3880</v>
      </c>
      <c r="CD5179" s="70"/>
      <c r="CE5179" s="67"/>
      <c r="CF5179" s="67"/>
      <c r="CG5179" s="67"/>
      <c r="CH5179" s="245"/>
      <c r="CI5179" s="245"/>
      <c r="CJ5179" s="67"/>
      <c r="CK5179" s="67"/>
      <c r="CL5179" s="67"/>
      <c r="CM5179" s="242"/>
      <c r="CN5179" s="242"/>
      <c r="CO5179" s="242"/>
      <c r="CP5179" s="242"/>
      <c r="CQ5179" s="242"/>
      <c r="CR5179" s="242"/>
      <c r="CS5179" s="242"/>
      <c r="CT5179" s="242"/>
      <c r="CU5179" s="242"/>
      <c r="CV5179" s="242"/>
      <c r="CW5179" s="242"/>
      <c r="CX5179" s="242"/>
      <c r="CY5179" s="242"/>
      <c r="CZ5179" s="242"/>
      <c r="DA5179" s="67"/>
      <c r="DB5179" s="67"/>
      <c r="DC5179" s="67"/>
      <c r="DD5179" s="67"/>
      <c r="DE5179" s="67"/>
      <c r="DF5179" s="67"/>
      <c r="DG5179" s="67"/>
      <c r="DH5179" s="67"/>
      <c r="DI5179" s="67"/>
      <c r="DJ5179" s="67"/>
      <c r="DK5179" s="67"/>
      <c r="DL5179" s="67"/>
      <c r="DM5179" s="67"/>
      <c r="DN5179" s="67"/>
      <c r="DO5179" s="67"/>
      <c r="DP5179" s="67"/>
      <c r="DQ5179" s="166"/>
      <c r="DR5179" s="166"/>
      <c r="DS5179" s="163"/>
      <c r="DT5179" s="163"/>
      <c r="DU5179" s="67"/>
      <c r="DV5179" s="67"/>
      <c r="DW5179" s="67"/>
      <c r="DX5179" s="67"/>
      <c r="DY5179" s="67"/>
      <c r="DZ5179" s="67"/>
      <c r="EA5179" s="67"/>
      <c r="EB5179" s="67"/>
      <c r="EC5179" s="67"/>
      <c r="ED5179" s="67"/>
      <c r="EE5179" s="67"/>
      <c r="EF5179" s="67"/>
      <c r="EG5179" s="67"/>
      <c r="EH5179" s="67"/>
      <c r="EI5179" s="67"/>
      <c r="EJ5179" s="67"/>
      <c r="EK5179" s="94"/>
      <c r="EL5179" s="94"/>
      <c r="EM5179" s="67"/>
      <c r="EN5179" s="67"/>
      <c r="EO5179" s="67"/>
      <c r="EP5179" s="67"/>
      <c r="EQ5179" s="67"/>
      <c r="ER5179" s="67"/>
      <c r="ES5179" s="67"/>
      <c r="ET5179" s="67"/>
      <c r="EU5179" s="67"/>
      <c r="EV5179" s="67"/>
      <c r="EW5179" s="67"/>
      <c r="EX5179" s="67"/>
      <c r="EY5179" s="67"/>
      <c r="EZ5179" s="67"/>
      <c r="FA5179" s="67"/>
      <c r="FB5179" s="67"/>
      <c r="FC5179" s="67"/>
      <c r="FD5179" s="67"/>
      <c r="FE5179" s="67"/>
      <c r="FF5179" s="67"/>
      <c r="FG5179" s="67"/>
      <c r="FH5179" s="67"/>
      <c r="FI5179" s="67"/>
      <c r="FJ5179" s="67"/>
      <c r="FK5179" s="67"/>
      <c r="FL5179" s="67"/>
      <c r="FM5179" s="67"/>
      <c r="FN5179" s="67"/>
      <c r="FO5179" s="67"/>
      <c r="FP5179" s="67"/>
      <c r="FQ5179" s="67"/>
      <c r="FR5179" s="67"/>
      <c r="FS5179" s="67"/>
      <c r="FT5179" s="67"/>
      <c r="FU5179" s="67"/>
      <c r="FV5179" s="67"/>
      <c r="FW5179" s="67"/>
      <c r="FX5179" s="67"/>
      <c r="FY5179" s="67"/>
      <c r="FZ5179" s="67"/>
      <c r="GA5179" s="67"/>
      <c r="GB5179" s="67"/>
      <c r="GC5179" s="67"/>
      <c r="GD5179" s="67"/>
      <c r="GE5179" s="67"/>
      <c r="GF5179" s="67"/>
      <c r="GG5179" s="67"/>
      <c r="GH5179" s="67"/>
      <c r="GI5179" s="67"/>
      <c r="GJ5179" s="67"/>
      <c r="GK5179" s="67"/>
      <c r="GL5179" s="67"/>
      <c r="GM5179" s="67"/>
      <c r="GN5179" s="292"/>
      <c r="GO5179" s="292"/>
      <c r="GP5179" s="292" t="s">
        <v>7494</v>
      </c>
      <c r="GQ5179" s="67"/>
      <c r="GR5179" s="67"/>
      <c r="GS5179" s="67"/>
      <c r="GT5179" s="67"/>
      <c r="GU5179" s="67"/>
      <c r="GV5179" s="67"/>
      <c r="GW5179" s="67"/>
      <c r="GX5179" s="67"/>
      <c r="GY5179" s="67"/>
      <c r="GZ5179" s="67"/>
      <c r="HA5179" s="67"/>
      <c r="HB5179" s="67"/>
      <c r="HC5179" s="67"/>
      <c r="HD5179" s="67"/>
      <c r="HE5179" s="67"/>
      <c r="HF5179" s="67"/>
      <c r="HG5179" s="67"/>
      <c r="HH5179" s="67"/>
      <c r="HI5179" s="67"/>
      <c r="HJ5179" s="67"/>
      <c r="HK5179" s="67"/>
      <c r="HL5179" s="67"/>
      <c r="HM5179" s="67"/>
      <c r="HN5179" s="67"/>
      <c r="HO5179" s="67"/>
      <c r="HP5179" s="67"/>
      <c r="HQ5179" s="67"/>
      <c r="HR5179" s="67"/>
      <c r="HS5179" s="67"/>
      <c r="HT5179" s="67"/>
      <c r="HU5179" s="67"/>
      <c r="HV5179" s="67"/>
      <c r="HW5179" s="67"/>
      <c r="HX5179" s="67"/>
      <c r="HY5179" s="67"/>
      <c r="HZ5179" s="67"/>
      <c r="IA5179" s="67"/>
      <c r="IB5179" s="67"/>
      <c r="IC5179" s="67"/>
      <c r="ID5179" s="67"/>
      <c r="IE5179" s="67"/>
      <c r="IF5179" s="67"/>
      <c r="IG5179" s="67"/>
      <c r="IH5179" s="67"/>
      <c r="II5179" s="67"/>
      <c r="IJ5179" s="67"/>
      <c r="IK5179" s="67"/>
      <c r="IL5179" s="67"/>
      <c r="IM5179" s="67"/>
      <c r="IN5179" s="67"/>
      <c r="IO5179" s="67"/>
      <c r="IP5179" s="67"/>
      <c r="IQ5179" s="67"/>
      <c r="IR5179" s="67"/>
      <c r="IS5179" s="67"/>
      <c r="IT5179" s="67"/>
      <c r="IU5179" s="67"/>
      <c r="IV5179" s="67"/>
      <c r="IW5179" s="67"/>
      <c r="IX5179" s="67"/>
      <c r="IY5179" s="67"/>
      <c r="IZ5179" s="67"/>
      <c r="JA5179" s="67"/>
      <c r="JB5179" s="67"/>
      <c r="JC5179" s="67"/>
      <c r="JD5179" s="67"/>
      <c r="JE5179" s="67"/>
      <c r="JF5179" s="67"/>
      <c r="JG5179" s="67"/>
      <c r="JH5179" s="67"/>
      <c r="JI5179" s="67"/>
      <c r="JJ5179" s="67"/>
      <c r="JK5179" s="67"/>
      <c r="JL5179" s="67"/>
      <c r="JM5179" s="67"/>
      <c r="JN5179" s="67"/>
      <c r="JO5179" s="67"/>
      <c r="JP5179" s="67"/>
      <c r="JQ5179" s="67"/>
      <c r="JR5179" s="67"/>
      <c r="JS5179" s="67"/>
      <c r="JT5179" s="67"/>
      <c r="JU5179" s="58"/>
      <c r="JV5179" s="58"/>
      <c r="JW5179" s="58"/>
    </row>
    <row r="5180" spans="1:283" s="23" customFormat="1" x14ac:dyDescent="0.25">
      <c r="A5180" s="55">
        <v>5179</v>
      </c>
      <c r="B5180" s="12" t="s">
        <v>7067</v>
      </c>
      <c r="C5180" s="156">
        <v>275</v>
      </c>
      <c r="D5180" s="58" t="s">
        <v>5044</v>
      </c>
      <c r="E5180" s="160" t="str">
        <f>G5180</f>
        <v>Teasdale et al. 2007_total horizon_pair 2</v>
      </c>
      <c r="F5180" s="160"/>
      <c r="G5180" s="60" t="s">
        <v>4684</v>
      </c>
      <c r="H5180" s="58">
        <v>2007</v>
      </c>
      <c r="I5180" s="58" t="s">
        <v>1934</v>
      </c>
      <c r="J5180" s="243" t="s">
        <v>282</v>
      </c>
      <c r="K5180" s="63" t="s">
        <v>5071</v>
      </c>
      <c r="L5180" s="58" t="s">
        <v>2737</v>
      </c>
      <c r="M5180" s="94">
        <v>39.03</v>
      </c>
      <c r="N5180" s="94">
        <v>-76.91</v>
      </c>
      <c r="O5180" s="94">
        <v>37</v>
      </c>
      <c r="P5180" s="58"/>
      <c r="Q5180" s="244">
        <v>12.800000000000002</v>
      </c>
      <c r="R5180" s="58"/>
      <c r="S5180" s="245">
        <v>1110</v>
      </c>
      <c r="T5180" s="58"/>
      <c r="U5180" s="58" t="s">
        <v>1816</v>
      </c>
      <c r="V5180" s="244">
        <v>9</v>
      </c>
      <c r="W5180" s="174"/>
      <c r="X5180" s="174"/>
      <c r="Y5180" s="58" t="s">
        <v>5471</v>
      </c>
      <c r="Z5180" s="244" t="s">
        <v>1347</v>
      </c>
      <c r="AA5180" s="245">
        <v>10</v>
      </c>
      <c r="AB5180" s="67"/>
      <c r="AC5180" s="67"/>
      <c r="AD5180" s="94"/>
      <c r="AE5180" s="94"/>
      <c r="AF5180" s="94"/>
      <c r="AG5180" s="245"/>
      <c r="AH5180" s="58" t="s">
        <v>139</v>
      </c>
      <c r="AI5180" s="169"/>
      <c r="AJ5180" s="94"/>
      <c r="AK5180" s="94"/>
      <c r="AL5180" s="58"/>
      <c r="AM5180" s="58" t="s">
        <v>1291</v>
      </c>
      <c r="AN5180" s="186"/>
      <c r="AO5180" s="185" t="s">
        <v>7494</v>
      </c>
      <c r="AP5180" s="58"/>
      <c r="AQ5180" s="58"/>
      <c r="AR5180" s="58" t="s">
        <v>132</v>
      </c>
      <c r="AS5180" s="246" t="s">
        <v>132</v>
      </c>
      <c r="AT5180" s="247">
        <v>0</v>
      </c>
      <c r="AU5180" s="181" t="s">
        <v>7494</v>
      </c>
      <c r="AV5180" s="185" t="s">
        <v>176</v>
      </c>
      <c r="AW5180" s="244">
        <v>1</v>
      </c>
      <c r="AX5180" s="185" t="s">
        <v>176</v>
      </c>
      <c r="AY5180" s="244" t="s">
        <v>5150</v>
      </c>
      <c r="AZ5180" s="58"/>
      <c r="BA5180" s="58"/>
      <c r="BB5180" s="58"/>
      <c r="BC5180" s="58"/>
      <c r="BD5180" s="58"/>
      <c r="BE5180" s="236" t="s">
        <v>5223</v>
      </c>
      <c r="BF5180" s="191" t="s">
        <v>479</v>
      </c>
      <c r="BG5180" s="191" t="s">
        <v>479</v>
      </c>
      <c r="BH5180" s="236" t="s">
        <v>5292</v>
      </c>
      <c r="BI5180" s="191" t="s">
        <v>479</v>
      </c>
      <c r="BJ5180" s="58" t="str">
        <f>IF(BE5180=BH5180,"No","yes")</f>
        <v>yes</v>
      </c>
      <c r="BK5180" s="58" t="s">
        <v>6335</v>
      </c>
      <c r="BL5180" s="58"/>
      <c r="BM5180" s="237"/>
      <c r="BN5180" s="244">
        <v>8</v>
      </c>
      <c r="BO5180" s="244">
        <v>8</v>
      </c>
      <c r="BP5180" s="58"/>
      <c r="BQ5180" s="58"/>
      <c r="BR5180" s="58"/>
      <c r="BS5180" s="58"/>
      <c r="BT5180" s="58"/>
      <c r="BU5180" s="58"/>
      <c r="BV5180" s="58"/>
      <c r="BW5180" s="67"/>
      <c r="BX5180" s="67"/>
      <c r="BY5180" s="67"/>
      <c r="BZ5180" s="67"/>
      <c r="CA5180" s="67"/>
      <c r="CB5180" s="70">
        <v>3010</v>
      </c>
      <c r="CC5180" s="70">
        <v>1340</v>
      </c>
      <c r="CD5180" s="70"/>
      <c r="CE5180" s="67"/>
      <c r="CF5180" s="67"/>
      <c r="CG5180" s="67"/>
      <c r="CH5180" s="245"/>
      <c r="CI5180" s="245"/>
      <c r="CJ5180" s="67"/>
      <c r="CK5180" s="67"/>
      <c r="CL5180" s="67"/>
      <c r="CM5180" s="242"/>
      <c r="CN5180" s="242"/>
      <c r="CO5180" s="242"/>
      <c r="CP5180" s="242"/>
      <c r="CQ5180" s="242"/>
      <c r="CR5180" s="242"/>
      <c r="CS5180" s="242"/>
      <c r="CT5180" s="242"/>
      <c r="CU5180" s="242"/>
      <c r="CV5180" s="242"/>
      <c r="CW5180" s="242"/>
      <c r="CX5180" s="242"/>
      <c r="CY5180" s="242"/>
      <c r="CZ5180" s="242"/>
      <c r="DA5180" s="67"/>
      <c r="DB5180" s="67"/>
      <c r="DC5180" s="67"/>
      <c r="DD5180" s="67"/>
      <c r="DE5180" s="67"/>
      <c r="DF5180" s="67"/>
      <c r="DG5180" s="67"/>
      <c r="DH5180" s="67"/>
      <c r="DI5180" s="67"/>
      <c r="DJ5180" s="67"/>
      <c r="DK5180" s="67"/>
      <c r="DL5180" s="67"/>
      <c r="DM5180" s="67"/>
      <c r="DN5180" s="67"/>
      <c r="DO5180" s="67"/>
      <c r="DP5180" s="67"/>
      <c r="DQ5180" s="166"/>
      <c r="DR5180" s="166"/>
      <c r="DS5180" s="163"/>
      <c r="DT5180" s="163"/>
      <c r="DU5180" s="67"/>
      <c r="DV5180" s="67"/>
      <c r="DW5180" s="67"/>
      <c r="DX5180" s="67"/>
      <c r="DY5180" s="67"/>
      <c r="DZ5180" s="67"/>
      <c r="EA5180" s="67"/>
      <c r="EB5180" s="67"/>
      <c r="EC5180" s="67"/>
      <c r="ED5180" s="67"/>
      <c r="EE5180" s="67"/>
      <c r="EF5180" s="67"/>
      <c r="EG5180" s="67"/>
      <c r="EH5180" s="67"/>
      <c r="EI5180" s="67"/>
      <c r="EJ5180" s="67"/>
      <c r="EK5180" s="94"/>
      <c r="EL5180" s="94"/>
      <c r="EM5180" s="67"/>
      <c r="EN5180" s="67"/>
      <c r="EO5180" s="67"/>
      <c r="EP5180" s="67"/>
      <c r="EQ5180" s="67"/>
      <c r="ER5180" s="67"/>
      <c r="ES5180" s="67"/>
      <c r="ET5180" s="67"/>
      <c r="EU5180" s="67"/>
      <c r="EV5180" s="67"/>
      <c r="EW5180" s="67"/>
      <c r="EX5180" s="67"/>
      <c r="EY5180" s="67"/>
      <c r="EZ5180" s="67"/>
      <c r="FA5180" s="67"/>
      <c r="FB5180" s="67"/>
      <c r="FC5180" s="67"/>
      <c r="FD5180" s="67"/>
      <c r="FE5180" s="67"/>
      <c r="FF5180" s="67"/>
      <c r="FG5180" s="67"/>
      <c r="FH5180" s="67"/>
      <c r="FI5180" s="67"/>
      <c r="FJ5180" s="67"/>
      <c r="FK5180" s="67"/>
      <c r="FL5180" s="67"/>
      <c r="FM5180" s="67"/>
      <c r="FN5180" s="67"/>
      <c r="FO5180" s="67"/>
      <c r="FP5180" s="67"/>
      <c r="FQ5180" s="67"/>
      <c r="FR5180" s="67"/>
      <c r="FS5180" s="67"/>
      <c r="FT5180" s="67"/>
      <c r="FU5180" s="67"/>
      <c r="FV5180" s="67"/>
      <c r="FW5180" s="67"/>
      <c r="FX5180" s="67"/>
      <c r="FY5180" s="67"/>
      <c r="FZ5180" s="67"/>
      <c r="GA5180" s="67"/>
      <c r="GB5180" s="67"/>
      <c r="GC5180" s="67"/>
      <c r="GD5180" s="67"/>
      <c r="GE5180" s="67"/>
      <c r="GF5180" s="67"/>
      <c r="GG5180" s="67"/>
      <c r="GH5180" s="67"/>
      <c r="GI5180" s="67"/>
      <c r="GJ5180" s="67"/>
      <c r="GK5180" s="67"/>
      <c r="GL5180" s="67"/>
      <c r="GM5180" s="67"/>
      <c r="GN5180" s="292"/>
      <c r="GO5180" s="292"/>
      <c r="GP5180" s="292" t="s">
        <v>7494</v>
      </c>
      <c r="GQ5180" s="67"/>
      <c r="GR5180" s="67"/>
      <c r="GS5180" s="67"/>
      <c r="GT5180" s="67"/>
      <c r="GU5180" s="67"/>
      <c r="GV5180" s="67"/>
      <c r="GW5180" s="67"/>
      <c r="GX5180" s="67"/>
      <c r="GY5180" s="67"/>
      <c r="GZ5180" s="67"/>
      <c r="HA5180" s="67"/>
      <c r="HB5180" s="67"/>
      <c r="HC5180" s="67"/>
      <c r="HD5180" s="67"/>
      <c r="HE5180" s="67"/>
      <c r="HF5180" s="67"/>
      <c r="HG5180" s="67"/>
      <c r="HH5180" s="67"/>
      <c r="HI5180" s="67"/>
      <c r="HJ5180" s="67"/>
      <c r="HK5180" s="67"/>
      <c r="HL5180" s="67"/>
      <c r="HM5180" s="67"/>
      <c r="HN5180" s="67"/>
      <c r="HO5180" s="67"/>
      <c r="HP5180" s="67"/>
      <c r="HQ5180" s="67"/>
      <c r="HR5180" s="67"/>
      <c r="HS5180" s="67"/>
      <c r="HT5180" s="67"/>
      <c r="HU5180" s="67"/>
      <c r="HV5180" s="67"/>
      <c r="HW5180" s="67"/>
      <c r="HX5180" s="67"/>
      <c r="HY5180" s="67"/>
      <c r="HZ5180" s="67"/>
      <c r="IA5180" s="67"/>
      <c r="IB5180" s="67"/>
      <c r="IC5180" s="67"/>
      <c r="ID5180" s="67"/>
      <c r="IE5180" s="67"/>
      <c r="IF5180" s="67"/>
      <c r="IG5180" s="67"/>
      <c r="IH5180" s="67"/>
      <c r="II5180" s="67"/>
      <c r="IJ5180" s="67"/>
      <c r="IK5180" s="67"/>
      <c r="IL5180" s="67"/>
      <c r="IM5180" s="67"/>
      <c r="IN5180" s="67"/>
      <c r="IO5180" s="67"/>
      <c r="IP5180" s="67"/>
      <c r="IQ5180" s="67"/>
      <c r="IR5180" s="67"/>
      <c r="IS5180" s="67"/>
      <c r="IT5180" s="67"/>
      <c r="IU5180" s="67"/>
      <c r="IV5180" s="67"/>
      <c r="IW5180" s="67"/>
      <c r="IX5180" s="67"/>
      <c r="IY5180" s="67"/>
      <c r="IZ5180" s="67"/>
      <c r="JA5180" s="67"/>
      <c r="JB5180" s="67"/>
      <c r="JC5180" s="67"/>
      <c r="JD5180" s="67"/>
      <c r="JE5180" s="67"/>
      <c r="JF5180" s="67"/>
      <c r="JG5180" s="67"/>
      <c r="JH5180" s="67"/>
      <c r="JI5180" s="67"/>
      <c r="JJ5180" s="67"/>
      <c r="JK5180" s="67"/>
      <c r="JL5180" s="67"/>
      <c r="JM5180" s="67"/>
      <c r="JN5180" s="67"/>
      <c r="JO5180" s="67"/>
      <c r="JP5180" s="67"/>
      <c r="JQ5180" s="67"/>
      <c r="JR5180" s="67"/>
      <c r="JS5180" s="67"/>
      <c r="JT5180" s="67"/>
      <c r="JU5180" s="58"/>
      <c r="JV5180" s="58"/>
      <c r="JW5180" s="58"/>
    </row>
    <row r="5181" spans="1:283" s="23" customFormat="1" x14ac:dyDescent="0.25">
      <c r="A5181" s="55">
        <v>5180</v>
      </c>
      <c r="B5181" s="12" t="s">
        <v>7067</v>
      </c>
      <c r="C5181" s="156">
        <v>275</v>
      </c>
      <c r="D5181" s="58" t="s">
        <v>5045</v>
      </c>
      <c r="E5181" s="160" t="str">
        <f>G5181</f>
        <v>Teasdale et al. 2007_total horizon_pair 3</v>
      </c>
      <c r="F5181" s="160"/>
      <c r="G5181" s="60" t="s">
        <v>4683</v>
      </c>
      <c r="H5181" s="58">
        <v>2007</v>
      </c>
      <c r="I5181" s="58" t="s">
        <v>1934</v>
      </c>
      <c r="J5181" s="243" t="s">
        <v>282</v>
      </c>
      <c r="K5181" s="63" t="s">
        <v>5071</v>
      </c>
      <c r="L5181" s="58" t="s">
        <v>2737</v>
      </c>
      <c r="M5181" s="94">
        <v>39.03</v>
      </c>
      <c r="N5181" s="94">
        <v>-76.91</v>
      </c>
      <c r="O5181" s="94">
        <v>37</v>
      </c>
      <c r="P5181" s="58"/>
      <c r="Q5181" s="244">
        <v>12.800000000000002</v>
      </c>
      <c r="R5181" s="58"/>
      <c r="S5181" s="245">
        <v>1110</v>
      </c>
      <c r="T5181" s="58"/>
      <c r="U5181" s="58" t="s">
        <v>1816</v>
      </c>
      <c r="V5181" s="244">
        <v>9</v>
      </c>
      <c r="W5181" s="174"/>
      <c r="X5181" s="174"/>
      <c r="Y5181" s="58" t="s">
        <v>5471</v>
      </c>
      <c r="Z5181" s="244" t="s">
        <v>1347</v>
      </c>
      <c r="AA5181" s="245">
        <v>10</v>
      </c>
      <c r="AB5181" s="67"/>
      <c r="AC5181" s="67"/>
      <c r="AD5181" s="94"/>
      <c r="AE5181" s="94"/>
      <c r="AF5181" s="94"/>
      <c r="AG5181" s="245"/>
      <c r="AH5181" s="58" t="s">
        <v>139</v>
      </c>
      <c r="AI5181" s="169"/>
      <c r="AJ5181" s="94"/>
      <c r="AK5181" s="94"/>
      <c r="AL5181" s="58"/>
      <c r="AM5181" s="58" t="s">
        <v>1291</v>
      </c>
      <c r="AN5181" s="186"/>
      <c r="AO5181" s="185" t="s">
        <v>7494</v>
      </c>
      <c r="AP5181" s="58"/>
      <c r="AQ5181" s="58"/>
      <c r="AR5181" s="58" t="s">
        <v>132</v>
      </c>
      <c r="AS5181" s="246" t="s">
        <v>132</v>
      </c>
      <c r="AT5181" s="247">
        <v>0</v>
      </c>
      <c r="AU5181" s="181" t="s">
        <v>7494</v>
      </c>
      <c r="AV5181" s="185" t="s">
        <v>176</v>
      </c>
      <c r="AW5181" s="244">
        <v>1</v>
      </c>
      <c r="AX5181" s="185" t="s">
        <v>176</v>
      </c>
      <c r="AY5181" s="244" t="s">
        <v>5150</v>
      </c>
      <c r="AZ5181" s="58"/>
      <c r="BA5181" s="58"/>
      <c r="BB5181" s="58"/>
      <c r="BC5181" s="58"/>
      <c r="BD5181" s="58"/>
      <c r="BE5181" s="236" t="s">
        <v>5222</v>
      </c>
      <c r="BF5181" s="191" t="s">
        <v>479</v>
      </c>
      <c r="BG5181" s="191" t="s">
        <v>479</v>
      </c>
      <c r="BH5181" s="236" t="s">
        <v>5292</v>
      </c>
      <c r="BI5181" s="191" t="s">
        <v>479</v>
      </c>
      <c r="BJ5181" s="58" t="str">
        <f>IF(BE5181=BH5181,"No","yes")</f>
        <v>yes</v>
      </c>
      <c r="BK5181" s="58" t="s">
        <v>6335</v>
      </c>
      <c r="BL5181" s="58"/>
      <c r="BM5181" s="237"/>
      <c r="BN5181" s="244">
        <v>8</v>
      </c>
      <c r="BO5181" s="244">
        <v>8</v>
      </c>
      <c r="BP5181" s="58"/>
      <c r="BQ5181" s="58"/>
      <c r="BR5181" s="58"/>
      <c r="BS5181" s="58"/>
      <c r="BT5181" s="58"/>
      <c r="BU5181" s="58"/>
      <c r="BV5181" s="58"/>
      <c r="BW5181" s="67"/>
      <c r="BX5181" s="67"/>
      <c r="BY5181" s="67"/>
      <c r="BZ5181" s="67"/>
      <c r="CA5181" s="67"/>
      <c r="CB5181" s="70">
        <v>3010</v>
      </c>
      <c r="CC5181" s="70">
        <v>1230</v>
      </c>
      <c r="CD5181" s="70"/>
      <c r="CE5181" s="67"/>
      <c r="CF5181" s="67"/>
      <c r="CG5181" s="67"/>
      <c r="CH5181" s="245"/>
      <c r="CI5181" s="245"/>
      <c r="CJ5181" s="67"/>
      <c r="CK5181" s="67"/>
      <c r="CL5181" s="67"/>
      <c r="CM5181" s="242"/>
      <c r="CN5181" s="242"/>
      <c r="CO5181" s="242"/>
      <c r="CP5181" s="242"/>
      <c r="CQ5181" s="242"/>
      <c r="CR5181" s="242"/>
      <c r="CS5181" s="242"/>
      <c r="CT5181" s="242"/>
      <c r="CU5181" s="242"/>
      <c r="CV5181" s="242"/>
      <c r="CW5181" s="242"/>
      <c r="CX5181" s="242"/>
      <c r="CY5181" s="242"/>
      <c r="CZ5181" s="242"/>
      <c r="DA5181" s="67"/>
      <c r="DB5181" s="67"/>
      <c r="DC5181" s="67"/>
      <c r="DD5181" s="67"/>
      <c r="DE5181" s="67"/>
      <c r="DF5181" s="67"/>
      <c r="DG5181" s="67"/>
      <c r="DH5181" s="67"/>
      <c r="DI5181" s="67"/>
      <c r="DJ5181" s="67"/>
      <c r="DK5181" s="67"/>
      <c r="DL5181" s="67"/>
      <c r="DM5181" s="67"/>
      <c r="DN5181" s="67"/>
      <c r="DO5181" s="67"/>
      <c r="DP5181" s="67"/>
      <c r="DQ5181" s="166"/>
      <c r="DR5181" s="166"/>
      <c r="DS5181" s="163"/>
      <c r="DT5181" s="163"/>
      <c r="DU5181" s="67"/>
      <c r="DV5181" s="67"/>
      <c r="DW5181" s="67"/>
      <c r="DX5181" s="67"/>
      <c r="DY5181" s="67"/>
      <c r="DZ5181" s="67"/>
      <c r="EA5181" s="67"/>
      <c r="EB5181" s="67"/>
      <c r="EC5181" s="67"/>
      <c r="ED5181" s="67"/>
      <c r="EE5181" s="67"/>
      <c r="EF5181" s="67"/>
      <c r="EG5181" s="67"/>
      <c r="EH5181" s="67"/>
      <c r="EI5181" s="67"/>
      <c r="EJ5181" s="67"/>
      <c r="EK5181" s="94"/>
      <c r="EL5181" s="94"/>
      <c r="EM5181" s="67"/>
      <c r="EN5181" s="67"/>
      <c r="EO5181" s="67"/>
      <c r="EP5181" s="67"/>
      <c r="EQ5181" s="67"/>
      <c r="ER5181" s="67"/>
      <c r="ES5181" s="67"/>
      <c r="ET5181" s="67"/>
      <c r="EU5181" s="67"/>
      <c r="EV5181" s="67"/>
      <c r="EW5181" s="67"/>
      <c r="EX5181" s="67"/>
      <c r="EY5181" s="67"/>
      <c r="EZ5181" s="67"/>
      <c r="FA5181" s="67"/>
      <c r="FB5181" s="67"/>
      <c r="FC5181" s="67"/>
      <c r="FD5181" s="67"/>
      <c r="FE5181" s="67"/>
      <c r="FF5181" s="67"/>
      <c r="FG5181" s="67"/>
      <c r="FH5181" s="67"/>
      <c r="FI5181" s="67"/>
      <c r="FJ5181" s="67"/>
      <c r="FK5181" s="67"/>
      <c r="FL5181" s="67"/>
      <c r="FM5181" s="67"/>
      <c r="FN5181" s="67"/>
      <c r="FO5181" s="67"/>
      <c r="FP5181" s="67"/>
      <c r="FQ5181" s="67"/>
      <c r="FR5181" s="67"/>
      <c r="FS5181" s="67"/>
      <c r="FT5181" s="67"/>
      <c r="FU5181" s="67"/>
      <c r="FV5181" s="67"/>
      <c r="FW5181" s="67"/>
      <c r="FX5181" s="67"/>
      <c r="FY5181" s="67"/>
      <c r="FZ5181" s="67"/>
      <c r="GA5181" s="67"/>
      <c r="GB5181" s="67"/>
      <c r="GC5181" s="67"/>
      <c r="GD5181" s="67"/>
      <c r="GE5181" s="67"/>
      <c r="GF5181" s="67"/>
      <c r="GG5181" s="67"/>
      <c r="GH5181" s="67"/>
      <c r="GI5181" s="67"/>
      <c r="GJ5181" s="67"/>
      <c r="GK5181" s="67"/>
      <c r="GL5181" s="67"/>
      <c r="GM5181" s="67"/>
      <c r="GN5181" s="292"/>
      <c r="GO5181" s="292"/>
      <c r="GP5181" s="292" t="s">
        <v>7494</v>
      </c>
      <c r="GQ5181" s="67"/>
      <c r="GR5181" s="67"/>
      <c r="GS5181" s="67"/>
      <c r="GT5181" s="67"/>
      <c r="GU5181" s="67"/>
      <c r="GV5181" s="67"/>
      <c r="GW5181" s="67"/>
      <c r="GX5181" s="67"/>
      <c r="GY5181" s="67"/>
      <c r="GZ5181" s="67"/>
      <c r="HA5181" s="67"/>
      <c r="HB5181" s="67"/>
      <c r="HC5181" s="67"/>
      <c r="HD5181" s="67"/>
      <c r="HE5181" s="67"/>
      <c r="HF5181" s="67"/>
      <c r="HG5181" s="67"/>
      <c r="HH5181" s="67"/>
      <c r="HI5181" s="67"/>
      <c r="HJ5181" s="67"/>
      <c r="HK5181" s="67"/>
      <c r="HL5181" s="67"/>
      <c r="HM5181" s="67"/>
      <c r="HN5181" s="67"/>
      <c r="HO5181" s="67"/>
      <c r="HP5181" s="67"/>
      <c r="HQ5181" s="67"/>
      <c r="HR5181" s="67"/>
      <c r="HS5181" s="67"/>
      <c r="HT5181" s="67"/>
      <c r="HU5181" s="67"/>
      <c r="HV5181" s="67"/>
      <c r="HW5181" s="67"/>
      <c r="HX5181" s="67"/>
      <c r="HY5181" s="67"/>
      <c r="HZ5181" s="67"/>
      <c r="IA5181" s="67"/>
      <c r="IB5181" s="67"/>
      <c r="IC5181" s="67"/>
      <c r="ID5181" s="67"/>
      <c r="IE5181" s="67"/>
      <c r="IF5181" s="67"/>
      <c r="IG5181" s="67"/>
      <c r="IH5181" s="67"/>
      <c r="II5181" s="67"/>
      <c r="IJ5181" s="67"/>
      <c r="IK5181" s="67"/>
      <c r="IL5181" s="67"/>
      <c r="IM5181" s="67"/>
      <c r="IN5181" s="67"/>
      <c r="IO5181" s="67"/>
      <c r="IP5181" s="67"/>
      <c r="IQ5181" s="67"/>
      <c r="IR5181" s="67"/>
      <c r="IS5181" s="67"/>
      <c r="IT5181" s="67"/>
      <c r="IU5181" s="67"/>
      <c r="IV5181" s="67"/>
      <c r="IW5181" s="67"/>
      <c r="IX5181" s="67"/>
      <c r="IY5181" s="67"/>
      <c r="IZ5181" s="67"/>
      <c r="JA5181" s="67"/>
      <c r="JB5181" s="67"/>
      <c r="JC5181" s="67"/>
      <c r="JD5181" s="67"/>
      <c r="JE5181" s="67"/>
      <c r="JF5181" s="67"/>
      <c r="JG5181" s="67"/>
      <c r="JH5181" s="67"/>
      <c r="JI5181" s="67"/>
      <c r="JJ5181" s="67"/>
      <c r="JK5181" s="67"/>
      <c r="JL5181" s="67"/>
      <c r="JM5181" s="67"/>
      <c r="JN5181" s="67"/>
      <c r="JO5181" s="67"/>
      <c r="JP5181" s="67"/>
      <c r="JQ5181" s="67"/>
      <c r="JR5181" s="67"/>
      <c r="JS5181" s="67"/>
      <c r="JT5181" s="67"/>
      <c r="JU5181" s="58"/>
      <c r="JV5181" s="58"/>
      <c r="JW5181" s="58"/>
    </row>
    <row r="5182" spans="1:283" s="23" customFormat="1" x14ac:dyDescent="0.25">
      <c r="A5182" s="55">
        <v>5181</v>
      </c>
      <c r="B5182" s="12" t="s">
        <v>7067</v>
      </c>
      <c r="C5182" s="156">
        <v>275</v>
      </c>
      <c r="D5182" s="58" t="s">
        <v>5045</v>
      </c>
      <c r="E5182" s="160" t="str">
        <f>G5182</f>
        <v>Teasdale et al. 2007_total horizon_pair 3</v>
      </c>
      <c r="F5182" s="160"/>
      <c r="G5182" s="60" t="s">
        <v>4683</v>
      </c>
      <c r="H5182" s="58">
        <v>2007</v>
      </c>
      <c r="I5182" s="58" t="s">
        <v>1934</v>
      </c>
      <c r="J5182" s="243" t="s">
        <v>282</v>
      </c>
      <c r="K5182" s="63" t="s">
        <v>5071</v>
      </c>
      <c r="L5182" s="58" t="s">
        <v>2737</v>
      </c>
      <c r="M5182" s="94">
        <v>39.03</v>
      </c>
      <c r="N5182" s="94">
        <v>-76.91</v>
      </c>
      <c r="O5182" s="94">
        <v>37</v>
      </c>
      <c r="P5182" s="58"/>
      <c r="Q5182" s="244">
        <v>12.800000000000002</v>
      </c>
      <c r="R5182" s="58"/>
      <c r="S5182" s="245">
        <v>1110</v>
      </c>
      <c r="T5182" s="58"/>
      <c r="U5182" s="58" t="s">
        <v>1816</v>
      </c>
      <c r="V5182" s="244">
        <v>9</v>
      </c>
      <c r="W5182" s="174"/>
      <c r="X5182" s="174"/>
      <c r="Y5182" s="58" t="s">
        <v>5471</v>
      </c>
      <c r="Z5182" s="244" t="s">
        <v>1347</v>
      </c>
      <c r="AA5182" s="245">
        <v>10</v>
      </c>
      <c r="AB5182" s="67"/>
      <c r="AC5182" s="67"/>
      <c r="AD5182" s="94"/>
      <c r="AE5182" s="94"/>
      <c r="AF5182" s="94"/>
      <c r="AG5182" s="245"/>
      <c r="AH5182" s="58" t="s">
        <v>139</v>
      </c>
      <c r="AI5182" s="169"/>
      <c r="AJ5182" s="94"/>
      <c r="AK5182" s="94"/>
      <c r="AL5182" s="58"/>
      <c r="AM5182" s="58" t="s">
        <v>1291</v>
      </c>
      <c r="AN5182" s="186"/>
      <c r="AO5182" s="185" t="s">
        <v>7494</v>
      </c>
      <c r="AP5182" s="58"/>
      <c r="AQ5182" s="58"/>
      <c r="AR5182" s="58" t="s">
        <v>116</v>
      </c>
      <c r="AS5182" s="246" t="s">
        <v>116</v>
      </c>
      <c r="AT5182" s="247">
        <v>0</v>
      </c>
      <c r="AU5182" s="181" t="s">
        <v>7494</v>
      </c>
      <c r="AV5182" s="185" t="s">
        <v>176</v>
      </c>
      <c r="AW5182" s="244">
        <v>1</v>
      </c>
      <c r="AX5182" s="185" t="s">
        <v>176</v>
      </c>
      <c r="AY5182" s="244" t="s">
        <v>5150</v>
      </c>
      <c r="AZ5182" s="58"/>
      <c r="BA5182" s="58"/>
      <c r="BB5182" s="58"/>
      <c r="BC5182" s="58"/>
      <c r="BD5182" s="58"/>
      <c r="BE5182" s="236" t="s">
        <v>5222</v>
      </c>
      <c r="BF5182" s="191" t="s">
        <v>479</v>
      </c>
      <c r="BG5182" s="191" t="s">
        <v>479</v>
      </c>
      <c r="BH5182" s="236" t="s">
        <v>5292</v>
      </c>
      <c r="BI5182" s="191" t="s">
        <v>479</v>
      </c>
      <c r="BJ5182" s="58" t="str">
        <f>IF(BE5182=BH5182,"No","yes")</f>
        <v>yes</v>
      </c>
      <c r="BK5182" s="58" t="s">
        <v>6335</v>
      </c>
      <c r="BL5182" s="58"/>
      <c r="BM5182" s="237"/>
      <c r="BN5182" s="244">
        <v>8</v>
      </c>
      <c r="BO5182" s="244">
        <v>8</v>
      </c>
      <c r="BP5182" s="58"/>
      <c r="BQ5182" s="58"/>
      <c r="BR5182" s="58"/>
      <c r="BS5182" s="58"/>
      <c r="BT5182" s="58"/>
      <c r="BU5182" s="58"/>
      <c r="BV5182" s="58"/>
      <c r="BW5182" s="67"/>
      <c r="BX5182" s="67"/>
      <c r="BY5182" s="67"/>
      <c r="BZ5182" s="67"/>
      <c r="CA5182" s="67"/>
      <c r="CB5182" s="70">
        <v>2690</v>
      </c>
      <c r="CC5182" s="70">
        <v>3810</v>
      </c>
      <c r="CD5182" s="70"/>
      <c r="CE5182" s="67"/>
      <c r="CF5182" s="67"/>
      <c r="CG5182" s="67"/>
      <c r="CH5182" s="245"/>
      <c r="CI5182" s="245"/>
      <c r="CJ5182" s="67"/>
      <c r="CK5182" s="67"/>
      <c r="CL5182" s="67"/>
      <c r="CM5182" s="242"/>
      <c r="CN5182" s="242"/>
      <c r="CO5182" s="242"/>
      <c r="CP5182" s="242"/>
      <c r="CQ5182" s="242"/>
      <c r="CR5182" s="242"/>
      <c r="CS5182" s="242"/>
      <c r="CT5182" s="242"/>
      <c r="CU5182" s="242"/>
      <c r="CV5182" s="242"/>
      <c r="CW5182" s="242"/>
      <c r="CX5182" s="242"/>
      <c r="CY5182" s="242"/>
      <c r="CZ5182" s="242"/>
      <c r="DA5182" s="67"/>
      <c r="DB5182" s="67"/>
      <c r="DC5182" s="67"/>
      <c r="DD5182" s="67"/>
      <c r="DE5182" s="67"/>
      <c r="DF5182" s="67"/>
      <c r="DG5182" s="67"/>
      <c r="DH5182" s="67"/>
      <c r="DI5182" s="67"/>
      <c r="DJ5182" s="67"/>
      <c r="DK5182" s="67"/>
      <c r="DL5182" s="67"/>
      <c r="DM5182" s="67"/>
      <c r="DN5182" s="67"/>
      <c r="DO5182" s="67"/>
      <c r="DP5182" s="67"/>
      <c r="DQ5182" s="166"/>
      <c r="DR5182" s="166"/>
      <c r="DS5182" s="163"/>
      <c r="DT5182" s="163"/>
      <c r="DU5182" s="67"/>
      <c r="DV5182" s="67"/>
      <c r="DW5182" s="67"/>
      <c r="DX5182" s="67"/>
      <c r="DY5182" s="67"/>
      <c r="DZ5182" s="67"/>
      <c r="EA5182" s="67"/>
      <c r="EB5182" s="67"/>
      <c r="EC5182" s="67"/>
      <c r="ED5182" s="67"/>
      <c r="EE5182" s="67"/>
      <c r="EF5182" s="67"/>
      <c r="EG5182" s="67"/>
      <c r="EH5182" s="67"/>
      <c r="EI5182" s="67"/>
      <c r="EJ5182" s="67"/>
      <c r="EK5182" s="94"/>
      <c r="EL5182" s="94"/>
      <c r="EM5182" s="67"/>
      <c r="EN5182" s="67"/>
      <c r="EO5182" s="67"/>
      <c r="EP5182" s="67"/>
      <c r="EQ5182" s="67"/>
      <c r="ER5182" s="67"/>
      <c r="ES5182" s="67"/>
      <c r="ET5182" s="67"/>
      <c r="EU5182" s="67"/>
      <c r="EV5182" s="67"/>
      <c r="EW5182" s="67"/>
      <c r="EX5182" s="67"/>
      <c r="EY5182" s="67"/>
      <c r="EZ5182" s="67"/>
      <c r="FA5182" s="67"/>
      <c r="FB5182" s="67"/>
      <c r="FC5182" s="67"/>
      <c r="FD5182" s="67"/>
      <c r="FE5182" s="67"/>
      <c r="FF5182" s="67"/>
      <c r="FG5182" s="67"/>
      <c r="FH5182" s="67"/>
      <c r="FI5182" s="67"/>
      <c r="FJ5182" s="67"/>
      <c r="FK5182" s="67"/>
      <c r="FL5182" s="67"/>
      <c r="FM5182" s="67"/>
      <c r="FN5182" s="67"/>
      <c r="FO5182" s="67"/>
      <c r="FP5182" s="67"/>
      <c r="FQ5182" s="67"/>
      <c r="FR5182" s="67"/>
      <c r="FS5182" s="67"/>
      <c r="FT5182" s="67"/>
      <c r="FU5182" s="67"/>
      <c r="FV5182" s="67"/>
      <c r="FW5182" s="67"/>
      <c r="FX5182" s="67"/>
      <c r="FY5182" s="67"/>
      <c r="FZ5182" s="67"/>
      <c r="GA5182" s="67"/>
      <c r="GB5182" s="67"/>
      <c r="GC5182" s="67"/>
      <c r="GD5182" s="67"/>
      <c r="GE5182" s="67"/>
      <c r="GF5182" s="67"/>
      <c r="GG5182" s="67"/>
      <c r="GH5182" s="67"/>
      <c r="GI5182" s="67"/>
      <c r="GJ5182" s="67"/>
      <c r="GK5182" s="67"/>
      <c r="GL5182" s="67"/>
      <c r="GM5182" s="67"/>
      <c r="GN5182" s="292"/>
      <c r="GO5182" s="292"/>
      <c r="GP5182" s="292" t="s">
        <v>7494</v>
      </c>
      <c r="GQ5182" s="67"/>
      <c r="GR5182" s="67"/>
      <c r="GS5182" s="67"/>
      <c r="GT5182" s="67"/>
      <c r="GU5182" s="67"/>
      <c r="GV5182" s="67"/>
      <c r="GW5182" s="67"/>
      <c r="GX5182" s="67"/>
      <c r="GY5182" s="67"/>
      <c r="GZ5182" s="67"/>
      <c r="HA5182" s="67"/>
      <c r="HB5182" s="67"/>
      <c r="HC5182" s="67"/>
      <c r="HD5182" s="67"/>
      <c r="HE5182" s="67"/>
      <c r="HF5182" s="67"/>
      <c r="HG5182" s="67"/>
      <c r="HH5182" s="67"/>
      <c r="HI5182" s="67"/>
      <c r="HJ5182" s="67"/>
      <c r="HK5182" s="67"/>
      <c r="HL5182" s="67"/>
      <c r="HM5182" s="67"/>
      <c r="HN5182" s="67"/>
      <c r="HO5182" s="67"/>
      <c r="HP5182" s="67"/>
      <c r="HQ5182" s="67"/>
      <c r="HR5182" s="67"/>
      <c r="HS5182" s="67"/>
      <c r="HT5182" s="67"/>
      <c r="HU5182" s="67"/>
      <c r="HV5182" s="67"/>
      <c r="HW5182" s="67"/>
      <c r="HX5182" s="67"/>
      <c r="HY5182" s="67"/>
      <c r="HZ5182" s="67"/>
      <c r="IA5182" s="67"/>
      <c r="IB5182" s="67"/>
      <c r="IC5182" s="67"/>
      <c r="ID5182" s="67"/>
      <c r="IE5182" s="67"/>
      <c r="IF5182" s="67"/>
      <c r="IG5182" s="67"/>
      <c r="IH5182" s="67"/>
      <c r="II5182" s="67"/>
      <c r="IJ5182" s="67"/>
      <c r="IK5182" s="67"/>
      <c r="IL5182" s="67"/>
      <c r="IM5182" s="67"/>
      <c r="IN5182" s="67"/>
      <c r="IO5182" s="67"/>
      <c r="IP5182" s="67"/>
      <c r="IQ5182" s="67"/>
      <c r="IR5182" s="67"/>
      <c r="IS5182" s="67"/>
      <c r="IT5182" s="67"/>
      <c r="IU5182" s="67"/>
      <c r="IV5182" s="67"/>
      <c r="IW5182" s="67"/>
      <c r="IX5182" s="67"/>
      <c r="IY5182" s="67"/>
      <c r="IZ5182" s="67"/>
      <c r="JA5182" s="67"/>
      <c r="JB5182" s="67"/>
      <c r="JC5182" s="67"/>
      <c r="JD5182" s="67"/>
      <c r="JE5182" s="67"/>
      <c r="JF5182" s="67"/>
      <c r="JG5182" s="67"/>
      <c r="JH5182" s="67"/>
      <c r="JI5182" s="67"/>
      <c r="JJ5182" s="67"/>
      <c r="JK5182" s="67"/>
      <c r="JL5182" s="67"/>
      <c r="JM5182" s="67"/>
      <c r="JN5182" s="67"/>
      <c r="JO5182" s="67"/>
      <c r="JP5182" s="67"/>
      <c r="JQ5182" s="67"/>
      <c r="JR5182" s="67"/>
      <c r="JS5182" s="67"/>
      <c r="JT5182" s="67"/>
      <c r="JU5182" s="58"/>
      <c r="JV5182" s="58"/>
      <c r="JW5182" s="58"/>
    </row>
    <row r="5183" spans="1:283" s="23" customFormat="1" x14ac:dyDescent="0.25">
      <c r="A5183" s="55">
        <v>5182</v>
      </c>
      <c r="B5183" s="12" t="s">
        <v>7067</v>
      </c>
      <c r="C5183" s="156">
        <v>275</v>
      </c>
      <c r="D5183" s="58" t="s">
        <v>5045</v>
      </c>
      <c r="E5183" s="160" t="str">
        <f>G5183</f>
        <v>Teasdale et al. 2007_total horizon_pair 3</v>
      </c>
      <c r="F5183" s="160"/>
      <c r="G5183" s="60" t="s">
        <v>4683</v>
      </c>
      <c r="H5183" s="58">
        <v>2007</v>
      </c>
      <c r="I5183" s="58" t="s">
        <v>1934</v>
      </c>
      <c r="J5183" s="243" t="s">
        <v>282</v>
      </c>
      <c r="K5183" s="63" t="s">
        <v>5071</v>
      </c>
      <c r="L5183" s="58" t="s">
        <v>2737</v>
      </c>
      <c r="M5183" s="94">
        <v>39.03</v>
      </c>
      <c r="N5183" s="94">
        <v>-76.91</v>
      </c>
      <c r="O5183" s="94">
        <v>37</v>
      </c>
      <c r="P5183" s="58"/>
      <c r="Q5183" s="244">
        <v>12.800000000000002</v>
      </c>
      <c r="R5183" s="58"/>
      <c r="S5183" s="245">
        <v>1110</v>
      </c>
      <c r="T5183" s="58"/>
      <c r="U5183" s="58" t="s">
        <v>1816</v>
      </c>
      <c r="V5183" s="244">
        <v>9</v>
      </c>
      <c r="W5183" s="174"/>
      <c r="X5183" s="174"/>
      <c r="Y5183" s="58" t="s">
        <v>5471</v>
      </c>
      <c r="Z5183" s="244" t="s">
        <v>1347</v>
      </c>
      <c r="AA5183" s="245">
        <v>10</v>
      </c>
      <c r="AB5183" s="67"/>
      <c r="AC5183" s="67"/>
      <c r="AD5183" s="94"/>
      <c r="AE5183" s="94"/>
      <c r="AF5183" s="94"/>
      <c r="AG5183" s="245"/>
      <c r="AH5183" s="58" t="s">
        <v>139</v>
      </c>
      <c r="AI5183" s="169"/>
      <c r="AJ5183" s="94"/>
      <c r="AK5183" s="94"/>
      <c r="AL5183" s="58"/>
      <c r="AM5183" s="58" t="s">
        <v>1291</v>
      </c>
      <c r="AN5183" s="186"/>
      <c r="AO5183" s="185" t="s">
        <v>7494</v>
      </c>
      <c r="AP5183" s="58"/>
      <c r="AQ5183" s="58"/>
      <c r="AR5183" s="58" t="s">
        <v>116</v>
      </c>
      <c r="AS5183" s="246" t="s">
        <v>116</v>
      </c>
      <c r="AT5183" s="247">
        <v>0</v>
      </c>
      <c r="AU5183" s="181" t="s">
        <v>7494</v>
      </c>
      <c r="AV5183" s="185" t="s">
        <v>176</v>
      </c>
      <c r="AW5183" s="244">
        <v>1</v>
      </c>
      <c r="AX5183" s="185" t="s">
        <v>176</v>
      </c>
      <c r="AY5183" s="244" t="s">
        <v>5150</v>
      </c>
      <c r="AZ5183" s="58"/>
      <c r="BA5183" s="58"/>
      <c r="BB5183" s="58"/>
      <c r="BC5183" s="58"/>
      <c r="BD5183" s="58"/>
      <c r="BE5183" s="236" t="s">
        <v>5222</v>
      </c>
      <c r="BF5183" s="191" t="s">
        <v>479</v>
      </c>
      <c r="BG5183" s="191" t="s">
        <v>479</v>
      </c>
      <c r="BH5183" s="236" t="s">
        <v>5292</v>
      </c>
      <c r="BI5183" s="191" t="s">
        <v>479</v>
      </c>
      <c r="BJ5183" s="58" t="str">
        <f>IF(BE5183=BH5183,"No","yes")</f>
        <v>yes</v>
      </c>
      <c r="BK5183" s="58" t="s">
        <v>6335</v>
      </c>
      <c r="BL5183" s="58"/>
      <c r="BM5183" s="237"/>
      <c r="BN5183" s="244">
        <v>8</v>
      </c>
      <c r="BO5183" s="244">
        <v>8</v>
      </c>
      <c r="BP5183" s="58"/>
      <c r="BQ5183" s="58"/>
      <c r="BR5183" s="58"/>
      <c r="BS5183" s="58"/>
      <c r="BT5183" s="58"/>
      <c r="BU5183" s="58"/>
      <c r="BV5183" s="58"/>
      <c r="BW5183" s="67"/>
      <c r="BX5183" s="67"/>
      <c r="BY5183" s="67"/>
      <c r="BZ5183" s="67"/>
      <c r="CA5183" s="67"/>
      <c r="CB5183" s="70">
        <v>2690</v>
      </c>
      <c r="CC5183" s="70">
        <v>1730</v>
      </c>
      <c r="CD5183" s="70"/>
      <c r="CE5183" s="67"/>
      <c r="CF5183" s="67"/>
      <c r="CG5183" s="67"/>
      <c r="CH5183" s="245"/>
      <c r="CI5183" s="245"/>
      <c r="CJ5183" s="67"/>
      <c r="CK5183" s="67"/>
      <c r="CL5183" s="67"/>
      <c r="CM5183" s="242"/>
      <c r="CN5183" s="242"/>
      <c r="CO5183" s="242"/>
      <c r="CP5183" s="242"/>
      <c r="CQ5183" s="242"/>
      <c r="CR5183" s="242"/>
      <c r="CS5183" s="242"/>
      <c r="CT5183" s="242"/>
      <c r="CU5183" s="242"/>
      <c r="CV5183" s="242"/>
      <c r="CW5183" s="242"/>
      <c r="CX5183" s="242"/>
      <c r="CY5183" s="242"/>
      <c r="CZ5183" s="242"/>
      <c r="DA5183" s="67"/>
      <c r="DB5183" s="67"/>
      <c r="DC5183" s="67"/>
      <c r="DD5183" s="67"/>
      <c r="DE5183" s="67"/>
      <c r="DF5183" s="67"/>
      <c r="DG5183" s="67"/>
      <c r="DH5183" s="67"/>
      <c r="DI5183" s="67"/>
      <c r="DJ5183" s="67"/>
      <c r="DK5183" s="67"/>
      <c r="DL5183" s="67"/>
      <c r="DM5183" s="67"/>
      <c r="DN5183" s="67"/>
      <c r="DO5183" s="67"/>
      <c r="DP5183" s="67"/>
      <c r="DQ5183" s="166"/>
      <c r="DR5183" s="166"/>
      <c r="DS5183" s="163"/>
      <c r="DT5183" s="163"/>
      <c r="DU5183" s="67"/>
      <c r="DV5183" s="67"/>
      <c r="DW5183" s="67"/>
      <c r="DX5183" s="67"/>
      <c r="DY5183" s="67"/>
      <c r="DZ5183" s="67"/>
      <c r="EA5183" s="67"/>
      <c r="EB5183" s="67"/>
      <c r="EC5183" s="67"/>
      <c r="ED5183" s="67"/>
      <c r="EE5183" s="67"/>
      <c r="EF5183" s="67"/>
      <c r="EG5183" s="67"/>
      <c r="EH5183" s="67"/>
      <c r="EI5183" s="67"/>
      <c r="EJ5183" s="67"/>
      <c r="EK5183" s="94"/>
      <c r="EL5183" s="94"/>
      <c r="EM5183" s="67"/>
      <c r="EN5183" s="67"/>
      <c r="EO5183" s="67"/>
      <c r="EP5183" s="67"/>
      <c r="EQ5183" s="67"/>
      <c r="ER5183" s="67"/>
      <c r="ES5183" s="67"/>
      <c r="ET5183" s="67"/>
      <c r="EU5183" s="67"/>
      <c r="EV5183" s="67"/>
      <c r="EW5183" s="67"/>
      <c r="EX5183" s="67"/>
      <c r="EY5183" s="67"/>
      <c r="EZ5183" s="67"/>
      <c r="FA5183" s="67"/>
      <c r="FB5183" s="67"/>
      <c r="FC5183" s="67"/>
      <c r="FD5183" s="67"/>
      <c r="FE5183" s="67"/>
      <c r="FF5183" s="67"/>
      <c r="FG5183" s="67"/>
      <c r="FH5183" s="67"/>
      <c r="FI5183" s="67"/>
      <c r="FJ5183" s="67"/>
      <c r="FK5183" s="67"/>
      <c r="FL5183" s="67"/>
      <c r="FM5183" s="67"/>
      <c r="FN5183" s="67"/>
      <c r="FO5183" s="67"/>
      <c r="FP5183" s="67"/>
      <c r="FQ5183" s="67"/>
      <c r="FR5183" s="67"/>
      <c r="FS5183" s="67"/>
      <c r="FT5183" s="67"/>
      <c r="FU5183" s="67"/>
      <c r="FV5183" s="67"/>
      <c r="FW5183" s="67"/>
      <c r="FX5183" s="67"/>
      <c r="FY5183" s="67"/>
      <c r="FZ5183" s="67"/>
      <c r="GA5183" s="67"/>
      <c r="GB5183" s="67"/>
      <c r="GC5183" s="67"/>
      <c r="GD5183" s="67"/>
      <c r="GE5183" s="67"/>
      <c r="GF5183" s="67"/>
      <c r="GG5183" s="67"/>
      <c r="GH5183" s="67"/>
      <c r="GI5183" s="67"/>
      <c r="GJ5183" s="67"/>
      <c r="GK5183" s="67"/>
      <c r="GL5183" s="67"/>
      <c r="GM5183" s="67"/>
      <c r="GN5183" s="292"/>
      <c r="GO5183" s="292"/>
      <c r="GP5183" s="292" t="s">
        <v>7494</v>
      </c>
      <c r="GQ5183" s="67"/>
      <c r="GR5183" s="67"/>
      <c r="GS5183" s="67"/>
      <c r="GT5183" s="67"/>
      <c r="GU5183" s="67"/>
      <c r="GV5183" s="67"/>
      <c r="GW5183" s="67"/>
      <c r="GX5183" s="67"/>
      <c r="GY5183" s="67"/>
      <c r="GZ5183" s="67"/>
      <c r="HA5183" s="67"/>
      <c r="HB5183" s="67"/>
      <c r="HC5183" s="67"/>
      <c r="HD5183" s="67"/>
      <c r="HE5183" s="67"/>
      <c r="HF5183" s="67"/>
      <c r="HG5183" s="67"/>
      <c r="HH5183" s="67"/>
      <c r="HI5183" s="67"/>
      <c r="HJ5183" s="67"/>
      <c r="HK5183" s="67"/>
      <c r="HL5183" s="67"/>
      <c r="HM5183" s="67"/>
      <c r="HN5183" s="67"/>
      <c r="HO5183" s="67"/>
      <c r="HP5183" s="67"/>
      <c r="HQ5183" s="67"/>
      <c r="HR5183" s="67"/>
      <c r="HS5183" s="67"/>
      <c r="HT5183" s="67"/>
      <c r="HU5183" s="67"/>
      <c r="HV5183" s="67"/>
      <c r="HW5183" s="67"/>
      <c r="HX5183" s="67"/>
      <c r="HY5183" s="67"/>
      <c r="HZ5183" s="67"/>
      <c r="IA5183" s="67"/>
      <c r="IB5183" s="67"/>
      <c r="IC5183" s="67"/>
      <c r="ID5183" s="67"/>
      <c r="IE5183" s="67"/>
      <c r="IF5183" s="67"/>
      <c r="IG5183" s="67"/>
      <c r="IH5183" s="67"/>
      <c r="II5183" s="67"/>
      <c r="IJ5183" s="67"/>
      <c r="IK5183" s="67"/>
      <c r="IL5183" s="67"/>
      <c r="IM5183" s="67"/>
      <c r="IN5183" s="67"/>
      <c r="IO5183" s="67"/>
      <c r="IP5183" s="67"/>
      <c r="IQ5183" s="67"/>
      <c r="IR5183" s="67"/>
      <c r="IS5183" s="67"/>
      <c r="IT5183" s="67"/>
      <c r="IU5183" s="67"/>
      <c r="IV5183" s="67"/>
      <c r="IW5183" s="67"/>
      <c r="IX5183" s="67"/>
      <c r="IY5183" s="67"/>
      <c r="IZ5183" s="67"/>
      <c r="JA5183" s="67"/>
      <c r="JB5183" s="67"/>
      <c r="JC5183" s="67"/>
      <c r="JD5183" s="67"/>
      <c r="JE5183" s="67"/>
      <c r="JF5183" s="67"/>
      <c r="JG5183" s="67"/>
      <c r="JH5183" s="67"/>
      <c r="JI5183" s="67"/>
      <c r="JJ5183" s="67"/>
      <c r="JK5183" s="67"/>
      <c r="JL5183" s="67"/>
      <c r="JM5183" s="67"/>
      <c r="JN5183" s="67"/>
      <c r="JO5183" s="67"/>
      <c r="JP5183" s="67"/>
      <c r="JQ5183" s="67"/>
      <c r="JR5183" s="67"/>
      <c r="JS5183" s="67"/>
      <c r="JT5183" s="67"/>
      <c r="JU5183" s="58"/>
      <c r="JV5183" s="58"/>
      <c r="JW5183" s="58"/>
    </row>
    <row r="5184" spans="1:283" s="23" customFormat="1" x14ac:dyDescent="0.25">
      <c r="A5184" s="55">
        <v>5183</v>
      </c>
      <c r="B5184" s="12" t="s">
        <v>7067</v>
      </c>
      <c r="C5184" s="156">
        <v>275</v>
      </c>
      <c r="D5184" s="58" t="s">
        <v>5043</v>
      </c>
      <c r="E5184" s="160" t="str">
        <f>G5184</f>
        <v>Teasdale et al. 2007_total horizon_pair 1</v>
      </c>
      <c r="F5184" s="160"/>
      <c r="G5184" s="60" t="s">
        <v>4685</v>
      </c>
      <c r="H5184" s="58">
        <v>2007</v>
      </c>
      <c r="I5184" s="58" t="s">
        <v>2847</v>
      </c>
      <c r="J5184" s="243" t="s">
        <v>282</v>
      </c>
      <c r="K5184" s="63" t="s">
        <v>5071</v>
      </c>
      <c r="L5184" s="58" t="s">
        <v>2737</v>
      </c>
      <c r="M5184" s="94">
        <v>39.03</v>
      </c>
      <c r="N5184" s="94">
        <v>-76.91</v>
      </c>
      <c r="O5184" s="94">
        <v>37</v>
      </c>
      <c r="P5184" s="58"/>
      <c r="Q5184" s="244">
        <v>12.800000000000002</v>
      </c>
      <c r="R5184" s="58"/>
      <c r="S5184" s="245">
        <v>1110</v>
      </c>
      <c r="T5184" s="58"/>
      <c r="U5184" s="58" t="s">
        <v>1816</v>
      </c>
      <c r="V5184" s="244">
        <v>9</v>
      </c>
      <c r="W5184" s="174"/>
      <c r="X5184" s="174"/>
      <c r="Y5184" s="58" t="s">
        <v>5471</v>
      </c>
      <c r="Z5184" s="244" t="s">
        <v>1347</v>
      </c>
      <c r="AA5184" s="245">
        <v>10</v>
      </c>
      <c r="AB5184" s="67"/>
      <c r="AC5184" s="67"/>
      <c r="AD5184" s="94"/>
      <c r="AE5184" s="94"/>
      <c r="AF5184" s="94"/>
      <c r="AG5184" s="245"/>
      <c r="AH5184" s="58" t="s">
        <v>139</v>
      </c>
      <c r="AI5184" s="169"/>
      <c r="AJ5184" s="94"/>
      <c r="AK5184" s="94"/>
      <c r="AL5184" s="58"/>
      <c r="AM5184" s="58" t="s">
        <v>1291</v>
      </c>
      <c r="AN5184" s="186"/>
      <c r="AO5184" s="185" t="s">
        <v>7494</v>
      </c>
      <c r="AP5184" s="58"/>
      <c r="AQ5184" s="58"/>
      <c r="AR5184" s="58" t="s">
        <v>132</v>
      </c>
      <c r="AS5184" s="58" t="s">
        <v>132</v>
      </c>
      <c r="AT5184" s="247">
        <v>0</v>
      </c>
      <c r="AU5184" s="181" t="s">
        <v>7494</v>
      </c>
      <c r="AV5184" s="185" t="s">
        <v>176</v>
      </c>
      <c r="AW5184" s="244">
        <v>1</v>
      </c>
      <c r="AX5184" s="185" t="s">
        <v>176</v>
      </c>
      <c r="AY5184" s="244" t="s">
        <v>5150</v>
      </c>
      <c r="AZ5184" s="58"/>
      <c r="BA5184" s="58"/>
      <c r="BB5184" s="58"/>
      <c r="BC5184" s="58"/>
      <c r="BD5184" s="58"/>
      <c r="BE5184" s="236" t="s">
        <v>5222</v>
      </c>
      <c r="BF5184" s="191" t="s">
        <v>479</v>
      </c>
      <c r="BG5184" s="191" t="s">
        <v>479</v>
      </c>
      <c r="BH5184" s="236" t="s">
        <v>5292</v>
      </c>
      <c r="BI5184" s="191" t="s">
        <v>479</v>
      </c>
      <c r="BJ5184" s="58" t="str">
        <f>IF(BE5184=BH5184,"No","yes")</f>
        <v>yes</v>
      </c>
      <c r="BK5184" s="58" t="s">
        <v>6335</v>
      </c>
      <c r="BL5184" s="58"/>
      <c r="BM5184" s="237"/>
      <c r="BN5184" s="244">
        <v>8</v>
      </c>
      <c r="BO5184" s="244">
        <v>8</v>
      </c>
      <c r="BP5184" s="58"/>
      <c r="BQ5184" s="58"/>
      <c r="BR5184" s="58"/>
      <c r="BS5184" s="58"/>
      <c r="BT5184" s="58"/>
      <c r="BU5184" s="58"/>
      <c r="BV5184" s="58"/>
      <c r="BW5184" s="67"/>
      <c r="BX5184" s="67"/>
      <c r="BY5184" s="67"/>
      <c r="BZ5184" s="67"/>
      <c r="CA5184" s="67"/>
      <c r="CB5184" s="70">
        <v>2780</v>
      </c>
      <c r="CC5184" s="70">
        <v>2490</v>
      </c>
      <c r="CD5184" s="70"/>
      <c r="CE5184" s="67"/>
      <c r="CF5184" s="67"/>
      <c r="CG5184" s="67"/>
      <c r="CH5184" s="245"/>
      <c r="CI5184" s="245"/>
      <c r="CJ5184" s="67"/>
      <c r="CK5184" s="67"/>
      <c r="CL5184" s="67"/>
      <c r="CM5184" s="242"/>
      <c r="CN5184" s="242"/>
      <c r="CO5184" s="242"/>
      <c r="CP5184" s="242"/>
      <c r="CQ5184" s="242"/>
      <c r="CR5184" s="242"/>
      <c r="CS5184" s="242"/>
      <c r="CT5184" s="242"/>
      <c r="CU5184" s="242"/>
      <c r="CV5184" s="242"/>
      <c r="CW5184" s="242"/>
      <c r="CX5184" s="242"/>
      <c r="CY5184" s="242"/>
      <c r="CZ5184" s="242"/>
      <c r="DA5184" s="67"/>
      <c r="DB5184" s="67"/>
      <c r="DC5184" s="67"/>
      <c r="DD5184" s="67"/>
      <c r="DE5184" s="67"/>
      <c r="DF5184" s="67"/>
      <c r="DG5184" s="67"/>
      <c r="DH5184" s="67"/>
      <c r="DI5184" s="67"/>
      <c r="DJ5184" s="67"/>
      <c r="DK5184" s="67"/>
      <c r="DL5184" s="67"/>
      <c r="DM5184" s="67"/>
      <c r="DN5184" s="67"/>
      <c r="DO5184" s="67"/>
      <c r="DP5184" s="67"/>
      <c r="DQ5184" s="166"/>
      <c r="DR5184" s="166"/>
      <c r="DS5184" s="163"/>
      <c r="DT5184" s="163"/>
      <c r="DU5184" s="67"/>
      <c r="DV5184" s="67"/>
      <c r="DW5184" s="67"/>
      <c r="DX5184" s="67"/>
      <c r="DY5184" s="67"/>
      <c r="DZ5184" s="67"/>
      <c r="EA5184" s="67"/>
      <c r="EB5184" s="67"/>
      <c r="EC5184" s="67"/>
      <c r="ED5184" s="67"/>
      <c r="EE5184" s="67"/>
      <c r="EF5184" s="67"/>
      <c r="EG5184" s="67"/>
      <c r="EH5184" s="67"/>
      <c r="EI5184" s="67"/>
      <c r="EJ5184" s="67"/>
      <c r="EK5184" s="94"/>
      <c r="EL5184" s="94"/>
      <c r="EM5184" s="67"/>
      <c r="EN5184" s="67"/>
      <c r="EO5184" s="67"/>
      <c r="EP5184" s="67"/>
      <c r="EQ5184" s="67"/>
      <c r="ER5184" s="67"/>
      <c r="ES5184" s="67"/>
      <c r="ET5184" s="67"/>
      <c r="EU5184" s="67"/>
      <c r="EV5184" s="67"/>
      <c r="EW5184" s="67"/>
      <c r="EX5184" s="67"/>
      <c r="EY5184" s="67"/>
      <c r="EZ5184" s="67"/>
      <c r="FA5184" s="67"/>
      <c r="FB5184" s="67"/>
      <c r="FC5184" s="67"/>
      <c r="FD5184" s="67"/>
      <c r="FE5184" s="67"/>
      <c r="FF5184" s="67"/>
      <c r="FG5184" s="67"/>
      <c r="FH5184" s="67"/>
      <c r="FI5184" s="67"/>
      <c r="FJ5184" s="67"/>
      <c r="FK5184" s="67"/>
      <c r="FL5184" s="67"/>
      <c r="FM5184" s="67"/>
      <c r="FN5184" s="67"/>
      <c r="FO5184" s="67"/>
      <c r="FP5184" s="67"/>
      <c r="FQ5184" s="67"/>
      <c r="FR5184" s="67"/>
      <c r="FS5184" s="67"/>
      <c r="FT5184" s="67"/>
      <c r="FU5184" s="67"/>
      <c r="FV5184" s="67"/>
      <c r="FW5184" s="67"/>
      <c r="FX5184" s="67"/>
      <c r="FY5184" s="67"/>
      <c r="FZ5184" s="67"/>
      <c r="GA5184" s="67"/>
      <c r="GB5184" s="67"/>
      <c r="GC5184" s="67"/>
      <c r="GD5184" s="67"/>
      <c r="GE5184" s="67"/>
      <c r="GF5184" s="67"/>
      <c r="GG5184" s="67"/>
      <c r="GH5184" s="67"/>
      <c r="GI5184" s="67"/>
      <c r="GJ5184" s="67"/>
      <c r="GK5184" s="67"/>
      <c r="GL5184" s="67"/>
      <c r="GM5184" s="67"/>
      <c r="GN5184" s="292"/>
      <c r="GO5184" s="292"/>
      <c r="GP5184" s="292" t="s">
        <v>7494</v>
      </c>
      <c r="GQ5184" s="67"/>
      <c r="GR5184" s="67"/>
      <c r="GS5184" s="67"/>
      <c r="GT5184" s="67"/>
      <c r="GU5184" s="67"/>
      <c r="GV5184" s="67"/>
      <c r="GW5184" s="67"/>
      <c r="GX5184" s="67"/>
      <c r="GY5184" s="67"/>
      <c r="GZ5184" s="67"/>
      <c r="HA5184" s="67"/>
      <c r="HB5184" s="67"/>
      <c r="HC5184" s="67"/>
      <c r="HD5184" s="67"/>
      <c r="HE5184" s="67"/>
      <c r="HF5184" s="67"/>
      <c r="HG5184" s="67"/>
      <c r="HH5184" s="67"/>
      <c r="HI5184" s="67"/>
      <c r="HJ5184" s="67"/>
      <c r="HK5184" s="67"/>
      <c r="HL5184" s="67"/>
      <c r="HM5184" s="67"/>
      <c r="HN5184" s="67"/>
      <c r="HO5184" s="67"/>
      <c r="HP5184" s="67"/>
      <c r="HQ5184" s="67"/>
      <c r="HR5184" s="67"/>
      <c r="HS5184" s="67"/>
      <c r="HT5184" s="67"/>
      <c r="HU5184" s="67"/>
      <c r="HV5184" s="67"/>
      <c r="HW5184" s="67"/>
      <c r="HX5184" s="67"/>
      <c r="HY5184" s="67"/>
      <c r="HZ5184" s="67"/>
      <c r="IA5184" s="67"/>
      <c r="IB5184" s="67"/>
      <c r="IC5184" s="67"/>
      <c r="ID5184" s="67"/>
      <c r="IE5184" s="67"/>
      <c r="IF5184" s="67"/>
      <c r="IG5184" s="67"/>
      <c r="IH5184" s="67"/>
      <c r="II5184" s="67"/>
      <c r="IJ5184" s="67"/>
      <c r="IK5184" s="67"/>
      <c r="IL5184" s="67"/>
      <c r="IM5184" s="67"/>
      <c r="IN5184" s="67"/>
      <c r="IO5184" s="67"/>
      <c r="IP5184" s="67"/>
      <c r="IQ5184" s="67"/>
      <c r="IR5184" s="67"/>
      <c r="IS5184" s="67"/>
      <c r="IT5184" s="67"/>
      <c r="IU5184" s="67"/>
      <c r="IV5184" s="67"/>
      <c r="IW5184" s="67"/>
      <c r="IX5184" s="67"/>
      <c r="IY5184" s="67"/>
      <c r="IZ5184" s="67"/>
      <c r="JA5184" s="67"/>
      <c r="JB5184" s="67"/>
      <c r="JC5184" s="67"/>
      <c r="JD5184" s="67"/>
      <c r="JE5184" s="67"/>
      <c r="JF5184" s="67"/>
      <c r="JG5184" s="67"/>
      <c r="JH5184" s="67"/>
      <c r="JI5184" s="67"/>
      <c r="JJ5184" s="67"/>
      <c r="JK5184" s="67"/>
      <c r="JL5184" s="67"/>
      <c r="JM5184" s="67"/>
      <c r="JN5184" s="67"/>
      <c r="JO5184" s="67"/>
      <c r="JP5184" s="67"/>
      <c r="JQ5184" s="67"/>
      <c r="JR5184" s="67"/>
      <c r="JS5184" s="67"/>
      <c r="JT5184" s="67"/>
      <c r="JU5184" s="58"/>
      <c r="JV5184" s="58"/>
      <c r="JW5184" s="58"/>
    </row>
    <row r="5185" spans="1:283" s="23" customFormat="1" x14ac:dyDescent="0.25">
      <c r="A5185" s="55">
        <v>5184</v>
      </c>
      <c r="B5185" s="12" t="s">
        <v>7067</v>
      </c>
      <c r="C5185" s="156">
        <v>275</v>
      </c>
      <c r="D5185" s="58" t="s">
        <v>5044</v>
      </c>
      <c r="E5185" s="160" t="str">
        <f>G5185</f>
        <v>Teasdale et al. 2007_total horizon_pair 2</v>
      </c>
      <c r="F5185" s="160"/>
      <c r="G5185" s="60" t="s">
        <v>4684</v>
      </c>
      <c r="H5185" s="58">
        <v>2007</v>
      </c>
      <c r="I5185" s="58" t="s">
        <v>2847</v>
      </c>
      <c r="J5185" s="243" t="s">
        <v>282</v>
      </c>
      <c r="K5185" s="63" t="s">
        <v>5071</v>
      </c>
      <c r="L5185" s="58" t="s">
        <v>2737</v>
      </c>
      <c r="M5185" s="94">
        <v>39.03</v>
      </c>
      <c r="N5185" s="94">
        <v>-76.91</v>
      </c>
      <c r="O5185" s="94">
        <v>37</v>
      </c>
      <c r="P5185" s="58"/>
      <c r="Q5185" s="244">
        <v>12.800000000000002</v>
      </c>
      <c r="R5185" s="58"/>
      <c r="S5185" s="245">
        <v>1110</v>
      </c>
      <c r="T5185" s="58"/>
      <c r="U5185" s="58" t="s">
        <v>1816</v>
      </c>
      <c r="V5185" s="244">
        <v>9</v>
      </c>
      <c r="W5185" s="174"/>
      <c r="X5185" s="174"/>
      <c r="Y5185" s="58" t="s">
        <v>5471</v>
      </c>
      <c r="Z5185" s="244" t="s">
        <v>1347</v>
      </c>
      <c r="AA5185" s="245">
        <v>10</v>
      </c>
      <c r="AB5185" s="67"/>
      <c r="AC5185" s="67"/>
      <c r="AD5185" s="94"/>
      <c r="AE5185" s="94"/>
      <c r="AF5185" s="94"/>
      <c r="AG5185" s="245"/>
      <c r="AH5185" s="58" t="s">
        <v>139</v>
      </c>
      <c r="AI5185" s="169"/>
      <c r="AJ5185" s="94"/>
      <c r="AK5185" s="94"/>
      <c r="AL5185" s="58"/>
      <c r="AM5185" s="58" t="s">
        <v>1291</v>
      </c>
      <c r="AN5185" s="186"/>
      <c r="AO5185" s="185" t="s">
        <v>7494</v>
      </c>
      <c r="AP5185" s="58"/>
      <c r="AQ5185" s="58"/>
      <c r="AR5185" s="58" t="s">
        <v>132</v>
      </c>
      <c r="AS5185" s="58" t="s">
        <v>132</v>
      </c>
      <c r="AT5185" s="247">
        <v>0</v>
      </c>
      <c r="AU5185" s="181" t="s">
        <v>7494</v>
      </c>
      <c r="AV5185" s="185" t="s">
        <v>176</v>
      </c>
      <c r="AW5185" s="244">
        <v>1</v>
      </c>
      <c r="AX5185" s="185" t="s">
        <v>176</v>
      </c>
      <c r="AY5185" s="244" t="s">
        <v>5150</v>
      </c>
      <c r="AZ5185" s="58"/>
      <c r="BA5185" s="58"/>
      <c r="BB5185" s="58"/>
      <c r="BC5185" s="58"/>
      <c r="BD5185" s="58"/>
      <c r="BE5185" s="236" t="s">
        <v>5223</v>
      </c>
      <c r="BF5185" s="191" t="s">
        <v>479</v>
      </c>
      <c r="BG5185" s="191" t="s">
        <v>479</v>
      </c>
      <c r="BH5185" s="236" t="s">
        <v>5292</v>
      </c>
      <c r="BI5185" s="191" t="s">
        <v>479</v>
      </c>
      <c r="BJ5185" s="58" t="str">
        <f>IF(BE5185=BH5185,"No","yes")</f>
        <v>yes</v>
      </c>
      <c r="BK5185" s="58" t="s">
        <v>6335</v>
      </c>
      <c r="BL5185" s="58"/>
      <c r="BM5185" s="237"/>
      <c r="BN5185" s="244">
        <v>8</v>
      </c>
      <c r="BO5185" s="244">
        <v>8</v>
      </c>
      <c r="BP5185" s="58"/>
      <c r="BQ5185" s="58"/>
      <c r="BR5185" s="58"/>
      <c r="BS5185" s="58"/>
      <c r="BT5185" s="58"/>
      <c r="BU5185" s="58"/>
      <c r="BV5185" s="58"/>
      <c r="BW5185" s="67"/>
      <c r="BX5185" s="67"/>
      <c r="BY5185" s="67"/>
      <c r="BZ5185" s="67"/>
      <c r="CA5185" s="67"/>
      <c r="CB5185" s="70">
        <v>2780</v>
      </c>
      <c r="CC5185" s="70">
        <v>970</v>
      </c>
      <c r="CD5185" s="70"/>
      <c r="CE5185" s="67"/>
      <c r="CF5185" s="67"/>
      <c r="CG5185" s="67"/>
      <c r="CH5185" s="245"/>
      <c r="CI5185" s="245"/>
      <c r="CJ5185" s="67"/>
      <c r="CK5185" s="67"/>
      <c r="CL5185" s="67"/>
      <c r="CM5185" s="242"/>
      <c r="CN5185" s="242"/>
      <c r="CO5185" s="242"/>
      <c r="CP5185" s="242"/>
      <c r="CQ5185" s="242"/>
      <c r="CR5185" s="242"/>
      <c r="CS5185" s="242"/>
      <c r="CT5185" s="242"/>
      <c r="CU5185" s="242"/>
      <c r="CV5185" s="242"/>
      <c r="CW5185" s="242"/>
      <c r="CX5185" s="242"/>
      <c r="CY5185" s="242"/>
      <c r="CZ5185" s="242"/>
      <c r="DA5185" s="67"/>
      <c r="DB5185" s="67"/>
      <c r="DC5185" s="67"/>
      <c r="DD5185" s="67"/>
      <c r="DE5185" s="67"/>
      <c r="DF5185" s="67"/>
      <c r="DG5185" s="67"/>
      <c r="DH5185" s="67"/>
      <c r="DI5185" s="67"/>
      <c r="DJ5185" s="67"/>
      <c r="DK5185" s="67"/>
      <c r="DL5185" s="67"/>
      <c r="DM5185" s="67"/>
      <c r="DN5185" s="67"/>
      <c r="DO5185" s="67"/>
      <c r="DP5185" s="67"/>
      <c r="DQ5185" s="166"/>
      <c r="DR5185" s="166"/>
      <c r="DS5185" s="163"/>
      <c r="DT5185" s="163"/>
      <c r="DU5185" s="67"/>
      <c r="DV5185" s="67"/>
      <c r="DW5185" s="67"/>
      <c r="DX5185" s="67"/>
      <c r="DY5185" s="67"/>
      <c r="DZ5185" s="67"/>
      <c r="EA5185" s="67"/>
      <c r="EB5185" s="67"/>
      <c r="EC5185" s="67"/>
      <c r="ED5185" s="67"/>
      <c r="EE5185" s="67"/>
      <c r="EF5185" s="67"/>
      <c r="EG5185" s="67"/>
      <c r="EH5185" s="67"/>
      <c r="EI5185" s="67"/>
      <c r="EJ5185" s="67"/>
      <c r="EK5185" s="94"/>
      <c r="EL5185" s="94"/>
      <c r="EM5185" s="67"/>
      <c r="EN5185" s="67"/>
      <c r="EO5185" s="67"/>
      <c r="EP5185" s="67"/>
      <c r="EQ5185" s="67"/>
      <c r="ER5185" s="67"/>
      <c r="ES5185" s="67"/>
      <c r="ET5185" s="67"/>
      <c r="EU5185" s="67"/>
      <c r="EV5185" s="67"/>
      <c r="EW5185" s="67"/>
      <c r="EX5185" s="67"/>
      <c r="EY5185" s="67"/>
      <c r="EZ5185" s="67"/>
      <c r="FA5185" s="67"/>
      <c r="FB5185" s="67"/>
      <c r="FC5185" s="67"/>
      <c r="FD5185" s="67"/>
      <c r="FE5185" s="67"/>
      <c r="FF5185" s="67"/>
      <c r="FG5185" s="67"/>
      <c r="FH5185" s="67"/>
      <c r="FI5185" s="67"/>
      <c r="FJ5185" s="67"/>
      <c r="FK5185" s="67"/>
      <c r="FL5185" s="67"/>
      <c r="FM5185" s="67"/>
      <c r="FN5185" s="67"/>
      <c r="FO5185" s="67"/>
      <c r="FP5185" s="67"/>
      <c r="FQ5185" s="67"/>
      <c r="FR5185" s="67"/>
      <c r="FS5185" s="67"/>
      <c r="FT5185" s="67"/>
      <c r="FU5185" s="67"/>
      <c r="FV5185" s="67"/>
      <c r="FW5185" s="67"/>
      <c r="FX5185" s="67"/>
      <c r="FY5185" s="67"/>
      <c r="FZ5185" s="67"/>
      <c r="GA5185" s="67"/>
      <c r="GB5185" s="67"/>
      <c r="GC5185" s="67"/>
      <c r="GD5185" s="67"/>
      <c r="GE5185" s="67"/>
      <c r="GF5185" s="67"/>
      <c r="GG5185" s="67"/>
      <c r="GH5185" s="67"/>
      <c r="GI5185" s="67"/>
      <c r="GJ5185" s="67"/>
      <c r="GK5185" s="67"/>
      <c r="GL5185" s="67"/>
      <c r="GM5185" s="67"/>
      <c r="GN5185" s="292"/>
      <c r="GO5185" s="292"/>
      <c r="GP5185" s="292" t="s">
        <v>7494</v>
      </c>
      <c r="GQ5185" s="67"/>
      <c r="GR5185" s="67"/>
      <c r="GS5185" s="67"/>
      <c r="GT5185" s="67"/>
      <c r="GU5185" s="67"/>
      <c r="GV5185" s="67"/>
      <c r="GW5185" s="67"/>
      <c r="GX5185" s="67"/>
      <c r="GY5185" s="67"/>
      <c r="GZ5185" s="67"/>
      <c r="HA5185" s="67"/>
      <c r="HB5185" s="67"/>
      <c r="HC5185" s="67"/>
      <c r="HD5185" s="67"/>
      <c r="HE5185" s="67"/>
      <c r="HF5185" s="67"/>
      <c r="HG5185" s="67"/>
      <c r="HH5185" s="67"/>
      <c r="HI5185" s="67"/>
      <c r="HJ5185" s="67"/>
      <c r="HK5185" s="67"/>
      <c r="HL5185" s="67"/>
      <c r="HM5185" s="67"/>
      <c r="HN5185" s="67"/>
      <c r="HO5185" s="67"/>
      <c r="HP5185" s="67"/>
      <c r="HQ5185" s="67"/>
      <c r="HR5185" s="67"/>
      <c r="HS5185" s="67"/>
      <c r="HT5185" s="67"/>
      <c r="HU5185" s="67"/>
      <c r="HV5185" s="67"/>
      <c r="HW5185" s="67"/>
      <c r="HX5185" s="67"/>
      <c r="HY5185" s="67"/>
      <c r="HZ5185" s="67"/>
      <c r="IA5185" s="67"/>
      <c r="IB5185" s="67"/>
      <c r="IC5185" s="67"/>
      <c r="ID5185" s="67"/>
      <c r="IE5185" s="67"/>
      <c r="IF5185" s="67"/>
      <c r="IG5185" s="67"/>
      <c r="IH5185" s="67"/>
      <c r="II5185" s="67"/>
      <c r="IJ5185" s="67"/>
      <c r="IK5185" s="67"/>
      <c r="IL5185" s="67"/>
      <c r="IM5185" s="67"/>
      <c r="IN5185" s="67"/>
      <c r="IO5185" s="67"/>
      <c r="IP5185" s="67"/>
      <c r="IQ5185" s="67"/>
      <c r="IR5185" s="67"/>
      <c r="IS5185" s="67"/>
      <c r="IT5185" s="67"/>
      <c r="IU5185" s="67"/>
      <c r="IV5185" s="67"/>
      <c r="IW5185" s="67"/>
      <c r="IX5185" s="67"/>
      <c r="IY5185" s="67"/>
      <c r="IZ5185" s="67"/>
      <c r="JA5185" s="67"/>
      <c r="JB5185" s="67"/>
      <c r="JC5185" s="67"/>
      <c r="JD5185" s="67"/>
      <c r="JE5185" s="67"/>
      <c r="JF5185" s="67"/>
      <c r="JG5185" s="67"/>
      <c r="JH5185" s="67"/>
      <c r="JI5185" s="67"/>
      <c r="JJ5185" s="67"/>
      <c r="JK5185" s="67"/>
      <c r="JL5185" s="67"/>
      <c r="JM5185" s="67"/>
      <c r="JN5185" s="67"/>
      <c r="JO5185" s="67"/>
      <c r="JP5185" s="67"/>
      <c r="JQ5185" s="67"/>
      <c r="JR5185" s="67"/>
      <c r="JS5185" s="67"/>
      <c r="JT5185" s="67"/>
      <c r="JU5185" s="58"/>
      <c r="JV5185" s="58"/>
      <c r="JW5185" s="58"/>
    </row>
    <row r="5186" spans="1:283" s="23" customFormat="1" x14ac:dyDescent="0.25">
      <c r="A5186" s="55">
        <v>5185</v>
      </c>
      <c r="B5186" s="12" t="s">
        <v>7067</v>
      </c>
      <c r="C5186" s="156">
        <v>275</v>
      </c>
      <c r="D5186" s="58" t="s">
        <v>5045</v>
      </c>
      <c r="E5186" s="160" t="str">
        <f>G5186</f>
        <v>Teasdale et al. 2007_total horizon_pair 3</v>
      </c>
      <c r="F5186" s="160"/>
      <c r="G5186" s="60" t="s">
        <v>4683</v>
      </c>
      <c r="H5186" s="58">
        <v>2007</v>
      </c>
      <c r="I5186" s="58" t="s">
        <v>2847</v>
      </c>
      <c r="J5186" s="243" t="s">
        <v>282</v>
      </c>
      <c r="K5186" s="63" t="s">
        <v>5071</v>
      </c>
      <c r="L5186" s="58" t="s">
        <v>2737</v>
      </c>
      <c r="M5186" s="94">
        <v>39.03</v>
      </c>
      <c r="N5186" s="94">
        <v>-76.91</v>
      </c>
      <c r="O5186" s="94">
        <v>37</v>
      </c>
      <c r="P5186" s="58"/>
      <c r="Q5186" s="244">
        <v>12.800000000000002</v>
      </c>
      <c r="R5186" s="58"/>
      <c r="S5186" s="245">
        <v>1110</v>
      </c>
      <c r="T5186" s="58"/>
      <c r="U5186" s="58" t="s">
        <v>1816</v>
      </c>
      <c r="V5186" s="244">
        <v>9</v>
      </c>
      <c r="W5186" s="174"/>
      <c r="X5186" s="174"/>
      <c r="Y5186" s="58" t="s">
        <v>5471</v>
      </c>
      <c r="Z5186" s="244" t="s">
        <v>1347</v>
      </c>
      <c r="AA5186" s="245">
        <v>10</v>
      </c>
      <c r="AB5186" s="67"/>
      <c r="AC5186" s="67"/>
      <c r="AD5186" s="94"/>
      <c r="AE5186" s="94"/>
      <c r="AF5186" s="94"/>
      <c r="AG5186" s="245"/>
      <c r="AH5186" s="58" t="s">
        <v>139</v>
      </c>
      <c r="AI5186" s="169"/>
      <c r="AJ5186" s="94"/>
      <c r="AK5186" s="94"/>
      <c r="AL5186" s="58"/>
      <c r="AM5186" s="58" t="s">
        <v>1291</v>
      </c>
      <c r="AN5186" s="186"/>
      <c r="AO5186" s="185" t="s">
        <v>7494</v>
      </c>
      <c r="AP5186" s="58"/>
      <c r="AQ5186" s="58"/>
      <c r="AR5186" s="58" t="s">
        <v>132</v>
      </c>
      <c r="AS5186" s="58" t="s">
        <v>132</v>
      </c>
      <c r="AT5186" s="247">
        <v>0</v>
      </c>
      <c r="AU5186" s="181" t="s">
        <v>7494</v>
      </c>
      <c r="AV5186" s="185" t="s">
        <v>176</v>
      </c>
      <c r="AW5186" s="244">
        <v>1</v>
      </c>
      <c r="AX5186" s="185" t="s">
        <v>176</v>
      </c>
      <c r="AY5186" s="244" t="s">
        <v>5150</v>
      </c>
      <c r="AZ5186" s="58"/>
      <c r="BA5186" s="58"/>
      <c r="BB5186" s="58"/>
      <c r="BC5186" s="58"/>
      <c r="BD5186" s="58"/>
      <c r="BE5186" s="236" t="s">
        <v>5222</v>
      </c>
      <c r="BF5186" s="191" t="s">
        <v>479</v>
      </c>
      <c r="BG5186" s="191" t="s">
        <v>479</v>
      </c>
      <c r="BH5186" s="236" t="s">
        <v>5292</v>
      </c>
      <c r="BI5186" s="191" t="s">
        <v>479</v>
      </c>
      <c r="BJ5186" s="58" t="str">
        <f>IF(BE5186=BH5186,"No","yes")</f>
        <v>yes</v>
      </c>
      <c r="BK5186" s="58" t="s">
        <v>6335</v>
      </c>
      <c r="BL5186" s="58"/>
      <c r="BM5186" s="237"/>
      <c r="BN5186" s="244">
        <v>8</v>
      </c>
      <c r="BO5186" s="244">
        <v>8</v>
      </c>
      <c r="BP5186" s="58"/>
      <c r="BQ5186" s="58"/>
      <c r="BR5186" s="58"/>
      <c r="BS5186" s="58"/>
      <c r="BT5186" s="58"/>
      <c r="BU5186" s="58"/>
      <c r="BV5186" s="58"/>
      <c r="BW5186" s="67"/>
      <c r="BX5186" s="67"/>
      <c r="BY5186" s="67"/>
      <c r="BZ5186" s="67"/>
      <c r="CA5186" s="67"/>
      <c r="CB5186" s="70">
        <v>2780</v>
      </c>
      <c r="CC5186" s="70">
        <v>2190</v>
      </c>
      <c r="CD5186" s="70"/>
      <c r="CE5186" s="67"/>
      <c r="CF5186" s="67"/>
      <c r="CG5186" s="67"/>
      <c r="CH5186" s="245"/>
      <c r="CI5186" s="245"/>
      <c r="CJ5186" s="67"/>
      <c r="CK5186" s="67"/>
      <c r="CL5186" s="67"/>
      <c r="CM5186" s="242"/>
      <c r="CN5186" s="242"/>
      <c r="CO5186" s="242"/>
      <c r="CP5186" s="242"/>
      <c r="CQ5186" s="242"/>
      <c r="CR5186" s="242"/>
      <c r="CS5186" s="242"/>
      <c r="CT5186" s="242"/>
      <c r="CU5186" s="242"/>
      <c r="CV5186" s="242"/>
      <c r="CW5186" s="242"/>
      <c r="CX5186" s="242"/>
      <c r="CY5186" s="242"/>
      <c r="CZ5186" s="242"/>
      <c r="DA5186" s="67"/>
      <c r="DB5186" s="67"/>
      <c r="DC5186" s="67"/>
      <c r="DD5186" s="67"/>
      <c r="DE5186" s="67"/>
      <c r="DF5186" s="67"/>
      <c r="DG5186" s="67"/>
      <c r="DH5186" s="67"/>
      <c r="DI5186" s="67"/>
      <c r="DJ5186" s="67"/>
      <c r="DK5186" s="67"/>
      <c r="DL5186" s="67"/>
      <c r="DM5186" s="67"/>
      <c r="DN5186" s="67"/>
      <c r="DO5186" s="67"/>
      <c r="DP5186" s="67"/>
      <c r="DQ5186" s="166"/>
      <c r="DR5186" s="166"/>
      <c r="DS5186" s="163"/>
      <c r="DT5186" s="163"/>
      <c r="DU5186" s="67"/>
      <c r="DV5186" s="67"/>
      <c r="DW5186" s="67"/>
      <c r="DX5186" s="67"/>
      <c r="DY5186" s="67"/>
      <c r="DZ5186" s="67"/>
      <c r="EA5186" s="67"/>
      <c r="EB5186" s="67"/>
      <c r="EC5186" s="67"/>
      <c r="ED5186" s="67"/>
      <c r="EE5186" s="67"/>
      <c r="EF5186" s="67"/>
      <c r="EG5186" s="67"/>
      <c r="EH5186" s="67"/>
      <c r="EI5186" s="67"/>
      <c r="EJ5186" s="67"/>
      <c r="EK5186" s="94"/>
      <c r="EL5186" s="94"/>
      <c r="EM5186" s="67"/>
      <c r="EN5186" s="67"/>
      <c r="EO5186" s="67"/>
      <c r="EP5186" s="67"/>
      <c r="EQ5186" s="67"/>
      <c r="ER5186" s="67"/>
      <c r="ES5186" s="67"/>
      <c r="ET5186" s="67"/>
      <c r="EU5186" s="67"/>
      <c r="EV5186" s="67"/>
      <c r="EW5186" s="67"/>
      <c r="EX5186" s="67"/>
      <c r="EY5186" s="67"/>
      <c r="EZ5186" s="67"/>
      <c r="FA5186" s="67"/>
      <c r="FB5186" s="67"/>
      <c r="FC5186" s="67"/>
      <c r="FD5186" s="67"/>
      <c r="FE5186" s="67"/>
      <c r="FF5186" s="67"/>
      <c r="FG5186" s="67"/>
      <c r="FH5186" s="67"/>
      <c r="FI5186" s="67"/>
      <c r="FJ5186" s="67"/>
      <c r="FK5186" s="67"/>
      <c r="FL5186" s="67"/>
      <c r="FM5186" s="67"/>
      <c r="FN5186" s="67"/>
      <c r="FO5186" s="67"/>
      <c r="FP5186" s="67"/>
      <c r="FQ5186" s="67"/>
      <c r="FR5186" s="67"/>
      <c r="FS5186" s="67"/>
      <c r="FT5186" s="67"/>
      <c r="FU5186" s="67"/>
      <c r="FV5186" s="67"/>
      <c r="FW5186" s="67"/>
      <c r="FX5186" s="67"/>
      <c r="FY5186" s="67"/>
      <c r="FZ5186" s="67"/>
      <c r="GA5186" s="67"/>
      <c r="GB5186" s="67"/>
      <c r="GC5186" s="67"/>
      <c r="GD5186" s="67"/>
      <c r="GE5186" s="67"/>
      <c r="GF5186" s="67"/>
      <c r="GG5186" s="67"/>
      <c r="GH5186" s="67"/>
      <c r="GI5186" s="67"/>
      <c r="GJ5186" s="67"/>
      <c r="GK5186" s="67"/>
      <c r="GL5186" s="67"/>
      <c r="GM5186" s="67"/>
      <c r="GN5186" s="292"/>
      <c r="GO5186" s="292"/>
      <c r="GP5186" s="292" t="s">
        <v>7494</v>
      </c>
      <c r="GQ5186" s="67"/>
      <c r="GR5186" s="67"/>
      <c r="GS5186" s="67"/>
      <c r="GT5186" s="67"/>
      <c r="GU5186" s="67"/>
      <c r="GV5186" s="67"/>
      <c r="GW5186" s="67"/>
      <c r="GX5186" s="67"/>
      <c r="GY5186" s="67"/>
      <c r="GZ5186" s="67"/>
      <c r="HA5186" s="67"/>
      <c r="HB5186" s="67"/>
      <c r="HC5186" s="67"/>
      <c r="HD5186" s="67"/>
      <c r="HE5186" s="67"/>
      <c r="HF5186" s="67"/>
      <c r="HG5186" s="67"/>
      <c r="HH5186" s="67"/>
      <c r="HI5186" s="67"/>
      <c r="HJ5186" s="67"/>
      <c r="HK5186" s="67"/>
      <c r="HL5186" s="67"/>
      <c r="HM5186" s="67"/>
      <c r="HN5186" s="67"/>
      <c r="HO5186" s="67"/>
      <c r="HP5186" s="67"/>
      <c r="HQ5186" s="67"/>
      <c r="HR5186" s="67"/>
      <c r="HS5186" s="67"/>
      <c r="HT5186" s="67"/>
      <c r="HU5186" s="67"/>
      <c r="HV5186" s="67"/>
      <c r="HW5186" s="67"/>
      <c r="HX5186" s="67"/>
      <c r="HY5186" s="67"/>
      <c r="HZ5186" s="67"/>
      <c r="IA5186" s="67"/>
      <c r="IB5186" s="67"/>
      <c r="IC5186" s="67"/>
      <c r="ID5186" s="67"/>
      <c r="IE5186" s="67"/>
      <c r="IF5186" s="67"/>
      <c r="IG5186" s="67"/>
      <c r="IH5186" s="67"/>
      <c r="II5186" s="67"/>
      <c r="IJ5186" s="67"/>
      <c r="IK5186" s="67"/>
      <c r="IL5186" s="67"/>
      <c r="IM5186" s="67"/>
      <c r="IN5186" s="67"/>
      <c r="IO5186" s="67"/>
      <c r="IP5186" s="67"/>
      <c r="IQ5186" s="67"/>
      <c r="IR5186" s="67"/>
      <c r="IS5186" s="67"/>
      <c r="IT5186" s="67"/>
      <c r="IU5186" s="67"/>
      <c r="IV5186" s="67"/>
      <c r="IW5186" s="67"/>
      <c r="IX5186" s="67"/>
      <c r="IY5186" s="67"/>
      <c r="IZ5186" s="67"/>
      <c r="JA5186" s="67"/>
      <c r="JB5186" s="67"/>
      <c r="JC5186" s="67"/>
      <c r="JD5186" s="67"/>
      <c r="JE5186" s="67"/>
      <c r="JF5186" s="67"/>
      <c r="JG5186" s="67"/>
      <c r="JH5186" s="67"/>
      <c r="JI5186" s="67"/>
      <c r="JJ5186" s="67"/>
      <c r="JK5186" s="67"/>
      <c r="JL5186" s="67"/>
      <c r="JM5186" s="67"/>
      <c r="JN5186" s="67"/>
      <c r="JO5186" s="67"/>
      <c r="JP5186" s="67"/>
      <c r="JQ5186" s="67"/>
      <c r="JR5186" s="67"/>
      <c r="JS5186" s="67"/>
      <c r="JT5186" s="67"/>
      <c r="JU5186" s="58"/>
      <c r="JV5186" s="58"/>
      <c r="JW5186" s="58"/>
    </row>
    <row r="5187" spans="1:283" s="23" customFormat="1" x14ac:dyDescent="0.25">
      <c r="A5187" s="55">
        <v>5186</v>
      </c>
      <c r="B5187" s="12" t="s">
        <v>7067</v>
      </c>
      <c r="C5187" s="156">
        <v>275</v>
      </c>
      <c r="D5187" s="58" t="s">
        <v>5045</v>
      </c>
      <c r="E5187" s="160" t="str">
        <f>G5187</f>
        <v>Teasdale et al. 2007_total horizon_pair 3</v>
      </c>
      <c r="F5187" s="160"/>
      <c r="G5187" s="60" t="s">
        <v>4683</v>
      </c>
      <c r="H5187" s="58">
        <v>2007</v>
      </c>
      <c r="I5187" s="58" t="s">
        <v>2847</v>
      </c>
      <c r="J5187" s="243" t="s">
        <v>282</v>
      </c>
      <c r="K5187" s="63" t="s">
        <v>5071</v>
      </c>
      <c r="L5187" s="58" t="s">
        <v>2737</v>
      </c>
      <c r="M5187" s="94">
        <v>39.03</v>
      </c>
      <c r="N5187" s="94">
        <v>-76.91</v>
      </c>
      <c r="O5187" s="94">
        <v>37</v>
      </c>
      <c r="P5187" s="58"/>
      <c r="Q5187" s="244">
        <v>12.800000000000002</v>
      </c>
      <c r="R5187" s="58"/>
      <c r="S5187" s="245">
        <v>1110</v>
      </c>
      <c r="T5187" s="58"/>
      <c r="U5187" s="58" t="s">
        <v>1816</v>
      </c>
      <c r="V5187" s="244">
        <v>9</v>
      </c>
      <c r="W5187" s="174"/>
      <c r="X5187" s="174"/>
      <c r="Y5187" s="58" t="s">
        <v>5471</v>
      </c>
      <c r="Z5187" s="244" t="s">
        <v>1347</v>
      </c>
      <c r="AA5187" s="245">
        <v>10</v>
      </c>
      <c r="AB5187" s="67"/>
      <c r="AC5187" s="67"/>
      <c r="AD5187" s="94"/>
      <c r="AE5187" s="94"/>
      <c r="AF5187" s="94"/>
      <c r="AG5187" s="245"/>
      <c r="AH5187" s="58" t="s">
        <v>139</v>
      </c>
      <c r="AI5187" s="169"/>
      <c r="AJ5187" s="94"/>
      <c r="AK5187" s="94"/>
      <c r="AL5187" s="58"/>
      <c r="AM5187" s="58" t="s">
        <v>1291</v>
      </c>
      <c r="AN5187" s="186"/>
      <c r="AO5187" s="185" t="s">
        <v>7494</v>
      </c>
      <c r="AP5187" s="58"/>
      <c r="AQ5187" s="58"/>
      <c r="AR5187" s="58" t="s">
        <v>116</v>
      </c>
      <c r="AS5187" s="58" t="s">
        <v>116</v>
      </c>
      <c r="AT5187" s="247">
        <v>0</v>
      </c>
      <c r="AU5187" s="181" t="s">
        <v>7494</v>
      </c>
      <c r="AV5187" s="185" t="s">
        <v>176</v>
      </c>
      <c r="AW5187" s="244">
        <v>1</v>
      </c>
      <c r="AX5187" s="185" t="s">
        <v>176</v>
      </c>
      <c r="AY5187" s="244" t="s">
        <v>5150</v>
      </c>
      <c r="AZ5187" s="58"/>
      <c r="BA5187" s="58"/>
      <c r="BB5187" s="58"/>
      <c r="BC5187" s="58"/>
      <c r="BD5187" s="58"/>
      <c r="BE5187" s="236" t="s">
        <v>5222</v>
      </c>
      <c r="BF5187" s="191" t="s">
        <v>479</v>
      </c>
      <c r="BG5187" s="191" t="s">
        <v>479</v>
      </c>
      <c r="BH5187" s="236" t="s">
        <v>5292</v>
      </c>
      <c r="BI5187" s="191" t="s">
        <v>479</v>
      </c>
      <c r="BJ5187" s="58" t="str">
        <f>IF(BE5187=BH5187,"No","yes")</f>
        <v>yes</v>
      </c>
      <c r="BK5187" s="58" t="s">
        <v>6335</v>
      </c>
      <c r="BL5187" s="58"/>
      <c r="BM5187" s="237"/>
      <c r="BN5187" s="244">
        <v>8</v>
      </c>
      <c r="BO5187" s="244">
        <v>8</v>
      </c>
      <c r="BP5187" s="58"/>
      <c r="BQ5187" s="58"/>
      <c r="BR5187" s="58"/>
      <c r="BS5187" s="58"/>
      <c r="BT5187" s="58"/>
      <c r="BU5187" s="58"/>
      <c r="BV5187" s="58"/>
      <c r="BW5187" s="67"/>
      <c r="BX5187" s="67"/>
      <c r="BY5187" s="67"/>
      <c r="BZ5187" s="67"/>
      <c r="CA5187" s="67"/>
      <c r="CB5187" s="70">
        <v>2540</v>
      </c>
      <c r="CC5187" s="70">
        <v>3370</v>
      </c>
      <c r="CD5187" s="70"/>
      <c r="CE5187" s="67"/>
      <c r="CF5187" s="67"/>
      <c r="CG5187" s="67"/>
      <c r="CH5187" s="245"/>
      <c r="CI5187" s="245"/>
      <c r="CJ5187" s="67"/>
      <c r="CK5187" s="67"/>
      <c r="CL5187" s="67"/>
      <c r="CM5187" s="242"/>
      <c r="CN5187" s="242"/>
      <c r="CO5187" s="242"/>
      <c r="CP5187" s="242"/>
      <c r="CQ5187" s="242"/>
      <c r="CR5187" s="242"/>
      <c r="CS5187" s="242"/>
      <c r="CT5187" s="242"/>
      <c r="CU5187" s="242"/>
      <c r="CV5187" s="242"/>
      <c r="CW5187" s="242"/>
      <c r="CX5187" s="242"/>
      <c r="CY5187" s="242"/>
      <c r="CZ5187" s="242"/>
      <c r="DA5187" s="67"/>
      <c r="DB5187" s="67"/>
      <c r="DC5187" s="67"/>
      <c r="DD5187" s="67"/>
      <c r="DE5187" s="67"/>
      <c r="DF5187" s="67"/>
      <c r="DG5187" s="67"/>
      <c r="DH5187" s="67"/>
      <c r="DI5187" s="67"/>
      <c r="DJ5187" s="67"/>
      <c r="DK5187" s="67"/>
      <c r="DL5187" s="67"/>
      <c r="DM5187" s="67"/>
      <c r="DN5187" s="67"/>
      <c r="DO5187" s="67"/>
      <c r="DP5187" s="67"/>
      <c r="DQ5187" s="166"/>
      <c r="DR5187" s="166"/>
      <c r="DS5187" s="163"/>
      <c r="DT5187" s="163"/>
      <c r="DU5187" s="67"/>
      <c r="DV5187" s="67"/>
      <c r="DW5187" s="67"/>
      <c r="DX5187" s="67"/>
      <c r="DY5187" s="67"/>
      <c r="DZ5187" s="67"/>
      <c r="EA5187" s="67"/>
      <c r="EB5187" s="67"/>
      <c r="EC5187" s="67"/>
      <c r="ED5187" s="67"/>
      <c r="EE5187" s="67"/>
      <c r="EF5187" s="67"/>
      <c r="EG5187" s="67"/>
      <c r="EH5187" s="67"/>
      <c r="EI5187" s="67"/>
      <c r="EJ5187" s="67"/>
      <c r="EK5187" s="94"/>
      <c r="EL5187" s="94"/>
      <c r="EM5187" s="67"/>
      <c r="EN5187" s="67"/>
      <c r="EO5187" s="67"/>
      <c r="EP5187" s="67"/>
      <c r="EQ5187" s="67"/>
      <c r="ER5187" s="67"/>
      <c r="ES5187" s="67"/>
      <c r="ET5187" s="67"/>
      <c r="EU5187" s="67"/>
      <c r="EV5187" s="67"/>
      <c r="EW5187" s="67"/>
      <c r="EX5187" s="67"/>
      <c r="EY5187" s="67"/>
      <c r="EZ5187" s="67"/>
      <c r="FA5187" s="67"/>
      <c r="FB5187" s="67"/>
      <c r="FC5187" s="67"/>
      <c r="FD5187" s="67"/>
      <c r="FE5187" s="67"/>
      <c r="FF5187" s="67"/>
      <c r="FG5187" s="67"/>
      <c r="FH5187" s="67"/>
      <c r="FI5187" s="67"/>
      <c r="FJ5187" s="67"/>
      <c r="FK5187" s="67"/>
      <c r="FL5187" s="67"/>
      <c r="FM5187" s="67"/>
      <c r="FN5187" s="67"/>
      <c r="FO5187" s="67"/>
      <c r="FP5187" s="67"/>
      <c r="FQ5187" s="67"/>
      <c r="FR5187" s="67"/>
      <c r="FS5187" s="67"/>
      <c r="FT5187" s="67"/>
      <c r="FU5187" s="67"/>
      <c r="FV5187" s="67"/>
      <c r="FW5187" s="67"/>
      <c r="FX5187" s="67"/>
      <c r="FY5187" s="67"/>
      <c r="FZ5187" s="67"/>
      <c r="GA5187" s="67"/>
      <c r="GB5187" s="67"/>
      <c r="GC5187" s="67"/>
      <c r="GD5187" s="67"/>
      <c r="GE5187" s="67"/>
      <c r="GF5187" s="67"/>
      <c r="GG5187" s="67"/>
      <c r="GH5187" s="67"/>
      <c r="GI5187" s="67"/>
      <c r="GJ5187" s="67"/>
      <c r="GK5187" s="67"/>
      <c r="GL5187" s="67"/>
      <c r="GM5187" s="67"/>
      <c r="GN5187" s="292"/>
      <c r="GO5187" s="292"/>
      <c r="GP5187" s="292" t="s">
        <v>7494</v>
      </c>
      <c r="GQ5187" s="67"/>
      <c r="GR5187" s="67"/>
      <c r="GS5187" s="67"/>
      <c r="GT5187" s="67"/>
      <c r="GU5187" s="67"/>
      <c r="GV5187" s="67"/>
      <c r="GW5187" s="67"/>
      <c r="GX5187" s="67"/>
      <c r="GY5187" s="67"/>
      <c r="GZ5187" s="67"/>
      <c r="HA5187" s="67"/>
      <c r="HB5187" s="67"/>
      <c r="HC5187" s="67"/>
      <c r="HD5187" s="67"/>
      <c r="HE5187" s="67"/>
      <c r="HF5187" s="67"/>
      <c r="HG5187" s="67"/>
      <c r="HH5187" s="67"/>
      <c r="HI5187" s="67"/>
      <c r="HJ5187" s="67"/>
      <c r="HK5187" s="67"/>
      <c r="HL5187" s="67"/>
      <c r="HM5187" s="67"/>
      <c r="HN5187" s="67"/>
      <c r="HO5187" s="67"/>
      <c r="HP5187" s="67"/>
      <c r="HQ5187" s="67"/>
      <c r="HR5187" s="67"/>
      <c r="HS5187" s="67"/>
      <c r="HT5187" s="67"/>
      <c r="HU5187" s="67"/>
      <c r="HV5187" s="67"/>
      <c r="HW5187" s="67"/>
      <c r="HX5187" s="67"/>
      <c r="HY5187" s="67"/>
      <c r="HZ5187" s="67"/>
      <c r="IA5187" s="67"/>
      <c r="IB5187" s="67"/>
      <c r="IC5187" s="67"/>
      <c r="ID5187" s="67"/>
      <c r="IE5187" s="67"/>
      <c r="IF5187" s="67"/>
      <c r="IG5187" s="67"/>
      <c r="IH5187" s="67"/>
      <c r="II5187" s="67"/>
      <c r="IJ5187" s="67"/>
      <c r="IK5187" s="67"/>
      <c r="IL5187" s="67"/>
      <c r="IM5187" s="67"/>
      <c r="IN5187" s="67"/>
      <c r="IO5187" s="67"/>
      <c r="IP5187" s="67"/>
      <c r="IQ5187" s="67"/>
      <c r="IR5187" s="67"/>
      <c r="IS5187" s="67"/>
      <c r="IT5187" s="67"/>
      <c r="IU5187" s="67"/>
      <c r="IV5187" s="67"/>
      <c r="IW5187" s="67"/>
      <c r="IX5187" s="67"/>
      <c r="IY5187" s="67"/>
      <c r="IZ5187" s="67"/>
      <c r="JA5187" s="67"/>
      <c r="JB5187" s="67"/>
      <c r="JC5187" s="67"/>
      <c r="JD5187" s="67"/>
      <c r="JE5187" s="67"/>
      <c r="JF5187" s="67"/>
      <c r="JG5187" s="67"/>
      <c r="JH5187" s="67"/>
      <c r="JI5187" s="67"/>
      <c r="JJ5187" s="67"/>
      <c r="JK5187" s="67"/>
      <c r="JL5187" s="67"/>
      <c r="JM5187" s="67"/>
      <c r="JN5187" s="67"/>
      <c r="JO5187" s="67"/>
      <c r="JP5187" s="67"/>
      <c r="JQ5187" s="67"/>
      <c r="JR5187" s="67"/>
      <c r="JS5187" s="67"/>
      <c r="JT5187" s="67"/>
      <c r="JU5187" s="58"/>
      <c r="JV5187" s="58"/>
      <c r="JW5187" s="58"/>
    </row>
    <row r="5188" spans="1:283" s="23" customFormat="1" x14ac:dyDescent="0.25">
      <c r="A5188" s="55">
        <v>5187</v>
      </c>
      <c r="B5188" s="12" t="s">
        <v>7067</v>
      </c>
      <c r="C5188" s="156">
        <v>275</v>
      </c>
      <c r="D5188" s="58" t="s">
        <v>5045</v>
      </c>
      <c r="E5188" s="160" t="str">
        <f>G5188</f>
        <v>Teasdale et al. 2007_total horizon_pair 3</v>
      </c>
      <c r="F5188" s="160"/>
      <c r="G5188" s="60" t="s">
        <v>4683</v>
      </c>
      <c r="H5188" s="58">
        <v>2007</v>
      </c>
      <c r="I5188" s="58" t="s">
        <v>2847</v>
      </c>
      <c r="J5188" s="243" t="s">
        <v>282</v>
      </c>
      <c r="K5188" s="63" t="s">
        <v>5071</v>
      </c>
      <c r="L5188" s="58" t="s">
        <v>2737</v>
      </c>
      <c r="M5188" s="94">
        <v>39.03</v>
      </c>
      <c r="N5188" s="94">
        <v>-76.91</v>
      </c>
      <c r="O5188" s="94">
        <v>37</v>
      </c>
      <c r="P5188" s="58"/>
      <c r="Q5188" s="244">
        <v>12.800000000000002</v>
      </c>
      <c r="R5188" s="58"/>
      <c r="S5188" s="245">
        <v>1110</v>
      </c>
      <c r="T5188" s="58"/>
      <c r="U5188" s="58" t="s">
        <v>1816</v>
      </c>
      <c r="V5188" s="244">
        <v>9</v>
      </c>
      <c r="W5188" s="174"/>
      <c r="X5188" s="174"/>
      <c r="Y5188" s="58" t="s">
        <v>5471</v>
      </c>
      <c r="Z5188" s="244" t="s">
        <v>1347</v>
      </c>
      <c r="AA5188" s="245">
        <v>10</v>
      </c>
      <c r="AB5188" s="67"/>
      <c r="AC5188" s="67"/>
      <c r="AD5188" s="94"/>
      <c r="AE5188" s="94"/>
      <c r="AF5188" s="94"/>
      <c r="AG5188" s="245"/>
      <c r="AH5188" s="58" t="s">
        <v>139</v>
      </c>
      <c r="AI5188" s="169"/>
      <c r="AJ5188" s="94"/>
      <c r="AK5188" s="94"/>
      <c r="AL5188" s="58"/>
      <c r="AM5188" s="58" t="s">
        <v>1291</v>
      </c>
      <c r="AN5188" s="186"/>
      <c r="AO5188" s="185" t="s">
        <v>7494</v>
      </c>
      <c r="AP5188" s="58"/>
      <c r="AQ5188" s="58"/>
      <c r="AR5188" s="58" t="s">
        <v>116</v>
      </c>
      <c r="AS5188" s="58" t="s">
        <v>116</v>
      </c>
      <c r="AT5188" s="247">
        <v>0</v>
      </c>
      <c r="AU5188" s="181" t="s">
        <v>7494</v>
      </c>
      <c r="AV5188" s="185" t="s">
        <v>176</v>
      </c>
      <c r="AW5188" s="244">
        <v>1</v>
      </c>
      <c r="AX5188" s="185" t="s">
        <v>176</v>
      </c>
      <c r="AY5188" s="244" t="s">
        <v>5150</v>
      </c>
      <c r="AZ5188" s="58"/>
      <c r="BA5188" s="58"/>
      <c r="BB5188" s="58"/>
      <c r="BC5188" s="58"/>
      <c r="BD5188" s="58"/>
      <c r="BE5188" s="236" t="s">
        <v>5222</v>
      </c>
      <c r="BF5188" s="191" t="s">
        <v>479</v>
      </c>
      <c r="BG5188" s="191" t="s">
        <v>479</v>
      </c>
      <c r="BH5188" s="236" t="s">
        <v>5292</v>
      </c>
      <c r="BI5188" s="191" t="s">
        <v>479</v>
      </c>
      <c r="BJ5188" s="58" t="str">
        <f>IF(BE5188=BH5188,"No","yes")</f>
        <v>yes</v>
      </c>
      <c r="BK5188" s="58" t="s">
        <v>6335</v>
      </c>
      <c r="BL5188" s="58"/>
      <c r="BM5188" s="237"/>
      <c r="BN5188" s="244">
        <v>8</v>
      </c>
      <c r="BO5188" s="244">
        <v>8</v>
      </c>
      <c r="BP5188" s="58"/>
      <c r="BQ5188" s="58"/>
      <c r="BR5188" s="58"/>
      <c r="BS5188" s="58"/>
      <c r="BT5188" s="58"/>
      <c r="BU5188" s="58"/>
      <c r="BV5188" s="58"/>
      <c r="BW5188" s="67"/>
      <c r="BX5188" s="67"/>
      <c r="BY5188" s="67"/>
      <c r="BZ5188" s="67"/>
      <c r="CA5188" s="67"/>
      <c r="CB5188" s="70">
        <v>2540</v>
      </c>
      <c r="CC5188" s="70">
        <v>2640</v>
      </c>
      <c r="CD5188" s="70"/>
      <c r="CE5188" s="67"/>
      <c r="CF5188" s="67"/>
      <c r="CG5188" s="67"/>
      <c r="CH5188" s="245"/>
      <c r="CI5188" s="245"/>
      <c r="CJ5188" s="67"/>
      <c r="CK5188" s="67"/>
      <c r="CL5188" s="67"/>
      <c r="CM5188" s="242"/>
      <c r="CN5188" s="242"/>
      <c r="CO5188" s="242"/>
      <c r="CP5188" s="242"/>
      <c r="CQ5188" s="242"/>
      <c r="CR5188" s="242"/>
      <c r="CS5188" s="242"/>
      <c r="CT5188" s="242"/>
      <c r="CU5188" s="242"/>
      <c r="CV5188" s="242"/>
      <c r="CW5188" s="242"/>
      <c r="CX5188" s="242"/>
      <c r="CY5188" s="242"/>
      <c r="CZ5188" s="242"/>
      <c r="DA5188" s="67"/>
      <c r="DB5188" s="67"/>
      <c r="DC5188" s="67"/>
      <c r="DD5188" s="67"/>
      <c r="DE5188" s="67"/>
      <c r="DF5188" s="67"/>
      <c r="DG5188" s="67"/>
      <c r="DH5188" s="67"/>
      <c r="DI5188" s="67"/>
      <c r="DJ5188" s="67"/>
      <c r="DK5188" s="67"/>
      <c r="DL5188" s="67"/>
      <c r="DM5188" s="67"/>
      <c r="DN5188" s="67"/>
      <c r="DO5188" s="67"/>
      <c r="DP5188" s="67"/>
      <c r="DQ5188" s="166"/>
      <c r="DR5188" s="166"/>
      <c r="DS5188" s="163"/>
      <c r="DT5188" s="163"/>
      <c r="DU5188" s="67"/>
      <c r="DV5188" s="67"/>
      <c r="DW5188" s="67"/>
      <c r="DX5188" s="67"/>
      <c r="DY5188" s="67"/>
      <c r="DZ5188" s="67"/>
      <c r="EA5188" s="67"/>
      <c r="EB5188" s="67"/>
      <c r="EC5188" s="67"/>
      <c r="ED5188" s="67"/>
      <c r="EE5188" s="67"/>
      <c r="EF5188" s="67"/>
      <c r="EG5188" s="67"/>
      <c r="EH5188" s="67"/>
      <c r="EI5188" s="67"/>
      <c r="EJ5188" s="67"/>
      <c r="EK5188" s="94"/>
      <c r="EL5188" s="94"/>
      <c r="EM5188" s="67"/>
      <c r="EN5188" s="67"/>
      <c r="EO5188" s="67"/>
      <c r="EP5188" s="67"/>
      <c r="EQ5188" s="67"/>
      <c r="ER5188" s="67"/>
      <c r="ES5188" s="67"/>
      <c r="ET5188" s="67"/>
      <c r="EU5188" s="67"/>
      <c r="EV5188" s="67"/>
      <c r="EW5188" s="67"/>
      <c r="EX5188" s="67"/>
      <c r="EY5188" s="67"/>
      <c r="EZ5188" s="67"/>
      <c r="FA5188" s="67"/>
      <c r="FB5188" s="67"/>
      <c r="FC5188" s="67"/>
      <c r="FD5188" s="67"/>
      <c r="FE5188" s="67"/>
      <c r="FF5188" s="67"/>
      <c r="FG5188" s="67"/>
      <c r="FH5188" s="67"/>
      <c r="FI5188" s="67"/>
      <c r="FJ5188" s="67"/>
      <c r="FK5188" s="67"/>
      <c r="FL5188" s="67"/>
      <c r="FM5188" s="67"/>
      <c r="FN5188" s="67"/>
      <c r="FO5188" s="67"/>
      <c r="FP5188" s="67"/>
      <c r="FQ5188" s="67"/>
      <c r="FR5188" s="67"/>
      <c r="FS5188" s="67"/>
      <c r="FT5188" s="67"/>
      <c r="FU5188" s="67"/>
      <c r="FV5188" s="67"/>
      <c r="FW5188" s="67"/>
      <c r="FX5188" s="67"/>
      <c r="FY5188" s="67"/>
      <c r="FZ5188" s="67"/>
      <c r="GA5188" s="67"/>
      <c r="GB5188" s="67"/>
      <c r="GC5188" s="67"/>
      <c r="GD5188" s="67"/>
      <c r="GE5188" s="67"/>
      <c r="GF5188" s="67"/>
      <c r="GG5188" s="67"/>
      <c r="GH5188" s="67"/>
      <c r="GI5188" s="67"/>
      <c r="GJ5188" s="67"/>
      <c r="GK5188" s="67"/>
      <c r="GL5188" s="67"/>
      <c r="GM5188" s="67"/>
      <c r="GN5188" s="292"/>
      <c r="GO5188" s="292"/>
      <c r="GP5188" s="292" t="s">
        <v>7494</v>
      </c>
      <c r="GQ5188" s="67"/>
      <c r="GR5188" s="67"/>
      <c r="GS5188" s="67"/>
      <c r="GT5188" s="67"/>
      <c r="GU5188" s="67"/>
      <c r="GV5188" s="67"/>
      <c r="GW5188" s="67"/>
      <c r="GX5188" s="67"/>
      <c r="GY5188" s="67"/>
      <c r="GZ5188" s="67"/>
      <c r="HA5188" s="67"/>
      <c r="HB5188" s="67"/>
      <c r="HC5188" s="67"/>
      <c r="HD5188" s="67"/>
      <c r="HE5188" s="67"/>
      <c r="HF5188" s="67"/>
      <c r="HG5188" s="67"/>
      <c r="HH5188" s="67"/>
      <c r="HI5188" s="67"/>
      <c r="HJ5188" s="67"/>
      <c r="HK5188" s="67"/>
      <c r="HL5188" s="67"/>
      <c r="HM5188" s="67"/>
      <c r="HN5188" s="67"/>
      <c r="HO5188" s="67"/>
      <c r="HP5188" s="67"/>
      <c r="HQ5188" s="67"/>
      <c r="HR5188" s="67"/>
      <c r="HS5188" s="67"/>
      <c r="HT5188" s="67"/>
      <c r="HU5188" s="67"/>
      <c r="HV5188" s="67"/>
      <c r="HW5188" s="67"/>
      <c r="HX5188" s="67"/>
      <c r="HY5188" s="67"/>
      <c r="HZ5188" s="67"/>
      <c r="IA5188" s="67"/>
      <c r="IB5188" s="67"/>
      <c r="IC5188" s="67"/>
      <c r="ID5188" s="67"/>
      <c r="IE5188" s="67"/>
      <c r="IF5188" s="67"/>
      <c r="IG5188" s="67"/>
      <c r="IH5188" s="67"/>
      <c r="II5188" s="67"/>
      <c r="IJ5188" s="67"/>
      <c r="IK5188" s="67"/>
      <c r="IL5188" s="67"/>
      <c r="IM5188" s="67"/>
      <c r="IN5188" s="67"/>
      <c r="IO5188" s="67"/>
      <c r="IP5188" s="67"/>
      <c r="IQ5188" s="67"/>
      <c r="IR5188" s="67"/>
      <c r="IS5188" s="67"/>
      <c r="IT5188" s="67"/>
      <c r="IU5188" s="67"/>
      <c r="IV5188" s="67"/>
      <c r="IW5188" s="67"/>
      <c r="IX5188" s="67"/>
      <c r="IY5188" s="67"/>
      <c r="IZ5188" s="67"/>
      <c r="JA5188" s="67"/>
      <c r="JB5188" s="67"/>
      <c r="JC5188" s="67"/>
      <c r="JD5188" s="67"/>
      <c r="JE5188" s="67"/>
      <c r="JF5188" s="67"/>
      <c r="JG5188" s="67"/>
      <c r="JH5188" s="67"/>
      <c r="JI5188" s="67"/>
      <c r="JJ5188" s="67"/>
      <c r="JK5188" s="67"/>
      <c r="JL5188" s="67"/>
      <c r="JM5188" s="67"/>
      <c r="JN5188" s="67"/>
      <c r="JO5188" s="67"/>
      <c r="JP5188" s="67"/>
      <c r="JQ5188" s="67"/>
      <c r="JR5188" s="67"/>
      <c r="JS5188" s="67"/>
      <c r="JT5188" s="67"/>
      <c r="JU5188" s="58"/>
      <c r="JV5188" s="58"/>
      <c r="JW5188" s="58"/>
    </row>
    <row r="5189" spans="1:283" s="23" customFormat="1" x14ac:dyDescent="0.25">
      <c r="A5189" s="55">
        <v>5188</v>
      </c>
      <c r="B5189" s="12" t="s">
        <v>7067</v>
      </c>
      <c r="C5189" s="156">
        <v>275</v>
      </c>
      <c r="D5189" s="58" t="s">
        <v>5045</v>
      </c>
      <c r="E5189" s="160" t="str">
        <f>G5189</f>
        <v>Teasdale et al. 2007_total horizon_pair 3</v>
      </c>
      <c r="F5189" s="160"/>
      <c r="G5189" s="60" t="s">
        <v>4683</v>
      </c>
      <c r="H5189" s="58">
        <v>2007</v>
      </c>
      <c r="I5189" s="58" t="s">
        <v>5719</v>
      </c>
      <c r="J5189" s="243" t="s">
        <v>282</v>
      </c>
      <c r="K5189" s="63" t="s">
        <v>5071</v>
      </c>
      <c r="L5189" s="58" t="s">
        <v>2737</v>
      </c>
      <c r="M5189" s="94">
        <v>39.03</v>
      </c>
      <c r="N5189" s="94">
        <v>-76.91</v>
      </c>
      <c r="O5189" s="94">
        <v>37</v>
      </c>
      <c r="P5189" s="58"/>
      <c r="Q5189" s="244">
        <v>12.800000000000002</v>
      </c>
      <c r="R5189" s="58"/>
      <c r="S5189" s="245">
        <v>1110</v>
      </c>
      <c r="T5189" s="58"/>
      <c r="U5189" s="58" t="s">
        <v>1816</v>
      </c>
      <c r="V5189" s="244">
        <v>9</v>
      </c>
      <c r="W5189" s="174"/>
      <c r="X5189" s="174"/>
      <c r="Y5189" s="58" t="s">
        <v>5471</v>
      </c>
      <c r="Z5189" s="244" t="s">
        <v>1347</v>
      </c>
      <c r="AA5189" s="245">
        <v>10</v>
      </c>
      <c r="AB5189" s="67"/>
      <c r="AC5189" s="67"/>
      <c r="AD5189" s="94"/>
      <c r="AE5189" s="94"/>
      <c r="AF5189" s="94"/>
      <c r="AG5189" s="245"/>
      <c r="AH5189" s="58" t="s">
        <v>139</v>
      </c>
      <c r="AI5189" s="169"/>
      <c r="AJ5189" s="94"/>
      <c r="AK5189" s="94"/>
      <c r="AL5189" s="58"/>
      <c r="AM5189" s="58" t="s">
        <v>1291</v>
      </c>
      <c r="AN5189" s="186"/>
      <c r="AO5189" s="185" t="s">
        <v>7494</v>
      </c>
      <c r="AP5189" s="58"/>
      <c r="AQ5189" s="58"/>
      <c r="AR5189" s="58" t="s">
        <v>116</v>
      </c>
      <c r="AS5189" s="246" t="s">
        <v>116</v>
      </c>
      <c r="AT5189" s="247">
        <v>0</v>
      </c>
      <c r="AU5189" s="181" t="s">
        <v>7494</v>
      </c>
      <c r="AV5189" s="185" t="s">
        <v>176</v>
      </c>
      <c r="AW5189" s="244">
        <v>1</v>
      </c>
      <c r="AX5189" s="185" t="s">
        <v>176</v>
      </c>
      <c r="AY5189" s="244" t="s">
        <v>5150</v>
      </c>
      <c r="AZ5189" s="58"/>
      <c r="BA5189" s="58"/>
      <c r="BB5189" s="58"/>
      <c r="BC5189" s="58"/>
      <c r="BD5189" s="58"/>
      <c r="BE5189" s="236" t="s">
        <v>5222</v>
      </c>
      <c r="BF5189" s="191" t="s">
        <v>479</v>
      </c>
      <c r="BG5189" s="191" t="s">
        <v>479</v>
      </c>
      <c r="BH5189" s="236" t="s">
        <v>5292</v>
      </c>
      <c r="BI5189" s="191" t="s">
        <v>479</v>
      </c>
      <c r="BJ5189" s="58" t="str">
        <f>IF(BE5189=BH5189,"No","yes")</f>
        <v>yes</v>
      </c>
      <c r="BK5189" s="58" t="s">
        <v>6335</v>
      </c>
      <c r="BL5189" s="58"/>
      <c r="BM5189" s="237"/>
      <c r="BN5189" s="244">
        <v>8</v>
      </c>
      <c r="BO5189" s="244">
        <v>8</v>
      </c>
      <c r="BP5189" s="58"/>
      <c r="BQ5189" s="58"/>
      <c r="BR5189" s="58"/>
      <c r="BS5189" s="58"/>
      <c r="BT5189" s="58"/>
      <c r="BU5189" s="58"/>
      <c r="BV5189" s="58"/>
      <c r="BW5189" s="67"/>
      <c r="BX5189" s="67"/>
      <c r="BY5189" s="67"/>
      <c r="BZ5189" s="67"/>
      <c r="CA5189" s="67"/>
      <c r="CB5189" s="70">
        <v>4300</v>
      </c>
      <c r="CC5189" s="70">
        <v>3770</v>
      </c>
      <c r="CD5189" s="70"/>
      <c r="CE5189" s="67"/>
      <c r="CF5189" s="67"/>
      <c r="CG5189" s="67"/>
      <c r="CH5189" s="245"/>
      <c r="CI5189" s="245"/>
      <c r="CJ5189" s="67"/>
      <c r="CK5189" s="67"/>
      <c r="CL5189" s="67"/>
      <c r="CM5189" s="242"/>
      <c r="CN5189" s="242"/>
      <c r="CO5189" s="242"/>
      <c r="CP5189" s="242"/>
      <c r="CQ5189" s="242"/>
      <c r="CR5189" s="242"/>
      <c r="CS5189" s="242"/>
      <c r="CT5189" s="242"/>
      <c r="CU5189" s="242"/>
      <c r="CV5189" s="242"/>
      <c r="CW5189" s="242"/>
      <c r="CX5189" s="242"/>
      <c r="CY5189" s="242"/>
      <c r="CZ5189" s="242"/>
      <c r="DA5189" s="67"/>
      <c r="DB5189" s="67"/>
      <c r="DC5189" s="67"/>
      <c r="DD5189" s="67"/>
      <c r="DE5189" s="67"/>
      <c r="DF5189" s="67"/>
      <c r="DG5189" s="67"/>
      <c r="DH5189" s="67"/>
      <c r="DI5189" s="67"/>
      <c r="DJ5189" s="67"/>
      <c r="DK5189" s="67"/>
      <c r="DL5189" s="67"/>
      <c r="DM5189" s="67"/>
      <c r="DN5189" s="67"/>
      <c r="DO5189" s="67"/>
      <c r="DP5189" s="67"/>
      <c r="DQ5189" s="166"/>
      <c r="DR5189" s="166"/>
      <c r="DS5189" s="163"/>
      <c r="DT5189" s="163"/>
      <c r="DU5189" s="67"/>
      <c r="DV5189" s="67"/>
      <c r="DW5189" s="67"/>
      <c r="DX5189" s="67"/>
      <c r="DY5189" s="67"/>
      <c r="DZ5189" s="67"/>
      <c r="EA5189" s="67"/>
      <c r="EB5189" s="67"/>
      <c r="EC5189" s="67"/>
      <c r="ED5189" s="67"/>
      <c r="EE5189" s="67"/>
      <c r="EF5189" s="67"/>
      <c r="EG5189" s="67"/>
      <c r="EH5189" s="67"/>
      <c r="EI5189" s="67"/>
      <c r="EJ5189" s="67"/>
      <c r="EK5189" s="94"/>
      <c r="EL5189" s="94"/>
      <c r="EM5189" s="67"/>
      <c r="EN5189" s="67"/>
      <c r="EO5189" s="67"/>
      <c r="EP5189" s="67"/>
      <c r="EQ5189" s="67"/>
      <c r="ER5189" s="67"/>
      <c r="ES5189" s="67"/>
      <c r="ET5189" s="67"/>
      <c r="EU5189" s="67"/>
      <c r="EV5189" s="67"/>
      <c r="EW5189" s="67"/>
      <c r="EX5189" s="67"/>
      <c r="EY5189" s="67"/>
      <c r="EZ5189" s="67"/>
      <c r="FA5189" s="67"/>
      <c r="FB5189" s="67"/>
      <c r="FC5189" s="67"/>
      <c r="FD5189" s="67"/>
      <c r="FE5189" s="67"/>
      <c r="FF5189" s="67"/>
      <c r="FG5189" s="67"/>
      <c r="FH5189" s="67"/>
      <c r="FI5189" s="67"/>
      <c r="FJ5189" s="67"/>
      <c r="FK5189" s="67"/>
      <c r="FL5189" s="67"/>
      <c r="FM5189" s="67"/>
      <c r="FN5189" s="67"/>
      <c r="FO5189" s="67"/>
      <c r="FP5189" s="67"/>
      <c r="FQ5189" s="67"/>
      <c r="FR5189" s="67"/>
      <c r="FS5189" s="67"/>
      <c r="FT5189" s="67"/>
      <c r="FU5189" s="67"/>
      <c r="FV5189" s="67"/>
      <c r="FW5189" s="67"/>
      <c r="FX5189" s="67"/>
      <c r="FY5189" s="67"/>
      <c r="FZ5189" s="67"/>
      <c r="GA5189" s="67"/>
      <c r="GB5189" s="67"/>
      <c r="GC5189" s="67"/>
      <c r="GD5189" s="67"/>
      <c r="GE5189" s="67"/>
      <c r="GF5189" s="67"/>
      <c r="GG5189" s="67"/>
      <c r="GH5189" s="67"/>
      <c r="GI5189" s="67"/>
      <c r="GJ5189" s="67"/>
      <c r="GK5189" s="67"/>
      <c r="GL5189" s="67"/>
      <c r="GM5189" s="67"/>
      <c r="GN5189" s="292"/>
      <c r="GO5189" s="292"/>
      <c r="GP5189" s="292" t="s">
        <v>7494</v>
      </c>
      <c r="GQ5189" s="67"/>
      <c r="GR5189" s="67"/>
      <c r="GS5189" s="67"/>
      <c r="GT5189" s="67"/>
      <c r="GU5189" s="67"/>
      <c r="GV5189" s="67"/>
      <c r="GW5189" s="67"/>
      <c r="GX5189" s="67"/>
      <c r="GY5189" s="67"/>
      <c r="GZ5189" s="67"/>
      <c r="HA5189" s="67"/>
      <c r="HB5189" s="67"/>
      <c r="HC5189" s="67"/>
      <c r="HD5189" s="67"/>
      <c r="HE5189" s="67"/>
      <c r="HF5189" s="67"/>
      <c r="HG5189" s="67"/>
      <c r="HH5189" s="67"/>
      <c r="HI5189" s="67"/>
      <c r="HJ5189" s="67"/>
      <c r="HK5189" s="67"/>
      <c r="HL5189" s="67"/>
      <c r="HM5189" s="67"/>
      <c r="HN5189" s="67"/>
      <c r="HO5189" s="67"/>
      <c r="HP5189" s="67"/>
      <c r="HQ5189" s="67"/>
      <c r="HR5189" s="67"/>
      <c r="HS5189" s="67"/>
      <c r="HT5189" s="67"/>
      <c r="HU5189" s="67"/>
      <c r="HV5189" s="67"/>
      <c r="HW5189" s="67"/>
      <c r="HX5189" s="67"/>
      <c r="HY5189" s="67"/>
      <c r="HZ5189" s="67"/>
      <c r="IA5189" s="67"/>
      <c r="IB5189" s="67"/>
      <c r="IC5189" s="67"/>
      <c r="ID5189" s="67"/>
      <c r="IE5189" s="67"/>
      <c r="IF5189" s="67"/>
      <c r="IG5189" s="67"/>
      <c r="IH5189" s="67"/>
      <c r="II5189" s="67"/>
      <c r="IJ5189" s="67"/>
      <c r="IK5189" s="67"/>
      <c r="IL5189" s="67"/>
      <c r="IM5189" s="67"/>
      <c r="IN5189" s="67"/>
      <c r="IO5189" s="67"/>
      <c r="IP5189" s="67"/>
      <c r="IQ5189" s="67"/>
      <c r="IR5189" s="67"/>
      <c r="IS5189" s="67"/>
      <c r="IT5189" s="67"/>
      <c r="IU5189" s="67"/>
      <c r="IV5189" s="67"/>
      <c r="IW5189" s="67"/>
      <c r="IX5189" s="67"/>
      <c r="IY5189" s="67"/>
      <c r="IZ5189" s="67"/>
      <c r="JA5189" s="67"/>
      <c r="JB5189" s="67"/>
      <c r="JC5189" s="67"/>
      <c r="JD5189" s="67"/>
      <c r="JE5189" s="67"/>
      <c r="JF5189" s="67"/>
      <c r="JG5189" s="67"/>
      <c r="JH5189" s="67"/>
      <c r="JI5189" s="67"/>
      <c r="JJ5189" s="67"/>
      <c r="JK5189" s="67"/>
      <c r="JL5189" s="67"/>
      <c r="JM5189" s="67"/>
      <c r="JN5189" s="67"/>
      <c r="JO5189" s="67"/>
      <c r="JP5189" s="67"/>
      <c r="JQ5189" s="67"/>
      <c r="JR5189" s="67"/>
      <c r="JS5189" s="67"/>
      <c r="JT5189" s="67"/>
      <c r="JU5189" s="58"/>
      <c r="JV5189" s="58"/>
      <c r="JW5189" s="58"/>
    </row>
    <row r="5190" spans="1:283" s="23" customFormat="1" x14ac:dyDescent="0.25">
      <c r="A5190" s="55">
        <v>5189</v>
      </c>
      <c r="B5190" s="12" t="s">
        <v>7067</v>
      </c>
      <c r="C5190" s="156">
        <v>275</v>
      </c>
      <c r="D5190" s="58" t="s">
        <v>5043</v>
      </c>
      <c r="E5190" s="160" t="str">
        <f>G5190</f>
        <v>Teasdale et al. 2007_total horizon_pair 1</v>
      </c>
      <c r="F5190" s="160"/>
      <c r="G5190" s="60" t="s">
        <v>4685</v>
      </c>
      <c r="H5190" s="58">
        <v>2007</v>
      </c>
      <c r="I5190" s="58" t="s">
        <v>5599</v>
      </c>
      <c r="J5190" s="243" t="s">
        <v>282</v>
      </c>
      <c r="K5190" s="63" t="s">
        <v>5071</v>
      </c>
      <c r="L5190" s="58" t="s">
        <v>2737</v>
      </c>
      <c r="M5190" s="94">
        <v>39.03</v>
      </c>
      <c r="N5190" s="94">
        <v>-76.91</v>
      </c>
      <c r="O5190" s="94">
        <v>37</v>
      </c>
      <c r="P5190" s="58"/>
      <c r="Q5190" s="244">
        <v>12.800000000000002</v>
      </c>
      <c r="R5190" s="58"/>
      <c r="S5190" s="245">
        <v>1110</v>
      </c>
      <c r="T5190" s="58"/>
      <c r="U5190" s="58" t="s">
        <v>1816</v>
      </c>
      <c r="V5190" s="244">
        <v>9</v>
      </c>
      <c r="W5190" s="174"/>
      <c r="X5190" s="174"/>
      <c r="Y5190" s="58" t="s">
        <v>5471</v>
      </c>
      <c r="Z5190" s="244" t="s">
        <v>1347</v>
      </c>
      <c r="AA5190" s="245">
        <v>10</v>
      </c>
      <c r="AB5190" s="67"/>
      <c r="AC5190" s="67"/>
      <c r="AD5190" s="94"/>
      <c r="AE5190" s="94"/>
      <c r="AF5190" s="94"/>
      <c r="AG5190" s="245"/>
      <c r="AH5190" s="58" t="s">
        <v>139</v>
      </c>
      <c r="AI5190" s="169"/>
      <c r="AJ5190" s="94"/>
      <c r="AK5190" s="94"/>
      <c r="AL5190" s="58"/>
      <c r="AM5190" s="58" t="s">
        <v>1291</v>
      </c>
      <c r="AN5190" s="186"/>
      <c r="AO5190" s="185" t="s">
        <v>7494</v>
      </c>
      <c r="AP5190" s="58"/>
      <c r="AQ5190" s="58"/>
      <c r="AR5190" s="58" t="s">
        <v>132</v>
      </c>
      <c r="AS5190" s="58" t="s">
        <v>132</v>
      </c>
      <c r="AT5190" s="247">
        <v>0</v>
      </c>
      <c r="AU5190" s="181" t="s">
        <v>7494</v>
      </c>
      <c r="AV5190" s="185" t="s">
        <v>176</v>
      </c>
      <c r="AW5190" s="244">
        <v>1</v>
      </c>
      <c r="AX5190" s="185" t="s">
        <v>176</v>
      </c>
      <c r="AY5190" s="244" t="s">
        <v>5150</v>
      </c>
      <c r="AZ5190" s="58"/>
      <c r="BA5190" s="58"/>
      <c r="BB5190" s="58"/>
      <c r="BC5190" s="58"/>
      <c r="BD5190" s="58"/>
      <c r="BE5190" s="236" t="s">
        <v>5222</v>
      </c>
      <c r="BF5190" s="191" t="s">
        <v>479</v>
      </c>
      <c r="BG5190" s="191" t="s">
        <v>479</v>
      </c>
      <c r="BH5190" s="236" t="s">
        <v>5292</v>
      </c>
      <c r="BI5190" s="191" t="s">
        <v>479</v>
      </c>
      <c r="BJ5190" s="58" t="str">
        <f>IF(BE5190=BH5190,"No","yes")</f>
        <v>yes</v>
      </c>
      <c r="BK5190" s="58" t="s">
        <v>6335</v>
      </c>
      <c r="BL5190" s="58"/>
      <c r="BM5190" s="237"/>
      <c r="BN5190" s="244">
        <v>8</v>
      </c>
      <c r="BO5190" s="244">
        <v>8</v>
      </c>
      <c r="BP5190" s="58"/>
      <c r="BQ5190" s="58"/>
      <c r="BR5190" s="58"/>
      <c r="BS5190" s="58"/>
      <c r="BT5190" s="58"/>
      <c r="BU5190" s="58"/>
      <c r="BV5190" s="58"/>
      <c r="BW5190" s="67"/>
      <c r="BX5190" s="67"/>
      <c r="BY5190" s="67"/>
      <c r="BZ5190" s="67"/>
      <c r="CA5190" s="67"/>
      <c r="CB5190" s="70">
        <v>8220</v>
      </c>
      <c r="CC5190" s="70">
        <v>7250</v>
      </c>
      <c r="CD5190" s="70"/>
      <c r="CE5190" s="67"/>
      <c r="CF5190" s="67"/>
      <c r="CG5190" s="67"/>
      <c r="CH5190" s="245"/>
      <c r="CI5190" s="245"/>
      <c r="CJ5190" s="67"/>
      <c r="CK5190" s="67"/>
      <c r="CL5190" s="67"/>
      <c r="CM5190" s="242"/>
      <c r="CN5190" s="242"/>
      <c r="CO5190" s="242"/>
      <c r="CP5190" s="242"/>
      <c r="CQ5190" s="242"/>
      <c r="CR5190" s="242"/>
      <c r="CS5190" s="242"/>
      <c r="CT5190" s="242"/>
      <c r="CU5190" s="242"/>
      <c r="CV5190" s="242"/>
      <c r="CW5190" s="242"/>
      <c r="CX5190" s="242"/>
      <c r="CY5190" s="242"/>
      <c r="CZ5190" s="242"/>
      <c r="DA5190" s="67"/>
      <c r="DB5190" s="67"/>
      <c r="DC5190" s="67"/>
      <c r="DD5190" s="67"/>
      <c r="DE5190" s="67"/>
      <c r="DF5190" s="67"/>
      <c r="DG5190" s="67"/>
      <c r="DH5190" s="67"/>
      <c r="DI5190" s="67"/>
      <c r="DJ5190" s="67"/>
      <c r="DK5190" s="67"/>
      <c r="DL5190" s="67"/>
      <c r="DM5190" s="67"/>
      <c r="DN5190" s="67"/>
      <c r="DO5190" s="67"/>
      <c r="DP5190" s="67"/>
      <c r="DQ5190" s="166"/>
      <c r="DR5190" s="166"/>
      <c r="DS5190" s="163"/>
      <c r="DT5190" s="163"/>
      <c r="DU5190" s="67"/>
      <c r="DV5190" s="67"/>
      <c r="DW5190" s="67"/>
      <c r="DX5190" s="67"/>
      <c r="DY5190" s="67"/>
      <c r="DZ5190" s="67"/>
      <c r="EA5190" s="67"/>
      <c r="EB5190" s="67"/>
      <c r="EC5190" s="67"/>
      <c r="ED5190" s="67"/>
      <c r="EE5190" s="67"/>
      <c r="EF5190" s="67"/>
      <c r="EG5190" s="67"/>
      <c r="EH5190" s="67"/>
      <c r="EI5190" s="67"/>
      <c r="EJ5190" s="67"/>
      <c r="EK5190" s="94"/>
      <c r="EL5190" s="94"/>
      <c r="EM5190" s="67"/>
      <c r="EN5190" s="67"/>
      <c r="EO5190" s="67"/>
      <c r="EP5190" s="67"/>
      <c r="EQ5190" s="67"/>
      <c r="ER5190" s="67"/>
      <c r="ES5190" s="67"/>
      <c r="ET5190" s="67"/>
      <c r="EU5190" s="67"/>
      <c r="EV5190" s="67"/>
      <c r="EW5190" s="67"/>
      <c r="EX5190" s="67"/>
      <c r="EY5190" s="67"/>
      <c r="EZ5190" s="67"/>
      <c r="FA5190" s="67"/>
      <c r="FB5190" s="67"/>
      <c r="FC5190" s="67"/>
      <c r="FD5190" s="67"/>
      <c r="FE5190" s="67"/>
      <c r="FF5190" s="67"/>
      <c r="FG5190" s="67"/>
      <c r="FH5190" s="67"/>
      <c r="FI5190" s="67"/>
      <c r="FJ5190" s="67"/>
      <c r="FK5190" s="67"/>
      <c r="FL5190" s="67"/>
      <c r="FM5190" s="67"/>
      <c r="FN5190" s="67"/>
      <c r="FO5190" s="67"/>
      <c r="FP5190" s="67"/>
      <c r="FQ5190" s="67"/>
      <c r="FR5190" s="67"/>
      <c r="FS5190" s="67"/>
      <c r="FT5190" s="67"/>
      <c r="FU5190" s="67"/>
      <c r="FV5190" s="67"/>
      <c r="FW5190" s="67"/>
      <c r="FX5190" s="67"/>
      <c r="FY5190" s="67"/>
      <c r="FZ5190" s="67"/>
      <c r="GA5190" s="67"/>
      <c r="GB5190" s="67"/>
      <c r="GC5190" s="67"/>
      <c r="GD5190" s="67"/>
      <c r="GE5190" s="67"/>
      <c r="GF5190" s="67"/>
      <c r="GG5190" s="67"/>
      <c r="GH5190" s="67"/>
      <c r="GI5190" s="67"/>
      <c r="GJ5190" s="67"/>
      <c r="GK5190" s="67"/>
      <c r="GL5190" s="67"/>
      <c r="GM5190" s="67"/>
      <c r="GN5190" s="292"/>
      <c r="GO5190" s="292"/>
      <c r="GP5190" s="292" t="s">
        <v>7494</v>
      </c>
      <c r="GQ5190" s="67"/>
      <c r="GR5190" s="67"/>
      <c r="GS5190" s="67"/>
      <c r="GT5190" s="67"/>
      <c r="GU5190" s="67"/>
      <c r="GV5190" s="67"/>
      <c r="GW5190" s="67"/>
      <c r="GX5190" s="67"/>
      <c r="GY5190" s="67"/>
      <c r="GZ5190" s="67"/>
      <c r="HA5190" s="67"/>
      <c r="HB5190" s="67"/>
      <c r="HC5190" s="67"/>
      <c r="HD5190" s="67"/>
      <c r="HE5190" s="67"/>
      <c r="HF5190" s="67"/>
      <c r="HG5190" s="67"/>
      <c r="HH5190" s="67"/>
      <c r="HI5190" s="67"/>
      <c r="HJ5190" s="67"/>
      <c r="HK5190" s="67"/>
      <c r="HL5190" s="67"/>
      <c r="HM5190" s="67"/>
      <c r="HN5190" s="67"/>
      <c r="HO5190" s="67"/>
      <c r="HP5190" s="67"/>
      <c r="HQ5190" s="67"/>
      <c r="HR5190" s="67"/>
      <c r="HS5190" s="67"/>
      <c r="HT5190" s="67"/>
      <c r="HU5190" s="67"/>
      <c r="HV5190" s="67"/>
      <c r="HW5190" s="67"/>
      <c r="HX5190" s="67"/>
      <c r="HY5190" s="67"/>
      <c r="HZ5190" s="67"/>
      <c r="IA5190" s="67"/>
      <c r="IB5190" s="67"/>
      <c r="IC5190" s="67"/>
      <c r="ID5190" s="67"/>
      <c r="IE5190" s="67"/>
      <c r="IF5190" s="67"/>
      <c r="IG5190" s="67"/>
      <c r="IH5190" s="67"/>
      <c r="II5190" s="67"/>
      <c r="IJ5190" s="67"/>
      <c r="IK5190" s="67"/>
      <c r="IL5190" s="67"/>
      <c r="IM5190" s="67"/>
      <c r="IN5190" s="67"/>
      <c r="IO5190" s="67"/>
      <c r="IP5190" s="67"/>
      <c r="IQ5190" s="67"/>
      <c r="IR5190" s="67"/>
      <c r="IS5190" s="67"/>
      <c r="IT5190" s="67"/>
      <c r="IU5190" s="67"/>
      <c r="IV5190" s="67"/>
      <c r="IW5190" s="67"/>
      <c r="IX5190" s="67"/>
      <c r="IY5190" s="67"/>
      <c r="IZ5190" s="67"/>
      <c r="JA5190" s="67"/>
      <c r="JB5190" s="67"/>
      <c r="JC5190" s="67"/>
      <c r="JD5190" s="67"/>
      <c r="JE5190" s="67"/>
      <c r="JF5190" s="67"/>
      <c r="JG5190" s="67"/>
      <c r="JH5190" s="67"/>
      <c r="JI5190" s="67"/>
      <c r="JJ5190" s="67"/>
      <c r="JK5190" s="67"/>
      <c r="JL5190" s="67"/>
      <c r="JM5190" s="67"/>
      <c r="JN5190" s="67"/>
      <c r="JO5190" s="67"/>
      <c r="JP5190" s="67"/>
      <c r="JQ5190" s="67"/>
      <c r="JR5190" s="67"/>
      <c r="JS5190" s="67"/>
      <c r="JT5190" s="67"/>
      <c r="JU5190" s="58"/>
      <c r="JV5190" s="58"/>
      <c r="JW5190" s="58"/>
    </row>
    <row r="5191" spans="1:283" s="23" customFormat="1" x14ac:dyDescent="0.25">
      <c r="A5191" s="55">
        <v>5190</v>
      </c>
      <c r="B5191" s="12" t="s">
        <v>7067</v>
      </c>
      <c r="C5191" s="156">
        <v>275</v>
      </c>
      <c r="D5191" s="58" t="s">
        <v>5044</v>
      </c>
      <c r="E5191" s="160" t="str">
        <f>G5191</f>
        <v>Teasdale et al. 2007_total horizon_pair 2</v>
      </c>
      <c r="F5191" s="160"/>
      <c r="G5191" s="60" t="s">
        <v>4684</v>
      </c>
      <c r="H5191" s="58">
        <v>2007</v>
      </c>
      <c r="I5191" s="58" t="s">
        <v>5599</v>
      </c>
      <c r="J5191" s="243" t="s">
        <v>282</v>
      </c>
      <c r="K5191" s="63" t="s">
        <v>5071</v>
      </c>
      <c r="L5191" s="58" t="s">
        <v>2737</v>
      </c>
      <c r="M5191" s="94">
        <v>39.03</v>
      </c>
      <c r="N5191" s="94">
        <v>-76.91</v>
      </c>
      <c r="O5191" s="94">
        <v>37</v>
      </c>
      <c r="P5191" s="58"/>
      <c r="Q5191" s="244">
        <v>12.800000000000002</v>
      </c>
      <c r="R5191" s="58"/>
      <c r="S5191" s="245">
        <v>1110</v>
      </c>
      <c r="T5191" s="58"/>
      <c r="U5191" s="58" t="s">
        <v>1816</v>
      </c>
      <c r="V5191" s="244">
        <v>9</v>
      </c>
      <c r="W5191" s="174"/>
      <c r="X5191" s="174"/>
      <c r="Y5191" s="58" t="s">
        <v>5471</v>
      </c>
      <c r="Z5191" s="244" t="s">
        <v>1347</v>
      </c>
      <c r="AA5191" s="245">
        <v>10</v>
      </c>
      <c r="AB5191" s="67"/>
      <c r="AC5191" s="67"/>
      <c r="AD5191" s="94"/>
      <c r="AE5191" s="94"/>
      <c r="AF5191" s="94"/>
      <c r="AG5191" s="245"/>
      <c r="AH5191" s="58" t="s">
        <v>139</v>
      </c>
      <c r="AI5191" s="169"/>
      <c r="AJ5191" s="94"/>
      <c r="AK5191" s="94"/>
      <c r="AL5191" s="58"/>
      <c r="AM5191" s="58" t="s">
        <v>1291</v>
      </c>
      <c r="AN5191" s="186"/>
      <c r="AO5191" s="185" t="s">
        <v>7494</v>
      </c>
      <c r="AP5191" s="58"/>
      <c r="AQ5191" s="58"/>
      <c r="AR5191" s="58" t="s">
        <v>132</v>
      </c>
      <c r="AS5191" s="58" t="s">
        <v>132</v>
      </c>
      <c r="AT5191" s="247">
        <v>0</v>
      </c>
      <c r="AU5191" s="181" t="s">
        <v>7494</v>
      </c>
      <c r="AV5191" s="185" t="s">
        <v>176</v>
      </c>
      <c r="AW5191" s="244">
        <v>1</v>
      </c>
      <c r="AX5191" s="185" t="s">
        <v>176</v>
      </c>
      <c r="AY5191" s="244" t="s">
        <v>5150</v>
      </c>
      <c r="AZ5191" s="58"/>
      <c r="BA5191" s="58"/>
      <c r="BB5191" s="58"/>
      <c r="BC5191" s="58"/>
      <c r="BD5191" s="58"/>
      <c r="BE5191" s="236" t="s">
        <v>5223</v>
      </c>
      <c r="BF5191" s="191" t="s">
        <v>479</v>
      </c>
      <c r="BG5191" s="191" t="s">
        <v>479</v>
      </c>
      <c r="BH5191" s="236" t="s">
        <v>5292</v>
      </c>
      <c r="BI5191" s="191" t="s">
        <v>479</v>
      </c>
      <c r="BJ5191" s="58" t="str">
        <f>IF(BE5191=BH5191,"No","yes")</f>
        <v>yes</v>
      </c>
      <c r="BK5191" s="58" t="s">
        <v>6335</v>
      </c>
      <c r="BL5191" s="58"/>
      <c r="BM5191" s="237"/>
      <c r="BN5191" s="244">
        <v>8</v>
      </c>
      <c r="BO5191" s="244">
        <v>8</v>
      </c>
      <c r="BP5191" s="58"/>
      <c r="BQ5191" s="58"/>
      <c r="BR5191" s="58"/>
      <c r="BS5191" s="58"/>
      <c r="BT5191" s="58"/>
      <c r="BU5191" s="58"/>
      <c r="BV5191" s="58"/>
      <c r="BW5191" s="67"/>
      <c r="BX5191" s="67"/>
      <c r="BY5191" s="67"/>
      <c r="BZ5191" s="67"/>
      <c r="CA5191" s="67"/>
      <c r="CB5191" s="70">
        <v>8220</v>
      </c>
      <c r="CC5191" s="70">
        <v>8160</v>
      </c>
      <c r="CD5191" s="70"/>
      <c r="CE5191" s="67"/>
      <c r="CF5191" s="67"/>
      <c r="CG5191" s="67"/>
      <c r="CH5191" s="245"/>
      <c r="CI5191" s="245"/>
      <c r="CJ5191" s="67"/>
      <c r="CK5191" s="67"/>
      <c r="CL5191" s="67"/>
      <c r="CM5191" s="242"/>
      <c r="CN5191" s="242"/>
      <c r="CO5191" s="242"/>
      <c r="CP5191" s="242"/>
      <c r="CQ5191" s="242"/>
      <c r="CR5191" s="242"/>
      <c r="CS5191" s="242"/>
      <c r="CT5191" s="242"/>
      <c r="CU5191" s="242"/>
      <c r="CV5191" s="242"/>
      <c r="CW5191" s="242"/>
      <c r="CX5191" s="242"/>
      <c r="CY5191" s="242"/>
      <c r="CZ5191" s="242"/>
      <c r="DA5191" s="67"/>
      <c r="DB5191" s="67"/>
      <c r="DC5191" s="67"/>
      <c r="DD5191" s="67"/>
      <c r="DE5191" s="67"/>
      <c r="DF5191" s="67"/>
      <c r="DG5191" s="67"/>
      <c r="DH5191" s="67"/>
      <c r="DI5191" s="67"/>
      <c r="DJ5191" s="67"/>
      <c r="DK5191" s="67"/>
      <c r="DL5191" s="67"/>
      <c r="DM5191" s="67"/>
      <c r="DN5191" s="67"/>
      <c r="DO5191" s="67"/>
      <c r="DP5191" s="67"/>
      <c r="DQ5191" s="166"/>
      <c r="DR5191" s="166"/>
      <c r="DS5191" s="163"/>
      <c r="DT5191" s="163"/>
      <c r="DU5191" s="67"/>
      <c r="DV5191" s="67"/>
      <c r="DW5191" s="67"/>
      <c r="DX5191" s="67"/>
      <c r="DY5191" s="67"/>
      <c r="DZ5191" s="67"/>
      <c r="EA5191" s="67"/>
      <c r="EB5191" s="67"/>
      <c r="EC5191" s="67"/>
      <c r="ED5191" s="67"/>
      <c r="EE5191" s="67"/>
      <c r="EF5191" s="67"/>
      <c r="EG5191" s="67"/>
      <c r="EH5191" s="67"/>
      <c r="EI5191" s="67"/>
      <c r="EJ5191" s="67"/>
      <c r="EK5191" s="94"/>
      <c r="EL5191" s="94"/>
      <c r="EM5191" s="67"/>
      <c r="EN5191" s="67"/>
      <c r="EO5191" s="67"/>
      <c r="EP5191" s="67"/>
      <c r="EQ5191" s="67"/>
      <c r="ER5191" s="67"/>
      <c r="ES5191" s="67"/>
      <c r="ET5191" s="67"/>
      <c r="EU5191" s="67"/>
      <c r="EV5191" s="67"/>
      <c r="EW5191" s="67"/>
      <c r="EX5191" s="67"/>
      <c r="EY5191" s="67"/>
      <c r="EZ5191" s="67"/>
      <c r="FA5191" s="67"/>
      <c r="FB5191" s="67"/>
      <c r="FC5191" s="67"/>
      <c r="FD5191" s="67"/>
      <c r="FE5191" s="67"/>
      <c r="FF5191" s="67"/>
      <c r="FG5191" s="67"/>
      <c r="FH5191" s="67"/>
      <c r="FI5191" s="67"/>
      <c r="FJ5191" s="67"/>
      <c r="FK5191" s="67"/>
      <c r="FL5191" s="67"/>
      <c r="FM5191" s="67"/>
      <c r="FN5191" s="67"/>
      <c r="FO5191" s="67"/>
      <c r="FP5191" s="67"/>
      <c r="FQ5191" s="67"/>
      <c r="FR5191" s="67"/>
      <c r="FS5191" s="67"/>
      <c r="FT5191" s="67"/>
      <c r="FU5191" s="67"/>
      <c r="FV5191" s="67"/>
      <c r="FW5191" s="67"/>
      <c r="FX5191" s="67"/>
      <c r="FY5191" s="67"/>
      <c r="FZ5191" s="67"/>
      <c r="GA5191" s="67"/>
      <c r="GB5191" s="67"/>
      <c r="GC5191" s="67"/>
      <c r="GD5191" s="67"/>
      <c r="GE5191" s="67"/>
      <c r="GF5191" s="67"/>
      <c r="GG5191" s="67"/>
      <c r="GH5191" s="67"/>
      <c r="GI5191" s="67"/>
      <c r="GJ5191" s="67"/>
      <c r="GK5191" s="67"/>
      <c r="GL5191" s="67"/>
      <c r="GM5191" s="67"/>
      <c r="GN5191" s="292"/>
      <c r="GO5191" s="292"/>
      <c r="GP5191" s="292" t="s">
        <v>7494</v>
      </c>
      <c r="GQ5191" s="67"/>
      <c r="GR5191" s="67"/>
      <c r="GS5191" s="67"/>
      <c r="GT5191" s="67"/>
      <c r="GU5191" s="67"/>
      <c r="GV5191" s="67"/>
      <c r="GW5191" s="67"/>
      <c r="GX5191" s="67"/>
      <c r="GY5191" s="67"/>
      <c r="GZ5191" s="67"/>
      <c r="HA5191" s="67"/>
      <c r="HB5191" s="67"/>
      <c r="HC5191" s="67"/>
      <c r="HD5191" s="67"/>
      <c r="HE5191" s="67"/>
      <c r="HF5191" s="67"/>
      <c r="HG5191" s="67"/>
      <c r="HH5191" s="67"/>
      <c r="HI5191" s="67"/>
      <c r="HJ5191" s="67"/>
      <c r="HK5191" s="67"/>
      <c r="HL5191" s="67"/>
      <c r="HM5191" s="67"/>
      <c r="HN5191" s="67"/>
      <c r="HO5191" s="67"/>
      <c r="HP5191" s="67"/>
      <c r="HQ5191" s="67"/>
      <c r="HR5191" s="67"/>
      <c r="HS5191" s="67"/>
      <c r="HT5191" s="67"/>
      <c r="HU5191" s="67"/>
      <c r="HV5191" s="67"/>
      <c r="HW5191" s="67"/>
      <c r="HX5191" s="67"/>
      <c r="HY5191" s="67"/>
      <c r="HZ5191" s="67"/>
      <c r="IA5191" s="67"/>
      <c r="IB5191" s="67"/>
      <c r="IC5191" s="67"/>
      <c r="ID5191" s="67"/>
      <c r="IE5191" s="67"/>
      <c r="IF5191" s="67"/>
      <c r="IG5191" s="67"/>
      <c r="IH5191" s="67"/>
      <c r="II5191" s="67"/>
      <c r="IJ5191" s="67"/>
      <c r="IK5191" s="67"/>
      <c r="IL5191" s="67"/>
      <c r="IM5191" s="67"/>
      <c r="IN5191" s="67"/>
      <c r="IO5191" s="67"/>
      <c r="IP5191" s="67"/>
      <c r="IQ5191" s="67"/>
      <c r="IR5191" s="67"/>
      <c r="IS5191" s="67"/>
      <c r="IT5191" s="67"/>
      <c r="IU5191" s="67"/>
      <c r="IV5191" s="67"/>
      <c r="IW5191" s="67"/>
      <c r="IX5191" s="67"/>
      <c r="IY5191" s="67"/>
      <c r="IZ5191" s="67"/>
      <c r="JA5191" s="67"/>
      <c r="JB5191" s="67"/>
      <c r="JC5191" s="67"/>
      <c r="JD5191" s="67"/>
      <c r="JE5191" s="67"/>
      <c r="JF5191" s="67"/>
      <c r="JG5191" s="67"/>
      <c r="JH5191" s="67"/>
      <c r="JI5191" s="67"/>
      <c r="JJ5191" s="67"/>
      <c r="JK5191" s="67"/>
      <c r="JL5191" s="67"/>
      <c r="JM5191" s="67"/>
      <c r="JN5191" s="67"/>
      <c r="JO5191" s="67"/>
      <c r="JP5191" s="67"/>
      <c r="JQ5191" s="67"/>
      <c r="JR5191" s="67"/>
      <c r="JS5191" s="67"/>
      <c r="JT5191" s="67"/>
      <c r="JU5191" s="58"/>
      <c r="JV5191" s="58"/>
      <c r="JW5191" s="58"/>
    </row>
    <row r="5192" spans="1:283" s="23" customFormat="1" x14ac:dyDescent="0.25">
      <c r="A5192" s="55">
        <v>5191</v>
      </c>
      <c r="B5192" s="12" t="s">
        <v>7067</v>
      </c>
      <c r="C5192" s="156">
        <v>275</v>
      </c>
      <c r="D5192" s="58" t="s">
        <v>5045</v>
      </c>
      <c r="E5192" s="160" t="str">
        <f>G5192</f>
        <v>Teasdale et al. 2007_total horizon_pair 3</v>
      </c>
      <c r="F5192" s="160"/>
      <c r="G5192" s="60" t="s">
        <v>4683</v>
      </c>
      <c r="H5192" s="58">
        <v>2007</v>
      </c>
      <c r="I5192" s="58" t="s">
        <v>5599</v>
      </c>
      <c r="J5192" s="243" t="s">
        <v>282</v>
      </c>
      <c r="K5192" s="63" t="s">
        <v>5071</v>
      </c>
      <c r="L5192" s="58" t="s">
        <v>2737</v>
      </c>
      <c r="M5192" s="94">
        <v>39.03</v>
      </c>
      <c r="N5192" s="94">
        <v>-76.91</v>
      </c>
      <c r="O5192" s="94">
        <v>37</v>
      </c>
      <c r="P5192" s="58"/>
      <c r="Q5192" s="244">
        <v>12.800000000000002</v>
      </c>
      <c r="R5192" s="58"/>
      <c r="S5192" s="245">
        <v>1110</v>
      </c>
      <c r="T5192" s="58"/>
      <c r="U5192" s="58" t="s">
        <v>1816</v>
      </c>
      <c r="V5192" s="244">
        <v>9</v>
      </c>
      <c r="W5192" s="174"/>
      <c r="X5192" s="174"/>
      <c r="Y5192" s="58" t="s">
        <v>5471</v>
      </c>
      <c r="Z5192" s="244" t="s">
        <v>1347</v>
      </c>
      <c r="AA5192" s="245">
        <v>10</v>
      </c>
      <c r="AB5192" s="67"/>
      <c r="AC5192" s="67"/>
      <c r="AD5192" s="94"/>
      <c r="AE5192" s="94"/>
      <c r="AF5192" s="94"/>
      <c r="AG5192" s="245"/>
      <c r="AH5192" s="58" t="s">
        <v>139</v>
      </c>
      <c r="AI5192" s="169"/>
      <c r="AJ5192" s="94"/>
      <c r="AK5192" s="94"/>
      <c r="AL5192" s="58"/>
      <c r="AM5192" s="58" t="s">
        <v>1291</v>
      </c>
      <c r="AN5192" s="186"/>
      <c r="AO5192" s="185" t="s">
        <v>7494</v>
      </c>
      <c r="AP5192" s="58"/>
      <c r="AQ5192" s="58"/>
      <c r="AR5192" s="58" t="s">
        <v>116</v>
      </c>
      <c r="AS5192" s="58" t="s">
        <v>116</v>
      </c>
      <c r="AT5192" s="247">
        <v>0</v>
      </c>
      <c r="AU5192" s="181" t="s">
        <v>7494</v>
      </c>
      <c r="AV5192" s="185" t="s">
        <v>176</v>
      </c>
      <c r="AW5192" s="244">
        <v>1</v>
      </c>
      <c r="AX5192" s="185" t="s">
        <v>176</v>
      </c>
      <c r="AY5192" s="244" t="s">
        <v>5150</v>
      </c>
      <c r="AZ5192" s="58"/>
      <c r="BA5192" s="58"/>
      <c r="BB5192" s="58"/>
      <c r="BC5192" s="58"/>
      <c r="BD5192" s="58"/>
      <c r="BE5192" s="236" t="s">
        <v>5222</v>
      </c>
      <c r="BF5192" s="191" t="s">
        <v>479</v>
      </c>
      <c r="BG5192" s="191" t="s">
        <v>479</v>
      </c>
      <c r="BH5192" s="236" t="s">
        <v>5292</v>
      </c>
      <c r="BI5192" s="191" t="s">
        <v>479</v>
      </c>
      <c r="BJ5192" s="58" t="str">
        <f>IF(BE5192=BH5192,"No","yes")</f>
        <v>yes</v>
      </c>
      <c r="BK5192" s="58" t="s">
        <v>6335</v>
      </c>
      <c r="BL5192" s="58"/>
      <c r="BM5192" s="237"/>
      <c r="BN5192" s="244">
        <v>8</v>
      </c>
      <c r="BO5192" s="244">
        <v>8</v>
      </c>
      <c r="BP5192" s="58"/>
      <c r="BQ5192" s="58"/>
      <c r="BR5192" s="58"/>
      <c r="BS5192" s="58"/>
      <c r="BT5192" s="58"/>
      <c r="BU5192" s="58"/>
      <c r="BV5192" s="58"/>
      <c r="BW5192" s="67"/>
      <c r="BX5192" s="67"/>
      <c r="BY5192" s="67"/>
      <c r="BZ5192" s="67"/>
      <c r="CA5192" s="67"/>
      <c r="CB5192" s="70">
        <v>2960</v>
      </c>
      <c r="CC5192" s="70">
        <v>4300</v>
      </c>
      <c r="CD5192" s="70"/>
      <c r="CE5192" s="67"/>
      <c r="CF5192" s="67"/>
      <c r="CG5192" s="67"/>
      <c r="CH5192" s="245"/>
      <c r="CI5192" s="245"/>
      <c r="CJ5192" s="67"/>
      <c r="CK5192" s="67"/>
      <c r="CL5192" s="67"/>
      <c r="CM5192" s="242"/>
      <c r="CN5192" s="242"/>
      <c r="CO5192" s="242"/>
      <c r="CP5192" s="242"/>
      <c r="CQ5192" s="242"/>
      <c r="CR5192" s="242"/>
      <c r="CS5192" s="242"/>
      <c r="CT5192" s="242"/>
      <c r="CU5192" s="242"/>
      <c r="CV5192" s="242"/>
      <c r="CW5192" s="242"/>
      <c r="CX5192" s="242"/>
      <c r="CY5192" s="242"/>
      <c r="CZ5192" s="242"/>
      <c r="DA5192" s="67"/>
      <c r="DB5192" s="67"/>
      <c r="DC5192" s="67"/>
      <c r="DD5192" s="67"/>
      <c r="DE5192" s="67"/>
      <c r="DF5192" s="67"/>
      <c r="DG5192" s="67"/>
      <c r="DH5192" s="67"/>
      <c r="DI5192" s="67"/>
      <c r="DJ5192" s="67"/>
      <c r="DK5192" s="67"/>
      <c r="DL5192" s="67"/>
      <c r="DM5192" s="67"/>
      <c r="DN5192" s="67"/>
      <c r="DO5192" s="67"/>
      <c r="DP5192" s="67"/>
      <c r="DQ5192" s="166"/>
      <c r="DR5192" s="166"/>
      <c r="DS5192" s="163"/>
      <c r="DT5192" s="163"/>
      <c r="DU5192" s="67"/>
      <c r="DV5192" s="67"/>
      <c r="DW5192" s="67"/>
      <c r="DX5192" s="67"/>
      <c r="DY5192" s="67"/>
      <c r="DZ5192" s="67"/>
      <c r="EA5192" s="67"/>
      <c r="EB5192" s="67"/>
      <c r="EC5192" s="67"/>
      <c r="ED5192" s="67"/>
      <c r="EE5192" s="67"/>
      <c r="EF5192" s="67"/>
      <c r="EG5192" s="67"/>
      <c r="EH5192" s="67"/>
      <c r="EI5192" s="67"/>
      <c r="EJ5192" s="67"/>
      <c r="EK5192" s="94"/>
      <c r="EL5192" s="94"/>
      <c r="EM5192" s="67"/>
      <c r="EN5192" s="67"/>
      <c r="EO5192" s="67"/>
      <c r="EP5192" s="67"/>
      <c r="EQ5192" s="67"/>
      <c r="ER5192" s="67"/>
      <c r="ES5192" s="67"/>
      <c r="ET5192" s="67"/>
      <c r="EU5192" s="67"/>
      <c r="EV5192" s="67"/>
      <c r="EW5192" s="67"/>
      <c r="EX5192" s="67"/>
      <c r="EY5192" s="67"/>
      <c r="EZ5192" s="67"/>
      <c r="FA5192" s="67"/>
      <c r="FB5192" s="67"/>
      <c r="FC5192" s="67"/>
      <c r="FD5192" s="67"/>
      <c r="FE5192" s="67"/>
      <c r="FF5192" s="67"/>
      <c r="FG5192" s="67"/>
      <c r="FH5192" s="67"/>
      <c r="FI5192" s="67"/>
      <c r="FJ5192" s="67"/>
      <c r="FK5192" s="67"/>
      <c r="FL5192" s="67"/>
      <c r="FM5192" s="67"/>
      <c r="FN5192" s="67"/>
      <c r="FO5192" s="67"/>
      <c r="FP5192" s="67"/>
      <c r="FQ5192" s="67"/>
      <c r="FR5192" s="67"/>
      <c r="FS5192" s="67"/>
      <c r="FT5192" s="67"/>
      <c r="FU5192" s="67"/>
      <c r="FV5192" s="67"/>
      <c r="FW5192" s="67"/>
      <c r="FX5192" s="67"/>
      <c r="FY5192" s="67"/>
      <c r="FZ5192" s="67"/>
      <c r="GA5192" s="67"/>
      <c r="GB5192" s="67"/>
      <c r="GC5192" s="67"/>
      <c r="GD5192" s="67"/>
      <c r="GE5192" s="67"/>
      <c r="GF5192" s="67"/>
      <c r="GG5192" s="67"/>
      <c r="GH5192" s="67"/>
      <c r="GI5192" s="67"/>
      <c r="GJ5192" s="67"/>
      <c r="GK5192" s="67"/>
      <c r="GL5192" s="67"/>
      <c r="GM5192" s="67"/>
      <c r="GN5192" s="292"/>
      <c r="GO5192" s="292"/>
      <c r="GP5192" s="292" t="s">
        <v>7494</v>
      </c>
      <c r="GQ5192" s="67"/>
      <c r="GR5192" s="67"/>
      <c r="GS5192" s="67"/>
      <c r="GT5192" s="67"/>
      <c r="GU5192" s="67"/>
      <c r="GV5192" s="67"/>
      <c r="GW5192" s="67"/>
      <c r="GX5192" s="67"/>
      <c r="GY5192" s="67"/>
      <c r="GZ5192" s="67"/>
      <c r="HA5192" s="67"/>
      <c r="HB5192" s="67"/>
      <c r="HC5192" s="67"/>
      <c r="HD5192" s="67"/>
      <c r="HE5192" s="67"/>
      <c r="HF5192" s="67"/>
      <c r="HG5192" s="67"/>
      <c r="HH5192" s="67"/>
      <c r="HI5192" s="67"/>
      <c r="HJ5192" s="67"/>
      <c r="HK5192" s="67"/>
      <c r="HL5192" s="67"/>
      <c r="HM5192" s="67"/>
      <c r="HN5192" s="67"/>
      <c r="HO5192" s="67"/>
      <c r="HP5192" s="67"/>
      <c r="HQ5192" s="67"/>
      <c r="HR5192" s="67"/>
      <c r="HS5192" s="67"/>
      <c r="HT5192" s="67"/>
      <c r="HU5192" s="67"/>
      <c r="HV5192" s="67"/>
      <c r="HW5192" s="67"/>
      <c r="HX5192" s="67"/>
      <c r="HY5192" s="67"/>
      <c r="HZ5192" s="67"/>
      <c r="IA5192" s="67"/>
      <c r="IB5192" s="67"/>
      <c r="IC5192" s="67"/>
      <c r="ID5192" s="67"/>
      <c r="IE5192" s="67"/>
      <c r="IF5192" s="67"/>
      <c r="IG5192" s="67"/>
      <c r="IH5192" s="67"/>
      <c r="II5192" s="67"/>
      <c r="IJ5192" s="67"/>
      <c r="IK5192" s="67"/>
      <c r="IL5192" s="67"/>
      <c r="IM5192" s="67"/>
      <c r="IN5192" s="67"/>
      <c r="IO5192" s="67"/>
      <c r="IP5192" s="67"/>
      <c r="IQ5192" s="67"/>
      <c r="IR5192" s="67"/>
      <c r="IS5192" s="67"/>
      <c r="IT5192" s="67"/>
      <c r="IU5192" s="67"/>
      <c r="IV5192" s="67"/>
      <c r="IW5192" s="67"/>
      <c r="IX5192" s="67"/>
      <c r="IY5192" s="67"/>
      <c r="IZ5192" s="67"/>
      <c r="JA5192" s="67"/>
      <c r="JB5192" s="67"/>
      <c r="JC5192" s="67"/>
      <c r="JD5192" s="67"/>
      <c r="JE5192" s="67"/>
      <c r="JF5192" s="67"/>
      <c r="JG5192" s="67"/>
      <c r="JH5192" s="67"/>
      <c r="JI5192" s="67"/>
      <c r="JJ5192" s="67"/>
      <c r="JK5192" s="67"/>
      <c r="JL5192" s="67"/>
      <c r="JM5192" s="67"/>
      <c r="JN5192" s="67"/>
      <c r="JO5192" s="67"/>
      <c r="JP5192" s="67"/>
      <c r="JQ5192" s="67"/>
      <c r="JR5192" s="67"/>
      <c r="JS5192" s="67"/>
      <c r="JT5192" s="67"/>
      <c r="JU5192" s="58"/>
      <c r="JV5192" s="58"/>
      <c r="JW5192" s="58"/>
    </row>
    <row r="5193" spans="1:283" s="23" customFormat="1" x14ac:dyDescent="0.25">
      <c r="A5193" s="55">
        <v>5192</v>
      </c>
      <c r="B5193" s="12" t="s">
        <v>7067</v>
      </c>
      <c r="C5193" s="156">
        <v>275</v>
      </c>
      <c r="D5193" s="58" t="s">
        <v>5045</v>
      </c>
      <c r="E5193" s="160" t="str">
        <f>G5193</f>
        <v>Teasdale et al. 2007_total horizon_pair 3</v>
      </c>
      <c r="F5193" s="160"/>
      <c r="G5193" s="60" t="s">
        <v>4683</v>
      </c>
      <c r="H5193" s="58">
        <v>2007</v>
      </c>
      <c r="I5193" s="58" t="s">
        <v>5599</v>
      </c>
      <c r="J5193" s="243" t="s">
        <v>282</v>
      </c>
      <c r="K5193" s="63" t="s">
        <v>5071</v>
      </c>
      <c r="L5193" s="58" t="s">
        <v>2737</v>
      </c>
      <c r="M5193" s="94">
        <v>39.03</v>
      </c>
      <c r="N5193" s="94">
        <v>-76.91</v>
      </c>
      <c r="O5193" s="94">
        <v>37</v>
      </c>
      <c r="P5193" s="58"/>
      <c r="Q5193" s="244">
        <v>12.800000000000002</v>
      </c>
      <c r="R5193" s="58"/>
      <c r="S5193" s="245">
        <v>1110</v>
      </c>
      <c r="T5193" s="58"/>
      <c r="U5193" s="58" t="s">
        <v>1816</v>
      </c>
      <c r="V5193" s="244">
        <v>9</v>
      </c>
      <c r="W5193" s="174"/>
      <c r="X5193" s="174"/>
      <c r="Y5193" s="58" t="s">
        <v>5471</v>
      </c>
      <c r="Z5193" s="244" t="s">
        <v>1347</v>
      </c>
      <c r="AA5193" s="245">
        <v>10</v>
      </c>
      <c r="AB5193" s="67"/>
      <c r="AC5193" s="67"/>
      <c r="AD5193" s="94"/>
      <c r="AE5193" s="94"/>
      <c r="AF5193" s="94"/>
      <c r="AG5193" s="245"/>
      <c r="AH5193" s="58" t="s">
        <v>139</v>
      </c>
      <c r="AI5193" s="169"/>
      <c r="AJ5193" s="94"/>
      <c r="AK5193" s="94"/>
      <c r="AL5193" s="58"/>
      <c r="AM5193" s="58" t="s">
        <v>1291</v>
      </c>
      <c r="AN5193" s="186"/>
      <c r="AO5193" s="185" t="s">
        <v>7494</v>
      </c>
      <c r="AP5193" s="58"/>
      <c r="AQ5193" s="58"/>
      <c r="AR5193" s="58" t="s">
        <v>116</v>
      </c>
      <c r="AS5193" s="58" t="s">
        <v>116</v>
      </c>
      <c r="AT5193" s="247">
        <v>0</v>
      </c>
      <c r="AU5193" s="181" t="s">
        <v>7494</v>
      </c>
      <c r="AV5193" s="185" t="s">
        <v>176</v>
      </c>
      <c r="AW5193" s="244">
        <v>1</v>
      </c>
      <c r="AX5193" s="185" t="s">
        <v>176</v>
      </c>
      <c r="AY5193" s="244" t="s">
        <v>5150</v>
      </c>
      <c r="AZ5193" s="58"/>
      <c r="BA5193" s="58"/>
      <c r="BB5193" s="58"/>
      <c r="BC5193" s="58"/>
      <c r="BD5193" s="58"/>
      <c r="BE5193" s="236" t="s">
        <v>5222</v>
      </c>
      <c r="BF5193" s="191" t="s">
        <v>479</v>
      </c>
      <c r="BG5193" s="191" t="s">
        <v>479</v>
      </c>
      <c r="BH5193" s="236" t="s">
        <v>5292</v>
      </c>
      <c r="BI5193" s="191" t="s">
        <v>479</v>
      </c>
      <c r="BJ5193" s="58" t="str">
        <f>IF(BE5193=BH5193,"No","yes")</f>
        <v>yes</v>
      </c>
      <c r="BK5193" s="58" t="s">
        <v>6335</v>
      </c>
      <c r="BL5193" s="58"/>
      <c r="BM5193" s="237"/>
      <c r="BN5193" s="244">
        <v>8</v>
      </c>
      <c r="BO5193" s="244">
        <v>8</v>
      </c>
      <c r="BP5193" s="58"/>
      <c r="BQ5193" s="58"/>
      <c r="BR5193" s="58"/>
      <c r="BS5193" s="58"/>
      <c r="BT5193" s="58"/>
      <c r="BU5193" s="58"/>
      <c r="BV5193" s="58"/>
      <c r="BW5193" s="67"/>
      <c r="BX5193" s="67"/>
      <c r="BY5193" s="67"/>
      <c r="BZ5193" s="67"/>
      <c r="CA5193" s="67"/>
      <c r="CB5193" s="70">
        <v>2960</v>
      </c>
      <c r="CC5193" s="70">
        <v>2250</v>
      </c>
      <c r="CD5193" s="70"/>
      <c r="CE5193" s="67"/>
      <c r="CF5193" s="67"/>
      <c r="CG5193" s="67"/>
      <c r="CH5193" s="245"/>
      <c r="CI5193" s="245"/>
      <c r="CJ5193" s="67"/>
      <c r="CK5193" s="67"/>
      <c r="CL5193" s="67"/>
      <c r="CM5193" s="242"/>
      <c r="CN5193" s="242"/>
      <c r="CO5193" s="242"/>
      <c r="CP5193" s="242"/>
      <c r="CQ5193" s="242"/>
      <c r="CR5193" s="242"/>
      <c r="CS5193" s="242"/>
      <c r="CT5193" s="242"/>
      <c r="CU5193" s="242"/>
      <c r="CV5193" s="242"/>
      <c r="CW5193" s="242"/>
      <c r="CX5193" s="242"/>
      <c r="CY5193" s="242"/>
      <c r="CZ5193" s="242"/>
      <c r="DA5193" s="67"/>
      <c r="DB5193" s="67"/>
      <c r="DC5193" s="67"/>
      <c r="DD5193" s="67"/>
      <c r="DE5193" s="67"/>
      <c r="DF5193" s="67"/>
      <c r="DG5193" s="67"/>
      <c r="DH5193" s="67"/>
      <c r="DI5193" s="67"/>
      <c r="DJ5193" s="67"/>
      <c r="DK5193" s="67"/>
      <c r="DL5193" s="67"/>
      <c r="DM5193" s="67"/>
      <c r="DN5193" s="67"/>
      <c r="DO5193" s="67"/>
      <c r="DP5193" s="67"/>
      <c r="DQ5193" s="166"/>
      <c r="DR5193" s="166"/>
      <c r="DS5193" s="163"/>
      <c r="DT5193" s="163"/>
      <c r="DU5193" s="67"/>
      <c r="DV5193" s="67"/>
      <c r="DW5193" s="67"/>
      <c r="DX5193" s="67"/>
      <c r="DY5193" s="67"/>
      <c r="DZ5193" s="67"/>
      <c r="EA5193" s="67"/>
      <c r="EB5193" s="67"/>
      <c r="EC5193" s="67"/>
      <c r="ED5193" s="67"/>
      <c r="EE5193" s="67"/>
      <c r="EF5193" s="67"/>
      <c r="EG5193" s="67"/>
      <c r="EH5193" s="67"/>
      <c r="EI5193" s="67"/>
      <c r="EJ5193" s="67"/>
      <c r="EK5193" s="94"/>
      <c r="EL5193" s="94"/>
      <c r="EM5193" s="67"/>
      <c r="EN5193" s="67"/>
      <c r="EO5193" s="67"/>
      <c r="EP5193" s="67"/>
      <c r="EQ5193" s="67"/>
      <c r="ER5193" s="67"/>
      <c r="ES5193" s="67"/>
      <c r="ET5193" s="67"/>
      <c r="EU5193" s="67"/>
      <c r="EV5193" s="67"/>
      <c r="EW5193" s="67"/>
      <c r="EX5193" s="67"/>
      <c r="EY5193" s="67"/>
      <c r="EZ5193" s="67"/>
      <c r="FA5193" s="67"/>
      <c r="FB5193" s="67"/>
      <c r="FC5193" s="67"/>
      <c r="FD5193" s="67"/>
      <c r="FE5193" s="67"/>
      <c r="FF5193" s="67"/>
      <c r="FG5193" s="67"/>
      <c r="FH5193" s="67"/>
      <c r="FI5193" s="67"/>
      <c r="FJ5193" s="67"/>
      <c r="FK5193" s="67"/>
      <c r="FL5193" s="67"/>
      <c r="FM5193" s="67"/>
      <c r="FN5193" s="67"/>
      <c r="FO5193" s="67"/>
      <c r="FP5193" s="67"/>
      <c r="FQ5193" s="67"/>
      <c r="FR5193" s="67"/>
      <c r="FS5193" s="67"/>
      <c r="FT5193" s="67"/>
      <c r="FU5193" s="67"/>
      <c r="FV5193" s="67"/>
      <c r="FW5193" s="67"/>
      <c r="FX5193" s="67"/>
      <c r="FY5193" s="67"/>
      <c r="FZ5193" s="67"/>
      <c r="GA5193" s="67"/>
      <c r="GB5193" s="67"/>
      <c r="GC5193" s="67"/>
      <c r="GD5193" s="67"/>
      <c r="GE5193" s="67"/>
      <c r="GF5193" s="67"/>
      <c r="GG5193" s="67"/>
      <c r="GH5193" s="67"/>
      <c r="GI5193" s="67"/>
      <c r="GJ5193" s="67"/>
      <c r="GK5193" s="67"/>
      <c r="GL5193" s="67"/>
      <c r="GM5193" s="67"/>
      <c r="GN5193" s="292"/>
      <c r="GO5193" s="292"/>
      <c r="GP5193" s="292" t="s">
        <v>7494</v>
      </c>
      <c r="GQ5193" s="67"/>
      <c r="GR5193" s="67"/>
      <c r="GS5193" s="67"/>
      <c r="GT5193" s="67"/>
      <c r="GU5193" s="67"/>
      <c r="GV5193" s="67"/>
      <c r="GW5193" s="67"/>
      <c r="GX5193" s="67"/>
      <c r="GY5193" s="67"/>
      <c r="GZ5193" s="67"/>
      <c r="HA5193" s="67"/>
      <c r="HB5193" s="67"/>
      <c r="HC5193" s="67"/>
      <c r="HD5193" s="67"/>
      <c r="HE5193" s="67"/>
      <c r="HF5193" s="67"/>
      <c r="HG5193" s="67"/>
      <c r="HH5193" s="67"/>
      <c r="HI5193" s="67"/>
      <c r="HJ5193" s="67"/>
      <c r="HK5193" s="67"/>
      <c r="HL5193" s="67"/>
      <c r="HM5193" s="67"/>
      <c r="HN5193" s="67"/>
      <c r="HO5193" s="67"/>
      <c r="HP5193" s="67"/>
      <c r="HQ5193" s="67"/>
      <c r="HR5193" s="67"/>
      <c r="HS5193" s="67"/>
      <c r="HT5193" s="67"/>
      <c r="HU5193" s="67"/>
      <c r="HV5193" s="67"/>
      <c r="HW5193" s="67"/>
      <c r="HX5193" s="67"/>
      <c r="HY5193" s="67"/>
      <c r="HZ5193" s="67"/>
      <c r="IA5193" s="67"/>
      <c r="IB5193" s="67"/>
      <c r="IC5193" s="67"/>
      <c r="ID5193" s="67"/>
      <c r="IE5193" s="67"/>
      <c r="IF5193" s="67"/>
      <c r="IG5193" s="67"/>
      <c r="IH5193" s="67"/>
      <c r="II5193" s="67"/>
      <c r="IJ5193" s="67"/>
      <c r="IK5193" s="67"/>
      <c r="IL5193" s="67"/>
      <c r="IM5193" s="67"/>
      <c r="IN5193" s="67"/>
      <c r="IO5193" s="67"/>
      <c r="IP5193" s="67"/>
      <c r="IQ5193" s="67"/>
      <c r="IR5193" s="67"/>
      <c r="IS5193" s="67"/>
      <c r="IT5193" s="67"/>
      <c r="IU5193" s="67"/>
      <c r="IV5193" s="67"/>
      <c r="IW5193" s="67"/>
      <c r="IX5193" s="67"/>
      <c r="IY5193" s="67"/>
      <c r="IZ5193" s="67"/>
      <c r="JA5193" s="67"/>
      <c r="JB5193" s="67"/>
      <c r="JC5193" s="67"/>
      <c r="JD5193" s="67"/>
      <c r="JE5193" s="67"/>
      <c r="JF5193" s="67"/>
      <c r="JG5193" s="67"/>
      <c r="JH5193" s="67"/>
      <c r="JI5193" s="67"/>
      <c r="JJ5193" s="67"/>
      <c r="JK5193" s="67"/>
      <c r="JL5193" s="67"/>
      <c r="JM5193" s="67"/>
      <c r="JN5193" s="67"/>
      <c r="JO5193" s="67"/>
      <c r="JP5193" s="67"/>
      <c r="JQ5193" s="67"/>
      <c r="JR5193" s="67"/>
      <c r="JS5193" s="67"/>
      <c r="JT5193" s="67"/>
      <c r="JU5193" s="58"/>
      <c r="JV5193" s="58"/>
      <c r="JW5193" s="58"/>
    </row>
    <row r="5194" spans="1:283" s="23" customFormat="1" x14ac:dyDescent="0.25">
      <c r="A5194" s="55">
        <v>5193</v>
      </c>
      <c r="B5194" s="12" t="s">
        <v>7067</v>
      </c>
      <c r="C5194" s="156">
        <v>275</v>
      </c>
      <c r="D5194" s="58" t="s">
        <v>5043</v>
      </c>
      <c r="E5194" s="160" t="str">
        <f>G5194</f>
        <v>Teasdale et al. 2007_total horizon_pair 1</v>
      </c>
      <c r="F5194" s="160"/>
      <c r="G5194" s="60" t="s">
        <v>4685</v>
      </c>
      <c r="H5194" s="58">
        <v>2007</v>
      </c>
      <c r="I5194" s="58" t="s">
        <v>3291</v>
      </c>
      <c r="J5194" s="243" t="s">
        <v>282</v>
      </c>
      <c r="K5194" s="63" t="s">
        <v>5071</v>
      </c>
      <c r="L5194" s="58" t="s">
        <v>2737</v>
      </c>
      <c r="M5194" s="94">
        <v>39.03</v>
      </c>
      <c r="N5194" s="94">
        <v>-76.91</v>
      </c>
      <c r="O5194" s="94">
        <v>37</v>
      </c>
      <c r="P5194" s="58"/>
      <c r="Q5194" s="244">
        <v>12.800000000000002</v>
      </c>
      <c r="R5194" s="58"/>
      <c r="S5194" s="245">
        <v>1110</v>
      </c>
      <c r="T5194" s="58"/>
      <c r="U5194" s="58" t="s">
        <v>1816</v>
      </c>
      <c r="V5194" s="244">
        <v>9</v>
      </c>
      <c r="W5194" s="174"/>
      <c r="X5194" s="174"/>
      <c r="Y5194" s="58" t="s">
        <v>5471</v>
      </c>
      <c r="Z5194" s="244" t="s">
        <v>1347</v>
      </c>
      <c r="AA5194" s="245">
        <v>10</v>
      </c>
      <c r="AB5194" s="67"/>
      <c r="AC5194" s="67"/>
      <c r="AD5194" s="94"/>
      <c r="AE5194" s="94"/>
      <c r="AF5194" s="94"/>
      <c r="AG5194" s="245"/>
      <c r="AH5194" s="58" t="s">
        <v>139</v>
      </c>
      <c r="AI5194" s="169"/>
      <c r="AJ5194" s="94"/>
      <c r="AK5194" s="94"/>
      <c r="AL5194" s="58"/>
      <c r="AM5194" s="58" t="s">
        <v>1291</v>
      </c>
      <c r="AN5194" s="186"/>
      <c r="AO5194" s="185" t="s">
        <v>7494</v>
      </c>
      <c r="AP5194" s="58"/>
      <c r="AQ5194" s="58"/>
      <c r="AR5194" s="58" t="s">
        <v>132</v>
      </c>
      <c r="AS5194" s="246" t="s">
        <v>132</v>
      </c>
      <c r="AT5194" s="247">
        <v>0</v>
      </c>
      <c r="AU5194" s="181" t="s">
        <v>7494</v>
      </c>
      <c r="AV5194" s="185" t="s">
        <v>176</v>
      </c>
      <c r="AW5194" s="244">
        <v>1</v>
      </c>
      <c r="AX5194" s="185" t="s">
        <v>176</v>
      </c>
      <c r="AY5194" s="244" t="s">
        <v>5150</v>
      </c>
      <c r="AZ5194" s="58"/>
      <c r="BA5194" s="58"/>
      <c r="BB5194" s="58"/>
      <c r="BC5194" s="58"/>
      <c r="BD5194" s="58"/>
      <c r="BE5194" s="236" t="s">
        <v>5222</v>
      </c>
      <c r="BF5194" s="191" t="s">
        <v>479</v>
      </c>
      <c r="BG5194" s="191" t="s">
        <v>479</v>
      </c>
      <c r="BH5194" s="236" t="s">
        <v>5292</v>
      </c>
      <c r="BI5194" s="191" t="s">
        <v>479</v>
      </c>
      <c r="BJ5194" s="58" t="str">
        <f>IF(BE5194=BH5194,"No","yes")</f>
        <v>yes</v>
      </c>
      <c r="BK5194" s="58" t="s">
        <v>6335</v>
      </c>
      <c r="BL5194" s="58"/>
      <c r="BM5194" s="237"/>
      <c r="BN5194" s="244">
        <v>8</v>
      </c>
      <c r="BO5194" s="244">
        <v>8</v>
      </c>
      <c r="BP5194" s="58"/>
      <c r="BQ5194" s="58"/>
      <c r="BR5194" s="58"/>
      <c r="BS5194" s="58"/>
      <c r="BT5194" s="58"/>
      <c r="BU5194" s="58"/>
      <c r="BV5194" s="58"/>
      <c r="BW5194" s="67"/>
      <c r="BX5194" s="67"/>
      <c r="BY5194" s="67"/>
      <c r="BZ5194" s="67"/>
      <c r="CA5194" s="67"/>
      <c r="CB5194" s="70">
        <v>7170</v>
      </c>
      <c r="CC5194" s="70">
        <v>6970</v>
      </c>
      <c r="CD5194" s="70"/>
      <c r="CE5194" s="67"/>
      <c r="CF5194" s="67"/>
      <c r="CG5194" s="67"/>
      <c r="CH5194" s="245"/>
      <c r="CI5194" s="245"/>
      <c r="CJ5194" s="67"/>
      <c r="CK5194" s="67"/>
      <c r="CL5194" s="67"/>
      <c r="CM5194" s="242"/>
      <c r="CN5194" s="242"/>
      <c r="CO5194" s="242"/>
      <c r="CP5194" s="242"/>
      <c r="CQ5194" s="242"/>
      <c r="CR5194" s="242"/>
      <c r="CS5194" s="242"/>
      <c r="CT5194" s="242"/>
      <c r="CU5194" s="242"/>
      <c r="CV5194" s="242"/>
      <c r="CW5194" s="242"/>
      <c r="CX5194" s="242"/>
      <c r="CY5194" s="242"/>
      <c r="CZ5194" s="242"/>
      <c r="DA5194" s="67"/>
      <c r="DB5194" s="67"/>
      <c r="DC5194" s="67"/>
      <c r="DD5194" s="67"/>
      <c r="DE5194" s="67"/>
      <c r="DF5194" s="67"/>
      <c r="DG5194" s="67"/>
      <c r="DH5194" s="67"/>
      <c r="DI5194" s="67"/>
      <c r="DJ5194" s="67"/>
      <c r="DK5194" s="67"/>
      <c r="DL5194" s="67"/>
      <c r="DM5194" s="67"/>
      <c r="DN5194" s="67"/>
      <c r="DO5194" s="67"/>
      <c r="DP5194" s="67"/>
      <c r="DQ5194" s="166"/>
      <c r="DR5194" s="166"/>
      <c r="DS5194" s="163"/>
      <c r="DT5194" s="163"/>
      <c r="DU5194" s="67"/>
      <c r="DV5194" s="67"/>
      <c r="DW5194" s="67"/>
      <c r="DX5194" s="67"/>
      <c r="DY5194" s="67"/>
      <c r="DZ5194" s="67"/>
      <c r="EA5194" s="67"/>
      <c r="EB5194" s="67"/>
      <c r="EC5194" s="67"/>
      <c r="ED5194" s="67"/>
      <c r="EE5194" s="67"/>
      <c r="EF5194" s="67"/>
      <c r="EG5194" s="67"/>
      <c r="EH5194" s="67"/>
      <c r="EI5194" s="67"/>
      <c r="EJ5194" s="67"/>
      <c r="EK5194" s="94"/>
      <c r="EL5194" s="94"/>
      <c r="EM5194" s="67"/>
      <c r="EN5194" s="67"/>
      <c r="EO5194" s="67"/>
      <c r="EP5194" s="67"/>
      <c r="EQ5194" s="67"/>
      <c r="ER5194" s="67"/>
      <c r="ES5194" s="67"/>
      <c r="ET5194" s="67"/>
      <c r="EU5194" s="67"/>
      <c r="EV5194" s="67"/>
      <c r="EW5194" s="67"/>
      <c r="EX5194" s="67"/>
      <c r="EY5194" s="67"/>
      <c r="EZ5194" s="67"/>
      <c r="FA5194" s="67"/>
      <c r="FB5194" s="67"/>
      <c r="FC5194" s="67"/>
      <c r="FD5194" s="67"/>
      <c r="FE5194" s="67"/>
      <c r="FF5194" s="67"/>
      <c r="FG5194" s="67"/>
      <c r="FH5194" s="67"/>
      <c r="FI5194" s="67"/>
      <c r="FJ5194" s="67"/>
      <c r="FK5194" s="67"/>
      <c r="FL5194" s="67"/>
      <c r="FM5194" s="67"/>
      <c r="FN5194" s="67"/>
      <c r="FO5194" s="67"/>
      <c r="FP5194" s="67"/>
      <c r="FQ5194" s="67"/>
      <c r="FR5194" s="67"/>
      <c r="FS5194" s="67"/>
      <c r="FT5194" s="67"/>
      <c r="FU5194" s="67"/>
      <c r="FV5194" s="67"/>
      <c r="FW5194" s="67"/>
      <c r="FX5194" s="67"/>
      <c r="FY5194" s="67"/>
      <c r="FZ5194" s="67"/>
      <c r="GA5194" s="67"/>
      <c r="GB5194" s="67"/>
      <c r="GC5194" s="67"/>
      <c r="GD5194" s="67"/>
      <c r="GE5194" s="67"/>
      <c r="GF5194" s="67"/>
      <c r="GG5194" s="67"/>
      <c r="GH5194" s="67"/>
      <c r="GI5194" s="67"/>
      <c r="GJ5194" s="67"/>
      <c r="GK5194" s="67"/>
      <c r="GL5194" s="67"/>
      <c r="GM5194" s="67"/>
      <c r="GN5194" s="292"/>
      <c r="GO5194" s="292"/>
      <c r="GP5194" s="292" t="s">
        <v>7494</v>
      </c>
      <c r="GQ5194" s="67"/>
      <c r="GR5194" s="67"/>
      <c r="GS5194" s="67"/>
      <c r="GT5194" s="67"/>
      <c r="GU5194" s="67"/>
      <c r="GV5194" s="67"/>
      <c r="GW5194" s="67"/>
      <c r="GX5194" s="67"/>
      <c r="GY5194" s="67"/>
      <c r="GZ5194" s="67"/>
      <c r="HA5194" s="67"/>
      <c r="HB5194" s="67"/>
      <c r="HC5194" s="67"/>
      <c r="HD5194" s="67"/>
      <c r="HE5194" s="67"/>
      <c r="HF5194" s="67"/>
      <c r="HG5194" s="67"/>
      <c r="HH5194" s="67"/>
      <c r="HI5194" s="67"/>
      <c r="HJ5194" s="67"/>
      <c r="HK5194" s="67"/>
      <c r="HL5194" s="67"/>
      <c r="HM5194" s="67"/>
      <c r="HN5194" s="67"/>
      <c r="HO5194" s="67"/>
      <c r="HP5194" s="67"/>
      <c r="HQ5194" s="67"/>
      <c r="HR5194" s="67"/>
      <c r="HS5194" s="67"/>
      <c r="HT5194" s="67"/>
      <c r="HU5194" s="67"/>
      <c r="HV5194" s="67"/>
      <c r="HW5194" s="67"/>
      <c r="HX5194" s="67"/>
      <c r="HY5194" s="67"/>
      <c r="HZ5194" s="67"/>
      <c r="IA5194" s="67"/>
      <c r="IB5194" s="67"/>
      <c r="IC5194" s="67"/>
      <c r="ID5194" s="67"/>
      <c r="IE5194" s="67"/>
      <c r="IF5194" s="67"/>
      <c r="IG5194" s="67"/>
      <c r="IH5194" s="67"/>
      <c r="II5194" s="67"/>
      <c r="IJ5194" s="67"/>
      <c r="IK5194" s="67"/>
      <c r="IL5194" s="67"/>
      <c r="IM5194" s="67"/>
      <c r="IN5194" s="67"/>
      <c r="IO5194" s="67"/>
      <c r="IP5194" s="67"/>
      <c r="IQ5194" s="67"/>
      <c r="IR5194" s="67"/>
      <c r="IS5194" s="67"/>
      <c r="IT5194" s="67"/>
      <c r="IU5194" s="67"/>
      <c r="IV5194" s="67"/>
      <c r="IW5194" s="67"/>
      <c r="IX5194" s="67"/>
      <c r="IY5194" s="67"/>
      <c r="IZ5194" s="67"/>
      <c r="JA5194" s="67"/>
      <c r="JB5194" s="67"/>
      <c r="JC5194" s="67"/>
      <c r="JD5194" s="67"/>
      <c r="JE5194" s="67"/>
      <c r="JF5194" s="67"/>
      <c r="JG5194" s="67"/>
      <c r="JH5194" s="67"/>
      <c r="JI5194" s="67"/>
      <c r="JJ5194" s="67"/>
      <c r="JK5194" s="67"/>
      <c r="JL5194" s="67"/>
      <c r="JM5194" s="67"/>
      <c r="JN5194" s="67"/>
      <c r="JO5194" s="67"/>
      <c r="JP5194" s="67"/>
      <c r="JQ5194" s="67"/>
      <c r="JR5194" s="67"/>
      <c r="JS5194" s="67"/>
      <c r="JT5194" s="67"/>
      <c r="JU5194" s="58"/>
      <c r="JV5194" s="58"/>
      <c r="JW5194" s="58"/>
    </row>
    <row r="5195" spans="1:283" s="23" customFormat="1" x14ac:dyDescent="0.25">
      <c r="A5195" s="55">
        <v>5194</v>
      </c>
      <c r="B5195" s="12" t="s">
        <v>7067</v>
      </c>
      <c r="C5195" s="156">
        <v>275</v>
      </c>
      <c r="D5195" s="58" t="s">
        <v>5044</v>
      </c>
      <c r="E5195" s="160" t="str">
        <f>G5195</f>
        <v>Teasdale et al. 2007_total horizon_pair 2</v>
      </c>
      <c r="F5195" s="160"/>
      <c r="G5195" s="60" t="s">
        <v>4684</v>
      </c>
      <c r="H5195" s="58">
        <v>2007</v>
      </c>
      <c r="I5195" s="58" t="s">
        <v>3291</v>
      </c>
      <c r="J5195" s="243" t="s">
        <v>282</v>
      </c>
      <c r="K5195" s="63" t="s">
        <v>5071</v>
      </c>
      <c r="L5195" s="58" t="s">
        <v>2737</v>
      </c>
      <c r="M5195" s="94">
        <v>39.03</v>
      </c>
      <c r="N5195" s="94">
        <v>-76.91</v>
      </c>
      <c r="O5195" s="94">
        <v>37</v>
      </c>
      <c r="P5195" s="58"/>
      <c r="Q5195" s="244">
        <v>12.800000000000002</v>
      </c>
      <c r="R5195" s="58"/>
      <c r="S5195" s="245">
        <v>1110</v>
      </c>
      <c r="T5195" s="58"/>
      <c r="U5195" s="58" t="s">
        <v>1816</v>
      </c>
      <c r="V5195" s="244">
        <v>9</v>
      </c>
      <c r="W5195" s="174"/>
      <c r="X5195" s="174"/>
      <c r="Y5195" s="58" t="s">
        <v>5471</v>
      </c>
      <c r="Z5195" s="244" t="s">
        <v>1347</v>
      </c>
      <c r="AA5195" s="245">
        <v>10</v>
      </c>
      <c r="AB5195" s="67"/>
      <c r="AC5195" s="67"/>
      <c r="AD5195" s="94"/>
      <c r="AE5195" s="94"/>
      <c r="AF5195" s="94"/>
      <c r="AG5195" s="245"/>
      <c r="AH5195" s="58" t="s">
        <v>139</v>
      </c>
      <c r="AI5195" s="169"/>
      <c r="AJ5195" s="94"/>
      <c r="AK5195" s="94"/>
      <c r="AL5195" s="58"/>
      <c r="AM5195" s="58" t="s">
        <v>1291</v>
      </c>
      <c r="AN5195" s="186"/>
      <c r="AO5195" s="185" t="s">
        <v>7494</v>
      </c>
      <c r="AP5195" s="58"/>
      <c r="AQ5195" s="58"/>
      <c r="AR5195" s="58" t="s">
        <v>132</v>
      </c>
      <c r="AS5195" s="246" t="s">
        <v>132</v>
      </c>
      <c r="AT5195" s="247">
        <v>0</v>
      </c>
      <c r="AU5195" s="181" t="s">
        <v>7494</v>
      </c>
      <c r="AV5195" s="185" t="s">
        <v>176</v>
      </c>
      <c r="AW5195" s="244">
        <v>1</v>
      </c>
      <c r="AX5195" s="185" t="s">
        <v>176</v>
      </c>
      <c r="AY5195" s="244" t="s">
        <v>5150</v>
      </c>
      <c r="AZ5195" s="58"/>
      <c r="BA5195" s="58"/>
      <c r="BB5195" s="58"/>
      <c r="BC5195" s="58"/>
      <c r="BD5195" s="58"/>
      <c r="BE5195" s="236" t="s">
        <v>5223</v>
      </c>
      <c r="BF5195" s="191" t="s">
        <v>479</v>
      </c>
      <c r="BG5195" s="191" t="s">
        <v>479</v>
      </c>
      <c r="BH5195" s="236" t="s">
        <v>5292</v>
      </c>
      <c r="BI5195" s="191" t="s">
        <v>479</v>
      </c>
      <c r="BJ5195" s="58" t="str">
        <f>IF(BE5195=BH5195,"No","yes")</f>
        <v>yes</v>
      </c>
      <c r="BK5195" s="58" t="s">
        <v>6335</v>
      </c>
      <c r="BL5195" s="58"/>
      <c r="BM5195" s="237"/>
      <c r="BN5195" s="244">
        <v>8</v>
      </c>
      <c r="BO5195" s="244">
        <v>8</v>
      </c>
      <c r="BP5195" s="58"/>
      <c r="BQ5195" s="58"/>
      <c r="BR5195" s="58"/>
      <c r="BS5195" s="58"/>
      <c r="BT5195" s="58"/>
      <c r="BU5195" s="58"/>
      <c r="BV5195" s="58"/>
      <c r="BW5195" s="67"/>
      <c r="BX5195" s="67"/>
      <c r="BY5195" s="67"/>
      <c r="BZ5195" s="67"/>
      <c r="CA5195" s="67"/>
      <c r="CB5195" s="70">
        <v>7170</v>
      </c>
      <c r="CC5195" s="70">
        <v>6670</v>
      </c>
      <c r="CD5195" s="70"/>
      <c r="CE5195" s="67"/>
      <c r="CF5195" s="67"/>
      <c r="CG5195" s="67"/>
      <c r="CH5195" s="245"/>
      <c r="CI5195" s="245"/>
      <c r="CJ5195" s="67"/>
      <c r="CK5195" s="67"/>
      <c r="CL5195" s="67"/>
      <c r="CM5195" s="242"/>
      <c r="CN5195" s="242"/>
      <c r="CO5195" s="242"/>
      <c r="CP5195" s="242"/>
      <c r="CQ5195" s="242"/>
      <c r="CR5195" s="242"/>
      <c r="CS5195" s="242"/>
      <c r="CT5195" s="242"/>
      <c r="CU5195" s="242"/>
      <c r="CV5195" s="242"/>
      <c r="CW5195" s="242"/>
      <c r="CX5195" s="242"/>
      <c r="CY5195" s="242"/>
      <c r="CZ5195" s="242"/>
      <c r="DA5195" s="67"/>
      <c r="DB5195" s="67"/>
      <c r="DC5195" s="67"/>
      <c r="DD5195" s="67"/>
      <c r="DE5195" s="67"/>
      <c r="DF5195" s="67"/>
      <c r="DG5195" s="67"/>
      <c r="DH5195" s="67"/>
      <c r="DI5195" s="67"/>
      <c r="DJ5195" s="67"/>
      <c r="DK5195" s="67"/>
      <c r="DL5195" s="67"/>
      <c r="DM5195" s="67"/>
      <c r="DN5195" s="67"/>
      <c r="DO5195" s="67"/>
      <c r="DP5195" s="67"/>
      <c r="DQ5195" s="166"/>
      <c r="DR5195" s="166"/>
      <c r="DS5195" s="163"/>
      <c r="DT5195" s="163"/>
      <c r="DU5195" s="67"/>
      <c r="DV5195" s="67"/>
      <c r="DW5195" s="67"/>
      <c r="DX5195" s="67"/>
      <c r="DY5195" s="67"/>
      <c r="DZ5195" s="67"/>
      <c r="EA5195" s="67"/>
      <c r="EB5195" s="67"/>
      <c r="EC5195" s="67"/>
      <c r="ED5195" s="67"/>
      <c r="EE5195" s="67"/>
      <c r="EF5195" s="67"/>
      <c r="EG5195" s="67"/>
      <c r="EH5195" s="67"/>
      <c r="EI5195" s="67"/>
      <c r="EJ5195" s="67"/>
      <c r="EK5195" s="94"/>
      <c r="EL5195" s="94"/>
      <c r="EM5195" s="67"/>
      <c r="EN5195" s="67"/>
      <c r="EO5195" s="67"/>
      <c r="EP5195" s="67"/>
      <c r="EQ5195" s="67"/>
      <c r="ER5195" s="67"/>
      <c r="ES5195" s="67"/>
      <c r="ET5195" s="67"/>
      <c r="EU5195" s="67"/>
      <c r="EV5195" s="67"/>
      <c r="EW5195" s="67"/>
      <c r="EX5195" s="67"/>
      <c r="EY5195" s="67"/>
      <c r="EZ5195" s="67"/>
      <c r="FA5195" s="67"/>
      <c r="FB5195" s="67"/>
      <c r="FC5195" s="67"/>
      <c r="FD5195" s="67"/>
      <c r="FE5195" s="67"/>
      <c r="FF5195" s="67"/>
      <c r="FG5195" s="67"/>
      <c r="FH5195" s="67"/>
      <c r="FI5195" s="67"/>
      <c r="FJ5195" s="67"/>
      <c r="FK5195" s="67"/>
      <c r="FL5195" s="67"/>
      <c r="FM5195" s="67"/>
      <c r="FN5195" s="67"/>
      <c r="FO5195" s="67"/>
      <c r="FP5195" s="67"/>
      <c r="FQ5195" s="67"/>
      <c r="FR5195" s="67"/>
      <c r="FS5195" s="67"/>
      <c r="FT5195" s="67"/>
      <c r="FU5195" s="67"/>
      <c r="FV5195" s="67"/>
      <c r="FW5195" s="67"/>
      <c r="FX5195" s="67"/>
      <c r="FY5195" s="67"/>
      <c r="FZ5195" s="67"/>
      <c r="GA5195" s="67"/>
      <c r="GB5195" s="67"/>
      <c r="GC5195" s="67"/>
      <c r="GD5195" s="67"/>
      <c r="GE5195" s="67"/>
      <c r="GF5195" s="67"/>
      <c r="GG5195" s="67"/>
      <c r="GH5195" s="67"/>
      <c r="GI5195" s="67"/>
      <c r="GJ5195" s="67"/>
      <c r="GK5195" s="67"/>
      <c r="GL5195" s="67"/>
      <c r="GM5195" s="67"/>
      <c r="GN5195" s="292"/>
      <c r="GO5195" s="292"/>
      <c r="GP5195" s="292" t="s">
        <v>7494</v>
      </c>
      <c r="GQ5195" s="67"/>
      <c r="GR5195" s="67"/>
      <c r="GS5195" s="67"/>
      <c r="GT5195" s="67"/>
      <c r="GU5195" s="67"/>
      <c r="GV5195" s="67"/>
      <c r="GW5195" s="67"/>
      <c r="GX5195" s="67"/>
      <c r="GY5195" s="67"/>
      <c r="GZ5195" s="67"/>
      <c r="HA5195" s="67"/>
      <c r="HB5195" s="67"/>
      <c r="HC5195" s="67"/>
      <c r="HD5195" s="67"/>
      <c r="HE5195" s="67"/>
      <c r="HF5195" s="67"/>
      <c r="HG5195" s="67"/>
      <c r="HH5195" s="67"/>
      <c r="HI5195" s="67"/>
      <c r="HJ5195" s="67"/>
      <c r="HK5195" s="67"/>
      <c r="HL5195" s="67"/>
      <c r="HM5195" s="67"/>
      <c r="HN5195" s="67"/>
      <c r="HO5195" s="67"/>
      <c r="HP5195" s="67"/>
      <c r="HQ5195" s="67"/>
      <c r="HR5195" s="67"/>
      <c r="HS5195" s="67"/>
      <c r="HT5195" s="67"/>
      <c r="HU5195" s="67"/>
      <c r="HV5195" s="67"/>
      <c r="HW5195" s="67"/>
      <c r="HX5195" s="67"/>
      <c r="HY5195" s="67"/>
      <c r="HZ5195" s="67"/>
      <c r="IA5195" s="67"/>
      <c r="IB5195" s="67"/>
      <c r="IC5195" s="67"/>
      <c r="ID5195" s="67"/>
      <c r="IE5195" s="67"/>
      <c r="IF5195" s="67"/>
      <c r="IG5195" s="67"/>
      <c r="IH5195" s="67"/>
      <c r="II5195" s="67"/>
      <c r="IJ5195" s="67"/>
      <c r="IK5195" s="67"/>
      <c r="IL5195" s="67"/>
      <c r="IM5195" s="67"/>
      <c r="IN5195" s="67"/>
      <c r="IO5195" s="67"/>
      <c r="IP5195" s="67"/>
      <c r="IQ5195" s="67"/>
      <c r="IR5195" s="67"/>
      <c r="IS5195" s="67"/>
      <c r="IT5195" s="67"/>
      <c r="IU5195" s="67"/>
      <c r="IV5195" s="67"/>
      <c r="IW5195" s="67"/>
      <c r="IX5195" s="67"/>
      <c r="IY5195" s="67"/>
      <c r="IZ5195" s="67"/>
      <c r="JA5195" s="67"/>
      <c r="JB5195" s="67"/>
      <c r="JC5195" s="67"/>
      <c r="JD5195" s="67"/>
      <c r="JE5195" s="67"/>
      <c r="JF5195" s="67"/>
      <c r="JG5195" s="67"/>
      <c r="JH5195" s="67"/>
      <c r="JI5195" s="67"/>
      <c r="JJ5195" s="67"/>
      <c r="JK5195" s="67"/>
      <c r="JL5195" s="67"/>
      <c r="JM5195" s="67"/>
      <c r="JN5195" s="67"/>
      <c r="JO5195" s="67"/>
      <c r="JP5195" s="67"/>
      <c r="JQ5195" s="67"/>
      <c r="JR5195" s="67"/>
      <c r="JS5195" s="67"/>
      <c r="JT5195" s="67"/>
      <c r="JU5195" s="58"/>
      <c r="JV5195" s="58"/>
      <c r="JW5195" s="58"/>
    </row>
    <row r="5196" spans="1:283" s="23" customFormat="1" x14ac:dyDescent="0.25">
      <c r="A5196" s="55">
        <v>5195</v>
      </c>
      <c r="B5196" s="12" t="s">
        <v>7067</v>
      </c>
      <c r="C5196" s="156">
        <v>275</v>
      </c>
      <c r="D5196" s="58" t="s">
        <v>5045</v>
      </c>
      <c r="E5196" s="160" t="str">
        <f>G5196</f>
        <v>Teasdale et al. 2007_total horizon_pair 3</v>
      </c>
      <c r="F5196" s="160"/>
      <c r="G5196" s="60" t="s">
        <v>4683</v>
      </c>
      <c r="H5196" s="58">
        <v>2007</v>
      </c>
      <c r="I5196" s="58" t="s">
        <v>3291</v>
      </c>
      <c r="J5196" s="243" t="s">
        <v>282</v>
      </c>
      <c r="K5196" s="63" t="s">
        <v>5071</v>
      </c>
      <c r="L5196" s="58" t="s">
        <v>2737</v>
      </c>
      <c r="M5196" s="94">
        <v>39.03</v>
      </c>
      <c r="N5196" s="94">
        <v>-76.91</v>
      </c>
      <c r="O5196" s="94">
        <v>37</v>
      </c>
      <c r="P5196" s="58"/>
      <c r="Q5196" s="244">
        <v>12.800000000000002</v>
      </c>
      <c r="R5196" s="58"/>
      <c r="S5196" s="245">
        <v>1110</v>
      </c>
      <c r="T5196" s="58"/>
      <c r="U5196" s="58" t="s">
        <v>1816</v>
      </c>
      <c r="V5196" s="244">
        <v>9</v>
      </c>
      <c r="W5196" s="174"/>
      <c r="X5196" s="174"/>
      <c r="Y5196" s="58" t="s">
        <v>5471</v>
      </c>
      <c r="Z5196" s="244" t="s">
        <v>1347</v>
      </c>
      <c r="AA5196" s="245">
        <v>10</v>
      </c>
      <c r="AB5196" s="67"/>
      <c r="AC5196" s="67"/>
      <c r="AD5196" s="94"/>
      <c r="AE5196" s="94"/>
      <c r="AF5196" s="94"/>
      <c r="AG5196" s="245"/>
      <c r="AH5196" s="58" t="s">
        <v>139</v>
      </c>
      <c r="AI5196" s="169"/>
      <c r="AJ5196" s="94"/>
      <c r="AK5196" s="94"/>
      <c r="AL5196" s="58"/>
      <c r="AM5196" s="58" t="s">
        <v>1291</v>
      </c>
      <c r="AN5196" s="186"/>
      <c r="AO5196" s="185" t="s">
        <v>7494</v>
      </c>
      <c r="AP5196" s="58"/>
      <c r="AQ5196" s="58"/>
      <c r="AR5196" s="58" t="s">
        <v>132</v>
      </c>
      <c r="AS5196" s="246" t="s">
        <v>132</v>
      </c>
      <c r="AT5196" s="247">
        <v>0</v>
      </c>
      <c r="AU5196" s="181" t="s">
        <v>7494</v>
      </c>
      <c r="AV5196" s="185" t="s">
        <v>176</v>
      </c>
      <c r="AW5196" s="244">
        <v>1</v>
      </c>
      <c r="AX5196" s="185" t="s">
        <v>176</v>
      </c>
      <c r="AY5196" s="244" t="s">
        <v>5150</v>
      </c>
      <c r="AZ5196" s="58"/>
      <c r="BA5196" s="58"/>
      <c r="BB5196" s="58"/>
      <c r="BC5196" s="58"/>
      <c r="BD5196" s="58"/>
      <c r="BE5196" s="236" t="s">
        <v>5222</v>
      </c>
      <c r="BF5196" s="191" t="s">
        <v>479</v>
      </c>
      <c r="BG5196" s="191" t="s">
        <v>479</v>
      </c>
      <c r="BH5196" s="236" t="s">
        <v>5292</v>
      </c>
      <c r="BI5196" s="191" t="s">
        <v>479</v>
      </c>
      <c r="BJ5196" s="58" t="str">
        <f>IF(BE5196=BH5196,"No","yes")</f>
        <v>yes</v>
      </c>
      <c r="BK5196" s="58" t="s">
        <v>6335</v>
      </c>
      <c r="BL5196" s="58"/>
      <c r="BM5196" s="237"/>
      <c r="BN5196" s="244">
        <v>8</v>
      </c>
      <c r="BO5196" s="244">
        <v>8</v>
      </c>
      <c r="BP5196" s="58"/>
      <c r="BQ5196" s="58"/>
      <c r="BR5196" s="58"/>
      <c r="BS5196" s="58"/>
      <c r="BT5196" s="58"/>
      <c r="BU5196" s="58"/>
      <c r="BV5196" s="58"/>
      <c r="BW5196" s="67"/>
      <c r="BX5196" s="67"/>
      <c r="BY5196" s="67"/>
      <c r="BZ5196" s="67"/>
      <c r="CA5196" s="67"/>
      <c r="CB5196" s="70">
        <v>7170</v>
      </c>
      <c r="CC5196" s="70">
        <v>4500</v>
      </c>
      <c r="CD5196" s="70"/>
      <c r="CE5196" s="67"/>
      <c r="CF5196" s="67"/>
      <c r="CG5196" s="67"/>
      <c r="CH5196" s="245"/>
      <c r="CI5196" s="245"/>
      <c r="CJ5196" s="67"/>
      <c r="CK5196" s="67"/>
      <c r="CL5196" s="67"/>
      <c r="CM5196" s="242"/>
      <c r="CN5196" s="242"/>
      <c r="CO5196" s="242"/>
      <c r="CP5196" s="242"/>
      <c r="CQ5196" s="242"/>
      <c r="CR5196" s="242"/>
      <c r="CS5196" s="242"/>
      <c r="CT5196" s="242"/>
      <c r="CU5196" s="242"/>
      <c r="CV5196" s="242"/>
      <c r="CW5196" s="242"/>
      <c r="CX5196" s="242"/>
      <c r="CY5196" s="242"/>
      <c r="CZ5196" s="242"/>
      <c r="DA5196" s="67"/>
      <c r="DB5196" s="67"/>
      <c r="DC5196" s="67"/>
      <c r="DD5196" s="67"/>
      <c r="DE5196" s="67"/>
      <c r="DF5196" s="67"/>
      <c r="DG5196" s="67"/>
      <c r="DH5196" s="67"/>
      <c r="DI5196" s="67"/>
      <c r="DJ5196" s="67"/>
      <c r="DK5196" s="67"/>
      <c r="DL5196" s="67"/>
      <c r="DM5196" s="67"/>
      <c r="DN5196" s="67"/>
      <c r="DO5196" s="67"/>
      <c r="DP5196" s="67"/>
      <c r="DQ5196" s="166"/>
      <c r="DR5196" s="166"/>
      <c r="DS5196" s="163"/>
      <c r="DT5196" s="163"/>
      <c r="DU5196" s="67"/>
      <c r="DV5196" s="67"/>
      <c r="DW5196" s="67"/>
      <c r="DX5196" s="67"/>
      <c r="DY5196" s="67"/>
      <c r="DZ5196" s="67"/>
      <c r="EA5196" s="67"/>
      <c r="EB5196" s="67"/>
      <c r="EC5196" s="67"/>
      <c r="ED5196" s="67"/>
      <c r="EE5196" s="67"/>
      <c r="EF5196" s="67"/>
      <c r="EG5196" s="67"/>
      <c r="EH5196" s="67"/>
      <c r="EI5196" s="67"/>
      <c r="EJ5196" s="67"/>
      <c r="EK5196" s="94"/>
      <c r="EL5196" s="94"/>
      <c r="EM5196" s="67"/>
      <c r="EN5196" s="67"/>
      <c r="EO5196" s="67"/>
      <c r="EP5196" s="67"/>
      <c r="EQ5196" s="67"/>
      <c r="ER5196" s="67"/>
      <c r="ES5196" s="67"/>
      <c r="ET5196" s="67"/>
      <c r="EU5196" s="67"/>
      <c r="EV5196" s="67"/>
      <c r="EW5196" s="67"/>
      <c r="EX5196" s="67"/>
      <c r="EY5196" s="67"/>
      <c r="EZ5196" s="67"/>
      <c r="FA5196" s="67"/>
      <c r="FB5196" s="67"/>
      <c r="FC5196" s="67"/>
      <c r="FD5196" s="67"/>
      <c r="FE5196" s="67"/>
      <c r="FF5196" s="67"/>
      <c r="FG5196" s="67"/>
      <c r="FH5196" s="67"/>
      <c r="FI5196" s="67"/>
      <c r="FJ5196" s="67"/>
      <c r="FK5196" s="67"/>
      <c r="FL5196" s="67"/>
      <c r="FM5196" s="67"/>
      <c r="FN5196" s="67"/>
      <c r="FO5196" s="67"/>
      <c r="FP5196" s="67"/>
      <c r="FQ5196" s="67"/>
      <c r="FR5196" s="67"/>
      <c r="FS5196" s="67"/>
      <c r="FT5196" s="67"/>
      <c r="FU5196" s="67"/>
      <c r="FV5196" s="67"/>
      <c r="FW5196" s="67"/>
      <c r="FX5196" s="67"/>
      <c r="FY5196" s="67"/>
      <c r="FZ5196" s="67"/>
      <c r="GA5196" s="67"/>
      <c r="GB5196" s="67"/>
      <c r="GC5196" s="67"/>
      <c r="GD5196" s="67"/>
      <c r="GE5196" s="67"/>
      <c r="GF5196" s="67"/>
      <c r="GG5196" s="67"/>
      <c r="GH5196" s="67"/>
      <c r="GI5196" s="67"/>
      <c r="GJ5196" s="67"/>
      <c r="GK5196" s="67"/>
      <c r="GL5196" s="67"/>
      <c r="GM5196" s="67"/>
      <c r="GN5196" s="292"/>
      <c r="GO5196" s="292"/>
      <c r="GP5196" s="292" t="s">
        <v>7494</v>
      </c>
      <c r="GQ5196" s="67"/>
      <c r="GR5196" s="67"/>
      <c r="GS5196" s="67"/>
      <c r="GT5196" s="67"/>
      <c r="GU5196" s="67"/>
      <c r="GV5196" s="67"/>
      <c r="GW5196" s="67"/>
      <c r="GX5196" s="67"/>
      <c r="GY5196" s="67"/>
      <c r="GZ5196" s="67"/>
      <c r="HA5196" s="67"/>
      <c r="HB5196" s="67"/>
      <c r="HC5196" s="67"/>
      <c r="HD5196" s="67"/>
      <c r="HE5196" s="67"/>
      <c r="HF5196" s="67"/>
      <c r="HG5196" s="67"/>
      <c r="HH5196" s="67"/>
      <c r="HI5196" s="67"/>
      <c r="HJ5196" s="67"/>
      <c r="HK5196" s="67"/>
      <c r="HL5196" s="67"/>
      <c r="HM5196" s="67"/>
      <c r="HN5196" s="67"/>
      <c r="HO5196" s="67"/>
      <c r="HP5196" s="67"/>
      <c r="HQ5196" s="67"/>
      <c r="HR5196" s="67"/>
      <c r="HS5196" s="67"/>
      <c r="HT5196" s="67"/>
      <c r="HU5196" s="67"/>
      <c r="HV5196" s="67"/>
      <c r="HW5196" s="67"/>
      <c r="HX5196" s="67"/>
      <c r="HY5196" s="67"/>
      <c r="HZ5196" s="67"/>
      <c r="IA5196" s="67"/>
      <c r="IB5196" s="67"/>
      <c r="IC5196" s="67"/>
      <c r="ID5196" s="67"/>
      <c r="IE5196" s="67"/>
      <c r="IF5196" s="67"/>
      <c r="IG5196" s="67"/>
      <c r="IH5196" s="67"/>
      <c r="II5196" s="67"/>
      <c r="IJ5196" s="67"/>
      <c r="IK5196" s="67"/>
      <c r="IL5196" s="67"/>
      <c r="IM5196" s="67"/>
      <c r="IN5196" s="67"/>
      <c r="IO5196" s="67"/>
      <c r="IP5196" s="67"/>
      <c r="IQ5196" s="67"/>
      <c r="IR5196" s="67"/>
      <c r="IS5196" s="67"/>
      <c r="IT5196" s="67"/>
      <c r="IU5196" s="67"/>
      <c r="IV5196" s="67"/>
      <c r="IW5196" s="67"/>
      <c r="IX5196" s="67"/>
      <c r="IY5196" s="67"/>
      <c r="IZ5196" s="67"/>
      <c r="JA5196" s="67"/>
      <c r="JB5196" s="67"/>
      <c r="JC5196" s="67"/>
      <c r="JD5196" s="67"/>
      <c r="JE5196" s="67"/>
      <c r="JF5196" s="67"/>
      <c r="JG5196" s="67"/>
      <c r="JH5196" s="67"/>
      <c r="JI5196" s="67"/>
      <c r="JJ5196" s="67"/>
      <c r="JK5196" s="67"/>
      <c r="JL5196" s="67"/>
      <c r="JM5196" s="67"/>
      <c r="JN5196" s="67"/>
      <c r="JO5196" s="67"/>
      <c r="JP5196" s="67"/>
      <c r="JQ5196" s="67"/>
      <c r="JR5196" s="67"/>
      <c r="JS5196" s="67"/>
      <c r="JT5196" s="67"/>
      <c r="JU5196" s="58"/>
      <c r="JV5196" s="58"/>
      <c r="JW5196" s="58"/>
    </row>
    <row r="5197" spans="1:283" s="23" customFormat="1" x14ac:dyDescent="0.25">
      <c r="A5197" s="55">
        <v>5196</v>
      </c>
      <c r="B5197" s="12" t="s">
        <v>7067</v>
      </c>
      <c r="C5197" s="156">
        <v>275</v>
      </c>
      <c r="D5197" s="58" t="s">
        <v>5045</v>
      </c>
      <c r="E5197" s="160" t="str">
        <f>G5197</f>
        <v>Teasdale et al. 2007_total horizon_pair 3</v>
      </c>
      <c r="F5197" s="160"/>
      <c r="G5197" s="60" t="s">
        <v>4683</v>
      </c>
      <c r="H5197" s="58">
        <v>2007</v>
      </c>
      <c r="I5197" s="58" t="s">
        <v>3291</v>
      </c>
      <c r="J5197" s="243" t="s">
        <v>282</v>
      </c>
      <c r="K5197" s="63" t="s">
        <v>5071</v>
      </c>
      <c r="L5197" s="58" t="s">
        <v>2737</v>
      </c>
      <c r="M5197" s="94">
        <v>39.03</v>
      </c>
      <c r="N5197" s="94">
        <v>-76.91</v>
      </c>
      <c r="O5197" s="94">
        <v>37</v>
      </c>
      <c r="P5197" s="58"/>
      <c r="Q5197" s="244">
        <v>12.800000000000002</v>
      </c>
      <c r="R5197" s="58"/>
      <c r="S5197" s="245">
        <v>1110</v>
      </c>
      <c r="T5197" s="58"/>
      <c r="U5197" s="58" t="s">
        <v>1816</v>
      </c>
      <c r="V5197" s="244">
        <v>9</v>
      </c>
      <c r="W5197" s="174"/>
      <c r="X5197" s="174"/>
      <c r="Y5197" s="58" t="s">
        <v>5471</v>
      </c>
      <c r="Z5197" s="244" t="s">
        <v>1347</v>
      </c>
      <c r="AA5197" s="245">
        <v>10</v>
      </c>
      <c r="AB5197" s="67"/>
      <c r="AC5197" s="67"/>
      <c r="AD5197" s="94"/>
      <c r="AE5197" s="94"/>
      <c r="AF5197" s="94"/>
      <c r="AG5197" s="245"/>
      <c r="AH5197" s="58" t="s">
        <v>139</v>
      </c>
      <c r="AI5197" s="169"/>
      <c r="AJ5197" s="94"/>
      <c r="AK5197" s="94"/>
      <c r="AL5197" s="58"/>
      <c r="AM5197" s="58" t="s">
        <v>1291</v>
      </c>
      <c r="AN5197" s="186"/>
      <c r="AO5197" s="185" t="s">
        <v>7494</v>
      </c>
      <c r="AP5197" s="58"/>
      <c r="AQ5197" s="58"/>
      <c r="AR5197" s="58" t="s">
        <v>116</v>
      </c>
      <c r="AS5197" s="246" t="s">
        <v>116</v>
      </c>
      <c r="AT5197" s="247">
        <v>0</v>
      </c>
      <c r="AU5197" s="181" t="s">
        <v>7494</v>
      </c>
      <c r="AV5197" s="185" t="s">
        <v>176</v>
      </c>
      <c r="AW5197" s="244">
        <v>1</v>
      </c>
      <c r="AX5197" s="185" t="s">
        <v>176</v>
      </c>
      <c r="AY5197" s="244" t="s">
        <v>5150</v>
      </c>
      <c r="AZ5197" s="58"/>
      <c r="BA5197" s="58"/>
      <c r="BB5197" s="58"/>
      <c r="BC5197" s="58"/>
      <c r="BD5197" s="58"/>
      <c r="BE5197" s="236" t="s">
        <v>5222</v>
      </c>
      <c r="BF5197" s="191" t="s">
        <v>479</v>
      </c>
      <c r="BG5197" s="191" t="s">
        <v>479</v>
      </c>
      <c r="BH5197" s="236" t="s">
        <v>5292</v>
      </c>
      <c r="BI5197" s="191" t="s">
        <v>479</v>
      </c>
      <c r="BJ5197" s="58" t="str">
        <f>IF(BE5197=BH5197,"No","yes")</f>
        <v>yes</v>
      </c>
      <c r="BK5197" s="58" t="s">
        <v>6335</v>
      </c>
      <c r="BL5197" s="58"/>
      <c r="BM5197" s="237"/>
      <c r="BN5197" s="244">
        <v>8</v>
      </c>
      <c r="BO5197" s="244">
        <v>8</v>
      </c>
      <c r="BP5197" s="58"/>
      <c r="BQ5197" s="58"/>
      <c r="BR5197" s="58"/>
      <c r="BS5197" s="58"/>
      <c r="BT5197" s="58"/>
      <c r="BU5197" s="58"/>
      <c r="BV5197" s="58"/>
      <c r="BW5197" s="67"/>
      <c r="BX5197" s="67"/>
      <c r="BY5197" s="67"/>
      <c r="BZ5197" s="67"/>
      <c r="CA5197" s="67"/>
      <c r="CB5197" s="70">
        <v>2360</v>
      </c>
      <c r="CC5197" s="70">
        <v>3490</v>
      </c>
      <c r="CD5197" s="70"/>
      <c r="CE5197" s="67"/>
      <c r="CF5197" s="67"/>
      <c r="CG5197" s="67"/>
      <c r="CH5197" s="245"/>
      <c r="CI5197" s="245"/>
      <c r="CJ5197" s="67"/>
      <c r="CK5197" s="67"/>
      <c r="CL5197" s="67"/>
      <c r="CM5197" s="242"/>
      <c r="CN5197" s="242"/>
      <c r="CO5197" s="242"/>
      <c r="CP5197" s="242"/>
      <c r="CQ5197" s="242"/>
      <c r="CR5197" s="242"/>
      <c r="CS5197" s="242"/>
      <c r="CT5197" s="242"/>
      <c r="CU5197" s="242"/>
      <c r="CV5197" s="242"/>
      <c r="CW5197" s="242"/>
      <c r="CX5197" s="242"/>
      <c r="CY5197" s="242"/>
      <c r="CZ5197" s="242"/>
      <c r="DA5197" s="67"/>
      <c r="DB5197" s="67"/>
      <c r="DC5197" s="67"/>
      <c r="DD5197" s="67"/>
      <c r="DE5197" s="67"/>
      <c r="DF5197" s="67"/>
      <c r="DG5197" s="67"/>
      <c r="DH5197" s="67"/>
      <c r="DI5197" s="67"/>
      <c r="DJ5197" s="67"/>
      <c r="DK5197" s="67"/>
      <c r="DL5197" s="67"/>
      <c r="DM5197" s="67"/>
      <c r="DN5197" s="67"/>
      <c r="DO5197" s="67"/>
      <c r="DP5197" s="67"/>
      <c r="DQ5197" s="166"/>
      <c r="DR5197" s="166"/>
      <c r="DS5197" s="163"/>
      <c r="DT5197" s="163"/>
      <c r="DU5197" s="67"/>
      <c r="DV5197" s="67"/>
      <c r="DW5197" s="67"/>
      <c r="DX5197" s="67"/>
      <c r="DY5197" s="67"/>
      <c r="DZ5197" s="67"/>
      <c r="EA5197" s="67"/>
      <c r="EB5197" s="67"/>
      <c r="EC5197" s="67"/>
      <c r="ED5197" s="67"/>
      <c r="EE5197" s="67"/>
      <c r="EF5197" s="67"/>
      <c r="EG5197" s="67"/>
      <c r="EH5197" s="67"/>
      <c r="EI5197" s="67"/>
      <c r="EJ5197" s="67"/>
      <c r="EK5197" s="94"/>
      <c r="EL5197" s="94"/>
      <c r="EM5197" s="67"/>
      <c r="EN5197" s="67"/>
      <c r="EO5197" s="67"/>
      <c r="EP5197" s="67"/>
      <c r="EQ5197" s="67"/>
      <c r="ER5197" s="67"/>
      <c r="ES5197" s="67"/>
      <c r="ET5197" s="67"/>
      <c r="EU5197" s="67"/>
      <c r="EV5197" s="67"/>
      <c r="EW5197" s="67"/>
      <c r="EX5197" s="67"/>
      <c r="EY5197" s="67"/>
      <c r="EZ5197" s="67"/>
      <c r="FA5197" s="67"/>
      <c r="FB5197" s="67"/>
      <c r="FC5197" s="67"/>
      <c r="FD5197" s="67"/>
      <c r="FE5197" s="67"/>
      <c r="FF5197" s="67"/>
      <c r="FG5197" s="67"/>
      <c r="FH5197" s="67"/>
      <c r="FI5197" s="67"/>
      <c r="FJ5197" s="67"/>
      <c r="FK5197" s="67"/>
      <c r="FL5197" s="67"/>
      <c r="FM5197" s="67"/>
      <c r="FN5197" s="67"/>
      <c r="FO5197" s="67"/>
      <c r="FP5197" s="67"/>
      <c r="FQ5197" s="67"/>
      <c r="FR5197" s="67"/>
      <c r="FS5197" s="67"/>
      <c r="FT5197" s="67"/>
      <c r="FU5197" s="67"/>
      <c r="FV5197" s="67"/>
      <c r="FW5197" s="67"/>
      <c r="FX5197" s="67"/>
      <c r="FY5197" s="67"/>
      <c r="FZ5197" s="67"/>
      <c r="GA5197" s="67"/>
      <c r="GB5197" s="67"/>
      <c r="GC5197" s="67"/>
      <c r="GD5197" s="67"/>
      <c r="GE5197" s="67"/>
      <c r="GF5197" s="67"/>
      <c r="GG5197" s="67"/>
      <c r="GH5197" s="67"/>
      <c r="GI5197" s="67"/>
      <c r="GJ5197" s="67"/>
      <c r="GK5197" s="67"/>
      <c r="GL5197" s="67"/>
      <c r="GM5197" s="67"/>
      <c r="GN5197" s="292"/>
      <c r="GO5197" s="292"/>
      <c r="GP5197" s="292" t="s">
        <v>7494</v>
      </c>
      <c r="GQ5197" s="67"/>
      <c r="GR5197" s="67"/>
      <c r="GS5197" s="67"/>
      <c r="GT5197" s="67"/>
      <c r="GU5197" s="67"/>
      <c r="GV5197" s="67"/>
      <c r="GW5197" s="67"/>
      <c r="GX5197" s="67"/>
      <c r="GY5197" s="67"/>
      <c r="GZ5197" s="67"/>
      <c r="HA5197" s="67"/>
      <c r="HB5197" s="67"/>
      <c r="HC5197" s="67"/>
      <c r="HD5197" s="67"/>
      <c r="HE5197" s="67"/>
      <c r="HF5197" s="67"/>
      <c r="HG5197" s="67"/>
      <c r="HH5197" s="67"/>
      <c r="HI5197" s="67"/>
      <c r="HJ5197" s="67"/>
      <c r="HK5197" s="67"/>
      <c r="HL5197" s="67"/>
      <c r="HM5197" s="67"/>
      <c r="HN5197" s="67"/>
      <c r="HO5197" s="67"/>
      <c r="HP5197" s="67"/>
      <c r="HQ5197" s="67"/>
      <c r="HR5197" s="67"/>
      <c r="HS5197" s="67"/>
      <c r="HT5197" s="67"/>
      <c r="HU5197" s="67"/>
      <c r="HV5197" s="67"/>
      <c r="HW5197" s="67"/>
      <c r="HX5197" s="67"/>
      <c r="HY5197" s="67"/>
      <c r="HZ5197" s="67"/>
      <c r="IA5197" s="67"/>
      <c r="IB5197" s="67"/>
      <c r="IC5197" s="67"/>
      <c r="ID5197" s="67"/>
      <c r="IE5197" s="67"/>
      <c r="IF5197" s="67"/>
      <c r="IG5197" s="67"/>
      <c r="IH5197" s="67"/>
      <c r="II5197" s="67"/>
      <c r="IJ5197" s="67"/>
      <c r="IK5197" s="67"/>
      <c r="IL5197" s="67"/>
      <c r="IM5197" s="67"/>
      <c r="IN5197" s="67"/>
      <c r="IO5197" s="67"/>
      <c r="IP5197" s="67"/>
      <c r="IQ5197" s="67"/>
      <c r="IR5197" s="67"/>
      <c r="IS5197" s="67"/>
      <c r="IT5197" s="67"/>
      <c r="IU5197" s="67"/>
      <c r="IV5197" s="67"/>
      <c r="IW5197" s="67"/>
      <c r="IX5197" s="67"/>
      <c r="IY5197" s="67"/>
      <c r="IZ5197" s="67"/>
      <c r="JA5197" s="67"/>
      <c r="JB5197" s="67"/>
      <c r="JC5197" s="67"/>
      <c r="JD5197" s="67"/>
      <c r="JE5197" s="67"/>
      <c r="JF5197" s="67"/>
      <c r="JG5197" s="67"/>
      <c r="JH5197" s="67"/>
      <c r="JI5197" s="67"/>
      <c r="JJ5197" s="67"/>
      <c r="JK5197" s="67"/>
      <c r="JL5197" s="67"/>
      <c r="JM5197" s="67"/>
      <c r="JN5197" s="67"/>
      <c r="JO5197" s="67"/>
      <c r="JP5197" s="67"/>
      <c r="JQ5197" s="67"/>
      <c r="JR5197" s="67"/>
      <c r="JS5197" s="67"/>
      <c r="JT5197" s="67"/>
      <c r="JU5197" s="58"/>
      <c r="JV5197" s="58"/>
      <c r="JW5197" s="58"/>
    </row>
    <row r="5198" spans="1:283" s="23" customFormat="1" x14ac:dyDescent="0.25">
      <c r="A5198" s="55">
        <v>5197</v>
      </c>
      <c r="B5198" s="12" t="s">
        <v>7067</v>
      </c>
      <c r="C5198" s="156">
        <v>275</v>
      </c>
      <c r="D5198" s="58" t="s">
        <v>5045</v>
      </c>
      <c r="E5198" s="160" t="str">
        <f>G5198</f>
        <v>Teasdale et al. 2007_total horizon_pair 3</v>
      </c>
      <c r="F5198" s="160"/>
      <c r="G5198" s="60" t="s">
        <v>4683</v>
      </c>
      <c r="H5198" s="58">
        <v>2007</v>
      </c>
      <c r="I5198" s="58" t="s">
        <v>3291</v>
      </c>
      <c r="J5198" s="243" t="s">
        <v>282</v>
      </c>
      <c r="K5198" s="63" t="s">
        <v>5071</v>
      </c>
      <c r="L5198" s="58" t="s">
        <v>2737</v>
      </c>
      <c r="M5198" s="94">
        <v>39.03</v>
      </c>
      <c r="N5198" s="94">
        <v>-76.91</v>
      </c>
      <c r="O5198" s="94">
        <v>37</v>
      </c>
      <c r="P5198" s="58"/>
      <c r="Q5198" s="244">
        <v>12.800000000000002</v>
      </c>
      <c r="R5198" s="58"/>
      <c r="S5198" s="245">
        <v>1110</v>
      </c>
      <c r="T5198" s="58"/>
      <c r="U5198" s="58" t="s">
        <v>1816</v>
      </c>
      <c r="V5198" s="244">
        <v>9</v>
      </c>
      <c r="W5198" s="174"/>
      <c r="X5198" s="174"/>
      <c r="Y5198" s="58" t="s">
        <v>5471</v>
      </c>
      <c r="Z5198" s="244" t="s">
        <v>1347</v>
      </c>
      <c r="AA5198" s="245">
        <v>10</v>
      </c>
      <c r="AB5198" s="67"/>
      <c r="AC5198" s="67"/>
      <c r="AD5198" s="94"/>
      <c r="AE5198" s="94"/>
      <c r="AF5198" s="94"/>
      <c r="AG5198" s="245"/>
      <c r="AH5198" s="58" t="s">
        <v>139</v>
      </c>
      <c r="AI5198" s="169"/>
      <c r="AJ5198" s="94"/>
      <c r="AK5198" s="94"/>
      <c r="AL5198" s="58"/>
      <c r="AM5198" s="58" t="s">
        <v>1291</v>
      </c>
      <c r="AN5198" s="186"/>
      <c r="AO5198" s="185" t="s">
        <v>7494</v>
      </c>
      <c r="AP5198" s="58"/>
      <c r="AQ5198" s="58"/>
      <c r="AR5198" s="58" t="s">
        <v>116</v>
      </c>
      <c r="AS5198" s="246" t="s">
        <v>116</v>
      </c>
      <c r="AT5198" s="247">
        <v>0</v>
      </c>
      <c r="AU5198" s="181" t="s">
        <v>7494</v>
      </c>
      <c r="AV5198" s="185" t="s">
        <v>176</v>
      </c>
      <c r="AW5198" s="244">
        <v>1</v>
      </c>
      <c r="AX5198" s="185" t="s">
        <v>176</v>
      </c>
      <c r="AY5198" s="244" t="s">
        <v>5150</v>
      </c>
      <c r="AZ5198" s="58"/>
      <c r="BA5198" s="58"/>
      <c r="BB5198" s="58"/>
      <c r="BC5198" s="58"/>
      <c r="BD5198" s="58"/>
      <c r="BE5198" s="236" t="s">
        <v>5222</v>
      </c>
      <c r="BF5198" s="191" t="s">
        <v>479</v>
      </c>
      <c r="BG5198" s="191" t="s">
        <v>479</v>
      </c>
      <c r="BH5198" s="236" t="s">
        <v>5292</v>
      </c>
      <c r="BI5198" s="191" t="s">
        <v>479</v>
      </c>
      <c r="BJ5198" s="58" t="str">
        <f>IF(BE5198=BH5198,"No","yes")</f>
        <v>yes</v>
      </c>
      <c r="BK5198" s="58" t="s">
        <v>6335</v>
      </c>
      <c r="BL5198" s="58"/>
      <c r="BM5198" s="237"/>
      <c r="BN5198" s="244">
        <v>8</v>
      </c>
      <c r="BO5198" s="244">
        <v>8</v>
      </c>
      <c r="BP5198" s="58"/>
      <c r="BQ5198" s="58"/>
      <c r="BR5198" s="58"/>
      <c r="BS5198" s="58"/>
      <c r="BT5198" s="58"/>
      <c r="BU5198" s="58"/>
      <c r="BV5198" s="58"/>
      <c r="BW5198" s="67"/>
      <c r="BX5198" s="67"/>
      <c r="BY5198" s="67"/>
      <c r="BZ5198" s="67"/>
      <c r="CA5198" s="67"/>
      <c r="CB5198" s="70">
        <v>2360</v>
      </c>
      <c r="CC5198" s="70">
        <v>4140</v>
      </c>
      <c r="CD5198" s="70"/>
      <c r="CE5198" s="67"/>
      <c r="CF5198" s="67"/>
      <c r="CG5198" s="67"/>
      <c r="CH5198" s="245"/>
      <c r="CI5198" s="245"/>
      <c r="CJ5198" s="67"/>
      <c r="CK5198" s="67"/>
      <c r="CL5198" s="67"/>
      <c r="CM5198" s="242"/>
      <c r="CN5198" s="242"/>
      <c r="CO5198" s="242"/>
      <c r="CP5198" s="242"/>
      <c r="CQ5198" s="242"/>
      <c r="CR5198" s="242"/>
      <c r="CS5198" s="242"/>
      <c r="CT5198" s="242"/>
      <c r="CU5198" s="242"/>
      <c r="CV5198" s="242"/>
      <c r="CW5198" s="242"/>
      <c r="CX5198" s="242"/>
      <c r="CY5198" s="242"/>
      <c r="CZ5198" s="242"/>
      <c r="DA5198" s="67"/>
      <c r="DB5198" s="67"/>
      <c r="DC5198" s="67"/>
      <c r="DD5198" s="67"/>
      <c r="DE5198" s="67"/>
      <c r="DF5198" s="67"/>
      <c r="DG5198" s="67"/>
      <c r="DH5198" s="67"/>
      <c r="DI5198" s="67"/>
      <c r="DJ5198" s="67"/>
      <c r="DK5198" s="67"/>
      <c r="DL5198" s="67"/>
      <c r="DM5198" s="67"/>
      <c r="DN5198" s="67"/>
      <c r="DO5198" s="67"/>
      <c r="DP5198" s="67"/>
      <c r="DQ5198" s="166"/>
      <c r="DR5198" s="166"/>
      <c r="DS5198" s="163"/>
      <c r="DT5198" s="163"/>
      <c r="DU5198" s="67"/>
      <c r="DV5198" s="67"/>
      <c r="DW5198" s="67"/>
      <c r="DX5198" s="67"/>
      <c r="DY5198" s="67"/>
      <c r="DZ5198" s="67"/>
      <c r="EA5198" s="67"/>
      <c r="EB5198" s="67"/>
      <c r="EC5198" s="67"/>
      <c r="ED5198" s="67"/>
      <c r="EE5198" s="67"/>
      <c r="EF5198" s="67"/>
      <c r="EG5198" s="67"/>
      <c r="EH5198" s="67"/>
      <c r="EI5198" s="67"/>
      <c r="EJ5198" s="67"/>
      <c r="EK5198" s="94"/>
      <c r="EL5198" s="94"/>
      <c r="EM5198" s="67"/>
      <c r="EN5198" s="67"/>
      <c r="EO5198" s="67"/>
      <c r="EP5198" s="67"/>
      <c r="EQ5198" s="67"/>
      <c r="ER5198" s="67"/>
      <c r="ES5198" s="67"/>
      <c r="ET5198" s="67"/>
      <c r="EU5198" s="67"/>
      <c r="EV5198" s="67"/>
      <c r="EW5198" s="67"/>
      <c r="EX5198" s="67"/>
      <c r="EY5198" s="67"/>
      <c r="EZ5198" s="67"/>
      <c r="FA5198" s="67"/>
      <c r="FB5198" s="67"/>
      <c r="FC5198" s="67"/>
      <c r="FD5198" s="67"/>
      <c r="FE5198" s="67"/>
      <c r="FF5198" s="67"/>
      <c r="FG5198" s="67"/>
      <c r="FH5198" s="67"/>
      <c r="FI5198" s="67"/>
      <c r="FJ5198" s="67"/>
      <c r="FK5198" s="67"/>
      <c r="FL5198" s="67"/>
      <c r="FM5198" s="67"/>
      <c r="FN5198" s="67"/>
      <c r="FO5198" s="67"/>
      <c r="FP5198" s="67"/>
      <c r="FQ5198" s="67"/>
      <c r="FR5198" s="67"/>
      <c r="FS5198" s="67"/>
      <c r="FT5198" s="67"/>
      <c r="FU5198" s="67"/>
      <c r="FV5198" s="67"/>
      <c r="FW5198" s="67"/>
      <c r="FX5198" s="67"/>
      <c r="FY5198" s="67"/>
      <c r="FZ5198" s="67"/>
      <c r="GA5198" s="67"/>
      <c r="GB5198" s="67"/>
      <c r="GC5198" s="67"/>
      <c r="GD5198" s="67"/>
      <c r="GE5198" s="67"/>
      <c r="GF5198" s="67"/>
      <c r="GG5198" s="67"/>
      <c r="GH5198" s="67"/>
      <c r="GI5198" s="67"/>
      <c r="GJ5198" s="67"/>
      <c r="GK5198" s="67"/>
      <c r="GL5198" s="67"/>
      <c r="GM5198" s="67"/>
      <c r="GN5198" s="292"/>
      <c r="GO5198" s="292"/>
      <c r="GP5198" s="292" t="s">
        <v>7494</v>
      </c>
      <c r="GQ5198" s="67"/>
      <c r="GR5198" s="67"/>
      <c r="GS5198" s="67"/>
      <c r="GT5198" s="67"/>
      <c r="GU5198" s="67"/>
      <c r="GV5198" s="67"/>
      <c r="GW5198" s="67"/>
      <c r="GX5198" s="67"/>
      <c r="GY5198" s="67"/>
      <c r="GZ5198" s="67"/>
      <c r="HA5198" s="67"/>
      <c r="HB5198" s="67"/>
      <c r="HC5198" s="67"/>
      <c r="HD5198" s="67"/>
      <c r="HE5198" s="67"/>
      <c r="HF5198" s="67"/>
      <c r="HG5198" s="67"/>
      <c r="HH5198" s="67"/>
      <c r="HI5198" s="67"/>
      <c r="HJ5198" s="67"/>
      <c r="HK5198" s="67"/>
      <c r="HL5198" s="67"/>
      <c r="HM5198" s="67"/>
      <c r="HN5198" s="67"/>
      <c r="HO5198" s="67"/>
      <c r="HP5198" s="67"/>
      <c r="HQ5198" s="67"/>
      <c r="HR5198" s="67"/>
      <c r="HS5198" s="67"/>
      <c r="HT5198" s="67"/>
      <c r="HU5198" s="67"/>
      <c r="HV5198" s="67"/>
      <c r="HW5198" s="67"/>
      <c r="HX5198" s="67"/>
      <c r="HY5198" s="67"/>
      <c r="HZ5198" s="67"/>
      <c r="IA5198" s="67"/>
      <c r="IB5198" s="67"/>
      <c r="IC5198" s="67"/>
      <c r="ID5198" s="67"/>
      <c r="IE5198" s="67"/>
      <c r="IF5198" s="67"/>
      <c r="IG5198" s="67"/>
      <c r="IH5198" s="67"/>
      <c r="II5198" s="67"/>
      <c r="IJ5198" s="67"/>
      <c r="IK5198" s="67"/>
      <c r="IL5198" s="67"/>
      <c r="IM5198" s="67"/>
      <c r="IN5198" s="67"/>
      <c r="IO5198" s="67"/>
      <c r="IP5198" s="67"/>
      <c r="IQ5198" s="67"/>
      <c r="IR5198" s="67"/>
      <c r="IS5198" s="67"/>
      <c r="IT5198" s="67"/>
      <c r="IU5198" s="67"/>
      <c r="IV5198" s="67"/>
      <c r="IW5198" s="67"/>
      <c r="IX5198" s="67"/>
      <c r="IY5198" s="67"/>
      <c r="IZ5198" s="67"/>
      <c r="JA5198" s="67"/>
      <c r="JB5198" s="67"/>
      <c r="JC5198" s="67"/>
      <c r="JD5198" s="67"/>
      <c r="JE5198" s="67"/>
      <c r="JF5198" s="67"/>
      <c r="JG5198" s="67"/>
      <c r="JH5198" s="67"/>
      <c r="JI5198" s="67"/>
      <c r="JJ5198" s="67"/>
      <c r="JK5198" s="67"/>
      <c r="JL5198" s="67"/>
      <c r="JM5198" s="67"/>
      <c r="JN5198" s="67"/>
      <c r="JO5198" s="67"/>
      <c r="JP5198" s="67"/>
      <c r="JQ5198" s="67"/>
      <c r="JR5198" s="67"/>
      <c r="JS5198" s="67"/>
      <c r="JT5198" s="67"/>
      <c r="JU5198" s="58"/>
      <c r="JV5198" s="58"/>
      <c r="JW5198" s="58"/>
    </row>
    <row r="5199" spans="1:283" s="23" customFormat="1" x14ac:dyDescent="0.25">
      <c r="A5199" s="55">
        <v>5198</v>
      </c>
      <c r="B5199" s="12" t="s">
        <v>7067</v>
      </c>
      <c r="C5199" s="156">
        <v>275</v>
      </c>
      <c r="D5199" s="58" t="s">
        <v>5045</v>
      </c>
      <c r="E5199" s="160" t="str">
        <f>G5199</f>
        <v>Teasdale et al. 2007_total horizon_pair 3</v>
      </c>
      <c r="F5199" s="160"/>
      <c r="G5199" s="60" t="s">
        <v>4683</v>
      </c>
      <c r="H5199" s="58">
        <v>2007</v>
      </c>
      <c r="I5199" s="58" t="s">
        <v>5470</v>
      </c>
      <c r="J5199" s="243" t="s">
        <v>282</v>
      </c>
      <c r="K5199" s="63" t="s">
        <v>5071</v>
      </c>
      <c r="L5199" s="58" t="s">
        <v>2737</v>
      </c>
      <c r="M5199" s="94">
        <v>39.03</v>
      </c>
      <c r="N5199" s="94">
        <v>-76.91</v>
      </c>
      <c r="O5199" s="94">
        <v>37</v>
      </c>
      <c r="P5199" s="58"/>
      <c r="Q5199" s="244">
        <v>12.800000000000002</v>
      </c>
      <c r="R5199" s="58"/>
      <c r="S5199" s="245">
        <v>1110</v>
      </c>
      <c r="T5199" s="58"/>
      <c r="U5199" s="58" t="s">
        <v>1816</v>
      </c>
      <c r="V5199" s="244">
        <v>9</v>
      </c>
      <c r="W5199" s="174"/>
      <c r="X5199" s="174"/>
      <c r="Y5199" s="58" t="s">
        <v>5471</v>
      </c>
      <c r="Z5199" s="244" t="s">
        <v>1347</v>
      </c>
      <c r="AA5199" s="245">
        <v>10</v>
      </c>
      <c r="AB5199" s="67"/>
      <c r="AC5199" s="67"/>
      <c r="AD5199" s="94"/>
      <c r="AE5199" s="94"/>
      <c r="AF5199" s="94"/>
      <c r="AG5199" s="245"/>
      <c r="AH5199" s="58" t="s">
        <v>139</v>
      </c>
      <c r="AI5199" s="169"/>
      <c r="AJ5199" s="94"/>
      <c r="AK5199" s="94"/>
      <c r="AL5199" s="58"/>
      <c r="AM5199" s="58" t="s">
        <v>1291</v>
      </c>
      <c r="AN5199" s="186"/>
      <c r="AO5199" s="185" t="s">
        <v>7494</v>
      </c>
      <c r="AP5199" s="58"/>
      <c r="AQ5199" s="58"/>
      <c r="AR5199" s="58" t="s">
        <v>116</v>
      </c>
      <c r="AS5199" s="58" t="s">
        <v>116</v>
      </c>
      <c r="AT5199" s="247">
        <v>0</v>
      </c>
      <c r="AU5199" s="181" t="s">
        <v>7494</v>
      </c>
      <c r="AV5199" s="185" t="s">
        <v>176</v>
      </c>
      <c r="AW5199" s="244">
        <v>1</v>
      </c>
      <c r="AX5199" s="185" t="s">
        <v>176</v>
      </c>
      <c r="AY5199" s="244" t="s">
        <v>5150</v>
      </c>
      <c r="AZ5199" s="58"/>
      <c r="BA5199" s="58"/>
      <c r="BB5199" s="58"/>
      <c r="BC5199" s="58"/>
      <c r="BD5199" s="58"/>
      <c r="BE5199" s="236" t="s">
        <v>5222</v>
      </c>
      <c r="BF5199" s="191" t="s">
        <v>479</v>
      </c>
      <c r="BG5199" s="191" t="s">
        <v>479</v>
      </c>
      <c r="BH5199" s="236" t="s">
        <v>5292</v>
      </c>
      <c r="BI5199" s="191" t="s">
        <v>479</v>
      </c>
      <c r="BJ5199" s="58" t="str">
        <f>IF(BE5199=BH5199,"No","yes")</f>
        <v>yes</v>
      </c>
      <c r="BK5199" s="58" t="s">
        <v>6335</v>
      </c>
      <c r="BL5199" s="58"/>
      <c r="BM5199" s="237"/>
      <c r="BN5199" s="244">
        <v>8</v>
      </c>
      <c r="BO5199" s="244">
        <v>8</v>
      </c>
      <c r="BP5199" s="58"/>
      <c r="BQ5199" s="58"/>
      <c r="BR5199" s="58"/>
      <c r="BS5199" s="58"/>
      <c r="BT5199" s="58"/>
      <c r="BU5199" s="58"/>
      <c r="BV5199" s="58"/>
      <c r="BW5199" s="67"/>
      <c r="BX5199" s="67"/>
      <c r="BY5199" s="67"/>
      <c r="BZ5199" s="67"/>
      <c r="CA5199" s="67"/>
      <c r="CB5199" s="70">
        <v>4070</v>
      </c>
      <c r="CC5199" s="70">
        <v>3990</v>
      </c>
      <c r="CD5199" s="70"/>
      <c r="CE5199" s="67"/>
      <c r="CF5199" s="67"/>
      <c r="CG5199" s="67"/>
      <c r="CH5199" s="245"/>
      <c r="CI5199" s="245"/>
      <c r="CJ5199" s="67"/>
      <c r="CK5199" s="67"/>
      <c r="CL5199" s="67"/>
      <c r="CM5199" s="242"/>
      <c r="CN5199" s="242"/>
      <c r="CO5199" s="242"/>
      <c r="CP5199" s="242"/>
      <c r="CQ5199" s="242"/>
      <c r="CR5199" s="242"/>
      <c r="CS5199" s="242"/>
      <c r="CT5199" s="242"/>
      <c r="CU5199" s="242"/>
      <c r="CV5199" s="242"/>
      <c r="CW5199" s="242"/>
      <c r="CX5199" s="242"/>
      <c r="CY5199" s="242"/>
      <c r="CZ5199" s="242"/>
      <c r="DA5199" s="67"/>
      <c r="DB5199" s="67"/>
      <c r="DC5199" s="67"/>
      <c r="DD5199" s="67"/>
      <c r="DE5199" s="67"/>
      <c r="DF5199" s="67"/>
      <c r="DG5199" s="67"/>
      <c r="DH5199" s="67"/>
      <c r="DI5199" s="67"/>
      <c r="DJ5199" s="67"/>
      <c r="DK5199" s="67"/>
      <c r="DL5199" s="67"/>
      <c r="DM5199" s="67"/>
      <c r="DN5199" s="67"/>
      <c r="DO5199" s="67"/>
      <c r="DP5199" s="67"/>
      <c r="DQ5199" s="166"/>
      <c r="DR5199" s="166"/>
      <c r="DS5199" s="163"/>
      <c r="DT5199" s="163"/>
      <c r="DU5199" s="67"/>
      <c r="DV5199" s="67"/>
      <c r="DW5199" s="67"/>
      <c r="DX5199" s="67"/>
      <c r="DY5199" s="67"/>
      <c r="DZ5199" s="67"/>
      <c r="EA5199" s="67"/>
      <c r="EB5199" s="67"/>
      <c r="EC5199" s="67"/>
      <c r="ED5199" s="67"/>
      <c r="EE5199" s="67"/>
      <c r="EF5199" s="67"/>
      <c r="EG5199" s="67"/>
      <c r="EH5199" s="67"/>
      <c r="EI5199" s="67"/>
      <c r="EJ5199" s="67"/>
      <c r="EK5199" s="94"/>
      <c r="EL5199" s="94"/>
      <c r="EM5199" s="67"/>
      <c r="EN5199" s="67"/>
      <c r="EO5199" s="67"/>
      <c r="EP5199" s="67"/>
      <c r="EQ5199" s="67"/>
      <c r="ER5199" s="67"/>
      <c r="ES5199" s="67"/>
      <c r="ET5199" s="67"/>
      <c r="EU5199" s="67"/>
      <c r="EV5199" s="67"/>
      <c r="EW5199" s="67"/>
      <c r="EX5199" s="67"/>
      <c r="EY5199" s="67"/>
      <c r="EZ5199" s="67"/>
      <c r="FA5199" s="67"/>
      <c r="FB5199" s="67"/>
      <c r="FC5199" s="67"/>
      <c r="FD5199" s="67"/>
      <c r="FE5199" s="67"/>
      <c r="FF5199" s="67"/>
      <c r="FG5199" s="67"/>
      <c r="FH5199" s="67"/>
      <c r="FI5199" s="67"/>
      <c r="FJ5199" s="67"/>
      <c r="FK5199" s="67"/>
      <c r="FL5199" s="67"/>
      <c r="FM5199" s="67"/>
      <c r="FN5199" s="67"/>
      <c r="FO5199" s="67"/>
      <c r="FP5199" s="67"/>
      <c r="FQ5199" s="67"/>
      <c r="FR5199" s="67"/>
      <c r="FS5199" s="67"/>
      <c r="FT5199" s="67"/>
      <c r="FU5199" s="67"/>
      <c r="FV5199" s="67"/>
      <c r="FW5199" s="67"/>
      <c r="FX5199" s="67"/>
      <c r="FY5199" s="67"/>
      <c r="FZ5199" s="67"/>
      <c r="GA5199" s="67"/>
      <c r="GB5199" s="67"/>
      <c r="GC5199" s="67"/>
      <c r="GD5199" s="67"/>
      <c r="GE5199" s="67"/>
      <c r="GF5199" s="67"/>
      <c r="GG5199" s="67"/>
      <c r="GH5199" s="67"/>
      <c r="GI5199" s="67"/>
      <c r="GJ5199" s="67"/>
      <c r="GK5199" s="67"/>
      <c r="GL5199" s="67"/>
      <c r="GM5199" s="67"/>
      <c r="GN5199" s="292"/>
      <c r="GO5199" s="292"/>
      <c r="GP5199" s="292" t="s">
        <v>7494</v>
      </c>
      <c r="GQ5199" s="67"/>
      <c r="GR5199" s="67"/>
      <c r="GS5199" s="67"/>
      <c r="GT5199" s="67"/>
      <c r="GU5199" s="67"/>
      <c r="GV5199" s="67"/>
      <c r="GW5199" s="67"/>
      <c r="GX5199" s="67"/>
      <c r="GY5199" s="67"/>
      <c r="GZ5199" s="67"/>
      <c r="HA5199" s="67"/>
      <c r="HB5199" s="67"/>
      <c r="HC5199" s="67"/>
      <c r="HD5199" s="67"/>
      <c r="HE5199" s="67"/>
      <c r="HF5199" s="67"/>
      <c r="HG5199" s="67"/>
      <c r="HH5199" s="67"/>
      <c r="HI5199" s="67"/>
      <c r="HJ5199" s="67"/>
      <c r="HK5199" s="67"/>
      <c r="HL5199" s="67"/>
      <c r="HM5199" s="67"/>
      <c r="HN5199" s="67"/>
      <c r="HO5199" s="67"/>
      <c r="HP5199" s="67"/>
      <c r="HQ5199" s="67"/>
      <c r="HR5199" s="67"/>
      <c r="HS5199" s="67"/>
      <c r="HT5199" s="67"/>
      <c r="HU5199" s="67"/>
      <c r="HV5199" s="67"/>
      <c r="HW5199" s="67"/>
      <c r="HX5199" s="67"/>
      <c r="HY5199" s="67"/>
      <c r="HZ5199" s="67"/>
      <c r="IA5199" s="67"/>
      <c r="IB5199" s="67"/>
      <c r="IC5199" s="67"/>
      <c r="ID5199" s="67"/>
      <c r="IE5199" s="67"/>
      <c r="IF5199" s="67"/>
      <c r="IG5199" s="67"/>
      <c r="IH5199" s="67"/>
      <c r="II5199" s="67"/>
      <c r="IJ5199" s="67"/>
      <c r="IK5199" s="67"/>
      <c r="IL5199" s="67"/>
      <c r="IM5199" s="67"/>
      <c r="IN5199" s="67"/>
      <c r="IO5199" s="67"/>
      <c r="IP5199" s="67"/>
      <c r="IQ5199" s="67"/>
      <c r="IR5199" s="67"/>
      <c r="IS5199" s="67"/>
      <c r="IT5199" s="67"/>
      <c r="IU5199" s="67"/>
      <c r="IV5199" s="67"/>
      <c r="IW5199" s="67"/>
      <c r="IX5199" s="67"/>
      <c r="IY5199" s="67"/>
      <c r="IZ5199" s="67"/>
      <c r="JA5199" s="67"/>
      <c r="JB5199" s="67"/>
      <c r="JC5199" s="67"/>
      <c r="JD5199" s="67"/>
      <c r="JE5199" s="67"/>
      <c r="JF5199" s="67"/>
      <c r="JG5199" s="67"/>
      <c r="JH5199" s="67"/>
      <c r="JI5199" s="67"/>
      <c r="JJ5199" s="67"/>
      <c r="JK5199" s="67"/>
      <c r="JL5199" s="67"/>
      <c r="JM5199" s="67"/>
      <c r="JN5199" s="67"/>
      <c r="JO5199" s="67"/>
      <c r="JP5199" s="67"/>
      <c r="JQ5199" s="67"/>
      <c r="JR5199" s="67"/>
      <c r="JS5199" s="67"/>
      <c r="JT5199" s="67"/>
      <c r="JU5199" s="58"/>
      <c r="JV5199" s="58"/>
      <c r="JW5199" s="58"/>
    </row>
    <row r="5200" spans="1:283" s="23" customFormat="1" x14ac:dyDescent="0.25">
      <c r="A5200" s="55">
        <v>5199</v>
      </c>
      <c r="B5200" s="12" t="s">
        <v>7067</v>
      </c>
      <c r="C5200" s="156">
        <v>276</v>
      </c>
      <c r="D5200" s="58" t="s">
        <v>5046</v>
      </c>
      <c r="E5200" s="160" t="str">
        <f>G5200</f>
        <v>Van Diepeningen et al. 2006, clay soils</v>
      </c>
      <c r="F5200" s="160"/>
      <c r="G5200" s="60" t="s">
        <v>4682</v>
      </c>
      <c r="H5200" s="58">
        <v>2006</v>
      </c>
      <c r="I5200" s="58" t="s">
        <v>3291</v>
      </c>
      <c r="J5200" s="243" t="s">
        <v>5317</v>
      </c>
      <c r="K5200" s="63" t="s">
        <v>5070</v>
      </c>
      <c r="L5200" s="58" t="s">
        <v>5328</v>
      </c>
      <c r="M5200" s="94">
        <v>52.13</v>
      </c>
      <c r="N5200" s="94">
        <v>5.29</v>
      </c>
      <c r="O5200" s="94"/>
      <c r="P5200" s="58"/>
      <c r="Q5200" s="244"/>
      <c r="R5200" s="58"/>
      <c r="S5200" s="245"/>
      <c r="T5200" s="58"/>
      <c r="U5200" s="58" t="s">
        <v>1933</v>
      </c>
      <c r="V5200" s="244">
        <v>9.4</v>
      </c>
      <c r="W5200" s="174"/>
      <c r="X5200" s="174"/>
      <c r="Y5200" s="58" t="s">
        <v>5851</v>
      </c>
      <c r="Z5200" s="244" t="s">
        <v>3281</v>
      </c>
      <c r="AA5200" s="245">
        <v>26</v>
      </c>
      <c r="AB5200" s="67"/>
      <c r="AC5200" s="67"/>
      <c r="AD5200" s="94"/>
      <c r="AE5200" s="94">
        <v>52.4</v>
      </c>
      <c r="AF5200" s="94">
        <v>35.799999999999997</v>
      </c>
      <c r="AG5200" s="245">
        <v>11.7</v>
      </c>
      <c r="AH5200" s="58" t="s">
        <v>139</v>
      </c>
      <c r="AI5200" s="169" t="s">
        <v>5852</v>
      </c>
      <c r="AJ5200" s="94"/>
      <c r="AK5200" s="94"/>
      <c r="AL5200" s="58"/>
      <c r="AM5200" s="58"/>
      <c r="AN5200" s="186"/>
      <c r="AO5200" s="185" t="s">
        <v>5150</v>
      </c>
      <c r="AP5200" s="58"/>
      <c r="AQ5200" s="58"/>
      <c r="AR5200" s="58" t="s">
        <v>5850</v>
      </c>
      <c r="AS5200" s="246" t="s">
        <v>4584</v>
      </c>
      <c r="AT5200" s="247"/>
      <c r="AU5200" s="181" t="s">
        <v>7494</v>
      </c>
      <c r="AV5200" s="185" t="s">
        <v>479</v>
      </c>
      <c r="AW5200" s="244"/>
      <c r="AX5200" s="185" t="s">
        <v>479</v>
      </c>
      <c r="AY5200" s="244"/>
      <c r="AZ5200" s="58" t="s">
        <v>2081</v>
      </c>
      <c r="BA5200" s="58" t="s">
        <v>2081</v>
      </c>
      <c r="BB5200" s="58" t="s">
        <v>2081</v>
      </c>
      <c r="BC5200" s="58" t="s">
        <v>2081</v>
      </c>
      <c r="BD5200" s="58" t="s">
        <v>176</v>
      </c>
      <c r="BE5200" s="236" t="s">
        <v>5224</v>
      </c>
      <c r="BF5200" s="191" t="s">
        <v>479</v>
      </c>
      <c r="BG5200" s="191" t="s">
        <v>479</v>
      </c>
      <c r="BH5200" s="236" t="s">
        <v>5293</v>
      </c>
      <c r="BI5200" s="191" t="s">
        <v>479</v>
      </c>
      <c r="BJ5200" s="58" t="str">
        <f>IF(BE5200=BH5200,"No","yes")</f>
        <v>yes</v>
      </c>
      <c r="BK5200" s="58" t="s">
        <v>6334</v>
      </c>
      <c r="BL5200" s="58" t="s">
        <v>5849</v>
      </c>
      <c r="BM5200" s="237"/>
      <c r="BN5200" s="244">
        <v>7</v>
      </c>
      <c r="BO5200" s="244">
        <v>7</v>
      </c>
      <c r="BP5200" s="58"/>
      <c r="BQ5200" s="58"/>
      <c r="BR5200" s="58"/>
      <c r="BS5200" s="58"/>
      <c r="BT5200" s="58"/>
      <c r="BU5200" s="58"/>
      <c r="BV5200" s="58"/>
      <c r="BW5200" s="67"/>
      <c r="BX5200" s="67"/>
      <c r="BY5200" s="67"/>
      <c r="BZ5200" s="67"/>
      <c r="CA5200" s="67"/>
      <c r="CB5200" s="70"/>
      <c r="CC5200" s="70"/>
      <c r="CD5200" s="70"/>
      <c r="CE5200" s="67"/>
      <c r="CF5200" s="67"/>
      <c r="CG5200" s="67"/>
      <c r="CH5200" s="245"/>
      <c r="CI5200" s="245"/>
      <c r="CJ5200" s="67"/>
      <c r="CK5200" s="67"/>
      <c r="CL5200" s="67"/>
      <c r="CM5200" s="242">
        <v>2.0230000000000001</v>
      </c>
      <c r="CN5200" s="242">
        <v>2.0350000000000001</v>
      </c>
      <c r="CO5200" s="242">
        <v>0.39169999999999999</v>
      </c>
      <c r="CP5200" s="242">
        <v>0.29949999999999999</v>
      </c>
      <c r="CQ5200" s="242" t="s">
        <v>164</v>
      </c>
      <c r="CR5200" s="242"/>
      <c r="CS5200" s="242"/>
      <c r="CT5200" s="242"/>
      <c r="CU5200" s="242"/>
      <c r="CV5200" s="242"/>
      <c r="CW5200" s="242">
        <f>360/1000000*100*100*1.2*AA5200/9</f>
        <v>12.48</v>
      </c>
      <c r="CX5200" s="242">
        <f>1222/1000000*100*100*1.2*AA5200/9</f>
        <v>42.362666666666669</v>
      </c>
      <c r="CY5200" s="67"/>
      <c r="CZ5200" s="242"/>
      <c r="DA5200" s="67" t="s">
        <v>5443</v>
      </c>
      <c r="DB5200" s="67">
        <v>868.6</v>
      </c>
      <c r="DC5200" s="67">
        <v>899.8</v>
      </c>
      <c r="DD5200" s="67">
        <v>149.1</v>
      </c>
      <c r="DE5200" s="67">
        <v>135.6</v>
      </c>
      <c r="DF5200" s="67" t="s">
        <v>5854</v>
      </c>
      <c r="DG5200" s="67"/>
      <c r="DH5200" s="67"/>
      <c r="DI5200" s="67"/>
      <c r="DJ5200" s="67"/>
      <c r="DK5200" s="67"/>
      <c r="DL5200" s="67"/>
      <c r="DM5200" s="67"/>
      <c r="DN5200" s="67"/>
      <c r="DO5200" s="67"/>
      <c r="DP5200" s="67"/>
      <c r="DQ5200" s="166">
        <v>7.39</v>
      </c>
      <c r="DR5200" s="166">
        <v>7.32</v>
      </c>
      <c r="DS5200" s="163">
        <v>0.12</v>
      </c>
      <c r="DT5200" s="163">
        <v>0.1</v>
      </c>
      <c r="DU5200" s="67"/>
      <c r="DV5200" s="67"/>
      <c r="DW5200" s="67"/>
      <c r="DX5200" s="67"/>
      <c r="DY5200" s="67"/>
      <c r="DZ5200" s="67"/>
      <c r="EA5200" s="67"/>
      <c r="EB5200" s="67"/>
      <c r="EC5200" s="67"/>
      <c r="ED5200" s="67"/>
      <c r="EE5200" s="67"/>
      <c r="EF5200" s="67"/>
      <c r="EG5200" s="67"/>
      <c r="EH5200" s="67"/>
      <c r="EI5200" s="67"/>
      <c r="EJ5200" s="67"/>
      <c r="EK5200" s="94"/>
      <c r="EL5200" s="94"/>
      <c r="EM5200" s="67"/>
      <c r="EN5200" s="67"/>
      <c r="EO5200" s="67"/>
      <c r="EP5200" s="67"/>
      <c r="EQ5200" s="67"/>
      <c r="ER5200" s="67"/>
      <c r="ES5200" s="67"/>
      <c r="ET5200" s="67"/>
      <c r="EU5200" s="67"/>
      <c r="EV5200" s="67"/>
      <c r="EW5200" s="67"/>
      <c r="EX5200" s="67"/>
      <c r="EY5200" s="67"/>
      <c r="EZ5200" s="67"/>
      <c r="FA5200" s="67"/>
      <c r="FB5200" s="67"/>
      <c r="FC5200" s="67"/>
      <c r="FD5200" s="67"/>
      <c r="FE5200" s="67"/>
      <c r="FF5200" s="67"/>
      <c r="FG5200" s="67"/>
      <c r="FH5200" s="67"/>
      <c r="FI5200" s="67"/>
      <c r="FJ5200" s="67"/>
      <c r="FK5200" s="67"/>
      <c r="FL5200" s="67"/>
      <c r="FM5200" s="67"/>
      <c r="FN5200" s="67"/>
      <c r="FO5200" s="67"/>
      <c r="FP5200" s="67"/>
      <c r="FQ5200" s="67"/>
      <c r="FR5200" s="67"/>
      <c r="FS5200" s="67"/>
      <c r="FT5200" s="67"/>
      <c r="FU5200" s="67"/>
      <c r="FV5200" s="67"/>
      <c r="FW5200" s="67"/>
      <c r="FX5200" s="67"/>
      <c r="FY5200" s="67"/>
      <c r="FZ5200" s="67"/>
      <c r="GA5200" s="67"/>
      <c r="GB5200" s="67"/>
      <c r="GC5200" s="67"/>
      <c r="GD5200" s="67"/>
      <c r="GE5200" s="67"/>
      <c r="GF5200" s="67"/>
      <c r="GG5200" s="67"/>
      <c r="GH5200" s="67"/>
      <c r="GI5200" s="67"/>
      <c r="GJ5200" s="67"/>
      <c r="GK5200" s="67"/>
      <c r="GL5200" s="67"/>
      <c r="GM5200" s="67"/>
      <c r="GN5200" s="292"/>
      <c r="GO5200" s="292"/>
      <c r="GP5200" s="292" t="s">
        <v>7494</v>
      </c>
      <c r="GQ5200" s="67"/>
      <c r="GR5200" s="67"/>
      <c r="GS5200" s="67"/>
      <c r="GT5200" s="67"/>
      <c r="GU5200" s="67"/>
      <c r="GV5200" s="67"/>
      <c r="GW5200" s="67"/>
      <c r="GX5200" s="67"/>
      <c r="GY5200" s="67"/>
      <c r="GZ5200" s="67"/>
      <c r="HA5200" s="67"/>
      <c r="HB5200" s="67"/>
      <c r="HC5200" s="67"/>
      <c r="HD5200" s="67"/>
      <c r="HE5200" s="67"/>
      <c r="HF5200" s="67"/>
      <c r="HG5200" s="67"/>
      <c r="HH5200" s="67"/>
      <c r="HI5200" s="67"/>
      <c r="HJ5200" s="67"/>
      <c r="HK5200" s="67"/>
      <c r="HL5200" s="67"/>
      <c r="HM5200" s="67"/>
      <c r="HN5200" s="67">
        <v>2.21</v>
      </c>
      <c r="HO5200" s="67">
        <v>2.44</v>
      </c>
      <c r="HP5200" s="67">
        <v>1.3</v>
      </c>
      <c r="HQ5200" s="67">
        <v>1.36</v>
      </c>
      <c r="HR5200" s="67" t="s">
        <v>5856</v>
      </c>
      <c r="HS5200" s="67">
        <v>0.94</v>
      </c>
      <c r="HT5200" s="67">
        <v>1.01</v>
      </c>
      <c r="HU5200" s="67">
        <v>0.18</v>
      </c>
      <c r="HV5200" s="67">
        <v>7.0000000000000007E-2</v>
      </c>
      <c r="HW5200" s="67" t="s">
        <v>5857</v>
      </c>
      <c r="HX5200" s="67"/>
      <c r="HY5200" s="67"/>
      <c r="HZ5200" s="67"/>
      <c r="IA5200" s="67"/>
      <c r="IB5200" s="67"/>
      <c r="IC5200" s="67"/>
      <c r="ID5200" s="67"/>
      <c r="IE5200" s="67"/>
      <c r="IF5200" s="67"/>
      <c r="IG5200" s="67"/>
      <c r="IH5200" s="67"/>
      <c r="II5200" s="67"/>
      <c r="IJ5200" s="67"/>
      <c r="IK5200" s="67"/>
      <c r="IL5200" s="67"/>
      <c r="IM5200" s="67"/>
      <c r="IN5200" s="67"/>
      <c r="IO5200" s="67"/>
      <c r="IP5200" s="67"/>
      <c r="IQ5200" s="67"/>
      <c r="IR5200" s="67"/>
      <c r="IS5200" s="67"/>
      <c r="IT5200" s="67"/>
      <c r="IU5200" s="67"/>
      <c r="IV5200" s="67"/>
      <c r="IW5200" s="67">
        <v>4.54</v>
      </c>
      <c r="IX5200" s="67">
        <v>7.69</v>
      </c>
      <c r="IY5200" s="67">
        <v>2.65</v>
      </c>
      <c r="IZ5200" s="67">
        <v>3.4</v>
      </c>
      <c r="JA5200" s="67" t="s">
        <v>5855</v>
      </c>
      <c r="JB5200" s="67"/>
      <c r="JC5200" s="67"/>
      <c r="JD5200" s="67"/>
      <c r="JE5200" s="67"/>
      <c r="JF5200" s="67"/>
      <c r="JG5200" s="67"/>
      <c r="JH5200" s="67"/>
      <c r="JI5200" s="67"/>
      <c r="JJ5200" s="67"/>
      <c r="JK5200" s="67"/>
      <c r="JL5200" s="67"/>
      <c r="JM5200" s="67"/>
      <c r="JN5200" s="67"/>
      <c r="JO5200" s="67"/>
      <c r="JP5200" s="67"/>
      <c r="JQ5200" s="67"/>
      <c r="JR5200" s="67">
        <v>99999</v>
      </c>
      <c r="JS5200" s="67"/>
      <c r="JT5200" s="67">
        <v>99999</v>
      </c>
      <c r="JU5200" s="58"/>
      <c r="JV5200" s="58"/>
      <c r="JW5200" s="58"/>
    </row>
    <row r="5201" spans="1:283" s="23" customFormat="1" x14ac:dyDescent="0.25">
      <c r="A5201" s="55">
        <v>5200</v>
      </c>
      <c r="B5201" s="12" t="s">
        <v>7067</v>
      </c>
      <c r="C5201" s="156">
        <v>276</v>
      </c>
      <c r="D5201" s="58" t="s">
        <v>5047</v>
      </c>
      <c r="E5201" s="160" t="str">
        <f>G5201</f>
        <v>Van Diepeningen et al. 2006, sandy soils</v>
      </c>
      <c r="F5201" s="160"/>
      <c r="G5201" s="60" t="s">
        <v>4681</v>
      </c>
      <c r="H5201" s="58">
        <v>2006</v>
      </c>
      <c r="I5201" s="58" t="s">
        <v>3291</v>
      </c>
      <c r="J5201" s="243" t="s">
        <v>5317</v>
      </c>
      <c r="K5201" s="63" t="s">
        <v>5070</v>
      </c>
      <c r="L5201" s="58" t="s">
        <v>5328</v>
      </c>
      <c r="M5201" s="94">
        <v>52.13</v>
      </c>
      <c r="N5201" s="94">
        <v>5.29</v>
      </c>
      <c r="O5201" s="94"/>
      <c r="P5201" s="58"/>
      <c r="Q5201" s="244"/>
      <c r="R5201" s="58"/>
      <c r="S5201" s="245"/>
      <c r="T5201" s="58"/>
      <c r="U5201" s="58" t="s">
        <v>1679</v>
      </c>
      <c r="V5201" s="244">
        <v>10.3</v>
      </c>
      <c r="W5201" s="174"/>
      <c r="X5201" s="174"/>
      <c r="Y5201" s="58" t="s">
        <v>2250</v>
      </c>
      <c r="Z5201" s="244" t="s">
        <v>5149</v>
      </c>
      <c r="AA5201" s="245">
        <v>21.3</v>
      </c>
      <c r="AB5201" s="67"/>
      <c r="AC5201" s="67"/>
      <c r="AD5201" s="94"/>
      <c r="AE5201" s="94">
        <v>17.100000000000001</v>
      </c>
      <c r="AF5201" s="94">
        <v>79.2</v>
      </c>
      <c r="AG5201" s="245">
        <v>3.7</v>
      </c>
      <c r="AH5201" s="58" t="s">
        <v>6378</v>
      </c>
      <c r="AI5201" s="169" t="s">
        <v>5853</v>
      </c>
      <c r="AJ5201" s="94"/>
      <c r="AK5201" s="94"/>
      <c r="AL5201" s="58"/>
      <c r="AM5201" s="58"/>
      <c r="AN5201" s="186"/>
      <c r="AO5201" s="185" t="s">
        <v>5150</v>
      </c>
      <c r="AP5201" s="58"/>
      <c r="AQ5201" s="58"/>
      <c r="AR5201" s="58" t="s">
        <v>5850</v>
      </c>
      <c r="AS5201" s="246" t="s">
        <v>4584</v>
      </c>
      <c r="AT5201" s="247"/>
      <c r="AU5201" s="181" t="s">
        <v>7494</v>
      </c>
      <c r="AV5201" s="185" t="s">
        <v>479</v>
      </c>
      <c r="AW5201" s="244"/>
      <c r="AX5201" s="185" t="s">
        <v>479</v>
      </c>
      <c r="AY5201" s="244"/>
      <c r="AZ5201" s="58" t="s">
        <v>2081</v>
      </c>
      <c r="BA5201" s="58" t="s">
        <v>2081</v>
      </c>
      <c r="BB5201" s="58" t="s">
        <v>2081</v>
      </c>
      <c r="BC5201" s="58" t="s">
        <v>2081</v>
      </c>
      <c r="BD5201" s="58" t="s">
        <v>176</v>
      </c>
      <c r="BE5201" s="236" t="s">
        <v>5225</v>
      </c>
      <c r="BF5201" s="191" t="s">
        <v>479</v>
      </c>
      <c r="BG5201" s="191" t="s">
        <v>479</v>
      </c>
      <c r="BH5201" s="236" t="s">
        <v>5294</v>
      </c>
      <c r="BI5201" s="191" t="s">
        <v>479</v>
      </c>
      <c r="BJ5201" s="58" t="str">
        <f>IF(BE5201=BH5201,"No","yes")</f>
        <v>yes</v>
      </c>
      <c r="BK5201" s="58" t="s">
        <v>6334</v>
      </c>
      <c r="BL5201" s="58" t="s">
        <v>5849</v>
      </c>
      <c r="BM5201" s="237"/>
      <c r="BN5201" s="244">
        <v>6</v>
      </c>
      <c r="BO5201" s="244">
        <v>6</v>
      </c>
      <c r="BP5201" s="58"/>
      <c r="BQ5201" s="58"/>
      <c r="BR5201" s="58"/>
      <c r="BS5201" s="58"/>
      <c r="BT5201" s="58"/>
      <c r="BU5201" s="58"/>
      <c r="BV5201" s="58"/>
      <c r="BW5201" s="67"/>
      <c r="BX5201" s="67"/>
      <c r="BY5201" s="67"/>
      <c r="BZ5201" s="67"/>
      <c r="CA5201" s="67"/>
      <c r="CB5201" s="70"/>
      <c r="CC5201" s="70"/>
      <c r="CD5201" s="70"/>
      <c r="CE5201" s="67"/>
      <c r="CF5201" s="67"/>
      <c r="CG5201" s="67"/>
      <c r="CH5201" s="245"/>
      <c r="CI5201" s="245"/>
      <c r="CJ5201" s="67"/>
      <c r="CK5201" s="67"/>
      <c r="CL5201" s="67"/>
      <c r="CM5201" s="242">
        <v>2.54</v>
      </c>
      <c r="CN5201" s="242">
        <v>2.8319999999999999</v>
      </c>
      <c r="CO5201" s="242">
        <v>1.07</v>
      </c>
      <c r="CP5201" s="242">
        <v>0.9073</v>
      </c>
      <c r="CQ5201" s="242" t="s">
        <v>164</v>
      </c>
      <c r="CR5201" s="242"/>
      <c r="CS5201" s="242"/>
      <c r="CT5201" s="242"/>
      <c r="CU5201" s="242"/>
      <c r="CV5201" s="242"/>
      <c r="CW5201" s="242">
        <f>1272/1000000*100*100*1.2*AA5201/10</f>
        <v>32.512319999999995</v>
      </c>
      <c r="CX5201" s="242">
        <f>4093/1000000*100*100*1.2*AA5201/9</f>
        <v>116.24120000000001</v>
      </c>
      <c r="CY5201" s="67"/>
      <c r="CZ5201" s="242"/>
      <c r="DA5201" s="67" t="s">
        <v>5443</v>
      </c>
      <c r="DB5201" s="67">
        <v>784.7</v>
      </c>
      <c r="DC5201" s="67">
        <v>781.3</v>
      </c>
      <c r="DD5201" s="67">
        <v>78.2</v>
      </c>
      <c r="DE5201" s="67">
        <v>170.8</v>
      </c>
      <c r="DF5201" s="67" t="s">
        <v>5854</v>
      </c>
      <c r="DG5201" s="67"/>
      <c r="DH5201" s="67"/>
      <c r="DI5201" s="67"/>
      <c r="DJ5201" s="67"/>
      <c r="DK5201" s="67"/>
      <c r="DL5201" s="67"/>
      <c r="DM5201" s="67"/>
      <c r="DN5201" s="67"/>
      <c r="DO5201" s="67"/>
      <c r="DP5201" s="67"/>
      <c r="DQ5201" s="166">
        <v>5.46</v>
      </c>
      <c r="DR5201" s="166">
        <v>5.38</v>
      </c>
      <c r="DS5201" s="163">
        <v>0.72</v>
      </c>
      <c r="DT5201" s="163">
        <v>0.62</v>
      </c>
      <c r="DU5201" s="67"/>
      <c r="DV5201" s="67"/>
      <c r="DW5201" s="67"/>
      <c r="DX5201" s="67"/>
      <c r="DY5201" s="67"/>
      <c r="DZ5201" s="67"/>
      <c r="EA5201" s="67"/>
      <c r="EB5201" s="67"/>
      <c r="EC5201" s="67"/>
      <c r="ED5201" s="67"/>
      <c r="EE5201" s="67"/>
      <c r="EF5201" s="67"/>
      <c r="EG5201" s="67"/>
      <c r="EH5201" s="67"/>
      <c r="EI5201" s="67"/>
      <c r="EJ5201" s="67"/>
      <c r="EK5201" s="94"/>
      <c r="EL5201" s="94"/>
      <c r="EM5201" s="67"/>
      <c r="EN5201" s="67"/>
      <c r="EO5201" s="67"/>
      <c r="EP5201" s="67"/>
      <c r="EQ5201" s="67"/>
      <c r="ER5201" s="67"/>
      <c r="ES5201" s="67"/>
      <c r="ET5201" s="67"/>
      <c r="EU5201" s="67"/>
      <c r="EV5201" s="67"/>
      <c r="EW5201" s="67"/>
      <c r="EX5201" s="67"/>
      <c r="EY5201" s="67"/>
      <c r="EZ5201" s="67"/>
      <c r="FA5201" s="67"/>
      <c r="FB5201" s="67"/>
      <c r="FC5201" s="67"/>
      <c r="FD5201" s="67"/>
      <c r="FE5201" s="67"/>
      <c r="FF5201" s="67"/>
      <c r="FG5201" s="67"/>
      <c r="FH5201" s="67"/>
      <c r="FI5201" s="67"/>
      <c r="FJ5201" s="67"/>
      <c r="FK5201" s="67"/>
      <c r="FL5201" s="67"/>
      <c r="FM5201" s="67"/>
      <c r="FN5201" s="67"/>
      <c r="FO5201" s="67"/>
      <c r="FP5201" s="67"/>
      <c r="FQ5201" s="67"/>
      <c r="FR5201" s="67"/>
      <c r="FS5201" s="67"/>
      <c r="FT5201" s="67"/>
      <c r="FU5201" s="67"/>
      <c r="FV5201" s="67"/>
      <c r="FW5201" s="67"/>
      <c r="FX5201" s="67"/>
      <c r="FY5201" s="67"/>
      <c r="FZ5201" s="67"/>
      <c r="GA5201" s="67"/>
      <c r="GB5201" s="67"/>
      <c r="GC5201" s="67"/>
      <c r="GD5201" s="67"/>
      <c r="GE5201" s="67"/>
      <c r="GF5201" s="67"/>
      <c r="GG5201" s="67"/>
      <c r="GH5201" s="67"/>
      <c r="GI5201" s="67"/>
      <c r="GJ5201" s="67"/>
      <c r="GK5201" s="67"/>
      <c r="GL5201" s="67"/>
      <c r="GM5201" s="67"/>
      <c r="GN5201" s="292"/>
      <c r="GO5201" s="292"/>
      <c r="GP5201" s="292" t="s">
        <v>7494</v>
      </c>
      <c r="GQ5201" s="67"/>
      <c r="GR5201" s="67"/>
      <c r="GS5201" s="67"/>
      <c r="GT5201" s="67"/>
      <c r="GU5201" s="67"/>
      <c r="GV5201" s="67"/>
      <c r="GW5201" s="67"/>
      <c r="GX5201" s="67"/>
      <c r="GY5201" s="67"/>
      <c r="GZ5201" s="67"/>
      <c r="HA5201" s="67"/>
      <c r="HB5201" s="67"/>
      <c r="HC5201" s="67"/>
      <c r="HD5201" s="67"/>
      <c r="HE5201" s="67"/>
      <c r="HF5201" s="67"/>
      <c r="HG5201" s="67"/>
      <c r="HH5201" s="67"/>
      <c r="HI5201" s="67"/>
      <c r="HJ5201" s="67"/>
      <c r="HK5201" s="67"/>
      <c r="HL5201" s="67"/>
      <c r="HM5201" s="67"/>
      <c r="HN5201" s="67">
        <v>1.77</v>
      </c>
      <c r="HO5201" s="67">
        <v>2.36</v>
      </c>
      <c r="HP5201" s="67">
        <v>0.48</v>
      </c>
      <c r="HQ5201" s="67">
        <v>0.77</v>
      </c>
      <c r="HR5201" s="67" t="s">
        <v>5856</v>
      </c>
      <c r="HS5201" s="67">
        <v>0.93</v>
      </c>
      <c r="HT5201" s="67">
        <v>1.02</v>
      </c>
      <c r="HU5201" s="67">
        <v>0.17</v>
      </c>
      <c r="HV5201" s="67">
        <v>0.15</v>
      </c>
      <c r="HW5201" s="67" t="s">
        <v>5857</v>
      </c>
      <c r="HX5201" s="67"/>
      <c r="HY5201" s="67"/>
      <c r="HZ5201" s="67"/>
      <c r="IA5201" s="67"/>
      <c r="IB5201" s="67"/>
      <c r="IC5201" s="67"/>
      <c r="ID5201" s="67"/>
      <c r="IE5201" s="67"/>
      <c r="IF5201" s="67"/>
      <c r="IG5201" s="67"/>
      <c r="IH5201" s="67"/>
      <c r="II5201" s="67"/>
      <c r="IJ5201" s="67"/>
      <c r="IK5201" s="67"/>
      <c r="IL5201" s="67"/>
      <c r="IM5201" s="67"/>
      <c r="IN5201" s="67"/>
      <c r="IO5201" s="67"/>
      <c r="IP5201" s="67"/>
      <c r="IQ5201" s="67"/>
      <c r="IR5201" s="67"/>
      <c r="IS5201" s="67"/>
      <c r="IT5201" s="67"/>
      <c r="IU5201" s="67"/>
      <c r="IV5201" s="67"/>
      <c r="IW5201" s="67">
        <v>4.99</v>
      </c>
      <c r="IX5201" s="67">
        <v>4.99</v>
      </c>
      <c r="IY5201" s="67">
        <v>1.6</v>
      </c>
      <c r="IZ5201" s="67">
        <v>3.61</v>
      </c>
      <c r="JA5201" s="67" t="s">
        <v>5855</v>
      </c>
      <c r="JB5201" s="67"/>
      <c r="JC5201" s="67"/>
      <c r="JD5201" s="67"/>
      <c r="JE5201" s="67"/>
      <c r="JF5201" s="67"/>
      <c r="JG5201" s="67"/>
      <c r="JH5201" s="67"/>
      <c r="JI5201" s="67"/>
      <c r="JJ5201" s="67"/>
      <c r="JK5201" s="67"/>
      <c r="JL5201" s="67"/>
      <c r="JM5201" s="67"/>
      <c r="JN5201" s="67"/>
      <c r="JO5201" s="67"/>
      <c r="JP5201" s="67"/>
      <c r="JQ5201" s="67"/>
      <c r="JR5201" s="67">
        <v>99999</v>
      </c>
      <c r="JS5201" s="67"/>
      <c r="JT5201" s="67">
        <v>99999</v>
      </c>
      <c r="JU5201" s="58"/>
      <c r="JV5201" s="58"/>
      <c r="JW5201" s="58"/>
    </row>
    <row r="5202" spans="1:283" s="23" customFormat="1" x14ac:dyDescent="0.25">
      <c r="A5202" s="55">
        <v>5201</v>
      </c>
      <c r="B5202" s="12" t="s">
        <v>7067</v>
      </c>
      <c r="C5202" s="156">
        <v>277</v>
      </c>
      <c r="D5202" s="58" t="s">
        <v>5048</v>
      </c>
      <c r="E5202" s="160" t="str">
        <f>G5202</f>
        <v>Vavoulidou et al. 2009_Arkadia</v>
      </c>
      <c r="F5202" s="160"/>
      <c r="G5202" s="60" t="s">
        <v>4680</v>
      </c>
      <c r="H5202" s="58">
        <v>2009</v>
      </c>
      <c r="I5202" s="58" t="s">
        <v>5470</v>
      </c>
      <c r="J5202" s="243" t="s">
        <v>5326</v>
      </c>
      <c r="K5202" s="63" t="s">
        <v>5069</v>
      </c>
      <c r="L5202" s="58" t="s">
        <v>5329</v>
      </c>
      <c r="M5202" s="94">
        <v>39.07</v>
      </c>
      <c r="N5202" s="94">
        <v>21.82</v>
      </c>
      <c r="O5202" s="94"/>
      <c r="P5202" s="58"/>
      <c r="Q5202" s="244">
        <v>18.399999999999999</v>
      </c>
      <c r="R5202" s="58"/>
      <c r="S5202" s="245">
        <v>371</v>
      </c>
      <c r="T5202" s="58"/>
      <c r="U5202" s="244">
        <v>3</v>
      </c>
      <c r="V5202" s="244">
        <v>3</v>
      </c>
      <c r="W5202" s="174"/>
      <c r="X5202" s="174"/>
      <c r="Y5202" s="58" t="s">
        <v>5693</v>
      </c>
      <c r="Z5202" s="244" t="s">
        <v>1356</v>
      </c>
      <c r="AA5202" s="245">
        <v>30</v>
      </c>
      <c r="AB5202" s="67"/>
      <c r="AC5202" s="67"/>
      <c r="AD5202" s="94"/>
      <c r="AE5202" s="94"/>
      <c r="AF5202" s="94"/>
      <c r="AG5202" s="245">
        <v>38</v>
      </c>
      <c r="AH5202" s="58" t="s">
        <v>139</v>
      </c>
      <c r="AI5202" s="169"/>
      <c r="AJ5202" s="94"/>
      <c r="AK5202" s="94"/>
      <c r="AL5202" s="58"/>
      <c r="AM5202" s="58"/>
      <c r="AN5202" s="186" t="s">
        <v>1430</v>
      </c>
      <c r="AO5202" s="185" t="s">
        <v>5150</v>
      </c>
      <c r="AP5202" s="58"/>
      <c r="AQ5202" s="58" t="s">
        <v>4584</v>
      </c>
      <c r="AR5202" s="58" t="s">
        <v>1430</v>
      </c>
      <c r="AS5202" s="246" t="s">
        <v>3471</v>
      </c>
      <c r="AT5202" s="247">
        <v>0</v>
      </c>
      <c r="AU5202" s="181" t="s">
        <v>7494</v>
      </c>
      <c r="AV5202" s="185" t="s">
        <v>176</v>
      </c>
      <c r="AW5202" s="244">
        <v>0</v>
      </c>
      <c r="AX5202" s="185" t="s">
        <v>176</v>
      </c>
      <c r="AY5202" s="244" t="s">
        <v>176</v>
      </c>
      <c r="AZ5202" s="58"/>
      <c r="BA5202" s="58"/>
      <c r="BB5202" s="58"/>
      <c r="BC5202" s="58"/>
      <c r="BD5202" s="58"/>
      <c r="BE5202" s="236" t="s">
        <v>5153</v>
      </c>
      <c r="BF5202" s="191" t="s">
        <v>176</v>
      </c>
      <c r="BG5202" s="191" t="s">
        <v>176</v>
      </c>
      <c r="BH5202" s="236" t="s">
        <v>5153</v>
      </c>
      <c r="BI5202" s="191" t="s">
        <v>176</v>
      </c>
      <c r="BJ5202" s="58" t="str">
        <f>IF(BE5202=BH5202,"No","yes")</f>
        <v>No</v>
      </c>
      <c r="BK5202" s="58" t="s">
        <v>6335</v>
      </c>
      <c r="BL5202" s="58"/>
      <c r="BM5202" s="237"/>
      <c r="BN5202" s="244">
        <v>4</v>
      </c>
      <c r="BO5202" s="244">
        <v>6</v>
      </c>
      <c r="BP5202" s="58"/>
      <c r="BQ5202" s="58"/>
      <c r="BR5202" s="58"/>
      <c r="BS5202" s="58"/>
      <c r="BT5202" s="58"/>
      <c r="BU5202" s="58"/>
      <c r="BV5202" s="58"/>
      <c r="BW5202" s="67"/>
      <c r="BX5202" s="67"/>
      <c r="BY5202" s="67"/>
      <c r="BZ5202" s="67"/>
      <c r="CA5202" s="67"/>
      <c r="CB5202" s="70"/>
      <c r="CC5202" s="70"/>
      <c r="CD5202" s="70"/>
      <c r="CE5202" s="67"/>
      <c r="CF5202" s="67"/>
      <c r="CG5202" s="67"/>
      <c r="CH5202" s="245"/>
      <c r="CI5202" s="245"/>
      <c r="CJ5202" s="67"/>
      <c r="CK5202" s="67"/>
      <c r="CL5202" s="67"/>
      <c r="CM5202" s="242">
        <v>0.8</v>
      </c>
      <c r="CN5202" s="242">
        <v>0.77</v>
      </c>
      <c r="CO5202" s="242">
        <v>0.22</v>
      </c>
      <c r="CP5202" s="242">
        <v>0.28000000000000003</v>
      </c>
      <c r="CQ5202" s="242" t="s">
        <v>164</v>
      </c>
      <c r="CR5202" s="242"/>
      <c r="CS5202" s="242"/>
      <c r="CT5202" s="242"/>
      <c r="CU5202" s="242"/>
      <c r="CV5202" s="242"/>
      <c r="CW5202" s="242"/>
      <c r="CX5202" s="242"/>
      <c r="CY5202" s="242"/>
      <c r="CZ5202" s="242"/>
      <c r="DA5202" s="67" t="s">
        <v>5443</v>
      </c>
      <c r="DB5202" s="67"/>
      <c r="DC5202" s="67"/>
      <c r="DD5202" s="67"/>
      <c r="DE5202" s="67"/>
      <c r="DF5202" s="67"/>
      <c r="DG5202" s="67"/>
      <c r="DH5202" s="67"/>
      <c r="DI5202" s="67"/>
      <c r="DJ5202" s="67"/>
      <c r="DK5202" s="67"/>
      <c r="DL5202" s="67"/>
      <c r="DM5202" s="67"/>
      <c r="DN5202" s="67"/>
      <c r="DO5202" s="67"/>
      <c r="DP5202" s="67"/>
      <c r="DQ5202" s="166"/>
      <c r="DR5202" s="166"/>
      <c r="DS5202" s="163"/>
      <c r="DT5202" s="163"/>
      <c r="DU5202" s="67"/>
      <c r="DV5202" s="67"/>
      <c r="DW5202" s="67"/>
      <c r="DX5202" s="67"/>
      <c r="DY5202" s="67"/>
      <c r="DZ5202" s="67"/>
      <c r="EA5202" s="67"/>
      <c r="EB5202" s="67"/>
      <c r="EC5202" s="67"/>
      <c r="ED5202" s="67"/>
      <c r="EE5202" s="67"/>
      <c r="EF5202" s="67"/>
      <c r="EG5202" s="67"/>
      <c r="EH5202" s="67"/>
      <c r="EI5202" s="67"/>
      <c r="EJ5202" s="67"/>
      <c r="EK5202" s="94"/>
      <c r="EL5202" s="94"/>
      <c r="EM5202" s="67"/>
      <c r="EN5202" s="67"/>
      <c r="EO5202" s="67"/>
      <c r="EP5202" s="67"/>
      <c r="EQ5202" s="67"/>
      <c r="ER5202" s="67"/>
      <c r="ES5202" s="67"/>
      <c r="ET5202" s="67"/>
      <c r="EU5202" s="67"/>
      <c r="EV5202" s="67"/>
      <c r="EW5202" s="67"/>
      <c r="EX5202" s="67"/>
      <c r="EY5202" s="67"/>
      <c r="EZ5202" s="67"/>
      <c r="FA5202" s="67"/>
      <c r="FB5202" s="67"/>
      <c r="FC5202" s="67"/>
      <c r="FD5202" s="67"/>
      <c r="FE5202" s="67"/>
      <c r="FF5202" s="67"/>
      <c r="FG5202" s="67"/>
      <c r="FH5202" s="67"/>
      <c r="FI5202" s="67"/>
      <c r="FJ5202" s="67"/>
      <c r="FK5202" s="67"/>
      <c r="FL5202" s="67"/>
      <c r="FM5202" s="67"/>
      <c r="FN5202" s="67"/>
      <c r="FO5202" s="67"/>
      <c r="FP5202" s="67"/>
      <c r="FQ5202" s="67"/>
      <c r="FR5202" s="67"/>
      <c r="FS5202" s="67"/>
      <c r="FT5202" s="67"/>
      <c r="FU5202" s="67"/>
      <c r="FV5202" s="67"/>
      <c r="FW5202" s="67"/>
      <c r="FX5202" s="67"/>
      <c r="FY5202" s="67"/>
      <c r="FZ5202" s="67"/>
      <c r="GA5202" s="67"/>
      <c r="GB5202" s="67"/>
      <c r="GC5202" s="67"/>
      <c r="GD5202" s="67"/>
      <c r="GE5202" s="67"/>
      <c r="GF5202" s="67"/>
      <c r="GG5202" s="67"/>
      <c r="GH5202" s="67"/>
      <c r="GI5202" s="67"/>
      <c r="GJ5202" s="67"/>
      <c r="GK5202" s="67"/>
      <c r="GL5202" s="67"/>
      <c r="GM5202" s="67"/>
      <c r="GN5202" s="292"/>
      <c r="GO5202" s="292"/>
      <c r="GP5202" s="292" t="s">
        <v>7494</v>
      </c>
      <c r="GQ5202" s="67"/>
      <c r="GR5202" s="67"/>
      <c r="GS5202" s="67"/>
      <c r="GT5202" s="67"/>
      <c r="GU5202" s="67"/>
      <c r="GV5202" s="67"/>
      <c r="GW5202" s="67"/>
      <c r="GX5202" s="67"/>
      <c r="GY5202" s="67"/>
      <c r="GZ5202" s="67"/>
      <c r="HA5202" s="67"/>
      <c r="HB5202" s="67"/>
      <c r="HC5202" s="67"/>
      <c r="HD5202" s="67">
        <v>28.24</v>
      </c>
      <c r="HE5202" s="67">
        <v>31.92</v>
      </c>
      <c r="HF5202" s="67">
        <f>(45.29-HD5202)/1.96</f>
        <v>8.6989795918367356</v>
      </c>
      <c r="HG5202" s="67">
        <v>10</v>
      </c>
      <c r="HH5202" s="67" t="s">
        <v>5858</v>
      </c>
      <c r="HI5202" s="67"/>
      <c r="HJ5202" s="67"/>
      <c r="HK5202" s="67"/>
      <c r="HL5202" s="67"/>
      <c r="HM5202" s="67"/>
      <c r="HN5202" s="67"/>
      <c r="HO5202" s="67"/>
      <c r="HP5202" s="67"/>
      <c r="HQ5202" s="67"/>
      <c r="HR5202" s="67"/>
      <c r="HS5202" s="67"/>
      <c r="HT5202" s="67"/>
      <c r="HU5202" s="67"/>
      <c r="HV5202" s="67"/>
      <c r="HW5202" s="67"/>
      <c r="HX5202" s="67"/>
      <c r="HY5202" s="67"/>
      <c r="HZ5202" s="67"/>
      <c r="IA5202" s="67"/>
      <c r="IB5202" s="67"/>
      <c r="IC5202" s="67"/>
      <c r="ID5202" s="67"/>
      <c r="IE5202" s="67"/>
      <c r="IF5202" s="67"/>
      <c r="IG5202" s="67"/>
      <c r="IH5202" s="67"/>
      <c r="II5202" s="67"/>
      <c r="IJ5202" s="67"/>
      <c r="IK5202" s="67"/>
      <c r="IL5202" s="67"/>
      <c r="IM5202" s="67"/>
      <c r="IN5202" s="67"/>
      <c r="IO5202" s="67"/>
      <c r="IP5202" s="67"/>
      <c r="IQ5202" s="67"/>
      <c r="IR5202" s="67"/>
      <c r="IS5202" s="67"/>
      <c r="IT5202" s="67"/>
      <c r="IU5202" s="67"/>
      <c r="IV5202" s="67"/>
      <c r="IW5202" s="67"/>
      <c r="IX5202" s="67"/>
      <c r="IY5202" s="67"/>
      <c r="IZ5202" s="67"/>
      <c r="JA5202" s="67"/>
      <c r="JB5202" s="67"/>
      <c r="JC5202" s="67"/>
      <c r="JD5202" s="67"/>
      <c r="JE5202" s="67"/>
      <c r="JF5202" s="67"/>
      <c r="JG5202" s="67"/>
      <c r="JH5202" s="67"/>
      <c r="JI5202" s="67"/>
      <c r="JJ5202" s="67"/>
      <c r="JK5202" s="67"/>
      <c r="JL5202" s="67"/>
      <c r="JM5202" s="67"/>
      <c r="JN5202" s="67"/>
      <c r="JO5202" s="67"/>
      <c r="JP5202" s="67"/>
      <c r="JQ5202" s="67">
        <v>99999</v>
      </c>
      <c r="JR5202" s="67"/>
      <c r="JS5202" s="67"/>
      <c r="JT5202" s="67"/>
      <c r="JU5202" s="58"/>
      <c r="JV5202" s="58"/>
      <c r="JW5202" s="58"/>
    </row>
    <row r="5203" spans="1:283" s="23" customFormat="1" x14ac:dyDescent="0.25">
      <c r="A5203" s="55">
        <v>5202</v>
      </c>
      <c r="B5203" s="12" t="s">
        <v>7067</v>
      </c>
      <c r="C5203" s="156">
        <v>277</v>
      </c>
      <c r="D5203" s="58" t="s">
        <v>5049</v>
      </c>
      <c r="E5203" s="160" t="str">
        <f>G5203</f>
        <v>Vavoulidou et al. 2009_Attiki</v>
      </c>
      <c r="F5203" s="160"/>
      <c r="G5203" s="60" t="s">
        <v>4679</v>
      </c>
      <c r="H5203" s="58">
        <v>2009</v>
      </c>
      <c r="I5203" s="58" t="s">
        <v>5470</v>
      </c>
      <c r="J5203" s="243" t="s">
        <v>5326</v>
      </c>
      <c r="K5203" s="63" t="s">
        <v>5068</v>
      </c>
      <c r="L5203" s="58" t="s">
        <v>5329</v>
      </c>
      <c r="M5203" s="94">
        <v>39.07</v>
      </c>
      <c r="N5203" s="94">
        <v>21.82</v>
      </c>
      <c r="O5203" s="94"/>
      <c r="P5203" s="58"/>
      <c r="Q5203" s="244">
        <v>18.399999999999999</v>
      </c>
      <c r="R5203" s="58"/>
      <c r="S5203" s="245">
        <v>371</v>
      </c>
      <c r="T5203" s="58"/>
      <c r="U5203" s="244">
        <v>3</v>
      </c>
      <c r="V5203" s="244">
        <v>3</v>
      </c>
      <c r="W5203" s="174"/>
      <c r="X5203" s="174"/>
      <c r="Y5203" s="58" t="s">
        <v>5693</v>
      </c>
      <c r="Z5203" s="244" t="s">
        <v>1356</v>
      </c>
      <c r="AA5203" s="245">
        <v>30</v>
      </c>
      <c r="AB5203" s="67"/>
      <c r="AC5203" s="67"/>
      <c r="AD5203" s="94"/>
      <c r="AE5203" s="94"/>
      <c r="AF5203" s="94"/>
      <c r="AG5203" s="245">
        <v>41.8</v>
      </c>
      <c r="AH5203" s="58" t="s">
        <v>139</v>
      </c>
      <c r="AI5203" s="169"/>
      <c r="AJ5203" s="94"/>
      <c r="AK5203" s="94"/>
      <c r="AL5203" s="58"/>
      <c r="AM5203" s="58"/>
      <c r="AN5203" s="186" t="s">
        <v>1430</v>
      </c>
      <c r="AO5203" s="185" t="s">
        <v>5150</v>
      </c>
      <c r="AP5203" s="58"/>
      <c r="AQ5203" s="58" t="s">
        <v>4584</v>
      </c>
      <c r="AR5203" s="58" t="s">
        <v>1430</v>
      </c>
      <c r="AS5203" s="246" t="s">
        <v>3471</v>
      </c>
      <c r="AT5203" s="247">
        <v>0</v>
      </c>
      <c r="AU5203" s="181" t="s">
        <v>7494</v>
      </c>
      <c r="AV5203" s="185" t="s">
        <v>176</v>
      </c>
      <c r="AW5203" s="244">
        <v>0</v>
      </c>
      <c r="AX5203" s="185" t="s">
        <v>176</v>
      </c>
      <c r="AY5203" s="244" t="s">
        <v>176</v>
      </c>
      <c r="AZ5203" s="58"/>
      <c r="BA5203" s="58"/>
      <c r="BB5203" s="58"/>
      <c r="BC5203" s="58"/>
      <c r="BD5203" s="58"/>
      <c r="BE5203" s="236" t="s">
        <v>5153</v>
      </c>
      <c r="BF5203" s="191" t="s">
        <v>176</v>
      </c>
      <c r="BG5203" s="191" t="s">
        <v>176</v>
      </c>
      <c r="BH5203" s="236" t="s">
        <v>5153</v>
      </c>
      <c r="BI5203" s="191" t="s">
        <v>176</v>
      </c>
      <c r="BJ5203" s="58" t="str">
        <f>IF(BE5203=BH5203,"No","yes")</f>
        <v>No</v>
      </c>
      <c r="BK5203" s="58" t="s">
        <v>6335</v>
      </c>
      <c r="BL5203" s="58"/>
      <c r="BM5203" s="237"/>
      <c r="BN5203" s="244">
        <v>4</v>
      </c>
      <c r="BO5203" s="244">
        <v>4</v>
      </c>
      <c r="BP5203" s="58"/>
      <c r="BQ5203" s="58"/>
      <c r="BR5203" s="58"/>
      <c r="BS5203" s="58"/>
      <c r="BT5203" s="58"/>
      <c r="BU5203" s="58"/>
      <c r="BV5203" s="58"/>
      <c r="BW5203" s="67"/>
      <c r="BX5203" s="67"/>
      <c r="BY5203" s="67"/>
      <c r="BZ5203" s="67"/>
      <c r="CA5203" s="67"/>
      <c r="CB5203" s="70"/>
      <c r="CC5203" s="70"/>
      <c r="CD5203" s="70"/>
      <c r="CE5203" s="67"/>
      <c r="CF5203" s="67"/>
      <c r="CG5203" s="67"/>
      <c r="CH5203" s="245"/>
      <c r="CI5203" s="245"/>
      <c r="CJ5203" s="67"/>
      <c r="CK5203" s="67"/>
      <c r="CL5203" s="67"/>
      <c r="CM5203" s="242">
        <v>0.67</v>
      </c>
      <c r="CN5203" s="242">
        <v>0.91400000000000003</v>
      </c>
      <c r="CO5203" s="242">
        <v>0.17</v>
      </c>
      <c r="CP5203" s="242">
        <v>0.09</v>
      </c>
      <c r="CQ5203" s="242" t="s">
        <v>164</v>
      </c>
      <c r="CR5203" s="242"/>
      <c r="CS5203" s="242"/>
      <c r="CT5203" s="242"/>
      <c r="CU5203" s="242"/>
      <c r="CV5203" s="242"/>
      <c r="CW5203" s="242"/>
      <c r="CX5203" s="242"/>
      <c r="CY5203" s="242"/>
      <c r="CZ5203" s="242"/>
      <c r="DA5203" s="67" t="s">
        <v>5443</v>
      </c>
      <c r="DB5203" s="67"/>
      <c r="DC5203" s="67"/>
      <c r="DD5203" s="67"/>
      <c r="DE5203" s="67"/>
      <c r="DF5203" s="67"/>
      <c r="DG5203" s="67"/>
      <c r="DH5203" s="67"/>
      <c r="DI5203" s="67"/>
      <c r="DJ5203" s="67"/>
      <c r="DK5203" s="67"/>
      <c r="DL5203" s="67"/>
      <c r="DM5203" s="67"/>
      <c r="DN5203" s="67"/>
      <c r="DO5203" s="67"/>
      <c r="DP5203" s="67"/>
      <c r="DQ5203" s="166"/>
      <c r="DR5203" s="166"/>
      <c r="DS5203" s="163"/>
      <c r="DT5203" s="163"/>
      <c r="DU5203" s="67"/>
      <c r="DV5203" s="67"/>
      <c r="DW5203" s="67"/>
      <c r="DX5203" s="67"/>
      <c r="DY5203" s="67"/>
      <c r="DZ5203" s="67"/>
      <c r="EA5203" s="67"/>
      <c r="EB5203" s="67"/>
      <c r="EC5203" s="67"/>
      <c r="ED5203" s="67"/>
      <c r="EE5203" s="67"/>
      <c r="EF5203" s="67"/>
      <c r="EG5203" s="67"/>
      <c r="EH5203" s="67"/>
      <c r="EI5203" s="67"/>
      <c r="EJ5203" s="67"/>
      <c r="EK5203" s="94"/>
      <c r="EL5203" s="94"/>
      <c r="EM5203" s="67"/>
      <c r="EN5203" s="67"/>
      <c r="EO5203" s="67"/>
      <c r="EP5203" s="67"/>
      <c r="EQ5203" s="67"/>
      <c r="ER5203" s="67"/>
      <c r="ES5203" s="67"/>
      <c r="ET5203" s="67"/>
      <c r="EU5203" s="67"/>
      <c r="EV5203" s="67"/>
      <c r="EW5203" s="67"/>
      <c r="EX5203" s="67"/>
      <c r="EY5203" s="67"/>
      <c r="EZ5203" s="67"/>
      <c r="FA5203" s="67"/>
      <c r="FB5203" s="67"/>
      <c r="FC5203" s="67"/>
      <c r="FD5203" s="67"/>
      <c r="FE5203" s="67"/>
      <c r="FF5203" s="67"/>
      <c r="FG5203" s="67"/>
      <c r="FH5203" s="67"/>
      <c r="FI5203" s="67"/>
      <c r="FJ5203" s="67"/>
      <c r="FK5203" s="67"/>
      <c r="FL5203" s="67"/>
      <c r="FM5203" s="67"/>
      <c r="FN5203" s="67"/>
      <c r="FO5203" s="67"/>
      <c r="FP5203" s="67"/>
      <c r="FQ5203" s="67"/>
      <c r="FR5203" s="67"/>
      <c r="FS5203" s="67"/>
      <c r="FT5203" s="67"/>
      <c r="FU5203" s="67"/>
      <c r="FV5203" s="67"/>
      <c r="FW5203" s="67"/>
      <c r="FX5203" s="67"/>
      <c r="FY5203" s="67"/>
      <c r="FZ5203" s="67"/>
      <c r="GA5203" s="67"/>
      <c r="GB5203" s="67"/>
      <c r="GC5203" s="67"/>
      <c r="GD5203" s="67"/>
      <c r="GE5203" s="67"/>
      <c r="GF5203" s="67"/>
      <c r="GG5203" s="67"/>
      <c r="GH5203" s="67"/>
      <c r="GI5203" s="67"/>
      <c r="GJ5203" s="67"/>
      <c r="GK5203" s="67"/>
      <c r="GL5203" s="67"/>
      <c r="GM5203" s="67"/>
      <c r="GN5203" s="292"/>
      <c r="GO5203" s="292"/>
      <c r="GP5203" s="292" t="s">
        <v>7494</v>
      </c>
      <c r="GQ5203" s="67"/>
      <c r="GR5203" s="67"/>
      <c r="GS5203" s="67"/>
      <c r="GT5203" s="67"/>
      <c r="GU5203" s="67"/>
      <c r="GV5203" s="67"/>
      <c r="GW5203" s="67"/>
      <c r="GX5203" s="67"/>
      <c r="GY5203" s="67"/>
      <c r="GZ5203" s="67"/>
      <c r="HA5203" s="67"/>
      <c r="HB5203" s="67"/>
      <c r="HC5203" s="67"/>
      <c r="HD5203" s="67">
        <v>28.83</v>
      </c>
      <c r="HE5203" s="67">
        <v>38.130000000000003</v>
      </c>
      <c r="HF5203" s="67">
        <v>10</v>
      </c>
      <c r="HG5203" s="67">
        <v>10</v>
      </c>
      <c r="HH5203" s="67" t="s">
        <v>5858</v>
      </c>
      <c r="HI5203" s="67"/>
      <c r="HJ5203" s="67"/>
      <c r="HK5203" s="67"/>
      <c r="HL5203" s="67"/>
      <c r="HM5203" s="67"/>
      <c r="HN5203" s="67"/>
      <c r="HO5203" s="67"/>
      <c r="HP5203" s="67"/>
      <c r="HQ5203" s="67"/>
      <c r="HR5203" s="67"/>
      <c r="HS5203" s="67"/>
      <c r="HT5203" s="67"/>
      <c r="HU5203" s="67"/>
      <c r="HV5203" s="67"/>
      <c r="HW5203" s="67"/>
      <c r="HX5203" s="67"/>
      <c r="HY5203" s="67"/>
      <c r="HZ5203" s="67"/>
      <c r="IA5203" s="67"/>
      <c r="IB5203" s="67"/>
      <c r="IC5203" s="67"/>
      <c r="ID5203" s="67"/>
      <c r="IE5203" s="67"/>
      <c r="IF5203" s="67"/>
      <c r="IG5203" s="67"/>
      <c r="IH5203" s="67"/>
      <c r="II5203" s="67"/>
      <c r="IJ5203" s="67"/>
      <c r="IK5203" s="67"/>
      <c r="IL5203" s="67"/>
      <c r="IM5203" s="67"/>
      <c r="IN5203" s="67"/>
      <c r="IO5203" s="67"/>
      <c r="IP5203" s="67"/>
      <c r="IQ5203" s="67"/>
      <c r="IR5203" s="67"/>
      <c r="IS5203" s="67"/>
      <c r="IT5203" s="67"/>
      <c r="IU5203" s="67"/>
      <c r="IV5203" s="67"/>
      <c r="IW5203" s="67"/>
      <c r="IX5203" s="67"/>
      <c r="IY5203" s="67"/>
      <c r="IZ5203" s="67"/>
      <c r="JA5203" s="67"/>
      <c r="JB5203" s="67"/>
      <c r="JC5203" s="67"/>
      <c r="JD5203" s="67"/>
      <c r="JE5203" s="67"/>
      <c r="JF5203" s="67"/>
      <c r="JG5203" s="67"/>
      <c r="JH5203" s="67"/>
      <c r="JI5203" s="67"/>
      <c r="JJ5203" s="67"/>
      <c r="JK5203" s="67"/>
      <c r="JL5203" s="67"/>
      <c r="JM5203" s="67"/>
      <c r="JN5203" s="67"/>
      <c r="JO5203" s="67"/>
      <c r="JP5203" s="67"/>
      <c r="JQ5203" s="67">
        <v>99999</v>
      </c>
      <c r="JR5203" s="67"/>
      <c r="JS5203" s="67"/>
      <c r="JT5203" s="67"/>
      <c r="JU5203" s="58"/>
      <c r="JV5203" s="58"/>
      <c r="JW5203" s="58"/>
    </row>
    <row r="5204" spans="1:283" s="23" customFormat="1" x14ac:dyDescent="0.25">
      <c r="A5204" s="55">
        <v>5203</v>
      </c>
      <c r="B5204" s="12" t="s">
        <v>7067</v>
      </c>
      <c r="C5204" s="156">
        <v>277</v>
      </c>
      <c r="D5204" s="58" t="s">
        <v>5050</v>
      </c>
      <c r="E5204" s="160" t="str">
        <f>G5204</f>
        <v>Vavoulidou et al. 2009_Chania citrus</v>
      </c>
      <c r="F5204" s="160"/>
      <c r="G5204" s="60" t="s">
        <v>4678</v>
      </c>
      <c r="H5204" s="58">
        <v>2009</v>
      </c>
      <c r="I5204" s="58" t="s">
        <v>5470</v>
      </c>
      <c r="J5204" s="243" t="s">
        <v>5326</v>
      </c>
      <c r="K5204" s="63" t="s">
        <v>5067</v>
      </c>
      <c r="L5204" s="58" t="s">
        <v>5329</v>
      </c>
      <c r="M5204" s="94">
        <v>39.07</v>
      </c>
      <c r="N5204" s="94">
        <v>21.82</v>
      </c>
      <c r="O5204" s="94"/>
      <c r="P5204" s="58"/>
      <c r="Q5204" s="244">
        <v>18.399999999999999</v>
      </c>
      <c r="R5204" s="58"/>
      <c r="S5204" s="245">
        <v>371</v>
      </c>
      <c r="T5204" s="58"/>
      <c r="U5204" s="244">
        <v>3</v>
      </c>
      <c r="V5204" s="244">
        <v>3</v>
      </c>
      <c r="W5204" s="174"/>
      <c r="X5204" s="174"/>
      <c r="Y5204" s="58" t="s">
        <v>5693</v>
      </c>
      <c r="Z5204" s="244" t="s">
        <v>1356</v>
      </c>
      <c r="AA5204" s="245">
        <v>30</v>
      </c>
      <c r="AB5204" s="67"/>
      <c r="AC5204" s="67"/>
      <c r="AD5204" s="94"/>
      <c r="AE5204" s="94"/>
      <c r="AF5204" s="94"/>
      <c r="AG5204" s="245">
        <v>36</v>
      </c>
      <c r="AH5204" s="58" t="s">
        <v>139</v>
      </c>
      <c r="AI5204" s="169"/>
      <c r="AJ5204" s="94"/>
      <c r="AK5204" s="94"/>
      <c r="AL5204" s="58"/>
      <c r="AM5204" s="58"/>
      <c r="AN5204" s="186" t="s">
        <v>1430</v>
      </c>
      <c r="AO5204" s="185" t="s">
        <v>5150</v>
      </c>
      <c r="AP5204" s="58"/>
      <c r="AQ5204" s="58" t="s">
        <v>4584</v>
      </c>
      <c r="AR5204" s="58" t="s">
        <v>1430</v>
      </c>
      <c r="AS5204" s="246" t="s">
        <v>3471</v>
      </c>
      <c r="AT5204" s="247">
        <v>0</v>
      </c>
      <c r="AU5204" s="181" t="s">
        <v>7494</v>
      </c>
      <c r="AV5204" s="185" t="s">
        <v>176</v>
      </c>
      <c r="AW5204" s="244">
        <v>0</v>
      </c>
      <c r="AX5204" s="185" t="s">
        <v>176</v>
      </c>
      <c r="AY5204" s="244" t="s">
        <v>176</v>
      </c>
      <c r="AZ5204" s="58"/>
      <c r="BA5204" s="58"/>
      <c r="BB5204" s="58"/>
      <c r="BC5204" s="58"/>
      <c r="BD5204" s="58"/>
      <c r="BE5204" s="236" t="s">
        <v>5153</v>
      </c>
      <c r="BF5204" s="191" t="s">
        <v>176</v>
      </c>
      <c r="BG5204" s="191" t="s">
        <v>176</v>
      </c>
      <c r="BH5204" s="236" t="s">
        <v>5153</v>
      </c>
      <c r="BI5204" s="191" t="s">
        <v>176</v>
      </c>
      <c r="BJ5204" s="58" t="str">
        <f>IF(BE5204=BH5204,"No","yes")</f>
        <v>No</v>
      </c>
      <c r="BK5204" s="58" t="s">
        <v>6335</v>
      </c>
      <c r="BL5204" s="58"/>
      <c r="BM5204" s="237"/>
      <c r="BN5204" s="244">
        <v>3</v>
      </c>
      <c r="BO5204" s="244">
        <v>3</v>
      </c>
      <c r="BP5204" s="58"/>
      <c r="BQ5204" s="58"/>
      <c r="BR5204" s="58"/>
      <c r="BS5204" s="58"/>
      <c r="BT5204" s="58"/>
      <c r="BU5204" s="58"/>
      <c r="BV5204" s="58"/>
      <c r="BW5204" s="67"/>
      <c r="BX5204" s="67"/>
      <c r="BY5204" s="67"/>
      <c r="BZ5204" s="67"/>
      <c r="CA5204" s="67"/>
      <c r="CB5204" s="70"/>
      <c r="CC5204" s="70"/>
      <c r="CD5204" s="70"/>
      <c r="CE5204" s="67"/>
      <c r="CF5204" s="67"/>
      <c r="CG5204" s="67"/>
      <c r="CH5204" s="245"/>
      <c r="CI5204" s="245"/>
      <c r="CJ5204" s="67"/>
      <c r="CK5204" s="67"/>
      <c r="CL5204" s="67"/>
      <c r="CM5204" s="242">
        <v>1.62</v>
      </c>
      <c r="CN5204" s="242">
        <v>1.68</v>
      </c>
      <c r="CO5204" s="242">
        <v>0.5</v>
      </c>
      <c r="CP5204" s="242">
        <v>0.27</v>
      </c>
      <c r="CQ5204" s="242" t="s">
        <v>164</v>
      </c>
      <c r="CR5204" s="242"/>
      <c r="CS5204" s="242"/>
      <c r="CT5204" s="242"/>
      <c r="CU5204" s="242"/>
      <c r="CV5204" s="242"/>
      <c r="CW5204" s="242"/>
      <c r="CX5204" s="242"/>
      <c r="CY5204" s="242"/>
      <c r="CZ5204" s="242"/>
      <c r="DA5204" s="67" t="s">
        <v>5443</v>
      </c>
      <c r="DB5204" s="67"/>
      <c r="DC5204" s="67"/>
      <c r="DD5204" s="67"/>
      <c r="DE5204" s="67"/>
      <c r="DF5204" s="67"/>
      <c r="DG5204" s="67"/>
      <c r="DH5204" s="67"/>
      <c r="DI5204" s="67"/>
      <c r="DJ5204" s="67"/>
      <c r="DK5204" s="67"/>
      <c r="DL5204" s="67"/>
      <c r="DM5204" s="67"/>
      <c r="DN5204" s="67"/>
      <c r="DO5204" s="67"/>
      <c r="DP5204" s="67"/>
      <c r="DQ5204" s="166"/>
      <c r="DR5204" s="166"/>
      <c r="DS5204" s="163"/>
      <c r="DT5204" s="163"/>
      <c r="DU5204" s="67"/>
      <c r="DV5204" s="67"/>
      <c r="DW5204" s="67"/>
      <c r="DX5204" s="67"/>
      <c r="DY5204" s="67"/>
      <c r="DZ5204" s="67"/>
      <c r="EA5204" s="67"/>
      <c r="EB5204" s="67"/>
      <c r="EC5204" s="67"/>
      <c r="ED5204" s="67"/>
      <c r="EE5204" s="67"/>
      <c r="EF5204" s="67"/>
      <c r="EG5204" s="67"/>
      <c r="EH5204" s="67"/>
      <c r="EI5204" s="67"/>
      <c r="EJ5204" s="67"/>
      <c r="EK5204" s="94"/>
      <c r="EL5204" s="94"/>
      <c r="EM5204" s="67"/>
      <c r="EN5204" s="67"/>
      <c r="EO5204" s="67"/>
      <c r="EP5204" s="67"/>
      <c r="EQ5204" s="67"/>
      <c r="ER5204" s="67"/>
      <c r="ES5204" s="67"/>
      <c r="ET5204" s="67"/>
      <c r="EU5204" s="67"/>
      <c r="EV5204" s="67"/>
      <c r="EW5204" s="67"/>
      <c r="EX5204" s="67"/>
      <c r="EY5204" s="67"/>
      <c r="EZ5204" s="67"/>
      <c r="FA5204" s="67"/>
      <c r="FB5204" s="67"/>
      <c r="FC5204" s="67"/>
      <c r="FD5204" s="67"/>
      <c r="FE5204" s="67"/>
      <c r="FF5204" s="67"/>
      <c r="FG5204" s="67"/>
      <c r="FH5204" s="67"/>
      <c r="FI5204" s="67"/>
      <c r="FJ5204" s="67"/>
      <c r="FK5204" s="67"/>
      <c r="FL5204" s="67"/>
      <c r="FM5204" s="67"/>
      <c r="FN5204" s="67"/>
      <c r="FO5204" s="67"/>
      <c r="FP5204" s="67"/>
      <c r="FQ5204" s="67"/>
      <c r="FR5204" s="67"/>
      <c r="FS5204" s="67"/>
      <c r="FT5204" s="67"/>
      <c r="FU5204" s="67"/>
      <c r="FV5204" s="67"/>
      <c r="FW5204" s="67"/>
      <c r="FX5204" s="67"/>
      <c r="FY5204" s="67"/>
      <c r="FZ5204" s="67"/>
      <c r="GA5204" s="67"/>
      <c r="GB5204" s="67"/>
      <c r="GC5204" s="67"/>
      <c r="GD5204" s="67"/>
      <c r="GE5204" s="67"/>
      <c r="GF5204" s="67"/>
      <c r="GG5204" s="67"/>
      <c r="GH5204" s="67"/>
      <c r="GI5204" s="67"/>
      <c r="GJ5204" s="67"/>
      <c r="GK5204" s="67"/>
      <c r="GL5204" s="67"/>
      <c r="GM5204" s="67"/>
      <c r="GN5204" s="292"/>
      <c r="GO5204" s="292"/>
      <c r="GP5204" s="292" t="s">
        <v>7494</v>
      </c>
      <c r="GQ5204" s="67"/>
      <c r="GR5204" s="67"/>
      <c r="GS5204" s="67"/>
      <c r="GT5204" s="67"/>
      <c r="GU5204" s="67"/>
      <c r="GV5204" s="67"/>
      <c r="GW5204" s="67"/>
      <c r="GX5204" s="67"/>
      <c r="GY5204" s="67"/>
      <c r="GZ5204" s="67"/>
      <c r="HA5204" s="67"/>
      <c r="HB5204" s="67"/>
      <c r="HC5204" s="67"/>
      <c r="HD5204" s="67">
        <v>49.86</v>
      </c>
      <c r="HE5204" s="67">
        <v>53.53</v>
      </c>
      <c r="HF5204" s="67">
        <v>10</v>
      </c>
      <c r="HG5204" s="67">
        <f>(73.13-HE5204)/1.96</f>
        <v>9.9999999999999964</v>
      </c>
      <c r="HH5204" s="67" t="s">
        <v>5858</v>
      </c>
      <c r="HI5204" s="67"/>
      <c r="HJ5204" s="67"/>
      <c r="HK5204" s="67"/>
      <c r="HL5204" s="67"/>
      <c r="HM5204" s="67"/>
      <c r="HN5204" s="67"/>
      <c r="HO5204" s="67"/>
      <c r="HP5204" s="67"/>
      <c r="HQ5204" s="67"/>
      <c r="HR5204" s="67"/>
      <c r="HS5204" s="67"/>
      <c r="HT5204" s="67"/>
      <c r="HU5204" s="67"/>
      <c r="HV5204" s="67"/>
      <c r="HW5204" s="67"/>
      <c r="HX5204" s="67"/>
      <c r="HY5204" s="67"/>
      <c r="HZ5204" s="67"/>
      <c r="IA5204" s="67"/>
      <c r="IB5204" s="67"/>
      <c r="IC5204" s="67"/>
      <c r="ID5204" s="67"/>
      <c r="IE5204" s="67"/>
      <c r="IF5204" s="67"/>
      <c r="IG5204" s="67"/>
      <c r="IH5204" s="67"/>
      <c r="II5204" s="67"/>
      <c r="IJ5204" s="67"/>
      <c r="IK5204" s="67"/>
      <c r="IL5204" s="67"/>
      <c r="IM5204" s="67"/>
      <c r="IN5204" s="67"/>
      <c r="IO5204" s="67"/>
      <c r="IP5204" s="67"/>
      <c r="IQ5204" s="67"/>
      <c r="IR5204" s="67"/>
      <c r="IS5204" s="67"/>
      <c r="IT5204" s="67"/>
      <c r="IU5204" s="67"/>
      <c r="IV5204" s="67"/>
      <c r="IW5204" s="67"/>
      <c r="IX5204" s="67"/>
      <c r="IY5204" s="67"/>
      <c r="IZ5204" s="67"/>
      <c r="JA5204" s="67"/>
      <c r="JB5204" s="67"/>
      <c r="JC5204" s="67"/>
      <c r="JD5204" s="67"/>
      <c r="JE5204" s="67"/>
      <c r="JF5204" s="67"/>
      <c r="JG5204" s="67"/>
      <c r="JH5204" s="67"/>
      <c r="JI5204" s="67"/>
      <c r="JJ5204" s="67"/>
      <c r="JK5204" s="67"/>
      <c r="JL5204" s="67"/>
      <c r="JM5204" s="67"/>
      <c r="JN5204" s="67"/>
      <c r="JO5204" s="67"/>
      <c r="JP5204" s="67"/>
      <c r="JQ5204" s="67">
        <v>99999</v>
      </c>
      <c r="JR5204" s="67"/>
      <c r="JS5204" s="67"/>
      <c r="JT5204" s="67"/>
      <c r="JU5204" s="58"/>
      <c r="JV5204" s="58"/>
      <c r="JW5204" s="58"/>
    </row>
    <row r="5205" spans="1:283" s="23" customFormat="1" x14ac:dyDescent="0.25">
      <c r="A5205" s="55">
        <v>5204</v>
      </c>
      <c r="B5205" s="12" t="s">
        <v>7067</v>
      </c>
      <c r="C5205" s="156">
        <v>277</v>
      </c>
      <c r="D5205" s="58" t="s">
        <v>5051</v>
      </c>
      <c r="E5205" s="160" t="str">
        <f>G5205</f>
        <v>Vavoulidou et al. 2009_Chania olive</v>
      </c>
      <c r="F5205" s="160"/>
      <c r="G5205" s="60" t="s">
        <v>4677</v>
      </c>
      <c r="H5205" s="58">
        <v>2009</v>
      </c>
      <c r="I5205" s="58" t="s">
        <v>5470</v>
      </c>
      <c r="J5205" s="243" t="s">
        <v>5326</v>
      </c>
      <c r="K5205" s="63" t="s">
        <v>5067</v>
      </c>
      <c r="L5205" s="58" t="s">
        <v>5329</v>
      </c>
      <c r="M5205" s="94">
        <v>39.07</v>
      </c>
      <c r="N5205" s="94">
        <v>21.82</v>
      </c>
      <c r="O5205" s="94"/>
      <c r="P5205" s="58"/>
      <c r="Q5205" s="244">
        <v>18.399999999999999</v>
      </c>
      <c r="R5205" s="58"/>
      <c r="S5205" s="245">
        <v>371</v>
      </c>
      <c r="T5205" s="58"/>
      <c r="U5205" s="244">
        <v>3</v>
      </c>
      <c r="V5205" s="244">
        <v>3</v>
      </c>
      <c r="W5205" s="174"/>
      <c r="X5205" s="174"/>
      <c r="Y5205" s="58" t="s">
        <v>5693</v>
      </c>
      <c r="Z5205" s="244" t="s">
        <v>1356</v>
      </c>
      <c r="AA5205" s="245">
        <v>30</v>
      </c>
      <c r="AB5205" s="67"/>
      <c r="AC5205" s="67"/>
      <c r="AD5205" s="94"/>
      <c r="AE5205" s="94"/>
      <c r="AF5205" s="94"/>
      <c r="AG5205" s="245">
        <v>36.799999999999997</v>
      </c>
      <c r="AH5205" s="58" t="s">
        <v>139</v>
      </c>
      <c r="AI5205" s="169"/>
      <c r="AJ5205" s="94"/>
      <c r="AK5205" s="94"/>
      <c r="AL5205" s="58"/>
      <c r="AM5205" s="58"/>
      <c r="AN5205" s="186" t="s">
        <v>1430</v>
      </c>
      <c r="AO5205" s="185" t="s">
        <v>5150</v>
      </c>
      <c r="AP5205" s="58"/>
      <c r="AQ5205" s="58" t="s">
        <v>4584</v>
      </c>
      <c r="AR5205" s="58" t="s">
        <v>1430</v>
      </c>
      <c r="AS5205" s="246" t="s">
        <v>3471</v>
      </c>
      <c r="AT5205" s="247">
        <v>0</v>
      </c>
      <c r="AU5205" s="181" t="s">
        <v>7494</v>
      </c>
      <c r="AV5205" s="185" t="s">
        <v>176</v>
      </c>
      <c r="AW5205" s="244">
        <v>0</v>
      </c>
      <c r="AX5205" s="185" t="s">
        <v>176</v>
      </c>
      <c r="AY5205" s="244" t="s">
        <v>176</v>
      </c>
      <c r="AZ5205" s="58"/>
      <c r="BA5205" s="58"/>
      <c r="BB5205" s="58"/>
      <c r="BC5205" s="58"/>
      <c r="BD5205" s="58"/>
      <c r="BE5205" s="236" t="s">
        <v>5153</v>
      </c>
      <c r="BF5205" s="191" t="s">
        <v>176</v>
      </c>
      <c r="BG5205" s="191" t="s">
        <v>176</v>
      </c>
      <c r="BH5205" s="236" t="s">
        <v>5153</v>
      </c>
      <c r="BI5205" s="191" t="s">
        <v>176</v>
      </c>
      <c r="BJ5205" s="58" t="str">
        <f>IF(BE5205=BH5205,"No","yes")</f>
        <v>No</v>
      </c>
      <c r="BK5205" s="58" t="s">
        <v>6335</v>
      </c>
      <c r="BL5205" s="58"/>
      <c r="BM5205" s="237"/>
      <c r="BN5205" s="244">
        <v>5</v>
      </c>
      <c r="BO5205" s="244">
        <v>4</v>
      </c>
      <c r="BP5205" s="58"/>
      <c r="BQ5205" s="58"/>
      <c r="BR5205" s="58"/>
      <c r="BS5205" s="58"/>
      <c r="BT5205" s="58"/>
      <c r="BU5205" s="58"/>
      <c r="BV5205" s="58"/>
      <c r="BW5205" s="67"/>
      <c r="BX5205" s="67"/>
      <c r="BY5205" s="67"/>
      <c r="BZ5205" s="67"/>
      <c r="CA5205" s="67"/>
      <c r="CB5205" s="70"/>
      <c r="CC5205" s="70"/>
      <c r="CD5205" s="70"/>
      <c r="CE5205" s="67"/>
      <c r="CF5205" s="67"/>
      <c r="CG5205" s="67"/>
      <c r="CH5205" s="245"/>
      <c r="CI5205" s="245"/>
      <c r="CJ5205" s="67"/>
      <c r="CK5205" s="67"/>
      <c r="CL5205" s="67"/>
      <c r="CM5205" s="242">
        <v>1.75</v>
      </c>
      <c r="CN5205" s="242">
        <v>1.39</v>
      </c>
      <c r="CO5205" s="242">
        <v>0.31</v>
      </c>
      <c r="CP5205" s="242">
        <v>0.2</v>
      </c>
      <c r="CQ5205" s="242" t="s">
        <v>164</v>
      </c>
      <c r="CR5205" s="242"/>
      <c r="CS5205" s="242"/>
      <c r="CT5205" s="242"/>
      <c r="CU5205" s="242"/>
      <c r="CV5205" s="242"/>
      <c r="CW5205" s="242"/>
      <c r="CX5205" s="242"/>
      <c r="CY5205" s="242"/>
      <c r="CZ5205" s="242"/>
      <c r="DA5205" s="67" t="s">
        <v>5443</v>
      </c>
      <c r="DB5205" s="67"/>
      <c r="DC5205" s="67"/>
      <c r="DD5205" s="67"/>
      <c r="DE5205" s="67"/>
      <c r="DF5205" s="67"/>
      <c r="DG5205" s="67"/>
      <c r="DH5205" s="67"/>
      <c r="DI5205" s="67"/>
      <c r="DJ5205" s="67"/>
      <c r="DK5205" s="67"/>
      <c r="DL5205" s="67"/>
      <c r="DM5205" s="67"/>
      <c r="DN5205" s="67"/>
      <c r="DO5205" s="67"/>
      <c r="DP5205" s="67"/>
      <c r="DQ5205" s="166"/>
      <c r="DR5205" s="166"/>
      <c r="DS5205" s="163"/>
      <c r="DT5205" s="163"/>
      <c r="DU5205" s="67"/>
      <c r="DV5205" s="67"/>
      <c r="DW5205" s="67"/>
      <c r="DX5205" s="67"/>
      <c r="DY5205" s="67"/>
      <c r="DZ5205" s="67"/>
      <c r="EA5205" s="67"/>
      <c r="EB5205" s="67"/>
      <c r="EC5205" s="67"/>
      <c r="ED5205" s="67"/>
      <c r="EE5205" s="67"/>
      <c r="EF5205" s="67"/>
      <c r="EG5205" s="67"/>
      <c r="EH5205" s="67"/>
      <c r="EI5205" s="67"/>
      <c r="EJ5205" s="67"/>
      <c r="EK5205" s="94"/>
      <c r="EL5205" s="94"/>
      <c r="EM5205" s="67"/>
      <c r="EN5205" s="67"/>
      <c r="EO5205" s="67"/>
      <c r="EP5205" s="67"/>
      <c r="EQ5205" s="67"/>
      <c r="ER5205" s="67"/>
      <c r="ES5205" s="67"/>
      <c r="ET5205" s="67"/>
      <c r="EU5205" s="67"/>
      <c r="EV5205" s="67"/>
      <c r="EW5205" s="67"/>
      <c r="EX5205" s="67"/>
      <c r="EY5205" s="67"/>
      <c r="EZ5205" s="67"/>
      <c r="FA5205" s="67"/>
      <c r="FB5205" s="67"/>
      <c r="FC5205" s="67"/>
      <c r="FD5205" s="67"/>
      <c r="FE5205" s="67"/>
      <c r="FF5205" s="67"/>
      <c r="FG5205" s="67"/>
      <c r="FH5205" s="67"/>
      <c r="FI5205" s="67"/>
      <c r="FJ5205" s="67"/>
      <c r="FK5205" s="67"/>
      <c r="FL5205" s="67"/>
      <c r="FM5205" s="67"/>
      <c r="FN5205" s="67"/>
      <c r="FO5205" s="67"/>
      <c r="FP5205" s="67"/>
      <c r="FQ5205" s="67"/>
      <c r="FR5205" s="67"/>
      <c r="FS5205" s="67"/>
      <c r="FT5205" s="67"/>
      <c r="FU5205" s="67"/>
      <c r="FV5205" s="67"/>
      <c r="FW5205" s="67"/>
      <c r="FX5205" s="67"/>
      <c r="FY5205" s="67"/>
      <c r="FZ5205" s="67"/>
      <c r="GA5205" s="67"/>
      <c r="GB5205" s="67"/>
      <c r="GC5205" s="67"/>
      <c r="GD5205" s="67"/>
      <c r="GE5205" s="67"/>
      <c r="GF5205" s="67"/>
      <c r="GG5205" s="67"/>
      <c r="GH5205" s="67"/>
      <c r="GI5205" s="67"/>
      <c r="GJ5205" s="67"/>
      <c r="GK5205" s="67"/>
      <c r="GL5205" s="67"/>
      <c r="GM5205" s="67"/>
      <c r="GN5205" s="292"/>
      <c r="GO5205" s="292"/>
      <c r="GP5205" s="292" t="s">
        <v>7494</v>
      </c>
      <c r="GQ5205" s="67"/>
      <c r="GR5205" s="67"/>
      <c r="GS5205" s="67"/>
      <c r="GT5205" s="67"/>
      <c r="GU5205" s="67"/>
      <c r="GV5205" s="67"/>
      <c r="GW5205" s="67"/>
      <c r="GX5205" s="67"/>
      <c r="GY5205" s="67"/>
      <c r="GZ5205" s="67"/>
      <c r="HA5205" s="67"/>
      <c r="HB5205" s="67"/>
      <c r="HC5205" s="67"/>
      <c r="HD5205" s="67"/>
      <c r="HE5205" s="67"/>
      <c r="HF5205" s="67"/>
      <c r="HG5205" s="67"/>
      <c r="HH5205" s="67"/>
      <c r="HI5205" s="67"/>
      <c r="HJ5205" s="67"/>
      <c r="HK5205" s="67"/>
      <c r="HL5205" s="67"/>
      <c r="HM5205" s="67"/>
      <c r="HN5205" s="67"/>
      <c r="HO5205" s="67"/>
      <c r="HP5205" s="67"/>
      <c r="HQ5205" s="67"/>
      <c r="HR5205" s="67"/>
      <c r="HS5205" s="67"/>
      <c r="HT5205" s="67"/>
      <c r="HU5205" s="67"/>
      <c r="HV5205" s="67"/>
      <c r="HW5205" s="67"/>
      <c r="HX5205" s="67"/>
      <c r="HY5205" s="67"/>
      <c r="HZ5205" s="67"/>
      <c r="IA5205" s="67"/>
      <c r="IB5205" s="67"/>
      <c r="IC5205" s="67"/>
      <c r="ID5205" s="67"/>
      <c r="IE5205" s="67"/>
      <c r="IF5205" s="67"/>
      <c r="IG5205" s="67"/>
      <c r="IH5205" s="67"/>
      <c r="II5205" s="67"/>
      <c r="IJ5205" s="67"/>
      <c r="IK5205" s="67"/>
      <c r="IL5205" s="67"/>
      <c r="IM5205" s="67"/>
      <c r="IN5205" s="67"/>
      <c r="IO5205" s="67"/>
      <c r="IP5205" s="67"/>
      <c r="IQ5205" s="67"/>
      <c r="IR5205" s="67"/>
      <c r="IS5205" s="67"/>
      <c r="IT5205" s="67"/>
      <c r="IU5205" s="67"/>
      <c r="IV5205" s="67"/>
      <c r="IW5205" s="67"/>
      <c r="IX5205" s="67"/>
      <c r="IY5205" s="67"/>
      <c r="IZ5205" s="67"/>
      <c r="JA5205" s="67"/>
      <c r="JB5205" s="67"/>
      <c r="JC5205" s="67"/>
      <c r="JD5205" s="67"/>
      <c r="JE5205" s="67"/>
      <c r="JF5205" s="67"/>
      <c r="JG5205" s="67"/>
      <c r="JH5205" s="67"/>
      <c r="JI5205" s="67"/>
      <c r="JJ5205" s="67"/>
      <c r="JK5205" s="67"/>
      <c r="JL5205" s="67"/>
      <c r="JM5205" s="67"/>
      <c r="JN5205" s="67"/>
      <c r="JO5205" s="67"/>
      <c r="JP5205" s="67"/>
      <c r="JQ5205" s="67">
        <v>99999</v>
      </c>
      <c r="JR5205" s="67"/>
      <c r="JS5205" s="67"/>
      <c r="JT5205" s="67"/>
      <c r="JU5205" s="58"/>
      <c r="JV5205" s="58"/>
      <c r="JW5205" s="58"/>
    </row>
    <row r="5206" spans="1:283" s="23" customFormat="1" x14ac:dyDescent="0.25">
      <c r="A5206" s="55">
        <v>5205</v>
      </c>
      <c r="B5206" s="12" t="s">
        <v>7067</v>
      </c>
      <c r="C5206" s="156">
        <v>277</v>
      </c>
      <c r="D5206" s="58" t="s">
        <v>5052</v>
      </c>
      <c r="E5206" s="160" t="str">
        <f>G5206</f>
        <v>Vavoulidou et al. 2009_Mesinia</v>
      </c>
      <c r="F5206" s="160"/>
      <c r="G5206" s="60" t="s">
        <v>4676</v>
      </c>
      <c r="H5206" s="58">
        <v>2009</v>
      </c>
      <c r="I5206" s="58" t="s">
        <v>5470</v>
      </c>
      <c r="J5206" s="243" t="s">
        <v>5326</v>
      </c>
      <c r="K5206" s="63" t="s">
        <v>5066</v>
      </c>
      <c r="L5206" s="58" t="s">
        <v>5329</v>
      </c>
      <c r="M5206" s="94">
        <v>39.07</v>
      </c>
      <c r="N5206" s="94">
        <v>21.82</v>
      </c>
      <c r="O5206" s="94"/>
      <c r="P5206" s="58"/>
      <c r="Q5206" s="244">
        <v>18.399999999999999</v>
      </c>
      <c r="R5206" s="58"/>
      <c r="S5206" s="245">
        <v>371</v>
      </c>
      <c r="T5206" s="58"/>
      <c r="U5206" s="244">
        <v>3</v>
      </c>
      <c r="V5206" s="244">
        <v>3</v>
      </c>
      <c r="W5206" s="174"/>
      <c r="X5206" s="174"/>
      <c r="Y5206" s="58" t="s">
        <v>5693</v>
      </c>
      <c r="Z5206" s="244" t="s">
        <v>1356</v>
      </c>
      <c r="AA5206" s="245">
        <v>30</v>
      </c>
      <c r="AB5206" s="67"/>
      <c r="AC5206" s="67"/>
      <c r="AD5206" s="94"/>
      <c r="AE5206" s="94"/>
      <c r="AF5206" s="94"/>
      <c r="AG5206" s="245">
        <v>35.5</v>
      </c>
      <c r="AH5206" s="58" t="s">
        <v>139</v>
      </c>
      <c r="AI5206" s="169"/>
      <c r="AJ5206" s="94"/>
      <c r="AK5206" s="94"/>
      <c r="AL5206" s="58"/>
      <c r="AM5206" s="58"/>
      <c r="AN5206" s="186" t="s">
        <v>1430</v>
      </c>
      <c r="AO5206" s="185" t="s">
        <v>5150</v>
      </c>
      <c r="AP5206" s="58"/>
      <c r="AQ5206" s="58" t="s">
        <v>4584</v>
      </c>
      <c r="AR5206" s="58" t="s">
        <v>1430</v>
      </c>
      <c r="AS5206" s="246" t="s">
        <v>3471</v>
      </c>
      <c r="AT5206" s="247">
        <v>0</v>
      </c>
      <c r="AU5206" s="181" t="s">
        <v>7494</v>
      </c>
      <c r="AV5206" s="185" t="s">
        <v>176</v>
      </c>
      <c r="AW5206" s="244">
        <v>0</v>
      </c>
      <c r="AX5206" s="185" t="s">
        <v>176</v>
      </c>
      <c r="AY5206" s="244" t="s">
        <v>176</v>
      </c>
      <c r="AZ5206" s="58"/>
      <c r="BA5206" s="58"/>
      <c r="BB5206" s="58"/>
      <c r="BC5206" s="58"/>
      <c r="BD5206" s="58"/>
      <c r="BE5206" s="236" t="s">
        <v>5153</v>
      </c>
      <c r="BF5206" s="191" t="s">
        <v>176</v>
      </c>
      <c r="BG5206" s="191" t="s">
        <v>176</v>
      </c>
      <c r="BH5206" s="236" t="s">
        <v>5153</v>
      </c>
      <c r="BI5206" s="191" t="s">
        <v>176</v>
      </c>
      <c r="BJ5206" s="58" t="str">
        <f>IF(BE5206=BH5206,"No","yes")</f>
        <v>No</v>
      </c>
      <c r="BK5206" s="58" t="s">
        <v>6335</v>
      </c>
      <c r="BL5206" s="58"/>
      <c r="BM5206" s="237"/>
      <c r="BN5206" s="244">
        <v>4</v>
      </c>
      <c r="BO5206" s="244">
        <v>4</v>
      </c>
      <c r="BP5206" s="58"/>
      <c r="BQ5206" s="58"/>
      <c r="BR5206" s="58"/>
      <c r="BS5206" s="58"/>
      <c r="BT5206" s="58"/>
      <c r="BU5206" s="58"/>
      <c r="BV5206" s="58"/>
      <c r="BW5206" s="67"/>
      <c r="BX5206" s="67"/>
      <c r="BY5206" s="67"/>
      <c r="BZ5206" s="67"/>
      <c r="CA5206" s="67"/>
      <c r="CB5206" s="70"/>
      <c r="CC5206" s="70"/>
      <c r="CD5206" s="70"/>
      <c r="CE5206" s="67"/>
      <c r="CF5206" s="67"/>
      <c r="CG5206" s="67"/>
      <c r="CH5206" s="245"/>
      <c r="CI5206" s="245"/>
      <c r="CJ5206" s="67"/>
      <c r="CK5206" s="67"/>
      <c r="CL5206" s="67"/>
      <c r="CM5206" s="242">
        <v>2.42</v>
      </c>
      <c r="CN5206" s="242">
        <v>1.77</v>
      </c>
      <c r="CO5206" s="242">
        <v>0.89</v>
      </c>
      <c r="CP5206" s="242">
        <v>0.25</v>
      </c>
      <c r="CQ5206" s="242" t="s">
        <v>164</v>
      </c>
      <c r="CR5206" s="242"/>
      <c r="CS5206" s="242"/>
      <c r="CT5206" s="242"/>
      <c r="CU5206" s="242"/>
      <c r="CV5206" s="242"/>
      <c r="CW5206" s="242"/>
      <c r="CX5206" s="242"/>
      <c r="CY5206" s="242"/>
      <c r="CZ5206" s="242"/>
      <c r="DA5206" s="67" t="s">
        <v>5443</v>
      </c>
      <c r="DB5206" s="67"/>
      <c r="DC5206" s="67"/>
      <c r="DD5206" s="67"/>
      <c r="DE5206" s="67"/>
      <c r="DF5206" s="67"/>
      <c r="DG5206" s="67"/>
      <c r="DH5206" s="67"/>
      <c r="DI5206" s="67"/>
      <c r="DJ5206" s="67"/>
      <c r="DK5206" s="67"/>
      <c r="DL5206" s="67"/>
      <c r="DM5206" s="67"/>
      <c r="DN5206" s="67"/>
      <c r="DO5206" s="67"/>
      <c r="DP5206" s="67"/>
      <c r="DQ5206" s="166"/>
      <c r="DR5206" s="166"/>
      <c r="DS5206" s="163"/>
      <c r="DT5206" s="163"/>
      <c r="DU5206" s="67"/>
      <c r="DV5206" s="67"/>
      <c r="DW5206" s="67"/>
      <c r="DX5206" s="67"/>
      <c r="DY5206" s="67"/>
      <c r="DZ5206" s="67"/>
      <c r="EA5206" s="67"/>
      <c r="EB5206" s="67"/>
      <c r="EC5206" s="67"/>
      <c r="ED5206" s="67"/>
      <c r="EE5206" s="67"/>
      <c r="EF5206" s="67"/>
      <c r="EG5206" s="67"/>
      <c r="EH5206" s="67"/>
      <c r="EI5206" s="67"/>
      <c r="EJ5206" s="67"/>
      <c r="EK5206" s="94"/>
      <c r="EL5206" s="94"/>
      <c r="EM5206" s="67"/>
      <c r="EN5206" s="67"/>
      <c r="EO5206" s="67"/>
      <c r="EP5206" s="67"/>
      <c r="EQ5206" s="67"/>
      <c r="ER5206" s="67"/>
      <c r="ES5206" s="67"/>
      <c r="ET5206" s="67"/>
      <c r="EU5206" s="67"/>
      <c r="EV5206" s="67"/>
      <c r="EW5206" s="67"/>
      <c r="EX5206" s="67"/>
      <c r="EY5206" s="67"/>
      <c r="EZ5206" s="67"/>
      <c r="FA5206" s="67"/>
      <c r="FB5206" s="67"/>
      <c r="FC5206" s="67"/>
      <c r="FD5206" s="67"/>
      <c r="FE5206" s="67"/>
      <c r="FF5206" s="67"/>
      <c r="FG5206" s="67"/>
      <c r="FH5206" s="67"/>
      <c r="FI5206" s="67"/>
      <c r="FJ5206" s="67"/>
      <c r="FK5206" s="67"/>
      <c r="FL5206" s="67"/>
      <c r="FM5206" s="67"/>
      <c r="FN5206" s="67"/>
      <c r="FO5206" s="67"/>
      <c r="FP5206" s="67"/>
      <c r="FQ5206" s="67"/>
      <c r="FR5206" s="67"/>
      <c r="FS5206" s="67"/>
      <c r="FT5206" s="67"/>
      <c r="FU5206" s="67"/>
      <c r="FV5206" s="67"/>
      <c r="FW5206" s="67"/>
      <c r="FX5206" s="67"/>
      <c r="FY5206" s="67"/>
      <c r="FZ5206" s="67"/>
      <c r="GA5206" s="67"/>
      <c r="GB5206" s="67"/>
      <c r="GC5206" s="67"/>
      <c r="GD5206" s="67"/>
      <c r="GE5206" s="67"/>
      <c r="GF5206" s="67"/>
      <c r="GG5206" s="67"/>
      <c r="GH5206" s="67"/>
      <c r="GI5206" s="67"/>
      <c r="GJ5206" s="67"/>
      <c r="GK5206" s="67"/>
      <c r="GL5206" s="67"/>
      <c r="GM5206" s="67"/>
      <c r="GN5206" s="292"/>
      <c r="GO5206" s="292"/>
      <c r="GP5206" s="292" t="s">
        <v>7494</v>
      </c>
      <c r="GQ5206" s="67"/>
      <c r="GR5206" s="67"/>
      <c r="GS5206" s="67"/>
      <c r="GT5206" s="67"/>
      <c r="GU5206" s="67"/>
      <c r="GV5206" s="67"/>
      <c r="GW5206" s="67"/>
      <c r="GX5206" s="67"/>
      <c r="GY5206" s="67"/>
      <c r="GZ5206" s="67"/>
      <c r="HA5206" s="67"/>
      <c r="HB5206" s="67"/>
      <c r="HC5206" s="67"/>
      <c r="HD5206" s="67"/>
      <c r="HE5206" s="67"/>
      <c r="HF5206" s="67"/>
      <c r="HG5206" s="67"/>
      <c r="HH5206" s="67"/>
      <c r="HI5206" s="67"/>
      <c r="HJ5206" s="67"/>
      <c r="HK5206" s="67"/>
      <c r="HL5206" s="67"/>
      <c r="HM5206" s="67"/>
      <c r="HN5206" s="67"/>
      <c r="HO5206" s="67"/>
      <c r="HP5206" s="67"/>
      <c r="HQ5206" s="67"/>
      <c r="HR5206" s="67"/>
      <c r="HS5206" s="67"/>
      <c r="HT5206" s="67"/>
      <c r="HU5206" s="67"/>
      <c r="HV5206" s="67"/>
      <c r="HW5206" s="67"/>
      <c r="HX5206" s="67"/>
      <c r="HY5206" s="67"/>
      <c r="HZ5206" s="67"/>
      <c r="IA5206" s="67"/>
      <c r="IB5206" s="67"/>
      <c r="IC5206" s="67"/>
      <c r="ID5206" s="67"/>
      <c r="IE5206" s="67"/>
      <c r="IF5206" s="67"/>
      <c r="IG5206" s="67"/>
      <c r="IH5206" s="67"/>
      <c r="II5206" s="67"/>
      <c r="IJ5206" s="67"/>
      <c r="IK5206" s="67"/>
      <c r="IL5206" s="67"/>
      <c r="IM5206" s="67"/>
      <c r="IN5206" s="67"/>
      <c r="IO5206" s="67"/>
      <c r="IP5206" s="67"/>
      <c r="IQ5206" s="67"/>
      <c r="IR5206" s="67"/>
      <c r="IS5206" s="67"/>
      <c r="IT5206" s="67"/>
      <c r="IU5206" s="67"/>
      <c r="IV5206" s="67"/>
      <c r="IW5206" s="67"/>
      <c r="IX5206" s="67"/>
      <c r="IY5206" s="67"/>
      <c r="IZ5206" s="67"/>
      <c r="JA5206" s="67"/>
      <c r="JB5206" s="67"/>
      <c r="JC5206" s="67"/>
      <c r="JD5206" s="67"/>
      <c r="JE5206" s="67"/>
      <c r="JF5206" s="67"/>
      <c r="JG5206" s="67"/>
      <c r="JH5206" s="67"/>
      <c r="JI5206" s="67"/>
      <c r="JJ5206" s="67"/>
      <c r="JK5206" s="67"/>
      <c r="JL5206" s="67"/>
      <c r="JM5206" s="67"/>
      <c r="JN5206" s="67"/>
      <c r="JO5206" s="67"/>
      <c r="JP5206" s="67"/>
      <c r="JQ5206" s="67">
        <v>99999</v>
      </c>
      <c r="JR5206" s="67"/>
      <c r="JS5206" s="67"/>
      <c r="JT5206" s="67"/>
      <c r="JU5206" s="58"/>
      <c r="JV5206" s="58"/>
      <c r="JW5206" s="58"/>
    </row>
    <row r="5207" spans="1:283" s="23" customFormat="1" x14ac:dyDescent="0.25">
      <c r="A5207" s="55">
        <v>5206</v>
      </c>
      <c r="B5207" s="12" t="s">
        <v>7067</v>
      </c>
      <c r="C5207" s="156">
        <v>278</v>
      </c>
      <c r="D5207" s="58" t="s">
        <v>5053</v>
      </c>
      <c r="E5207" s="160" t="str">
        <f>G5207</f>
        <v>Wang et al. 2011_pair 1</v>
      </c>
      <c r="F5207" s="160"/>
      <c r="G5207" s="60" t="s">
        <v>4675</v>
      </c>
      <c r="H5207" s="58">
        <v>2011</v>
      </c>
      <c r="I5207" s="58" t="s">
        <v>5864</v>
      </c>
      <c r="J5207" s="243" t="s">
        <v>5316</v>
      </c>
      <c r="K5207" s="63" t="s">
        <v>5065</v>
      </c>
      <c r="L5207" s="58" t="s">
        <v>2737</v>
      </c>
      <c r="M5207" s="94">
        <f>35+25.5/60</f>
        <v>35.424999999999997</v>
      </c>
      <c r="N5207" s="94">
        <f>-82-33/60</f>
        <v>-82.55</v>
      </c>
      <c r="O5207" s="94">
        <v>624</v>
      </c>
      <c r="P5207" s="58"/>
      <c r="Q5207" s="244">
        <v>13</v>
      </c>
      <c r="R5207" s="58"/>
      <c r="S5207" s="245">
        <v>1123</v>
      </c>
      <c r="T5207" s="58"/>
      <c r="U5207" s="58" t="s">
        <v>1912</v>
      </c>
      <c r="V5207" s="244">
        <v>15</v>
      </c>
      <c r="W5207" s="174"/>
      <c r="X5207" s="174"/>
      <c r="Y5207" s="58" t="s">
        <v>5865</v>
      </c>
      <c r="Z5207" s="244" t="s">
        <v>1349</v>
      </c>
      <c r="AA5207" s="245">
        <v>15</v>
      </c>
      <c r="AB5207" s="67"/>
      <c r="AC5207" s="67"/>
      <c r="AD5207" s="94"/>
      <c r="AE5207" s="94">
        <v>56</v>
      </c>
      <c r="AF5207" s="94">
        <v>26</v>
      </c>
      <c r="AG5207" s="245">
        <v>18</v>
      </c>
      <c r="AH5207" s="58" t="s">
        <v>238</v>
      </c>
      <c r="AI5207" s="169" t="s">
        <v>5723</v>
      </c>
      <c r="AJ5207" s="94"/>
      <c r="AK5207" s="94"/>
      <c r="AL5207" s="58"/>
      <c r="AM5207" s="58" t="s">
        <v>5859</v>
      </c>
      <c r="AN5207" s="186" t="s">
        <v>176</v>
      </c>
      <c r="AO5207" s="185" t="s">
        <v>5150</v>
      </c>
      <c r="AP5207" s="58"/>
      <c r="AQ5207" s="58" t="s">
        <v>176</v>
      </c>
      <c r="AR5207" s="58" t="s">
        <v>1430</v>
      </c>
      <c r="AS5207" s="246" t="s">
        <v>4584</v>
      </c>
      <c r="AT5207" s="247">
        <v>1</v>
      </c>
      <c r="AU5207" s="181" t="s">
        <v>7494</v>
      </c>
      <c r="AV5207" s="185" t="s">
        <v>176</v>
      </c>
      <c r="AW5207" s="244">
        <v>1</v>
      </c>
      <c r="AX5207" s="185" t="s">
        <v>176</v>
      </c>
      <c r="AY5207" s="244" t="s">
        <v>176</v>
      </c>
      <c r="AZ5207" s="58" t="s">
        <v>2081</v>
      </c>
      <c r="BA5207" s="58" t="s">
        <v>2081</v>
      </c>
      <c r="BB5207" s="58" t="s">
        <v>2081</v>
      </c>
      <c r="BC5207" s="58" t="s">
        <v>2081</v>
      </c>
      <c r="BD5207" s="58" t="s">
        <v>176</v>
      </c>
      <c r="BE5207" s="236" t="s">
        <v>5226</v>
      </c>
      <c r="BF5207" s="191" t="s">
        <v>479</v>
      </c>
      <c r="BG5207" s="191" t="s">
        <v>479</v>
      </c>
      <c r="BH5207" s="236" t="s">
        <v>5295</v>
      </c>
      <c r="BI5207" s="191" t="s">
        <v>479</v>
      </c>
      <c r="BJ5207" s="58" t="str">
        <f>IF(BE5207=BH5207,"No","yes")</f>
        <v>yes</v>
      </c>
      <c r="BK5207" s="58" t="s">
        <v>6334</v>
      </c>
      <c r="BL5207" s="58"/>
      <c r="BM5207" s="237"/>
      <c r="BN5207" s="244">
        <v>4</v>
      </c>
      <c r="BO5207" s="244">
        <v>4</v>
      </c>
      <c r="BP5207" s="58"/>
      <c r="BQ5207" s="58"/>
      <c r="BR5207" s="58"/>
      <c r="BS5207" s="58"/>
      <c r="BT5207" s="58"/>
      <c r="BU5207" s="58"/>
      <c r="BV5207" s="58" t="s">
        <v>5861</v>
      </c>
      <c r="BW5207" s="67"/>
      <c r="BX5207" s="67"/>
      <c r="BY5207" s="67"/>
      <c r="BZ5207" s="67"/>
      <c r="CA5207" s="67"/>
      <c r="CB5207" s="70"/>
      <c r="CC5207" s="70"/>
      <c r="CD5207" s="70"/>
      <c r="CE5207" s="67"/>
      <c r="CF5207" s="67"/>
      <c r="CG5207" s="67"/>
      <c r="CH5207" s="245"/>
      <c r="CI5207" s="245"/>
      <c r="CJ5207" s="67"/>
      <c r="CK5207" s="67"/>
      <c r="CL5207" s="67"/>
      <c r="CM5207" s="242">
        <v>0.7</v>
      </c>
      <c r="CN5207" s="242">
        <v>0.84</v>
      </c>
      <c r="CO5207" s="242">
        <v>7.0000000000000007E-2</v>
      </c>
      <c r="CP5207" s="242">
        <v>0.19</v>
      </c>
      <c r="CQ5207" s="242" t="s">
        <v>164</v>
      </c>
      <c r="CR5207" s="242">
        <v>16.110251900402993</v>
      </c>
      <c r="CS5207" s="242">
        <v>19.086297835061959</v>
      </c>
      <c r="CT5207" s="242"/>
      <c r="CU5207" s="242"/>
      <c r="CV5207" s="242" t="s">
        <v>5151</v>
      </c>
      <c r="CW5207" s="242"/>
      <c r="CX5207" s="242"/>
      <c r="CY5207" s="242"/>
      <c r="CZ5207" s="242"/>
      <c r="DA5207" s="67" t="s">
        <v>5443</v>
      </c>
      <c r="DB5207" s="67">
        <v>763.42</v>
      </c>
      <c r="DC5207" s="67">
        <v>910.6</v>
      </c>
      <c r="DD5207" s="67">
        <f>(832-DB5207)*2</f>
        <v>137.16000000000008</v>
      </c>
      <c r="DE5207" s="67">
        <v>130</v>
      </c>
      <c r="DF5207" s="67" t="s">
        <v>2241</v>
      </c>
      <c r="DG5207" s="67"/>
      <c r="DH5207" s="67"/>
      <c r="DI5207" s="67"/>
      <c r="DJ5207" s="67"/>
      <c r="DK5207" s="67"/>
      <c r="DL5207" s="67"/>
      <c r="DM5207" s="67"/>
      <c r="DN5207" s="67"/>
      <c r="DO5207" s="67"/>
      <c r="DP5207" s="67"/>
      <c r="DQ5207" s="166"/>
      <c r="DR5207" s="166"/>
      <c r="DS5207" s="163"/>
      <c r="DT5207" s="163"/>
      <c r="DU5207" s="67"/>
      <c r="DV5207" s="67"/>
      <c r="DW5207" s="67"/>
      <c r="DX5207" s="67"/>
      <c r="DY5207" s="67"/>
      <c r="DZ5207" s="67"/>
      <c r="EA5207" s="67"/>
      <c r="EB5207" s="67"/>
      <c r="EC5207" s="67"/>
      <c r="ED5207" s="67"/>
      <c r="EE5207" s="67"/>
      <c r="EF5207" s="67"/>
      <c r="EG5207" s="67"/>
      <c r="EH5207" s="67"/>
      <c r="EI5207" s="67"/>
      <c r="EJ5207" s="67"/>
      <c r="EK5207" s="94"/>
      <c r="EL5207" s="94"/>
      <c r="EM5207" s="67"/>
      <c r="EN5207" s="67"/>
      <c r="EO5207" s="67"/>
      <c r="EP5207" s="67"/>
      <c r="EQ5207" s="67"/>
      <c r="ER5207" s="67"/>
      <c r="ES5207" s="67"/>
      <c r="ET5207" s="67"/>
      <c r="EU5207" s="67"/>
      <c r="EV5207" s="67"/>
      <c r="EW5207" s="67"/>
      <c r="EX5207" s="67"/>
      <c r="EY5207" s="67"/>
      <c r="EZ5207" s="67"/>
      <c r="FA5207" s="67"/>
      <c r="FB5207" s="67"/>
      <c r="FC5207" s="67"/>
      <c r="FD5207" s="67"/>
      <c r="FE5207" s="67"/>
      <c r="FF5207" s="67"/>
      <c r="FG5207" s="67"/>
      <c r="FH5207" s="67"/>
      <c r="FI5207" s="67"/>
      <c r="FJ5207" s="67"/>
      <c r="FK5207" s="67"/>
      <c r="FL5207" s="67"/>
      <c r="FM5207" s="67"/>
      <c r="FN5207" s="67"/>
      <c r="FO5207" s="67"/>
      <c r="FP5207" s="67"/>
      <c r="FQ5207" s="67"/>
      <c r="FR5207" s="67"/>
      <c r="FS5207" s="67"/>
      <c r="FT5207" s="67"/>
      <c r="FU5207" s="67"/>
      <c r="FV5207" s="67"/>
      <c r="FW5207" s="67"/>
      <c r="FX5207" s="67"/>
      <c r="FY5207" s="67"/>
      <c r="FZ5207" s="67"/>
      <c r="GA5207" s="67"/>
      <c r="GB5207" s="67"/>
      <c r="GC5207" s="67"/>
      <c r="GD5207" s="67"/>
      <c r="GE5207" s="67"/>
      <c r="GF5207" s="67"/>
      <c r="GG5207" s="67"/>
      <c r="GH5207" s="67"/>
      <c r="GI5207" s="67"/>
      <c r="GJ5207" s="67"/>
      <c r="GK5207" s="67"/>
      <c r="GL5207" s="67"/>
      <c r="GM5207" s="67"/>
      <c r="GN5207" s="292"/>
      <c r="GO5207" s="292"/>
      <c r="GP5207" s="292" t="s">
        <v>7494</v>
      </c>
      <c r="GQ5207" s="67"/>
      <c r="GR5207" s="67"/>
      <c r="GS5207" s="67"/>
      <c r="GT5207" s="67"/>
      <c r="GU5207" s="67"/>
      <c r="GV5207" s="67"/>
      <c r="GW5207" s="67"/>
      <c r="GX5207" s="67"/>
      <c r="GY5207" s="67"/>
      <c r="GZ5207" s="67"/>
      <c r="HA5207" s="67"/>
      <c r="HB5207" s="67"/>
      <c r="HC5207" s="67"/>
      <c r="HD5207" s="67"/>
      <c r="HE5207" s="67"/>
      <c r="HF5207" s="67"/>
      <c r="HG5207" s="67"/>
      <c r="HH5207" s="67"/>
      <c r="HI5207" s="67"/>
      <c r="HJ5207" s="67"/>
      <c r="HK5207" s="67"/>
      <c r="HL5207" s="67"/>
      <c r="HM5207" s="67"/>
      <c r="HN5207" s="67"/>
      <c r="HO5207" s="67"/>
      <c r="HP5207" s="67"/>
      <c r="HQ5207" s="67"/>
      <c r="HR5207" s="67"/>
      <c r="HS5207" s="67"/>
      <c r="HT5207" s="67"/>
      <c r="HU5207" s="67"/>
      <c r="HV5207" s="67"/>
      <c r="HW5207" s="67"/>
      <c r="HX5207" s="67"/>
      <c r="HY5207" s="67"/>
      <c r="HZ5207" s="67"/>
      <c r="IA5207" s="67"/>
      <c r="IB5207" s="67"/>
      <c r="IC5207" s="67">
        <v>7.2569999999999997</v>
      </c>
      <c r="ID5207" s="67">
        <v>3.98</v>
      </c>
      <c r="IE5207" s="67">
        <f>(10.07-IC5207)*2</f>
        <v>5.6260000000000012</v>
      </c>
      <c r="IF5207" s="67">
        <f>(4.37-ID5207)*2</f>
        <v>0.78000000000000025</v>
      </c>
      <c r="IG5207" s="67" t="s">
        <v>5866</v>
      </c>
      <c r="IH5207" s="67"/>
      <c r="II5207" s="67"/>
      <c r="IJ5207" s="67"/>
      <c r="IK5207" s="67"/>
      <c r="IL5207" s="67"/>
      <c r="IM5207" s="67"/>
      <c r="IN5207" s="67"/>
      <c r="IO5207" s="67"/>
      <c r="IP5207" s="67"/>
      <c r="IQ5207" s="67"/>
      <c r="IR5207" s="67"/>
      <c r="IS5207" s="67"/>
      <c r="IT5207" s="67"/>
      <c r="IU5207" s="67"/>
      <c r="IV5207" s="67"/>
      <c r="IW5207" s="67">
        <v>17.398</v>
      </c>
      <c r="IX5207" s="67">
        <v>16.988</v>
      </c>
      <c r="IY5207" s="67">
        <f>(20.916-IW5207)*2</f>
        <v>7.0360000000000014</v>
      </c>
      <c r="IZ5207" s="67">
        <f>(20.116-IX5207)*2</f>
        <v>6.2560000000000002</v>
      </c>
      <c r="JA5207" s="67" t="s">
        <v>5867</v>
      </c>
      <c r="JB5207" s="67"/>
      <c r="JC5207" s="67"/>
      <c r="JD5207" s="67"/>
      <c r="JE5207" s="67"/>
      <c r="JF5207" s="67"/>
      <c r="JG5207" s="67">
        <v>162.99600000000001</v>
      </c>
      <c r="JH5207" s="67">
        <v>105.85890000000001</v>
      </c>
      <c r="JI5207" s="67">
        <f>(188-JG5207)*2</f>
        <v>50.007999999999981</v>
      </c>
      <c r="JJ5207" s="67">
        <v>50</v>
      </c>
      <c r="JK5207" s="67" t="s">
        <v>2242</v>
      </c>
      <c r="JL5207" s="67">
        <v>22.38</v>
      </c>
      <c r="JM5207" s="67">
        <v>12.867000000000001</v>
      </c>
      <c r="JN5207" s="67">
        <f>(28-JL5207)*2</f>
        <v>11.240000000000002</v>
      </c>
      <c r="JO5207" s="67">
        <v>2</v>
      </c>
      <c r="JP5207" s="67" t="s">
        <v>2242</v>
      </c>
      <c r="JQ5207" s="67"/>
      <c r="JR5207" s="67"/>
      <c r="JS5207" s="67"/>
      <c r="JT5207" s="67"/>
      <c r="JU5207" s="58"/>
      <c r="JV5207" s="58"/>
      <c r="JW5207" s="58"/>
    </row>
    <row r="5208" spans="1:283" s="23" customFormat="1" x14ac:dyDescent="0.25">
      <c r="A5208" s="55">
        <v>5207</v>
      </c>
      <c r="B5208" s="12" t="s">
        <v>7067</v>
      </c>
      <c r="C5208" s="156">
        <v>278</v>
      </c>
      <c r="D5208" s="58" t="s">
        <v>5054</v>
      </c>
      <c r="E5208" s="160" t="str">
        <f>G5208</f>
        <v>Wang et al. 2011_pair 2</v>
      </c>
      <c r="F5208" s="160"/>
      <c r="G5208" s="60" t="s">
        <v>4674</v>
      </c>
      <c r="H5208" s="58">
        <v>2011</v>
      </c>
      <c r="I5208" s="58" t="s">
        <v>5864</v>
      </c>
      <c r="J5208" s="243" t="s">
        <v>5316</v>
      </c>
      <c r="K5208" s="63" t="s">
        <v>5065</v>
      </c>
      <c r="L5208" s="58" t="s">
        <v>2737</v>
      </c>
      <c r="M5208" s="94">
        <f>35+25.5/60</f>
        <v>35.424999999999997</v>
      </c>
      <c r="N5208" s="94">
        <f>-82-33/60</f>
        <v>-82.55</v>
      </c>
      <c r="O5208" s="94">
        <v>624</v>
      </c>
      <c r="P5208" s="58"/>
      <c r="Q5208" s="244">
        <v>13</v>
      </c>
      <c r="R5208" s="58"/>
      <c r="S5208" s="245">
        <v>1123</v>
      </c>
      <c r="T5208" s="58"/>
      <c r="U5208" s="58" t="s">
        <v>1912</v>
      </c>
      <c r="V5208" s="244">
        <v>15</v>
      </c>
      <c r="W5208" s="174"/>
      <c r="X5208" s="174"/>
      <c r="Y5208" s="58" t="s">
        <v>5865</v>
      </c>
      <c r="Z5208" s="244" t="s">
        <v>1349</v>
      </c>
      <c r="AA5208" s="245">
        <v>15</v>
      </c>
      <c r="AB5208" s="67"/>
      <c r="AC5208" s="67"/>
      <c r="AD5208" s="94"/>
      <c r="AE5208" s="94">
        <v>56</v>
      </c>
      <c r="AF5208" s="94">
        <v>26</v>
      </c>
      <c r="AG5208" s="245">
        <v>18</v>
      </c>
      <c r="AH5208" s="58" t="s">
        <v>238</v>
      </c>
      <c r="AI5208" s="169" t="s">
        <v>5724</v>
      </c>
      <c r="AJ5208" s="94"/>
      <c r="AK5208" s="94"/>
      <c r="AL5208" s="58"/>
      <c r="AM5208" s="58" t="s">
        <v>5859</v>
      </c>
      <c r="AN5208" s="186" t="s">
        <v>176</v>
      </c>
      <c r="AO5208" s="185" t="s">
        <v>5150</v>
      </c>
      <c r="AP5208" s="58"/>
      <c r="AQ5208" s="58" t="s">
        <v>176</v>
      </c>
      <c r="AR5208" s="58" t="s">
        <v>1430</v>
      </c>
      <c r="AS5208" s="246" t="s">
        <v>4584</v>
      </c>
      <c r="AT5208" s="247">
        <v>1</v>
      </c>
      <c r="AU5208" s="181" t="s">
        <v>7494</v>
      </c>
      <c r="AV5208" s="185" t="s">
        <v>176</v>
      </c>
      <c r="AW5208" s="244">
        <v>1</v>
      </c>
      <c r="AX5208" s="185" t="s">
        <v>176</v>
      </c>
      <c r="AY5208" s="244" t="s">
        <v>176</v>
      </c>
      <c r="AZ5208" s="58" t="s">
        <v>2082</v>
      </c>
      <c r="BA5208" s="58" t="s">
        <v>2082</v>
      </c>
      <c r="BB5208" s="58" t="s">
        <v>2082</v>
      </c>
      <c r="BC5208" s="58" t="s">
        <v>2082</v>
      </c>
      <c r="BD5208" s="58" t="s">
        <v>176</v>
      </c>
      <c r="BE5208" s="236" t="s">
        <v>5226</v>
      </c>
      <c r="BF5208" s="191" t="s">
        <v>479</v>
      </c>
      <c r="BG5208" s="191" t="s">
        <v>479</v>
      </c>
      <c r="BH5208" s="236" t="s">
        <v>5295</v>
      </c>
      <c r="BI5208" s="191" t="s">
        <v>479</v>
      </c>
      <c r="BJ5208" s="58" t="str">
        <f>IF(BE5208=BH5208,"No","yes")</f>
        <v>yes</v>
      </c>
      <c r="BK5208" s="58" t="s">
        <v>6334</v>
      </c>
      <c r="BL5208" s="58"/>
      <c r="BM5208" s="237"/>
      <c r="BN5208" s="244">
        <v>4</v>
      </c>
      <c r="BO5208" s="244">
        <v>4</v>
      </c>
      <c r="BP5208" s="58"/>
      <c r="BQ5208" s="58"/>
      <c r="BR5208" s="58"/>
      <c r="BS5208" s="58"/>
      <c r="BT5208" s="58"/>
      <c r="BU5208" s="58"/>
      <c r="BV5208" s="58" t="s">
        <v>5862</v>
      </c>
      <c r="BW5208" s="67"/>
      <c r="BX5208" s="67"/>
      <c r="BY5208" s="67"/>
      <c r="BZ5208" s="67"/>
      <c r="CA5208" s="67"/>
      <c r="CB5208" s="70"/>
      <c r="CC5208" s="70"/>
      <c r="CD5208" s="70"/>
      <c r="CE5208" s="67"/>
      <c r="CF5208" s="67"/>
      <c r="CG5208" s="67"/>
      <c r="CH5208" s="245"/>
      <c r="CI5208" s="245"/>
      <c r="CJ5208" s="67"/>
      <c r="CK5208" s="67"/>
      <c r="CL5208" s="67"/>
      <c r="CM5208" s="242">
        <v>1.28</v>
      </c>
      <c r="CN5208" s="242">
        <v>1.7</v>
      </c>
      <c r="CO5208" s="242">
        <v>0.1</v>
      </c>
      <c r="CP5208" s="242">
        <v>0.2</v>
      </c>
      <c r="CQ5208" s="242" t="s">
        <v>164</v>
      </c>
      <c r="CR5208" s="242">
        <v>27.965459694124284</v>
      </c>
      <c r="CS5208" s="242">
        <v>35.826537439350957</v>
      </c>
      <c r="CT5208" s="242"/>
      <c r="CU5208" s="242"/>
      <c r="CV5208" s="242" t="s">
        <v>5151</v>
      </c>
      <c r="CW5208" s="242"/>
      <c r="CX5208" s="242"/>
      <c r="CY5208" s="242"/>
      <c r="CZ5208" s="242"/>
      <c r="DA5208" s="67" t="s">
        <v>5443</v>
      </c>
      <c r="DB5208" s="67">
        <v>1324</v>
      </c>
      <c r="DC5208" s="67">
        <v>1747.52</v>
      </c>
      <c r="DD5208" s="67">
        <v>135</v>
      </c>
      <c r="DE5208" s="67">
        <v>200</v>
      </c>
      <c r="DF5208" s="67" t="s">
        <v>2241</v>
      </c>
      <c r="DG5208" s="67"/>
      <c r="DH5208" s="67"/>
      <c r="DI5208" s="67"/>
      <c r="DJ5208" s="67"/>
      <c r="DK5208" s="67"/>
      <c r="DL5208" s="67"/>
      <c r="DM5208" s="67"/>
      <c r="DN5208" s="67"/>
      <c r="DO5208" s="67"/>
      <c r="DP5208" s="67"/>
      <c r="DQ5208" s="166"/>
      <c r="DR5208" s="166"/>
      <c r="DS5208" s="163"/>
      <c r="DT5208" s="163"/>
      <c r="DU5208" s="67"/>
      <c r="DV5208" s="67"/>
      <c r="DW5208" s="67"/>
      <c r="DX5208" s="67"/>
      <c r="DY5208" s="67"/>
      <c r="DZ5208" s="67"/>
      <c r="EA5208" s="67"/>
      <c r="EB5208" s="67"/>
      <c r="EC5208" s="67"/>
      <c r="ED5208" s="67"/>
      <c r="EE5208" s="67"/>
      <c r="EF5208" s="67"/>
      <c r="EG5208" s="67"/>
      <c r="EH5208" s="67"/>
      <c r="EI5208" s="67"/>
      <c r="EJ5208" s="67"/>
      <c r="EK5208" s="94"/>
      <c r="EL5208" s="94"/>
      <c r="EM5208" s="67"/>
      <c r="EN5208" s="67"/>
      <c r="EO5208" s="67"/>
      <c r="EP5208" s="67"/>
      <c r="EQ5208" s="67"/>
      <c r="ER5208" s="67"/>
      <c r="ES5208" s="67"/>
      <c r="ET5208" s="67"/>
      <c r="EU5208" s="67"/>
      <c r="EV5208" s="67"/>
      <c r="EW5208" s="67"/>
      <c r="EX5208" s="67"/>
      <c r="EY5208" s="67"/>
      <c r="EZ5208" s="67"/>
      <c r="FA5208" s="67"/>
      <c r="FB5208" s="67"/>
      <c r="FC5208" s="67"/>
      <c r="FD5208" s="67"/>
      <c r="FE5208" s="67"/>
      <c r="FF5208" s="67"/>
      <c r="FG5208" s="67"/>
      <c r="FH5208" s="67"/>
      <c r="FI5208" s="67"/>
      <c r="FJ5208" s="67"/>
      <c r="FK5208" s="67"/>
      <c r="FL5208" s="67"/>
      <c r="FM5208" s="67"/>
      <c r="FN5208" s="67"/>
      <c r="FO5208" s="67"/>
      <c r="FP5208" s="67"/>
      <c r="FQ5208" s="67"/>
      <c r="FR5208" s="67"/>
      <c r="FS5208" s="67"/>
      <c r="FT5208" s="67"/>
      <c r="FU5208" s="67"/>
      <c r="FV5208" s="67"/>
      <c r="FW5208" s="67"/>
      <c r="FX5208" s="67"/>
      <c r="FY5208" s="67"/>
      <c r="FZ5208" s="67"/>
      <c r="GA5208" s="67"/>
      <c r="GB5208" s="67"/>
      <c r="GC5208" s="67"/>
      <c r="GD5208" s="67"/>
      <c r="GE5208" s="67"/>
      <c r="GF5208" s="67"/>
      <c r="GG5208" s="67"/>
      <c r="GH5208" s="67"/>
      <c r="GI5208" s="67"/>
      <c r="GJ5208" s="67"/>
      <c r="GK5208" s="67"/>
      <c r="GL5208" s="67"/>
      <c r="GM5208" s="67"/>
      <c r="GN5208" s="292"/>
      <c r="GO5208" s="292"/>
      <c r="GP5208" s="292" t="s">
        <v>7494</v>
      </c>
      <c r="GQ5208" s="67"/>
      <c r="GR5208" s="67"/>
      <c r="GS5208" s="67"/>
      <c r="GT5208" s="67"/>
      <c r="GU5208" s="67"/>
      <c r="GV5208" s="67"/>
      <c r="GW5208" s="67"/>
      <c r="GX5208" s="67"/>
      <c r="GY5208" s="67"/>
      <c r="GZ5208" s="67"/>
      <c r="HA5208" s="67"/>
      <c r="HB5208" s="67"/>
      <c r="HC5208" s="67"/>
      <c r="HD5208" s="67"/>
      <c r="HE5208" s="67"/>
      <c r="HF5208" s="67"/>
      <c r="HG5208" s="67"/>
      <c r="HH5208" s="67"/>
      <c r="HI5208" s="67"/>
      <c r="HJ5208" s="67"/>
      <c r="HK5208" s="67"/>
      <c r="HL5208" s="67"/>
      <c r="HM5208" s="67"/>
      <c r="HN5208" s="67"/>
      <c r="HO5208" s="67"/>
      <c r="HP5208" s="67"/>
      <c r="HQ5208" s="67"/>
      <c r="HR5208" s="67"/>
      <c r="HS5208" s="67"/>
      <c r="HT5208" s="67"/>
      <c r="HU5208" s="67"/>
      <c r="HV5208" s="67"/>
      <c r="HW5208" s="67"/>
      <c r="HX5208" s="67"/>
      <c r="HY5208" s="67"/>
      <c r="HZ5208" s="67"/>
      <c r="IA5208" s="67"/>
      <c r="IB5208" s="67"/>
      <c r="IC5208" s="67">
        <v>4.84</v>
      </c>
      <c r="ID5208" s="67">
        <v>5.87</v>
      </c>
      <c r="IE5208" s="67">
        <f>(9.5-IC5208)*2</f>
        <v>9.32</v>
      </c>
      <c r="IF5208" s="67">
        <f>(6.42-ID5208)*2</f>
        <v>1.0999999999999996</v>
      </c>
      <c r="IG5208" s="67" t="s">
        <v>5866</v>
      </c>
      <c r="IH5208" s="67"/>
      <c r="II5208" s="67"/>
      <c r="IJ5208" s="67"/>
      <c r="IK5208" s="67"/>
      <c r="IL5208" s="67"/>
      <c r="IM5208" s="67"/>
      <c r="IN5208" s="67"/>
      <c r="IO5208" s="67"/>
      <c r="IP5208" s="67"/>
      <c r="IQ5208" s="67"/>
      <c r="IR5208" s="67"/>
      <c r="IS5208" s="67"/>
      <c r="IT5208" s="67"/>
      <c r="IU5208" s="67"/>
      <c r="IV5208" s="67"/>
      <c r="IW5208" s="67">
        <v>37.713999999999999</v>
      </c>
      <c r="IX5208" s="67">
        <v>28.312999999999999</v>
      </c>
      <c r="IY5208" s="67">
        <f>(43.1976-IW5208)*2</f>
        <v>10.967200000000005</v>
      </c>
      <c r="IZ5208" s="67">
        <f>(31-IX5208)*2</f>
        <v>5.3740000000000023</v>
      </c>
      <c r="JA5208" s="67" t="s">
        <v>5867</v>
      </c>
      <c r="JB5208" s="67"/>
      <c r="JC5208" s="67"/>
      <c r="JD5208" s="67"/>
      <c r="JE5208" s="67"/>
      <c r="JF5208" s="67"/>
      <c r="JG5208" s="67">
        <v>251.495</v>
      </c>
      <c r="JH5208" s="67">
        <v>172.15600000000001</v>
      </c>
      <c r="JI5208" s="67">
        <v>60</v>
      </c>
      <c r="JJ5208" s="67">
        <v>30</v>
      </c>
      <c r="JK5208" s="67" t="s">
        <v>2242</v>
      </c>
      <c r="JL5208" s="67">
        <v>32.770000000000003</v>
      </c>
      <c r="JM5208" s="67">
        <v>29.4</v>
      </c>
      <c r="JN5208" s="67">
        <v>2</v>
      </c>
      <c r="JO5208" s="67">
        <v>2</v>
      </c>
      <c r="JP5208" s="67" t="s">
        <v>2242</v>
      </c>
      <c r="JQ5208" s="67"/>
      <c r="JR5208" s="67"/>
      <c r="JS5208" s="67"/>
      <c r="JT5208" s="67"/>
      <c r="JU5208" s="58"/>
      <c r="JV5208" s="58"/>
      <c r="JW5208" s="58"/>
    </row>
    <row r="5209" spans="1:283" s="23" customFormat="1" x14ac:dyDescent="0.25">
      <c r="A5209" s="55">
        <v>5208</v>
      </c>
      <c r="B5209" s="12" t="s">
        <v>7067</v>
      </c>
      <c r="C5209" s="156">
        <v>278</v>
      </c>
      <c r="D5209" s="58" t="s">
        <v>5055</v>
      </c>
      <c r="E5209" s="160" t="str">
        <f>G5209</f>
        <v>Wang et al. 2011_pair 3</v>
      </c>
      <c r="F5209" s="160"/>
      <c r="G5209" s="60" t="s">
        <v>4673</v>
      </c>
      <c r="H5209" s="58">
        <v>2011</v>
      </c>
      <c r="I5209" s="58" t="s">
        <v>5864</v>
      </c>
      <c r="J5209" s="243" t="s">
        <v>5316</v>
      </c>
      <c r="K5209" s="63" t="s">
        <v>5065</v>
      </c>
      <c r="L5209" s="58" t="s">
        <v>2737</v>
      </c>
      <c r="M5209" s="94">
        <f>35+25.5/60</f>
        <v>35.424999999999997</v>
      </c>
      <c r="N5209" s="94">
        <f>-82-33/60</f>
        <v>-82.55</v>
      </c>
      <c r="O5209" s="94">
        <v>624</v>
      </c>
      <c r="P5209" s="58"/>
      <c r="Q5209" s="244">
        <v>13</v>
      </c>
      <c r="R5209" s="58"/>
      <c r="S5209" s="245">
        <v>1123</v>
      </c>
      <c r="T5209" s="58"/>
      <c r="U5209" s="58" t="s">
        <v>1912</v>
      </c>
      <c r="V5209" s="244">
        <v>15</v>
      </c>
      <c r="W5209" s="174"/>
      <c r="X5209" s="174"/>
      <c r="Y5209" s="58" t="s">
        <v>5865</v>
      </c>
      <c r="Z5209" s="244" t="s">
        <v>1349</v>
      </c>
      <c r="AA5209" s="245">
        <v>15</v>
      </c>
      <c r="AB5209" s="67"/>
      <c r="AC5209" s="67"/>
      <c r="AD5209" s="94"/>
      <c r="AE5209" s="94">
        <v>56</v>
      </c>
      <c r="AF5209" s="94">
        <v>26</v>
      </c>
      <c r="AG5209" s="245">
        <v>18</v>
      </c>
      <c r="AH5209" s="58" t="s">
        <v>238</v>
      </c>
      <c r="AI5209" s="169" t="s">
        <v>5826</v>
      </c>
      <c r="AJ5209" s="94"/>
      <c r="AK5209" s="94"/>
      <c r="AL5209" s="58"/>
      <c r="AM5209" s="58" t="s">
        <v>5859</v>
      </c>
      <c r="AN5209" s="186" t="s">
        <v>5860</v>
      </c>
      <c r="AO5209" s="185" t="s">
        <v>5150</v>
      </c>
      <c r="AP5209" s="58"/>
      <c r="AQ5209" s="58" t="s">
        <v>1545</v>
      </c>
      <c r="AR5209" s="58" t="s">
        <v>1430</v>
      </c>
      <c r="AS5209" s="246" t="s">
        <v>4584</v>
      </c>
      <c r="AT5209" s="247">
        <v>1</v>
      </c>
      <c r="AU5209" s="181" t="s">
        <v>7494</v>
      </c>
      <c r="AV5209" s="185" t="s">
        <v>176</v>
      </c>
      <c r="AW5209" s="244">
        <v>1</v>
      </c>
      <c r="AX5209" s="185" t="s">
        <v>176</v>
      </c>
      <c r="AY5209" s="244" t="s">
        <v>176</v>
      </c>
      <c r="AZ5209" s="58" t="s">
        <v>2081</v>
      </c>
      <c r="BA5209" s="58" t="s">
        <v>2081</v>
      </c>
      <c r="BB5209" s="58" t="s">
        <v>2081</v>
      </c>
      <c r="BC5209" s="58" t="s">
        <v>2081</v>
      </c>
      <c r="BD5209" s="58" t="s">
        <v>176</v>
      </c>
      <c r="BE5209" s="236" t="s">
        <v>5226</v>
      </c>
      <c r="BF5209" s="191" t="s">
        <v>479</v>
      </c>
      <c r="BG5209" s="191" t="s">
        <v>479</v>
      </c>
      <c r="BH5209" s="236" t="s">
        <v>5295</v>
      </c>
      <c r="BI5209" s="191" t="s">
        <v>479</v>
      </c>
      <c r="BJ5209" s="58" t="str">
        <f>IF(BE5209=BH5209,"No","yes")</f>
        <v>yes</v>
      </c>
      <c r="BK5209" s="58" t="s">
        <v>6335</v>
      </c>
      <c r="BL5209" s="58"/>
      <c r="BM5209" s="237"/>
      <c r="BN5209" s="244">
        <v>4</v>
      </c>
      <c r="BO5209" s="244">
        <v>4</v>
      </c>
      <c r="BP5209" s="58"/>
      <c r="BQ5209" s="58"/>
      <c r="BR5209" s="58"/>
      <c r="BS5209" s="58"/>
      <c r="BT5209" s="58"/>
      <c r="BU5209" s="58"/>
      <c r="BV5209" s="58" t="s">
        <v>5863</v>
      </c>
      <c r="BW5209" s="67"/>
      <c r="BX5209" s="67"/>
      <c r="BY5209" s="67"/>
      <c r="BZ5209" s="67"/>
      <c r="CA5209" s="67"/>
      <c r="CB5209" s="70"/>
      <c r="CC5209" s="70"/>
      <c r="CD5209" s="70"/>
      <c r="CE5209" s="67"/>
      <c r="CF5209" s="67"/>
      <c r="CG5209" s="67"/>
      <c r="CH5209" s="245"/>
      <c r="CI5209" s="245"/>
      <c r="CJ5209" s="67"/>
      <c r="CK5209" s="67"/>
      <c r="CL5209" s="67"/>
      <c r="CM5209" s="242">
        <v>0.7</v>
      </c>
      <c r="CN5209" s="242">
        <v>1.7</v>
      </c>
      <c r="CO5209" s="242">
        <v>0.1</v>
      </c>
      <c r="CP5209" s="242">
        <f>(1.956-1.858)*2</f>
        <v>0.19599999999999973</v>
      </c>
      <c r="CQ5209" s="242" t="s">
        <v>164</v>
      </c>
      <c r="CR5209" s="242">
        <v>16.110251900402993</v>
      </c>
      <c r="CS5209" s="242">
        <v>35.826537439350957</v>
      </c>
      <c r="CT5209" s="242"/>
      <c r="CU5209" s="242"/>
      <c r="CV5209" s="242" t="s">
        <v>5151</v>
      </c>
      <c r="CW5209" s="242"/>
      <c r="CX5209" s="242"/>
      <c r="CY5209" s="242"/>
      <c r="CZ5209" s="242"/>
      <c r="DA5209" s="67" t="s">
        <v>5443</v>
      </c>
      <c r="DB5209" s="67">
        <v>849</v>
      </c>
      <c r="DC5209" s="67">
        <v>1795.4</v>
      </c>
      <c r="DD5209" s="67">
        <v>140</v>
      </c>
      <c r="DE5209" s="67">
        <f>(1923-DC5209)*2</f>
        <v>255.19999999999982</v>
      </c>
      <c r="DF5209" s="67" t="s">
        <v>2241</v>
      </c>
      <c r="DG5209" s="67"/>
      <c r="DH5209" s="67"/>
      <c r="DI5209" s="67"/>
      <c r="DJ5209" s="67"/>
      <c r="DK5209" s="67"/>
      <c r="DL5209" s="67"/>
      <c r="DM5209" s="67"/>
      <c r="DN5209" s="67"/>
      <c r="DO5209" s="67"/>
      <c r="DP5209" s="67"/>
      <c r="DQ5209" s="166"/>
      <c r="DR5209" s="166"/>
      <c r="DS5209" s="163"/>
      <c r="DT5209" s="163"/>
      <c r="DU5209" s="67"/>
      <c r="DV5209" s="67"/>
      <c r="DW5209" s="67"/>
      <c r="DX5209" s="67"/>
      <c r="DY5209" s="67"/>
      <c r="DZ5209" s="67"/>
      <c r="EA5209" s="67"/>
      <c r="EB5209" s="67"/>
      <c r="EC5209" s="67"/>
      <c r="ED5209" s="67"/>
      <c r="EE5209" s="67"/>
      <c r="EF5209" s="67"/>
      <c r="EG5209" s="67"/>
      <c r="EH5209" s="67"/>
      <c r="EI5209" s="67"/>
      <c r="EJ5209" s="67"/>
      <c r="EK5209" s="94"/>
      <c r="EL5209" s="94"/>
      <c r="EM5209" s="67"/>
      <c r="EN5209" s="67"/>
      <c r="EO5209" s="67"/>
      <c r="EP5209" s="67"/>
      <c r="EQ5209" s="67"/>
      <c r="ER5209" s="67"/>
      <c r="ES5209" s="67"/>
      <c r="ET5209" s="67"/>
      <c r="EU5209" s="67"/>
      <c r="EV5209" s="67"/>
      <c r="EW5209" s="67"/>
      <c r="EX5209" s="67"/>
      <c r="EY5209" s="67"/>
      <c r="EZ5209" s="67"/>
      <c r="FA5209" s="67"/>
      <c r="FB5209" s="67"/>
      <c r="FC5209" s="67"/>
      <c r="FD5209" s="67"/>
      <c r="FE5209" s="67"/>
      <c r="FF5209" s="67"/>
      <c r="FG5209" s="67"/>
      <c r="FH5209" s="67"/>
      <c r="FI5209" s="67"/>
      <c r="FJ5209" s="67"/>
      <c r="FK5209" s="67"/>
      <c r="FL5209" s="67"/>
      <c r="FM5209" s="67"/>
      <c r="FN5209" s="67"/>
      <c r="FO5209" s="67"/>
      <c r="FP5209" s="67"/>
      <c r="FQ5209" s="67"/>
      <c r="FR5209" s="67"/>
      <c r="FS5209" s="67"/>
      <c r="FT5209" s="67"/>
      <c r="FU5209" s="67"/>
      <c r="FV5209" s="67"/>
      <c r="FW5209" s="67"/>
      <c r="FX5209" s="67"/>
      <c r="FY5209" s="67"/>
      <c r="FZ5209" s="67"/>
      <c r="GA5209" s="67"/>
      <c r="GB5209" s="67"/>
      <c r="GC5209" s="67"/>
      <c r="GD5209" s="67"/>
      <c r="GE5209" s="67"/>
      <c r="GF5209" s="67"/>
      <c r="GG5209" s="67"/>
      <c r="GH5209" s="67"/>
      <c r="GI5209" s="67"/>
      <c r="GJ5209" s="67"/>
      <c r="GK5209" s="67"/>
      <c r="GL5209" s="67"/>
      <c r="GM5209" s="67"/>
      <c r="GN5209" s="292"/>
      <c r="GO5209" s="292"/>
      <c r="GP5209" s="292" t="s">
        <v>7494</v>
      </c>
      <c r="GQ5209" s="67"/>
      <c r="GR5209" s="67"/>
      <c r="GS5209" s="67"/>
      <c r="GT5209" s="67"/>
      <c r="GU5209" s="67"/>
      <c r="GV5209" s="67"/>
      <c r="GW5209" s="67"/>
      <c r="GX5209" s="67"/>
      <c r="GY5209" s="67"/>
      <c r="GZ5209" s="67"/>
      <c r="HA5209" s="67"/>
      <c r="HB5209" s="67"/>
      <c r="HC5209" s="67"/>
      <c r="HD5209" s="67"/>
      <c r="HE5209" s="67"/>
      <c r="HF5209" s="67"/>
      <c r="HG5209" s="67"/>
      <c r="HH5209" s="67"/>
      <c r="HI5209" s="67"/>
      <c r="HJ5209" s="67"/>
      <c r="HK5209" s="67"/>
      <c r="HL5209" s="67"/>
      <c r="HM5209" s="67"/>
      <c r="HN5209" s="67"/>
      <c r="HO5209" s="67"/>
      <c r="HP5209" s="67"/>
      <c r="HQ5209" s="67"/>
      <c r="HR5209" s="67"/>
      <c r="HS5209" s="67"/>
      <c r="HT5209" s="67"/>
      <c r="HU5209" s="67"/>
      <c r="HV5209" s="67"/>
      <c r="HW5209" s="67"/>
      <c r="HX5209" s="67"/>
      <c r="HY5209" s="67"/>
      <c r="HZ5209" s="67"/>
      <c r="IA5209" s="67"/>
      <c r="IB5209" s="67"/>
      <c r="IC5209" s="67">
        <v>6.27</v>
      </c>
      <c r="ID5209" s="67">
        <v>10.9</v>
      </c>
      <c r="IE5209" s="67">
        <f>(7.68-IC5209)*2</f>
        <v>2.8200000000000003</v>
      </c>
      <c r="IF5209" s="67">
        <f>(12.9-ID5209)*2</f>
        <v>4</v>
      </c>
      <c r="IG5209" s="67" t="s">
        <v>5866</v>
      </c>
      <c r="IH5209" s="67"/>
      <c r="II5209" s="67"/>
      <c r="IJ5209" s="67"/>
      <c r="IK5209" s="67"/>
      <c r="IL5209" s="67"/>
      <c r="IM5209" s="67"/>
      <c r="IN5209" s="67"/>
      <c r="IO5209" s="67"/>
      <c r="IP5209" s="67"/>
      <c r="IQ5209" s="67"/>
      <c r="IR5209" s="67"/>
      <c r="IS5209" s="67"/>
      <c r="IT5209" s="67"/>
      <c r="IU5209" s="67"/>
      <c r="IV5209" s="67"/>
      <c r="IW5209" s="67">
        <v>32.212000000000003</v>
      </c>
      <c r="IX5209" s="67">
        <v>44.722000000000001</v>
      </c>
      <c r="IY5209" s="67">
        <f>(33-IW5209)*2</f>
        <v>1.5759999999999934</v>
      </c>
      <c r="IZ5209" s="67">
        <f>(46.68-IX5209)*2</f>
        <v>3.9159999999999968</v>
      </c>
      <c r="JA5209" s="67" t="s">
        <v>5867</v>
      </c>
      <c r="JB5209" s="67"/>
      <c r="JC5209" s="67"/>
      <c r="JD5209" s="67"/>
      <c r="JE5209" s="67"/>
      <c r="JF5209" s="67"/>
      <c r="JG5209" s="67">
        <v>257.59500000000003</v>
      </c>
      <c r="JH5209" s="67">
        <v>254.29</v>
      </c>
      <c r="JI5209" s="67">
        <v>40</v>
      </c>
      <c r="JJ5209" s="67">
        <v>40</v>
      </c>
      <c r="JK5209" s="67" t="s">
        <v>2242</v>
      </c>
      <c r="JL5209" s="67">
        <v>34.31</v>
      </c>
      <c r="JM5209" s="67">
        <v>45.36</v>
      </c>
      <c r="JN5209" s="67">
        <v>3</v>
      </c>
      <c r="JO5209" s="67">
        <v>3</v>
      </c>
      <c r="JP5209" s="67" t="s">
        <v>2242</v>
      </c>
      <c r="JQ5209" s="67"/>
      <c r="JR5209" s="67"/>
      <c r="JS5209" s="67"/>
      <c r="JT5209" s="67"/>
      <c r="JU5209" s="58"/>
      <c r="JV5209" s="58"/>
      <c r="JW5209" s="58"/>
    </row>
    <row r="5210" spans="1:283" s="23" customFormat="1" x14ac:dyDescent="0.25">
      <c r="A5210" s="55">
        <v>5209</v>
      </c>
      <c r="B5210" s="12" t="s">
        <v>7067</v>
      </c>
      <c r="C5210" s="156">
        <v>278</v>
      </c>
      <c r="D5210" s="58" t="s">
        <v>5053</v>
      </c>
      <c r="E5210" s="160" t="str">
        <f>G5210</f>
        <v>Wang et al. 2011_pair 1</v>
      </c>
      <c r="F5210" s="160"/>
      <c r="G5210" s="60" t="s">
        <v>4675</v>
      </c>
      <c r="H5210" s="58">
        <v>2011</v>
      </c>
      <c r="I5210" s="58" t="s">
        <v>5532</v>
      </c>
      <c r="J5210" s="243" t="s">
        <v>5316</v>
      </c>
      <c r="K5210" s="63" t="s">
        <v>5065</v>
      </c>
      <c r="L5210" s="58" t="s">
        <v>2737</v>
      </c>
      <c r="M5210" s="94">
        <f>35+25.5/60</f>
        <v>35.424999999999997</v>
      </c>
      <c r="N5210" s="94">
        <f>-82-33/60</f>
        <v>-82.55</v>
      </c>
      <c r="O5210" s="94">
        <v>624</v>
      </c>
      <c r="P5210" s="58"/>
      <c r="Q5210" s="244">
        <v>13</v>
      </c>
      <c r="R5210" s="58"/>
      <c r="S5210" s="245">
        <v>1123</v>
      </c>
      <c r="T5210" s="58"/>
      <c r="U5210" s="58" t="s">
        <v>1677</v>
      </c>
      <c r="V5210" s="244">
        <v>15</v>
      </c>
      <c r="W5210" s="174"/>
      <c r="X5210" s="174"/>
      <c r="Y5210" s="58" t="s">
        <v>5865</v>
      </c>
      <c r="Z5210" s="244" t="s">
        <v>1349</v>
      </c>
      <c r="AA5210" s="245">
        <v>15</v>
      </c>
      <c r="AB5210" s="67"/>
      <c r="AC5210" s="67"/>
      <c r="AD5210" s="94"/>
      <c r="AE5210" s="94">
        <v>56</v>
      </c>
      <c r="AF5210" s="94">
        <v>26</v>
      </c>
      <c r="AG5210" s="245">
        <v>18</v>
      </c>
      <c r="AH5210" s="58" t="s">
        <v>238</v>
      </c>
      <c r="AI5210" s="169" t="s">
        <v>5723</v>
      </c>
      <c r="AJ5210" s="94"/>
      <c r="AK5210" s="94"/>
      <c r="AL5210" s="58"/>
      <c r="AM5210" s="58" t="s">
        <v>5859</v>
      </c>
      <c r="AN5210" s="186" t="s">
        <v>176</v>
      </c>
      <c r="AO5210" s="185" t="s">
        <v>5150</v>
      </c>
      <c r="AP5210" s="58"/>
      <c r="AQ5210" s="58" t="s">
        <v>176</v>
      </c>
      <c r="AR5210" s="58" t="s">
        <v>1430</v>
      </c>
      <c r="AS5210" s="246" t="s">
        <v>4584</v>
      </c>
      <c r="AT5210" s="247">
        <v>1</v>
      </c>
      <c r="AU5210" s="181" t="s">
        <v>7494</v>
      </c>
      <c r="AV5210" s="185" t="s">
        <v>176</v>
      </c>
      <c r="AW5210" s="244">
        <v>1</v>
      </c>
      <c r="AX5210" s="185" t="s">
        <v>176</v>
      </c>
      <c r="AY5210" s="244" t="s">
        <v>176</v>
      </c>
      <c r="AZ5210" s="58" t="s">
        <v>2081</v>
      </c>
      <c r="BA5210" s="58" t="s">
        <v>2081</v>
      </c>
      <c r="BB5210" s="58" t="s">
        <v>2081</v>
      </c>
      <c r="BC5210" s="58" t="s">
        <v>2081</v>
      </c>
      <c r="BD5210" s="58" t="s">
        <v>176</v>
      </c>
      <c r="BE5210" s="236" t="s">
        <v>5226</v>
      </c>
      <c r="BF5210" s="191" t="s">
        <v>479</v>
      </c>
      <c r="BG5210" s="191" t="s">
        <v>479</v>
      </c>
      <c r="BH5210" s="236" t="s">
        <v>5295</v>
      </c>
      <c r="BI5210" s="191" t="s">
        <v>479</v>
      </c>
      <c r="BJ5210" s="58" t="str">
        <f>IF(BE5210=BH5210,"No","yes")</f>
        <v>yes</v>
      </c>
      <c r="BK5210" s="58" t="s">
        <v>6334</v>
      </c>
      <c r="BL5210" s="58"/>
      <c r="BM5210" s="237"/>
      <c r="BN5210" s="244">
        <v>4</v>
      </c>
      <c r="BO5210" s="244">
        <v>4</v>
      </c>
      <c r="BP5210" s="58"/>
      <c r="BQ5210" s="58"/>
      <c r="BR5210" s="58"/>
      <c r="BS5210" s="58"/>
      <c r="BT5210" s="58"/>
      <c r="BU5210" s="58"/>
      <c r="BV5210" s="58" t="s">
        <v>5861</v>
      </c>
      <c r="BW5210" s="67"/>
      <c r="BX5210" s="67"/>
      <c r="BY5210" s="67"/>
      <c r="BZ5210" s="67"/>
      <c r="CA5210" s="67"/>
      <c r="CB5210" s="70"/>
      <c r="CC5210" s="70"/>
      <c r="CD5210" s="70"/>
      <c r="CE5210" s="67"/>
      <c r="CF5210" s="67"/>
      <c r="CG5210" s="67"/>
      <c r="CH5210" s="245"/>
      <c r="CI5210" s="245"/>
      <c r="CJ5210" s="67"/>
      <c r="CK5210" s="67"/>
      <c r="CL5210" s="67"/>
      <c r="CM5210" s="242"/>
      <c r="CN5210" s="242"/>
      <c r="CO5210" s="242"/>
      <c r="CP5210" s="242"/>
      <c r="CQ5210" s="242"/>
      <c r="CR5210" s="242"/>
      <c r="CS5210" s="242"/>
      <c r="CT5210" s="242"/>
      <c r="CU5210" s="242"/>
      <c r="CV5210" s="242"/>
      <c r="CW5210" s="242"/>
      <c r="CX5210" s="242"/>
      <c r="CY5210" s="242"/>
      <c r="CZ5210" s="242"/>
      <c r="DA5210" s="67"/>
      <c r="DB5210" s="67"/>
      <c r="DC5210" s="67"/>
      <c r="DD5210" s="67"/>
      <c r="DE5210" s="67"/>
      <c r="DF5210" s="67"/>
      <c r="DG5210" s="67"/>
      <c r="DH5210" s="67"/>
      <c r="DI5210" s="67"/>
      <c r="DJ5210" s="67"/>
      <c r="DK5210" s="67"/>
      <c r="DL5210" s="67"/>
      <c r="DM5210" s="67"/>
      <c r="DN5210" s="67"/>
      <c r="DO5210" s="67"/>
      <c r="DP5210" s="67"/>
      <c r="DQ5210" s="166"/>
      <c r="DR5210" s="166"/>
      <c r="DS5210" s="163"/>
      <c r="DT5210" s="163"/>
      <c r="DU5210" s="67"/>
      <c r="DV5210" s="67"/>
      <c r="DW5210" s="67"/>
      <c r="DX5210" s="67"/>
      <c r="DY5210" s="67"/>
      <c r="DZ5210" s="67"/>
      <c r="EA5210" s="67"/>
      <c r="EB5210" s="67"/>
      <c r="EC5210" s="67"/>
      <c r="ED5210" s="67"/>
      <c r="EE5210" s="67"/>
      <c r="EF5210" s="67"/>
      <c r="EG5210" s="67"/>
      <c r="EH5210" s="67"/>
      <c r="EI5210" s="67"/>
      <c r="EJ5210" s="67"/>
      <c r="EK5210" s="94"/>
      <c r="EL5210" s="94"/>
      <c r="EM5210" s="67"/>
      <c r="EN5210" s="67"/>
      <c r="EO5210" s="67"/>
      <c r="EP5210" s="67"/>
      <c r="EQ5210" s="67"/>
      <c r="ER5210" s="67"/>
      <c r="ES5210" s="67"/>
      <c r="ET5210" s="67"/>
      <c r="EU5210" s="67"/>
      <c r="EV5210" s="67"/>
      <c r="EW5210" s="67"/>
      <c r="EX5210" s="67"/>
      <c r="EY5210" s="67"/>
      <c r="EZ5210" s="67"/>
      <c r="FA5210" s="67"/>
      <c r="FB5210" s="67"/>
      <c r="FC5210" s="67"/>
      <c r="FD5210" s="67"/>
      <c r="FE5210" s="67"/>
      <c r="FF5210" s="67"/>
      <c r="FG5210" s="67"/>
      <c r="FH5210" s="67"/>
      <c r="FI5210" s="67"/>
      <c r="FJ5210" s="67"/>
      <c r="FK5210" s="67"/>
      <c r="FL5210" s="67"/>
      <c r="FM5210" s="67"/>
      <c r="FN5210" s="67"/>
      <c r="FO5210" s="67"/>
      <c r="FP5210" s="67"/>
      <c r="FQ5210" s="67"/>
      <c r="FR5210" s="67"/>
      <c r="FS5210" s="67"/>
      <c r="FT5210" s="67"/>
      <c r="FU5210" s="67"/>
      <c r="FV5210" s="67"/>
      <c r="FW5210" s="67"/>
      <c r="FX5210" s="67"/>
      <c r="FY5210" s="67"/>
      <c r="FZ5210" s="67"/>
      <c r="GA5210" s="67"/>
      <c r="GB5210" s="67"/>
      <c r="GC5210" s="67"/>
      <c r="GD5210" s="67"/>
      <c r="GE5210" s="67"/>
      <c r="GF5210" s="67"/>
      <c r="GG5210" s="67"/>
      <c r="GH5210" s="67"/>
      <c r="GI5210" s="67"/>
      <c r="GJ5210" s="67"/>
      <c r="GK5210" s="67"/>
      <c r="GL5210" s="67"/>
      <c r="GM5210" s="67"/>
      <c r="GN5210" s="292"/>
      <c r="GO5210" s="292"/>
      <c r="GP5210" s="292" t="s">
        <v>7494</v>
      </c>
      <c r="GQ5210" s="67"/>
      <c r="GR5210" s="67"/>
      <c r="GS5210" s="67"/>
      <c r="GT5210" s="67"/>
      <c r="GU5210" s="67"/>
      <c r="GV5210" s="67"/>
      <c r="GW5210" s="67"/>
      <c r="GX5210" s="67"/>
      <c r="GY5210" s="67"/>
      <c r="GZ5210" s="67"/>
      <c r="HA5210" s="67"/>
      <c r="HB5210" s="67"/>
      <c r="HC5210" s="67"/>
      <c r="HD5210" s="67"/>
      <c r="HE5210" s="67"/>
      <c r="HF5210" s="67"/>
      <c r="HG5210" s="67"/>
      <c r="HH5210" s="67"/>
      <c r="HI5210" s="67"/>
      <c r="HJ5210" s="67"/>
      <c r="HK5210" s="67"/>
      <c r="HL5210" s="67"/>
      <c r="HM5210" s="67"/>
      <c r="HN5210" s="67"/>
      <c r="HO5210" s="67"/>
      <c r="HP5210" s="67"/>
      <c r="HQ5210" s="67"/>
      <c r="HR5210" s="67"/>
      <c r="HS5210" s="67"/>
      <c r="HT5210" s="67"/>
      <c r="HU5210" s="67"/>
      <c r="HV5210" s="67"/>
      <c r="HW5210" s="67"/>
      <c r="HX5210" s="67"/>
      <c r="HY5210" s="67"/>
      <c r="HZ5210" s="67"/>
      <c r="IA5210" s="67"/>
      <c r="IB5210" s="67"/>
      <c r="IC5210" s="67">
        <v>15.13</v>
      </c>
      <c r="ID5210" s="67">
        <v>10.84</v>
      </c>
      <c r="IE5210" s="67">
        <f>(17.87-IC5210)*2</f>
        <v>5.48</v>
      </c>
      <c r="IF5210" s="67">
        <f>(11.46-ID5210)*2</f>
        <v>1.240000000000002</v>
      </c>
      <c r="IG5210" s="67" t="s">
        <v>5866</v>
      </c>
      <c r="IH5210" s="67"/>
      <c r="II5210" s="67"/>
      <c r="IJ5210" s="67"/>
      <c r="IK5210" s="67"/>
      <c r="IL5210" s="67"/>
      <c r="IM5210" s="67"/>
      <c r="IN5210" s="67"/>
      <c r="IO5210" s="67"/>
      <c r="IP5210" s="67"/>
      <c r="IQ5210" s="67"/>
      <c r="IR5210" s="67"/>
      <c r="IS5210" s="67"/>
      <c r="IT5210" s="67"/>
      <c r="IU5210" s="67"/>
      <c r="IV5210" s="67"/>
      <c r="IW5210" s="67">
        <v>69.757999999999996</v>
      </c>
      <c r="IX5210" s="67">
        <v>68.98</v>
      </c>
      <c r="IY5210" s="67">
        <f>(76.8-IW5210)*2</f>
        <v>14.084000000000003</v>
      </c>
      <c r="IZ5210" s="67">
        <f>(73-IX5210)*2</f>
        <v>8.039999999999992</v>
      </c>
      <c r="JA5210" s="67" t="s">
        <v>5867</v>
      </c>
      <c r="JB5210" s="67"/>
      <c r="JC5210" s="67"/>
      <c r="JD5210" s="67"/>
      <c r="JE5210" s="67"/>
      <c r="JF5210" s="67"/>
      <c r="JG5210" s="67">
        <v>589.995</v>
      </c>
      <c r="JH5210" s="67">
        <v>393.48</v>
      </c>
      <c r="JI5210" s="67">
        <v>50</v>
      </c>
      <c r="JJ5210" s="67">
        <v>50</v>
      </c>
      <c r="JK5210" s="67" t="s">
        <v>2242</v>
      </c>
      <c r="JL5210" s="67">
        <v>93.52</v>
      </c>
      <c r="JM5210" s="67">
        <v>83.49</v>
      </c>
      <c r="JN5210" s="67">
        <f>(96.87-JL5210)*2</f>
        <v>6.7000000000000171</v>
      </c>
      <c r="JO5210" s="67">
        <v>6</v>
      </c>
      <c r="JP5210" s="67" t="s">
        <v>2242</v>
      </c>
      <c r="JQ5210" s="67"/>
      <c r="JR5210" s="67"/>
      <c r="JS5210" s="67"/>
      <c r="JT5210" s="67"/>
      <c r="JU5210" s="58"/>
      <c r="JV5210" s="58"/>
      <c r="JW5210" s="58"/>
    </row>
    <row r="5211" spans="1:283" s="23" customFormat="1" x14ac:dyDescent="0.25">
      <c r="A5211" s="55">
        <v>5210</v>
      </c>
      <c r="B5211" s="12" t="s">
        <v>7067</v>
      </c>
      <c r="C5211" s="156">
        <v>278</v>
      </c>
      <c r="D5211" s="58" t="s">
        <v>5054</v>
      </c>
      <c r="E5211" s="160" t="str">
        <f>G5211</f>
        <v>Wang et al. 2011_pair 2</v>
      </c>
      <c r="F5211" s="160"/>
      <c r="G5211" s="60" t="s">
        <v>4674</v>
      </c>
      <c r="H5211" s="58">
        <v>2011</v>
      </c>
      <c r="I5211" s="58" t="s">
        <v>5532</v>
      </c>
      <c r="J5211" s="243" t="s">
        <v>5316</v>
      </c>
      <c r="K5211" s="63" t="s">
        <v>5065</v>
      </c>
      <c r="L5211" s="58" t="s">
        <v>2737</v>
      </c>
      <c r="M5211" s="94">
        <f>35+25.5/60</f>
        <v>35.424999999999997</v>
      </c>
      <c r="N5211" s="94">
        <f>-82-33/60</f>
        <v>-82.55</v>
      </c>
      <c r="O5211" s="94">
        <v>624</v>
      </c>
      <c r="P5211" s="58"/>
      <c r="Q5211" s="244">
        <v>13</v>
      </c>
      <c r="R5211" s="58"/>
      <c r="S5211" s="245">
        <v>1123</v>
      </c>
      <c r="T5211" s="58"/>
      <c r="U5211" s="58" t="s">
        <v>1677</v>
      </c>
      <c r="V5211" s="244">
        <v>15</v>
      </c>
      <c r="W5211" s="174"/>
      <c r="X5211" s="174"/>
      <c r="Y5211" s="58" t="s">
        <v>5865</v>
      </c>
      <c r="Z5211" s="244" t="s">
        <v>1349</v>
      </c>
      <c r="AA5211" s="245">
        <v>15</v>
      </c>
      <c r="AB5211" s="67"/>
      <c r="AC5211" s="67"/>
      <c r="AD5211" s="94"/>
      <c r="AE5211" s="94">
        <v>56</v>
      </c>
      <c r="AF5211" s="94">
        <v>26</v>
      </c>
      <c r="AG5211" s="245">
        <v>18</v>
      </c>
      <c r="AH5211" s="58" t="s">
        <v>238</v>
      </c>
      <c r="AI5211" s="169" t="s">
        <v>5724</v>
      </c>
      <c r="AJ5211" s="94"/>
      <c r="AK5211" s="94"/>
      <c r="AL5211" s="58"/>
      <c r="AM5211" s="58" t="s">
        <v>5859</v>
      </c>
      <c r="AN5211" s="186" t="s">
        <v>176</v>
      </c>
      <c r="AO5211" s="185" t="s">
        <v>5150</v>
      </c>
      <c r="AP5211" s="58"/>
      <c r="AQ5211" s="58" t="s">
        <v>176</v>
      </c>
      <c r="AR5211" s="58" t="s">
        <v>1430</v>
      </c>
      <c r="AS5211" s="246" t="s">
        <v>4584</v>
      </c>
      <c r="AT5211" s="247">
        <v>1</v>
      </c>
      <c r="AU5211" s="181" t="s">
        <v>7494</v>
      </c>
      <c r="AV5211" s="185" t="s">
        <v>176</v>
      </c>
      <c r="AW5211" s="244">
        <v>1</v>
      </c>
      <c r="AX5211" s="185" t="s">
        <v>176</v>
      </c>
      <c r="AY5211" s="244" t="s">
        <v>176</v>
      </c>
      <c r="AZ5211" s="58" t="s">
        <v>2082</v>
      </c>
      <c r="BA5211" s="58" t="s">
        <v>2082</v>
      </c>
      <c r="BB5211" s="58" t="s">
        <v>2082</v>
      </c>
      <c r="BC5211" s="58" t="s">
        <v>2082</v>
      </c>
      <c r="BD5211" s="58" t="s">
        <v>176</v>
      </c>
      <c r="BE5211" s="236" t="s">
        <v>5226</v>
      </c>
      <c r="BF5211" s="191" t="s">
        <v>479</v>
      </c>
      <c r="BG5211" s="191" t="s">
        <v>479</v>
      </c>
      <c r="BH5211" s="236" t="s">
        <v>5295</v>
      </c>
      <c r="BI5211" s="191" t="s">
        <v>479</v>
      </c>
      <c r="BJ5211" s="58" t="str">
        <f>IF(BE5211=BH5211,"No","yes")</f>
        <v>yes</v>
      </c>
      <c r="BK5211" s="58" t="s">
        <v>6334</v>
      </c>
      <c r="BL5211" s="58"/>
      <c r="BM5211" s="237"/>
      <c r="BN5211" s="244">
        <v>4</v>
      </c>
      <c r="BO5211" s="244">
        <v>4</v>
      </c>
      <c r="BP5211" s="58"/>
      <c r="BQ5211" s="58"/>
      <c r="BR5211" s="58"/>
      <c r="BS5211" s="58"/>
      <c r="BT5211" s="58"/>
      <c r="BU5211" s="58"/>
      <c r="BV5211" s="58" t="s">
        <v>5862</v>
      </c>
      <c r="BW5211" s="67"/>
      <c r="BX5211" s="67"/>
      <c r="BY5211" s="67"/>
      <c r="BZ5211" s="67"/>
      <c r="CA5211" s="67"/>
      <c r="CB5211" s="70"/>
      <c r="CC5211" s="70"/>
      <c r="CD5211" s="70"/>
      <c r="CE5211" s="67"/>
      <c r="CF5211" s="67"/>
      <c r="CG5211" s="67"/>
      <c r="CH5211" s="245"/>
      <c r="CI5211" s="245"/>
      <c r="CJ5211" s="67"/>
      <c r="CK5211" s="67"/>
      <c r="CL5211" s="67"/>
      <c r="CM5211" s="242"/>
      <c r="CN5211" s="242"/>
      <c r="CO5211" s="242"/>
      <c r="CP5211" s="242"/>
      <c r="CQ5211" s="242"/>
      <c r="CR5211" s="242"/>
      <c r="CS5211" s="242"/>
      <c r="CT5211" s="242"/>
      <c r="CU5211" s="242"/>
      <c r="CV5211" s="242"/>
      <c r="CW5211" s="242"/>
      <c r="CX5211" s="242"/>
      <c r="CY5211" s="242"/>
      <c r="CZ5211" s="242"/>
      <c r="DA5211" s="67"/>
      <c r="DB5211" s="67"/>
      <c r="DC5211" s="67"/>
      <c r="DD5211" s="67"/>
      <c r="DE5211" s="67"/>
      <c r="DF5211" s="67"/>
      <c r="DG5211" s="67"/>
      <c r="DH5211" s="67"/>
      <c r="DI5211" s="67"/>
      <c r="DJ5211" s="67"/>
      <c r="DK5211" s="67"/>
      <c r="DL5211" s="67"/>
      <c r="DM5211" s="67"/>
      <c r="DN5211" s="67"/>
      <c r="DO5211" s="67"/>
      <c r="DP5211" s="67"/>
      <c r="DQ5211" s="166"/>
      <c r="DR5211" s="166"/>
      <c r="DS5211" s="163"/>
      <c r="DT5211" s="163"/>
      <c r="DU5211" s="67"/>
      <c r="DV5211" s="67"/>
      <c r="DW5211" s="67"/>
      <c r="DX5211" s="67"/>
      <c r="DY5211" s="67"/>
      <c r="DZ5211" s="67"/>
      <c r="EA5211" s="67"/>
      <c r="EB5211" s="67"/>
      <c r="EC5211" s="67"/>
      <c r="ED5211" s="67"/>
      <c r="EE5211" s="67"/>
      <c r="EF5211" s="67"/>
      <c r="EG5211" s="67"/>
      <c r="EH5211" s="67"/>
      <c r="EI5211" s="67"/>
      <c r="EJ5211" s="67"/>
      <c r="EK5211" s="94"/>
      <c r="EL5211" s="94"/>
      <c r="EM5211" s="67"/>
      <c r="EN5211" s="67"/>
      <c r="EO5211" s="67"/>
      <c r="EP5211" s="67"/>
      <c r="EQ5211" s="67"/>
      <c r="ER5211" s="67"/>
      <c r="ES5211" s="67"/>
      <c r="ET5211" s="67"/>
      <c r="EU5211" s="67"/>
      <c r="EV5211" s="67"/>
      <c r="EW5211" s="67"/>
      <c r="EX5211" s="67"/>
      <c r="EY5211" s="67"/>
      <c r="EZ5211" s="67"/>
      <c r="FA5211" s="67"/>
      <c r="FB5211" s="67"/>
      <c r="FC5211" s="67"/>
      <c r="FD5211" s="67"/>
      <c r="FE5211" s="67"/>
      <c r="FF5211" s="67"/>
      <c r="FG5211" s="67"/>
      <c r="FH5211" s="67"/>
      <c r="FI5211" s="67"/>
      <c r="FJ5211" s="67"/>
      <c r="FK5211" s="67"/>
      <c r="FL5211" s="67"/>
      <c r="FM5211" s="67"/>
      <c r="FN5211" s="67"/>
      <c r="FO5211" s="67"/>
      <c r="FP5211" s="67"/>
      <c r="FQ5211" s="67"/>
      <c r="FR5211" s="67"/>
      <c r="FS5211" s="67"/>
      <c r="FT5211" s="67"/>
      <c r="FU5211" s="67"/>
      <c r="FV5211" s="67"/>
      <c r="FW5211" s="67"/>
      <c r="FX5211" s="67"/>
      <c r="FY5211" s="67"/>
      <c r="FZ5211" s="67"/>
      <c r="GA5211" s="67"/>
      <c r="GB5211" s="67"/>
      <c r="GC5211" s="67"/>
      <c r="GD5211" s="67"/>
      <c r="GE5211" s="67"/>
      <c r="GF5211" s="67"/>
      <c r="GG5211" s="67"/>
      <c r="GH5211" s="67"/>
      <c r="GI5211" s="67"/>
      <c r="GJ5211" s="67"/>
      <c r="GK5211" s="67"/>
      <c r="GL5211" s="67"/>
      <c r="GM5211" s="67"/>
      <c r="GN5211" s="292"/>
      <c r="GO5211" s="292"/>
      <c r="GP5211" s="292" t="s">
        <v>7494</v>
      </c>
      <c r="GQ5211" s="67"/>
      <c r="GR5211" s="67"/>
      <c r="GS5211" s="67"/>
      <c r="GT5211" s="67"/>
      <c r="GU5211" s="67"/>
      <c r="GV5211" s="67"/>
      <c r="GW5211" s="67"/>
      <c r="GX5211" s="67"/>
      <c r="GY5211" s="67"/>
      <c r="GZ5211" s="67"/>
      <c r="HA5211" s="67"/>
      <c r="HB5211" s="67"/>
      <c r="HC5211" s="67"/>
      <c r="HD5211" s="67"/>
      <c r="HE5211" s="67"/>
      <c r="HF5211" s="67"/>
      <c r="HG5211" s="67"/>
      <c r="HH5211" s="67"/>
      <c r="HI5211" s="67"/>
      <c r="HJ5211" s="67"/>
      <c r="HK5211" s="67"/>
      <c r="HL5211" s="67"/>
      <c r="HM5211" s="67"/>
      <c r="HN5211" s="67"/>
      <c r="HO5211" s="67"/>
      <c r="HP5211" s="67"/>
      <c r="HQ5211" s="67"/>
      <c r="HR5211" s="67"/>
      <c r="HS5211" s="67"/>
      <c r="HT5211" s="67"/>
      <c r="HU5211" s="67"/>
      <c r="HV5211" s="67"/>
      <c r="HW5211" s="67"/>
      <c r="HX5211" s="67"/>
      <c r="HY5211" s="67"/>
      <c r="HZ5211" s="67"/>
      <c r="IA5211" s="67"/>
      <c r="IB5211" s="67"/>
      <c r="IC5211" s="67">
        <v>1.92</v>
      </c>
      <c r="ID5211" s="67">
        <v>2.633</v>
      </c>
      <c r="IE5211" s="67">
        <f>(2.55-IC5211)*2</f>
        <v>1.2599999999999998</v>
      </c>
      <c r="IF5211" s="67">
        <f>(3-ID5211)*2</f>
        <v>0.73399999999999999</v>
      </c>
      <c r="IG5211" s="67" t="s">
        <v>5866</v>
      </c>
      <c r="IH5211" s="67"/>
      <c r="II5211" s="67"/>
      <c r="IJ5211" s="67"/>
      <c r="IK5211" s="67"/>
      <c r="IL5211" s="67"/>
      <c r="IM5211" s="67"/>
      <c r="IN5211" s="67"/>
      <c r="IO5211" s="67"/>
      <c r="IP5211" s="67"/>
      <c r="IQ5211" s="67"/>
      <c r="IR5211" s="67"/>
      <c r="IS5211" s="67"/>
      <c r="IT5211" s="67"/>
      <c r="IU5211" s="67"/>
      <c r="IV5211" s="67"/>
      <c r="IW5211" s="67">
        <v>18.059999999999999</v>
      </c>
      <c r="IX5211" s="67">
        <v>8.657</v>
      </c>
      <c r="IY5211" s="67">
        <f>(21.976-IW5211)*2</f>
        <v>7.8320000000000007</v>
      </c>
      <c r="IZ5211" s="67">
        <f>(10-IX5211)*2</f>
        <v>2.6859999999999999</v>
      </c>
      <c r="JA5211" s="67" t="s">
        <v>5867</v>
      </c>
      <c r="JB5211" s="67"/>
      <c r="JC5211" s="67"/>
      <c r="JD5211" s="67"/>
      <c r="JE5211" s="67"/>
      <c r="JF5211" s="67"/>
      <c r="JG5211" s="67">
        <v>181.09100000000001</v>
      </c>
      <c r="JH5211" s="67">
        <v>120.771</v>
      </c>
      <c r="JI5211" s="67">
        <v>50</v>
      </c>
      <c r="JJ5211" s="67">
        <v>50</v>
      </c>
      <c r="JK5211" s="67" t="s">
        <v>2242</v>
      </c>
      <c r="JL5211" s="67">
        <v>24.085000000000001</v>
      </c>
      <c r="JM5211" s="67">
        <v>16.28</v>
      </c>
      <c r="JN5211" s="67">
        <v>10</v>
      </c>
      <c r="JO5211" s="67">
        <v>10</v>
      </c>
      <c r="JP5211" s="67" t="s">
        <v>2242</v>
      </c>
      <c r="JQ5211" s="67"/>
      <c r="JR5211" s="67"/>
      <c r="JS5211" s="67"/>
      <c r="JT5211" s="67"/>
      <c r="JU5211" s="58"/>
      <c r="JV5211" s="58"/>
      <c r="JW5211" s="58"/>
    </row>
    <row r="5212" spans="1:283" s="23" customFormat="1" x14ac:dyDescent="0.25">
      <c r="A5212" s="55">
        <v>5211</v>
      </c>
      <c r="B5212" s="12" t="s">
        <v>7067</v>
      </c>
      <c r="C5212" s="156">
        <v>278</v>
      </c>
      <c r="D5212" s="58" t="s">
        <v>5055</v>
      </c>
      <c r="E5212" s="160" t="str">
        <f>G5212</f>
        <v>Wang et al. 2011_pair 3</v>
      </c>
      <c r="F5212" s="160"/>
      <c r="G5212" s="60" t="s">
        <v>4673</v>
      </c>
      <c r="H5212" s="58">
        <v>2011</v>
      </c>
      <c r="I5212" s="58" t="s">
        <v>5532</v>
      </c>
      <c r="J5212" s="243" t="s">
        <v>5316</v>
      </c>
      <c r="K5212" s="63" t="s">
        <v>5065</v>
      </c>
      <c r="L5212" s="58" t="s">
        <v>2737</v>
      </c>
      <c r="M5212" s="94">
        <f>35+25.5/60</f>
        <v>35.424999999999997</v>
      </c>
      <c r="N5212" s="94">
        <f>-82-33/60</f>
        <v>-82.55</v>
      </c>
      <c r="O5212" s="94">
        <v>624</v>
      </c>
      <c r="P5212" s="58"/>
      <c r="Q5212" s="244">
        <v>13</v>
      </c>
      <c r="R5212" s="58"/>
      <c r="S5212" s="245">
        <v>1123</v>
      </c>
      <c r="T5212" s="58"/>
      <c r="U5212" s="58" t="s">
        <v>1677</v>
      </c>
      <c r="V5212" s="244">
        <v>15</v>
      </c>
      <c r="W5212" s="174"/>
      <c r="X5212" s="174"/>
      <c r="Y5212" s="58" t="s">
        <v>5865</v>
      </c>
      <c r="Z5212" s="244" t="s">
        <v>1349</v>
      </c>
      <c r="AA5212" s="245">
        <v>15</v>
      </c>
      <c r="AB5212" s="67"/>
      <c r="AC5212" s="67"/>
      <c r="AD5212" s="94"/>
      <c r="AE5212" s="94">
        <v>56</v>
      </c>
      <c r="AF5212" s="94">
        <v>26</v>
      </c>
      <c r="AG5212" s="245">
        <v>18</v>
      </c>
      <c r="AH5212" s="58" t="s">
        <v>238</v>
      </c>
      <c r="AI5212" s="169" t="s">
        <v>5826</v>
      </c>
      <c r="AJ5212" s="94"/>
      <c r="AK5212" s="94"/>
      <c r="AL5212" s="58"/>
      <c r="AM5212" s="58" t="s">
        <v>5859</v>
      </c>
      <c r="AN5212" s="186" t="s">
        <v>5860</v>
      </c>
      <c r="AO5212" s="185" t="s">
        <v>5150</v>
      </c>
      <c r="AP5212" s="58"/>
      <c r="AQ5212" s="58" t="s">
        <v>1545</v>
      </c>
      <c r="AR5212" s="58" t="s">
        <v>1430</v>
      </c>
      <c r="AS5212" s="246" t="s">
        <v>4584</v>
      </c>
      <c r="AT5212" s="247">
        <v>1</v>
      </c>
      <c r="AU5212" s="181" t="s">
        <v>7494</v>
      </c>
      <c r="AV5212" s="185" t="s">
        <v>176</v>
      </c>
      <c r="AW5212" s="244">
        <v>1</v>
      </c>
      <c r="AX5212" s="185" t="s">
        <v>176</v>
      </c>
      <c r="AY5212" s="244" t="s">
        <v>176</v>
      </c>
      <c r="AZ5212" s="58" t="s">
        <v>2081</v>
      </c>
      <c r="BA5212" s="58" t="s">
        <v>2081</v>
      </c>
      <c r="BB5212" s="58" t="s">
        <v>2081</v>
      </c>
      <c r="BC5212" s="58" t="s">
        <v>2081</v>
      </c>
      <c r="BD5212" s="58" t="s">
        <v>176</v>
      </c>
      <c r="BE5212" s="236" t="s">
        <v>5226</v>
      </c>
      <c r="BF5212" s="191" t="s">
        <v>479</v>
      </c>
      <c r="BG5212" s="191" t="s">
        <v>479</v>
      </c>
      <c r="BH5212" s="236" t="s">
        <v>5295</v>
      </c>
      <c r="BI5212" s="191" t="s">
        <v>479</v>
      </c>
      <c r="BJ5212" s="58" t="str">
        <f>IF(BE5212=BH5212,"No","yes")</f>
        <v>yes</v>
      </c>
      <c r="BK5212" s="58" t="s">
        <v>6335</v>
      </c>
      <c r="BL5212" s="58"/>
      <c r="BM5212" s="237"/>
      <c r="BN5212" s="244">
        <v>4</v>
      </c>
      <c r="BO5212" s="244">
        <v>4</v>
      </c>
      <c r="BP5212" s="58"/>
      <c r="BQ5212" s="58"/>
      <c r="BR5212" s="58"/>
      <c r="BS5212" s="58"/>
      <c r="BT5212" s="58"/>
      <c r="BU5212" s="58"/>
      <c r="BV5212" s="58" t="s">
        <v>5863</v>
      </c>
      <c r="BW5212" s="67"/>
      <c r="BX5212" s="67"/>
      <c r="BY5212" s="67"/>
      <c r="BZ5212" s="67"/>
      <c r="CA5212" s="67"/>
      <c r="CB5212" s="70"/>
      <c r="CC5212" s="70"/>
      <c r="CD5212" s="70"/>
      <c r="CE5212" s="67"/>
      <c r="CF5212" s="67"/>
      <c r="CG5212" s="67"/>
      <c r="CH5212" s="245"/>
      <c r="CI5212" s="245"/>
      <c r="CJ5212" s="67"/>
      <c r="CK5212" s="67"/>
      <c r="CL5212" s="67"/>
      <c r="CM5212" s="242"/>
      <c r="CN5212" s="242"/>
      <c r="CO5212" s="242"/>
      <c r="CP5212" s="242"/>
      <c r="CQ5212" s="242"/>
      <c r="CR5212" s="242"/>
      <c r="CS5212" s="242"/>
      <c r="CT5212" s="242"/>
      <c r="CU5212" s="242"/>
      <c r="CV5212" s="242"/>
      <c r="CW5212" s="242"/>
      <c r="CX5212" s="242"/>
      <c r="CY5212" s="242"/>
      <c r="CZ5212" s="242"/>
      <c r="DA5212" s="67"/>
      <c r="DB5212" s="67"/>
      <c r="DC5212" s="67"/>
      <c r="DD5212" s="67"/>
      <c r="DE5212" s="67"/>
      <c r="DF5212" s="67"/>
      <c r="DG5212" s="67"/>
      <c r="DH5212" s="67"/>
      <c r="DI5212" s="67"/>
      <c r="DJ5212" s="67"/>
      <c r="DK5212" s="67"/>
      <c r="DL5212" s="67"/>
      <c r="DM5212" s="67"/>
      <c r="DN5212" s="67"/>
      <c r="DO5212" s="67"/>
      <c r="DP5212" s="67"/>
      <c r="DQ5212" s="166"/>
      <c r="DR5212" s="166"/>
      <c r="DS5212" s="163"/>
      <c r="DT5212" s="163"/>
      <c r="DU5212" s="67"/>
      <c r="DV5212" s="67"/>
      <c r="DW5212" s="67"/>
      <c r="DX5212" s="67"/>
      <c r="DY5212" s="67"/>
      <c r="DZ5212" s="67"/>
      <c r="EA5212" s="67"/>
      <c r="EB5212" s="67"/>
      <c r="EC5212" s="67"/>
      <c r="ED5212" s="67"/>
      <c r="EE5212" s="67"/>
      <c r="EF5212" s="67"/>
      <c r="EG5212" s="67"/>
      <c r="EH5212" s="67"/>
      <c r="EI5212" s="67"/>
      <c r="EJ5212" s="67"/>
      <c r="EK5212" s="94"/>
      <c r="EL5212" s="94"/>
      <c r="EM5212" s="67"/>
      <c r="EN5212" s="67"/>
      <c r="EO5212" s="67"/>
      <c r="EP5212" s="67"/>
      <c r="EQ5212" s="67"/>
      <c r="ER5212" s="67"/>
      <c r="ES5212" s="67"/>
      <c r="ET5212" s="67"/>
      <c r="EU5212" s="67"/>
      <c r="EV5212" s="67"/>
      <c r="EW5212" s="67"/>
      <c r="EX5212" s="67"/>
      <c r="EY5212" s="67"/>
      <c r="EZ5212" s="67"/>
      <c r="FA5212" s="67"/>
      <c r="FB5212" s="67"/>
      <c r="FC5212" s="67"/>
      <c r="FD5212" s="67"/>
      <c r="FE5212" s="67"/>
      <c r="FF5212" s="67"/>
      <c r="FG5212" s="67"/>
      <c r="FH5212" s="67"/>
      <c r="FI5212" s="67"/>
      <c r="FJ5212" s="67"/>
      <c r="FK5212" s="67"/>
      <c r="FL5212" s="67"/>
      <c r="FM5212" s="67"/>
      <c r="FN5212" s="67"/>
      <c r="FO5212" s="67"/>
      <c r="FP5212" s="67"/>
      <c r="FQ5212" s="67"/>
      <c r="FR5212" s="67"/>
      <c r="FS5212" s="67"/>
      <c r="FT5212" s="67"/>
      <c r="FU5212" s="67"/>
      <c r="FV5212" s="67"/>
      <c r="FW5212" s="67"/>
      <c r="FX5212" s="67"/>
      <c r="FY5212" s="67"/>
      <c r="FZ5212" s="67"/>
      <c r="GA5212" s="67"/>
      <c r="GB5212" s="67"/>
      <c r="GC5212" s="67"/>
      <c r="GD5212" s="67"/>
      <c r="GE5212" s="67"/>
      <c r="GF5212" s="67"/>
      <c r="GG5212" s="67"/>
      <c r="GH5212" s="67"/>
      <c r="GI5212" s="67"/>
      <c r="GJ5212" s="67"/>
      <c r="GK5212" s="67"/>
      <c r="GL5212" s="67"/>
      <c r="GM5212" s="67"/>
      <c r="GN5212" s="292"/>
      <c r="GO5212" s="292"/>
      <c r="GP5212" s="292" t="s">
        <v>7494</v>
      </c>
      <c r="GQ5212" s="67"/>
      <c r="GR5212" s="67"/>
      <c r="GS5212" s="67"/>
      <c r="GT5212" s="67"/>
      <c r="GU5212" s="67"/>
      <c r="GV5212" s="67"/>
      <c r="GW5212" s="67"/>
      <c r="GX5212" s="67"/>
      <c r="GY5212" s="67"/>
      <c r="GZ5212" s="67"/>
      <c r="HA5212" s="67"/>
      <c r="HB5212" s="67"/>
      <c r="HC5212" s="67"/>
      <c r="HD5212" s="67"/>
      <c r="HE5212" s="67"/>
      <c r="HF5212" s="67"/>
      <c r="HG5212" s="67"/>
      <c r="HH5212" s="67"/>
      <c r="HI5212" s="67"/>
      <c r="HJ5212" s="67"/>
      <c r="HK5212" s="67"/>
      <c r="HL5212" s="67"/>
      <c r="HM5212" s="67"/>
      <c r="HN5212" s="67"/>
      <c r="HO5212" s="67"/>
      <c r="HP5212" s="67"/>
      <c r="HQ5212" s="67"/>
      <c r="HR5212" s="67"/>
      <c r="HS5212" s="67"/>
      <c r="HT5212" s="67"/>
      <c r="HU5212" s="67"/>
      <c r="HV5212" s="67"/>
      <c r="HW5212" s="67"/>
      <c r="HX5212" s="67"/>
      <c r="HY5212" s="67"/>
      <c r="HZ5212" s="67"/>
      <c r="IA5212" s="67"/>
      <c r="IB5212" s="67"/>
      <c r="IC5212" s="67">
        <v>14.38</v>
      </c>
      <c r="ID5212" s="67">
        <v>13.765000000000001</v>
      </c>
      <c r="IE5212" s="67">
        <f>(16.117-IC5212)*2</f>
        <v>3.4740000000000002</v>
      </c>
      <c r="IF5212" s="67">
        <f>(15-ID5212)*2</f>
        <v>2.4699999999999989</v>
      </c>
      <c r="IG5212" s="67" t="s">
        <v>5866</v>
      </c>
      <c r="IH5212" s="67"/>
      <c r="II5212" s="67"/>
      <c r="IJ5212" s="67"/>
      <c r="IK5212" s="67"/>
      <c r="IL5212" s="67"/>
      <c r="IM5212" s="67"/>
      <c r="IN5212" s="67"/>
      <c r="IO5212" s="67"/>
      <c r="IP5212" s="67"/>
      <c r="IQ5212" s="67"/>
      <c r="IR5212" s="67"/>
      <c r="IS5212" s="67"/>
      <c r="IT5212" s="67"/>
      <c r="IU5212" s="67"/>
      <c r="IV5212" s="67"/>
      <c r="IW5212" s="67">
        <v>75.566999999999993</v>
      </c>
      <c r="IX5212" s="67">
        <v>59.902000000000001</v>
      </c>
      <c r="IY5212" s="67">
        <f>(83-IW5212)*2</f>
        <v>14.866000000000014</v>
      </c>
      <c r="IZ5212" s="67">
        <f>(61-IX5212)*2</f>
        <v>2.195999999999998</v>
      </c>
      <c r="JA5212" s="67" t="s">
        <v>5867</v>
      </c>
      <c r="JB5212" s="67"/>
      <c r="JC5212" s="67"/>
      <c r="JD5212" s="67"/>
      <c r="JE5212" s="67"/>
      <c r="JF5212" s="67"/>
      <c r="JG5212" s="67">
        <v>690.91499999999996</v>
      </c>
      <c r="JH5212" s="67">
        <v>421.53399999999999</v>
      </c>
      <c r="JI5212" s="67">
        <f>(728.97-JG5212)*2</f>
        <v>76.110000000000127</v>
      </c>
      <c r="JJ5212" s="67">
        <v>60</v>
      </c>
      <c r="JK5212" s="67" t="s">
        <v>2242</v>
      </c>
      <c r="JL5212" s="67">
        <v>108.25</v>
      </c>
      <c r="JM5212" s="67">
        <v>76.040000000000006</v>
      </c>
      <c r="JN5212" s="67">
        <v>9</v>
      </c>
      <c r="JO5212" s="67">
        <f>(82-JM5212)*2</f>
        <v>11.919999999999987</v>
      </c>
      <c r="JP5212" s="67" t="s">
        <v>2242</v>
      </c>
      <c r="JQ5212" s="67"/>
      <c r="JR5212" s="67"/>
      <c r="JS5212" s="67"/>
      <c r="JT5212" s="67"/>
      <c r="JU5212" s="58"/>
      <c r="JV5212" s="58"/>
      <c r="JW5212" s="58"/>
    </row>
    <row r="5213" spans="1:283" s="23" customFormat="1" x14ac:dyDescent="0.25">
      <c r="A5213" s="55">
        <v>5212</v>
      </c>
      <c r="B5213" s="12" t="s">
        <v>7067</v>
      </c>
      <c r="C5213" s="156">
        <v>279</v>
      </c>
      <c r="D5213" s="58" t="s">
        <v>5056</v>
      </c>
      <c r="E5213" s="160" t="str">
        <f>G5213</f>
        <v>Wells et al 2000_pair 1</v>
      </c>
      <c r="F5213" s="160"/>
      <c r="G5213" s="60" t="s">
        <v>4672</v>
      </c>
      <c r="H5213" s="58">
        <v>2000</v>
      </c>
      <c r="I5213" s="58" t="s">
        <v>5626</v>
      </c>
      <c r="J5213" s="243" t="s">
        <v>427</v>
      </c>
      <c r="K5213" s="63" t="s">
        <v>5064</v>
      </c>
      <c r="L5213" s="58" t="s">
        <v>2746</v>
      </c>
      <c r="M5213" s="94">
        <f>-33-23/60</f>
        <v>-33.383333333333333</v>
      </c>
      <c r="N5213" s="94">
        <f>151+21/60</f>
        <v>151.35</v>
      </c>
      <c r="O5213" s="94">
        <v>250</v>
      </c>
      <c r="P5213" s="58"/>
      <c r="Q5213" s="244">
        <v>17.600000000000001</v>
      </c>
      <c r="R5213" s="58"/>
      <c r="S5213" s="245">
        <v>1220</v>
      </c>
      <c r="T5213" s="58"/>
      <c r="U5213" s="244">
        <v>3</v>
      </c>
      <c r="V5213" s="244">
        <v>3</v>
      </c>
      <c r="W5213" s="174"/>
      <c r="X5213" s="174"/>
      <c r="Y5213" s="58" t="s">
        <v>5878</v>
      </c>
      <c r="Z5213" s="244" t="s">
        <v>1355</v>
      </c>
      <c r="AA5213" s="245">
        <v>10</v>
      </c>
      <c r="AB5213" s="67"/>
      <c r="AC5213" s="67"/>
      <c r="AD5213" s="94"/>
      <c r="AE5213" s="94">
        <f>100-AF5213-AG5213</f>
        <v>77</v>
      </c>
      <c r="AF5213" s="94">
        <v>8</v>
      </c>
      <c r="AG5213" s="245">
        <v>15</v>
      </c>
      <c r="AH5213" s="58" t="s">
        <v>174</v>
      </c>
      <c r="AI5213" s="169" t="s">
        <v>5868</v>
      </c>
      <c r="AJ5213" s="94">
        <v>1.19</v>
      </c>
      <c r="AK5213" s="94"/>
      <c r="AL5213" s="58"/>
      <c r="AM5213" s="58" t="s">
        <v>5881</v>
      </c>
      <c r="AN5213" s="186" t="s">
        <v>5877</v>
      </c>
      <c r="AO5213" s="185" t="s">
        <v>5150</v>
      </c>
      <c r="AP5213" s="58"/>
      <c r="AQ5213" s="58" t="s">
        <v>1546</v>
      </c>
      <c r="AR5213" s="58"/>
      <c r="AS5213" s="246" t="s">
        <v>227</v>
      </c>
      <c r="AT5213" s="247">
        <v>0</v>
      </c>
      <c r="AU5213" s="181" t="s">
        <v>7494</v>
      </c>
      <c r="AV5213" s="185" t="s">
        <v>176</v>
      </c>
      <c r="AW5213" s="244">
        <v>1</v>
      </c>
      <c r="AX5213" s="185" t="s">
        <v>176</v>
      </c>
      <c r="AY5213" s="244" t="s">
        <v>5150</v>
      </c>
      <c r="AZ5213" s="58" t="s">
        <v>2081</v>
      </c>
      <c r="BA5213" s="58" t="s">
        <v>2081</v>
      </c>
      <c r="BB5213" s="58" t="s">
        <v>2081</v>
      </c>
      <c r="BC5213" s="58" t="s">
        <v>2081</v>
      </c>
      <c r="BD5213" s="58" t="s">
        <v>176</v>
      </c>
      <c r="BE5213" s="236" t="s">
        <v>5153</v>
      </c>
      <c r="BF5213" s="191"/>
      <c r="BG5213" s="191" t="s">
        <v>176</v>
      </c>
      <c r="BH5213" s="236" t="s">
        <v>5236</v>
      </c>
      <c r="BI5213" s="191" t="s">
        <v>479</v>
      </c>
      <c r="BJ5213" s="58" t="str">
        <f>IF(BE5213=BH5213,"No","yes")</f>
        <v>yes</v>
      </c>
      <c r="BK5213" s="58" t="s">
        <v>6335</v>
      </c>
      <c r="BL5213" s="58"/>
      <c r="BM5213" s="237"/>
      <c r="BN5213" s="244">
        <v>4</v>
      </c>
      <c r="BO5213" s="244">
        <v>4</v>
      </c>
      <c r="BP5213" s="58"/>
      <c r="BQ5213" s="58"/>
      <c r="BR5213" s="58"/>
      <c r="BS5213" s="58"/>
      <c r="BT5213" s="58"/>
      <c r="BU5213" s="58"/>
      <c r="BV5213" s="58"/>
      <c r="BW5213" s="67"/>
      <c r="BX5213" s="67"/>
      <c r="BY5213" s="67"/>
      <c r="BZ5213" s="67"/>
      <c r="CA5213" s="67"/>
      <c r="CB5213" s="70"/>
      <c r="CC5213" s="70"/>
      <c r="CD5213" s="70"/>
      <c r="CE5213" s="67"/>
      <c r="CF5213" s="67"/>
      <c r="CG5213" s="67"/>
      <c r="CH5213" s="245">
        <v>1.4302835695874703</v>
      </c>
      <c r="CI5213" s="245">
        <v>1.3874176584816789</v>
      </c>
      <c r="CJ5213" s="67"/>
      <c r="CK5213" s="67"/>
      <c r="CL5213" s="67"/>
      <c r="CM5213" s="242">
        <v>1.49</v>
      </c>
      <c r="CN5213" s="242">
        <v>1.85</v>
      </c>
      <c r="CO5213" s="242"/>
      <c r="CP5213" s="242"/>
      <c r="CQ5213" s="242" t="s">
        <v>164</v>
      </c>
      <c r="CR5213" s="242">
        <v>21.311225186853306</v>
      </c>
      <c r="CS5213" s="242">
        <v>25.66722668191106</v>
      </c>
      <c r="CT5213" s="242"/>
      <c r="CU5213" s="242"/>
      <c r="CV5213" s="242" t="s">
        <v>5151</v>
      </c>
      <c r="CW5213" s="242">
        <v>1280.3497449293436</v>
      </c>
      <c r="CX5213" s="242">
        <v>2732.3502432819282</v>
      </c>
      <c r="CY5213" s="242">
        <v>128.03497449293437</v>
      </c>
      <c r="CZ5213" s="242">
        <v>273.23502432819282</v>
      </c>
      <c r="DA5213" s="67" t="s">
        <v>5443</v>
      </c>
      <c r="DB5213" s="67">
        <v>1150</v>
      </c>
      <c r="DC5213" s="67">
        <v>1330</v>
      </c>
      <c r="DD5213" s="67"/>
      <c r="DE5213" s="67"/>
      <c r="DF5213" s="67" t="s">
        <v>2242</v>
      </c>
      <c r="DG5213" s="67">
        <v>810</v>
      </c>
      <c r="DH5213" s="67">
        <v>1090</v>
      </c>
      <c r="DI5213" s="67"/>
      <c r="DJ5213" s="67"/>
      <c r="DK5213" s="67" t="s">
        <v>5874</v>
      </c>
      <c r="DL5213" s="67">
        <v>0.15</v>
      </c>
      <c r="DM5213" s="67">
        <v>0.25</v>
      </c>
      <c r="DN5213" s="67"/>
      <c r="DO5213" s="67"/>
      <c r="DP5213" s="67" t="s">
        <v>3360</v>
      </c>
      <c r="DQ5213" s="166">
        <v>4.8499999999999996</v>
      </c>
      <c r="DR5213" s="166">
        <v>6.03</v>
      </c>
      <c r="DS5213" s="163"/>
      <c r="DT5213" s="163"/>
      <c r="DU5213" s="67"/>
      <c r="DV5213" s="67">
        <v>4.49</v>
      </c>
      <c r="DW5213" s="67">
        <v>8.01</v>
      </c>
      <c r="DX5213" s="67"/>
      <c r="DY5213" s="67"/>
      <c r="DZ5213" s="67" t="s">
        <v>5873</v>
      </c>
      <c r="EA5213" s="67">
        <v>1.5</v>
      </c>
      <c r="EB5213" s="67">
        <v>1.4</v>
      </c>
      <c r="EC5213" s="67"/>
      <c r="ED5213" s="67"/>
      <c r="EE5213" s="67" t="s">
        <v>5433</v>
      </c>
      <c r="EF5213" s="67"/>
      <c r="EG5213" s="67"/>
      <c r="EH5213" s="67"/>
      <c r="EI5213" s="67"/>
      <c r="EJ5213" s="67"/>
      <c r="EK5213" s="94">
        <v>0.35</v>
      </c>
      <c r="EL5213" s="94">
        <v>0.43</v>
      </c>
      <c r="EM5213" s="67"/>
      <c r="EN5213" s="67"/>
      <c r="EO5213" s="67" t="s">
        <v>5875</v>
      </c>
      <c r="EP5213" s="67"/>
      <c r="EQ5213" s="67"/>
      <c r="ER5213" s="67"/>
      <c r="ES5213" s="67"/>
      <c r="ET5213" s="67"/>
      <c r="EU5213" s="67"/>
      <c r="EV5213" s="67"/>
      <c r="EW5213" s="67"/>
      <c r="EX5213" s="67"/>
      <c r="EY5213" s="67"/>
      <c r="EZ5213" s="67"/>
      <c r="FA5213" s="67"/>
      <c r="FB5213" s="67"/>
      <c r="FC5213" s="67"/>
      <c r="FD5213" s="67"/>
      <c r="FE5213" s="67"/>
      <c r="FF5213" s="67"/>
      <c r="FG5213" s="67"/>
      <c r="FH5213" s="67"/>
      <c r="FI5213" s="67"/>
      <c r="FJ5213" s="67"/>
      <c r="FK5213" s="67"/>
      <c r="FL5213" s="67"/>
      <c r="FM5213" s="67"/>
      <c r="FN5213" s="67"/>
      <c r="FO5213" s="67"/>
      <c r="FP5213" s="67"/>
      <c r="FQ5213" s="67"/>
      <c r="FR5213" s="67"/>
      <c r="FS5213" s="67"/>
      <c r="FT5213" s="67"/>
      <c r="FU5213" s="67"/>
      <c r="FV5213" s="67"/>
      <c r="FW5213" s="67"/>
      <c r="FX5213" s="67"/>
      <c r="FY5213" s="67"/>
      <c r="FZ5213" s="67"/>
      <c r="GA5213" s="67"/>
      <c r="GB5213" s="67"/>
      <c r="GC5213" s="67"/>
      <c r="GD5213" s="67">
        <v>5.1999999999999998E-2</v>
      </c>
      <c r="GE5213" s="67">
        <v>5.8999999999999997E-2</v>
      </c>
      <c r="GF5213" s="67"/>
      <c r="GG5213" s="67"/>
      <c r="GH5213" s="67" t="s">
        <v>5876</v>
      </c>
      <c r="GI5213" s="67"/>
      <c r="GJ5213" s="67"/>
      <c r="GK5213" s="67"/>
      <c r="GL5213" s="67"/>
      <c r="GM5213" s="67"/>
      <c r="GN5213" s="292"/>
      <c r="GO5213" s="292"/>
      <c r="GP5213" s="292" t="s">
        <v>7494</v>
      </c>
      <c r="GQ5213" s="67"/>
      <c r="GR5213" s="67"/>
      <c r="GS5213" s="67"/>
      <c r="GT5213" s="67"/>
      <c r="GU5213" s="67"/>
      <c r="GV5213" s="67"/>
      <c r="GW5213" s="67"/>
      <c r="GX5213" s="67"/>
      <c r="GY5213" s="67"/>
      <c r="GZ5213" s="67"/>
      <c r="HA5213" s="67"/>
      <c r="HB5213" s="67"/>
      <c r="HC5213" s="67"/>
      <c r="HD5213" s="67"/>
      <c r="HE5213" s="67"/>
      <c r="HF5213" s="67"/>
      <c r="HG5213" s="67"/>
      <c r="HH5213" s="67"/>
      <c r="HI5213" s="67"/>
      <c r="HJ5213" s="67"/>
      <c r="HK5213" s="67"/>
      <c r="HL5213" s="67"/>
      <c r="HM5213" s="67"/>
      <c r="HN5213" s="67"/>
      <c r="HO5213" s="67"/>
      <c r="HP5213" s="67"/>
      <c r="HQ5213" s="67"/>
      <c r="HR5213" s="67"/>
      <c r="HS5213" s="67"/>
      <c r="HT5213" s="67"/>
      <c r="HU5213" s="67"/>
      <c r="HV5213" s="67"/>
      <c r="HW5213" s="67"/>
      <c r="HX5213" s="67"/>
      <c r="HY5213" s="67"/>
      <c r="HZ5213" s="67"/>
      <c r="IA5213" s="67"/>
      <c r="IB5213" s="67"/>
      <c r="IC5213" s="67">
        <v>19.399999999999999</v>
      </c>
      <c r="ID5213" s="67">
        <v>22.5</v>
      </c>
      <c r="IE5213" s="67"/>
      <c r="IF5213" s="67"/>
      <c r="IG5213" s="67" t="s">
        <v>5872</v>
      </c>
      <c r="IH5213" s="67"/>
      <c r="II5213" s="67"/>
      <c r="IJ5213" s="67"/>
      <c r="IK5213" s="67"/>
      <c r="IL5213" s="67"/>
      <c r="IM5213" s="67"/>
      <c r="IN5213" s="67"/>
      <c r="IO5213" s="67"/>
      <c r="IP5213" s="67"/>
      <c r="IQ5213" s="67"/>
      <c r="IR5213" s="67"/>
      <c r="IS5213" s="67"/>
      <c r="IT5213" s="67"/>
      <c r="IU5213" s="67"/>
      <c r="IV5213" s="67"/>
      <c r="IW5213" s="67"/>
      <c r="IX5213" s="67"/>
      <c r="IY5213" s="67"/>
      <c r="IZ5213" s="67"/>
      <c r="JA5213" s="67"/>
      <c r="JB5213" s="67"/>
      <c r="JC5213" s="67"/>
      <c r="JD5213" s="67"/>
      <c r="JE5213" s="67"/>
      <c r="JF5213" s="67"/>
      <c r="JG5213" s="67">
        <v>147</v>
      </c>
      <c r="JH5213" s="67">
        <v>214.9</v>
      </c>
      <c r="JI5213" s="67"/>
      <c r="JJ5213" s="67"/>
      <c r="JK5213" s="67" t="s">
        <v>3072</v>
      </c>
      <c r="JL5213" s="67"/>
      <c r="JM5213" s="67"/>
      <c r="JN5213" s="67"/>
      <c r="JO5213" s="67"/>
      <c r="JP5213" s="67"/>
      <c r="JQ5213" s="67"/>
      <c r="JR5213" s="67"/>
      <c r="JS5213" s="67"/>
      <c r="JT5213" s="67"/>
      <c r="JU5213" s="58"/>
      <c r="JV5213" s="58"/>
      <c r="JW5213" s="58"/>
    </row>
    <row r="5214" spans="1:283" s="23" customFormat="1" x14ac:dyDescent="0.25">
      <c r="A5214" s="55">
        <v>5213</v>
      </c>
      <c r="B5214" s="12" t="s">
        <v>7067</v>
      </c>
      <c r="C5214" s="156">
        <v>279</v>
      </c>
      <c r="D5214" s="58" t="s">
        <v>5057</v>
      </c>
      <c r="E5214" s="160" t="str">
        <f>G5214</f>
        <v>Wells et al 2000_pair 2</v>
      </c>
      <c r="F5214" s="160"/>
      <c r="G5214" s="60" t="s">
        <v>4671</v>
      </c>
      <c r="H5214" s="58">
        <v>2000</v>
      </c>
      <c r="I5214" s="58" t="s">
        <v>5626</v>
      </c>
      <c r="J5214" s="243" t="s">
        <v>427</v>
      </c>
      <c r="K5214" s="63" t="s">
        <v>5064</v>
      </c>
      <c r="L5214" s="58" t="s">
        <v>2746</v>
      </c>
      <c r="M5214" s="94">
        <f>-33-23/60</f>
        <v>-33.383333333333333</v>
      </c>
      <c r="N5214" s="94">
        <f>151+21/60</f>
        <v>151.35</v>
      </c>
      <c r="O5214" s="94">
        <v>250</v>
      </c>
      <c r="P5214" s="58"/>
      <c r="Q5214" s="244">
        <v>17.600000000000001</v>
      </c>
      <c r="R5214" s="58"/>
      <c r="S5214" s="245">
        <v>1220</v>
      </c>
      <c r="T5214" s="58"/>
      <c r="U5214" s="244">
        <v>3</v>
      </c>
      <c r="V5214" s="244">
        <v>3</v>
      </c>
      <c r="W5214" s="174"/>
      <c r="X5214" s="174"/>
      <c r="Y5214" s="58" t="s">
        <v>5878</v>
      </c>
      <c r="Z5214" s="244" t="s">
        <v>1355</v>
      </c>
      <c r="AA5214" s="245">
        <v>10</v>
      </c>
      <c r="AB5214" s="67"/>
      <c r="AC5214" s="67"/>
      <c r="AD5214" s="94"/>
      <c r="AE5214" s="94">
        <f>100-AF5214-AG5214</f>
        <v>77</v>
      </c>
      <c r="AF5214" s="94">
        <v>8</v>
      </c>
      <c r="AG5214" s="245">
        <v>15</v>
      </c>
      <c r="AH5214" s="58" t="s">
        <v>174</v>
      </c>
      <c r="AI5214" s="169" t="s">
        <v>5869</v>
      </c>
      <c r="AJ5214" s="94">
        <v>1.19</v>
      </c>
      <c r="AK5214" s="94"/>
      <c r="AL5214" s="58"/>
      <c r="AM5214" s="58" t="s">
        <v>5881</v>
      </c>
      <c r="AN5214" s="186" t="s">
        <v>5877</v>
      </c>
      <c r="AO5214" s="185" t="s">
        <v>5150</v>
      </c>
      <c r="AP5214" s="58"/>
      <c r="AQ5214" s="58" t="s">
        <v>1546</v>
      </c>
      <c r="AR5214" s="58"/>
      <c r="AS5214" s="246" t="s">
        <v>227</v>
      </c>
      <c r="AT5214" s="247">
        <v>0</v>
      </c>
      <c r="AU5214" s="181" t="s">
        <v>7494</v>
      </c>
      <c r="AV5214" s="185" t="s">
        <v>176</v>
      </c>
      <c r="AW5214" s="244">
        <v>1</v>
      </c>
      <c r="AX5214" s="185" t="s">
        <v>176</v>
      </c>
      <c r="AY5214" s="244" t="s">
        <v>5150</v>
      </c>
      <c r="AZ5214" s="58" t="s">
        <v>2081</v>
      </c>
      <c r="BA5214" s="58" t="s">
        <v>2081</v>
      </c>
      <c r="BB5214" s="58" t="s">
        <v>2081</v>
      </c>
      <c r="BC5214" s="58" t="s">
        <v>2081</v>
      </c>
      <c r="BD5214" s="58" t="s">
        <v>176</v>
      </c>
      <c r="BE5214" s="236" t="s">
        <v>5153</v>
      </c>
      <c r="BF5214" s="191"/>
      <c r="BG5214" s="191" t="s">
        <v>176</v>
      </c>
      <c r="BH5214" s="236" t="s">
        <v>5236</v>
      </c>
      <c r="BI5214" s="191" t="s">
        <v>479</v>
      </c>
      <c r="BJ5214" s="58" t="str">
        <f>IF(BE5214=BH5214,"No","yes")</f>
        <v>yes</v>
      </c>
      <c r="BK5214" s="58" t="s">
        <v>6335</v>
      </c>
      <c r="BL5214" s="58"/>
      <c r="BM5214" s="237"/>
      <c r="BN5214" s="244">
        <v>4</v>
      </c>
      <c r="BO5214" s="244">
        <v>4</v>
      </c>
      <c r="BP5214" s="58"/>
      <c r="BQ5214" s="58"/>
      <c r="BR5214" s="58"/>
      <c r="BS5214" s="58"/>
      <c r="BT5214" s="58"/>
      <c r="BU5214" s="58"/>
      <c r="BV5214" s="58"/>
      <c r="BW5214" s="67"/>
      <c r="BX5214" s="67"/>
      <c r="BY5214" s="67"/>
      <c r="BZ5214" s="67"/>
      <c r="CA5214" s="67"/>
      <c r="CB5214" s="70"/>
      <c r="CC5214" s="70"/>
      <c r="CD5214" s="70"/>
      <c r="CE5214" s="67"/>
      <c r="CF5214" s="67"/>
      <c r="CG5214" s="67"/>
      <c r="CH5214" s="245">
        <v>1.4693763980666976</v>
      </c>
      <c r="CI5214" s="245">
        <v>1.3874176584816789</v>
      </c>
      <c r="CJ5214" s="67"/>
      <c r="CK5214" s="67"/>
      <c r="CL5214" s="67"/>
      <c r="CM5214" s="242">
        <v>1.1800000000000002</v>
      </c>
      <c r="CN5214" s="242">
        <v>1.85</v>
      </c>
      <c r="CO5214" s="242"/>
      <c r="CP5214" s="242"/>
      <c r="CQ5214" s="242" t="s">
        <v>164</v>
      </c>
      <c r="CR5214" s="242">
        <v>17.338641497187034</v>
      </c>
      <c r="CS5214" s="242">
        <v>25.66722668191106</v>
      </c>
      <c r="CT5214" s="242"/>
      <c r="CU5214" s="242"/>
      <c r="CV5214" s="242" t="s">
        <v>5151</v>
      </c>
      <c r="CW5214" s="242">
        <v>-43.844818292747334</v>
      </c>
      <c r="CX5214" s="242">
        <v>2732.3502432819282</v>
      </c>
      <c r="CY5214" s="242">
        <v>-4.3844818292747334</v>
      </c>
      <c r="CZ5214" s="242">
        <v>273.23502432819282</v>
      </c>
      <c r="DA5214" s="67" t="s">
        <v>5443</v>
      </c>
      <c r="DB5214" s="67">
        <v>900</v>
      </c>
      <c r="DC5214" s="67">
        <v>1330</v>
      </c>
      <c r="DD5214" s="67"/>
      <c r="DE5214" s="67"/>
      <c r="DF5214" s="67" t="s">
        <v>2242</v>
      </c>
      <c r="DG5214" s="67">
        <v>530</v>
      </c>
      <c r="DH5214" s="67">
        <v>1090</v>
      </c>
      <c r="DI5214" s="67"/>
      <c r="DJ5214" s="67"/>
      <c r="DK5214" s="67" t="s">
        <v>5874</v>
      </c>
      <c r="DL5214" s="67">
        <v>0.14000000000000001</v>
      </c>
      <c r="DM5214" s="67">
        <v>0.25</v>
      </c>
      <c r="DN5214" s="67"/>
      <c r="DO5214" s="67"/>
      <c r="DP5214" s="67" t="s">
        <v>3360</v>
      </c>
      <c r="DQ5214" s="166">
        <v>5.73</v>
      </c>
      <c r="DR5214" s="166">
        <v>6.03</v>
      </c>
      <c r="DS5214" s="163"/>
      <c r="DT5214" s="163"/>
      <c r="DU5214" s="67"/>
      <c r="DV5214" s="67">
        <v>4.6500000000000004</v>
      </c>
      <c r="DW5214" s="67">
        <v>8.01</v>
      </c>
      <c r="DX5214" s="67"/>
      <c r="DY5214" s="67"/>
      <c r="DZ5214" s="67" t="s">
        <v>5873</v>
      </c>
      <c r="EA5214" s="67">
        <v>1</v>
      </c>
      <c r="EB5214" s="67">
        <v>1.4</v>
      </c>
      <c r="EC5214" s="67"/>
      <c r="ED5214" s="67"/>
      <c r="EE5214" s="67" t="s">
        <v>5433</v>
      </c>
      <c r="EF5214" s="67"/>
      <c r="EG5214" s="67"/>
      <c r="EH5214" s="67"/>
      <c r="EI5214" s="67"/>
      <c r="EJ5214" s="67"/>
      <c r="EK5214" s="94">
        <v>0.3</v>
      </c>
      <c r="EL5214" s="94">
        <v>0.43</v>
      </c>
      <c r="EM5214" s="67"/>
      <c r="EN5214" s="67"/>
      <c r="EO5214" s="67" t="s">
        <v>5875</v>
      </c>
      <c r="EP5214" s="67"/>
      <c r="EQ5214" s="67"/>
      <c r="ER5214" s="67"/>
      <c r="ES5214" s="67"/>
      <c r="ET5214" s="67"/>
      <c r="EU5214" s="67"/>
      <c r="EV5214" s="67"/>
      <c r="EW5214" s="67"/>
      <c r="EX5214" s="67"/>
      <c r="EY5214" s="67"/>
      <c r="EZ5214" s="67"/>
      <c r="FA5214" s="67"/>
      <c r="FB5214" s="67"/>
      <c r="FC5214" s="67"/>
      <c r="FD5214" s="67"/>
      <c r="FE5214" s="67"/>
      <c r="FF5214" s="67"/>
      <c r="FG5214" s="67"/>
      <c r="FH5214" s="67"/>
      <c r="FI5214" s="67"/>
      <c r="FJ5214" s="67"/>
      <c r="FK5214" s="67"/>
      <c r="FL5214" s="67"/>
      <c r="FM5214" s="67"/>
      <c r="FN5214" s="67"/>
      <c r="FO5214" s="67"/>
      <c r="FP5214" s="67"/>
      <c r="FQ5214" s="67"/>
      <c r="FR5214" s="67"/>
      <c r="FS5214" s="67"/>
      <c r="FT5214" s="67"/>
      <c r="FU5214" s="67"/>
      <c r="FV5214" s="67"/>
      <c r="FW5214" s="67"/>
      <c r="FX5214" s="67"/>
      <c r="FY5214" s="67"/>
      <c r="FZ5214" s="67"/>
      <c r="GA5214" s="67"/>
      <c r="GB5214" s="67"/>
      <c r="GC5214" s="67"/>
      <c r="GD5214" s="67">
        <v>4.3999999999999997E-2</v>
      </c>
      <c r="GE5214" s="67">
        <v>5.8999999999999997E-2</v>
      </c>
      <c r="GF5214" s="67"/>
      <c r="GG5214" s="67"/>
      <c r="GH5214" s="67" t="s">
        <v>5876</v>
      </c>
      <c r="GI5214" s="67"/>
      <c r="GJ5214" s="67"/>
      <c r="GK5214" s="67"/>
      <c r="GL5214" s="67"/>
      <c r="GM5214" s="67"/>
      <c r="GN5214" s="292"/>
      <c r="GO5214" s="292"/>
      <c r="GP5214" s="292" t="s">
        <v>7494</v>
      </c>
      <c r="GQ5214" s="67"/>
      <c r="GR5214" s="67"/>
      <c r="GS5214" s="67"/>
      <c r="GT5214" s="67"/>
      <c r="GU5214" s="67"/>
      <c r="GV5214" s="67"/>
      <c r="GW5214" s="67"/>
      <c r="GX5214" s="67"/>
      <c r="GY5214" s="67"/>
      <c r="GZ5214" s="67"/>
      <c r="HA5214" s="67"/>
      <c r="HB5214" s="67"/>
      <c r="HC5214" s="67"/>
      <c r="HD5214" s="67"/>
      <c r="HE5214" s="67"/>
      <c r="HF5214" s="67"/>
      <c r="HG5214" s="67"/>
      <c r="HH5214" s="67"/>
      <c r="HI5214" s="67"/>
      <c r="HJ5214" s="67"/>
      <c r="HK5214" s="67"/>
      <c r="HL5214" s="67"/>
      <c r="HM5214" s="67"/>
      <c r="HN5214" s="67"/>
      <c r="HO5214" s="67"/>
      <c r="HP5214" s="67"/>
      <c r="HQ5214" s="67"/>
      <c r="HR5214" s="67"/>
      <c r="HS5214" s="67"/>
      <c r="HT5214" s="67"/>
      <c r="HU5214" s="67"/>
      <c r="HV5214" s="67"/>
      <c r="HW5214" s="67"/>
      <c r="HX5214" s="67"/>
      <c r="HY5214" s="67"/>
      <c r="HZ5214" s="67"/>
      <c r="IA5214" s="67"/>
      <c r="IB5214" s="67"/>
      <c r="IC5214" s="67">
        <v>15.5</v>
      </c>
      <c r="ID5214" s="67">
        <v>22.5</v>
      </c>
      <c r="IE5214" s="67"/>
      <c r="IF5214" s="67"/>
      <c r="IG5214" s="67" t="s">
        <v>5872</v>
      </c>
      <c r="IH5214" s="67"/>
      <c r="II5214" s="67"/>
      <c r="IJ5214" s="67"/>
      <c r="IK5214" s="67"/>
      <c r="IL5214" s="67"/>
      <c r="IM5214" s="67"/>
      <c r="IN5214" s="67"/>
      <c r="IO5214" s="67"/>
      <c r="IP5214" s="67"/>
      <c r="IQ5214" s="67"/>
      <c r="IR5214" s="67"/>
      <c r="IS5214" s="67"/>
      <c r="IT5214" s="67"/>
      <c r="IU5214" s="67"/>
      <c r="IV5214" s="67"/>
      <c r="IW5214" s="67"/>
      <c r="IX5214" s="67"/>
      <c r="IY5214" s="67"/>
      <c r="IZ5214" s="67"/>
      <c r="JA5214" s="67"/>
      <c r="JB5214" s="67"/>
      <c r="JC5214" s="67"/>
      <c r="JD5214" s="67"/>
      <c r="JE5214" s="67"/>
      <c r="JF5214" s="67"/>
      <c r="JG5214" s="67">
        <v>178.5</v>
      </c>
      <c r="JH5214" s="67">
        <v>214.9</v>
      </c>
      <c r="JI5214" s="67"/>
      <c r="JJ5214" s="67"/>
      <c r="JK5214" s="67" t="s">
        <v>3072</v>
      </c>
      <c r="JL5214" s="67"/>
      <c r="JM5214" s="67"/>
      <c r="JN5214" s="67"/>
      <c r="JO5214" s="67"/>
      <c r="JP5214" s="67"/>
      <c r="JQ5214" s="67"/>
      <c r="JR5214" s="67"/>
      <c r="JS5214" s="67"/>
      <c r="JT5214" s="67"/>
      <c r="JU5214" s="58"/>
      <c r="JV5214" s="58"/>
      <c r="JW5214" s="58"/>
    </row>
    <row r="5215" spans="1:283" s="23" customFormat="1" x14ac:dyDescent="0.25">
      <c r="A5215" s="55">
        <v>5214</v>
      </c>
      <c r="B5215" s="12" t="s">
        <v>7067</v>
      </c>
      <c r="C5215" s="156">
        <v>279</v>
      </c>
      <c r="D5215" s="58" t="s">
        <v>5058</v>
      </c>
      <c r="E5215" s="160" t="str">
        <f>G5215</f>
        <v>Wells et al 2000_pair 3</v>
      </c>
      <c r="F5215" s="160"/>
      <c r="G5215" s="60" t="s">
        <v>4670</v>
      </c>
      <c r="H5215" s="58">
        <v>2000</v>
      </c>
      <c r="I5215" s="58" t="s">
        <v>5626</v>
      </c>
      <c r="J5215" s="243" t="s">
        <v>427</v>
      </c>
      <c r="K5215" s="63" t="s">
        <v>5064</v>
      </c>
      <c r="L5215" s="58" t="s">
        <v>2746</v>
      </c>
      <c r="M5215" s="94">
        <f>-33-23/60</f>
        <v>-33.383333333333333</v>
      </c>
      <c r="N5215" s="94">
        <f>151+21/60</f>
        <v>151.35</v>
      </c>
      <c r="O5215" s="94">
        <v>250</v>
      </c>
      <c r="P5215" s="58"/>
      <c r="Q5215" s="244">
        <v>17.600000000000001</v>
      </c>
      <c r="R5215" s="58"/>
      <c r="S5215" s="245">
        <v>1220</v>
      </c>
      <c r="T5215" s="58"/>
      <c r="U5215" s="244">
        <v>3</v>
      </c>
      <c r="V5215" s="244">
        <v>3</v>
      </c>
      <c r="W5215" s="174"/>
      <c r="X5215" s="174"/>
      <c r="Y5215" s="58" t="s">
        <v>5878</v>
      </c>
      <c r="Z5215" s="244" t="s">
        <v>1355</v>
      </c>
      <c r="AA5215" s="245">
        <v>10</v>
      </c>
      <c r="AB5215" s="67"/>
      <c r="AC5215" s="67"/>
      <c r="AD5215" s="94"/>
      <c r="AE5215" s="94">
        <f>100-AF5215-AG5215</f>
        <v>77</v>
      </c>
      <c r="AF5215" s="94">
        <v>8</v>
      </c>
      <c r="AG5215" s="245">
        <v>15</v>
      </c>
      <c r="AH5215" s="58" t="s">
        <v>174</v>
      </c>
      <c r="AI5215" s="169" t="s">
        <v>5870</v>
      </c>
      <c r="AJ5215" s="94">
        <v>1.19</v>
      </c>
      <c r="AK5215" s="94"/>
      <c r="AL5215" s="58"/>
      <c r="AM5215" s="58" t="s">
        <v>5881</v>
      </c>
      <c r="AN5215" s="186" t="s">
        <v>5877</v>
      </c>
      <c r="AO5215" s="185" t="s">
        <v>5150</v>
      </c>
      <c r="AP5215" s="58"/>
      <c r="AQ5215" s="58" t="s">
        <v>1546</v>
      </c>
      <c r="AR5215" s="58"/>
      <c r="AS5215" s="246" t="s">
        <v>227</v>
      </c>
      <c r="AT5215" s="247">
        <v>0</v>
      </c>
      <c r="AU5215" s="181" t="s">
        <v>7494</v>
      </c>
      <c r="AV5215" s="185" t="s">
        <v>176</v>
      </c>
      <c r="AW5215" s="244">
        <v>1</v>
      </c>
      <c r="AX5215" s="185" t="s">
        <v>176</v>
      </c>
      <c r="AY5215" s="244" t="s">
        <v>5150</v>
      </c>
      <c r="AZ5215" s="58" t="s">
        <v>2082</v>
      </c>
      <c r="BA5215" s="58" t="s">
        <v>2082</v>
      </c>
      <c r="BB5215" s="58" t="s">
        <v>2081</v>
      </c>
      <c r="BC5215" s="58" t="s">
        <v>2081</v>
      </c>
      <c r="BD5215" s="58" t="s">
        <v>479</v>
      </c>
      <c r="BE5215" s="236" t="s">
        <v>5153</v>
      </c>
      <c r="BF5215" s="191"/>
      <c r="BG5215" s="191" t="s">
        <v>176</v>
      </c>
      <c r="BH5215" s="236" t="s">
        <v>5236</v>
      </c>
      <c r="BI5215" s="191" t="s">
        <v>479</v>
      </c>
      <c r="BJ5215" s="58" t="str">
        <f>IF(BE5215=BH5215,"No","yes")</f>
        <v>yes</v>
      </c>
      <c r="BK5215" s="58" t="s">
        <v>6335</v>
      </c>
      <c r="BL5215" s="58"/>
      <c r="BM5215" s="237"/>
      <c r="BN5215" s="244">
        <v>4</v>
      </c>
      <c r="BO5215" s="244">
        <v>4</v>
      </c>
      <c r="BP5215" s="58"/>
      <c r="BQ5215" s="58"/>
      <c r="BR5215" s="58"/>
      <c r="BS5215" s="58"/>
      <c r="BT5215" s="58"/>
      <c r="BU5215" s="58"/>
      <c r="BV5215" s="58"/>
      <c r="BW5215" s="67"/>
      <c r="BX5215" s="67"/>
      <c r="BY5215" s="67"/>
      <c r="BZ5215" s="67"/>
      <c r="CA5215" s="67"/>
      <c r="CB5215" s="70"/>
      <c r="CC5215" s="70"/>
      <c r="CD5215" s="70"/>
      <c r="CE5215" s="67"/>
      <c r="CF5215" s="67"/>
      <c r="CG5215" s="67"/>
      <c r="CH5215" s="245">
        <v>1.4376867419126957</v>
      </c>
      <c r="CI5215" s="245">
        <v>1.3874176584816789</v>
      </c>
      <c r="CJ5215" s="67"/>
      <c r="CK5215" s="67"/>
      <c r="CL5215" s="67"/>
      <c r="CM5215" s="242">
        <v>1.4300000000000002</v>
      </c>
      <c r="CN5215" s="242">
        <v>1.85</v>
      </c>
      <c r="CO5215" s="242"/>
      <c r="CP5215" s="242"/>
      <c r="CQ5215" s="242" t="s">
        <v>164</v>
      </c>
      <c r="CR5215" s="242">
        <v>20.558920409351554</v>
      </c>
      <c r="CS5215" s="242">
        <v>25.66722668191106</v>
      </c>
      <c r="CT5215" s="242"/>
      <c r="CU5215" s="242"/>
      <c r="CV5215" s="242" t="s">
        <v>5151</v>
      </c>
      <c r="CW5215" s="242">
        <v>1029.5814857620928</v>
      </c>
      <c r="CX5215" s="242">
        <v>2732.3502432819282</v>
      </c>
      <c r="CY5215" s="242">
        <v>102.95814857620928</v>
      </c>
      <c r="CZ5215" s="242">
        <v>273.23502432819282</v>
      </c>
      <c r="DA5215" s="67" t="s">
        <v>5443</v>
      </c>
      <c r="DB5215" s="67">
        <v>1030</v>
      </c>
      <c r="DC5215" s="67">
        <v>1330</v>
      </c>
      <c r="DD5215" s="67"/>
      <c r="DE5215" s="67"/>
      <c r="DF5215" s="67" t="s">
        <v>2242</v>
      </c>
      <c r="DG5215" s="67">
        <v>530</v>
      </c>
      <c r="DH5215" s="67">
        <v>1090</v>
      </c>
      <c r="DI5215" s="67"/>
      <c r="DJ5215" s="67"/>
      <c r="DK5215" s="67" t="s">
        <v>5874</v>
      </c>
      <c r="DL5215" s="67">
        <v>0.21</v>
      </c>
      <c r="DM5215" s="67">
        <v>0.25</v>
      </c>
      <c r="DN5215" s="67"/>
      <c r="DO5215" s="67"/>
      <c r="DP5215" s="67" t="s">
        <v>3360</v>
      </c>
      <c r="DQ5215" s="166">
        <v>5.49</v>
      </c>
      <c r="DR5215" s="166">
        <v>6.03</v>
      </c>
      <c r="DS5215" s="163"/>
      <c r="DT5215" s="163"/>
      <c r="DU5215" s="67"/>
      <c r="DV5215" s="67">
        <v>5.95</v>
      </c>
      <c r="DW5215" s="67">
        <v>8.01</v>
      </c>
      <c r="DX5215" s="67"/>
      <c r="DY5215" s="67"/>
      <c r="DZ5215" s="67" t="s">
        <v>5873</v>
      </c>
      <c r="EA5215" s="67">
        <v>3.3</v>
      </c>
      <c r="EB5215" s="67">
        <v>1.4</v>
      </c>
      <c r="EC5215" s="67"/>
      <c r="ED5215" s="67"/>
      <c r="EE5215" s="67" t="s">
        <v>5433</v>
      </c>
      <c r="EF5215" s="67"/>
      <c r="EG5215" s="67"/>
      <c r="EH5215" s="67"/>
      <c r="EI5215" s="67"/>
      <c r="EJ5215" s="67"/>
      <c r="EK5215" s="94">
        <v>0.33</v>
      </c>
      <c r="EL5215" s="94">
        <v>0.43</v>
      </c>
      <c r="EM5215" s="67"/>
      <c r="EN5215" s="67"/>
      <c r="EO5215" s="67" t="s">
        <v>5875</v>
      </c>
      <c r="EP5215" s="67"/>
      <c r="EQ5215" s="67"/>
      <c r="ER5215" s="67"/>
      <c r="ES5215" s="67"/>
      <c r="ET5215" s="67"/>
      <c r="EU5215" s="67"/>
      <c r="EV5215" s="67"/>
      <c r="EW5215" s="67"/>
      <c r="EX5215" s="67"/>
      <c r="EY5215" s="67"/>
      <c r="EZ5215" s="67"/>
      <c r="FA5215" s="67"/>
      <c r="FB5215" s="67"/>
      <c r="FC5215" s="67"/>
      <c r="FD5215" s="67"/>
      <c r="FE5215" s="67"/>
      <c r="FF5215" s="67"/>
      <c r="FG5215" s="67"/>
      <c r="FH5215" s="67"/>
      <c r="FI5215" s="67"/>
      <c r="FJ5215" s="67"/>
      <c r="FK5215" s="67"/>
      <c r="FL5215" s="67"/>
      <c r="FM5215" s="67"/>
      <c r="FN5215" s="67"/>
      <c r="FO5215" s="67"/>
      <c r="FP5215" s="67"/>
      <c r="FQ5215" s="67"/>
      <c r="FR5215" s="67"/>
      <c r="FS5215" s="67"/>
      <c r="FT5215" s="67"/>
      <c r="FU5215" s="67"/>
      <c r="FV5215" s="67"/>
      <c r="FW5215" s="67"/>
      <c r="FX5215" s="67"/>
      <c r="FY5215" s="67"/>
      <c r="FZ5215" s="67"/>
      <c r="GA5215" s="67"/>
      <c r="GB5215" s="67"/>
      <c r="GC5215" s="67"/>
      <c r="GD5215" s="67">
        <v>5.2999999999999999E-2</v>
      </c>
      <c r="GE5215" s="67">
        <v>5.8999999999999997E-2</v>
      </c>
      <c r="GF5215" s="67"/>
      <c r="GG5215" s="67"/>
      <c r="GH5215" s="67" t="s">
        <v>5876</v>
      </c>
      <c r="GI5215" s="67"/>
      <c r="GJ5215" s="67"/>
      <c r="GK5215" s="67"/>
      <c r="GL5215" s="67"/>
      <c r="GM5215" s="67"/>
      <c r="GN5215" s="292"/>
      <c r="GO5215" s="292"/>
      <c r="GP5215" s="292" t="s">
        <v>7494</v>
      </c>
      <c r="GQ5215" s="67"/>
      <c r="GR5215" s="67"/>
      <c r="GS5215" s="67"/>
      <c r="GT5215" s="67"/>
      <c r="GU5215" s="67"/>
      <c r="GV5215" s="67"/>
      <c r="GW5215" s="67"/>
      <c r="GX5215" s="67"/>
      <c r="GY5215" s="67"/>
      <c r="GZ5215" s="67"/>
      <c r="HA5215" s="67"/>
      <c r="HB5215" s="67"/>
      <c r="HC5215" s="67"/>
      <c r="HD5215" s="67"/>
      <c r="HE5215" s="67"/>
      <c r="HF5215" s="67"/>
      <c r="HG5215" s="67"/>
      <c r="HH5215" s="67"/>
      <c r="HI5215" s="67"/>
      <c r="HJ5215" s="67"/>
      <c r="HK5215" s="67"/>
      <c r="HL5215" s="67"/>
      <c r="HM5215" s="67"/>
      <c r="HN5215" s="67"/>
      <c r="HO5215" s="67"/>
      <c r="HP5215" s="67"/>
      <c r="HQ5215" s="67"/>
      <c r="HR5215" s="67"/>
      <c r="HS5215" s="67"/>
      <c r="HT5215" s="67"/>
      <c r="HU5215" s="67"/>
      <c r="HV5215" s="67"/>
      <c r="HW5215" s="67"/>
      <c r="HX5215" s="67"/>
      <c r="HY5215" s="67"/>
      <c r="HZ5215" s="67"/>
      <c r="IA5215" s="67"/>
      <c r="IB5215" s="67"/>
      <c r="IC5215" s="67">
        <v>19.7</v>
      </c>
      <c r="ID5215" s="67">
        <v>22.5</v>
      </c>
      <c r="IE5215" s="67"/>
      <c r="IF5215" s="67"/>
      <c r="IG5215" s="67" t="s">
        <v>5872</v>
      </c>
      <c r="IH5215" s="67"/>
      <c r="II5215" s="67"/>
      <c r="IJ5215" s="67"/>
      <c r="IK5215" s="67"/>
      <c r="IL5215" s="67"/>
      <c r="IM5215" s="67"/>
      <c r="IN5215" s="67"/>
      <c r="IO5215" s="67"/>
      <c r="IP5215" s="67"/>
      <c r="IQ5215" s="67"/>
      <c r="IR5215" s="67"/>
      <c r="IS5215" s="67"/>
      <c r="IT5215" s="67"/>
      <c r="IU5215" s="67"/>
      <c r="IV5215" s="67"/>
      <c r="IW5215" s="67"/>
      <c r="IX5215" s="67"/>
      <c r="IY5215" s="67"/>
      <c r="IZ5215" s="67"/>
      <c r="JA5215" s="67"/>
      <c r="JB5215" s="67"/>
      <c r="JC5215" s="67"/>
      <c r="JD5215" s="67"/>
      <c r="JE5215" s="67"/>
      <c r="JF5215" s="67"/>
      <c r="JG5215" s="67">
        <v>150.5</v>
      </c>
      <c r="JH5215" s="67">
        <v>214.9</v>
      </c>
      <c r="JI5215" s="67"/>
      <c r="JJ5215" s="67"/>
      <c r="JK5215" s="67" t="s">
        <v>3072</v>
      </c>
      <c r="JL5215" s="67"/>
      <c r="JM5215" s="67"/>
      <c r="JN5215" s="67"/>
      <c r="JO5215" s="67"/>
      <c r="JP5215" s="67"/>
      <c r="JQ5215" s="67"/>
      <c r="JR5215" s="67"/>
      <c r="JS5215" s="67"/>
      <c r="JT5215" s="67"/>
      <c r="JU5215" s="58"/>
      <c r="JV5215" s="58"/>
      <c r="JW5215" s="58"/>
    </row>
    <row r="5216" spans="1:283" s="23" customFormat="1" x14ac:dyDescent="0.25">
      <c r="A5216" s="55">
        <v>5215</v>
      </c>
      <c r="B5216" s="12" t="s">
        <v>7067</v>
      </c>
      <c r="C5216" s="156">
        <v>279</v>
      </c>
      <c r="D5216" s="58" t="s">
        <v>5059</v>
      </c>
      <c r="E5216" s="160" t="str">
        <f>G5216</f>
        <v>Wells et al 2000_pair 4</v>
      </c>
      <c r="F5216" s="160"/>
      <c r="G5216" s="60" t="s">
        <v>4669</v>
      </c>
      <c r="H5216" s="58">
        <v>2000</v>
      </c>
      <c r="I5216" s="58" t="s">
        <v>5626</v>
      </c>
      <c r="J5216" s="243" t="s">
        <v>427</v>
      </c>
      <c r="K5216" s="63" t="s">
        <v>5064</v>
      </c>
      <c r="L5216" s="58" t="s">
        <v>2746</v>
      </c>
      <c r="M5216" s="94">
        <f>-33-23/60</f>
        <v>-33.383333333333333</v>
      </c>
      <c r="N5216" s="94">
        <f>151+21/60</f>
        <v>151.35</v>
      </c>
      <c r="O5216" s="94">
        <v>250</v>
      </c>
      <c r="P5216" s="58"/>
      <c r="Q5216" s="244">
        <v>17.600000000000001</v>
      </c>
      <c r="R5216" s="58"/>
      <c r="S5216" s="245">
        <v>1220</v>
      </c>
      <c r="T5216" s="58"/>
      <c r="U5216" s="244">
        <v>3</v>
      </c>
      <c r="V5216" s="244">
        <v>3</v>
      </c>
      <c r="W5216" s="174"/>
      <c r="X5216" s="174"/>
      <c r="Y5216" s="58" t="s">
        <v>5878</v>
      </c>
      <c r="Z5216" s="244" t="s">
        <v>1355</v>
      </c>
      <c r="AA5216" s="245">
        <v>10</v>
      </c>
      <c r="AB5216" s="67"/>
      <c r="AC5216" s="67"/>
      <c r="AD5216" s="94"/>
      <c r="AE5216" s="94">
        <f>100-AF5216-AG5216</f>
        <v>77</v>
      </c>
      <c r="AF5216" s="94">
        <v>8</v>
      </c>
      <c r="AG5216" s="245">
        <v>15</v>
      </c>
      <c r="AH5216" s="58" t="s">
        <v>174</v>
      </c>
      <c r="AI5216" s="169" t="s">
        <v>5871</v>
      </c>
      <c r="AJ5216" s="94">
        <v>1.19</v>
      </c>
      <c r="AK5216" s="94"/>
      <c r="AL5216" s="58"/>
      <c r="AM5216" s="58" t="s">
        <v>5881</v>
      </c>
      <c r="AN5216" s="186" t="s">
        <v>5877</v>
      </c>
      <c r="AO5216" s="185" t="s">
        <v>5150</v>
      </c>
      <c r="AP5216" s="58"/>
      <c r="AQ5216" s="58" t="s">
        <v>1546</v>
      </c>
      <c r="AR5216" s="58"/>
      <c r="AS5216" s="246" t="s">
        <v>227</v>
      </c>
      <c r="AT5216" s="247">
        <v>1</v>
      </c>
      <c r="AU5216" s="181" t="s">
        <v>7494</v>
      </c>
      <c r="AV5216" s="185" t="s">
        <v>176</v>
      </c>
      <c r="AW5216" s="244">
        <v>1</v>
      </c>
      <c r="AX5216" s="185" t="s">
        <v>176</v>
      </c>
      <c r="AY5216" s="244" t="s">
        <v>176</v>
      </c>
      <c r="AZ5216" s="58" t="s">
        <v>2082</v>
      </c>
      <c r="BA5216" s="58" t="s">
        <v>2082</v>
      </c>
      <c r="BB5216" s="58" t="s">
        <v>2081</v>
      </c>
      <c r="BC5216" s="58" t="s">
        <v>2081</v>
      </c>
      <c r="BD5216" s="58" t="s">
        <v>479</v>
      </c>
      <c r="BE5216" s="236" t="s">
        <v>5155</v>
      </c>
      <c r="BF5216" s="191"/>
      <c r="BG5216" s="191" t="s">
        <v>479</v>
      </c>
      <c r="BH5216" s="236" t="s">
        <v>5236</v>
      </c>
      <c r="BI5216" s="191" t="s">
        <v>479</v>
      </c>
      <c r="BJ5216" s="58" t="str">
        <f>IF(BE5216=BH5216,"No","yes")</f>
        <v>yes</v>
      </c>
      <c r="BK5216" s="58" t="s">
        <v>6334</v>
      </c>
      <c r="BL5216" s="58" t="s">
        <v>5849</v>
      </c>
      <c r="BM5216" s="237"/>
      <c r="BN5216" s="244">
        <v>3</v>
      </c>
      <c r="BO5216" s="244">
        <v>4</v>
      </c>
      <c r="BP5216" s="58"/>
      <c r="BQ5216" s="58"/>
      <c r="BR5216" s="58"/>
      <c r="BS5216" s="58"/>
      <c r="BT5216" s="58"/>
      <c r="BU5216" s="58"/>
      <c r="BV5216" s="58"/>
      <c r="BW5216" s="67"/>
      <c r="BX5216" s="67"/>
      <c r="BY5216" s="67"/>
      <c r="BZ5216" s="67"/>
      <c r="CA5216" s="67"/>
      <c r="CB5216" s="70"/>
      <c r="CC5216" s="70"/>
      <c r="CD5216" s="70"/>
      <c r="CE5216" s="67"/>
      <c r="CF5216" s="67"/>
      <c r="CG5216" s="67"/>
      <c r="CH5216" s="245">
        <v>1.3624639493183022</v>
      </c>
      <c r="CI5216" s="245">
        <v>1.3874176584816789</v>
      </c>
      <c r="CJ5216" s="67"/>
      <c r="CK5216" s="67"/>
      <c r="CL5216" s="67"/>
      <c r="CM5216" s="242">
        <v>2.0699999999999998</v>
      </c>
      <c r="CN5216" s="242">
        <v>1.85</v>
      </c>
      <c r="CO5216" s="242"/>
      <c r="CP5216" s="242"/>
      <c r="CQ5216" s="242" t="s">
        <v>164</v>
      </c>
      <c r="CR5216" s="242">
        <v>28.203003750888854</v>
      </c>
      <c r="CS5216" s="242">
        <v>25.66722668191106</v>
      </c>
      <c r="CT5216" s="242"/>
      <c r="CU5216" s="242"/>
      <c r="CV5216" s="242" t="s">
        <v>5151</v>
      </c>
      <c r="CW5216" s="242">
        <v>3577.6092662745264</v>
      </c>
      <c r="CX5216" s="242">
        <v>2732.3502432819282</v>
      </c>
      <c r="CY5216" s="242">
        <v>357.76092662745265</v>
      </c>
      <c r="CZ5216" s="242">
        <v>273.23502432819282</v>
      </c>
      <c r="DA5216" s="67" t="s">
        <v>5443</v>
      </c>
      <c r="DB5216" s="67">
        <v>1470</v>
      </c>
      <c r="DC5216" s="67">
        <v>1330</v>
      </c>
      <c r="DD5216" s="67"/>
      <c r="DE5216" s="67"/>
      <c r="DF5216" s="67" t="s">
        <v>2242</v>
      </c>
      <c r="DG5216" s="67">
        <v>970</v>
      </c>
      <c r="DH5216" s="67">
        <v>1090</v>
      </c>
      <c r="DI5216" s="67"/>
      <c r="DJ5216" s="67"/>
      <c r="DK5216" s="67" t="s">
        <v>5874</v>
      </c>
      <c r="DL5216" s="67">
        <v>0.3</v>
      </c>
      <c r="DM5216" s="67">
        <v>0.25</v>
      </c>
      <c r="DN5216" s="67"/>
      <c r="DO5216" s="67"/>
      <c r="DP5216" s="67" t="s">
        <v>3360</v>
      </c>
      <c r="DQ5216" s="166">
        <v>5.8</v>
      </c>
      <c r="DR5216" s="166">
        <v>6.03</v>
      </c>
      <c r="DS5216" s="163"/>
      <c r="DT5216" s="163"/>
      <c r="DU5216" s="67"/>
      <c r="DV5216" s="67">
        <v>8.0399999999999991</v>
      </c>
      <c r="DW5216" s="67">
        <v>8.01</v>
      </c>
      <c r="DX5216" s="67"/>
      <c r="DY5216" s="67"/>
      <c r="DZ5216" s="67" t="s">
        <v>5873</v>
      </c>
      <c r="EA5216" s="67">
        <v>1.7</v>
      </c>
      <c r="EB5216" s="67">
        <v>1.4</v>
      </c>
      <c r="EC5216" s="67"/>
      <c r="ED5216" s="67"/>
      <c r="EE5216" s="67" t="s">
        <v>5433</v>
      </c>
      <c r="EF5216" s="67"/>
      <c r="EG5216" s="67"/>
      <c r="EH5216" s="67"/>
      <c r="EI5216" s="67"/>
      <c r="EJ5216" s="67"/>
      <c r="EK5216" s="94">
        <v>0.43</v>
      </c>
      <c r="EL5216" s="94">
        <v>0.43</v>
      </c>
      <c r="EM5216" s="67"/>
      <c r="EN5216" s="67"/>
      <c r="EO5216" s="67" t="s">
        <v>5875</v>
      </c>
      <c r="EP5216" s="67"/>
      <c r="EQ5216" s="67"/>
      <c r="ER5216" s="67"/>
      <c r="ES5216" s="67"/>
      <c r="ET5216" s="67"/>
      <c r="EU5216" s="67"/>
      <c r="EV5216" s="67"/>
      <c r="EW5216" s="67"/>
      <c r="EX5216" s="67"/>
      <c r="EY5216" s="67"/>
      <c r="EZ5216" s="67"/>
      <c r="FA5216" s="67"/>
      <c r="FB5216" s="67"/>
      <c r="FC5216" s="67"/>
      <c r="FD5216" s="67"/>
      <c r="FE5216" s="67"/>
      <c r="FF5216" s="67"/>
      <c r="FG5216" s="67"/>
      <c r="FH5216" s="67"/>
      <c r="FI5216" s="67"/>
      <c r="FJ5216" s="67"/>
      <c r="FK5216" s="67"/>
      <c r="FL5216" s="67"/>
      <c r="FM5216" s="67"/>
      <c r="FN5216" s="67"/>
      <c r="FO5216" s="67"/>
      <c r="FP5216" s="67"/>
      <c r="FQ5216" s="67"/>
      <c r="FR5216" s="67"/>
      <c r="FS5216" s="67"/>
      <c r="FT5216" s="67"/>
      <c r="FU5216" s="67"/>
      <c r="FV5216" s="67"/>
      <c r="FW5216" s="67"/>
      <c r="FX5216" s="67"/>
      <c r="FY5216" s="67"/>
      <c r="FZ5216" s="67"/>
      <c r="GA5216" s="67"/>
      <c r="GB5216" s="67"/>
      <c r="GC5216" s="67"/>
      <c r="GD5216" s="67">
        <v>6.9000000000000006E-2</v>
      </c>
      <c r="GE5216" s="67">
        <v>5.8999999999999997E-2</v>
      </c>
      <c r="GF5216" s="67"/>
      <c r="GG5216" s="67"/>
      <c r="GH5216" s="67" t="s">
        <v>5876</v>
      </c>
      <c r="GI5216" s="67"/>
      <c r="GJ5216" s="67"/>
      <c r="GK5216" s="67"/>
      <c r="GL5216" s="67"/>
      <c r="GM5216" s="67"/>
      <c r="GN5216" s="292"/>
      <c r="GO5216" s="292"/>
      <c r="GP5216" s="292" t="s">
        <v>7494</v>
      </c>
      <c r="GQ5216" s="67"/>
      <c r="GR5216" s="67"/>
      <c r="GS5216" s="67"/>
      <c r="GT5216" s="67"/>
      <c r="GU5216" s="67"/>
      <c r="GV5216" s="67"/>
      <c r="GW5216" s="67"/>
      <c r="GX5216" s="67"/>
      <c r="GY5216" s="67"/>
      <c r="GZ5216" s="67"/>
      <c r="HA5216" s="67"/>
      <c r="HB5216" s="67"/>
      <c r="HC5216" s="67"/>
      <c r="HD5216" s="67"/>
      <c r="HE5216" s="67"/>
      <c r="HF5216" s="67"/>
      <c r="HG5216" s="67"/>
      <c r="HH5216" s="67"/>
      <c r="HI5216" s="67"/>
      <c r="HJ5216" s="67"/>
      <c r="HK5216" s="67"/>
      <c r="HL5216" s="67"/>
      <c r="HM5216" s="67"/>
      <c r="HN5216" s="67"/>
      <c r="HO5216" s="67"/>
      <c r="HP5216" s="67"/>
      <c r="HQ5216" s="67"/>
      <c r="HR5216" s="67"/>
      <c r="HS5216" s="67"/>
      <c r="HT5216" s="67"/>
      <c r="HU5216" s="67"/>
      <c r="HV5216" s="67"/>
      <c r="HW5216" s="67"/>
      <c r="HX5216" s="67"/>
      <c r="HY5216" s="67"/>
      <c r="HZ5216" s="67"/>
      <c r="IA5216" s="67"/>
      <c r="IB5216" s="67"/>
      <c r="IC5216" s="67">
        <v>33.1</v>
      </c>
      <c r="ID5216" s="67">
        <v>22.5</v>
      </c>
      <c r="IE5216" s="67"/>
      <c r="IF5216" s="67"/>
      <c r="IG5216" s="67" t="s">
        <v>5872</v>
      </c>
      <c r="IH5216" s="67"/>
      <c r="II5216" s="67"/>
      <c r="IJ5216" s="67"/>
      <c r="IK5216" s="67"/>
      <c r="IL5216" s="67"/>
      <c r="IM5216" s="67"/>
      <c r="IN5216" s="67"/>
      <c r="IO5216" s="67"/>
      <c r="IP5216" s="67"/>
      <c r="IQ5216" s="67"/>
      <c r="IR5216" s="67"/>
      <c r="IS5216" s="67"/>
      <c r="IT5216" s="67"/>
      <c r="IU5216" s="67"/>
      <c r="IV5216" s="67"/>
      <c r="IW5216" s="67"/>
      <c r="IX5216" s="67"/>
      <c r="IY5216" s="67"/>
      <c r="IZ5216" s="67"/>
      <c r="JA5216" s="67"/>
      <c r="JB5216" s="67"/>
      <c r="JC5216" s="67"/>
      <c r="JD5216" s="67"/>
      <c r="JE5216" s="67"/>
      <c r="JF5216" s="67"/>
      <c r="JG5216" s="67">
        <v>248.2</v>
      </c>
      <c r="JH5216" s="67">
        <v>214.9</v>
      </c>
      <c r="JI5216" s="67"/>
      <c r="JJ5216" s="67"/>
      <c r="JK5216" s="67" t="s">
        <v>3072</v>
      </c>
      <c r="JL5216" s="67"/>
      <c r="JM5216" s="67"/>
      <c r="JN5216" s="67"/>
      <c r="JO5216" s="67"/>
      <c r="JP5216" s="67"/>
      <c r="JQ5216" s="67"/>
      <c r="JR5216" s="67"/>
      <c r="JS5216" s="67"/>
      <c r="JT5216" s="67"/>
      <c r="JU5216" s="58"/>
      <c r="JV5216" s="58"/>
      <c r="JW5216" s="58"/>
    </row>
    <row r="5217" spans="1:283" s="250" customFormat="1" x14ac:dyDescent="0.25">
      <c r="A5217" s="173">
        <v>5216</v>
      </c>
      <c r="B5217" s="175" t="s">
        <v>7067</v>
      </c>
      <c r="C5217" s="278">
        <v>280</v>
      </c>
      <c r="D5217" s="174" t="s">
        <v>5060</v>
      </c>
      <c r="E5217" s="279" t="str">
        <f>G5217</f>
        <v>Welsh et al. 2009_grain only</v>
      </c>
      <c r="F5217" s="279"/>
      <c r="G5217" s="280" t="s">
        <v>4667</v>
      </c>
      <c r="H5217" s="174">
        <v>2009</v>
      </c>
      <c r="I5217" s="174" t="s">
        <v>5599</v>
      </c>
      <c r="J5217" s="281" t="s">
        <v>282</v>
      </c>
      <c r="K5217" s="282" t="s">
        <v>5063</v>
      </c>
      <c r="L5217" s="174" t="s">
        <v>2738</v>
      </c>
      <c r="M5217" s="283">
        <f>49+39/60</f>
        <v>49.65</v>
      </c>
      <c r="N5217" s="283">
        <f>-97-7/60</f>
        <v>-97.11666666666666</v>
      </c>
      <c r="O5217" s="283">
        <v>232</v>
      </c>
      <c r="P5217" s="174"/>
      <c r="Q5217" s="284">
        <v>2.6</v>
      </c>
      <c r="R5217" s="174"/>
      <c r="S5217" s="285">
        <v>514</v>
      </c>
      <c r="T5217" s="174"/>
      <c r="U5217" s="174" t="s">
        <v>1694</v>
      </c>
      <c r="V5217" s="284">
        <v>13</v>
      </c>
      <c r="W5217" s="174"/>
      <c r="X5217" s="174"/>
      <c r="Y5217" s="174" t="s">
        <v>5879</v>
      </c>
      <c r="Z5217" s="284" t="s">
        <v>1349</v>
      </c>
      <c r="AA5217" s="285">
        <v>15</v>
      </c>
      <c r="AB5217" s="286"/>
      <c r="AC5217" s="286"/>
      <c r="AD5217" s="283"/>
      <c r="AE5217" s="283">
        <v>9</v>
      </c>
      <c r="AF5217" s="283">
        <v>26</v>
      </c>
      <c r="AG5217" s="285">
        <v>66</v>
      </c>
      <c r="AH5217" s="174" t="s">
        <v>769</v>
      </c>
      <c r="AI5217" s="174" t="s">
        <v>1676</v>
      </c>
      <c r="AJ5217" s="283">
        <f>7.7*0.58</f>
        <v>4.4660000000000002</v>
      </c>
      <c r="AK5217" s="283">
        <f>8*0.58</f>
        <v>4.6399999999999997</v>
      </c>
      <c r="AL5217" s="174"/>
      <c r="AM5217" s="174" t="s">
        <v>5880</v>
      </c>
      <c r="AN5217" s="174"/>
      <c r="AO5217" s="185" t="s">
        <v>5150</v>
      </c>
      <c r="AP5217" s="174"/>
      <c r="AQ5217" s="174"/>
      <c r="AR5217" s="174" t="s">
        <v>116</v>
      </c>
      <c r="AS5217" s="287" t="s">
        <v>5133</v>
      </c>
      <c r="AT5217" s="284" t="s">
        <v>5885</v>
      </c>
      <c r="AU5217" s="181" t="s">
        <v>5150</v>
      </c>
      <c r="AV5217" s="173" t="s">
        <v>479</v>
      </c>
      <c r="AW5217" s="284" t="s">
        <v>5885</v>
      </c>
      <c r="AX5217" s="173" t="s">
        <v>479</v>
      </c>
      <c r="AY5217" s="284" t="s">
        <v>176</v>
      </c>
      <c r="AZ5217" s="174"/>
      <c r="BA5217" s="174"/>
      <c r="BB5217" s="174"/>
      <c r="BC5217" s="174"/>
      <c r="BD5217" s="174"/>
      <c r="BE5217" s="174" t="s">
        <v>5227</v>
      </c>
      <c r="BF5217" s="173"/>
      <c r="BG5217" s="173" t="s">
        <v>479</v>
      </c>
      <c r="BH5217" s="174" t="s">
        <v>5153</v>
      </c>
      <c r="BI5217" s="173" t="s">
        <v>176</v>
      </c>
      <c r="BJ5217" s="174" t="str">
        <f>IF(BE5217=BH5217,"No","yes")</f>
        <v>yes</v>
      </c>
      <c r="BK5217" s="174" t="s">
        <v>6334</v>
      </c>
      <c r="BL5217" s="174" t="s">
        <v>5886</v>
      </c>
      <c r="BM5217" s="174"/>
      <c r="BN5217" s="284">
        <v>3</v>
      </c>
      <c r="BO5217" s="284">
        <v>3</v>
      </c>
      <c r="BP5217" s="174"/>
      <c r="BQ5217" s="174"/>
      <c r="BR5217" s="174"/>
      <c r="BS5217" s="174"/>
      <c r="BT5217" s="174"/>
      <c r="BU5217" s="174"/>
      <c r="BV5217" s="174"/>
      <c r="BW5217" s="286"/>
      <c r="BX5217" s="286"/>
      <c r="BY5217" s="286"/>
      <c r="BZ5217" s="286"/>
      <c r="CA5217" s="286"/>
      <c r="CB5217" s="288"/>
      <c r="CC5217" s="288"/>
      <c r="CD5217" s="288"/>
      <c r="CE5217" s="286"/>
      <c r="CF5217" s="286"/>
      <c r="CG5217" s="286"/>
      <c r="CH5217" s="283"/>
      <c r="CI5217" s="283"/>
      <c r="CJ5217" s="286"/>
      <c r="CK5217" s="286"/>
      <c r="CL5217" s="286"/>
      <c r="CM5217" s="289">
        <v>4.1900000000000004</v>
      </c>
      <c r="CN5217" s="289">
        <v>3.9</v>
      </c>
      <c r="CO5217" s="289">
        <v>0.12</v>
      </c>
      <c r="CP5217" s="289">
        <v>0.28999999999999998</v>
      </c>
      <c r="CQ5217" s="289" t="s">
        <v>164</v>
      </c>
      <c r="CR5217" s="289">
        <v>72.981864137101724</v>
      </c>
      <c r="CS5217" s="289">
        <v>69.331550941513257</v>
      </c>
      <c r="CT5217" s="289">
        <v>7.2981864137101731</v>
      </c>
      <c r="CU5217" s="289">
        <v>6.933155094151326</v>
      </c>
      <c r="CV5217" s="289" t="s">
        <v>5151</v>
      </c>
      <c r="CW5217" s="289"/>
      <c r="CX5217" s="289"/>
      <c r="CY5217" s="289"/>
      <c r="CZ5217" s="289"/>
      <c r="DA5217" s="286" t="s">
        <v>5443</v>
      </c>
      <c r="DB5217" s="286">
        <v>8.3000000000000007</v>
      </c>
      <c r="DC5217" s="286">
        <v>7.2</v>
      </c>
      <c r="DD5217" s="286">
        <v>0.6</v>
      </c>
      <c r="DE5217" s="286">
        <v>2.1</v>
      </c>
      <c r="DF5217" s="286" t="s">
        <v>5883</v>
      </c>
      <c r="DG5217" s="286">
        <v>33</v>
      </c>
      <c r="DH5217" s="286">
        <v>21.7</v>
      </c>
      <c r="DI5217" s="286">
        <v>6.6</v>
      </c>
      <c r="DJ5217" s="286">
        <v>3.8</v>
      </c>
      <c r="DK5217" s="286" t="s">
        <v>5884</v>
      </c>
      <c r="DL5217" s="286"/>
      <c r="DM5217" s="286"/>
      <c r="DN5217" s="286"/>
      <c r="DO5217" s="286"/>
      <c r="DP5217" s="286"/>
      <c r="DQ5217" s="290">
        <v>6.6</v>
      </c>
      <c r="DR5217" s="290">
        <v>7</v>
      </c>
      <c r="DS5217" s="286">
        <v>0.2</v>
      </c>
      <c r="DT5217" s="286">
        <v>0.4</v>
      </c>
      <c r="DU5217" s="286"/>
      <c r="DV5217" s="286"/>
      <c r="DW5217" s="286"/>
      <c r="DX5217" s="286"/>
      <c r="DY5217" s="286"/>
      <c r="DZ5217" s="286"/>
      <c r="EA5217" s="286"/>
      <c r="EB5217" s="286"/>
      <c r="EC5217" s="286"/>
      <c r="ED5217" s="286"/>
      <c r="EE5217" s="286"/>
      <c r="EF5217" s="286"/>
      <c r="EG5217" s="286"/>
      <c r="EH5217" s="286"/>
      <c r="EI5217" s="286"/>
      <c r="EJ5217" s="286"/>
      <c r="EK5217" s="283"/>
      <c r="EL5217" s="283"/>
      <c r="EM5217" s="286"/>
      <c r="EN5217" s="286"/>
      <c r="EO5217" s="286"/>
      <c r="EP5217" s="286"/>
      <c r="EQ5217" s="286"/>
      <c r="ER5217" s="286"/>
      <c r="ES5217" s="286"/>
      <c r="ET5217" s="286"/>
      <c r="EU5217" s="286"/>
      <c r="EV5217" s="286"/>
      <c r="EW5217" s="286"/>
      <c r="EX5217" s="286"/>
      <c r="EY5217" s="286"/>
      <c r="EZ5217" s="286"/>
      <c r="FA5217" s="286"/>
      <c r="FB5217" s="286"/>
      <c r="FC5217" s="286"/>
      <c r="FD5217" s="286"/>
      <c r="FE5217" s="286"/>
      <c r="FF5217" s="286"/>
      <c r="FG5217" s="286"/>
      <c r="FH5217" s="286"/>
      <c r="FI5217" s="286"/>
      <c r="FJ5217" s="286"/>
      <c r="FK5217" s="286"/>
      <c r="FL5217" s="286"/>
      <c r="FM5217" s="286"/>
      <c r="FN5217" s="286"/>
      <c r="FO5217" s="286"/>
      <c r="FP5217" s="286"/>
      <c r="FQ5217" s="286"/>
      <c r="FR5217" s="286"/>
      <c r="FS5217" s="286"/>
      <c r="FT5217" s="286"/>
      <c r="FU5217" s="286"/>
      <c r="FV5217" s="286"/>
      <c r="FW5217" s="286"/>
      <c r="FX5217" s="286"/>
      <c r="FY5217" s="286"/>
      <c r="FZ5217" s="286"/>
      <c r="GA5217" s="286"/>
      <c r="GB5217" s="286"/>
      <c r="GC5217" s="286"/>
      <c r="GD5217" s="286"/>
      <c r="GE5217" s="286"/>
      <c r="GF5217" s="286"/>
      <c r="GG5217" s="286"/>
      <c r="GH5217" s="286"/>
      <c r="GI5217" s="286"/>
      <c r="GJ5217" s="286"/>
      <c r="GK5217" s="286"/>
      <c r="GL5217" s="286"/>
      <c r="GM5217" s="286"/>
      <c r="GN5217" s="292"/>
      <c r="GO5217" s="292"/>
      <c r="GP5217" s="292" t="s">
        <v>7494</v>
      </c>
      <c r="GQ5217" s="286"/>
      <c r="GR5217" s="286"/>
      <c r="GS5217" s="286"/>
      <c r="GT5217" s="286"/>
      <c r="GU5217" s="286"/>
      <c r="GV5217" s="286"/>
      <c r="GW5217" s="286"/>
      <c r="GX5217" s="286"/>
      <c r="GY5217" s="286"/>
      <c r="GZ5217" s="286"/>
      <c r="HA5217" s="286"/>
      <c r="HB5217" s="286"/>
      <c r="HC5217" s="286"/>
      <c r="HD5217" s="286"/>
      <c r="HE5217" s="286"/>
      <c r="HF5217" s="286"/>
      <c r="HG5217" s="286"/>
      <c r="HH5217" s="286"/>
      <c r="HI5217" s="286"/>
      <c r="HJ5217" s="286"/>
      <c r="HK5217" s="286"/>
      <c r="HL5217" s="286"/>
      <c r="HM5217" s="286"/>
      <c r="HN5217" s="286"/>
      <c r="HO5217" s="286"/>
      <c r="HP5217" s="286"/>
      <c r="HQ5217" s="286"/>
      <c r="HR5217" s="286"/>
      <c r="HS5217" s="286"/>
      <c r="HT5217" s="286"/>
      <c r="HU5217" s="286"/>
      <c r="HV5217" s="286"/>
      <c r="HW5217" s="286"/>
      <c r="HX5217" s="286"/>
      <c r="HY5217" s="286"/>
      <c r="HZ5217" s="286"/>
      <c r="IA5217" s="286"/>
      <c r="IB5217" s="286"/>
      <c r="IC5217" s="286"/>
      <c r="ID5217" s="286"/>
      <c r="IE5217" s="286"/>
      <c r="IF5217" s="286"/>
      <c r="IG5217" s="286"/>
      <c r="IH5217" s="286"/>
      <c r="II5217" s="286"/>
      <c r="IJ5217" s="286"/>
      <c r="IK5217" s="286"/>
      <c r="IL5217" s="286"/>
      <c r="IM5217" s="286"/>
      <c r="IN5217" s="286"/>
      <c r="IO5217" s="286"/>
      <c r="IP5217" s="286"/>
      <c r="IQ5217" s="286"/>
      <c r="IR5217" s="286"/>
      <c r="IS5217" s="286"/>
      <c r="IT5217" s="286"/>
      <c r="IU5217" s="286"/>
      <c r="IV5217" s="286"/>
      <c r="IW5217" s="286"/>
      <c r="IX5217" s="286"/>
      <c r="IY5217" s="286"/>
      <c r="IZ5217" s="286"/>
      <c r="JA5217" s="286"/>
      <c r="JB5217" s="286"/>
      <c r="JC5217" s="286"/>
      <c r="JD5217" s="286"/>
      <c r="JE5217" s="286"/>
      <c r="JF5217" s="286"/>
      <c r="JG5217" s="286"/>
      <c r="JH5217" s="286"/>
      <c r="JI5217" s="286"/>
      <c r="JJ5217" s="286"/>
      <c r="JK5217" s="286"/>
      <c r="JL5217" s="286"/>
      <c r="JM5217" s="286"/>
      <c r="JN5217" s="286"/>
      <c r="JO5217" s="286"/>
      <c r="JP5217" s="286"/>
      <c r="JQ5217" s="286"/>
      <c r="JR5217" s="286"/>
      <c r="JS5217" s="286"/>
      <c r="JT5217" s="286"/>
      <c r="JU5217" s="174"/>
      <c r="JV5217" s="174"/>
      <c r="JW5217" s="174"/>
    </row>
    <row r="5218" spans="1:283" s="250" customFormat="1" x14ac:dyDescent="0.25">
      <c r="A5218" s="173">
        <v>5217</v>
      </c>
      <c r="B5218" s="175" t="s">
        <v>7067</v>
      </c>
      <c r="C5218" s="278">
        <v>280</v>
      </c>
      <c r="D5218" s="174" t="s">
        <v>5061</v>
      </c>
      <c r="E5218" s="279" t="str">
        <f>G5218</f>
        <v>Welsh et al. 2009_forage-grain</v>
      </c>
      <c r="F5218" s="279"/>
      <c r="G5218" s="280" t="s">
        <v>4668</v>
      </c>
      <c r="H5218" s="174">
        <v>2009</v>
      </c>
      <c r="I5218" s="174" t="s">
        <v>5599</v>
      </c>
      <c r="J5218" s="281" t="s">
        <v>282</v>
      </c>
      <c r="K5218" s="282" t="s">
        <v>5063</v>
      </c>
      <c r="L5218" s="174" t="s">
        <v>2738</v>
      </c>
      <c r="M5218" s="283">
        <f>49+39/60</f>
        <v>49.65</v>
      </c>
      <c r="N5218" s="283">
        <f>-97-7/60</f>
        <v>-97.11666666666666</v>
      </c>
      <c r="O5218" s="283">
        <v>232</v>
      </c>
      <c r="P5218" s="174"/>
      <c r="Q5218" s="284">
        <v>2.6</v>
      </c>
      <c r="R5218" s="174"/>
      <c r="S5218" s="285">
        <v>514</v>
      </c>
      <c r="T5218" s="174"/>
      <c r="U5218" s="174" t="s">
        <v>1694</v>
      </c>
      <c r="V5218" s="284">
        <v>13</v>
      </c>
      <c r="W5218" s="174"/>
      <c r="X5218" s="174"/>
      <c r="Y5218" s="174" t="s">
        <v>5879</v>
      </c>
      <c r="Z5218" s="284" t="s">
        <v>1349</v>
      </c>
      <c r="AA5218" s="285">
        <v>15</v>
      </c>
      <c r="AB5218" s="286"/>
      <c r="AC5218" s="286"/>
      <c r="AD5218" s="283"/>
      <c r="AE5218" s="283">
        <v>9</v>
      </c>
      <c r="AF5218" s="283">
        <v>26</v>
      </c>
      <c r="AG5218" s="285">
        <v>66</v>
      </c>
      <c r="AH5218" s="174" t="s">
        <v>769</v>
      </c>
      <c r="AI5218" s="174" t="s">
        <v>5882</v>
      </c>
      <c r="AJ5218" s="283">
        <f>7.7*0.58</f>
        <v>4.4660000000000002</v>
      </c>
      <c r="AK5218" s="283">
        <f>8*0.58</f>
        <v>4.6399999999999997</v>
      </c>
      <c r="AL5218" s="174"/>
      <c r="AM5218" s="174" t="s">
        <v>5880</v>
      </c>
      <c r="AN5218" s="174"/>
      <c r="AO5218" s="185" t="s">
        <v>5150</v>
      </c>
      <c r="AP5218" s="174"/>
      <c r="AQ5218" s="174"/>
      <c r="AR5218" s="174" t="s">
        <v>116</v>
      </c>
      <c r="AS5218" s="287" t="s">
        <v>5133</v>
      </c>
      <c r="AT5218" s="284" t="s">
        <v>5885</v>
      </c>
      <c r="AU5218" s="181" t="s">
        <v>5150</v>
      </c>
      <c r="AV5218" s="173" t="s">
        <v>479</v>
      </c>
      <c r="AW5218" s="284" t="s">
        <v>5885</v>
      </c>
      <c r="AX5218" s="173" t="s">
        <v>479</v>
      </c>
      <c r="AY5218" s="284" t="s">
        <v>176</v>
      </c>
      <c r="AZ5218" s="174"/>
      <c r="BA5218" s="174"/>
      <c r="BB5218" s="174"/>
      <c r="BC5218" s="174"/>
      <c r="BD5218" s="174"/>
      <c r="BE5218" s="174" t="s">
        <v>5153</v>
      </c>
      <c r="BF5218" s="173" t="s">
        <v>176</v>
      </c>
      <c r="BG5218" s="173" t="s">
        <v>176</v>
      </c>
      <c r="BH5218" s="174" t="s">
        <v>5153</v>
      </c>
      <c r="BI5218" s="173" t="s">
        <v>176</v>
      </c>
      <c r="BJ5218" s="174" t="str">
        <f>IF(BE5218=BH5218,"No","yes")</f>
        <v>No</v>
      </c>
      <c r="BK5218" s="174" t="s">
        <v>6334</v>
      </c>
      <c r="BL5218" s="174" t="s">
        <v>5886</v>
      </c>
      <c r="BM5218" s="174"/>
      <c r="BN5218" s="284">
        <v>3</v>
      </c>
      <c r="BO5218" s="284">
        <v>3</v>
      </c>
      <c r="BP5218" s="174"/>
      <c r="BQ5218" s="174"/>
      <c r="BR5218" s="174"/>
      <c r="BS5218" s="174"/>
      <c r="BT5218" s="174"/>
      <c r="BU5218" s="174"/>
      <c r="BV5218" s="174"/>
      <c r="BW5218" s="286"/>
      <c r="BX5218" s="286"/>
      <c r="BY5218" s="286"/>
      <c r="BZ5218" s="286"/>
      <c r="CA5218" s="286"/>
      <c r="CB5218" s="288"/>
      <c r="CC5218" s="288"/>
      <c r="CD5218" s="288"/>
      <c r="CE5218" s="286"/>
      <c r="CF5218" s="286"/>
      <c r="CG5218" s="286"/>
      <c r="CH5218" s="283"/>
      <c r="CI5218" s="283"/>
      <c r="CJ5218" s="286"/>
      <c r="CK5218" s="286"/>
      <c r="CL5218" s="286"/>
      <c r="CM5218" s="289">
        <v>4.59</v>
      </c>
      <c r="CN5218" s="289">
        <v>4.59</v>
      </c>
      <c r="CO5218" s="289">
        <v>0.28999999999999998</v>
      </c>
      <c r="CP5218" s="289">
        <v>0.47</v>
      </c>
      <c r="CQ5218" s="289" t="s">
        <v>164</v>
      </c>
      <c r="CR5218" s="289">
        <v>77.781278010108579</v>
      </c>
      <c r="CS5218" s="289">
        <v>77.781278010108579</v>
      </c>
      <c r="CT5218" s="289">
        <v>7.7781278010108581</v>
      </c>
      <c r="CU5218" s="289">
        <v>7.7781278010108581</v>
      </c>
      <c r="CV5218" s="289" t="s">
        <v>5151</v>
      </c>
      <c r="CW5218" s="289"/>
      <c r="CX5218" s="289"/>
      <c r="CY5218" s="289"/>
      <c r="CZ5218" s="289"/>
      <c r="DA5218" s="286" t="s">
        <v>5443</v>
      </c>
      <c r="DB5218" s="286">
        <v>13.7</v>
      </c>
      <c r="DC5218" s="286">
        <v>13</v>
      </c>
      <c r="DD5218" s="286">
        <v>0.6</v>
      </c>
      <c r="DE5218" s="286">
        <v>2.7</v>
      </c>
      <c r="DF5218" s="286" t="s">
        <v>5883</v>
      </c>
      <c r="DG5218" s="286">
        <v>26</v>
      </c>
      <c r="DH5218" s="286">
        <v>8</v>
      </c>
      <c r="DI5218" s="286">
        <v>4.4000000000000004</v>
      </c>
      <c r="DJ5218" s="286">
        <v>2.7</v>
      </c>
      <c r="DK5218" s="286" t="s">
        <v>5884</v>
      </c>
      <c r="DL5218" s="286"/>
      <c r="DM5218" s="286"/>
      <c r="DN5218" s="286"/>
      <c r="DO5218" s="286"/>
      <c r="DP5218" s="286"/>
      <c r="DQ5218" s="290">
        <v>6.6</v>
      </c>
      <c r="DR5218" s="290">
        <v>7</v>
      </c>
      <c r="DS5218" s="286">
        <v>0.3</v>
      </c>
      <c r="DT5218" s="286">
        <v>0.4</v>
      </c>
      <c r="DU5218" s="286"/>
      <c r="DV5218" s="286"/>
      <c r="DW5218" s="286"/>
      <c r="DX5218" s="286"/>
      <c r="DY5218" s="286"/>
      <c r="DZ5218" s="286"/>
      <c r="EA5218" s="286"/>
      <c r="EB5218" s="286"/>
      <c r="EC5218" s="286"/>
      <c r="ED5218" s="286"/>
      <c r="EE5218" s="286"/>
      <c r="EF5218" s="286"/>
      <c r="EG5218" s="286"/>
      <c r="EH5218" s="286"/>
      <c r="EI5218" s="286"/>
      <c r="EJ5218" s="286"/>
      <c r="EK5218" s="283"/>
      <c r="EL5218" s="283"/>
      <c r="EM5218" s="286"/>
      <c r="EN5218" s="286"/>
      <c r="EO5218" s="286"/>
      <c r="EP5218" s="286"/>
      <c r="EQ5218" s="286"/>
      <c r="ER5218" s="286"/>
      <c r="ES5218" s="286"/>
      <c r="ET5218" s="286"/>
      <c r="EU5218" s="286"/>
      <c r="EV5218" s="286"/>
      <c r="EW5218" s="286"/>
      <c r="EX5218" s="286"/>
      <c r="EY5218" s="286"/>
      <c r="EZ5218" s="286"/>
      <c r="FA5218" s="286"/>
      <c r="FB5218" s="286"/>
      <c r="FC5218" s="286"/>
      <c r="FD5218" s="286"/>
      <c r="FE5218" s="286"/>
      <c r="FF5218" s="286"/>
      <c r="FG5218" s="286"/>
      <c r="FH5218" s="286"/>
      <c r="FI5218" s="286"/>
      <c r="FJ5218" s="286"/>
      <c r="FK5218" s="286"/>
      <c r="FL5218" s="286"/>
      <c r="FM5218" s="286"/>
      <c r="FN5218" s="286"/>
      <c r="FO5218" s="286"/>
      <c r="FP5218" s="286"/>
      <c r="FQ5218" s="286"/>
      <c r="FR5218" s="286"/>
      <c r="FS5218" s="286"/>
      <c r="FT5218" s="286"/>
      <c r="FU5218" s="286"/>
      <c r="FV5218" s="286"/>
      <c r="FW5218" s="286"/>
      <c r="FX5218" s="286"/>
      <c r="FY5218" s="286"/>
      <c r="FZ5218" s="286"/>
      <c r="GA5218" s="286"/>
      <c r="GB5218" s="286"/>
      <c r="GC5218" s="286"/>
      <c r="GD5218" s="286"/>
      <c r="GE5218" s="286"/>
      <c r="GF5218" s="286"/>
      <c r="GG5218" s="286"/>
      <c r="GH5218" s="286"/>
      <c r="GI5218" s="286"/>
      <c r="GJ5218" s="286"/>
      <c r="GK5218" s="286"/>
      <c r="GL5218" s="286"/>
      <c r="GM5218" s="286"/>
      <c r="GN5218" s="292"/>
      <c r="GO5218" s="292"/>
      <c r="GP5218" s="292" t="s">
        <v>7494</v>
      </c>
      <c r="GQ5218" s="286"/>
      <c r="GR5218" s="286"/>
      <c r="GS5218" s="286"/>
      <c r="GT5218" s="286"/>
      <c r="GU5218" s="286"/>
      <c r="GV5218" s="286"/>
      <c r="GW5218" s="286"/>
      <c r="GX5218" s="286"/>
      <c r="GY5218" s="286"/>
      <c r="GZ5218" s="286"/>
      <c r="HA5218" s="286"/>
      <c r="HB5218" s="286"/>
      <c r="HC5218" s="286"/>
      <c r="HD5218" s="286"/>
      <c r="HE5218" s="286"/>
      <c r="HF5218" s="286"/>
      <c r="HG5218" s="286"/>
      <c r="HH5218" s="286"/>
      <c r="HI5218" s="286"/>
      <c r="HJ5218" s="286"/>
      <c r="HK5218" s="286"/>
      <c r="HL5218" s="286"/>
      <c r="HM5218" s="286"/>
      <c r="HN5218" s="286"/>
      <c r="HO5218" s="286"/>
      <c r="HP5218" s="286"/>
      <c r="HQ5218" s="286"/>
      <c r="HR5218" s="286"/>
      <c r="HS5218" s="286"/>
      <c r="HT5218" s="286"/>
      <c r="HU5218" s="286"/>
      <c r="HV5218" s="286"/>
      <c r="HW5218" s="286"/>
      <c r="HX5218" s="286"/>
      <c r="HY5218" s="286"/>
      <c r="HZ5218" s="286"/>
      <c r="IA5218" s="286"/>
      <c r="IB5218" s="286"/>
      <c r="IC5218" s="286"/>
      <c r="ID5218" s="286"/>
      <c r="IE5218" s="286"/>
      <c r="IF5218" s="286"/>
      <c r="IG5218" s="286"/>
      <c r="IH5218" s="286"/>
      <c r="II5218" s="286"/>
      <c r="IJ5218" s="286"/>
      <c r="IK5218" s="286"/>
      <c r="IL5218" s="286"/>
      <c r="IM5218" s="286"/>
      <c r="IN5218" s="286"/>
      <c r="IO5218" s="286"/>
      <c r="IP5218" s="286"/>
      <c r="IQ5218" s="286"/>
      <c r="IR5218" s="286"/>
      <c r="IS5218" s="286"/>
      <c r="IT5218" s="286"/>
      <c r="IU5218" s="286"/>
      <c r="IV5218" s="286"/>
      <c r="IW5218" s="286"/>
      <c r="IX5218" s="286"/>
      <c r="IY5218" s="286"/>
      <c r="IZ5218" s="286"/>
      <c r="JA5218" s="286"/>
      <c r="JB5218" s="286"/>
      <c r="JC5218" s="286"/>
      <c r="JD5218" s="286"/>
      <c r="JE5218" s="286"/>
      <c r="JF5218" s="286"/>
      <c r="JG5218" s="286"/>
      <c r="JH5218" s="286"/>
      <c r="JI5218" s="286"/>
      <c r="JJ5218" s="286"/>
      <c r="JK5218" s="286"/>
      <c r="JL5218" s="286"/>
      <c r="JM5218" s="286"/>
      <c r="JN5218" s="286"/>
      <c r="JO5218" s="286"/>
      <c r="JP5218" s="286"/>
      <c r="JQ5218" s="286"/>
      <c r="JR5218" s="286"/>
      <c r="JS5218" s="286"/>
      <c r="JT5218" s="286"/>
      <c r="JU5218" s="174"/>
      <c r="JV5218" s="174"/>
      <c r="JW5218" s="174"/>
    </row>
    <row r="5219" spans="1:283" s="250" customFormat="1" x14ac:dyDescent="0.25">
      <c r="A5219" s="173">
        <v>5218</v>
      </c>
      <c r="B5219" s="175" t="s">
        <v>7067</v>
      </c>
      <c r="C5219" s="278">
        <v>280</v>
      </c>
      <c r="D5219" s="174" t="s">
        <v>5062</v>
      </c>
      <c r="E5219" s="279" t="str">
        <f>G5219</f>
        <v>Welsh et al. 2009_forage-grain compost</v>
      </c>
      <c r="F5219" s="279"/>
      <c r="G5219" s="280" t="s">
        <v>4666</v>
      </c>
      <c r="H5219" s="174">
        <v>2009</v>
      </c>
      <c r="I5219" s="174" t="s">
        <v>5599</v>
      </c>
      <c r="J5219" s="281" t="s">
        <v>282</v>
      </c>
      <c r="K5219" s="282" t="s">
        <v>5063</v>
      </c>
      <c r="L5219" s="174" t="s">
        <v>2738</v>
      </c>
      <c r="M5219" s="283">
        <f>49+39/60</f>
        <v>49.65</v>
      </c>
      <c r="N5219" s="283">
        <f>-97-7/60</f>
        <v>-97.11666666666666</v>
      </c>
      <c r="O5219" s="283">
        <v>232</v>
      </c>
      <c r="P5219" s="174"/>
      <c r="Q5219" s="284">
        <v>2.6</v>
      </c>
      <c r="R5219" s="174"/>
      <c r="S5219" s="285">
        <v>514</v>
      </c>
      <c r="T5219" s="174"/>
      <c r="U5219" s="174" t="s">
        <v>1694</v>
      </c>
      <c r="V5219" s="284">
        <v>13</v>
      </c>
      <c r="W5219" s="174"/>
      <c r="X5219" s="174"/>
      <c r="Y5219" s="174" t="s">
        <v>5879</v>
      </c>
      <c r="Z5219" s="284" t="s">
        <v>1349</v>
      </c>
      <c r="AA5219" s="285">
        <v>15</v>
      </c>
      <c r="AB5219" s="286"/>
      <c r="AC5219" s="286"/>
      <c r="AD5219" s="283"/>
      <c r="AE5219" s="283">
        <v>9</v>
      </c>
      <c r="AF5219" s="283">
        <v>26</v>
      </c>
      <c r="AG5219" s="285">
        <v>66</v>
      </c>
      <c r="AH5219" s="174" t="s">
        <v>769</v>
      </c>
      <c r="AI5219" s="174" t="s">
        <v>5648</v>
      </c>
      <c r="AJ5219" s="283">
        <f>7.7*0.58</f>
        <v>4.4660000000000002</v>
      </c>
      <c r="AK5219" s="283">
        <f>8*0.58</f>
        <v>4.6399999999999997</v>
      </c>
      <c r="AL5219" s="174"/>
      <c r="AM5219" s="174" t="s">
        <v>5880</v>
      </c>
      <c r="AN5219" s="174"/>
      <c r="AO5219" s="185" t="s">
        <v>5150</v>
      </c>
      <c r="AP5219" s="174"/>
      <c r="AQ5219" s="174"/>
      <c r="AR5219" s="174" t="s">
        <v>116</v>
      </c>
      <c r="AS5219" s="287" t="s">
        <v>5133</v>
      </c>
      <c r="AT5219" s="284" t="s">
        <v>5885</v>
      </c>
      <c r="AU5219" s="181" t="s">
        <v>5150</v>
      </c>
      <c r="AV5219" s="173" t="s">
        <v>479</v>
      </c>
      <c r="AW5219" s="284" t="s">
        <v>5885</v>
      </c>
      <c r="AX5219" s="173" t="s">
        <v>479</v>
      </c>
      <c r="AY5219" s="284" t="s">
        <v>176</v>
      </c>
      <c r="AZ5219" s="174"/>
      <c r="BA5219" s="174"/>
      <c r="BB5219" s="174"/>
      <c r="BC5219" s="174"/>
      <c r="BD5219" s="174"/>
      <c r="BE5219" s="174" t="s">
        <v>5228</v>
      </c>
      <c r="BF5219" s="173" t="s">
        <v>479</v>
      </c>
      <c r="BG5219" s="173" t="s">
        <v>479</v>
      </c>
      <c r="BH5219" s="174" t="s">
        <v>5228</v>
      </c>
      <c r="BI5219" s="173" t="s">
        <v>479</v>
      </c>
      <c r="BJ5219" s="174" t="str">
        <f>IF(BE5219=BH5219,"No","yes")</f>
        <v>No</v>
      </c>
      <c r="BK5219" s="174" t="s">
        <v>6334</v>
      </c>
      <c r="BL5219" s="174" t="s">
        <v>5886</v>
      </c>
      <c r="BM5219" s="174"/>
      <c r="BN5219" s="284">
        <v>3</v>
      </c>
      <c r="BO5219" s="284">
        <v>3</v>
      </c>
      <c r="BP5219" s="174"/>
      <c r="BQ5219" s="174"/>
      <c r="BR5219" s="174"/>
      <c r="BS5219" s="174"/>
      <c r="BT5219" s="174"/>
      <c r="BU5219" s="174"/>
      <c r="BV5219" s="174"/>
      <c r="BW5219" s="286"/>
      <c r="BX5219" s="286"/>
      <c r="BY5219" s="286"/>
      <c r="BZ5219" s="286"/>
      <c r="CA5219" s="286"/>
      <c r="CB5219" s="288"/>
      <c r="CC5219" s="288"/>
      <c r="CD5219" s="288"/>
      <c r="CE5219" s="286"/>
      <c r="CF5219" s="286"/>
      <c r="CG5219" s="286"/>
      <c r="CH5219" s="283"/>
      <c r="CI5219" s="283"/>
      <c r="CJ5219" s="286"/>
      <c r="CK5219" s="286"/>
      <c r="CL5219" s="286"/>
      <c r="CM5219" s="289">
        <v>4.71</v>
      </c>
      <c r="CN5219" s="289">
        <v>4.71</v>
      </c>
      <c r="CO5219" s="289">
        <v>0.17</v>
      </c>
      <c r="CP5219" s="289">
        <v>0.52</v>
      </c>
      <c r="CQ5219" s="289" t="s">
        <v>164</v>
      </c>
      <c r="CR5219" s="289">
        <v>79.170758414049232</v>
      </c>
      <c r="CS5219" s="289">
        <v>79.170758414049232</v>
      </c>
      <c r="CT5219" s="289">
        <v>7.9170758414049232</v>
      </c>
      <c r="CU5219" s="289">
        <v>7.9170758414049232</v>
      </c>
      <c r="CV5219" s="289" t="s">
        <v>5151</v>
      </c>
      <c r="CW5219" s="289"/>
      <c r="CX5219" s="289"/>
      <c r="CY5219" s="289"/>
      <c r="CZ5219" s="289"/>
      <c r="DA5219" s="286" t="s">
        <v>5443</v>
      </c>
      <c r="DB5219" s="286">
        <v>14</v>
      </c>
      <c r="DC5219" s="286">
        <v>13.3</v>
      </c>
      <c r="DD5219" s="286">
        <v>1</v>
      </c>
      <c r="DE5219" s="286">
        <v>1.5</v>
      </c>
      <c r="DF5219" s="286" t="s">
        <v>5883</v>
      </c>
      <c r="DG5219" s="286">
        <v>30</v>
      </c>
      <c r="DH5219" s="286">
        <v>11.3</v>
      </c>
      <c r="DI5219" s="286">
        <v>4.5999999999999996</v>
      </c>
      <c r="DJ5219" s="286">
        <v>3.1</v>
      </c>
      <c r="DK5219" s="286" t="s">
        <v>5884</v>
      </c>
      <c r="DL5219" s="286"/>
      <c r="DM5219" s="286"/>
      <c r="DN5219" s="286"/>
      <c r="DO5219" s="286"/>
      <c r="DP5219" s="286"/>
      <c r="DQ5219" s="290">
        <v>6.6</v>
      </c>
      <c r="DR5219" s="290">
        <v>7.1</v>
      </c>
      <c r="DS5219" s="286">
        <v>0.2</v>
      </c>
      <c r="DT5219" s="286">
        <v>0.4</v>
      </c>
      <c r="DU5219" s="286"/>
      <c r="DV5219" s="286"/>
      <c r="DW5219" s="286"/>
      <c r="DX5219" s="286"/>
      <c r="DY5219" s="286"/>
      <c r="DZ5219" s="286"/>
      <c r="EA5219" s="286"/>
      <c r="EB5219" s="286"/>
      <c r="EC5219" s="286"/>
      <c r="ED5219" s="286"/>
      <c r="EE5219" s="286"/>
      <c r="EF5219" s="286"/>
      <c r="EG5219" s="286"/>
      <c r="EH5219" s="286"/>
      <c r="EI5219" s="286"/>
      <c r="EJ5219" s="286"/>
      <c r="EK5219" s="283"/>
      <c r="EL5219" s="283"/>
      <c r="EM5219" s="286"/>
      <c r="EN5219" s="286"/>
      <c r="EO5219" s="286"/>
      <c r="EP5219" s="286"/>
      <c r="EQ5219" s="286"/>
      <c r="ER5219" s="286"/>
      <c r="ES5219" s="286"/>
      <c r="ET5219" s="286"/>
      <c r="EU5219" s="286"/>
      <c r="EV5219" s="286"/>
      <c r="EW5219" s="286"/>
      <c r="EX5219" s="286"/>
      <c r="EY5219" s="286"/>
      <c r="EZ5219" s="286"/>
      <c r="FA5219" s="286"/>
      <c r="FB5219" s="286"/>
      <c r="FC5219" s="286"/>
      <c r="FD5219" s="286"/>
      <c r="FE5219" s="286"/>
      <c r="FF5219" s="286"/>
      <c r="FG5219" s="286"/>
      <c r="FH5219" s="286"/>
      <c r="FI5219" s="286"/>
      <c r="FJ5219" s="286"/>
      <c r="FK5219" s="286"/>
      <c r="FL5219" s="286"/>
      <c r="FM5219" s="286"/>
      <c r="FN5219" s="286"/>
      <c r="FO5219" s="286"/>
      <c r="FP5219" s="286"/>
      <c r="FQ5219" s="286"/>
      <c r="FR5219" s="286"/>
      <c r="FS5219" s="286"/>
      <c r="FT5219" s="286"/>
      <c r="FU5219" s="286"/>
      <c r="FV5219" s="286"/>
      <c r="FW5219" s="286"/>
      <c r="FX5219" s="286"/>
      <c r="FY5219" s="286"/>
      <c r="FZ5219" s="286"/>
      <c r="GA5219" s="286"/>
      <c r="GB5219" s="286"/>
      <c r="GC5219" s="286"/>
      <c r="GD5219" s="286"/>
      <c r="GE5219" s="286"/>
      <c r="GF5219" s="286"/>
      <c r="GG5219" s="286"/>
      <c r="GH5219" s="286"/>
      <c r="GI5219" s="286"/>
      <c r="GJ5219" s="286"/>
      <c r="GK5219" s="286"/>
      <c r="GL5219" s="286"/>
      <c r="GM5219" s="286"/>
      <c r="GN5219" s="292"/>
      <c r="GO5219" s="292"/>
      <c r="GP5219" s="292" t="s">
        <v>7494</v>
      </c>
      <c r="GQ5219" s="286"/>
      <c r="GR5219" s="286"/>
      <c r="GS5219" s="286"/>
      <c r="GT5219" s="286"/>
      <c r="GU5219" s="286"/>
      <c r="GV5219" s="286"/>
      <c r="GW5219" s="286"/>
      <c r="GX5219" s="286"/>
      <c r="GY5219" s="286"/>
      <c r="GZ5219" s="286"/>
      <c r="HA5219" s="286"/>
      <c r="HB5219" s="286"/>
      <c r="HC5219" s="286"/>
      <c r="HD5219" s="286"/>
      <c r="HE5219" s="286"/>
      <c r="HF5219" s="286"/>
      <c r="HG5219" s="286"/>
      <c r="HH5219" s="286"/>
      <c r="HI5219" s="286"/>
      <c r="HJ5219" s="286"/>
      <c r="HK5219" s="286"/>
      <c r="HL5219" s="286"/>
      <c r="HM5219" s="286"/>
      <c r="HN5219" s="286"/>
      <c r="HO5219" s="286"/>
      <c r="HP5219" s="286"/>
      <c r="HQ5219" s="286"/>
      <c r="HR5219" s="286"/>
      <c r="HS5219" s="286"/>
      <c r="HT5219" s="286"/>
      <c r="HU5219" s="286"/>
      <c r="HV5219" s="286"/>
      <c r="HW5219" s="286"/>
      <c r="HX5219" s="286"/>
      <c r="HY5219" s="286"/>
      <c r="HZ5219" s="286"/>
      <c r="IA5219" s="286"/>
      <c r="IB5219" s="286"/>
      <c r="IC5219" s="286"/>
      <c r="ID5219" s="286"/>
      <c r="IE5219" s="286"/>
      <c r="IF5219" s="286"/>
      <c r="IG5219" s="286"/>
      <c r="IH5219" s="286"/>
      <c r="II5219" s="286"/>
      <c r="IJ5219" s="286"/>
      <c r="IK5219" s="286"/>
      <c r="IL5219" s="286"/>
      <c r="IM5219" s="286"/>
      <c r="IN5219" s="286"/>
      <c r="IO5219" s="286"/>
      <c r="IP5219" s="286"/>
      <c r="IQ5219" s="286"/>
      <c r="IR5219" s="286"/>
      <c r="IS5219" s="286"/>
      <c r="IT5219" s="286"/>
      <c r="IU5219" s="286"/>
      <c r="IV5219" s="286"/>
      <c r="IW5219" s="286"/>
      <c r="IX5219" s="286"/>
      <c r="IY5219" s="286"/>
      <c r="IZ5219" s="286"/>
      <c r="JA5219" s="286"/>
      <c r="JB5219" s="286"/>
      <c r="JC5219" s="286"/>
      <c r="JD5219" s="286"/>
      <c r="JE5219" s="286"/>
      <c r="JF5219" s="286"/>
      <c r="JG5219" s="286"/>
      <c r="JH5219" s="286"/>
      <c r="JI5219" s="286"/>
      <c r="JJ5219" s="286"/>
      <c r="JK5219" s="286"/>
      <c r="JL5219" s="286"/>
      <c r="JM5219" s="286"/>
      <c r="JN5219" s="286"/>
      <c r="JO5219" s="286"/>
      <c r="JP5219" s="286"/>
      <c r="JQ5219" s="286"/>
      <c r="JR5219" s="286"/>
      <c r="JS5219" s="286"/>
      <c r="JT5219" s="286"/>
      <c r="JU5219" s="174"/>
      <c r="JV5219" s="174"/>
      <c r="JW5219" s="174"/>
    </row>
    <row r="5220" spans="1:283" s="250" customFormat="1" x14ac:dyDescent="0.25">
      <c r="A5220" s="173">
        <v>5219</v>
      </c>
      <c r="B5220" s="175" t="s">
        <v>7067</v>
      </c>
      <c r="C5220" s="278">
        <v>280</v>
      </c>
      <c r="D5220" s="174" t="s">
        <v>5061</v>
      </c>
      <c r="E5220" s="279" t="str">
        <f>G5220</f>
        <v>Welsh et al. 2009_grain only</v>
      </c>
      <c r="F5220" s="279"/>
      <c r="G5220" s="280" t="s">
        <v>4667</v>
      </c>
      <c r="H5220" s="174">
        <v>2009</v>
      </c>
      <c r="I5220" s="174" t="s">
        <v>5626</v>
      </c>
      <c r="J5220" s="281" t="s">
        <v>282</v>
      </c>
      <c r="K5220" s="282" t="s">
        <v>5063</v>
      </c>
      <c r="L5220" s="174" t="s">
        <v>2738</v>
      </c>
      <c r="M5220" s="283">
        <f>49+39/60</f>
        <v>49.65</v>
      </c>
      <c r="N5220" s="283">
        <f>-97-7/60</f>
        <v>-97.11666666666666</v>
      </c>
      <c r="O5220" s="283">
        <v>232</v>
      </c>
      <c r="P5220" s="174"/>
      <c r="Q5220" s="284">
        <v>2.6</v>
      </c>
      <c r="R5220" s="174"/>
      <c r="S5220" s="285">
        <v>514</v>
      </c>
      <c r="T5220" s="174"/>
      <c r="U5220" s="284" t="s">
        <v>1682</v>
      </c>
      <c r="V5220" s="284">
        <v>13</v>
      </c>
      <c r="W5220" s="174"/>
      <c r="X5220" s="174"/>
      <c r="Y5220" s="174" t="s">
        <v>5879</v>
      </c>
      <c r="Z5220" s="284" t="s">
        <v>1349</v>
      </c>
      <c r="AA5220" s="285">
        <v>15</v>
      </c>
      <c r="AB5220" s="286"/>
      <c r="AC5220" s="286"/>
      <c r="AD5220" s="283"/>
      <c r="AE5220" s="283">
        <v>9</v>
      </c>
      <c r="AF5220" s="283">
        <v>26</v>
      </c>
      <c r="AG5220" s="285">
        <v>66</v>
      </c>
      <c r="AH5220" s="174" t="s">
        <v>769</v>
      </c>
      <c r="AI5220" s="174" t="s">
        <v>1676</v>
      </c>
      <c r="AJ5220" s="283">
        <f>7.7*0.58</f>
        <v>4.4660000000000002</v>
      </c>
      <c r="AK5220" s="283">
        <f>8*0.58</f>
        <v>4.6399999999999997</v>
      </c>
      <c r="AL5220" s="174"/>
      <c r="AM5220" s="174" t="s">
        <v>5880</v>
      </c>
      <c r="AN5220" s="174"/>
      <c r="AO5220" s="185" t="s">
        <v>5150</v>
      </c>
      <c r="AP5220" s="174"/>
      <c r="AQ5220" s="174"/>
      <c r="AR5220" s="174" t="s">
        <v>116</v>
      </c>
      <c r="AS5220" s="287" t="s">
        <v>5133</v>
      </c>
      <c r="AT5220" s="284" t="s">
        <v>5885</v>
      </c>
      <c r="AU5220" s="181" t="s">
        <v>5150</v>
      </c>
      <c r="AV5220" s="173" t="s">
        <v>479</v>
      </c>
      <c r="AW5220" s="284" t="s">
        <v>5885</v>
      </c>
      <c r="AX5220" s="173" t="s">
        <v>479</v>
      </c>
      <c r="AY5220" s="284" t="s">
        <v>176</v>
      </c>
      <c r="AZ5220" s="174"/>
      <c r="BA5220" s="174"/>
      <c r="BB5220" s="174"/>
      <c r="BC5220" s="174"/>
      <c r="BD5220" s="174"/>
      <c r="BE5220" s="174" t="s">
        <v>5227</v>
      </c>
      <c r="BF5220" s="173"/>
      <c r="BG5220" s="173" t="s">
        <v>479</v>
      </c>
      <c r="BH5220" s="174" t="s">
        <v>5153</v>
      </c>
      <c r="BI5220" s="173" t="s">
        <v>176</v>
      </c>
      <c r="BJ5220" s="174" t="str">
        <f>IF(BE5220=BH5220,"No","yes")</f>
        <v>yes</v>
      </c>
      <c r="BK5220" s="174" t="s">
        <v>6334</v>
      </c>
      <c r="BL5220" s="174" t="s">
        <v>5886</v>
      </c>
      <c r="BM5220" s="174"/>
      <c r="BN5220" s="284">
        <v>3</v>
      </c>
      <c r="BO5220" s="284">
        <v>3</v>
      </c>
      <c r="BP5220" s="174"/>
      <c r="BQ5220" s="174"/>
      <c r="BR5220" s="174"/>
      <c r="BS5220" s="174"/>
      <c r="BT5220" s="174"/>
      <c r="BU5220" s="174"/>
      <c r="BV5220" s="174"/>
      <c r="BW5220" s="286"/>
      <c r="BX5220" s="286"/>
      <c r="BY5220" s="286"/>
      <c r="BZ5220" s="286"/>
      <c r="CA5220" s="286"/>
      <c r="CB5220" s="288">
        <v>1877</v>
      </c>
      <c r="CC5220" s="288">
        <v>961</v>
      </c>
      <c r="CD5220" s="288"/>
      <c r="CE5220" s="286">
        <v>247</v>
      </c>
      <c r="CF5220" s="286">
        <v>123</v>
      </c>
      <c r="CG5220" s="286"/>
      <c r="CH5220" s="283"/>
      <c r="CI5220" s="283"/>
      <c r="CJ5220" s="286"/>
      <c r="CK5220" s="286"/>
      <c r="CL5220" s="286"/>
      <c r="CM5220" s="289"/>
      <c r="CN5220" s="289"/>
      <c r="CO5220" s="289"/>
      <c r="CP5220" s="289"/>
      <c r="CQ5220" s="289"/>
      <c r="CR5220" s="289"/>
      <c r="CS5220" s="289"/>
      <c r="CT5220" s="289"/>
      <c r="CU5220" s="289"/>
      <c r="CV5220" s="289"/>
      <c r="CW5220" s="289"/>
      <c r="CX5220" s="289"/>
      <c r="CY5220" s="289"/>
      <c r="CZ5220" s="289"/>
      <c r="DA5220" s="286"/>
      <c r="DB5220" s="286"/>
      <c r="DC5220" s="286"/>
      <c r="DD5220" s="286"/>
      <c r="DE5220" s="286"/>
      <c r="DF5220" s="286"/>
      <c r="DG5220" s="286"/>
      <c r="DH5220" s="286"/>
      <c r="DI5220" s="286"/>
      <c r="DJ5220" s="286"/>
      <c r="DK5220" s="286"/>
      <c r="DL5220" s="286"/>
      <c r="DM5220" s="286"/>
      <c r="DN5220" s="286"/>
      <c r="DO5220" s="286"/>
      <c r="DP5220" s="286"/>
      <c r="DQ5220" s="290"/>
      <c r="DR5220" s="290"/>
      <c r="DS5220" s="286"/>
      <c r="DT5220" s="286"/>
      <c r="DU5220" s="286"/>
      <c r="DV5220" s="286"/>
      <c r="DW5220" s="286"/>
      <c r="DX5220" s="286"/>
      <c r="DY5220" s="286"/>
      <c r="DZ5220" s="286"/>
      <c r="EA5220" s="286"/>
      <c r="EB5220" s="286"/>
      <c r="EC5220" s="286"/>
      <c r="ED5220" s="286"/>
      <c r="EE5220" s="286"/>
      <c r="EF5220" s="286"/>
      <c r="EG5220" s="286"/>
      <c r="EH5220" s="286"/>
      <c r="EI5220" s="286"/>
      <c r="EJ5220" s="286"/>
      <c r="EK5220" s="283"/>
      <c r="EL5220" s="283"/>
      <c r="EM5220" s="286"/>
      <c r="EN5220" s="286"/>
      <c r="EO5220" s="286"/>
      <c r="EP5220" s="286"/>
      <c r="EQ5220" s="286"/>
      <c r="ER5220" s="286"/>
      <c r="ES5220" s="286"/>
      <c r="ET5220" s="286"/>
      <c r="EU5220" s="286"/>
      <c r="EV5220" s="286"/>
      <c r="EW5220" s="286"/>
      <c r="EX5220" s="286"/>
      <c r="EY5220" s="286"/>
      <c r="EZ5220" s="286"/>
      <c r="FA5220" s="286"/>
      <c r="FB5220" s="286"/>
      <c r="FC5220" s="286"/>
      <c r="FD5220" s="286"/>
      <c r="FE5220" s="286"/>
      <c r="FF5220" s="286"/>
      <c r="FG5220" s="286"/>
      <c r="FH5220" s="286"/>
      <c r="FI5220" s="286"/>
      <c r="FJ5220" s="286"/>
      <c r="FK5220" s="286"/>
      <c r="FL5220" s="286"/>
      <c r="FM5220" s="286"/>
      <c r="FN5220" s="286"/>
      <c r="FO5220" s="286"/>
      <c r="FP5220" s="286"/>
      <c r="FQ5220" s="286"/>
      <c r="FR5220" s="286"/>
      <c r="FS5220" s="286"/>
      <c r="FT5220" s="286"/>
      <c r="FU5220" s="286"/>
      <c r="FV5220" s="286"/>
      <c r="FW5220" s="286"/>
      <c r="FX5220" s="286"/>
      <c r="FY5220" s="286"/>
      <c r="FZ5220" s="286"/>
      <c r="GA5220" s="286"/>
      <c r="GB5220" s="286"/>
      <c r="GC5220" s="286"/>
      <c r="GD5220" s="286"/>
      <c r="GE5220" s="286"/>
      <c r="GF5220" s="286"/>
      <c r="GG5220" s="286"/>
      <c r="GH5220" s="286"/>
      <c r="GI5220" s="286"/>
      <c r="GJ5220" s="286"/>
      <c r="GK5220" s="286"/>
      <c r="GL5220" s="286"/>
      <c r="GM5220" s="286"/>
      <c r="GN5220" s="292"/>
      <c r="GO5220" s="292"/>
      <c r="GP5220" s="292" t="s">
        <v>7494</v>
      </c>
      <c r="GQ5220" s="286"/>
      <c r="GR5220" s="286"/>
      <c r="GS5220" s="286"/>
      <c r="GT5220" s="286"/>
      <c r="GU5220" s="286"/>
      <c r="GV5220" s="286"/>
      <c r="GW5220" s="286"/>
      <c r="GX5220" s="286"/>
      <c r="GY5220" s="286"/>
      <c r="GZ5220" s="286"/>
      <c r="HA5220" s="286"/>
      <c r="HB5220" s="286"/>
      <c r="HC5220" s="286"/>
      <c r="HD5220" s="286"/>
      <c r="HE5220" s="286"/>
      <c r="HF5220" s="286"/>
      <c r="HG5220" s="286"/>
      <c r="HH5220" s="286"/>
      <c r="HI5220" s="286"/>
      <c r="HJ5220" s="286"/>
      <c r="HK5220" s="286"/>
      <c r="HL5220" s="286"/>
      <c r="HM5220" s="286"/>
      <c r="HN5220" s="286"/>
      <c r="HO5220" s="286"/>
      <c r="HP5220" s="286"/>
      <c r="HQ5220" s="286"/>
      <c r="HR5220" s="286"/>
      <c r="HS5220" s="286"/>
      <c r="HT5220" s="286"/>
      <c r="HU5220" s="286"/>
      <c r="HV5220" s="286"/>
      <c r="HW5220" s="286"/>
      <c r="HX5220" s="286"/>
      <c r="HY5220" s="286"/>
      <c r="HZ5220" s="286"/>
      <c r="IA5220" s="286"/>
      <c r="IB5220" s="286"/>
      <c r="IC5220" s="286"/>
      <c r="ID5220" s="286"/>
      <c r="IE5220" s="286"/>
      <c r="IF5220" s="286"/>
      <c r="IG5220" s="286"/>
      <c r="IH5220" s="286"/>
      <c r="II5220" s="286"/>
      <c r="IJ5220" s="286"/>
      <c r="IK5220" s="286"/>
      <c r="IL5220" s="286"/>
      <c r="IM5220" s="286"/>
      <c r="IN5220" s="286"/>
      <c r="IO5220" s="286"/>
      <c r="IP5220" s="286"/>
      <c r="IQ5220" s="286"/>
      <c r="IR5220" s="286"/>
      <c r="IS5220" s="286"/>
      <c r="IT5220" s="286"/>
      <c r="IU5220" s="286"/>
      <c r="IV5220" s="286"/>
      <c r="IW5220" s="286"/>
      <c r="IX5220" s="286"/>
      <c r="IY5220" s="286"/>
      <c r="IZ5220" s="286"/>
      <c r="JA5220" s="286"/>
      <c r="JB5220" s="286"/>
      <c r="JC5220" s="286"/>
      <c r="JD5220" s="286"/>
      <c r="JE5220" s="286"/>
      <c r="JF5220" s="286"/>
      <c r="JG5220" s="286"/>
      <c r="JH5220" s="286"/>
      <c r="JI5220" s="286"/>
      <c r="JJ5220" s="286"/>
      <c r="JK5220" s="286"/>
      <c r="JL5220" s="286"/>
      <c r="JM5220" s="286"/>
      <c r="JN5220" s="286"/>
      <c r="JO5220" s="286"/>
      <c r="JP5220" s="286"/>
      <c r="JQ5220" s="286"/>
      <c r="JR5220" s="286"/>
      <c r="JS5220" s="286"/>
      <c r="JT5220" s="286"/>
      <c r="JU5220" s="174"/>
      <c r="JV5220" s="174"/>
      <c r="JW5220" s="174"/>
    </row>
    <row r="5221" spans="1:283" s="250" customFormat="1" x14ac:dyDescent="0.25">
      <c r="A5221" s="173">
        <v>5220</v>
      </c>
      <c r="B5221" s="175" t="s">
        <v>7067</v>
      </c>
      <c r="C5221" s="278">
        <v>280</v>
      </c>
      <c r="D5221" s="174" t="s">
        <v>5060</v>
      </c>
      <c r="E5221" s="279" t="str">
        <f>G5221</f>
        <v>Welsh et al. 2009_forage-grain</v>
      </c>
      <c r="F5221" s="279"/>
      <c r="G5221" s="280" t="s">
        <v>4668</v>
      </c>
      <c r="H5221" s="174">
        <v>2009</v>
      </c>
      <c r="I5221" s="174" t="s">
        <v>5626</v>
      </c>
      <c r="J5221" s="281" t="s">
        <v>282</v>
      </c>
      <c r="K5221" s="282" t="s">
        <v>5063</v>
      </c>
      <c r="L5221" s="174" t="s">
        <v>2738</v>
      </c>
      <c r="M5221" s="283">
        <f>49+39/60</f>
        <v>49.65</v>
      </c>
      <c r="N5221" s="283">
        <f>-97-7/60</f>
        <v>-97.11666666666666</v>
      </c>
      <c r="O5221" s="283">
        <v>232</v>
      </c>
      <c r="P5221" s="174"/>
      <c r="Q5221" s="284">
        <v>2.6</v>
      </c>
      <c r="R5221" s="174"/>
      <c r="S5221" s="285">
        <v>514</v>
      </c>
      <c r="T5221" s="174"/>
      <c r="U5221" s="284" t="s">
        <v>1682</v>
      </c>
      <c r="V5221" s="284">
        <v>13</v>
      </c>
      <c r="W5221" s="174"/>
      <c r="X5221" s="174"/>
      <c r="Y5221" s="174" t="s">
        <v>5879</v>
      </c>
      <c r="Z5221" s="284" t="s">
        <v>1349</v>
      </c>
      <c r="AA5221" s="285">
        <v>15</v>
      </c>
      <c r="AB5221" s="286"/>
      <c r="AC5221" s="286"/>
      <c r="AD5221" s="283"/>
      <c r="AE5221" s="283">
        <v>9</v>
      </c>
      <c r="AF5221" s="283">
        <v>26</v>
      </c>
      <c r="AG5221" s="285">
        <v>66</v>
      </c>
      <c r="AH5221" s="174" t="s">
        <v>769</v>
      </c>
      <c r="AI5221" s="174" t="s">
        <v>5882</v>
      </c>
      <c r="AJ5221" s="283">
        <f>7.7*0.58</f>
        <v>4.4660000000000002</v>
      </c>
      <c r="AK5221" s="283">
        <f>8*0.58</f>
        <v>4.6399999999999997</v>
      </c>
      <c r="AL5221" s="174"/>
      <c r="AM5221" s="174" t="s">
        <v>5880</v>
      </c>
      <c r="AN5221" s="174"/>
      <c r="AO5221" s="185" t="s">
        <v>5150</v>
      </c>
      <c r="AP5221" s="174"/>
      <c r="AQ5221" s="174"/>
      <c r="AR5221" s="174" t="s">
        <v>116</v>
      </c>
      <c r="AS5221" s="287" t="s">
        <v>5133</v>
      </c>
      <c r="AT5221" s="284" t="s">
        <v>5885</v>
      </c>
      <c r="AU5221" s="181" t="s">
        <v>5150</v>
      </c>
      <c r="AV5221" s="173" t="s">
        <v>479</v>
      </c>
      <c r="AW5221" s="284" t="s">
        <v>5885</v>
      </c>
      <c r="AX5221" s="173" t="s">
        <v>479</v>
      </c>
      <c r="AY5221" s="284" t="s">
        <v>176</v>
      </c>
      <c r="AZ5221" s="174"/>
      <c r="BA5221" s="174"/>
      <c r="BB5221" s="174"/>
      <c r="BC5221" s="174"/>
      <c r="BD5221" s="174"/>
      <c r="BE5221" s="174" t="s">
        <v>5153</v>
      </c>
      <c r="BF5221" s="173" t="s">
        <v>176</v>
      </c>
      <c r="BG5221" s="173" t="s">
        <v>176</v>
      </c>
      <c r="BH5221" s="174" t="s">
        <v>5153</v>
      </c>
      <c r="BI5221" s="173" t="s">
        <v>176</v>
      </c>
      <c r="BJ5221" s="174" t="str">
        <f>IF(BE5221=BH5221,"No","yes")</f>
        <v>No</v>
      </c>
      <c r="BK5221" s="174" t="s">
        <v>6334</v>
      </c>
      <c r="BL5221" s="174" t="s">
        <v>5886</v>
      </c>
      <c r="BM5221" s="174"/>
      <c r="BN5221" s="284">
        <v>3</v>
      </c>
      <c r="BO5221" s="284">
        <v>3</v>
      </c>
      <c r="BP5221" s="174"/>
      <c r="BQ5221" s="174"/>
      <c r="BR5221" s="174"/>
      <c r="BS5221" s="174"/>
      <c r="BT5221" s="174"/>
      <c r="BU5221" s="174"/>
      <c r="BV5221" s="174"/>
      <c r="BW5221" s="286"/>
      <c r="BX5221" s="286"/>
      <c r="BY5221" s="286"/>
      <c r="BZ5221" s="286"/>
      <c r="CA5221" s="286"/>
      <c r="CB5221" s="288">
        <v>1712</v>
      </c>
      <c r="CC5221" s="288">
        <v>1373</v>
      </c>
      <c r="CD5221" s="288"/>
      <c r="CE5221" s="286">
        <v>59</v>
      </c>
      <c r="CF5221" s="286">
        <v>112</v>
      </c>
      <c r="CG5221" s="286"/>
      <c r="CH5221" s="283"/>
      <c r="CI5221" s="283"/>
      <c r="CJ5221" s="286"/>
      <c r="CK5221" s="286"/>
      <c r="CL5221" s="286"/>
      <c r="CM5221" s="289"/>
      <c r="CN5221" s="289"/>
      <c r="CO5221" s="289"/>
      <c r="CP5221" s="289"/>
      <c r="CQ5221" s="289"/>
      <c r="CR5221" s="289"/>
      <c r="CS5221" s="289"/>
      <c r="CT5221" s="289"/>
      <c r="CU5221" s="289"/>
      <c r="CV5221" s="289"/>
      <c r="CW5221" s="289"/>
      <c r="CX5221" s="289"/>
      <c r="CY5221" s="289"/>
      <c r="CZ5221" s="289"/>
      <c r="DA5221" s="286"/>
      <c r="DB5221" s="286"/>
      <c r="DC5221" s="286"/>
      <c r="DD5221" s="286"/>
      <c r="DE5221" s="286"/>
      <c r="DF5221" s="286"/>
      <c r="DG5221" s="286"/>
      <c r="DH5221" s="286"/>
      <c r="DI5221" s="286"/>
      <c r="DJ5221" s="286"/>
      <c r="DK5221" s="286"/>
      <c r="DL5221" s="286"/>
      <c r="DM5221" s="286"/>
      <c r="DN5221" s="286"/>
      <c r="DO5221" s="286"/>
      <c r="DP5221" s="286"/>
      <c r="DQ5221" s="290"/>
      <c r="DR5221" s="290"/>
      <c r="DS5221" s="286"/>
      <c r="DT5221" s="286"/>
      <c r="DU5221" s="286"/>
      <c r="DV5221" s="286"/>
      <c r="DW5221" s="286"/>
      <c r="DX5221" s="286"/>
      <c r="DY5221" s="286"/>
      <c r="DZ5221" s="286"/>
      <c r="EA5221" s="286"/>
      <c r="EB5221" s="286"/>
      <c r="EC5221" s="286"/>
      <c r="ED5221" s="286"/>
      <c r="EE5221" s="286"/>
      <c r="EF5221" s="286"/>
      <c r="EG5221" s="286"/>
      <c r="EH5221" s="286"/>
      <c r="EI5221" s="286"/>
      <c r="EJ5221" s="286"/>
      <c r="EK5221" s="283"/>
      <c r="EL5221" s="283"/>
      <c r="EM5221" s="286"/>
      <c r="EN5221" s="286"/>
      <c r="EO5221" s="286"/>
      <c r="EP5221" s="286"/>
      <c r="EQ5221" s="286"/>
      <c r="ER5221" s="286"/>
      <c r="ES5221" s="286"/>
      <c r="ET5221" s="286"/>
      <c r="EU5221" s="286"/>
      <c r="EV5221" s="286"/>
      <c r="EW5221" s="286"/>
      <c r="EX5221" s="286"/>
      <c r="EY5221" s="286"/>
      <c r="EZ5221" s="286"/>
      <c r="FA5221" s="286"/>
      <c r="FB5221" s="286"/>
      <c r="FC5221" s="286"/>
      <c r="FD5221" s="286"/>
      <c r="FE5221" s="286"/>
      <c r="FF5221" s="286"/>
      <c r="FG5221" s="286"/>
      <c r="FH5221" s="286"/>
      <c r="FI5221" s="286"/>
      <c r="FJ5221" s="286"/>
      <c r="FK5221" s="286"/>
      <c r="FL5221" s="286"/>
      <c r="FM5221" s="286"/>
      <c r="FN5221" s="286"/>
      <c r="FO5221" s="286"/>
      <c r="FP5221" s="286"/>
      <c r="FQ5221" s="286"/>
      <c r="FR5221" s="286"/>
      <c r="FS5221" s="286"/>
      <c r="FT5221" s="286"/>
      <c r="FU5221" s="286"/>
      <c r="FV5221" s="286"/>
      <c r="FW5221" s="286"/>
      <c r="FX5221" s="286"/>
      <c r="FY5221" s="286"/>
      <c r="FZ5221" s="286"/>
      <c r="GA5221" s="286"/>
      <c r="GB5221" s="286"/>
      <c r="GC5221" s="286"/>
      <c r="GD5221" s="286"/>
      <c r="GE5221" s="286"/>
      <c r="GF5221" s="286"/>
      <c r="GG5221" s="286"/>
      <c r="GH5221" s="286"/>
      <c r="GI5221" s="286"/>
      <c r="GJ5221" s="286"/>
      <c r="GK5221" s="286"/>
      <c r="GL5221" s="286"/>
      <c r="GM5221" s="286"/>
      <c r="GN5221" s="292"/>
      <c r="GO5221" s="292"/>
      <c r="GP5221" s="292" t="s">
        <v>7494</v>
      </c>
      <c r="GQ5221" s="286"/>
      <c r="GR5221" s="286"/>
      <c r="GS5221" s="286"/>
      <c r="GT5221" s="286"/>
      <c r="GU5221" s="286"/>
      <c r="GV5221" s="286"/>
      <c r="GW5221" s="286"/>
      <c r="GX5221" s="286"/>
      <c r="GY5221" s="286"/>
      <c r="GZ5221" s="286"/>
      <c r="HA5221" s="286"/>
      <c r="HB5221" s="286"/>
      <c r="HC5221" s="286"/>
      <c r="HD5221" s="286"/>
      <c r="HE5221" s="286"/>
      <c r="HF5221" s="286"/>
      <c r="HG5221" s="286"/>
      <c r="HH5221" s="286"/>
      <c r="HI5221" s="286"/>
      <c r="HJ5221" s="286"/>
      <c r="HK5221" s="286"/>
      <c r="HL5221" s="286"/>
      <c r="HM5221" s="286"/>
      <c r="HN5221" s="286"/>
      <c r="HO5221" s="286"/>
      <c r="HP5221" s="286"/>
      <c r="HQ5221" s="286"/>
      <c r="HR5221" s="286"/>
      <c r="HS5221" s="286"/>
      <c r="HT5221" s="286"/>
      <c r="HU5221" s="286"/>
      <c r="HV5221" s="286"/>
      <c r="HW5221" s="286"/>
      <c r="HX5221" s="286"/>
      <c r="HY5221" s="286"/>
      <c r="HZ5221" s="286"/>
      <c r="IA5221" s="286"/>
      <c r="IB5221" s="286"/>
      <c r="IC5221" s="286"/>
      <c r="ID5221" s="286"/>
      <c r="IE5221" s="286"/>
      <c r="IF5221" s="286"/>
      <c r="IG5221" s="286"/>
      <c r="IH5221" s="286"/>
      <c r="II5221" s="286"/>
      <c r="IJ5221" s="286"/>
      <c r="IK5221" s="286"/>
      <c r="IL5221" s="286"/>
      <c r="IM5221" s="286"/>
      <c r="IN5221" s="286"/>
      <c r="IO5221" s="286"/>
      <c r="IP5221" s="286"/>
      <c r="IQ5221" s="286"/>
      <c r="IR5221" s="286"/>
      <c r="IS5221" s="286"/>
      <c r="IT5221" s="286"/>
      <c r="IU5221" s="286"/>
      <c r="IV5221" s="286"/>
      <c r="IW5221" s="286"/>
      <c r="IX5221" s="286"/>
      <c r="IY5221" s="286"/>
      <c r="IZ5221" s="286"/>
      <c r="JA5221" s="286"/>
      <c r="JB5221" s="286"/>
      <c r="JC5221" s="286"/>
      <c r="JD5221" s="286"/>
      <c r="JE5221" s="286"/>
      <c r="JF5221" s="286"/>
      <c r="JG5221" s="286"/>
      <c r="JH5221" s="286"/>
      <c r="JI5221" s="286"/>
      <c r="JJ5221" s="286"/>
      <c r="JK5221" s="286"/>
      <c r="JL5221" s="286"/>
      <c r="JM5221" s="286"/>
      <c r="JN5221" s="286"/>
      <c r="JO5221" s="286"/>
      <c r="JP5221" s="286"/>
      <c r="JQ5221" s="286"/>
      <c r="JR5221" s="286"/>
      <c r="JS5221" s="286"/>
      <c r="JT5221" s="286"/>
      <c r="JU5221" s="174"/>
      <c r="JV5221" s="174"/>
      <c r="JW5221" s="174"/>
    </row>
    <row r="5222" spans="1:283" s="250" customFormat="1" x14ac:dyDescent="0.25">
      <c r="A5222" s="173">
        <v>5221</v>
      </c>
      <c r="B5222" s="175" t="s">
        <v>7067</v>
      </c>
      <c r="C5222" s="278">
        <v>280</v>
      </c>
      <c r="D5222" s="174" t="s">
        <v>5061</v>
      </c>
      <c r="E5222" s="279" t="str">
        <f>G5222</f>
        <v>Welsh et al. 2009_grain only</v>
      </c>
      <c r="F5222" s="279"/>
      <c r="G5222" s="280" t="s">
        <v>4667</v>
      </c>
      <c r="H5222" s="174">
        <v>2009</v>
      </c>
      <c r="I5222" s="174" t="s">
        <v>3181</v>
      </c>
      <c r="J5222" s="281" t="s">
        <v>282</v>
      </c>
      <c r="K5222" s="282" t="s">
        <v>5063</v>
      </c>
      <c r="L5222" s="174" t="s">
        <v>2738</v>
      </c>
      <c r="M5222" s="283">
        <f>49+39/60</f>
        <v>49.65</v>
      </c>
      <c r="N5222" s="283">
        <f>-97-7/60</f>
        <v>-97.11666666666666</v>
      </c>
      <c r="O5222" s="283">
        <v>232</v>
      </c>
      <c r="P5222" s="174"/>
      <c r="Q5222" s="284">
        <v>2.6</v>
      </c>
      <c r="R5222" s="174"/>
      <c r="S5222" s="285">
        <v>514</v>
      </c>
      <c r="T5222" s="174"/>
      <c r="U5222" s="284" t="s">
        <v>1801</v>
      </c>
      <c r="V5222" s="284">
        <v>13</v>
      </c>
      <c r="W5222" s="174"/>
      <c r="X5222" s="174"/>
      <c r="Y5222" s="174" t="s">
        <v>5879</v>
      </c>
      <c r="Z5222" s="284" t="s">
        <v>1349</v>
      </c>
      <c r="AA5222" s="285">
        <v>15</v>
      </c>
      <c r="AB5222" s="286"/>
      <c r="AC5222" s="286"/>
      <c r="AD5222" s="283"/>
      <c r="AE5222" s="283">
        <v>9</v>
      </c>
      <c r="AF5222" s="283">
        <v>26</v>
      </c>
      <c r="AG5222" s="285">
        <v>66</v>
      </c>
      <c r="AH5222" s="174" t="s">
        <v>769</v>
      </c>
      <c r="AI5222" s="174" t="s">
        <v>1676</v>
      </c>
      <c r="AJ5222" s="283">
        <f>7.7*0.58</f>
        <v>4.4660000000000002</v>
      </c>
      <c r="AK5222" s="283">
        <f>8*0.58</f>
        <v>4.6399999999999997</v>
      </c>
      <c r="AL5222" s="174"/>
      <c r="AM5222" s="174" t="s">
        <v>5880</v>
      </c>
      <c r="AN5222" s="174"/>
      <c r="AO5222" s="185" t="s">
        <v>5150</v>
      </c>
      <c r="AP5222" s="174"/>
      <c r="AQ5222" s="174"/>
      <c r="AR5222" s="174" t="s">
        <v>116</v>
      </c>
      <c r="AS5222" s="287" t="s">
        <v>5133</v>
      </c>
      <c r="AT5222" s="284" t="s">
        <v>5885</v>
      </c>
      <c r="AU5222" s="181" t="s">
        <v>5150</v>
      </c>
      <c r="AV5222" s="173" t="s">
        <v>479</v>
      </c>
      <c r="AW5222" s="284" t="s">
        <v>5885</v>
      </c>
      <c r="AX5222" s="173" t="s">
        <v>479</v>
      </c>
      <c r="AY5222" s="284" t="s">
        <v>176</v>
      </c>
      <c r="AZ5222" s="174"/>
      <c r="BA5222" s="174"/>
      <c r="BB5222" s="174"/>
      <c r="BC5222" s="174"/>
      <c r="BD5222" s="174"/>
      <c r="BE5222" s="174" t="s">
        <v>5227</v>
      </c>
      <c r="BF5222" s="173"/>
      <c r="BG5222" s="173" t="s">
        <v>479</v>
      </c>
      <c r="BH5222" s="174" t="s">
        <v>5153</v>
      </c>
      <c r="BI5222" s="173" t="s">
        <v>479</v>
      </c>
      <c r="BJ5222" s="174" t="str">
        <f>IF(BE5222=BH5222,"No","yes")</f>
        <v>yes</v>
      </c>
      <c r="BK5222" s="174" t="s">
        <v>6334</v>
      </c>
      <c r="BL5222" s="174" t="s">
        <v>5886</v>
      </c>
      <c r="BM5222" s="174"/>
      <c r="BN5222" s="284">
        <v>3</v>
      </c>
      <c r="BO5222" s="284">
        <v>3</v>
      </c>
      <c r="BP5222" s="174"/>
      <c r="BQ5222" s="174"/>
      <c r="BR5222" s="174"/>
      <c r="BS5222" s="174"/>
      <c r="BT5222" s="174"/>
      <c r="BU5222" s="174"/>
      <c r="BV5222" s="174"/>
      <c r="BW5222" s="286"/>
      <c r="BX5222" s="286"/>
      <c r="BY5222" s="286"/>
      <c r="BZ5222" s="286"/>
      <c r="CA5222" s="286"/>
      <c r="CB5222" s="288">
        <v>3276</v>
      </c>
      <c r="CC5222" s="288">
        <v>1122</v>
      </c>
      <c r="CD5222" s="288"/>
      <c r="CE5222" s="286">
        <v>313</v>
      </c>
      <c r="CF5222" s="286">
        <v>277</v>
      </c>
      <c r="CG5222" s="286"/>
      <c r="CH5222" s="283"/>
      <c r="CI5222" s="283"/>
      <c r="CJ5222" s="286"/>
      <c r="CK5222" s="286"/>
      <c r="CL5222" s="286"/>
      <c r="CM5222" s="289"/>
      <c r="CN5222" s="289"/>
      <c r="CO5222" s="289"/>
      <c r="CP5222" s="289"/>
      <c r="CQ5222" s="289"/>
      <c r="CR5222" s="289"/>
      <c r="CS5222" s="289"/>
      <c r="CT5222" s="289"/>
      <c r="CU5222" s="289"/>
      <c r="CV5222" s="289"/>
      <c r="CW5222" s="289"/>
      <c r="CX5222" s="289"/>
      <c r="CY5222" s="289"/>
      <c r="CZ5222" s="289"/>
      <c r="DA5222" s="286"/>
      <c r="DB5222" s="286"/>
      <c r="DC5222" s="286"/>
      <c r="DD5222" s="286"/>
      <c r="DE5222" s="286"/>
      <c r="DF5222" s="286"/>
      <c r="DG5222" s="286"/>
      <c r="DH5222" s="286"/>
      <c r="DI5222" s="286"/>
      <c r="DJ5222" s="286"/>
      <c r="DK5222" s="286"/>
      <c r="DL5222" s="286"/>
      <c r="DM5222" s="286"/>
      <c r="DN5222" s="286"/>
      <c r="DO5222" s="286"/>
      <c r="DP5222" s="286"/>
      <c r="DQ5222" s="290"/>
      <c r="DR5222" s="290"/>
      <c r="DS5222" s="286"/>
      <c r="DT5222" s="286"/>
      <c r="DU5222" s="286"/>
      <c r="DV5222" s="286"/>
      <c r="DW5222" s="286"/>
      <c r="DX5222" s="286"/>
      <c r="DY5222" s="286"/>
      <c r="DZ5222" s="286"/>
      <c r="EA5222" s="286"/>
      <c r="EB5222" s="286"/>
      <c r="EC5222" s="286"/>
      <c r="ED5222" s="286"/>
      <c r="EE5222" s="286"/>
      <c r="EF5222" s="286"/>
      <c r="EG5222" s="286"/>
      <c r="EH5222" s="286"/>
      <c r="EI5222" s="286"/>
      <c r="EJ5222" s="286"/>
      <c r="EK5222" s="283"/>
      <c r="EL5222" s="283"/>
      <c r="EM5222" s="286"/>
      <c r="EN5222" s="286"/>
      <c r="EO5222" s="286"/>
      <c r="EP5222" s="286"/>
      <c r="EQ5222" s="286"/>
      <c r="ER5222" s="286"/>
      <c r="ES5222" s="286"/>
      <c r="ET5222" s="286"/>
      <c r="EU5222" s="286"/>
      <c r="EV5222" s="286"/>
      <c r="EW5222" s="286"/>
      <c r="EX5222" s="286"/>
      <c r="EY5222" s="286"/>
      <c r="EZ5222" s="286"/>
      <c r="FA5222" s="286"/>
      <c r="FB5222" s="286"/>
      <c r="FC5222" s="286"/>
      <c r="FD5222" s="286"/>
      <c r="FE5222" s="286"/>
      <c r="FF5222" s="286"/>
      <c r="FG5222" s="286"/>
      <c r="FH5222" s="286"/>
      <c r="FI5222" s="286"/>
      <c r="FJ5222" s="286"/>
      <c r="FK5222" s="286"/>
      <c r="FL5222" s="286"/>
      <c r="FM5222" s="286"/>
      <c r="FN5222" s="286"/>
      <c r="FO5222" s="286"/>
      <c r="FP5222" s="286"/>
      <c r="FQ5222" s="286"/>
      <c r="FR5222" s="286"/>
      <c r="FS5222" s="286"/>
      <c r="FT5222" s="286"/>
      <c r="FU5222" s="286"/>
      <c r="FV5222" s="286"/>
      <c r="FW5222" s="286"/>
      <c r="FX5222" s="286"/>
      <c r="FY5222" s="286"/>
      <c r="FZ5222" s="286"/>
      <c r="GA5222" s="286"/>
      <c r="GB5222" s="286"/>
      <c r="GC5222" s="286"/>
      <c r="GD5222" s="286"/>
      <c r="GE5222" s="286"/>
      <c r="GF5222" s="286"/>
      <c r="GG5222" s="286"/>
      <c r="GH5222" s="286"/>
      <c r="GI5222" s="286"/>
      <c r="GJ5222" s="286"/>
      <c r="GK5222" s="286"/>
      <c r="GL5222" s="286"/>
      <c r="GM5222" s="286"/>
      <c r="GN5222" s="292"/>
      <c r="GO5222" s="292"/>
      <c r="GP5222" s="292" t="s">
        <v>7494</v>
      </c>
      <c r="GQ5222" s="286"/>
      <c r="GR5222" s="286"/>
      <c r="GS5222" s="286"/>
      <c r="GT5222" s="286"/>
      <c r="GU5222" s="286"/>
      <c r="GV5222" s="286"/>
      <c r="GW5222" s="286"/>
      <c r="GX5222" s="286"/>
      <c r="GY5222" s="286"/>
      <c r="GZ5222" s="286"/>
      <c r="HA5222" s="286"/>
      <c r="HB5222" s="286"/>
      <c r="HC5222" s="286"/>
      <c r="HD5222" s="286"/>
      <c r="HE5222" s="286"/>
      <c r="HF5222" s="286"/>
      <c r="HG5222" s="286"/>
      <c r="HH5222" s="286"/>
      <c r="HI5222" s="286"/>
      <c r="HJ5222" s="286"/>
      <c r="HK5222" s="286"/>
      <c r="HL5222" s="286"/>
      <c r="HM5222" s="286"/>
      <c r="HN5222" s="286"/>
      <c r="HO5222" s="286"/>
      <c r="HP5222" s="286"/>
      <c r="HQ5222" s="286"/>
      <c r="HR5222" s="286"/>
      <c r="HS5222" s="286"/>
      <c r="HT5222" s="286"/>
      <c r="HU5222" s="286"/>
      <c r="HV5222" s="286"/>
      <c r="HW5222" s="286"/>
      <c r="HX5222" s="286"/>
      <c r="HY5222" s="286"/>
      <c r="HZ5222" s="286"/>
      <c r="IA5222" s="286"/>
      <c r="IB5222" s="286"/>
      <c r="IC5222" s="286"/>
      <c r="ID5222" s="286"/>
      <c r="IE5222" s="286"/>
      <c r="IF5222" s="286"/>
      <c r="IG5222" s="286"/>
      <c r="IH5222" s="286"/>
      <c r="II5222" s="286"/>
      <c r="IJ5222" s="286"/>
      <c r="IK5222" s="286"/>
      <c r="IL5222" s="286"/>
      <c r="IM5222" s="286"/>
      <c r="IN5222" s="286"/>
      <c r="IO5222" s="286"/>
      <c r="IP5222" s="286"/>
      <c r="IQ5222" s="286"/>
      <c r="IR5222" s="286"/>
      <c r="IS5222" s="286"/>
      <c r="IT5222" s="286"/>
      <c r="IU5222" s="286"/>
      <c r="IV5222" s="286"/>
      <c r="IW5222" s="286"/>
      <c r="IX5222" s="286"/>
      <c r="IY5222" s="286"/>
      <c r="IZ5222" s="286"/>
      <c r="JA5222" s="286"/>
      <c r="JB5222" s="286"/>
      <c r="JC5222" s="286"/>
      <c r="JD5222" s="286"/>
      <c r="JE5222" s="286"/>
      <c r="JF5222" s="286"/>
      <c r="JG5222" s="286"/>
      <c r="JH5222" s="286"/>
      <c r="JI5222" s="286"/>
      <c r="JJ5222" s="286"/>
      <c r="JK5222" s="286"/>
      <c r="JL5222" s="286"/>
      <c r="JM5222" s="286"/>
      <c r="JN5222" s="286"/>
      <c r="JO5222" s="286"/>
      <c r="JP5222" s="286"/>
      <c r="JQ5222" s="286"/>
      <c r="JR5222" s="286"/>
      <c r="JS5222" s="286"/>
      <c r="JT5222" s="286"/>
      <c r="JU5222" s="174"/>
      <c r="JV5222" s="174"/>
      <c r="JW5222" s="174"/>
    </row>
    <row r="5223" spans="1:283" s="250" customFormat="1" x14ac:dyDescent="0.25">
      <c r="A5223" s="173">
        <v>5222</v>
      </c>
      <c r="B5223" s="175" t="s">
        <v>7067</v>
      </c>
      <c r="C5223" s="278">
        <v>280</v>
      </c>
      <c r="D5223" s="174" t="s">
        <v>5060</v>
      </c>
      <c r="E5223" s="279" t="str">
        <f>G5223</f>
        <v>Welsh et al. 2009_forage-grain</v>
      </c>
      <c r="F5223" s="279"/>
      <c r="G5223" s="280" t="s">
        <v>4668</v>
      </c>
      <c r="H5223" s="174">
        <v>2009</v>
      </c>
      <c r="I5223" s="174" t="s">
        <v>3181</v>
      </c>
      <c r="J5223" s="281" t="s">
        <v>282</v>
      </c>
      <c r="K5223" s="282" t="s">
        <v>5063</v>
      </c>
      <c r="L5223" s="174" t="s">
        <v>2738</v>
      </c>
      <c r="M5223" s="283">
        <f>49+39/60</f>
        <v>49.65</v>
      </c>
      <c r="N5223" s="283">
        <f>-97-7/60</f>
        <v>-97.11666666666666</v>
      </c>
      <c r="O5223" s="283">
        <v>232</v>
      </c>
      <c r="P5223" s="174"/>
      <c r="Q5223" s="284">
        <v>2.6</v>
      </c>
      <c r="R5223" s="174"/>
      <c r="S5223" s="285">
        <v>514</v>
      </c>
      <c r="T5223" s="174"/>
      <c r="U5223" s="284" t="s">
        <v>1801</v>
      </c>
      <c r="V5223" s="284">
        <v>13</v>
      </c>
      <c r="W5223" s="174"/>
      <c r="X5223" s="174"/>
      <c r="Y5223" s="174" t="s">
        <v>5879</v>
      </c>
      <c r="Z5223" s="284" t="s">
        <v>1349</v>
      </c>
      <c r="AA5223" s="285">
        <v>15</v>
      </c>
      <c r="AB5223" s="286"/>
      <c r="AC5223" s="286"/>
      <c r="AD5223" s="283"/>
      <c r="AE5223" s="283">
        <v>9</v>
      </c>
      <c r="AF5223" s="283">
        <v>26</v>
      </c>
      <c r="AG5223" s="285">
        <v>66</v>
      </c>
      <c r="AH5223" s="174" t="s">
        <v>769</v>
      </c>
      <c r="AI5223" s="174" t="s">
        <v>5882</v>
      </c>
      <c r="AJ5223" s="283">
        <f>7.7*0.58</f>
        <v>4.4660000000000002</v>
      </c>
      <c r="AK5223" s="283">
        <f>8*0.58</f>
        <v>4.6399999999999997</v>
      </c>
      <c r="AL5223" s="174"/>
      <c r="AM5223" s="174" t="s">
        <v>5880</v>
      </c>
      <c r="AN5223" s="174"/>
      <c r="AO5223" s="185" t="s">
        <v>5150</v>
      </c>
      <c r="AP5223" s="174"/>
      <c r="AQ5223" s="174"/>
      <c r="AR5223" s="174" t="s">
        <v>116</v>
      </c>
      <c r="AS5223" s="287" t="s">
        <v>5133</v>
      </c>
      <c r="AT5223" s="284" t="s">
        <v>5885</v>
      </c>
      <c r="AU5223" s="181" t="s">
        <v>5150</v>
      </c>
      <c r="AV5223" s="173" t="s">
        <v>479</v>
      </c>
      <c r="AW5223" s="284" t="s">
        <v>5885</v>
      </c>
      <c r="AX5223" s="173" t="s">
        <v>479</v>
      </c>
      <c r="AY5223" s="284" t="s">
        <v>176</v>
      </c>
      <c r="AZ5223" s="174"/>
      <c r="BA5223" s="174"/>
      <c r="BB5223" s="174"/>
      <c r="BC5223" s="174"/>
      <c r="BD5223" s="174"/>
      <c r="BE5223" s="174" t="s">
        <v>5153</v>
      </c>
      <c r="BF5223" s="173" t="s">
        <v>176</v>
      </c>
      <c r="BG5223" s="173" t="s">
        <v>176</v>
      </c>
      <c r="BH5223" s="174" t="s">
        <v>5153</v>
      </c>
      <c r="BI5223" s="173" t="s">
        <v>176</v>
      </c>
      <c r="BJ5223" s="174" t="str">
        <f>IF(BE5223=BH5223,"No","yes")</f>
        <v>No</v>
      </c>
      <c r="BK5223" s="174" t="s">
        <v>6334</v>
      </c>
      <c r="BL5223" s="174" t="s">
        <v>5886</v>
      </c>
      <c r="BM5223" s="174"/>
      <c r="BN5223" s="284">
        <v>3</v>
      </c>
      <c r="BO5223" s="284">
        <v>3</v>
      </c>
      <c r="BP5223" s="174"/>
      <c r="BQ5223" s="174"/>
      <c r="BR5223" s="174"/>
      <c r="BS5223" s="174"/>
      <c r="BT5223" s="174"/>
      <c r="BU5223" s="174"/>
      <c r="BV5223" s="174"/>
      <c r="BW5223" s="286"/>
      <c r="BX5223" s="286"/>
      <c r="BY5223" s="286"/>
      <c r="BZ5223" s="286"/>
      <c r="CA5223" s="286"/>
      <c r="CB5223" s="288">
        <v>3514</v>
      </c>
      <c r="CC5223" s="288">
        <v>2022</v>
      </c>
      <c r="CD5223" s="288"/>
      <c r="CE5223" s="286">
        <v>126</v>
      </c>
      <c r="CF5223" s="286">
        <v>259</v>
      </c>
      <c r="CG5223" s="286"/>
      <c r="CH5223" s="283"/>
      <c r="CI5223" s="283"/>
      <c r="CJ5223" s="286"/>
      <c r="CK5223" s="286"/>
      <c r="CL5223" s="286"/>
      <c r="CM5223" s="289"/>
      <c r="CN5223" s="289"/>
      <c r="CO5223" s="289"/>
      <c r="CP5223" s="289"/>
      <c r="CQ5223" s="289"/>
      <c r="CR5223" s="289"/>
      <c r="CS5223" s="289"/>
      <c r="CT5223" s="289"/>
      <c r="CU5223" s="289"/>
      <c r="CV5223" s="289"/>
      <c r="CW5223" s="289"/>
      <c r="CX5223" s="289"/>
      <c r="CY5223" s="289"/>
      <c r="CZ5223" s="289"/>
      <c r="DA5223" s="286"/>
      <c r="DB5223" s="286"/>
      <c r="DC5223" s="286"/>
      <c r="DD5223" s="286"/>
      <c r="DE5223" s="286"/>
      <c r="DF5223" s="286"/>
      <c r="DG5223" s="286"/>
      <c r="DH5223" s="286"/>
      <c r="DI5223" s="286"/>
      <c r="DJ5223" s="286"/>
      <c r="DK5223" s="286"/>
      <c r="DL5223" s="286"/>
      <c r="DM5223" s="286"/>
      <c r="DN5223" s="286"/>
      <c r="DO5223" s="286"/>
      <c r="DP5223" s="286"/>
      <c r="DQ5223" s="290"/>
      <c r="DR5223" s="290"/>
      <c r="DS5223" s="286"/>
      <c r="DT5223" s="286"/>
      <c r="DU5223" s="286"/>
      <c r="DV5223" s="286"/>
      <c r="DW5223" s="286"/>
      <c r="DX5223" s="286"/>
      <c r="DY5223" s="286"/>
      <c r="DZ5223" s="286"/>
      <c r="EA5223" s="286"/>
      <c r="EB5223" s="286"/>
      <c r="EC5223" s="286"/>
      <c r="ED5223" s="286"/>
      <c r="EE5223" s="286"/>
      <c r="EF5223" s="286"/>
      <c r="EG5223" s="286"/>
      <c r="EH5223" s="286"/>
      <c r="EI5223" s="286"/>
      <c r="EJ5223" s="286"/>
      <c r="EK5223" s="283"/>
      <c r="EL5223" s="283"/>
      <c r="EM5223" s="286"/>
      <c r="EN5223" s="286"/>
      <c r="EO5223" s="286"/>
      <c r="EP5223" s="286"/>
      <c r="EQ5223" s="286"/>
      <c r="ER5223" s="286"/>
      <c r="ES5223" s="286"/>
      <c r="ET5223" s="286"/>
      <c r="EU5223" s="286"/>
      <c r="EV5223" s="286"/>
      <c r="EW5223" s="286"/>
      <c r="EX5223" s="286"/>
      <c r="EY5223" s="286"/>
      <c r="EZ5223" s="286"/>
      <c r="FA5223" s="286"/>
      <c r="FB5223" s="286"/>
      <c r="FC5223" s="286"/>
      <c r="FD5223" s="286"/>
      <c r="FE5223" s="286"/>
      <c r="FF5223" s="286"/>
      <c r="FG5223" s="286"/>
      <c r="FH5223" s="286"/>
      <c r="FI5223" s="286"/>
      <c r="FJ5223" s="286"/>
      <c r="FK5223" s="286"/>
      <c r="FL5223" s="286"/>
      <c r="FM5223" s="286"/>
      <c r="FN5223" s="286"/>
      <c r="FO5223" s="286"/>
      <c r="FP5223" s="286"/>
      <c r="FQ5223" s="286"/>
      <c r="FR5223" s="286"/>
      <c r="FS5223" s="286"/>
      <c r="FT5223" s="286"/>
      <c r="FU5223" s="286"/>
      <c r="FV5223" s="286"/>
      <c r="FW5223" s="286"/>
      <c r="FX5223" s="286"/>
      <c r="FY5223" s="286"/>
      <c r="FZ5223" s="286"/>
      <c r="GA5223" s="286"/>
      <c r="GB5223" s="286"/>
      <c r="GC5223" s="286"/>
      <c r="GD5223" s="286"/>
      <c r="GE5223" s="286"/>
      <c r="GF5223" s="286"/>
      <c r="GG5223" s="286"/>
      <c r="GH5223" s="286"/>
      <c r="GI5223" s="286"/>
      <c r="GJ5223" s="286"/>
      <c r="GK5223" s="286"/>
      <c r="GL5223" s="286"/>
      <c r="GM5223" s="286"/>
      <c r="GN5223" s="292"/>
      <c r="GO5223" s="292"/>
      <c r="GP5223" s="292" t="s">
        <v>7494</v>
      </c>
      <c r="GQ5223" s="286"/>
      <c r="GR5223" s="286"/>
      <c r="GS5223" s="286"/>
      <c r="GT5223" s="286"/>
      <c r="GU5223" s="286"/>
      <c r="GV5223" s="286"/>
      <c r="GW5223" s="286"/>
      <c r="GX5223" s="286"/>
      <c r="GY5223" s="286"/>
      <c r="GZ5223" s="286"/>
      <c r="HA5223" s="286"/>
      <c r="HB5223" s="286"/>
      <c r="HC5223" s="286"/>
      <c r="HD5223" s="286"/>
      <c r="HE5223" s="286"/>
      <c r="HF5223" s="286"/>
      <c r="HG5223" s="286"/>
      <c r="HH5223" s="286"/>
      <c r="HI5223" s="286"/>
      <c r="HJ5223" s="286"/>
      <c r="HK5223" s="286"/>
      <c r="HL5223" s="286"/>
      <c r="HM5223" s="286"/>
      <c r="HN5223" s="286"/>
      <c r="HO5223" s="286"/>
      <c r="HP5223" s="286"/>
      <c r="HQ5223" s="286"/>
      <c r="HR5223" s="286"/>
      <c r="HS5223" s="286"/>
      <c r="HT5223" s="286"/>
      <c r="HU5223" s="286"/>
      <c r="HV5223" s="286"/>
      <c r="HW5223" s="286"/>
      <c r="HX5223" s="286"/>
      <c r="HY5223" s="286"/>
      <c r="HZ5223" s="286"/>
      <c r="IA5223" s="286"/>
      <c r="IB5223" s="286"/>
      <c r="IC5223" s="286"/>
      <c r="ID5223" s="286"/>
      <c r="IE5223" s="286"/>
      <c r="IF5223" s="286"/>
      <c r="IG5223" s="286"/>
      <c r="IH5223" s="286"/>
      <c r="II5223" s="286"/>
      <c r="IJ5223" s="286"/>
      <c r="IK5223" s="286"/>
      <c r="IL5223" s="286"/>
      <c r="IM5223" s="286"/>
      <c r="IN5223" s="286"/>
      <c r="IO5223" s="286"/>
      <c r="IP5223" s="286"/>
      <c r="IQ5223" s="286"/>
      <c r="IR5223" s="286"/>
      <c r="IS5223" s="286"/>
      <c r="IT5223" s="286"/>
      <c r="IU5223" s="286"/>
      <c r="IV5223" s="286"/>
      <c r="IW5223" s="286"/>
      <c r="IX5223" s="286"/>
      <c r="IY5223" s="286"/>
      <c r="IZ5223" s="286"/>
      <c r="JA5223" s="286"/>
      <c r="JB5223" s="286"/>
      <c r="JC5223" s="286"/>
      <c r="JD5223" s="286"/>
      <c r="JE5223" s="286"/>
      <c r="JF5223" s="286"/>
      <c r="JG5223" s="286"/>
      <c r="JH5223" s="286"/>
      <c r="JI5223" s="286"/>
      <c r="JJ5223" s="286"/>
      <c r="JK5223" s="286"/>
      <c r="JL5223" s="286"/>
      <c r="JM5223" s="286"/>
      <c r="JN5223" s="286"/>
      <c r="JO5223" s="286"/>
      <c r="JP5223" s="286"/>
      <c r="JQ5223" s="286"/>
      <c r="JR5223" s="286"/>
      <c r="JS5223" s="286"/>
      <c r="JT5223" s="286"/>
      <c r="JU5223" s="174"/>
      <c r="JV5223" s="174"/>
      <c r="JW5223" s="174"/>
    </row>
    <row r="5224" spans="1:283" s="250" customFormat="1" x14ac:dyDescent="0.25">
      <c r="A5224" s="173">
        <v>5223</v>
      </c>
      <c r="B5224" s="175" t="s">
        <v>7067</v>
      </c>
      <c r="C5224" s="278">
        <v>280</v>
      </c>
      <c r="D5224" s="174" t="s">
        <v>5061</v>
      </c>
      <c r="E5224" s="279" t="str">
        <f>G5224</f>
        <v>Welsh et al. 2009_grain only</v>
      </c>
      <c r="F5224" s="279"/>
      <c r="G5224" s="280" t="s">
        <v>4667</v>
      </c>
      <c r="H5224" s="174">
        <v>2009</v>
      </c>
      <c r="I5224" s="174" t="s">
        <v>5719</v>
      </c>
      <c r="J5224" s="281" t="s">
        <v>282</v>
      </c>
      <c r="K5224" s="282" t="s">
        <v>5063</v>
      </c>
      <c r="L5224" s="174" t="s">
        <v>2738</v>
      </c>
      <c r="M5224" s="283">
        <f>49+39/60</f>
        <v>49.65</v>
      </c>
      <c r="N5224" s="283">
        <f>-97-7/60</f>
        <v>-97.11666666666666</v>
      </c>
      <c r="O5224" s="283">
        <v>232</v>
      </c>
      <c r="P5224" s="174"/>
      <c r="Q5224" s="284">
        <v>2.6</v>
      </c>
      <c r="R5224" s="174"/>
      <c r="S5224" s="285">
        <v>514</v>
      </c>
      <c r="T5224" s="174"/>
      <c r="U5224" s="284" t="s">
        <v>1933</v>
      </c>
      <c r="V5224" s="284">
        <v>13</v>
      </c>
      <c r="W5224" s="174"/>
      <c r="X5224" s="174"/>
      <c r="Y5224" s="174" t="s">
        <v>5879</v>
      </c>
      <c r="Z5224" s="284" t="s">
        <v>1349</v>
      </c>
      <c r="AA5224" s="285">
        <v>15</v>
      </c>
      <c r="AB5224" s="286"/>
      <c r="AC5224" s="286"/>
      <c r="AD5224" s="283"/>
      <c r="AE5224" s="283">
        <v>9</v>
      </c>
      <c r="AF5224" s="283">
        <v>26</v>
      </c>
      <c r="AG5224" s="285">
        <v>66</v>
      </c>
      <c r="AH5224" s="174" t="s">
        <v>769</v>
      </c>
      <c r="AI5224" s="174" t="s">
        <v>1676</v>
      </c>
      <c r="AJ5224" s="283">
        <f>7.7*0.58</f>
        <v>4.4660000000000002</v>
      </c>
      <c r="AK5224" s="283">
        <f>8*0.58</f>
        <v>4.6399999999999997</v>
      </c>
      <c r="AL5224" s="174"/>
      <c r="AM5224" s="174" t="s">
        <v>5880</v>
      </c>
      <c r="AN5224" s="174"/>
      <c r="AO5224" s="185" t="s">
        <v>5150</v>
      </c>
      <c r="AP5224" s="174"/>
      <c r="AQ5224" s="174"/>
      <c r="AR5224" s="174" t="s">
        <v>116</v>
      </c>
      <c r="AS5224" s="287" t="s">
        <v>5133</v>
      </c>
      <c r="AT5224" s="284" t="s">
        <v>5885</v>
      </c>
      <c r="AU5224" s="181" t="s">
        <v>5150</v>
      </c>
      <c r="AV5224" s="173" t="s">
        <v>479</v>
      </c>
      <c r="AW5224" s="284" t="s">
        <v>5885</v>
      </c>
      <c r="AX5224" s="173" t="s">
        <v>479</v>
      </c>
      <c r="AY5224" s="284" t="s">
        <v>176</v>
      </c>
      <c r="AZ5224" s="174"/>
      <c r="BA5224" s="174"/>
      <c r="BB5224" s="174"/>
      <c r="BC5224" s="174"/>
      <c r="BD5224" s="174"/>
      <c r="BE5224" s="174" t="s">
        <v>5227</v>
      </c>
      <c r="BF5224" s="173"/>
      <c r="BG5224" s="173" t="s">
        <v>479</v>
      </c>
      <c r="BH5224" s="174" t="s">
        <v>5153</v>
      </c>
      <c r="BI5224" s="173" t="s">
        <v>176</v>
      </c>
      <c r="BJ5224" s="174" t="str">
        <f>IF(BE5224=BH5224,"No","yes")</f>
        <v>yes</v>
      </c>
      <c r="BK5224" s="174" t="s">
        <v>6334</v>
      </c>
      <c r="BL5224" s="174" t="s">
        <v>5886</v>
      </c>
      <c r="BM5224" s="174"/>
      <c r="BN5224" s="284">
        <v>3</v>
      </c>
      <c r="BO5224" s="284">
        <v>3</v>
      </c>
      <c r="BP5224" s="174"/>
      <c r="BQ5224" s="174"/>
      <c r="BR5224" s="174"/>
      <c r="BS5224" s="174"/>
      <c r="BT5224" s="174"/>
      <c r="BU5224" s="174"/>
      <c r="BV5224" s="174"/>
      <c r="BW5224" s="286"/>
      <c r="BX5224" s="286"/>
      <c r="BY5224" s="286"/>
      <c r="BZ5224" s="286"/>
      <c r="CA5224" s="286"/>
      <c r="CB5224" s="288">
        <v>1378</v>
      </c>
      <c r="CC5224" s="288">
        <v>606</v>
      </c>
      <c r="CD5224" s="288"/>
      <c r="CE5224" s="286">
        <v>600</v>
      </c>
      <c r="CF5224" s="286">
        <v>280</v>
      </c>
      <c r="CG5224" s="286"/>
      <c r="CH5224" s="283"/>
      <c r="CI5224" s="283"/>
      <c r="CJ5224" s="286"/>
      <c r="CK5224" s="286"/>
      <c r="CL5224" s="286"/>
      <c r="CM5224" s="289"/>
      <c r="CN5224" s="289"/>
      <c r="CO5224" s="289"/>
      <c r="CP5224" s="289"/>
      <c r="CQ5224" s="289"/>
      <c r="CR5224" s="289"/>
      <c r="CS5224" s="289"/>
      <c r="CT5224" s="289"/>
      <c r="CU5224" s="289"/>
      <c r="CV5224" s="289"/>
      <c r="CW5224" s="289"/>
      <c r="CX5224" s="289"/>
      <c r="CY5224" s="289"/>
      <c r="CZ5224" s="289"/>
      <c r="DA5224" s="286"/>
      <c r="DB5224" s="286"/>
      <c r="DC5224" s="286"/>
      <c r="DD5224" s="286"/>
      <c r="DE5224" s="286"/>
      <c r="DF5224" s="286"/>
      <c r="DG5224" s="286"/>
      <c r="DH5224" s="286"/>
      <c r="DI5224" s="286"/>
      <c r="DJ5224" s="286"/>
      <c r="DK5224" s="286"/>
      <c r="DL5224" s="286"/>
      <c r="DM5224" s="286"/>
      <c r="DN5224" s="286"/>
      <c r="DO5224" s="286"/>
      <c r="DP5224" s="286"/>
      <c r="DQ5224" s="290"/>
      <c r="DR5224" s="290"/>
      <c r="DS5224" s="286"/>
      <c r="DT5224" s="286"/>
      <c r="DU5224" s="286"/>
      <c r="DV5224" s="286"/>
      <c r="DW5224" s="286"/>
      <c r="DX5224" s="286"/>
      <c r="DY5224" s="286"/>
      <c r="DZ5224" s="286"/>
      <c r="EA5224" s="286"/>
      <c r="EB5224" s="286"/>
      <c r="EC5224" s="286"/>
      <c r="ED5224" s="286"/>
      <c r="EE5224" s="286"/>
      <c r="EF5224" s="286"/>
      <c r="EG5224" s="286"/>
      <c r="EH5224" s="286"/>
      <c r="EI5224" s="286"/>
      <c r="EJ5224" s="286"/>
      <c r="EK5224" s="283"/>
      <c r="EL5224" s="283"/>
      <c r="EM5224" s="286"/>
      <c r="EN5224" s="286"/>
      <c r="EO5224" s="286"/>
      <c r="EP5224" s="286"/>
      <c r="EQ5224" s="286"/>
      <c r="ER5224" s="286"/>
      <c r="ES5224" s="286"/>
      <c r="ET5224" s="286"/>
      <c r="EU5224" s="286"/>
      <c r="EV5224" s="286"/>
      <c r="EW5224" s="286"/>
      <c r="EX5224" s="286"/>
      <c r="EY5224" s="286"/>
      <c r="EZ5224" s="286"/>
      <c r="FA5224" s="286"/>
      <c r="FB5224" s="286"/>
      <c r="FC5224" s="286"/>
      <c r="FD5224" s="286"/>
      <c r="FE5224" s="286"/>
      <c r="FF5224" s="286"/>
      <c r="FG5224" s="286"/>
      <c r="FH5224" s="286"/>
      <c r="FI5224" s="286"/>
      <c r="FJ5224" s="286"/>
      <c r="FK5224" s="286"/>
      <c r="FL5224" s="286"/>
      <c r="FM5224" s="286"/>
      <c r="FN5224" s="286"/>
      <c r="FO5224" s="286"/>
      <c r="FP5224" s="286"/>
      <c r="FQ5224" s="286"/>
      <c r="FR5224" s="286"/>
      <c r="FS5224" s="286"/>
      <c r="FT5224" s="286"/>
      <c r="FU5224" s="286"/>
      <c r="FV5224" s="286"/>
      <c r="FW5224" s="286"/>
      <c r="FX5224" s="286"/>
      <c r="FY5224" s="286"/>
      <c r="FZ5224" s="286"/>
      <c r="GA5224" s="286"/>
      <c r="GB5224" s="286"/>
      <c r="GC5224" s="286"/>
      <c r="GD5224" s="286"/>
      <c r="GE5224" s="286"/>
      <c r="GF5224" s="286"/>
      <c r="GG5224" s="286"/>
      <c r="GH5224" s="286"/>
      <c r="GI5224" s="286"/>
      <c r="GJ5224" s="286"/>
      <c r="GK5224" s="286"/>
      <c r="GL5224" s="286"/>
      <c r="GM5224" s="286"/>
      <c r="GN5224" s="292"/>
      <c r="GO5224" s="292"/>
      <c r="GP5224" s="292" t="s">
        <v>7494</v>
      </c>
      <c r="GQ5224" s="286"/>
      <c r="GR5224" s="286"/>
      <c r="GS5224" s="286"/>
      <c r="GT5224" s="286"/>
      <c r="GU5224" s="286"/>
      <c r="GV5224" s="286"/>
      <c r="GW5224" s="286"/>
      <c r="GX5224" s="286"/>
      <c r="GY5224" s="286"/>
      <c r="GZ5224" s="286"/>
      <c r="HA5224" s="286"/>
      <c r="HB5224" s="286"/>
      <c r="HC5224" s="286"/>
      <c r="HD5224" s="286"/>
      <c r="HE5224" s="286"/>
      <c r="HF5224" s="286"/>
      <c r="HG5224" s="286"/>
      <c r="HH5224" s="286"/>
      <c r="HI5224" s="286"/>
      <c r="HJ5224" s="286"/>
      <c r="HK5224" s="286"/>
      <c r="HL5224" s="286"/>
      <c r="HM5224" s="286"/>
      <c r="HN5224" s="286"/>
      <c r="HO5224" s="286"/>
      <c r="HP5224" s="286"/>
      <c r="HQ5224" s="286"/>
      <c r="HR5224" s="286"/>
      <c r="HS5224" s="286"/>
      <c r="HT5224" s="286"/>
      <c r="HU5224" s="286"/>
      <c r="HV5224" s="286"/>
      <c r="HW5224" s="286"/>
      <c r="HX5224" s="286"/>
      <c r="HY5224" s="286"/>
      <c r="HZ5224" s="286"/>
      <c r="IA5224" s="286"/>
      <c r="IB5224" s="286"/>
      <c r="IC5224" s="286"/>
      <c r="ID5224" s="286"/>
      <c r="IE5224" s="286"/>
      <c r="IF5224" s="286"/>
      <c r="IG5224" s="286"/>
      <c r="IH5224" s="286"/>
      <c r="II5224" s="286"/>
      <c r="IJ5224" s="286"/>
      <c r="IK5224" s="286"/>
      <c r="IL5224" s="286"/>
      <c r="IM5224" s="286"/>
      <c r="IN5224" s="286"/>
      <c r="IO5224" s="286"/>
      <c r="IP5224" s="286"/>
      <c r="IQ5224" s="286"/>
      <c r="IR5224" s="286"/>
      <c r="IS5224" s="286"/>
      <c r="IT5224" s="286"/>
      <c r="IU5224" s="286"/>
      <c r="IV5224" s="286"/>
      <c r="IW5224" s="286"/>
      <c r="IX5224" s="286"/>
      <c r="IY5224" s="286"/>
      <c r="IZ5224" s="286"/>
      <c r="JA5224" s="286"/>
      <c r="JB5224" s="286"/>
      <c r="JC5224" s="286"/>
      <c r="JD5224" s="286"/>
      <c r="JE5224" s="286"/>
      <c r="JF5224" s="286"/>
      <c r="JG5224" s="286"/>
      <c r="JH5224" s="286"/>
      <c r="JI5224" s="286"/>
      <c r="JJ5224" s="286"/>
      <c r="JK5224" s="286"/>
      <c r="JL5224" s="286"/>
      <c r="JM5224" s="286"/>
      <c r="JN5224" s="286"/>
      <c r="JO5224" s="286"/>
      <c r="JP5224" s="286"/>
      <c r="JQ5224" s="286"/>
      <c r="JR5224" s="286"/>
      <c r="JS5224" s="286"/>
      <c r="JT5224" s="286"/>
      <c r="JU5224" s="174"/>
      <c r="JV5224" s="174"/>
      <c r="JW5224" s="174"/>
    </row>
    <row r="5225" spans="1:283" s="250" customFormat="1" x14ac:dyDescent="0.25">
      <c r="A5225" s="173">
        <v>5224</v>
      </c>
      <c r="B5225" s="175" t="s">
        <v>7067</v>
      </c>
      <c r="C5225" s="278">
        <v>280</v>
      </c>
      <c r="D5225" s="174" t="s">
        <v>5060</v>
      </c>
      <c r="E5225" s="279" t="str">
        <f>G5225</f>
        <v>Welsh et al. 2009_forage-grain</v>
      </c>
      <c r="F5225" s="279"/>
      <c r="G5225" s="280" t="s">
        <v>4668</v>
      </c>
      <c r="H5225" s="174">
        <v>2009</v>
      </c>
      <c r="I5225" s="174" t="s">
        <v>5719</v>
      </c>
      <c r="J5225" s="281" t="s">
        <v>282</v>
      </c>
      <c r="K5225" s="282" t="s">
        <v>5063</v>
      </c>
      <c r="L5225" s="174" t="s">
        <v>2738</v>
      </c>
      <c r="M5225" s="283">
        <f>49+39/60</f>
        <v>49.65</v>
      </c>
      <c r="N5225" s="283">
        <f>-97-7/60</f>
        <v>-97.11666666666666</v>
      </c>
      <c r="O5225" s="283">
        <v>232</v>
      </c>
      <c r="P5225" s="174"/>
      <c r="Q5225" s="284">
        <v>2.6</v>
      </c>
      <c r="R5225" s="174"/>
      <c r="S5225" s="285">
        <v>514</v>
      </c>
      <c r="T5225" s="174"/>
      <c r="U5225" s="284" t="s">
        <v>1933</v>
      </c>
      <c r="V5225" s="284">
        <v>13</v>
      </c>
      <c r="W5225" s="174"/>
      <c r="X5225" s="174"/>
      <c r="Y5225" s="174" t="s">
        <v>5879</v>
      </c>
      <c r="Z5225" s="284" t="s">
        <v>1349</v>
      </c>
      <c r="AA5225" s="285">
        <v>15</v>
      </c>
      <c r="AB5225" s="286"/>
      <c r="AC5225" s="286"/>
      <c r="AD5225" s="283"/>
      <c r="AE5225" s="283">
        <v>9</v>
      </c>
      <c r="AF5225" s="283">
        <v>26</v>
      </c>
      <c r="AG5225" s="285">
        <v>66</v>
      </c>
      <c r="AH5225" s="174" t="s">
        <v>769</v>
      </c>
      <c r="AI5225" s="174" t="s">
        <v>5882</v>
      </c>
      <c r="AJ5225" s="283">
        <f>7.7*0.58</f>
        <v>4.4660000000000002</v>
      </c>
      <c r="AK5225" s="283">
        <f>8*0.58</f>
        <v>4.6399999999999997</v>
      </c>
      <c r="AL5225" s="174"/>
      <c r="AM5225" s="174" t="s">
        <v>5880</v>
      </c>
      <c r="AN5225" s="174"/>
      <c r="AO5225" s="185" t="s">
        <v>5150</v>
      </c>
      <c r="AP5225" s="174"/>
      <c r="AQ5225" s="174"/>
      <c r="AR5225" s="174" t="s">
        <v>116</v>
      </c>
      <c r="AS5225" s="287" t="s">
        <v>5133</v>
      </c>
      <c r="AT5225" s="284" t="s">
        <v>5885</v>
      </c>
      <c r="AU5225" s="181" t="s">
        <v>5150</v>
      </c>
      <c r="AV5225" s="173" t="s">
        <v>479</v>
      </c>
      <c r="AW5225" s="284" t="s">
        <v>5885</v>
      </c>
      <c r="AX5225" s="173" t="s">
        <v>479</v>
      </c>
      <c r="AY5225" s="284" t="s">
        <v>176</v>
      </c>
      <c r="AZ5225" s="174"/>
      <c r="BA5225" s="174"/>
      <c r="BB5225" s="174"/>
      <c r="BC5225" s="174"/>
      <c r="BD5225" s="174"/>
      <c r="BE5225" s="174" t="s">
        <v>5153</v>
      </c>
      <c r="BF5225" s="173" t="s">
        <v>176</v>
      </c>
      <c r="BG5225" s="173" t="s">
        <v>176</v>
      </c>
      <c r="BH5225" s="174" t="s">
        <v>5153</v>
      </c>
      <c r="BI5225" s="173" t="s">
        <v>176</v>
      </c>
      <c r="BJ5225" s="174" t="str">
        <f>IF(BE5225=BH5225,"No","yes")</f>
        <v>No</v>
      </c>
      <c r="BK5225" s="174" t="s">
        <v>6334</v>
      </c>
      <c r="BL5225" s="174" t="s">
        <v>5886</v>
      </c>
      <c r="BM5225" s="174"/>
      <c r="BN5225" s="284">
        <v>3</v>
      </c>
      <c r="BO5225" s="284">
        <v>3</v>
      </c>
      <c r="BP5225" s="174"/>
      <c r="BQ5225" s="174"/>
      <c r="BR5225" s="174"/>
      <c r="BS5225" s="174"/>
      <c r="BT5225" s="174"/>
      <c r="BU5225" s="174"/>
      <c r="BV5225" s="174"/>
      <c r="BW5225" s="286"/>
      <c r="BX5225" s="286"/>
      <c r="BY5225" s="286"/>
      <c r="BZ5225" s="286"/>
      <c r="CA5225" s="286"/>
      <c r="CB5225" s="288">
        <v>1454</v>
      </c>
      <c r="CC5225" s="288">
        <v>1379</v>
      </c>
      <c r="CD5225" s="288"/>
      <c r="CE5225" s="286">
        <v>148</v>
      </c>
      <c r="CF5225" s="286">
        <v>117</v>
      </c>
      <c r="CG5225" s="286"/>
      <c r="CH5225" s="283"/>
      <c r="CI5225" s="283"/>
      <c r="CJ5225" s="286"/>
      <c r="CK5225" s="286"/>
      <c r="CL5225" s="286"/>
      <c r="CM5225" s="289"/>
      <c r="CN5225" s="289"/>
      <c r="CO5225" s="289"/>
      <c r="CP5225" s="289"/>
      <c r="CQ5225" s="289"/>
      <c r="CR5225" s="289"/>
      <c r="CS5225" s="289"/>
      <c r="CT5225" s="289"/>
      <c r="CU5225" s="289"/>
      <c r="CV5225" s="289"/>
      <c r="CW5225" s="289"/>
      <c r="CX5225" s="289"/>
      <c r="CY5225" s="289"/>
      <c r="CZ5225" s="289"/>
      <c r="DA5225" s="286"/>
      <c r="DB5225" s="286"/>
      <c r="DC5225" s="286"/>
      <c r="DD5225" s="286"/>
      <c r="DE5225" s="286"/>
      <c r="DF5225" s="286"/>
      <c r="DG5225" s="286"/>
      <c r="DH5225" s="286"/>
      <c r="DI5225" s="286"/>
      <c r="DJ5225" s="286"/>
      <c r="DK5225" s="286"/>
      <c r="DL5225" s="286"/>
      <c r="DM5225" s="286"/>
      <c r="DN5225" s="286"/>
      <c r="DO5225" s="286"/>
      <c r="DP5225" s="286"/>
      <c r="DQ5225" s="290"/>
      <c r="DR5225" s="290"/>
      <c r="DS5225" s="286"/>
      <c r="DT5225" s="286"/>
      <c r="DU5225" s="286"/>
      <c r="DV5225" s="286"/>
      <c r="DW5225" s="286"/>
      <c r="DX5225" s="286"/>
      <c r="DY5225" s="286"/>
      <c r="DZ5225" s="286"/>
      <c r="EA5225" s="286"/>
      <c r="EB5225" s="286"/>
      <c r="EC5225" s="286"/>
      <c r="ED5225" s="286"/>
      <c r="EE5225" s="286"/>
      <c r="EF5225" s="286"/>
      <c r="EG5225" s="286"/>
      <c r="EH5225" s="286"/>
      <c r="EI5225" s="286"/>
      <c r="EJ5225" s="286"/>
      <c r="EK5225" s="283"/>
      <c r="EL5225" s="283"/>
      <c r="EM5225" s="286"/>
      <c r="EN5225" s="286"/>
      <c r="EO5225" s="286"/>
      <c r="EP5225" s="286"/>
      <c r="EQ5225" s="286"/>
      <c r="ER5225" s="286"/>
      <c r="ES5225" s="286"/>
      <c r="ET5225" s="286"/>
      <c r="EU5225" s="286"/>
      <c r="EV5225" s="286"/>
      <c r="EW5225" s="286"/>
      <c r="EX5225" s="286"/>
      <c r="EY5225" s="286"/>
      <c r="EZ5225" s="286"/>
      <c r="FA5225" s="286"/>
      <c r="FB5225" s="286"/>
      <c r="FC5225" s="286"/>
      <c r="FD5225" s="286"/>
      <c r="FE5225" s="286"/>
      <c r="FF5225" s="286"/>
      <c r="FG5225" s="286"/>
      <c r="FH5225" s="286"/>
      <c r="FI5225" s="286"/>
      <c r="FJ5225" s="286"/>
      <c r="FK5225" s="286"/>
      <c r="FL5225" s="286"/>
      <c r="FM5225" s="286"/>
      <c r="FN5225" s="286"/>
      <c r="FO5225" s="286"/>
      <c r="FP5225" s="286"/>
      <c r="FQ5225" s="286"/>
      <c r="FR5225" s="286"/>
      <c r="FS5225" s="286"/>
      <c r="FT5225" s="286"/>
      <c r="FU5225" s="286"/>
      <c r="FV5225" s="286"/>
      <c r="FW5225" s="286"/>
      <c r="FX5225" s="286"/>
      <c r="FY5225" s="286"/>
      <c r="FZ5225" s="286"/>
      <c r="GA5225" s="286"/>
      <c r="GB5225" s="286"/>
      <c r="GC5225" s="286"/>
      <c r="GD5225" s="286"/>
      <c r="GE5225" s="286"/>
      <c r="GF5225" s="286"/>
      <c r="GG5225" s="286"/>
      <c r="GH5225" s="286"/>
      <c r="GI5225" s="286"/>
      <c r="GJ5225" s="286"/>
      <c r="GK5225" s="286"/>
      <c r="GL5225" s="286"/>
      <c r="GM5225" s="286"/>
      <c r="GN5225" s="292"/>
      <c r="GO5225" s="292"/>
      <c r="GP5225" s="292" t="s">
        <v>7494</v>
      </c>
      <c r="GQ5225" s="286"/>
      <c r="GR5225" s="286"/>
      <c r="GS5225" s="286"/>
      <c r="GT5225" s="286"/>
      <c r="GU5225" s="286"/>
      <c r="GV5225" s="286"/>
      <c r="GW5225" s="286"/>
      <c r="GX5225" s="286"/>
      <c r="GY5225" s="286"/>
      <c r="GZ5225" s="286"/>
      <c r="HA5225" s="286"/>
      <c r="HB5225" s="286"/>
      <c r="HC5225" s="286"/>
      <c r="HD5225" s="286"/>
      <c r="HE5225" s="286"/>
      <c r="HF5225" s="286"/>
      <c r="HG5225" s="286"/>
      <c r="HH5225" s="286"/>
      <c r="HI5225" s="286"/>
      <c r="HJ5225" s="286"/>
      <c r="HK5225" s="286"/>
      <c r="HL5225" s="286"/>
      <c r="HM5225" s="286"/>
      <c r="HN5225" s="286"/>
      <c r="HO5225" s="286"/>
      <c r="HP5225" s="286"/>
      <c r="HQ5225" s="286"/>
      <c r="HR5225" s="286"/>
      <c r="HS5225" s="286"/>
      <c r="HT5225" s="286"/>
      <c r="HU5225" s="286"/>
      <c r="HV5225" s="286"/>
      <c r="HW5225" s="286"/>
      <c r="HX5225" s="286"/>
      <c r="HY5225" s="286"/>
      <c r="HZ5225" s="286"/>
      <c r="IA5225" s="286"/>
      <c r="IB5225" s="286"/>
      <c r="IC5225" s="286"/>
      <c r="ID5225" s="286"/>
      <c r="IE5225" s="286"/>
      <c r="IF5225" s="286"/>
      <c r="IG5225" s="286"/>
      <c r="IH5225" s="286"/>
      <c r="II5225" s="286"/>
      <c r="IJ5225" s="286"/>
      <c r="IK5225" s="286"/>
      <c r="IL5225" s="286"/>
      <c r="IM5225" s="286"/>
      <c r="IN5225" s="286"/>
      <c r="IO5225" s="286"/>
      <c r="IP5225" s="286"/>
      <c r="IQ5225" s="286"/>
      <c r="IR5225" s="286"/>
      <c r="IS5225" s="286"/>
      <c r="IT5225" s="286"/>
      <c r="IU5225" s="286"/>
      <c r="IV5225" s="286"/>
      <c r="IW5225" s="286"/>
      <c r="IX5225" s="286"/>
      <c r="IY5225" s="286"/>
      <c r="IZ5225" s="286"/>
      <c r="JA5225" s="286"/>
      <c r="JB5225" s="286"/>
      <c r="JC5225" s="286"/>
      <c r="JD5225" s="286"/>
      <c r="JE5225" s="286"/>
      <c r="JF5225" s="286"/>
      <c r="JG5225" s="286"/>
      <c r="JH5225" s="286"/>
      <c r="JI5225" s="286"/>
      <c r="JJ5225" s="286"/>
      <c r="JK5225" s="286"/>
      <c r="JL5225" s="286"/>
      <c r="JM5225" s="286"/>
      <c r="JN5225" s="286"/>
      <c r="JO5225" s="286"/>
      <c r="JP5225" s="286"/>
      <c r="JQ5225" s="286"/>
      <c r="JR5225" s="286"/>
      <c r="JS5225" s="286"/>
      <c r="JT5225" s="286"/>
      <c r="JU5225" s="174"/>
      <c r="JV5225" s="174"/>
      <c r="JW5225" s="174"/>
    </row>
    <row r="5226" spans="1:283" s="250" customFormat="1" x14ac:dyDescent="0.25">
      <c r="A5226" s="173">
        <v>5225</v>
      </c>
      <c r="B5226" s="175" t="s">
        <v>7067</v>
      </c>
      <c r="C5226" s="278">
        <v>280</v>
      </c>
      <c r="D5226" s="174" t="s">
        <v>5061</v>
      </c>
      <c r="E5226" s="279" t="str">
        <f>G5226</f>
        <v>Welsh et al. 2009_grain only</v>
      </c>
      <c r="F5226" s="279"/>
      <c r="G5226" s="280" t="s">
        <v>4667</v>
      </c>
      <c r="H5226" s="174">
        <v>2009</v>
      </c>
      <c r="I5226" s="174" t="s">
        <v>5599</v>
      </c>
      <c r="J5226" s="281" t="s">
        <v>282</v>
      </c>
      <c r="K5226" s="282" t="s">
        <v>5063</v>
      </c>
      <c r="L5226" s="174" t="s">
        <v>2738</v>
      </c>
      <c r="M5226" s="283">
        <f>49+39/60</f>
        <v>49.65</v>
      </c>
      <c r="N5226" s="283">
        <f>-97-7/60</f>
        <v>-97.11666666666666</v>
      </c>
      <c r="O5226" s="283">
        <v>232</v>
      </c>
      <c r="P5226" s="174"/>
      <c r="Q5226" s="284">
        <v>2.6</v>
      </c>
      <c r="R5226" s="174"/>
      <c r="S5226" s="285">
        <v>514</v>
      </c>
      <c r="T5226" s="174"/>
      <c r="U5226" s="284" t="s">
        <v>1679</v>
      </c>
      <c r="V5226" s="284">
        <v>13</v>
      </c>
      <c r="W5226" s="174"/>
      <c r="X5226" s="174"/>
      <c r="Y5226" s="174" t="s">
        <v>5879</v>
      </c>
      <c r="Z5226" s="284" t="s">
        <v>1349</v>
      </c>
      <c r="AA5226" s="285">
        <v>15</v>
      </c>
      <c r="AB5226" s="286"/>
      <c r="AC5226" s="286"/>
      <c r="AD5226" s="283"/>
      <c r="AE5226" s="283">
        <v>9</v>
      </c>
      <c r="AF5226" s="283">
        <v>26</v>
      </c>
      <c r="AG5226" s="285">
        <v>66</v>
      </c>
      <c r="AH5226" s="174" t="s">
        <v>769</v>
      </c>
      <c r="AI5226" s="174" t="s">
        <v>1676</v>
      </c>
      <c r="AJ5226" s="283">
        <f>7.7*0.58</f>
        <v>4.4660000000000002</v>
      </c>
      <c r="AK5226" s="283">
        <f>8*0.58</f>
        <v>4.6399999999999997</v>
      </c>
      <c r="AL5226" s="174"/>
      <c r="AM5226" s="174" t="s">
        <v>5880</v>
      </c>
      <c r="AN5226" s="174"/>
      <c r="AO5226" s="185" t="s">
        <v>5150</v>
      </c>
      <c r="AP5226" s="174"/>
      <c r="AQ5226" s="174"/>
      <c r="AR5226" s="174" t="s">
        <v>116</v>
      </c>
      <c r="AS5226" s="287" t="s">
        <v>5133</v>
      </c>
      <c r="AT5226" s="284" t="s">
        <v>5885</v>
      </c>
      <c r="AU5226" s="181" t="s">
        <v>5150</v>
      </c>
      <c r="AV5226" s="173" t="s">
        <v>479</v>
      </c>
      <c r="AW5226" s="284" t="s">
        <v>5885</v>
      </c>
      <c r="AX5226" s="173" t="s">
        <v>479</v>
      </c>
      <c r="AY5226" s="284" t="s">
        <v>176</v>
      </c>
      <c r="AZ5226" s="174"/>
      <c r="BA5226" s="174"/>
      <c r="BB5226" s="174"/>
      <c r="BC5226" s="174"/>
      <c r="BD5226" s="174"/>
      <c r="BE5226" s="174" t="s">
        <v>5227</v>
      </c>
      <c r="BF5226" s="173"/>
      <c r="BG5226" s="173" t="s">
        <v>479</v>
      </c>
      <c r="BH5226" s="174" t="s">
        <v>5153</v>
      </c>
      <c r="BI5226" s="173" t="s">
        <v>176</v>
      </c>
      <c r="BJ5226" s="174" t="str">
        <f>IF(BE5226=BH5226,"No","yes")</f>
        <v>yes</v>
      </c>
      <c r="BK5226" s="174" t="s">
        <v>6334</v>
      </c>
      <c r="BL5226" s="174" t="s">
        <v>5886</v>
      </c>
      <c r="BM5226" s="174"/>
      <c r="BN5226" s="284">
        <v>3</v>
      </c>
      <c r="BO5226" s="284">
        <v>3</v>
      </c>
      <c r="BP5226" s="174"/>
      <c r="BQ5226" s="174"/>
      <c r="BR5226" s="174"/>
      <c r="BS5226" s="174"/>
      <c r="BT5226" s="174"/>
      <c r="BU5226" s="174"/>
      <c r="BV5226" s="174"/>
      <c r="BW5226" s="286"/>
      <c r="BX5226" s="286"/>
      <c r="BY5226" s="286"/>
      <c r="BZ5226" s="286"/>
      <c r="CA5226" s="286"/>
      <c r="CB5226" s="288">
        <v>2402</v>
      </c>
      <c r="CC5226" s="288">
        <v>441</v>
      </c>
      <c r="CD5226" s="288"/>
      <c r="CE5226" s="286">
        <v>517</v>
      </c>
      <c r="CF5226" s="286">
        <v>253</v>
      </c>
      <c r="CG5226" s="286"/>
      <c r="CH5226" s="283"/>
      <c r="CI5226" s="283"/>
      <c r="CJ5226" s="286"/>
      <c r="CK5226" s="286"/>
      <c r="CL5226" s="286"/>
      <c r="CM5226" s="289"/>
      <c r="CN5226" s="289"/>
      <c r="CO5226" s="289"/>
      <c r="CP5226" s="289"/>
      <c r="CQ5226" s="289"/>
      <c r="CR5226" s="289"/>
      <c r="CS5226" s="289"/>
      <c r="CT5226" s="289"/>
      <c r="CU5226" s="289"/>
      <c r="CV5226" s="289"/>
      <c r="CW5226" s="289"/>
      <c r="CX5226" s="289"/>
      <c r="CY5226" s="289"/>
      <c r="CZ5226" s="289"/>
      <c r="DA5226" s="286"/>
      <c r="DB5226" s="286"/>
      <c r="DC5226" s="286"/>
      <c r="DD5226" s="286"/>
      <c r="DE5226" s="286"/>
      <c r="DF5226" s="286"/>
      <c r="DG5226" s="286"/>
      <c r="DH5226" s="286"/>
      <c r="DI5226" s="286"/>
      <c r="DJ5226" s="286"/>
      <c r="DK5226" s="286"/>
      <c r="DL5226" s="286"/>
      <c r="DM5226" s="286"/>
      <c r="DN5226" s="286"/>
      <c r="DO5226" s="286"/>
      <c r="DP5226" s="286"/>
      <c r="DQ5226" s="290"/>
      <c r="DR5226" s="290"/>
      <c r="DS5226" s="286"/>
      <c r="DT5226" s="286"/>
      <c r="DU5226" s="286"/>
      <c r="DV5226" s="286"/>
      <c r="DW5226" s="286"/>
      <c r="DX5226" s="286"/>
      <c r="DY5226" s="286"/>
      <c r="DZ5226" s="286"/>
      <c r="EA5226" s="286"/>
      <c r="EB5226" s="286"/>
      <c r="EC5226" s="286"/>
      <c r="ED5226" s="286"/>
      <c r="EE5226" s="286"/>
      <c r="EF5226" s="286"/>
      <c r="EG5226" s="286"/>
      <c r="EH5226" s="286"/>
      <c r="EI5226" s="286"/>
      <c r="EJ5226" s="286"/>
      <c r="EK5226" s="283"/>
      <c r="EL5226" s="283"/>
      <c r="EM5226" s="286"/>
      <c r="EN5226" s="286"/>
      <c r="EO5226" s="286"/>
      <c r="EP5226" s="286"/>
      <c r="EQ5226" s="286"/>
      <c r="ER5226" s="286"/>
      <c r="ES5226" s="286"/>
      <c r="ET5226" s="286"/>
      <c r="EU5226" s="286"/>
      <c r="EV5226" s="286"/>
      <c r="EW5226" s="286"/>
      <c r="EX5226" s="286"/>
      <c r="EY5226" s="286"/>
      <c r="EZ5226" s="286"/>
      <c r="FA5226" s="286"/>
      <c r="FB5226" s="286"/>
      <c r="FC5226" s="286"/>
      <c r="FD5226" s="286"/>
      <c r="FE5226" s="286"/>
      <c r="FF5226" s="286"/>
      <c r="FG5226" s="286"/>
      <c r="FH5226" s="286"/>
      <c r="FI5226" s="286"/>
      <c r="FJ5226" s="286"/>
      <c r="FK5226" s="286"/>
      <c r="FL5226" s="286"/>
      <c r="FM5226" s="286"/>
      <c r="FN5226" s="286"/>
      <c r="FO5226" s="286"/>
      <c r="FP5226" s="286"/>
      <c r="FQ5226" s="286"/>
      <c r="FR5226" s="286"/>
      <c r="FS5226" s="286"/>
      <c r="FT5226" s="286"/>
      <c r="FU5226" s="286"/>
      <c r="FV5226" s="286"/>
      <c r="FW5226" s="286"/>
      <c r="FX5226" s="286"/>
      <c r="FY5226" s="286"/>
      <c r="FZ5226" s="286"/>
      <c r="GA5226" s="286"/>
      <c r="GB5226" s="286"/>
      <c r="GC5226" s="286"/>
      <c r="GD5226" s="286"/>
      <c r="GE5226" s="286"/>
      <c r="GF5226" s="286"/>
      <c r="GG5226" s="286"/>
      <c r="GH5226" s="286"/>
      <c r="GI5226" s="286"/>
      <c r="GJ5226" s="286"/>
      <c r="GK5226" s="286"/>
      <c r="GL5226" s="286"/>
      <c r="GM5226" s="286"/>
      <c r="GN5226" s="292"/>
      <c r="GO5226" s="292"/>
      <c r="GP5226" s="292" t="s">
        <v>7494</v>
      </c>
      <c r="GQ5226" s="286"/>
      <c r="GR5226" s="286"/>
      <c r="GS5226" s="286"/>
      <c r="GT5226" s="286"/>
      <c r="GU5226" s="286"/>
      <c r="GV5226" s="286"/>
      <c r="GW5226" s="286"/>
      <c r="GX5226" s="286"/>
      <c r="GY5226" s="286"/>
      <c r="GZ5226" s="286"/>
      <c r="HA5226" s="286"/>
      <c r="HB5226" s="286"/>
      <c r="HC5226" s="286"/>
      <c r="HD5226" s="286"/>
      <c r="HE5226" s="286"/>
      <c r="HF5226" s="286"/>
      <c r="HG5226" s="286"/>
      <c r="HH5226" s="286"/>
      <c r="HI5226" s="286"/>
      <c r="HJ5226" s="286"/>
      <c r="HK5226" s="286"/>
      <c r="HL5226" s="286"/>
      <c r="HM5226" s="286"/>
      <c r="HN5226" s="286"/>
      <c r="HO5226" s="286"/>
      <c r="HP5226" s="286"/>
      <c r="HQ5226" s="286"/>
      <c r="HR5226" s="286"/>
      <c r="HS5226" s="286"/>
      <c r="HT5226" s="286"/>
      <c r="HU5226" s="286"/>
      <c r="HV5226" s="286"/>
      <c r="HW5226" s="286"/>
      <c r="HX5226" s="286"/>
      <c r="HY5226" s="286"/>
      <c r="HZ5226" s="286"/>
      <c r="IA5226" s="286"/>
      <c r="IB5226" s="286"/>
      <c r="IC5226" s="286"/>
      <c r="ID5226" s="286"/>
      <c r="IE5226" s="286"/>
      <c r="IF5226" s="286"/>
      <c r="IG5226" s="286"/>
      <c r="IH5226" s="286"/>
      <c r="II5226" s="286"/>
      <c r="IJ5226" s="286"/>
      <c r="IK5226" s="286"/>
      <c r="IL5226" s="286"/>
      <c r="IM5226" s="286"/>
      <c r="IN5226" s="286"/>
      <c r="IO5226" s="286"/>
      <c r="IP5226" s="286"/>
      <c r="IQ5226" s="286"/>
      <c r="IR5226" s="286"/>
      <c r="IS5226" s="286"/>
      <c r="IT5226" s="286"/>
      <c r="IU5226" s="286"/>
      <c r="IV5226" s="286"/>
      <c r="IW5226" s="286"/>
      <c r="IX5226" s="286"/>
      <c r="IY5226" s="286"/>
      <c r="IZ5226" s="286"/>
      <c r="JA5226" s="286"/>
      <c r="JB5226" s="286"/>
      <c r="JC5226" s="286"/>
      <c r="JD5226" s="286"/>
      <c r="JE5226" s="286"/>
      <c r="JF5226" s="286"/>
      <c r="JG5226" s="286"/>
      <c r="JH5226" s="286"/>
      <c r="JI5226" s="286"/>
      <c r="JJ5226" s="286"/>
      <c r="JK5226" s="286"/>
      <c r="JL5226" s="286"/>
      <c r="JM5226" s="286"/>
      <c r="JN5226" s="286"/>
      <c r="JO5226" s="286"/>
      <c r="JP5226" s="286"/>
      <c r="JQ5226" s="286"/>
      <c r="JR5226" s="286"/>
      <c r="JS5226" s="286"/>
      <c r="JT5226" s="286"/>
      <c r="JU5226" s="174"/>
      <c r="JV5226" s="174"/>
      <c r="JW5226" s="174"/>
    </row>
    <row r="5227" spans="1:283" s="250" customFormat="1" x14ac:dyDescent="0.25">
      <c r="A5227" s="173">
        <v>5226</v>
      </c>
      <c r="B5227" s="175" t="s">
        <v>7067</v>
      </c>
      <c r="C5227" s="278">
        <v>280</v>
      </c>
      <c r="D5227" s="174" t="s">
        <v>5060</v>
      </c>
      <c r="E5227" s="279" t="str">
        <f>G5227</f>
        <v>Welsh et al. 2009_forage-grain</v>
      </c>
      <c r="F5227" s="279"/>
      <c r="G5227" s="280" t="s">
        <v>4668</v>
      </c>
      <c r="H5227" s="174">
        <v>2009</v>
      </c>
      <c r="I5227" s="174" t="s">
        <v>5599</v>
      </c>
      <c r="J5227" s="281" t="s">
        <v>282</v>
      </c>
      <c r="K5227" s="282" t="s">
        <v>5063</v>
      </c>
      <c r="L5227" s="174" t="s">
        <v>2738</v>
      </c>
      <c r="M5227" s="283">
        <f>49+39/60</f>
        <v>49.65</v>
      </c>
      <c r="N5227" s="283">
        <f>-97-7/60</f>
        <v>-97.11666666666666</v>
      </c>
      <c r="O5227" s="283">
        <v>232</v>
      </c>
      <c r="P5227" s="174"/>
      <c r="Q5227" s="284">
        <v>2.6</v>
      </c>
      <c r="R5227" s="174"/>
      <c r="S5227" s="285">
        <v>514</v>
      </c>
      <c r="T5227" s="174"/>
      <c r="U5227" s="284" t="s">
        <v>1679</v>
      </c>
      <c r="V5227" s="284">
        <v>13</v>
      </c>
      <c r="W5227" s="174"/>
      <c r="X5227" s="174"/>
      <c r="Y5227" s="174" t="s">
        <v>5879</v>
      </c>
      <c r="Z5227" s="284" t="s">
        <v>1349</v>
      </c>
      <c r="AA5227" s="285">
        <v>15</v>
      </c>
      <c r="AB5227" s="286"/>
      <c r="AC5227" s="286"/>
      <c r="AD5227" s="283"/>
      <c r="AE5227" s="283">
        <v>9</v>
      </c>
      <c r="AF5227" s="283">
        <v>26</v>
      </c>
      <c r="AG5227" s="285">
        <v>66</v>
      </c>
      <c r="AH5227" s="174" t="s">
        <v>769</v>
      </c>
      <c r="AI5227" s="174" t="s">
        <v>5882</v>
      </c>
      <c r="AJ5227" s="283">
        <f>7.7*0.58</f>
        <v>4.4660000000000002</v>
      </c>
      <c r="AK5227" s="283">
        <f>8*0.58</f>
        <v>4.6399999999999997</v>
      </c>
      <c r="AL5227" s="174"/>
      <c r="AM5227" s="174" t="s">
        <v>5880</v>
      </c>
      <c r="AN5227" s="174"/>
      <c r="AO5227" s="185" t="s">
        <v>5150</v>
      </c>
      <c r="AP5227" s="174"/>
      <c r="AQ5227" s="174"/>
      <c r="AR5227" s="174" t="s">
        <v>116</v>
      </c>
      <c r="AS5227" s="287" t="s">
        <v>5133</v>
      </c>
      <c r="AT5227" s="284" t="s">
        <v>5885</v>
      </c>
      <c r="AU5227" s="181" t="s">
        <v>5150</v>
      </c>
      <c r="AV5227" s="173" t="s">
        <v>479</v>
      </c>
      <c r="AW5227" s="284" t="s">
        <v>5885</v>
      </c>
      <c r="AX5227" s="173" t="s">
        <v>479</v>
      </c>
      <c r="AY5227" s="284" t="s">
        <v>176</v>
      </c>
      <c r="AZ5227" s="174"/>
      <c r="BA5227" s="174"/>
      <c r="BB5227" s="174"/>
      <c r="BC5227" s="174"/>
      <c r="BD5227" s="174"/>
      <c r="BE5227" s="174" t="s">
        <v>5153</v>
      </c>
      <c r="BF5227" s="173" t="s">
        <v>176</v>
      </c>
      <c r="BG5227" s="173" t="s">
        <v>176</v>
      </c>
      <c r="BH5227" s="174" t="s">
        <v>5153</v>
      </c>
      <c r="BI5227" s="173" t="s">
        <v>176</v>
      </c>
      <c r="BJ5227" s="174" t="str">
        <f>IF(BE5227=BH5227,"No","yes")</f>
        <v>No</v>
      </c>
      <c r="BK5227" s="174" t="s">
        <v>6334</v>
      </c>
      <c r="BL5227" s="174" t="s">
        <v>5886</v>
      </c>
      <c r="BM5227" s="174"/>
      <c r="BN5227" s="284">
        <v>3</v>
      </c>
      <c r="BO5227" s="284">
        <v>3</v>
      </c>
      <c r="BP5227" s="174"/>
      <c r="BQ5227" s="174"/>
      <c r="BR5227" s="174"/>
      <c r="BS5227" s="174"/>
      <c r="BT5227" s="174"/>
      <c r="BU5227" s="174"/>
      <c r="BV5227" s="174"/>
      <c r="BW5227" s="286"/>
      <c r="BX5227" s="286"/>
      <c r="BY5227" s="286"/>
      <c r="BZ5227" s="286"/>
      <c r="CA5227" s="286"/>
      <c r="CB5227" s="288">
        <v>2854</v>
      </c>
      <c r="CC5227" s="288">
        <v>1372</v>
      </c>
      <c r="CD5227" s="288"/>
      <c r="CE5227" s="286">
        <v>114</v>
      </c>
      <c r="CF5227" s="286">
        <v>174</v>
      </c>
      <c r="CG5227" s="286"/>
      <c r="CH5227" s="283"/>
      <c r="CI5227" s="283"/>
      <c r="CJ5227" s="286"/>
      <c r="CK5227" s="286"/>
      <c r="CL5227" s="286"/>
      <c r="CM5227" s="289"/>
      <c r="CN5227" s="289"/>
      <c r="CO5227" s="289"/>
      <c r="CP5227" s="289"/>
      <c r="CQ5227" s="289"/>
      <c r="CR5227" s="289"/>
      <c r="CS5227" s="289"/>
      <c r="CT5227" s="289"/>
      <c r="CU5227" s="289"/>
      <c r="CV5227" s="289"/>
      <c r="CW5227" s="289"/>
      <c r="CX5227" s="289"/>
      <c r="CY5227" s="289"/>
      <c r="CZ5227" s="289"/>
      <c r="DA5227" s="286"/>
      <c r="DB5227" s="286"/>
      <c r="DC5227" s="286"/>
      <c r="DD5227" s="286"/>
      <c r="DE5227" s="286"/>
      <c r="DF5227" s="286"/>
      <c r="DG5227" s="286"/>
      <c r="DH5227" s="286"/>
      <c r="DI5227" s="286"/>
      <c r="DJ5227" s="286"/>
      <c r="DK5227" s="286"/>
      <c r="DL5227" s="286"/>
      <c r="DM5227" s="286"/>
      <c r="DN5227" s="286"/>
      <c r="DO5227" s="286"/>
      <c r="DP5227" s="286"/>
      <c r="DQ5227" s="290"/>
      <c r="DR5227" s="290"/>
      <c r="DS5227" s="286"/>
      <c r="DT5227" s="286"/>
      <c r="DU5227" s="286"/>
      <c r="DV5227" s="286"/>
      <c r="DW5227" s="286"/>
      <c r="DX5227" s="286"/>
      <c r="DY5227" s="286"/>
      <c r="DZ5227" s="286"/>
      <c r="EA5227" s="286"/>
      <c r="EB5227" s="286"/>
      <c r="EC5227" s="286"/>
      <c r="ED5227" s="286"/>
      <c r="EE5227" s="286"/>
      <c r="EF5227" s="286"/>
      <c r="EG5227" s="286"/>
      <c r="EH5227" s="286"/>
      <c r="EI5227" s="286"/>
      <c r="EJ5227" s="286"/>
      <c r="EK5227" s="283"/>
      <c r="EL5227" s="283"/>
      <c r="EM5227" s="286"/>
      <c r="EN5227" s="286"/>
      <c r="EO5227" s="286"/>
      <c r="EP5227" s="286"/>
      <c r="EQ5227" s="286"/>
      <c r="ER5227" s="286"/>
      <c r="ES5227" s="286"/>
      <c r="ET5227" s="286"/>
      <c r="EU5227" s="286"/>
      <c r="EV5227" s="286"/>
      <c r="EW5227" s="286"/>
      <c r="EX5227" s="286"/>
      <c r="EY5227" s="286"/>
      <c r="EZ5227" s="286"/>
      <c r="FA5227" s="286"/>
      <c r="FB5227" s="286"/>
      <c r="FC5227" s="286"/>
      <c r="FD5227" s="286"/>
      <c r="FE5227" s="286"/>
      <c r="FF5227" s="286"/>
      <c r="FG5227" s="286"/>
      <c r="FH5227" s="286"/>
      <c r="FI5227" s="286"/>
      <c r="FJ5227" s="286"/>
      <c r="FK5227" s="286"/>
      <c r="FL5227" s="286"/>
      <c r="FM5227" s="286"/>
      <c r="FN5227" s="286"/>
      <c r="FO5227" s="286"/>
      <c r="FP5227" s="286"/>
      <c r="FQ5227" s="286"/>
      <c r="FR5227" s="286"/>
      <c r="FS5227" s="286"/>
      <c r="FT5227" s="286"/>
      <c r="FU5227" s="286"/>
      <c r="FV5227" s="286"/>
      <c r="FW5227" s="286"/>
      <c r="FX5227" s="286"/>
      <c r="FY5227" s="286"/>
      <c r="FZ5227" s="286"/>
      <c r="GA5227" s="286"/>
      <c r="GB5227" s="286"/>
      <c r="GC5227" s="286"/>
      <c r="GD5227" s="286"/>
      <c r="GE5227" s="286"/>
      <c r="GF5227" s="286"/>
      <c r="GG5227" s="286"/>
      <c r="GH5227" s="286"/>
      <c r="GI5227" s="286"/>
      <c r="GJ5227" s="286"/>
      <c r="GK5227" s="286"/>
      <c r="GL5227" s="286"/>
      <c r="GM5227" s="286"/>
      <c r="GN5227" s="292"/>
      <c r="GO5227" s="292"/>
      <c r="GP5227" s="292" t="s">
        <v>7494</v>
      </c>
      <c r="GQ5227" s="286"/>
      <c r="GR5227" s="286"/>
      <c r="GS5227" s="286"/>
      <c r="GT5227" s="286"/>
      <c r="GU5227" s="286"/>
      <c r="GV5227" s="286"/>
      <c r="GW5227" s="286"/>
      <c r="GX5227" s="286"/>
      <c r="GY5227" s="286"/>
      <c r="GZ5227" s="286"/>
      <c r="HA5227" s="286"/>
      <c r="HB5227" s="286"/>
      <c r="HC5227" s="286"/>
      <c r="HD5227" s="286"/>
      <c r="HE5227" s="286"/>
      <c r="HF5227" s="286"/>
      <c r="HG5227" s="286"/>
      <c r="HH5227" s="286"/>
      <c r="HI5227" s="286"/>
      <c r="HJ5227" s="286"/>
      <c r="HK5227" s="286"/>
      <c r="HL5227" s="286"/>
      <c r="HM5227" s="286"/>
      <c r="HN5227" s="286"/>
      <c r="HO5227" s="286"/>
      <c r="HP5227" s="286"/>
      <c r="HQ5227" s="286"/>
      <c r="HR5227" s="286"/>
      <c r="HS5227" s="286"/>
      <c r="HT5227" s="286"/>
      <c r="HU5227" s="286"/>
      <c r="HV5227" s="286"/>
      <c r="HW5227" s="286"/>
      <c r="HX5227" s="286"/>
      <c r="HY5227" s="286"/>
      <c r="HZ5227" s="286"/>
      <c r="IA5227" s="286"/>
      <c r="IB5227" s="286"/>
      <c r="IC5227" s="286"/>
      <c r="ID5227" s="286"/>
      <c r="IE5227" s="286"/>
      <c r="IF5227" s="286"/>
      <c r="IG5227" s="286"/>
      <c r="IH5227" s="286"/>
      <c r="II5227" s="286"/>
      <c r="IJ5227" s="286"/>
      <c r="IK5227" s="286"/>
      <c r="IL5227" s="286"/>
      <c r="IM5227" s="286"/>
      <c r="IN5227" s="286"/>
      <c r="IO5227" s="286"/>
      <c r="IP5227" s="286"/>
      <c r="IQ5227" s="286"/>
      <c r="IR5227" s="286"/>
      <c r="IS5227" s="286"/>
      <c r="IT5227" s="286"/>
      <c r="IU5227" s="286"/>
      <c r="IV5227" s="286"/>
      <c r="IW5227" s="286"/>
      <c r="IX5227" s="286"/>
      <c r="IY5227" s="286"/>
      <c r="IZ5227" s="286"/>
      <c r="JA5227" s="286"/>
      <c r="JB5227" s="286"/>
      <c r="JC5227" s="286"/>
      <c r="JD5227" s="286"/>
      <c r="JE5227" s="286"/>
      <c r="JF5227" s="286"/>
      <c r="JG5227" s="286"/>
      <c r="JH5227" s="286"/>
      <c r="JI5227" s="286"/>
      <c r="JJ5227" s="286"/>
      <c r="JK5227" s="286"/>
      <c r="JL5227" s="286"/>
      <c r="JM5227" s="286"/>
      <c r="JN5227" s="286"/>
      <c r="JO5227" s="286"/>
      <c r="JP5227" s="286"/>
      <c r="JQ5227" s="286"/>
      <c r="JR5227" s="286"/>
      <c r="JS5227" s="286"/>
      <c r="JT5227" s="286"/>
      <c r="JU5227" s="174"/>
      <c r="JV5227" s="174"/>
      <c r="JW5227" s="174"/>
    </row>
    <row r="5228" spans="1:283" s="250" customFormat="1" x14ac:dyDescent="0.25">
      <c r="A5228" s="173">
        <v>5227</v>
      </c>
      <c r="B5228" s="175" t="s">
        <v>7067</v>
      </c>
      <c r="C5228" s="278">
        <v>280</v>
      </c>
      <c r="D5228" s="174" t="s">
        <v>5061</v>
      </c>
      <c r="E5228" s="279" t="str">
        <f>G5228</f>
        <v>Welsh et al. 2009_grain only</v>
      </c>
      <c r="F5228" s="279"/>
      <c r="G5228" s="280" t="s">
        <v>4667</v>
      </c>
      <c r="H5228" s="174">
        <v>2009</v>
      </c>
      <c r="I5228" s="174" t="s">
        <v>5643</v>
      </c>
      <c r="J5228" s="281" t="s">
        <v>282</v>
      </c>
      <c r="K5228" s="282" t="s">
        <v>5063</v>
      </c>
      <c r="L5228" s="174" t="s">
        <v>2738</v>
      </c>
      <c r="M5228" s="283">
        <f>49+39/60</f>
        <v>49.65</v>
      </c>
      <c r="N5228" s="283">
        <f>-97-7/60</f>
        <v>-97.11666666666666</v>
      </c>
      <c r="O5228" s="283">
        <v>232</v>
      </c>
      <c r="P5228" s="174"/>
      <c r="Q5228" s="284">
        <v>2.6</v>
      </c>
      <c r="R5228" s="174"/>
      <c r="S5228" s="285">
        <v>514</v>
      </c>
      <c r="T5228" s="174"/>
      <c r="U5228" s="284" t="s">
        <v>1889</v>
      </c>
      <c r="V5228" s="284">
        <v>13</v>
      </c>
      <c r="W5228" s="174"/>
      <c r="X5228" s="174"/>
      <c r="Y5228" s="174" t="s">
        <v>5879</v>
      </c>
      <c r="Z5228" s="284" t="s">
        <v>1349</v>
      </c>
      <c r="AA5228" s="285">
        <v>15</v>
      </c>
      <c r="AB5228" s="286"/>
      <c r="AC5228" s="286"/>
      <c r="AD5228" s="283"/>
      <c r="AE5228" s="283">
        <v>9</v>
      </c>
      <c r="AF5228" s="283">
        <v>26</v>
      </c>
      <c r="AG5228" s="285">
        <v>66</v>
      </c>
      <c r="AH5228" s="174" t="s">
        <v>769</v>
      </c>
      <c r="AI5228" s="174" t="s">
        <v>1676</v>
      </c>
      <c r="AJ5228" s="283">
        <f>7.7*0.58</f>
        <v>4.4660000000000002</v>
      </c>
      <c r="AK5228" s="283">
        <f>8*0.58</f>
        <v>4.6399999999999997</v>
      </c>
      <c r="AL5228" s="174"/>
      <c r="AM5228" s="174" t="s">
        <v>5880</v>
      </c>
      <c r="AN5228" s="174"/>
      <c r="AO5228" s="185" t="s">
        <v>5150</v>
      </c>
      <c r="AP5228" s="174"/>
      <c r="AQ5228" s="174"/>
      <c r="AR5228" s="174" t="s">
        <v>116</v>
      </c>
      <c r="AS5228" s="287" t="s">
        <v>5133</v>
      </c>
      <c r="AT5228" s="284" t="s">
        <v>5885</v>
      </c>
      <c r="AU5228" s="181" t="s">
        <v>5150</v>
      </c>
      <c r="AV5228" s="173" t="s">
        <v>479</v>
      </c>
      <c r="AW5228" s="284" t="s">
        <v>5885</v>
      </c>
      <c r="AX5228" s="173" t="s">
        <v>479</v>
      </c>
      <c r="AY5228" s="284" t="s">
        <v>176</v>
      </c>
      <c r="AZ5228" s="174"/>
      <c r="BA5228" s="174"/>
      <c r="BB5228" s="174"/>
      <c r="BC5228" s="174"/>
      <c r="BD5228" s="174"/>
      <c r="BE5228" s="174" t="s">
        <v>5227</v>
      </c>
      <c r="BF5228" s="173"/>
      <c r="BG5228" s="173" t="s">
        <v>479</v>
      </c>
      <c r="BH5228" s="174" t="s">
        <v>5153</v>
      </c>
      <c r="BI5228" s="173" t="s">
        <v>176</v>
      </c>
      <c r="BJ5228" s="174" t="str">
        <f>IF(BE5228=BH5228,"No","yes")</f>
        <v>yes</v>
      </c>
      <c r="BK5228" s="174" t="s">
        <v>6334</v>
      </c>
      <c r="BL5228" s="174" t="s">
        <v>5886</v>
      </c>
      <c r="BM5228" s="174"/>
      <c r="BN5228" s="284">
        <v>3</v>
      </c>
      <c r="BO5228" s="284">
        <v>3</v>
      </c>
      <c r="BP5228" s="174"/>
      <c r="BQ5228" s="174"/>
      <c r="BR5228" s="174"/>
      <c r="BS5228" s="174"/>
      <c r="BT5228" s="174"/>
      <c r="BU5228" s="174"/>
      <c r="BV5228" s="174"/>
      <c r="BW5228" s="286"/>
      <c r="BX5228" s="286"/>
      <c r="BY5228" s="286"/>
      <c r="BZ5228" s="286"/>
      <c r="CA5228" s="286"/>
      <c r="CB5228" s="288">
        <v>1693</v>
      </c>
      <c r="CC5228" s="288">
        <v>231</v>
      </c>
      <c r="CD5228" s="288"/>
      <c r="CE5228" s="286">
        <v>84</v>
      </c>
      <c r="CF5228" s="286">
        <v>23</v>
      </c>
      <c r="CG5228" s="286"/>
      <c r="CH5228" s="283"/>
      <c r="CI5228" s="283"/>
      <c r="CJ5228" s="286"/>
      <c r="CK5228" s="286"/>
      <c r="CL5228" s="286"/>
      <c r="CM5228" s="289"/>
      <c r="CN5228" s="289"/>
      <c r="CO5228" s="289"/>
      <c r="CP5228" s="289"/>
      <c r="CQ5228" s="289"/>
      <c r="CR5228" s="289"/>
      <c r="CS5228" s="289"/>
      <c r="CT5228" s="289"/>
      <c r="CU5228" s="289"/>
      <c r="CV5228" s="289"/>
      <c r="CW5228" s="289"/>
      <c r="CX5228" s="289"/>
      <c r="CY5228" s="289"/>
      <c r="CZ5228" s="289"/>
      <c r="DA5228" s="286"/>
      <c r="DB5228" s="286"/>
      <c r="DC5228" s="286"/>
      <c r="DD5228" s="286"/>
      <c r="DE5228" s="286"/>
      <c r="DF5228" s="286"/>
      <c r="DG5228" s="286"/>
      <c r="DH5228" s="286"/>
      <c r="DI5228" s="286"/>
      <c r="DJ5228" s="286"/>
      <c r="DK5228" s="286"/>
      <c r="DL5228" s="286"/>
      <c r="DM5228" s="286"/>
      <c r="DN5228" s="286"/>
      <c r="DO5228" s="286"/>
      <c r="DP5228" s="286"/>
      <c r="DQ5228" s="290"/>
      <c r="DR5228" s="290"/>
      <c r="DS5228" s="286"/>
      <c r="DT5228" s="286"/>
      <c r="DU5228" s="286"/>
      <c r="DV5228" s="286"/>
      <c r="DW5228" s="286"/>
      <c r="DX5228" s="286"/>
      <c r="DY5228" s="286"/>
      <c r="DZ5228" s="286"/>
      <c r="EA5228" s="286"/>
      <c r="EB5228" s="286"/>
      <c r="EC5228" s="286"/>
      <c r="ED5228" s="286"/>
      <c r="EE5228" s="286"/>
      <c r="EF5228" s="286"/>
      <c r="EG5228" s="286"/>
      <c r="EH5228" s="286"/>
      <c r="EI5228" s="286"/>
      <c r="EJ5228" s="286"/>
      <c r="EK5228" s="283"/>
      <c r="EL5228" s="283"/>
      <c r="EM5228" s="286"/>
      <c r="EN5228" s="286"/>
      <c r="EO5228" s="286"/>
      <c r="EP5228" s="286"/>
      <c r="EQ5228" s="286"/>
      <c r="ER5228" s="286"/>
      <c r="ES5228" s="286"/>
      <c r="ET5228" s="286"/>
      <c r="EU5228" s="286"/>
      <c r="EV5228" s="286"/>
      <c r="EW5228" s="286"/>
      <c r="EX5228" s="286"/>
      <c r="EY5228" s="286"/>
      <c r="EZ5228" s="286"/>
      <c r="FA5228" s="286"/>
      <c r="FB5228" s="286"/>
      <c r="FC5228" s="286"/>
      <c r="FD5228" s="286"/>
      <c r="FE5228" s="286"/>
      <c r="FF5228" s="286"/>
      <c r="FG5228" s="286"/>
      <c r="FH5228" s="286"/>
      <c r="FI5228" s="286"/>
      <c r="FJ5228" s="286"/>
      <c r="FK5228" s="286"/>
      <c r="FL5228" s="286"/>
      <c r="FM5228" s="286"/>
      <c r="FN5228" s="286"/>
      <c r="FO5228" s="286"/>
      <c r="FP5228" s="286"/>
      <c r="FQ5228" s="286"/>
      <c r="FR5228" s="286"/>
      <c r="FS5228" s="286"/>
      <c r="FT5228" s="286"/>
      <c r="FU5228" s="286"/>
      <c r="FV5228" s="286"/>
      <c r="FW5228" s="286"/>
      <c r="FX5228" s="286"/>
      <c r="FY5228" s="286"/>
      <c r="FZ5228" s="286"/>
      <c r="GA5228" s="286"/>
      <c r="GB5228" s="286"/>
      <c r="GC5228" s="286"/>
      <c r="GD5228" s="286"/>
      <c r="GE5228" s="286"/>
      <c r="GF5228" s="286"/>
      <c r="GG5228" s="286"/>
      <c r="GH5228" s="286"/>
      <c r="GI5228" s="286"/>
      <c r="GJ5228" s="286"/>
      <c r="GK5228" s="286"/>
      <c r="GL5228" s="286"/>
      <c r="GM5228" s="286"/>
      <c r="GN5228" s="292"/>
      <c r="GO5228" s="292"/>
      <c r="GP5228" s="292" t="s">
        <v>7494</v>
      </c>
      <c r="GQ5228" s="286"/>
      <c r="GR5228" s="286"/>
      <c r="GS5228" s="286"/>
      <c r="GT5228" s="286"/>
      <c r="GU5228" s="286"/>
      <c r="GV5228" s="286"/>
      <c r="GW5228" s="286"/>
      <c r="GX5228" s="286"/>
      <c r="GY5228" s="286"/>
      <c r="GZ5228" s="286"/>
      <c r="HA5228" s="286"/>
      <c r="HB5228" s="286"/>
      <c r="HC5228" s="286"/>
      <c r="HD5228" s="286"/>
      <c r="HE5228" s="286"/>
      <c r="HF5228" s="286"/>
      <c r="HG5228" s="286"/>
      <c r="HH5228" s="286"/>
      <c r="HI5228" s="286"/>
      <c r="HJ5228" s="286"/>
      <c r="HK5228" s="286"/>
      <c r="HL5228" s="286"/>
      <c r="HM5228" s="286"/>
      <c r="HN5228" s="286"/>
      <c r="HO5228" s="286"/>
      <c r="HP5228" s="286"/>
      <c r="HQ5228" s="286"/>
      <c r="HR5228" s="286"/>
      <c r="HS5228" s="286"/>
      <c r="HT5228" s="286"/>
      <c r="HU5228" s="286"/>
      <c r="HV5228" s="286"/>
      <c r="HW5228" s="286"/>
      <c r="HX5228" s="286"/>
      <c r="HY5228" s="286"/>
      <c r="HZ5228" s="286"/>
      <c r="IA5228" s="286"/>
      <c r="IB5228" s="286"/>
      <c r="IC5228" s="286"/>
      <c r="ID5228" s="286"/>
      <c r="IE5228" s="286"/>
      <c r="IF5228" s="286"/>
      <c r="IG5228" s="286"/>
      <c r="IH5228" s="286"/>
      <c r="II5228" s="286"/>
      <c r="IJ5228" s="286"/>
      <c r="IK5228" s="286"/>
      <c r="IL5228" s="286"/>
      <c r="IM5228" s="286"/>
      <c r="IN5228" s="286"/>
      <c r="IO5228" s="286"/>
      <c r="IP5228" s="286"/>
      <c r="IQ5228" s="286"/>
      <c r="IR5228" s="286"/>
      <c r="IS5228" s="286"/>
      <c r="IT5228" s="286"/>
      <c r="IU5228" s="286"/>
      <c r="IV5228" s="286"/>
      <c r="IW5228" s="286"/>
      <c r="IX5228" s="286"/>
      <c r="IY5228" s="286"/>
      <c r="IZ5228" s="286"/>
      <c r="JA5228" s="286"/>
      <c r="JB5228" s="286"/>
      <c r="JC5228" s="286"/>
      <c r="JD5228" s="286"/>
      <c r="JE5228" s="286"/>
      <c r="JF5228" s="286"/>
      <c r="JG5228" s="286"/>
      <c r="JH5228" s="286"/>
      <c r="JI5228" s="286"/>
      <c r="JJ5228" s="286"/>
      <c r="JK5228" s="286"/>
      <c r="JL5228" s="286"/>
      <c r="JM5228" s="286"/>
      <c r="JN5228" s="286"/>
      <c r="JO5228" s="286"/>
      <c r="JP5228" s="286"/>
      <c r="JQ5228" s="286"/>
      <c r="JR5228" s="286"/>
      <c r="JS5228" s="286"/>
      <c r="JT5228" s="286"/>
      <c r="JU5228" s="174"/>
      <c r="JV5228" s="174"/>
      <c r="JW5228" s="174"/>
    </row>
    <row r="5229" spans="1:283" s="250" customFormat="1" x14ac:dyDescent="0.25">
      <c r="A5229" s="173">
        <v>5228</v>
      </c>
      <c r="B5229" s="175" t="s">
        <v>7067</v>
      </c>
      <c r="C5229" s="278">
        <v>280</v>
      </c>
      <c r="D5229" s="174" t="s">
        <v>5060</v>
      </c>
      <c r="E5229" s="279" t="str">
        <f>G5229</f>
        <v>Welsh et al. 2009_forage-grain</v>
      </c>
      <c r="F5229" s="279"/>
      <c r="G5229" s="280" t="s">
        <v>4668</v>
      </c>
      <c r="H5229" s="174">
        <v>2009</v>
      </c>
      <c r="I5229" s="174" t="s">
        <v>5643</v>
      </c>
      <c r="J5229" s="281" t="s">
        <v>282</v>
      </c>
      <c r="K5229" s="282" t="s">
        <v>5063</v>
      </c>
      <c r="L5229" s="174" t="s">
        <v>2738</v>
      </c>
      <c r="M5229" s="283">
        <f>49+39/60</f>
        <v>49.65</v>
      </c>
      <c r="N5229" s="283">
        <f>-97-7/60</f>
        <v>-97.11666666666666</v>
      </c>
      <c r="O5229" s="283">
        <v>232</v>
      </c>
      <c r="P5229" s="174"/>
      <c r="Q5229" s="284">
        <v>2.6</v>
      </c>
      <c r="R5229" s="174"/>
      <c r="S5229" s="285">
        <v>514</v>
      </c>
      <c r="T5229" s="174"/>
      <c r="U5229" s="284" t="s">
        <v>1889</v>
      </c>
      <c r="V5229" s="284">
        <v>13</v>
      </c>
      <c r="W5229" s="174"/>
      <c r="X5229" s="174"/>
      <c r="Y5229" s="174" t="s">
        <v>5879</v>
      </c>
      <c r="Z5229" s="284" t="s">
        <v>1349</v>
      </c>
      <c r="AA5229" s="285">
        <v>15</v>
      </c>
      <c r="AB5229" s="286"/>
      <c r="AC5229" s="286"/>
      <c r="AD5229" s="283"/>
      <c r="AE5229" s="283">
        <v>9</v>
      </c>
      <c r="AF5229" s="283">
        <v>26</v>
      </c>
      <c r="AG5229" s="285">
        <v>66</v>
      </c>
      <c r="AH5229" s="174" t="s">
        <v>769</v>
      </c>
      <c r="AI5229" s="174" t="s">
        <v>5882</v>
      </c>
      <c r="AJ5229" s="283">
        <f>7.7*0.58</f>
        <v>4.4660000000000002</v>
      </c>
      <c r="AK5229" s="283">
        <f>8*0.58</f>
        <v>4.6399999999999997</v>
      </c>
      <c r="AL5229" s="174"/>
      <c r="AM5229" s="174" t="s">
        <v>5880</v>
      </c>
      <c r="AN5229" s="174"/>
      <c r="AO5229" s="185" t="s">
        <v>5150</v>
      </c>
      <c r="AP5229" s="174"/>
      <c r="AQ5229" s="174"/>
      <c r="AR5229" s="174" t="s">
        <v>116</v>
      </c>
      <c r="AS5229" s="287" t="s">
        <v>5133</v>
      </c>
      <c r="AT5229" s="284" t="s">
        <v>5885</v>
      </c>
      <c r="AU5229" s="181" t="s">
        <v>5150</v>
      </c>
      <c r="AV5229" s="173" t="s">
        <v>479</v>
      </c>
      <c r="AW5229" s="284" t="s">
        <v>5885</v>
      </c>
      <c r="AX5229" s="173" t="s">
        <v>479</v>
      </c>
      <c r="AY5229" s="284" t="s">
        <v>176</v>
      </c>
      <c r="AZ5229" s="174"/>
      <c r="BA5229" s="174"/>
      <c r="BB5229" s="174"/>
      <c r="BC5229" s="174"/>
      <c r="BD5229" s="174"/>
      <c r="BE5229" s="174" t="s">
        <v>5153</v>
      </c>
      <c r="BF5229" s="173" t="s">
        <v>176</v>
      </c>
      <c r="BG5229" s="173" t="s">
        <v>176</v>
      </c>
      <c r="BH5229" s="174" t="s">
        <v>5153</v>
      </c>
      <c r="BI5229" s="173" t="s">
        <v>176</v>
      </c>
      <c r="BJ5229" s="174" t="str">
        <f>IF(BE5229=BH5229,"No","yes")</f>
        <v>No</v>
      </c>
      <c r="BK5229" s="174" t="s">
        <v>6334</v>
      </c>
      <c r="BL5229" s="174" t="s">
        <v>5886</v>
      </c>
      <c r="BM5229" s="174"/>
      <c r="BN5229" s="284">
        <v>3</v>
      </c>
      <c r="BO5229" s="284">
        <v>3</v>
      </c>
      <c r="BP5229" s="174"/>
      <c r="BQ5229" s="174"/>
      <c r="BR5229" s="174"/>
      <c r="BS5229" s="174"/>
      <c r="BT5229" s="174"/>
      <c r="BU5229" s="174"/>
      <c r="BV5229" s="174"/>
      <c r="BW5229" s="286"/>
      <c r="BX5229" s="286"/>
      <c r="BY5229" s="286"/>
      <c r="BZ5229" s="286"/>
      <c r="CA5229" s="286"/>
      <c r="CB5229" s="288">
        <v>1328</v>
      </c>
      <c r="CC5229" s="288">
        <v>482</v>
      </c>
      <c r="CD5229" s="288"/>
      <c r="CE5229" s="286">
        <v>209</v>
      </c>
      <c r="CF5229" s="286">
        <v>264</v>
      </c>
      <c r="CG5229" s="286"/>
      <c r="CH5229" s="283"/>
      <c r="CI5229" s="283"/>
      <c r="CJ5229" s="286"/>
      <c r="CK5229" s="286"/>
      <c r="CL5229" s="286"/>
      <c r="CM5229" s="289"/>
      <c r="CN5229" s="289"/>
      <c r="CO5229" s="289"/>
      <c r="CP5229" s="289"/>
      <c r="CQ5229" s="289"/>
      <c r="CR5229" s="289"/>
      <c r="CS5229" s="289"/>
      <c r="CT5229" s="289"/>
      <c r="CU5229" s="289"/>
      <c r="CV5229" s="289"/>
      <c r="CW5229" s="289"/>
      <c r="CX5229" s="289"/>
      <c r="CY5229" s="289"/>
      <c r="CZ5229" s="289"/>
      <c r="DA5229" s="286"/>
      <c r="DB5229" s="286"/>
      <c r="DC5229" s="286"/>
      <c r="DD5229" s="286"/>
      <c r="DE5229" s="286"/>
      <c r="DF5229" s="286"/>
      <c r="DG5229" s="286"/>
      <c r="DH5229" s="286"/>
      <c r="DI5229" s="286"/>
      <c r="DJ5229" s="286"/>
      <c r="DK5229" s="286"/>
      <c r="DL5229" s="286"/>
      <c r="DM5229" s="286"/>
      <c r="DN5229" s="286"/>
      <c r="DO5229" s="286"/>
      <c r="DP5229" s="286"/>
      <c r="DQ5229" s="290"/>
      <c r="DR5229" s="290"/>
      <c r="DS5229" s="286"/>
      <c r="DT5229" s="286"/>
      <c r="DU5229" s="286"/>
      <c r="DV5229" s="286"/>
      <c r="DW5229" s="286"/>
      <c r="DX5229" s="286"/>
      <c r="DY5229" s="286"/>
      <c r="DZ5229" s="286"/>
      <c r="EA5229" s="286"/>
      <c r="EB5229" s="286"/>
      <c r="EC5229" s="286"/>
      <c r="ED5229" s="286"/>
      <c r="EE5229" s="286"/>
      <c r="EF5229" s="286"/>
      <c r="EG5229" s="286"/>
      <c r="EH5229" s="286"/>
      <c r="EI5229" s="286"/>
      <c r="EJ5229" s="286"/>
      <c r="EK5229" s="283"/>
      <c r="EL5229" s="283"/>
      <c r="EM5229" s="286"/>
      <c r="EN5229" s="286"/>
      <c r="EO5229" s="286"/>
      <c r="EP5229" s="286"/>
      <c r="EQ5229" s="286"/>
      <c r="ER5229" s="286"/>
      <c r="ES5229" s="286"/>
      <c r="ET5229" s="286"/>
      <c r="EU5229" s="286"/>
      <c r="EV5229" s="286"/>
      <c r="EW5229" s="286"/>
      <c r="EX5229" s="286"/>
      <c r="EY5229" s="286"/>
      <c r="EZ5229" s="286"/>
      <c r="FA5229" s="286"/>
      <c r="FB5229" s="286"/>
      <c r="FC5229" s="286"/>
      <c r="FD5229" s="286"/>
      <c r="FE5229" s="286"/>
      <c r="FF5229" s="286"/>
      <c r="FG5229" s="286"/>
      <c r="FH5229" s="286"/>
      <c r="FI5229" s="286"/>
      <c r="FJ5229" s="286"/>
      <c r="FK5229" s="286"/>
      <c r="FL5229" s="286"/>
      <c r="FM5229" s="286"/>
      <c r="FN5229" s="286"/>
      <c r="FO5229" s="286"/>
      <c r="FP5229" s="286"/>
      <c r="FQ5229" s="286"/>
      <c r="FR5229" s="286"/>
      <c r="FS5229" s="286"/>
      <c r="FT5229" s="286"/>
      <c r="FU5229" s="286"/>
      <c r="FV5229" s="286"/>
      <c r="FW5229" s="286"/>
      <c r="FX5229" s="286"/>
      <c r="FY5229" s="286"/>
      <c r="FZ5229" s="286"/>
      <c r="GA5229" s="286"/>
      <c r="GB5229" s="286"/>
      <c r="GC5229" s="286"/>
      <c r="GD5229" s="286"/>
      <c r="GE5229" s="286"/>
      <c r="GF5229" s="286"/>
      <c r="GG5229" s="286"/>
      <c r="GH5229" s="286"/>
      <c r="GI5229" s="286"/>
      <c r="GJ5229" s="286"/>
      <c r="GK5229" s="286"/>
      <c r="GL5229" s="286"/>
      <c r="GM5229" s="286"/>
      <c r="GN5229" s="292"/>
      <c r="GO5229" s="292"/>
      <c r="GP5229" s="292" t="s">
        <v>7494</v>
      </c>
      <c r="GQ5229" s="286"/>
      <c r="GR5229" s="286"/>
      <c r="GS5229" s="286"/>
      <c r="GT5229" s="286"/>
      <c r="GU5229" s="286"/>
      <c r="GV5229" s="286"/>
      <c r="GW5229" s="286"/>
      <c r="GX5229" s="286"/>
      <c r="GY5229" s="286"/>
      <c r="GZ5229" s="286"/>
      <c r="HA5229" s="286"/>
      <c r="HB5229" s="286"/>
      <c r="HC5229" s="286"/>
      <c r="HD5229" s="286"/>
      <c r="HE5229" s="286"/>
      <c r="HF5229" s="286"/>
      <c r="HG5229" s="286"/>
      <c r="HH5229" s="286"/>
      <c r="HI5229" s="286"/>
      <c r="HJ5229" s="286"/>
      <c r="HK5229" s="286"/>
      <c r="HL5229" s="286"/>
      <c r="HM5229" s="286"/>
      <c r="HN5229" s="286"/>
      <c r="HO5229" s="286"/>
      <c r="HP5229" s="286"/>
      <c r="HQ5229" s="286"/>
      <c r="HR5229" s="286"/>
      <c r="HS5229" s="286"/>
      <c r="HT5229" s="286"/>
      <c r="HU5229" s="286"/>
      <c r="HV5229" s="286"/>
      <c r="HW5229" s="286"/>
      <c r="HX5229" s="286"/>
      <c r="HY5229" s="286"/>
      <c r="HZ5229" s="286"/>
      <c r="IA5229" s="286"/>
      <c r="IB5229" s="286"/>
      <c r="IC5229" s="286"/>
      <c r="ID5229" s="286"/>
      <c r="IE5229" s="286"/>
      <c r="IF5229" s="286"/>
      <c r="IG5229" s="286"/>
      <c r="IH5229" s="286"/>
      <c r="II5229" s="286"/>
      <c r="IJ5229" s="286"/>
      <c r="IK5229" s="286"/>
      <c r="IL5229" s="286"/>
      <c r="IM5229" s="286"/>
      <c r="IN5229" s="286"/>
      <c r="IO5229" s="286"/>
      <c r="IP5229" s="286"/>
      <c r="IQ5229" s="286"/>
      <c r="IR5229" s="286"/>
      <c r="IS5229" s="286"/>
      <c r="IT5229" s="286"/>
      <c r="IU5229" s="286"/>
      <c r="IV5229" s="286"/>
      <c r="IW5229" s="286"/>
      <c r="IX5229" s="286"/>
      <c r="IY5229" s="286"/>
      <c r="IZ5229" s="286"/>
      <c r="JA5229" s="286"/>
      <c r="JB5229" s="286"/>
      <c r="JC5229" s="286"/>
      <c r="JD5229" s="286"/>
      <c r="JE5229" s="286"/>
      <c r="JF5229" s="286"/>
      <c r="JG5229" s="286"/>
      <c r="JH5229" s="286"/>
      <c r="JI5229" s="286"/>
      <c r="JJ5229" s="286"/>
      <c r="JK5229" s="286"/>
      <c r="JL5229" s="286"/>
      <c r="JM5229" s="286"/>
      <c r="JN5229" s="286"/>
      <c r="JO5229" s="286"/>
      <c r="JP5229" s="286"/>
      <c r="JQ5229" s="286"/>
      <c r="JR5229" s="286"/>
      <c r="JS5229" s="286"/>
      <c r="JT5229" s="286"/>
      <c r="JU5229" s="174"/>
      <c r="JV5229" s="174"/>
      <c r="JW5229" s="174"/>
    </row>
    <row r="5230" spans="1:283" s="250" customFormat="1" x14ac:dyDescent="0.25">
      <c r="A5230" s="173">
        <v>5229</v>
      </c>
      <c r="B5230" s="175" t="s">
        <v>7067</v>
      </c>
      <c r="C5230" s="278">
        <v>280</v>
      </c>
      <c r="D5230" s="174" t="s">
        <v>5060</v>
      </c>
      <c r="E5230" s="279" t="str">
        <f>G5230</f>
        <v>Welsh et al. 2009_grain only</v>
      </c>
      <c r="F5230" s="279"/>
      <c r="G5230" s="280" t="s">
        <v>4667</v>
      </c>
      <c r="H5230" s="174">
        <v>2009</v>
      </c>
      <c r="I5230" s="174" t="s">
        <v>5483</v>
      </c>
      <c r="J5230" s="281" t="s">
        <v>282</v>
      </c>
      <c r="K5230" s="282" t="s">
        <v>5063</v>
      </c>
      <c r="L5230" s="174" t="s">
        <v>2738</v>
      </c>
      <c r="M5230" s="283">
        <f>49+39/60</f>
        <v>49.65</v>
      </c>
      <c r="N5230" s="283">
        <f>-97-7/60</f>
        <v>-97.11666666666666</v>
      </c>
      <c r="O5230" s="283">
        <v>232</v>
      </c>
      <c r="P5230" s="174"/>
      <c r="Q5230" s="284">
        <v>2.6</v>
      </c>
      <c r="R5230" s="174"/>
      <c r="S5230" s="285">
        <v>514</v>
      </c>
      <c r="T5230" s="174"/>
      <c r="U5230" s="284">
        <v>13</v>
      </c>
      <c r="V5230" s="284">
        <v>13</v>
      </c>
      <c r="W5230" s="174"/>
      <c r="X5230" s="174"/>
      <c r="Y5230" s="174" t="s">
        <v>5879</v>
      </c>
      <c r="Z5230" s="284" t="s">
        <v>1349</v>
      </c>
      <c r="AA5230" s="285">
        <v>15</v>
      </c>
      <c r="AB5230" s="286"/>
      <c r="AC5230" s="286"/>
      <c r="AD5230" s="283"/>
      <c r="AE5230" s="283">
        <v>9</v>
      </c>
      <c r="AF5230" s="283">
        <v>26</v>
      </c>
      <c r="AG5230" s="285">
        <v>66</v>
      </c>
      <c r="AH5230" s="174" t="s">
        <v>769</v>
      </c>
      <c r="AI5230" s="174" t="s">
        <v>1676</v>
      </c>
      <c r="AJ5230" s="283">
        <f>7.7*0.58</f>
        <v>4.4660000000000002</v>
      </c>
      <c r="AK5230" s="283">
        <f>8*0.58</f>
        <v>4.6399999999999997</v>
      </c>
      <c r="AL5230" s="174"/>
      <c r="AM5230" s="174" t="s">
        <v>5880</v>
      </c>
      <c r="AN5230" s="174"/>
      <c r="AO5230" s="185" t="s">
        <v>5150</v>
      </c>
      <c r="AP5230" s="174"/>
      <c r="AQ5230" s="174"/>
      <c r="AR5230" s="174" t="s">
        <v>116</v>
      </c>
      <c r="AS5230" s="287" t="s">
        <v>5133</v>
      </c>
      <c r="AT5230" s="284" t="s">
        <v>5885</v>
      </c>
      <c r="AU5230" s="181" t="s">
        <v>5150</v>
      </c>
      <c r="AV5230" s="173" t="s">
        <v>479</v>
      </c>
      <c r="AW5230" s="284" t="s">
        <v>5885</v>
      </c>
      <c r="AX5230" s="173" t="s">
        <v>479</v>
      </c>
      <c r="AY5230" s="284" t="s">
        <v>176</v>
      </c>
      <c r="AZ5230" s="174"/>
      <c r="BA5230" s="174"/>
      <c r="BB5230" s="174"/>
      <c r="BC5230" s="174"/>
      <c r="BD5230" s="174"/>
      <c r="BE5230" s="174" t="s">
        <v>5227</v>
      </c>
      <c r="BF5230" s="173"/>
      <c r="BG5230" s="173" t="s">
        <v>479</v>
      </c>
      <c r="BH5230" s="174" t="s">
        <v>5153</v>
      </c>
      <c r="BI5230" s="173" t="s">
        <v>176</v>
      </c>
      <c r="BJ5230" s="174" t="str">
        <f>IF(BE5230=BH5230,"No","yes")</f>
        <v>yes</v>
      </c>
      <c r="BK5230" s="174" t="s">
        <v>6334</v>
      </c>
      <c r="BL5230" s="174" t="s">
        <v>5886</v>
      </c>
      <c r="BM5230" s="174"/>
      <c r="BN5230" s="284">
        <v>3</v>
      </c>
      <c r="BO5230" s="284">
        <v>3</v>
      </c>
      <c r="BP5230" s="174"/>
      <c r="BQ5230" s="174"/>
      <c r="BR5230" s="174"/>
      <c r="BS5230" s="174"/>
      <c r="BT5230" s="174"/>
      <c r="BU5230" s="174"/>
      <c r="BV5230" s="174"/>
      <c r="BW5230" s="286"/>
      <c r="BX5230" s="286"/>
      <c r="BY5230" s="286"/>
      <c r="BZ5230" s="286"/>
      <c r="CA5230" s="286"/>
      <c r="CB5230" s="288">
        <v>1282</v>
      </c>
      <c r="CC5230" s="288">
        <v>553</v>
      </c>
      <c r="CD5230" s="288"/>
      <c r="CE5230" s="286">
        <v>87</v>
      </c>
      <c r="CF5230" s="286">
        <v>80</v>
      </c>
      <c r="CG5230" s="286"/>
      <c r="CH5230" s="283"/>
      <c r="CI5230" s="283"/>
      <c r="CJ5230" s="286"/>
      <c r="CK5230" s="286"/>
      <c r="CL5230" s="286"/>
      <c r="CM5230" s="289"/>
      <c r="CN5230" s="289"/>
      <c r="CO5230" s="289"/>
      <c r="CP5230" s="289"/>
      <c r="CQ5230" s="289"/>
      <c r="CR5230" s="289"/>
      <c r="CS5230" s="289"/>
      <c r="CT5230" s="289"/>
      <c r="CU5230" s="289"/>
      <c r="CV5230" s="289"/>
      <c r="CW5230" s="289"/>
      <c r="CX5230" s="289"/>
      <c r="CY5230" s="289"/>
      <c r="CZ5230" s="289"/>
      <c r="DA5230" s="286"/>
      <c r="DB5230" s="286"/>
      <c r="DC5230" s="286"/>
      <c r="DD5230" s="286"/>
      <c r="DE5230" s="286"/>
      <c r="DF5230" s="286"/>
      <c r="DG5230" s="286"/>
      <c r="DH5230" s="286"/>
      <c r="DI5230" s="286"/>
      <c r="DJ5230" s="286"/>
      <c r="DK5230" s="286"/>
      <c r="DL5230" s="286"/>
      <c r="DM5230" s="286"/>
      <c r="DN5230" s="286"/>
      <c r="DO5230" s="286"/>
      <c r="DP5230" s="286"/>
      <c r="DQ5230" s="290"/>
      <c r="DR5230" s="290"/>
      <c r="DS5230" s="286"/>
      <c r="DT5230" s="286"/>
      <c r="DU5230" s="286"/>
      <c r="DV5230" s="286"/>
      <c r="DW5230" s="286"/>
      <c r="DX5230" s="286"/>
      <c r="DY5230" s="286"/>
      <c r="DZ5230" s="286"/>
      <c r="EA5230" s="286"/>
      <c r="EB5230" s="286"/>
      <c r="EC5230" s="286"/>
      <c r="ED5230" s="286"/>
      <c r="EE5230" s="286"/>
      <c r="EF5230" s="286"/>
      <c r="EG5230" s="286"/>
      <c r="EH5230" s="286"/>
      <c r="EI5230" s="286"/>
      <c r="EJ5230" s="286"/>
      <c r="EK5230" s="283"/>
      <c r="EL5230" s="283"/>
      <c r="EM5230" s="286"/>
      <c r="EN5230" s="286"/>
      <c r="EO5230" s="286"/>
      <c r="EP5230" s="286"/>
      <c r="EQ5230" s="286"/>
      <c r="ER5230" s="286"/>
      <c r="ES5230" s="286"/>
      <c r="ET5230" s="286"/>
      <c r="EU5230" s="286"/>
      <c r="EV5230" s="286"/>
      <c r="EW5230" s="286"/>
      <c r="EX5230" s="286"/>
      <c r="EY5230" s="286"/>
      <c r="EZ5230" s="286"/>
      <c r="FA5230" s="286"/>
      <c r="FB5230" s="286"/>
      <c r="FC5230" s="286"/>
      <c r="FD5230" s="286"/>
      <c r="FE5230" s="286"/>
      <c r="FF5230" s="286"/>
      <c r="FG5230" s="286"/>
      <c r="FH5230" s="286"/>
      <c r="FI5230" s="286"/>
      <c r="FJ5230" s="286"/>
      <c r="FK5230" s="286"/>
      <c r="FL5230" s="286"/>
      <c r="FM5230" s="286"/>
      <c r="FN5230" s="286"/>
      <c r="FO5230" s="286"/>
      <c r="FP5230" s="286"/>
      <c r="FQ5230" s="286"/>
      <c r="FR5230" s="286"/>
      <c r="FS5230" s="286"/>
      <c r="FT5230" s="286"/>
      <c r="FU5230" s="286"/>
      <c r="FV5230" s="286"/>
      <c r="FW5230" s="286"/>
      <c r="FX5230" s="286"/>
      <c r="FY5230" s="286"/>
      <c r="FZ5230" s="286"/>
      <c r="GA5230" s="286"/>
      <c r="GB5230" s="286"/>
      <c r="GC5230" s="286"/>
      <c r="GD5230" s="286"/>
      <c r="GE5230" s="286"/>
      <c r="GF5230" s="286"/>
      <c r="GG5230" s="286"/>
      <c r="GH5230" s="286"/>
      <c r="GI5230" s="286"/>
      <c r="GJ5230" s="286"/>
      <c r="GK5230" s="286"/>
      <c r="GL5230" s="286"/>
      <c r="GM5230" s="286"/>
      <c r="GN5230" s="292"/>
      <c r="GO5230" s="292"/>
      <c r="GP5230" s="292" t="s">
        <v>7494</v>
      </c>
      <c r="GQ5230" s="286"/>
      <c r="GR5230" s="286"/>
      <c r="GS5230" s="286"/>
      <c r="GT5230" s="286"/>
      <c r="GU5230" s="286"/>
      <c r="GV5230" s="286"/>
      <c r="GW5230" s="286"/>
      <c r="GX5230" s="286"/>
      <c r="GY5230" s="286"/>
      <c r="GZ5230" s="286"/>
      <c r="HA5230" s="286"/>
      <c r="HB5230" s="286"/>
      <c r="HC5230" s="286"/>
      <c r="HD5230" s="286"/>
      <c r="HE5230" s="286"/>
      <c r="HF5230" s="286"/>
      <c r="HG5230" s="286"/>
      <c r="HH5230" s="286"/>
      <c r="HI5230" s="286"/>
      <c r="HJ5230" s="286"/>
      <c r="HK5230" s="286"/>
      <c r="HL5230" s="286"/>
      <c r="HM5230" s="286"/>
      <c r="HN5230" s="286"/>
      <c r="HO5230" s="286"/>
      <c r="HP5230" s="286"/>
      <c r="HQ5230" s="286"/>
      <c r="HR5230" s="286"/>
      <c r="HS5230" s="286"/>
      <c r="HT5230" s="286"/>
      <c r="HU5230" s="286"/>
      <c r="HV5230" s="286"/>
      <c r="HW5230" s="286"/>
      <c r="HX5230" s="286"/>
      <c r="HY5230" s="286"/>
      <c r="HZ5230" s="286"/>
      <c r="IA5230" s="286"/>
      <c r="IB5230" s="286"/>
      <c r="IC5230" s="286"/>
      <c r="ID5230" s="286"/>
      <c r="IE5230" s="286"/>
      <c r="IF5230" s="286"/>
      <c r="IG5230" s="286"/>
      <c r="IH5230" s="286"/>
      <c r="II5230" s="286"/>
      <c r="IJ5230" s="286"/>
      <c r="IK5230" s="286"/>
      <c r="IL5230" s="286"/>
      <c r="IM5230" s="286"/>
      <c r="IN5230" s="286"/>
      <c r="IO5230" s="286"/>
      <c r="IP5230" s="286"/>
      <c r="IQ5230" s="286"/>
      <c r="IR5230" s="286"/>
      <c r="IS5230" s="286"/>
      <c r="IT5230" s="286"/>
      <c r="IU5230" s="286"/>
      <c r="IV5230" s="286"/>
      <c r="IW5230" s="286"/>
      <c r="IX5230" s="286"/>
      <c r="IY5230" s="286"/>
      <c r="IZ5230" s="286"/>
      <c r="JA5230" s="286"/>
      <c r="JB5230" s="286"/>
      <c r="JC5230" s="286"/>
      <c r="JD5230" s="286"/>
      <c r="JE5230" s="286"/>
      <c r="JF5230" s="286"/>
      <c r="JG5230" s="286"/>
      <c r="JH5230" s="286"/>
      <c r="JI5230" s="286"/>
      <c r="JJ5230" s="286"/>
      <c r="JK5230" s="286"/>
      <c r="JL5230" s="286"/>
      <c r="JM5230" s="286"/>
      <c r="JN5230" s="286"/>
      <c r="JO5230" s="286"/>
      <c r="JP5230" s="286"/>
      <c r="JQ5230" s="286"/>
      <c r="JR5230" s="286"/>
      <c r="JS5230" s="286"/>
      <c r="JT5230" s="286"/>
      <c r="JU5230" s="174"/>
      <c r="JV5230" s="174"/>
      <c r="JW5230" s="174"/>
    </row>
    <row r="5231" spans="1:283" s="250" customFormat="1" x14ac:dyDescent="0.25">
      <c r="A5231" s="173">
        <v>5230</v>
      </c>
      <c r="B5231" s="175" t="s">
        <v>7067</v>
      </c>
      <c r="C5231" s="278">
        <v>280</v>
      </c>
      <c r="D5231" s="174" t="s">
        <v>5061</v>
      </c>
      <c r="E5231" s="279" t="str">
        <f>G5231</f>
        <v>Welsh et al. 2009_forage-grain</v>
      </c>
      <c r="F5231" s="279"/>
      <c r="G5231" s="280" t="s">
        <v>4668</v>
      </c>
      <c r="H5231" s="174">
        <v>2009</v>
      </c>
      <c r="I5231" s="174" t="s">
        <v>5483</v>
      </c>
      <c r="J5231" s="281" t="s">
        <v>282</v>
      </c>
      <c r="K5231" s="282" t="s">
        <v>5063</v>
      </c>
      <c r="L5231" s="174" t="s">
        <v>2738</v>
      </c>
      <c r="M5231" s="283">
        <f>49+39/60</f>
        <v>49.65</v>
      </c>
      <c r="N5231" s="283">
        <f>-97-7/60</f>
        <v>-97.11666666666666</v>
      </c>
      <c r="O5231" s="283">
        <v>232</v>
      </c>
      <c r="P5231" s="174"/>
      <c r="Q5231" s="284">
        <v>2.6</v>
      </c>
      <c r="R5231" s="174"/>
      <c r="S5231" s="285">
        <v>514</v>
      </c>
      <c r="T5231" s="174"/>
      <c r="U5231" s="284">
        <v>13</v>
      </c>
      <c r="V5231" s="284">
        <v>13</v>
      </c>
      <c r="W5231" s="174"/>
      <c r="X5231" s="174"/>
      <c r="Y5231" s="174" t="s">
        <v>5879</v>
      </c>
      <c r="Z5231" s="284" t="s">
        <v>1349</v>
      </c>
      <c r="AA5231" s="285">
        <v>15</v>
      </c>
      <c r="AB5231" s="286"/>
      <c r="AC5231" s="286"/>
      <c r="AD5231" s="283"/>
      <c r="AE5231" s="283">
        <v>9</v>
      </c>
      <c r="AF5231" s="283">
        <v>26</v>
      </c>
      <c r="AG5231" s="285">
        <v>66</v>
      </c>
      <c r="AH5231" s="174" t="s">
        <v>769</v>
      </c>
      <c r="AI5231" s="174" t="s">
        <v>5882</v>
      </c>
      <c r="AJ5231" s="283">
        <f>7.7*0.58</f>
        <v>4.4660000000000002</v>
      </c>
      <c r="AK5231" s="283">
        <f>8*0.58</f>
        <v>4.6399999999999997</v>
      </c>
      <c r="AL5231" s="174"/>
      <c r="AM5231" s="174" t="s">
        <v>5880</v>
      </c>
      <c r="AN5231" s="174"/>
      <c r="AO5231" s="185" t="s">
        <v>5150</v>
      </c>
      <c r="AP5231" s="174"/>
      <c r="AQ5231" s="174"/>
      <c r="AR5231" s="174" t="s">
        <v>116</v>
      </c>
      <c r="AS5231" s="287" t="s">
        <v>5133</v>
      </c>
      <c r="AT5231" s="284" t="s">
        <v>5885</v>
      </c>
      <c r="AU5231" s="181" t="s">
        <v>5150</v>
      </c>
      <c r="AV5231" s="173" t="s">
        <v>479</v>
      </c>
      <c r="AW5231" s="284" t="s">
        <v>5885</v>
      </c>
      <c r="AX5231" s="173" t="s">
        <v>479</v>
      </c>
      <c r="AY5231" s="284" t="s">
        <v>176</v>
      </c>
      <c r="AZ5231" s="174"/>
      <c r="BA5231" s="174"/>
      <c r="BB5231" s="174"/>
      <c r="BC5231" s="174"/>
      <c r="BD5231" s="174"/>
      <c r="BE5231" s="174" t="s">
        <v>5153</v>
      </c>
      <c r="BF5231" s="173" t="s">
        <v>176</v>
      </c>
      <c r="BG5231" s="173" t="s">
        <v>176</v>
      </c>
      <c r="BH5231" s="174" t="s">
        <v>5153</v>
      </c>
      <c r="BI5231" s="173" t="s">
        <v>176</v>
      </c>
      <c r="BJ5231" s="174" t="str">
        <f>IF(BE5231=BH5231,"No","yes")</f>
        <v>No</v>
      </c>
      <c r="BK5231" s="174" t="s">
        <v>6334</v>
      </c>
      <c r="BL5231" s="174" t="s">
        <v>5886</v>
      </c>
      <c r="BM5231" s="174"/>
      <c r="BN5231" s="284">
        <v>3</v>
      </c>
      <c r="BO5231" s="284">
        <v>3</v>
      </c>
      <c r="BP5231" s="174"/>
      <c r="BQ5231" s="174"/>
      <c r="BR5231" s="174"/>
      <c r="BS5231" s="174"/>
      <c r="BT5231" s="174"/>
      <c r="BU5231" s="174"/>
      <c r="BV5231" s="174"/>
      <c r="BW5231" s="286"/>
      <c r="BX5231" s="286"/>
      <c r="BY5231" s="286"/>
      <c r="BZ5231" s="286"/>
      <c r="CA5231" s="286"/>
      <c r="CB5231" s="288">
        <v>1872</v>
      </c>
      <c r="CC5231" s="288">
        <v>680</v>
      </c>
      <c r="CD5231" s="288"/>
      <c r="CE5231" s="286">
        <v>272</v>
      </c>
      <c r="CF5231" s="286">
        <v>153</v>
      </c>
      <c r="CG5231" s="286"/>
      <c r="CH5231" s="283"/>
      <c r="CI5231" s="283"/>
      <c r="CJ5231" s="286"/>
      <c r="CK5231" s="286"/>
      <c r="CL5231" s="286"/>
      <c r="CM5231" s="289"/>
      <c r="CN5231" s="289"/>
      <c r="CO5231" s="289"/>
      <c r="CP5231" s="289"/>
      <c r="CQ5231" s="289"/>
      <c r="CR5231" s="289"/>
      <c r="CS5231" s="289"/>
      <c r="CT5231" s="289"/>
      <c r="CU5231" s="289"/>
      <c r="CV5231" s="289"/>
      <c r="CW5231" s="289"/>
      <c r="CX5231" s="289"/>
      <c r="CY5231" s="289"/>
      <c r="CZ5231" s="289"/>
      <c r="DA5231" s="286"/>
      <c r="DB5231" s="286"/>
      <c r="DC5231" s="286"/>
      <c r="DD5231" s="286"/>
      <c r="DE5231" s="286"/>
      <c r="DF5231" s="286"/>
      <c r="DG5231" s="286"/>
      <c r="DH5231" s="286"/>
      <c r="DI5231" s="286"/>
      <c r="DJ5231" s="286"/>
      <c r="DK5231" s="286"/>
      <c r="DL5231" s="286"/>
      <c r="DM5231" s="286"/>
      <c r="DN5231" s="286"/>
      <c r="DO5231" s="286"/>
      <c r="DP5231" s="286"/>
      <c r="DQ5231" s="290"/>
      <c r="DR5231" s="290"/>
      <c r="DS5231" s="286"/>
      <c r="DT5231" s="286"/>
      <c r="DU5231" s="286"/>
      <c r="DV5231" s="286"/>
      <c r="DW5231" s="286"/>
      <c r="DX5231" s="286"/>
      <c r="DY5231" s="286"/>
      <c r="DZ5231" s="286"/>
      <c r="EA5231" s="286"/>
      <c r="EB5231" s="286"/>
      <c r="EC5231" s="286"/>
      <c r="ED5231" s="286"/>
      <c r="EE5231" s="286"/>
      <c r="EF5231" s="286"/>
      <c r="EG5231" s="286"/>
      <c r="EH5231" s="286"/>
      <c r="EI5231" s="286"/>
      <c r="EJ5231" s="286"/>
      <c r="EK5231" s="283"/>
      <c r="EL5231" s="283"/>
      <c r="EM5231" s="286"/>
      <c r="EN5231" s="286"/>
      <c r="EO5231" s="286"/>
      <c r="EP5231" s="286"/>
      <c r="EQ5231" s="286"/>
      <c r="ER5231" s="286"/>
      <c r="ES5231" s="286"/>
      <c r="ET5231" s="286"/>
      <c r="EU5231" s="286"/>
      <c r="EV5231" s="286"/>
      <c r="EW5231" s="286"/>
      <c r="EX5231" s="286"/>
      <c r="EY5231" s="286"/>
      <c r="EZ5231" s="286"/>
      <c r="FA5231" s="286"/>
      <c r="FB5231" s="286"/>
      <c r="FC5231" s="286"/>
      <c r="FD5231" s="286"/>
      <c r="FE5231" s="286"/>
      <c r="FF5231" s="286"/>
      <c r="FG5231" s="286"/>
      <c r="FH5231" s="286"/>
      <c r="FI5231" s="286"/>
      <c r="FJ5231" s="286"/>
      <c r="FK5231" s="286"/>
      <c r="FL5231" s="286"/>
      <c r="FM5231" s="286"/>
      <c r="FN5231" s="286"/>
      <c r="FO5231" s="286"/>
      <c r="FP5231" s="286"/>
      <c r="FQ5231" s="286"/>
      <c r="FR5231" s="286"/>
      <c r="FS5231" s="286"/>
      <c r="FT5231" s="286"/>
      <c r="FU5231" s="286"/>
      <c r="FV5231" s="286"/>
      <c r="FW5231" s="286"/>
      <c r="FX5231" s="286"/>
      <c r="FY5231" s="286"/>
      <c r="FZ5231" s="286"/>
      <c r="GA5231" s="286"/>
      <c r="GB5231" s="286"/>
      <c r="GC5231" s="286"/>
      <c r="GD5231" s="286"/>
      <c r="GE5231" s="286"/>
      <c r="GF5231" s="286"/>
      <c r="GG5231" s="286"/>
      <c r="GH5231" s="286"/>
      <c r="GI5231" s="286"/>
      <c r="GJ5231" s="286"/>
      <c r="GK5231" s="286"/>
      <c r="GL5231" s="286"/>
      <c r="GM5231" s="286"/>
      <c r="GN5231" s="292"/>
      <c r="GO5231" s="292"/>
      <c r="GP5231" s="292" t="s">
        <v>7494</v>
      </c>
      <c r="GQ5231" s="286"/>
      <c r="GR5231" s="286"/>
      <c r="GS5231" s="286"/>
      <c r="GT5231" s="286"/>
      <c r="GU5231" s="286"/>
      <c r="GV5231" s="286"/>
      <c r="GW5231" s="286"/>
      <c r="GX5231" s="286"/>
      <c r="GY5231" s="286"/>
      <c r="GZ5231" s="286"/>
      <c r="HA5231" s="286"/>
      <c r="HB5231" s="286"/>
      <c r="HC5231" s="286"/>
      <c r="HD5231" s="286"/>
      <c r="HE5231" s="286"/>
      <c r="HF5231" s="286"/>
      <c r="HG5231" s="286"/>
      <c r="HH5231" s="286"/>
      <c r="HI5231" s="286"/>
      <c r="HJ5231" s="286"/>
      <c r="HK5231" s="286"/>
      <c r="HL5231" s="286"/>
      <c r="HM5231" s="286"/>
      <c r="HN5231" s="286"/>
      <c r="HO5231" s="286"/>
      <c r="HP5231" s="286"/>
      <c r="HQ5231" s="286"/>
      <c r="HR5231" s="286"/>
      <c r="HS5231" s="286"/>
      <c r="HT5231" s="286"/>
      <c r="HU5231" s="286"/>
      <c r="HV5231" s="286"/>
      <c r="HW5231" s="286"/>
      <c r="HX5231" s="286"/>
      <c r="HY5231" s="286"/>
      <c r="HZ5231" s="286"/>
      <c r="IA5231" s="286"/>
      <c r="IB5231" s="286"/>
      <c r="IC5231" s="286"/>
      <c r="ID5231" s="286"/>
      <c r="IE5231" s="286"/>
      <c r="IF5231" s="286"/>
      <c r="IG5231" s="286"/>
      <c r="IH5231" s="286"/>
      <c r="II5231" s="286"/>
      <c r="IJ5231" s="286"/>
      <c r="IK5231" s="286"/>
      <c r="IL5231" s="286"/>
      <c r="IM5231" s="286"/>
      <c r="IN5231" s="286"/>
      <c r="IO5231" s="286"/>
      <c r="IP5231" s="286"/>
      <c r="IQ5231" s="286"/>
      <c r="IR5231" s="286"/>
      <c r="IS5231" s="286"/>
      <c r="IT5231" s="286"/>
      <c r="IU5231" s="286"/>
      <c r="IV5231" s="286"/>
      <c r="IW5231" s="286"/>
      <c r="IX5231" s="286"/>
      <c r="IY5231" s="286"/>
      <c r="IZ5231" s="286"/>
      <c r="JA5231" s="286"/>
      <c r="JB5231" s="286"/>
      <c r="JC5231" s="286"/>
      <c r="JD5231" s="286"/>
      <c r="JE5231" s="286"/>
      <c r="JF5231" s="286"/>
      <c r="JG5231" s="286"/>
      <c r="JH5231" s="286"/>
      <c r="JI5231" s="286"/>
      <c r="JJ5231" s="286"/>
      <c r="JK5231" s="286"/>
      <c r="JL5231" s="286"/>
      <c r="JM5231" s="286"/>
      <c r="JN5231" s="286"/>
      <c r="JO5231" s="286"/>
      <c r="JP5231" s="286"/>
      <c r="JQ5231" s="286"/>
      <c r="JR5231" s="286"/>
      <c r="JS5231" s="286"/>
      <c r="JT5231" s="286"/>
      <c r="JU5231" s="174"/>
      <c r="JV5231" s="174"/>
      <c r="JW5231" s="174"/>
    </row>
    <row r="5232" spans="1:283" s="250" customFormat="1" x14ac:dyDescent="0.25">
      <c r="A5232" s="173">
        <v>5231</v>
      </c>
      <c r="B5232" s="175" t="s">
        <v>7067</v>
      </c>
      <c r="C5232" s="278">
        <v>280</v>
      </c>
      <c r="D5232" s="174" t="s">
        <v>5062</v>
      </c>
      <c r="E5232" s="279" t="str">
        <f>G5232</f>
        <v>Welsh et al. 2009_forage-grain compost</v>
      </c>
      <c r="F5232" s="279"/>
      <c r="G5232" s="280" t="s">
        <v>4666</v>
      </c>
      <c r="H5232" s="174">
        <v>2009</v>
      </c>
      <c r="I5232" s="174" t="s">
        <v>5483</v>
      </c>
      <c r="J5232" s="281" t="s">
        <v>282</v>
      </c>
      <c r="K5232" s="282" t="s">
        <v>5063</v>
      </c>
      <c r="L5232" s="174" t="s">
        <v>2738</v>
      </c>
      <c r="M5232" s="283">
        <f>49+39/60</f>
        <v>49.65</v>
      </c>
      <c r="N5232" s="283">
        <f>-97-7/60</f>
        <v>-97.11666666666666</v>
      </c>
      <c r="O5232" s="283">
        <v>232</v>
      </c>
      <c r="P5232" s="174"/>
      <c r="Q5232" s="284">
        <v>2.6</v>
      </c>
      <c r="R5232" s="174"/>
      <c r="S5232" s="285">
        <v>514</v>
      </c>
      <c r="T5232" s="174"/>
      <c r="U5232" s="284">
        <v>13</v>
      </c>
      <c r="V5232" s="284">
        <v>13</v>
      </c>
      <c r="W5232" s="174"/>
      <c r="X5232" s="174"/>
      <c r="Y5232" s="174" t="s">
        <v>5879</v>
      </c>
      <c r="Z5232" s="284" t="s">
        <v>1349</v>
      </c>
      <c r="AA5232" s="285">
        <v>15</v>
      </c>
      <c r="AB5232" s="286"/>
      <c r="AC5232" s="286"/>
      <c r="AD5232" s="283"/>
      <c r="AE5232" s="283">
        <v>9</v>
      </c>
      <c r="AF5232" s="283">
        <v>26</v>
      </c>
      <c r="AG5232" s="285">
        <v>66</v>
      </c>
      <c r="AH5232" s="174" t="s">
        <v>769</v>
      </c>
      <c r="AI5232" s="174" t="s">
        <v>5648</v>
      </c>
      <c r="AJ5232" s="283">
        <f>7.7*0.58</f>
        <v>4.4660000000000002</v>
      </c>
      <c r="AK5232" s="283">
        <f>8*0.58</f>
        <v>4.6399999999999997</v>
      </c>
      <c r="AL5232" s="174"/>
      <c r="AM5232" s="174" t="s">
        <v>5880</v>
      </c>
      <c r="AN5232" s="174"/>
      <c r="AO5232" s="185" t="s">
        <v>5150</v>
      </c>
      <c r="AP5232" s="174"/>
      <c r="AQ5232" s="174"/>
      <c r="AR5232" s="174" t="s">
        <v>116</v>
      </c>
      <c r="AS5232" s="287" t="s">
        <v>5133</v>
      </c>
      <c r="AT5232" s="284" t="s">
        <v>5885</v>
      </c>
      <c r="AU5232" s="181" t="s">
        <v>5150</v>
      </c>
      <c r="AV5232" s="173" t="s">
        <v>479</v>
      </c>
      <c r="AW5232" s="284" t="s">
        <v>5885</v>
      </c>
      <c r="AX5232" s="173" t="s">
        <v>479</v>
      </c>
      <c r="AY5232" s="284" t="s">
        <v>176</v>
      </c>
      <c r="AZ5232" s="174"/>
      <c r="BA5232" s="174"/>
      <c r="BB5232" s="174"/>
      <c r="BC5232" s="174"/>
      <c r="BD5232" s="174"/>
      <c r="BE5232" s="174" t="s">
        <v>5228</v>
      </c>
      <c r="BF5232" s="173" t="s">
        <v>479</v>
      </c>
      <c r="BG5232" s="173" t="s">
        <v>479</v>
      </c>
      <c r="BH5232" s="174" t="s">
        <v>5228</v>
      </c>
      <c r="BI5232" s="173" t="s">
        <v>479</v>
      </c>
      <c r="BJ5232" s="174" t="str">
        <f>IF(BE5232=BH5232,"No","yes")</f>
        <v>No</v>
      </c>
      <c r="BK5232" s="174" t="s">
        <v>6334</v>
      </c>
      <c r="BL5232" s="174" t="s">
        <v>5886</v>
      </c>
      <c r="BM5232" s="174"/>
      <c r="BN5232" s="284">
        <v>3</v>
      </c>
      <c r="BO5232" s="284">
        <v>3</v>
      </c>
      <c r="BP5232" s="174"/>
      <c r="BQ5232" s="174"/>
      <c r="BR5232" s="174"/>
      <c r="BS5232" s="174"/>
      <c r="BT5232" s="174"/>
      <c r="BU5232" s="174"/>
      <c r="BV5232" s="174"/>
      <c r="BW5232" s="286"/>
      <c r="BX5232" s="286"/>
      <c r="BY5232" s="286"/>
      <c r="BZ5232" s="286"/>
      <c r="CA5232" s="286"/>
      <c r="CB5232" s="288">
        <v>1988</v>
      </c>
      <c r="CC5232" s="288">
        <v>897</v>
      </c>
      <c r="CD5232" s="288"/>
      <c r="CE5232" s="286">
        <v>169</v>
      </c>
      <c r="CF5232" s="286">
        <v>240</v>
      </c>
      <c r="CG5232" s="286"/>
      <c r="CH5232" s="283"/>
      <c r="CI5232" s="283"/>
      <c r="CJ5232" s="286"/>
      <c r="CK5232" s="286"/>
      <c r="CL5232" s="286"/>
      <c r="CM5232" s="289"/>
      <c r="CN5232" s="289"/>
      <c r="CO5232" s="289"/>
      <c r="CP5232" s="289"/>
      <c r="CQ5232" s="289"/>
      <c r="CR5232" s="289"/>
      <c r="CS5232" s="289"/>
      <c r="CT5232" s="289"/>
      <c r="CU5232" s="289"/>
      <c r="CV5232" s="289"/>
      <c r="CW5232" s="289"/>
      <c r="CX5232" s="289"/>
      <c r="CY5232" s="289"/>
      <c r="CZ5232" s="289"/>
      <c r="DA5232" s="286"/>
      <c r="DB5232" s="286"/>
      <c r="DC5232" s="286"/>
      <c r="DD5232" s="286"/>
      <c r="DE5232" s="286"/>
      <c r="DF5232" s="286"/>
      <c r="DG5232" s="286"/>
      <c r="DH5232" s="286"/>
      <c r="DI5232" s="286"/>
      <c r="DJ5232" s="286"/>
      <c r="DK5232" s="286"/>
      <c r="DL5232" s="286"/>
      <c r="DM5232" s="286"/>
      <c r="DN5232" s="286"/>
      <c r="DO5232" s="286"/>
      <c r="DP5232" s="286"/>
      <c r="DQ5232" s="290"/>
      <c r="DR5232" s="290"/>
      <c r="DS5232" s="286"/>
      <c r="DT5232" s="286"/>
      <c r="DU5232" s="286"/>
      <c r="DV5232" s="286"/>
      <c r="DW5232" s="286"/>
      <c r="DX5232" s="286"/>
      <c r="DY5232" s="286"/>
      <c r="DZ5232" s="286"/>
      <c r="EA5232" s="286"/>
      <c r="EB5232" s="286"/>
      <c r="EC5232" s="286"/>
      <c r="ED5232" s="286"/>
      <c r="EE5232" s="286"/>
      <c r="EF5232" s="286"/>
      <c r="EG5232" s="286"/>
      <c r="EH5232" s="286"/>
      <c r="EI5232" s="286"/>
      <c r="EJ5232" s="286"/>
      <c r="EK5232" s="283"/>
      <c r="EL5232" s="283"/>
      <c r="EM5232" s="286"/>
      <c r="EN5232" s="286"/>
      <c r="EO5232" s="286"/>
      <c r="EP5232" s="286"/>
      <c r="EQ5232" s="286"/>
      <c r="ER5232" s="286"/>
      <c r="ES5232" s="286"/>
      <c r="ET5232" s="286"/>
      <c r="EU5232" s="286"/>
      <c r="EV5232" s="286"/>
      <c r="EW5232" s="286"/>
      <c r="EX5232" s="286"/>
      <c r="EY5232" s="286"/>
      <c r="EZ5232" s="286"/>
      <c r="FA5232" s="286"/>
      <c r="FB5232" s="286"/>
      <c r="FC5232" s="286"/>
      <c r="FD5232" s="286"/>
      <c r="FE5232" s="286"/>
      <c r="FF5232" s="286"/>
      <c r="FG5232" s="286"/>
      <c r="FH5232" s="286"/>
      <c r="FI5232" s="286"/>
      <c r="FJ5232" s="286"/>
      <c r="FK5232" s="286"/>
      <c r="FL5232" s="286"/>
      <c r="FM5232" s="286"/>
      <c r="FN5232" s="286"/>
      <c r="FO5232" s="286"/>
      <c r="FP5232" s="286"/>
      <c r="FQ5232" s="286"/>
      <c r="FR5232" s="286"/>
      <c r="FS5232" s="286"/>
      <c r="FT5232" s="286"/>
      <c r="FU5232" s="286"/>
      <c r="FV5232" s="286"/>
      <c r="FW5232" s="286"/>
      <c r="FX5232" s="286"/>
      <c r="FY5232" s="286"/>
      <c r="FZ5232" s="286"/>
      <c r="GA5232" s="286"/>
      <c r="GB5232" s="286"/>
      <c r="GC5232" s="286"/>
      <c r="GD5232" s="286"/>
      <c r="GE5232" s="286"/>
      <c r="GF5232" s="286"/>
      <c r="GG5232" s="286"/>
      <c r="GH5232" s="286"/>
      <c r="GI5232" s="286"/>
      <c r="GJ5232" s="286"/>
      <c r="GK5232" s="286"/>
      <c r="GL5232" s="286"/>
      <c r="GM5232" s="286"/>
      <c r="GN5232" s="292"/>
      <c r="GO5232" s="292"/>
      <c r="GP5232" s="292" t="s">
        <v>7494</v>
      </c>
      <c r="GQ5232" s="286"/>
      <c r="GR5232" s="286"/>
      <c r="GS5232" s="286"/>
      <c r="GT5232" s="286"/>
      <c r="GU5232" s="286"/>
      <c r="GV5232" s="286"/>
      <c r="GW5232" s="286"/>
      <c r="GX5232" s="286"/>
      <c r="GY5232" s="286"/>
      <c r="GZ5232" s="286"/>
      <c r="HA5232" s="286"/>
      <c r="HB5232" s="286"/>
      <c r="HC5232" s="286"/>
      <c r="HD5232" s="286"/>
      <c r="HE5232" s="286"/>
      <c r="HF5232" s="286"/>
      <c r="HG5232" s="286"/>
      <c r="HH5232" s="286"/>
      <c r="HI5232" s="286"/>
      <c r="HJ5232" s="286"/>
      <c r="HK5232" s="286"/>
      <c r="HL5232" s="286"/>
      <c r="HM5232" s="286"/>
      <c r="HN5232" s="286"/>
      <c r="HO5232" s="286"/>
      <c r="HP5232" s="286"/>
      <c r="HQ5232" s="286"/>
      <c r="HR5232" s="286"/>
      <c r="HS5232" s="286"/>
      <c r="HT5232" s="286"/>
      <c r="HU5232" s="286"/>
      <c r="HV5232" s="286"/>
      <c r="HW5232" s="286"/>
      <c r="HX5232" s="286"/>
      <c r="HY5232" s="286"/>
      <c r="HZ5232" s="286"/>
      <c r="IA5232" s="286"/>
      <c r="IB5232" s="286"/>
      <c r="IC5232" s="286"/>
      <c r="ID5232" s="286"/>
      <c r="IE5232" s="286"/>
      <c r="IF5232" s="286"/>
      <c r="IG5232" s="286"/>
      <c r="IH5232" s="286"/>
      <c r="II5232" s="286"/>
      <c r="IJ5232" s="286"/>
      <c r="IK5232" s="286"/>
      <c r="IL5232" s="286"/>
      <c r="IM5232" s="286"/>
      <c r="IN5232" s="286"/>
      <c r="IO5232" s="286"/>
      <c r="IP5232" s="286"/>
      <c r="IQ5232" s="286"/>
      <c r="IR5232" s="286"/>
      <c r="IS5232" s="286"/>
      <c r="IT5232" s="286"/>
      <c r="IU5232" s="286"/>
      <c r="IV5232" s="286"/>
      <c r="IW5232" s="286"/>
      <c r="IX5232" s="286"/>
      <c r="IY5232" s="286"/>
      <c r="IZ5232" s="286"/>
      <c r="JA5232" s="286"/>
      <c r="JB5232" s="286"/>
      <c r="JC5232" s="286"/>
      <c r="JD5232" s="286"/>
      <c r="JE5232" s="286"/>
      <c r="JF5232" s="286"/>
      <c r="JG5232" s="286"/>
      <c r="JH5232" s="286"/>
      <c r="JI5232" s="286"/>
      <c r="JJ5232" s="286"/>
      <c r="JK5232" s="286"/>
      <c r="JL5232" s="286"/>
      <c r="JM5232" s="286"/>
      <c r="JN5232" s="286"/>
      <c r="JO5232" s="286"/>
      <c r="JP5232" s="286"/>
      <c r="JQ5232" s="286"/>
      <c r="JR5232" s="286"/>
      <c r="JS5232" s="286"/>
      <c r="JT5232" s="286"/>
      <c r="JU5232" s="174"/>
      <c r="JV5232" s="174"/>
      <c r="JW5232" s="174"/>
    </row>
    <row r="5233" spans="1:286" s="23" customFormat="1" x14ac:dyDescent="0.25">
      <c r="A5233" s="55">
        <v>5232</v>
      </c>
      <c r="B5233" s="12" t="s">
        <v>7067</v>
      </c>
      <c r="C5233" s="156">
        <v>281</v>
      </c>
      <c r="D5233" s="58" t="s">
        <v>5893</v>
      </c>
      <c r="E5233" s="94" t="s">
        <v>5890</v>
      </c>
      <c r="F5233" s="94"/>
      <c r="G5233" s="58" t="s">
        <v>5889</v>
      </c>
      <c r="H5233" s="58" t="s">
        <v>5888</v>
      </c>
      <c r="I5233" s="58" t="s">
        <v>5532</v>
      </c>
      <c r="J5233" s="58" t="s">
        <v>350</v>
      </c>
      <c r="K5233" s="58" t="s">
        <v>5887</v>
      </c>
      <c r="L5233" s="58" t="s">
        <v>5891</v>
      </c>
      <c r="M5233" s="94">
        <v>49.72</v>
      </c>
      <c r="N5233" s="94">
        <v>20.25</v>
      </c>
      <c r="O5233" s="94">
        <v>455</v>
      </c>
      <c r="P5233" s="58"/>
      <c r="Q5233" s="58"/>
      <c r="R5233" s="58"/>
      <c r="S5233" s="94"/>
      <c r="T5233" s="58"/>
      <c r="U5233" s="58" t="s">
        <v>1688</v>
      </c>
      <c r="V5233" s="58" t="s">
        <v>1688</v>
      </c>
      <c r="W5233" s="174"/>
      <c r="X5233" s="174"/>
      <c r="Y5233" s="58" t="s">
        <v>4562</v>
      </c>
      <c r="Z5233" s="58" t="s">
        <v>1346</v>
      </c>
      <c r="AA5233" s="94" t="s">
        <v>1675</v>
      </c>
      <c r="AB5233" s="67"/>
      <c r="AC5233" s="67"/>
      <c r="AD5233" s="94"/>
      <c r="AE5233" s="94"/>
      <c r="AF5233" s="94"/>
      <c r="AG5233" s="94"/>
      <c r="AH5233" s="58" t="s">
        <v>6378</v>
      </c>
      <c r="AI5233" s="169"/>
      <c r="AJ5233" s="94"/>
      <c r="AK5233" s="94"/>
      <c r="AL5233" s="58"/>
      <c r="AM5233" s="58"/>
      <c r="AN5233" s="186" t="s">
        <v>4584</v>
      </c>
      <c r="AO5233" s="185" t="s">
        <v>5150</v>
      </c>
      <c r="AP5233" s="58"/>
      <c r="AQ5233" s="58"/>
      <c r="AR5233" s="58" t="s">
        <v>5892</v>
      </c>
      <c r="AS5233" s="58" t="s">
        <v>227</v>
      </c>
      <c r="AT5233" s="182"/>
      <c r="AU5233" s="181" t="s">
        <v>7494</v>
      </c>
      <c r="AV5233" s="185" t="s">
        <v>176</v>
      </c>
      <c r="AW5233" s="58"/>
      <c r="AX5233" s="185" t="s">
        <v>176</v>
      </c>
      <c r="AY5233" s="58"/>
      <c r="AZ5233" s="58"/>
      <c r="BA5233" s="58"/>
      <c r="BB5233" s="58"/>
      <c r="BC5233" s="58"/>
      <c r="BD5233" s="58"/>
      <c r="BE5233" s="236"/>
      <c r="BF5233" s="58"/>
      <c r="BG5233" s="58"/>
      <c r="BH5233" s="236"/>
      <c r="BI5233" s="58"/>
      <c r="BJ5233" s="58"/>
      <c r="BK5233" s="58" t="s">
        <v>6335</v>
      </c>
      <c r="BL5233" s="58"/>
      <c r="BM5233" s="237"/>
      <c r="BN5233" s="58"/>
      <c r="BO5233" s="58"/>
      <c r="BP5233" s="58"/>
      <c r="BQ5233" s="58"/>
      <c r="BR5233" s="58"/>
      <c r="BS5233" s="58"/>
      <c r="BT5233" s="58"/>
      <c r="BU5233" s="58"/>
      <c r="BV5233" s="58"/>
      <c r="BW5233" s="67"/>
      <c r="BX5233" s="67"/>
      <c r="BY5233" s="67"/>
      <c r="BZ5233" s="67"/>
      <c r="CA5233" s="67"/>
      <c r="CB5233" s="68"/>
      <c r="CC5233" s="68"/>
      <c r="CD5233" s="68"/>
      <c r="CE5233" s="67"/>
      <c r="CF5233" s="67"/>
      <c r="CG5233" s="67"/>
      <c r="CH5233" s="94"/>
      <c r="CI5233" s="94"/>
      <c r="CJ5233" s="67"/>
      <c r="CK5233" s="67"/>
      <c r="CL5233" s="67"/>
      <c r="CM5233" s="67">
        <f>1.75*0.58</f>
        <v>1.0149999999999999</v>
      </c>
      <c r="CN5233" s="67">
        <f>2.02*0.58</f>
        <v>1.1716</v>
      </c>
      <c r="CO5233" s="67"/>
      <c r="CP5233" s="67"/>
      <c r="CQ5233" s="67" t="s">
        <v>164</v>
      </c>
      <c r="CR5233" s="67"/>
      <c r="CS5233" s="67"/>
      <c r="CT5233" s="67"/>
      <c r="CU5233" s="67"/>
      <c r="CV5233" s="67"/>
      <c r="CW5233" s="67"/>
      <c r="CX5233" s="67"/>
      <c r="CY5233" s="67"/>
      <c r="CZ5233" s="67"/>
      <c r="DA5233" s="67"/>
      <c r="DB5233" s="67">
        <v>0.1</v>
      </c>
      <c r="DC5233" s="67">
        <v>0.15</v>
      </c>
      <c r="DD5233" s="67"/>
      <c r="DE5233" s="67"/>
      <c r="DF5233" s="67" t="s">
        <v>164</v>
      </c>
      <c r="DG5233" s="67">
        <v>22.1</v>
      </c>
      <c r="DH5233" s="67">
        <v>31.9</v>
      </c>
      <c r="DI5233" s="67"/>
      <c r="DJ5233" s="67"/>
      <c r="DK5233" s="67"/>
      <c r="DL5233" s="67">
        <v>156</v>
      </c>
      <c r="DM5233" s="67">
        <v>137</v>
      </c>
      <c r="DN5233" s="67"/>
      <c r="DO5233" s="67"/>
      <c r="DP5233" s="67"/>
      <c r="DQ5233" s="166">
        <v>7.78</v>
      </c>
      <c r="DR5233" s="166">
        <v>7.53</v>
      </c>
      <c r="DS5233" s="163"/>
      <c r="DT5233" s="163"/>
      <c r="DU5233" s="67"/>
      <c r="DV5233" s="67">
        <f>156+153</f>
        <v>309</v>
      </c>
      <c r="DW5233" s="67">
        <f>137+141</f>
        <v>278</v>
      </c>
      <c r="DX5233" s="67"/>
      <c r="DY5233" s="67"/>
      <c r="DZ5233" s="67" t="s">
        <v>5894</v>
      </c>
      <c r="EA5233" s="67"/>
      <c r="EB5233" s="67"/>
      <c r="EC5233" s="67"/>
      <c r="ED5233" s="67"/>
      <c r="EE5233" s="67"/>
      <c r="EF5233" s="67"/>
      <c r="EG5233" s="67"/>
      <c r="EH5233" s="67"/>
      <c r="EI5233" s="67"/>
      <c r="EJ5233" s="67"/>
      <c r="EK5233" s="94"/>
      <c r="EL5233" s="94"/>
      <c r="EM5233" s="67"/>
      <c r="EN5233" s="67"/>
      <c r="EO5233" s="67"/>
      <c r="EP5233" s="67"/>
      <c r="EQ5233" s="67"/>
      <c r="ER5233" s="67"/>
      <c r="ES5233" s="67"/>
      <c r="ET5233" s="67"/>
      <c r="EU5233" s="67"/>
      <c r="EV5233" s="67"/>
      <c r="EW5233" s="67"/>
      <c r="EX5233" s="67"/>
      <c r="EY5233" s="67"/>
      <c r="EZ5233" s="67"/>
      <c r="FA5233" s="67"/>
      <c r="FB5233" s="67"/>
      <c r="FC5233" s="67"/>
      <c r="FD5233" s="67"/>
      <c r="FE5233" s="67"/>
      <c r="FF5233" s="67"/>
      <c r="FG5233" s="67"/>
      <c r="FH5233" s="67"/>
      <c r="FI5233" s="67"/>
      <c r="FJ5233" s="67"/>
      <c r="FK5233" s="67"/>
      <c r="FL5233" s="67"/>
      <c r="FM5233" s="67"/>
      <c r="FN5233" s="67"/>
      <c r="FO5233" s="67"/>
      <c r="FP5233" s="67"/>
      <c r="FQ5233" s="67"/>
      <c r="FR5233" s="67"/>
      <c r="FS5233" s="67"/>
      <c r="FT5233" s="67"/>
      <c r="FU5233" s="67"/>
      <c r="FV5233" s="67"/>
      <c r="FW5233" s="67"/>
      <c r="FX5233" s="67"/>
      <c r="FY5233" s="67"/>
      <c r="FZ5233" s="67"/>
      <c r="GA5233" s="67"/>
      <c r="GB5233" s="67"/>
      <c r="GC5233" s="67"/>
      <c r="GD5233" s="67"/>
      <c r="GE5233" s="67"/>
      <c r="GF5233" s="67"/>
      <c r="GG5233" s="67"/>
      <c r="GH5233" s="67"/>
      <c r="GI5233" s="67"/>
      <c r="GJ5233" s="67"/>
      <c r="GK5233" s="67"/>
      <c r="GL5233" s="67"/>
      <c r="GM5233" s="67"/>
      <c r="GN5233" s="292"/>
      <c r="GO5233" s="292"/>
      <c r="GP5233" s="292" t="s">
        <v>7494</v>
      </c>
      <c r="GQ5233" s="67"/>
      <c r="GR5233" s="67"/>
      <c r="GS5233" s="67"/>
      <c r="GT5233" s="67"/>
      <c r="GU5233" s="67"/>
      <c r="GV5233" s="67"/>
      <c r="GW5233" s="67"/>
      <c r="GX5233" s="67"/>
      <c r="GY5233" s="67"/>
      <c r="GZ5233" s="67"/>
      <c r="HA5233" s="67"/>
      <c r="HB5233" s="67"/>
      <c r="HC5233" s="67"/>
      <c r="HD5233" s="67"/>
      <c r="HE5233" s="67"/>
      <c r="HF5233" s="67"/>
      <c r="HG5233" s="67"/>
      <c r="HH5233" s="67"/>
      <c r="HI5233" s="67"/>
      <c r="HJ5233" s="67"/>
      <c r="HK5233" s="67"/>
      <c r="HL5233" s="67"/>
      <c r="HM5233" s="67"/>
      <c r="HN5233" s="67"/>
      <c r="HO5233" s="67"/>
      <c r="HP5233" s="67"/>
      <c r="HQ5233" s="67"/>
      <c r="HR5233" s="67"/>
      <c r="HS5233" s="67"/>
      <c r="HT5233" s="67"/>
      <c r="HU5233" s="67"/>
      <c r="HV5233" s="67"/>
      <c r="HW5233" s="67"/>
      <c r="HX5233" s="67"/>
      <c r="HY5233" s="67"/>
      <c r="HZ5233" s="67"/>
      <c r="IA5233" s="67"/>
      <c r="IB5233" s="67"/>
      <c r="IC5233" s="67"/>
      <c r="ID5233" s="67"/>
      <c r="IE5233" s="67"/>
      <c r="IF5233" s="67"/>
      <c r="IG5233" s="67"/>
      <c r="IH5233" s="67"/>
      <c r="II5233" s="67"/>
      <c r="IJ5233" s="67"/>
      <c r="IK5233" s="67"/>
      <c r="IL5233" s="67"/>
      <c r="IM5233" s="67"/>
      <c r="IN5233" s="67"/>
      <c r="IO5233" s="67"/>
      <c r="IP5233" s="67"/>
      <c r="IQ5233" s="67"/>
      <c r="IR5233" s="67"/>
      <c r="IS5233" s="67"/>
      <c r="IT5233" s="67"/>
      <c r="IU5233" s="67"/>
      <c r="IV5233" s="67"/>
      <c r="IW5233" s="67"/>
      <c r="IX5233" s="67"/>
      <c r="IY5233" s="67"/>
      <c r="IZ5233" s="67"/>
      <c r="JA5233" s="67"/>
      <c r="JB5233" s="67"/>
      <c r="JC5233" s="67"/>
      <c r="JD5233" s="67"/>
      <c r="JE5233" s="67"/>
      <c r="JF5233" s="67"/>
      <c r="JG5233" s="67"/>
      <c r="JH5233" s="67"/>
      <c r="JI5233" s="67"/>
      <c r="JJ5233" s="67"/>
      <c r="JK5233" s="67"/>
      <c r="JL5233" s="67"/>
      <c r="JM5233" s="67"/>
      <c r="JN5233" s="67"/>
      <c r="JO5233" s="67"/>
      <c r="JP5233" s="67"/>
      <c r="JQ5233" s="67">
        <v>99999</v>
      </c>
      <c r="JR5233" s="67"/>
      <c r="JS5233" s="67"/>
      <c r="JT5233" s="67"/>
      <c r="JU5233" s="58"/>
      <c r="JV5233" s="58"/>
      <c r="JW5233" s="58"/>
    </row>
    <row r="5234" spans="1:286" s="23" customFormat="1" x14ac:dyDescent="0.25">
      <c r="A5234" s="55">
        <v>5233</v>
      </c>
      <c r="B5234" s="12" t="s">
        <v>7067</v>
      </c>
      <c r="C5234" s="156">
        <v>281</v>
      </c>
      <c r="D5234" s="58" t="s">
        <v>5898</v>
      </c>
      <c r="E5234" s="94" t="s">
        <v>5890</v>
      </c>
      <c r="F5234" s="94"/>
      <c r="G5234" s="58" t="s">
        <v>5889</v>
      </c>
      <c r="H5234" s="58" t="s">
        <v>5888</v>
      </c>
      <c r="I5234" s="58" t="s">
        <v>5532</v>
      </c>
      <c r="J5234" s="58" t="s">
        <v>350</v>
      </c>
      <c r="K5234" s="58" t="s">
        <v>5887</v>
      </c>
      <c r="L5234" s="58" t="s">
        <v>5891</v>
      </c>
      <c r="M5234" s="94">
        <v>49.72</v>
      </c>
      <c r="N5234" s="94">
        <v>20.25</v>
      </c>
      <c r="O5234" s="94">
        <v>455</v>
      </c>
      <c r="P5234" s="58"/>
      <c r="Q5234" s="58"/>
      <c r="R5234" s="58"/>
      <c r="S5234" s="94"/>
      <c r="T5234" s="58"/>
      <c r="U5234" s="58" t="s">
        <v>1688</v>
      </c>
      <c r="V5234" s="58" t="s">
        <v>1688</v>
      </c>
      <c r="W5234" s="174"/>
      <c r="X5234" s="174"/>
      <c r="Y5234" s="58" t="s">
        <v>4562</v>
      </c>
      <c r="Z5234" s="58" t="s">
        <v>1346</v>
      </c>
      <c r="AA5234" s="94" t="s">
        <v>1675</v>
      </c>
      <c r="AB5234" s="67"/>
      <c r="AC5234" s="67"/>
      <c r="AD5234" s="94"/>
      <c r="AE5234" s="94"/>
      <c r="AF5234" s="94"/>
      <c r="AG5234" s="94"/>
      <c r="AH5234" s="58" t="s">
        <v>6378</v>
      </c>
      <c r="AI5234" s="169"/>
      <c r="AJ5234" s="94"/>
      <c r="AK5234" s="94"/>
      <c r="AL5234" s="58"/>
      <c r="AM5234" s="58"/>
      <c r="AN5234" s="186" t="s">
        <v>4584</v>
      </c>
      <c r="AO5234" s="185" t="s">
        <v>5150</v>
      </c>
      <c r="AP5234" s="58"/>
      <c r="AQ5234" s="58"/>
      <c r="AR5234" s="58" t="s">
        <v>5895</v>
      </c>
      <c r="AS5234" s="58" t="s">
        <v>227</v>
      </c>
      <c r="AT5234" s="182"/>
      <c r="AU5234" s="181" t="s">
        <v>7494</v>
      </c>
      <c r="AV5234" s="185" t="s">
        <v>176</v>
      </c>
      <c r="AW5234" s="58"/>
      <c r="AX5234" s="185" t="s">
        <v>176</v>
      </c>
      <c r="AY5234" s="58"/>
      <c r="AZ5234" s="58"/>
      <c r="BA5234" s="58"/>
      <c r="BB5234" s="58"/>
      <c r="BC5234" s="58"/>
      <c r="BD5234" s="58"/>
      <c r="BE5234" s="236"/>
      <c r="BF5234" s="58"/>
      <c r="BG5234" s="58"/>
      <c r="BH5234" s="236"/>
      <c r="BI5234" s="58"/>
      <c r="BJ5234" s="58"/>
      <c r="BK5234" s="58" t="s">
        <v>6335</v>
      </c>
      <c r="BL5234" s="58"/>
      <c r="BM5234" s="237"/>
      <c r="BN5234" s="58"/>
      <c r="BO5234" s="58"/>
      <c r="BP5234" s="58"/>
      <c r="BQ5234" s="58"/>
      <c r="BR5234" s="58"/>
      <c r="BS5234" s="58"/>
      <c r="BT5234" s="58"/>
      <c r="BU5234" s="58"/>
      <c r="BV5234" s="58"/>
      <c r="BW5234" s="67"/>
      <c r="BX5234" s="67"/>
      <c r="BY5234" s="67"/>
      <c r="BZ5234" s="67"/>
      <c r="CA5234" s="67"/>
      <c r="CB5234" s="68"/>
      <c r="CC5234" s="68"/>
      <c r="CD5234" s="68"/>
      <c r="CE5234" s="67"/>
      <c r="CF5234" s="67"/>
      <c r="CG5234" s="67"/>
      <c r="CH5234" s="94"/>
      <c r="CI5234" s="94"/>
      <c r="CJ5234" s="67"/>
      <c r="CK5234" s="67"/>
      <c r="CL5234" s="67"/>
      <c r="CM5234" s="67"/>
      <c r="CN5234" s="67"/>
      <c r="CO5234" s="67"/>
      <c r="CP5234" s="67"/>
      <c r="CQ5234" s="67"/>
      <c r="CR5234" s="67"/>
      <c r="CS5234" s="67"/>
      <c r="CT5234" s="67"/>
      <c r="CU5234" s="67"/>
      <c r="CV5234" s="67"/>
      <c r="CW5234" s="67"/>
      <c r="CX5234" s="67"/>
      <c r="CY5234" s="67"/>
      <c r="CZ5234" s="67"/>
      <c r="DA5234" s="67"/>
      <c r="DB5234" s="67">
        <v>0.1</v>
      </c>
      <c r="DC5234" s="67">
        <v>0.14000000000000001</v>
      </c>
      <c r="DD5234" s="67"/>
      <c r="DE5234" s="67"/>
      <c r="DF5234" s="67" t="s">
        <v>164</v>
      </c>
      <c r="DG5234" s="67">
        <v>70.8</v>
      </c>
      <c r="DH5234" s="67">
        <v>75.5</v>
      </c>
      <c r="DI5234" s="67"/>
      <c r="DJ5234" s="67"/>
      <c r="DK5234" s="67"/>
      <c r="DL5234" s="67">
        <v>79.099999999999994</v>
      </c>
      <c r="DM5234" s="67">
        <v>53.4</v>
      </c>
      <c r="DN5234" s="67"/>
      <c r="DO5234" s="67"/>
      <c r="DP5234" s="67"/>
      <c r="DQ5234" s="166">
        <v>7.24</v>
      </c>
      <c r="DR5234" s="166">
        <v>7.15</v>
      </c>
      <c r="DS5234" s="163"/>
      <c r="DT5234" s="163"/>
      <c r="DU5234" s="67"/>
      <c r="DV5234" s="67">
        <f>DL5234+147</f>
        <v>226.1</v>
      </c>
      <c r="DW5234" s="67">
        <f>DM5234+91.2</f>
        <v>144.6</v>
      </c>
      <c r="DX5234" s="67"/>
      <c r="DY5234" s="67"/>
      <c r="DZ5234" s="67" t="s">
        <v>5894</v>
      </c>
      <c r="EA5234" s="67"/>
      <c r="EB5234" s="67"/>
      <c r="EC5234" s="67"/>
      <c r="ED5234" s="67"/>
      <c r="EE5234" s="67"/>
      <c r="EF5234" s="67"/>
      <c r="EG5234" s="67"/>
      <c r="EH5234" s="67"/>
      <c r="EI5234" s="67"/>
      <c r="EJ5234" s="67"/>
      <c r="EK5234" s="94"/>
      <c r="EL5234" s="94"/>
      <c r="EM5234" s="67"/>
      <c r="EN5234" s="67"/>
      <c r="EO5234" s="67"/>
      <c r="EP5234" s="67"/>
      <c r="EQ5234" s="67"/>
      <c r="ER5234" s="67"/>
      <c r="ES5234" s="67"/>
      <c r="ET5234" s="67"/>
      <c r="EU5234" s="67"/>
      <c r="EV5234" s="67"/>
      <c r="EW5234" s="67"/>
      <c r="EX5234" s="67"/>
      <c r="EY5234" s="67"/>
      <c r="EZ5234" s="67"/>
      <c r="FA5234" s="67"/>
      <c r="FB5234" s="67"/>
      <c r="FC5234" s="67"/>
      <c r="FD5234" s="67"/>
      <c r="FE5234" s="67"/>
      <c r="FF5234" s="67"/>
      <c r="FG5234" s="67"/>
      <c r="FH5234" s="67"/>
      <c r="FI5234" s="67"/>
      <c r="FJ5234" s="67"/>
      <c r="FK5234" s="67"/>
      <c r="FL5234" s="67"/>
      <c r="FM5234" s="67"/>
      <c r="FN5234" s="67"/>
      <c r="FO5234" s="67"/>
      <c r="FP5234" s="67"/>
      <c r="FQ5234" s="67"/>
      <c r="FR5234" s="67"/>
      <c r="FS5234" s="67"/>
      <c r="FT5234" s="67"/>
      <c r="FU5234" s="67"/>
      <c r="FV5234" s="67"/>
      <c r="FW5234" s="67"/>
      <c r="FX5234" s="67"/>
      <c r="FY5234" s="67"/>
      <c r="FZ5234" s="67"/>
      <c r="GA5234" s="67"/>
      <c r="GB5234" s="67"/>
      <c r="GC5234" s="67"/>
      <c r="GD5234" s="67"/>
      <c r="GE5234" s="67"/>
      <c r="GF5234" s="67"/>
      <c r="GG5234" s="67"/>
      <c r="GH5234" s="67"/>
      <c r="GI5234" s="67"/>
      <c r="GJ5234" s="67"/>
      <c r="GK5234" s="67"/>
      <c r="GL5234" s="67"/>
      <c r="GM5234" s="67"/>
      <c r="GN5234" s="292"/>
      <c r="GO5234" s="292"/>
      <c r="GP5234" s="292" t="s">
        <v>7494</v>
      </c>
      <c r="GQ5234" s="67"/>
      <c r="GR5234" s="67"/>
      <c r="GS5234" s="67"/>
      <c r="GT5234" s="67"/>
      <c r="GU5234" s="67"/>
      <c r="GV5234" s="67"/>
      <c r="GW5234" s="67"/>
      <c r="GX5234" s="67"/>
      <c r="GY5234" s="67"/>
      <c r="GZ5234" s="67"/>
      <c r="HA5234" s="67"/>
      <c r="HB5234" s="67"/>
      <c r="HC5234" s="67"/>
      <c r="HD5234" s="67"/>
      <c r="HE5234" s="67"/>
      <c r="HF5234" s="67"/>
      <c r="HG5234" s="67"/>
      <c r="HH5234" s="67"/>
      <c r="HI5234" s="67"/>
      <c r="HJ5234" s="67"/>
      <c r="HK5234" s="67"/>
      <c r="HL5234" s="67"/>
      <c r="HM5234" s="67"/>
      <c r="HN5234" s="67"/>
      <c r="HO5234" s="67"/>
      <c r="HP5234" s="67"/>
      <c r="HQ5234" s="67"/>
      <c r="HR5234" s="67"/>
      <c r="HS5234" s="67"/>
      <c r="HT5234" s="67"/>
      <c r="HU5234" s="67"/>
      <c r="HV5234" s="67"/>
      <c r="HW5234" s="67"/>
      <c r="HX5234" s="67"/>
      <c r="HY5234" s="67"/>
      <c r="HZ5234" s="67"/>
      <c r="IA5234" s="67"/>
      <c r="IB5234" s="67"/>
      <c r="IC5234" s="67"/>
      <c r="ID5234" s="67"/>
      <c r="IE5234" s="67"/>
      <c r="IF5234" s="67"/>
      <c r="IG5234" s="67"/>
      <c r="IH5234" s="67"/>
      <c r="II5234" s="67"/>
      <c r="IJ5234" s="67"/>
      <c r="IK5234" s="67"/>
      <c r="IL5234" s="67"/>
      <c r="IM5234" s="67"/>
      <c r="IN5234" s="67"/>
      <c r="IO5234" s="67"/>
      <c r="IP5234" s="67"/>
      <c r="IQ5234" s="67"/>
      <c r="IR5234" s="67"/>
      <c r="IS5234" s="67"/>
      <c r="IT5234" s="67"/>
      <c r="IU5234" s="67"/>
      <c r="IV5234" s="67"/>
      <c r="IW5234" s="67"/>
      <c r="IX5234" s="67"/>
      <c r="IY5234" s="67"/>
      <c r="IZ5234" s="67"/>
      <c r="JA5234" s="67"/>
      <c r="JB5234" s="67"/>
      <c r="JC5234" s="67"/>
      <c r="JD5234" s="67"/>
      <c r="JE5234" s="67"/>
      <c r="JF5234" s="67"/>
      <c r="JG5234" s="67"/>
      <c r="JH5234" s="67"/>
      <c r="JI5234" s="67"/>
      <c r="JJ5234" s="67"/>
      <c r="JK5234" s="67"/>
      <c r="JL5234" s="67"/>
      <c r="JM5234" s="67"/>
      <c r="JN5234" s="67"/>
      <c r="JO5234" s="67"/>
      <c r="JP5234" s="67"/>
      <c r="JQ5234" s="67">
        <v>99999</v>
      </c>
      <c r="JR5234" s="67"/>
      <c r="JS5234" s="67"/>
      <c r="JT5234" s="67"/>
      <c r="JU5234" s="58"/>
      <c r="JV5234" s="58"/>
      <c r="JW5234" s="58"/>
    </row>
    <row r="5235" spans="1:286" s="23" customFormat="1" x14ac:dyDescent="0.25">
      <c r="A5235" s="55">
        <v>5234</v>
      </c>
      <c r="B5235" s="12" t="s">
        <v>7067</v>
      </c>
      <c r="C5235" s="156">
        <v>281</v>
      </c>
      <c r="D5235" s="58" t="s">
        <v>5899</v>
      </c>
      <c r="E5235" s="94" t="s">
        <v>5890</v>
      </c>
      <c r="F5235" s="94"/>
      <c r="G5235" s="58" t="s">
        <v>5889</v>
      </c>
      <c r="H5235" s="58" t="s">
        <v>5888</v>
      </c>
      <c r="I5235" s="58" t="s">
        <v>5532</v>
      </c>
      <c r="J5235" s="58" t="s">
        <v>350</v>
      </c>
      <c r="K5235" s="58" t="s">
        <v>5887</v>
      </c>
      <c r="L5235" s="58" t="s">
        <v>5891</v>
      </c>
      <c r="M5235" s="94">
        <v>49.72</v>
      </c>
      <c r="N5235" s="94">
        <v>20.25</v>
      </c>
      <c r="O5235" s="94">
        <v>455</v>
      </c>
      <c r="P5235" s="58"/>
      <c r="Q5235" s="58"/>
      <c r="R5235" s="58"/>
      <c r="S5235" s="94"/>
      <c r="T5235" s="58"/>
      <c r="U5235" s="58" t="s">
        <v>1688</v>
      </c>
      <c r="V5235" s="58" t="s">
        <v>1688</v>
      </c>
      <c r="W5235" s="174"/>
      <c r="X5235" s="174"/>
      <c r="Y5235" s="58" t="s">
        <v>4562</v>
      </c>
      <c r="Z5235" s="58" t="s">
        <v>1346</v>
      </c>
      <c r="AA5235" s="94" t="s">
        <v>1675</v>
      </c>
      <c r="AB5235" s="67"/>
      <c r="AC5235" s="67"/>
      <c r="AD5235" s="94"/>
      <c r="AE5235" s="94"/>
      <c r="AF5235" s="94"/>
      <c r="AG5235" s="94"/>
      <c r="AH5235" s="58" t="s">
        <v>6378</v>
      </c>
      <c r="AI5235" s="169"/>
      <c r="AJ5235" s="94"/>
      <c r="AK5235" s="94"/>
      <c r="AL5235" s="58"/>
      <c r="AM5235" s="58"/>
      <c r="AN5235" s="186" t="s">
        <v>4584</v>
      </c>
      <c r="AO5235" s="185" t="s">
        <v>5150</v>
      </c>
      <c r="AP5235" s="58"/>
      <c r="AQ5235" s="58"/>
      <c r="AR5235" s="58" t="s">
        <v>5896</v>
      </c>
      <c r="AS5235" s="58" t="s">
        <v>227</v>
      </c>
      <c r="AT5235" s="182"/>
      <c r="AU5235" s="181" t="s">
        <v>7494</v>
      </c>
      <c r="AV5235" s="185" t="s">
        <v>176</v>
      </c>
      <c r="AW5235" s="58"/>
      <c r="AX5235" s="185" t="s">
        <v>176</v>
      </c>
      <c r="AY5235" s="58"/>
      <c r="AZ5235" s="58"/>
      <c r="BA5235" s="58"/>
      <c r="BB5235" s="58"/>
      <c r="BC5235" s="58"/>
      <c r="BD5235" s="58"/>
      <c r="BE5235" s="236"/>
      <c r="BF5235" s="58"/>
      <c r="BG5235" s="58"/>
      <c r="BH5235" s="236"/>
      <c r="BI5235" s="58"/>
      <c r="BJ5235" s="58"/>
      <c r="BK5235" s="58" t="s">
        <v>6335</v>
      </c>
      <c r="BL5235" s="58"/>
      <c r="BM5235" s="237"/>
      <c r="BN5235" s="58"/>
      <c r="BO5235" s="58"/>
      <c r="BP5235" s="58"/>
      <c r="BQ5235" s="58"/>
      <c r="BR5235" s="58"/>
      <c r="BS5235" s="58"/>
      <c r="BT5235" s="58"/>
      <c r="BU5235" s="58"/>
      <c r="BV5235" s="58"/>
      <c r="BW5235" s="67"/>
      <c r="BX5235" s="67"/>
      <c r="BY5235" s="67"/>
      <c r="BZ5235" s="67"/>
      <c r="CA5235" s="67"/>
      <c r="CB5235" s="68"/>
      <c r="CC5235" s="68"/>
      <c r="CD5235" s="68"/>
      <c r="CE5235" s="67"/>
      <c r="CF5235" s="67"/>
      <c r="CG5235" s="67"/>
      <c r="CH5235" s="94"/>
      <c r="CI5235" s="94"/>
      <c r="CJ5235" s="67"/>
      <c r="CK5235" s="67"/>
      <c r="CL5235" s="67"/>
      <c r="CM5235" s="67"/>
      <c r="CN5235" s="67"/>
      <c r="CO5235" s="67"/>
      <c r="CP5235" s="67"/>
      <c r="CQ5235" s="67"/>
      <c r="CR5235" s="67"/>
      <c r="CS5235" s="67"/>
      <c r="CT5235" s="67"/>
      <c r="CU5235" s="67"/>
      <c r="CV5235" s="67"/>
      <c r="CW5235" s="67"/>
      <c r="CX5235" s="67"/>
      <c r="CY5235" s="67"/>
      <c r="CZ5235" s="67"/>
      <c r="DA5235" s="67"/>
      <c r="DB5235" s="67">
        <v>0.13</v>
      </c>
      <c r="DC5235" s="67">
        <v>0.13</v>
      </c>
      <c r="DD5235" s="67"/>
      <c r="DE5235" s="67"/>
      <c r="DF5235" s="67" t="s">
        <v>164</v>
      </c>
      <c r="DG5235" s="67">
        <v>16.2</v>
      </c>
      <c r="DH5235" s="67">
        <v>13.5</v>
      </c>
      <c r="DI5235" s="67"/>
      <c r="DJ5235" s="67"/>
      <c r="DK5235" s="67"/>
      <c r="DL5235" s="67">
        <v>38.299999999999997</v>
      </c>
      <c r="DM5235" s="67">
        <v>93.9</v>
      </c>
      <c r="DN5235" s="67"/>
      <c r="DO5235" s="67"/>
      <c r="DP5235" s="67"/>
      <c r="DQ5235" s="166">
        <v>6.21</v>
      </c>
      <c r="DR5235" s="166">
        <v>6.61</v>
      </c>
      <c r="DS5235" s="163"/>
      <c r="DT5235" s="163"/>
      <c r="DU5235" s="67"/>
      <c r="DV5235" s="67">
        <f>DL5235+75.5</f>
        <v>113.8</v>
      </c>
      <c r="DW5235" s="67">
        <f>DM5235+75.3</f>
        <v>169.2</v>
      </c>
      <c r="DX5235" s="67"/>
      <c r="DY5235" s="67"/>
      <c r="DZ5235" s="67" t="s">
        <v>5894</v>
      </c>
      <c r="EA5235" s="67"/>
      <c r="EB5235" s="67"/>
      <c r="EC5235" s="67"/>
      <c r="ED5235" s="67"/>
      <c r="EE5235" s="67"/>
      <c r="EF5235" s="67"/>
      <c r="EG5235" s="67"/>
      <c r="EH5235" s="67"/>
      <c r="EI5235" s="67"/>
      <c r="EJ5235" s="67"/>
      <c r="EK5235" s="94"/>
      <c r="EL5235" s="94"/>
      <c r="EM5235" s="67"/>
      <c r="EN5235" s="67"/>
      <c r="EO5235" s="67"/>
      <c r="EP5235" s="67"/>
      <c r="EQ5235" s="67"/>
      <c r="ER5235" s="67"/>
      <c r="ES5235" s="67"/>
      <c r="ET5235" s="67"/>
      <c r="EU5235" s="67"/>
      <c r="EV5235" s="67"/>
      <c r="EW5235" s="67"/>
      <c r="EX5235" s="67"/>
      <c r="EY5235" s="67"/>
      <c r="EZ5235" s="67"/>
      <c r="FA5235" s="67"/>
      <c r="FB5235" s="67"/>
      <c r="FC5235" s="67"/>
      <c r="FD5235" s="67"/>
      <c r="FE5235" s="67"/>
      <c r="FF5235" s="67"/>
      <c r="FG5235" s="67"/>
      <c r="FH5235" s="67"/>
      <c r="FI5235" s="67"/>
      <c r="FJ5235" s="67"/>
      <c r="FK5235" s="67"/>
      <c r="FL5235" s="67"/>
      <c r="FM5235" s="67"/>
      <c r="FN5235" s="67"/>
      <c r="FO5235" s="67"/>
      <c r="FP5235" s="67"/>
      <c r="FQ5235" s="67"/>
      <c r="FR5235" s="67"/>
      <c r="FS5235" s="67"/>
      <c r="FT5235" s="67"/>
      <c r="FU5235" s="67"/>
      <c r="FV5235" s="67"/>
      <c r="FW5235" s="67"/>
      <c r="FX5235" s="67"/>
      <c r="FY5235" s="67"/>
      <c r="FZ5235" s="67"/>
      <c r="GA5235" s="67"/>
      <c r="GB5235" s="67"/>
      <c r="GC5235" s="67"/>
      <c r="GD5235" s="67"/>
      <c r="GE5235" s="67"/>
      <c r="GF5235" s="67"/>
      <c r="GG5235" s="67"/>
      <c r="GH5235" s="67"/>
      <c r="GI5235" s="67"/>
      <c r="GJ5235" s="67"/>
      <c r="GK5235" s="67"/>
      <c r="GL5235" s="67"/>
      <c r="GM5235" s="67"/>
      <c r="GN5235" s="292"/>
      <c r="GO5235" s="292"/>
      <c r="GP5235" s="292" t="s">
        <v>7494</v>
      </c>
      <c r="GQ5235" s="67"/>
      <c r="GR5235" s="67"/>
      <c r="GS5235" s="67"/>
      <c r="GT5235" s="67"/>
      <c r="GU5235" s="67"/>
      <c r="GV5235" s="67"/>
      <c r="GW5235" s="67"/>
      <c r="GX5235" s="67"/>
      <c r="GY5235" s="67"/>
      <c r="GZ5235" s="67"/>
      <c r="HA5235" s="67"/>
      <c r="HB5235" s="67"/>
      <c r="HC5235" s="67"/>
      <c r="HD5235" s="67"/>
      <c r="HE5235" s="67"/>
      <c r="HF5235" s="67"/>
      <c r="HG5235" s="67"/>
      <c r="HH5235" s="67"/>
      <c r="HI5235" s="67"/>
      <c r="HJ5235" s="67"/>
      <c r="HK5235" s="67"/>
      <c r="HL5235" s="67"/>
      <c r="HM5235" s="67"/>
      <c r="HN5235" s="67"/>
      <c r="HO5235" s="67"/>
      <c r="HP5235" s="67"/>
      <c r="HQ5235" s="67"/>
      <c r="HR5235" s="67"/>
      <c r="HS5235" s="67"/>
      <c r="HT5235" s="67"/>
      <c r="HU5235" s="67"/>
      <c r="HV5235" s="67"/>
      <c r="HW5235" s="67"/>
      <c r="HX5235" s="67"/>
      <c r="HY5235" s="67"/>
      <c r="HZ5235" s="67"/>
      <c r="IA5235" s="67"/>
      <c r="IB5235" s="67"/>
      <c r="IC5235" s="67"/>
      <c r="ID5235" s="67"/>
      <c r="IE5235" s="67"/>
      <c r="IF5235" s="67"/>
      <c r="IG5235" s="67"/>
      <c r="IH5235" s="67"/>
      <c r="II5235" s="67"/>
      <c r="IJ5235" s="67"/>
      <c r="IK5235" s="67"/>
      <c r="IL5235" s="67"/>
      <c r="IM5235" s="67"/>
      <c r="IN5235" s="67"/>
      <c r="IO5235" s="67"/>
      <c r="IP5235" s="67"/>
      <c r="IQ5235" s="67"/>
      <c r="IR5235" s="67"/>
      <c r="IS5235" s="67"/>
      <c r="IT5235" s="67"/>
      <c r="IU5235" s="67"/>
      <c r="IV5235" s="67"/>
      <c r="IW5235" s="67"/>
      <c r="IX5235" s="67"/>
      <c r="IY5235" s="67"/>
      <c r="IZ5235" s="67"/>
      <c r="JA5235" s="67"/>
      <c r="JB5235" s="67"/>
      <c r="JC5235" s="67"/>
      <c r="JD5235" s="67"/>
      <c r="JE5235" s="67"/>
      <c r="JF5235" s="67"/>
      <c r="JG5235" s="67"/>
      <c r="JH5235" s="67"/>
      <c r="JI5235" s="67"/>
      <c r="JJ5235" s="67"/>
      <c r="JK5235" s="67"/>
      <c r="JL5235" s="67"/>
      <c r="JM5235" s="67"/>
      <c r="JN5235" s="67"/>
      <c r="JO5235" s="67"/>
      <c r="JP5235" s="67"/>
      <c r="JQ5235" s="67">
        <v>99999</v>
      </c>
      <c r="JR5235" s="67"/>
      <c r="JS5235" s="67"/>
      <c r="JT5235" s="67"/>
      <c r="JU5235" s="58"/>
      <c r="JV5235" s="58"/>
      <c r="JW5235" s="58"/>
    </row>
    <row r="5236" spans="1:286" s="23" customFormat="1" x14ac:dyDescent="0.25">
      <c r="A5236" s="55">
        <v>5235</v>
      </c>
      <c r="B5236" s="12" t="s">
        <v>7067</v>
      </c>
      <c r="C5236" s="156">
        <v>281</v>
      </c>
      <c r="D5236" s="58" t="s">
        <v>5900</v>
      </c>
      <c r="E5236" s="94" t="s">
        <v>5890</v>
      </c>
      <c r="F5236" s="94"/>
      <c r="G5236" s="58" t="s">
        <v>5889</v>
      </c>
      <c r="H5236" s="58" t="s">
        <v>5888</v>
      </c>
      <c r="I5236" s="58" t="s">
        <v>5532</v>
      </c>
      <c r="J5236" s="58" t="s">
        <v>350</v>
      </c>
      <c r="K5236" s="58" t="s">
        <v>5887</v>
      </c>
      <c r="L5236" s="58" t="s">
        <v>5891</v>
      </c>
      <c r="M5236" s="94">
        <v>49.72</v>
      </c>
      <c r="N5236" s="94">
        <v>20.25</v>
      </c>
      <c r="O5236" s="94">
        <v>455</v>
      </c>
      <c r="P5236" s="58"/>
      <c r="Q5236" s="58"/>
      <c r="R5236" s="58"/>
      <c r="S5236" s="94"/>
      <c r="T5236" s="58"/>
      <c r="U5236" s="58" t="s">
        <v>1688</v>
      </c>
      <c r="V5236" s="58" t="s">
        <v>1688</v>
      </c>
      <c r="W5236" s="174"/>
      <c r="X5236" s="174"/>
      <c r="Y5236" s="58" t="s">
        <v>4562</v>
      </c>
      <c r="Z5236" s="58" t="s">
        <v>1346</v>
      </c>
      <c r="AA5236" s="94" t="s">
        <v>1675</v>
      </c>
      <c r="AB5236" s="67"/>
      <c r="AC5236" s="67"/>
      <c r="AD5236" s="94"/>
      <c r="AE5236" s="94"/>
      <c r="AF5236" s="94"/>
      <c r="AG5236" s="94"/>
      <c r="AH5236" s="58" t="s">
        <v>6378</v>
      </c>
      <c r="AI5236" s="169"/>
      <c r="AJ5236" s="94"/>
      <c r="AK5236" s="94"/>
      <c r="AL5236" s="58"/>
      <c r="AM5236" s="58"/>
      <c r="AN5236" s="186" t="s">
        <v>4584</v>
      </c>
      <c r="AO5236" s="185" t="s">
        <v>5150</v>
      </c>
      <c r="AP5236" s="58"/>
      <c r="AQ5236" s="58"/>
      <c r="AR5236" s="58" t="s">
        <v>3680</v>
      </c>
      <c r="AS5236" s="58" t="s">
        <v>3471</v>
      </c>
      <c r="AT5236" s="182"/>
      <c r="AU5236" s="181" t="s">
        <v>7494</v>
      </c>
      <c r="AV5236" s="185" t="s">
        <v>176</v>
      </c>
      <c r="AW5236" s="58"/>
      <c r="AX5236" s="185" t="s">
        <v>176</v>
      </c>
      <c r="AY5236" s="58"/>
      <c r="AZ5236" s="58"/>
      <c r="BA5236" s="58"/>
      <c r="BB5236" s="58"/>
      <c r="BC5236" s="58"/>
      <c r="BD5236" s="58"/>
      <c r="BE5236" s="236"/>
      <c r="BF5236" s="58"/>
      <c r="BG5236" s="58"/>
      <c r="BH5236" s="236"/>
      <c r="BI5236" s="58"/>
      <c r="BJ5236" s="58"/>
      <c r="BK5236" s="58" t="s">
        <v>6335</v>
      </c>
      <c r="BL5236" s="58"/>
      <c r="BM5236" s="237"/>
      <c r="BN5236" s="58"/>
      <c r="BO5236" s="58"/>
      <c r="BP5236" s="58"/>
      <c r="BQ5236" s="58"/>
      <c r="BR5236" s="58"/>
      <c r="BS5236" s="58"/>
      <c r="BT5236" s="58"/>
      <c r="BU5236" s="58"/>
      <c r="BV5236" s="58"/>
      <c r="BW5236" s="67"/>
      <c r="BX5236" s="67"/>
      <c r="BY5236" s="67"/>
      <c r="BZ5236" s="67"/>
      <c r="CA5236" s="67"/>
      <c r="CB5236" s="68"/>
      <c r="CC5236" s="68"/>
      <c r="CD5236" s="68"/>
      <c r="CE5236" s="67"/>
      <c r="CF5236" s="67"/>
      <c r="CG5236" s="67"/>
      <c r="CH5236" s="94"/>
      <c r="CI5236" s="94"/>
      <c r="CJ5236" s="67"/>
      <c r="CK5236" s="67"/>
      <c r="CL5236" s="67"/>
      <c r="CM5236" s="67"/>
      <c r="CN5236" s="67"/>
      <c r="CO5236" s="67"/>
      <c r="CP5236" s="67"/>
      <c r="CQ5236" s="67"/>
      <c r="CR5236" s="67"/>
      <c r="CS5236" s="67"/>
      <c r="CT5236" s="67"/>
      <c r="CU5236" s="67"/>
      <c r="CV5236" s="67"/>
      <c r="CW5236" s="67"/>
      <c r="CX5236" s="67"/>
      <c r="CY5236" s="67"/>
      <c r="CZ5236" s="67"/>
      <c r="DA5236" s="67"/>
      <c r="DB5236" s="67">
        <v>0.14000000000000001</v>
      </c>
      <c r="DC5236" s="67">
        <v>0.16</v>
      </c>
      <c r="DD5236" s="67"/>
      <c r="DE5236" s="67"/>
      <c r="DF5236" s="67" t="s">
        <v>164</v>
      </c>
      <c r="DG5236" s="67">
        <v>7.97</v>
      </c>
      <c r="DH5236" s="67">
        <v>1.5</v>
      </c>
      <c r="DI5236" s="67"/>
      <c r="DJ5236" s="67"/>
      <c r="DK5236" s="67"/>
      <c r="DL5236" s="67">
        <v>61.9</v>
      </c>
      <c r="DM5236" s="67">
        <v>56.2</v>
      </c>
      <c r="DN5236" s="67"/>
      <c r="DO5236" s="67"/>
      <c r="DP5236" s="67"/>
      <c r="DQ5236" s="166">
        <v>6.4</v>
      </c>
      <c r="DR5236" s="166">
        <v>6.05</v>
      </c>
      <c r="DS5236" s="163"/>
      <c r="DT5236" s="163"/>
      <c r="DU5236" s="67"/>
      <c r="DV5236" s="67">
        <f>DL5236+99.8</f>
        <v>161.69999999999999</v>
      </c>
      <c r="DW5236" s="67">
        <f>DM5236+86.6</f>
        <v>142.80000000000001</v>
      </c>
      <c r="DX5236" s="67"/>
      <c r="DY5236" s="67"/>
      <c r="DZ5236" s="67" t="s">
        <v>5894</v>
      </c>
      <c r="EA5236" s="67"/>
      <c r="EB5236" s="67"/>
      <c r="EC5236" s="67"/>
      <c r="ED5236" s="67"/>
      <c r="EE5236" s="67"/>
      <c r="EF5236" s="67"/>
      <c r="EG5236" s="67"/>
      <c r="EH5236" s="67"/>
      <c r="EI5236" s="67"/>
      <c r="EJ5236" s="67"/>
      <c r="EK5236" s="94"/>
      <c r="EL5236" s="94"/>
      <c r="EM5236" s="67"/>
      <c r="EN5236" s="67"/>
      <c r="EO5236" s="67"/>
      <c r="EP5236" s="67"/>
      <c r="EQ5236" s="67"/>
      <c r="ER5236" s="67"/>
      <c r="ES5236" s="67"/>
      <c r="ET5236" s="67"/>
      <c r="EU5236" s="67"/>
      <c r="EV5236" s="67"/>
      <c r="EW5236" s="67"/>
      <c r="EX5236" s="67"/>
      <c r="EY5236" s="67"/>
      <c r="EZ5236" s="67"/>
      <c r="FA5236" s="67"/>
      <c r="FB5236" s="67"/>
      <c r="FC5236" s="67"/>
      <c r="FD5236" s="67"/>
      <c r="FE5236" s="67"/>
      <c r="FF5236" s="67"/>
      <c r="FG5236" s="67"/>
      <c r="FH5236" s="67"/>
      <c r="FI5236" s="67"/>
      <c r="FJ5236" s="67"/>
      <c r="FK5236" s="67"/>
      <c r="FL5236" s="67"/>
      <c r="FM5236" s="67"/>
      <c r="FN5236" s="67"/>
      <c r="FO5236" s="67"/>
      <c r="FP5236" s="67"/>
      <c r="FQ5236" s="67"/>
      <c r="FR5236" s="67"/>
      <c r="FS5236" s="67"/>
      <c r="FT5236" s="67"/>
      <c r="FU5236" s="67"/>
      <c r="FV5236" s="67"/>
      <c r="FW5236" s="67"/>
      <c r="FX5236" s="67"/>
      <c r="FY5236" s="67"/>
      <c r="FZ5236" s="67"/>
      <c r="GA5236" s="67"/>
      <c r="GB5236" s="67"/>
      <c r="GC5236" s="67"/>
      <c r="GD5236" s="67"/>
      <c r="GE5236" s="67"/>
      <c r="GF5236" s="67"/>
      <c r="GG5236" s="67"/>
      <c r="GH5236" s="67"/>
      <c r="GI5236" s="67"/>
      <c r="GJ5236" s="67"/>
      <c r="GK5236" s="67"/>
      <c r="GL5236" s="67"/>
      <c r="GM5236" s="67"/>
      <c r="GN5236" s="292"/>
      <c r="GO5236" s="292"/>
      <c r="GP5236" s="292" t="s">
        <v>7494</v>
      </c>
      <c r="GQ5236" s="67"/>
      <c r="GR5236" s="67"/>
      <c r="GS5236" s="67"/>
      <c r="GT5236" s="67"/>
      <c r="GU5236" s="67"/>
      <c r="GV5236" s="67"/>
      <c r="GW5236" s="67"/>
      <c r="GX5236" s="67"/>
      <c r="GY5236" s="67"/>
      <c r="GZ5236" s="67"/>
      <c r="HA5236" s="67"/>
      <c r="HB5236" s="67"/>
      <c r="HC5236" s="67"/>
      <c r="HD5236" s="67"/>
      <c r="HE5236" s="67"/>
      <c r="HF5236" s="67"/>
      <c r="HG5236" s="67"/>
      <c r="HH5236" s="67"/>
      <c r="HI5236" s="67"/>
      <c r="HJ5236" s="67"/>
      <c r="HK5236" s="67"/>
      <c r="HL5236" s="67"/>
      <c r="HM5236" s="67"/>
      <c r="HN5236" s="67"/>
      <c r="HO5236" s="67"/>
      <c r="HP5236" s="67"/>
      <c r="HQ5236" s="67"/>
      <c r="HR5236" s="67"/>
      <c r="HS5236" s="67"/>
      <c r="HT5236" s="67"/>
      <c r="HU5236" s="67"/>
      <c r="HV5236" s="67"/>
      <c r="HW5236" s="67"/>
      <c r="HX5236" s="67"/>
      <c r="HY5236" s="67"/>
      <c r="HZ5236" s="67"/>
      <c r="IA5236" s="67"/>
      <c r="IB5236" s="67"/>
      <c r="IC5236" s="67"/>
      <c r="ID5236" s="67"/>
      <c r="IE5236" s="67"/>
      <c r="IF5236" s="67"/>
      <c r="IG5236" s="67"/>
      <c r="IH5236" s="67"/>
      <c r="II5236" s="67"/>
      <c r="IJ5236" s="67"/>
      <c r="IK5236" s="67"/>
      <c r="IL5236" s="67"/>
      <c r="IM5236" s="67"/>
      <c r="IN5236" s="67"/>
      <c r="IO5236" s="67"/>
      <c r="IP5236" s="67"/>
      <c r="IQ5236" s="67"/>
      <c r="IR5236" s="67"/>
      <c r="IS5236" s="67"/>
      <c r="IT5236" s="67"/>
      <c r="IU5236" s="67"/>
      <c r="IV5236" s="67"/>
      <c r="IW5236" s="67"/>
      <c r="IX5236" s="67"/>
      <c r="IY5236" s="67"/>
      <c r="IZ5236" s="67"/>
      <c r="JA5236" s="67"/>
      <c r="JB5236" s="67"/>
      <c r="JC5236" s="67"/>
      <c r="JD5236" s="67"/>
      <c r="JE5236" s="67"/>
      <c r="JF5236" s="67"/>
      <c r="JG5236" s="67"/>
      <c r="JH5236" s="67"/>
      <c r="JI5236" s="67"/>
      <c r="JJ5236" s="67"/>
      <c r="JK5236" s="67"/>
      <c r="JL5236" s="67"/>
      <c r="JM5236" s="67"/>
      <c r="JN5236" s="67"/>
      <c r="JO5236" s="67"/>
      <c r="JP5236" s="67"/>
      <c r="JQ5236" s="67">
        <v>99999</v>
      </c>
      <c r="JR5236" s="67"/>
      <c r="JS5236" s="67"/>
      <c r="JT5236" s="67"/>
      <c r="JU5236" s="58"/>
      <c r="JV5236" s="58"/>
      <c r="JW5236" s="58"/>
    </row>
    <row r="5237" spans="1:286" s="23" customFormat="1" x14ac:dyDescent="0.25">
      <c r="A5237" s="55">
        <v>5236</v>
      </c>
      <c r="B5237" s="12" t="s">
        <v>7067</v>
      </c>
      <c r="C5237" s="156">
        <v>281</v>
      </c>
      <c r="D5237" s="58" t="s">
        <v>5901</v>
      </c>
      <c r="E5237" s="94" t="s">
        <v>5890</v>
      </c>
      <c r="F5237" s="94"/>
      <c r="G5237" s="58" t="s">
        <v>5889</v>
      </c>
      <c r="H5237" s="58" t="s">
        <v>5888</v>
      </c>
      <c r="I5237" s="58" t="s">
        <v>5532</v>
      </c>
      <c r="J5237" s="58" t="s">
        <v>350</v>
      </c>
      <c r="K5237" s="58" t="s">
        <v>5887</v>
      </c>
      <c r="L5237" s="58" t="s">
        <v>5891</v>
      </c>
      <c r="M5237" s="94">
        <v>49.72</v>
      </c>
      <c r="N5237" s="94">
        <v>20.25</v>
      </c>
      <c r="O5237" s="94">
        <v>455</v>
      </c>
      <c r="P5237" s="58"/>
      <c r="Q5237" s="58"/>
      <c r="R5237" s="58"/>
      <c r="S5237" s="94"/>
      <c r="T5237" s="58"/>
      <c r="U5237" s="58" t="s">
        <v>1688</v>
      </c>
      <c r="V5237" s="58" t="s">
        <v>1688</v>
      </c>
      <c r="W5237" s="174"/>
      <c r="X5237" s="174"/>
      <c r="Y5237" s="58" t="s">
        <v>4562</v>
      </c>
      <c r="Z5237" s="58" t="s">
        <v>1346</v>
      </c>
      <c r="AA5237" s="94" t="s">
        <v>1675</v>
      </c>
      <c r="AB5237" s="67"/>
      <c r="AC5237" s="67"/>
      <c r="AD5237" s="94"/>
      <c r="AE5237" s="94"/>
      <c r="AF5237" s="94"/>
      <c r="AG5237" s="94"/>
      <c r="AH5237" s="58" t="s">
        <v>6378</v>
      </c>
      <c r="AI5237" s="169"/>
      <c r="AJ5237" s="94"/>
      <c r="AK5237" s="94"/>
      <c r="AL5237" s="58"/>
      <c r="AM5237" s="58"/>
      <c r="AN5237" s="186" t="s">
        <v>4584</v>
      </c>
      <c r="AO5237" s="185" t="s">
        <v>5150</v>
      </c>
      <c r="AP5237" s="58"/>
      <c r="AQ5237" s="58"/>
      <c r="AR5237" s="58" t="s">
        <v>5897</v>
      </c>
      <c r="AS5237" s="58" t="s">
        <v>3471</v>
      </c>
      <c r="AT5237" s="182"/>
      <c r="AU5237" s="181" t="s">
        <v>7494</v>
      </c>
      <c r="AV5237" s="185" t="s">
        <v>176</v>
      </c>
      <c r="AW5237" s="58"/>
      <c r="AX5237" s="185" t="s">
        <v>176</v>
      </c>
      <c r="AY5237" s="58"/>
      <c r="AZ5237" s="58"/>
      <c r="BA5237" s="58"/>
      <c r="BB5237" s="58"/>
      <c r="BC5237" s="58"/>
      <c r="BD5237" s="58"/>
      <c r="BE5237" s="236"/>
      <c r="BF5237" s="58"/>
      <c r="BG5237" s="58"/>
      <c r="BH5237" s="236"/>
      <c r="BI5237" s="58"/>
      <c r="BJ5237" s="58"/>
      <c r="BK5237" s="58" t="s">
        <v>6335</v>
      </c>
      <c r="BL5237" s="58"/>
      <c r="BM5237" s="237"/>
      <c r="BN5237" s="58"/>
      <c r="BO5237" s="58"/>
      <c r="BP5237" s="58"/>
      <c r="BQ5237" s="58"/>
      <c r="BR5237" s="58"/>
      <c r="BS5237" s="58"/>
      <c r="BT5237" s="58"/>
      <c r="BU5237" s="58"/>
      <c r="BV5237" s="58"/>
      <c r="BW5237" s="67"/>
      <c r="BX5237" s="67"/>
      <c r="BY5237" s="67"/>
      <c r="BZ5237" s="67"/>
      <c r="CA5237" s="67"/>
      <c r="CB5237" s="68"/>
      <c r="CC5237" s="68"/>
      <c r="CD5237" s="68"/>
      <c r="CE5237" s="67"/>
      <c r="CF5237" s="67"/>
      <c r="CG5237" s="67"/>
      <c r="CH5237" s="94"/>
      <c r="CI5237" s="94"/>
      <c r="CJ5237" s="67"/>
      <c r="CK5237" s="67"/>
      <c r="CL5237" s="67"/>
      <c r="CM5237" s="67"/>
      <c r="CN5237" s="67"/>
      <c r="CO5237" s="67"/>
      <c r="CP5237" s="67"/>
      <c r="CQ5237" s="67"/>
      <c r="CR5237" s="67"/>
      <c r="CS5237" s="67"/>
      <c r="CT5237" s="67"/>
      <c r="CU5237" s="67"/>
      <c r="CV5237" s="67"/>
      <c r="CW5237" s="67"/>
      <c r="CX5237" s="67"/>
      <c r="CY5237" s="67"/>
      <c r="CZ5237" s="67"/>
      <c r="DA5237" s="67"/>
      <c r="DB5237" s="67">
        <v>0.13</v>
      </c>
      <c r="DC5237" s="67">
        <v>0.15</v>
      </c>
      <c r="DD5237" s="67"/>
      <c r="DE5237" s="67"/>
      <c r="DF5237" s="67" t="s">
        <v>164</v>
      </c>
      <c r="DG5237" s="67">
        <v>3.32</v>
      </c>
      <c r="DH5237" s="67">
        <v>4.92</v>
      </c>
      <c r="DI5237" s="67"/>
      <c r="DJ5237" s="67"/>
      <c r="DK5237" s="67"/>
      <c r="DL5237" s="67">
        <v>68.900000000000006</v>
      </c>
      <c r="DM5237" s="67">
        <v>46.4</v>
      </c>
      <c r="DN5237" s="67"/>
      <c r="DO5237" s="67"/>
      <c r="DP5237" s="67"/>
      <c r="DQ5237" s="166">
        <v>6.04</v>
      </c>
      <c r="DR5237" s="166">
        <v>6.38</v>
      </c>
      <c r="DS5237" s="163"/>
      <c r="DT5237" s="163"/>
      <c r="DU5237" s="67"/>
      <c r="DV5237" s="67">
        <f>DL5237+30.9</f>
        <v>99.800000000000011</v>
      </c>
      <c r="DW5237" s="67">
        <f>DM5237+90.2</f>
        <v>136.6</v>
      </c>
      <c r="DX5237" s="67"/>
      <c r="DY5237" s="67"/>
      <c r="DZ5237" s="67" t="s">
        <v>5894</v>
      </c>
      <c r="EA5237" s="67"/>
      <c r="EB5237" s="67"/>
      <c r="EC5237" s="67"/>
      <c r="ED5237" s="67"/>
      <c r="EE5237" s="67"/>
      <c r="EF5237" s="67"/>
      <c r="EG5237" s="67"/>
      <c r="EH5237" s="67"/>
      <c r="EI5237" s="67"/>
      <c r="EJ5237" s="67"/>
      <c r="EK5237" s="94"/>
      <c r="EL5237" s="94"/>
      <c r="EM5237" s="67"/>
      <c r="EN5237" s="67"/>
      <c r="EO5237" s="67"/>
      <c r="EP5237" s="67"/>
      <c r="EQ5237" s="67"/>
      <c r="ER5237" s="67"/>
      <c r="ES5237" s="67"/>
      <c r="ET5237" s="67"/>
      <c r="EU5237" s="67"/>
      <c r="EV5237" s="67"/>
      <c r="EW5237" s="67"/>
      <c r="EX5237" s="67"/>
      <c r="EY5237" s="67"/>
      <c r="EZ5237" s="67"/>
      <c r="FA5237" s="67"/>
      <c r="FB5237" s="67"/>
      <c r="FC5237" s="67"/>
      <c r="FD5237" s="67"/>
      <c r="FE5237" s="67"/>
      <c r="FF5237" s="67"/>
      <c r="FG5237" s="67"/>
      <c r="FH5237" s="67"/>
      <c r="FI5237" s="67"/>
      <c r="FJ5237" s="67"/>
      <c r="FK5237" s="67"/>
      <c r="FL5237" s="67"/>
      <c r="FM5237" s="67"/>
      <c r="FN5237" s="67"/>
      <c r="FO5237" s="67"/>
      <c r="FP5237" s="67"/>
      <c r="FQ5237" s="67"/>
      <c r="FR5237" s="67"/>
      <c r="FS5237" s="67"/>
      <c r="FT5237" s="67"/>
      <c r="FU5237" s="67"/>
      <c r="FV5237" s="67"/>
      <c r="FW5237" s="67"/>
      <c r="FX5237" s="67"/>
      <c r="FY5237" s="67"/>
      <c r="FZ5237" s="67"/>
      <c r="GA5237" s="67"/>
      <c r="GB5237" s="67"/>
      <c r="GC5237" s="67"/>
      <c r="GD5237" s="67"/>
      <c r="GE5237" s="67"/>
      <c r="GF5237" s="67"/>
      <c r="GG5237" s="67"/>
      <c r="GH5237" s="67"/>
      <c r="GI5237" s="67"/>
      <c r="GJ5237" s="67"/>
      <c r="GK5237" s="67"/>
      <c r="GL5237" s="67"/>
      <c r="GM5237" s="67"/>
      <c r="GN5237" s="292"/>
      <c r="GO5237" s="292"/>
      <c r="GP5237" s="292" t="s">
        <v>7494</v>
      </c>
      <c r="GQ5237" s="67"/>
      <c r="GR5237" s="67"/>
      <c r="GS5237" s="67"/>
      <c r="GT5237" s="67"/>
      <c r="GU5237" s="67"/>
      <c r="GV5237" s="67"/>
      <c r="GW5237" s="67"/>
      <c r="GX5237" s="67"/>
      <c r="GY5237" s="67"/>
      <c r="GZ5237" s="67"/>
      <c r="HA5237" s="67"/>
      <c r="HB5237" s="67"/>
      <c r="HC5237" s="67"/>
      <c r="HD5237" s="67"/>
      <c r="HE5237" s="67"/>
      <c r="HF5237" s="67"/>
      <c r="HG5237" s="67"/>
      <c r="HH5237" s="67"/>
      <c r="HI5237" s="67"/>
      <c r="HJ5237" s="67"/>
      <c r="HK5237" s="67"/>
      <c r="HL5237" s="67"/>
      <c r="HM5237" s="67"/>
      <c r="HN5237" s="67"/>
      <c r="HO5237" s="67"/>
      <c r="HP5237" s="67"/>
      <c r="HQ5237" s="67"/>
      <c r="HR5237" s="67"/>
      <c r="HS5237" s="67"/>
      <c r="HT5237" s="67"/>
      <c r="HU5237" s="67"/>
      <c r="HV5237" s="67"/>
      <c r="HW5237" s="67"/>
      <c r="HX5237" s="67"/>
      <c r="HY5237" s="67"/>
      <c r="HZ5237" s="67"/>
      <c r="IA5237" s="67"/>
      <c r="IB5237" s="67"/>
      <c r="IC5237" s="67"/>
      <c r="ID5237" s="67"/>
      <c r="IE5237" s="67"/>
      <c r="IF5237" s="67"/>
      <c r="IG5237" s="67"/>
      <c r="IH5237" s="67"/>
      <c r="II5237" s="67"/>
      <c r="IJ5237" s="67"/>
      <c r="IK5237" s="67"/>
      <c r="IL5237" s="67"/>
      <c r="IM5237" s="67"/>
      <c r="IN5237" s="67"/>
      <c r="IO5237" s="67"/>
      <c r="IP5237" s="67"/>
      <c r="IQ5237" s="67"/>
      <c r="IR5237" s="67"/>
      <c r="IS5237" s="67"/>
      <c r="IT5237" s="67"/>
      <c r="IU5237" s="67"/>
      <c r="IV5237" s="67"/>
      <c r="IW5237" s="67"/>
      <c r="IX5237" s="67"/>
      <c r="IY5237" s="67"/>
      <c r="IZ5237" s="67"/>
      <c r="JA5237" s="67"/>
      <c r="JB5237" s="67"/>
      <c r="JC5237" s="67"/>
      <c r="JD5237" s="67"/>
      <c r="JE5237" s="67"/>
      <c r="JF5237" s="67"/>
      <c r="JG5237" s="67"/>
      <c r="JH5237" s="67"/>
      <c r="JI5237" s="67"/>
      <c r="JJ5237" s="67"/>
      <c r="JK5237" s="67"/>
      <c r="JL5237" s="67"/>
      <c r="JM5237" s="67"/>
      <c r="JN5237" s="67"/>
      <c r="JO5237" s="67"/>
      <c r="JP5237" s="67"/>
      <c r="JQ5237" s="67">
        <v>99999</v>
      </c>
      <c r="JR5237" s="67"/>
      <c r="JS5237" s="67"/>
      <c r="JT5237" s="67"/>
      <c r="JU5237" s="58"/>
      <c r="JV5237" s="58"/>
      <c r="JW5237" s="58"/>
    </row>
    <row r="5238" spans="1:286" s="23" customFormat="1" x14ac:dyDescent="0.25">
      <c r="A5238" s="55">
        <v>5237</v>
      </c>
      <c r="B5238" s="12" t="s">
        <v>7067</v>
      </c>
      <c r="C5238" s="156">
        <v>281</v>
      </c>
      <c r="D5238" s="58" t="s">
        <v>5902</v>
      </c>
      <c r="E5238" s="94" t="s">
        <v>5890</v>
      </c>
      <c r="F5238" s="94"/>
      <c r="G5238" s="58" t="s">
        <v>5889</v>
      </c>
      <c r="H5238" s="58" t="s">
        <v>5888</v>
      </c>
      <c r="I5238" s="58" t="s">
        <v>5532</v>
      </c>
      <c r="J5238" s="58" t="s">
        <v>350</v>
      </c>
      <c r="K5238" s="58" t="s">
        <v>5887</v>
      </c>
      <c r="L5238" s="58" t="s">
        <v>5891</v>
      </c>
      <c r="M5238" s="94">
        <v>49.72</v>
      </c>
      <c r="N5238" s="94">
        <v>20.25</v>
      </c>
      <c r="O5238" s="94">
        <v>455</v>
      </c>
      <c r="P5238" s="58"/>
      <c r="Q5238" s="58"/>
      <c r="R5238" s="58"/>
      <c r="S5238" s="94"/>
      <c r="T5238" s="58"/>
      <c r="U5238" s="58" t="s">
        <v>1688</v>
      </c>
      <c r="V5238" s="58" t="s">
        <v>1688</v>
      </c>
      <c r="W5238" s="174"/>
      <c r="X5238" s="174"/>
      <c r="Y5238" s="58" t="s">
        <v>4562</v>
      </c>
      <c r="Z5238" s="58" t="s">
        <v>1346</v>
      </c>
      <c r="AA5238" s="94" t="s">
        <v>1675</v>
      </c>
      <c r="AB5238" s="67"/>
      <c r="AC5238" s="67"/>
      <c r="AD5238" s="94"/>
      <c r="AE5238" s="94"/>
      <c r="AF5238" s="94"/>
      <c r="AG5238" s="94"/>
      <c r="AH5238" s="58" t="s">
        <v>6378</v>
      </c>
      <c r="AI5238" s="169"/>
      <c r="AJ5238" s="94"/>
      <c r="AK5238" s="94"/>
      <c r="AL5238" s="58"/>
      <c r="AM5238" s="58"/>
      <c r="AN5238" s="186" t="s">
        <v>4584</v>
      </c>
      <c r="AO5238" s="185" t="s">
        <v>5150</v>
      </c>
      <c r="AP5238" s="58"/>
      <c r="AQ5238" s="58"/>
      <c r="AR5238" s="58" t="s">
        <v>5353</v>
      </c>
      <c r="AS5238" s="58" t="s">
        <v>3471</v>
      </c>
      <c r="AT5238" s="182"/>
      <c r="AU5238" s="181" t="s">
        <v>7494</v>
      </c>
      <c r="AV5238" s="185" t="s">
        <v>176</v>
      </c>
      <c r="AW5238" s="58"/>
      <c r="AX5238" s="185" t="s">
        <v>176</v>
      </c>
      <c r="AY5238" s="58"/>
      <c r="AZ5238" s="58"/>
      <c r="BA5238" s="58"/>
      <c r="BB5238" s="58"/>
      <c r="BC5238" s="58"/>
      <c r="BD5238" s="58"/>
      <c r="BE5238" s="236"/>
      <c r="BF5238" s="58"/>
      <c r="BG5238" s="58"/>
      <c r="BH5238" s="236"/>
      <c r="BI5238" s="58"/>
      <c r="BJ5238" s="58"/>
      <c r="BK5238" s="58" t="s">
        <v>6335</v>
      </c>
      <c r="BL5238" s="58"/>
      <c r="BM5238" s="237"/>
      <c r="BN5238" s="58"/>
      <c r="BO5238" s="58"/>
      <c r="BP5238" s="58"/>
      <c r="BQ5238" s="58"/>
      <c r="BR5238" s="58"/>
      <c r="BS5238" s="58"/>
      <c r="BT5238" s="58"/>
      <c r="BU5238" s="58"/>
      <c r="BV5238" s="58"/>
      <c r="BW5238" s="67"/>
      <c r="BX5238" s="67"/>
      <c r="BY5238" s="67"/>
      <c r="BZ5238" s="67"/>
      <c r="CA5238" s="67"/>
      <c r="CB5238" s="68"/>
      <c r="CC5238" s="68"/>
      <c r="CD5238" s="68"/>
      <c r="CE5238" s="67"/>
      <c r="CF5238" s="67"/>
      <c r="CG5238" s="67"/>
      <c r="CH5238" s="94"/>
      <c r="CI5238" s="94"/>
      <c r="CJ5238" s="67"/>
      <c r="CK5238" s="67"/>
      <c r="CL5238" s="67"/>
      <c r="CM5238" s="67"/>
      <c r="CN5238" s="67"/>
      <c r="CO5238" s="67"/>
      <c r="CP5238" s="67"/>
      <c r="CQ5238" s="67"/>
      <c r="CR5238" s="67"/>
      <c r="CS5238" s="67"/>
      <c r="CT5238" s="67"/>
      <c r="CU5238" s="67"/>
      <c r="CV5238" s="67"/>
      <c r="CW5238" s="67"/>
      <c r="CX5238" s="67"/>
      <c r="CY5238" s="67"/>
      <c r="CZ5238" s="67"/>
      <c r="DA5238" s="67"/>
      <c r="DB5238" s="67">
        <v>0.15</v>
      </c>
      <c r="DC5238" s="67">
        <v>0.14000000000000001</v>
      </c>
      <c r="DD5238" s="67"/>
      <c r="DE5238" s="67"/>
      <c r="DF5238" s="67" t="s">
        <v>164</v>
      </c>
      <c r="DG5238" s="67">
        <v>9.08</v>
      </c>
      <c r="DH5238" s="67">
        <v>2.87</v>
      </c>
      <c r="DI5238" s="67"/>
      <c r="DJ5238" s="67"/>
      <c r="DK5238" s="67"/>
      <c r="DL5238" s="67">
        <v>105.7</v>
      </c>
      <c r="DM5238" s="67">
        <v>41.5</v>
      </c>
      <c r="DN5238" s="67"/>
      <c r="DO5238" s="67"/>
      <c r="DP5238" s="67"/>
      <c r="DQ5238" s="166">
        <v>5.55</v>
      </c>
      <c r="DR5238" s="166">
        <v>6.05</v>
      </c>
      <c r="DS5238" s="163"/>
      <c r="DT5238" s="163"/>
      <c r="DU5238" s="67"/>
      <c r="DV5238" s="67">
        <f>DL5238+56.9</f>
        <v>162.6</v>
      </c>
      <c r="DW5238" s="67">
        <f>DM5238+84.5</f>
        <v>126</v>
      </c>
      <c r="DX5238" s="67"/>
      <c r="DY5238" s="67"/>
      <c r="DZ5238" s="67" t="s">
        <v>5894</v>
      </c>
      <c r="EA5238" s="67"/>
      <c r="EB5238" s="67"/>
      <c r="EC5238" s="67"/>
      <c r="ED5238" s="67"/>
      <c r="EE5238" s="67"/>
      <c r="EF5238" s="67"/>
      <c r="EG5238" s="67"/>
      <c r="EH5238" s="67"/>
      <c r="EI5238" s="67"/>
      <c r="EJ5238" s="67"/>
      <c r="EK5238" s="94"/>
      <c r="EL5238" s="94"/>
      <c r="EM5238" s="67"/>
      <c r="EN5238" s="67"/>
      <c r="EO5238" s="67"/>
      <c r="EP5238" s="67"/>
      <c r="EQ5238" s="67"/>
      <c r="ER5238" s="67"/>
      <c r="ES5238" s="67"/>
      <c r="ET5238" s="67"/>
      <c r="EU5238" s="67"/>
      <c r="EV5238" s="67"/>
      <c r="EW5238" s="67"/>
      <c r="EX5238" s="67"/>
      <c r="EY5238" s="67"/>
      <c r="EZ5238" s="67"/>
      <c r="FA5238" s="67"/>
      <c r="FB5238" s="67"/>
      <c r="FC5238" s="67"/>
      <c r="FD5238" s="67"/>
      <c r="FE5238" s="67"/>
      <c r="FF5238" s="67"/>
      <c r="FG5238" s="67"/>
      <c r="FH5238" s="67"/>
      <c r="FI5238" s="67"/>
      <c r="FJ5238" s="67"/>
      <c r="FK5238" s="67"/>
      <c r="FL5238" s="67"/>
      <c r="FM5238" s="67"/>
      <c r="FN5238" s="67"/>
      <c r="FO5238" s="67"/>
      <c r="FP5238" s="67"/>
      <c r="FQ5238" s="67"/>
      <c r="FR5238" s="67"/>
      <c r="FS5238" s="67"/>
      <c r="FT5238" s="67"/>
      <c r="FU5238" s="67"/>
      <c r="FV5238" s="67"/>
      <c r="FW5238" s="67"/>
      <c r="FX5238" s="67"/>
      <c r="FY5238" s="67"/>
      <c r="FZ5238" s="67"/>
      <c r="GA5238" s="67"/>
      <c r="GB5238" s="67"/>
      <c r="GC5238" s="67"/>
      <c r="GD5238" s="67"/>
      <c r="GE5238" s="67"/>
      <c r="GF5238" s="67"/>
      <c r="GG5238" s="67"/>
      <c r="GH5238" s="67"/>
      <c r="GI5238" s="67"/>
      <c r="GJ5238" s="67"/>
      <c r="GK5238" s="67"/>
      <c r="GL5238" s="67"/>
      <c r="GM5238" s="67"/>
      <c r="GN5238" s="292"/>
      <c r="GO5238" s="292"/>
      <c r="GP5238" s="292" t="s">
        <v>7494</v>
      </c>
      <c r="GQ5238" s="67"/>
      <c r="GR5238" s="67"/>
      <c r="GS5238" s="67"/>
      <c r="GT5238" s="67"/>
      <c r="GU5238" s="67"/>
      <c r="GV5238" s="67"/>
      <c r="GW5238" s="67"/>
      <c r="GX5238" s="67"/>
      <c r="GY5238" s="67"/>
      <c r="GZ5238" s="67"/>
      <c r="HA5238" s="67"/>
      <c r="HB5238" s="67"/>
      <c r="HC5238" s="67"/>
      <c r="HD5238" s="67"/>
      <c r="HE5238" s="67"/>
      <c r="HF5238" s="67"/>
      <c r="HG5238" s="67"/>
      <c r="HH5238" s="67"/>
      <c r="HI5238" s="67"/>
      <c r="HJ5238" s="67"/>
      <c r="HK5238" s="67"/>
      <c r="HL5238" s="67"/>
      <c r="HM5238" s="67"/>
      <c r="HN5238" s="67"/>
      <c r="HO5238" s="67"/>
      <c r="HP5238" s="67"/>
      <c r="HQ5238" s="67"/>
      <c r="HR5238" s="67"/>
      <c r="HS5238" s="67"/>
      <c r="HT5238" s="67"/>
      <c r="HU5238" s="67"/>
      <c r="HV5238" s="67"/>
      <c r="HW5238" s="67"/>
      <c r="HX5238" s="67"/>
      <c r="HY5238" s="67"/>
      <c r="HZ5238" s="67"/>
      <c r="IA5238" s="67"/>
      <c r="IB5238" s="67"/>
      <c r="IC5238" s="67"/>
      <c r="ID5238" s="67"/>
      <c r="IE5238" s="67"/>
      <c r="IF5238" s="67"/>
      <c r="IG5238" s="67"/>
      <c r="IH5238" s="67"/>
      <c r="II5238" s="67"/>
      <c r="IJ5238" s="67"/>
      <c r="IK5238" s="67"/>
      <c r="IL5238" s="67"/>
      <c r="IM5238" s="67"/>
      <c r="IN5238" s="67"/>
      <c r="IO5238" s="67"/>
      <c r="IP5238" s="67"/>
      <c r="IQ5238" s="67"/>
      <c r="IR5238" s="67"/>
      <c r="IS5238" s="67"/>
      <c r="IT5238" s="67"/>
      <c r="IU5238" s="67"/>
      <c r="IV5238" s="67"/>
      <c r="IW5238" s="67"/>
      <c r="IX5238" s="67"/>
      <c r="IY5238" s="67"/>
      <c r="IZ5238" s="67"/>
      <c r="JA5238" s="67"/>
      <c r="JB5238" s="67"/>
      <c r="JC5238" s="67"/>
      <c r="JD5238" s="67"/>
      <c r="JE5238" s="67"/>
      <c r="JF5238" s="67"/>
      <c r="JG5238" s="67"/>
      <c r="JH5238" s="67"/>
      <c r="JI5238" s="67"/>
      <c r="JJ5238" s="67"/>
      <c r="JK5238" s="67"/>
      <c r="JL5238" s="67"/>
      <c r="JM5238" s="67"/>
      <c r="JN5238" s="67"/>
      <c r="JO5238" s="67"/>
      <c r="JP5238" s="67"/>
      <c r="JQ5238" s="67">
        <v>99999</v>
      </c>
      <c r="JR5238" s="67"/>
      <c r="JS5238" s="67"/>
      <c r="JT5238" s="67"/>
      <c r="JU5238" s="58"/>
      <c r="JV5238" s="58"/>
      <c r="JW5238" s="58"/>
    </row>
    <row r="5239" spans="1:286" s="23" customFormat="1" x14ac:dyDescent="0.25">
      <c r="A5239" s="55">
        <v>5238</v>
      </c>
      <c r="B5239" s="12" t="s">
        <v>7067</v>
      </c>
      <c r="C5239" s="156" t="s">
        <v>5984</v>
      </c>
      <c r="D5239" s="58" t="s">
        <v>4910</v>
      </c>
      <c r="E5239" s="160" t="str">
        <f>G5239</f>
        <v>Dilly et al., 2001, Scheyern single croplands I</v>
      </c>
      <c r="F5239" s="160"/>
      <c r="G5239" s="60" t="s">
        <v>4820</v>
      </c>
      <c r="H5239" s="58">
        <v>2001</v>
      </c>
      <c r="I5239" s="58">
        <v>1995</v>
      </c>
      <c r="J5239" s="243" t="s">
        <v>5306</v>
      </c>
      <c r="K5239" s="63" t="s">
        <v>5368</v>
      </c>
      <c r="L5239" s="58" t="s">
        <v>1077</v>
      </c>
      <c r="M5239" s="94">
        <v>48.5</v>
      </c>
      <c r="N5239" s="94">
        <v>11.45</v>
      </c>
      <c r="O5239" s="94">
        <v>480</v>
      </c>
      <c r="P5239" s="58"/>
      <c r="Q5239" s="244">
        <v>7.4</v>
      </c>
      <c r="R5239" s="58"/>
      <c r="S5239" s="245">
        <v>833</v>
      </c>
      <c r="T5239" s="58"/>
      <c r="U5239" s="58" t="s">
        <v>1688</v>
      </c>
      <c r="V5239" s="244">
        <v>3</v>
      </c>
      <c r="W5239" s="174"/>
      <c r="X5239" s="174"/>
      <c r="Y5239" s="58" t="s">
        <v>5369</v>
      </c>
      <c r="Z5239" s="244" t="s">
        <v>1346</v>
      </c>
      <c r="AA5239" s="245">
        <v>20</v>
      </c>
      <c r="AB5239" s="67"/>
      <c r="AC5239" s="67"/>
      <c r="AD5239" s="94"/>
      <c r="AE5239" s="94"/>
      <c r="AF5239" s="94"/>
      <c r="AG5239" s="245">
        <v>8</v>
      </c>
      <c r="AH5239" s="58" t="s">
        <v>174</v>
      </c>
      <c r="AI5239" s="169"/>
      <c r="AJ5239" s="94"/>
      <c r="AK5239" s="94"/>
      <c r="AL5239" s="58"/>
      <c r="AM5239" s="58" t="s">
        <v>5370</v>
      </c>
      <c r="AN5239" s="186"/>
      <c r="AO5239" s="185" t="s">
        <v>7494</v>
      </c>
      <c r="AP5239" s="58"/>
      <c r="AQ5239" s="58"/>
      <c r="AR5239" s="246" t="s">
        <v>5134</v>
      </c>
      <c r="AS5239" s="246" t="s">
        <v>5529</v>
      </c>
      <c r="AT5239" s="247">
        <v>0</v>
      </c>
      <c r="AU5239" s="181" t="s">
        <v>7494</v>
      </c>
      <c r="AV5239" s="185" t="s">
        <v>176</v>
      </c>
      <c r="AW5239" s="244">
        <v>0</v>
      </c>
      <c r="AX5239" s="185" t="s">
        <v>176</v>
      </c>
      <c r="AY5239" s="244" t="s">
        <v>176</v>
      </c>
      <c r="AZ5239" s="58"/>
      <c r="BA5239" s="58"/>
      <c r="BB5239" s="58"/>
      <c r="BC5239" s="58"/>
      <c r="BD5239" s="58"/>
      <c r="BE5239" s="236" t="s">
        <v>5153</v>
      </c>
      <c r="BF5239" s="191" t="s">
        <v>176</v>
      </c>
      <c r="BG5239" s="191" t="s">
        <v>176</v>
      </c>
      <c r="BH5239" s="236" t="s">
        <v>5155</v>
      </c>
      <c r="BI5239" s="191" t="s">
        <v>479</v>
      </c>
      <c r="BJ5239" s="58" t="str">
        <f>IF(BE5239=BH5239,"No","yes")</f>
        <v>yes</v>
      </c>
      <c r="BK5239" s="58" t="s">
        <v>6334</v>
      </c>
      <c r="BL5239" s="58"/>
      <c r="BM5239" s="237"/>
      <c r="BN5239" s="244">
        <v>5</v>
      </c>
      <c r="BO5239" s="244">
        <v>20</v>
      </c>
      <c r="BP5239" s="58"/>
      <c r="BQ5239" s="58"/>
      <c r="BR5239" s="58"/>
      <c r="BS5239" s="58"/>
      <c r="BT5239" s="58"/>
      <c r="BU5239" s="58"/>
      <c r="BV5239" s="58"/>
      <c r="BW5239" s="67"/>
      <c r="BX5239" s="67"/>
      <c r="BY5239" s="67"/>
      <c r="BZ5239" s="67"/>
      <c r="CA5239" s="67"/>
      <c r="CB5239" s="70"/>
      <c r="CC5239" s="70"/>
      <c r="CD5239" s="70"/>
      <c r="CE5239" s="67"/>
      <c r="CF5239" s="67"/>
      <c r="CG5239" s="67"/>
      <c r="CH5239" s="245"/>
      <c r="CI5239" s="245"/>
      <c r="CJ5239" s="67"/>
      <c r="CK5239" s="67"/>
      <c r="CL5239" s="67"/>
      <c r="CM5239" s="242">
        <v>2.6</v>
      </c>
      <c r="CN5239" s="242">
        <v>2.6</v>
      </c>
      <c r="CO5239" s="242"/>
      <c r="CP5239" s="242"/>
      <c r="CQ5239" s="242" t="s">
        <v>164</v>
      </c>
      <c r="CR5239" s="242">
        <v>67.905817828279496</v>
      </c>
      <c r="CS5239" s="242">
        <v>67.905817828279496</v>
      </c>
      <c r="CT5239" s="242">
        <v>6.7905817828279496</v>
      </c>
      <c r="CU5239" s="242">
        <v>6.7905817828279496</v>
      </c>
      <c r="CV5239" s="242" t="s">
        <v>5151</v>
      </c>
      <c r="CW5239" s="242"/>
      <c r="CX5239" s="242"/>
      <c r="CY5239" s="242"/>
      <c r="CZ5239" s="242"/>
      <c r="DA5239" s="67" t="s">
        <v>5443</v>
      </c>
      <c r="DB5239" s="67"/>
      <c r="DC5239" s="67"/>
      <c r="DD5239" s="67"/>
      <c r="DE5239" s="67"/>
      <c r="DF5239" s="67"/>
      <c r="DG5239" s="67"/>
      <c r="DH5239" s="67"/>
      <c r="DI5239" s="67"/>
      <c r="DJ5239" s="67"/>
      <c r="DK5239" s="67"/>
      <c r="DL5239" s="67"/>
      <c r="DM5239" s="67"/>
      <c r="DN5239" s="67"/>
      <c r="DO5239" s="67"/>
      <c r="DP5239" s="67"/>
      <c r="DQ5239" s="166">
        <v>5.0999999999999996</v>
      </c>
      <c r="DR5239" s="166">
        <v>5.3</v>
      </c>
      <c r="DS5239" s="163"/>
      <c r="DT5239" s="163"/>
      <c r="DU5239" s="67"/>
      <c r="DV5239" s="67"/>
      <c r="DW5239" s="67"/>
      <c r="DX5239" s="67"/>
      <c r="DY5239" s="67"/>
      <c r="DZ5239" s="67"/>
      <c r="EA5239" s="67"/>
      <c r="EB5239" s="67"/>
      <c r="EC5239" s="67"/>
      <c r="ED5239" s="67"/>
      <c r="EE5239" s="67"/>
      <c r="EF5239" s="67"/>
      <c r="EG5239" s="67"/>
      <c r="EH5239" s="67"/>
      <c r="EI5239" s="67"/>
      <c r="EJ5239" s="67"/>
      <c r="EK5239" s="94"/>
      <c r="EL5239" s="94"/>
      <c r="EM5239" s="67"/>
      <c r="EN5239" s="67"/>
      <c r="EO5239" s="67"/>
      <c r="EP5239" s="67"/>
      <c r="EQ5239" s="67"/>
      <c r="ER5239" s="67"/>
      <c r="ES5239" s="67"/>
      <c r="ET5239" s="67"/>
      <c r="EU5239" s="67"/>
      <c r="EV5239" s="67"/>
      <c r="EW5239" s="67"/>
      <c r="EX5239" s="67"/>
      <c r="EY5239" s="67"/>
      <c r="EZ5239" s="67"/>
      <c r="FA5239" s="67"/>
      <c r="FB5239" s="67"/>
      <c r="FC5239" s="67"/>
      <c r="FD5239" s="67"/>
      <c r="FE5239" s="67"/>
      <c r="FF5239" s="67"/>
      <c r="FG5239" s="67"/>
      <c r="FH5239" s="67"/>
      <c r="FI5239" s="67"/>
      <c r="FJ5239" s="67"/>
      <c r="FK5239" s="67"/>
      <c r="FL5239" s="67"/>
      <c r="FM5239" s="67"/>
      <c r="FN5239" s="67"/>
      <c r="FO5239" s="67"/>
      <c r="FP5239" s="67"/>
      <c r="FQ5239" s="67"/>
      <c r="FR5239" s="67"/>
      <c r="FS5239" s="67"/>
      <c r="FT5239" s="67"/>
      <c r="FU5239" s="67"/>
      <c r="FV5239" s="67"/>
      <c r="FW5239" s="67"/>
      <c r="FX5239" s="67"/>
      <c r="FY5239" s="67"/>
      <c r="FZ5239" s="67"/>
      <c r="GA5239" s="67"/>
      <c r="GB5239" s="67"/>
      <c r="GC5239" s="67"/>
      <c r="GD5239" s="67"/>
      <c r="GE5239" s="67"/>
      <c r="GF5239" s="67"/>
      <c r="GG5239" s="67"/>
      <c r="GH5239" s="67"/>
      <c r="GI5239" s="67"/>
      <c r="GJ5239" s="67"/>
      <c r="GK5239" s="67"/>
      <c r="GL5239" s="67"/>
      <c r="GM5239" s="67"/>
      <c r="GN5239" s="292"/>
      <c r="GO5239" s="292"/>
      <c r="GP5239" s="292" t="s">
        <v>7494</v>
      </c>
      <c r="GQ5239" s="67"/>
      <c r="GR5239" s="67"/>
      <c r="GS5239" s="67"/>
      <c r="GT5239" s="67"/>
      <c r="GU5239" s="67"/>
      <c r="GV5239" s="67"/>
      <c r="GW5239" s="67"/>
      <c r="GX5239" s="67"/>
      <c r="GY5239" s="67"/>
      <c r="GZ5239" s="67"/>
      <c r="HA5239" s="67"/>
      <c r="HB5239" s="67"/>
      <c r="HC5239" s="67"/>
      <c r="HD5239" s="67"/>
      <c r="HE5239" s="67"/>
      <c r="HF5239" s="67"/>
      <c r="HG5239" s="67"/>
      <c r="HH5239" s="67"/>
      <c r="HI5239" s="67"/>
      <c r="HJ5239" s="67"/>
      <c r="HK5239" s="67"/>
      <c r="HL5239" s="67"/>
      <c r="HM5239" s="67"/>
      <c r="HN5239" s="67"/>
      <c r="HO5239" s="67"/>
      <c r="HP5239" s="67"/>
      <c r="HQ5239" s="67"/>
      <c r="HR5239" s="67"/>
      <c r="HS5239" s="67"/>
      <c r="HT5239" s="67"/>
      <c r="HU5239" s="67"/>
      <c r="HV5239" s="67"/>
      <c r="HW5239" s="67"/>
      <c r="HX5239" s="67"/>
      <c r="HY5239" s="67"/>
      <c r="HZ5239" s="67"/>
      <c r="IA5239" s="67"/>
      <c r="IB5239" s="67"/>
      <c r="IC5239" s="67"/>
      <c r="ID5239" s="67"/>
      <c r="IE5239" s="67"/>
      <c r="IF5239" s="67"/>
      <c r="IG5239" s="67"/>
      <c r="IH5239" s="67"/>
      <c r="II5239" s="67"/>
      <c r="IJ5239" s="67"/>
      <c r="IK5239" s="67"/>
      <c r="IL5239" s="67"/>
      <c r="IM5239" s="67"/>
      <c r="IN5239" s="67"/>
      <c r="IO5239" s="67"/>
      <c r="IP5239" s="67"/>
      <c r="IQ5239" s="67"/>
      <c r="IR5239" s="67"/>
      <c r="IS5239" s="67"/>
      <c r="IT5239" s="67"/>
      <c r="IU5239" s="67"/>
      <c r="IV5239" s="67"/>
      <c r="IW5239" s="67"/>
      <c r="IX5239" s="67"/>
      <c r="IY5239" s="67"/>
      <c r="IZ5239" s="67"/>
      <c r="JA5239" s="67"/>
      <c r="JB5239" s="67"/>
      <c r="JC5239" s="67"/>
      <c r="JD5239" s="67"/>
      <c r="JE5239" s="67"/>
      <c r="JF5239" s="67"/>
      <c r="JG5239" s="67"/>
      <c r="JH5239" s="67"/>
      <c r="JI5239" s="67"/>
      <c r="JJ5239" s="67"/>
      <c r="JK5239" s="67"/>
      <c r="JL5239" s="67"/>
      <c r="JM5239" s="67"/>
      <c r="JN5239" s="67"/>
      <c r="JO5239" s="67"/>
      <c r="JP5239" s="67"/>
      <c r="JQ5239" s="67"/>
      <c r="JR5239" s="67"/>
      <c r="JS5239" s="67"/>
      <c r="JT5239" s="67"/>
      <c r="JU5239" s="58"/>
      <c r="JV5239" s="58"/>
      <c r="JW5239" s="58"/>
    </row>
    <row r="5240" spans="1:286" s="23" customFormat="1" x14ac:dyDescent="0.25">
      <c r="A5240" s="55">
        <v>5239</v>
      </c>
      <c r="B5240" s="12" t="s">
        <v>7067</v>
      </c>
      <c r="C5240" s="156" t="s">
        <v>5984</v>
      </c>
      <c r="D5240" s="58" t="s">
        <v>5371</v>
      </c>
      <c r="E5240" s="160" t="str">
        <f>G5240</f>
        <v>Dilly et al., 2001, Scheyern single croplands I</v>
      </c>
      <c r="F5240" s="160"/>
      <c r="G5240" s="60" t="s">
        <v>4820</v>
      </c>
      <c r="H5240" s="58">
        <v>2001</v>
      </c>
      <c r="I5240" s="58">
        <v>1995</v>
      </c>
      <c r="J5240" s="243" t="s">
        <v>5306</v>
      </c>
      <c r="K5240" s="63" t="s">
        <v>5368</v>
      </c>
      <c r="L5240" s="58" t="s">
        <v>1077</v>
      </c>
      <c r="M5240" s="94">
        <v>48.5</v>
      </c>
      <c r="N5240" s="94">
        <v>11.45</v>
      </c>
      <c r="O5240" s="94">
        <v>480</v>
      </c>
      <c r="P5240" s="58"/>
      <c r="Q5240" s="244">
        <v>7.4</v>
      </c>
      <c r="R5240" s="58"/>
      <c r="S5240" s="245">
        <v>833</v>
      </c>
      <c r="T5240" s="58"/>
      <c r="U5240" s="58" t="s">
        <v>1688</v>
      </c>
      <c r="V5240" s="244">
        <v>3</v>
      </c>
      <c r="W5240" s="174"/>
      <c r="X5240" s="174"/>
      <c r="Y5240" s="58" t="s">
        <v>5369</v>
      </c>
      <c r="Z5240" s="244" t="s">
        <v>1346</v>
      </c>
      <c r="AA5240" s="245">
        <v>20</v>
      </c>
      <c r="AB5240" s="67"/>
      <c r="AC5240" s="67"/>
      <c r="AD5240" s="94"/>
      <c r="AE5240" s="94"/>
      <c r="AF5240" s="94"/>
      <c r="AG5240" s="245">
        <v>8</v>
      </c>
      <c r="AH5240" s="58" t="s">
        <v>238</v>
      </c>
      <c r="AI5240" s="169"/>
      <c r="AJ5240" s="94"/>
      <c r="AK5240" s="94"/>
      <c r="AL5240" s="58"/>
      <c r="AM5240" s="58" t="s">
        <v>5370</v>
      </c>
      <c r="AN5240" s="186"/>
      <c r="AO5240" s="185" t="s">
        <v>7494</v>
      </c>
      <c r="AP5240" s="58"/>
      <c r="AQ5240" s="58"/>
      <c r="AR5240" s="246" t="s">
        <v>119</v>
      </c>
      <c r="AS5240" s="246" t="s">
        <v>5133</v>
      </c>
      <c r="AT5240" s="247">
        <v>0</v>
      </c>
      <c r="AU5240" s="181" t="s">
        <v>7494</v>
      </c>
      <c r="AV5240" s="185" t="s">
        <v>176</v>
      </c>
      <c r="AW5240" s="244">
        <v>0</v>
      </c>
      <c r="AX5240" s="185" t="s">
        <v>176</v>
      </c>
      <c r="AY5240" s="244" t="s">
        <v>176</v>
      </c>
      <c r="AZ5240" s="58"/>
      <c r="BA5240" s="58"/>
      <c r="BB5240" s="58"/>
      <c r="BC5240" s="58"/>
      <c r="BD5240" s="58"/>
      <c r="BE5240" s="236" t="s">
        <v>5153</v>
      </c>
      <c r="BF5240" s="191" t="s">
        <v>176</v>
      </c>
      <c r="BG5240" s="191" t="s">
        <v>176</v>
      </c>
      <c r="BH5240" s="236" t="s">
        <v>5155</v>
      </c>
      <c r="BI5240" s="191" t="s">
        <v>479</v>
      </c>
      <c r="BJ5240" s="58" t="str">
        <f>IF(BE5240=BH5240,"No","yes")</f>
        <v>yes</v>
      </c>
      <c r="BK5240" s="58" t="s">
        <v>6334</v>
      </c>
      <c r="BL5240" s="58"/>
      <c r="BM5240" s="237"/>
      <c r="BN5240" s="244">
        <v>5</v>
      </c>
      <c r="BO5240" s="244">
        <v>20</v>
      </c>
      <c r="BP5240" s="58"/>
      <c r="BQ5240" s="58"/>
      <c r="BR5240" s="58"/>
      <c r="BS5240" s="58"/>
      <c r="BT5240" s="58"/>
      <c r="BU5240" s="58"/>
      <c r="BV5240" s="58"/>
      <c r="BW5240" s="67"/>
      <c r="BX5240" s="67"/>
      <c r="BY5240" s="67"/>
      <c r="BZ5240" s="67"/>
      <c r="CA5240" s="67"/>
      <c r="CB5240" s="70"/>
      <c r="CC5240" s="70"/>
      <c r="CD5240" s="70"/>
      <c r="CE5240" s="67"/>
      <c r="CF5240" s="67"/>
      <c r="CG5240" s="67"/>
      <c r="CH5240" s="245"/>
      <c r="CI5240" s="245"/>
      <c r="CJ5240" s="67"/>
      <c r="CK5240" s="67"/>
      <c r="CL5240" s="67"/>
      <c r="CM5240" s="242">
        <v>1.6</v>
      </c>
      <c r="CN5240" s="242">
        <v>2</v>
      </c>
      <c r="CO5240" s="242"/>
      <c r="CP5240" s="242"/>
      <c r="CQ5240" s="242" t="s">
        <v>164</v>
      </c>
      <c r="CR5240" s="242"/>
      <c r="CS5240" s="242"/>
      <c r="CT5240" s="242"/>
      <c r="CU5240" s="242"/>
      <c r="CV5240" s="242" t="s">
        <v>5151</v>
      </c>
      <c r="CW5240" s="242"/>
      <c r="CX5240" s="242"/>
      <c r="CY5240" s="242"/>
      <c r="CZ5240" s="242"/>
      <c r="DA5240" s="67" t="s">
        <v>5443</v>
      </c>
      <c r="DB5240" s="67"/>
      <c r="DC5240" s="67"/>
      <c r="DD5240" s="67"/>
      <c r="DE5240" s="67"/>
      <c r="DF5240" s="67"/>
      <c r="DG5240" s="67"/>
      <c r="DH5240" s="67"/>
      <c r="DI5240" s="67"/>
      <c r="DJ5240" s="67"/>
      <c r="DK5240" s="67"/>
      <c r="DL5240" s="67"/>
      <c r="DM5240" s="67"/>
      <c r="DN5240" s="67"/>
      <c r="DO5240" s="67"/>
      <c r="DP5240" s="67"/>
      <c r="DQ5240" s="166">
        <v>5.8</v>
      </c>
      <c r="DR5240" s="166">
        <v>5.9</v>
      </c>
      <c r="DS5240" s="163"/>
      <c r="DT5240" s="163"/>
      <c r="DU5240" s="67"/>
      <c r="DV5240" s="67"/>
      <c r="DW5240" s="67"/>
      <c r="DX5240" s="67"/>
      <c r="DY5240" s="67"/>
      <c r="DZ5240" s="67"/>
      <c r="EA5240" s="67"/>
      <c r="EB5240" s="67"/>
      <c r="EC5240" s="67"/>
      <c r="ED5240" s="67"/>
      <c r="EE5240" s="67"/>
      <c r="EF5240" s="67"/>
      <c r="EG5240" s="67"/>
      <c r="EH5240" s="67"/>
      <c r="EI5240" s="67"/>
      <c r="EJ5240" s="67"/>
      <c r="EK5240" s="94"/>
      <c r="EL5240" s="94"/>
      <c r="EM5240" s="67"/>
      <c r="EN5240" s="67"/>
      <c r="EO5240" s="67"/>
      <c r="EP5240" s="67"/>
      <c r="EQ5240" s="67"/>
      <c r="ER5240" s="67"/>
      <c r="ES5240" s="67"/>
      <c r="ET5240" s="67"/>
      <c r="EU5240" s="67"/>
      <c r="EV5240" s="67"/>
      <c r="EW5240" s="67"/>
      <c r="EX5240" s="67"/>
      <c r="EY5240" s="67"/>
      <c r="EZ5240" s="67"/>
      <c r="FA5240" s="67"/>
      <c r="FB5240" s="67"/>
      <c r="FC5240" s="67"/>
      <c r="FD5240" s="67"/>
      <c r="FE5240" s="67"/>
      <c r="FF5240" s="67"/>
      <c r="FG5240" s="67"/>
      <c r="FH5240" s="67"/>
      <c r="FI5240" s="67"/>
      <c r="FJ5240" s="67"/>
      <c r="FK5240" s="67"/>
      <c r="FL5240" s="67"/>
      <c r="FM5240" s="67"/>
      <c r="FN5240" s="67"/>
      <c r="FO5240" s="67"/>
      <c r="FP5240" s="67"/>
      <c r="FQ5240" s="67"/>
      <c r="FR5240" s="67"/>
      <c r="FS5240" s="67"/>
      <c r="FT5240" s="67"/>
      <c r="FU5240" s="67"/>
      <c r="FV5240" s="67"/>
      <c r="FW5240" s="67"/>
      <c r="FX5240" s="67"/>
      <c r="FY5240" s="67"/>
      <c r="FZ5240" s="67"/>
      <c r="GA5240" s="67"/>
      <c r="GB5240" s="67"/>
      <c r="GC5240" s="67"/>
      <c r="GD5240" s="67"/>
      <c r="GE5240" s="67"/>
      <c r="GF5240" s="67"/>
      <c r="GG5240" s="67"/>
      <c r="GH5240" s="67"/>
      <c r="GI5240" s="67"/>
      <c r="GJ5240" s="67"/>
      <c r="GK5240" s="67"/>
      <c r="GL5240" s="67"/>
      <c r="GM5240" s="67"/>
      <c r="GN5240" s="292"/>
      <c r="GO5240" s="292"/>
      <c r="GP5240" s="292" t="s">
        <v>7494</v>
      </c>
      <c r="GQ5240" s="67"/>
      <c r="GR5240" s="67"/>
      <c r="GS5240" s="67"/>
      <c r="GT5240" s="67"/>
      <c r="GU5240" s="67"/>
      <c r="GV5240" s="67"/>
      <c r="GW5240" s="67"/>
      <c r="GX5240" s="67"/>
      <c r="GY5240" s="67"/>
      <c r="GZ5240" s="67"/>
      <c r="HA5240" s="67"/>
      <c r="HB5240" s="67"/>
      <c r="HC5240" s="67"/>
      <c r="HD5240" s="67"/>
      <c r="HE5240" s="67"/>
      <c r="HF5240" s="67"/>
      <c r="HG5240" s="67"/>
      <c r="HH5240" s="67"/>
      <c r="HI5240" s="67"/>
      <c r="HJ5240" s="67"/>
      <c r="HK5240" s="67"/>
      <c r="HL5240" s="67"/>
      <c r="HM5240" s="67"/>
      <c r="HN5240" s="67"/>
      <c r="HO5240" s="67"/>
      <c r="HP5240" s="67"/>
      <c r="HQ5240" s="67"/>
      <c r="HR5240" s="67"/>
      <c r="HS5240" s="67"/>
      <c r="HT5240" s="67"/>
      <c r="HU5240" s="67"/>
      <c r="HV5240" s="67"/>
      <c r="HW5240" s="67"/>
      <c r="HX5240" s="67"/>
      <c r="HY5240" s="67"/>
      <c r="HZ5240" s="67"/>
      <c r="IA5240" s="67"/>
      <c r="IB5240" s="67"/>
      <c r="IC5240" s="67"/>
      <c r="ID5240" s="67"/>
      <c r="IE5240" s="67"/>
      <c r="IF5240" s="67"/>
      <c r="IG5240" s="67"/>
      <c r="IH5240" s="67"/>
      <c r="II5240" s="67"/>
      <c r="IJ5240" s="67"/>
      <c r="IK5240" s="67"/>
      <c r="IL5240" s="67"/>
      <c r="IM5240" s="67"/>
      <c r="IN5240" s="67"/>
      <c r="IO5240" s="67"/>
      <c r="IP5240" s="67"/>
      <c r="IQ5240" s="67"/>
      <c r="IR5240" s="67"/>
      <c r="IS5240" s="67"/>
      <c r="IT5240" s="67"/>
      <c r="IU5240" s="67"/>
      <c r="IV5240" s="67"/>
      <c r="IW5240" s="67"/>
      <c r="IX5240" s="67"/>
      <c r="IY5240" s="67"/>
      <c r="IZ5240" s="67"/>
      <c r="JA5240" s="67"/>
      <c r="JB5240" s="67"/>
      <c r="JC5240" s="67"/>
      <c r="JD5240" s="67"/>
      <c r="JE5240" s="67"/>
      <c r="JF5240" s="67"/>
      <c r="JG5240" s="67"/>
      <c r="JH5240" s="67"/>
      <c r="JI5240" s="67"/>
      <c r="JJ5240" s="67"/>
      <c r="JK5240" s="67"/>
      <c r="JL5240" s="67"/>
      <c r="JM5240" s="67"/>
      <c r="JN5240" s="67"/>
      <c r="JO5240" s="67"/>
      <c r="JP5240" s="67"/>
      <c r="JQ5240" s="67"/>
      <c r="JR5240" s="67"/>
      <c r="JS5240" s="67"/>
      <c r="JT5240" s="67"/>
      <c r="JU5240" s="58"/>
      <c r="JV5240" s="58"/>
      <c r="JW5240" s="58"/>
    </row>
    <row r="5241" spans="1:286" s="23" customFormat="1" x14ac:dyDescent="0.25">
      <c r="A5241" s="55">
        <v>5240</v>
      </c>
      <c r="B5241" s="12" t="s">
        <v>7067</v>
      </c>
      <c r="C5241" s="156" t="s">
        <v>5985</v>
      </c>
      <c r="D5241" s="58" t="s">
        <v>4980</v>
      </c>
      <c r="E5241" s="160" t="str">
        <f>G5241</f>
        <v>Marinari et al 2010b_Colle Valle farm scale</v>
      </c>
      <c r="F5241" s="160"/>
      <c r="G5241" s="60" t="s">
        <v>4750</v>
      </c>
      <c r="H5241" s="58" t="s">
        <v>5532</v>
      </c>
      <c r="I5241" s="58" t="s">
        <v>5550</v>
      </c>
      <c r="J5241" s="243" t="s">
        <v>5316</v>
      </c>
      <c r="K5241" s="63" t="s">
        <v>5533</v>
      </c>
      <c r="L5241" s="58" t="s">
        <v>5333</v>
      </c>
      <c r="M5241" s="94">
        <v>47.5</v>
      </c>
      <c r="N5241" s="94">
        <f>7+33/60</f>
        <v>7.55</v>
      </c>
      <c r="O5241" s="94">
        <v>303</v>
      </c>
      <c r="P5241" s="58"/>
      <c r="Q5241" s="244" t="s">
        <v>5545</v>
      </c>
      <c r="R5241" s="58"/>
      <c r="S5241" s="245" t="s">
        <v>5548</v>
      </c>
      <c r="T5241" s="58"/>
      <c r="U5241" s="58" t="s">
        <v>1816</v>
      </c>
      <c r="V5241" s="244" t="s">
        <v>1694</v>
      </c>
      <c r="W5241" s="174"/>
      <c r="X5241" s="174"/>
      <c r="Y5241" s="58" t="s">
        <v>1867</v>
      </c>
      <c r="Z5241" s="244" t="s">
        <v>1346</v>
      </c>
      <c r="AA5241" s="245">
        <v>20</v>
      </c>
      <c r="AB5241" s="67"/>
      <c r="AC5241" s="67"/>
      <c r="AD5241" s="94"/>
      <c r="AE5241" s="94"/>
      <c r="AF5241" s="94"/>
      <c r="AG5241" s="245"/>
      <c r="AH5241" s="58" t="s">
        <v>6378</v>
      </c>
      <c r="AI5241" s="169"/>
      <c r="AJ5241" s="94"/>
      <c r="AK5241" s="94"/>
      <c r="AL5241" s="58"/>
      <c r="AM5241" s="58"/>
      <c r="AN5241" s="186" t="s">
        <v>5538</v>
      </c>
      <c r="AO5241" s="185" t="s">
        <v>5150</v>
      </c>
      <c r="AP5241" s="58"/>
      <c r="AQ5241" s="58" t="s">
        <v>131</v>
      </c>
      <c r="AR5241" s="58" t="s">
        <v>5537</v>
      </c>
      <c r="AS5241" s="246" t="s">
        <v>4584</v>
      </c>
      <c r="AT5241" s="247" t="s">
        <v>5543</v>
      </c>
      <c r="AU5241" s="181" t="s">
        <v>5150</v>
      </c>
      <c r="AV5241" s="185" t="s">
        <v>479</v>
      </c>
      <c r="AW5241" s="58" t="s">
        <v>5541</v>
      </c>
      <c r="AX5241" s="185" t="s">
        <v>479</v>
      </c>
      <c r="AY5241" s="244" t="s">
        <v>479</v>
      </c>
      <c r="AZ5241" s="58"/>
      <c r="BA5241" s="58"/>
      <c r="BB5241" s="58"/>
      <c r="BC5241" s="58"/>
      <c r="BD5241" s="58"/>
      <c r="BE5241" s="236"/>
      <c r="BF5241" s="58"/>
      <c r="BG5241" s="191"/>
      <c r="BH5241" s="236"/>
      <c r="BI5241" s="58"/>
      <c r="BJ5241" s="58"/>
      <c r="BK5241" s="58" t="s">
        <v>6335</v>
      </c>
      <c r="BL5241" s="58"/>
      <c r="BM5241" s="237"/>
      <c r="BN5241" s="244" t="s">
        <v>1816</v>
      </c>
      <c r="BO5241" s="244" t="s">
        <v>1816</v>
      </c>
      <c r="BP5241" s="58"/>
      <c r="BQ5241" s="58"/>
      <c r="BR5241" s="58"/>
      <c r="BS5241" s="58"/>
      <c r="BT5241" s="58"/>
      <c r="BU5241" s="58"/>
      <c r="BV5241" s="58"/>
      <c r="BW5241" s="67"/>
      <c r="BX5241" s="67"/>
      <c r="BY5241" s="67"/>
      <c r="BZ5241" s="67"/>
      <c r="CA5241" s="67"/>
      <c r="CB5241" s="70"/>
      <c r="CC5241" s="70"/>
      <c r="CD5241" s="70"/>
      <c r="CE5241" s="67"/>
      <c r="CF5241" s="67"/>
      <c r="CG5241" s="67"/>
      <c r="CH5241" s="245"/>
      <c r="CI5241" s="245"/>
      <c r="CJ5241" s="67"/>
      <c r="CK5241" s="67"/>
      <c r="CL5241" s="67"/>
      <c r="CM5241" s="242">
        <v>1.35</v>
      </c>
      <c r="CN5241" s="242">
        <v>1.46</v>
      </c>
      <c r="CO5241" s="242">
        <v>0.3</v>
      </c>
      <c r="CP5241" s="242">
        <v>0.38</v>
      </c>
      <c r="CQ5241" s="242" t="s">
        <v>5553</v>
      </c>
      <c r="CR5241" s="242"/>
      <c r="CS5241" s="242"/>
      <c r="CT5241" s="242"/>
      <c r="CU5241" s="242"/>
      <c r="CV5241" s="242"/>
      <c r="CW5241" s="242"/>
      <c r="CX5241" s="242"/>
      <c r="CY5241" s="242"/>
      <c r="CZ5241" s="242"/>
      <c r="DA5241" s="67"/>
      <c r="DB5241" s="67">
        <v>1700</v>
      </c>
      <c r="DC5241" s="67">
        <v>1800</v>
      </c>
      <c r="DD5241" s="67">
        <v>400</v>
      </c>
      <c r="DE5241" s="67">
        <v>400</v>
      </c>
      <c r="DF5241" s="242" t="s">
        <v>5554</v>
      </c>
      <c r="DG5241" s="67"/>
      <c r="DH5241" s="67"/>
      <c r="DI5241" s="67"/>
      <c r="DJ5241" s="67"/>
      <c r="DK5241" s="67"/>
      <c r="DL5241" s="67"/>
      <c r="DM5241" s="67"/>
      <c r="DN5241" s="67"/>
      <c r="DO5241" s="67"/>
      <c r="DP5241" s="67"/>
      <c r="DQ5241" s="166">
        <v>5.0999999999999996</v>
      </c>
      <c r="DR5241" s="166">
        <v>5.6</v>
      </c>
      <c r="DS5241" s="163">
        <v>0.2</v>
      </c>
      <c r="DT5241" s="163">
        <v>0.2</v>
      </c>
      <c r="DU5241" s="67"/>
      <c r="DV5241" s="67"/>
      <c r="DW5241" s="67"/>
      <c r="DX5241" s="67"/>
      <c r="DY5241" s="67"/>
      <c r="DZ5241" s="67"/>
      <c r="EA5241" s="67"/>
      <c r="EB5241" s="67"/>
      <c r="EC5241" s="67"/>
      <c r="ED5241" s="67"/>
      <c r="EE5241" s="67"/>
      <c r="EF5241" s="67"/>
      <c r="EG5241" s="67"/>
      <c r="EH5241" s="67"/>
      <c r="EI5241" s="67"/>
      <c r="EJ5241" s="67"/>
      <c r="EK5241" s="94"/>
      <c r="EL5241" s="94"/>
      <c r="EM5241" s="67"/>
      <c r="EN5241" s="67"/>
      <c r="EO5241" s="67"/>
      <c r="EP5241" s="67"/>
      <c r="EQ5241" s="67"/>
      <c r="ER5241" s="67"/>
      <c r="ES5241" s="67"/>
      <c r="ET5241" s="67"/>
      <c r="EU5241" s="67"/>
      <c r="EV5241" s="67"/>
      <c r="EW5241" s="67"/>
      <c r="EX5241" s="67"/>
      <c r="EY5241" s="67"/>
      <c r="EZ5241" s="67"/>
      <c r="FA5241" s="67"/>
      <c r="FB5241" s="67"/>
      <c r="FC5241" s="67"/>
      <c r="FD5241" s="67"/>
      <c r="FE5241" s="67"/>
      <c r="FF5241" s="67"/>
      <c r="FG5241" s="67"/>
      <c r="FH5241" s="67"/>
      <c r="FI5241" s="67"/>
      <c r="FJ5241" s="67"/>
      <c r="FK5241" s="67"/>
      <c r="FL5241" s="67"/>
      <c r="FM5241" s="67"/>
      <c r="FN5241" s="67"/>
      <c r="FO5241" s="67"/>
      <c r="FP5241" s="67"/>
      <c r="FQ5241" s="67"/>
      <c r="FR5241" s="67"/>
      <c r="FS5241" s="67"/>
      <c r="FT5241" s="67"/>
      <c r="FU5241" s="67"/>
      <c r="FV5241" s="67"/>
      <c r="FW5241" s="67"/>
      <c r="FX5241" s="67"/>
      <c r="FY5241" s="67"/>
      <c r="FZ5241" s="67"/>
      <c r="GA5241" s="67"/>
      <c r="GB5241" s="67"/>
      <c r="GC5241" s="67"/>
      <c r="GD5241" s="67"/>
      <c r="GE5241" s="67"/>
      <c r="GF5241" s="67"/>
      <c r="GG5241" s="67"/>
      <c r="GH5241" s="67"/>
      <c r="GI5241" s="67"/>
      <c r="GJ5241" s="67"/>
      <c r="GK5241" s="67"/>
      <c r="GL5241" s="67"/>
      <c r="GM5241" s="67"/>
      <c r="GN5241" s="292"/>
      <c r="GO5241" s="292"/>
      <c r="GP5241" s="292" t="s">
        <v>7494</v>
      </c>
      <c r="GQ5241" s="67"/>
      <c r="GR5241" s="67"/>
      <c r="GS5241" s="67"/>
      <c r="GT5241" s="67"/>
      <c r="GU5241" s="67"/>
      <c r="GV5241" s="67"/>
      <c r="GW5241" s="67"/>
      <c r="GX5241" s="67"/>
      <c r="GY5241" s="67"/>
      <c r="GZ5241" s="67"/>
      <c r="HA5241" s="67"/>
      <c r="HB5241" s="67"/>
      <c r="HC5241" s="67"/>
      <c r="HD5241" s="67"/>
      <c r="HE5241" s="67"/>
      <c r="HF5241" s="67"/>
      <c r="HG5241" s="67"/>
      <c r="HH5241" s="67"/>
      <c r="HI5241" s="67"/>
      <c r="HJ5241" s="67"/>
      <c r="HK5241" s="67"/>
      <c r="HL5241" s="67"/>
      <c r="HM5241" s="67"/>
      <c r="HN5241" s="67"/>
      <c r="HO5241" s="67"/>
      <c r="HP5241" s="67"/>
      <c r="HQ5241" s="67"/>
      <c r="HR5241" s="67"/>
      <c r="HS5241" s="67"/>
      <c r="HT5241" s="67"/>
      <c r="HU5241" s="67"/>
      <c r="HV5241" s="67"/>
      <c r="HW5241" s="67"/>
      <c r="HX5241" s="67"/>
      <c r="HY5241" s="67"/>
      <c r="HZ5241" s="67"/>
      <c r="IA5241" s="67"/>
      <c r="IB5241" s="67"/>
      <c r="IC5241" s="67"/>
      <c r="ID5241" s="67"/>
      <c r="IE5241" s="67"/>
      <c r="IF5241" s="67"/>
      <c r="IG5241" s="67"/>
      <c r="IH5241" s="67"/>
      <c r="II5241" s="67"/>
      <c r="IJ5241" s="67"/>
      <c r="IK5241" s="67"/>
      <c r="IL5241" s="67"/>
      <c r="IM5241" s="67"/>
      <c r="IN5241" s="67"/>
      <c r="IO5241" s="67"/>
      <c r="IP5241" s="67"/>
      <c r="IQ5241" s="67"/>
      <c r="IR5241" s="67">
        <v>1.31</v>
      </c>
      <c r="IS5241" s="67">
        <v>1.73</v>
      </c>
      <c r="IT5241" s="67">
        <v>0.42</v>
      </c>
      <c r="IU5241" s="67">
        <v>0.28000000000000003</v>
      </c>
      <c r="IV5241" s="67" t="s">
        <v>5555</v>
      </c>
      <c r="IW5241" s="67">
        <v>0.61</v>
      </c>
      <c r="IX5241" s="67">
        <v>0.82</v>
      </c>
      <c r="IY5241" s="67">
        <v>0.18</v>
      </c>
      <c r="IZ5241" s="67">
        <v>0.12</v>
      </c>
      <c r="JA5241" s="67" t="s">
        <v>5556</v>
      </c>
      <c r="JB5241" s="67"/>
      <c r="JC5241" s="67"/>
      <c r="JD5241" s="67"/>
      <c r="JE5241" s="67"/>
      <c r="JF5241" s="67"/>
      <c r="JG5241" s="67"/>
      <c r="JH5241" s="67"/>
      <c r="JI5241" s="67"/>
      <c r="JJ5241" s="67"/>
      <c r="JK5241" s="67"/>
      <c r="JL5241" s="67"/>
      <c r="JM5241" s="67"/>
      <c r="JN5241" s="67"/>
      <c r="JO5241" s="67"/>
      <c r="JP5241" s="67"/>
      <c r="JQ5241" s="67"/>
      <c r="JR5241" s="67"/>
      <c r="JS5241" s="67"/>
      <c r="JT5241" s="67"/>
      <c r="JU5241" s="58"/>
      <c r="JV5241" s="58"/>
      <c r="JW5241" s="58"/>
    </row>
    <row r="5242" spans="1:286" s="23" customFormat="1" x14ac:dyDescent="0.25">
      <c r="A5242" s="55">
        <v>5241</v>
      </c>
      <c r="B5242" s="12" t="s">
        <v>7067</v>
      </c>
      <c r="C5242" s="156" t="s">
        <v>5985</v>
      </c>
      <c r="D5242" s="58" t="s">
        <v>5531</v>
      </c>
      <c r="E5242" s="160" t="str">
        <f>G5242</f>
        <v>Marinari et al. 2010b_La Selva</v>
      </c>
      <c r="F5242" s="160"/>
      <c r="G5242" s="60" t="s">
        <v>4748</v>
      </c>
      <c r="H5242" s="58">
        <v>2010</v>
      </c>
      <c r="I5242" s="58" t="s">
        <v>5550</v>
      </c>
      <c r="J5242" s="243" t="s">
        <v>5316</v>
      </c>
      <c r="K5242" s="63" t="s">
        <v>5534</v>
      </c>
      <c r="L5242" s="58" t="s">
        <v>2741</v>
      </c>
      <c r="M5242" s="94">
        <f>42+45/60</f>
        <v>42.75</v>
      </c>
      <c r="N5242" s="94">
        <f>11.1</f>
        <v>11.1</v>
      </c>
      <c r="O5242" s="94">
        <v>12</v>
      </c>
      <c r="P5242" s="58"/>
      <c r="Q5242" s="244" t="s">
        <v>5546</v>
      </c>
      <c r="R5242" s="58"/>
      <c r="S5242" s="245" t="s">
        <v>5549</v>
      </c>
      <c r="T5242" s="58"/>
      <c r="U5242" s="58" t="s">
        <v>1889</v>
      </c>
      <c r="V5242" s="244">
        <v>25</v>
      </c>
      <c r="W5242" s="174"/>
      <c r="X5242" s="174"/>
      <c r="Y5242" s="58" t="s">
        <v>5552</v>
      </c>
      <c r="Z5242" s="244" t="s">
        <v>1346</v>
      </c>
      <c r="AA5242" s="245">
        <v>20</v>
      </c>
      <c r="AB5242" s="67"/>
      <c r="AC5242" s="67"/>
      <c r="AD5242" s="94"/>
      <c r="AE5242" s="94"/>
      <c r="AF5242" s="94"/>
      <c r="AG5242" s="245">
        <v>50</v>
      </c>
      <c r="AH5242" s="58" t="s">
        <v>523</v>
      </c>
      <c r="AI5242" s="169"/>
      <c r="AJ5242" s="94"/>
      <c r="AK5242" s="94"/>
      <c r="AL5242" s="58"/>
      <c r="AM5242" s="58"/>
      <c r="AN5242" s="186" t="s">
        <v>176</v>
      </c>
      <c r="AO5242" s="185" t="s">
        <v>5150</v>
      </c>
      <c r="AP5242" s="58"/>
      <c r="AQ5242" s="58" t="s">
        <v>176</v>
      </c>
      <c r="AR5242" s="58" t="s">
        <v>5539</v>
      </c>
      <c r="AS5242" s="246" t="s">
        <v>4584</v>
      </c>
      <c r="AT5242" s="247" t="s">
        <v>5543</v>
      </c>
      <c r="AU5242" s="181" t="s">
        <v>5150</v>
      </c>
      <c r="AV5242" s="185" t="s">
        <v>479</v>
      </c>
      <c r="AW5242" s="58" t="s">
        <v>5542</v>
      </c>
      <c r="AX5242" s="185" t="s">
        <v>479</v>
      </c>
      <c r="AY5242" s="244" t="s">
        <v>5150</v>
      </c>
      <c r="AZ5242" s="58"/>
      <c r="BA5242" s="58"/>
      <c r="BB5242" s="58"/>
      <c r="BC5242" s="58"/>
      <c r="BD5242" s="58"/>
      <c r="BE5242" s="236" t="s">
        <v>5154</v>
      </c>
      <c r="BF5242" s="191" t="s">
        <v>479</v>
      </c>
      <c r="BG5242" s="191" t="s">
        <v>479</v>
      </c>
      <c r="BH5242" s="236" t="s">
        <v>5271</v>
      </c>
      <c r="BI5242" s="191" t="s">
        <v>479</v>
      </c>
      <c r="BJ5242" s="58" t="str">
        <f>IF(BE5242=BH5242,"No","yes")</f>
        <v>yes</v>
      </c>
      <c r="BK5242" s="58" t="s">
        <v>6334</v>
      </c>
      <c r="BL5242" s="58"/>
      <c r="BM5242" s="237"/>
      <c r="BN5242" s="244">
        <v>6</v>
      </c>
      <c r="BO5242" s="244">
        <v>6</v>
      </c>
      <c r="BP5242" s="58"/>
      <c r="BQ5242" s="58"/>
      <c r="BR5242" s="58"/>
      <c r="BS5242" s="58"/>
      <c r="BT5242" s="58"/>
      <c r="BU5242" s="58"/>
      <c r="BV5242" s="58"/>
      <c r="BW5242" s="67"/>
      <c r="BX5242" s="67"/>
      <c r="BY5242" s="67"/>
      <c r="BZ5242" s="67"/>
      <c r="CA5242" s="67"/>
      <c r="CB5242" s="70"/>
      <c r="CC5242" s="70"/>
      <c r="CD5242" s="70"/>
      <c r="CE5242" s="67"/>
      <c r="CF5242" s="67"/>
      <c r="CG5242" s="67"/>
      <c r="CH5242" s="245"/>
      <c r="CI5242" s="245"/>
      <c r="CJ5242" s="67"/>
      <c r="CK5242" s="67"/>
      <c r="CL5242" s="67"/>
      <c r="CM5242" s="242">
        <v>1.46</v>
      </c>
      <c r="CN5242" s="242">
        <v>0.76</v>
      </c>
      <c r="CO5242" s="242">
        <v>0.19595917942265423</v>
      </c>
      <c r="CP5242" s="242">
        <v>0.22045407685048601</v>
      </c>
      <c r="CQ5242" s="242" t="s">
        <v>5553</v>
      </c>
      <c r="CR5242" s="242"/>
      <c r="CS5242" s="242"/>
      <c r="CT5242" s="242"/>
      <c r="CU5242" s="242"/>
      <c r="CV5242" s="242"/>
      <c r="CW5242" s="242"/>
      <c r="CX5242" s="242"/>
      <c r="CY5242" s="242"/>
      <c r="CZ5242" s="242"/>
      <c r="DA5242" s="67"/>
      <c r="DB5242" s="67">
        <v>800</v>
      </c>
      <c r="DC5242" s="67">
        <v>1200</v>
      </c>
      <c r="DD5242" s="67">
        <f>100*SQRT(6)</f>
        <v>244.94897427831779</v>
      </c>
      <c r="DE5242" s="67">
        <f>200*SQRT(6)</f>
        <v>489.89794855663558</v>
      </c>
      <c r="DF5242" s="242" t="s">
        <v>5554</v>
      </c>
      <c r="DG5242" s="67"/>
      <c r="DH5242" s="67"/>
      <c r="DI5242" s="67"/>
      <c r="DJ5242" s="67"/>
      <c r="DK5242" s="67"/>
      <c r="DL5242" s="67"/>
      <c r="DM5242" s="67"/>
      <c r="DN5242" s="67"/>
      <c r="DO5242" s="67"/>
      <c r="DP5242" s="67"/>
      <c r="DQ5242" s="166">
        <v>4.9000000000000004</v>
      </c>
      <c r="DR5242" s="166">
        <v>7.1</v>
      </c>
      <c r="DS5242" s="163">
        <f>0.1*SQRT(6)</f>
        <v>0.2449489742783178</v>
      </c>
      <c r="DT5242" s="163">
        <f>0.1*SQRT(6)</f>
        <v>0.2449489742783178</v>
      </c>
      <c r="DU5242" s="67"/>
      <c r="DV5242" s="67"/>
      <c r="DW5242" s="67"/>
      <c r="DX5242" s="67"/>
      <c r="DY5242" s="67"/>
      <c r="DZ5242" s="67"/>
      <c r="EA5242" s="67"/>
      <c r="EB5242" s="67"/>
      <c r="EC5242" s="67"/>
      <c r="ED5242" s="67"/>
      <c r="EE5242" s="67"/>
      <c r="EF5242" s="67"/>
      <c r="EG5242" s="67"/>
      <c r="EH5242" s="67"/>
      <c r="EI5242" s="67"/>
      <c r="EJ5242" s="67"/>
      <c r="EK5242" s="94"/>
      <c r="EL5242" s="94"/>
      <c r="EM5242" s="67"/>
      <c r="EN5242" s="67"/>
      <c r="EO5242" s="67"/>
      <c r="EP5242" s="67"/>
      <c r="EQ5242" s="67"/>
      <c r="ER5242" s="67"/>
      <c r="ES5242" s="67"/>
      <c r="ET5242" s="67"/>
      <c r="EU5242" s="67"/>
      <c r="EV5242" s="67"/>
      <c r="EW5242" s="67"/>
      <c r="EX5242" s="67"/>
      <c r="EY5242" s="67"/>
      <c r="EZ5242" s="67"/>
      <c r="FA5242" s="67"/>
      <c r="FB5242" s="67"/>
      <c r="FC5242" s="67"/>
      <c r="FD5242" s="67"/>
      <c r="FE5242" s="67"/>
      <c r="FF5242" s="67"/>
      <c r="FG5242" s="67"/>
      <c r="FH5242" s="67"/>
      <c r="FI5242" s="67"/>
      <c r="FJ5242" s="67"/>
      <c r="FK5242" s="67"/>
      <c r="FL5242" s="67"/>
      <c r="FM5242" s="67"/>
      <c r="FN5242" s="67"/>
      <c r="FO5242" s="67"/>
      <c r="FP5242" s="67"/>
      <c r="FQ5242" s="67"/>
      <c r="FR5242" s="67"/>
      <c r="FS5242" s="67"/>
      <c r="FT5242" s="67"/>
      <c r="FU5242" s="67"/>
      <c r="FV5242" s="67"/>
      <c r="FW5242" s="67"/>
      <c r="FX5242" s="67"/>
      <c r="FY5242" s="67"/>
      <c r="FZ5242" s="67"/>
      <c r="GA5242" s="67"/>
      <c r="GB5242" s="67"/>
      <c r="GC5242" s="67"/>
      <c r="GD5242" s="67"/>
      <c r="GE5242" s="67"/>
      <c r="GF5242" s="67"/>
      <c r="GG5242" s="67"/>
      <c r="GH5242" s="67"/>
      <c r="GI5242" s="67"/>
      <c r="GJ5242" s="67"/>
      <c r="GK5242" s="67"/>
      <c r="GL5242" s="67"/>
      <c r="GM5242" s="67"/>
      <c r="GN5242" s="292"/>
      <c r="GO5242" s="292"/>
      <c r="GP5242" s="292" t="s">
        <v>7494</v>
      </c>
      <c r="GQ5242" s="67"/>
      <c r="GR5242" s="67"/>
      <c r="GS5242" s="67"/>
      <c r="GT5242" s="67"/>
      <c r="GU5242" s="67"/>
      <c r="GV5242" s="67"/>
      <c r="GW5242" s="67"/>
      <c r="GX5242" s="67"/>
      <c r="GY5242" s="67"/>
      <c r="GZ5242" s="67"/>
      <c r="HA5242" s="67"/>
      <c r="HB5242" s="67"/>
      <c r="HC5242" s="67"/>
      <c r="HD5242" s="67"/>
      <c r="HE5242" s="67"/>
      <c r="HF5242" s="67"/>
      <c r="HG5242" s="67"/>
      <c r="HH5242" s="67"/>
      <c r="HI5242" s="67"/>
      <c r="HJ5242" s="67"/>
      <c r="HK5242" s="67"/>
      <c r="HL5242" s="67"/>
      <c r="HM5242" s="67"/>
      <c r="HN5242" s="67"/>
      <c r="HO5242" s="67"/>
      <c r="HP5242" s="67"/>
      <c r="HQ5242" s="67"/>
      <c r="HR5242" s="67"/>
      <c r="HS5242" s="67"/>
      <c r="HT5242" s="67"/>
      <c r="HU5242" s="67"/>
      <c r="HV5242" s="67"/>
      <c r="HW5242" s="67"/>
      <c r="HX5242" s="67"/>
      <c r="HY5242" s="67"/>
      <c r="HZ5242" s="67"/>
      <c r="IA5242" s="67"/>
      <c r="IB5242" s="67"/>
      <c r="IC5242" s="67"/>
      <c r="ID5242" s="67"/>
      <c r="IE5242" s="67"/>
      <c r="IF5242" s="67"/>
      <c r="IG5242" s="67"/>
      <c r="IH5242" s="67"/>
      <c r="II5242" s="67"/>
      <c r="IJ5242" s="67"/>
      <c r="IK5242" s="67"/>
      <c r="IL5242" s="67"/>
      <c r="IM5242" s="67"/>
      <c r="IN5242" s="67"/>
      <c r="IO5242" s="67"/>
      <c r="IP5242" s="67"/>
      <c r="IQ5242" s="67"/>
      <c r="IR5242" s="67">
        <v>0.49</v>
      </c>
      <c r="IS5242" s="67">
        <v>0.93</v>
      </c>
      <c r="IT5242" s="67">
        <f>0.02*SQRT(6)</f>
        <v>4.8989794855663557E-2</v>
      </c>
      <c r="IU5242" s="67">
        <f>0.07*SQRT(6)</f>
        <v>0.17146428199482247</v>
      </c>
      <c r="IV5242" s="67" t="s">
        <v>5555</v>
      </c>
      <c r="IW5242" s="67">
        <v>0.5</v>
      </c>
      <c r="IX5242" s="67">
        <v>0.96</v>
      </c>
      <c r="IY5242" s="67">
        <f>0.02*SQRT(6)</f>
        <v>4.8989794855663557E-2</v>
      </c>
      <c r="IZ5242" s="67">
        <f>0.07*SQRT(6)</f>
        <v>0.17146428199482247</v>
      </c>
      <c r="JA5242" s="67" t="s">
        <v>5556</v>
      </c>
      <c r="JB5242" s="67"/>
      <c r="JC5242" s="67"/>
      <c r="JD5242" s="67"/>
      <c r="JE5242" s="67"/>
      <c r="JF5242" s="67"/>
      <c r="JG5242" s="67"/>
      <c r="JH5242" s="67"/>
      <c r="JI5242" s="67"/>
      <c r="JJ5242" s="67"/>
      <c r="JK5242" s="67"/>
      <c r="JL5242" s="67"/>
      <c r="JM5242" s="67"/>
      <c r="JN5242" s="67"/>
      <c r="JO5242" s="67"/>
      <c r="JP5242" s="67"/>
      <c r="JQ5242" s="67"/>
      <c r="JR5242" s="67"/>
      <c r="JS5242" s="67"/>
      <c r="JT5242" s="67"/>
      <c r="JU5242" s="58"/>
      <c r="JV5242" s="58"/>
      <c r="JW5242" s="58"/>
    </row>
    <row r="5243" spans="1:286" x14ac:dyDescent="0.25">
      <c r="A5243" s="55">
        <v>5242</v>
      </c>
      <c r="B5243" s="12" t="s">
        <v>7067</v>
      </c>
      <c r="C5243" s="155" t="s">
        <v>6402</v>
      </c>
      <c r="E5243" s="90" t="s">
        <v>6405</v>
      </c>
      <c r="G5243" s="55" t="s">
        <v>6399</v>
      </c>
      <c r="H5243" s="55">
        <v>2016</v>
      </c>
      <c r="J5243" s="55" t="s">
        <v>6398</v>
      </c>
      <c r="K5243" s="55" t="s">
        <v>6424</v>
      </c>
      <c r="L5243" s="55" t="s">
        <v>3377</v>
      </c>
      <c r="M5243" s="90">
        <v>30.82</v>
      </c>
      <c r="N5243" s="90">
        <v>118.82</v>
      </c>
      <c r="O5243" s="90">
        <v>70.599999999999994</v>
      </c>
      <c r="U5243" s="55" t="s">
        <v>1805</v>
      </c>
      <c r="V5243" s="55" t="s">
        <v>1688</v>
      </c>
      <c r="Y5243" s="55" t="s">
        <v>6406</v>
      </c>
      <c r="Z5243" s="55" t="s">
        <v>1344</v>
      </c>
      <c r="AA5243" s="55" t="s">
        <v>1344</v>
      </c>
      <c r="AD5243" s="55"/>
      <c r="AH5243" s="90"/>
      <c r="AI5243" s="171">
        <v>6.1</v>
      </c>
      <c r="AJ5243" s="55">
        <v>1.71</v>
      </c>
      <c r="AK5243" s="55"/>
      <c r="AM5243" s="90" t="s">
        <v>6397</v>
      </c>
      <c r="AN5243" s="187" t="s">
        <v>6401</v>
      </c>
      <c r="AO5243" s="185" t="s">
        <v>5150</v>
      </c>
      <c r="AP5243" s="90"/>
      <c r="AR5243" s="55" t="s">
        <v>6395</v>
      </c>
      <c r="AS5243" s="55" t="s">
        <v>6407</v>
      </c>
      <c r="AU5243" s="181" t="s">
        <v>7494</v>
      </c>
      <c r="AV5243" s="185" t="s">
        <v>176</v>
      </c>
      <c r="AX5243" s="185" t="s">
        <v>176</v>
      </c>
      <c r="BK5243" s="55" t="s">
        <v>5976</v>
      </c>
      <c r="BL5243" s="55" t="s">
        <v>6408</v>
      </c>
      <c r="BN5243" s="55">
        <v>10</v>
      </c>
      <c r="BO5243" s="55">
        <v>10</v>
      </c>
      <c r="BR5243" s="55">
        <v>5.25</v>
      </c>
      <c r="BS5243" s="55">
        <v>0.8</v>
      </c>
      <c r="BT5243" s="55">
        <v>2.81</v>
      </c>
      <c r="CB5243" s="66">
        <v>2050.65</v>
      </c>
      <c r="CC5243" s="66">
        <v>2122.9499999999998</v>
      </c>
      <c r="CG5243" s="65" t="s">
        <v>6388</v>
      </c>
      <c r="DQ5243" s="165">
        <v>6.1</v>
      </c>
      <c r="GP5243" s="292" t="s">
        <v>7494</v>
      </c>
      <c r="JU5243" s="65" t="s">
        <v>6379</v>
      </c>
      <c r="JV5243" s="55" t="s">
        <v>6384</v>
      </c>
      <c r="JW5243" s="95"/>
      <c r="JX5243" s="95"/>
      <c r="JY5243" s="95"/>
      <c r="JZ5243" s="55"/>
    </row>
    <row r="5244" spans="1:286" x14ac:dyDescent="0.25">
      <c r="A5244" s="55">
        <v>5243</v>
      </c>
      <c r="B5244" s="12" t="s">
        <v>7067</v>
      </c>
      <c r="C5244" s="155" t="s">
        <v>6402</v>
      </c>
      <c r="E5244" s="90" t="s">
        <v>6405</v>
      </c>
      <c r="G5244" s="55" t="s">
        <v>6399</v>
      </c>
      <c r="H5244" s="55">
        <v>2016</v>
      </c>
      <c r="J5244" s="55" t="s">
        <v>6398</v>
      </c>
      <c r="K5244" s="55" t="s">
        <v>6424</v>
      </c>
      <c r="L5244" s="55" t="s">
        <v>3377</v>
      </c>
      <c r="M5244" s="90">
        <v>30.82</v>
      </c>
      <c r="N5244" s="90">
        <v>118.82</v>
      </c>
      <c r="O5244" s="90">
        <v>70.599999999999994</v>
      </c>
      <c r="U5244" s="55" t="s">
        <v>1805</v>
      </c>
      <c r="V5244" s="55" t="s">
        <v>1688</v>
      </c>
      <c r="Y5244" s="55" t="s">
        <v>6406</v>
      </c>
      <c r="Z5244" s="55" t="s">
        <v>1344</v>
      </c>
      <c r="AA5244" s="55" t="s">
        <v>1344</v>
      </c>
      <c r="AD5244" s="55"/>
      <c r="AH5244" s="90"/>
      <c r="AI5244" s="171">
        <v>6.1</v>
      </c>
      <c r="AJ5244" s="55">
        <v>1.71</v>
      </c>
      <c r="AK5244" s="55"/>
      <c r="AM5244" s="90" t="s">
        <v>6397</v>
      </c>
      <c r="AN5244" s="187" t="s">
        <v>6400</v>
      </c>
      <c r="AO5244" s="185" t="s">
        <v>5150</v>
      </c>
      <c r="AP5244" s="90"/>
      <c r="AR5244" s="55" t="s">
        <v>6395</v>
      </c>
      <c r="AS5244" s="55" t="s">
        <v>6407</v>
      </c>
      <c r="AU5244" s="181" t="s">
        <v>7494</v>
      </c>
      <c r="AV5244" s="185" t="s">
        <v>176</v>
      </c>
      <c r="AX5244" s="185" t="s">
        <v>176</v>
      </c>
      <c r="BK5244" s="55" t="s">
        <v>5976</v>
      </c>
      <c r="BL5244" s="55" t="s">
        <v>6408</v>
      </c>
      <c r="BN5244" s="55">
        <v>10</v>
      </c>
      <c r="BO5244" s="55">
        <v>10</v>
      </c>
      <c r="BR5244" s="55">
        <v>9</v>
      </c>
      <c r="BS5244" s="55">
        <v>1.97</v>
      </c>
      <c r="BT5244" s="55">
        <v>2.88</v>
      </c>
      <c r="CB5244" s="66">
        <v>2050.65</v>
      </c>
      <c r="CC5244" s="66">
        <v>2248.9499999999998</v>
      </c>
      <c r="CG5244" s="65" t="s">
        <v>6388</v>
      </c>
      <c r="DQ5244" s="165">
        <v>6.1</v>
      </c>
      <c r="GP5244" s="292" t="s">
        <v>7494</v>
      </c>
      <c r="JU5244" s="65" t="s">
        <v>6379</v>
      </c>
      <c r="JV5244" s="55" t="s">
        <v>6384</v>
      </c>
      <c r="JW5244" s="95"/>
      <c r="JX5244" s="95"/>
      <c r="JY5244" s="95"/>
      <c r="JZ5244" s="55"/>
    </row>
    <row r="5245" spans="1:286" x14ac:dyDescent="0.25">
      <c r="A5245" s="55">
        <v>5244</v>
      </c>
      <c r="B5245" s="12" t="s">
        <v>7067</v>
      </c>
      <c r="C5245" s="155" t="s">
        <v>6402</v>
      </c>
      <c r="E5245" s="90" t="s">
        <v>6405</v>
      </c>
      <c r="G5245" s="55" t="s">
        <v>6399</v>
      </c>
      <c r="H5245" s="55">
        <v>2016</v>
      </c>
      <c r="J5245" s="55" t="s">
        <v>6398</v>
      </c>
      <c r="K5245" s="55" t="s">
        <v>6424</v>
      </c>
      <c r="L5245" s="55" t="s">
        <v>3377</v>
      </c>
      <c r="M5245" s="90">
        <v>30.82</v>
      </c>
      <c r="N5245" s="90">
        <v>118.82</v>
      </c>
      <c r="O5245" s="90">
        <v>70.599999999999994</v>
      </c>
      <c r="U5245" s="55" t="s">
        <v>1805</v>
      </c>
      <c r="V5245" s="55" t="s">
        <v>1688</v>
      </c>
      <c r="Y5245" s="55" t="s">
        <v>6406</v>
      </c>
      <c r="Z5245" s="55" t="s">
        <v>1344</v>
      </c>
      <c r="AA5245" s="55" t="s">
        <v>1344</v>
      </c>
      <c r="AD5245" s="55"/>
      <c r="AH5245" s="90"/>
      <c r="AI5245" s="171">
        <v>6.1</v>
      </c>
      <c r="AJ5245" s="55">
        <v>1.71</v>
      </c>
      <c r="AK5245" s="55"/>
      <c r="AM5245" s="90" t="s">
        <v>6397</v>
      </c>
      <c r="AN5245" s="187" t="s">
        <v>6396</v>
      </c>
      <c r="AO5245" s="185" t="s">
        <v>5150</v>
      </c>
      <c r="AP5245" s="90"/>
      <c r="AR5245" s="55" t="s">
        <v>6395</v>
      </c>
      <c r="AS5245" s="55" t="s">
        <v>6407</v>
      </c>
      <c r="AU5245" s="181" t="s">
        <v>7494</v>
      </c>
      <c r="AV5245" s="185" t="s">
        <v>176</v>
      </c>
      <c r="AX5245" s="185" t="s">
        <v>176</v>
      </c>
      <c r="BK5245" s="55" t="s">
        <v>5976</v>
      </c>
      <c r="BL5245" s="55" t="s">
        <v>6408</v>
      </c>
      <c r="BN5245" s="55">
        <v>10</v>
      </c>
      <c r="BO5245" s="55">
        <v>10</v>
      </c>
      <c r="BR5245" s="55">
        <v>1.2</v>
      </c>
      <c r="BS5245" s="55">
        <v>0.27</v>
      </c>
      <c r="BT5245" s="55">
        <v>3.32</v>
      </c>
      <c r="CB5245" s="66">
        <v>2050.65</v>
      </c>
      <c r="CC5245" s="66">
        <v>1852.5</v>
      </c>
      <c r="CG5245" s="65" t="s">
        <v>6388</v>
      </c>
      <c r="DQ5245" s="165">
        <v>6.1</v>
      </c>
      <c r="GP5245" s="292" t="s">
        <v>7494</v>
      </c>
      <c r="JU5245" s="65" t="s">
        <v>6379</v>
      </c>
      <c r="JV5245" s="55" t="s">
        <v>6384</v>
      </c>
      <c r="JW5245" s="95"/>
      <c r="JX5245" s="95"/>
      <c r="JY5245" s="95"/>
      <c r="JZ5245" s="55"/>
    </row>
    <row r="5246" spans="1:286" x14ac:dyDescent="0.25">
      <c r="A5246" s="55">
        <v>5245</v>
      </c>
      <c r="B5246" s="12" t="s">
        <v>7067</v>
      </c>
      <c r="C5246" s="155" t="s">
        <v>6403</v>
      </c>
      <c r="E5246" s="90" t="s">
        <v>6409</v>
      </c>
      <c r="G5246" s="55" t="s">
        <v>6410</v>
      </c>
      <c r="H5246" s="55">
        <v>2016</v>
      </c>
      <c r="J5246" s="55" t="s">
        <v>6391</v>
      </c>
      <c r="K5246" s="55" t="s">
        <v>6425</v>
      </c>
      <c r="L5246" s="55" t="s">
        <v>3377</v>
      </c>
      <c r="M5246" s="90">
        <v>35.770000000000003</v>
      </c>
      <c r="N5246" s="90">
        <v>109.44</v>
      </c>
      <c r="O5246" s="90">
        <v>1164</v>
      </c>
      <c r="U5246" s="55" t="s">
        <v>1805</v>
      </c>
      <c r="V5246" s="55" t="s">
        <v>1805</v>
      </c>
      <c r="W5246" s="175"/>
      <c r="X5246" s="173" t="s">
        <v>4353</v>
      </c>
      <c r="Y5246" s="55" t="s">
        <v>1919</v>
      </c>
      <c r="AA5246" s="55"/>
      <c r="AD5246" s="55"/>
      <c r="AG5246" s="12"/>
      <c r="AH5246" s="90" t="s">
        <v>139</v>
      </c>
      <c r="AI5246" s="171"/>
      <c r="AJ5246" s="55"/>
      <c r="AK5246" s="55"/>
      <c r="AL5246" s="12"/>
      <c r="AM5246" s="90"/>
      <c r="AN5246" s="187" t="s">
        <v>6393</v>
      </c>
      <c r="AO5246" s="185" t="s">
        <v>5150</v>
      </c>
      <c r="AP5246" s="90"/>
      <c r="AQ5246" s="55" t="s">
        <v>1097</v>
      </c>
      <c r="AR5246" s="55" t="s">
        <v>6411</v>
      </c>
      <c r="AS5246" s="55" t="s">
        <v>6407</v>
      </c>
      <c r="AU5246" s="181" t="s">
        <v>7494</v>
      </c>
      <c r="AV5246" s="185" t="s">
        <v>176</v>
      </c>
      <c r="AX5246" s="185" t="s">
        <v>176</v>
      </c>
      <c r="BJ5246" s="12"/>
      <c r="BK5246" s="12" t="s">
        <v>5976</v>
      </c>
      <c r="BM5246" s="193"/>
      <c r="BN5246" s="55">
        <v>3</v>
      </c>
      <c r="BO5246" s="55">
        <v>5</v>
      </c>
      <c r="BQ5246" s="12"/>
      <c r="BR5246" s="55">
        <v>200.69</v>
      </c>
      <c r="BU5246" s="55" t="s">
        <v>6388</v>
      </c>
      <c r="CH5246" s="90">
        <v>1.29</v>
      </c>
      <c r="CI5246" s="90">
        <v>1.21</v>
      </c>
      <c r="CM5246" s="65">
        <v>1.1639999999999999</v>
      </c>
      <c r="CN5246" s="65">
        <v>2.0569999999999999</v>
      </c>
      <c r="DB5246" s="65">
        <v>797</v>
      </c>
      <c r="DC5246" s="65">
        <v>1134</v>
      </c>
      <c r="DF5246" s="65" t="s">
        <v>6380</v>
      </c>
      <c r="DG5246" s="65">
        <v>18.57</v>
      </c>
      <c r="DH5246" s="65">
        <v>19.34</v>
      </c>
      <c r="DK5246" s="65" t="s">
        <v>6387</v>
      </c>
      <c r="DL5246" s="65">
        <v>184.92</v>
      </c>
      <c r="DM5246" s="65">
        <v>186.46</v>
      </c>
      <c r="DP5246" s="65" t="s">
        <v>6394</v>
      </c>
      <c r="DQ5246" s="165">
        <v>7.96</v>
      </c>
      <c r="DR5246" s="165">
        <v>7.63</v>
      </c>
      <c r="GP5246" s="292" t="s">
        <v>7494</v>
      </c>
      <c r="JU5246" s="65" t="s">
        <v>6379</v>
      </c>
      <c r="JV5246" s="55" t="s">
        <v>6384</v>
      </c>
      <c r="JW5246" s="95"/>
      <c r="JX5246" s="95"/>
      <c r="JY5246" s="95"/>
      <c r="JZ5246" s="55"/>
    </row>
    <row r="5247" spans="1:286" x14ac:dyDescent="0.25">
      <c r="A5247" s="55">
        <v>5246</v>
      </c>
      <c r="B5247" s="12" t="s">
        <v>7067</v>
      </c>
      <c r="C5247" s="155" t="s">
        <v>6403</v>
      </c>
      <c r="E5247" s="90" t="s">
        <v>6409</v>
      </c>
      <c r="G5247" s="55" t="s">
        <v>6410</v>
      </c>
      <c r="H5247" s="55">
        <v>2016</v>
      </c>
      <c r="J5247" s="55" t="s">
        <v>6391</v>
      </c>
      <c r="K5247" s="55" t="s">
        <v>6425</v>
      </c>
      <c r="L5247" s="55" t="s">
        <v>3377</v>
      </c>
      <c r="M5247" s="90">
        <v>35.770000000000003</v>
      </c>
      <c r="N5247" s="90">
        <v>109.44</v>
      </c>
      <c r="O5247" s="90">
        <v>1164</v>
      </c>
      <c r="U5247" s="55" t="s">
        <v>1805</v>
      </c>
      <c r="V5247" s="55" t="s">
        <v>1805</v>
      </c>
      <c r="W5247" s="175"/>
      <c r="X5247" s="173" t="s">
        <v>4353</v>
      </c>
      <c r="Y5247" s="55" t="s">
        <v>1919</v>
      </c>
      <c r="AA5247" s="55"/>
      <c r="AD5247" s="55"/>
      <c r="AG5247" s="12"/>
      <c r="AH5247" s="90" t="s">
        <v>139</v>
      </c>
      <c r="AI5247" s="171"/>
      <c r="AJ5247" s="55"/>
      <c r="AK5247" s="55"/>
      <c r="AL5247" s="12"/>
      <c r="AM5247" s="90"/>
      <c r="AN5247" s="187" t="s">
        <v>6392</v>
      </c>
      <c r="AO5247" s="185" t="s">
        <v>5150</v>
      </c>
      <c r="AP5247" s="90"/>
      <c r="AQ5247" s="55" t="s">
        <v>553</v>
      </c>
      <c r="AR5247" s="55" t="s">
        <v>6411</v>
      </c>
      <c r="AS5247" s="55" t="s">
        <v>6407</v>
      </c>
      <c r="AU5247" s="181" t="s">
        <v>7494</v>
      </c>
      <c r="AV5247" s="185" t="s">
        <v>176</v>
      </c>
      <c r="AX5247" s="185" t="s">
        <v>176</v>
      </c>
      <c r="BJ5247" s="12"/>
      <c r="BK5247" s="12" t="s">
        <v>5976</v>
      </c>
      <c r="BM5247" s="193"/>
      <c r="BN5247" s="55">
        <v>3</v>
      </c>
      <c r="BO5247" s="55">
        <v>5</v>
      </c>
      <c r="BQ5247" s="12"/>
      <c r="BR5247" s="55">
        <v>74.75</v>
      </c>
      <c r="BU5247" s="55" t="s">
        <v>6388</v>
      </c>
      <c r="CH5247" s="90">
        <v>1.29</v>
      </c>
      <c r="CI5247" s="90">
        <v>1.25</v>
      </c>
      <c r="CM5247" s="65">
        <v>1.1639999999999999</v>
      </c>
      <c r="CN5247" s="65">
        <v>2.0129999999999999</v>
      </c>
      <c r="DB5247" s="65">
        <v>797</v>
      </c>
      <c r="DC5247" s="65">
        <v>1021</v>
      </c>
      <c r="DF5247" s="65" t="s">
        <v>6380</v>
      </c>
      <c r="DG5247" s="65">
        <v>18.57</v>
      </c>
      <c r="DH5247" s="65">
        <v>18.96</v>
      </c>
      <c r="DK5247" s="65" t="s">
        <v>6387</v>
      </c>
      <c r="DL5247" s="65">
        <v>184.92</v>
      </c>
      <c r="DM5247" s="65">
        <v>185.93</v>
      </c>
      <c r="DP5247" s="65" t="s">
        <v>6394</v>
      </c>
      <c r="DQ5247" s="165">
        <v>7.96</v>
      </c>
      <c r="DR5247" s="165">
        <v>7.66</v>
      </c>
      <c r="GP5247" s="292" t="s">
        <v>7494</v>
      </c>
      <c r="JU5247" s="65" t="s">
        <v>6379</v>
      </c>
      <c r="JV5247" s="55" t="s">
        <v>6384</v>
      </c>
      <c r="JW5247" s="95"/>
      <c r="JX5247" s="95"/>
      <c r="JY5247" s="95"/>
      <c r="JZ5247" s="55"/>
    </row>
    <row r="5248" spans="1:286" x14ac:dyDescent="0.25">
      <c r="A5248" s="55">
        <v>5247</v>
      </c>
      <c r="B5248" s="12" t="s">
        <v>7067</v>
      </c>
      <c r="C5248" s="155" t="s">
        <v>6403</v>
      </c>
      <c r="E5248" s="90" t="s">
        <v>6409</v>
      </c>
      <c r="G5248" s="55" t="s">
        <v>6410</v>
      </c>
      <c r="H5248" s="55">
        <v>2016</v>
      </c>
      <c r="J5248" s="55" t="s">
        <v>6391</v>
      </c>
      <c r="K5248" s="55" t="s">
        <v>6425</v>
      </c>
      <c r="L5248" s="55" t="s">
        <v>3377</v>
      </c>
      <c r="M5248" s="90">
        <v>35.770000000000003</v>
      </c>
      <c r="N5248" s="90">
        <v>109.44</v>
      </c>
      <c r="O5248" s="90">
        <v>1164</v>
      </c>
      <c r="U5248" s="55" t="s">
        <v>1805</v>
      </c>
      <c r="V5248" s="55" t="s">
        <v>1805</v>
      </c>
      <c r="W5248" s="175"/>
      <c r="X5248" s="173" t="s">
        <v>4353</v>
      </c>
      <c r="Y5248" s="55" t="s">
        <v>1919</v>
      </c>
      <c r="AA5248" s="55"/>
      <c r="AD5248" s="55"/>
      <c r="AG5248" s="12"/>
      <c r="AH5248" s="90" t="s">
        <v>139</v>
      </c>
      <c r="AI5248" s="171"/>
      <c r="AJ5248" s="55"/>
      <c r="AK5248" s="55"/>
      <c r="AL5248" s="12"/>
      <c r="AM5248" s="90"/>
      <c r="AN5248" s="187" t="s">
        <v>6389</v>
      </c>
      <c r="AO5248" s="185" t="s">
        <v>5150</v>
      </c>
      <c r="AP5248" s="90"/>
      <c r="AQ5248" s="55" t="s">
        <v>1545</v>
      </c>
      <c r="AR5248" s="55" t="s">
        <v>6411</v>
      </c>
      <c r="AS5248" s="55" t="s">
        <v>6407</v>
      </c>
      <c r="AU5248" s="181" t="s">
        <v>7494</v>
      </c>
      <c r="AV5248" s="185" t="s">
        <v>176</v>
      </c>
      <c r="AX5248" s="185" t="s">
        <v>176</v>
      </c>
      <c r="BJ5248" s="12"/>
      <c r="BK5248" s="12" t="s">
        <v>5976</v>
      </c>
      <c r="BM5248" s="193"/>
      <c r="BN5248" s="55">
        <v>3</v>
      </c>
      <c r="BO5248" s="55">
        <v>5</v>
      </c>
      <c r="BQ5248" s="12"/>
      <c r="BR5248" s="55">
        <v>68.209999999999994</v>
      </c>
      <c r="BU5248" s="55" t="s">
        <v>6388</v>
      </c>
      <c r="CH5248" s="90">
        <v>1.29</v>
      </c>
      <c r="CI5248" s="90">
        <v>1.27</v>
      </c>
      <c r="CM5248" s="65">
        <v>1.1639999999999999</v>
      </c>
      <c r="CN5248" s="65">
        <v>1.6319999999999999</v>
      </c>
      <c r="DB5248" s="65">
        <v>797</v>
      </c>
      <c r="DC5248" s="65">
        <v>931</v>
      </c>
      <c r="DF5248" s="65" t="s">
        <v>6380</v>
      </c>
      <c r="DG5248" s="65">
        <v>18.57</v>
      </c>
      <c r="DH5248" s="65">
        <v>18.809999999999999</v>
      </c>
      <c r="DK5248" s="65" t="s">
        <v>6387</v>
      </c>
      <c r="DL5248" s="65">
        <v>184.92</v>
      </c>
      <c r="DM5248" s="65">
        <v>185.21</v>
      </c>
      <c r="DP5248" s="65" t="s">
        <v>6394</v>
      </c>
      <c r="DQ5248" s="165">
        <v>7.96</v>
      </c>
      <c r="DR5248" s="165">
        <v>7.95</v>
      </c>
      <c r="GP5248" s="292" t="s">
        <v>7494</v>
      </c>
      <c r="JU5248" s="65" t="s">
        <v>6379</v>
      </c>
      <c r="JV5248" s="55" t="s">
        <v>6384</v>
      </c>
      <c r="JW5248" s="95"/>
      <c r="JX5248" s="95"/>
      <c r="JY5248" s="95"/>
      <c r="JZ5248" s="55"/>
    </row>
    <row r="5249" spans="1:286" x14ac:dyDescent="0.25">
      <c r="A5249" s="55">
        <v>5248</v>
      </c>
      <c r="B5249" s="12" t="s">
        <v>7067</v>
      </c>
      <c r="C5249" s="155" t="s">
        <v>6403</v>
      </c>
      <c r="E5249" s="90" t="s">
        <v>6409</v>
      </c>
      <c r="G5249" s="55" t="s">
        <v>6410</v>
      </c>
      <c r="H5249" s="55">
        <v>2016</v>
      </c>
      <c r="J5249" s="55" t="s">
        <v>6391</v>
      </c>
      <c r="K5249" s="55" t="s">
        <v>6425</v>
      </c>
      <c r="L5249" s="55" t="s">
        <v>3377</v>
      </c>
      <c r="M5249" s="90">
        <v>35.770000000000003</v>
      </c>
      <c r="N5249" s="90">
        <v>109.44</v>
      </c>
      <c r="O5249" s="90">
        <v>1164</v>
      </c>
      <c r="U5249" s="55" t="s">
        <v>1805</v>
      </c>
      <c r="V5249" s="55" t="s">
        <v>1805</v>
      </c>
      <c r="W5249" s="175"/>
      <c r="X5249" s="173" t="s">
        <v>6390</v>
      </c>
      <c r="Y5249" s="55" t="s">
        <v>1919</v>
      </c>
      <c r="AA5249" s="55"/>
      <c r="AD5249" s="55"/>
      <c r="AG5249" s="12"/>
      <c r="AH5249" s="90" t="s">
        <v>139</v>
      </c>
      <c r="AI5249" s="171"/>
      <c r="AJ5249" s="55"/>
      <c r="AK5249" s="55"/>
      <c r="AL5249" s="12"/>
      <c r="AM5249" s="90"/>
      <c r="AN5249" s="187" t="s">
        <v>6393</v>
      </c>
      <c r="AO5249" s="185" t="s">
        <v>5150</v>
      </c>
      <c r="AP5249" s="90"/>
      <c r="AQ5249" s="55" t="s">
        <v>1097</v>
      </c>
      <c r="AR5249" s="55" t="s">
        <v>6411</v>
      </c>
      <c r="AS5249" s="55" t="s">
        <v>6407</v>
      </c>
      <c r="AU5249" s="181" t="s">
        <v>7494</v>
      </c>
      <c r="AV5249" s="185" t="s">
        <v>176</v>
      </c>
      <c r="AX5249" s="185" t="s">
        <v>176</v>
      </c>
      <c r="BJ5249" s="12"/>
      <c r="BK5249" s="12" t="s">
        <v>5976</v>
      </c>
      <c r="BM5249" s="193"/>
      <c r="BN5249" s="55">
        <v>3</v>
      </c>
      <c r="BO5249" s="55">
        <v>5</v>
      </c>
      <c r="BQ5249" s="12"/>
      <c r="BR5249" s="55">
        <v>208.4</v>
      </c>
      <c r="BU5249" s="55" t="s">
        <v>6388</v>
      </c>
      <c r="CH5249" s="90">
        <v>1.29</v>
      </c>
      <c r="CI5249" s="90">
        <v>1.21</v>
      </c>
      <c r="CM5249" s="65">
        <v>1.1639999999999999</v>
      </c>
      <c r="CN5249" s="65">
        <v>2.0569999999999999</v>
      </c>
      <c r="DB5249" s="65">
        <v>797</v>
      </c>
      <c r="DC5249" s="65">
        <v>1134</v>
      </c>
      <c r="DF5249" s="65" t="s">
        <v>6380</v>
      </c>
      <c r="DG5249" s="65">
        <v>18.57</v>
      </c>
      <c r="DH5249" s="65">
        <v>19.34</v>
      </c>
      <c r="DK5249" s="65" t="s">
        <v>6387</v>
      </c>
      <c r="DL5249" s="65">
        <v>184.92</v>
      </c>
      <c r="DM5249" s="65">
        <v>186.46</v>
      </c>
      <c r="DP5249" s="65" t="s">
        <v>6394</v>
      </c>
      <c r="DQ5249" s="165">
        <v>7.96</v>
      </c>
      <c r="DR5249" s="165">
        <v>7.63</v>
      </c>
      <c r="GP5249" s="292" t="s">
        <v>7494</v>
      </c>
      <c r="JU5249" s="65" t="s">
        <v>6379</v>
      </c>
      <c r="JV5249" s="55" t="s">
        <v>6384</v>
      </c>
      <c r="JW5249" s="95"/>
      <c r="JX5249" s="95"/>
      <c r="JY5249" s="95"/>
      <c r="JZ5249" s="55"/>
    </row>
    <row r="5250" spans="1:286" x14ac:dyDescent="0.25">
      <c r="A5250" s="55">
        <v>5249</v>
      </c>
      <c r="B5250" s="12" t="s">
        <v>7067</v>
      </c>
      <c r="C5250" s="155" t="s">
        <v>6403</v>
      </c>
      <c r="E5250" s="90" t="s">
        <v>6409</v>
      </c>
      <c r="G5250" s="55" t="s">
        <v>6410</v>
      </c>
      <c r="H5250" s="55">
        <v>2016</v>
      </c>
      <c r="J5250" s="55" t="s">
        <v>6391</v>
      </c>
      <c r="K5250" s="55" t="s">
        <v>6425</v>
      </c>
      <c r="L5250" s="55" t="s">
        <v>3377</v>
      </c>
      <c r="M5250" s="90">
        <v>35.770000000000003</v>
      </c>
      <c r="N5250" s="90">
        <v>109.44</v>
      </c>
      <c r="O5250" s="90">
        <v>1164</v>
      </c>
      <c r="U5250" s="55" t="s">
        <v>1805</v>
      </c>
      <c r="V5250" s="55" t="s">
        <v>1805</v>
      </c>
      <c r="W5250" s="175"/>
      <c r="X5250" s="173" t="s">
        <v>6390</v>
      </c>
      <c r="Y5250" s="55" t="s">
        <v>1919</v>
      </c>
      <c r="AA5250" s="55"/>
      <c r="AD5250" s="55"/>
      <c r="AG5250" s="12"/>
      <c r="AH5250" s="90" t="s">
        <v>139</v>
      </c>
      <c r="AI5250" s="171"/>
      <c r="AJ5250" s="55"/>
      <c r="AK5250" s="55"/>
      <c r="AL5250" s="12"/>
      <c r="AM5250" s="90"/>
      <c r="AN5250" s="187" t="s">
        <v>6392</v>
      </c>
      <c r="AO5250" s="185" t="s">
        <v>5150</v>
      </c>
      <c r="AP5250" s="90"/>
      <c r="AQ5250" s="55" t="s">
        <v>553</v>
      </c>
      <c r="AR5250" s="55" t="s">
        <v>6411</v>
      </c>
      <c r="AS5250" s="55" t="s">
        <v>6407</v>
      </c>
      <c r="AU5250" s="181" t="s">
        <v>7494</v>
      </c>
      <c r="AV5250" s="185" t="s">
        <v>176</v>
      </c>
      <c r="AX5250" s="185" t="s">
        <v>176</v>
      </c>
      <c r="BJ5250" s="12"/>
      <c r="BK5250" s="12" t="s">
        <v>5976</v>
      </c>
      <c r="BM5250" s="193"/>
      <c r="BN5250" s="55">
        <v>3</v>
      </c>
      <c r="BO5250" s="55">
        <v>5</v>
      </c>
      <c r="BQ5250" s="12"/>
      <c r="BR5250" s="55">
        <v>80.89</v>
      </c>
      <c r="BU5250" s="55" t="s">
        <v>6388</v>
      </c>
      <c r="CH5250" s="90">
        <v>1.29</v>
      </c>
      <c r="CI5250" s="90">
        <v>1.25</v>
      </c>
      <c r="CM5250" s="65">
        <v>1.1639999999999999</v>
      </c>
      <c r="CN5250" s="65">
        <v>2.0129999999999999</v>
      </c>
      <c r="DB5250" s="65">
        <v>797</v>
      </c>
      <c r="DC5250" s="65">
        <v>1021</v>
      </c>
      <c r="DF5250" s="65" t="s">
        <v>6380</v>
      </c>
      <c r="DG5250" s="65">
        <v>18.57</v>
      </c>
      <c r="DH5250" s="65">
        <v>18.96</v>
      </c>
      <c r="DK5250" s="65" t="s">
        <v>6387</v>
      </c>
      <c r="DL5250" s="65">
        <v>184.92</v>
      </c>
      <c r="DM5250" s="65">
        <v>185.93</v>
      </c>
      <c r="DP5250" s="65" t="s">
        <v>6394</v>
      </c>
      <c r="DQ5250" s="165">
        <v>7.96</v>
      </c>
      <c r="DR5250" s="165">
        <v>7.66</v>
      </c>
      <c r="GP5250" s="292" t="s">
        <v>7494</v>
      </c>
      <c r="JU5250" s="65" t="s">
        <v>6379</v>
      </c>
      <c r="JV5250" s="55" t="s">
        <v>6384</v>
      </c>
      <c r="JW5250" s="95"/>
      <c r="JX5250" s="95"/>
      <c r="JY5250" s="95"/>
      <c r="JZ5250" s="55"/>
    </row>
    <row r="5251" spans="1:286" x14ac:dyDescent="0.25">
      <c r="A5251" s="55">
        <v>5250</v>
      </c>
      <c r="B5251" s="12" t="s">
        <v>7067</v>
      </c>
      <c r="C5251" s="155" t="s">
        <v>6403</v>
      </c>
      <c r="E5251" s="90" t="s">
        <v>6409</v>
      </c>
      <c r="G5251" s="55" t="s">
        <v>6410</v>
      </c>
      <c r="H5251" s="55">
        <v>2016</v>
      </c>
      <c r="J5251" s="55" t="s">
        <v>6391</v>
      </c>
      <c r="K5251" s="55" t="s">
        <v>6425</v>
      </c>
      <c r="L5251" s="55" t="s">
        <v>3377</v>
      </c>
      <c r="M5251" s="90">
        <v>35.770000000000003</v>
      </c>
      <c r="N5251" s="90">
        <v>109.44</v>
      </c>
      <c r="O5251" s="90">
        <v>1164</v>
      </c>
      <c r="U5251" s="55" t="s">
        <v>1805</v>
      </c>
      <c r="V5251" s="55" t="s">
        <v>1805</v>
      </c>
      <c r="W5251" s="175"/>
      <c r="X5251" s="173" t="s">
        <v>6390</v>
      </c>
      <c r="Y5251" s="55" t="s">
        <v>1919</v>
      </c>
      <c r="AA5251" s="55"/>
      <c r="AD5251" s="55"/>
      <c r="AG5251" s="12"/>
      <c r="AH5251" s="90" t="s">
        <v>139</v>
      </c>
      <c r="AI5251" s="171"/>
      <c r="AJ5251" s="55"/>
      <c r="AK5251" s="55"/>
      <c r="AL5251" s="12"/>
      <c r="AM5251" s="90"/>
      <c r="AN5251" s="187" t="s">
        <v>6389</v>
      </c>
      <c r="AO5251" s="185" t="s">
        <v>5150</v>
      </c>
      <c r="AP5251" s="90"/>
      <c r="AQ5251" s="55" t="s">
        <v>1545</v>
      </c>
      <c r="AR5251" s="55" t="s">
        <v>6411</v>
      </c>
      <c r="AS5251" s="55" t="s">
        <v>6407</v>
      </c>
      <c r="AU5251" s="181" t="s">
        <v>7494</v>
      </c>
      <c r="AV5251" s="185" t="s">
        <v>176</v>
      </c>
      <c r="AX5251" s="185" t="s">
        <v>176</v>
      </c>
      <c r="BJ5251" s="12"/>
      <c r="BK5251" s="12" t="s">
        <v>5976</v>
      </c>
      <c r="BM5251" s="193"/>
      <c r="BN5251" s="55">
        <v>3</v>
      </c>
      <c r="BO5251" s="55">
        <v>5</v>
      </c>
      <c r="BQ5251" s="12"/>
      <c r="BR5251" s="55">
        <v>74.09</v>
      </c>
      <c r="BU5251" s="55" t="s">
        <v>6388</v>
      </c>
      <c r="CH5251" s="90">
        <v>1.29</v>
      </c>
      <c r="CI5251" s="90">
        <v>1.27</v>
      </c>
      <c r="CM5251" s="65">
        <v>1.1639999999999999</v>
      </c>
      <c r="CN5251" s="65">
        <v>1.6319999999999999</v>
      </c>
      <c r="DB5251" s="65">
        <v>797</v>
      </c>
      <c r="DC5251" s="65">
        <v>931</v>
      </c>
      <c r="DF5251" s="65" t="s">
        <v>6380</v>
      </c>
      <c r="DG5251" s="65">
        <v>18.57</v>
      </c>
      <c r="DH5251" s="65">
        <v>18.809999999999999</v>
      </c>
      <c r="DK5251" s="65" t="s">
        <v>6387</v>
      </c>
      <c r="DL5251" s="65">
        <v>184.92</v>
      </c>
      <c r="DM5251" s="65">
        <v>185.21</v>
      </c>
      <c r="DP5251" s="65" t="s">
        <v>6394</v>
      </c>
      <c r="DQ5251" s="165">
        <v>7.96</v>
      </c>
      <c r="DR5251" s="165">
        <v>7.95</v>
      </c>
      <c r="GP5251" s="292" t="s">
        <v>7494</v>
      </c>
      <c r="JU5251" s="65" t="s">
        <v>6379</v>
      </c>
      <c r="JV5251" s="55" t="s">
        <v>6384</v>
      </c>
      <c r="JW5251" s="95"/>
      <c r="JX5251" s="95"/>
      <c r="JY5251" s="95"/>
      <c r="JZ5251" s="55"/>
    </row>
    <row r="5252" spans="1:286" x14ac:dyDescent="0.25">
      <c r="A5252" s="55">
        <v>5251</v>
      </c>
      <c r="B5252" s="12" t="s">
        <v>7067</v>
      </c>
      <c r="C5252" s="155" t="s">
        <v>6404</v>
      </c>
      <c r="E5252" s="90" t="s">
        <v>6412</v>
      </c>
      <c r="G5252" s="55" t="s">
        <v>6413</v>
      </c>
      <c r="H5252" s="55">
        <v>2011</v>
      </c>
      <c r="J5252" s="55" t="s">
        <v>6383</v>
      </c>
      <c r="K5252" s="55" t="s">
        <v>6426</v>
      </c>
      <c r="L5252" s="55" t="s">
        <v>3377</v>
      </c>
      <c r="M5252" s="90">
        <v>41.99</v>
      </c>
      <c r="N5252" s="90">
        <v>-71</v>
      </c>
      <c r="O5252" s="90">
        <v>630</v>
      </c>
      <c r="U5252" s="55" t="s">
        <v>1935</v>
      </c>
      <c r="V5252" s="55" t="s">
        <v>1935</v>
      </c>
      <c r="Y5252" s="55" t="s">
        <v>5864</v>
      </c>
      <c r="AA5252" s="55"/>
      <c r="AD5252" s="55"/>
      <c r="AH5252" s="90"/>
      <c r="AI5252" s="171">
        <v>4.75</v>
      </c>
      <c r="AJ5252" s="55"/>
      <c r="AK5252" s="55"/>
      <c r="AM5252" s="90" t="s">
        <v>6382</v>
      </c>
      <c r="AN5252" s="187" t="s">
        <v>6414</v>
      </c>
      <c r="AO5252" s="185" t="s">
        <v>5150</v>
      </c>
      <c r="AP5252" s="90"/>
      <c r="AQ5252" s="55" t="s">
        <v>553</v>
      </c>
      <c r="AR5252" s="55" t="s">
        <v>6381</v>
      </c>
      <c r="AS5252" s="55" t="s">
        <v>6407</v>
      </c>
      <c r="AU5252" s="181" t="s">
        <v>7494</v>
      </c>
      <c r="AV5252" s="185" t="s">
        <v>176</v>
      </c>
      <c r="AX5252" s="185" t="s">
        <v>176</v>
      </c>
      <c r="BK5252" s="55" t="s">
        <v>5976</v>
      </c>
      <c r="BN5252" s="55">
        <v>4</v>
      </c>
      <c r="BO5252" s="55">
        <v>4</v>
      </c>
      <c r="BS5252" s="55">
        <v>110.74</v>
      </c>
      <c r="BU5252" s="55" t="s">
        <v>6388</v>
      </c>
      <c r="CH5252" s="90">
        <v>1.595</v>
      </c>
      <c r="CI5252" s="90">
        <v>1.57</v>
      </c>
      <c r="CM5252" s="65">
        <v>1.623</v>
      </c>
      <c r="CN5252" s="65">
        <v>1.758</v>
      </c>
      <c r="DB5252" s="65">
        <v>730</v>
      </c>
      <c r="DC5252" s="65">
        <v>710</v>
      </c>
      <c r="DF5252" s="65" t="s">
        <v>6380</v>
      </c>
      <c r="DG5252" s="65">
        <v>31.7</v>
      </c>
      <c r="DH5252" s="65">
        <v>48.7</v>
      </c>
      <c r="DK5252" s="65" t="s">
        <v>6415</v>
      </c>
      <c r="DL5252" s="65">
        <v>95.07</v>
      </c>
      <c r="DM5252" s="65">
        <v>120.47</v>
      </c>
      <c r="DP5252" s="65" t="s">
        <v>6416</v>
      </c>
      <c r="DQ5252" s="165">
        <v>4.79</v>
      </c>
      <c r="DR5252" s="165">
        <v>4.72</v>
      </c>
      <c r="EP5252" s="65">
        <v>41.04</v>
      </c>
      <c r="EQ5252" s="65">
        <v>42.04</v>
      </c>
      <c r="ET5252" s="65" t="s">
        <v>164</v>
      </c>
      <c r="GD5252" s="65">
        <v>16.760000000000002</v>
      </c>
      <c r="GE5252" s="65">
        <v>16.170000000000002</v>
      </c>
      <c r="GH5252" s="65" t="s">
        <v>164</v>
      </c>
      <c r="GP5252" s="292" t="s">
        <v>7494</v>
      </c>
      <c r="JU5252" s="65" t="s">
        <v>6379</v>
      </c>
      <c r="JV5252" s="55" t="s">
        <v>6384</v>
      </c>
      <c r="JW5252" s="95"/>
      <c r="JX5252" s="95"/>
      <c r="JY5252" s="95"/>
      <c r="JZ5252" s="55"/>
    </row>
    <row r="5253" spans="1:286" x14ac:dyDescent="0.25">
      <c r="A5253" s="55">
        <v>5252</v>
      </c>
      <c r="B5253" s="12" t="s">
        <v>7067</v>
      </c>
      <c r="C5253" s="155" t="s">
        <v>6404</v>
      </c>
      <c r="E5253" s="90" t="s">
        <v>6412</v>
      </c>
      <c r="G5253" s="55" t="s">
        <v>6413</v>
      </c>
      <c r="H5253" s="55">
        <v>2011</v>
      </c>
      <c r="J5253" s="55" t="s">
        <v>6383</v>
      </c>
      <c r="K5253" s="55" t="s">
        <v>6426</v>
      </c>
      <c r="L5253" s="55" t="s">
        <v>3377</v>
      </c>
      <c r="M5253" s="90">
        <v>41.99</v>
      </c>
      <c r="N5253" s="90">
        <v>-71</v>
      </c>
      <c r="O5253" s="90">
        <v>630</v>
      </c>
      <c r="U5253" s="55" t="s">
        <v>1935</v>
      </c>
      <c r="V5253" s="55" t="s">
        <v>1935</v>
      </c>
      <c r="Y5253" s="55" t="s">
        <v>5864</v>
      </c>
      <c r="AA5253" s="55"/>
      <c r="AD5253" s="55"/>
      <c r="AH5253" s="90"/>
      <c r="AI5253" s="171">
        <v>4.75</v>
      </c>
      <c r="AJ5253" s="55"/>
      <c r="AK5253" s="55"/>
      <c r="AM5253" s="90" t="s">
        <v>6382</v>
      </c>
      <c r="AN5253" s="187" t="s">
        <v>6417</v>
      </c>
      <c r="AO5253" s="185" t="s">
        <v>5150</v>
      </c>
      <c r="AP5253" s="90"/>
      <c r="AQ5253" s="55" t="s">
        <v>553</v>
      </c>
      <c r="AR5253" s="55" t="s">
        <v>6381</v>
      </c>
      <c r="AS5253" s="55" t="s">
        <v>6407</v>
      </c>
      <c r="AU5253" s="181" t="s">
        <v>7494</v>
      </c>
      <c r="AV5253" s="185" t="s">
        <v>176</v>
      </c>
      <c r="AX5253" s="185" t="s">
        <v>176</v>
      </c>
      <c r="BK5253" s="55" t="s">
        <v>5976</v>
      </c>
      <c r="BN5253" s="55">
        <v>4</v>
      </c>
      <c r="BO5253" s="55">
        <v>4</v>
      </c>
      <c r="BS5253" s="55">
        <v>103.96</v>
      </c>
      <c r="BU5253" s="55" t="s">
        <v>6388</v>
      </c>
      <c r="CH5253" s="90">
        <v>1.595</v>
      </c>
      <c r="CI5253" s="90">
        <v>1.581</v>
      </c>
      <c r="CM5253" s="65">
        <v>1.623</v>
      </c>
      <c r="CN5253" s="65">
        <v>1.7330000000000001</v>
      </c>
      <c r="DB5253" s="65">
        <v>730</v>
      </c>
      <c r="DC5253" s="65">
        <v>730</v>
      </c>
      <c r="DF5253" s="65" t="s">
        <v>6380</v>
      </c>
      <c r="DG5253" s="65">
        <v>31.7</v>
      </c>
      <c r="DH5253" s="65">
        <v>49.91</v>
      </c>
      <c r="DK5253" s="65" t="s">
        <v>6415</v>
      </c>
      <c r="DL5253" s="65">
        <v>95.07</v>
      </c>
      <c r="DM5253" s="65">
        <v>142.87</v>
      </c>
      <c r="DP5253" s="65" t="s">
        <v>6416</v>
      </c>
      <c r="DQ5253" s="165">
        <v>4.79</v>
      </c>
      <c r="DR5253" s="165">
        <v>4.67</v>
      </c>
      <c r="EP5253" s="65">
        <v>41.04</v>
      </c>
      <c r="EQ5253" s="65">
        <v>43.52</v>
      </c>
      <c r="ET5253" s="65" t="s">
        <v>164</v>
      </c>
      <c r="GD5253" s="65">
        <v>16.760000000000002</v>
      </c>
      <c r="GE5253" s="65">
        <v>17.5</v>
      </c>
      <c r="GH5253" s="65" t="s">
        <v>164</v>
      </c>
      <c r="GP5253" s="292" t="s">
        <v>7494</v>
      </c>
      <c r="JU5253" s="65" t="s">
        <v>6379</v>
      </c>
      <c r="JV5253" s="55" t="s">
        <v>6384</v>
      </c>
      <c r="JW5253" s="95"/>
      <c r="JX5253" s="95"/>
      <c r="JY5253" s="95"/>
      <c r="JZ5253" s="55"/>
    </row>
    <row r="5254" spans="1:286" x14ac:dyDescent="0.25">
      <c r="A5254" s="55">
        <v>5253</v>
      </c>
      <c r="B5254" s="12" t="s">
        <v>7067</v>
      </c>
      <c r="C5254" s="155" t="s">
        <v>6404</v>
      </c>
      <c r="E5254" s="90" t="s">
        <v>6412</v>
      </c>
      <c r="G5254" s="55" t="s">
        <v>6413</v>
      </c>
      <c r="H5254" s="55">
        <v>2011</v>
      </c>
      <c r="J5254" s="55" t="s">
        <v>6383</v>
      </c>
      <c r="K5254" s="55" t="s">
        <v>6426</v>
      </c>
      <c r="L5254" s="55" t="s">
        <v>3377</v>
      </c>
      <c r="M5254" s="90">
        <v>41.99</v>
      </c>
      <c r="N5254" s="90">
        <v>-71</v>
      </c>
      <c r="O5254" s="90">
        <v>630</v>
      </c>
      <c r="U5254" s="55" t="s">
        <v>1935</v>
      </c>
      <c r="V5254" s="55" t="s">
        <v>1935</v>
      </c>
      <c r="Y5254" s="55" t="s">
        <v>5864</v>
      </c>
      <c r="AA5254" s="55"/>
      <c r="AD5254" s="55"/>
      <c r="AH5254" s="90"/>
      <c r="AI5254" s="171">
        <v>4.75</v>
      </c>
      <c r="AJ5254" s="55"/>
      <c r="AK5254" s="55"/>
      <c r="AM5254" s="90" t="s">
        <v>6382</v>
      </c>
      <c r="AN5254" s="187" t="s">
        <v>6418</v>
      </c>
      <c r="AO5254" s="185" t="s">
        <v>5150</v>
      </c>
      <c r="AP5254" s="90"/>
      <c r="AQ5254" s="55" t="s">
        <v>553</v>
      </c>
      <c r="AR5254" s="55" t="s">
        <v>6381</v>
      </c>
      <c r="AS5254" s="55" t="s">
        <v>6407</v>
      </c>
      <c r="AU5254" s="181" t="s">
        <v>7494</v>
      </c>
      <c r="AV5254" s="185" t="s">
        <v>176</v>
      </c>
      <c r="AX5254" s="185" t="s">
        <v>176</v>
      </c>
      <c r="BK5254" s="55" t="s">
        <v>5976</v>
      </c>
      <c r="BN5254" s="55">
        <v>4</v>
      </c>
      <c r="BO5254" s="55">
        <v>4</v>
      </c>
      <c r="BS5254" s="55">
        <v>94.96</v>
      </c>
      <c r="BU5254" s="55" t="s">
        <v>6388</v>
      </c>
      <c r="CH5254" s="90">
        <v>1.595</v>
      </c>
      <c r="CI5254" s="90">
        <v>1.5449999999999999</v>
      </c>
      <c r="CM5254" s="65">
        <v>1.623</v>
      </c>
      <c r="CN5254" s="65">
        <v>1.6639999999999999</v>
      </c>
      <c r="DB5254" s="65">
        <v>730</v>
      </c>
      <c r="DC5254" s="65">
        <v>740</v>
      </c>
      <c r="DF5254" s="65" t="s">
        <v>6380</v>
      </c>
      <c r="DG5254" s="65">
        <v>31.7</v>
      </c>
      <c r="DH5254" s="65">
        <v>42.32</v>
      </c>
      <c r="DK5254" s="65" t="s">
        <v>6415</v>
      </c>
      <c r="DL5254" s="65">
        <v>95.07</v>
      </c>
      <c r="DM5254" s="65">
        <v>138.97</v>
      </c>
      <c r="DP5254" s="65" t="s">
        <v>6416</v>
      </c>
      <c r="DQ5254" s="165">
        <v>4.79</v>
      </c>
      <c r="DR5254" s="165">
        <v>4.71</v>
      </c>
      <c r="EP5254" s="65">
        <v>41.04</v>
      </c>
      <c r="EQ5254" s="65">
        <v>41.74</v>
      </c>
      <c r="ET5254" s="65" t="s">
        <v>164</v>
      </c>
      <c r="GD5254" s="65">
        <v>16.760000000000002</v>
      </c>
      <c r="GE5254" s="65">
        <v>16.86</v>
      </c>
      <c r="GH5254" s="65" t="s">
        <v>164</v>
      </c>
      <c r="GP5254" s="292" t="s">
        <v>7494</v>
      </c>
      <c r="JU5254" s="65" t="s">
        <v>6379</v>
      </c>
      <c r="JV5254" s="55" t="s">
        <v>6384</v>
      </c>
      <c r="JW5254" s="95"/>
      <c r="JX5254" s="95"/>
      <c r="JY5254" s="95"/>
      <c r="JZ5254" s="55"/>
    </row>
    <row r="5255" spans="1:286" x14ac:dyDescent="0.25">
      <c r="A5255" s="55">
        <v>5254</v>
      </c>
      <c r="B5255" s="12" t="s">
        <v>7067</v>
      </c>
      <c r="C5255" s="155" t="s">
        <v>6404</v>
      </c>
      <c r="E5255" s="90" t="s">
        <v>6412</v>
      </c>
      <c r="G5255" s="55" t="s">
        <v>6413</v>
      </c>
      <c r="H5255" s="55">
        <v>2011</v>
      </c>
      <c r="J5255" s="55" t="s">
        <v>6383</v>
      </c>
      <c r="K5255" s="55" t="s">
        <v>6426</v>
      </c>
      <c r="L5255" s="55" t="s">
        <v>3377</v>
      </c>
      <c r="M5255" s="90">
        <v>41.99</v>
      </c>
      <c r="N5255" s="90">
        <v>-71</v>
      </c>
      <c r="O5255" s="90">
        <v>630</v>
      </c>
      <c r="U5255" s="55" t="s">
        <v>1935</v>
      </c>
      <c r="V5255" s="55" t="s">
        <v>1935</v>
      </c>
      <c r="Y5255" s="55" t="s">
        <v>5864</v>
      </c>
      <c r="AA5255" s="55"/>
      <c r="AD5255" s="55"/>
      <c r="AH5255" s="90"/>
      <c r="AI5255" s="171">
        <v>4.75</v>
      </c>
      <c r="AJ5255" s="55"/>
      <c r="AK5255" s="55"/>
      <c r="AM5255" s="90" t="s">
        <v>6382</v>
      </c>
      <c r="AN5255" s="187" t="s">
        <v>6419</v>
      </c>
      <c r="AO5255" s="185" t="s">
        <v>5150</v>
      </c>
      <c r="AP5255" s="90"/>
      <c r="AQ5255" s="55" t="s">
        <v>553</v>
      </c>
      <c r="AR5255" s="55" t="s">
        <v>6381</v>
      </c>
      <c r="AS5255" s="55" t="s">
        <v>6407</v>
      </c>
      <c r="AU5255" s="181" t="s">
        <v>7494</v>
      </c>
      <c r="AV5255" s="185" t="s">
        <v>176</v>
      </c>
      <c r="AX5255" s="185" t="s">
        <v>176</v>
      </c>
      <c r="BK5255" s="55" t="s">
        <v>5976</v>
      </c>
      <c r="BN5255" s="55">
        <v>4</v>
      </c>
      <c r="BO5255" s="55">
        <v>4</v>
      </c>
      <c r="BS5255" s="55">
        <v>283.62</v>
      </c>
      <c r="BU5255" s="55" t="s">
        <v>6388</v>
      </c>
      <c r="CH5255" s="90">
        <v>1.595</v>
      </c>
      <c r="CI5255" s="90">
        <v>1.569</v>
      </c>
      <c r="CM5255" s="65">
        <v>1.623</v>
      </c>
      <c r="CN5255" s="65">
        <v>1.867</v>
      </c>
      <c r="DB5255" s="65">
        <v>730</v>
      </c>
      <c r="DC5255" s="65">
        <v>710</v>
      </c>
      <c r="DF5255" s="65" t="s">
        <v>6380</v>
      </c>
      <c r="DG5255" s="65">
        <v>31.7</v>
      </c>
      <c r="DH5255" s="65">
        <v>56.41</v>
      </c>
      <c r="DK5255" s="65" t="s">
        <v>6415</v>
      </c>
      <c r="DL5255" s="65">
        <v>95.07</v>
      </c>
      <c r="DM5255" s="65">
        <v>128.9</v>
      </c>
      <c r="DP5255" s="65" t="s">
        <v>6416</v>
      </c>
      <c r="DQ5255" s="165">
        <v>4.79</v>
      </c>
      <c r="DR5255" s="165">
        <v>4.76</v>
      </c>
      <c r="EP5255" s="65">
        <v>41.04</v>
      </c>
      <c r="EQ5255" s="65">
        <v>42.98</v>
      </c>
      <c r="ET5255" s="65" t="s">
        <v>164</v>
      </c>
      <c r="GD5255" s="65">
        <v>16.760000000000002</v>
      </c>
      <c r="GE5255" s="65">
        <v>16.91</v>
      </c>
      <c r="GH5255" s="65" t="s">
        <v>164</v>
      </c>
      <c r="GP5255" s="292" t="s">
        <v>7494</v>
      </c>
      <c r="JU5255" s="65" t="s">
        <v>6379</v>
      </c>
      <c r="JV5255" s="55" t="s">
        <v>6384</v>
      </c>
      <c r="JW5255" s="95"/>
      <c r="JX5255" s="95"/>
      <c r="JY5255" s="95"/>
      <c r="JZ5255" s="55"/>
    </row>
    <row r="5256" spans="1:286" x14ac:dyDescent="0.25">
      <c r="A5256" s="55">
        <v>5255</v>
      </c>
      <c r="B5256" s="12" t="s">
        <v>7067</v>
      </c>
      <c r="C5256" s="155" t="s">
        <v>6404</v>
      </c>
      <c r="E5256" s="90" t="s">
        <v>6412</v>
      </c>
      <c r="G5256" s="55" t="s">
        <v>6413</v>
      </c>
      <c r="H5256" s="55">
        <v>2011</v>
      </c>
      <c r="J5256" s="55" t="s">
        <v>6383</v>
      </c>
      <c r="K5256" s="55" t="s">
        <v>6426</v>
      </c>
      <c r="L5256" s="55" t="s">
        <v>3377</v>
      </c>
      <c r="M5256" s="90">
        <v>41.99</v>
      </c>
      <c r="N5256" s="90">
        <v>-71</v>
      </c>
      <c r="O5256" s="90">
        <v>630</v>
      </c>
      <c r="U5256" s="55" t="s">
        <v>1935</v>
      </c>
      <c r="V5256" s="55" t="s">
        <v>1935</v>
      </c>
      <c r="Y5256" s="55" t="s">
        <v>5864</v>
      </c>
      <c r="AA5256" s="55"/>
      <c r="AD5256" s="55"/>
      <c r="AH5256" s="90"/>
      <c r="AI5256" s="171">
        <v>4.75</v>
      </c>
      <c r="AJ5256" s="55"/>
      <c r="AK5256" s="55"/>
      <c r="AM5256" s="90" t="s">
        <v>6382</v>
      </c>
      <c r="AN5256" s="187" t="s">
        <v>6420</v>
      </c>
      <c r="AO5256" s="185" t="s">
        <v>5150</v>
      </c>
      <c r="AP5256" s="90"/>
      <c r="AQ5256" s="55" t="s">
        <v>553</v>
      </c>
      <c r="AR5256" s="55" t="s">
        <v>6381</v>
      </c>
      <c r="AS5256" s="55" t="s">
        <v>6407</v>
      </c>
      <c r="AU5256" s="181" t="s">
        <v>7494</v>
      </c>
      <c r="AV5256" s="185" t="s">
        <v>176</v>
      </c>
      <c r="AX5256" s="185" t="s">
        <v>176</v>
      </c>
      <c r="BK5256" s="55" t="s">
        <v>5976</v>
      </c>
      <c r="BN5256" s="55">
        <v>4</v>
      </c>
      <c r="BO5256" s="55">
        <v>4</v>
      </c>
      <c r="BS5256" s="55">
        <v>142.38999999999999</v>
      </c>
      <c r="BU5256" s="55" t="s">
        <v>6388</v>
      </c>
      <c r="CH5256" s="90">
        <v>1.595</v>
      </c>
      <c r="CI5256" s="90">
        <v>1.58</v>
      </c>
      <c r="CM5256" s="65">
        <v>1.623</v>
      </c>
      <c r="CN5256" s="65">
        <v>1.6359999999999999</v>
      </c>
      <c r="DB5256" s="65">
        <v>730</v>
      </c>
      <c r="DC5256" s="65">
        <v>710</v>
      </c>
      <c r="DF5256" s="65" t="s">
        <v>6380</v>
      </c>
      <c r="DG5256" s="65">
        <v>31.7</v>
      </c>
      <c r="DH5256" s="65">
        <v>57.27</v>
      </c>
      <c r="DK5256" s="65" t="s">
        <v>6415</v>
      </c>
      <c r="DL5256" s="65">
        <v>95.07</v>
      </c>
      <c r="DM5256" s="65">
        <v>134.54</v>
      </c>
      <c r="DP5256" s="65" t="s">
        <v>6416</v>
      </c>
      <c r="DQ5256" s="165">
        <v>4.79</v>
      </c>
      <c r="DR5256" s="165">
        <v>4.72</v>
      </c>
      <c r="EP5256" s="65">
        <v>41.04</v>
      </c>
      <c r="EQ5256" s="65">
        <v>41.88</v>
      </c>
      <c r="ET5256" s="65" t="s">
        <v>164</v>
      </c>
      <c r="GD5256" s="65">
        <v>16.760000000000002</v>
      </c>
      <c r="GE5256" s="65">
        <v>16.309999999999999</v>
      </c>
      <c r="GH5256" s="65" t="s">
        <v>164</v>
      </c>
      <c r="GP5256" s="292" t="s">
        <v>7494</v>
      </c>
      <c r="JU5256" s="65" t="s">
        <v>6379</v>
      </c>
      <c r="JV5256" s="55" t="s">
        <v>6384</v>
      </c>
      <c r="JW5256" s="95"/>
      <c r="JX5256" s="95"/>
      <c r="JY5256" s="95"/>
      <c r="JZ5256" s="55"/>
    </row>
    <row r="5257" spans="1:286" x14ac:dyDescent="0.25">
      <c r="A5257" s="55">
        <v>5256</v>
      </c>
      <c r="B5257" s="12" t="s">
        <v>7067</v>
      </c>
      <c r="C5257" s="155" t="s">
        <v>6404</v>
      </c>
      <c r="E5257" s="90" t="s">
        <v>6412</v>
      </c>
      <c r="G5257" s="55" t="s">
        <v>6413</v>
      </c>
      <c r="H5257" s="55">
        <v>2011</v>
      </c>
      <c r="J5257" s="55" t="s">
        <v>6383</v>
      </c>
      <c r="K5257" s="55" t="s">
        <v>6426</v>
      </c>
      <c r="L5257" s="55" t="s">
        <v>3377</v>
      </c>
      <c r="M5257" s="90">
        <v>41.99</v>
      </c>
      <c r="N5257" s="90">
        <v>-71</v>
      </c>
      <c r="O5257" s="90">
        <v>630</v>
      </c>
      <c r="U5257" s="55" t="s">
        <v>1935</v>
      </c>
      <c r="V5257" s="55" t="s">
        <v>1935</v>
      </c>
      <c r="Y5257" s="55" t="s">
        <v>5864</v>
      </c>
      <c r="AA5257" s="55"/>
      <c r="AD5257" s="55"/>
      <c r="AH5257" s="90"/>
      <c r="AI5257" s="171">
        <v>4.75</v>
      </c>
      <c r="AJ5257" s="55"/>
      <c r="AK5257" s="55"/>
      <c r="AM5257" s="90" t="s">
        <v>6382</v>
      </c>
      <c r="AN5257" s="187" t="s">
        <v>6421</v>
      </c>
      <c r="AO5257" s="185" t="s">
        <v>5150</v>
      </c>
      <c r="AP5257" s="90"/>
      <c r="AQ5257" s="55" t="s">
        <v>553</v>
      </c>
      <c r="AR5257" s="55" t="s">
        <v>6381</v>
      </c>
      <c r="AS5257" s="55" t="s">
        <v>6407</v>
      </c>
      <c r="AU5257" s="181" t="s">
        <v>7494</v>
      </c>
      <c r="AV5257" s="185" t="s">
        <v>176</v>
      </c>
      <c r="AX5257" s="185" t="s">
        <v>176</v>
      </c>
      <c r="BK5257" s="55" t="s">
        <v>5976</v>
      </c>
      <c r="BN5257" s="55">
        <v>4</v>
      </c>
      <c r="BO5257" s="55">
        <v>4</v>
      </c>
      <c r="BS5257" s="55">
        <v>222.09</v>
      </c>
      <c r="BU5257" s="55" t="s">
        <v>6388</v>
      </c>
      <c r="CH5257" s="90">
        <v>1.595</v>
      </c>
      <c r="CI5257" s="90">
        <v>1.57</v>
      </c>
      <c r="CM5257" s="65">
        <v>1.623</v>
      </c>
      <c r="CN5257" s="65">
        <v>1.639</v>
      </c>
      <c r="DB5257" s="65">
        <v>730</v>
      </c>
      <c r="DC5257" s="65">
        <v>730</v>
      </c>
      <c r="DF5257" s="65" t="s">
        <v>6380</v>
      </c>
      <c r="DG5257" s="65">
        <v>31.7</v>
      </c>
      <c r="DH5257" s="65">
        <v>39.22</v>
      </c>
      <c r="DK5257" s="65" t="s">
        <v>6415</v>
      </c>
      <c r="DL5257" s="65">
        <v>95.07</v>
      </c>
      <c r="DM5257" s="65">
        <v>168.17</v>
      </c>
      <c r="DP5257" s="65" t="s">
        <v>6416</v>
      </c>
      <c r="DQ5257" s="165">
        <v>4.79</v>
      </c>
      <c r="DR5257" s="165">
        <v>4.67</v>
      </c>
      <c r="EP5257" s="65">
        <v>41.04</v>
      </c>
      <c r="EQ5257" s="65">
        <v>39.61</v>
      </c>
      <c r="ET5257" s="65" t="s">
        <v>164</v>
      </c>
      <c r="GD5257" s="65">
        <v>16.760000000000002</v>
      </c>
      <c r="GE5257" s="65">
        <v>16.27</v>
      </c>
      <c r="GH5257" s="65" t="s">
        <v>164</v>
      </c>
      <c r="GP5257" s="292" t="s">
        <v>7494</v>
      </c>
      <c r="JU5257" s="65" t="s">
        <v>6379</v>
      </c>
      <c r="JV5257" s="55" t="s">
        <v>6384</v>
      </c>
      <c r="JW5257" s="95"/>
      <c r="JX5257" s="95"/>
      <c r="JY5257" s="95"/>
      <c r="JZ5257" s="55"/>
    </row>
    <row r="5258" spans="1:286" x14ac:dyDescent="0.25">
      <c r="A5258" s="55">
        <v>5257</v>
      </c>
      <c r="B5258" s="12" t="s">
        <v>7067</v>
      </c>
      <c r="C5258" s="155" t="s">
        <v>6404</v>
      </c>
      <c r="E5258" s="90" t="s">
        <v>6412</v>
      </c>
      <c r="G5258" s="55" t="s">
        <v>6413</v>
      </c>
      <c r="H5258" s="55">
        <v>2011</v>
      </c>
      <c r="J5258" s="55" t="s">
        <v>6383</v>
      </c>
      <c r="K5258" s="55" t="s">
        <v>6426</v>
      </c>
      <c r="L5258" s="55" t="s">
        <v>3377</v>
      </c>
      <c r="M5258" s="90">
        <v>41.99</v>
      </c>
      <c r="N5258" s="90">
        <v>-71</v>
      </c>
      <c r="O5258" s="90">
        <v>630</v>
      </c>
      <c r="U5258" s="55" t="s">
        <v>1935</v>
      </c>
      <c r="V5258" s="55" t="s">
        <v>1935</v>
      </c>
      <c r="Y5258" s="55" t="s">
        <v>5864</v>
      </c>
      <c r="AA5258" s="55"/>
      <c r="AD5258" s="55"/>
      <c r="AH5258" s="90"/>
      <c r="AI5258" s="171">
        <v>4.75</v>
      </c>
      <c r="AJ5258" s="55"/>
      <c r="AK5258" s="55"/>
      <c r="AM5258" s="90" t="s">
        <v>6382</v>
      </c>
      <c r="AN5258" s="187" t="s">
        <v>6386</v>
      </c>
      <c r="AO5258" s="185" t="s">
        <v>5150</v>
      </c>
      <c r="AP5258" s="90"/>
      <c r="AQ5258" s="55" t="s">
        <v>553</v>
      </c>
      <c r="AR5258" s="55" t="s">
        <v>6381</v>
      </c>
      <c r="AS5258" s="55" t="s">
        <v>6407</v>
      </c>
      <c r="AU5258" s="181" t="s">
        <v>7494</v>
      </c>
      <c r="AV5258" s="185" t="s">
        <v>176</v>
      </c>
      <c r="AX5258" s="185" t="s">
        <v>176</v>
      </c>
      <c r="BK5258" s="55" t="s">
        <v>5976</v>
      </c>
      <c r="BN5258" s="55">
        <v>4</v>
      </c>
      <c r="BO5258" s="55">
        <v>4</v>
      </c>
      <c r="BS5258" s="55">
        <v>131.84</v>
      </c>
      <c r="BU5258" s="55" t="s">
        <v>6388</v>
      </c>
      <c r="CH5258" s="90">
        <v>1.595</v>
      </c>
      <c r="CI5258" s="90">
        <v>1.518</v>
      </c>
      <c r="CM5258" s="65">
        <v>1.623</v>
      </c>
      <c r="CN5258" s="65">
        <v>1.82</v>
      </c>
      <c r="DB5258" s="65">
        <v>730</v>
      </c>
      <c r="DC5258" s="65">
        <v>780</v>
      </c>
      <c r="DF5258" s="65" t="s">
        <v>6380</v>
      </c>
      <c r="DG5258" s="65">
        <v>31.7</v>
      </c>
      <c r="DH5258" s="65">
        <v>43.65</v>
      </c>
      <c r="DK5258" s="65" t="s">
        <v>6415</v>
      </c>
      <c r="DL5258" s="65">
        <v>95.07</v>
      </c>
      <c r="DM5258" s="65">
        <v>115.39</v>
      </c>
      <c r="DP5258" s="65" t="s">
        <v>6416</v>
      </c>
      <c r="DQ5258" s="165">
        <v>4.79</v>
      </c>
      <c r="DR5258" s="165">
        <v>4.7</v>
      </c>
      <c r="EP5258" s="65">
        <v>41.04</v>
      </c>
      <c r="EQ5258" s="65">
        <v>42.84</v>
      </c>
      <c r="ET5258" s="65" t="s">
        <v>164</v>
      </c>
      <c r="GD5258" s="65">
        <v>16.760000000000002</v>
      </c>
      <c r="GE5258" s="65">
        <v>16.96</v>
      </c>
      <c r="GH5258" s="65" t="s">
        <v>164</v>
      </c>
      <c r="GP5258" s="292" t="s">
        <v>7494</v>
      </c>
      <c r="JU5258" s="65" t="s">
        <v>6379</v>
      </c>
      <c r="JV5258" s="55" t="s">
        <v>6384</v>
      </c>
      <c r="JW5258" s="95"/>
      <c r="JX5258" s="95"/>
      <c r="JY5258" s="95"/>
      <c r="JZ5258" s="55"/>
    </row>
    <row r="5259" spans="1:286" x14ac:dyDescent="0.25">
      <c r="A5259" s="55">
        <v>5258</v>
      </c>
      <c r="B5259" s="12" t="s">
        <v>7067</v>
      </c>
      <c r="C5259" s="155" t="s">
        <v>6404</v>
      </c>
      <c r="E5259" s="90" t="s">
        <v>6412</v>
      </c>
      <c r="G5259" s="55" t="s">
        <v>6413</v>
      </c>
      <c r="H5259" s="55">
        <v>2011</v>
      </c>
      <c r="J5259" s="55" t="s">
        <v>6383</v>
      </c>
      <c r="K5259" s="55" t="s">
        <v>6426</v>
      </c>
      <c r="L5259" s="55" t="s">
        <v>3377</v>
      </c>
      <c r="M5259" s="90">
        <v>41.99</v>
      </c>
      <c r="N5259" s="90">
        <v>-71</v>
      </c>
      <c r="O5259" s="90">
        <v>630</v>
      </c>
      <c r="U5259" s="55" t="s">
        <v>1935</v>
      </c>
      <c r="V5259" s="55" t="s">
        <v>1935</v>
      </c>
      <c r="Y5259" s="55" t="s">
        <v>5864</v>
      </c>
      <c r="AA5259" s="55"/>
      <c r="AD5259" s="55"/>
      <c r="AH5259" s="90"/>
      <c r="AI5259" s="171">
        <v>4.75</v>
      </c>
      <c r="AJ5259" s="55"/>
      <c r="AK5259" s="55"/>
      <c r="AM5259" s="90" t="s">
        <v>6382</v>
      </c>
      <c r="AN5259" s="187" t="s">
        <v>6422</v>
      </c>
      <c r="AO5259" s="185" t="s">
        <v>5150</v>
      </c>
      <c r="AP5259" s="90"/>
      <c r="AQ5259" s="55" t="s">
        <v>553</v>
      </c>
      <c r="AR5259" s="55" t="s">
        <v>6381</v>
      </c>
      <c r="AS5259" s="55" t="s">
        <v>6407</v>
      </c>
      <c r="AU5259" s="181" t="s">
        <v>7494</v>
      </c>
      <c r="AV5259" s="185" t="s">
        <v>176</v>
      </c>
      <c r="AX5259" s="185" t="s">
        <v>176</v>
      </c>
      <c r="BK5259" s="55" t="s">
        <v>5976</v>
      </c>
      <c r="BN5259" s="55">
        <v>4</v>
      </c>
      <c r="BO5259" s="55">
        <v>4</v>
      </c>
      <c r="BS5259" s="55">
        <v>97.05</v>
      </c>
      <c r="BU5259" s="55" t="s">
        <v>6388</v>
      </c>
      <c r="CH5259" s="90">
        <v>1.595</v>
      </c>
      <c r="CI5259" s="90">
        <v>1.538</v>
      </c>
      <c r="CM5259" s="65">
        <v>1.623</v>
      </c>
      <c r="CN5259" s="65">
        <v>1.639</v>
      </c>
      <c r="DB5259" s="65">
        <v>730</v>
      </c>
      <c r="DC5259" s="65">
        <v>760</v>
      </c>
      <c r="DF5259" s="65" t="s">
        <v>6380</v>
      </c>
      <c r="DG5259" s="65">
        <v>31.7</v>
      </c>
      <c r="DH5259" s="65">
        <v>45.34</v>
      </c>
      <c r="DK5259" s="65" t="s">
        <v>6415</v>
      </c>
      <c r="DL5259" s="65">
        <v>95.07</v>
      </c>
      <c r="DM5259" s="65">
        <v>117.24</v>
      </c>
      <c r="DP5259" s="65" t="s">
        <v>6416</v>
      </c>
      <c r="DQ5259" s="165">
        <v>4.79</v>
      </c>
      <c r="DR5259" s="165">
        <v>4.74</v>
      </c>
      <c r="EP5259" s="65">
        <v>41.04</v>
      </c>
      <c r="EQ5259" s="65">
        <v>42.86</v>
      </c>
      <c r="ET5259" s="65" t="s">
        <v>164</v>
      </c>
      <c r="GD5259" s="65">
        <v>16.760000000000002</v>
      </c>
      <c r="GE5259" s="65">
        <v>17.190000000000001</v>
      </c>
      <c r="GH5259" s="65" t="s">
        <v>164</v>
      </c>
      <c r="GP5259" s="292" t="s">
        <v>7494</v>
      </c>
      <c r="JU5259" s="65" t="s">
        <v>6379</v>
      </c>
      <c r="JV5259" s="55" t="s">
        <v>6384</v>
      </c>
      <c r="JW5259" s="95"/>
      <c r="JX5259" s="95"/>
      <c r="JY5259" s="95"/>
      <c r="JZ5259" s="55"/>
    </row>
    <row r="5260" spans="1:286" x14ac:dyDescent="0.25">
      <c r="A5260" s="55">
        <v>5259</v>
      </c>
      <c r="B5260" s="12" t="s">
        <v>7067</v>
      </c>
      <c r="C5260" s="155" t="s">
        <v>6404</v>
      </c>
      <c r="E5260" s="90" t="s">
        <v>6412</v>
      </c>
      <c r="G5260" s="55" t="s">
        <v>6413</v>
      </c>
      <c r="H5260" s="55">
        <v>2011</v>
      </c>
      <c r="J5260" s="55" t="s">
        <v>6383</v>
      </c>
      <c r="K5260" s="55" t="s">
        <v>6426</v>
      </c>
      <c r="L5260" s="55" t="s">
        <v>3377</v>
      </c>
      <c r="M5260" s="90">
        <v>41.99</v>
      </c>
      <c r="N5260" s="90">
        <v>-71</v>
      </c>
      <c r="O5260" s="90">
        <v>630</v>
      </c>
      <c r="U5260" s="55" t="s">
        <v>1935</v>
      </c>
      <c r="V5260" s="55" t="s">
        <v>1935</v>
      </c>
      <c r="Y5260" s="55" t="s">
        <v>5864</v>
      </c>
      <c r="AA5260" s="55"/>
      <c r="AD5260" s="55"/>
      <c r="AH5260" s="90"/>
      <c r="AI5260" s="171">
        <v>4.75</v>
      </c>
      <c r="AJ5260" s="55"/>
      <c r="AK5260" s="55"/>
      <c r="AM5260" s="90" t="s">
        <v>6382</v>
      </c>
      <c r="AN5260" s="187" t="s">
        <v>6385</v>
      </c>
      <c r="AO5260" s="185" t="s">
        <v>5150</v>
      </c>
      <c r="AP5260" s="90"/>
      <c r="AQ5260" s="55" t="s">
        <v>553</v>
      </c>
      <c r="AR5260" s="55" t="s">
        <v>6381</v>
      </c>
      <c r="AS5260" s="55" t="s">
        <v>6407</v>
      </c>
      <c r="AU5260" s="181" t="s">
        <v>7494</v>
      </c>
      <c r="AV5260" s="185" t="s">
        <v>176</v>
      </c>
      <c r="AX5260" s="185" t="s">
        <v>176</v>
      </c>
      <c r="BK5260" s="55" t="s">
        <v>5976</v>
      </c>
      <c r="BN5260" s="55">
        <v>4</v>
      </c>
      <c r="BO5260" s="55">
        <v>4</v>
      </c>
      <c r="BS5260" s="55">
        <v>132.82</v>
      </c>
      <c r="BU5260" s="55" t="s">
        <v>6388</v>
      </c>
      <c r="CH5260" s="90">
        <v>1.595</v>
      </c>
      <c r="CI5260" s="90">
        <v>1.6040000000000001</v>
      </c>
      <c r="CM5260" s="65">
        <v>1.623</v>
      </c>
      <c r="CN5260" s="65">
        <v>1.851</v>
      </c>
      <c r="DB5260" s="65">
        <v>730</v>
      </c>
      <c r="DC5260" s="65">
        <v>760</v>
      </c>
      <c r="DF5260" s="65" t="s">
        <v>6380</v>
      </c>
      <c r="DG5260" s="65">
        <v>31.7</v>
      </c>
      <c r="DH5260" s="65">
        <v>55.92</v>
      </c>
      <c r="DK5260" s="65" t="s">
        <v>6415</v>
      </c>
      <c r="DL5260" s="65">
        <v>95.07</v>
      </c>
      <c r="DM5260" s="65">
        <v>135.38999999999999</v>
      </c>
      <c r="DP5260" s="65" t="s">
        <v>6416</v>
      </c>
      <c r="DQ5260" s="165">
        <v>4.79</v>
      </c>
      <c r="DR5260" s="165">
        <v>4.83</v>
      </c>
      <c r="EP5260" s="65">
        <v>41.04</v>
      </c>
      <c r="EQ5260" s="65">
        <v>38.79</v>
      </c>
      <c r="ET5260" s="65" t="s">
        <v>164</v>
      </c>
      <c r="GD5260" s="65">
        <v>16.760000000000002</v>
      </c>
      <c r="GE5260" s="65">
        <v>16.989999999999998</v>
      </c>
      <c r="GH5260" s="65" t="s">
        <v>164</v>
      </c>
      <c r="GP5260" s="292" t="s">
        <v>7494</v>
      </c>
      <c r="JU5260" s="65" t="s">
        <v>6379</v>
      </c>
      <c r="JV5260" s="55" t="s">
        <v>6384</v>
      </c>
      <c r="JW5260" s="95"/>
      <c r="JX5260" s="95"/>
      <c r="JY5260" s="95"/>
      <c r="JZ5260" s="55"/>
    </row>
    <row r="5261" spans="1:286" x14ac:dyDescent="0.25">
      <c r="A5261" s="55">
        <v>5260</v>
      </c>
      <c r="B5261" s="12" t="s">
        <v>7067</v>
      </c>
      <c r="C5261" s="155" t="s">
        <v>6404</v>
      </c>
      <c r="E5261" s="90" t="s">
        <v>6412</v>
      </c>
      <c r="G5261" s="55" t="s">
        <v>6413</v>
      </c>
      <c r="H5261" s="55" t="s">
        <v>6434</v>
      </c>
      <c r="J5261" s="55" t="s">
        <v>6383</v>
      </c>
      <c r="K5261" s="55" t="s">
        <v>6426</v>
      </c>
      <c r="L5261" s="55" t="s">
        <v>3377</v>
      </c>
      <c r="M5261" s="90">
        <v>41.99</v>
      </c>
      <c r="N5261" s="90">
        <v>-71</v>
      </c>
      <c r="O5261" s="90">
        <v>630</v>
      </c>
      <c r="U5261" s="55" t="s">
        <v>1935</v>
      </c>
      <c r="V5261" s="55" t="s">
        <v>1935</v>
      </c>
      <c r="Y5261" s="55" t="s">
        <v>5864</v>
      </c>
      <c r="AA5261" s="55"/>
      <c r="AD5261" s="55"/>
      <c r="AH5261" s="90"/>
      <c r="AI5261" s="171">
        <v>4.75</v>
      </c>
      <c r="AJ5261" s="55"/>
      <c r="AK5261" s="55"/>
      <c r="AM5261" s="90" t="s">
        <v>6382</v>
      </c>
      <c r="AN5261" s="187" t="s">
        <v>6423</v>
      </c>
      <c r="AO5261" s="185" t="s">
        <v>5150</v>
      </c>
      <c r="AP5261" s="90"/>
      <c r="AQ5261" s="55" t="s">
        <v>553</v>
      </c>
      <c r="AR5261" s="55" t="s">
        <v>6381</v>
      </c>
      <c r="AS5261" s="55" t="s">
        <v>6407</v>
      </c>
      <c r="AU5261" s="181" t="s">
        <v>7494</v>
      </c>
      <c r="AV5261" s="185" t="s">
        <v>176</v>
      </c>
      <c r="AX5261" s="185" t="s">
        <v>176</v>
      </c>
      <c r="BK5261" s="55" t="s">
        <v>5976</v>
      </c>
      <c r="BN5261" s="55">
        <v>4</v>
      </c>
      <c r="BO5261" s="55">
        <v>4</v>
      </c>
      <c r="BS5261" s="55">
        <v>331.06</v>
      </c>
      <c r="BU5261" s="55" t="s">
        <v>6388</v>
      </c>
      <c r="CH5261" s="90">
        <v>1.595</v>
      </c>
      <c r="CI5261" s="90">
        <v>1.5</v>
      </c>
      <c r="CM5261" s="65">
        <v>1.623</v>
      </c>
      <c r="CN5261" s="65">
        <v>1.7130000000000001</v>
      </c>
      <c r="DB5261" s="65">
        <v>730</v>
      </c>
      <c r="DC5261" s="65">
        <v>730</v>
      </c>
      <c r="DF5261" s="65" t="s">
        <v>6380</v>
      </c>
      <c r="DG5261" s="65">
        <v>31.7</v>
      </c>
      <c r="DH5261" s="65">
        <v>39.19</v>
      </c>
      <c r="DK5261" s="65" t="s">
        <v>6415</v>
      </c>
      <c r="DL5261" s="65">
        <v>95.07</v>
      </c>
      <c r="DM5261" s="65">
        <v>99.86</v>
      </c>
      <c r="DP5261" s="65" t="s">
        <v>6416</v>
      </c>
      <c r="DQ5261" s="165">
        <v>4.79</v>
      </c>
      <c r="DR5261" s="165">
        <v>4.6500000000000004</v>
      </c>
      <c r="EP5261" s="65">
        <v>41.04</v>
      </c>
      <c r="EQ5261" s="65">
        <v>41.82</v>
      </c>
      <c r="ET5261" s="65" t="s">
        <v>164</v>
      </c>
      <c r="GD5261" s="65">
        <v>16.760000000000002</v>
      </c>
      <c r="GE5261" s="65">
        <v>17.38</v>
      </c>
      <c r="GH5261" s="65" t="s">
        <v>164</v>
      </c>
      <c r="GP5261" s="292" t="s">
        <v>7494</v>
      </c>
      <c r="JU5261" s="65" t="s">
        <v>6379</v>
      </c>
      <c r="JV5261" s="55" t="s">
        <v>6384</v>
      </c>
      <c r="JW5261" s="95"/>
      <c r="JX5261" s="95"/>
      <c r="JY5261" s="95"/>
      <c r="JZ5261" s="55"/>
    </row>
    <row r="5262" spans="1:286" x14ac:dyDescent="0.25">
      <c r="A5262" s="55">
        <v>5261</v>
      </c>
      <c r="B5262" s="12" t="s">
        <v>7067</v>
      </c>
      <c r="C5262" s="155" t="s">
        <v>6427</v>
      </c>
      <c r="E5262" s="90" t="s">
        <v>6435</v>
      </c>
      <c r="G5262" s="55" t="s">
        <v>6436</v>
      </c>
      <c r="H5262" s="55" t="s">
        <v>5864</v>
      </c>
      <c r="I5262" s="55">
        <v>2006</v>
      </c>
      <c r="J5262" s="55" t="s">
        <v>6437</v>
      </c>
      <c r="K5262" s="55" t="s">
        <v>6438</v>
      </c>
      <c r="L5262" s="55" t="s">
        <v>3377</v>
      </c>
      <c r="M5262" s="90">
        <f>39+57/60</f>
        <v>39.950000000000003</v>
      </c>
      <c r="N5262" s="90">
        <f>111+39/60</f>
        <v>111.65</v>
      </c>
      <c r="O5262" s="90">
        <v>1373.6</v>
      </c>
      <c r="Q5262" s="12"/>
      <c r="S5262" s="90" t="s">
        <v>6442</v>
      </c>
      <c r="U5262" s="55" t="s">
        <v>1935</v>
      </c>
      <c r="V5262" s="55" t="s">
        <v>1935</v>
      </c>
      <c r="Y5262" s="55" t="s">
        <v>6444</v>
      </c>
      <c r="AA5262" s="55"/>
      <c r="AD5262" s="55"/>
      <c r="AH5262" s="90"/>
      <c r="AJ5262" s="55" t="s">
        <v>6439</v>
      </c>
      <c r="AL5262" s="90"/>
      <c r="AM5262" s="55" t="s">
        <v>6440</v>
      </c>
      <c r="AO5262" s="185" t="s">
        <v>7494</v>
      </c>
      <c r="AR5262" s="55" t="s">
        <v>496</v>
      </c>
      <c r="AU5262" s="181" t="s">
        <v>7494</v>
      </c>
      <c r="AV5262" s="185" t="s">
        <v>176</v>
      </c>
      <c r="AX5262" s="185" t="s">
        <v>176</v>
      </c>
      <c r="BK5262" s="55" t="s">
        <v>2082</v>
      </c>
      <c r="BM5262" s="192" t="s">
        <v>6441</v>
      </c>
      <c r="BN5262" s="55" t="s">
        <v>1688</v>
      </c>
      <c r="BO5262" s="55" t="s">
        <v>1688</v>
      </c>
      <c r="BP5262" s="55" t="s">
        <v>1682</v>
      </c>
      <c r="FJ5262" s="65">
        <v>2.1999999999999999E-2</v>
      </c>
      <c r="FK5262" s="65">
        <v>4.3900000000000002E-2</v>
      </c>
      <c r="FN5262" s="65" t="s">
        <v>206</v>
      </c>
      <c r="FO5262" s="65">
        <v>0.41</v>
      </c>
      <c r="FP5262" s="65">
        <v>0.32</v>
      </c>
      <c r="FS5262" s="65" t="s">
        <v>6376</v>
      </c>
      <c r="GP5262" s="292" t="s">
        <v>7494</v>
      </c>
    </row>
    <row r="5263" spans="1:286" x14ac:dyDescent="0.25">
      <c r="A5263" s="55">
        <v>5262</v>
      </c>
      <c r="B5263" s="12" t="s">
        <v>7067</v>
      </c>
      <c r="C5263" s="155" t="s">
        <v>6427</v>
      </c>
      <c r="E5263" s="90" t="s">
        <v>6435</v>
      </c>
      <c r="G5263" s="55" t="s">
        <v>6436</v>
      </c>
      <c r="H5263" s="55" t="s">
        <v>5864</v>
      </c>
      <c r="I5263" s="55">
        <v>2006</v>
      </c>
      <c r="J5263" s="55" t="s">
        <v>6437</v>
      </c>
      <c r="K5263" s="55" t="s">
        <v>6438</v>
      </c>
      <c r="L5263" s="55" t="s">
        <v>3377</v>
      </c>
      <c r="M5263" s="90">
        <f>39+57/60</f>
        <v>39.950000000000003</v>
      </c>
      <c r="N5263" s="90">
        <f>111+39/60</f>
        <v>111.65</v>
      </c>
      <c r="O5263" s="90">
        <v>1373.6</v>
      </c>
      <c r="Q5263" s="12"/>
      <c r="S5263" s="90" t="s">
        <v>6442</v>
      </c>
      <c r="U5263" s="55" t="s">
        <v>1935</v>
      </c>
      <c r="V5263" s="55" t="s">
        <v>1935</v>
      </c>
      <c r="Y5263" s="55" t="s">
        <v>6445</v>
      </c>
      <c r="AJ5263" s="55" t="s">
        <v>6439</v>
      </c>
      <c r="AL5263" s="90"/>
      <c r="AM5263" s="55" t="s">
        <v>6440</v>
      </c>
      <c r="AO5263" s="185" t="s">
        <v>7494</v>
      </c>
      <c r="AR5263" s="55" t="s">
        <v>496</v>
      </c>
      <c r="AU5263" s="181" t="s">
        <v>7494</v>
      </c>
      <c r="AV5263" s="185" t="s">
        <v>176</v>
      </c>
      <c r="AX5263" s="185" t="s">
        <v>176</v>
      </c>
      <c r="BK5263" s="55" t="s">
        <v>2082</v>
      </c>
      <c r="BM5263" s="192" t="s">
        <v>6441</v>
      </c>
      <c r="BN5263" s="55" t="s">
        <v>1688</v>
      </c>
      <c r="BO5263" s="55" t="s">
        <v>1688</v>
      </c>
      <c r="BP5263" s="55" t="s">
        <v>1682</v>
      </c>
      <c r="FJ5263" s="65">
        <v>3.7699999999999997E-2</v>
      </c>
      <c r="FK5263" s="65">
        <v>2.18E-2</v>
      </c>
      <c r="FN5263" s="65" t="s">
        <v>206</v>
      </c>
      <c r="FO5263" s="65">
        <v>0.27</v>
      </c>
      <c r="FP5263" s="65">
        <v>0.2</v>
      </c>
      <c r="FS5263" s="65" t="s">
        <v>6376</v>
      </c>
      <c r="GP5263" s="292" t="s">
        <v>7494</v>
      </c>
    </row>
    <row r="5264" spans="1:286" x14ac:dyDescent="0.25">
      <c r="A5264" s="55">
        <v>5263</v>
      </c>
      <c r="B5264" s="12" t="s">
        <v>7067</v>
      </c>
      <c r="C5264" s="155" t="s">
        <v>6427</v>
      </c>
      <c r="E5264" s="90" t="s">
        <v>6435</v>
      </c>
      <c r="G5264" s="55" t="s">
        <v>6436</v>
      </c>
      <c r="H5264" s="55" t="s">
        <v>5864</v>
      </c>
      <c r="I5264" s="55">
        <v>2006</v>
      </c>
      <c r="J5264" s="55" t="s">
        <v>6437</v>
      </c>
      <c r="K5264" s="55" t="s">
        <v>6438</v>
      </c>
      <c r="L5264" s="55" t="s">
        <v>3377</v>
      </c>
      <c r="M5264" s="90">
        <f>39+57/60</f>
        <v>39.950000000000003</v>
      </c>
      <c r="N5264" s="90">
        <f>111+39/60</f>
        <v>111.65</v>
      </c>
      <c r="O5264" s="90">
        <v>1373.6</v>
      </c>
      <c r="Q5264" s="12"/>
      <c r="S5264" s="90" t="s">
        <v>6442</v>
      </c>
      <c r="U5264" s="55" t="s">
        <v>1935</v>
      </c>
      <c r="V5264" s="55" t="s">
        <v>1935</v>
      </c>
      <c r="Y5264" s="55" t="s">
        <v>6446</v>
      </c>
      <c r="AJ5264" s="55" t="s">
        <v>6439</v>
      </c>
      <c r="AL5264" s="90"/>
      <c r="AM5264" s="55" t="s">
        <v>6440</v>
      </c>
      <c r="AO5264" s="185" t="s">
        <v>7494</v>
      </c>
      <c r="AR5264" s="55" t="s">
        <v>496</v>
      </c>
      <c r="AU5264" s="181" t="s">
        <v>7494</v>
      </c>
      <c r="AV5264" s="185" t="s">
        <v>176</v>
      </c>
      <c r="AX5264" s="185" t="s">
        <v>176</v>
      </c>
      <c r="BK5264" s="55" t="s">
        <v>2082</v>
      </c>
      <c r="BM5264" s="192" t="s">
        <v>6441</v>
      </c>
      <c r="BN5264" s="55" t="s">
        <v>1688</v>
      </c>
      <c r="BO5264" s="55" t="s">
        <v>1688</v>
      </c>
      <c r="BP5264" s="55" t="s">
        <v>1682</v>
      </c>
      <c r="FJ5264" s="65">
        <v>2.23E-2</v>
      </c>
      <c r="FK5264" s="65">
        <v>1.0999999999999999E-2</v>
      </c>
      <c r="FN5264" s="65" t="s">
        <v>206</v>
      </c>
      <c r="FO5264" s="65">
        <v>0.27</v>
      </c>
      <c r="FP5264" s="65">
        <v>0.2</v>
      </c>
      <c r="FS5264" s="65" t="s">
        <v>6376</v>
      </c>
      <c r="GP5264" s="292" t="s">
        <v>7494</v>
      </c>
    </row>
    <row r="5265" spans="1:198" x14ac:dyDescent="0.25">
      <c r="A5265" s="55">
        <v>5264</v>
      </c>
      <c r="B5265" s="12" t="s">
        <v>7067</v>
      </c>
      <c r="C5265" s="155" t="s">
        <v>6427</v>
      </c>
      <c r="E5265" s="90" t="s">
        <v>6435</v>
      </c>
      <c r="G5265" s="55" t="s">
        <v>6436</v>
      </c>
      <c r="H5265" s="55" t="s">
        <v>5864</v>
      </c>
      <c r="I5265" s="55">
        <v>2006</v>
      </c>
      <c r="J5265" s="55" t="s">
        <v>6437</v>
      </c>
      <c r="K5265" s="55" t="s">
        <v>6438</v>
      </c>
      <c r="L5265" s="55" t="s">
        <v>3377</v>
      </c>
      <c r="M5265" s="90">
        <f>39+57/60</f>
        <v>39.950000000000003</v>
      </c>
      <c r="N5265" s="90">
        <f>111+39/60</f>
        <v>111.65</v>
      </c>
      <c r="O5265" s="90">
        <v>1373.6</v>
      </c>
      <c r="Q5265" s="12"/>
      <c r="S5265" s="90" t="s">
        <v>6442</v>
      </c>
      <c r="U5265" s="55" t="s">
        <v>1935</v>
      </c>
      <c r="V5265" s="55" t="s">
        <v>1935</v>
      </c>
      <c r="Y5265" s="55" t="s">
        <v>6447</v>
      </c>
      <c r="AJ5265" s="55" t="s">
        <v>6439</v>
      </c>
      <c r="AL5265" s="90"/>
      <c r="AM5265" s="55" t="s">
        <v>6440</v>
      </c>
      <c r="AO5265" s="185" t="s">
        <v>7494</v>
      </c>
      <c r="AR5265" s="55" t="s">
        <v>496</v>
      </c>
      <c r="AU5265" s="181" t="s">
        <v>7494</v>
      </c>
      <c r="AV5265" s="185" t="s">
        <v>176</v>
      </c>
      <c r="AX5265" s="185" t="s">
        <v>176</v>
      </c>
      <c r="BK5265" s="55" t="s">
        <v>2082</v>
      </c>
      <c r="BM5265" s="192" t="s">
        <v>6441</v>
      </c>
      <c r="BN5265" s="55" t="s">
        <v>1688</v>
      </c>
      <c r="BO5265" s="55" t="s">
        <v>1688</v>
      </c>
      <c r="BP5265" s="55" t="s">
        <v>1682</v>
      </c>
      <c r="FJ5265" s="65">
        <v>0.11</v>
      </c>
      <c r="FK5265" s="65">
        <v>0.1</v>
      </c>
      <c r="FN5265" s="65" t="s">
        <v>206</v>
      </c>
      <c r="FO5265" s="65">
        <v>3.12</v>
      </c>
      <c r="FP5265" s="65">
        <v>3.04</v>
      </c>
      <c r="FS5265" s="65" t="s">
        <v>6376</v>
      </c>
      <c r="GP5265" s="292" t="s">
        <v>7494</v>
      </c>
    </row>
    <row r="5266" spans="1:198" x14ac:dyDescent="0.25">
      <c r="A5266" s="55">
        <v>5265</v>
      </c>
      <c r="B5266" s="12" t="s">
        <v>7067</v>
      </c>
      <c r="C5266" s="155" t="s">
        <v>6427</v>
      </c>
      <c r="E5266" s="90" t="s">
        <v>6435</v>
      </c>
      <c r="G5266" s="55" t="s">
        <v>6436</v>
      </c>
      <c r="H5266" s="55" t="s">
        <v>5864</v>
      </c>
      <c r="I5266" s="55">
        <v>2006</v>
      </c>
      <c r="J5266" s="55" t="s">
        <v>6437</v>
      </c>
      <c r="K5266" s="55" t="s">
        <v>6438</v>
      </c>
      <c r="L5266" s="55" t="s">
        <v>3377</v>
      </c>
      <c r="M5266" s="90">
        <f>39+57/60</f>
        <v>39.950000000000003</v>
      </c>
      <c r="N5266" s="90">
        <f>111+39/60</f>
        <v>111.65</v>
      </c>
      <c r="O5266" s="90">
        <v>1373.6</v>
      </c>
      <c r="Q5266" s="12"/>
      <c r="S5266" s="90" t="s">
        <v>6442</v>
      </c>
      <c r="U5266" s="55" t="s">
        <v>1935</v>
      </c>
      <c r="V5266" s="55" t="s">
        <v>1935</v>
      </c>
      <c r="Y5266" s="55" t="s">
        <v>6448</v>
      </c>
      <c r="AJ5266" s="55" t="s">
        <v>6439</v>
      </c>
      <c r="AL5266" s="90"/>
      <c r="AM5266" s="55" t="s">
        <v>6440</v>
      </c>
      <c r="AO5266" s="185" t="s">
        <v>7494</v>
      </c>
      <c r="AR5266" s="55" t="s">
        <v>496</v>
      </c>
      <c r="AU5266" s="181" t="s">
        <v>7494</v>
      </c>
      <c r="AV5266" s="185" t="s">
        <v>176</v>
      </c>
      <c r="AX5266" s="185" t="s">
        <v>176</v>
      </c>
      <c r="BK5266" s="55" t="s">
        <v>2082</v>
      </c>
      <c r="BM5266" s="192" t="s">
        <v>6441</v>
      </c>
      <c r="BN5266" s="55" t="s">
        <v>1688</v>
      </c>
      <c r="BO5266" s="55" t="s">
        <v>1688</v>
      </c>
      <c r="BP5266" s="55" t="s">
        <v>1682</v>
      </c>
      <c r="FJ5266" s="65">
        <v>0.21</v>
      </c>
      <c r="FK5266" s="65">
        <v>0.2</v>
      </c>
      <c r="FN5266" s="65" t="s">
        <v>206</v>
      </c>
      <c r="FO5266" s="65">
        <v>5.28</v>
      </c>
      <c r="FP5266" s="65">
        <v>5.0199999999999996</v>
      </c>
      <c r="FS5266" s="65" t="s">
        <v>6376</v>
      </c>
      <c r="GP5266" s="292" t="s">
        <v>7494</v>
      </c>
    </row>
    <row r="5267" spans="1:198" x14ac:dyDescent="0.25">
      <c r="A5267" s="55">
        <v>5266</v>
      </c>
      <c r="B5267" s="12" t="s">
        <v>7067</v>
      </c>
      <c r="C5267" s="155" t="s">
        <v>6427</v>
      </c>
      <c r="E5267" s="90" t="s">
        <v>6435</v>
      </c>
      <c r="G5267" s="55" t="s">
        <v>6436</v>
      </c>
      <c r="H5267" s="55" t="s">
        <v>5864</v>
      </c>
      <c r="I5267" s="55">
        <v>2006</v>
      </c>
      <c r="J5267" s="55" t="s">
        <v>6437</v>
      </c>
      <c r="K5267" s="55" t="s">
        <v>6438</v>
      </c>
      <c r="L5267" s="55" t="s">
        <v>3377</v>
      </c>
      <c r="M5267" s="90">
        <f>39+57/60</f>
        <v>39.950000000000003</v>
      </c>
      <c r="N5267" s="90">
        <f>111+39/60</f>
        <v>111.65</v>
      </c>
      <c r="O5267" s="90">
        <v>1373.6</v>
      </c>
      <c r="Q5267" s="12"/>
      <c r="S5267" s="90" t="s">
        <v>6442</v>
      </c>
      <c r="U5267" s="55" t="s">
        <v>1935</v>
      </c>
      <c r="V5267" s="55" t="s">
        <v>1935</v>
      </c>
      <c r="Y5267" s="55" t="s">
        <v>6449</v>
      </c>
      <c r="AJ5267" s="55" t="s">
        <v>6439</v>
      </c>
      <c r="AL5267" s="90"/>
      <c r="AM5267" s="55" t="s">
        <v>6440</v>
      </c>
      <c r="AO5267" s="185" t="s">
        <v>7494</v>
      </c>
      <c r="AR5267" s="55" t="s">
        <v>496</v>
      </c>
      <c r="AU5267" s="181" t="s">
        <v>7494</v>
      </c>
      <c r="AV5267" s="185" t="s">
        <v>176</v>
      </c>
      <c r="AX5267" s="185" t="s">
        <v>176</v>
      </c>
      <c r="BK5267" s="55" t="s">
        <v>2082</v>
      </c>
      <c r="BM5267" s="192" t="s">
        <v>6441</v>
      </c>
      <c r="BN5267" s="55" t="s">
        <v>1688</v>
      </c>
      <c r="BO5267" s="55" t="s">
        <v>1688</v>
      </c>
      <c r="BP5267" s="55" t="s">
        <v>1682</v>
      </c>
      <c r="FJ5267" s="65">
        <v>4.1399999999999999E-2</v>
      </c>
      <c r="FK5267" s="65">
        <v>2.75E-2</v>
      </c>
      <c r="FN5267" s="65" t="s">
        <v>206</v>
      </c>
      <c r="FO5267" s="65">
        <v>0.35</v>
      </c>
      <c r="FP5267" s="65">
        <v>0.25</v>
      </c>
      <c r="FS5267" s="65" t="s">
        <v>6376</v>
      </c>
      <c r="GP5267" s="292" t="s">
        <v>7494</v>
      </c>
    </row>
    <row r="5268" spans="1:198" x14ac:dyDescent="0.25">
      <c r="A5268" s="55">
        <v>5267</v>
      </c>
      <c r="B5268" s="12" t="s">
        <v>7067</v>
      </c>
      <c r="C5268" s="155" t="s">
        <v>6427</v>
      </c>
      <c r="E5268" s="90" t="s">
        <v>6435</v>
      </c>
      <c r="G5268" s="55" t="s">
        <v>6436</v>
      </c>
      <c r="H5268" s="55" t="s">
        <v>5864</v>
      </c>
      <c r="I5268" s="55">
        <v>2006</v>
      </c>
      <c r="J5268" s="55" t="s">
        <v>6437</v>
      </c>
      <c r="K5268" s="55" t="s">
        <v>6438</v>
      </c>
      <c r="L5268" s="55" t="s">
        <v>3377</v>
      </c>
      <c r="M5268" s="90">
        <f>39+57/60</f>
        <v>39.950000000000003</v>
      </c>
      <c r="N5268" s="90">
        <f>111+39/60</f>
        <v>111.65</v>
      </c>
      <c r="O5268" s="90">
        <v>1373.6</v>
      </c>
      <c r="Q5268" s="12"/>
      <c r="S5268" s="90" t="s">
        <v>6442</v>
      </c>
      <c r="U5268" s="55" t="s">
        <v>1935</v>
      </c>
      <c r="V5268" s="55" t="s">
        <v>1935</v>
      </c>
      <c r="Y5268" s="55" t="s">
        <v>6450</v>
      </c>
      <c r="AJ5268" s="55" t="s">
        <v>6439</v>
      </c>
      <c r="AL5268" s="90"/>
      <c r="AM5268" s="55" t="s">
        <v>6440</v>
      </c>
      <c r="AO5268" s="185" t="s">
        <v>7494</v>
      </c>
      <c r="AR5268" s="55" t="s">
        <v>496</v>
      </c>
      <c r="AU5268" s="181" t="s">
        <v>7494</v>
      </c>
      <c r="AV5268" s="185" t="s">
        <v>176</v>
      </c>
      <c r="AX5268" s="185" t="s">
        <v>176</v>
      </c>
      <c r="BK5268" s="55" t="s">
        <v>2082</v>
      </c>
      <c r="BM5268" s="192" t="s">
        <v>6441</v>
      </c>
      <c r="BN5268" s="55" t="s">
        <v>1688</v>
      </c>
      <c r="BO5268" s="55" t="s">
        <v>1688</v>
      </c>
      <c r="BP5268" s="55" t="s">
        <v>1682</v>
      </c>
      <c r="FJ5268" s="65">
        <v>5.9700000000000003E-2</v>
      </c>
      <c r="FK5268" s="65">
        <v>5.1799999999999999E-2</v>
      </c>
      <c r="FN5268" s="65" t="s">
        <v>206</v>
      </c>
      <c r="FO5268" s="65">
        <v>1.97</v>
      </c>
      <c r="FP5268" s="65">
        <v>1.81</v>
      </c>
      <c r="FS5268" s="65" t="s">
        <v>6376</v>
      </c>
      <c r="GP5268" s="292" t="s">
        <v>7494</v>
      </c>
    </row>
    <row r="5269" spans="1:198" x14ac:dyDescent="0.25">
      <c r="A5269" s="55">
        <v>5268</v>
      </c>
      <c r="B5269" s="12" t="s">
        <v>7067</v>
      </c>
      <c r="C5269" s="155" t="s">
        <v>6427</v>
      </c>
      <c r="E5269" s="90" t="s">
        <v>6435</v>
      </c>
      <c r="G5269" s="55" t="s">
        <v>6436</v>
      </c>
      <c r="H5269" s="55" t="s">
        <v>5864</v>
      </c>
      <c r="I5269" s="55">
        <v>2006</v>
      </c>
      <c r="J5269" s="55" t="s">
        <v>6437</v>
      </c>
      <c r="K5269" s="55" t="s">
        <v>6438</v>
      </c>
      <c r="L5269" s="55" t="s">
        <v>3377</v>
      </c>
      <c r="M5269" s="90">
        <f>39+57/60</f>
        <v>39.950000000000003</v>
      </c>
      <c r="N5269" s="90">
        <f>111+39/60</f>
        <v>111.65</v>
      </c>
      <c r="O5269" s="90">
        <v>1373.6</v>
      </c>
      <c r="Q5269" s="12"/>
      <c r="S5269" s="90" t="s">
        <v>6442</v>
      </c>
      <c r="U5269" s="55" t="s">
        <v>1935</v>
      </c>
      <c r="V5269" s="55" t="s">
        <v>1935</v>
      </c>
      <c r="Y5269" s="55" t="s">
        <v>6451</v>
      </c>
      <c r="AJ5269" s="55" t="s">
        <v>6439</v>
      </c>
      <c r="AL5269" s="90"/>
      <c r="AM5269" s="55" t="s">
        <v>6440</v>
      </c>
      <c r="AO5269" s="185" t="s">
        <v>7494</v>
      </c>
      <c r="AR5269" s="55" t="s">
        <v>496</v>
      </c>
      <c r="AU5269" s="181" t="s">
        <v>7494</v>
      </c>
      <c r="AV5269" s="185" t="s">
        <v>176</v>
      </c>
      <c r="AX5269" s="185" t="s">
        <v>176</v>
      </c>
      <c r="BK5269" s="55" t="s">
        <v>2082</v>
      </c>
      <c r="BM5269" s="192" t="s">
        <v>6441</v>
      </c>
      <c r="BN5269" s="55" t="s">
        <v>1688</v>
      </c>
      <c r="BO5269" s="55" t="s">
        <v>1688</v>
      </c>
      <c r="BP5269" s="55" t="s">
        <v>1682</v>
      </c>
      <c r="FJ5269" s="65">
        <v>9.7199999999999995E-2</v>
      </c>
      <c r="FK5269" s="65">
        <v>6.4100000000000004E-2</v>
      </c>
      <c r="FN5269" s="65" t="s">
        <v>206</v>
      </c>
      <c r="FO5269" s="65">
        <v>2.98</v>
      </c>
      <c r="FP5269" s="65">
        <v>2.89</v>
      </c>
      <c r="FS5269" s="65" t="s">
        <v>6376</v>
      </c>
      <c r="GP5269" s="292" t="s">
        <v>7494</v>
      </c>
    </row>
    <row r="5270" spans="1:198" x14ac:dyDescent="0.25">
      <c r="A5270" s="55">
        <v>5269</v>
      </c>
      <c r="B5270" s="12" t="s">
        <v>7067</v>
      </c>
      <c r="C5270" s="155" t="s">
        <v>6427</v>
      </c>
      <c r="E5270" s="90" t="s">
        <v>6435</v>
      </c>
      <c r="G5270" s="55" t="s">
        <v>6436</v>
      </c>
      <c r="H5270" s="55" t="s">
        <v>5864</v>
      </c>
      <c r="I5270" s="55">
        <v>2006</v>
      </c>
      <c r="J5270" s="55" t="s">
        <v>6437</v>
      </c>
      <c r="K5270" s="55" t="s">
        <v>6438</v>
      </c>
      <c r="L5270" s="55" t="s">
        <v>3377</v>
      </c>
      <c r="M5270" s="90">
        <f>39+57/60</f>
        <v>39.950000000000003</v>
      </c>
      <c r="N5270" s="90">
        <f>111+39/60</f>
        <v>111.65</v>
      </c>
      <c r="O5270" s="90">
        <v>1373.6</v>
      </c>
      <c r="Q5270" s="12"/>
      <c r="S5270" s="90" t="s">
        <v>6442</v>
      </c>
      <c r="U5270" s="55" t="s">
        <v>1935</v>
      </c>
      <c r="V5270" s="55" t="s">
        <v>1935</v>
      </c>
      <c r="Y5270" s="55" t="s">
        <v>6444</v>
      </c>
      <c r="AA5270" s="55"/>
      <c r="AD5270" s="55"/>
      <c r="AH5270" s="90"/>
      <c r="AJ5270" s="55" t="s">
        <v>6439</v>
      </c>
      <c r="AL5270" s="90"/>
      <c r="AM5270" s="55" t="s">
        <v>6440</v>
      </c>
      <c r="AO5270" s="185" t="s">
        <v>7494</v>
      </c>
      <c r="AR5270" s="55" t="s">
        <v>496</v>
      </c>
      <c r="AU5270" s="181" t="s">
        <v>7494</v>
      </c>
      <c r="AV5270" s="185" t="s">
        <v>176</v>
      </c>
      <c r="AX5270" s="185" t="s">
        <v>176</v>
      </c>
      <c r="BK5270" s="55" t="s">
        <v>6452</v>
      </c>
      <c r="BM5270" s="192" t="s">
        <v>6441</v>
      </c>
      <c r="BN5270" s="55" t="s">
        <v>1688</v>
      </c>
      <c r="BO5270" s="55" t="s">
        <v>1688</v>
      </c>
      <c r="BP5270" s="55" t="s">
        <v>1682</v>
      </c>
      <c r="FJ5270" s="65">
        <v>2.1999999999999999E-2</v>
      </c>
      <c r="FK5270" s="65">
        <v>2.1999999999999999E-2</v>
      </c>
      <c r="FN5270" s="65" t="s">
        <v>206</v>
      </c>
      <c r="FO5270" s="65">
        <v>0.41</v>
      </c>
      <c r="FP5270" s="65">
        <v>0.32</v>
      </c>
      <c r="FS5270" s="65" t="s">
        <v>6376</v>
      </c>
      <c r="GP5270" s="292" t="s">
        <v>7494</v>
      </c>
    </row>
    <row r="5271" spans="1:198" x14ac:dyDescent="0.25">
      <c r="A5271" s="55">
        <v>5270</v>
      </c>
      <c r="B5271" s="12" t="s">
        <v>7067</v>
      </c>
      <c r="C5271" s="155" t="s">
        <v>6427</v>
      </c>
      <c r="E5271" s="90" t="s">
        <v>6435</v>
      </c>
      <c r="G5271" s="55" t="s">
        <v>6436</v>
      </c>
      <c r="H5271" s="55" t="s">
        <v>5864</v>
      </c>
      <c r="I5271" s="55">
        <v>2006</v>
      </c>
      <c r="J5271" s="55" t="s">
        <v>6437</v>
      </c>
      <c r="K5271" s="55" t="s">
        <v>6438</v>
      </c>
      <c r="L5271" s="55" t="s">
        <v>3377</v>
      </c>
      <c r="M5271" s="90">
        <f>39+57/60</f>
        <v>39.950000000000003</v>
      </c>
      <c r="N5271" s="90">
        <f>111+39/60</f>
        <v>111.65</v>
      </c>
      <c r="O5271" s="90">
        <v>1373.6</v>
      </c>
      <c r="Q5271" s="12"/>
      <c r="S5271" s="90" t="s">
        <v>6442</v>
      </c>
      <c r="U5271" s="55" t="s">
        <v>1935</v>
      </c>
      <c r="V5271" s="55" t="s">
        <v>1935</v>
      </c>
      <c r="Y5271" s="55" t="s">
        <v>6445</v>
      </c>
      <c r="AJ5271" s="55" t="s">
        <v>6439</v>
      </c>
      <c r="AL5271" s="90"/>
      <c r="AM5271" s="55" t="s">
        <v>6440</v>
      </c>
      <c r="AO5271" s="185" t="s">
        <v>7494</v>
      </c>
      <c r="AR5271" s="55" t="s">
        <v>496</v>
      </c>
      <c r="AU5271" s="181" t="s">
        <v>7494</v>
      </c>
      <c r="AV5271" s="185" t="s">
        <v>176</v>
      </c>
      <c r="AX5271" s="185" t="s">
        <v>176</v>
      </c>
      <c r="BK5271" s="55" t="s">
        <v>6452</v>
      </c>
      <c r="BM5271" s="192" t="s">
        <v>6441</v>
      </c>
      <c r="BN5271" s="55" t="s">
        <v>1688</v>
      </c>
      <c r="BO5271" s="55" t="s">
        <v>1688</v>
      </c>
      <c r="BP5271" s="55" t="s">
        <v>1682</v>
      </c>
      <c r="FJ5271" s="65">
        <v>3.7699999999999997E-2</v>
      </c>
      <c r="FK5271" s="65">
        <v>1.5900000000000001E-2</v>
      </c>
      <c r="FN5271" s="65" t="s">
        <v>206</v>
      </c>
      <c r="FO5271" s="65">
        <v>0.27</v>
      </c>
      <c r="FP5271" s="65">
        <v>0.2</v>
      </c>
      <c r="FS5271" s="65" t="s">
        <v>6376</v>
      </c>
      <c r="GP5271" s="292" t="s">
        <v>7494</v>
      </c>
    </row>
    <row r="5272" spans="1:198" x14ac:dyDescent="0.25">
      <c r="A5272" s="55">
        <v>5271</v>
      </c>
      <c r="B5272" s="12" t="s">
        <v>7067</v>
      </c>
      <c r="C5272" s="155" t="s">
        <v>6427</v>
      </c>
      <c r="E5272" s="90" t="s">
        <v>6435</v>
      </c>
      <c r="G5272" s="55" t="s">
        <v>6436</v>
      </c>
      <c r="H5272" s="55" t="s">
        <v>5864</v>
      </c>
      <c r="I5272" s="55">
        <v>2006</v>
      </c>
      <c r="J5272" s="55" t="s">
        <v>6437</v>
      </c>
      <c r="K5272" s="55" t="s">
        <v>6438</v>
      </c>
      <c r="L5272" s="55" t="s">
        <v>3377</v>
      </c>
      <c r="M5272" s="90">
        <f>39+57/60</f>
        <v>39.950000000000003</v>
      </c>
      <c r="N5272" s="90">
        <f>111+39/60</f>
        <v>111.65</v>
      </c>
      <c r="O5272" s="90">
        <v>1373.6</v>
      </c>
      <c r="Q5272" s="12"/>
      <c r="S5272" s="90" t="s">
        <v>6442</v>
      </c>
      <c r="U5272" s="55" t="s">
        <v>1935</v>
      </c>
      <c r="V5272" s="55" t="s">
        <v>1935</v>
      </c>
      <c r="Y5272" s="55" t="s">
        <v>6446</v>
      </c>
      <c r="AJ5272" s="55" t="s">
        <v>6439</v>
      </c>
      <c r="AL5272" s="90"/>
      <c r="AM5272" s="55" t="s">
        <v>6440</v>
      </c>
      <c r="AO5272" s="185" t="s">
        <v>7494</v>
      </c>
      <c r="AR5272" s="55" t="s">
        <v>496</v>
      </c>
      <c r="AU5272" s="181" t="s">
        <v>7494</v>
      </c>
      <c r="AV5272" s="185" t="s">
        <v>176</v>
      </c>
      <c r="AX5272" s="185" t="s">
        <v>176</v>
      </c>
      <c r="BK5272" s="55" t="s">
        <v>6452</v>
      </c>
      <c r="BM5272" s="192" t="s">
        <v>6441</v>
      </c>
      <c r="BN5272" s="55" t="s">
        <v>1688</v>
      </c>
      <c r="BO5272" s="55" t="s">
        <v>1688</v>
      </c>
      <c r="BP5272" s="55" t="s">
        <v>1682</v>
      </c>
      <c r="FJ5272" s="65">
        <v>2.23E-2</v>
      </c>
      <c r="FK5272" s="65">
        <v>4.4099999999999999E-3</v>
      </c>
      <c r="FN5272" s="65" t="s">
        <v>206</v>
      </c>
      <c r="FO5272" s="65">
        <v>0.27</v>
      </c>
      <c r="FP5272" s="65">
        <v>0.2</v>
      </c>
      <c r="FS5272" s="65" t="s">
        <v>6376</v>
      </c>
      <c r="GP5272" s="292" t="s">
        <v>7494</v>
      </c>
    </row>
    <row r="5273" spans="1:198" x14ac:dyDescent="0.25">
      <c r="A5273" s="55">
        <v>5272</v>
      </c>
      <c r="B5273" s="12" t="s">
        <v>7067</v>
      </c>
      <c r="C5273" s="155" t="s">
        <v>6427</v>
      </c>
      <c r="E5273" s="90" t="s">
        <v>6435</v>
      </c>
      <c r="G5273" s="55" t="s">
        <v>6436</v>
      </c>
      <c r="H5273" s="55" t="s">
        <v>5864</v>
      </c>
      <c r="I5273" s="55">
        <v>2006</v>
      </c>
      <c r="J5273" s="55" t="s">
        <v>6437</v>
      </c>
      <c r="K5273" s="55" t="s">
        <v>6438</v>
      </c>
      <c r="L5273" s="55" t="s">
        <v>3377</v>
      </c>
      <c r="M5273" s="90">
        <f>39+57/60</f>
        <v>39.950000000000003</v>
      </c>
      <c r="N5273" s="90">
        <f>111+39/60</f>
        <v>111.65</v>
      </c>
      <c r="O5273" s="90">
        <v>1373.6</v>
      </c>
      <c r="Q5273" s="12"/>
      <c r="S5273" s="90" t="s">
        <v>6442</v>
      </c>
      <c r="U5273" s="55" t="s">
        <v>1935</v>
      </c>
      <c r="V5273" s="55" t="s">
        <v>1935</v>
      </c>
      <c r="Y5273" s="55" t="s">
        <v>6447</v>
      </c>
      <c r="AJ5273" s="55" t="s">
        <v>6439</v>
      </c>
      <c r="AL5273" s="90"/>
      <c r="AM5273" s="55" t="s">
        <v>6440</v>
      </c>
      <c r="AO5273" s="185" t="s">
        <v>7494</v>
      </c>
      <c r="AR5273" s="55" t="s">
        <v>496</v>
      </c>
      <c r="AU5273" s="181" t="s">
        <v>7494</v>
      </c>
      <c r="AV5273" s="185" t="s">
        <v>176</v>
      </c>
      <c r="AX5273" s="185" t="s">
        <v>176</v>
      </c>
      <c r="BK5273" s="55" t="s">
        <v>6452</v>
      </c>
      <c r="BM5273" s="192" t="s">
        <v>6441</v>
      </c>
      <c r="BN5273" s="55" t="s">
        <v>1688</v>
      </c>
      <c r="BO5273" s="55" t="s">
        <v>1688</v>
      </c>
      <c r="BP5273" s="55" t="s">
        <v>1682</v>
      </c>
      <c r="FJ5273" s="65">
        <v>0.11</v>
      </c>
      <c r="FK5273" s="65">
        <v>9.2799999999999994E-2</v>
      </c>
      <c r="FN5273" s="65" t="s">
        <v>206</v>
      </c>
      <c r="FO5273" s="65">
        <v>3.12</v>
      </c>
      <c r="FP5273" s="65">
        <v>2.83</v>
      </c>
      <c r="FS5273" s="65" t="s">
        <v>6376</v>
      </c>
      <c r="GP5273" s="292" t="s">
        <v>7494</v>
      </c>
    </row>
    <row r="5274" spans="1:198" x14ac:dyDescent="0.25">
      <c r="A5274" s="55">
        <v>5273</v>
      </c>
      <c r="B5274" s="12" t="s">
        <v>7067</v>
      </c>
      <c r="C5274" s="155" t="s">
        <v>6427</v>
      </c>
      <c r="E5274" s="90" t="s">
        <v>6435</v>
      </c>
      <c r="G5274" s="55" t="s">
        <v>6436</v>
      </c>
      <c r="H5274" s="55" t="s">
        <v>5864</v>
      </c>
      <c r="I5274" s="55">
        <v>2006</v>
      </c>
      <c r="J5274" s="55" t="s">
        <v>6437</v>
      </c>
      <c r="K5274" s="55" t="s">
        <v>6438</v>
      </c>
      <c r="L5274" s="55" t="s">
        <v>3377</v>
      </c>
      <c r="M5274" s="90">
        <f>39+57/60</f>
        <v>39.950000000000003</v>
      </c>
      <c r="N5274" s="90">
        <f>111+39/60</f>
        <v>111.65</v>
      </c>
      <c r="O5274" s="90">
        <v>1373.6</v>
      </c>
      <c r="Q5274" s="12"/>
      <c r="S5274" s="90" t="s">
        <v>6442</v>
      </c>
      <c r="U5274" s="55" t="s">
        <v>1935</v>
      </c>
      <c r="V5274" s="55" t="s">
        <v>1935</v>
      </c>
      <c r="Y5274" s="55" t="s">
        <v>6448</v>
      </c>
      <c r="AJ5274" s="55" t="s">
        <v>6439</v>
      </c>
      <c r="AL5274" s="90"/>
      <c r="AM5274" s="55" t="s">
        <v>6440</v>
      </c>
      <c r="AO5274" s="185" t="s">
        <v>7494</v>
      </c>
      <c r="AR5274" s="55" t="s">
        <v>496</v>
      </c>
      <c r="AU5274" s="181" t="s">
        <v>7494</v>
      </c>
      <c r="AV5274" s="185" t="s">
        <v>176</v>
      </c>
      <c r="AX5274" s="185" t="s">
        <v>176</v>
      </c>
      <c r="BK5274" s="55" t="s">
        <v>6452</v>
      </c>
      <c r="BM5274" s="192" t="s">
        <v>6441</v>
      </c>
      <c r="BN5274" s="55" t="s">
        <v>1688</v>
      </c>
      <c r="BO5274" s="55" t="s">
        <v>1688</v>
      </c>
      <c r="BP5274" s="55" t="s">
        <v>1682</v>
      </c>
      <c r="FJ5274" s="65">
        <v>0.21</v>
      </c>
      <c r="FK5274" s="65">
        <v>0.16</v>
      </c>
      <c r="FN5274" s="65" t="s">
        <v>206</v>
      </c>
      <c r="FO5274" s="65">
        <v>5.28</v>
      </c>
      <c r="FP5274" s="65">
        <v>4.01</v>
      </c>
      <c r="FS5274" s="65" t="s">
        <v>6376</v>
      </c>
      <c r="GP5274" s="292" t="s">
        <v>7494</v>
      </c>
    </row>
    <row r="5275" spans="1:198" x14ac:dyDescent="0.25">
      <c r="A5275" s="55">
        <v>5274</v>
      </c>
      <c r="B5275" s="12" t="s">
        <v>7067</v>
      </c>
      <c r="C5275" s="155" t="s">
        <v>6427</v>
      </c>
      <c r="E5275" s="90" t="s">
        <v>6435</v>
      </c>
      <c r="G5275" s="55" t="s">
        <v>6436</v>
      </c>
      <c r="H5275" s="55" t="s">
        <v>5864</v>
      </c>
      <c r="I5275" s="55">
        <v>2006</v>
      </c>
      <c r="J5275" s="55" t="s">
        <v>6437</v>
      </c>
      <c r="K5275" s="55" t="s">
        <v>6438</v>
      </c>
      <c r="L5275" s="55" t="s">
        <v>3377</v>
      </c>
      <c r="M5275" s="90">
        <f>39+57/60</f>
        <v>39.950000000000003</v>
      </c>
      <c r="N5275" s="90">
        <f>111+39/60</f>
        <v>111.65</v>
      </c>
      <c r="O5275" s="90">
        <v>1373.6</v>
      </c>
      <c r="Q5275" s="12"/>
      <c r="S5275" s="90" t="s">
        <v>6442</v>
      </c>
      <c r="U5275" s="55" t="s">
        <v>1935</v>
      </c>
      <c r="V5275" s="55" t="s">
        <v>1935</v>
      </c>
      <c r="Y5275" s="55" t="s">
        <v>6449</v>
      </c>
      <c r="AJ5275" s="55" t="s">
        <v>6439</v>
      </c>
      <c r="AL5275" s="90"/>
      <c r="AM5275" s="55" t="s">
        <v>6440</v>
      </c>
      <c r="AO5275" s="185" t="s">
        <v>7494</v>
      </c>
      <c r="AR5275" s="55" t="s">
        <v>496</v>
      </c>
      <c r="AU5275" s="181" t="s">
        <v>7494</v>
      </c>
      <c r="AV5275" s="185" t="s">
        <v>176</v>
      </c>
      <c r="AX5275" s="185" t="s">
        <v>176</v>
      </c>
      <c r="BK5275" s="55" t="s">
        <v>6452</v>
      </c>
      <c r="BM5275" s="192" t="s">
        <v>6441</v>
      </c>
      <c r="BN5275" s="55" t="s">
        <v>1688</v>
      </c>
      <c r="BO5275" s="55" t="s">
        <v>1688</v>
      </c>
      <c r="BP5275" s="55" t="s">
        <v>1682</v>
      </c>
      <c r="FJ5275" s="65">
        <v>4.1399999999999999E-2</v>
      </c>
      <c r="FK5275" s="65">
        <v>1.6299999999999999E-2</v>
      </c>
      <c r="FN5275" s="65" t="s">
        <v>206</v>
      </c>
      <c r="FO5275" s="65">
        <v>0.35</v>
      </c>
      <c r="FP5275" s="65">
        <v>0.21</v>
      </c>
      <c r="FS5275" s="65" t="s">
        <v>6376</v>
      </c>
      <c r="GP5275" s="292" t="s">
        <v>7494</v>
      </c>
    </row>
    <row r="5276" spans="1:198" x14ac:dyDescent="0.25">
      <c r="A5276" s="55">
        <v>5275</v>
      </c>
      <c r="B5276" s="12" t="s">
        <v>7067</v>
      </c>
      <c r="C5276" s="155" t="s">
        <v>6427</v>
      </c>
      <c r="E5276" s="90" t="s">
        <v>6435</v>
      </c>
      <c r="G5276" s="55" t="s">
        <v>6436</v>
      </c>
      <c r="H5276" s="55" t="s">
        <v>5864</v>
      </c>
      <c r="I5276" s="55">
        <v>2006</v>
      </c>
      <c r="J5276" s="55" t="s">
        <v>6437</v>
      </c>
      <c r="K5276" s="55" t="s">
        <v>6438</v>
      </c>
      <c r="L5276" s="55" t="s">
        <v>3377</v>
      </c>
      <c r="M5276" s="90">
        <f>39+57/60</f>
        <v>39.950000000000003</v>
      </c>
      <c r="N5276" s="90">
        <f>111+39/60</f>
        <v>111.65</v>
      </c>
      <c r="O5276" s="90">
        <v>1373.6</v>
      </c>
      <c r="Q5276" s="12"/>
      <c r="S5276" s="90" t="s">
        <v>6442</v>
      </c>
      <c r="U5276" s="55" t="s">
        <v>1935</v>
      </c>
      <c r="V5276" s="55" t="s">
        <v>1935</v>
      </c>
      <c r="Y5276" s="55" t="s">
        <v>6450</v>
      </c>
      <c r="AJ5276" s="55" t="s">
        <v>6439</v>
      </c>
      <c r="AL5276" s="90"/>
      <c r="AM5276" s="55" t="s">
        <v>6440</v>
      </c>
      <c r="AO5276" s="185" t="s">
        <v>7494</v>
      </c>
      <c r="AR5276" s="55" t="s">
        <v>496</v>
      </c>
      <c r="AU5276" s="181" t="s">
        <v>7494</v>
      </c>
      <c r="AV5276" s="185" t="s">
        <v>176</v>
      </c>
      <c r="AX5276" s="185" t="s">
        <v>176</v>
      </c>
      <c r="BK5276" s="55" t="s">
        <v>6452</v>
      </c>
      <c r="BM5276" s="192" t="s">
        <v>6441</v>
      </c>
      <c r="BN5276" s="55" t="s">
        <v>1688</v>
      </c>
      <c r="BO5276" s="55" t="s">
        <v>1688</v>
      </c>
      <c r="BP5276" s="55" t="s">
        <v>1682</v>
      </c>
      <c r="FJ5276" s="65">
        <v>5.9700000000000003E-2</v>
      </c>
      <c r="FK5276" s="65">
        <v>4.0500000000000001E-2</v>
      </c>
      <c r="FN5276" s="65" t="s">
        <v>206</v>
      </c>
      <c r="FO5276" s="65">
        <v>1.97</v>
      </c>
      <c r="FP5276" s="65">
        <v>1.26</v>
      </c>
      <c r="FS5276" s="65" t="s">
        <v>6376</v>
      </c>
      <c r="GP5276" s="292" t="s">
        <v>7494</v>
      </c>
    </row>
    <row r="5277" spans="1:198" x14ac:dyDescent="0.25">
      <c r="A5277" s="55">
        <v>5276</v>
      </c>
      <c r="B5277" s="12" t="s">
        <v>7067</v>
      </c>
      <c r="C5277" s="155" t="s">
        <v>6427</v>
      </c>
      <c r="E5277" s="90" t="s">
        <v>6435</v>
      </c>
      <c r="G5277" s="55" t="s">
        <v>6436</v>
      </c>
      <c r="H5277" s="55" t="s">
        <v>5864</v>
      </c>
      <c r="I5277" s="55">
        <v>2006</v>
      </c>
      <c r="J5277" s="55" t="s">
        <v>6437</v>
      </c>
      <c r="K5277" s="55" t="s">
        <v>6438</v>
      </c>
      <c r="L5277" s="55" t="s">
        <v>3377</v>
      </c>
      <c r="M5277" s="90">
        <f>39+57/60</f>
        <v>39.950000000000003</v>
      </c>
      <c r="N5277" s="90">
        <f>111+39/60</f>
        <v>111.65</v>
      </c>
      <c r="O5277" s="90">
        <v>1373.6</v>
      </c>
      <c r="Q5277" s="12"/>
      <c r="S5277" s="90" t="s">
        <v>6442</v>
      </c>
      <c r="U5277" s="55" t="s">
        <v>1935</v>
      </c>
      <c r="V5277" s="55" t="s">
        <v>1935</v>
      </c>
      <c r="Y5277" s="55" t="s">
        <v>6451</v>
      </c>
      <c r="AJ5277" s="55" t="s">
        <v>6439</v>
      </c>
      <c r="AL5277" s="90"/>
      <c r="AM5277" s="55" t="s">
        <v>6440</v>
      </c>
      <c r="AO5277" s="185" t="s">
        <v>7494</v>
      </c>
      <c r="AR5277" s="55" t="s">
        <v>496</v>
      </c>
      <c r="AU5277" s="181" t="s">
        <v>7494</v>
      </c>
      <c r="AV5277" s="185" t="s">
        <v>176</v>
      </c>
      <c r="AX5277" s="185" t="s">
        <v>176</v>
      </c>
      <c r="BK5277" s="55" t="s">
        <v>6452</v>
      </c>
      <c r="BM5277" s="192" t="s">
        <v>6441</v>
      </c>
      <c r="BN5277" s="55" t="s">
        <v>1688</v>
      </c>
      <c r="BO5277" s="55" t="s">
        <v>1688</v>
      </c>
      <c r="BP5277" s="55" t="s">
        <v>1682</v>
      </c>
      <c r="FJ5277" s="65">
        <v>9.7199999999999995E-2</v>
      </c>
      <c r="FK5277" s="65">
        <v>5.5500000000000001E-2</v>
      </c>
      <c r="FN5277" s="65" t="s">
        <v>206</v>
      </c>
      <c r="FO5277" s="65">
        <v>2.98</v>
      </c>
      <c r="FP5277" s="65">
        <v>1.92</v>
      </c>
      <c r="FS5277" s="65" t="s">
        <v>6376</v>
      </c>
      <c r="GP5277" s="292" t="s">
        <v>7494</v>
      </c>
    </row>
    <row r="5278" spans="1:198" x14ac:dyDescent="0.25">
      <c r="A5278" s="55">
        <v>5277</v>
      </c>
      <c r="B5278" s="12" t="s">
        <v>7067</v>
      </c>
      <c r="C5278" s="155" t="s">
        <v>6427</v>
      </c>
      <c r="E5278" s="90" t="s">
        <v>6435</v>
      </c>
      <c r="G5278" s="55" t="s">
        <v>6436</v>
      </c>
      <c r="H5278" s="55" t="s">
        <v>5864</v>
      </c>
      <c r="I5278" s="55" t="s">
        <v>5564</v>
      </c>
      <c r="J5278" s="55" t="s">
        <v>6437</v>
      </c>
      <c r="K5278" s="55" t="s">
        <v>6438</v>
      </c>
      <c r="L5278" s="55" t="s">
        <v>3377</v>
      </c>
      <c r="M5278" s="90">
        <f>39+57/60</f>
        <v>39.950000000000003</v>
      </c>
      <c r="N5278" s="90">
        <f>111+39/60</f>
        <v>111.65</v>
      </c>
      <c r="O5278" s="90">
        <v>1373.6</v>
      </c>
      <c r="Q5278" s="12"/>
      <c r="S5278" s="90" t="s">
        <v>6442</v>
      </c>
      <c r="U5278" s="55" t="s">
        <v>1935</v>
      </c>
      <c r="V5278" s="55" t="s">
        <v>1935</v>
      </c>
      <c r="Y5278" s="55" t="s">
        <v>6444</v>
      </c>
      <c r="AA5278" s="55"/>
      <c r="AD5278" s="55"/>
      <c r="AH5278" s="90"/>
      <c r="AJ5278" s="55" t="s">
        <v>6439</v>
      </c>
      <c r="AL5278" s="90"/>
      <c r="AM5278" s="55" t="s">
        <v>6440</v>
      </c>
      <c r="AO5278" s="185" t="s">
        <v>7494</v>
      </c>
      <c r="AR5278" s="55" t="s">
        <v>6453</v>
      </c>
      <c r="AU5278" s="181" t="s">
        <v>7494</v>
      </c>
      <c r="AV5278" s="185" t="s">
        <v>176</v>
      </c>
      <c r="AX5278" s="185" t="s">
        <v>176</v>
      </c>
      <c r="BK5278" s="55" t="s">
        <v>2082</v>
      </c>
      <c r="BM5278" s="192" t="s">
        <v>6441</v>
      </c>
      <c r="BN5278" s="55" t="s">
        <v>1688</v>
      </c>
      <c r="BO5278" s="55" t="s">
        <v>1688</v>
      </c>
      <c r="BP5278" s="55" t="s">
        <v>1682</v>
      </c>
      <c r="FJ5278" s="65">
        <v>7.1199999999999999E-2</v>
      </c>
      <c r="FK5278" s="65">
        <v>4.7300000000000002E-2</v>
      </c>
      <c r="FN5278" s="65" t="s">
        <v>206</v>
      </c>
      <c r="FO5278" s="65">
        <v>0.56000000000000005</v>
      </c>
      <c r="FP5278" s="65">
        <v>0.44</v>
      </c>
      <c r="FS5278" s="65" t="s">
        <v>6376</v>
      </c>
      <c r="GP5278" s="292" t="s">
        <v>7494</v>
      </c>
    </row>
    <row r="5279" spans="1:198" x14ac:dyDescent="0.25">
      <c r="A5279" s="55">
        <v>5278</v>
      </c>
      <c r="B5279" s="12" t="s">
        <v>7067</v>
      </c>
      <c r="C5279" s="155" t="s">
        <v>6427</v>
      </c>
      <c r="E5279" s="90" t="s">
        <v>6435</v>
      </c>
      <c r="G5279" s="55" t="s">
        <v>6436</v>
      </c>
      <c r="H5279" s="55" t="s">
        <v>5864</v>
      </c>
      <c r="I5279" s="55" t="s">
        <v>5564</v>
      </c>
      <c r="J5279" s="55" t="s">
        <v>6437</v>
      </c>
      <c r="K5279" s="55" t="s">
        <v>6438</v>
      </c>
      <c r="L5279" s="55" t="s">
        <v>3377</v>
      </c>
      <c r="M5279" s="90">
        <f>39+57/60</f>
        <v>39.950000000000003</v>
      </c>
      <c r="N5279" s="90">
        <f>111+39/60</f>
        <v>111.65</v>
      </c>
      <c r="O5279" s="90">
        <v>1373.6</v>
      </c>
      <c r="Q5279" s="12"/>
      <c r="S5279" s="90" t="s">
        <v>6442</v>
      </c>
      <c r="U5279" s="55" t="s">
        <v>1935</v>
      </c>
      <c r="V5279" s="55" t="s">
        <v>1935</v>
      </c>
      <c r="Y5279" s="55" t="s">
        <v>6445</v>
      </c>
      <c r="AJ5279" s="55" t="s">
        <v>6439</v>
      </c>
      <c r="AL5279" s="90"/>
      <c r="AM5279" s="55" t="s">
        <v>6440</v>
      </c>
      <c r="AO5279" s="185" t="s">
        <v>7494</v>
      </c>
      <c r="AR5279" s="55" t="s">
        <v>6453</v>
      </c>
      <c r="AU5279" s="181" t="s">
        <v>7494</v>
      </c>
      <c r="AV5279" s="185" t="s">
        <v>176</v>
      </c>
      <c r="AX5279" s="185" t="s">
        <v>176</v>
      </c>
      <c r="BK5279" s="55" t="s">
        <v>2082</v>
      </c>
      <c r="BM5279" s="192" t="s">
        <v>6441</v>
      </c>
      <c r="BN5279" s="55" t="s">
        <v>1688</v>
      </c>
      <c r="BO5279" s="55" t="s">
        <v>1688</v>
      </c>
      <c r="BP5279" s="55" t="s">
        <v>1682</v>
      </c>
      <c r="FJ5279" s="65">
        <v>5.16E-2</v>
      </c>
      <c r="FK5279" s="65">
        <v>3.3000000000000002E-2</v>
      </c>
      <c r="FN5279" s="65" t="s">
        <v>206</v>
      </c>
      <c r="FO5279" s="65">
        <v>0.32</v>
      </c>
      <c r="FP5279" s="65">
        <v>0.22</v>
      </c>
      <c r="FS5279" s="65" t="s">
        <v>6376</v>
      </c>
      <c r="GP5279" s="292" t="s">
        <v>7494</v>
      </c>
    </row>
    <row r="5280" spans="1:198" x14ac:dyDescent="0.25">
      <c r="A5280" s="55">
        <v>5279</v>
      </c>
      <c r="B5280" s="12" t="s">
        <v>7067</v>
      </c>
      <c r="C5280" s="155" t="s">
        <v>6427</v>
      </c>
      <c r="E5280" s="90" t="s">
        <v>6435</v>
      </c>
      <c r="G5280" s="55" t="s">
        <v>6436</v>
      </c>
      <c r="H5280" s="55" t="s">
        <v>5864</v>
      </c>
      <c r="I5280" s="55" t="s">
        <v>5564</v>
      </c>
      <c r="J5280" s="55" t="s">
        <v>6437</v>
      </c>
      <c r="K5280" s="55" t="s">
        <v>6438</v>
      </c>
      <c r="L5280" s="55" t="s">
        <v>3377</v>
      </c>
      <c r="M5280" s="90">
        <f>39+57/60</f>
        <v>39.950000000000003</v>
      </c>
      <c r="N5280" s="90">
        <f>111+39/60</f>
        <v>111.65</v>
      </c>
      <c r="O5280" s="90">
        <v>1373.6</v>
      </c>
      <c r="Q5280" s="12"/>
      <c r="S5280" s="90" t="s">
        <v>6442</v>
      </c>
      <c r="U5280" s="55" t="s">
        <v>1935</v>
      </c>
      <c r="V5280" s="55" t="s">
        <v>1935</v>
      </c>
      <c r="Y5280" s="55" t="s">
        <v>6446</v>
      </c>
      <c r="AJ5280" s="55" t="s">
        <v>6439</v>
      </c>
      <c r="AL5280" s="90"/>
      <c r="AM5280" s="55" t="s">
        <v>6440</v>
      </c>
      <c r="AO5280" s="185" t="s">
        <v>7494</v>
      </c>
      <c r="AR5280" s="55" t="s">
        <v>6453</v>
      </c>
      <c r="AU5280" s="181" t="s">
        <v>7494</v>
      </c>
      <c r="AV5280" s="185" t="s">
        <v>176</v>
      </c>
      <c r="AX5280" s="185" t="s">
        <v>176</v>
      </c>
      <c r="BK5280" s="55" t="s">
        <v>2082</v>
      </c>
      <c r="BM5280" s="192" t="s">
        <v>6441</v>
      </c>
      <c r="BN5280" s="55" t="s">
        <v>1688</v>
      </c>
      <c r="BO5280" s="55" t="s">
        <v>1688</v>
      </c>
      <c r="BP5280" s="55" t="s">
        <v>1682</v>
      </c>
      <c r="FJ5280" s="65">
        <v>3.9E-2</v>
      </c>
      <c r="FK5280" s="65">
        <v>2.4799999999999999E-2</v>
      </c>
      <c r="FN5280" s="65" t="s">
        <v>206</v>
      </c>
      <c r="FO5280" s="65">
        <v>0.3</v>
      </c>
      <c r="FP5280" s="65">
        <v>0.22</v>
      </c>
      <c r="FS5280" s="65" t="s">
        <v>6376</v>
      </c>
      <c r="GP5280" s="292" t="s">
        <v>7494</v>
      </c>
    </row>
    <row r="5281" spans="1:198" x14ac:dyDescent="0.25">
      <c r="A5281" s="55">
        <v>5280</v>
      </c>
      <c r="B5281" s="12" t="s">
        <v>7067</v>
      </c>
      <c r="C5281" s="155" t="s">
        <v>6427</v>
      </c>
      <c r="E5281" s="90" t="s">
        <v>6435</v>
      </c>
      <c r="G5281" s="55" t="s">
        <v>6436</v>
      </c>
      <c r="H5281" s="55" t="s">
        <v>5864</v>
      </c>
      <c r="I5281" s="55" t="s">
        <v>5564</v>
      </c>
      <c r="J5281" s="55" t="s">
        <v>6437</v>
      </c>
      <c r="K5281" s="55" t="s">
        <v>6438</v>
      </c>
      <c r="L5281" s="55" t="s">
        <v>3377</v>
      </c>
      <c r="M5281" s="90">
        <f>39+57/60</f>
        <v>39.950000000000003</v>
      </c>
      <c r="N5281" s="90">
        <f>111+39/60</f>
        <v>111.65</v>
      </c>
      <c r="O5281" s="90">
        <v>1373.6</v>
      </c>
      <c r="Q5281" s="12"/>
      <c r="S5281" s="90" t="s">
        <v>6442</v>
      </c>
      <c r="U5281" s="55" t="s">
        <v>1935</v>
      </c>
      <c r="V5281" s="55" t="s">
        <v>1935</v>
      </c>
      <c r="Y5281" s="55" t="s">
        <v>6447</v>
      </c>
      <c r="AJ5281" s="55" t="s">
        <v>6439</v>
      </c>
      <c r="AL5281" s="90"/>
      <c r="AM5281" s="55" t="s">
        <v>6440</v>
      </c>
      <c r="AO5281" s="185" t="s">
        <v>7494</v>
      </c>
      <c r="AR5281" s="55" t="s">
        <v>6453</v>
      </c>
      <c r="AU5281" s="181" t="s">
        <v>7494</v>
      </c>
      <c r="AV5281" s="185" t="s">
        <v>176</v>
      </c>
      <c r="AX5281" s="185" t="s">
        <v>176</v>
      </c>
      <c r="BK5281" s="55" t="s">
        <v>2082</v>
      </c>
      <c r="BM5281" s="192" t="s">
        <v>6441</v>
      </c>
      <c r="BN5281" s="55" t="s">
        <v>1688</v>
      </c>
      <c r="BO5281" s="55" t="s">
        <v>1688</v>
      </c>
      <c r="BP5281" s="55" t="s">
        <v>1682</v>
      </c>
      <c r="FJ5281" s="65">
        <v>0.2</v>
      </c>
      <c r="FK5281" s="65">
        <v>0.17</v>
      </c>
      <c r="FN5281" s="65" t="s">
        <v>206</v>
      </c>
      <c r="FO5281" s="65">
        <v>3.66</v>
      </c>
      <c r="FP5281" s="65">
        <v>3.53</v>
      </c>
      <c r="FS5281" s="65" t="s">
        <v>6376</v>
      </c>
      <c r="GP5281" s="292" t="s">
        <v>7494</v>
      </c>
    </row>
    <row r="5282" spans="1:198" x14ac:dyDescent="0.25">
      <c r="A5282" s="55">
        <v>5281</v>
      </c>
      <c r="B5282" s="12" t="s">
        <v>7067</v>
      </c>
      <c r="C5282" s="155" t="s">
        <v>6427</v>
      </c>
      <c r="E5282" s="90" t="s">
        <v>6435</v>
      </c>
      <c r="G5282" s="55" t="s">
        <v>6436</v>
      </c>
      <c r="H5282" s="55" t="s">
        <v>5864</v>
      </c>
      <c r="I5282" s="55" t="s">
        <v>5564</v>
      </c>
      <c r="J5282" s="55" t="s">
        <v>6437</v>
      </c>
      <c r="K5282" s="55" t="s">
        <v>6438</v>
      </c>
      <c r="L5282" s="55" t="s">
        <v>3377</v>
      </c>
      <c r="M5282" s="90">
        <f>39+57/60</f>
        <v>39.950000000000003</v>
      </c>
      <c r="N5282" s="90">
        <f>111+39/60</f>
        <v>111.65</v>
      </c>
      <c r="O5282" s="90">
        <v>1373.6</v>
      </c>
      <c r="Q5282" s="12"/>
      <c r="S5282" s="90" t="s">
        <v>6442</v>
      </c>
      <c r="U5282" s="55" t="s">
        <v>1935</v>
      </c>
      <c r="V5282" s="55" t="s">
        <v>1935</v>
      </c>
      <c r="Y5282" s="55" t="s">
        <v>6448</v>
      </c>
      <c r="AJ5282" s="55" t="s">
        <v>6439</v>
      </c>
      <c r="AL5282" s="90"/>
      <c r="AM5282" s="55" t="s">
        <v>6440</v>
      </c>
      <c r="AO5282" s="185" t="s">
        <v>7494</v>
      </c>
      <c r="AR5282" s="55" t="s">
        <v>6453</v>
      </c>
      <c r="AU5282" s="181" t="s">
        <v>7494</v>
      </c>
      <c r="AV5282" s="185" t="s">
        <v>176</v>
      </c>
      <c r="AX5282" s="185" t="s">
        <v>176</v>
      </c>
      <c r="BK5282" s="55" t="s">
        <v>2082</v>
      </c>
      <c r="BM5282" s="192" t="s">
        <v>6441</v>
      </c>
      <c r="BN5282" s="55" t="s">
        <v>1688</v>
      </c>
      <c r="BO5282" s="55" t="s">
        <v>1688</v>
      </c>
      <c r="BP5282" s="55" t="s">
        <v>1682</v>
      </c>
      <c r="FJ5282" s="65">
        <v>0.26</v>
      </c>
      <c r="FK5282" s="65">
        <v>0.23</v>
      </c>
      <c r="FN5282" s="65" t="s">
        <v>206</v>
      </c>
      <c r="FO5282" s="65">
        <v>5.58</v>
      </c>
      <c r="FP5282" s="65">
        <v>5.49</v>
      </c>
      <c r="FS5282" s="65" t="s">
        <v>6376</v>
      </c>
      <c r="GP5282" s="292" t="s">
        <v>7494</v>
      </c>
    </row>
    <row r="5283" spans="1:198" x14ac:dyDescent="0.25">
      <c r="A5283" s="55">
        <v>5282</v>
      </c>
      <c r="B5283" s="12" t="s">
        <v>7067</v>
      </c>
      <c r="C5283" s="155" t="s">
        <v>6427</v>
      </c>
      <c r="E5283" s="90" t="s">
        <v>6435</v>
      </c>
      <c r="G5283" s="55" t="s">
        <v>6436</v>
      </c>
      <c r="H5283" s="55" t="s">
        <v>5864</v>
      </c>
      <c r="I5283" s="55" t="s">
        <v>5564</v>
      </c>
      <c r="J5283" s="55" t="s">
        <v>6437</v>
      </c>
      <c r="K5283" s="55" t="s">
        <v>6438</v>
      </c>
      <c r="L5283" s="55" t="s">
        <v>3377</v>
      </c>
      <c r="M5283" s="90">
        <f>39+57/60</f>
        <v>39.950000000000003</v>
      </c>
      <c r="N5283" s="90">
        <f>111+39/60</f>
        <v>111.65</v>
      </c>
      <c r="O5283" s="90">
        <v>1373.6</v>
      </c>
      <c r="Q5283" s="12"/>
      <c r="S5283" s="90" t="s">
        <v>6442</v>
      </c>
      <c r="U5283" s="55" t="s">
        <v>1935</v>
      </c>
      <c r="V5283" s="55" t="s">
        <v>1935</v>
      </c>
      <c r="Y5283" s="55" t="s">
        <v>6449</v>
      </c>
      <c r="AJ5283" s="55" t="s">
        <v>6439</v>
      </c>
      <c r="AL5283" s="90"/>
      <c r="AM5283" s="55" t="s">
        <v>6440</v>
      </c>
      <c r="AO5283" s="185" t="s">
        <v>7494</v>
      </c>
      <c r="AR5283" s="55" t="s">
        <v>6453</v>
      </c>
      <c r="AU5283" s="181" t="s">
        <v>7494</v>
      </c>
      <c r="AV5283" s="185" t="s">
        <v>176</v>
      </c>
      <c r="AX5283" s="185" t="s">
        <v>176</v>
      </c>
      <c r="BK5283" s="55" t="s">
        <v>2082</v>
      </c>
      <c r="BM5283" s="192" t="s">
        <v>6441</v>
      </c>
      <c r="BN5283" s="55" t="s">
        <v>1688</v>
      </c>
      <c r="BO5283" s="55" t="s">
        <v>1688</v>
      </c>
      <c r="BP5283" s="55" t="s">
        <v>1682</v>
      </c>
      <c r="FJ5283" s="65">
        <v>5.8000000000000003E-2</v>
      </c>
      <c r="FK5283" s="65">
        <v>3.6700000000000003E-2</v>
      </c>
      <c r="FN5283" s="65" t="s">
        <v>206</v>
      </c>
      <c r="FO5283" s="65">
        <v>0.35</v>
      </c>
      <c r="FP5283" s="65">
        <v>0.28000000000000003</v>
      </c>
      <c r="FS5283" s="65" t="s">
        <v>6376</v>
      </c>
      <c r="GP5283" s="292" t="s">
        <v>7494</v>
      </c>
    </row>
    <row r="5284" spans="1:198" x14ac:dyDescent="0.25">
      <c r="A5284" s="55">
        <v>5283</v>
      </c>
      <c r="B5284" s="12" t="s">
        <v>7067</v>
      </c>
      <c r="C5284" s="155" t="s">
        <v>6427</v>
      </c>
      <c r="E5284" s="90" t="s">
        <v>6435</v>
      </c>
      <c r="G5284" s="55" t="s">
        <v>6436</v>
      </c>
      <c r="H5284" s="55" t="s">
        <v>5864</v>
      </c>
      <c r="I5284" s="55" t="s">
        <v>5564</v>
      </c>
      <c r="J5284" s="55" t="s">
        <v>6437</v>
      </c>
      <c r="K5284" s="55" t="s">
        <v>6438</v>
      </c>
      <c r="L5284" s="55" t="s">
        <v>3377</v>
      </c>
      <c r="M5284" s="90">
        <f>39+57/60</f>
        <v>39.950000000000003</v>
      </c>
      <c r="N5284" s="90">
        <f>111+39/60</f>
        <v>111.65</v>
      </c>
      <c r="O5284" s="90">
        <v>1373.6</v>
      </c>
      <c r="Q5284" s="12"/>
      <c r="S5284" s="90" t="s">
        <v>6442</v>
      </c>
      <c r="U5284" s="55" t="s">
        <v>1935</v>
      </c>
      <c r="V5284" s="55" t="s">
        <v>1935</v>
      </c>
      <c r="Y5284" s="55" t="s">
        <v>6450</v>
      </c>
      <c r="AJ5284" s="55" t="s">
        <v>6439</v>
      </c>
      <c r="AL5284" s="90"/>
      <c r="AM5284" s="55" t="s">
        <v>6440</v>
      </c>
      <c r="AO5284" s="185" t="s">
        <v>7494</v>
      </c>
      <c r="AR5284" s="55" t="s">
        <v>6453</v>
      </c>
      <c r="AU5284" s="181" t="s">
        <v>7494</v>
      </c>
      <c r="AV5284" s="185" t="s">
        <v>176</v>
      </c>
      <c r="AX5284" s="185" t="s">
        <v>176</v>
      </c>
      <c r="BK5284" s="55" t="s">
        <v>2082</v>
      </c>
      <c r="BM5284" s="192" t="s">
        <v>6441</v>
      </c>
      <c r="BN5284" s="55" t="s">
        <v>1688</v>
      </c>
      <c r="BO5284" s="55" t="s">
        <v>1688</v>
      </c>
      <c r="BP5284" s="55" t="s">
        <v>1682</v>
      </c>
      <c r="FJ5284" s="65">
        <v>0.1</v>
      </c>
      <c r="FK5284" s="65">
        <v>7.9100000000000004E-2</v>
      </c>
      <c r="FN5284" s="65" t="s">
        <v>206</v>
      </c>
      <c r="FO5284" s="65">
        <v>2.76</v>
      </c>
      <c r="FP5284" s="65">
        <v>1.91</v>
      </c>
      <c r="FS5284" s="65" t="s">
        <v>6376</v>
      </c>
      <c r="GP5284" s="292" t="s">
        <v>7494</v>
      </c>
    </row>
    <row r="5285" spans="1:198" x14ac:dyDescent="0.25">
      <c r="A5285" s="55">
        <v>5284</v>
      </c>
      <c r="B5285" s="12" t="s">
        <v>7067</v>
      </c>
      <c r="C5285" s="155" t="s">
        <v>6427</v>
      </c>
      <c r="E5285" s="90" t="s">
        <v>6435</v>
      </c>
      <c r="G5285" s="55" t="s">
        <v>6436</v>
      </c>
      <c r="H5285" s="55" t="s">
        <v>5864</v>
      </c>
      <c r="I5285" s="55" t="s">
        <v>5564</v>
      </c>
      <c r="J5285" s="55" t="s">
        <v>6437</v>
      </c>
      <c r="K5285" s="55" t="s">
        <v>6438</v>
      </c>
      <c r="L5285" s="55" t="s">
        <v>3377</v>
      </c>
      <c r="M5285" s="90">
        <f>39+57/60</f>
        <v>39.950000000000003</v>
      </c>
      <c r="N5285" s="90">
        <f>111+39/60</f>
        <v>111.65</v>
      </c>
      <c r="O5285" s="90">
        <v>1373.6</v>
      </c>
      <c r="Q5285" s="12"/>
      <c r="S5285" s="90" t="s">
        <v>6442</v>
      </c>
      <c r="U5285" s="55" t="s">
        <v>1935</v>
      </c>
      <c r="V5285" s="55" t="s">
        <v>1935</v>
      </c>
      <c r="Y5285" s="55" t="s">
        <v>6451</v>
      </c>
      <c r="AJ5285" s="55" t="s">
        <v>6439</v>
      </c>
      <c r="AL5285" s="90"/>
      <c r="AM5285" s="55" t="s">
        <v>6440</v>
      </c>
      <c r="AO5285" s="185" t="s">
        <v>7494</v>
      </c>
      <c r="AR5285" s="55" t="s">
        <v>6453</v>
      </c>
      <c r="AU5285" s="181" t="s">
        <v>7494</v>
      </c>
      <c r="AV5285" s="185" t="s">
        <v>176</v>
      </c>
      <c r="AX5285" s="185" t="s">
        <v>176</v>
      </c>
      <c r="BK5285" s="55" t="s">
        <v>2082</v>
      </c>
      <c r="BM5285" s="192" t="s">
        <v>6441</v>
      </c>
      <c r="BN5285" s="55" t="s">
        <v>1688</v>
      </c>
      <c r="BO5285" s="55" t="s">
        <v>1688</v>
      </c>
      <c r="BP5285" s="55" t="s">
        <v>1682</v>
      </c>
      <c r="FJ5285" s="65">
        <v>0.17</v>
      </c>
      <c r="FK5285" s="65">
        <v>0.11</v>
      </c>
      <c r="FN5285" s="65" t="s">
        <v>206</v>
      </c>
      <c r="FO5285" s="65">
        <v>3.35</v>
      </c>
      <c r="FP5285" s="65">
        <v>2.97</v>
      </c>
      <c r="FS5285" s="65" t="s">
        <v>6376</v>
      </c>
      <c r="GP5285" s="292" t="s">
        <v>7494</v>
      </c>
    </row>
    <row r="5286" spans="1:198" x14ac:dyDescent="0.25">
      <c r="A5286" s="55">
        <v>5285</v>
      </c>
      <c r="B5286" s="12" t="s">
        <v>7067</v>
      </c>
      <c r="C5286" s="155" t="s">
        <v>6427</v>
      </c>
      <c r="E5286" s="90" t="s">
        <v>6435</v>
      </c>
      <c r="G5286" s="55" t="s">
        <v>6436</v>
      </c>
      <c r="H5286" s="55" t="s">
        <v>5864</v>
      </c>
      <c r="I5286" s="55" t="s">
        <v>5564</v>
      </c>
      <c r="J5286" s="55" t="s">
        <v>6437</v>
      </c>
      <c r="K5286" s="55" t="s">
        <v>6438</v>
      </c>
      <c r="L5286" s="55" t="s">
        <v>3377</v>
      </c>
      <c r="M5286" s="90">
        <f>39+57/60</f>
        <v>39.950000000000003</v>
      </c>
      <c r="N5286" s="90">
        <f>111+39/60</f>
        <v>111.65</v>
      </c>
      <c r="O5286" s="90">
        <v>1373.6</v>
      </c>
      <c r="Q5286" s="12"/>
      <c r="S5286" s="90" t="s">
        <v>6442</v>
      </c>
      <c r="U5286" s="55" t="s">
        <v>1935</v>
      </c>
      <c r="V5286" s="55" t="s">
        <v>1935</v>
      </c>
      <c r="Y5286" s="55" t="s">
        <v>6444</v>
      </c>
      <c r="AA5286" s="55"/>
      <c r="AD5286" s="55"/>
      <c r="AH5286" s="90"/>
      <c r="AJ5286" s="55" t="s">
        <v>6439</v>
      </c>
      <c r="AL5286" s="90"/>
      <c r="AM5286" s="55" t="s">
        <v>6440</v>
      </c>
      <c r="AO5286" s="185" t="s">
        <v>7494</v>
      </c>
      <c r="AR5286" s="55" t="s">
        <v>6453</v>
      </c>
      <c r="AU5286" s="181" t="s">
        <v>7494</v>
      </c>
      <c r="AV5286" s="185" t="s">
        <v>176</v>
      </c>
      <c r="AX5286" s="185" t="s">
        <v>176</v>
      </c>
      <c r="BK5286" s="55" t="s">
        <v>6452</v>
      </c>
      <c r="BM5286" s="192" t="s">
        <v>6441</v>
      </c>
      <c r="BN5286" s="55" t="s">
        <v>1688</v>
      </c>
      <c r="BO5286" s="55" t="s">
        <v>1688</v>
      </c>
      <c r="BP5286" s="55" t="s">
        <v>1682</v>
      </c>
      <c r="FJ5286" s="65">
        <v>7.1199999999999999E-2</v>
      </c>
      <c r="FK5286" s="65">
        <v>4.02E-2</v>
      </c>
      <c r="FN5286" s="65" t="s">
        <v>206</v>
      </c>
      <c r="FO5286" s="65">
        <v>0.56000000000000005</v>
      </c>
      <c r="FP5286" s="65">
        <v>0.44</v>
      </c>
      <c r="FS5286" s="65" t="s">
        <v>6376</v>
      </c>
      <c r="GP5286" s="292" t="s">
        <v>7494</v>
      </c>
    </row>
    <row r="5287" spans="1:198" x14ac:dyDescent="0.25">
      <c r="A5287" s="55">
        <v>5286</v>
      </c>
      <c r="B5287" s="12" t="s">
        <v>7067</v>
      </c>
      <c r="C5287" s="155" t="s">
        <v>6427</v>
      </c>
      <c r="E5287" s="90" t="s">
        <v>6435</v>
      </c>
      <c r="G5287" s="55" t="s">
        <v>6436</v>
      </c>
      <c r="H5287" s="55" t="s">
        <v>5864</v>
      </c>
      <c r="I5287" s="55" t="s">
        <v>5564</v>
      </c>
      <c r="J5287" s="55" t="s">
        <v>6437</v>
      </c>
      <c r="K5287" s="55" t="s">
        <v>6438</v>
      </c>
      <c r="L5287" s="55" t="s">
        <v>3377</v>
      </c>
      <c r="M5287" s="90">
        <f>39+57/60</f>
        <v>39.950000000000003</v>
      </c>
      <c r="N5287" s="90">
        <f>111+39/60</f>
        <v>111.65</v>
      </c>
      <c r="O5287" s="90">
        <v>1373.6</v>
      </c>
      <c r="Q5287" s="12"/>
      <c r="S5287" s="90" t="s">
        <v>6442</v>
      </c>
      <c r="U5287" s="55" t="s">
        <v>1935</v>
      </c>
      <c r="V5287" s="55" t="s">
        <v>1935</v>
      </c>
      <c r="Y5287" s="55" t="s">
        <v>6445</v>
      </c>
      <c r="AJ5287" s="55" t="s">
        <v>6439</v>
      </c>
      <c r="AL5287" s="90"/>
      <c r="AM5287" s="55" t="s">
        <v>6440</v>
      </c>
      <c r="AO5287" s="185" t="s">
        <v>7494</v>
      </c>
      <c r="AR5287" s="55" t="s">
        <v>6453</v>
      </c>
      <c r="AU5287" s="181" t="s">
        <v>7494</v>
      </c>
      <c r="AV5287" s="185" t="s">
        <v>176</v>
      </c>
      <c r="AX5287" s="185" t="s">
        <v>176</v>
      </c>
      <c r="BK5287" s="55" t="s">
        <v>6452</v>
      </c>
      <c r="BM5287" s="192" t="s">
        <v>6441</v>
      </c>
      <c r="BN5287" s="55" t="s">
        <v>1688</v>
      </c>
      <c r="BO5287" s="55" t="s">
        <v>1688</v>
      </c>
      <c r="BP5287" s="55" t="s">
        <v>1682</v>
      </c>
      <c r="FJ5287" s="65">
        <v>5.16E-2</v>
      </c>
      <c r="FK5287" s="65">
        <v>1.9699999999999999E-2</v>
      </c>
      <c r="FN5287" s="65" t="s">
        <v>206</v>
      </c>
      <c r="FO5287" s="65">
        <v>0.32</v>
      </c>
      <c r="FP5287" s="65">
        <v>0.27</v>
      </c>
      <c r="FS5287" s="65" t="s">
        <v>6376</v>
      </c>
      <c r="GP5287" s="292" t="s">
        <v>7494</v>
      </c>
    </row>
    <row r="5288" spans="1:198" x14ac:dyDescent="0.25">
      <c r="A5288" s="55">
        <v>5287</v>
      </c>
      <c r="B5288" s="12" t="s">
        <v>7067</v>
      </c>
      <c r="C5288" s="155" t="s">
        <v>6427</v>
      </c>
      <c r="E5288" s="90" t="s">
        <v>6435</v>
      </c>
      <c r="G5288" s="55" t="s">
        <v>6436</v>
      </c>
      <c r="H5288" s="55" t="s">
        <v>5864</v>
      </c>
      <c r="I5288" s="55" t="s">
        <v>5564</v>
      </c>
      <c r="J5288" s="55" t="s">
        <v>6437</v>
      </c>
      <c r="K5288" s="55" t="s">
        <v>6438</v>
      </c>
      <c r="L5288" s="55" t="s">
        <v>3377</v>
      </c>
      <c r="M5288" s="90">
        <f>39+57/60</f>
        <v>39.950000000000003</v>
      </c>
      <c r="N5288" s="90">
        <f>111+39/60</f>
        <v>111.65</v>
      </c>
      <c r="O5288" s="90">
        <v>1373.6</v>
      </c>
      <c r="Q5288" s="12"/>
      <c r="S5288" s="90" t="s">
        <v>6442</v>
      </c>
      <c r="U5288" s="55" t="s">
        <v>1935</v>
      </c>
      <c r="V5288" s="55" t="s">
        <v>1935</v>
      </c>
      <c r="Y5288" s="55" t="s">
        <v>6446</v>
      </c>
      <c r="AJ5288" s="55" t="s">
        <v>6439</v>
      </c>
      <c r="AL5288" s="90"/>
      <c r="AM5288" s="55" t="s">
        <v>6440</v>
      </c>
      <c r="AO5288" s="185" t="s">
        <v>7494</v>
      </c>
      <c r="AR5288" s="55" t="s">
        <v>6453</v>
      </c>
      <c r="AU5288" s="181" t="s">
        <v>7494</v>
      </c>
      <c r="AV5288" s="185" t="s">
        <v>176</v>
      </c>
      <c r="AX5288" s="185" t="s">
        <v>176</v>
      </c>
      <c r="BK5288" s="55" t="s">
        <v>6452</v>
      </c>
      <c r="BM5288" s="192" t="s">
        <v>6441</v>
      </c>
      <c r="BN5288" s="55" t="s">
        <v>1688</v>
      </c>
      <c r="BO5288" s="55" t="s">
        <v>1688</v>
      </c>
      <c r="BP5288" s="55" t="s">
        <v>1682</v>
      </c>
      <c r="FJ5288" s="65">
        <v>3.9E-2</v>
      </c>
      <c r="FK5288" s="65">
        <v>1.06E-2</v>
      </c>
      <c r="FN5288" s="65" t="s">
        <v>206</v>
      </c>
      <c r="FO5288" s="65">
        <v>0.3</v>
      </c>
      <c r="FP5288" s="65">
        <v>0.22</v>
      </c>
      <c r="FS5288" s="65" t="s">
        <v>6376</v>
      </c>
      <c r="GP5288" s="292" t="s">
        <v>7494</v>
      </c>
    </row>
    <row r="5289" spans="1:198" x14ac:dyDescent="0.25">
      <c r="A5289" s="55">
        <v>5288</v>
      </c>
      <c r="B5289" s="12" t="s">
        <v>7067</v>
      </c>
      <c r="C5289" s="155" t="s">
        <v>6427</v>
      </c>
      <c r="E5289" s="90" t="s">
        <v>6435</v>
      </c>
      <c r="G5289" s="55" t="s">
        <v>6436</v>
      </c>
      <c r="H5289" s="55" t="s">
        <v>5864</v>
      </c>
      <c r="I5289" s="55" t="s">
        <v>5564</v>
      </c>
      <c r="J5289" s="55" t="s">
        <v>6437</v>
      </c>
      <c r="K5289" s="55" t="s">
        <v>6438</v>
      </c>
      <c r="L5289" s="55" t="s">
        <v>3377</v>
      </c>
      <c r="M5289" s="90">
        <f>39+57/60</f>
        <v>39.950000000000003</v>
      </c>
      <c r="N5289" s="90">
        <f>111+39/60</f>
        <v>111.65</v>
      </c>
      <c r="O5289" s="90">
        <v>1373.6</v>
      </c>
      <c r="Q5289" s="12"/>
      <c r="S5289" s="90" t="s">
        <v>6442</v>
      </c>
      <c r="U5289" s="55" t="s">
        <v>1935</v>
      </c>
      <c r="V5289" s="55" t="s">
        <v>1935</v>
      </c>
      <c r="Y5289" s="55" t="s">
        <v>6447</v>
      </c>
      <c r="AJ5289" s="55" t="s">
        <v>6439</v>
      </c>
      <c r="AL5289" s="90"/>
      <c r="AM5289" s="55" t="s">
        <v>6440</v>
      </c>
      <c r="AO5289" s="185" t="s">
        <v>7494</v>
      </c>
      <c r="AR5289" s="55" t="s">
        <v>6453</v>
      </c>
      <c r="AU5289" s="181" t="s">
        <v>7494</v>
      </c>
      <c r="AV5289" s="185" t="s">
        <v>176</v>
      </c>
      <c r="AX5289" s="185" t="s">
        <v>176</v>
      </c>
      <c r="BK5289" s="55" t="s">
        <v>6452</v>
      </c>
      <c r="BM5289" s="192" t="s">
        <v>6441</v>
      </c>
      <c r="BN5289" s="55" t="s">
        <v>1688</v>
      </c>
      <c r="BO5289" s="55" t="s">
        <v>1688</v>
      </c>
      <c r="BP5289" s="55" t="s">
        <v>1682</v>
      </c>
      <c r="FJ5289" s="65">
        <v>0.2</v>
      </c>
      <c r="FK5289" s="65">
        <v>0.12</v>
      </c>
      <c r="FN5289" s="65" t="s">
        <v>206</v>
      </c>
      <c r="FO5289" s="65">
        <v>3.66</v>
      </c>
      <c r="FP5289" s="65">
        <v>2.92</v>
      </c>
      <c r="FS5289" s="65" t="s">
        <v>6376</v>
      </c>
      <c r="GP5289" s="292" t="s">
        <v>7494</v>
      </c>
    </row>
    <row r="5290" spans="1:198" x14ac:dyDescent="0.25">
      <c r="A5290" s="55">
        <v>5289</v>
      </c>
      <c r="B5290" s="12" t="s">
        <v>7067</v>
      </c>
      <c r="C5290" s="155" t="s">
        <v>6427</v>
      </c>
      <c r="E5290" s="90" t="s">
        <v>6435</v>
      </c>
      <c r="G5290" s="55" t="s">
        <v>6436</v>
      </c>
      <c r="H5290" s="55" t="s">
        <v>5864</v>
      </c>
      <c r="I5290" s="55" t="s">
        <v>5564</v>
      </c>
      <c r="J5290" s="55" t="s">
        <v>6437</v>
      </c>
      <c r="K5290" s="55" t="s">
        <v>6438</v>
      </c>
      <c r="L5290" s="55" t="s">
        <v>3377</v>
      </c>
      <c r="M5290" s="90">
        <f>39+57/60</f>
        <v>39.950000000000003</v>
      </c>
      <c r="N5290" s="90">
        <f>111+39/60</f>
        <v>111.65</v>
      </c>
      <c r="O5290" s="90">
        <v>1373.6</v>
      </c>
      <c r="Q5290" s="12"/>
      <c r="S5290" s="90" t="s">
        <v>6442</v>
      </c>
      <c r="U5290" s="55" t="s">
        <v>1935</v>
      </c>
      <c r="V5290" s="55" t="s">
        <v>1935</v>
      </c>
      <c r="Y5290" s="55" t="s">
        <v>6448</v>
      </c>
      <c r="AJ5290" s="55" t="s">
        <v>6439</v>
      </c>
      <c r="AL5290" s="90"/>
      <c r="AM5290" s="55" t="s">
        <v>6440</v>
      </c>
      <c r="AO5290" s="185" t="s">
        <v>7494</v>
      </c>
      <c r="AR5290" s="55" t="s">
        <v>6453</v>
      </c>
      <c r="AU5290" s="181" t="s">
        <v>7494</v>
      </c>
      <c r="AV5290" s="185" t="s">
        <v>176</v>
      </c>
      <c r="AX5290" s="185" t="s">
        <v>176</v>
      </c>
      <c r="BK5290" s="55" t="s">
        <v>6452</v>
      </c>
      <c r="BM5290" s="192" t="s">
        <v>6441</v>
      </c>
      <c r="BN5290" s="55" t="s">
        <v>1688</v>
      </c>
      <c r="BO5290" s="55" t="s">
        <v>1688</v>
      </c>
      <c r="BP5290" s="55" t="s">
        <v>1682</v>
      </c>
      <c r="FJ5290" s="65">
        <v>0.26</v>
      </c>
      <c r="FK5290" s="65">
        <v>0.19</v>
      </c>
      <c r="FN5290" s="65" t="s">
        <v>206</v>
      </c>
      <c r="FO5290" s="65">
        <v>5.58</v>
      </c>
      <c r="FP5290" s="65">
        <v>3.51</v>
      </c>
      <c r="FS5290" s="65" t="s">
        <v>6376</v>
      </c>
      <c r="GP5290" s="292" t="s">
        <v>7494</v>
      </c>
    </row>
    <row r="5291" spans="1:198" x14ac:dyDescent="0.25">
      <c r="A5291" s="55">
        <v>5290</v>
      </c>
      <c r="B5291" s="12" t="s">
        <v>7067</v>
      </c>
      <c r="C5291" s="155" t="s">
        <v>6427</v>
      </c>
      <c r="E5291" s="90" t="s">
        <v>6435</v>
      </c>
      <c r="G5291" s="55" t="s">
        <v>6436</v>
      </c>
      <c r="H5291" s="55" t="s">
        <v>5864</v>
      </c>
      <c r="I5291" s="55" t="s">
        <v>5564</v>
      </c>
      <c r="J5291" s="55" t="s">
        <v>6437</v>
      </c>
      <c r="K5291" s="55" t="s">
        <v>6438</v>
      </c>
      <c r="L5291" s="55" t="s">
        <v>3377</v>
      </c>
      <c r="M5291" s="90">
        <f>39+57/60</f>
        <v>39.950000000000003</v>
      </c>
      <c r="N5291" s="90">
        <f>111+39/60</f>
        <v>111.65</v>
      </c>
      <c r="O5291" s="90">
        <v>1373.6</v>
      </c>
      <c r="Q5291" s="12"/>
      <c r="S5291" s="90" t="s">
        <v>6442</v>
      </c>
      <c r="U5291" s="55" t="s">
        <v>1935</v>
      </c>
      <c r="V5291" s="55" t="s">
        <v>1935</v>
      </c>
      <c r="Y5291" s="55" t="s">
        <v>6449</v>
      </c>
      <c r="AJ5291" s="55" t="s">
        <v>6439</v>
      </c>
      <c r="AL5291" s="90"/>
      <c r="AM5291" s="55" t="s">
        <v>6440</v>
      </c>
      <c r="AO5291" s="185" t="s">
        <v>7494</v>
      </c>
      <c r="AR5291" s="55" t="s">
        <v>6453</v>
      </c>
      <c r="AU5291" s="181" t="s">
        <v>7494</v>
      </c>
      <c r="AV5291" s="185" t="s">
        <v>176</v>
      </c>
      <c r="AX5291" s="185" t="s">
        <v>176</v>
      </c>
      <c r="BK5291" s="55" t="s">
        <v>6452</v>
      </c>
      <c r="BM5291" s="192" t="s">
        <v>6441</v>
      </c>
      <c r="BN5291" s="55" t="s">
        <v>1688</v>
      </c>
      <c r="BO5291" s="55" t="s">
        <v>1688</v>
      </c>
      <c r="BP5291" s="55" t="s">
        <v>1682</v>
      </c>
      <c r="FJ5291" s="65">
        <v>5.8000000000000003E-2</v>
      </c>
      <c r="FK5291" s="65">
        <v>2.9600000000000001E-2</v>
      </c>
      <c r="FN5291" s="65" t="s">
        <v>206</v>
      </c>
      <c r="FO5291" s="65">
        <v>0.35</v>
      </c>
      <c r="FP5291" s="65">
        <v>0.28000000000000003</v>
      </c>
      <c r="FS5291" s="65" t="s">
        <v>6376</v>
      </c>
      <c r="GP5291" s="292" t="s">
        <v>7494</v>
      </c>
    </row>
    <row r="5292" spans="1:198" x14ac:dyDescent="0.25">
      <c r="A5292" s="55">
        <v>5291</v>
      </c>
      <c r="B5292" s="12" t="s">
        <v>7067</v>
      </c>
      <c r="C5292" s="155" t="s">
        <v>6427</v>
      </c>
      <c r="E5292" s="90" t="s">
        <v>6435</v>
      </c>
      <c r="G5292" s="55" t="s">
        <v>6436</v>
      </c>
      <c r="H5292" s="55" t="s">
        <v>5864</v>
      </c>
      <c r="I5292" s="55" t="s">
        <v>5564</v>
      </c>
      <c r="J5292" s="55" t="s">
        <v>6437</v>
      </c>
      <c r="K5292" s="55" t="s">
        <v>6438</v>
      </c>
      <c r="L5292" s="55" t="s">
        <v>3377</v>
      </c>
      <c r="M5292" s="90">
        <f>39+57/60</f>
        <v>39.950000000000003</v>
      </c>
      <c r="N5292" s="90">
        <f>111+39/60</f>
        <v>111.65</v>
      </c>
      <c r="O5292" s="90">
        <v>1373.6</v>
      </c>
      <c r="Q5292" s="12"/>
      <c r="S5292" s="90" t="s">
        <v>6442</v>
      </c>
      <c r="U5292" s="55" t="s">
        <v>1935</v>
      </c>
      <c r="V5292" s="55" t="s">
        <v>1935</v>
      </c>
      <c r="Y5292" s="55" t="s">
        <v>6450</v>
      </c>
      <c r="AJ5292" s="55" t="s">
        <v>6439</v>
      </c>
      <c r="AL5292" s="90"/>
      <c r="AM5292" s="55" t="s">
        <v>6440</v>
      </c>
      <c r="AO5292" s="185" t="s">
        <v>7494</v>
      </c>
      <c r="AR5292" s="55" t="s">
        <v>6453</v>
      </c>
      <c r="AU5292" s="181" t="s">
        <v>7494</v>
      </c>
      <c r="AV5292" s="185" t="s">
        <v>176</v>
      </c>
      <c r="AX5292" s="185" t="s">
        <v>176</v>
      </c>
      <c r="BK5292" s="55" t="s">
        <v>6452</v>
      </c>
      <c r="BM5292" s="192" t="s">
        <v>6441</v>
      </c>
      <c r="BN5292" s="55" t="s">
        <v>1688</v>
      </c>
      <c r="BO5292" s="55" t="s">
        <v>1688</v>
      </c>
      <c r="BP5292" s="55" t="s">
        <v>1682</v>
      </c>
      <c r="FJ5292" s="65">
        <v>0.1</v>
      </c>
      <c r="FK5292" s="65">
        <v>5.16E-2</v>
      </c>
      <c r="FN5292" s="65" t="s">
        <v>206</v>
      </c>
      <c r="FO5292" s="65">
        <v>2.76</v>
      </c>
      <c r="FP5292" s="65">
        <v>1.35</v>
      </c>
      <c r="FS5292" s="65" t="s">
        <v>6376</v>
      </c>
      <c r="GP5292" s="292" t="s">
        <v>7494</v>
      </c>
    </row>
    <row r="5293" spans="1:198" x14ac:dyDescent="0.25">
      <c r="A5293" s="55">
        <v>5292</v>
      </c>
      <c r="B5293" s="12" t="s">
        <v>7067</v>
      </c>
      <c r="C5293" s="155" t="s">
        <v>6427</v>
      </c>
      <c r="E5293" s="90" t="s">
        <v>6435</v>
      </c>
      <c r="G5293" s="55" t="s">
        <v>6436</v>
      </c>
      <c r="H5293" s="55" t="s">
        <v>5864</v>
      </c>
      <c r="I5293" s="55" t="s">
        <v>5564</v>
      </c>
      <c r="J5293" s="55" t="s">
        <v>6437</v>
      </c>
      <c r="K5293" s="55" t="s">
        <v>6438</v>
      </c>
      <c r="L5293" s="55" t="s">
        <v>3377</v>
      </c>
      <c r="M5293" s="90">
        <f>39+57/60</f>
        <v>39.950000000000003</v>
      </c>
      <c r="N5293" s="90">
        <f>111+39/60</f>
        <v>111.65</v>
      </c>
      <c r="O5293" s="90">
        <v>1373.6</v>
      </c>
      <c r="Q5293" s="12"/>
      <c r="S5293" s="90" t="s">
        <v>6442</v>
      </c>
      <c r="U5293" s="55" t="s">
        <v>1935</v>
      </c>
      <c r="V5293" s="55" t="s">
        <v>1935</v>
      </c>
      <c r="Y5293" s="55" t="s">
        <v>6451</v>
      </c>
      <c r="AJ5293" s="55" t="s">
        <v>6439</v>
      </c>
      <c r="AL5293" s="90"/>
      <c r="AM5293" s="55" t="s">
        <v>6440</v>
      </c>
      <c r="AO5293" s="185" t="s">
        <v>7494</v>
      </c>
      <c r="AR5293" s="55" t="s">
        <v>6453</v>
      </c>
      <c r="AU5293" s="181" t="s">
        <v>7494</v>
      </c>
      <c r="AV5293" s="185" t="s">
        <v>176</v>
      </c>
      <c r="AX5293" s="185" t="s">
        <v>176</v>
      </c>
      <c r="BK5293" s="55" t="s">
        <v>6452</v>
      </c>
      <c r="BM5293" s="192" t="s">
        <v>6441</v>
      </c>
      <c r="BN5293" s="55" t="s">
        <v>1688</v>
      </c>
      <c r="BO5293" s="55" t="s">
        <v>1688</v>
      </c>
      <c r="BP5293" s="55" t="s">
        <v>1682</v>
      </c>
      <c r="FJ5293" s="65">
        <v>0.17</v>
      </c>
      <c r="FK5293" s="65">
        <v>6.5600000000000006E-2</v>
      </c>
      <c r="FN5293" s="65" t="s">
        <v>206</v>
      </c>
      <c r="FO5293" s="65">
        <v>3.35</v>
      </c>
      <c r="FP5293" s="65">
        <v>2.34</v>
      </c>
      <c r="FS5293" s="65" t="s">
        <v>6376</v>
      </c>
      <c r="GP5293" s="292" t="s">
        <v>7494</v>
      </c>
    </row>
    <row r="5294" spans="1:198" x14ac:dyDescent="0.25">
      <c r="A5294" s="55">
        <v>5293</v>
      </c>
      <c r="B5294" s="12" t="s">
        <v>7067</v>
      </c>
      <c r="C5294" s="155" t="s">
        <v>6428</v>
      </c>
      <c r="E5294" s="90" t="s">
        <v>6454</v>
      </c>
      <c r="G5294" s="55" t="s">
        <v>6455</v>
      </c>
      <c r="H5294" s="55" t="s">
        <v>5626</v>
      </c>
      <c r="J5294" s="55" t="s">
        <v>6437</v>
      </c>
      <c r="K5294" s="55" t="s">
        <v>6456</v>
      </c>
      <c r="L5294" s="55" t="s">
        <v>3377</v>
      </c>
      <c r="M5294" s="90">
        <f>30+19/60</f>
        <v>30.316666666666666</v>
      </c>
      <c r="N5294" s="90">
        <f>119+24/60</f>
        <v>119.4</v>
      </c>
      <c r="O5294" s="90">
        <v>57.5</v>
      </c>
      <c r="P5294" s="55" t="s">
        <v>6460</v>
      </c>
      <c r="S5294" s="90" t="s">
        <v>6457</v>
      </c>
      <c r="AH5294" s="55" t="s">
        <v>769</v>
      </c>
      <c r="AM5294" s="55" t="s">
        <v>6458</v>
      </c>
      <c r="AN5294" s="185" t="s">
        <v>6459</v>
      </c>
      <c r="AO5294" s="185" t="s">
        <v>5150</v>
      </c>
      <c r="AR5294" s="55" t="s">
        <v>6466</v>
      </c>
      <c r="AU5294" s="181" t="s">
        <v>7494</v>
      </c>
      <c r="AV5294" s="185" t="s">
        <v>176</v>
      </c>
      <c r="AX5294" s="185" t="s">
        <v>176</v>
      </c>
      <c r="BK5294" s="55" t="s">
        <v>6333</v>
      </c>
      <c r="CH5294" s="90">
        <v>1.19</v>
      </c>
      <c r="CI5294" s="90">
        <v>1.07</v>
      </c>
      <c r="CM5294" s="65">
        <v>0.48</v>
      </c>
      <c r="CN5294" s="65">
        <v>0.96</v>
      </c>
      <c r="DB5294" s="65">
        <v>5.0999999999999997E-2</v>
      </c>
      <c r="DC5294" s="65">
        <v>5.8999999999999997E-2</v>
      </c>
      <c r="DF5294" s="65" t="s">
        <v>5565</v>
      </c>
      <c r="DG5294" s="65">
        <v>2.1000000000000001E-2</v>
      </c>
      <c r="DH5294" s="65">
        <v>2.3E-2</v>
      </c>
      <c r="DK5294" s="65" t="s">
        <v>6462</v>
      </c>
      <c r="DL5294" s="65">
        <v>71</v>
      </c>
      <c r="DM5294" s="65">
        <v>94</v>
      </c>
      <c r="DP5294" s="65" t="s">
        <v>6463</v>
      </c>
      <c r="EK5294" s="90">
        <v>44.2</v>
      </c>
      <c r="EL5294" s="90">
        <v>51.4</v>
      </c>
      <c r="EO5294" s="65" t="s">
        <v>6465</v>
      </c>
      <c r="FJ5294" s="65">
        <v>193.3</v>
      </c>
      <c r="FK5294" s="65">
        <v>0</v>
      </c>
      <c r="FN5294" s="65" t="s">
        <v>2948</v>
      </c>
      <c r="FO5294" s="65">
        <f>13.28*0.01*1333</f>
        <v>177.0224</v>
      </c>
      <c r="FP5294" s="65">
        <f>4.88*0.01*1333</f>
        <v>65.05040000000001</v>
      </c>
      <c r="FS5294" s="65" t="s">
        <v>4534</v>
      </c>
      <c r="FT5294" s="65">
        <f>AVERAGE(61.4,19.7,11.89)</f>
        <v>30.996666666666666</v>
      </c>
      <c r="FU5294" s="65">
        <f>AVERAGE(0.6,0.04,7.76)</f>
        <v>2.8000000000000003</v>
      </c>
      <c r="FX5294" s="65" t="s">
        <v>6461</v>
      </c>
      <c r="GI5294" s="65">
        <v>29.61</v>
      </c>
      <c r="GJ5294" s="65">
        <v>31.51</v>
      </c>
      <c r="GM5294" s="65" t="s">
        <v>6464</v>
      </c>
      <c r="GP5294" s="292" t="s">
        <v>7494</v>
      </c>
    </row>
    <row r="5295" spans="1:198" x14ac:dyDescent="0.25">
      <c r="A5295" s="55">
        <v>5294</v>
      </c>
      <c r="B5295" s="12" t="s">
        <v>7067</v>
      </c>
      <c r="C5295" s="155" t="s">
        <v>6428</v>
      </c>
      <c r="E5295" s="90" t="s">
        <v>6454</v>
      </c>
      <c r="G5295" s="55" t="s">
        <v>6455</v>
      </c>
      <c r="H5295" s="55" t="s">
        <v>5626</v>
      </c>
      <c r="J5295" s="55" t="s">
        <v>6437</v>
      </c>
      <c r="K5295" s="55" t="s">
        <v>6456</v>
      </c>
      <c r="L5295" s="55" t="s">
        <v>3377</v>
      </c>
      <c r="M5295" s="90">
        <f>30+19/60</f>
        <v>30.316666666666666</v>
      </c>
      <c r="N5295" s="90">
        <f>119+24/60</f>
        <v>119.4</v>
      </c>
      <c r="O5295" s="90">
        <v>57.5</v>
      </c>
      <c r="P5295" s="55" t="s">
        <v>6460</v>
      </c>
      <c r="S5295" s="90" t="s">
        <v>6457</v>
      </c>
      <c r="AH5295" s="55" t="s">
        <v>769</v>
      </c>
      <c r="AM5295" s="55" t="s">
        <v>6458</v>
      </c>
      <c r="AN5295" s="185" t="s">
        <v>6459</v>
      </c>
      <c r="AO5295" s="185" t="s">
        <v>5150</v>
      </c>
      <c r="AR5295" s="55" t="s">
        <v>6466</v>
      </c>
      <c r="AU5295" s="181" t="s">
        <v>7494</v>
      </c>
      <c r="AV5295" s="185" t="s">
        <v>176</v>
      </c>
      <c r="AX5295" s="185" t="s">
        <v>176</v>
      </c>
      <c r="BK5295" s="55" t="s">
        <v>6333</v>
      </c>
      <c r="CH5295" s="90">
        <v>1.37</v>
      </c>
      <c r="CI5295" s="90">
        <v>1.0900000000000001</v>
      </c>
      <c r="CM5295" s="65">
        <v>0.81</v>
      </c>
      <c r="CN5295" s="65">
        <v>1.44</v>
      </c>
      <c r="DB5295" s="65">
        <v>0.05</v>
      </c>
      <c r="DC5295" s="65">
        <v>0.06</v>
      </c>
      <c r="DF5295" s="65" t="s">
        <v>5565</v>
      </c>
      <c r="DG5295" s="65">
        <v>0.02</v>
      </c>
      <c r="DH5295" s="65">
        <v>0.04</v>
      </c>
      <c r="DK5295" s="65" t="s">
        <v>6462</v>
      </c>
      <c r="DL5295" s="65">
        <v>102</v>
      </c>
      <c r="DM5295" s="65">
        <v>146</v>
      </c>
      <c r="DP5295" s="65" t="s">
        <v>6463</v>
      </c>
      <c r="GI5295" s="65">
        <v>20.51</v>
      </c>
      <c r="GJ5295" s="65">
        <v>30.42</v>
      </c>
      <c r="GM5295" s="65" t="s">
        <v>6464</v>
      </c>
      <c r="GP5295" s="292" t="s">
        <v>7494</v>
      </c>
    </row>
    <row r="5296" spans="1:198" x14ac:dyDescent="0.25">
      <c r="A5296" s="55">
        <v>5295</v>
      </c>
      <c r="B5296" s="12" t="s">
        <v>7067</v>
      </c>
      <c r="C5296" s="155" t="s">
        <v>6428</v>
      </c>
      <c r="E5296" s="90" t="s">
        <v>6454</v>
      </c>
      <c r="G5296" s="55" t="s">
        <v>6455</v>
      </c>
      <c r="H5296" s="55" t="s">
        <v>5626</v>
      </c>
      <c r="J5296" s="55" t="s">
        <v>6437</v>
      </c>
      <c r="K5296" s="55" t="s">
        <v>6456</v>
      </c>
      <c r="L5296" s="55" t="s">
        <v>3377</v>
      </c>
      <c r="M5296" s="90">
        <f>30+19/60</f>
        <v>30.316666666666666</v>
      </c>
      <c r="N5296" s="90">
        <f>119+24/60</f>
        <v>119.4</v>
      </c>
      <c r="O5296" s="90">
        <v>57.5</v>
      </c>
      <c r="P5296" s="55" t="s">
        <v>6460</v>
      </c>
      <c r="S5296" s="90" t="s">
        <v>6457</v>
      </c>
      <c r="AH5296" s="55" t="s">
        <v>769</v>
      </c>
      <c r="AM5296" s="55" t="s">
        <v>6458</v>
      </c>
      <c r="AN5296" s="185" t="s">
        <v>6459</v>
      </c>
      <c r="AO5296" s="185" t="s">
        <v>5150</v>
      </c>
      <c r="AR5296" s="55" t="s">
        <v>6466</v>
      </c>
      <c r="AU5296" s="181" t="s">
        <v>7494</v>
      </c>
      <c r="AV5296" s="185" t="s">
        <v>176</v>
      </c>
      <c r="AX5296" s="185" t="s">
        <v>176</v>
      </c>
      <c r="BK5296" s="55" t="s">
        <v>6333</v>
      </c>
      <c r="CH5296" s="90">
        <v>1.06</v>
      </c>
      <c r="CI5296" s="90">
        <v>1.01</v>
      </c>
      <c r="CM5296" s="65">
        <v>1.02</v>
      </c>
      <c r="CN5296" s="65">
        <v>1.32</v>
      </c>
      <c r="GI5296" s="65">
        <v>32.01</v>
      </c>
      <c r="GJ5296" s="65">
        <v>35.6</v>
      </c>
      <c r="GM5296" s="65" t="s">
        <v>6464</v>
      </c>
      <c r="GP5296" s="292" t="s">
        <v>7494</v>
      </c>
    </row>
    <row r="5297" spans="1:282" x14ac:dyDescent="0.25">
      <c r="A5297" s="55">
        <v>5296</v>
      </c>
      <c r="B5297" s="12" t="s">
        <v>7067</v>
      </c>
      <c r="C5297" s="155" t="s">
        <v>6429</v>
      </c>
      <c r="E5297" s="90" t="s">
        <v>6468</v>
      </c>
      <c r="G5297" s="55" t="s">
        <v>6469</v>
      </c>
      <c r="H5297" s="55" t="s">
        <v>5564</v>
      </c>
      <c r="J5297" s="55" t="s">
        <v>6470</v>
      </c>
      <c r="K5297" s="55" t="s">
        <v>6471</v>
      </c>
      <c r="L5297" s="55" t="s">
        <v>3377</v>
      </c>
      <c r="M5297" s="90">
        <f>43+42/60</f>
        <v>43.7</v>
      </c>
      <c r="N5297" s="90">
        <f>125+52/60</f>
        <v>125.86666666666666</v>
      </c>
      <c r="O5297" s="90">
        <f>AVERAGE(188.25, 299.36)</f>
        <v>243.80500000000001</v>
      </c>
      <c r="P5297" s="55" t="s">
        <v>5489</v>
      </c>
      <c r="S5297" s="90" t="s">
        <v>6472</v>
      </c>
      <c r="AM5297" s="55" t="s">
        <v>6473</v>
      </c>
      <c r="AO5297" s="185" t="s">
        <v>7494</v>
      </c>
      <c r="AU5297" s="181" t="s">
        <v>7494</v>
      </c>
      <c r="AV5297" s="185" t="s">
        <v>176</v>
      </c>
      <c r="AX5297" s="185" t="s">
        <v>176</v>
      </c>
      <c r="BK5297" s="55" t="s">
        <v>5981</v>
      </c>
      <c r="BV5297" s="55" t="s">
        <v>6474</v>
      </c>
      <c r="FJ5297" s="65">
        <v>0.63049999999999995</v>
      </c>
      <c r="FK5297" s="65">
        <v>0.1075</v>
      </c>
      <c r="FN5297" s="65" t="s">
        <v>6477</v>
      </c>
      <c r="FO5297" s="65">
        <v>17</v>
      </c>
      <c r="FP5297" s="65">
        <v>11</v>
      </c>
      <c r="FS5297" s="65" t="s">
        <v>637</v>
      </c>
      <c r="FT5297" s="65">
        <v>0.159</v>
      </c>
      <c r="FU5297" s="65">
        <v>0.123</v>
      </c>
      <c r="FX5297" s="65" t="s">
        <v>6478</v>
      </c>
      <c r="GP5297" s="292" t="s">
        <v>7494</v>
      </c>
    </row>
    <row r="5298" spans="1:282" x14ac:dyDescent="0.25">
      <c r="A5298" s="55">
        <v>5297</v>
      </c>
      <c r="B5298" s="12" t="s">
        <v>7067</v>
      </c>
      <c r="C5298" s="155" t="s">
        <v>6429</v>
      </c>
      <c r="E5298" s="90" t="s">
        <v>6468</v>
      </c>
      <c r="G5298" s="55" t="s">
        <v>6469</v>
      </c>
      <c r="H5298" s="55" t="s">
        <v>5564</v>
      </c>
      <c r="J5298" s="55" t="s">
        <v>6470</v>
      </c>
      <c r="K5298" s="55" t="s">
        <v>6471</v>
      </c>
      <c r="L5298" s="55" t="s">
        <v>3377</v>
      </c>
      <c r="M5298" s="90">
        <f>43+42/60</f>
        <v>43.7</v>
      </c>
      <c r="N5298" s="90">
        <f>125+52/60</f>
        <v>125.86666666666666</v>
      </c>
      <c r="O5298" s="90">
        <f>AVERAGE(188.25, 299.36)</f>
        <v>243.80500000000001</v>
      </c>
      <c r="P5298" s="55" t="s">
        <v>5489</v>
      </c>
      <c r="S5298" s="90" t="s">
        <v>6472</v>
      </c>
      <c r="AM5298" s="55" t="s">
        <v>6473</v>
      </c>
      <c r="AO5298" s="185" t="s">
        <v>7494</v>
      </c>
      <c r="AU5298" s="181" t="s">
        <v>7494</v>
      </c>
      <c r="AV5298" s="185" t="s">
        <v>176</v>
      </c>
      <c r="AX5298" s="185" t="s">
        <v>176</v>
      </c>
      <c r="BK5298" s="55" t="s">
        <v>5981</v>
      </c>
      <c r="BV5298" s="55" t="s">
        <v>6474</v>
      </c>
      <c r="FJ5298" s="65">
        <v>0.63049999999999995</v>
      </c>
      <c r="FK5298" s="65">
        <v>0.2908</v>
      </c>
      <c r="FN5298" s="65" t="s">
        <v>6477</v>
      </c>
      <c r="FO5298" s="65">
        <v>17</v>
      </c>
      <c r="FP5298" s="65">
        <v>15</v>
      </c>
      <c r="FS5298" s="65" t="s">
        <v>637</v>
      </c>
      <c r="FT5298" s="65">
        <v>0.159</v>
      </c>
      <c r="FU5298" s="65">
        <v>0.157</v>
      </c>
      <c r="FX5298" s="65" t="s">
        <v>6478</v>
      </c>
      <c r="GP5298" s="292" t="s">
        <v>7494</v>
      </c>
    </row>
    <row r="5299" spans="1:282" x14ac:dyDescent="0.25">
      <c r="A5299" s="55">
        <v>5298</v>
      </c>
      <c r="B5299" s="12" t="s">
        <v>7067</v>
      </c>
      <c r="C5299" s="155" t="s">
        <v>6429</v>
      </c>
      <c r="E5299" s="90" t="s">
        <v>6468</v>
      </c>
      <c r="G5299" s="55" t="s">
        <v>6469</v>
      </c>
      <c r="H5299" s="55" t="s">
        <v>5564</v>
      </c>
      <c r="J5299" s="55" t="s">
        <v>6470</v>
      </c>
      <c r="K5299" s="55" t="s">
        <v>6471</v>
      </c>
      <c r="L5299" s="55" t="s">
        <v>3377</v>
      </c>
      <c r="M5299" s="90">
        <f>43+42/60</f>
        <v>43.7</v>
      </c>
      <c r="N5299" s="90">
        <f>125+52/60</f>
        <v>125.86666666666666</v>
      </c>
      <c r="O5299" s="90">
        <f>AVERAGE(188.25, 299.36)</f>
        <v>243.80500000000001</v>
      </c>
      <c r="P5299" s="55" t="s">
        <v>5489</v>
      </c>
      <c r="S5299" s="90" t="s">
        <v>6472</v>
      </c>
      <c r="AM5299" s="55" t="s">
        <v>6473</v>
      </c>
      <c r="AO5299" s="185" t="s">
        <v>7494</v>
      </c>
      <c r="AU5299" s="181" t="s">
        <v>7494</v>
      </c>
      <c r="AV5299" s="185" t="s">
        <v>176</v>
      </c>
      <c r="AX5299" s="185" t="s">
        <v>176</v>
      </c>
      <c r="BK5299" s="55" t="s">
        <v>5981</v>
      </c>
      <c r="BV5299" s="55" t="s">
        <v>6475</v>
      </c>
      <c r="FJ5299" s="65">
        <v>0.87529999999999997</v>
      </c>
      <c r="FK5299" s="65">
        <v>0.18090000000000001</v>
      </c>
      <c r="FN5299" s="65" t="s">
        <v>6477</v>
      </c>
      <c r="FO5299" s="65">
        <v>29</v>
      </c>
      <c r="FP5299" s="65">
        <v>12</v>
      </c>
      <c r="FS5299" s="65" t="s">
        <v>637</v>
      </c>
      <c r="FT5299" s="65">
        <v>0.24099999999999999</v>
      </c>
      <c r="FU5299" s="65">
        <v>0.183</v>
      </c>
      <c r="FX5299" s="65" t="s">
        <v>6478</v>
      </c>
      <c r="GP5299" s="292" t="s">
        <v>7494</v>
      </c>
    </row>
    <row r="5300" spans="1:282" x14ac:dyDescent="0.25">
      <c r="A5300" s="55">
        <v>5299</v>
      </c>
      <c r="B5300" s="12" t="s">
        <v>7067</v>
      </c>
      <c r="C5300" s="155" t="s">
        <v>6429</v>
      </c>
      <c r="E5300" s="90" t="s">
        <v>6468</v>
      </c>
      <c r="G5300" s="55" t="s">
        <v>6469</v>
      </c>
      <c r="H5300" s="55" t="s">
        <v>5564</v>
      </c>
      <c r="J5300" s="55" t="s">
        <v>6470</v>
      </c>
      <c r="K5300" s="55" t="s">
        <v>6471</v>
      </c>
      <c r="L5300" s="55" t="s">
        <v>3377</v>
      </c>
      <c r="M5300" s="90">
        <f>43+42/60</f>
        <v>43.7</v>
      </c>
      <c r="N5300" s="90">
        <f>125+52/60</f>
        <v>125.86666666666666</v>
      </c>
      <c r="O5300" s="90">
        <f>AVERAGE(188.25, 299.36)</f>
        <v>243.80500000000001</v>
      </c>
      <c r="P5300" s="55" t="s">
        <v>5489</v>
      </c>
      <c r="S5300" s="90" t="s">
        <v>6472</v>
      </c>
      <c r="AM5300" s="55" t="s">
        <v>6473</v>
      </c>
      <c r="AO5300" s="185" t="s">
        <v>7494</v>
      </c>
      <c r="AU5300" s="181" t="s">
        <v>7494</v>
      </c>
      <c r="AV5300" s="185" t="s">
        <v>176</v>
      </c>
      <c r="AX5300" s="185" t="s">
        <v>176</v>
      </c>
      <c r="BK5300" s="55" t="s">
        <v>5981</v>
      </c>
      <c r="BV5300" s="55" t="s">
        <v>6475</v>
      </c>
      <c r="FJ5300" s="65">
        <v>0.87529999999999997</v>
      </c>
      <c r="FK5300" s="65">
        <v>0.44969999999999999</v>
      </c>
      <c r="FN5300" s="65" t="s">
        <v>6477</v>
      </c>
      <c r="FO5300" s="65">
        <v>29</v>
      </c>
      <c r="FP5300" s="65">
        <v>24</v>
      </c>
      <c r="FS5300" s="65" t="s">
        <v>637</v>
      </c>
      <c r="FT5300" s="65">
        <v>0.24099999999999999</v>
      </c>
      <c r="FU5300" s="65">
        <v>0.28199999999999997</v>
      </c>
      <c r="FX5300" s="65" t="s">
        <v>6478</v>
      </c>
      <c r="GP5300" s="292" t="s">
        <v>7494</v>
      </c>
    </row>
    <row r="5301" spans="1:282" x14ac:dyDescent="0.25">
      <c r="A5301" s="55">
        <v>5300</v>
      </c>
      <c r="B5301" s="12" t="s">
        <v>7067</v>
      </c>
      <c r="C5301" s="155" t="s">
        <v>6429</v>
      </c>
      <c r="E5301" s="90" t="s">
        <v>6468</v>
      </c>
      <c r="G5301" s="55" t="s">
        <v>6469</v>
      </c>
      <c r="H5301" s="55" t="s">
        <v>5564</v>
      </c>
      <c r="J5301" s="55" t="s">
        <v>6470</v>
      </c>
      <c r="K5301" s="55" t="s">
        <v>6471</v>
      </c>
      <c r="L5301" s="55" t="s">
        <v>3377</v>
      </c>
      <c r="M5301" s="90">
        <f>43+42/60</f>
        <v>43.7</v>
      </c>
      <c r="N5301" s="90">
        <f>125+52/60</f>
        <v>125.86666666666666</v>
      </c>
      <c r="O5301" s="90">
        <f>AVERAGE(188.25, 299.36)</f>
        <v>243.80500000000001</v>
      </c>
      <c r="P5301" s="55" t="s">
        <v>5489</v>
      </c>
      <c r="S5301" s="90" t="s">
        <v>6472</v>
      </c>
      <c r="AM5301" s="55" t="s">
        <v>6473</v>
      </c>
      <c r="AO5301" s="185" t="s">
        <v>7494</v>
      </c>
      <c r="AU5301" s="181" t="s">
        <v>7494</v>
      </c>
      <c r="AV5301" s="185" t="s">
        <v>176</v>
      </c>
      <c r="AX5301" s="185" t="s">
        <v>176</v>
      </c>
      <c r="BK5301" s="55" t="s">
        <v>5981</v>
      </c>
      <c r="BV5301" s="55" t="s">
        <v>6476</v>
      </c>
      <c r="FJ5301" s="65">
        <v>1.2056</v>
      </c>
      <c r="FK5301" s="65">
        <v>0.2177</v>
      </c>
      <c r="FN5301" s="65" t="s">
        <v>6477</v>
      </c>
      <c r="FO5301" s="65">
        <v>18.5</v>
      </c>
      <c r="FP5301" s="65">
        <v>14.5</v>
      </c>
      <c r="FS5301" s="65" t="s">
        <v>637</v>
      </c>
      <c r="FT5301" s="65">
        <v>0.3</v>
      </c>
      <c r="FU5301" s="65">
        <v>0.184</v>
      </c>
      <c r="FX5301" s="65" t="s">
        <v>6478</v>
      </c>
      <c r="GP5301" s="292" t="s">
        <v>7494</v>
      </c>
    </row>
    <row r="5302" spans="1:282" x14ac:dyDescent="0.25">
      <c r="A5302" s="55">
        <v>5301</v>
      </c>
      <c r="B5302" s="12" t="s">
        <v>7067</v>
      </c>
      <c r="C5302" s="155" t="s">
        <v>6429</v>
      </c>
      <c r="E5302" s="90" t="s">
        <v>6468</v>
      </c>
      <c r="G5302" s="55" t="s">
        <v>6469</v>
      </c>
      <c r="H5302" s="55" t="s">
        <v>5564</v>
      </c>
      <c r="J5302" s="55" t="s">
        <v>6470</v>
      </c>
      <c r="K5302" s="55" t="s">
        <v>6471</v>
      </c>
      <c r="L5302" s="55" t="s">
        <v>3377</v>
      </c>
      <c r="M5302" s="90">
        <f>43+42/60</f>
        <v>43.7</v>
      </c>
      <c r="N5302" s="90">
        <f>125+52/60</f>
        <v>125.86666666666666</v>
      </c>
      <c r="O5302" s="90">
        <f>AVERAGE(188.25, 299.36)</f>
        <v>243.80500000000001</v>
      </c>
      <c r="P5302" s="55" t="s">
        <v>5489</v>
      </c>
      <c r="S5302" s="90" t="s">
        <v>6472</v>
      </c>
      <c r="AM5302" s="55" t="s">
        <v>6473</v>
      </c>
      <c r="AO5302" s="185" t="s">
        <v>7494</v>
      </c>
      <c r="AU5302" s="181" t="s">
        <v>7494</v>
      </c>
      <c r="AV5302" s="185" t="s">
        <v>176</v>
      </c>
      <c r="AX5302" s="185" t="s">
        <v>176</v>
      </c>
      <c r="BK5302" s="55" t="s">
        <v>5981</v>
      </c>
      <c r="BV5302" s="55" t="s">
        <v>6476</v>
      </c>
      <c r="FJ5302" s="65">
        <v>1.2056</v>
      </c>
      <c r="FK5302" s="65">
        <v>0.2155</v>
      </c>
      <c r="FN5302" s="65" t="s">
        <v>6477</v>
      </c>
      <c r="FO5302" s="65">
        <v>18.5</v>
      </c>
      <c r="FP5302" s="65">
        <v>13</v>
      </c>
      <c r="FS5302" s="65" t="s">
        <v>637</v>
      </c>
      <c r="FT5302" s="65">
        <v>0.3</v>
      </c>
      <c r="FU5302" s="65">
        <v>0.23</v>
      </c>
      <c r="FX5302" s="65" t="s">
        <v>6478</v>
      </c>
      <c r="GP5302" s="292" t="s">
        <v>7494</v>
      </c>
    </row>
    <row r="5303" spans="1:282" x14ac:dyDescent="0.25">
      <c r="A5303" s="55">
        <v>5302</v>
      </c>
      <c r="B5303" s="12" t="s">
        <v>7067</v>
      </c>
      <c r="C5303" s="155" t="s">
        <v>6429</v>
      </c>
      <c r="E5303" s="90" t="s">
        <v>6468</v>
      </c>
      <c r="G5303" s="55" t="s">
        <v>6469</v>
      </c>
      <c r="H5303" s="55" t="s">
        <v>5564</v>
      </c>
      <c r="J5303" s="55" t="s">
        <v>6470</v>
      </c>
      <c r="K5303" s="55" t="s">
        <v>6471</v>
      </c>
      <c r="L5303" s="55" t="s">
        <v>6486</v>
      </c>
      <c r="AO5303" s="185" t="s">
        <v>7494</v>
      </c>
      <c r="AU5303" s="181" t="s">
        <v>7494</v>
      </c>
      <c r="AV5303" s="185" t="s">
        <v>176</v>
      </c>
      <c r="AX5303" s="185" t="s">
        <v>176</v>
      </c>
      <c r="BK5303" s="55" t="s">
        <v>4499</v>
      </c>
      <c r="BV5303" s="55" t="s">
        <v>6487</v>
      </c>
      <c r="CB5303" s="66">
        <v>790</v>
      </c>
      <c r="CC5303" s="66">
        <v>1260</v>
      </c>
      <c r="CG5303" s="65" t="s">
        <v>178</v>
      </c>
      <c r="GP5303" s="292" t="s">
        <v>7494</v>
      </c>
      <c r="JU5303" s="55" t="s">
        <v>6602</v>
      </c>
      <c r="JV5303" s="55" t="s">
        <v>6603</v>
      </c>
    </row>
    <row r="5304" spans="1:282" x14ac:dyDescent="0.25">
      <c r="A5304" s="55">
        <v>5303</v>
      </c>
      <c r="B5304" s="12" t="s">
        <v>7067</v>
      </c>
      <c r="C5304" s="155" t="s">
        <v>6429</v>
      </c>
      <c r="E5304" s="90" t="s">
        <v>6468</v>
      </c>
      <c r="G5304" s="55" t="s">
        <v>6469</v>
      </c>
      <c r="H5304" s="55" t="s">
        <v>5564</v>
      </c>
      <c r="J5304" s="55" t="s">
        <v>6470</v>
      </c>
      <c r="K5304" s="55" t="s">
        <v>6471</v>
      </c>
      <c r="L5304" s="55" t="s">
        <v>6486</v>
      </c>
      <c r="AO5304" s="185" t="s">
        <v>7494</v>
      </c>
      <c r="AU5304" s="181" t="s">
        <v>7494</v>
      </c>
      <c r="AV5304" s="185" t="s">
        <v>176</v>
      </c>
      <c r="AX5304" s="185" t="s">
        <v>176</v>
      </c>
      <c r="BK5304" s="55" t="s">
        <v>4499</v>
      </c>
      <c r="BV5304" s="55" t="s">
        <v>6487</v>
      </c>
      <c r="CB5304" s="66">
        <v>1230</v>
      </c>
      <c r="CC5304" s="66">
        <v>1440</v>
      </c>
      <c r="CG5304" s="65" t="s">
        <v>178</v>
      </c>
      <c r="GP5304" s="292" t="s">
        <v>7494</v>
      </c>
      <c r="JU5304" s="55" t="s">
        <v>6602</v>
      </c>
      <c r="JV5304" s="55" t="s">
        <v>6603</v>
      </c>
    </row>
    <row r="5305" spans="1:282" x14ac:dyDescent="0.25">
      <c r="A5305" s="55">
        <v>5304</v>
      </c>
      <c r="B5305" s="12" t="s">
        <v>7067</v>
      </c>
      <c r="C5305" s="155" t="s">
        <v>6429</v>
      </c>
      <c r="E5305" s="90" t="s">
        <v>6468</v>
      </c>
      <c r="G5305" s="55" t="s">
        <v>6469</v>
      </c>
      <c r="H5305" s="55" t="s">
        <v>5564</v>
      </c>
      <c r="J5305" s="55" t="s">
        <v>6470</v>
      </c>
      <c r="K5305" s="55" t="s">
        <v>6471</v>
      </c>
      <c r="L5305" s="55" t="s">
        <v>6486</v>
      </c>
      <c r="AO5305" s="185" t="s">
        <v>7494</v>
      </c>
      <c r="AU5305" s="181" t="s">
        <v>7494</v>
      </c>
      <c r="AV5305" s="185" t="s">
        <v>176</v>
      </c>
      <c r="AX5305" s="185" t="s">
        <v>176</v>
      </c>
      <c r="BK5305" s="55" t="s">
        <v>4499</v>
      </c>
      <c r="BV5305" s="55" t="s">
        <v>6487</v>
      </c>
      <c r="CB5305" s="66">
        <v>850</v>
      </c>
      <c r="CC5305" s="66">
        <v>1120</v>
      </c>
      <c r="CG5305" s="65" t="s">
        <v>178</v>
      </c>
      <c r="GP5305" s="292" t="s">
        <v>7494</v>
      </c>
      <c r="JU5305" s="55" t="s">
        <v>6602</v>
      </c>
      <c r="JV5305" s="55" t="s">
        <v>6603</v>
      </c>
    </row>
    <row r="5306" spans="1:282" x14ac:dyDescent="0.25">
      <c r="A5306" s="55">
        <v>5305</v>
      </c>
      <c r="B5306" s="12" t="s">
        <v>7067</v>
      </c>
      <c r="C5306" s="155" t="s">
        <v>6429</v>
      </c>
      <c r="E5306" s="90" t="s">
        <v>6468</v>
      </c>
      <c r="G5306" s="55" t="s">
        <v>6469</v>
      </c>
      <c r="H5306" s="55" t="s">
        <v>5564</v>
      </c>
      <c r="J5306" s="55" t="s">
        <v>6470</v>
      </c>
      <c r="K5306" s="55" t="s">
        <v>6471</v>
      </c>
      <c r="L5306" s="55" t="s">
        <v>6486</v>
      </c>
      <c r="AO5306" s="185" t="s">
        <v>7494</v>
      </c>
      <c r="AU5306" s="181" t="s">
        <v>7494</v>
      </c>
      <c r="AV5306" s="185" t="s">
        <v>176</v>
      </c>
      <c r="AX5306" s="185" t="s">
        <v>176</v>
      </c>
      <c r="BK5306" s="55" t="s">
        <v>4499</v>
      </c>
      <c r="BV5306" s="55" t="s">
        <v>6487</v>
      </c>
      <c r="CB5306" s="66">
        <v>1180</v>
      </c>
      <c r="CC5306" s="66">
        <v>1470</v>
      </c>
      <c r="CG5306" s="65" t="s">
        <v>178</v>
      </c>
      <c r="GP5306" s="292" t="s">
        <v>7494</v>
      </c>
      <c r="JU5306" s="55" t="s">
        <v>6602</v>
      </c>
      <c r="JV5306" s="55" t="s">
        <v>6603</v>
      </c>
    </row>
    <row r="5307" spans="1:282" x14ac:dyDescent="0.25">
      <c r="A5307" s="55">
        <v>5306</v>
      </c>
      <c r="B5307" s="12" t="s">
        <v>7067</v>
      </c>
      <c r="C5307" s="155" t="s">
        <v>6429</v>
      </c>
      <c r="E5307" s="90" t="s">
        <v>6468</v>
      </c>
      <c r="G5307" s="55" t="s">
        <v>6469</v>
      </c>
      <c r="H5307" s="55" t="s">
        <v>5564</v>
      </c>
      <c r="J5307" s="55" t="s">
        <v>6470</v>
      </c>
      <c r="K5307" s="55" t="s">
        <v>6471</v>
      </c>
      <c r="L5307" s="55" t="s">
        <v>6486</v>
      </c>
      <c r="AO5307" s="185" t="s">
        <v>7494</v>
      </c>
      <c r="AU5307" s="181" t="s">
        <v>7494</v>
      </c>
      <c r="AV5307" s="185" t="s">
        <v>176</v>
      </c>
      <c r="AX5307" s="185" t="s">
        <v>176</v>
      </c>
      <c r="BK5307" s="55" t="s">
        <v>4499</v>
      </c>
      <c r="BV5307" s="55" t="s">
        <v>6487</v>
      </c>
      <c r="CB5307" s="66">
        <v>1580</v>
      </c>
      <c r="CC5307" s="66">
        <v>1870</v>
      </c>
      <c r="CG5307" s="65" t="s">
        <v>178</v>
      </c>
      <c r="GP5307" s="292" t="s">
        <v>7494</v>
      </c>
      <c r="JU5307" s="55" t="s">
        <v>6602</v>
      </c>
      <c r="JV5307" s="55" t="s">
        <v>6603</v>
      </c>
    </row>
    <row r="5308" spans="1:282" x14ac:dyDescent="0.25">
      <c r="A5308" s="55">
        <v>5307</v>
      </c>
      <c r="B5308" s="12" t="s">
        <v>7067</v>
      </c>
      <c r="C5308" s="155" t="s">
        <v>6429</v>
      </c>
      <c r="E5308" s="90" t="s">
        <v>6468</v>
      </c>
      <c r="G5308" s="55" t="s">
        <v>6469</v>
      </c>
      <c r="H5308" s="55" t="s">
        <v>5564</v>
      </c>
      <c r="J5308" s="55" t="s">
        <v>6470</v>
      </c>
      <c r="K5308" s="55" t="s">
        <v>6471</v>
      </c>
      <c r="L5308" s="55" t="s">
        <v>6486</v>
      </c>
      <c r="AO5308" s="185" t="s">
        <v>7494</v>
      </c>
      <c r="AU5308" s="181" t="s">
        <v>7494</v>
      </c>
      <c r="AV5308" s="185" t="s">
        <v>176</v>
      </c>
      <c r="AX5308" s="185" t="s">
        <v>176</v>
      </c>
      <c r="BK5308" s="55" t="s">
        <v>4499</v>
      </c>
      <c r="BV5308" s="55" t="s">
        <v>6487</v>
      </c>
      <c r="CB5308" s="66">
        <v>970</v>
      </c>
      <c r="CC5308" s="66">
        <v>1240</v>
      </c>
      <c r="CG5308" s="65" t="s">
        <v>178</v>
      </c>
      <c r="GP5308" s="292" t="s">
        <v>7494</v>
      </c>
      <c r="JU5308" s="55" t="s">
        <v>6602</v>
      </c>
      <c r="JV5308" s="55" t="s">
        <v>6603</v>
      </c>
    </row>
    <row r="5309" spans="1:282" x14ac:dyDescent="0.25">
      <c r="A5309" s="55">
        <v>5308</v>
      </c>
      <c r="B5309" s="12" t="s">
        <v>7067</v>
      </c>
      <c r="C5309" s="155" t="s">
        <v>6429</v>
      </c>
      <c r="E5309" s="90" t="s">
        <v>6468</v>
      </c>
      <c r="G5309" s="55" t="s">
        <v>6469</v>
      </c>
      <c r="H5309" s="55" t="s">
        <v>5564</v>
      </c>
      <c r="J5309" s="55" t="s">
        <v>6470</v>
      </c>
      <c r="K5309" s="55" t="s">
        <v>6471</v>
      </c>
      <c r="L5309" s="55" t="s">
        <v>6486</v>
      </c>
      <c r="AO5309" s="185" t="s">
        <v>7494</v>
      </c>
      <c r="AU5309" s="181" t="s">
        <v>7494</v>
      </c>
      <c r="AV5309" s="185" t="s">
        <v>176</v>
      </c>
      <c r="AX5309" s="185" t="s">
        <v>176</v>
      </c>
      <c r="BK5309" s="55" t="s">
        <v>4499</v>
      </c>
      <c r="BV5309" s="55" t="s">
        <v>6487</v>
      </c>
      <c r="CB5309" s="66">
        <v>710</v>
      </c>
      <c r="CC5309" s="66">
        <v>1090</v>
      </c>
      <c r="CG5309" s="65" t="s">
        <v>178</v>
      </c>
      <c r="GP5309" s="292" t="s">
        <v>7494</v>
      </c>
      <c r="JU5309" s="55" t="s">
        <v>6602</v>
      </c>
      <c r="JV5309" s="55" t="s">
        <v>6603</v>
      </c>
    </row>
    <row r="5310" spans="1:282" x14ac:dyDescent="0.25">
      <c r="A5310" s="55">
        <v>5309</v>
      </c>
      <c r="B5310" s="12" t="s">
        <v>7067</v>
      </c>
      <c r="C5310" s="155" t="s">
        <v>6429</v>
      </c>
      <c r="E5310" s="90" t="s">
        <v>6468</v>
      </c>
      <c r="G5310" s="55" t="s">
        <v>6469</v>
      </c>
      <c r="H5310" s="55" t="s">
        <v>5564</v>
      </c>
      <c r="J5310" s="55" t="s">
        <v>6470</v>
      </c>
      <c r="K5310" s="55" t="s">
        <v>6471</v>
      </c>
      <c r="L5310" s="55" t="s">
        <v>6486</v>
      </c>
      <c r="AO5310" s="185" t="s">
        <v>7494</v>
      </c>
      <c r="AU5310" s="181" t="s">
        <v>7494</v>
      </c>
      <c r="AV5310" s="185" t="s">
        <v>176</v>
      </c>
      <c r="AX5310" s="185" t="s">
        <v>176</v>
      </c>
      <c r="BK5310" s="55" t="s">
        <v>4499</v>
      </c>
      <c r="BV5310" s="55" t="s">
        <v>6487</v>
      </c>
      <c r="CB5310" s="66">
        <v>1520</v>
      </c>
      <c r="CC5310" s="66">
        <v>1700</v>
      </c>
      <c r="CG5310" s="65" t="s">
        <v>178</v>
      </c>
      <c r="GP5310" s="292" t="s">
        <v>7494</v>
      </c>
      <c r="JU5310" s="55" t="s">
        <v>6602</v>
      </c>
      <c r="JV5310" s="55" t="s">
        <v>6603</v>
      </c>
    </row>
    <row r="5311" spans="1:282" x14ac:dyDescent="0.25">
      <c r="A5311" s="55">
        <v>5310</v>
      </c>
      <c r="B5311" s="12" t="s">
        <v>7067</v>
      </c>
      <c r="C5311" s="155" t="s">
        <v>6430</v>
      </c>
      <c r="E5311" s="90" t="s">
        <v>6479</v>
      </c>
      <c r="H5311" s="55" t="s">
        <v>6480</v>
      </c>
      <c r="L5311" s="55" t="s">
        <v>2737</v>
      </c>
      <c r="AO5311" s="185" t="s">
        <v>7494</v>
      </c>
      <c r="AU5311" s="181" t="s">
        <v>7494</v>
      </c>
      <c r="AV5311" s="185" t="s">
        <v>176</v>
      </c>
      <c r="AX5311" s="185" t="s">
        <v>176</v>
      </c>
      <c r="BK5311" s="55" t="s">
        <v>2082</v>
      </c>
      <c r="FO5311" s="65">
        <v>10</v>
      </c>
      <c r="FP5311" s="65">
        <v>0</v>
      </c>
      <c r="FS5311" s="65" t="s">
        <v>637</v>
      </c>
      <c r="GI5311" s="65">
        <v>29</v>
      </c>
      <c r="GJ5311" s="65">
        <v>139</v>
      </c>
      <c r="GM5311" s="65" t="s">
        <v>6482</v>
      </c>
      <c r="GP5311" s="292" t="s">
        <v>7494</v>
      </c>
    </row>
    <row r="5312" spans="1:282" x14ac:dyDescent="0.25">
      <c r="A5312" s="55">
        <v>5311</v>
      </c>
      <c r="B5312" s="12" t="s">
        <v>7067</v>
      </c>
      <c r="C5312" s="155" t="s">
        <v>6431</v>
      </c>
      <c r="E5312" s="90" t="s">
        <v>6483</v>
      </c>
      <c r="G5312" s="55" t="s">
        <v>6484</v>
      </c>
      <c r="H5312" s="55" t="s">
        <v>5699</v>
      </c>
      <c r="L5312" s="55" t="s">
        <v>2746</v>
      </c>
      <c r="AO5312" s="185" t="s">
        <v>7494</v>
      </c>
      <c r="AU5312" s="181" t="s">
        <v>7494</v>
      </c>
      <c r="AV5312" s="185" t="s">
        <v>176</v>
      </c>
      <c r="AX5312" s="185" t="s">
        <v>176</v>
      </c>
      <c r="BK5312" s="55" t="s">
        <v>5981</v>
      </c>
      <c r="FJ5312" s="65">
        <v>10.9</v>
      </c>
      <c r="FK5312" s="65">
        <v>2.15</v>
      </c>
      <c r="FN5312" s="65" t="s">
        <v>6485</v>
      </c>
      <c r="GP5312" s="292" t="s">
        <v>7494</v>
      </c>
    </row>
    <row r="5313" spans="1:198" x14ac:dyDescent="0.25">
      <c r="A5313" s="55">
        <v>5312</v>
      </c>
      <c r="B5313" s="12" t="s">
        <v>7067</v>
      </c>
      <c r="C5313" s="155" t="s">
        <v>6431</v>
      </c>
      <c r="E5313" s="90" t="s">
        <v>6483</v>
      </c>
      <c r="G5313" s="55" t="s">
        <v>6484</v>
      </c>
      <c r="H5313" s="55" t="s">
        <v>5699</v>
      </c>
      <c r="L5313" s="55" t="s">
        <v>2746</v>
      </c>
      <c r="AO5313" s="185" t="s">
        <v>7494</v>
      </c>
      <c r="AU5313" s="181" t="s">
        <v>7494</v>
      </c>
      <c r="AV5313" s="185" t="s">
        <v>176</v>
      </c>
      <c r="AX5313" s="185" t="s">
        <v>176</v>
      </c>
      <c r="BK5313" s="55" t="s">
        <v>5981</v>
      </c>
      <c r="FJ5313" s="65">
        <v>60.9</v>
      </c>
      <c r="FK5313" s="65">
        <v>15.3</v>
      </c>
      <c r="FN5313" s="65" t="s">
        <v>6485</v>
      </c>
      <c r="GP5313" s="292" t="s">
        <v>7494</v>
      </c>
    </row>
    <row r="5314" spans="1:198" x14ac:dyDescent="0.25">
      <c r="A5314" s="55">
        <v>5313</v>
      </c>
      <c r="B5314" s="12" t="s">
        <v>7067</v>
      </c>
      <c r="C5314" s="155" t="s">
        <v>6431</v>
      </c>
      <c r="E5314" s="90" t="s">
        <v>6483</v>
      </c>
      <c r="G5314" s="55" t="s">
        <v>6484</v>
      </c>
      <c r="H5314" s="55" t="s">
        <v>5699</v>
      </c>
      <c r="L5314" s="55" t="s">
        <v>2746</v>
      </c>
      <c r="AO5314" s="185" t="s">
        <v>7494</v>
      </c>
      <c r="AU5314" s="181" t="s">
        <v>7494</v>
      </c>
      <c r="AV5314" s="185" t="s">
        <v>176</v>
      </c>
      <c r="AX5314" s="185" t="s">
        <v>176</v>
      </c>
      <c r="BK5314" s="55" t="s">
        <v>5981</v>
      </c>
      <c r="FJ5314" s="65">
        <v>154.4</v>
      </c>
      <c r="FK5314" s="65">
        <v>37.299999999999997</v>
      </c>
      <c r="FN5314" s="65" t="s">
        <v>6485</v>
      </c>
      <c r="GP5314" s="292" t="s">
        <v>7494</v>
      </c>
    </row>
    <row r="5315" spans="1:198" x14ac:dyDescent="0.25">
      <c r="A5315" s="55">
        <v>5314</v>
      </c>
      <c r="B5315" s="12" t="s">
        <v>7067</v>
      </c>
      <c r="C5315" s="155" t="s">
        <v>6432</v>
      </c>
      <c r="E5315" s="90" t="s">
        <v>6488</v>
      </c>
      <c r="G5315" s="55" t="s">
        <v>6489</v>
      </c>
      <c r="H5315" s="55" t="s">
        <v>5608</v>
      </c>
      <c r="I5315" s="55" t="s">
        <v>5564</v>
      </c>
      <c r="J5315" s="55" t="s">
        <v>6490</v>
      </c>
      <c r="K5315" s="55" t="s">
        <v>6491</v>
      </c>
      <c r="L5315" s="55" t="s">
        <v>3377</v>
      </c>
      <c r="M5315" s="90">
        <v>36.090000000000003</v>
      </c>
      <c r="N5315" s="90">
        <v>103.7</v>
      </c>
      <c r="O5315" s="90">
        <v>2000</v>
      </c>
      <c r="S5315" s="90" t="s">
        <v>6492</v>
      </c>
      <c r="U5315" s="55" t="s">
        <v>1935</v>
      </c>
      <c r="V5315" s="55" t="s">
        <v>1935</v>
      </c>
      <c r="AH5315" s="55" t="s">
        <v>769</v>
      </c>
      <c r="AM5315" s="55" t="s">
        <v>6493</v>
      </c>
      <c r="AO5315" s="185" t="s">
        <v>7494</v>
      </c>
      <c r="AU5315" s="181" t="s">
        <v>7494</v>
      </c>
      <c r="AV5315" s="185" t="s">
        <v>176</v>
      </c>
      <c r="AX5315" s="185" t="s">
        <v>176</v>
      </c>
      <c r="BK5315" s="55" t="s">
        <v>2082</v>
      </c>
      <c r="BN5315" s="55" t="s">
        <v>1805</v>
      </c>
      <c r="BO5315" s="55" t="s">
        <v>1805</v>
      </c>
      <c r="CH5315" s="90">
        <v>1.17</v>
      </c>
      <c r="FJ5315" s="65">
        <f>0.01*6.5</f>
        <v>6.5000000000000002E-2</v>
      </c>
      <c r="FK5315" s="65">
        <v>2.3E-2</v>
      </c>
      <c r="FN5315" s="65" t="s">
        <v>6494</v>
      </c>
      <c r="FO5315" s="65">
        <v>60.32</v>
      </c>
      <c r="FP5315" s="65">
        <v>45.89</v>
      </c>
      <c r="GP5315" s="292" t="s">
        <v>7494</v>
      </c>
    </row>
    <row r="5316" spans="1:198" x14ac:dyDescent="0.25">
      <c r="A5316" s="55">
        <v>5315</v>
      </c>
      <c r="B5316" s="12" t="s">
        <v>7067</v>
      </c>
      <c r="C5316" s="155" t="s">
        <v>6432</v>
      </c>
      <c r="E5316" s="90" t="s">
        <v>6488</v>
      </c>
      <c r="G5316" s="55" t="s">
        <v>6489</v>
      </c>
      <c r="H5316" s="55" t="s">
        <v>5608</v>
      </c>
      <c r="I5316" s="55" t="s">
        <v>5564</v>
      </c>
      <c r="J5316" s="55" t="s">
        <v>6490</v>
      </c>
      <c r="K5316" s="55" t="s">
        <v>6491</v>
      </c>
      <c r="L5316" s="55" t="s">
        <v>3377</v>
      </c>
      <c r="M5316" s="90">
        <v>36.090000000000003</v>
      </c>
      <c r="N5316" s="90">
        <v>103.7</v>
      </c>
      <c r="O5316" s="90">
        <v>2000</v>
      </c>
      <c r="S5316" s="90" t="s">
        <v>6492</v>
      </c>
      <c r="U5316" s="55" t="s">
        <v>1935</v>
      </c>
      <c r="V5316" s="55" t="s">
        <v>1935</v>
      </c>
      <c r="AH5316" s="55" t="s">
        <v>769</v>
      </c>
      <c r="AM5316" s="55" t="s">
        <v>6493</v>
      </c>
      <c r="AO5316" s="185" t="s">
        <v>7494</v>
      </c>
      <c r="AU5316" s="181" t="s">
        <v>7494</v>
      </c>
      <c r="AV5316" s="185" t="s">
        <v>176</v>
      </c>
      <c r="AX5316" s="185" t="s">
        <v>176</v>
      </c>
      <c r="BK5316" s="55" t="s">
        <v>6452</v>
      </c>
      <c r="BN5316" s="55" t="s">
        <v>1805</v>
      </c>
      <c r="BO5316" s="55" t="s">
        <v>1805</v>
      </c>
      <c r="CH5316" s="90">
        <v>1.17</v>
      </c>
      <c r="FJ5316" s="65">
        <f>0.01*6.5</f>
        <v>6.5000000000000002E-2</v>
      </c>
      <c r="FK5316" s="65">
        <v>2.1999999999999999E-2</v>
      </c>
      <c r="FN5316" s="65" t="s">
        <v>6494</v>
      </c>
      <c r="FO5316" s="65">
        <v>60.32</v>
      </c>
      <c r="FP5316" s="65">
        <v>44.78</v>
      </c>
      <c r="GP5316" s="292" t="s">
        <v>7494</v>
      </c>
    </row>
    <row r="5317" spans="1:198" x14ac:dyDescent="0.25">
      <c r="A5317" s="55">
        <v>5316</v>
      </c>
      <c r="B5317" s="12" t="s">
        <v>7067</v>
      </c>
      <c r="C5317" s="155" t="s">
        <v>6432</v>
      </c>
      <c r="E5317" s="90" t="s">
        <v>6488</v>
      </c>
      <c r="G5317" s="55" t="s">
        <v>6489</v>
      </c>
      <c r="H5317" s="55" t="s">
        <v>5608</v>
      </c>
      <c r="I5317" s="55" t="s">
        <v>5564</v>
      </c>
      <c r="J5317" s="55" t="s">
        <v>6490</v>
      </c>
      <c r="K5317" s="55" t="s">
        <v>6491</v>
      </c>
      <c r="L5317" s="55" t="s">
        <v>3377</v>
      </c>
      <c r="M5317" s="90">
        <v>36.090000000000003</v>
      </c>
      <c r="N5317" s="90">
        <v>103.7</v>
      </c>
      <c r="O5317" s="90">
        <v>2000</v>
      </c>
      <c r="S5317" s="90" t="s">
        <v>6492</v>
      </c>
      <c r="U5317" s="55" t="s">
        <v>1935</v>
      </c>
      <c r="V5317" s="55" t="s">
        <v>1935</v>
      </c>
      <c r="AH5317" s="55" t="s">
        <v>769</v>
      </c>
      <c r="AM5317" s="55" t="s">
        <v>6493</v>
      </c>
      <c r="AO5317" s="185" t="s">
        <v>7494</v>
      </c>
      <c r="AU5317" s="181" t="s">
        <v>7494</v>
      </c>
      <c r="AV5317" s="185" t="s">
        <v>176</v>
      </c>
      <c r="AX5317" s="185" t="s">
        <v>176</v>
      </c>
      <c r="BK5317" s="55" t="s">
        <v>6452</v>
      </c>
      <c r="BN5317" s="55" t="s">
        <v>1805</v>
      </c>
      <c r="BO5317" s="55" t="s">
        <v>1805</v>
      </c>
      <c r="CH5317" s="90">
        <v>1.17</v>
      </c>
      <c r="FJ5317" s="65">
        <f>0.01*6.5</f>
        <v>6.5000000000000002E-2</v>
      </c>
      <c r="FK5317" s="65">
        <v>0.02</v>
      </c>
      <c r="FN5317" s="65" t="s">
        <v>6494</v>
      </c>
      <c r="FO5317" s="65">
        <v>60.32</v>
      </c>
      <c r="FP5317" s="65">
        <v>50.32</v>
      </c>
      <c r="GP5317" s="292" t="s">
        <v>7494</v>
      </c>
    </row>
    <row r="5318" spans="1:198" x14ac:dyDescent="0.25">
      <c r="A5318" s="55">
        <v>5317</v>
      </c>
      <c r="B5318" s="12" t="s">
        <v>7067</v>
      </c>
      <c r="C5318" s="155" t="s">
        <v>6433</v>
      </c>
      <c r="D5318" s="55" t="s">
        <v>6513</v>
      </c>
      <c r="E5318" s="90" t="s">
        <v>6495</v>
      </c>
      <c r="G5318" s="55" t="s">
        <v>6496</v>
      </c>
      <c r="H5318" s="55" t="s">
        <v>6390</v>
      </c>
      <c r="I5318" s="55" t="s">
        <v>5490</v>
      </c>
      <c r="J5318" s="55" t="s">
        <v>6470</v>
      </c>
      <c r="K5318" s="55" t="s">
        <v>6497</v>
      </c>
      <c r="L5318" s="55" t="s">
        <v>3377</v>
      </c>
      <c r="M5318" s="90">
        <f>38+48/60</f>
        <v>38.799999999999997</v>
      </c>
      <c r="N5318" s="90">
        <f>110+22/60</f>
        <v>110.36666666666666</v>
      </c>
      <c r="Q5318" s="55" t="s">
        <v>5573</v>
      </c>
      <c r="S5318" s="90" t="s">
        <v>6498</v>
      </c>
      <c r="U5318" s="55" t="s">
        <v>1935</v>
      </c>
      <c r="V5318" s="55" t="s">
        <v>1694</v>
      </c>
      <c r="Z5318" s="55" t="s">
        <v>6508</v>
      </c>
      <c r="AA5318" s="90">
        <v>10</v>
      </c>
      <c r="AH5318" s="55" t="s">
        <v>769</v>
      </c>
      <c r="AJ5318" s="90">
        <v>0.64400000000000002</v>
      </c>
      <c r="AM5318" s="55" t="s">
        <v>6493</v>
      </c>
      <c r="AO5318" s="185" t="s">
        <v>5150</v>
      </c>
      <c r="AU5318" s="181" t="s">
        <v>7494</v>
      </c>
      <c r="AV5318" s="185" t="s">
        <v>176</v>
      </c>
      <c r="AX5318" s="185" t="s">
        <v>176</v>
      </c>
      <c r="BK5318" s="55" t="s">
        <v>2082</v>
      </c>
      <c r="BN5318" s="55" t="s">
        <v>1805</v>
      </c>
      <c r="BO5318" s="55" t="s">
        <v>1805</v>
      </c>
      <c r="BP5318" s="55" t="s">
        <v>1682</v>
      </c>
      <c r="CB5318" s="66">
        <v>1480.8</v>
      </c>
      <c r="CC5318" s="66">
        <v>1502</v>
      </c>
      <c r="CH5318" s="90">
        <v>1.35</v>
      </c>
      <c r="CI5318" s="90">
        <v>1.3</v>
      </c>
      <c r="CM5318" s="65">
        <v>0.45</v>
      </c>
      <c r="CN5318" s="65">
        <v>0.46</v>
      </c>
      <c r="CQ5318" s="65" t="s">
        <v>164</v>
      </c>
      <c r="DB5318" s="65">
        <v>0.28000000000000003</v>
      </c>
      <c r="DC5318" s="65">
        <v>0.23</v>
      </c>
      <c r="DF5318" s="65" t="s">
        <v>165</v>
      </c>
      <c r="DG5318" s="65">
        <v>9.0399999999999991</v>
      </c>
      <c r="DH5318" s="65">
        <v>7.17</v>
      </c>
      <c r="DK5318" s="65" t="s">
        <v>6511</v>
      </c>
      <c r="DL5318" s="65">
        <v>86.65</v>
      </c>
      <c r="DM5318" s="65">
        <v>80.48</v>
      </c>
      <c r="DP5318" s="65" t="s">
        <v>6512</v>
      </c>
      <c r="FY5318" s="65">
        <v>18.5</v>
      </c>
      <c r="FZ5318" s="65">
        <v>18.91</v>
      </c>
      <c r="GD5318" s="65">
        <v>24.94</v>
      </c>
      <c r="GE5318" s="65">
        <v>23.09</v>
      </c>
      <c r="GH5318" s="65" t="s">
        <v>164</v>
      </c>
      <c r="GP5318" s="292" t="s">
        <v>7494</v>
      </c>
    </row>
    <row r="5319" spans="1:198" x14ac:dyDescent="0.25">
      <c r="A5319" s="55">
        <v>5318</v>
      </c>
      <c r="B5319" s="12" t="s">
        <v>7067</v>
      </c>
      <c r="C5319" s="155" t="s">
        <v>6433</v>
      </c>
      <c r="D5319" s="55" t="s">
        <v>6514</v>
      </c>
      <c r="E5319" s="90" t="s">
        <v>6495</v>
      </c>
      <c r="G5319" s="55" t="s">
        <v>6496</v>
      </c>
      <c r="H5319" s="55" t="s">
        <v>6390</v>
      </c>
      <c r="I5319" s="55" t="s">
        <v>5490</v>
      </c>
      <c r="J5319" s="55" t="s">
        <v>6470</v>
      </c>
      <c r="K5319" s="55" t="s">
        <v>6497</v>
      </c>
      <c r="L5319" s="55" t="s">
        <v>3377</v>
      </c>
      <c r="M5319" s="90">
        <f>38+48/60</f>
        <v>38.799999999999997</v>
      </c>
      <c r="N5319" s="90">
        <f>110+22/60</f>
        <v>110.36666666666666</v>
      </c>
      <c r="Q5319" s="55" t="s">
        <v>5573</v>
      </c>
      <c r="S5319" s="90" t="s">
        <v>6498</v>
      </c>
      <c r="U5319" s="55" t="s">
        <v>1935</v>
      </c>
      <c r="V5319" s="55" t="s">
        <v>1694</v>
      </c>
      <c r="Z5319" s="55" t="s">
        <v>6508</v>
      </c>
      <c r="AA5319" s="90">
        <v>10</v>
      </c>
      <c r="AH5319" s="55" t="s">
        <v>769</v>
      </c>
      <c r="AJ5319" s="90">
        <v>0.64400000000000002</v>
      </c>
      <c r="AM5319" s="55" t="s">
        <v>6493</v>
      </c>
      <c r="AO5319" s="185" t="s">
        <v>5150</v>
      </c>
      <c r="AU5319" s="181" t="s">
        <v>7494</v>
      </c>
      <c r="AV5319" s="185" t="s">
        <v>176</v>
      </c>
      <c r="AX5319" s="185" t="s">
        <v>176</v>
      </c>
      <c r="BK5319" s="55" t="s">
        <v>5981</v>
      </c>
      <c r="BN5319" s="55" t="s">
        <v>1805</v>
      </c>
      <c r="BO5319" s="55" t="s">
        <v>1805</v>
      </c>
      <c r="BP5319" s="55" t="s">
        <v>1682</v>
      </c>
      <c r="CB5319" s="66">
        <v>1480.8</v>
      </c>
      <c r="CC5319" s="66">
        <v>1422.9</v>
      </c>
      <c r="CH5319" s="90">
        <v>1.35</v>
      </c>
      <c r="CI5319" s="90">
        <v>1.3</v>
      </c>
      <c r="CM5319" s="65">
        <v>0.45</v>
      </c>
      <c r="CN5319" s="65">
        <v>0.47</v>
      </c>
      <c r="CQ5319" s="65" t="s">
        <v>164</v>
      </c>
      <c r="DB5319" s="65">
        <v>0.28000000000000003</v>
      </c>
      <c r="DC5319" s="65">
        <v>0.27</v>
      </c>
      <c r="DF5319" s="65" t="s">
        <v>165</v>
      </c>
      <c r="DG5319" s="65">
        <v>9.0399999999999991</v>
      </c>
      <c r="DH5319" s="65">
        <v>8.33</v>
      </c>
      <c r="DK5319" s="65" t="s">
        <v>6511</v>
      </c>
      <c r="DL5319" s="65">
        <v>86.65</v>
      </c>
      <c r="DM5319" s="65">
        <v>78.180000000000007</v>
      </c>
      <c r="DP5319" s="65" t="s">
        <v>6512</v>
      </c>
      <c r="FY5319" s="65">
        <v>18.5</v>
      </c>
      <c r="FZ5319" s="65">
        <v>18.010000000000002</v>
      </c>
      <c r="GD5319" s="65">
        <v>24.94</v>
      </c>
      <c r="GE5319" s="65">
        <v>26.97</v>
      </c>
      <c r="GH5319" s="65" t="s">
        <v>164</v>
      </c>
      <c r="GP5319" s="292" t="s">
        <v>7494</v>
      </c>
    </row>
    <row r="5320" spans="1:198" x14ac:dyDescent="0.25">
      <c r="A5320" s="55">
        <v>5319</v>
      </c>
      <c r="B5320" s="12" t="s">
        <v>7067</v>
      </c>
      <c r="C5320" s="155" t="s">
        <v>6433</v>
      </c>
      <c r="D5320" s="55" t="s">
        <v>6515</v>
      </c>
      <c r="E5320" s="90" t="s">
        <v>6495</v>
      </c>
      <c r="G5320" s="55" t="s">
        <v>6496</v>
      </c>
      <c r="H5320" s="55" t="s">
        <v>6390</v>
      </c>
      <c r="I5320" s="55" t="s">
        <v>5490</v>
      </c>
      <c r="J5320" s="55" t="s">
        <v>6470</v>
      </c>
      <c r="K5320" s="55" t="s">
        <v>6497</v>
      </c>
      <c r="L5320" s="55" t="s">
        <v>3377</v>
      </c>
      <c r="M5320" s="90">
        <f>38+48/60</f>
        <v>38.799999999999997</v>
      </c>
      <c r="N5320" s="90">
        <f>110+22/60</f>
        <v>110.36666666666666</v>
      </c>
      <c r="Q5320" s="55" t="s">
        <v>5573</v>
      </c>
      <c r="S5320" s="90" t="s">
        <v>6498</v>
      </c>
      <c r="U5320" s="55" t="s">
        <v>1935</v>
      </c>
      <c r="V5320" s="55" t="s">
        <v>1694</v>
      </c>
      <c r="Z5320" s="55" t="s">
        <v>6508</v>
      </c>
      <c r="AA5320" s="90">
        <v>10</v>
      </c>
      <c r="AH5320" s="55" t="s">
        <v>769</v>
      </c>
      <c r="AJ5320" s="90">
        <v>0.64400000000000002</v>
      </c>
      <c r="AM5320" s="55" t="s">
        <v>6493</v>
      </c>
      <c r="AO5320" s="185" t="s">
        <v>5150</v>
      </c>
      <c r="AU5320" s="181" t="s">
        <v>7494</v>
      </c>
      <c r="AV5320" s="185" t="s">
        <v>176</v>
      </c>
      <c r="AX5320" s="185" t="s">
        <v>176</v>
      </c>
      <c r="BK5320" s="55" t="s">
        <v>6503</v>
      </c>
      <c r="BN5320" s="55" t="s">
        <v>1805</v>
      </c>
      <c r="BO5320" s="55" t="s">
        <v>1805</v>
      </c>
      <c r="BP5320" s="55" t="s">
        <v>1682</v>
      </c>
      <c r="CB5320" s="66">
        <v>1480.8</v>
      </c>
      <c r="CC5320" s="66">
        <v>1835.1</v>
      </c>
      <c r="CH5320" s="90">
        <v>1.35</v>
      </c>
      <c r="CI5320" s="90">
        <v>1.31</v>
      </c>
      <c r="CM5320" s="65">
        <v>0.45</v>
      </c>
      <c r="CN5320" s="65">
        <v>0.4</v>
      </c>
      <c r="CQ5320" s="65" t="s">
        <v>164</v>
      </c>
      <c r="DB5320" s="65">
        <v>0.28000000000000003</v>
      </c>
      <c r="DC5320" s="65">
        <v>0.24</v>
      </c>
      <c r="DF5320" s="65" t="s">
        <v>165</v>
      </c>
      <c r="DG5320" s="65">
        <v>9.0399999999999991</v>
      </c>
      <c r="DH5320" s="65">
        <v>8.1999999999999993</v>
      </c>
      <c r="DK5320" s="65" t="s">
        <v>6511</v>
      </c>
      <c r="DL5320" s="65">
        <v>86.65</v>
      </c>
      <c r="DM5320" s="65">
        <v>81.11</v>
      </c>
      <c r="DP5320" s="65" t="s">
        <v>6512</v>
      </c>
      <c r="FY5320" s="65">
        <v>18.5</v>
      </c>
      <c r="FZ5320" s="65">
        <v>18.350000000000001</v>
      </c>
      <c r="GD5320" s="65">
        <v>24.94</v>
      </c>
      <c r="GE5320" s="65">
        <v>28.11</v>
      </c>
      <c r="GH5320" s="65" t="s">
        <v>164</v>
      </c>
      <c r="GP5320" s="292" t="s">
        <v>7494</v>
      </c>
    </row>
    <row r="5321" spans="1:198" x14ac:dyDescent="0.25">
      <c r="A5321" s="55">
        <v>5320</v>
      </c>
      <c r="B5321" s="12" t="s">
        <v>7067</v>
      </c>
      <c r="C5321" s="155" t="s">
        <v>6433</v>
      </c>
      <c r="D5321" s="55" t="s">
        <v>6516</v>
      </c>
      <c r="E5321" s="90" t="s">
        <v>6495</v>
      </c>
      <c r="G5321" s="55" t="s">
        <v>6496</v>
      </c>
      <c r="H5321" s="55" t="s">
        <v>6390</v>
      </c>
      <c r="I5321" s="55" t="s">
        <v>5490</v>
      </c>
      <c r="J5321" s="55" t="s">
        <v>6470</v>
      </c>
      <c r="K5321" s="55" t="s">
        <v>6497</v>
      </c>
      <c r="L5321" s="55" t="s">
        <v>3377</v>
      </c>
      <c r="M5321" s="90">
        <f>38+48/60</f>
        <v>38.799999999999997</v>
      </c>
      <c r="N5321" s="90">
        <f>110+22/60</f>
        <v>110.36666666666666</v>
      </c>
      <c r="Q5321" s="55" t="s">
        <v>5573</v>
      </c>
      <c r="S5321" s="90" t="s">
        <v>6498</v>
      </c>
      <c r="U5321" s="55" t="s">
        <v>1935</v>
      </c>
      <c r="V5321" s="55" t="s">
        <v>1694</v>
      </c>
      <c r="Z5321" s="55" t="s">
        <v>6508</v>
      </c>
      <c r="AA5321" s="90">
        <v>10</v>
      </c>
      <c r="AH5321" s="55" t="s">
        <v>769</v>
      </c>
      <c r="AJ5321" s="90">
        <v>0.64400000000000002</v>
      </c>
      <c r="AM5321" s="55" t="s">
        <v>6493</v>
      </c>
      <c r="AO5321" s="185" t="s">
        <v>5150</v>
      </c>
      <c r="AU5321" s="181" t="s">
        <v>7494</v>
      </c>
      <c r="AV5321" s="185" t="s">
        <v>176</v>
      </c>
      <c r="AX5321" s="185" t="s">
        <v>176</v>
      </c>
      <c r="BK5321" s="55" t="s">
        <v>6502</v>
      </c>
      <c r="BN5321" s="55" t="s">
        <v>1805</v>
      </c>
      <c r="BO5321" s="55" t="s">
        <v>1805</v>
      </c>
      <c r="BP5321" s="55" t="s">
        <v>1682</v>
      </c>
      <c r="CB5321" s="66">
        <v>1480.8</v>
      </c>
      <c r="CC5321" s="66">
        <v>1851</v>
      </c>
      <c r="CH5321" s="90">
        <v>1.35</v>
      </c>
      <c r="CI5321" s="90">
        <v>1.3</v>
      </c>
      <c r="CM5321" s="65">
        <v>0.45</v>
      </c>
      <c r="CN5321" s="65">
        <v>0.44</v>
      </c>
      <c r="CQ5321" s="65" t="s">
        <v>164</v>
      </c>
      <c r="DB5321" s="65">
        <v>0.28000000000000003</v>
      </c>
      <c r="DC5321" s="65">
        <v>0.2</v>
      </c>
      <c r="DF5321" s="65" t="s">
        <v>165</v>
      </c>
      <c r="DG5321" s="65">
        <v>9.0399999999999991</v>
      </c>
      <c r="DH5321" s="65">
        <v>6.5</v>
      </c>
      <c r="DK5321" s="65" t="s">
        <v>6511</v>
      </c>
      <c r="DL5321" s="65">
        <v>86.65</v>
      </c>
      <c r="DM5321" s="65">
        <v>74.63</v>
      </c>
      <c r="DP5321" s="65" t="s">
        <v>6512</v>
      </c>
      <c r="FY5321" s="65">
        <v>18.5</v>
      </c>
      <c r="FZ5321" s="65">
        <v>18.510000000000002</v>
      </c>
      <c r="GD5321" s="65">
        <v>24.94</v>
      </c>
      <c r="GE5321" s="65">
        <v>26.35</v>
      </c>
      <c r="GH5321" s="65" t="s">
        <v>164</v>
      </c>
      <c r="GP5321" s="292" t="s">
        <v>7494</v>
      </c>
    </row>
    <row r="5322" spans="1:198" x14ac:dyDescent="0.25">
      <c r="A5322" s="55">
        <v>5321</v>
      </c>
      <c r="B5322" s="12" t="s">
        <v>7067</v>
      </c>
      <c r="C5322" s="155" t="s">
        <v>6433</v>
      </c>
      <c r="D5322" s="55" t="s">
        <v>6517</v>
      </c>
      <c r="E5322" s="90" t="s">
        <v>6495</v>
      </c>
      <c r="G5322" s="55" t="s">
        <v>6496</v>
      </c>
      <c r="H5322" s="55" t="s">
        <v>6390</v>
      </c>
      <c r="I5322" s="55" t="s">
        <v>5490</v>
      </c>
      <c r="J5322" s="55" t="s">
        <v>6470</v>
      </c>
      <c r="K5322" s="55" t="s">
        <v>6497</v>
      </c>
      <c r="L5322" s="55" t="s">
        <v>3377</v>
      </c>
      <c r="M5322" s="90">
        <f>38+48/60</f>
        <v>38.799999999999997</v>
      </c>
      <c r="N5322" s="90">
        <f>110+22/60</f>
        <v>110.36666666666666</v>
      </c>
      <c r="Q5322" s="55" t="s">
        <v>5573</v>
      </c>
      <c r="S5322" s="90" t="s">
        <v>6498</v>
      </c>
      <c r="U5322" s="55" t="s">
        <v>1935</v>
      </c>
      <c r="V5322" s="55" t="s">
        <v>1694</v>
      </c>
      <c r="Z5322" s="55" t="s">
        <v>6508</v>
      </c>
      <c r="AA5322" s="90">
        <v>10</v>
      </c>
      <c r="AH5322" s="55" t="s">
        <v>769</v>
      </c>
      <c r="AJ5322" s="90">
        <v>0.64400000000000002</v>
      </c>
      <c r="AM5322" s="55" t="s">
        <v>6493</v>
      </c>
      <c r="AO5322" s="185" t="s">
        <v>5150</v>
      </c>
      <c r="AU5322" s="181" t="s">
        <v>7494</v>
      </c>
      <c r="AV5322" s="185" t="s">
        <v>176</v>
      </c>
      <c r="AX5322" s="185" t="s">
        <v>176</v>
      </c>
      <c r="BK5322" s="55" t="s">
        <v>6504</v>
      </c>
      <c r="BN5322" s="55" t="s">
        <v>1805</v>
      </c>
      <c r="BO5322" s="55" t="s">
        <v>1805</v>
      </c>
      <c r="BP5322" s="55" t="s">
        <v>1682</v>
      </c>
      <c r="CB5322" s="66">
        <v>1480.8</v>
      </c>
      <c r="CC5322" s="66">
        <v>843.2</v>
      </c>
      <c r="CH5322" s="90">
        <v>1.35</v>
      </c>
      <c r="CI5322" s="90">
        <v>1.24</v>
      </c>
      <c r="CM5322" s="65">
        <v>0.45</v>
      </c>
      <c r="CN5322" s="65">
        <v>0.4</v>
      </c>
      <c r="CQ5322" s="65" t="s">
        <v>164</v>
      </c>
      <c r="DB5322" s="65">
        <v>0.28000000000000003</v>
      </c>
      <c r="DC5322" s="65">
        <v>0.26</v>
      </c>
      <c r="DF5322" s="65" t="s">
        <v>165</v>
      </c>
      <c r="DG5322" s="65">
        <v>9.0399999999999991</v>
      </c>
      <c r="DH5322" s="65">
        <v>10.63</v>
      </c>
      <c r="DK5322" s="65" t="s">
        <v>6511</v>
      </c>
      <c r="DL5322" s="65">
        <v>86.65</v>
      </c>
      <c r="DM5322" s="65">
        <v>109.97</v>
      </c>
      <c r="DP5322" s="65" t="s">
        <v>6512</v>
      </c>
      <c r="FY5322" s="65">
        <v>18.5</v>
      </c>
      <c r="FZ5322" s="65">
        <v>18.600000000000001</v>
      </c>
      <c r="GD5322" s="65">
        <v>24.94</v>
      </c>
      <c r="GE5322" s="65">
        <v>24.95</v>
      </c>
      <c r="GH5322" s="65" t="s">
        <v>164</v>
      </c>
      <c r="GP5322" s="292" t="s">
        <v>7494</v>
      </c>
    </row>
    <row r="5323" spans="1:198" x14ac:dyDescent="0.25">
      <c r="A5323" s="55">
        <v>5322</v>
      </c>
      <c r="B5323" s="12" t="s">
        <v>7067</v>
      </c>
      <c r="C5323" s="155" t="s">
        <v>6433</v>
      </c>
      <c r="D5323" s="55" t="s">
        <v>6513</v>
      </c>
      <c r="E5323" s="90" t="s">
        <v>6495</v>
      </c>
      <c r="G5323" s="55" t="s">
        <v>6496</v>
      </c>
      <c r="H5323" s="55" t="s">
        <v>6390</v>
      </c>
      <c r="I5323" s="55" t="s">
        <v>5864</v>
      </c>
      <c r="J5323" s="55" t="s">
        <v>6470</v>
      </c>
      <c r="K5323" s="55" t="s">
        <v>6497</v>
      </c>
      <c r="L5323" s="55" t="s">
        <v>3377</v>
      </c>
      <c r="M5323" s="90">
        <f>38+48/60</f>
        <v>38.799999999999997</v>
      </c>
      <c r="N5323" s="90">
        <f>110+22/60</f>
        <v>110.36666666666666</v>
      </c>
      <c r="Q5323" s="55" t="s">
        <v>5573</v>
      </c>
      <c r="S5323" s="90" t="s">
        <v>6498</v>
      </c>
      <c r="U5323" s="55" t="s">
        <v>1805</v>
      </c>
      <c r="V5323" s="55" t="s">
        <v>1694</v>
      </c>
      <c r="Z5323" s="55" t="s">
        <v>6508</v>
      </c>
      <c r="AA5323" s="90">
        <v>10</v>
      </c>
      <c r="AH5323" s="55" t="s">
        <v>769</v>
      </c>
      <c r="AJ5323" s="90">
        <v>0.64400000000000002</v>
      </c>
      <c r="AM5323" s="55" t="s">
        <v>6493</v>
      </c>
      <c r="AO5323" s="185" t="s">
        <v>5150</v>
      </c>
      <c r="AU5323" s="181" t="s">
        <v>7494</v>
      </c>
      <c r="AV5323" s="185" t="s">
        <v>176</v>
      </c>
      <c r="AX5323" s="185" t="s">
        <v>176</v>
      </c>
      <c r="BK5323" s="55" t="s">
        <v>2082</v>
      </c>
      <c r="BN5323" s="55" t="s">
        <v>1805</v>
      </c>
      <c r="BO5323" s="55" t="s">
        <v>1805</v>
      </c>
      <c r="BP5323" s="55" t="s">
        <v>1682</v>
      </c>
      <c r="CH5323" s="90">
        <v>1.37</v>
      </c>
      <c r="CI5323" s="90">
        <v>1.29</v>
      </c>
      <c r="CM5323" s="65">
        <v>0.44</v>
      </c>
      <c r="CN5323" s="65">
        <v>0.41</v>
      </c>
      <c r="CQ5323" s="65" t="s">
        <v>164</v>
      </c>
      <c r="DB5323" s="65">
        <v>0.23</v>
      </c>
      <c r="DC5323" s="65">
        <v>0.24</v>
      </c>
      <c r="DF5323" s="65" t="s">
        <v>165</v>
      </c>
      <c r="DG5323" s="65">
        <v>7.54</v>
      </c>
      <c r="DH5323" s="65">
        <v>5.31</v>
      </c>
      <c r="DK5323" s="65" t="s">
        <v>6511</v>
      </c>
      <c r="DL5323" s="65">
        <v>61.99</v>
      </c>
      <c r="DM5323" s="65">
        <v>59.16</v>
      </c>
      <c r="DP5323" s="65" t="s">
        <v>6512</v>
      </c>
      <c r="FY5323" s="65">
        <v>18.940000000000001</v>
      </c>
      <c r="FZ5323" s="65">
        <v>19.23</v>
      </c>
      <c r="GD5323" s="65">
        <v>13.93</v>
      </c>
      <c r="GE5323" s="65">
        <v>14.72</v>
      </c>
      <c r="GH5323" s="65" t="s">
        <v>164</v>
      </c>
      <c r="GP5323" s="292" t="s">
        <v>7494</v>
      </c>
    </row>
    <row r="5324" spans="1:198" x14ac:dyDescent="0.25">
      <c r="A5324" s="55">
        <v>5323</v>
      </c>
      <c r="B5324" s="12" t="s">
        <v>7067</v>
      </c>
      <c r="C5324" s="155" t="s">
        <v>6433</v>
      </c>
      <c r="D5324" s="55" t="s">
        <v>6514</v>
      </c>
      <c r="E5324" s="90" t="s">
        <v>6495</v>
      </c>
      <c r="G5324" s="55" t="s">
        <v>6496</v>
      </c>
      <c r="H5324" s="55" t="s">
        <v>6390</v>
      </c>
      <c r="I5324" s="55" t="s">
        <v>5864</v>
      </c>
      <c r="J5324" s="55" t="s">
        <v>6470</v>
      </c>
      <c r="K5324" s="55" t="s">
        <v>6497</v>
      </c>
      <c r="L5324" s="55" t="s">
        <v>3377</v>
      </c>
      <c r="M5324" s="90">
        <f>38+48/60</f>
        <v>38.799999999999997</v>
      </c>
      <c r="N5324" s="90">
        <f>110+22/60</f>
        <v>110.36666666666666</v>
      </c>
      <c r="Q5324" s="55" t="s">
        <v>5573</v>
      </c>
      <c r="S5324" s="90" t="s">
        <v>6498</v>
      </c>
      <c r="U5324" s="55" t="s">
        <v>1805</v>
      </c>
      <c r="V5324" s="55" t="s">
        <v>1694</v>
      </c>
      <c r="Z5324" s="55" t="s">
        <v>6508</v>
      </c>
      <c r="AA5324" s="90">
        <v>10</v>
      </c>
      <c r="AH5324" s="55" t="s">
        <v>769</v>
      </c>
      <c r="AJ5324" s="90">
        <v>0.64400000000000002</v>
      </c>
      <c r="AM5324" s="55" t="s">
        <v>6493</v>
      </c>
      <c r="AO5324" s="185" t="s">
        <v>5150</v>
      </c>
      <c r="AU5324" s="181" t="s">
        <v>7494</v>
      </c>
      <c r="AV5324" s="185" t="s">
        <v>176</v>
      </c>
      <c r="AX5324" s="185" t="s">
        <v>176</v>
      </c>
      <c r="BK5324" s="55" t="s">
        <v>5981</v>
      </c>
      <c r="BN5324" s="55" t="s">
        <v>1805</v>
      </c>
      <c r="BO5324" s="55" t="s">
        <v>1805</v>
      </c>
      <c r="BP5324" s="55" t="s">
        <v>1682</v>
      </c>
      <c r="CH5324" s="90">
        <v>1.37</v>
      </c>
      <c r="CI5324" s="90">
        <v>1.3</v>
      </c>
      <c r="CM5324" s="65">
        <v>0.44</v>
      </c>
      <c r="CN5324" s="65">
        <v>0.42</v>
      </c>
      <c r="CQ5324" s="65" t="s">
        <v>164</v>
      </c>
      <c r="DB5324" s="65">
        <v>0.23</v>
      </c>
      <c r="DC5324" s="65">
        <v>0.28000000000000003</v>
      </c>
      <c r="DF5324" s="65" t="s">
        <v>165</v>
      </c>
      <c r="DG5324" s="65">
        <v>7.54</v>
      </c>
      <c r="DH5324" s="65">
        <v>4.2</v>
      </c>
      <c r="DK5324" s="65" t="s">
        <v>6511</v>
      </c>
      <c r="DL5324" s="65">
        <v>61.99</v>
      </c>
      <c r="DM5324" s="65">
        <v>91.37</v>
      </c>
      <c r="DP5324" s="65" t="s">
        <v>6512</v>
      </c>
      <c r="FY5324" s="65">
        <v>18.940000000000001</v>
      </c>
      <c r="FZ5324" s="65">
        <v>18.73</v>
      </c>
      <c r="GD5324" s="65">
        <v>13.93</v>
      </c>
      <c r="GE5324" s="65">
        <v>18.03</v>
      </c>
      <c r="GH5324" s="65" t="s">
        <v>164</v>
      </c>
      <c r="GP5324" s="292" t="s">
        <v>7494</v>
      </c>
    </row>
    <row r="5325" spans="1:198" x14ac:dyDescent="0.25">
      <c r="A5325" s="55">
        <v>5324</v>
      </c>
      <c r="B5325" s="12" t="s">
        <v>7067</v>
      </c>
      <c r="C5325" s="155" t="s">
        <v>6433</v>
      </c>
      <c r="D5325" s="55" t="s">
        <v>6515</v>
      </c>
      <c r="E5325" s="90" t="s">
        <v>6495</v>
      </c>
      <c r="G5325" s="55" t="s">
        <v>6496</v>
      </c>
      <c r="H5325" s="55" t="s">
        <v>6390</v>
      </c>
      <c r="I5325" s="55" t="s">
        <v>5864</v>
      </c>
      <c r="J5325" s="55" t="s">
        <v>6470</v>
      </c>
      <c r="K5325" s="55" t="s">
        <v>6497</v>
      </c>
      <c r="L5325" s="55" t="s">
        <v>3377</v>
      </c>
      <c r="M5325" s="90">
        <f>38+48/60</f>
        <v>38.799999999999997</v>
      </c>
      <c r="N5325" s="90">
        <f>110+22/60</f>
        <v>110.36666666666666</v>
      </c>
      <c r="Q5325" s="55" t="s">
        <v>5573</v>
      </c>
      <c r="S5325" s="90" t="s">
        <v>6498</v>
      </c>
      <c r="U5325" s="55" t="s">
        <v>1805</v>
      </c>
      <c r="V5325" s="55" t="s">
        <v>1694</v>
      </c>
      <c r="Z5325" s="55" t="s">
        <v>6508</v>
      </c>
      <c r="AA5325" s="90">
        <v>10</v>
      </c>
      <c r="AH5325" s="55" t="s">
        <v>769</v>
      </c>
      <c r="AJ5325" s="90">
        <v>0.64400000000000002</v>
      </c>
      <c r="AM5325" s="55" t="s">
        <v>6493</v>
      </c>
      <c r="AO5325" s="185" t="s">
        <v>5150</v>
      </c>
      <c r="AU5325" s="181" t="s">
        <v>7494</v>
      </c>
      <c r="AV5325" s="185" t="s">
        <v>176</v>
      </c>
      <c r="AX5325" s="185" t="s">
        <v>176</v>
      </c>
      <c r="BK5325" s="55" t="s">
        <v>6503</v>
      </c>
      <c r="BN5325" s="55" t="s">
        <v>1805</v>
      </c>
      <c r="BO5325" s="55" t="s">
        <v>1805</v>
      </c>
      <c r="BP5325" s="55" t="s">
        <v>1682</v>
      </c>
      <c r="CH5325" s="90">
        <v>1.37</v>
      </c>
      <c r="CI5325" s="90">
        <v>1.28</v>
      </c>
      <c r="CM5325" s="65">
        <v>0.44</v>
      </c>
      <c r="CN5325" s="65">
        <v>0.44</v>
      </c>
      <c r="CQ5325" s="65" t="s">
        <v>164</v>
      </c>
      <c r="DB5325" s="65">
        <v>0.23</v>
      </c>
      <c r="DC5325" s="65">
        <v>0.22</v>
      </c>
      <c r="DF5325" s="65" t="s">
        <v>165</v>
      </c>
      <c r="DG5325" s="65">
        <v>7.54</v>
      </c>
      <c r="DH5325" s="65">
        <v>4.83</v>
      </c>
      <c r="DK5325" s="65" t="s">
        <v>6511</v>
      </c>
      <c r="DL5325" s="65">
        <v>61.99</v>
      </c>
      <c r="DM5325" s="65">
        <v>64.599999999999994</v>
      </c>
      <c r="DP5325" s="65" t="s">
        <v>6512</v>
      </c>
      <c r="FY5325" s="65">
        <v>18.940000000000001</v>
      </c>
      <c r="FZ5325" s="65">
        <v>19.04</v>
      </c>
      <c r="GD5325" s="65">
        <v>13.93</v>
      </c>
      <c r="GE5325" s="65">
        <v>17.350000000000001</v>
      </c>
      <c r="GH5325" s="65" t="s">
        <v>164</v>
      </c>
      <c r="GP5325" s="292" t="s">
        <v>7494</v>
      </c>
    </row>
    <row r="5326" spans="1:198" x14ac:dyDescent="0.25">
      <c r="A5326" s="55">
        <v>5325</v>
      </c>
      <c r="B5326" s="12" t="s">
        <v>7067</v>
      </c>
      <c r="C5326" s="155" t="s">
        <v>6433</v>
      </c>
      <c r="D5326" s="55" t="s">
        <v>6516</v>
      </c>
      <c r="E5326" s="90" t="s">
        <v>6495</v>
      </c>
      <c r="G5326" s="55" t="s">
        <v>6496</v>
      </c>
      <c r="H5326" s="55" t="s">
        <v>6390</v>
      </c>
      <c r="I5326" s="55" t="s">
        <v>5864</v>
      </c>
      <c r="J5326" s="55" t="s">
        <v>6470</v>
      </c>
      <c r="K5326" s="55" t="s">
        <v>6497</v>
      </c>
      <c r="L5326" s="55" t="s">
        <v>3377</v>
      </c>
      <c r="M5326" s="90">
        <f>38+48/60</f>
        <v>38.799999999999997</v>
      </c>
      <c r="N5326" s="90">
        <f>110+22/60</f>
        <v>110.36666666666666</v>
      </c>
      <c r="Q5326" s="55" t="s">
        <v>5573</v>
      </c>
      <c r="S5326" s="90" t="s">
        <v>6498</v>
      </c>
      <c r="U5326" s="55" t="s">
        <v>1805</v>
      </c>
      <c r="V5326" s="55" t="s">
        <v>1694</v>
      </c>
      <c r="Z5326" s="55" t="s">
        <v>6508</v>
      </c>
      <c r="AA5326" s="90">
        <v>10</v>
      </c>
      <c r="AH5326" s="55" t="s">
        <v>769</v>
      </c>
      <c r="AJ5326" s="90">
        <v>0.64400000000000002</v>
      </c>
      <c r="AM5326" s="55" t="s">
        <v>6493</v>
      </c>
      <c r="AO5326" s="185" t="s">
        <v>5150</v>
      </c>
      <c r="AU5326" s="181" t="s">
        <v>7494</v>
      </c>
      <c r="AV5326" s="185" t="s">
        <v>176</v>
      </c>
      <c r="AX5326" s="185" t="s">
        <v>176</v>
      </c>
      <c r="BK5326" s="55" t="s">
        <v>6502</v>
      </c>
      <c r="BN5326" s="55" t="s">
        <v>1805</v>
      </c>
      <c r="BO5326" s="55" t="s">
        <v>1805</v>
      </c>
      <c r="BP5326" s="55" t="s">
        <v>1682</v>
      </c>
      <c r="CH5326" s="90">
        <v>1.37</v>
      </c>
      <c r="CI5326" s="90">
        <v>1.39</v>
      </c>
      <c r="CM5326" s="65">
        <v>0.44</v>
      </c>
      <c r="CN5326" s="65">
        <v>0.42</v>
      </c>
      <c r="CQ5326" s="65" t="s">
        <v>164</v>
      </c>
      <c r="DB5326" s="65">
        <v>0.23</v>
      </c>
      <c r="DC5326" s="65">
        <v>0.18</v>
      </c>
      <c r="DF5326" s="65" t="s">
        <v>165</v>
      </c>
      <c r="DG5326" s="65">
        <v>7.54</v>
      </c>
      <c r="DH5326" s="65">
        <v>5.56</v>
      </c>
      <c r="DK5326" s="65" t="s">
        <v>6511</v>
      </c>
      <c r="DL5326" s="65">
        <v>61.99</v>
      </c>
      <c r="DM5326" s="65">
        <v>61.46</v>
      </c>
      <c r="DP5326" s="65" t="s">
        <v>6512</v>
      </c>
      <c r="FY5326" s="65">
        <v>18.940000000000001</v>
      </c>
      <c r="FZ5326" s="65">
        <v>19.600000000000001</v>
      </c>
      <c r="GD5326" s="65">
        <v>13.93</v>
      </c>
      <c r="GE5326" s="65">
        <v>14.1</v>
      </c>
      <c r="GH5326" s="65" t="s">
        <v>164</v>
      </c>
      <c r="GP5326" s="292" t="s">
        <v>7494</v>
      </c>
    </row>
    <row r="5327" spans="1:198" x14ac:dyDescent="0.25">
      <c r="A5327" s="55">
        <v>5326</v>
      </c>
      <c r="B5327" s="12" t="s">
        <v>7067</v>
      </c>
      <c r="C5327" s="155" t="s">
        <v>6433</v>
      </c>
      <c r="D5327" s="55" t="s">
        <v>6517</v>
      </c>
      <c r="E5327" s="90" t="s">
        <v>6495</v>
      </c>
      <c r="G5327" s="55" t="s">
        <v>6496</v>
      </c>
      <c r="H5327" s="55" t="s">
        <v>6390</v>
      </c>
      <c r="I5327" s="55" t="s">
        <v>5864</v>
      </c>
      <c r="J5327" s="55" t="s">
        <v>6470</v>
      </c>
      <c r="K5327" s="55" t="s">
        <v>6497</v>
      </c>
      <c r="L5327" s="55" t="s">
        <v>3377</v>
      </c>
      <c r="M5327" s="90">
        <f>38+48/60</f>
        <v>38.799999999999997</v>
      </c>
      <c r="N5327" s="90">
        <f>110+22/60</f>
        <v>110.36666666666666</v>
      </c>
      <c r="Q5327" s="55" t="s">
        <v>5573</v>
      </c>
      <c r="S5327" s="90" t="s">
        <v>6498</v>
      </c>
      <c r="U5327" s="55" t="s">
        <v>1805</v>
      </c>
      <c r="V5327" s="55" t="s">
        <v>1694</v>
      </c>
      <c r="Z5327" s="55" t="s">
        <v>6508</v>
      </c>
      <c r="AA5327" s="90">
        <v>10</v>
      </c>
      <c r="AH5327" s="55" t="s">
        <v>769</v>
      </c>
      <c r="AJ5327" s="90">
        <v>0.64400000000000002</v>
      </c>
      <c r="AM5327" s="55" t="s">
        <v>6493</v>
      </c>
      <c r="AO5327" s="185" t="s">
        <v>5150</v>
      </c>
      <c r="AU5327" s="181" t="s">
        <v>7494</v>
      </c>
      <c r="AV5327" s="185" t="s">
        <v>176</v>
      </c>
      <c r="AX5327" s="185" t="s">
        <v>176</v>
      </c>
      <c r="BK5327" s="55" t="s">
        <v>6504</v>
      </c>
      <c r="BN5327" s="55" t="s">
        <v>1805</v>
      </c>
      <c r="BO5327" s="55" t="s">
        <v>1805</v>
      </c>
      <c r="BP5327" s="55" t="s">
        <v>1682</v>
      </c>
      <c r="CH5327" s="90">
        <v>1.37</v>
      </c>
      <c r="CI5327" s="90">
        <v>1.29</v>
      </c>
      <c r="CM5327" s="65">
        <v>0.44</v>
      </c>
      <c r="CN5327" s="65">
        <v>0.42</v>
      </c>
      <c r="CQ5327" s="65" t="s">
        <v>164</v>
      </c>
      <c r="DB5327" s="65">
        <v>0.23</v>
      </c>
      <c r="DC5327" s="65">
        <v>0.33</v>
      </c>
      <c r="DF5327" s="65" t="s">
        <v>165</v>
      </c>
      <c r="DG5327" s="65">
        <v>7.54</v>
      </c>
      <c r="DH5327" s="65">
        <v>5.9</v>
      </c>
      <c r="DK5327" s="65" t="s">
        <v>6511</v>
      </c>
      <c r="DL5327" s="65">
        <v>61.99</v>
      </c>
      <c r="DM5327" s="65">
        <v>80.91</v>
      </c>
      <c r="DP5327" s="65" t="s">
        <v>6512</v>
      </c>
      <c r="FY5327" s="65">
        <v>18.940000000000001</v>
      </c>
      <c r="FZ5327" s="65">
        <v>19.350000000000001</v>
      </c>
      <c r="GD5327" s="65">
        <v>13.93</v>
      </c>
      <c r="GE5327" s="65">
        <v>15.44</v>
      </c>
      <c r="GH5327" s="65" t="s">
        <v>164</v>
      </c>
      <c r="GP5327" s="292" t="s">
        <v>7494</v>
      </c>
    </row>
    <row r="5328" spans="1:198" x14ac:dyDescent="0.25">
      <c r="A5328" s="55">
        <v>5327</v>
      </c>
      <c r="B5328" s="12" t="s">
        <v>7067</v>
      </c>
      <c r="C5328" s="155" t="s">
        <v>6433</v>
      </c>
      <c r="D5328" s="55" t="s">
        <v>6513</v>
      </c>
      <c r="E5328" s="90" t="s">
        <v>6495</v>
      </c>
      <c r="G5328" s="55" t="s">
        <v>6496</v>
      </c>
      <c r="H5328" s="55" t="s">
        <v>6390</v>
      </c>
      <c r="I5328" s="55" t="s">
        <v>5532</v>
      </c>
      <c r="J5328" s="55" t="s">
        <v>6470</v>
      </c>
      <c r="K5328" s="55" t="s">
        <v>6497</v>
      </c>
      <c r="L5328" s="55" t="s">
        <v>3377</v>
      </c>
      <c r="M5328" s="90">
        <f>38+48/60</f>
        <v>38.799999999999997</v>
      </c>
      <c r="N5328" s="90">
        <f>110+22/60</f>
        <v>110.36666666666666</v>
      </c>
      <c r="Q5328" s="55" t="s">
        <v>5573</v>
      </c>
      <c r="S5328" s="90" t="s">
        <v>6498</v>
      </c>
      <c r="U5328" s="55" t="s">
        <v>1688</v>
      </c>
      <c r="V5328" s="55" t="s">
        <v>1694</v>
      </c>
      <c r="Z5328" s="55" t="s">
        <v>6508</v>
      </c>
      <c r="AA5328" s="90">
        <v>10</v>
      </c>
      <c r="AH5328" s="55" t="s">
        <v>769</v>
      </c>
      <c r="AJ5328" s="90">
        <v>0.64400000000000002</v>
      </c>
      <c r="AM5328" s="55" t="s">
        <v>6493</v>
      </c>
      <c r="AO5328" s="185" t="s">
        <v>5150</v>
      </c>
      <c r="AU5328" s="181" t="s">
        <v>7494</v>
      </c>
      <c r="AV5328" s="185" t="s">
        <v>176</v>
      </c>
      <c r="AX5328" s="185" t="s">
        <v>176</v>
      </c>
      <c r="BK5328" s="55" t="s">
        <v>2082</v>
      </c>
      <c r="BN5328" s="55" t="s">
        <v>1805</v>
      </c>
      <c r="BO5328" s="55" t="s">
        <v>1805</v>
      </c>
      <c r="BP5328" s="55" t="s">
        <v>1682</v>
      </c>
      <c r="CH5328" s="90">
        <v>1.355</v>
      </c>
      <c r="CI5328" s="90">
        <v>1.28</v>
      </c>
      <c r="CM5328" s="65">
        <v>0.42</v>
      </c>
      <c r="CN5328" s="65">
        <v>0.45</v>
      </c>
      <c r="CQ5328" s="65" t="s">
        <v>164</v>
      </c>
      <c r="DB5328" s="65">
        <v>0.24</v>
      </c>
      <c r="DC5328" s="65">
        <v>0.34</v>
      </c>
      <c r="DF5328" s="65" t="s">
        <v>165</v>
      </c>
      <c r="DG5328" s="65">
        <v>4.7699999999999996</v>
      </c>
      <c r="DH5328" s="65">
        <v>5.6</v>
      </c>
      <c r="DK5328" s="65" t="s">
        <v>6511</v>
      </c>
      <c r="DL5328" s="65">
        <v>67.23</v>
      </c>
      <c r="DM5328" s="65">
        <v>72.56</v>
      </c>
      <c r="DP5328" s="65" t="s">
        <v>6512</v>
      </c>
      <c r="FY5328" s="65">
        <v>19.79</v>
      </c>
      <c r="FZ5328" s="65">
        <v>19.89</v>
      </c>
      <c r="GD5328" s="65">
        <v>9.5399999999999991</v>
      </c>
      <c r="GE5328" s="65">
        <v>11.89</v>
      </c>
      <c r="GH5328" s="65" t="s">
        <v>164</v>
      </c>
      <c r="GP5328" s="292" t="s">
        <v>7494</v>
      </c>
    </row>
    <row r="5329" spans="1:198" x14ac:dyDescent="0.25">
      <c r="A5329" s="55">
        <v>5328</v>
      </c>
      <c r="B5329" s="12" t="s">
        <v>7067</v>
      </c>
      <c r="C5329" s="155" t="s">
        <v>6433</v>
      </c>
      <c r="D5329" s="55" t="s">
        <v>6514</v>
      </c>
      <c r="E5329" s="90" t="s">
        <v>6495</v>
      </c>
      <c r="G5329" s="55" t="s">
        <v>6496</v>
      </c>
      <c r="H5329" s="55" t="s">
        <v>6390</v>
      </c>
      <c r="I5329" s="55" t="s">
        <v>5532</v>
      </c>
      <c r="J5329" s="55" t="s">
        <v>6470</v>
      </c>
      <c r="K5329" s="55" t="s">
        <v>6497</v>
      </c>
      <c r="L5329" s="55" t="s">
        <v>3377</v>
      </c>
      <c r="M5329" s="90">
        <f>38+48/60</f>
        <v>38.799999999999997</v>
      </c>
      <c r="N5329" s="90">
        <f>110+22/60</f>
        <v>110.36666666666666</v>
      </c>
      <c r="Q5329" s="55" t="s">
        <v>5573</v>
      </c>
      <c r="S5329" s="90" t="s">
        <v>6498</v>
      </c>
      <c r="U5329" s="55" t="s">
        <v>1688</v>
      </c>
      <c r="V5329" s="55" t="s">
        <v>1694</v>
      </c>
      <c r="Z5329" s="55" t="s">
        <v>6508</v>
      </c>
      <c r="AA5329" s="90">
        <v>10</v>
      </c>
      <c r="AH5329" s="55" t="s">
        <v>769</v>
      </c>
      <c r="AJ5329" s="90">
        <v>0.64400000000000002</v>
      </c>
      <c r="AM5329" s="55" t="s">
        <v>6493</v>
      </c>
      <c r="AO5329" s="185" t="s">
        <v>5150</v>
      </c>
      <c r="AU5329" s="181" t="s">
        <v>7494</v>
      </c>
      <c r="AV5329" s="185" t="s">
        <v>176</v>
      </c>
      <c r="AX5329" s="185" t="s">
        <v>176</v>
      </c>
      <c r="BK5329" s="55" t="s">
        <v>5981</v>
      </c>
      <c r="BN5329" s="55" t="s">
        <v>1805</v>
      </c>
      <c r="BO5329" s="55" t="s">
        <v>1805</v>
      </c>
      <c r="BP5329" s="55" t="s">
        <v>1682</v>
      </c>
      <c r="CH5329" s="90">
        <v>1.355</v>
      </c>
      <c r="CI5329" s="90">
        <v>1.29</v>
      </c>
      <c r="CM5329" s="65">
        <v>0.42</v>
      </c>
      <c r="CN5329" s="65">
        <v>0.45</v>
      </c>
      <c r="CQ5329" s="65" t="s">
        <v>164</v>
      </c>
      <c r="DB5329" s="65">
        <v>0.24</v>
      </c>
      <c r="DC5329" s="65">
        <v>0.35</v>
      </c>
      <c r="DF5329" s="65" t="s">
        <v>165</v>
      </c>
      <c r="DG5329" s="65">
        <v>4.7699999999999996</v>
      </c>
      <c r="DH5329" s="65">
        <v>4.22</v>
      </c>
      <c r="DK5329" s="65" t="s">
        <v>6511</v>
      </c>
      <c r="DL5329" s="65">
        <v>67.23</v>
      </c>
      <c r="DM5329" s="65">
        <v>76.540000000000006</v>
      </c>
      <c r="DP5329" s="65" t="s">
        <v>6512</v>
      </c>
      <c r="FY5329" s="65">
        <v>19.79</v>
      </c>
      <c r="FZ5329" s="65">
        <v>20.29</v>
      </c>
      <c r="GD5329" s="65">
        <v>9.5399999999999991</v>
      </c>
      <c r="GE5329" s="65">
        <v>12.04</v>
      </c>
      <c r="GH5329" s="65" t="s">
        <v>164</v>
      </c>
      <c r="GP5329" s="292" t="s">
        <v>7494</v>
      </c>
    </row>
    <row r="5330" spans="1:198" x14ac:dyDescent="0.25">
      <c r="A5330" s="55">
        <v>5329</v>
      </c>
      <c r="B5330" s="12" t="s">
        <v>7067</v>
      </c>
      <c r="C5330" s="155" t="s">
        <v>6433</v>
      </c>
      <c r="D5330" s="55" t="s">
        <v>6515</v>
      </c>
      <c r="E5330" s="90" t="s">
        <v>6495</v>
      </c>
      <c r="G5330" s="55" t="s">
        <v>6496</v>
      </c>
      <c r="H5330" s="55" t="s">
        <v>6390</v>
      </c>
      <c r="I5330" s="55" t="s">
        <v>5532</v>
      </c>
      <c r="J5330" s="55" t="s">
        <v>6470</v>
      </c>
      <c r="K5330" s="55" t="s">
        <v>6497</v>
      </c>
      <c r="L5330" s="55" t="s">
        <v>3377</v>
      </c>
      <c r="M5330" s="90">
        <f>38+48/60</f>
        <v>38.799999999999997</v>
      </c>
      <c r="N5330" s="90">
        <f>110+22/60</f>
        <v>110.36666666666666</v>
      </c>
      <c r="Q5330" s="55" t="s">
        <v>5573</v>
      </c>
      <c r="S5330" s="90" t="s">
        <v>6498</v>
      </c>
      <c r="U5330" s="55" t="s">
        <v>1688</v>
      </c>
      <c r="V5330" s="55" t="s">
        <v>1694</v>
      </c>
      <c r="Z5330" s="55" t="s">
        <v>6508</v>
      </c>
      <c r="AA5330" s="90">
        <v>10</v>
      </c>
      <c r="AH5330" s="55" t="s">
        <v>769</v>
      </c>
      <c r="AJ5330" s="90">
        <v>0.64400000000000002</v>
      </c>
      <c r="AM5330" s="55" t="s">
        <v>6493</v>
      </c>
      <c r="AO5330" s="185" t="s">
        <v>5150</v>
      </c>
      <c r="AU5330" s="181" t="s">
        <v>7494</v>
      </c>
      <c r="AV5330" s="185" t="s">
        <v>176</v>
      </c>
      <c r="AX5330" s="185" t="s">
        <v>176</v>
      </c>
      <c r="BK5330" s="55" t="s">
        <v>6503</v>
      </c>
      <c r="BN5330" s="55" t="s">
        <v>1805</v>
      </c>
      <c r="BO5330" s="55" t="s">
        <v>1805</v>
      </c>
      <c r="BP5330" s="55" t="s">
        <v>1682</v>
      </c>
      <c r="CH5330" s="90">
        <v>1.355</v>
      </c>
      <c r="CI5330" s="90">
        <v>1.31</v>
      </c>
      <c r="CM5330" s="65">
        <v>0.42</v>
      </c>
      <c r="CN5330" s="65">
        <v>0.44</v>
      </c>
      <c r="CQ5330" s="65" t="s">
        <v>164</v>
      </c>
      <c r="DB5330" s="65">
        <v>0.24</v>
      </c>
      <c r="DC5330" s="65">
        <v>0.24</v>
      </c>
      <c r="DF5330" s="65" t="s">
        <v>165</v>
      </c>
      <c r="DG5330" s="65">
        <v>4.7699999999999996</v>
      </c>
      <c r="DH5330" s="65">
        <v>5.33</v>
      </c>
      <c r="DK5330" s="65" t="s">
        <v>6511</v>
      </c>
      <c r="DL5330" s="65">
        <v>67.23</v>
      </c>
      <c r="DM5330" s="65">
        <v>47.46</v>
      </c>
      <c r="DP5330" s="65" t="s">
        <v>6512</v>
      </c>
      <c r="FY5330" s="65">
        <v>19.79</v>
      </c>
      <c r="FZ5330" s="65">
        <v>20.81</v>
      </c>
      <c r="GD5330" s="65">
        <v>9.5399999999999991</v>
      </c>
      <c r="GE5330" s="65">
        <v>9.4</v>
      </c>
      <c r="GH5330" s="65" t="s">
        <v>164</v>
      </c>
      <c r="GP5330" s="292" t="s">
        <v>7494</v>
      </c>
    </row>
    <row r="5331" spans="1:198" x14ac:dyDescent="0.25">
      <c r="A5331" s="55">
        <v>5330</v>
      </c>
      <c r="B5331" s="12" t="s">
        <v>7067</v>
      </c>
      <c r="C5331" s="155" t="s">
        <v>6433</v>
      </c>
      <c r="D5331" s="55" t="s">
        <v>6516</v>
      </c>
      <c r="E5331" s="90" t="s">
        <v>6495</v>
      </c>
      <c r="G5331" s="55" t="s">
        <v>6496</v>
      </c>
      <c r="H5331" s="55" t="s">
        <v>6390</v>
      </c>
      <c r="I5331" s="55" t="s">
        <v>5532</v>
      </c>
      <c r="J5331" s="55" t="s">
        <v>6470</v>
      </c>
      <c r="K5331" s="55" t="s">
        <v>6497</v>
      </c>
      <c r="L5331" s="55" t="s">
        <v>3377</v>
      </c>
      <c r="M5331" s="90">
        <f>38+48/60</f>
        <v>38.799999999999997</v>
      </c>
      <c r="N5331" s="90">
        <f>110+22/60</f>
        <v>110.36666666666666</v>
      </c>
      <c r="Q5331" s="55" t="s">
        <v>5573</v>
      </c>
      <c r="S5331" s="90" t="s">
        <v>6498</v>
      </c>
      <c r="U5331" s="55" t="s">
        <v>1688</v>
      </c>
      <c r="V5331" s="55" t="s">
        <v>1694</v>
      </c>
      <c r="Z5331" s="55" t="s">
        <v>6508</v>
      </c>
      <c r="AA5331" s="90">
        <v>10</v>
      </c>
      <c r="AH5331" s="55" t="s">
        <v>769</v>
      </c>
      <c r="AJ5331" s="90">
        <v>0.64400000000000002</v>
      </c>
      <c r="AM5331" s="55" t="s">
        <v>6493</v>
      </c>
      <c r="AO5331" s="185" t="s">
        <v>5150</v>
      </c>
      <c r="AU5331" s="181" t="s">
        <v>7494</v>
      </c>
      <c r="AV5331" s="185" t="s">
        <v>176</v>
      </c>
      <c r="AX5331" s="185" t="s">
        <v>176</v>
      </c>
      <c r="BK5331" s="55" t="s">
        <v>6502</v>
      </c>
      <c r="BN5331" s="55" t="s">
        <v>1805</v>
      </c>
      <c r="BO5331" s="55" t="s">
        <v>1805</v>
      </c>
      <c r="BP5331" s="55" t="s">
        <v>1682</v>
      </c>
      <c r="CH5331" s="90">
        <v>1.355</v>
      </c>
      <c r="CI5331" s="90">
        <v>1.4</v>
      </c>
      <c r="CM5331" s="65">
        <v>0.42</v>
      </c>
      <c r="CN5331" s="65">
        <v>0.45</v>
      </c>
      <c r="CQ5331" s="65" t="s">
        <v>164</v>
      </c>
      <c r="DB5331" s="65">
        <v>0.24</v>
      </c>
      <c r="DC5331" s="65">
        <v>0.28000000000000003</v>
      </c>
      <c r="DF5331" s="65" t="s">
        <v>165</v>
      </c>
      <c r="DG5331" s="65">
        <v>4.7699999999999996</v>
      </c>
      <c r="DH5331" s="65">
        <v>6.69</v>
      </c>
      <c r="DK5331" s="65" t="s">
        <v>6511</v>
      </c>
      <c r="DL5331" s="65">
        <v>67.23</v>
      </c>
      <c r="DM5331" s="65">
        <v>67.33</v>
      </c>
      <c r="DP5331" s="65" t="s">
        <v>6512</v>
      </c>
      <c r="FY5331" s="65">
        <v>19.79</v>
      </c>
      <c r="FZ5331" s="65">
        <v>21.74</v>
      </c>
      <c r="GD5331" s="65">
        <v>9.5399999999999991</v>
      </c>
      <c r="GE5331" s="65">
        <v>10.28</v>
      </c>
      <c r="GH5331" s="65" t="s">
        <v>164</v>
      </c>
      <c r="GP5331" s="292" t="s">
        <v>7494</v>
      </c>
    </row>
    <row r="5332" spans="1:198" x14ac:dyDescent="0.25">
      <c r="A5332" s="55">
        <v>5331</v>
      </c>
      <c r="B5332" s="12" t="s">
        <v>7067</v>
      </c>
      <c r="C5332" s="155" t="s">
        <v>6433</v>
      </c>
      <c r="D5332" s="55" t="s">
        <v>6517</v>
      </c>
      <c r="E5332" s="90" t="s">
        <v>6495</v>
      </c>
      <c r="G5332" s="55" t="s">
        <v>6496</v>
      </c>
      <c r="H5332" s="55" t="s">
        <v>6390</v>
      </c>
      <c r="I5332" s="55" t="s">
        <v>5532</v>
      </c>
      <c r="J5332" s="55" t="s">
        <v>6470</v>
      </c>
      <c r="K5332" s="55" t="s">
        <v>6497</v>
      </c>
      <c r="L5332" s="55" t="s">
        <v>3377</v>
      </c>
      <c r="M5332" s="90">
        <f>38+48/60</f>
        <v>38.799999999999997</v>
      </c>
      <c r="N5332" s="90">
        <f>110+22/60</f>
        <v>110.36666666666666</v>
      </c>
      <c r="Q5332" s="55" t="s">
        <v>5573</v>
      </c>
      <c r="S5332" s="90" t="s">
        <v>6498</v>
      </c>
      <c r="U5332" s="55" t="s">
        <v>1688</v>
      </c>
      <c r="V5332" s="55" t="s">
        <v>1694</v>
      </c>
      <c r="Z5332" s="55" t="s">
        <v>6508</v>
      </c>
      <c r="AA5332" s="90">
        <v>10</v>
      </c>
      <c r="AH5332" s="55" t="s">
        <v>769</v>
      </c>
      <c r="AJ5332" s="90">
        <v>0.64400000000000002</v>
      </c>
      <c r="AM5332" s="55" t="s">
        <v>6493</v>
      </c>
      <c r="AO5332" s="185" t="s">
        <v>5150</v>
      </c>
      <c r="AU5332" s="181" t="s">
        <v>7494</v>
      </c>
      <c r="AV5332" s="185" t="s">
        <v>176</v>
      </c>
      <c r="AX5332" s="185" t="s">
        <v>176</v>
      </c>
      <c r="BK5332" s="55" t="s">
        <v>6504</v>
      </c>
      <c r="BN5332" s="55" t="s">
        <v>1805</v>
      </c>
      <c r="BO5332" s="55" t="s">
        <v>1805</v>
      </c>
      <c r="BP5332" s="55" t="s">
        <v>1682</v>
      </c>
      <c r="CH5332" s="90">
        <v>1.355</v>
      </c>
      <c r="CI5332" s="90">
        <v>1.3</v>
      </c>
      <c r="CM5332" s="65">
        <v>0.42</v>
      </c>
      <c r="CN5332" s="65">
        <v>0.42</v>
      </c>
      <c r="CQ5332" s="65" t="s">
        <v>164</v>
      </c>
      <c r="DB5332" s="65">
        <v>0.24</v>
      </c>
      <c r="DC5332" s="65">
        <v>0.38</v>
      </c>
      <c r="DF5332" s="65" t="s">
        <v>165</v>
      </c>
      <c r="DG5332" s="65">
        <v>4.7699999999999996</v>
      </c>
      <c r="DH5332" s="65">
        <v>4.8899999999999997</v>
      </c>
      <c r="DK5332" s="65" t="s">
        <v>6511</v>
      </c>
      <c r="DL5332" s="65">
        <v>67.23</v>
      </c>
      <c r="DM5332" s="65">
        <v>66.290000000000006</v>
      </c>
      <c r="DP5332" s="65" t="s">
        <v>6512</v>
      </c>
      <c r="FY5332" s="65">
        <v>19.79</v>
      </c>
      <c r="FZ5332" s="65">
        <v>20.53</v>
      </c>
      <c r="GD5332" s="65">
        <v>9.5399999999999991</v>
      </c>
      <c r="GE5332" s="65">
        <v>11.42</v>
      </c>
      <c r="GH5332" s="65" t="s">
        <v>164</v>
      </c>
      <c r="GP5332" s="292" t="s">
        <v>7494</v>
      </c>
    </row>
    <row r="5333" spans="1:198" x14ac:dyDescent="0.25">
      <c r="A5333" s="55">
        <v>5332</v>
      </c>
      <c r="B5333" s="12" t="s">
        <v>7067</v>
      </c>
      <c r="C5333" s="155" t="s">
        <v>6433</v>
      </c>
      <c r="D5333" s="55" t="s">
        <v>6513</v>
      </c>
      <c r="E5333" s="90" t="s">
        <v>6495</v>
      </c>
      <c r="G5333" s="55" t="s">
        <v>6496</v>
      </c>
      <c r="H5333" s="55" t="s">
        <v>6390</v>
      </c>
      <c r="I5333" s="55" t="s">
        <v>6434</v>
      </c>
      <c r="J5333" s="55" t="s">
        <v>6470</v>
      </c>
      <c r="K5333" s="55" t="s">
        <v>6497</v>
      </c>
      <c r="L5333" s="55" t="s">
        <v>3377</v>
      </c>
      <c r="M5333" s="90">
        <f>38+48/60</f>
        <v>38.799999999999997</v>
      </c>
      <c r="N5333" s="90">
        <f>110+22/60</f>
        <v>110.36666666666666</v>
      </c>
      <c r="Q5333" s="55" t="s">
        <v>5573</v>
      </c>
      <c r="S5333" s="90" t="s">
        <v>6498</v>
      </c>
      <c r="U5333" s="55" t="s">
        <v>1816</v>
      </c>
      <c r="V5333" s="55" t="s">
        <v>1694</v>
      </c>
      <c r="Z5333" s="55" t="s">
        <v>6508</v>
      </c>
      <c r="AA5333" s="90">
        <v>10</v>
      </c>
      <c r="AH5333" s="55" t="s">
        <v>769</v>
      </c>
      <c r="AJ5333" s="90">
        <v>0.64400000000000002</v>
      </c>
      <c r="AM5333" s="55" t="s">
        <v>6493</v>
      </c>
      <c r="AO5333" s="185" t="s">
        <v>5150</v>
      </c>
      <c r="AU5333" s="181" t="s">
        <v>7494</v>
      </c>
      <c r="AV5333" s="185" t="s">
        <v>176</v>
      </c>
      <c r="AX5333" s="185" t="s">
        <v>176</v>
      </c>
      <c r="BK5333" s="55" t="s">
        <v>2082</v>
      </c>
      <c r="BN5333" s="55" t="s">
        <v>1805</v>
      </c>
      <c r="BO5333" s="55" t="s">
        <v>1805</v>
      </c>
      <c r="BP5333" s="55" t="s">
        <v>1682</v>
      </c>
      <c r="CH5333" s="90">
        <v>1.35</v>
      </c>
      <c r="CI5333" s="90">
        <v>1.25</v>
      </c>
      <c r="CM5333" s="65">
        <v>0.4</v>
      </c>
      <c r="CN5333" s="65">
        <v>0.47</v>
      </c>
      <c r="CQ5333" s="65" t="s">
        <v>164</v>
      </c>
      <c r="DB5333" s="65">
        <v>0.22</v>
      </c>
      <c r="DC5333" s="65">
        <v>0.32</v>
      </c>
      <c r="DF5333" s="65" t="s">
        <v>165</v>
      </c>
      <c r="DG5333" s="65">
        <v>4.28</v>
      </c>
      <c r="DH5333" s="65">
        <v>4.9400000000000004</v>
      </c>
      <c r="DK5333" s="65" t="s">
        <v>6511</v>
      </c>
      <c r="DL5333" s="65">
        <v>70.58</v>
      </c>
      <c r="DM5333" s="65">
        <v>74.040000000000006</v>
      </c>
      <c r="DP5333" s="65" t="s">
        <v>6512</v>
      </c>
      <c r="FY5333" s="65">
        <v>22.23</v>
      </c>
      <c r="FZ5333" s="65">
        <v>22.43</v>
      </c>
      <c r="GP5333" s="292" t="s">
        <v>7494</v>
      </c>
    </row>
    <row r="5334" spans="1:198" x14ac:dyDescent="0.25">
      <c r="A5334" s="55">
        <v>5333</v>
      </c>
      <c r="B5334" s="12" t="s">
        <v>7067</v>
      </c>
      <c r="C5334" s="155" t="s">
        <v>6433</v>
      </c>
      <c r="D5334" s="55" t="s">
        <v>6514</v>
      </c>
      <c r="E5334" s="90" t="s">
        <v>6495</v>
      </c>
      <c r="G5334" s="55" t="s">
        <v>6496</v>
      </c>
      <c r="H5334" s="55" t="s">
        <v>6390</v>
      </c>
      <c r="I5334" s="55" t="s">
        <v>6434</v>
      </c>
      <c r="J5334" s="55" t="s">
        <v>6470</v>
      </c>
      <c r="K5334" s="55" t="s">
        <v>6497</v>
      </c>
      <c r="L5334" s="55" t="s">
        <v>3377</v>
      </c>
      <c r="M5334" s="90">
        <f>38+48/60</f>
        <v>38.799999999999997</v>
      </c>
      <c r="N5334" s="90">
        <f>110+22/60</f>
        <v>110.36666666666666</v>
      </c>
      <c r="Q5334" s="55" t="s">
        <v>5573</v>
      </c>
      <c r="S5334" s="90" t="s">
        <v>6498</v>
      </c>
      <c r="U5334" s="55" t="s">
        <v>1816</v>
      </c>
      <c r="V5334" s="55" t="s">
        <v>1694</v>
      </c>
      <c r="Z5334" s="55" t="s">
        <v>6508</v>
      </c>
      <c r="AA5334" s="90">
        <v>10</v>
      </c>
      <c r="AH5334" s="55" t="s">
        <v>769</v>
      </c>
      <c r="AJ5334" s="90">
        <v>0.64400000000000002</v>
      </c>
      <c r="AM5334" s="55" t="s">
        <v>6493</v>
      </c>
      <c r="AO5334" s="185" t="s">
        <v>5150</v>
      </c>
      <c r="AU5334" s="181" t="s">
        <v>7494</v>
      </c>
      <c r="AV5334" s="185" t="s">
        <v>176</v>
      </c>
      <c r="AX5334" s="185" t="s">
        <v>176</v>
      </c>
      <c r="BK5334" s="55" t="s">
        <v>5981</v>
      </c>
      <c r="BN5334" s="55" t="s">
        <v>1805</v>
      </c>
      <c r="BO5334" s="55" t="s">
        <v>1805</v>
      </c>
      <c r="BP5334" s="55" t="s">
        <v>1682</v>
      </c>
      <c r="CH5334" s="90">
        <v>1.35</v>
      </c>
      <c r="CI5334" s="90">
        <v>1.27</v>
      </c>
      <c r="CM5334" s="65">
        <v>0.4</v>
      </c>
      <c r="CN5334" s="65">
        <v>0.48</v>
      </c>
      <c r="CQ5334" s="65" t="s">
        <v>164</v>
      </c>
      <c r="DB5334" s="65">
        <v>0.22</v>
      </c>
      <c r="DC5334" s="65">
        <v>0.37</v>
      </c>
      <c r="DF5334" s="65" t="s">
        <v>165</v>
      </c>
      <c r="DG5334" s="65">
        <v>4.28</v>
      </c>
      <c r="DH5334" s="65">
        <v>3.95</v>
      </c>
      <c r="DK5334" s="65" t="s">
        <v>6511</v>
      </c>
      <c r="DL5334" s="65">
        <v>70.58</v>
      </c>
      <c r="DM5334" s="65">
        <v>67.56</v>
      </c>
      <c r="DP5334" s="65" t="s">
        <v>6512</v>
      </c>
      <c r="FY5334" s="65">
        <v>22.23</v>
      </c>
      <c r="FZ5334" s="65">
        <v>22.37</v>
      </c>
      <c r="GP5334" s="292" t="s">
        <v>7494</v>
      </c>
    </row>
    <row r="5335" spans="1:198" x14ac:dyDescent="0.25">
      <c r="A5335" s="55">
        <v>5334</v>
      </c>
      <c r="B5335" s="12" t="s">
        <v>7067</v>
      </c>
      <c r="C5335" s="155" t="s">
        <v>6433</v>
      </c>
      <c r="D5335" s="55" t="s">
        <v>6515</v>
      </c>
      <c r="E5335" s="90" t="s">
        <v>6495</v>
      </c>
      <c r="G5335" s="55" t="s">
        <v>6496</v>
      </c>
      <c r="H5335" s="55" t="s">
        <v>6390</v>
      </c>
      <c r="I5335" s="55" t="s">
        <v>6434</v>
      </c>
      <c r="J5335" s="55" t="s">
        <v>6470</v>
      </c>
      <c r="K5335" s="55" t="s">
        <v>6497</v>
      </c>
      <c r="L5335" s="55" t="s">
        <v>3377</v>
      </c>
      <c r="M5335" s="90">
        <f>38+48/60</f>
        <v>38.799999999999997</v>
      </c>
      <c r="N5335" s="90">
        <f>110+22/60</f>
        <v>110.36666666666666</v>
      </c>
      <c r="Q5335" s="55" t="s">
        <v>5573</v>
      </c>
      <c r="S5335" s="90" t="s">
        <v>6498</v>
      </c>
      <c r="U5335" s="55" t="s">
        <v>1816</v>
      </c>
      <c r="V5335" s="55" t="s">
        <v>1694</v>
      </c>
      <c r="Z5335" s="55" t="s">
        <v>6508</v>
      </c>
      <c r="AA5335" s="90">
        <v>10</v>
      </c>
      <c r="AH5335" s="55" t="s">
        <v>769</v>
      </c>
      <c r="AJ5335" s="90">
        <v>0.64400000000000002</v>
      </c>
      <c r="AM5335" s="55" t="s">
        <v>6493</v>
      </c>
      <c r="AO5335" s="185" t="s">
        <v>5150</v>
      </c>
      <c r="AU5335" s="181" t="s">
        <v>7494</v>
      </c>
      <c r="AV5335" s="185" t="s">
        <v>176</v>
      </c>
      <c r="AX5335" s="185" t="s">
        <v>176</v>
      </c>
      <c r="BK5335" s="55" t="s">
        <v>6503</v>
      </c>
      <c r="BN5335" s="55" t="s">
        <v>1805</v>
      </c>
      <c r="BO5335" s="55" t="s">
        <v>1805</v>
      </c>
      <c r="BP5335" s="55" t="s">
        <v>1682</v>
      </c>
      <c r="CH5335" s="90">
        <v>1.35</v>
      </c>
      <c r="CI5335" s="90">
        <v>1.32</v>
      </c>
      <c r="CM5335" s="65">
        <v>0.4</v>
      </c>
      <c r="CN5335" s="65">
        <v>0.41</v>
      </c>
      <c r="CQ5335" s="65" t="s">
        <v>164</v>
      </c>
      <c r="DB5335" s="65">
        <v>0.22</v>
      </c>
      <c r="DC5335" s="65">
        <v>0.26</v>
      </c>
      <c r="DF5335" s="65" t="s">
        <v>165</v>
      </c>
      <c r="DG5335" s="65">
        <v>4.28</v>
      </c>
      <c r="DH5335" s="65">
        <v>4.5999999999999996</v>
      </c>
      <c r="DK5335" s="65" t="s">
        <v>6511</v>
      </c>
      <c r="DL5335" s="65">
        <v>70.58</v>
      </c>
      <c r="DM5335" s="65">
        <v>56.47</v>
      </c>
      <c r="DP5335" s="65" t="s">
        <v>6512</v>
      </c>
      <c r="FY5335" s="65">
        <v>22.23</v>
      </c>
      <c r="FZ5335" s="65">
        <v>22.67</v>
      </c>
      <c r="GP5335" s="292" t="s">
        <v>7494</v>
      </c>
    </row>
    <row r="5336" spans="1:198" x14ac:dyDescent="0.25">
      <c r="A5336" s="55">
        <v>5335</v>
      </c>
      <c r="B5336" s="12" t="s">
        <v>7067</v>
      </c>
      <c r="C5336" s="155" t="s">
        <v>6433</v>
      </c>
      <c r="D5336" s="55" t="s">
        <v>6516</v>
      </c>
      <c r="E5336" s="90" t="s">
        <v>6495</v>
      </c>
      <c r="G5336" s="55" t="s">
        <v>6496</v>
      </c>
      <c r="H5336" s="55" t="s">
        <v>6390</v>
      </c>
      <c r="I5336" s="55" t="s">
        <v>6434</v>
      </c>
      <c r="J5336" s="55" t="s">
        <v>6470</v>
      </c>
      <c r="K5336" s="55" t="s">
        <v>6497</v>
      </c>
      <c r="L5336" s="55" t="s">
        <v>3377</v>
      </c>
      <c r="M5336" s="90">
        <f>38+48/60</f>
        <v>38.799999999999997</v>
      </c>
      <c r="N5336" s="90">
        <f>110+22/60</f>
        <v>110.36666666666666</v>
      </c>
      <c r="Q5336" s="55" t="s">
        <v>5573</v>
      </c>
      <c r="S5336" s="90" t="s">
        <v>6498</v>
      </c>
      <c r="U5336" s="55" t="s">
        <v>1816</v>
      </c>
      <c r="V5336" s="55" t="s">
        <v>1694</v>
      </c>
      <c r="Z5336" s="55" t="s">
        <v>6508</v>
      </c>
      <c r="AA5336" s="90">
        <v>10</v>
      </c>
      <c r="AH5336" s="55" t="s">
        <v>769</v>
      </c>
      <c r="AJ5336" s="90">
        <v>0.64400000000000002</v>
      </c>
      <c r="AM5336" s="55" t="s">
        <v>6493</v>
      </c>
      <c r="AO5336" s="185" t="s">
        <v>5150</v>
      </c>
      <c r="AU5336" s="181" t="s">
        <v>7494</v>
      </c>
      <c r="AV5336" s="185" t="s">
        <v>176</v>
      </c>
      <c r="AX5336" s="185" t="s">
        <v>176</v>
      </c>
      <c r="BK5336" s="55" t="s">
        <v>6502</v>
      </c>
      <c r="BN5336" s="55" t="s">
        <v>1805</v>
      </c>
      <c r="BO5336" s="55" t="s">
        <v>1805</v>
      </c>
      <c r="BP5336" s="55" t="s">
        <v>1682</v>
      </c>
      <c r="CH5336" s="90">
        <v>1.35</v>
      </c>
      <c r="CI5336" s="90">
        <v>1.35</v>
      </c>
      <c r="CM5336" s="65">
        <v>0.4</v>
      </c>
      <c r="CN5336" s="65">
        <v>0.41</v>
      </c>
      <c r="CQ5336" s="65" t="s">
        <v>164</v>
      </c>
      <c r="DB5336" s="65">
        <v>0.22</v>
      </c>
      <c r="DC5336" s="65">
        <v>0.28999999999999998</v>
      </c>
      <c r="DF5336" s="65" t="s">
        <v>165</v>
      </c>
      <c r="DG5336" s="65">
        <v>4.28</v>
      </c>
      <c r="DH5336" s="65">
        <v>5.3</v>
      </c>
      <c r="DK5336" s="65" t="s">
        <v>6511</v>
      </c>
      <c r="DL5336" s="65">
        <v>70.58</v>
      </c>
      <c r="DM5336" s="65">
        <v>65.47</v>
      </c>
      <c r="DP5336" s="65" t="s">
        <v>6512</v>
      </c>
      <c r="FY5336" s="65">
        <v>22.23</v>
      </c>
      <c r="FZ5336" s="65">
        <v>24.46</v>
      </c>
      <c r="GP5336" s="292" t="s">
        <v>7494</v>
      </c>
    </row>
    <row r="5337" spans="1:198" x14ac:dyDescent="0.25">
      <c r="A5337" s="55">
        <v>5336</v>
      </c>
      <c r="B5337" s="12" t="s">
        <v>7067</v>
      </c>
      <c r="C5337" s="155" t="s">
        <v>6433</v>
      </c>
      <c r="D5337" s="55" t="s">
        <v>6517</v>
      </c>
      <c r="E5337" s="90" t="s">
        <v>6495</v>
      </c>
      <c r="G5337" s="55" t="s">
        <v>6496</v>
      </c>
      <c r="H5337" s="55" t="s">
        <v>6390</v>
      </c>
      <c r="I5337" s="55" t="s">
        <v>6434</v>
      </c>
      <c r="J5337" s="55" t="s">
        <v>6470</v>
      </c>
      <c r="K5337" s="55" t="s">
        <v>6497</v>
      </c>
      <c r="L5337" s="55" t="s">
        <v>3377</v>
      </c>
      <c r="M5337" s="90">
        <f>38+48/60</f>
        <v>38.799999999999997</v>
      </c>
      <c r="N5337" s="90">
        <f>110+22/60</f>
        <v>110.36666666666666</v>
      </c>
      <c r="Q5337" s="55" t="s">
        <v>5573</v>
      </c>
      <c r="S5337" s="90" t="s">
        <v>6498</v>
      </c>
      <c r="U5337" s="55" t="s">
        <v>1816</v>
      </c>
      <c r="V5337" s="55" t="s">
        <v>1694</v>
      </c>
      <c r="Z5337" s="55" t="s">
        <v>6508</v>
      </c>
      <c r="AA5337" s="90">
        <v>10</v>
      </c>
      <c r="AH5337" s="55" t="s">
        <v>769</v>
      </c>
      <c r="AJ5337" s="90">
        <v>0.64400000000000002</v>
      </c>
      <c r="AM5337" s="55" t="s">
        <v>6493</v>
      </c>
      <c r="AO5337" s="185" t="s">
        <v>5150</v>
      </c>
      <c r="AU5337" s="181" t="s">
        <v>7494</v>
      </c>
      <c r="AV5337" s="185" t="s">
        <v>176</v>
      </c>
      <c r="AX5337" s="185" t="s">
        <v>176</v>
      </c>
      <c r="BK5337" s="55" t="s">
        <v>6504</v>
      </c>
      <c r="BN5337" s="55" t="s">
        <v>1805</v>
      </c>
      <c r="BO5337" s="55" t="s">
        <v>1805</v>
      </c>
      <c r="BP5337" s="55" t="s">
        <v>1682</v>
      </c>
      <c r="CH5337" s="90">
        <v>1.35</v>
      </c>
      <c r="CI5337" s="90">
        <v>1.29</v>
      </c>
      <c r="CM5337" s="65">
        <v>0.4</v>
      </c>
      <c r="CN5337" s="65">
        <v>0.46</v>
      </c>
      <c r="CQ5337" s="65" t="s">
        <v>164</v>
      </c>
      <c r="DB5337" s="65">
        <v>0.22</v>
      </c>
      <c r="DC5337" s="65">
        <v>0.34</v>
      </c>
      <c r="DF5337" s="65" t="s">
        <v>165</v>
      </c>
      <c r="DG5337" s="65">
        <v>4.28</v>
      </c>
      <c r="DH5337" s="65">
        <v>4.75</v>
      </c>
      <c r="DK5337" s="65" t="s">
        <v>6511</v>
      </c>
      <c r="DL5337" s="65">
        <v>70.58</v>
      </c>
      <c r="DM5337" s="65">
        <v>76.97</v>
      </c>
      <c r="DP5337" s="65" t="s">
        <v>6512</v>
      </c>
      <c r="FY5337" s="65">
        <v>22.23</v>
      </c>
      <c r="FZ5337" s="65">
        <v>22.73</v>
      </c>
      <c r="GP5337" s="292" t="s">
        <v>7494</v>
      </c>
    </row>
    <row r="5338" spans="1:198" x14ac:dyDescent="0.25">
      <c r="A5338" s="55">
        <v>5337</v>
      </c>
      <c r="B5338" s="12" t="s">
        <v>7067</v>
      </c>
      <c r="C5338" s="155" t="s">
        <v>6433</v>
      </c>
      <c r="D5338" s="55" t="s">
        <v>6513</v>
      </c>
      <c r="E5338" s="90" t="s">
        <v>6495</v>
      </c>
      <c r="G5338" s="55" t="s">
        <v>6496</v>
      </c>
      <c r="H5338" s="55" t="s">
        <v>6390</v>
      </c>
      <c r="I5338" s="55" t="s">
        <v>6505</v>
      </c>
      <c r="J5338" s="55" t="s">
        <v>6470</v>
      </c>
      <c r="K5338" s="55" t="s">
        <v>6497</v>
      </c>
      <c r="L5338" s="55" t="s">
        <v>3377</v>
      </c>
      <c r="M5338" s="90">
        <f>38+48/60</f>
        <v>38.799999999999997</v>
      </c>
      <c r="N5338" s="90">
        <f>110+22/60</f>
        <v>110.36666666666666</v>
      </c>
      <c r="Q5338" s="55" t="s">
        <v>5573</v>
      </c>
      <c r="S5338" s="90" t="s">
        <v>6498</v>
      </c>
      <c r="U5338" s="55" t="s">
        <v>1682</v>
      </c>
      <c r="V5338" s="55" t="s">
        <v>1694</v>
      </c>
      <c r="Z5338" s="55" t="s">
        <v>6508</v>
      </c>
      <c r="AA5338" s="90">
        <v>10</v>
      </c>
      <c r="AH5338" s="55" t="s">
        <v>769</v>
      </c>
      <c r="AJ5338" s="90">
        <v>0.64400000000000002</v>
      </c>
      <c r="AM5338" s="55" t="s">
        <v>6493</v>
      </c>
      <c r="AO5338" s="185" t="s">
        <v>5150</v>
      </c>
      <c r="AU5338" s="181" t="s">
        <v>7494</v>
      </c>
      <c r="AV5338" s="185" t="s">
        <v>176</v>
      </c>
      <c r="AX5338" s="185" t="s">
        <v>176</v>
      </c>
      <c r="BK5338" s="55" t="s">
        <v>2082</v>
      </c>
      <c r="BN5338" s="55" t="s">
        <v>1805</v>
      </c>
      <c r="BO5338" s="55" t="s">
        <v>1805</v>
      </c>
      <c r="BP5338" s="55" t="s">
        <v>1682</v>
      </c>
      <c r="CH5338" s="90">
        <v>1.38</v>
      </c>
      <c r="CI5338" s="90">
        <v>1.25</v>
      </c>
      <c r="CM5338" s="65">
        <v>0.39</v>
      </c>
      <c r="CN5338" s="65">
        <v>0.5</v>
      </c>
      <c r="CQ5338" s="65" t="s">
        <v>164</v>
      </c>
      <c r="DB5338" s="65">
        <v>0.19</v>
      </c>
      <c r="DC5338" s="65">
        <v>0.33</v>
      </c>
      <c r="DF5338" s="65" t="s">
        <v>165</v>
      </c>
      <c r="DG5338" s="65">
        <v>3.32</v>
      </c>
      <c r="DH5338" s="65">
        <v>4.0999999999999996</v>
      </c>
      <c r="DK5338" s="65" t="s">
        <v>6511</v>
      </c>
      <c r="DL5338" s="65">
        <v>61.81</v>
      </c>
      <c r="DM5338" s="65">
        <v>86.81</v>
      </c>
      <c r="DP5338" s="65" t="s">
        <v>6512</v>
      </c>
      <c r="FJ5338" s="65">
        <v>188.24</v>
      </c>
      <c r="FK5338" s="65">
        <v>1124.98</v>
      </c>
      <c r="FN5338" s="65" t="s">
        <v>206</v>
      </c>
      <c r="FO5338" s="65">
        <v>24.77</v>
      </c>
      <c r="FP5338" s="65">
        <v>24.74</v>
      </c>
      <c r="FS5338" s="65" t="s">
        <v>6507</v>
      </c>
      <c r="FY5338" s="65">
        <v>24.1</v>
      </c>
      <c r="FZ5338" s="65">
        <v>24.47</v>
      </c>
      <c r="GP5338" s="292" t="s">
        <v>7494</v>
      </c>
    </row>
    <row r="5339" spans="1:198" x14ac:dyDescent="0.25">
      <c r="A5339" s="55">
        <v>5338</v>
      </c>
      <c r="B5339" s="12" t="s">
        <v>7067</v>
      </c>
      <c r="C5339" s="155" t="s">
        <v>6433</v>
      </c>
      <c r="D5339" s="55" t="s">
        <v>6514</v>
      </c>
      <c r="E5339" s="90" t="s">
        <v>6495</v>
      </c>
      <c r="G5339" s="55" t="s">
        <v>6496</v>
      </c>
      <c r="H5339" s="55" t="s">
        <v>6390</v>
      </c>
      <c r="I5339" s="55" t="s">
        <v>6505</v>
      </c>
      <c r="J5339" s="55" t="s">
        <v>6470</v>
      </c>
      <c r="K5339" s="55" t="s">
        <v>6497</v>
      </c>
      <c r="L5339" s="55" t="s">
        <v>3377</v>
      </c>
      <c r="M5339" s="90">
        <f>38+48/60</f>
        <v>38.799999999999997</v>
      </c>
      <c r="N5339" s="90">
        <f>110+22/60</f>
        <v>110.36666666666666</v>
      </c>
      <c r="Q5339" s="55" t="s">
        <v>5573</v>
      </c>
      <c r="S5339" s="90" t="s">
        <v>6498</v>
      </c>
      <c r="U5339" s="55" t="s">
        <v>1682</v>
      </c>
      <c r="V5339" s="55" t="s">
        <v>1694</v>
      </c>
      <c r="Z5339" s="55" t="s">
        <v>6508</v>
      </c>
      <c r="AA5339" s="90">
        <v>10</v>
      </c>
      <c r="AH5339" s="55" t="s">
        <v>769</v>
      </c>
      <c r="AJ5339" s="90">
        <v>0.64400000000000002</v>
      </c>
      <c r="AM5339" s="55" t="s">
        <v>6493</v>
      </c>
      <c r="AO5339" s="185" t="s">
        <v>5150</v>
      </c>
      <c r="AU5339" s="181" t="s">
        <v>7494</v>
      </c>
      <c r="AV5339" s="185" t="s">
        <v>176</v>
      </c>
      <c r="AX5339" s="185" t="s">
        <v>176</v>
      </c>
      <c r="BK5339" s="55" t="s">
        <v>5981</v>
      </c>
      <c r="BN5339" s="55" t="s">
        <v>1805</v>
      </c>
      <c r="BO5339" s="55" t="s">
        <v>1805</v>
      </c>
      <c r="BP5339" s="55" t="s">
        <v>1682</v>
      </c>
      <c r="CH5339" s="90">
        <v>1.38</v>
      </c>
      <c r="CI5339" s="90">
        <v>1.26</v>
      </c>
      <c r="CM5339" s="65">
        <v>0.39</v>
      </c>
      <c r="CN5339" s="65">
        <v>0.53</v>
      </c>
      <c r="CQ5339" s="65" t="s">
        <v>164</v>
      </c>
      <c r="DB5339" s="65">
        <v>0.19</v>
      </c>
      <c r="DC5339" s="65">
        <v>0.41</v>
      </c>
      <c r="DF5339" s="65" t="s">
        <v>165</v>
      </c>
      <c r="DG5339" s="65">
        <v>3.32</v>
      </c>
      <c r="DH5339" s="65">
        <v>4.5999999999999996</v>
      </c>
      <c r="DK5339" s="65" t="s">
        <v>6511</v>
      </c>
      <c r="DL5339" s="65">
        <v>61.81</v>
      </c>
      <c r="DM5339" s="65">
        <v>75.73</v>
      </c>
      <c r="DP5339" s="65" t="s">
        <v>6512</v>
      </c>
      <c r="FJ5339" s="65">
        <v>188.24</v>
      </c>
      <c r="FK5339" s="65">
        <v>188.25</v>
      </c>
      <c r="FN5339" s="65" t="s">
        <v>206</v>
      </c>
      <c r="FO5339" s="65">
        <v>24.77</v>
      </c>
      <c r="FP5339" s="65">
        <v>24.33</v>
      </c>
      <c r="FS5339" s="65" t="s">
        <v>6507</v>
      </c>
      <c r="FY5339" s="65">
        <v>24.1</v>
      </c>
      <c r="FZ5339" s="65">
        <v>23.55</v>
      </c>
      <c r="GP5339" s="292" t="s">
        <v>7494</v>
      </c>
    </row>
    <row r="5340" spans="1:198" x14ac:dyDescent="0.25">
      <c r="A5340" s="55">
        <v>5339</v>
      </c>
      <c r="B5340" s="12" t="s">
        <v>7067</v>
      </c>
      <c r="C5340" s="155" t="s">
        <v>6433</v>
      </c>
      <c r="D5340" s="55" t="s">
        <v>6515</v>
      </c>
      <c r="E5340" s="90" t="s">
        <v>6495</v>
      </c>
      <c r="G5340" s="55" t="s">
        <v>6496</v>
      </c>
      <c r="H5340" s="55" t="s">
        <v>6390</v>
      </c>
      <c r="I5340" s="55" t="s">
        <v>6505</v>
      </c>
      <c r="J5340" s="55" t="s">
        <v>6470</v>
      </c>
      <c r="K5340" s="55" t="s">
        <v>6497</v>
      </c>
      <c r="L5340" s="55" t="s">
        <v>3377</v>
      </c>
      <c r="M5340" s="90">
        <f>38+48/60</f>
        <v>38.799999999999997</v>
      </c>
      <c r="N5340" s="90">
        <f>110+22/60</f>
        <v>110.36666666666666</v>
      </c>
      <c r="Q5340" s="55" t="s">
        <v>5573</v>
      </c>
      <c r="S5340" s="90" t="s">
        <v>6498</v>
      </c>
      <c r="U5340" s="55" t="s">
        <v>1682</v>
      </c>
      <c r="V5340" s="55" t="s">
        <v>1694</v>
      </c>
      <c r="Z5340" s="55" t="s">
        <v>6508</v>
      </c>
      <c r="AA5340" s="90">
        <v>10</v>
      </c>
      <c r="AH5340" s="55" t="s">
        <v>769</v>
      </c>
      <c r="AJ5340" s="90">
        <v>0.64400000000000002</v>
      </c>
      <c r="AM5340" s="55" t="s">
        <v>6493</v>
      </c>
      <c r="AO5340" s="185" t="s">
        <v>5150</v>
      </c>
      <c r="AU5340" s="181" t="s">
        <v>7494</v>
      </c>
      <c r="AV5340" s="185" t="s">
        <v>176</v>
      </c>
      <c r="AX5340" s="185" t="s">
        <v>176</v>
      </c>
      <c r="BK5340" s="55" t="s">
        <v>6503</v>
      </c>
      <c r="BN5340" s="55" t="s">
        <v>1805</v>
      </c>
      <c r="BO5340" s="55" t="s">
        <v>1805</v>
      </c>
      <c r="BP5340" s="55" t="s">
        <v>1682</v>
      </c>
      <c r="CH5340" s="90">
        <v>1.38</v>
      </c>
      <c r="CI5340" s="90">
        <v>1.3</v>
      </c>
      <c r="CM5340" s="65">
        <v>0.39</v>
      </c>
      <c r="CN5340" s="65">
        <v>0.42</v>
      </c>
      <c r="CQ5340" s="65" t="s">
        <v>164</v>
      </c>
      <c r="DB5340" s="65">
        <v>0.19</v>
      </c>
      <c r="DC5340" s="65">
        <v>0.32</v>
      </c>
      <c r="DF5340" s="65" t="s">
        <v>165</v>
      </c>
      <c r="DG5340" s="65">
        <v>3.32</v>
      </c>
      <c r="DH5340" s="65">
        <v>4.93</v>
      </c>
      <c r="DK5340" s="65" t="s">
        <v>6511</v>
      </c>
      <c r="DL5340" s="65">
        <v>61.81</v>
      </c>
      <c r="DM5340" s="65">
        <v>48.54</v>
      </c>
      <c r="DP5340" s="65" t="s">
        <v>6512</v>
      </c>
      <c r="FJ5340" s="65">
        <v>188.24</v>
      </c>
      <c r="FK5340" s="65">
        <v>345.93</v>
      </c>
      <c r="FN5340" s="65" t="s">
        <v>206</v>
      </c>
      <c r="FO5340" s="65">
        <v>24.77</v>
      </c>
      <c r="FP5340" s="65">
        <v>9.7799999999999994</v>
      </c>
      <c r="FS5340" s="65" t="s">
        <v>6507</v>
      </c>
      <c r="FY5340" s="65">
        <v>24.1</v>
      </c>
      <c r="FZ5340" s="65">
        <v>23.76</v>
      </c>
      <c r="GP5340" s="292" t="s">
        <v>7494</v>
      </c>
    </row>
    <row r="5341" spans="1:198" x14ac:dyDescent="0.25">
      <c r="A5341" s="55">
        <v>5340</v>
      </c>
      <c r="B5341" s="12" t="s">
        <v>7067</v>
      </c>
      <c r="C5341" s="155" t="s">
        <v>6433</v>
      </c>
      <c r="D5341" s="55" t="s">
        <v>6516</v>
      </c>
      <c r="E5341" s="90" t="s">
        <v>6495</v>
      </c>
      <c r="G5341" s="55" t="s">
        <v>6496</v>
      </c>
      <c r="H5341" s="55" t="s">
        <v>6390</v>
      </c>
      <c r="I5341" s="55" t="s">
        <v>6505</v>
      </c>
      <c r="J5341" s="55" t="s">
        <v>6470</v>
      </c>
      <c r="K5341" s="55" t="s">
        <v>6497</v>
      </c>
      <c r="L5341" s="55" t="s">
        <v>3377</v>
      </c>
      <c r="M5341" s="90">
        <f>38+48/60</f>
        <v>38.799999999999997</v>
      </c>
      <c r="N5341" s="90">
        <f>110+22/60</f>
        <v>110.36666666666666</v>
      </c>
      <c r="Q5341" s="55" t="s">
        <v>5573</v>
      </c>
      <c r="S5341" s="90" t="s">
        <v>6498</v>
      </c>
      <c r="U5341" s="55" t="s">
        <v>1682</v>
      </c>
      <c r="V5341" s="55" t="s">
        <v>1694</v>
      </c>
      <c r="Z5341" s="55" t="s">
        <v>6508</v>
      </c>
      <c r="AA5341" s="90">
        <v>10</v>
      </c>
      <c r="AH5341" s="55" t="s">
        <v>769</v>
      </c>
      <c r="AJ5341" s="90">
        <v>0.64400000000000002</v>
      </c>
      <c r="AM5341" s="55" t="s">
        <v>6493</v>
      </c>
      <c r="AO5341" s="185" t="s">
        <v>5150</v>
      </c>
      <c r="AU5341" s="181" t="s">
        <v>7494</v>
      </c>
      <c r="AV5341" s="185" t="s">
        <v>176</v>
      </c>
      <c r="AX5341" s="185" t="s">
        <v>176</v>
      </c>
      <c r="BK5341" s="55" t="s">
        <v>6502</v>
      </c>
      <c r="BN5341" s="55" t="s">
        <v>1805</v>
      </c>
      <c r="BO5341" s="55" t="s">
        <v>1805</v>
      </c>
      <c r="BP5341" s="55" t="s">
        <v>1682</v>
      </c>
      <c r="CH5341" s="90">
        <v>1.38</v>
      </c>
      <c r="CI5341" s="90">
        <v>1.39</v>
      </c>
      <c r="CM5341" s="65">
        <v>0.39</v>
      </c>
      <c r="CN5341" s="65">
        <v>0.44</v>
      </c>
      <c r="CQ5341" s="65" t="s">
        <v>164</v>
      </c>
      <c r="DB5341" s="65">
        <v>0.19</v>
      </c>
      <c r="DC5341" s="65">
        <v>0.35</v>
      </c>
      <c r="DF5341" s="65" t="s">
        <v>165</v>
      </c>
      <c r="DG5341" s="65">
        <v>3.32</v>
      </c>
      <c r="DH5341" s="65">
        <v>5.16</v>
      </c>
      <c r="DK5341" s="65" t="s">
        <v>6511</v>
      </c>
      <c r="DL5341" s="65">
        <v>61.81</v>
      </c>
      <c r="DM5341" s="65">
        <v>60.46</v>
      </c>
      <c r="DP5341" s="65" t="s">
        <v>6512</v>
      </c>
      <c r="FJ5341" s="65">
        <v>188.24</v>
      </c>
      <c r="FK5341" s="65">
        <v>111.02</v>
      </c>
      <c r="FN5341" s="65" t="s">
        <v>206</v>
      </c>
      <c r="FO5341" s="65">
        <v>24.77</v>
      </c>
      <c r="FP5341" s="65">
        <v>3.72</v>
      </c>
      <c r="FS5341" s="65" t="s">
        <v>6507</v>
      </c>
      <c r="FY5341" s="65">
        <v>24.1</v>
      </c>
      <c r="FZ5341" s="65">
        <v>27.68</v>
      </c>
      <c r="GP5341" s="292" t="s">
        <v>7494</v>
      </c>
    </row>
    <row r="5342" spans="1:198" x14ac:dyDescent="0.25">
      <c r="A5342" s="55">
        <v>5341</v>
      </c>
      <c r="B5342" s="12" t="s">
        <v>7067</v>
      </c>
      <c r="C5342" s="155" t="s">
        <v>6433</v>
      </c>
      <c r="D5342" s="55" t="s">
        <v>6517</v>
      </c>
      <c r="E5342" s="90" t="s">
        <v>6495</v>
      </c>
      <c r="G5342" s="55" t="s">
        <v>6496</v>
      </c>
      <c r="H5342" s="55" t="s">
        <v>6390</v>
      </c>
      <c r="I5342" s="55" t="s">
        <v>6505</v>
      </c>
      <c r="J5342" s="55" t="s">
        <v>6470</v>
      </c>
      <c r="K5342" s="55" t="s">
        <v>6497</v>
      </c>
      <c r="L5342" s="55" t="s">
        <v>3377</v>
      </c>
      <c r="M5342" s="90">
        <f>38+48/60</f>
        <v>38.799999999999997</v>
      </c>
      <c r="N5342" s="90">
        <f>110+22/60</f>
        <v>110.36666666666666</v>
      </c>
      <c r="Q5342" s="55" t="s">
        <v>5573</v>
      </c>
      <c r="S5342" s="90" t="s">
        <v>6498</v>
      </c>
      <c r="U5342" s="55" t="s">
        <v>1682</v>
      </c>
      <c r="V5342" s="55" t="s">
        <v>1694</v>
      </c>
      <c r="Z5342" s="55" t="s">
        <v>6508</v>
      </c>
      <c r="AA5342" s="90">
        <v>10</v>
      </c>
      <c r="AH5342" s="55" t="s">
        <v>769</v>
      </c>
      <c r="AJ5342" s="90">
        <v>0.64400000000000002</v>
      </c>
      <c r="AM5342" s="55" t="s">
        <v>6493</v>
      </c>
      <c r="AO5342" s="185" t="s">
        <v>5150</v>
      </c>
      <c r="AU5342" s="181" t="s">
        <v>7494</v>
      </c>
      <c r="AV5342" s="185" t="s">
        <v>176</v>
      </c>
      <c r="AX5342" s="185" t="s">
        <v>176</v>
      </c>
      <c r="BK5342" s="55" t="s">
        <v>6504</v>
      </c>
      <c r="BN5342" s="55" t="s">
        <v>1805</v>
      </c>
      <c r="BO5342" s="55" t="s">
        <v>1805</v>
      </c>
      <c r="BP5342" s="55" t="s">
        <v>1682</v>
      </c>
      <c r="CH5342" s="90">
        <v>1.38</v>
      </c>
      <c r="CI5342" s="90">
        <v>1.3</v>
      </c>
      <c r="CM5342" s="65">
        <v>0.39</v>
      </c>
      <c r="CN5342" s="65">
        <v>0.49</v>
      </c>
      <c r="CQ5342" s="65" t="s">
        <v>164</v>
      </c>
      <c r="DB5342" s="65">
        <v>0.19</v>
      </c>
      <c r="DC5342" s="65">
        <v>0.38</v>
      </c>
      <c r="DF5342" s="65" t="s">
        <v>165</v>
      </c>
      <c r="DG5342" s="65">
        <v>3.32</v>
      </c>
      <c r="DH5342" s="65">
        <v>4.47</v>
      </c>
      <c r="DK5342" s="65" t="s">
        <v>6511</v>
      </c>
      <c r="DL5342" s="65">
        <v>61.81</v>
      </c>
      <c r="DM5342" s="65">
        <v>68.81</v>
      </c>
      <c r="DP5342" s="65" t="s">
        <v>6512</v>
      </c>
      <c r="FJ5342" s="65">
        <v>188.24</v>
      </c>
      <c r="FK5342" s="65">
        <v>0.9</v>
      </c>
      <c r="FN5342" s="65" t="s">
        <v>206</v>
      </c>
      <c r="FO5342" s="65">
        <v>24.77</v>
      </c>
      <c r="FP5342" s="65">
        <v>2.3199999999999998</v>
      </c>
      <c r="FS5342" s="65" t="s">
        <v>6507</v>
      </c>
      <c r="FY5342" s="65">
        <v>24.1</v>
      </c>
      <c r="FZ5342" s="65">
        <v>25.15</v>
      </c>
      <c r="GP5342" s="292" t="s">
        <v>7494</v>
      </c>
    </row>
    <row r="5343" spans="1:198" x14ac:dyDescent="0.25">
      <c r="A5343" s="55">
        <v>5342</v>
      </c>
      <c r="B5343" s="12" t="s">
        <v>7067</v>
      </c>
      <c r="C5343" s="155" t="s">
        <v>6433</v>
      </c>
      <c r="D5343" s="55" t="s">
        <v>6513</v>
      </c>
      <c r="E5343" s="90" t="s">
        <v>6495</v>
      </c>
      <c r="G5343" s="55" t="s">
        <v>6496</v>
      </c>
      <c r="H5343" s="55" t="s">
        <v>6390</v>
      </c>
      <c r="I5343" s="55" t="s">
        <v>5888</v>
      </c>
      <c r="J5343" s="55" t="s">
        <v>6470</v>
      </c>
      <c r="K5343" s="55" t="s">
        <v>6497</v>
      </c>
      <c r="L5343" s="55" t="s">
        <v>3377</v>
      </c>
      <c r="M5343" s="90">
        <f>38+48/60</f>
        <v>38.799999999999997</v>
      </c>
      <c r="N5343" s="90">
        <f>110+22/60</f>
        <v>110.36666666666666</v>
      </c>
      <c r="Q5343" s="55" t="s">
        <v>5573</v>
      </c>
      <c r="S5343" s="90" t="s">
        <v>6498</v>
      </c>
      <c r="U5343" s="55" t="s">
        <v>1801</v>
      </c>
      <c r="V5343" s="55" t="s">
        <v>1694</v>
      </c>
      <c r="Z5343" s="55" t="s">
        <v>6508</v>
      </c>
      <c r="AA5343" s="90">
        <v>10</v>
      </c>
      <c r="AH5343" s="55" t="s">
        <v>769</v>
      </c>
      <c r="AJ5343" s="90">
        <v>0.64400000000000002</v>
      </c>
      <c r="AM5343" s="55" t="s">
        <v>6493</v>
      </c>
      <c r="AO5343" s="185" t="s">
        <v>5150</v>
      </c>
      <c r="AU5343" s="181" t="s">
        <v>7494</v>
      </c>
      <c r="AV5343" s="185" t="s">
        <v>176</v>
      </c>
      <c r="AX5343" s="185" t="s">
        <v>176</v>
      </c>
      <c r="BK5343" s="55" t="s">
        <v>2082</v>
      </c>
      <c r="BN5343" s="55" t="s">
        <v>1805</v>
      </c>
      <c r="BO5343" s="55" t="s">
        <v>1805</v>
      </c>
      <c r="BP5343" s="55" t="s">
        <v>1682</v>
      </c>
      <c r="CH5343" s="90">
        <v>1.37</v>
      </c>
      <c r="CI5343" s="90">
        <v>1.26</v>
      </c>
      <c r="CM5343" s="65">
        <v>0.4</v>
      </c>
      <c r="CN5343" s="65">
        <v>0.52</v>
      </c>
      <c r="CQ5343" s="65" t="s">
        <v>164</v>
      </c>
      <c r="DB5343" s="65">
        <v>0.17</v>
      </c>
      <c r="DC5343" s="65">
        <v>0.35</v>
      </c>
      <c r="DF5343" s="65" t="s">
        <v>165</v>
      </c>
      <c r="DG5343" s="65">
        <v>3.35</v>
      </c>
      <c r="DH5343" s="65">
        <v>5.29</v>
      </c>
      <c r="DK5343" s="65" t="s">
        <v>6511</v>
      </c>
      <c r="DL5343" s="65">
        <v>60.56</v>
      </c>
      <c r="DM5343" s="65">
        <v>89.54</v>
      </c>
      <c r="DP5343" s="65" t="s">
        <v>6512</v>
      </c>
      <c r="FJ5343" s="65">
        <v>3155.54</v>
      </c>
      <c r="FK5343" s="65">
        <v>1807.31</v>
      </c>
      <c r="FN5343" s="65" t="s">
        <v>206</v>
      </c>
      <c r="FO5343" s="65">
        <v>26.3</v>
      </c>
      <c r="FP5343" s="65">
        <v>24.8</v>
      </c>
      <c r="FS5343" s="65" t="s">
        <v>6507</v>
      </c>
      <c r="FY5343" s="65">
        <v>25.28</v>
      </c>
      <c r="FZ5343" s="65">
        <v>25.72</v>
      </c>
      <c r="GP5343" s="292" t="s">
        <v>7494</v>
      </c>
    </row>
    <row r="5344" spans="1:198" x14ac:dyDescent="0.25">
      <c r="A5344" s="55">
        <v>5343</v>
      </c>
      <c r="B5344" s="12" t="s">
        <v>7067</v>
      </c>
      <c r="C5344" s="155" t="s">
        <v>6433</v>
      </c>
      <c r="D5344" s="55" t="s">
        <v>6514</v>
      </c>
      <c r="E5344" s="90" t="s">
        <v>6495</v>
      </c>
      <c r="G5344" s="55" t="s">
        <v>6496</v>
      </c>
      <c r="H5344" s="55" t="s">
        <v>6390</v>
      </c>
      <c r="I5344" s="55" t="s">
        <v>5888</v>
      </c>
      <c r="J5344" s="55" t="s">
        <v>6470</v>
      </c>
      <c r="K5344" s="55" t="s">
        <v>6497</v>
      </c>
      <c r="L5344" s="55" t="s">
        <v>3377</v>
      </c>
      <c r="M5344" s="90">
        <f>38+48/60</f>
        <v>38.799999999999997</v>
      </c>
      <c r="N5344" s="90">
        <f>110+22/60</f>
        <v>110.36666666666666</v>
      </c>
      <c r="Q5344" s="55" t="s">
        <v>5573</v>
      </c>
      <c r="S5344" s="90" t="s">
        <v>6498</v>
      </c>
      <c r="U5344" s="55" t="s">
        <v>1801</v>
      </c>
      <c r="V5344" s="55" t="s">
        <v>1694</v>
      </c>
      <c r="Z5344" s="55" t="s">
        <v>6508</v>
      </c>
      <c r="AA5344" s="90">
        <v>10</v>
      </c>
      <c r="AH5344" s="55" t="s">
        <v>769</v>
      </c>
      <c r="AJ5344" s="90">
        <v>0.64400000000000002</v>
      </c>
      <c r="AM5344" s="55" t="s">
        <v>6493</v>
      </c>
      <c r="AO5344" s="185" t="s">
        <v>5150</v>
      </c>
      <c r="AU5344" s="181" t="s">
        <v>7494</v>
      </c>
      <c r="AV5344" s="185" t="s">
        <v>176</v>
      </c>
      <c r="AX5344" s="185" t="s">
        <v>176</v>
      </c>
      <c r="BK5344" s="55" t="s">
        <v>5981</v>
      </c>
      <c r="BN5344" s="55" t="s">
        <v>1805</v>
      </c>
      <c r="BO5344" s="55" t="s">
        <v>1805</v>
      </c>
      <c r="BP5344" s="55" t="s">
        <v>1682</v>
      </c>
      <c r="CH5344" s="90">
        <v>1.37</v>
      </c>
      <c r="CI5344" s="90">
        <v>1.26</v>
      </c>
      <c r="CM5344" s="65">
        <v>0.4</v>
      </c>
      <c r="CN5344" s="65">
        <v>0.54</v>
      </c>
      <c r="CQ5344" s="65" t="s">
        <v>164</v>
      </c>
      <c r="DB5344" s="65">
        <v>0.17</v>
      </c>
      <c r="DC5344" s="65">
        <v>0.43</v>
      </c>
      <c r="DF5344" s="65" t="s">
        <v>165</v>
      </c>
      <c r="DG5344" s="65">
        <v>3.35</v>
      </c>
      <c r="DH5344" s="65">
        <v>5.73</v>
      </c>
      <c r="DK5344" s="65" t="s">
        <v>6511</v>
      </c>
      <c r="DL5344" s="65">
        <v>60.56</v>
      </c>
      <c r="DM5344" s="65">
        <v>75.739999999999995</v>
      </c>
      <c r="DP5344" s="65" t="s">
        <v>6512</v>
      </c>
      <c r="FJ5344" s="65">
        <v>3155.54</v>
      </c>
      <c r="FK5344" s="65">
        <v>1132.3599999999999</v>
      </c>
      <c r="FN5344" s="65" t="s">
        <v>206</v>
      </c>
      <c r="FO5344" s="65">
        <v>26.3</v>
      </c>
      <c r="FP5344" s="65">
        <v>25.13</v>
      </c>
      <c r="FS5344" s="65" t="s">
        <v>6507</v>
      </c>
      <c r="FY5344" s="65">
        <v>25.28</v>
      </c>
      <c r="FZ5344" s="65">
        <v>24.21</v>
      </c>
      <c r="GP5344" s="292" t="s">
        <v>7494</v>
      </c>
    </row>
    <row r="5345" spans="1:198" x14ac:dyDescent="0.25">
      <c r="A5345" s="55">
        <v>5344</v>
      </c>
      <c r="B5345" s="12" t="s">
        <v>7067</v>
      </c>
      <c r="C5345" s="155" t="s">
        <v>6433</v>
      </c>
      <c r="D5345" s="55" t="s">
        <v>6515</v>
      </c>
      <c r="E5345" s="90" t="s">
        <v>6495</v>
      </c>
      <c r="G5345" s="55" t="s">
        <v>6496</v>
      </c>
      <c r="H5345" s="55" t="s">
        <v>6390</v>
      </c>
      <c r="I5345" s="55" t="s">
        <v>5888</v>
      </c>
      <c r="J5345" s="55" t="s">
        <v>6470</v>
      </c>
      <c r="K5345" s="55" t="s">
        <v>6497</v>
      </c>
      <c r="L5345" s="55" t="s">
        <v>3377</v>
      </c>
      <c r="M5345" s="90">
        <f>38+48/60</f>
        <v>38.799999999999997</v>
      </c>
      <c r="N5345" s="90">
        <f>110+22/60</f>
        <v>110.36666666666666</v>
      </c>
      <c r="Q5345" s="55" t="s">
        <v>5573</v>
      </c>
      <c r="S5345" s="90" t="s">
        <v>6498</v>
      </c>
      <c r="U5345" s="55" t="s">
        <v>1801</v>
      </c>
      <c r="V5345" s="55" t="s">
        <v>1694</v>
      </c>
      <c r="Z5345" s="55" t="s">
        <v>6508</v>
      </c>
      <c r="AA5345" s="90">
        <v>10</v>
      </c>
      <c r="AH5345" s="55" t="s">
        <v>769</v>
      </c>
      <c r="AJ5345" s="90">
        <v>0.64400000000000002</v>
      </c>
      <c r="AM5345" s="55" t="s">
        <v>6493</v>
      </c>
      <c r="AO5345" s="185" t="s">
        <v>5150</v>
      </c>
      <c r="AU5345" s="181" t="s">
        <v>7494</v>
      </c>
      <c r="AV5345" s="185" t="s">
        <v>176</v>
      </c>
      <c r="AX5345" s="185" t="s">
        <v>176</v>
      </c>
      <c r="BK5345" s="55" t="s">
        <v>6503</v>
      </c>
      <c r="BN5345" s="55" t="s">
        <v>1805</v>
      </c>
      <c r="BO5345" s="55" t="s">
        <v>1805</v>
      </c>
      <c r="BP5345" s="55" t="s">
        <v>1682</v>
      </c>
      <c r="CH5345" s="90">
        <v>1.37</v>
      </c>
      <c r="CI5345" s="90">
        <v>1.29</v>
      </c>
      <c r="CM5345" s="65">
        <v>0.4</v>
      </c>
      <c r="CN5345" s="65">
        <v>0.47</v>
      </c>
      <c r="CQ5345" s="65" t="s">
        <v>164</v>
      </c>
      <c r="DB5345" s="65">
        <v>0.17</v>
      </c>
      <c r="DC5345" s="65">
        <v>0.28999999999999998</v>
      </c>
      <c r="DF5345" s="65" t="s">
        <v>165</v>
      </c>
      <c r="DG5345" s="65">
        <v>3.35</v>
      </c>
      <c r="DH5345" s="65">
        <v>5.47</v>
      </c>
      <c r="DK5345" s="65" t="s">
        <v>6511</v>
      </c>
      <c r="DL5345" s="65">
        <v>60.56</v>
      </c>
      <c r="DM5345" s="65">
        <v>48.97</v>
      </c>
      <c r="DP5345" s="65" t="s">
        <v>6512</v>
      </c>
      <c r="FJ5345" s="65">
        <v>3155.54</v>
      </c>
      <c r="FK5345" s="65">
        <v>908.52</v>
      </c>
      <c r="FN5345" s="65" t="s">
        <v>206</v>
      </c>
      <c r="FO5345" s="65">
        <v>26.3</v>
      </c>
      <c r="FP5345" s="65">
        <v>24.86</v>
      </c>
      <c r="FS5345" s="65" t="s">
        <v>6507</v>
      </c>
      <c r="FY5345" s="65">
        <v>25.28</v>
      </c>
      <c r="FZ5345" s="65">
        <v>25.9</v>
      </c>
      <c r="GP5345" s="292" t="s">
        <v>7494</v>
      </c>
    </row>
    <row r="5346" spans="1:198" x14ac:dyDescent="0.25">
      <c r="A5346" s="55">
        <v>5345</v>
      </c>
      <c r="B5346" s="12" t="s">
        <v>7067</v>
      </c>
      <c r="C5346" s="155" t="s">
        <v>6433</v>
      </c>
      <c r="D5346" s="55" t="s">
        <v>6516</v>
      </c>
      <c r="E5346" s="90" t="s">
        <v>6495</v>
      </c>
      <c r="G5346" s="55" t="s">
        <v>6496</v>
      </c>
      <c r="H5346" s="55" t="s">
        <v>6390</v>
      </c>
      <c r="I5346" s="55" t="s">
        <v>5888</v>
      </c>
      <c r="J5346" s="55" t="s">
        <v>6470</v>
      </c>
      <c r="K5346" s="55" t="s">
        <v>6497</v>
      </c>
      <c r="L5346" s="55" t="s">
        <v>3377</v>
      </c>
      <c r="M5346" s="90">
        <f>38+48/60</f>
        <v>38.799999999999997</v>
      </c>
      <c r="N5346" s="90">
        <f>110+22/60</f>
        <v>110.36666666666666</v>
      </c>
      <c r="Q5346" s="55" t="s">
        <v>5573</v>
      </c>
      <c r="S5346" s="90" t="s">
        <v>6498</v>
      </c>
      <c r="U5346" s="55" t="s">
        <v>1801</v>
      </c>
      <c r="V5346" s="55" t="s">
        <v>1694</v>
      </c>
      <c r="Z5346" s="55" t="s">
        <v>6508</v>
      </c>
      <c r="AA5346" s="90">
        <v>10</v>
      </c>
      <c r="AH5346" s="55" t="s">
        <v>769</v>
      </c>
      <c r="AJ5346" s="90">
        <v>0.64400000000000002</v>
      </c>
      <c r="AM5346" s="55" t="s">
        <v>6493</v>
      </c>
      <c r="AO5346" s="185" t="s">
        <v>5150</v>
      </c>
      <c r="AU5346" s="181" t="s">
        <v>7494</v>
      </c>
      <c r="AV5346" s="185" t="s">
        <v>176</v>
      </c>
      <c r="AX5346" s="185" t="s">
        <v>176</v>
      </c>
      <c r="BK5346" s="55" t="s">
        <v>6502</v>
      </c>
      <c r="BN5346" s="55" t="s">
        <v>1805</v>
      </c>
      <c r="BO5346" s="55" t="s">
        <v>1805</v>
      </c>
      <c r="BP5346" s="55" t="s">
        <v>1682</v>
      </c>
      <c r="CH5346" s="90">
        <v>1.37</v>
      </c>
      <c r="CI5346" s="90">
        <v>1.37</v>
      </c>
      <c r="CM5346" s="65">
        <v>0.4</v>
      </c>
      <c r="CN5346" s="65">
        <v>0.47</v>
      </c>
      <c r="CQ5346" s="65" t="s">
        <v>164</v>
      </c>
      <c r="DB5346" s="65">
        <v>0.17</v>
      </c>
      <c r="DC5346" s="65">
        <v>0.39</v>
      </c>
      <c r="DF5346" s="65" t="s">
        <v>165</v>
      </c>
      <c r="DG5346" s="65">
        <v>3.35</v>
      </c>
      <c r="DH5346" s="65">
        <v>4.13</v>
      </c>
      <c r="DK5346" s="65" t="s">
        <v>6511</v>
      </c>
      <c r="DL5346" s="65">
        <v>60.56</v>
      </c>
      <c r="DM5346" s="65">
        <v>53.35</v>
      </c>
      <c r="DP5346" s="65" t="s">
        <v>6512</v>
      </c>
      <c r="FJ5346" s="65">
        <v>3155.54</v>
      </c>
      <c r="FK5346" s="65">
        <v>644.69000000000005</v>
      </c>
      <c r="FN5346" s="65" t="s">
        <v>206</v>
      </c>
      <c r="FO5346" s="65">
        <v>26.3</v>
      </c>
      <c r="FP5346" s="65">
        <v>25.6</v>
      </c>
      <c r="FS5346" s="65" t="s">
        <v>6507</v>
      </c>
      <c r="FY5346" s="65">
        <v>25.28</v>
      </c>
      <c r="FZ5346" s="65">
        <v>29.45</v>
      </c>
      <c r="GP5346" s="292" t="s">
        <v>7494</v>
      </c>
    </row>
    <row r="5347" spans="1:198" x14ac:dyDescent="0.25">
      <c r="A5347" s="55">
        <v>5346</v>
      </c>
      <c r="B5347" s="12" t="s">
        <v>7067</v>
      </c>
      <c r="C5347" s="155" t="s">
        <v>6433</v>
      </c>
      <c r="D5347" s="55" t="s">
        <v>6517</v>
      </c>
      <c r="E5347" s="90" t="s">
        <v>6495</v>
      </c>
      <c r="G5347" s="55" t="s">
        <v>6496</v>
      </c>
      <c r="H5347" s="55" t="s">
        <v>6390</v>
      </c>
      <c r="I5347" s="55" t="s">
        <v>5888</v>
      </c>
      <c r="J5347" s="55" t="s">
        <v>6470</v>
      </c>
      <c r="K5347" s="55" t="s">
        <v>6497</v>
      </c>
      <c r="L5347" s="55" t="s">
        <v>3377</v>
      </c>
      <c r="M5347" s="90">
        <f>38+48/60</f>
        <v>38.799999999999997</v>
      </c>
      <c r="N5347" s="90">
        <f>110+22/60</f>
        <v>110.36666666666666</v>
      </c>
      <c r="Q5347" s="55" t="s">
        <v>5573</v>
      </c>
      <c r="S5347" s="90" t="s">
        <v>6498</v>
      </c>
      <c r="U5347" s="55" t="s">
        <v>1801</v>
      </c>
      <c r="V5347" s="55" t="s">
        <v>1694</v>
      </c>
      <c r="Z5347" s="55" t="s">
        <v>6508</v>
      </c>
      <c r="AA5347" s="90">
        <v>10</v>
      </c>
      <c r="AH5347" s="55" t="s">
        <v>769</v>
      </c>
      <c r="AJ5347" s="90">
        <v>0.64400000000000002</v>
      </c>
      <c r="AM5347" s="55" t="s">
        <v>6493</v>
      </c>
      <c r="AO5347" s="185" t="s">
        <v>5150</v>
      </c>
      <c r="AU5347" s="181" t="s">
        <v>7494</v>
      </c>
      <c r="AV5347" s="185" t="s">
        <v>176</v>
      </c>
      <c r="AX5347" s="185" t="s">
        <v>176</v>
      </c>
      <c r="BK5347" s="55" t="s">
        <v>6504</v>
      </c>
      <c r="BN5347" s="55" t="s">
        <v>1805</v>
      </c>
      <c r="BO5347" s="55" t="s">
        <v>1805</v>
      </c>
      <c r="BP5347" s="55" t="s">
        <v>1682</v>
      </c>
      <c r="CH5347" s="90">
        <v>1.37</v>
      </c>
      <c r="CI5347" s="90">
        <v>1.28</v>
      </c>
      <c r="CM5347" s="65">
        <v>0.4</v>
      </c>
      <c r="CN5347" s="65">
        <v>0.54</v>
      </c>
      <c r="CQ5347" s="65" t="s">
        <v>164</v>
      </c>
      <c r="DB5347" s="65">
        <v>0.17</v>
      </c>
      <c r="DC5347" s="65">
        <v>0.4</v>
      </c>
      <c r="DF5347" s="65" t="s">
        <v>165</v>
      </c>
      <c r="DG5347" s="65">
        <v>3.35</v>
      </c>
      <c r="DH5347" s="65">
        <v>5.65</v>
      </c>
      <c r="DK5347" s="65" t="s">
        <v>6511</v>
      </c>
      <c r="DL5347" s="65">
        <v>60.56</v>
      </c>
      <c r="DM5347" s="65">
        <v>57.75</v>
      </c>
      <c r="DP5347" s="65" t="s">
        <v>6512</v>
      </c>
      <c r="FJ5347" s="65">
        <v>3155.54</v>
      </c>
      <c r="FK5347" s="65">
        <v>217.17</v>
      </c>
      <c r="FN5347" s="65" t="s">
        <v>206</v>
      </c>
      <c r="FO5347" s="65">
        <v>26.3</v>
      </c>
      <c r="FP5347" s="65">
        <v>23.96</v>
      </c>
      <c r="FS5347" s="65" t="s">
        <v>6507</v>
      </c>
      <c r="FY5347" s="65">
        <v>25.28</v>
      </c>
      <c r="FZ5347" s="65">
        <v>26.27</v>
      </c>
      <c r="GP5347" s="292" t="s">
        <v>7494</v>
      </c>
    </row>
    <row r="5348" spans="1:198" x14ac:dyDescent="0.25">
      <c r="A5348" s="55">
        <v>5347</v>
      </c>
      <c r="B5348" s="12" t="s">
        <v>7067</v>
      </c>
      <c r="C5348" s="155" t="s">
        <v>6433</v>
      </c>
      <c r="D5348" s="55" t="s">
        <v>6513</v>
      </c>
      <c r="E5348" s="90" t="s">
        <v>6495</v>
      </c>
      <c r="G5348" s="55" t="s">
        <v>6496</v>
      </c>
      <c r="H5348" s="55" t="s">
        <v>6390</v>
      </c>
      <c r="I5348" s="55" t="s">
        <v>4353</v>
      </c>
      <c r="J5348" s="55" t="s">
        <v>6470</v>
      </c>
      <c r="K5348" s="55" t="s">
        <v>6497</v>
      </c>
      <c r="L5348" s="55" t="s">
        <v>3377</v>
      </c>
      <c r="M5348" s="90">
        <f>38+48/60</f>
        <v>38.799999999999997</v>
      </c>
      <c r="N5348" s="90">
        <f>110+22/60</f>
        <v>110.36666666666666</v>
      </c>
      <c r="Q5348" s="55" t="s">
        <v>5573</v>
      </c>
      <c r="S5348" s="90" t="s">
        <v>6498</v>
      </c>
      <c r="U5348" s="55" t="s">
        <v>1694</v>
      </c>
      <c r="V5348" s="55" t="s">
        <v>1694</v>
      </c>
      <c r="Z5348" s="55" t="s">
        <v>6508</v>
      </c>
      <c r="AA5348" s="90">
        <v>10</v>
      </c>
      <c r="AH5348" s="55" t="s">
        <v>769</v>
      </c>
      <c r="AJ5348" s="90">
        <v>0.64400000000000002</v>
      </c>
      <c r="AM5348" s="55" t="s">
        <v>6493</v>
      </c>
      <c r="AO5348" s="185" t="s">
        <v>5150</v>
      </c>
      <c r="AU5348" s="181" t="s">
        <v>7494</v>
      </c>
      <c r="AV5348" s="185" t="s">
        <v>176</v>
      </c>
      <c r="AX5348" s="185" t="s">
        <v>176</v>
      </c>
      <c r="BK5348" s="55" t="s">
        <v>2082</v>
      </c>
      <c r="BN5348" s="55" t="s">
        <v>1805</v>
      </c>
      <c r="BO5348" s="55" t="s">
        <v>1805</v>
      </c>
      <c r="BP5348" s="55" t="s">
        <v>1682</v>
      </c>
      <c r="CB5348" s="66">
        <v>1011.4</v>
      </c>
      <c r="CC5348" s="66">
        <v>856.3</v>
      </c>
      <c r="CH5348" s="90">
        <v>1.35</v>
      </c>
      <c r="CI5348" s="90">
        <v>1.24</v>
      </c>
      <c r="CM5348" s="65">
        <v>0.35</v>
      </c>
      <c r="CN5348" s="65">
        <v>0.51</v>
      </c>
      <c r="CQ5348" s="65" t="s">
        <v>164</v>
      </c>
      <c r="DB5348" s="65">
        <v>0.13</v>
      </c>
      <c r="DC5348" s="65">
        <v>0.34</v>
      </c>
      <c r="DF5348" s="65" t="s">
        <v>165</v>
      </c>
      <c r="DG5348" s="65">
        <v>3.31</v>
      </c>
      <c r="DH5348" s="65">
        <v>5.2</v>
      </c>
      <c r="DK5348" s="65" t="s">
        <v>6511</v>
      </c>
      <c r="DL5348" s="65">
        <v>60</v>
      </c>
      <c r="DM5348" s="65">
        <v>87.25</v>
      </c>
      <c r="DP5348" s="65" t="s">
        <v>6512</v>
      </c>
      <c r="FJ5348" s="65">
        <v>361.16</v>
      </c>
      <c r="FK5348" s="65">
        <v>321.45</v>
      </c>
      <c r="FN5348" s="65" t="s">
        <v>206</v>
      </c>
      <c r="FO5348" s="65">
        <v>23.18</v>
      </c>
      <c r="FP5348" s="65">
        <v>24.04</v>
      </c>
      <c r="FS5348" s="65" t="s">
        <v>6507</v>
      </c>
      <c r="FY5348" s="65">
        <v>24.89</v>
      </c>
      <c r="FZ5348" s="65">
        <v>25.85</v>
      </c>
      <c r="GP5348" s="292" t="s">
        <v>7494</v>
      </c>
    </row>
    <row r="5349" spans="1:198" x14ac:dyDescent="0.25">
      <c r="A5349" s="55">
        <v>5348</v>
      </c>
      <c r="B5349" s="12" t="s">
        <v>7067</v>
      </c>
      <c r="C5349" s="155" t="s">
        <v>6433</v>
      </c>
      <c r="D5349" s="55" t="s">
        <v>6514</v>
      </c>
      <c r="E5349" s="90" t="s">
        <v>6495</v>
      </c>
      <c r="G5349" s="55" t="s">
        <v>6496</v>
      </c>
      <c r="H5349" s="55" t="s">
        <v>6390</v>
      </c>
      <c r="I5349" s="55" t="s">
        <v>4353</v>
      </c>
      <c r="J5349" s="55" t="s">
        <v>6470</v>
      </c>
      <c r="K5349" s="55" t="s">
        <v>6497</v>
      </c>
      <c r="L5349" s="55" t="s">
        <v>3377</v>
      </c>
      <c r="M5349" s="90">
        <f>38+48/60</f>
        <v>38.799999999999997</v>
      </c>
      <c r="N5349" s="90">
        <f>110+22/60</f>
        <v>110.36666666666666</v>
      </c>
      <c r="Q5349" s="55" t="s">
        <v>5573</v>
      </c>
      <c r="S5349" s="90" t="s">
        <v>6498</v>
      </c>
      <c r="U5349" s="55" t="s">
        <v>1694</v>
      </c>
      <c r="V5349" s="55" t="s">
        <v>1694</v>
      </c>
      <c r="Z5349" s="55" t="s">
        <v>6508</v>
      </c>
      <c r="AA5349" s="90">
        <v>10</v>
      </c>
      <c r="AH5349" s="55" t="s">
        <v>769</v>
      </c>
      <c r="AJ5349" s="90">
        <v>0.64400000000000002</v>
      </c>
      <c r="AM5349" s="55" t="s">
        <v>6493</v>
      </c>
      <c r="AO5349" s="185" t="s">
        <v>5150</v>
      </c>
      <c r="AU5349" s="181" t="s">
        <v>7494</v>
      </c>
      <c r="AV5349" s="185" t="s">
        <v>176</v>
      </c>
      <c r="AX5349" s="185" t="s">
        <v>176</v>
      </c>
      <c r="BK5349" s="55" t="s">
        <v>5981</v>
      </c>
      <c r="BN5349" s="55" t="s">
        <v>1805</v>
      </c>
      <c r="BO5349" s="55" t="s">
        <v>1805</v>
      </c>
      <c r="BP5349" s="55" t="s">
        <v>1682</v>
      </c>
      <c r="CB5349" s="66">
        <v>1011.4</v>
      </c>
      <c r="CC5349" s="66">
        <v>1124.5</v>
      </c>
      <c r="CH5349" s="90">
        <v>1.35</v>
      </c>
      <c r="CI5349" s="90">
        <v>1.25</v>
      </c>
      <c r="CM5349" s="65">
        <v>0.35</v>
      </c>
      <c r="CN5349" s="65">
        <v>0.52</v>
      </c>
      <c r="CQ5349" s="65" t="s">
        <v>164</v>
      </c>
      <c r="DB5349" s="65">
        <v>0.13</v>
      </c>
      <c r="DC5349" s="65">
        <v>0.39</v>
      </c>
      <c r="DF5349" s="65" t="s">
        <v>165</v>
      </c>
      <c r="DG5349" s="65">
        <v>3.31</v>
      </c>
      <c r="DH5349" s="65">
        <v>5.54</v>
      </c>
      <c r="DK5349" s="65" t="s">
        <v>6511</v>
      </c>
      <c r="DL5349" s="65">
        <v>60</v>
      </c>
      <c r="DM5349" s="65">
        <v>75.33</v>
      </c>
      <c r="DP5349" s="65" t="s">
        <v>6512</v>
      </c>
      <c r="FJ5349" s="65">
        <v>361.16</v>
      </c>
      <c r="FK5349" s="65">
        <v>281.83999999999997</v>
      </c>
      <c r="FN5349" s="65" t="s">
        <v>206</v>
      </c>
      <c r="FO5349" s="65">
        <v>23.18</v>
      </c>
      <c r="FP5349" s="65">
        <v>22.94</v>
      </c>
      <c r="FS5349" s="65" t="s">
        <v>6507</v>
      </c>
      <c r="FY5349" s="65">
        <v>24.89</v>
      </c>
      <c r="FZ5349" s="65">
        <v>23.97</v>
      </c>
      <c r="GP5349" s="292" t="s">
        <v>7494</v>
      </c>
    </row>
    <row r="5350" spans="1:198" x14ac:dyDescent="0.25">
      <c r="A5350" s="55">
        <v>5349</v>
      </c>
      <c r="B5350" s="12" t="s">
        <v>7067</v>
      </c>
      <c r="C5350" s="155" t="s">
        <v>6433</v>
      </c>
      <c r="D5350" s="55" t="s">
        <v>6515</v>
      </c>
      <c r="E5350" s="90" t="s">
        <v>6495</v>
      </c>
      <c r="G5350" s="55" t="s">
        <v>6496</v>
      </c>
      <c r="H5350" s="55" t="s">
        <v>6390</v>
      </c>
      <c r="I5350" s="55" t="s">
        <v>4353</v>
      </c>
      <c r="J5350" s="55" t="s">
        <v>6470</v>
      </c>
      <c r="K5350" s="55" t="s">
        <v>6497</v>
      </c>
      <c r="L5350" s="55" t="s">
        <v>3377</v>
      </c>
      <c r="M5350" s="90">
        <f>38+48/60</f>
        <v>38.799999999999997</v>
      </c>
      <c r="N5350" s="90">
        <f>110+22/60</f>
        <v>110.36666666666666</v>
      </c>
      <c r="Q5350" s="55" t="s">
        <v>5573</v>
      </c>
      <c r="S5350" s="90" t="s">
        <v>6498</v>
      </c>
      <c r="U5350" s="55" t="s">
        <v>1694</v>
      </c>
      <c r="V5350" s="55" t="s">
        <v>1694</v>
      </c>
      <c r="Z5350" s="55" t="s">
        <v>6508</v>
      </c>
      <c r="AA5350" s="90">
        <v>10</v>
      </c>
      <c r="AH5350" s="55" t="s">
        <v>769</v>
      </c>
      <c r="AJ5350" s="90">
        <v>0.64400000000000002</v>
      </c>
      <c r="AM5350" s="55" t="s">
        <v>6493</v>
      </c>
      <c r="AO5350" s="185" t="s">
        <v>5150</v>
      </c>
      <c r="AU5350" s="181" t="s">
        <v>7494</v>
      </c>
      <c r="AV5350" s="185" t="s">
        <v>176</v>
      </c>
      <c r="AX5350" s="185" t="s">
        <v>176</v>
      </c>
      <c r="BK5350" s="55" t="s">
        <v>6503</v>
      </c>
      <c r="BN5350" s="55" t="s">
        <v>1805</v>
      </c>
      <c r="BO5350" s="55" t="s">
        <v>1805</v>
      </c>
      <c r="BP5350" s="55" t="s">
        <v>1682</v>
      </c>
      <c r="CB5350" s="66">
        <v>1011.4</v>
      </c>
      <c r="CC5350" s="66">
        <v>1102.0999999999999</v>
      </c>
      <c r="CH5350" s="90">
        <v>1.35</v>
      </c>
      <c r="CI5350" s="90">
        <v>1.32</v>
      </c>
      <c r="CM5350" s="65">
        <v>0.35</v>
      </c>
      <c r="CN5350" s="65">
        <v>0.44</v>
      </c>
      <c r="CQ5350" s="65" t="s">
        <v>164</v>
      </c>
      <c r="DB5350" s="65">
        <v>0.13</v>
      </c>
      <c r="DC5350" s="65">
        <v>0.27</v>
      </c>
      <c r="DF5350" s="65" t="s">
        <v>165</v>
      </c>
      <c r="DG5350" s="65">
        <v>3.31</v>
      </c>
      <c r="DH5350" s="65">
        <v>4.9000000000000004</v>
      </c>
      <c r="DK5350" s="65" t="s">
        <v>6511</v>
      </c>
      <c r="DL5350" s="65">
        <v>60</v>
      </c>
      <c r="DM5350" s="65">
        <v>49.4</v>
      </c>
      <c r="DP5350" s="65" t="s">
        <v>6512</v>
      </c>
      <c r="FJ5350" s="65">
        <v>361.16</v>
      </c>
      <c r="FK5350" s="65">
        <v>275.33999999999997</v>
      </c>
      <c r="FN5350" s="65" t="s">
        <v>206</v>
      </c>
      <c r="FO5350" s="65">
        <v>23.18</v>
      </c>
      <c r="FP5350" s="65">
        <v>24.3</v>
      </c>
      <c r="FS5350" s="65" t="s">
        <v>6507</v>
      </c>
      <c r="FY5350" s="65">
        <v>24.89</v>
      </c>
      <c r="FZ5350" s="65">
        <v>25.97</v>
      </c>
      <c r="GP5350" s="292" t="s">
        <v>7494</v>
      </c>
    </row>
    <row r="5351" spans="1:198" x14ac:dyDescent="0.25">
      <c r="A5351" s="55">
        <v>5350</v>
      </c>
      <c r="B5351" s="12" t="s">
        <v>7067</v>
      </c>
      <c r="C5351" s="155" t="s">
        <v>6433</v>
      </c>
      <c r="D5351" s="55" t="s">
        <v>6516</v>
      </c>
      <c r="E5351" s="90" t="s">
        <v>6495</v>
      </c>
      <c r="G5351" s="55" t="s">
        <v>6496</v>
      </c>
      <c r="H5351" s="55" t="s">
        <v>6390</v>
      </c>
      <c r="I5351" s="55" t="s">
        <v>4353</v>
      </c>
      <c r="J5351" s="55" t="s">
        <v>6470</v>
      </c>
      <c r="K5351" s="55" t="s">
        <v>6497</v>
      </c>
      <c r="L5351" s="55" t="s">
        <v>3377</v>
      </c>
      <c r="M5351" s="90">
        <f>38+48/60</f>
        <v>38.799999999999997</v>
      </c>
      <c r="N5351" s="90">
        <f>110+22/60</f>
        <v>110.36666666666666</v>
      </c>
      <c r="Q5351" s="55" t="s">
        <v>5573</v>
      </c>
      <c r="S5351" s="90" t="s">
        <v>6498</v>
      </c>
      <c r="U5351" s="55" t="s">
        <v>1694</v>
      </c>
      <c r="V5351" s="55" t="s">
        <v>1694</v>
      </c>
      <c r="Z5351" s="55" t="s">
        <v>6508</v>
      </c>
      <c r="AA5351" s="90">
        <v>10</v>
      </c>
      <c r="AH5351" s="55" t="s">
        <v>769</v>
      </c>
      <c r="AJ5351" s="90">
        <v>0.64400000000000002</v>
      </c>
      <c r="AM5351" s="55" t="s">
        <v>6493</v>
      </c>
      <c r="AO5351" s="185" t="s">
        <v>5150</v>
      </c>
      <c r="AU5351" s="181" t="s">
        <v>7494</v>
      </c>
      <c r="AV5351" s="185" t="s">
        <v>176</v>
      </c>
      <c r="AX5351" s="185" t="s">
        <v>176</v>
      </c>
      <c r="BK5351" s="55" t="s">
        <v>6502</v>
      </c>
      <c r="BN5351" s="55" t="s">
        <v>1805</v>
      </c>
      <c r="BO5351" s="55" t="s">
        <v>1805</v>
      </c>
      <c r="BP5351" s="55" t="s">
        <v>1682</v>
      </c>
      <c r="CB5351" s="66">
        <v>1011.4</v>
      </c>
      <c r="CC5351" s="66">
        <v>1485.7</v>
      </c>
      <c r="CH5351" s="90">
        <v>1.35</v>
      </c>
      <c r="CI5351" s="90">
        <v>1.4</v>
      </c>
      <c r="CM5351" s="65">
        <v>0.35</v>
      </c>
      <c r="CN5351" s="65">
        <v>0.46</v>
      </c>
      <c r="CQ5351" s="65" t="s">
        <v>164</v>
      </c>
      <c r="DB5351" s="65">
        <v>0.13</v>
      </c>
      <c r="DC5351" s="65">
        <v>0.34</v>
      </c>
      <c r="DF5351" s="65" t="s">
        <v>165</v>
      </c>
      <c r="DG5351" s="65">
        <v>3.31</v>
      </c>
      <c r="DH5351" s="65">
        <v>4.25</v>
      </c>
      <c r="DK5351" s="65" t="s">
        <v>6511</v>
      </c>
      <c r="DL5351" s="65">
        <v>60</v>
      </c>
      <c r="DM5351" s="65">
        <v>53.37</v>
      </c>
      <c r="DP5351" s="65" t="s">
        <v>6512</v>
      </c>
      <c r="FJ5351" s="65">
        <v>361.16</v>
      </c>
      <c r="FK5351" s="65">
        <v>191.89</v>
      </c>
      <c r="FN5351" s="65" t="s">
        <v>206</v>
      </c>
      <c r="FO5351" s="65">
        <v>23.18</v>
      </c>
      <c r="FP5351" s="65">
        <v>9.6</v>
      </c>
      <c r="FS5351" s="65" t="s">
        <v>6507</v>
      </c>
      <c r="FY5351" s="65">
        <v>24.89</v>
      </c>
      <c r="FZ5351" s="65">
        <v>28.63</v>
      </c>
      <c r="GP5351" s="292" t="s">
        <v>7494</v>
      </c>
    </row>
    <row r="5352" spans="1:198" x14ac:dyDescent="0.25">
      <c r="A5352" s="55">
        <v>5351</v>
      </c>
      <c r="B5352" s="12" t="s">
        <v>7067</v>
      </c>
      <c r="C5352" s="155" t="s">
        <v>6433</v>
      </c>
      <c r="D5352" s="55" t="s">
        <v>6517</v>
      </c>
      <c r="E5352" s="90" t="s">
        <v>6495</v>
      </c>
      <c r="G5352" s="55" t="s">
        <v>6496</v>
      </c>
      <c r="H5352" s="55" t="s">
        <v>6390</v>
      </c>
      <c r="I5352" s="55" t="s">
        <v>4353</v>
      </c>
      <c r="J5352" s="55" t="s">
        <v>6470</v>
      </c>
      <c r="K5352" s="55" t="s">
        <v>6497</v>
      </c>
      <c r="L5352" s="55" t="s">
        <v>3377</v>
      </c>
      <c r="M5352" s="90">
        <f>38+48/60</f>
        <v>38.799999999999997</v>
      </c>
      <c r="N5352" s="90">
        <f>110+22/60</f>
        <v>110.36666666666666</v>
      </c>
      <c r="Q5352" s="55" t="s">
        <v>5573</v>
      </c>
      <c r="S5352" s="90" t="s">
        <v>6498</v>
      </c>
      <c r="U5352" s="55" t="s">
        <v>1694</v>
      </c>
      <c r="V5352" s="55" t="s">
        <v>1694</v>
      </c>
      <c r="Z5352" s="55" t="s">
        <v>6508</v>
      </c>
      <c r="AA5352" s="90">
        <v>10</v>
      </c>
      <c r="AH5352" s="55" t="s">
        <v>769</v>
      </c>
      <c r="AJ5352" s="90">
        <v>0.64400000000000002</v>
      </c>
      <c r="AM5352" s="55" t="s">
        <v>6493</v>
      </c>
      <c r="AO5352" s="185" t="s">
        <v>5150</v>
      </c>
      <c r="AU5352" s="181" t="s">
        <v>7494</v>
      </c>
      <c r="AV5352" s="185" t="s">
        <v>176</v>
      </c>
      <c r="AX5352" s="185" t="s">
        <v>176</v>
      </c>
      <c r="BK5352" s="55" t="s">
        <v>6504</v>
      </c>
      <c r="BN5352" s="55" t="s">
        <v>1805</v>
      </c>
      <c r="BO5352" s="55" t="s">
        <v>1805</v>
      </c>
      <c r="BP5352" s="55" t="s">
        <v>1682</v>
      </c>
      <c r="CB5352" s="66">
        <v>1011.4</v>
      </c>
      <c r="CC5352" s="66">
        <v>125.8</v>
      </c>
      <c r="CH5352" s="90">
        <v>1.35</v>
      </c>
      <c r="CI5352" s="90">
        <v>1.27</v>
      </c>
      <c r="CM5352" s="65">
        <v>0.35</v>
      </c>
      <c r="CN5352" s="65">
        <v>0.53</v>
      </c>
      <c r="CQ5352" s="65" t="s">
        <v>164</v>
      </c>
      <c r="DB5352" s="65">
        <v>0.13</v>
      </c>
      <c r="DC5352" s="65">
        <v>0.35</v>
      </c>
      <c r="DF5352" s="65" t="s">
        <v>165</v>
      </c>
      <c r="DG5352" s="65">
        <v>3.31</v>
      </c>
      <c r="DH5352" s="65">
        <v>5.0999999999999996</v>
      </c>
      <c r="DK5352" s="65" t="s">
        <v>6511</v>
      </c>
      <c r="DL5352" s="65">
        <v>60</v>
      </c>
      <c r="DM5352" s="65">
        <v>55.88</v>
      </c>
      <c r="DP5352" s="65" t="s">
        <v>6512</v>
      </c>
      <c r="FJ5352" s="65">
        <v>361.16</v>
      </c>
      <c r="FK5352" s="65">
        <v>86.79</v>
      </c>
      <c r="FN5352" s="65" t="s">
        <v>206</v>
      </c>
      <c r="FO5352" s="65">
        <v>23.18</v>
      </c>
      <c r="FP5352" s="65">
        <v>10.17</v>
      </c>
      <c r="FS5352" s="65" t="s">
        <v>6507</v>
      </c>
      <c r="FY5352" s="65">
        <v>24.89</v>
      </c>
      <c r="FZ5352" s="65">
        <v>26.1</v>
      </c>
      <c r="GP5352" s="292" t="s">
        <v>7494</v>
      </c>
    </row>
    <row r="5353" spans="1:198" x14ac:dyDescent="0.25">
      <c r="A5353" s="55">
        <v>5352</v>
      </c>
      <c r="B5353" s="12" t="s">
        <v>7067</v>
      </c>
      <c r="C5353" s="155" t="s">
        <v>6433</v>
      </c>
      <c r="D5353" s="55" t="s">
        <v>6518</v>
      </c>
      <c r="E5353" s="90" t="s">
        <v>6495</v>
      </c>
      <c r="G5353" s="55" t="s">
        <v>6496</v>
      </c>
      <c r="H5353" s="55" t="s">
        <v>6390</v>
      </c>
      <c r="I5353" s="55" t="s">
        <v>5490</v>
      </c>
      <c r="J5353" s="55" t="s">
        <v>6470</v>
      </c>
      <c r="K5353" s="55" t="s">
        <v>6497</v>
      </c>
      <c r="L5353" s="55" t="s">
        <v>3377</v>
      </c>
      <c r="M5353" s="90">
        <f>38+48/60</f>
        <v>38.799999999999997</v>
      </c>
      <c r="N5353" s="90">
        <f>110+22/60</f>
        <v>110.36666666666666</v>
      </c>
      <c r="Q5353" s="55" t="s">
        <v>5573</v>
      </c>
      <c r="S5353" s="90" t="s">
        <v>6498</v>
      </c>
      <c r="U5353" s="55" t="s">
        <v>1935</v>
      </c>
      <c r="V5353" s="55" t="s">
        <v>1694</v>
      </c>
      <c r="Z5353" s="55" t="s">
        <v>6509</v>
      </c>
      <c r="AA5353" s="90">
        <v>10</v>
      </c>
      <c r="AH5353" s="55" t="s">
        <v>769</v>
      </c>
      <c r="AM5353" s="55" t="s">
        <v>6493</v>
      </c>
      <c r="AO5353" s="185" t="s">
        <v>5150</v>
      </c>
      <c r="AU5353" s="181" t="s">
        <v>7494</v>
      </c>
      <c r="AV5353" s="185" t="s">
        <v>176</v>
      </c>
      <c r="AX5353" s="185" t="s">
        <v>176</v>
      </c>
      <c r="BK5353" s="55" t="s">
        <v>2082</v>
      </c>
      <c r="BN5353" s="55" t="s">
        <v>1805</v>
      </c>
      <c r="BO5353" s="55" t="s">
        <v>1805</v>
      </c>
      <c r="BP5353" s="55" t="s">
        <v>1682</v>
      </c>
      <c r="CM5353" s="65">
        <v>0.24</v>
      </c>
      <c r="CN5353" s="65">
        <v>0.2</v>
      </c>
      <c r="CQ5353" s="65" t="s">
        <v>164</v>
      </c>
      <c r="DB5353" s="65">
        <v>0.13</v>
      </c>
      <c r="DC5353" s="65">
        <v>0.11</v>
      </c>
      <c r="DF5353" s="65" t="s">
        <v>165</v>
      </c>
      <c r="DG5353" s="65">
        <v>6.3</v>
      </c>
      <c r="DH5353" s="65">
        <v>3.23</v>
      </c>
      <c r="DK5353" s="65" t="s">
        <v>6511</v>
      </c>
      <c r="DL5353" s="65">
        <v>79</v>
      </c>
      <c r="DM5353" s="65">
        <v>75.37</v>
      </c>
      <c r="DP5353" s="65" t="s">
        <v>6512</v>
      </c>
      <c r="FY5353" s="65">
        <v>23.35</v>
      </c>
      <c r="FZ5353" s="65">
        <v>24.23</v>
      </c>
      <c r="GP5353" s="292" t="s">
        <v>7494</v>
      </c>
    </row>
    <row r="5354" spans="1:198" x14ac:dyDescent="0.25">
      <c r="A5354" s="55">
        <v>5353</v>
      </c>
      <c r="B5354" s="12" t="s">
        <v>7067</v>
      </c>
      <c r="C5354" s="155" t="s">
        <v>6433</v>
      </c>
      <c r="D5354" s="55" t="s">
        <v>6519</v>
      </c>
      <c r="E5354" s="90" t="s">
        <v>6495</v>
      </c>
      <c r="G5354" s="55" t="s">
        <v>6496</v>
      </c>
      <c r="H5354" s="55" t="s">
        <v>6390</v>
      </c>
      <c r="I5354" s="55" t="s">
        <v>5490</v>
      </c>
      <c r="J5354" s="55" t="s">
        <v>6470</v>
      </c>
      <c r="K5354" s="55" t="s">
        <v>6497</v>
      </c>
      <c r="L5354" s="55" t="s">
        <v>3377</v>
      </c>
      <c r="M5354" s="90">
        <f>38+48/60</f>
        <v>38.799999999999997</v>
      </c>
      <c r="N5354" s="90">
        <f>110+22/60</f>
        <v>110.36666666666666</v>
      </c>
      <c r="Q5354" s="55" t="s">
        <v>5573</v>
      </c>
      <c r="S5354" s="90" t="s">
        <v>6498</v>
      </c>
      <c r="U5354" s="55" t="s">
        <v>1935</v>
      </c>
      <c r="V5354" s="55" t="s">
        <v>1694</v>
      </c>
      <c r="Z5354" s="55" t="s">
        <v>6509</v>
      </c>
      <c r="AA5354" s="90">
        <v>10</v>
      </c>
      <c r="AH5354" s="55" t="s">
        <v>769</v>
      </c>
      <c r="AM5354" s="55" t="s">
        <v>6493</v>
      </c>
      <c r="AO5354" s="185" t="s">
        <v>5150</v>
      </c>
      <c r="AU5354" s="181" t="s">
        <v>7494</v>
      </c>
      <c r="AV5354" s="185" t="s">
        <v>176</v>
      </c>
      <c r="AX5354" s="185" t="s">
        <v>176</v>
      </c>
      <c r="BK5354" s="55" t="s">
        <v>5981</v>
      </c>
      <c r="BN5354" s="55" t="s">
        <v>1805</v>
      </c>
      <c r="BO5354" s="55" t="s">
        <v>1805</v>
      </c>
      <c r="BP5354" s="55" t="s">
        <v>1682</v>
      </c>
      <c r="CM5354" s="65">
        <v>0.24</v>
      </c>
      <c r="CN5354" s="65">
        <v>0.27</v>
      </c>
      <c r="CQ5354" s="65" t="s">
        <v>164</v>
      </c>
      <c r="DB5354" s="65">
        <v>0.13</v>
      </c>
      <c r="DC5354" s="65">
        <v>0.12</v>
      </c>
      <c r="DF5354" s="65" t="s">
        <v>165</v>
      </c>
      <c r="DG5354" s="65">
        <v>6.3</v>
      </c>
      <c r="DH5354" s="65">
        <v>5.41</v>
      </c>
      <c r="DK5354" s="65" t="s">
        <v>6511</v>
      </c>
      <c r="DL5354" s="65">
        <v>79</v>
      </c>
      <c r="DM5354" s="65">
        <v>69.14</v>
      </c>
      <c r="DP5354" s="65" t="s">
        <v>6512</v>
      </c>
      <c r="FY5354" s="65">
        <v>23.35</v>
      </c>
      <c r="FZ5354" s="65">
        <v>22.96</v>
      </c>
      <c r="GP5354" s="292" t="s">
        <v>7494</v>
      </c>
    </row>
    <row r="5355" spans="1:198" x14ac:dyDescent="0.25">
      <c r="A5355" s="55">
        <v>5354</v>
      </c>
      <c r="B5355" s="12" t="s">
        <v>7067</v>
      </c>
      <c r="C5355" s="155" t="s">
        <v>6433</v>
      </c>
      <c r="D5355" s="55" t="s">
        <v>6520</v>
      </c>
      <c r="E5355" s="90" t="s">
        <v>6495</v>
      </c>
      <c r="G5355" s="55" t="s">
        <v>6496</v>
      </c>
      <c r="H5355" s="55" t="s">
        <v>6390</v>
      </c>
      <c r="I5355" s="55" t="s">
        <v>5490</v>
      </c>
      <c r="J5355" s="55" t="s">
        <v>6470</v>
      </c>
      <c r="K5355" s="55" t="s">
        <v>6497</v>
      </c>
      <c r="L5355" s="55" t="s">
        <v>3377</v>
      </c>
      <c r="M5355" s="90">
        <f>38+48/60</f>
        <v>38.799999999999997</v>
      </c>
      <c r="N5355" s="90">
        <f>110+22/60</f>
        <v>110.36666666666666</v>
      </c>
      <c r="Q5355" s="55" t="s">
        <v>5573</v>
      </c>
      <c r="S5355" s="90" t="s">
        <v>6498</v>
      </c>
      <c r="U5355" s="55" t="s">
        <v>1935</v>
      </c>
      <c r="V5355" s="55" t="s">
        <v>1694</v>
      </c>
      <c r="Z5355" s="55" t="s">
        <v>6509</v>
      </c>
      <c r="AA5355" s="90">
        <v>10</v>
      </c>
      <c r="AH5355" s="55" t="s">
        <v>769</v>
      </c>
      <c r="AM5355" s="55" t="s">
        <v>6493</v>
      </c>
      <c r="AO5355" s="185" t="s">
        <v>5150</v>
      </c>
      <c r="AU5355" s="181" t="s">
        <v>7494</v>
      </c>
      <c r="AV5355" s="185" t="s">
        <v>176</v>
      </c>
      <c r="AX5355" s="185" t="s">
        <v>176</v>
      </c>
      <c r="BK5355" s="55" t="s">
        <v>6503</v>
      </c>
      <c r="BN5355" s="55" t="s">
        <v>1805</v>
      </c>
      <c r="BO5355" s="55" t="s">
        <v>1805</v>
      </c>
      <c r="BP5355" s="55" t="s">
        <v>1682</v>
      </c>
      <c r="CM5355" s="65">
        <v>0.24</v>
      </c>
      <c r="CN5355" s="65">
        <v>0.3</v>
      </c>
      <c r="CQ5355" s="65" t="s">
        <v>164</v>
      </c>
      <c r="DB5355" s="65">
        <v>0.13</v>
      </c>
      <c r="DC5355" s="65">
        <v>9.7799999999999998E-2</v>
      </c>
      <c r="DF5355" s="65" t="s">
        <v>165</v>
      </c>
      <c r="DG5355" s="65">
        <v>6.3</v>
      </c>
      <c r="DH5355" s="65">
        <v>5.2</v>
      </c>
      <c r="DK5355" s="65" t="s">
        <v>6511</v>
      </c>
      <c r="DL5355" s="65">
        <v>79</v>
      </c>
      <c r="DM5355" s="65">
        <v>75.11</v>
      </c>
      <c r="DP5355" s="65" t="s">
        <v>6512</v>
      </c>
      <c r="FY5355" s="65">
        <v>23.35</v>
      </c>
      <c r="FZ5355" s="65">
        <v>24.23</v>
      </c>
      <c r="GP5355" s="292" t="s">
        <v>7494</v>
      </c>
    </row>
    <row r="5356" spans="1:198" x14ac:dyDescent="0.25">
      <c r="A5356" s="55">
        <v>5355</v>
      </c>
      <c r="B5356" s="12" t="s">
        <v>7067</v>
      </c>
      <c r="C5356" s="155" t="s">
        <v>6433</v>
      </c>
      <c r="D5356" s="55" t="s">
        <v>6521</v>
      </c>
      <c r="E5356" s="90" t="s">
        <v>6495</v>
      </c>
      <c r="G5356" s="55" t="s">
        <v>6496</v>
      </c>
      <c r="H5356" s="55" t="s">
        <v>6390</v>
      </c>
      <c r="I5356" s="55" t="s">
        <v>5490</v>
      </c>
      <c r="J5356" s="55" t="s">
        <v>6470</v>
      </c>
      <c r="K5356" s="55" t="s">
        <v>6497</v>
      </c>
      <c r="L5356" s="55" t="s">
        <v>3377</v>
      </c>
      <c r="M5356" s="90">
        <f>38+48/60</f>
        <v>38.799999999999997</v>
      </c>
      <c r="N5356" s="90">
        <f>110+22/60</f>
        <v>110.36666666666666</v>
      </c>
      <c r="Q5356" s="55" t="s">
        <v>5573</v>
      </c>
      <c r="S5356" s="90" t="s">
        <v>6498</v>
      </c>
      <c r="U5356" s="55" t="s">
        <v>1935</v>
      </c>
      <c r="V5356" s="55" t="s">
        <v>1694</v>
      </c>
      <c r="Z5356" s="55" t="s">
        <v>6509</v>
      </c>
      <c r="AA5356" s="90">
        <v>10</v>
      </c>
      <c r="AH5356" s="55" t="s">
        <v>769</v>
      </c>
      <c r="AM5356" s="55" t="s">
        <v>6493</v>
      </c>
      <c r="AO5356" s="185" t="s">
        <v>5150</v>
      </c>
      <c r="AU5356" s="181" t="s">
        <v>7494</v>
      </c>
      <c r="AV5356" s="185" t="s">
        <v>176</v>
      </c>
      <c r="AX5356" s="185" t="s">
        <v>176</v>
      </c>
      <c r="BK5356" s="55" t="s">
        <v>6502</v>
      </c>
      <c r="BN5356" s="55" t="s">
        <v>1805</v>
      </c>
      <c r="BO5356" s="55" t="s">
        <v>1805</v>
      </c>
      <c r="BP5356" s="55" t="s">
        <v>1682</v>
      </c>
      <c r="CM5356" s="65">
        <v>0.24</v>
      </c>
      <c r="CN5356" s="65">
        <v>8.4900000000000003E-2</v>
      </c>
      <c r="CQ5356" s="65" t="s">
        <v>164</v>
      </c>
      <c r="DB5356" s="65">
        <v>0.13</v>
      </c>
      <c r="DC5356" s="65">
        <v>0.15</v>
      </c>
      <c r="DF5356" s="65" t="s">
        <v>165</v>
      </c>
      <c r="DG5356" s="65">
        <v>6.3</v>
      </c>
      <c r="DH5356" s="65">
        <v>4.92</v>
      </c>
      <c r="DK5356" s="65" t="s">
        <v>6511</v>
      </c>
      <c r="DL5356" s="65">
        <v>79</v>
      </c>
      <c r="DM5356" s="65">
        <v>70.959999999999994</v>
      </c>
      <c r="DP5356" s="65" t="s">
        <v>6512</v>
      </c>
      <c r="FY5356" s="65">
        <v>23.35</v>
      </c>
      <c r="FZ5356" s="65">
        <v>26.39</v>
      </c>
      <c r="GP5356" s="292" t="s">
        <v>7494</v>
      </c>
    </row>
    <row r="5357" spans="1:198" x14ac:dyDescent="0.25">
      <c r="A5357" s="55">
        <v>5356</v>
      </c>
      <c r="B5357" s="12" t="s">
        <v>7067</v>
      </c>
      <c r="C5357" s="155" t="s">
        <v>6433</v>
      </c>
      <c r="D5357" s="55" t="s">
        <v>6522</v>
      </c>
      <c r="E5357" s="90" t="s">
        <v>6495</v>
      </c>
      <c r="G5357" s="55" t="s">
        <v>6496</v>
      </c>
      <c r="H5357" s="55" t="s">
        <v>6390</v>
      </c>
      <c r="I5357" s="55" t="s">
        <v>5490</v>
      </c>
      <c r="J5357" s="55" t="s">
        <v>6470</v>
      </c>
      <c r="K5357" s="55" t="s">
        <v>6497</v>
      </c>
      <c r="L5357" s="55" t="s">
        <v>3377</v>
      </c>
      <c r="M5357" s="90">
        <f>38+48/60</f>
        <v>38.799999999999997</v>
      </c>
      <c r="N5357" s="90">
        <f>110+22/60</f>
        <v>110.36666666666666</v>
      </c>
      <c r="Q5357" s="55" t="s">
        <v>5573</v>
      </c>
      <c r="S5357" s="90" t="s">
        <v>6498</v>
      </c>
      <c r="U5357" s="55" t="s">
        <v>1935</v>
      </c>
      <c r="V5357" s="55" t="s">
        <v>1694</v>
      </c>
      <c r="Z5357" s="55" t="s">
        <v>6509</v>
      </c>
      <c r="AA5357" s="90">
        <v>10</v>
      </c>
      <c r="AH5357" s="55" t="s">
        <v>769</v>
      </c>
      <c r="AM5357" s="55" t="s">
        <v>6493</v>
      </c>
      <c r="AO5357" s="185" t="s">
        <v>5150</v>
      </c>
      <c r="AU5357" s="181" t="s">
        <v>7494</v>
      </c>
      <c r="AV5357" s="185" t="s">
        <v>176</v>
      </c>
      <c r="AX5357" s="185" t="s">
        <v>176</v>
      </c>
      <c r="BK5357" s="55" t="s">
        <v>6504</v>
      </c>
      <c r="BN5357" s="55" t="s">
        <v>1805</v>
      </c>
      <c r="BO5357" s="55" t="s">
        <v>1805</v>
      </c>
      <c r="BP5357" s="55" t="s">
        <v>1682</v>
      </c>
      <c r="CM5357" s="65">
        <v>0.24</v>
      </c>
      <c r="CN5357" s="65">
        <v>0.43</v>
      </c>
      <c r="CQ5357" s="65" t="s">
        <v>164</v>
      </c>
      <c r="DB5357" s="65">
        <v>0.13</v>
      </c>
      <c r="DC5357" s="65">
        <v>0.14000000000000001</v>
      </c>
      <c r="DF5357" s="65" t="s">
        <v>165</v>
      </c>
      <c r="DG5357" s="65">
        <v>6.3</v>
      </c>
      <c r="DH5357" s="65">
        <v>6.26</v>
      </c>
      <c r="DK5357" s="65" t="s">
        <v>6511</v>
      </c>
      <c r="DL5357" s="65">
        <v>79</v>
      </c>
      <c r="DM5357" s="65">
        <v>99.49</v>
      </c>
      <c r="DP5357" s="65" t="s">
        <v>6512</v>
      </c>
      <c r="FY5357" s="65">
        <v>23.35</v>
      </c>
      <c r="FZ5357" s="65">
        <v>24.41</v>
      </c>
      <c r="GP5357" s="292" t="s">
        <v>7494</v>
      </c>
    </row>
    <row r="5358" spans="1:198" x14ac:dyDescent="0.25">
      <c r="A5358" s="55">
        <v>5357</v>
      </c>
      <c r="B5358" s="12" t="s">
        <v>7067</v>
      </c>
      <c r="C5358" s="155" t="s">
        <v>6433</v>
      </c>
      <c r="D5358" s="55" t="s">
        <v>6518</v>
      </c>
      <c r="E5358" s="90" t="s">
        <v>6495</v>
      </c>
      <c r="G5358" s="55" t="s">
        <v>6496</v>
      </c>
      <c r="H5358" s="55" t="s">
        <v>6390</v>
      </c>
      <c r="I5358" s="55" t="s">
        <v>5864</v>
      </c>
      <c r="J5358" s="55" t="s">
        <v>6470</v>
      </c>
      <c r="K5358" s="55" t="s">
        <v>6497</v>
      </c>
      <c r="L5358" s="55" t="s">
        <v>3377</v>
      </c>
      <c r="M5358" s="90">
        <f>38+48/60</f>
        <v>38.799999999999997</v>
      </c>
      <c r="N5358" s="90">
        <f>110+22/60</f>
        <v>110.36666666666666</v>
      </c>
      <c r="Q5358" s="55" t="s">
        <v>5573</v>
      </c>
      <c r="S5358" s="90" t="s">
        <v>6498</v>
      </c>
      <c r="U5358" s="55" t="s">
        <v>1805</v>
      </c>
      <c r="V5358" s="55" t="s">
        <v>1694</v>
      </c>
      <c r="Z5358" s="55" t="s">
        <v>6509</v>
      </c>
      <c r="AA5358" s="90">
        <v>10</v>
      </c>
      <c r="AH5358" s="55" t="s">
        <v>769</v>
      </c>
      <c r="AM5358" s="55" t="s">
        <v>6493</v>
      </c>
      <c r="AO5358" s="185" t="s">
        <v>5150</v>
      </c>
      <c r="AU5358" s="181" t="s">
        <v>7494</v>
      </c>
      <c r="AV5358" s="185" t="s">
        <v>176</v>
      </c>
      <c r="AX5358" s="185" t="s">
        <v>176</v>
      </c>
      <c r="BK5358" s="55" t="s">
        <v>2082</v>
      </c>
      <c r="BN5358" s="55" t="s">
        <v>1805</v>
      </c>
      <c r="BO5358" s="55" t="s">
        <v>1805</v>
      </c>
      <c r="BP5358" s="55" t="s">
        <v>1682</v>
      </c>
      <c r="CM5358" s="65">
        <v>0.16</v>
      </c>
      <c r="CN5358" s="65">
        <v>0.13</v>
      </c>
      <c r="CQ5358" s="65" t="s">
        <v>164</v>
      </c>
      <c r="DB5358" s="65">
        <v>0.12</v>
      </c>
      <c r="DC5358" s="65">
        <v>0.17</v>
      </c>
      <c r="DF5358" s="65" t="s">
        <v>165</v>
      </c>
      <c r="DG5358" s="65">
        <v>5.14</v>
      </c>
      <c r="DH5358" s="65">
        <v>2.83</v>
      </c>
      <c r="DK5358" s="65" t="s">
        <v>6511</v>
      </c>
      <c r="DL5358" s="65">
        <v>56</v>
      </c>
      <c r="DM5358" s="65">
        <v>52.26</v>
      </c>
      <c r="DP5358" s="65" t="s">
        <v>6512</v>
      </c>
      <c r="FY5358" s="65">
        <v>21.73</v>
      </c>
      <c r="FZ5358" s="65">
        <v>22.6</v>
      </c>
      <c r="GP5358" s="292" t="s">
        <v>7494</v>
      </c>
    </row>
    <row r="5359" spans="1:198" x14ac:dyDescent="0.25">
      <c r="A5359" s="55">
        <v>5358</v>
      </c>
      <c r="B5359" s="12" t="s">
        <v>7067</v>
      </c>
      <c r="C5359" s="155" t="s">
        <v>6433</v>
      </c>
      <c r="D5359" s="55" t="s">
        <v>6519</v>
      </c>
      <c r="E5359" s="90" t="s">
        <v>6495</v>
      </c>
      <c r="G5359" s="55" t="s">
        <v>6496</v>
      </c>
      <c r="H5359" s="55" t="s">
        <v>6390</v>
      </c>
      <c r="I5359" s="55" t="s">
        <v>5864</v>
      </c>
      <c r="J5359" s="55" t="s">
        <v>6470</v>
      </c>
      <c r="K5359" s="55" t="s">
        <v>6497</v>
      </c>
      <c r="L5359" s="55" t="s">
        <v>3377</v>
      </c>
      <c r="M5359" s="90">
        <f>38+48/60</f>
        <v>38.799999999999997</v>
      </c>
      <c r="N5359" s="90">
        <f>110+22/60</f>
        <v>110.36666666666666</v>
      </c>
      <c r="Q5359" s="55" t="s">
        <v>5573</v>
      </c>
      <c r="S5359" s="90" t="s">
        <v>6498</v>
      </c>
      <c r="U5359" s="55" t="s">
        <v>1805</v>
      </c>
      <c r="V5359" s="55" t="s">
        <v>1694</v>
      </c>
      <c r="Z5359" s="55" t="s">
        <v>6509</v>
      </c>
      <c r="AA5359" s="90">
        <v>10</v>
      </c>
      <c r="AH5359" s="55" t="s">
        <v>769</v>
      </c>
      <c r="AM5359" s="55" t="s">
        <v>6493</v>
      </c>
      <c r="AO5359" s="185" t="s">
        <v>5150</v>
      </c>
      <c r="AU5359" s="181" t="s">
        <v>7494</v>
      </c>
      <c r="AV5359" s="185" t="s">
        <v>176</v>
      </c>
      <c r="AX5359" s="185" t="s">
        <v>176</v>
      </c>
      <c r="BK5359" s="55" t="s">
        <v>5981</v>
      </c>
      <c r="BN5359" s="55" t="s">
        <v>1805</v>
      </c>
      <c r="BO5359" s="55" t="s">
        <v>1805</v>
      </c>
      <c r="BP5359" s="55" t="s">
        <v>1682</v>
      </c>
      <c r="CM5359" s="65">
        <v>0.16</v>
      </c>
      <c r="CN5359" s="65">
        <v>0.23</v>
      </c>
      <c r="CQ5359" s="65" t="s">
        <v>164</v>
      </c>
      <c r="DB5359" s="65">
        <v>0.12</v>
      </c>
      <c r="DC5359" s="65">
        <v>0.14000000000000001</v>
      </c>
      <c r="DF5359" s="65" t="s">
        <v>165</v>
      </c>
      <c r="DG5359" s="65">
        <v>5.14</v>
      </c>
      <c r="DH5359" s="65">
        <v>2.0299999999999998</v>
      </c>
      <c r="DK5359" s="65" t="s">
        <v>6511</v>
      </c>
      <c r="DL5359" s="65">
        <v>56</v>
      </c>
      <c r="DM5359" s="65">
        <v>84.43</v>
      </c>
      <c r="DP5359" s="65" t="s">
        <v>6512</v>
      </c>
      <c r="FY5359" s="65">
        <v>21.73</v>
      </c>
      <c r="FZ5359" s="65">
        <v>21.49</v>
      </c>
      <c r="GP5359" s="292" t="s">
        <v>7494</v>
      </c>
    </row>
    <row r="5360" spans="1:198" x14ac:dyDescent="0.25">
      <c r="A5360" s="55">
        <v>5359</v>
      </c>
      <c r="B5360" s="12" t="s">
        <v>7067</v>
      </c>
      <c r="C5360" s="155" t="s">
        <v>6433</v>
      </c>
      <c r="D5360" s="55" t="s">
        <v>6520</v>
      </c>
      <c r="E5360" s="90" t="s">
        <v>6495</v>
      </c>
      <c r="G5360" s="55" t="s">
        <v>6496</v>
      </c>
      <c r="H5360" s="55" t="s">
        <v>6390</v>
      </c>
      <c r="I5360" s="55" t="s">
        <v>5864</v>
      </c>
      <c r="J5360" s="55" t="s">
        <v>6470</v>
      </c>
      <c r="K5360" s="55" t="s">
        <v>6497</v>
      </c>
      <c r="L5360" s="55" t="s">
        <v>3377</v>
      </c>
      <c r="M5360" s="90">
        <f>38+48/60</f>
        <v>38.799999999999997</v>
      </c>
      <c r="N5360" s="90">
        <f>110+22/60</f>
        <v>110.36666666666666</v>
      </c>
      <c r="Q5360" s="55" t="s">
        <v>5573</v>
      </c>
      <c r="S5360" s="90" t="s">
        <v>6498</v>
      </c>
      <c r="U5360" s="55" t="s">
        <v>1805</v>
      </c>
      <c r="V5360" s="55" t="s">
        <v>1694</v>
      </c>
      <c r="Z5360" s="55" t="s">
        <v>6509</v>
      </c>
      <c r="AA5360" s="90">
        <v>10</v>
      </c>
      <c r="AH5360" s="55" t="s">
        <v>769</v>
      </c>
      <c r="AM5360" s="55" t="s">
        <v>6493</v>
      </c>
      <c r="AO5360" s="185" t="s">
        <v>5150</v>
      </c>
      <c r="AU5360" s="181" t="s">
        <v>7494</v>
      </c>
      <c r="AV5360" s="185" t="s">
        <v>176</v>
      </c>
      <c r="AX5360" s="185" t="s">
        <v>176</v>
      </c>
      <c r="BK5360" s="55" t="s">
        <v>6503</v>
      </c>
      <c r="BN5360" s="55" t="s">
        <v>1805</v>
      </c>
      <c r="BO5360" s="55" t="s">
        <v>1805</v>
      </c>
      <c r="BP5360" s="55" t="s">
        <v>1682</v>
      </c>
      <c r="CM5360" s="65">
        <v>0.16</v>
      </c>
      <c r="CN5360" s="65">
        <v>0.37</v>
      </c>
      <c r="CQ5360" s="65" t="s">
        <v>164</v>
      </c>
      <c r="DB5360" s="65">
        <v>0.12</v>
      </c>
      <c r="DC5360" s="65">
        <v>0.18</v>
      </c>
      <c r="DF5360" s="65" t="s">
        <v>165</v>
      </c>
      <c r="DG5360" s="65">
        <v>5.14</v>
      </c>
      <c r="DH5360" s="65">
        <v>4.09</v>
      </c>
      <c r="DK5360" s="65" t="s">
        <v>6511</v>
      </c>
      <c r="DL5360" s="65">
        <v>56</v>
      </c>
      <c r="DM5360" s="65">
        <v>60.3</v>
      </c>
      <c r="DP5360" s="65" t="s">
        <v>6512</v>
      </c>
      <c r="FY5360" s="65">
        <v>21.73</v>
      </c>
      <c r="FZ5360" s="65">
        <v>23.04</v>
      </c>
      <c r="GP5360" s="292" t="s">
        <v>7494</v>
      </c>
    </row>
    <row r="5361" spans="1:198" x14ac:dyDescent="0.25">
      <c r="A5361" s="55">
        <v>5360</v>
      </c>
      <c r="B5361" s="12" t="s">
        <v>7067</v>
      </c>
      <c r="C5361" s="155" t="s">
        <v>6433</v>
      </c>
      <c r="D5361" s="55" t="s">
        <v>6521</v>
      </c>
      <c r="E5361" s="90" t="s">
        <v>6495</v>
      </c>
      <c r="G5361" s="55" t="s">
        <v>6496</v>
      </c>
      <c r="H5361" s="55" t="s">
        <v>6390</v>
      </c>
      <c r="I5361" s="55" t="s">
        <v>5864</v>
      </c>
      <c r="J5361" s="55" t="s">
        <v>6470</v>
      </c>
      <c r="K5361" s="55" t="s">
        <v>6497</v>
      </c>
      <c r="L5361" s="55" t="s">
        <v>3377</v>
      </c>
      <c r="M5361" s="90">
        <f>38+48/60</f>
        <v>38.799999999999997</v>
      </c>
      <c r="N5361" s="90">
        <f>110+22/60</f>
        <v>110.36666666666666</v>
      </c>
      <c r="Q5361" s="55" t="s">
        <v>5573</v>
      </c>
      <c r="S5361" s="90" t="s">
        <v>6498</v>
      </c>
      <c r="U5361" s="55" t="s">
        <v>1805</v>
      </c>
      <c r="V5361" s="55" t="s">
        <v>1694</v>
      </c>
      <c r="Z5361" s="55" t="s">
        <v>6509</v>
      </c>
      <c r="AA5361" s="90">
        <v>10</v>
      </c>
      <c r="AH5361" s="55" t="s">
        <v>769</v>
      </c>
      <c r="AM5361" s="55" t="s">
        <v>6493</v>
      </c>
      <c r="AO5361" s="185" t="s">
        <v>5150</v>
      </c>
      <c r="AU5361" s="181" t="s">
        <v>7494</v>
      </c>
      <c r="AV5361" s="185" t="s">
        <v>176</v>
      </c>
      <c r="AX5361" s="185" t="s">
        <v>176</v>
      </c>
      <c r="BK5361" s="55" t="s">
        <v>6502</v>
      </c>
      <c r="BN5361" s="55" t="s">
        <v>1805</v>
      </c>
      <c r="BO5361" s="55" t="s">
        <v>1805</v>
      </c>
      <c r="BP5361" s="55" t="s">
        <v>1682</v>
      </c>
      <c r="CM5361" s="65">
        <v>0.16</v>
      </c>
      <c r="CN5361" s="65">
        <v>0.25</v>
      </c>
      <c r="CQ5361" s="65" t="s">
        <v>164</v>
      </c>
      <c r="DB5361" s="65">
        <v>0.12</v>
      </c>
      <c r="DC5361" s="65">
        <v>0.21</v>
      </c>
      <c r="DF5361" s="65" t="s">
        <v>165</v>
      </c>
      <c r="DG5361" s="65">
        <v>5.14</v>
      </c>
      <c r="DH5361" s="65">
        <v>2.98</v>
      </c>
      <c r="DK5361" s="65" t="s">
        <v>6511</v>
      </c>
      <c r="DL5361" s="65">
        <v>56</v>
      </c>
      <c r="DM5361" s="65">
        <v>56.15</v>
      </c>
      <c r="DP5361" s="65" t="s">
        <v>6512</v>
      </c>
      <c r="FY5361" s="65">
        <v>21.73</v>
      </c>
      <c r="FZ5361" s="65">
        <v>24.35</v>
      </c>
      <c r="GP5361" s="292" t="s">
        <v>7494</v>
      </c>
    </row>
    <row r="5362" spans="1:198" x14ac:dyDescent="0.25">
      <c r="A5362" s="55">
        <v>5361</v>
      </c>
      <c r="B5362" s="12" t="s">
        <v>7067</v>
      </c>
      <c r="C5362" s="155" t="s">
        <v>6433</v>
      </c>
      <c r="D5362" s="55" t="s">
        <v>6522</v>
      </c>
      <c r="E5362" s="90" t="s">
        <v>6495</v>
      </c>
      <c r="G5362" s="55" t="s">
        <v>6496</v>
      </c>
      <c r="H5362" s="55" t="s">
        <v>6390</v>
      </c>
      <c r="I5362" s="55" t="s">
        <v>5864</v>
      </c>
      <c r="J5362" s="55" t="s">
        <v>6470</v>
      </c>
      <c r="K5362" s="55" t="s">
        <v>6497</v>
      </c>
      <c r="L5362" s="55" t="s">
        <v>3377</v>
      </c>
      <c r="M5362" s="90">
        <f>38+48/60</f>
        <v>38.799999999999997</v>
      </c>
      <c r="N5362" s="90">
        <f>110+22/60</f>
        <v>110.36666666666666</v>
      </c>
      <c r="Q5362" s="55" t="s">
        <v>5573</v>
      </c>
      <c r="S5362" s="90" t="s">
        <v>6498</v>
      </c>
      <c r="U5362" s="55" t="s">
        <v>1805</v>
      </c>
      <c r="V5362" s="55" t="s">
        <v>1694</v>
      </c>
      <c r="Z5362" s="55" t="s">
        <v>6509</v>
      </c>
      <c r="AA5362" s="90">
        <v>10</v>
      </c>
      <c r="AH5362" s="55" t="s">
        <v>769</v>
      </c>
      <c r="AM5362" s="55" t="s">
        <v>6493</v>
      </c>
      <c r="AO5362" s="185" t="s">
        <v>5150</v>
      </c>
      <c r="AU5362" s="181" t="s">
        <v>7494</v>
      </c>
      <c r="AV5362" s="185" t="s">
        <v>176</v>
      </c>
      <c r="AX5362" s="185" t="s">
        <v>176</v>
      </c>
      <c r="BK5362" s="55" t="s">
        <v>6504</v>
      </c>
      <c r="BN5362" s="55" t="s">
        <v>1805</v>
      </c>
      <c r="BO5362" s="55" t="s">
        <v>1805</v>
      </c>
      <c r="BP5362" s="55" t="s">
        <v>1682</v>
      </c>
      <c r="CM5362" s="65">
        <v>0.16</v>
      </c>
      <c r="CN5362" s="65">
        <v>0.49</v>
      </c>
      <c r="CQ5362" s="65" t="s">
        <v>164</v>
      </c>
      <c r="DB5362" s="65">
        <v>0.12</v>
      </c>
      <c r="DC5362" s="65">
        <v>0.22</v>
      </c>
      <c r="DF5362" s="65" t="s">
        <v>165</v>
      </c>
      <c r="DG5362" s="65">
        <v>5.14</v>
      </c>
      <c r="DH5362" s="65">
        <v>2.64</v>
      </c>
      <c r="DK5362" s="65" t="s">
        <v>6511</v>
      </c>
      <c r="DL5362" s="65">
        <v>56</v>
      </c>
      <c r="DM5362" s="65">
        <v>57.97</v>
      </c>
      <c r="DP5362" s="65" t="s">
        <v>6512</v>
      </c>
      <c r="FY5362" s="65">
        <v>21.73</v>
      </c>
      <c r="FZ5362" s="65">
        <v>22.67</v>
      </c>
      <c r="GP5362" s="292" t="s">
        <v>7494</v>
      </c>
    </row>
    <row r="5363" spans="1:198" x14ac:dyDescent="0.25">
      <c r="A5363" s="55">
        <v>5362</v>
      </c>
      <c r="B5363" s="12" t="s">
        <v>7067</v>
      </c>
      <c r="C5363" s="155" t="s">
        <v>6433</v>
      </c>
      <c r="D5363" s="55" t="s">
        <v>6518</v>
      </c>
      <c r="E5363" s="90" t="s">
        <v>6495</v>
      </c>
      <c r="G5363" s="55" t="s">
        <v>6496</v>
      </c>
      <c r="H5363" s="55" t="s">
        <v>6390</v>
      </c>
      <c r="I5363" s="55" t="s">
        <v>5532</v>
      </c>
      <c r="J5363" s="55" t="s">
        <v>6470</v>
      </c>
      <c r="K5363" s="55" t="s">
        <v>6497</v>
      </c>
      <c r="L5363" s="55" t="s">
        <v>3377</v>
      </c>
      <c r="M5363" s="90">
        <f>38+48/60</f>
        <v>38.799999999999997</v>
      </c>
      <c r="N5363" s="90">
        <f>110+22/60</f>
        <v>110.36666666666666</v>
      </c>
      <c r="Q5363" s="55" t="s">
        <v>5573</v>
      </c>
      <c r="S5363" s="90" t="s">
        <v>6498</v>
      </c>
      <c r="U5363" s="55" t="s">
        <v>1688</v>
      </c>
      <c r="V5363" s="55" t="s">
        <v>1694</v>
      </c>
      <c r="Z5363" s="55" t="s">
        <v>6509</v>
      </c>
      <c r="AA5363" s="90">
        <v>10</v>
      </c>
      <c r="AH5363" s="55" t="s">
        <v>769</v>
      </c>
      <c r="AM5363" s="55" t="s">
        <v>6493</v>
      </c>
      <c r="AO5363" s="185" t="s">
        <v>5150</v>
      </c>
      <c r="AU5363" s="181" t="s">
        <v>7494</v>
      </c>
      <c r="AV5363" s="185" t="s">
        <v>176</v>
      </c>
      <c r="AX5363" s="185" t="s">
        <v>176</v>
      </c>
      <c r="BK5363" s="55" t="s">
        <v>2082</v>
      </c>
      <c r="BN5363" s="55" t="s">
        <v>1805</v>
      </c>
      <c r="BO5363" s="55" t="s">
        <v>1805</v>
      </c>
      <c r="BP5363" s="55" t="s">
        <v>1682</v>
      </c>
      <c r="CM5363" s="65">
        <v>0.14000000000000001</v>
      </c>
      <c r="CN5363" s="65">
        <v>0.3</v>
      </c>
      <c r="CQ5363" s="65" t="s">
        <v>164</v>
      </c>
      <c r="DB5363" s="65">
        <v>0.15</v>
      </c>
      <c r="DC5363" s="65">
        <v>0.16</v>
      </c>
      <c r="DF5363" s="65" t="s">
        <v>165</v>
      </c>
      <c r="DG5363" s="65">
        <v>2.14</v>
      </c>
      <c r="DH5363" s="65">
        <v>3.26</v>
      </c>
      <c r="DK5363" s="65" t="s">
        <v>6511</v>
      </c>
      <c r="DL5363" s="65">
        <v>59</v>
      </c>
      <c r="DM5363" s="65">
        <v>45.24</v>
      </c>
      <c r="DP5363" s="65" t="s">
        <v>6512</v>
      </c>
      <c r="GP5363" s="292" t="s">
        <v>7494</v>
      </c>
    </row>
    <row r="5364" spans="1:198" x14ac:dyDescent="0.25">
      <c r="A5364" s="55">
        <v>5363</v>
      </c>
      <c r="B5364" s="12" t="s">
        <v>7067</v>
      </c>
      <c r="C5364" s="155" t="s">
        <v>6433</v>
      </c>
      <c r="D5364" s="55" t="s">
        <v>6519</v>
      </c>
      <c r="E5364" s="90" t="s">
        <v>6495</v>
      </c>
      <c r="G5364" s="55" t="s">
        <v>6496</v>
      </c>
      <c r="H5364" s="55" t="s">
        <v>6390</v>
      </c>
      <c r="I5364" s="55" t="s">
        <v>5532</v>
      </c>
      <c r="J5364" s="55" t="s">
        <v>6470</v>
      </c>
      <c r="K5364" s="55" t="s">
        <v>6497</v>
      </c>
      <c r="L5364" s="55" t="s">
        <v>3377</v>
      </c>
      <c r="M5364" s="90">
        <f>38+48/60</f>
        <v>38.799999999999997</v>
      </c>
      <c r="N5364" s="90">
        <f>110+22/60</f>
        <v>110.36666666666666</v>
      </c>
      <c r="Q5364" s="55" t="s">
        <v>5573</v>
      </c>
      <c r="S5364" s="90" t="s">
        <v>6498</v>
      </c>
      <c r="U5364" s="55" t="s">
        <v>1688</v>
      </c>
      <c r="V5364" s="55" t="s">
        <v>1694</v>
      </c>
      <c r="Z5364" s="55" t="s">
        <v>6509</v>
      </c>
      <c r="AA5364" s="90">
        <v>10</v>
      </c>
      <c r="AH5364" s="55" t="s">
        <v>769</v>
      </c>
      <c r="AM5364" s="55" t="s">
        <v>6493</v>
      </c>
      <c r="AO5364" s="185" t="s">
        <v>5150</v>
      </c>
      <c r="AU5364" s="181" t="s">
        <v>7494</v>
      </c>
      <c r="AV5364" s="185" t="s">
        <v>176</v>
      </c>
      <c r="AX5364" s="185" t="s">
        <v>176</v>
      </c>
      <c r="BK5364" s="55" t="s">
        <v>5981</v>
      </c>
      <c r="BN5364" s="55" t="s">
        <v>1805</v>
      </c>
      <c r="BO5364" s="55" t="s">
        <v>1805</v>
      </c>
      <c r="BP5364" s="55" t="s">
        <v>1682</v>
      </c>
      <c r="CM5364" s="65">
        <v>0.14000000000000001</v>
      </c>
      <c r="CN5364" s="65">
        <v>0.35</v>
      </c>
      <c r="CQ5364" s="65" t="s">
        <v>164</v>
      </c>
      <c r="DB5364" s="65">
        <v>0.15</v>
      </c>
      <c r="DC5364" s="65">
        <v>0.21</v>
      </c>
      <c r="DF5364" s="65" t="s">
        <v>165</v>
      </c>
      <c r="DG5364" s="65">
        <v>2.14</v>
      </c>
      <c r="DH5364" s="65">
        <v>2.14</v>
      </c>
      <c r="DK5364" s="65" t="s">
        <v>6511</v>
      </c>
      <c r="DL5364" s="65">
        <v>59</v>
      </c>
      <c r="DM5364" s="65">
        <v>66.510000000000005</v>
      </c>
      <c r="DP5364" s="65" t="s">
        <v>6512</v>
      </c>
      <c r="GP5364" s="292" t="s">
        <v>7494</v>
      </c>
    </row>
    <row r="5365" spans="1:198" x14ac:dyDescent="0.25">
      <c r="A5365" s="55">
        <v>5364</v>
      </c>
      <c r="B5365" s="12" t="s">
        <v>7067</v>
      </c>
      <c r="C5365" s="155" t="s">
        <v>6433</v>
      </c>
      <c r="D5365" s="55" t="s">
        <v>6520</v>
      </c>
      <c r="E5365" s="90" t="s">
        <v>6495</v>
      </c>
      <c r="G5365" s="55" t="s">
        <v>6496</v>
      </c>
      <c r="H5365" s="55" t="s">
        <v>6390</v>
      </c>
      <c r="I5365" s="55" t="s">
        <v>5532</v>
      </c>
      <c r="J5365" s="55" t="s">
        <v>6470</v>
      </c>
      <c r="K5365" s="55" t="s">
        <v>6497</v>
      </c>
      <c r="L5365" s="55" t="s">
        <v>3377</v>
      </c>
      <c r="M5365" s="90">
        <f>38+48/60</f>
        <v>38.799999999999997</v>
      </c>
      <c r="N5365" s="90">
        <f>110+22/60</f>
        <v>110.36666666666666</v>
      </c>
      <c r="Q5365" s="55" t="s">
        <v>5573</v>
      </c>
      <c r="S5365" s="90" t="s">
        <v>6498</v>
      </c>
      <c r="U5365" s="55" t="s">
        <v>1688</v>
      </c>
      <c r="V5365" s="55" t="s">
        <v>1694</v>
      </c>
      <c r="Z5365" s="55" t="s">
        <v>6509</v>
      </c>
      <c r="AA5365" s="90">
        <v>10</v>
      </c>
      <c r="AH5365" s="55" t="s">
        <v>769</v>
      </c>
      <c r="AM5365" s="55" t="s">
        <v>6493</v>
      </c>
      <c r="AO5365" s="185" t="s">
        <v>5150</v>
      </c>
      <c r="AU5365" s="181" t="s">
        <v>7494</v>
      </c>
      <c r="AV5365" s="185" t="s">
        <v>176</v>
      </c>
      <c r="AX5365" s="185" t="s">
        <v>176</v>
      </c>
      <c r="BK5365" s="55" t="s">
        <v>6503</v>
      </c>
      <c r="BN5365" s="55" t="s">
        <v>1805</v>
      </c>
      <c r="BO5365" s="55" t="s">
        <v>1805</v>
      </c>
      <c r="BP5365" s="55" t="s">
        <v>1682</v>
      </c>
      <c r="CM5365" s="65">
        <v>0.14000000000000001</v>
      </c>
      <c r="CN5365" s="65">
        <v>0.41</v>
      </c>
      <c r="CQ5365" s="65" t="s">
        <v>164</v>
      </c>
      <c r="DB5365" s="65">
        <v>0.15</v>
      </c>
      <c r="DC5365" s="65">
        <v>0.23</v>
      </c>
      <c r="DF5365" s="65" t="s">
        <v>165</v>
      </c>
      <c r="DG5365" s="65">
        <v>2.14</v>
      </c>
      <c r="DH5365" s="65">
        <v>2.34</v>
      </c>
      <c r="DK5365" s="65" t="s">
        <v>6511</v>
      </c>
      <c r="DL5365" s="65">
        <v>59</v>
      </c>
      <c r="DM5365" s="65">
        <v>45.5</v>
      </c>
      <c r="DP5365" s="65" t="s">
        <v>6512</v>
      </c>
      <c r="GP5365" s="292" t="s">
        <v>7494</v>
      </c>
    </row>
    <row r="5366" spans="1:198" x14ac:dyDescent="0.25">
      <c r="A5366" s="55">
        <v>5365</v>
      </c>
      <c r="B5366" s="12" t="s">
        <v>7067</v>
      </c>
      <c r="C5366" s="155" t="s">
        <v>6433</v>
      </c>
      <c r="D5366" s="55" t="s">
        <v>6521</v>
      </c>
      <c r="E5366" s="90" t="s">
        <v>6495</v>
      </c>
      <c r="G5366" s="55" t="s">
        <v>6496</v>
      </c>
      <c r="H5366" s="55" t="s">
        <v>6390</v>
      </c>
      <c r="I5366" s="55" t="s">
        <v>5532</v>
      </c>
      <c r="J5366" s="55" t="s">
        <v>6470</v>
      </c>
      <c r="K5366" s="55" t="s">
        <v>6497</v>
      </c>
      <c r="L5366" s="55" t="s">
        <v>3377</v>
      </c>
      <c r="M5366" s="90">
        <f>38+48/60</f>
        <v>38.799999999999997</v>
      </c>
      <c r="N5366" s="90">
        <f>110+22/60</f>
        <v>110.36666666666666</v>
      </c>
      <c r="Q5366" s="55" t="s">
        <v>5573</v>
      </c>
      <c r="S5366" s="90" t="s">
        <v>6498</v>
      </c>
      <c r="U5366" s="55" t="s">
        <v>1688</v>
      </c>
      <c r="V5366" s="55" t="s">
        <v>1694</v>
      </c>
      <c r="Z5366" s="55" t="s">
        <v>6509</v>
      </c>
      <c r="AA5366" s="90">
        <v>10</v>
      </c>
      <c r="AH5366" s="55" t="s">
        <v>769</v>
      </c>
      <c r="AM5366" s="55" t="s">
        <v>6493</v>
      </c>
      <c r="AO5366" s="185" t="s">
        <v>5150</v>
      </c>
      <c r="AU5366" s="181" t="s">
        <v>7494</v>
      </c>
      <c r="AV5366" s="185" t="s">
        <v>176</v>
      </c>
      <c r="AX5366" s="185" t="s">
        <v>176</v>
      </c>
      <c r="BK5366" s="55" t="s">
        <v>6502</v>
      </c>
      <c r="BN5366" s="55" t="s">
        <v>1805</v>
      </c>
      <c r="BO5366" s="55" t="s">
        <v>1805</v>
      </c>
      <c r="BP5366" s="55" t="s">
        <v>1682</v>
      </c>
      <c r="CM5366" s="65">
        <v>0.14000000000000001</v>
      </c>
      <c r="CN5366" s="65">
        <v>0.35</v>
      </c>
      <c r="CQ5366" s="65" t="s">
        <v>164</v>
      </c>
      <c r="DB5366" s="65">
        <v>0.15</v>
      </c>
      <c r="DC5366" s="65">
        <v>0.23</v>
      </c>
      <c r="DF5366" s="65" t="s">
        <v>165</v>
      </c>
      <c r="DG5366" s="65">
        <v>2.14</v>
      </c>
      <c r="DH5366" s="65">
        <v>3.09</v>
      </c>
      <c r="DK5366" s="65" t="s">
        <v>6511</v>
      </c>
      <c r="DL5366" s="65">
        <v>59</v>
      </c>
      <c r="DM5366" s="65">
        <v>41.6</v>
      </c>
      <c r="DP5366" s="65" t="s">
        <v>6512</v>
      </c>
      <c r="GP5366" s="292" t="s">
        <v>7494</v>
      </c>
    </row>
    <row r="5367" spans="1:198" x14ac:dyDescent="0.25">
      <c r="A5367" s="55">
        <v>5366</v>
      </c>
      <c r="B5367" s="12" t="s">
        <v>7067</v>
      </c>
      <c r="C5367" s="155" t="s">
        <v>6433</v>
      </c>
      <c r="D5367" s="55" t="s">
        <v>6522</v>
      </c>
      <c r="E5367" s="90" t="s">
        <v>6495</v>
      </c>
      <c r="G5367" s="55" t="s">
        <v>6496</v>
      </c>
      <c r="H5367" s="55" t="s">
        <v>6390</v>
      </c>
      <c r="I5367" s="55" t="s">
        <v>5532</v>
      </c>
      <c r="J5367" s="55" t="s">
        <v>6470</v>
      </c>
      <c r="K5367" s="55" t="s">
        <v>6497</v>
      </c>
      <c r="L5367" s="55" t="s">
        <v>3377</v>
      </c>
      <c r="M5367" s="90">
        <f>38+48/60</f>
        <v>38.799999999999997</v>
      </c>
      <c r="N5367" s="90">
        <f>110+22/60</f>
        <v>110.36666666666666</v>
      </c>
      <c r="Q5367" s="55" t="s">
        <v>5573</v>
      </c>
      <c r="S5367" s="90" t="s">
        <v>6498</v>
      </c>
      <c r="U5367" s="55" t="s">
        <v>1688</v>
      </c>
      <c r="V5367" s="55" t="s">
        <v>1694</v>
      </c>
      <c r="Z5367" s="55" t="s">
        <v>6509</v>
      </c>
      <c r="AA5367" s="90">
        <v>10</v>
      </c>
      <c r="AH5367" s="55" t="s">
        <v>769</v>
      </c>
      <c r="AM5367" s="55" t="s">
        <v>6493</v>
      </c>
      <c r="AO5367" s="185" t="s">
        <v>5150</v>
      </c>
      <c r="AU5367" s="181" t="s">
        <v>7494</v>
      </c>
      <c r="AV5367" s="185" t="s">
        <v>176</v>
      </c>
      <c r="AX5367" s="185" t="s">
        <v>176</v>
      </c>
      <c r="BK5367" s="55" t="s">
        <v>6504</v>
      </c>
      <c r="BN5367" s="55" t="s">
        <v>1805</v>
      </c>
      <c r="BO5367" s="55" t="s">
        <v>1805</v>
      </c>
      <c r="BP5367" s="55" t="s">
        <v>1682</v>
      </c>
      <c r="CM5367" s="65">
        <v>0.14000000000000001</v>
      </c>
      <c r="CN5367" s="65">
        <v>0.44</v>
      </c>
      <c r="CQ5367" s="65" t="s">
        <v>164</v>
      </c>
      <c r="DB5367" s="65">
        <v>0.15</v>
      </c>
      <c r="DC5367" s="65">
        <v>0.27</v>
      </c>
      <c r="DF5367" s="65" t="s">
        <v>165</v>
      </c>
      <c r="DG5367" s="65">
        <v>2.14</v>
      </c>
      <c r="DH5367" s="65">
        <v>2.29</v>
      </c>
      <c r="DK5367" s="65" t="s">
        <v>6511</v>
      </c>
      <c r="DL5367" s="65">
        <v>59</v>
      </c>
      <c r="DM5367" s="65">
        <v>70.150000000000006</v>
      </c>
      <c r="DP5367" s="65" t="s">
        <v>6512</v>
      </c>
      <c r="GP5367" s="292" t="s">
        <v>7494</v>
      </c>
    </row>
    <row r="5368" spans="1:198" x14ac:dyDescent="0.25">
      <c r="A5368" s="55">
        <v>5367</v>
      </c>
      <c r="B5368" s="12" t="s">
        <v>7067</v>
      </c>
      <c r="C5368" s="155" t="s">
        <v>6433</v>
      </c>
      <c r="D5368" s="55" t="s">
        <v>6518</v>
      </c>
      <c r="E5368" s="90" t="s">
        <v>6495</v>
      </c>
      <c r="G5368" s="55" t="s">
        <v>6496</v>
      </c>
      <c r="H5368" s="55" t="s">
        <v>6390</v>
      </c>
      <c r="I5368" s="55" t="s">
        <v>6434</v>
      </c>
      <c r="J5368" s="55" t="s">
        <v>6470</v>
      </c>
      <c r="K5368" s="55" t="s">
        <v>6497</v>
      </c>
      <c r="L5368" s="55" t="s">
        <v>3377</v>
      </c>
      <c r="M5368" s="90">
        <f>38+48/60</f>
        <v>38.799999999999997</v>
      </c>
      <c r="N5368" s="90">
        <f>110+22/60</f>
        <v>110.36666666666666</v>
      </c>
      <c r="Q5368" s="55" t="s">
        <v>5573</v>
      </c>
      <c r="S5368" s="90" t="s">
        <v>6498</v>
      </c>
      <c r="U5368" s="55" t="s">
        <v>1816</v>
      </c>
      <c r="V5368" s="55" t="s">
        <v>1694</v>
      </c>
      <c r="Z5368" s="55" t="s">
        <v>6509</v>
      </c>
      <c r="AA5368" s="90">
        <v>10</v>
      </c>
      <c r="AH5368" s="55" t="s">
        <v>769</v>
      </c>
      <c r="AM5368" s="55" t="s">
        <v>6493</v>
      </c>
      <c r="AO5368" s="185" t="s">
        <v>5150</v>
      </c>
      <c r="AU5368" s="181" t="s">
        <v>7494</v>
      </c>
      <c r="AV5368" s="185" t="s">
        <v>176</v>
      </c>
      <c r="AX5368" s="185" t="s">
        <v>176</v>
      </c>
      <c r="BK5368" s="55" t="s">
        <v>2082</v>
      </c>
      <c r="BN5368" s="55" t="s">
        <v>1805</v>
      </c>
      <c r="BO5368" s="55" t="s">
        <v>1805</v>
      </c>
      <c r="BP5368" s="55" t="s">
        <v>1682</v>
      </c>
      <c r="CM5368" s="65">
        <v>0.14000000000000001</v>
      </c>
      <c r="CN5368" s="65">
        <v>0.23</v>
      </c>
      <c r="CQ5368" s="65" t="s">
        <v>164</v>
      </c>
      <c r="DB5368" s="65">
        <v>0.12</v>
      </c>
      <c r="DC5368" s="65">
        <v>0.23</v>
      </c>
      <c r="DF5368" s="65" t="s">
        <v>165</v>
      </c>
      <c r="DG5368" s="65">
        <v>2.11</v>
      </c>
      <c r="DH5368" s="65">
        <v>2.92</v>
      </c>
      <c r="DK5368" s="65" t="s">
        <v>6511</v>
      </c>
      <c r="DL5368" s="65">
        <v>54.55</v>
      </c>
      <c r="DM5368" s="65">
        <v>63.39</v>
      </c>
      <c r="DP5368" s="65" t="s">
        <v>6512</v>
      </c>
      <c r="GP5368" s="292" t="s">
        <v>7494</v>
      </c>
    </row>
    <row r="5369" spans="1:198" x14ac:dyDescent="0.25">
      <c r="A5369" s="55">
        <v>5368</v>
      </c>
      <c r="B5369" s="12" t="s">
        <v>7067</v>
      </c>
      <c r="C5369" s="155" t="s">
        <v>6433</v>
      </c>
      <c r="D5369" s="55" t="s">
        <v>6519</v>
      </c>
      <c r="E5369" s="90" t="s">
        <v>6495</v>
      </c>
      <c r="G5369" s="55" t="s">
        <v>6496</v>
      </c>
      <c r="H5369" s="55" t="s">
        <v>6390</v>
      </c>
      <c r="I5369" s="55" t="s">
        <v>6434</v>
      </c>
      <c r="J5369" s="55" t="s">
        <v>6470</v>
      </c>
      <c r="K5369" s="55" t="s">
        <v>6497</v>
      </c>
      <c r="L5369" s="55" t="s">
        <v>3377</v>
      </c>
      <c r="M5369" s="90">
        <f>38+48/60</f>
        <v>38.799999999999997</v>
      </c>
      <c r="N5369" s="90">
        <f>110+22/60</f>
        <v>110.36666666666666</v>
      </c>
      <c r="Q5369" s="55" t="s">
        <v>5573</v>
      </c>
      <c r="S5369" s="90" t="s">
        <v>6498</v>
      </c>
      <c r="U5369" s="55" t="s">
        <v>1816</v>
      </c>
      <c r="V5369" s="55" t="s">
        <v>1694</v>
      </c>
      <c r="Z5369" s="55" t="s">
        <v>6509</v>
      </c>
      <c r="AA5369" s="90">
        <v>10</v>
      </c>
      <c r="AH5369" s="55" t="s">
        <v>769</v>
      </c>
      <c r="AM5369" s="55" t="s">
        <v>6493</v>
      </c>
      <c r="AO5369" s="185" t="s">
        <v>5150</v>
      </c>
      <c r="AU5369" s="181" t="s">
        <v>7494</v>
      </c>
      <c r="AV5369" s="185" t="s">
        <v>176</v>
      </c>
      <c r="AX5369" s="185" t="s">
        <v>176</v>
      </c>
      <c r="BK5369" s="55" t="s">
        <v>5981</v>
      </c>
      <c r="BN5369" s="55" t="s">
        <v>1805</v>
      </c>
      <c r="BO5369" s="55" t="s">
        <v>1805</v>
      </c>
      <c r="BP5369" s="55" t="s">
        <v>1682</v>
      </c>
      <c r="CM5369" s="65">
        <v>0.14000000000000001</v>
      </c>
      <c r="CN5369" s="65">
        <v>0.37</v>
      </c>
      <c r="CQ5369" s="65" t="s">
        <v>164</v>
      </c>
      <c r="DB5369" s="65">
        <v>0.12</v>
      </c>
      <c r="DC5369" s="65">
        <v>0.22</v>
      </c>
      <c r="DF5369" s="65" t="s">
        <v>165</v>
      </c>
      <c r="DG5369" s="65">
        <v>2.11</v>
      </c>
      <c r="DH5369" s="65">
        <v>2.89</v>
      </c>
      <c r="DK5369" s="65" t="s">
        <v>6511</v>
      </c>
      <c r="DL5369" s="65">
        <v>54.55</v>
      </c>
      <c r="DM5369" s="65">
        <v>68.56</v>
      </c>
      <c r="DP5369" s="65" t="s">
        <v>6512</v>
      </c>
      <c r="GP5369" s="292" t="s">
        <v>7494</v>
      </c>
    </row>
    <row r="5370" spans="1:198" x14ac:dyDescent="0.25">
      <c r="A5370" s="55">
        <v>5369</v>
      </c>
      <c r="B5370" s="12" t="s">
        <v>7067</v>
      </c>
      <c r="C5370" s="155" t="s">
        <v>6433</v>
      </c>
      <c r="D5370" s="55" t="s">
        <v>6520</v>
      </c>
      <c r="E5370" s="90" t="s">
        <v>6495</v>
      </c>
      <c r="G5370" s="55" t="s">
        <v>6496</v>
      </c>
      <c r="H5370" s="55" t="s">
        <v>6390</v>
      </c>
      <c r="I5370" s="55" t="s">
        <v>6434</v>
      </c>
      <c r="J5370" s="55" t="s">
        <v>6470</v>
      </c>
      <c r="K5370" s="55" t="s">
        <v>6497</v>
      </c>
      <c r="L5370" s="55" t="s">
        <v>3377</v>
      </c>
      <c r="M5370" s="90">
        <f>38+48/60</f>
        <v>38.799999999999997</v>
      </c>
      <c r="N5370" s="90">
        <f>110+22/60</f>
        <v>110.36666666666666</v>
      </c>
      <c r="Q5370" s="55" t="s">
        <v>5573</v>
      </c>
      <c r="S5370" s="90" t="s">
        <v>6498</v>
      </c>
      <c r="U5370" s="55" t="s">
        <v>1816</v>
      </c>
      <c r="V5370" s="55" t="s">
        <v>1694</v>
      </c>
      <c r="Z5370" s="55" t="s">
        <v>6509</v>
      </c>
      <c r="AA5370" s="90">
        <v>10</v>
      </c>
      <c r="AH5370" s="55" t="s">
        <v>769</v>
      </c>
      <c r="AM5370" s="55" t="s">
        <v>6493</v>
      </c>
      <c r="AO5370" s="185" t="s">
        <v>5150</v>
      </c>
      <c r="AU5370" s="181" t="s">
        <v>7494</v>
      </c>
      <c r="AV5370" s="185" t="s">
        <v>176</v>
      </c>
      <c r="AX5370" s="185" t="s">
        <v>176</v>
      </c>
      <c r="BK5370" s="55" t="s">
        <v>6503</v>
      </c>
      <c r="BN5370" s="55" t="s">
        <v>1805</v>
      </c>
      <c r="BO5370" s="55" t="s">
        <v>1805</v>
      </c>
      <c r="BP5370" s="55" t="s">
        <v>1682</v>
      </c>
      <c r="CM5370" s="65">
        <v>0.14000000000000001</v>
      </c>
      <c r="CN5370" s="65">
        <v>0.43</v>
      </c>
      <c r="CQ5370" s="65" t="s">
        <v>164</v>
      </c>
      <c r="DB5370" s="65">
        <v>0.12</v>
      </c>
      <c r="DC5370" s="65">
        <v>0.13</v>
      </c>
      <c r="DF5370" s="65" t="s">
        <v>165</v>
      </c>
      <c r="DG5370" s="65">
        <v>2.11</v>
      </c>
      <c r="DH5370" s="65">
        <v>2.33</v>
      </c>
      <c r="DK5370" s="65" t="s">
        <v>6511</v>
      </c>
      <c r="DL5370" s="65">
        <v>54.55</v>
      </c>
      <c r="DM5370" s="65">
        <v>55.6</v>
      </c>
      <c r="DP5370" s="65" t="s">
        <v>6512</v>
      </c>
      <c r="GP5370" s="292" t="s">
        <v>7494</v>
      </c>
    </row>
    <row r="5371" spans="1:198" x14ac:dyDescent="0.25">
      <c r="A5371" s="55">
        <v>5370</v>
      </c>
      <c r="B5371" s="12" t="s">
        <v>7067</v>
      </c>
      <c r="C5371" s="155" t="s">
        <v>6433</v>
      </c>
      <c r="D5371" s="55" t="s">
        <v>6521</v>
      </c>
      <c r="E5371" s="90" t="s">
        <v>6495</v>
      </c>
      <c r="G5371" s="55" t="s">
        <v>6496</v>
      </c>
      <c r="H5371" s="55" t="s">
        <v>6390</v>
      </c>
      <c r="I5371" s="55" t="s">
        <v>6434</v>
      </c>
      <c r="J5371" s="55" t="s">
        <v>6470</v>
      </c>
      <c r="K5371" s="55" t="s">
        <v>6497</v>
      </c>
      <c r="L5371" s="55" t="s">
        <v>3377</v>
      </c>
      <c r="M5371" s="90">
        <f>38+48/60</f>
        <v>38.799999999999997</v>
      </c>
      <c r="N5371" s="90">
        <f>110+22/60</f>
        <v>110.36666666666666</v>
      </c>
      <c r="Q5371" s="55" t="s">
        <v>5573</v>
      </c>
      <c r="S5371" s="90" t="s">
        <v>6498</v>
      </c>
      <c r="U5371" s="55" t="s">
        <v>1816</v>
      </c>
      <c r="V5371" s="55" t="s">
        <v>1694</v>
      </c>
      <c r="Z5371" s="55" t="s">
        <v>6509</v>
      </c>
      <c r="AA5371" s="90">
        <v>10</v>
      </c>
      <c r="AH5371" s="55" t="s">
        <v>769</v>
      </c>
      <c r="AM5371" s="55" t="s">
        <v>6493</v>
      </c>
      <c r="AO5371" s="185" t="s">
        <v>5150</v>
      </c>
      <c r="AU5371" s="181" t="s">
        <v>7494</v>
      </c>
      <c r="AV5371" s="185" t="s">
        <v>176</v>
      </c>
      <c r="AX5371" s="185" t="s">
        <v>176</v>
      </c>
      <c r="BK5371" s="55" t="s">
        <v>6502</v>
      </c>
      <c r="BN5371" s="55" t="s">
        <v>1805</v>
      </c>
      <c r="BO5371" s="55" t="s">
        <v>1805</v>
      </c>
      <c r="BP5371" s="55" t="s">
        <v>1682</v>
      </c>
      <c r="CM5371" s="65">
        <v>0.14000000000000001</v>
      </c>
      <c r="CN5371" s="65">
        <v>0.35</v>
      </c>
      <c r="CQ5371" s="65" t="s">
        <v>164</v>
      </c>
      <c r="DB5371" s="65">
        <v>0.12</v>
      </c>
      <c r="DC5371" s="65">
        <v>0.22</v>
      </c>
      <c r="DF5371" s="65" t="s">
        <v>165</v>
      </c>
      <c r="DG5371" s="65">
        <v>2.11</v>
      </c>
      <c r="DH5371" s="65">
        <v>2.17</v>
      </c>
      <c r="DK5371" s="65" t="s">
        <v>6511</v>
      </c>
      <c r="DL5371" s="65">
        <v>54.55</v>
      </c>
      <c r="DM5371" s="65">
        <v>62.87</v>
      </c>
      <c r="DP5371" s="65" t="s">
        <v>6512</v>
      </c>
      <c r="GP5371" s="292" t="s">
        <v>7494</v>
      </c>
    </row>
    <row r="5372" spans="1:198" x14ac:dyDescent="0.25">
      <c r="A5372" s="55">
        <v>5371</v>
      </c>
      <c r="B5372" s="12" t="s">
        <v>7067</v>
      </c>
      <c r="C5372" s="155" t="s">
        <v>6433</v>
      </c>
      <c r="D5372" s="55" t="s">
        <v>6522</v>
      </c>
      <c r="E5372" s="90" t="s">
        <v>6495</v>
      </c>
      <c r="G5372" s="55" t="s">
        <v>6496</v>
      </c>
      <c r="H5372" s="55" t="s">
        <v>6390</v>
      </c>
      <c r="I5372" s="55" t="s">
        <v>6434</v>
      </c>
      <c r="J5372" s="55" t="s">
        <v>6470</v>
      </c>
      <c r="K5372" s="55" t="s">
        <v>6497</v>
      </c>
      <c r="L5372" s="55" t="s">
        <v>3377</v>
      </c>
      <c r="M5372" s="90">
        <f>38+48/60</f>
        <v>38.799999999999997</v>
      </c>
      <c r="N5372" s="90">
        <f>110+22/60</f>
        <v>110.36666666666666</v>
      </c>
      <c r="Q5372" s="55" t="s">
        <v>5573</v>
      </c>
      <c r="S5372" s="90" t="s">
        <v>6498</v>
      </c>
      <c r="U5372" s="55" t="s">
        <v>1816</v>
      </c>
      <c r="V5372" s="55" t="s">
        <v>1694</v>
      </c>
      <c r="Z5372" s="55" t="s">
        <v>6509</v>
      </c>
      <c r="AA5372" s="90">
        <v>10</v>
      </c>
      <c r="AH5372" s="55" t="s">
        <v>769</v>
      </c>
      <c r="AM5372" s="55" t="s">
        <v>6493</v>
      </c>
      <c r="AO5372" s="185" t="s">
        <v>5150</v>
      </c>
      <c r="AU5372" s="181" t="s">
        <v>7494</v>
      </c>
      <c r="AV5372" s="185" t="s">
        <v>176</v>
      </c>
      <c r="AX5372" s="185" t="s">
        <v>176</v>
      </c>
      <c r="BK5372" s="55" t="s">
        <v>6504</v>
      </c>
      <c r="BN5372" s="55" t="s">
        <v>1805</v>
      </c>
      <c r="BO5372" s="55" t="s">
        <v>1805</v>
      </c>
      <c r="BP5372" s="55" t="s">
        <v>1682</v>
      </c>
      <c r="CM5372" s="65">
        <v>0.14000000000000001</v>
      </c>
      <c r="CN5372" s="65">
        <v>0.5</v>
      </c>
      <c r="CQ5372" s="65" t="s">
        <v>164</v>
      </c>
      <c r="DB5372" s="65">
        <v>0.12</v>
      </c>
      <c r="DC5372" s="65">
        <v>0.2</v>
      </c>
      <c r="DF5372" s="65" t="s">
        <v>165</v>
      </c>
      <c r="DG5372" s="65">
        <v>2.11</v>
      </c>
      <c r="DH5372" s="65">
        <v>2.29</v>
      </c>
      <c r="DK5372" s="65" t="s">
        <v>6511</v>
      </c>
      <c r="DL5372" s="65">
        <v>54.55</v>
      </c>
      <c r="DM5372" s="65">
        <v>79.47</v>
      </c>
      <c r="DP5372" s="65" t="s">
        <v>6512</v>
      </c>
      <c r="GP5372" s="292" t="s">
        <v>7494</v>
      </c>
    </row>
    <row r="5373" spans="1:198" x14ac:dyDescent="0.25">
      <c r="A5373" s="55">
        <v>5372</v>
      </c>
      <c r="B5373" s="12" t="s">
        <v>7067</v>
      </c>
      <c r="C5373" s="155" t="s">
        <v>6433</v>
      </c>
      <c r="D5373" s="55" t="s">
        <v>6518</v>
      </c>
      <c r="E5373" s="90" t="s">
        <v>6495</v>
      </c>
      <c r="G5373" s="55" t="s">
        <v>6496</v>
      </c>
      <c r="H5373" s="55" t="s">
        <v>6390</v>
      </c>
      <c r="I5373" s="55" t="s">
        <v>6505</v>
      </c>
      <c r="J5373" s="55" t="s">
        <v>6470</v>
      </c>
      <c r="K5373" s="55" t="s">
        <v>6497</v>
      </c>
      <c r="L5373" s="55" t="s">
        <v>3377</v>
      </c>
      <c r="M5373" s="90">
        <f>38+48/60</f>
        <v>38.799999999999997</v>
      </c>
      <c r="N5373" s="90">
        <f>110+22/60</f>
        <v>110.36666666666666</v>
      </c>
      <c r="Q5373" s="55" t="s">
        <v>5573</v>
      </c>
      <c r="S5373" s="90" t="s">
        <v>6498</v>
      </c>
      <c r="U5373" s="55" t="s">
        <v>1682</v>
      </c>
      <c r="V5373" s="55" t="s">
        <v>1694</v>
      </c>
      <c r="Z5373" s="55" t="s">
        <v>6509</v>
      </c>
      <c r="AA5373" s="90">
        <v>10</v>
      </c>
      <c r="AH5373" s="55" t="s">
        <v>769</v>
      </c>
      <c r="AM5373" s="55" t="s">
        <v>6493</v>
      </c>
      <c r="AO5373" s="185" t="s">
        <v>5150</v>
      </c>
      <c r="AU5373" s="181" t="s">
        <v>7494</v>
      </c>
      <c r="AV5373" s="185" t="s">
        <v>176</v>
      </c>
      <c r="AX5373" s="185" t="s">
        <v>176</v>
      </c>
      <c r="BK5373" s="55" t="s">
        <v>2082</v>
      </c>
      <c r="BN5373" s="55" t="s">
        <v>1805</v>
      </c>
      <c r="BO5373" s="55" t="s">
        <v>1805</v>
      </c>
      <c r="BP5373" s="55" t="s">
        <v>1682</v>
      </c>
      <c r="CM5373" s="65">
        <v>0.19</v>
      </c>
      <c r="CN5373" s="65">
        <v>0.41</v>
      </c>
      <c r="CQ5373" s="65" t="s">
        <v>164</v>
      </c>
      <c r="DB5373" s="65">
        <v>0.14000000000000001</v>
      </c>
      <c r="DC5373" s="65">
        <v>0.27</v>
      </c>
      <c r="DF5373" s="65" t="s">
        <v>165</v>
      </c>
      <c r="DG5373" s="65">
        <v>2.37</v>
      </c>
      <c r="DH5373" s="65">
        <v>2.9</v>
      </c>
      <c r="DK5373" s="65" t="s">
        <v>6511</v>
      </c>
      <c r="DL5373" s="65">
        <v>49</v>
      </c>
      <c r="DM5373" s="65">
        <v>47.81</v>
      </c>
      <c r="DP5373" s="65" t="s">
        <v>6512</v>
      </c>
      <c r="GP5373" s="292" t="s">
        <v>7494</v>
      </c>
    </row>
    <row r="5374" spans="1:198" x14ac:dyDescent="0.25">
      <c r="A5374" s="55">
        <v>5373</v>
      </c>
      <c r="B5374" s="12" t="s">
        <v>7067</v>
      </c>
      <c r="C5374" s="155" t="s">
        <v>6433</v>
      </c>
      <c r="D5374" s="55" t="s">
        <v>6519</v>
      </c>
      <c r="E5374" s="90" t="s">
        <v>6495</v>
      </c>
      <c r="G5374" s="55" t="s">
        <v>6496</v>
      </c>
      <c r="H5374" s="55" t="s">
        <v>6390</v>
      </c>
      <c r="I5374" s="55" t="s">
        <v>6505</v>
      </c>
      <c r="J5374" s="55" t="s">
        <v>6470</v>
      </c>
      <c r="K5374" s="55" t="s">
        <v>6497</v>
      </c>
      <c r="L5374" s="55" t="s">
        <v>3377</v>
      </c>
      <c r="M5374" s="90">
        <f>38+48/60</f>
        <v>38.799999999999997</v>
      </c>
      <c r="N5374" s="90">
        <f>110+22/60</f>
        <v>110.36666666666666</v>
      </c>
      <c r="Q5374" s="55" t="s">
        <v>5573</v>
      </c>
      <c r="S5374" s="90" t="s">
        <v>6498</v>
      </c>
      <c r="U5374" s="55" t="s">
        <v>1682</v>
      </c>
      <c r="V5374" s="55" t="s">
        <v>1694</v>
      </c>
      <c r="Z5374" s="55" t="s">
        <v>6509</v>
      </c>
      <c r="AA5374" s="90">
        <v>10</v>
      </c>
      <c r="AH5374" s="55" t="s">
        <v>769</v>
      </c>
      <c r="AM5374" s="55" t="s">
        <v>6493</v>
      </c>
      <c r="AO5374" s="185" t="s">
        <v>5150</v>
      </c>
      <c r="AU5374" s="181" t="s">
        <v>7494</v>
      </c>
      <c r="AV5374" s="185" t="s">
        <v>176</v>
      </c>
      <c r="AX5374" s="185" t="s">
        <v>176</v>
      </c>
      <c r="BK5374" s="55" t="s">
        <v>5981</v>
      </c>
      <c r="BN5374" s="55" t="s">
        <v>1805</v>
      </c>
      <c r="BO5374" s="55" t="s">
        <v>1805</v>
      </c>
      <c r="BP5374" s="55" t="s">
        <v>1682</v>
      </c>
      <c r="CM5374" s="65">
        <v>0.19</v>
      </c>
      <c r="CN5374" s="65">
        <v>0.45</v>
      </c>
      <c r="CQ5374" s="65" t="s">
        <v>164</v>
      </c>
      <c r="DB5374" s="65">
        <v>0.14000000000000001</v>
      </c>
      <c r="DC5374" s="65">
        <v>0.28999999999999998</v>
      </c>
      <c r="DF5374" s="65" t="s">
        <v>165</v>
      </c>
      <c r="DG5374" s="65">
        <v>2.37</v>
      </c>
      <c r="DH5374" s="65">
        <v>2.46</v>
      </c>
      <c r="DK5374" s="65" t="s">
        <v>6511</v>
      </c>
      <c r="DL5374" s="65">
        <v>49</v>
      </c>
      <c r="DM5374" s="65">
        <v>67</v>
      </c>
      <c r="DP5374" s="65" t="s">
        <v>6512</v>
      </c>
      <c r="GP5374" s="292" t="s">
        <v>7494</v>
      </c>
    </row>
    <row r="5375" spans="1:198" x14ac:dyDescent="0.25">
      <c r="A5375" s="55">
        <v>5374</v>
      </c>
      <c r="B5375" s="12" t="s">
        <v>7067</v>
      </c>
      <c r="C5375" s="155" t="s">
        <v>6433</v>
      </c>
      <c r="D5375" s="55" t="s">
        <v>6520</v>
      </c>
      <c r="E5375" s="90" t="s">
        <v>6495</v>
      </c>
      <c r="G5375" s="55" t="s">
        <v>6496</v>
      </c>
      <c r="H5375" s="55" t="s">
        <v>6390</v>
      </c>
      <c r="I5375" s="55" t="s">
        <v>6505</v>
      </c>
      <c r="J5375" s="55" t="s">
        <v>6470</v>
      </c>
      <c r="K5375" s="55" t="s">
        <v>6497</v>
      </c>
      <c r="L5375" s="55" t="s">
        <v>3377</v>
      </c>
      <c r="M5375" s="90">
        <f>38+48/60</f>
        <v>38.799999999999997</v>
      </c>
      <c r="N5375" s="90">
        <f>110+22/60</f>
        <v>110.36666666666666</v>
      </c>
      <c r="Q5375" s="55" t="s">
        <v>5573</v>
      </c>
      <c r="S5375" s="90" t="s">
        <v>6498</v>
      </c>
      <c r="U5375" s="55" t="s">
        <v>1682</v>
      </c>
      <c r="V5375" s="55" t="s">
        <v>1694</v>
      </c>
      <c r="Z5375" s="55" t="s">
        <v>6509</v>
      </c>
      <c r="AA5375" s="90">
        <v>10</v>
      </c>
      <c r="AH5375" s="55" t="s">
        <v>769</v>
      </c>
      <c r="AM5375" s="55" t="s">
        <v>6493</v>
      </c>
      <c r="AO5375" s="185" t="s">
        <v>5150</v>
      </c>
      <c r="AU5375" s="181" t="s">
        <v>7494</v>
      </c>
      <c r="AV5375" s="185" t="s">
        <v>176</v>
      </c>
      <c r="AX5375" s="185" t="s">
        <v>176</v>
      </c>
      <c r="BK5375" s="55" t="s">
        <v>6503</v>
      </c>
      <c r="BN5375" s="55" t="s">
        <v>1805</v>
      </c>
      <c r="BO5375" s="55" t="s">
        <v>1805</v>
      </c>
      <c r="BP5375" s="55" t="s">
        <v>1682</v>
      </c>
      <c r="CM5375" s="65">
        <v>0.19</v>
      </c>
      <c r="CN5375" s="65">
        <v>0.35</v>
      </c>
      <c r="CQ5375" s="65" t="s">
        <v>164</v>
      </c>
      <c r="DB5375" s="65">
        <v>0.14000000000000001</v>
      </c>
      <c r="DC5375" s="65">
        <v>0.18</v>
      </c>
      <c r="DF5375" s="65" t="s">
        <v>165</v>
      </c>
      <c r="DG5375" s="65">
        <v>2.37</v>
      </c>
      <c r="DH5375" s="65">
        <v>2.4300000000000002</v>
      </c>
      <c r="DK5375" s="65" t="s">
        <v>6511</v>
      </c>
      <c r="DL5375" s="65">
        <v>49</v>
      </c>
      <c r="DM5375" s="65">
        <v>25.5</v>
      </c>
      <c r="DP5375" s="65" t="s">
        <v>6512</v>
      </c>
      <c r="GP5375" s="292" t="s">
        <v>7494</v>
      </c>
    </row>
    <row r="5376" spans="1:198" x14ac:dyDescent="0.25">
      <c r="A5376" s="55">
        <v>5375</v>
      </c>
      <c r="B5376" s="12" t="s">
        <v>7067</v>
      </c>
      <c r="C5376" s="155" t="s">
        <v>6433</v>
      </c>
      <c r="D5376" s="55" t="s">
        <v>6521</v>
      </c>
      <c r="E5376" s="90" t="s">
        <v>6495</v>
      </c>
      <c r="G5376" s="55" t="s">
        <v>6496</v>
      </c>
      <c r="H5376" s="55" t="s">
        <v>6390</v>
      </c>
      <c r="I5376" s="55" t="s">
        <v>6505</v>
      </c>
      <c r="J5376" s="55" t="s">
        <v>6470</v>
      </c>
      <c r="K5376" s="55" t="s">
        <v>6497</v>
      </c>
      <c r="L5376" s="55" t="s">
        <v>3377</v>
      </c>
      <c r="M5376" s="90">
        <f>38+48/60</f>
        <v>38.799999999999997</v>
      </c>
      <c r="N5376" s="90">
        <f>110+22/60</f>
        <v>110.36666666666666</v>
      </c>
      <c r="Q5376" s="55" t="s">
        <v>5573</v>
      </c>
      <c r="S5376" s="90" t="s">
        <v>6498</v>
      </c>
      <c r="U5376" s="55" t="s">
        <v>1682</v>
      </c>
      <c r="V5376" s="55" t="s">
        <v>1694</v>
      </c>
      <c r="Z5376" s="55" t="s">
        <v>6509</v>
      </c>
      <c r="AA5376" s="90">
        <v>10</v>
      </c>
      <c r="AH5376" s="55" t="s">
        <v>769</v>
      </c>
      <c r="AM5376" s="55" t="s">
        <v>6493</v>
      </c>
      <c r="AO5376" s="185" t="s">
        <v>5150</v>
      </c>
      <c r="AU5376" s="181" t="s">
        <v>7494</v>
      </c>
      <c r="AV5376" s="185" t="s">
        <v>176</v>
      </c>
      <c r="AX5376" s="185" t="s">
        <v>176</v>
      </c>
      <c r="BK5376" s="55" t="s">
        <v>6502</v>
      </c>
      <c r="BN5376" s="55" t="s">
        <v>1805</v>
      </c>
      <c r="BO5376" s="55" t="s">
        <v>1805</v>
      </c>
      <c r="BP5376" s="55" t="s">
        <v>1682</v>
      </c>
      <c r="CM5376" s="65">
        <v>0.19</v>
      </c>
      <c r="CN5376" s="65">
        <v>0.32</v>
      </c>
      <c r="CQ5376" s="65" t="s">
        <v>164</v>
      </c>
      <c r="DB5376" s="65">
        <v>0.14000000000000001</v>
      </c>
      <c r="DC5376" s="65">
        <v>0.25</v>
      </c>
      <c r="DF5376" s="65" t="s">
        <v>165</v>
      </c>
      <c r="DG5376" s="65">
        <v>2.37</v>
      </c>
      <c r="DH5376" s="65">
        <v>2.85</v>
      </c>
      <c r="DK5376" s="65" t="s">
        <v>6511</v>
      </c>
      <c r="DL5376" s="65">
        <v>49</v>
      </c>
      <c r="DM5376" s="65">
        <v>34.83</v>
      </c>
      <c r="DP5376" s="65" t="s">
        <v>6512</v>
      </c>
      <c r="GP5376" s="292" t="s">
        <v>7494</v>
      </c>
    </row>
    <row r="5377" spans="1:198" x14ac:dyDescent="0.25">
      <c r="A5377" s="55">
        <v>5376</v>
      </c>
      <c r="B5377" s="12" t="s">
        <v>7067</v>
      </c>
      <c r="C5377" s="155" t="s">
        <v>6433</v>
      </c>
      <c r="D5377" s="55" t="s">
        <v>6522</v>
      </c>
      <c r="E5377" s="90" t="s">
        <v>6495</v>
      </c>
      <c r="G5377" s="55" t="s">
        <v>6496</v>
      </c>
      <c r="H5377" s="55" t="s">
        <v>6390</v>
      </c>
      <c r="I5377" s="55" t="s">
        <v>6505</v>
      </c>
      <c r="J5377" s="55" t="s">
        <v>6470</v>
      </c>
      <c r="K5377" s="55" t="s">
        <v>6497</v>
      </c>
      <c r="L5377" s="55" t="s">
        <v>3377</v>
      </c>
      <c r="M5377" s="90">
        <f>38+48/60</f>
        <v>38.799999999999997</v>
      </c>
      <c r="N5377" s="90">
        <f>110+22/60</f>
        <v>110.36666666666666</v>
      </c>
      <c r="Q5377" s="55" t="s">
        <v>5573</v>
      </c>
      <c r="S5377" s="90" t="s">
        <v>6498</v>
      </c>
      <c r="U5377" s="55" t="s">
        <v>1682</v>
      </c>
      <c r="V5377" s="55" t="s">
        <v>1694</v>
      </c>
      <c r="Z5377" s="55" t="s">
        <v>6509</v>
      </c>
      <c r="AA5377" s="90">
        <v>10</v>
      </c>
      <c r="AH5377" s="55" t="s">
        <v>769</v>
      </c>
      <c r="AM5377" s="55" t="s">
        <v>6493</v>
      </c>
      <c r="AO5377" s="185" t="s">
        <v>5150</v>
      </c>
      <c r="AU5377" s="181" t="s">
        <v>7494</v>
      </c>
      <c r="AV5377" s="185" t="s">
        <v>176</v>
      </c>
      <c r="AX5377" s="185" t="s">
        <v>176</v>
      </c>
      <c r="BK5377" s="55" t="s">
        <v>6504</v>
      </c>
      <c r="BN5377" s="55" t="s">
        <v>1805</v>
      </c>
      <c r="BO5377" s="55" t="s">
        <v>1805</v>
      </c>
      <c r="BP5377" s="55" t="s">
        <v>1682</v>
      </c>
      <c r="CM5377" s="65">
        <v>0.19</v>
      </c>
      <c r="CN5377" s="65">
        <v>0.48</v>
      </c>
      <c r="CQ5377" s="65" t="s">
        <v>164</v>
      </c>
      <c r="DB5377" s="65">
        <v>0.14000000000000001</v>
      </c>
      <c r="DC5377" s="65">
        <v>0.21</v>
      </c>
      <c r="DF5377" s="65" t="s">
        <v>165</v>
      </c>
      <c r="DG5377" s="65">
        <v>2.37</v>
      </c>
      <c r="DH5377" s="65">
        <v>2.83</v>
      </c>
      <c r="DK5377" s="65" t="s">
        <v>6511</v>
      </c>
      <c r="DL5377" s="65">
        <v>49</v>
      </c>
      <c r="DM5377" s="65">
        <v>51.18</v>
      </c>
      <c r="DP5377" s="65" t="s">
        <v>6512</v>
      </c>
      <c r="GP5377" s="292" t="s">
        <v>7494</v>
      </c>
    </row>
    <row r="5378" spans="1:198" x14ac:dyDescent="0.25">
      <c r="A5378" s="55">
        <v>5377</v>
      </c>
      <c r="B5378" s="12" t="s">
        <v>7067</v>
      </c>
      <c r="C5378" s="155" t="s">
        <v>6433</v>
      </c>
      <c r="D5378" s="55" t="s">
        <v>6518</v>
      </c>
      <c r="E5378" s="90" t="s">
        <v>6495</v>
      </c>
      <c r="G5378" s="55" t="s">
        <v>6496</v>
      </c>
      <c r="H5378" s="55" t="s">
        <v>6390</v>
      </c>
      <c r="I5378" s="55" t="s">
        <v>5888</v>
      </c>
      <c r="J5378" s="55" t="s">
        <v>6470</v>
      </c>
      <c r="K5378" s="55" t="s">
        <v>6497</v>
      </c>
      <c r="L5378" s="55" t="s">
        <v>3377</v>
      </c>
      <c r="M5378" s="90">
        <f>38+48/60</f>
        <v>38.799999999999997</v>
      </c>
      <c r="N5378" s="90">
        <f>110+22/60</f>
        <v>110.36666666666666</v>
      </c>
      <c r="Q5378" s="55" t="s">
        <v>5573</v>
      </c>
      <c r="S5378" s="90" t="s">
        <v>6498</v>
      </c>
      <c r="U5378" s="55" t="s">
        <v>1801</v>
      </c>
      <c r="V5378" s="55" t="s">
        <v>1694</v>
      </c>
      <c r="Z5378" s="55" t="s">
        <v>6509</v>
      </c>
      <c r="AA5378" s="90">
        <v>10</v>
      </c>
      <c r="AH5378" s="55" t="s">
        <v>769</v>
      </c>
      <c r="AM5378" s="55" t="s">
        <v>6493</v>
      </c>
      <c r="AO5378" s="185" t="s">
        <v>5150</v>
      </c>
      <c r="AU5378" s="181" t="s">
        <v>7494</v>
      </c>
      <c r="AV5378" s="185" t="s">
        <v>176</v>
      </c>
      <c r="AX5378" s="185" t="s">
        <v>176</v>
      </c>
      <c r="BK5378" s="55" t="s">
        <v>2082</v>
      </c>
      <c r="BN5378" s="55" t="s">
        <v>1805</v>
      </c>
      <c r="BO5378" s="55" t="s">
        <v>1805</v>
      </c>
      <c r="BP5378" s="55" t="s">
        <v>1682</v>
      </c>
      <c r="CM5378" s="65">
        <v>0.19</v>
      </c>
      <c r="CN5378" s="65">
        <v>0.5</v>
      </c>
      <c r="CQ5378" s="65" t="s">
        <v>164</v>
      </c>
      <c r="DB5378" s="65">
        <v>0.11</v>
      </c>
      <c r="DC5378" s="65">
        <v>0.31</v>
      </c>
      <c r="DF5378" s="65" t="s">
        <v>165</v>
      </c>
      <c r="DG5378" s="65">
        <v>2.23</v>
      </c>
      <c r="DH5378" s="65">
        <v>2.76</v>
      </c>
      <c r="DK5378" s="65" t="s">
        <v>6511</v>
      </c>
      <c r="DL5378" s="65">
        <v>48.7</v>
      </c>
      <c r="DM5378" s="65">
        <v>67.239999999999995</v>
      </c>
      <c r="DP5378" s="65" t="s">
        <v>6512</v>
      </c>
      <c r="GP5378" s="292" t="s">
        <v>7494</v>
      </c>
    </row>
    <row r="5379" spans="1:198" x14ac:dyDescent="0.25">
      <c r="A5379" s="55">
        <v>5378</v>
      </c>
      <c r="B5379" s="12" t="s">
        <v>7067</v>
      </c>
      <c r="C5379" s="155" t="s">
        <v>6433</v>
      </c>
      <c r="D5379" s="55" t="s">
        <v>6519</v>
      </c>
      <c r="E5379" s="90" t="s">
        <v>6495</v>
      </c>
      <c r="G5379" s="55" t="s">
        <v>6496</v>
      </c>
      <c r="H5379" s="55" t="s">
        <v>6390</v>
      </c>
      <c r="I5379" s="55" t="s">
        <v>5888</v>
      </c>
      <c r="J5379" s="55" t="s">
        <v>6470</v>
      </c>
      <c r="K5379" s="55" t="s">
        <v>6497</v>
      </c>
      <c r="L5379" s="55" t="s">
        <v>3377</v>
      </c>
      <c r="M5379" s="90">
        <f>38+48/60</f>
        <v>38.799999999999997</v>
      </c>
      <c r="N5379" s="90">
        <f>110+22/60</f>
        <v>110.36666666666666</v>
      </c>
      <c r="Q5379" s="55" t="s">
        <v>5573</v>
      </c>
      <c r="S5379" s="90" t="s">
        <v>6498</v>
      </c>
      <c r="U5379" s="55" t="s">
        <v>1801</v>
      </c>
      <c r="V5379" s="55" t="s">
        <v>1694</v>
      </c>
      <c r="Z5379" s="55" t="s">
        <v>6509</v>
      </c>
      <c r="AA5379" s="90">
        <v>10</v>
      </c>
      <c r="AH5379" s="55" t="s">
        <v>769</v>
      </c>
      <c r="AM5379" s="55" t="s">
        <v>6493</v>
      </c>
      <c r="AO5379" s="185" t="s">
        <v>5150</v>
      </c>
      <c r="AU5379" s="181" t="s">
        <v>7494</v>
      </c>
      <c r="AV5379" s="185" t="s">
        <v>176</v>
      </c>
      <c r="AX5379" s="185" t="s">
        <v>176</v>
      </c>
      <c r="BK5379" s="55" t="s">
        <v>5981</v>
      </c>
      <c r="BN5379" s="55" t="s">
        <v>1805</v>
      </c>
      <c r="BO5379" s="55" t="s">
        <v>1805</v>
      </c>
      <c r="BP5379" s="55" t="s">
        <v>1682</v>
      </c>
      <c r="CM5379" s="65">
        <v>0.19</v>
      </c>
      <c r="CN5379" s="65">
        <v>0.43</v>
      </c>
      <c r="CQ5379" s="65" t="s">
        <v>164</v>
      </c>
      <c r="DB5379" s="65">
        <v>0.11</v>
      </c>
      <c r="DC5379" s="65">
        <v>0.33</v>
      </c>
      <c r="DF5379" s="65" t="s">
        <v>165</v>
      </c>
      <c r="DG5379" s="65">
        <v>2.23</v>
      </c>
      <c r="DH5379" s="65">
        <v>3.56</v>
      </c>
      <c r="DK5379" s="65" t="s">
        <v>6511</v>
      </c>
      <c r="DL5379" s="65">
        <v>48.7</v>
      </c>
      <c r="DM5379" s="65">
        <v>69.319999999999993</v>
      </c>
      <c r="DP5379" s="65" t="s">
        <v>6512</v>
      </c>
      <c r="GP5379" s="292" t="s">
        <v>7494</v>
      </c>
    </row>
    <row r="5380" spans="1:198" x14ac:dyDescent="0.25">
      <c r="A5380" s="55">
        <v>5379</v>
      </c>
      <c r="B5380" s="12" t="s">
        <v>7067</v>
      </c>
      <c r="C5380" s="155" t="s">
        <v>6433</v>
      </c>
      <c r="D5380" s="55" t="s">
        <v>6520</v>
      </c>
      <c r="E5380" s="90" t="s">
        <v>6495</v>
      </c>
      <c r="G5380" s="55" t="s">
        <v>6496</v>
      </c>
      <c r="H5380" s="55" t="s">
        <v>6390</v>
      </c>
      <c r="I5380" s="55" t="s">
        <v>5888</v>
      </c>
      <c r="J5380" s="55" t="s">
        <v>6470</v>
      </c>
      <c r="K5380" s="55" t="s">
        <v>6497</v>
      </c>
      <c r="L5380" s="55" t="s">
        <v>3377</v>
      </c>
      <c r="M5380" s="90">
        <f>38+48/60</f>
        <v>38.799999999999997</v>
      </c>
      <c r="N5380" s="90">
        <f>110+22/60</f>
        <v>110.36666666666666</v>
      </c>
      <c r="Q5380" s="55" t="s">
        <v>5573</v>
      </c>
      <c r="S5380" s="90" t="s">
        <v>6498</v>
      </c>
      <c r="U5380" s="55" t="s">
        <v>1801</v>
      </c>
      <c r="V5380" s="55" t="s">
        <v>1694</v>
      </c>
      <c r="Z5380" s="55" t="s">
        <v>6509</v>
      </c>
      <c r="AA5380" s="90">
        <v>10</v>
      </c>
      <c r="AH5380" s="55" t="s">
        <v>769</v>
      </c>
      <c r="AM5380" s="55" t="s">
        <v>6493</v>
      </c>
      <c r="AO5380" s="185" t="s">
        <v>5150</v>
      </c>
      <c r="AU5380" s="181" t="s">
        <v>7494</v>
      </c>
      <c r="AV5380" s="185" t="s">
        <v>176</v>
      </c>
      <c r="AX5380" s="185" t="s">
        <v>176</v>
      </c>
      <c r="BK5380" s="55" t="s">
        <v>6503</v>
      </c>
      <c r="BN5380" s="55" t="s">
        <v>1805</v>
      </c>
      <c r="BO5380" s="55" t="s">
        <v>1805</v>
      </c>
      <c r="BP5380" s="55" t="s">
        <v>1682</v>
      </c>
      <c r="CM5380" s="65">
        <v>0.19</v>
      </c>
      <c r="CN5380" s="65">
        <v>0.44</v>
      </c>
      <c r="CQ5380" s="65" t="s">
        <v>164</v>
      </c>
      <c r="DB5380" s="65">
        <v>0.11</v>
      </c>
      <c r="DC5380" s="65">
        <v>0.23</v>
      </c>
      <c r="DF5380" s="65" t="s">
        <v>165</v>
      </c>
      <c r="DG5380" s="65">
        <v>2.23</v>
      </c>
      <c r="DH5380" s="65">
        <v>2.58</v>
      </c>
      <c r="DK5380" s="65" t="s">
        <v>6511</v>
      </c>
      <c r="DL5380" s="65">
        <v>48.7</v>
      </c>
      <c r="DM5380" s="65">
        <v>73.47</v>
      </c>
      <c r="DP5380" s="65" t="s">
        <v>6512</v>
      </c>
      <c r="GP5380" s="292" t="s">
        <v>7494</v>
      </c>
    </row>
    <row r="5381" spans="1:198" x14ac:dyDescent="0.25">
      <c r="A5381" s="55">
        <v>5380</v>
      </c>
      <c r="B5381" s="12" t="s">
        <v>7067</v>
      </c>
      <c r="C5381" s="155" t="s">
        <v>6433</v>
      </c>
      <c r="D5381" s="55" t="s">
        <v>6521</v>
      </c>
      <c r="E5381" s="90" t="s">
        <v>6495</v>
      </c>
      <c r="G5381" s="55" t="s">
        <v>6496</v>
      </c>
      <c r="H5381" s="55" t="s">
        <v>6390</v>
      </c>
      <c r="I5381" s="55" t="s">
        <v>5888</v>
      </c>
      <c r="J5381" s="55" t="s">
        <v>6470</v>
      </c>
      <c r="K5381" s="55" t="s">
        <v>6497</v>
      </c>
      <c r="L5381" s="55" t="s">
        <v>3377</v>
      </c>
      <c r="M5381" s="90">
        <f>38+48/60</f>
        <v>38.799999999999997</v>
      </c>
      <c r="N5381" s="90">
        <f>110+22/60</f>
        <v>110.36666666666666</v>
      </c>
      <c r="Q5381" s="55" t="s">
        <v>5573</v>
      </c>
      <c r="S5381" s="90" t="s">
        <v>6498</v>
      </c>
      <c r="U5381" s="55" t="s">
        <v>1801</v>
      </c>
      <c r="V5381" s="55" t="s">
        <v>1694</v>
      </c>
      <c r="Z5381" s="55" t="s">
        <v>6509</v>
      </c>
      <c r="AA5381" s="90">
        <v>10</v>
      </c>
      <c r="AH5381" s="55" t="s">
        <v>769</v>
      </c>
      <c r="AM5381" s="55" t="s">
        <v>6493</v>
      </c>
      <c r="AO5381" s="185" t="s">
        <v>5150</v>
      </c>
      <c r="AU5381" s="181" t="s">
        <v>7494</v>
      </c>
      <c r="AV5381" s="185" t="s">
        <v>176</v>
      </c>
      <c r="AX5381" s="185" t="s">
        <v>176</v>
      </c>
      <c r="BK5381" s="55" t="s">
        <v>6502</v>
      </c>
      <c r="BN5381" s="55" t="s">
        <v>1805</v>
      </c>
      <c r="BO5381" s="55" t="s">
        <v>1805</v>
      </c>
      <c r="BP5381" s="55" t="s">
        <v>1682</v>
      </c>
      <c r="CM5381" s="65">
        <v>0.19</v>
      </c>
      <c r="CN5381" s="65">
        <v>0.43</v>
      </c>
      <c r="CQ5381" s="65" t="s">
        <v>164</v>
      </c>
      <c r="DB5381" s="65">
        <v>0.11</v>
      </c>
      <c r="DC5381" s="65">
        <v>0.28999999999999998</v>
      </c>
      <c r="DF5381" s="65" t="s">
        <v>165</v>
      </c>
      <c r="DG5381" s="65">
        <v>2.23</v>
      </c>
      <c r="DH5381" s="65">
        <v>2.06</v>
      </c>
      <c r="DK5381" s="65" t="s">
        <v>6511</v>
      </c>
      <c r="DL5381" s="65">
        <v>48.7</v>
      </c>
      <c r="DM5381" s="65">
        <v>53.75</v>
      </c>
      <c r="DP5381" s="65" t="s">
        <v>6512</v>
      </c>
      <c r="GP5381" s="292" t="s">
        <v>7494</v>
      </c>
    </row>
    <row r="5382" spans="1:198" x14ac:dyDescent="0.25">
      <c r="A5382" s="55">
        <v>5381</v>
      </c>
      <c r="B5382" s="12" t="s">
        <v>7067</v>
      </c>
      <c r="C5382" s="155" t="s">
        <v>6433</v>
      </c>
      <c r="D5382" s="55" t="s">
        <v>6522</v>
      </c>
      <c r="E5382" s="90" t="s">
        <v>6495</v>
      </c>
      <c r="G5382" s="55" t="s">
        <v>6496</v>
      </c>
      <c r="H5382" s="55" t="s">
        <v>6390</v>
      </c>
      <c r="I5382" s="55" t="s">
        <v>5888</v>
      </c>
      <c r="J5382" s="55" t="s">
        <v>6470</v>
      </c>
      <c r="K5382" s="55" t="s">
        <v>6497</v>
      </c>
      <c r="L5382" s="55" t="s">
        <v>3377</v>
      </c>
      <c r="M5382" s="90">
        <f>38+48/60</f>
        <v>38.799999999999997</v>
      </c>
      <c r="N5382" s="90">
        <f>110+22/60</f>
        <v>110.36666666666666</v>
      </c>
      <c r="Q5382" s="55" t="s">
        <v>5573</v>
      </c>
      <c r="S5382" s="90" t="s">
        <v>6498</v>
      </c>
      <c r="U5382" s="55" t="s">
        <v>1801</v>
      </c>
      <c r="V5382" s="55" t="s">
        <v>1694</v>
      </c>
      <c r="Z5382" s="55" t="s">
        <v>6509</v>
      </c>
      <c r="AA5382" s="90">
        <v>10</v>
      </c>
      <c r="AH5382" s="55" t="s">
        <v>769</v>
      </c>
      <c r="AM5382" s="55" t="s">
        <v>6493</v>
      </c>
      <c r="AO5382" s="185" t="s">
        <v>5150</v>
      </c>
      <c r="AU5382" s="181" t="s">
        <v>7494</v>
      </c>
      <c r="AV5382" s="185" t="s">
        <v>176</v>
      </c>
      <c r="AX5382" s="185" t="s">
        <v>176</v>
      </c>
      <c r="BK5382" s="55" t="s">
        <v>6504</v>
      </c>
      <c r="BN5382" s="55" t="s">
        <v>1805</v>
      </c>
      <c r="BO5382" s="55" t="s">
        <v>1805</v>
      </c>
      <c r="BP5382" s="55" t="s">
        <v>1682</v>
      </c>
      <c r="CM5382" s="65">
        <v>0.19</v>
      </c>
      <c r="CN5382" s="65">
        <v>0.5</v>
      </c>
      <c r="CQ5382" s="65" t="s">
        <v>164</v>
      </c>
      <c r="DB5382" s="65">
        <v>0.11</v>
      </c>
      <c r="DC5382" s="65">
        <v>0.24</v>
      </c>
      <c r="DF5382" s="65" t="s">
        <v>165</v>
      </c>
      <c r="DG5382" s="65">
        <v>2.23</v>
      </c>
      <c r="DH5382" s="65">
        <v>2.39</v>
      </c>
      <c r="DK5382" s="65" t="s">
        <v>6511</v>
      </c>
      <c r="DL5382" s="65">
        <v>48.7</v>
      </c>
      <c r="DM5382" s="65">
        <v>78.92</v>
      </c>
      <c r="DP5382" s="65" t="s">
        <v>6512</v>
      </c>
      <c r="GP5382" s="292" t="s">
        <v>7494</v>
      </c>
    </row>
    <row r="5383" spans="1:198" x14ac:dyDescent="0.25">
      <c r="A5383" s="55">
        <v>5382</v>
      </c>
      <c r="B5383" s="12" t="s">
        <v>7067</v>
      </c>
      <c r="C5383" s="155" t="s">
        <v>6433</v>
      </c>
      <c r="D5383" s="55" t="s">
        <v>6518</v>
      </c>
      <c r="E5383" s="90" t="s">
        <v>6495</v>
      </c>
      <c r="G5383" s="55" t="s">
        <v>6496</v>
      </c>
      <c r="H5383" s="55" t="s">
        <v>6390</v>
      </c>
      <c r="I5383" s="55" t="s">
        <v>4353</v>
      </c>
      <c r="J5383" s="55" t="s">
        <v>6470</v>
      </c>
      <c r="K5383" s="55" t="s">
        <v>6497</v>
      </c>
      <c r="L5383" s="55" t="s">
        <v>3377</v>
      </c>
      <c r="M5383" s="90">
        <f>38+48/60</f>
        <v>38.799999999999997</v>
      </c>
      <c r="N5383" s="90">
        <f>110+22/60</f>
        <v>110.36666666666666</v>
      </c>
      <c r="Q5383" s="55" t="s">
        <v>5573</v>
      </c>
      <c r="S5383" s="90" t="s">
        <v>6498</v>
      </c>
      <c r="U5383" s="55" t="s">
        <v>1694</v>
      </c>
      <c r="V5383" s="55" t="s">
        <v>1694</v>
      </c>
      <c r="Z5383" s="55" t="s">
        <v>6509</v>
      </c>
      <c r="AA5383" s="90">
        <v>10</v>
      </c>
      <c r="AH5383" s="55" t="s">
        <v>769</v>
      </c>
      <c r="AM5383" s="55" t="s">
        <v>6493</v>
      </c>
      <c r="AO5383" s="185" t="s">
        <v>5150</v>
      </c>
      <c r="AU5383" s="181" t="s">
        <v>7494</v>
      </c>
      <c r="AV5383" s="185" t="s">
        <v>176</v>
      </c>
      <c r="AX5383" s="185" t="s">
        <v>176</v>
      </c>
      <c r="BK5383" s="55" t="s">
        <v>2082</v>
      </c>
      <c r="BN5383" s="55" t="s">
        <v>1805</v>
      </c>
      <c r="BO5383" s="55" t="s">
        <v>1805</v>
      </c>
      <c r="BP5383" s="55" t="s">
        <v>1682</v>
      </c>
      <c r="CM5383" s="65">
        <v>0.14000000000000001</v>
      </c>
      <c r="CN5383" s="65">
        <v>0.46</v>
      </c>
      <c r="CQ5383" s="65" t="s">
        <v>164</v>
      </c>
      <c r="DB5383" s="65">
        <v>0.09</v>
      </c>
      <c r="DC5383" s="65">
        <v>0.28999999999999998</v>
      </c>
      <c r="DF5383" s="65" t="s">
        <v>165</v>
      </c>
      <c r="DG5383" s="65">
        <v>2.17</v>
      </c>
      <c r="DH5383" s="65">
        <v>2.65</v>
      </c>
      <c r="DK5383" s="65" t="s">
        <v>6511</v>
      </c>
      <c r="DL5383" s="65">
        <v>47.38</v>
      </c>
      <c r="DM5383" s="65">
        <v>68.27</v>
      </c>
      <c r="DP5383" s="65" t="s">
        <v>6512</v>
      </c>
      <c r="GP5383" s="292" t="s">
        <v>7494</v>
      </c>
    </row>
    <row r="5384" spans="1:198" x14ac:dyDescent="0.25">
      <c r="A5384" s="55">
        <v>5383</v>
      </c>
      <c r="B5384" s="12" t="s">
        <v>7067</v>
      </c>
      <c r="C5384" s="155" t="s">
        <v>6433</v>
      </c>
      <c r="D5384" s="55" t="s">
        <v>6519</v>
      </c>
      <c r="E5384" s="90" t="s">
        <v>6495</v>
      </c>
      <c r="G5384" s="55" t="s">
        <v>6496</v>
      </c>
      <c r="H5384" s="55" t="s">
        <v>6390</v>
      </c>
      <c r="I5384" s="55" t="s">
        <v>4353</v>
      </c>
      <c r="J5384" s="55" t="s">
        <v>6470</v>
      </c>
      <c r="K5384" s="55" t="s">
        <v>6497</v>
      </c>
      <c r="L5384" s="55" t="s">
        <v>3377</v>
      </c>
      <c r="M5384" s="90">
        <f>38+48/60</f>
        <v>38.799999999999997</v>
      </c>
      <c r="N5384" s="90">
        <f>110+22/60</f>
        <v>110.36666666666666</v>
      </c>
      <c r="Q5384" s="55" t="s">
        <v>5573</v>
      </c>
      <c r="S5384" s="90" t="s">
        <v>6498</v>
      </c>
      <c r="U5384" s="55" t="s">
        <v>1694</v>
      </c>
      <c r="V5384" s="55" t="s">
        <v>1694</v>
      </c>
      <c r="Z5384" s="55" t="s">
        <v>6509</v>
      </c>
      <c r="AA5384" s="90">
        <v>10</v>
      </c>
      <c r="AH5384" s="55" t="s">
        <v>769</v>
      </c>
      <c r="AM5384" s="55" t="s">
        <v>6493</v>
      </c>
      <c r="AO5384" s="185" t="s">
        <v>5150</v>
      </c>
      <c r="AU5384" s="181" t="s">
        <v>7494</v>
      </c>
      <c r="AV5384" s="185" t="s">
        <v>176</v>
      </c>
      <c r="AX5384" s="185" t="s">
        <v>176</v>
      </c>
      <c r="BK5384" s="55" t="s">
        <v>5981</v>
      </c>
      <c r="BN5384" s="55" t="s">
        <v>1805</v>
      </c>
      <c r="BO5384" s="55" t="s">
        <v>1805</v>
      </c>
      <c r="BP5384" s="55" t="s">
        <v>1682</v>
      </c>
      <c r="CM5384" s="65">
        <v>0.14000000000000001</v>
      </c>
      <c r="CN5384" s="65">
        <v>0.44</v>
      </c>
      <c r="CQ5384" s="65" t="s">
        <v>164</v>
      </c>
      <c r="DB5384" s="65">
        <v>0.09</v>
      </c>
      <c r="DC5384" s="65">
        <v>0.3</v>
      </c>
      <c r="DF5384" s="65" t="s">
        <v>165</v>
      </c>
      <c r="DG5384" s="65">
        <v>2.17</v>
      </c>
      <c r="DH5384" s="65">
        <v>3.44</v>
      </c>
      <c r="DK5384" s="65" t="s">
        <v>6511</v>
      </c>
      <c r="DL5384" s="65">
        <v>47.38</v>
      </c>
      <c r="DM5384" s="65">
        <v>69.81</v>
      </c>
      <c r="DP5384" s="65" t="s">
        <v>6512</v>
      </c>
      <c r="GP5384" s="292" t="s">
        <v>7494</v>
      </c>
    </row>
    <row r="5385" spans="1:198" x14ac:dyDescent="0.25">
      <c r="A5385" s="55">
        <v>5384</v>
      </c>
      <c r="B5385" s="12" t="s">
        <v>7067</v>
      </c>
      <c r="C5385" s="155" t="s">
        <v>6433</v>
      </c>
      <c r="D5385" s="55" t="s">
        <v>6520</v>
      </c>
      <c r="E5385" s="90" t="s">
        <v>6495</v>
      </c>
      <c r="G5385" s="55" t="s">
        <v>6496</v>
      </c>
      <c r="H5385" s="55" t="s">
        <v>6390</v>
      </c>
      <c r="I5385" s="55" t="s">
        <v>4353</v>
      </c>
      <c r="J5385" s="55" t="s">
        <v>6470</v>
      </c>
      <c r="K5385" s="55" t="s">
        <v>6497</v>
      </c>
      <c r="L5385" s="55" t="s">
        <v>3377</v>
      </c>
      <c r="M5385" s="90">
        <f>38+48/60</f>
        <v>38.799999999999997</v>
      </c>
      <c r="N5385" s="90">
        <f>110+22/60</f>
        <v>110.36666666666666</v>
      </c>
      <c r="Q5385" s="55" t="s">
        <v>5573</v>
      </c>
      <c r="S5385" s="90" t="s">
        <v>6498</v>
      </c>
      <c r="U5385" s="55" t="s">
        <v>1694</v>
      </c>
      <c r="V5385" s="55" t="s">
        <v>1694</v>
      </c>
      <c r="Z5385" s="55" t="s">
        <v>6509</v>
      </c>
      <c r="AA5385" s="90">
        <v>10</v>
      </c>
      <c r="AH5385" s="55" t="s">
        <v>769</v>
      </c>
      <c r="AM5385" s="55" t="s">
        <v>6493</v>
      </c>
      <c r="AO5385" s="185" t="s">
        <v>5150</v>
      </c>
      <c r="AU5385" s="181" t="s">
        <v>7494</v>
      </c>
      <c r="AV5385" s="185" t="s">
        <v>176</v>
      </c>
      <c r="AX5385" s="185" t="s">
        <v>176</v>
      </c>
      <c r="BK5385" s="55" t="s">
        <v>6503</v>
      </c>
      <c r="BN5385" s="55" t="s">
        <v>1805</v>
      </c>
      <c r="BO5385" s="55" t="s">
        <v>1805</v>
      </c>
      <c r="BP5385" s="55" t="s">
        <v>1682</v>
      </c>
      <c r="CM5385" s="65">
        <v>0.14000000000000001</v>
      </c>
      <c r="CN5385" s="65">
        <v>0.42</v>
      </c>
      <c r="CQ5385" s="65" t="s">
        <v>164</v>
      </c>
      <c r="DB5385" s="65">
        <v>0.09</v>
      </c>
      <c r="DC5385" s="65">
        <v>0.21</v>
      </c>
      <c r="DF5385" s="65" t="s">
        <v>165</v>
      </c>
      <c r="DG5385" s="65">
        <v>2.17</v>
      </c>
      <c r="DH5385" s="65">
        <v>2.52</v>
      </c>
      <c r="DK5385" s="65" t="s">
        <v>6511</v>
      </c>
      <c r="DL5385" s="65">
        <v>47.38</v>
      </c>
      <c r="DM5385" s="65">
        <v>52.7</v>
      </c>
      <c r="DP5385" s="65" t="s">
        <v>6512</v>
      </c>
      <c r="GP5385" s="292" t="s">
        <v>7494</v>
      </c>
    </row>
    <row r="5386" spans="1:198" x14ac:dyDescent="0.25">
      <c r="A5386" s="55">
        <v>5385</v>
      </c>
      <c r="B5386" s="12" t="s">
        <v>7067</v>
      </c>
      <c r="C5386" s="155" t="s">
        <v>6433</v>
      </c>
      <c r="D5386" s="55" t="s">
        <v>6521</v>
      </c>
      <c r="E5386" s="90" t="s">
        <v>6495</v>
      </c>
      <c r="G5386" s="55" t="s">
        <v>6496</v>
      </c>
      <c r="H5386" s="55" t="s">
        <v>6390</v>
      </c>
      <c r="I5386" s="55" t="s">
        <v>4353</v>
      </c>
      <c r="J5386" s="55" t="s">
        <v>6470</v>
      </c>
      <c r="K5386" s="55" t="s">
        <v>6497</v>
      </c>
      <c r="L5386" s="55" t="s">
        <v>3377</v>
      </c>
      <c r="M5386" s="90">
        <f>38+48/60</f>
        <v>38.799999999999997</v>
      </c>
      <c r="N5386" s="90">
        <f>110+22/60</f>
        <v>110.36666666666666</v>
      </c>
      <c r="Q5386" s="55" t="s">
        <v>5573</v>
      </c>
      <c r="S5386" s="90" t="s">
        <v>6498</v>
      </c>
      <c r="U5386" s="55" t="s">
        <v>1694</v>
      </c>
      <c r="V5386" s="55" t="s">
        <v>1694</v>
      </c>
      <c r="Z5386" s="55" t="s">
        <v>6509</v>
      </c>
      <c r="AA5386" s="90">
        <v>10</v>
      </c>
      <c r="AH5386" s="55" t="s">
        <v>769</v>
      </c>
      <c r="AM5386" s="55" t="s">
        <v>6493</v>
      </c>
      <c r="AO5386" s="185" t="s">
        <v>5150</v>
      </c>
      <c r="AU5386" s="181" t="s">
        <v>7494</v>
      </c>
      <c r="AV5386" s="185" t="s">
        <v>176</v>
      </c>
      <c r="AX5386" s="185" t="s">
        <v>176</v>
      </c>
      <c r="BK5386" s="55" t="s">
        <v>6502</v>
      </c>
      <c r="BN5386" s="55" t="s">
        <v>1805</v>
      </c>
      <c r="BO5386" s="55" t="s">
        <v>1805</v>
      </c>
      <c r="BP5386" s="55" t="s">
        <v>1682</v>
      </c>
      <c r="CM5386" s="65">
        <v>0.14000000000000001</v>
      </c>
      <c r="CN5386" s="65">
        <v>0.44</v>
      </c>
      <c r="CQ5386" s="65" t="s">
        <v>164</v>
      </c>
      <c r="DB5386" s="65">
        <v>0.09</v>
      </c>
      <c r="DC5386" s="65">
        <v>0.25</v>
      </c>
      <c r="DF5386" s="65" t="s">
        <v>165</v>
      </c>
      <c r="DG5386" s="65">
        <v>2.17</v>
      </c>
      <c r="DH5386" s="65">
        <v>1.98</v>
      </c>
      <c r="DK5386" s="65" t="s">
        <v>6511</v>
      </c>
      <c r="DL5386" s="65">
        <v>47.38</v>
      </c>
      <c r="DM5386" s="65">
        <v>71.12</v>
      </c>
      <c r="DP5386" s="65" t="s">
        <v>6512</v>
      </c>
      <c r="GP5386" s="292" t="s">
        <v>7494</v>
      </c>
    </row>
    <row r="5387" spans="1:198" x14ac:dyDescent="0.25">
      <c r="A5387" s="55">
        <v>5386</v>
      </c>
      <c r="B5387" s="12" t="s">
        <v>7067</v>
      </c>
      <c r="C5387" s="155" t="s">
        <v>6433</v>
      </c>
      <c r="D5387" s="55" t="s">
        <v>6522</v>
      </c>
      <c r="E5387" s="90" t="s">
        <v>6495</v>
      </c>
      <c r="G5387" s="55" t="s">
        <v>6496</v>
      </c>
      <c r="H5387" s="55" t="s">
        <v>6390</v>
      </c>
      <c r="I5387" s="55" t="s">
        <v>4353</v>
      </c>
      <c r="J5387" s="55" t="s">
        <v>6470</v>
      </c>
      <c r="K5387" s="55" t="s">
        <v>6497</v>
      </c>
      <c r="L5387" s="55" t="s">
        <v>3377</v>
      </c>
      <c r="M5387" s="90">
        <f>38+48/60</f>
        <v>38.799999999999997</v>
      </c>
      <c r="N5387" s="90">
        <f>110+22/60</f>
        <v>110.36666666666666</v>
      </c>
      <c r="Q5387" s="55" t="s">
        <v>5573</v>
      </c>
      <c r="S5387" s="90" t="s">
        <v>6498</v>
      </c>
      <c r="U5387" s="55" t="s">
        <v>1694</v>
      </c>
      <c r="V5387" s="55" t="s">
        <v>1694</v>
      </c>
      <c r="Z5387" s="55" t="s">
        <v>6509</v>
      </c>
      <c r="AA5387" s="90">
        <v>10</v>
      </c>
      <c r="AH5387" s="55" t="s">
        <v>769</v>
      </c>
      <c r="AM5387" s="55" t="s">
        <v>6493</v>
      </c>
      <c r="AO5387" s="185" t="s">
        <v>5150</v>
      </c>
      <c r="AU5387" s="181" t="s">
        <v>7494</v>
      </c>
      <c r="AV5387" s="185" t="s">
        <v>176</v>
      </c>
      <c r="AX5387" s="185" t="s">
        <v>176</v>
      </c>
      <c r="BK5387" s="55" t="s">
        <v>6504</v>
      </c>
      <c r="BN5387" s="55" t="s">
        <v>1805</v>
      </c>
      <c r="BO5387" s="55" t="s">
        <v>1805</v>
      </c>
      <c r="BP5387" s="55" t="s">
        <v>1682</v>
      </c>
      <c r="CM5387" s="65">
        <v>0.14000000000000001</v>
      </c>
      <c r="CN5387" s="65">
        <v>0.48</v>
      </c>
      <c r="CQ5387" s="65" t="s">
        <v>164</v>
      </c>
      <c r="DB5387" s="65">
        <v>0.09</v>
      </c>
      <c r="DC5387" s="65">
        <v>0.21</v>
      </c>
      <c r="DF5387" s="65" t="s">
        <v>165</v>
      </c>
      <c r="DG5387" s="65">
        <v>2.17</v>
      </c>
      <c r="DH5387" s="65">
        <v>2.27</v>
      </c>
      <c r="DK5387" s="65" t="s">
        <v>6511</v>
      </c>
      <c r="DL5387" s="65">
        <v>47.38</v>
      </c>
      <c r="DM5387" s="65">
        <v>64.63</v>
      </c>
      <c r="DP5387" s="65" t="s">
        <v>6512</v>
      </c>
      <c r="GP5387" s="292" t="s">
        <v>7494</v>
      </c>
    </row>
    <row r="5388" spans="1:198" x14ac:dyDescent="0.25">
      <c r="A5388" s="55">
        <v>5387</v>
      </c>
      <c r="B5388" s="12" t="s">
        <v>7067</v>
      </c>
      <c r="C5388" s="155" t="s">
        <v>6433</v>
      </c>
      <c r="D5388" s="55" t="s">
        <v>6523</v>
      </c>
      <c r="E5388" s="90" t="s">
        <v>6495</v>
      </c>
      <c r="G5388" s="55" t="s">
        <v>6496</v>
      </c>
      <c r="H5388" s="55" t="s">
        <v>6390</v>
      </c>
      <c r="I5388" s="55" t="s">
        <v>5490</v>
      </c>
      <c r="J5388" s="55" t="s">
        <v>6470</v>
      </c>
      <c r="K5388" s="55" t="s">
        <v>6497</v>
      </c>
      <c r="L5388" s="55" t="s">
        <v>3377</v>
      </c>
      <c r="M5388" s="90">
        <f>38+48/60</f>
        <v>38.799999999999997</v>
      </c>
      <c r="N5388" s="90">
        <f>110+22/60</f>
        <v>110.36666666666666</v>
      </c>
      <c r="Q5388" s="55" t="s">
        <v>5573</v>
      </c>
      <c r="S5388" s="90" t="s">
        <v>6498</v>
      </c>
      <c r="U5388" s="55" t="s">
        <v>1935</v>
      </c>
      <c r="V5388" s="55" t="s">
        <v>1694</v>
      </c>
      <c r="Z5388" s="55" t="s">
        <v>6510</v>
      </c>
      <c r="AA5388" s="90">
        <v>10</v>
      </c>
      <c r="AH5388" s="55" t="s">
        <v>769</v>
      </c>
      <c r="AM5388" s="55" t="s">
        <v>6493</v>
      </c>
      <c r="AO5388" s="185" t="s">
        <v>5150</v>
      </c>
      <c r="AU5388" s="181" t="s">
        <v>7494</v>
      </c>
      <c r="AV5388" s="185" t="s">
        <v>176</v>
      </c>
      <c r="AX5388" s="185" t="s">
        <v>176</v>
      </c>
      <c r="BK5388" s="55" t="s">
        <v>2082</v>
      </c>
      <c r="BN5388" s="55" t="s">
        <v>1805</v>
      </c>
      <c r="BO5388" s="55" t="s">
        <v>1805</v>
      </c>
      <c r="BP5388" s="55" t="s">
        <v>1682</v>
      </c>
      <c r="CM5388" s="65">
        <v>0.19</v>
      </c>
      <c r="CN5388" s="65">
        <v>0.11</v>
      </c>
      <c r="CQ5388" s="65" t="s">
        <v>164</v>
      </c>
      <c r="DB5388" s="65">
        <v>0.09</v>
      </c>
      <c r="DC5388" s="65">
        <v>9.0700000000000003E-2</v>
      </c>
      <c r="DF5388" s="65" t="s">
        <v>165</v>
      </c>
      <c r="DG5388" s="65">
        <v>3.11</v>
      </c>
      <c r="DH5388" s="65">
        <v>2.02</v>
      </c>
      <c r="DK5388" s="65" t="s">
        <v>6511</v>
      </c>
      <c r="DL5388" s="65">
        <v>69.22</v>
      </c>
      <c r="DM5388" s="65">
        <v>69.41</v>
      </c>
      <c r="DP5388" s="65" t="s">
        <v>6512</v>
      </c>
      <c r="GP5388" s="292" t="s">
        <v>7494</v>
      </c>
    </row>
    <row r="5389" spans="1:198" x14ac:dyDescent="0.25">
      <c r="A5389" s="55">
        <v>5388</v>
      </c>
      <c r="B5389" s="12" t="s">
        <v>7067</v>
      </c>
      <c r="C5389" s="155" t="s">
        <v>6433</v>
      </c>
      <c r="D5389" s="55" t="s">
        <v>6524</v>
      </c>
      <c r="E5389" s="90" t="s">
        <v>6495</v>
      </c>
      <c r="G5389" s="55" t="s">
        <v>6496</v>
      </c>
      <c r="H5389" s="55" t="s">
        <v>6390</v>
      </c>
      <c r="I5389" s="55" t="s">
        <v>5490</v>
      </c>
      <c r="J5389" s="55" t="s">
        <v>6470</v>
      </c>
      <c r="K5389" s="55" t="s">
        <v>6497</v>
      </c>
      <c r="L5389" s="55" t="s">
        <v>3377</v>
      </c>
      <c r="M5389" s="90">
        <f>38+48/60</f>
        <v>38.799999999999997</v>
      </c>
      <c r="N5389" s="90">
        <f>110+22/60</f>
        <v>110.36666666666666</v>
      </c>
      <c r="Q5389" s="55" t="s">
        <v>5573</v>
      </c>
      <c r="S5389" s="90" t="s">
        <v>6498</v>
      </c>
      <c r="U5389" s="55" t="s">
        <v>1935</v>
      </c>
      <c r="V5389" s="55" t="s">
        <v>1694</v>
      </c>
      <c r="Z5389" s="55" t="s">
        <v>6510</v>
      </c>
      <c r="AA5389" s="90">
        <v>10</v>
      </c>
      <c r="AH5389" s="55" t="s">
        <v>769</v>
      </c>
      <c r="AM5389" s="55" t="s">
        <v>6493</v>
      </c>
      <c r="AO5389" s="185" t="s">
        <v>5150</v>
      </c>
      <c r="AU5389" s="181" t="s">
        <v>7494</v>
      </c>
      <c r="AV5389" s="185" t="s">
        <v>176</v>
      </c>
      <c r="AX5389" s="185" t="s">
        <v>176</v>
      </c>
      <c r="BK5389" s="55" t="s">
        <v>5981</v>
      </c>
      <c r="BN5389" s="55" t="s">
        <v>1805</v>
      </c>
      <c r="BO5389" s="55" t="s">
        <v>1805</v>
      </c>
      <c r="BP5389" s="55" t="s">
        <v>1682</v>
      </c>
      <c r="CM5389" s="65">
        <v>0.19</v>
      </c>
      <c r="CN5389" s="65">
        <v>0.14000000000000001</v>
      </c>
      <c r="CQ5389" s="65" t="s">
        <v>164</v>
      </c>
      <c r="DB5389" s="65">
        <v>0.09</v>
      </c>
      <c r="DC5389" s="65">
        <v>8.9399999999999993E-2</v>
      </c>
      <c r="DF5389" s="65" t="s">
        <v>165</v>
      </c>
      <c r="DG5389" s="65">
        <v>3.11</v>
      </c>
      <c r="DH5389" s="65">
        <v>2.77</v>
      </c>
      <c r="DK5389" s="65" t="s">
        <v>6511</v>
      </c>
      <c r="DL5389" s="65">
        <v>69.22</v>
      </c>
      <c r="DM5389" s="65">
        <v>63.58</v>
      </c>
      <c r="DP5389" s="65" t="s">
        <v>6512</v>
      </c>
      <c r="GP5389" s="292" t="s">
        <v>7494</v>
      </c>
    </row>
    <row r="5390" spans="1:198" x14ac:dyDescent="0.25">
      <c r="A5390" s="55">
        <v>5389</v>
      </c>
      <c r="B5390" s="12" t="s">
        <v>7067</v>
      </c>
      <c r="C5390" s="155" t="s">
        <v>6433</v>
      </c>
      <c r="D5390" s="55" t="s">
        <v>6525</v>
      </c>
      <c r="E5390" s="90" t="s">
        <v>6495</v>
      </c>
      <c r="G5390" s="55" t="s">
        <v>6496</v>
      </c>
      <c r="H5390" s="55" t="s">
        <v>6390</v>
      </c>
      <c r="I5390" s="55" t="s">
        <v>5490</v>
      </c>
      <c r="J5390" s="55" t="s">
        <v>6470</v>
      </c>
      <c r="K5390" s="55" t="s">
        <v>6497</v>
      </c>
      <c r="L5390" s="55" t="s">
        <v>3377</v>
      </c>
      <c r="M5390" s="90">
        <f>38+48/60</f>
        <v>38.799999999999997</v>
      </c>
      <c r="N5390" s="90">
        <f>110+22/60</f>
        <v>110.36666666666666</v>
      </c>
      <c r="Q5390" s="55" t="s">
        <v>5573</v>
      </c>
      <c r="S5390" s="90" t="s">
        <v>6498</v>
      </c>
      <c r="U5390" s="55" t="s">
        <v>1935</v>
      </c>
      <c r="V5390" s="55" t="s">
        <v>1694</v>
      </c>
      <c r="Z5390" s="55" t="s">
        <v>6510</v>
      </c>
      <c r="AA5390" s="90">
        <v>10</v>
      </c>
      <c r="AH5390" s="55" t="s">
        <v>769</v>
      </c>
      <c r="AM5390" s="55" t="s">
        <v>6493</v>
      </c>
      <c r="AO5390" s="185" t="s">
        <v>5150</v>
      </c>
      <c r="AU5390" s="181" t="s">
        <v>7494</v>
      </c>
      <c r="AV5390" s="185" t="s">
        <v>176</v>
      </c>
      <c r="AX5390" s="185" t="s">
        <v>176</v>
      </c>
      <c r="BK5390" s="55" t="s">
        <v>6503</v>
      </c>
      <c r="BN5390" s="55" t="s">
        <v>1805</v>
      </c>
      <c r="BO5390" s="55" t="s">
        <v>1805</v>
      </c>
      <c r="BP5390" s="55" t="s">
        <v>1682</v>
      </c>
      <c r="CM5390" s="65">
        <v>0.19</v>
      </c>
      <c r="CN5390" s="65">
        <v>0.11</v>
      </c>
      <c r="CQ5390" s="65" t="s">
        <v>164</v>
      </c>
      <c r="DB5390" s="65">
        <v>0.09</v>
      </c>
      <c r="DC5390" s="65">
        <v>7.22E-2</v>
      </c>
      <c r="DF5390" s="65" t="s">
        <v>165</v>
      </c>
      <c r="DG5390" s="65">
        <v>3.11</v>
      </c>
      <c r="DH5390" s="65">
        <v>2.6</v>
      </c>
      <c r="DK5390" s="65" t="s">
        <v>6511</v>
      </c>
      <c r="DL5390" s="65">
        <v>69.22</v>
      </c>
      <c r="DM5390" s="65">
        <v>71.23</v>
      </c>
      <c r="DP5390" s="65" t="s">
        <v>6512</v>
      </c>
      <c r="GP5390" s="292" t="s">
        <v>7494</v>
      </c>
    </row>
    <row r="5391" spans="1:198" x14ac:dyDescent="0.25">
      <c r="A5391" s="55">
        <v>5390</v>
      </c>
      <c r="B5391" s="12" t="s">
        <v>7067</v>
      </c>
      <c r="C5391" s="155" t="s">
        <v>6433</v>
      </c>
      <c r="D5391" s="55" t="s">
        <v>6526</v>
      </c>
      <c r="E5391" s="90" t="s">
        <v>6495</v>
      </c>
      <c r="G5391" s="55" t="s">
        <v>6496</v>
      </c>
      <c r="H5391" s="55" t="s">
        <v>6390</v>
      </c>
      <c r="I5391" s="55" t="s">
        <v>5490</v>
      </c>
      <c r="J5391" s="55" t="s">
        <v>6470</v>
      </c>
      <c r="K5391" s="55" t="s">
        <v>6497</v>
      </c>
      <c r="L5391" s="55" t="s">
        <v>3377</v>
      </c>
      <c r="M5391" s="90">
        <f>38+48/60</f>
        <v>38.799999999999997</v>
      </c>
      <c r="N5391" s="90">
        <f>110+22/60</f>
        <v>110.36666666666666</v>
      </c>
      <c r="Q5391" s="55" t="s">
        <v>5573</v>
      </c>
      <c r="S5391" s="90" t="s">
        <v>6498</v>
      </c>
      <c r="U5391" s="55" t="s">
        <v>1935</v>
      </c>
      <c r="V5391" s="55" t="s">
        <v>1694</v>
      </c>
      <c r="Z5391" s="55" t="s">
        <v>6510</v>
      </c>
      <c r="AA5391" s="90">
        <v>10</v>
      </c>
      <c r="AH5391" s="55" t="s">
        <v>769</v>
      </c>
      <c r="AM5391" s="55" t="s">
        <v>6493</v>
      </c>
      <c r="AO5391" s="185" t="s">
        <v>5150</v>
      </c>
      <c r="AU5391" s="181" t="s">
        <v>7494</v>
      </c>
      <c r="AV5391" s="185" t="s">
        <v>176</v>
      </c>
      <c r="AX5391" s="185" t="s">
        <v>176</v>
      </c>
      <c r="BK5391" s="55" t="s">
        <v>6502</v>
      </c>
      <c r="BN5391" s="55" t="s">
        <v>1805</v>
      </c>
      <c r="BO5391" s="55" t="s">
        <v>1805</v>
      </c>
      <c r="BP5391" s="55" t="s">
        <v>1682</v>
      </c>
      <c r="CM5391" s="65">
        <v>0.19</v>
      </c>
      <c r="CN5391" s="65">
        <v>0.16</v>
      </c>
      <c r="CQ5391" s="65" t="s">
        <v>164</v>
      </c>
      <c r="DB5391" s="65">
        <v>0.09</v>
      </c>
      <c r="DC5391" s="65">
        <v>0.13</v>
      </c>
      <c r="DF5391" s="65" t="s">
        <v>165</v>
      </c>
      <c r="DG5391" s="65">
        <v>3.11</v>
      </c>
      <c r="DH5391" s="65">
        <v>3.55</v>
      </c>
      <c r="DK5391" s="65" t="s">
        <v>6511</v>
      </c>
      <c r="DL5391" s="65">
        <v>69.22</v>
      </c>
      <c r="DM5391" s="65">
        <v>68.12</v>
      </c>
      <c r="DP5391" s="65" t="s">
        <v>6512</v>
      </c>
      <c r="GP5391" s="292" t="s">
        <v>7494</v>
      </c>
    </row>
    <row r="5392" spans="1:198" x14ac:dyDescent="0.25">
      <c r="A5392" s="55">
        <v>5391</v>
      </c>
      <c r="B5392" s="12" t="s">
        <v>7067</v>
      </c>
      <c r="C5392" s="155" t="s">
        <v>6433</v>
      </c>
      <c r="D5392" s="55" t="s">
        <v>6527</v>
      </c>
      <c r="E5392" s="90" t="s">
        <v>6495</v>
      </c>
      <c r="G5392" s="55" t="s">
        <v>6496</v>
      </c>
      <c r="H5392" s="55" t="s">
        <v>6390</v>
      </c>
      <c r="I5392" s="55" t="s">
        <v>5490</v>
      </c>
      <c r="J5392" s="55" t="s">
        <v>6470</v>
      </c>
      <c r="K5392" s="55" t="s">
        <v>6497</v>
      </c>
      <c r="L5392" s="55" t="s">
        <v>3377</v>
      </c>
      <c r="M5392" s="90">
        <f>38+48/60</f>
        <v>38.799999999999997</v>
      </c>
      <c r="N5392" s="90">
        <f>110+22/60</f>
        <v>110.36666666666666</v>
      </c>
      <c r="Q5392" s="55" t="s">
        <v>5573</v>
      </c>
      <c r="S5392" s="90" t="s">
        <v>6498</v>
      </c>
      <c r="U5392" s="55" t="s">
        <v>1935</v>
      </c>
      <c r="V5392" s="55" t="s">
        <v>1694</v>
      </c>
      <c r="Z5392" s="55" t="s">
        <v>6510</v>
      </c>
      <c r="AA5392" s="90">
        <v>10</v>
      </c>
      <c r="AH5392" s="55" t="s">
        <v>769</v>
      </c>
      <c r="AM5392" s="55" t="s">
        <v>6493</v>
      </c>
      <c r="AO5392" s="185" t="s">
        <v>5150</v>
      </c>
      <c r="AU5392" s="181" t="s">
        <v>7494</v>
      </c>
      <c r="AV5392" s="185" t="s">
        <v>176</v>
      </c>
      <c r="AX5392" s="185" t="s">
        <v>176</v>
      </c>
      <c r="BK5392" s="55" t="s">
        <v>6504</v>
      </c>
      <c r="BN5392" s="55" t="s">
        <v>1805</v>
      </c>
      <c r="BO5392" s="55" t="s">
        <v>1805</v>
      </c>
      <c r="BP5392" s="55" t="s">
        <v>1682</v>
      </c>
      <c r="CM5392" s="65">
        <v>0.19</v>
      </c>
      <c r="CN5392" s="65">
        <v>0.18</v>
      </c>
      <c r="CQ5392" s="65" t="s">
        <v>164</v>
      </c>
      <c r="DB5392" s="65">
        <v>0.09</v>
      </c>
      <c r="DC5392" s="65">
        <v>0.12</v>
      </c>
      <c r="DF5392" s="65" t="s">
        <v>165</v>
      </c>
      <c r="DG5392" s="65">
        <v>3.11</v>
      </c>
      <c r="DH5392" s="65">
        <v>2.5499999999999998</v>
      </c>
      <c r="DK5392" s="65" t="s">
        <v>6511</v>
      </c>
      <c r="DL5392" s="65">
        <v>69.22</v>
      </c>
      <c r="DM5392" s="65">
        <v>73.05</v>
      </c>
      <c r="DP5392" s="65" t="s">
        <v>6512</v>
      </c>
      <c r="GP5392" s="292" t="s">
        <v>7494</v>
      </c>
    </row>
    <row r="5393" spans="1:198" x14ac:dyDescent="0.25">
      <c r="A5393" s="55">
        <v>5392</v>
      </c>
      <c r="B5393" s="12" t="s">
        <v>7067</v>
      </c>
      <c r="C5393" s="155" t="s">
        <v>6433</v>
      </c>
      <c r="D5393" s="55" t="s">
        <v>6523</v>
      </c>
      <c r="E5393" s="90" t="s">
        <v>6495</v>
      </c>
      <c r="G5393" s="55" t="s">
        <v>6496</v>
      </c>
      <c r="H5393" s="55" t="s">
        <v>6390</v>
      </c>
      <c r="I5393" s="55" t="s">
        <v>5864</v>
      </c>
      <c r="J5393" s="55" t="s">
        <v>6470</v>
      </c>
      <c r="K5393" s="55" t="s">
        <v>6497</v>
      </c>
      <c r="L5393" s="55" t="s">
        <v>3377</v>
      </c>
      <c r="M5393" s="90">
        <f>38+48/60</f>
        <v>38.799999999999997</v>
      </c>
      <c r="N5393" s="90">
        <f>110+22/60</f>
        <v>110.36666666666666</v>
      </c>
      <c r="Q5393" s="55" t="s">
        <v>5573</v>
      </c>
      <c r="S5393" s="90" t="s">
        <v>6498</v>
      </c>
      <c r="U5393" s="55" t="s">
        <v>1805</v>
      </c>
      <c r="V5393" s="55" t="s">
        <v>1694</v>
      </c>
      <c r="Z5393" s="55" t="s">
        <v>6510</v>
      </c>
      <c r="AA5393" s="90">
        <v>10</v>
      </c>
      <c r="AH5393" s="55" t="s">
        <v>769</v>
      </c>
      <c r="AM5393" s="55" t="s">
        <v>6493</v>
      </c>
      <c r="AO5393" s="185" t="s">
        <v>5150</v>
      </c>
      <c r="AU5393" s="181" t="s">
        <v>7494</v>
      </c>
      <c r="AV5393" s="185" t="s">
        <v>176</v>
      </c>
      <c r="AX5393" s="185" t="s">
        <v>176</v>
      </c>
      <c r="BK5393" s="55" t="s">
        <v>2082</v>
      </c>
      <c r="BN5393" s="55" t="s">
        <v>1805</v>
      </c>
      <c r="BO5393" s="55" t="s">
        <v>1805</v>
      </c>
      <c r="BP5393" s="55" t="s">
        <v>1682</v>
      </c>
      <c r="CM5393" s="65">
        <v>0.1</v>
      </c>
      <c r="CN5393" s="65">
        <v>0.12</v>
      </c>
      <c r="CQ5393" s="65" t="s">
        <v>164</v>
      </c>
      <c r="DB5393" s="65">
        <v>0.1</v>
      </c>
      <c r="DC5393" s="65">
        <v>0.1</v>
      </c>
      <c r="DF5393" s="65" t="s">
        <v>165</v>
      </c>
      <c r="DG5393" s="65">
        <v>3</v>
      </c>
      <c r="DH5393" s="65">
        <v>1.24</v>
      </c>
      <c r="DK5393" s="65" t="s">
        <v>6511</v>
      </c>
      <c r="DL5393" s="65">
        <v>50</v>
      </c>
      <c r="DM5393" s="65">
        <v>46.32</v>
      </c>
      <c r="DP5393" s="65" t="s">
        <v>6512</v>
      </c>
      <c r="GP5393" s="292" t="s">
        <v>7494</v>
      </c>
    </row>
    <row r="5394" spans="1:198" x14ac:dyDescent="0.25">
      <c r="A5394" s="55">
        <v>5393</v>
      </c>
      <c r="B5394" s="12" t="s">
        <v>7067</v>
      </c>
      <c r="C5394" s="155" t="s">
        <v>6433</v>
      </c>
      <c r="D5394" s="55" t="s">
        <v>6524</v>
      </c>
      <c r="E5394" s="90" t="s">
        <v>6495</v>
      </c>
      <c r="G5394" s="55" t="s">
        <v>6496</v>
      </c>
      <c r="H5394" s="55" t="s">
        <v>6390</v>
      </c>
      <c r="I5394" s="55" t="s">
        <v>5864</v>
      </c>
      <c r="J5394" s="55" t="s">
        <v>6470</v>
      </c>
      <c r="K5394" s="55" t="s">
        <v>6497</v>
      </c>
      <c r="L5394" s="55" t="s">
        <v>3377</v>
      </c>
      <c r="M5394" s="90">
        <f>38+48/60</f>
        <v>38.799999999999997</v>
      </c>
      <c r="N5394" s="90">
        <f>110+22/60</f>
        <v>110.36666666666666</v>
      </c>
      <c r="Q5394" s="55" t="s">
        <v>5573</v>
      </c>
      <c r="S5394" s="90" t="s">
        <v>6498</v>
      </c>
      <c r="U5394" s="55" t="s">
        <v>1805</v>
      </c>
      <c r="V5394" s="55" t="s">
        <v>1694</v>
      </c>
      <c r="Z5394" s="55" t="s">
        <v>6510</v>
      </c>
      <c r="AA5394" s="90">
        <v>10</v>
      </c>
      <c r="AH5394" s="55" t="s">
        <v>769</v>
      </c>
      <c r="AM5394" s="55" t="s">
        <v>6493</v>
      </c>
      <c r="AO5394" s="185" t="s">
        <v>5150</v>
      </c>
      <c r="AU5394" s="181" t="s">
        <v>7494</v>
      </c>
      <c r="AV5394" s="185" t="s">
        <v>176</v>
      </c>
      <c r="AX5394" s="185" t="s">
        <v>176</v>
      </c>
      <c r="BK5394" s="55" t="s">
        <v>5981</v>
      </c>
      <c r="BN5394" s="55" t="s">
        <v>1805</v>
      </c>
      <c r="BO5394" s="55" t="s">
        <v>1805</v>
      </c>
      <c r="BP5394" s="55" t="s">
        <v>1682</v>
      </c>
      <c r="CM5394" s="65">
        <v>0.1</v>
      </c>
      <c r="CN5394" s="65">
        <v>0.16</v>
      </c>
      <c r="CQ5394" s="65" t="s">
        <v>164</v>
      </c>
      <c r="DB5394" s="65">
        <v>0.1</v>
      </c>
      <c r="DC5394" s="65">
        <v>0.15</v>
      </c>
      <c r="DF5394" s="65" t="s">
        <v>165</v>
      </c>
      <c r="DG5394" s="65">
        <v>3</v>
      </c>
      <c r="DH5394" s="65">
        <v>1.75</v>
      </c>
      <c r="DK5394" s="65" t="s">
        <v>6511</v>
      </c>
      <c r="DL5394" s="65">
        <v>50</v>
      </c>
      <c r="DM5394" s="65">
        <v>76.41</v>
      </c>
      <c r="DP5394" s="65" t="s">
        <v>6512</v>
      </c>
      <c r="GP5394" s="292" t="s">
        <v>7494</v>
      </c>
    </row>
    <row r="5395" spans="1:198" x14ac:dyDescent="0.25">
      <c r="A5395" s="55">
        <v>5394</v>
      </c>
      <c r="B5395" s="12" t="s">
        <v>7067</v>
      </c>
      <c r="C5395" s="155" t="s">
        <v>6433</v>
      </c>
      <c r="D5395" s="55" t="s">
        <v>6525</v>
      </c>
      <c r="E5395" s="90" t="s">
        <v>6495</v>
      </c>
      <c r="G5395" s="55" t="s">
        <v>6496</v>
      </c>
      <c r="H5395" s="55" t="s">
        <v>6390</v>
      </c>
      <c r="I5395" s="55" t="s">
        <v>5864</v>
      </c>
      <c r="J5395" s="55" t="s">
        <v>6470</v>
      </c>
      <c r="K5395" s="55" t="s">
        <v>6497</v>
      </c>
      <c r="L5395" s="55" t="s">
        <v>3377</v>
      </c>
      <c r="M5395" s="90">
        <f>38+48/60</f>
        <v>38.799999999999997</v>
      </c>
      <c r="N5395" s="90">
        <f>110+22/60</f>
        <v>110.36666666666666</v>
      </c>
      <c r="Q5395" s="55" t="s">
        <v>5573</v>
      </c>
      <c r="S5395" s="90" t="s">
        <v>6498</v>
      </c>
      <c r="U5395" s="55" t="s">
        <v>1805</v>
      </c>
      <c r="V5395" s="55" t="s">
        <v>1694</v>
      </c>
      <c r="Z5395" s="55" t="s">
        <v>6510</v>
      </c>
      <c r="AA5395" s="90">
        <v>10</v>
      </c>
      <c r="AH5395" s="55" t="s">
        <v>769</v>
      </c>
      <c r="AM5395" s="55" t="s">
        <v>6493</v>
      </c>
      <c r="AO5395" s="185" t="s">
        <v>5150</v>
      </c>
      <c r="AU5395" s="181" t="s">
        <v>7494</v>
      </c>
      <c r="AV5395" s="185" t="s">
        <v>176</v>
      </c>
      <c r="AX5395" s="185" t="s">
        <v>176</v>
      </c>
      <c r="BK5395" s="55" t="s">
        <v>6503</v>
      </c>
      <c r="BN5395" s="55" t="s">
        <v>1805</v>
      </c>
      <c r="BO5395" s="55" t="s">
        <v>1805</v>
      </c>
      <c r="BP5395" s="55" t="s">
        <v>1682</v>
      </c>
      <c r="CM5395" s="65">
        <v>0.1</v>
      </c>
      <c r="CN5395" s="65">
        <v>0.2</v>
      </c>
      <c r="CQ5395" s="65" t="s">
        <v>164</v>
      </c>
      <c r="DB5395" s="65">
        <v>0.1</v>
      </c>
      <c r="DC5395" s="65">
        <v>0.14000000000000001</v>
      </c>
      <c r="DF5395" s="65" t="s">
        <v>165</v>
      </c>
      <c r="DG5395" s="65">
        <v>3</v>
      </c>
      <c r="DH5395" s="65">
        <v>2.06</v>
      </c>
      <c r="DK5395" s="65" t="s">
        <v>6511</v>
      </c>
      <c r="DL5395" s="65">
        <v>50</v>
      </c>
      <c r="DM5395" s="65">
        <v>59.29</v>
      </c>
      <c r="DP5395" s="65" t="s">
        <v>6512</v>
      </c>
      <c r="GP5395" s="292" t="s">
        <v>7494</v>
      </c>
    </row>
    <row r="5396" spans="1:198" x14ac:dyDescent="0.25">
      <c r="A5396" s="55">
        <v>5395</v>
      </c>
      <c r="B5396" s="12" t="s">
        <v>7067</v>
      </c>
      <c r="C5396" s="155" t="s">
        <v>6433</v>
      </c>
      <c r="D5396" s="55" t="s">
        <v>6526</v>
      </c>
      <c r="E5396" s="90" t="s">
        <v>6495</v>
      </c>
      <c r="G5396" s="55" t="s">
        <v>6496</v>
      </c>
      <c r="H5396" s="55" t="s">
        <v>6390</v>
      </c>
      <c r="I5396" s="55" t="s">
        <v>5864</v>
      </c>
      <c r="J5396" s="55" t="s">
        <v>6470</v>
      </c>
      <c r="K5396" s="55" t="s">
        <v>6497</v>
      </c>
      <c r="L5396" s="55" t="s">
        <v>3377</v>
      </c>
      <c r="M5396" s="90">
        <f>38+48/60</f>
        <v>38.799999999999997</v>
      </c>
      <c r="N5396" s="90">
        <f>110+22/60</f>
        <v>110.36666666666666</v>
      </c>
      <c r="Q5396" s="55" t="s">
        <v>5573</v>
      </c>
      <c r="S5396" s="90" t="s">
        <v>6498</v>
      </c>
      <c r="U5396" s="55" t="s">
        <v>1805</v>
      </c>
      <c r="V5396" s="55" t="s">
        <v>1694</v>
      </c>
      <c r="Z5396" s="55" t="s">
        <v>6510</v>
      </c>
      <c r="AA5396" s="90">
        <v>10</v>
      </c>
      <c r="AH5396" s="55" t="s">
        <v>769</v>
      </c>
      <c r="AM5396" s="55" t="s">
        <v>6493</v>
      </c>
      <c r="AO5396" s="185" t="s">
        <v>5150</v>
      </c>
      <c r="AU5396" s="181" t="s">
        <v>7494</v>
      </c>
      <c r="AV5396" s="185" t="s">
        <v>176</v>
      </c>
      <c r="AX5396" s="185" t="s">
        <v>176</v>
      </c>
      <c r="BK5396" s="55" t="s">
        <v>6502</v>
      </c>
      <c r="BN5396" s="55" t="s">
        <v>1805</v>
      </c>
      <c r="BO5396" s="55" t="s">
        <v>1805</v>
      </c>
      <c r="BP5396" s="55" t="s">
        <v>1682</v>
      </c>
      <c r="CM5396" s="65">
        <v>0.1</v>
      </c>
      <c r="CN5396" s="65">
        <v>0.18</v>
      </c>
      <c r="CQ5396" s="65" t="s">
        <v>164</v>
      </c>
      <c r="DB5396" s="65">
        <v>0.1</v>
      </c>
      <c r="DC5396" s="65">
        <v>0.16</v>
      </c>
      <c r="DF5396" s="65" t="s">
        <v>165</v>
      </c>
      <c r="DG5396" s="65">
        <v>3</v>
      </c>
      <c r="DH5396" s="65">
        <v>3.31</v>
      </c>
      <c r="DK5396" s="65" t="s">
        <v>6511</v>
      </c>
      <c r="DL5396" s="65">
        <v>50</v>
      </c>
      <c r="DM5396" s="65">
        <v>52.54</v>
      </c>
      <c r="DP5396" s="65" t="s">
        <v>6512</v>
      </c>
      <c r="GP5396" s="292" t="s">
        <v>7494</v>
      </c>
    </row>
    <row r="5397" spans="1:198" x14ac:dyDescent="0.25">
      <c r="A5397" s="55">
        <v>5396</v>
      </c>
      <c r="B5397" s="12" t="s">
        <v>7067</v>
      </c>
      <c r="C5397" s="155" t="s">
        <v>6433</v>
      </c>
      <c r="D5397" s="55" t="s">
        <v>6527</v>
      </c>
      <c r="E5397" s="90" t="s">
        <v>6495</v>
      </c>
      <c r="G5397" s="55" t="s">
        <v>6496</v>
      </c>
      <c r="H5397" s="55" t="s">
        <v>6390</v>
      </c>
      <c r="I5397" s="55" t="s">
        <v>5864</v>
      </c>
      <c r="J5397" s="55" t="s">
        <v>6470</v>
      </c>
      <c r="K5397" s="55" t="s">
        <v>6497</v>
      </c>
      <c r="L5397" s="55" t="s">
        <v>3377</v>
      </c>
      <c r="M5397" s="90">
        <f>38+48/60</f>
        <v>38.799999999999997</v>
      </c>
      <c r="N5397" s="90">
        <f>110+22/60</f>
        <v>110.36666666666666</v>
      </c>
      <c r="Q5397" s="55" t="s">
        <v>5573</v>
      </c>
      <c r="S5397" s="90" t="s">
        <v>6498</v>
      </c>
      <c r="U5397" s="55" t="s">
        <v>1805</v>
      </c>
      <c r="V5397" s="55" t="s">
        <v>1694</v>
      </c>
      <c r="Z5397" s="55" t="s">
        <v>6510</v>
      </c>
      <c r="AA5397" s="90">
        <v>10</v>
      </c>
      <c r="AH5397" s="55" t="s">
        <v>769</v>
      </c>
      <c r="AM5397" s="55" t="s">
        <v>6493</v>
      </c>
      <c r="AO5397" s="185" t="s">
        <v>5150</v>
      </c>
      <c r="AU5397" s="181" t="s">
        <v>7494</v>
      </c>
      <c r="AV5397" s="185" t="s">
        <v>176</v>
      </c>
      <c r="AX5397" s="185" t="s">
        <v>176</v>
      </c>
      <c r="BK5397" s="55" t="s">
        <v>6504</v>
      </c>
      <c r="BN5397" s="55" t="s">
        <v>1805</v>
      </c>
      <c r="BO5397" s="55" t="s">
        <v>1805</v>
      </c>
      <c r="BP5397" s="55" t="s">
        <v>1682</v>
      </c>
      <c r="CM5397" s="65">
        <v>0.1</v>
      </c>
      <c r="CN5397" s="65">
        <v>0.18</v>
      </c>
      <c r="CQ5397" s="65" t="s">
        <v>164</v>
      </c>
      <c r="DB5397" s="65">
        <v>0.1</v>
      </c>
      <c r="DC5397" s="65">
        <v>0.17</v>
      </c>
      <c r="DF5397" s="65" t="s">
        <v>165</v>
      </c>
      <c r="DG5397" s="65">
        <v>3</v>
      </c>
      <c r="DH5397" s="65">
        <v>1.9</v>
      </c>
      <c r="DK5397" s="65" t="s">
        <v>6511</v>
      </c>
      <c r="DL5397" s="65">
        <v>50</v>
      </c>
      <c r="DM5397" s="65">
        <v>74.58</v>
      </c>
      <c r="DP5397" s="65" t="s">
        <v>6512</v>
      </c>
      <c r="GP5397" s="292" t="s">
        <v>7494</v>
      </c>
    </row>
    <row r="5398" spans="1:198" x14ac:dyDescent="0.25">
      <c r="A5398" s="55">
        <v>5397</v>
      </c>
      <c r="B5398" s="12" t="s">
        <v>7067</v>
      </c>
      <c r="C5398" s="155" t="s">
        <v>6433</v>
      </c>
      <c r="D5398" s="55" t="s">
        <v>6523</v>
      </c>
      <c r="E5398" s="90" t="s">
        <v>6495</v>
      </c>
      <c r="G5398" s="55" t="s">
        <v>6496</v>
      </c>
      <c r="H5398" s="55" t="s">
        <v>6390</v>
      </c>
      <c r="I5398" s="55" t="s">
        <v>5532</v>
      </c>
      <c r="J5398" s="55" t="s">
        <v>6470</v>
      </c>
      <c r="K5398" s="55" t="s">
        <v>6497</v>
      </c>
      <c r="L5398" s="55" t="s">
        <v>3377</v>
      </c>
      <c r="M5398" s="90">
        <f>38+48/60</f>
        <v>38.799999999999997</v>
      </c>
      <c r="N5398" s="90">
        <f>110+22/60</f>
        <v>110.36666666666666</v>
      </c>
      <c r="Q5398" s="55" t="s">
        <v>5573</v>
      </c>
      <c r="S5398" s="90" t="s">
        <v>6498</v>
      </c>
      <c r="U5398" s="55" t="s">
        <v>1688</v>
      </c>
      <c r="V5398" s="55" t="s">
        <v>1694</v>
      </c>
      <c r="Z5398" s="55" t="s">
        <v>6510</v>
      </c>
      <c r="AA5398" s="90">
        <v>10</v>
      </c>
      <c r="AH5398" s="55" t="s">
        <v>769</v>
      </c>
      <c r="AM5398" s="55" t="s">
        <v>6493</v>
      </c>
      <c r="AO5398" s="185" t="s">
        <v>5150</v>
      </c>
      <c r="AU5398" s="181" t="s">
        <v>7494</v>
      </c>
      <c r="AV5398" s="185" t="s">
        <v>176</v>
      </c>
      <c r="AX5398" s="185" t="s">
        <v>176</v>
      </c>
      <c r="BK5398" s="55" t="s">
        <v>2082</v>
      </c>
      <c r="BN5398" s="55" t="s">
        <v>1805</v>
      </c>
      <c r="BO5398" s="55" t="s">
        <v>1805</v>
      </c>
      <c r="BP5398" s="55" t="s">
        <v>1682</v>
      </c>
      <c r="CM5398" s="65">
        <v>0.19</v>
      </c>
      <c r="CN5398" s="65">
        <v>0.28999999999999998</v>
      </c>
      <c r="CQ5398" s="65" t="s">
        <v>164</v>
      </c>
      <c r="DB5398" s="65">
        <v>0.11</v>
      </c>
      <c r="DC5398" s="65">
        <v>0.1</v>
      </c>
      <c r="DF5398" s="65" t="s">
        <v>165</v>
      </c>
      <c r="DG5398" s="65">
        <v>2.44</v>
      </c>
      <c r="DH5398" s="65">
        <v>2.04</v>
      </c>
      <c r="DK5398" s="65" t="s">
        <v>6511</v>
      </c>
      <c r="DL5398" s="65">
        <v>51</v>
      </c>
      <c r="DM5398" s="65">
        <v>43.33</v>
      </c>
      <c r="DP5398" s="65" t="s">
        <v>6512</v>
      </c>
      <c r="GP5398" s="292" t="s">
        <v>7494</v>
      </c>
    </row>
    <row r="5399" spans="1:198" x14ac:dyDescent="0.25">
      <c r="A5399" s="55">
        <v>5398</v>
      </c>
      <c r="B5399" s="12" t="s">
        <v>7067</v>
      </c>
      <c r="C5399" s="155" t="s">
        <v>6433</v>
      </c>
      <c r="D5399" s="55" t="s">
        <v>6524</v>
      </c>
      <c r="E5399" s="90" t="s">
        <v>6495</v>
      </c>
      <c r="G5399" s="55" t="s">
        <v>6496</v>
      </c>
      <c r="H5399" s="55" t="s">
        <v>6390</v>
      </c>
      <c r="I5399" s="55" t="s">
        <v>5532</v>
      </c>
      <c r="J5399" s="55" t="s">
        <v>6470</v>
      </c>
      <c r="K5399" s="55" t="s">
        <v>6497</v>
      </c>
      <c r="L5399" s="55" t="s">
        <v>3377</v>
      </c>
      <c r="M5399" s="90">
        <f>38+48/60</f>
        <v>38.799999999999997</v>
      </c>
      <c r="N5399" s="90">
        <f>110+22/60</f>
        <v>110.36666666666666</v>
      </c>
      <c r="Q5399" s="55" t="s">
        <v>5573</v>
      </c>
      <c r="S5399" s="90" t="s">
        <v>6498</v>
      </c>
      <c r="U5399" s="55" t="s">
        <v>1688</v>
      </c>
      <c r="V5399" s="55" t="s">
        <v>1694</v>
      </c>
      <c r="Z5399" s="55" t="s">
        <v>6510</v>
      </c>
      <c r="AA5399" s="90">
        <v>10</v>
      </c>
      <c r="AH5399" s="55" t="s">
        <v>769</v>
      </c>
      <c r="AM5399" s="55" t="s">
        <v>6493</v>
      </c>
      <c r="AO5399" s="185" t="s">
        <v>5150</v>
      </c>
      <c r="AU5399" s="181" t="s">
        <v>7494</v>
      </c>
      <c r="AV5399" s="185" t="s">
        <v>176</v>
      </c>
      <c r="AX5399" s="185" t="s">
        <v>176</v>
      </c>
      <c r="BK5399" s="55" t="s">
        <v>5981</v>
      </c>
      <c r="BN5399" s="55" t="s">
        <v>1805</v>
      </c>
      <c r="BO5399" s="55" t="s">
        <v>1805</v>
      </c>
      <c r="BP5399" s="55" t="s">
        <v>1682</v>
      </c>
      <c r="CM5399" s="65">
        <v>0.19</v>
      </c>
      <c r="CN5399" s="65">
        <v>0.24</v>
      </c>
      <c r="CQ5399" s="65" t="s">
        <v>164</v>
      </c>
      <c r="DB5399" s="65">
        <v>0.11</v>
      </c>
      <c r="DC5399" s="65">
        <v>0.13</v>
      </c>
      <c r="DF5399" s="65" t="s">
        <v>165</v>
      </c>
      <c r="DG5399" s="65">
        <v>2.44</v>
      </c>
      <c r="DH5399" s="65">
        <v>1.77</v>
      </c>
      <c r="DK5399" s="65" t="s">
        <v>6511</v>
      </c>
      <c r="DL5399" s="65">
        <v>51</v>
      </c>
      <c r="DM5399" s="65">
        <v>65.510000000000005</v>
      </c>
      <c r="DP5399" s="65" t="s">
        <v>6512</v>
      </c>
      <c r="GP5399" s="292" t="s">
        <v>7494</v>
      </c>
    </row>
    <row r="5400" spans="1:198" x14ac:dyDescent="0.25">
      <c r="A5400" s="55">
        <v>5399</v>
      </c>
      <c r="B5400" s="12" t="s">
        <v>7067</v>
      </c>
      <c r="C5400" s="155" t="s">
        <v>6433</v>
      </c>
      <c r="D5400" s="55" t="s">
        <v>6525</v>
      </c>
      <c r="E5400" s="90" t="s">
        <v>6495</v>
      </c>
      <c r="G5400" s="55" t="s">
        <v>6496</v>
      </c>
      <c r="H5400" s="55" t="s">
        <v>6390</v>
      </c>
      <c r="I5400" s="55" t="s">
        <v>5532</v>
      </c>
      <c r="J5400" s="55" t="s">
        <v>6470</v>
      </c>
      <c r="K5400" s="55" t="s">
        <v>6497</v>
      </c>
      <c r="L5400" s="55" t="s">
        <v>3377</v>
      </c>
      <c r="M5400" s="90">
        <f>38+48/60</f>
        <v>38.799999999999997</v>
      </c>
      <c r="N5400" s="90">
        <f>110+22/60</f>
        <v>110.36666666666666</v>
      </c>
      <c r="Q5400" s="55" t="s">
        <v>5573</v>
      </c>
      <c r="S5400" s="90" t="s">
        <v>6498</v>
      </c>
      <c r="U5400" s="55" t="s">
        <v>1688</v>
      </c>
      <c r="V5400" s="55" t="s">
        <v>1694</v>
      </c>
      <c r="Z5400" s="55" t="s">
        <v>6510</v>
      </c>
      <c r="AA5400" s="90">
        <v>10</v>
      </c>
      <c r="AH5400" s="55" t="s">
        <v>769</v>
      </c>
      <c r="AM5400" s="55" t="s">
        <v>6493</v>
      </c>
      <c r="AO5400" s="185" t="s">
        <v>5150</v>
      </c>
      <c r="AU5400" s="181" t="s">
        <v>7494</v>
      </c>
      <c r="AV5400" s="185" t="s">
        <v>176</v>
      </c>
      <c r="AX5400" s="185" t="s">
        <v>176</v>
      </c>
      <c r="BK5400" s="55" t="s">
        <v>6503</v>
      </c>
      <c r="BN5400" s="55" t="s">
        <v>1805</v>
      </c>
      <c r="BO5400" s="55" t="s">
        <v>1805</v>
      </c>
      <c r="BP5400" s="55" t="s">
        <v>1682</v>
      </c>
      <c r="CM5400" s="65">
        <v>0.19</v>
      </c>
      <c r="CN5400" s="65">
        <v>0.27</v>
      </c>
      <c r="CQ5400" s="65" t="s">
        <v>164</v>
      </c>
      <c r="DB5400" s="65">
        <v>0.11</v>
      </c>
      <c r="DC5400" s="65">
        <v>0.15</v>
      </c>
      <c r="DF5400" s="65" t="s">
        <v>165</v>
      </c>
      <c r="DG5400" s="65">
        <v>2.44</v>
      </c>
      <c r="DH5400" s="65">
        <v>1.87</v>
      </c>
      <c r="DK5400" s="65" t="s">
        <v>6511</v>
      </c>
      <c r="DL5400" s="65">
        <v>51</v>
      </c>
      <c r="DM5400" s="65">
        <v>36.58</v>
      </c>
      <c r="DP5400" s="65" t="s">
        <v>6512</v>
      </c>
      <c r="GP5400" s="292" t="s">
        <v>7494</v>
      </c>
    </row>
    <row r="5401" spans="1:198" x14ac:dyDescent="0.25">
      <c r="A5401" s="55">
        <v>5400</v>
      </c>
      <c r="B5401" s="12" t="s">
        <v>7067</v>
      </c>
      <c r="C5401" s="155" t="s">
        <v>6433</v>
      </c>
      <c r="D5401" s="55" t="s">
        <v>6526</v>
      </c>
      <c r="E5401" s="90" t="s">
        <v>6495</v>
      </c>
      <c r="G5401" s="55" t="s">
        <v>6496</v>
      </c>
      <c r="H5401" s="55" t="s">
        <v>6390</v>
      </c>
      <c r="I5401" s="55" t="s">
        <v>5532</v>
      </c>
      <c r="J5401" s="55" t="s">
        <v>6470</v>
      </c>
      <c r="K5401" s="55" t="s">
        <v>6497</v>
      </c>
      <c r="L5401" s="55" t="s">
        <v>3377</v>
      </c>
      <c r="M5401" s="90">
        <f>38+48/60</f>
        <v>38.799999999999997</v>
      </c>
      <c r="N5401" s="90">
        <f>110+22/60</f>
        <v>110.36666666666666</v>
      </c>
      <c r="Q5401" s="55" t="s">
        <v>5573</v>
      </c>
      <c r="S5401" s="90" t="s">
        <v>6498</v>
      </c>
      <c r="U5401" s="55" t="s">
        <v>1688</v>
      </c>
      <c r="V5401" s="55" t="s">
        <v>1694</v>
      </c>
      <c r="Z5401" s="55" t="s">
        <v>6510</v>
      </c>
      <c r="AA5401" s="90">
        <v>10</v>
      </c>
      <c r="AH5401" s="55" t="s">
        <v>769</v>
      </c>
      <c r="AM5401" s="55" t="s">
        <v>6493</v>
      </c>
      <c r="AO5401" s="185" t="s">
        <v>5150</v>
      </c>
      <c r="AU5401" s="181" t="s">
        <v>7494</v>
      </c>
      <c r="AV5401" s="185" t="s">
        <v>176</v>
      </c>
      <c r="AX5401" s="185" t="s">
        <v>176</v>
      </c>
      <c r="BK5401" s="55" t="s">
        <v>6502</v>
      </c>
      <c r="BN5401" s="55" t="s">
        <v>1805</v>
      </c>
      <c r="BO5401" s="55" t="s">
        <v>1805</v>
      </c>
      <c r="BP5401" s="55" t="s">
        <v>1682</v>
      </c>
      <c r="CM5401" s="65">
        <v>0.19</v>
      </c>
      <c r="CN5401" s="65">
        <v>0.28000000000000003</v>
      </c>
      <c r="CQ5401" s="65" t="s">
        <v>164</v>
      </c>
      <c r="DB5401" s="65">
        <v>0.11</v>
      </c>
      <c r="DC5401" s="65">
        <v>0.16</v>
      </c>
      <c r="DF5401" s="65" t="s">
        <v>165</v>
      </c>
      <c r="DG5401" s="65">
        <v>2.44</v>
      </c>
      <c r="DH5401" s="65">
        <v>2.27</v>
      </c>
      <c r="DK5401" s="65" t="s">
        <v>6511</v>
      </c>
      <c r="DL5401" s="65">
        <v>51</v>
      </c>
      <c r="DM5401" s="65">
        <v>41.77</v>
      </c>
      <c r="DP5401" s="65" t="s">
        <v>6512</v>
      </c>
      <c r="GP5401" s="292" t="s">
        <v>7494</v>
      </c>
    </row>
    <row r="5402" spans="1:198" x14ac:dyDescent="0.25">
      <c r="A5402" s="55">
        <v>5401</v>
      </c>
      <c r="B5402" s="12" t="s">
        <v>7067</v>
      </c>
      <c r="C5402" s="155" t="s">
        <v>6433</v>
      </c>
      <c r="D5402" s="55" t="s">
        <v>6527</v>
      </c>
      <c r="E5402" s="90" t="s">
        <v>6495</v>
      </c>
      <c r="G5402" s="55" t="s">
        <v>6496</v>
      </c>
      <c r="H5402" s="55" t="s">
        <v>6390</v>
      </c>
      <c r="I5402" s="55" t="s">
        <v>5532</v>
      </c>
      <c r="J5402" s="55" t="s">
        <v>6470</v>
      </c>
      <c r="K5402" s="55" t="s">
        <v>6497</v>
      </c>
      <c r="L5402" s="55" t="s">
        <v>3377</v>
      </c>
      <c r="M5402" s="90">
        <f>38+48/60</f>
        <v>38.799999999999997</v>
      </c>
      <c r="N5402" s="90">
        <f>110+22/60</f>
        <v>110.36666666666666</v>
      </c>
      <c r="Q5402" s="55" t="s">
        <v>5573</v>
      </c>
      <c r="S5402" s="90" t="s">
        <v>6498</v>
      </c>
      <c r="U5402" s="55" t="s">
        <v>1688</v>
      </c>
      <c r="V5402" s="55" t="s">
        <v>1694</v>
      </c>
      <c r="Z5402" s="55" t="s">
        <v>6510</v>
      </c>
      <c r="AA5402" s="90">
        <v>10</v>
      </c>
      <c r="AH5402" s="55" t="s">
        <v>769</v>
      </c>
      <c r="AM5402" s="55" t="s">
        <v>6493</v>
      </c>
      <c r="AO5402" s="185" t="s">
        <v>5150</v>
      </c>
      <c r="AU5402" s="181" t="s">
        <v>7494</v>
      </c>
      <c r="AV5402" s="185" t="s">
        <v>176</v>
      </c>
      <c r="AX5402" s="185" t="s">
        <v>176</v>
      </c>
      <c r="BK5402" s="55" t="s">
        <v>6504</v>
      </c>
      <c r="BN5402" s="55" t="s">
        <v>1805</v>
      </c>
      <c r="BO5402" s="55" t="s">
        <v>1805</v>
      </c>
      <c r="BP5402" s="55" t="s">
        <v>1682</v>
      </c>
      <c r="CM5402" s="65">
        <v>0.19</v>
      </c>
      <c r="CN5402" s="65">
        <v>0.19</v>
      </c>
      <c r="CQ5402" s="65" t="s">
        <v>164</v>
      </c>
      <c r="DB5402" s="65">
        <v>0.11</v>
      </c>
      <c r="DC5402" s="65">
        <v>0.19</v>
      </c>
      <c r="DF5402" s="65" t="s">
        <v>165</v>
      </c>
      <c r="DG5402" s="65">
        <v>2.44</v>
      </c>
      <c r="DH5402" s="65">
        <v>1.85</v>
      </c>
      <c r="DK5402" s="65" t="s">
        <v>6511</v>
      </c>
      <c r="DL5402" s="65">
        <v>51</v>
      </c>
      <c r="DM5402" s="65">
        <v>70.05</v>
      </c>
      <c r="DP5402" s="65" t="s">
        <v>6512</v>
      </c>
      <c r="GP5402" s="292" t="s">
        <v>7494</v>
      </c>
    </row>
    <row r="5403" spans="1:198" x14ac:dyDescent="0.25">
      <c r="A5403" s="55">
        <v>5402</v>
      </c>
      <c r="B5403" s="12" t="s">
        <v>7067</v>
      </c>
      <c r="C5403" s="155" t="s">
        <v>6433</v>
      </c>
      <c r="D5403" s="55" t="s">
        <v>6523</v>
      </c>
      <c r="E5403" s="90" t="s">
        <v>6495</v>
      </c>
      <c r="G5403" s="55" t="s">
        <v>6496</v>
      </c>
      <c r="H5403" s="55" t="s">
        <v>6390</v>
      </c>
      <c r="I5403" s="55" t="s">
        <v>6434</v>
      </c>
      <c r="J5403" s="55" t="s">
        <v>6470</v>
      </c>
      <c r="K5403" s="55" t="s">
        <v>6497</v>
      </c>
      <c r="L5403" s="55" t="s">
        <v>3377</v>
      </c>
      <c r="M5403" s="90">
        <f>38+48/60</f>
        <v>38.799999999999997</v>
      </c>
      <c r="N5403" s="90">
        <f>110+22/60</f>
        <v>110.36666666666666</v>
      </c>
      <c r="Q5403" s="55" t="s">
        <v>5573</v>
      </c>
      <c r="S5403" s="90" t="s">
        <v>6498</v>
      </c>
      <c r="U5403" s="55" t="s">
        <v>1816</v>
      </c>
      <c r="V5403" s="55" t="s">
        <v>1694</v>
      </c>
      <c r="Z5403" s="55" t="s">
        <v>6510</v>
      </c>
      <c r="AA5403" s="90">
        <v>10</v>
      </c>
      <c r="AH5403" s="55" t="s">
        <v>769</v>
      </c>
      <c r="AM5403" s="55" t="s">
        <v>6493</v>
      </c>
      <c r="AO5403" s="185" t="s">
        <v>5150</v>
      </c>
      <c r="AU5403" s="181" t="s">
        <v>7494</v>
      </c>
      <c r="AV5403" s="185" t="s">
        <v>176</v>
      </c>
      <c r="AX5403" s="185" t="s">
        <v>176</v>
      </c>
      <c r="BK5403" s="55" t="s">
        <v>2082</v>
      </c>
      <c r="BN5403" s="55" t="s">
        <v>1805</v>
      </c>
      <c r="BO5403" s="55" t="s">
        <v>1805</v>
      </c>
      <c r="BP5403" s="55" t="s">
        <v>1682</v>
      </c>
      <c r="CM5403" s="65">
        <v>0.19</v>
      </c>
      <c r="CN5403" s="65">
        <v>0.24</v>
      </c>
      <c r="CQ5403" s="65" t="s">
        <v>164</v>
      </c>
      <c r="DB5403" s="65">
        <v>0.11</v>
      </c>
      <c r="DC5403" s="65">
        <v>0.14000000000000001</v>
      </c>
      <c r="DF5403" s="65" t="s">
        <v>165</v>
      </c>
      <c r="DG5403" s="65">
        <v>1.85</v>
      </c>
      <c r="DH5403" s="65">
        <v>1.73</v>
      </c>
      <c r="DK5403" s="65" t="s">
        <v>6511</v>
      </c>
      <c r="DL5403" s="65">
        <v>49</v>
      </c>
      <c r="DM5403" s="65">
        <v>39.56</v>
      </c>
      <c r="DP5403" s="65" t="s">
        <v>6512</v>
      </c>
      <c r="GP5403" s="292" t="s">
        <v>7494</v>
      </c>
    </row>
    <row r="5404" spans="1:198" x14ac:dyDescent="0.25">
      <c r="A5404" s="55">
        <v>5403</v>
      </c>
      <c r="B5404" s="12" t="s">
        <v>7067</v>
      </c>
      <c r="C5404" s="155" t="s">
        <v>6433</v>
      </c>
      <c r="D5404" s="55" t="s">
        <v>6524</v>
      </c>
      <c r="E5404" s="90" t="s">
        <v>6495</v>
      </c>
      <c r="G5404" s="55" t="s">
        <v>6496</v>
      </c>
      <c r="H5404" s="55" t="s">
        <v>6390</v>
      </c>
      <c r="I5404" s="55" t="s">
        <v>6434</v>
      </c>
      <c r="J5404" s="55" t="s">
        <v>6470</v>
      </c>
      <c r="K5404" s="55" t="s">
        <v>6497</v>
      </c>
      <c r="L5404" s="55" t="s">
        <v>3377</v>
      </c>
      <c r="M5404" s="90">
        <f>38+48/60</f>
        <v>38.799999999999997</v>
      </c>
      <c r="N5404" s="90">
        <f>110+22/60</f>
        <v>110.36666666666666</v>
      </c>
      <c r="Q5404" s="55" t="s">
        <v>5573</v>
      </c>
      <c r="S5404" s="90" t="s">
        <v>6498</v>
      </c>
      <c r="U5404" s="55" t="s">
        <v>1816</v>
      </c>
      <c r="V5404" s="55" t="s">
        <v>1694</v>
      </c>
      <c r="Z5404" s="55" t="s">
        <v>6510</v>
      </c>
      <c r="AA5404" s="90">
        <v>10</v>
      </c>
      <c r="AH5404" s="55" t="s">
        <v>769</v>
      </c>
      <c r="AM5404" s="55" t="s">
        <v>6493</v>
      </c>
      <c r="AO5404" s="185" t="s">
        <v>5150</v>
      </c>
      <c r="AU5404" s="181" t="s">
        <v>7494</v>
      </c>
      <c r="AV5404" s="185" t="s">
        <v>176</v>
      </c>
      <c r="AX5404" s="185" t="s">
        <v>176</v>
      </c>
      <c r="BK5404" s="55" t="s">
        <v>5981</v>
      </c>
      <c r="BN5404" s="55" t="s">
        <v>1805</v>
      </c>
      <c r="BO5404" s="55" t="s">
        <v>1805</v>
      </c>
      <c r="BP5404" s="55" t="s">
        <v>1682</v>
      </c>
      <c r="CM5404" s="65">
        <v>0.19</v>
      </c>
      <c r="CN5404" s="65">
        <v>0.28000000000000003</v>
      </c>
      <c r="CQ5404" s="65" t="s">
        <v>164</v>
      </c>
      <c r="DB5404" s="65">
        <v>0.11</v>
      </c>
      <c r="DC5404" s="65">
        <v>0.14000000000000001</v>
      </c>
      <c r="DF5404" s="65" t="s">
        <v>165</v>
      </c>
      <c r="DG5404" s="65">
        <v>1.85</v>
      </c>
      <c r="DH5404" s="65">
        <v>1.54</v>
      </c>
      <c r="DK5404" s="65" t="s">
        <v>6511</v>
      </c>
      <c r="DL5404" s="65">
        <v>49</v>
      </c>
      <c r="DM5404" s="65">
        <v>65.239999999999995</v>
      </c>
      <c r="DP5404" s="65" t="s">
        <v>6512</v>
      </c>
      <c r="GP5404" s="292" t="s">
        <v>7494</v>
      </c>
    </row>
    <row r="5405" spans="1:198" x14ac:dyDescent="0.25">
      <c r="A5405" s="55">
        <v>5404</v>
      </c>
      <c r="B5405" s="12" t="s">
        <v>7067</v>
      </c>
      <c r="C5405" s="155" t="s">
        <v>6433</v>
      </c>
      <c r="D5405" s="55" t="s">
        <v>6525</v>
      </c>
      <c r="E5405" s="90" t="s">
        <v>6495</v>
      </c>
      <c r="G5405" s="55" t="s">
        <v>6496</v>
      </c>
      <c r="H5405" s="55" t="s">
        <v>6390</v>
      </c>
      <c r="I5405" s="55" t="s">
        <v>6434</v>
      </c>
      <c r="J5405" s="55" t="s">
        <v>6470</v>
      </c>
      <c r="K5405" s="55" t="s">
        <v>6497</v>
      </c>
      <c r="L5405" s="55" t="s">
        <v>3377</v>
      </c>
      <c r="M5405" s="90">
        <f>38+48/60</f>
        <v>38.799999999999997</v>
      </c>
      <c r="N5405" s="90">
        <f>110+22/60</f>
        <v>110.36666666666666</v>
      </c>
      <c r="Q5405" s="55" t="s">
        <v>5573</v>
      </c>
      <c r="S5405" s="90" t="s">
        <v>6498</v>
      </c>
      <c r="U5405" s="55" t="s">
        <v>1816</v>
      </c>
      <c r="V5405" s="55" t="s">
        <v>1694</v>
      </c>
      <c r="Z5405" s="55" t="s">
        <v>6510</v>
      </c>
      <c r="AA5405" s="90">
        <v>10</v>
      </c>
      <c r="AH5405" s="55" t="s">
        <v>769</v>
      </c>
      <c r="AM5405" s="55" t="s">
        <v>6493</v>
      </c>
      <c r="AO5405" s="185" t="s">
        <v>5150</v>
      </c>
      <c r="AU5405" s="181" t="s">
        <v>7494</v>
      </c>
      <c r="AV5405" s="185" t="s">
        <v>176</v>
      </c>
      <c r="AX5405" s="185" t="s">
        <v>176</v>
      </c>
      <c r="BK5405" s="55" t="s">
        <v>6503</v>
      </c>
      <c r="BN5405" s="55" t="s">
        <v>1805</v>
      </c>
      <c r="BO5405" s="55" t="s">
        <v>1805</v>
      </c>
      <c r="BP5405" s="55" t="s">
        <v>1682</v>
      </c>
      <c r="CM5405" s="65">
        <v>0.19</v>
      </c>
      <c r="CN5405" s="65">
        <v>0.25</v>
      </c>
      <c r="CQ5405" s="65" t="s">
        <v>164</v>
      </c>
      <c r="DB5405" s="65">
        <v>0.11</v>
      </c>
      <c r="DC5405" s="65">
        <v>0.13</v>
      </c>
      <c r="DF5405" s="65" t="s">
        <v>165</v>
      </c>
      <c r="DG5405" s="65">
        <v>1.85</v>
      </c>
      <c r="DH5405" s="65">
        <v>1.97</v>
      </c>
      <c r="DK5405" s="65" t="s">
        <v>6511</v>
      </c>
      <c r="DL5405" s="65">
        <v>49</v>
      </c>
      <c r="DM5405" s="65">
        <v>36.32</v>
      </c>
      <c r="DP5405" s="65" t="s">
        <v>6512</v>
      </c>
      <c r="GP5405" s="292" t="s">
        <v>7494</v>
      </c>
    </row>
    <row r="5406" spans="1:198" x14ac:dyDescent="0.25">
      <c r="A5406" s="55">
        <v>5405</v>
      </c>
      <c r="B5406" s="12" t="s">
        <v>7067</v>
      </c>
      <c r="C5406" s="155" t="s">
        <v>6433</v>
      </c>
      <c r="D5406" s="55" t="s">
        <v>6526</v>
      </c>
      <c r="E5406" s="90" t="s">
        <v>6495</v>
      </c>
      <c r="G5406" s="55" t="s">
        <v>6496</v>
      </c>
      <c r="H5406" s="55" t="s">
        <v>6390</v>
      </c>
      <c r="I5406" s="55" t="s">
        <v>6434</v>
      </c>
      <c r="J5406" s="55" t="s">
        <v>6470</v>
      </c>
      <c r="K5406" s="55" t="s">
        <v>6497</v>
      </c>
      <c r="L5406" s="55" t="s">
        <v>3377</v>
      </c>
      <c r="M5406" s="90">
        <f>38+48/60</f>
        <v>38.799999999999997</v>
      </c>
      <c r="N5406" s="90">
        <f>110+22/60</f>
        <v>110.36666666666666</v>
      </c>
      <c r="Q5406" s="55" t="s">
        <v>5573</v>
      </c>
      <c r="S5406" s="90" t="s">
        <v>6498</v>
      </c>
      <c r="U5406" s="55" t="s">
        <v>1816</v>
      </c>
      <c r="V5406" s="55" t="s">
        <v>1694</v>
      </c>
      <c r="Z5406" s="55" t="s">
        <v>6510</v>
      </c>
      <c r="AA5406" s="90">
        <v>10</v>
      </c>
      <c r="AH5406" s="55" t="s">
        <v>769</v>
      </c>
      <c r="AM5406" s="55" t="s">
        <v>6493</v>
      </c>
      <c r="AO5406" s="185" t="s">
        <v>5150</v>
      </c>
      <c r="AU5406" s="181" t="s">
        <v>7494</v>
      </c>
      <c r="AV5406" s="185" t="s">
        <v>176</v>
      </c>
      <c r="AX5406" s="185" t="s">
        <v>176</v>
      </c>
      <c r="BK5406" s="55" t="s">
        <v>6502</v>
      </c>
      <c r="BN5406" s="55" t="s">
        <v>1805</v>
      </c>
      <c r="BO5406" s="55" t="s">
        <v>1805</v>
      </c>
      <c r="BP5406" s="55" t="s">
        <v>1682</v>
      </c>
      <c r="CM5406" s="65">
        <v>0.19</v>
      </c>
      <c r="CN5406" s="65">
        <v>0.28999999999999998</v>
      </c>
      <c r="CQ5406" s="65" t="s">
        <v>164</v>
      </c>
      <c r="DB5406" s="65">
        <v>0.11</v>
      </c>
      <c r="DC5406" s="65">
        <v>0.19</v>
      </c>
      <c r="DF5406" s="65" t="s">
        <v>165</v>
      </c>
      <c r="DG5406" s="65">
        <v>1.85</v>
      </c>
      <c r="DH5406" s="65">
        <v>2.1</v>
      </c>
      <c r="DK5406" s="65" t="s">
        <v>6511</v>
      </c>
      <c r="DL5406" s="65">
        <v>49</v>
      </c>
      <c r="DM5406" s="65">
        <v>42.28</v>
      </c>
      <c r="DP5406" s="65" t="s">
        <v>6512</v>
      </c>
      <c r="GP5406" s="292" t="s">
        <v>7494</v>
      </c>
    </row>
    <row r="5407" spans="1:198" x14ac:dyDescent="0.25">
      <c r="A5407" s="55">
        <v>5406</v>
      </c>
      <c r="B5407" s="12" t="s">
        <v>7067</v>
      </c>
      <c r="C5407" s="155" t="s">
        <v>6433</v>
      </c>
      <c r="D5407" s="55" t="s">
        <v>6527</v>
      </c>
      <c r="E5407" s="90" t="s">
        <v>6495</v>
      </c>
      <c r="G5407" s="55" t="s">
        <v>6496</v>
      </c>
      <c r="H5407" s="55" t="s">
        <v>6390</v>
      </c>
      <c r="I5407" s="55" t="s">
        <v>6434</v>
      </c>
      <c r="J5407" s="55" t="s">
        <v>6470</v>
      </c>
      <c r="K5407" s="55" t="s">
        <v>6497</v>
      </c>
      <c r="L5407" s="55" t="s">
        <v>3377</v>
      </c>
      <c r="M5407" s="90">
        <f>38+48/60</f>
        <v>38.799999999999997</v>
      </c>
      <c r="N5407" s="90">
        <f>110+22/60</f>
        <v>110.36666666666666</v>
      </c>
      <c r="Q5407" s="55" t="s">
        <v>5573</v>
      </c>
      <c r="S5407" s="90" t="s">
        <v>6498</v>
      </c>
      <c r="U5407" s="55" t="s">
        <v>1816</v>
      </c>
      <c r="V5407" s="55" t="s">
        <v>1694</v>
      </c>
      <c r="Z5407" s="55" t="s">
        <v>6510</v>
      </c>
      <c r="AA5407" s="90">
        <v>10</v>
      </c>
      <c r="AH5407" s="55" t="s">
        <v>769</v>
      </c>
      <c r="AM5407" s="55" t="s">
        <v>6493</v>
      </c>
      <c r="AO5407" s="185" t="s">
        <v>5150</v>
      </c>
      <c r="AU5407" s="181" t="s">
        <v>7494</v>
      </c>
      <c r="AV5407" s="185" t="s">
        <v>176</v>
      </c>
      <c r="AX5407" s="185" t="s">
        <v>176</v>
      </c>
      <c r="BK5407" s="55" t="s">
        <v>6504</v>
      </c>
      <c r="BN5407" s="55" t="s">
        <v>1805</v>
      </c>
      <c r="BO5407" s="55" t="s">
        <v>1805</v>
      </c>
      <c r="BP5407" s="55" t="s">
        <v>1682</v>
      </c>
      <c r="CM5407" s="65">
        <v>0.19</v>
      </c>
      <c r="CN5407" s="65">
        <v>0.19</v>
      </c>
      <c r="CQ5407" s="65" t="s">
        <v>164</v>
      </c>
      <c r="DB5407" s="65">
        <v>0.11</v>
      </c>
      <c r="DC5407" s="65">
        <v>0.16</v>
      </c>
      <c r="DF5407" s="65" t="s">
        <v>165</v>
      </c>
      <c r="DG5407" s="65">
        <v>1.85</v>
      </c>
      <c r="DH5407" s="65">
        <v>1.65</v>
      </c>
      <c r="DK5407" s="65" t="s">
        <v>6511</v>
      </c>
      <c r="DL5407" s="65">
        <v>49</v>
      </c>
      <c r="DM5407" s="65">
        <v>70.3</v>
      </c>
      <c r="DP5407" s="65" t="s">
        <v>6512</v>
      </c>
      <c r="GP5407" s="292" t="s">
        <v>7494</v>
      </c>
    </row>
    <row r="5408" spans="1:198" x14ac:dyDescent="0.25">
      <c r="A5408" s="55">
        <v>5407</v>
      </c>
      <c r="B5408" s="12" t="s">
        <v>7067</v>
      </c>
      <c r="C5408" s="155" t="s">
        <v>6433</v>
      </c>
      <c r="D5408" s="55" t="s">
        <v>6523</v>
      </c>
      <c r="E5408" s="90" t="s">
        <v>6495</v>
      </c>
      <c r="G5408" s="55" t="s">
        <v>6496</v>
      </c>
      <c r="H5408" s="55" t="s">
        <v>6390</v>
      </c>
      <c r="I5408" s="55" t="s">
        <v>6505</v>
      </c>
      <c r="J5408" s="55" t="s">
        <v>6470</v>
      </c>
      <c r="K5408" s="55" t="s">
        <v>6497</v>
      </c>
      <c r="L5408" s="55" t="s">
        <v>3377</v>
      </c>
      <c r="M5408" s="90">
        <f>38+48/60</f>
        <v>38.799999999999997</v>
      </c>
      <c r="N5408" s="90">
        <f>110+22/60</f>
        <v>110.36666666666666</v>
      </c>
      <c r="Q5408" s="55" t="s">
        <v>5573</v>
      </c>
      <c r="S5408" s="90" t="s">
        <v>6498</v>
      </c>
      <c r="U5408" s="55" t="s">
        <v>1682</v>
      </c>
      <c r="V5408" s="55" t="s">
        <v>1694</v>
      </c>
      <c r="Z5408" s="55" t="s">
        <v>6510</v>
      </c>
      <c r="AA5408" s="90">
        <v>10</v>
      </c>
      <c r="AH5408" s="55" t="s">
        <v>769</v>
      </c>
      <c r="AM5408" s="55" t="s">
        <v>6493</v>
      </c>
      <c r="AO5408" s="185" t="s">
        <v>5150</v>
      </c>
      <c r="AU5408" s="181" t="s">
        <v>7494</v>
      </c>
      <c r="AV5408" s="185" t="s">
        <v>176</v>
      </c>
      <c r="AX5408" s="185" t="s">
        <v>176</v>
      </c>
      <c r="BK5408" s="55" t="s">
        <v>2082</v>
      </c>
      <c r="BN5408" s="55" t="s">
        <v>1805</v>
      </c>
      <c r="BO5408" s="55" t="s">
        <v>1805</v>
      </c>
      <c r="BP5408" s="55" t="s">
        <v>1682</v>
      </c>
      <c r="CM5408" s="65">
        <v>0.17</v>
      </c>
      <c r="CN5408" s="65">
        <v>0.21</v>
      </c>
      <c r="CQ5408" s="65" t="s">
        <v>164</v>
      </c>
      <c r="DB5408" s="65">
        <v>0.12</v>
      </c>
      <c r="DC5408" s="65">
        <v>0.16</v>
      </c>
      <c r="DF5408" s="65" t="s">
        <v>165</v>
      </c>
      <c r="DG5408" s="65">
        <v>2.1800000000000002</v>
      </c>
      <c r="DH5408" s="65">
        <v>1.81</v>
      </c>
      <c r="DK5408" s="65" t="s">
        <v>6511</v>
      </c>
      <c r="DL5408" s="65">
        <v>47</v>
      </c>
      <c r="DM5408" s="65">
        <v>44.87</v>
      </c>
      <c r="DP5408" s="65" t="s">
        <v>6512</v>
      </c>
      <c r="GP5408" s="292" t="s">
        <v>7494</v>
      </c>
    </row>
    <row r="5409" spans="1:198" x14ac:dyDescent="0.25">
      <c r="A5409" s="55">
        <v>5408</v>
      </c>
      <c r="B5409" s="12" t="s">
        <v>7067</v>
      </c>
      <c r="C5409" s="155" t="s">
        <v>6433</v>
      </c>
      <c r="D5409" s="55" t="s">
        <v>6524</v>
      </c>
      <c r="E5409" s="90" t="s">
        <v>6495</v>
      </c>
      <c r="G5409" s="55" t="s">
        <v>6496</v>
      </c>
      <c r="H5409" s="55" t="s">
        <v>6390</v>
      </c>
      <c r="I5409" s="55" t="s">
        <v>6505</v>
      </c>
      <c r="J5409" s="55" t="s">
        <v>6470</v>
      </c>
      <c r="K5409" s="55" t="s">
        <v>6497</v>
      </c>
      <c r="L5409" s="55" t="s">
        <v>3377</v>
      </c>
      <c r="M5409" s="90">
        <f>38+48/60</f>
        <v>38.799999999999997</v>
      </c>
      <c r="N5409" s="90">
        <f>110+22/60</f>
        <v>110.36666666666666</v>
      </c>
      <c r="Q5409" s="55" t="s">
        <v>5573</v>
      </c>
      <c r="S5409" s="90" t="s">
        <v>6498</v>
      </c>
      <c r="U5409" s="55" t="s">
        <v>1682</v>
      </c>
      <c r="V5409" s="55" t="s">
        <v>1694</v>
      </c>
      <c r="Z5409" s="55" t="s">
        <v>6510</v>
      </c>
      <c r="AA5409" s="90">
        <v>10</v>
      </c>
      <c r="AH5409" s="55" t="s">
        <v>769</v>
      </c>
      <c r="AM5409" s="55" t="s">
        <v>6493</v>
      </c>
      <c r="AO5409" s="185" t="s">
        <v>5150</v>
      </c>
      <c r="AU5409" s="181" t="s">
        <v>7494</v>
      </c>
      <c r="AV5409" s="185" t="s">
        <v>176</v>
      </c>
      <c r="AX5409" s="185" t="s">
        <v>176</v>
      </c>
      <c r="BK5409" s="55" t="s">
        <v>5981</v>
      </c>
      <c r="BN5409" s="55" t="s">
        <v>1805</v>
      </c>
      <c r="BO5409" s="55" t="s">
        <v>1805</v>
      </c>
      <c r="BP5409" s="55" t="s">
        <v>1682</v>
      </c>
      <c r="CM5409" s="65">
        <v>0.17</v>
      </c>
      <c r="CN5409" s="65">
        <v>0.23</v>
      </c>
      <c r="CQ5409" s="65" t="s">
        <v>164</v>
      </c>
      <c r="DB5409" s="65">
        <v>0.12</v>
      </c>
      <c r="DC5409" s="65">
        <v>0.18</v>
      </c>
      <c r="DF5409" s="65" t="s">
        <v>165</v>
      </c>
      <c r="DG5409" s="65">
        <v>2.1800000000000002</v>
      </c>
      <c r="DH5409" s="65">
        <v>2.39</v>
      </c>
      <c r="DK5409" s="65" t="s">
        <v>6511</v>
      </c>
      <c r="DL5409" s="65">
        <v>47</v>
      </c>
      <c r="DM5409" s="65">
        <v>64.97</v>
      </c>
      <c r="DP5409" s="65" t="s">
        <v>6512</v>
      </c>
      <c r="GP5409" s="292" t="s">
        <v>7494</v>
      </c>
    </row>
    <row r="5410" spans="1:198" x14ac:dyDescent="0.25">
      <c r="A5410" s="55">
        <v>5409</v>
      </c>
      <c r="B5410" s="12" t="s">
        <v>7067</v>
      </c>
      <c r="C5410" s="155" t="s">
        <v>6433</v>
      </c>
      <c r="D5410" s="55" t="s">
        <v>6525</v>
      </c>
      <c r="E5410" s="90" t="s">
        <v>6495</v>
      </c>
      <c r="G5410" s="55" t="s">
        <v>6496</v>
      </c>
      <c r="H5410" s="55" t="s">
        <v>6390</v>
      </c>
      <c r="I5410" s="55" t="s">
        <v>6505</v>
      </c>
      <c r="J5410" s="55" t="s">
        <v>6470</v>
      </c>
      <c r="K5410" s="55" t="s">
        <v>6497</v>
      </c>
      <c r="L5410" s="55" t="s">
        <v>3377</v>
      </c>
      <c r="M5410" s="90">
        <f>38+48/60</f>
        <v>38.799999999999997</v>
      </c>
      <c r="N5410" s="90">
        <f>110+22/60</f>
        <v>110.36666666666666</v>
      </c>
      <c r="Q5410" s="55" t="s">
        <v>5573</v>
      </c>
      <c r="S5410" s="90" t="s">
        <v>6498</v>
      </c>
      <c r="U5410" s="55" t="s">
        <v>1682</v>
      </c>
      <c r="V5410" s="55" t="s">
        <v>1694</v>
      </c>
      <c r="Z5410" s="55" t="s">
        <v>6510</v>
      </c>
      <c r="AA5410" s="90">
        <v>10</v>
      </c>
      <c r="AH5410" s="55" t="s">
        <v>769</v>
      </c>
      <c r="AM5410" s="55" t="s">
        <v>6493</v>
      </c>
      <c r="AO5410" s="185" t="s">
        <v>5150</v>
      </c>
      <c r="AU5410" s="181" t="s">
        <v>7494</v>
      </c>
      <c r="AV5410" s="185" t="s">
        <v>176</v>
      </c>
      <c r="AX5410" s="185" t="s">
        <v>176</v>
      </c>
      <c r="BK5410" s="55" t="s">
        <v>6503</v>
      </c>
      <c r="BN5410" s="55" t="s">
        <v>1805</v>
      </c>
      <c r="BO5410" s="55" t="s">
        <v>1805</v>
      </c>
      <c r="BP5410" s="55" t="s">
        <v>1682</v>
      </c>
      <c r="CM5410" s="65">
        <v>0.17</v>
      </c>
      <c r="CN5410" s="65">
        <v>0.22</v>
      </c>
      <c r="CQ5410" s="65" t="s">
        <v>164</v>
      </c>
      <c r="DB5410" s="65">
        <v>0.12</v>
      </c>
      <c r="DC5410" s="65">
        <v>0.14000000000000001</v>
      </c>
      <c r="DF5410" s="65" t="s">
        <v>165</v>
      </c>
      <c r="DG5410" s="65">
        <v>2.1800000000000002</v>
      </c>
      <c r="DH5410" s="65">
        <v>2.39</v>
      </c>
      <c r="DK5410" s="65" t="s">
        <v>6511</v>
      </c>
      <c r="DL5410" s="65">
        <v>47</v>
      </c>
      <c r="DM5410" s="65">
        <v>45.65</v>
      </c>
      <c r="DP5410" s="65" t="s">
        <v>6512</v>
      </c>
      <c r="GP5410" s="292" t="s">
        <v>7494</v>
      </c>
    </row>
    <row r="5411" spans="1:198" x14ac:dyDescent="0.25">
      <c r="A5411" s="55">
        <v>5410</v>
      </c>
      <c r="B5411" s="12" t="s">
        <v>7067</v>
      </c>
      <c r="C5411" s="155" t="s">
        <v>6433</v>
      </c>
      <c r="D5411" s="55" t="s">
        <v>6526</v>
      </c>
      <c r="E5411" s="90" t="s">
        <v>6495</v>
      </c>
      <c r="G5411" s="55" t="s">
        <v>6496</v>
      </c>
      <c r="H5411" s="55" t="s">
        <v>6390</v>
      </c>
      <c r="I5411" s="55" t="s">
        <v>6505</v>
      </c>
      <c r="J5411" s="55" t="s">
        <v>6470</v>
      </c>
      <c r="K5411" s="55" t="s">
        <v>6497</v>
      </c>
      <c r="L5411" s="55" t="s">
        <v>3377</v>
      </c>
      <c r="M5411" s="90">
        <f>38+48/60</f>
        <v>38.799999999999997</v>
      </c>
      <c r="N5411" s="90">
        <f>110+22/60</f>
        <v>110.36666666666666</v>
      </c>
      <c r="Q5411" s="55" t="s">
        <v>5573</v>
      </c>
      <c r="S5411" s="90" t="s">
        <v>6498</v>
      </c>
      <c r="U5411" s="55" t="s">
        <v>1682</v>
      </c>
      <c r="V5411" s="55" t="s">
        <v>1694</v>
      </c>
      <c r="Z5411" s="55" t="s">
        <v>6510</v>
      </c>
      <c r="AA5411" s="90">
        <v>10</v>
      </c>
      <c r="AH5411" s="55" t="s">
        <v>769</v>
      </c>
      <c r="AM5411" s="55" t="s">
        <v>6493</v>
      </c>
      <c r="AO5411" s="185" t="s">
        <v>5150</v>
      </c>
      <c r="AU5411" s="181" t="s">
        <v>7494</v>
      </c>
      <c r="AV5411" s="185" t="s">
        <v>176</v>
      </c>
      <c r="AX5411" s="185" t="s">
        <v>176</v>
      </c>
      <c r="BK5411" s="55" t="s">
        <v>6502</v>
      </c>
      <c r="BN5411" s="55" t="s">
        <v>1805</v>
      </c>
      <c r="BO5411" s="55" t="s">
        <v>1805</v>
      </c>
      <c r="BP5411" s="55" t="s">
        <v>1682</v>
      </c>
      <c r="CM5411" s="65">
        <v>0.17</v>
      </c>
      <c r="CN5411" s="65">
        <v>0.35</v>
      </c>
      <c r="CQ5411" s="65" t="s">
        <v>164</v>
      </c>
      <c r="DB5411" s="65">
        <v>0.12</v>
      </c>
      <c r="DC5411" s="65">
        <v>0.15</v>
      </c>
      <c r="DF5411" s="65" t="s">
        <v>165</v>
      </c>
      <c r="DG5411" s="65">
        <v>2.1800000000000002</v>
      </c>
      <c r="DH5411" s="65">
        <v>1.94</v>
      </c>
      <c r="DK5411" s="65" t="s">
        <v>6511</v>
      </c>
      <c r="DL5411" s="65">
        <v>47</v>
      </c>
      <c r="DM5411" s="65">
        <v>46.29</v>
      </c>
      <c r="DP5411" s="65" t="s">
        <v>6512</v>
      </c>
      <c r="GP5411" s="292" t="s">
        <v>7494</v>
      </c>
    </row>
    <row r="5412" spans="1:198" x14ac:dyDescent="0.25">
      <c r="A5412" s="55">
        <v>5411</v>
      </c>
      <c r="B5412" s="12" t="s">
        <v>7067</v>
      </c>
      <c r="C5412" s="155" t="s">
        <v>6433</v>
      </c>
      <c r="D5412" s="55" t="s">
        <v>6527</v>
      </c>
      <c r="E5412" s="90" t="s">
        <v>6495</v>
      </c>
      <c r="G5412" s="55" t="s">
        <v>6496</v>
      </c>
      <c r="H5412" s="55" t="s">
        <v>6390</v>
      </c>
      <c r="I5412" s="55" t="s">
        <v>6505</v>
      </c>
      <c r="J5412" s="55" t="s">
        <v>6470</v>
      </c>
      <c r="K5412" s="55" t="s">
        <v>6497</v>
      </c>
      <c r="L5412" s="55" t="s">
        <v>3377</v>
      </c>
      <c r="M5412" s="90">
        <f>38+48/60</f>
        <v>38.799999999999997</v>
      </c>
      <c r="N5412" s="90">
        <f>110+22/60</f>
        <v>110.36666666666666</v>
      </c>
      <c r="Q5412" s="55" t="s">
        <v>5573</v>
      </c>
      <c r="S5412" s="90" t="s">
        <v>6498</v>
      </c>
      <c r="U5412" s="55" t="s">
        <v>1682</v>
      </c>
      <c r="V5412" s="55" t="s">
        <v>1694</v>
      </c>
      <c r="Z5412" s="55" t="s">
        <v>6510</v>
      </c>
      <c r="AA5412" s="90">
        <v>10</v>
      </c>
      <c r="AH5412" s="55" t="s">
        <v>769</v>
      </c>
      <c r="AM5412" s="55" t="s">
        <v>6493</v>
      </c>
      <c r="AO5412" s="185" t="s">
        <v>5150</v>
      </c>
      <c r="AU5412" s="181" t="s">
        <v>7494</v>
      </c>
      <c r="AV5412" s="185" t="s">
        <v>176</v>
      </c>
      <c r="AX5412" s="185" t="s">
        <v>176</v>
      </c>
      <c r="BK5412" s="55" t="s">
        <v>6504</v>
      </c>
      <c r="BN5412" s="55" t="s">
        <v>1805</v>
      </c>
      <c r="BO5412" s="55" t="s">
        <v>1805</v>
      </c>
      <c r="BP5412" s="55" t="s">
        <v>1682</v>
      </c>
      <c r="CM5412" s="65">
        <v>0.17</v>
      </c>
      <c r="CN5412" s="65">
        <v>0.28000000000000003</v>
      </c>
      <c r="CQ5412" s="65" t="s">
        <v>164</v>
      </c>
      <c r="DB5412" s="65">
        <v>0.12</v>
      </c>
      <c r="DC5412" s="65">
        <v>0.18</v>
      </c>
      <c r="DF5412" s="65" t="s">
        <v>165</v>
      </c>
      <c r="DG5412" s="65">
        <v>2.1800000000000002</v>
      </c>
      <c r="DH5412" s="65">
        <v>1.66</v>
      </c>
      <c r="DK5412" s="65" t="s">
        <v>6511</v>
      </c>
      <c r="DL5412" s="65">
        <v>47</v>
      </c>
      <c r="DM5412" s="65">
        <v>67.95</v>
      </c>
      <c r="DP5412" s="65" t="s">
        <v>6512</v>
      </c>
      <c r="GP5412" s="292" t="s">
        <v>7494</v>
      </c>
    </row>
    <row r="5413" spans="1:198" x14ac:dyDescent="0.25">
      <c r="A5413" s="55">
        <v>5412</v>
      </c>
      <c r="B5413" s="12" t="s">
        <v>7067</v>
      </c>
      <c r="C5413" s="155" t="s">
        <v>6433</v>
      </c>
      <c r="D5413" s="55" t="s">
        <v>6523</v>
      </c>
      <c r="E5413" s="90" t="s">
        <v>6495</v>
      </c>
      <c r="G5413" s="55" t="s">
        <v>6496</v>
      </c>
      <c r="H5413" s="55" t="s">
        <v>6390</v>
      </c>
      <c r="I5413" s="55" t="s">
        <v>5888</v>
      </c>
      <c r="J5413" s="55" t="s">
        <v>6470</v>
      </c>
      <c r="K5413" s="55" t="s">
        <v>6497</v>
      </c>
      <c r="L5413" s="55" t="s">
        <v>3377</v>
      </c>
      <c r="M5413" s="90">
        <f>38+48/60</f>
        <v>38.799999999999997</v>
      </c>
      <c r="N5413" s="90">
        <f>110+22/60</f>
        <v>110.36666666666666</v>
      </c>
      <c r="Q5413" s="55" t="s">
        <v>5573</v>
      </c>
      <c r="S5413" s="90" t="s">
        <v>6498</v>
      </c>
      <c r="U5413" s="55" t="s">
        <v>1801</v>
      </c>
      <c r="V5413" s="55" t="s">
        <v>1694</v>
      </c>
      <c r="Z5413" s="55" t="s">
        <v>6510</v>
      </c>
      <c r="AA5413" s="90">
        <v>10</v>
      </c>
      <c r="AH5413" s="55" t="s">
        <v>769</v>
      </c>
      <c r="AM5413" s="55" t="s">
        <v>6493</v>
      </c>
      <c r="AO5413" s="185" t="s">
        <v>5150</v>
      </c>
      <c r="AU5413" s="181" t="s">
        <v>7494</v>
      </c>
      <c r="AV5413" s="185" t="s">
        <v>176</v>
      </c>
      <c r="AX5413" s="185" t="s">
        <v>176</v>
      </c>
      <c r="BK5413" s="55" t="s">
        <v>2082</v>
      </c>
      <c r="BN5413" s="55" t="s">
        <v>1805</v>
      </c>
      <c r="BO5413" s="55" t="s">
        <v>1805</v>
      </c>
      <c r="BP5413" s="55" t="s">
        <v>1682</v>
      </c>
      <c r="CM5413" s="65">
        <v>0.18</v>
      </c>
      <c r="CN5413" s="65">
        <v>0.3</v>
      </c>
      <c r="CQ5413" s="65" t="s">
        <v>164</v>
      </c>
      <c r="DB5413" s="65">
        <v>0.12</v>
      </c>
      <c r="DC5413" s="65">
        <v>0.14000000000000001</v>
      </c>
      <c r="DF5413" s="65" t="s">
        <v>165</v>
      </c>
      <c r="DG5413" s="65">
        <v>1.32</v>
      </c>
      <c r="DH5413" s="65">
        <v>2.2599999999999998</v>
      </c>
      <c r="DK5413" s="65" t="s">
        <v>6511</v>
      </c>
      <c r="DL5413" s="65">
        <v>45</v>
      </c>
      <c r="DM5413" s="65">
        <v>64.83</v>
      </c>
      <c r="DP5413" s="65" t="s">
        <v>6512</v>
      </c>
      <c r="GP5413" s="292" t="s">
        <v>7494</v>
      </c>
    </row>
    <row r="5414" spans="1:198" x14ac:dyDescent="0.25">
      <c r="A5414" s="55">
        <v>5413</v>
      </c>
      <c r="B5414" s="12" t="s">
        <v>7067</v>
      </c>
      <c r="C5414" s="155" t="s">
        <v>6433</v>
      </c>
      <c r="D5414" s="55" t="s">
        <v>6524</v>
      </c>
      <c r="E5414" s="90" t="s">
        <v>6495</v>
      </c>
      <c r="G5414" s="55" t="s">
        <v>6496</v>
      </c>
      <c r="H5414" s="55" t="s">
        <v>6390</v>
      </c>
      <c r="I5414" s="55" t="s">
        <v>5888</v>
      </c>
      <c r="J5414" s="55" t="s">
        <v>6470</v>
      </c>
      <c r="K5414" s="55" t="s">
        <v>6497</v>
      </c>
      <c r="L5414" s="55" t="s">
        <v>3377</v>
      </c>
      <c r="M5414" s="90">
        <f>38+48/60</f>
        <v>38.799999999999997</v>
      </c>
      <c r="N5414" s="90">
        <f>110+22/60</f>
        <v>110.36666666666666</v>
      </c>
      <c r="Q5414" s="55" t="s">
        <v>5573</v>
      </c>
      <c r="S5414" s="90" t="s">
        <v>6498</v>
      </c>
      <c r="U5414" s="55" t="s">
        <v>1801</v>
      </c>
      <c r="V5414" s="55" t="s">
        <v>1694</v>
      </c>
      <c r="Z5414" s="55" t="s">
        <v>6510</v>
      </c>
      <c r="AA5414" s="90">
        <v>10</v>
      </c>
      <c r="AH5414" s="55" t="s">
        <v>769</v>
      </c>
      <c r="AM5414" s="55" t="s">
        <v>6493</v>
      </c>
      <c r="AO5414" s="185" t="s">
        <v>5150</v>
      </c>
      <c r="AU5414" s="181" t="s">
        <v>7494</v>
      </c>
      <c r="AV5414" s="185" t="s">
        <v>176</v>
      </c>
      <c r="AX5414" s="185" t="s">
        <v>176</v>
      </c>
      <c r="BK5414" s="55" t="s">
        <v>5981</v>
      </c>
      <c r="BN5414" s="55" t="s">
        <v>1805</v>
      </c>
      <c r="BO5414" s="55" t="s">
        <v>1805</v>
      </c>
      <c r="BP5414" s="55" t="s">
        <v>1682</v>
      </c>
      <c r="CM5414" s="65">
        <v>0.18</v>
      </c>
      <c r="CN5414" s="65">
        <v>0.32</v>
      </c>
      <c r="CQ5414" s="65" t="s">
        <v>164</v>
      </c>
      <c r="DB5414" s="65">
        <v>0.12</v>
      </c>
      <c r="DC5414" s="65">
        <v>0.21</v>
      </c>
      <c r="DF5414" s="65" t="s">
        <v>165</v>
      </c>
      <c r="DG5414" s="65">
        <v>1.32</v>
      </c>
      <c r="DH5414" s="65">
        <v>1.7</v>
      </c>
      <c r="DK5414" s="65" t="s">
        <v>6511</v>
      </c>
      <c r="DL5414" s="65">
        <v>45</v>
      </c>
      <c r="DM5414" s="65">
        <v>66.91</v>
      </c>
      <c r="DP5414" s="65" t="s">
        <v>6512</v>
      </c>
      <c r="GP5414" s="292" t="s">
        <v>7494</v>
      </c>
    </row>
    <row r="5415" spans="1:198" x14ac:dyDescent="0.25">
      <c r="A5415" s="55">
        <v>5414</v>
      </c>
      <c r="B5415" s="12" t="s">
        <v>7067</v>
      </c>
      <c r="C5415" s="155" t="s">
        <v>6433</v>
      </c>
      <c r="D5415" s="55" t="s">
        <v>6525</v>
      </c>
      <c r="E5415" s="90" t="s">
        <v>6495</v>
      </c>
      <c r="G5415" s="55" t="s">
        <v>6496</v>
      </c>
      <c r="H5415" s="55" t="s">
        <v>6390</v>
      </c>
      <c r="I5415" s="55" t="s">
        <v>5888</v>
      </c>
      <c r="J5415" s="55" t="s">
        <v>6470</v>
      </c>
      <c r="K5415" s="55" t="s">
        <v>6497</v>
      </c>
      <c r="L5415" s="55" t="s">
        <v>3377</v>
      </c>
      <c r="M5415" s="90">
        <f>38+48/60</f>
        <v>38.799999999999997</v>
      </c>
      <c r="N5415" s="90">
        <f>110+22/60</f>
        <v>110.36666666666666</v>
      </c>
      <c r="Q5415" s="55" t="s">
        <v>5573</v>
      </c>
      <c r="S5415" s="90" t="s">
        <v>6498</v>
      </c>
      <c r="U5415" s="55" t="s">
        <v>1801</v>
      </c>
      <c r="V5415" s="55" t="s">
        <v>1694</v>
      </c>
      <c r="Z5415" s="55" t="s">
        <v>6510</v>
      </c>
      <c r="AA5415" s="90">
        <v>10</v>
      </c>
      <c r="AH5415" s="55" t="s">
        <v>769</v>
      </c>
      <c r="AM5415" s="55" t="s">
        <v>6493</v>
      </c>
      <c r="AO5415" s="185" t="s">
        <v>5150</v>
      </c>
      <c r="AU5415" s="181" t="s">
        <v>7494</v>
      </c>
      <c r="AV5415" s="185" t="s">
        <v>176</v>
      </c>
      <c r="AX5415" s="185" t="s">
        <v>176</v>
      </c>
      <c r="BK5415" s="55" t="s">
        <v>6503</v>
      </c>
      <c r="BN5415" s="55" t="s">
        <v>1805</v>
      </c>
      <c r="BO5415" s="55" t="s">
        <v>1805</v>
      </c>
      <c r="BP5415" s="55" t="s">
        <v>1682</v>
      </c>
      <c r="CM5415" s="65">
        <v>0.18</v>
      </c>
      <c r="CN5415" s="65">
        <v>0.25</v>
      </c>
      <c r="CQ5415" s="65" t="s">
        <v>164</v>
      </c>
      <c r="DB5415" s="65">
        <v>0.12</v>
      </c>
      <c r="DC5415" s="65">
        <v>0.19</v>
      </c>
      <c r="DF5415" s="65" t="s">
        <v>165</v>
      </c>
      <c r="DG5415" s="65">
        <v>1.32</v>
      </c>
      <c r="DH5415" s="65">
        <v>2</v>
      </c>
      <c r="DK5415" s="65" t="s">
        <v>6511</v>
      </c>
      <c r="DL5415" s="65">
        <v>45</v>
      </c>
      <c r="DM5415" s="65">
        <v>51.22</v>
      </c>
      <c r="DP5415" s="65" t="s">
        <v>6512</v>
      </c>
      <c r="GP5415" s="292" t="s">
        <v>7494</v>
      </c>
    </row>
    <row r="5416" spans="1:198" x14ac:dyDescent="0.25">
      <c r="A5416" s="55">
        <v>5415</v>
      </c>
      <c r="B5416" s="12" t="s">
        <v>7067</v>
      </c>
      <c r="C5416" s="155" t="s">
        <v>6433</v>
      </c>
      <c r="D5416" s="55" t="s">
        <v>6526</v>
      </c>
      <c r="E5416" s="90" t="s">
        <v>6495</v>
      </c>
      <c r="G5416" s="55" t="s">
        <v>6496</v>
      </c>
      <c r="H5416" s="55" t="s">
        <v>6390</v>
      </c>
      <c r="I5416" s="55" t="s">
        <v>5888</v>
      </c>
      <c r="J5416" s="55" t="s">
        <v>6470</v>
      </c>
      <c r="K5416" s="55" t="s">
        <v>6497</v>
      </c>
      <c r="L5416" s="55" t="s">
        <v>3377</v>
      </c>
      <c r="M5416" s="90">
        <f>38+48/60</f>
        <v>38.799999999999997</v>
      </c>
      <c r="N5416" s="90">
        <f>110+22/60</f>
        <v>110.36666666666666</v>
      </c>
      <c r="Q5416" s="55" t="s">
        <v>5573</v>
      </c>
      <c r="S5416" s="90" t="s">
        <v>6498</v>
      </c>
      <c r="U5416" s="55" t="s">
        <v>1801</v>
      </c>
      <c r="V5416" s="55" t="s">
        <v>1694</v>
      </c>
      <c r="Z5416" s="55" t="s">
        <v>6510</v>
      </c>
      <c r="AA5416" s="90">
        <v>10</v>
      </c>
      <c r="AH5416" s="55" t="s">
        <v>769</v>
      </c>
      <c r="AM5416" s="55" t="s">
        <v>6493</v>
      </c>
      <c r="AO5416" s="185" t="s">
        <v>5150</v>
      </c>
      <c r="AU5416" s="181" t="s">
        <v>7494</v>
      </c>
      <c r="AV5416" s="185" t="s">
        <v>176</v>
      </c>
      <c r="AX5416" s="185" t="s">
        <v>176</v>
      </c>
      <c r="BK5416" s="55" t="s">
        <v>6502</v>
      </c>
      <c r="BN5416" s="55" t="s">
        <v>1805</v>
      </c>
      <c r="BO5416" s="55" t="s">
        <v>1805</v>
      </c>
      <c r="BP5416" s="55" t="s">
        <v>1682</v>
      </c>
      <c r="CM5416" s="65">
        <v>0.18</v>
      </c>
      <c r="CN5416" s="65">
        <v>0.37</v>
      </c>
      <c r="CQ5416" s="65" t="s">
        <v>164</v>
      </c>
      <c r="DB5416" s="65">
        <v>0.12</v>
      </c>
      <c r="DC5416" s="65">
        <v>0.2</v>
      </c>
      <c r="DF5416" s="65" t="s">
        <v>165</v>
      </c>
      <c r="DG5416" s="65">
        <v>1.32</v>
      </c>
      <c r="DH5416" s="65">
        <v>1.62</v>
      </c>
      <c r="DK5416" s="65" t="s">
        <v>6511</v>
      </c>
      <c r="DL5416" s="65">
        <v>45</v>
      </c>
      <c r="DM5416" s="65">
        <v>58.87</v>
      </c>
      <c r="DP5416" s="65" t="s">
        <v>6512</v>
      </c>
      <c r="GP5416" s="292" t="s">
        <v>7494</v>
      </c>
    </row>
    <row r="5417" spans="1:198" x14ac:dyDescent="0.25">
      <c r="A5417" s="55">
        <v>5416</v>
      </c>
      <c r="B5417" s="12" t="s">
        <v>7067</v>
      </c>
      <c r="C5417" s="155" t="s">
        <v>6433</v>
      </c>
      <c r="D5417" s="55" t="s">
        <v>6527</v>
      </c>
      <c r="E5417" s="90" t="s">
        <v>6495</v>
      </c>
      <c r="G5417" s="55" t="s">
        <v>6496</v>
      </c>
      <c r="H5417" s="55" t="s">
        <v>6390</v>
      </c>
      <c r="I5417" s="55" t="s">
        <v>5888</v>
      </c>
      <c r="J5417" s="55" t="s">
        <v>6470</v>
      </c>
      <c r="K5417" s="55" t="s">
        <v>6497</v>
      </c>
      <c r="L5417" s="55" t="s">
        <v>3377</v>
      </c>
      <c r="M5417" s="90">
        <f>38+48/60</f>
        <v>38.799999999999997</v>
      </c>
      <c r="N5417" s="90">
        <f>110+22/60</f>
        <v>110.36666666666666</v>
      </c>
      <c r="Q5417" s="55" t="s">
        <v>5573</v>
      </c>
      <c r="S5417" s="90" t="s">
        <v>6498</v>
      </c>
      <c r="U5417" s="55" t="s">
        <v>1801</v>
      </c>
      <c r="V5417" s="55" t="s">
        <v>1694</v>
      </c>
      <c r="Z5417" s="55" t="s">
        <v>6510</v>
      </c>
      <c r="AA5417" s="90">
        <v>10</v>
      </c>
      <c r="AH5417" s="55" t="s">
        <v>769</v>
      </c>
      <c r="AM5417" s="55" t="s">
        <v>6493</v>
      </c>
      <c r="AO5417" s="185" t="s">
        <v>5150</v>
      </c>
      <c r="AU5417" s="181" t="s">
        <v>7494</v>
      </c>
      <c r="AV5417" s="185" t="s">
        <v>176</v>
      </c>
      <c r="AX5417" s="185" t="s">
        <v>176</v>
      </c>
      <c r="BK5417" s="55" t="s">
        <v>6504</v>
      </c>
      <c r="BN5417" s="55" t="s">
        <v>1805</v>
      </c>
      <c r="BO5417" s="55" t="s">
        <v>1805</v>
      </c>
      <c r="BP5417" s="55" t="s">
        <v>1682</v>
      </c>
      <c r="CM5417" s="65">
        <v>0.18</v>
      </c>
      <c r="CN5417" s="65">
        <v>0.37</v>
      </c>
      <c r="CQ5417" s="65" t="s">
        <v>164</v>
      </c>
      <c r="DB5417" s="65">
        <v>0.12</v>
      </c>
      <c r="DC5417" s="65">
        <v>0.21</v>
      </c>
      <c r="DF5417" s="65" t="s">
        <v>165</v>
      </c>
      <c r="DG5417" s="65">
        <v>1.32</v>
      </c>
      <c r="DH5417" s="65">
        <v>1.44</v>
      </c>
      <c r="DK5417" s="65" t="s">
        <v>6511</v>
      </c>
      <c r="DL5417" s="65">
        <v>45</v>
      </c>
      <c r="DM5417" s="65">
        <v>64.959999999999994</v>
      </c>
      <c r="DP5417" s="65" t="s">
        <v>6512</v>
      </c>
      <c r="GP5417" s="292" t="s">
        <v>7494</v>
      </c>
    </row>
    <row r="5418" spans="1:198" x14ac:dyDescent="0.25">
      <c r="A5418" s="55">
        <v>5417</v>
      </c>
      <c r="B5418" s="12" t="s">
        <v>7067</v>
      </c>
      <c r="C5418" s="155" t="s">
        <v>6433</v>
      </c>
      <c r="D5418" s="55" t="s">
        <v>6523</v>
      </c>
      <c r="E5418" s="90" t="s">
        <v>6495</v>
      </c>
      <c r="G5418" s="55" t="s">
        <v>6496</v>
      </c>
      <c r="H5418" s="55" t="s">
        <v>6390</v>
      </c>
      <c r="I5418" s="55" t="s">
        <v>4353</v>
      </c>
      <c r="J5418" s="55" t="s">
        <v>6470</v>
      </c>
      <c r="K5418" s="55" t="s">
        <v>6497</v>
      </c>
      <c r="L5418" s="55" t="s">
        <v>3377</v>
      </c>
      <c r="M5418" s="90">
        <f>38+48/60</f>
        <v>38.799999999999997</v>
      </c>
      <c r="N5418" s="90">
        <f>110+22/60</f>
        <v>110.36666666666666</v>
      </c>
      <c r="Q5418" s="55" t="s">
        <v>5573</v>
      </c>
      <c r="S5418" s="90" t="s">
        <v>6498</v>
      </c>
      <c r="U5418" s="55" t="s">
        <v>1694</v>
      </c>
      <c r="V5418" s="55" t="s">
        <v>1694</v>
      </c>
      <c r="Z5418" s="55" t="s">
        <v>6510</v>
      </c>
      <c r="AA5418" s="90">
        <v>10</v>
      </c>
      <c r="AH5418" s="55" t="s">
        <v>769</v>
      </c>
      <c r="AM5418" s="55" t="s">
        <v>6493</v>
      </c>
      <c r="AO5418" s="185" t="s">
        <v>5150</v>
      </c>
      <c r="AU5418" s="181" t="s">
        <v>7494</v>
      </c>
      <c r="AV5418" s="185" t="s">
        <v>176</v>
      </c>
      <c r="AX5418" s="185" t="s">
        <v>176</v>
      </c>
      <c r="BK5418" s="55" t="s">
        <v>2082</v>
      </c>
      <c r="BN5418" s="55" t="s">
        <v>1805</v>
      </c>
      <c r="BO5418" s="55" t="s">
        <v>1805</v>
      </c>
      <c r="BP5418" s="55" t="s">
        <v>1682</v>
      </c>
      <c r="CM5418" s="65">
        <v>0.16</v>
      </c>
      <c r="CN5418" s="65">
        <v>0.3</v>
      </c>
      <c r="CQ5418" s="65" t="s">
        <v>164</v>
      </c>
      <c r="DB5418" s="65">
        <v>0.13</v>
      </c>
      <c r="DC5418" s="65">
        <v>0.13</v>
      </c>
      <c r="DF5418" s="65" t="s">
        <v>165</v>
      </c>
      <c r="DG5418" s="65">
        <v>1.2</v>
      </c>
      <c r="DH5418" s="65">
        <v>2.15</v>
      </c>
      <c r="DK5418" s="65" t="s">
        <v>6511</v>
      </c>
      <c r="DL5418" s="65">
        <v>43</v>
      </c>
      <c r="DM5418" s="65">
        <v>63.92</v>
      </c>
      <c r="DP5418" s="65" t="s">
        <v>6512</v>
      </c>
      <c r="GP5418" s="292" t="s">
        <v>7494</v>
      </c>
    </row>
    <row r="5419" spans="1:198" x14ac:dyDescent="0.25">
      <c r="A5419" s="55">
        <v>5418</v>
      </c>
      <c r="B5419" s="12" t="s">
        <v>7067</v>
      </c>
      <c r="C5419" s="155" t="s">
        <v>6433</v>
      </c>
      <c r="D5419" s="55" t="s">
        <v>6524</v>
      </c>
      <c r="E5419" s="90" t="s">
        <v>6495</v>
      </c>
      <c r="G5419" s="55" t="s">
        <v>6496</v>
      </c>
      <c r="H5419" s="55" t="s">
        <v>6390</v>
      </c>
      <c r="I5419" s="55" t="s">
        <v>4353</v>
      </c>
      <c r="J5419" s="55" t="s">
        <v>6470</v>
      </c>
      <c r="K5419" s="55" t="s">
        <v>6497</v>
      </c>
      <c r="L5419" s="55" t="s">
        <v>3377</v>
      </c>
      <c r="M5419" s="90">
        <f>38+48/60</f>
        <v>38.799999999999997</v>
      </c>
      <c r="N5419" s="90">
        <f>110+22/60</f>
        <v>110.36666666666666</v>
      </c>
      <c r="Q5419" s="55" t="s">
        <v>5573</v>
      </c>
      <c r="S5419" s="90" t="s">
        <v>6498</v>
      </c>
      <c r="U5419" s="55" t="s">
        <v>1694</v>
      </c>
      <c r="V5419" s="55" t="s">
        <v>1694</v>
      </c>
      <c r="Z5419" s="55" t="s">
        <v>6510</v>
      </c>
      <c r="AA5419" s="90">
        <v>10</v>
      </c>
      <c r="AH5419" s="55" t="s">
        <v>769</v>
      </c>
      <c r="AM5419" s="55" t="s">
        <v>6493</v>
      </c>
      <c r="AO5419" s="185" t="s">
        <v>5150</v>
      </c>
      <c r="AU5419" s="181" t="s">
        <v>7494</v>
      </c>
      <c r="AV5419" s="185" t="s">
        <v>176</v>
      </c>
      <c r="AX5419" s="185" t="s">
        <v>176</v>
      </c>
      <c r="BK5419" s="55" t="s">
        <v>5981</v>
      </c>
      <c r="BN5419" s="55" t="s">
        <v>1805</v>
      </c>
      <c r="BO5419" s="55" t="s">
        <v>1805</v>
      </c>
      <c r="BP5419" s="55" t="s">
        <v>1682</v>
      </c>
      <c r="CM5419" s="65">
        <v>0.16</v>
      </c>
      <c r="CN5419" s="65">
        <v>0.31</v>
      </c>
      <c r="CQ5419" s="65" t="s">
        <v>164</v>
      </c>
      <c r="DB5419" s="65">
        <v>0.13</v>
      </c>
      <c r="DC5419" s="65">
        <v>0.22</v>
      </c>
      <c r="DF5419" s="65" t="s">
        <v>165</v>
      </c>
      <c r="DG5419" s="65">
        <v>1.2</v>
      </c>
      <c r="DH5419" s="65">
        <v>1.75</v>
      </c>
      <c r="DK5419" s="65" t="s">
        <v>6511</v>
      </c>
      <c r="DL5419" s="65">
        <v>43</v>
      </c>
      <c r="DM5419" s="65">
        <v>66.64</v>
      </c>
      <c r="DP5419" s="65" t="s">
        <v>6512</v>
      </c>
      <c r="GP5419" s="292" t="s">
        <v>7494</v>
      </c>
    </row>
    <row r="5420" spans="1:198" x14ac:dyDescent="0.25">
      <c r="A5420" s="55">
        <v>5419</v>
      </c>
      <c r="B5420" s="12" t="s">
        <v>7067</v>
      </c>
      <c r="C5420" s="155" t="s">
        <v>6433</v>
      </c>
      <c r="D5420" s="55" t="s">
        <v>6525</v>
      </c>
      <c r="E5420" s="90" t="s">
        <v>6495</v>
      </c>
      <c r="G5420" s="55" t="s">
        <v>6496</v>
      </c>
      <c r="H5420" s="55" t="s">
        <v>6390</v>
      </c>
      <c r="I5420" s="55" t="s">
        <v>4353</v>
      </c>
      <c r="J5420" s="55" t="s">
        <v>6470</v>
      </c>
      <c r="K5420" s="55" t="s">
        <v>6497</v>
      </c>
      <c r="L5420" s="55" t="s">
        <v>3377</v>
      </c>
      <c r="M5420" s="90">
        <f>38+48/60</f>
        <v>38.799999999999997</v>
      </c>
      <c r="N5420" s="90">
        <f>110+22/60</f>
        <v>110.36666666666666</v>
      </c>
      <c r="Q5420" s="55" t="s">
        <v>5573</v>
      </c>
      <c r="S5420" s="90" t="s">
        <v>6498</v>
      </c>
      <c r="U5420" s="55" t="s">
        <v>1694</v>
      </c>
      <c r="V5420" s="55" t="s">
        <v>1694</v>
      </c>
      <c r="Z5420" s="55" t="s">
        <v>6510</v>
      </c>
      <c r="AA5420" s="90">
        <v>10</v>
      </c>
      <c r="AH5420" s="55" t="s">
        <v>769</v>
      </c>
      <c r="AM5420" s="55" t="s">
        <v>6493</v>
      </c>
      <c r="AO5420" s="185" t="s">
        <v>5150</v>
      </c>
      <c r="AU5420" s="181" t="s">
        <v>7494</v>
      </c>
      <c r="AV5420" s="185" t="s">
        <v>176</v>
      </c>
      <c r="AX5420" s="185" t="s">
        <v>176</v>
      </c>
      <c r="BK5420" s="55" t="s">
        <v>6503</v>
      </c>
      <c r="BN5420" s="55" t="s">
        <v>1805</v>
      </c>
      <c r="BO5420" s="55" t="s">
        <v>1805</v>
      </c>
      <c r="BP5420" s="55" t="s">
        <v>1682</v>
      </c>
      <c r="CM5420" s="65">
        <v>0.16</v>
      </c>
      <c r="CN5420" s="65">
        <v>0.28999999999999998</v>
      </c>
      <c r="CQ5420" s="65" t="s">
        <v>164</v>
      </c>
      <c r="DB5420" s="65">
        <v>0.13</v>
      </c>
      <c r="DC5420" s="65">
        <v>0.18</v>
      </c>
      <c r="DF5420" s="65" t="s">
        <v>165</v>
      </c>
      <c r="DG5420" s="65">
        <v>1.2</v>
      </c>
      <c r="DH5420" s="65">
        <v>1.47</v>
      </c>
      <c r="DK5420" s="65" t="s">
        <v>6511</v>
      </c>
      <c r="DL5420" s="65">
        <v>43</v>
      </c>
      <c r="DM5420" s="65">
        <v>66.25</v>
      </c>
      <c r="DP5420" s="65" t="s">
        <v>6512</v>
      </c>
      <c r="GP5420" s="292" t="s">
        <v>7494</v>
      </c>
    </row>
    <row r="5421" spans="1:198" x14ac:dyDescent="0.25">
      <c r="A5421" s="55">
        <v>5420</v>
      </c>
      <c r="B5421" s="12" t="s">
        <v>7067</v>
      </c>
      <c r="C5421" s="155" t="s">
        <v>6433</v>
      </c>
      <c r="D5421" s="55" t="s">
        <v>6526</v>
      </c>
      <c r="E5421" s="90" t="s">
        <v>6495</v>
      </c>
      <c r="G5421" s="55" t="s">
        <v>6496</v>
      </c>
      <c r="H5421" s="55" t="s">
        <v>6390</v>
      </c>
      <c r="I5421" s="55" t="s">
        <v>4353</v>
      </c>
      <c r="J5421" s="55" t="s">
        <v>6470</v>
      </c>
      <c r="K5421" s="55" t="s">
        <v>6497</v>
      </c>
      <c r="L5421" s="55" t="s">
        <v>3377</v>
      </c>
      <c r="M5421" s="90">
        <f>38+48/60</f>
        <v>38.799999999999997</v>
      </c>
      <c r="N5421" s="90">
        <f>110+22/60</f>
        <v>110.36666666666666</v>
      </c>
      <c r="Q5421" s="55" t="s">
        <v>5573</v>
      </c>
      <c r="S5421" s="90" t="s">
        <v>6498</v>
      </c>
      <c r="U5421" s="55" t="s">
        <v>1694</v>
      </c>
      <c r="V5421" s="55" t="s">
        <v>1694</v>
      </c>
      <c r="Z5421" s="55" t="s">
        <v>6510</v>
      </c>
      <c r="AA5421" s="90">
        <v>10</v>
      </c>
      <c r="AH5421" s="55" t="s">
        <v>769</v>
      </c>
      <c r="AM5421" s="55" t="s">
        <v>6493</v>
      </c>
      <c r="AO5421" s="185" t="s">
        <v>5150</v>
      </c>
      <c r="AU5421" s="181" t="s">
        <v>7494</v>
      </c>
      <c r="AV5421" s="185" t="s">
        <v>176</v>
      </c>
      <c r="AX5421" s="185" t="s">
        <v>176</v>
      </c>
      <c r="BK5421" s="55" t="s">
        <v>6502</v>
      </c>
      <c r="BN5421" s="55" t="s">
        <v>1805</v>
      </c>
      <c r="BO5421" s="55" t="s">
        <v>1805</v>
      </c>
      <c r="BP5421" s="55" t="s">
        <v>1682</v>
      </c>
      <c r="CM5421" s="65">
        <v>0.16</v>
      </c>
      <c r="CN5421" s="65">
        <v>0.28999999999999998</v>
      </c>
      <c r="CQ5421" s="65" t="s">
        <v>164</v>
      </c>
      <c r="DB5421" s="65">
        <v>0.13</v>
      </c>
      <c r="DC5421" s="65">
        <v>0.19</v>
      </c>
      <c r="DF5421" s="65" t="s">
        <v>165</v>
      </c>
      <c r="DG5421" s="65">
        <v>1.2</v>
      </c>
      <c r="DH5421" s="65">
        <v>2.06</v>
      </c>
      <c r="DK5421" s="65" t="s">
        <v>6511</v>
      </c>
      <c r="DL5421" s="65">
        <v>43</v>
      </c>
      <c r="DM5421" s="65">
        <v>58.08</v>
      </c>
      <c r="DP5421" s="65" t="s">
        <v>6512</v>
      </c>
      <c r="GP5421" s="292" t="s">
        <v>7494</v>
      </c>
    </row>
    <row r="5422" spans="1:198" x14ac:dyDescent="0.25">
      <c r="A5422" s="55">
        <v>5421</v>
      </c>
      <c r="B5422" s="12" t="s">
        <v>7067</v>
      </c>
      <c r="C5422" s="155" t="s">
        <v>6433</v>
      </c>
      <c r="D5422" s="55" t="s">
        <v>6527</v>
      </c>
      <c r="E5422" s="90" t="s">
        <v>6495</v>
      </c>
      <c r="G5422" s="55" t="s">
        <v>6496</v>
      </c>
      <c r="H5422" s="55" t="s">
        <v>6390</v>
      </c>
      <c r="I5422" s="55" t="s">
        <v>4353</v>
      </c>
      <c r="J5422" s="55" t="s">
        <v>6470</v>
      </c>
      <c r="K5422" s="55" t="s">
        <v>6497</v>
      </c>
      <c r="L5422" s="55" t="s">
        <v>3377</v>
      </c>
      <c r="M5422" s="90">
        <f>38+48/60</f>
        <v>38.799999999999997</v>
      </c>
      <c r="N5422" s="90">
        <f>110+22/60</f>
        <v>110.36666666666666</v>
      </c>
      <c r="Q5422" s="55" t="s">
        <v>5573</v>
      </c>
      <c r="S5422" s="90" t="s">
        <v>6498</v>
      </c>
      <c r="U5422" s="55" t="s">
        <v>1694</v>
      </c>
      <c r="V5422" s="55" t="s">
        <v>1694</v>
      </c>
      <c r="Z5422" s="55" t="s">
        <v>6510</v>
      </c>
      <c r="AA5422" s="90">
        <v>10</v>
      </c>
      <c r="AH5422" s="55" t="s">
        <v>769</v>
      </c>
      <c r="AM5422" s="55" t="s">
        <v>6493</v>
      </c>
      <c r="AO5422" s="185" t="s">
        <v>5150</v>
      </c>
      <c r="AU5422" s="181" t="s">
        <v>7494</v>
      </c>
      <c r="AV5422" s="185" t="s">
        <v>176</v>
      </c>
      <c r="AX5422" s="185" t="s">
        <v>176</v>
      </c>
      <c r="BK5422" s="55" t="s">
        <v>6504</v>
      </c>
      <c r="BN5422" s="55" t="s">
        <v>1805</v>
      </c>
      <c r="BO5422" s="55" t="s">
        <v>1805</v>
      </c>
      <c r="BP5422" s="55" t="s">
        <v>1682</v>
      </c>
      <c r="CM5422" s="65">
        <v>0.16</v>
      </c>
      <c r="CN5422" s="65">
        <v>0.32</v>
      </c>
      <c r="CQ5422" s="65" t="s">
        <v>164</v>
      </c>
      <c r="DB5422" s="65">
        <v>0.13</v>
      </c>
      <c r="DC5422" s="65">
        <v>0.17</v>
      </c>
      <c r="DF5422" s="65" t="s">
        <v>165</v>
      </c>
      <c r="DG5422" s="65">
        <v>1.2</v>
      </c>
      <c r="DH5422" s="65">
        <v>1.96</v>
      </c>
      <c r="DK5422" s="65" t="s">
        <v>6511</v>
      </c>
      <c r="DL5422" s="65">
        <v>43</v>
      </c>
      <c r="DM5422" s="65">
        <v>63.53</v>
      </c>
      <c r="DP5422" s="65" t="s">
        <v>6512</v>
      </c>
      <c r="GP5422" s="292" t="s">
        <v>7494</v>
      </c>
    </row>
    <row r="5423" spans="1:198" x14ac:dyDescent="0.25">
      <c r="A5423" s="55">
        <v>5422</v>
      </c>
      <c r="B5423" s="12" t="s">
        <v>7067</v>
      </c>
      <c r="C5423" s="155" t="s">
        <v>6528</v>
      </c>
      <c r="D5423" s="55" t="s">
        <v>6531</v>
      </c>
      <c r="E5423" s="90" t="s">
        <v>6488</v>
      </c>
      <c r="G5423" s="55" t="s">
        <v>6468</v>
      </c>
      <c r="H5423" s="55" t="s">
        <v>5888</v>
      </c>
      <c r="I5423" s="55" t="s">
        <v>5532</v>
      </c>
      <c r="J5423" s="55" t="s">
        <v>6529</v>
      </c>
      <c r="K5423" s="55" t="s">
        <v>6530</v>
      </c>
      <c r="L5423" s="55" t="s">
        <v>3377</v>
      </c>
      <c r="M5423" s="90">
        <v>35.58</v>
      </c>
      <c r="N5423" s="90">
        <v>104.63</v>
      </c>
      <c r="O5423" s="90">
        <v>2000</v>
      </c>
      <c r="Q5423" s="55" t="s">
        <v>5826</v>
      </c>
      <c r="S5423" s="90" t="s">
        <v>6492</v>
      </c>
      <c r="U5423" s="55" t="s">
        <v>1935</v>
      </c>
      <c r="V5423" s="55" t="s">
        <v>1935</v>
      </c>
      <c r="Z5423" s="55" t="s">
        <v>6537</v>
      </c>
      <c r="AA5423" s="90">
        <v>60</v>
      </c>
      <c r="AD5423" s="90">
        <v>1.24</v>
      </c>
      <c r="AH5423" s="55" t="s">
        <v>769</v>
      </c>
      <c r="AM5423" s="55" t="s">
        <v>6493</v>
      </c>
      <c r="AN5423" s="185" t="s">
        <v>6534</v>
      </c>
      <c r="AO5423" s="185" t="s">
        <v>5150</v>
      </c>
      <c r="AQ5423" s="55" t="s">
        <v>553</v>
      </c>
      <c r="AR5423" s="55" t="s">
        <v>6535</v>
      </c>
      <c r="AS5423" s="55" t="s">
        <v>116</v>
      </c>
      <c r="AU5423" s="181" t="s">
        <v>7494</v>
      </c>
      <c r="AV5423" s="185" t="s">
        <v>176</v>
      </c>
      <c r="AX5423" s="185" t="s">
        <v>176</v>
      </c>
      <c r="BK5423" s="55" t="s">
        <v>6269</v>
      </c>
      <c r="BN5423" s="55" t="s">
        <v>1688</v>
      </c>
      <c r="BO5423" s="55" t="s">
        <v>1688</v>
      </c>
      <c r="FJ5423" s="65">
        <v>5.4880000000000004</v>
      </c>
      <c r="FK5423" s="65">
        <v>4.5190000000000001</v>
      </c>
      <c r="FN5423" s="65" t="s">
        <v>206</v>
      </c>
      <c r="FO5423" s="65">
        <v>20.643000000000001</v>
      </c>
      <c r="FP5423" s="65">
        <v>19.215</v>
      </c>
      <c r="FS5423" s="65" t="s">
        <v>6507</v>
      </c>
      <c r="GD5423" s="65">
        <v>17.809999999999999</v>
      </c>
      <c r="GE5423" s="65">
        <f>GD5423+0.5</f>
        <v>18.309999999999999</v>
      </c>
      <c r="GH5423" s="65" t="s">
        <v>164</v>
      </c>
      <c r="GP5423" s="292" t="s">
        <v>7494</v>
      </c>
    </row>
    <row r="5424" spans="1:198" x14ac:dyDescent="0.25">
      <c r="A5424" s="55">
        <v>5423</v>
      </c>
      <c r="B5424" s="12" t="s">
        <v>7067</v>
      </c>
      <c r="C5424" s="155" t="s">
        <v>6528</v>
      </c>
      <c r="D5424" s="55" t="s">
        <v>6532</v>
      </c>
      <c r="E5424" s="90" t="s">
        <v>6488</v>
      </c>
      <c r="G5424" s="55" t="s">
        <v>6468</v>
      </c>
      <c r="H5424" s="55" t="s">
        <v>5888</v>
      </c>
      <c r="I5424" s="55" t="s">
        <v>5532</v>
      </c>
      <c r="J5424" s="55" t="s">
        <v>6529</v>
      </c>
      <c r="K5424" s="55" t="s">
        <v>6530</v>
      </c>
      <c r="L5424" s="55" t="s">
        <v>3377</v>
      </c>
      <c r="M5424" s="90">
        <v>35.58</v>
      </c>
      <c r="N5424" s="90">
        <v>104.63</v>
      </c>
      <c r="O5424" s="90">
        <v>2000</v>
      </c>
      <c r="Q5424" s="55" t="s">
        <v>5826</v>
      </c>
      <c r="S5424" s="90" t="s">
        <v>6492</v>
      </c>
      <c r="U5424" s="55" t="s">
        <v>1935</v>
      </c>
      <c r="V5424" s="55" t="s">
        <v>1935</v>
      </c>
      <c r="Z5424" s="55" t="s">
        <v>6537</v>
      </c>
      <c r="AA5424" s="90">
        <v>60</v>
      </c>
      <c r="AD5424" s="90">
        <v>1.24</v>
      </c>
      <c r="AH5424" s="55" t="s">
        <v>769</v>
      </c>
      <c r="AM5424" s="55" t="s">
        <v>6493</v>
      </c>
      <c r="AN5424" s="185" t="s">
        <v>6534</v>
      </c>
      <c r="AO5424" s="185" t="s">
        <v>5150</v>
      </c>
      <c r="AQ5424" s="55" t="s">
        <v>553</v>
      </c>
      <c r="AR5424" s="55" t="s">
        <v>3646</v>
      </c>
      <c r="AS5424" s="55" t="s">
        <v>227</v>
      </c>
      <c r="AU5424" s="181" t="s">
        <v>7494</v>
      </c>
      <c r="AV5424" s="185" t="s">
        <v>176</v>
      </c>
      <c r="AX5424" s="185" t="s">
        <v>176</v>
      </c>
      <c r="BK5424" s="55" t="s">
        <v>6269</v>
      </c>
      <c r="BN5424" s="55" t="s">
        <v>1688</v>
      </c>
      <c r="BO5424" s="55" t="s">
        <v>1688</v>
      </c>
      <c r="FJ5424" s="65">
        <v>9.18</v>
      </c>
      <c r="FK5424" s="65">
        <v>7.7149999999999999</v>
      </c>
      <c r="FN5424" s="65" t="s">
        <v>206</v>
      </c>
      <c r="FO5424" s="65">
        <v>24.632000000000001</v>
      </c>
      <c r="FP5424" s="65">
        <v>23.172999999999998</v>
      </c>
      <c r="FS5424" s="65" t="s">
        <v>6507</v>
      </c>
      <c r="GD5424" s="65">
        <v>16.899999999999999</v>
      </c>
      <c r="GE5424" s="65">
        <f>GD5424+0.5</f>
        <v>17.399999999999999</v>
      </c>
      <c r="GH5424" s="65" t="s">
        <v>164</v>
      </c>
      <c r="GP5424" s="292" t="s">
        <v>7494</v>
      </c>
    </row>
    <row r="5425" spans="1:198" x14ac:dyDescent="0.25">
      <c r="A5425" s="55">
        <v>5424</v>
      </c>
      <c r="B5425" s="12" t="s">
        <v>7067</v>
      </c>
      <c r="C5425" s="155" t="s">
        <v>6528</v>
      </c>
      <c r="D5425" s="55" t="s">
        <v>6533</v>
      </c>
      <c r="E5425" s="90" t="s">
        <v>6488</v>
      </c>
      <c r="G5425" s="55" t="s">
        <v>6468</v>
      </c>
      <c r="H5425" s="55" t="s">
        <v>5888</v>
      </c>
      <c r="I5425" s="55" t="s">
        <v>5532</v>
      </c>
      <c r="J5425" s="55" t="s">
        <v>6529</v>
      </c>
      <c r="K5425" s="55" t="s">
        <v>6530</v>
      </c>
      <c r="L5425" s="55" t="s">
        <v>3377</v>
      </c>
      <c r="M5425" s="90">
        <v>35.58</v>
      </c>
      <c r="N5425" s="90">
        <v>104.63</v>
      </c>
      <c r="O5425" s="90">
        <v>2000</v>
      </c>
      <c r="Q5425" s="55" t="s">
        <v>5826</v>
      </c>
      <c r="S5425" s="90" t="s">
        <v>6492</v>
      </c>
      <c r="U5425" s="55" t="s">
        <v>1935</v>
      </c>
      <c r="V5425" s="55" t="s">
        <v>1935</v>
      </c>
      <c r="Z5425" s="55" t="s">
        <v>6537</v>
      </c>
      <c r="AA5425" s="90">
        <v>60</v>
      </c>
      <c r="AD5425" s="90">
        <v>1.24</v>
      </c>
      <c r="AH5425" s="55" t="s">
        <v>769</v>
      </c>
      <c r="AM5425" s="55" t="s">
        <v>6493</v>
      </c>
      <c r="AN5425" s="185" t="s">
        <v>6534</v>
      </c>
      <c r="AO5425" s="185" t="s">
        <v>5150</v>
      </c>
      <c r="AQ5425" s="55" t="s">
        <v>553</v>
      </c>
      <c r="AR5425" s="55" t="s">
        <v>6536</v>
      </c>
      <c r="AS5425" s="55" t="s">
        <v>227</v>
      </c>
      <c r="AU5425" s="181" t="s">
        <v>7494</v>
      </c>
      <c r="AV5425" s="185" t="s">
        <v>176</v>
      </c>
      <c r="AX5425" s="185" t="s">
        <v>176</v>
      </c>
      <c r="BK5425" s="55" t="s">
        <v>6269</v>
      </c>
      <c r="BN5425" s="55" t="s">
        <v>1688</v>
      </c>
      <c r="BO5425" s="55" t="s">
        <v>1688</v>
      </c>
      <c r="FJ5425" s="65">
        <v>3.35</v>
      </c>
      <c r="FK5425" s="65">
        <v>2.4870000000000001</v>
      </c>
      <c r="FN5425" s="65" t="s">
        <v>206</v>
      </c>
      <c r="FO5425" s="65">
        <v>16.785</v>
      </c>
      <c r="FP5425" s="65">
        <v>14.28</v>
      </c>
      <c r="FS5425" s="65" t="s">
        <v>6507</v>
      </c>
      <c r="GD5425" s="65">
        <v>20.3</v>
      </c>
      <c r="GE5425" s="65">
        <v>20</v>
      </c>
      <c r="GH5425" s="65" t="s">
        <v>164</v>
      </c>
      <c r="GP5425" s="292" t="s">
        <v>7494</v>
      </c>
    </row>
    <row r="5426" spans="1:198" x14ac:dyDescent="0.25">
      <c r="A5426" s="55">
        <v>5425</v>
      </c>
      <c r="B5426" s="12" t="s">
        <v>7067</v>
      </c>
      <c r="C5426" s="155" t="s">
        <v>6538</v>
      </c>
      <c r="D5426" s="55" t="s">
        <v>6546</v>
      </c>
      <c r="E5426" s="90" t="s">
        <v>4387</v>
      </c>
      <c r="G5426" s="55" t="s">
        <v>4354</v>
      </c>
      <c r="H5426" s="55" t="s">
        <v>6505</v>
      </c>
      <c r="I5426" s="55" t="s">
        <v>5490</v>
      </c>
      <c r="J5426" s="55" t="s">
        <v>6539</v>
      </c>
      <c r="K5426" s="55" t="s">
        <v>6540</v>
      </c>
      <c r="L5426" s="55" t="s">
        <v>3377</v>
      </c>
      <c r="M5426" s="90">
        <f>42+59/60</f>
        <v>42.983333333333334</v>
      </c>
      <c r="N5426" s="90">
        <f>125+24/60</f>
        <v>125.4</v>
      </c>
      <c r="Q5426" s="55" t="s">
        <v>6541</v>
      </c>
      <c r="S5426" s="90" t="s">
        <v>6542</v>
      </c>
      <c r="U5426" s="55" t="s">
        <v>1935</v>
      </c>
      <c r="V5426" s="55" t="s">
        <v>1935</v>
      </c>
      <c r="Y5426" s="55" t="s">
        <v>6561</v>
      </c>
      <c r="Z5426" s="55" t="s">
        <v>6543</v>
      </c>
      <c r="AA5426" s="90">
        <v>20</v>
      </c>
      <c r="AO5426" s="185" t="s">
        <v>5150</v>
      </c>
      <c r="AU5426" s="181" t="s">
        <v>7494</v>
      </c>
      <c r="AV5426" s="185" t="s">
        <v>176</v>
      </c>
      <c r="AX5426" s="185" t="s">
        <v>176</v>
      </c>
      <c r="BK5426" s="55" t="s">
        <v>6568</v>
      </c>
      <c r="BN5426" s="55" t="s">
        <v>1688</v>
      </c>
      <c r="BO5426" s="55" t="s">
        <v>1688</v>
      </c>
      <c r="CB5426" s="66">
        <v>30000</v>
      </c>
      <c r="CC5426" s="66">
        <v>31520</v>
      </c>
      <c r="CG5426" s="65" t="s">
        <v>178</v>
      </c>
      <c r="CM5426" s="65">
        <v>3.43</v>
      </c>
      <c r="CN5426" s="65">
        <v>3.46</v>
      </c>
      <c r="CQ5426" s="65" t="s">
        <v>164</v>
      </c>
      <c r="DB5426" s="65">
        <v>0.13800000000000001</v>
      </c>
      <c r="DC5426" s="65">
        <v>0.14199999999999999</v>
      </c>
      <c r="DF5426" s="65" t="s">
        <v>164</v>
      </c>
      <c r="DG5426" s="65">
        <v>3.9E-2</v>
      </c>
      <c r="DH5426" s="65">
        <v>3.9E-2</v>
      </c>
      <c r="DK5426" s="65" t="s">
        <v>164</v>
      </c>
      <c r="DL5426" s="65">
        <v>1.79</v>
      </c>
      <c r="DM5426" s="65">
        <v>1.84</v>
      </c>
      <c r="DP5426" s="65" t="s">
        <v>164</v>
      </c>
      <c r="FJ5426" s="65">
        <v>280.3</v>
      </c>
      <c r="FK5426" s="65">
        <v>157.19999999999999</v>
      </c>
      <c r="FN5426" s="65" t="s">
        <v>6569</v>
      </c>
      <c r="FO5426" s="65">
        <v>2.88</v>
      </c>
      <c r="FP5426" s="65">
        <v>2.4300000000000002</v>
      </c>
      <c r="FS5426" s="65" t="s">
        <v>637</v>
      </c>
      <c r="GD5426" s="65">
        <v>7.1</v>
      </c>
      <c r="GE5426" s="65">
        <v>7.45</v>
      </c>
      <c r="GH5426" s="65" t="s">
        <v>164</v>
      </c>
      <c r="GP5426" s="292" t="s">
        <v>7494</v>
      </c>
    </row>
    <row r="5427" spans="1:198" x14ac:dyDescent="0.25">
      <c r="A5427" s="55">
        <v>5426</v>
      </c>
      <c r="B5427" s="12" t="s">
        <v>7067</v>
      </c>
      <c r="C5427" s="155" t="s">
        <v>6538</v>
      </c>
      <c r="D5427" s="55" t="s">
        <v>6547</v>
      </c>
      <c r="E5427" s="90" t="s">
        <v>4387</v>
      </c>
      <c r="G5427" s="55" t="s">
        <v>4354</v>
      </c>
      <c r="H5427" s="55" t="s">
        <v>6505</v>
      </c>
      <c r="I5427" s="55" t="s">
        <v>5490</v>
      </c>
      <c r="J5427" s="55" t="s">
        <v>6539</v>
      </c>
      <c r="K5427" s="55" t="s">
        <v>6540</v>
      </c>
      <c r="L5427" s="55" t="s">
        <v>3377</v>
      </c>
      <c r="M5427" s="90">
        <f>42+59/60</f>
        <v>42.983333333333334</v>
      </c>
      <c r="N5427" s="90">
        <f>125+24/60</f>
        <v>125.4</v>
      </c>
      <c r="Q5427" s="55" t="s">
        <v>6541</v>
      </c>
      <c r="S5427" s="90" t="s">
        <v>6542</v>
      </c>
      <c r="U5427" s="55" t="s">
        <v>1935</v>
      </c>
      <c r="V5427" s="55" t="s">
        <v>1935</v>
      </c>
      <c r="Y5427" s="55" t="s">
        <v>6561</v>
      </c>
      <c r="Z5427" s="55" t="s">
        <v>6544</v>
      </c>
      <c r="AA5427" s="90">
        <v>20</v>
      </c>
      <c r="AO5427" s="185" t="s">
        <v>5150</v>
      </c>
      <c r="AU5427" s="181" t="s">
        <v>7494</v>
      </c>
      <c r="AV5427" s="185" t="s">
        <v>176</v>
      </c>
      <c r="AX5427" s="185" t="s">
        <v>176</v>
      </c>
      <c r="BK5427" s="55" t="s">
        <v>6568</v>
      </c>
      <c r="BN5427" s="55" t="s">
        <v>1688</v>
      </c>
      <c r="BO5427" s="55" t="s">
        <v>1688</v>
      </c>
      <c r="CM5427" s="65">
        <v>2.84</v>
      </c>
      <c r="CN5427" s="65">
        <v>2.88</v>
      </c>
      <c r="CQ5427" s="65" t="s">
        <v>164</v>
      </c>
      <c r="DB5427" s="65">
        <v>0.115</v>
      </c>
      <c r="DC5427" s="65">
        <v>0.11799999999999999</v>
      </c>
      <c r="DF5427" s="65" t="s">
        <v>164</v>
      </c>
      <c r="DG5427" s="65">
        <v>3.6999999999999998E-2</v>
      </c>
      <c r="DH5427" s="65">
        <v>3.6999999999999998E-2</v>
      </c>
      <c r="DK5427" s="65" t="s">
        <v>164</v>
      </c>
      <c r="DL5427" s="65">
        <v>1.57</v>
      </c>
      <c r="DM5427" s="65">
        <v>1.66</v>
      </c>
      <c r="DP5427" s="65" t="s">
        <v>164</v>
      </c>
      <c r="GD5427" s="65">
        <v>7.75</v>
      </c>
      <c r="GE5427" s="65">
        <v>8.2899999999999991</v>
      </c>
      <c r="GH5427" s="65" t="s">
        <v>164</v>
      </c>
      <c r="GP5427" s="292" t="s">
        <v>7494</v>
      </c>
    </row>
    <row r="5428" spans="1:198" x14ac:dyDescent="0.25">
      <c r="A5428" s="55">
        <v>5427</v>
      </c>
      <c r="B5428" s="12" t="s">
        <v>7067</v>
      </c>
      <c r="C5428" s="155" t="s">
        <v>6538</v>
      </c>
      <c r="D5428" s="55" t="s">
        <v>6548</v>
      </c>
      <c r="E5428" s="90" t="s">
        <v>4387</v>
      </c>
      <c r="G5428" s="55" t="s">
        <v>4354</v>
      </c>
      <c r="H5428" s="55" t="s">
        <v>6505</v>
      </c>
      <c r="I5428" s="55" t="s">
        <v>5490</v>
      </c>
      <c r="J5428" s="55" t="s">
        <v>6539</v>
      </c>
      <c r="K5428" s="55" t="s">
        <v>6540</v>
      </c>
      <c r="L5428" s="55" t="s">
        <v>3377</v>
      </c>
      <c r="M5428" s="90">
        <f>42+59/60</f>
        <v>42.983333333333334</v>
      </c>
      <c r="N5428" s="90">
        <f>125+24/60</f>
        <v>125.4</v>
      </c>
      <c r="Q5428" s="55" t="s">
        <v>6541</v>
      </c>
      <c r="S5428" s="90" t="s">
        <v>6542</v>
      </c>
      <c r="U5428" s="55" t="s">
        <v>1935</v>
      </c>
      <c r="V5428" s="55" t="s">
        <v>1935</v>
      </c>
      <c r="Y5428" s="55" t="s">
        <v>6561</v>
      </c>
      <c r="Z5428" s="55" t="s">
        <v>6545</v>
      </c>
      <c r="AA5428" s="90">
        <v>20</v>
      </c>
      <c r="AO5428" s="185" t="s">
        <v>5150</v>
      </c>
      <c r="AU5428" s="181" t="s">
        <v>7494</v>
      </c>
      <c r="AV5428" s="185" t="s">
        <v>176</v>
      </c>
      <c r="AX5428" s="185" t="s">
        <v>176</v>
      </c>
      <c r="BK5428" s="55" t="s">
        <v>6568</v>
      </c>
      <c r="BN5428" s="55" t="s">
        <v>1688</v>
      </c>
      <c r="BO5428" s="55" t="s">
        <v>1688</v>
      </c>
      <c r="CM5428" s="65">
        <v>1.68</v>
      </c>
      <c r="CN5428" s="65">
        <v>1.69</v>
      </c>
      <c r="CQ5428" s="65" t="s">
        <v>164</v>
      </c>
      <c r="DB5428" s="65">
        <v>7.0000000000000007E-2</v>
      </c>
      <c r="DC5428" s="65">
        <v>7.0999999999999994E-2</v>
      </c>
      <c r="DF5428" s="65" t="s">
        <v>164</v>
      </c>
      <c r="DG5428" s="65">
        <v>0.03</v>
      </c>
      <c r="DH5428" s="65">
        <v>0.03</v>
      </c>
      <c r="DK5428" s="65" t="s">
        <v>164</v>
      </c>
      <c r="DL5428" s="65">
        <v>1.36</v>
      </c>
      <c r="DM5428" s="65">
        <v>1.39</v>
      </c>
      <c r="DP5428" s="65" t="s">
        <v>164</v>
      </c>
      <c r="GD5428" s="65">
        <v>8.73</v>
      </c>
      <c r="GE5428" s="65">
        <v>9.25</v>
      </c>
      <c r="GH5428" s="65" t="s">
        <v>164</v>
      </c>
      <c r="GP5428" s="292" t="s">
        <v>7494</v>
      </c>
    </row>
    <row r="5429" spans="1:198" x14ac:dyDescent="0.25">
      <c r="A5429" s="55">
        <v>5428</v>
      </c>
      <c r="B5429" s="12" t="s">
        <v>7067</v>
      </c>
      <c r="C5429" s="155" t="s">
        <v>6538</v>
      </c>
      <c r="D5429" s="55" t="s">
        <v>6549</v>
      </c>
      <c r="E5429" s="90" t="s">
        <v>4387</v>
      </c>
      <c r="G5429" s="55" t="s">
        <v>4354</v>
      </c>
      <c r="H5429" s="55" t="s">
        <v>6505</v>
      </c>
      <c r="I5429" s="55" t="s">
        <v>5490</v>
      </c>
      <c r="J5429" s="55" t="s">
        <v>6539</v>
      </c>
      <c r="K5429" s="55" t="s">
        <v>6540</v>
      </c>
      <c r="L5429" s="55" t="s">
        <v>3377</v>
      </c>
      <c r="M5429" s="90">
        <f>42+59/60</f>
        <v>42.983333333333334</v>
      </c>
      <c r="N5429" s="90">
        <f>125+24/60</f>
        <v>125.4</v>
      </c>
      <c r="Q5429" s="55" t="s">
        <v>6541</v>
      </c>
      <c r="S5429" s="90" t="s">
        <v>6542</v>
      </c>
      <c r="U5429" s="55" t="s">
        <v>1935</v>
      </c>
      <c r="V5429" s="55" t="s">
        <v>1935</v>
      </c>
      <c r="Y5429" s="55" t="s">
        <v>6562</v>
      </c>
      <c r="Z5429" s="55" t="s">
        <v>6543</v>
      </c>
      <c r="AA5429" s="90">
        <v>20</v>
      </c>
      <c r="AO5429" s="185" t="s">
        <v>7494</v>
      </c>
      <c r="AU5429" s="181" t="s">
        <v>7494</v>
      </c>
      <c r="AV5429" s="185" t="s">
        <v>176</v>
      </c>
      <c r="AX5429" s="185" t="s">
        <v>176</v>
      </c>
      <c r="BK5429" s="55" t="s">
        <v>6568</v>
      </c>
      <c r="BN5429" s="55" t="s">
        <v>1688</v>
      </c>
      <c r="BO5429" s="55" t="s">
        <v>1688</v>
      </c>
      <c r="GD5429" s="65">
        <v>5.47</v>
      </c>
      <c r="GE5429" s="65">
        <v>6.47</v>
      </c>
      <c r="GH5429" s="65" t="s">
        <v>164</v>
      </c>
      <c r="GP5429" s="292" t="s">
        <v>7494</v>
      </c>
    </row>
    <row r="5430" spans="1:198" x14ac:dyDescent="0.25">
      <c r="A5430" s="55">
        <v>5429</v>
      </c>
      <c r="B5430" s="12" t="s">
        <v>7067</v>
      </c>
      <c r="C5430" s="155" t="s">
        <v>6538</v>
      </c>
      <c r="D5430" s="55" t="s">
        <v>6550</v>
      </c>
      <c r="E5430" s="90" t="s">
        <v>4387</v>
      </c>
      <c r="G5430" s="55" t="s">
        <v>4354</v>
      </c>
      <c r="H5430" s="55" t="s">
        <v>6505</v>
      </c>
      <c r="I5430" s="55" t="s">
        <v>5490</v>
      </c>
      <c r="J5430" s="55" t="s">
        <v>6539</v>
      </c>
      <c r="K5430" s="55" t="s">
        <v>6540</v>
      </c>
      <c r="L5430" s="55" t="s">
        <v>3377</v>
      </c>
      <c r="M5430" s="90">
        <f>42+59/60</f>
        <v>42.983333333333334</v>
      </c>
      <c r="N5430" s="90">
        <f>125+24/60</f>
        <v>125.4</v>
      </c>
      <c r="Q5430" s="55" t="s">
        <v>6541</v>
      </c>
      <c r="S5430" s="90" t="s">
        <v>6542</v>
      </c>
      <c r="U5430" s="55" t="s">
        <v>1935</v>
      </c>
      <c r="V5430" s="55" t="s">
        <v>1935</v>
      </c>
      <c r="Y5430" s="55" t="s">
        <v>6562</v>
      </c>
      <c r="Z5430" s="55" t="s">
        <v>6544</v>
      </c>
      <c r="AA5430" s="90">
        <v>20</v>
      </c>
      <c r="AO5430" s="185" t="s">
        <v>7494</v>
      </c>
      <c r="AU5430" s="181" t="s">
        <v>7494</v>
      </c>
      <c r="AV5430" s="185" t="s">
        <v>176</v>
      </c>
      <c r="AX5430" s="185" t="s">
        <v>176</v>
      </c>
      <c r="BK5430" s="55" t="s">
        <v>6568</v>
      </c>
      <c r="BN5430" s="55" t="s">
        <v>1688</v>
      </c>
      <c r="BO5430" s="55" t="s">
        <v>1688</v>
      </c>
      <c r="GD5430" s="65">
        <v>6.97</v>
      </c>
      <c r="GE5430" s="65">
        <v>7.48</v>
      </c>
      <c r="GH5430" s="65" t="s">
        <v>164</v>
      </c>
      <c r="GP5430" s="292" t="s">
        <v>7494</v>
      </c>
    </row>
    <row r="5431" spans="1:198" x14ac:dyDescent="0.25">
      <c r="A5431" s="55">
        <v>5430</v>
      </c>
      <c r="B5431" s="12" t="s">
        <v>7067</v>
      </c>
      <c r="C5431" s="155" t="s">
        <v>6538</v>
      </c>
      <c r="D5431" s="55" t="s">
        <v>6551</v>
      </c>
      <c r="E5431" s="90" t="s">
        <v>4387</v>
      </c>
      <c r="G5431" s="55" t="s">
        <v>4354</v>
      </c>
      <c r="H5431" s="55" t="s">
        <v>6505</v>
      </c>
      <c r="I5431" s="55" t="s">
        <v>5490</v>
      </c>
      <c r="J5431" s="55" t="s">
        <v>6539</v>
      </c>
      <c r="K5431" s="55" t="s">
        <v>6540</v>
      </c>
      <c r="L5431" s="55" t="s">
        <v>3377</v>
      </c>
      <c r="M5431" s="90">
        <f>42+59/60</f>
        <v>42.983333333333334</v>
      </c>
      <c r="N5431" s="90">
        <f>125+24/60</f>
        <v>125.4</v>
      </c>
      <c r="Q5431" s="55" t="s">
        <v>6541</v>
      </c>
      <c r="S5431" s="90" t="s">
        <v>6542</v>
      </c>
      <c r="U5431" s="55" t="s">
        <v>1935</v>
      </c>
      <c r="V5431" s="55" t="s">
        <v>1935</v>
      </c>
      <c r="Y5431" s="55" t="s">
        <v>6562</v>
      </c>
      <c r="Z5431" s="55" t="s">
        <v>6545</v>
      </c>
      <c r="AA5431" s="90">
        <v>20</v>
      </c>
      <c r="AO5431" s="185" t="s">
        <v>7494</v>
      </c>
      <c r="AU5431" s="181" t="s">
        <v>7494</v>
      </c>
      <c r="AV5431" s="185" t="s">
        <v>176</v>
      </c>
      <c r="AX5431" s="185" t="s">
        <v>176</v>
      </c>
      <c r="BK5431" s="55" t="s">
        <v>6568</v>
      </c>
      <c r="BN5431" s="55" t="s">
        <v>1688</v>
      </c>
      <c r="BO5431" s="55" t="s">
        <v>1688</v>
      </c>
      <c r="GD5431" s="65">
        <v>7.94</v>
      </c>
      <c r="GE5431" s="65">
        <v>8.44</v>
      </c>
      <c r="GH5431" s="65" t="s">
        <v>164</v>
      </c>
      <c r="GP5431" s="292" t="s">
        <v>7494</v>
      </c>
    </row>
    <row r="5432" spans="1:198" x14ac:dyDescent="0.25">
      <c r="A5432" s="55">
        <v>5431</v>
      </c>
      <c r="B5432" s="12" t="s">
        <v>7067</v>
      </c>
      <c r="C5432" s="155" t="s">
        <v>6538</v>
      </c>
      <c r="D5432" s="55" t="s">
        <v>6552</v>
      </c>
      <c r="E5432" s="90" t="s">
        <v>4387</v>
      </c>
      <c r="G5432" s="55" t="s">
        <v>4354</v>
      </c>
      <c r="H5432" s="55" t="s">
        <v>6505</v>
      </c>
      <c r="I5432" s="55" t="s">
        <v>5490</v>
      </c>
      <c r="J5432" s="55" t="s">
        <v>6539</v>
      </c>
      <c r="K5432" s="55" t="s">
        <v>6540</v>
      </c>
      <c r="L5432" s="55" t="s">
        <v>3377</v>
      </c>
      <c r="M5432" s="90">
        <f>42+59/60</f>
        <v>42.983333333333334</v>
      </c>
      <c r="N5432" s="90">
        <f>125+24/60</f>
        <v>125.4</v>
      </c>
      <c r="Q5432" s="55" t="s">
        <v>6541</v>
      </c>
      <c r="S5432" s="90" t="s">
        <v>6542</v>
      </c>
      <c r="U5432" s="55" t="s">
        <v>1935</v>
      </c>
      <c r="V5432" s="55" t="s">
        <v>1935</v>
      </c>
      <c r="Y5432" s="55" t="s">
        <v>6563</v>
      </c>
      <c r="Z5432" s="55" t="s">
        <v>6543</v>
      </c>
      <c r="AA5432" s="90">
        <v>20</v>
      </c>
      <c r="AO5432" s="185" t="s">
        <v>7494</v>
      </c>
      <c r="AU5432" s="181" t="s">
        <v>7494</v>
      </c>
      <c r="AV5432" s="185" t="s">
        <v>176</v>
      </c>
      <c r="AX5432" s="185" t="s">
        <v>176</v>
      </c>
      <c r="BK5432" s="55" t="s">
        <v>6568</v>
      </c>
      <c r="BN5432" s="55" t="s">
        <v>1688</v>
      </c>
      <c r="BO5432" s="55" t="s">
        <v>1688</v>
      </c>
      <c r="GD5432" s="65">
        <v>4.8099999999999996</v>
      </c>
      <c r="GE5432" s="65">
        <v>6.05</v>
      </c>
      <c r="GH5432" s="65" t="s">
        <v>164</v>
      </c>
      <c r="GP5432" s="292" t="s">
        <v>7494</v>
      </c>
    </row>
    <row r="5433" spans="1:198" x14ac:dyDescent="0.25">
      <c r="A5433" s="55">
        <v>5432</v>
      </c>
      <c r="B5433" s="12" t="s">
        <v>7067</v>
      </c>
      <c r="C5433" s="155" t="s">
        <v>6538</v>
      </c>
      <c r="D5433" s="55" t="s">
        <v>6553</v>
      </c>
      <c r="E5433" s="90" t="s">
        <v>4387</v>
      </c>
      <c r="G5433" s="55" t="s">
        <v>4354</v>
      </c>
      <c r="H5433" s="55" t="s">
        <v>6505</v>
      </c>
      <c r="I5433" s="55" t="s">
        <v>5490</v>
      </c>
      <c r="J5433" s="55" t="s">
        <v>6539</v>
      </c>
      <c r="K5433" s="55" t="s">
        <v>6540</v>
      </c>
      <c r="L5433" s="55" t="s">
        <v>3377</v>
      </c>
      <c r="M5433" s="90">
        <f>42+59/60</f>
        <v>42.983333333333334</v>
      </c>
      <c r="N5433" s="90">
        <f>125+24/60</f>
        <v>125.4</v>
      </c>
      <c r="Q5433" s="55" t="s">
        <v>6541</v>
      </c>
      <c r="S5433" s="90" t="s">
        <v>6542</v>
      </c>
      <c r="U5433" s="55" t="s">
        <v>1935</v>
      </c>
      <c r="V5433" s="55" t="s">
        <v>1935</v>
      </c>
      <c r="Y5433" s="55" t="s">
        <v>6563</v>
      </c>
      <c r="Z5433" s="55" t="s">
        <v>6544</v>
      </c>
      <c r="AA5433" s="90">
        <v>20</v>
      </c>
      <c r="AO5433" s="185" t="s">
        <v>7494</v>
      </c>
      <c r="AU5433" s="181" t="s">
        <v>7494</v>
      </c>
      <c r="AV5433" s="185" t="s">
        <v>176</v>
      </c>
      <c r="AX5433" s="185" t="s">
        <v>176</v>
      </c>
      <c r="BK5433" s="55" t="s">
        <v>6568</v>
      </c>
      <c r="BN5433" s="55" t="s">
        <v>1688</v>
      </c>
      <c r="BO5433" s="55" t="s">
        <v>1688</v>
      </c>
      <c r="GD5433" s="65">
        <v>6.41</v>
      </c>
      <c r="GE5433" s="65">
        <v>6.97</v>
      </c>
      <c r="GH5433" s="65" t="s">
        <v>164</v>
      </c>
      <c r="GP5433" s="292" t="s">
        <v>7494</v>
      </c>
    </row>
    <row r="5434" spans="1:198" x14ac:dyDescent="0.25">
      <c r="A5434" s="55">
        <v>5433</v>
      </c>
      <c r="B5434" s="12" t="s">
        <v>7067</v>
      </c>
      <c r="C5434" s="155" t="s">
        <v>6538</v>
      </c>
      <c r="D5434" s="55" t="s">
        <v>6554</v>
      </c>
      <c r="E5434" s="90" t="s">
        <v>4387</v>
      </c>
      <c r="G5434" s="55" t="s">
        <v>4354</v>
      </c>
      <c r="H5434" s="55" t="s">
        <v>6505</v>
      </c>
      <c r="I5434" s="55" t="s">
        <v>5490</v>
      </c>
      <c r="J5434" s="55" t="s">
        <v>6539</v>
      </c>
      <c r="K5434" s="55" t="s">
        <v>6540</v>
      </c>
      <c r="L5434" s="55" t="s">
        <v>3377</v>
      </c>
      <c r="M5434" s="90">
        <f>42+59/60</f>
        <v>42.983333333333334</v>
      </c>
      <c r="N5434" s="90">
        <f>125+24/60</f>
        <v>125.4</v>
      </c>
      <c r="Q5434" s="55" t="s">
        <v>6541</v>
      </c>
      <c r="S5434" s="90" t="s">
        <v>6542</v>
      </c>
      <c r="U5434" s="55" t="s">
        <v>1935</v>
      </c>
      <c r="V5434" s="55" t="s">
        <v>1935</v>
      </c>
      <c r="Y5434" s="55" t="s">
        <v>6563</v>
      </c>
      <c r="Z5434" s="55" t="s">
        <v>6545</v>
      </c>
      <c r="AA5434" s="90">
        <v>20</v>
      </c>
      <c r="AO5434" s="185" t="s">
        <v>7494</v>
      </c>
      <c r="AU5434" s="181" t="s">
        <v>7494</v>
      </c>
      <c r="AV5434" s="185" t="s">
        <v>176</v>
      </c>
      <c r="AX5434" s="185" t="s">
        <v>176</v>
      </c>
      <c r="BK5434" s="55" t="s">
        <v>6568</v>
      </c>
      <c r="BN5434" s="55" t="s">
        <v>1688</v>
      </c>
      <c r="BO5434" s="55" t="s">
        <v>1688</v>
      </c>
      <c r="GD5434" s="65">
        <v>7.38</v>
      </c>
      <c r="GE5434" s="65">
        <v>7.79</v>
      </c>
      <c r="GH5434" s="65" t="s">
        <v>164</v>
      </c>
      <c r="GP5434" s="292" t="s">
        <v>7494</v>
      </c>
    </row>
    <row r="5435" spans="1:198" x14ac:dyDescent="0.25">
      <c r="A5435" s="55">
        <v>5434</v>
      </c>
      <c r="B5435" s="12" t="s">
        <v>7067</v>
      </c>
      <c r="C5435" s="155" t="s">
        <v>6538</v>
      </c>
      <c r="D5435" s="55" t="s">
        <v>6555</v>
      </c>
      <c r="E5435" s="90" t="s">
        <v>4387</v>
      </c>
      <c r="G5435" s="55" t="s">
        <v>4354</v>
      </c>
      <c r="H5435" s="55" t="s">
        <v>6505</v>
      </c>
      <c r="I5435" s="55" t="s">
        <v>5490</v>
      </c>
      <c r="J5435" s="55" t="s">
        <v>6539</v>
      </c>
      <c r="K5435" s="55" t="s">
        <v>6540</v>
      </c>
      <c r="L5435" s="55" t="s">
        <v>3377</v>
      </c>
      <c r="M5435" s="90">
        <f>42+59/60</f>
        <v>42.983333333333334</v>
      </c>
      <c r="N5435" s="90">
        <f>125+24/60</f>
        <v>125.4</v>
      </c>
      <c r="Q5435" s="55" t="s">
        <v>6541</v>
      </c>
      <c r="S5435" s="90" t="s">
        <v>6542</v>
      </c>
      <c r="U5435" s="55" t="s">
        <v>1935</v>
      </c>
      <c r="V5435" s="55" t="s">
        <v>1935</v>
      </c>
      <c r="Y5435" s="55" t="s">
        <v>6564</v>
      </c>
      <c r="Z5435" s="55" t="s">
        <v>6543</v>
      </c>
      <c r="AA5435" s="90">
        <v>20</v>
      </c>
      <c r="AO5435" s="185" t="s">
        <v>7494</v>
      </c>
      <c r="AU5435" s="181" t="s">
        <v>7494</v>
      </c>
      <c r="AV5435" s="185" t="s">
        <v>176</v>
      </c>
      <c r="AX5435" s="185" t="s">
        <v>176</v>
      </c>
      <c r="BK5435" s="55" t="s">
        <v>6568</v>
      </c>
      <c r="BN5435" s="55" t="s">
        <v>1688</v>
      </c>
      <c r="BO5435" s="55" t="s">
        <v>1688</v>
      </c>
      <c r="GD5435" s="65">
        <v>3.13</v>
      </c>
      <c r="GE5435" s="65">
        <v>4.84</v>
      </c>
      <c r="GH5435" s="65" t="s">
        <v>164</v>
      </c>
      <c r="GP5435" s="292" t="s">
        <v>7494</v>
      </c>
    </row>
    <row r="5436" spans="1:198" x14ac:dyDescent="0.25">
      <c r="A5436" s="55">
        <v>5435</v>
      </c>
      <c r="B5436" s="12" t="s">
        <v>7067</v>
      </c>
      <c r="C5436" s="155" t="s">
        <v>6538</v>
      </c>
      <c r="D5436" s="55" t="s">
        <v>6556</v>
      </c>
      <c r="E5436" s="90" t="s">
        <v>4387</v>
      </c>
      <c r="G5436" s="55" t="s">
        <v>4354</v>
      </c>
      <c r="H5436" s="55" t="s">
        <v>6505</v>
      </c>
      <c r="I5436" s="55" t="s">
        <v>5490</v>
      </c>
      <c r="J5436" s="55" t="s">
        <v>6539</v>
      </c>
      <c r="K5436" s="55" t="s">
        <v>6540</v>
      </c>
      <c r="L5436" s="55" t="s">
        <v>3377</v>
      </c>
      <c r="M5436" s="90">
        <f>42+59/60</f>
        <v>42.983333333333334</v>
      </c>
      <c r="N5436" s="90">
        <f>125+24/60</f>
        <v>125.4</v>
      </c>
      <c r="Q5436" s="55" t="s">
        <v>6541</v>
      </c>
      <c r="S5436" s="90" t="s">
        <v>6542</v>
      </c>
      <c r="U5436" s="55" t="s">
        <v>1935</v>
      </c>
      <c r="V5436" s="55" t="s">
        <v>1935</v>
      </c>
      <c r="Y5436" s="55" t="s">
        <v>6564</v>
      </c>
      <c r="Z5436" s="55" t="s">
        <v>6544</v>
      </c>
      <c r="AA5436" s="90">
        <v>20</v>
      </c>
      <c r="AO5436" s="185" t="s">
        <v>7494</v>
      </c>
      <c r="AU5436" s="181" t="s">
        <v>7494</v>
      </c>
      <c r="AV5436" s="185" t="s">
        <v>176</v>
      </c>
      <c r="AX5436" s="185" t="s">
        <v>176</v>
      </c>
      <c r="BK5436" s="55" t="s">
        <v>6568</v>
      </c>
      <c r="BN5436" s="55" t="s">
        <v>1688</v>
      </c>
      <c r="BO5436" s="55" t="s">
        <v>1688</v>
      </c>
      <c r="GD5436" s="65">
        <v>5.39</v>
      </c>
      <c r="GE5436" s="65">
        <v>6.13</v>
      </c>
      <c r="GH5436" s="65" t="s">
        <v>164</v>
      </c>
      <c r="GP5436" s="292" t="s">
        <v>7494</v>
      </c>
    </row>
    <row r="5437" spans="1:198" x14ac:dyDescent="0.25">
      <c r="A5437" s="55">
        <v>5436</v>
      </c>
      <c r="B5437" s="12" t="s">
        <v>7067</v>
      </c>
      <c r="C5437" s="155" t="s">
        <v>6538</v>
      </c>
      <c r="D5437" s="55" t="s">
        <v>6557</v>
      </c>
      <c r="E5437" s="90" t="s">
        <v>4387</v>
      </c>
      <c r="G5437" s="55" t="s">
        <v>4354</v>
      </c>
      <c r="H5437" s="55" t="s">
        <v>6505</v>
      </c>
      <c r="I5437" s="55" t="s">
        <v>5490</v>
      </c>
      <c r="J5437" s="55" t="s">
        <v>6539</v>
      </c>
      <c r="K5437" s="55" t="s">
        <v>6540</v>
      </c>
      <c r="L5437" s="55" t="s">
        <v>3377</v>
      </c>
      <c r="M5437" s="90">
        <f>42+59/60</f>
        <v>42.983333333333334</v>
      </c>
      <c r="N5437" s="90">
        <f>125+24/60</f>
        <v>125.4</v>
      </c>
      <c r="Q5437" s="55" t="s">
        <v>6541</v>
      </c>
      <c r="S5437" s="90" t="s">
        <v>6542</v>
      </c>
      <c r="U5437" s="55" t="s">
        <v>1935</v>
      </c>
      <c r="V5437" s="55" t="s">
        <v>1935</v>
      </c>
      <c r="Y5437" s="55" t="s">
        <v>6564</v>
      </c>
      <c r="Z5437" s="55" t="s">
        <v>6545</v>
      </c>
      <c r="AA5437" s="90">
        <v>20</v>
      </c>
      <c r="AO5437" s="185" t="s">
        <v>7494</v>
      </c>
      <c r="AU5437" s="181" t="s">
        <v>7494</v>
      </c>
      <c r="AV5437" s="185" t="s">
        <v>176</v>
      </c>
      <c r="AX5437" s="185" t="s">
        <v>176</v>
      </c>
      <c r="BK5437" s="55" t="s">
        <v>6568</v>
      </c>
      <c r="BN5437" s="55" t="s">
        <v>1688</v>
      </c>
      <c r="BO5437" s="55" t="s">
        <v>1688</v>
      </c>
      <c r="GD5437" s="65">
        <v>6.44</v>
      </c>
      <c r="GE5437" s="65">
        <v>7.01</v>
      </c>
      <c r="GH5437" s="65" t="s">
        <v>164</v>
      </c>
      <c r="GP5437" s="292" t="s">
        <v>7494</v>
      </c>
    </row>
    <row r="5438" spans="1:198" x14ac:dyDescent="0.25">
      <c r="A5438" s="55">
        <v>5437</v>
      </c>
      <c r="B5438" s="12" t="s">
        <v>7067</v>
      </c>
      <c r="C5438" s="155" t="s">
        <v>6538</v>
      </c>
      <c r="D5438" s="55" t="s">
        <v>6558</v>
      </c>
      <c r="E5438" s="90" t="s">
        <v>4387</v>
      </c>
      <c r="G5438" s="55" t="s">
        <v>4354</v>
      </c>
      <c r="H5438" s="55" t="s">
        <v>6505</v>
      </c>
      <c r="I5438" s="55" t="s">
        <v>5490</v>
      </c>
      <c r="J5438" s="55" t="s">
        <v>6539</v>
      </c>
      <c r="K5438" s="55" t="s">
        <v>6540</v>
      </c>
      <c r="L5438" s="55" t="s">
        <v>3377</v>
      </c>
      <c r="M5438" s="90">
        <f>42+59/60</f>
        <v>42.983333333333334</v>
      </c>
      <c r="N5438" s="90">
        <f>125+24/60</f>
        <v>125.4</v>
      </c>
      <c r="Q5438" s="55" t="s">
        <v>6541</v>
      </c>
      <c r="S5438" s="90" t="s">
        <v>6542</v>
      </c>
      <c r="U5438" s="55" t="s">
        <v>1935</v>
      </c>
      <c r="V5438" s="55" t="s">
        <v>1935</v>
      </c>
      <c r="Y5438" s="55" t="s">
        <v>630</v>
      </c>
      <c r="Z5438" s="55" t="s">
        <v>6543</v>
      </c>
      <c r="AA5438" s="90">
        <v>20</v>
      </c>
      <c r="AO5438" s="185" t="s">
        <v>7494</v>
      </c>
      <c r="AU5438" s="181" t="s">
        <v>7494</v>
      </c>
      <c r="AV5438" s="185" t="s">
        <v>176</v>
      </c>
      <c r="AX5438" s="185" t="s">
        <v>176</v>
      </c>
      <c r="BK5438" s="55" t="s">
        <v>6568</v>
      </c>
      <c r="BN5438" s="55" t="s">
        <v>1688</v>
      </c>
      <c r="BO5438" s="55" t="s">
        <v>1688</v>
      </c>
      <c r="GD5438" s="65">
        <v>6.21</v>
      </c>
      <c r="GE5438" s="65">
        <v>6.52</v>
      </c>
      <c r="GH5438" s="65" t="s">
        <v>164</v>
      </c>
      <c r="GP5438" s="292" t="s">
        <v>7494</v>
      </c>
    </row>
    <row r="5439" spans="1:198" x14ac:dyDescent="0.25">
      <c r="A5439" s="55">
        <v>5438</v>
      </c>
      <c r="B5439" s="12" t="s">
        <v>7067</v>
      </c>
      <c r="C5439" s="155" t="s">
        <v>6538</v>
      </c>
      <c r="D5439" s="55" t="s">
        <v>6559</v>
      </c>
      <c r="E5439" s="90" t="s">
        <v>4387</v>
      </c>
      <c r="G5439" s="55" t="s">
        <v>4354</v>
      </c>
      <c r="H5439" s="55" t="s">
        <v>6505</v>
      </c>
      <c r="I5439" s="55" t="s">
        <v>5490</v>
      </c>
      <c r="J5439" s="55" t="s">
        <v>6539</v>
      </c>
      <c r="K5439" s="55" t="s">
        <v>6540</v>
      </c>
      <c r="L5439" s="55" t="s">
        <v>3377</v>
      </c>
      <c r="M5439" s="90">
        <f>42+59/60</f>
        <v>42.983333333333334</v>
      </c>
      <c r="N5439" s="90">
        <f>125+24/60</f>
        <v>125.4</v>
      </c>
      <c r="Q5439" s="55" t="s">
        <v>6541</v>
      </c>
      <c r="S5439" s="90" t="s">
        <v>6542</v>
      </c>
      <c r="U5439" s="55" t="s">
        <v>1935</v>
      </c>
      <c r="V5439" s="55" t="s">
        <v>1935</v>
      </c>
      <c r="Y5439" s="55" t="s">
        <v>630</v>
      </c>
      <c r="Z5439" s="55" t="s">
        <v>6544</v>
      </c>
      <c r="AA5439" s="90">
        <v>20</v>
      </c>
      <c r="AO5439" s="185" t="s">
        <v>7494</v>
      </c>
      <c r="AU5439" s="181" t="s">
        <v>7494</v>
      </c>
      <c r="AV5439" s="185" t="s">
        <v>176</v>
      </c>
      <c r="AX5439" s="185" t="s">
        <v>176</v>
      </c>
      <c r="BK5439" s="55" t="s">
        <v>6568</v>
      </c>
      <c r="BN5439" s="55" t="s">
        <v>1688</v>
      </c>
      <c r="BO5439" s="55" t="s">
        <v>1688</v>
      </c>
      <c r="GD5439" s="65">
        <v>6.78</v>
      </c>
      <c r="GE5439" s="65">
        <v>7.25</v>
      </c>
      <c r="GH5439" s="65" t="s">
        <v>164</v>
      </c>
      <c r="GP5439" s="292" t="s">
        <v>7494</v>
      </c>
    </row>
    <row r="5440" spans="1:198" x14ac:dyDescent="0.25">
      <c r="A5440" s="55">
        <v>5439</v>
      </c>
      <c r="B5440" s="12" t="s">
        <v>7067</v>
      </c>
      <c r="C5440" s="155" t="s">
        <v>6538</v>
      </c>
      <c r="D5440" s="55" t="s">
        <v>6560</v>
      </c>
      <c r="E5440" s="90" t="s">
        <v>4387</v>
      </c>
      <c r="G5440" s="55" t="s">
        <v>4354</v>
      </c>
      <c r="H5440" s="55" t="s">
        <v>6505</v>
      </c>
      <c r="I5440" s="55" t="s">
        <v>5490</v>
      </c>
      <c r="J5440" s="55" t="s">
        <v>6539</v>
      </c>
      <c r="K5440" s="55" t="s">
        <v>6540</v>
      </c>
      <c r="L5440" s="55" t="s">
        <v>3377</v>
      </c>
      <c r="M5440" s="90">
        <f>42+59/60</f>
        <v>42.983333333333334</v>
      </c>
      <c r="N5440" s="90">
        <f>125+24/60</f>
        <v>125.4</v>
      </c>
      <c r="Q5440" s="55" t="s">
        <v>6541</v>
      </c>
      <c r="S5440" s="90" t="s">
        <v>6542</v>
      </c>
      <c r="U5440" s="55" t="s">
        <v>1935</v>
      </c>
      <c r="V5440" s="55" t="s">
        <v>1935</v>
      </c>
      <c r="Y5440" s="55" t="s">
        <v>630</v>
      </c>
      <c r="Z5440" s="55" t="s">
        <v>6545</v>
      </c>
      <c r="AA5440" s="90">
        <v>20</v>
      </c>
      <c r="AO5440" s="185" t="s">
        <v>7494</v>
      </c>
      <c r="AU5440" s="181" t="s">
        <v>7494</v>
      </c>
      <c r="AV5440" s="185" t="s">
        <v>176</v>
      </c>
      <c r="AX5440" s="185" t="s">
        <v>176</v>
      </c>
      <c r="BK5440" s="55" t="s">
        <v>6568</v>
      </c>
      <c r="BN5440" s="55" t="s">
        <v>1688</v>
      </c>
      <c r="BO5440" s="55" t="s">
        <v>1688</v>
      </c>
      <c r="GD5440" s="65">
        <v>7.64</v>
      </c>
      <c r="GE5440" s="65">
        <v>8.09</v>
      </c>
      <c r="GH5440" s="65" t="s">
        <v>164</v>
      </c>
      <c r="GP5440" s="292" t="s">
        <v>7494</v>
      </c>
    </row>
    <row r="5441" spans="1:198" x14ac:dyDescent="0.25">
      <c r="A5441" s="55">
        <v>5440</v>
      </c>
      <c r="B5441" s="12" t="s">
        <v>7067</v>
      </c>
      <c r="C5441" s="155" t="s">
        <v>6538</v>
      </c>
      <c r="D5441" s="55" t="s">
        <v>6570</v>
      </c>
      <c r="E5441" s="90" t="s">
        <v>4387</v>
      </c>
      <c r="G5441" s="55" t="s">
        <v>4354</v>
      </c>
      <c r="H5441" s="55" t="s">
        <v>6505</v>
      </c>
      <c r="I5441" s="55" t="s">
        <v>5490</v>
      </c>
      <c r="J5441" s="55" t="s">
        <v>6539</v>
      </c>
      <c r="K5441" s="55" t="s">
        <v>6540</v>
      </c>
      <c r="L5441" s="55" t="s">
        <v>3377</v>
      </c>
      <c r="M5441" s="90">
        <f>42+59/60</f>
        <v>42.983333333333334</v>
      </c>
      <c r="N5441" s="90">
        <f>125+24/60</f>
        <v>125.4</v>
      </c>
      <c r="Q5441" s="55" t="s">
        <v>6541</v>
      </c>
      <c r="S5441" s="90" t="s">
        <v>6542</v>
      </c>
      <c r="U5441" s="55" t="s">
        <v>1935</v>
      </c>
      <c r="V5441" s="55" t="s">
        <v>1935</v>
      </c>
      <c r="Y5441" s="55" t="s">
        <v>6561</v>
      </c>
      <c r="Z5441" s="55" t="s">
        <v>6543</v>
      </c>
      <c r="AA5441" s="90">
        <v>20</v>
      </c>
      <c r="AO5441" s="185" t="s">
        <v>5150</v>
      </c>
      <c r="AU5441" s="181" t="s">
        <v>7494</v>
      </c>
      <c r="AV5441" s="185" t="s">
        <v>176</v>
      </c>
      <c r="AX5441" s="185" t="s">
        <v>176</v>
      </c>
      <c r="BK5441" s="55" t="s">
        <v>6566</v>
      </c>
      <c r="BN5441" s="55" t="s">
        <v>1688</v>
      </c>
      <c r="BO5441" s="55" t="s">
        <v>1688</v>
      </c>
      <c r="CB5441" s="66">
        <v>30000</v>
      </c>
      <c r="CC5441" s="66">
        <v>32520</v>
      </c>
      <c r="CG5441" s="65" t="s">
        <v>178</v>
      </c>
      <c r="CM5441" s="65">
        <v>3.43</v>
      </c>
      <c r="CN5441" s="65">
        <v>3.49</v>
      </c>
      <c r="CQ5441" s="65" t="s">
        <v>164</v>
      </c>
      <c r="DB5441" s="65">
        <v>0.13800000000000001</v>
      </c>
      <c r="DC5441" s="65">
        <v>0.14499999999999999</v>
      </c>
      <c r="DF5441" s="65" t="s">
        <v>164</v>
      </c>
      <c r="DG5441" s="65">
        <v>3.9E-2</v>
      </c>
      <c r="DH5441" s="65">
        <v>3.9E-2</v>
      </c>
      <c r="DK5441" s="65" t="s">
        <v>164</v>
      </c>
      <c r="DL5441" s="65">
        <v>1.79</v>
      </c>
      <c r="DM5441" s="65">
        <v>1.82</v>
      </c>
      <c r="DP5441" s="65" t="s">
        <v>164</v>
      </c>
      <c r="FJ5441" s="65">
        <v>280.3</v>
      </c>
      <c r="FK5441" s="65">
        <v>125.6</v>
      </c>
      <c r="FN5441" s="65" t="s">
        <v>6569</v>
      </c>
      <c r="FO5441" s="65">
        <v>2.88</v>
      </c>
      <c r="FP5441" s="65">
        <v>2.02</v>
      </c>
      <c r="FS5441" s="65" t="s">
        <v>637</v>
      </c>
      <c r="GD5441" s="65">
        <v>7.1</v>
      </c>
      <c r="GE5441" s="65">
        <v>7.81</v>
      </c>
      <c r="GH5441" s="65" t="s">
        <v>164</v>
      </c>
      <c r="GP5441" s="292" t="s">
        <v>7494</v>
      </c>
    </row>
    <row r="5442" spans="1:198" x14ac:dyDescent="0.25">
      <c r="A5442" s="55">
        <v>5441</v>
      </c>
      <c r="B5442" s="12" t="s">
        <v>7067</v>
      </c>
      <c r="C5442" s="155" t="s">
        <v>6538</v>
      </c>
      <c r="D5442" s="55" t="s">
        <v>6571</v>
      </c>
      <c r="E5442" s="90" t="s">
        <v>4387</v>
      </c>
      <c r="G5442" s="55" t="s">
        <v>4354</v>
      </c>
      <c r="H5442" s="55" t="s">
        <v>6505</v>
      </c>
      <c r="I5442" s="55" t="s">
        <v>5490</v>
      </c>
      <c r="J5442" s="55" t="s">
        <v>6539</v>
      </c>
      <c r="K5442" s="55" t="s">
        <v>6540</v>
      </c>
      <c r="L5442" s="55" t="s">
        <v>3377</v>
      </c>
      <c r="M5442" s="90">
        <f>42+59/60</f>
        <v>42.983333333333334</v>
      </c>
      <c r="N5442" s="90">
        <f>125+24/60</f>
        <v>125.4</v>
      </c>
      <c r="Q5442" s="55" t="s">
        <v>6541</v>
      </c>
      <c r="S5442" s="90" t="s">
        <v>6542</v>
      </c>
      <c r="U5442" s="55" t="s">
        <v>1935</v>
      </c>
      <c r="V5442" s="55" t="s">
        <v>1935</v>
      </c>
      <c r="Y5442" s="55" t="s">
        <v>6561</v>
      </c>
      <c r="Z5442" s="55" t="s">
        <v>6544</v>
      </c>
      <c r="AA5442" s="90">
        <v>20</v>
      </c>
      <c r="AO5442" s="185" t="s">
        <v>5150</v>
      </c>
      <c r="AU5442" s="181" t="s">
        <v>7494</v>
      </c>
      <c r="AV5442" s="185" t="s">
        <v>176</v>
      </c>
      <c r="AX5442" s="185" t="s">
        <v>176</v>
      </c>
      <c r="BK5442" s="55" t="s">
        <v>6566</v>
      </c>
      <c r="BN5442" s="55" t="s">
        <v>1688</v>
      </c>
      <c r="BO5442" s="55" t="s">
        <v>1688</v>
      </c>
      <c r="CM5442" s="65">
        <v>2.84</v>
      </c>
      <c r="CN5442" s="65">
        <v>2.9</v>
      </c>
      <c r="CQ5442" s="65" t="s">
        <v>164</v>
      </c>
      <c r="DB5442" s="65">
        <v>0.115</v>
      </c>
      <c r="DC5442" s="65">
        <v>0.12</v>
      </c>
      <c r="DF5442" s="65" t="s">
        <v>164</v>
      </c>
      <c r="DG5442" s="65">
        <v>3.6999999999999998E-2</v>
      </c>
      <c r="DH5442" s="65">
        <v>3.6999999999999998E-2</v>
      </c>
      <c r="DK5442" s="65" t="s">
        <v>164</v>
      </c>
      <c r="DL5442" s="65">
        <v>1.57</v>
      </c>
      <c r="DM5442" s="65">
        <v>1.6</v>
      </c>
      <c r="DP5442" s="65" t="s">
        <v>164</v>
      </c>
      <c r="GD5442" s="65">
        <v>7.75</v>
      </c>
      <c r="GE5442" s="65">
        <v>8.68</v>
      </c>
      <c r="GH5442" s="65" t="s">
        <v>164</v>
      </c>
      <c r="GP5442" s="292" t="s">
        <v>7494</v>
      </c>
    </row>
    <row r="5443" spans="1:198" x14ac:dyDescent="0.25">
      <c r="A5443" s="55">
        <v>5442</v>
      </c>
      <c r="B5443" s="12" t="s">
        <v>7067</v>
      </c>
      <c r="C5443" s="155" t="s">
        <v>6538</v>
      </c>
      <c r="D5443" s="55" t="s">
        <v>6572</v>
      </c>
      <c r="E5443" s="90" t="s">
        <v>4387</v>
      </c>
      <c r="G5443" s="55" t="s">
        <v>4354</v>
      </c>
      <c r="H5443" s="55" t="s">
        <v>6505</v>
      </c>
      <c r="I5443" s="55" t="s">
        <v>5490</v>
      </c>
      <c r="J5443" s="55" t="s">
        <v>6539</v>
      </c>
      <c r="K5443" s="55" t="s">
        <v>6540</v>
      </c>
      <c r="L5443" s="55" t="s">
        <v>3377</v>
      </c>
      <c r="M5443" s="90">
        <f>42+59/60</f>
        <v>42.983333333333334</v>
      </c>
      <c r="N5443" s="90">
        <f>125+24/60</f>
        <v>125.4</v>
      </c>
      <c r="Q5443" s="55" t="s">
        <v>6541</v>
      </c>
      <c r="S5443" s="90" t="s">
        <v>6542</v>
      </c>
      <c r="U5443" s="55" t="s">
        <v>1935</v>
      </c>
      <c r="V5443" s="55" t="s">
        <v>1935</v>
      </c>
      <c r="Y5443" s="55" t="s">
        <v>6561</v>
      </c>
      <c r="Z5443" s="55" t="s">
        <v>6545</v>
      </c>
      <c r="AA5443" s="90">
        <v>20</v>
      </c>
      <c r="AO5443" s="185" t="s">
        <v>5150</v>
      </c>
      <c r="AU5443" s="181" t="s">
        <v>7494</v>
      </c>
      <c r="AV5443" s="185" t="s">
        <v>176</v>
      </c>
      <c r="AX5443" s="185" t="s">
        <v>176</v>
      </c>
      <c r="BK5443" s="55" t="s">
        <v>6566</v>
      </c>
      <c r="BN5443" s="55" t="s">
        <v>1688</v>
      </c>
      <c r="BO5443" s="55" t="s">
        <v>1688</v>
      </c>
      <c r="CM5443" s="65">
        <v>1.68</v>
      </c>
      <c r="CN5443" s="65">
        <v>1.71</v>
      </c>
      <c r="CQ5443" s="65" t="s">
        <v>164</v>
      </c>
      <c r="DB5443" s="65">
        <v>7.0000000000000007E-2</v>
      </c>
      <c r="DC5443" s="65">
        <v>7.2999999999999995E-2</v>
      </c>
      <c r="DF5443" s="65" t="s">
        <v>164</v>
      </c>
      <c r="DG5443" s="65">
        <v>0.03</v>
      </c>
      <c r="DH5443" s="65">
        <v>3.1E-2</v>
      </c>
      <c r="DK5443" s="65" t="s">
        <v>164</v>
      </c>
      <c r="DL5443" s="65">
        <v>1.36</v>
      </c>
      <c r="DM5443" s="65">
        <v>1.37</v>
      </c>
      <c r="DP5443" s="65" t="s">
        <v>164</v>
      </c>
      <c r="GD5443" s="65">
        <v>8.73</v>
      </c>
      <c r="GE5443" s="65">
        <v>9.6999999999999993</v>
      </c>
      <c r="GH5443" s="65" t="s">
        <v>164</v>
      </c>
      <c r="GP5443" s="292" t="s">
        <v>7494</v>
      </c>
    </row>
    <row r="5444" spans="1:198" x14ac:dyDescent="0.25">
      <c r="A5444" s="55">
        <v>5443</v>
      </c>
      <c r="B5444" s="12" t="s">
        <v>7067</v>
      </c>
      <c r="C5444" s="155" t="s">
        <v>6538</v>
      </c>
      <c r="D5444" s="55" t="s">
        <v>6573</v>
      </c>
      <c r="E5444" s="90" t="s">
        <v>4387</v>
      </c>
      <c r="G5444" s="55" t="s">
        <v>4354</v>
      </c>
      <c r="H5444" s="55" t="s">
        <v>6505</v>
      </c>
      <c r="I5444" s="55" t="s">
        <v>5490</v>
      </c>
      <c r="J5444" s="55" t="s">
        <v>6539</v>
      </c>
      <c r="K5444" s="55" t="s">
        <v>6540</v>
      </c>
      <c r="L5444" s="55" t="s">
        <v>3377</v>
      </c>
      <c r="M5444" s="90">
        <f>42+59/60</f>
        <v>42.983333333333334</v>
      </c>
      <c r="N5444" s="90">
        <f>125+24/60</f>
        <v>125.4</v>
      </c>
      <c r="Q5444" s="55" t="s">
        <v>6541</v>
      </c>
      <c r="S5444" s="90" t="s">
        <v>6542</v>
      </c>
      <c r="U5444" s="55" t="s">
        <v>1935</v>
      </c>
      <c r="V5444" s="55" t="s">
        <v>1935</v>
      </c>
      <c r="Y5444" s="55" t="s">
        <v>6562</v>
      </c>
      <c r="Z5444" s="55" t="s">
        <v>6543</v>
      </c>
      <c r="AA5444" s="90">
        <v>20</v>
      </c>
      <c r="AO5444" s="185" t="s">
        <v>7494</v>
      </c>
      <c r="AU5444" s="181" t="s">
        <v>7494</v>
      </c>
      <c r="AV5444" s="185" t="s">
        <v>176</v>
      </c>
      <c r="AX5444" s="185" t="s">
        <v>176</v>
      </c>
      <c r="BK5444" s="55" t="s">
        <v>6566</v>
      </c>
      <c r="BN5444" s="55" t="s">
        <v>1688</v>
      </c>
      <c r="BO5444" s="55" t="s">
        <v>1688</v>
      </c>
      <c r="GD5444" s="65">
        <v>5.47</v>
      </c>
      <c r="GE5444" s="65">
        <v>6.63</v>
      </c>
      <c r="GH5444" s="65" t="s">
        <v>164</v>
      </c>
      <c r="GP5444" s="292" t="s">
        <v>7494</v>
      </c>
    </row>
    <row r="5445" spans="1:198" x14ac:dyDescent="0.25">
      <c r="A5445" s="55">
        <v>5444</v>
      </c>
      <c r="B5445" s="12" t="s">
        <v>7067</v>
      </c>
      <c r="C5445" s="155" t="s">
        <v>6538</v>
      </c>
      <c r="D5445" s="55" t="s">
        <v>6574</v>
      </c>
      <c r="E5445" s="90" t="s">
        <v>4387</v>
      </c>
      <c r="G5445" s="55" t="s">
        <v>4354</v>
      </c>
      <c r="H5445" s="55" t="s">
        <v>6505</v>
      </c>
      <c r="I5445" s="55" t="s">
        <v>5490</v>
      </c>
      <c r="J5445" s="55" t="s">
        <v>6539</v>
      </c>
      <c r="K5445" s="55" t="s">
        <v>6540</v>
      </c>
      <c r="L5445" s="55" t="s">
        <v>3377</v>
      </c>
      <c r="M5445" s="90">
        <f>42+59/60</f>
        <v>42.983333333333334</v>
      </c>
      <c r="N5445" s="90">
        <f>125+24/60</f>
        <v>125.4</v>
      </c>
      <c r="Q5445" s="55" t="s">
        <v>6541</v>
      </c>
      <c r="S5445" s="90" t="s">
        <v>6542</v>
      </c>
      <c r="U5445" s="55" t="s">
        <v>1935</v>
      </c>
      <c r="V5445" s="55" t="s">
        <v>1935</v>
      </c>
      <c r="Y5445" s="55" t="s">
        <v>6562</v>
      </c>
      <c r="Z5445" s="55" t="s">
        <v>6544</v>
      </c>
      <c r="AA5445" s="90">
        <v>20</v>
      </c>
      <c r="AO5445" s="185" t="s">
        <v>7494</v>
      </c>
      <c r="AU5445" s="181" t="s">
        <v>7494</v>
      </c>
      <c r="AV5445" s="185" t="s">
        <v>176</v>
      </c>
      <c r="AX5445" s="185" t="s">
        <v>176</v>
      </c>
      <c r="BK5445" s="55" t="s">
        <v>6566</v>
      </c>
      <c r="BN5445" s="55" t="s">
        <v>1688</v>
      </c>
      <c r="BO5445" s="55" t="s">
        <v>1688</v>
      </c>
      <c r="GD5445" s="65">
        <v>6.97</v>
      </c>
      <c r="GE5445" s="65">
        <v>7.84</v>
      </c>
      <c r="GH5445" s="65" t="s">
        <v>164</v>
      </c>
      <c r="GP5445" s="292" t="s">
        <v>7494</v>
      </c>
    </row>
    <row r="5446" spans="1:198" x14ac:dyDescent="0.25">
      <c r="A5446" s="55">
        <v>5445</v>
      </c>
      <c r="B5446" s="12" t="s">
        <v>7067</v>
      </c>
      <c r="C5446" s="155" t="s">
        <v>6538</v>
      </c>
      <c r="D5446" s="55" t="s">
        <v>6575</v>
      </c>
      <c r="E5446" s="90" t="s">
        <v>4387</v>
      </c>
      <c r="G5446" s="55" t="s">
        <v>4354</v>
      </c>
      <c r="H5446" s="55" t="s">
        <v>6505</v>
      </c>
      <c r="I5446" s="55" t="s">
        <v>5490</v>
      </c>
      <c r="J5446" s="55" t="s">
        <v>6539</v>
      </c>
      <c r="K5446" s="55" t="s">
        <v>6540</v>
      </c>
      <c r="L5446" s="55" t="s">
        <v>3377</v>
      </c>
      <c r="M5446" s="90">
        <f>42+59/60</f>
        <v>42.983333333333334</v>
      </c>
      <c r="N5446" s="90">
        <f>125+24/60</f>
        <v>125.4</v>
      </c>
      <c r="Q5446" s="55" t="s">
        <v>6541</v>
      </c>
      <c r="S5446" s="90" t="s">
        <v>6542</v>
      </c>
      <c r="U5446" s="55" t="s">
        <v>1935</v>
      </c>
      <c r="V5446" s="55" t="s">
        <v>1935</v>
      </c>
      <c r="Y5446" s="55" t="s">
        <v>6562</v>
      </c>
      <c r="Z5446" s="55" t="s">
        <v>6545</v>
      </c>
      <c r="AA5446" s="90">
        <v>20</v>
      </c>
      <c r="AO5446" s="185" t="s">
        <v>7494</v>
      </c>
      <c r="AU5446" s="181" t="s">
        <v>7494</v>
      </c>
      <c r="AV5446" s="185" t="s">
        <v>176</v>
      </c>
      <c r="AX5446" s="185" t="s">
        <v>176</v>
      </c>
      <c r="BK5446" s="55" t="s">
        <v>6566</v>
      </c>
      <c r="BN5446" s="55" t="s">
        <v>1688</v>
      </c>
      <c r="BO5446" s="55" t="s">
        <v>1688</v>
      </c>
      <c r="GD5446" s="65">
        <v>7.94</v>
      </c>
      <c r="GE5446" s="65">
        <v>8.8800000000000008</v>
      </c>
      <c r="GH5446" s="65" t="s">
        <v>164</v>
      </c>
      <c r="GP5446" s="292" t="s">
        <v>7494</v>
      </c>
    </row>
    <row r="5447" spans="1:198" x14ac:dyDescent="0.25">
      <c r="A5447" s="55">
        <v>5446</v>
      </c>
      <c r="B5447" s="12" t="s">
        <v>7067</v>
      </c>
      <c r="C5447" s="155" t="s">
        <v>6538</v>
      </c>
      <c r="D5447" s="55" t="s">
        <v>6576</v>
      </c>
      <c r="E5447" s="90" t="s">
        <v>4387</v>
      </c>
      <c r="G5447" s="55" t="s">
        <v>4354</v>
      </c>
      <c r="H5447" s="55" t="s">
        <v>6505</v>
      </c>
      <c r="I5447" s="55" t="s">
        <v>5490</v>
      </c>
      <c r="J5447" s="55" t="s">
        <v>6539</v>
      </c>
      <c r="K5447" s="55" t="s">
        <v>6540</v>
      </c>
      <c r="L5447" s="55" t="s">
        <v>3377</v>
      </c>
      <c r="M5447" s="90">
        <f>42+59/60</f>
        <v>42.983333333333334</v>
      </c>
      <c r="N5447" s="90">
        <f>125+24/60</f>
        <v>125.4</v>
      </c>
      <c r="Q5447" s="55" t="s">
        <v>6541</v>
      </c>
      <c r="S5447" s="90" t="s">
        <v>6542</v>
      </c>
      <c r="U5447" s="55" t="s">
        <v>1935</v>
      </c>
      <c r="V5447" s="55" t="s">
        <v>1935</v>
      </c>
      <c r="Y5447" s="55" t="s">
        <v>6563</v>
      </c>
      <c r="Z5447" s="55" t="s">
        <v>6543</v>
      </c>
      <c r="AA5447" s="90">
        <v>20</v>
      </c>
      <c r="AO5447" s="185" t="s">
        <v>7494</v>
      </c>
      <c r="AU5447" s="181" t="s">
        <v>7494</v>
      </c>
      <c r="AV5447" s="185" t="s">
        <v>176</v>
      </c>
      <c r="AX5447" s="185" t="s">
        <v>176</v>
      </c>
      <c r="BK5447" s="55" t="s">
        <v>6566</v>
      </c>
      <c r="BN5447" s="55" t="s">
        <v>1688</v>
      </c>
      <c r="BO5447" s="55" t="s">
        <v>1688</v>
      </c>
      <c r="GD5447" s="65">
        <v>4.8099999999999996</v>
      </c>
      <c r="GE5447" s="65">
        <v>6.13</v>
      </c>
      <c r="GH5447" s="65" t="s">
        <v>164</v>
      </c>
      <c r="GP5447" s="292" t="s">
        <v>7494</v>
      </c>
    </row>
    <row r="5448" spans="1:198" x14ac:dyDescent="0.25">
      <c r="A5448" s="55">
        <v>5447</v>
      </c>
      <c r="B5448" s="12" t="s">
        <v>7067</v>
      </c>
      <c r="C5448" s="155" t="s">
        <v>6538</v>
      </c>
      <c r="D5448" s="55" t="s">
        <v>6577</v>
      </c>
      <c r="E5448" s="90" t="s">
        <v>4387</v>
      </c>
      <c r="G5448" s="55" t="s">
        <v>4354</v>
      </c>
      <c r="H5448" s="55" t="s">
        <v>6505</v>
      </c>
      <c r="I5448" s="55" t="s">
        <v>5490</v>
      </c>
      <c r="J5448" s="55" t="s">
        <v>6539</v>
      </c>
      <c r="K5448" s="55" t="s">
        <v>6540</v>
      </c>
      <c r="L5448" s="55" t="s">
        <v>3377</v>
      </c>
      <c r="M5448" s="90">
        <f>42+59/60</f>
        <v>42.983333333333334</v>
      </c>
      <c r="N5448" s="90">
        <f>125+24/60</f>
        <v>125.4</v>
      </c>
      <c r="Q5448" s="55" t="s">
        <v>6541</v>
      </c>
      <c r="S5448" s="90" t="s">
        <v>6542</v>
      </c>
      <c r="U5448" s="55" t="s">
        <v>1935</v>
      </c>
      <c r="V5448" s="55" t="s">
        <v>1935</v>
      </c>
      <c r="Y5448" s="55" t="s">
        <v>6563</v>
      </c>
      <c r="Z5448" s="55" t="s">
        <v>6544</v>
      </c>
      <c r="AA5448" s="90">
        <v>20</v>
      </c>
      <c r="AO5448" s="185" t="s">
        <v>7494</v>
      </c>
      <c r="AU5448" s="181" t="s">
        <v>7494</v>
      </c>
      <c r="AV5448" s="185" t="s">
        <v>176</v>
      </c>
      <c r="AX5448" s="185" t="s">
        <v>176</v>
      </c>
      <c r="BK5448" s="55" t="s">
        <v>6566</v>
      </c>
      <c r="BN5448" s="55" t="s">
        <v>1688</v>
      </c>
      <c r="BO5448" s="55" t="s">
        <v>1688</v>
      </c>
      <c r="GD5448" s="65">
        <v>6.41</v>
      </c>
      <c r="GE5448" s="65">
        <v>7.18</v>
      </c>
      <c r="GH5448" s="65" t="s">
        <v>164</v>
      </c>
      <c r="GP5448" s="292" t="s">
        <v>7494</v>
      </c>
    </row>
    <row r="5449" spans="1:198" x14ac:dyDescent="0.25">
      <c r="A5449" s="55">
        <v>5448</v>
      </c>
      <c r="B5449" s="12" t="s">
        <v>7067</v>
      </c>
      <c r="C5449" s="155" t="s">
        <v>6538</v>
      </c>
      <c r="D5449" s="55" t="s">
        <v>6578</v>
      </c>
      <c r="E5449" s="90" t="s">
        <v>4387</v>
      </c>
      <c r="G5449" s="55" t="s">
        <v>4354</v>
      </c>
      <c r="H5449" s="55" t="s">
        <v>6505</v>
      </c>
      <c r="I5449" s="55" t="s">
        <v>5490</v>
      </c>
      <c r="J5449" s="55" t="s">
        <v>6539</v>
      </c>
      <c r="K5449" s="55" t="s">
        <v>6540</v>
      </c>
      <c r="L5449" s="55" t="s">
        <v>3377</v>
      </c>
      <c r="M5449" s="90">
        <f>42+59/60</f>
        <v>42.983333333333334</v>
      </c>
      <c r="N5449" s="90">
        <f>125+24/60</f>
        <v>125.4</v>
      </c>
      <c r="Q5449" s="55" t="s">
        <v>6541</v>
      </c>
      <c r="S5449" s="90" t="s">
        <v>6542</v>
      </c>
      <c r="U5449" s="55" t="s">
        <v>1935</v>
      </c>
      <c r="V5449" s="55" t="s">
        <v>1935</v>
      </c>
      <c r="Y5449" s="55" t="s">
        <v>6563</v>
      </c>
      <c r="Z5449" s="55" t="s">
        <v>6545</v>
      </c>
      <c r="AA5449" s="90">
        <v>20</v>
      </c>
      <c r="AO5449" s="185" t="s">
        <v>7494</v>
      </c>
      <c r="AU5449" s="181" t="s">
        <v>7494</v>
      </c>
      <c r="AV5449" s="185" t="s">
        <v>176</v>
      </c>
      <c r="AX5449" s="185" t="s">
        <v>176</v>
      </c>
      <c r="BK5449" s="55" t="s">
        <v>6566</v>
      </c>
      <c r="BN5449" s="55" t="s">
        <v>1688</v>
      </c>
      <c r="BO5449" s="55" t="s">
        <v>1688</v>
      </c>
      <c r="GD5449" s="65">
        <v>7.38</v>
      </c>
      <c r="GE5449" s="65">
        <v>8.02</v>
      </c>
      <c r="GH5449" s="65" t="s">
        <v>164</v>
      </c>
      <c r="GP5449" s="292" t="s">
        <v>7494</v>
      </c>
    </row>
    <row r="5450" spans="1:198" x14ac:dyDescent="0.25">
      <c r="A5450" s="55">
        <v>5449</v>
      </c>
      <c r="B5450" s="12" t="s">
        <v>7067</v>
      </c>
      <c r="C5450" s="155" t="s">
        <v>6538</v>
      </c>
      <c r="D5450" s="55" t="s">
        <v>6579</v>
      </c>
      <c r="E5450" s="90" t="s">
        <v>4387</v>
      </c>
      <c r="G5450" s="55" t="s">
        <v>4354</v>
      </c>
      <c r="H5450" s="55" t="s">
        <v>6505</v>
      </c>
      <c r="I5450" s="55" t="s">
        <v>5490</v>
      </c>
      <c r="J5450" s="55" t="s">
        <v>6539</v>
      </c>
      <c r="K5450" s="55" t="s">
        <v>6540</v>
      </c>
      <c r="L5450" s="55" t="s">
        <v>3377</v>
      </c>
      <c r="M5450" s="90">
        <f>42+59/60</f>
        <v>42.983333333333334</v>
      </c>
      <c r="N5450" s="90">
        <f>125+24/60</f>
        <v>125.4</v>
      </c>
      <c r="Q5450" s="55" t="s">
        <v>6541</v>
      </c>
      <c r="S5450" s="90" t="s">
        <v>6542</v>
      </c>
      <c r="U5450" s="55" t="s">
        <v>1935</v>
      </c>
      <c r="V5450" s="55" t="s">
        <v>1935</v>
      </c>
      <c r="Y5450" s="55" t="s">
        <v>6564</v>
      </c>
      <c r="Z5450" s="55" t="s">
        <v>6543</v>
      </c>
      <c r="AA5450" s="90">
        <v>20</v>
      </c>
      <c r="AO5450" s="185" t="s">
        <v>7494</v>
      </c>
      <c r="AU5450" s="181" t="s">
        <v>7494</v>
      </c>
      <c r="AV5450" s="185" t="s">
        <v>176</v>
      </c>
      <c r="AX5450" s="185" t="s">
        <v>176</v>
      </c>
      <c r="BK5450" s="55" t="s">
        <v>6566</v>
      </c>
      <c r="BN5450" s="55" t="s">
        <v>1688</v>
      </c>
      <c r="BO5450" s="55" t="s">
        <v>1688</v>
      </c>
      <c r="GD5450" s="65">
        <v>3.13</v>
      </c>
      <c r="GE5450" s="65">
        <v>4.5999999999999996</v>
      </c>
      <c r="GH5450" s="65" t="s">
        <v>164</v>
      </c>
      <c r="GP5450" s="292" t="s">
        <v>7494</v>
      </c>
    </row>
    <row r="5451" spans="1:198" x14ac:dyDescent="0.25">
      <c r="A5451" s="55">
        <v>5450</v>
      </c>
      <c r="B5451" s="12" t="s">
        <v>7067</v>
      </c>
      <c r="C5451" s="155" t="s">
        <v>6538</v>
      </c>
      <c r="D5451" s="55" t="s">
        <v>6580</v>
      </c>
      <c r="E5451" s="90" t="s">
        <v>4387</v>
      </c>
      <c r="G5451" s="55" t="s">
        <v>4354</v>
      </c>
      <c r="H5451" s="55" t="s">
        <v>6505</v>
      </c>
      <c r="I5451" s="55" t="s">
        <v>5490</v>
      </c>
      <c r="J5451" s="55" t="s">
        <v>6539</v>
      </c>
      <c r="K5451" s="55" t="s">
        <v>6540</v>
      </c>
      <c r="L5451" s="55" t="s">
        <v>3377</v>
      </c>
      <c r="M5451" s="90">
        <f>42+59/60</f>
        <v>42.983333333333334</v>
      </c>
      <c r="N5451" s="90">
        <f>125+24/60</f>
        <v>125.4</v>
      </c>
      <c r="Q5451" s="55" t="s">
        <v>6541</v>
      </c>
      <c r="S5451" s="90" t="s">
        <v>6542</v>
      </c>
      <c r="U5451" s="55" t="s">
        <v>1935</v>
      </c>
      <c r="V5451" s="55" t="s">
        <v>1935</v>
      </c>
      <c r="Y5451" s="55" t="s">
        <v>6564</v>
      </c>
      <c r="Z5451" s="55" t="s">
        <v>6544</v>
      </c>
      <c r="AA5451" s="90">
        <v>20</v>
      </c>
      <c r="AO5451" s="185" t="s">
        <v>7494</v>
      </c>
      <c r="AU5451" s="181" t="s">
        <v>7494</v>
      </c>
      <c r="AV5451" s="185" t="s">
        <v>176</v>
      </c>
      <c r="AX5451" s="185" t="s">
        <v>176</v>
      </c>
      <c r="BK5451" s="55" t="s">
        <v>6566</v>
      </c>
      <c r="BN5451" s="55" t="s">
        <v>1688</v>
      </c>
      <c r="BO5451" s="55" t="s">
        <v>1688</v>
      </c>
      <c r="GD5451" s="65">
        <v>5.39</v>
      </c>
      <c r="GE5451" s="65">
        <v>6.32</v>
      </c>
      <c r="GH5451" s="65" t="s">
        <v>164</v>
      </c>
      <c r="GP5451" s="292" t="s">
        <v>7494</v>
      </c>
    </row>
    <row r="5452" spans="1:198" x14ac:dyDescent="0.25">
      <c r="A5452" s="55">
        <v>5451</v>
      </c>
      <c r="B5452" s="12" t="s">
        <v>7067</v>
      </c>
      <c r="C5452" s="155" t="s">
        <v>6538</v>
      </c>
      <c r="D5452" s="55" t="s">
        <v>6581</v>
      </c>
      <c r="E5452" s="90" t="s">
        <v>4387</v>
      </c>
      <c r="G5452" s="55" t="s">
        <v>4354</v>
      </c>
      <c r="H5452" s="55" t="s">
        <v>6505</v>
      </c>
      <c r="I5452" s="55" t="s">
        <v>5490</v>
      </c>
      <c r="J5452" s="55" t="s">
        <v>6539</v>
      </c>
      <c r="K5452" s="55" t="s">
        <v>6540</v>
      </c>
      <c r="L5452" s="55" t="s">
        <v>3377</v>
      </c>
      <c r="M5452" s="90">
        <f>42+59/60</f>
        <v>42.983333333333334</v>
      </c>
      <c r="N5452" s="90">
        <f>125+24/60</f>
        <v>125.4</v>
      </c>
      <c r="Q5452" s="55" t="s">
        <v>6541</v>
      </c>
      <c r="S5452" s="90" t="s">
        <v>6542</v>
      </c>
      <c r="U5452" s="55" t="s">
        <v>1935</v>
      </c>
      <c r="V5452" s="55" t="s">
        <v>1935</v>
      </c>
      <c r="Y5452" s="55" t="s">
        <v>6564</v>
      </c>
      <c r="Z5452" s="55" t="s">
        <v>6545</v>
      </c>
      <c r="AA5452" s="90">
        <v>20</v>
      </c>
      <c r="AO5452" s="185" t="s">
        <v>7494</v>
      </c>
      <c r="AU5452" s="181" t="s">
        <v>7494</v>
      </c>
      <c r="AV5452" s="185" t="s">
        <v>176</v>
      </c>
      <c r="AX5452" s="185" t="s">
        <v>176</v>
      </c>
      <c r="BK5452" s="55" t="s">
        <v>6566</v>
      </c>
      <c r="BN5452" s="55" t="s">
        <v>1688</v>
      </c>
      <c r="BO5452" s="55" t="s">
        <v>1688</v>
      </c>
      <c r="GD5452" s="65">
        <v>6.44</v>
      </c>
      <c r="GE5452" s="65">
        <v>7.22</v>
      </c>
      <c r="GH5452" s="65" t="s">
        <v>164</v>
      </c>
      <c r="GP5452" s="292" t="s">
        <v>7494</v>
      </c>
    </row>
    <row r="5453" spans="1:198" x14ac:dyDescent="0.25">
      <c r="A5453" s="55">
        <v>5452</v>
      </c>
      <c r="B5453" s="12" t="s">
        <v>7067</v>
      </c>
      <c r="C5453" s="155" t="s">
        <v>6538</v>
      </c>
      <c r="D5453" s="55" t="s">
        <v>6582</v>
      </c>
      <c r="E5453" s="90" t="s">
        <v>4387</v>
      </c>
      <c r="G5453" s="55" t="s">
        <v>4354</v>
      </c>
      <c r="H5453" s="55" t="s">
        <v>6505</v>
      </c>
      <c r="I5453" s="55" t="s">
        <v>5490</v>
      </c>
      <c r="J5453" s="55" t="s">
        <v>6539</v>
      </c>
      <c r="K5453" s="55" t="s">
        <v>6540</v>
      </c>
      <c r="L5453" s="55" t="s">
        <v>3377</v>
      </c>
      <c r="M5453" s="90">
        <f>42+59/60</f>
        <v>42.983333333333334</v>
      </c>
      <c r="N5453" s="90">
        <f>125+24/60</f>
        <v>125.4</v>
      </c>
      <c r="Q5453" s="55" t="s">
        <v>6541</v>
      </c>
      <c r="S5453" s="90" t="s">
        <v>6542</v>
      </c>
      <c r="U5453" s="55" t="s">
        <v>1935</v>
      </c>
      <c r="V5453" s="55" t="s">
        <v>1935</v>
      </c>
      <c r="Y5453" s="55" t="s">
        <v>630</v>
      </c>
      <c r="Z5453" s="55" t="s">
        <v>6543</v>
      </c>
      <c r="AA5453" s="90">
        <v>20</v>
      </c>
      <c r="AO5453" s="185" t="s">
        <v>7494</v>
      </c>
      <c r="AU5453" s="181" t="s">
        <v>7494</v>
      </c>
      <c r="AV5453" s="185" t="s">
        <v>176</v>
      </c>
      <c r="AX5453" s="185" t="s">
        <v>176</v>
      </c>
      <c r="BK5453" s="55" t="s">
        <v>6566</v>
      </c>
      <c r="BN5453" s="55" t="s">
        <v>1688</v>
      </c>
      <c r="BO5453" s="55" t="s">
        <v>1688</v>
      </c>
      <c r="GD5453" s="65">
        <v>6.21</v>
      </c>
      <c r="GE5453" s="65">
        <v>6.83</v>
      </c>
      <c r="GH5453" s="65" t="s">
        <v>164</v>
      </c>
      <c r="GP5453" s="292" t="s">
        <v>7494</v>
      </c>
    </row>
    <row r="5454" spans="1:198" x14ac:dyDescent="0.25">
      <c r="A5454" s="55">
        <v>5453</v>
      </c>
      <c r="B5454" s="12" t="s">
        <v>7067</v>
      </c>
      <c r="C5454" s="155" t="s">
        <v>6538</v>
      </c>
      <c r="D5454" s="55" t="s">
        <v>6583</v>
      </c>
      <c r="E5454" s="90" t="s">
        <v>4387</v>
      </c>
      <c r="G5454" s="55" t="s">
        <v>4354</v>
      </c>
      <c r="H5454" s="55" t="s">
        <v>6505</v>
      </c>
      <c r="I5454" s="55" t="s">
        <v>5490</v>
      </c>
      <c r="J5454" s="55" t="s">
        <v>6539</v>
      </c>
      <c r="K5454" s="55" t="s">
        <v>6540</v>
      </c>
      <c r="L5454" s="55" t="s">
        <v>3377</v>
      </c>
      <c r="M5454" s="90">
        <f>42+59/60</f>
        <v>42.983333333333334</v>
      </c>
      <c r="N5454" s="90">
        <f>125+24/60</f>
        <v>125.4</v>
      </c>
      <c r="Q5454" s="55" t="s">
        <v>6541</v>
      </c>
      <c r="S5454" s="90" t="s">
        <v>6542</v>
      </c>
      <c r="U5454" s="55" t="s">
        <v>1935</v>
      </c>
      <c r="V5454" s="55" t="s">
        <v>1935</v>
      </c>
      <c r="Y5454" s="55" t="s">
        <v>630</v>
      </c>
      <c r="Z5454" s="55" t="s">
        <v>6544</v>
      </c>
      <c r="AA5454" s="90">
        <v>20</v>
      </c>
      <c r="AO5454" s="185" t="s">
        <v>7494</v>
      </c>
      <c r="AU5454" s="181" t="s">
        <v>7494</v>
      </c>
      <c r="AV5454" s="185" t="s">
        <v>176</v>
      </c>
      <c r="AX5454" s="185" t="s">
        <v>176</v>
      </c>
      <c r="BK5454" s="55" t="s">
        <v>6566</v>
      </c>
      <c r="BN5454" s="55" t="s">
        <v>1688</v>
      </c>
      <c r="BO5454" s="55" t="s">
        <v>1688</v>
      </c>
      <c r="GD5454" s="65">
        <v>6.78</v>
      </c>
      <c r="GE5454" s="65">
        <v>7.6</v>
      </c>
      <c r="GH5454" s="65" t="s">
        <v>164</v>
      </c>
      <c r="GP5454" s="292" t="s">
        <v>7494</v>
      </c>
    </row>
    <row r="5455" spans="1:198" x14ac:dyDescent="0.25">
      <c r="A5455" s="55">
        <v>5454</v>
      </c>
      <c r="B5455" s="12" t="s">
        <v>7067</v>
      </c>
      <c r="C5455" s="155" t="s">
        <v>6538</v>
      </c>
      <c r="D5455" s="55" t="s">
        <v>6584</v>
      </c>
      <c r="E5455" s="90" t="s">
        <v>4387</v>
      </c>
      <c r="G5455" s="55" t="s">
        <v>4354</v>
      </c>
      <c r="H5455" s="55" t="s">
        <v>6505</v>
      </c>
      <c r="I5455" s="55" t="s">
        <v>5490</v>
      </c>
      <c r="J5455" s="55" t="s">
        <v>6539</v>
      </c>
      <c r="K5455" s="55" t="s">
        <v>6540</v>
      </c>
      <c r="L5455" s="55" t="s">
        <v>3377</v>
      </c>
      <c r="M5455" s="90">
        <f>42+59/60</f>
        <v>42.983333333333334</v>
      </c>
      <c r="N5455" s="90">
        <f>125+24/60</f>
        <v>125.4</v>
      </c>
      <c r="Q5455" s="55" t="s">
        <v>6541</v>
      </c>
      <c r="S5455" s="90" t="s">
        <v>6542</v>
      </c>
      <c r="U5455" s="55" t="s">
        <v>1935</v>
      </c>
      <c r="V5455" s="55" t="s">
        <v>1935</v>
      </c>
      <c r="Y5455" s="55" t="s">
        <v>630</v>
      </c>
      <c r="Z5455" s="55" t="s">
        <v>6545</v>
      </c>
      <c r="AA5455" s="90">
        <v>20</v>
      </c>
      <c r="AO5455" s="185" t="s">
        <v>7494</v>
      </c>
      <c r="AU5455" s="181" t="s">
        <v>7494</v>
      </c>
      <c r="AV5455" s="185" t="s">
        <v>176</v>
      </c>
      <c r="AX5455" s="185" t="s">
        <v>176</v>
      </c>
      <c r="BK5455" s="55" t="s">
        <v>6566</v>
      </c>
      <c r="BN5455" s="55" t="s">
        <v>1688</v>
      </c>
      <c r="BO5455" s="55" t="s">
        <v>1688</v>
      </c>
      <c r="GD5455" s="65">
        <v>7.64</v>
      </c>
      <c r="GE5455" s="65">
        <v>8.49</v>
      </c>
      <c r="GH5455" s="65" t="s">
        <v>164</v>
      </c>
      <c r="GP5455" s="292" t="s">
        <v>7494</v>
      </c>
    </row>
    <row r="5456" spans="1:198" x14ac:dyDescent="0.25">
      <c r="A5456" s="55">
        <v>5455</v>
      </c>
      <c r="B5456" s="12" t="s">
        <v>7067</v>
      </c>
      <c r="C5456" s="155" t="s">
        <v>6538</v>
      </c>
      <c r="D5456" s="55" t="s">
        <v>6585</v>
      </c>
      <c r="E5456" s="90" t="s">
        <v>4387</v>
      </c>
      <c r="G5456" s="55" t="s">
        <v>4354</v>
      </c>
      <c r="H5456" s="55" t="s">
        <v>6505</v>
      </c>
      <c r="I5456" s="55" t="s">
        <v>5490</v>
      </c>
      <c r="J5456" s="55" t="s">
        <v>6539</v>
      </c>
      <c r="K5456" s="55" t="s">
        <v>6540</v>
      </c>
      <c r="L5456" s="55" t="s">
        <v>3377</v>
      </c>
      <c r="M5456" s="90">
        <f>42+59/60</f>
        <v>42.983333333333334</v>
      </c>
      <c r="N5456" s="90">
        <f>125+24/60</f>
        <v>125.4</v>
      </c>
      <c r="Q5456" s="55" t="s">
        <v>6541</v>
      </c>
      <c r="S5456" s="90" t="s">
        <v>6542</v>
      </c>
      <c r="U5456" s="55" t="s">
        <v>1935</v>
      </c>
      <c r="V5456" s="55" t="s">
        <v>1935</v>
      </c>
      <c r="Y5456" s="55" t="s">
        <v>6561</v>
      </c>
      <c r="Z5456" s="55" t="s">
        <v>6543</v>
      </c>
      <c r="AA5456" s="90">
        <v>20</v>
      </c>
      <c r="AO5456" s="185" t="s">
        <v>5150</v>
      </c>
      <c r="AU5456" s="181" t="s">
        <v>7494</v>
      </c>
      <c r="AV5456" s="185" t="s">
        <v>176</v>
      </c>
      <c r="AX5456" s="185" t="s">
        <v>176</v>
      </c>
      <c r="BK5456" s="55" t="s">
        <v>5981</v>
      </c>
      <c r="BN5456" s="55" t="s">
        <v>1688</v>
      </c>
      <c r="BO5456" s="55" t="s">
        <v>1688</v>
      </c>
      <c r="CB5456" s="66">
        <v>30000</v>
      </c>
      <c r="CC5456" s="66">
        <v>33000</v>
      </c>
      <c r="CG5456" s="65" t="s">
        <v>178</v>
      </c>
      <c r="CM5456" s="65">
        <v>3.43</v>
      </c>
      <c r="CN5456" s="65">
        <v>3.45</v>
      </c>
      <c r="CQ5456" s="65" t="s">
        <v>164</v>
      </c>
      <c r="DB5456" s="65">
        <v>0.13800000000000001</v>
      </c>
      <c r="DC5456" s="65">
        <v>0.14000000000000001</v>
      </c>
      <c r="DF5456" s="65" t="s">
        <v>164</v>
      </c>
      <c r="DG5456" s="65">
        <v>3.9E-2</v>
      </c>
      <c r="DH5456" s="65">
        <v>0.04</v>
      </c>
      <c r="DK5456" s="65" t="s">
        <v>164</v>
      </c>
      <c r="DL5456" s="65">
        <v>1.79</v>
      </c>
      <c r="DM5456" s="65">
        <v>1.85</v>
      </c>
      <c r="DP5456" s="65" t="s">
        <v>164</v>
      </c>
      <c r="FJ5456" s="65">
        <v>280.3</v>
      </c>
      <c r="FK5456" s="65">
        <v>63.2</v>
      </c>
      <c r="FN5456" s="65" t="s">
        <v>6569</v>
      </c>
      <c r="FO5456" s="65">
        <v>2.88</v>
      </c>
      <c r="FP5456" s="65">
        <v>1.53</v>
      </c>
      <c r="FS5456" s="65" t="s">
        <v>637</v>
      </c>
      <c r="GD5456" s="65">
        <v>7.1</v>
      </c>
      <c r="GE5456" s="65">
        <v>8.3699999999999992</v>
      </c>
      <c r="GH5456" s="65" t="s">
        <v>164</v>
      </c>
      <c r="GP5456" s="292" t="s">
        <v>7494</v>
      </c>
    </row>
    <row r="5457" spans="1:281" x14ac:dyDescent="0.25">
      <c r="A5457" s="55">
        <v>5456</v>
      </c>
      <c r="B5457" s="12" t="s">
        <v>7067</v>
      </c>
      <c r="C5457" s="155" t="s">
        <v>6538</v>
      </c>
      <c r="D5457" s="55" t="s">
        <v>6586</v>
      </c>
      <c r="E5457" s="90" t="s">
        <v>4387</v>
      </c>
      <c r="G5457" s="55" t="s">
        <v>4354</v>
      </c>
      <c r="H5457" s="55" t="s">
        <v>6505</v>
      </c>
      <c r="I5457" s="55" t="s">
        <v>5490</v>
      </c>
      <c r="J5457" s="55" t="s">
        <v>6539</v>
      </c>
      <c r="K5457" s="55" t="s">
        <v>6540</v>
      </c>
      <c r="L5457" s="55" t="s">
        <v>3377</v>
      </c>
      <c r="M5457" s="90">
        <f>42+59/60</f>
        <v>42.983333333333334</v>
      </c>
      <c r="N5457" s="90">
        <f>125+24/60</f>
        <v>125.4</v>
      </c>
      <c r="Q5457" s="55" t="s">
        <v>6541</v>
      </c>
      <c r="S5457" s="90" t="s">
        <v>6542</v>
      </c>
      <c r="U5457" s="55" t="s">
        <v>1935</v>
      </c>
      <c r="V5457" s="55" t="s">
        <v>1935</v>
      </c>
      <c r="Y5457" s="55" t="s">
        <v>6561</v>
      </c>
      <c r="Z5457" s="55" t="s">
        <v>6544</v>
      </c>
      <c r="AA5457" s="90">
        <v>20</v>
      </c>
      <c r="AO5457" s="185" t="s">
        <v>5150</v>
      </c>
      <c r="AU5457" s="181" t="s">
        <v>7494</v>
      </c>
      <c r="AV5457" s="185" t="s">
        <v>176</v>
      </c>
      <c r="AX5457" s="185" t="s">
        <v>176</v>
      </c>
      <c r="BK5457" s="55" t="s">
        <v>5981</v>
      </c>
      <c r="BN5457" s="55" t="s">
        <v>1688</v>
      </c>
      <c r="BO5457" s="55" t="s">
        <v>1688</v>
      </c>
      <c r="CM5457" s="65">
        <v>2.84</v>
      </c>
      <c r="CN5457" s="65">
        <v>2.85</v>
      </c>
      <c r="CQ5457" s="65" t="s">
        <v>164</v>
      </c>
      <c r="DB5457" s="65">
        <v>0.115</v>
      </c>
      <c r="DC5457" s="65">
        <v>0.11700000000000001</v>
      </c>
      <c r="DF5457" s="65" t="s">
        <v>164</v>
      </c>
      <c r="DG5457" s="65">
        <v>3.6999999999999998E-2</v>
      </c>
      <c r="DH5457" s="65">
        <v>3.6999999999999998E-2</v>
      </c>
      <c r="DK5457" s="65" t="s">
        <v>164</v>
      </c>
      <c r="DL5457" s="65">
        <v>1.57</v>
      </c>
      <c r="DM5457" s="65">
        <v>1.65</v>
      </c>
      <c r="DP5457" s="65" t="s">
        <v>164</v>
      </c>
      <c r="GD5457" s="65">
        <v>7.75</v>
      </c>
      <c r="GE5457" s="65">
        <v>9.3000000000000007</v>
      </c>
      <c r="GH5457" s="65" t="s">
        <v>164</v>
      </c>
      <c r="GP5457" s="292" t="s">
        <v>7494</v>
      </c>
    </row>
    <row r="5458" spans="1:281" x14ac:dyDescent="0.25">
      <c r="A5458" s="55">
        <v>5457</v>
      </c>
      <c r="B5458" s="12" t="s">
        <v>7067</v>
      </c>
      <c r="C5458" s="155" t="s">
        <v>6538</v>
      </c>
      <c r="D5458" s="55" t="s">
        <v>6587</v>
      </c>
      <c r="E5458" s="90" t="s">
        <v>4387</v>
      </c>
      <c r="G5458" s="55" t="s">
        <v>4354</v>
      </c>
      <c r="H5458" s="55" t="s">
        <v>6505</v>
      </c>
      <c r="I5458" s="55" t="s">
        <v>5490</v>
      </c>
      <c r="J5458" s="55" t="s">
        <v>6539</v>
      </c>
      <c r="K5458" s="55" t="s">
        <v>6540</v>
      </c>
      <c r="L5458" s="55" t="s">
        <v>3377</v>
      </c>
      <c r="M5458" s="90">
        <f>42+59/60</f>
        <v>42.983333333333334</v>
      </c>
      <c r="N5458" s="90">
        <f>125+24/60</f>
        <v>125.4</v>
      </c>
      <c r="Q5458" s="55" t="s">
        <v>6541</v>
      </c>
      <c r="S5458" s="90" t="s">
        <v>6542</v>
      </c>
      <c r="U5458" s="55" t="s">
        <v>1935</v>
      </c>
      <c r="V5458" s="55" t="s">
        <v>1935</v>
      </c>
      <c r="Y5458" s="55" t="s">
        <v>6561</v>
      </c>
      <c r="Z5458" s="55" t="s">
        <v>6545</v>
      </c>
      <c r="AA5458" s="90">
        <v>20</v>
      </c>
      <c r="AO5458" s="185" t="s">
        <v>5150</v>
      </c>
      <c r="AU5458" s="181" t="s">
        <v>7494</v>
      </c>
      <c r="AV5458" s="185" t="s">
        <v>176</v>
      </c>
      <c r="AX5458" s="185" t="s">
        <v>176</v>
      </c>
      <c r="BK5458" s="55" t="s">
        <v>5981</v>
      </c>
      <c r="BN5458" s="55" t="s">
        <v>1688</v>
      </c>
      <c r="BO5458" s="55" t="s">
        <v>1688</v>
      </c>
      <c r="CM5458" s="65">
        <v>1.68</v>
      </c>
      <c r="CN5458" s="65">
        <v>1.7</v>
      </c>
      <c r="CQ5458" s="65" t="s">
        <v>164</v>
      </c>
      <c r="DB5458" s="65">
        <v>7.0000000000000007E-2</v>
      </c>
      <c r="DC5458" s="65">
        <v>7.0999999999999994E-2</v>
      </c>
      <c r="DF5458" s="65" t="s">
        <v>164</v>
      </c>
      <c r="DG5458" s="65">
        <v>0.03</v>
      </c>
      <c r="DH5458" s="65">
        <v>3.1E-2</v>
      </c>
      <c r="DK5458" s="65" t="s">
        <v>164</v>
      </c>
      <c r="DL5458" s="65">
        <v>1.36</v>
      </c>
      <c r="DM5458" s="65">
        <v>1.38</v>
      </c>
      <c r="DP5458" s="65" t="s">
        <v>164</v>
      </c>
      <c r="GD5458" s="65">
        <v>8.73</v>
      </c>
      <c r="GE5458" s="65">
        <v>10.4</v>
      </c>
      <c r="GH5458" s="65" t="s">
        <v>164</v>
      </c>
      <c r="GP5458" s="292" t="s">
        <v>7494</v>
      </c>
    </row>
    <row r="5459" spans="1:281" x14ac:dyDescent="0.25">
      <c r="A5459" s="55">
        <v>5458</v>
      </c>
      <c r="B5459" s="12" t="s">
        <v>7067</v>
      </c>
      <c r="C5459" s="155" t="s">
        <v>6538</v>
      </c>
      <c r="D5459" s="55" t="s">
        <v>6588</v>
      </c>
      <c r="E5459" s="90" t="s">
        <v>4387</v>
      </c>
      <c r="G5459" s="55" t="s">
        <v>4354</v>
      </c>
      <c r="H5459" s="55" t="s">
        <v>6505</v>
      </c>
      <c r="I5459" s="55" t="s">
        <v>5490</v>
      </c>
      <c r="J5459" s="55" t="s">
        <v>6539</v>
      </c>
      <c r="K5459" s="55" t="s">
        <v>6540</v>
      </c>
      <c r="L5459" s="55" t="s">
        <v>3377</v>
      </c>
      <c r="M5459" s="90">
        <f>42+59/60</f>
        <v>42.983333333333334</v>
      </c>
      <c r="N5459" s="90">
        <f>125+24/60</f>
        <v>125.4</v>
      </c>
      <c r="Q5459" s="55" t="s">
        <v>6541</v>
      </c>
      <c r="S5459" s="90" t="s">
        <v>6542</v>
      </c>
      <c r="U5459" s="55" t="s">
        <v>1935</v>
      </c>
      <c r="V5459" s="55" t="s">
        <v>1935</v>
      </c>
      <c r="Y5459" s="55" t="s">
        <v>6562</v>
      </c>
      <c r="Z5459" s="55" t="s">
        <v>6543</v>
      </c>
      <c r="AA5459" s="90">
        <v>20</v>
      </c>
      <c r="AO5459" s="185" t="s">
        <v>7494</v>
      </c>
      <c r="AU5459" s="181" t="s">
        <v>7494</v>
      </c>
      <c r="AV5459" s="185" t="s">
        <v>176</v>
      </c>
      <c r="AX5459" s="185" t="s">
        <v>176</v>
      </c>
      <c r="BK5459" s="55" t="s">
        <v>5981</v>
      </c>
      <c r="BN5459" s="55" t="s">
        <v>1688</v>
      </c>
      <c r="BO5459" s="55" t="s">
        <v>1688</v>
      </c>
      <c r="GD5459" s="65">
        <v>5.47</v>
      </c>
      <c r="GE5459" s="65">
        <v>7.77</v>
      </c>
      <c r="GH5459" s="65" t="s">
        <v>164</v>
      </c>
      <c r="GP5459" s="292" t="s">
        <v>7494</v>
      </c>
    </row>
    <row r="5460" spans="1:281" x14ac:dyDescent="0.25">
      <c r="A5460" s="55">
        <v>5459</v>
      </c>
      <c r="B5460" s="12" t="s">
        <v>7067</v>
      </c>
      <c r="C5460" s="155" t="s">
        <v>6538</v>
      </c>
      <c r="D5460" s="55" t="s">
        <v>6589</v>
      </c>
      <c r="E5460" s="90" t="s">
        <v>4387</v>
      </c>
      <c r="G5460" s="55" t="s">
        <v>4354</v>
      </c>
      <c r="H5460" s="55" t="s">
        <v>6505</v>
      </c>
      <c r="I5460" s="55" t="s">
        <v>5490</v>
      </c>
      <c r="J5460" s="55" t="s">
        <v>6539</v>
      </c>
      <c r="K5460" s="55" t="s">
        <v>6540</v>
      </c>
      <c r="L5460" s="55" t="s">
        <v>3377</v>
      </c>
      <c r="M5460" s="90">
        <f>42+59/60</f>
        <v>42.983333333333334</v>
      </c>
      <c r="N5460" s="90">
        <f>125+24/60</f>
        <v>125.4</v>
      </c>
      <c r="Q5460" s="55" t="s">
        <v>6541</v>
      </c>
      <c r="S5460" s="90" t="s">
        <v>6542</v>
      </c>
      <c r="U5460" s="55" t="s">
        <v>1935</v>
      </c>
      <c r="V5460" s="55" t="s">
        <v>1935</v>
      </c>
      <c r="Y5460" s="55" t="s">
        <v>6562</v>
      </c>
      <c r="Z5460" s="55" t="s">
        <v>6544</v>
      </c>
      <c r="AA5460" s="90">
        <v>20</v>
      </c>
      <c r="AO5460" s="185" t="s">
        <v>7494</v>
      </c>
      <c r="AU5460" s="181" t="s">
        <v>7494</v>
      </c>
      <c r="AV5460" s="185" t="s">
        <v>176</v>
      </c>
      <c r="AX5460" s="185" t="s">
        <v>176</v>
      </c>
      <c r="BK5460" s="55" t="s">
        <v>5981</v>
      </c>
      <c r="BN5460" s="55" t="s">
        <v>1688</v>
      </c>
      <c r="BO5460" s="55" t="s">
        <v>1688</v>
      </c>
      <c r="GD5460" s="65">
        <v>6.97</v>
      </c>
      <c r="GE5460" s="65">
        <v>8.57</v>
      </c>
      <c r="GH5460" s="65" t="s">
        <v>164</v>
      </c>
      <c r="GP5460" s="292" t="s">
        <v>7494</v>
      </c>
    </row>
    <row r="5461" spans="1:281" x14ac:dyDescent="0.25">
      <c r="A5461" s="55">
        <v>5460</v>
      </c>
      <c r="B5461" s="12" t="s">
        <v>7067</v>
      </c>
      <c r="C5461" s="155" t="s">
        <v>6538</v>
      </c>
      <c r="D5461" s="55" t="s">
        <v>6590</v>
      </c>
      <c r="E5461" s="90" t="s">
        <v>4387</v>
      </c>
      <c r="G5461" s="55" t="s">
        <v>4354</v>
      </c>
      <c r="H5461" s="55" t="s">
        <v>6505</v>
      </c>
      <c r="I5461" s="55" t="s">
        <v>5490</v>
      </c>
      <c r="J5461" s="55" t="s">
        <v>6539</v>
      </c>
      <c r="K5461" s="55" t="s">
        <v>6540</v>
      </c>
      <c r="L5461" s="55" t="s">
        <v>3377</v>
      </c>
      <c r="M5461" s="90">
        <f>42+59/60</f>
        <v>42.983333333333334</v>
      </c>
      <c r="N5461" s="90">
        <f>125+24/60</f>
        <v>125.4</v>
      </c>
      <c r="Q5461" s="55" t="s">
        <v>6541</v>
      </c>
      <c r="S5461" s="90" t="s">
        <v>6542</v>
      </c>
      <c r="U5461" s="55" t="s">
        <v>1935</v>
      </c>
      <c r="V5461" s="55" t="s">
        <v>1935</v>
      </c>
      <c r="Y5461" s="55" t="s">
        <v>6562</v>
      </c>
      <c r="Z5461" s="55" t="s">
        <v>6545</v>
      </c>
      <c r="AA5461" s="90">
        <v>20</v>
      </c>
      <c r="AO5461" s="185" t="s">
        <v>7494</v>
      </c>
      <c r="AU5461" s="181" t="s">
        <v>7494</v>
      </c>
      <c r="AV5461" s="185" t="s">
        <v>176</v>
      </c>
      <c r="AX5461" s="185" t="s">
        <v>176</v>
      </c>
      <c r="BK5461" s="55" t="s">
        <v>5981</v>
      </c>
      <c r="BN5461" s="55" t="s">
        <v>1688</v>
      </c>
      <c r="BO5461" s="55" t="s">
        <v>1688</v>
      </c>
      <c r="GD5461" s="65">
        <v>7.94</v>
      </c>
      <c r="GE5461" s="65">
        <v>9.56</v>
      </c>
      <c r="GH5461" s="65" t="s">
        <v>164</v>
      </c>
      <c r="GP5461" s="292" t="s">
        <v>7494</v>
      </c>
    </row>
    <row r="5462" spans="1:281" x14ac:dyDescent="0.25">
      <c r="A5462" s="55">
        <v>5461</v>
      </c>
      <c r="B5462" s="12" t="s">
        <v>7067</v>
      </c>
      <c r="C5462" s="155" t="s">
        <v>6538</v>
      </c>
      <c r="D5462" s="55" t="s">
        <v>6591</v>
      </c>
      <c r="E5462" s="90" t="s">
        <v>4387</v>
      </c>
      <c r="G5462" s="55" t="s">
        <v>4354</v>
      </c>
      <c r="H5462" s="55" t="s">
        <v>6505</v>
      </c>
      <c r="I5462" s="55" t="s">
        <v>5490</v>
      </c>
      <c r="J5462" s="55" t="s">
        <v>6539</v>
      </c>
      <c r="K5462" s="55" t="s">
        <v>6540</v>
      </c>
      <c r="L5462" s="55" t="s">
        <v>3377</v>
      </c>
      <c r="M5462" s="90">
        <f>42+59/60</f>
        <v>42.983333333333334</v>
      </c>
      <c r="N5462" s="90">
        <f>125+24/60</f>
        <v>125.4</v>
      </c>
      <c r="Q5462" s="55" t="s">
        <v>6541</v>
      </c>
      <c r="S5462" s="90" t="s">
        <v>6542</v>
      </c>
      <c r="U5462" s="55" t="s">
        <v>1935</v>
      </c>
      <c r="V5462" s="55" t="s">
        <v>1935</v>
      </c>
      <c r="Y5462" s="55" t="s">
        <v>6563</v>
      </c>
      <c r="Z5462" s="55" t="s">
        <v>6543</v>
      </c>
      <c r="AA5462" s="90">
        <v>20</v>
      </c>
      <c r="AO5462" s="185" t="s">
        <v>7494</v>
      </c>
      <c r="AU5462" s="181" t="s">
        <v>7494</v>
      </c>
      <c r="AV5462" s="185" t="s">
        <v>176</v>
      </c>
      <c r="AX5462" s="185" t="s">
        <v>176</v>
      </c>
      <c r="BK5462" s="55" t="s">
        <v>5981</v>
      </c>
      <c r="BN5462" s="55" t="s">
        <v>1688</v>
      </c>
      <c r="BO5462" s="55" t="s">
        <v>1688</v>
      </c>
      <c r="GD5462" s="65">
        <v>4.8099999999999996</v>
      </c>
      <c r="GE5462" s="65">
        <v>7.46</v>
      </c>
      <c r="GH5462" s="65" t="s">
        <v>164</v>
      </c>
      <c r="GP5462" s="292" t="s">
        <v>7494</v>
      </c>
    </row>
    <row r="5463" spans="1:281" x14ac:dyDescent="0.25">
      <c r="A5463" s="55">
        <v>5462</v>
      </c>
      <c r="B5463" s="12" t="s">
        <v>7067</v>
      </c>
      <c r="C5463" s="155" t="s">
        <v>6538</v>
      </c>
      <c r="D5463" s="55" t="s">
        <v>6592</v>
      </c>
      <c r="E5463" s="90" t="s">
        <v>4387</v>
      </c>
      <c r="G5463" s="55" t="s">
        <v>4354</v>
      </c>
      <c r="H5463" s="55" t="s">
        <v>6505</v>
      </c>
      <c r="I5463" s="55" t="s">
        <v>5490</v>
      </c>
      <c r="J5463" s="55" t="s">
        <v>6539</v>
      </c>
      <c r="K5463" s="55" t="s">
        <v>6540</v>
      </c>
      <c r="L5463" s="55" t="s">
        <v>3377</v>
      </c>
      <c r="M5463" s="90">
        <f>42+59/60</f>
        <v>42.983333333333334</v>
      </c>
      <c r="N5463" s="90">
        <f>125+24/60</f>
        <v>125.4</v>
      </c>
      <c r="Q5463" s="55" t="s">
        <v>6541</v>
      </c>
      <c r="S5463" s="90" t="s">
        <v>6542</v>
      </c>
      <c r="U5463" s="55" t="s">
        <v>1935</v>
      </c>
      <c r="V5463" s="55" t="s">
        <v>1935</v>
      </c>
      <c r="Y5463" s="55" t="s">
        <v>6563</v>
      </c>
      <c r="Z5463" s="55" t="s">
        <v>6544</v>
      </c>
      <c r="AA5463" s="90">
        <v>20</v>
      </c>
      <c r="AO5463" s="185" t="s">
        <v>7494</v>
      </c>
      <c r="AU5463" s="181" t="s">
        <v>7494</v>
      </c>
      <c r="AV5463" s="185" t="s">
        <v>176</v>
      </c>
      <c r="AX5463" s="185" t="s">
        <v>176</v>
      </c>
      <c r="BK5463" s="55" t="s">
        <v>5981</v>
      </c>
      <c r="BN5463" s="55" t="s">
        <v>1688</v>
      </c>
      <c r="BO5463" s="55" t="s">
        <v>1688</v>
      </c>
      <c r="GD5463" s="65">
        <v>6.41</v>
      </c>
      <c r="GE5463" s="65">
        <v>7.95</v>
      </c>
      <c r="GH5463" s="65" t="s">
        <v>164</v>
      </c>
      <c r="GP5463" s="292" t="s">
        <v>7494</v>
      </c>
    </row>
    <row r="5464" spans="1:281" x14ac:dyDescent="0.25">
      <c r="A5464" s="55">
        <v>5463</v>
      </c>
      <c r="B5464" s="12" t="s">
        <v>7067</v>
      </c>
      <c r="C5464" s="155" t="s">
        <v>6538</v>
      </c>
      <c r="D5464" s="55" t="s">
        <v>6593</v>
      </c>
      <c r="E5464" s="90" t="s">
        <v>4387</v>
      </c>
      <c r="G5464" s="55" t="s">
        <v>4354</v>
      </c>
      <c r="H5464" s="55" t="s">
        <v>6505</v>
      </c>
      <c r="I5464" s="55" t="s">
        <v>5490</v>
      </c>
      <c r="J5464" s="55" t="s">
        <v>6539</v>
      </c>
      <c r="K5464" s="55" t="s">
        <v>6540</v>
      </c>
      <c r="L5464" s="55" t="s">
        <v>3377</v>
      </c>
      <c r="M5464" s="90">
        <f>42+59/60</f>
        <v>42.983333333333334</v>
      </c>
      <c r="N5464" s="90">
        <f>125+24/60</f>
        <v>125.4</v>
      </c>
      <c r="Q5464" s="55" t="s">
        <v>6541</v>
      </c>
      <c r="S5464" s="90" t="s">
        <v>6542</v>
      </c>
      <c r="U5464" s="55" t="s">
        <v>1935</v>
      </c>
      <c r="V5464" s="55" t="s">
        <v>1935</v>
      </c>
      <c r="Y5464" s="55" t="s">
        <v>6563</v>
      </c>
      <c r="Z5464" s="55" t="s">
        <v>6545</v>
      </c>
      <c r="AA5464" s="90">
        <v>20</v>
      </c>
      <c r="AO5464" s="185" t="s">
        <v>7494</v>
      </c>
      <c r="AU5464" s="181" t="s">
        <v>7494</v>
      </c>
      <c r="AV5464" s="185" t="s">
        <v>176</v>
      </c>
      <c r="AX5464" s="185" t="s">
        <v>176</v>
      </c>
      <c r="BK5464" s="55" t="s">
        <v>5981</v>
      </c>
      <c r="BN5464" s="55" t="s">
        <v>1688</v>
      </c>
      <c r="BO5464" s="55" t="s">
        <v>1688</v>
      </c>
      <c r="GD5464" s="65">
        <v>7.38</v>
      </c>
      <c r="GE5464" s="65">
        <v>9.0299999999999994</v>
      </c>
      <c r="GH5464" s="65" t="s">
        <v>164</v>
      </c>
      <c r="GP5464" s="292" t="s">
        <v>7494</v>
      </c>
    </row>
    <row r="5465" spans="1:281" x14ac:dyDescent="0.25">
      <c r="A5465" s="55">
        <v>5464</v>
      </c>
      <c r="B5465" s="12" t="s">
        <v>7067</v>
      </c>
      <c r="C5465" s="155" t="s">
        <v>6538</v>
      </c>
      <c r="D5465" s="55" t="s">
        <v>6594</v>
      </c>
      <c r="E5465" s="90" t="s">
        <v>4387</v>
      </c>
      <c r="G5465" s="55" t="s">
        <v>4354</v>
      </c>
      <c r="H5465" s="55" t="s">
        <v>6505</v>
      </c>
      <c r="I5465" s="55" t="s">
        <v>5490</v>
      </c>
      <c r="J5465" s="55" t="s">
        <v>6539</v>
      </c>
      <c r="K5465" s="55" t="s">
        <v>6540</v>
      </c>
      <c r="L5465" s="55" t="s">
        <v>3377</v>
      </c>
      <c r="M5465" s="90">
        <f>42+59/60</f>
        <v>42.983333333333334</v>
      </c>
      <c r="N5465" s="90">
        <f>125+24/60</f>
        <v>125.4</v>
      </c>
      <c r="Q5465" s="55" t="s">
        <v>6541</v>
      </c>
      <c r="S5465" s="90" t="s">
        <v>6542</v>
      </c>
      <c r="U5465" s="55" t="s">
        <v>1935</v>
      </c>
      <c r="V5465" s="55" t="s">
        <v>1935</v>
      </c>
      <c r="Y5465" s="55" t="s">
        <v>6564</v>
      </c>
      <c r="Z5465" s="55" t="s">
        <v>6543</v>
      </c>
      <c r="AA5465" s="90">
        <v>20</v>
      </c>
      <c r="AO5465" s="185" t="s">
        <v>7494</v>
      </c>
      <c r="AU5465" s="181" t="s">
        <v>7494</v>
      </c>
      <c r="AV5465" s="185" t="s">
        <v>176</v>
      </c>
      <c r="AX5465" s="185" t="s">
        <v>176</v>
      </c>
      <c r="BK5465" s="55" t="s">
        <v>5981</v>
      </c>
      <c r="BN5465" s="55" t="s">
        <v>1688</v>
      </c>
      <c r="BO5465" s="55" t="s">
        <v>1688</v>
      </c>
      <c r="GD5465" s="65">
        <v>3.13</v>
      </c>
      <c r="GE5465" s="65">
        <v>6.71</v>
      </c>
      <c r="GH5465" s="65" t="s">
        <v>164</v>
      </c>
      <c r="GP5465" s="292" t="s">
        <v>7494</v>
      </c>
    </row>
    <row r="5466" spans="1:281" x14ac:dyDescent="0.25">
      <c r="A5466" s="55">
        <v>5465</v>
      </c>
      <c r="B5466" s="12" t="s">
        <v>7067</v>
      </c>
      <c r="C5466" s="155" t="s">
        <v>6538</v>
      </c>
      <c r="D5466" s="55" t="s">
        <v>6595</v>
      </c>
      <c r="E5466" s="90" t="s">
        <v>4387</v>
      </c>
      <c r="G5466" s="55" t="s">
        <v>4354</v>
      </c>
      <c r="H5466" s="55" t="s">
        <v>6505</v>
      </c>
      <c r="I5466" s="55" t="s">
        <v>5490</v>
      </c>
      <c r="J5466" s="55" t="s">
        <v>6539</v>
      </c>
      <c r="K5466" s="55" t="s">
        <v>6540</v>
      </c>
      <c r="L5466" s="55" t="s">
        <v>3377</v>
      </c>
      <c r="M5466" s="90">
        <f>42+59/60</f>
        <v>42.983333333333334</v>
      </c>
      <c r="N5466" s="90">
        <f>125+24/60</f>
        <v>125.4</v>
      </c>
      <c r="Q5466" s="55" t="s">
        <v>6541</v>
      </c>
      <c r="S5466" s="90" t="s">
        <v>6542</v>
      </c>
      <c r="U5466" s="55" t="s">
        <v>1935</v>
      </c>
      <c r="V5466" s="55" t="s">
        <v>1935</v>
      </c>
      <c r="Y5466" s="55" t="s">
        <v>6564</v>
      </c>
      <c r="Z5466" s="55" t="s">
        <v>6544</v>
      </c>
      <c r="AA5466" s="90">
        <v>20</v>
      </c>
      <c r="AO5466" s="185" t="s">
        <v>7494</v>
      </c>
      <c r="AU5466" s="181" t="s">
        <v>7494</v>
      </c>
      <c r="AV5466" s="185" t="s">
        <v>176</v>
      </c>
      <c r="AX5466" s="185" t="s">
        <v>176</v>
      </c>
      <c r="BK5466" s="55" t="s">
        <v>5981</v>
      </c>
      <c r="BN5466" s="55" t="s">
        <v>1688</v>
      </c>
      <c r="BO5466" s="55" t="s">
        <v>1688</v>
      </c>
      <c r="GD5466" s="65">
        <v>5.39</v>
      </c>
      <c r="GE5466" s="65">
        <v>7.31</v>
      </c>
      <c r="GH5466" s="65" t="s">
        <v>164</v>
      </c>
      <c r="GP5466" s="292" t="s">
        <v>7494</v>
      </c>
    </row>
    <row r="5467" spans="1:281" x14ac:dyDescent="0.25">
      <c r="A5467" s="55">
        <v>5466</v>
      </c>
      <c r="B5467" s="12" t="s">
        <v>7067</v>
      </c>
      <c r="C5467" s="155" t="s">
        <v>6538</v>
      </c>
      <c r="D5467" s="55" t="s">
        <v>6596</v>
      </c>
      <c r="E5467" s="90" t="s">
        <v>4387</v>
      </c>
      <c r="G5467" s="55" t="s">
        <v>4354</v>
      </c>
      <c r="H5467" s="55" t="s">
        <v>6505</v>
      </c>
      <c r="I5467" s="55" t="s">
        <v>5490</v>
      </c>
      <c r="J5467" s="55" t="s">
        <v>6539</v>
      </c>
      <c r="K5467" s="55" t="s">
        <v>6540</v>
      </c>
      <c r="L5467" s="55" t="s">
        <v>3377</v>
      </c>
      <c r="M5467" s="90">
        <f>42+59/60</f>
        <v>42.983333333333334</v>
      </c>
      <c r="N5467" s="90">
        <f>125+24/60</f>
        <v>125.4</v>
      </c>
      <c r="Q5467" s="55" t="s">
        <v>6541</v>
      </c>
      <c r="S5467" s="90" t="s">
        <v>6542</v>
      </c>
      <c r="U5467" s="55" t="s">
        <v>1935</v>
      </c>
      <c r="V5467" s="55" t="s">
        <v>1935</v>
      </c>
      <c r="Y5467" s="55" t="s">
        <v>6564</v>
      </c>
      <c r="Z5467" s="55" t="s">
        <v>6545</v>
      </c>
      <c r="AA5467" s="90">
        <v>20</v>
      </c>
      <c r="AO5467" s="185" t="s">
        <v>7494</v>
      </c>
      <c r="AU5467" s="181" t="s">
        <v>7494</v>
      </c>
      <c r="AV5467" s="185" t="s">
        <v>176</v>
      </c>
      <c r="AX5467" s="185" t="s">
        <v>176</v>
      </c>
      <c r="BK5467" s="55" t="s">
        <v>5981</v>
      </c>
      <c r="BN5467" s="55" t="s">
        <v>1688</v>
      </c>
      <c r="BO5467" s="55" t="s">
        <v>1688</v>
      </c>
      <c r="GD5467" s="65">
        <v>6.44</v>
      </c>
      <c r="GE5467" s="65">
        <v>8.31</v>
      </c>
      <c r="GH5467" s="65" t="s">
        <v>164</v>
      </c>
      <c r="GP5467" s="292" t="s">
        <v>7494</v>
      </c>
    </row>
    <row r="5468" spans="1:281" x14ac:dyDescent="0.25">
      <c r="A5468" s="55">
        <v>5467</v>
      </c>
      <c r="B5468" s="12" t="s">
        <v>7067</v>
      </c>
      <c r="C5468" s="155" t="s">
        <v>6538</v>
      </c>
      <c r="D5468" s="55" t="s">
        <v>6597</v>
      </c>
      <c r="E5468" s="90" t="s">
        <v>4387</v>
      </c>
      <c r="G5468" s="55" t="s">
        <v>4354</v>
      </c>
      <c r="H5468" s="55" t="s">
        <v>6505</v>
      </c>
      <c r="I5468" s="55" t="s">
        <v>5490</v>
      </c>
      <c r="J5468" s="55" t="s">
        <v>6539</v>
      </c>
      <c r="K5468" s="55" t="s">
        <v>6540</v>
      </c>
      <c r="L5468" s="55" t="s">
        <v>3377</v>
      </c>
      <c r="M5468" s="90">
        <f>42+59/60</f>
        <v>42.983333333333334</v>
      </c>
      <c r="N5468" s="90">
        <f>125+24/60</f>
        <v>125.4</v>
      </c>
      <c r="Q5468" s="55" t="s">
        <v>6541</v>
      </c>
      <c r="S5468" s="90" t="s">
        <v>6542</v>
      </c>
      <c r="U5468" s="55" t="s">
        <v>1935</v>
      </c>
      <c r="V5468" s="55" t="s">
        <v>1935</v>
      </c>
      <c r="Y5468" s="55" t="s">
        <v>630</v>
      </c>
      <c r="Z5468" s="55" t="s">
        <v>6543</v>
      </c>
      <c r="AA5468" s="90">
        <v>20</v>
      </c>
      <c r="AO5468" s="185" t="s">
        <v>7494</v>
      </c>
      <c r="AU5468" s="181" t="s">
        <v>7494</v>
      </c>
      <c r="AV5468" s="185" t="s">
        <v>176</v>
      </c>
      <c r="AX5468" s="185" t="s">
        <v>176</v>
      </c>
      <c r="BK5468" s="55" t="s">
        <v>5981</v>
      </c>
      <c r="BN5468" s="55" t="s">
        <v>1688</v>
      </c>
      <c r="BO5468" s="55" t="s">
        <v>1688</v>
      </c>
      <c r="GD5468" s="65">
        <v>6.21</v>
      </c>
      <c r="GE5468" s="65">
        <v>7.32</v>
      </c>
      <c r="GH5468" s="65" t="s">
        <v>164</v>
      </c>
      <c r="GP5468" s="292" t="s">
        <v>7494</v>
      </c>
    </row>
    <row r="5469" spans="1:281" x14ac:dyDescent="0.25">
      <c r="A5469" s="55">
        <v>5468</v>
      </c>
      <c r="B5469" s="12" t="s">
        <v>7067</v>
      </c>
      <c r="C5469" s="155" t="s">
        <v>6538</v>
      </c>
      <c r="D5469" s="55" t="s">
        <v>6598</v>
      </c>
      <c r="E5469" s="90" t="s">
        <v>4387</v>
      </c>
      <c r="G5469" s="55" t="s">
        <v>4354</v>
      </c>
      <c r="H5469" s="55" t="s">
        <v>6505</v>
      </c>
      <c r="I5469" s="55" t="s">
        <v>5490</v>
      </c>
      <c r="J5469" s="55" t="s">
        <v>6539</v>
      </c>
      <c r="K5469" s="55" t="s">
        <v>6540</v>
      </c>
      <c r="L5469" s="55" t="s">
        <v>3377</v>
      </c>
      <c r="M5469" s="90">
        <f>42+59/60</f>
        <v>42.983333333333334</v>
      </c>
      <c r="N5469" s="90">
        <f>125+24/60</f>
        <v>125.4</v>
      </c>
      <c r="Q5469" s="55" t="s">
        <v>6541</v>
      </c>
      <c r="S5469" s="90" t="s">
        <v>6542</v>
      </c>
      <c r="U5469" s="55" t="s">
        <v>1935</v>
      </c>
      <c r="V5469" s="55" t="s">
        <v>1935</v>
      </c>
      <c r="Y5469" s="55" t="s">
        <v>630</v>
      </c>
      <c r="Z5469" s="55" t="s">
        <v>6544</v>
      </c>
      <c r="AA5469" s="90">
        <v>20</v>
      </c>
      <c r="AO5469" s="185" t="s">
        <v>7494</v>
      </c>
      <c r="AU5469" s="181" t="s">
        <v>7494</v>
      </c>
      <c r="AV5469" s="185" t="s">
        <v>176</v>
      </c>
      <c r="AX5469" s="185" t="s">
        <v>176</v>
      </c>
      <c r="BK5469" s="55" t="s">
        <v>5981</v>
      </c>
      <c r="BN5469" s="55" t="s">
        <v>1688</v>
      </c>
      <c r="BO5469" s="55" t="s">
        <v>1688</v>
      </c>
      <c r="GD5469" s="65">
        <v>6.78</v>
      </c>
      <c r="GE5469" s="65">
        <v>8.14</v>
      </c>
      <c r="GH5469" s="65" t="s">
        <v>164</v>
      </c>
      <c r="GP5469" s="292" t="s">
        <v>7494</v>
      </c>
    </row>
    <row r="5470" spans="1:281" x14ac:dyDescent="0.25">
      <c r="A5470" s="55">
        <v>5469</v>
      </c>
      <c r="B5470" s="12" t="s">
        <v>7067</v>
      </c>
      <c r="C5470" s="155" t="s">
        <v>6538</v>
      </c>
      <c r="D5470" s="55" t="s">
        <v>6599</v>
      </c>
      <c r="E5470" s="90" t="s">
        <v>4387</v>
      </c>
      <c r="G5470" s="55" t="s">
        <v>4354</v>
      </c>
      <c r="H5470" s="55" t="s">
        <v>6505</v>
      </c>
      <c r="I5470" s="55" t="s">
        <v>5490</v>
      </c>
      <c r="J5470" s="55" t="s">
        <v>6539</v>
      </c>
      <c r="K5470" s="55" t="s">
        <v>6540</v>
      </c>
      <c r="L5470" s="55" t="s">
        <v>3377</v>
      </c>
      <c r="M5470" s="90">
        <f>42+59/60</f>
        <v>42.983333333333334</v>
      </c>
      <c r="N5470" s="90">
        <f>125+24/60</f>
        <v>125.4</v>
      </c>
      <c r="Q5470" s="55" t="s">
        <v>6541</v>
      </c>
      <c r="S5470" s="90" t="s">
        <v>6542</v>
      </c>
      <c r="U5470" s="55" t="s">
        <v>1935</v>
      </c>
      <c r="V5470" s="55" t="s">
        <v>1935</v>
      </c>
      <c r="Y5470" s="55" t="s">
        <v>630</v>
      </c>
      <c r="Z5470" s="55" t="s">
        <v>6545</v>
      </c>
      <c r="AA5470" s="90">
        <v>20</v>
      </c>
      <c r="AO5470" s="185" t="s">
        <v>7494</v>
      </c>
      <c r="AU5470" s="181" t="s">
        <v>7494</v>
      </c>
      <c r="AV5470" s="185" t="s">
        <v>176</v>
      </c>
      <c r="AX5470" s="185" t="s">
        <v>176</v>
      </c>
      <c r="BK5470" s="55" t="s">
        <v>5981</v>
      </c>
      <c r="BN5470" s="55" t="s">
        <v>1688</v>
      </c>
      <c r="BO5470" s="55" t="s">
        <v>1688</v>
      </c>
      <c r="GD5470" s="65">
        <v>7.64</v>
      </c>
      <c r="GE5470" s="65">
        <v>9.1</v>
      </c>
      <c r="GH5470" s="65" t="s">
        <v>164</v>
      </c>
      <c r="GP5470" s="292" t="s">
        <v>7494</v>
      </c>
    </row>
    <row r="5471" spans="1:281" x14ac:dyDescent="0.25">
      <c r="A5471" s="55">
        <v>5470</v>
      </c>
      <c r="B5471" s="12" t="s">
        <v>7067</v>
      </c>
      <c r="C5471" s="155" t="s">
        <v>6600</v>
      </c>
      <c r="D5471" s="55" t="s">
        <v>6634</v>
      </c>
      <c r="E5471" s="90" t="s">
        <v>4387</v>
      </c>
      <c r="G5471" s="55" t="s">
        <v>6601</v>
      </c>
      <c r="H5471" s="55" t="s">
        <v>5490</v>
      </c>
      <c r="I5471" s="55" t="s">
        <v>5608</v>
      </c>
      <c r="J5471" s="55" t="s">
        <v>6470</v>
      </c>
      <c r="K5471" s="55" t="s">
        <v>6604</v>
      </c>
      <c r="L5471" s="55" t="s">
        <v>3377</v>
      </c>
      <c r="M5471" s="90">
        <v>35.58</v>
      </c>
      <c r="N5471" s="90">
        <v>104.63</v>
      </c>
      <c r="Q5471" s="55" t="s">
        <v>5826</v>
      </c>
      <c r="S5471" s="90" t="s">
        <v>6492</v>
      </c>
      <c r="U5471" s="55" t="s">
        <v>1935</v>
      </c>
      <c r="V5471" s="55" t="s">
        <v>1935</v>
      </c>
      <c r="Z5471" s="55" t="s">
        <v>6605</v>
      </c>
      <c r="AA5471" s="90">
        <v>5</v>
      </c>
      <c r="AH5471" s="55" t="s">
        <v>769</v>
      </c>
      <c r="AM5471" s="55" t="s">
        <v>6493</v>
      </c>
      <c r="AN5471" s="185" t="s">
        <v>6610</v>
      </c>
      <c r="AO5471" s="185" t="s">
        <v>5150</v>
      </c>
      <c r="AQ5471" s="55" t="s">
        <v>553</v>
      </c>
      <c r="AR5471" s="55" t="s">
        <v>6535</v>
      </c>
      <c r="AS5471" s="55" t="s">
        <v>116</v>
      </c>
      <c r="AU5471" s="181" t="s">
        <v>7494</v>
      </c>
      <c r="AV5471" s="185" t="s">
        <v>176</v>
      </c>
      <c r="AX5471" s="185" t="s">
        <v>176</v>
      </c>
      <c r="BK5471" s="55" t="s">
        <v>6608</v>
      </c>
      <c r="BN5471" s="55" t="s">
        <v>1688</v>
      </c>
      <c r="BO5471" s="55" t="s">
        <v>1688</v>
      </c>
      <c r="CH5471" s="90">
        <v>1.2</v>
      </c>
      <c r="CI5471" s="90">
        <v>1.17</v>
      </c>
      <c r="CJ5471" s="65">
        <v>0.01</v>
      </c>
      <c r="CK5471" s="65">
        <v>0.02</v>
      </c>
      <c r="EK5471" s="90">
        <v>64.06</v>
      </c>
      <c r="EL5471" s="90">
        <v>59.74</v>
      </c>
      <c r="EO5471" s="65" t="s">
        <v>6615</v>
      </c>
      <c r="EP5471" s="65">
        <v>54.686</v>
      </c>
      <c r="EQ5471" s="65">
        <v>55.938000000000002</v>
      </c>
      <c r="ET5471" s="65" t="s">
        <v>164</v>
      </c>
      <c r="EU5471" s="65">
        <v>430.64</v>
      </c>
      <c r="EV5471" s="65">
        <v>424.39</v>
      </c>
      <c r="EY5471" s="65" t="s">
        <v>6612</v>
      </c>
      <c r="FE5471" s="65">
        <v>77.91</v>
      </c>
      <c r="FF5471" s="65">
        <v>89.87</v>
      </c>
      <c r="FG5471" s="65">
        <f>87.28-FE5471</f>
        <v>9.3700000000000045</v>
      </c>
      <c r="FH5471" s="65">
        <f>94.75-FF5471</f>
        <v>4.8799999999999955</v>
      </c>
      <c r="FI5471" s="65" t="s">
        <v>6616</v>
      </c>
      <c r="FJ5471" s="65">
        <v>10.94</v>
      </c>
      <c r="FK5471" s="65">
        <v>7.2380000000000004</v>
      </c>
      <c r="FN5471" s="65" t="s">
        <v>206</v>
      </c>
      <c r="FO5471" s="65">
        <f>240.55/10</f>
        <v>24.055</v>
      </c>
      <c r="FP5471" s="65">
        <v>21.786999999999999</v>
      </c>
      <c r="FQ5471" s="65" t="s">
        <v>6507</v>
      </c>
      <c r="FT5471" s="65">
        <v>6.62</v>
      </c>
      <c r="FU5471" s="65">
        <v>5.9</v>
      </c>
      <c r="FX5471" s="65" t="s">
        <v>6617</v>
      </c>
      <c r="GP5471" s="292" t="s">
        <v>7494</v>
      </c>
      <c r="JU5471" s="55" t="s">
        <v>6618</v>
      </c>
    </row>
    <row r="5472" spans="1:281" x14ac:dyDescent="0.25">
      <c r="A5472" s="55">
        <v>5471</v>
      </c>
      <c r="B5472" s="12" t="s">
        <v>7067</v>
      </c>
      <c r="C5472" s="155" t="s">
        <v>6600</v>
      </c>
      <c r="D5472" s="55" t="s">
        <v>6635</v>
      </c>
      <c r="E5472" s="90" t="s">
        <v>4387</v>
      </c>
      <c r="G5472" s="55" t="s">
        <v>6601</v>
      </c>
      <c r="H5472" s="55" t="s">
        <v>5490</v>
      </c>
      <c r="I5472" s="55" t="s">
        <v>5608</v>
      </c>
      <c r="J5472" s="55" t="s">
        <v>6470</v>
      </c>
      <c r="K5472" s="55" t="s">
        <v>6604</v>
      </c>
      <c r="L5472" s="55" t="s">
        <v>3377</v>
      </c>
      <c r="M5472" s="90">
        <v>35.58</v>
      </c>
      <c r="N5472" s="90">
        <v>104.63</v>
      </c>
      <c r="Q5472" s="55" t="s">
        <v>5826</v>
      </c>
      <c r="S5472" s="90" t="s">
        <v>6492</v>
      </c>
      <c r="U5472" s="55" t="s">
        <v>1935</v>
      </c>
      <c r="V5472" s="55" t="s">
        <v>1935</v>
      </c>
      <c r="Z5472" s="55" t="s">
        <v>6606</v>
      </c>
      <c r="AA5472" s="90">
        <v>5</v>
      </c>
      <c r="AH5472" s="55" t="s">
        <v>769</v>
      </c>
      <c r="AM5472" s="55" t="s">
        <v>6493</v>
      </c>
      <c r="AN5472" s="185" t="s">
        <v>6610</v>
      </c>
      <c r="AO5472" s="185" t="s">
        <v>5150</v>
      </c>
      <c r="AQ5472" s="55" t="s">
        <v>553</v>
      </c>
      <c r="AR5472" s="55" t="s">
        <v>6535</v>
      </c>
      <c r="AS5472" s="55" t="s">
        <v>116</v>
      </c>
      <c r="AU5472" s="181" t="s">
        <v>7494</v>
      </c>
      <c r="AV5472" s="185" t="s">
        <v>176</v>
      </c>
      <c r="AX5472" s="185" t="s">
        <v>176</v>
      </c>
      <c r="BK5472" s="55" t="s">
        <v>6608</v>
      </c>
      <c r="BN5472" s="55" t="s">
        <v>1688</v>
      </c>
      <c r="BO5472" s="55" t="s">
        <v>1688</v>
      </c>
      <c r="CH5472" s="90">
        <v>1.22</v>
      </c>
      <c r="CI5472" s="90">
        <v>1.2</v>
      </c>
      <c r="CJ5472" s="65">
        <v>1.4999999999999999E-2</v>
      </c>
      <c r="CK5472" s="65">
        <v>0.02</v>
      </c>
      <c r="EP5472" s="65">
        <v>53.930999999999997</v>
      </c>
      <c r="EQ5472" s="65">
        <v>54.808</v>
      </c>
      <c r="ET5472" s="65" t="s">
        <v>164</v>
      </c>
      <c r="EU5472" s="65">
        <v>1264.78</v>
      </c>
      <c r="EV5472" s="65">
        <v>1362.64</v>
      </c>
      <c r="EY5472" s="65" t="s">
        <v>6612</v>
      </c>
      <c r="FT5472" s="65">
        <v>55.29</v>
      </c>
      <c r="FU5472" s="65">
        <v>38.96</v>
      </c>
      <c r="FX5472" s="65" t="s">
        <v>6619</v>
      </c>
      <c r="GP5472" s="292" t="s">
        <v>7494</v>
      </c>
      <c r="JU5472" s="55" t="s">
        <v>6618</v>
      </c>
    </row>
    <row r="5473" spans="1:281" x14ac:dyDescent="0.25">
      <c r="A5473" s="55">
        <v>5472</v>
      </c>
      <c r="B5473" s="12" t="s">
        <v>7067</v>
      </c>
      <c r="C5473" s="155" t="s">
        <v>6600</v>
      </c>
      <c r="D5473" s="55" t="s">
        <v>6636</v>
      </c>
      <c r="E5473" s="90" t="s">
        <v>4387</v>
      </c>
      <c r="G5473" s="55" t="s">
        <v>6601</v>
      </c>
      <c r="H5473" s="55" t="s">
        <v>5490</v>
      </c>
      <c r="I5473" s="55" t="s">
        <v>5608</v>
      </c>
      <c r="J5473" s="55" t="s">
        <v>6470</v>
      </c>
      <c r="K5473" s="55" t="s">
        <v>6604</v>
      </c>
      <c r="L5473" s="55" t="s">
        <v>3377</v>
      </c>
      <c r="M5473" s="90">
        <v>35.58</v>
      </c>
      <c r="N5473" s="90">
        <v>104.63</v>
      </c>
      <c r="Q5473" s="55" t="s">
        <v>5826</v>
      </c>
      <c r="S5473" s="90" t="s">
        <v>6492</v>
      </c>
      <c r="U5473" s="55" t="s">
        <v>1935</v>
      </c>
      <c r="V5473" s="55" t="s">
        <v>1935</v>
      </c>
      <c r="Z5473" s="55" t="s">
        <v>6607</v>
      </c>
      <c r="AA5473" s="90">
        <v>20</v>
      </c>
      <c r="AH5473" s="55" t="s">
        <v>769</v>
      </c>
      <c r="AM5473" s="55" t="s">
        <v>6493</v>
      </c>
      <c r="AN5473" s="185" t="s">
        <v>6610</v>
      </c>
      <c r="AO5473" s="185" t="s">
        <v>5150</v>
      </c>
      <c r="AQ5473" s="55" t="s">
        <v>553</v>
      </c>
      <c r="AR5473" s="55" t="s">
        <v>6535</v>
      </c>
      <c r="AS5473" s="55" t="s">
        <v>116</v>
      </c>
      <c r="AU5473" s="181" t="s">
        <v>7494</v>
      </c>
      <c r="AV5473" s="185" t="s">
        <v>176</v>
      </c>
      <c r="AX5473" s="185" t="s">
        <v>176</v>
      </c>
      <c r="BK5473" s="55" t="s">
        <v>6608</v>
      </c>
      <c r="BN5473" s="55" t="s">
        <v>1688</v>
      </c>
      <c r="BO5473" s="55" t="s">
        <v>1688</v>
      </c>
      <c r="CH5473" s="90">
        <v>1.24</v>
      </c>
      <c r="CI5473" s="90">
        <v>1.23</v>
      </c>
      <c r="CJ5473" s="65">
        <v>1.7999999999999999E-2</v>
      </c>
      <c r="CK5473" s="65">
        <v>0.02</v>
      </c>
      <c r="EP5473" s="65">
        <v>53.171999999999997</v>
      </c>
      <c r="EQ5473" s="65">
        <v>53.676000000000002</v>
      </c>
      <c r="ET5473" s="65" t="s">
        <v>164</v>
      </c>
      <c r="EU5473" s="65">
        <v>1141.92</v>
      </c>
      <c r="EV5473" s="65">
        <v>1171.33</v>
      </c>
      <c r="EY5473" s="65" t="s">
        <v>6612</v>
      </c>
      <c r="FT5473" s="65">
        <v>8.41</v>
      </c>
      <c r="FU5473" s="65">
        <v>14.56</v>
      </c>
      <c r="FX5473" s="65" t="s">
        <v>6620</v>
      </c>
      <c r="GP5473" s="292" t="s">
        <v>7494</v>
      </c>
      <c r="JU5473" s="55" t="s">
        <v>6618</v>
      </c>
    </row>
    <row r="5474" spans="1:281" x14ac:dyDescent="0.25">
      <c r="A5474" s="55">
        <v>5473</v>
      </c>
      <c r="B5474" s="12" t="s">
        <v>7067</v>
      </c>
      <c r="C5474" s="155" t="s">
        <v>6600</v>
      </c>
      <c r="D5474" s="55" t="s">
        <v>6637</v>
      </c>
      <c r="E5474" s="90" t="s">
        <v>4387</v>
      </c>
      <c r="G5474" s="55" t="s">
        <v>6601</v>
      </c>
      <c r="H5474" s="55" t="s">
        <v>5490</v>
      </c>
      <c r="I5474" s="55" t="s">
        <v>5608</v>
      </c>
      <c r="J5474" s="55" t="s">
        <v>6470</v>
      </c>
      <c r="K5474" s="55" t="s">
        <v>6604</v>
      </c>
      <c r="L5474" s="55" t="s">
        <v>3377</v>
      </c>
      <c r="M5474" s="90">
        <v>35.58</v>
      </c>
      <c r="N5474" s="90">
        <v>104.63</v>
      </c>
      <c r="Q5474" s="55" t="s">
        <v>5826</v>
      </c>
      <c r="S5474" s="90" t="s">
        <v>6492</v>
      </c>
      <c r="U5474" s="55" t="s">
        <v>1935</v>
      </c>
      <c r="V5474" s="55" t="s">
        <v>1935</v>
      </c>
      <c r="Z5474" s="55" t="s">
        <v>6605</v>
      </c>
      <c r="AA5474" s="90">
        <v>5</v>
      </c>
      <c r="AH5474" s="55" t="s">
        <v>769</v>
      </c>
      <c r="AM5474" s="55" t="s">
        <v>6493</v>
      </c>
      <c r="AN5474" s="185" t="s">
        <v>6610</v>
      </c>
      <c r="AO5474" s="185" t="s">
        <v>5150</v>
      </c>
      <c r="AQ5474" s="55" t="s">
        <v>553</v>
      </c>
      <c r="AR5474" s="55" t="s">
        <v>6535</v>
      </c>
      <c r="AS5474" s="55" t="s">
        <v>116</v>
      </c>
      <c r="AU5474" s="181" t="s">
        <v>7494</v>
      </c>
      <c r="AV5474" s="185" t="s">
        <v>176</v>
      </c>
      <c r="AX5474" s="185" t="s">
        <v>176</v>
      </c>
      <c r="BK5474" s="55" t="s">
        <v>6609</v>
      </c>
      <c r="BN5474" s="55" t="s">
        <v>1688</v>
      </c>
      <c r="BO5474" s="55" t="s">
        <v>1688</v>
      </c>
      <c r="CH5474" s="90">
        <v>1.2</v>
      </c>
      <c r="CI5474" s="90">
        <v>1.18</v>
      </c>
      <c r="CJ5474" s="65">
        <v>0.01</v>
      </c>
      <c r="CK5474" s="65">
        <v>0.01</v>
      </c>
      <c r="EK5474" s="90">
        <v>64.06</v>
      </c>
      <c r="EL5474" s="90">
        <v>61.52</v>
      </c>
      <c r="EO5474" s="65" t="s">
        <v>6615</v>
      </c>
      <c r="EP5474" s="65">
        <v>54.686</v>
      </c>
      <c r="EQ5474" s="65">
        <v>55.267000000000003</v>
      </c>
      <c r="ET5474" s="65" t="s">
        <v>164</v>
      </c>
      <c r="EU5474" s="65">
        <v>430.64</v>
      </c>
      <c r="EV5474" s="65">
        <v>530.9</v>
      </c>
      <c r="EY5474" s="65" t="s">
        <v>6612</v>
      </c>
      <c r="FE5474" s="65">
        <v>77.91</v>
      </c>
      <c r="FF5474" s="65">
        <v>69.69</v>
      </c>
      <c r="FG5474" s="65">
        <v>9.3699999999999992</v>
      </c>
      <c r="FH5474" s="65">
        <f>80.7-FF5474</f>
        <v>11.010000000000005</v>
      </c>
      <c r="FI5474" s="65" t="s">
        <v>6616</v>
      </c>
      <c r="FJ5474" s="65">
        <v>10.94</v>
      </c>
      <c r="FK5474" s="65">
        <v>8.94</v>
      </c>
      <c r="FN5474" s="65" t="s">
        <v>206</v>
      </c>
      <c r="FO5474" s="65">
        <v>24.055</v>
      </c>
      <c r="FP5474" s="65">
        <v>23.097000000000001</v>
      </c>
      <c r="FQ5474" s="65" t="s">
        <v>6507</v>
      </c>
      <c r="FT5474" s="65">
        <v>6.62</v>
      </c>
      <c r="FU5474" s="65">
        <v>7.48</v>
      </c>
      <c r="FX5474" s="65" t="s">
        <v>6617</v>
      </c>
      <c r="GP5474" s="292" t="s">
        <v>7494</v>
      </c>
      <c r="JU5474" s="55" t="s">
        <v>6618</v>
      </c>
    </row>
    <row r="5475" spans="1:281" x14ac:dyDescent="0.25">
      <c r="A5475" s="55">
        <v>5474</v>
      </c>
      <c r="B5475" s="12" t="s">
        <v>7067</v>
      </c>
      <c r="C5475" s="155" t="s">
        <v>6600</v>
      </c>
      <c r="D5475" s="55" t="s">
        <v>6638</v>
      </c>
      <c r="E5475" s="90" t="s">
        <v>4387</v>
      </c>
      <c r="G5475" s="55" t="s">
        <v>6601</v>
      </c>
      <c r="H5475" s="55" t="s">
        <v>5490</v>
      </c>
      <c r="I5475" s="55" t="s">
        <v>5608</v>
      </c>
      <c r="J5475" s="55" t="s">
        <v>6470</v>
      </c>
      <c r="K5475" s="55" t="s">
        <v>6604</v>
      </c>
      <c r="L5475" s="55" t="s">
        <v>3377</v>
      </c>
      <c r="M5475" s="90">
        <v>35.58</v>
      </c>
      <c r="N5475" s="90">
        <v>104.63</v>
      </c>
      <c r="Q5475" s="55" t="s">
        <v>5826</v>
      </c>
      <c r="S5475" s="90" t="s">
        <v>6492</v>
      </c>
      <c r="U5475" s="55" t="s">
        <v>1935</v>
      </c>
      <c r="V5475" s="55" t="s">
        <v>1935</v>
      </c>
      <c r="Z5475" s="55" t="s">
        <v>6606</v>
      </c>
      <c r="AA5475" s="90">
        <v>5</v>
      </c>
      <c r="AH5475" s="55" t="s">
        <v>769</v>
      </c>
      <c r="AM5475" s="55" t="s">
        <v>6493</v>
      </c>
      <c r="AN5475" s="185" t="s">
        <v>6610</v>
      </c>
      <c r="AO5475" s="185" t="s">
        <v>5150</v>
      </c>
      <c r="AQ5475" s="55" t="s">
        <v>553</v>
      </c>
      <c r="AR5475" s="55" t="s">
        <v>6535</v>
      </c>
      <c r="AS5475" s="55" t="s">
        <v>116</v>
      </c>
      <c r="AU5475" s="181" t="s">
        <v>7494</v>
      </c>
      <c r="AV5475" s="185" t="s">
        <v>176</v>
      </c>
      <c r="AX5475" s="185" t="s">
        <v>176</v>
      </c>
      <c r="BK5475" s="55" t="s">
        <v>6609</v>
      </c>
      <c r="BN5475" s="55" t="s">
        <v>1688</v>
      </c>
      <c r="BO5475" s="55" t="s">
        <v>1688</v>
      </c>
      <c r="CH5475" s="90">
        <v>1.22</v>
      </c>
      <c r="CI5475" s="90">
        <v>1.22</v>
      </c>
      <c r="CJ5475" s="65">
        <v>1.4999999999999999E-2</v>
      </c>
      <c r="CK5475" s="65">
        <v>0.02</v>
      </c>
      <c r="EP5475" s="65">
        <v>53.930999999999997</v>
      </c>
      <c r="EQ5475" s="65">
        <v>54.000999999999998</v>
      </c>
      <c r="ET5475" s="65" t="s">
        <v>164</v>
      </c>
      <c r="EU5475" s="65">
        <v>1264.78</v>
      </c>
      <c r="EV5475" s="65">
        <v>1581.65</v>
      </c>
      <c r="EY5475" s="65" t="s">
        <v>6612</v>
      </c>
      <c r="FT5475" s="65">
        <v>55.29</v>
      </c>
      <c r="FU5475" s="65">
        <v>48.52</v>
      </c>
      <c r="FX5475" s="65" t="s">
        <v>6619</v>
      </c>
      <c r="GP5475" s="292" t="s">
        <v>7494</v>
      </c>
      <c r="JU5475" s="55" t="s">
        <v>6618</v>
      </c>
    </row>
    <row r="5476" spans="1:281" x14ac:dyDescent="0.25">
      <c r="A5476" s="55">
        <v>5475</v>
      </c>
      <c r="B5476" s="12" t="s">
        <v>7067</v>
      </c>
      <c r="C5476" s="155" t="s">
        <v>6600</v>
      </c>
      <c r="D5476" s="55" t="s">
        <v>6639</v>
      </c>
      <c r="E5476" s="90" t="s">
        <v>4387</v>
      </c>
      <c r="G5476" s="55" t="s">
        <v>6601</v>
      </c>
      <c r="H5476" s="55" t="s">
        <v>5490</v>
      </c>
      <c r="I5476" s="55" t="s">
        <v>5608</v>
      </c>
      <c r="J5476" s="55" t="s">
        <v>6470</v>
      </c>
      <c r="K5476" s="55" t="s">
        <v>6604</v>
      </c>
      <c r="L5476" s="55" t="s">
        <v>3377</v>
      </c>
      <c r="M5476" s="90">
        <v>35.58</v>
      </c>
      <c r="N5476" s="90">
        <v>104.63</v>
      </c>
      <c r="Q5476" s="55" t="s">
        <v>5826</v>
      </c>
      <c r="S5476" s="90" t="s">
        <v>6492</v>
      </c>
      <c r="U5476" s="55" t="s">
        <v>1935</v>
      </c>
      <c r="V5476" s="55" t="s">
        <v>1935</v>
      </c>
      <c r="Z5476" s="55" t="s">
        <v>6607</v>
      </c>
      <c r="AA5476" s="90">
        <v>20</v>
      </c>
      <c r="AH5476" s="55" t="s">
        <v>769</v>
      </c>
      <c r="AM5476" s="55" t="s">
        <v>6493</v>
      </c>
      <c r="AN5476" s="185" t="s">
        <v>6610</v>
      </c>
      <c r="AO5476" s="185" t="s">
        <v>5150</v>
      </c>
      <c r="AQ5476" s="55" t="s">
        <v>553</v>
      </c>
      <c r="AR5476" s="55" t="s">
        <v>6535</v>
      </c>
      <c r="AS5476" s="55" t="s">
        <v>116</v>
      </c>
      <c r="AU5476" s="181" t="s">
        <v>7494</v>
      </c>
      <c r="AV5476" s="185" t="s">
        <v>176</v>
      </c>
      <c r="AX5476" s="185" t="s">
        <v>176</v>
      </c>
      <c r="BK5476" s="55" t="s">
        <v>6609</v>
      </c>
      <c r="BN5476" s="55" t="s">
        <v>1688</v>
      </c>
      <c r="BO5476" s="55" t="s">
        <v>1688</v>
      </c>
      <c r="CH5476" s="90">
        <v>1.24</v>
      </c>
      <c r="CI5476" s="90">
        <v>1.25</v>
      </c>
      <c r="CJ5476" s="65">
        <v>1.7999999999999999E-2</v>
      </c>
      <c r="CK5476" s="65">
        <v>0.02</v>
      </c>
      <c r="EP5476" s="65">
        <v>53.171999999999997</v>
      </c>
      <c r="EQ5476" s="65">
        <v>52.707999999999998</v>
      </c>
      <c r="ET5476" s="65" t="s">
        <v>164</v>
      </c>
      <c r="EU5476" s="65">
        <v>1141.92</v>
      </c>
      <c r="EV5476" s="65">
        <v>977.75</v>
      </c>
      <c r="EY5476" s="65" t="s">
        <v>6612</v>
      </c>
      <c r="FT5476" s="65">
        <v>8.41</v>
      </c>
      <c r="FU5476" s="65">
        <v>9.89</v>
      </c>
      <c r="FX5476" s="65" t="s">
        <v>6620</v>
      </c>
      <c r="GP5476" s="292" t="s">
        <v>7494</v>
      </c>
      <c r="JU5476" s="55" t="s">
        <v>6618</v>
      </c>
    </row>
    <row r="5477" spans="1:281" x14ac:dyDescent="0.25">
      <c r="A5477" s="55">
        <v>5476</v>
      </c>
      <c r="B5477" s="12" t="s">
        <v>7067</v>
      </c>
      <c r="C5477" s="155" t="s">
        <v>6600</v>
      </c>
      <c r="D5477" s="55" t="s">
        <v>6640</v>
      </c>
      <c r="E5477" s="90" t="s">
        <v>4387</v>
      </c>
      <c r="G5477" s="55" t="s">
        <v>6601</v>
      </c>
      <c r="H5477" s="55" t="s">
        <v>5490</v>
      </c>
      <c r="I5477" s="55" t="s">
        <v>5608</v>
      </c>
      <c r="J5477" s="55" t="s">
        <v>6470</v>
      </c>
      <c r="K5477" s="55" t="s">
        <v>6604</v>
      </c>
      <c r="L5477" s="55" t="s">
        <v>3377</v>
      </c>
      <c r="M5477" s="90">
        <v>35.58</v>
      </c>
      <c r="N5477" s="90">
        <v>104.63</v>
      </c>
      <c r="Q5477" s="55" t="s">
        <v>5826</v>
      </c>
      <c r="S5477" s="90" t="s">
        <v>6492</v>
      </c>
      <c r="U5477" s="55" t="s">
        <v>1935</v>
      </c>
      <c r="V5477" s="55" t="s">
        <v>1935</v>
      </c>
      <c r="Z5477" s="55" t="s">
        <v>6605</v>
      </c>
      <c r="AA5477" s="90">
        <v>5</v>
      </c>
      <c r="AH5477" s="55" t="s">
        <v>769</v>
      </c>
      <c r="AM5477" s="55" t="s">
        <v>6493</v>
      </c>
      <c r="AN5477" s="185" t="s">
        <v>6610</v>
      </c>
      <c r="AO5477" s="185" t="s">
        <v>5150</v>
      </c>
      <c r="AQ5477" s="55" t="s">
        <v>553</v>
      </c>
      <c r="AR5477" s="55" t="s">
        <v>6611</v>
      </c>
      <c r="AS5477" s="55" t="s">
        <v>3471</v>
      </c>
      <c r="AU5477" s="181" t="s">
        <v>7494</v>
      </c>
      <c r="AV5477" s="185" t="s">
        <v>176</v>
      </c>
      <c r="AX5477" s="185" t="s">
        <v>176</v>
      </c>
      <c r="BK5477" s="55" t="s">
        <v>6452</v>
      </c>
      <c r="BN5477" s="55" t="s">
        <v>1688</v>
      </c>
      <c r="BO5477" s="55" t="s">
        <v>1688</v>
      </c>
      <c r="CH5477" s="90">
        <v>1.21</v>
      </c>
      <c r="CI5477" s="90">
        <v>1.19</v>
      </c>
      <c r="CJ5477" s="65">
        <v>0.04</v>
      </c>
      <c r="CK5477" s="65">
        <v>0.02</v>
      </c>
      <c r="EK5477" s="90">
        <v>63.73</v>
      </c>
      <c r="EL5477" s="90">
        <v>60.05</v>
      </c>
      <c r="EO5477" s="65" t="s">
        <v>6615</v>
      </c>
      <c r="EP5477" s="65">
        <v>54.15</v>
      </c>
      <c r="EQ5477" s="65">
        <v>54.978000000000002</v>
      </c>
      <c r="ET5477" s="65" t="s">
        <v>164</v>
      </c>
      <c r="EU5477" s="65">
        <v>526.83000000000004</v>
      </c>
      <c r="EV5477" s="65">
        <v>461.07</v>
      </c>
      <c r="EY5477" s="65" t="s">
        <v>6612</v>
      </c>
      <c r="FE5477" s="65">
        <v>73.91</v>
      </c>
      <c r="FF5477" s="65">
        <v>86.27</v>
      </c>
      <c r="FG5477" s="65">
        <f>77.7-FE5477</f>
        <v>3.7900000000000063</v>
      </c>
      <c r="FH5477" s="65">
        <f>99.85-FF5477</f>
        <v>13.579999999999998</v>
      </c>
      <c r="FI5477" s="65" t="s">
        <v>6616</v>
      </c>
      <c r="FJ5477" s="65">
        <v>5.7770000000000001</v>
      </c>
      <c r="FK5477" s="65">
        <v>3.1269999999999998</v>
      </c>
      <c r="FN5477" s="65" t="s">
        <v>206</v>
      </c>
      <c r="FO5477" s="65">
        <v>20.443999999999999</v>
      </c>
      <c r="FP5477" s="65">
        <v>16.637</v>
      </c>
      <c r="FQ5477" s="65" t="s">
        <v>6507</v>
      </c>
      <c r="FT5477" s="65">
        <v>6.63</v>
      </c>
      <c r="FU5477" s="65">
        <v>5.85</v>
      </c>
      <c r="FX5477" s="65" t="s">
        <v>6617</v>
      </c>
      <c r="GP5477" s="292" t="s">
        <v>7494</v>
      </c>
      <c r="JU5477" s="55" t="s">
        <v>6618</v>
      </c>
    </row>
    <row r="5478" spans="1:281" x14ac:dyDescent="0.25">
      <c r="A5478" s="55">
        <v>5477</v>
      </c>
      <c r="B5478" s="12" t="s">
        <v>7067</v>
      </c>
      <c r="C5478" s="155" t="s">
        <v>6600</v>
      </c>
      <c r="D5478" s="55" t="s">
        <v>6641</v>
      </c>
      <c r="E5478" s="90" t="s">
        <v>4387</v>
      </c>
      <c r="G5478" s="55" t="s">
        <v>6601</v>
      </c>
      <c r="H5478" s="55" t="s">
        <v>5490</v>
      </c>
      <c r="I5478" s="55" t="s">
        <v>5608</v>
      </c>
      <c r="J5478" s="55" t="s">
        <v>6470</v>
      </c>
      <c r="K5478" s="55" t="s">
        <v>6604</v>
      </c>
      <c r="L5478" s="55" t="s">
        <v>3377</v>
      </c>
      <c r="M5478" s="90">
        <v>35.58</v>
      </c>
      <c r="N5478" s="90">
        <v>104.63</v>
      </c>
      <c r="Q5478" s="55" t="s">
        <v>5826</v>
      </c>
      <c r="S5478" s="90" t="s">
        <v>6492</v>
      </c>
      <c r="U5478" s="55" t="s">
        <v>1935</v>
      </c>
      <c r="V5478" s="55" t="s">
        <v>1935</v>
      </c>
      <c r="Z5478" s="55" t="s">
        <v>6606</v>
      </c>
      <c r="AA5478" s="90">
        <v>5</v>
      </c>
      <c r="AH5478" s="55" t="s">
        <v>769</v>
      </c>
      <c r="AM5478" s="55" t="s">
        <v>6493</v>
      </c>
      <c r="AN5478" s="185" t="s">
        <v>6610</v>
      </c>
      <c r="AO5478" s="185" t="s">
        <v>5150</v>
      </c>
      <c r="AQ5478" s="55" t="s">
        <v>553</v>
      </c>
      <c r="AR5478" s="55" t="s">
        <v>6611</v>
      </c>
      <c r="AS5478" s="55" t="s">
        <v>3471</v>
      </c>
      <c r="AU5478" s="181" t="s">
        <v>7494</v>
      </c>
      <c r="AV5478" s="185" t="s">
        <v>176</v>
      </c>
      <c r="AX5478" s="185" t="s">
        <v>176</v>
      </c>
      <c r="BK5478" s="55" t="s">
        <v>6452</v>
      </c>
      <c r="BN5478" s="55" t="s">
        <v>1688</v>
      </c>
      <c r="BO5478" s="55" t="s">
        <v>1688</v>
      </c>
      <c r="CH5478" s="90">
        <v>1.23</v>
      </c>
      <c r="CI5478" s="90">
        <v>1.22</v>
      </c>
      <c r="CJ5478" s="65">
        <v>0.02</v>
      </c>
      <c r="CK5478" s="65">
        <v>0.01</v>
      </c>
      <c r="EP5478" s="65">
        <v>53.478999999999999</v>
      </c>
      <c r="EQ5478" s="65">
        <v>54.113999999999997</v>
      </c>
      <c r="ET5478" s="65" t="s">
        <v>164</v>
      </c>
      <c r="EU5478" s="65">
        <v>1539.27</v>
      </c>
      <c r="EV5478" s="65">
        <v>1402.07</v>
      </c>
      <c r="EY5478" s="65" t="s">
        <v>6612</v>
      </c>
      <c r="FT5478" s="65">
        <v>31.49</v>
      </c>
      <c r="FU5478" s="65">
        <v>40.590000000000003</v>
      </c>
      <c r="FX5478" s="65" t="s">
        <v>6619</v>
      </c>
      <c r="GP5478" s="292" t="s">
        <v>7494</v>
      </c>
      <c r="JU5478" s="55" t="s">
        <v>6618</v>
      </c>
    </row>
    <row r="5479" spans="1:281" x14ac:dyDescent="0.25">
      <c r="A5479" s="55">
        <v>5478</v>
      </c>
      <c r="B5479" s="12" t="s">
        <v>7067</v>
      </c>
      <c r="C5479" s="155" t="s">
        <v>6600</v>
      </c>
      <c r="D5479" s="55" t="s">
        <v>6642</v>
      </c>
      <c r="E5479" s="90" t="s">
        <v>4387</v>
      </c>
      <c r="G5479" s="55" t="s">
        <v>6601</v>
      </c>
      <c r="H5479" s="55" t="s">
        <v>5490</v>
      </c>
      <c r="I5479" s="55" t="s">
        <v>5608</v>
      </c>
      <c r="J5479" s="55" t="s">
        <v>6470</v>
      </c>
      <c r="K5479" s="55" t="s">
        <v>6604</v>
      </c>
      <c r="L5479" s="55" t="s">
        <v>3377</v>
      </c>
      <c r="M5479" s="90">
        <v>35.58</v>
      </c>
      <c r="N5479" s="90">
        <v>104.63</v>
      </c>
      <c r="Q5479" s="55" t="s">
        <v>5826</v>
      </c>
      <c r="S5479" s="90" t="s">
        <v>6492</v>
      </c>
      <c r="U5479" s="55" t="s">
        <v>1935</v>
      </c>
      <c r="V5479" s="55" t="s">
        <v>1935</v>
      </c>
      <c r="Z5479" s="55" t="s">
        <v>6607</v>
      </c>
      <c r="AA5479" s="90">
        <v>20</v>
      </c>
      <c r="AH5479" s="55" t="s">
        <v>769</v>
      </c>
      <c r="AM5479" s="55" t="s">
        <v>6493</v>
      </c>
      <c r="AN5479" s="185" t="s">
        <v>6610</v>
      </c>
      <c r="AO5479" s="185" t="s">
        <v>5150</v>
      </c>
      <c r="AQ5479" s="55" t="s">
        <v>553</v>
      </c>
      <c r="AR5479" s="55" t="s">
        <v>6611</v>
      </c>
      <c r="AS5479" s="55" t="s">
        <v>3471</v>
      </c>
      <c r="AU5479" s="181" t="s">
        <v>7494</v>
      </c>
      <c r="AV5479" s="185" t="s">
        <v>176</v>
      </c>
      <c r="AX5479" s="185" t="s">
        <v>176</v>
      </c>
      <c r="BK5479" s="55" t="s">
        <v>6452</v>
      </c>
      <c r="BN5479" s="55" t="s">
        <v>1688</v>
      </c>
      <c r="BO5479" s="55" t="s">
        <v>1688</v>
      </c>
      <c r="CH5479" s="90">
        <v>1.26</v>
      </c>
      <c r="CI5479" s="90">
        <v>1.24</v>
      </c>
      <c r="CJ5479" s="65">
        <v>0.03</v>
      </c>
      <c r="CK5479" s="65">
        <v>0.01</v>
      </c>
      <c r="EP5479" s="65">
        <v>52.362000000000002</v>
      </c>
      <c r="EQ5479" s="65">
        <v>53.057000000000002</v>
      </c>
      <c r="ET5479" s="65" t="s">
        <v>164</v>
      </c>
      <c r="EU5479" s="65">
        <v>1397.77</v>
      </c>
      <c r="EV5479" s="65">
        <v>1399.13</v>
      </c>
      <c r="EY5479" s="65" t="s">
        <v>6612</v>
      </c>
      <c r="FT5479" s="65">
        <v>9.9499999999999993</v>
      </c>
      <c r="FU5479" s="65">
        <v>9.89</v>
      </c>
      <c r="FX5479" s="65" t="s">
        <v>6620</v>
      </c>
      <c r="GP5479" s="292" t="s">
        <v>7494</v>
      </c>
      <c r="JU5479" s="55" t="s">
        <v>6618</v>
      </c>
    </row>
    <row r="5480" spans="1:281" x14ac:dyDescent="0.25">
      <c r="A5480" s="55">
        <v>5479</v>
      </c>
      <c r="B5480" s="12" t="s">
        <v>7067</v>
      </c>
      <c r="C5480" s="155" t="s">
        <v>6600</v>
      </c>
      <c r="D5480" s="55" t="s">
        <v>6643</v>
      </c>
      <c r="E5480" s="90" t="s">
        <v>4387</v>
      </c>
      <c r="G5480" s="55" t="s">
        <v>6601</v>
      </c>
      <c r="H5480" s="55" t="s">
        <v>5490</v>
      </c>
      <c r="I5480" s="55" t="s">
        <v>5608</v>
      </c>
      <c r="J5480" s="55" t="s">
        <v>6470</v>
      </c>
      <c r="K5480" s="55" t="s">
        <v>6604</v>
      </c>
      <c r="L5480" s="55" t="s">
        <v>3377</v>
      </c>
      <c r="M5480" s="90">
        <v>35.58</v>
      </c>
      <c r="N5480" s="90">
        <v>104.63</v>
      </c>
      <c r="Q5480" s="55" t="s">
        <v>5826</v>
      </c>
      <c r="S5480" s="90" t="s">
        <v>6492</v>
      </c>
      <c r="U5480" s="55" t="s">
        <v>1935</v>
      </c>
      <c r="V5480" s="55" t="s">
        <v>1935</v>
      </c>
      <c r="Z5480" s="55" t="s">
        <v>6605</v>
      </c>
      <c r="AA5480" s="90">
        <v>5</v>
      </c>
      <c r="AH5480" s="55" t="s">
        <v>769</v>
      </c>
      <c r="AM5480" s="55" t="s">
        <v>6493</v>
      </c>
      <c r="AN5480" s="185" t="s">
        <v>6610</v>
      </c>
      <c r="AO5480" s="185" t="s">
        <v>5150</v>
      </c>
      <c r="AQ5480" s="55" t="s">
        <v>553</v>
      </c>
      <c r="AR5480" s="55" t="s">
        <v>6611</v>
      </c>
      <c r="AS5480" s="55" t="s">
        <v>3471</v>
      </c>
      <c r="AU5480" s="181" t="s">
        <v>7494</v>
      </c>
      <c r="AV5480" s="185" t="s">
        <v>176</v>
      </c>
      <c r="AX5480" s="185" t="s">
        <v>176</v>
      </c>
      <c r="BK5480" s="55" t="s">
        <v>2082</v>
      </c>
      <c r="BN5480" s="55" t="s">
        <v>1688</v>
      </c>
      <c r="BO5480" s="55" t="s">
        <v>1688</v>
      </c>
      <c r="CH5480" s="90">
        <v>1.21</v>
      </c>
      <c r="CI5480" s="90">
        <v>1.21</v>
      </c>
      <c r="CJ5480" s="65">
        <v>0.04</v>
      </c>
      <c r="CK5480" s="65">
        <v>0.02</v>
      </c>
      <c r="EK5480" s="90">
        <v>63.73</v>
      </c>
      <c r="EL5480" s="90">
        <v>62.7</v>
      </c>
      <c r="EO5480" s="65" t="s">
        <v>6615</v>
      </c>
      <c r="EP5480" s="65">
        <v>54.15</v>
      </c>
      <c r="EQ5480" s="65">
        <v>54.375</v>
      </c>
      <c r="ET5480" s="65" t="s">
        <v>164</v>
      </c>
      <c r="EU5480" s="65">
        <v>526.83000000000004</v>
      </c>
      <c r="EV5480" s="65">
        <v>471</v>
      </c>
      <c r="EY5480" s="65" t="s">
        <v>6612</v>
      </c>
      <c r="FE5480" s="65">
        <v>73.91</v>
      </c>
      <c r="FF5480" s="65">
        <v>65.680000000000007</v>
      </c>
      <c r="FG5480" s="65">
        <v>3.79</v>
      </c>
      <c r="FH5480" s="65">
        <f>73.85-FF5480</f>
        <v>8.1699999999999875</v>
      </c>
      <c r="FI5480" s="65" t="s">
        <v>6616</v>
      </c>
      <c r="FJ5480" s="65">
        <v>5.7770000000000001</v>
      </c>
      <c r="FK5480" s="65">
        <v>4.2279999999999998</v>
      </c>
      <c r="FN5480" s="65" t="s">
        <v>206</v>
      </c>
      <c r="FO5480" s="65">
        <v>20.443999999999999</v>
      </c>
      <c r="FP5480" s="65">
        <v>18.646000000000001</v>
      </c>
      <c r="FQ5480" s="65" t="s">
        <v>6507</v>
      </c>
      <c r="FT5480" s="65">
        <v>6.63</v>
      </c>
      <c r="FU5480" s="65">
        <v>5.91</v>
      </c>
      <c r="FX5480" s="65" t="s">
        <v>6617</v>
      </c>
      <c r="GP5480" s="292" t="s">
        <v>7494</v>
      </c>
      <c r="JU5480" s="55" t="s">
        <v>6618</v>
      </c>
    </row>
    <row r="5481" spans="1:281" x14ac:dyDescent="0.25">
      <c r="A5481" s="55">
        <v>5480</v>
      </c>
      <c r="B5481" s="12" t="s">
        <v>7067</v>
      </c>
      <c r="C5481" s="155" t="s">
        <v>6600</v>
      </c>
      <c r="D5481" s="55" t="s">
        <v>6644</v>
      </c>
      <c r="E5481" s="90" t="s">
        <v>4387</v>
      </c>
      <c r="G5481" s="55" t="s">
        <v>6601</v>
      </c>
      <c r="H5481" s="55" t="s">
        <v>5490</v>
      </c>
      <c r="I5481" s="55" t="s">
        <v>5608</v>
      </c>
      <c r="J5481" s="55" t="s">
        <v>6470</v>
      </c>
      <c r="K5481" s="55" t="s">
        <v>6604</v>
      </c>
      <c r="L5481" s="55" t="s">
        <v>3377</v>
      </c>
      <c r="M5481" s="90">
        <v>35.58</v>
      </c>
      <c r="N5481" s="90">
        <v>104.63</v>
      </c>
      <c r="Q5481" s="55" t="s">
        <v>5826</v>
      </c>
      <c r="S5481" s="90" t="s">
        <v>6492</v>
      </c>
      <c r="U5481" s="55" t="s">
        <v>1935</v>
      </c>
      <c r="V5481" s="55" t="s">
        <v>1935</v>
      </c>
      <c r="Z5481" s="55" t="s">
        <v>6606</v>
      </c>
      <c r="AA5481" s="90">
        <v>5</v>
      </c>
      <c r="AH5481" s="55" t="s">
        <v>769</v>
      </c>
      <c r="AM5481" s="55" t="s">
        <v>6493</v>
      </c>
      <c r="AN5481" s="185" t="s">
        <v>6610</v>
      </c>
      <c r="AO5481" s="185" t="s">
        <v>5150</v>
      </c>
      <c r="AQ5481" s="55" t="s">
        <v>553</v>
      </c>
      <c r="AR5481" s="55" t="s">
        <v>6611</v>
      </c>
      <c r="AS5481" s="55" t="s">
        <v>3471</v>
      </c>
      <c r="AU5481" s="181" t="s">
        <v>7494</v>
      </c>
      <c r="AV5481" s="185" t="s">
        <v>176</v>
      </c>
      <c r="AX5481" s="185" t="s">
        <v>176</v>
      </c>
      <c r="BK5481" s="55" t="s">
        <v>2082</v>
      </c>
      <c r="BN5481" s="55" t="s">
        <v>1688</v>
      </c>
      <c r="BO5481" s="55" t="s">
        <v>1688</v>
      </c>
      <c r="CH5481" s="90">
        <v>1.23</v>
      </c>
      <c r="CI5481" s="90">
        <v>1.22</v>
      </c>
      <c r="CJ5481" s="65">
        <v>0.02</v>
      </c>
      <c r="CK5481" s="65">
        <v>0.01</v>
      </c>
      <c r="EP5481" s="65">
        <v>53.478999999999999</v>
      </c>
      <c r="EQ5481" s="65">
        <v>53.780999999999999</v>
      </c>
      <c r="ET5481" s="65" t="s">
        <v>164</v>
      </c>
      <c r="EU5481" s="65">
        <v>1539.27</v>
      </c>
      <c r="EV5481" s="65">
        <v>1209.73</v>
      </c>
      <c r="EY5481" s="65" t="s">
        <v>6612</v>
      </c>
      <c r="FT5481" s="65">
        <v>31.49</v>
      </c>
      <c r="FU5481" s="65">
        <v>36.159999999999997</v>
      </c>
      <c r="FX5481" s="65" t="s">
        <v>6619</v>
      </c>
      <c r="GP5481" s="292" t="s">
        <v>7494</v>
      </c>
      <c r="JU5481" s="55" t="s">
        <v>6618</v>
      </c>
    </row>
    <row r="5482" spans="1:281" x14ac:dyDescent="0.25">
      <c r="A5482" s="55">
        <v>5481</v>
      </c>
      <c r="B5482" s="12" t="s">
        <v>7067</v>
      </c>
      <c r="C5482" s="155" t="s">
        <v>6600</v>
      </c>
      <c r="D5482" s="55" t="s">
        <v>6645</v>
      </c>
      <c r="E5482" s="90" t="s">
        <v>4387</v>
      </c>
      <c r="G5482" s="55" t="s">
        <v>6601</v>
      </c>
      <c r="H5482" s="55" t="s">
        <v>5490</v>
      </c>
      <c r="I5482" s="55" t="s">
        <v>5608</v>
      </c>
      <c r="J5482" s="55" t="s">
        <v>6470</v>
      </c>
      <c r="K5482" s="55" t="s">
        <v>6604</v>
      </c>
      <c r="L5482" s="55" t="s">
        <v>3377</v>
      </c>
      <c r="M5482" s="90">
        <v>35.58</v>
      </c>
      <c r="N5482" s="90">
        <v>104.63</v>
      </c>
      <c r="Q5482" s="55" t="s">
        <v>5826</v>
      </c>
      <c r="S5482" s="90" t="s">
        <v>6492</v>
      </c>
      <c r="U5482" s="55" t="s">
        <v>1935</v>
      </c>
      <c r="V5482" s="55" t="s">
        <v>1935</v>
      </c>
      <c r="Z5482" s="55" t="s">
        <v>6607</v>
      </c>
      <c r="AA5482" s="90">
        <v>20</v>
      </c>
      <c r="AH5482" s="55" t="s">
        <v>769</v>
      </c>
      <c r="AM5482" s="55" t="s">
        <v>6493</v>
      </c>
      <c r="AN5482" s="185" t="s">
        <v>6610</v>
      </c>
      <c r="AO5482" s="185" t="s">
        <v>5150</v>
      </c>
      <c r="AQ5482" s="55" t="s">
        <v>553</v>
      </c>
      <c r="AR5482" s="55" t="s">
        <v>6611</v>
      </c>
      <c r="AS5482" s="55" t="s">
        <v>3471</v>
      </c>
      <c r="AU5482" s="181" t="s">
        <v>7494</v>
      </c>
      <c r="AV5482" s="185" t="s">
        <v>176</v>
      </c>
      <c r="AX5482" s="185" t="s">
        <v>176</v>
      </c>
      <c r="BK5482" s="55" t="s">
        <v>2082</v>
      </c>
      <c r="BN5482" s="55" t="s">
        <v>1688</v>
      </c>
      <c r="BO5482" s="55" t="s">
        <v>1688</v>
      </c>
      <c r="CH5482" s="90">
        <v>1.26</v>
      </c>
      <c r="CI5482" s="90">
        <v>1.26</v>
      </c>
      <c r="CJ5482" s="65">
        <v>0.03</v>
      </c>
      <c r="CK5482" s="65">
        <v>0.02</v>
      </c>
      <c r="EP5482" s="65">
        <v>52.362000000000002</v>
      </c>
      <c r="EQ5482" s="65">
        <v>52.585000000000001</v>
      </c>
      <c r="ET5482" s="65" t="s">
        <v>164</v>
      </c>
      <c r="EU5482" s="65">
        <v>1397.77</v>
      </c>
      <c r="EV5482" s="65">
        <v>1067.6500000000001</v>
      </c>
      <c r="EY5482" s="65" t="s">
        <v>6612</v>
      </c>
      <c r="FT5482" s="65">
        <v>9.9499999999999993</v>
      </c>
      <c r="FU5482" s="65">
        <v>13.24</v>
      </c>
      <c r="FX5482" s="65" t="s">
        <v>6620</v>
      </c>
      <c r="GP5482" s="292" t="s">
        <v>7494</v>
      </c>
      <c r="JU5482" s="55" t="s">
        <v>6618</v>
      </c>
    </row>
    <row r="5483" spans="1:281" x14ac:dyDescent="0.25">
      <c r="A5483" s="55">
        <v>5482</v>
      </c>
      <c r="B5483" s="12" t="s">
        <v>7067</v>
      </c>
      <c r="C5483" s="155" t="s">
        <v>6600</v>
      </c>
      <c r="D5483" s="55" t="s">
        <v>6646</v>
      </c>
      <c r="E5483" s="90" t="s">
        <v>4387</v>
      </c>
      <c r="G5483" s="55" t="s">
        <v>6601</v>
      </c>
      <c r="H5483" s="55" t="s">
        <v>5490</v>
      </c>
      <c r="I5483" s="55" t="s">
        <v>5608</v>
      </c>
      <c r="J5483" s="55" t="s">
        <v>6470</v>
      </c>
      <c r="K5483" s="55" t="s">
        <v>6604</v>
      </c>
      <c r="L5483" s="55" t="s">
        <v>3377</v>
      </c>
      <c r="M5483" s="90">
        <v>35.58</v>
      </c>
      <c r="N5483" s="90">
        <v>104.63</v>
      </c>
      <c r="Q5483" s="55" t="s">
        <v>5826</v>
      </c>
      <c r="S5483" s="90" t="s">
        <v>6492</v>
      </c>
      <c r="U5483" s="55" t="s">
        <v>1935</v>
      </c>
      <c r="V5483" s="55" t="s">
        <v>1935</v>
      </c>
      <c r="Z5483" s="55" t="s">
        <v>6510</v>
      </c>
      <c r="AA5483" s="90">
        <v>10</v>
      </c>
      <c r="AH5483" s="55" t="s">
        <v>769</v>
      </c>
      <c r="AM5483" s="55" t="s">
        <v>6493</v>
      </c>
      <c r="AN5483" s="185" t="s">
        <v>6610</v>
      </c>
      <c r="AO5483" s="185" t="s">
        <v>5150</v>
      </c>
      <c r="AQ5483" s="55" t="s">
        <v>553</v>
      </c>
      <c r="AR5483" s="55" t="s">
        <v>6535</v>
      </c>
      <c r="AS5483" s="55" t="s">
        <v>116</v>
      </c>
      <c r="AU5483" s="181" t="s">
        <v>7494</v>
      </c>
      <c r="AV5483" s="185" t="s">
        <v>176</v>
      </c>
      <c r="AX5483" s="185" t="s">
        <v>176</v>
      </c>
      <c r="BK5483" s="55" t="s">
        <v>6608</v>
      </c>
      <c r="BN5483" s="55" t="s">
        <v>1688</v>
      </c>
      <c r="BO5483" s="55" t="s">
        <v>1688</v>
      </c>
      <c r="EU5483" s="65">
        <v>2159.54</v>
      </c>
      <c r="EV5483" s="65">
        <v>1963.11</v>
      </c>
      <c r="EY5483" s="65" t="s">
        <v>6612</v>
      </c>
      <c r="GP5483" s="292" t="s">
        <v>7494</v>
      </c>
      <c r="JU5483" s="55" t="s">
        <v>6618</v>
      </c>
    </row>
    <row r="5484" spans="1:281" x14ac:dyDescent="0.25">
      <c r="A5484" s="55">
        <v>5483</v>
      </c>
      <c r="B5484" s="12" t="s">
        <v>7067</v>
      </c>
      <c r="C5484" s="155" t="s">
        <v>6600</v>
      </c>
      <c r="D5484" s="55" t="s">
        <v>6647</v>
      </c>
      <c r="E5484" s="90" t="s">
        <v>4387</v>
      </c>
      <c r="G5484" s="55" t="s">
        <v>6601</v>
      </c>
      <c r="H5484" s="55" t="s">
        <v>5490</v>
      </c>
      <c r="I5484" s="55" t="s">
        <v>5608</v>
      </c>
      <c r="J5484" s="55" t="s">
        <v>6470</v>
      </c>
      <c r="K5484" s="55" t="s">
        <v>6604</v>
      </c>
      <c r="L5484" s="55" t="s">
        <v>3377</v>
      </c>
      <c r="M5484" s="90">
        <v>35.58</v>
      </c>
      <c r="N5484" s="90">
        <v>104.63</v>
      </c>
      <c r="Q5484" s="55" t="s">
        <v>5826</v>
      </c>
      <c r="S5484" s="90" t="s">
        <v>6492</v>
      </c>
      <c r="U5484" s="55" t="s">
        <v>1935</v>
      </c>
      <c r="V5484" s="55" t="s">
        <v>1935</v>
      </c>
      <c r="Z5484" s="55" t="s">
        <v>6613</v>
      </c>
      <c r="AA5484" s="90">
        <v>10</v>
      </c>
      <c r="AH5484" s="55" t="s">
        <v>769</v>
      </c>
      <c r="AM5484" s="55" t="s">
        <v>6493</v>
      </c>
      <c r="AN5484" s="185" t="s">
        <v>6610</v>
      </c>
      <c r="AO5484" s="185" t="s">
        <v>5150</v>
      </c>
      <c r="AQ5484" s="55" t="s">
        <v>553</v>
      </c>
      <c r="AR5484" s="55" t="s">
        <v>6535</v>
      </c>
      <c r="AS5484" s="55" t="s">
        <v>116</v>
      </c>
      <c r="AU5484" s="181" t="s">
        <v>7494</v>
      </c>
      <c r="AV5484" s="185" t="s">
        <v>176</v>
      </c>
      <c r="AX5484" s="185" t="s">
        <v>176</v>
      </c>
      <c r="BK5484" s="55" t="s">
        <v>6608</v>
      </c>
      <c r="BN5484" s="55" t="s">
        <v>1688</v>
      </c>
      <c r="BO5484" s="55" t="s">
        <v>1688</v>
      </c>
      <c r="EU5484" s="65">
        <v>1950.14</v>
      </c>
      <c r="EV5484" s="65">
        <v>1801.06</v>
      </c>
      <c r="EY5484" s="65" t="s">
        <v>6612</v>
      </c>
      <c r="GP5484" s="292" t="s">
        <v>7494</v>
      </c>
      <c r="JU5484" s="55" t="s">
        <v>6618</v>
      </c>
    </row>
    <row r="5485" spans="1:281" x14ac:dyDescent="0.25">
      <c r="A5485" s="55">
        <v>5484</v>
      </c>
      <c r="B5485" s="12" t="s">
        <v>7067</v>
      </c>
      <c r="C5485" s="155" t="s">
        <v>6600</v>
      </c>
      <c r="D5485" s="55" t="s">
        <v>6648</v>
      </c>
      <c r="E5485" s="90" t="s">
        <v>4387</v>
      </c>
      <c r="G5485" s="55" t="s">
        <v>6601</v>
      </c>
      <c r="H5485" s="55" t="s">
        <v>5490</v>
      </c>
      <c r="I5485" s="55" t="s">
        <v>5608</v>
      </c>
      <c r="J5485" s="55" t="s">
        <v>6470</v>
      </c>
      <c r="K5485" s="55" t="s">
        <v>6604</v>
      </c>
      <c r="L5485" s="55" t="s">
        <v>3377</v>
      </c>
      <c r="M5485" s="90">
        <v>35.58</v>
      </c>
      <c r="N5485" s="90">
        <v>104.63</v>
      </c>
      <c r="Q5485" s="55" t="s">
        <v>5826</v>
      </c>
      <c r="S5485" s="90" t="s">
        <v>6492</v>
      </c>
      <c r="U5485" s="55" t="s">
        <v>1935</v>
      </c>
      <c r="V5485" s="55" t="s">
        <v>1935</v>
      </c>
      <c r="Z5485" s="55" t="s">
        <v>6614</v>
      </c>
      <c r="AA5485" s="90">
        <v>10</v>
      </c>
      <c r="AH5485" s="55" t="s">
        <v>769</v>
      </c>
      <c r="AM5485" s="55" t="s">
        <v>6493</v>
      </c>
      <c r="AN5485" s="185" t="s">
        <v>6610</v>
      </c>
      <c r="AO5485" s="185" t="s">
        <v>5150</v>
      </c>
      <c r="AQ5485" s="55" t="s">
        <v>553</v>
      </c>
      <c r="AR5485" s="55" t="s">
        <v>6535</v>
      </c>
      <c r="AS5485" s="55" t="s">
        <v>116</v>
      </c>
      <c r="AU5485" s="181" t="s">
        <v>7494</v>
      </c>
      <c r="AV5485" s="185" t="s">
        <v>176</v>
      </c>
      <c r="AX5485" s="185" t="s">
        <v>176</v>
      </c>
      <c r="BK5485" s="55" t="s">
        <v>6608</v>
      </c>
      <c r="BN5485" s="55" t="s">
        <v>1688</v>
      </c>
      <c r="BO5485" s="55" t="s">
        <v>1688</v>
      </c>
      <c r="EU5485" s="65">
        <v>1556.81</v>
      </c>
      <c r="EV5485" s="65">
        <v>1523.26</v>
      </c>
      <c r="EY5485" s="65" t="s">
        <v>6612</v>
      </c>
      <c r="GP5485" s="292" t="s">
        <v>7494</v>
      </c>
      <c r="JU5485" s="55" t="s">
        <v>6618</v>
      </c>
    </row>
    <row r="5486" spans="1:281" x14ac:dyDescent="0.25">
      <c r="A5486" s="55">
        <v>5485</v>
      </c>
      <c r="B5486" s="12" t="s">
        <v>7067</v>
      </c>
      <c r="C5486" s="155" t="s">
        <v>6600</v>
      </c>
      <c r="D5486" s="55" t="s">
        <v>6649</v>
      </c>
      <c r="E5486" s="90" t="s">
        <v>4387</v>
      </c>
      <c r="G5486" s="55" t="s">
        <v>6601</v>
      </c>
      <c r="H5486" s="55" t="s">
        <v>5490</v>
      </c>
      <c r="I5486" s="55" t="s">
        <v>5608</v>
      </c>
      <c r="J5486" s="55" t="s">
        <v>6470</v>
      </c>
      <c r="K5486" s="55" t="s">
        <v>6604</v>
      </c>
      <c r="L5486" s="55" t="s">
        <v>3377</v>
      </c>
      <c r="M5486" s="90">
        <v>35.58</v>
      </c>
      <c r="N5486" s="90">
        <v>104.63</v>
      </c>
      <c r="Q5486" s="55" t="s">
        <v>5826</v>
      </c>
      <c r="S5486" s="90" t="s">
        <v>6492</v>
      </c>
      <c r="U5486" s="55" t="s">
        <v>1935</v>
      </c>
      <c r="V5486" s="55" t="s">
        <v>1935</v>
      </c>
      <c r="Z5486" s="55" t="s">
        <v>6510</v>
      </c>
      <c r="AA5486" s="90">
        <v>10</v>
      </c>
      <c r="AH5486" s="55" t="s">
        <v>769</v>
      </c>
      <c r="AM5486" s="55" t="s">
        <v>6493</v>
      </c>
      <c r="AN5486" s="185" t="s">
        <v>6610</v>
      </c>
      <c r="AO5486" s="185" t="s">
        <v>5150</v>
      </c>
      <c r="AQ5486" s="55" t="s">
        <v>553</v>
      </c>
      <c r="AR5486" s="55" t="s">
        <v>6535</v>
      </c>
      <c r="AS5486" s="55" t="s">
        <v>116</v>
      </c>
      <c r="AU5486" s="181" t="s">
        <v>7494</v>
      </c>
      <c r="AV5486" s="185" t="s">
        <v>176</v>
      </c>
      <c r="AX5486" s="185" t="s">
        <v>176</v>
      </c>
      <c r="BK5486" s="55" t="s">
        <v>6609</v>
      </c>
      <c r="BN5486" s="55" t="s">
        <v>1688</v>
      </c>
      <c r="BO5486" s="55" t="s">
        <v>1688</v>
      </c>
      <c r="EU5486" s="65">
        <v>2159.54</v>
      </c>
      <c r="EV5486" s="65">
        <v>1656.2</v>
      </c>
      <c r="EY5486" s="65" t="s">
        <v>6612</v>
      </c>
      <c r="GP5486" s="292" t="s">
        <v>7494</v>
      </c>
      <c r="JU5486" s="55" t="s">
        <v>6618</v>
      </c>
    </row>
    <row r="5487" spans="1:281" x14ac:dyDescent="0.25">
      <c r="A5487" s="55">
        <v>5486</v>
      </c>
      <c r="B5487" s="12" t="s">
        <v>7067</v>
      </c>
      <c r="C5487" s="155" t="s">
        <v>6600</v>
      </c>
      <c r="D5487" s="55" t="s">
        <v>6650</v>
      </c>
      <c r="E5487" s="90" t="s">
        <v>4387</v>
      </c>
      <c r="G5487" s="55" t="s">
        <v>6601</v>
      </c>
      <c r="H5487" s="55" t="s">
        <v>5490</v>
      </c>
      <c r="I5487" s="55" t="s">
        <v>5608</v>
      </c>
      <c r="J5487" s="55" t="s">
        <v>6470</v>
      </c>
      <c r="K5487" s="55" t="s">
        <v>6604</v>
      </c>
      <c r="L5487" s="55" t="s">
        <v>3377</v>
      </c>
      <c r="M5487" s="90">
        <v>35.58</v>
      </c>
      <c r="N5487" s="90">
        <v>104.63</v>
      </c>
      <c r="Q5487" s="55" t="s">
        <v>5826</v>
      </c>
      <c r="S5487" s="90" t="s">
        <v>6492</v>
      </c>
      <c r="U5487" s="55" t="s">
        <v>1935</v>
      </c>
      <c r="V5487" s="55" t="s">
        <v>1935</v>
      </c>
      <c r="Z5487" s="55" t="s">
        <v>6613</v>
      </c>
      <c r="AA5487" s="90">
        <v>10</v>
      </c>
      <c r="AH5487" s="55" t="s">
        <v>769</v>
      </c>
      <c r="AM5487" s="55" t="s">
        <v>6493</v>
      </c>
      <c r="AN5487" s="185" t="s">
        <v>6610</v>
      </c>
      <c r="AO5487" s="185" t="s">
        <v>5150</v>
      </c>
      <c r="AQ5487" s="55" t="s">
        <v>553</v>
      </c>
      <c r="AR5487" s="55" t="s">
        <v>6535</v>
      </c>
      <c r="AS5487" s="55" t="s">
        <v>116</v>
      </c>
      <c r="AU5487" s="181" t="s">
        <v>7494</v>
      </c>
      <c r="AV5487" s="185" t="s">
        <v>176</v>
      </c>
      <c r="AX5487" s="185" t="s">
        <v>176</v>
      </c>
      <c r="BK5487" s="55" t="s">
        <v>6609</v>
      </c>
      <c r="BN5487" s="55" t="s">
        <v>1688</v>
      </c>
      <c r="BO5487" s="55" t="s">
        <v>1688</v>
      </c>
      <c r="EU5487" s="65">
        <v>1950.14</v>
      </c>
      <c r="EV5487" s="65">
        <v>2395.6</v>
      </c>
      <c r="EY5487" s="65" t="s">
        <v>6612</v>
      </c>
      <c r="GP5487" s="292" t="s">
        <v>7494</v>
      </c>
      <c r="JU5487" s="55" t="s">
        <v>6618</v>
      </c>
    </row>
    <row r="5488" spans="1:281" x14ac:dyDescent="0.25">
      <c r="A5488" s="55">
        <v>5487</v>
      </c>
      <c r="B5488" s="12" t="s">
        <v>7067</v>
      </c>
      <c r="C5488" s="155" t="s">
        <v>6600</v>
      </c>
      <c r="D5488" s="55" t="s">
        <v>6651</v>
      </c>
      <c r="E5488" s="90" t="s">
        <v>4387</v>
      </c>
      <c r="G5488" s="55" t="s">
        <v>6601</v>
      </c>
      <c r="H5488" s="55" t="s">
        <v>5490</v>
      </c>
      <c r="I5488" s="55" t="s">
        <v>5608</v>
      </c>
      <c r="J5488" s="55" t="s">
        <v>6470</v>
      </c>
      <c r="K5488" s="55" t="s">
        <v>6604</v>
      </c>
      <c r="L5488" s="55" t="s">
        <v>3377</v>
      </c>
      <c r="M5488" s="90">
        <v>35.58</v>
      </c>
      <c r="N5488" s="90">
        <v>104.63</v>
      </c>
      <c r="Q5488" s="55" t="s">
        <v>5826</v>
      </c>
      <c r="S5488" s="90" t="s">
        <v>6492</v>
      </c>
      <c r="U5488" s="55" t="s">
        <v>1935</v>
      </c>
      <c r="V5488" s="55" t="s">
        <v>1935</v>
      </c>
      <c r="Z5488" s="55" t="s">
        <v>6614</v>
      </c>
      <c r="AA5488" s="90">
        <v>10</v>
      </c>
      <c r="AH5488" s="55" t="s">
        <v>769</v>
      </c>
      <c r="AM5488" s="55" t="s">
        <v>6493</v>
      </c>
      <c r="AN5488" s="185" t="s">
        <v>6610</v>
      </c>
      <c r="AO5488" s="185" t="s">
        <v>5150</v>
      </c>
      <c r="AQ5488" s="55" t="s">
        <v>553</v>
      </c>
      <c r="AR5488" s="55" t="s">
        <v>6535</v>
      </c>
      <c r="AS5488" s="55" t="s">
        <v>116</v>
      </c>
      <c r="AU5488" s="181" t="s">
        <v>7494</v>
      </c>
      <c r="AV5488" s="185" t="s">
        <v>176</v>
      </c>
      <c r="AX5488" s="185" t="s">
        <v>176</v>
      </c>
      <c r="BK5488" s="55" t="s">
        <v>6609</v>
      </c>
      <c r="BN5488" s="55" t="s">
        <v>1688</v>
      </c>
      <c r="BO5488" s="55" t="s">
        <v>1688</v>
      </c>
      <c r="EU5488" s="65">
        <v>1556.81</v>
      </c>
      <c r="EV5488" s="65">
        <v>2071.25</v>
      </c>
      <c r="EY5488" s="65" t="s">
        <v>6612</v>
      </c>
      <c r="GP5488" s="292" t="s">
        <v>7494</v>
      </c>
      <c r="JU5488" s="55" t="s">
        <v>6618</v>
      </c>
    </row>
    <row r="5489" spans="1:283" x14ac:dyDescent="0.25">
      <c r="A5489" s="55">
        <v>5488</v>
      </c>
      <c r="B5489" s="12" t="s">
        <v>7067</v>
      </c>
      <c r="C5489" s="155" t="s">
        <v>6600</v>
      </c>
      <c r="D5489" s="55" t="s">
        <v>6652</v>
      </c>
      <c r="E5489" s="90" t="s">
        <v>4387</v>
      </c>
      <c r="G5489" s="55" t="s">
        <v>6601</v>
      </c>
      <c r="H5489" s="55" t="s">
        <v>5490</v>
      </c>
      <c r="I5489" s="55" t="s">
        <v>5608</v>
      </c>
      <c r="J5489" s="55" t="s">
        <v>6470</v>
      </c>
      <c r="K5489" s="55" t="s">
        <v>6604</v>
      </c>
      <c r="L5489" s="55" t="s">
        <v>3377</v>
      </c>
      <c r="M5489" s="90">
        <v>35.58</v>
      </c>
      <c r="N5489" s="90">
        <v>104.63</v>
      </c>
      <c r="Q5489" s="55" t="s">
        <v>5826</v>
      </c>
      <c r="S5489" s="90" t="s">
        <v>6492</v>
      </c>
      <c r="U5489" s="55" t="s">
        <v>1935</v>
      </c>
      <c r="V5489" s="55" t="s">
        <v>1935</v>
      </c>
      <c r="Z5489" s="55" t="s">
        <v>6510</v>
      </c>
      <c r="AA5489" s="90">
        <v>10</v>
      </c>
      <c r="AH5489" s="55" t="s">
        <v>769</v>
      </c>
      <c r="AM5489" s="55" t="s">
        <v>6493</v>
      </c>
      <c r="AN5489" s="185" t="s">
        <v>6610</v>
      </c>
      <c r="AO5489" s="185" t="s">
        <v>5150</v>
      </c>
      <c r="AQ5489" s="55" t="s">
        <v>553</v>
      </c>
      <c r="AR5489" s="55" t="s">
        <v>6611</v>
      </c>
      <c r="AS5489" s="55" t="s">
        <v>3471</v>
      </c>
      <c r="AU5489" s="181" t="s">
        <v>7494</v>
      </c>
      <c r="AV5489" s="185" t="s">
        <v>176</v>
      </c>
      <c r="AX5489" s="185" t="s">
        <v>176</v>
      </c>
      <c r="BK5489" s="55" t="s">
        <v>6452</v>
      </c>
      <c r="BN5489" s="55" t="s">
        <v>1688</v>
      </c>
      <c r="BO5489" s="55" t="s">
        <v>1688</v>
      </c>
      <c r="EU5489" s="65">
        <v>2123.25</v>
      </c>
      <c r="EV5489" s="65">
        <v>2010.13</v>
      </c>
      <c r="EY5489" s="65" t="s">
        <v>6612</v>
      </c>
      <c r="GP5489" s="292" t="s">
        <v>7494</v>
      </c>
      <c r="JU5489" s="55" t="s">
        <v>6618</v>
      </c>
    </row>
    <row r="5490" spans="1:283" x14ac:dyDescent="0.25">
      <c r="A5490" s="55">
        <v>5489</v>
      </c>
      <c r="B5490" s="12" t="s">
        <v>7067</v>
      </c>
      <c r="C5490" s="155" t="s">
        <v>6600</v>
      </c>
      <c r="D5490" s="55" t="s">
        <v>6653</v>
      </c>
      <c r="E5490" s="90" t="s">
        <v>4387</v>
      </c>
      <c r="G5490" s="55" t="s">
        <v>6601</v>
      </c>
      <c r="H5490" s="55" t="s">
        <v>5490</v>
      </c>
      <c r="I5490" s="55" t="s">
        <v>5608</v>
      </c>
      <c r="J5490" s="55" t="s">
        <v>6470</v>
      </c>
      <c r="K5490" s="55" t="s">
        <v>6604</v>
      </c>
      <c r="L5490" s="55" t="s">
        <v>3377</v>
      </c>
      <c r="M5490" s="90">
        <v>35.58</v>
      </c>
      <c r="N5490" s="90">
        <v>104.63</v>
      </c>
      <c r="Q5490" s="55" t="s">
        <v>5826</v>
      </c>
      <c r="S5490" s="90" t="s">
        <v>6492</v>
      </c>
      <c r="U5490" s="55" t="s">
        <v>1935</v>
      </c>
      <c r="V5490" s="55" t="s">
        <v>1935</v>
      </c>
      <c r="Z5490" s="55" t="s">
        <v>6613</v>
      </c>
      <c r="AA5490" s="90">
        <v>10</v>
      </c>
      <c r="AH5490" s="55" t="s">
        <v>769</v>
      </c>
      <c r="AM5490" s="55" t="s">
        <v>6493</v>
      </c>
      <c r="AN5490" s="185" t="s">
        <v>6610</v>
      </c>
      <c r="AO5490" s="185" t="s">
        <v>5150</v>
      </c>
      <c r="AQ5490" s="55" t="s">
        <v>553</v>
      </c>
      <c r="AR5490" s="55" t="s">
        <v>6611</v>
      </c>
      <c r="AS5490" s="55" t="s">
        <v>3471</v>
      </c>
      <c r="AU5490" s="181" t="s">
        <v>7494</v>
      </c>
      <c r="AV5490" s="185" t="s">
        <v>176</v>
      </c>
      <c r="AX5490" s="185" t="s">
        <v>176</v>
      </c>
      <c r="BK5490" s="55" t="s">
        <v>6452</v>
      </c>
      <c r="BN5490" s="55" t="s">
        <v>1688</v>
      </c>
      <c r="BO5490" s="55" t="s">
        <v>1688</v>
      </c>
      <c r="EU5490" s="65">
        <v>2465.73</v>
      </c>
      <c r="EV5490" s="65">
        <v>2249.12</v>
      </c>
      <c r="EY5490" s="65" t="s">
        <v>6612</v>
      </c>
      <c r="GP5490" s="292" t="s">
        <v>7494</v>
      </c>
      <c r="JU5490" s="55" t="s">
        <v>6618</v>
      </c>
    </row>
    <row r="5491" spans="1:283" x14ac:dyDescent="0.25">
      <c r="A5491" s="55">
        <v>5490</v>
      </c>
      <c r="B5491" s="12" t="s">
        <v>7067</v>
      </c>
      <c r="C5491" s="155" t="s">
        <v>6600</v>
      </c>
      <c r="D5491" s="55" t="s">
        <v>6654</v>
      </c>
      <c r="E5491" s="90" t="s">
        <v>4387</v>
      </c>
      <c r="G5491" s="55" t="s">
        <v>6601</v>
      </c>
      <c r="H5491" s="55" t="s">
        <v>5490</v>
      </c>
      <c r="I5491" s="55" t="s">
        <v>5608</v>
      </c>
      <c r="J5491" s="55" t="s">
        <v>6470</v>
      </c>
      <c r="K5491" s="55" t="s">
        <v>6604</v>
      </c>
      <c r="L5491" s="55" t="s">
        <v>3377</v>
      </c>
      <c r="M5491" s="90">
        <v>35.58</v>
      </c>
      <c r="N5491" s="90">
        <v>104.63</v>
      </c>
      <c r="Q5491" s="55" t="s">
        <v>5826</v>
      </c>
      <c r="S5491" s="90" t="s">
        <v>6492</v>
      </c>
      <c r="U5491" s="55" t="s">
        <v>1935</v>
      </c>
      <c r="V5491" s="55" t="s">
        <v>1935</v>
      </c>
      <c r="Z5491" s="55" t="s">
        <v>6614</v>
      </c>
      <c r="AA5491" s="90">
        <v>10</v>
      </c>
      <c r="AH5491" s="55" t="s">
        <v>769</v>
      </c>
      <c r="AM5491" s="55" t="s">
        <v>6493</v>
      </c>
      <c r="AN5491" s="185" t="s">
        <v>6610</v>
      </c>
      <c r="AO5491" s="185" t="s">
        <v>5150</v>
      </c>
      <c r="AQ5491" s="55" t="s">
        <v>553</v>
      </c>
      <c r="AR5491" s="55" t="s">
        <v>6611</v>
      </c>
      <c r="AS5491" s="55" t="s">
        <v>3471</v>
      </c>
      <c r="AU5491" s="181" t="s">
        <v>7494</v>
      </c>
      <c r="AV5491" s="185" t="s">
        <v>176</v>
      </c>
      <c r="AX5491" s="185" t="s">
        <v>176</v>
      </c>
      <c r="BK5491" s="55" t="s">
        <v>6452</v>
      </c>
      <c r="BN5491" s="55" t="s">
        <v>1688</v>
      </c>
      <c r="BO5491" s="55" t="s">
        <v>1688</v>
      </c>
      <c r="EU5491" s="65">
        <v>1825.4</v>
      </c>
      <c r="EV5491" s="65">
        <v>1981.83</v>
      </c>
      <c r="EY5491" s="65" t="s">
        <v>6612</v>
      </c>
      <c r="GP5491" s="292" t="s">
        <v>7494</v>
      </c>
      <c r="JU5491" s="55" t="s">
        <v>6618</v>
      </c>
    </row>
    <row r="5492" spans="1:283" x14ac:dyDescent="0.25">
      <c r="A5492" s="55">
        <v>5491</v>
      </c>
      <c r="B5492" s="12" t="s">
        <v>7067</v>
      </c>
      <c r="C5492" s="155" t="s">
        <v>6600</v>
      </c>
      <c r="D5492" s="55" t="s">
        <v>6655</v>
      </c>
      <c r="E5492" s="90" t="s">
        <v>4387</v>
      </c>
      <c r="G5492" s="55" t="s">
        <v>6601</v>
      </c>
      <c r="H5492" s="55" t="s">
        <v>5490</v>
      </c>
      <c r="I5492" s="55" t="s">
        <v>5608</v>
      </c>
      <c r="J5492" s="55" t="s">
        <v>6470</v>
      </c>
      <c r="K5492" s="55" t="s">
        <v>6604</v>
      </c>
      <c r="L5492" s="55" t="s">
        <v>3377</v>
      </c>
      <c r="M5492" s="90">
        <v>35.58</v>
      </c>
      <c r="N5492" s="90">
        <v>104.63</v>
      </c>
      <c r="Q5492" s="55" t="s">
        <v>5826</v>
      </c>
      <c r="S5492" s="90" t="s">
        <v>6492</v>
      </c>
      <c r="U5492" s="55" t="s">
        <v>1935</v>
      </c>
      <c r="V5492" s="55" t="s">
        <v>1935</v>
      </c>
      <c r="Z5492" s="55" t="s">
        <v>6510</v>
      </c>
      <c r="AA5492" s="90">
        <v>10</v>
      </c>
      <c r="AH5492" s="55" t="s">
        <v>769</v>
      </c>
      <c r="AM5492" s="55" t="s">
        <v>6493</v>
      </c>
      <c r="AN5492" s="185" t="s">
        <v>6610</v>
      </c>
      <c r="AO5492" s="185" t="s">
        <v>5150</v>
      </c>
      <c r="AQ5492" s="55" t="s">
        <v>553</v>
      </c>
      <c r="AR5492" s="55" t="s">
        <v>6611</v>
      </c>
      <c r="AS5492" s="55" t="s">
        <v>3471</v>
      </c>
      <c r="AU5492" s="181" t="s">
        <v>7494</v>
      </c>
      <c r="AV5492" s="185" t="s">
        <v>176</v>
      </c>
      <c r="AX5492" s="185" t="s">
        <v>176</v>
      </c>
      <c r="BK5492" s="55" t="s">
        <v>2082</v>
      </c>
      <c r="BN5492" s="55" t="s">
        <v>1688</v>
      </c>
      <c r="BO5492" s="55" t="s">
        <v>1688</v>
      </c>
      <c r="EU5492" s="65">
        <v>2123.25</v>
      </c>
      <c r="EV5492" s="65">
        <v>2186.6</v>
      </c>
      <c r="EY5492" s="65" t="s">
        <v>6612</v>
      </c>
      <c r="GP5492" s="292" t="s">
        <v>7494</v>
      </c>
      <c r="JU5492" s="55" t="s">
        <v>6618</v>
      </c>
    </row>
    <row r="5493" spans="1:283" x14ac:dyDescent="0.25">
      <c r="A5493" s="55">
        <v>5492</v>
      </c>
      <c r="B5493" s="12" t="s">
        <v>7067</v>
      </c>
      <c r="C5493" s="155" t="s">
        <v>6600</v>
      </c>
      <c r="D5493" s="55" t="s">
        <v>6656</v>
      </c>
      <c r="E5493" s="90" t="s">
        <v>4387</v>
      </c>
      <c r="G5493" s="55" t="s">
        <v>6601</v>
      </c>
      <c r="H5493" s="55" t="s">
        <v>5490</v>
      </c>
      <c r="I5493" s="55" t="s">
        <v>5608</v>
      </c>
      <c r="J5493" s="55" t="s">
        <v>6470</v>
      </c>
      <c r="K5493" s="55" t="s">
        <v>6604</v>
      </c>
      <c r="L5493" s="55" t="s">
        <v>3377</v>
      </c>
      <c r="M5493" s="90">
        <v>35.58</v>
      </c>
      <c r="N5493" s="90">
        <v>104.63</v>
      </c>
      <c r="Q5493" s="55" t="s">
        <v>5826</v>
      </c>
      <c r="S5493" s="90" t="s">
        <v>6492</v>
      </c>
      <c r="U5493" s="55" t="s">
        <v>1935</v>
      </c>
      <c r="V5493" s="55" t="s">
        <v>1935</v>
      </c>
      <c r="Z5493" s="55" t="s">
        <v>6613</v>
      </c>
      <c r="AA5493" s="90">
        <v>10</v>
      </c>
      <c r="AH5493" s="55" t="s">
        <v>769</v>
      </c>
      <c r="AM5493" s="55" t="s">
        <v>6493</v>
      </c>
      <c r="AN5493" s="185" t="s">
        <v>6610</v>
      </c>
      <c r="AO5493" s="185" t="s">
        <v>5150</v>
      </c>
      <c r="AQ5493" s="55" t="s">
        <v>553</v>
      </c>
      <c r="AR5493" s="55" t="s">
        <v>6611</v>
      </c>
      <c r="AS5493" s="55" t="s">
        <v>3471</v>
      </c>
      <c r="AU5493" s="181" t="s">
        <v>7494</v>
      </c>
      <c r="AV5493" s="185" t="s">
        <v>176</v>
      </c>
      <c r="AX5493" s="185" t="s">
        <v>176</v>
      </c>
      <c r="BK5493" s="55" t="s">
        <v>2082</v>
      </c>
      <c r="BN5493" s="55" t="s">
        <v>1688</v>
      </c>
      <c r="BO5493" s="55" t="s">
        <v>1688</v>
      </c>
      <c r="EU5493" s="65">
        <v>2465.73</v>
      </c>
      <c r="EV5493" s="65">
        <v>2471.3000000000002</v>
      </c>
      <c r="EY5493" s="65" t="s">
        <v>6612</v>
      </c>
      <c r="GP5493" s="292" t="s">
        <v>7494</v>
      </c>
      <c r="JU5493" s="55" t="s">
        <v>6618</v>
      </c>
    </row>
    <row r="5494" spans="1:283" x14ac:dyDescent="0.25">
      <c r="A5494" s="55">
        <v>5493</v>
      </c>
      <c r="B5494" s="12" t="s">
        <v>7067</v>
      </c>
      <c r="C5494" s="155" t="s">
        <v>6600</v>
      </c>
      <c r="D5494" s="55" t="s">
        <v>6657</v>
      </c>
      <c r="E5494" s="90" t="s">
        <v>4387</v>
      </c>
      <c r="G5494" s="55" t="s">
        <v>6601</v>
      </c>
      <c r="H5494" s="55" t="s">
        <v>5490</v>
      </c>
      <c r="I5494" s="55" t="s">
        <v>5608</v>
      </c>
      <c r="J5494" s="55" t="s">
        <v>6470</v>
      </c>
      <c r="K5494" s="55" t="s">
        <v>6604</v>
      </c>
      <c r="L5494" s="55" t="s">
        <v>3377</v>
      </c>
      <c r="M5494" s="90">
        <v>35.58</v>
      </c>
      <c r="N5494" s="90">
        <v>104.63</v>
      </c>
      <c r="Q5494" s="55" t="s">
        <v>5826</v>
      </c>
      <c r="S5494" s="90" t="s">
        <v>6492</v>
      </c>
      <c r="U5494" s="55" t="s">
        <v>1935</v>
      </c>
      <c r="V5494" s="55" t="s">
        <v>1935</v>
      </c>
      <c r="Z5494" s="55" t="s">
        <v>6614</v>
      </c>
      <c r="AA5494" s="90">
        <v>10</v>
      </c>
      <c r="AH5494" s="55" t="s">
        <v>769</v>
      </c>
      <c r="AM5494" s="55" t="s">
        <v>6493</v>
      </c>
      <c r="AN5494" s="185" t="s">
        <v>6610</v>
      </c>
      <c r="AO5494" s="185" t="s">
        <v>5150</v>
      </c>
      <c r="AQ5494" s="55" t="s">
        <v>553</v>
      </c>
      <c r="AR5494" s="55" t="s">
        <v>6611</v>
      </c>
      <c r="AS5494" s="55" t="s">
        <v>3471</v>
      </c>
      <c r="AU5494" s="181" t="s">
        <v>7494</v>
      </c>
      <c r="AV5494" s="185" t="s">
        <v>176</v>
      </c>
      <c r="AX5494" s="185" t="s">
        <v>176</v>
      </c>
      <c r="BK5494" s="55" t="s">
        <v>2082</v>
      </c>
      <c r="BN5494" s="55" t="s">
        <v>1688</v>
      </c>
      <c r="BO5494" s="55" t="s">
        <v>1688</v>
      </c>
      <c r="EU5494" s="65">
        <v>1825.4</v>
      </c>
      <c r="EV5494" s="65">
        <v>1661.57</v>
      </c>
      <c r="EY5494" s="65" t="s">
        <v>6612</v>
      </c>
      <c r="GP5494" s="292" t="s">
        <v>7494</v>
      </c>
      <c r="JU5494" s="55" t="s">
        <v>6618</v>
      </c>
    </row>
    <row r="5495" spans="1:283" x14ac:dyDescent="0.25">
      <c r="A5495" s="55">
        <v>5494</v>
      </c>
      <c r="B5495" s="12" t="s">
        <v>7067</v>
      </c>
      <c r="C5495" s="155" t="s">
        <v>6600</v>
      </c>
      <c r="D5495" s="55" t="s">
        <v>6658</v>
      </c>
      <c r="E5495" s="90" t="s">
        <v>4387</v>
      </c>
      <c r="G5495" s="55" t="s">
        <v>6601</v>
      </c>
      <c r="H5495" s="55" t="s">
        <v>5490</v>
      </c>
      <c r="I5495" s="55" t="s">
        <v>5608</v>
      </c>
      <c r="J5495" s="55" t="s">
        <v>6470</v>
      </c>
      <c r="K5495" s="55" t="s">
        <v>6604</v>
      </c>
      <c r="L5495" s="55" t="s">
        <v>3377</v>
      </c>
      <c r="M5495" s="90">
        <v>35.58</v>
      </c>
      <c r="N5495" s="90">
        <v>104.63</v>
      </c>
      <c r="Q5495" s="55" t="s">
        <v>5826</v>
      </c>
      <c r="S5495" s="90" t="s">
        <v>6492</v>
      </c>
      <c r="U5495" s="55" t="s">
        <v>1935</v>
      </c>
      <c r="V5495" s="55" t="s">
        <v>1935</v>
      </c>
      <c r="AH5495" s="55" t="s">
        <v>769</v>
      </c>
      <c r="AM5495" s="55" t="s">
        <v>6493</v>
      </c>
      <c r="AN5495" s="185" t="s">
        <v>6610</v>
      </c>
      <c r="AO5495" s="185" t="s">
        <v>5150</v>
      </c>
      <c r="AQ5495" s="55" t="s">
        <v>553</v>
      </c>
      <c r="AR5495" s="55" t="s">
        <v>6623</v>
      </c>
      <c r="AS5495" s="55" t="s">
        <v>227</v>
      </c>
      <c r="AU5495" s="181" t="s">
        <v>7494</v>
      </c>
      <c r="AV5495" s="185" t="s">
        <v>176</v>
      </c>
      <c r="AX5495" s="185" t="s">
        <v>176</v>
      </c>
      <c r="BK5495" s="55" t="s">
        <v>6608</v>
      </c>
      <c r="BN5495" s="55" t="s">
        <v>1688</v>
      </c>
      <c r="BO5495" s="55" t="s">
        <v>1688</v>
      </c>
      <c r="FJ5495" s="65">
        <v>5.8099999999999999E-2</v>
      </c>
      <c r="FK5495" s="65">
        <v>4.5259999999999995E-2</v>
      </c>
      <c r="FN5495" s="65" t="s">
        <v>206</v>
      </c>
      <c r="FO5495" s="65">
        <v>0.42500000000000004</v>
      </c>
      <c r="FP5495" s="65">
        <v>0.41700000000000004</v>
      </c>
      <c r="FS5495" s="65" t="s">
        <v>637</v>
      </c>
      <c r="GP5495" s="292" t="s">
        <v>7494</v>
      </c>
      <c r="JU5495" s="55" t="s">
        <v>6618</v>
      </c>
      <c r="JW5495" s="55" t="s">
        <v>6621</v>
      </c>
    </row>
    <row r="5496" spans="1:283" x14ac:dyDescent="0.25">
      <c r="A5496" s="55">
        <v>5495</v>
      </c>
      <c r="B5496" s="12" t="s">
        <v>7067</v>
      </c>
      <c r="C5496" s="155" t="s">
        <v>6600</v>
      </c>
      <c r="D5496" s="55" t="s">
        <v>6658</v>
      </c>
      <c r="E5496" s="90" t="s">
        <v>4387</v>
      </c>
      <c r="G5496" s="55" t="s">
        <v>6601</v>
      </c>
      <c r="H5496" s="55" t="s">
        <v>5490</v>
      </c>
      <c r="I5496" s="55" t="s">
        <v>5608</v>
      </c>
      <c r="J5496" s="55" t="s">
        <v>6470</v>
      </c>
      <c r="K5496" s="55" t="s">
        <v>6604</v>
      </c>
      <c r="L5496" s="55" t="s">
        <v>3377</v>
      </c>
      <c r="M5496" s="90">
        <v>35.58</v>
      </c>
      <c r="N5496" s="90">
        <v>104.63</v>
      </c>
      <c r="Q5496" s="55" t="s">
        <v>5826</v>
      </c>
      <c r="S5496" s="90" t="s">
        <v>6492</v>
      </c>
      <c r="U5496" s="55" t="s">
        <v>1935</v>
      </c>
      <c r="V5496" s="55" t="s">
        <v>1935</v>
      </c>
      <c r="AH5496" s="55" t="s">
        <v>769</v>
      </c>
      <c r="AM5496" s="55" t="s">
        <v>6493</v>
      </c>
      <c r="AN5496" s="185" t="s">
        <v>6610</v>
      </c>
      <c r="AO5496" s="185" t="s">
        <v>5150</v>
      </c>
      <c r="AQ5496" s="55" t="s">
        <v>553</v>
      </c>
      <c r="AR5496" s="55" t="s">
        <v>6623</v>
      </c>
      <c r="AS5496" s="55" t="s">
        <v>227</v>
      </c>
      <c r="AU5496" s="181" t="s">
        <v>7494</v>
      </c>
      <c r="AV5496" s="185" t="s">
        <v>176</v>
      </c>
      <c r="AX5496" s="185" t="s">
        <v>176</v>
      </c>
      <c r="BK5496" s="55" t="s">
        <v>6608</v>
      </c>
      <c r="BN5496" s="55" t="s">
        <v>1688</v>
      </c>
      <c r="BO5496" s="55" t="s">
        <v>1688</v>
      </c>
      <c r="FJ5496" s="65">
        <v>0.17762999999999998</v>
      </c>
      <c r="FK5496" s="65">
        <v>0.17755000000000001</v>
      </c>
      <c r="FN5496" s="65" t="s">
        <v>206</v>
      </c>
      <c r="FO5496" s="65">
        <v>0.80100000000000005</v>
      </c>
      <c r="FP5496" s="65">
        <v>0.80800000000000005</v>
      </c>
      <c r="FS5496" s="65" t="s">
        <v>637</v>
      </c>
      <c r="GP5496" s="292" t="s">
        <v>7494</v>
      </c>
      <c r="JU5496" s="55" t="s">
        <v>6618</v>
      </c>
      <c r="JW5496" s="55" t="s">
        <v>6621</v>
      </c>
    </row>
    <row r="5497" spans="1:283" x14ac:dyDescent="0.25">
      <c r="A5497" s="55">
        <v>5496</v>
      </c>
      <c r="B5497" s="12" t="s">
        <v>7067</v>
      </c>
      <c r="C5497" s="155" t="s">
        <v>6600</v>
      </c>
      <c r="D5497" s="55" t="s">
        <v>6658</v>
      </c>
      <c r="E5497" s="90" t="s">
        <v>4387</v>
      </c>
      <c r="G5497" s="55" t="s">
        <v>6601</v>
      </c>
      <c r="H5497" s="55" t="s">
        <v>5490</v>
      </c>
      <c r="I5497" s="55" t="s">
        <v>5608</v>
      </c>
      <c r="J5497" s="55" t="s">
        <v>6470</v>
      </c>
      <c r="K5497" s="55" t="s">
        <v>6604</v>
      </c>
      <c r="L5497" s="55" t="s">
        <v>3377</v>
      </c>
      <c r="M5497" s="90">
        <v>35.58</v>
      </c>
      <c r="N5497" s="90">
        <v>104.63</v>
      </c>
      <c r="Q5497" s="55" t="s">
        <v>5826</v>
      </c>
      <c r="S5497" s="90" t="s">
        <v>6492</v>
      </c>
      <c r="U5497" s="55" t="s">
        <v>1935</v>
      </c>
      <c r="V5497" s="55" t="s">
        <v>1935</v>
      </c>
      <c r="AH5497" s="55" t="s">
        <v>769</v>
      </c>
      <c r="AM5497" s="55" t="s">
        <v>6493</v>
      </c>
      <c r="AN5497" s="185" t="s">
        <v>6610</v>
      </c>
      <c r="AO5497" s="185" t="s">
        <v>5150</v>
      </c>
      <c r="AQ5497" s="55" t="s">
        <v>553</v>
      </c>
      <c r="AR5497" s="55" t="s">
        <v>6623</v>
      </c>
      <c r="AS5497" s="55" t="s">
        <v>227</v>
      </c>
      <c r="AU5497" s="181" t="s">
        <v>7494</v>
      </c>
      <c r="AV5497" s="185" t="s">
        <v>176</v>
      </c>
      <c r="AX5497" s="185" t="s">
        <v>176</v>
      </c>
      <c r="BK5497" s="55" t="s">
        <v>6608</v>
      </c>
      <c r="BN5497" s="55" t="s">
        <v>1688</v>
      </c>
      <c r="BO5497" s="55" t="s">
        <v>1688</v>
      </c>
      <c r="FJ5497" s="65">
        <v>0.46026</v>
      </c>
      <c r="FK5497" s="65">
        <v>0.42931999999999998</v>
      </c>
      <c r="FN5497" s="65" t="s">
        <v>206</v>
      </c>
      <c r="FO5497" s="65">
        <v>2.0190000000000001</v>
      </c>
      <c r="FP5497" s="65">
        <v>1.9809999999999999</v>
      </c>
      <c r="FS5497" s="65" t="s">
        <v>637</v>
      </c>
      <c r="GP5497" s="292" t="s">
        <v>7494</v>
      </c>
      <c r="JU5497" s="55" t="s">
        <v>6618</v>
      </c>
      <c r="JW5497" s="55" t="s">
        <v>6621</v>
      </c>
    </row>
    <row r="5498" spans="1:283" x14ac:dyDescent="0.25">
      <c r="A5498" s="55">
        <v>5497</v>
      </c>
      <c r="B5498" s="12" t="s">
        <v>7067</v>
      </c>
      <c r="C5498" s="155" t="s">
        <v>6600</v>
      </c>
      <c r="D5498" s="55" t="s">
        <v>6658</v>
      </c>
      <c r="E5498" s="90" t="s">
        <v>4387</v>
      </c>
      <c r="G5498" s="55" t="s">
        <v>6601</v>
      </c>
      <c r="H5498" s="55" t="s">
        <v>5490</v>
      </c>
      <c r="I5498" s="55" t="s">
        <v>5608</v>
      </c>
      <c r="J5498" s="55" t="s">
        <v>6470</v>
      </c>
      <c r="K5498" s="55" t="s">
        <v>6604</v>
      </c>
      <c r="L5498" s="55" t="s">
        <v>3377</v>
      </c>
      <c r="M5498" s="90">
        <v>35.58</v>
      </c>
      <c r="N5498" s="90">
        <v>104.63</v>
      </c>
      <c r="Q5498" s="55" t="s">
        <v>5826</v>
      </c>
      <c r="S5498" s="90" t="s">
        <v>6492</v>
      </c>
      <c r="U5498" s="55" t="s">
        <v>1935</v>
      </c>
      <c r="V5498" s="55" t="s">
        <v>1935</v>
      </c>
      <c r="AH5498" s="55" t="s">
        <v>769</v>
      </c>
      <c r="AM5498" s="55" t="s">
        <v>6493</v>
      </c>
      <c r="AN5498" s="185" t="s">
        <v>6610</v>
      </c>
      <c r="AO5498" s="185" t="s">
        <v>5150</v>
      </c>
      <c r="AQ5498" s="55" t="s">
        <v>553</v>
      </c>
      <c r="AR5498" s="55" t="s">
        <v>6623</v>
      </c>
      <c r="AS5498" s="55" t="s">
        <v>227</v>
      </c>
      <c r="AU5498" s="181" t="s">
        <v>7494</v>
      </c>
      <c r="AV5498" s="185" t="s">
        <v>176</v>
      </c>
      <c r="AX5498" s="185" t="s">
        <v>176</v>
      </c>
      <c r="BK5498" s="55" t="s">
        <v>6608</v>
      </c>
      <c r="BN5498" s="55" t="s">
        <v>1688</v>
      </c>
      <c r="BO5498" s="55" t="s">
        <v>1688</v>
      </c>
      <c r="FJ5498" s="65">
        <v>7.9439999999999997E-2</v>
      </c>
      <c r="FK5498" s="65">
        <v>8.3760000000000001E-2</v>
      </c>
      <c r="FN5498" s="65" t="s">
        <v>206</v>
      </c>
      <c r="FO5498" s="65">
        <v>0.40199999999999997</v>
      </c>
      <c r="FP5498" s="65">
        <v>0.39400000000000002</v>
      </c>
      <c r="FS5498" s="65" t="s">
        <v>637</v>
      </c>
      <c r="GP5498" s="292" t="s">
        <v>7494</v>
      </c>
      <c r="JU5498" s="55" t="s">
        <v>6618</v>
      </c>
      <c r="JW5498" s="55" t="s">
        <v>6621</v>
      </c>
    </row>
    <row r="5499" spans="1:283" x14ac:dyDescent="0.25">
      <c r="A5499" s="55">
        <v>5498</v>
      </c>
      <c r="B5499" s="12" t="s">
        <v>7067</v>
      </c>
      <c r="C5499" s="155" t="s">
        <v>6600</v>
      </c>
      <c r="D5499" s="55" t="s">
        <v>6658</v>
      </c>
      <c r="E5499" s="90" t="s">
        <v>4387</v>
      </c>
      <c r="G5499" s="55" t="s">
        <v>6601</v>
      </c>
      <c r="H5499" s="55" t="s">
        <v>5490</v>
      </c>
      <c r="I5499" s="55" t="s">
        <v>5608</v>
      </c>
      <c r="J5499" s="55" t="s">
        <v>6470</v>
      </c>
      <c r="K5499" s="55" t="s">
        <v>6604</v>
      </c>
      <c r="L5499" s="55" t="s">
        <v>3377</v>
      </c>
      <c r="M5499" s="90">
        <v>35.58</v>
      </c>
      <c r="N5499" s="90">
        <v>104.63</v>
      </c>
      <c r="Q5499" s="55" t="s">
        <v>5826</v>
      </c>
      <c r="S5499" s="90" t="s">
        <v>6492</v>
      </c>
      <c r="U5499" s="55" t="s">
        <v>1935</v>
      </c>
      <c r="V5499" s="55" t="s">
        <v>1935</v>
      </c>
      <c r="AH5499" s="55" t="s">
        <v>769</v>
      </c>
      <c r="AM5499" s="55" t="s">
        <v>6493</v>
      </c>
      <c r="AN5499" s="185" t="s">
        <v>6610</v>
      </c>
      <c r="AO5499" s="185" t="s">
        <v>5150</v>
      </c>
      <c r="AQ5499" s="55" t="s">
        <v>553</v>
      </c>
      <c r="AR5499" s="55" t="s">
        <v>6623</v>
      </c>
      <c r="AS5499" s="55" t="s">
        <v>227</v>
      </c>
      <c r="AU5499" s="181" t="s">
        <v>7494</v>
      </c>
      <c r="AV5499" s="185" t="s">
        <v>176</v>
      </c>
      <c r="AX5499" s="185" t="s">
        <v>176</v>
      </c>
      <c r="BK5499" s="55" t="s">
        <v>6608</v>
      </c>
      <c r="BN5499" s="55" t="s">
        <v>1688</v>
      </c>
      <c r="BO5499" s="55" t="s">
        <v>1688</v>
      </c>
      <c r="FJ5499" s="65">
        <v>0.78227999999999998</v>
      </c>
      <c r="FK5499" s="65">
        <v>0.61853000000000002</v>
      </c>
      <c r="FN5499" s="65" t="s">
        <v>206</v>
      </c>
      <c r="FO5499" s="65">
        <v>2.306</v>
      </c>
      <c r="FP5499" s="65">
        <v>2.202</v>
      </c>
      <c r="FS5499" s="65" t="s">
        <v>637</v>
      </c>
      <c r="GP5499" s="292" t="s">
        <v>7494</v>
      </c>
      <c r="JU5499" s="55" t="s">
        <v>6618</v>
      </c>
      <c r="JW5499" s="55" t="s">
        <v>6621</v>
      </c>
    </row>
    <row r="5500" spans="1:283" x14ac:dyDescent="0.25">
      <c r="A5500" s="55">
        <v>5499</v>
      </c>
      <c r="B5500" s="12" t="s">
        <v>7067</v>
      </c>
      <c r="C5500" s="155" t="s">
        <v>6600</v>
      </c>
      <c r="D5500" s="55" t="s">
        <v>6658</v>
      </c>
      <c r="E5500" s="90" t="s">
        <v>4387</v>
      </c>
      <c r="G5500" s="55" t="s">
        <v>6601</v>
      </c>
      <c r="H5500" s="55" t="s">
        <v>5490</v>
      </c>
      <c r="I5500" s="55" t="s">
        <v>5608</v>
      </c>
      <c r="J5500" s="55" t="s">
        <v>6470</v>
      </c>
      <c r="K5500" s="55" t="s">
        <v>6604</v>
      </c>
      <c r="L5500" s="55" t="s">
        <v>3377</v>
      </c>
      <c r="M5500" s="90">
        <v>35.58</v>
      </c>
      <c r="N5500" s="90">
        <v>104.63</v>
      </c>
      <c r="Q5500" s="55" t="s">
        <v>5826</v>
      </c>
      <c r="S5500" s="90" t="s">
        <v>6492</v>
      </c>
      <c r="U5500" s="55" t="s">
        <v>1935</v>
      </c>
      <c r="V5500" s="55" t="s">
        <v>1935</v>
      </c>
      <c r="AH5500" s="55" t="s">
        <v>769</v>
      </c>
      <c r="AM5500" s="55" t="s">
        <v>6493</v>
      </c>
      <c r="AN5500" s="185" t="s">
        <v>6610</v>
      </c>
      <c r="AO5500" s="185" t="s">
        <v>5150</v>
      </c>
      <c r="AQ5500" s="55" t="s">
        <v>553</v>
      </c>
      <c r="AR5500" s="55" t="s">
        <v>6623</v>
      </c>
      <c r="AS5500" s="55" t="s">
        <v>227</v>
      </c>
      <c r="AU5500" s="181" t="s">
        <v>7494</v>
      </c>
      <c r="AV5500" s="185" t="s">
        <v>176</v>
      </c>
      <c r="AX5500" s="185" t="s">
        <v>176</v>
      </c>
      <c r="BK5500" s="55" t="s">
        <v>6608</v>
      </c>
      <c r="BN5500" s="55" t="s">
        <v>1688</v>
      </c>
      <c r="BO5500" s="55" t="s">
        <v>1688</v>
      </c>
      <c r="FJ5500" s="65">
        <v>0.16556000000000001</v>
      </c>
      <c r="FK5500" s="65">
        <v>0.10305</v>
      </c>
      <c r="FN5500" s="65" t="s">
        <v>206</v>
      </c>
      <c r="FO5500" s="65">
        <v>0.79400000000000004</v>
      </c>
      <c r="FP5500" s="65">
        <v>0.57800000000000007</v>
      </c>
      <c r="FS5500" s="65" t="s">
        <v>637</v>
      </c>
      <c r="GP5500" s="292" t="s">
        <v>7494</v>
      </c>
      <c r="JU5500" s="55" t="s">
        <v>6618</v>
      </c>
      <c r="JW5500" s="55" t="s">
        <v>6621</v>
      </c>
    </row>
    <row r="5501" spans="1:283" x14ac:dyDescent="0.25">
      <c r="A5501" s="55">
        <v>5500</v>
      </c>
      <c r="B5501" s="12" t="s">
        <v>7067</v>
      </c>
      <c r="C5501" s="155" t="s">
        <v>6600</v>
      </c>
      <c r="D5501" s="55" t="s">
        <v>6658</v>
      </c>
      <c r="E5501" s="90" t="s">
        <v>4387</v>
      </c>
      <c r="G5501" s="55" t="s">
        <v>6601</v>
      </c>
      <c r="H5501" s="55" t="s">
        <v>5490</v>
      </c>
      <c r="I5501" s="55" t="s">
        <v>5608</v>
      </c>
      <c r="J5501" s="55" t="s">
        <v>6470</v>
      </c>
      <c r="K5501" s="55" t="s">
        <v>6604</v>
      </c>
      <c r="L5501" s="55" t="s">
        <v>3377</v>
      </c>
      <c r="M5501" s="90">
        <v>35.58</v>
      </c>
      <c r="N5501" s="90">
        <v>104.63</v>
      </c>
      <c r="Q5501" s="55" t="s">
        <v>5826</v>
      </c>
      <c r="S5501" s="90" t="s">
        <v>6492</v>
      </c>
      <c r="U5501" s="55" t="s">
        <v>1935</v>
      </c>
      <c r="V5501" s="55" t="s">
        <v>1935</v>
      </c>
      <c r="AH5501" s="55" t="s">
        <v>769</v>
      </c>
      <c r="AM5501" s="55" t="s">
        <v>6493</v>
      </c>
      <c r="AN5501" s="185" t="s">
        <v>6610</v>
      </c>
      <c r="AO5501" s="185" t="s">
        <v>5150</v>
      </c>
      <c r="AQ5501" s="55" t="s">
        <v>553</v>
      </c>
      <c r="AR5501" s="55" t="s">
        <v>6623</v>
      </c>
      <c r="AS5501" s="55" t="s">
        <v>227</v>
      </c>
      <c r="AU5501" s="181" t="s">
        <v>7494</v>
      </c>
      <c r="AV5501" s="185" t="s">
        <v>176</v>
      </c>
      <c r="AX5501" s="185" t="s">
        <v>176</v>
      </c>
      <c r="BK5501" s="55" t="s">
        <v>6608</v>
      </c>
      <c r="BN5501" s="55" t="s">
        <v>1688</v>
      </c>
      <c r="BO5501" s="55" t="s">
        <v>1688</v>
      </c>
      <c r="FJ5501" s="65">
        <v>2.0234700000000001</v>
      </c>
      <c r="FK5501" s="65">
        <v>1.43994</v>
      </c>
      <c r="FN5501" s="65" t="s">
        <v>206</v>
      </c>
      <c r="FO5501" s="65">
        <v>6.7140000000000004</v>
      </c>
      <c r="FP5501" s="65">
        <v>6.2060000000000004</v>
      </c>
      <c r="FS5501" s="65" t="s">
        <v>637</v>
      </c>
      <c r="GP5501" s="292" t="s">
        <v>7494</v>
      </c>
      <c r="JU5501" s="55" t="s">
        <v>6618</v>
      </c>
      <c r="JW5501" s="55" t="s">
        <v>6621</v>
      </c>
    </row>
    <row r="5502" spans="1:283" x14ac:dyDescent="0.25">
      <c r="A5502" s="55">
        <v>5501</v>
      </c>
      <c r="B5502" s="12" t="s">
        <v>7067</v>
      </c>
      <c r="C5502" s="155" t="s">
        <v>6600</v>
      </c>
      <c r="D5502" s="55" t="s">
        <v>6658</v>
      </c>
      <c r="E5502" s="90" t="s">
        <v>4387</v>
      </c>
      <c r="G5502" s="55" t="s">
        <v>6601</v>
      </c>
      <c r="H5502" s="55" t="s">
        <v>5490</v>
      </c>
      <c r="I5502" s="55" t="s">
        <v>5608</v>
      </c>
      <c r="J5502" s="55" t="s">
        <v>6470</v>
      </c>
      <c r="K5502" s="55" t="s">
        <v>6604</v>
      </c>
      <c r="L5502" s="55" t="s">
        <v>3377</v>
      </c>
      <c r="M5502" s="90">
        <v>35.58</v>
      </c>
      <c r="N5502" s="90">
        <v>104.63</v>
      </c>
      <c r="Q5502" s="55" t="s">
        <v>5826</v>
      </c>
      <c r="S5502" s="90" t="s">
        <v>6492</v>
      </c>
      <c r="U5502" s="55" t="s">
        <v>1935</v>
      </c>
      <c r="V5502" s="55" t="s">
        <v>1935</v>
      </c>
      <c r="AH5502" s="55" t="s">
        <v>769</v>
      </c>
      <c r="AM5502" s="55" t="s">
        <v>6493</v>
      </c>
      <c r="AN5502" s="185" t="s">
        <v>6610</v>
      </c>
      <c r="AO5502" s="185" t="s">
        <v>5150</v>
      </c>
      <c r="AQ5502" s="55" t="s">
        <v>553</v>
      </c>
      <c r="AR5502" s="55" t="s">
        <v>6623</v>
      </c>
      <c r="AS5502" s="55" t="s">
        <v>227</v>
      </c>
      <c r="AU5502" s="181" t="s">
        <v>7494</v>
      </c>
      <c r="AV5502" s="185" t="s">
        <v>176</v>
      </c>
      <c r="AX5502" s="185" t="s">
        <v>176</v>
      </c>
      <c r="BK5502" s="55" t="s">
        <v>6608</v>
      </c>
      <c r="BN5502" s="55" t="s">
        <v>1688</v>
      </c>
      <c r="BO5502" s="55" t="s">
        <v>1688</v>
      </c>
      <c r="FJ5502" s="65">
        <v>0.44564999999999999</v>
      </c>
      <c r="FK5502" s="65">
        <v>0.26919999999999999</v>
      </c>
      <c r="FN5502" s="65" t="s">
        <v>206</v>
      </c>
      <c r="FO5502" s="65">
        <v>2.7170000000000005</v>
      </c>
      <c r="FP5502" s="65">
        <v>2.1430000000000002</v>
      </c>
      <c r="FS5502" s="65" t="s">
        <v>637</v>
      </c>
      <c r="GP5502" s="292" t="s">
        <v>7494</v>
      </c>
      <c r="JU5502" s="55" t="s">
        <v>6618</v>
      </c>
      <c r="JW5502" s="55" t="s">
        <v>6621</v>
      </c>
    </row>
    <row r="5503" spans="1:283" x14ac:dyDescent="0.25">
      <c r="A5503" s="55">
        <v>5502</v>
      </c>
      <c r="B5503" s="12" t="s">
        <v>7067</v>
      </c>
      <c r="C5503" s="155" t="s">
        <v>6600</v>
      </c>
      <c r="D5503" s="55" t="s">
        <v>6658</v>
      </c>
      <c r="E5503" s="90" t="s">
        <v>4387</v>
      </c>
      <c r="G5503" s="55" t="s">
        <v>6601</v>
      </c>
      <c r="H5503" s="55" t="s">
        <v>5490</v>
      </c>
      <c r="I5503" s="55" t="s">
        <v>5608</v>
      </c>
      <c r="J5503" s="55" t="s">
        <v>6470</v>
      </c>
      <c r="K5503" s="55" t="s">
        <v>6604</v>
      </c>
      <c r="L5503" s="55" t="s">
        <v>3377</v>
      </c>
      <c r="M5503" s="90">
        <v>35.58</v>
      </c>
      <c r="N5503" s="90">
        <v>104.63</v>
      </c>
      <c r="Q5503" s="55" t="s">
        <v>5826</v>
      </c>
      <c r="S5503" s="90" t="s">
        <v>6492</v>
      </c>
      <c r="U5503" s="55" t="s">
        <v>1935</v>
      </c>
      <c r="V5503" s="55" t="s">
        <v>1935</v>
      </c>
      <c r="AH5503" s="55" t="s">
        <v>769</v>
      </c>
      <c r="AM5503" s="55" t="s">
        <v>6493</v>
      </c>
      <c r="AN5503" s="185" t="s">
        <v>6610</v>
      </c>
      <c r="AO5503" s="185" t="s">
        <v>5150</v>
      </c>
      <c r="AQ5503" s="55" t="s">
        <v>553</v>
      </c>
      <c r="AR5503" s="55" t="s">
        <v>6623</v>
      </c>
      <c r="AS5503" s="55" t="s">
        <v>227</v>
      </c>
      <c r="AU5503" s="181" t="s">
        <v>7494</v>
      </c>
      <c r="AV5503" s="185" t="s">
        <v>176</v>
      </c>
      <c r="AX5503" s="185" t="s">
        <v>176</v>
      </c>
      <c r="BK5503" s="55" t="s">
        <v>6608</v>
      </c>
      <c r="BN5503" s="55" t="s">
        <v>1688</v>
      </c>
      <c r="BO5503" s="55" t="s">
        <v>1688</v>
      </c>
      <c r="FJ5503" s="65">
        <v>1.2956099999999999</v>
      </c>
      <c r="FK5503" s="65">
        <v>1.3520999999999999</v>
      </c>
      <c r="FN5503" s="65" t="s">
        <v>206</v>
      </c>
      <c r="FO5503" s="65">
        <v>4.4649999999999999</v>
      </c>
      <c r="FP5503" s="65">
        <v>4.4840000000000009</v>
      </c>
      <c r="FS5503" s="65" t="s">
        <v>637</v>
      </c>
      <c r="GP5503" s="292" t="s">
        <v>7494</v>
      </c>
      <c r="JU5503" s="55" t="s">
        <v>6618</v>
      </c>
      <c r="JW5503" s="55" t="s">
        <v>6621</v>
      </c>
    </row>
    <row r="5504" spans="1:283" x14ac:dyDescent="0.25">
      <c r="A5504" s="55">
        <v>5503</v>
      </c>
      <c r="B5504" s="12" t="s">
        <v>7067</v>
      </c>
      <c r="C5504" s="155" t="s">
        <v>6600</v>
      </c>
      <c r="D5504" s="55" t="s">
        <v>6659</v>
      </c>
      <c r="E5504" s="90" t="s">
        <v>4387</v>
      </c>
      <c r="G5504" s="55" t="s">
        <v>6601</v>
      </c>
      <c r="H5504" s="55" t="s">
        <v>5490</v>
      </c>
      <c r="I5504" s="55" t="s">
        <v>5608</v>
      </c>
      <c r="J5504" s="55" t="s">
        <v>6470</v>
      </c>
      <c r="K5504" s="55" t="s">
        <v>6604</v>
      </c>
      <c r="L5504" s="55" t="s">
        <v>3377</v>
      </c>
      <c r="M5504" s="90">
        <v>35.58</v>
      </c>
      <c r="N5504" s="90">
        <v>104.63</v>
      </c>
      <c r="Q5504" s="55" t="s">
        <v>5826</v>
      </c>
      <c r="S5504" s="90" t="s">
        <v>6492</v>
      </c>
      <c r="U5504" s="55" t="s">
        <v>1935</v>
      </c>
      <c r="V5504" s="55" t="s">
        <v>1935</v>
      </c>
      <c r="AH5504" s="55" t="s">
        <v>769</v>
      </c>
      <c r="AM5504" s="55" t="s">
        <v>6493</v>
      </c>
      <c r="AN5504" s="185" t="s">
        <v>6610</v>
      </c>
      <c r="AO5504" s="185" t="s">
        <v>5150</v>
      </c>
      <c r="AQ5504" s="55" t="s">
        <v>553</v>
      </c>
      <c r="AR5504" s="55" t="s">
        <v>3646</v>
      </c>
      <c r="AS5504" s="55" t="s">
        <v>227</v>
      </c>
      <c r="AU5504" s="181" t="s">
        <v>7494</v>
      </c>
      <c r="AV5504" s="185" t="s">
        <v>176</v>
      </c>
      <c r="AX5504" s="185" t="s">
        <v>176</v>
      </c>
      <c r="BK5504" s="55" t="s">
        <v>6608</v>
      </c>
      <c r="BN5504" s="55" t="s">
        <v>1688</v>
      </c>
      <c r="BO5504" s="55" t="s">
        <v>1688</v>
      </c>
      <c r="FJ5504" s="65">
        <v>9.8310000000000008E-2</v>
      </c>
      <c r="FK5504" s="65">
        <v>0.1017</v>
      </c>
      <c r="FN5504" s="65" t="s">
        <v>206</v>
      </c>
      <c r="FO5504" s="65">
        <v>4.6200000000000005E-2</v>
      </c>
      <c r="FP5504" s="65">
        <v>4.6500000000000007E-2</v>
      </c>
      <c r="FS5504" s="65" t="s">
        <v>637</v>
      </c>
      <c r="GP5504" s="292" t="s">
        <v>7494</v>
      </c>
      <c r="JU5504" s="55" t="s">
        <v>6618</v>
      </c>
      <c r="JW5504" s="55" t="s">
        <v>6622</v>
      </c>
    </row>
    <row r="5505" spans="1:283" x14ac:dyDescent="0.25">
      <c r="A5505" s="55">
        <v>5504</v>
      </c>
      <c r="B5505" s="12" t="s">
        <v>7067</v>
      </c>
      <c r="C5505" s="155" t="s">
        <v>6600</v>
      </c>
      <c r="D5505" s="55" t="s">
        <v>6659</v>
      </c>
      <c r="E5505" s="90" t="s">
        <v>4387</v>
      </c>
      <c r="G5505" s="55" t="s">
        <v>6601</v>
      </c>
      <c r="H5505" s="55" t="s">
        <v>5490</v>
      </c>
      <c r="I5505" s="55" t="s">
        <v>5608</v>
      </c>
      <c r="J5505" s="55" t="s">
        <v>6470</v>
      </c>
      <c r="K5505" s="55" t="s">
        <v>6604</v>
      </c>
      <c r="L5505" s="55" t="s">
        <v>3377</v>
      </c>
      <c r="M5505" s="90">
        <v>35.58</v>
      </c>
      <c r="N5505" s="90">
        <v>104.63</v>
      </c>
      <c r="Q5505" s="55" t="s">
        <v>5826</v>
      </c>
      <c r="S5505" s="90" t="s">
        <v>6492</v>
      </c>
      <c r="U5505" s="55" t="s">
        <v>1935</v>
      </c>
      <c r="V5505" s="55" t="s">
        <v>1935</v>
      </c>
      <c r="AH5505" s="55" t="s">
        <v>769</v>
      </c>
      <c r="AM5505" s="55" t="s">
        <v>6493</v>
      </c>
      <c r="AN5505" s="185" t="s">
        <v>6610</v>
      </c>
      <c r="AO5505" s="185" t="s">
        <v>5150</v>
      </c>
      <c r="AQ5505" s="55" t="s">
        <v>553</v>
      </c>
      <c r="AR5505" s="55" t="s">
        <v>3646</v>
      </c>
      <c r="AS5505" s="55" t="s">
        <v>227</v>
      </c>
      <c r="AU5505" s="181" t="s">
        <v>7494</v>
      </c>
      <c r="AV5505" s="185" t="s">
        <v>176</v>
      </c>
      <c r="AX5505" s="185" t="s">
        <v>176</v>
      </c>
      <c r="BK5505" s="55" t="s">
        <v>6608</v>
      </c>
      <c r="BN5505" s="55" t="s">
        <v>1688</v>
      </c>
      <c r="BO5505" s="55" t="s">
        <v>1688</v>
      </c>
      <c r="FJ5505" s="65">
        <v>0.20022000000000001</v>
      </c>
      <c r="FK5505" s="65">
        <v>0.19343000000000002</v>
      </c>
      <c r="FN5505" s="65" t="s">
        <v>206</v>
      </c>
      <c r="FO5505" s="65">
        <v>8.48E-2</v>
      </c>
      <c r="FP5505" s="65">
        <v>8.4100000000000008E-2</v>
      </c>
      <c r="FS5505" s="65" t="s">
        <v>637</v>
      </c>
      <c r="GP5505" s="292" t="s">
        <v>7494</v>
      </c>
      <c r="JU5505" s="55" t="s">
        <v>6618</v>
      </c>
      <c r="JW5505" s="55" t="s">
        <v>6622</v>
      </c>
    </row>
    <row r="5506" spans="1:283" x14ac:dyDescent="0.25">
      <c r="A5506" s="55">
        <v>5505</v>
      </c>
      <c r="B5506" s="12" t="s">
        <v>7067</v>
      </c>
      <c r="C5506" s="155" t="s">
        <v>6600</v>
      </c>
      <c r="D5506" s="55" t="s">
        <v>6659</v>
      </c>
      <c r="E5506" s="90" t="s">
        <v>4387</v>
      </c>
      <c r="G5506" s="55" t="s">
        <v>6601</v>
      </c>
      <c r="H5506" s="55" t="s">
        <v>5490</v>
      </c>
      <c r="I5506" s="55" t="s">
        <v>5608</v>
      </c>
      <c r="J5506" s="55" t="s">
        <v>6470</v>
      </c>
      <c r="K5506" s="55" t="s">
        <v>6604</v>
      </c>
      <c r="L5506" s="55" t="s">
        <v>3377</v>
      </c>
      <c r="M5506" s="90">
        <v>35.58</v>
      </c>
      <c r="N5506" s="90">
        <v>104.63</v>
      </c>
      <c r="Q5506" s="55" t="s">
        <v>5826</v>
      </c>
      <c r="S5506" s="90" t="s">
        <v>6492</v>
      </c>
      <c r="U5506" s="55" t="s">
        <v>1935</v>
      </c>
      <c r="V5506" s="55" t="s">
        <v>1935</v>
      </c>
      <c r="AH5506" s="55" t="s">
        <v>769</v>
      </c>
      <c r="AM5506" s="55" t="s">
        <v>6493</v>
      </c>
      <c r="AN5506" s="185" t="s">
        <v>6610</v>
      </c>
      <c r="AO5506" s="185" t="s">
        <v>5150</v>
      </c>
      <c r="AQ5506" s="55" t="s">
        <v>553</v>
      </c>
      <c r="AR5506" s="55" t="s">
        <v>3646</v>
      </c>
      <c r="AS5506" s="55" t="s">
        <v>227</v>
      </c>
      <c r="AU5506" s="181" t="s">
        <v>7494</v>
      </c>
      <c r="AV5506" s="185" t="s">
        <v>176</v>
      </c>
      <c r="AX5506" s="185" t="s">
        <v>176</v>
      </c>
      <c r="BK5506" s="55" t="s">
        <v>6608</v>
      </c>
      <c r="BN5506" s="55" t="s">
        <v>1688</v>
      </c>
      <c r="BO5506" s="55" t="s">
        <v>1688</v>
      </c>
      <c r="FJ5506" s="65">
        <v>0.50273999999999996</v>
      </c>
      <c r="FK5506" s="65">
        <v>0.37998000000000004</v>
      </c>
      <c r="FN5506" s="65" t="s">
        <v>206</v>
      </c>
      <c r="FO5506" s="65">
        <v>0.19920000000000002</v>
      </c>
      <c r="FP5506" s="65">
        <v>0.17129999999999998</v>
      </c>
      <c r="FS5506" s="65" t="s">
        <v>637</v>
      </c>
      <c r="GP5506" s="292" t="s">
        <v>7494</v>
      </c>
      <c r="JU5506" s="55" t="s">
        <v>6618</v>
      </c>
      <c r="JW5506" s="55" t="s">
        <v>6622</v>
      </c>
    </row>
    <row r="5507" spans="1:283" x14ac:dyDescent="0.25">
      <c r="A5507" s="55">
        <v>5506</v>
      </c>
      <c r="B5507" s="12" t="s">
        <v>7067</v>
      </c>
      <c r="C5507" s="155" t="s">
        <v>6600</v>
      </c>
      <c r="D5507" s="55" t="s">
        <v>6659</v>
      </c>
      <c r="E5507" s="90" t="s">
        <v>4387</v>
      </c>
      <c r="G5507" s="55" t="s">
        <v>6601</v>
      </c>
      <c r="H5507" s="55" t="s">
        <v>5490</v>
      </c>
      <c r="I5507" s="55" t="s">
        <v>5608</v>
      </c>
      <c r="J5507" s="55" t="s">
        <v>6470</v>
      </c>
      <c r="K5507" s="55" t="s">
        <v>6604</v>
      </c>
      <c r="L5507" s="55" t="s">
        <v>3377</v>
      </c>
      <c r="M5507" s="90">
        <v>35.58</v>
      </c>
      <c r="N5507" s="90">
        <v>104.63</v>
      </c>
      <c r="Q5507" s="55" t="s">
        <v>5826</v>
      </c>
      <c r="S5507" s="90" t="s">
        <v>6492</v>
      </c>
      <c r="U5507" s="55" t="s">
        <v>1935</v>
      </c>
      <c r="V5507" s="55" t="s">
        <v>1935</v>
      </c>
      <c r="AH5507" s="55" t="s">
        <v>769</v>
      </c>
      <c r="AM5507" s="55" t="s">
        <v>6493</v>
      </c>
      <c r="AN5507" s="185" t="s">
        <v>6610</v>
      </c>
      <c r="AO5507" s="185" t="s">
        <v>5150</v>
      </c>
      <c r="AQ5507" s="55" t="s">
        <v>553</v>
      </c>
      <c r="AR5507" s="55" t="s">
        <v>3646</v>
      </c>
      <c r="AS5507" s="55" t="s">
        <v>227</v>
      </c>
      <c r="AU5507" s="181" t="s">
        <v>7494</v>
      </c>
      <c r="AV5507" s="185" t="s">
        <v>176</v>
      </c>
      <c r="AX5507" s="185" t="s">
        <v>176</v>
      </c>
      <c r="BK5507" s="55" t="s">
        <v>6608</v>
      </c>
      <c r="BN5507" s="55" t="s">
        <v>1688</v>
      </c>
      <c r="BO5507" s="55" t="s">
        <v>1688</v>
      </c>
      <c r="FJ5507" s="65">
        <v>5.994E-2</v>
      </c>
      <c r="FK5507" s="65">
        <v>4.1520000000000001E-2</v>
      </c>
      <c r="FN5507" s="65" t="s">
        <v>206</v>
      </c>
      <c r="FO5507" s="65">
        <v>3.6799999999999999E-2</v>
      </c>
      <c r="FP5507" s="65">
        <v>2.06E-2</v>
      </c>
      <c r="FS5507" s="65" t="s">
        <v>637</v>
      </c>
      <c r="GP5507" s="292" t="s">
        <v>7494</v>
      </c>
      <c r="JU5507" s="55" t="s">
        <v>6618</v>
      </c>
      <c r="JW5507" s="55" t="s">
        <v>6622</v>
      </c>
    </row>
    <row r="5508" spans="1:283" x14ac:dyDescent="0.25">
      <c r="A5508" s="55">
        <v>5507</v>
      </c>
      <c r="B5508" s="12" t="s">
        <v>7067</v>
      </c>
      <c r="C5508" s="155" t="s">
        <v>6600</v>
      </c>
      <c r="D5508" s="55" t="s">
        <v>6659</v>
      </c>
      <c r="E5508" s="90" t="s">
        <v>4387</v>
      </c>
      <c r="G5508" s="55" t="s">
        <v>6601</v>
      </c>
      <c r="H5508" s="55" t="s">
        <v>5490</v>
      </c>
      <c r="I5508" s="55" t="s">
        <v>5608</v>
      </c>
      <c r="J5508" s="55" t="s">
        <v>6470</v>
      </c>
      <c r="K5508" s="55" t="s">
        <v>6604</v>
      </c>
      <c r="L5508" s="55" t="s">
        <v>3377</v>
      </c>
      <c r="M5508" s="90">
        <v>35.58</v>
      </c>
      <c r="N5508" s="90">
        <v>104.63</v>
      </c>
      <c r="Q5508" s="55" t="s">
        <v>5826</v>
      </c>
      <c r="S5508" s="90" t="s">
        <v>6492</v>
      </c>
      <c r="U5508" s="55" t="s">
        <v>1935</v>
      </c>
      <c r="V5508" s="55" t="s">
        <v>1935</v>
      </c>
      <c r="AH5508" s="55" t="s">
        <v>769</v>
      </c>
      <c r="AM5508" s="55" t="s">
        <v>6493</v>
      </c>
      <c r="AN5508" s="185" t="s">
        <v>6610</v>
      </c>
      <c r="AO5508" s="185" t="s">
        <v>5150</v>
      </c>
      <c r="AQ5508" s="55" t="s">
        <v>553</v>
      </c>
      <c r="AR5508" s="55" t="s">
        <v>3646</v>
      </c>
      <c r="AS5508" s="55" t="s">
        <v>227</v>
      </c>
      <c r="AU5508" s="181" t="s">
        <v>7494</v>
      </c>
      <c r="AV5508" s="185" t="s">
        <v>176</v>
      </c>
      <c r="AX5508" s="185" t="s">
        <v>176</v>
      </c>
      <c r="BK5508" s="55" t="s">
        <v>6608</v>
      </c>
      <c r="BN5508" s="55" t="s">
        <v>1688</v>
      </c>
      <c r="BO5508" s="55" t="s">
        <v>1688</v>
      </c>
      <c r="FJ5508" s="65">
        <v>0.54096</v>
      </c>
      <c r="FK5508" s="65">
        <v>0.44986999999999999</v>
      </c>
      <c r="FN5508" s="65" t="s">
        <v>206</v>
      </c>
      <c r="FO5508" s="65">
        <v>0.19399999999999998</v>
      </c>
      <c r="FP5508" s="65">
        <v>0.17269999999999999</v>
      </c>
      <c r="FS5508" s="65" t="s">
        <v>637</v>
      </c>
      <c r="GP5508" s="292" t="s">
        <v>7494</v>
      </c>
      <c r="JU5508" s="55" t="s">
        <v>6618</v>
      </c>
      <c r="JW5508" s="55" t="s">
        <v>6622</v>
      </c>
    </row>
    <row r="5509" spans="1:283" x14ac:dyDescent="0.25">
      <c r="A5509" s="55">
        <v>5508</v>
      </c>
      <c r="B5509" s="12" t="s">
        <v>7067</v>
      </c>
      <c r="C5509" s="155" t="s">
        <v>6600</v>
      </c>
      <c r="D5509" s="55" t="s">
        <v>6659</v>
      </c>
      <c r="E5509" s="90" t="s">
        <v>4387</v>
      </c>
      <c r="G5509" s="55" t="s">
        <v>6601</v>
      </c>
      <c r="H5509" s="55" t="s">
        <v>5490</v>
      </c>
      <c r="I5509" s="55" t="s">
        <v>5608</v>
      </c>
      <c r="J5509" s="55" t="s">
        <v>6470</v>
      </c>
      <c r="K5509" s="55" t="s">
        <v>6604</v>
      </c>
      <c r="L5509" s="55" t="s">
        <v>3377</v>
      </c>
      <c r="M5509" s="90">
        <v>35.58</v>
      </c>
      <c r="N5509" s="90">
        <v>104.63</v>
      </c>
      <c r="Q5509" s="55" t="s">
        <v>5826</v>
      </c>
      <c r="S5509" s="90" t="s">
        <v>6492</v>
      </c>
      <c r="U5509" s="55" t="s">
        <v>1935</v>
      </c>
      <c r="V5509" s="55" t="s">
        <v>1935</v>
      </c>
      <c r="AH5509" s="55" t="s">
        <v>769</v>
      </c>
      <c r="AM5509" s="55" t="s">
        <v>6493</v>
      </c>
      <c r="AN5509" s="185" t="s">
        <v>6610</v>
      </c>
      <c r="AO5509" s="185" t="s">
        <v>5150</v>
      </c>
      <c r="AQ5509" s="55" t="s">
        <v>553</v>
      </c>
      <c r="AR5509" s="55" t="s">
        <v>3646</v>
      </c>
      <c r="AS5509" s="55" t="s">
        <v>227</v>
      </c>
      <c r="AU5509" s="181" t="s">
        <v>7494</v>
      </c>
      <c r="AV5509" s="185" t="s">
        <v>176</v>
      </c>
      <c r="AX5509" s="185" t="s">
        <v>176</v>
      </c>
      <c r="BK5509" s="55" t="s">
        <v>6608</v>
      </c>
      <c r="BN5509" s="55" t="s">
        <v>1688</v>
      </c>
      <c r="BO5509" s="55" t="s">
        <v>1688</v>
      </c>
      <c r="FJ5509" s="65">
        <v>6.5750000000000003E-2</v>
      </c>
      <c r="FK5509" s="65">
        <v>5.0500000000000003E-2</v>
      </c>
      <c r="FN5509" s="65" t="s">
        <v>206</v>
      </c>
      <c r="FO5509" s="65">
        <v>4.9599999999999998E-2</v>
      </c>
      <c r="FP5509" s="65">
        <v>3.8700000000000005E-2</v>
      </c>
      <c r="FS5509" s="65" t="s">
        <v>637</v>
      </c>
      <c r="GP5509" s="292" t="s">
        <v>7494</v>
      </c>
      <c r="JU5509" s="55" t="s">
        <v>6618</v>
      </c>
      <c r="JW5509" s="55" t="s">
        <v>6622</v>
      </c>
    </row>
    <row r="5510" spans="1:283" x14ac:dyDescent="0.25">
      <c r="A5510" s="55">
        <v>5509</v>
      </c>
      <c r="B5510" s="12" t="s">
        <v>7067</v>
      </c>
      <c r="C5510" s="155" t="s">
        <v>6600</v>
      </c>
      <c r="D5510" s="55" t="s">
        <v>6659</v>
      </c>
      <c r="E5510" s="90" t="s">
        <v>4387</v>
      </c>
      <c r="G5510" s="55" t="s">
        <v>6601</v>
      </c>
      <c r="H5510" s="55" t="s">
        <v>5490</v>
      </c>
      <c r="I5510" s="55" t="s">
        <v>5608</v>
      </c>
      <c r="J5510" s="55" t="s">
        <v>6470</v>
      </c>
      <c r="K5510" s="55" t="s">
        <v>6604</v>
      </c>
      <c r="L5510" s="55" t="s">
        <v>3377</v>
      </c>
      <c r="M5510" s="90">
        <v>35.58</v>
      </c>
      <c r="N5510" s="90">
        <v>104.63</v>
      </c>
      <c r="Q5510" s="55" t="s">
        <v>5826</v>
      </c>
      <c r="S5510" s="90" t="s">
        <v>6492</v>
      </c>
      <c r="U5510" s="55" t="s">
        <v>1935</v>
      </c>
      <c r="V5510" s="55" t="s">
        <v>1935</v>
      </c>
      <c r="AH5510" s="55" t="s">
        <v>769</v>
      </c>
      <c r="AM5510" s="55" t="s">
        <v>6493</v>
      </c>
      <c r="AN5510" s="185" t="s">
        <v>6610</v>
      </c>
      <c r="AO5510" s="185" t="s">
        <v>5150</v>
      </c>
      <c r="AQ5510" s="55" t="s">
        <v>553</v>
      </c>
      <c r="AR5510" s="55" t="s">
        <v>3646</v>
      </c>
      <c r="AS5510" s="55" t="s">
        <v>227</v>
      </c>
      <c r="AU5510" s="181" t="s">
        <v>7494</v>
      </c>
      <c r="AV5510" s="185" t="s">
        <v>176</v>
      </c>
      <c r="AX5510" s="185" t="s">
        <v>176</v>
      </c>
      <c r="BK5510" s="55" t="s">
        <v>6608</v>
      </c>
      <c r="BN5510" s="55" t="s">
        <v>1688</v>
      </c>
      <c r="BO5510" s="55" t="s">
        <v>1688</v>
      </c>
      <c r="FJ5510" s="65">
        <v>1.1674599999999999</v>
      </c>
      <c r="FK5510" s="65">
        <v>0.78088000000000002</v>
      </c>
      <c r="FN5510" s="65" t="s">
        <v>206</v>
      </c>
      <c r="FO5510" s="65">
        <v>0.53110000000000002</v>
      </c>
      <c r="FP5510" s="65">
        <v>0.46750000000000003</v>
      </c>
      <c r="FS5510" s="65" t="s">
        <v>637</v>
      </c>
      <c r="GP5510" s="292" t="s">
        <v>7494</v>
      </c>
      <c r="JU5510" s="55" t="s">
        <v>6618</v>
      </c>
      <c r="JW5510" s="55" t="s">
        <v>6622</v>
      </c>
    </row>
    <row r="5511" spans="1:283" x14ac:dyDescent="0.25">
      <c r="A5511" s="55">
        <v>5510</v>
      </c>
      <c r="B5511" s="12" t="s">
        <v>7067</v>
      </c>
      <c r="C5511" s="155" t="s">
        <v>6600</v>
      </c>
      <c r="D5511" s="55" t="s">
        <v>6659</v>
      </c>
      <c r="E5511" s="90" t="s">
        <v>4387</v>
      </c>
      <c r="G5511" s="55" t="s">
        <v>6601</v>
      </c>
      <c r="H5511" s="55" t="s">
        <v>5490</v>
      </c>
      <c r="I5511" s="55" t="s">
        <v>5608</v>
      </c>
      <c r="J5511" s="55" t="s">
        <v>6470</v>
      </c>
      <c r="K5511" s="55" t="s">
        <v>6604</v>
      </c>
      <c r="L5511" s="55" t="s">
        <v>3377</v>
      </c>
      <c r="M5511" s="90">
        <v>35.58</v>
      </c>
      <c r="N5511" s="90">
        <v>104.63</v>
      </c>
      <c r="Q5511" s="55" t="s">
        <v>5826</v>
      </c>
      <c r="S5511" s="90" t="s">
        <v>6492</v>
      </c>
      <c r="U5511" s="55" t="s">
        <v>1935</v>
      </c>
      <c r="V5511" s="55" t="s">
        <v>1935</v>
      </c>
      <c r="AH5511" s="55" t="s">
        <v>769</v>
      </c>
      <c r="AM5511" s="55" t="s">
        <v>6493</v>
      </c>
      <c r="AN5511" s="185" t="s">
        <v>6610</v>
      </c>
      <c r="AO5511" s="185" t="s">
        <v>5150</v>
      </c>
      <c r="AQ5511" s="55" t="s">
        <v>553</v>
      </c>
      <c r="AR5511" s="55" t="s">
        <v>3646</v>
      </c>
      <c r="AS5511" s="55" t="s">
        <v>227</v>
      </c>
      <c r="AU5511" s="181" t="s">
        <v>7494</v>
      </c>
      <c r="AV5511" s="185" t="s">
        <v>176</v>
      </c>
      <c r="AX5511" s="185" t="s">
        <v>176</v>
      </c>
      <c r="BK5511" s="55" t="s">
        <v>6608</v>
      </c>
      <c r="BN5511" s="55" t="s">
        <v>1688</v>
      </c>
      <c r="BO5511" s="55" t="s">
        <v>1688</v>
      </c>
      <c r="FJ5511" s="65">
        <v>0.26600999999999997</v>
      </c>
      <c r="FK5511" s="65">
        <v>0.18395</v>
      </c>
      <c r="FN5511" s="65" t="s">
        <v>206</v>
      </c>
      <c r="FO5511" s="65">
        <v>0.22829999999999998</v>
      </c>
      <c r="FP5511" s="65">
        <v>0.17960000000000001</v>
      </c>
      <c r="FS5511" s="65" t="s">
        <v>637</v>
      </c>
      <c r="GP5511" s="292" t="s">
        <v>7494</v>
      </c>
      <c r="JU5511" s="55" t="s">
        <v>6618</v>
      </c>
      <c r="JW5511" s="55" t="s">
        <v>6622</v>
      </c>
    </row>
    <row r="5512" spans="1:283" x14ac:dyDescent="0.25">
      <c r="A5512" s="55">
        <v>5511</v>
      </c>
      <c r="B5512" s="12" t="s">
        <v>7067</v>
      </c>
      <c r="C5512" s="155" t="s">
        <v>6600</v>
      </c>
      <c r="D5512" s="55" t="s">
        <v>6659</v>
      </c>
      <c r="E5512" s="90" t="s">
        <v>4387</v>
      </c>
      <c r="G5512" s="55" t="s">
        <v>6601</v>
      </c>
      <c r="H5512" s="55" t="s">
        <v>5490</v>
      </c>
      <c r="I5512" s="55" t="s">
        <v>5608</v>
      </c>
      <c r="J5512" s="55" t="s">
        <v>6470</v>
      </c>
      <c r="K5512" s="55" t="s">
        <v>6604</v>
      </c>
      <c r="L5512" s="55" t="s">
        <v>3377</v>
      </c>
      <c r="M5512" s="90">
        <v>35.58</v>
      </c>
      <c r="N5512" s="90">
        <v>104.63</v>
      </c>
      <c r="Q5512" s="55" t="s">
        <v>5826</v>
      </c>
      <c r="S5512" s="90" t="s">
        <v>6492</v>
      </c>
      <c r="U5512" s="55" t="s">
        <v>1935</v>
      </c>
      <c r="V5512" s="55" t="s">
        <v>1935</v>
      </c>
      <c r="AH5512" s="55" t="s">
        <v>769</v>
      </c>
      <c r="AM5512" s="55" t="s">
        <v>6493</v>
      </c>
      <c r="AN5512" s="185" t="s">
        <v>6610</v>
      </c>
      <c r="AO5512" s="185" t="s">
        <v>5150</v>
      </c>
      <c r="AQ5512" s="55" t="s">
        <v>553</v>
      </c>
      <c r="AR5512" s="55" t="s">
        <v>3646</v>
      </c>
      <c r="AS5512" s="55" t="s">
        <v>227</v>
      </c>
      <c r="AU5512" s="181" t="s">
        <v>7494</v>
      </c>
      <c r="AV5512" s="185" t="s">
        <v>176</v>
      </c>
      <c r="AX5512" s="185" t="s">
        <v>176</v>
      </c>
      <c r="BK5512" s="55" t="s">
        <v>6608</v>
      </c>
      <c r="BN5512" s="55" t="s">
        <v>1688</v>
      </c>
      <c r="BO5512" s="55" t="s">
        <v>1688</v>
      </c>
      <c r="FJ5512" s="65">
        <v>0.44977</v>
      </c>
      <c r="FK5512" s="65">
        <v>0.30528</v>
      </c>
      <c r="FN5512" s="65" t="s">
        <v>206</v>
      </c>
      <c r="FO5512" s="65">
        <v>0.3085</v>
      </c>
      <c r="FP5512" s="65">
        <v>0.247</v>
      </c>
      <c r="FS5512" s="65" t="s">
        <v>637</v>
      </c>
      <c r="GP5512" s="292" t="s">
        <v>7494</v>
      </c>
      <c r="JU5512" s="55" t="s">
        <v>6618</v>
      </c>
      <c r="JW5512" s="55" t="s">
        <v>6622</v>
      </c>
    </row>
    <row r="5513" spans="1:283" x14ac:dyDescent="0.25">
      <c r="A5513" s="55">
        <v>5512</v>
      </c>
      <c r="B5513" s="12" t="s">
        <v>7067</v>
      </c>
      <c r="C5513" s="155" t="s">
        <v>6624</v>
      </c>
      <c r="D5513" s="55" t="s">
        <v>6660</v>
      </c>
      <c r="E5513" s="90" t="s">
        <v>6625</v>
      </c>
      <c r="G5513" s="55" t="s">
        <v>6626</v>
      </c>
      <c r="H5513" s="55" t="s">
        <v>5643</v>
      </c>
      <c r="I5513" s="55" t="s">
        <v>5470</v>
      </c>
      <c r="J5513" s="55" t="s">
        <v>6627</v>
      </c>
      <c r="K5513" s="55" t="s">
        <v>6628</v>
      </c>
      <c r="L5513" s="55" t="s">
        <v>3377</v>
      </c>
      <c r="M5513" s="90">
        <v>41.6</v>
      </c>
      <c r="N5513" s="90">
        <v>115.98</v>
      </c>
      <c r="O5513" s="90">
        <v>1350</v>
      </c>
      <c r="Q5513" s="55" t="s">
        <v>1935</v>
      </c>
      <c r="S5513" s="90" t="s">
        <v>6629</v>
      </c>
      <c r="U5513" s="55" t="s">
        <v>1935</v>
      </c>
      <c r="V5513" s="55" t="s">
        <v>1935</v>
      </c>
      <c r="Z5513" s="55" t="s">
        <v>6605</v>
      </c>
      <c r="AA5513" s="90">
        <v>5</v>
      </c>
      <c r="AD5513" s="90">
        <v>1.32</v>
      </c>
      <c r="AE5513" s="90">
        <f>24.26+53.58+5.23+6.27</f>
        <v>89.34</v>
      </c>
      <c r="AF5513" s="90">
        <v>2.09</v>
      </c>
      <c r="AG5513" s="90">
        <f>100-AE5513-AF5513</f>
        <v>8.5699999999999967</v>
      </c>
      <c r="AH5513" s="55" t="s">
        <v>201</v>
      </c>
      <c r="AM5513" s="55" t="s">
        <v>6630</v>
      </c>
      <c r="AO5513" s="185" t="s">
        <v>5150</v>
      </c>
      <c r="AR5513" s="55" t="s">
        <v>116</v>
      </c>
      <c r="AS5513" s="55" t="s">
        <v>116</v>
      </c>
      <c r="AU5513" s="181" t="s">
        <v>7494</v>
      </c>
      <c r="AV5513" s="185" t="s">
        <v>176</v>
      </c>
      <c r="AX5513" s="185" t="s">
        <v>176</v>
      </c>
      <c r="AZ5513" s="55" t="s">
        <v>6632</v>
      </c>
      <c r="BA5513" s="55" t="s">
        <v>2082</v>
      </c>
      <c r="BB5513" s="55" t="s">
        <v>2081</v>
      </c>
      <c r="BC5513" s="55" t="s">
        <v>2082</v>
      </c>
      <c r="BD5513" s="55" t="s">
        <v>479</v>
      </c>
      <c r="BJ5513" s="55" t="s">
        <v>176</v>
      </c>
      <c r="BK5513" s="55" t="s">
        <v>5981</v>
      </c>
      <c r="BP5513" s="55" t="s">
        <v>1875</v>
      </c>
      <c r="CH5513" s="90">
        <v>1.23</v>
      </c>
      <c r="CI5513" s="90">
        <v>1.32</v>
      </c>
      <c r="CM5513" s="65">
        <v>1.3</v>
      </c>
      <c r="CN5513" s="65">
        <v>1.97</v>
      </c>
      <c r="CQ5513" s="65" t="s">
        <v>164</v>
      </c>
      <c r="DB5513" s="65">
        <v>9.6000000000000002E-2</v>
      </c>
      <c r="DC5513" s="65">
        <v>0.14799999999999999</v>
      </c>
      <c r="DF5513" s="65" t="s">
        <v>164</v>
      </c>
      <c r="DG5513" s="65">
        <v>1.4E-2</v>
      </c>
      <c r="DH5513" s="65">
        <v>1.7999999999999999E-2</v>
      </c>
      <c r="DK5513" s="65" t="s">
        <v>164</v>
      </c>
      <c r="DL5513" s="65">
        <v>1.83</v>
      </c>
      <c r="DM5513" s="65">
        <v>1.92</v>
      </c>
      <c r="DP5513" s="65" t="s">
        <v>164</v>
      </c>
      <c r="FJ5513" s="65">
        <v>1.4850000000000001</v>
      </c>
      <c r="FK5513" s="65">
        <v>0.24399999999999999</v>
      </c>
      <c r="FN5513" s="65" t="s">
        <v>6633</v>
      </c>
      <c r="GD5513" s="65">
        <v>5.7</v>
      </c>
      <c r="GE5513" s="65">
        <v>8.8000000000000007</v>
      </c>
      <c r="GH5513" s="65" t="s">
        <v>164</v>
      </c>
      <c r="GP5513" s="292" t="s">
        <v>7494</v>
      </c>
    </row>
    <row r="5514" spans="1:283" x14ac:dyDescent="0.25">
      <c r="A5514" s="55">
        <v>5513</v>
      </c>
      <c r="B5514" s="12" t="s">
        <v>7067</v>
      </c>
      <c r="C5514" s="155" t="s">
        <v>6624</v>
      </c>
      <c r="D5514" s="55" t="s">
        <v>6660</v>
      </c>
      <c r="E5514" s="90" t="s">
        <v>6625</v>
      </c>
      <c r="G5514" s="55" t="s">
        <v>6626</v>
      </c>
      <c r="H5514" s="55" t="s">
        <v>5643</v>
      </c>
      <c r="I5514" s="55" t="s">
        <v>5470</v>
      </c>
      <c r="J5514" s="55" t="s">
        <v>6627</v>
      </c>
      <c r="K5514" s="55" t="s">
        <v>6628</v>
      </c>
      <c r="L5514" s="55" t="s">
        <v>3377</v>
      </c>
      <c r="M5514" s="90">
        <v>41.6</v>
      </c>
      <c r="N5514" s="90">
        <v>115.98</v>
      </c>
      <c r="O5514" s="90">
        <v>1350</v>
      </c>
      <c r="Q5514" s="55" t="s">
        <v>1935</v>
      </c>
      <c r="S5514" s="90" t="s">
        <v>6629</v>
      </c>
      <c r="U5514" s="55" t="s">
        <v>1935</v>
      </c>
      <c r="V5514" s="55" t="s">
        <v>1935</v>
      </c>
      <c r="Z5514" s="55" t="s">
        <v>6605</v>
      </c>
      <c r="AA5514" s="90">
        <v>5</v>
      </c>
      <c r="AD5514" s="90">
        <v>1.32</v>
      </c>
      <c r="AE5514" s="90">
        <f>24.26+53.58+5.23+6.27</f>
        <v>89.34</v>
      </c>
      <c r="AF5514" s="90">
        <v>2.09</v>
      </c>
      <c r="AG5514" s="90">
        <f>100-AE5514-AF5514</f>
        <v>8.5699999999999967</v>
      </c>
      <c r="AH5514" s="55" t="s">
        <v>201</v>
      </c>
      <c r="AM5514" s="55" t="s">
        <v>6630</v>
      </c>
      <c r="AO5514" s="185" t="s">
        <v>7494</v>
      </c>
      <c r="AR5514" s="55" t="s">
        <v>116</v>
      </c>
      <c r="AS5514" s="55" t="s">
        <v>116</v>
      </c>
      <c r="AU5514" s="181" t="s">
        <v>7494</v>
      </c>
      <c r="AV5514" s="185" t="s">
        <v>176</v>
      </c>
      <c r="AX5514" s="185" t="s">
        <v>176</v>
      </c>
      <c r="AZ5514" s="55" t="s">
        <v>6632</v>
      </c>
      <c r="BA5514" s="55" t="s">
        <v>2082</v>
      </c>
      <c r="BB5514" s="55" t="s">
        <v>2081</v>
      </c>
      <c r="BC5514" s="55" t="s">
        <v>2082</v>
      </c>
      <c r="BD5514" s="55" t="s">
        <v>479</v>
      </c>
      <c r="BJ5514" s="55" t="s">
        <v>176</v>
      </c>
      <c r="BK5514" s="55" t="s">
        <v>5981</v>
      </c>
      <c r="BP5514" s="55" t="s">
        <v>1875</v>
      </c>
      <c r="FJ5514" s="65">
        <v>36.774000000000001</v>
      </c>
      <c r="FK5514" s="65">
        <v>4.0060000000000002</v>
      </c>
      <c r="FN5514" s="65" t="s">
        <v>6633</v>
      </c>
      <c r="GD5514" s="65">
        <v>6.4</v>
      </c>
      <c r="GE5514" s="65">
        <v>9.4</v>
      </c>
      <c r="GH5514" s="65" t="s">
        <v>164</v>
      </c>
      <c r="GP5514" s="292" t="s">
        <v>7494</v>
      </c>
    </row>
    <row r="5515" spans="1:283" x14ac:dyDescent="0.25">
      <c r="A5515" s="55">
        <v>5514</v>
      </c>
      <c r="B5515" s="12" t="s">
        <v>7067</v>
      </c>
      <c r="C5515" s="155" t="s">
        <v>6624</v>
      </c>
      <c r="D5515" s="55" t="s">
        <v>6660</v>
      </c>
      <c r="E5515" s="90" t="s">
        <v>6625</v>
      </c>
      <c r="G5515" s="55" t="s">
        <v>6626</v>
      </c>
      <c r="H5515" s="55" t="s">
        <v>5643</v>
      </c>
      <c r="I5515" s="55" t="s">
        <v>5470</v>
      </c>
      <c r="J5515" s="55" t="s">
        <v>6627</v>
      </c>
      <c r="K5515" s="55" t="s">
        <v>6628</v>
      </c>
      <c r="L5515" s="55" t="s">
        <v>3377</v>
      </c>
      <c r="M5515" s="90">
        <v>41.6</v>
      </c>
      <c r="N5515" s="90">
        <v>115.98</v>
      </c>
      <c r="O5515" s="90">
        <v>1350</v>
      </c>
      <c r="Q5515" s="55" t="s">
        <v>1935</v>
      </c>
      <c r="S5515" s="90" t="s">
        <v>6629</v>
      </c>
      <c r="U5515" s="55" t="s">
        <v>1935</v>
      </c>
      <c r="V5515" s="55" t="s">
        <v>1935</v>
      </c>
      <c r="Z5515" s="55" t="s">
        <v>6605</v>
      </c>
      <c r="AA5515" s="90">
        <v>5</v>
      </c>
      <c r="AD5515" s="90">
        <v>1.32</v>
      </c>
      <c r="AE5515" s="90">
        <f>24.26+53.58+5.23+6.27</f>
        <v>89.34</v>
      </c>
      <c r="AF5515" s="90">
        <v>2.09</v>
      </c>
      <c r="AG5515" s="90">
        <f>100-AE5515-AF5515</f>
        <v>8.5699999999999967</v>
      </c>
      <c r="AH5515" s="55" t="s">
        <v>201</v>
      </c>
      <c r="AM5515" s="55" t="s">
        <v>6630</v>
      </c>
      <c r="AO5515" s="185" t="s">
        <v>7494</v>
      </c>
      <c r="AR5515" s="55" t="s">
        <v>116</v>
      </c>
      <c r="AS5515" s="55" t="s">
        <v>116</v>
      </c>
      <c r="AU5515" s="181" t="s">
        <v>7494</v>
      </c>
      <c r="AV5515" s="185" t="s">
        <v>176</v>
      </c>
      <c r="AX5515" s="185" t="s">
        <v>176</v>
      </c>
      <c r="AZ5515" s="55" t="s">
        <v>6632</v>
      </c>
      <c r="BA5515" s="55" t="s">
        <v>2082</v>
      </c>
      <c r="BB5515" s="55" t="s">
        <v>2081</v>
      </c>
      <c r="BC5515" s="55" t="s">
        <v>2082</v>
      </c>
      <c r="BD5515" s="55" t="s">
        <v>479</v>
      </c>
      <c r="BJ5515" s="55" t="s">
        <v>176</v>
      </c>
      <c r="BK5515" s="55" t="s">
        <v>5981</v>
      </c>
      <c r="BP5515" s="55" t="s">
        <v>1875</v>
      </c>
      <c r="FJ5515" s="65">
        <v>0.28100000000000003</v>
      </c>
      <c r="FK5515" s="65">
        <v>9.8000000000000004E-2</v>
      </c>
      <c r="FN5515" s="65" t="s">
        <v>6633</v>
      </c>
      <c r="GD5515" s="65">
        <v>6.5</v>
      </c>
      <c r="GE5515" s="65">
        <v>10.5</v>
      </c>
      <c r="GH5515" s="65" t="s">
        <v>164</v>
      </c>
      <c r="GP5515" s="292" t="s">
        <v>7494</v>
      </c>
    </row>
    <row r="5516" spans="1:283" x14ac:dyDescent="0.25">
      <c r="A5516" s="55">
        <v>5515</v>
      </c>
      <c r="B5516" s="12" t="s">
        <v>7067</v>
      </c>
      <c r="C5516" s="155" t="s">
        <v>6624</v>
      </c>
      <c r="D5516" s="55" t="s">
        <v>6660</v>
      </c>
      <c r="E5516" s="90" t="s">
        <v>6625</v>
      </c>
      <c r="G5516" s="55" t="s">
        <v>6626</v>
      </c>
      <c r="H5516" s="55" t="s">
        <v>5643</v>
      </c>
      <c r="I5516" s="55" t="s">
        <v>5470</v>
      </c>
      <c r="J5516" s="55" t="s">
        <v>6627</v>
      </c>
      <c r="K5516" s="55" t="s">
        <v>6628</v>
      </c>
      <c r="L5516" s="55" t="s">
        <v>3377</v>
      </c>
      <c r="M5516" s="90">
        <v>41.6</v>
      </c>
      <c r="N5516" s="90">
        <v>115.98</v>
      </c>
      <c r="O5516" s="90">
        <v>1350</v>
      </c>
      <c r="Q5516" s="55" t="s">
        <v>1935</v>
      </c>
      <c r="S5516" s="90" t="s">
        <v>6629</v>
      </c>
      <c r="U5516" s="55" t="s">
        <v>1935</v>
      </c>
      <c r="V5516" s="55" t="s">
        <v>1935</v>
      </c>
      <c r="Z5516" s="55" t="s">
        <v>6605</v>
      </c>
      <c r="AA5516" s="90">
        <v>5</v>
      </c>
      <c r="AD5516" s="90">
        <v>1.32</v>
      </c>
      <c r="AE5516" s="90">
        <f>24.26+53.58+5.23+6.27</f>
        <v>89.34</v>
      </c>
      <c r="AF5516" s="90">
        <v>2.09</v>
      </c>
      <c r="AG5516" s="90">
        <f>100-AE5516-AF5516</f>
        <v>8.5699999999999967</v>
      </c>
      <c r="AH5516" s="55" t="s">
        <v>201</v>
      </c>
      <c r="AM5516" s="55" t="s">
        <v>6630</v>
      </c>
      <c r="AO5516" s="185" t="s">
        <v>7494</v>
      </c>
      <c r="AR5516" s="55" t="s">
        <v>116</v>
      </c>
      <c r="AS5516" s="55" t="s">
        <v>116</v>
      </c>
      <c r="AU5516" s="181" t="s">
        <v>7494</v>
      </c>
      <c r="AV5516" s="185" t="s">
        <v>176</v>
      </c>
      <c r="AX5516" s="185" t="s">
        <v>176</v>
      </c>
      <c r="AZ5516" s="55" t="s">
        <v>6632</v>
      </c>
      <c r="BA5516" s="55" t="s">
        <v>2082</v>
      </c>
      <c r="BB5516" s="55" t="s">
        <v>2081</v>
      </c>
      <c r="BC5516" s="55" t="s">
        <v>2082</v>
      </c>
      <c r="BD5516" s="55" t="s">
        <v>479</v>
      </c>
      <c r="BJ5516" s="55" t="s">
        <v>176</v>
      </c>
      <c r="BK5516" s="55" t="s">
        <v>5981</v>
      </c>
      <c r="BP5516" s="55" t="s">
        <v>1875</v>
      </c>
      <c r="FJ5516" s="65">
        <v>0.29199999999999998</v>
      </c>
      <c r="FK5516" s="65">
        <v>0.14000000000000001</v>
      </c>
      <c r="FN5516" s="65" t="s">
        <v>6633</v>
      </c>
      <c r="GD5516" s="65">
        <v>6.7</v>
      </c>
      <c r="GE5516" s="65">
        <v>9.3000000000000007</v>
      </c>
      <c r="GH5516" s="65" t="s">
        <v>164</v>
      </c>
      <c r="GP5516" s="292" t="s">
        <v>7494</v>
      </c>
    </row>
    <row r="5517" spans="1:283" x14ac:dyDescent="0.25">
      <c r="A5517" s="55">
        <v>5516</v>
      </c>
      <c r="B5517" s="12" t="s">
        <v>7067</v>
      </c>
      <c r="C5517" s="155" t="s">
        <v>6624</v>
      </c>
      <c r="D5517" s="55" t="s">
        <v>6660</v>
      </c>
      <c r="E5517" s="90" t="s">
        <v>6625</v>
      </c>
      <c r="G5517" s="55" t="s">
        <v>6626</v>
      </c>
      <c r="H5517" s="55" t="s">
        <v>5643</v>
      </c>
      <c r="I5517" s="55" t="s">
        <v>5470</v>
      </c>
      <c r="J5517" s="55" t="s">
        <v>6627</v>
      </c>
      <c r="K5517" s="55" t="s">
        <v>6628</v>
      </c>
      <c r="L5517" s="55" t="s">
        <v>3377</v>
      </c>
      <c r="M5517" s="90">
        <v>41.6</v>
      </c>
      <c r="N5517" s="90">
        <v>115.98</v>
      </c>
      <c r="O5517" s="90">
        <v>1350</v>
      </c>
      <c r="Q5517" s="55" t="s">
        <v>1935</v>
      </c>
      <c r="S5517" s="90" t="s">
        <v>6629</v>
      </c>
      <c r="U5517" s="55" t="s">
        <v>1935</v>
      </c>
      <c r="V5517" s="55" t="s">
        <v>1935</v>
      </c>
      <c r="Z5517" s="55" t="s">
        <v>6605</v>
      </c>
      <c r="AA5517" s="90">
        <v>5</v>
      </c>
      <c r="AD5517" s="90">
        <v>1.32</v>
      </c>
      <c r="AE5517" s="90">
        <f>24.26+53.58+5.23+6.27</f>
        <v>89.34</v>
      </c>
      <c r="AF5517" s="90">
        <v>2.09</v>
      </c>
      <c r="AG5517" s="90">
        <f>100-AE5517-AF5517</f>
        <v>8.5699999999999967</v>
      </c>
      <c r="AH5517" s="55" t="s">
        <v>201</v>
      </c>
      <c r="AM5517" s="55" t="s">
        <v>6630</v>
      </c>
      <c r="AO5517" s="185" t="s">
        <v>7494</v>
      </c>
      <c r="AR5517" s="55" t="s">
        <v>116</v>
      </c>
      <c r="AS5517" s="55" t="s">
        <v>116</v>
      </c>
      <c r="AU5517" s="181" t="s">
        <v>7494</v>
      </c>
      <c r="AV5517" s="185" t="s">
        <v>176</v>
      </c>
      <c r="AX5517" s="185" t="s">
        <v>176</v>
      </c>
      <c r="AZ5517" s="55" t="s">
        <v>6632</v>
      </c>
      <c r="BA5517" s="55" t="s">
        <v>2082</v>
      </c>
      <c r="BB5517" s="55" t="s">
        <v>2081</v>
      </c>
      <c r="BC5517" s="55" t="s">
        <v>2082</v>
      </c>
      <c r="BD5517" s="55" t="s">
        <v>479</v>
      </c>
      <c r="BJ5517" s="55" t="s">
        <v>176</v>
      </c>
      <c r="BK5517" s="55" t="s">
        <v>5981</v>
      </c>
      <c r="BP5517" s="55" t="s">
        <v>1875</v>
      </c>
      <c r="FJ5517" s="65">
        <v>1.421</v>
      </c>
      <c r="FK5517" s="65">
        <v>0.109</v>
      </c>
      <c r="FN5517" s="65" t="s">
        <v>6633</v>
      </c>
      <c r="GD5517" s="65">
        <v>6.84</v>
      </c>
      <c r="GE5517" s="65">
        <v>10.31</v>
      </c>
      <c r="GH5517" s="65" t="s">
        <v>164</v>
      </c>
      <c r="GP5517" s="292" t="s">
        <v>7494</v>
      </c>
    </row>
    <row r="5518" spans="1:283" x14ac:dyDescent="0.25">
      <c r="A5518" s="55">
        <v>5517</v>
      </c>
      <c r="B5518" s="12" t="s">
        <v>7067</v>
      </c>
      <c r="C5518" s="155" t="s">
        <v>6624</v>
      </c>
      <c r="D5518" s="55" t="s">
        <v>6660</v>
      </c>
      <c r="E5518" s="90" t="s">
        <v>6625</v>
      </c>
      <c r="G5518" s="55" t="s">
        <v>6626</v>
      </c>
      <c r="H5518" s="55" t="s">
        <v>5643</v>
      </c>
      <c r="I5518" s="55" t="s">
        <v>5470</v>
      </c>
      <c r="J5518" s="55" t="s">
        <v>6627</v>
      </c>
      <c r="K5518" s="55" t="s">
        <v>6628</v>
      </c>
      <c r="L5518" s="55" t="s">
        <v>3377</v>
      </c>
      <c r="M5518" s="90">
        <v>41.6</v>
      </c>
      <c r="N5518" s="90">
        <v>115.98</v>
      </c>
      <c r="O5518" s="90">
        <v>1350</v>
      </c>
      <c r="Q5518" s="55" t="s">
        <v>1935</v>
      </c>
      <c r="S5518" s="90" t="s">
        <v>6629</v>
      </c>
      <c r="U5518" s="55" t="s">
        <v>1935</v>
      </c>
      <c r="V5518" s="55" t="s">
        <v>1935</v>
      </c>
      <c r="Z5518" s="55" t="s">
        <v>6605</v>
      </c>
      <c r="AA5518" s="90">
        <v>5</v>
      </c>
      <c r="AD5518" s="90">
        <v>1.32</v>
      </c>
      <c r="AE5518" s="90">
        <f>24.26+53.58+5.23+6.27</f>
        <v>89.34</v>
      </c>
      <c r="AF5518" s="90">
        <v>2.09</v>
      </c>
      <c r="AG5518" s="90">
        <f>100-AE5518-AF5518</f>
        <v>8.5699999999999967</v>
      </c>
      <c r="AH5518" s="55" t="s">
        <v>201</v>
      </c>
      <c r="AM5518" s="55" t="s">
        <v>6630</v>
      </c>
      <c r="AO5518" s="185" t="s">
        <v>7494</v>
      </c>
      <c r="AR5518" s="55" t="s">
        <v>116</v>
      </c>
      <c r="AS5518" s="55" t="s">
        <v>116</v>
      </c>
      <c r="AU5518" s="181" t="s">
        <v>7494</v>
      </c>
      <c r="AV5518" s="185" t="s">
        <v>176</v>
      </c>
      <c r="AX5518" s="185" t="s">
        <v>176</v>
      </c>
      <c r="AZ5518" s="55" t="s">
        <v>6632</v>
      </c>
      <c r="BA5518" s="55" t="s">
        <v>2082</v>
      </c>
      <c r="BB5518" s="55" t="s">
        <v>2081</v>
      </c>
      <c r="BC5518" s="55" t="s">
        <v>2082</v>
      </c>
      <c r="BD5518" s="55" t="s">
        <v>479</v>
      </c>
      <c r="BJ5518" s="55" t="s">
        <v>176</v>
      </c>
      <c r="BK5518" s="55" t="s">
        <v>5981</v>
      </c>
      <c r="BP5518" s="55" t="s">
        <v>1875</v>
      </c>
      <c r="FJ5518" s="65">
        <v>0.96799999999999997</v>
      </c>
      <c r="FK5518" s="65">
        <v>8.1000000000000003E-2</v>
      </c>
      <c r="FN5518" s="65" t="s">
        <v>6633</v>
      </c>
      <c r="GD5518" s="65">
        <v>6</v>
      </c>
      <c r="GE5518" s="65">
        <v>8.9</v>
      </c>
      <c r="GH5518" s="65" t="s">
        <v>164</v>
      </c>
      <c r="GP5518" s="292" t="s">
        <v>7494</v>
      </c>
    </row>
    <row r="5519" spans="1:283" x14ac:dyDescent="0.25">
      <c r="A5519" s="55">
        <v>5518</v>
      </c>
      <c r="B5519" s="12" t="s">
        <v>7067</v>
      </c>
      <c r="C5519" s="155" t="s">
        <v>6624</v>
      </c>
      <c r="D5519" s="55" t="s">
        <v>6660</v>
      </c>
      <c r="E5519" s="90" t="s">
        <v>6625</v>
      </c>
      <c r="G5519" s="55" t="s">
        <v>6626</v>
      </c>
      <c r="H5519" s="55" t="s">
        <v>5643</v>
      </c>
      <c r="I5519" s="55" t="s">
        <v>5470</v>
      </c>
      <c r="J5519" s="55" t="s">
        <v>6627</v>
      </c>
      <c r="K5519" s="55" t="s">
        <v>6628</v>
      </c>
      <c r="L5519" s="55" t="s">
        <v>3377</v>
      </c>
      <c r="M5519" s="90">
        <v>41.6</v>
      </c>
      <c r="N5519" s="90">
        <v>115.98</v>
      </c>
      <c r="O5519" s="90">
        <v>1350</v>
      </c>
      <c r="Q5519" s="55" t="s">
        <v>1935</v>
      </c>
      <c r="S5519" s="90" t="s">
        <v>6629</v>
      </c>
      <c r="U5519" s="55" t="s">
        <v>1935</v>
      </c>
      <c r="V5519" s="55" t="s">
        <v>1935</v>
      </c>
      <c r="Z5519" s="55" t="s">
        <v>6605</v>
      </c>
      <c r="AA5519" s="90">
        <v>5</v>
      </c>
      <c r="AD5519" s="90">
        <v>1.32</v>
      </c>
      <c r="AE5519" s="90">
        <f>24.26+53.58+5.23+6.27</f>
        <v>89.34</v>
      </c>
      <c r="AF5519" s="90">
        <v>2.09</v>
      </c>
      <c r="AG5519" s="90">
        <f>100-AE5519-AF5519</f>
        <v>8.5699999999999967</v>
      </c>
      <c r="AH5519" s="55" t="s">
        <v>201</v>
      </c>
      <c r="AM5519" s="55" t="s">
        <v>6630</v>
      </c>
      <c r="AO5519" s="185" t="s">
        <v>7494</v>
      </c>
      <c r="AR5519" s="55" t="s">
        <v>116</v>
      </c>
      <c r="AS5519" s="55" t="s">
        <v>116</v>
      </c>
      <c r="AU5519" s="181" t="s">
        <v>7494</v>
      </c>
      <c r="AV5519" s="185" t="s">
        <v>176</v>
      </c>
      <c r="AX5519" s="185" t="s">
        <v>176</v>
      </c>
      <c r="AZ5519" s="55" t="s">
        <v>6632</v>
      </c>
      <c r="BA5519" s="55" t="s">
        <v>2082</v>
      </c>
      <c r="BB5519" s="55" t="s">
        <v>2081</v>
      </c>
      <c r="BC5519" s="55" t="s">
        <v>2082</v>
      </c>
      <c r="BD5519" s="55" t="s">
        <v>479</v>
      </c>
      <c r="BJ5519" s="55" t="s">
        <v>176</v>
      </c>
      <c r="BK5519" s="55" t="s">
        <v>5981</v>
      </c>
      <c r="BP5519" s="55" t="s">
        <v>1875</v>
      </c>
      <c r="FJ5519" s="65">
        <v>0.26700000000000002</v>
      </c>
      <c r="FK5519" s="65">
        <v>0.08</v>
      </c>
      <c r="FN5519" s="65" t="s">
        <v>6633</v>
      </c>
      <c r="GD5519" s="65">
        <v>6.5</v>
      </c>
      <c r="GE5519" s="65">
        <v>8.1</v>
      </c>
      <c r="GH5519" s="65" t="s">
        <v>164</v>
      </c>
      <c r="GP5519" s="292" t="s">
        <v>7494</v>
      </c>
    </row>
    <row r="5520" spans="1:283" x14ac:dyDescent="0.25">
      <c r="A5520" s="55">
        <v>5519</v>
      </c>
      <c r="B5520" s="12" t="s">
        <v>7067</v>
      </c>
      <c r="C5520" s="155" t="s">
        <v>6624</v>
      </c>
      <c r="D5520" s="55" t="s">
        <v>6660</v>
      </c>
      <c r="E5520" s="90" t="s">
        <v>6625</v>
      </c>
      <c r="G5520" s="55" t="s">
        <v>6626</v>
      </c>
      <c r="H5520" s="55" t="s">
        <v>5643</v>
      </c>
      <c r="I5520" s="55" t="s">
        <v>5470</v>
      </c>
      <c r="J5520" s="55" t="s">
        <v>6627</v>
      </c>
      <c r="K5520" s="55" t="s">
        <v>6628</v>
      </c>
      <c r="L5520" s="55" t="s">
        <v>3377</v>
      </c>
      <c r="M5520" s="90">
        <v>41.6</v>
      </c>
      <c r="N5520" s="90">
        <v>115.98</v>
      </c>
      <c r="O5520" s="90">
        <v>1350</v>
      </c>
      <c r="Q5520" s="55" t="s">
        <v>1935</v>
      </c>
      <c r="S5520" s="90" t="s">
        <v>6629</v>
      </c>
      <c r="U5520" s="55" t="s">
        <v>1935</v>
      </c>
      <c r="V5520" s="55" t="s">
        <v>1935</v>
      </c>
      <c r="Z5520" s="55" t="s">
        <v>6605</v>
      </c>
      <c r="AA5520" s="90">
        <v>5</v>
      </c>
      <c r="AD5520" s="90">
        <v>1.32</v>
      </c>
      <c r="AE5520" s="90">
        <f>24.26+53.58+5.23+6.27</f>
        <v>89.34</v>
      </c>
      <c r="AF5520" s="90">
        <v>2.09</v>
      </c>
      <c r="AG5520" s="90">
        <f>100-AE5520-AF5520</f>
        <v>8.5699999999999967</v>
      </c>
      <c r="AH5520" s="55" t="s">
        <v>201</v>
      </c>
      <c r="AM5520" s="55" t="s">
        <v>6630</v>
      </c>
      <c r="AO5520" s="185" t="s">
        <v>7494</v>
      </c>
      <c r="AR5520" s="55" t="s">
        <v>116</v>
      </c>
      <c r="AS5520" s="55" t="s">
        <v>116</v>
      </c>
      <c r="AU5520" s="181" t="s">
        <v>7494</v>
      </c>
      <c r="AV5520" s="185" t="s">
        <v>176</v>
      </c>
      <c r="AX5520" s="185" t="s">
        <v>176</v>
      </c>
      <c r="AZ5520" s="55" t="s">
        <v>6632</v>
      </c>
      <c r="BA5520" s="55" t="s">
        <v>2082</v>
      </c>
      <c r="BB5520" s="55" t="s">
        <v>2081</v>
      </c>
      <c r="BC5520" s="55" t="s">
        <v>2082</v>
      </c>
      <c r="BD5520" s="55" t="s">
        <v>479</v>
      </c>
      <c r="BJ5520" s="55" t="s">
        <v>176</v>
      </c>
      <c r="BK5520" s="55" t="s">
        <v>5981</v>
      </c>
      <c r="BP5520" s="55" t="s">
        <v>1875</v>
      </c>
      <c r="FJ5520" s="65">
        <v>11.111000000000001</v>
      </c>
      <c r="FK5520" s="65">
        <v>3.2210000000000001</v>
      </c>
      <c r="FN5520" s="65" t="s">
        <v>6633</v>
      </c>
      <c r="GD5520" s="65">
        <v>9.5</v>
      </c>
      <c r="GE5520" s="65">
        <v>10.199999999999999</v>
      </c>
      <c r="GH5520" s="65" t="s">
        <v>164</v>
      </c>
      <c r="GP5520" s="292" t="s">
        <v>7494</v>
      </c>
    </row>
    <row r="5521" spans="1:198" x14ac:dyDescent="0.25">
      <c r="A5521" s="55">
        <v>5520</v>
      </c>
      <c r="B5521" s="12" t="s">
        <v>7067</v>
      </c>
      <c r="C5521" s="155" t="s">
        <v>6624</v>
      </c>
      <c r="D5521" s="55" t="s">
        <v>6660</v>
      </c>
      <c r="E5521" s="90" t="s">
        <v>6625</v>
      </c>
      <c r="G5521" s="55" t="s">
        <v>6626</v>
      </c>
      <c r="H5521" s="55" t="s">
        <v>5643</v>
      </c>
      <c r="I5521" s="55" t="s">
        <v>5470</v>
      </c>
      <c r="J5521" s="55" t="s">
        <v>6627</v>
      </c>
      <c r="K5521" s="55" t="s">
        <v>6628</v>
      </c>
      <c r="L5521" s="55" t="s">
        <v>3377</v>
      </c>
      <c r="M5521" s="90">
        <v>41.6</v>
      </c>
      <c r="N5521" s="90">
        <v>115.98</v>
      </c>
      <c r="O5521" s="90">
        <v>1350</v>
      </c>
      <c r="Q5521" s="55" t="s">
        <v>1935</v>
      </c>
      <c r="S5521" s="90" t="s">
        <v>6629</v>
      </c>
      <c r="U5521" s="55" t="s">
        <v>1935</v>
      </c>
      <c r="V5521" s="55" t="s">
        <v>1935</v>
      </c>
      <c r="Z5521" s="55" t="s">
        <v>6605</v>
      </c>
      <c r="AA5521" s="90">
        <v>5</v>
      </c>
      <c r="AD5521" s="90">
        <v>1.32</v>
      </c>
      <c r="AE5521" s="90">
        <f>24.26+53.58+5.23+6.27</f>
        <v>89.34</v>
      </c>
      <c r="AF5521" s="90">
        <v>2.09</v>
      </c>
      <c r="AG5521" s="90">
        <f>100-AE5521-AF5521</f>
        <v>8.5699999999999967</v>
      </c>
      <c r="AH5521" s="55" t="s">
        <v>201</v>
      </c>
      <c r="AM5521" s="55" t="s">
        <v>6630</v>
      </c>
      <c r="AO5521" s="185" t="s">
        <v>7494</v>
      </c>
      <c r="AR5521" s="55" t="s">
        <v>116</v>
      </c>
      <c r="AS5521" s="55" t="s">
        <v>116</v>
      </c>
      <c r="AU5521" s="181" t="s">
        <v>7494</v>
      </c>
      <c r="AV5521" s="185" t="s">
        <v>176</v>
      </c>
      <c r="AX5521" s="185" t="s">
        <v>176</v>
      </c>
      <c r="AZ5521" s="55" t="s">
        <v>6632</v>
      </c>
      <c r="BA5521" s="55" t="s">
        <v>2082</v>
      </c>
      <c r="BB5521" s="55" t="s">
        <v>2081</v>
      </c>
      <c r="BC5521" s="55" t="s">
        <v>2082</v>
      </c>
      <c r="BD5521" s="55" t="s">
        <v>479</v>
      </c>
      <c r="BJ5521" s="55" t="s">
        <v>176</v>
      </c>
      <c r="BK5521" s="55" t="s">
        <v>5981</v>
      </c>
      <c r="BP5521" s="55" t="s">
        <v>1875</v>
      </c>
      <c r="FJ5521" s="65">
        <v>0.13300000000000001</v>
      </c>
      <c r="FK5521" s="65">
        <v>8.4000000000000005E-2</v>
      </c>
      <c r="FN5521" s="65" t="s">
        <v>6633</v>
      </c>
      <c r="GD5521" s="65">
        <v>8.52</v>
      </c>
      <c r="GE5521" s="65">
        <v>10.51</v>
      </c>
      <c r="GH5521" s="65" t="s">
        <v>164</v>
      </c>
      <c r="GP5521" s="292" t="s">
        <v>7494</v>
      </c>
    </row>
    <row r="5522" spans="1:198" x14ac:dyDescent="0.25">
      <c r="A5522" s="55">
        <v>5521</v>
      </c>
      <c r="B5522" s="12" t="s">
        <v>7067</v>
      </c>
      <c r="C5522" s="155" t="s">
        <v>6624</v>
      </c>
      <c r="D5522" s="55" t="s">
        <v>6660</v>
      </c>
      <c r="E5522" s="90" t="s">
        <v>6625</v>
      </c>
      <c r="G5522" s="55" t="s">
        <v>6626</v>
      </c>
      <c r="H5522" s="55" t="s">
        <v>5643</v>
      </c>
      <c r="I5522" s="55" t="s">
        <v>5470</v>
      </c>
      <c r="J5522" s="55" t="s">
        <v>6627</v>
      </c>
      <c r="K5522" s="55" t="s">
        <v>6628</v>
      </c>
      <c r="L5522" s="55" t="s">
        <v>3377</v>
      </c>
      <c r="M5522" s="90">
        <v>41.6</v>
      </c>
      <c r="N5522" s="90">
        <v>115.98</v>
      </c>
      <c r="O5522" s="90">
        <v>1350</v>
      </c>
      <c r="Q5522" s="55" t="s">
        <v>1935</v>
      </c>
      <c r="S5522" s="90" t="s">
        <v>6629</v>
      </c>
      <c r="U5522" s="55" t="s">
        <v>1935</v>
      </c>
      <c r="V5522" s="55" t="s">
        <v>1935</v>
      </c>
      <c r="Z5522" s="55" t="s">
        <v>6605</v>
      </c>
      <c r="AA5522" s="90">
        <v>5</v>
      </c>
      <c r="AD5522" s="90">
        <v>1.32</v>
      </c>
      <c r="AE5522" s="90">
        <f>24.26+53.58+5.23+6.27</f>
        <v>89.34</v>
      </c>
      <c r="AF5522" s="90">
        <v>2.09</v>
      </c>
      <c r="AG5522" s="90">
        <f>100-AE5522-AF5522</f>
        <v>8.5699999999999967</v>
      </c>
      <c r="AH5522" s="55" t="s">
        <v>201</v>
      </c>
      <c r="AM5522" s="55" t="s">
        <v>6630</v>
      </c>
      <c r="AO5522" s="185" t="s">
        <v>7494</v>
      </c>
      <c r="AR5522" s="55" t="s">
        <v>116</v>
      </c>
      <c r="AS5522" s="55" t="s">
        <v>116</v>
      </c>
      <c r="AU5522" s="181" t="s">
        <v>7494</v>
      </c>
      <c r="AV5522" s="185" t="s">
        <v>176</v>
      </c>
      <c r="AX5522" s="185" t="s">
        <v>176</v>
      </c>
      <c r="AZ5522" s="55" t="s">
        <v>6632</v>
      </c>
      <c r="BA5522" s="55" t="s">
        <v>2082</v>
      </c>
      <c r="BB5522" s="55" t="s">
        <v>2081</v>
      </c>
      <c r="BC5522" s="55" t="s">
        <v>2082</v>
      </c>
      <c r="BD5522" s="55" t="s">
        <v>479</v>
      </c>
      <c r="BJ5522" s="55" t="s">
        <v>176</v>
      </c>
      <c r="BK5522" s="55" t="s">
        <v>5981</v>
      </c>
      <c r="BP5522" s="55" t="s">
        <v>1875</v>
      </c>
      <c r="FJ5522" s="65">
        <v>9.4E-2</v>
      </c>
      <c r="FK5522" s="65">
        <v>7.3999999999999996E-2</v>
      </c>
      <c r="FN5522" s="65" t="s">
        <v>6633</v>
      </c>
      <c r="GD5522" s="65">
        <v>7.86</v>
      </c>
      <c r="GE5522" s="65">
        <v>10.59</v>
      </c>
      <c r="GH5522" s="65" t="s">
        <v>164</v>
      </c>
      <c r="GP5522" s="292" t="s">
        <v>7494</v>
      </c>
    </row>
    <row r="5523" spans="1:198" x14ac:dyDescent="0.25">
      <c r="A5523" s="55">
        <v>5522</v>
      </c>
      <c r="B5523" s="12" t="s">
        <v>7067</v>
      </c>
      <c r="C5523" s="155" t="s">
        <v>6624</v>
      </c>
      <c r="D5523" s="55" t="s">
        <v>6660</v>
      </c>
      <c r="E5523" s="90" t="s">
        <v>6625</v>
      </c>
      <c r="G5523" s="55" t="s">
        <v>6626</v>
      </c>
      <c r="H5523" s="55" t="s">
        <v>5643</v>
      </c>
      <c r="I5523" s="55" t="s">
        <v>5470</v>
      </c>
      <c r="J5523" s="55" t="s">
        <v>6627</v>
      </c>
      <c r="K5523" s="55" t="s">
        <v>6628</v>
      </c>
      <c r="L5523" s="55" t="s">
        <v>3377</v>
      </c>
      <c r="M5523" s="90">
        <v>41.6</v>
      </c>
      <c r="N5523" s="90">
        <v>115.98</v>
      </c>
      <c r="O5523" s="90">
        <v>1350</v>
      </c>
      <c r="Q5523" s="55" t="s">
        <v>1935</v>
      </c>
      <c r="S5523" s="90" t="s">
        <v>6629</v>
      </c>
      <c r="U5523" s="55" t="s">
        <v>1935</v>
      </c>
      <c r="V5523" s="55" t="s">
        <v>1935</v>
      </c>
      <c r="Z5523" s="55" t="s">
        <v>6605</v>
      </c>
      <c r="AA5523" s="90">
        <v>5</v>
      </c>
      <c r="AD5523" s="90">
        <v>1.32</v>
      </c>
      <c r="AE5523" s="90">
        <f>24.26+53.58+5.23+6.27</f>
        <v>89.34</v>
      </c>
      <c r="AF5523" s="90">
        <v>2.09</v>
      </c>
      <c r="AG5523" s="90">
        <f>100-AE5523-AF5523</f>
        <v>8.5699999999999967</v>
      </c>
      <c r="AH5523" s="55" t="s">
        <v>201</v>
      </c>
      <c r="AM5523" s="55" t="s">
        <v>6630</v>
      </c>
      <c r="AO5523" s="185" t="s">
        <v>7494</v>
      </c>
      <c r="AR5523" s="55" t="s">
        <v>116</v>
      </c>
      <c r="AS5523" s="55" t="s">
        <v>116</v>
      </c>
      <c r="AU5523" s="181" t="s">
        <v>7494</v>
      </c>
      <c r="AV5523" s="185" t="s">
        <v>176</v>
      </c>
      <c r="AX5523" s="185" t="s">
        <v>176</v>
      </c>
      <c r="AZ5523" s="55" t="s">
        <v>6632</v>
      </c>
      <c r="BA5523" s="55" t="s">
        <v>2082</v>
      </c>
      <c r="BB5523" s="55" t="s">
        <v>2081</v>
      </c>
      <c r="BC5523" s="55" t="s">
        <v>2082</v>
      </c>
      <c r="BD5523" s="55" t="s">
        <v>479</v>
      </c>
      <c r="BJ5523" s="55" t="s">
        <v>176</v>
      </c>
      <c r="BK5523" s="55" t="s">
        <v>5981</v>
      </c>
      <c r="BP5523" s="55" t="s">
        <v>1875</v>
      </c>
      <c r="FJ5523" s="65">
        <v>0.47299999999999998</v>
      </c>
      <c r="FK5523" s="65">
        <v>7.9000000000000001E-2</v>
      </c>
      <c r="FN5523" s="65" t="s">
        <v>6633</v>
      </c>
      <c r="GD5523" s="65">
        <v>7.77</v>
      </c>
      <c r="GE5523" s="65">
        <v>10.48</v>
      </c>
      <c r="GH5523" s="65" t="s">
        <v>164</v>
      </c>
      <c r="GP5523" s="292" t="s">
        <v>7494</v>
      </c>
    </row>
    <row r="5524" spans="1:198" x14ac:dyDescent="0.25">
      <c r="A5524" s="55">
        <v>5523</v>
      </c>
      <c r="B5524" s="12" t="s">
        <v>7067</v>
      </c>
      <c r="C5524" s="155" t="s">
        <v>6624</v>
      </c>
      <c r="D5524" s="55" t="s">
        <v>6660</v>
      </c>
      <c r="E5524" s="90" t="s">
        <v>6625</v>
      </c>
      <c r="G5524" s="55" t="s">
        <v>6626</v>
      </c>
      <c r="H5524" s="55" t="s">
        <v>5643</v>
      </c>
      <c r="I5524" s="55" t="s">
        <v>5470</v>
      </c>
      <c r="J5524" s="55" t="s">
        <v>6627</v>
      </c>
      <c r="K5524" s="55" t="s">
        <v>6628</v>
      </c>
      <c r="L5524" s="55" t="s">
        <v>3377</v>
      </c>
      <c r="M5524" s="90">
        <v>41.6</v>
      </c>
      <c r="N5524" s="90">
        <v>115.98</v>
      </c>
      <c r="O5524" s="90">
        <v>1350</v>
      </c>
      <c r="Q5524" s="55" t="s">
        <v>1935</v>
      </c>
      <c r="S5524" s="90" t="s">
        <v>6629</v>
      </c>
      <c r="U5524" s="55" t="s">
        <v>1935</v>
      </c>
      <c r="V5524" s="55" t="s">
        <v>1935</v>
      </c>
      <c r="Z5524" s="55" t="s">
        <v>6605</v>
      </c>
      <c r="AA5524" s="90">
        <v>5</v>
      </c>
      <c r="AD5524" s="90">
        <v>1.32</v>
      </c>
      <c r="AE5524" s="90">
        <f>24.26+53.58+5.23+6.27</f>
        <v>89.34</v>
      </c>
      <c r="AF5524" s="90">
        <v>2.09</v>
      </c>
      <c r="AG5524" s="90">
        <f>100-AE5524-AF5524</f>
        <v>8.5699999999999967</v>
      </c>
      <c r="AH5524" s="55" t="s">
        <v>201</v>
      </c>
      <c r="AM5524" s="55" t="s">
        <v>6630</v>
      </c>
      <c r="AO5524" s="185" t="s">
        <v>7494</v>
      </c>
      <c r="AR5524" s="55" t="s">
        <v>116</v>
      </c>
      <c r="AS5524" s="55" t="s">
        <v>116</v>
      </c>
      <c r="AU5524" s="181" t="s">
        <v>7494</v>
      </c>
      <c r="AV5524" s="185" t="s">
        <v>176</v>
      </c>
      <c r="AX5524" s="185" t="s">
        <v>176</v>
      </c>
      <c r="AZ5524" s="55" t="s">
        <v>6632</v>
      </c>
      <c r="BA5524" s="55" t="s">
        <v>2082</v>
      </c>
      <c r="BB5524" s="55" t="s">
        <v>2081</v>
      </c>
      <c r="BC5524" s="55" t="s">
        <v>2082</v>
      </c>
      <c r="BD5524" s="55" t="s">
        <v>479</v>
      </c>
      <c r="BJ5524" s="55" t="s">
        <v>176</v>
      </c>
      <c r="BK5524" s="55" t="s">
        <v>5981</v>
      </c>
      <c r="BP5524" s="55" t="s">
        <v>1875</v>
      </c>
      <c r="FJ5524" s="65">
        <v>0.33</v>
      </c>
      <c r="FK5524" s="65">
        <v>6.8000000000000005E-2</v>
      </c>
      <c r="FN5524" s="65" t="s">
        <v>6633</v>
      </c>
      <c r="GD5524" s="65">
        <v>8.5</v>
      </c>
      <c r="GE5524" s="65">
        <v>11.06</v>
      </c>
      <c r="GH5524" s="65" t="s">
        <v>164</v>
      </c>
      <c r="GP5524" s="292" t="s">
        <v>7494</v>
      </c>
    </row>
    <row r="5525" spans="1:198" x14ac:dyDescent="0.25">
      <c r="A5525" s="55">
        <v>5524</v>
      </c>
      <c r="B5525" s="12" t="s">
        <v>7067</v>
      </c>
      <c r="C5525" s="155" t="s">
        <v>6624</v>
      </c>
      <c r="D5525" s="55" t="s">
        <v>6660</v>
      </c>
      <c r="E5525" s="90" t="s">
        <v>6625</v>
      </c>
      <c r="G5525" s="55" t="s">
        <v>6626</v>
      </c>
      <c r="H5525" s="55" t="s">
        <v>5643</v>
      </c>
      <c r="I5525" s="55" t="s">
        <v>5470</v>
      </c>
      <c r="J5525" s="55" t="s">
        <v>6627</v>
      </c>
      <c r="K5525" s="55" t="s">
        <v>6628</v>
      </c>
      <c r="L5525" s="55" t="s">
        <v>3377</v>
      </c>
      <c r="M5525" s="90">
        <v>41.6</v>
      </c>
      <c r="N5525" s="90">
        <v>115.98</v>
      </c>
      <c r="O5525" s="90">
        <v>1350</v>
      </c>
      <c r="Q5525" s="55" t="s">
        <v>1935</v>
      </c>
      <c r="S5525" s="90" t="s">
        <v>6629</v>
      </c>
      <c r="U5525" s="55" t="s">
        <v>1935</v>
      </c>
      <c r="V5525" s="55" t="s">
        <v>1935</v>
      </c>
      <c r="Z5525" s="55" t="s">
        <v>6605</v>
      </c>
      <c r="AA5525" s="90">
        <v>5</v>
      </c>
      <c r="AD5525" s="90">
        <v>1.32</v>
      </c>
      <c r="AE5525" s="90">
        <f>24.26+53.58+5.23+6.27</f>
        <v>89.34</v>
      </c>
      <c r="AF5525" s="90">
        <v>2.09</v>
      </c>
      <c r="AG5525" s="90">
        <f>100-AE5525-AF5525</f>
        <v>8.5699999999999967</v>
      </c>
      <c r="AH5525" s="55" t="s">
        <v>201</v>
      </c>
      <c r="AM5525" s="55" t="s">
        <v>6630</v>
      </c>
      <c r="AO5525" s="185" t="s">
        <v>7494</v>
      </c>
      <c r="AR5525" s="55" t="s">
        <v>116</v>
      </c>
      <c r="AS5525" s="55" t="s">
        <v>116</v>
      </c>
      <c r="AU5525" s="181" t="s">
        <v>7494</v>
      </c>
      <c r="AV5525" s="185" t="s">
        <v>176</v>
      </c>
      <c r="AX5525" s="185" t="s">
        <v>176</v>
      </c>
      <c r="AZ5525" s="55" t="s">
        <v>6632</v>
      </c>
      <c r="BA5525" s="55" t="s">
        <v>2082</v>
      </c>
      <c r="BB5525" s="55" t="s">
        <v>2081</v>
      </c>
      <c r="BC5525" s="55" t="s">
        <v>2082</v>
      </c>
      <c r="BD5525" s="55" t="s">
        <v>479</v>
      </c>
      <c r="BJ5525" s="55" t="s">
        <v>176</v>
      </c>
      <c r="BK5525" s="55" t="s">
        <v>5981</v>
      </c>
      <c r="BP5525" s="55" t="s">
        <v>1875</v>
      </c>
      <c r="FJ5525" s="65">
        <v>0.14000000000000001</v>
      </c>
      <c r="FK5525" s="65">
        <v>7.8E-2</v>
      </c>
      <c r="FN5525" s="65" t="s">
        <v>6633</v>
      </c>
      <c r="GD5525" s="65">
        <v>8.4</v>
      </c>
      <c r="GE5525" s="65">
        <v>10.89</v>
      </c>
      <c r="GH5525" s="65" t="s">
        <v>164</v>
      </c>
      <c r="GP5525" s="292" t="s">
        <v>7494</v>
      </c>
    </row>
    <row r="5526" spans="1:198" x14ac:dyDescent="0.25">
      <c r="A5526" s="55">
        <v>5525</v>
      </c>
      <c r="B5526" s="12" t="s">
        <v>7067</v>
      </c>
      <c r="C5526" s="155" t="s">
        <v>6624</v>
      </c>
      <c r="D5526" s="55" t="s">
        <v>6661</v>
      </c>
      <c r="E5526" s="90" t="s">
        <v>6625</v>
      </c>
      <c r="G5526" s="55" t="s">
        <v>6626</v>
      </c>
      <c r="H5526" s="55" t="s">
        <v>5643</v>
      </c>
      <c r="I5526" s="55" t="s">
        <v>5470</v>
      </c>
      <c r="J5526" s="55" t="s">
        <v>6627</v>
      </c>
      <c r="K5526" s="55" t="s">
        <v>6628</v>
      </c>
      <c r="L5526" s="55" t="s">
        <v>3377</v>
      </c>
      <c r="M5526" s="90">
        <v>41.6</v>
      </c>
      <c r="N5526" s="90">
        <v>115.98</v>
      </c>
      <c r="O5526" s="90">
        <v>1350</v>
      </c>
      <c r="Q5526" s="55" t="s">
        <v>1935</v>
      </c>
      <c r="S5526" s="90" t="s">
        <v>6629</v>
      </c>
      <c r="U5526" s="55" t="s">
        <v>1935</v>
      </c>
      <c r="V5526" s="55" t="s">
        <v>1935</v>
      </c>
      <c r="Z5526" s="55" t="s">
        <v>6605</v>
      </c>
      <c r="AA5526" s="90">
        <v>5</v>
      </c>
      <c r="AD5526" s="90">
        <v>1.44</v>
      </c>
      <c r="AE5526" s="90">
        <f>21.21+51.2+12.64+4.21</f>
        <v>89.259999999999991</v>
      </c>
      <c r="AF5526" s="90">
        <v>2.1</v>
      </c>
      <c r="AG5526" s="90">
        <f>100-AE5526-AF5526</f>
        <v>8.6400000000000095</v>
      </c>
      <c r="AH5526" s="55" t="s">
        <v>201</v>
      </c>
      <c r="AM5526" s="55" t="s">
        <v>6630</v>
      </c>
      <c r="AO5526" s="185" t="s">
        <v>7494</v>
      </c>
      <c r="AR5526" s="55" t="s">
        <v>116</v>
      </c>
      <c r="AS5526" s="55" t="s">
        <v>116</v>
      </c>
      <c r="AU5526" s="181" t="s">
        <v>7494</v>
      </c>
      <c r="AV5526" s="185" t="s">
        <v>176</v>
      </c>
      <c r="AX5526" s="185" t="s">
        <v>176</v>
      </c>
      <c r="AZ5526" s="55" t="s">
        <v>6632</v>
      </c>
      <c r="BA5526" s="55" t="s">
        <v>6631</v>
      </c>
      <c r="BB5526" s="55" t="s">
        <v>2081</v>
      </c>
      <c r="BC5526" s="55" t="s">
        <v>2081</v>
      </c>
      <c r="BD5526" s="55" t="s">
        <v>479</v>
      </c>
      <c r="BJ5526" s="55" t="s">
        <v>176</v>
      </c>
      <c r="BK5526" s="55" t="s">
        <v>6452</v>
      </c>
      <c r="BP5526" s="55" t="s">
        <v>1875</v>
      </c>
      <c r="CH5526" s="90">
        <v>1.23</v>
      </c>
      <c r="CI5526" s="90">
        <v>1.44</v>
      </c>
      <c r="FJ5526" s="65">
        <v>1.4850000000000001</v>
      </c>
      <c r="FK5526" s="65">
        <v>0.191</v>
      </c>
      <c r="FN5526" s="65" t="s">
        <v>6633</v>
      </c>
      <c r="GD5526" s="65">
        <v>5.7</v>
      </c>
      <c r="GE5526" s="65">
        <v>8.5</v>
      </c>
      <c r="GH5526" s="65" t="s">
        <v>164</v>
      </c>
      <c r="GP5526" s="292" t="s">
        <v>7494</v>
      </c>
    </row>
    <row r="5527" spans="1:198" x14ac:dyDescent="0.25">
      <c r="A5527" s="55">
        <v>5526</v>
      </c>
      <c r="B5527" s="12" t="s">
        <v>7067</v>
      </c>
      <c r="C5527" s="155" t="s">
        <v>6624</v>
      </c>
      <c r="D5527" s="55" t="s">
        <v>6661</v>
      </c>
      <c r="E5527" s="90" t="s">
        <v>6625</v>
      </c>
      <c r="G5527" s="55" t="s">
        <v>6626</v>
      </c>
      <c r="H5527" s="55" t="s">
        <v>5643</v>
      </c>
      <c r="I5527" s="55" t="s">
        <v>5470</v>
      </c>
      <c r="J5527" s="55" t="s">
        <v>6627</v>
      </c>
      <c r="K5527" s="55" t="s">
        <v>6628</v>
      </c>
      <c r="L5527" s="55" t="s">
        <v>3377</v>
      </c>
      <c r="M5527" s="90">
        <v>41.6</v>
      </c>
      <c r="N5527" s="90">
        <v>115.98</v>
      </c>
      <c r="O5527" s="90">
        <v>1350</v>
      </c>
      <c r="Q5527" s="55" t="s">
        <v>1935</v>
      </c>
      <c r="S5527" s="90" t="s">
        <v>6629</v>
      </c>
      <c r="U5527" s="55" t="s">
        <v>1935</v>
      </c>
      <c r="V5527" s="55" t="s">
        <v>1935</v>
      </c>
      <c r="Z5527" s="55" t="s">
        <v>6605</v>
      </c>
      <c r="AA5527" s="90">
        <v>5</v>
      </c>
      <c r="AD5527" s="90">
        <v>1.44</v>
      </c>
      <c r="AE5527" s="90">
        <f>21.21+51.2+12.64+4.21</f>
        <v>89.259999999999991</v>
      </c>
      <c r="AF5527" s="90">
        <v>2.1</v>
      </c>
      <c r="AG5527" s="90">
        <f>100-AE5527-AF5527</f>
        <v>8.6400000000000095</v>
      </c>
      <c r="AH5527" s="55" t="s">
        <v>201</v>
      </c>
      <c r="AM5527" s="55" t="s">
        <v>6630</v>
      </c>
      <c r="AO5527" s="185" t="s">
        <v>7494</v>
      </c>
      <c r="AR5527" s="55" t="s">
        <v>116</v>
      </c>
      <c r="AS5527" s="55" t="s">
        <v>116</v>
      </c>
      <c r="AU5527" s="181" t="s">
        <v>7494</v>
      </c>
      <c r="AV5527" s="185" t="s">
        <v>176</v>
      </c>
      <c r="AX5527" s="185" t="s">
        <v>176</v>
      </c>
      <c r="AZ5527" s="55" t="s">
        <v>6632</v>
      </c>
      <c r="BA5527" s="55" t="s">
        <v>6631</v>
      </c>
      <c r="BB5527" s="55" t="s">
        <v>2081</v>
      </c>
      <c r="BC5527" s="55" t="s">
        <v>2081</v>
      </c>
      <c r="BD5527" s="55" t="s">
        <v>479</v>
      </c>
      <c r="BJ5527" s="55" t="s">
        <v>176</v>
      </c>
      <c r="BK5527" s="55" t="s">
        <v>6452</v>
      </c>
      <c r="BP5527" s="55" t="s">
        <v>1875</v>
      </c>
      <c r="FJ5527" s="65">
        <v>36.774000000000001</v>
      </c>
      <c r="FK5527" s="65">
        <v>4.1349999999999998</v>
      </c>
      <c r="FN5527" s="65" t="s">
        <v>6633</v>
      </c>
      <c r="GD5527" s="65">
        <v>6.4</v>
      </c>
      <c r="GE5527" s="65">
        <v>6.8</v>
      </c>
      <c r="GH5527" s="65" t="s">
        <v>164</v>
      </c>
      <c r="GP5527" s="292" t="s">
        <v>7494</v>
      </c>
    </row>
    <row r="5528" spans="1:198" x14ac:dyDescent="0.25">
      <c r="A5528" s="55">
        <v>5527</v>
      </c>
      <c r="B5528" s="12" t="s">
        <v>7067</v>
      </c>
      <c r="C5528" s="155" t="s">
        <v>6624</v>
      </c>
      <c r="D5528" s="55" t="s">
        <v>6661</v>
      </c>
      <c r="E5528" s="90" t="s">
        <v>6625</v>
      </c>
      <c r="G5528" s="55" t="s">
        <v>6626</v>
      </c>
      <c r="H5528" s="55" t="s">
        <v>5643</v>
      </c>
      <c r="I5528" s="55" t="s">
        <v>5470</v>
      </c>
      <c r="J5528" s="55" t="s">
        <v>6627</v>
      </c>
      <c r="K5528" s="55" t="s">
        <v>6628</v>
      </c>
      <c r="L5528" s="55" t="s">
        <v>3377</v>
      </c>
      <c r="M5528" s="90">
        <v>41.6</v>
      </c>
      <c r="N5528" s="90">
        <v>115.98</v>
      </c>
      <c r="O5528" s="90">
        <v>1350</v>
      </c>
      <c r="Q5528" s="55" t="s">
        <v>1935</v>
      </c>
      <c r="S5528" s="90" t="s">
        <v>6629</v>
      </c>
      <c r="U5528" s="55" t="s">
        <v>1935</v>
      </c>
      <c r="V5528" s="55" t="s">
        <v>1935</v>
      </c>
      <c r="Z5528" s="55" t="s">
        <v>6605</v>
      </c>
      <c r="AA5528" s="90">
        <v>5</v>
      </c>
      <c r="AD5528" s="90">
        <v>1.44</v>
      </c>
      <c r="AE5528" s="90">
        <f>21.21+51.2+12.64+4.21</f>
        <v>89.259999999999991</v>
      </c>
      <c r="AF5528" s="90">
        <v>2.1</v>
      </c>
      <c r="AG5528" s="90">
        <f>100-AE5528-AF5528</f>
        <v>8.6400000000000095</v>
      </c>
      <c r="AH5528" s="55" t="s">
        <v>201</v>
      </c>
      <c r="AM5528" s="55" t="s">
        <v>6630</v>
      </c>
      <c r="AO5528" s="185" t="s">
        <v>7494</v>
      </c>
      <c r="AR5528" s="55" t="s">
        <v>116</v>
      </c>
      <c r="AS5528" s="55" t="s">
        <v>116</v>
      </c>
      <c r="AU5528" s="181" t="s">
        <v>7494</v>
      </c>
      <c r="AV5528" s="185" t="s">
        <v>176</v>
      </c>
      <c r="AX5528" s="185" t="s">
        <v>176</v>
      </c>
      <c r="AZ5528" s="55" t="s">
        <v>6632</v>
      </c>
      <c r="BA5528" s="55" t="s">
        <v>6631</v>
      </c>
      <c r="BB5528" s="55" t="s">
        <v>2081</v>
      </c>
      <c r="BC5528" s="55" t="s">
        <v>2081</v>
      </c>
      <c r="BD5528" s="55" t="s">
        <v>479</v>
      </c>
      <c r="BJ5528" s="55" t="s">
        <v>176</v>
      </c>
      <c r="BK5528" s="55" t="s">
        <v>6452</v>
      </c>
      <c r="BP5528" s="55" t="s">
        <v>1875</v>
      </c>
      <c r="FJ5528" s="65">
        <v>0.28100000000000003</v>
      </c>
      <c r="FK5528" s="65">
        <v>0.245</v>
      </c>
      <c r="FN5528" s="65" t="s">
        <v>6633</v>
      </c>
      <c r="GD5528" s="65">
        <v>6.5</v>
      </c>
      <c r="GE5528" s="65">
        <v>7.2</v>
      </c>
      <c r="GH5528" s="65" t="s">
        <v>164</v>
      </c>
      <c r="GP5528" s="292" t="s">
        <v>7494</v>
      </c>
    </row>
    <row r="5529" spans="1:198" x14ac:dyDescent="0.25">
      <c r="A5529" s="55">
        <v>5528</v>
      </c>
      <c r="B5529" s="12" t="s">
        <v>7067</v>
      </c>
      <c r="C5529" s="155" t="s">
        <v>6624</v>
      </c>
      <c r="D5529" s="55" t="s">
        <v>6661</v>
      </c>
      <c r="E5529" s="90" t="s">
        <v>6625</v>
      </c>
      <c r="G5529" s="55" t="s">
        <v>6626</v>
      </c>
      <c r="H5529" s="55" t="s">
        <v>5643</v>
      </c>
      <c r="I5529" s="55" t="s">
        <v>5470</v>
      </c>
      <c r="J5529" s="55" t="s">
        <v>6627</v>
      </c>
      <c r="K5529" s="55" t="s">
        <v>6628</v>
      </c>
      <c r="L5529" s="55" t="s">
        <v>3377</v>
      </c>
      <c r="M5529" s="90">
        <v>41.6</v>
      </c>
      <c r="N5529" s="90">
        <v>115.98</v>
      </c>
      <c r="O5529" s="90">
        <v>1350</v>
      </c>
      <c r="Q5529" s="55" t="s">
        <v>1935</v>
      </c>
      <c r="S5529" s="90" t="s">
        <v>6629</v>
      </c>
      <c r="U5529" s="55" t="s">
        <v>1935</v>
      </c>
      <c r="V5529" s="55" t="s">
        <v>1935</v>
      </c>
      <c r="Z5529" s="55" t="s">
        <v>6605</v>
      </c>
      <c r="AA5529" s="90">
        <v>5</v>
      </c>
      <c r="AD5529" s="90">
        <v>1.44</v>
      </c>
      <c r="AE5529" s="90">
        <f>21.21+51.2+12.64+4.21</f>
        <v>89.259999999999991</v>
      </c>
      <c r="AF5529" s="90">
        <v>2.1</v>
      </c>
      <c r="AG5529" s="90">
        <f>100-AE5529-AF5529</f>
        <v>8.6400000000000095</v>
      </c>
      <c r="AH5529" s="55" t="s">
        <v>201</v>
      </c>
      <c r="AM5529" s="55" t="s">
        <v>6630</v>
      </c>
      <c r="AO5529" s="185" t="s">
        <v>7494</v>
      </c>
      <c r="AR5529" s="55" t="s">
        <v>116</v>
      </c>
      <c r="AS5529" s="55" t="s">
        <v>116</v>
      </c>
      <c r="AU5529" s="181" t="s">
        <v>7494</v>
      </c>
      <c r="AV5529" s="185" t="s">
        <v>176</v>
      </c>
      <c r="AX5529" s="185" t="s">
        <v>176</v>
      </c>
      <c r="AZ5529" s="55" t="s">
        <v>6632</v>
      </c>
      <c r="BA5529" s="55" t="s">
        <v>6631</v>
      </c>
      <c r="BB5529" s="55" t="s">
        <v>2081</v>
      </c>
      <c r="BC5529" s="55" t="s">
        <v>2081</v>
      </c>
      <c r="BD5529" s="55" t="s">
        <v>479</v>
      </c>
      <c r="BJ5529" s="55" t="s">
        <v>176</v>
      </c>
      <c r="BK5529" s="55" t="s">
        <v>6452</v>
      </c>
      <c r="BP5529" s="55" t="s">
        <v>1875</v>
      </c>
      <c r="FJ5529" s="65">
        <v>0.29199999999999998</v>
      </c>
      <c r="FK5529" s="65">
        <v>0.14399999999999999</v>
      </c>
      <c r="FN5529" s="65" t="s">
        <v>6633</v>
      </c>
      <c r="GD5529" s="65">
        <v>6.7</v>
      </c>
      <c r="GE5529" s="65">
        <v>9.5</v>
      </c>
      <c r="GH5529" s="65" t="s">
        <v>164</v>
      </c>
      <c r="GP5529" s="292" t="s">
        <v>7494</v>
      </c>
    </row>
    <row r="5530" spans="1:198" x14ac:dyDescent="0.25">
      <c r="A5530" s="55">
        <v>5529</v>
      </c>
      <c r="B5530" s="12" t="s">
        <v>7067</v>
      </c>
      <c r="C5530" s="155" t="s">
        <v>6624</v>
      </c>
      <c r="D5530" s="55" t="s">
        <v>6661</v>
      </c>
      <c r="E5530" s="90" t="s">
        <v>6625</v>
      </c>
      <c r="G5530" s="55" t="s">
        <v>6626</v>
      </c>
      <c r="H5530" s="55" t="s">
        <v>5643</v>
      </c>
      <c r="I5530" s="55" t="s">
        <v>5470</v>
      </c>
      <c r="J5530" s="55" t="s">
        <v>6627</v>
      </c>
      <c r="K5530" s="55" t="s">
        <v>6628</v>
      </c>
      <c r="L5530" s="55" t="s">
        <v>3377</v>
      </c>
      <c r="M5530" s="90">
        <v>41.6</v>
      </c>
      <c r="N5530" s="90">
        <v>115.98</v>
      </c>
      <c r="O5530" s="90">
        <v>1350</v>
      </c>
      <c r="Q5530" s="55" t="s">
        <v>1935</v>
      </c>
      <c r="S5530" s="90" t="s">
        <v>6629</v>
      </c>
      <c r="U5530" s="55" t="s">
        <v>1935</v>
      </c>
      <c r="V5530" s="55" t="s">
        <v>1935</v>
      </c>
      <c r="Z5530" s="55" t="s">
        <v>6605</v>
      </c>
      <c r="AA5530" s="90">
        <v>5</v>
      </c>
      <c r="AD5530" s="90">
        <v>1.44</v>
      </c>
      <c r="AE5530" s="90">
        <f>21.21+51.2+12.64+4.21</f>
        <v>89.259999999999991</v>
      </c>
      <c r="AF5530" s="90">
        <v>2.1</v>
      </c>
      <c r="AG5530" s="90">
        <f>100-AE5530-AF5530</f>
        <v>8.6400000000000095</v>
      </c>
      <c r="AH5530" s="55" t="s">
        <v>201</v>
      </c>
      <c r="AM5530" s="55" t="s">
        <v>6630</v>
      </c>
      <c r="AO5530" s="185" t="s">
        <v>7494</v>
      </c>
      <c r="AR5530" s="55" t="s">
        <v>116</v>
      </c>
      <c r="AS5530" s="55" t="s">
        <v>116</v>
      </c>
      <c r="AU5530" s="181" t="s">
        <v>7494</v>
      </c>
      <c r="AV5530" s="185" t="s">
        <v>176</v>
      </c>
      <c r="AX5530" s="185" t="s">
        <v>176</v>
      </c>
      <c r="AZ5530" s="55" t="s">
        <v>6632</v>
      </c>
      <c r="BA5530" s="55" t="s">
        <v>6631</v>
      </c>
      <c r="BB5530" s="55" t="s">
        <v>2081</v>
      </c>
      <c r="BC5530" s="55" t="s">
        <v>2081</v>
      </c>
      <c r="BD5530" s="55" t="s">
        <v>479</v>
      </c>
      <c r="BJ5530" s="55" t="s">
        <v>176</v>
      </c>
      <c r="BK5530" s="55" t="s">
        <v>6452</v>
      </c>
      <c r="BP5530" s="55" t="s">
        <v>1875</v>
      </c>
      <c r="FJ5530" s="65">
        <v>1.421</v>
      </c>
      <c r="FK5530" s="65">
        <v>0.185</v>
      </c>
      <c r="FN5530" s="65" t="s">
        <v>6633</v>
      </c>
      <c r="GD5530" s="65">
        <v>6.84</v>
      </c>
      <c r="GE5530" s="65">
        <v>8.73</v>
      </c>
      <c r="GH5530" s="65" t="s">
        <v>164</v>
      </c>
      <c r="GP5530" s="292" t="s">
        <v>7494</v>
      </c>
    </row>
    <row r="5531" spans="1:198" x14ac:dyDescent="0.25">
      <c r="A5531" s="55">
        <v>5530</v>
      </c>
      <c r="B5531" s="12" t="s">
        <v>7067</v>
      </c>
      <c r="C5531" s="155" t="s">
        <v>6624</v>
      </c>
      <c r="D5531" s="55" t="s">
        <v>6661</v>
      </c>
      <c r="E5531" s="90" t="s">
        <v>6625</v>
      </c>
      <c r="G5531" s="55" t="s">
        <v>6626</v>
      </c>
      <c r="H5531" s="55" t="s">
        <v>5643</v>
      </c>
      <c r="I5531" s="55" t="s">
        <v>5470</v>
      </c>
      <c r="J5531" s="55" t="s">
        <v>6627</v>
      </c>
      <c r="K5531" s="55" t="s">
        <v>6628</v>
      </c>
      <c r="L5531" s="55" t="s">
        <v>3377</v>
      </c>
      <c r="M5531" s="90">
        <v>41.6</v>
      </c>
      <c r="N5531" s="90">
        <v>115.98</v>
      </c>
      <c r="O5531" s="90">
        <v>1350</v>
      </c>
      <c r="Q5531" s="55" t="s">
        <v>1935</v>
      </c>
      <c r="S5531" s="90" t="s">
        <v>6629</v>
      </c>
      <c r="U5531" s="55" t="s">
        <v>1935</v>
      </c>
      <c r="V5531" s="55" t="s">
        <v>1935</v>
      </c>
      <c r="Z5531" s="55" t="s">
        <v>6605</v>
      </c>
      <c r="AA5531" s="90">
        <v>5</v>
      </c>
      <c r="AD5531" s="90">
        <v>1.44</v>
      </c>
      <c r="AE5531" s="90">
        <f>21.21+51.2+12.64+4.21</f>
        <v>89.259999999999991</v>
      </c>
      <c r="AF5531" s="90">
        <v>2.1</v>
      </c>
      <c r="AG5531" s="90">
        <f>100-AE5531-AF5531</f>
        <v>8.6400000000000095</v>
      </c>
      <c r="AH5531" s="55" t="s">
        <v>201</v>
      </c>
      <c r="AM5531" s="55" t="s">
        <v>6630</v>
      </c>
      <c r="AO5531" s="185" t="s">
        <v>7494</v>
      </c>
      <c r="AR5531" s="55" t="s">
        <v>116</v>
      </c>
      <c r="AS5531" s="55" t="s">
        <v>116</v>
      </c>
      <c r="AU5531" s="181" t="s">
        <v>7494</v>
      </c>
      <c r="AV5531" s="185" t="s">
        <v>176</v>
      </c>
      <c r="AX5531" s="185" t="s">
        <v>176</v>
      </c>
      <c r="AZ5531" s="55" t="s">
        <v>6632</v>
      </c>
      <c r="BA5531" s="55" t="s">
        <v>6631</v>
      </c>
      <c r="BB5531" s="55" t="s">
        <v>2081</v>
      </c>
      <c r="BC5531" s="55" t="s">
        <v>2081</v>
      </c>
      <c r="BD5531" s="55" t="s">
        <v>479</v>
      </c>
      <c r="BJ5531" s="55" t="s">
        <v>176</v>
      </c>
      <c r="BK5531" s="55" t="s">
        <v>6452</v>
      </c>
      <c r="BP5531" s="55" t="s">
        <v>1875</v>
      </c>
      <c r="FJ5531" s="65">
        <v>0.96799999999999997</v>
      </c>
      <c r="FK5531" s="65">
        <v>0.10299999999999999</v>
      </c>
      <c r="FN5531" s="65" t="s">
        <v>6633</v>
      </c>
      <c r="GD5531" s="65">
        <v>6</v>
      </c>
      <c r="GE5531" s="65">
        <v>8.3000000000000007</v>
      </c>
      <c r="GH5531" s="65" t="s">
        <v>164</v>
      </c>
      <c r="GP5531" s="292" t="s">
        <v>7494</v>
      </c>
    </row>
    <row r="5532" spans="1:198" x14ac:dyDescent="0.25">
      <c r="A5532" s="55">
        <v>5531</v>
      </c>
      <c r="B5532" s="12" t="s">
        <v>7067</v>
      </c>
      <c r="C5532" s="155" t="s">
        <v>6624</v>
      </c>
      <c r="D5532" s="55" t="s">
        <v>6661</v>
      </c>
      <c r="E5532" s="90" t="s">
        <v>6625</v>
      </c>
      <c r="G5532" s="55" t="s">
        <v>6626</v>
      </c>
      <c r="H5532" s="55" t="s">
        <v>5643</v>
      </c>
      <c r="I5532" s="55" t="s">
        <v>5470</v>
      </c>
      <c r="J5532" s="55" t="s">
        <v>6627</v>
      </c>
      <c r="K5532" s="55" t="s">
        <v>6628</v>
      </c>
      <c r="L5532" s="55" t="s">
        <v>3377</v>
      </c>
      <c r="M5532" s="90">
        <v>41.6</v>
      </c>
      <c r="N5532" s="90">
        <v>115.98</v>
      </c>
      <c r="O5532" s="90">
        <v>1350</v>
      </c>
      <c r="Q5532" s="55" t="s">
        <v>1935</v>
      </c>
      <c r="S5532" s="90" t="s">
        <v>6629</v>
      </c>
      <c r="U5532" s="55" t="s">
        <v>1935</v>
      </c>
      <c r="V5532" s="55" t="s">
        <v>1935</v>
      </c>
      <c r="Z5532" s="55" t="s">
        <v>6605</v>
      </c>
      <c r="AA5532" s="90">
        <v>5</v>
      </c>
      <c r="AD5532" s="90">
        <v>1.44</v>
      </c>
      <c r="AE5532" s="90">
        <f>21.21+51.2+12.64+4.21</f>
        <v>89.259999999999991</v>
      </c>
      <c r="AF5532" s="90">
        <v>2.1</v>
      </c>
      <c r="AG5532" s="90">
        <f>100-AE5532-AF5532</f>
        <v>8.6400000000000095</v>
      </c>
      <c r="AH5532" s="55" t="s">
        <v>201</v>
      </c>
      <c r="AM5532" s="55" t="s">
        <v>6630</v>
      </c>
      <c r="AO5532" s="185" t="s">
        <v>7494</v>
      </c>
      <c r="AR5532" s="55" t="s">
        <v>116</v>
      </c>
      <c r="AS5532" s="55" t="s">
        <v>116</v>
      </c>
      <c r="AU5532" s="181" t="s">
        <v>7494</v>
      </c>
      <c r="AV5532" s="185" t="s">
        <v>176</v>
      </c>
      <c r="AX5532" s="185" t="s">
        <v>176</v>
      </c>
      <c r="AZ5532" s="55" t="s">
        <v>6632</v>
      </c>
      <c r="BA5532" s="55" t="s">
        <v>6631</v>
      </c>
      <c r="BB5532" s="55" t="s">
        <v>2081</v>
      </c>
      <c r="BC5532" s="55" t="s">
        <v>2081</v>
      </c>
      <c r="BD5532" s="55" t="s">
        <v>479</v>
      </c>
      <c r="BJ5532" s="55" t="s">
        <v>176</v>
      </c>
      <c r="BK5532" s="55" t="s">
        <v>6452</v>
      </c>
      <c r="BP5532" s="55" t="s">
        <v>1875</v>
      </c>
      <c r="FJ5532" s="65">
        <v>0.26700000000000002</v>
      </c>
      <c r="FK5532" s="65">
        <v>9.9000000000000005E-2</v>
      </c>
      <c r="FN5532" s="65" t="s">
        <v>6633</v>
      </c>
      <c r="GD5532" s="65">
        <v>6.5</v>
      </c>
      <c r="GE5532" s="65">
        <v>8</v>
      </c>
      <c r="GH5532" s="65" t="s">
        <v>164</v>
      </c>
      <c r="GP5532" s="292" t="s">
        <v>7494</v>
      </c>
    </row>
    <row r="5533" spans="1:198" x14ac:dyDescent="0.25">
      <c r="A5533" s="55">
        <v>5532</v>
      </c>
      <c r="B5533" s="12" t="s">
        <v>7067</v>
      </c>
      <c r="C5533" s="155" t="s">
        <v>6624</v>
      </c>
      <c r="D5533" s="55" t="s">
        <v>6661</v>
      </c>
      <c r="E5533" s="90" t="s">
        <v>6625</v>
      </c>
      <c r="G5533" s="55" t="s">
        <v>6626</v>
      </c>
      <c r="H5533" s="55" t="s">
        <v>5643</v>
      </c>
      <c r="I5533" s="55" t="s">
        <v>5470</v>
      </c>
      <c r="J5533" s="55" t="s">
        <v>6627</v>
      </c>
      <c r="K5533" s="55" t="s">
        <v>6628</v>
      </c>
      <c r="L5533" s="55" t="s">
        <v>3377</v>
      </c>
      <c r="M5533" s="90">
        <v>41.6</v>
      </c>
      <c r="N5533" s="90">
        <v>115.98</v>
      </c>
      <c r="O5533" s="90">
        <v>1350</v>
      </c>
      <c r="Q5533" s="55" t="s">
        <v>1935</v>
      </c>
      <c r="S5533" s="90" t="s">
        <v>6629</v>
      </c>
      <c r="U5533" s="55" t="s">
        <v>1935</v>
      </c>
      <c r="V5533" s="55" t="s">
        <v>1935</v>
      </c>
      <c r="Z5533" s="55" t="s">
        <v>6605</v>
      </c>
      <c r="AA5533" s="90">
        <v>5</v>
      </c>
      <c r="AD5533" s="90">
        <v>1.44</v>
      </c>
      <c r="AE5533" s="90">
        <f>21.21+51.2+12.64+4.21</f>
        <v>89.259999999999991</v>
      </c>
      <c r="AF5533" s="90">
        <v>2.1</v>
      </c>
      <c r="AG5533" s="90">
        <f>100-AE5533-AF5533</f>
        <v>8.6400000000000095</v>
      </c>
      <c r="AH5533" s="55" t="s">
        <v>201</v>
      </c>
      <c r="AM5533" s="55" t="s">
        <v>6630</v>
      </c>
      <c r="AO5533" s="185" t="s">
        <v>7494</v>
      </c>
      <c r="AR5533" s="55" t="s">
        <v>116</v>
      </c>
      <c r="AS5533" s="55" t="s">
        <v>116</v>
      </c>
      <c r="AU5533" s="181" t="s">
        <v>7494</v>
      </c>
      <c r="AV5533" s="185" t="s">
        <v>176</v>
      </c>
      <c r="AX5533" s="185" t="s">
        <v>176</v>
      </c>
      <c r="AZ5533" s="55" t="s">
        <v>6632</v>
      </c>
      <c r="BA5533" s="55" t="s">
        <v>6631</v>
      </c>
      <c r="BB5533" s="55" t="s">
        <v>2081</v>
      </c>
      <c r="BC5533" s="55" t="s">
        <v>2081</v>
      </c>
      <c r="BD5533" s="55" t="s">
        <v>479</v>
      </c>
      <c r="BJ5533" s="55" t="s">
        <v>176</v>
      </c>
      <c r="BK5533" s="55" t="s">
        <v>6452</v>
      </c>
      <c r="BP5533" s="55" t="s">
        <v>1875</v>
      </c>
      <c r="FJ5533" s="65">
        <v>11.111000000000001</v>
      </c>
      <c r="FK5533" s="65">
        <v>3.7290000000000001</v>
      </c>
      <c r="FN5533" s="65" t="s">
        <v>6633</v>
      </c>
      <c r="GD5533" s="65">
        <v>9.5</v>
      </c>
      <c r="GE5533" s="65">
        <v>10.8</v>
      </c>
      <c r="GH5533" s="65" t="s">
        <v>164</v>
      </c>
      <c r="GP5533" s="292" t="s">
        <v>7494</v>
      </c>
    </row>
    <row r="5534" spans="1:198" x14ac:dyDescent="0.25">
      <c r="A5534" s="55">
        <v>5533</v>
      </c>
      <c r="B5534" s="12" t="s">
        <v>7067</v>
      </c>
      <c r="C5534" s="155" t="s">
        <v>6624</v>
      </c>
      <c r="D5534" s="55" t="s">
        <v>6661</v>
      </c>
      <c r="E5534" s="90" t="s">
        <v>6625</v>
      </c>
      <c r="G5534" s="55" t="s">
        <v>6626</v>
      </c>
      <c r="H5534" s="55" t="s">
        <v>5643</v>
      </c>
      <c r="I5534" s="55" t="s">
        <v>5470</v>
      </c>
      <c r="J5534" s="55" t="s">
        <v>6627</v>
      </c>
      <c r="K5534" s="55" t="s">
        <v>6628</v>
      </c>
      <c r="L5534" s="55" t="s">
        <v>3377</v>
      </c>
      <c r="M5534" s="90">
        <v>41.6</v>
      </c>
      <c r="N5534" s="90">
        <v>115.98</v>
      </c>
      <c r="O5534" s="90">
        <v>1350</v>
      </c>
      <c r="Q5534" s="55" t="s">
        <v>1935</v>
      </c>
      <c r="S5534" s="90" t="s">
        <v>6629</v>
      </c>
      <c r="U5534" s="55" t="s">
        <v>1935</v>
      </c>
      <c r="V5534" s="55" t="s">
        <v>1935</v>
      </c>
      <c r="Z5534" s="55" t="s">
        <v>6605</v>
      </c>
      <c r="AA5534" s="90">
        <v>5</v>
      </c>
      <c r="AD5534" s="90">
        <v>1.44</v>
      </c>
      <c r="AE5534" s="90">
        <f>21.21+51.2+12.64+4.21</f>
        <v>89.259999999999991</v>
      </c>
      <c r="AF5534" s="90">
        <v>2.1</v>
      </c>
      <c r="AG5534" s="90">
        <f>100-AE5534-AF5534</f>
        <v>8.6400000000000095</v>
      </c>
      <c r="AH5534" s="55" t="s">
        <v>201</v>
      </c>
      <c r="AM5534" s="55" t="s">
        <v>6630</v>
      </c>
      <c r="AO5534" s="185" t="s">
        <v>7494</v>
      </c>
      <c r="AR5534" s="55" t="s">
        <v>116</v>
      </c>
      <c r="AS5534" s="55" t="s">
        <v>116</v>
      </c>
      <c r="AU5534" s="181" t="s">
        <v>7494</v>
      </c>
      <c r="AV5534" s="185" t="s">
        <v>176</v>
      </c>
      <c r="AX5534" s="185" t="s">
        <v>176</v>
      </c>
      <c r="AZ5534" s="55" t="s">
        <v>6632</v>
      </c>
      <c r="BA5534" s="55" t="s">
        <v>6631</v>
      </c>
      <c r="BB5534" s="55" t="s">
        <v>2081</v>
      </c>
      <c r="BC5534" s="55" t="s">
        <v>2081</v>
      </c>
      <c r="BD5534" s="55" t="s">
        <v>479</v>
      </c>
      <c r="BJ5534" s="55" t="s">
        <v>176</v>
      </c>
      <c r="BK5534" s="55" t="s">
        <v>6452</v>
      </c>
      <c r="BP5534" s="55" t="s">
        <v>1875</v>
      </c>
      <c r="FJ5534" s="65">
        <v>0.13300000000000001</v>
      </c>
      <c r="FK5534" s="65">
        <v>0.13200000000000001</v>
      </c>
      <c r="FN5534" s="65" t="s">
        <v>6633</v>
      </c>
      <c r="GD5534" s="65">
        <v>8.52</v>
      </c>
      <c r="GE5534" s="65">
        <v>10.99</v>
      </c>
      <c r="GH5534" s="65" t="s">
        <v>164</v>
      </c>
      <c r="GP5534" s="292" t="s">
        <v>7494</v>
      </c>
    </row>
    <row r="5535" spans="1:198" x14ac:dyDescent="0.25">
      <c r="A5535" s="55">
        <v>5534</v>
      </c>
      <c r="B5535" s="12" t="s">
        <v>7067</v>
      </c>
      <c r="C5535" s="155" t="s">
        <v>6624</v>
      </c>
      <c r="D5535" s="55" t="s">
        <v>6661</v>
      </c>
      <c r="E5535" s="90" t="s">
        <v>6625</v>
      </c>
      <c r="G5535" s="55" t="s">
        <v>6626</v>
      </c>
      <c r="H5535" s="55" t="s">
        <v>5643</v>
      </c>
      <c r="I5535" s="55" t="s">
        <v>5470</v>
      </c>
      <c r="J5535" s="55" t="s">
        <v>6627</v>
      </c>
      <c r="K5535" s="55" t="s">
        <v>6628</v>
      </c>
      <c r="L5535" s="55" t="s">
        <v>3377</v>
      </c>
      <c r="M5535" s="90">
        <v>41.6</v>
      </c>
      <c r="N5535" s="90">
        <v>115.98</v>
      </c>
      <c r="O5535" s="90">
        <v>1350</v>
      </c>
      <c r="Q5535" s="55" t="s">
        <v>1935</v>
      </c>
      <c r="S5535" s="90" t="s">
        <v>6629</v>
      </c>
      <c r="U5535" s="55" t="s">
        <v>1935</v>
      </c>
      <c r="V5535" s="55" t="s">
        <v>1935</v>
      </c>
      <c r="Z5535" s="55" t="s">
        <v>6605</v>
      </c>
      <c r="AA5535" s="90">
        <v>5</v>
      </c>
      <c r="AD5535" s="90">
        <v>1.44</v>
      </c>
      <c r="AE5535" s="90">
        <f>21.21+51.2+12.64+4.21</f>
        <v>89.259999999999991</v>
      </c>
      <c r="AF5535" s="90">
        <v>2.1</v>
      </c>
      <c r="AG5535" s="90">
        <f>100-AE5535-AF5535</f>
        <v>8.6400000000000095</v>
      </c>
      <c r="AH5535" s="55" t="s">
        <v>201</v>
      </c>
      <c r="AM5535" s="55" t="s">
        <v>6630</v>
      </c>
      <c r="AO5535" s="185" t="s">
        <v>7494</v>
      </c>
      <c r="AR5535" s="55" t="s">
        <v>116</v>
      </c>
      <c r="AS5535" s="55" t="s">
        <v>116</v>
      </c>
      <c r="AU5535" s="181" t="s">
        <v>7494</v>
      </c>
      <c r="AV5535" s="185" t="s">
        <v>176</v>
      </c>
      <c r="AX5535" s="185" t="s">
        <v>176</v>
      </c>
      <c r="AZ5535" s="55" t="s">
        <v>6632</v>
      </c>
      <c r="BA5535" s="55" t="s">
        <v>6631</v>
      </c>
      <c r="BB5535" s="55" t="s">
        <v>2081</v>
      </c>
      <c r="BC5535" s="55" t="s">
        <v>2081</v>
      </c>
      <c r="BD5535" s="55" t="s">
        <v>479</v>
      </c>
      <c r="BJ5535" s="55" t="s">
        <v>176</v>
      </c>
      <c r="BK5535" s="55" t="s">
        <v>6452</v>
      </c>
      <c r="BP5535" s="55" t="s">
        <v>1875</v>
      </c>
      <c r="FJ5535" s="65">
        <v>9.4E-2</v>
      </c>
      <c r="FK5535" s="65">
        <v>7.2999999999999995E-2</v>
      </c>
      <c r="FN5535" s="65" t="s">
        <v>6633</v>
      </c>
      <c r="GD5535" s="65">
        <v>7.86</v>
      </c>
      <c r="GE5535" s="65">
        <v>9.7100000000000009</v>
      </c>
      <c r="GH5535" s="65" t="s">
        <v>164</v>
      </c>
      <c r="GP5535" s="292" t="s">
        <v>7494</v>
      </c>
    </row>
    <row r="5536" spans="1:198" x14ac:dyDescent="0.25">
      <c r="A5536" s="55">
        <v>5535</v>
      </c>
      <c r="B5536" s="12" t="s">
        <v>7067</v>
      </c>
      <c r="C5536" s="155" t="s">
        <v>6624</v>
      </c>
      <c r="D5536" s="55" t="s">
        <v>6661</v>
      </c>
      <c r="E5536" s="90" t="s">
        <v>6625</v>
      </c>
      <c r="G5536" s="55" t="s">
        <v>6626</v>
      </c>
      <c r="H5536" s="55" t="s">
        <v>5643</v>
      </c>
      <c r="I5536" s="55" t="s">
        <v>5470</v>
      </c>
      <c r="J5536" s="55" t="s">
        <v>6627</v>
      </c>
      <c r="K5536" s="55" t="s">
        <v>6628</v>
      </c>
      <c r="L5536" s="55" t="s">
        <v>3377</v>
      </c>
      <c r="M5536" s="90">
        <v>41.6</v>
      </c>
      <c r="N5536" s="90">
        <v>115.98</v>
      </c>
      <c r="O5536" s="90">
        <v>1350</v>
      </c>
      <c r="Q5536" s="55" t="s">
        <v>1935</v>
      </c>
      <c r="S5536" s="90" t="s">
        <v>6629</v>
      </c>
      <c r="U5536" s="55" t="s">
        <v>1935</v>
      </c>
      <c r="V5536" s="55" t="s">
        <v>1935</v>
      </c>
      <c r="Z5536" s="55" t="s">
        <v>6605</v>
      </c>
      <c r="AA5536" s="90">
        <v>5</v>
      </c>
      <c r="AD5536" s="90">
        <v>1.44</v>
      </c>
      <c r="AE5536" s="90">
        <f>21.21+51.2+12.64+4.21</f>
        <v>89.259999999999991</v>
      </c>
      <c r="AF5536" s="90">
        <v>2.1</v>
      </c>
      <c r="AG5536" s="90">
        <f>100-AE5536-AF5536</f>
        <v>8.6400000000000095</v>
      </c>
      <c r="AH5536" s="55" t="s">
        <v>201</v>
      </c>
      <c r="AM5536" s="55" t="s">
        <v>6630</v>
      </c>
      <c r="AO5536" s="185" t="s">
        <v>7494</v>
      </c>
      <c r="AR5536" s="55" t="s">
        <v>116</v>
      </c>
      <c r="AS5536" s="55" t="s">
        <v>116</v>
      </c>
      <c r="AU5536" s="181" t="s">
        <v>7494</v>
      </c>
      <c r="AV5536" s="185" t="s">
        <v>176</v>
      </c>
      <c r="AX5536" s="185" t="s">
        <v>176</v>
      </c>
      <c r="AZ5536" s="55" t="s">
        <v>6632</v>
      </c>
      <c r="BA5536" s="55" t="s">
        <v>6631</v>
      </c>
      <c r="BB5536" s="55" t="s">
        <v>2081</v>
      </c>
      <c r="BC5536" s="55" t="s">
        <v>2081</v>
      </c>
      <c r="BD5536" s="55" t="s">
        <v>479</v>
      </c>
      <c r="BJ5536" s="55" t="s">
        <v>176</v>
      </c>
      <c r="BK5536" s="55" t="s">
        <v>6452</v>
      </c>
      <c r="BP5536" s="55" t="s">
        <v>1875</v>
      </c>
      <c r="FJ5536" s="65">
        <v>0.47299999999999998</v>
      </c>
      <c r="FK5536" s="65">
        <v>0.122</v>
      </c>
      <c r="FN5536" s="65" t="s">
        <v>6633</v>
      </c>
      <c r="GD5536" s="65">
        <v>7.77</v>
      </c>
      <c r="GE5536" s="65">
        <v>9.64</v>
      </c>
      <c r="GH5536" s="65" t="s">
        <v>164</v>
      </c>
      <c r="GP5536" s="292" t="s">
        <v>7494</v>
      </c>
    </row>
    <row r="5537" spans="1:198" x14ac:dyDescent="0.25">
      <c r="A5537" s="55">
        <v>5536</v>
      </c>
      <c r="B5537" s="12" t="s">
        <v>7067</v>
      </c>
      <c r="C5537" s="155" t="s">
        <v>6624</v>
      </c>
      <c r="D5537" s="55" t="s">
        <v>6661</v>
      </c>
      <c r="E5537" s="90" t="s">
        <v>6625</v>
      </c>
      <c r="G5537" s="55" t="s">
        <v>6626</v>
      </c>
      <c r="H5537" s="55" t="s">
        <v>5643</v>
      </c>
      <c r="I5537" s="55" t="s">
        <v>5470</v>
      </c>
      <c r="J5537" s="55" t="s">
        <v>6627</v>
      </c>
      <c r="K5537" s="55" t="s">
        <v>6628</v>
      </c>
      <c r="L5537" s="55" t="s">
        <v>3377</v>
      </c>
      <c r="M5537" s="90">
        <v>41.6</v>
      </c>
      <c r="N5537" s="90">
        <v>115.98</v>
      </c>
      <c r="O5537" s="90">
        <v>1350</v>
      </c>
      <c r="Q5537" s="55" t="s">
        <v>1935</v>
      </c>
      <c r="S5537" s="90" t="s">
        <v>6629</v>
      </c>
      <c r="U5537" s="55" t="s">
        <v>1935</v>
      </c>
      <c r="V5537" s="55" t="s">
        <v>1935</v>
      </c>
      <c r="Z5537" s="55" t="s">
        <v>6605</v>
      </c>
      <c r="AA5537" s="90">
        <v>5</v>
      </c>
      <c r="AD5537" s="90">
        <v>1.44</v>
      </c>
      <c r="AE5537" s="90">
        <f>21.21+51.2+12.64+4.21</f>
        <v>89.259999999999991</v>
      </c>
      <c r="AF5537" s="90">
        <v>2.1</v>
      </c>
      <c r="AG5537" s="90">
        <f>100-AE5537-AF5537</f>
        <v>8.6400000000000095</v>
      </c>
      <c r="AH5537" s="55" t="s">
        <v>201</v>
      </c>
      <c r="AM5537" s="55" t="s">
        <v>6630</v>
      </c>
      <c r="AO5537" s="185" t="s">
        <v>7494</v>
      </c>
      <c r="AR5537" s="55" t="s">
        <v>116</v>
      </c>
      <c r="AS5537" s="55" t="s">
        <v>116</v>
      </c>
      <c r="AU5537" s="181" t="s">
        <v>7494</v>
      </c>
      <c r="AV5537" s="185" t="s">
        <v>176</v>
      </c>
      <c r="AX5537" s="185" t="s">
        <v>176</v>
      </c>
      <c r="AZ5537" s="55" t="s">
        <v>6632</v>
      </c>
      <c r="BA5537" s="55" t="s">
        <v>6631</v>
      </c>
      <c r="BB5537" s="55" t="s">
        <v>2081</v>
      </c>
      <c r="BC5537" s="55" t="s">
        <v>2081</v>
      </c>
      <c r="BD5537" s="55" t="s">
        <v>479</v>
      </c>
      <c r="BJ5537" s="55" t="s">
        <v>176</v>
      </c>
      <c r="BK5537" s="55" t="s">
        <v>6452</v>
      </c>
      <c r="BP5537" s="55" t="s">
        <v>1875</v>
      </c>
      <c r="FJ5537" s="65">
        <v>0.33</v>
      </c>
      <c r="FK5537" s="65">
        <v>6.8000000000000005E-2</v>
      </c>
      <c r="FN5537" s="65" t="s">
        <v>6633</v>
      </c>
      <c r="GD5537" s="65">
        <v>8.5</v>
      </c>
      <c r="GE5537" s="65">
        <v>10.119999999999999</v>
      </c>
      <c r="GH5537" s="65" t="s">
        <v>164</v>
      </c>
      <c r="GP5537" s="292" t="s">
        <v>7494</v>
      </c>
    </row>
    <row r="5538" spans="1:198" x14ac:dyDescent="0.25">
      <c r="A5538" s="55">
        <v>5537</v>
      </c>
      <c r="B5538" s="12" t="s">
        <v>7067</v>
      </c>
      <c r="C5538" s="155" t="s">
        <v>6624</v>
      </c>
      <c r="D5538" s="55" t="s">
        <v>6661</v>
      </c>
      <c r="E5538" s="90" t="s">
        <v>6625</v>
      </c>
      <c r="G5538" s="55" t="s">
        <v>6626</v>
      </c>
      <c r="H5538" s="55" t="s">
        <v>5643</v>
      </c>
      <c r="I5538" s="55" t="s">
        <v>5470</v>
      </c>
      <c r="J5538" s="55" t="s">
        <v>6627</v>
      </c>
      <c r="K5538" s="55" t="s">
        <v>6628</v>
      </c>
      <c r="L5538" s="55" t="s">
        <v>3377</v>
      </c>
      <c r="M5538" s="90">
        <v>41.6</v>
      </c>
      <c r="N5538" s="90">
        <v>115.98</v>
      </c>
      <c r="O5538" s="90">
        <v>1350</v>
      </c>
      <c r="Q5538" s="55" t="s">
        <v>1935</v>
      </c>
      <c r="S5538" s="90" t="s">
        <v>6629</v>
      </c>
      <c r="U5538" s="55" t="s">
        <v>1935</v>
      </c>
      <c r="V5538" s="55" t="s">
        <v>1935</v>
      </c>
      <c r="Z5538" s="55" t="s">
        <v>6605</v>
      </c>
      <c r="AA5538" s="90">
        <v>5</v>
      </c>
      <c r="AD5538" s="90">
        <v>1.44</v>
      </c>
      <c r="AE5538" s="90">
        <f>21.21+51.2+12.64+4.21</f>
        <v>89.259999999999991</v>
      </c>
      <c r="AF5538" s="90">
        <v>2.1</v>
      </c>
      <c r="AG5538" s="90">
        <f>100-AE5538-AF5538</f>
        <v>8.6400000000000095</v>
      </c>
      <c r="AH5538" s="55" t="s">
        <v>201</v>
      </c>
      <c r="AM5538" s="55" t="s">
        <v>6630</v>
      </c>
      <c r="AO5538" s="185" t="s">
        <v>7494</v>
      </c>
      <c r="AR5538" s="55" t="s">
        <v>116</v>
      </c>
      <c r="AS5538" s="55" t="s">
        <v>116</v>
      </c>
      <c r="AU5538" s="181" t="s">
        <v>7494</v>
      </c>
      <c r="AV5538" s="185" t="s">
        <v>176</v>
      </c>
      <c r="AX5538" s="185" t="s">
        <v>176</v>
      </c>
      <c r="AZ5538" s="55" t="s">
        <v>6632</v>
      </c>
      <c r="BA5538" s="55" t="s">
        <v>6631</v>
      </c>
      <c r="BB5538" s="55" t="s">
        <v>2081</v>
      </c>
      <c r="BC5538" s="55" t="s">
        <v>2081</v>
      </c>
      <c r="BD5538" s="55" t="s">
        <v>479</v>
      </c>
      <c r="BJ5538" s="55" t="s">
        <v>176</v>
      </c>
      <c r="BK5538" s="55" t="s">
        <v>6452</v>
      </c>
      <c r="BP5538" s="55" t="s">
        <v>1875</v>
      </c>
      <c r="FJ5538" s="65">
        <v>0.14000000000000001</v>
      </c>
      <c r="FK5538" s="65">
        <v>0.109</v>
      </c>
      <c r="FN5538" s="65" t="s">
        <v>6633</v>
      </c>
      <c r="GD5538" s="65">
        <v>8.4</v>
      </c>
      <c r="GE5538" s="65">
        <v>9.98</v>
      </c>
      <c r="GH5538" s="65" t="s">
        <v>164</v>
      </c>
      <c r="GP5538" s="292" t="s">
        <v>7494</v>
      </c>
    </row>
    <row r="5539" spans="1:198" x14ac:dyDescent="0.25">
      <c r="A5539" s="55">
        <v>5538</v>
      </c>
      <c r="B5539" s="12" t="s">
        <v>7067</v>
      </c>
      <c r="C5539" s="155" t="s">
        <v>6624</v>
      </c>
      <c r="D5539" s="55" t="s">
        <v>6662</v>
      </c>
      <c r="E5539" s="90" t="s">
        <v>6625</v>
      </c>
      <c r="G5539" s="55" t="s">
        <v>6626</v>
      </c>
      <c r="H5539" s="55" t="s">
        <v>5643</v>
      </c>
      <c r="I5539" s="55" t="s">
        <v>5470</v>
      </c>
      <c r="J5539" s="55" t="s">
        <v>6627</v>
      </c>
      <c r="K5539" s="55" t="s">
        <v>6628</v>
      </c>
      <c r="L5539" s="55" t="s">
        <v>3377</v>
      </c>
      <c r="M5539" s="90">
        <v>41.6</v>
      </c>
      <c r="N5539" s="90">
        <v>115.98</v>
      </c>
      <c r="O5539" s="90">
        <v>1350</v>
      </c>
      <c r="Q5539" s="55" t="s">
        <v>1935</v>
      </c>
      <c r="S5539" s="90" t="s">
        <v>6629</v>
      </c>
      <c r="U5539" s="55" t="s">
        <v>1935</v>
      </c>
      <c r="V5539" s="55" t="s">
        <v>1935</v>
      </c>
      <c r="Z5539" s="55" t="s">
        <v>6605</v>
      </c>
      <c r="AA5539" s="90">
        <v>5</v>
      </c>
      <c r="AD5539" s="90">
        <v>1.35</v>
      </c>
      <c r="AE5539" s="90">
        <f>21.29+53.37+10.47+4.19</f>
        <v>89.32</v>
      </c>
      <c r="AF5539" s="90">
        <v>2.1</v>
      </c>
      <c r="AG5539" s="90">
        <f>100-AE5539-AF5539</f>
        <v>8.5800000000000072</v>
      </c>
      <c r="AH5539" s="55" t="s">
        <v>201</v>
      </c>
      <c r="AM5539" s="55" t="s">
        <v>6630</v>
      </c>
      <c r="AO5539" s="185" t="s">
        <v>7494</v>
      </c>
      <c r="AR5539" s="55" t="s">
        <v>116</v>
      </c>
      <c r="AS5539" s="55" t="s">
        <v>116</v>
      </c>
      <c r="AU5539" s="181" t="s">
        <v>7494</v>
      </c>
      <c r="AV5539" s="185" t="s">
        <v>176</v>
      </c>
      <c r="AX5539" s="185" t="s">
        <v>176</v>
      </c>
      <c r="AZ5539" s="55" t="s">
        <v>6632</v>
      </c>
      <c r="BA5539" s="55" t="s">
        <v>2082</v>
      </c>
      <c r="BB5539" s="55" t="s">
        <v>2081</v>
      </c>
      <c r="BC5539" s="55" t="s">
        <v>2082</v>
      </c>
      <c r="BD5539" s="55" t="s">
        <v>479</v>
      </c>
      <c r="BJ5539" s="55" t="s">
        <v>176</v>
      </c>
      <c r="BK5539" s="55" t="s">
        <v>2082</v>
      </c>
      <c r="BP5539" s="55" t="s">
        <v>1875</v>
      </c>
      <c r="CH5539" s="90">
        <v>1.23</v>
      </c>
      <c r="CI5539" s="90">
        <v>1.35</v>
      </c>
      <c r="FJ5539" s="65">
        <v>1.4850000000000001</v>
      </c>
      <c r="FK5539" s="65">
        <v>0.91500000000000004</v>
      </c>
      <c r="FN5539" s="65" t="s">
        <v>6633</v>
      </c>
      <c r="GD5539" s="65">
        <v>5.7</v>
      </c>
      <c r="GE5539" s="65">
        <v>6.8</v>
      </c>
      <c r="GH5539" s="65" t="s">
        <v>164</v>
      </c>
      <c r="GP5539" s="292" t="s">
        <v>7494</v>
      </c>
    </row>
    <row r="5540" spans="1:198" x14ac:dyDescent="0.25">
      <c r="A5540" s="55">
        <v>5539</v>
      </c>
      <c r="B5540" s="12" t="s">
        <v>7067</v>
      </c>
      <c r="C5540" s="155" t="s">
        <v>6624</v>
      </c>
      <c r="D5540" s="55" t="s">
        <v>6662</v>
      </c>
      <c r="E5540" s="90" t="s">
        <v>6625</v>
      </c>
      <c r="G5540" s="55" t="s">
        <v>6626</v>
      </c>
      <c r="H5540" s="55" t="s">
        <v>5643</v>
      </c>
      <c r="I5540" s="55" t="s">
        <v>5470</v>
      </c>
      <c r="J5540" s="55" t="s">
        <v>6627</v>
      </c>
      <c r="K5540" s="55" t="s">
        <v>6628</v>
      </c>
      <c r="L5540" s="55" t="s">
        <v>3377</v>
      </c>
      <c r="M5540" s="90">
        <v>41.6</v>
      </c>
      <c r="N5540" s="90">
        <v>115.98</v>
      </c>
      <c r="O5540" s="90">
        <v>1350</v>
      </c>
      <c r="Q5540" s="55" t="s">
        <v>1935</v>
      </c>
      <c r="S5540" s="90" t="s">
        <v>6629</v>
      </c>
      <c r="U5540" s="55" t="s">
        <v>1935</v>
      </c>
      <c r="V5540" s="55" t="s">
        <v>1935</v>
      </c>
      <c r="Z5540" s="55" t="s">
        <v>6605</v>
      </c>
      <c r="AA5540" s="90">
        <v>5</v>
      </c>
      <c r="AD5540" s="90">
        <v>1.35</v>
      </c>
      <c r="AE5540" s="90">
        <f>21.29+53.37+10.47+4.19</f>
        <v>89.32</v>
      </c>
      <c r="AF5540" s="90">
        <v>2.1</v>
      </c>
      <c r="AG5540" s="90">
        <f>100-AE5540-AF5540</f>
        <v>8.5800000000000072</v>
      </c>
      <c r="AH5540" s="55" t="s">
        <v>201</v>
      </c>
      <c r="AM5540" s="55" t="s">
        <v>6630</v>
      </c>
      <c r="AO5540" s="185" t="s">
        <v>7494</v>
      </c>
      <c r="AR5540" s="55" t="s">
        <v>116</v>
      </c>
      <c r="AS5540" s="55" t="s">
        <v>116</v>
      </c>
      <c r="AU5540" s="181" t="s">
        <v>7494</v>
      </c>
      <c r="AV5540" s="185" t="s">
        <v>176</v>
      </c>
      <c r="AX5540" s="185" t="s">
        <v>176</v>
      </c>
      <c r="AZ5540" s="55" t="s">
        <v>6632</v>
      </c>
      <c r="BA5540" s="55" t="s">
        <v>2082</v>
      </c>
      <c r="BB5540" s="55" t="s">
        <v>2081</v>
      </c>
      <c r="BC5540" s="55" t="s">
        <v>2082</v>
      </c>
      <c r="BD5540" s="55" t="s">
        <v>479</v>
      </c>
      <c r="BJ5540" s="55" t="s">
        <v>176</v>
      </c>
      <c r="BK5540" s="55" t="s">
        <v>2082</v>
      </c>
      <c r="BP5540" s="55" t="s">
        <v>1875</v>
      </c>
      <c r="FJ5540" s="65">
        <v>36.774000000000001</v>
      </c>
      <c r="FK5540" s="65">
        <v>21.638999999999999</v>
      </c>
      <c r="FN5540" s="65" t="s">
        <v>6633</v>
      </c>
      <c r="GD5540" s="65">
        <v>6.4</v>
      </c>
      <c r="GE5540" s="65">
        <v>7.6</v>
      </c>
      <c r="GH5540" s="65" t="s">
        <v>164</v>
      </c>
      <c r="GP5540" s="292" t="s">
        <v>7494</v>
      </c>
    </row>
    <row r="5541" spans="1:198" x14ac:dyDescent="0.25">
      <c r="A5541" s="55">
        <v>5540</v>
      </c>
      <c r="B5541" s="12" t="s">
        <v>7067</v>
      </c>
      <c r="C5541" s="155" t="s">
        <v>6624</v>
      </c>
      <c r="D5541" s="55" t="s">
        <v>6662</v>
      </c>
      <c r="E5541" s="90" t="s">
        <v>6625</v>
      </c>
      <c r="G5541" s="55" t="s">
        <v>6626</v>
      </c>
      <c r="H5541" s="55" t="s">
        <v>5643</v>
      </c>
      <c r="I5541" s="55" t="s">
        <v>5470</v>
      </c>
      <c r="J5541" s="55" t="s">
        <v>6627</v>
      </c>
      <c r="K5541" s="55" t="s">
        <v>6628</v>
      </c>
      <c r="L5541" s="55" t="s">
        <v>3377</v>
      </c>
      <c r="M5541" s="90">
        <v>41.6</v>
      </c>
      <c r="N5541" s="90">
        <v>115.98</v>
      </c>
      <c r="O5541" s="90">
        <v>1350</v>
      </c>
      <c r="Q5541" s="55" t="s">
        <v>1935</v>
      </c>
      <c r="S5541" s="90" t="s">
        <v>6629</v>
      </c>
      <c r="U5541" s="55" t="s">
        <v>1935</v>
      </c>
      <c r="V5541" s="55" t="s">
        <v>1935</v>
      </c>
      <c r="Z5541" s="55" t="s">
        <v>6605</v>
      </c>
      <c r="AA5541" s="90">
        <v>5</v>
      </c>
      <c r="AD5541" s="90">
        <v>1.35</v>
      </c>
      <c r="AE5541" s="90">
        <f>21.29+53.37+10.47+4.19</f>
        <v>89.32</v>
      </c>
      <c r="AF5541" s="90">
        <v>2.1</v>
      </c>
      <c r="AG5541" s="90">
        <f>100-AE5541-AF5541</f>
        <v>8.5800000000000072</v>
      </c>
      <c r="AH5541" s="55" t="s">
        <v>201</v>
      </c>
      <c r="AM5541" s="55" t="s">
        <v>6630</v>
      </c>
      <c r="AO5541" s="185" t="s">
        <v>7494</v>
      </c>
      <c r="AR5541" s="55" t="s">
        <v>116</v>
      </c>
      <c r="AS5541" s="55" t="s">
        <v>116</v>
      </c>
      <c r="AU5541" s="181" t="s">
        <v>7494</v>
      </c>
      <c r="AV5541" s="185" t="s">
        <v>176</v>
      </c>
      <c r="AX5541" s="185" t="s">
        <v>176</v>
      </c>
      <c r="AZ5541" s="55" t="s">
        <v>6632</v>
      </c>
      <c r="BA5541" s="55" t="s">
        <v>2082</v>
      </c>
      <c r="BB5541" s="55" t="s">
        <v>2081</v>
      </c>
      <c r="BC5541" s="55" t="s">
        <v>2082</v>
      </c>
      <c r="BD5541" s="55" t="s">
        <v>479</v>
      </c>
      <c r="BJ5541" s="55" t="s">
        <v>176</v>
      </c>
      <c r="BK5541" s="55" t="s">
        <v>2082</v>
      </c>
      <c r="BP5541" s="55" t="s">
        <v>1875</v>
      </c>
      <c r="FJ5541" s="65">
        <v>0.28100000000000003</v>
      </c>
      <c r="FK5541" s="65">
        <v>0.23899999999999999</v>
      </c>
      <c r="FN5541" s="65" t="s">
        <v>6633</v>
      </c>
      <c r="GD5541" s="65">
        <v>6.5</v>
      </c>
      <c r="GE5541" s="65">
        <v>8.1999999999999993</v>
      </c>
      <c r="GH5541" s="65" t="s">
        <v>164</v>
      </c>
      <c r="GP5541" s="292" t="s">
        <v>7494</v>
      </c>
    </row>
    <row r="5542" spans="1:198" x14ac:dyDescent="0.25">
      <c r="A5542" s="55">
        <v>5541</v>
      </c>
      <c r="B5542" s="12" t="s">
        <v>7067</v>
      </c>
      <c r="C5542" s="155" t="s">
        <v>6624</v>
      </c>
      <c r="D5542" s="55" t="s">
        <v>6662</v>
      </c>
      <c r="E5542" s="90" t="s">
        <v>6625</v>
      </c>
      <c r="G5542" s="55" t="s">
        <v>6626</v>
      </c>
      <c r="H5542" s="55" t="s">
        <v>5643</v>
      </c>
      <c r="I5542" s="55" t="s">
        <v>5470</v>
      </c>
      <c r="J5542" s="55" t="s">
        <v>6627</v>
      </c>
      <c r="K5542" s="55" t="s">
        <v>6628</v>
      </c>
      <c r="L5542" s="55" t="s">
        <v>3377</v>
      </c>
      <c r="M5542" s="90">
        <v>41.6</v>
      </c>
      <c r="N5542" s="90">
        <v>115.98</v>
      </c>
      <c r="O5542" s="90">
        <v>1350</v>
      </c>
      <c r="Q5542" s="55" t="s">
        <v>1935</v>
      </c>
      <c r="S5542" s="90" t="s">
        <v>6629</v>
      </c>
      <c r="U5542" s="55" t="s">
        <v>1935</v>
      </c>
      <c r="V5542" s="55" t="s">
        <v>1935</v>
      </c>
      <c r="Z5542" s="55" t="s">
        <v>6605</v>
      </c>
      <c r="AA5542" s="90">
        <v>5</v>
      </c>
      <c r="AD5542" s="90">
        <v>1.35</v>
      </c>
      <c r="AE5542" s="90">
        <f>21.29+53.37+10.47+4.19</f>
        <v>89.32</v>
      </c>
      <c r="AF5542" s="90">
        <v>2.1</v>
      </c>
      <c r="AG5542" s="90">
        <f>100-AE5542-AF5542</f>
        <v>8.5800000000000072</v>
      </c>
      <c r="AH5542" s="55" t="s">
        <v>201</v>
      </c>
      <c r="AM5542" s="55" t="s">
        <v>6630</v>
      </c>
      <c r="AO5542" s="185" t="s">
        <v>7494</v>
      </c>
      <c r="AR5542" s="55" t="s">
        <v>116</v>
      </c>
      <c r="AS5542" s="55" t="s">
        <v>116</v>
      </c>
      <c r="AU5542" s="181" t="s">
        <v>7494</v>
      </c>
      <c r="AV5542" s="185" t="s">
        <v>176</v>
      </c>
      <c r="AX5542" s="185" t="s">
        <v>176</v>
      </c>
      <c r="AZ5542" s="55" t="s">
        <v>6632</v>
      </c>
      <c r="BA5542" s="55" t="s">
        <v>2082</v>
      </c>
      <c r="BB5542" s="55" t="s">
        <v>2081</v>
      </c>
      <c r="BC5542" s="55" t="s">
        <v>2082</v>
      </c>
      <c r="BD5542" s="55" t="s">
        <v>479</v>
      </c>
      <c r="BJ5542" s="55" t="s">
        <v>176</v>
      </c>
      <c r="BK5542" s="55" t="s">
        <v>2082</v>
      </c>
      <c r="BP5542" s="55" t="s">
        <v>1875</v>
      </c>
      <c r="FJ5542" s="65">
        <v>0.29199999999999998</v>
      </c>
      <c r="FK5542" s="65">
        <v>0.59699999999999998</v>
      </c>
      <c r="FN5542" s="65" t="s">
        <v>6633</v>
      </c>
      <c r="GD5542" s="65">
        <v>6.7</v>
      </c>
      <c r="GE5542" s="65">
        <v>8.6999999999999993</v>
      </c>
      <c r="GH5542" s="65" t="s">
        <v>164</v>
      </c>
      <c r="GP5542" s="292" t="s">
        <v>7494</v>
      </c>
    </row>
    <row r="5543" spans="1:198" x14ac:dyDescent="0.25">
      <c r="A5543" s="55">
        <v>5542</v>
      </c>
      <c r="B5543" s="12" t="s">
        <v>7067</v>
      </c>
      <c r="C5543" s="155" t="s">
        <v>6624</v>
      </c>
      <c r="D5543" s="55" t="s">
        <v>6662</v>
      </c>
      <c r="E5543" s="90" t="s">
        <v>6625</v>
      </c>
      <c r="G5543" s="55" t="s">
        <v>6626</v>
      </c>
      <c r="H5543" s="55" t="s">
        <v>5643</v>
      </c>
      <c r="I5543" s="55" t="s">
        <v>5470</v>
      </c>
      <c r="J5543" s="55" t="s">
        <v>6627</v>
      </c>
      <c r="K5543" s="55" t="s">
        <v>6628</v>
      </c>
      <c r="L5543" s="55" t="s">
        <v>3377</v>
      </c>
      <c r="M5543" s="90">
        <v>41.6</v>
      </c>
      <c r="N5543" s="90">
        <v>115.98</v>
      </c>
      <c r="O5543" s="90">
        <v>1350</v>
      </c>
      <c r="Q5543" s="55" t="s">
        <v>1935</v>
      </c>
      <c r="S5543" s="90" t="s">
        <v>6629</v>
      </c>
      <c r="U5543" s="55" t="s">
        <v>1935</v>
      </c>
      <c r="V5543" s="55" t="s">
        <v>1935</v>
      </c>
      <c r="Z5543" s="55" t="s">
        <v>6605</v>
      </c>
      <c r="AA5543" s="90">
        <v>5</v>
      </c>
      <c r="AD5543" s="90">
        <v>1.35</v>
      </c>
      <c r="AE5543" s="90">
        <f>21.29+53.37+10.47+4.19</f>
        <v>89.32</v>
      </c>
      <c r="AF5543" s="90">
        <v>2.1</v>
      </c>
      <c r="AG5543" s="90">
        <f>100-AE5543-AF5543</f>
        <v>8.5800000000000072</v>
      </c>
      <c r="AH5543" s="55" t="s">
        <v>201</v>
      </c>
      <c r="AM5543" s="55" t="s">
        <v>6630</v>
      </c>
      <c r="AO5543" s="185" t="s">
        <v>7494</v>
      </c>
      <c r="AR5543" s="55" t="s">
        <v>116</v>
      </c>
      <c r="AS5543" s="55" t="s">
        <v>116</v>
      </c>
      <c r="AU5543" s="181" t="s">
        <v>7494</v>
      </c>
      <c r="AV5543" s="185" t="s">
        <v>176</v>
      </c>
      <c r="AX5543" s="185" t="s">
        <v>176</v>
      </c>
      <c r="AZ5543" s="55" t="s">
        <v>6632</v>
      </c>
      <c r="BA5543" s="55" t="s">
        <v>2082</v>
      </c>
      <c r="BB5543" s="55" t="s">
        <v>2081</v>
      </c>
      <c r="BC5543" s="55" t="s">
        <v>2082</v>
      </c>
      <c r="BD5543" s="55" t="s">
        <v>479</v>
      </c>
      <c r="BJ5543" s="55" t="s">
        <v>176</v>
      </c>
      <c r="BK5543" s="55" t="s">
        <v>2082</v>
      </c>
      <c r="BP5543" s="55" t="s">
        <v>1875</v>
      </c>
      <c r="FJ5543" s="65">
        <v>1.421</v>
      </c>
      <c r="FK5543" s="65">
        <v>3.1230000000000002</v>
      </c>
      <c r="FN5543" s="65" t="s">
        <v>6633</v>
      </c>
      <c r="GD5543" s="65">
        <v>6.84</v>
      </c>
      <c r="GE5543" s="65">
        <v>8.25</v>
      </c>
      <c r="GH5543" s="65" t="s">
        <v>164</v>
      </c>
      <c r="GP5543" s="292" t="s">
        <v>7494</v>
      </c>
    </row>
    <row r="5544" spans="1:198" x14ac:dyDescent="0.25">
      <c r="A5544" s="55">
        <v>5543</v>
      </c>
      <c r="B5544" s="12" t="s">
        <v>7067</v>
      </c>
      <c r="C5544" s="155" t="s">
        <v>6624</v>
      </c>
      <c r="D5544" s="55" t="s">
        <v>6662</v>
      </c>
      <c r="E5544" s="90" t="s">
        <v>6625</v>
      </c>
      <c r="G5544" s="55" t="s">
        <v>6626</v>
      </c>
      <c r="H5544" s="55" t="s">
        <v>5643</v>
      </c>
      <c r="I5544" s="55" t="s">
        <v>5470</v>
      </c>
      <c r="J5544" s="55" t="s">
        <v>6627</v>
      </c>
      <c r="K5544" s="55" t="s">
        <v>6628</v>
      </c>
      <c r="L5544" s="55" t="s">
        <v>3377</v>
      </c>
      <c r="M5544" s="90">
        <v>41.6</v>
      </c>
      <c r="N5544" s="90">
        <v>115.98</v>
      </c>
      <c r="O5544" s="90">
        <v>1350</v>
      </c>
      <c r="Q5544" s="55" t="s">
        <v>1935</v>
      </c>
      <c r="S5544" s="90" t="s">
        <v>6629</v>
      </c>
      <c r="U5544" s="55" t="s">
        <v>1935</v>
      </c>
      <c r="V5544" s="55" t="s">
        <v>1935</v>
      </c>
      <c r="Z5544" s="55" t="s">
        <v>6605</v>
      </c>
      <c r="AA5544" s="90">
        <v>5</v>
      </c>
      <c r="AD5544" s="90">
        <v>1.35</v>
      </c>
      <c r="AE5544" s="90">
        <f>21.29+53.37+10.47+4.19</f>
        <v>89.32</v>
      </c>
      <c r="AF5544" s="90">
        <v>2.1</v>
      </c>
      <c r="AG5544" s="90">
        <f>100-AE5544-AF5544</f>
        <v>8.5800000000000072</v>
      </c>
      <c r="AH5544" s="55" t="s">
        <v>201</v>
      </c>
      <c r="AM5544" s="55" t="s">
        <v>6630</v>
      </c>
      <c r="AO5544" s="185" t="s">
        <v>7494</v>
      </c>
      <c r="AR5544" s="55" t="s">
        <v>116</v>
      </c>
      <c r="AS5544" s="55" t="s">
        <v>116</v>
      </c>
      <c r="AU5544" s="181" t="s">
        <v>7494</v>
      </c>
      <c r="AV5544" s="185" t="s">
        <v>176</v>
      </c>
      <c r="AX5544" s="185" t="s">
        <v>176</v>
      </c>
      <c r="AZ5544" s="55" t="s">
        <v>6632</v>
      </c>
      <c r="BA5544" s="55" t="s">
        <v>2082</v>
      </c>
      <c r="BB5544" s="55" t="s">
        <v>2081</v>
      </c>
      <c r="BC5544" s="55" t="s">
        <v>2082</v>
      </c>
      <c r="BD5544" s="55" t="s">
        <v>479</v>
      </c>
      <c r="BJ5544" s="55" t="s">
        <v>176</v>
      </c>
      <c r="BK5544" s="55" t="s">
        <v>2082</v>
      </c>
      <c r="BP5544" s="55" t="s">
        <v>1875</v>
      </c>
      <c r="FJ5544" s="65">
        <v>0.96799999999999997</v>
      </c>
      <c r="FK5544" s="65">
        <v>1.19</v>
      </c>
      <c r="FN5544" s="65" t="s">
        <v>6633</v>
      </c>
      <c r="GD5544" s="65">
        <v>6</v>
      </c>
      <c r="GE5544" s="65">
        <v>7.3</v>
      </c>
      <c r="GH5544" s="65" t="s">
        <v>164</v>
      </c>
      <c r="GP5544" s="292" t="s">
        <v>7494</v>
      </c>
    </row>
    <row r="5545" spans="1:198" x14ac:dyDescent="0.25">
      <c r="A5545" s="55">
        <v>5544</v>
      </c>
      <c r="B5545" s="12" t="s">
        <v>7067</v>
      </c>
      <c r="C5545" s="155" t="s">
        <v>6624</v>
      </c>
      <c r="D5545" s="55" t="s">
        <v>6662</v>
      </c>
      <c r="E5545" s="90" t="s">
        <v>6625</v>
      </c>
      <c r="G5545" s="55" t="s">
        <v>6626</v>
      </c>
      <c r="H5545" s="55" t="s">
        <v>5643</v>
      </c>
      <c r="I5545" s="55" t="s">
        <v>5470</v>
      </c>
      <c r="J5545" s="55" t="s">
        <v>6627</v>
      </c>
      <c r="K5545" s="55" t="s">
        <v>6628</v>
      </c>
      <c r="L5545" s="55" t="s">
        <v>3377</v>
      </c>
      <c r="M5545" s="90">
        <v>41.6</v>
      </c>
      <c r="N5545" s="90">
        <v>115.98</v>
      </c>
      <c r="O5545" s="90">
        <v>1350</v>
      </c>
      <c r="Q5545" s="55" t="s">
        <v>1935</v>
      </c>
      <c r="S5545" s="90" t="s">
        <v>6629</v>
      </c>
      <c r="U5545" s="55" t="s">
        <v>1935</v>
      </c>
      <c r="V5545" s="55" t="s">
        <v>1935</v>
      </c>
      <c r="Z5545" s="55" t="s">
        <v>6605</v>
      </c>
      <c r="AA5545" s="90">
        <v>5</v>
      </c>
      <c r="AD5545" s="90">
        <v>1.35</v>
      </c>
      <c r="AE5545" s="90">
        <f>21.29+53.37+10.47+4.19</f>
        <v>89.32</v>
      </c>
      <c r="AF5545" s="90">
        <v>2.1</v>
      </c>
      <c r="AG5545" s="90">
        <f>100-AE5545-AF5545</f>
        <v>8.5800000000000072</v>
      </c>
      <c r="AH5545" s="55" t="s">
        <v>201</v>
      </c>
      <c r="AM5545" s="55" t="s">
        <v>6630</v>
      </c>
      <c r="AO5545" s="185" t="s">
        <v>7494</v>
      </c>
      <c r="AR5545" s="55" t="s">
        <v>116</v>
      </c>
      <c r="AS5545" s="55" t="s">
        <v>116</v>
      </c>
      <c r="AU5545" s="181" t="s">
        <v>7494</v>
      </c>
      <c r="AV5545" s="185" t="s">
        <v>176</v>
      </c>
      <c r="AX5545" s="185" t="s">
        <v>176</v>
      </c>
      <c r="AZ5545" s="55" t="s">
        <v>6632</v>
      </c>
      <c r="BA5545" s="55" t="s">
        <v>2082</v>
      </c>
      <c r="BB5545" s="55" t="s">
        <v>2081</v>
      </c>
      <c r="BC5545" s="55" t="s">
        <v>2082</v>
      </c>
      <c r="BD5545" s="55" t="s">
        <v>479</v>
      </c>
      <c r="BJ5545" s="55" t="s">
        <v>176</v>
      </c>
      <c r="BK5545" s="55" t="s">
        <v>2082</v>
      </c>
      <c r="BP5545" s="55" t="s">
        <v>1875</v>
      </c>
      <c r="FJ5545" s="65">
        <v>0.26700000000000002</v>
      </c>
      <c r="FK5545" s="65">
        <v>0.44400000000000001</v>
      </c>
      <c r="FN5545" s="65" t="s">
        <v>6633</v>
      </c>
      <c r="GD5545" s="65">
        <v>6.5</v>
      </c>
      <c r="GE5545" s="65">
        <v>7.8</v>
      </c>
      <c r="GH5545" s="65" t="s">
        <v>164</v>
      </c>
      <c r="GP5545" s="292" t="s">
        <v>7494</v>
      </c>
    </row>
    <row r="5546" spans="1:198" x14ac:dyDescent="0.25">
      <c r="A5546" s="55">
        <v>5545</v>
      </c>
      <c r="B5546" s="12" t="s">
        <v>7067</v>
      </c>
      <c r="C5546" s="155" t="s">
        <v>6624</v>
      </c>
      <c r="D5546" s="55" t="s">
        <v>6662</v>
      </c>
      <c r="E5546" s="90" t="s">
        <v>6625</v>
      </c>
      <c r="G5546" s="55" t="s">
        <v>6626</v>
      </c>
      <c r="H5546" s="55" t="s">
        <v>5643</v>
      </c>
      <c r="I5546" s="55" t="s">
        <v>5470</v>
      </c>
      <c r="J5546" s="55" t="s">
        <v>6627</v>
      </c>
      <c r="K5546" s="55" t="s">
        <v>6628</v>
      </c>
      <c r="L5546" s="55" t="s">
        <v>3377</v>
      </c>
      <c r="M5546" s="90">
        <v>41.6</v>
      </c>
      <c r="N5546" s="90">
        <v>115.98</v>
      </c>
      <c r="O5546" s="90">
        <v>1350</v>
      </c>
      <c r="Q5546" s="55" t="s">
        <v>1935</v>
      </c>
      <c r="S5546" s="90" t="s">
        <v>6629</v>
      </c>
      <c r="U5546" s="55" t="s">
        <v>1935</v>
      </c>
      <c r="V5546" s="55" t="s">
        <v>1935</v>
      </c>
      <c r="Z5546" s="55" t="s">
        <v>6605</v>
      </c>
      <c r="AA5546" s="90">
        <v>5</v>
      </c>
      <c r="AD5546" s="90">
        <v>1.35</v>
      </c>
      <c r="AE5546" s="90">
        <f>21.29+53.37+10.47+4.19</f>
        <v>89.32</v>
      </c>
      <c r="AF5546" s="90">
        <v>2.1</v>
      </c>
      <c r="AG5546" s="90">
        <f>100-AE5546-AF5546</f>
        <v>8.5800000000000072</v>
      </c>
      <c r="AH5546" s="55" t="s">
        <v>201</v>
      </c>
      <c r="AM5546" s="55" t="s">
        <v>6630</v>
      </c>
      <c r="AO5546" s="185" t="s">
        <v>7494</v>
      </c>
      <c r="AR5546" s="55" t="s">
        <v>116</v>
      </c>
      <c r="AS5546" s="55" t="s">
        <v>116</v>
      </c>
      <c r="AU5546" s="181" t="s">
        <v>7494</v>
      </c>
      <c r="AV5546" s="185" t="s">
        <v>176</v>
      </c>
      <c r="AX5546" s="185" t="s">
        <v>176</v>
      </c>
      <c r="AZ5546" s="55" t="s">
        <v>6632</v>
      </c>
      <c r="BA5546" s="55" t="s">
        <v>2082</v>
      </c>
      <c r="BB5546" s="55" t="s">
        <v>2081</v>
      </c>
      <c r="BC5546" s="55" t="s">
        <v>2082</v>
      </c>
      <c r="BD5546" s="55" t="s">
        <v>479</v>
      </c>
      <c r="BJ5546" s="55" t="s">
        <v>176</v>
      </c>
      <c r="BK5546" s="55" t="s">
        <v>2082</v>
      </c>
      <c r="BP5546" s="55" t="s">
        <v>1875</v>
      </c>
      <c r="FJ5546" s="65">
        <v>11.111000000000001</v>
      </c>
      <c r="FK5546" s="65">
        <v>9.3919999999999995</v>
      </c>
      <c r="FN5546" s="65" t="s">
        <v>6633</v>
      </c>
      <c r="GD5546" s="65">
        <v>9.5</v>
      </c>
      <c r="GE5546" s="65">
        <v>8.6</v>
      </c>
      <c r="GH5546" s="65" t="s">
        <v>164</v>
      </c>
      <c r="GP5546" s="292" t="s">
        <v>7494</v>
      </c>
    </row>
    <row r="5547" spans="1:198" x14ac:dyDescent="0.25">
      <c r="A5547" s="55">
        <v>5546</v>
      </c>
      <c r="B5547" s="12" t="s">
        <v>7067</v>
      </c>
      <c r="C5547" s="155" t="s">
        <v>6624</v>
      </c>
      <c r="D5547" s="55" t="s">
        <v>6662</v>
      </c>
      <c r="E5547" s="90" t="s">
        <v>6625</v>
      </c>
      <c r="G5547" s="55" t="s">
        <v>6626</v>
      </c>
      <c r="H5547" s="55" t="s">
        <v>5643</v>
      </c>
      <c r="I5547" s="55" t="s">
        <v>5470</v>
      </c>
      <c r="J5547" s="55" t="s">
        <v>6627</v>
      </c>
      <c r="K5547" s="55" t="s">
        <v>6628</v>
      </c>
      <c r="L5547" s="55" t="s">
        <v>3377</v>
      </c>
      <c r="M5547" s="90">
        <v>41.6</v>
      </c>
      <c r="N5547" s="90">
        <v>115.98</v>
      </c>
      <c r="O5547" s="90">
        <v>1350</v>
      </c>
      <c r="Q5547" s="55" t="s">
        <v>1935</v>
      </c>
      <c r="S5547" s="90" t="s">
        <v>6629</v>
      </c>
      <c r="U5547" s="55" t="s">
        <v>1935</v>
      </c>
      <c r="V5547" s="55" t="s">
        <v>1935</v>
      </c>
      <c r="Z5547" s="55" t="s">
        <v>6605</v>
      </c>
      <c r="AA5547" s="90">
        <v>5</v>
      </c>
      <c r="AD5547" s="90">
        <v>1.35</v>
      </c>
      <c r="AE5547" s="90">
        <f>21.29+53.37+10.47+4.19</f>
        <v>89.32</v>
      </c>
      <c r="AF5547" s="90">
        <v>2.1</v>
      </c>
      <c r="AG5547" s="90">
        <f>100-AE5547-AF5547</f>
        <v>8.5800000000000072</v>
      </c>
      <c r="AH5547" s="55" t="s">
        <v>201</v>
      </c>
      <c r="AM5547" s="55" t="s">
        <v>6630</v>
      </c>
      <c r="AO5547" s="185" t="s">
        <v>7494</v>
      </c>
      <c r="AR5547" s="55" t="s">
        <v>116</v>
      </c>
      <c r="AS5547" s="55" t="s">
        <v>116</v>
      </c>
      <c r="AU5547" s="181" t="s">
        <v>7494</v>
      </c>
      <c r="AV5547" s="185" t="s">
        <v>176</v>
      </c>
      <c r="AX5547" s="185" t="s">
        <v>176</v>
      </c>
      <c r="AZ5547" s="55" t="s">
        <v>6632</v>
      </c>
      <c r="BA5547" s="55" t="s">
        <v>2082</v>
      </c>
      <c r="BB5547" s="55" t="s">
        <v>2081</v>
      </c>
      <c r="BC5547" s="55" t="s">
        <v>2082</v>
      </c>
      <c r="BD5547" s="55" t="s">
        <v>479</v>
      </c>
      <c r="BJ5547" s="55" t="s">
        <v>176</v>
      </c>
      <c r="BK5547" s="55" t="s">
        <v>2082</v>
      </c>
      <c r="BP5547" s="55" t="s">
        <v>1875</v>
      </c>
      <c r="FJ5547" s="65">
        <v>0.13300000000000001</v>
      </c>
      <c r="FK5547" s="65">
        <v>0.151</v>
      </c>
      <c r="FN5547" s="65" t="s">
        <v>6633</v>
      </c>
      <c r="GD5547" s="65">
        <v>8.52</v>
      </c>
      <c r="GE5547" s="65">
        <v>9.3000000000000007</v>
      </c>
      <c r="GH5547" s="65" t="s">
        <v>164</v>
      </c>
      <c r="GP5547" s="292" t="s">
        <v>7494</v>
      </c>
    </row>
    <row r="5548" spans="1:198" x14ac:dyDescent="0.25">
      <c r="A5548" s="55">
        <v>5547</v>
      </c>
      <c r="B5548" s="12" t="s">
        <v>7067</v>
      </c>
      <c r="C5548" s="155" t="s">
        <v>6624</v>
      </c>
      <c r="D5548" s="55" t="s">
        <v>6662</v>
      </c>
      <c r="E5548" s="90" t="s">
        <v>6625</v>
      </c>
      <c r="G5548" s="55" t="s">
        <v>6626</v>
      </c>
      <c r="H5548" s="55" t="s">
        <v>5643</v>
      </c>
      <c r="I5548" s="55" t="s">
        <v>5470</v>
      </c>
      <c r="J5548" s="55" t="s">
        <v>6627</v>
      </c>
      <c r="K5548" s="55" t="s">
        <v>6628</v>
      </c>
      <c r="L5548" s="55" t="s">
        <v>3377</v>
      </c>
      <c r="M5548" s="90">
        <v>41.6</v>
      </c>
      <c r="N5548" s="90">
        <v>115.98</v>
      </c>
      <c r="O5548" s="90">
        <v>1350</v>
      </c>
      <c r="Q5548" s="55" t="s">
        <v>1935</v>
      </c>
      <c r="S5548" s="90" t="s">
        <v>6629</v>
      </c>
      <c r="U5548" s="55" t="s">
        <v>1935</v>
      </c>
      <c r="V5548" s="55" t="s">
        <v>1935</v>
      </c>
      <c r="Z5548" s="55" t="s">
        <v>6605</v>
      </c>
      <c r="AA5548" s="90">
        <v>5</v>
      </c>
      <c r="AD5548" s="90">
        <v>1.35</v>
      </c>
      <c r="AE5548" s="90">
        <f>21.29+53.37+10.47+4.19</f>
        <v>89.32</v>
      </c>
      <c r="AF5548" s="90">
        <v>2.1</v>
      </c>
      <c r="AG5548" s="90">
        <f>100-AE5548-AF5548</f>
        <v>8.5800000000000072</v>
      </c>
      <c r="AH5548" s="55" t="s">
        <v>201</v>
      </c>
      <c r="AM5548" s="55" t="s">
        <v>6630</v>
      </c>
      <c r="AO5548" s="185" t="s">
        <v>7494</v>
      </c>
      <c r="AR5548" s="55" t="s">
        <v>116</v>
      </c>
      <c r="AS5548" s="55" t="s">
        <v>116</v>
      </c>
      <c r="AU5548" s="181" t="s">
        <v>7494</v>
      </c>
      <c r="AV5548" s="185" t="s">
        <v>176</v>
      </c>
      <c r="AX5548" s="185" t="s">
        <v>176</v>
      </c>
      <c r="AZ5548" s="55" t="s">
        <v>6632</v>
      </c>
      <c r="BA5548" s="55" t="s">
        <v>2082</v>
      </c>
      <c r="BB5548" s="55" t="s">
        <v>2081</v>
      </c>
      <c r="BC5548" s="55" t="s">
        <v>2082</v>
      </c>
      <c r="BD5548" s="55" t="s">
        <v>479</v>
      </c>
      <c r="BJ5548" s="55" t="s">
        <v>176</v>
      </c>
      <c r="BK5548" s="55" t="s">
        <v>2082</v>
      </c>
      <c r="BP5548" s="55" t="s">
        <v>1875</v>
      </c>
      <c r="FJ5548" s="65">
        <v>9.4E-2</v>
      </c>
      <c r="FK5548" s="65">
        <v>0.28199999999999997</v>
      </c>
      <c r="FN5548" s="65" t="s">
        <v>6633</v>
      </c>
      <c r="GD5548" s="65">
        <v>7.86</v>
      </c>
      <c r="GE5548" s="65">
        <v>10.27</v>
      </c>
      <c r="GH5548" s="65" t="s">
        <v>164</v>
      </c>
      <c r="GP5548" s="292" t="s">
        <v>7494</v>
      </c>
    </row>
    <row r="5549" spans="1:198" x14ac:dyDescent="0.25">
      <c r="A5549" s="55">
        <v>5548</v>
      </c>
      <c r="B5549" s="12" t="s">
        <v>7067</v>
      </c>
      <c r="C5549" s="155" t="s">
        <v>6624</v>
      </c>
      <c r="D5549" s="55" t="s">
        <v>6662</v>
      </c>
      <c r="E5549" s="90" t="s">
        <v>6625</v>
      </c>
      <c r="G5549" s="55" t="s">
        <v>6626</v>
      </c>
      <c r="H5549" s="55" t="s">
        <v>5643</v>
      </c>
      <c r="I5549" s="55" t="s">
        <v>5470</v>
      </c>
      <c r="J5549" s="55" t="s">
        <v>6627</v>
      </c>
      <c r="K5549" s="55" t="s">
        <v>6628</v>
      </c>
      <c r="L5549" s="55" t="s">
        <v>3377</v>
      </c>
      <c r="M5549" s="90">
        <v>41.6</v>
      </c>
      <c r="N5549" s="90">
        <v>115.98</v>
      </c>
      <c r="O5549" s="90">
        <v>1350</v>
      </c>
      <c r="Q5549" s="55" t="s">
        <v>1935</v>
      </c>
      <c r="S5549" s="90" t="s">
        <v>6629</v>
      </c>
      <c r="U5549" s="55" t="s">
        <v>1935</v>
      </c>
      <c r="V5549" s="55" t="s">
        <v>1935</v>
      </c>
      <c r="Z5549" s="55" t="s">
        <v>6605</v>
      </c>
      <c r="AA5549" s="90">
        <v>5</v>
      </c>
      <c r="AD5549" s="90">
        <v>1.35</v>
      </c>
      <c r="AE5549" s="90">
        <f>21.29+53.37+10.47+4.19</f>
        <v>89.32</v>
      </c>
      <c r="AF5549" s="90">
        <v>2.1</v>
      </c>
      <c r="AG5549" s="90">
        <f>100-AE5549-AF5549</f>
        <v>8.5800000000000072</v>
      </c>
      <c r="AH5549" s="55" t="s">
        <v>201</v>
      </c>
      <c r="AM5549" s="55" t="s">
        <v>6630</v>
      </c>
      <c r="AO5549" s="185" t="s">
        <v>7494</v>
      </c>
      <c r="AR5549" s="55" t="s">
        <v>116</v>
      </c>
      <c r="AS5549" s="55" t="s">
        <v>116</v>
      </c>
      <c r="AU5549" s="181" t="s">
        <v>7494</v>
      </c>
      <c r="AV5549" s="185" t="s">
        <v>176</v>
      </c>
      <c r="AX5549" s="185" t="s">
        <v>176</v>
      </c>
      <c r="AZ5549" s="55" t="s">
        <v>6632</v>
      </c>
      <c r="BA5549" s="55" t="s">
        <v>2082</v>
      </c>
      <c r="BB5549" s="55" t="s">
        <v>2081</v>
      </c>
      <c r="BC5549" s="55" t="s">
        <v>2082</v>
      </c>
      <c r="BD5549" s="55" t="s">
        <v>479</v>
      </c>
      <c r="BJ5549" s="55" t="s">
        <v>176</v>
      </c>
      <c r="BK5549" s="55" t="s">
        <v>2082</v>
      </c>
      <c r="BP5549" s="55" t="s">
        <v>1875</v>
      </c>
      <c r="FJ5549" s="65">
        <v>0.47299999999999998</v>
      </c>
      <c r="FK5549" s="65">
        <v>1.274</v>
      </c>
      <c r="FN5549" s="65" t="s">
        <v>6633</v>
      </c>
      <c r="GD5549" s="65">
        <v>7.77</v>
      </c>
      <c r="GE5549" s="65">
        <v>10.01</v>
      </c>
      <c r="GH5549" s="65" t="s">
        <v>164</v>
      </c>
      <c r="GP5549" s="292" t="s">
        <v>7494</v>
      </c>
    </row>
    <row r="5550" spans="1:198" x14ac:dyDescent="0.25">
      <c r="A5550" s="55">
        <v>5549</v>
      </c>
      <c r="B5550" s="12" t="s">
        <v>7067</v>
      </c>
      <c r="C5550" s="155" t="s">
        <v>6624</v>
      </c>
      <c r="D5550" s="55" t="s">
        <v>6662</v>
      </c>
      <c r="E5550" s="90" t="s">
        <v>6625</v>
      </c>
      <c r="G5550" s="55" t="s">
        <v>6626</v>
      </c>
      <c r="H5550" s="55" t="s">
        <v>5643</v>
      </c>
      <c r="I5550" s="55" t="s">
        <v>5470</v>
      </c>
      <c r="J5550" s="55" t="s">
        <v>6627</v>
      </c>
      <c r="K5550" s="55" t="s">
        <v>6628</v>
      </c>
      <c r="L5550" s="55" t="s">
        <v>3377</v>
      </c>
      <c r="M5550" s="90">
        <v>41.6</v>
      </c>
      <c r="N5550" s="90">
        <v>115.98</v>
      </c>
      <c r="O5550" s="90">
        <v>1350</v>
      </c>
      <c r="Q5550" s="55" t="s">
        <v>1935</v>
      </c>
      <c r="S5550" s="90" t="s">
        <v>6629</v>
      </c>
      <c r="U5550" s="55" t="s">
        <v>1935</v>
      </c>
      <c r="V5550" s="55" t="s">
        <v>1935</v>
      </c>
      <c r="Z5550" s="55" t="s">
        <v>6605</v>
      </c>
      <c r="AA5550" s="90">
        <v>5</v>
      </c>
      <c r="AD5550" s="90">
        <v>1.35</v>
      </c>
      <c r="AE5550" s="90">
        <f>21.29+53.37+10.47+4.19</f>
        <v>89.32</v>
      </c>
      <c r="AF5550" s="90">
        <v>2.1</v>
      </c>
      <c r="AG5550" s="90">
        <f>100-AE5550-AF5550</f>
        <v>8.5800000000000072</v>
      </c>
      <c r="AH5550" s="55" t="s">
        <v>201</v>
      </c>
      <c r="AM5550" s="55" t="s">
        <v>6630</v>
      </c>
      <c r="AO5550" s="185" t="s">
        <v>7494</v>
      </c>
      <c r="AR5550" s="55" t="s">
        <v>116</v>
      </c>
      <c r="AS5550" s="55" t="s">
        <v>116</v>
      </c>
      <c r="AU5550" s="181" t="s">
        <v>7494</v>
      </c>
      <c r="AV5550" s="185" t="s">
        <v>176</v>
      </c>
      <c r="AX5550" s="185" t="s">
        <v>176</v>
      </c>
      <c r="AZ5550" s="55" t="s">
        <v>6632</v>
      </c>
      <c r="BA5550" s="55" t="s">
        <v>2082</v>
      </c>
      <c r="BB5550" s="55" t="s">
        <v>2081</v>
      </c>
      <c r="BC5550" s="55" t="s">
        <v>2082</v>
      </c>
      <c r="BD5550" s="55" t="s">
        <v>479</v>
      </c>
      <c r="BJ5550" s="55" t="s">
        <v>176</v>
      </c>
      <c r="BK5550" s="55" t="s">
        <v>2082</v>
      </c>
      <c r="BP5550" s="55" t="s">
        <v>1875</v>
      </c>
      <c r="FJ5550" s="65">
        <v>0.33</v>
      </c>
      <c r="FK5550" s="65">
        <v>0.495</v>
      </c>
      <c r="FN5550" s="65" t="s">
        <v>6633</v>
      </c>
      <c r="GD5550" s="65">
        <v>8.5</v>
      </c>
      <c r="GE5550" s="65">
        <v>9.7799999999999994</v>
      </c>
      <c r="GH5550" s="65" t="s">
        <v>164</v>
      </c>
      <c r="GP5550" s="292" t="s">
        <v>7494</v>
      </c>
    </row>
    <row r="5551" spans="1:198" x14ac:dyDescent="0.25">
      <c r="A5551" s="55">
        <v>5550</v>
      </c>
      <c r="B5551" s="12" t="s">
        <v>7067</v>
      </c>
      <c r="C5551" s="155" t="s">
        <v>6624</v>
      </c>
      <c r="D5551" s="55" t="s">
        <v>6662</v>
      </c>
      <c r="E5551" s="90" t="s">
        <v>6625</v>
      </c>
      <c r="G5551" s="55" t="s">
        <v>6626</v>
      </c>
      <c r="H5551" s="55" t="s">
        <v>5643</v>
      </c>
      <c r="I5551" s="55" t="s">
        <v>5470</v>
      </c>
      <c r="J5551" s="55" t="s">
        <v>6627</v>
      </c>
      <c r="K5551" s="55" t="s">
        <v>6628</v>
      </c>
      <c r="L5551" s="55" t="s">
        <v>3377</v>
      </c>
      <c r="M5551" s="90">
        <v>41.6</v>
      </c>
      <c r="N5551" s="90">
        <v>115.98</v>
      </c>
      <c r="O5551" s="90">
        <v>1350</v>
      </c>
      <c r="Q5551" s="55" t="s">
        <v>1935</v>
      </c>
      <c r="S5551" s="90" t="s">
        <v>6629</v>
      </c>
      <c r="U5551" s="55" t="s">
        <v>1935</v>
      </c>
      <c r="V5551" s="55" t="s">
        <v>1935</v>
      </c>
      <c r="Z5551" s="55" t="s">
        <v>6605</v>
      </c>
      <c r="AA5551" s="90">
        <v>5</v>
      </c>
      <c r="AD5551" s="90">
        <v>1.35</v>
      </c>
      <c r="AE5551" s="90">
        <f>21.29+53.37+10.47+4.19</f>
        <v>89.32</v>
      </c>
      <c r="AF5551" s="90">
        <v>2.1</v>
      </c>
      <c r="AG5551" s="90">
        <f>100-AE5551-AF5551</f>
        <v>8.5800000000000072</v>
      </c>
      <c r="AH5551" s="55" t="s">
        <v>201</v>
      </c>
      <c r="AM5551" s="55" t="s">
        <v>6630</v>
      </c>
      <c r="AO5551" s="185" t="s">
        <v>7494</v>
      </c>
      <c r="AR5551" s="55" t="s">
        <v>116</v>
      </c>
      <c r="AS5551" s="55" t="s">
        <v>116</v>
      </c>
      <c r="AU5551" s="181" t="s">
        <v>7494</v>
      </c>
      <c r="AV5551" s="185" t="s">
        <v>176</v>
      </c>
      <c r="AX5551" s="185" t="s">
        <v>176</v>
      </c>
      <c r="AZ5551" s="55" t="s">
        <v>6632</v>
      </c>
      <c r="BA5551" s="55" t="s">
        <v>2082</v>
      </c>
      <c r="BB5551" s="55" t="s">
        <v>2081</v>
      </c>
      <c r="BC5551" s="55" t="s">
        <v>2082</v>
      </c>
      <c r="BD5551" s="55" t="s">
        <v>479</v>
      </c>
      <c r="BJ5551" s="55" t="s">
        <v>176</v>
      </c>
      <c r="BK5551" s="55" t="s">
        <v>2082</v>
      </c>
      <c r="BP5551" s="55" t="s">
        <v>1875</v>
      </c>
      <c r="FJ5551" s="65">
        <v>0.14000000000000001</v>
      </c>
      <c r="FK5551" s="65">
        <v>0.184</v>
      </c>
      <c r="FN5551" s="65" t="s">
        <v>6633</v>
      </c>
      <c r="GD5551" s="65">
        <v>8.4</v>
      </c>
      <c r="GE5551" s="65">
        <v>10.53</v>
      </c>
      <c r="GH5551" s="65" t="s">
        <v>164</v>
      </c>
      <c r="GP5551" s="292" t="s">
        <v>7494</v>
      </c>
    </row>
    <row r="5552" spans="1:198" x14ac:dyDescent="0.25">
      <c r="A5552" s="55">
        <v>5551</v>
      </c>
      <c r="B5552" s="12" t="s">
        <v>7067</v>
      </c>
      <c r="C5552" s="155" t="s">
        <v>6663</v>
      </c>
      <c r="D5552" s="55" t="s">
        <v>6668</v>
      </c>
      <c r="E5552" s="90" t="s">
        <v>6664</v>
      </c>
      <c r="G5552" s="55" t="s">
        <v>6665</v>
      </c>
      <c r="H5552" s="55" t="s">
        <v>5564</v>
      </c>
      <c r="I5552" s="55" t="s">
        <v>3181</v>
      </c>
      <c r="J5552" s="55" t="s">
        <v>6666</v>
      </c>
      <c r="K5552" s="55" t="s">
        <v>6667</v>
      </c>
      <c r="L5552" s="55" t="s">
        <v>2737</v>
      </c>
      <c r="U5552" s="55" t="s">
        <v>1805</v>
      </c>
      <c r="V5552" s="55" t="s">
        <v>1805</v>
      </c>
      <c r="AH5552" s="55" t="s">
        <v>769</v>
      </c>
      <c r="AO5552" s="185" t="s">
        <v>7494</v>
      </c>
      <c r="AS5552" s="55" t="s">
        <v>4584</v>
      </c>
      <c r="AU5552" s="181" t="s">
        <v>7494</v>
      </c>
      <c r="AV5552" s="185" t="s">
        <v>176</v>
      </c>
      <c r="AX5552" s="185" t="s">
        <v>176</v>
      </c>
      <c r="BB5552" s="55" t="s">
        <v>2081</v>
      </c>
      <c r="BC5552" s="55" t="s">
        <v>2082</v>
      </c>
      <c r="BD5552" s="55" t="s">
        <v>479</v>
      </c>
      <c r="BK5552" s="55" t="s">
        <v>2082</v>
      </c>
      <c r="BN5552" s="55" t="s">
        <v>1688</v>
      </c>
      <c r="BO5552" s="55" t="s">
        <v>1688</v>
      </c>
      <c r="FJ5552" s="65">
        <v>1</v>
      </c>
      <c r="FK5552" s="65">
        <f>1-0.92</f>
        <v>7.999999999999996E-2</v>
      </c>
      <c r="FN5552" s="65" t="s">
        <v>6670</v>
      </c>
      <c r="GP5552" s="292" t="s">
        <v>7494</v>
      </c>
    </row>
    <row r="5553" spans="1:198" x14ac:dyDescent="0.25">
      <c r="A5553" s="55">
        <v>5552</v>
      </c>
      <c r="B5553" s="12" t="s">
        <v>7067</v>
      </c>
      <c r="C5553" s="155" t="s">
        <v>6663</v>
      </c>
      <c r="D5553" s="55" t="s">
        <v>6669</v>
      </c>
      <c r="E5553" s="90" t="s">
        <v>6664</v>
      </c>
      <c r="G5553" s="55" t="s">
        <v>6665</v>
      </c>
      <c r="H5553" s="55" t="s">
        <v>5564</v>
      </c>
      <c r="I5553" s="55" t="s">
        <v>3181</v>
      </c>
      <c r="J5553" s="55" t="s">
        <v>6666</v>
      </c>
      <c r="K5553" s="55" t="s">
        <v>6667</v>
      </c>
      <c r="L5553" s="55" t="s">
        <v>2737</v>
      </c>
      <c r="U5553" s="55" t="s">
        <v>1805</v>
      </c>
      <c r="V5553" s="55" t="s">
        <v>1805</v>
      </c>
      <c r="AH5553" s="55" t="s">
        <v>201</v>
      </c>
      <c r="AO5553" s="185" t="s">
        <v>7494</v>
      </c>
      <c r="AS5553" s="55" t="s">
        <v>4584</v>
      </c>
      <c r="AU5553" s="181" t="s">
        <v>7494</v>
      </c>
      <c r="AV5553" s="185" t="s">
        <v>176</v>
      </c>
      <c r="AX5553" s="185" t="s">
        <v>176</v>
      </c>
      <c r="BB5553" s="55" t="s">
        <v>2081</v>
      </c>
      <c r="BC5553" s="55" t="s">
        <v>2082</v>
      </c>
      <c r="BD5553" s="55" t="s">
        <v>479</v>
      </c>
      <c r="BK5553" s="55" t="s">
        <v>2082</v>
      </c>
      <c r="BN5553" s="55" t="s">
        <v>1688</v>
      </c>
      <c r="BO5553" s="55" t="s">
        <v>1688</v>
      </c>
      <c r="FJ5553" s="65">
        <v>1</v>
      </c>
      <c r="FK5553" s="65">
        <f>1-0.92</f>
        <v>7.999999999999996E-2</v>
      </c>
      <c r="FN5553" s="65" t="s">
        <v>6670</v>
      </c>
      <c r="GP5553" s="292" t="s">
        <v>7494</v>
      </c>
    </row>
    <row r="5554" spans="1:198" x14ac:dyDescent="0.25">
      <c r="A5554" s="55">
        <v>5553</v>
      </c>
      <c r="B5554" s="12" t="s">
        <v>7067</v>
      </c>
      <c r="C5554" s="155" t="s">
        <v>6671</v>
      </c>
      <c r="D5554" s="55" t="s">
        <v>6677</v>
      </c>
      <c r="E5554" s="90" t="s">
        <v>4387</v>
      </c>
      <c r="G5554" s="55" t="s">
        <v>6672</v>
      </c>
      <c r="H5554" s="55" t="s">
        <v>5864</v>
      </c>
      <c r="I5554" s="55" t="s">
        <v>5490</v>
      </c>
      <c r="J5554" s="55" t="s">
        <v>6673</v>
      </c>
      <c r="K5554" s="55" t="s">
        <v>6674</v>
      </c>
      <c r="L5554" s="55" t="s">
        <v>3377</v>
      </c>
      <c r="M5554" s="90">
        <f>47+21/60</f>
        <v>47.35</v>
      </c>
      <c r="N5554" s="90">
        <f>126+50/60</f>
        <v>126.83333333333333</v>
      </c>
      <c r="Q5554" s="55" t="s">
        <v>1678</v>
      </c>
      <c r="S5554" s="90" t="s">
        <v>6675</v>
      </c>
      <c r="U5554" s="55" t="s">
        <v>1935</v>
      </c>
      <c r="V5554" s="55" t="s">
        <v>1935</v>
      </c>
      <c r="Z5554" s="55" t="s">
        <v>6543</v>
      </c>
      <c r="AA5554" s="90">
        <v>20</v>
      </c>
      <c r="AO5554" s="185" t="s">
        <v>7494</v>
      </c>
      <c r="AU5554" s="181" t="s">
        <v>7494</v>
      </c>
      <c r="AV5554" s="185" t="s">
        <v>176</v>
      </c>
      <c r="AX5554" s="185" t="s">
        <v>176</v>
      </c>
      <c r="BK5554" s="55" t="s">
        <v>2082</v>
      </c>
      <c r="BN5554" s="55" t="s">
        <v>1688</v>
      </c>
      <c r="BO5554" s="55" t="s">
        <v>1688</v>
      </c>
      <c r="FJ5554" s="65">
        <v>3083.1</v>
      </c>
      <c r="FK5554" s="65">
        <v>34.299999999999997</v>
      </c>
      <c r="FN5554" s="65" t="s">
        <v>6691</v>
      </c>
      <c r="FO5554" s="65">
        <v>54.2</v>
      </c>
      <c r="FP5554" s="65">
        <v>1.23</v>
      </c>
      <c r="FS5554" s="65" t="s">
        <v>4534</v>
      </c>
      <c r="GP5554" s="292" t="s">
        <v>7494</v>
      </c>
    </row>
    <row r="5555" spans="1:198" x14ac:dyDescent="0.25">
      <c r="A5555" s="55">
        <v>5554</v>
      </c>
      <c r="B5555" s="12" t="s">
        <v>7067</v>
      </c>
      <c r="C5555" s="155" t="s">
        <v>6671</v>
      </c>
      <c r="D5555" s="55" t="s">
        <v>6678</v>
      </c>
      <c r="E5555" s="90" t="s">
        <v>4387</v>
      </c>
      <c r="G5555" s="55" t="s">
        <v>6672</v>
      </c>
      <c r="H5555" s="55" t="s">
        <v>5864</v>
      </c>
      <c r="I5555" s="55" t="s">
        <v>5490</v>
      </c>
      <c r="J5555" s="55" t="s">
        <v>6673</v>
      </c>
      <c r="K5555" s="55" t="s">
        <v>6674</v>
      </c>
      <c r="L5555" s="55" t="s">
        <v>3377</v>
      </c>
      <c r="M5555" s="90">
        <f>47+21/60</f>
        <v>47.35</v>
      </c>
      <c r="N5555" s="90">
        <f>126+50/60</f>
        <v>126.83333333333333</v>
      </c>
      <c r="Q5555" s="55" t="s">
        <v>1678</v>
      </c>
      <c r="S5555" s="90" t="s">
        <v>6675</v>
      </c>
      <c r="U5555" s="55" t="s">
        <v>1935</v>
      </c>
      <c r="V5555" s="55" t="s">
        <v>1935</v>
      </c>
      <c r="Z5555" s="55" t="s">
        <v>6543</v>
      </c>
      <c r="AA5555" s="90">
        <v>20</v>
      </c>
      <c r="AO5555" s="185" t="s">
        <v>7494</v>
      </c>
      <c r="AU5555" s="181" t="s">
        <v>7494</v>
      </c>
      <c r="AV5555" s="185" t="s">
        <v>176</v>
      </c>
      <c r="AX5555" s="185" t="s">
        <v>176</v>
      </c>
      <c r="BK5555" s="55" t="s">
        <v>4499</v>
      </c>
      <c r="BN5555" s="55" t="s">
        <v>1688</v>
      </c>
      <c r="BO5555" s="55" t="s">
        <v>1688</v>
      </c>
      <c r="FJ5555" s="65">
        <v>3083.1</v>
      </c>
      <c r="FK5555" s="65">
        <v>5309.6</v>
      </c>
      <c r="FN5555" s="65" t="s">
        <v>6691</v>
      </c>
      <c r="FO5555" s="65">
        <v>54.27</v>
      </c>
      <c r="FP5555" s="65">
        <v>54.81</v>
      </c>
      <c r="FS5555" s="65" t="s">
        <v>4534</v>
      </c>
      <c r="GP5555" s="292" t="s">
        <v>7494</v>
      </c>
    </row>
    <row r="5556" spans="1:198" x14ac:dyDescent="0.25">
      <c r="A5556" s="55">
        <v>5555</v>
      </c>
      <c r="B5556" s="12" t="s">
        <v>7067</v>
      </c>
      <c r="C5556" s="155" t="s">
        <v>6671</v>
      </c>
      <c r="D5556" s="55" t="s">
        <v>6679</v>
      </c>
      <c r="E5556" s="90" t="s">
        <v>4387</v>
      </c>
      <c r="G5556" s="55" t="s">
        <v>6672</v>
      </c>
      <c r="H5556" s="55" t="s">
        <v>5864</v>
      </c>
      <c r="I5556" s="55" t="s">
        <v>5490</v>
      </c>
      <c r="J5556" s="55" t="s">
        <v>6673</v>
      </c>
      <c r="K5556" s="55" t="s">
        <v>6674</v>
      </c>
      <c r="L5556" s="55" t="s">
        <v>3377</v>
      </c>
      <c r="M5556" s="90">
        <f>47+21/60</f>
        <v>47.35</v>
      </c>
      <c r="N5556" s="90">
        <f>126+50/60</f>
        <v>126.83333333333333</v>
      </c>
      <c r="Q5556" s="55" t="s">
        <v>1678</v>
      </c>
      <c r="S5556" s="90" t="s">
        <v>6675</v>
      </c>
      <c r="U5556" s="55" t="s">
        <v>1935</v>
      </c>
      <c r="V5556" s="55" t="s">
        <v>1935</v>
      </c>
      <c r="Z5556" s="55" t="s">
        <v>6543</v>
      </c>
      <c r="AA5556" s="90">
        <v>20</v>
      </c>
      <c r="AO5556" s="185" t="s">
        <v>7494</v>
      </c>
      <c r="AU5556" s="181" t="s">
        <v>7494</v>
      </c>
      <c r="AV5556" s="185" t="s">
        <v>176</v>
      </c>
      <c r="AX5556" s="185" t="s">
        <v>176</v>
      </c>
      <c r="BK5556" s="55" t="s">
        <v>6502</v>
      </c>
      <c r="BN5556" s="55" t="s">
        <v>1688</v>
      </c>
      <c r="BO5556" s="55" t="s">
        <v>1688</v>
      </c>
      <c r="FJ5556" s="65">
        <v>3083.1</v>
      </c>
      <c r="FK5556" s="65">
        <v>23.2</v>
      </c>
      <c r="FN5556" s="65" t="s">
        <v>6691</v>
      </c>
      <c r="FO5556" s="65">
        <v>54.27</v>
      </c>
      <c r="FP5556" s="65">
        <v>1.73</v>
      </c>
      <c r="FS5556" s="65" t="s">
        <v>4534</v>
      </c>
      <c r="GP5556" s="292" t="s">
        <v>7494</v>
      </c>
    </row>
    <row r="5557" spans="1:198" x14ac:dyDescent="0.25">
      <c r="A5557" s="55">
        <v>5556</v>
      </c>
      <c r="B5557" s="12" t="s">
        <v>7067</v>
      </c>
      <c r="C5557" s="155" t="s">
        <v>6671</v>
      </c>
      <c r="D5557" s="55" t="s">
        <v>6682</v>
      </c>
      <c r="E5557" s="90" t="s">
        <v>4387</v>
      </c>
      <c r="G5557" s="55" t="s">
        <v>6672</v>
      </c>
      <c r="H5557" s="55" t="s">
        <v>5864</v>
      </c>
      <c r="I5557" s="55" t="s">
        <v>5490</v>
      </c>
      <c r="J5557" s="55" t="s">
        <v>6673</v>
      </c>
      <c r="K5557" s="55" t="s">
        <v>6674</v>
      </c>
      <c r="L5557" s="55" t="s">
        <v>3377</v>
      </c>
      <c r="M5557" s="90">
        <f>47+21/60</f>
        <v>47.35</v>
      </c>
      <c r="N5557" s="90">
        <f>126+50/60</f>
        <v>126.83333333333333</v>
      </c>
      <c r="Q5557" s="55" t="s">
        <v>1678</v>
      </c>
      <c r="S5557" s="90" t="s">
        <v>6675</v>
      </c>
      <c r="U5557" s="55" t="s">
        <v>1935</v>
      </c>
      <c r="V5557" s="55" t="s">
        <v>1935</v>
      </c>
      <c r="Z5557" s="55" t="s">
        <v>6543</v>
      </c>
      <c r="AA5557" s="90">
        <v>20</v>
      </c>
      <c r="AO5557" s="185" t="s">
        <v>7494</v>
      </c>
      <c r="AU5557" s="181" t="s">
        <v>7494</v>
      </c>
      <c r="AV5557" s="185" t="s">
        <v>176</v>
      </c>
      <c r="AX5557" s="185" t="s">
        <v>176</v>
      </c>
      <c r="BK5557" s="55" t="s">
        <v>2082</v>
      </c>
      <c r="BN5557" s="55" t="s">
        <v>1688</v>
      </c>
      <c r="BO5557" s="55" t="s">
        <v>1688</v>
      </c>
      <c r="GD5557" s="65">
        <v>4.4000000000000004</v>
      </c>
      <c r="GE5557" s="65">
        <v>6.2</v>
      </c>
      <c r="GP5557" s="292" t="s">
        <v>7494</v>
      </c>
    </row>
    <row r="5558" spans="1:198" x14ac:dyDescent="0.25">
      <c r="A5558" s="55">
        <v>5557</v>
      </c>
      <c r="B5558" s="12" t="s">
        <v>7067</v>
      </c>
      <c r="C5558" s="155" t="s">
        <v>6671</v>
      </c>
      <c r="D5558" s="55" t="s">
        <v>6682</v>
      </c>
      <c r="E5558" s="90" t="s">
        <v>4387</v>
      </c>
      <c r="G5558" s="55" t="s">
        <v>6672</v>
      </c>
      <c r="H5558" s="55" t="s">
        <v>5864</v>
      </c>
      <c r="I5558" s="55" t="s">
        <v>5490</v>
      </c>
      <c r="J5558" s="55" t="s">
        <v>6673</v>
      </c>
      <c r="K5558" s="55" t="s">
        <v>6674</v>
      </c>
      <c r="L5558" s="55" t="s">
        <v>3377</v>
      </c>
      <c r="M5558" s="90">
        <f>47+21/60</f>
        <v>47.35</v>
      </c>
      <c r="N5558" s="90">
        <f>126+50/60</f>
        <v>126.83333333333333</v>
      </c>
      <c r="Q5558" s="55" t="s">
        <v>1678</v>
      </c>
      <c r="S5558" s="90" t="s">
        <v>6675</v>
      </c>
      <c r="U5558" s="55" t="s">
        <v>1935</v>
      </c>
      <c r="V5558" s="55" t="s">
        <v>1935</v>
      </c>
      <c r="Z5558" s="55" t="s">
        <v>6543</v>
      </c>
      <c r="AA5558" s="90">
        <v>20</v>
      </c>
      <c r="AO5558" s="185" t="s">
        <v>7494</v>
      </c>
      <c r="AU5558" s="181" t="s">
        <v>7494</v>
      </c>
      <c r="AV5558" s="185" t="s">
        <v>176</v>
      </c>
      <c r="AX5558" s="185" t="s">
        <v>176</v>
      </c>
      <c r="BK5558" s="55" t="s">
        <v>2082</v>
      </c>
      <c r="BN5558" s="55" t="s">
        <v>1688</v>
      </c>
      <c r="BO5558" s="55" t="s">
        <v>1688</v>
      </c>
      <c r="GD5558" s="65">
        <v>4.0999999999999996</v>
      </c>
      <c r="GE5558" s="65">
        <v>5.5</v>
      </c>
      <c r="GP5558" s="292" t="s">
        <v>7494</v>
      </c>
    </row>
    <row r="5559" spans="1:198" x14ac:dyDescent="0.25">
      <c r="A5559" s="55">
        <v>5558</v>
      </c>
      <c r="B5559" s="12" t="s">
        <v>7067</v>
      </c>
      <c r="C5559" s="155" t="s">
        <v>6671</v>
      </c>
      <c r="D5559" s="55" t="s">
        <v>6682</v>
      </c>
      <c r="E5559" s="90" t="s">
        <v>4387</v>
      </c>
      <c r="G5559" s="55" t="s">
        <v>6672</v>
      </c>
      <c r="H5559" s="55" t="s">
        <v>5864</v>
      </c>
      <c r="I5559" s="55" t="s">
        <v>5490</v>
      </c>
      <c r="J5559" s="55" t="s">
        <v>6673</v>
      </c>
      <c r="K5559" s="55" t="s">
        <v>6674</v>
      </c>
      <c r="L5559" s="55" t="s">
        <v>3377</v>
      </c>
      <c r="M5559" s="90">
        <f>47+21/60</f>
        <v>47.35</v>
      </c>
      <c r="N5559" s="90">
        <f>126+50/60</f>
        <v>126.83333333333333</v>
      </c>
      <c r="Q5559" s="55" t="s">
        <v>1678</v>
      </c>
      <c r="S5559" s="90" t="s">
        <v>6675</v>
      </c>
      <c r="U5559" s="55" t="s">
        <v>1935</v>
      </c>
      <c r="V5559" s="55" t="s">
        <v>1935</v>
      </c>
      <c r="Z5559" s="55" t="s">
        <v>6543</v>
      </c>
      <c r="AA5559" s="90">
        <v>20</v>
      </c>
      <c r="AO5559" s="185" t="s">
        <v>7494</v>
      </c>
      <c r="AU5559" s="181" t="s">
        <v>7494</v>
      </c>
      <c r="AV5559" s="185" t="s">
        <v>176</v>
      </c>
      <c r="AX5559" s="185" t="s">
        <v>176</v>
      </c>
      <c r="BK5559" s="55" t="s">
        <v>2082</v>
      </c>
      <c r="BN5559" s="55" t="s">
        <v>1688</v>
      </c>
      <c r="BO5559" s="55" t="s">
        <v>1688</v>
      </c>
      <c r="GD5559" s="65">
        <v>3.9</v>
      </c>
      <c r="GE5559" s="65">
        <v>5</v>
      </c>
      <c r="GP5559" s="292" t="s">
        <v>7494</v>
      </c>
    </row>
    <row r="5560" spans="1:198" x14ac:dyDescent="0.25">
      <c r="A5560" s="55">
        <v>5559</v>
      </c>
      <c r="B5560" s="12" t="s">
        <v>7067</v>
      </c>
      <c r="C5560" s="155" t="s">
        <v>6671</v>
      </c>
      <c r="D5560" s="55" t="s">
        <v>6682</v>
      </c>
      <c r="E5560" s="90" t="s">
        <v>4387</v>
      </c>
      <c r="G5560" s="55" t="s">
        <v>6672</v>
      </c>
      <c r="H5560" s="55" t="s">
        <v>5864</v>
      </c>
      <c r="I5560" s="55" t="s">
        <v>5490</v>
      </c>
      <c r="J5560" s="55" t="s">
        <v>6673</v>
      </c>
      <c r="K5560" s="55" t="s">
        <v>6674</v>
      </c>
      <c r="L5560" s="55" t="s">
        <v>3377</v>
      </c>
      <c r="M5560" s="90">
        <f>47+21/60</f>
        <v>47.35</v>
      </c>
      <c r="N5560" s="90">
        <f>126+50/60</f>
        <v>126.83333333333333</v>
      </c>
      <c r="Q5560" s="55" t="s">
        <v>1678</v>
      </c>
      <c r="S5560" s="90" t="s">
        <v>6675</v>
      </c>
      <c r="U5560" s="55" t="s">
        <v>1935</v>
      </c>
      <c r="V5560" s="55" t="s">
        <v>1935</v>
      </c>
      <c r="Z5560" s="55" t="s">
        <v>6543</v>
      </c>
      <c r="AA5560" s="90">
        <v>20</v>
      </c>
      <c r="AO5560" s="185" t="s">
        <v>7494</v>
      </c>
      <c r="AU5560" s="181" t="s">
        <v>7494</v>
      </c>
      <c r="AV5560" s="185" t="s">
        <v>176</v>
      </c>
      <c r="AX5560" s="185" t="s">
        <v>176</v>
      </c>
      <c r="BK5560" s="55" t="s">
        <v>2082</v>
      </c>
      <c r="BN5560" s="55" t="s">
        <v>1688</v>
      </c>
      <c r="BO5560" s="55" t="s">
        <v>1688</v>
      </c>
      <c r="GD5560" s="65">
        <v>3.9</v>
      </c>
      <c r="GE5560" s="65">
        <v>5.5</v>
      </c>
      <c r="GP5560" s="292" t="s">
        <v>7494</v>
      </c>
    </row>
    <row r="5561" spans="1:198" x14ac:dyDescent="0.25">
      <c r="A5561" s="55">
        <v>5560</v>
      </c>
      <c r="B5561" s="12" t="s">
        <v>7067</v>
      </c>
      <c r="C5561" s="155" t="s">
        <v>6671</v>
      </c>
      <c r="D5561" s="55" t="s">
        <v>6683</v>
      </c>
      <c r="E5561" s="90" t="s">
        <v>4387</v>
      </c>
      <c r="G5561" s="55" t="s">
        <v>6672</v>
      </c>
      <c r="H5561" s="55" t="s">
        <v>5864</v>
      </c>
      <c r="I5561" s="55" t="s">
        <v>5490</v>
      </c>
      <c r="J5561" s="55" t="s">
        <v>6673</v>
      </c>
      <c r="K5561" s="55" t="s">
        <v>6674</v>
      </c>
      <c r="L5561" s="55" t="s">
        <v>3377</v>
      </c>
      <c r="M5561" s="90">
        <f>47+21/60</f>
        <v>47.35</v>
      </c>
      <c r="N5561" s="90">
        <f>126+50/60</f>
        <v>126.83333333333333</v>
      </c>
      <c r="Q5561" s="55" t="s">
        <v>1678</v>
      </c>
      <c r="S5561" s="90" t="s">
        <v>6675</v>
      </c>
      <c r="U5561" s="55" t="s">
        <v>1935</v>
      </c>
      <c r="V5561" s="55" t="s">
        <v>1935</v>
      </c>
      <c r="Z5561" s="55" t="s">
        <v>6680</v>
      </c>
      <c r="AA5561" s="90">
        <v>20</v>
      </c>
      <c r="AO5561" s="185" t="s">
        <v>7494</v>
      </c>
      <c r="AU5561" s="181" t="s">
        <v>7494</v>
      </c>
      <c r="AV5561" s="185" t="s">
        <v>176</v>
      </c>
      <c r="AX5561" s="185" t="s">
        <v>176</v>
      </c>
      <c r="BK5561" s="55" t="s">
        <v>2082</v>
      </c>
      <c r="BN5561" s="55" t="s">
        <v>1688</v>
      </c>
      <c r="BO5561" s="55" t="s">
        <v>1688</v>
      </c>
      <c r="GD5561" s="65">
        <v>14.3</v>
      </c>
      <c r="GE5561" s="65">
        <v>16.399999999999999</v>
      </c>
      <c r="GP5561" s="292" t="s">
        <v>7494</v>
      </c>
    </row>
    <row r="5562" spans="1:198" x14ac:dyDescent="0.25">
      <c r="A5562" s="55">
        <v>5561</v>
      </c>
      <c r="B5562" s="12" t="s">
        <v>7067</v>
      </c>
      <c r="C5562" s="155" t="s">
        <v>6671</v>
      </c>
      <c r="D5562" s="55" t="s">
        <v>6683</v>
      </c>
      <c r="E5562" s="90" t="s">
        <v>4387</v>
      </c>
      <c r="G5562" s="55" t="s">
        <v>6672</v>
      </c>
      <c r="H5562" s="55" t="s">
        <v>5864</v>
      </c>
      <c r="I5562" s="55" t="s">
        <v>5490</v>
      </c>
      <c r="J5562" s="55" t="s">
        <v>6673</v>
      </c>
      <c r="K5562" s="55" t="s">
        <v>6674</v>
      </c>
      <c r="L5562" s="55" t="s">
        <v>3377</v>
      </c>
      <c r="M5562" s="90">
        <f>47+21/60</f>
        <v>47.35</v>
      </c>
      <c r="N5562" s="90">
        <f>126+50/60</f>
        <v>126.83333333333333</v>
      </c>
      <c r="Q5562" s="55" t="s">
        <v>1678</v>
      </c>
      <c r="S5562" s="90" t="s">
        <v>6675</v>
      </c>
      <c r="U5562" s="55" t="s">
        <v>1935</v>
      </c>
      <c r="V5562" s="55" t="s">
        <v>1935</v>
      </c>
      <c r="Z5562" s="55" t="s">
        <v>6680</v>
      </c>
      <c r="AA5562" s="90">
        <v>20</v>
      </c>
      <c r="AO5562" s="185" t="s">
        <v>7494</v>
      </c>
      <c r="AU5562" s="181" t="s">
        <v>7494</v>
      </c>
      <c r="AV5562" s="185" t="s">
        <v>176</v>
      </c>
      <c r="AX5562" s="185" t="s">
        <v>176</v>
      </c>
      <c r="BK5562" s="55" t="s">
        <v>2082</v>
      </c>
      <c r="BN5562" s="55" t="s">
        <v>1688</v>
      </c>
      <c r="BO5562" s="55" t="s">
        <v>1688</v>
      </c>
      <c r="GD5562" s="65">
        <v>13.4</v>
      </c>
      <c r="GE5562" s="65">
        <v>15.1</v>
      </c>
      <c r="GP5562" s="292" t="s">
        <v>7494</v>
      </c>
    </row>
    <row r="5563" spans="1:198" x14ac:dyDescent="0.25">
      <c r="A5563" s="55">
        <v>5562</v>
      </c>
      <c r="B5563" s="12" t="s">
        <v>7067</v>
      </c>
      <c r="C5563" s="155" t="s">
        <v>6671</v>
      </c>
      <c r="D5563" s="55" t="s">
        <v>6683</v>
      </c>
      <c r="E5563" s="90" t="s">
        <v>4387</v>
      </c>
      <c r="G5563" s="55" t="s">
        <v>6672</v>
      </c>
      <c r="H5563" s="55" t="s">
        <v>5864</v>
      </c>
      <c r="I5563" s="55" t="s">
        <v>5490</v>
      </c>
      <c r="J5563" s="55" t="s">
        <v>6673</v>
      </c>
      <c r="K5563" s="55" t="s">
        <v>6674</v>
      </c>
      <c r="L5563" s="55" t="s">
        <v>3377</v>
      </c>
      <c r="M5563" s="90">
        <f>47+21/60</f>
        <v>47.35</v>
      </c>
      <c r="N5563" s="90">
        <f>126+50/60</f>
        <v>126.83333333333333</v>
      </c>
      <c r="Q5563" s="55" t="s">
        <v>1678</v>
      </c>
      <c r="S5563" s="90" t="s">
        <v>6675</v>
      </c>
      <c r="U5563" s="55" t="s">
        <v>1935</v>
      </c>
      <c r="V5563" s="55" t="s">
        <v>1935</v>
      </c>
      <c r="Z5563" s="55" t="s">
        <v>6680</v>
      </c>
      <c r="AA5563" s="90">
        <v>20</v>
      </c>
      <c r="AO5563" s="185" t="s">
        <v>7494</v>
      </c>
      <c r="AU5563" s="181" t="s">
        <v>7494</v>
      </c>
      <c r="AV5563" s="185" t="s">
        <v>176</v>
      </c>
      <c r="AX5563" s="185" t="s">
        <v>176</v>
      </c>
      <c r="BK5563" s="55" t="s">
        <v>2082</v>
      </c>
      <c r="BN5563" s="55" t="s">
        <v>1688</v>
      </c>
      <c r="BO5563" s="55" t="s">
        <v>1688</v>
      </c>
      <c r="GD5563" s="65">
        <v>13.2</v>
      </c>
      <c r="GE5563" s="65">
        <v>14.6</v>
      </c>
      <c r="GP5563" s="292" t="s">
        <v>7494</v>
      </c>
    </row>
    <row r="5564" spans="1:198" x14ac:dyDescent="0.25">
      <c r="A5564" s="55">
        <v>5563</v>
      </c>
      <c r="B5564" s="12" t="s">
        <v>7067</v>
      </c>
      <c r="C5564" s="155" t="s">
        <v>6671</v>
      </c>
      <c r="D5564" s="55" t="s">
        <v>6683</v>
      </c>
      <c r="E5564" s="90" t="s">
        <v>4387</v>
      </c>
      <c r="G5564" s="55" t="s">
        <v>6672</v>
      </c>
      <c r="H5564" s="55" t="s">
        <v>5864</v>
      </c>
      <c r="I5564" s="55" t="s">
        <v>5490</v>
      </c>
      <c r="J5564" s="55" t="s">
        <v>6673</v>
      </c>
      <c r="K5564" s="55" t="s">
        <v>6674</v>
      </c>
      <c r="L5564" s="55" t="s">
        <v>3377</v>
      </c>
      <c r="M5564" s="90">
        <f>47+21/60</f>
        <v>47.35</v>
      </c>
      <c r="N5564" s="90">
        <f>126+50/60</f>
        <v>126.83333333333333</v>
      </c>
      <c r="Q5564" s="55" t="s">
        <v>1678</v>
      </c>
      <c r="S5564" s="90" t="s">
        <v>6675</v>
      </c>
      <c r="U5564" s="55" t="s">
        <v>1935</v>
      </c>
      <c r="V5564" s="55" t="s">
        <v>1935</v>
      </c>
      <c r="Z5564" s="55" t="s">
        <v>6680</v>
      </c>
      <c r="AA5564" s="90">
        <v>20</v>
      </c>
      <c r="AO5564" s="185" t="s">
        <v>7494</v>
      </c>
      <c r="AU5564" s="181" t="s">
        <v>7494</v>
      </c>
      <c r="AV5564" s="185" t="s">
        <v>176</v>
      </c>
      <c r="AX5564" s="185" t="s">
        <v>176</v>
      </c>
      <c r="BK5564" s="55" t="s">
        <v>2082</v>
      </c>
      <c r="BN5564" s="55" t="s">
        <v>1688</v>
      </c>
      <c r="BO5564" s="55" t="s">
        <v>1688</v>
      </c>
      <c r="GD5564" s="65">
        <v>13.2</v>
      </c>
      <c r="GE5564" s="65">
        <v>15.9</v>
      </c>
      <c r="GP5564" s="292" t="s">
        <v>7494</v>
      </c>
    </row>
    <row r="5565" spans="1:198" x14ac:dyDescent="0.25">
      <c r="A5565" s="55">
        <v>5564</v>
      </c>
      <c r="B5565" s="12" t="s">
        <v>7067</v>
      </c>
      <c r="C5565" s="155" t="s">
        <v>6671</v>
      </c>
      <c r="D5565" s="55" t="s">
        <v>6684</v>
      </c>
      <c r="E5565" s="90" t="s">
        <v>4387</v>
      </c>
      <c r="G5565" s="55" t="s">
        <v>6672</v>
      </c>
      <c r="H5565" s="55" t="s">
        <v>5864</v>
      </c>
      <c r="I5565" s="55" t="s">
        <v>5490</v>
      </c>
      <c r="J5565" s="55" t="s">
        <v>6673</v>
      </c>
      <c r="K5565" s="55" t="s">
        <v>6674</v>
      </c>
      <c r="L5565" s="55" t="s">
        <v>3377</v>
      </c>
      <c r="M5565" s="90">
        <f>47+21/60</f>
        <v>47.35</v>
      </c>
      <c r="N5565" s="90">
        <f>126+50/60</f>
        <v>126.83333333333333</v>
      </c>
      <c r="Q5565" s="55" t="s">
        <v>1678</v>
      </c>
      <c r="S5565" s="90" t="s">
        <v>6675</v>
      </c>
      <c r="U5565" s="55" t="s">
        <v>1935</v>
      </c>
      <c r="V5565" s="55" t="s">
        <v>1935</v>
      </c>
      <c r="Z5565" s="55" t="s">
        <v>6681</v>
      </c>
      <c r="AA5565" s="90">
        <v>20</v>
      </c>
      <c r="AO5565" s="185" t="s">
        <v>7494</v>
      </c>
      <c r="AU5565" s="181" t="s">
        <v>7494</v>
      </c>
      <c r="AV5565" s="185" t="s">
        <v>176</v>
      </c>
      <c r="AX5565" s="185" t="s">
        <v>176</v>
      </c>
      <c r="BK5565" s="55" t="s">
        <v>2082</v>
      </c>
      <c r="BN5565" s="55" t="s">
        <v>1688</v>
      </c>
      <c r="BO5565" s="55" t="s">
        <v>1688</v>
      </c>
      <c r="GD5565" s="65">
        <v>56</v>
      </c>
      <c r="GE5565" s="65">
        <v>57.8</v>
      </c>
      <c r="GP5565" s="292" t="s">
        <v>7494</v>
      </c>
    </row>
    <row r="5566" spans="1:198" x14ac:dyDescent="0.25">
      <c r="A5566" s="55">
        <v>5565</v>
      </c>
      <c r="B5566" s="12" t="s">
        <v>7067</v>
      </c>
      <c r="C5566" s="155" t="s">
        <v>6671</v>
      </c>
      <c r="D5566" s="55" t="s">
        <v>6684</v>
      </c>
      <c r="E5566" s="90" t="s">
        <v>4387</v>
      </c>
      <c r="G5566" s="55" t="s">
        <v>6672</v>
      </c>
      <c r="H5566" s="55" t="s">
        <v>5864</v>
      </c>
      <c r="I5566" s="55" t="s">
        <v>5490</v>
      </c>
      <c r="J5566" s="55" t="s">
        <v>6673</v>
      </c>
      <c r="K5566" s="55" t="s">
        <v>6674</v>
      </c>
      <c r="L5566" s="55" t="s">
        <v>3377</v>
      </c>
      <c r="M5566" s="90">
        <f>47+21/60</f>
        <v>47.35</v>
      </c>
      <c r="N5566" s="90">
        <f>126+50/60</f>
        <v>126.83333333333333</v>
      </c>
      <c r="Q5566" s="55" t="s">
        <v>1678</v>
      </c>
      <c r="S5566" s="90" t="s">
        <v>6675</v>
      </c>
      <c r="U5566" s="55" t="s">
        <v>1935</v>
      </c>
      <c r="V5566" s="55" t="s">
        <v>1935</v>
      </c>
      <c r="Z5566" s="55" t="s">
        <v>6681</v>
      </c>
      <c r="AA5566" s="90">
        <v>20</v>
      </c>
      <c r="AO5566" s="185" t="s">
        <v>7494</v>
      </c>
      <c r="AU5566" s="181" t="s">
        <v>7494</v>
      </c>
      <c r="AV5566" s="185" t="s">
        <v>176</v>
      </c>
      <c r="AX5566" s="185" t="s">
        <v>176</v>
      </c>
      <c r="BK5566" s="55" t="s">
        <v>2082</v>
      </c>
      <c r="BN5566" s="55" t="s">
        <v>1688</v>
      </c>
      <c r="BO5566" s="55" t="s">
        <v>1688</v>
      </c>
      <c r="GD5566" s="65">
        <v>54.5</v>
      </c>
      <c r="GE5566" s="65">
        <v>54</v>
      </c>
      <c r="GP5566" s="292" t="s">
        <v>7494</v>
      </c>
    </row>
    <row r="5567" spans="1:198" x14ac:dyDescent="0.25">
      <c r="A5567" s="55">
        <v>5566</v>
      </c>
      <c r="B5567" s="12" t="s">
        <v>7067</v>
      </c>
      <c r="C5567" s="155" t="s">
        <v>6671</v>
      </c>
      <c r="D5567" s="55" t="s">
        <v>6684</v>
      </c>
      <c r="E5567" s="90" t="s">
        <v>4387</v>
      </c>
      <c r="G5567" s="55" t="s">
        <v>6672</v>
      </c>
      <c r="H5567" s="55" t="s">
        <v>5864</v>
      </c>
      <c r="I5567" s="55" t="s">
        <v>5490</v>
      </c>
      <c r="J5567" s="55" t="s">
        <v>6673</v>
      </c>
      <c r="K5567" s="55" t="s">
        <v>6674</v>
      </c>
      <c r="L5567" s="55" t="s">
        <v>3377</v>
      </c>
      <c r="M5567" s="90">
        <f>47+21/60</f>
        <v>47.35</v>
      </c>
      <c r="N5567" s="90">
        <f>126+50/60</f>
        <v>126.83333333333333</v>
      </c>
      <c r="Q5567" s="55" t="s">
        <v>1678</v>
      </c>
      <c r="S5567" s="90" t="s">
        <v>6675</v>
      </c>
      <c r="U5567" s="55" t="s">
        <v>1935</v>
      </c>
      <c r="V5567" s="55" t="s">
        <v>1935</v>
      </c>
      <c r="Z5567" s="55" t="s">
        <v>6681</v>
      </c>
      <c r="AA5567" s="90">
        <v>20</v>
      </c>
      <c r="AO5567" s="185" t="s">
        <v>7494</v>
      </c>
      <c r="AU5567" s="181" t="s">
        <v>7494</v>
      </c>
      <c r="AV5567" s="185" t="s">
        <v>176</v>
      </c>
      <c r="AX5567" s="185" t="s">
        <v>176</v>
      </c>
      <c r="BK5567" s="55" t="s">
        <v>2082</v>
      </c>
      <c r="BN5567" s="55" t="s">
        <v>1688</v>
      </c>
      <c r="BO5567" s="55" t="s">
        <v>1688</v>
      </c>
      <c r="GD5567" s="65">
        <v>54.6</v>
      </c>
      <c r="GE5567" s="65">
        <v>53.5</v>
      </c>
      <c r="GP5567" s="292" t="s">
        <v>7494</v>
      </c>
    </row>
    <row r="5568" spans="1:198" x14ac:dyDescent="0.25">
      <c r="A5568" s="55">
        <v>5567</v>
      </c>
      <c r="B5568" s="12" t="s">
        <v>7067</v>
      </c>
      <c r="C5568" s="155" t="s">
        <v>6671</v>
      </c>
      <c r="D5568" s="55" t="s">
        <v>6684</v>
      </c>
      <c r="E5568" s="90" t="s">
        <v>4387</v>
      </c>
      <c r="G5568" s="55" t="s">
        <v>6672</v>
      </c>
      <c r="H5568" s="55" t="s">
        <v>5864</v>
      </c>
      <c r="I5568" s="55" t="s">
        <v>5490</v>
      </c>
      <c r="J5568" s="55" t="s">
        <v>6673</v>
      </c>
      <c r="K5568" s="55" t="s">
        <v>6674</v>
      </c>
      <c r="L5568" s="55" t="s">
        <v>3377</v>
      </c>
      <c r="M5568" s="90">
        <f>47+21/60</f>
        <v>47.35</v>
      </c>
      <c r="N5568" s="90">
        <f>126+50/60</f>
        <v>126.83333333333333</v>
      </c>
      <c r="Q5568" s="55" t="s">
        <v>1678</v>
      </c>
      <c r="S5568" s="90" t="s">
        <v>6675</v>
      </c>
      <c r="U5568" s="55" t="s">
        <v>1935</v>
      </c>
      <c r="V5568" s="55" t="s">
        <v>1935</v>
      </c>
      <c r="Z5568" s="55" t="s">
        <v>6681</v>
      </c>
      <c r="AA5568" s="90">
        <v>20</v>
      </c>
      <c r="AO5568" s="185" t="s">
        <v>7494</v>
      </c>
      <c r="AU5568" s="181" t="s">
        <v>7494</v>
      </c>
      <c r="AV5568" s="185" t="s">
        <v>176</v>
      </c>
      <c r="AX5568" s="185" t="s">
        <v>176</v>
      </c>
      <c r="BK5568" s="55" t="s">
        <v>2082</v>
      </c>
      <c r="BN5568" s="55" t="s">
        <v>1688</v>
      </c>
      <c r="BO5568" s="55" t="s">
        <v>1688</v>
      </c>
      <c r="GD5568" s="65">
        <v>53.8</v>
      </c>
      <c r="GE5568" s="65">
        <v>53.8</v>
      </c>
      <c r="GP5568" s="292" t="s">
        <v>7494</v>
      </c>
    </row>
    <row r="5569" spans="1:198" x14ac:dyDescent="0.25">
      <c r="A5569" s="55">
        <v>5568</v>
      </c>
      <c r="B5569" s="12" t="s">
        <v>7067</v>
      </c>
      <c r="C5569" s="155" t="s">
        <v>6671</v>
      </c>
      <c r="D5569" s="55" t="s">
        <v>6685</v>
      </c>
      <c r="E5569" s="90" t="s">
        <v>4387</v>
      </c>
      <c r="G5569" s="55" t="s">
        <v>6672</v>
      </c>
      <c r="H5569" s="55" t="s">
        <v>5864</v>
      </c>
      <c r="I5569" s="55" t="s">
        <v>5490</v>
      </c>
      <c r="J5569" s="55" t="s">
        <v>6673</v>
      </c>
      <c r="K5569" s="55" t="s">
        <v>6674</v>
      </c>
      <c r="L5569" s="55" t="s">
        <v>3377</v>
      </c>
      <c r="M5569" s="90">
        <f>47+21/60</f>
        <v>47.35</v>
      </c>
      <c r="N5569" s="90">
        <f>126+50/60</f>
        <v>126.83333333333333</v>
      </c>
      <c r="Q5569" s="55" t="s">
        <v>1678</v>
      </c>
      <c r="S5569" s="90" t="s">
        <v>6675</v>
      </c>
      <c r="U5569" s="55" t="s">
        <v>1935</v>
      </c>
      <c r="V5569" s="55" t="s">
        <v>1935</v>
      </c>
      <c r="Z5569" s="55" t="s">
        <v>6543</v>
      </c>
      <c r="AA5569" s="90">
        <v>20</v>
      </c>
      <c r="AO5569" s="185" t="s">
        <v>7494</v>
      </c>
      <c r="AU5569" s="181" t="s">
        <v>7494</v>
      </c>
      <c r="AV5569" s="185" t="s">
        <v>176</v>
      </c>
      <c r="AX5569" s="185" t="s">
        <v>176</v>
      </c>
      <c r="BK5569" s="55" t="s">
        <v>2082</v>
      </c>
      <c r="BN5569" s="55" t="s">
        <v>1688</v>
      </c>
      <c r="BO5569" s="55" t="s">
        <v>1688</v>
      </c>
      <c r="GD5569" s="65">
        <v>4.4000000000000004</v>
      </c>
      <c r="GE5569" s="65">
        <v>5.8</v>
      </c>
      <c r="GP5569" s="292" t="s">
        <v>7494</v>
      </c>
    </row>
    <row r="5570" spans="1:198" x14ac:dyDescent="0.25">
      <c r="A5570" s="55">
        <v>5569</v>
      </c>
      <c r="B5570" s="12" t="s">
        <v>7067</v>
      </c>
      <c r="C5570" s="155" t="s">
        <v>6671</v>
      </c>
      <c r="D5570" s="55" t="s">
        <v>6685</v>
      </c>
      <c r="E5570" s="90" t="s">
        <v>4387</v>
      </c>
      <c r="G5570" s="55" t="s">
        <v>6672</v>
      </c>
      <c r="H5570" s="55" t="s">
        <v>5864</v>
      </c>
      <c r="I5570" s="55" t="s">
        <v>5490</v>
      </c>
      <c r="J5570" s="55" t="s">
        <v>6673</v>
      </c>
      <c r="K5570" s="55" t="s">
        <v>6674</v>
      </c>
      <c r="L5570" s="55" t="s">
        <v>3377</v>
      </c>
      <c r="M5570" s="90">
        <f>47+21/60</f>
        <v>47.35</v>
      </c>
      <c r="N5570" s="90">
        <f>126+50/60</f>
        <v>126.83333333333333</v>
      </c>
      <c r="Q5570" s="55" t="s">
        <v>1678</v>
      </c>
      <c r="S5570" s="90" t="s">
        <v>6675</v>
      </c>
      <c r="U5570" s="55" t="s">
        <v>1935</v>
      </c>
      <c r="V5570" s="55" t="s">
        <v>1935</v>
      </c>
      <c r="Z5570" s="55" t="s">
        <v>6543</v>
      </c>
      <c r="AA5570" s="90">
        <v>20</v>
      </c>
      <c r="AO5570" s="185" t="s">
        <v>7494</v>
      </c>
      <c r="AU5570" s="181" t="s">
        <v>7494</v>
      </c>
      <c r="AV5570" s="185" t="s">
        <v>176</v>
      </c>
      <c r="AX5570" s="185" t="s">
        <v>176</v>
      </c>
      <c r="BK5570" s="55" t="s">
        <v>2082</v>
      </c>
      <c r="BN5570" s="55" t="s">
        <v>1688</v>
      </c>
      <c r="BO5570" s="55" t="s">
        <v>1688</v>
      </c>
      <c r="GD5570" s="65">
        <v>4.0999999999999996</v>
      </c>
      <c r="GE5570" s="65">
        <v>5.5</v>
      </c>
      <c r="GP5570" s="292" t="s">
        <v>7494</v>
      </c>
    </row>
    <row r="5571" spans="1:198" x14ac:dyDescent="0.25">
      <c r="A5571" s="55">
        <v>5570</v>
      </c>
      <c r="B5571" s="12" t="s">
        <v>7067</v>
      </c>
      <c r="C5571" s="155" t="s">
        <v>6671</v>
      </c>
      <c r="D5571" s="55" t="s">
        <v>6685</v>
      </c>
      <c r="E5571" s="90" t="s">
        <v>4387</v>
      </c>
      <c r="G5571" s="55" t="s">
        <v>6672</v>
      </c>
      <c r="H5571" s="55" t="s">
        <v>5864</v>
      </c>
      <c r="I5571" s="55" t="s">
        <v>5490</v>
      </c>
      <c r="J5571" s="55" t="s">
        <v>6673</v>
      </c>
      <c r="K5571" s="55" t="s">
        <v>6674</v>
      </c>
      <c r="L5571" s="55" t="s">
        <v>3377</v>
      </c>
      <c r="M5571" s="90">
        <f>47+21/60</f>
        <v>47.35</v>
      </c>
      <c r="N5571" s="90">
        <f>126+50/60</f>
        <v>126.83333333333333</v>
      </c>
      <c r="Q5571" s="55" t="s">
        <v>1678</v>
      </c>
      <c r="S5571" s="90" t="s">
        <v>6675</v>
      </c>
      <c r="U5571" s="55" t="s">
        <v>1935</v>
      </c>
      <c r="V5571" s="55" t="s">
        <v>1935</v>
      </c>
      <c r="Z5571" s="55" t="s">
        <v>6543</v>
      </c>
      <c r="AA5571" s="90">
        <v>20</v>
      </c>
      <c r="AO5571" s="185" t="s">
        <v>7494</v>
      </c>
      <c r="AU5571" s="181" t="s">
        <v>7494</v>
      </c>
      <c r="AV5571" s="185" t="s">
        <v>176</v>
      </c>
      <c r="AX5571" s="185" t="s">
        <v>176</v>
      </c>
      <c r="BK5571" s="55" t="s">
        <v>2082</v>
      </c>
      <c r="BN5571" s="55" t="s">
        <v>1688</v>
      </c>
      <c r="BO5571" s="55" t="s">
        <v>1688</v>
      </c>
      <c r="GD5571" s="65">
        <v>3.9</v>
      </c>
      <c r="GE5571" s="65">
        <v>5.3</v>
      </c>
      <c r="GP5571" s="292" t="s">
        <v>7494</v>
      </c>
    </row>
    <row r="5572" spans="1:198" x14ac:dyDescent="0.25">
      <c r="A5572" s="55">
        <v>5571</v>
      </c>
      <c r="B5572" s="12" t="s">
        <v>7067</v>
      </c>
      <c r="C5572" s="155" t="s">
        <v>6671</v>
      </c>
      <c r="D5572" s="55" t="s">
        <v>6685</v>
      </c>
      <c r="E5572" s="90" t="s">
        <v>4387</v>
      </c>
      <c r="G5572" s="55" t="s">
        <v>6672</v>
      </c>
      <c r="H5572" s="55" t="s">
        <v>5864</v>
      </c>
      <c r="I5572" s="55" t="s">
        <v>5490</v>
      </c>
      <c r="J5572" s="55" t="s">
        <v>6673</v>
      </c>
      <c r="K5572" s="55" t="s">
        <v>6674</v>
      </c>
      <c r="L5572" s="55" t="s">
        <v>3377</v>
      </c>
      <c r="M5572" s="90">
        <f>47+21/60</f>
        <v>47.35</v>
      </c>
      <c r="N5572" s="90">
        <f>126+50/60</f>
        <v>126.83333333333333</v>
      </c>
      <c r="Q5572" s="55" t="s">
        <v>1678</v>
      </c>
      <c r="S5572" s="90" t="s">
        <v>6675</v>
      </c>
      <c r="U5572" s="55" t="s">
        <v>1935</v>
      </c>
      <c r="V5572" s="55" t="s">
        <v>1935</v>
      </c>
      <c r="Z5572" s="55" t="s">
        <v>6543</v>
      </c>
      <c r="AA5572" s="90">
        <v>20</v>
      </c>
      <c r="AO5572" s="185" t="s">
        <v>7494</v>
      </c>
      <c r="AU5572" s="181" t="s">
        <v>7494</v>
      </c>
      <c r="AV5572" s="185" t="s">
        <v>176</v>
      </c>
      <c r="AX5572" s="185" t="s">
        <v>176</v>
      </c>
      <c r="BK5572" s="55" t="s">
        <v>2082</v>
      </c>
      <c r="BN5572" s="55" t="s">
        <v>1688</v>
      </c>
      <c r="BO5572" s="55" t="s">
        <v>1688</v>
      </c>
      <c r="GD5572" s="65">
        <v>3.9</v>
      </c>
      <c r="GE5572" s="65">
        <v>5.2</v>
      </c>
      <c r="GP5572" s="292" t="s">
        <v>7494</v>
      </c>
    </row>
    <row r="5573" spans="1:198" x14ac:dyDescent="0.25">
      <c r="A5573" s="55">
        <v>5572</v>
      </c>
      <c r="B5573" s="12" t="s">
        <v>7067</v>
      </c>
      <c r="C5573" s="155" t="s">
        <v>6671</v>
      </c>
      <c r="D5573" s="55" t="s">
        <v>6686</v>
      </c>
      <c r="E5573" s="90" t="s">
        <v>4387</v>
      </c>
      <c r="G5573" s="55" t="s">
        <v>6672</v>
      </c>
      <c r="H5573" s="55" t="s">
        <v>5864</v>
      </c>
      <c r="I5573" s="55" t="s">
        <v>5490</v>
      </c>
      <c r="J5573" s="55" t="s">
        <v>6673</v>
      </c>
      <c r="K5573" s="55" t="s">
        <v>6674</v>
      </c>
      <c r="L5573" s="55" t="s">
        <v>3377</v>
      </c>
      <c r="M5573" s="90">
        <f>47+21/60</f>
        <v>47.35</v>
      </c>
      <c r="N5573" s="90">
        <f>126+50/60</f>
        <v>126.83333333333333</v>
      </c>
      <c r="Q5573" s="55" t="s">
        <v>1678</v>
      </c>
      <c r="S5573" s="90" t="s">
        <v>6675</v>
      </c>
      <c r="U5573" s="55" t="s">
        <v>1935</v>
      </c>
      <c r="V5573" s="55" t="s">
        <v>1935</v>
      </c>
      <c r="Z5573" s="55" t="s">
        <v>6680</v>
      </c>
      <c r="AA5573" s="90">
        <v>20</v>
      </c>
      <c r="AO5573" s="185" t="s">
        <v>7494</v>
      </c>
      <c r="AU5573" s="181" t="s">
        <v>7494</v>
      </c>
      <c r="AV5573" s="185" t="s">
        <v>176</v>
      </c>
      <c r="AX5573" s="185" t="s">
        <v>176</v>
      </c>
      <c r="BK5573" s="55" t="s">
        <v>2082</v>
      </c>
      <c r="BN5573" s="55" t="s">
        <v>1688</v>
      </c>
      <c r="BO5573" s="55" t="s">
        <v>1688</v>
      </c>
      <c r="GD5573" s="65">
        <v>14.3</v>
      </c>
      <c r="GE5573" s="65">
        <v>16.3</v>
      </c>
      <c r="GP5573" s="292" t="s">
        <v>7494</v>
      </c>
    </row>
    <row r="5574" spans="1:198" x14ac:dyDescent="0.25">
      <c r="A5574" s="55">
        <v>5573</v>
      </c>
      <c r="B5574" s="12" t="s">
        <v>7067</v>
      </c>
      <c r="C5574" s="155" t="s">
        <v>6671</v>
      </c>
      <c r="D5574" s="55" t="s">
        <v>6686</v>
      </c>
      <c r="E5574" s="90" t="s">
        <v>4387</v>
      </c>
      <c r="G5574" s="55" t="s">
        <v>6672</v>
      </c>
      <c r="H5574" s="55" t="s">
        <v>5864</v>
      </c>
      <c r="I5574" s="55" t="s">
        <v>5490</v>
      </c>
      <c r="J5574" s="55" t="s">
        <v>6673</v>
      </c>
      <c r="K5574" s="55" t="s">
        <v>6674</v>
      </c>
      <c r="L5574" s="55" t="s">
        <v>3377</v>
      </c>
      <c r="M5574" s="90">
        <f>47+21/60</f>
        <v>47.35</v>
      </c>
      <c r="N5574" s="90">
        <f>126+50/60</f>
        <v>126.83333333333333</v>
      </c>
      <c r="Q5574" s="55" t="s">
        <v>1678</v>
      </c>
      <c r="S5574" s="90" t="s">
        <v>6675</v>
      </c>
      <c r="U5574" s="55" t="s">
        <v>1935</v>
      </c>
      <c r="V5574" s="55" t="s">
        <v>1935</v>
      </c>
      <c r="Z5574" s="55" t="s">
        <v>6680</v>
      </c>
      <c r="AA5574" s="90">
        <v>20</v>
      </c>
      <c r="AO5574" s="185" t="s">
        <v>7494</v>
      </c>
      <c r="AU5574" s="181" t="s">
        <v>7494</v>
      </c>
      <c r="AV5574" s="185" t="s">
        <v>176</v>
      </c>
      <c r="AX5574" s="185" t="s">
        <v>176</v>
      </c>
      <c r="BK5574" s="55" t="s">
        <v>2082</v>
      </c>
      <c r="BN5574" s="55" t="s">
        <v>1688</v>
      </c>
      <c r="BO5574" s="55" t="s">
        <v>1688</v>
      </c>
      <c r="GD5574" s="65">
        <v>13.4</v>
      </c>
      <c r="GE5574" s="65">
        <v>15.5</v>
      </c>
      <c r="GP5574" s="292" t="s">
        <v>7494</v>
      </c>
    </row>
    <row r="5575" spans="1:198" x14ac:dyDescent="0.25">
      <c r="A5575" s="55">
        <v>5574</v>
      </c>
      <c r="B5575" s="12" t="s">
        <v>7067</v>
      </c>
      <c r="C5575" s="155" t="s">
        <v>6671</v>
      </c>
      <c r="D5575" s="55" t="s">
        <v>6686</v>
      </c>
      <c r="E5575" s="90" t="s">
        <v>4387</v>
      </c>
      <c r="G5575" s="55" t="s">
        <v>6672</v>
      </c>
      <c r="H5575" s="55" t="s">
        <v>5864</v>
      </c>
      <c r="I5575" s="55" t="s">
        <v>5490</v>
      </c>
      <c r="J5575" s="55" t="s">
        <v>6673</v>
      </c>
      <c r="K5575" s="55" t="s">
        <v>6674</v>
      </c>
      <c r="L5575" s="55" t="s">
        <v>3377</v>
      </c>
      <c r="M5575" s="90">
        <f>47+21/60</f>
        <v>47.35</v>
      </c>
      <c r="N5575" s="90">
        <f>126+50/60</f>
        <v>126.83333333333333</v>
      </c>
      <c r="Q5575" s="55" t="s">
        <v>1678</v>
      </c>
      <c r="S5575" s="90" t="s">
        <v>6675</v>
      </c>
      <c r="U5575" s="55" t="s">
        <v>1935</v>
      </c>
      <c r="V5575" s="55" t="s">
        <v>1935</v>
      </c>
      <c r="Z5575" s="55" t="s">
        <v>6680</v>
      </c>
      <c r="AA5575" s="90">
        <v>20</v>
      </c>
      <c r="AO5575" s="185" t="s">
        <v>7494</v>
      </c>
      <c r="AU5575" s="181" t="s">
        <v>7494</v>
      </c>
      <c r="AV5575" s="185" t="s">
        <v>176</v>
      </c>
      <c r="AX5575" s="185" t="s">
        <v>176</v>
      </c>
      <c r="BK5575" s="55" t="s">
        <v>2082</v>
      </c>
      <c r="BN5575" s="55" t="s">
        <v>1688</v>
      </c>
      <c r="BO5575" s="55" t="s">
        <v>1688</v>
      </c>
      <c r="GD5575" s="65">
        <v>13.2</v>
      </c>
      <c r="GE5575" s="65">
        <v>15.1</v>
      </c>
      <c r="GP5575" s="292" t="s">
        <v>7494</v>
      </c>
    </row>
    <row r="5576" spans="1:198" x14ac:dyDescent="0.25">
      <c r="A5576" s="55">
        <v>5575</v>
      </c>
      <c r="B5576" s="12" t="s">
        <v>7067</v>
      </c>
      <c r="C5576" s="155" t="s">
        <v>6671</v>
      </c>
      <c r="D5576" s="55" t="s">
        <v>6686</v>
      </c>
      <c r="E5576" s="90" t="s">
        <v>4387</v>
      </c>
      <c r="G5576" s="55" t="s">
        <v>6672</v>
      </c>
      <c r="H5576" s="55" t="s">
        <v>5864</v>
      </c>
      <c r="I5576" s="55" t="s">
        <v>5490</v>
      </c>
      <c r="J5576" s="55" t="s">
        <v>6673</v>
      </c>
      <c r="K5576" s="55" t="s">
        <v>6674</v>
      </c>
      <c r="L5576" s="55" t="s">
        <v>3377</v>
      </c>
      <c r="M5576" s="90">
        <f>47+21/60</f>
        <v>47.35</v>
      </c>
      <c r="N5576" s="90">
        <f>126+50/60</f>
        <v>126.83333333333333</v>
      </c>
      <c r="Q5576" s="55" t="s">
        <v>1678</v>
      </c>
      <c r="S5576" s="90" t="s">
        <v>6675</v>
      </c>
      <c r="U5576" s="55" t="s">
        <v>1935</v>
      </c>
      <c r="V5576" s="55" t="s">
        <v>1935</v>
      </c>
      <c r="Z5576" s="55" t="s">
        <v>6680</v>
      </c>
      <c r="AA5576" s="90">
        <v>20</v>
      </c>
      <c r="AO5576" s="185" t="s">
        <v>7494</v>
      </c>
      <c r="AU5576" s="181" t="s">
        <v>7494</v>
      </c>
      <c r="AV5576" s="185" t="s">
        <v>176</v>
      </c>
      <c r="AX5576" s="185" t="s">
        <v>176</v>
      </c>
      <c r="BK5576" s="55" t="s">
        <v>2082</v>
      </c>
      <c r="BN5576" s="55" t="s">
        <v>1688</v>
      </c>
      <c r="BO5576" s="55" t="s">
        <v>1688</v>
      </c>
      <c r="GD5576" s="65">
        <v>13.2</v>
      </c>
      <c r="GE5576" s="65">
        <v>15.1</v>
      </c>
      <c r="GP5576" s="292" t="s">
        <v>7494</v>
      </c>
    </row>
    <row r="5577" spans="1:198" x14ac:dyDescent="0.25">
      <c r="A5577" s="55">
        <v>5576</v>
      </c>
      <c r="B5577" s="12" t="s">
        <v>7067</v>
      </c>
      <c r="C5577" s="155" t="s">
        <v>6671</v>
      </c>
      <c r="D5577" s="55" t="s">
        <v>6687</v>
      </c>
      <c r="E5577" s="90" t="s">
        <v>4387</v>
      </c>
      <c r="G5577" s="55" t="s">
        <v>6672</v>
      </c>
      <c r="H5577" s="55" t="s">
        <v>5864</v>
      </c>
      <c r="I5577" s="55" t="s">
        <v>5490</v>
      </c>
      <c r="J5577" s="55" t="s">
        <v>6673</v>
      </c>
      <c r="K5577" s="55" t="s">
        <v>6674</v>
      </c>
      <c r="L5577" s="55" t="s">
        <v>3377</v>
      </c>
      <c r="M5577" s="90">
        <f>47+21/60</f>
        <v>47.35</v>
      </c>
      <c r="N5577" s="90">
        <f>126+50/60</f>
        <v>126.83333333333333</v>
      </c>
      <c r="Q5577" s="55" t="s">
        <v>1678</v>
      </c>
      <c r="S5577" s="90" t="s">
        <v>6675</v>
      </c>
      <c r="U5577" s="55" t="s">
        <v>1935</v>
      </c>
      <c r="V5577" s="55" t="s">
        <v>1935</v>
      </c>
      <c r="Z5577" s="55" t="s">
        <v>6681</v>
      </c>
      <c r="AA5577" s="90">
        <v>20</v>
      </c>
      <c r="AO5577" s="185" t="s">
        <v>7494</v>
      </c>
      <c r="AU5577" s="181" t="s">
        <v>7494</v>
      </c>
      <c r="AV5577" s="185" t="s">
        <v>176</v>
      </c>
      <c r="AX5577" s="185" t="s">
        <v>176</v>
      </c>
      <c r="BK5577" s="55" t="s">
        <v>2082</v>
      </c>
      <c r="BN5577" s="55" t="s">
        <v>1688</v>
      </c>
      <c r="BO5577" s="55" t="s">
        <v>1688</v>
      </c>
      <c r="GD5577" s="65">
        <v>56</v>
      </c>
      <c r="GE5577" s="65">
        <v>58.4</v>
      </c>
      <c r="GP5577" s="292" t="s">
        <v>7494</v>
      </c>
    </row>
    <row r="5578" spans="1:198" x14ac:dyDescent="0.25">
      <c r="A5578" s="55">
        <v>5577</v>
      </c>
      <c r="B5578" s="12" t="s">
        <v>7067</v>
      </c>
      <c r="C5578" s="155" t="s">
        <v>6671</v>
      </c>
      <c r="D5578" s="55" t="s">
        <v>6687</v>
      </c>
      <c r="E5578" s="90" t="s">
        <v>4387</v>
      </c>
      <c r="G5578" s="55" t="s">
        <v>6672</v>
      </c>
      <c r="H5578" s="55" t="s">
        <v>5864</v>
      </c>
      <c r="I5578" s="55" t="s">
        <v>5490</v>
      </c>
      <c r="J5578" s="55" t="s">
        <v>6673</v>
      </c>
      <c r="K5578" s="55" t="s">
        <v>6674</v>
      </c>
      <c r="L5578" s="55" t="s">
        <v>3377</v>
      </c>
      <c r="M5578" s="90">
        <f>47+21/60</f>
        <v>47.35</v>
      </c>
      <c r="N5578" s="90">
        <f>126+50/60</f>
        <v>126.83333333333333</v>
      </c>
      <c r="Q5578" s="55" t="s">
        <v>1678</v>
      </c>
      <c r="S5578" s="90" t="s">
        <v>6675</v>
      </c>
      <c r="U5578" s="55" t="s">
        <v>1935</v>
      </c>
      <c r="V5578" s="55" t="s">
        <v>1935</v>
      </c>
      <c r="Z5578" s="55" t="s">
        <v>6681</v>
      </c>
      <c r="AA5578" s="90">
        <v>20</v>
      </c>
      <c r="AO5578" s="185" t="s">
        <v>7494</v>
      </c>
      <c r="AU5578" s="181" t="s">
        <v>7494</v>
      </c>
      <c r="AV5578" s="185" t="s">
        <v>176</v>
      </c>
      <c r="AX5578" s="185" t="s">
        <v>176</v>
      </c>
      <c r="BK5578" s="55" t="s">
        <v>2082</v>
      </c>
      <c r="BN5578" s="55" t="s">
        <v>1688</v>
      </c>
      <c r="BO5578" s="55" t="s">
        <v>1688</v>
      </c>
      <c r="GD5578" s="65">
        <v>54.5</v>
      </c>
      <c r="GE5578" s="65">
        <v>57.3</v>
      </c>
      <c r="GP5578" s="292" t="s">
        <v>7494</v>
      </c>
    </row>
    <row r="5579" spans="1:198" x14ac:dyDescent="0.25">
      <c r="A5579" s="55">
        <v>5578</v>
      </c>
      <c r="B5579" s="12" t="s">
        <v>7067</v>
      </c>
      <c r="C5579" s="155" t="s">
        <v>6671</v>
      </c>
      <c r="D5579" s="55" t="s">
        <v>6687</v>
      </c>
      <c r="E5579" s="90" t="s">
        <v>4387</v>
      </c>
      <c r="G5579" s="55" t="s">
        <v>6672</v>
      </c>
      <c r="H5579" s="55" t="s">
        <v>5864</v>
      </c>
      <c r="I5579" s="55" t="s">
        <v>5490</v>
      </c>
      <c r="J5579" s="55" t="s">
        <v>6673</v>
      </c>
      <c r="K5579" s="55" t="s">
        <v>6674</v>
      </c>
      <c r="L5579" s="55" t="s">
        <v>3377</v>
      </c>
      <c r="M5579" s="90">
        <f>47+21/60</f>
        <v>47.35</v>
      </c>
      <c r="N5579" s="90">
        <f>126+50/60</f>
        <v>126.83333333333333</v>
      </c>
      <c r="Q5579" s="55" t="s">
        <v>1678</v>
      </c>
      <c r="S5579" s="90" t="s">
        <v>6675</v>
      </c>
      <c r="U5579" s="55" t="s">
        <v>1935</v>
      </c>
      <c r="V5579" s="55" t="s">
        <v>1935</v>
      </c>
      <c r="Z5579" s="55" t="s">
        <v>6681</v>
      </c>
      <c r="AA5579" s="90">
        <v>20</v>
      </c>
      <c r="AO5579" s="185" t="s">
        <v>7494</v>
      </c>
      <c r="AU5579" s="181" t="s">
        <v>7494</v>
      </c>
      <c r="AV5579" s="185" t="s">
        <v>176</v>
      </c>
      <c r="AX5579" s="185" t="s">
        <v>176</v>
      </c>
      <c r="BK5579" s="55" t="s">
        <v>2082</v>
      </c>
      <c r="BN5579" s="55" t="s">
        <v>1688</v>
      </c>
      <c r="BO5579" s="55" t="s">
        <v>1688</v>
      </c>
      <c r="GD5579" s="65">
        <v>54.6</v>
      </c>
      <c r="GE5579" s="65">
        <v>56.1</v>
      </c>
      <c r="GP5579" s="292" t="s">
        <v>7494</v>
      </c>
    </row>
    <row r="5580" spans="1:198" x14ac:dyDescent="0.25">
      <c r="A5580" s="55">
        <v>5579</v>
      </c>
      <c r="B5580" s="12" t="s">
        <v>7067</v>
      </c>
      <c r="C5580" s="155" t="s">
        <v>6671</v>
      </c>
      <c r="D5580" s="55" t="s">
        <v>6687</v>
      </c>
      <c r="E5580" s="90" t="s">
        <v>4387</v>
      </c>
      <c r="G5580" s="55" t="s">
        <v>6672</v>
      </c>
      <c r="H5580" s="55" t="s">
        <v>5864</v>
      </c>
      <c r="I5580" s="55" t="s">
        <v>5490</v>
      </c>
      <c r="J5580" s="55" t="s">
        <v>6673</v>
      </c>
      <c r="K5580" s="55" t="s">
        <v>6674</v>
      </c>
      <c r="L5580" s="55" t="s">
        <v>3377</v>
      </c>
      <c r="M5580" s="90">
        <f>47+21/60</f>
        <v>47.35</v>
      </c>
      <c r="N5580" s="90">
        <f>126+50/60</f>
        <v>126.83333333333333</v>
      </c>
      <c r="Q5580" s="55" t="s">
        <v>1678</v>
      </c>
      <c r="S5580" s="90" t="s">
        <v>6675</v>
      </c>
      <c r="U5580" s="55" t="s">
        <v>1935</v>
      </c>
      <c r="V5580" s="55" t="s">
        <v>1935</v>
      </c>
      <c r="Z5580" s="55" t="s">
        <v>6681</v>
      </c>
      <c r="AA5580" s="90">
        <v>20</v>
      </c>
      <c r="AO5580" s="185" t="s">
        <v>7494</v>
      </c>
      <c r="AU5580" s="181" t="s">
        <v>7494</v>
      </c>
      <c r="AV5580" s="185" t="s">
        <v>176</v>
      </c>
      <c r="AX5580" s="185" t="s">
        <v>176</v>
      </c>
      <c r="BK5580" s="55" t="s">
        <v>2082</v>
      </c>
      <c r="BN5580" s="55" t="s">
        <v>1688</v>
      </c>
      <c r="BO5580" s="55" t="s">
        <v>1688</v>
      </c>
      <c r="GD5580" s="65">
        <v>53.8</v>
      </c>
      <c r="GE5580" s="65">
        <v>55.1</v>
      </c>
      <c r="GP5580" s="292" t="s">
        <v>7494</v>
      </c>
    </row>
    <row r="5581" spans="1:198" x14ac:dyDescent="0.25">
      <c r="A5581" s="55">
        <v>5580</v>
      </c>
      <c r="B5581" s="12" t="s">
        <v>7067</v>
      </c>
      <c r="C5581" s="155" t="s">
        <v>6671</v>
      </c>
      <c r="D5581" s="55" t="s">
        <v>6688</v>
      </c>
      <c r="E5581" s="90" t="s">
        <v>4387</v>
      </c>
      <c r="G5581" s="55" t="s">
        <v>6672</v>
      </c>
      <c r="H5581" s="55" t="s">
        <v>5864</v>
      </c>
      <c r="I5581" s="55" t="s">
        <v>5490</v>
      </c>
      <c r="J5581" s="55" t="s">
        <v>6673</v>
      </c>
      <c r="K5581" s="55" t="s">
        <v>6674</v>
      </c>
      <c r="L5581" s="55" t="s">
        <v>3377</v>
      </c>
      <c r="M5581" s="90">
        <f>47+21/60</f>
        <v>47.35</v>
      </c>
      <c r="N5581" s="90">
        <f>126+50/60</f>
        <v>126.83333333333333</v>
      </c>
      <c r="Q5581" s="55" t="s">
        <v>1678</v>
      </c>
      <c r="S5581" s="90" t="s">
        <v>6675</v>
      </c>
      <c r="U5581" s="55" t="s">
        <v>1935</v>
      </c>
      <c r="V5581" s="55" t="s">
        <v>1935</v>
      </c>
      <c r="Z5581" s="55" t="s">
        <v>6543</v>
      </c>
      <c r="AA5581" s="90">
        <v>20</v>
      </c>
      <c r="AO5581" s="185" t="s">
        <v>7494</v>
      </c>
      <c r="AU5581" s="181" t="s">
        <v>7494</v>
      </c>
      <c r="AV5581" s="185" t="s">
        <v>176</v>
      </c>
      <c r="AX5581" s="185" t="s">
        <v>176</v>
      </c>
      <c r="BK5581" s="55" t="s">
        <v>2082</v>
      </c>
      <c r="BN5581" s="55" t="s">
        <v>1688</v>
      </c>
      <c r="BO5581" s="55" t="s">
        <v>1688</v>
      </c>
      <c r="GD5581" s="65">
        <v>4.4000000000000004</v>
      </c>
      <c r="GE5581" s="65">
        <v>4.0999999999999996</v>
      </c>
      <c r="GP5581" s="292" t="s">
        <v>7494</v>
      </c>
    </row>
    <row r="5582" spans="1:198" x14ac:dyDescent="0.25">
      <c r="A5582" s="55">
        <v>5581</v>
      </c>
      <c r="B5582" s="12" t="s">
        <v>7067</v>
      </c>
      <c r="C5582" s="155" t="s">
        <v>6671</v>
      </c>
      <c r="D5582" s="55" t="s">
        <v>6688</v>
      </c>
      <c r="E5582" s="90" t="s">
        <v>4387</v>
      </c>
      <c r="G5582" s="55" t="s">
        <v>6672</v>
      </c>
      <c r="H5582" s="55" t="s">
        <v>5864</v>
      </c>
      <c r="I5582" s="55" t="s">
        <v>5490</v>
      </c>
      <c r="J5582" s="55" t="s">
        <v>6673</v>
      </c>
      <c r="K5582" s="55" t="s">
        <v>6674</v>
      </c>
      <c r="L5582" s="55" t="s">
        <v>3377</v>
      </c>
      <c r="M5582" s="90">
        <f>47+21/60</f>
        <v>47.35</v>
      </c>
      <c r="N5582" s="90">
        <f>126+50/60</f>
        <v>126.83333333333333</v>
      </c>
      <c r="Q5582" s="55" t="s">
        <v>1678</v>
      </c>
      <c r="S5582" s="90" t="s">
        <v>6675</v>
      </c>
      <c r="U5582" s="55" t="s">
        <v>1935</v>
      </c>
      <c r="V5582" s="55" t="s">
        <v>1935</v>
      </c>
      <c r="Z5582" s="55" t="s">
        <v>6543</v>
      </c>
      <c r="AA5582" s="90">
        <v>20</v>
      </c>
      <c r="AO5582" s="185" t="s">
        <v>7494</v>
      </c>
      <c r="AU5582" s="181" t="s">
        <v>7494</v>
      </c>
      <c r="AV5582" s="185" t="s">
        <v>176</v>
      </c>
      <c r="AX5582" s="185" t="s">
        <v>176</v>
      </c>
      <c r="BK5582" s="55" t="s">
        <v>2082</v>
      </c>
      <c r="BN5582" s="55" t="s">
        <v>1688</v>
      </c>
      <c r="BO5582" s="55" t="s">
        <v>1688</v>
      </c>
      <c r="GD5582" s="65">
        <v>4.0999999999999996</v>
      </c>
      <c r="GE5582" s="65">
        <v>4.0999999999999996</v>
      </c>
      <c r="GP5582" s="292" t="s">
        <v>7494</v>
      </c>
    </row>
    <row r="5583" spans="1:198" x14ac:dyDescent="0.25">
      <c r="A5583" s="55">
        <v>5582</v>
      </c>
      <c r="B5583" s="12" t="s">
        <v>7067</v>
      </c>
      <c r="C5583" s="155" t="s">
        <v>6671</v>
      </c>
      <c r="D5583" s="55" t="s">
        <v>6688</v>
      </c>
      <c r="E5583" s="90" t="s">
        <v>4387</v>
      </c>
      <c r="G5583" s="55" t="s">
        <v>6672</v>
      </c>
      <c r="H5583" s="55" t="s">
        <v>5864</v>
      </c>
      <c r="I5583" s="55" t="s">
        <v>5490</v>
      </c>
      <c r="J5583" s="55" t="s">
        <v>6673</v>
      </c>
      <c r="K5583" s="55" t="s">
        <v>6674</v>
      </c>
      <c r="L5583" s="55" t="s">
        <v>3377</v>
      </c>
      <c r="M5583" s="90">
        <f>47+21/60</f>
        <v>47.35</v>
      </c>
      <c r="N5583" s="90">
        <f>126+50/60</f>
        <v>126.83333333333333</v>
      </c>
      <c r="Q5583" s="55" t="s">
        <v>1678</v>
      </c>
      <c r="S5583" s="90" t="s">
        <v>6675</v>
      </c>
      <c r="U5583" s="55" t="s">
        <v>1935</v>
      </c>
      <c r="V5583" s="55" t="s">
        <v>1935</v>
      </c>
      <c r="Z5583" s="55" t="s">
        <v>6543</v>
      </c>
      <c r="AA5583" s="90">
        <v>20</v>
      </c>
      <c r="AO5583" s="185" t="s">
        <v>7494</v>
      </c>
      <c r="AU5583" s="181" t="s">
        <v>7494</v>
      </c>
      <c r="AV5583" s="185" t="s">
        <v>176</v>
      </c>
      <c r="AX5583" s="185" t="s">
        <v>176</v>
      </c>
      <c r="BK5583" s="55" t="s">
        <v>2082</v>
      </c>
      <c r="BN5583" s="55" t="s">
        <v>1688</v>
      </c>
      <c r="BO5583" s="55" t="s">
        <v>1688</v>
      </c>
      <c r="GD5583" s="65">
        <v>3.9</v>
      </c>
      <c r="GE5583" s="65">
        <v>4</v>
      </c>
      <c r="GP5583" s="292" t="s">
        <v>7494</v>
      </c>
    </row>
    <row r="5584" spans="1:198" x14ac:dyDescent="0.25">
      <c r="A5584" s="55">
        <v>5583</v>
      </c>
      <c r="B5584" s="12" t="s">
        <v>7067</v>
      </c>
      <c r="C5584" s="155" t="s">
        <v>6671</v>
      </c>
      <c r="D5584" s="55" t="s">
        <v>6688</v>
      </c>
      <c r="E5584" s="90" t="s">
        <v>4387</v>
      </c>
      <c r="G5584" s="55" t="s">
        <v>6672</v>
      </c>
      <c r="H5584" s="55" t="s">
        <v>5864</v>
      </c>
      <c r="I5584" s="55" t="s">
        <v>5490</v>
      </c>
      <c r="J5584" s="55" t="s">
        <v>6673</v>
      </c>
      <c r="K5584" s="55" t="s">
        <v>6674</v>
      </c>
      <c r="L5584" s="55" t="s">
        <v>3377</v>
      </c>
      <c r="M5584" s="90">
        <f>47+21/60</f>
        <v>47.35</v>
      </c>
      <c r="N5584" s="90">
        <f>126+50/60</f>
        <v>126.83333333333333</v>
      </c>
      <c r="Q5584" s="55" t="s">
        <v>1678</v>
      </c>
      <c r="S5584" s="90" t="s">
        <v>6675</v>
      </c>
      <c r="U5584" s="55" t="s">
        <v>1935</v>
      </c>
      <c r="V5584" s="55" t="s">
        <v>1935</v>
      </c>
      <c r="Z5584" s="55" t="s">
        <v>6543</v>
      </c>
      <c r="AA5584" s="90">
        <v>20</v>
      </c>
      <c r="AO5584" s="185" t="s">
        <v>7494</v>
      </c>
      <c r="AU5584" s="181" t="s">
        <v>7494</v>
      </c>
      <c r="AV5584" s="185" t="s">
        <v>176</v>
      </c>
      <c r="AX5584" s="185" t="s">
        <v>176</v>
      </c>
      <c r="BK5584" s="55" t="s">
        <v>2082</v>
      </c>
      <c r="BN5584" s="55" t="s">
        <v>1688</v>
      </c>
      <c r="BO5584" s="55" t="s">
        <v>1688</v>
      </c>
      <c r="GD5584" s="65">
        <v>3.9</v>
      </c>
      <c r="GE5584" s="65">
        <v>4.5999999999999996</v>
      </c>
      <c r="GP5584" s="292" t="s">
        <v>7494</v>
      </c>
    </row>
    <row r="5585" spans="1:198" x14ac:dyDescent="0.25">
      <c r="A5585" s="55">
        <v>5584</v>
      </c>
      <c r="B5585" s="12" t="s">
        <v>7067</v>
      </c>
      <c r="C5585" s="155" t="s">
        <v>6671</v>
      </c>
      <c r="D5585" s="55" t="s">
        <v>6689</v>
      </c>
      <c r="E5585" s="90" t="s">
        <v>4387</v>
      </c>
      <c r="G5585" s="55" t="s">
        <v>6672</v>
      </c>
      <c r="H5585" s="55" t="s">
        <v>5864</v>
      </c>
      <c r="I5585" s="55" t="s">
        <v>5490</v>
      </c>
      <c r="J5585" s="55" t="s">
        <v>6673</v>
      </c>
      <c r="K5585" s="55" t="s">
        <v>6674</v>
      </c>
      <c r="L5585" s="55" t="s">
        <v>3377</v>
      </c>
      <c r="M5585" s="90">
        <f>47+21/60</f>
        <v>47.35</v>
      </c>
      <c r="N5585" s="90">
        <f>126+50/60</f>
        <v>126.83333333333333</v>
      </c>
      <c r="Q5585" s="55" t="s">
        <v>1678</v>
      </c>
      <c r="S5585" s="90" t="s">
        <v>6675</v>
      </c>
      <c r="U5585" s="55" t="s">
        <v>1935</v>
      </c>
      <c r="V5585" s="55" t="s">
        <v>1935</v>
      </c>
      <c r="Z5585" s="55" t="s">
        <v>6680</v>
      </c>
      <c r="AA5585" s="90">
        <v>20</v>
      </c>
      <c r="AO5585" s="185" t="s">
        <v>7494</v>
      </c>
      <c r="AU5585" s="181" t="s">
        <v>7494</v>
      </c>
      <c r="AV5585" s="185" t="s">
        <v>176</v>
      </c>
      <c r="AX5585" s="185" t="s">
        <v>176</v>
      </c>
      <c r="BK5585" s="55" t="s">
        <v>2082</v>
      </c>
      <c r="BN5585" s="55" t="s">
        <v>1688</v>
      </c>
      <c r="BO5585" s="55" t="s">
        <v>1688</v>
      </c>
      <c r="GD5585" s="65">
        <v>14.3</v>
      </c>
      <c r="GE5585" s="65">
        <v>13.5</v>
      </c>
      <c r="GP5585" s="292" t="s">
        <v>7494</v>
      </c>
    </row>
    <row r="5586" spans="1:198" x14ac:dyDescent="0.25">
      <c r="A5586" s="55">
        <v>5585</v>
      </c>
      <c r="B5586" s="12" t="s">
        <v>7067</v>
      </c>
      <c r="C5586" s="155" t="s">
        <v>6671</v>
      </c>
      <c r="D5586" s="55" t="s">
        <v>6689</v>
      </c>
      <c r="E5586" s="90" t="s">
        <v>4387</v>
      </c>
      <c r="G5586" s="55" t="s">
        <v>6672</v>
      </c>
      <c r="H5586" s="55" t="s">
        <v>5864</v>
      </c>
      <c r="I5586" s="55" t="s">
        <v>5490</v>
      </c>
      <c r="J5586" s="55" t="s">
        <v>6673</v>
      </c>
      <c r="K5586" s="55" t="s">
        <v>6674</v>
      </c>
      <c r="L5586" s="55" t="s">
        <v>3377</v>
      </c>
      <c r="M5586" s="90">
        <f>47+21/60</f>
        <v>47.35</v>
      </c>
      <c r="N5586" s="90">
        <f>126+50/60</f>
        <v>126.83333333333333</v>
      </c>
      <c r="Q5586" s="55" t="s">
        <v>1678</v>
      </c>
      <c r="S5586" s="90" t="s">
        <v>6675</v>
      </c>
      <c r="U5586" s="55" t="s">
        <v>1935</v>
      </c>
      <c r="V5586" s="55" t="s">
        <v>1935</v>
      </c>
      <c r="Z5586" s="55" t="s">
        <v>6680</v>
      </c>
      <c r="AA5586" s="90">
        <v>20</v>
      </c>
      <c r="AO5586" s="185" t="s">
        <v>7494</v>
      </c>
      <c r="AU5586" s="181" t="s">
        <v>7494</v>
      </c>
      <c r="AV5586" s="185" t="s">
        <v>176</v>
      </c>
      <c r="AX5586" s="185" t="s">
        <v>176</v>
      </c>
      <c r="BK5586" s="55" t="s">
        <v>2082</v>
      </c>
      <c r="BN5586" s="55" t="s">
        <v>1688</v>
      </c>
      <c r="BO5586" s="55" t="s">
        <v>1688</v>
      </c>
      <c r="GD5586" s="65">
        <v>13.4</v>
      </c>
      <c r="GE5586" s="65">
        <v>13.4</v>
      </c>
      <c r="GP5586" s="292" t="s">
        <v>7494</v>
      </c>
    </row>
    <row r="5587" spans="1:198" x14ac:dyDescent="0.25">
      <c r="A5587" s="55">
        <v>5586</v>
      </c>
      <c r="B5587" s="12" t="s">
        <v>7067</v>
      </c>
      <c r="C5587" s="155" t="s">
        <v>6671</v>
      </c>
      <c r="D5587" s="55" t="s">
        <v>6689</v>
      </c>
      <c r="E5587" s="90" t="s">
        <v>4387</v>
      </c>
      <c r="G5587" s="55" t="s">
        <v>6672</v>
      </c>
      <c r="H5587" s="55" t="s">
        <v>5864</v>
      </c>
      <c r="I5587" s="55" t="s">
        <v>5490</v>
      </c>
      <c r="J5587" s="55" t="s">
        <v>6673</v>
      </c>
      <c r="K5587" s="55" t="s">
        <v>6674</v>
      </c>
      <c r="L5587" s="55" t="s">
        <v>3377</v>
      </c>
      <c r="M5587" s="90">
        <f>47+21/60</f>
        <v>47.35</v>
      </c>
      <c r="N5587" s="90">
        <f>126+50/60</f>
        <v>126.83333333333333</v>
      </c>
      <c r="Q5587" s="55" t="s">
        <v>1678</v>
      </c>
      <c r="S5587" s="90" t="s">
        <v>6675</v>
      </c>
      <c r="U5587" s="55" t="s">
        <v>1935</v>
      </c>
      <c r="V5587" s="55" t="s">
        <v>1935</v>
      </c>
      <c r="Z5587" s="55" t="s">
        <v>6680</v>
      </c>
      <c r="AA5587" s="90">
        <v>20</v>
      </c>
      <c r="AO5587" s="185" t="s">
        <v>7494</v>
      </c>
      <c r="AU5587" s="181" t="s">
        <v>7494</v>
      </c>
      <c r="AV5587" s="185" t="s">
        <v>176</v>
      </c>
      <c r="AX5587" s="185" t="s">
        <v>176</v>
      </c>
      <c r="BK5587" s="55" t="s">
        <v>2082</v>
      </c>
      <c r="BN5587" s="55" t="s">
        <v>1688</v>
      </c>
      <c r="BO5587" s="55" t="s">
        <v>1688</v>
      </c>
      <c r="GD5587" s="65">
        <v>13.2</v>
      </c>
      <c r="GE5587" s="65">
        <v>13.1</v>
      </c>
      <c r="GP5587" s="292" t="s">
        <v>7494</v>
      </c>
    </row>
    <row r="5588" spans="1:198" x14ac:dyDescent="0.25">
      <c r="A5588" s="55">
        <v>5587</v>
      </c>
      <c r="B5588" s="12" t="s">
        <v>7067</v>
      </c>
      <c r="C5588" s="155" t="s">
        <v>6671</v>
      </c>
      <c r="D5588" s="55" t="s">
        <v>6689</v>
      </c>
      <c r="E5588" s="90" t="s">
        <v>4387</v>
      </c>
      <c r="G5588" s="55" t="s">
        <v>6672</v>
      </c>
      <c r="H5588" s="55" t="s">
        <v>5864</v>
      </c>
      <c r="I5588" s="55" t="s">
        <v>5490</v>
      </c>
      <c r="J5588" s="55" t="s">
        <v>6673</v>
      </c>
      <c r="K5588" s="55" t="s">
        <v>6674</v>
      </c>
      <c r="L5588" s="55" t="s">
        <v>3377</v>
      </c>
      <c r="M5588" s="90">
        <f>47+21/60</f>
        <v>47.35</v>
      </c>
      <c r="N5588" s="90">
        <f>126+50/60</f>
        <v>126.83333333333333</v>
      </c>
      <c r="Q5588" s="55" t="s">
        <v>1678</v>
      </c>
      <c r="S5588" s="90" t="s">
        <v>6675</v>
      </c>
      <c r="U5588" s="55" t="s">
        <v>1935</v>
      </c>
      <c r="V5588" s="55" t="s">
        <v>1935</v>
      </c>
      <c r="Z5588" s="55" t="s">
        <v>6680</v>
      </c>
      <c r="AA5588" s="90">
        <v>20</v>
      </c>
      <c r="AO5588" s="185" t="s">
        <v>7494</v>
      </c>
      <c r="AU5588" s="181" t="s">
        <v>7494</v>
      </c>
      <c r="AV5588" s="185" t="s">
        <v>176</v>
      </c>
      <c r="AX5588" s="185" t="s">
        <v>176</v>
      </c>
      <c r="BK5588" s="55" t="s">
        <v>2082</v>
      </c>
      <c r="BN5588" s="55" t="s">
        <v>1688</v>
      </c>
      <c r="BO5588" s="55" t="s">
        <v>1688</v>
      </c>
      <c r="GD5588" s="65">
        <v>13.2</v>
      </c>
      <c r="GE5588" s="65">
        <v>13.7</v>
      </c>
      <c r="GP5588" s="292" t="s">
        <v>7494</v>
      </c>
    </row>
    <row r="5589" spans="1:198" x14ac:dyDescent="0.25">
      <c r="A5589" s="55">
        <v>5588</v>
      </c>
      <c r="B5589" s="12" t="s">
        <v>7067</v>
      </c>
      <c r="C5589" s="155" t="s">
        <v>6671</v>
      </c>
      <c r="D5589" s="55" t="s">
        <v>6690</v>
      </c>
      <c r="E5589" s="90" t="s">
        <v>4387</v>
      </c>
      <c r="G5589" s="55" t="s">
        <v>6672</v>
      </c>
      <c r="H5589" s="55" t="s">
        <v>5864</v>
      </c>
      <c r="I5589" s="55" t="s">
        <v>5490</v>
      </c>
      <c r="J5589" s="55" t="s">
        <v>6673</v>
      </c>
      <c r="K5589" s="55" t="s">
        <v>6674</v>
      </c>
      <c r="L5589" s="55" t="s">
        <v>3377</v>
      </c>
      <c r="M5589" s="90">
        <f>47+21/60</f>
        <v>47.35</v>
      </c>
      <c r="N5589" s="90">
        <f>126+50/60</f>
        <v>126.83333333333333</v>
      </c>
      <c r="Q5589" s="55" t="s">
        <v>1678</v>
      </c>
      <c r="S5589" s="90" t="s">
        <v>6675</v>
      </c>
      <c r="U5589" s="55" t="s">
        <v>1935</v>
      </c>
      <c r="V5589" s="55" t="s">
        <v>1935</v>
      </c>
      <c r="Z5589" s="55" t="s">
        <v>6681</v>
      </c>
      <c r="AA5589" s="90">
        <v>20</v>
      </c>
      <c r="AO5589" s="185" t="s">
        <v>7494</v>
      </c>
      <c r="AU5589" s="181" t="s">
        <v>7494</v>
      </c>
      <c r="AV5589" s="185" t="s">
        <v>176</v>
      </c>
      <c r="AX5589" s="185" t="s">
        <v>176</v>
      </c>
      <c r="BK5589" s="55" t="s">
        <v>2082</v>
      </c>
      <c r="BN5589" s="55" t="s">
        <v>1688</v>
      </c>
      <c r="BO5589" s="55" t="s">
        <v>1688</v>
      </c>
      <c r="GD5589" s="65">
        <v>56</v>
      </c>
      <c r="GE5589" s="65">
        <v>55.8</v>
      </c>
      <c r="GP5589" s="292" t="s">
        <v>7494</v>
      </c>
    </row>
    <row r="5590" spans="1:198" x14ac:dyDescent="0.25">
      <c r="A5590" s="55">
        <v>5589</v>
      </c>
      <c r="B5590" s="12" t="s">
        <v>7067</v>
      </c>
      <c r="C5590" s="155" t="s">
        <v>6671</v>
      </c>
      <c r="D5590" s="55" t="s">
        <v>6690</v>
      </c>
      <c r="E5590" s="90" t="s">
        <v>4387</v>
      </c>
      <c r="G5590" s="55" t="s">
        <v>6672</v>
      </c>
      <c r="H5590" s="55" t="s">
        <v>5864</v>
      </c>
      <c r="I5590" s="55" t="s">
        <v>5490</v>
      </c>
      <c r="J5590" s="55" t="s">
        <v>6673</v>
      </c>
      <c r="K5590" s="55" t="s">
        <v>6674</v>
      </c>
      <c r="L5590" s="55" t="s">
        <v>3377</v>
      </c>
      <c r="M5590" s="90">
        <f>47+21/60</f>
        <v>47.35</v>
      </c>
      <c r="N5590" s="90">
        <f>126+50/60</f>
        <v>126.83333333333333</v>
      </c>
      <c r="Q5590" s="55" t="s">
        <v>1678</v>
      </c>
      <c r="S5590" s="90" t="s">
        <v>6675</v>
      </c>
      <c r="U5590" s="55" t="s">
        <v>1935</v>
      </c>
      <c r="V5590" s="55" t="s">
        <v>1935</v>
      </c>
      <c r="Z5590" s="55" t="s">
        <v>6681</v>
      </c>
      <c r="AA5590" s="90">
        <v>20</v>
      </c>
      <c r="AO5590" s="185" t="s">
        <v>7494</v>
      </c>
      <c r="AU5590" s="181" t="s">
        <v>7494</v>
      </c>
      <c r="AV5590" s="185" t="s">
        <v>176</v>
      </c>
      <c r="AX5590" s="185" t="s">
        <v>176</v>
      </c>
      <c r="BK5590" s="55" t="s">
        <v>2082</v>
      </c>
      <c r="BN5590" s="55" t="s">
        <v>1688</v>
      </c>
      <c r="BO5590" s="55" t="s">
        <v>1688</v>
      </c>
      <c r="GD5590" s="65">
        <v>54.5</v>
      </c>
      <c r="GE5590" s="65">
        <v>54.6</v>
      </c>
      <c r="GP5590" s="292" t="s">
        <v>7494</v>
      </c>
    </row>
    <row r="5591" spans="1:198" x14ac:dyDescent="0.25">
      <c r="A5591" s="55">
        <v>5590</v>
      </c>
      <c r="B5591" s="12" t="s">
        <v>7067</v>
      </c>
      <c r="C5591" s="155" t="s">
        <v>6671</v>
      </c>
      <c r="D5591" s="55" t="s">
        <v>6690</v>
      </c>
      <c r="E5591" s="90" t="s">
        <v>4387</v>
      </c>
      <c r="G5591" s="55" t="s">
        <v>6672</v>
      </c>
      <c r="H5591" s="55" t="s">
        <v>5864</v>
      </c>
      <c r="I5591" s="55" t="s">
        <v>5490</v>
      </c>
      <c r="J5591" s="55" t="s">
        <v>6673</v>
      </c>
      <c r="K5591" s="55" t="s">
        <v>6674</v>
      </c>
      <c r="L5591" s="55" t="s">
        <v>3377</v>
      </c>
      <c r="M5591" s="90">
        <f>47+21/60</f>
        <v>47.35</v>
      </c>
      <c r="N5591" s="90">
        <f>126+50/60</f>
        <v>126.83333333333333</v>
      </c>
      <c r="Q5591" s="55" t="s">
        <v>1678</v>
      </c>
      <c r="S5591" s="90" t="s">
        <v>6675</v>
      </c>
      <c r="U5591" s="55" t="s">
        <v>1935</v>
      </c>
      <c r="V5591" s="55" t="s">
        <v>1935</v>
      </c>
      <c r="Z5591" s="55" t="s">
        <v>6681</v>
      </c>
      <c r="AA5591" s="90">
        <v>20</v>
      </c>
      <c r="AO5591" s="185" t="s">
        <v>7494</v>
      </c>
      <c r="AU5591" s="181" t="s">
        <v>7494</v>
      </c>
      <c r="AV5591" s="185" t="s">
        <v>176</v>
      </c>
      <c r="AX5591" s="185" t="s">
        <v>176</v>
      </c>
      <c r="BK5591" s="55" t="s">
        <v>2082</v>
      </c>
      <c r="BN5591" s="55" t="s">
        <v>1688</v>
      </c>
      <c r="BO5591" s="55" t="s">
        <v>1688</v>
      </c>
      <c r="GD5591" s="65">
        <v>54.6</v>
      </c>
      <c r="GE5591" s="65">
        <v>54.4</v>
      </c>
      <c r="GP5591" s="292" t="s">
        <v>7494</v>
      </c>
    </row>
    <row r="5592" spans="1:198" x14ac:dyDescent="0.25">
      <c r="A5592" s="55">
        <v>5591</v>
      </c>
      <c r="B5592" s="12" t="s">
        <v>7067</v>
      </c>
      <c r="C5592" s="155" t="s">
        <v>6671</v>
      </c>
      <c r="D5592" s="55" t="s">
        <v>6690</v>
      </c>
      <c r="E5592" s="90" t="s">
        <v>4387</v>
      </c>
      <c r="G5592" s="55" t="s">
        <v>6672</v>
      </c>
      <c r="H5592" s="55" t="s">
        <v>5864</v>
      </c>
      <c r="I5592" s="55" t="s">
        <v>5490</v>
      </c>
      <c r="J5592" s="55" t="s">
        <v>6673</v>
      </c>
      <c r="K5592" s="55" t="s">
        <v>6674</v>
      </c>
      <c r="L5592" s="55" t="s">
        <v>3377</v>
      </c>
      <c r="M5592" s="90">
        <f>47+21/60</f>
        <v>47.35</v>
      </c>
      <c r="N5592" s="90">
        <f>126+50/60</f>
        <v>126.83333333333333</v>
      </c>
      <c r="Q5592" s="55" t="s">
        <v>1678</v>
      </c>
      <c r="S5592" s="90" t="s">
        <v>6675</v>
      </c>
      <c r="U5592" s="55" t="s">
        <v>1935</v>
      </c>
      <c r="V5592" s="55" t="s">
        <v>1935</v>
      </c>
      <c r="Z5592" s="55" t="s">
        <v>6681</v>
      </c>
      <c r="AA5592" s="90">
        <v>20</v>
      </c>
      <c r="AO5592" s="185" t="s">
        <v>7494</v>
      </c>
      <c r="AU5592" s="181" t="s">
        <v>7494</v>
      </c>
      <c r="AV5592" s="185" t="s">
        <v>176</v>
      </c>
      <c r="AX5592" s="185" t="s">
        <v>176</v>
      </c>
      <c r="BK5592" s="55" t="s">
        <v>2082</v>
      </c>
      <c r="BN5592" s="55" t="s">
        <v>1688</v>
      </c>
      <c r="BO5592" s="55" t="s">
        <v>1688</v>
      </c>
      <c r="GD5592" s="65">
        <v>53.8</v>
      </c>
      <c r="GE5592" s="65">
        <v>54</v>
      </c>
      <c r="GP5592" s="292" t="s">
        <v>7494</v>
      </c>
    </row>
    <row r="5593" spans="1:198" x14ac:dyDescent="0.25">
      <c r="A5593" s="55">
        <v>5592</v>
      </c>
      <c r="B5593" s="12" t="s">
        <v>7067</v>
      </c>
      <c r="C5593" s="155" t="s">
        <v>6692</v>
      </c>
      <c r="D5593" s="55" t="s">
        <v>6693</v>
      </c>
      <c r="E5593" s="90" t="s">
        <v>6694</v>
      </c>
      <c r="G5593" s="55" t="s">
        <v>6695</v>
      </c>
      <c r="H5593" s="55" t="s">
        <v>5564</v>
      </c>
      <c r="I5593" s="55" t="s">
        <v>5550</v>
      </c>
      <c r="J5593" s="55" t="s">
        <v>6470</v>
      </c>
      <c r="K5593" s="55" t="s">
        <v>6696</v>
      </c>
      <c r="L5593" s="55" t="s">
        <v>3377</v>
      </c>
      <c r="M5593" s="90">
        <v>38.869999999999997</v>
      </c>
      <c r="N5593" s="90">
        <v>115.46</v>
      </c>
      <c r="U5593" s="55" t="s">
        <v>1935</v>
      </c>
      <c r="V5593" s="55" t="s">
        <v>1935</v>
      </c>
      <c r="Z5593" s="55" t="s">
        <v>6508</v>
      </c>
      <c r="AA5593" s="90">
        <v>10</v>
      </c>
      <c r="AO5593" s="185" t="s">
        <v>7494</v>
      </c>
      <c r="AR5593" s="55" t="s">
        <v>116</v>
      </c>
      <c r="AS5593" s="55" t="s">
        <v>116</v>
      </c>
      <c r="AU5593" s="181" t="s">
        <v>7494</v>
      </c>
      <c r="AV5593" s="185" t="s">
        <v>176</v>
      </c>
      <c r="AX5593" s="185" t="s">
        <v>176</v>
      </c>
      <c r="BK5593" s="55" t="s">
        <v>2082</v>
      </c>
      <c r="BN5593" s="55" t="s">
        <v>1688</v>
      </c>
      <c r="BO5593" s="55" t="s">
        <v>1688</v>
      </c>
      <c r="CB5593" s="66">
        <v>3156.7</v>
      </c>
      <c r="CC5593" s="66">
        <v>2010.8</v>
      </c>
      <c r="CG5593" s="65" t="s">
        <v>178</v>
      </c>
      <c r="FJ5593" s="65">
        <v>0.46</v>
      </c>
      <c r="FK5593" s="65">
        <v>0.33</v>
      </c>
      <c r="FN5593" s="65" t="s">
        <v>6697</v>
      </c>
      <c r="GD5593" s="65">
        <v>9.3000000000000007</v>
      </c>
      <c r="GE5593" s="65">
        <v>8.65</v>
      </c>
      <c r="GH5593" s="65" t="s">
        <v>164</v>
      </c>
      <c r="GP5593" s="292" t="s">
        <v>7494</v>
      </c>
    </row>
    <row r="5594" spans="1:198" x14ac:dyDescent="0.25">
      <c r="A5594" s="55">
        <v>5593</v>
      </c>
      <c r="B5594" s="12" t="s">
        <v>7067</v>
      </c>
      <c r="C5594" s="155" t="s">
        <v>6692</v>
      </c>
      <c r="D5594" s="55" t="s">
        <v>6693</v>
      </c>
      <c r="E5594" s="90" t="s">
        <v>6694</v>
      </c>
      <c r="G5594" s="55" t="s">
        <v>6695</v>
      </c>
      <c r="H5594" s="55" t="s">
        <v>5564</v>
      </c>
      <c r="I5594" s="55" t="s">
        <v>5550</v>
      </c>
      <c r="J5594" s="55" t="s">
        <v>6470</v>
      </c>
      <c r="K5594" s="55" t="s">
        <v>6696</v>
      </c>
      <c r="L5594" s="55" t="s">
        <v>3377</v>
      </c>
      <c r="M5594" s="90">
        <v>38.869999999999997</v>
      </c>
      <c r="N5594" s="90">
        <v>115.46</v>
      </c>
      <c r="U5594" s="55" t="s">
        <v>1935</v>
      </c>
      <c r="V5594" s="55" t="s">
        <v>1935</v>
      </c>
      <c r="Z5594" s="55" t="s">
        <v>6508</v>
      </c>
      <c r="AA5594" s="90">
        <v>10</v>
      </c>
      <c r="AO5594" s="185" t="s">
        <v>7494</v>
      </c>
      <c r="AR5594" s="55" t="s">
        <v>116</v>
      </c>
      <c r="AS5594" s="55" t="s">
        <v>116</v>
      </c>
      <c r="AU5594" s="181" t="s">
        <v>7494</v>
      </c>
      <c r="AV5594" s="185" t="s">
        <v>176</v>
      </c>
      <c r="AX5594" s="185" t="s">
        <v>176</v>
      </c>
      <c r="BK5594" s="55" t="s">
        <v>2082</v>
      </c>
      <c r="BN5594" s="55" t="s">
        <v>1688</v>
      </c>
      <c r="BO5594" s="55" t="s">
        <v>1688</v>
      </c>
      <c r="FJ5594" s="65">
        <v>0.26</v>
      </c>
      <c r="FK5594" s="65">
        <v>0.26</v>
      </c>
      <c r="FN5594" s="65" t="s">
        <v>6697</v>
      </c>
      <c r="GD5594" s="65">
        <v>10.01</v>
      </c>
      <c r="GE5594" s="65">
        <v>9.33</v>
      </c>
      <c r="GH5594" s="65" t="s">
        <v>164</v>
      </c>
      <c r="GP5594" s="292" t="s">
        <v>7494</v>
      </c>
    </row>
    <row r="5595" spans="1:198" x14ac:dyDescent="0.25">
      <c r="A5595" s="55">
        <v>5594</v>
      </c>
      <c r="B5595" s="12" t="s">
        <v>7067</v>
      </c>
      <c r="C5595" s="155" t="s">
        <v>6692</v>
      </c>
      <c r="D5595" s="55" t="s">
        <v>6693</v>
      </c>
      <c r="E5595" s="90" t="s">
        <v>6694</v>
      </c>
      <c r="G5595" s="55" t="s">
        <v>6695</v>
      </c>
      <c r="H5595" s="55" t="s">
        <v>5564</v>
      </c>
      <c r="I5595" s="55" t="s">
        <v>5550</v>
      </c>
      <c r="J5595" s="55" t="s">
        <v>6470</v>
      </c>
      <c r="K5595" s="55" t="s">
        <v>6696</v>
      </c>
      <c r="L5595" s="55" t="s">
        <v>3377</v>
      </c>
      <c r="M5595" s="90">
        <v>38.869999999999997</v>
      </c>
      <c r="N5595" s="90">
        <v>115.46</v>
      </c>
      <c r="U5595" s="55" t="s">
        <v>1935</v>
      </c>
      <c r="V5595" s="55" t="s">
        <v>1935</v>
      </c>
      <c r="Z5595" s="55" t="s">
        <v>6508</v>
      </c>
      <c r="AA5595" s="90">
        <v>10</v>
      </c>
      <c r="AO5595" s="185" t="s">
        <v>7494</v>
      </c>
      <c r="AR5595" s="55" t="s">
        <v>116</v>
      </c>
      <c r="AS5595" s="55" t="s">
        <v>116</v>
      </c>
      <c r="AU5595" s="181" t="s">
        <v>7494</v>
      </c>
      <c r="AV5595" s="185" t="s">
        <v>176</v>
      </c>
      <c r="AX5595" s="185" t="s">
        <v>176</v>
      </c>
      <c r="BK5595" s="55" t="s">
        <v>2082</v>
      </c>
      <c r="BN5595" s="55" t="s">
        <v>1688</v>
      </c>
      <c r="BO5595" s="55" t="s">
        <v>1688</v>
      </c>
      <c r="FJ5595" s="65">
        <v>1.4</v>
      </c>
      <c r="FK5595" s="65">
        <v>1.19</v>
      </c>
      <c r="FN5595" s="65" t="s">
        <v>6697</v>
      </c>
      <c r="GD5595" s="65">
        <v>10.01</v>
      </c>
      <c r="GE5595" s="65">
        <v>8.7899999999999991</v>
      </c>
      <c r="GH5595" s="65" t="s">
        <v>164</v>
      </c>
      <c r="GP5595" s="292" t="s">
        <v>7494</v>
      </c>
    </row>
    <row r="5596" spans="1:198" x14ac:dyDescent="0.25">
      <c r="A5596" s="55">
        <v>5595</v>
      </c>
      <c r="B5596" s="12" t="s">
        <v>7067</v>
      </c>
      <c r="C5596" s="155" t="s">
        <v>6692</v>
      </c>
      <c r="D5596" s="55" t="s">
        <v>6693</v>
      </c>
      <c r="E5596" s="90" t="s">
        <v>6694</v>
      </c>
      <c r="G5596" s="55" t="s">
        <v>6695</v>
      </c>
      <c r="H5596" s="55" t="s">
        <v>5564</v>
      </c>
      <c r="I5596" s="55" t="s">
        <v>5550</v>
      </c>
      <c r="J5596" s="55" t="s">
        <v>6470</v>
      </c>
      <c r="K5596" s="55" t="s">
        <v>6696</v>
      </c>
      <c r="L5596" s="55" t="s">
        <v>3377</v>
      </c>
      <c r="M5596" s="90">
        <v>38.869999999999997</v>
      </c>
      <c r="N5596" s="90">
        <v>115.46</v>
      </c>
      <c r="U5596" s="55" t="s">
        <v>1935</v>
      </c>
      <c r="V5596" s="55" t="s">
        <v>1935</v>
      </c>
      <c r="Z5596" s="55" t="s">
        <v>6508</v>
      </c>
      <c r="AA5596" s="90">
        <v>10</v>
      </c>
      <c r="AO5596" s="185" t="s">
        <v>7494</v>
      </c>
      <c r="AR5596" s="55" t="s">
        <v>116</v>
      </c>
      <c r="AS5596" s="55" t="s">
        <v>116</v>
      </c>
      <c r="AU5596" s="181" t="s">
        <v>7494</v>
      </c>
      <c r="AV5596" s="185" t="s">
        <v>176</v>
      </c>
      <c r="AX5596" s="185" t="s">
        <v>176</v>
      </c>
      <c r="BK5596" s="55" t="s">
        <v>2082</v>
      </c>
      <c r="BN5596" s="55" t="s">
        <v>1688</v>
      </c>
      <c r="BO5596" s="55" t="s">
        <v>1688</v>
      </c>
      <c r="FJ5596" s="65">
        <v>3.87</v>
      </c>
      <c r="FK5596" s="65">
        <v>3.42</v>
      </c>
      <c r="FN5596" s="65" t="s">
        <v>6697</v>
      </c>
      <c r="GD5596" s="65">
        <v>9.31</v>
      </c>
      <c r="GE5596" s="65">
        <v>7.82</v>
      </c>
      <c r="GH5596" s="65" t="s">
        <v>164</v>
      </c>
      <c r="GP5596" s="292" t="s">
        <v>7494</v>
      </c>
    </row>
    <row r="5597" spans="1:198" x14ac:dyDescent="0.25">
      <c r="A5597" s="55">
        <v>5596</v>
      </c>
      <c r="B5597" s="12" t="s">
        <v>7067</v>
      </c>
      <c r="C5597" s="155" t="s">
        <v>6692</v>
      </c>
      <c r="D5597" s="55" t="s">
        <v>6693</v>
      </c>
      <c r="E5597" s="90" t="s">
        <v>6694</v>
      </c>
      <c r="G5597" s="55" t="s">
        <v>6695</v>
      </c>
      <c r="H5597" s="55" t="s">
        <v>5564</v>
      </c>
      <c r="I5597" s="55" t="s">
        <v>5550</v>
      </c>
      <c r="J5597" s="55" t="s">
        <v>6470</v>
      </c>
      <c r="K5597" s="55" t="s">
        <v>6696</v>
      </c>
      <c r="L5597" s="55" t="s">
        <v>3377</v>
      </c>
      <c r="M5597" s="90">
        <v>38.869999999999997</v>
      </c>
      <c r="N5597" s="90">
        <v>115.46</v>
      </c>
      <c r="U5597" s="55" t="s">
        <v>1935</v>
      </c>
      <c r="V5597" s="55" t="s">
        <v>1935</v>
      </c>
      <c r="Z5597" s="55" t="s">
        <v>6508</v>
      </c>
      <c r="AA5597" s="90">
        <v>10</v>
      </c>
      <c r="AO5597" s="185" t="s">
        <v>7494</v>
      </c>
      <c r="AR5597" s="55" t="s">
        <v>116</v>
      </c>
      <c r="AS5597" s="55" t="s">
        <v>116</v>
      </c>
      <c r="AU5597" s="181" t="s">
        <v>7494</v>
      </c>
      <c r="AV5597" s="185" t="s">
        <v>176</v>
      </c>
      <c r="AX5597" s="185" t="s">
        <v>176</v>
      </c>
      <c r="BK5597" s="55" t="s">
        <v>2082</v>
      </c>
      <c r="BN5597" s="55" t="s">
        <v>1688</v>
      </c>
      <c r="BO5597" s="55" t="s">
        <v>1688</v>
      </c>
      <c r="FJ5597" s="65">
        <v>3.26</v>
      </c>
      <c r="FK5597" s="65">
        <v>3.05</v>
      </c>
      <c r="FN5597" s="65" t="s">
        <v>6697</v>
      </c>
      <c r="GD5597" s="65">
        <v>8.0399999999999991</v>
      </c>
      <c r="GE5597" s="65">
        <v>9.86</v>
      </c>
      <c r="GH5597" s="65" t="s">
        <v>164</v>
      </c>
      <c r="GP5597" s="292" t="s">
        <v>7494</v>
      </c>
    </row>
    <row r="5598" spans="1:198" x14ac:dyDescent="0.25">
      <c r="A5598" s="55">
        <v>5597</v>
      </c>
      <c r="B5598" s="12" t="s">
        <v>7067</v>
      </c>
      <c r="C5598" s="155" t="s">
        <v>6692</v>
      </c>
      <c r="D5598" s="55" t="s">
        <v>6693</v>
      </c>
      <c r="E5598" s="90" t="s">
        <v>6694</v>
      </c>
      <c r="G5598" s="55" t="s">
        <v>6695</v>
      </c>
      <c r="H5598" s="55" t="s">
        <v>5564</v>
      </c>
      <c r="I5598" s="55" t="s">
        <v>5550</v>
      </c>
      <c r="J5598" s="55" t="s">
        <v>6470</v>
      </c>
      <c r="K5598" s="55" t="s">
        <v>6696</v>
      </c>
      <c r="L5598" s="55" t="s">
        <v>3377</v>
      </c>
      <c r="M5598" s="90">
        <v>38.869999999999997</v>
      </c>
      <c r="N5598" s="90">
        <v>115.46</v>
      </c>
      <c r="U5598" s="55" t="s">
        <v>1935</v>
      </c>
      <c r="V5598" s="55" t="s">
        <v>1935</v>
      </c>
      <c r="Z5598" s="55" t="s">
        <v>6508</v>
      </c>
      <c r="AA5598" s="90">
        <v>10</v>
      </c>
      <c r="AO5598" s="185" t="s">
        <v>7494</v>
      </c>
      <c r="AR5598" s="55" t="s">
        <v>116</v>
      </c>
      <c r="AS5598" s="55" t="s">
        <v>116</v>
      </c>
      <c r="AU5598" s="181" t="s">
        <v>7494</v>
      </c>
      <c r="AV5598" s="185" t="s">
        <v>176</v>
      </c>
      <c r="AX5598" s="185" t="s">
        <v>176</v>
      </c>
      <c r="BK5598" s="55" t="s">
        <v>2082</v>
      </c>
      <c r="BN5598" s="55" t="s">
        <v>1688</v>
      </c>
      <c r="BO5598" s="55" t="s">
        <v>1688</v>
      </c>
      <c r="FJ5598" s="65">
        <v>4.0999999999999996</v>
      </c>
      <c r="FK5598" s="65">
        <v>3.58</v>
      </c>
      <c r="FN5598" s="65" t="s">
        <v>6697</v>
      </c>
      <c r="GD5598" s="65">
        <v>7.03</v>
      </c>
      <c r="GE5598" s="65">
        <v>10.38</v>
      </c>
      <c r="GH5598" s="65" t="s">
        <v>164</v>
      </c>
      <c r="GP5598" s="292" t="s">
        <v>7494</v>
      </c>
    </row>
    <row r="5599" spans="1:198" x14ac:dyDescent="0.25">
      <c r="A5599" s="55">
        <v>5598</v>
      </c>
      <c r="B5599" s="12" t="s">
        <v>7067</v>
      </c>
      <c r="C5599" s="155" t="s">
        <v>6692</v>
      </c>
      <c r="D5599" s="55" t="s">
        <v>6693</v>
      </c>
      <c r="E5599" s="90" t="s">
        <v>6694</v>
      </c>
      <c r="G5599" s="55" t="s">
        <v>6695</v>
      </c>
      <c r="H5599" s="55" t="s">
        <v>5564</v>
      </c>
      <c r="I5599" s="55" t="s">
        <v>5550</v>
      </c>
      <c r="J5599" s="55" t="s">
        <v>6470</v>
      </c>
      <c r="K5599" s="55" t="s">
        <v>6696</v>
      </c>
      <c r="L5599" s="55" t="s">
        <v>3377</v>
      </c>
      <c r="M5599" s="90">
        <v>38.869999999999997</v>
      </c>
      <c r="N5599" s="90">
        <v>115.46</v>
      </c>
      <c r="U5599" s="55" t="s">
        <v>1935</v>
      </c>
      <c r="V5599" s="55" t="s">
        <v>1935</v>
      </c>
      <c r="Z5599" s="55" t="s">
        <v>6509</v>
      </c>
      <c r="AA5599" s="90">
        <v>10</v>
      </c>
      <c r="AO5599" s="185" t="s">
        <v>7494</v>
      </c>
      <c r="AR5599" s="55" t="s">
        <v>116</v>
      </c>
      <c r="AS5599" s="55" t="s">
        <v>116</v>
      </c>
      <c r="AU5599" s="181" t="s">
        <v>7494</v>
      </c>
      <c r="AV5599" s="185" t="s">
        <v>176</v>
      </c>
      <c r="AX5599" s="185" t="s">
        <v>176</v>
      </c>
      <c r="BK5599" s="55" t="s">
        <v>2082</v>
      </c>
      <c r="BN5599" s="55" t="s">
        <v>1688</v>
      </c>
      <c r="BO5599" s="55" t="s">
        <v>1688</v>
      </c>
      <c r="FJ5599" s="65">
        <v>2.44</v>
      </c>
      <c r="FK5599" s="65">
        <v>2.11</v>
      </c>
      <c r="FN5599" s="65" t="s">
        <v>6697</v>
      </c>
      <c r="GD5599" s="65">
        <v>5.94</v>
      </c>
      <c r="GE5599" s="65">
        <v>6.78</v>
      </c>
      <c r="GH5599" s="65" t="s">
        <v>164</v>
      </c>
      <c r="GP5599" s="292" t="s">
        <v>7494</v>
      </c>
    </row>
    <row r="5600" spans="1:198" x14ac:dyDescent="0.25">
      <c r="A5600" s="55">
        <v>5599</v>
      </c>
      <c r="B5600" s="12" t="s">
        <v>7067</v>
      </c>
      <c r="C5600" s="155" t="s">
        <v>6692</v>
      </c>
      <c r="D5600" s="55" t="s">
        <v>6693</v>
      </c>
      <c r="E5600" s="90" t="s">
        <v>6694</v>
      </c>
      <c r="G5600" s="55" t="s">
        <v>6695</v>
      </c>
      <c r="H5600" s="55" t="s">
        <v>5564</v>
      </c>
      <c r="I5600" s="55" t="s">
        <v>5550</v>
      </c>
      <c r="J5600" s="55" t="s">
        <v>6470</v>
      </c>
      <c r="K5600" s="55" t="s">
        <v>6696</v>
      </c>
      <c r="L5600" s="55" t="s">
        <v>3377</v>
      </c>
      <c r="M5600" s="90">
        <v>38.869999999999997</v>
      </c>
      <c r="N5600" s="90">
        <v>115.46</v>
      </c>
      <c r="U5600" s="55" t="s">
        <v>1935</v>
      </c>
      <c r="V5600" s="55" t="s">
        <v>1935</v>
      </c>
      <c r="Z5600" s="55" t="s">
        <v>6509</v>
      </c>
      <c r="AA5600" s="90">
        <v>10</v>
      </c>
      <c r="AO5600" s="185" t="s">
        <v>7494</v>
      </c>
      <c r="AR5600" s="55" t="s">
        <v>116</v>
      </c>
      <c r="AS5600" s="55" t="s">
        <v>116</v>
      </c>
      <c r="AU5600" s="181" t="s">
        <v>7494</v>
      </c>
      <c r="AV5600" s="185" t="s">
        <v>176</v>
      </c>
      <c r="AX5600" s="185" t="s">
        <v>176</v>
      </c>
      <c r="BK5600" s="55" t="s">
        <v>2082</v>
      </c>
      <c r="BN5600" s="55" t="s">
        <v>1688</v>
      </c>
      <c r="BO5600" s="55" t="s">
        <v>1688</v>
      </c>
      <c r="FJ5600" s="65">
        <v>1.88</v>
      </c>
      <c r="FK5600" s="65">
        <v>1.6</v>
      </c>
      <c r="FN5600" s="65" t="s">
        <v>6697</v>
      </c>
      <c r="GD5600" s="65">
        <v>6.25</v>
      </c>
      <c r="GE5600" s="65">
        <v>7.08</v>
      </c>
      <c r="GH5600" s="65" t="s">
        <v>164</v>
      </c>
      <c r="GP5600" s="292" t="s">
        <v>7494</v>
      </c>
    </row>
    <row r="5601" spans="1:198" x14ac:dyDescent="0.25">
      <c r="A5601" s="55">
        <v>5600</v>
      </c>
      <c r="B5601" s="12" t="s">
        <v>7067</v>
      </c>
      <c r="C5601" s="155" t="s">
        <v>6692</v>
      </c>
      <c r="D5601" s="55" t="s">
        <v>6693</v>
      </c>
      <c r="E5601" s="90" t="s">
        <v>6694</v>
      </c>
      <c r="G5601" s="55" t="s">
        <v>6695</v>
      </c>
      <c r="H5601" s="55" t="s">
        <v>5564</v>
      </c>
      <c r="I5601" s="55" t="s">
        <v>5550</v>
      </c>
      <c r="J5601" s="55" t="s">
        <v>6470</v>
      </c>
      <c r="K5601" s="55" t="s">
        <v>6696</v>
      </c>
      <c r="L5601" s="55" t="s">
        <v>3377</v>
      </c>
      <c r="M5601" s="90">
        <v>38.869999999999997</v>
      </c>
      <c r="N5601" s="90">
        <v>115.46</v>
      </c>
      <c r="U5601" s="55" t="s">
        <v>1935</v>
      </c>
      <c r="V5601" s="55" t="s">
        <v>1935</v>
      </c>
      <c r="Z5601" s="55" t="s">
        <v>6509</v>
      </c>
      <c r="AA5601" s="90">
        <v>10</v>
      </c>
      <c r="AO5601" s="185" t="s">
        <v>7494</v>
      </c>
      <c r="AR5601" s="55" t="s">
        <v>116</v>
      </c>
      <c r="AS5601" s="55" t="s">
        <v>116</v>
      </c>
      <c r="AU5601" s="181" t="s">
        <v>7494</v>
      </c>
      <c r="AV5601" s="185" t="s">
        <v>176</v>
      </c>
      <c r="AX5601" s="185" t="s">
        <v>176</v>
      </c>
      <c r="BK5601" s="55" t="s">
        <v>2082</v>
      </c>
      <c r="BN5601" s="55" t="s">
        <v>1688</v>
      </c>
      <c r="BO5601" s="55" t="s">
        <v>1688</v>
      </c>
      <c r="GD5601" s="65">
        <v>6.3</v>
      </c>
      <c r="GE5601" s="65">
        <v>8.2799999999999994</v>
      </c>
      <c r="GH5601" s="65" t="s">
        <v>164</v>
      </c>
      <c r="GP5601" s="292" t="s">
        <v>7494</v>
      </c>
    </row>
    <row r="5602" spans="1:198" x14ac:dyDescent="0.25">
      <c r="A5602" s="55">
        <v>5601</v>
      </c>
      <c r="B5602" s="12" t="s">
        <v>7067</v>
      </c>
      <c r="C5602" s="155" t="s">
        <v>6692</v>
      </c>
      <c r="D5602" s="55" t="s">
        <v>6693</v>
      </c>
      <c r="E5602" s="90" t="s">
        <v>6694</v>
      </c>
      <c r="G5602" s="55" t="s">
        <v>6695</v>
      </c>
      <c r="H5602" s="55" t="s">
        <v>5564</v>
      </c>
      <c r="I5602" s="55" t="s">
        <v>5550</v>
      </c>
      <c r="J5602" s="55" t="s">
        <v>6470</v>
      </c>
      <c r="K5602" s="55" t="s">
        <v>6696</v>
      </c>
      <c r="L5602" s="55" t="s">
        <v>3377</v>
      </c>
      <c r="M5602" s="90">
        <v>38.869999999999997</v>
      </c>
      <c r="N5602" s="90">
        <v>115.46</v>
      </c>
      <c r="U5602" s="55" t="s">
        <v>1935</v>
      </c>
      <c r="V5602" s="55" t="s">
        <v>1935</v>
      </c>
      <c r="Z5602" s="55" t="s">
        <v>6509</v>
      </c>
      <c r="AA5602" s="90">
        <v>10</v>
      </c>
      <c r="AO5602" s="185" t="s">
        <v>7494</v>
      </c>
      <c r="AR5602" s="55" t="s">
        <v>116</v>
      </c>
      <c r="AS5602" s="55" t="s">
        <v>116</v>
      </c>
      <c r="AU5602" s="181" t="s">
        <v>7494</v>
      </c>
      <c r="AV5602" s="185" t="s">
        <v>176</v>
      </c>
      <c r="AX5602" s="185" t="s">
        <v>176</v>
      </c>
      <c r="BK5602" s="55" t="s">
        <v>2082</v>
      </c>
      <c r="BN5602" s="55" t="s">
        <v>1688</v>
      </c>
      <c r="BO5602" s="55" t="s">
        <v>1688</v>
      </c>
      <c r="GD5602" s="65">
        <v>6.25</v>
      </c>
      <c r="GE5602" s="65">
        <v>7.27</v>
      </c>
      <c r="GH5602" s="65" t="s">
        <v>164</v>
      </c>
      <c r="GP5602" s="292" t="s">
        <v>7494</v>
      </c>
    </row>
    <row r="5603" spans="1:198" x14ac:dyDescent="0.25">
      <c r="A5603" s="55">
        <v>5602</v>
      </c>
      <c r="B5603" s="12" t="s">
        <v>7067</v>
      </c>
      <c r="C5603" s="155" t="s">
        <v>6692</v>
      </c>
      <c r="D5603" s="55" t="s">
        <v>6693</v>
      </c>
      <c r="E5603" s="90" t="s">
        <v>6694</v>
      </c>
      <c r="G5603" s="55" t="s">
        <v>6695</v>
      </c>
      <c r="H5603" s="55" t="s">
        <v>5564</v>
      </c>
      <c r="I5603" s="55" t="s">
        <v>5550</v>
      </c>
      <c r="J5603" s="55" t="s">
        <v>6470</v>
      </c>
      <c r="K5603" s="55" t="s">
        <v>6696</v>
      </c>
      <c r="L5603" s="55" t="s">
        <v>3377</v>
      </c>
      <c r="M5603" s="90">
        <v>38.869999999999997</v>
      </c>
      <c r="N5603" s="90">
        <v>115.46</v>
      </c>
      <c r="U5603" s="55" t="s">
        <v>1935</v>
      </c>
      <c r="V5603" s="55" t="s">
        <v>1935</v>
      </c>
      <c r="Z5603" s="55" t="s">
        <v>6509</v>
      </c>
      <c r="AA5603" s="90">
        <v>10</v>
      </c>
      <c r="AO5603" s="185" t="s">
        <v>7494</v>
      </c>
      <c r="AR5603" s="55" t="s">
        <v>116</v>
      </c>
      <c r="AS5603" s="55" t="s">
        <v>116</v>
      </c>
      <c r="AU5603" s="181" t="s">
        <v>7494</v>
      </c>
      <c r="AV5603" s="185" t="s">
        <v>176</v>
      </c>
      <c r="AX5603" s="185" t="s">
        <v>176</v>
      </c>
      <c r="BK5603" s="55" t="s">
        <v>2082</v>
      </c>
      <c r="BN5603" s="55" t="s">
        <v>1688</v>
      </c>
      <c r="BO5603" s="55" t="s">
        <v>1688</v>
      </c>
      <c r="GD5603" s="65">
        <v>5.8</v>
      </c>
      <c r="GE5603" s="65">
        <v>6.3</v>
      </c>
      <c r="GH5603" s="65" t="s">
        <v>164</v>
      </c>
      <c r="GP5603" s="292" t="s">
        <v>7494</v>
      </c>
    </row>
    <row r="5604" spans="1:198" x14ac:dyDescent="0.25">
      <c r="A5604" s="55">
        <v>5603</v>
      </c>
      <c r="B5604" s="12" t="s">
        <v>7067</v>
      </c>
      <c r="C5604" s="155" t="s">
        <v>6692</v>
      </c>
      <c r="D5604" s="55" t="s">
        <v>6693</v>
      </c>
      <c r="E5604" s="90" t="s">
        <v>6694</v>
      </c>
      <c r="G5604" s="55" t="s">
        <v>6695</v>
      </c>
      <c r="H5604" s="55" t="s">
        <v>5564</v>
      </c>
      <c r="I5604" s="55" t="s">
        <v>5550</v>
      </c>
      <c r="J5604" s="55" t="s">
        <v>6470</v>
      </c>
      <c r="K5604" s="55" t="s">
        <v>6696</v>
      </c>
      <c r="L5604" s="55" t="s">
        <v>3377</v>
      </c>
      <c r="M5604" s="90">
        <v>38.869999999999997</v>
      </c>
      <c r="N5604" s="90">
        <v>115.46</v>
      </c>
      <c r="U5604" s="55" t="s">
        <v>1935</v>
      </c>
      <c r="V5604" s="55" t="s">
        <v>1935</v>
      </c>
      <c r="Z5604" s="55" t="s">
        <v>6509</v>
      </c>
      <c r="AA5604" s="90">
        <v>10</v>
      </c>
      <c r="AO5604" s="185" t="s">
        <v>7494</v>
      </c>
      <c r="AR5604" s="55" t="s">
        <v>116</v>
      </c>
      <c r="AS5604" s="55" t="s">
        <v>116</v>
      </c>
      <c r="AU5604" s="181" t="s">
        <v>7494</v>
      </c>
      <c r="AV5604" s="185" t="s">
        <v>176</v>
      </c>
      <c r="AX5604" s="185" t="s">
        <v>176</v>
      </c>
      <c r="BK5604" s="55" t="s">
        <v>2082</v>
      </c>
      <c r="BN5604" s="55" t="s">
        <v>1688</v>
      </c>
      <c r="BO5604" s="55" t="s">
        <v>1688</v>
      </c>
      <c r="GD5604" s="65">
        <v>5.9</v>
      </c>
      <c r="GE5604" s="65">
        <v>6.61</v>
      </c>
      <c r="GH5604" s="65" t="s">
        <v>164</v>
      </c>
      <c r="GP5604" s="292" t="s">
        <v>7494</v>
      </c>
    </row>
    <row r="5605" spans="1:198" x14ac:dyDescent="0.25">
      <c r="A5605" s="55">
        <v>5604</v>
      </c>
      <c r="B5605" s="12" t="s">
        <v>7067</v>
      </c>
      <c r="C5605" s="155" t="s">
        <v>6692</v>
      </c>
      <c r="D5605" s="55" t="s">
        <v>6693</v>
      </c>
      <c r="E5605" s="90" t="s">
        <v>6694</v>
      </c>
      <c r="G5605" s="55" t="s">
        <v>6695</v>
      </c>
      <c r="H5605" s="55" t="s">
        <v>5564</v>
      </c>
      <c r="I5605" s="55" t="s">
        <v>5550</v>
      </c>
      <c r="J5605" s="55" t="s">
        <v>6470</v>
      </c>
      <c r="K5605" s="55" t="s">
        <v>6696</v>
      </c>
      <c r="L5605" s="55" t="s">
        <v>3377</v>
      </c>
      <c r="M5605" s="90">
        <v>38.869999999999997</v>
      </c>
      <c r="N5605" s="90">
        <v>115.46</v>
      </c>
      <c r="U5605" s="55" t="s">
        <v>1935</v>
      </c>
      <c r="V5605" s="55" t="s">
        <v>1935</v>
      </c>
      <c r="Z5605" s="55" t="s">
        <v>6510</v>
      </c>
      <c r="AA5605" s="90">
        <v>10</v>
      </c>
      <c r="AO5605" s="185" t="s">
        <v>7494</v>
      </c>
      <c r="AR5605" s="55" t="s">
        <v>116</v>
      </c>
      <c r="AS5605" s="55" t="s">
        <v>116</v>
      </c>
      <c r="AU5605" s="181" t="s">
        <v>7494</v>
      </c>
      <c r="AV5605" s="185" t="s">
        <v>176</v>
      </c>
      <c r="AX5605" s="185" t="s">
        <v>176</v>
      </c>
      <c r="BK5605" s="55" t="s">
        <v>2082</v>
      </c>
      <c r="BN5605" s="55" t="s">
        <v>1688</v>
      </c>
      <c r="BO5605" s="55" t="s">
        <v>1688</v>
      </c>
      <c r="GD5605" s="65">
        <v>9.33</v>
      </c>
      <c r="GE5605" s="65">
        <v>9.1</v>
      </c>
      <c r="GH5605" s="65" t="s">
        <v>164</v>
      </c>
      <c r="GP5605" s="292" t="s">
        <v>7494</v>
      </c>
    </row>
    <row r="5606" spans="1:198" x14ac:dyDescent="0.25">
      <c r="A5606" s="55">
        <v>5605</v>
      </c>
      <c r="B5606" s="12" t="s">
        <v>7067</v>
      </c>
      <c r="C5606" s="155" t="s">
        <v>6692</v>
      </c>
      <c r="D5606" s="55" t="s">
        <v>6693</v>
      </c>
      <c r="E5606" s="90" t="s">
        <v>6694</v>
      </c>
      <c r="G5606" s="55" t="s">
        <v>6695</v>
      </c>
      <c r="H5606" s="55" t="s">
        <v>5564</v>
      </c>
      <c r="I5606" s="55" t="s">
        <v>5550</v>
      </c>
      <c r="J5606" s="55" t="s">
        <v>6470</v>
      </c>
      <c r="K5606" s="55" t="s">
        <v>6696</v>
      </c>
      <c r="L5606" s="55" t="s">
        <v>3377</v>
      </c>
      <c r="M5606" s="90">
        <v>38.869999999999997</v>
      </c>
      <c r="N5606" s="90">
        <v>115.46</v>
      </c>
      <c r="U5606" s="55" t="s">
        <v>1935</v>
      </c>
      <c r="V5606" s="55" t="s">
        <v>1935</v>
      </c>
      <c r="Z5606" s="55" t="s">
        <v>6510</v>
      </c>
      <c r="AA5606" s="90">
        <v>10</v>
      </c>
      <c r="AO5606" s="185" t="s">
        <v>7494</v>
      </c>
      <c r="AR5606" s="55" t="s">
        <v>116</v>
      </c>
      <c r="AS5606" s="55" t="s">
        <v>116</v>
      </c>
      <c r="AU5606" s="181" t="s">
        <v>7494</v>
      </c>
      <c r="AV5606" s="185" t="s">
        <v>176</v>
      </c>
      <c r="AX5606" s="185" t="s">
        <v>176</v>
      </c>
      <c r="BK5606" s="55" t="s">
        <v>2082</v>
      </c>
      <c r="BN5606" s="55" t="s">
        <v>1688</v>
      </c>
      <c r="BO5606" s="55" t="s">
        <v>1688</v>
      </c>
      <c r="GD5606" s="65">
        <v>8.91</v>
      </c>
      <c r="GE5606" s="65">
        <v>8</v>
      </c>
      <c r="GH5606" s="65" t="s">
        <v>164</v>
      </c>
      <c r="GP5606" s="292" t="s">
        <v>7494</v>
      </c>
    </row>
    <row r="5607" spans="1:198" x14ac:dyDescent="0.25">
      <c r="A5607" s="55">
        <v>5606</v>
      </c>
      <c r="B5607" s="12" t="s">
        <v>7067</v>
      </c>
      <c r="C5607" s="155" t="s">
        <v>6692</v>
      </c>
      <c r="D5607" s="55" t="s">
        <v>6693</v>
      </c>
      <c r="E5607" s="90" t="s">
        <v>6694</v>
      </c>
      <c r="G5607" s="55" t="s">
        <v>6695</v>
      </c>
      <c r="H5607" s="55" t="s">
        <v>5564</v>
      </c>
      <c r="I5607" s="55" t="s">
        <v>5550</v>
      </c>
      <c r="J5607" s="55" t="s">
        <v>6470</v>
      </c>
      <c r="K5607" s="55" t="s">
        <v>6696</v>
      </c>
      <c r="L5607" s="55" t="s">
        <v>3377</v>
      </c>
      <c r="M5607" s="90">
        <v>38.869999999999997</v>
      </c>
      <c r="N5607" s="90">
        <v>115.46</v>
      </c>
      <c r="U5607" s="55" t="s">
        <v>1935</v>
      </c>
      <c r="V5607" s="55" t="s">
        <v>1935</v>
      </c>
      <c r="Z5607" s="55" t="s">
        <v>6510</v>
      </c>
      <c r="AA5607" s="90">
        <v>10</v>
      </c>
      <c r="AO5607" s="185" t="s">
        <v>7494</v>
      </c>
      <c r="AR5607" s="55" t="s">
        <v>116</v>
      </c>
      <c r="AS5607" s="55" t="s">
        <v>116</v>
      </c>
      <c r="AU5607" s="181" t="s">
        <v>7494</v>
      </c>
      <c r="AV5607" s="185" t="s">
        <v>176</v>
      </c>
      <c r="AX5607" s="185" t="s">
        <v>176</v>
      </c>
      <c r="BK5607" s="55" t="s">
        <v>2082</v>
      </c>
      <c r="BN5607" s="55" t="s">
        <v>1688</v>
      </c>
      <c r="BO5607" s="55" t="s">
        <v>1688</v>
      </c>
      <c r="GD5607" s="65">
        <v>9.42</v>
      </c>
      <c r="GE5607" s="65">
        <v>9.1199999999999992</v>
      </c>
      <c r="GH5607" s="65" t="s">
        <v>164</v>
      </c>
      <c r="GP5607" s="292" t="s">
        <v>7494</v>
      </c>
    </row>
    <row r="5608" spans="1:198" x14ac:dyDescent="0.25">
      <c r="A5608" s="55">
        <v>5607</v>
      </c>
      <c r="B5608" s="12" t="s">
        <v>7067</v>
      </c>
      <c r="C5608" s="155" t="s">
        <v>6692</v>
      </c>
      <c r="D5608" s="55" t="s">
        <v>6693</v>
      </c>
      <c r="E5608" s="90" t="s">
        <v>6694</v>
      </c>
      <c r="G5608" s="55" t="s">
        <v>6695</v>
      </c>
      <c r="H5608" s="55" t="s">
        <v>5564</v>
      </c>
      <c r="I5608" s="55" t="s">
        <v>5550</v>
      </c>
      <c r="J5608" s="55" t="s">
        <v>6470</v>
      </c>
      <c r="K5608" s="55" t="s">
        <v>6696</v>
      </c>
      <c r="L5608" s="55" t="s">
        <v>3377</v>
      </c>
      <c r="M5608" s="90">
        <v>38.869999999999997</v>
      </c>
      <c r="N5608" s="90">
        <v>115.46</v>
      </c>
      <c r="U5608" s="55" t="s">
        <v>1935</v>
      </c>
      <c r="V5608" s="55" t="s">
        <v>1935</v>
      </c>
      <c r="Z5608" s="55" t="s">
        <v>6510</v>
      </c>
      <c r="AA5608" s="90">
        <v>10</v>
      </c>
      <c r="AO5608" s="185" t="s">
        <v>7494</v>
      </c>
      <c r="AR5608" s="55" t="s">
        <v>116</v>
      </c>
      <c r="AS5608" s="55" t="s">
        <v>116</v>
      </c>
      <c r="AU5608" s="181" t="s">
        <v>7494</v>
      </c>
      <c r="AV5608" s="185" t="s">
        <v>176</v>
      </c>
      <c r="AX5608" s="185" t="s">
        <v>176</v>
      </c>
      <c r="BK5608" s="55" t="s">
        <v>2082</v>
      </c>
      <c r="BN5608" s="55" t="s">
        <v>1688</v>
      </c>
      <c r="BO5608" s="55" t="s">
        <v>1688</v>
      </c>
      <c r="GD5608" s="65">
        <v>10.56</v>
      </c>
      <c r="GE5608" s="65">
        <v>8.98</v>
      </c>
      <c r="GH5608" s="65" t="s">
        <v>164</v>
      </c>
      <c r="GP5608" s="292" t="s">
        <v>7494</v>
      </c>
    </row>
    <row r="5609" spans="1:198" x14ac:dyDescent="0.25">
      <c r="A5609" s="55">
        <v>5608</v>
      </c>
      <c r="B5609" s="12" t="s">
        <v>7067</v>
      </c>
      <c r="C5609" s="155" t="s">
        <v>6692</v>
      </c>
      <c r="D5609" s="55" t="s">
        <v>6693</v>
      </c>
      <c r="E5609" s="90" t="s">
        <v>6694</v>
      </c>
      <c r="G5609" s="55" t="s">
        <v>6695</v>
      </c>
      <c r="H5609" s="55" t="s">
        <v>5564</v>
      </c>
      <c r="I5609" s="55" t="s">
        <v>5550</v>
      </c>
      <c r="J5609" s="55" t="s">
        <v>6470</v>
      </c>
      <c r="K5609" s="55" t="s">
        <v>6696</v>
      </c>
      <c r="L5609" s="55" t="s">
        <v>3377</v>
      </c>
      <c r="M5609" s="90">
        <v>38.869999999999997</v>
      </c>
      <c r="N5609" s="90">
        <v>115.46</v>
      </c>
      <c r="U5609" s="55" t="s">
        <v>1935</v>
      </c>
      <c r="V5609" s="55" t="s">
        <v>1935</v>
      </c>
      <c r="Z5609" s="55" t="s">
        <v>6510</v>
      </c>
      <c r="AA5609" s="90">
        <v>10</v>
      </c>
      <c r="AO5609" s="185" t="s">
        <v>7494</v>
      </c>
      <c r="AR5609" s="55" t="s">
        <v>116</v>
      </c>
      <c r="AS5609" s="55" t="s">
        <v>116</v>
      </c>
      <c r="AU5609" s="181" t="s">
        <v>7494</v>
      </c>
      <c r="AV5609" s="185" t="s">
        <v>176</v>
      </c>
      <c r="AX5609" s="185" t="s">
        <v>176</v>
      </c>
      <c r="BK5609" s="55" t="s">
        <v>2082</v>
      </c>
      <c r="BN5609" s="55" t="s">
        <v>1688</v>
      </c>
      <c r="BO5609" s="55" t="s">
        <v>1688</v>
      </c>
      <c r="GD5609" s="65">
        <v>8.51</v>
      </c>
      <c r="GE5609" s="65">
        <v>7.75</v>
      </c>
      <c r="GH5609" s="65" t="s">
        <v>164</v>
      </c>
      <c r="GP5609" s="292" t="s">
        <v>7494</v>
      </c>
    </row>
    <row r="5610" spans="1:198" x14ac:dyDescent="0.25">
      <c r="A5610" s="55">
        <v>5609</v>
      </c>
      <c r="B5610" s="12" t="s">
        <v>7067</v>
      </c>
      <c r="C5610" s="155" t="s">
        <v>6692</v>
      </c>
      <c r="D5610" s="55" t="s">
        <v>6693</v>
      </c>
      <c r="E5610" s="90" t="s">
        <v>6694</v>
      </c>
      <c r="G5610" s="55" t="s">
        <v>6695</v>
      </c>
      <c r="H5610" s="55" t="s">
        <v>5564</v>
      </c>
      <c r="I5610" s="55" t="s">
        <v>5550</v>
      </c>
      <c r="J5610" s="55" t="s">
        <v>6470</v>
      </c>
      <c r="K5610" s="55" t="s">
        <v>6696</v>
      </c>
      <c r="L5610" s="55" t="s">
        <v>3377</v>
      </c>
      <c r="M5610" s="90">
        <v>38.869999999999997</v>
      </c>
      <c r="N5610" s="90">
        <v>115.46</v>
      </c>
      <c r="U5610" s="55" t="s">
        <v>1935</v>
      </c>
      <c r="V5610" s="55" t="s">
        <v>1935</v>
      </c>
      <c r="Z5610" s="55" t="s">
        <v>6510</v>
      </c>
      <c r="AA5610" s="90">
        <v>10</v>
      </c>
      <c r="AO5610" s="185" t="s">
        <v>7494</v>
      </c>
      <c r="AR5610" s="55" t="s">
        <v>116</v>
      </c>
      <c r="AS5610" s="55" t="s">
        <v>116</v>
      </c>
      <c r="AU5610" s="181" t="s">
        <v>7494</v>
      </c>
      <c r="AV5610" s="185" t="s">
        <v>176</v>
      </c>
      <c r="AX5610" s="185" t="s">
        <v>176</v>
      </c>
      <c r="BK5610" s="55" t="s">
        <v>2082</v>
      </c>
      <c r="BN5610" s="55" t="s">
        <v>1688</v>
      </c>
      <c r="BO5610" s="55" t="s">
        <v>1688</v>
      </c>
      <c r="GD5610" s="65">
        <v>9.98</v>
      </c>
      <c r="GE5610" s="65">
        <v>8.14</v>
      </c>
      <c r="GH5610" s="65" t="s">
        <v>164</v>
      </c>
      <c r="GP5610" s="292" t="s">
        <v>7494</v>
      </c>
    </row>
    <row r="5611" spans="1:198" x14ac:dyDescent="0.25">
      <c r="A5611" s="55">
        <v>5610</v>
      </c>
      <c r="B5611" s="12" t="s">
        <v>7067</v>
      </c>
      <c r="C5611" s="155" t="s">
        <v>6692</v>
      </c>
      <c r="D5611" s="55" t="s">
        <v>6693</v>
      </c>
      <c r="E5611" s="90" t="s">
        <v>6694</v>
      </c>
      <c r="G5611" s="55" t="s">
        <v>6695</v>
      </c>
      <c r="H5611" s="55" t="s">
        <v>5564</v>
      </c>
      <c r="I5611" s="55" t="s">
        <v>5550</v>
      </c>
      <c r="J5611" s="55" t="s">
        <v>6470</v>
      </c>
      <c r="K5611" s="55" t="s">
        <v>6696</v>
      </c>
      <c r="L5611" s="55" t="s">
        <v>3377</v>
      </c>
      <c r="M5611" s="90">
        <v>38.869999999999997</v>
      </c>
      <c r="N5611" s="90">
        <v>115.46</v>
      </c>
      <c r="U5611" s="55" t="s">
        <v>1935</v>
      </c>
      <c r="V5611" s="55" t="s">
        <v>1935</v>
      </c>
      <c r="Z5611" s="55" t="s">
        <v>6613</v>
      </c>
      <c r="AA5611" s="90">
        <v>10</v>
      </c>
      <c r="AO5611" s="185" t="s">
        <v>7494</v>
      </c>
      <c r="AR5611" s="55" t="s">
        <v>116</v>
      </c>
      <c r="AS5611" s="55" t="s">
        <v>116</v>
      </c>
      <c r="AU5611" s="181" t="s">
        <v>7494</v>
      </c>
      <c r="AV5611" s="185" t="s">
        <v>176</v>
      </c>
      <c r="AX5611" s="185" t="s">
        <v>176</v>
      </c>
      <c r="BK5611" s="55" t="s">
        <v>2082</v>
      </c>
      <c r="BN5611" s="55" t="s">
        <v>1688</v>
      </c>
      <c r="BO5611" s="55" t="s">
        <v>1688</v>
      </c>
      <c r="GD5611" s="65">
        <v>10.29</v>
      </c>
      <c r="GE5611" s="65">
        <v>10.4</v>
      </c>
      <c r="GH5611" s="65" t="s">
        <v>164</v>
      </c>
      <c r="GP5611" s="292" t="s">
        <v>7494</v>
      </c>
    </row>
    <row r="5612" spans="1:198" x14ac:dyDescent="0.25">
      <c r="A5612" s="55">
        <v>5611</v>
      </c>
      <c r="B5612" s="12" t="s">
        <v>7067</v>
      </c>
      <c r="C5612" s="155" t="s">
        <v>6692</v>
      </c>
      <c r="D5612" s="55" t="s">
        <v>6693</v>
      </c>
      <c r="E5612" s="90" t="s">
        <v>6694</v>
      </c>
      <c r="G5612" s="55" t="s">
        <v>6695</v>
      </c>
      <c r="H5612" s="55" t="s">
        <v>5564</v>
      </c>
      <c r="I5612" s="55" t="s">
        <v>5550</v>
      </c>
      <c r="J5612" s="55" t="s">
        <v>6470</v>
      </c>
      <c r="K5612" s="55" t="s">
        <v>6696</v>
      </c>
      <c r="L5612" s="55" t="s">
        <v>3377</v>
      </c>
      <c r="M5612" s="90">
        <v>38.869999999999997</v>
      </c>
      <c r="N5612" s="90">
        <v>115.46</v>
      </c>
      <c r="U5612" s="55" t="s">
        <v>1935</v>
      </c>
      <c r="V5612" s="55" t="s">
        <v>1935</v>
      </c>
      <c r="Z5612" s="55" t="s">
        <v>6613</v>
      </c>
      <c r="AA5612" s="90">
        <v>10</v>
      </c>
      <c r="AO5612" s="185" t="s">
        <v>7494</v>
      </c>
      <c r="AR5612" s="55" t="s">
        <v>116</v>
      </c>
      <c r="AS5612" s="55" t="s">
        <v>116</v>
      </c>
      <c r="AU5612" s="181" t="s">
        <v>7494</v>
      </c>
      <c r="AV5612" s="185" t="s">
        <v>176</v>
      </c>
      <c r="AX5612" s="185" t="s">
        <v>176</v>
      </c>
      <c r="BK5612" s="55" t="s">
        <v>2082</v>
      </c>
      <c r="BN5612" s="55" t="s">
        <v>1688</v>
      </c>
      <c r="BO5612" s="55" t="s">
        <v>1688</v>
      </c>
      <c r="GD5612" s="65">
        <v>10.37</v>
      </c>
      <c r="GE5612" s="65">
        <v>8.67</v>
      </c>
      <c r="GH5612" s="65" t="s">
        <v>164</v>
      </c>
      <c r="GP5612" s="292" t="s">
        <v>7494</v>
      </c>
    </row>
    <row r="5613" spans="1:198" x14ac:dyDescent="0.25">
      <c r="A5613" s="55">
        <v>5612</v>
      </c>
      <c r="B5613" s="12" t="s">
        <v>7067</v>
      </c>
      <c r="C5613" s="155" t="s">
        <v>6692</v>
      </c>
      <c r="D5613" s="55" t="s">
        <v>6693</v>
      </c>
      <c r="E5613" s="90" t="s">
        <v>6694</v>
      </c>
      <c r="G5613" s="55" t="s">
        <v>6695</v>
      </c>
      <c r="H5613" s="55" t="s">
        <v>5564</v>
      </c>
      <c r="I5613" s="55" t="s">
        <v>5550</v>
      </c>
      <c r="J5613" s="55" t="s">
        <v>6470</v>
      </c>
      <c r="K5613" s="55" t="s">
        <v>6696</v>
      </c>
      <c r="L5613" s="55" t="s">
        <v>3377</v>
      </c>
      <c r="M5613" s="90">
        <v>38.869999999999997</v>
      </c>
      <c r="N5613" s="90">
        <v>115.46</v>
      </c>
      <c r="U5613" s="55" t="s">
        <v>1935</v>
      </c>
      <c r="V5613" s="55" t="s">
        <v>1935</v>
      </c>
      <c r="Z5613" s="55" t="s">
        <v>6613</v>
      </c>
      <c r="AA5613" s="90">
        <v>10</v>
      </c>
      <c r="AO5613" s="185" t="s">
        <v>7494</v>
      </c>
      <c r="AR5613" s="55" t="s">
        <v>116</v>
      </c>
      <c r="AS5613" s="55" t="s">
        <v>116</v>
      </c>
      <c r="AU5613" s="181" t="s">
        <v>7494</v>
      </c>
      <c r="AV5613" s="185" t="s">
        <v>176</v>
      </c>
      <c r="AX5613" s="185" t="s">
        <v>176</v>
      </c>
      <c r="BK5613" s="55" t="s">
        <v>2082</v>
      </c>
      <c r="BN5613" s="55" t="s">
        <v>1688</v>
      </c>
      <c r="BO5613" s="55" t="s">
        <v>1688</v>
      </c>
      <c r="GD5613" s="65">
        <v>10.130000000000001</v>
      </c>
      <c r="GE5613" s="65">
        <v>7.49</v>
      </c>
      <c r="GH5613" s="65" t="s">
        <v>164</v>
      </c>
      <c r="GP5613" s="292" t="s">
        <v>7494</v>
      </c>
    </row>
    <row r="5614" spans="1:198" x14ac:dyDescent="0.25">
      <c r="A5614" s="55">
        <v>5613</v>
      </c>
      <c r="B5614" s="12" t="s">
        <v>7067</v>
      </c>
      <c r="C5614" s="155" t="s">
        <v>6692</v>
      </c>
      <c r="D5614" s="55" t="s">
        <v>6693</v>
      </c>
      <c r="E5614" s="90" t="s">
        <v>6694</v>
      </c>
      <c r="G5614" s="55" t="s">
        <v>6695</v>
      </c>
      <c r="H5614" s="55" t="s">
        <v>5564</v>
      </c>
      <c r="I5614" s="55" t="s">
        <v>5550</v>
      </c>
      <c r="J5614" s="55" t="s">
        <v>6470</v>
      </c>
      <c r="K5614" s="55" t="s">
        <v>6696</v>
      </c>
      <c r="L5614" s="55" t="s">
        <v>3377</v>
      </c>
      <c r="M5614" s="90">
        <v>38.869999999999997</v>
      </c>
      <c r="N5614" s="90">
        <v>115.46</v>
      </c>
      <c r="U5614" s="55" t="s">
        <v>1935</v>
      </c>
      <c r="V5614" s="55" t="s">
        <v>1935</v>
      </c>
      <c r="Z5614" s="55" t="s">
        <v>6613</v>
      </c>
      <c r="AA5614" s="90">
        <v>10</v>
      </c>
      <c r="AO5614" s="185" t="s">
        <v>7494</v>
      </c>
      <c r="AR5614" s="55" t="s">
        <v>116</v>
      </c>
      <c r="AS5614" s="55" t="s">
        <v>116</v>
      </c>
      <c r="AU5614" s="181" t="s">
        <v>7494</v>
      </c>
      <c r="AV5614" s="185" t="s">
        <v>176</v>
      </c>
      <c r="AX5614" s="185" t="s">
        <v>176</v>
      </c>
      <c r="BK5614" s="55" t="s">
        <v>2082</v>
      </c>
      <c r="BN5614" s="55" t="s">
        <v>1688</v>
      </c>
      <c r="BO5614" s="55" t="s">
        <v>1688</v>
      </c>
      <c r="GD5614" s="65">
        <v>10.31</v>
      </c>
      <c r="GE5614" s="65">
        <v>6.14</v>
      </c>
      <c r="GH5614" s="65" t="s">
        <v>164</v>
      </c>
      <c r="GP5614" s="292" t="s">
        <v>7494</v>
      </c>
    </row>
    <row r="5615" spans="1:198" x14ac:dyDescent="0.25">
      <c r="A5615" s="55">
        <v>5614</v>
      </c>
      <c r="B5615" s="12" t="s">
        <v>7067</v>
      </c>
      <c r="C5615" s="155" t="s">
        <v>6692</v>
      </c>
      <c r="D5615" s="55" t="s">
        <v>6693</v>
      </c>
      <c r="E5615" s="90" t="s">
        <v>6694</v>
      </c>
      <c r="G5615" s="55" t="s">
        <v>6695</v>
      </c>
      <c r="H5615" s="55" t="s">
        <v>5564</v>
      </c>
      <c r="I5615" s="55" t="s">
        <v>5550</v>
      </c>
      <c r="J5615" s="55" t="s">
        <v>6470</v>
      </c>
      <c r="K5615" s="55" t="s">
        <v>6696</v>
      </c>
      <c r="L5615" s="55" t="s">
        <v>3377</v>
      </c>
      <c r="M5615" s="90">
        <v>38.869999999999997</v>
      </c>
      <c r="N5615" s="90">
        <v>115.46</v>
      </c>
      <c r="U5615" s="55" t="s">
        <v>1935</v>
      </c>
      <c r="V5615" s="55" t="s">
        <v>1935</v>
      </c>
      <c r="Z5615" s="55" t="s">
        <v>6613</v>
      </c>
      <c r="AA5615" s="90">
        <v>10</v>
      </c>
      <c r="AO5615" s="185" t="s">
        <v>7494</v>
      </c>
      <c r="AR5615" s="55" t="s">
        <v>116</v>
      </c>
      <c r="AS5615" s="55" t="s">
        <v>116</v>
      </c>
      <c r="AU5615" s="181" t="s">
        <v>7494</v>
      </c>
      <c r="AV5615" s="185" t="s">
        <v>176</v>
      </c>
      <c r="AX5615" s="185" t="s">
        <v>176</v>
      </c>
      <c r="BK5615" s="55" t="s">
        <v>2082</v>
      </c>
      <c r="BN5615" s="55" t="s">
        <v>1688</v>
      </c>
      <c r="BO5615" s="55" t="s">
        <v>1688</v>
      </c>
      <c r="GD5615" s="65">
        <v>8.59</v>
      </c>
      <c r="GE5615" s="65">
        <v>5.54</v>
      </c>
      <c r="GH5615" s="65" t="s">
        <v>164</v>
      </c>
      <c r="GP5615" s="292" t="s">
        <v>7494</v>
      </c>
    </row>
    <row r="5616" spans="1:198" x14ac:dyDescent="0.25">
      <c r="A5616" s="55">
        <v>5615</v>
      </c>
      <c r="B5616" s="12" t="s">
        <v>7067</v>
      </c>
      <c r="C5616" s="155" t="s">
        <v>6692</v>
      </c>
      <c r="D5616" s="55" t="s">
        <v>6693</v>
      </c>
      <c r="E5616" s="90" t="s">
        <v>6694</v>
      </c>
      <c r="G5616" s="55" t="s">
        <v>6695</v>
      </c>
      <c r="H5616" s="55" t="s">
        <v>5564</v>
      </c>
      <c r="I5616" s="55" t="s">
        <v>5550</v>
      </c>
      <c r="J5616" s="55" t="s">
        <v>6470</v>
      </c>
      <c r="K5616" s="55" t="s">
        <v>6696</v>
      </c>
      <c r="L5616" s="55" t="s">
        <v>3377</v>
      </c>
      <c r="M5616" s="90">
        <v>38.869999999999997</v>
      </c>
      <c r="N5616" s="90">
        <v>115.46</v>
      </c>
      <c r="U5616" s="55" t="s">
        <v>1935</v>
      </c>
      <c r="V5616" s="55" t="s">
        <v>1935</v>
      </c>
      <c r="Z5616" s="55" t="s">
        <v>6613</v>
      </c>
      <c r="AA5616" s="90">
        <v>10</v>
      </c>
      <c r="AO5616" s="185" t="s">
        <v>7494</v>
      </c>
      <c r="AR5616" s="55" t="s">
        <v>116</v>
      </c>
      <c r="AS5616" s="55" t="s">
        <v>116</v>
      </c>
      <c r="AU5616" s="181" t="s">
        <v>7494</v>
      </c>
      <c r="AV5616" s="185" t="s">
        <v>176</v>
      </c>
      <c r="AX5616" s="185" t="s">
        <v>176</v>
      </c>
      <c r="BK5616" s="55" t="s">
        <v>2082</v>
      </c>
      <c r="BN5616" s="55" t="s">
        <v>1688</v>
      </c>
      <c r="BO5616" s="55" t="s">
        <v>1688</v>
      </c>
      <c r="GD5616" s="65">
        <v>10.43</v>
      </c>
      <c r="GE5616" s="65">
        <v>6.26</v>
      </c>
      <c r="GH5616" s="65" t="s">
        <v>164</v>
      </c>
      <c r="GP5616" s="292" t="s">
        <v>7494</v>
      </c>
    </row>
    <row r="5617" spans="1:198" x14ac:dyDescent="0.25">
      <c r="A5617" s="55">
        <v>5616</v>
      </c>
      <c r="B5617" s="12" t="s">
        <v>7067</v>
      </c>
      <c r="C5617" s="155" t="s">
        <v>6698</v>
      </c>
      <c r="D5617" s="55" t="s">
        <v>6702</v>
      </c>
      <c r="E5617" s="90" t="s">
        <v>4387</v>
      </c>
      <c r="G5617" s="55" t="s">
        <v>6699</v>
      </c>
      <c r="H5617" s="55" t="s">
        <v>4353</v>
      </c>
      <c r="I5617" s="55" t="s">
        <v>5608</v>
      </c>
      <c r="J5617" s="55" t="s">
        <v>6666</v>
      </c>
      <c r="K5617" s="55" t="s">
        <v>6700</v>
      </c>
      <c r="L5617" s="55" t="s">
        <v>2737</v>
      </c>
      <c r="M5617" s="90">
        <v>45.67</v>
      </c>
      <c r="N5617" s="90">
        <v>-118.79</v>
      </c>
      <c r="U5617" s="55" t="s">
        <v>1805</v>
      </c>
      <c r="V5617" s="55" t="s">
        <v>1688</v>
      </c>
      <c r="AO5617" s="185" t="s">
        <v>7494</v>
      </c>
      <c r="AR5617" s="55" t="s">
        <v>116</v>
      </c>
      <c r="AS5617" s="55" t="s">
        <v>116</v>
      </c>
      <c r="AT5617" s="181" t="s">
        <v>6701</v>
      </c>
      <c r="AU5617" s="181" t="s">
        <v>5150</v>
      </c>
      <c r="AV5617" s="185" t="s">
        <v>479</v>
      </c>
      <c r="AW5617" s="55" t="s">
        <v>6701</v>
      </c>
      <c r="AX5617" s="185" t="s">
        <v>479</v>
      </c>
      <c r="AY5617" s="55" t="s">
        <v>176</v>
      </c>
      <c r="AZ5617" s="12"/>
      <c r="BK5617" s="55" t="s">
        <v>2082</v>
      </c>
      <c r="BN5617" s="55" t="s">
        <v>1887</v>
      </c>
      <c r="BO5617" s="55" t="s">
        <v>1887</v>
      </c>
      <c r="FJ5617" s="65">
        <v>21</v>
      </c>
      <c r="FK5617" s="65">
        <v>10</v>
      </c>
      <c r="FN5617" s="65" t="s">
        <v>178</v>
      </c>
      <c r="FO5617" s="65">
        <v>0.61</v>
      </c>
      <c r="FP5617" s="65">
        <v>0.38</v>
      </c>
      <c r="FS5617" s="65" t="s">
        <v>637</v>
      </c>
      <c r="GP5617" s="292" t="s">
        <v>7494</v>
      </c>
    </row>
    <row r="5618" spans="1:198" x14ac:dyDescent="0.25">
      <c r="A5618" s="55">
        <v>5617</v>
      </c>
      <c r="B5618" s="12" t="s">
        <v>7067</v>
      </c>
      <c r="C5618" s="155" t="s">
        <v>6698</v>
      </c>
      <c r="D5618" s="55" t="s">
        <v>6702</v>
      </c>
      <c r="E5618" s="90" t="s">
        <v>4387</v>
      </c>
      <c r="G5618" s="55" t="s">
        <v>6699</v>
      </c>
      <c r="H5618" s="55" t="s">
        <v>4353</v>
      </c>
      <c r="I5618" s="55" t="s">
        <v>5608</v>
      </c>
      <c r="J5618" s="55" t="s">
        <v>6666</v>
      </c>
      <c r="K5618" s="55" t="s">
        <v>6700</v>
      </c>
      <c r="L5618" s="55" t="s">
        <v>2737</v>
      </c>
      <c r="M5618" s="90">
        <v>45.67</v>
      </c>
      <c r="N5618" s="90">
        <v>-118.79</v>
      </c>
      <c r="U5618" s="55" t="s">
        <v>1805</v>
      </c>
      <c r="V5618" s="55" t="s">
        <v>1688</v>
      </c>
      <c r="AO5618" s="185" t="s">
        <v>7494</v>
      </c>
      <c r="AR5618" s="55" t="s">
        <v>116</v>
      </c>
      <c r="AS5618" s="55" t="s">
        <v>116</v>
      </c>
      <c r="AT5618" s="181" t="s">
        <v>6701</v>
      </c>
      <c r="AU5618" s="181" t="s">
        <v>5150</v>
      </c>
      <c r="AV5618" s="185" t="s">
        <v>479</v>
      </c>
      <c r="AW5618" s="55" t="s">
        <v>6701</v>
      </c>
      <c r="AX5618" s="185" t="s">
        <v>479</v>
      </c>
      <c r="AY5618" s="55" t="s">
        <v>176</v>
      </c>
      <c r="AZ5618" s="12"/>
      <c r="BK5618" s="55" t="s">
        <v>2082</v>
      </c>
      <c r="BN5618" s="55" t="s">
        <v>1887</v>
      </c>
      <c r="BO5618" s="55" t="s">
        <v>1887</v>
      </c>
      <c r="FJ5618" s="65">
        <v>21</v>
      </c>
      <c r="FK5618" s="65">
        <v>29</v>
      </c>
      <c r="FN5618" s="65" t="s">
        <v>178</v>
      </c>
      <c r="FO5618" s="65">
        <v>0.6</v>
      </c>
      <c r="FP5618" s="65">
        <v>0.71</v>
      </c>
      <c r="FS5618" s="65" t="s">
        <v>637</v>
      </c>
      <c r="GP5618" s="292" t="s">
        <v>7494</v>
      </c>
    </row>
    <row r="5619" spans="1:198" x14ac:dyDescent="0.25">
      <c r="A5619" s="55">
        <v>5618</v>
      </c>
      <c r="B5619" s="12" t="s">
        <v>7067</v>
      </c>
      <c r="C5619" s="155" t="s">
        <v>6698</v>
      </c>
      <c r="D5619" s="55" t="s">
        <v>6703</v>
      </c>
      <c r="E5619" s="90" t="s">
        <v>4387</v>
      </c>
      <c r="G5619" s="55" t="s">
        <v>6699</v>
      </c>
      <c r="H5619" s="55" t="s">
        <v>4353</v>
      </c>
      <c r="I5619" s="55" t="s">
        <v>5608</v>
      </c>
      <c r="J5619" s="55" t="s">
        <v>6666</v>
      </c>
      <c r="K5619" s="55" t="s">
        <v>6700</v>
      </c>
      <c r="L5619" s="55" t="s">
        <v>2737</v>
      </c>
      <c r="M5619" s="90">
        <v>45.67</v>
      </c>
      <c r="N5619" s="90">
        <v>-118.79</v>
      </c>
      <c r="U5619" s="55" t="s">
        <v>1805</v>
      </c>
      <c r="V5619" s="55" t="s">
        <v>1688</v>
      </c>
      <c r="AO5619" s="185" t="s">
        <v>7494</v>
      </c>
      <c r="AR5619" s="55" t="s">
        <v>116</v>
      </c>
      <c r="AS5619" s="55" t="s">
        <v>116</v>
      </c>
      <c r="AT5619" s="181" t="s">
        <v>6701</v>
      </c>
      <c r="AU5619" s="181" t="s">
        <v>5150</v>
      </c>
      <c r="AV5619" s="185" t="s">
        <v>479</v>
      </c>
      <c r="AW5619" s="55" t="s">
        <v>6701</v>
      </c>
      <c r="AX5619" s="185" t="s">
        <v>479</v>
      </c>
      <c r="AY5619" s="55" t="s">
        <v>176</v>
      </c>
      <c r="AZ5619" s="12"/>
      <c r="BK5619" s="55" t="s">
        <v>2082</v>
      </c>
      <c r="BN5619" s="55" t="s">
        <v>1887</v>
      </c>
      <c r="BO5619" s="55" t="s">
        <v>1887</v>
      </c>
      <c r="FJ5619" s="65">
        <v>0.6</v>
      </c>
      <c r="FK5619" s="65">
        <v>0.4</v>
      </c>
      <c r="FN5619" s="65" t="s">
        <v>178</v>
      </c>
      <c r="FO5619" s="65">
        <v>0.22</v>
      </c>
      <c r="FP5619" s="65">
        <v>0.1</v>
      </c>
      <c r="FS5619" s="65" t="s">
        <v>637</v>
      </c>
      <c r="GP5619" s="292" t="s">
        <v>7494</v>
      </c>
    </row>
    <row r="5620" spans="1:198" x14ac:dyDescent="0.25">
      <c r="A5620" s="55">
        <v>5619</v>
      </c>
      <c r="B5620" s="12" t="s">
        <v>7067</v>
      </c>
      <c r="C5620" s="155" t="s">
        <v>6698</v>
      </c>
      <c r="D5620" s="55" t="s">
        <v>6704</v>
      </c>
      <c r="E5620" s="90" t="s">
        <v>4387</v>
      </c>
      <c r="G5620" s="55" t="s">
        <v>6699</v>
      </c>
      <c r="H5620" s="55" t="s">
        <v>4353</v>
      </c>
      <c r="I5620" s="55" t="s">
        <v>5608</v>
      </c>
      <c r="J5620" s="55" t="s">
        <v>6666</v>
      </c>
      <c r="K5620" s="55" t="s">
        <v>6700</v>
      </c>
      <c r="L5620" s="55" t="s">
        <v>2737</v>
      </c>
      <c r="M5620" s="90">
        <v>45.67</v>
      </c>
      <c r="N5620" s="90">
        <v>-118.79</v>
      </c>
      <c r="U5620" s="55" t="s">
        <v>1805</v>
      </c>
      <c r="V5620" s="55" t="s">
        <v>1688</v>
      </c>
      <c r="AO5620" s="185" t="s">
        <v>7494</v>
      </c>
      <c r="AR5620" s="55" t="s">
        <v>116</v>
      </c>
      <c r="AS5620" s="55" t="s">
        <v>116</v>
      </c>
      <c r="AT5620" s="181" t="s">
        <v>6701</v>
      </c>
      <c r="AU5620" s="181" t="s">
        <v>5150</v>
      </c>
      <c r="AV5620" s="185" t="s">
        <v>479</v>
      </c>
      <c r="AW5620" s="55" t="s">
        <v>6701</v>
      </c>
      <c r="AX5620" s="185" t="s">
        <v>479</v>
      </c>
      <c r="AY5620" s="55" t="s">
        <v>176</v>
      </c>
      <c r="AZ5620" s="12"/>
      <c r="BK5620" s="55" t="s">
        <v>2082</v>
      </c>
      <c r="BN5620" s="55" t="s">
        <v>1887</v>
      </c>
      <c r="BO5620" s="55" t="s">
        <v>1887</v>
      </c>
      <c r="FJ5620" s="65">
        <v>49</v>
      </c>
      <c r="FK5620" s="65">
        <v>1</v>
      </c>
      <c r="FN5620" s="65" t="s">
        <v>178</v>
      </c>
      <c r="FO5620" s="65">
        <v>0.88</v>
      </c>
      <c r="FP5620" s="65">
        <v>0.3</v>
      </c>
      <c r="FS5620" s="65" t="s">
        <v>637</v>
      </c>
      <c r="GP5620" s="292" t="s">
        <v>7494</v>
      </c>
    </row>
    <row r="5621" spans="1:198" x14ac:dyDescent="0.25">
      <c r="A5621" s="55">
        <v>5620</v>
      </c>
      <c r="B5621" s="12" t="s">
        <v>7067</v>
      </c>
      <c r="C5621" s="155" t="s">
        <v>6698</v>
      </c>
      <c r="D5621" s="55" t="s">
        <v>6705</v>
      </c>
      <c r="E5621" s="90" t="s">
        <v>4387</v>
      </c>
      <c r="G5621" s="55" t="s">
        <v>6699</v>
      </c>
      <c r="H5621" s="55" t="s">
        <v>4353</v>
      </c>
      <c r="I5621" s="55" t="s">
        <v>5608</v>
      </c>
      <c r="J5621" s="55" t="s">
        <v>6666</v>
      </c>
      <c r="K5621" s="55" t="s">
        <v>6700</v>
      </c>
      <c r="L5621" s="55" t="s">
        <v>2737</v>
      </c>
      <c r="M5621" s="90">
        <v>45.67</v>
      </c>
      <c r="N5621" s="90">
        <v>-118.79</v>
      </c>
      <c r="U5621" s="55" t="s">
        <v>1805</v>
      </c>
      <c r="V5621" s="55" t="s">
        <v>1688</v>
      </c>
      <c r="AO5621" s="185" t="s">
        <v>7494</v>
      </c>
      <c r="AR5621" s="55" t="s">
        <v>116</v>
      </c>
      <c r="AS5621" s="55" t="s">
        <v>116</v>
      </c>
      <c r="AT5621" s="181" t="s">
        <v>6701</v>
      </c>
      <c r="AU5621" s="181" t="s">
        <v>5150</v>
      </c>
      <c r="AV5621" s="185" t="s">
        <v>479</v>
      </c>
      <c r="AW5621" s="55" t="s">
        <v>6701</v>
      </c>
      <c r="AX5621" s="185" t="s">
        <v>479</v>
      </c>
      <c r="AY5621" s="55" t="s">
        <v>176</v>
      </c>
      <c r="AZ5621" s="12"/>
      <c r="BK5621" s="55" t="s">
        <v>2082</v>
      </c>
      <c r="BN5621" s="55" t="s">
        <v>1887</v>
      </c>
      <c r="BO5621" s="55" t="s">
        <v>1887</v>
      </c>
      <c r="FJ5621" s="65">
        <v>12</v>
      </c>
      <c r="FK5621" s="65">
        <v>10</v>
      </c>
      <c r="FN5621" s="65" t="s">
        <v>178</v>
      </c>
      <c r="FO5621" s="65">
        <v>0.79</v>
      </c>
      <c r="FP5621" s="65">
        <v>0.37</v>
      </c>
      <c r="FS5621" s="65" t="s">
        <v>637</v>
      </c>
      <c r="GP5621" s="292" t="s">
        <v>7494</v>
      </c>
    </row>
    <row r="5622" spans="1:198" x14ac:dyDescent="0.25">
      <c r="A5622" s="55">
        <v>5621</v>
      </c>
      <c r="B5622" s="12" t="s">
        <v>7067</v>
      </c>
      <c r="C5622" s="155" t="s">
        <v>6706</v>
      </c>
      <c r="D5622" s="55" t="s">
        <v>6711</v>
      </c>
      <c r="E5622" s="90" t="s">
        <v>6707</v>
      </c>
      <c r="G5622" s="55" t="s">
        <v>6708</v>
      </c>
      <c r="H5622" s="55" t="s">
        <v>5490</v>
      </c>
      <c r="I5622" s="55" t="s">
        <v>5608</v>
      </c>
      <c r="J5622" s="55" t="s">
        <v>6470</v>
      </c>
      <c r="K5622" s="55" t="s">
        <v>6530</v>
      </c>
      <c r="L5622" s="55" t="s">
        <v>3377</v>
      </c>
      <c r="M5622" s="90">
        <v>35</v>
      </c>
      <c r="N5622" s="90">
        <v>104</v>
      </c>
      <c r="O5622" s="90">
        <v>2000</v>
      </c>
      <c r="Q5622" s="55" t="s">
        <v>5826</v>
      </c>
      <c r="S5622" s="90" t="s">
        <v>6492</v>
      </c>
      <c r="U5622" s="55" t="s">
        <v>1935</v>
      </c>
      <c r="V5622" s="55" t="s">
        <v>1805</v>
      </c>
      <c r="Z5622" s="55" t="s">
        <v>6605</v>
      </c>
      <c r="AA5622" s="90">
        <v>5</v>
      </c>
      <c r="AM5622" s="55" t="s">
        <v>6493</v>
      </c>
      <c r="AO5622" s="185" t="s">
        <v>7494</v>
      </c>
      <c r="AR5622" s="55" t="s">
        <v>6709</v>
      </c>
      <c r="AS5622" s="55" t="s">
        <v>3471</v>
      </c>
      <c r="AU5622" s="181" t="s">
        <v>7494</v>
      </c>
      <c r="AV5622" s="185" t="s">
        <v>176</v>
      </c>
      <c r="AX5622" s="185" t="s">
        <v>176</v>
      </c>
      <c r="BK5622" s="55" t="s">
        <v>2082</v>
      </c>
      <c r="BN5622" s="55" t="s">
        <v>1688</v>
      </c>
      <c r="BO5622" s="55" t="s">
        <v>1688</v>
      </c>
      <c r="CH5622" s="90">
        <v>1.22</v>
      </c>
      <c r="CI5622" s="90">
        <v>1.23</v>
      </c>
      <c r="CJ5622" s="65">
        <v>0.02</v>
      </c>
      <c r="CK5622" s="65">
        <v>0.02</v>
      </c>
      <c r="EP5622" s="65">
        <v>54.15</v>
      </c>
      <c r="EQ5622" s="65">
        <v>54.38</v>
      </c>
      <c r="ET5622" s="65" t="s">
        <v>164</v>
      </c>
      <c r="FE5622" s="65">
        <v>54.08</v>
      </c>
      <c r="FF5622" s="65">
        <v>58.05</v>
      </c>
      <c r="FG5622" s="65">
        <f>74.05-FE5622</f>
        <v>19.97</v>
      </c>
      <c r="FH5622" s="65">
        <f>74.05-FF5622</f>
        <v>16</v>
      </c>
      <c r="FJ5622" s="65">
        <v>5.81</v>
      </c>
      <c r="FK5622" s="65">
        <v>4.46</v>
      </c>
      <c r="FN5622" s="65" t="s">
        <v>206</v>
      </c>
      <c r="FO5622" s="65">
        <v>22.96</v>
      </c>
      <c r="FP5622" s="65">
        <v>21.28</v>
      </c>
      <c r="FS5622" s="65" t="s">
        <v>637</v>
      </c>
      <c r="GP5622" s="292" t="s">
        <v>7494</v>
      </c>
    </row>
    <row r="5623" spans="1:198" x14ac:dyDescent="0.25">
      <c r="A5623" s="55">
        <v>5622</v>
      </c>
      <c r="B5623" s="12" t="s">
        <v>7067</v>
      </c>
      <c r="C5623" s="155" t="s">
        <v>6706</v>
      </c>
      <c r="D5623" s="55" t="s">
        <v>6712</v>
      </c>
      <c r="E5623" s="90" t="s">
        <v>6707</v>
      </c>
      <c r="G5623" s="55" t="s">
        <v>6708</v>
      </c>
      <c r="H5623" s="55" t="s">
        <v>5490</v>
      </c>
      <c r="I5623" s="55" t="s">
        <v>5608</v>
      </c>
      <c r="J5623" s="55" t="s">
        <v>6470</v>
      </c>
      <c r="K5623" s="55" t="s">
        <v>6530</v>
      </c>
      <c r="L5623" s="55" t="s">
        <v>3377</v>
      </c>
      <c r="M5623" s="90">
        <v>35</v>
      </c>
      <c r="N5623" s="90">
        <v>104</v>
      </c>
      <c r="O5623" s="90">
        <v>2000</v>
      </c>
      <c r="Q5623" s="55" t="s">
        <v>5826</v>
      </c>
      <c r="S5623" s="90" t="s">
        <v>6492</v>
      </c>
      <c r="U5623" s="55" t="s">
        <v>1935</v>
      </c>
      <c r="V5623" s="55" t="s">
        <v>1805</v>
      </c>
      <c r="Z5623" s="55" t="s">
        <v>6606</v>
      </c>
      <c r="AA5623" s="90">
        <v>5</v>
      </c>
      <c r="AM5623" s="55" t="s">
        <v>6493</v>
      </c>
      <c r="AO5623" s="185" t="s">
        <v>7494</v>
      </c>
      <c r="AR5623" s="55" t="s">
        <v>6709</v>
      </c>
      <c r="AS5623" s="55" t="s">
        <v>3471</v>
      </c>
      <c r="AU5623" s="181" t="s">
        <v>7494</v>
      </c>
      <c r="AV5623" s="185" t="s">
        <v>176</v>
      </c>
      <c r="AX5623" s="185" t="s">
        <v>176</v>
      </c>
      <c r="BK5623" s="55" t="s">
        <v>2082</v>
      </c>
      <c r="BN5623" s="55" t="s">
        <v>1688</v>
      </c>
      <c r="BO5623" s="55" t="s">
        <v>1688</v>
      </c>
      <c r="CH5623" s="90">
        <v>1.23</v>
      </c>
      <c r="CI5623" s="90">
        <v>1.22</v>
      </c>
      <c r="CJ5623" s="65">
        <v>0.02</v>
      </c>
      <c r="CK5623" s="65">
        <v>0.02</v>
      </c>
      <c r="EP5623" s="65">
        <v>53.48</v>
      </c>
      <c r="EQ5623" s="65">
        <v>53.78</v>
      </c>
      <c r="ET5623" s="65" t="s">
        <v>164</v>
      </c>
      <c r="GP5623" s="292" t="s">
        <v>7494</v>
      </c>
    </row>
    <row r="5624" spans="1:198" x14ac:dyDescent="0.25">
      <c r="A5624" s="55">
        <v>5623</v>
      </c>
      <c r="B5624" s="12" t="s">
        <v>7067</v>
      </c>
      <c r="C5624" s="155" t="s">
        <v>6706</v>
      </c>
      <c r="D5624" s="55" t="s">
        <v>6713</v>
      </c>
      <c r="E5624" s="90" t="s">
        <v>6707</v>
      </c>
      <c r="G5624" s="55" t="s">
        <v>6708</v>
      </c>
      <c r="H5624" s="55" t="s">
        <v>5490</v>
      </c>
      <c r="I5624" s="55" t="s">
        <v>5608</v>
      </c>
      <c r="J5624" s="55" t="s">
        <v>6470</v>
      </c>
      <c r="K5624" s="55" t="s">
        <v>6530</v>
      </c>
      <c r="L5624" s="55" t="s">
        <v>3377</v>
      </c>
      <c r="M5624" s="90">
        <v>35</v>
      </c>
      <c r="N5624" s="90">
        <v>104</v>
      </c>
      <c r="O5624" s="90">
        <v>2000</v>
      </c>
      <c r="Q5624" s="55" t="s">
        <v>5826</v>
      </c>
      <c r="S5624" s="90" t="s">
        <v>6492</v>
      </c>
      <c r="U5624" s="55" t="s">
        <v>1935</v>
      </c>
      <c r="V5624" s="55" t="s">
        <v>1805</v>
      </c>
      <c r="Z5624" s="55" t="s">
        <v>6607</v>
      </c>
      <c r="AA5624" s="90">
        <v>20</v>
      </c>
      <c r="AM5624" s="55" t="s">
        <v>6493</v>
      </c>
      <c r="AO5624" s="185" t="s">
        <v>7494</v>
      </c>
      <c r="AR5624" s="55" t="s">
        <v>6709</v>
      </c>
      <c r="AS5624" s="55" t="s">
        <v>3471</v>
      </c>
      <c r="AU5624" s="181" t="s">
        <v>7494</v>
      </c>
      <c r="AV5624" s="185" t="s">
        <v>176</v>
      </c>
      <c r="AX5624" s="185" t="s">
        <v>176</v>
      </c>
      <c r="BK5624" s="55" t="s">
        <v>2082</v>
      </c>
      <c r="BN5624" s="55" t="s">
        <v>1688</v>
      </c>
      <c r="BO5624" s="55" t="s">
        <v>1688</v>
      </c>
      <c r="CH5624" s="90">
        <v>1.26</v>
      </c>
      <c r="CI5624" s="90">
        <v>1.24</v>
      </c>
      <c r="CJ5624" s="65">
        <v>0.02</v>
      </c>
      <c r="CK5624" s="65">
        <v>0.02</v>
      </c>
      <c r="EP5624" s="65">
        <v>52.36</v>
      </c>
      <c r="EQ5624" s="65">
        <v>52.58</v>
      </c>
      <c r="ET5624" s="65" t="s">
        <v>164</v>
      </c>
      <c r="GP5624" s="292" t="s">
        <v>7494</v>
      </c>
    </row>
    <row r="5625" spans="1:198" x14ac:dyDescent="0.25">
      <c r="A5625" s="55">
        <v>5624</v>
      </c>
      <c r="B5625" s="12" t="s">
        <v>7067</v>
      </c>
      <c r="C5625" s="155" t="s">
        <v>6706</v>
      </c>
      <c r="D5625" s="55" t="s">
        <v>6714</v>
      </c>
      <c r="E5625" s="90" t="s">
        <v>6707</v>
      </c>
      <c r="G5625" s="55" t="s">
        <v>6708</v>
      </c>
      <c r="H5625" s="55" t="s">
        <v>5490</v>
      </c>
      <c r="I5625" s="55" t="s">
        <v>5608</v>
      </c>
      <c r="J5625" s="55" t="s">
        <v>6470</v>
      </c>
      <c r="K5625" s="55" t="s">
        <v>6530</v>
      </c>
      <c r="L5625" s="55" t="s">
        <v>3377</v>
      </c>
      <c r="M5625" s="90">
        <v>35</v>
      </c>
      <c r="N5625" s="90">
        <v>104</v>
      </c>
      <c r="O5625" s="90">
        <v>2000</v>
      </c>
      <c r="Q5625" s="55" t="s">
        <v>5826</v>
      </c>
      <c r="S5625" s="90" t="s">
        <v>6492</v>
      </c>
      <c r="U5625" s="55" t="s">
        <v>1935</v>
      </c>
      <c r="V5625" s="55" t="s">
        <v>1805</v>
      </c>
      <c r="Z5625" s="55" t="s">
        <v>6605</v>
      </c>
      <c r="AA5625" s="90">
        <v>5</v>
      </c>
      <c r="AM5625" s="55" t="s">
        <v>6493</v>
      </c>
      <c r="AO5625" s="185" t="s">
        <v>7494</v>
      </c>
      <c r="AR5625" s="55" t="s">
        <v>6709</v>
      </c>
      <c r="AS5625" s="55" t="s">
        <v>3471</v>
      </c>
      <c r="AU5625" s="181" t="s">
        <v>7494</v>
      </c>
      <c r="AV5625" s="185" t="s">
        <v>176</v>
      </c>
      <c r="AX5625" s="185" t="s">
        <v>176</v>
      </c>
      <c r="BK5625" s="55" t="s">
        <v>6452</v>
      </c>
      <c r="BN5625" s="55" t="s">
        <v>1688</v>
      </c>
      <c r="BO5625" s="55" t="s">
        <v>1688</v>
      </c>
      <c r="CH5625" s="90">
        <v>1.22</v>
      </c>
      <c r="CI5625" s="90">
        <v>1.19</v>
      </c>
      <c r="CJ5625" s="65">
        <v>0.02</v>
      </c>
      <c r="CK5625" s="65">
        <v>0.02</v>
      </c>
      <c r="EP5625" s="65">
        <v>54.15</v>
      </c>
      <c r="EQ5625" s="65">
        <v>54.98</v>
      </c>
      <c r="ET5625" s="65" t="s">
        <v>164</v>
      </c>
      <c r="FE5625" s="65">
        <v>54.08</v>
      </c>
      <c r="FF5625" s="65">
        <v>86.48</v>
      </c>
      <c r="FG5625" s="65">
        <v>20</v>
      </c>
      <c r="FH5625" s="65">
        <v>20</v>
      </c>
      <c r="FJ5625" s="65">
        <v>5.81</v>
      </c>
      <c r="FK5625" s="65">
        <v>3.39</v>
      </c>
      <c r="FN5625" s="65" t="s">
        <v>206</v>
      </c>
      <c r="FO5625" s="65">
        <v>22.96</v>
      </c>
      <c r="FP5625" s="65">
        <v>18.21</v>
      </c>
      <c r="FS5625" s="65" t="s">
        <v>637</v>
      </c>
      <c r="GP5625" s="292" t="s">
        <v>7494</v>
      </c>
    </row>
    <row r="5626" spans="1:198" x14ac:dyDescent="0.25">
      <c r="A5626" s="55">
        <v>5625</v>
      </c>
      <c r="B5626" s="12" t="s">
        <v>7067</v>
      </c>
      <c r="C5626" s="155" t="s">
        <v>6706</v>
      </c>
      <c r="D5626" s="55" t="s">
        <v>6715</v>
      </c>
      <c r="E5626" s="90" t="s">
        <v>6707</v>
      </c>
      <c r="G5626" s="55" t="s">
        <v>6708</v>
      </c>
      <c r="H5626" s="55" t="s">
        <v>5490</v>
      </c>
      <c r="I5626" s="55" t="s">
        <v>5608</v>
      </c>
      <c r="J5626" s="55" t="s">
        <v>6470</v>
      </c>
      <c r="K5626" s="55" t="s">
        <v>6530</v>
      </c>
      <c r="L5626" s="55" t="s">
        <v>3377</v>
      </c>
      <c r="M5626" s="90">
        <v>35</v>
      </c>
      <c r="N5626" s="90">
        <v>104</v>
      </c>
      <c r="O5626" s="90">
        <v>2000</v>
      </c>
      <c r="Q5626" s="55" t="s">
        <v>5826</v>
      </c>
      <c r="S5626" s="90" t="s">
        <v>6492</v>
      </c>
      <c r="U5626" s="55" t="s">
        <v>1935</v>
      </c>
      <c r="V5626" s="55" t="s">
        <v>1805</v>
      </c>
      <c r="Z5626" s="55" t="s">
        <v>6606</v>
      </c>
      <c r="AA5626" s="90">
        <v>5</v>
      </c>
      <c r="AM5626" s="55" t="s">
        <v>6493</v>
      </c>
      <c r="AO5626" s="185" t="s">
        <v>7494</v>
      </c>
      <c r="AR5626" s="55" t="s">
        <v>6709</v>
      </c>
      <c r="AS5626" s="55" t="s">
        <v>3471</v>
      </c>
      <c r="AU5626" s="181" t="s">
        <v>7494</v>
      </c>
      <c r="AV5626" s="185" t="s">
        <v>176</v>
      </c>
      <c r="AX5626" s="185" t="s">
        <v>176</v>
      </c>
      <c r="BK5626" s="55" t="s">
        <v>6452</v>
      </c>
      <c r="BN5626" s="55" t="s">
        <v>1688</v>
      </c>
      <c r="BO5626" s="55" t="s">
        <v>1688</v>
      </c>
      <c r="CH5626" s="90">
        <v>1.23</v>
      </c>
      <c r="CI5626" s="90">
        <v>1.21</v>
      </c>
      <c r="CJ5626" s="65">
        <v>0.02</v>
      </c>
      <c r="CK5626" s="65">
        <v>0.02</v>
      </c>
      <c r="EP5626" s="65">
        <v>53.48</v>
      </c>
      <c r="EQ5626" s="65">
        <v>54.11</v>
      </c>
      <c r="ET5626" s="65" t="s">
        <v>164</v>
      </c>
      <c r="GP5626" s="292" t="s">
        <v>7494</v>
      </c>
    </row>
    <row r="5627" spans="1:198" x14ac:dyDescent="0.25">
      <c r="A5627" s="55">
        <v>5626</v>
      </c>
      <c r="B5627" s="12" t="s">
        <v>7067</v>
      </c>
      <c r="C5627" s="155" t="s">
        <v>6706</v>
      </c>
      <c r="D5627" s="55" t="s">
        <v>6716</v>
      </c>
      <c r="E5627" s="90" t="s">
        <v>6707</v>
      </c>
      <c r="G5627" s="55" t="s">
        <v>6708</v>
      </c>
      <c r="H5627" s="55" t="s">
        <v>5490</v>
      </c>
      <c r="I5627" s="55" t="s">
        <v>5608</v>
      </c>
      <c r="J5627" s="55" t="s">
        <v>6470</v>
      </c>
      <c r="K5627" s="55" t="s">
        <v>6530</v>
      </c>
      <c r="L5627" s="55" t="s">
        <v>3377</v>
      </c>
      <c r="M5627" s="90">
        <v>35</v>
      </c>
      <c r="N5627" s="90">
        <v>104</v>
      </c>
      <c r="O5627" s="90">
        <v>2000</v>
      </c>
      <c r="Q5627" s="55" t="s">
        <v>5826</v>
      </c>
      <c r="S5627" s="90" t="s">
        <v>6492</v>
      </c>
      <c r="U5627" s="55" t="s">
        <v>1935</v>
      </c>
      <c r="V5627" s="55" t="s">
        <v>1805</v>
      </c>
      <c r="Z5627" s="55" t="s">
        <v>6607</v>
      </c>
      <c r="AA5627" s="90">
        <v>20</v>
      </c>
      <c r="AM5627" s="55" t="s">
        <v>6493</v>
      </c>
      <c r="AO5627" s="185" t="s">
        <v>7494</v>
      </c>
      <c r="AR5627" s="55" t="s">
        <v>6709</v>
      </c>
      <c r="AS5627" s="55" t="s">
        <v>3471</v>
      </c>
      <c r="AU5627" s="181" t="s">
        <v>7494</v>
      </c>
      <c r="AV5627" s="185" t="s">
        <v>176</v>
      </c>
      <c r="AX5627" s="185" t="s">
        <v>176</v>
      </c>
      <c r="BK5627" s="55" t="s">
        <v>6452</v>
      </c>
      <c r="BN5627" s="55" t="s">
        <v>1688</v>
      </c>
      <c r="BO5627" s="55" t="s">
        <v>1688</v>
      </c>
      <c r="CH5627" s="90">
        <v>1.26</v>
      </c>
      <c r="CI5627" s="90">
        <v>1.24</v>
      </c>
      <c r="CJ5627" s="65">
        <v>0.02</v>
      </c>
      <c r="CK5627" s="65">
        <v>0.02</v>
      </c>
      <c r="EP5627" s="65">
        <v>52.36</v>
      </c>
      <c r="EQ5627" s="65">
        <v>53.06</v>
      </c>
      <c r="ET5627" s="65" t="s">
        <v>164</v>
      </c>
      <c r="GP5627" s="292" t="s">
        <v>7494</v>
      </c>
    </row>
    <row r="5628" spans="1:198" x14ac:dyDescent="0.25">
      <c r="A5628" s="55">
        <v>5627</v>
      </c>
      <c r="B5628" s="12" t="s">
        <v>7067</v>
      </c>
      <c r="C5628" s="155" t="s">
        <v>6706</v>
      </c>
      <c r="D5628" s="55" t="s">
        <v>6717</v>
      </c>
      <c r="E5628" s="90" t="s">
        <v>6707</v>
      </c>
      <c r="G5628" s="55" t="s">
        <v>6708</v>
      </c>
      <c r="H5628" s="55" t="s">
        <v>5490</v>
      </c>
      <c r="I5628" s="55" t="s">
        <v>5608</v>
      </c>
      <c r="J5628" s="55" t="s">
        <v>6470</v>
      </c>
      <c r="K5628" s="55" t="s">
        <v>6530</v>
      </c>
      <c r="L5628" s="55" t="s">
        <v>3377</v>
      </c>
      <c r="M5628" s="90">
        <v>35</v>
      </c>
      <c r="N5628" s="90">
        <v>104</v>
      </c>
      <c r="O5628" s="90">
        <v>2000</v>
      </c>
      <c r="Q5628" s="55" t="s">
        <v>5826</v>
      </c>
      <c r="S5628" s="90" t="s">
        <v>6492</v>
      </c>
      <c r="U5628" s="55" t="s">
        <v>1935</v>
      </c>
      <c r="V5628" s="55" t="s">
        <v>1805</v>
      </c>
      <c r="Z5628" s="55" t="s">
        <v>6605</v>
      </c>
      <c r="AA5628" s="90">
        <v>5</v>
      </c>
      <c r="AM5628" s="55" t="s">
        <v>6493</v>
      </c>
      <c r="AO5628" s="185" t="s">
        <v>7494</v>
      </c>
      <c r="AR5628" s="55" t="s">
        <v>6710</v>
      </c>
      <c r="AS5628" s="55" t="s">
        <v>116</v>
      </c>
      <c r="AU5628" s="181" t="s">
        <v>7494</v>
      </c>
      <c r="AV5628" s="185" t="s">
        <v>176</v>
      </c>
      <c r="AX5628" s="185" t="s">
        <v>176</v>
      </c>
      <c r="BK5628" s="55" t="s">
        <v>2082</v>
      </c>
      <c r="BN5628" s="55" t="s">
        <v>1688</v>
      </c>
      <c r="BO5628" s="55" t="s">
        <v>1688</v>
      </c>
      <c r="CH5628" s="90">
        <v>1.2</v>
      </c>
      <c r="CI5628" s="90">
        <v>1.19</v>
      </c>
      <c r="CJ5628" s="65">
        <v>0.02</v>
      </c>
      <c r="CK5628" s="65">
        <v>0.02</v>
      </c>
      <c r="EP5628" s="65">
        <v>54.69</v>
      </c>
      <c r="EQ5628" s="65">
        <v>55.27</v>
      </c>
      <c r="ET5628" s="65" t="s">
        <v>164</v>
      </c>
      <c r="FE5628" s="65">
        <v>77.3</v>
      </c>
      <c r="FF5628" s="65">
        <v>69.95</v>
      </c>
      <c r="FG5628" s="65">
        <v>20</v>
      </c>
      <c r="FH5628" s="65">
        <v>20</v>
      </c>
      <c r="FJ5628" s="65">
        <v>11.12</v>
      </c>
      <c r="FK5628" s="65">
        <v>8.99</v>
      </c>
      <c r="FN5628" s="65" t="s">
        <v>206</v>
      </c>
      <c r="FO5628" s="65">
        <v>26.81</v>
      </c>
      <c r="FP5628" s="65">
        <v>25.27</v>
      </c>
      <c r="FS5628" s="65" t="s">
        <v>637</v>
      </c>
      <c r="GP5628" s="292" t="s">
        <v>7494</v>
      </c>
    </row>
    <row r="5629" spans="1:198" x14ac:dyDescent="0.25">
      <c r="A5629" s="55">
        <v>5628</v>
      </c>
      <c r="B5629" s="12" t="s">
        <v>7067</v>
      </c>
      <c r="C5629" s="155" t="s">
        <v>6706</v>
      </c>
      <c r="D5629" s="55" t="s">
        <v>6718</v>
      </c>
      <c r="E5629" s="90" t="s">
        <v>6707</v>
      </c>
      <c r="G5629" s="55" t="s">
        <v>6708</v>
      </c>
      <c r="H5629" s="55" t="s">
        <v>5490</v>
      </c>
      <c r="I5629" s="55" t="s">
        <v>5608</v>
      </c>
      <c r="J5629" s="55" t="s">
        <v>6470</v>
      </c>
      <c r="K5629" s="55" t="s">
        <v>6530</v>
      </c>
      <c r="L5629" s="55" t="s">
        <v>3377</v>
      </c>
      <c r="M5629" s="90">
        <v>35</v>
      </c>
      <c r="N5629" s="90">
        <v>104</v>
      </c>
      <c r="O5629" s="90">
        <v>2000</v>
      </c>
      <c r="Q5629" s="55" t="s">
        <v>5826</v>
      </c>
      <c r="S5629" s="90" t="s">
        <v>6492</v>
      </c>
      <c r="U5629" s="55" t="s">
        <v>1935</v>
      </c>
      <c r="V5629" s="55" t="s">
        <v>1805</v>
      </c>
      <c r="Z5629" s="55" t="s">
        <v>6606</v>
      </c>
      <c r="AA5629" s="90">
        <v>5</v>
      </c>
      <c r="AM5629" s="55" t="s">
        <v>6493</v>
      </c>
      <c r="AO5629" s="185" t="s">
        <v>7494</v>
      </c>
      <c r="AR5629" s="55" t="s">
        <v>6710</v>
      </c>
      <c r="AS5629" s="55" t="s">
        <v>116</v>
      </c>
      <c r="AU5629" s="181" t="s">
        <v>7494</v>
      </c>
      <c r="AV5629" s="185" t="s">
        <v>176</v>
      </c>
      <c r="AX5629" s="185" t="s">
        <v>176</v>
      </c>
      <c r="BK5629" s="55" t="s">
        <v>2082</v>
      </c>
      <c r="BN5629" s="55" t="s">
        <v>1688</v>
      </c>
      <c r="BO5629" s="55" t="s">
        <v>1688</v>
      </c>
      <c r="CH5629" s="90">
        <v>1.22</v>
      </c>
      <c r="CI5629" s="90">
        <v>1.22</v>
      </c>
      <c r="CJ5629" s="65">
        <v>0.02</v>
      </c>
      <c r="CK5629" s="65">
        <v>0.02</v>
      </c>
      <c r="EP5629" s="65">
        <v>53.93</v>
      </c>
      <c r="EQ5629" s="65">
        <v>54</v>
      </c>
      <c r="ET5629" s="65" t="s">
        <v>164</v>
      </c>
      <c r="GP5629" s="292" t="s">
        <v>7494</v>
      </c>
    </row>
    <row r="5630" spans="1:198" x14ac:dyDescent="0.25">
      <c r="A5630" s="55">
        <v>5629</v>
      </c>
      <c r="B5630" s="12" t="s">
        <v>7067</v>
      </c>
      <c r="C5630" s="155" t="s">
        <v>6706</v>
      </c>
      <c r="D5630" s="55" t="s">
        <v>6719</v>
      </c>
      <c r="E5630" s="90" t="s">
        <v>6707</v>
      </c>
      <c r="G5630" s="55" t="s">
        <v>6708</v>
      </c>
      <c r="H5630" s="55" t="s">
        <v>5490</v>
      </c>
      <c r="I5630" s="55" t="s">
        <v>5608</v>
      </c>
      <c r="J5630" s="55" t="s">
        <v>6470</v>
      </c>
      <c r="K5630" s="55" t="s">
        <v>6530</v>
      </c>
      <c r="L5630" s="55" t="s">
        <v>3377</v>
      </c>
      <c r="M5630" s="90">
        <v>35</v>
      </c>
      <c r="N5630" s="90">
        <v>104</v>
      </c>
      <c r="O5630" s="90">
        <v>2000</v>
      </c>
      <c r="Q5630" s="55" t="s">
        <v>5826</v>
      </c>
      <c r="S5630" s="90" t="s">
        <v>6492</v>
      </c>
      <c r="U5630" s="55" t="s">
        <v>1935</v>
      </c>
      <c r="V5630" s="55" t="s">
        <v>1805</v>
      </c>
      <c r="Z5630" s="55" t="s">
        <v>6607</v>
      </c>
      <c r="AA5630" s="90">
        <v>20</v>
      </c>
      <c r="AM5630" s="55" t="s">
        <v>6493</v>
      </c>
      <c r="AO5630" s="185" t="s">
        <v>7494</v>
      </c>
      <c r="AR5630" s="55" t="s">
        <v>6710</v>
      </c>
      <c r="AS5630" s="55" t="s">
        <v>116</v>
      </c>
      <c r="AU5630" s="181" t="s">
        <v>7494</v>
      </c>
      <c r="AV5630" s="185" t="s">
        <v>176</v>
      </c>
      <c r="AX5630" s="185" t="s">
        <v>176</v>
      </c>
      <c r="BK5630" s="55" t="s">
        <v>2082</v>
      </c>
      <c r="BN5630" s="55" t="s">
        <v>1688</v>
      </c>
      <c r="BO5630" s="55" t="s">
        <v>1688</v>
      </c>
      <c r="CH5630" s="90">
        <v>1.24</v>
      </c>
      <c r="CI5630" s="90">
        <v>1.25</v>
      </c>
      <c r="CJ5630" s="65">
        <v>0.02</v>
      </c>
      <c r="CK5630" s="65">
        <v>0.02</v>
      </c>
      <c r="EP5630" s="65">
        <v>53.17</v>
      </c>
      <c r="EQ5630" s="65">
        <v>52.71</v>
      </c>
      <c r="ET5630" s="65" t="s">
        <v>164</v>
      </c>
      <c r="GP5630" s="292" t="s">
        <v>7494</v>
      </c>
    </row>
    <row r="5631" spans="1:198" x14ac:dyDescent="0.25">
      <c r="A5631" s="55">
        <v>5630</v>
      </c>
      <c r="B5631" s="12" t="s">
        <v>7067</v>
      </c>
      <c r="C5631" s="155" t="s">
        <v>6706</v>
      </c>
      <c r="D5631" s="55" t="s">
        <v>6720</v>
      </c>
      <c r="E5631" s="90" t="s">
        <v>6707</v>
      </c>
      <c r="G5631" s="55" t="s">
        <v>6708</v>
      </c>
      <c r="H5631" s="55" t="s">
        <v>5490</v>
      </c>
      <c r="I5631" s="55" t="s">
        <v>5608</v>
      </c>
      <c r="J5631" s="55" t="s">
        <v>6470</v>
      </c>
      <c r="K5631" s="55" t="s">
        <v>6530</v>
      </c>
      <c r="L5631" s="55" t="s">
        <v>3377</v>
      </c>
      <c r="M5631" s="90">
        <v>35</v>
      </c>
      <c r="N5631" s="90">
        <v>104</v>
      </c>
      <c r="O5631" s="90">
        <v>2000</v>
      </c>
      <c r="Q5631" s="55" t="s">
        <v>5826</v>
      </c>
      <c r="S5631" s="90" t="s">
        <v>6492</v>
      </c>
      <c r="U5631" s="55" t="s">
        <v>1935</v>
      </c>
      <c r="V5631" s="55" t="s">
        <v>1805</v>
      </c>
      <c r="Z5631" s="55" t="s">
        <v>6605</v>
      </c>
      <c r="AA5631" s="90">
        <v>5</v>
      </c>
      <c r="AM5631" s="55" t="s">
        <v>6493</v>
      </c>
      <c r="AO5631" s="185" t="s">
        <v>7494</v>
      </c>
      <c r="AR5631" s="55" t="s">
        <v>6710</v>
      </c>
      <c r="AS5631" s="55" t="s">
        <v>116</v>
      </c>
      <c r="AU5631" s="181" t="s">
        <v>7494</v>
      </c>
      <c r="AV5631" s="185" t="s">
        <v>176</v>
      </c>
      <c r="AX5631" s="185" t="s">
        <v>176</v>
      </c>
      <c r="BK5631" s="55" t="s">
        <v>6452</v>
      </c>
      <c r="BN5631" s="55" t="s">
        <v>1688</v>
      </c>
      <c r="BO5631" s="55" t="s">
        <v>1688</v>
      </c>
      <c r="CH5631" s="90">
        <v>1.2</v>
      </c>
      <c r="CI5631" s="90">
        <v>1.17</v>
      </c>
      <c r="CJ5631" s="65">
        <v>0.02</v>
      </c>
      <c r="CK5631" s="65">
        <v>0.02</v>
      </c>
      <c r="EP5631" s="65">
        <v>54.69</v>
      </c>
      <c r="EQ5631" s="65">
        <v>55.94</v>
      </c>
      <c r="ET5631" s="65" t="s">
        <v>164</v>
      </c>
      <c r="FE5631" s="65">
        <v>77.3</v>
      </c>
      <c r="FF5631" s="65">
        <v>90.56</v>
      </c>
      <c r="FG5631" s="65">
        <v>20</v>
      </c>
      <c r="FH5631" s="65">
        <v>20</v>
      </c>
      <c r="FJ5631" s="65">
        <v>11.12</v>
      </c>
      <c r="FK5631" s="65">
        <v>7.3</v>
      </c>
      <c r="FN5631" s="65" t="s">
        <v>206</v>
      </c>
      <c r="FO5631" s="65">
        <v>26.81</v>
      </c>
      <c r="FP5631" s="65">
        <v>23.85</v>
      </c>
      <c r="FS5631" s="65" t="s">
        <v>637</v>
      </c>
      <c r="GP5631" s="292" t="s">
        <v>7494</v>
      </c>
    </row>
    <row r="5632" spans="1:198" x14ac:dyDescent="0.25">
      <c r="A5632" s="55">
        <v>5631</v>
      </c>
      <c r="B5632" s="12" t="s">
        <v>7067</v>
      </c>
      <c r="C5632" s="155" t="s">
        <v>6706</v>
      </c>
      <c r="D5632" s="55" t="s">
        <v>6721</v>
      </c>
      <c r="E5632" s="90" t="s">
        <v>6707</v>
      </c>
      <c r="G5632" s="55" t="s">
        <v>6708</v>
      </c>
      <c r="H5632" s="55" t="s">
        <v>5490</v>
      </c>
      <c r="I5632" s="55" t="s">
        <v>5608</v>
      </c>
      <c r="J5632" s="55" t="s">
        <v>6470</v>
      </c>
      <c r="K5632" s="55" t="s">
        <v>6530</v>
      </c>
      <c r="L5632" s="55" t="s">
        <v>3377</v>
      </c>
      <c r="M5632" s="90">
        <v>35</v>
      </c>
      <c r="N5632" s="90">
        <v>104</v>
      </c>
      <c r="O5632" s="90">
        <v>2000</v>
      </c>
      <c r="Q5632" s="55" t="s">
        <v>5826</v>
      </c>
      <c r="S5632" s="90" t="s">
        <v>6492</v>
      </c>
      <c r="U5632" s="55" t="s">
        <v>1935</v>
      </c>
      <c r="V5632" s="55" t="s">
        <v>1805</v>
      </c>
      <c r="Z5632" s="55" t="s">
        <v>6606</v>
      </c>
      <c r="AA5632" s="90">
        <v>5</v>
      </c>
      <c r="AM5632" s="55" t="s">
        <v>6493</v>
      </c>
      <c r="AO5632" s="185" t="s">
        <v>7494</v>
      </c>
      <c r="AR5632" s="55" t="s">
        <v>6710</v>
      </c>
      <c r="AS5632" s="55" t="s">
        <v>116</v>
      </c>
      <c r="AU5632" s="181" t="s">
        <v>7494</v>
      </c>
      <c r="AV5632" s="185" t="s">
        <v>176</v>
      </c>
      <c r="AX5632" s="185" t="s">
        <v>176</v>
      </c>
      <c r="BK5632" s="55" t="s">
        <v>6452</v>
      </c>
      <c r="BN5632" s="55" t="s">
        <v>1688</v>
      </c>
      <c r="BO5632" s="55" t="s">
        <v>1688</v>
      </c>
      <c r="CH5632" s="90">
        <v>1.22</v>
      </c>
      <c r="CI5632" s="90">
        <v>1.2</v>
      </c>
      <c r="CJ5632" s="65">
        <v>0.02</v>
      </c>
      <c r="CK5632" s="65">
        <v>0.02</v>
      </c>
      <c r="EP5632" s="65">
        <v>53.93</v>
      </c>
      <c r="EQ5632" s="65">
        <v>54.81</v>
      </c>
      <c r="ET5632" s="65" t="s">
        <v>164</v>
      </c>
      <c r="GP5632" s="292" t="s">
        <v>7494</v>
      </c>
    </row>
    <row r="5633" spans="1:198" x14ac:dyDescent="0.25">
      <c r="A5633" s="55">
        <v>5632</v>
      </c>
      <c r="B5633" s="12" t="s">
        <v>7067</v>
      </c>
      <c r="C5633" s="155" t="s">
        <v>6706</v>
      </c>
      <c r="D5633" s="55" t="s">
        <v>6722</v>
      </c>
      <c r="E5633" s="90" t="s">
        <v>6707</v>
      </c>
      <c r="G5633" s="55" t="s">
        <v>6708</v>
      </c>
      <c r="H5633" s="55" t="s">
        <v>5490</v>
      </c>
      <c r="I5633" s="55" t="s">
        <v>5608</v>
      </c>
      <c r="J5633" s="55" t="s">
        <v>6470</v>
      </c>
      <c r="K5633" s="55" t="s">
        <v>6530</v>
      </c>
      <c r="L5633" s="55" t="s">
        <v>3377</v>
      </c>
      <c r="M5633" s="90">
        <v>35</v>
      </c>
      <c r="N5633" s="90">
        <v>104</v>
      </c>
      <c r="O5633" s="90">
        <v>2000</v>
      </c>
      <c r="Q5633" s="55" t="s">
        <v>5826</v>
      </c>
      <c r="S5633" s="90" t="s">
        <v>6492</v>
      </c>
      <c r="U5633" s="55" t="s">
        <v>1935</v>
      </c>
      <c r="V5633" s="55" t="s">
        <v>1805</v>
      </c>
      <c r="Z5633" s="55" t="s">
        <v>6607</v>
      </c>
      <c r="AA5633" s="90">
        <v>20</v>
      </c>
      <c r="AM5633" s="55" t="s">
        <v>6493</v>
      </c>
      <c r="AO5633" s="185" t="s">
        <v>7494</v>
      </c>
      <c r="AR5633" s="55" t="s">
        <v>6710</v>
      </c>
      <c r="AS5633" s="55" t="s">
        <v>116</v>
      </c>
      <c r="AU5633" s="181" t="s">
        <v>7494</v>
      </c>
      <c r="AV5633" s="185" t="s">
        <v>176</v>
      </c>
      <c r="AX5633" s="185" t="s">
        <v>176</v>
      </c>
      <c r="BK5633" s="55" t="s">
        <v>6452</v>
      </c>
      <c r="BN5633" s="55" t="s">
        <v>1688</v>
      </c>
      <c r="BO5633" s="55" t="s">
        <v>1688</v>
      </c>
      <c r="CH5633" s="90">
        <v>1.24</v>
      </c>
      <c r="CI5633" s="90">
        <v>1.23</v>
      </c>
      <c r="CJ5633" s="65">
        <v>0.02</v>
      </c>
      <c r="CK5633" s="65">
        <v>0.02</v>
      </c>
      <c r="EP5633" s="65">
        <v>53.17</v>
      </c>
      <c r="EQ5633" s="65">
        <v>53.68</v>
      </c>
      <c r="ET5633" s="65" t="s">
        <v>164</v>
      </c>
      <c r="GP5633" s="292" t="s">
        <v>7494</v>
      </c>
    </row>
    <row r="5634" spans="1:198" x14ac:dyDescent="0.25">
      <c r="A5634" s="55">
        <v>5633</v>
      </c>
      <c r="B5634" s="12" t="s">
        <v>7067</v>
      </c>
      <c r="C5634" s="155" t="s">
        <v>6706</v>
      </c>
      <c r="D5634" s="55" t="s">
        <v>6711</v>
      </c>
      <c r="E5634" s="90" t="s">
        <v>6707</v>
      </c>
      <c r="G5634" s="55" t="s">
        <v>6708</v>
      </c>
      <c r="H5634" s="55" t="s">
        <v>5490</v>
      </c>
      <c r="I5634" s="55" t="s">
        <v>5490</v>
      </c>
      <c r="J5634" s="55" t="s">
        <v>6470</v>
      </c>
      <c r="K5634" s="55" t="s">
        <v>6530</v>
      </c>
      <c r="L5634" s="55" t="s">
        <v>3377</v>
      </c>
      <c r="M5634" s="90">
        <v>35</v>
      </c>
      <c r="N5634" s="90">
        <v>104</v>
      </c>
      <c r="O5634" s="90">
        <v>2000</v>
      </c>
      <c r="Q5634" s="55" t="s">
        <v>5826</v>
      </c>
      <c r="S5634" s="90" t="s">
        <v>6492</v>
      </c>
      <c r="U5634" s="55" t="s">
        <v>1805</v>
      </c>
      <c r="V5634" s="55" t="s">
        <v>1805</v>
      </c>
      <c r="Z5634" s="55" t="s">
        <v>6605</v>
      </c>
      <c r="AA5634" s="90">
        <v>5</v>
      </c>
      <c r="AM5634" s="55" t="s">
        <v>6493</v>
      </c>
      <c r="AO5634" s="185" t="s">
        <v>7494</v>
      </c>
      <c r="AR5634" s="55" t="s">
        <v>6709</v>
      </c>
      <c r="AS5634" s="55" t="s">
        <v>3471</v>
      </c>
      <c r="AU5634" s="181" t="s">
        <v>7494</v>
      </c>
      <c r="AV5634" s="185" t="s">
        <v>176</v>
      </c>
      <c r="AX5634" s="185" t="s">
        <v>176</v>
      </c>
      <c r="BK5634" s="55" t="s">
        <v>2082</v>
      </c>
      <c r="BN5634" s="55" t="s">
        <v>1688</v>
      </c>
      <c r="BO5634" s="55" t="s">
        <v>1688</v>
      </c>
      <c r="CH5634" s="90">
        <v>1.22</v>
      </c>
      <c r="CI5634" s="90">
        <v>1.24</v>
      </c>
      <c r="CJ5634" s="65">
        <v>0.02</v>
      </c>
      <c r="CK5634" s="65">
        <v>0.02</v>
      </c>
      <c r="EP5634" s="65">
        <v>53.99</v>
      </c>
      <c r="EQ5634" s="65">
        <v>53.36</v>
      </c>
      <c r="ET5634" s="65" t="s">
        <v>164</v>
      </c>
      <c r="FE5634" s="65">
        <v>43.09</v>
      </c>
      <c r="FF5634" s="65">
        <v>43.06</v>
      </c>
      <c r="FG5634" s="65">
        <f>74.05-FE5634</f>
        <v>30.959999999999994</v>
      </c>
      <c r="FH5634" s="65">
        <f>74.05-FF5634</f>
        <v>30.989999999999995</v>
      </c>
      <c r="GP5634" s="292" t="s">
        <v>7494</v>
      </c>
    </row>
    <row r="5635" spans="1:198" x14ac:dyDescent="0.25">
      <c r="A5635" s="55">
        <v>5634</v>
      </c>
      <c r="B5635" s="12" t="s">
        <v>7067</v>
      </c>
      <c r="C5635" s="155" t="s">
        <v>6706</v>
      </c>
      <c r="D5635" s="55" t="s">
        <v>6712</v>
      </c>
      <c r="E5635" s="90" t="s">
        <v>6707</v>
      </c>
      <c r="G5635" s="55" t="s">
        <v>6708</v>
      </c>
      <c r="H5635" s="55" t="s">
        <v>5490</v>
      </c>
      <c r="I5635" s="55" t="s">
        <v>5490</v>
      </c>
      <c r="J5635" s="55" t="s">
        <v>6470</v>
      </c>
      <c r="K5635" s="55" t="s">
        <v>6530</v>
      </c>
      <c r="L5635" s="55" t="s">
        <v>3377</v>
      </c>
      <c r="M5635" s="90">
        <v>35</v>
      </c>
      <c r="N5635" s="90">
        <v>104</v>
      </c>
      <c r="O5635" s="90">
        <v>2000</v>
      </c>
      <c r="Q5635" s="55" t="s">
        <v>5826</v>
      </c>
      <c r="S5635" s="90" t="s">
        <v>6492</v>
      </c>
      <c r="U5635" s="55" t="s">
        <v>1805</v>
      </c>
      <c r="V5635" s="55" t="s">
        <v>1805</v>
      </c>
      <c r="Z5635" s="55" t="s">
        <v>6606</v>
      </c>
      <c r="AA5635" s="90">
        <v>5</v>
      </c>
      <c r="AM5635" s="55" t="s">
        <v>6493</v>
      </c>
      <c r="AO5635" s="185" t="s">
        <v>7494</v>
      </c>
      <c r="AR5635" s="55" t="s">
        <v>6709</v>
      </c>
      <c r="AS5635" s="55" t="s">
        <v>3471</v>
      </c>
      <c r="AU5635" s="181" t="s">
        <v>7494</v>
      </c>
      <c r="AV5635" s="185" t="s">
        <v>176</v>
      </c>
      <c r="AX5635" s="185" t="s">
        <v>176</v>
      </c>
      <c r="BK5635" s="55" t="s">
        <v>2082</v>
      </c>
      <c r="BN5635" s="55" t="s">
        <v>1688</v>
      </c>
      <c r="BO5635" s="55" t="s">
        <v>1688</v>
      </c>
      <c r="CH5635" s="90">
        <v>1.23</v>
      </c>
      <c r="CI5635" s="90">
        <v>1.21</v>
      </c>
      <c r="CJ5635" s="65">
        <v>0.02</v>
      </c>
      <c r="CK5635" s="65">
        <v>0.02</v>
      </c>
      <c r="EP5635" s="65">
        <v>53.78</v>
      </c>
      <c r="EQ5635" s="65">
        <v>54.45</v>
      </c>
      <c r="ET5635" s="65" t="s">
        <v>164</v>
      </c>
      <c r="GP5635" s="292" t="s">
        <v>7494</v>
      </c>
    </row>
    <row r="5636" spans="1:198" x14ac:dyDescent="0.25">
      <c r="A5636" s="55">
        <v>5635</v>
      </c>
      <c r="B5636" s="12" t="s">
        <v>7067</v>
      </c>
      <c r="C5636" s="155" t="s">
        <v>6706</v>
      </c>
      <c r="D5636" s="55" t="s">
        <v>6713</v>
      </c>
      <c r="E5636" s="90" t="s">
        <v>6707</v>
      </c>
      <c r="G5636" s="55" t="s">
        <v>6708</v>
      </c>
      <c r="H5636" s="55" t="s">
        <v>5490</v>
      </c>
      <c r="I5636" s="55" t="s">
        <v>5490</v>
      </c>
      <c r="J5636" s="55" t="s">
        <v>6470</v>
      </c>
      <c r="K5636" s="55" t="s">
        <v>6530</v>
      </c>
      <c r="L5636" s="55" t="s">
        <v>3377</v>
      </c>
      <c r="M5636" s="90">
        <v>35</v>
      </c>
      <c r="N5636" s="90">
        <v>104</v>
      </c>
      <c r="O5636" s="90">
        <v>2000</v>
      </c>
      <c r="Q5636" s="55" t="s">
        <v>5826</v>
      </c>
      <c r="S5636" s="90" t="s">
        <v>6492</v>
      </c>
      <c r="U5636" s="55" t="s">
        <v>1805</v>
      </c>
      <c r="V5636" s="55" t="s">
        <v>1805</v>
      </c>
      <c r="Z5636" s="55" t="s">
        <v>6607</v>
      </c>
      <c r="AA5636" s="90">
        <v>20</v>
      </c>
      <c r="AM5636" s="55" t="s">
        <v>6493</v>
      </c>
      <c r="AO5636" s="185" t="s">
        <v>7494</v>
      </c>
      <c r="AR5636" s="55" t="s">
        <v>6709</v>
      </c>
      <c r="AS5636" s="55" t="s">
        <v>3471</v>
      </c>
      <c r="AU5636" s="181" t="s">
        <v>7494</v>
      </c>
      <c r="AV5636" s="185" t="s">
        <v>176</v>
      </c>
      <c r="AX5636" s="185" t="s">
        <v>176</v>
      </c>
      <c r="BK5636" s="55" t="s">
        <v>2082</v>
      </c>
      <c r="BN5636" s="55" t="s">
        <v>1688</v>
      </c>
      <c r="BO5636" s="55" t="s">
        <v>1688</v>
      </c>
      <c r="CH5636" s="90">
        <v>1.27</v>
      </c>
      <c r="CI5636" s="90">
        <v>1.22</v>
      </c>
      <c r="CJ5636" s="65">
        <v>0.02</v>
      </c>
      <c r="CK5636" s="65">
        <v>0.02</v>
      </c>
      <c r="EP5636" s="65">
        <v>52.14</v>
      </c>
      <c r="EQ5636" s="65">
        <v>53.89</v>
      </c>
      <c r="ET5636" s="65" t="s">
        <v>164</v>
      </c>
      <c r="GP5636" s="292" t="s">
        <v>7494</v>
      </c>
    </row>
    <row r="5637" spans="1:198" x14ac:dyDescent="0.25">
      <c r="A5637" s="55">
        <v>5636</v>
      </c>
      <c r="B5637" s="12" t="s">
        <v>7067</v>
      </c>
      <c r="C5637" s="155" t="s">
        <v>6706</v>
      </c>
      <c r="D5637" s="55" t="s">
        <v>6714</v>
      </c>
      <c r="E5637" s="90" t="s">
        <v>6707</v>
      </c>
      <c r="G5637" s="55" t="s">
        <v>6708</v>
      </c>
      <c r="H5637" s="55" t="s">
        <v>5490</v>
      </c>
      <c r="I5637" s="55" t="s">
        <v>5490</v>
      </c>
      <c r="J5637" s="55" t="s">
        <v>6470</v>
      </c>
      <c r="K5637" s="55" t="s">
        <v>6530</v>
      </c>
      <c r="L5637" s="55" t="s">
        <v>3377</v>
      </c>
      <c r="M5637" s="90">
        <v>35</v>
      </c>
      <c r="N5637" s="90">
        <v>104</v>
      </c>
      <c r="O5637" s="90">
        <v>2000</v>
      </c>
      <c r="Q5637" s="55" t="s">
        <v>5826</v>
      </c>
      <c r="S5637" s="90" t="s">
        <v>6492</v>
      </c>
      <c r="U5637" s="55" t="s">
        <v>1805</v>
      </c>
      <c r="V5637" s="55" t="s">
        <v>1805</v>
      </c>
      <c r="Z5637" s="55" t="s">
        <v>6605</v>
      </c>
      <c r="AA5637" s="90">
        <v>5</v>
      </c>
      <c r="AM5637" s="55" t="s">
        <v>6493</v>
      </c>
      <c r="AO5637" s="185" t="s">
        <v>7494</v>
      </c>
      <c r="AR5637" s="55" t="s">
        <v>6709</v>
      </c>
      <c r="AS5637" s="55" t="s">
        <v>3471</v>
      </c>
      <c r="AU5637" s="181" t="s">
        <v>7494</v>
      </c>
      <c r="AV5637" s="185" t="s">
        <v>176</v>
      </c>
      <c r="AX5637" s="185" t="s">
        <v>176</v>
      </c>
      <c r="BK5637" s="55" t="s">
        <v>6452</v>
      </c>
      <c r="BN5637" s="55" t="s">
        <v>1688</v>
      </c>
      <c r="BO5637" s="55" t="s">
        <v>1688</v>
      </c>
      <c r="CH5637" s="90">
        <v>1.22</v>
      </c>
      <c r="CI5637" s="90">
        <v>1.2</v>
      </c>
      <c r="CJ5637" s="65">
        <v>0.02</v>
      </c>
      <c r="CK5637" s="65">
        <v>0.02</v>
      </c>
      <c r="EP5637" s="65">
        <v>53.99</v>
      </c>
      <c r="EQ5637" s="65">
        <v>54.87</v>
      </c>
      <c r="ET5637" s="65" t="s">
        <v>164</v>
      </c>
      <c r="FE5637" s="65">
        <v>43.09</v>
      </c>
      <c r="FF5637" s="65">
        <v>50.69</v>
      </c>
      <c r="FG5637" s="65">
        <v>20</v>
      </c>
      <c r="FH5637" s="65">
        <v>20</v>
      </c>
      <c r="GP5637" s="292" t="s">
        <v>7494</v>
      </c>
    </row>
    <row r="5638" spans="1:198" x14ac:dyDescent="0.25">
      <c r="A5638" s="55">
        <v>5637</v>
      </c>
      <c r="B5638" s="12" t="s">
        <v>7067</v>
      </c>
      <c r="C5638" s="155" t="s">
        <v>6706</v>
      </c>
      <c r="D5638" s="55" t="s">
        <v>6715</v>
      </c>
      <c r="E5638" s="90" t="s">
        <v>6707</v>
      </c>
      <c r="G5638" s="55" t="s">
        <v>6708</v>
      </c>
      <c r="H5638" s="55" t="s">
        <v>5490</v>
      </c>
      <c r="I5638" s="55" t="s">
        <v>5490</v>
      </c>
      <c r="J5638" s="55" t="s">
        <v>6470</v>
      </c>
      <c r="K5638" s="55" t="s">
        <v>6530</v>
      </c>
      <c r="L5638" s="55" t="s">
        <v>3377</v>
      </c>
      <c r="M5638" s="90">
        <v>35</v>
      </c>
      <c r="N5638" s="90">
        <v>104</v>
      </c>
      <c r="O5638" s="90">
        <v>2000</v>
      </c>
      <c r="Q5638" s="55" t="s">
        <v>5826</v>
      </c>
      <c r="S5638" s="90" t="s">
        <v>6492</v>
      </c>
      <c r="U5638" s="55" t="s">
        <v>1805</v>
      </c>
      <c r="V5638" s="55" t="s">
        <v>1805</v>
      </c>
      <c r="Z5638" s="55" t="s">
        <v>6606</v>
      </c>
      <c r="AA5638" s="90">
        <v>5</v>
      </c>
      <c r="AM5638" s="55" t="s">
        <v>6493</v>
      </c>
      <c r="AO5638" s="185" t="s">
        <v>7494</v>
      </c>
      <c r="AR5638" s="55" t="s">
        <v>6709</v>
      </c>
      <c r="AS5638" s="55" t="s">
        <v>3471</v>
      </c>
      <c r="AU5638" s="181" t="s">
        <v>7494</v>
      </c>
      <c r="AV5638" s="185" t="s">
        <v>176</v>
      </c>
      <c r="AX5638" s="185" t="s">
        <v>176</v>
      </c>
      <c r="BK5638" s="55" t="s">
        <v>6452</v>
      </c>
      <c r="BN5638" s="55" t="s">
        <v>1688</v>
      </c>
      <c r="BO5638" s="55" t="s">
        <v>1688</v>
      </c>
      <c r="CH5638" s="90">
        <v>1.23</v>
      </c>
      <c r="CI5638" s="90">
        <v>1.21</v>
      </c>
      <c r="CJ5638" s="65">
        <v>0.02</v>
      </c>
      <c r="CK5638" s="65">
        <v>0.02</v>
      </c>
      <c r="EP5638" s="65">
        <v>53.78</v>
      </c>
      <c r="EQ5638" s="65">
        <v>54.19</v>
      </c>
      <c r="ET5638" s="65" t="s">
        <v>164</v>
      </c>
      <c r="GP5638" s="292" t="s">
        <v>7494</v>
      </c>
    </row>
    <row r="5639" spans="1:198" x14ac:dyDescent="0.25">
      <c r="A5639" s="55">
        <v>5638</v>
      </c>
      <c r="B5639" s="12" t="s">
        <v>7067</v>
      </c>
      <c r="C5639" s="155" t="s">
        <v>6706</v>
      </c>
      <c r="D5639" s="55" t="s">
        <v>6716</v>
      </c>
      <c r="E5639" s="90" t="s">
        <v>6707</v>
      </c>
      <c r="G5639" s="55" t="s">
        <v>6708</v>
      </c>
      <c r="H5639" s="55" t="s">
        <v>5490</v>
      </c>
      <c r="I5639" s="55" t="s">
        <v>5490</v>
      </c>
      <c r="J5639" s="55" t="s">
        <v>6470</v>
      </c>
      <c r="K5639" s="55" t="s">
        <v>6530</v>
      </c>
      <c r="L5639" s="55" t="s">
        <v>3377</v>
      </c>
      <c r="M5639" s="90">
        <v>35</v>
      </c>
      <c r="N5639" s="90">
        <v>104</v>
      </c>
      <c r="O5639" s="90">
        <v>2000</v>
      </c>
      <c r="Q5639" s="55" t="s">
        <v>5826</v>
      </c>
      <c r="S5639" s="90" t="s">
        <v>6492</v>
      </c>
      <c r="U5639" s="55" t="s">
        <v>1805</v>
      </c>
      <c r="V5639" s="55" t="s">
        <v>1805</v>
      </c>
      <c r="Z5639" s="55" t="s">
        <v>6607</v>
      </c>
      <c r="AA5639" s="90">
        <v>20</v>
      </c>
      <c r="AM5639" s="55" t="s">
        <v>6493</v>
      </c>
      <c r="AO5639" s="185" t="s">
        <v>7494</v>
      </c>
      <c r="AR5639" s="55" t="s">
        <v>6709</v>
      </c>
      <c r="AS5639" s="55" t="s">
        <v>3471</v>
      </c>
      <c r="AU5639" s="181" t="s">
        <v>7494</v>
      </c>
      <c r="AV5639" s="185" t="s">
        <v>176</v>
      </c>
      <c r="AX5639" s="185" t="s">
        <v>176</v>
      </c>
      <c r="BK5639" s="55" t="s">
        <v>6452</v>
      </c>
      <c r="BN5639" s="55" t="s">
        <v>1688</v>
      </c>
      <c r="BO5639" s="55" t="s">
        <v>1688</v>
      </c>
      <c r="CH5639" s="90">
        <v>1.27</v>
      </c>
      <c r="CI5639" s="90">
        <v>1.24</v>
      </c>
      <c r="CJ5639" s="65">
        <v>0.02</v>
      </c>
      <c r="CK5639" s="65">
        <v>0.02</v>
      </c>
      <c r="EP5639" s="65">
        <v>52.14</v>
      </c>
      <c r="EQ5639" s="65">
        <v>53.31</v>
      </c>
      <c r="ET5639" s="65" t="s">
        <v>164</v>
      </c>
      <c r="GP5639" s="292" t="s">
        <v>7494</v>
      </c>
    </row>
    <row r="5640" spans="1:198" x14ac:dyDescent="0.25">
      <c r="A5640" s="55">
        <v>5639</v>
      </c>
      <c r="B5640" s="12" t="s">
        <v>7067</v>
      </c>
      <c r="C5640" s="155" t="s">
        <v>6706</v>
      </c>
      <c r="D5640" s="55" t="s">
        <v>6717</v>
      </c>
      <c r="E5640" s="90" t="s">
        <v>6707</v>
      </c>
      <c r="G5640" s="55" t="s">
        <v>6708</v>
      </c>
      <c r="H5640" s="55" t="s">
        <v>5490</v>
      </c>
      <c r="I5640" s="55" t="s">
        <v>5490</v>
      </c>
      <c r="J5640" s="55" t="s">
        <v>6470</v>
      </c>
      <c r="K5640" s="55" t="s">
        <v>6530</v>
      </c>
      <c r="L5640" s="55" t="s">
        <v>3377</v>
      </c>
      <c r="M5640" s="90">
        <v>35</v>
      </c>
      <c r="N5640" s="90">
        <v>104</v>
      </c>
      <c r="O5640" s="90">
        <v>2000</v>
      </c>
      <c r="Q5640" s="55" t="s">
        <v>5826</v>
      </c>
      <c r="S5640" s="90" t="s">
        <v>6492</v>
      </c>
      <c r="U5640" s="55" t="s">
        <v>1805</v>
      </c>
      <c r="V5640" s="55" t="s">
        <v>1805</v>
      </c>
      <c r="Z5640" s="55" t="s">
        <v>6605</v>
      </c>
      <c r="AA5640" s="90">
        <v>5</v>
      </c>
      <c r="AM5640" s="55" t="s">
        <v>6493</v>
      </c>
      <c r="AO5640" s="185" t="s">
        <v>7494</v>
      </c>
      <c r="AR5640" s="55" t="s">
        <v>6710</v>
      </c>
      <c r="AS5640" s="55" t="s">
        <v>116</v>
      </c>
      <c r="AU5640" s="181" t="s">
        <v>7494</v>
      </c>
      <c r="AV5640" s="185" t="s">
        <v>176</v>
      </c>
      <c r="AX5640" s="185" t="s">
        <v>176</v>
      </c>
      <c r="BK5640" s="55" t="s">
        <v>2082</v>
      </c>
      <c r="BN5640" s="55" t="s">
        <v>1688</v>
      </c>
      <c r="BO5640" s="55" t="s">
        <v>1688</v>
      </c>
      <c r="CH5640" s="90">
        <v>1.21</v>
      </c>
      <c r="CI5640" s="90">
        <v>1.2</v>
      </c>
      <c r="CJ5640" s="65">
        <v>0.02</v>
      </c>
      <c r="CK5640" s="65">
        <v>0.02</v>
      </c>
      <c r="EP5640" s="65">
        <v>54.46</v>
      </c>
      <c r="EQ5640" s="65">
        <v>54.5</v>
      </c>
      <c r="ET5640" s="65" t="s">
        <v>164</v>
      </c>
      <c r="FE5640" s="65">
        <v>52.99</v>
      </c>
      <c r="FF5640" s="65">
        <v>49.63</v>
      </c>
      <c r="FG5640" s="65">
        <v>20</v>
      </c>
      <c r="FH5640" s="65">
        <v>20</v>
      </c>
      <c r="GP5640" s="292" t="s">
        <v>7494</v>
      </c>
    </row>
    <row r="5641" spans="1:198" x14ac:dyDescent="0.25">
      <c r="A5641" s="55">
        <v>5640</v>
      </c>
      <c r="B5641" s="12" t="s">
        <v>7067</v>
      </c>
      <c r="C5641" s="155" t="s">
        <v>6706</v>
      </c>
      <c r="D5641" s="55" t="s">
        <v>6718</v>
      </c>
      <c r="E5641" s="90" t="s">
        <v>6707</v>
      </c>
      <c r="G5641" s="55" t="s">
        <v>6708</v>
      </c>
      <c r="H5641" s="55" t="s">
        <v>5490</v>
      </c>
      <c r="I5641" s="55" t="s">
        <v>5490</v>
      </c>
      <c r="J5641" s="55" t="s">
        <v>6470</v>
      </c>
      <c r="K5641" s="55" t="s">
        <v>6530</v>
      </c>
      <c r="L5641" s="55" t="s">
        <v>3377</v>
      </c>
      <c r="M5641" s="90">
        <v>35</v>
      </c>
      <c r="N5641" s="90">
        <v>104</v>
      </c>
      <c r="O5641" s="90">
        <v>2000</v>
      </c>
      <c r="Q5641" s="55" t="s">
        <v>5826</v>
      </c>
      <c r="S5641" s="90" t="s">
        <v>6492</v>
      </c>
      <c r="U5641" s="55" t="s">
        <v>1805</v>
      </c>
      <c r="V5641" s="55" t="s">
        <v>1805</v>
      </c>
      <c r="Z5641" s="55" t="s">
        <v>6606</v>
      </c>
      <c r="AA5641" s="90">
        <v>5</v>
      </c>
      <c r="AM5641" s="55" t="s">
        <v>6493</v>
      </c>
      <c r="AO5641" s="185" t="s">
        <v>7494</v>
      </c>
      <c r="AR5641" s="55" t="s">
        <v>6710</v>
      </c>
      <c r="AS5641" s="55" t="s">
        <v>116</v>
      </c>
      <c r="AU5641" s="181" t="s">
        <v>7494</v>
      </c>
      <c r="AV5641" s="185" t="s">
        <v>176</v>
      </c>
      <c r="AX5641" s="185" t="s">
        <v>176</v>
      </c>
      <c r="BK5641" s="55" t="s">
        <v>2082</v>
      </c>
      <c r="BN5641" s="55" t="s">
        <v>1688</v>
      </c>
      <c r="BO5641" s="55" t="s">
        <v>1688</v>
      </c>
      <c r="CH5641" s="90">
        <v>1.22</v>
      </c>
      <c r="CI5641" s="90">
        <v>1.24</v>
      </c>
      <c r="CJ5641" s="65">
        <v>0.02</v>
      </c>
      <c r="CK5641" s="65">
        <v>0.02</v>
      </c>
      <c r="EP5641" s="65">
        <v>54.25</v>
      </c>
      <c r="EQ5641" s="65">
        <v>53.1</v>
      </c>
      <c r="ET5641" s="65" t="s">
        <v>164</v>
      </c>
      <c r="GP5641" s="292" t="s">
        <v>7494</v>
      </c>
    </row>
    <row r="5642" spans="1:198" x14ac:dyDescent="0.25">
      <c r="A5642" s="55">
        <v>5641</v>
      </c>
      <c r="B5642" s="12" t="s">
        <v>7067</v>
      </c>
      <c r="C5642" s="155" t="s">
        <v>6706</v>
      </c>
      <c r="D5642" s="55" t="s">
        <v>6719</v>
      </c>
      <c r="E5642" s="90" t="s">
        <v>6707</v>
      </c>
      <c r="G5642" s="55" t="s">
        <v>6708</v>
      </c>
      <c r="H5642" s="55" t="s">
        <v>5490</v>
      </c>
      <c r="I5642" s="55" t="s">
        <v>5490</v>
      </c>
      <c r="J5642" s="55" t="s">
        <v>6470</v>
      </c>
      <c r="K5642" s="55" t="s">
        <v>6530</v>
      </c>
      <c r="L5642" s="55" t="s">
        <v>3377</v>
      </c>
      <c r="M5642" s="90">
        <v>35</v>
      </c>
      <c r="N5642" s="90">
        <v>104</v>
      </c>
      <c r="O5642" s="90">
        <v>2000</v>
      </c>
      <c r="Q5642" s="55" t="s">
        <v>5826</v>
      </c>
      <c r="S5642" s="90" t="s">
        <v>6492</v>
      </c>
      <c r="U5642" s="55" t="s">
        <v>1805</v>
      </c>
      <c r="V5642" s="55" t="s">
        <v>1805</v>
      </c>
      <c r="Z5642" s="55" t="s">
        <v>6607</v>
      </c>
      <c r="AA5642" s="90">
        <v>20</v>
      </c>
      <c r="AM5642" s="55" t="s">
        <v>6493</v>
      </c>
      <c r="AO5642" s="185" t="s">
        <v>7494</v>
      </c>
      <c r="AR5642" s="55" t="s">
        <v>6710</v>
      </c>
      <c r="AS5642" s="55" t="s">
        <v>116</v>
      </c>
      <c r="AU5642" s="181" t="s">
        <v>7494</v>
      </c>
      <c r="AV5642" s="185" t="s">
        <v>176</v>
      </c>
      <c r="AX5642" s="185" t="s">
        <v>176</v>
      </c>
      <c r="BK5642" s="55" t="s">
        <v>2082</v>
      </c>
      <c r="BN5642" s="55" t="s">
        <v>1688</v>
      </c>
      <c r="BO5642" s="55" t="s">
        <v>1688</v>
      </c>
      <c r="CH5642" s="90">
        <v>1.23</v>
      </c>
      <c r="CI5642" s="90">
        <v>1.22</v>
      </c>
      <c r="CJ5642" s="65">
        <v>0.02</v>
      </c>
      <c r="CK5642" s="65">
        <v>0.02</v>
      </c>
      <c r="EP5642" s="65">
        <v>53.48</v>
      </c>
      <c r="EQ5642" s="65">
        <v>53.79</v>
      </c>
      <c r="ET5642" s="65" t="s">
        <v>164</v>
      </c>
      <c r="GP5642" s="292" t="s">
        <v>7494</v>
      </c>
    </row>
    <row r="5643" spans="1:198" x14ac:dyDescent="0.25">
      <c r="A5643" s="55">
        <v>5642</v>
      </c>
      <c r="B5643" s="12" t="s">
        <v>7067</v>
      </c>
      <c r="C5643" s="155" t="s">
        <v>6706</v>
      </c>
      <c r="D5643" s="55" t="s">
        <v>6720</v>
      </c>
      <c r="E5643" s="90" t="s">
        <v>6707</v>
      </c>
      <c r="G5643" s="55" t="s">
        <v>6708</v>
      </c>
      <c r="H5643" s="55" t="s">
        <v>5490</v>
      </c>
      <c r="I5643" s="55" t="s">
        <v>5490</v>
      </c>
      <c r="J5643" s="55" t="s">
        <v>6470</v>
      </c>
      <c r="K5643" s="55" t="s">
        <v>6530</v>
      </c>
      <c r="L5643" s="55" t="s">
        <v>3377</v>
      </c>
      <c r="M5643" s="90">
        <v>35</v>
      </c>
      <c r="N5643" s="90">
        <v>104</v>
      </c>
      <c r="O5643" s="90">
        <v>2000</v>
      </c>
      <c r="Q5643" s="55" t="s">
        <v>5826</v>
      </c>
      <c r="S5643" s="90" t="s">
        <v>6492</v>
      </c>
      <c r="U5643" s="55" t="s">
        <v>1805</v>
      </c>
      <c r="V5643" s="55" t="s">
        <v>1805</v>
      </c>
      <c r="Z5643" s="55" t="s">
        <v>6605</v>
      </c>
      <c r="AA5643" s="90">
        <v>5</v>
      </c>
      <c r="AM5643" s="55" t="s">
        <v>6493</v>
      </c>
      <c r="AO5643" s="185" t="s">
        <v>7494</v>
      </c>
      <c r="AR5643" s="55" t="s">
        <v>6710</v>
      </c>
      <c r="AS5643" s="55" t="s">
        <v>116</v>
      </c>
      <c r="AU5643" s="181" t="s">
        <v>7494</v>
      </c>
      <c r="AV5643" s="185" t="s">
        <v>176</v>
      </c>
      <c r="AX5643" s="185" t="s">
        <v>176</v>
      </c>
      <c r="BK5643" s="55" t="s">
        <v>6452</v>
      </c>
      <c r="BN5643" s="55" t="s">
        <v>1688</v>
      </c>
      <c r="BO5643" s="55" t="s">
        <v>1688</v>
      </c>
      <c r="CH5643" s="90">
        <v>1.21</v>
      </c>
      <c r="CI5643" s="90">
        <v>1.18</v>
      </c>
      <c r="CJ5643" s="65">
        <v>0.02</v>
      </c>
      <c r="CK5643" s="65">
        <v>0.02</v>
      </c>
      <c r="EP5643" s="65">
        <v>54.46</v>
      </c>
      <c r="EQ5643" s="65">
        <v>55.59</v>
      </c>
      <c r="ET5643" s="65" t="s">
        <v>164</v>
      </c>
      <c r="FE5643" s="65">
        <v>52.99</v>
      </c>
      <c r="FF5643" s="65">
        <v>61.58</v>
      </c>
      <c r="FG5643" s="65">
        <v>20</v>
      </c>
      <c r="FH5643" s="65">
        <v>20</v>
      </c>
      <c r="GP5643" s="292" t="s">
        <v>7494</v>
      </c>
    </row>
    <row r="5644" spans="1:198" x14ac:dyDescent="0.25">
      <c r="A5644" s="55">
        <v>5643</v>
      </c>
      <c r="B5644" s="12" t="s">
        <v>7067</v>
      </c>
      <c r="C5644" s="155" t="s">
        <v>6706</v>
      </c>
      <c r="D5644" s="55" t="s">
        <v>6721</v>
      </c>
      <c r="E5644" s="90" t="s">
        <v>6707</v>
      </c>
      <c r="G5644" s="55" t="s">
        <v>6708</v>
      </c>
      <c r="H5644" s="55" t="s">
        <v>5490</v>
      </c>
      <c r="I5644" s="55" t="s">
        <v>5490</v>
      </c>
      <c r="J5644" s="55" t="s">
        <v>6470</v>
      </c>
      <c r="K5644" s="55" t="s">
        <v>6530</v>
      </c>
      <c r="L5644" s="55" t="s">
        <v>3377</v>
      </c>
      <c r="M5644" s="90">
        <v>35</v>
      </c>
      <c r="N5644" s="90">
        <v>104</v>
      </c>
      <c r="O5644" s="90">
        <v>2000</v>
      </c>
      <c r="Q5644" s="55" t="s">
        <v>5826</v>
      </c>
      <c r="S5644" s="90" t="s">
        <v>6492</v>
      </c>
      <c r="U5644" s="55" t="s">
        <v>1805</v>
      </c>
      <c r="V5644" s="55" t="s">
        <v>1805</v>
      </c>
      <c r="Z5644" s="55" t="s">
        <v>6606</v>
      </c>
      <c r="AA5644" s="90">
        <v>5</v>
      </c>
      <c r="AM5644" s="55" t="s">
        <v>6493</v>
      </c>
      <c r="AO5644" s="185" t="s">
        <v>7494</v>
      </c>
      <c r="AR5644" s="55" t="s">
        <v>6710</v>
      </c>
      <c r="AS5644" s="55" t="s">
        <v>116</v>
      </c>
      <c r="AU5644" s="181" t="s">
        <v>7494</v>
      </c>
      <c r="AV5644" s="185" t="s">
        <v>176</v>
      </c>
      <c r="AX5644" s="185" t="s">
        <v>176</v>
      </c>
      <c r="BK5644" s="55" t="s">
        <v>6452</v>
      </c>
      <c r="BN5644" s="55" t="s">
        <v>1688</v>
      </c>
      <c r="BO5644" s="55" t="s">
        <v>1688</v>
      </c>
      <c r="CH5644" s="90">
        <v>1.22</v>
      </c>
      <c r="CI5644" s="90">
        <v>1.19</v>
      </c>
      <c r="CJ5644" s="65">
        <v>0.02</v>
      </c>
      <c r="CK5644" s="65">
        <v>0.02</v>
      </c>
      <c r="EP5644" s="65">
        <v>54.25</v>
      </c>
      <c r="EQ5644" s="65">
        <v>54.91</v>
      </c>
      <c r="ET5644" s="65" t="s">
        <v>164</v>
      </c>
      <c r="GP5644" s="292" t="s">
        <v>7494</v>
      </c>
    </row>
    <row r="5645" spans="1:198" x14ac:dyDescent="0.25">
      <c r="A5645" s="55">
        <v>5644</v>
      </c>
      <c r="B5645" s="12" t="s">
        <v>7067</v>
      </c>
      <c r="C5645" s="155" t="s">
        <v>6706</v>
      </c>
      <c r="D5645" s="55" t="s">
        <v>6722</v>
      </c>
      <c r="E5645" s="90" t="s">
        <v>6707</v>
      </c>
      <c r="G5645" s="55" t="s">
        <v>6708</v>
      </c>
      <c r="H5645" s="55" t="s">
        <v>5490</v>
      </c>
      <c r="I5645" s="55" t="s">
        <v>5490</v>
      </c>
      <c r="J5645" s="55" t="s">
        <v>6470</v>
      </c>
      <c r="K5645" s="55" t="s">
        <v>6530</v>
      </c>
      <c r="L5645" s="55" t="s">
        <v>3377</v>
      </c>
      <c r="M5645" s="90">
        <v>35</v>
      </c>
      <c r="N5645" s="90">
        <v>104</v>
      </c>
      <c r="O5645" s="90">
        <v>2000</v>
      </c>
      <c r="Q5645" s="55" t="s">
        <v>5826</v>
      </c>
      <c r="S5645" s="90" t="s">
        <v>6492</v>
      </c>
      <c r="U5645" s="55" t="s">
        <v>1805</v>
      </c>
      <c r="V5645" s="55" t="s">
        <v>1805</v>
      </c>
      <c r="Z5645" s="55" t="s">
        <v>6607</v>
      </c>
      <c r="AA5645" s="90">
        <v>20</v>
      </c>
      <c r="AM5645" s="55" t="s">
        <v>6493</v>
      </c>
      <c r="AO5645" s="185" t="s">
        <v>7494</v>
      </c>
      <c r="AR5645" s="55" t="s">
        <v>6710</v>
      </c>
      <c r="AS5645" s="55" t="s">
        <v>116</v>
      </c>
      <c r="AU5645" s="181" t="s">
        <v>7494</v>
      </c>
      <c r="AV5645" s="185" t="s">
        <v>176</v>
      </c>
      <c r="AX5645" s="185" t="s">
        <v>176</v>
      </c>
      <c r="BK5645" s="55" t="s">
        <v>6452</v>
      </c>
      <c r="BN5645" s="55" t="s">
        <v>1688</v>
      </c>
      <c r="BO5645" s="55" t="s">
        <v>1688</v>
      </c>
      <c r="CH5645" s="90">
        <v>1.23</v>
      </c>
      <c r="CI5645" s="90">
        <v>1.24</v>
      </c>
      <c r="CJ5645" s="65">
        <v>0.02</v>
      </c>
      <c r="CK5645" s="65">
        <v>0.02</v>
      </c>
      <c r="EP5645" s="65">
        <v>53.48</v>
      </c>
      <c r="EQ5645" s="65">
        <v>53.26</v>
      </c>
      <c r="ET5645" s="65" t="s">
        <v>164</v>
      </c>
      <c r="GP5645" s="292" t="s">
        <v>7494</v>
      </c>
    </row>
    <row r="5646" spans="1:198" x14ac:dyDescent="0.25">
      <c r="A5646" s="55">
        <v>5645</v>
      </c>
      <c r="B5646" s="12" t="s">
        <v>7067</v>
      </c>
      <c r="C5646" s="155" t="s">
        <v>6706</v>
      </c>
      <c r="D5646" s="55" t="s">
        <v>6724</v>
      </c>
      <c r="E5646" s="90" t="s">
        <v>6707</v>
      </c>
      <c r="G5646" s="55" t="s">
        <v>6708</v>
      </c>
      <c r="H5646" s="55" t="s">
        <v>5490</v>
      </c>
      <c r="I5646" s="55" t="s">
        <v>5608</v>
      </c>
      <c r="J5646" s="55" t="s">
        <v>6470</v>
      </c>
      <c r="K5646" s="55" t="s">
        <v>6530</v>
      </c>
      <c r="L5646" s="55" t="s">
        <v>3377</v>
      </c>
      <c r="M5646" s="90">
        <v>35</v>
      </c>
      <c r="N5646" s="90">
        <v>104</v>
      </c>
      <c r="O5646" s="90">
        <v>2000</v>
      </c>
      <c r="Q5646" s="55" t="s">
        <v>5826</v>
      </c>
      <c r="S5646" s="90" t="s">
        <v>6492</v>
      </c>
      <c r="U5646" s="55" t="s">
        <v>1935</v>
      </c>
      <c r="V5646" s="55" t="s">
        <v>1805</v>
      </c>
      <c r="Z5646" s="55" t="s">
        <v>6605</v>
      </c>
      <c r="AA5646" s="90">
        <v>5</v>
      </c>
      <c r="AM5646" s="55" t="s">
        <v>6493</v>
      </c>
      <c r="AN5646" s="185" t="s">
        <v>376</v>
      </c>
      <c r="AO5646" s="185" t="s">
        <v>5150</v>
      </c>
      <c r="AQ5646" s="55" t="s">
        <v>553</v>
      </c>
      <c r="AR5646" s="55" t="s">
        <v>6623</v>
      </c>
      <c r="AS5646" s="55" t="s">
        <v>227</v>
      </c>
      <c r="AU5646" s="181" t="s">
        <v>7494</v>
      </c>
      <c r="AV5646" s="185" t="s">
        <v>176</v>
      </c>
      <c r="AX5646" s="185" t="s">
        <v>176</v>
      </c>
      <c r="BK5646" s="55" t="s">
        <v>6723</v>
      </c>
      <c r="BN5646" s="55" t="s">
        <v>1688</v>
      </c>
      <c r="BO5646" s="55" t="s">
        <v>1688</v>
      </c>
      <c r="CH5646" s="90">
        <v>1.28</v>
      </c>
      <c r="CI5646" s="90">
        <v>1.26</v>
      </c>
      <c r="EP5646" s="65">
        <v>53.01</v>
      </c>
      <c r="EQ5646" s="65">
        <v>53.92</v>
      </c>
      <c r="ET5646" s="65" t="s">
        <v>164</v>
      </c>
      <c r="FE5646" s="65">
        <v>50.34</v>
      </c>
      <c r="FF5646" s="65">
        <v>54.9</v>
      </c>
      <c r="FJ5646" s="65">
        <v>5.58</v>
      </c>
      <c r="FK5646" s="65">
        <v>4.6399999999999997</v>
      </c>
      <c r="FN5646" s="65" t="s">
        <v>206</v>
      </c>
      <c r="FO5646" s="65">
        <v>22.31</v>
      </c>
      <c r="FP5646" s="65">
        <v>20.39</v>
      </c>
      <c r="FS5646" s="65" t="s">
        <v>637</v>
      </c>
      <c r="GP5646" s="292" t="s">
        <v>7494</v>
      </c>
    </row>
    <row r="5647" spans="1:198" x14ac:dyDescent="0.25">
      <c r="A5647" s="55">
        <v>5646</v>
      </c>
      <c r="B5647" s="12" t="s">
        <v>7067</v>
      </c>
      <c r="C5647" s="155" t="s">
        <v>6706</v>
      </c>
      <c r="D5647" s="55" t="s">
        <v>6725</v>
      </c>
      <c r="E5647" s="90" t="s">
        <v>6707</v>
      </c>
      <c r="G5647" s="55" t="s">
        <v>6708</v>
      </c>
      <c r="H5647" s="55" t="s">
        <v>5490</v>
      </c>
      <c r="I5647" s="55" t="s">
        <v>5608</v>
      </c>
      <c r="J5647" s="55" t="s">
        <v>6470</v>
      </c>
      <c r="K5647" s="55" t="s">
        <v>6530</v>
      </c>
      <c r="L5647" s="55" t="s">
        <v>3377</v>
      </c>
      <c r="M5647" s="90">
        <v>35</v>
      </c>
      <c r="N5647" s="90">
        <v>104</v>
      </c>
      <c r="O5647" s="90">
        <v>2000</v>
      </c>
      <c r="Q5647" s="55" t="s">
        <v>5826</v>
      </c>
      <c r="S5647" s="90" t="s">
        <v>6492</v>
      </c>
      <c r="U5647" s="55" t="s">
        <v>1935</v>
      </c>
      <c r="V5647" s="55" t="s">
        <v>1805</v>
      </c>
      <c r="Z5647" s="55" t="s">
        <v>6606</v>
      </c>
      <c r="AA5647" s="90">
        <v>5</v>
      </c>
      <c r="AM5647" s="55" t="s">
        <v>6493</v>
      </c>
      <c r="AN5647" s="185" t="s">
        <v>376</v>
      </c>
      <c r="AO5647" s="185" t="s">
        <v>5150</v>
      </c>
      <c r="AQ5647" s="55" t="s">
        <v>553</v>
      </c>
      <c r="AR5647" s="55" t="s">
        <v>6623</v>
      </c>
      <c r="AS5647" s="55" t="s">
        <v>227</v>
      </c>
      <c r="AU5647" s="181" t="s">
        <v>7494</v>
      </c>
      <c r="AV5647" s="185" t="s">
        <v>176</v>
      </c>
      <c r="AX5647" s="185" t="s">
        <v>176</v>
      </c>
      <c r="BK5647" s="55" t="s">
        <v>6723</v>
      </c>
      <c r="BN5647" s="55" t="s">
        <v>1688</v>
      </c>
      <c r="BO5647" s="55" t="s">
        <v>1688</v>
      </c>
      <c r="CH5647" s="90">
        <v>1.27</v>
      </c>
      <c r="CI5647" s="90">
        <v>1.2</v>
      </c>
      <c r="EP5647" s="65">
        <v>54.61</v>
      </c>
      <c r="EQ5647" s="65">
        <v>53.94</v>
      </c>
      <c r="ET5647" s="65" t="s">
        <v>164</v>
      </c>
      <c r="GP5647" s="292" t="s">
        <v>7494</v>
      </c>
    </row>
    <row r="5648" spans="1:198" x14ac:dyDescent="0.25">
      <c r="A5648" s="55">
        <v>5647</v>
      </c>
      <c r="B5648" s="12" t="s">
        <v>7067</v>
      </c>
      <c r="C5648" s="155" t="s">
        <v>6706</v>
      </c>
      <c r="D5648" s="55" t="s">
        <v>6726</v>
      </c>
      <c r="E5648" s="90" t="s">
        <v>6707</v>
      </c>
      <c r="G5648" s="55" t="s">
        <v>6708</v>
      </c>
      <c r="H5648" s="55" t="s">
        <v>5490</v>
      </c>
      <c r="I5648" s="55" t="s">
        <v>5608</v>
      </c>
      <c r="J5648" s="55" t="s">
        <v>6470</v>
      </c>
      <c r="K5648" s="55" t="s">
        <v>6530</v>
      </c>
      <c r="L5648" s="55" t="s">
        <v>3377</v>
      </c>
      <c r="M5648" s="90">
        <v>35</v>
      </c>
      <c r="N5648" s="90">
        <v>104</v>
      </c>
      <c r="O5648" s="90">
        <v>2000</v>
      </c>
      <c r="Q5648" s="55" t="s">
        <v>5826</v>
      </c>
      <c r="S5648" s="90" t="s">
        <v>6492</v>
      </c>
      <c r="U5648" s="55" t="s">
        <v>1935</v>
      </c>
      <c r="V5648" s="55" t="s">
        <v>1805</v>
      </c>
      <c r="Z5648" s="55" t="s">
        <v>6607</v>
      </c>
      <c r="AA5648" s="90">
        <v>20</v>
      </c>
      <c r="AM5648" s="55" t="s">
        <v>6493</v>
      </c>
      <c r="AN5648" s="185" t="s">
        <v>376</v>
      </c>
      <c r="AO5648" s="185" t="s">
        <v>5150</v>
      </c>
      <c r="AQ5648" s="55" t="s">
        <v>553</v>
      </c>
      <c r="AR5648" s="55" t="s">
        <v>6623</v>
      </c>
      <c r="AS5648" s="55" t="s">
        <v>227</v>
      </c>
      <c r="AU5648" s="181" t="s">
        <v>7494</v>
      </c>
      <c r="AV5648" s="185" t="s">
        <v>176</v>
      </c>
      <c r="AX5648" s="185" t="s">
        <v>176</v>
      </c>
      <c r="BK5648" s="55" t="s">
        <v>6723</v>
      </c>
      <c r="BN5648" s="55" t="s">
        <v>1688</v>
      </c>
      <c r="BO5648" s="55" t="s">
        <v>1688</v>
      </c>
      <c r="CH5648" s="90">
        <v>1.32</v>
      </c>
      <c r="CI5648" s="90">
        <v>1.27</v>
      </c>
      <c r="EP5648" s="65">
        <v>52.45</v>
      </c>
      <c r="EQ5648" s="65">
        <v>50.7</v>
      </c>
      <c r="ET5648" s="65" t="s">
        <v>164</v>
      </c>
      <c r="GP5648" s="292" t="s">
        <v>7494</v>
      </c>
    </row>
    <row r="5649" spans="1:198" x14ac:dyDescent="0.25">
      <c r="A5649" s="55">
        <v>5648</v>
      </c>
      <c r="B5649" s="12" t="s">
        <v>7067</v>
      </c>
      <c r="C5649" s="155" t="s">
        <v>6706</v>
      </c>
      <c r="D5649" s="55" t="s">
        <v>6727</v>
      </c>
      <c r="E5649" s="90" t="s">
        <v>6707</v>
      </c>
      <c r="G5649" s="55" t="s">
        <v>6708</v>
      </c>
      <c r="H5649" s="55" t="s">
        <v>5490</v>
      </c>
      <c r="I5649" s="55" t="s">
        <v>5608</v>
      </c>
      <c r="J5649" s="55" t="s">
        <v>6470</v>
      </c>
      <c r="K5649" s="55" t="s">
        <v>6530</v>
      </c>
      <c r="L5649" s="55" t="s">
        <v>3377</v>
      </c>
      <c r="M5649" s="90">
        <v>35</v>
      </c>
      <c r="N5649" s="90">
        <v>104</v>
      </c>
      <c r="O5649" s="90">
        <v>2000</v>
      </c>
      <c r="Q5649" s="55" t="s">
        <v>5826</v>
      </c>
      <c r="S5649" s="90" t="s">
        <v>6492</v>
      </c>
      <c r="U5649" s="55" t="s">
        <v>1935</v>
      </c>
      <c r="V5649" s="55" t="s">
        <v>1805</v>
      </c>
      <c r="Z5649" s="55" t="s">
        <v>6605</v>
      </c>
      <c r="AA5649" s="90">
        <v>5</v>
      </c>
      <c r="AM5649" s="55" t="s">
        <v>6493</v>
      </c>
      <c r="AN5649" s="185" t="s">
        <v>376</v>
      </c>
      <c r="AO5649" s="185" t="s">
        <v>5150</v>
      </c>
      <c r="AQ5649" s="55" t="s">
        <v>553</v>
      </c>
      <c r="AR5649" s="55" t="s">
        <v>116</v>
      </c>
      <c r="AS5649" s="55" t="s">
        <v>116</v>
      </c>
      <c r="AU5649" s="181" t="s">
        <v>7494</v>
      </c>
      <c r="AV5649" s="185" t="s">
        <v>176</v>
      </c>
      <c r="AX5649" s="185" t="s">
        <v>176</v>
      </c>
      <c r="BK5649" s="55" t="s">
        <v>6723</v>
      </c>
      <c r="BN5649" s="55" t="s">
        <v>1688</v>
      </c>
      <c r="BO5649" s="55" t="s">
        <v>1688</v>
      </c>
      <c r="CH5649" s="90">
        <v>1.27</v>
      </c>
      <c r="CI5649" s="90">
        <v>1.23</v>
      </c>
      <c r="EP5649" s="65">
        <v>54.35</v>
      </c>
      <c r="EQ5649" s="65">
        <v>53.38</v>
      </c>
      <c r="ET5649" s="65" t="s">
        <v>164</v>
      </c>
      <c r="FE5649" s="65">
        <v>57.77</v>
      </c>
      <c r="FF5649" s="65">
        <v>60.3</v>
      </c>
      <c r="FJ5649" s="65">
        <v>9.2100000000000009</v>
      </c>
      <c r="FK5649" s="65">
        <v>7.7</v>
      </c>
      <c r="FN5649" s="65" t="s">
        <v>206</v>
      </c>
      <c r="FO5649" s="65">
        <v>25.95</v>
      </c>
      <c r="FP5649" s="65">
        <v>24.44</v>
      </c>
      <c r="FS5649" s="65" t="s">
        <v>637</v>
      </c>
      <c r="GP5649" s="292" t="s">
        <v>7494</v>
      </c>
    </row>
    <row r="5650" spans="1:198" x14ac:dyDescent="0.25">
      <c r="A5650" s="55">
        <v>5649</v>
      </c>
      <c r="B5650" s="12" t="s">
        <v>7067</v>
      </c>
      <c r="C5650" s="155" t="s">
        <v>6706</v>
      </c>
      <c r="D5650" s="55" t="s">
        <v>6728</v>
      </c>
      <c r="E5650" s="90" t="s">
        <v>6707</v>
      </c>
      <c r="G5650" s="55" t="s">
        <v>6708</v>
      </c>
      <c r="H5650" s="55" t="s">
        <v>5490</v>
      </c>
      <c r="I5650" s="55" t="s">
        <v>5608</v>
      </c>
      <c r="J5650" s="55" t="s">
        <v>6470</v>
      </c>
      <c r="K5650" s="55" t="s">
        <v>6530</v>
      </c>
      <c r="L5650" s="55" t="s">
        <v>3377</v>
      </c>
      <c r="M5650" s="90">
        <v>35</v>
      </c>
      <c r="N5650" s="90">
        <v>104</v>
      </c>
      <c r="O5650" s="90">
        <v>2000</v>
      </c>
      <c r="Q5650" s="55" t="s">
        <v>5826</v>
      </c>
      <c r="S5650" s="90" t="s">
        <v>6492</v>
      </c>
      <c r="U5650" s="55" t="s">
        <v>1935</v>
      </c>
      <c r="V5650" s="55" t="s">
        <v>1805</v>
      </c>
      <c r="Z5650" s="55" t="s">
        <v>6606</v>
      </c>
      <c r="AA5650" s="90">
        <v>5</v>
      </c>
      <c r="AM5650" s="55" t="s">
        <v>6493</v>
      </c>
      <c r="AN5650" s="185" t="s">
        <v>376</v>
      </c>
      <c r="AO5650" s="185" t="s">
        <v>5150</v>
      </c>
      <c r="AQ5650" s="55" t="s">
        <v>553</v>
      </c>
      <c r="AR5650" s="55" t="s">
        <v>116</v>
      </c>
      <c r="AS5650" s="55" t="s">
        <v>116</v>
      </c>
      <c r="AU5650" s="181" t="s">
        <v>7494</v>
      </c>
      <c r="AV5650" s="185" t="s">
        <v>176</v>
      </c>
      <c r="AX5650" s="185" t="s">
        <v>176</v>
      </c>
      <c r="BK5650" s="55" t="s">
        <v>6723</v>
      </c>
      <c r="BN5650" s="55" t="s">
        <v>1688</v>
      </c>
      <c r="BO5650" s="55" t="s">
        <v>1688</v>
      </c>
      <c r="CH5650" s="90">
        <v>1.27</v>
      </c>
      <c r="CI5650" s="90">
        <v>1.22</v>
      </c>
      <c r="EP5650" s="65">
        <v>54.21</v>
      </c>
      <c r="EQ5650" s="65">
        <v>52.88</v>
      </c>
      <c r="ET5650" s="65" t="s">
        <v>164</v>
      </c>
      <c r="GP5650" s="292" t="s">
        <v>7494</v>
      </c>
    </row>
    <row r="5651" spans="1:198" x14ac:dyDescent="0.25">
      <c r="A5651" s="55">
        <v>5650</v>
      </c>
      <c r="B5651" s="12" t="s">
        <v>7067</v>
      </c>
      <c r="C5651" s="155" t="s">
        <v>6706</v>
      </c>
      <c r="D5651" s="55" t="s">
        <v>6729</v>
      </c>
      <c r="E5651" s="90" t="s">
        <v>6707</v>
      </c>
      <c r="G5651" s="55" t="s">
        <v>6708</v>
      </c>
      <c r="H5651" s="55" t="s">
        <v>5490</v>
      </c>
      <c r="I5651" s="55" t="s">
        <v>5608</v>
      </c>
      <c r="J5651" s="55" t="s">
        <v>6470</v>
      </c>
      <c r="K5651" s="55" t="s">
        <v>6530</v>
      </c>
      <c r="L5651" s="55" t="s">
        <v>3377</v>
      </c>
      <c r="M5651" s="90">
        <v>35</v>
      </c>
      <c r="N5651" s="90">
        <v>104</v>
      </c>
      <c r="O5651" s="90">
        <v>2000</v>
      </c>
      <c r="Q5651" s="55" t="s">
        <v>5826</v>
      </c>
      <c r="S5651" s="90" t="s">
        <v>6492</v>
      </c>
      <c r="U5651" s="55" t="s">
        <v>1935</v>
      </c>
      <c r="V5651" s="55" t="s">
        <v>1805</v>
      </c>
      <c r="Z5651" s="55" t="s">
        <v>6607</v>
      </c>
      <c r="AA5651" s="90">
        <v>20</v>
      </c>
      <c r="AM5651" s="55" t="s">
        <v>6493</v>
      </c>
      <c r="AN5651" s="185" t="s">
        <v>376</v>
      </c>
      <c r="AO5651" s="185" t="s">
        <v>5150</v>
      </c>
      <c r="AQ5651" s="55" t="s">
        <v>553</v>
      </c>
      <c r="AR5651" s="55" t="s">
        <v>116</v>
      </c>
      <c r="AS5651" s="55" t="s">
        <v>116</v>
      </c>
      <c r="AU5651" s="181" t="s">
        <v>7494</v>
      </c>
      <c r="AV5651" s="185" t="s">
        <v>176</v>
      </c>
      <c r="AX5651" s="185" t="s">
        <v>176</v>
      </c>
      <c r="BK5651" s="55" t="s">
        <v>6723</v>
      </c>
      <c r="BN5651" s="55" t="s">
        <v>1688</v>
      </c>
      <c r="BO5651" s="55" t="s">
        <v>1688</v>
      </c>
      <c r="CH5651" s="90">
        <v>1.33</v>
      </c>
      <c r="CI5651" s="90">
        <v>1.26</v>
      </c>
      <c r="EP5651" s="65">
        <v>53.04</v>
      </c>
      <c r="EQ5651" s="65">
        <v>50.75</v>
      </c>
      <c r="ET5651" s="65" t="s">
        <v>164</v>
      </c>
      <c r="GP5651" s="292" t="s">
        <v>7494</v>
      </c>
    </row>
    <row r="5652" spans="1:198" x14ac:dyDescent="0.25">
      <c r="A5652" s="55">
        <v>5651</v>
      </c>
      <c r="B5652" s="12" t="s">
        <v>7067</v>
      </c>
      <c r="C5652" s="155" t="s">
        <v>6706</v>
      </c>
      <c r="D5652" s="55" t="s">
        <v>6730</v>
      </c>
      <c r="E5652" s="90" t="s">
        <v>6707</v>
      </c>
      <c r="G5652" s="55" t="s">
        <v>6708</v>
      </c>
      <c r="H5652" s="55" t="s">
        <v>5490</v>
      </c>
      <c r="I5652" s="55" t="s">
        <v>5608</v>
      </c>
      <c r="J5652" s="55" t="s">
        <v>6470</v>
      </c>
      <c r="K5652" s="55" t="s">
        <v>6530</v>
      </c>
      <c r="L5652" s="55" t="s">
        <v>3377</v>
      </c>
      <c r="M5652" s="90">
        <v>35</v>
      </c>
      <c r="N5652" s="90">
        <v>104</v>
      </c>
      <c r="O5652" s="90">
        <v>2000</v>
      </c>
      <c r="Q5652" s="55" t="s">
        <v>5826</v>
      </c>
      <c r="S5652" s="90" t="s">
        <v>6492</v>
      </c>
      <c r="U5652" s="55" t="s">
        <v>1935</v>
      </c>
      <c r="V5652" s="55" t="s">
        <v>1805</v>
      </c>
      <c r="Z5652" s="55" t="s">
        <v>6605</v>
      </c>
      <c r="AA5652" s="90">
        <v>5</v>
      </c>
      <c r="AM5652" s="55" t="s">
        <v>6493</v>
      </c>
      <c r="AN5652" s="185" t="s">
        <v>376</v>
      </c>
      <c r="AO5652" s="185" t="s">
        <v>5150</v>
      </c>
      <c r="AQ5652" s="55" t="s">
        <v>553</v>
      </c>
      <c r="AR5652" s="55" t="s">
        <v>3646</v>
      </c>
      <c r="AS5652" s="55" t="s">
        <v>227</v>
      </c>
      <c r="AU5652" s="181" t="s">
        <v>7494</v>
      </c>
      <c r="AV5652" s="185" t="s">
        <v>176</v>
      </c>
      <c r="AX5652" s="185" t="s">
        <v>176</v>
      </c>
      <c r="BK5652" s="55" t="s">
        <v>6723</v>
      </c>
      <c r="BN5652" s="55" t="s">
        <v>1688</v>
      </c>
      <c r="BO5652" s="55" t="s">
        <v>1688</v>
      </c>
      <c r="CH5652" s="90">
        <v>1.26</v>
      </c>
      <c r="CI5652" s="90">
        <v>1.24</v>
      </c>
      <c r="EP5652" s="65">
        <v>53.78</v>
      </c>
      <c r="EQ5652" s="65">
        <v>54.98</v>
      </c>
      <c r="ET5652" s="65" t="s">
        <v>164</v>
      </c>
      <c r="FE5652" s="65">
        <v>46.53</v>
      </c>
      <c r="FF5652" s="65">
        <v>53.25</v>
      </c>
      <c r="FJ5652" s="65">
        <v>3.44</v>
      </c>
      <c r="FK5652" s="65">
        <v>2.5499999999999998</v>
      </c>
      <c r="FN5652" s="65" t="s">
        <v>206</v>
      </c>
      <c r="FO5652" s="65">
        <v>18.3</v>
      </c>
      <c r="FP5652" s="65">
        <v>15.53</v>
      </c>
      <c r="FS5652" s="65" t="s">
        <v>637</v>
      </c>
      <c r="GP5652" s="292" t="s">
        <v>7494</v>
      </c>
    </row>
    <row r="5653" spans="1:198" x14ac:dyDescent="0.25">
      <c r="A5653" s="55">
        <v>5652</v>
      </c>
      <c r="B5653" s="12" t="s">
        <v>7067</v>
      </c>
      <c r="C5653" s="155" t="s">
        <v>6706</v>
      </c>
      <c r="D5653" s="55" t="s">
        <v>6731</v>
      </c>
      <c r="E5653" s="90" t="s">
        <v>6707</v>
      </c>
      <c r="G5653" s="55" t="s">
        <v>6708</v>
      </c>
      <c r="H5653" s="55" t="s">
        <v>5490</v>
      </c>
      <c r="I5653" s="55" t="s">
        <v>5608</v>
      </c>
      <c r="J5653" s="55" t="s">
        <v>6470</v>
      </c>
      <c r="K5653" s="55" t="s">
        <v>6530</v>
      </c>
      <c r="L5653" s="55" t="s">
        <v>3377</v>
      </c>
      <c r="M5653" s="90">
        <v>35</v>
      </c>
      <c r="N5653" s="90">
        <v>104</v>
      </c>
      <c r="O5653" s="90">
        <v>2000</v>
      </c>
      <c r="Q5653" s="55" t="s">
        <v>5826</v>
      </c>
      <c r="S5653" s="90" t="s">
        <v>6492</v>
      </c>
      <c r="U5653" s="55" t="s">
        <v>1935</v>
      </c>
      <c r="V5653" s="55" t="s">
        <v>1805</v>
      </c>
      <c r="Z5653" s="55" t="s">
        <v>6606</v>
      </c>
      <c r="AA5653" s="90">
        <v>5</v>
      </c>
      <c r="AM5653" s="55" t="s">
        <v>6493</v>
      </c>
      <c r="AN5653" s="185" t="s">
        <v>376</v>
      </c>
      <c r="AO5653" s="185" t="s">
        <v>5150</v>
      </c>
      <c r="AQ5653" s="55" t="s">
        <v>553</v>
      </c>
      <c r="AR5653" s="55" t="s">
        <v>3646</v>
      </c>
      <c r="AS5653" s="55" t="s">
        <v>227</v>
      </c>
      <c r="AU5653" s="181" t="s">
        <v>7494</v>
      </c>
      <c r="AV5653" s="185" t="s">
        <v>176</v>
      </c>
      <c r="AX5653" s="185" t="s">
        <v>176</v>
      </c>
      <c r="BK5653" s="55" t="s">
        <v>6723</v>
      </c>
      <c r="BN5653" s="55" t="s">
        <v>1688</v>
      </c>
      <c r="BO5653" s="55" t="s">
        <v>1688</v>
      </c>
      <c r="CH5653" s="90">
        <v>1.23</v>
      </c>
      <c r="CI5653" s="90">
        <v>1.26</v>
      </c>
      <c r="EP5653" s="65">
        <v>52.51</v>
      </c>
      <c r="EQ5653" s="65">
        <v>53.75</v>
      </c>
      <c r="ET5653" s="65" t="s">
        <v>164</v>
      </c>
      <c r="GP5653" s="292" t="s">
        <v>7494</v>
      </c>
    </row>
    <row r="5654" spans="1:198" x14ac:dyDescent="0.25">
      <c r="A5654" s="55">
        <v>5653</v>
      </c>
      <c r="B5654" s="12" t="s">
        <v>7067</v>
      </c>
      <c r="C5654" s="155" t="s">
        <v>6706</v>
      </c>
      <c r="D5654" s="55" t="s">
        <v>6732</v>
      </c>
      <c r="E5654" s="90" t="s">
        <v>6707</v>
      </c>
      <c r="G5654" s="55" t="s">
        <v>6708</v>
      </c>
      <c r="H5654" s="55" t="s">
        <v>5490</v>
      </c>
      <c r="I5654" s="55" t="s">
        <v>5608</v>
      </c>
      <c r="J5654" s="55" t="s">
        <v>6470</v>
      </c>
      <c r="K5654" s="55" t="s">
        <v>6530</v>
      </c>
      <c r="L5654" s="55" t="s">
        <v>3377</v>
      </c>
      <c r="M5654" s="90">
        <v>35</v>
      </c>
      <c r="N5654" s="90">
        <v>104</v>
      </c>
      <c r="O5654" s="90">
        <v>2000</v>
      </c>
      <c r="Q5654" s="55" t="s">
        <v>5826</v>
      </c>
      <c r="S5654" s="90" t="s">
        <v>6492</v>
      </c>
      <c r="U5654" s="55" t="s">
        <v>1935</v>
      </c>
      <c r="V5654" s="55" t="s">
        <v>1805</v>
      </c>
      <c r="Z5654" s="55" t="s">
        <v>6607</v>
      </c>
      <c r="AA5654" s="90">
        <v>20</v>
      </c>
      <c r="AM5654" s="55" t="s">
        <v>6493</v>
      </c>
      <c r="AN5654" s="185" t="s">
        <v>376</v>
      </c>
      <c r="AO5654" s="185" t="s">
        <v>5150</v>
      </c>
      <c r="AQ5654" s="55" t="s">
        <v>553</v>
      </c>
      <c r="AR5654" s="55" t="s">
        <v>3646</v>
      </c>
      <c r="AS5654" s="55" t="s">
        <v>227</v>
      </c>
      <c r="AU5654" s="181" t="s">
        <v>7494</v>
      </c>
      <c r="AV5654" s="185" t="s">
        <v>176</v>
      </c>
      <c r="AX5654" s="185" t="s">
        <v>176</v>
      </c>
      <c r="BK5654" s="55" t="s">
        <v>6723</v>
      </c>
      <c r="BN5654" s="55" t="s">
        <v>1688</v>
      </c>
      <c r="BO5654" s="55" t="s">
        <v>1688</v>
      </c>
      <c r="CH5654" s="90">
        <v>1.24</v>
      </c>
      <c r="CI5654" s="90">
        <v>1.26</v>
      </c>
      <c r="EP5654" s="65">
        <v>52.56</v>
      </c>
      <c r="EQ5654" s="65">
        <v>53.19</v>
      </c>
      <c r="ET5654" s="65" t="s">
        <v>164</v>
      </c>
      <c r="GP5654" s="292" t="s">
        <v>7494</v>
      </c>
    </row>
    <row r="5655" spans="1:198" x14ac:dyDescent="0.25">
      <c r="A5655" s="55">
        <v>5654</v>
      </c>
      <c r="B5655" s="12" t="s">
        <v>7067</v>
      </c>
      <c r="C5655" s="155" t="s">
        <v>6706</v>
      </c>
      <c r="D5655" s="55" t="s">
        <v>6724</v>
      </c>
      <c r="E5655" s="90" t="s">
        <v>6707</v>
      </c>
      <c r="G5655" s="55" t="s">
        <v>6708</v>
      </c>
      <c r="H5655" s="55" t="s">
        <v>5490</v>
      </c>
      <c r="I5655" s="55" t="s">
        <v>5490</v>
      </c>
      <c r="J5655" s="55" t="s">
        <v>6470</v>
      </c>
      <c r="K5655" s="55" t="s">
        <v>6530</v>
      </c>
      <c r="L5655" s="55" t="s">
        <v>3377</v>
      </c>
      <c r="M5655" s="90">
        <v>35</v>
      </c>
      <c r="N5655" s="90">
        <v>104</v>
      </c>
      <c r="O5655" s="90">
        <v>2000</v>
      </c>
      <c r="Q5655" s="55" t="s">
        <v>5826</v>
      </c>
      <c r="S5655" s="90" t="s">
        <v>6492</v>
      </c>
      <c r="U5655" s="55" t="s">
        <v>1805</v>
      </c>
      <c r="V5655" s="55" t="s">
        <v>1805</v>
      </c>
      <c r="Z5655" s="55" t="s">
        <v>6605</v>
      </c>
      <c r="AA5655" s="90">
        <v>5</v>
      </c>
      <c r="AM5655" s="55" t="s">
        <v>6493</v>
      </c>
      <c r="AN5655" s="185" t="s">
        <v>376</v>
      </c>
      <c r="AO5655" s="185" t="s">
        <v>5150</v>
      </c>
      <c r="AQ5655" s="55" t="s">
        <v>553</v>
      </c>
      <c r="AR5655" s="55" t="s">
        <v>6623</v>
      </c>
      <c r="AS5655" s="55" t="s">
        <v>227</v>
      </c>
      <c r="AU5655" s="181" t="s">
        <v>7494</v>
      </c>
      <c r="AV5655" s="185" t="s">
        <v>176</v>
      </c>
      <c r="AX5655" s="185" t="s">
        <v>176</v>
      </c>
      <c r="BK5655" s="55" t="s">
        <v>6723</v>
      </c>
      <c r="BN5655" s="55" t="s">
        <v>1688</v>
      </c>
      <c r="BO5655" s="55" t="s">
        <v>1688</v>
      </c>
      <c r="CH5655" s="90">
        <v>1.23</v>
      </c>
      <c r="CI5655" s="90">
        <v>1.2</v>
      </c>
      <c r="EP5655" s="65">
        <v>50.54</v>
      </c>
      <c r="EQ5655" s="65">
        <v>56.61</v>
      </c>
      <c r="ET5655" s="65" t="s">
        <v>164</v>
      </c>
      <c r="FE5655" s="65">
        <v>57.74</v>
      </c>
      <c r="FF5655" s="65">
        <v>69.5</v>
      </c>
      <c r="GP5655" s="292" t="s">
        <v>7494</v>
      </c>
    </row>
    <row r="5656" spans="1:198" x14ac:dyDescent="0.25">
      <c r="A5656" s="55">
        <v>5655</v>
      </c>
      <c r="B5656" s="12" t="s">
        <v>7067</v>
      </c>
      <c r="C5656" s="155" t="s">
        <v>6706</v>
      </c>
      <c r="D5656" s="55" t="s">
        <v>6725</v>
      </c>
      <c r="E5656" s="90" t="s">
        <v>6707</v>
      </c>
      <c r="G5656" s="55" t="s">
        <v>6708</v>
      </c>
      <c r="H5656" s="55" t="s">
        <v>5490</v>
      </c>
      <c r="I5656" s="55" t="s">
        <v>5490</v>
      </c>
      <c r="J5656" s="55" t="s">
        <v>6470</v>
      </c>
      <c r="K5656" s="55" t="s">
        <v>6530</v>
      </c>
      <c r="L5656" s="55" t="s">
        <v>3377</v>
      </c>
      <c r="M5656" s="90">
        <v>35</v>
      </c>
      <c r="N5656" s="90">
        <v>104</v>
      </c>
      <c r="O5656" s="90">
        <v>2000</v>
      </c>
      <c r="Q5656" s="55" t="s">
        <v>5826</v>
      </c>
      <c r="S5656" s="90" t="s">
        <v>6492</v>
      </c>
      <c r="U5656" s="55" t="s">
        <v>1805</v>
      </c>
      <c r="V5656" s="55" t="s">
        <v>1805</v>
      </c>
      <c r="Z5656" s="55" t="s">
        <v>6606</v>
      </c>
      <c r="AA5656" s="90">
        <v>5</v>
      </c>
      <c r="AM5656" s="55" t="s">
        <v>6493</v>
      </c>
      <c r="AN5656" s="185" t="s">
        <v>376</v>
      </c>
      <c r="AO5656" s="185" t="s">
        <v>5150</v>
      </c>
      <c r="AQ5656" s="55" t="s">
        <v>553</v>
      </c>
      <c r="AR5656" s="55" t="s">
        <v>6623</v>
      </c>
      <c r="AS5656" s="55" t="s">
        <v>227</v>
      </c>
      <c r="AU5656" s="181" t="s">
        <v>7494</v>
      </c>
      <c r="AV5656" s="185" t="s">
        <v>176</v>
      </c>
      <c r="AX5656" s="185" t="s">
        <v>176</v>
      </c>
      <c r="BK5656" s="55" t="s">
        <v>6723</v>
      </c>
      <c r="BN5656" s="55" t="s">
        <v>1688</v>
      </c>
      <c r="BO5656" s="55" t="s">
        <v>1688</v>
      </c>
      <c r="CH5656" s="90">
        <v>1.23</v>
      </c>
      <c r="CI5656" s="90">
        <v>1.23</v>
      </c>
      <c r="EP5656" s="65">
        <v>51.34</v>
      </c>
      <c r="EQ5656" s="65">
        <v>47.33</v>
      </c>
      <c r="ET5656" s="65" t="s">
        <v>164</v>
      </c>
      <c r="GP5656" s="292" t="s">
        <v>7494</v>
      </c>
    </row>
    <row r="5657" spans="1:198" x14ac:dyDescent="0.25">
      <c r="A5657" s="55">
        <v>5656</v>
      </c>
      <c r="B5657" s="12" t="s">
        <v>7067</v>
      </c>
      <c r="C5657" s="155" t="s">
        <v>6706</v>
      </c>
      <c r="D5657" s="55" t="s">
        <v>6726</v>
      </c>
      <c r="E5657" s="90" t="s">
        <v>6707</v>
      </c>
      <c r="G5657" s="55" t="s">
        <v>6708</v>
      </c>
      <c r="H5657" s="55" t="s">
        <v>5490</v>
      </c>
      <c r="I5657" s="55" t="s">
        <v>5490</v>
      </c>
      <c r="J5657" s="55" t="s">
        <v>6470</v>
      </c>
      <c r="K5657" s="55" t="s">
        <v>6530</v>
      </c>
      <c r="L5657" s="55" t="s">
        <v>3377</v>
      </c>
      <c r="M5657" s="90">
        <v>35</v>
      </c>
      <c r="N5657" s="90">
        <v>104</v>
      </c>
      <c r="O5657" s="90">
        <v>2000</v>
      </c>
      <c r="Q5657" s="55" t="s">
        <v>5826</v>
      </c>
      <c r="S5657" s="90" t="s">
        <v>6492</v>
      </c>
      <c r="U5657" s="55" t="s">
        <v>1805</v>
      </c>
      <c r="V5657" s="55" t="s">
        <v>1805</v>
      </c>
      <c r="Z5657" s="55" t="s">
        <v>6607</v>
      </c>
      <c r="AA5657" s="90">
        <v>20</v>
      </c>
      <c r="AM5657" s="55" t="s">
        <v>6493</v>
      </c>
      <c r="AN5657" s="185" t="s">
        <v>376</v>
      </c>
      <c r="AO5657" s="185" t="s">
        <v>5150</v>
      </c>
      <c r="AQ5657" s="55" t="s">
        <v>553</v>
      </c>
      <c r="AR5657" s="55" t="s">
        <v>6623</v>
      </c>
      <c r="AS5657" s="55" t="s">
        <v>227</v>
      </c>
      <c r="AU5657" s="181" t="s">
        <v>7494</v>
      </c>
      <c r="AV5657" s="185" t="s">
        <v>176</v>
      </c>
      <c r="AX5657" s="185" t="s">
        <v>176</v>
      </c>
      <c r="BK5657" s="55" t="s">
        <v>6723</v>
      </c>
      <c r="BN5657" s="55" t="s">
        <v>1688</v>
      </c>
      <c r="BO5657" s="55" t="s">
        <v>1688</v>
      </c>
      <c r="CH5657" s="90">
        <v>1.25</v>
      </c>
      <c r="CI5657" s="90">
        <v>1.28</v>
      </c>
      <c r="EP5657" s="65">
        <v>48.78</v>
      </c>
      <c r="EQ5657" s="65">
        <v>44.46</v>
      </c>
      <c r="ET5657" s="65" t="s">
        <v>164</v>
      </c>
      <c r="GP5657" s="292" t="s">
        <v>7494</v>
      </c>
    </row>
    <row r="5658" spans="1:198" x14ac:dyDescent="0.25">
      <c r="A5658" s="55">
        <v>5657</v>
      </c>
      <c r="B5658" s="12" t="s">
        <v>7067</v>
      </c>
      <c r="C5658" s="155" t="s">
        <v>6706</v>
      </c>
      <c r="D5658" s="55" t="s">
        <v>6727</v>
      </c>
      <c r="E5658" s="90" t="s">
        <v>6707</v>
      </c>
      <c r="G5658" s="55" t="s">
        <v>6708</v>
      </c>
      <c r="H5658" s="55" t="s">
        <v>5490</v>
      </c>
      <c r="I5658" s="55" t="s">
        <v>5490</v>
      </c>
      <c r="J5658" s="55" t="s">
        <v>6470</v>
      </c>
      <c r="K5658" s="55" t="s">
        <v>6530</v>
      </c>
      <c r="L5658" s="55" t="s">
        <v>3377</v>
      </c>
      <c r="M5658" s="90">
        <v>35</v>
      </c>
      <c r="N5658" s="90">
        <v>104</v>
      </c>
      <c r="O5658" s="90">
        <v>2000</v>
      </c>
      <c r="Q5658" s="55" t="s">
        <v>5826</v>
      </c>
      <c r="S5658" s="90" t="s">
        <v>6492</v>
      </c>
      <c r="U5658" s="55" t="s">
        <v>1805</v>
      </c>
      <c r="V5658" s="55" t="s">
        <v>1805</v>
      </c>
      <c r="Z5658" s="55" t="s">
        <v>6605</v>
      </c>
      <c r="AA5658" s="90">
        <v>5</v>
      </c>
      <c r="AM5658" s="55" t="s">
        <v>6493</v>
      </c>
      <c r="AN5658" s="185" t="s">
        <v>376</v>
      </c>
      <c r="AO5658" s="185" t="s">
        <v>5150</v>
      </c>
      <c r="AQ5658" s="55" t="s">
        <v>553</v>
      </c>
      <c r="AR5658" s="55" t="s">
        <v>116</v>
      </c>
      <c r="AS5658" s="55" t="s">
        <v>116</v>
      </c>
      <c r="AU5658" s="181" t="s">
        <v>7494</v>
      </c>
      <c r="AV5658" s="185" t="s">
        <v>176</v>
      </c>
      <c r="AX5658" s="185" t="s">
        <v>176</v>
      </c>
      <c r="BK5658" s="55" t="s">
        <v>6723</v>
      </c>
      <c r="BN5658" s="55" t="s">
        <v>1688</v>
      </c>
      <c r="BO5658" s="55" t="s">
        <v>1688</v>
      </c>
      <c r="CH5658" s="90">
        <v>1.22</v>
      </c>
      <c r="CI5658" s="90">
        <v>1.18</v>
      </c>
      <c r="EP5658" s="65">
        <v>47.45</v>
      </c>
      <c r="EQ5658" s="65">
        <v>56.22</v>
      </c>
      <c r="ET5658" s="65" t="s">
        <v>164</v>
      </c>
      <c r="FE5658" s="65">
        <v>45.94</v>
      </c>
      <c r="FF5658" s="65">
        <v>59.98</v>
      </c>
      <c r="GP5658" s="292" t="s">
        <v>7494</v>
      </c>
    </row>
    <row r="5659" spans="1:198" x14ac:dyDescent="0.25">
      <c r="A5659" s="55">
        <v>5658</v>
      </c>
      <c r="B5659" s="12" t="s">
        <v>7067</v>
      </c>
      <c r="C5659" s="155" t="s">
        <v>6706</v>
      </c>
      <c r="D5659" s="55" t="s">
        <v>6728</v>
      </c>
      <c r="E5659" s="90" t="s">
        <v>6707</v>
      </c>
      <c r="G5659" s="55" t="s">
        <v>6708</v>
      </c>
      <c r="H5659" s="55" t="s">
        <v>5490</v>
      </c>
      <c r="I5659" s="55" t="s">
        <v>5490</v>
      </c>
      <c r="J5659" s="55" t="s">
        <v>6470</v>
      </c>
      <c r="K5659" s="55" t="s">
        <v>6530</v>
      </c>
      <c r="L5659" s="55" t="s">
        <v>3377</v>
      </c>
      <c r="M5659" s="90">
        <v>35</v>
      </c>
      <c r="N5659" s="90">
        <v>104</v>
      </c>
      <c r="O5659" s="90">
        <v>2000</v>
      </c>
      <c r="Q5659" s="55" t="s">
        <v>5826</v>
      </c>
      <c r="S5659" s="90" t="s">
        <v>6492</v>
      </c>
      <c r="U5659" s="55" t="s">
        <v>1805</v>
      </c>
      <c r="V5659" s="55" t="s">
        <v>1805</v>
      </c>
      <c r="Z5659" s="55" t="s">
        <v>6606</v>
      </c>
      <c r="AA5659" s="90">
        <v>5</v>
      </c>
      <c r="AM5659" s="55" t="s">
        <v>6493</v>
      </c>
      <c r="AN5659" s="185" t="s">
        <v>376</v>
      </c>
      <c r="AO5659" s="185" t="s">
        <v>5150</v>
      </c>
      <c r="AQ5659" s="55" t="s">
        <v>553</v>
      </c>
      <c r="AR5659" s="55" t="s">
        <v>116</v>
      </c>
      <c r="AS5659" s="55" t="s">
        <v>116</v>
      </c>
      <c r="AU5659" s="181" t="s">
        <v>7494</v>
      </c>
      <c r="AV5659" s="185" t="s">
        <v>176</v>
      </c>
      <c r="AX5659" s="185" t="s">
        <v>176</v>
      </c>
      <c r="BK5659" s="55" t="s">
        <v>6723</v>
      </c>
      <c r="BN5659" s="55" t="s">
        <v>1688</v>
      </c>
      <c r="BO5659" s="55" t="s">
        <v>1688</v>
      </c>
      <c r="CH5659" s="90">
        <v>1.24</v>
      </c>
      <c r="CI5659" s="90">
        <v>1.22</v>
      </c>
      <c r="EP5659" s="65">
        <v>48.15</v>
      </c>
      <c r="EQ5659" s="65">
        <v>50.57</v>
      </c>
      <c r="ET5659" s="65" t="s">
        <v>164</v>
      </c>
      <c r="GP5659" s="292" t="s">
        <v>7494</v>
      </c>
    </row>
    <row r="5660" spans="1:198" x14ac:dyDescent="0.25">
      <c r="A5660" s="55">
        <v>5659</v>
      </c>
      <c r="B5660" s="12" t="s">
        <v>7067</v>
      </c>
      <c r="C5660" s="155" t="s">
        <v>6706</v>
      </c>
      <c r="D5660" s="55" t="s">
        <v>6729</v>
      </c>
      <c r="E5660" s="90" t="s">
        <v>6707</v>
      </c>
      <c r="G5660" s="55" t="s">
        <v>6708</v>
      </c>
      <c r="H5660" s="55" t="s">
        <v>5490</v>
      </c>
      <c r="I5660" s="55" t="s">
        <v>5490</v>
      </c>
      <c r="J5660" s="55" t="s">
        <v>6470</v>
      </c>
      <c r="K5660" s="55" t="s">
        <v>6530</v>
      </c>
      <c r="L5660" s="55" t="s">
        <v>3377</v>
      </c>
      <c r="M5660" s="90">
        <v>35</v>
      </c>
      <c r="N5660" s="90">
        <v>104</v>
      </c>
      <c r="O5660" s="90">
        <v>2000</v>
      </c>
      <c r="Q5660" s="55" t="s">
        <v>5826</v>
      </c>
      <c r="S5660" s="90" t="s">
        <v>6492</v>
      </c>
      <c r="U5660" s="55" t="s">
        <v>1805</v>
      </c>
      <c r="V5660" s="55" t="s">
        <v>1805</v>
      </c>
      <c r="Z5660" s="55" t="s">
        <v>6607</v>
      </c>
      <c r="AA5660" s="90">
        <v>20</v>
      </c>
      <c r="AM5660" s="55" t="s">
        <v>6493</v>
      </c>
      <c r="AN5660" s="185" t="s">
        <v>376</v>
      </c>
      <c r="AO5660" s="185" t="s">
        <v>5150</v>
      </c>
      <c r="AQ5660" s="55" t="s">
        <v>553</v>
      </c>
      <c r="AR5660" s="55" t="s">
        <v>116</v>
      </c>
      <c r="AS5660" s="55" t="s">
        <v>116</v>
      </c>
      <c r="AU5660" s="181" t="s">
        <v>7494</v>
      </c>
      <c r="AV5660" s="185" t="s">
        <v>176</v>
      </c>
      <c r="AX5660" s="185" t="s">
        <v>176</v>
      </c>
      <c r="BK5660" s="55" t="s">
        <v>6723</v>
      </c>
      <c r="BN5660" s="55" t="s">
        <v>1688</v>
      </c>
      <c r="BO5660" s="55" t="s">
        <v>1688</v>
      </c>
      <c r="CH5660" s="90">
        <v>1.29</v>
      </c>
      <c r="CI5660" s="90">
        <v>1.26</v>
      </c>
      <c r="EP5660" s="65">
        <v>43.46</v>
      </c>
      <c r="EQ5660" s="65">
        <v>53.9</v>
      </c>
      <c r="ET5660" s="65" t="s">
        <v>164</v>
      </c>
      <c r="GP5660" s="292" t="s">
        <v>7494</v>
      </c>
    </row>
    <row r="5661" spans="1:198" x14ac:dyDescent="0.25">
      <c r="A5661" s="55">
        <v>5660</v>
      </c>
      <c r="B5661" s="12" t="s">
        <v>7067</v>
      </c>
      <c r="C5661" s="155" t="s">
        <v>6706</v>
      </c>
      <c r="D5661" s="55" t="s">
        <v>6730</v>
      </c>
      <c r="E5661" s="90" t="s">
        <v>6707</v>
      </c>
      <c r="G5661" s="55" t="s">
        <v>6708</v>
      </c>
      <c r="H5661" s="55" t="s">
        <v>5490</v>
      </c>
      <c r="I5661" s="55" t="s">
        <v>5490</v>
      </c>
      <c r="J5661" s="55" t="s">
        <v>6470</v>
      </c>
      <c r="K5661" s="55" t="s">
        <v>6530</v>
      </c>
      <c r="L5661" s="55" t="s">
        <v>3377</v>
      </c>
      <c r="M5661" s="90">
        <v>35</v>
      </c>
      <c r="N5661" s="90">
        <v>104</v>
      </c>
      <c r="O5661" s="90">
        <v>2000</v>
      </c>
      <c r="Q5661" s="55" t="s">
        <v>5826</v>
      </c>
      <c r="S5661" s="90" t="s">
        <v>6492</v>
      </c>
      <c r="U5661" s="55" t="s">
        <v>1805</v>
      </c>
      <c r="V5661" s="55" t="s">
        <v>1805</v>
      </c>
      <c r="Z5661" s="55" t="s">
        <v>6605</v>
      </c>
      <c r="AA5661" s="90">
        <v>5</v>
      </c>
      <c r="AM5661" s="55" t="s">
        <v>6493</v>
      </c>
      <c r="AN5661" s="185" t="s">
        <v>376</v>
      </c>
      <c r="AO5661" s="185" t="s">
        <v>5150</v>
      </c>
      <c r="AQ5661" s="55" t="s">
        <v>553</v>
      </c>
      <c r="AR5661" s="55" t="s">
        <v>3646</v>
      </c>
      <c r="AS5661" s="55" t="s">
        <v>227</v>
      </c>
      <c r="AU5661" s="181" t="s">
        <v>7494</v>
      </c>
      <c r="AV5661" s="185" t="s">
        <v>176</v>
      </c>
      <c r="AX5661" s="185" t="s">
        <v>176</v>
      </c>
      <c r="BK5661" s="55" t="s">
        <v>6723</v>
      </c>
      <c r="BN5661" s="55" t="s">
        <v>1688</v>
      </c>
      <c r="BO5661" s="55" t="s">
        <v>1688</v>
      </c>
      <c r="CH5661" s="90">
        <v>1.22</v>
      </c>
      <c r="CI5661" s="90">
        <v>1.21</v>
      </c>
      <c r="EP5661" s="65">
        <v>50.36</v>
      </c>
      <c r="EQ5661" s="65">
        <v>52.84</v>
      </c>
      <c r="ET5661" s="65" t="s">
        <v>164</v>
      </c>
      <c r="FE5661" s="65">
        <v>50.16</v>
      </c>
      <c r="FF5661" s="65">
        <v>65.3</v>
      </c>
      <c r="GP5661" s="292" t="s">
        <v>7494</v>
      </c>
    </row>
    <row r="5662" spans="1:198" x14ac:dyDescent="0.25">
      <c r="A5662" s="55">
        <v>5661</v>
      </c>
      <c r="B5662" s="12" t="s">
        <v>7067</v>
      </c>
      <c r="C5662" s="155" t="s">
        <v>6706</v>
      </c>
      <c r="D5662" s="55" t="s">
        <v>6731</v>
      </c>
      <c r="E5662" s="90" t="s">
        <v>6707</v>
      </c>
      <c r="G5662" s="55" t="s">
        <v>6708</v>
      </c>
      <c r="H5662" s="55" t="s">
        <v>5490</v>
      </c>
      <c r="I5662" s="55" t="s">
        <v>5490</v>
      </c>
      <c r="J5662" s="55" t="s">
        <v>6470</v>
      </c>
      <c r="K5662" s="55" t="s">
        <v>6530</v>
      </c>
      <c r="L5662" s="55" t="s">
        <v>3377</v>
      </c>
      <c r="M5662" s="90">
        <v>35</v>
      </c>
      <c r="N5662" s="90">
        <v>104</v>
      </c>
      <c r="O5662" s="90">
        <v>2000</v>
      </c>
      <c r="Q5662" s="55" t="s">
        <v>5826</v>
      </c>
      <c r="S5662" s="90" t="s">
        <v>6492</v>
      </c>
      <c r="U5662" s="55" t="s">
        <v>1805</v>
      </c>
      <c r="V5662" s="55" t="s">
        <v>1805</v>
      </c>
      <c r="Z5662" s="55" t="s">
        <v>6606</v>
      </c>
      <c r="AA5662" s="90">
        <v>5</v>
      </c>
      <c r="AM5662" s="55" t="s">
        <v>6493</v>
      </c>
      <c r="AN5662" s="185" t="s">
        <v>376</v>
      </c>
      <c r="AO5662" s="185" t="s">
        <v>5150</v>
      </c>
      <c r="AQ5662" s="55" t="s">
        <v>553</v>
      </c>
      <c r="AR5662" s="55" t="s">
        <v>3646</v>
      </c>
      <c r="AS5662" s="55" t="s">
        <v>227</v>
      </c>
      <c r="AU5662" s="181" t="s">
        <v>7494</v>
      </c>
      <c r="AV5662" s="185" t="s">
        <v>176</v>
      </c>
      <c r="AX5662" s="185" t="s">
        <v>176</v>
      </c>
      <c r="BK5662" s="55" t="s">
        <v>6723</v>
      </c>
      <c r="BN5662" s="55" t="s">
        <v>1688</v>
      </c>
      <c r="BO5662" s="55" t="s">
        <v>1688</v>
      </c>
      <c r="CH5662" s="90">
        <v>1.23</v>
      </c>
      <c r="CI5662" s="90">
        <v>1.24</v>
      </c>
      <c r="EP5662" s="65">
        <v>46.46</v>
      </c>
      <c r="EQ5662" s="65">
        <v>49.32</v>
      </c>
      <c r="ET5662" s="65" t="s">
        <v>164</v>
      </c>
      <c r="GP5662" s="292" t="s">
        <v>7494</v>
      </c>
    </row>
    <row r="5663" spans="1:198" x14ac:dyDescent="0.25">
      <c r="A5663" s="55">
        <v>5662</v>
      </c>
      <c r="B5663" s="12" t="s">
        <v>7067</v>
      </c>
      <c r="C5663" s="155" t="s">
        <v>6706</v>
      </c>
      <c r="D5663" s="55" t="s">
        <v>6732</v>
      </c>
      <c r="E5663" s="90" t="s">
        <v>6707</v>
      </c>
      <c r="G5663" s="55" t="s">
        <v>6708</v>
      </c>
      <c r="H5663" s="55" t="s">
        <v>5490</v>
      </c>
      <c r="I5663" s="55" t="s">
        <v>5490</v>
      </c>
      <c r="J5663" s="55" t="s">
        <v>6470</v>
      </c>
      <c r="K5663" s="55" t="s">
        <v>6530</v>
      </c>
      <c r="L5663" s="55" t="s">
        <v>3377</v>
      </c>
      <c r="M5663" s="90">
        <v>35</v>
      </c>
      <c r="N5663" s="90">
        <v>104</v>
      </c>
      <c r="O5663" s="90">
        <v>2000</v>
      </c>
      <c r="Q5663" s="55" t="s">
        <v>5826</v>
      </c>
      <c r="S5663" s="90" t="s">
        <v>6492</v>
      </c>
      <c r="U5663" s="55" t="s">
        <v>1805</v>
      </c>
      <c r="V5663" s="55" t="s">
        <v>1805</v>
      </c>
      <c r="Z5663" s="55" t="s">
        <v>6607</v>
      </c>
      <c r="AA5663" s="90">
        <v>20</v>
      </c>
      <c r="AM5663" s="55" t="s">
        <v>6493</v>
      </c>
      <c r="AN5663" s="185" t="s">
        <v>376</v>
      </c>
      <c r="AO5663" s="185" t="s">
        <v>5150</v>
      </c>
      <c r="AQ5663" s="55" t="s">
        <v>553</v>
      </c>
      <c r="AR5663" s="55" t="s">
        <v>3646</v>
      </c>
      <c r="AS5663" s="55" t="s">
        <v>227</v>
      </c>
      <c r="AU5663" s="181" t="s">
        <v>7494</v>
      </c>
      <c r="AV5663" s="185" t="s">
        <v>176</v>
      </c>
      <c r="AX5663" s="185" t="s">
        <v>176</v>
      </c>
      <c r="BK5663" s="55" t="s">
        <v>6723</v>
      </c>
      <c r="BN5663" s="55" t="s">
        <v>1688</v>
      </c>
      <c r="BO5663" s="55" t="s">
        <v>1688</v>
      </c>
      <c r="CH5663" s="90">
        <v>1.28</v>
      </c>
      <c r="CI5663" s="90">
        <v>1.29</v>
      </c>
      <c r="EP5663" s="65">
        <v>44.81</v>
      </c>
      <c r="EQ5663" s="65">
        <v>49.55</v>
      </c>
      <c r="ET5663" s="65" t="s">
        <v>164</v>
      </c>
      <c r="GP5663" s="292" t="s">
        <v>7494</v>
      </c>
    </row>
    <row r="5664" spans="1:198" x14ac:dyDescent="0.25">
      <c r="A5664" s="55">
        <v>5663</v>
      </c>
      <c r="B5664" s="12" t="s">
        <v>7067</v>
      </c>
      <c r="C5664" s="155" t="s">
        <v>6734</v>
      </c>
      <c r="D5664" s="55" t="s">
        <v>6740</v>
      </c>
      <c r="E5664" s="90" t="s">
        <v>3675</v>
      </c>
      <c r="G5664" s="55" t="s">
        <v>6735</v>
      </c>
      <c r="H5664" s="55" t="s">
        <v>5888</v>
      </c>
      <c r="I5664" s="55" t="s">
        <v>6434</v>
      </c>
      <c r="J5664" s="55" t="s">
        <v>6736</v>
      </c>
      <c r="K5664" s="55" t="s">
        <v>6737</v>
      </c>
      <c r="L5664" s="55" t="s">
        <v>3377</v>
      </c>
      <c r="M5664" s="90">
        <v>48</v>
      </c>
      <c r="N5664" s="90">
        <v>127</v>
      </c>
      <c r="O5664" s="90">
        <v>300</v>
      </c>
      <c r="S5664" s="90" t="s">
        <v>6738</v>
      </c>
      <c r="U5664" s="55" t="s">
        <v>1935</v>
      </c>
      <c r="V5664" s="55" t="s">
        <v>1935</v>
      </c>
      <c r="AM5664" s="55" t="s">
        <v>6739</v>
      </c>
      <c r="AO5664" s="185" t="s">
        <v>7494</v>
      </c>
      <c r="AR5664" s="55" t="s">
        <v>158</v>
      </c>
      <c r="AS5664" s="55" t="s">
        <v>158</v>
      </c>
      <c r="AU5664" s="181" t="s">
        <v>7494</v>
      </c>
      <c r="AV5664" s="185" t="s">
        <v>176</v>
      </c>
      <c r="AX5664" s="185" t="s">
        <v>176</v>
      </c>
      <c r="BK5664" s="55" t="s">
        <v>4499</v>
      </c>
      <c r="BN5664" s="55" t="s">
        <v>1688</v>
      </c>
      <c r="BO5664" s="55" t="s">
        <v>1688</v>
      </c>
      <c r="CB5664" s="66">
        <v>2357.2800000000002</v>
      </c>
      <c r="CC5664" s="66">
        <v>2744.13</v>
      </c>
      <c r="CG5664" s="65" t="s">
        <v>178</v>
      </c>
      <c r="FJ5664" s="65">
        <v>7.32</v>
      </c>
      <c r="FK5664" s="65">
        <v>4.79</v>
      </c>
      <c r="FN5664" s="65" t="s">
        <v>206</v>
      </c>
      <c r="FO5664" s="65">
        <v>48.6</v>
      </c>
      <c r="FP5664" s="65">
        <v>38.229999999999997</v>
      </c>
      <c r="FS5664" s="65" t="s">
        <v>637</v>
      </c>
      <c r="GD5664" s="65">
        <v>346.37</v>
      </c>
      <c r="GE5664" s="65">
        <v>361.92</v>
      </c>
      <c r="GH5664" s="65" t="s">
        <v>637</v>
      </c>
      <c r="GP5664" s="292" t="s">
        <v>7494</v>
      </c>
    </row>
    <row r="5665" spans="1:198" x14ac:dyDescent="0.25">
      <c r="A5665" s="55">
        <v>5664</v>
      </c>
      <c r="B5665" s="12" t="s">
        <v>7067</v>
      </c>
      <c r="C5665" s="155" t="s">
        <v>6734</v>
      </c>
      <c r="D5665" s="55" t="s">
        <v>6741</v>
      </c>
      <c r="E5665" s="90" t="s">
        <v>3675</v>
      </c>
      <c r="G5665" s="55" t="s">
        <v>6735</v>
      </c>
      <c r="H5665" s="55" t="s">
        <v>5888</v>
      </c>
      <c r="I5665" s="55" t="s">
        <v>6434</v>
      </c>
      <c r="J5665" s="55" t="s">
        <v>6736</v>
      </c>
      <c r="K5665" s="55" t="s">
        <v>6737</v>
      </c>
      <c r="L5665" s="55" t="s">
        <v>3377</v>
      </c>
      <c r="M5665" s="90">
        <v>48</v>
      </c>
      <c r="N5665" s="90">
        <v>127</v>
      </c>
      <c r="O5665" s="90">
        <v>300</v>
      </c>
      <c r="S5665" s="90" t="s">
        <v>6738</v>
      </c>
      <c r="U5665" s="55" t="s">
        <v>1935</v>
      </c>
      <c r="V5665" s="55" t="s">
        <v>1935</v>
      </c>
      <c r="AM5665" s="55" t="s">
        <v>6739</v>
      </c>
      <c r="AO5665" s="185" t="s">
        <v>7494</v>
      </c>
      <c r="AR5665" s="55" t="s">
        <v>158</v>
      </c>
      <c r="AS5665" s="55" t="s">
        <v>158</v>
      </c>
      <c r="AU5665" s="181" t="s">
        <v>7494</v>
      </c>
      <c r="AV5665" s="185" t="s">
        <v>176</v>
      </c>
      <c r="AX5665" s="185" t="s">
        <v>176</v>
      </c>
      <c r="BK5665" s="55" t="s">
        <v>6744</v>
      </c>
      <c r="BN5665" s="55" t="s">
        <v>1688</v>
      </c>
      <c r="BO5665" s="55" t="s">
        <v>1688</v>
      </c>
      <c r="CB5665" s="66">
        <v>2357.2800000000002</v>
      </c>
      <c r="CC5665" s="66">
        <v>2912.42</v>
      </c>
      <c r="CG5665" s="65" t="s">
        <v>178</v>
      </c>
      <c r="FJ5665" s="65">
        <v>7.32</v>
      </c>
      <c r="FK5665" s="65">
        <v>4.37</v>
      </c>
      <c r="FN5665" s="65" t="s">
        <v>206</v>
      </c>
      <c r="FO5665" s="65">
        <v>48.6</v>
      </c>
      <c r="FP5665" s="65">
        <v>34.979999999999997</v>
      </c>
      <c r="FS5665" s="65" t="s">
        <v>637</v>
      </c>
      <c r="GD5665" s="65">
        <v>346.37</v>
      </c>
      <c r="GE5665" s="65">
        <v>368.09</v>
      </c>
      <c r="GH5665" s="65" t="s">
        <v>637</v>
      </c>
      <c r="GP5665" s="292" t="s">
        <v>7494</v>
      </c>
    </row>
    <row r="5666" spans="1:198" x14ac:dyDescent="0.25">
      <c r="A5666" s="55">
        <v>5665</v>
      </c>
      <c r="B5666" s="12" t="s">
        <v>7067</v>
      </c>
      <c r="C5666" s="155" t="s">
        <v>6734</v>
      </c>
      <c r="D5666" s="55" t="s">
        <v>6742</v>
      </c>
      <c r="E5666" s="90" t="s">
        <v>3675</v>
      </c>
      <c r="G5666" s="55" t="s">
        <v>6735</v>
      </c>
      <c r="H5666" s="55" t="s">
        <v>5888</v>
      </c>
      <c r="I5666" s="55" t="s">
        <v>6434</v>
      </c>
      <c r="J5666" s="55" t="s">
        <v>6736</v>
      </c>
      <c r="K5666" s="55" t="s">
        <v>6737</v>
      </c>
      <c r="L5666" s="55" t="s">
        <v>3377</v>
      </c>
      <c r="M5666" s="90">
        <v>48</v>
      </c>
      <c r="N5666" s="90">
        <v>127</v>
      </c>
      <c r="O5666" s="90">
        <v>300</v>
      </c>
      <c r="S5666" s="90" t="s">
        <v>6738</v>
      </c>
      <c r="U5666" s="55" t="s">
        <v>1935</v>
      </c>
      <c r="V5666" s="55" t="s">
        <v>1935</v>
      </c>
      <c r="AM5666" s="55" t="s">
        <v>6739</v>
      </c>
      <c r="AO5666" s="185" t="s">
        <v>7494</v>
      </c>
      <c r="AR5666" s="55" t="s">
        <v>158</v>
      </c>
      <c r="AS5666" s="55" t="s">
        <v>158</v>
      </c>
      <c r="AU5666" s="181" t="s">
        <v>7494</v>
      </c>
      <c r="AV5666" s="185" t="s">
        <v>176</v>
      </c>
      <c r="AX5666" s="185" t="s">
        <v>176</v>
      </c>
      <c r="BK5666" s="55" t="s">
        <v>6745</v>
      </c>
      <c r="BN5666" s="55" t="s">
        <v>1688</v>
      </c>
      <c r="BO5666" s="55" t="s">
        <v>1688</v>
      </c>
      <c r="CB5666" s="66">
        <v>2357.2800000000002</v>
      </c>
      <c r="CC5666" s="66">
        <v>2957.56</v>
      </c>
      <c r="CG5666" s="65" t="s">
        <v>178</v>
      </c>
      <c r="FJ5666" s="65">
        <v>7.32</v>
      </c>
      <c r="FK5666" s="65">
        <v>0.02</v>
      </c>
      <c r="FN5666" s="65" t="s">
        <v>206</v>
      </c>
      <c r="FO5666" s="65">
        <v>48.6</v>
      </c>
      <c r="FP5666" s="65">
        <v>2.37</v>
      </c>
      <c r="FS5666" s="65" t="s">
        <v>637</v>
      </c>
      <c r="GD5666" s="65">
        <v>346.37</v>
      </c>
      <c r="GE5666" s="65">
        <v>419.25</v>
      </c>
      <c r="GH5666" s="65" t="s">
        <v>637</v>
      </c>
      <c r="GP5666" s="292" t="s">
        <v>7494</v>
      </c>
    </row>
    <row r="5667" spans="1:198" x14ac:dyDescent="0.25">
      <c r="A5667" s="55">
        <v>5666</v>
      </c>
      <c r="B5667" s="12" t="s">
        <v>7067</v>
      </c>
      <c r="C5667" s="155" t="s">
        <v>6734</v>
      </c>
      <c r="D5667" s="55" t="s">
        <v>6743</v>
      </c>
      <c r="E5667" s="90" t="s">
        <v>3675</v>
      </c>
      <c r="G5667" s="55" t="s">
        <v>6735</v>
      </c>
      <c r="H5667" s="55" t="s">
        <v>5888</v>
      </c>
      <c r="I5667" s="55" t="s">
        <v>6434</v>
      </c>
      <c r="J5667" s="55" t="s">
        <v>6736</v>
      </c>
      <c r="K5667" s="55" t="s">
        <v>6737</v>
      </c>
      <c r="L5667" s="55" t="s">
        <v>3377</v>
      </c>
      <c r="M5667" s="90">
        <v>48</v>
      </c>
      <c r="N5667" s="90">
        <v>127</v>
      </c>
      <c r="O5667" s="90">
        <v>300</v>
      </c>
      <c r="S5667" s="90" t="s">
        <v>6738</v>
      </c>
      <c r="U5667" s="55" t="s">
        <v>1935</v>
      </c>
      <c r="V5667" s="55" t="s">
        <v>1935</v>
      </c>
      <c r="AM5667" s="55" t="s">
        <v>6739</v>
      </c>
      <c r="AO5667" s="185" t="s">
        <v>7494</v>
      </c>
      <c r="AR5667" s="55" t="s">
        <v>158</v>
      </c>
      <c r="AS5667" s="55" t="s">
        <v>158</v>
      </c>
      <c r="AU5667" s="181" t="s">
        <v>7494</v>
      </c>
      <c r="AV5667" s="185" t="s">
        <v>176</v>
      </c>
      <c r="AX5667" s="185" t="s">
        <v>176</v>
      </c>
      <c r="BK5667" s="55" t="s">
        <v>6746</v>
      </c>
      <c r="BN5667" s="55" t="s">
        <v>1688</v>
      </c>
      <c r="BO5667" s="55" t="s">
        <v>1688</v>
      </c>
      <c r="CB5667" s="66">
        <v>2357.2800000000002</v>
      </c>
      <c r="CC5667" s="66">
        <v>2884.6</v>
      </c>
      <c r="CG5667" s="65" t="s">
        <v>178</v>
      </c>
      <c r="FJ5667" s="65">
        <v>7.32</v>
      </c>
      <c r="FK5667" s="65">
        <v>0.1</v>
      </c>
      <c r="FN5667" s="65" t="s">
        <v>206</v>
      </c>
      <c r="FO5667" s="65">
        <v>48.6</v>
      </c>
      <c r="FP5667" s="65">
        <v>2.41</v>
      </c>
      <c r="FS5667" s="65" t="s">
        <v>637</v>
      </c>
      <c r="GD5667" s="65">
        <v>346.37</v>
      </c>
      <c r="GE5667" s="65">
        <v>413.7</v>
      </c>
      <c r="GH5667" s="65" t="s">
        <v>637</v>
      </c>
      <c r="GP5667" s="292" t="s">
        <v>7494</v>
      </c>
    </row>
    <row r="5668" spans="1:198" x14ac:dyDescent="0.25">
      <c r="A5668" s="55">
        <v>5667</v>
      </c>
      <c r="B5668" s="12" t="s">
        <v>7067</v>
      </c>
      <c r="C5668" s="155" t="s">
        <v>6747</v>
      </c>
      <c r="D5668" s="55" t="s">
        <v>6750</v>
      </c>
      <c r="E5668" s="90" t="s">
        <v>3373</v>
      </c>
      <c r="G5668" s="55" t="s">
        <v>6748</v>
      </c>
      <c r="H5668" s="55" t="s">
        <v>4353</v>
      </c>
      <c r="I5668" s="55" t="s">
        <v>6434</v>
      </c>
      <c r="J5668" s="55" t="s">
        <v>6749</v>
      </c>
      <c r="K5668" s="55" t="s">
        <v>6674</v>
      </c>
      <c r="L5668" s="55" t="s">
        <v>3377</v>
      </c>
      <c r="M5668" s="90">
        <f>47+21/60</f>
        <v>47.35</v>
      </c>
      <c r="N5668" s="90">
        <f>126+50/60</f>
        <v>126.83333333333333</v>
      </c>
      <c r="O5668" s="90">
        <v>210</v>
      </c>
      <c r="S5668" s="90" t="s">
        <v>6675</v>
      </c>
      <c r="U5668" s="55" t="s">
        <v>1935</v>
      </c>
      <c r="V5668" s="55" t="s">
        <v>1935</v>
      </c>
      <c r="Z5668" s="55" t="s">
        <v>6543</v>
      </c>
      <c r="AA5668" s="90">
        <v>20</v>
      </c>
      <c r="AE5668" s="90">
        <v>31.6</v>
      </c>
      <c r="AF5668" s="90">
        <v>30.8</v>
      </c>
      <c r="AG5668" s="90">
        <v>37.6</v>
      </c>
      <c r="AH5668" s="55" t="s">
        <v>645</v>
      </c>
      <c r="AJ5668" s="90">
        <v>4.21</v>
      </c>
      <c r="AM5668" s="55" t="s">
        <v>6739</v>
      </c>
      <c r="AO5668" s="185" t="s">
        <v>7494</v>
      </c>
      <c r="AR5668" s="55" t="s">
        <v>132</v>
      </c>
      <c r="AS5668" s="55" t="s">
        <v>132</v>
      </c>
      <c r="AU5668" s="181" t="s">
        <v>7494</v>
      </c>
      <c r="AV5668" s="185" t="s">
        <v>176</v>
      </c>
      <c r="AX5668" s="185" t="s">
        <v>176</v>
      </c>
      <c r="BK5668" s="55" t="s">
        <v>2082</v>
      </c>
      <c r="BN5668" s="55" t="s">
        <v>1688</v>
      </c>
      <c r="BO5668" s="55" t="s">
        <v>1688</v>
      </c>
      <c r="FJ5668" s="65">
        <v>615.1</v>
      </c>
      <c r="FK5668" s="65">
        <v>0.5</v>
      </c>
      <c r="FN5668" s="65" t="s">
        <v>6752</v>
      </c>
      <c r="FO5668" s="65">
        <f>0.0995*458.4</f>
        <v>45.610799999999998</v>
      </c>
      <c r="FP5668" s="65">
        <f>1.39*458.4/100</f>
        <v>6.3717599999999992</v>
      </c>
      <c r="FS5668" s="65" t="s">
        <v>637</v>
      </c>
      <c r="GD5668" s="65">
        <v>40</v>
      </c>
      <c r="GE5668" s="65">
        <v>35</v>
      </c>
      <c r="GH5668" s="65" t="s">
        <v>164</v>
      </c>
      <c r="GP5668" s="292" t="s">
        <v>7494</v>
      </c>
    </row>
    <row r="5669" spans="1:198" x14ac:dyDescent="0.25">
      <c r="A5669" s="55">
        <v>5668</v>
      </c>
      <c r="B5669" s="12" t="s">
        <v>7067</v>
      </c>
      <c r="C5669" s="155" t="s">
        <v>6747</v>
      </c>
      <c r="D5669" s="55" t="s">
        <v>6751</v>
      </c>
      <c r="E5669" s="90" t="s">
        <v>3373</v>
      </c>
      <c r="G5669" s="55" t="s">
        <v>6748</v>
      </c>
      <c r="H5669" s="55" t="s">
        <v>4353</v>
      </c>
      <c r="I5669" s="55" t="s">
        <v>6434</v>
      </c>
      <c r="J5669" s="55" t="s">
        <v>6749</v>
      </c>
      <c r="K5669" s="55" t="s">
        <v>6674</v>
      </c>
      <c r="L5669" s="55" t="s">
        <v>3377</v>
      </c>
      <c r="M5669" s="90">
        <f>47+21/60</f>
        <v>47.35</v>
      </c>
      <c r="N5669" s="90">
        <f>126+50/60</f>
        <v>126.83333333333333</v>
      </c>
      <c r="O5669" s="90">
        <v>210</v>
      </c>
      <c r="S5669" s="90" t="s">
        <v>6675</v>
      </c>
      <c r="U5669" s="55" t="s">
        <v>1935</v>
      </c>
      <c r="V5669" s="55" t="s">
        <v>1935</v>
      </c>
      <c r="Z5669" s="55" t="s">
        <v>6543</v>
      </c>
      <c r="AA5669" s="90">
        <v>20</v>
      </c>
      <c r="AE5669" s="90">
        <v>31.6</v>
      </c>
      <c r="AF5669" s="90">
        <v>30.8</v>
      </c>
      <c r="AG5669" s="90">
        <v>37.6</v>
      </c>
      <c r="AH5669" s="55" t="s">
        <v>645</v>
      </c>
      <c r="AJ5669" s="90">
        <v>4.21</v>
      </c>
      <c r="AM5669" s="55" t="s">
        <v>6739</v>
      </c>
      <c r="AO5669" s="185" t="s">
        <v>7494</v>
      </c>
      <c r="AR5669" s="55" t="s">
        <v>132</v>
      </c>
      <c r="AS5669" s="55" t="s">
        <v>132</v>
      </c>
      <c r="AU5669" s="181" t="s">
        <v>7494</v>
      </c>
      <c r="AV5669" s="185" t="s">
        <v>176</v>
      </c>
      <c r="AX5669" s="185" t="s">
        <v>176</v>
      </c>
      <c r="BK5669" s="55" t="s">
        <v>4499</v>
      </c>
      <c r="BN5669" s="55" t="s">
        <v>1688</v>
      </c>
      <c r="BO5669" s="55" t="s">
        <v>1688</v>
      </c>
      <c r="FJ5669" s="65">
        <v>615.1</v>
      </c>
      <c r="FK5669" s="65">
        <v>378</v>
      </c>
      <c r="FN5669" s="65" t="s">
        <v>6752</v>
      </c>
      <c r="FO5669" s="65">
        <f>0.0995*458.4</f>
        <v>45.610799999999998</v>
      </c>
      <c r="FP5669" s="65">
        <f>8.09*458.4/100</f>
        <v>37.084559999999996</v>
      </c>
      <c r="FS5669" s="65" t="s">
        <v>637</v>
      </c>
      <c r="GD5669" s="65">
        <v>40</v>
      </c>
      <c r="GE5669" s="65">
        <v>30</v>
      </c>
      <c r="GH5669" s="65" t="s">
        <v>164</v>
      </c>
      <c r="GP5669" s="292" t="s">
        <v>7494</v>
      </c>
    </row>
    <row r="5670" spans="1:198" x14ac:dyDescent="0.25">
      <c r="A5670" s="55">
        <v>5669</v>
      </c>
      <c r="B5670" s="12" t="s">
        <v>7067</v>
      </c>
      <c r="C5670" s="155" t="s">
        <v>6747</v>
      </c>
      <c r="D5670" s="55" t="s">
        <v>6750</v>
      </c>
      <c r="E5670" s="90" t="s">
        <v>3373</v>
      </c>
      <c r="G5670" s="55" t="s">
        <v>6748</v>
      </c>
      <c r="H5670" s="55" t="s">
        <v>4353</v>
      </c>
      <c r="I5670" s="55" t="s">
        <v>6434</v>
      </c>
      <c r="J5670" s="55" t="s">
        <v>6749</v>
      </c>
      <c r="K5670" s="55" t="s">
        <v>6674</v>
      </c>
      <c r="L5670" s="55" t="s">
        <v>3377</v>
      </c>
      <c r="M5670" s="90">
        <f>47+21/60</f>
        <v>47.35</v>
      </c>
      <c r="N5670" s="90">
        <f>126+50/60</f>
        <v>126.83333333333333</v>
      </c>
      <c r="O5670" s="90">
        <v>210</v>
      </c>
      <c r="S5670" s="90" t="s">
        <v>6675</v>
      </c>
      <c r="U5670" s="55" t="s">
        <v>1935</v>
      </c>
      <c r="V5670" s="55" t="s">
        <v>1935</v>
      </c>
      <c r="Y5670" s="55" t="s">
        <v>200</v>
      </c>
      <c r="Z5670" s="55" t="s">
        <v>6605</v>
      </c>
      <c r="AA5670" s="90">
        <v>5</v>
      </c>
      <c r="AE5670" s="90">
        <v>31.6</v>
      </c>
      <c r="AF5670" s="90">
        <v>30.8</v>
      </c>
      <c r="AG5670" s="90">
        <v>37.6</v>
      </c>
      <c r="AH5670" s="55" t="s">
        <v>645</v>
      </c>
      <c r="AJ5670" s="90">
        <v>4.21</v>
      </c>
      <c r="AM5670" s="55" t="s">
        <v>6739</v>
      </c>
      <c r="AO5670" s="185" t="s">
        <v>7494</v>
      </c>
      <c r="AR5670" s="55" t="s">
        <v>132</v>
      </c>
      <c r="AS5670" s="55" t="s">
        <v>132</v>
      </c>
      <c r="AU5670" s="181" t="s">
        <v>7494</v>
      </c>
      <c r="AV5670" s="185" t="s">
        <v>176</v>
      </c>
      <c r="AX5670" s="185" t="s">
        <v>176</v>
      </c>
      <c r="BK5670" s="55" t="s">
        <v>2082</v>
      </c>
      <c r="BN5670" s="55" t="s">
        <v>1688</v>
      </c>
      <c r="BO5670" s="55" t="s">
        <v>1688</v>
      </c>
      <c r="BV5670" s="55" t="s">
        <v>6756</v>
      </c>
      <c r="CH5670" s="90">
        <v>0.9</v>
      </c>
      <c r="CI5670" s="90">
        <v>1.19</v>
      </c>
      <c r="CJ5670" s="65">
        <v>0.03</v>
      </c>
      <c r="CK5670" s="65">
        <v>0.09</v>
      </c>
      <c r="EK5670" s="90">
        <v>91.98</v>
      </c>
      <c r="EL5670" s="90">
        <v>93.28</v>
      </c>
      <c r="EO5670" s="65" t="s">
        <v>6758</v>
      </c>
      <c r="FE5670" s="65">
        <v>9.9</v>
      </c>
      <c r="FF5670" s="65">
        <v>6.23</v>
      </c>
      <c r="FI5670" s="65" t="s">
        <v>6759</v>
      </c>
      <c r="GP5670" s="292" t="s">
        <v>7494</v>
      </c>
    </row>
    <row r="5671" spans="1:198" x14ac:dyDescent="0.25">
      <c r="A5671" s="55">
        <v>5670</v>
      </c>
      <c r="B5671" s="12" t="s">
        <v>7067</v>
      </c>
      <c r="C5671" s="155" t="s">
        <v>6747</v>
      </c>
      <c r="D5671" s="55" t="s">
        <v>6750</v>
      </c>
      <c r="E5671" s="90" t="s">
        <v>3373</v>
      </c>
      <c r="G5671" s="55" t="s">
        <v>6748</v>
      </c>
      <c r="H5671" s="55" t="s">
        <v>4353</v>
      </c>
      <c r="I5671" s="55" t="s">
        <v>6434</v>
      </c>
      <c r="J5671" s="55" t="s">
        <v>6749</v>
      </c>
      <c r="K5671" s="55" t="s">
        <v>6674</v>
      </c>
      <c r="L5671" s="55" t="s">
        <v>3377</v>
      </c>
      <c r="M5671" s="90">
        <f>47+21/60</f>
        <v>47.35</v>
      </c>
      <c r="N5671" s="90">
        <f>126+50/60</f>
        <v>126.83333333333333</v>
      </c>
      <c r="O5671" s="90">
        <v>210</v>
      </c>
      <c r="S5671" s="90" t="s">
        <v>6675</v>
      </c>
      <c r="U5671" s="55" t="s">
        <v>1935</v>
      </c>
      <c r="V5671" s="55" t="s">
        <v>1935</v>
      </c>
      <c r="Y5671" s="55" t="s">
        <v>200</v>
      </c>
      <c r="Z5671" s="55" t="s">
        <v>6605</v>
      </c>
      <c r="AA5671" s="90">
        <v>5</v>
      </c>
      <c r="AE5671" s="90">
        <v>31.6</v>
      </c>
      <c r="AF5671" s="90">
        <v>30.8</v>
      </c>
      <c r="AG5671" s="90">
        <v>37.6</v>
      </c>
      <c r="AH5671" s="55" t="s">
        <v>645</v>
      </c>
      <c r="AJ5671" s="90">
        <v>4.21</v>
      </c>
      <c r="AM5671" s="55" t="s">
        <v>6739</v>
      </c>
      <c r="AO5671" s="185" t="s">
        <v>7494</v>
      </c>
      <c r="AR5671" s="55" t="s">
        <v>132</v>
      </c>
      <c r="AS5671" s="55" t="s">
        <v>132</v>
      </c>
      <c r="AU5671" s="181" t="s">
        <v>7494</v>
      </c>
      <c r="AV5671" s="185" t="s">
        <v>176</v>
      </c>
      <c r="AX5671" s="185" t="s">
        <v>176</v>
      </c>
      <c r="BK5671" s="55" t="s">
        <v>2082</v>
      </c>
      <c r="BN5671" s="55" t="s">
        <v>1688</v>
      </c>
      <c r="BO5671" s="55" t="s">
        <v>1688</v>
      </c>
      <c r="BV5671" s="55" t="s">
        <v>6756</v>
      </c>
      <c r="CH5671" s="90">
        <v>0.94</v>
      </c>
      <c r="CI5671" s="90">
        <v>1.2</v>
      </c>
      <c r="CJ5671" s="65">
        <v>0.03</v>
      </c>
      <c r="CK5671" s="65">
        <v>0.04</v>
      </c>
      <c r="EK5671" s="90">
        <v>81.83</v>
      </c>
      <c r="EL5671" s="90">
        <v>87.28</v>
      </c>
      <c r="EO5671" s="65" t="s">
        <v>6758</v>
      </c>
      <c r="FE5671" s="65">
        <v>7.66</v>
      </c>
      <c r="FF5671" s="65">
        <v>4.58</v>
      </c>
      <c r="FI5671" s="65" t="s">
        <v>6759</v>
      </c>
      <c r="GP5671" s="292" t="s">
        <v>7494</v>
      </c>
    </row>
    <row r="5672" spans="1:198" x14ac:dyDescent="0.25">
      <c r="A5672" s="55">
        <v>5671</v>
      </c>
      <c r="B5672" s="12" t="s">
        <v>7067</v>
      </c>
      <c r="C5672" s="155" t="s">
        <v>6747</v>
      </c>
      <c r="D5672" s="55" t="s">
        <v>6750</v>
      </c>
      <c r="E5672" s="90" t="s">
        <v>3373</v>
      </c>
      <c r="G5672" s="55" t="s">
        <v>6748</v>
      </c>
      <c r="H5672" s="55" t="s">
        <v>4353</v>
      </c>
      <c r="I5672" s="55" t="s">
        <v>6434</v>
      </c>
      <c r="J5672" s="55" t="s">
        <v>6749</v>
      </c>
      <c r="K5672" s="55" t="s">
        <v>6674</v>
      </c>
      <c r="L5672" s="55" t="s">
        <v>3377</v>
      </c>
      <c r="M5672" s="90">
        <f>47+21/60</f>
        <v>47.35</v>
      </c>
      <c r="N5672" s="90">
        <f>126+50/60</f>
        <v>126.83333333333333</v>
      </c>
      <c r="O5672" s="90">
        <v>210</v>
      </c>
      <c r="S5672" s="90" t="s">
        <v>6675</v>
      </c>
      <c r="U5672" s="55" t="s">
        <v>1935</v>
      </c>
      <c r="V5672" s="55" t="s">
        <v>1935</v>
      </c>
      <c r="Y5672" s="55" t="s">
        <v>200</v>
      </c>
      <c r="Z5672" s="55" t="s">
        <v>6753</v>
      </c>
      <c r="AA5672" s="90">
        <v>10</v>
      </c>
      <c r="AE5672" s="90">
        <v>31.6</v>
      </c>
      <c r="AF5672" s="90">
        <v>30.8</v>
      </c>
      <c r="AG5672" s="90">
        <v>37.6</v>
      </c>
      <c r="AH5672" s="55" t="s">
        <v>645</v>
      </c>
      <c r="AJ5672" s="90">
        <v>4.21</v>
      </c>
      <c r="AM5672" s="55" t="s">
        <v>6739</v>
      </c>
      <c r="AO5672" s="185" t="s">
        <v>7494</v>
      </c>
      <c r="AR5672" s="55" t="s">
        <v>132</v>
      </c>
      <c r="AS5672" s="55" t="s">
        <v>132</v>
      </c>
      <c r="AU5672" s="181" t="s">
        <v>7494</v>
      </c>
      <c r="AV5672" s="185" t="s">
        <v>176</v>
      </c>
      <c r="AX5672" s="185" t="s">
        <v>176</v>
      </c>
      <c r="BK5672" s="55" t="s">
        <v>2082</v>
      </c>
      <c r="BN5672" s="55" t="s">
        <v>1688</v>
      </c>
      <c r="BO5672" s="55" t="s">
        <v>1688</v>
      </c>
      <c r="BV5672" s="55" t="s">
        <v>6756</v>
      </c>
      <c r="CH5672" s="90">
        <v>0.97</v>
      </c>
      <c r="CI5672" s="90">
        <v>1.24</v>
      </c>
      <c r="CJ5672" s="65">
        <v>0.03</v>
      </c>
      <c r="CK5672" s="65">
        <v>0.04</v>
      </c>
      <c r="EK5672" s="90">
        <v>90.32</v>
      </c>
      <c r="EL5672" s="90">
        <v>94.4</v>
      </c>
      <c r="EO5672" s="65" t="s">
        <v>6758</v>
      </c>
      <c r="FE5672" s="65">
        <v>4.92</v>
      </c>
      <c r="FF5672" s="65">
        <v>8.35</v>
      </c>
      <c r="FI5672" s="65" t="s">
        <v>6759</v>
      </c>
      <c r="GP5672" s="292" t="s">
        <v>7494</v>
      </c>
    </row>
    <row r="5673" spans="1:198" x14ac:dyDescent="0.25">
      <c r="A5673" s="55">
        <v>5672</v>
      </c>
      <c r="B5673" s="12" t="s">
        <v>7067</v>
      </c>
      <c r="C5673" s="155" t="s">
        <v>6747</v>
      </c>
      <c r="D5673" s="55" t="s">
        <v>6750</v>
      </c>
      <c r="E5673" s="90" t="s">
        <v>3373</v>
      </c>
      <c r="G5673" s="55" t="s">
        <v>6748</v>
      </c>
      <c r="H5673" s="55" t="s">
        <v>4353</v>
      </c>
      <c r="I5673" s="55" t="s">
        <v>6434</v>
      </c>
      <c r="J5673" s="55" t="s">
        <v>6749</v>
      </c>
      <c r="K5673" s="55" t="s">
        <v>6674</v>
      </c>
      <c r="L5673" s="55" t="s">
        <v>3377</v>
      </c>
      <c r="M5673" s="90">
        <f>47+21/60</f>
        <v>47.35</v>
      </c>
      <c r="N5673" s="90">
        <f>126+50/60</f>
        <v>126.83333333333333</v>
      </c>
      <c r="O5673" s="90">
        <v>210</v>
      </c>
      <c r="S5673" s="90" t="s">
        <v>6675</v>
      </c>
      <c r="U5673" s="55" t="s">
        <v>1935</v>
      </c>
      <c r="V5673" s="55" t="s">
        <v>1935</v>
      </c>
      <c r="Y5673" s="55" t="s">
        <v>200</v>
      </c>
      <c r="Z5673" s="55" t="s">
        <v>6753</v>
      </c>
      <c r="AA5673" s="90">
        <v>10</v>
      </c>
      <c r="AE5673" s="90">
        <v>31.6</v>
      </c>
      <c r="AF5673" s="90">
        <v>30.8</v>
      </c>
      <c r="AG5673" s="90">
        <v>37.6</v>
      </c>
      <c r="AH5673" s="55" t="s">
        <v>645</v>
      </c>
      <c r="AJ5673" s="90">
        <v>4.21</v>
      </c>
      <c r="AM5673" s="55" t="s">
        <v>6739</v>
      </c>
      <c r="AO5673" s="185" t="s">
        <v>7494</v>
      </c>
      <c r="AR5673" s="55" t="s">
        <v>132</v>
      </c>
      <c r="AS5673" s="55" t="s">
        <v>132</v>
      </c>
      <c r="AU5673" s="181" t="s">
        <v>7494</v>
      </c>
      <c r="AV5673" s="185" t="s">
        <v>176</v>
      </c>
      <c r="AX5673" s="185" t="s">
        <v>176</v>
      </c>
      <c r="BK5673" s="55" t="s">
        <v>2082</v>
      </c>
      <c r="BN5673" s="55" t="s">
        <v>1688</v>
      </c>
      <c r="BO5673" s="55" t="s">
        <v>1688</v>
      </c>
      <c r="BV5673" s="55" t="s">
        <v>6756</v>
      </c>
      <c r="CH5673" s="90">
        <v>1.06</v>
      </c>
      <c r="CI5673" s="90">
        <v>1.21</v>
      </c>
      <c r="CJ5673" s="65">
        <v>0.03</v>
      </c>
      <c r="CK5673" s="65">
        <v>0.02</v>
      </c>
      <c r="EK5673" s="90">
        <v>91.67</v>
      </c>
      <c r="EL5673" s="90">
        <v>91.75</v>
      </c>
      <c r="EO5673" s="65" t="s">
        <v>6758</v>
      </c>
      <c r="FE5673" s="65">
        <v>5.04</v>
      </c>
      <c r="FF5673" s="65">
        <v>8.58</v>
      </c>
      <c r="FI5673" s="65" t="s">
        <v>6759</v>
      </c>
      <c r="GP5673" s="292" t="s">
        <v>7494</v>
      </c>
    </row>
    <row r="5674" spans="1:198" x14ac:dyDescent="0.25">
      <c r="A5674" s="55">
        <v>5673</v>
      </c>
      <c r="B5674" s="12" t="s">
        <v>7067</v>
      </c>
      <c r="C5674" s="155" t="s">
        <v>6747</v>
      </c>
      <c r="D5674" s="55" t="s">
        <v>6750</v>
      </c>
      <c r="E5674" s="90" t="s">
        <v>3373</v>
      </c>
      <c r="G5674" s="55" t="s">
        <v>6748</v>
      </c>
      <c r="H5674" s="55" t="s">
        <v>4353</v>
      </c>
      <c r="I5674" s="55" t="s">
        <v>6434</v>
      </c>
      <c r="J5674" s="55" t="s">
        <v>6749</v>
      </c>
      <c r="K5674" s="55" t="s">
        <v>6674</v>
      </c>
      <c r="L5674" s="55" t="s">
        <v>3377</v>
      </c>
      <c r="M5674" s="90">
        <f>47+21/60</f>
        <v>47.35</v>
      </c>
      <c r="N5674" s="90">
        <f>126+50/60</f>
        <v>126.83333333333333</v>
      </c>
      <c r="O5674" s="90">
        <v>210</v>
      </c>
      <c r="S5674" s="90" t="s">
        <v>6675</v>
      </c>
      <c r="U5674" s="55" t="s">
        <v>1935</v>
      </c>
      <c r="V5674" s="55" t="s">
        <v>1935</v>
      </c>
      <c r="Y5674" s="55" t="s">
        <v>572</v>
      </c>
      <c r="Z5674" s="55" t="s">
        <v>6605</v>
      </c>
      <c r="AA5674" s="90">
        <v>5</v>
      </c>
      <c r="AE5674" s="90">
        <v>31.6</v>
      </c>
      <c r="AF5674" s="90">
        <v>30.8</v>
      </c>
      <c r="AG5674" s="90">
        <v>37.6</v>
      </c>
      <c r="AH5674" s="55" t="s">
        <v>645</v>
      </c>
      <c r="AJ5674" s="90">
        <v>4.21</v>
      </c>
      <c r="AM5674" s="55" t="s">
        <v>6739</v>
      </c>
      <c r="AO5674" s="185" t="s">
        <v>7494</v>
      </c>
      <c r="AR5674" s="55" t="s">
        <v>132</v>
      </c>
      <c r="AS5674" s="55" t="s">
        <v>132</v>
      </c>
      <c r="AU5674" s="181" t="s">
        <v>7494</v>
      </c>
      <c r="AV5674" s="185" t="s">
        <v>176</v>
      </c>
      <c r="AX5674" s="185" t="s">
        <v>176</v>
      </c>
      <c r="BK5674" s="55" t="s">
        <v>4499</v>
      </c>
      <c r="BN5674" s="55" t="s">
        <v>1688</v>
      </c>
      <c r="BO5674" s="55" t="s">
        <v>1688</v>
      </c>
      <c r="BV5674" s="55" t="s">
        <v>6756</v>
      </c>
      <c r="CH5674" s="90">
        <v>0.9</v>
      </c>
      <c r="CI5674" s="90">
        <v>1.07</v>
      </c>
      <c r="CJ5674" s="65">
        <v>0.03</v>
      </c>
      <c r="CK5674" s="65">
        <v>0.03</v>
      </c>
      <c r="EK5674" s="90">
        <v>82.46</v>
      </c>
      <c r="EL5674" s="90">
        <v>89.87</v>
      </c>
      <c r="EO5674" s="65" t="s">
        <v>6758</v>
      </c>
      <c r="FE5674" s="65">
        <v>7.85</v>
      </c>
      <c r="FF5674" s="65">
        <v>6.43</v>
      </c>
      <c r="FI5674" s="65" t="s">
        <v>6759</v>
      </c>
      <c r="GP5674" s="292" t="s">
        <v>7494</v>
      </c>
    </row>
    <row r="5675" spans="1:198" x14ac:dyDescent="0.25">
      <c r="A5675" s="55">
        <v>5674</v>
      </c>
      <c r="B5675" s="12" t="s">
        <v>7067</v>
      </c>
      <c r="C5675" s="155" t="s">
        <v>6747</v>
      </c>
      <c r="D5675" s="55" t="s">
        <v>6750</v>
      </c>
      <c r="E5675" s="90" t="s">
        <v>3373</v>
      </c>
      <c r="G5675" s="55" t="s">
        <v>6748</v>
      </c>
      <c r="H5675" s="55" t="s">
        <v>4353</v>
      </c>
      <c r="I5675" s="55" t="s">
        <v>6434</v>
      </c>
      <c r="J5675" s="55" t="s">
        <v>6749</v>
      </c>
      <c r="K5675" s="55" t="s">
        <v>6674</v>
      </c>
      <c r="L5675" s="55" t="s">
        <v>3377</v>
      </c>
      <c r="M5675" s="90">
        <f>47+21/60</f>
        <v>47.35</v>
      </c>
      <c r="N5675" s="90">
        <f>126+50/60</f>
        <v>126.83333333333333</v>
      </c>
      <c r="O5675" s="90">
        <v>210</v>
      </c>
      <c r="S5675" s="90" t="s">
        <v>6675</v>
      </c>
      <c r="U5675" s="55" t="s">
        <v>1935</v>
      </c>
      <c r="V5675" s="55" t="s">
        <v>1935</v>
      </c>
      <c r="Y5675" s="55" t="s">
        <v>572</v>
      </c>
      <c r="Z5675" s="55" t="s">
        <v>6605</v>
      </c>
      <c r="AA5675" s="90">
        <v>5</v>
      </c>
      <c r="AE5675" s="90">
        <v>31.6</v>
      </c>
      <c r="AF5675" s="90">
        <v>30.8</v>
      </c>
      <c r="AG5675" s="90">
        <v>37.6</v>
      </c>
      <c r="AH5675" s="55" t="s">
        <v>645</v>
      </c>
      <c r="AJ5675" s="90">
        <v>4.21</v>
      </c>
      <c r="AM5675" s="55" t="s">
        <v>6739</v>
      </c>
      <c r="AO5675" s="185" t="s">
        <v>7494</v>
      </c>
      <c r="AR5675" s="55" t="s">
        <v>132</v>
      </c>
      <c r="AS5675" s="55" t="s">
        <v>132</v>
      </c>
      <c r="AU5675" s="181" t="s">
        <v>7494</v>
      </c>
      <c r="AV5675" s="185" t="s">
        <v>176</v>
      </c>
      <c r="AX5675" s="185" t="s">
        <v>176</v>
      </c>
      <c r="BK5675" s="55" t="s">
        <v>4499</v>
      </c>
      <c r="BN5675" s="55" t="s">
        <v>1688</v>
      </c>
      <c r="BO5675" s="55" t="s">
        <v>1688</v>
      </c>
      <c r="BV5675" s="55" t="s">
        <v>6756</v>
      </c>
      <c r="CH5675" s="90">
        <v>0.94</v>
      </c>
      <c r="CI5675" s="90">
        <v>1.1399999999999999</v>
      </c>
      <c r="CJ5675" s="65">
        <v>0.03</v>
      </c>
      <c r="CK5675" s="65">
        <v>0.03</v>
      </c>
      <c r="EK5675" s="90">
        <v>82.97</v>
      </c>
      <c r="EL5675" s="90">
        <v>82.26</v>
      </c>
      <c r="EO5675" s="65" t="s">
        <v>6758</v>
      </c>
      <c r="FE5675" s="65">
        <v>7.74</v>
      </c>
      <c r="FF5675" s="65">
        <v>5.85</v>
      </c>
      <c r="FI5675" s="65" t="s">
        <v>6759</v>
      </c>
      <c r="GP5675" s="292" t="s">
        <v>7494</v>
      </c>
    </row>
    <row r="5676" spans="1:198" x14ac:dyDescent="0.25">
      <c r="A5676" s="55">
        <v>5675</v>
      </c>
      <c r="B5676" s="12" t="s">
        <v>7067</v>
      </c>
      <c r="C5676" s="155" t="s">
        <v>6747</v>
      </c>
      <c r="D5676" s="55" t="s">
        <v>6750</v>
      </c>
      <c r="E5676" s="90" t="s">
        <v>3373</v>
      </c>
      <c r="G5676" s="55" t="s">
        <v>6748</v>
      </c>
      <c r="H5676" s="55" t="s">
        <v>4353</v>
      </c>
      <c r="I5676" s="55" t="s">
        <v>6434</v>
      </c>
      <c r="J5676" s="55" t="s">
        <v>6749</v>
      </c>
      <c r="K5676" s="55" t="s">
        <v>6674</v>
      </c>
      <c r="L5676" s="55" t="s">
        <v>3377</v>
      </c>
      <c r="M5676" s="90">
        <f>47+21/60</f>
        <v>47.35</v>
      </c>
      <c r="N5676" s="90">
        <f>126+50/60</f>
        <v>126.83333333333333</v>
      </c>
      <c r="O5676" s="90">
        <v>210</v>
      </c>
      <c r="S5676" s="90" t="s">
        <v>6675</v>
      </c>
      <c r="U5676" s="55" t="s">
        <v>1935</v>
      </c>
      <c r="V5676" s="55" t="s">
        <v>1935</v>
      </c>
      <c r="Y5676" s="55" t="s">
        <v>572</v>
      </c>
      <c r="Z5676" s="55" t="s">
        <v>6753</v>
      </c>
      <c r="AA5676" s="90">
        <v>10</v>
      </c>
      <c r="AE5676" s="90">
        <v>31.6</v>
      </c>
      <c r="AF5676" s="90">
        <v>30.8</v>
      </c>
      <c r="AG5676" s="90">
        <v>37.6</v>
      </c>
      <c r="AH5676" s="55" t="s">
        <v>645</v>
      </c>
      <c r="AJ5676" s="90">
        <v>4.21</v>
      </c>
      <c r="AM5676" s="55" t="s">
        <v>6739</v>
      </c>
      <c r="AO5676" s="185" t="s">
        <v>7494</v>
      </c>
      <c r="AR5676" s="55" t="s">
        <v>132</v>
      </c>
      <c r="AS5676" s="55" t="s">
        <v>132</v>
      </c>
      <c r="AU5676" s="181" t="s">
        <v>7494</v>
      </c>
      <c r="AV5676" s="185" t="s">
        <v>176</v>
      </c>
      <c r="AX5676" s="185" t="s">
        <v>176</v>
      </c>
      <c r="BK5676" s="55" t="s">
        <v>4499</v>
      </c>
      <c r="BN5676" s="55" t="s">
        <v>1688</v>
      </c>
      <c r="BO5676" s="55" t="s">
        <v>1688</v>
      </c>
      <c r="BV5676" s="55" t="s">
        <v>6756</v>
      </c>
      <c r="CH5676" s="90">
        <v>0.97</v>
      </c>
      <c r="CI5676" s="90">
        <v>1.17</v>
      </c>
      <c r="CJ5676" s="65">
        <v>0.03</v>
      </c>
      <c r="CK5676" s="65">
        <v>0.06</v>
      </c>
      <c r="EK5676" s="90">
        <v>87.98</v>
      </c>
      <c r="EL5676" s="90">
        <v>90.55</v>
      </c>
      <c r="EO5676" s="65" t="s">
        <v>6758</v>
      </c>
      <c r="FE5676" s="65">
        <v>9.9</v>
      </c>
      <c r="FF5676" s="65">
        <v>7.65</v>
      </c>
      <c r="FI5676" s="65" t="s">
        <v>6759</v>
      </c>
      <c r="GP5676" s="292" t="s">
        <v>7494</v>
      </c>
    </row>
    <row r="5677" spans="1:198" x14ac:dyDescent="0.25">
      <c r="A5677" s="55">
        <v>5676</v>
      </c>
      <c r="B5677" s="12" t="s">
        <v>7067</v>
      </c>
      <c r="C5677" s="155" t="s">
        <v>6747</v>
      </c>
      <c r="D5677" s="55" t="s">
        <v>6750</v>
      </c>
      <c r="E5677" s="90" t="s">
        <v>3373</v>
      </c>
      <c r="G5677" s="55" t="s">
        <v>6748</v>
      </c>
      <c r="H5677" s="55" t="s">
        <v>4353</v>
      </c>
      <c r="I5677" s="55" t="s">
        <v>6434</v>
      </c>
      <c r="J5677" s="55" t="s">
        <v>6749</v>
      </c>
      <c r="K5677" s="55" t="s">
        <v>6674</v>
      </c>
      <c r="L5677" s="55" t="s">
        <v>3377</v>
      </c>
      <c r="M5677" s="90">
        <f>47+21/60</f>
        <v>47.35</v>
      </c>
      <c r="N5677" s="90">
        <f>126+50/60</f>
        <v>126.83333333333333</v>
      </c>
      <c r="O5677" s="90">
        <v>210</v>
      </c>
      <c r="S5677" s="90" t="s">
        <v>6675</v>
      </c>
      <c r="U5677" s="55" t="s">
        <v>1935</v>
      </c>
      <c r="V5677" s="55" t="s">
        <v>1935</v>
      </c>
      <c r="Y5677" s="55" t="s">
        <v>572</v>
      </c>
      <c r="Z5677" s="55" t="s">
        <v>6753</v>
      </c>
      <c r="AA5677" s="90">
        <v>10</v>
      </c>
      <c r="AE5677" s="90">
        <v>31.6</v>
      </c>
      <c r="AF5677" s="90">
        <v>30.8</v>
      </c>
      <c r="AG5677" s="90">
        <v>37.6</v>
      </c>
      <c r="AH5677" s="55" t="s">
        <v>645</v>
      </c>
      <c r="AJ5677" s="90">
        <v>4.21</v>
      </c>
      <c r="AM5677" s="55" t="s">
        <v>6739</v>
      </c>
      <c r="AO5677" s="185" t="s">
        <v>7494</v>
      </c>
      <c r="AR5677" s="55" t="s">
        <v>132</v>
      </c>
      <c r="AS5677" s="55" t="s">
        <v>132</v>
      </c>
      <c r="AU5677" s="181" t="s">
        <v>7494</v>
      </c>
      <c r="AV5677" s="185" t="s">
        <v>176</v>
      </c>
      <c r="AX5677" s="185" t="s">
        <v>176</v>
      </c>
      <c r="BK5677" s="55" t="s">
        <v>4499</v>
      </c>
      <c r="BN5677" s="55" t="s">
        <v>1688</v>
      </c>
      <c r="BO5677" s="55" t="s">
        <v>1688</v>
      </c>
      <c r="BV5677" s="55" t="s">
        <v>6756</v>
      </c>
      <c r="CH5677" s="90">
        <v>1.06</v>
      </c>
      <c r="CI5677" s="90">
        <v>1.1499999999999999</v>
      </c>
      <c r="CJ5677" s="65">
        <v>0.03</v>
      </c>
      <c r="CK5677" s="65">
        <v>0.02</v>
      </c>
      <c r="EK5677" s="90">
        <v>85.51</v>
      </c>
      <c r="EL5677" s="90">
        <v>86.67</v>
      </c>
      <c r="EO5677" s="65" t="s">
        <v>6758</v>
      </c>
      <c r="FE5677" s="65">
        <v>7.66</v>
      </c>
      <c r="FF5677" s="65">
        <v>7.54</v>
      </c>
      <c r="FI5677" s="65" t="s">
        <v>6759</v>
      </c>
      <c r="GP5677" s="292" t="s">
        <v>7494</v>
      </c>
    </row>
    <row r="5678" spans="1:198" x14ac:dyDescent="0.25">
      <c r="A5678" s="55">
        <v>5677</v>
      </c>
      <c r="B5678" s="12" t="s">
        <v>7067</v>
      </c>
      <c r="C5678" s="155" t="s">
        <v>6747</v>
      </c>
      <c r="D5678" s="55" t="s">
        <v>6751</v>
      </c>
      <c r="E5678" s="90" t="s">
        <v>3373</v>
      </c>
      <c r="G5678" s="55" t="s">
        <v>6748</v>
      </c>
      <c r="H5678" s="55" t="s">
        <v>4353</v>
      </c>
      <c r="I5678" s="55" t="s">
        <v>6434</v>
      </c>
      <c r="J5678" s="55" t="s">
        <v>6749</v>
      </c>
      <c r="K5678" s="55" t="s">
        <v>6674</v>
      </c>
      <c r="L5678" s="55" t="s">
        <v>3377</v>
      </c>
      <c r="M5678" s="90">
        <f>47+21/60</f>
        <v>47.35</v>
      </c>
      <c r="N5678" s="90">
        <f>126+50/60</f>
        <v>126.83333333333333</v>
      </c>
      <c r="O5678" s="90">
        <v>210</v>
      </c>
      <c r="S5678" s="90" t="s">
        <v>6675</v>
      </c>
      <c r="U5678" s="55" t="s">
        <v>1935</v>
      </c>
      <c r="V5678" s="55" t="s">
        <v>1935</v>
      </c>
      <c r="Y5678" s="55" t="s">
        <v>857</v>
      </c>
      <c r="Z5678" s="55" t="s">
        <v>6605</v>
      </c>
      <c r="AA5678" s="90">
        <v>5</v>
      </c>
      <c r="AE5678" s="90">
        <v>31.6</v>
      </c>
      <c r="AF5678" s="90">
        <v>30.8</v>
      </c>
      <c r="AG5678" s="90">
        <v>37.6</v>
      </c>
      <c r="AH5678" s="55" t="s">
        <v>645</v>
      </c>
      <c r="AJ5678" s="90">
        <v>4.21</v>
      </c>
      <c r="AM5678" s="55" t="s">
        <v>6739</v>
      </c>
      <c r="AO5678" s="185" t="s">
        <v>7494</v>
      </c>
      <c r="AR5678" s="55" t="s">
        <v>132</v>
      </c>
      <c r="AS5678" s="55" t="s">
        <v>132</v>
      </c>
      <c r="AU5678" s="181" t="s">
        <v>7494</v>
      </c>
      <c r="AV5678" s="185" t="s">
        <v>176</v>
      </c>
      <c r="AX5678" s="185" t="s">
        <v>176</v>
      </c>
      <c r="BK5678" s="55" t="s">
        <v>2082</v>
      </c>
      <c r="BN5678" s="55" t="s">
        <v>1688</v>
      </c>
      <c r="BO5678" s="55" t="s">
        <v>1688</v>
      </c>
      <c r="BV5678" s="55" t="s">
        <v>6756</v>
      </c>
      <c r="CH5678" s="90">
        <v>1.1000000000000001</v>
      </c>
      <c r="CI5678" s="90">
        <v>1.28</v>
      </c>
      <c r="CJ5678" s="65">
        <v>0.1</v>
      </c>
      <c r="CK5678" s="65">
        <v>0.03</v>
      </c>
      <c r="EK5678" s="90">
        <v>91.98</v>
      </c>
      <c r="EL5678" s="90">
        <v>87.37</v>
      </c>
      <c r="EO5678" s="65" t="s">
        <v>6758</v>
      </c>
      <c r="FE5678" s="65">
        <v>4.92</v>
      </c>
      <c r="FF5678" s="65">
        <v>6.81</v>
      </c>
      <c r="FI5678" s="65" t="s">
        <v>6759</v>
      </c>
      <c r="GP5678" s="292" t="s">
        <v>7494</v>
      </c>
    </row>
    <row r="5679" spans="1:198" x14ac:dyDescent="0.25">
      <c r="A5679" s="55">
        <v>5678</v>
      </c>
      <c r="B5679" s="12" t="s">
        <v>7067</v>
      </c>
      <c r="C5679" s="155" t="s">
        <v>6747</v>
      </c>
      <c r="D5679" s="55" t="s">
        <v>6751</v>
      </c>
      <c r="E5679" s="90" t="s">
        <v>3373</v>
      </c>
      <c r="G5679" s="55" t="s">
        <v>6748</v>
      </c>
      <c r="H5679" s="55" t="s">
        <v>4353</v>
      </c>
      <c r="I5679" s="55" t="s">
        <v>6434</v>
      </c>
      <c r="J5679" s="55" t="s">
        <v>6749</v>
      </c>
      <c r="K5679" s="55" t="s">
        <v>6674</v>
      </c>
      <c r="L5679" s="55" t="s">
        <v>3377</v>
      </c>
      <c r="M5679" s="90">
        <f>47+21/60</f>
        <v>47.35</v>
      </c>
      <c r="N5679" s="90">
        <f>126+50/60</f>
        <v>126.83333333333333</v>
      </c>
      <c r="O5679" s="90">
        <v>210</v>
      </c>
      <c r="S5679" s="90" t="s">
        <v>6675</v>
      </c>
      <c r="U5679" s="55" t="s">
        <v>1935</v>
      </c>
      <c r="V5679" s="55" t="s">
        <v>1935</v>
      </c>
      <c r="Y5679" s="55" t="s">
        <v>857</v>
      </c>
      <c r="Z5679" s="55" t="s">
        <v>6605</v>
      </c>
      <c r="AA5679" s="90">
        <v>5</v>
      </c>
      <c r="AE5679" s="90">
        <v>31.6</v>
      </c>
      <c r="AF5679" s="90">
        <v>30.8</v>
      </c>
      <c r="AG5679" s="90">
        <v>37.6</v>
      </c>
      <c r="AH5679" s="55" t="s">
        <v>645</v>
      </c>
      <c r="AJ5679" s="90">
        <v>4.21</v>
      </c>
      <c r="AM5679" s="55" t="s">
        <v>6739</v>
      </c>
      <c r="AO5679" s="185" t="s">
        <v>7494</v>
      </c>
      <c r="AR5679" s="55" t="s">
        <v>132</v>
      </c>
      <c r="AS5679" s="55" t="s">
        <v>132</v>
      </c>
      <c r="AU5679" s="181" t="s">
        <v>7494</v>
      </c>
      <c r="AV5679" s="185" t="s">
        <v>176</v>
      </c>
      <c r="AX5679" s="185" t="s">
        <v>176</v>
      </c>
      <c r="BK5679" s="55" t="s">
        <v>2082</v>
      </c>
      <c r="BN5679" s="55" t="s">
        <v>1688</v>
      </c>
      <c r="BO5679" s="55" t="s">
        <v>1688</v>
      </c>
      <c r="BV5679" s="55" t="s">
        <v>6756</v>
      </c>
      <c r="CH5679" s="90">
        <v>1.1200000000000001</v>
      </c>
      <c r="CI5679" s="90">
        <v>1.25</v>
      </c>
      <c r="CJ5679" s="65">
        <v>0.1</v>
      </c>
      <c r="CK5679" s="65">
        <v>0.03</v>
      </c>
      <c r="EK5679" s="90">
        <v>81.83</v>
      </c>
      <c r="EL5679" s="90">
        <v>86.75</v>
      </c>
      <c r="EO5679" s="65" t="s">
        <v>6758</v>
      </c>
      <c r="FE5679" s="65">
        <v>5.04</v>
      </c>
      <c r="FF5679" s="65">
        <v>6.11</v>
      </c>
      <c r="FI5679" s="65" t="s">
        <v>6759</v>
      </c>
      <c r="GP5679" s="292" t="s">
        <v>7494</v>
      </c>
    </row>
    <row r="5680" spans="1:198" x14ac:dyDescent="0.25">
      <c r="A5680" s="55">
        <v>5679</v>
      </c>
      <c r="B5680" s="12" t="s">
        <v>7067</v>
      </c>
      <c r="C5680" s="155" t="s">
        <v>6747</v>
      </c>
      <c r="D5680" s="55" t="s">
        <v>6751</v>
      </c>
      <c r="E5680" s="90" t="s">
        <v>3373</v>
      </c>
      <c r="G5680" s="55" t="s">
        <v>6748</v>
      </c>
      <c r="H5680" s="55" t="s">
        <v>4353</v>
      </c>
      <c r="I5680" s="55" t="s">
        <v>6434</v>
      </c>
      <c r="J5680" s="55" t="s">
        <v>6749</v>
      </c>
      <c r="K5680" s="55" t="s">
        <v>6674</v>
      </c>
      <c r="L5680" s="55" t="s">
        <v>3377</v>
      </c>
      <c r="M5680" s="90">
        <f>47+21/60</f>
        <v>47.35</v>
      </c>
      <c r="N5680" s="90">
        <f>126+50/60</f>
        <v>126.83333333333333</v>
      </c>
      <c r="O5680" s="90">
        <v>210</v>
      </c>
      <c r="S5680" s="90" t="s">
        <v>6675</v>
      </c>
      <c r="U5680" s="55" t="s">
        <v>1935</v>
      </c>
      <c r="V5680" s="55" t="s">
        <v>1935</v>
      </c>
      <c r="Y5680" s="55" t="s">
        <v>857</v>
      </c>
      <c r="Z5680" s="55" t="s">
        <v>6753</v>
      </c>
      <c r="AA5680" s="90">
        <v>10</v>
      </c>
      <c r="AE5680" s="90">
        <v>31.6</v>
      </c>
      <c r="AF5680" s="90">
        <v>30.8</v>
      </c>
      <c r="AG5680" s="90">
        <v>37.6</v>
      </c>
      <c r="AH5680" s="55" t="s">
        <v>645</v>
      </c>
      <c r="AJ5680" s="90">
        <v>4.21</v>
      </c>
      <c r="AM5680" s="55" t="s">
        <v>6739</v>
      </c>
      <c r="AO5680" s="185" t="s">
        <v>7494</v>
      </c>
      <c r="AR5680" s="55" t="s">
        <v>132</v>
      </c>
      <c r="AS5680" s="55" t="s">
        <v>132</v>
      </c>
      <c r="AU5680" s="181" t="s">
        <v>7494</v>
      </c>
      <c r="AV5680" s="185" t="s">
        <v>176</v>
      </c>
      <c r="AX5680" s="185" t="s">
        <v>176</v>
      </c>
      <c r="BK5680" s="55" t="s">
        <v>2082</v>
      </c>
      <c r="BN5680" s="55" t="s">
        <v>1688</v>
      </c>
      <c r="BO5680" s="55" t="s">
        <v>1688</v>
      </c>
      <c r="BV5680" s="55" t="s">
        <v>6756</v>
      </c>
      <c r="CH5680" s="90">
        <v>1.1000000000000001</v>
      </c>
      <c r="CI5680" s="90">
        <v>1.31</v>
      </c>
      <c r="CJ5680" s="65">
        <v>0.05</v>
      </c>
      <c r="CK5680" s="65">
        <v>0.03</v>
      </c>
      <c r="EK5680" s="90">
        <v>90.32</v>
      </c>
      <c r="EL5680" s="90">
        <v>91.56</v>
      </c>
      <c r="EO5680" s="65" t="s">
        <v>6758</v>
      </c>
      <c r="FE5680" s="65">
        <v>7.85</v>
      </c>
      <c r="FF5680" s="65">
        <v>7.97</v>
      </c>
      <c r="FI5680" s="65" t="s">
        <v>6759</v>
      </c>
      <c r="GP5680" s="292" t="s">
        <v>7494</v>
      </c>
    </row>
    <row r="5681" spans="1:198" x14ac:dyDescent="0.25">
      <c r="A5681" s="55">
        <v>5680</v>
      </c>
      <c r="B5681" s="12" t="s">
        <v>7067</v>
      </c>
      <c r="C5681" s="155" t="s">
        <v>6747</v>
      </c>
      <c r="D5681" s="55" t="s">
        <v>6751</v>
      </c>
      <c r="E5681" s="90" t="s">
        <v>3373</v>
      </c>
      <c r="G5681" s="55" t="s">
        <v>6748</v>
      </c>
      <c r="H5681" s="55" t="s">
        <v>4353</v>
      </c>
      <c r="I5681" s="55" t="s">
        <v>6434</v>
      </c>
      <c r="J5681" s="55" t="s">
        <v>6749</v>
      </c>
      <c r="K5681" s="55" t="s">
        <v>6674</v>
      </c>
      <c r="L5681" s="55" t="s">
        <v>3377</v>
      </c>
      <c r="M5681" s="90">
        <f>47+21/60</f>
        <v>47.35</v>
      </c>
      <c r="N5681" s="90">
        <f>126+50/60</f>
        <v>126.83333333333333</v>
      </c>
      <c r="O5681" s="90">
        <v>210</v>
      </c>
      <c r="S5681" s="90" t="s">
        <v>6675</v>
      </c>
      <c r="U5681" s="55" t="s">
        <v>1935</v>
      </c>
      <c r="V5681" s="55" t="s">
        <v>1935</v>
      </c>
      <c r="Y5681" s="55" t="s">
        <v>857</v>
      </c>
      <c r="Z5681" s="55" t="s">
        <v>6753</v>
      </c>
      <c r="AA5681" s="90">
        <v>10</v>
      </c>
      <c r="AE5681" s="90">
        <v>31.6</v>
      </c>
      <c r="AF5681" s="90">
        <v>30.8</v>
      </c>
      <c r="AG5681" s="90">
        <v>37.6</v>
      </c>
      <c r="AH5681" s="55" t="s">
        <v>645</v>
      </c>
      <c r="AJ5681" s="90">
        <v>4.21</v>
      </c>
      <c r="AM5681" s="55" t="s">
        <v>6739</v>
      </c>
      <c r="AO5681" s="185" t="s">
        <v>7494</v>
      </c>
      <c r="AR5681" s="55" t="s">
        <v>132</v>
      </c>
      <c r="AS5681" s="55" t="s">
        <v>132</v>
      </c>
      <c r="AU5681" s="181" t="s">
        <v>7494</v>
      </c>
      <c r="AV5681" s="185" t="s">
        <v>176</v>
      </c>
      <c r="AX5681" s="185" t="s">
        <v>176</v>
      </c>
      <c r="BK5681" s="55" t="s">
        <v>2082</v>
      </c>
      <c r="BN5681" s="55" t="s">
        <v>1688</v>
      </c>
      <c r="BO5681" s="55" t="s">
        <v>1688</v>
      </c>
      <c r="BV5681" s="55" t="s">
        <v>6756</v>
      </c>
      <c r="CH5681" s="90">
        <v>1.17</v>
      </c>
      <c r="CI5681" s="90">
        <v>1.27</v>
      </c>
      <c r="CJ5681" s="65">
        <v>0.05</v>
      </c>
      <c r="CK5681" s="65">
        <v>7.0000000000000007E-2</v>
      </c>
      <c r="EK5681" s="90">
        <v>91.67</v>
      </c>
      <c r="EL5681" s="90">
        <v>88.46</v>
      </c>
      <c r="EO5681" s="65" t="s">
        <v>6758</v>
      </c>
      <c r="FE5681" s="65">
        <v>7.74</v>
      </c>
      <c r="FF5681" s="65">
        <v>7.98</v>
      </c>
      <c r="FI5681" s="65" t="s">
        <v>6759</v>
      </c>
      <c r="GP5681" s="292" t="s">
        <v>7494</v>
      </c>
    </row>
    <row r="5682" spans="1:198" x14ac:dyDescent="0.25">
      <c r="A5682" s="55">
        <v>5681</v>
      </c>
      <c r="B5682" s="12" t="s">
        <v>7067</v>
      </c>
      <c r="C5682" s="155" t="s">
        <v>6747</v>
      </c>
      <c r="D5682" s="55" t="s">
        <v>6751</v>
      </c>
      <c r="E5682" s="90" t="s">
        <v>3373</v>
      </c>
      <c r="G5682" s="55" t="s">
        <v>6748</v>
      </c>
      <c r="H5682" s="55" t="s">
        <v>4353</v>
      </c>
      <c r="I5682" s="55" t="s">
        <v>6434</v>
      </c>
      <c r="J5682" s="55" t="s">
        <v>6749</v>
      </c>
      <c r="K5682" s="55" t="s">
        <v>6674</v>
      </c>
      <c r="L5682" s="55" t="s">
        <v>3377</v>
      </c>
      <c r="M5682" s="90">
        <f>47+21/60</f>
        <v>47.35</v>
      </c>
      <c r="N5682" s="90">
        <f>126+50/60</f>
        <v>126.83333333333333</v>
      </c>
      <c r="O5682" s="90">
        <v>210</v>
      </c>
      <c r="S5682" s="90" t="s">
        <v>6675</v>
      </c>
      <c r="U5682" s="55" t="s">
        <v>1935</v>
      </c>
      <c r="V5682" s="55" t="s">
        <v>1935</v>
      </c>
      <c r="Y5682" s="55" t="s">
        <v>856</v>
      </c>
      <c r="Z5682" s="55" t="s">
        <v>6605</v>
      </c>
      <c r="AA5682" s="90">
        <v>5</v>
      </c>
      <c r="AE5682" s="90">
        <v>31.6</v>
      </c>
      <c r="AF5682" s="90">
        <v>30.8</v>
      </c>
      <c r="AG5682" s="90">
        <v>37.6</v>
      </c>
      <c r="AH5682" s="55" t="s">
        <v>645</v>
      </c>
      <c r="AJ5682" s="90">
        <v>4.21</v>
      </c>
      <c r="AM5682" s="55" t="s">
        <v>6739</v>
      </c>
      <c r="AO5682" s="185" t="s">
        <v>7494</v>
      </c>
      <c r="AR5682" s="55" t="s">
        <v>132</v>
      </c>
      <c r="AS5682" s="55" t="s">
        <v>132</v>
      </c>
      <c r="AU5682" s="181" t="s">
        <v>7494</v>
      </c>
      <c r="AV5682" s="185" t="s">
        <v>176</v>
      </c>
      <c r="AX5682" s="185" t="s">
        <v>176</v>
      </c>
      <c r="BK5682" s="55" t="s">
        <v>4499</v>
      </c>
      <c r="BN5682" s="55" t="s">
        <v>1688</v>
      </c>
      <c r="BO5682" s="55" t="s">
        <v>1688</v>
      </c>
      <c r="BV5682" s="55" t="s">
        <v>6756</v>
      </c>
      <c r="CH5682" s="90">
        <v>1.1000000000000001</v>
      </c>
      <c r="CI5682" s="90">
        <v>1.1200000000000001</v>
      </c>
      <c r="CJ5682" s="65">
        <v>0.05</v>
      </c>
      <c r="CK5682" s="65">
        <v>0.05</v>
      </c>
      <c r="EK5682" s="90">
        <v>82.46</v>
      </c>
      <c r="EL5682" s="90">
        <v>88.02</v>
      </c>
      <c r="EO5682" s="65" t="s">
        <v>6758</v>
      </c>
      <c r="GP5682" s="292" t="s">
        <v>7494</v>
      </c>
    </row>
    <row r="5683" spans="1:198" x14ac:dyDescent="0.25">
      <c r="A5683" s="55">
        <v>5682</v>
      </c>
      <c r="B5683" s="12" t="s">
        <v>7067</v>
      </c>
      <c r="C5683" s="155" t="s">
        <v>6747</v>
      </c>
      <c r="D5683" s="55" t="s">
        <v>6751</v>
      </c>
      <c r="E5683" s="90" t="s">
        <v>3373</v>
      </c>
      <c r="G5683" s="55" t="s">
        <v>6748</v>
      </c>
      <c r="H5683" s="55" t="s">
        <v>4353</v>
      </c>
      <c r="I5683" s="55" t="s">
        <v>6434</v>
      </c>
      <c r="J5683" s="55" t="s">
        <v>6749</v>
      </c>
      <c r="K5683" s="55" t="s">
        <v>6674</v>
      </c>
      <c r="L5683" s="55" t="s">
        <v>3377</v>
      </c>
      <c r="M5683" s="90">
        <f>47+21/60</f>
        <v>47.35</v>
      </c>
      <c r="N5683" s="90">
        <f>126+50/60</f>
        <v>126.83333333333333</v>
      </c>
      <c r="O5683" s="90">
        <v>210</v>
      </c>
      <c r="S5683" s="90" t="s">
        <v>6675</v>
      </c>
      <c r="U5683" s="55" t="s">
        <v>1935</v>
      </c>
      <c r="V5683" s="55" t="s">
        <v>1935</v>
      </c>
      <c r="Y5683" s="55" t="s">
        <v>856</v>
      </c>
      <c r="Z5683" s="55" t="s">
        <v>6605</v>
      </c>
      <c r="AA5683" s="90">
        <v>5</v>
      </c>
      <c r="AE5683" s="90">
        <v>31.6</v>
      </c>
      <c r="AF5683" s="90">
        <v>30.8</v>
      </c>
      <c r="AG5683" s="90">
        <v>37.6</v>
      </c>
      <c r="AH5683" s="55" t="s">
        <v>645</v>
      </c>
      <c r="AJ5683" s="90">
        <v>4.21</v>
      </c>
      <c r="AM5683" s="55" t="s">
        <v>6739</v>
      </c>
      <c r="AO5683" s="185" t="s">
        <v>7494</v>
      </c>
      <c r="AR5683" s="55" t="s">
        <v>132</v>
      </c>
      <c r="AS5683" s="55" t="s">
        <v>132</v>
      </c>
      <c r="AU5683" s="181" t="s">
        <v>7494</v>
      </c>
      <c r="AV5683" s="185" t="s">
        <v>176</v>
      </c>
      <c r="AX5683" s="185" t="s">
        <v>176</v>
      </c>
      <c r="BK5683" s="55" t="s">
        <v>4499</v>
      </c>
      <c r="BN5683" s="55" t="s">
        <v>1688</v>
      </c>
      <c r="BO5683" s="55" t="s">
        <v>1688</v>
      </c>
      <c r="BV5683" s="55" t="s">
        <v>6756</v>
      </c>
      <c r="CH5683" s="90">
        <v>1.1200000000000001</v>
      </c>
      <c r="CI5683" s="90">
        <v>1.2</v>
      </c>
      <c r="CJ5683" s="65">
        <v>0.05</v>
      </c>
      <c r="CK5683" s="65">
        <v>0.05</v>
      </c>
      <c r="EK5683" s="90">
        <v>82.97</v>
      </c>
      <c r="EL5683" s="90">
        <v>86.12</v>
      </c>
      <c r="EO5683" s="65" t="s">
        <v>6758</v>
      </c>
      <c r="GP5683" s="292" t="s">
        <v>7494</v>
      </c>
    </row>
    <row r="5684" spans="1:198" x14ac:dyDescent="0.25">
      <c r="A5684" s="55">
        <v>5683</v>
      </c>
      <c r="B5684" s="12" t="s">
        <v>7067</v>
      </c>
      <c r="C5684" s="155" t="s">
        <v>6747</v>
      </c>
      <c r="D5684" s="55" t="s">
        <v>6751</v>
      </c>
      <c r="E5684" s="90" t="s">
        <v>3373</v>
      </c>
      <c r="G5684" s="55" t="s">
        <v>6748</v>
      </c>
      <c r="H5684" s="55" t="s">
        <v>4353</v>
      </c>
      <c r="I5684" s="55" t="s">
        <v>6434</v>
      </c>
      <c r="J5684" s="55" t="s">
        <v>6749</v>
      </c>
      <c r="K5684" s="55" t="s">
        <v>6674</v>
      </c>
      <c r="L5684" s="55" t="s">
        <v>3377</v>
      </c>
      <c r="M5684" s="90">
        <f>47+21/60</f>
        <v>47.35</v>
      </c>
      <c r="N5684" s="90">
        <f>126+50/60</f>
        <v>126.83333333333333</v>
      </c>
      <c r="O5684" s="90">
        <v>210</v>
      </c>
      <c r="S5684" s="90" t="s">
        <v>6675</v>
      </c>
      <c r="U5684" s="55" t="s">
        <v>1935</v>
      </c>
      <c r="V5684" s="55" t="s">
        <v>1935</v>
      </c>
      <c r="Y5684" s="55" t="s">
        <v>856</v>
      </c>
      <c r="Z5684" s="55" t="s">
        <v>6753</v>
      </c>
      <c r="AA5684" s="90">
        <v>10</v>
      </c>
      <c r="AE5684" s="90">
        <v>31.6</v>
      </c>
      <c r="AF5684" s="90">
        <v>30.8</v>
      </c>
      <c r="AG5684" s="90">
        <v>37.6</v>
      </c>
      <c r="AH5684" s="55" t="s">
        <v>645</v>
      </c>
      <c r="AJ5684" s="90">
        <v>4.21</v>
      </c>
      <c r="AM5684" s="55" t="s">
        <v>6739</v>
      </c>
      <c r="AO5684" s="185" t="s">
        <v>7494</v>
      </c>
      <c r="AR5684" s="55" t="s">
        <v>132</v>
      </c>
      <c r="AS5684" s="55" t="s">
        <v>132</v>
      </c>
      <c r="AU5684" s="181" t="s">
        <v>7494</v>
      </c>
      <c r="AV5684" s="185" t="s">
        <v>176</v>
      </c>
      <c r="AX5684" s="185" t="s">
        <v>176</v>
      </c>
      <c r="BK5684" s="55" t="s">
        <v>4499</v>
      </c>
      <c r="BN5684" s="55" t="s">
        <v>1688</v>
      </c>
      <c r="BO5684" s="55" t="s">
        <v>1688</v>
      </c>
      <c r="BV5684" s="55" t="s">
        <v>6756</v>
      </c>
      <c r="CH5684" s="90">
        <v>1.1000000000000001</v>
      </c>
      <c r="CI5684" s="90">
        <v>1.2</v>
      </c>
      <c r="CJ5684" s="65">
        <v>0.05</v>
      </c>
      <c r="CK5684" s="65">
        <v>0.05</v>
      </c>
      <c r="EK5684" s="90">
        <v>87.98</v>
      </c>
      <c r="EL5684" s="90">
        <v>87.13</v>
      </c>
      <c r="EO5684" s="65" t="s">
        <v>6758</v>
      </c>
      <c r="GP5684" s="292" t="s">
        <v>7494</v>
      </c>
    </row>
    <row r="5685" spans="1:198" x14ac:dyDescent="0.25">
      <c r="A5685" s="55">
        <v>5684</v>
      </c>
      <c r="B5685" s="12" t="s">
        <v>7067</v>
      </c>
      <c r="C5685" s="155" t="s">
        <v>6747</v>
      </c>
      <c r="D5685" s="55" t="s">
        <v>6751</v>
      </c>
      <c r="E5685" s="90" t="s">
        <v>3373</v>
      </c>
      <c r="G5685" s="55" t="s">
        <v>6748</v>
      </c>
      <c r="H5685" s="55" t="s">
        <v>4353</v>
      </c>
      <c r="I5685" s="55" t="s">
        <v>6434</v>
      </c>
      <c r="J5685" s="55" t="s">
        <v>6749</v>
      </c>
      <c r="K5685" s="55" t="s">
        <v>6674</v>
      </c>
      <c r="L5685" s="55" t="s">
        <v>3377</v>
      </c>
      <c r="M5685" s="90">
        <f>47+21/60</f>
        <v>47.35</v>
      </c>
      <c r="N5685" s="90">
        <f>126+50/60</f>
        <v>126.83333333333333</v>
      </c>
      <c r="O5685" s="90">
        <v>210</v>
      </c>
      <c r="S5685" s="90" t="s">
        <v>6675</v>
      </c>
      <c r="U5685" s="55" t="s">
        <v>1935</v>
      </c>
      <c r="V5685" s="55" t="s">
        <v>1935</v>
      </c>
      <c r="Y5685" s="55" t="s">
        <v>856</v>
      </c>
      <c r="Z5685" s="55" t="s">
        <v>6753</v>
      </c>
      <c r="AA5685" s="90">
        <v>10</v>
      </c>
      <c r="AE5685" s="90">
        <v>31.6</v>
      </c>
      <c r="AF5685" s="90">
        <v>30.8</v>
      </c>
      <c r="AG5685" s="90">
        <v>37.6</v>
      </c>
      <c r="AH5685" s="55" t="s">
        <v>645</v>
      </c>
      <c r="AJ5685" s="90">
        <v>4.21</v>
      </c>
      <c r="AM5685" s="55" t="s">
        <v>6739</v>
      </c>
      <c r="AO5685" s="185" t="s">
        <v>7494</v>
      </c>
      <c r="AR5685" s="55" t="s">
        <v>132</v>
      </c>
      <c r="AS5685" s="55" t="s">
        <v>132</v>
      </c>
      <c r="AU5685" s="181" t="s">
        <v>7494</v>
      </c>
      <c r="AV5685" s="185" t="s">
        <v>176</v>
      </c>
      <c r="AX5685" s="185" t="s">
        <v>176</v>
      </c>
      <c r="BK5685" s="55" t="s">
        <v>4499</v>
      </c>
      <c r="BN5685" s="55" t="s">
        <v>1688</v>
      </c>
      <c r="BO5685" s="55" t="s">
        <v>1688</v>
      </c>
      <c r="BV5685" s="55" t="s">
        <v>6756</v>
      </c>
      <c r="CH5685" s="90">
        <v>1.17</v>
      </c>
      <c r="CI5685" s="90">
        <v>1.18</v>
      </c>
      <c r="CJ5685" s="65">
        <v>0.05</v>
      </c>
      <c r="CK5685" s="65">
        <v>0.05</v>
      </c>
      <c r="EK5685" s="90">
        <v>85.51</v>
      </c>
      <c r="EL5685" s="90">
        <v>86.33</v>
      </c>
      <c r="EO5685" s="65" t="s">
        <v>6758</v>
      </c>
      <c r="GP5685" s="292" t="s">
        <v>7494</v>
      </c>
    </row>
    <row r="5686" spans="1:198" x14ac:dyDescent="0.25">
      <c r="A5686" s="55">
        <v>5685</v>
      </c>
      <c r="B5686" s="12" t="s">
        <v>7067</v>
      </c>
      <c r="C5686" s="155" t="s">
        <v>6747</v>
      </c>
      <c r="D5686" s="55" t="s">
        <v>6754</v>
      </c>
      <c r="E5686" s="90" t="s">
        <v>3373</v>
      </c>
      <c r="G5686" s="55" t="s">
        <v>6748</v>
      </c>
      <c r="H5686" s="55" t="s">
        <v>4353</v>
      </c>
      <c r="I5686" s="55" t="s">
        <v>6434</v>
      </c>
      <c r="J5686" s="55" t="s">
        <v>6749</v>
      </c>
      <c r="K5686" s="55" t="s">
        <v>6674</v>
      </c>
      <c r="L5686" s="55" t="s">
        <v>3377</v>
      </c>
      <c r="M5686" s="90">
        <f>47+21/60</f>
        <v>47.35</v>
      </c>
      <c r="N5686" s="90">
        <f>126+50/60</f>
        <v>126.83333333333333</v>
      </c>
      <c r="O5686" s="90">
        <v>210</v>
      </c>
      <c r="S5686" s="90" t="s">
        <v>6675</v>
      </c>
      <c r="U5686" s="55" t="s">
        <v>1935</v>
      </c>
      <c r="V5686" s="55" t="s">
        <v>1935</v>
      </c>
      <c r="Y5686" s="55" t="s">
        <v>200</v>
      </c>
      <c r="Z5686" s="55" t="s">
        <v>6605</v>
      </c>
      <c r="AA5686" s="90">
        <v>5</v>
      </c>
      <c r="AE5686" s="90">
        <v>31.6</v>
      </c>
      <c r="AF5686" s="90">
        <v>30.8</v>
      </c>
      <c r="AG5686" s="90">
        <v>37.6</v>
      </c>
      <c r="AH5686" s="55" t="s">
        <v>645</v>
      </c>
      <c r="AJ5686" s="90">
        <v>4.21</v>
      </c>
      <c r="AM5686" s="55" t="s">
        <v>6739</v>
      </c>
      <c r="AO5686" s="185" t="s">
        <v>7494</v>
      </c>
      <c r="AR5686" s="55" t="s">
        <v>132</v>
      </c>
      <c r="AS5686" s="55" t="s">
        <v>132</v>
      </c>
      <c r="AU5686" s="181" t="s">
        <v>7494</v>
      </c>
      <c r="AV5686" s="185" t="s">
        <v>176</v>
      </c>
      <c r="AX5686" s="185" t="s">
        <v>176</v>
      </c>
      <c r="BK5686" s="55" t="s">
        <v>2082</v>
      </c>
      <c r="BN5686" s="55" t="s">
        <v>1688</v>
      </c>
      <c r="BO5686" s="55" t="s">
        <v>1688</v>
      </c>
      <c r="BV5686" s="55" t="s">
        <v>6757</v>
      </c>
      <c r="CH5686" s="90">
        <v>1.17</v>
      </c>
      <c r="CI5686" s="65">
        <v>1.21</v>
      </c>
      <c r="CJ5686" s="65">
        <v>0.03</v>
      </c>
      <c r="CK5686" s="65">
        <v>0.09</v>
      </c>
      <c r="GP5686" s="292" t="s">
        <v>7494</v>
      </c>
    </row>
    <row r="5687" spans="1:198" x14ac:dyDescent="0.25">
      <c r="A5687" s="55">
        <v>5686</v>
      </c>
      <c r="B5687" s="12" t="s">
        <v>7067</v>
      </c>
      <c r="C5687" s="155" t="s">
        <v>6747</v>
      </c>
      <c r="D5687" s="55" t="s">
        <v>6754</v>
      </c>
      <c r="E5687" s="90" t="s">
        <v>3373</v>
      </c>
      <c r="G5687" s="55" t="s">
        <v>6748</v>
      </c>
      <c r="H5687" s="55" t="s">
        <v>4353</v>
      </c>
      <c r="I5687" s="55" t="s">
        <v>6434</v>
      </c>
      <c r="J5687" s="55" t="s">
        <v>6749</v>
      </c>
      <c r="K5687" s="55" t="s">
        <v>6674</v>
      </c>
      <c r="L5687" s="55" t="s">
        <v>3377</v>
      </c>
      <c r="M5687" s="90">
        <f>47+21/60</f>
        <v>47.35</v>
      </c>
      <c r="N5687" s="90">
        <f>126+50/60</f>
        <v>126.83333333333333</v>
      </c>
      <c r="O5687" s="90">
        <v>210</v>
      </c>
      <c r="S5687" s="90" t="s">
        <v>6675</v>
      </c>
      <c r="U5687" s="55" t="s">
        <v>1935</v>
      </c>
      <c r="V5687" s="55" t="s">
        <v>1935</v>
      </c>
      <c r="Y5687" s="55" t="s">
        <v>200</v>
      </c>
      <c r="Z5687" s="55" t="s">
        <v>6605</v>
      </c>
      <c r="AA5687" s="90">
        <v>5</v>
      </c>
      <c r="AE5687" s="90">
        <v>31.6</v>
      </c>
      <c r="AF5687" s="90">
        <v>30.8</v>
      </c>
      <c r="AG5687" s="90">
        <v>37.6</v>
      </c>
      <c r="AH5687" s="55" t="s">
        <v>645</v>
      </c>
      <c r="AJ5687" s="90">
        <v>4.21</v>
      </c>
      <c r="AM5687" s="55" t="s">
        <v>6739</v>
      </c>
      <c r="AO5687" s="185" t="s">
        <v>7494</v>
      </c>
      <c r="AR5687" s="55" t="s">
        <v>132</v>
      </c>
      <c r="AS5687" s="55" t="s">
        <v>132</v>
      </c>
      <c r="AU5687" s="181" t="s">
        <v>7494</v>
      </c>
      <c r="AV5687" s="185" t="s">
        <v>176</v>
      </c>
      <c r="AX5687" s="185" t="s">
        <v>176</v>
      </c>
      <c r="BK5687" s="55" t="s">
        <v>2082</v>
      </c>
      <c r="BN5687" s="55" t="s">
        <v>1688</v>
      </c>
      <c r="BO5687" s="55" t="s">
        <v>1688</v>
      </c>
      <c r="BV5687" s="55" t="s">
        <v>6757</v>
      </c>
      <c r="CH5687" s="90">
        <v>1.2</v>
      </c>
      <c r="CI5687" s="65">
        <v>1.25</v>
      </c>
      <c r="CJ5687" s="65">
        <v>0.03</v>
      </c>
      <c r="CK5687" s="65">
        <v>0.04</v>
      </c>
      <c r="GP5687" s="292" t="s">
        <v>7494</v>
      </c>
    </row>
    <row r="5688" spans="1:198" x14ac:dyDescent="0.25">
      <c r="A5688" s="55">
        <v>5687</v>
      </c>
      <c r="B5688" s="12" t="s">
        <v>7067</v>
      </c>
      <c r="C5688" s="155" t="s">
        <v>6747</v>
      </c>
      <c r="D5688" s="55" t="s">
        <v>6754</v>
      </c>
      <c r="E5688" s="90" t="s">
        <v>3373</v>
      </c>
      <c r="G5688" s="55" t="s">
        <v>6748</v>
      </c>
      <c r="H5688" s="55" t="s">
        <v>4353</v>
      </c>
      <c r="I5688" s="55" t="s">
        <v>6434</v>
      </c>
      <c r="J5688" s="55" t="s">
        <v>6749</v>
      </c>
      <c r="K5688" s="55" t="s">
        <v>6674</v>
      </c>
      <c r="L5688" s="55" t="s">
        <v>3377</v>
      </c>
      <c r="M5688" s="90">
        <f>47+21/60</f>
        <v>47.35</v>
      </c>
      <c r="N5688" s="90">
        <f>126+50/60</f>
        <v>126.83333333333333</v>
      </c>
      <c r="O5688" s="90">
        <v>210</v>
      </c>
      <c r="S5688" s="90" t="s">
        <v>6675</v>
      </c>
      <c r="U5688" s="55" t="s">
        <v>1935</v>
      </c>
      <c r="V5688" s="55" t="s">
        <v>1935</v>
      </c>
      <c r="Y5688" s="55" t="s">
        <v>200</v>
      </c>
      <c r="Z5688" s="55" t="s">
        <v>6753</v>
      </c>
      <c r="AA5688" s="90">
        <v>10</v>
      </c>
      <c r="AE5688" s="90">
        <v>31.6</v>
      </c>
      <c r="AF5688" s="90">
        <v>30.8</v>
      </c>
      <c r="AG5688" s="90">
        <v>37.6</v>
      </c>
      <c r="AH5688" s="55" t="s">
        <v>645</v>
      </c>
      <c r="AJ5688" s="90">
        <v>4.21</v>
      </c>
      <c r="AM5688" s="55" t="s">
        <v>6739</v>
      </c>
      <c r="AO5688" s="185" t="s">
        <v>7494</v>
      </c>
      <c r="AR5688" s="55" t="s">
        <v>132</v>
      </c>
      <c r="AS5688" s="55" t="s">
        <v>132</v>
      </c>
      <c r="AU5688" s="181" t="s">
        <v>7494</v>
      </c>
      <c r="AV5688" s="185" t="s">
        <v>176</v>
      </c>
      <c r="AX5688" s="185" t="s">
        <v>176</v>
      </c>
      <c r="BK5688" s="55" t="s">
        <v>2082</v>
      </c>
      <c r="BN5688" s="55" t="s">
        <v>1688</v>
      </c>
      <c r="BO5688" s="55" t="s">
        <v>1688</v>
      </c>
      <c r="BV5688" s="55" t="s">
        <v>6757</v>
      </c>
      <c r="CH5688" s="90">
        <v>1.22</v>
      </c>
      <c r="CI5688" s="65">
        <v>1.23</v>
      </c>
      <c r="CJ5688" s="65">
        <v>0.03</v>
      </c>
      <c r="CK5688" s="65">
        <v>0.04</v>
      </c>
      <c r="GP5688" s="292" t="s">
        <v>7494</v>
      </c>
    </row>
    <row r="5689" spans="1:198" x14ac:dyDescent="0.25">
      <c r="A5689" s="55">
        <v>5688</v>
      </c>
      <c r="B5689" s="12" t="s">
        <v>7067</v>
      </c>
      <c r="C5689" s="155" t="s">
        <v>6747</v>
      </c>
      <c r="D5689" s="55" t="s">
        <v>6754</v>
      </c>
      <c r="E5689" s="90" t="s">
        <v>3373</v>
      </c>
      <c r="G5689" s="55" t="s">
        <v>6748</v>
      </c>
      <c r="H5689" s="55" t="s">
        <v>4353</v>
      </c>
      <c r="I5689" s="55" t="s">
        <v>6434</v>
      </c>
      <c r="J5689" s="55" t="s">
        <v>6749</v>
      </c>
      <c r="K5689" s="55" t="s">
        <v>6674</v>
      </c>
      <c r="L5689" s="55" t="s">
        <v>3377</v>
      </c>
      <c r="M5689" s="90">
        <f>47+21/60</f>
        <v>47.35</v>
      </c>
      <c r="N5689" s="90">
        <f>126+50/60</f>
        <v>126.83333333333333</v>
      </c>
      <c r="O5689" s="90">
        <v>210</v>
      </c>
      <c r="S5689" s="90" t="s">
        <v>6675</v>
      </c>
      <c r="U5689" s="55" t="s">
        <v>1935</v>
      </c>
      <c r="V5689" s="55" t="s">
        <v>1935</v>
      </c>
      <c r="Y5689" s="55" t="s">
        <v>200</v>
      </c>
      <c r="Z5689" s="55" t="s">
        <v>6753</v>
      </c>
      <c r="AA5689" s="90">
        <v>10</v>
      </c>
      <c r="AE5689" s="90">
        <v>31.6</v>
      </c>
      <c r="AF5689" s="90">
        <v>30.8</v>
      </c>
      <c r="AG5689" s="90">
        <v>37.6</v>
      </c>
      <c r="AH5689" s="55" t="s">
        <v>645</v>
      </c>
      <c r="AJ5689" s="90">
        <v>4.21</v>
      </c>
      <c r="AM5689" s="55" t="s">
        <v>6739</v>
      </c>
      <c r="AO5689" s="185" t="s">
        <v>7494</v>
      </c>
      <c r="AR5689" s="55" t="s">
        <v>132</v>
      </c>
      <c r="AS5689" s="55" t="s">
        <v>132</v>
      </c>
      <c r="AU5689" s="181" t="s">
        <v>7494</v>
      </c>
      <c r="AV5689" s="185" t="s">
        <v>176</v>
      </c>
      <c r="AX5689" s="185" t="s">
        <v>176</v>
      </c>
      <c r="BK5689" s="55" t="s">
        <v>2082</v>
      </c>
      <c r="BN5689" s="55" t="s">
        <v>1688</v>
      </c>
      <c r="BO5689" s="55" t="s">
        <v>1688</v>
      </c>
      <c r="BV5689" s="55" t="s">
        <v>6757</v>
      </c>
      <c r="CH5689" s="90">
        <v>1.26</v>
      </c>
      <c r="CI5689" s="65">
        <v>1.21</v>
      </c>
      <c r="CJ5689" s="65">
        <v>0.03</v>
      </c>
      <c r="CK5689" s="65">
        <v>0.02</v>
      </c>
      <c r="GP5689" s="292" t="s">
        <v>7494</v>
      </c>
    </row>
    <row r="5690" spans="1:198" x14ac:dyDescent="0.25">
      <c r="A5690" s="55">
        <v>5689</v>
      </c>
      <c r="B5690" s="12" t="s">
        <v>7067</v>
      </c>
      <c r="C5690" s="155" t="s">
        <v>6747</v>
      </c>
      <c r="D5690" s="55" t="s">
        <v>6754</v>
      </c>
      <c r="E5690" s="90" t="s">
        <v>3373</v>
      </c>
      <c r="G5690" s="55" t="s">
        <v>6748</v>
      </c>
      <c r="H5690" s="55" t="s">
        <v>4353</v>
      </c>
      <c r="I5690" s="55" t="s">
        <v>6434</v>
      </c>
      <c r="J5690" s="55" t="s">
        <v>6749</v>
      </c>
      <c r="K5690" s="55" t="s">
        <v>6674</v>
      </c>
      <c r="L5690" s="55" t="s">
        <v>3377</v>
      </c>
      <c r="M5690" s="90">
        <f>47+21/60</f>
        <v>47.35</v>
      </c>
      <c r="N5690" s="90">
        <f>126+50/60</f>
        <v>126.83333333333333</v>
      </c>
      <c r="O5690" s="90">
        <v>210</v>
      </c>
      <c r="S5690" s="90" t="s">
        <v>6675</v>
      </c>
      <c r="U5690" s="55" t="s">
        <v>1935</v>
      </c>
      <c r="V5690" s="55" t="s">
        <v>1935</v>
      </c>
      <c r="Y5690" s="55" t="s">
        <v>572</v>
      </c>
      <c r="Z5690" s="55" t="s">
        <v>6605</v>
      </c>
      <c r="AA5690" s="90">
        <v>5</v>
      </c>
      <c r="AE5690" s="90">
        <v>31.6</v>
      </c>
      <c r="AF5690" s="90">
        <v>30.8</v>
      </c>
      <c r="AG5690" s="90">
        <v>37.6</v>
      </c>
      <c r="AH5690" s="55" t="s">
        <v>645</v>
      </c>
      <c r="AJ5690" s="90">
        <v>4.21</v>
      </c>
      <c r="AM5690" s="55" t="s">
        <v>6739</v>
      </c>
      <c r="AO5690" s="185" t="s">
        <v>7494</v>
      </c>
      <c r="AR5690" s="55" t="s">
        <v>132</v>
      </c>
      <c r="AS5690" s="55" t="s">
        <v>132</v>
      </c>
      <c r="AU5690" s="181" t="s">
        <v>7494</v>
      </c>
      <c r="AV5690" s="185" t="s">
        <v>176</v>
      </c>
      <c r="AX5690" s="185" t="s">
        <v>176</v>
      </c>
      <c r="BK5690" s="55" t="s">
        <v>4499</v>
      </c>
      <c r="BN5690" s="55" t="s">
        <v>1688</v>
      </c>
      <c r="BO5690" s="55" t="s">
        <v>1688</v>
      </c>
      <c r="BV5690" s="55" t="s">
        <v>6757</v>
      </c>
      <c r="CH5690" s="90">
        <v>1.17</v>
      </c>
      <c r="CI5690" s="65">
        <v>1.18</v>
      </c>
      <c r="CJ5690" s="65">
        <v>0.03</v>
      </c>
      <c r="CK5690" s="65">
        <v>0.03</v>
      </c>
      <c r="GP5690" s="292" t="s">
        <v>7494</v>
      </c>
    </row>
    <row r="5691" spans="1:198" x14ac:dyDescent="0.25">
      <c r="A5691" s="55">
        <v>5690</v>
      </c>
      <c r="B5691" s="12" t="s">
        <v>7067</v>
      </c>
      <c r="C5691" s="155" t="s">
        <v>6747</v>
      </c>
      <c r="D5691" s="55" t="s">
        <v>6754</v>
      </c>
      <c r="E5691" s="90" t="s">
        <v>3373</v>
      </c>
      <c r="G5691" s="55" t="s">
        <v>6748</v>
      </c>
      <c r="H5691" s="55" t="s">
        <v>4353</v>
      </c>
      <c r="I5691" s="55" t="s">
        <v>6434</v>
      </c>
      <c r="J5691" s="55" t="s">
        <v>6749</v>
      </c>
      <c r="K5691" s="55" t="s">
        <v>6674</v>
      </c>
      <c r="L5691" s="55" t="s">
        <v>3377</v>
      </c>
      <c r="M5691" s="90">
        <f>47+21/60</f>
        <v>47.35</v>
      </c>
      <c r="N5691" s="90">
        <f>126+50/60</f>
        <v>126.83333333333333</v>
      </c>
      <c r="O5691" s="90">
        <v>210</v>
      </c>
      <c r="S5691" s="90" t="s">
        <v>6675</v>
      </c>
      <c r="U5691" s="55" t="s">
        <v>1935</v>
      </c>
      <c r="V5691" s="55" t="s">
        <v>1935</v>
      </c>
      <c r="Y5691" s="55" t="s">
        <v>572</v>
      </c>
      <c r="Z5691" s="55" t="s">
        <v>6605</v>
      </c>
      <c r="AA5691" s="90">
        <v>5</v>
      </c>
      <c r="AE5691" s="90">
        <v>31.6</v>
      </c>
      <c r="AF5691" s="90">
        <v>30.8</v>
      </c>
      <c r="AG5691" s="90">
        <v>37.6</v>
      </c>
      <c r="AH5691" s="55" t="s">
        <v>645</v>
      </c>
      <c r="AJ5691" s="90">
        <v>4.21</v>
      </c>
      <c r="AM5691" s="55" t="s">
        <v>6739</v>
      </c>
      <c r="AO5691" s="185" t="s">
        <v>7494</v>
      </c>
      <c r="AR5691" s="55" t="s">
        <v>132</v>
      </c>
      <c r="AS5691" s="55" t="s">
        <v>132</v>
      </c>
      <c r="AU5691" s="181" t="s">
        <v>7494</v>
      </c>
      <c r="AV5691" s="185" t="s">
        <v>176</v>
      </c>
      <c r="AX5691" s="185" t="s">
        <v>176</v>
      </c>
      <c r="BK5691" s="55" t="s">
        <v>4499</v>
      </c>
      <c r="BN5691" s="55" t="s">
        <v>1688</v>
      </c>
      <c r="BO5691" s="55" t="s">
        <v>1688</v>
      </c>
      <c r="BV5691" s="55" t="s">
        <v>6757</v>
      </c>
      <c r="CH5691" s="90">
        <v>1.2</v>
      </c>
      <c r="CI5691" s="65">
        <v>1.1599999999999999</v>
      </c>
      <c r="CJ5691" s="65">
        <v>0.03</v>
      </c>
      <c r="CK5691" s="65">
        <v>0.03</v>
      </c>
      <c r="GP5691" s="292" t="s">
        <v>7494</v>
      </c>
    </row>
    <row r="5692" spans="1:198" x14ac:dyDescent="0.25">
      <c r="A5692" s="55">
        <v>5691</v>
      </c>
      <c r="B5692" s="12" t="s">
        <v>7067</v>
      </c>
      <c r="C5692" s="155" t="s">
        <v>6747</v>
      </c>
      <c r="D5692" s="55" t="s">
        <v>6754</v>
      </c>
      <c r="E5692" s="90" t="s">
        <v>3373</v>
      </c>
      <c r="G5692" s="55" t="s">
        <v>6748</v>
      </c>
      <c r="H5692" s="55" t="s">
        <v>4353</v>
      </c>
      <c r="I5692" s="55" t="s">
        <v>6434</v>
      </c>
      <c r="J5692" s="55" t="s">
        <v>6749</v>
      </c>
      <c r="K5692" s="55" t="s">
        <v>6674</v>
      </c>
      <c r="L5692" s="55" t="s">
        <v>3377</v>
      </c>
      <c r="M5692" s="90">
        <f>47+21/60</f>
        <v>47.35</v>
      </c>
      <c r="N5692" s="90">
        <f>126+50/60</f>
        <v>126.83333333333333</v>
      </c>
      <c r="O5692" s="90">
        <v>210</v>
      </c>
      <c r="S5692" s="90" t="s">
        <v>6675</v>
      </c>
      <c r="U5692" s="55" t="s">
        <v>1935</v>
      </c>
      <c r="V5692" s="55" t="s">
        <v>1935</v>
      </c>
      <c r="Y5692" s="55" t="s">
        <v>572</v>
      </c>
      <c r="Z5692" s="55" t="s">
        <v>6753</v>
      </c>
      <c r="AA5692" s="90">
        <v>10</v>
      </c>
      <c r="AE5692" s="90">
        <v>31.6</v>
      </c>
      <c r="AF5692" s="90">
        <v>30.8</v>
      </c>
      <c r="AG5692" s="90">
        <v>37.6</v>
      </c>
      <c r="AH5692" s="55" t="s">
        <v>645</v>
      </c>
      <c r="AJ5692" s="90">
        <v>4.21</v>
      </c>
      <c r="AM5692" s="55" t="s">
        <v>6739</v>
      </c>
      <c r="AO5692" s="185" t="s">
        <v>7494</v>
      </c>
      <c r="AR5692" s="55" t="s">
        <v>132</v>
      </c>
      <c r="AS5692" s="55" t="s">
        <v>132</v>
      </c>
      <c r="AU5692" s="181" t="s">
        <v>7494</v>
      </c>
      <c r="AV5692" s="185" t="s">
        <v>176</v>
      </c>
      <c r="AX5692" s="185" t="s">
        <v>176</v>
      </c>
      <c r="BK5692" s="55" t="s">
        <v>4499</v>
      </c>
      <c r="BN5692" s="55" t="s">
        <v>1688</v>
      </c>
      <c r="BO5692" s="55" t="s">
        <v>1688</v>
      </c>
      <c r="BV5692" s="55" t="s">
        <v>6757</v>
      </c>
      <c r="CH5692" s="90">
        <v>1.22</v>
      </c>
      <c r="CI5692" s="65">
        <v>1.1200000000000001</v>
      </c>
      <c r="CJ5692" s="65">
        <v>0.03</v>
      </c>
      <c r="CK5692" s="65">
        <v>0.06</v>
      </c>
      <c r="GP5692" s="292" t="s">
        <v>7494</v>
      </c>
    </row>
    <row r="5693" spans="1:198" x14ac:dyDescent="0.25">
      <c r="A5693" s="55">
        <v>5692</v>
      </c>
      <c r="B5693" s="12" t="s">
        <v>7067</v>
      </c>
      <c r="C5693" s="155" t="s">
        <v>6747</v>
      </c>
      <c r="D5693" s="55" t="s">
        <v>6754</v>
      </c>
      <c r="E5693" s="90" t="s">
        <v>3373</v>
      </c>
      <c r="G5693" s="55" t="s">
        <v>6748</v>
      </c>
      <c r="H5693" s="55" t="s">
        <v>4353</v>
      </c>
      <c r="I5693" s="55" t="s">
        <v>6434</v>
      </c>
      <c r="J5693" s="55" t="s">
        <v>6749</v>
      </c>
      <c r="K5693" s="55" t="s">
        <v>6674</v>
      </c>
      <c r="L5693" s="55" t="s">
        <v>3377</v>
      </c>
      <c r="M5693" s="90">
        <f>47+21/60</f>
        <v>47.35</v>
      </c>
      <c r="N5693" s="90">
        <f>126+50/60</f>
        <v>126.83333333333333</v>
      </c>
      <c r="O5693" s="90">
        <v>210</v>
      </c>
      <c r="S5693" s="90" t="s">
        <v>6675</v>
      </c>
      <c r="U5693" s="55" t="s">
        <v>1935</v>
      </c>
      <c r="V5693" s="55" t="s">
        <v>1935</v>
      </c>
      <c r="Y5693" s="55" t="s">
        <v>572</v>
      </c>
      <c r="Z5693" s="55" t="s">
        <v>6753</v>
      </c>
      <c r="AA5693" s="90">
        <v>10</v>
      </c>
      <c r="AE5693" s="90">
        <v>31.6</v>
      </c>
      <c r="AF5693" s="90">
        <v>30.8</v>
      </c>
      <c r="AG5693" s="90">
        <v>37.6</v>
      </c>
      <c r="AH5693" s="55" t="s">
        <v>645</v>
      </c>
      <c r="AJ5693" s="90">
        <v>4.21</v>
      </c>
      <c r="AM5693" s="55" t="s">
        <v>6739</v>
      </c>
      <c r="AO5693" s="185" t="s">
        <v>7494</v>
      </c>
      <c r="AR5693" s="55" t="s">
        <v>132</v>
      </c>
      <c r="AS5693" s="55" t="s">
        <v>132</v>
      </c>
      <c r="AU5693" s="181" t="s">
        <v>7494</v>
      </c>
      <c r="AV5693" s="185" t="s">
        <v>176</v>
      </c>
      <c r="AX5693" s="185" t="s">
        <v>176</v>
      </c>
      <c r="BK5693" s="55" t="s">
        <v>4499</v>
      </c>
      <c r="BN5693" s="55" t="s">
        <v>1688</v>
      </c>
      <c r="BO5693" s="55" t="s">
        <v>1688</v>
      </c>
      <c r="BV5693" s="55" t="s">
        <v>6757</v>
      </c>
      <c r="CH5693" s="90">
        <v>1.26</v>
      </c>
      <c r="CI5693" s="65">
        <v>1.25</v>
      </c>
      <c r="CJ5693" s="65">
        <v>0.03</v>
      </c>
      <c r="CK5693" s="65">
        <v>0.02</v>
      </c>
      <c r="GP5693" s="292" t="s">
        <v>7494</v>
      </c>
    </row>
    <row r="5694" spans="1:198" x14ac:dyDescent="0.25">
      <c r="A5694" s="55">
        <v>5693</v>
      </c>
      <c r="B5694" s="12" t="s">
        <v>7067</v>
      </c>
      <c r="C5694" s="155" t="s">
        <v>6747</v>
      </c>
      <c r="D5694" s="55" t="s">
        <v>6755</v>
      </c>
      <c r="E5694" s="90" t="s">
        <v>3373</v>
      </c>
      <c r="G5694" s="55" t="s">
        <v>6748</v>
      </c>
      <c r="H5694" s="55" t="s">
        <v>4353</v>
      </c>
      <c r="I5694" s="55" t="s">
        <v>6434</v>
      </c>
      <c r="J5694" s="55" t="s">
        <v>6749</v>
      </c>
      <c r="K5694" s="55" t="s">
        <v>6674</v>
      </c>
      <c r="L5694" s="55" t="s">
        <v>3377</v>
      </c>
      <c r="M5694" s="90">
        <f>47+21/60</f>
        <v>47.35</v>
      </c>
      <c r="N5694" s="90">
        <f>126+50/60</f>
        <v>126.83333333333333</v>
      </c>
      <c r="O5694" s="90">
        <v>210</v>
      </c>
      <c r="S5694" s="90" t="s">
        <v>6675</v>
      </c>
      <c r="U5694" s="55" t="s">
        <v>1935</v>
      </c>
      <c r="V5694" s="55" t="s">
        <v>1935</v>
      </c>
      <c r="Y5694" s="55" t="s">
        <v>857</v>
      </c>
      <c r="Z5694" s="55" t="s">
        <v>6605</v>
      </c>
      <c r="AA5694" s="90">
        <v>5</v>
      </c>
      <c r="AE5694" s="90">
        <v>31.6</v>
      </c>
      <c r="AF5694" s="90">
        <v>30.8</v>
      </c>
      <c r="AG5694" s="90">
        <v>37.6</v>
      </c>
      <c r="AH5694" s="55" t="s">
        <v>645</v>
      </c>
      <c r="AJ5694" s="90">
        <v>4.21</v>
      </c>
      <c r="AM5694" s="55" t="s">
        <v>6739</v>
      </c>
      <c r="AO5694" s="185" t="s">
        <v>7494</v>
      </c>
      <c r="AR5694" s="55" t="s">
        <v>132</v>
      </c>
      <c r="AS5694" s="55" t="s">
        <v>132</v>
      </c>
      <c r="AU5694" s="181" t="s">
        <v>7494</v>
      </c>
      <c r="AV5694" s="185" t="s">
        <v>176</v>
      </c>
      <c r="AX5694" s="185" t="s">
        <v>176</v>
      </c>
      <c r="BK5694" s="55" t="s">
        <v>2082</v>
      </c>
      <c r="BN5694" s="55" t="s">
        <v>1688</v>
      </c>
      <c r="BO5694" s="55" t="s">
        <v>1688</v>
      </c>
      <c r="BV5694" s="55" t="s">
        <v>6757</v>
      </c>
      <c r="CH5694" s="90">
        <v>1.32</v>
      </c>
      <c r="CI5694" s="65">
        <v>1.24</v>
      </c>
      <c r="CJ5694" s="65">
        <v>0.1</v>
      </c>
      <c r="CK5694" s="65">
        <v>0.03</v>
      </c>
      <c r="GP5694" s="292" t="s">
        <v>7494</v>
      </c>
    </row>
    <row r="5695" spans="1:198" x14ac:dyDescent="0.25">
      <c r="A5695" s="55">
        <v>5694</v>
      </c>
      <c r="B5695" s="12" t="s">
        <v>7067</v>
      </c>
      <c r="C5695" s="155" t="s">
        <v>6747</v>
      </c>
      <c r="D5695" s="55" t="s">
        <v>6755</v>
      </c>
      <c r="E5695" s="90" t="s">
        <v>3373</v>
      </c>
      <c r="G5695" s="55" t="s">
        <v>6748</v>
      </c>
      <c r="H5695" s="55" t="s">
        <v>4353</v>
      </c>
      <c r="I5695" s="55" t="s">
        <v>6434</v>
      </c>
      <c r="J5695" s="55" t="s">
        <v>6749</v>
      </c>
      <c r="K5695" s="55" t="s">
        <v>6674</v>
      </c>
      <c r="L5695" s="55" t="s">
        <v>3377</v>
      </c>
      <c r="M5695" s="90">
        <f>47+21/60</f>
        <v>47.35</v>
      </c>
      <c r="N5695" s="90">
        <f>126+50/60</f>
        <v>126.83333333333333</v>
      </c>
      <c r="O5695" s="90">
        <v>210</v>
      </c>
      <c r="S5695" s="90" t="s">
        <v>6675</v>
      </c>
      <c r="U5695" s="55" t="s">
        <v>1935</v>
      </c>
      <c r="V5695" s="55" t="s">
        <v>1935</v>
      </c>
      <c r="Y5695" s="55" t="s">
        <v>857</v>
      </c>
      <c r="Z5695" s="55" t="s">
        <v>6605</v>
      </c>
      <c r="AA5695" s="90">
        <v>5</v>
      </c>
      <c r="AE5695" s="90">
        <v>31.6</v>
      </c>
      <c r="AF5695" s="90">
        <v>30.8</v>
      </c>
      <c r="AG5695" s="90">
        <v>37.6</v>
      </c>
      <c r="AH5695" s="55" t="s">
        <v>645</v>
      </c>
      <c r="AJ5695" s="90">
        <v>4.21</v>
      </c>
      <c r="AM5695" s="55" t="s">
        <v>6739</v>
      </c>
      <c r="AO5695" s="185" t="s">
        <v>7494</v>
      </c>
      <c r="AR5695" s="55" t="s">
        <v>132</v>
      </c>
      <c r="AS5695" s="55" t="s">
        <v>132</v>
      </c>
      <c r="AU5695" s="181" t="s">
        <v>7494</v>
      </c>
      <c r="AV5695" s="185" t="s">
        <v>176</v>
      </c>
      <c r="AX5695" s="185" t="s">
        <v>176</v>
      </c>
      <c r="BK5695" s="55" t="s">
        <v>2082</v>
      </c>
      <c r="BN5695" s="55" t="s">
        <v>1688</v>
      </c>
      <c r="BO5695" s="55" t="s">
        <v>1688</v>
      </c>
      <c r="BV5695" s="55" t="s">
        <v>6757</v>
      </c>
      <c r="CH5695" s="90">
        <v>1.33</v>
      </c>
      <c r="CI5695" s="65">
        <v>1.3</v>
      </c>
      <c r="CJ5695" s="65">
        <v>0.1</v>
      </c>
      <c r="CK5695" s="65">
        <v>0.03</v>
      </c>
      <c r="GP5695" s="292" t="s">
        <v>7494</v>
      </c>
    </row>
    <row r="5696" spans="1:198" x14ac:dyDescent="0.25">
      <c r="A5696" s="55">
        <v>5695</v>
      </c>
      <c r="B5696" s="12" t="s">
        <v>7067</v>
      </c>
      <c r="C5696" s="155" t="s">
        <v>6747</v>
      </c>
      <c r="D5696" s="55" t="s">
        <v>6755</v>
      </c>
      <c r="E5696" s="90" t="s">
        <v>3373</v>
      </c>
      <c r="G5696" s="55" t="s">
        <v>6748</v>
      </c>
      <c r="H5696" s="55" t="s">
        <v>4353</v>
      </c>
      <c r="I5696" s="55" t="s">
        <v>6434</v>
      </c>
      <c r="J5696" s="55" t="s">
        <v>6749</v>
      </c>
      <c r="K5696" s="55" t="s">
        <v>6674</v>
      </c>
      <c r="L5696" s="55" t="s">
        <v>3377</v>
      </c>
      <c r="M5696" s="90">
        <f>47+21/60</f>
        <v>47.35</v>
      </c>
      <c r="N5696" s="90">
        <f>126+50/60</f>
        <v>126.83333333333333</v>
      </c>
      <c r="O5696" s="90">
        <v>210</v>
      </c>
      <c r="S5696" s="90" t="s">
        <v>6675</v>
      </c>
      <c r="U5696" s="55" t="s">
        <v>1935</v>
      </c>
      <c r="V5696" s="55" t="s">
        <v>1935</v>
      </c>
      <c r="Y5696" s="55" t="s">
        <v>857</v>
      </c>
      <c r="Z5696" s="55" t="s">
        <v>6753</v>
      </c>
      <c r="AA5696" s="90">
        <v>10</v>
      </c>
      <c r="AE5696" s="90">
        <v>31.6</v>
      </c>
      <c r="AF5696" s="90">
        <v>30.8</v>
      </c>
      <c r="AG5696" s="90">
        <v>37.6</v>
      </c>
      <c r="AH5696" s="55" t="s">
        <v>645</v>
      </c>
      <c r="AJ5696" s="90">
        <v>4.21</v>
      </c>
      <c r="AM5696" s="55" t="s">
        <v>6739</v>
      </c>
      <c r="AO5696" s="185" t="s">
        <v>7494</v>
      </c>
      <c r="AR5696" s="55" t="s">
        <v>132</v>
      </c>
      <c r="AS5696" s="55" t="s">
        <v>132</v>
      </c>
      <c r="AU5696" s="181" t="s">
        <v>7494</v>
      </c>
      <c r="AV5696" s="185" t="s">
        <v>176</v>
      </c>
      <c r="AX5696" s="185" t="s">
        <v>176</v>
      </c>
      <c r="BK5696" s="55" t="s">
        <v>2082</v>
      </c>
      <c r="BN5696" s="55" t="s">
        <v>1688</v>
      </c>
      <c r="BO5696" s="55" t="s">
        <v>1688</v>
      </c>
      <c r="BV5696" s="55" t="s">
        <v>6757</v>
      </c>
      <c r="CH5696" s="90">
        <v>1.31</v>
      </c>
      <c r="CI5696" s="65">
        <v>1.29</v>
      </c>
      <c r="CJ5696" s="65">
        <v>0.05</v>
      </c>
      <c r="CK5696" s="65">
        <v>0.03</v>
      </c>
      <c r="GP5696" s="292" t="s">
        <v>7494</v>
      </c>
    </row>
    <row r="5697" spans="1:281" x14ac:dyDescent="0.25">
      <c r="A5697" s="55">
        <v>5696</v>
      </c>
      <c r="B5697" s="12" t="s">
        <v>7067</v>
      </c>
      <c r="C5697" s="155" t="s">
        <v>6747</v>
      </c>
      <c r="D5697" s="55" t="s">
        <v>6755</v>
      </c>
      <c r="E5697" s="90" t="s">
        <v>3373</v>
      </c>
      <c r="G5697" s="55" t="s">
        <v>6748</v>
      </c>
      <c r="H5697" s="55" t="s">
        <v>4353</v>
      </c>
      <c r="I5697" s="55" t="s">
        <v>6434</v>
      </c>
      <c r="J5697" s="55" t="s">
        <v>6749</v>
      </c>
      <c r="K5697" s="55" t="s">
        <v>6674</v>
      </c>
      <c r="L5697" s="55" t="s">
        <v>3377</v>
      </c>
      <c r="M5697" s="90">
        <f>47+21/60</f>
        <v>47.35</v>
      </c>
      <c r="N5697" s="90">
        <f>126+50/60</f>
        <v>126.83333333333333</v>
      </c>
      <c r="O5697" s="90">
        <v>210</v>
      </c>
      <c r="S5697" s="90" t="s">
        <v>6675</v>
      </c>
      <c r="U5697" s="55" t="s">
        <v>1935</v>
      </c>
      <c r="V5697" s="55" t="s">
        <v>1935</v>
      </c>
      <c r="Y5697" s="55" t="s">
        <v>857</v>
      </c>
      <c r="Z5697" s="55" t="s">
        <v>6753</v>
      </c>
      <c r="AA5697" s="90">
        <v>10</v>
      </c>
      <c r="AE5697" s="90">
        <v>31.6</v>
      </c>
      <c r="AF5697" s="90">
        <v>30.8</v>
      </c>
      <c r="AG5697" s="90">
        <v>37.6</v>
      </c>
      <c r="AH5697" s="55" t="s">
        <v>645</v>
      </c>
      <c r="AJ5697" s="90">
        <v>4.21</v>
      </c>
      <c r="AM5697" s="55" t="s">
        <v>6739</v>
      </c>
      <c r="AO5697" s="185" t="s">
        <v>7494</v>
      </c>
      <c r="AR5697" s="55" t="s">
        <v>132</v>
      </c>
      <c r="AS5697" s="55" t="s">
        <v>132</v>
      </c>
      <c r="AU5697" s="181" t="s">
        <v>7494</v>
      </c>
      <c r="AV5697" s="185" t="s">
        <v>176</v>
      </c>
      <c r="AX5697" s="185" t="s">
        <v>176</v>
      </c>
      <c r="BK5697" s="55" t="s">
        <v>2082</v>
      </c>
      <c r="BN5697" s="55" t="s">
        <v>1688</v>
      </c>
      <c r="BO5697" s="55" t="s">
        <v>1688</v>
      </c>
      <c r="BV5697" s="55" t="s">
        <v>6757</v>
      </c>
      <c r="CH5697" s="90">
        <v>1.33</v>
      </c>
      <c r="CI5697" s="65">
        <v>1.3</v>
      </c>
      <c r="CJ5697" s="65">
        <v>0.05</v>
      </c>
      <c r="CK5697" s="65">
        <v>7.0000000000000007E-2</v>
      </c>
      <c r="GP5697" s="292" t="s">
        <v>7494</v>
      </c>
    </row>
    <row r="5698" spans="1:281" x14ac:dyDescent="0.25">
      <c r="A5698" s="55">
        <v>5697</v>
      </c>
      <c r="B5698" s="12" t="s">
        <v>7067</v>
      </c>
      <c r="C5698" s="155" t="s">
        <v>6747</v>
      </c>
      <c r="D5698" s="55" t="s">
        <v>6755</v>
      </c>
      <c r="E5698" s="90" t="s">
        <v>3373</v>
      </c>
      <c r="G5698" s="55" t="s">
        <v>6748</v>
      </c>
      <c r="H5698" s="55" t="s">
        <v>4353</v>
      </c>
      <c r="I5698" s="55" t="s">
        <v>6434</v>
      </c>
      <c r="J5698" s="55" t="s">
        <v>6749</v>
      </c>
      <c r="K5698" s="55" t="s">
        <v>6674</v>
      </c>
      <c r="L5698" s="55" t="s">
        <v>3377</v>
      </c>
      <c r="M5698" s="90">
        <f>47+21/60</f>
        <v>47.35</v>
      </c>
      <c r="N5698" s="90">
        <f>126+50/60</f>
        <v>126.83333333333333</v>
      </c>
      <c r="O5698" s="90">
        <v>210</v>
      </c>
      <c r="S5698" s="90" t="s">
        <v>6675</v>
      </c>
      <c r="U5698" s="55" t="s">
        <v>1935</v>
      </c>
      <c r="V5698" s="55" t="s">
        <v>1935</v>
      </c>
      <c r="Y5698" s="55" t="s">
        <v>856</v>
      </c>
      <c r="Z5698" s="55" t="s">
        <v>6605</v>
      </c>
      <c r="AA5698" s="90">
        <v>5</v>
      </c>
      <c r="AE5698" s="90">
        <v>31.6</v>
      </c>
      <c r="AF5698" s="90">
        <v>30.8</v>
      </c>
      <c r="AG5698" s="90">
        <v>37.6</v>
      </c>
      <c r="AH5698" s="55" t="s">
        <v>645</v>
      </c>
      <c r="AJ5698" s="90">
        <v>4.21</v>
      </c>
      <c r="AM5698" s="55" t="s">
        <v>6739</v>
      </c>
      <c r="AO5698" s="185" t="s">
        <v>7494</v>
      </c>
      <c r="AR5698" s="55" t="s">
        <v>132</v>
      </c>
      <c r="AS5698" s="55" t="s">
        <v>132</v>
      </c>
      <c r="AU5698" s="181" t="s">
        <v>7494</v>
      </c>
      <c r="AV5698" s="185" t="s">
        <v>176</v>
      </c>
      <c r="AX5698" s="185" t="s">
        <v>176</v>
      </c>
      <c r="BK5698" s="55" t="s">
        <v>4499</v>
      </c>
      <c r="BN5698" s="55" t="s">
        <v>1688</v>
      </c>
      <c r="BO5698" s="55" t="s">
        <v>1688</v>
      </c>
      <c r="BV5698" s="55" t="s">
        <v>6757</v>
      </c>
      <c r="CH5698" s="90">
        <v>1.32</v>
      </c>
      <c r="CI5698" s="65">
        <v>1.21</v>
      </c>
      <c r="CJ5698" s="65">
        <v>0.05</v>
      </c>
      <c r="CK5698" s="65">
        <v>0.05</v>
      </c>
      <c r="GP5698" s="292" t="s">
        <v>7494</v>
      </c>
    </row>
    <row r="5699" spans="1:281" x14ac:dyDescent="0.25">
      <c r="A5699" s="55">
        <v>5698</v>
      </c>
      <c r="B5699" s="12" t="s">
        <v>7067</v>
      </c>
      <c r="C5699" s="155" t="s">
        <v>6747</v>
      </c>
      <c r="D5699" s="55" t="s">
        <v>6755</v>
      </c>
      <c r="E5699" s="90" t="s">
        <v>3373</v>
      </c>
      <c r="G5699" s="55" t="s">
        <v>6748</v>
      </c>
      <c r="H5699" s="55" t="s">
        <v>4353</v>
      </c>
      <c r="I5699" s="55" t="s">
        <v>6434</v>
      </c>
      <c r="J5699" s="55" t="s">
        <v>6749</v>
      </c>
      <c r="K5699" s="55" t="s">
        <v>6674</v>
      </c>
      <c r="L5699" s="55" t="s">
        <v>3377</v>
      </c>
      <c r="M5699" s="90">
        <f>47+21/60</f>
        <v>47.35</v>
      </c>
      <c r="N5699" s="90">
        <f>126+50/60</f>
        <v>126.83333333333333</v>
      </c>
      <c r="O5699" s="90">
        <v>210</v>
      </c>
      <c r="S5699" s="90" t="s">
        <v>6675</v>
      </c>
      <c r="U5699" s="55" t="s">
        <v>1935</v>
      </c>
      <c r="V5699" s="55" t="s">
        <v>1935</v>
      </c>
      <c r="Y5699" s="55" t="s">
        <v>856</v>
      </c>
      <c r="Z5699" s="55" t="s">
        <v>6605</v>
      </c>
      <c r="AA5699" s="90">
        <v>5</v>
      </c>
      <c r="AE5699" s="90">
        <v>31.6</v>
      </c>
      <c r="AF5699" s="90">
        <v>30.8</v>
      </c>
      <c r="AG5699" s="90">
        <v>37.6</v>
      </c>
      <c r="AH5699" s="55" t="s">
        <v>645</v>
      </c>
      <c r="AJ5699" s="90">
        <v>4.21</v>
      </c>
      <c r="AM5699" s="55" t="s">
        <v>6739</v>
      </c>
      <c r="AO5699" s="185" t="s">
        <v>7494</v>
      </c>
      <c r="AR5699" s="55" t="s">
        <v>132</v>
      </c>
      <c r="AS5699" s="55" t="s">
        <v>132</v>
      </c>
      <c r="AU5699" s="181" t="s">
        <v>7494</v>
      </c>
      <c r="AV5699" s="185" t="s">
        <v>176</v>
      </c>
      <c r="AX5699" s="185" t="s">
        <v>176</v>
      </c>
      <c r="BK5699" s="55" t="s">
        <v>4499</v>
      </c>
      <c r="BN5699" s="55" t="s">
        <v>1688</v>
      </c>
      <c r="BO5699" s="55" t="s">
        <v>1688</v>
      </c>
      <c r="BV5699" s="55" t="s">
        <v>6757</v>
      </c>
      <c r="CH5699" s="90">
        <v>1.33</v>
      </c>
      <c r="CI5699" s="65">
        <v>1.24</v>
      </c>
      <c r="CJ5699" s="65">
        <v>0.05</v>
      </c>
      <c r="CK5699" s="65">
        <v>0.05</v>
      </c>
      <c r="GP5699" s="292" t="s">
        <v>7494</v>
      </c>
    </row>
    <row r="5700" spans="1:281" x14ac:dyDescent="0.25">
      <c r="A5700" s="55">
        <v>5699</v>
      </c>
      <c r="B5700" s="12" t="s">
        <v>7067</v>
      </c>
      <c r="C5700" s="155" t="s">
        <v>6747</v>
      </c>
      <c r="D5700" s="55" t="s">
        <v>6755</v>
      </c>
      <c r="E5700" s="90" t="s">
        <v>3373</v>
      </c>
      <c r="G5700" s="55" t="s">
        <v>6748</v>
      </c>
      <c r="H5700" s="55" t="s">
        <v>4353</v>
      </c>
      <c r="I5700" s="55" t="s">
        <v>6434</v>
      </c>
      <c r="J5700" s="55" t="s">
        <v>6749</v>
      </c>
      <c r="K5700" s="55" t="s">
        <v>6674</v>
      </c>
      <c r="L5700" s="55" t="s">
        <v>3377</v>
      </c>
      <c r="M5700" s="90">
        <f>47+21/60</f>
        <v>47.35</v>
      </c>
      <c r="N5700" s="90">
        <f>126+50/60</f>
        <v>126.83333333333333</v>
      </c>
      <c r="O5700" s="90">
        <v>210</v>
      </c>
      <c r="S5700" s="90" t="s">
        <v>6675</v>
      </c>
      <c r="U5700" s="55" t="s">
        <v>1935</v>
      </c>
      <c r="V5700" s="55" t="s">
        <v>1935</v>
      </c>
      <c r="Y5700" s="55" t="s">
        <v>856</v>
      </c>
      <c r="Z5700" s="55" t="s">
        <v>6753</v>
      </c>
      <c r="AA5700" s="90">
        <v>10</v>
      </c>
      <c r="AE5700" s="90">
        <v>31.6</v>
      </c>
      <c r="AF5700" s="90">
        <v>30.8</v>
      </c>
      <c r="AG5700" s="90">
        <v>37.6</v>
      </c>
      <c r="AH5700" s="55" t="s">
        <v>645</v>
      </c>
      <c r="AJ5700" s="90">
        <v>4.21</v>
      </c>
      <c r="AM5700" s="55" t="s">
        <v>6739</v>
      </c>
      <c r="AO5700" s="185" t="s">
        <v>7494</v>
      </c>
      <c r="AR5700" s="55" t="s">
        <v>132</v>
      </c>
      <c r="AS5700" s="55" t="s">
        <v>132</v>
      </c>
      <c r="AU5700" s="181" t="s">
        <v>7494</v>
      </c>
      <c r="AV5700" s="185" t="s">
        <v>176</v>
      </c>
      <c r="AX5700" s="185" t="s">
        <v>176</v>
      </c>
      <c r="BK5700" s="55" t="s">
        <v>4499</v>
      </c>
      <c r="BN5700" s="55" t="s">
        <v>1688</v>
      </c>
      <c r="BO5700" s="55" t="s">
        <v>1688</v>
      </c>
      <c r="BV5700" s="55" t="s">
        <v>6757</v>
      </c>
      <c r="CH5700" s="90">
        <v>1.31</v>
      </c>
      <c r="CI5700" s="65">
        <v>1.1399999999999999</v>
      </c>
      <c r="CJ5700" s="65">
        <v>0.05</v>
      </c>
      <c r="CK5700" s="65">
        <v>0.05</v>
      </c>
      <c r="GP5700" s="292" t="s">
        <v>7494</v>
      </c>
    </row>
    <row r="5701" spans="1:281" x14ac:dyDescent="0.25">
      <c r="A5701" s="55">
        <v>5700</v>
      </c>
      <c r="B5701" s="12" t="s">
        <v>7067</v>
      </c>
      <c r="C5701" s="155" t="s">
        <v>6747</v>
      </c>
      <c r="D5701" s="55" t="s">
        <v>6755</v>
      </c>
      <c r="E5701" s="90" t="s">
        <v>3373</v>
      </c>
      <c r="G5701" s="55" t="s">
        <v>6748</v>
      </c>
      <c r="H5701" s="55" t="s">
        <v>4353</v>
      </c>
      <c r="I5701" s="55" t="s">
        <v>6434</v>
      </c>
      <c r="J5701" s="55" t="s">
        <v>6749</v>
      </c>
      <c r="K5701" s="55" t="s">
        <v>6674</v>
      </c>
      <c r="L5701" s="55" t="s">
        <v>3377</v>
      </c>
      <c r="M5701" s="90">
        <f>47+21/60</f>
        <v>47.35</v>
      </c>
      <c r="N5701" s="90">
        <f>126+50/60</f>
        <v>126.83333333333333</v>
      </c>
      <c r="O5701" s="90">
        <v>210</v>
      </c>
      <c r="S5701" s="90" t="s">
        <v>6675</v>
      </c>
      <c r="U5701" s="55" t="s">
        <v>1935</v>
      </c>
      <c r="V5701" s="55" t="s">
        <v>1935</v>
      </c>
      <c r="Y5701" s="55" t="s">
        <v>856</v>
      </c>
      <c r="Z5701" s="55" t="s">
        <v>6753</v>
      </c>
      <c r="AA5701" s="90">
        <v>10</v>
      </c>
      <c r="AE5701" s="90">
        <v>31.6</v>
      </c>
      <c r="AF5701" s="90">
        <v>30.8</v>
      </c>
      <c r="AG5701" s="90">
        <v>37.6</v>
      </c>
      <c r="AH5701" s="55" t="s">
        <v>645</v>
      </c>
      <c r="AJ5701" s="90">
        <v>4.21</v>
      </c>
      <c r="AM5701" s="55" t="s">
        <v>6739</v>
      </c>
      <c r="AO5701" s="185" t="s">
        <v>7494</v>
      </c>
      <c r="AR5701" s="55" t="s">
        <v>132</v>
      </c>
      <c r="AS5701" s="55" t="s">
        <v>132</v>
      </c>
      <c r="AU5701" s="181" t="s">
        <v>7494</v>
      </c>
      <c r="AV5701" s="185" t="s">
        <v>176</v>
      </c>
      <c r="AX5701" s="185" t="s">
        <v>176</v>
      </c>
      <c r="BK5701" s="55" t="s">
        <v>4499</v>
      </c>
      <c r="BN5701" s="55" t="s">
        <v>1688</v>
      </c>
      <c r="BO5701" s="55" t="s">
        <v>1688</v>
      </c>
      <c r="BV5701" s="55" t="s">
        <v>6757</v>
      </c>
      <c r="CH5701" s="90">
        <v>1.33</v>
      </c>
      <c r="CI5701" s="65">
        <v>1.28</v>
      </c>
      <c r="CJ5701" s="65">
        <v>0.05</v>
      </c>
      <c r="CK5701" s="65">
        <v>0.05</v>
      </c>
      <c r="GP5701" s="292" t="s">
        <v>7494</v>
      </c>
    </row>
    <row r="5702" spans="1:281" x14ac:dyDescent="0.25">
      <c r="A5702" s="55">
        <v>5701</v>
      </c>
      <c r="B5702" s="12" t="s">
        <v>7067</v>
      </c>
      <c r="C5702" s="155" t="s">
        <v>6760</v>
      </c>
      <c r="D5702" s="55" t="s">
        <v>6764</v>
      </c>
      <c r="E5702" s="90" t="s">
        <v>3565</v>
      </c>
      <c r="G5702" s="55" t="s">
        <v>6761</v>
      </c>
      <c r="H5702" s="55" t="s">
        <v>2905</v>
      </c>
      <c r="J5702" s="55" t="s">
        <v>6762</v>
      </c>
      <c r="K5702" s="55" t="s">
        <v>6763</v>
      </c>
      <c r="L5702" s="55" t="s">
        <v>3377</v>
      </c>
      <c r="U5702" s="55" t="s">
        <v>1935</v>
      </c>
      <c r="V5702" s="55" t="s">
        <v>1935</v>
      </c>
      <c r="AO5702" s="185" t="s">
        <v>7494</v>
      </c>
      <c r="AU5702" s="181" t="s">
        <v>7494</v>
      </c>
      <c r="AV5702" s="185" t="s">
        <v>176</v>
      </c>
      <c r="AX5702" s="185" t="s">
        <v>176</v>
      </c>
      <c r="BK5702" s="55" t="s">
        <v>2082</v>
      </c>
      <c r="EK5702" s="90">
        <v>8.15</v>
      </c>
      <c r="EL5702" s="90">
        <v>9.08</v>
      </c>
      <c r="GP5702" s="292" t="s">
        <v>7494</v>
      </c>
    </row>
    <row r="5703" spans="1:281" x14ac:dyDescent="0.25">
      <c r="A5703" s="55">
        <v>5702</v>
      </c>
      <c r="B5703" s="12" t="s">
        <v>7067</v>
      </c>
      <c r="C5703" s="155" t="s">
        <v>6760</v>
      </c>
      <c r="D5703" s="55" t="s">
        <v>6765</v>
      </c>
      <c r="E5703" s="90" t="s">
        <v>3565</v>
      </c>
      <c r="G5703" s="55" t="s">
        <v>6761</v>
      </c>
      <c r="H5703" s="55" t="s">
        <v>2905</v>
      </c>
      <c r="J5703" s="55" t="s">
        <v>6762</v>
      </c>
      <c r="K5703" s="55" t="s">
        <v>6763</v>
      </c>
      <c r="L5703" s="55" t="s">
        <v>3377</v>
      </c>
      <c r="U5703" s="55" t="s">
        <v>1935</v>
      </c>
      <c r="V5703" s="55" t="s">
        <v>1935</v>
      </c>
      <c r="AO5703" s="185" t="s">
        <v>7494</v>
      </c>
      <c r="AU5703" s="181" t="s">
        <v>7494</v>
      </c>
      <c r="AV5703" s="185" t="s">
        <v>176</v>
      </c>
      <c r="AX5703" s="185" t="s">
        <v>176</v>
      </c>
      <c r="BK5703" s="55" t="s">
        <v>2082</v>
      </c>
      <c r="EK5703" s="90">
        <v>5.5</v>
      </c>
      <c r="EL5703" s="90">
        <v>13.04</v>
      </c>
      <c r="GP5703" s="292" t="s">
        <v>7494</v>
      </c>
    </row>
    <row r="5704" spans="1:281" x14ac:dyDescent="0.25">
      <c r="A5704" s="55">
        <v>5703</v>
      </c>
      <c r="B5704" s="12" t="s">
        <v>7067</v>
      </c>
      <c r="C5704" s="155" t="s">
        <v>6760</v>
      </c>
      <c r="D5704" s="55" t="s">
        <v>6766</v>
      </c>
      <c r="E5704" s="90" t="s">
        <v>3565</v>
      </c>
      <c r="G5704" s="55" t="s">
        <v>6761</v>
      </c>
      <c r="H5704" s="55" t="s">
        <v>2905</v>
      </c>
      <c r="J5704" s="55" t="s">
        <v>6762</v>
      </c>
      <c r="K5704" s="55" t="s">
        <v>6763</v>
      </c>
      <c r="L5704" s="55" t="s">
        <v>3377</v>
      </c>
      <c r="U5704" s="55" t="s">
        <v>1935</v>
      </c>
      <c r="V5704" s="55" t="s">
        <v>1935</v>
      </c>
      <c r="AO5704" s="185" t="s">
        <v>7494</v>
      </c>
      <c r="AU5704" s="181" t="s">
        <v>7494</v>
      </c>
      <c r="AV5704" s="185" t="s">
        <v>176</v>
      </c>
      <c r="AX5704" s="185" t="s">
        <v>176</v>
      </c>
      <c r="BK5704" s="55" t="s">
        <v>2082</v>
      </c>
      <c r="EK5704" s="90">
        <v>6.3</v>
      </c>
      <c r="EL5704" s="90">
        <v>6.06</v>
      </c>
      <c r="GP5704" s="292" t="s">
        <v>7494</v>
      </c>
    </row>
    <row r="5705" spans="1:281" x14ac:dyDescent="0.25">
      <c r="A5705" s="55">
        <v>5704</v>
      </c>
      <c r="B5705" s="12" t="s">
        <v>7067</v>
      </c>
      <c r="C5705" s="155" t="s">
        <v>6760</v>
      </c>
      <c r="D5705" s="55" t="s">
        <v>6767</v>
      </c>
      <c r="E5705" s="90" t="s">
        <v>3565</v>
      </c>
      <c r="G5705" s="55" t="s">
        <v>6761</v>
      </c>
      <c r="H5705" s="55" t="s">
        <v>2905</v>
      </c>
      <c r="J5705" s="55" t="s">
        <v>6762</v>
      </c>
      <c r="K5705" s="55" t="s">
        <v>6763</v>
      </c>
      <c r="L5705" s="55" t="s">
        <v>3377</v>
      </c>
      <c r="U5705" s="55" t="s">
        <v>1935</v>
      </c>
      <c r="V5705" s="55" t="s">
        <v>1935</v>
      </c>
      <c r="AO5705" s="185" t="s">
        <v>7494</v>
      </c>
      <c r="AU5705" s="181" t="s">
        <v>7494</v>
      </c>
      <c r="AV5705" s="185" t="s">
        <v>176</v>
      </c>
      <c r="AX5705" s="185" t="s">
        <v>176</v>
      </c>
      <c r="BK5705" s="55" t="s">
        <v>2082</v>
      </c>
      <c r="EK5705" s="90">
        <v>15.51</v>
      </c>
      <c r="EL5705" s="90">
        <v>15.79</v>
      </c>
      <c r="GP5705" s="292" t="s">
        <v>7494</v>
      </c>
    </row>
    <row r="5706" spans="1:281" x14ac:dyDescent="0.25">
      <c r="A5706" s="55">
        <v>5705</v>
      </c>
      <c r="B5706" s="12" t="s">
        <v>7067</v>
      </c>
      <c r="C5706" s="155" t="s">
        <v>6760</v>
      </c>
      <c r="D5706" s="55" t="s">
        <v>6768</v>
      </c>
      <c r="E5706" s="90" t="s">
        <v>3565</v>
      </c>
      <c r="G5706" s="55" t="s">
        <v>6761</v>
      </c>
      <c r="H5706" s="55" t="s">
        <v>2905</v>
      </c>
      <c r="J5706" s="55" t="s">
        <v>6762</v>
      </c>
      <c r="K5706" s="55" t="s">
        <v>6763</v>
      </c>
      <c r="L5706" s="55" t="s">
        <v>3377</v>
      </c>
      <c r="U5706" s="55" t="s">
        <v>1935</v>
      </c>
      <c r="V5706" s="55" t="s">
        <v>1935</v>
      </c>
      <c r="AO5706" s="185" t="s">
        <v>7494</v>
      </c>
      <c r="AU5706" s="181" t="s">
        <v>7494</v>
      </c>
      <c r="AV5706" s="185" t="s">
        <v>176</v>
      </c>
      <c r="AX5706" s="185" t="s">
        <v>176</v>
      </c>
      <c r="BK5706" s="55" t="s">
        <v>2082</v>
      </c>
      <c r="EK5706" s="90">
        <v>7.5</v>
      </c>
      <c r="EL5706" s="90">
        <v>8.83</v>
      </c>
      <c r="GP5706" s="292" t="s">
        <v>7494</v>
      </c>
    </row>
    <row r="5707" spans="1:281" x14ac:dyDescent="0.25">
      <c r="A5707" s="55">
        <v>5706</v>
      </c>
      <c r="B5707" s="12" t="s">
        <v>7067</v>
      </c>
      <c r="C5707" s="155" t="s">
        <v>6760</v>
      </c>
      <c r="D5707" s="55" t="s">
        <v>6769</v>
      </c>
      <c r="E5707" s="90" t="s">
        <v>3565</v>
      </c>
      <c r="G5707" s="55" t="s">
        <v>6761</v>
      </c>
      <c r="H5707" s="55" t="s">
        <v>2905</v>
      </c>
      <c r="J5707" s="55" t="s">
        <v>6762</v>
      </c>
      <c r="K5707" s="55" t="s">
        <v>6763</v>
      </c>
      <c r="L5707" s="55" t="s">
        <v>3377</v>
      </c>
      <c r="U5707" s="55" t="s">
        <v>1935</v>
      </c>
      <c r="V5707" s="55" t="s">
        <v>1935</v>
      </c>
      <c r="AO5707" s="185" t="s">
        <v>7494</v>
      </c>
      <c r="AU5707" s="181" t="s">
        <v>7494</v>
      </c>
      <c r="AV5707" s="185" t="s">
        <v>176</v>
      </c>
      <c r="AX5707" s="185" t="s">
        <v>176</v>
      </c>
      <c r="BK5707" s="55" t="s">
        <v>2082</v>
      </c>
      <c r="EK5707" s="90">
        <v>2.62</v>
      </c>
      <c r="EL5707" s="90">
        <v>13.03</v>
      </c>
      <c r="GP5707" s="292" t="s">
        <v>7494</v>
      </c>
    </row>
    <row r="5708" spans="1:281" x14ac:dyDescent="0.25">
      <c r="A5708" s="55">
        <v>5707</v>
      </c>
      <c r="B5708" s="12" t="s">
        <v>7067</v>
      </c>
      <c r="C5708" s="155" t="s">
        <v>6760</v>
      </c>
      <c r="D5708" s="55" t="s">
        <v>6770</v>
      </c>
      <c r="E5708" s="90" t="s">
        <v>3565</v>
      </c>
      <c r="G5708" s="55" t="s">
        <v>6761</v>
      </c>
      <c r="H5708" s="55" t="s">
        <v>2905</v>
      </c>
      <c r="J5708" s="55" t="s">
        <v>6762</v>
      </c>
      <c r="K5708" s="55" t="s">
        <v>6763</v>
      </c>
      <c r="L5708" s="55" t="s">
        <v>3377</v>
      </c>
      <c r="U5708" s="55" t="s">
        <v>1935</v>
      </c>
      <c r="V5708" s="55" t="s">
        <v>1935</v>
      </c>
      <c r="AO5708" s="185" t="s">
        <v>7494</v>
      </c>
      <c r="AU5708" s="181" t="s">
        <v>7494</v>
      </c>
      <c r="AV5708" s="185" t="s">
        <v>176</v>
      </c>
      <c r="AX5708" s="185" t="s">
        <v>176</v>
      </c>
      <c r="BK5708" s="55" t="s">
        <v>2082</v>
      </c>
      <c r="EK5708" s="90">
        <v>7.35</v>
      </c>
      <c r="EL5708" s="90">
        <v>3.65</v>
      </c>
      <c r="GP5708" s="292" t="s">
        <v>7494</v>
      </c>
    </row>
    <row r="5709" spans="1:281" x14ac:dyDescent="0.25">
      <c r="A5709" s="55">
        <v>5708</v>
      </c>
      <c r="B5709" s="12" t="s">
        <v>7067</v>
      </c>
      <c r="C5709" s="155" t="s">
        <v>6760</v>
      </c>
      <c r="D5709" s="55" t="s">
        <v>6771</v>
      </c>
      <c r="E5709" s="90" t="s">
        <v>3565</v>
      </c>
      <c r="G5709" s="55" t="s">
        <v>6761</v>
      </c>
      <c r="H5709" s="55" t="s">
        <v>2905</v>
      </c>
      <c r="J5709" s="55" t="s">
        <v>6762</v>
      </c>
      <c r="K5709" s="55" t="s">
        <v>6763</v>
      </c>
      <c r="L5709" s="55" t="s">
        <v>3377</v>
      </c>
      <c r="U5709" s="55" t="s">
        <v>1935</v>
      </c>
      <c r="V5709" s="55" t="s">
        <v>1935</v>
      </c>
      <c r="AO5709" s="185" t="s">
        <v>7494</v>
      </c>
      <c r="AU5709" s="181" t="s">
        <v>7494</v>
      </c>
      <c r="AV5709" s="185" t="s">
        <v>176</v>
      </c>
      <c r="AX5709" s="185" t="s">
        <v>176</v>
      </c>
      <c r="BK5709" s="55" t="s">
        <v>2082</v>
      </c>
      <c r="EK5709" s="90">
        <v>15.47</v>
      </c>
      <c r="EL5709" s="90">
        <v>15.78</v>
      </c>
      <c r="GP5709" s="292" t="s">
        <v>7494</v>
      </c>
    </row>
    <row r="5710" spans="1:281" x14ac:dyDescent="0.25">
      <c r="A5710" s="55">
        <v>5709</v>
      </c>
      <c r="B5710" s="12" t="s">
        <v>7067</v>
      </c>
      <c r="C5710" s="155" t="s">
        <v>6772</v>
      </c>
      <c r="D5710" s="55" t="s">
        <v>6778</v>
      </c>
      <c r="E5710" s="90" t="s">
        <v>3373</v>
      </c>
      <c r="G5710" s="55" t="s">
        <v>6773</v>
      </c>
      <c r="H5710" s="55" t="s">
        <v>5550</v>
      </c>
      <c r="I5710" s="55" t="s">
        <v>5483</v>
      </c>
      <c r="J5710" s="55" t="s">
        <v>6774</v>
      </c>
      <c r="K5710" s="55" t="s">
        <v>6775</v>
      </c>
      <c r="L5710" s="55" t="s">
        <v>3377</v>
      </c>
      <c r="M5710" s="90">
        <v>25.23</v>
      </c>
      <c r="N5710" s="90">
        <v>110.18</v>
      </c>
      <c r="U5710" s="55" t="s">
        <v>1935</v>
      </c>
      <c r="V5710" s="55" t="s">
        <v>1935</v>
      </c>
      <c r="AO5710" s="185" t="s">
        <v>7494</v>
      </c>
      <c r="AU5710" s="181" t="s">
        <v>7494</v>
      </c>
      <c r="AV5710" s="185" t="s">
        <v>176</v>
      </c>
      <c r="AX5710" s="185" t="s">
        <v>176</v>
      </c>
      <c r="BK5710" s="55" t="s">
        <v>2082</v>
      </c>
      <c r="BN5710" s="55" t="s">
        <v>1688</v>
      </c>
      <c r="BO5710" s="55" t="s">
        <v>1688</v>
      </c>
      <c r="BV5710" s="55" t="s">
        <v>6776</v>
      </c>
      <c r="CB5710" s="66">
        <v>5705.5649999999996</v>
      </c>
      <c r="CC5710" s="66">
        <v>2665.5749999999998</v>
      </c>
      <c r="CG5710" s="65" t="s">
        <v>178</v>
      </c>
      <c r="FJ5710" s="65">
        <v>0.12379999999999999</v>
      </c>
      <c r="FK5710" s="65">
        <v>6.2399999999999997E-2</v>
      </c>
      <c r="FN5710" s="65" t="s">
        <v>206</v>
      </c>
      <c r="GP5710" s="292" t="s">
        <v>7494</v>
      </c>
      <c r="JU5710" s="55" t="s">
        <v>6780</v>
      </c>
    </row>
    <row r="5711" spans="1:281" x14ac:dyDescent="0.25">
      <c r="A5711" s="55">
        <v>5710</v>
      </c>
      <c r="B5711" s="12" t="s">
        <v>7067</v>
      </c>
      <c r="C5711" s="155" t="s">
        <v>6772</v>
      </c>
      <c r="D5711" s="55" t="s">
        <v>6779</v>
      </c>
      <c r="E5711" s="90" t="s">
        <v>3373</v>
      </c>
      <c r="G5711" s="55" t="s">
        <v>6773</v>
      </c>
      <c r="H5711" s="55" t="s">
        <v>5550</v>
      </c>
      <c r="I5711" s="55" t="s">
        <v>5483</v>
      </c>
      <c r="J5711" s="55" t="s">
        <v>6774</v>
      </c>
      <c r="K5711" s="55" t="s">
        <v>6775</v>
      </c>
      <c r="L5711" s="55" t="s">
        <v>3377</v>
      </c>
      <c r="M5711" s="90">
        <v>25.23</v>
      </c>
      <c r="N5711" s="90">
        <v>110.18</v>
      </c>
      <c r="U5711" s="55" t="s">
        <v>1935</v>
      </c>
      <c r="V5711" s="55" t="s">
        <v>1935</v>
      </c>
      <c r="AO5711" s="185" t="s">
        <v>7494</v>
      </c>
      <c r="AU5711" s="181" t="s">
        <v>7494</v>
      </c>
      <c r="AV5711" s="185" t="s">
        <v>176</v>
      </c>
      <c r="AX5711" s="185" t="s">
        <v>176</v>
      </c>
      <c r="BK5711" s="55" t="s">
        <v>2082</v>
      </c>
      <c r="BN5711" s="55" t="s">
        <v>1688</v>
      </c>
      <c r="BO5711" s="55" t="s">
        <v>1688</v>
      </c>
      <c r="BV5711" s="55" t="s">
        <v>6777</v>
      </c>
      <c r="CB5711" s="66">
        <v>5705.5649999999996</v>
      </c>
      <c r="CC5711" s="66">
        <v>4919.82</v>
      </c>
      <c r="CG5711" s="65" t="s">
        <v>178</v>
      </c>
      <c r="FJ5711" s="65">
        <v>0.12379999999999999</v>
      </c>
      <c r="FK5711" s="65">
        <v>7.0400000000000004E-2</v>
      </c>
      <c r="FN5711" s="65" t="s">
        <v>206</v>
      </c>
      <c r="GP5711" s="292" t="s">
        <v>7494</v>
      </c>
      <c r="JU5711" s="55" t="s">
        <v>6780</v>
      </c>
    </row>
    <row r="5712" spans="1:281" x14ac:dyDescent="0.25">
      <c r="A5712" s="55">
        <v>5711</v>
      </c>
      <c r="B5712" s="12" t="s">
        <v>7067</v>
      </c>
      <c r="C5712" s="155" t="s">
        <v>6781</v>
      </c>
      <c r="D5712" s="55" t="s">
        <v>6788</v>
      </c>
      <c r="E5712" s="90" t="s">
        <v>6782</v>
      </c>
      <c r="G5712" s="55" t="s">
        <v>6783</v>
      </c>
      <c r="H5712" s="55" t="s">
        <v>5490</v>
      </c>
      <c r="I5712" s="55" t="s">
        <v>5599</v>
      </c>
      <c r="J5712" s="55" t="s">
        <v>6470</v>
      </c>
      <c r="K5712" s="55" t="s">
        <v>6784</v>
      </c>
      <c r="L5712" s="55" t="s">
        <v>3377</v>
      </c>
      <c r="M5712" s="90">
        <f>39+49/60</f>
        <v>39.81666666666667</v>
      </c>
      <c r="N5712" s="90">
        <v>110</v>
      </c>
      <c r="O5712" s="90">
        <f>(1269+1584)/2</f>
        <v>1426.5</v>
      </c>
      <c r="Q5712" s="55" t="s">
        <v>5869</v>
      </c>
      <c r="S5712" s="90" t="s">
        <v>6785</v>
      </c>
      <c r="U5712" s="55" t="s">
        <v>1688</v>
      </c>
      <c r="V5712" s="55" t="s">
        <v>1801</v>
      </c>
      <c r="Z5712" s="55" t="s">
        <v>6508</v>
      </c>
      <c r="AA5712" s="90">
        <v>10</v>
      </c>
      <c r="AJ5712" s="90">
        <v>0.49</v>
      </c>
      <c r="AO5712" s="185" t="s">
        <v>5150</v>
      </c>
      <c r="AU5712" s="181" t="s">
        <v>7494</v>
      </c>
      <c r="AV5712" s="185" t="s">
        <v>176</v>
      </c>
      <c r="AX5712" s="185" t="s">
        <v>176</v>
      </c>
      <c r="BK5712" s="55" t="s">
        <v>6333</v>
      </c>
      <c r="CH5712" s="90">
        <v>1.585</v>
      </c>
      <c r="CI5712" s="90">
        <v>1.2290000000000001</v>
      </c>
      <c r="CM5712" s="65">
        <v>0.82</v>
      </c>
      <c r="CN5712" s="65">
        <v>2.21</v>
      </c>
      <c r="DB5712" s="65">
        <v>0.12</v>
      </c>
      <c r="DC5712" s="65">
        <v>0.21</v>
      </c>
      <c r="DF5712" s="65" t="s">
        <v>165</v>
      </c>
      <c r="DG5712" s="65">
        <v>0.6</v>
      </c>
      <c r="DH5712" s="65">
        <v>0.86</v>
      </c>
      <c r="DK5712" s="65" t="s">
        <v>6786</v>
      </c>
      <c r="DL5712" s="65">
        <v>56</v>
      </c>
      <c r="DM5712" s="65">
        <v>78.3</v>
      </c>
      <c r="DP5712" s="65" t="s">
        <v>6787</v>
      </c>
      <c r="EK5712" s="90">
        <v>11.016</v>
      </c>
      <c r="EL5712" s="90">
        <v>12.362</v>
      </c>
      <c r="EO5712" s="65" t="s">
        <v>6794</v>
      </c>
      <c r="EP5712" s="65">
        <v>38.81</v>
      </c>
      <c r="EQ5712" s="65">
        <v>55.83</v>
      </c>
      <c r="ET5712" s="65" t="s">
        <v>6792</v>
      </c>
      <c r="GI5712" s="65">
        <v>22.59</v>
      </c>
      <c r="GJ5712" s="65">
        <v>45.44</v>
      </c>
      <c r="GM5712" s="65" t="s">
        <v>6793</v>
      </c>
      <c r="GP5712" s="292" t="s">
        <v>7494</v>
      </c>
    </row>
    <row r="5713" spans="1:198" x14ac:dyDescent="0.25">
      <c r="A5713" s="55">
        <v>5712</v>
      </c>
      <c r="B5713" s="12" t="s">
        <v>7067</v>
      </c>
      <c r="C5713" s="155" t="s">
        <v>6781</v>
      </c>
      <c r="D5713" s="55" t="s">
        <v>6789</v>
      </c>
      <c r="E5713" s="90" t="s">
        <v>6782</v>
      </c>
      <c r="G5713" s="55" t="s">
        <v>6783</v>
      </c>
      <c r="H5713" s="55" t="s">
        <v>5490</v>
      </c>
      <c r="I5713" s="55" t="s">
        <v>5599</v>
      </c>
      <c r="J5713" s="55" t="s">
        <v>6470</v>
      </c>
      <c r="K5713" s="55" t="s">
        <v>6784</v>
      </c>
      <c r="L5713" s="55" t="s">
        <v>3377</v>
      </c>
      <c r="M5713" s="90">
        <f>39+49/60</f>
        <v>39.81666666666667</v>
      </c>
      <c r="N5713" s="90">
        <v>110</v>
      </c>
      <c r="O5713" s="90">
        <f>(1269+1584)/2</f>
        <v>1426.5</v>
      </c>
      <c r="Q5713" s="55" t="s">
        <v>5869</v>
      </c>
      <c r="S5713" s="90" t="s">
        <v>6785</v>
      </c>
      <c r="U5713" s="55" t="s">
        <v>1688</v>
      </c>
      <c r="V5713" s="55" t="s">
        <v>1801</v>
      </c>
      <c r="Z5713" s="55" t="s">
        <v>6607</v>
      </c>
      <c r="AA5713" s="90">
        <v>20</v>
      </c>
      <c r="AJ5713" s="90">
        <v>0.49</v>
      </c>
      <c r="AO5713" s="185" t="s">
        <v>7494</v>
      </c>
      <c r="AU5713" s="181" t="s">
        <v>7494</v>
      </c>
      <c r="AV5713" s="185" t="s">
        <v>176</v>
      </c>
      <c r="AX5713" s="185" t="s">
        <v>176</v>
      </c>
      <c r="BK5713" s="55" t="s">
        <v>6333</v>
      </c>
      <c r="CH5713" s="90">
        <v>1.6120000000000001</v>
      </c>
      <c r="CI5713" s="90">
        <v>1.34</v>
      </c>
      <c r="EK5713" s="90">
        <v>5.4470000000000001</v>
      </c>
      <c r="EL5713" s="90">
        <v>5.38</v>
      </c>
      <c r="EO5713" s="65" t="s">
        <v>6794</v>
      </c>
      <c r="EP5713" s="65">
        <v>37.450000000000003</v>
      </c>
      <c r="EQ5713" s="65">
        <v>51.29</v>
      </c>
      <c r="ET5713" s="65" t="s">
        <v>6792</v>
      </c>
      <c r="GI5713" s="65">
        <v>20.55</v>
      </c>
      <c r="GJ5713" s="65">
        <v>38.270000000000003</v>
      </c>
      <c r="GM5713" s="65" t="s">
        <v>6793</v>
      </c>
      <c r="GP5713" s="292" t="s">
        <v>7494</v>
      </c>
    </row>
    <row r="5714" spans="1:198" x14ac:dyDescent="0.25">
      <c r="A5714" s="55">
        <v>5713</v>
      </c>
      <c r="B5714" s="12" t="s">
        <v>7067</v>
      </c>
      <c r="C5714" s="155" t="s">
        <v>6781</v>
      </c>
      <c r="D5714" s="55" t="s">
        <v>6790</v>
      </c>
      <c r="E5714" s="90" t="s">
        <v>6782</v>
      </c>
      <c r="G5714" s="55" t="s">
        <v>6783</v>
      </c>
      <c r="H5714" s="55" t="s">
        <v>5490</v>
      </c>
      <c r="I5714" s="55" t="s">
        <v>5599</v>
      </c>
      <c r="J5714" s="55" t="s">
        <v>6470</v>
      </c>
      <c r="K5714" s="55" t="s">
        <v>6784</v>
      </c>
      <c r="L5714" s="55" t="s">
        <v>3377</v>
      </c>
      <c r="M5714" s="90">
        <f>39+49/60</f>
        <v>39.81666666666667</v>
      </c>
      <c r="N5714" s="90">
        <v>110</v>
      </c>
      <c r="O5714" s="90">
        <f>(1269+1584)/2</f>
        <v>1426.5</v>
      </c>
      <c r="Q5714" s="55" t="s">
        <v>5869</v>
      </c>
      <c r="S5714" s="90" t="s">
        <v>6785</v>
      </c>
      <c r="U5714" s="55" t="s">
        <v>1688</v>
      </c>
      <c r="V5714" s="55" t="s">
        <v>1801</v>
      </c>
      <c r="Z5714" s="55" t="s">
        <v>6791</v>
      </c>
      <c r="AA5714" s="90">
        <v>20</v>
      </c>
      <c r="AJ5714" s="90">
        <v>0.49</v>
      </c>
      <c r="AO5714" s="185" t="s">
        <v>7494</v>
      </c>
      <c r="AU5714" s="181" t="s">
        <v>7494</v>
      </c>
      <c r="AV5714" s="185" t="s">
        <v>176</v>
      </c>
      <c r="AX5714" s="185" t="s">
        <v>176</v>
      </c>
      <c r="BK5714" s="55" t="s">
        <v>6333</v>
      </c>
      <c r="CH5714" s="90">
        <v>1.772</v>
      </c>
      <c r="CI5714" s="90">
        <v>1.44</v>
      </c>
      <c r="EK5714" s="90">
        <v>30.606999999999999</v>
      </c>
      <c r="EL5714" s="90">
        <v>47.418999999999997</v>
      </c>
      <c r="EO5714" s="65" t="s">
        <v>6794</v>
      </c>
      <c r="EP5714" s="65">
        <v>34.47</v>
      </c>
      <c r="EQ5714" s="65">
        <v>46.58</v>
      </c>
      <c r="ET5714" s="65" t="s">
        <v>6792</v>
      </c>
      <c r="GI5714" s="65">
        <v>17.12</v>
      </c>
      <c r="GJ5714" s="65">
        <v>32.21</v>
      </c>
      <c r="GM5714" s="65" t="s">
        <v>6793</v>
      </c>
      <c r="GP5714" s="292" t="s">
        <v>7494</v>
      </c>
    </row>
    <row r="5715" spans="1:198" x14ac:dyDescent="0.25">
      <c r="A5715" s="55">
        <v>5714</v>
      </c>
      <c r="B5715" s="12" t="s">
        <v>7067</v>
      </c>
      <c r="C5715" s="155" t="s">
        <v>6795</v>
      </c>
      <c r="D5715" s="55" t="s">
        <v>6800</v>
      </c>
      <c r="E5715" s="90" t="s">
        <v>6796</v>
      </c>
      <c r="G5715" s="55" t="s">
        <v>6797</v>
      </c>
      <c r="H5715" s="55" t="s">
        <v>5564</v>
      </c>
      <c r="I5715" s="55" t="s">
        <v>5643</v>
      </c>
      <c r="J5715" s="55" t="s">
        <v>6798</v>
      </c>
      <c r="K5715" s="55" t="s">
        <v>6799</v>
      </c>
      <c r="L5715" s="55" t="s">
        <v>3377</v>
      </c>
      <c r="M5715" s="90">
        <f>28+46/60</f>
        <v>28.766666666666666</v>
      </c>
      <c r="N5715" s="90">
        <f>115+55/60</f>
        <v>115.91666666666667</v>
      </c>
      <c r="U5715" s="55" t="s">
        <v>1935</v>
      </c>
      <c r="V5715" s="55" t="s">
        <v>1805</v>
      </c>
      <c r="Y5715" s="55" t="s">
        <v>6815</v>
      </c>
      <c r="AJ5715" s="90">
        <v>0.26</v>
      </c>
      <c r="AO5715" s="185" t="s">
        <v>7494</v>
      </c>
      <c r="AR5715" s="55" t="s">
        <v>1096</v>
      </c>
      <c r="AU5715" s="181" t="s">
        <v>7494</v>
      </c>
      <c r="AV5715" s="185" t="s">
        <v>176</v>
      </c>
      <c r="AX5715" s="185" t="s">
        <v>176</v>
      </c>
      <c r="BK5715" s="55" t="s">
        <v>2082</v>
      </c>
      <c r="BN5715" s="55" t="s">
        <v>1805</v>
      </c>
      <c r="BO5715" s="55" t="s">
        <v>1805</v>
      </c>
      <c r="CB5715" s="66">
        <v>5910.97</v>
      </c>
      <c r="CC5715" s="66">
        <v>5980.4</v>
      </c>
      <c r="CG5715" s="65" t="s">
        <v>178</v>
      </c>
      <c r="CH5715" s="90">
        <v>1.2</v>
      </c>
      <c r="CI5715" s="90">
        <v>1.1599999999999999</v>
      </c>
      <c r="EP5715" s="65">
        <v>50.58</v>
      </c>
      <c r="EQ5715" s="65">
        <v>51.5</v>
      </c>
      <c r="ET5715" s="65" t="s">
        <v>6792</v>
      </c>
      <c r="FJ5715" s="65">
        <v>40.299999999999997</v>
      </c>
      <c r="FK5715" s="65">
        <v>38.1</v>
      </c>
      <c r="FN5715" s="65" t="s">
        <v>206</v>
      </c>
      <c r="FO5715" s="65">
        <v>25</v>
      </c>
      <c r="FP5715" s="65">
        <v>37</v>
      </c>
      <c r="FS5715" s="65" t="s">
        <v>637</v>
      </c>
      <c r="GP5715" s="292" t="s">
        <v>7494</v>
      </c>
    </row>
    <row r="5716" spans="1:198" x14ac:dyDescent="0.25">
      <c r="A5716" s="55">
        <v>5715</v>
      </c>
      <c r="B5716" s="12" t="s">
        <v>7067</v>
      </c>
      <c r="C5716" s="155" t="s">
        <v>6795</v>
      </c>
      <c r="D5716" s="55" t="s">
        <v>6801</v>
      </c>
      <c r="E5716" s="90" t="s">
        <v>6796</v>
      </c>
      <c r="G5716" s="55" t="s">
        <v>6797</v>
      </c>
      <c r="H5716" s="55" t="s">
        <v>5564</v>
      </c>
      <c r="I5716" s="55" t="s">
        <v>5643</v>
      </c>
      <c r="J5716" s="55" t="s">
        <v>6798</v>
      </c>
      <c r="K5716" s="55" t="s">
        <v>6799</v>
      </c>
      <c r="L5716" s="55" t="s">
        <v>3377</v>
      </c>
      <c r="M5716" s="90">
        <f>28+46/60</f>
        <v>28.766666666666666</v>
      </c>
      <c r="N5716" s="90">
        <f>115+55/60</f>
        <v>115.91666666666667</v>
      </c>
      <c r="U5716" s="55" t="s">
        <v>1935</v>
      </c>
      <c r="V5716" s="55" t="s">
        <v>1805</v>
      </c>
      <c r="Y5716" s="55" t="s">
        <v>6815</v>
      </c>
      <c r="AJ5716" s="90">
        <v>0.26</v>
      </c>
      <c r="AO5716" s="185" t="s">
        <v>7494</v>
      </c>
      <c r="AR5716" s="55" t="s">
        <v>1096</v>
      </c>
      <c r="AU5716" s="181" t="s">
        <v>7494</v>
      </c>
      <c r="AV5716" s="185" t="s">
        <v>176</v>
      </c>
      <c r="AX5716" s="185" t="s">
        <v>176</v>
      </c>
      <c r="BK5716" s="55" t="s">
        <v>6452</v>
      </c>
      <c r="BN5716" s="55" t="s">
        <v>1805</v>
      </c>
      <c r="BO5716" s="55" t="s">
        <v>1805</v>
      </c>
      <c r="CB5716" s="66">
        <v>5910.97</v>
      </c>
      <c r="CC5716" s="66">
        <v>5995.47</v>
      </c>
      <c r="CG5716" s="65" t="s">
        <v>178</v>
      </c>
      <c r="CH5716" s="90">
        <v>1.2</v>
      </c>
      <c r="CI5716" s="90">
        <v>1.1299999999999999</v>
      </c>
      <c r="EP5716" s="65">
        <v>50.58</v>
      </c>
      <c r="EQ5716" s="65">
        <v>52.39</v>
      </c>
      <c r="ET5716" s="65" t="s">
        <v>6792</v>
      </c>
      <c r="FJ5716" s="65">
        <v>40.299999999999997</v>
      </c>
      <c r="FK5716" s="65">
        <v>24.6</v>
      </c>
      <c r="FN5716" s="65" t="s">
        <v>206</v>
      </c>
      <c r="FO5716" s="65">
        <v>25</v>
      </c>
      <c r="FP5716" s="65">
        <v>25</v>
      </c>
      <c r="FS5716" s="65" t="s">
        <v>637</v>
      </c>
      <c r="GP5716" s="292" t="s">
        <v>7494</v>
      </c>
    </row>
    <row r="5717" spans="1:198" x14ac:dyDescent="0.25">
      <c r="A5717" s="55">
        <v>5716</v>
      </c>
      <c r="B5717" s="12" t="s">
        <v>7067</v>
      </c>
      <c r="C5717" s="155" t="s">
        <v>6795</v>
      </c>
      <c r="D5717" s="55" t="s">
        <v>6802</v>
      </c>
      <c r="E5717" s="90" t="s">
        <v>6796</v>
      </c>
      <c r="G5717" s="55" t="s">
        <v>6797</v>
      </c>
      <c r="H5717" s="55" t="s">
        <v>5564</v>
      </c>
      <c r="I5717" s="55" t="s">
        <v>5643</v>
      </c>
      <c r="J5717" s="55" t="s">
        <v>6798</v>
      </c>
      <c r="K5717" s="55" t="s">
        <v>6799</v>
      </c>
      <c r="L5717" s="55" t="s">
        <v>3377</v>
      </c>
      <c r="M5717" s="90">
        <f>28+46/60</f>
        <v>28.766666666666666</v>
      </c>
      <c r="N5717" s="90">
        <f>115+55/60</f>
        <v>115.91666666666667</v>
      </c>
      <c r="U5717" s="55" t="s">
        <v>1935</v>
      </c>
      <c r="V5717" s="55" t="s">
        <v>1805</v>
      </c>
      <c r="Y5717" s="55" t="s">
        <v>6815</v>
      </c>
      <c r="AJ5717" s="90">
        <v>0.26</v>
      </c>
      <c r="AO5717" s="185" t="s">
        <v>7494</v>
      </c>
      <c r="AR5717" s="55" t="s">
        <v>1096</v>
      </c>
      <c r="AU5717" s="181" t="s">
        <v>7494</v>
      </c>
      <c r="AV5717" s="185" t="s">
        <v>176</v>
      </c>
      <c r="AX5717" s="185" t="s">
        <v>176</v>
      </c>
      <c r="BK5717" s="55" t="s">
        <v>6452</v>
      </c>
      <c r="BN5717" s="55" t="s">
        <v>1805</v>
      </c>
      <c r="BO5717" s="55" t="s">
        <v>1805</v>
      </c>
      <c r="CB5717" s="66">
        <v>5910.97</v>
      </c>
      <c r="CC5717" s="66">
        <v>6072.93</v>
      </c>
      <c r="CG5717" s="65" t="s">
        <v>178</v>
      </c>
      <c r="CH5717" s="90">
        <v>1.2</v>
      </c>
      <c r="CI5717" s="90">
        <v>1.1100000000000001</v>
      </c>
      <c r="EP5717" s="65">
        <v>50.58</v>
      </c>
      <c r="EQ5717" s="65">
        <v>53.08</v>
      </c>
      <c r="ET5717" s="65" t="s">
        <v>6792</v>
      </c>
      <c r="FJ5717" s="65">
        <v>40.299999999999997</v>
      </c>
      <c r="FK5717" s="65">
        <v>3.1</v>
      </c>
      <c r="FN5717" s="65" t="s">
        <v>206</v>
      </c>
      <c r="FO5717" s="65">
        <v>25</v>
      </c>
      <c r="FP5717" s="65">
        <v>11</v>
      </c>
      <c r="FS5717" s="65" t="s">
        <v>637</v>
      </c>
      <c r="GP5717" s="292" t="s">
        <v>7494</v>
      </c>
    </row>
    <row r="5718" spans="1:198" x14ac:dyDescent="0.25">
      <c r="A5718" s="55">
        <v>5717</v>
      </c>
      <c r="B5718" s="12" t="s">
        <v>7067</v>
      </c>
      <c r="C5718" s="155" t="s">
        <v>6795</v>
      </c>
      <c r="D5718" s="55" t="s">
        <v>6800</v>
      </c>
      <c r="E5718" s="90" t="s">
        <v>6796</v>
      </c>
      <c r="G5718" s="55" t="s">
        <v>6797</v>
      </c>
      <c r="H5718" s="55" t="s">
        <v>5564</v>
      </c>
      <c r="I5718" s="55" t="s">
        <v>5643</v>
      </c>
      <c r="J5718" s="55" t="s">
        <v>6798</v>
      </c>
      <c r="K5718" s="55" t="s">
        <v>6799</v>
      </c>
      <c r="L5718" s="55" t="s">
        <v>3377</v>
      </c>
      <c r="M5718" s="90">
        <f>28+46/60</f>
        <v>28.766666666666666</v>
      </c>
      <c r="N5718" s="90">
        <f>115+55/60</f>
        <v>115.91666666666667</v>
      </c>
      <c r="U5718" s="55" t="s">
        <v>1935</v>
      </c>
      <c r="V5718" s="55" t="s">
        <v>1805</v>
      </c>
      <c r="Y5718" s="55" t="s">
        <v>6816</v>
      </c>
      <c r="AJ5718" s="90">
        <v>0.26</v>
      </c>
      <c r="AO5718" s="185" t="s">
        <v>7494</v>
      </c>
      <c r="AR5718" s="55" t="s">
        <v>1096</v>
      </c>
      <c r="AU5718" s="181" t="s">
        <v>7494</v>
      </c>
      <c r="AV5718" s="185" t="s">
        <v>176</v>
      </c>
      <c r="AX5718" s="185" t="s">
        <v>176</v>
      </c>
      <c r="BK5718" s="55" t="s">
        <v>2082</v>
      </c>
      <c r="BN5718" s="55" t="s">
        <v>1805</v>
      </c>
      <c r="BO5718" s="55" t="s">
        <v>1805</v>
      </c>
      <c r="CB5718" s="66">
        <v>6264.71</v>
      </c>
      <c r="CC5718" s="66">
        <v>6351.35</v>
      </c>
      <c r="CG5718" s="65" t="s">
        <v>178</v>
      </c>
      <c r="CH5718" s="90">
        <v>1.18</v>
      </c>
      <c r="CI5718" s="90">
        <v>1.1499999999999999</v>
      </c>
      <c r="EP5718" s="65">
        <v>50.71</v>
      </c>
      <c r="EQ5718" s="65">
        <v>51.98</v>
      </c>
      <c r="ET5718" s="65" t="s">
        <v>6792</v>
      </c>
      <c r="FJ5718" s="65">
        <v>21.8</v>
      </c>
      <c r="FK5718" s="65">
        <v>7.6</v>
      </c>
      <c r="FN5718" s="65" t="s">
        <v>206</v>
      </c>
      <c r="FO5718" s="65">
        <v>106</v>
      </c>
      <c r="FP5718" s="65">
        <v>83</v>
      </c>
      <c r="FS5718" s="65" t="s">
        <v>637</v>
      </c>
      <c r="GP5718" s="292" t="s">
        <v>7494</v>
      </c>
    </row>
    <row r="5719" spans="1:198" x14ac:dyDescent="0.25">
      <c r="A5719" s="55">
        <v>5718</v>
      </c>
      <c r="B5719" s="12" t="s">
        <v>7067</v>
      </c>
      <c r="C5719" s="155" t="s">
        <v>6795</v>
      </c>
      <c r="D5719" s="55" t="s">
        <v>6801</v>
      </c>
      <c r="E5719" s="90" t="s">
        <v>6796</v>
      </c>
      <c r="G5719" s="55" t="s">
        <v>6797</v>
      </c>
      <c r="H5719" s="55" t="s">
        <v>5564</v>
      </c>
      <c r="I5719" s="55" t="s">
        <v>5643</v>
      </c>
      <c r="J5719" s="55" t="s">
        <v>6798</v>
      </c>
      <c r="K5719" s="55" t="s">
        <v>6799</v>
      </c>
      <c r="L5719" s="55" t="s">
        <v>3377</v>
      </c>
      <c r="M5719" s="90">
        <f>28+46/60</f>
        <v>28.766666666666666</v>
      </c>
      <c r="N5719" s="90">
        <f>115+55/60</f>
        <v>115.91666666666667</v>
      </c>
      <c r="U5719" s="55" t="s">
        <v>1935</v>
      </c>
      <c r="V5719" s="55" t="s">
        <v>1805</v>
      </c>
      <c r="Y5719" s="55" t="s">
        <v>6816</v>
      </c>
      <c r="AJ5719" s="90">
        <v>0.26</v>
      </c>
      <c r="AO5719" s="185" t="s">
        <v>7494</v>
      </c>
      <c r="AR5719" s="55" t="s">
        <v>1096</v>
      </c>
      <c r="AU5719" s="181" t="s">
        <v>7494</v>
      </c>
      <c r="AV5719" s="185" t="s">
        <v>176</v>
      </c>
      <c r="AX5719" s="185" t="s">
        <v>176</v>
      </c>
      <c r="BK5719" s="55" t="s">
        <v>6452</v>
      </c>
      <c r="BN5719" s="55" t="s">
        <v>1805</v>
      </c>
      <c r="BO5719" s="55" t="s">
        <v>1805</v>
      </c>
      <c r="CB5719" s="66">
        <v>6264.71</v>
      </c>
      <c r="CC5719" s="66">
        <v>6369.96</v>
      </c>
      <c r="CG5719" s="65" t="s">
        <v>178</v>
      </c>
      <c r="CH5719" s="90">
        <v>1.18</v>
      </c>
      <c r="CI5719" s="90">
        <v>1.1000000000000001</v>
      </c>
      <c r="EP5719" s="65">
        <v>50.71</v>
      </c>
      <c r="EQ5719" s="65">
        <v>53.08</v>
      </c>
      <c r="ET5719" s="65" t="s">
        <v>6792</v>
      </c>
      <c r="FJ5719" s="65">
        <v>21.8</v>
      </c>
      <c r="FK5719" s="65">
        <v>8.1999999999999993</v>
      </c>
      <c r="FN5719" s="65" t="s">
        <v>206</v>
      </c>
      <c r="FO5719" s="65">
        <v>106</v>
      </c>
      <c r="FP5719" s="65">
        <v>83</v>
      </c>
      <c r="FS5719" s="65" t="s">
        <v>637</v>
      </c>
      <c r="GP5719" s="292" t="s">
        <v>7494</v>
      </c>
    </row>
    <row r="5720" spans="1:198" x14ac:dyDescent="0.25">
      <c r="A5720" s="55">
        <v>5719</v>
      </c>
      <c r="B5720" s="12" t="s">
        <v>7067</v>
      </c>
      <c r="C5720" s="155" t="s">
        <v>6795</v>
      </c>
      <c r="D5720" s="55" t="s">
        <v>6802</v>
      </c>
      <c r="E5720" s="90" t="s">
        <v>6796</v>
      </c>
      <c r="G5720" s="55" t="s">
        <v>6797</v>
      </c>
      <c r="H5720" s="55" t="s">
        <v>5564</v>
      </c>
      <c r="I5720" s="55" t="s">
        <v>5643</v>
      </c>
      <c r="J5720" s="55" t="s">
        <v>6798</v>
      </c>
      <c r="K5720" s="55" t="s">
        <v>6799</v>
      </c>
      <c r="L5720" s="55" t="s">
        <v>3377</v>
      </c>
      <c r="M5720" s="90">
        <f>28+46/60</f>
        <v>28.766666666666666</v>
      </c>
      <c r="N5720" s="90">
        <f>115+55/60</f>
        <v>115.91666666666667</v>
      </c>
      <c r="U5720" s="55" t="s">
        <v>1935</v>
      </c>
      <c r="V5720" s="55" t="s">
        <v>1805</v>
      </c>
      <c r="Y5720" s="55" t="s">
        <v>6816</v>
      </c>
      <c r="AJ5720" s="90">
        <v>0.26</v>
      </c>
      <c r="AO5720" s="185" t="s">
        <v>7494</v>
      </c>
      <c r="AR5720" s="55" t="s">
        <v>1096</v>
      </c>
      <c r="AU5720" s="181" t="s">
        <v>7494</v>
      </c>
      <c r="AV5720" s="185" t="s">
        <v>176</v>
      </c>
      <c r="AX5720" s="185" t="s">
        <v>176</v>
      </c>
      <c r="BK5720" s="55" t="s">
        <v>6452</v>
      </c>
      <c r="BN5720" s="55" t="s">
        <v>1805</v>
      </c>
      <c r="BO5720" s="55" t="s">
        <v>1805</v>
      </c>
      <c r="CB5720" s="66">
        <v>6264.71</v>
      </c>
      <c r="CC5720" s="66">
        <v>6464.55</v>
      </c>
      <c r="CG5720" s="65" t="s">
        <v>178</v>
      </c>
      <c r="CH5720" s="90">
        <v>1.18</v>
      </c>
      <c r="CI5720" s="90">
        <v>1.06</v>
      </c>
      <c r="EP5720" s="65">
        <v>50.71</v>
      </c>
      <c r="EQ5720" s="65">
        <v>53.58</v>
      </c>
      <c r="ET5720" s="65" t="s">
        <v>6792</v>
      </c>
      <c r="FJ5720" s="65">
        <v>21.8</v>
      </c>
      <c r="FK5720" s="65">
        <v>0.2</v>
      </c>
      <c r="FN5720" s="65" t="s">
        <v>206</v>
      </c>
      <c r="FO5720" s="65">
        <v>106</v>
      </c>
      <c r="FP5720" s="65">
        <v>31</v>
      </c>
      <c r="FS5720" s="65" t="s">
        <v>637</v>
      </c>
      <c r="GP5720" s="292" t="s">
        <v>7494</v>
      </c>
    </row>
    <row r="5721" spans="1:198" x14ac:dyDescent="0.25">
      <c r="A5721" s="55">
        <v>5720</v>
      </c>
      <c r="B5721" s="12" t="s">
        <v>7067</v>
      </c>
      <c r="C5721" s="155" t="s">
        <v>6795</v>
      </c>
      <c r="D5721" s="55" t="s">
        <v>6800</v>
      </c>
      <c r="E5721" s="90" t="s">
        <v>6796</v>
      </c>
      <c r="G5721" s="55" t="s">
        <v>6797</v>
      </c>
      <c r="H5721" s="55" t="s">
        <v>5564</v>
      </c>
      <c r="I5721" s="55" t="s">
        <v>5643</v>
      </c>
      <c r="J5721" s="55" t="s">
        <v>6798</v>
      </c>
      <c r="K5721" s="55" t="s">
        <v>6799</v>
      </c>
      <c r="L5721" s="55" t="s">
        <v>3377</v>
      </c>
      <c r="M5721" s="90">
        <f>28+46/60</f>
        <v>28.766666666666666</v>
      </c>
      <c r="N5721" s="90">
        <f>115+55/60</f>
        <v>115.91666666666667</v>
      </c>
      <c r="U5721" s="55" t="s">
        <v>1935</v>
      </c>
      <c r="V5721" s="55" t="s">
        <v>1805</v>
      </c>
      <c r="Y5721" s="55" t="s">
        <v>6817</v>
      </c>
      <c r="AJ5721" s="90">
        <v>0.26</v>
      </c>
      <c r="AO5721" s="185" t="s">
        <v>7494</v>
      </c>
      <c r="AR5721" s="55" t="s">
        <v>1096</v>
      </c>
      <c r="AU5721" s="181" t="s">
        <v>7494</v>
      </c>
      <c r="AV5721" s="185" t="s">
        <v>176</v>
      </c>
      <c r="AX5721" s="185" t="s">
        <v>176</v>
      </c>
      <c r="BK5721" s="55" t="s">
        <v>2082</v>
      </c>
      <c r="BN5721" s="55" t="s">
        <v>1805</v>
      </c>
      <c r="BO5721" s="55" t="s">
        <v>1805</v>
      </c>
      <c r="CH5721" s="90">
        <v>1.19</v>
      </c>
      <c r="CI5721" s="90">
        <v>1.1299999999999999</v>
      </c>
      <c r="EP5721" s="65">
        <v>50.58</v>
      </c>
      <c r="EQ5721" s="65">
        <v>52.35</v>
      </c>
      <c r="ET5721" s="65" t="s">
        <v>6792</v>
      </c>
      <c r="GP5721" s="292" t="s">
        <v>7494</v>
      </c>
    </row>
    <row r="5722" spans="1:198" x14ac:dyDescent="0.25">
      <c r="A5722" s="55">
        <v>5721</v>
      </c>
      <c r="B5722" s="12" t="s">
        <v>7067</v>
      </c>
      <c r="C5722" s="155" t="s">
        <v>6795</v>
      </c>
      <c r="D5722" s="55" t="s">
        <v>6801</v>
      </c>
      <c r="E5722" s="90" t="s">
        <v>6796</v>
      </c>
      <c r="G5722" s="55" t="s">
        <v>6797</v>
      </c>
      <c r="H5722" s="55" t="s">
        <v>5564</v>
      </c>
      <c r="I5722" s="55" t="s">
        <v>5643</v>
      </c>
      <c r="J5722" s="55" t="s">
        <v>6798</v>
      </c>
      <c r="K5722" s="55" t="s">
        <v>6799</v>
      </c>
      <c r="L5722" s="55" t="s">
        <v>3377</v>
      </c>
      <c r="M5722" s="90">
        <f>28+46/60</f>
        <v>28.766666666666666</v>
      </c>
      <c r="N5722" s="90">
        <f>115+55/60</f>
        <v>115.91666666666667</v>
      </c>
      <c r="U5722" s="55" t="s">
        <v>1935</v>
      </c>
      <c r="V5722" s="55" t="s">
        <v>1805</v>
      </c>
      <c r="Y5722" s="55" t="s">
        <v>6817</v>
      </c>
      <c r="AJ5722" s="90">
        <v>0.26</v>
      </c>
      <c r="AO5722" s="185" t="s">
        <v>7494</v>
      </c>
      <c r="AR5722" s="55" t="s">
        <v>1096</v>
      </c>
      <c r="AU5722" s="181" t="s">
        <v>7494</v>
      </c>
      <c r="AV5722" s="185" t="s">
        <v>176</v>
      </c>
      <c r="AX5722" s="185" t="s">
        <v>176</v>
      </c>
      <c r="BK5722" s="55" t="s">
        <v>6452</v>
      </c>
      <c r="BN5722" s="55" t="s">
        <v>1805</v>
      </c>
      <c r="BO5722" s="55" t="s">
        <v>1805</v>
      </c>
      <c r="CH5722" s="90">
        <v>1.19</v>
      </c>
      <c r="CI5722" s="90">
        <v>1.1000000000000001</v>
      </c>
      <c r="EP5722" s="65">
        <v>50.58</v>
      </c>
      <c r="EQ5722" s="65">
        <v>53.39</v>
      </c>
      <c r="ET5722" s="65" t="s">
        <v>6792</v>
      </c>
      <c r="GP5722" s="292" t="s">
        <v>7494</v>
      </c>
    </row>
    <row r="5723" spans="1:198" x14ac:dyDescent="0.25">
      <c r="A5723" s="55">
        <v>5722</v>
      </c>
      <c r="B5723" s="12" t="s">
        <v>7067</v>
      </c>
      <c r="C5723" s="155" t="s">
        <v>6795</v>
      </c>
      <c r="D5723" s="55" t="s">
        <v>6802</v>
      </c>
      <c r="E5723" s="90" t="s">
        <v>6796</v>
      </c>
      <c r="G5723" s="55" t="s">
        <v>6797</v>
      </c>
      <c r="H5723" s="55" t="s">
        <v>5564</v>
      </c>
      <c r="I5723" s="55" t="s">
        <v>5643</v>
      </c>
      <c r="J5723" s="55" t="s">
        <v>6798</v>
      </c>
      <c r="K5723" s="55" t="s">
        <v>6799</v>
      </c>
      <c r="L5723" s="55" t="s">
        <v>3377</v>
      </c>
      <c r="M5723" s="90">
        <f>28+46/60</f>
        <v>28.766666666666666</v>
      </c>
      <c r="N5723" s="90">
        <f>115+55/60</f>
        <v>115.91666666666667</v>
      </c>
      <c r="U5723" s="55" t="s">
        <v>1935</v>
      </c>
      <c r="V5723" s="55" t="s">
        <v>1805</v>
      </c>
      <c r="Y5723" s="55" t="s">
        <v>6817</v>
      </c>
      <c r="AJ5723" s="90">
        <v>0.26</v>
      </c>
      <c r="AO5723" s="185" t="s">
        <v>7494</v>
      </c>
      <c r="AR5723" s="55" t="s">
        <v>1096</v>
      </c>
      <c r="AU5723" s="181" t="s">
        <v>7494</v>
      </c>
      <c r="AV5723" s="185" t="s">
        <v>176</v>
      </c>
      <c r="AX5723" s="185" t="s">
        <v>176</v>
      </c>
      <c r="BK5723" s="55" t="s">
        <v>6452</v>
      </c>
      <c r="BN5723" s="55" t="s">
        <v>1805</v>
      </c>
      <c r="BO5723" s="55" t="s">
        <v>1805</v>
      </c>
      <c r="CH5723" s="90">
        <v>1.19</v>
      </c>
      <c r="CI5723" s="90">
        <v>1.08</v>
      </c>
      <c r="EP5723" s="65">
        <v>50.58</v>
      </c>
      <c r="EQ5723" s="65">
        <v>53.48</v>
      </c>
      <c r="ET5723" s="65" t="s">
        <v>6792</v>
      </c>
      <c r="GP5723" s="292" t="s">
        <v>7494</v>
      </c>
    </row>
    <row r="5724" spans="1:198" x14ac:dyDescent="0.25">
      <c r="A5724" s="55">
        <v>5723</v>
      </c>
      <c r="B5724" s="12" t="s">
        <v>7067</v>
      </c>
      <c r="C5724" s="155" t="s">
        <v>6795</v>
      </c>
      <c r="D5724" s="55" t="s">
        <v>6800</v>
      </c>
      <c r="E5724" s="90" t="s">
        <v>6796</v>
      </c>
      <c r="G5724" s="55" t="s">
        <v>6797</v>
      </c>
      <c r="H5724" s="55" t="s">
        <v>5564</v>
      </c>
      <c r="I5724" s="55" t="s">
        <v>5643</v>
      </c>
      <c r="J5724" s="55" t="s">
        <v>6798</v>
      </c>
      <c r="K5724" s="55" t="s">
        <v>6799</v>
      </c>
      <c r="L5724" s="55" t="s">
        <v>3377</v>
      </c>
      <c r="M5724" s="90">
        <f>28+46/60</f>
        <v>28.766666666666666</v>
      </c>
      <c r="N5724" s="90">
        <f>115+55/60</f>
        <v>115.91666666666667</v>
      </c>
      <c r="U5724" s="55" t="s">
        <v>1935</v>
      </c>
      <c r="V5724" s="55" t="s">
        <v>1805</v>
      </c>
      <c r="Y5724" s="55" t="s">
        <v>6818</v>
      </c>
      <c r="AJ5724" s="90">
        <v>0.26</v>
      </c>
      <c r="AO5724" s="185" t="s">
        <v>7494</v>
      </c>
      <c r="AR5724" s="55" t="s">
        <v>1096</v>
      </c>
      <c r="AU5724" s="181" t="s">
        <v>7494</v>
      </c>
      <c r="AV5724" s="185" t="s">
        <v>176</v>
      </c>
      <c r="AX5724" s="185" t="s">
        <v>176</v>
      </c>
      <c r="BK5724" s="55" t="s">
        <v>2082</v>
      </c>
      <c r="BN5724" s="55" t="s">
        <v>1805</v>
      </c>
      <c r="BO5724" s="55" t="s">
        <v>1805</v>
      </c>
      <c r="CH5724" s="90">
        <v>1.18</v>
      </c>
      <c r="CI5724" s="90">
        <v>1.1399999999999999</v>
      </c>
      <c r="EP5724" s="65">
        <v>50.81</v>
      </c>
      <c r="EQ5724" s="65">
        <v>52.83</v>
      </c>
      <c r="ET5724" s="65" t="s">
        <v>6792</v>
      </c>
      <c r="GP5724" s="292" t="s">
        <v>7494</v>
      </c>
    </row>
    <row r="5725" spans="1:198" x14ac:dyDescent="0.25">
      <c r="A5725" s="55">
        <v>5724</v>
      </c>
      <c r="B5725" s="12" t="s">
        <v>7067</v>
      </c>
      <c r="C5725" s="155" t="s">
        <v>6795</v>
      </c>
      <c r="D5725" s="55" t="s">
        <v>6801</v>
      </c>
      <c r="E5725" s="90" t="s">
        <v>6796</v>
      </c>
      <c r="G5725" s="55" t="s">
        <v>6797</v>
      </c>
      <c r="H5725" s="55" t="s">
        <v>5564</v>
      </c>
      <c r="I5725" s="55" t="s">
        <v>5643</v>
      </c>
      <c r="J5725" s="55" t="s">
        <v>6798</v>
      </c>
      <c r="K5725" s="55" t="s">
        <v>6799</v>
      </c>
      <c r="L5725" s="55" t="s">
        <v>3377</v>
      </c>
      <c r="M5725" s="90">
        <f>28+46/60</f>
        <v>28.766666666666666</v>
      </c>
      <c r="N5725" s="90">
        <f>115+55/60</f>
        <v>115.91666666666667</v>
      </c>
      <c r="U5725" s="55" t="s">
        <v>1935</v>
      </c>
      <c r="V5725" s="55" t="s">
        <v>1805</v>
      </c>
      <c r="Y5725" s="55" t="s">
        <v>6818</v>
      </c>
      <c r="AJ5725" s="90">
        <v>0.26</v>
      </c>
      <c r="AO5725" s="185" t="s">
        <v>7494</v>
      </c>
      <c r="AR5725" s="55" t="s">
        <v>1096</v>
      </c>
      <c r="AU5725" s="181" t="s">
        <v>7494</v>
      </c>
      <c r="AV5725" s="185" t="s">
        <v>176</v>
      </c>
      <c r="AX5725" s="185" t="s">
        <v>176</v>
      </c>
      <c r="BK5725" s="55" t="s">
        <v>6452</v>
      </c>
      <c r="BN5725" s="55" t="s">
        <v>1805</v>
      </c>
      <c r="BO5725" s="55" t="s">
        <v>1805</v>
      </c>
      <c r="CH5725" s="90">
        <v>1.18</v>
      </c>
      <c r="CI5725" s="90">
        <v>1.0900000000000001</v>
      </c>
      <c r="EP5725" s="65">
        <v>50.81</v>
      </c>
      <c r="EQ5725" s="65">
        <v>54.38</v>
      </c>
      <c r="ET5725" s="65" t="s">
        <v>6792</v>
      </c>
      <c r="GP5725" s="292" t="s">
        <v>7494</v>
      </c>
    </row>
    <row r="5726" spans="1:198" x14ac:dyDescent="0.25">
      <c r="A5726" s="55">
        <v>5725</v>
      </c>
      <c r="B5726" s="12" t="s">
        <v>7067</v>
      </c>
      <c r="C5726" s="155" t="s">
        <v>6795</v>
      </c>
      <c r="D5726" s="55" t="s">
        <v>6802</v>
      </c>
      <c r="E5726" s="90" t="s">
        <v>6796</v>
      </c>
      <c r="G5726" s="55" t="s">
        <v>6797</v>
      </c>
      <c r="H5726" s="55" t="s">
        <v>5564</v>
      </c>
      <c r="I5726" s="55" t="s">
        <v>5643</v>
      </c>
      <c r="J5726" s="55" t="s">
        <v>6798</v>
      </c>
      <c r="K5726" s="55" t="s">
        <v>6799</v>
      </c>
      <c r="L5726" s="55" t="s">
        <v>3377</v>
      </c>
      <c r="M5726" s="90">
        <f>28+46/60</f>
        <v>28.766666666666666</v>
      </c>
      <c r="N5726" s="90">
        <f>115+55/60</f>
        <v>115.91666666666667</v>
      </c>
      <c r="U5726" s="55" t="s">
        <v>1935</v>
      </c>
      <c r="V5726" s="55" t="s">
        <v>1805</v>
      </c>
      <c r="Y5726" s="55" t="s">
        <v>6818</v>
      </c>
      <c r="AJ5726" s="90">
        <v>0.26</v>
      </c>
      <c r="AO5726" s="185" t="s">
        <v>7494</v>
      </c>
      <c r="AR5726" s="55" t="s">
        <v>1096</v>
      </c>
      <c r="AU5726" s="181" t="s">
        <v>7494</v>
      </c>
      <c r="AV5726" s="185" t="s">
        <v>176</v>
      </c>
      <c r="AX5726" s="185" t="s">
        <v>176</v>
      </c>
      <c r="BK5726" s="55" t="s">
        <v>6452</v>
      </c>
      <c r="BN5726" s="55" t="s">
        <v>1805</v>
      </c>
      <c r="BO5726" s="55" t="s">
        <v>1805</v>
      </c>
      <c r="CH5726" s="90">
        <v>1.18</v>
      </c>
      <c r="CI5726" s="90">
        <v>1.07</v>
      </c>
      <c r="EP5726" s="65">
        <v>50.81</v>
      </c>
      <c r="EQ5726" s="65">
        <v>54.58</v>
      </c>
      <c r="ET5726" s="65" t="s">
        <v>6792</v>
      </c>
      <c r="GP5726" s="292" t="s">
        <v>7494</v>
      </c>
    </row>
    <row r="5727" spans="1:198" x14ac:dyDescent="0.25">
      <c r="A5727" s="55">
        <v>5726</v>
      </c>
      <c r="B5727" s="12" t="s">
        <v>7067</v>
      </c>
      <c r="C5727" s="155" t="s">
        <v>6803</v>
      </c>
      <c r="D5727" s="55" t="s">
        <v>6805</v>
      </c>
      <c r="E5727" s="90" t="s">
        <v>6409</v>
      </c>
      <c r="G5727" s="55" t="s">
        <v>6804</v>
      </c>
      <c r="H5727" s="55" t="s">
        <v>5532</v>
      </c>
      <c r="I5727" s="55" t="s">
        <v>5864</v>
      </c>
      <c r="J5727" s="55" t="s">
        <v>6673</v>
      </c>
      <c r="K5727" s="55" t="s">
        <v>6530</v>
      </c>
      <c r="L5727" s="55" t="s">
        <v>3377</v>
      </c>
      <c r="M5727" s="90">
        <v>35</v>
      </c>
      <c r="N5727" s="90">
        <v>104</v>
      </c>
      <c r="O5727" s="90">
        <v>2000</v>
      </c>
      <c r="Q5727" s="55" t="s">
        <v>5826</v>
      </c>
      <c r="S5727" s="90" t="s">
        <v>6492</v>
      </c>
      <c r="U5727" s="55" t="s">
        <v>1935</v>
      </c>
      <c r="V5727" s="55" t="s">
        <v>1935</v>
      </c>
      <c r="W5727" s="173" t="s">
        <v>6811</v>
      </c>
      <c r="X5727" s="173" t="s">
        <v>6812</v>
      </c>
      <c r="Z5727" s="55" t="s">
        <v>6605</v>
      </c>
      <c r="AA5727" s="90">
        <v>5</v>
      </c>
      <c r="AH5727" s="55" t="s">
        <v>769</v>
      </c>
      <c r="AM5727" s="55" t="s">
        <v>6493</v>
      </c>
      <c r="AN5727" s="185" t="s">
        <v>376</v>
      </c>
      <c r="AO5727" s="185" t="s">
        <v>5150</v>
      </c>
      <c r="AQ5727" s="55" t="s">
        <v>553</v>
      </c>
      <c r="AR5727" s="55" t="s">
        <v>116</v>
      </c>
      <c r="AS5727" s="55" t="s">
        <v>116</v>
      </c>
      <c r="AU5727" s="181" t="s">
        <v>7494</v>
      </c>
      <c r="AV5727" s="185" t="s">
        <v>176</v>
      </c>
      <c r="AX5727" s="185" t="s">
        <v>176</v>
      </c>
      <c r="BK5727" s="55" t="s">
        <v>6723</v>
      </c>
      <c r="BN5727" s="55" t="s">
        <v>1688</v>
      </c>
      <c r="BO5727" s="55" t="s">
        <v>1688</v>
      </c>
      <c r="BV5727" s="55" t="s">
        <v>6809</v>
      </c>
      <c r="FJ5727" s="65">
        <v>1.81</v>
      </c>
      <c r="FK5727" s="65">
        <v>1.44</v>
      </c>
      <c r="FN5727" s="65" t="s">
        <v>206</v>
      </c>
      <c r="FO5727" s="65">
        <v>13.52</v>
      </c>
      <c r="FP5727" s="65">
        <v>11.6</v>
      </c>
      <c r="FS5727" s="65" t="s">
        <v>637</v>
      </c>
      <c r="GD5727" s="65">
        <v>1.1299999999999999</v>
      </c>
      <c r="GE5727" s="65">
        <v>1.83</v>
      </c>
      <c r="GH5727" s="65" t="s">
        <v>164</v>
      </c>
      <c r="GP5727" s="292" t="s">
        <v>7494</v>
      </c>
    </row>
    <row r="5728" spans="1:198" x14ac:dyDescent="0.25">
      <c r="A5728" s="55">
        <v>5727</v>
      </c>
      <c r="B5728" s="12" t="s">
        <v>7067</v>
      </c>
      <c r="C5728" s="155" t="s">
        <v>6803</v>
      </c>
      <c r="D5728" s="55" t="s">
        <v>6806</v>
      </c>
      <c r="E5728" s="90" t="s">
        <v>6409</v>
      </c>
      <c r="G5728" s="55" t="s">
        <v>6804</v>
      </c>
      <c r="H5728" s="55" t="s">
        <v>5532</v>
      </c>
      <c r="I5728" s="55" t="s">
        <v>5864</v>
      </c>
      <c r="J5728" s="55" t="s">
        <v>6673</v>
      </c>
      <c r="K5728" s="55" t="s">
        <v>6530</v>
      </c>
      <c r="L5728" s="55" t="s">
        <v>3377</v>
      </c>
      <c r="M5728" s="90">
        <v>35</v>
      </c>
      <c r="N5728" s="90">
        <v>104</v>
      </c>
      <c r="O5728" s="90">
        <v>2000</v>
      </c>
      <c r="Q5728" s="55" t="s">
        <v>5826</v>
      </c>
      <c r="S5728" s="90" t="s">
        <v>6492</v>
      </c>
      <c r="U5728" s="55" t="s">
        <v>1935</v>
      </c>
      <c r="V5728" s="55" t="s">
        <v>1935</v>
      </c>
      <c r="W5728" s="173" t="s">
        <v>6811</v>
      </c>
      <c r="X5728" s="173" t="s">
        <v>6812</v>
      </c>
      <c r="Z5728" s="55" t="s">
        <v>6606</v>
      </c>
      <c r="AA5728" s="90">
        <v>5</v>
      </c>
      <c r="AH5728" s="55" t="s">
        <v>769</v>
      </c>
      <c r="AM5728" s="55" t="s">
        <v>6493</v>
      </c>
      <c r="AN5728" s="185" t="s">
        <v>376</v>
      </c>
      <c r="AO5728" s="185" t="s">
        <v>5150</v>
      </c>
      <c r="AQ5728" s="55" t="s">
        <v>553</v>
      </c>
      <c r="AR5728" s="55" t="s">
        <v>116</v>
      </c>
      <c r="AS5728" s="55" t="s">
        <v>116</v>
      </c>
      <c r="AU5728" s="181" t="s">
        <v>7494</v>
      </c>
      <c r="AV5728" s="185" t="s">
        <v>176</v>
      </c>
      <c r="AX5728" s="185" t="s">
        <v>176</v>
      </c>
      <c r="BK5728" s="55" t="s">
        <v>6723</v>
      </c>
      <c r="BN5728" s="55" t="s">
        <v>1688</v>
      </c>
      <c r="BO5728" s="55" t="s">
        <v>1688</v>
      </c>
      <c r="BV5728" s="55" t="s">
        <v>6809</v>
      </c>
      <c r="FJ5728" s="65">
        <v>3.03</v>
      </c>
      <c r="FK5728" s="65">
        <v>1.8</v>
      </c>
      <c r="FN5728" s="65" t="s">
        <v>206</v>
      </c>
      <c r="FO5728" s="65">
        <v>15.97</v>
      </c>
      <c r="FP5728" s="65">
        <v>15.47</v>
      </c>
      <c r="FS5728" s="65" t="s">
        <v>637</v>
      </c>
      <c r="GD5728" s="65">
        <v>3</v>
      </c>
      <c r="GE5728" s="65">
        <v>4.07</v>
      </c>
      <c r="GH5728" s="65" t="s">
        <v>164</v>
      </c>
      <c r="GP5728" s="292" t="s">
        <v>7494</v>
      </c>
    </row>
    <row r="5729" spans="1:198" x14ac:dyDescent="0.25">
      <c r="A5729" s="55">
        <v>5728</v>
      </c>
      <c r="B5729" s="12" t="s">
        <v>7067</v>
      </c>
      <c r="C5729" s="155" t="s">
        <v>6803</v>
      </c>
      <c r="D5729" s="55" t="s">
        <v>6807</v>
      </c>
      <c r="E5729" s="90" t="s">
        <v>6409</v>
      </c>
      <c r="G5729" s="55" t="s">
        <v>6804</v>
      </c>
      <c r="H5729" s="55" t="s">
        <v>5532</v>
      </c>
      <c r="I5729" s="55" t="s">
        <v>5864</v>
      </c>
      <c r="J5729" s="55" t="s">
        <v>6673</v>
      </c>
      <c r="K5729" s="55" t="s">
        <v>6530</v>
      </c>
      <c r="L5729" s="55" t="s">
        <v>3377</v>
      </c>
      <c r="M5729" s="90">
        <v>35</v>
      </c>
      <c r="N5729" s="90">
        <v>104</v>
      </c>
      <c r="O5729" s="90">
        <v>2000</v>
      </c>
      <c r="Q5729" s="55" t="s">
        <v>5826</v>
      </c>
      <c r="S5729" s="90" t="s">
        <v>6492</v>
      </c>
      <c r="U5729" s="55" t="s">
        <v>1935</v>
      </c>
      <c r="V5729" s="55" t="s">
        <v>1935</v>
      </c>
      <c r="W5729" s="173" t="s">
        <v>6811</v>
      </c>
      <c r="X5729" s="173" t="s">
        <v>6812</v>
      </c>
      <c r="Z5729" s="55" t="s">
        <v>6607</v>
      </c>
      <c r="AA5729" s="90">
        <v>20</v>
      </c>
      <c r="AH5729" s="55" t="s">
        <v>769</v>
      </c>
      <c r="AM5729" s="55" t="s">
        <v>6493</v>
      </c>
      <c r="AN5729" s="185" t="s">
        <v>376</v>
      </c>
      <c r="AO5729" s="185" t="s">
        <v>5150</v>
      </c>
      <c r="AQ5729" s="55" t="s">
        <v>553</v>
      </c>
      <c r="AR5729" s="55" t="s">
        <v>116</v>
      </c>
      <c r="AS5729" s="55" t="s">
        <v>116</v>
      </c>
      <c r="AU5729" s="181" t="s">
        <v>7494</v>
      </c>
      <c r="AV5729" s="185" t="s">
        <v>176</v>
      </c>
      <c r="AX5729" s="185" t="s">
        <v>176</v>
      </c>
      <c r="BK5729" s="55" t="s">
        <v>6723</v>
      </c>
      <c r="BN5729" s="55" t="s">
        <v>1688</v>
      </c>
      <c r="BO5729" s="55" t="s">
        <v>1688</v>
      </c>
      <c r="BV5729" s="55" t="s">
        <v>6809</v>
      </c>
      <c r="FJ5729" s="65">
        <v>2.0299999999999998</v>
      </c>
      <c r="FK5729" s="65">
        <v>2.67</v>
      </c>
      <c r="FN5729" s="65" t="s">
        <v>206</v>
      </c>
      <c r="FO5729" s="65">
        <v>17.54</v>
      </c>
      <c r="FP5729" s="65">
        <v>16.420000000000002</v>
      </c>
      <c r="FS5729" s="65" t="s">
        <v>637</v>
      </c>
      <c r="GD5729" s="65">
        <v>4.1100000000000003</v>
      </c>
      <c r="GE5729" s="65">
        <v>5.3</v>
      </c>
      <c r="GH5729" s="65" t="s">
        <v>164</v>
      </c>
      <c r="GP5729" s="292" t="s">
        <v>7494</v>
      </c>
    </row>
    <row r="5730" spans="1:198" x14ac:dyDescent="0.25">
      <c r="A5730" s="55">
        <v>5729</v>
      </c>
      <c r="B5730" s="12" t="s">
        <v>7067</v>
      </c>
      <c r="C5730" s="155" t="s">
        <v>6803</v>
      </c>
      <c r="D5730" s="55" t="s">
        <v>6808</v>
      </c>
      <c r="E5730" s="90" t="s">
        <v>6409</v>
      </c>
      <c r="G5730" s="55" t="s">
        <v>6804</v>
      </c>
      <c r="H5730" s="55" t="s">
        <v>5532</v>
      </c>
      <c r="I5730" s="55" t="s">
        <v>5864</v>
      </c>
      <c r="J5730" s="55" t="s">
        <v>6673</v>
      </c>
      <c r="K5730" s="55" t="s">
        <v>6530</v>
      </c>
      <c r="L5730" s="55" t="s">
        <v>3377</v>
      </c>
      <c r="M5730" s="90">
        <v>35</v>
      </c>
      <c r="N5730" s="90">
        <v>104</v>
      </c>
      <c r="O5730" s="90">
        <v>2000</v>
      </c>
      <c r="Q5730" s="55" t="s">
        <v>5826</v>
      </c>
      <c r="S5730" s="90" t="s">
        <v>6492</v>
      </c>
      <c r="U5730" s="55" t="s">
        <v>1935</v>
      </c>
      <c r="V5730" s="55" t="s">
        <v>1935</v>
      </c>
      <c r="W5730" s="173" t="s">
        <v>6811</v>
      </c>
      <c r="X5730" s="173" t="s">
        <v>6812</v>
      </c>
      <c r="Z5730" s="55" t="s">
        <v>6791</v>
      </c>
      <c r="AA5730" s="90">
        <v>20</v>
      </c>
      <c r="AH5730" s="55" t="s">
        <v>769</v>
      </c>
      <c r="AM5730" s="55" t="s">
        <v>6493</v>
      </c>
      <c r="AN5730" s="185" t="s">
        <v>376</v>
      </c>
      <c r="AO5730" s="185" t="s">
        <v>5150</v>
      </c>
      <c r="AQ5730" s="55" t="s">
        <v>553</v>
      </c>
      <c r="AR5730" s="55" t="s">
        <v>116</v>
      </c>
      <c r="AS5730" s="55" t="s">
        <v>116</v>
      </c>
      <c r="AU5730" s="181" t="s">
        <v>7494</v>
      </c>
      <c r="AV5730" s="185" t="s">
        <v>176</v>
      </c>
      <c r="AX5730" s="185" t="s">
        <v>176</v>
      </c>
      <c r="BK5730" s="55" t="s">
        <v>6723</v>
      </c>
      <c r="BN5730" s="55" t="s">
        <v>1688</v>
      </c>
      <c r="BO5730" s="55" t="s">
        <v>1688</v>
      </c>
      <c r="BV5730" s="55" t="s">
        <v>6809</v>
      </c>
      <c r="FJ5730" s="65">
        <v>2.73</v>
      </c>
      <c r="FK5730" s="65">
        <v>2.33</v>
      </c>
      <c r="FN5730" s="65" t="s">
        <v>206</v>
      </c>
      <c r="FO5730" s="65">
        <v>19.239999999999998</v>
      </c>
      <c r="FP5730" s="65">
        <v>16.25</v>
      </c>
      <c r="FS5730" s="65" t="s">
        <v>637</v>
      </c>
      <c r="GD5730" s="65">
        <v>5.83</v>
      </c>
      <c r="GE5730" s="65">
        <v>6.77</v>
      </c>
      <c r="GH5730" s="65" t="s">
        <v>164</v>
      </c>
      <c r="GP5730" s="292" t="s">
        <v>7494</v>
      </c>
    </row>
    <row r="5731" spans="1:198" x14ac:dyDescent="0.25">
      <c r="A5731" s="55">
        <v>5730</v>
      </c>
      <c r="B5731" s="12" t="s">
        <v>7067</v>
      </c>
      <c r="C5731" s="155" t="s">
        <v>6803</v>
      </c>
      <c r="D5731" s="55" t="s">
        <v>6805</v>
      </c>
      <c r="E5731" s="90" t="s">
        <v>6409</v>
      </c>
      <c r="G5731" s="55" t="s">
        <v>6804</v>
      </c>
      <c r="H5731" s="55" t="s">
        <v>5532</v>
      </c>
      <c r="I5731" s="55" t="s">
        <v>5864</v>
      </c>
      <c r="J5731" s="55" t="s">
        <v>6673</v>
      </c>
      <c r="K5731" s="55" t="s">
        <v>6530</v>
      </c>
      <c r="L5731" s="55" t="s">
        <v>3377</v>
      </c>
      <c r="M5731" s="90">
        <v>35</v>
      </c>
      <c r="N5731" s="90">
        <v>104</v>
      </c>
      <c r="O5731" s="90">
        <v>2000</v>
      </c>
      <c r="Q5731" s="55" t="s">
        <v>5826</v>
      </c>
      <c r="S5731" s="90" t="s">
        <v>6492</v>
      </c>
      <c r="U5731" s="55" t="s">
        <v>1935</v>
      </c>
      <c r="V5731" s="55" t="s">
        <v>1935</v>
      </c>
      <c r="W5731" s="173" t="s">
        <v>6811</v>
      </c>
      <c r="X5731" s="173" t="s">
        <v>6812</v>
      </c>
      <c r="Z5731" s="55" t="s">
        <v>6605</v>
      </c>
      <c r="AA5731" s="90">
        <v>5</v>
      </c>
      <c r="AH5731" s="55" t="s">
        <v>769</v>
      </c>
      <c r="AM5731" s="55" t="s">
        <v>6493</v>
      </c>
      <c r="AN5731" s="185" t="s">
        <v>376</v>
      </c>
      <c r="AO5731" s="185" t="s">
        <v>5150</v>
      </c>
      <c r="AQ5731" s="55" t="s">
        <v>553</v>
      </c>
      <c r="AR5731" s="55" t="s">
        <v>116</v>
      </c>
      <c r="AS5731" s="55" t="s">
        <v>116</v>
      </c>
      <c r="AU5731" s="181" t="s">
        <v>7494</v>
      </c>
      <c r="AV5731" s="185" t="s">
        <v>176</v>
      </c>
      <c r="AX5731" s="185" t="s">
        <v>176</v>
      </c>
      <c r="BK5731" s="55" t="s">
        <v>6723</v>
      </c>
      <c r="BN5731" s="55" t="s">
        <v>1688</v>
      </c>
      <c r="BO5731" s="55" t="s">
        <v>1688</v>
      </c>
      <c r="BV5731" s="55" t="s">
        <v>6810</v>
      </c>
      <c r="FJ5731" s="65">
        <v>1.9</v>
      </c>
      <c r="FK5731" s="65">
        <v>2.3199999999999998</v>
      </c>
      <c r="FN5731" s="65" t="s">
        <v>206</v>
      </c>
      <c r="FO5731" s="65">
        <v>17.87</v>
      </c>
      <c r="FP5731" s="65">
        <v>16.579999999999998</v>
      </c>
      <c r="FS5731" s="65" t="s">
        <v>637</v>
      </c>
      <c r="GD5731" s="65">
        <v>9.51</v>
      </c>
      <c r="GE5731" s="65">
        <v>15.95</v>
      </c>
      <c r="GH5731" s="65" t="s">
        <v>164</v>
      </c>
      <c r="GP5731" s="292" t="s">
        <v>7494</v>
      </c>
    </row>
    <row r="5732" spans="1:198" x14ac:dyDescent="0.25">
      <c r="A5732" s="55">
        <v>5731</v>
      </c>
      <c r="B5732" s="12" t="s">
        <v>7067</v>
      </c>
      <c r="C5732" s="155" t="s">
        <v>6803</v>
      </c>
      <c r="D5732" s="55" t="s">
        <v>6806</v>
      </c>
      <c r="E5732" s="90" t="s">
        <v>6409</v>
      </c>
      <c r="G5732" s="55" t="s">
        <v>6804</v>
      </c>
      <c r="H5732" s="55" t="s">
        <v>5532</v>
      </c>
      <c r="I5732" s="55" t="s">
        <v>5864</v>
      </c>
      <c r="J5732" s="55" t="s">
        <v>6673</v>
      </c>
      <c r="K5732" s="55" t="s">
        <v>6530</v>
      </c>
      <c r="L5732" s="55" t="s">
        <v>3377</v>
      </c>
      <c r="M5732" s="90">
        <v>35</v>
      </c>
      <c r="N5732" s="90">
        <v>104</v>
      </c>
      <c r="O5732" s="90">
        <v>2000</v>
      </c>
      <c r="Q5732" s="55" t="s">
        <v>5826</v>
      </c>
      <c r="S5732" s="90" t="s">
        <v>6492</v>
      </c>
      <c r="U5732" s="55" t="s">
        <v>1935</v>
      </c>
      <c r="V5732" s="55" t="s">
        <v>1935</v>
      </c>
      <c r="W5732" s="173" t="s">
        <v>6811</v>
      </c>
      <c r="X5732" s="173" t="s">
        <v>6812</v>
      </c>
      <c r="Z5732" s="55" t="s">
        <v>6606</v>
      </c>
      <c r="AA5732" s="90">
        <v>5</v>
      </c>
      <c r="AH5732" s="55" t="s">
        <v>769</v>
      </c>
      <c r="AM5732" s="55" t="s">
        <v>6493</v>
      </c>
      <c r="AN5732" s="185" t="s">
        <v>376</v>
      </c>
      <c r="AO5732" s="185" t="s">
        <v>5150</v>
      </c>
      <c r="AQ5732" s="55" t="s">
        <v>553</v>
      </c>
      <c r="AR5732" s="55" t="s">
        <v>116</v>
      </c>
      <c r="AS5732" s="55" t="s">
        <v>116</v>
      </c>
      <c r="AU5732" s="181" t="s">
        <v>7494</v>
      </c>
      <c r="AV5732" s="185" t="s">
        <v>176</v>
      </c>
      <c r="AX5732" s="185" t="s">
        <v>176</v>
      </c>
      <c r="BK5732" s="55" t="s">
        <v>6723</v>
      </c>
      <c r="BN5732" s="55" t="s">
        <v>1688</v>
      </c>
      <c r="BO5732" s="55" t="s">
        <v>1688</v>
      </c>
      <c r="BV5732" s="55" t="s">
        <v>6810</v>
      </c>
      <c r="FJ5732" s="65">
        <v>1.85</v>
      </c>
      <c r="FK5732" s="65">
        <v>1.97</v>
      </c>
      <c r="FN5732" s="65" t="s">
        <v>206</v>
      </c>
      <c r="FO5732" s="65">
        <v>17.7</v>
      </c>
      <c r="FP5732" s="65">
        <v>15.42</v>
      </c>
      <c r="FS5732" s="65" t="s">
        <v>637</v>
      </c>
      <c r="GD5732" s="65">
        <v>6.41</v>
      </c>
      <c r="GE5732" s="65">
        <v>13.31</v>
      </c>
      <c r="GH5732" s="65" t="s">
        <v>164</v>
      </c>
      <c r="GP5732" s="292" t="s">
        <v>7494</v>
      </c>
    </row>
    <row r="5733" spans="1:198" x14ac:dyDescent="0.25">
      <c r="A5733" s="55">
        <v>5732</v>
      </c>
      <c r="B5733" s="12" t="s">
        <v>7067</v>
      </c>
      <c r="C5733" s="155" t="s">
        <v>6803</v>
      </c>
      <c r="D5733" s="55" t="s">
        <v>6807</v>
      </c>
      <c r="E5733" s="90" t="s">
        <v>6409</v>
      </c>
      <c r="G5733" s="55" t="s">
        <v>6804</v>
      </c>
      <c r="H5733" s="55" t="s">
        <v>5532</v>
      </c>
      <c r="I5733" s="55" t="s">
        <v>5864</v>
      </c>
      <c r="J5733" s="55" t="s">
        <v>6673</v>
      </c>
      <c r="K5733" s="55" t="s">
        <v>6530</v>
      </c>
      <c r="L5733" s="55" t="s">
        <v>3377</v>
      </c>
      <c r="M5733" s="90">
        <v>35</v>
      </c>
      <c r="N5733" s="90">
        <v>104</v>
      </c>
      <c r="O5733" s="90">
        <v>2000</v>
      </c>
      <c r="Q5733" s="55" t="s">
        <v>5826</v>
      </c>
      <c r="S5733" s="90" t="s">
        <v>6492</v>
      </c>
      <c r="U5733" s="55" t="s">
        <v>1935</v>
      </c>
      <c r="V5733" s="55" t="s">
        <v>1935</v>
      </c>
      <c r="W5733" s="173" t="s">
        <v>6811</v>
      </c>
      <c r="X5733" s="173" t="s">
        <v>6812</v>
      </c>
      <c r="Z5733" s="55" t="s">
        <v>6607</v>
      </c>
      <c r="AA5733" s="90">
        <v>20</v>
      </c>
      <c r="AH5733" s="55" t="s">
        <v>769</v>
      </c>
      <c r="AM5733" s="55" t="s">
        <v>6493</v>
      </c>
      <c r="AN5733" s="185" t="s">
        <v>376</v>
      </c>
      <c r="AO5733" s="185" t="s">
        <v>5150</v>
      </c>
      <c r="AQ5733" s="55" t="s">
        <v>553</v>
      </c>
      <c r="AR5733" s="55" t="s">
        <v>116</v>
      </c>
      <c r="AS5733" s="55" t="s">
        <v>116</v>
      </c>
      <c r="AU5733" s="181" t="s">
        <v>7494</v>
      </c>
      <c r="AV5733" s="185" t="s">
        <v>176</v>
      </c>
      <c r="AX5733" s="185" t="s">
        <v>176</v>
      </c>
      <c r="BK5733" s="55" t="s">
        <v>6723</v>
      </c>
      <c r="BN5733" s="55" t="s">
        <v>1688</v>
      </c>
      <c r="BO5733" s="55" t="s">
        <v>1688</v>
      </c>
      <c r="BV5733" s="55" t="s">
        <v>6810</v>
      </c>
      <c r="FJ5733" s="65">
        <v>1.56</v>
      </c>
      <c r="FK5733" s="65">
        <v>1.41</v>
      </c>
      <c r="FN5733" s="65" t="s">
        <v>206</v>
      </c>
      <c r="FO5733" s="65">
        <v>17.239999999999998</v>
      </c>
      <c r="FP5733" s="65">
        <v>15.12</v>
      </c>
      <c r="FS5733" s="65" t="s">
        <v>637</v>
      </c>
      <c r="GD5733" s="65">
        <v>4.97</v>
      </c>
      <c r="GE5733" s="65">
        <v>5.56</v>
      </c>
      <c r="GH5733" s="65" t="s">
        <v>164</v>
      </c>
      <c r="GP5733" s="292" t="s">
        <v>7494</v>
      </c>
    </row>
    <row r="5734" spans="1:198" x14ac:dyDescent="0.25">
      <c r="A5734" s="55">
        <v>5733</v>
      </c>
      <c r="B5734" s="12" t="s">
        <v>7067</v>
      </c>
      <c r="C5734" s="155" t="s">
        <v>6803</v>
      </c>
      <c r="D5734" s="55" t="s">
        <v>6808</v>
      </c>
      <c r="E5734" s="90" t="s">
        <v>6409</v>
      </c>
      <c r="G5734" s="55" t="s">
        <v>6804</v>
      </c>
      <c r="H5734" s="55" t="s">
        <v>5532</v>
      </c>
      <c r="I5734" s="55" t="s">
        <v>5864</v>
      </c>
      <c r="J5734" s="55" t="s">
        <v>6673</v>
      </c>
      <c r="K5734" s="55" t="s">
        <v>6530</v>
      </c>
      <c r="L5734" s="55" t="s">
        <v>3377</v>
      </c>
      <c r="M5734" s="90">
        <v>35</v>
      </c>
      <c r="N5734" s="90">
        <v>104</v>
      </c>
      <c r="O5734" s="90">
        <v>2000</v>
      </c>
      <c r="Q5734" s="55" t="s">
        <v>5826</v>
      </c>
      <c r="S5734" s="90" t="s">
        <v>6492</v>
      </c>
      <c r="U5734" s="55" t="s">
        <v>1935</v>
      </c>
      <c r="V5734" s="55" t="s">
        <v>1935</v>
      </c>
      <c r="W5734" s="173" t="s">
        <v>6811</v>
      </c>
      <c r="X5734" s="173" t="s">
        <v>6812</v>
      </c>
      <c r="Z5734" s="55" t="s">
        <v>6791</v>
      </c>
      <c r="AA5734" s="90">
        <v>20</v>
      </c>
      <c r="AH5734" s="55" t="s">
        <v>769</v>
      </c>
      <c r="AM5734" s="55" t="s">
        <v>6493</v>
      </c>
      <c r="AN5734" s="185" t="s">
        <v>376</v>
      </c>
      <c r="AO5734" s="185" t="s">
        <v>5150</v>
      </c>
      <c r="AQ5734" s="55" t="s">
        <v>553</v>
      </c>
      <c r="AR5734" s="55" t="s">
        <v>116</v>
      </c>
      <c r="AS5734" s="55" t="s">
        <v>116</v>
      </c>
      <c r="AU5734" s="181" t="s">
        <v>7494</v>
      </c>
      <c r="AV5734" s="185" t="s">
        <v>176</v>
      </c>
      <c r="AX5734" s="185" t="s">
        <v>176</v>
      </c>
      <c r="BK5734" s="55" t="s">
        <v>6723</v>
      </c>
      <c r="BN5734" s="55" t="s">
        <v>1688</v>
      </c>
      <c r="BO5734" s="55" t="s">
        <v>1688</v>
      </c>
      <c r="BV5734" s="55" t="s">
        <v>6810</v>
      </c>
      <c r="FJ5734" s="65">
        <v>1.38</v>
      </c>
      <c r="FK5734" s="65">
        <v>1.23</v>
      </c>
      <c r="FN5734" s="65" t="s">
        <v>206</v>
      </c>
      <c r="FO5734" s="65">
        <v>13.71</v>
      </c>
      <c r="FP5734" s="65">
        <v>11.63</v>
      </c>
      <c r="FS5734" s="65" t="s">
        <v>637</v>
      </c>
      <c r="GD5734" s="65">
        <v>6.11</v>
      </c>
      <c r="GE5734" s="65">
        <v>7.3</v>
      </c>
      <c r="GH5734" s="65" t="s">
        <v>164</v>
      </c>
      <c r="GP5734" s="292" t="s">
        <v>7494</v>
      </c>
    </row>
    <row r="5735" spans="1:198" x14ac:dyDescent="0.25">
      <c r="A5735" s="55">
        <v>5734</v>
      </c>
      <c r="B5735" s="12" t="s">
        <v>7067</v>
      </c>
      <c r="C5735" s="155" t="s">
        <v>6803</v>
      </c>
      <c r="D5735" s="55" t="s">
        <v>6805</v>
      </c>
      <c r="E5735" s="90" t="s">
        <v>6409</v>
      </c>
      <c r="G5735" s="55" t="s">
        <v>6804</v>
      </c>
      <c r="H5735" s="55" t="s">
        <v>5532</v>
      </c>
      <c r="I5735" s="55" t="s">
        <v>5864</v>
      </c>
      <c r="J5735" s="55" t="s">
        <v>6673</v>
      </c>
      <c r="K5735" s="55" t="s">
        <v>6530</v>
      </c>
      <c r="L5735" s="55" t="s">
        <v>3377</v>
      </c>
      <c r="M5735" s="90">
        <v>35</v>
      </c>
      <c r="N5735" s="90">
        <v>104</v>
      </c>
      <c r="O5735" s="90">
        <v>2000</v>
      </c>
      <c r="Q5735" s="55" t="s">
        <v>5826</v>
      </c>
      <c r="S5735" s="90" t="s">
        <v>6492</v>
      </c>
      <c r="U5735" s="55" t="s">
        <v>1935</v>
      </c>
      <c r="V5735" s="55" t="s">
        <v>1935</v>
      </c>
      <c r="W5735" s="173" t="s">
        <v>6813</v>
      </c>
      <c r="X5735" s="173" t="s">
        <v>6812</v>
      </c>
      <c r="Z5735" s="55" t="s">
        <v>6605</v>
      </c>
      <c r="AA5735" s="90">
        <v>5</v>
      </c>
      <c r="AH5735" s="55" t="s">
        <v>769</v>
      </c>
      <c r="AM5735" s="55" t="s">
        <v>6493</v>
      </c>
      <c r="AN5735" s="185" t="s">
        <v>376</v>
      </c>
      <c r="AO5735" s="185" t="s">
        <v>5150</v>
      </c>
      <c r="AQ5735" s="55" t="s">
        <v>553</v>
      </c>
      <c r="AR5735" s="55" t="s">
        <v>3646</v>
      </c>
      <c r="AS5735" s="55" t="s">
        <v>227</v>
      </c>
      <c r="AU5735" s="181" t="s">
        <v>7494</v>
      </c>
      <c r="AV5735" s="185" t="s">
        <v>176</v>
      </c>
      <c r="AX5735" s="185" t="s">
        <v>176</v>
      </c>
      <c r="BK5735" s="55" t="s">
        <v>6723</v>
      </c>
      <c r="BN5735" s="55" t="s">
        <v>1688</v>
      </c>
      <c r="BO5735" s="55" t="s">
        <v>1688</v>
      </c>
      <c r="BV5735" s="55" t="s">
        <v>6809</v>
      </c>
      <c r="FJ5735" s="65">
        <v>1.1599999999999999</v>
      </c>
      <c r="FK5735" s="65">
        <v>0.92</v>
      </c>
      <c r="FN5735" s="65" t="s">
        <v>206</v>
      </c>
      <c r="FO5735" s="65">
        <v>9.1999999999999993</v>
      </c>
      <c r="FP5735" s="65">
        <v>6.29</v>
      </c>
      <c r="FS5735" s="65" t="s">
        <v>637</v>
      </c>
      <c r="GD5735" s="65">
        <v>1.58</v>
      </c>
      <c r="GE5735" s="65">
        <v>2.15</v>
      </c>
      <c r="GH5735" s="65" t="s">
        <v>164</v>
      </c>
      <c r="GP5735" s="292" t="s">
        <v>7494</v>
      </c>
    </row>
    <row r="5736" spans="1:198" x14ac:dyDescent="0.25">
      <c r="A5736" s="55">
        <v>5735</v>
      </c>
      <c r="B5736" s="12" t="s">
        <v>7067</v>
      </c>
      <c r="C5736" s="155" t="s">
        <v>6803</v>
      </c>
      <c r="D5736" s="55" t="s">
        <v>6806</v>
      </c>
      <c r="E5736" s="90" t="s">
        <v>6409</v>
      </c>
      <c r="G5736" s="55" t="s">
        <v>6804</v>
      </c>
      <c r="H5736" s="55" t="s">
        <v>5532</v>
      </c>
      <c r="I5736" s="55" t="s">
        <v>5864</v>
      </c>
      <c r="J5736" s="55" t="s">
        <v>6673</v>
      </c>
      <c r="K5736" s="55" t="s">
        <v>6530</v>
      </c>
      <c r="L5736" s="55" t="s">
        <v>3377</v>
      </c>
      <c r="M5736" s="90">
        <v>35</v>
      </c>
      <c r="N5736" s="90">
        <v>104</v>
      </c>
      <c r="O5736" s="90">
        <v>2000</v>
      </c>
      <c r="Q5736" s="55" t="s">
        <v>5826</v>
      </c>
      <c r="S5736" s="90" t="s">
        <v>6492</v>
      </c>
      <c r="U5736" s="55" t="s">
        <v>1935</v>
      </c>
      <c r="V5736" s="55" t="s">
        <v>1935</v>
      </c>
      <c r="W5736" s="173" t="s">
        <v>6813</v>
      </c>
      <c r="X5736" s="173" t="s">
        <v>6812</v>
      </c>
      <c r="Z5736" s="55" t="s">
        <v>6606</v>
      </c>
      <c r="AA5736" s="90">
        <v>5</v>
      </c>
      <c r="AH5736" s="55" t="s">
        <v>769</v>
      </c>
      <c r="AM5736" s="55" t="s">
        <v>6493</v>
      </c>
      <c r="AN5736" s="185" t="s">
        <v>376</v>
      </c>
      <c r="AO5736" s="185" t="s">
        <v>5150</v>
      </c>
      <c r="AQ5736" s="55" t="s">
        <v>553</v>
      </c>
      <c r="AR5736" s="55" t="s">
        <v>3646</v>
      </c>
      <c r="AS5736" s="55" t="s">
        <v>227</v>
      </c>
      <c r="AU5736" s="181" t="s">
        <v>7494</v>
      </c>
      <c r="AV5736" s="185" t="s">
        <v>176</v>
      </c>
      <c r="AX5736" s="185" t="s">
        <v>176</v>
      </c>
      <c r="BK5736" s="55" t="s">
        <v>6723</v>
      </c>
      <c r="BN5736" s="55" t="s">
        <v>1688</v>
      </c>
      <c r="BO5736" s="55" t="s">
        <v>1688</v>
      </c>
      <c r="BV5736" s="55" t="s">
        <v>6809</v>
      </c>
      <c r="FJ5736" s="65">
        <v>1.44</v>
      </c>
      <c r="FK5736" s="65">
        <v>0.88</v>
      </c>
      <c r="FN5736" s="65" t="s">
        <v>206</v>
      </c>
      <c r="FO5736" s="65">
        <v>12.93</v>
      </c>
      <c r="FP5736" s="65">
        <v>14.01</v>
      </c>
      <c r="FS5736" s="65" t="s">
        <v>637</v>
      </c>
      <c r="GD5736" s="65">
        <v>3.69</v>
      </c>
      <c r="GE5736" s="65">
        <v>4.22</v>
      </c>
      <c r="GH5736" s="65" t="s">
        <v>164</v>
      </c>
      <c r="GP5736" s="292" t="s">
        <v>7494</v>
      </c>
    </row>
    <row r="5737" spans="1:198" x14ac:dyDescent="0.25">
      <c r="A5737" s="55">
        <v>5736</v>
      </c>
      <c r="B5737" s="12" t="s">
        <v>7067</v>
      </c>
      <c r="C5737" s="155" t="s">
        <v>6803</v>
      </c>
      <c r="D5737" s="55" t="s">
        <v>6807</v>
      </c>
      <c r="E5737" s="90" t="s">
        <v>6409</v>
      </c>
      <c r="G5737" s="55" t="s">
        <v>6804</v>
      </c>
      <c r="H5737" s="55" t="s">
        <v>5532</v>
      </c>
      <c r="I5737" s="55" t="s">
        <v>5864</v>
      </c>
      <c r="J5737" s="55" t="s">
        <v>6673</v>
      </c>
      <c r="K5737" s="55" t="s">
        <v>6530</v>
      </c>
      <c r="L5737" s="55" t="s">
        <v>3377</v>
      </c>
      <c r="M5737" s="90">
        <v>35</v>
      </c>
      <c r="N5737" s="90">
        <v>104</v>
      </c>
      <c r="O5737" s="90">
        <v>2000</v>
      </c>
      <c r="Q5737" s="55" t="s">
        <v>5826</v>
      </c>
      <c r="S5737" s="90" t="s">
        <v>6492</v>
      </c>
      <c r="U5737" s="55" t="s">
        <v>1935</v>
      </c>
      <c r="V5737" s="55" t="s">
        <v>1935</v>
      </c>
      <c r="W5737" s="173" t="s">
        <v>6813</v>
      </c>
      <c r="X5737" s="173" t="s">
        <v>6812</v>
      </c>
      <c r="Z5737" s="55" t="s">
        <v>6607</v>
      </c>
      <c r="AA5737" s="90">
        <v>20</v>
      </c>
      <c r="AH5737" s="55" t="s">
        <v>769</v>
      </c>
      <c r="AM5737" s="55" t="s">
        <v>6493</v>
      </c>
      <c r="AN5737" s="185" t="s">
        <v>376</v>
      </c>
      <c r="AO5737" s="185" t="s">
        <v>5150</v>
      </c>
      <c r="AQ5737" s="55" t="s">
        <v>553</v>
      </c>
      <c r="AR5737" s="55" t="s">
        <v>3646</v>
      </c>
      <c r="AS5737" s="55" t="s">
        <v>227</v>
      </c>
      <c r="AU5737" s="181" t="s">
        <v>7494</v>
      </c>
      <c r="AV5737" s="185" t="s">
        <v>176</v>
      </c>
      <c r="AX5737" s="185" t="s">
        <v>176</v>
      </c>
      <c r="BK5737" s="55" t="s">
        <v>6723</v>
      </c>
      <c r="BN5737" s="55" t="s">
        <v>1688</v>
      </c>
      <c r="BO5737" s="55" t="s">
        <v>1688</v>
      </c>
      <c r="BV5737" s="55" t="s">
        <v>6809</v>
      </c>
      <c r="FJ5737" s="65">
        <v>0.88</v>
      </c>
      <c r="FK5737" s="65">
        <v>1.1399999999999999</v>
      </c>
      <c r="FN5737" s="65" t="s">
        <v>206</v>
      </c>
      <c r="FO5737" s="65">
        <v>14.72</v>
      </c>
      <c r="FP5737" s="65">
        <v>14.14</v>
      </c>
      <c r="FS5737" s="65" t="s">
        <v>637</v>
      </c>
      <c r="GD5737" s="65">
        <v>5.0599999999999996</v>
      </c>
      <c r="GE5737" s="65">
        <v>5.39</v>
      </c>
      <c r="GH5737" s="65" t="s">
        <v>164</v>
      </c>
      <c r="GP5737" s="292" t="s">
        <v>7494</v>
      </c>
    </row>
    <row r="5738" spans="1:198" x14ac:dyDescent="0.25">
      <c r="A5738" s="55">
        <v>5737</v>
      </c>
      <c r="B5738" s="12" t="s">
        <v>7067</v>
      </c>
      <c r="C5738" s="155" t="s">
        <v>6803</v>
      </c>
      <c r="D5738" s="55" t="s">
        <v>6808</v>
      </c>
      <c r="E5738" s="90" t="s">
        <v>6409</v>
      </c>
      <c r="G5738" s="55" t="s">
        <v>6804</v>
      </c>
      <c r="H5738" s="55" t="s">
        <v>5532</v>
      </c>
      <c r="I5738" s="55" t="s">
        <v>5864</v>
      </c>
      <c r="J5738" s="55" t="s">
        <v>6673</v>
      </c>
      <c r="K5738" s="55" t="s">
        <v>6530</v>
      </c>
      <c r="L5738" s="55" t="s">
        <v>3377</v>
      </c>
      <c r="M5738" s="90">
        <v>35</v>
      </c>
      <c r="N5738" s="90">
        <v>104</v>
      </c>
      <c r="O5738" s="90">
        <v>2000</v>
      </c>
      <c r="Q5738" s="55" t="s">
        <v>5826</v>
      </c>
      <c r="S5738" s="90" t="s">
        <v>6492</v>
      </c>
      <c r="U5738" s="55" t="s">
        <v>1935</v>
      </c>
      <c r="V5738" s="55" t="s">
        <v>1935</v>
      </c>
      <c r="W5738" s="173" t="s">
        <v>6813</v>
      </c>
      <c r="X5738" s="173" t="s">
        <v>6812</v>
      </c>
      <c r="Z5738" s="55" t="s">
        <v>6791</v>
      </c>
      <c r="AA5738" s="90">
        <v>20</v>
      </c>
      <c r="AH5738" s="55" t="s">
        <v>769</v>
      </c>
      <c r="AM5738" s="55" t="s">
        <v>6493</v>
      </c>
      <c r="AN5738" s="185" t="s">
        <v>376</v>
      </c>
      <c r="AO5738" s="185" t="s">
        <v>5150</v>
      </c>
      <c r="AQ5738" s="55" t="s">
        <v>553</v>
      </c>
      <c r="AR5738" s="55" t="s">
        <v>3646</v>
      </c>
      <c r="AS5738" s="55" t="s">
        <v>227</v>
      </c>
      <c r="AU5738" s="181" t="s">
        <v>7494</v>
      </c>
      <c r="AV5738" s="185" t="s">
        <v>176</v>
      </c>
      <c r="AX5738" s="185" t="s">
        <v>176</v>
      </c>
      <c r="BK5738" s="55" t="s">
        <v>6723</v>
      </c>
      <c r="BN5738" s="55" t="s">
        <v>1688</v>
      </c>
      <c r="BO5738" s="55" t="s">
        <v>1688</v>
      </c>
      <c r="BV5738" s="55" t="s">
        <v>6809</v>
      </c>
      <c r="FJ5738" s="65">
        <v>1.26</v>
      </c>
      <c r="FK5738" s="65">
        <v>0.81</v>
      </c>
      <c r="FN5738" s="65" t="s">
        <v>206</v>
      </c>
      <c r="FO5738" s="65">
        <v>17.5</v>
      </c>
      <c r="FP5738" s="65">
        <v>15.17</v>
      </c>
      <c r="FS5738" s="65" t="s">
        <v>637</v>
      </c>
      <c r="GD5738" s="65">
        <v>7.37</v>
      </c>
      <c r="GE5738" s="65">
        <v>7.73</v>
      </c>
      <c r="GH5738" s="65" t="s">
        <v>164</v>
      </c>
      <c r="GP5738" s="292" t="s">
        <v>7494</v>
      </c>
    </row>
    <row r="5739" spans="1:198" x14ac:dyDescent="0.25">
      <c r="A5739" s="55">
        <v>5738</v>
      </c>
      <c r="B5739" s="12" t="s">
        <v>7067</v>
      </c>
      <c r="C5739" s="155" t="s">
        <v>6803</v>
      </c>
      <c r="D5739" s="55" t="s">
        <v>6805</v>
      </c>
      <c r="E5739" s="90" t="s">
        <v>6409</v>
      </c>
      <c r="G5739" s="55" t="s">
        <v>6804</v>
      </c>
      <c r="H5739" s="55" t="s">
        <v>5532</v>
      </c>
      <c r="I5739" s="55" t="s">
        <v>5864</v>
      </c>
      <c r="J5739" s="55" t="s">
        <v>6673</v>
      </c>
      <c r="K5739" s="55" t="s">
        <v>6530</v>
      </c>
      <c r="L5739" s="55" t="s">
        <v>3377</v>
      </c>
      <c r="M5739" s="90">
        <v>35</v>
      </c>
      <c r="N5739" s="90">
        <v>104</v>
      </c>
      <c r="O5739" s="90">
        <v>2000</v>
      </c>
      <c r="Q5739" s="55" t="s">
        <v>5826</v>
      </c>
      <c r="S5739" s="90" t="s">
        <v>6492</v>
      </c>
      <c r="U5739" s="55" t="s">
        <v>1935</v>
      </c>
      <c r="V5739" s="55" t="s">
        <v>1935</v>
      </c>
      <c r="W5739" s="173" t="s">
        <v>6813</v>
      </c>
      <c r="X5739" s="173" t="s">
        <v>6812</v>
      </c>
      <c r="Z5739" s="55" t="s">
        <v>6605</v>
      </c>
      <c r="AA5739" s="90">
        <v>5</v>
      </c>
      <c r="AH5739" s="55" t="s">
        <v>769</v>
      </c>
      <c r="AM5739" s="55" t="s">
        <v>6493</v>
      </c>
      <c r="AN5739" s="185" t="s">
        <v>376</v>
      </c>
      <c r="AO5739" s="185" t="s">
        <v>5150</v>
      </c>
      <c r="AQ5739" s="55" t="s">
        <v>553</v>
      </c>
      <c r="AR5739" s="55" t="s">
        <v>3646</v>
      </c>
      <c r="AS5739" s="55" t="s">
        <v>227</v>
      </c>
      <c r="AU5739" s="181" t="s">
        <v>7494</v>
      </c>
      <c r="AV5739" s="185" t="s">
        <v>176</v>
      </c>
      <c r="AX5739" s="185" t="s">
        <v>176</v>
      </c>
      <c r="BK5739" s="55" t="s">
        <v>6723</v>
      </c>
      <c r="BN5739" s="55" t="s">
        <v>1688</v>
      </c>
      <c r="BO5739" s="55" t="s">
        <v>1688</v>
      </c>
      <c r="BV5739" s="55" t="s">
        <v>6810</v>
      </c>
      <c r="FJ5739" s="65">
        <v>0.98</v>
      </c>
      <c r="FK5739" s="65">
        <v>1.1100000000000001</v>
      </c>
      <c r="FN5739" s="65" t="s">
        <v>206</v>
      </c>
      <c r="FO5739" s="65">
        <v>15.75</v>
      </c>
      <c r="FP5739" s="65">
        <v>17.25</v>
      </c>
      <c r="FS5739" s="65" t="s">
        <v>637</v>
      </c>
      <c r="GD5739" s="65">
        <v>13.78</v>
      </c>
      <c r="GE5739" s="65">
        <v>16.91</v>
      </c>
      <c r="GH5739" s="65" t="s">
        <v>164</v>
      </c>
      <c r="GP5739" s="292" t="s">
        <v>7494</v>
      </c>
    </row>
    <row r="5740" spans="1:198" x14ac:dyDescent="0.25">
      <c r="A5740" s="55">
        <v>5739</v>
      </c>
      <c r="B5740" s="12" t="s">
        <v>7067</v>
      </c>
      <c r="C5740" s="155" t="s">
        <v>6803</v>
      </c>
      <c r="D5740" s="55" t="s">
        <v>6806</v>
      </c>
      <c r="E5740" s="90" t="s">
        <v>6409</v>
      </c>
      <c r="G5740" s="55" t="s">
        <v>6804</v>
      </c>
      <c r="H5740" s="55" t="s">
        <v>5532</v>
      </c>
      <c r="I5740" s="55" t="s">
        <v>5864</v>
      </c>
      <c r="J5740" s="55" t="s">
        <v>6673</v>
      </c>
      <c r="K5740" s="55" t="s">
        <v>6530</v>
      </c>
      <c r="L5740" s="55" t="s">
        <v>3377</v>
      </c>
      <c r="M5740" s="90">
        <v>35</v>
      </c>
      <c r="N5740" s="90">
        <v>104</v>
      </c>
      <c r="O5740" s="90">
        <v>2000</v>
      </c>
      <c r="Q5740" s="55" t="s">
        <v>5826</v>
      </c>
      <c r="S5740" s="90" t="s">
        <v>6492</v>
      </c>
      <c r="U5740" s="55" t="s">
        <v>1935</v>
      </c>
      <c r="V5740" s="55" t="s">
        <v>1935</v>
      </c>
      <c r="W5740" s="173" t="s">
        <v>6813</v>
      </c>
      <c r="X5740" s="173" t="s">
        <v>6812</v>
      </c>
      <c r="Z5740" s="55" t="s">
        <v>6606</v>
      </c>
      <c r="AA5740" s="90">
        <v>5</v>
      </c>
      <c r="AH5740" s="55" t="s">
        <v>769</v>
      </c>
      <c r="AM5740" s="55" t="s">
        <v>6493</v>
      </c>
      <c r="AN5740" s="185" t="s">
        <v>376</v>
      </c>
      <c r="AO5740" s="185" t="s">
        <v>5150</v>
      </c>
      <c r="AQ5740" s="55" t="s">
        <v>553</v>
      </c>
      <c r="AR5740" s="55" t="s">
        <v>3646</v>
      </c>
      <c r="AS5740" s="55" t="s">
        <v>227</v>
      </c>
      <c r="AU5740" s="181" t="s">
        <v>7494</v>
      </c>
      <c r="AV5740" s="185" t="s">
        <v>176</v>
      </c>
      <c r="AX5740" s="185" t="s">
        <v>176</v>
      </c>
      <c r="BK5740" s="55" t="s">
        <v>6723</v>
      </c>
      <c r="BN5740" s="55" t="s">
        <v>1688</v>
      </c>
      <c r="BO5740" s="55" t="s">
        <v>1688</v>
      </c>
      <c r="BV5740" s="55" t="s">
        <v>6810</v>
      </c>
      <c r="FJ5740" s="65">
        <v>0.94</v>
      </c>
      <c r="FK5740" s="65">
        <v>0.65</v>
      </c>
      <c r="FN5740" s="65" t="s">
        <v>206</v>
      </c>
      <c r="FO5740" s="65">
        <v>15.83</v>
      </c>
      <c r="FP5740" s="65">
        <v>14.38</v>
      </c>
      <c r="FS5740" s="65" t="s">
        <v>637</v>
      </c>
      <c r="GD5740" s="65">
        <v>11.34</v>
      </c>
      <c r="GE5740" s="65">
        <v>14.77</v>
      </c>
      <c r="GH5740" s="65" t="s">
        <v>164</v>
      </c>
      <c r="GP5740" s="292" t="s">
        <v>7494</v>
      </c>
    </row>
    <row r="5741" spans="1:198" x14ac:dyDescent="0.25">
      <c r="A5741" s="55">
        <v>5740</v>
      </c>
      <c r="B5741" s="12" t="s">
        <v>7067</v>
      </c>
      <c r="C5741" s="155" t="s">
        <v>6803</v>
      </c>
      <c r="D5741" s="55" t="s">
        <v>6807</v>
      </c>
      <c r="E5741" s="90" t="s">
        <v>6409</v>
      </c>
      <c r="G5741" s="55" t="s">
        <v>6804</v>
      </c>
      <c r="H5741" s="55" t="s">
        <v>5532</v>
      </c>
      <c r="I5741" s="55" t="s">
        <v>5864</v>
      </c>
      <c r="J5741" s="55" t="s">
        <v>6673</v>
      </c>
      <c r="K5741" s="55" t="s">
        <v>6530</v>
      </c>
      <c r="L5741" s="55" t="s">
        <v>3377</v>
      </c>
      <c r="M5741" s="90">
        <v>35</v>
      </c>
      <c r="N5741" s="90">
        <v>104</v>
      </c>
      <c r="O5741" s="90">
        <v>2000</v>
      </c>
      <c r="Q5741" s="55" t="s">
        <v>5826</v>
      </c>
      <c r="S5741" s="90" t="s">
        <v>6492</v>
      </c>
      <c r="U5741" s="55" t="s">
        <v>1935</v>
      </c>
      <c r="V5741" s="55" t="s">
        <v>1935</v>
      </c>
      <c r="W5741" s="173" t="s">
        <v>6813</v>
      </c>
      <c r="X5741" s="173" t="s">
        <v>6812</v>
      </c>
      <c r="Z5741" s="55" t="s">
        <v>6607</v>
      </c>
      <c r="AA5741" s="90">
        <v>20</v>
      </c>
      <c r="AH5741" s="55" t="s">
        <v>769</v>
      </c>
      <c r="AM5741" s="55" t="s">
        <v>6493</v>
      </c>
      <c r="AN5741" s="185" t="s">
        <v>376</v>
      </c>
      <c r="AO5741" s="185" t="s">
        <v>5150</v>
      </c>
      <c r="AQ5741" s="55" t="s">
        <v>553</v>
      </c>
      <c r="AR5741" s="55" t="s">
        <v>3646</v>
      </c>
      <c r="AS5741" s="55" t="s">
        <v>227</v>
      </c>
      <c r="AU5741" s="181" t="s">
        <v>7494</v>
      </c>
      <c r="AV5741" s="185" t="s">
        <v>176</v>
      </c>
      <c r="AX5741" s="185" t="s">
        <v>176</v>
      </c>
      <c r="BK5741" s="55" t="s">
        <v>6723</v>
      </c>
      <c r="BN5741" s="55" t="s">
        <v>1688</v>
      </c>
      <c r="BO5741" s="55" t="s">
        <v>1688</v>
      </c>
      <c r="BV5741" s="55" t="s">
        <v>6810</v>
      </c>
      <c r="FJ5741" s="65">
        <v>0.77</v>
      </c>
      <c r="FK5741" s="65">
        <v>0.28999999999999998</v>
      </c>
      <c r="FN5741" s="65" t="s">
        <v>206</v>
      </c>
      <c r="FO5741" s="65">
        <v>15.87</v>
      </c>
      <c r="FP5741" s="65">
        <v>15.62</v>
      </c>
      <c r="FS5741" s="65" t="s">
        <v>637</v>
      </c>
      <c r="GD5741" s="65">
        <v>6.13</v>
      </c>
      <c r="GE5741" s="65">
        <v>7.79</v>
      </c>
      <c r="GH5741" s="65" t="s">
        <v>164</v>
      </c>
      <c r="GP5741" s="292" t="s">
        <v>7494</v>
      </c>
    </row>
    <row r="5742" spans="1:198" x14ac:dyDescent="0.25">
      <c r="A5742" s="55">
        <v>5741</v>
      </c>
      <c r="B5742" s="12" t="s">
        <v>7067</v>
      </c>
      <c r="C5742" s="155" t="s">
        <v>6803</v>
      </c>
      <c r="D5742" s="55" t="s">
        <v>6808</v>
      </c>
      <c r="E5742" s="90" t="s">
        <v>6409</v>
      </c>
      <c r="G5742" s="55" t="s">
        <v>6804</v>
      </c>
      <c r="H5742" s="55" t="s">
        <v>5532</v>
      </c>
      <c r="I5742" s="55" t="s">
        <v>5864</v>
      </c>
      <c r="J5742" s="55" t="s">
        <v>6673</v>
      </c>
      <c r="K5742" s="55" t="s">
        <v>6530</v>
      </c>
      <c r="L5742" s="55" t="s">
        <v>3377</v>
      </c>
      <c r="M5742" s="90">
        <v>35</v>
      </c>
      <c r="N5742" s="90">
        <v>104</v>
      </c>
      <c r="O5742" s="90">
        <v>2000</v>
      </c>
      <c r="Q5742" s="55" t="s">
        <v>5826</v>
      </c>
      <c r="S5742" s="90" t="s">
        <v>6492</v>
      </c>
      <c r="U5742" s="55" t="s">
        <v>1935</v>
      </c>
      <c r="V5742" s="55" t="s">
        <v>1935</v>
      </c>
      <c r="W5742" s="173" t="s">
        <v>6813</v>
      </c>
      <c r="X5742" s="173" t="s">
        <v>6812</v>
      </c>
      <c r="Z5742" s="55" t="s">
        <v>6791</v>
      </c>
      <c r="AA5742" s="90">
        <v>20</v>
      </c>
      <c r="AH5742" s="55" t="s">
        <v>769</v>
      </c>
      <c r="AM5742" s="55" t="s">
        <v>6493</v>
      </c>
      <c r="AN5742" s="185" t="s">
        <v>376</v>
      </c>
      <c r="AO5742" s="185" t="s">
        <v>5150</v>
      </c>
      <c r="AQ5742" s="55" t="s">
        <v>553</v>
      </c>
      <c r="AR5742" s="55" t="s">
        <v>3646</v>
      </c>
      <c r="AS5742" s="55" t="s">
        <v>227</v>
      </c>
      <c r="AU5742" s="181" t="s">
        <v>7494</v>
      </c>
      <c r="AV5742" s="185" t="s">
        <v>176</v>
      </c>
      <c r="AX5742" s="185" t="s">
        <v>176</v>
      </c>
      <c r="BK5742" s="55" t="s">
        <v>6723</v>
      </c>
      <c r="BN5742" s="55" t="s">
        <v>1688</v>
      </c>
      <c r="BO5742" s="55" t="s">
        <v>1688</v>
      </c>
      <c r="BV5742" s="55" t="s">
        <v>6810</v>
      </c>
      <c r="FJ5742" s="65">
        <v>0.67</v>
      </c>
      <c r="FK5742" s="65">
        <v>0.48</v>
      </c>
      <c r="FN5742" s="65" t="s">
        <v>206</v>
      </c>
      <c r="FO5742" s="65">
        <v>11.09</v>
      </c>
      <c r="FP5742" s="65">
        <v>10.88</v>
      </c>
      <c r="FS5742" s="65" t="s">
        <v>637</v>
      </c>
      <c r="GD5742" s="65">
        <v>7.7</v>
      </c>
      <c r="GE5742" s="65">
        <v>7.85</v>
      </c>
      <c r="GH5742" s="65" t="s">
        <v>164</v>
      </c>
      <c r="GP5742" s="292" t="s">
        <v>7494</v>
      </c>
    </row>
    <row r="5743" spans="1:198" x14ac:dyDescent="0.25">
      <c r="A5743" s="55">
        <v>5742</v>
      </c>
      <c r="B5743" s="12" t="s">
        <v>7067</v>
      </c>
      <c r="C5743" s="155" t="s">
        <v>6803</v>
      </c>
      <c r="D5743" s="55" t="s">
        <v>6805</v>
      </c>
      <c r="E5743" s="90" t="s">
        <v>6409</v>
      </c>
      <c r="G5743" s="55" t="s">
        <v>6804</v>
      </c>
      <c r="H5743" s="55" t="s">
        <v>5532</v>
      </c>
      <c r="I5743" s="55" t="s">
        <v>5864</v>
      </c>
      <c r="J5743" s="55" t="s">
        <v>6673</v>
      </c>
      <c r="K5743" s="55" t="s">
        <v>6530</v>
      </c>
      <c r="L5743" s="55" t="s">
        <v>3377</v>
      </c>
      <c r="M5743" s="90">
        <v>35</v>
      </c>
      <c r="N5743" s="90">
        <v>104</v>
      </c>
      <c r="O5743" s="90">
        <v>2000</v>
      </c>
      <c r="Q5743" s="55" t="s">
        <v>5826</v>
      </c>
      <c r="S5743" s="90" t="s">
        <v>6492</v>
      </c>
      <c r="U5743" s="55" t="s">
        <v>1935</v>
      </c>
      <c r="V5743" s="55" t="s">
        <v>1935</v>
      </c>
      <c r="W5743" s="173" t="s">
        <v>6814</v>
      </c>
      <c r="X5743" s="173" t="s">
        <v>6812</v>
      </c>
      <c r="Z5743" s="55" t="s">
        <v>6605</v>
      </c>
      <c r="AA5743" s="90">
        <v>5</v>
      </c>
      <c r="AH5743" s="55" t="s">
        <v>769</v>
      </c>
      <c r="AM5743" s="55" t="s">
        <v>6493</v>
      </c>
      <c r="AN5743" s="185" t="s">
        <v>376</v>
      </c>
      <c r="AO5743" s="185" t="s">
        <v>5150</v>
      </c>
      <c r="AQ5743" s="55" t="s">
        <v>553</v>
      </c>
      <c r="AR5743" s="55" t="s">
        <v>6623</v>
      </c>
      <c r="AS5743" s="55" t="s">
        <v>227</v>
      </c>
      <c r="AU5743" s="181" t="s">
        <v>7494</v>
      </c>
      <c r="AV5743" s="185" t="s">
        <v>176</v>
      </c>
      <c r="AX5743" s="185" t="s">
        <v>176</v>
      </c>
      <c r="BK5743" s="55" t="s">
        <v>6723</v>
      </c>
      <c r="BN5743" s="55" t="s">
        <v>1688</v>
      </c>
      <c r="BO5743" s="55" t="s">
        <v>1688</v>
      </c>
      <c r="BV5743" s="55" t="s">
        <v>6809</v>
      </c>
      <c r="FJ5743" s="65">
        <v>0.65</v>
      </c>
      <c r="FK5743" s="65">
        <v>0.34</v>
      </c>
      <c r="FN5743" s="65" t="s">
        <v>206</v>
      </c>
      <c r="FO5743" s="65">
        <v>9.99</v>
      </c>
      <c r="FP5743" s="65">
        <v>6.21</v>
      </c>
      <c r="FS5743" s="65" t="s">
        <v>637</v>
      </c>
      <c r="GD5743" s="65">
        <v>1.85</v>
      </c>
      <c r="GE5743" s="65">
        <v>3.28</v>
      </c>
      <c r="GH5743" s="65" t="s">
        <v>164</v>
      </c>
      <c r="GP5743" s="292" t="s">
        <v>7494</v>
      </c>
    </row>
    <row r="5744" spans="1:198" x14ac:dyDescent="0.25">
      <c r="A5744" s="55">
        <v>5743</v>
      </c>
      <c r="B5744" s="12" t="s">
        <v>7067</v>
      </c>
      <c r="C5744" s="155" t="s">
        <v>6803</v>
      </c>
      <c r="D5744" s="55" t="s">
        <v>6806</v>
      </c>
      <c r="E5744" s="90" t="s">
        <v>6409</v>
      </c>
      <c r="G5744" s="55" t="s">
        <v>6804</v>
      </c>
      <c r="H5744" s="55" t="s">
        <v>5532</v>
      </c>
      <c r="I5744" s="55" t="s">
        <v>5864</v>
      </c>
      <c r="J5744" s="55" t="s">
        <v>6673</v>
      </c>
      <c r="K5744" s="55" t="s">
        <v>6530</v>
      </c>
      <c r="L5744" s="55" t="s">
        <v>3377</v>
      </c>
      <c r="M5744" s="90">
        <v>35</v>
      </c>
      <c r="N5744" s="90">
        <v>104</v>
      </c>
      <c r="O5744" s="90">
        <v>2000</v>
      </c>
      <c r="Q5744" s="55" t="s">
        <v>5826</v>
      </c>
      <c r="S5744" s="90" t="s">
        <v>6492</v>
      </c>
      <c r="U5744" s="55" t="s">
        <v>1935</v>
      </c>
      <c r="V5744" s="55" t="s">
        <v>1935</v>
      </c>
      <c r="W5744" s="173" t="s">
        <v>6814</v>
      </c>
      <c r="X5744" s="173" t="s">
        <v>6812</v>
      </c>
      <c r="Z5744" s="55" t="s">
        <v>6606</v>
      </c>
      <c r="AA5744" s="90">
        <v>5</v>
      </c>
      <c r="AH5744" s="55" t="s">
        <v>769</v>
      </c>
      <c r="AM5744" s="55" t="s">
        <v>6493</v>
      </c>
      <c r="AN5744" s="185" t="s">
        <v>376</v>
      </c>
      <c r="AO5744" s="185" t="s">
        <v>5150</v>
      </c>
      <c r="AQ5744" s="55" t="s">
        <v>553</v>
      </c>
      <c r="AR5744" s="55" t="s">
        <v>6623</v>
      </c>
      <c r="AS5744" s="55" t="s">
        <v>227</v>
      </c>
      <c r="AU5744" s="181" t="s">
        <v>7494</v>
      </c>
      <c r="AV5744" s="185" t="s">
        <v>176</v>
      </c>
      <c r="AX5744" s="185" t="s">
        <v>176</v>
      </c>
      <c r="BK5744" s="55" t="s">
        <v>6723</v>
      </c>
      <c r="BN5744" s="55" t="s">
        <v>1688</v>
      </c>
      <c r="BO5744" s="55" t="s">
        <v>1688</v>
      </c>
      <c r="BV5744" s="55" t="s">
        <v>6809</v>
      </c>
      <c r="FJ5744" s="65">
        <v>0.97</v>
      </c>
      <c r="FK5744" s="65">
        <v>0.6</v>
      </c>
      <c r="FN5744" s="65" t="s">
        <v>206</v>
      </c>
      <c r="FO5744" s="65">
        <v>12.35</v>
      </c>
      <c r="FP5744" s="65">
        <v>9.69</v>
      </c>
      <c r="FS5744" s="65" t="s">
        <v>637</v>
      </c>
      <c r="GD5744" s="65">
        <v>3.92</v>
      </c>
      <c r="GE5744" s="65">
        <v>4.38</v>
      </c>
      <c r="GH5744" s="65" t="s">
        <v>164</v>
      </c>
      <c r="GP5744" s="292" t="s">
        <v>7494</v>
      </c>
    </row>
    <row r="5745" spans="1:281" x14ac:dyDescent="0.25">
      <c r="A5745" s="55">
        <v>5744</v>
      </c>
      <c r="B5745" s="12" t="s">
        <v>7067</v>
      </c>
      <c r="C5745" s="155" t="s">
        <v>6803</v>
      </c>
      <c r="D5745" s="55" t="s">
        <v>6807</v>
      </c>
      <c r="E5745" s="90" t="s">
        <v>6409</v>
      </c>
      <c r="G5745" s="55" t="s">
        <v>6804</v>
      </c>
      <c r="H5745" s="55" t="s">
        <v>5532</v>
      </c>
      <c r="I5745" s="55" t="s">
        <v>5864</v>
      </c>
      <c r="J5745" s="55" t="s">
        <v>6673</v>
      </c>
      <c r="K5745" s="55" t="s">
        <v>6530</v>
      </c>
      <c r="L5745" s="55" t="s">
        <v>3377</v>
      </c>
      <c r="M5745" s="90">
        <v>35</v>
      </c>
      <c r="N5745" s="90">
        <v>104</v>
      </c>
      <c r="O5745" s="90">
        <v>2000</v>
      </c>
      <c r="Q5745" s="55" t="s">
        <v>5826</v>
      </c>
      <c r="S5745" s="90" t="s">
        <v>6492</v>
      </c>
      <c r="U5745" s="55" t="s">
        <v>1935</v>
      </c>
      <c r="V5745" s="55" t="s">
        <v>1935</v>
      </c>
      <c r="W5745" s="173" t="s">
        <v>6814</v>
      </c>
      <c r="X5745" s="173" t="s">
        <v>6812</v>
      </c>
      <c r="Z5745" s="55" t="s">
        <v>6607</v>
      </c>
      <c r="AA5745" s="90">
        <v>20</v>
      </c>
      <c r="AH5745" s="55" t="s">
        <v>769</v>
      </c>
      <c r="AM5745" s="55" t="s">
        <v>6493</v>
      </c>
      <c r="AN5745" s="185" t="s">
        <v>376</v>
      </c>
      <c r="AO5745" s="185" t="s">
        <v>5150</v>
      </c>
      <c r="AQ5745" s="55" t="s">
        <v>553</v>
      </c>
      <c r="AR5745" s="55" t="s">
        <v>6623</v>
      </c>
      <c r="AS5745" s="55" t="s">
        <v>227</v>
      </c>
      <c r="AU5745" s="181" t="s">
        <v>7494</v>
      </c>
      <c r="AV5745" s="185" t="s">
        <v>176</v>
      </c>
      <c r="AX5745" s="185" t="s">
        <v>176</v>
      </c>
      <c r="BK5745" s="55" t="s">
        <v>6723</v>
      </c>
      <c r="BN5745" s="55" t="s">
        <v>1688</v>
      </c>
      <c r="BO5745" s="55" t="s">
        <v>1688</v>
      </c>
      <c r="BV5745" s="55" t="s">
        <v>6809</v>
      </c>
      <c r="FJ5745" s="65">
        <v>0.8</v>
      </c>
      <c r="FK5745" s="65">
        <v>0.91</v>
      </c>
      <c r="FN5745" s="65" t="s">
        <v>206</v>
      </c>
      <c r="FO5745" s="65">
        <v>14.01</v>
      </c>
      <c r="FP5745" s="65">
        <v>8.98</v>
      </c>
      <c r="FS5745" s="65" t="s">
        <v>637</v>
      </c>
      <c r="GD5745" s="65">
        <v>5.15</v>
      </c>
      <c r="GE5745" s="65">
        <v>6.65</v>
      </c>
      <c r="GH5745" s="65" t="s">
        <v>164</v>
      </c>
      <c r="GP5745" s="292" t="s">
        <v>7494</v>
      </c>
    </row>
    <row r="5746" spans="1:281" x14ac:dyDescent="0.25">
      <c r="A5746" s="55">
        <v>5745</v>
      </c>
      <c r="B5746" s="12" t="s">
        <v>7067</v>
      </c>
      <c r="C5746" s="155" t="s">
        <v>6803</v>
      </c>
      <c r="D5746" s="55" t="s">
        <v>6808</v>
      </c>
      <c r="E5746" s="90" t="s">
        <v>6409</v>
      </c>
      <c r="G5746" s="55" t="s">
        <v>6804</v>
      </c>
      <c r="H5746" s="55" t="s">
        <v>5532</v>
      </c>
      <c r="I5746" s="55" t="s">
        <v>5864</v>
      </c>
      <c r="J5746" s="55" t="s">
        <v>6673</v>
      </c>
      <c r="K5746" s="55" t="s">
        <v>6530</v>
      </c>
      <c r="L5746" s="55" t="s">
        <v>3377</v>
      </c>
      <c r="M5746" s="90">
        <v>35</v>
      </c>
      <c r="N5746" s="90">
        <v>104</v>
      </c>
      <c r="O5746" s="90">
        <v>2000</v>
      </c>
      <c r="Q5746" s="55" t="s">
        <v>5826</v>
      </c>
      <c r="S5746" s="90" t="s">
        <v>6492</v>
      </c>
      <c r="U5746" s="55" t="s">
        <v>1935</v>
      </c>
      <c r="V5746" s="55" t="s">
        <v>1935</v>
      </c>
      <c r="W5746" s="173" t="s">
        <v>6814</v>
      </c>
      <c r="X5746" s="173" t="s">
        <v>6812</v>
      </c>
      <c r="Z5746" s="55" t="s">
        <v>6791</v>
      </c>
      <c r="AA5746" s="90">
        <v>20</v>
      </c>
      <c r="AH5746" s="55" t="s">
        <v>769</v>
      </c>
      <c r="AM5746" s="55" t="s">
        <v>6493</v>
      </c>
      <c r="AN5746" s="185" t="s">
        <v>376</v>
      </c>
      <c r="AO5746" s="185" t="s">
        <v>5150</v>
      </c>
      <c r="AQ5746" s="55" t="s">
        <v>553</v>
      </c>
      <c r="AR5746" s="55" t="s">
        <v>6623</v>
      </c>
      <c r="AS5746" s="55" t="s">
        <v>227</v>
      </c>
      <c r="AU5746" s="181" t="s">
        <v>7494</v>
      </c>
      <c r="AV5746" s="185" t="s">
        <v>176</v>
      </c>
      <c r="AX5746" s="185" t="s">
        <v>176</v>
      </c>
      <c r="BK5746" s="55" t="s">
        <v>6723</v>
      </c>
      <c r="BN5746" s="55" t="s">
        <v>1688</v>
      </c>
      <c r="BO5746" s="55" t="s">
        <v>1688</v>
      </c>
      <c r="BV5746" s="55" t="s">
        <v>6809</v>
      </c>
      <c r="FJ5746" s="65">
        <v>0.87</v>
      </c>
      <c r="FK5746" s="65">
        <v>0.54</v>
      </c>
      <c r="FN5746" s="65" t="s">
        <v>206</v>
      </c>
      <c r="FO5746" s="65">
        <v>15.21</v>
      </c>
      <c r="FP5746" s="65">
        <v>13.26</v>
      </c>
      <c r="FS5746" s="65" t="s">
        <v>637</v>
      </c>
      <c r="GD5746" s="65">
        <v>7.52</v>
      </c>
      <c r="GE5746" s="65">
        <v>8.35</v>
      </c>
      <c r="GH5746" s="65" t="s">
        <v>164</v>
      </c>
      <c r="GP5746" s="292" t="s">
        <v>7494</v>
      </c>
    </row>
    <row r="5747" spans="1:281" x14ac:dyDescent="0.25">
      <c r="A5747" s="55">
        <v>5746</v>
      </c>
      <c r="B5747" s="12" t="s">
        <v>7067</v>
      </c>
      <c r="C5747" s="155" t="s">
        <v>6803</v>
      </c>
      <c r="D5747" s="55" t="s">
        <v>6805</v>
      </c>
      <c r="E5747" s="90" t="s">
        <v>6409</v>
      </c>
      <c r="G5747" s="55" t="s">
        <v>6804</v>
      </c>
      <c r="H5747" s="55" t="s">
        <v>5532</v>
      </c>
      <c r="I5747" s="55" t="s">
        <v>5864</v>
      </c>
      <c r="J5747" s="55" t="s">
        <v>6673</v>
      </c>
      <c r="K5747" s="55" t="s">
        <v>6530</v>
      </c>
      <c r="L5747" s="55" t="s">
        <v>3377</v>
      </c>
      <c r="M5747" s="90">
        <v>35</v>
      </c>
      <c r="N5747" s="90">
        <v>104</v>
      </c>
      <c r="O5747" s="90">
        <v>2000</v>
      </c>
      <c r="Q5747" s="55" t="s">
        <v>5826</v>
      </c>
      <c r="S5747" s="90" t="s">
        <v>6492</v>
      </c>
      <c r="U5747" s="55" t="s">
        <v>1935</v>
      </c>
      <c r="V5747" s="55" t="s">
        <v>1935</v>
      </c>
      <c r="W5747" s="173" t="s">
        <v>6814</v>
      </c>
      <c r="X5747" s="173" t="s">
        <v>6812</v>
      </c>
      <c r="Z5747" s="55" t="s">
        <v>6605</v>
      </c>
      <c r="AA5747" s="90">
        <v>5</v>
      </c>
      <c r="AH5747" s="55" t="s">
        <v>769</v>
      </c>
      <c r="AM5747" s="55" t="s">
        <v>6493</v>
      </c>
      <c r="AN5747" s="185" t="s">
        <v>376</v>
      </c>
      <c r="AO5747" s="185" t="s">
        <v>5150</v>
      </c>
      <c r="AQ5747" s="55" t="s">
        <v>553</v>
      </c>
      <c r="AR5747" s="55" t="s">
        <v>6623</v>
      </c>
      <c r="AS5747" s="55" t="s">
        <v>227</v>
      </c>
      <c r="AU5747" s="181" t="s">
        <v>7494</v>
      </c>
      <c r="AV5747" s="185" t="s">
        <v>176</v>
      </c>
      <c r="AX5747" s="185" t="s">
        <v>176</v>
      </c>
      <c r="BK5747" s="55" t="s">
        <v>6723</v>
      </c>
      <c r="BN5747" s="55" t="s">
        <v>1688</v>
      </c>
      <c r="BO5747" s="55" t="s">
        <v>1688</v>
      </c>
      <c r="BV5747" s="55" t="s">
        <v>6810</v>
      </c>
      <c r="FJ5747" s="65">
        <v>0.76</v>
      </c>
      <c r="FK5747" s="65">
        <v>0.71</v>
      </c>
      <c r="FN5747" s="65" t="s">
        <v>206</v>
      </c>
      <c r="FO5747" s="65">
        <v>11.64</v>
      </c>
      <c r="FP5747" s="65">
        <v>15</v>
      </c>
      <c r="FS5747" s="65" t="s">
        <v>637</v>
      </c>
      <c r="GD5747" s="65">
        <v>14.35</v>
      </c>
      <c r="GE5747" s="65">
        <v>17.2</v>
      </c>
      <c r="GH5747" s="65" t="s">
        <v>164</v>
      </c>
      <c r="GP5747" s="292" t="s">
        <v>7494</v>
      </c>
    </row>
    <row r="5748" spans="1:281" x14ac:dyDescent="0.25">
      <c r="A5748" s="55">
        <v>5747</v>
      </c>
      <c r="B5748" s="12" t="s">
        <v>7067</v>
      </c>
      <c r="C5748" s="155" t="s">
        <v>6803</v>
      </c>
      <c r="D5748" s="55" t="s">
        <v>6806</v>
      </c>
      <c r="E5748" s="90" t="s">
        <v>6409</v>
      </c>
      <c r="G5748" s="55" t="s">
        <v>6804</v>
      </c>
      <c r="H5748" s="55" t="s">
        <v>5532</v>
      </c>
      <c r="I5748" s="55" t="s">
        <v>5864</v>
      </c>
      <c r="J5748" s="55" t="s">
        <v>6673</v>
      </c>
      <c r="K5748" s="55" t="s">
        <v>6530</v>
      </c>
      <c r="L5748" s="55" t="s">
        <v>3377</v>
      </c>
      <c r="M5748" s="90">
        <v>35</v>
      </c>
      <c r="N5748" s="90">
        <v>104</v>
      </c>
      <c r="O5748" s="90">
        <v>2000</v>
      </c>
      <c r="Q5748" s="55" t="s">
        <v>5826</v>
      </c>
      <c r="S5748" s="90" t="s">
        <v>6492</v>
      </c>
      <c r="U5748" s="55" t="s">
        <v>1935</v>
      </c>
      <c r="V5748" s="55" t="s">
        <v>1935</v>
      </c>
      <c r="W5748" s="173" t="s">
        <v>6814</v>
      </c>
      <c r="X5748" s="173" t="s">
        <v>6812</v>
      </c>
      <c r="Z5748" s="55" t="s">
        <v>6606</v>
      </c>
      <c r="AA5748" s="90">
        <v>5</v>
      </c>
      <c r="AH5748" s="55" t="s">
        <v>769</v>
      </c>
      <c r="AM5748" s="55" t="s">
        <v>6493</v>
      </c>
      <c r="AN5748" s="185" t="s">
        <v>376</v>
      </c>
      <c r="AO5748" s="185" t="s">
        <v>5150</v>
      </c>
      <c r="AQ5748" s="55" t="s">
        <v>553</v>
      </c>
      <c r="AR5748" s="55" t="s">
        <v>6623</v>
      </c>
      <c r="AS5748" s="55" t="s">
        <v>227</v>
      </c>
      <c r="AU5748" s="181" t="s">
        <v>7494</v>
      </c>
      <c r="AV5748" s="185" t="s">
        <v>176</v>
      </c>
      <c r="AX5748" s="185" t="s">
        <v>176</v>
      </c>
      <c r="BK5748" s="55" t="s">
        <v>6723</v>
      </c>
      <c r="BN5748" s="55" t="s">
        <v>1688</v>
      </c>
      <c r="BO5748" s="55" t="s">
        <v>1688</v>
      </c>
      <c r="BV5748" s="55" t="s">
        <v>6810</v>
      </c>
      <c r="FJ5748" s="65">
        <v>0.76</v>
      </c>
      <c r="FK5748" s="65">
        <v>0.43</v>
      </c>
      <c r="FN5748" s="65" t="s">
        <v>206</v>
      </c>
      <c r="FO5748" s="65">
        <v>11.43</v>
      </c>
      <c r="FP5748" s="65">
        <v>12.92</v>
      </c>
      <c r="FS5748" s="65" t="s">
        <v>637</v>
      </c>
      <c r="GD5748" s="65">
        <v>12.35</v>
      </c>
      <c r="GE5748" s="65">
        <v>16.559999999999999</v>
      </c>
      <c r="GH5748" s="65" t="s">
        <v>164</v>
      </c>
      <c r="GP5748" s="292" t="s">
        <v>7494</v>
      </c>
    </row>
    <row r="5749" spans="1:281" x14ac:dyDescent="0.25">
      <c r="A5749" s="55">
        <v>5748</v>
      </c>
      <c r="B5749" s="12" t="s">
        <v>7067</v>
      </c>
      <c r="C5749" s="155" t="s">
        <v>6803</v>
      </c>
      <c r="D5749" s="55" t="s">
        <v>6807</v>
      </c>
      <c r="E5749" s="90" t="s">
        <v>6409</v>
      </c>
      <c r="G5749" s="55" t="s">
        <v>6804</v>
      </c>
      <c r="H5749" s="55" t="s">
        <v>5532</v>
      </c>
      <c r="I5749" s="55" t="s">
        <v>5864</v>
      </c>
      <c r="J5749" s="55" t="s">
        <v>6673</v>
      </c>
      <c r="K5749" s="55" t="s">
        <v>6530</v>
      </c>
      <c r="L5749" s="55" t="s">
        <v>3377</v>
      </c>
      <c r="M5749" s="90">
        <v>35</v>
      </c>
      <c r="N5749" s="90">
        <v>104</v>
      </c>
      <c r="O5749" s="90">
        <v>2000</v>
      </c>
      <c r="Q5749" s="55" t="s">
        <v>5826</v>
      </c>
      <c r="S5749" s="90" t="s">
        <v>6492</v>
      </c>
      <c r="U5749" s="55" t="s">
        <v>1935</v>
      </c>
      <c r="V5749" s="55" t="s">
        <v>1935</v>
      </c>
      <c r="W5749" s="173" t="s">
        <v>6814</v>
      </c>
      <c r="X5749" s="173" t="s">
        <v>6812</v>
      </c>
      <c r="Z5749" s="55" t="s">
        <v>6607</v>
      </c>
      <c r="AA5749" s="90">
        <v>20</v>
      </c>
      <c r="AH5749" s="55" t="s">
        <v>769</v>
      </c>
      <c r="AM5749" s="55" t="s">
        <v>6493</v>
      </c>
      <c r="AN5749" s="185" t="s">
        <v>376</v>
      </c>
      <c r="AO5749" s="185" t="s">
        <v>5150</v>
      </c>
      <c r="AQ5749" s="55" t="s">
        <v>553</v>
      </c>
      <c r="AR5749" s="55" t="s">
        <v>6623</v>
      </c>
      <c r="AS5749" s="55" t="s">
        <v>227</v>
      </c>
      <c r="AU5749" s="181" t="s">
        <v>7494</v>
      </c>
      <c r="AV5749" s="185" t="s">
        <v>176</v>
      </c>
      <c r="AX5749" s="185" t="s">
        <v>176</v>
      </c>
      <c r="BK5749" s="55" t="s">
        <v>6723</v>
      </c>
      <c r="BN5749" s="55" t="s">
        <v>1688</v>
      </c>
      <c r="BO5749" s="55" t="s">
        <v>1688</v>
      </c>
      <c r="BV5749" s="55" t="s">
        <v>6810</v>
      </c>
      <c r="FJ5749" s="65">
        <v>0.66</v>
      </c>
      <c r="FK5749" s="65">
        <v>0.41</v>
      </c>
      <c r="FN5749" s="65" t="s">
        <v>206</v>
      </c>
      <c r="FO5749" s="65">
        <v>9.18</v>
      </c>
      <c r="FP5749" s="65">
        <v>12.88</v>
      </c>
      <c r="FS5749" s="65" t="s">
        <v>637</v>
      </c>
      <c r="GD5749" s="65">
        <v>7.52</v>
      </c>
      <c r="GE5749" s="65">
        <v>9.85</v>
      </c>
      <c r="GH5749" s="65" t="s">
        <v>164</v>
      </c>
      <c r="GP5749" s="292" t="s">
        <v>7494</v>
      </c>
    </row>
    <row r="5750" spans="1:281" x14ac:dyDescent="0.25">
      <c r="A5750" s="55">
        <v>5749</v>
      </c>
      <c r="B5750" s="12" t="s">
        <v>7067</v>
      </c>
      <c r="C5750" s="155" t="s">
        <v>6803</v>
      </c>
      <c r="D5750" s="55" t="s">
        <v>6808</v>
      </c>
      <c r="E5750" s="90" t="s">
        <v>6409</v>
      </c>
      <c r="G5750" s="55" t="s">
        <v>6804</v>
      </c>
      <c r="H5750" s="55" t="s">
        <v>5532</v>
      </c>
      <c r="I5750" s="55" t="s">
        <v>5864</v>
      </c>
      <c r="J5750" s="55" t="s">
        <v>6673</v>
      </c>
      <c r="K5750" s="55" t="s">
        <v>6530</v>
      </c>
      <c r="L5750" s="55" t="s">
        <v>3377</v>
      </c>
      <c r="M5750" s="90">
        <v>35</v>
      </c>
      <c r="N5750" s="90">
        <v>104</v>
      </c>
      <c r="O5750" s="90">
        <v>2000</v>
      </c>
      <c r="Q5750" s="55" t="s">
        <v>5826</v>
      </c>
      <c r="S5750" s="90" t="s">
        <v>6492</v>
      </c>
      <c r="U5750" s="55" t="s">
        <v>1935</v>
      </c>
      <c r="V5750" s="55" t="s">
        <v>1935</v>
      </c>
      <c r="W5750" s="173" t="s">
        <v>6814</v>
      </c>
      <c r="X5750" s="173" t="s">
        <v>6812</v>
      </c>
      <c r="Z5750" s="55" t="s">
        <v>6791</v>
      </c>
      <c r="AA5750" s="90">
        <v>20</v>
      </c>
      <c r="AH5750" s="55" t="s">
        <v>769</v>
      </c>
      <c r="AM5750" s="55" t="s">
        <v>6493</v>
      </c>
      <c r="AN5750" s="185" t="s">
        <v>376</v>
      </c>
      <c r="AO5750" s="185" t="s">
        <v>5150</v>
      </c>
      <c r="AQ5750" s="55" t="s">
        <v>553</v>
      </c>
      <c r="AR5750" s="55" t="s">
        <v>6623</v>
      </c>
      <c r="AS5750" s="55" t="s">
        <v>227</v>
      </c>
      <c r="AU5750" s="181" t="s">
        <v>7494</v>
      </c>
      <c r="AV5750" s="185" t="s">
        <v>176</v>
      </c>
      <c r="AX5750" s="185" t="s">
        <v>176</v>
      </c>
      <c r="BK5750" s="55" t="s">
        <v>6723</v>
      </c>
      <c r="BN5750" s="55" t="s">
        <v>1688</v>
      </c>
      <c r="BO5750" s="55" t="s">
        <v>1688</v>
      </c>
      <c r="BV5750" s="55" t="s">
        <v>6810</v>
      </c>
      <c r="FJ5750" s="65">
        <v>5.8000000000000003E-2</v>
      </c>
      <c r="FK5750" s="65">
        <v>0.14000000000000001</v>
      </c>
      <c r="FN5750" s="65" t="s">
        <v>206</v>
      </c>
      <c r="FO5750" s="65">
        <v>8.6</v>
      </c>
      <c r="FP5750" s="65">
        <v>4.45</v>
      </c>
      <c r="FS5750" s="65" t="s">
        <v>637</v>
      </c>
      <c r="GD5750" s="65">
        <v>7.35</v>
      </c>
      <c r="GE5750" s="65">
        <v>8.92</v>
      </c>
      <c r="GH5750" s="65" t="s">
        <v>164</v>
      </c>
      <c r="GP5750" s="292" t="s">
        <v>7494</v>
      </c>
    </row>
    <row r="5751" spans="1:281" x14ac:dyDescent="0.25">
      <c r="A5751" s="55">
        <v>5750</v>
      </c>
      <c r="B5751" s="12" t="s">
        <v>7067</v>
      </c>
      <c r="C5751" s="155" t="s">
        <v>6819</v>
      </c>
      <c r="D5751" s="55" t="s">
        <v>6819</v>
      </c>
      <c r="E5751" s="90" t="s">
        <v>6820</v>
      </c>
      <c r="G5751" s="55" t="s">
        <v>6821</v>
      </c>
      <c r="H5751" s="55" t="s">
        <v>5490</v>
      </c>
      <c r="J5751" s="55" t="s">
        <v>6470</v>
      </c>
      <c r="K5751" s="55" t="s">
        <v>6822</v>
      </c>
      <c r="L5751" s="55" t="s">
        <v>3377</v>
      </c>
      <c r="AO5751" s="185" t="s">
        <v>7494</v>
      </c>
      <c r="AU5751" s="181" t="s">
        <v>7494</v>
      </c>
      <c r="AV5751" s="185" t="s">
        <v>176</v>
      </c>
      <c r="AX5751" s="185" t="s">
        <v>176</v>
      </c>
      <c r="BK5751" s="55" t="s">
        <v>6333</v>
      </c>
      <c r="FJ5751" s="65">
        <v>0.83199999999999996</v>
      </c>
      <c r="FK5751" s="65">
        <v>0.59699999999999998</v>
      </c>
      <c r="FL5751" s="65">
        <v>0.161</v>
      </c>
      <c r="FM5751" s="65">
        <v>9.2999999999999999E-2</v>
      </c>
      <c r="FN5751" s="65" t="s">
        <v>6823</v>
      </c>
      <c r="FO5751" s="65">
        <v>79.599999999999994</v>
      </c>
      <c r="FP5751" s="65">
        <v>66.5</v>
      </c>
      <c r="FQ5751" s="65">
        <v>10.4</v>
      </c>
      <c r="FR5751" s="65">
        <v>12.3</v>
      </c>
      <c r="FS5751" s="65" t="s">
        <v>164</v>
      </c>
      <c r="GP5751" s="292" t="s">
        <v>7494</v>
      </c>
    </row>
    <row r="5752" spans="1:281" x14ac:dyDescent="0.25">
      <c r="A5752" s="55">
        <v>5751</v>
      </c>
      <c r="B5752" s="12" t="s">
        <v>7067</v>
      </c>
      <c r="C5752" s="155" t="s">
        <v>6824</v>
      </c>
      <c r="D5752" s="55" t="s">
        <v>6830</v>
      </c>
      <c r="E5752" s="90" t="s">
        <v>6825</v>
      </c>
      <c r="G5752" s="55" t="s">
        <v>6826</v>
      </c>
      <c r="H5752" s="55" t="s">
        <v>5564</v>
      </c>
      <c r="I5752" s="55" t="s">
        <v>5483</v>
      </c>
      <c r="J5752" s="55" t="s">
        <v>6673</v>
      </c>
      <c r="K5752" s="55" t="s">
        <v>6827</v>
      </c>
      <c r="L5752" s="55" t="s">
        <v>3377</v>
      </c>
      <c r="M5752" s="90">
        <v>34.5</v>
      </c>
      <c r="N5752" s="90">
        <v>113</v>
      </c>
      <c r="U5752" s="55" t="s">
        <v>1935</v>
      </c>
      <c r="V5752" s="55" t="s">
        <v>1801</v>
      </c>
      <c r="W5752" s="173" t="s">
        <v>6828</v>
      </c>
      <c r="AO5752" s="185" t="s">
        <v>7494</v>
      </c>
      <c r="AQ5752" s="12"/>
      <c r="AR5752" s="55" t="s">
        <v>116</v>
      </c>
      <c r="AS5752" s="55" t="s">
        <v>116</v>
      </c>
      <c r="AU5752" s="181" t="s">
        <v>7494</v>
      </c>
      <c r="AV5752" s="185" t="s">
        <v>176</v>
      </c>
      <c r="AX5752" s="185" t="s">
        <v>176</v>
      </c>
      <c r="BK5752" s="55" t="s">
        <v>4499</v>
      </c>
      <c r="BN5752" s="55" t="s">
        <v>1801</v>
      </c>
      <c r="BO5752" s="55" t="s">
        <v>1801</v>
      </c>
      <c r="BV5752" s="55" t="s">
        <v>6836</v>
      </c>
      <c r="FE5752" s="65">
        <v>24.5</v>
      </c>
      <c r="FF5752" s="65">
        <v>28.5</v>
      </c>
      <c r="FG5752" s="65">
        <f>0.8*FE5752/SQRT(6*2)</f>
        <v>5.6580326380583337</v>
      </c>
      <c r="FH5752" s="65">
        <f>1.112*FF5752/SQRT(12)</f>
        <v>9.1486923655788122</v>
      </c>
      <c r="FI5752" s="65" t="s">
        <v>6829</v>
      </c>
      <c r="FJ5752" s="65">
        <v>13.83</v>
      </c>
      <c r="FK5752" s="65">
        <v>7.23</v>
      </c>
      <c r="FN5752" s="65" t="s">
        <v>206</v>
      </c>
      <c r="GP5752" s="292" t="s">
        <v>7494</v>
      </c>
    </row>
    <row r="5753" spans="1:281" x14ac:dyDescent="0.25">
      <c r="A5753" s="55">
        <v>5752</v>
      </c>
      <c r="B5753" s="12" t="s">
        <v>7067</v>
      </c>
      <c r="C5753" s="155" t="s">
        <v>6824</v>
      </c>
      <c r="D5753" s="55" t="s">
        <v>6831</v>
      </c>
      <c r="E5753" s="90" t="s">
        <v>6825</v>
      </c>
      <c r="G5753" s="55" t="s">
        <v>6826</v>
      </c>
      <c r="H5753" s="55" t="s">
        <v>5564</v>
      </c>
      <c r="I5753" s="55" t="s">
        <v>5483</v>
      </c>
      <c r="J5753" s="55" t="s">
        <v>6673</v>
      </c>
      <c r="K5753" s="55" t="s">
        <v>6827</v>
      </c>
      <c r="L5753" s="55" t="s">
        <v>3377</v>
      </c>
      <c r="M5753" s="90">
        <v>34.5</v>
      </c>
      <c r="N5753" s="90">
        <v>113</v>
      </c>
      <c r="U5753" s="55" t="s">
        <v>1935</v>
      </c>
      <c r="V5753" s="55" t="s">
        <v>1801</v>
      </c>
      <c r="W5753" s="173" t="s">
        <v>6828</v>
      </c>
      <c r="AO5753" s="185" t="s">
        <v>7494</v>
      </c>
      <c r="AQ5753" s="12"/>
      <c r="AR5753" s="55" t="s">
        <v>116</v>
      </c>
      <c r="AS5753" s="55" t="s">
        <v>116</v>
      </c>
      <c r="AU5753" s="181" t="s">
        <v>7494</v>
      </c>
      <c r="AV5753" s="185" t="s">
        <v>176</v>
      </c>
      <c r="AX5753" s="185" t="s">
        <v>176</v>
      </c>
      <c r="BK5753" s="55" t="s">
        <v>4499</v>
      </c>
      <c r="BN5753" s="55" t="s">
        <v>1801</v>
      </c>
      <c r="BO5753" s="55" t="s">
        <v>1801</v>
      </c>
      <c r="BV5753" s="55" t="s">
        <v>6837</v>
      </c>
      <c r="FE5753" s="65">
        <v>18</v>
      </c>
      <c r="FF5753" s="65">
        <v>20.6</v>
      </c>
      <c r="FG5753" s="65">
        <f>1.067*FE5753/SQRT(6*2)</f>
        <v>5.5442946350279767</v>
      </c>
      <c r="FH5753" s="65">
        <f>0.744*FF5753/SQRT(12)</f>
        <v>4.4243505828539407</v>
      </c>
      <c r="FI5753" s="65" t="s">
        <v>6829</v>
      </c>
      <c r="FJ5753" s="65">
        <v>39.56</v>
      </c>
      <c r="FK5753" s="65">
        <v>20.440000000000001</v>
      </c>
      <c r="FN5753" s="65" t="s">
        <v>206</v>
      </c>
      <c r="GP5753" s="292" t="s">
        <v>7494</v>
      </c>
    </row>
    <row r="5754" spans="1:281" x14ac:dyDescent="0.25">
      <c r="A5754" s="55">
        <v>5753</v>
      </c>
      <c r="B5754" s="12" t="s">
        <v>7067</v>
      </c>
      <c r="C5754" s="155" t="s">
        <v>6824</v>
      </c>
      <c r="D5754" s="55" t="s">
        <v>6832</v>
      </c>
      <c r="E5754" s="90" t="s">
        <v>6825</v>
      </c>
      <c r="G5754" s="55" t="s">
        <v>6826</v>
      </c>
      <c r="H5754" s="55" t="s">
        <v>5564</v>
      </c>
      <c r="I5754" s="55" t="s">
        <v>5483</v>
      </c>
      <c r="J5754" s="55" t="s">
        <v>6673</v>
      </c>
      <c r="K5754" s="55" t="s">
        <v>6827</v>
      </c>
      <c r="L5754" s="55" t="s">
        <v>3377</v>
      </c>
      <c r="M5754" s="90">
        <v>34.5</v>
      </c>
      <c r="N5754" s="90">
        <v>113</v>
      </c>
      <c r="U5754" s="55" t="s">
        <v>1935</v>
      </c>
      <c r="V5754" s="55" t="s">
        <v>1801</v>
      </c>
      <c r="W5754" s="173" t="s">
        <v>6828</v>
      </c>
      <c r="AO5754" s="185" t="s">
        <v>7494</v>
      </c>
      <c r="AQ5754" s="12"/>
      <c r="AR5754" s="55" t="s">
        <v>116</v>
      </c>
      <c r="AS5754" s="55" t="s">
        <v>116</v>
      </c>
      <c r="AU5754" s="181" t="s">
        <v>7494</v>
      </c>
      <c r="AV5754" s="185" t="s">
        <v>176</v>
      </c>
      <c r="AX5754" s="185" t="s">
        <v>176</v>
      </c>
      <c r="BK5754" s="55" t="s">
        <v>6452</v>
      </c>
      <c r="BN5754" s="55" t="s">
        <v>1801</v>
      </c>
      <c r="BO5754" s="55" t="s">
        <v>1801</v>
      </c>
      <c r="BV5754" s="55" t="s">
        <v>6836</v>
      </c>
      <c r="FE5754" s="65">
        <v>24.5</v>
      </c>
      <c r="FF5754" s="65">
        <v>25.4</v>
      </c>
      <c r="FG5754" s="65">
        <f>0.8*FE5754/SQRT(6*2)</f>
        <v>5.6580326380583337</v>
      </c>
      <c r="FH5754" s="65">
        <f>0.692*FF5754/SQRT(12)</f>
        <v>5.0739851057461074</v>
      </c>
      <c r="FI5754" s="65" t="s">
        <v>6829</v>
      </c>
      <c r="GP5754" s="292" t="s">
        <v>7494</v>
      </c>
    </row>
    <row r="5755" spans="1:281" x14ac:dyDescent="0.25">
      <c r="A5755" s="55">
        <v>5754</v>
      </c>
      <c r="B5755" s="12" t="s">
        <v>7067</v>
      </c>
      <c r="C5755" s="155" t="s">
        <v>6824</v>
      </c>
      <c r="D5755" s="55" t="s">
        <v>6833</v>
      </c>
      <c r="E5755" s="90" t="s">
        <v>6825</v>
      </c>
      <c r="G5755" s="55" t="s">
        <v>6826</v>
      </c>
      <c r="H5755" s="55" t="s">
        <v>5564</v>
      </c>
      <c r="I5755" s="55" t="s">
        <v>5483</v>
      </c>
      <c r="J5755" s="55" t="s">
        <v>6673</v>
      </c>
      <c r="K5755" s="55" t="s">
        <v>6827</v>
      </c>
      <c r="L5755" s="55" t="s">
        <v>3377</v>
      </c>
      <c r="M5755" s="90">
        <v>34.5</v>
      </c>
      <c r="N5755" s="90">
        <v>113</v>
      </c>
      <c r="U5755" s="55" t="s">
        <v>1935</v>
      </c>
      <c r="V5755" s="55" t="s">
        <v>1801</v>
      </c>
      <c r="W5755" s="173" t="s">
        <v>6828</v>
      </c>
      <c r="AO5755" s="185" t="s">
        <v>7494</v>
      </c>
      <c r="AQ5755" s="12"/>
      <c r="AR5755" s="55" t="s">
        <v>116</v>
      </c>
      <c r="AS5755" s="55" t="s">
        <v>116</v>
      </c>
      <c r="AU5755" s="181" t="s">
        <v>7494</v>
      </c>
      <c r="AV5755" s="185" t="s">
        <v>176</v>
      </c>
      <c r="AX5755" s="185" t="s">
        <v>176</v>
      </c>
      <c r="BK5755" s="55" t="s">
        <v>6452</v>
      </c>
      <c r="BN5755" s="55" t="s">
        <v>1801</v>
      </c>
      <c r="BO5755" s="55" t="s">
        <v>1801</v>
      </c>
      <c r="BV5755" s="55" t="s">
        <v>6837</v>
      </c>
      <c r="FE5755" s="65">
        <v>18</v>
      </c>
      <c r="FF5755" s="65">
        <v>21.2</v>
      </c>
      <c r="FG5755" s="65">
        <f>1.067*FE5755/SQRT(6*2)</f>
        <v>5.5442946350279767</v>
      </c>
      <c r="FH5755" s="65">
        <f>1.009*FF5755/SQRT(12)</f>
        <v>6.174992069090723</v>
      </c>
      <c r="FI5755" s="65" t="s">
        <v>6829</v>
      </c>
      <c r="GP5755" s="292" t="s">
        <v>7494</v>
      </c>
    </row>
    <row r="5756" spans="1:281" x14ac:dyDescent="0.25">
      <c r="A5756" s="55">
        <v>5755</v>
      </c>
      <c r="B5756" s="12" t="s">
        <v>7067</v>
      </c>
      <c r="C5756" s="155" t="s">
        <v>6824</v>
      </c>
      <c r="D5756" s="55" t="s">
        <v>6834</v>
      </c>
      <c r="E5756" s="90" t="s">
        <v>6825</v>
      </c>
      <c r="G5756" s="55" t="s">
        <v>6826</v>
      </c>
      <c r="H5756" s="55" t="s">
        <v>5564</v>
      </c>
      <c r="I5756" s="55" t="s">
        <v>5483</v>
      </c>
      <c r="J5756" s="55" t="s">
        <v>6673</v>
      </c>
      <c r="K5756" s="55" t="s">
        <v>6827</v>
      </c>
      <c r="L5756" s="55" t="s">
        <v>3377</v>
      </c>
      <c r="M5756" s="90">
        <v>34.5</v>
      </c>
      <c r="N5756" s="90">
        <v>113</v>
      </c>
      <c r="U5756" s="55" t="s">
        <v>1935</v>
      </c>
      <c r="V5756" s="55" t="s">
        <v>1801</v>
      </c>
      <c r="W5756" s="173" t="s">
        <v>6828</v>
      </c>
      <c r="AO5756" s="185" t="s">
        <v>7494</v>
      </c>
      <c r="AQ5756" s="12"/>
      <c r="AR5756" s="55" t="s">
        <v>116</v>
      </c>
      <c r="AS5756" s="55" t="s">
        <v>116</v>
      </c>
      <c r="AU5756" s="181" t="s">
        <v>7494</v>
      </c>
      <c r="AV5756" s="185" t="s">
        <v>176</v>
      </c>
      <c r="AX5756" s="185" t="s">
        <v>176</v>
      </c>
      <c r="BK5756" s="55" t="s">
        <v>6744</v>
      </c>
      <c r="BN5756" s="55" t="s">
        <v>1801</v>
      </c>
      <c r="BO5756" s="55" t="s">
        <v>1801</v>
      </c>
      <c r="BV5756" s="55" t="s">
        <v>6836</v>
      </c>
      <c r="FE5756" s="65">
        <v>24.5</v>
      </c>
      <c r="FF5756" s="65">
        <v>20.100000000000001</v>
      </c>
      <c r="FG5756" s="65">
        <f>0.8*FE5756/SQRT(6*2)</f>
        <v>5.6580326380583337</v>
      </c>
      <c r="FH5756" s="65">
        <f>1.168*FF5756/SQRT(12)</f>
        <v>6.7771683998555039</v>
      </c>
      <c r="FI5756" s="65" t="s">
        <v>6829</v>
      </c>
      <c r="FJ5756" s="65">
        <v>13.83</v>
      </c>
      <c r="FK5756" s="65">
        <v>6.58</v>
      </c>
      <c r="FN5756" s="65" t="s">
        <v>206</v>
      </c>
      <c r="GP5756" s="292" t="s">
        <v>7494</v>
      </c>
    </row>
    <row r="5757" spans="1:281" x14ac:dyDescent="0.25">
      <c r="A5757" s="55">
        <v>5756</v>
      </c>
      <c r="B5757" s="12" t="s">
        <v>7067</v>
      </c>
      <c r="C5757" s="155" t="s">
        <v>6824</v>
      </c>
      <c r="D5757" s="55" t="s">
        <v>6835</v>
      </c>
      <c r="E5757" s="90" t="s">
        <v>6825</v>
      </c>
      <c r="G5757" s="55" t="s">
        <v>6826</v>
      </c>
      <c r="H5757" s="55" t="s">
        <v>5564</v>
      </c>
      <c r="I5757" s="55" t="s">
        <v>5483</v>
      </c>
      <c r="J5757" s="55" t="s">
        <v>6673</v>
      </c>
      <c r="K5757" s="55" t="s">
        <v>6827</v>
      </c>
      <c r="L5757" s="55" t="s">
        <v>3377</v>
      </c>
      <c r="M5757" s="90">
        <v>34.5</v>
      </c>
      <c r="N5757" s="90">
        <v>113</v>
      </c>
      <c r="U5757" s="55" t="s">
        <v>1935</v>
      </c>
      <c r="V5757" s="55" t="s">
        <v>1801</v>
      </c>
      <c r="W5757" s="173" t="s">
        <v>6828</v>
      </c>
      <c r="AO5757" s="185" t="s">
        <v>7494</v>
      </c>
      <c r="AQ5757" s="12"/>
      <c r="AR5757" s="55" t="s">
        <v>116</v>
      </c>
      <c r="AS5757" s="55" t="s">
        <v>116</v>
      </c>
      <c r="AU5757" s="181" t="s">
        <v>7494</v>
      </c>
      <c r="AV5757" s="185" t="s">
        <v>176</v>
      </c>
      <c r="AX5757" s="185" t="s">
        <v>176</v>
      </c>
      <c r="BK5757" s="55" t="s">
        <v>6744</v>
      </c>
      <c r="BN5757" s="55" t="s">
        <v>1801</v>
      </c>
      <c r="BO5757" s="55" t="s">
        <v>1801</v>
      </c>
      <c r="BV5757" s="55" t="s">
        <v>6837</v>
      </c>
      <c r="FE5757" s="65">
        <v>18</v>
      </c>
      <c r="FF5757" s="65">
        <v>17.8</v>
      </c>
      <c r="FG5757" s="65">
        <f>1.067*FE5757/SQRT(6*2)</f>
        <v>5.5442946350279767</v>
      </c>
      <c r="FH5757" s="65">
        <f>1.396*FF5757/SQRT(12)</f>
        <v>7.173230684519587</v>
      </c>
      <c r="FI5757" s="65" t="s">
        <v>6829</v>
      </c>
      <c r="FJ5757" s="65">
        <v>39.56</v>
      </c>
      <c r="FK5757" s="65">
        <v>5.2</v>
      </c>
      <c r="FN5757" s="65" t="s">
        <v>206</v>
      </c>
      <c r="GP5757" s="292" t="s">
        <v>7494</v>
      </c>
    </row>
    <row r="5758" spans="1:281" x14ac:dyDescent="0.25">
      <c r="A5758" s="55">
        <v>5757</v>
      </c>
      <c r="B5758" s="12" t="s">
        <v>7067</v>
      </c>
      <c r="C5758" s="155" t="s">
        <v>6824</v>
      </c>
      <c r="D5758" s="55" t="s">
        <v>6830</v>
      </c>
      <c r="E5758" s="90" t="s">
        <v>6825</v>
      </c>
      <c r="G5758" s="55" t="s">
        <v>6826</v>
      </c>
      <c r="H5758" s="55" t="s">
        <v>5564</v>
      </c>
      <c r="I5758" s="55" t="s">
        <v>5599</v>
      </c>
      <c r="J5758" s="55" t="s">
        <v>6673</v>
      </c>
      <c r="K5758" s="55" t="s">
        <v>6827</v>
      </c>
      <c r="L5758" s="55" t="s">
        <v>3377</v>
      </c>
      <c r="M5758" s="90">
        <v>34.5</v>
      </c>
      <c r="N5758" s="90">
        <v>113</v>
      </c>
      <c r="U5758" s="55" t="s">
        <v>1935</v>
      </c>
      <c r="V5758" s="55" t="s">
        <v>1801</v>
      </c>
      <c r="W5758" s="173" t="s">
        <v>6828</v>
      </c>
      <c r="AO5758" s="185" t="s">
        <v>7494</v>
      </c>
      <c r="AQ5758" s="12"/>
      <c r="AR5758" s="55" t="s">
        <v>116</v>
      </c>
      <c r="AS5758" s="55" t="s">
        <v>116</v>
      </c>
      <c r="AU5758" s="181" t="s">
        <v>7494</v>
      </c>
      <c r="AV5758" s="185" t="s">
        <v>176</v>
      </c>
      <c r="AX5758" s="185" t="s">
        <v>176</v>
      </c>
      <c r="BK5758" s="55" t="s">
        <v>4499</v>
      </c>
      <c r="BN5758" s="55" t="s">
        <v>1801</v>
      </c>
      <c r="BO5758" s="55" t="s">
        <v>1801</v>
      </c>
      <c r="CB5758" s="66">
        <v>4218</v>
      </c>
      <c r="CC5758" s="66">
        <v>3690</v>
      </c>
      <c r="CE5758" s="65">
        <v>225</v>
      </c>
      <c r="CF5758" s="65">
        <v>52</v>
      </c>
      <c r="CG5758" s="65" t="s">
        <v>178</v>
      </c>
      <c r="FO5758" s="65">
        <v>3.2</v>
      </c>
      <c r="FP5758" s="65">
        <v>3.2</v>
      </c>
      <c r="FS5758" s="65" t="s">
        <v>637</v>
      </c>
      <c r="GP5758" s="292" t="s">
        <v>7494</v>
      </c>
      <c r="JU5758" s="55" t="s">
        <v>6838</v>
      </c>
    </row>
    <row r="5759" spans="1:281" x14ac:dyDescent="0.25">
      <c r="A5759" s="55">
        <v>5758</v>
      </c>
      <c r="B5759" s="12" t="s">
        <v>7067</v>
      </c>
      <c r="C5759" s="155" t="s">
        <v>6824</v>
      </c>
      <c r="D5759" s="55" t="s">
        <v>6832</v>
      </c>
      <c r="E5759" s="90" t="s">
        <v>6825</v>
      </c>
      <c r="G5759" s="55" t="s">
        <v>6826</v>
      </c>
      <c r="H5759" s="55" t="s">
        <v>5564</v>
      </c>
      <c r="I5759" s="55" t="s">
        <v>5599</v>
      </c>
      <c r="J5759" s="55" t="s">
        <v>6673</v>
      </c>
      <c r="K5759" s="55" t="s">
        <v>6827</v>
      </c>
      <c r="L5759" s="55" t="s">
        <v>3377</v>
      </c>
      <c r="M5759" s="90">
        <v>34.5</v>
      </c>
      <c r="N5759" s="90">
        <v>113</v>
      </c>
      <c r="U5759" s="55" t="s">
        <v>1935</v>
      </c>
      <c r="V5759" s="55" t="s">
        <v>1801</v>
      </c>
      <c r="W5759" s="173" t="s">
        <v>6828</v>
      </c>
      <c r="AO5759" s="185" t="s">
        <v>7494</v>
      </c>
      <c r="AQ5759" s="12"/>
      <c r="AR5759" s="55" t="s">
        <v>116</v>
      </c>
      <c r="AS5759" s="55" t="s">
        <v>116</v>
      </c>
      <c r="AU5759" s="181" t="s">
        <v>7494</v>
      </c>
      <c r="AV5759" s="185" t="s">
        <v>176</v>
      </c>
      <c r="AX5759" s="185" t="s">
        <v>176</v>
      </c>
      <c r="BK5759" s="55" t="s">
        <v>6452</v>
      </c>
      <c r="BN5759" s="55" t="s">
        <v>1801</v>
      </c>
      <c r="BO5759" s="55" t="s">
        <v>1801</v>
      </c>
      <c r="CB5759" s="66">
        <v>4218</v>
      </c>
      <c r="CC5759" s="66">
        <v>3586</v>
      </c>
      <c r="CE5759" s="65">
        <v>225</v>
      </c>
      <c r="CF5759" s="65">
        <v>166</v>
      </c>
      <c r="CG5759" s="65" t="s">
        <v>178</v>
      </c>
      <c r="FO5759" s="65">
        <v>3.2</v>
      </c>
      <c r="FP5759" s="65">
        <v>3.2</v>
      </c>
      <c r="FS5759" s="65" t="s">
        <v>637</v>
      </c>
      <c r="GP5759" s="292" t="s">
        <v>7494</v>
      </c>
      <c r="JU5759" s="55" t="s">
        <v>6838</v>
      </c>
    </row>
    <row r="5760" spans="1:281" x14ac:dyDescent="0.25">
      <c r="A5760" s="55">
        <v>5759</v>
      </c>
      <c r="B5760" s="12" t="s">
        <v>7067</v>
      </c>
      <c r="C5760" s="155" t="s">
        <v>6824</v>
      </c>
      <c r="D5760" s="55" t="s">
        <v>6834</v>
      </c>
      <c r="E5760" s="90" t="s">
        <v>6825</v>
      </c>
      <c r="G5760" s="55" t="s">
        <v>6826</v>
      </c>
      <c r="H5760" s="55" t="s">
        <v>5564</v>
      </c>
      <c r="I5760" s="55" t="s">
        <v>5599</v>
      </c>
      <c r="J5760" s="55" t="s">
        <v>6673</v>
      </c>
      <c r="K5760" s="55" t="s">
        <v>6827</v>
      </c>
      <c r="L5760" s="55" t="s">
        <v>3377</v>
      </c>
      <c r="M5760" s="90">
        <v>34.5</v>
      </c>
      <c r="N5760" s="90">
        <v>113</v>
      </c>
      <c r="U5760" s="55" t="s">
        <v>1935</v>
      </c>
      <c r="V5760" s="55" t="s">
        <v>1801</v>
      </c>
      <c r="W5760" s="173" t="s">
        <v>6828</v>
      </c>
      <c r="AO5760" s="185" t="s">
        <v>7494</v>
      </c>
      <c r="AQ5760" s="12"/>
      <c r="AR5760" s="55" t="s">
        <v>116</v>
      </c>
      <c r="AS5760" s="55" t="s">
        <v>116</v>
      </c>
      <c r="AU5760" s="181" t="s">
        <v>7494</v>
      </c>
      <c r="AV5760" s="185" t="s">
        <v>176</v>
      </c>
      <c r="AX5760" s="185" t="s">
        <v>176</v>
      </c>
      <c r="BK5760" s="55" t="s">
        <v>6744</v>
      </c>
      <c r="BN5760" s="55" t="s">
        <v>1801</v>
      </c>
      <c r="BO5760" s="55" t="s">
        <v>1801</v>
      </c>
      <c r="CB5760" s="66">
        <v>4218</v>
      </c>
      <c r="CC5760" s="66">
        <v>4593</v>
      </c>
      <c r="CE5760" s="65">
        <v>225</v>
      </c>
      <c r="CF5760" s="65">
        <v>272</v>
      </c>
      <c r="CG5760" s="65" t="s">
        <v>178</v>
      </c>
      <c r="FO5760" s="65">
        <v>3.2</v>
      </c>
      <c r="FP5760" s="65">
        <v>3.2</v>
      </c>
      <c r="FS5760" s="65" t="s">
        <v>637</v>
      </c>
      <c r="GP5760" s="292" t="s">
        <v>7494</v>
      </c>
      <c r="JU5760" s="55" t="s">
        <v>6838</v>
      </c>
    </row>
    <row r="5761" spans="1:281" x14ac:dyDescent="0.25">
      <c r="A5761" s="55">
        <v>5760</v>
      </c>
      <c r="B5761" s="12" t="s">
        <v>7067</v>
      </c>
      <c r="C5761" s="155" t="s">
        <v>6824</v>
      </c>
      <c r="D5761" s="55" t="s">
        <v>6830</v>
      </c>
      <c r="E5761" s="90" t="s">
        <v>6825</v>
      </c>
      <c r="G5761" s="55" t="s">
        <v>6826</v>
      </c>
      <c r="H5761" s="55" t="s">
        <v>5564</v>
      </c>
      <c r="I5761" s="55" t="s">
        <v>3291</v>
      </c>
      <c r="J5761" s="55" t="s">
        <v>6673</v>
      </c>
      <c r="K5761" s="55" t="s">
        <v>6827</v>
      </c>
      <c r="L5761" s="55" t="s">
        <v>3377</v>
      </c>
      <c r="M5761" s="90">
        <v>34.5</v>
      </c>
      <c r="N5761" s="90">
        <v>113</v>
      </c>
      <c r="U5761" s="55" t="s">
        <v>1805</v>
      </c>
      <c r="V5761" s="55" t="s">
        <v>1801</v>
      </c>
      <c r="W5761" s="173" t="s">
        <v>6828</v>
      </c>
      <c r="AO5761" s="185" t="s">
        <v>7494</v>
      </c>
      <c r="AQ5761" s="12"/>
      <c r="AR5761" s="55" t="s">
        <v>116</v>
      </c>
      <c r="AS5761" s="55" t="s">
        <v>116</v>
      </c>
      <c r="AU5761" s="181" t="s">
        <v>7494</v>
      </c>
      <c r="AV5761" s="185" t="s">
        <v>176</v>
      </c>
      <c r="AX5761" s="185" t="s">
        <v>176</v>
      </c>
      <c r="BK5761" s="55" t="s">
        <v>4499</v>
      </c>
      <c r="BN5761" s="55" t="s">
        <v>1801</v>
      </c>
      <c r="BO5761" s="55" t="s">
        <v>1801</v>
      </c>
      <c r="CB5761" s="66">
        <v>3922</v>
      </c>
      <c r="CC5761" s="66">
        <v>4047</v>
      </c>
      <c r="CE5761" s="65">
        <v>116</v>
      </c>
      <c r="CF5761" s="65">
        <v>129</v>
      </c>
      <c r="CG5761" s="65" t="s">
        <v>178</v>
      </c>
      <c r="FO5761" s="65">
        <v>4.5999999999999996</v>
      </c>
      <c r="FP5761" s="65">
        <v>8.6</v>
      </c>
      <c r="FS5761" s="65" t="s">
        <v>637</v>
      </c>
      <c r="GP5761" s="292" t="s">
        <v>7494</v>
      </c>
      <c r="JU5761" s="55" t="s">
        <v>6838</v>
      </c>
    </row>
    <row r="5762" spans="1:281" x14ac:dyDescent="0.25">
      <c r="A5762" s="55">
        <v>5761</v>
      </c>
      <c r="B5762" s="12" t="s">
        <v>7067</v>
      </c>
      <c r="C5762" s="155" t="s">
        <v>6824</v>
      </c>
      <c r="D5762" s="55" t="s">
        <v>6832</v>
      </c>
      <c r="E5762" s="90" t="s">
        <v>6825</v>
      </c>
      <c r="G5762" s="55" t="s">
        <v>6826</v>
      </c>
      <c r="H5762" s="55" t="s">
        <v>5564</v>
      </c>
      <c r="I5762" s="55" t="s">
        <v>3291</v>
      </c>
      <c r="J5762" s="55" t="s">
        <v>6673</v>
      </c>
      <c r="K5762" s="55" t="s">
        <v>6827</v>
      </c>
      <c r="L5762" s="55" t="s">
        <v>3377</v>
      </c>
      <c r="M5762" s="90">
        <v>34.5</v>
      </c>
      <c r="N5762" s="90">
        <v>113</v>
      </c>
      <c r="U5762" s="55" t="s">
        <v>1805</v>
      </c>
      <c r="V5762" s="55" t="s">
        <v>1801</v>
      </c>
      <c r="W5762" s="173" t="s">
        <v>6828</v>
      </c>
      <c r="AO5762" s="185" t="s">
        <v>7494</v>
      </c>
      <c r="AQ5762" s="12"/>
      <c r="AR5762" s="55" t="s">
        <v>116</v>
      </c>
      <c r="AS5762" s="55" t="s">
        <v>116</v>
      </c>
      <c r="AU5762" s="181" t="s">
        <v>7494</v>
      </c>
      <c r="AV5762" s="185" t="s">
        <v>176</v>
      </c>
      <c r="AX5762" s="185" t="s">
        <v>176</v>
      </c>
      <c r="BK5762" s="55" t="s">
        <v>6452</v>
      </c>
      <c r="BN5762" s="55" t="s">
        <v>1801</v>
      </c>
      <c r="BO5762" s="55" t="s">
        <v>1801</v>
      </c>
      <c r="CB5762" s="66">
        <v>3922</v>
      </c>
      <c r="CC5762" s="66">
        <v>4107</v>
      </c>
      <c r="CE5762" s="65">
        <v>116</v>
      </c>
      <c r="CF5762" s="65">
        <v>62</v>
      </c>
      <c r="CG5762" s="65" t="s">
        <v>178</v>
      </c>
      <c r="FO5762" s="65">
        <v>4.5999999999999996</v>
      </c>
      <c r="FP5762" s="65">
        <v>4.8</v>
      </c>
      <c r="FS5762" s="65" t="s">
        <v>637</v>
      </c>
      <c r="GP5762" s="292" t="s">
        <v>7494</v>
      </c>
      <c r="JU5762" s="55" t="s">
        <v>6838</v>
      </c>
    </row>
    <row r="5763" spans="1:281" x14ac:dyDescent="0.25">
      <c r="A5763" s="55">
        <v>5762</v>
      </c>
      <c r="B5763" s="12" t="s">
        <v>7067</v>
      </c>
      <c r="C5763" s="155" t="s">
        <v>6824</v>
      </c>
      <c r="D5763" s="55" t="s">
        <v>6834</v>
      </c>
      <c r="E5763" s="90" t="s">
        <v>6825</v>
      </c>
      <c r="G5763" s="55" t="s">
        <v>6826</v>
      </c>
      <c r="H5763" s="55" t="s">
        <v>5564</v>
      </c>
      <c r="I5763" s="55" t="s">
        <v>3291</v>
      </c>
      <c r="J5763" s="55" t="s">
        <v>6673</v>
      </c>
      <c r="K5763" s="55" t="s">
        <v>6827</v>
      </c>
      <c r="L5763" s="55" t="s">
        <v>3377</v>
      </c>
      <c r="M5763" s="90">
        <v>34.5</v>
      </c>
      <c r="N5763" s="90">
        <v>113</v>
      </c>
      <c r="U5763" s="55" t="s">
        <v>1805</v>
      </c>
      <c r="V5763" s="55" t="s">
        <v>1801</v>
      </c>
      <c r="W5763" s="173" t="s">
        <v>6828</v>
      </c>
      <c r="AO5763" s="185" t="s">
        <v>7494</v>
      </c>
      <c r="AQ5763" s="12"/>
      <c r="AR5763" s="55" t="s">
        <v>116</v>
      </c>
      <c r="AS5763" s="55" t="s">
        <v>116</v>
      </c>
      <c r="AU5763" s="181" t="s">
        <v>7494</v>
      </c>
      <c r="AV5763" s="185" t="s">
        <v>176</v>
      </c>
      <c r="AX5763" s="185" t="s">
        <v>176</v>
      </c>
      <c r="BK5763" s="55" t="s">
        <v>6744</v>
      </c>
      <c r="BN5763" s="55" t="s">
        <v>1801</v>
      </c>
      <c r="BO5763" s="55" t="s">
        <v>1801</v>
      </c>
      <c r="CB5763" s="66">
        <v>3922</v>
      </c>
      <c r="CC5763" s="66">
        <v>4246</v>
      </c>
      <c r="CE5763" s="65">
        <v>116</v>
      </c>
      <c r="CF5763" s="65">
        <v>142</v>
      </c>
      <c r="CG5763" s="65" t="s">
        <v>178</v>
      </c>
      <c r="FO5763" s="65">
        <v>4.5999999999999996</v>
      </c>
      <c r="FP5763" s="65">
        <v>4.8</v>
      </c>
      <c r="FS5763" s="65" t="s">
        <v>637</v>
      </c>
      <c r="GP5763" s="292" t="s">
        <v>7494</v>
      </c>
      <c r="JU5763" s="55" t="s">
        <v>6838</v>
      </c>
    </row>
    <row r="5764" spans="1:281" x14ac:dyDescent="0.25">
      <c r="A5764" s="55">
        <v>5763</v>
      </c>
      <c r="B5764" s="12" t="s">
        <v>7067</v>
      </c>
      <c r="C5764" s="155" t="s">
        <v>6824</v>
      </c>
      <c r="D5764" s="55" t="s">
        <v>6830</v>
      </c>
      <c r="E5764" s="90" t="s">
        <v>6825</v>
      </c>
      <c r="G5764" s="55" t="s">
        <v>6826</v>
      </c>
      <c r="H5764" s="55" t="s">
        <v>5564</v>
      </c>
      <c r="I5764" s="55" t="s">
        <v>5470</v>
      </c>
      <c r="J5764" s="55" t="s">
        <v>6673</v>
      </c>
      <c r="K5764" s="55" t="s">
        <v>6827</v>
      </c>
      <c r="L5764" s="55" t="s">
        <v>3377</v>
      </c>
      <c r="M5764" s="90">
        <v>34.5</v>
      </c>
      <c r="N5764" s="90">
        <v>113</v>
      </c>
      <c r="U5764" s="55" t="s">
        <v>1688</v>
      </c>
      <c r="V5764" s="55" t="s">
        <v>1801</v>
      </c>
      <c r="W5764" s="173" t="s">
        <v>6828</v>
      </c>
      <c r="AO5764" s="185" t="s">
        <v>7494</v>
      </c>
      <c r="AQ5764" s="12"/>
      <c r="AR5764" s="55" t="s">
        <v>116</v>
      </c>
      <c r="AS5764" s="55" t="s">
        <v>116</v>
      </c>
      <c r="AU5764" s="181" t="s">
        <v>7494</v>
      </c>
      <c r="AV5764" s="185" t="s">
        <v>176</v>
      </c>
      <c r="AX5764" s="185" t="s">
        <v>176</v>
      </c>
      <c r="BK5764" s="55" t="s">
        <v>4499</v>
      </c>
      <c r="BN5764" s="55" t="s">
        <v>1801</v>
      </c>
      <c r="BO5764" s="55" t="s">
        <v>1801</v>
      </c>
      <c r="CB5764" s="66">
        <v>5169</v>
      </c>
      <c r="CC5764" s="66">
        <v>4473</v>
      </c>
      <c r="CE5764" s="65">
        <v>472</v>
      </c>
      <c r="CF5764" s="65">
        <v>235</v>
      </c>
      <c r="CG5764" s="65" t="s">
        <v>178</v>
      </c>
      <c r="FO5764" s="65">
        <v>3.5</v>
      </c>
      <c r="FP5764" s="65">
        <v>3.6</v>
      </c>
      <c r="FS5764" s="65" t="s">
        <v>637</v>
      </c>
      <c r="GP5764" s="292" t="s">
        <v>7494</v>
      </c>
      <c r="JU5764" s="55" t="s">
        <v>6838</v>
      </c>
    </row>
    <row r="5765" spans="1:281" x14ac:dyDescent="0.25">
      <c r="A5765" s="55">
        <v>5764</v>
      </c>
      <c r="B5765" s="12" t="s">
        <v>7067</v>
      </c>
      <c r="C5765" s="155" t="s">
        <v>6824</v>
      </c>
      <c r="D5765" s="55" t="s">
        <v>6832</v>
      </c>
      <c r="E5765" s="90" t="s">
        <v>6825</v>
      </c>
      <c r="G5765" s="55" t="s">
        <v>6826</v>
      </c>
      <c r="H5765" s="55" t="s">
        <v>5564</v>
      </c>
      <c r="I5765" s="55" t="s">
        <v>5470</v>
      </c>
      <c r="J5765" s="55" t="s">
        <v>6673</v>
      </c>
      <c r="K5765" s="55" t="s">
        <v>6827</v>
      </c>
      <c r="L5765" s="55" t="s">
        <v>3377</v>
      </c>
      <c r="M5765" s="90">
        <v>34.5</v>
      </c>
      <c r="N5765" s="90">
        <v>113</v>
      </c>
      <c r="U5765" s="55" t="s">
        <v>1688</v>
      </c>
      <c r="V5765" s="55" t="s">
        <v>1801</v>
      </c>
      <c r="W5765" s="173" t="s">
        <v>6828</v>
      </c>
      <c r="AO5765" s="185" t="s">
        <v>7494</v>
      </c>
      <c r="AQ5765" s="12"/>
      <c r="AR5765" s="55" t="s">
        <v>116</v>
      </c>
      <c r="AS5765" s="55" t="s">
        <v>116</v>
      </c>
      <c r="AU5765" s="181" t="s">
        <v>7494</v>
      </c>
      <c r="AV5765" s="185" t="s">
        <v>176</v>
      </c>
      <c r="AX5765" s="185" t="s">
        <v>176</v>
      </c>
      <c r="BK5765" s="55" t="s">
        <v>6452</v>
      </c>
      <c r="BN5765" s="55" t="s">
        <v>1801</v>
      </c>
      <c r="BO5765" s="55" t="s">
        <v>1801</v>
      </c>
      <c r="CB5765" s="66">
        <v>5169</v>
      </c>
      <c r="CC5765" s="66">
        <v>4897</v>
      </c>
      <c r="CE5765" s="65">
        <v>472</v>
      </c>
      <c r="CF5765" s="65">
        <v>233</v>
      </c>
      <c r="CG5765" s="65" t="s">
        <v>178</v>
      </c>
      <c r="FO5765" s="65">
        <v>3.5</v>
      </c>
      <c r="FP5765" s="65">
        <v>0.6</v>
      </c>
      <c r="FS5765" s="65" t="s">
        <v>637</v>
      </c>
      <c r="GP5765" s="292" t="s">
        <v>7494</v>
      </c>
      <c r="JU5765" s="55" t="s">
        <v>6838</v>
      </c>
    </row>
    <row r="5766" spans="1:281" x14ac:dyDescent="0.25">
      <c r="A5766" s="55">
        <v>5765</v>
      </c>
      <c r="B5766" s="12" t="s">
        <v>7067</v>
      </c>
      <c r="C5766" s="155" t="s">
        <v>6824</v>
      </c>
      <c r="D5766" s="55" t="s">
        <v>6834</v>
      </c>
      <c r="E5766" s="90" t="s">
        <v>6825</v>
      </c>
      <c r="G5766" s="55" t="s">
        <v>6826</v>
      </c>
      <c r="H5766" s="55" t="s">
        <v>5564</v>
      </c>
      <c r="I5766" s="55" t="s">
        <v>5470</v>
      </c>
      <c r="J5766" s="55" t="s">
        <v>6673</v>
      </c>
      <c r="K5766" s="55" t="s">
        <v>6827</v>
      </c>
      <c r="L5766" s="55" t="s">
        <v>3377</v>
      </c>
      <c r="M5766" s="90">
        <v>34.5</v>
      </c>
      <c r="N5766" s="90">
        <v>113</v>
      </c>
      <c r="U5766" s="55" t="s">
        <v>1688</v>
      </c>
      <c r="V5766" s="55" t="s">
        <v>1801</v>
      </c>
      <c r="W5766" s="173" t="s">
        <v>6828</v>
      </c>
      <c r="AO5766" s="185" t="s">
        <v>7494</v>
      </c>
      <c r="AQ5766" s="12"/>
      <c r="AR5766" s="55" t="s">
        <v>116</v>
      </c>
      <c r="AS5766" s="55" t="s">
        <v>116</v>
      </c>
      <c r="AU5766" s="181" t="s">
        <v>7494</v>
      </c>
      <c r="AV5766" s="185" t="s">
        <v>176</v>
      </c>
      <c r="AX5766" s="185" t="s">
        <v>176</v>
      </c>
      <c r="BK5766" s="55" t="s">
        <v>6744</v>
      </c>
      <c r="BN5766" s="55" t="s">
        <v>1801</v>
      </c>
      <c r="BO5766" s="55" t="s">
        <v>1801</v>
      </c>
      <c r="CB5766" s="66">
        <v>5169</v>
      </c>
      <c r="CC5766" s="66">
        <v>5478</v>
      </c>
      <c r="CE5766" s="65">
        <v>472</v>
      </c>
      <c r="CF5766" s="65">
        <v>366</v>
      </c>
      <c r="CG5766" s="65" t="s">
        <v>178</v>
      </c>
      <c r="FO5766" s="65">
        <v>3.5</v>
      </c>
      <c r="FP5766" s="65">
        <v>0</v>
      </c>
      <c r="FS5766" s="65" t="s">
        <v>637</v>
      </c>
      <c r="GP5766" s="292" t="s">
        <v>7494</v>
      </c>
      <c r="JU5766" s="55" t="s">
        <v>6838</v>
      </c>
    </row>
    <row r="5767" spans="1:281" x14ac:dyDescent="0.25">
      <c r="A5767" s="55">
        <v>5766</v>
      </c>
      <c r="B5767" s="12" t="s">
        <v>7067</v>
      </c>
      <c r="C5767" s="155" t="s">
        <v>6824</v>
      </c>
      <c r="D5767" s="55" t="s">
        <v>6830</v>
      </c>
      <c r="E5767" s="90" t="s">
        <v>6825</v>
      </c>
      <c r="G5767" s="55" t="s">
        <v>6826</v>
      </c>
      <c r="H5767" s="55" t="s">
        <v>5564</v>
      </c>
      <c r="I5767" s="55" t="s">
        <v>5643</v>
      </c>
      <c r="J5767" s="55" t="s">
        <v>6673</v>
      </c>
      <c r="K5767" s="55" t="s">
        <v>6827</v>
      </c>
      <c r="L5767" s="55" t="s">
        <v>3377</v>
      </c>
      <c r="M5767" s="90">
        <v>34.5</v>
      </c>
      <c r="N5767" s="90">
        <v>113</v>
      </c>
      <c r="U5767" s="55" t="s">
        <v>1816</v>
      </c>
      <c r="V5767" s="55" t="s">
        <v>1801</v>
      </c>
      <c r="W5767" s="173" t="s">
        <v>6828</v>
      </c>
      <c r="AO5767" s="185" t="s">
        <v>7494</v>
      </c>
      <c r="AQ5767" s="12"/>
      <c r="AR5767" s="55" t="s">
        <v>116</v>
      </c>
      <c r="AS5767" s="55" t="s">
        <v>116</v>
      </c>
      <c r="AU5767" s="181" t="s">
        <v>7494</v>
      </c>
      <c r="AV5767" s="185" t="s">
        <v>176</v>
      </c>
      <c r="AX5767" s="185" t="s">
        <v>176</v>
      </c>
      <c r="BK5767" s="55" t="s">
        <v>4499</v>
      </c>
      <c r="BN5767" s="55" t="s">
        <v>1801</v>
      </c>
      <c r="BO5767" s="55" t="s">
        <v>1801</v>
      </c>
      <c r="CB5767" s="66">
        <v>4019</v>
      </c>
      <c r="CC5767" s="66">
        <v>4347</v>
      </c>
      <c r="CE5767" s="65">
        <v>142</v>
      </c>
      <c r="CF5767" s="65">
        <v>312</v>
      </c>
      <c r="CG5767" s="65" t="s">
        <v>178</v>
      </c>
      <c r="GP5767" s="292" t="s">
        <v>7494</v>
      </c>
      <c r="JU5767" s="55" t="s">
        <v>6838</v>
      </c>
    </row>
    <row r="5768" spans="1:281" x14ac:dyDescent="0.25">
      <c r="A5768" s="55">
        <v>5767</v>
      </c>
      <c r="B5768" s="12" t="s">
        <v>7067</v>
      </c>
      <c r="C5768" s="155" t="s">
        <v>6824</v>
      </c>
      <c r="D5768" s="55" t="s">
        <v>6832</v>
      </c>
      <c r="E5768" s="90" t="s">
        <v>6825</v>
      </c>
      <c r="G5768" s="55" t="s">
        <v>6826</v>
      </c>
      <c r="H5768" s="55" t="s">
        <v>5564</v>
      </c>
      <c r="I5768" s="55" t="s">
        <v>5643</v>
      </c>
      <c r="J5768" s="55" t="s">
        <v>6673</v>
      </c>
      <c r="K5768" s="55" t="s">
        <v>6827</v>
      </c>
      <c r="L5768" s="55" t="s">
        <v>3377</v>
      </c>
      <c r="M5768" s="90">
        <v>34.5</v>
      </c>
      <c r="N5768" s="90">
        <v>113</v>
      </c>
      <c r="U5768" s="55" t="s">
        <v>1816</v>
      </c>
      <c r="V5768" s="55" t="s">
        <v>1801</v>
      </c>
      <c r="W5768" s="173" t="s">
        <v>6828</v>
      </c>
      <c r="AO5768" s="185" t="s">
        <v>7494</v>
      </c>
      <c r="AQ5768" s="12"/>
      <c r="AR5768" s="55" t="s">
        <v>116</v>
      </c>
      <c r="AS5768" s="55" t="s">
        <v>116</v>
      </c>
      <c r="AU5768" s="181" t="s">
        <v>7494</v>
      </c>
      <c r="AV5768" s="185" t="s">
        <v>176</v>
      </c>
      <c r="AX5768" s="185" t="s">
        <v>176</v>
      </c>
      <c r="BK5768" s="55" t="s">
        <v>6452</v>
      </c>
      <c r="BN5768" s="55" t="s">
        <v>1801</v>
      </c>
      <c r="BO5768" s="55" t="s">
        <v>1801</v>
      </c>
      <c r="CB5768" s="66">
        <v>4019</v>
      </c>
      <c r="CC5768" s="66">
        <v>4778</v>
      </c>
      <c r="CE5768" s="65">
        <v>142</v>
      </c>
      <c r="CF5768" s="65">
        <v>168</v>
      </c>
      <c r="CG5768" s="65" t="s">
        <v>178</v>
      </c>
      <c r="GP5768" s="292" t="s">
        <v>7494</v>
      </c>
      <c r="JU5768" s="55" t="s">
        <v>6838</v>
      </c>
    </row>
    <row r="5769" spans="1:281" x14ac:dyDescent="0.25">
      <c r="A5769" s="55">
        <v>5768</v>
      </c>
      <c r="B5769" s="12" t="s">
        <v>7067</v>
      </c>
      <c r="C5769" s="155" t="s">
        <v>6824</v>
      </c>
      <c r="D5769" s="55" t="s">
        <v>6834</v>
      </c>
      <c r="E5769" s="90" t="s">
        <v>6825</v>
      </c>
      <c r="G5769" s="55" t="s">
        <v>6826</v>
      </c>
      <c r="H5769" s="55" t="s">
        <v>5564</v>
      </c>
      <c r="I5769" s="55" t="s">
        <v>5643</v>
      </c>
      <c r="J5769" s="55" t="s">
        <v>6673</v>
      </c>
      <c r="K5769" s="55" t="s">
        <v>6827</v>
      </c>
      <c r="L5769" s="55" t="s">
        <v>3377</v>
      </c>
      <c r="M5769" s="90">
        <v>34.5</v>
      </c>
      <c r="N5769" s="90">
        <v>113</v>
      </c>
      <c r="U5769" s="55" t="s">
        <v>1816</v>
      </c>
      <c r="V5769" s="55" t="s">
        <v>1801</v>
      </c>
      <c r="W5769" s="173" t="s">
        <v>6828</v>
      </c>
      <c r="AO5769" s="185" t="s">
        <v>7494</v>
      </c>
      <c r="AQ5769" s="12"/>
      <c r="AR5769" s="55" t="s">
        <v>116</v>
      </c>
      <c r="AS5769" s="55" t="s">
        <v>116</v>
      </c>
      <c r="AU5769" s="181" t="s">
        <v>7494</v>
      </c>
      <c r="AV5769" s="185" t="s">
        <v>176</v>
      </c>
      <c r="AX5769" s="185" t="s">
        <v>176</v>
      </c>
      <c r="BK5769" s="55" t="s">
        <v>6744</v>
      </c>
      <c r="BN5769" s="55" t="s">
        <v>1801</v>
      </c>
      <c r="BO5769" s="55" t="s">
        <v>1801</v>
      </c>
      <c r="CB5769" s="66">
        <v>4019</v>
      </c>
      <c r="CC5769" s="66">
        <v>4857</v>
      </c>
      <c r="CE5769" s="65">
        <v>142</v>
      </c>
      <c r="CF5769" s="65">
        <v>88</v>
      </c>
      <c r="CG5769" s="65" t="s">
        <v>178</v>
      </c>
      <c r="GP5769" s="292" t="s">
        <v>7494</v>
      </c>
      <c r="JU5769" s="55" t="s">
        <v>6838</v>
      </c>
    </row>
    <row r="5770" spans="1:281" x14ac:dyDescent="0.25">
      <c r="A5770" s="55">
        <v>5769</v>
      </c>
      <c r="B5770" s="12" t="s">
        <v>7067</v>
      </c>
      <c r="C5770" s="155" t="s">
        <v>6824</v>
      </c>
      <c r="D5770" s="55" t="s">
        <v>6830</v>
      </c>
      <c r="E5770" s="90" t="s">
        <v>6825</v>
      </c>
      <c r="G5770" s="55" t="s">
        <v>6826</v>
      </c>
      <c r="H5770" s="55" t="s">
        <v>5564</v>
      </c>
      <c r="I5770" s="55" t="s">
        <v>5483</v>
      </c>
      <c r="J5770" s="55" t="s">
        <v>6673</v>
      </c>
      <c r="K5770" s="55" t="s">
        <v>6827</v>
      </c>
      <c r="L5770" s="55" t="s">
        <v>3377</v>
      </c>
      <c r="M5770" s="90">
        <v>34.5</v>
      </c>
      <c r="N5770" s="90">
        <v>113</v>
      </c>
      <c r="U5770" s="55" t="s">
        <v>1682</v>
      </c>
      <c r="V5770" s="55" t="s">
        <v>1801</v>
      </c>
      <c r="W5770" s="173" t="s">
        <v>6828</v>
      </c>
      <c r="AO5770" s="185" t="s">
        <v>7494</v>
      </c>
      <c r="AQ5770" s="12"/>
      <c r="AR5770" s="55" t="s">
        <v>116</v>
      </c>
      <c r="AS5770" s="55" t="s">
        <v>116</v>
      </c>
      <c r="AU5770" s="181" t="s">
        <v>7494</v>
      </c>
      <c r="AV5770" s="185" t="s">
        <v>176</v>
      </c>
      <c r="AX5770" s="185" t="s">
        <v>176</v>
      </c>
      <c r="BK5770" s="55" t="s">
        <v>4499</v>
      </c>
      <c r="BN5770" s="55" t="s">
        <v>1801</v>
      </c>
      <c r="BO5770" s="55" t="s">
        <v>1801</v>
      </c>
      <c r="CB5770" s="66">
        <v>4347</v>
      </c>
      <c r="CC5770" s="66">
        <v>4109</v>
      </c>
      <c r="CE5770" s="65">
        <v>145</v>
      </c>
      <c r="CF5770" s="65">
        <v>100</v>
      </c>
      <c r="CG5770" s="65" t="s">
        <v>178</v>
      </c>
      <c r="FO5770" s="65">
        <v>13.4</v>
      </c>
      <c r="FP5770" s="65">
        <v>15.4</v>
      </c>
      <c r="FS5770" s="65" t="s">
        <v>637</v>
      </c>
      <c r="GP5770" s="292" t="s">
        <v>7494</v>
      </c>
      <c r="JU5770" s="55" t="s">
        <v>6838</v>
      </c>
    </row>
    <row r="5771" spans="1:281" x14ac:dyDescent="0.25">
      <c r="A5771" s="55">
        <v>5770</v>
      </c>
      <c r="B5771" s="12" t="s">
        <v>7067</v>
      </c>
      <c r="C5771" s="155" t="s">
        <v>6824</v>
      </c>
      <c r="D5771" s="55" t="s">
        <v>6832</v>
      </c>
      <c r="E5771" s="90" t="s">
        <v>6825</v>
      </c>
      <c r="G5771" s="55" t="s">
        <v>6826</v>
      </c>
      <c r="H5771" s="55" t="s">
        <v>5564</v>
      </c>
      <c r="I5771" s="55" t="s">
        <v>5483</v>
      </c>
      <c r="J5771" s="55" t="s">
        <v>6673</v>
      </c>
      <c r="K5771" s="55" t="s">
        <v>6827</v>
      </c>
      <c r="L5771" s="55" t="s">
        <v>3377</v>
      </c>
      <c r="M5771" s="90">
        <v>34.5</v>
      </c>
      <c r="N5771" s="90">
        <v>113</v>
      </c>
      <c r="U5771" s="55" t="s">
        <v>1682</v>
      </c>
      <c r="V5771" s="55" t="s">
        <v>1801</v>
      </c>
      <c r="W5771" s="173" t="s">
        <v>6828</v>
      </c>
      <c r="AO5771" s="185" t="s">
        <v>7494</v>
      </c>
      <c r="AQ5771" s="12"/>
      <c r="AR5771" s="55" t="s">
        <v>116</v>
      </c>
      <c r="AS5771" s="55" t="s">
        <v>116</v>
      </c>
      <c r="AU5771" s="181" t="s">
        <v>7494</v>
      </c>
      <c r="AV5771" s="185" t="s">
        <v>176</v>
      </c>
      <c r="AX5771" s="185" t="s">
        <v>176</v>
      </c>
      <c r="BK5771" s="55" t="s">
        <v>6452</v>
      </c>
      <c r="BN5771" s="55" t="s">
        <v>1801</v>
      </c>
      <c r="BO5771" s="55" t="s">
        <v>1801</v>
      </c>
      <c r="CB5771" s="66">
        <v>4347</v>
      </c>
      <c r="CC5771" s="66">
        <v>4270</v>
      </c>
      <c r="CE5771" s="65">
        <v>145</v>
      </c>
      <c r="CF5771" s="65">
        <v>190</v>
      </c>
      <c r="CG5771" s="65" t="s">
        <v>178</v>
      </c>
      <c r="FO5771" s="65">
        <v>13.4</v>
      </c>
      <c r="FP5771" s="65">
        <v>1.3</v>
      </c>
      <c r="FS5771" s="65" t="s">
        <v>637</v>
      </c>
      <c r="GP5771" s="292" t="s">
        <v>7494</v>
      </c>
      <c r="JU5771" s="55" t="s">
        <v>6838</v>
      </c>
    </row>
    <row r="5772" spans="1:281" x14ac:dyDescent="0.25">
      <c r="A5772" s="55">
        <v>5771</v>
      </c>
      <c r="B5772" s="12" t="s">
        <v>7067</v>
      </c>
      <c r="C5772" s="155" t="s">
        <v>6824</v>
      </c>
      <c r="D5772" s="55" t="s">
        <v>6834</v>
      </c>
      <c r="E5772" s="90" t="s">
        <v>6825</v>
      </c>
      <c r="G5772" s="55" t="s">
        <v>6826</v>
      </c>
      <c r="H5772" s="55" t="s">
        <v>5564</v>
      </c>
      <c r="I5772" s="55" t="s">
        <v>5483</v>
      </c>
      <c r="J5772" s="55" t="s">
        <v>6673</v>
      </c>
      <c r="K5772" s="55" t="s">
        <v>6827</v>
      </c>
      <c r="L5772" s="55" t="s">
        <v>3377</v>
      </c>
      <c r="M5772" s="90">
        <v>34.5</v>
      </c>
      <c r="N5772" s="90">
        <v>113</v>
      </c>
      <c r="U5772" s="55" t="s">
        <v>1682</v>
      </c>
      <c r="V5772" s="55" t="s">
        <v>1801</v>
      </c>
      <c r="W5772" s="173" t="s">
        <v>6828</v>
      </c>
      <c r="AO5772" s="185" t="s">
        <v>7494</v>
      </c>
      <c r="AQ5772" s="12"/>
      <c r="AR5772" s="55" t="s">
        <v>116</v>
      </c>
      <c r="AS5772" s="55" t="s">
        <v>116</v>
      </c>
      <c r="AU5772" s="181" t="s">
        <v>7494</v>
      </c>
      <c r="AV5772" s="185" t="s">
        <v>176</v>
      </c>
      <c r="AX5772" s="185" t="s">
        <v>176</v>
      </c>
      <c r="BK5772" s="55" t="s">
        <v>6744</v>
      </c>
      <c r="BN5772" s="55" t="s">
        <v>1801</v>
      </c>
      <c r="BO5772" s="55" t="s">
        <v>1801</v>
      </c>
      <c r="CB5772" s="66">
        <v>4347</v>
      </c>
      <c r="CC5772" s="66">
        <v>4559</v>
      </c>
      <c r="CE5772" s="65">
        <v>145</v>
      </c>
      <c r="CF5772" s="65">
        <v>268</v>
      </c>
      <c r="CG5772" s="65" t="s">
        <v>178</v>
      </c>
      <c r="FO5772" s="65">
        <v>13.4</v>
      </c>
      <c r="FP5772" s="65">
        <v>1.3</v>
      </c>
      <c r="FS5772" s="65" t="s">
        <v>637</v>
      </c>
      <c r="GP5772" s="292" t="s">
        <v>7494</v>
      </c>
      <c r="JU5772" s="55" t="s">
        <v>6838</v>
      </c>
    </row>
    <row r="5773" spans="1:281" x14ac:dyDescent="0.25">
      <c r="A5773" s="55">
        <v>5772</v>
      </c>
      <c r="B5773" s="12" t="s">
        <v>7067</v>
      </c>
      <c r="C5773" s="155" t="s">
        <v>6824</v>
      </c>
      <c r="D5773" s="55" t="s">
        <v>6830</v>
      </c>
      <c r="E5773" s="90" t="s">
        <v>6825</v>
      </c>
      <c r="G5773" s="55" t="s">
        <v>6826</v>
      </c>
      <c r="H5773" s="55" t="s">
        <v>5564</v>
      </c>
      <c r="I5773" s="55" t="s">
        <v>5550</v>
      </c>
      <c r="J5773" s="55" t="s">
        <v>6673</v>
      </c>
      <c r="K5773" s="55" t="s">
        <v>6827</v>
      </c>
      <c r="L5773" s="55" t="s">
        <v>3377</v>
      </c>
      <c r="M5773" s="90">
        <v>34.5</v>
      </c>
      <c r="N5773" s="90">
        <v>113</v>
      </c>
      <c r="U5773" s="55" t="s">
        <v>1801</v>
      </c>
      <c r="V5773" s="55" t="s">
        <v>1801</v>
      </c>
      <c r="W5773" s="173" t="s">
        <v>6828</v>
      </c>
      <c r="AO5773" s="185" t="s">
        <v>7494</v>
      </c>
      <c r="AQ5773" s="12"/>
      <c r="AR5773" s="55" t="s">
        <v>116</v>
      </c>
      <c r="AS5773" s="55" t="s">
        <v>116</v>
      </c>
      <c r="AU5773" s="181" t="s">
        <v>7494</v>
      </c>
      <c r="AV5773" s="185" t="s">
        <v>176</v>
      </c>
      <c r="AX5773" s="185" t="s">
        <v>176</v>
      </c>
      <c r="BK5773" s="55" t="s">
        <v>4499</v>
      </c>
      <c r="BN5773" s="55" t="s">
        <v>1801</v>
      </c>
      <c r="BO5773" s="55" t="s">
        <v>1801</v>
      </c>
      <c r="CB5773" s="66">
        <v>4801</v>
      </c>
      <c r="CC5773" s="66">
        <v>4574</v>
      </c>
      <c r="CE5773" s="65">
        <v>77</v>
      </c>
      <c r="CF5773" s="65">
        <v>215</v>
      </c>
      <c r="CG5773" s="65" t="s">
        <v>178</v>
      </c>
      <c r="FO5773" s="65">
        <v>5.7</v>
      </c>
      <c r="FP5773" s="65">
        <v>7.4</v>
      </c>
      <c r="FS5773" s="65" t="s">
        <v>637</v>
      </c>
      <c r="GP5773" s="292" t="s">
        <v>7494</v>
      </c>
      <c r="JU5773" s="55" t="s">
        <v>6838</v>
      </c>
    </row>
    <row r="5774" spans="1:281" x14ac:dyDescent="0.25">
      <c r="A5774" s="55">
        <v>5773</v>
      </c>
      <c r="B5774" s="12" t="s">
        <v>7067</v>
      </c>
      <c r="C5774" s="155" t="s">
        <v>6824</v>
      </c>
      <c r="D5774" s="55" t="s">
        <v>6832</v>
      </c>
      <c r="E5774" s="90" t="s">
        <v>6825</v>
      </c>
      <c r="G5774" s="55" t="s">
        <v>6826</v>
      </c>
      <c r="H5774" s="55" t="s">
        <v>5564</v>
      </c>
      <c r="I5774" s="55" t="s">
        <v>5550</v>
      </c>
      <c r="J5774" s="55" t="s">
        <v>6673</v>
      </c>
      <c r="K5774" s="55" t="s">
        <v>6827</v>
      </c>
      <c r="L5774" s="55" t="s">
        <v>3377</v>
      </c>
      <c r="M5774" s="90">
        <v>34.5</v>
      </c>
      <c r="N5774" s="90">
        <v>113</v>
      </c>
      <c r="U5774" s="55" t="s">
        <v>1801</v>
      </c>
      <c r="V5774" s="55" t="s">
        <v>1801</v>
      </c>
      <c r="W5774" s="173" t="s">
        <v>6828</v>
      </c>
      <c r="AO5774" s="185" t="s">
        <v>7494</v>
      </c>
      <c r="AQ5774" s="12"/>
      <c r="AR5774" s="55" t="s">
        <v>116</v>
      </c>
      <c r="AS5774" s="55" t="s">
        <v>116</v>
      </c>
      <c r="AU5774" s="181" t="s">
        <v>7494</v>
      </c>
      <c r="AV5774" s="185" t="s">
        <v>176</v>
      </c>
      <c r="AX5774" s="185" t="s">
        <v>176</v>
      </c>
      <c r="BK5774" s="55" t="s">
        <v>6452</v>
      </c>
      <c r="BN5774" s="55" t="s">
        <v>1801</v>
      </c>
      <c r="BO5774" s="55" t="s">
        <v>1801</v>
      </c>
      <c r="CB5774" s="66">
        <v>4801</v>
      </c>
      <c r="CC5774" s="66">
        <v>5292</v>
      </c>
      <c r="CE5774" s="65">
        <v>77</v>
      </c>
      <c r="CF5774" s="65">
        <v>243</v>
      </c>
      <c r="CG5774" s="65" t="s">
        <v>178</v>
      </c>
      <c r="FO5774" s="65">
        <v>5.7</v>
      </c>
      <c r="FP5774" s="65">
        <v>1.9</v>
      </c>
      <c r="FS5774" s="65" t="s">
        <v>637</v>
      </c>
      <c r="GP5774" s="292" t="s">
        <v>7494</v>
      </c>
      <c r="JU5774" s="55" t="s">
        <v>6838</v>
      </c>
    </row>
    <row r="5775" spans="1:281" x14ac:dyDescent="0.25">
      <c r="A5775" s="55">
        <v>5774</v>
      </c>
      <c r="B5775" s="12" t="s">
        <v>7067</v>
      </c>
      <c r="C5775" s="155" t="s">
        <v>6824</v>
      </c>
      <c r="D5775" s="55" t="s">
        <v>6834</v>
      </c>
      <c r="E5775" s="90" t="s">
        <v>6825</v>
      </c>
      <c r="G5775" s="55" t="s">
        <v>6826</v>
      </c>
      <c r="H5775" s="55" t="s">
        <v>5564</v>
      </c>
      <c r="I5775" s="55" t="s">
        <v>5550</v>
      </c>
      <c r="J5775" s="55" t="s">
        <v>6673</v>
      </c>
      <c r="K5775" s="55" t="s">
        <v>6827</v>
      </c>
      <c r="L5775" s="55" t="s">
        <v>3377</v>
      </c>
      <c r="M5775" s="90">
        <v>34.5</v>
      </c>
      <c r="N5775" s="90">
        <v>113</v>
      </c>
      <c r="U5775" s="55" t="s">
        <v>1801</v>
      </c>
      <c r="V5775" s="55" t="s">
        <v>1801</v>
      </c>
      <c r="W5775" s="173" t="s">
        <v>6828</v>
      </c>
      <c r="AO5775" s="185" t="s">
        <v>7494</v>
      </c>
      <c r="AQ5775" s="12"/>
      <c r="AR5775" s="55" t="s">
        <v>116</v>
      </c>
      <c r="AS5775" s="55" t="s">
        <v>116</v>
      </c>
      <c r="AU5775" s="181" t="s">
        <v>7494</v>
      </c>
      <c r="AV5775" s="185" t="s">
        <v>176</v>
      </c>
      <c r="AX5775" s="185" t="s">
        <v>176</v>
      </c>
      <c r="BK5775" s="55" t="s">
        <v>6744</v>
      </c>
      <c r="BN5775" s="55" t="s">
        <v>1801</v>
      </c>
      <c r="BO5775" s="55" t="s">
        <v>1801</v>
      </c>
      <c r="CB5775" s="66">
        <v>4801</v>
      </c>
      <c r="CC5775" s="66">
        <v>5245</v>
      </c>
      <c r="CE5775" s="65">
        <v>77</v>
      </c>
      <c r="CF5775" s="65">
        <v>164</v>
      </c>
      <c r="CG5775" s="65" t="s">
        <v>178</v>
      </c>
      <c r="FO5775" s="65">
        <v>5.7</v>
      </c>
      <c r="FP5775" s="65">
        <v>2</v>
      </c>
      <c r="FS5775" s="65" t="s">
        <v>637</v>
      </c>
      <c r="GP5775" s="292" t="s">
        <v>7494</v>
      </c>
      <c r="JU5775" s="55" t="s">
        <v>6838</v>
      </c>
    </row>
    <row r="5776" spans="1:281" x14ac:dyDescent="0.25">
      <c r="A5776" s="55">
        <v>5775</v>
      </c>
      <c r="B5776" s="12" t="s">
        <v>7067</v>
      </c>
      <c r="C5776" s="155" t="s">
        <v>6842</v>
      </c>
      <c r="D5776" s="55" t="s">
        <v>6845</v>
      </c>
      <c r="E5776" s="90" t="s">
        <v>6843</v>
      </c>
      <c r="G5776" s="55" t="s">
        <v>6844</v>
      </c>
      <c r="H5776" s="55" t="s">
        <v>5550</v>
      </c>
      <c r="I5776" s="55" t="s">
        <v>5483</v>
      </c>
      <c r="J5776" s="55" t="s">
        <v>6627</v>
      </c>
      <c r="K5776" s="55" t="s">
        <v>6530</v>
      </c>
      <c r="L5776" s="55" t="s">
        <v>3377</v>
      </c>
      <c r="M5776" s="90">
        <v>35.58</v>
      </c>
      <c r="N5776" s="90">
        <v>104.63</v>
      </c>
      <c r="O5776" s="90">
        <v>2000</v>
      </c>
      <c r="Q5776" s="55" t="s">
        <v>5826</v>
      </c>
      <c r="S5776" s="90" t="s">
        <v>6492</v>
      </c>
      <c r="U5776" s="55" t="s">
        <v>1935</v>
      </c>
      <c r="V5776" s="55" t="s">
        <v>1935</v>
      </c>
      <c r="AD5776" s="90">
        <v>1.1000000000000001</v>
      </c>
      <c r="AO5776" s="185" t="s">
        <v>7494</v>
      </c>
      <c r="AR5776" s="55" t="s">
        <v>114</v>
      </c>
      <c r="AS5776" s="55" t="s">
        <v>6407</v>
      </c>
      <c r="AU5776" s="181" t="s">
        <v>7494</v>
      </c>
      <c r="AV5776" s="185" t="s">
        <v>176</v>
      </c>
      <c r="AX5776" s="185" t="s">
        <v>176</v>
      </c>
      <c r="AZ5776" s="55" t="s">
        <v>2081</v>
      </c>
      <c r="BA5776" s="55" t="s">
        <v>2081</v>
      </c>
      <c r="BK5776" s="55" t="s">
        <v>5981</v>
      </c>
      <c r="BL5776" s="55" t="s">
        <v>6849</v>
      </c>
      <c r="BN5776" s="55" t="s">
        <v>1816</v>
      </c>
      <c r="BO5776" s="55" t="s">
        <v>1816</v>
      </c>
      <c r="BV5776" s="55" t="s">
        <v>6851</v>
      </c>
      <c r="FJ5776" s="65">
        <v>0.03</v>
      </c>
      <c r="FK5776" s="65">
        <v>1.2999999999999999E-2</v>
      </c>
      <c r="FN5776" s="65" t="s">
        <v>6852</v>
      </c>
      <c r="FO5776" s="65">
        <v>52.98</v>
      </c>
      <c r="FP5776" s="65">
        <v>35.130000000000003</v>
      </c>
      <c r="FS5776" s="65" t="s">
        <v>637</v>
      </c>
      <c r="GP5776" s="292" t="s">
        <v>7494</v>
      </c>
      <c r="JU5776" s="55" t="s">
        <v>2797</v>
      </c>
    </row>
    <row r="5777" spans="1:281" x14ac:dyDescent="0.25">
      <c r="A5777" s="55">
        <v>5776</v>
      </c>
      <c r="B5777" s="12" t="s">
        <v>7067</v>
      </c>
      <c r="C5777" s="155" t="s">
        <v>6842</v>
      </c>
      <c r="D5777" s="55" t="s">
        <v>6845</v>
      </c>
      <c r="E5777" s="90" t="s">
        <v>6843</v>
      </c>
      <c r="G5777" s="55" t="s">
        <v>6844</v>
      </c>
      <c r="H5777" s="55" t="s">
        <v>5550</v>
      </c>
      <c r="I5777" s="55" t="s">
        <v>5483</v>
      </c>
      <c r="J5777" s="55" t="s">
        <v>6627</v>
      </c>
      <c r="K5777" s="55" t="s">
        <v>6530</v>
      </c>
      <c r="L5777" s="55" t="s">
        <v>3377</v>
      </c>
      <c r="M5777" s="90">
        <v>35.58</v>
      </c>
      <c r="N5777" s="90">
        <v>104.63</v>
      </c>
      <c r="O5777" s="90">
        <v>2000</v>
      </c>
      <c r="Q5777" s="55" t="s">
        <v>5826</v>
      </c>
      <c r="S5777" s="90" t="s">
        <v>6492</v>
      </c>
      <c r="U5777" s="55" t="s">
        <v>1935</v>
      </c>
      <c r="V5777" s="55" t="s">
        <v>1935</v>
      </c>
      <c r="AD5777" s="90">
        <v>1.1000000000000001</v>
      </c>
      <c r="AO5777" s="185" t="s">
        <v>7494</v>
      </c>
      <c r="AR5777" s="55" t="s">
        <v>114</v>
      </c>
      <c r="AS5777" s="55" t="s">
        <v>6407</v>
      </c>
      <c r="AU5777" s="181" t="s">
        <v>7494</v>
      </c>
      <c r="AV5777" s="185" t="s">
        <v>176</v>
      </c>
      <c r="AX5777" s="185" t="s">
        <v>176</v>
      </c>
      <c r="AZ5777" s="55" t="s">
        <v>2081</v>
      </c>
      <c r="BA5777" s="55" t="s">
        <v>2081</v>
      </c>
      <c r="BK5777" s="55" t="s">
        <v>5981</v>
      </c>
      <c r="BL5777" s="55" t="s">
        <v>6850</v>
      </c>
      <c r="BN5777" s="55" t="s">
        <v>1816</v>
      </c>
      <c r="BO5777" s="55" t="s">
        <v>1816</v>
      </c>
      <c r="BV5777" s="55" t="s">
        <v>6851</v>
      </c>
      <c r="FJ5777" s="65">
        <v>0.03</v>
      </c>
      <c r="FK5777" s="65">
        <v>1.2E-2</v>
      </c>
      <c r="FN5777" s="65" t="s">
        <v>6852</v>
      </c>
      <c r="FO5777" s="65">
        <v>52.98</v>
      </c>
      <c r="FP5777" s="65">
        <v>19.59</v>
      </c>
      <c r="FS5777" s="65" t="s">
        <v>637</v>
      </c>
      <c r="GP5777" s="292" t="s">
        <v>7494</v>
      </c>
      <c r="JU5777" s="55" t="s">
        <v>2797</v>
      </c>
    </row>
    <row r="5778" spans="1:281" x14ac:dyDescent="0.25">
      <c r="A5778" s="55">
        <v>5777</v>
      </c>
      <c r="B5778" s="12" t="s">
        <v>7067</v>
      </c>
      <c r="C5778" s="155" t="s">
        <v>6842</v>
      </c>
      <c r="D5778" s="55" t="s">
        <v>6846</v>
      </c>
      <c r="E5778" s="90" t="s">
        <v>6843</v>
      </c>
      <c r="G5778" s="55" t="s">
        <v>6844</v>
      </c>
      <c r="H5778" s="55" t="s">
        <v>5550</v>
      </c>
      <c r="I5778" s="55" t="s">
        <v>5483</v>
      </c>
      <c r="J5778" s="55" t="s">
        <v>6627</v>
      </c>
      <c r="K5778" s="55" t="s">
        <v>6530</v>
      </c>
      <c r="L5778" s="55" t="s">
        <v>3377</v>
      </c>
      <c r="M5778" s="90">
        <v>35.58</v>
      </c>
      <c r="N5778" s="90">
        <v>104.63</v>
      </c>
      <c r="O5778" s="90">
        <v>2000</v>
      </c>
      <c r="Q5778" s="55" t="s">
        <v>5826</v>
      </c>
      <c r="S5778" s="90" t="s">
        <v>6492</v>
      </c>
      <c r="U5778" s="55" t="s">
        <v>1935</v>
      </c>
      <c r="V5778" s="55" t="s">
        <v>1935</v>
      </c>
      <c r="AD5778" s="90">
        <v>1.35</v>
      </c>
      <c r="AO5778" s="185" t="s">
        <v>7494</v>
      </c>
      <c r="AR5778" s="55" t="s">
        <v>114</v>
      </c>
      <c r="AS5778" s="55" t="s">
        <v>6407</v>
      </c>
      <c r="AU5778" s="181" t="s">
        <v>7494</v>
      </c>
      <c r="AV5778" s="185" t="s">
        <v>176</v>
      </c>
      <c r="AX5778" s="185" t="s">
        <v>176</v>
      </c>
      <c r="AZ5778" s="55" t="s">
        <v>2082</v>
      </c>
      <c r="BA5778" s="55" t="s">
        <v>2082</v>
      </c>
      <c r="BK5778" s="55" t="s">
        <v>5981</v>
      </c>
      <c r="BL5778" s="55" t="s">
        <v>6849</v>
      </c>
      <c r="BN5778" s="55" t="s">
        <v>1816</v>
      </c>
      <c r="BO5778" s="55" t="s">
        <v>1816</v>
      </c>
      <c r="BV5778" s="55" t="s">
        <v>6851</v>
      </c>
      <c r="FJ5778" s="65">
        <v>8.0000000000000002E-3</v>
      </c>
      <c r="FK5778" s="65">
        <v>7.0000000000000001E-3</v>
      </c>
      <c r="FN5778" s="65" t="s">
        <v>6852</v>
      </c>
      <c r="FO5778" s="65">
        <v>21.15</v>
      </c>
      <c r="FP5778" s="65">
        <v>13.74</v>
      </c>
      <c r="FS5778" s="65" t="s">
        <v>637</v>
      </c>
      <c r="GP5778" s="292" t="s">
        <v>7494</v>
      </c>
      <c r="JU5778" s="55" t="s">
        <v>2797</v>
      </c>
    </row>
    <row r="5779" spans="1:281" x14ac:dyDescent="0.25">
      <c r="A5779" s="55">
        <v>5778</v>
      </c>
      <c r="B5779" s="12" t="s">
        <v>7067</v>
      </c>
      <c r="C5779" s="155" t="s">
        <v>6842</v>
      </c>
      <c r="D5779" s="55" t="s">
        <v>6846</v>
      </c>
      <c r="E5779" s="90" t="s">
        <v>6843</v>
      </c>
      <c r="G5779" s="55" t="s">
        <v>6844</v>
      </c>
      <c r="H5779" s="55" t="s">
        <v>5550</v>
      </c>
      <c r="I5779" s="55" t="s">
        <v>5483</v>
      </c>
      <c r="J5779" s="55" t="s">
        <v>6627</v>
      </c>
      <c r="K5779" s="55" t="s">
        <v>6530</v>
      </c>
      <c r="L5779" s="55" t="s">
        <v>3377</v>
      </c>
      <c r="M5779" s="90">
        <v>35.58</v>
      </c>
      <c r="N5779" s="90">
        <v>104.63</v>
      </c>
      <c r="O5779" s="90">
        <v>2000</v>
      </c>
      <c r="Q5779" s="55" t="s">
        <v>5826</v>
      </c>
      <c r="S5779" s="90" t="s">
        <v>6492</v>
      </c>
      <c r="U5779" s="55" t="s">
        <v>1935</v>
      </c>
      <c r="V5779" s="55" t="s">
        <v>1935</v>
      </c>
      <c r="AD5779" s="90">
        <v>1.35</v>
      </c>
      <c r="AO5779" s="185" t="s">
        <v>7494</v>
      </c>
      <c r="AR5779" s="55" t="s">
        <v>114</v>
      </c>
      <c r="AS5779" s="55" t="s">
        <v>6407</v>
      </c>
      <c r="AU5779" s="181" t="s">
        <v>7494</v>
      </c>
      <c r="AV5779" s="185" t="s">
        <v>176</v>
      </c>
      <c r="AX5779" s="185" t="s">
        <v>176</v>
      </c>
      <c r="AZ5779" s="55" t="s">
        <v>2082</v>
      </c>
      <c r="BA5779" s="55" t="s">
        <v>2082</v>
      </c>
      <c r="BK5779" s="55" t="s">
        <v>5981</v>
      </c>
      <c r="BL5779" s="55" t="s">
        <v>6850</v>
      </c>
      <c r="BN5779" s="55" t="s">
        <v>1816</v>
      </c>
      <c r="BO5779" s="55" t="s">
        <v>1816</v>
      </c>
      <c r="BV5779" s="55" t="s">
        <v>6851</v>
      </c>
      <c r="FJ5779" s="65">
        <v>8.0000000000000002E-3</v>
      </c>
      <c r="FK5779" s="65">
        <v>6.0000000000000001E-3</v>
      </c>
      <c r="FN5779" s="65" t="s">
        <v>6852</v>
      </c>
      <c r="FO5779" s="65">
        <v>21.15</v>
      </c>
      <c r="FP5779" s="65">
        <v>7.53</v>
      </c>
      <c r="FS5779" s="65" t="s">
        <v>637</v>
      </c>
      <c r="GP5779" s="292" t="s">
        <v>7494</v>
      </c>
      <c r="JU5779" s="55" t="s">
        <v>2797</v>
      </c>
    </row>
    <row r="5780" spans="1:281" x14ac:dyDescent="0.25">
      <c r="A5780" s="55">
        <v>5779</v>
      </c>
      <c r="B5780" s="12" t="s">
        <v>7067</v>
      </c>
      <c r="C5780" s="155" t="s">
        <v>6842</v>
      </c>
      <c r="D5780" s="55" t="s">
        <v>6847</v>
      </c>
      <c r="E5780" s="90" t="s">
        <v>6843</v>
      </c>
      <c r="G5780" s="55" t="s">
        <v>6844</v>
      </c>
      <c r="H5780" s="55" t="s">
        <v>5550</v>
      </c>
      <c r="I5780" s="55" t="s">
        <v>5483</v>
      </c>
      <c r="J5780" s="55" t="s">
        <v>6627</v>
      </c>
      <c r="K5780" s="55" t="s">
        <v>6530</v>
      </c>
      <c r="L5780" s="55" t="s">
        <v>3377</v>
      </c>
      <c r="M5780" s="90">
        <v>35.58</v>
      </c>
      <c r="N5780" s="90">
        <v>104.63</v>
      </c>
      <c r="O5780" s="90">
        <v>2000</v>
      </c>
      <c r="Q5780" s="55" t="s">
        <v>5826</v>
      </c>
      <c r="S5780" s="90" t="s">
        <v>6492</v>
      </c>
      <c r="U5780" s="55" t="s">
        <v>1935</v>
      </c>
      <c r="V5780" s="55" t="s">
        <v>1935</v>
      </c>
      <c r="AD5780" s="90">
        <v>1.08</v>
      </c>
      <c r="AO5780" s="185" t="s">
        <v>7494</v>
      </c>
      <c r="AR5780" s="55" t="s">
        <v>116</v>
      </c>
      <c r="AS5780" s="55" t="s">
        <v>116</v>
      </c>
      <c r="AU5780" s="181" t="s">
        <v>7494</v>
      </c>
      <c r="AV5780" s="185" t="s">
        <v>176</v>
      </c>
      <c r="AX5780" s="185" t="s">
        <v>176</v>
      </c>
      <c r="AZ5780" s="55" t="s">
        <v>2081</v>
      </c>
      <c r="BA5780" s="55" t="s">
        <v>2081</v>
      </c>
      <c r="BK5780" s="55" t="s">
        <v>5981</v>
      </c>
      <c r="BL5780" s="55" t="s">
        <v>6849</v>
      </c>
      <c r="BN5780" s="55" t="s">
        <v>1816</v>
      </c>
      <c r="BO5780" s="55" t="s">
        <v>1816</v>
      </c>
      <c r="BV5780" s="55" t="s">
        <v>6851</v>
      </c>
      <c r="FJ5780" s="65">
        <v>0.03</v>
      </c>
      <c r="FK5780" s="65">
        <v>8.9999999999999993E-3</v>
      </c>
      <c r="FN5780" s="65" t="s">
        <v>6852</v>
      </c>
      <c r="FO5780" s="65">
        <v>49.64</v>
      </c>
      <c r="FP5780" s="65">
        <v>32.39</v>
      </c>
      <c r="FS5780" s="65" t="s">
        <v>637</v>
      </c>
      <c r="GP5780" s="292" t="s">
        <v>7494</v>
      </c>
      <c r="JU5780" s="55" t="s">
        <v>2797</v>
      </c>
    </row>
    <row r="5781" spans="1:281" x14ac:dyDescent="0.25">
      <c r="A5781" s="55">
        <v>5780</v>
      </c>
      <c r="B5781" s="12" t="s">
        <v>7067</v>
      </c>
      <c r="C5781" s="155" t="s">
        <v>6842</v>
      </c>
      <c r="D5781" s="55" t="s">
        <v>6847</v>
      </c>
      <c r="E5781" s="90" t="s">
        <v>6843</v>
      </c>
      <c r="G5781" s="55" t="s">
        <v>6844</v>
      </c>
      <c r="H5781" s="55" t="s">
        <v>5550</v>
      </c>
      <c r="I5781" s="55" t="s">
        <v>5483</v>
      </c>
      <c r="J5781" s="55" t="s">
        <v>6627</v>
      </c>
      <c r="K5781" s="55" t="s">
        <v>6530</v>
      </c>
      <c r="L5781" s="55" t="s">
        <v>3377</v>
      </c>
      <c r="M5781" s="90">
        <v>35.58</v>
      </c>
      <c r="N5781" s="90">
        <v>104.63</v>
      </c>
      <c r="O5781" s="90">
        <v>2000</v>
      </c>
      <c r="Q5781" s="55" t="s">
        <v>5826</v>
      </c>
      <c r="S5781" s="90" t="s">
        <v>6492</v>
      </c>
      <c r="U5781" s="55" t="s">
        <v>1935</v>
      </c>
      <c r="V5781" s="55" t="s">
        <v>1935</v>
      </c>
      <c r="AD5781" s="90">
        <v>1.08</v>
      </c>
      <c r="AO5781" s="185" t="s">
        <v>7494</v>
      </c>
      <c r="AR5781" s="55" t="s">
        <v>116</v>
      </c>
      <c r="AS5781" s="55" t="s">
        <v>116</v>
      </c>
      <c r="AU5781" s="181" t="s">
        <v>7494</v>
      </c>
      <c r="AV5781" s="185" t="s">
        <v>176</v>
      </c>
      <c r="AX5781" s="185" t="s">
        <v>176</v>
      </c>
      <c r="AZ5781" s="55" t="s">
        <v>2081</v>
      </c>
      <c r="BA5781" s="55" t="s">
        <v>2081</v>
      </c>
      <c r="BK5781" s="55" t="s">
        <v>5981</v>
      </c>
      <c r="BL5781" s="55" t="s">
        <v>6850</v>
      </c>
      <c r="BN5781" s="55" t="s">
        <v>1816</v>
      </c>
      <c r="BO5781" s="55" t="s">
        <v>1816</v>
      </c>
      <c r="BV5781" s="55" t="s">
        <v>6851</v>
      </c>
      <c r="FJ5781" s="65">
        <v>0.03</v>
      </c>
      <c r="FK5781" s="65">
        <v>8.9999999999999993E-3</v>
      </c>
      <c r="FN5781" s="65" t="s">
        <v>6852</v>
      </c>
      <c r="FO5781" s="65">
        <v>49.64</v>
      </c>
      <c r="FP5781" s="65">
        <v>20.96</v>
      </c>
      <c r="FS5781" s="65" t="s">
        <v>637</v>
      </c>
      <c r="GP5781" s="292" t="s">
        <v>7494</v>
      </c>
      <c r="JU5781" s="55" t="s">
        <v>2797</v>
      </c>
    </row>
    <row r="5782" spans="1:281" x14ac:dyDescent="0.25">
      <c r="A5782" s="55">
        <v>5781</v>
      </c>
      <c r="B5782" s="12" t="s">
        <v>7067</v>
      </c>
      <c r="C5782" s="155" t="s">
        <v>6842</v>
      </c>
      <c r="D5782" s="55" t="s">
        <v>6848</v>
      </c>
      <c r="E5782" s="90" t="s">
        <v>6843</v>
      </c>
      <c r="G5782" s="55" t="s">
        <v>6844</v>
      </c>
      <c r="H5782" s="55" t="s">
        <v>5550</v>
      </c>
      <c r="I5782" s="55" t="s">
        <v>5483</v>
      </c>
      <c r="J5782" s="55" t="s">
        <v>6627</v>
      </c>
      <c r="K5782" s="55" t="s">
        <v>6530</v>
      </c>
      <c r="L5782" s="55" t="s">
        <v>3377</v>
      </c>
      <c r="M5782" s="90">
        <v>35.58</v>
      </c>
      <c r="N5782" s="90">
        <v>104.63</v>
      </c>
      <c r="O5782" s="90">
        <v>2000</v>
      </c>
      <c r="Q5782" s="55" t="s">
        <v>5826</v>
      </c>
      <c r="S5782" s="90" t="s">
        <v>6492</v>
      </c>
      <c r="U5782" s="55" t="s">
        <v>1935</v>
      </c>
      <c r="V5782" s="55" t="s">
        <v>1935</v>
      </c>
      <c r="AD5782" s="90">
        <v>1.3</v>
      </c>
      <c r="AO5782" s="185" t="s">
        <v>7494</v>
      </c>
      <c r="AR5782" s="55" t="s">
        <v>116</v>
      </c>
      <c r="AS5782" s="55" t="s">
        <v>116</v>
      </c>
      <c r="AU5782" s="181" t="s">
        <v>7494</v>
      </c>
      <c r="AV5782" s="185" t="s">
        <v>176</v>
      </c>
      <c r="AX5782" s="185" t="s">
        <v>176</v>
      </c>
      <c r="AZ5782" s="55" t="s">
        <v>2082</v>
      </c>
      <c r="BA5782" s="55" t="s">
        <v>2082</v>
      </c>
      <c r="BK5782" s="55" t="s">
        <v>5981</v>
      </c>
      <c r="BL5782" s="55" t="s">
        <v>6849</v>
      </c>
      <c r="BN5782" s="55" t="s">
        <v>1816</v>
      </c>
      <c r="BO5782" s="55" t="s">
        <v>1816</v>
      </c>
      <c r="BV5782" s="55" t="s">
        <v>6851</v>
      </c>
      <c r="FJ5782" s="65">
        <v>0.02</v>
      </c>
      <c r="FK5782" s="65">
        <v>4.0000000000000001E-3</v>
      </c>
      <c r="FN5782" s="65" t="s">
        <v>6852</v>
      </c>
      <c r="FO5782" s="65">
        <v>38.6</v>
      </c>
      <c r="FP5782" s="65">
        <v>37.159999999999997</v>
      </c>
      <c r="FS5782" s="65" t="s">
        <v>637</v>
      </c>
      <c r="GP5782" s="292" t="s">
        <v>7494</v>
      </c>
      <c r="JU5782" s="55" t="s">
        <v>2797</v>
      </c>
    </row>
    <row r="5783" spans="1:281" x14ac:dyDescent="0.25">
      <c r="A5783" s="55">
        <v>5782</v>
      </c>
      <c r="B5783" s="12" t="s">
        <v>7067</v>
      </c>
      <c r="C5783" s="155" t="s">
        <v>6842</v>
      </c>
      <c r="D5783" s="55" t="s">
        <v>6848</v>
      </c>
      <c r="E5783" s="90" t="s">
        <v>6843</v>
      </c>
      <c r="G5783" s="55" t="s">
        <v>6844</v>
      </c>
      <c r="H5783" s="55" t="s">
        <v>5550</v>
      </c>
      <c r="I5783" s="55" t="s">
        <v>5483</v>
      </c>
      <c r="J5783" s="55" t="s">
        <v>6627</v>
      </c>
      <c r="K5783" s="55" t="s">
        <v>6530</v>
      </c>
      <c r="L5783" s="55" t="s">
        <v>3377</v>
      </c>
      <c r="M5783" s="90">
        <v>35.58</v>
      </c>
      <c r="N5783" s="90">
        <v>104.63</v>
      </c>
      <c r="O5783" s="90">
        <v>2000</v>
      </c>
      <c r="Q5783" s="55" t="s">
        <v>5826</v>
      </c>
      <c r="S5783" s="90" t="s">
        <v>6492</v>
      </c>
      <c r="U5783" s="55" t="s">
        <v>1935</v>
      </c>
      <c r="V5783" s="55" t="s">
        <v>1935</v>
      </c>
      <c r="AD5783" s="90">
        <v>1.3</v>
      </c>
      <c r="AO5783" s="185" t="s">
        <v>7494</v>
      </c>
      <c r="AR5783" s="55" t="s">
        <v>116</v>
      </c>
      <c r="AS5783" s="55" t="s">
        <v>116</v>
      </c>
      <c r="AU5783" s="181" t="s">
        <v>7494</v>
      </c>
      <c r="AV5783" s="185" t="s">
        <v>176</v>
      </c>
      <c r="AX5783" s="185" t="s">
        <v>176</v>
      </c>
      <c r="AZ5783" s="55" t="s">
        <v>2082</v>
      </c>
      <c r="BA5783" s="55" t="s">
        <v>2082</v>
      </c>
      <c r="BK5783" s="55" t="s">
        <v>5981</v>
      </c>
      <c r="BL5783" s="55" t="s">
        <v>6850</v>
      </c>
      <c r="BN5783" s="55" t="s">
        <v>1816</v>
      </c>
      <c r="BO5783" s="55" t="s">
        <v>1816</v>
      </c>
      <c r="BV5783" s="55" t="s">
        <v>6851</v>
      </c>
      <c r="FJ5783" s="65">
        <v>0.02</v>
      </c>
      <c r="FK5783" s="65">
        <v>4.0000000000000001E-3</v>
      </c>
      <c r="FN5783" s="65" t="s">
        <v>6852</v>
      </c>
      <c r="FO5783" s="65">
        <v>38.6</v>
      </c>
      <c r="FP5783" s="65">
        <v>32.520000000000003</v>
      </c>
      <c r="FS5783" s="65" t="s">
        <v>637</v>
      </c>
      <c r="GP5783" s="292" t="s">
        <v>7494</v>
      </c>
      <c r="JU5783" s="55" t="s">
        <v>2797</v>
      </c>
    </row>
    <row r="5784" spans="1:281" x14ac:dyDescent="0.25">
      <c r="A5784" s="55">
        <v>5783</v>
      </c>
      <c r="B5784" s="12" t="s">
        <v>7067</v>
      </c>
      <c r="C5784" s="155" t="s">
        <v>6842</v>
      </c>
      <c r="D5784" s="55" t="s">
        <v>6853</v>
      </c>
      <c r="E5784" s="90" t="s">
        <v>6843</v>
      </c>
      <c r="G5784" s="55" t="s">
        <v>6844</v>
      </c>
      <c r="H5784" s="55" t="s">
        <v>5550</v>
      </c>
      <c r="I5784" s="55" t="s">
        <v>5483</v>
      </c>
      <c r="J5784" s="55" t="s">
        <v>6627</v>
      </c>
      <c r="K5784" s="55" t="s">
        <v>6530</v>
      </c>
      <c r="L5784" s="55" t="s">
        <v>3377</v>
      </c>
      <c r="M5784" s="90">
        <v>35.58</v>
      </c>
      <c r="N5784" s="90">
        <v>104.63</v>
      </c>
      <c r="O5784" s="90">
        <v>2000</v>
      </c>
      <c r="Q5784" s="55" t="s">
        <v>5826</v>
      </c>
      <c r="S5784" s="90" t="s">
        <v>6492</v>
      </c>
      <c r="U5784" s="55" t="s">
        <v>1935</v>
      </c>
      <c r="V5784" s="55" t="s">
        <v>1935</v>
      </c>
      <c r="Z5784" s="55" t="s">
        <v>6605</v>
      </c>
      <c r="AA5784" s="90">
        <v>5</v>
      </c>
      <c r="AO5784" s="185" t="s">
        <v>7494</v>
      </c>
      <c r="AR5784" s="55" t="s">
        <v>114</v>
      </c>
      <c r="AS5784" s="55" t="s">
        <v>6407</v>
      </c>
      <c r="AU5784" s="181" t="s">
        <v>7494</v>
      </c>
      <c r="AV5784" s="185" t="s">
        <v>176</v>
      </c>
      <c r="AX5784" s="185" t="s">
        <v>176</v>
      </c>
      <c r="AZ5784" s="55" t="s">
        <v>2081</v>
      </c>
      <c r="BA5784" s="55" t="s">
        <v>2082</v>
      </c>
      <c r="BK5784" s="55" t="s">
        <v>2082</v>
      </c>
      <c r="BN5784" s="55" t="s">
        <v>1816</v>
      </c>
      <c r="BO5784" s="55" t="s">
        <v>1816</v>
      </c>
      <c r="BV5784" s="55" t="s">
        <v>6851</v>
      </c>
      <c r="CH5784" s="90">
        <v>1.1000000000000001</v>
      </c>
      <c r="CI5784" s="90">
        <v>1.35</v>
      </c>
      <c r="CM5784" s="65">
        <v>1.0589999999999999</v>
      </c>
      <c r="CN5784" s="65">
        <v>1.538</v>
      </c>
      <c r="CQ5784" s="65" t="s">
        <v>164</v>
      </c>
      <c r="EK5784" s="90">
        <v>8.1</v>
      </c>
      <c r="EL5784" s="90">
        <v>13.66</v>
      </c>
      <c r="EO5784" s="65" t="s">
        <v>6854</v>
      </c>
      <c r="FE5784" s="65">
        <v>83.7</v>
      </c>
      <c r="FF5784" s="65">
        <v>92.6</v>
      </c>
      <c r="GP5784" s="292" t="s">
        <v>7494</v>
      </c>
      <c r="JU5784" s="55" t="s">
        <v>6838</v>
      </c>
    </row>
    <row r="5785" spans="1:281" x14ac:dyDescent="0.25">
      <c r="A5785" s="55">
        <v>5784</v>
      </c>
      <c r="B5785" s="12" t="s">
        <v>7067</v>
      </c>
      <c r="C5785" s="155" t="s">
        <v>6842</v>
      </c>
      <c r="D5785" s="55" t="s">
        <v>6853</v>
      </c>
      <c r="E5785" s="90" t="s">
        <v>6843</v>
      </c>
      <c r="G5785" s="55" t="s">
        <v>6844</v>
      </c>
      <c r="H5785" s="55" t="s">
        <v>5550</v>
      </c>
      <c r="I5785" s="55" t="s">
        <v>5483</v>
      </c>
      <c r="J5785" s="55" t="s">
        <v>6627</v>
      </c>
      <c r="K5785" s="55" t="s">
        <v>6530</v>
      </c>
      <c r="L5785" s="55" t="s">
        <v>3377</v>
      </c>
      <c r="M5785" s="90">
        <v>35.58</v>
      </c>
      <c r="N5785" s="90">
        <v>104.63</v>
      </c>
      <c r="O5785" s="90">
        <v>2000</v>
      </c>
      <c r="Q5785" s="55" t="s">
        <v>5826</v>
      </c>
      <c r="S5785" s="90" t="s">
        <v>6492</v>
      </c>
      <c r="U5785" s="55" t="s">
        <v>1935</v>
      </c>
      <c r="V5785" s="55" t="s">
        <v>1935</v>
      </c>
      <c r="Z5785" s="55" t="s">
        <v>6605</v>
      </c>
      <c r="AA5785" s="90">
        <v>5</v>
      </c>
      <c r="AO5785" s="185" t="s">
        <v>7494</v>
      </c>
      <c r="AR5785" s="55" t="s">
        <v>116</v>
      </c>
      <c r="AS5785" s="55" t="s">
        <v>116</v>
      </c>
      <c r="AU5785" s="181" t="s">
        <v>7494</v>
      </c>
      <c r="AV5785" s="185" t="s">
        <v>176</v>
      </c>
      <c r="AX5785" s="185" t="s">
        <v>176</v>
      </c>
      <c r="AZ5785" s="55" t="s">
        <v>2081</v>
      </c>
      <c r="BA5785" s="55" t="s">
        <v>2082</v>
      </c>
      <c r="BK5785" s="55" t="s">
        <v>2082</v>
      </c>
      <c r="BN5785" s="55" t="s">
        <v>1816</v>
      </c>
      <c r="BO5785" s="55" t="s">
        <v>1816</v>
      </c>
      <c r="BV5785" s="55" t="s">
        <v>6851</v>
      </c>
      <c r="CH5785" s="90">
        <v>1.08</v>
      </c>
      <c r="CI5785" s="90">
        <v>1.3</v>
      </c>
      <c r="CM5785" s="65">
        <v>0.871</v>
      </c>
      <c r="CN5785" s="65">
        <v>0.90300000000000002</v>
      </c>
      <c r="CQ5785" s="65" t="s">
        <v>164</v>
      </c>
      <c r="EK5785" s="90">
        <v>2.17</v>
      </c>
      <c r="EL5785" s="90">
        <v>1.64</v>
      </c>
      <c r="EO5785" s="65" t="s">
        <v>6854</v>
      </c>
      <c r="FE5785" s="65">
        <v>78</v>
      </c>
      <c r="FF5785" s="65">
        <v>76.599999999999994</v>
      </c>
      <c r="GP5785" s="292" t="s">
        <v>7494</v>
      </c>
      <c r="JU5785" s="55" t="s">
        <v>6838</v>
      </c>
    </row>
    <row r="5786" spans="1:281" x14ac:dyDescent="0.25">
      <c r="A5786" s="55">
        <v>5785</v>
      </c>
      <c r="B5786" s="12" t="s">
        <v>7067</v>
      </c>
      <c r="C5786" s="155" t="s">
        <v>6855</v>
      </c>
      <c r="D5786" s="55" t="s">
        <v>6856</v>
      </c>
      <c r="E5786" s="90" t="s">
        <v>4387</v>
      </c>
      <c r="G5786" s="55" t="s">
        <v>6857</v>
      </c>
      <c r="H5786" s="55" t="s">
        <v>5490</v>
      </c>
      <c r="I5786" s="55" t="s">
        <v>5608</v>
      </c>
      <c r="J5786" s="55" t="s">
        <v>6673</v>
      </c>
      <c r="K5786" s="55" t="s">
        <v>6530</v>
      </c>
      <c r="L5786" s="55" t="s">
        <v>3377</v>
      </c>
      <c r="M5786" s="90">
        <v>35.58</v>
      </c>
      <c r="N5786" s="90">
        <v>104.63</v>
      </c>
      <c r="O5786" s="90">
        <v>2000</v>
      </c>
      <c r="Q5786" s="55" t="s">
        <v>6858</v>
      </c>
      <c r="S5786" s="90" t="s">
        <v>6859</v>
      </c>
      <c r="U5786" s="55" t="s">
        <v>1935</v>
      </c>
      <c r="V5786" s="55" t="s">
        <v>1935</v>
      </c>
      <c r="AO5786" s="185" t="s">
        <v>5150</v>
      </c>
      <c r="AR5786" s="55" t="s">
        <v>6863</v>
      </c>
      <c r="AS5786" s="55" t="s">
        <v>6407</v>
      </c>
      <c r="AU5786" s="181" t="s">
        <v>7494</v>
      </c>
      <c r="AV5786" s="185" t="s">
        <v>176</v>
      </c>
      <c r="AX5786" s="185" t="s">
        <v>176</v>
      </c>
      <c r="AZ5786" s="55" t="s">
        <v>2081</v>
      </c>
      <c r="BA5786" s="55" t="s">
        <v>2082</v>
      </c>
      <c r="BK5786" s="55" t="s">
        <v>2082</v>
      </c>
      <c r="BN5786" s="55" t="s">
        <v>1688</v>
      </c>
      <c r="BO5786" s="55" t="s">
        <v>1688</v>
      </c>
      <c r="CM5786" s="65">
        <v>0.66200000000000003</v>
      </c>
      <c r="CN5786" s="65">
        <v>0.748</v>
      </c>
      <c r="CQ5786" s="65" t="s">
        <v>164</v>
      </c>
      <c r="DB5786" s="65">
        <v>0.8</v>
      </c>
      <c r="DC5786" s="65">
        <v>0.71</v>
      </c>
      <c r="DF5786" s="65" t="s">
        <v>5809</v>
      </c>
      <c r="DI5786" s="65">
        <v>1.75</v>
      </c>
      <c r="DJ5786" s="65">
        <v>1.56</v>
      </c>
      <c r="DK5786" s="65" t="s">
        <v>6867</v>
      </c>
      <c r="EK5786" s="90">
        <v>8.26</v>
      </c>
      <c r="EL5786" s="90">
        <v>7.46</v>
      </c>
      <c r="EO5786" s="65" t="s">
        <v>6865</v>
      </c>
      <c r="FJ5786" s="65">
        <v>10.94</v>
      </c>
      <c r="FK5786" s="65">
        <v>8.94</v>
      </c>
      <c r="FN5786" s="65" t="s">
        <v>206</v>
      </c>
      <c r="FO5786" s="65">
        <f>240.55*0.1</f>
        <v>24.055000000000003</v>
      </c>
      <c r="FP5786" s="65">
        <v>23.1</v>
      </c>
      <c r="FS5786" s="65" t="s">
        <v>637</v>
      </c>
      <c r="GP5786" s="292" t="s">
        <v>7494</v>
      </c>
    </row>
    <row r="5787" spans="1:281" x14ac:dyDescent="0.25">
      <c r="A5787" s="55">
        <v>5786</v>
      </c>
      <c r="B5787" s="12" t="s">
        <v>7067</v>
      </c>
      <c r="C5787" s="155" t="s">
        <v>6855</v>
      </c>
      <c r="D5787" s="55" t="s">
        <v>6860</v>
      </c>
      <c r="E5787" s="90" t="s">
        <v>4387</v>
      </c>
      <c r="G5787" s="55" t="s">
        <v>6857</v>
      </c>
      <c r="H5787" s="55" t="s">
        <v>5490</v>
      </c>
      <c r="I5787" s="55" t="s">
        <v>5608</v>
      </c>
      <c r="J5787" s="55" t="s">
        <v>6673</v>
      </c>
      <c r="K5787" s="55" t="s">
        <v>6530</v>
      </c>
      <c r="L5787" s="55" t="s">
        <v>3377</v>
      </c>
      <c r="M5787" s="90">
        <v>35.58</v>
      </c>
      <c r="N5787" s="90">
        <v>104.63</v>
      </c>
      <c r="O5787" s="90">
        <v>2000</v>
      </c>
      <c r="Q5787" s="55" t="s">
        <v>6858</v>
      </c>
      <c r="S5787" s="90" t="s">
        <v>6859</v>
      </c>
      <c r="U5787" s="55" t="s">
        <v>1935</v>
      </c>
      <c r="V5787" s="55" t="s">
        <v>1935</v>
      </c>
      <c r="AO5787" s="185" t="s">
        <v>5150</v>
      </c>
      <c r="AR5787" s="55" t="s">
        <v>6863</v>
      </c>
      <c r="AS5787" s="55" t="s">
        <v>6407</v>
      </c>
      <c r="AU5787" s="181" t="s">
        <v>7494</v>
      </c>
      <c r="AV5787" s="185" t="s">
        <v>176</v>
      </c>
      <c r="AX5787" s="185" t="s">
        <v>176</v>
      </c>
      <c r="AZ5787" s="55" t="s">
        <v>2081</v>
      </c>
      <c r="BA5787" s="55" t="s">
        <v>2082</v>
      </c>
      <c r="BK5787" s="55" t="s">
        <v>6452</v>
      </c>
      <c r="BN5787" s="55" t="s">
        <v>1688</v>
      </c>
      <c r="BO5787" s="55" t="s">
        <v>1688</v>
      </c>
      <c r="CM5787" s="65">
        <v>0.66200000000000003</v>
      </c>
      <c r="CN5787" s="65">
        <v>0.59</v>
      </c>
      <c r="CQ5787" s="65" t="s">
        <v>164</v>
      </c>
      <c r="DB5787" s="65">
        <v>0.8</v>
      </c>
      <c r="DC5787" s="65">
        <v>0.66</v>
      </c>
      <c r="DF5787" s="65" t="s">
        <v>5809</v>
      </c>
      <c r="DI5787" s="65">
        <v>1.75</v>
      </c>
      <c r="DJ5787" s="65">
        <v>1.5</v>
      </c>
      <c r="DK5787" s="65" t="s">
        <v>6867</v>
      </c>
      <c r="EK5787" s="90">
        <v>8.26</v>
      </c>
      <c r="EL5787" s="90">
        <v>7.81</v>
      </c>
      <c r="EO5787" s="65" t="s">
        <v>6865</v>
      </c>
      <c r="FJ5787" s="65">
        <v>10.94</v>
      </c>
      <c r="FK5787" s="65">
        <v>7.24</v>
      </c>
      <c r="FN5787" s="65" t="s">
        <v>206</v>
      </c>
      <c r="FO5787" s="65">
        <f>240.55*0.1</f>
        <v>24.055000000000003</v>
      </c>
      <c r="FP5787" s="65">
        <v>21.79</v>
      </c>
      <c r="FS5787" s="65" t="s">
        <v>637</v>
      </c>
      <c r="GP5787" s="292" t="s">
        <v>7494</v>
      </c>
    </row>
    <row r="5788" spans="1:281" x14ac:dyDescent="0.25">
      <c r="A5788" s="55">
        <v>5787</v>
      </c>
      <c r="B5788" s="12" t="s">
        <v>7067</v>
      </c>
      <c r="C5788" s="155" t="s">
        <v>6855</v>
      </c>
      <c r="D5788" s="55" t="s">
        <v>6861</v>
      </c>
      <c r="E5788" s="90" t="s">
        <v>4387</v>
      </c>
      <c r="G5788" s="55" t="s">
        <v>6857</v>
      </c>
      <c r="H5788" s="55" t="s">
        <v>5490</v>
      </c>
      <c r="I5788" s="55" t="s">
        <v>5608</v>
      </c>
      <c r="J5788" s="55" t="s">
        <v>6673</v>
      </c>
      <c r="K5788" s="55" t="s">
        <v>6530</v>
      </c>
      <c r="L5788" s="55" t="s">
        <v>3377</v>
      </c>
      <c r="M5788" s="90">
        <v>35.58</v>
      </c>
      <c r="N5788" s="90">
        <v>104.63</v>
      </c>
      <c r="O5788" s="90">
        <v>2000</v>
      </c>
      <c r="Q5788" s="55" t="s">
        <v>6858</v>
      </c>
      <c r="S5788" s="90" t="s">
        <v>6859</v>
      </c>
      <c r="U5788" s="55" t="s">
        <v>1935</v>
      </c>
      <c r="V5788" s="55" t="s">
        <v>1935</v>
      </c>
      <c r="AO5788" s="185" t="s">
        <v>5150</v>
      </c>
      <c r="AR5788" s="55" t="s">
        <v>6864</v>
      </c>
      <c r="AS5788" s="55" t="s">
        <v>116</v>
      </c>
      <c r="AU5788" s="181" t="s">
        <v>7494</v>
      </c>
      <c r="AV5788" s="185" t="s">
        <v>176</v>
      </c>
      <c r="AX5788" s="185" t="s">
        <v>176</v>
      </c>
      <c r="AZ5788" s="55" t="s">
        <v>2081</v>
      </c>
      <c r="BA5788" s="55" t="s">
        <v>2082</v>
      </c>
      <c r="BK5788" s="55" t="s">
        <v>2082</v>
      </c>
      <c r="BN5788" s="55" t="s">
        <v>1688</v>
      </c>
      <c r="BO5788" s="55" t="s">
        <v>1688</v>
      </c>
      <c r="CM5788" s="65">
        <v>0.66300000000000003</v>
      </c>
      <c r="CN5788" s="65">
        <v>0.59099999999999997</v>
      </c>
      <c r="CQ5788" s="65" t="s">
        <v>164</v>
      </c>
      <c r="DB5788" s="65">
        <v>0.76</v>
      </c>
      <c r="DC5788" s="65">
        <v>0.78</v>
      </c>
      <c r="DF5788" s="65" t="s">
        <v>5809</v>
      </c>
      <c r="DI5788" s="65">
        <v>1.53</v>
      </c>
      <c r="DJ5788" s="65">
        <v>1.59</v>
      </c>
      <c r="DK5788" s="65" t="s">
        <v>6867</v>
      </c>
      <c r="EK5788" s="90">
        <v>9.17</v>
      </c>
      <c r="EL5788" s="90">
        <v>8.17</v>
      </c>
      <c r="EO5788" s="65" t="s">
        <v>6865</v>
      </c>
      <c r="FJ5788" s="65">
        <v>5.78</v>
      </c>
      <c r="FK5788" s="65">
        <v>4.2300000000000004</v>
      </c>
      <c r="FN5788" s="65" t="s">
        <v>206</v>
      </c>
      <c r="FO5788" s="65">
        <f>204.44*0.1</f>
        <v>20.444000000000003</v>
      </c>
      <c r="FP5788" s="65">
        <v>18.649999999999999</v>
      </c>
      <c r="FS5788" s="65" t="s">
        <v>637</v>
      </c>
      <c r="GP5788" s="292" t="s">
        <v>7494</v>
      </c>
    </row>
    <row r="5789" spans="1:281" x14ac:dyDescent="0.25">
      <c r="A5789" s="55">
        <v>5788</v>
      </c>
      <c r="B5789" s="12" t="s">
        <v>7067</v>
      </c>
      <c r="C5789" s="155" t="s">
        <v>6855</v>
      </c>
      <c r="D5789" s="55" t="s">
        <v>6862</v>
      </c>
      <c r="E5789" s="90" t="s">
        <v>4387</v>
      </c>
      <c r="G5789" s="55" t="s">
        <v>6857</v>
      </c>
      <c r="H5789" s="55" t="s">
        <v>5490</v>
      </c>
      <c r="I5789" s="55" t="s">
        <v>5608</v>
      </c>
      <c r="J5789" s="55" t="s">
        <v>6673</v>
      </c>
      <c r="K5789" s="55" t="s">
        <v>6530</v>
      </c>
      <c r="L5789" s="55" t="s">
        <v>3377</v>
      </c>
      <c r="M5789" s="90">
        <v>35.58</v>
      </c>
      <c r="N5789" s="90">
        <v>104.63</v>
      </c>
      <c r="O5789" s="90">
        <v>2000</v>
      </c>
      <c r="Q5789" s="55" t="s">
        <v>6858</v>
      </c>
      <c r="S5789" s="90" t="s">
        <v>6859</v>
      </c>
      <c r="U5789" s="55" t="s">
        <v>1935</v>
      </c>
      <c r="V5789" s="55" t="s">
        <v>1935</v>
      </c>
      <c r="AO5789" s="185" t="s">
        <v>5150</v>
      </c>
      <c r="AR5789" s="55" t="s">
        <v>6864</v>
      </c>
      <c r="AS5789" s="55" t="s">
        <v>116</v>
      </c>
      <c r="AU5789" s="181" t="s">
        <v>7494</v>
      </c>
      <c r="AV5789" s="185" t="s">
        <v>176</v>
      </c>
      <c r="AX5789" s="185" t="s">
        <v>176</v>
      </c>
      <c r="AZ5789" s="55" t="s">
        <v>2081</v>
      </c>
      <c r="BA5789" s="55" t="s">
        <v>2082</v>
      </c>
      <c r="BK5789" s="55" t="s">
        <v>6452</v>
      </c>
      <c r="BN5789" s="55" t="s">
        <v>1688</v>
      </c>
      <c r="BO5789" s="55" t="s">
        <v>1688</v>
      </c>
      <c r="CM5789" s="65">
        <v>0.66300000000000003</v>
      </c>
      <c r="CN5789" s="65">
        <v>0.58499999999999996</v>
      </c>
      <c r="CQ5789" s="65" t="s">
        <v>164</v>
      </c>
      <c r="DB5789" s="65">
        <v>0.76</v>
      </c>
      <c r="DC5789" s="65">
        <v>0.69</v>
      </c>
      <c r="DF5789" s="65" t="s">
        <v>5809</v>
      </c>
      <c r="DI5789" s="65">
        <v>1.53</v>
      </c>
      <c r="DJ5789" s="65">
        <v>1.6</v>
      </c>
      <c r="DK5789" s="65" t="s">
        <v>6867</v>
      </c>
      <c r="EK5789" s="90">
        <v>9.17</v>
      </c>
      <c r="EL5789" s="90">
        <v>7.15</v>
      </c>
      <c r="EO5789" s="65" t="s">
        <v>6865</v>
      </c>
      <c r="FJ5789" s="65">
        <v>5.78</v>
      </c>
      <c r="FK5789" s="65">
        <v>3.13</v>
      </c>
      <c r="FN5789" s="65" t="s">
        <v>206</v>
      </c>
      <c r="FO5789" s="65">
        <f>204.44*0.1</f>
        <v>20.444000000000003</v>
      </c>
      <c r="FP5789" s="65">
        <v>16.63</v>
      </c>
      <c r="FS5789" s="65" t="s">
        <v>637</v>
      </c>
      <c r="GP5789" s="292" t="s">
        <v>7494</v>
      </c>
    </row>
    <row r="5790" spans="1:281" x14ac:dyDescent="0.25">
      <c r="A5790" s="55">
        <v>5789</v>
      </c>
      <c r="B5790" s="12" t="s">
        <v>7067</v>
      </c>
      <c r="C5790" s="155" t="s">
        <v>6868</v>
      </c>
      <c r="D5790" s="55" t="s">
        <v>6869</v>
      </c>
      <c r="E5790" s="90" t="s">
        <v>3565</v>
      </c>
      <c r="G5790" s="55" t="s">
        <v>6870</v>
      </c>
      <c r="H5790" s="55" t="s">
        <v>5564</v>
      </c>
      <c r="I5790" s="55" t="s">
        <v>5483</v>
      </c>
      <c r="J5790" s="55" t="s">
        <v>6627</v>
      </c>
      <c r="K5790" s="55" t="s">
        <v>6871</v>
      </c>
      <c r="L5790" s="55" t="s">
        <v>3377</v>
      </c>
      <c r="M5790" s="90">
        <f>42</f>
        <v>42</v>
      </c>
      <c r="N5790" s="90">
        <f>117+20/60</f>
        <v>117.33333333333333</v>
      </c>
      <c r="O5790" s="90">
        <v>1750</v>
      </c>
      <c r="P5790" s="90"/>
      <c r="S5790" s="90" t="s">
        <v>6872</v>
      </c>
      <c r="U5790" s="55" t="s">
        <v>1935</v>
      </c>
      <c r="V5790" s="55" t="s">
        <v>1935</v>
      </c>
      <c r="Z5790" s="55" t="s">
        <v>6605</v>
      </c>
      <c r="AA5790" s="90">
        <v>5</v>
      </c>
      <c r="AO5790" s="185" t="s">
        <v>5150</v>
      </c>
      <c r="AU5790" s="181" t="s">
        <v>7494</v>
      </c>
      <c r="AV5790" s="185" t="s">
        <v>176</v>
      </c>
      <c r="AX5790" s="185" t="s">
        <v>176</v>
      </c>
      <c r="AZ5790" s="55" t="s">
        <v>2081</v>
      </c>
      <c r="BA5790" s="55" t="s">
        <v>2082</v>
      </c>
      <c r="BK5790" s="55" t="s">
        <v>2082</v>
      </c>
      <c r="BN5790" s="55" t="s">
        <v>1688</v>
      </c>
      <c r="BO5790" s="55" t="s">
        <v>1688</v>
      </c>
      <c r="CM5790" s="65">
        <v>1.4</v>
      </c>
      <c r="CN5790" s="65">
        <v>1.57</v>
      </c>
      <c r="CQ5790" s="65" t="s">
        <v>164</v>
      </c>
      <c r="DB5790" s="65">
        <v>0.15</v>
      </c>
      <c r="DC5790" s="65">
        <v>0.15</v>
      </c>
      <c r="DF5790" s="65" t="s">
        <v>164</v>
      </c>
      <c r="DI5790" s="65">
        <v>0.05</v>
      </c>
      <c r="DJ5790" s="65">
        <v>0.05</v>
      </c>
      <c r="DK5790" s="65" t="s">
        <v>164</v>
      </c>
      <c r="DL5790" s="65">
        <v>1.9</v>
      </c>
      <c r="DM5790" s="65">
        <v>2.15</v>
      </c>
      <c r="DP5790" s="65" t="s">
        <v>164</v>
      </c>
      <c r="FJ5790" s="65">
        <v>63.18</v>
      </c>
      <c r="FK5790" s="65">
        <v>50.56</v>
      </c>
      <c r="FN5790" s="65" t="s">
        <v>6888</v>
      </c>
      <c r="FY5790" s="65">
        <v>4.24</v>
      </c>
      <c r="FZ5790" s="65">
        <v>12.47</v>
      </c>
      <c r="GD5790" s="65">
        <v>5.07</v>
      </c>
      <c r="GE5790" s="65">
        <v>11.05</v>
      </c>
      <c r="GH5790" s="65" t="s">
        <v>164</v>
      </c>
      <c r="GP5790" s="292" t="s">
        <v>7494</v>
      </c>
      <c r="JT5790" s="65" t="s">
        <v>6887</v>
      </c>
    </row>
    <row r="5791" spans="1:281" x14ac:dyDescent="0.25">
      <c r="A5791" s="55">
        <v>5790</v>
      </c>
      <c r="B5791" s="12" t="s">
        <v>7067</v>
      </c>
      <c r="C5791" s="155" t="s">
        <v>6868</v>
      </c>
      <c r="D5791" s="55" t="s">
        <v>6873</v>
      </c>
      <c r="E5791" s="90" t="s">
        <v>3565</v>
      </c>
      <c r="G5791" s="55" t="s">
        <v>6870</v>
      </c>
      <c r="H5791" s="55" t="s">
        <v>5564</v>
      </c>
      <c r="I5791" s="55" t="s">
        <v>5483</v>
      </c>
      <c r="J5791" s="55" t="s">
        <v>6627</v>
      </c>
      <c r="K5791" s="55" t="s">
        <v>6871</v>
      </c>
      <c r="L5791" s="55" t="s">
        <v>3377</v>
      </c>
      <c r="M5791" s="90">
        <f>42</f>
        <v>42</v>
      </c>
      <c r="N5791" s="90">
        <f>117+20/60</f>
        <v>117.33333333333333</v>
      </c>
      <c r="O5791" s="90">
        <v>1750</v>
      </c>
      <c r="P5791" s="90"/>
      <c r="S5791" s="90" t="s">
        <v>6872</v>
      </c>
      <c r="U5791" s="55" t="s">
        <v>1935</v>
      </c>
      <c r="V5791" s="55" t="s">
        <v>1935</v>
      </c>
      <c r="Z5791" s="55" t="s">
        <v>6605</v>
      </c>
      <c r="AA5791" s="90">
        <v>5</v>
      </c>
      <c r="AO5791" s="185" t="s">
        <v>7494</v>
      </c>
      <c r="AU5791" s="181" t="s">
        <v>7494</v>
      </c>
      <c r="AV5791" s="185" t="s">
        <v>176</v>
      </c>
      <c r="AX5791" s="185" t="s">
        <v>176</v>
      </c>
      <c r="AZ5791" s="55" t="s">
        <v>2081</v>
      </c>
      <c r="BA5791" s="55" t="s">
        <v>2082</v>
      </c>
      <c r="BK5791" s="55" t="s">
        <v>2082</v>
      </c>
      <c r="BL5791" s="55" t="s">
        <v>6884</v>
      </c>
      <c r="BN5791" s="55" t="s">
        <v>1688</v>
      </c>
      <c r="BO5791" s="55" t="s">
        <v>1688</v>
      </c>
      <c r="FY5791" s="65">
        <v>4.24</v>
      </c>
      <c r="FZ5791" s="65">
        <v>7.2</v>
      </c>
      <c r="GD5791" s="65">
        <v>5.07</v>
      </c>
      <c r="GE5791" s="65">
        <v>8.26</v>
      </c>
      <c r="GH5791" s="65" t="s">
        <v>164</v>
      </c>
      <c r="GP5791" s="292" t="s">
        <v>7494</v>
      </c>
      <c r="JT5791" s="65" t="s">
        <v>6887</v>
      </c>
    </row>
    <row r="5792" spans="1:281" x14ac:dyDescent="0.25">
      <c r="A5792" s="55">
        <v>5791</v>
      </c>
      <c r="B5792" s="12" t="s">
        <v>7067</v>
      </c>
      <c r="C5792" s="155" t="s">
        <v>6868</v>
      </c>
      <c r="D5792" s="55" t="s">
        <v>6874</v>
      </c>
      <c r="E5792" s="90" t="s">
        <v>3565</v>
      </c>
      <c r="G5792" s="55" t="s">
        <v>6870</v>
      </c>
      <c r="H5792" s="55" t="s">
        <v>5564</v>
      </c>
      <c r="I5792" s="55" t="s">
        <v>5483</v>
      </c>
      <c r="J5792" s="55" t="s">
        <v>6627</v>
      </c>
      <c r="K5792" s="55" t="s">
        <v>6871</v>
      </c>
      <c r="L5792" s="55" t="s">
        <v>3377</v>
      </c>
      <c r="M5792" s="90">
        <f>42</f>
        <v>42</v>
      </c>
      <c r="N5792" s="90">
        <f>117+20/60</f>
        <v>117.33333333333333</v>
      </c>
      <c r="O5792" s="90">
        <v>1750</v>
      </c>
      <c r="P5792" s="90"/>
      <c r="S5792" s="90" t="s">
        <v>6872</v>
      </c>
      <c r="U5792" s="55" t="s">
        <v>1935</v>
      </c>
      <c r="V5792" s="55" t="s">
        <v>1935</v>
      </c>
      <c r="Z5792" s="55" t="s">
        <v>6605</v>
      </c>
      <c r="AA5792" s="90">
        <v>5</v>
      </c>
      <c r="AO5792" s="185" t="s">
        <v>7494</v>
      </c>
      <c r="AU5792" s="181" t="s">
        <v>7494</v>
      </c>
      <c r="AV5792" s="185" t="s">
        <v>176</v>
      </c>
      <c r="AX5792" s="185" t="s">
        <v>176</v>
      </c>
      <c r="AZ5792" s="55" t="s">
        <v>2081</v>
      </c>
      <c r="BA5792" s="55" t="s">
        <v>2082</v>
      </c>
      <c r="BK5792" s="55" t="s">
        <v>2082</v>
      </c>
      <c r="BL5792" s="55" t="s">
        <v>6885</v>
      </c>
      <c r="BN5792" s="55" t="s">
        <v>1688</v>
      </c>
      <c r="BO5792" s="55" t="s">
        <v>1688</v>
      </c>
      <c r="FY5792" s="65">
        <v>4.24</v>
      </c>
      <c r="FZ5792" s="65">
        <v>10.16</v>
      </c>
      <c r="GD5792" s="65">
        <v>5.07</v>
      </c>
      <c r="GE5792" s="65">
        <v>8.89</v>
      </c>
      <c r="GH5792" s="65" t="s">
        <v>164</v>
      </c>
      <c r="GP5792" s="292" t="s">
        <v>7494</v>
      </c>
      <c r="JT5792" s="65" t="s">
        <v>6887</v>
      </c>
    </row>
    <row r="5793" spans="1:280" x14ac:dyDescent="0.25">
      <c r="A5793" s="55">
        <v>5792</v>
      </c>
      <c r="B5793" s="12" t="s">
        <v>7067</v>
      </c>
      <c r="C5793" s="155" t="s">
        <v>6868</v>
      </c>
      <c r="D5793" s="55" t="s">
        <v>6875</v>
      </c>
      <c r="E5793" s="90" t="s">
        <v>3565</v>
      </c>
      <c r="G5793" s="55" t="s">
        <v>6870</v>
      </c>
      <c r="H5793" s="55" t="s">
        <v>5564</v>
      </c>
      <c r="I5793" s="55" t="s">
        <v>5483</v>
      </c>
      <c r="J5793" s="55" t="s">
        <v>6627</v>
      </c>
      <c r="K5793" s="55" t="s">
        <v>6871</v>
      </c>
      <c r="L5793" s="55" t="s">
        <v>3377</v>
      </c>
      <c r="M5793" s="90">
        <f>42</f>
        <v>42</v>
      </c>
      <c r="N5793" s="90">
        <f>117+20/60</f>
        <v>117.33333333333333</v>
      </c>
      <c r="O5793" s="90">
        <v>1750</v>
      </c>
      <c r="P5793" s="90"/>
      <c r="S5793" s="90" t="s">
        <v>6872</v>
      </c>
      <c r="U5793" s="55" t="s">
        <v>1935</v>
      </c>
      <c r="V5793" s="55" t="s">
        <v>1935</v>
      </c>
      <c r="Z5793" s="55" t="s">
        <v>6605</v>
      </c>
      <c r="AA5793" s="90">
        <v>5</v>
      </c>
      <c r="AO5793" s="185" t="s">
        <v>7494</v>
      </c>
      <c r="AU5793" s="181" t="s">
        <v>7494</v>
      </c>
      <c r="AV5793" s="185" t="s">
        <v>176</v>
      </c>
      <c r="AX5793" s="185" t="s">
        <v>176</v>
      </c>
      <c r="AZ5793" s="55" t="s">
        <v>2081</v>
      </c>
      <c r="BA5793" s="55" t="s">
        <v>2082</v>
      </c>
      <c r="BK5793" s="55" t="s">
        <v>2082</v>
      </c>
      <c r="BL5793" s="55" t="s">
        <v>6886</v>
      </c>
      <c r="BN5793" s="55" t="s">
        <v>1688</v>
      </c>
      <c r="BO5793" s="55" t="s">
        <v>1688</v>
      </c>
      <c r="FY5793" s="65">
        <v>4.24</v>
      </c>
      <c r="FZ5793" s="65">
        <v>7.87</v>
      </c>
      <c r="GD5793" s="65">
        <v>5.07</v>
      </c>
      <c r="GE5793" s="65">
        <v>9.6300000000000008</v>
      </c>
      <c r="GH5793" s="65" t="s">
        <v>164</v>
      </c>
      <c r="GP5793" s="292" t="s">
        <v>7494</v>
      </c>
      <c r="JT5793" s="65" t="s">
        <v>6887</v>
      </c>
    </row>
    <row r="5794" spans="1:280" x14ac:dyDescent="0.25">
      <c r="A5794" s="55">
        <v>5793</v>
      </c>
      <c r="B5794" s="12" t="s">
        <v>7067</v>
      </c>
      <c r="C5794" s="155" t="s">
        <v>6868</v>
      </c>
      <c r="D5794" s="55" t="s">
        <v>6876</v>
      </c>
      <c r="E5794" s="90" t="s">
        <v>3565</v>
      </c>
      <c r="G5794" s="55" t="s">
        <v>6870</v>
      </c>
      <c r="H5794" s="55" t="s">
        <v>5564</v>
      </c>
      <c r="I5794" s="55" t="s">
        <v>5483</v>
      </c>
      <c r="J5794" s="55" t="s">
        <v>6627</v>
      </c>
      <c r="K5794" s="55" t="s">
        <v>6871</v>
      </c>
      <c r="L5794" s="55" t="s">
        <v>3377</v>
      </c>
      <c r="M5794" s="90">
        <f>42</f>
        <v>42</v>
      </c>
      <c r="N5794" s="90">
        <f>117+20/60</f>
        <v>117.33333333333333</v>
      </c>
      <c r="O5794" s="90">
        <v>1750</v>
      </c>
      <c r="P5794" s="90"/>
      <c r="S5794" s="90" t="s">
        <v>6872</v>
      </c>
      <c r="U5794" s="55" t="s">
        <v>1935</v>
      </c>
      <c r="V5794" s="55" t="s">
        <v>1935</v>
      </c>
      <c r="Z5794" s="55" t="s">
        <v>6605</v>
      </c>
      <c r="AA5794" s="90">
        <v>5</v>
      </c>
      <c r="AO5794" s="185" t="s">
        <v>7494</v>
      </c>
      <c r="AU5794" s="181" t="s">
        <v>7494</v>
      </c>
      <c r="AV5794" s="185" t="s">
        <v>176</v>
      </c>
      <c r="AX5794" s="185" t="s">
        <v>176</v>
      </c>
      <c r="AZ5794" s="55" t="s">
        <v>2081</v>
      </c>
      <c r="BA5794" s="55" t="s">
        <v>2082</v>
      </c>
      <c r="BK5794" s="55" t="s">
        <v>6452</v>
      </c>
      <c r="BL5794" s="55" t="s">
        <v>6880</v>
      </c>
      <c r="BN5794" s="55" t="s">
        <v>1688</v>
      </c>
      <c r="BO5794" s="55" t="s">
        <v>1688</v>
      </c>
      <c r="FY5794" s="65">
        <v>4.24</v>
      </c>
      <c r="FZ5794" s="65">
        <v>5.41</v>
      </c>
      <c r="GD5794" s="65">
        <v>5.07</v>
      </c>
      <c r="GE5794" s="65">
        <v>9.24</v>
      </c>
      <c r="GH5794" s="65" t="s">
        <v>164</v>
      </c>
      <c r="GP5794" s="292" t="s">
        <v>7494</v>
      </c>
      <c r="JT5794" s="65" t="s">
        <v>6887</v>
      </c>
    </row>
    <row r="5795" spans="1:280" x14ac:dyDescent="0.25">
      <c r="A5795" s="55">
        <v>5794</v>
      </c>
      <c r="B5795" s="12" t="s">
        <v>7067</v>
      </c>
      <c r="C5795" s="155" t="s">
        <v>6868</v>
      </c>
      <c r="D5795" s="55" t="s">
        <v>6877</v>
      </c>
      <c r="E5795" s="90" t="s">
        <v>3565</v>
      </c>
      <c r="G5795" s="55" t="s">
        <v>6870</v>
      </c>
      <c r="H5795" s="55" t="s">
        <v>5564</v>
      </c>
      <c r="I5795" s="55" t="s">
        <v>5483</v>
      </c>
      <c r="J5795" s="55" t="s">
        <v>6627</v>
      </c>
      <c r="K5795" s="55" t="s">
        <v>6871</v>
      </c>
      <c r="L5795" s="55" t="s">
        <v>3377</v>
      </c>
      <c r="M5795" s="90">
        <f>42</f>
        <v>42</v>
      </c>
      <c r="N5795" s="90">
        <f>117+20/60</f>
        <v>117.33333333333333</v>
      </c>
      <c r="O5795" s="90">
        <v>1750</v>
      </c>
      <c r="P5795" s="90"/>
      <c r="S5795" s="90" t="s">
        <v>6872</v>
      </c>
      <c r="U5795" s="55" t="s">
        <v>1935</v>
      </c>
      <c r="V5795" s="55" t="s">
        <v>1935</v>
      </c>
      <c r="Z5795" s="55" t="s">
        <v>6605</v>
      </c>
      <c r="AA5795" s="90">
        <v>5</v>
      </c>
      <c r="AO5795" s="185" t="s">
        <v>7494</v>
      </c>
      <c r="AU5795" s="181" t="s">
        <v>7494</v>
      </c>
      <c r="AV5795" s="185" t="s">
        <v>176</v>
      </c>
      <c r="AX5795" s="185" t="s">
        <v>176</v>
      </c>
      <c r="AZ5795" s="55" t="s">
        <v>2081</v>
      </c>
      <c r="BA5795" s="55" t="s">
        <v>2082</v>
      </c>
      <c r="BK5795" s="55" t="s">
        <v>6452</v>
      </c>
      <c r="BL5795" s="55" t="s">
        <v>6881</v>
      </c>
      <c r="BN5795" s="55" t="s">
        <v>1688</v>
      </c>
      <c r="BO5795" s="55" t="s">
        <v>1688</v>
      </c>
      <c r="FY5795" s="65">
        <v>4.24</v>
      </c>
      <c r="FZ5795" s="65">
        <v>7.87</v>
      </c>
      <c r="GD5795" s="65">
        <v>5.07</v>
      </c>
      <c r="GE5795" s="65">
        <v>9.6300000000000008</v>
      </c>
      <c r="GH5795" s="65" t="s">
        <v>164</v>
      </c>
      <c r="GP5795" s="292" t="s">
        <v>7494</v>
      </c>
      <c r="JT5795" s="65" t="s">
        <v>6887</v>
      </c>
    </row>
    <row r="5796" spans="1:280" x14ac:dyDescent="0.25">
      <c r="A5796" s="55">
        <v>5795</v>
      </c>
      <c r="B5796" s="12" t="s">
        <v>7067</v>
      </c>
      <c r="C5796" s="155" t="s">
        <v>6868</v>
      </c>
      <c r="D5796" s="55" t="s">
        <v>6878</v>
      </c>
      <c r="E5796" s="90" t="s">
        <v>3565</v>
      </c>
      <c r="G5796" s="55" t="s">
        <v>6870</v>
      </c>
      <c r="H5796" s="55" t="s">
        <v>5564</v>
      </c>
      <c r="I5796" s="55" t="s">
        <v>5483</v>
      </c>
      <c r="J5796" s="55" t="s">
        <v>6627</v>
      </c>
      <c r="K5796" s="55" t="s">
        <v>6871</v>
      </c>
      <c r="L5796" s="55" t="s">
        <v>3377</v>
      </c>
      <c r="M5796" s="90">
        <f>42</f>
        <v>42</v>
      </c>
      <c r="N5796" s="90">
        <f>117+20/60</f>
        <v>117.33333333333333</v>
      </c>
      <c r="O5796" s="90">
        <v>1750</v>
      </c>
      <c r="P5796" s="90"/>
      <c r="S5796" s="90" t="s">
        <v>6872</v>
      </c>
      <c r="U5796" s="55" t="s">
        <v>1935</v>
      </c>
      <c r="V5796" s="55" t="s">
        <v>1935</v>
      </c>
      <c r="Z5796" s="55" t="s">
        <v>6605</v>
      </c>
      <c r="AA5796" s="90">
        <v>5</v>
      </c>
      <c r="AO5796" s="185" t="s">
        <v>7494</v>
      </c>
      <c r="AU5796" s="181" t="s">
        <v>7494</v>
      </c>
      <c r="AV5796" s="185" t="s">
        <v>176</v>
      </c>
      <c r="AX5796" s="185" t="s">
        <v>176</v>
      </c>
      <c r="AZ5796" s="55" t="s">
        <v>2081</v>
      </c>
      <c r="BA5796" s="55" t="s">
        <v>2082</v>
      </c>
      <c r="BK5796" s="55" t="s">
        <v>6452</v>
      </c>
      <c r="BL5796" s="55" t="s">
        <v>6882</v>
      </c>
      <c r="BN5796" s="55" t="s">
        <v>1688</v>
      </c>
      <c r="BO5796" s="55" t="s">
        <v>1688</v>
      </c>
      <c r="FY5796" s="65">
        <v>4.24</v>
      </c>
      <c r="FZ5796" s="65">
        <v>8.07</v>
      </c>
      <c r="GD5796" s="65">
        <v>5.07</v>
      </c>
      <c r="GE5796" s="65">
        <v>10.3</v>
      </c>
      <c r="GH5796" s="65" t="s">
        <v>164</v>
      </c>
      <c r="GP5796" s="292" t="s">
        <v>7494</v>
      </c>
      <c r="JT5796" s="65" t="s">
        <v>6887</v>
      </c>
    </row>
    <row r="5797" spans="1:280" x14ac:dyDescent="0.25">
      <c r="A5797" s="55">
        <v>5796</v>
      </c>
      <c r="B5797" s="12" t="s">
        <v>7067</v>
      </c>
      <c r="C5797" s="155" t="s">
        <v>6868</v>
      </c>
      <c r="D5797" s="55" t="s">
        <v>6879</v>
      </c>
      <c r="E5797" s="90" t="s">
        <v>3565</v>
      </c>
      <c r="G5797" s="55" t="s">
        <v>6870</v>
      </c>
      <c r="H5797" s="55" t="s">
        <v>5564</v>
      </c>
      <c r="I5797" s="55" t="s">
        <v>5483</v>
      </c>
      <c r="J5797" s="55" t="s">
        <v>6627</v>
      </c>
      <c r="K5797" s="55" t="s">
        <v>6871</v>
      </c>
      <c r="L5797" s="55" t="s">
        <v>3377</v>
      </c>
      <c r="M5797" s="90">
        <f>42</f>
        <v>42</v>
      </c>
      <c r="N5797" s="90">
        <f>117+20/60</f>
        <v>117.33333333333333</v>
      </c>
      <c r="O5797" s="90">
        <v>1750</v>
      </c>
      <c r="P5797" s="90"/>
      <c r="S5797" s="90" t="s">
        <v>6872</v>
      </c>
      <c r="U5797" s="55" t="s">
        <v>1935</v>
      </c>
      <c r="V5797" s="55" t="s">
        <v>1935</v>
      </c>
      <c r="Z5797" s="55" t="s">
        <v>6605</v>
      </c>
      <c r="AA5797" s="90">
        <v>5</v>
      </c>
      <c r="AO5797" s="185" t="s">
        <v>7494</v>
      </c>
      <c r="AU5797" s="181" t="s">
        <v>7494</v>
      </c>
      <c r="AV5797" s="185" t="s">
        <v>176</v>
      </c>
      <c r="AX5797" s="185" t="s">
        <v>176</v>
      </c>
      <c r="AZ5797" s="55" t="s">
        <v>2081</v>
      </c>
      <c r="BA5797" s="55" t="s">
        <v>2082</v>
      </c>
      <c r="BK5797" s="55" t="s">
        <v>6452</v>
      </c>
      <c r="BL5797" s="55" t="s">
        <v>6883</v>
      </c>
      <c r="BN5797" s="55" t="s">
        <v>1688</v>
      </c>
      <c r="BO5797" s="55" t="s">
        <v>1688</v>
      </c>
      <c r="FY5797" s="65">
        <v>4.24</v>
      </c>
      <c r="FZ5797" s="65">
        <v>12.47</v>
      </c>
      <c r="GD5797" s="65">
        <v>5.07</v>
      </c>
      <c r="GE5797" s="65">
        <v>11.05</v>
      </c>
      <c r="GH5797" s="65" t="s">
        <v>164</v>
      </c>
      <c r="GP5797" s="292" t="s">
        <v>7494</v>
      </c>
      <c r="JT5797" s="65" t="s">
        <v>6887</v>
      </c>
    </row>
    <row r="5798" spans="1:280" x14ac:dyDescent="0.25">
      <c r="A5798" s="55">
        <v>5797</v>
      </c>
      <c r="B5798" s="12" t="s">
        <v>7067</v>
      </c>
      <c r="C5798" s="155" t="s">
        <v>6889</v>
      </c>
      <c r="D5798" s="55" t="s">
        <v>6890</v>
      </c>
      <c r="E5798" s="90" t="s">
        <v>6409</v>
      </c>
      <c r="G5798" s="55" t="s">
        <v>6468</v>
      </c>
      <c r="H5798" s="55" t="s">
        <v>5888</v>
      </c>
      <c r="I5798" s="55" t="s">
        <v>6505</v>
      </c>
      <c r="J5798" s="55" t="s">
        <v>6627</v>
      </c>
      <c r="K5798" s="55" t="s">
        <v>6892</v>
      </c>
      <c r="L5798" s="55" t="s">
        <v>3377</v>
      </c>
      <c r="M5798" s="90">
        <v>38.840000000000003</v>
      </c>
      <c r="N5798" s="90">
        <v>110.5</v>
      </c>
      <c r="P5798" s="90"/>
      <c r="Q5798" s="55" t="s">
        <v>5573</v>
      </c>
      <c r="S5798" s="90" t="s">
        <v>6891</v>
      </c>
      <c r="U5798" s="55" t="s">
        <v>1682</v>
      </c>
      <c r="V5798" s="55" t="s">
        <v>1682</v>
      </c>
      <c r="AO5798" s="185" t="s">
        <v>5150</v>
      </c>
      <c r="AR5798" s="55" t="s">
        <v>3646</v>
      </c>
      <c r="AS5798" s="55" t="s">
        <v>227</v>
      </c>
      <c r="AU5798" s="181" t="s">
        <v>7494</v>
      </c>
      <c r="AV5798" s="185" t="s">
        <v>176</v>
      </c>
      <c r="AX5798" s="185" t="s">
        <v>176</v>
      </c>
      <c r="AZ5798" s="55" t="s">
        <v>2081</v>
      </c>
      <c r="BA5798" s="55" t="s">
        <v>2082</v>
      </c>
      <c r="BK5798" s="55" t="s">
        <v>2082</v>
      </c>
      <c r="BN5798" s="55" t="s">
        <v>1805</v>
      </c>
      <c r="BO5798" s="55" t="s">
        <v>1805</v>
      </c>
      <c r="CB5798" s="66">
        <v>543</v>
      </c>
      <c r="CC5798" s="66">
        <v>647.66</v>
      </c>
      <c r="CG5798" s="65" t="s">
        <v>178</v>
      </c>
      <c r="CM5798" s="65">
        <v>0.53</v>
      </c>
      <c r="CN5798" s="65">
        <v>0.52</v>
      </c>
      <c r="CQ5798" s="65" t="s">
        <v>6894</v>
      </c>
      <c r="DB5798" s="65">
        <v>0.25</v>
      </c>
      <c r="DC5798" s="65">
        <v>0.34</v>
      </c>
      <c r="DF5798" s="65" t="s">
        <v>165</v>
      </c>
      <c r="FJ5798" s="65">
        <v>1.8824000000000001</v>
      </c>
      <c r="FK5798" s="65">
        <v>11.2498</v>
      </c>
      <c r="FN5798" s="65" t="s">
        <v>206</v>
      </c>
      <c r="FO5798" s="65">
        <v>24.768000000000001</v>
      </c>
      <c r="FP5798" s="65">
        <v>24.74</v>
      </c>
      <c r="FS5798" s="65" t="s">
        <v>637</v>
      </c>
      <c r="GP5798" s="292" t="s">
        <v>7494</v>
      </c>
    </row>
    <row r="5799" spans="1:280" x14ac:dyDescent="0.25">
      <c r="A5799" s="55">
        <v>5798</v>
      </c>
      <c r="B5799" s="12" t="s">
        <v>7067</v>
      </c>
      <c r="C5799" s="155" t="s">
        <v>6889</v>
      </c>
      <c r="D5799" s="55" t="s">
        <v>6890</v>
      </c>
      <c r="E5799" s="90" t="s">
        <v>6409</v>
      </c>
      <c r="G5799" s="55" t="s">
        <v>6468</v>
      </c>
      <c r="H5799" s="55" t="s">
        <v>5888</v>
      </c>
      <c r="I5799" s="55" t="s">
        <v>6505</v>
      </c>
      <c r="J5799" s="55" t="s">
        <v>6627</v>
      </c>
      <c r="K5799" s="55" t="s">
        <v>6892</v>
      </c>
      <c r="L5799" s="55" t="s">
        <v>3377</v>
      </c>
      <c r="M5799" s="90">
        <v>38.840000000000003</v>
      </c>
      <c r="N5799" s="90">
        <v>110.5</v>
      </c>
      <c r="P5799" s="90"/>
      <c r="Q5799" s="55" t="s">
        <v>5573</v>
      </c>
      <c r="S5799" s="90" t="s">
        <v>6891</v>
      </c>
      <c r="U5799" s="55" t="s">
        <v>1682</v>
      </c>
      <c r="V5799" s="55" t="s">
        <v>1682</v>
      </c>
      <c r="AO5799" s="185" t="s">
        <v>5150</v>
      </c>
      <c r="AR5799" s="55" t="s">
        <v>3646</v>
      </c>
      <c r="AS5799" s="55" t="s">
        <v>227</v>
      </c>
      <c r="AU5799" s="181" t="s">
        <v>7494</v>
      </c>
      <c r="AV5799" s="185" t="s">
        <v>176</v>
      </c>
      <c r="AX5799" s="185" t="s">
        <v>176</v>
      </c>
      <c r="AZ5799" s="55" t="s">
        <v>2081</v>
      </c>
      <c r="BK5799" s="55" t="s">
        <v>5981</v>
      </c>
      <c r="BN5799" s="55" t="s">
        <v>1805</v>
      </c>
      <c r="BO5799" s="55" t="s">
        <v>1805</v>
      </c>
      <c r="CB5799" s="66">
        <v>543</v>
      </c>
      <c r="CC5799" s="66">
        <v>830.83</v>
      </c>
      <c r="CG5799" s="65" t="s">
        <v>178</v>
      </c>
      <c r="CM5799" s="65">
        <v>0.53</v>
      </c>
      <c r="CN5799" s="65">
        <v>0.6</v>
      </c>
      <c r="CQ5799" s="65" t="s">
        <v>6894</v>
      </c>
      <c r="DB5799" s="65">
        <v>0.25</v>
      </c>
      <c r="DC5799" s="65">
        <v>0.39</v>
      </c>
      <c r="DF5799" s="65" t="s">
        <v>165</v>
      </c>
      <c r="FJ5799" s="65">
        <v>1.8824000000000001</v>
      </c>
      <c r="FK5799" s="65">
        <v>1.8825000000000001</v>
      </c>
      <c r="FN5799" s="65" t="s">
        <v>206</v>
      </c>
      <c r="FO5799" s="65">
        <v>24.768000000000001</v>
      </c>
      <c r="FP5799" s="65">
        <v>24.33</v>
      </c>
      <c r="FS5799" s="65" t="s">
        <v>637</v>
      </c>
      <c r="GP5799" s="292" t="s">
        <v>7494</v>
      </c>
    </row>
    <row r="5800" spans="1:280" x14ac:dyDescent="0.25">
      <c r="A5800" s="55">
        <v>5799</v>
      </c>
      <c r="B5800" s="12" t="s">
        <v>7067</v>
      </c>
      <c r="C5800" s="155" t="s">
        <v>6889</v>
      </c>
      <c r="D5800" s="55" t="s">
        <v>6890</v>
      </c>
      <c r="E5800" s="90" t="s">
        <v>6409</v>
      </c>
      <c r="G5800" s="55" t="s">
        <v>6468</v>
      </c>
      <c r="H5800" s="55" t="s">
        <v>5888</v>
      </c>
      <c r="I5800" s="55" t="s">
        <v>6505</v>
      </c>
      <c r="J5800" s="55" t="s">
        <v>6627</v>
      </c>
      <c r="K5800" s="55" t="s">
        <v>6892</v>
      </c>
      <c r="L5800" s="55" t="s">
        <v>3377</v>
      </c>
      <c r="M5800" s="90">
        <v>38.840000000000003</v>
      </c>
      <c r="N5800" s="90">
        <v>110.5</v>
      </c>
      <c r="P5800" s="90"/>
      <c r="Q5800" s="55" t="s">
        <v>5573</v>
      </c>
      <c r="S5800" s="90" t="s">
        <v>6891</v>
      </c>
      <c r="U5800" s="55" t="s">
        <v>1682</v>
      </c>
      <c r="V5800" s="55" t="s">
        <v>1682</v>
      </c>
      <c r="AO5800" s="185" t="s">
        <v>5150</v>
      </c>
      <c r="AR5800" s="55" t="s">
        <v>3646</v>
      </c>
      <c r="AS5800" s="55" t="s">
        <v>227</v>
      </c>
      <c r="AU5800" s="181" t="s">
        <v>7494</v>
      </c>
      <c r="AV5800" s="185" t="s">
        <v>176</v>
      </c>
      <c r="AX5800" s="185" t="s">
        <v>176</v>
      </c>
      <c r="AZ5800" s="55" t="s">
        <v>2081</v>
      </c>
      <c r="BK5800" s="55" t="s">
        <v>6503</v>
      </c>
      <c r="BN5800" s="55" t="s">
        <v>1805</v>
      </c>
      <c r="BO5800" s="55" t="s">
        <v>1805</v>
      </c>
      <c r="CB5800" s="66">
        <v>543</v>
      </c>
      <c r="CC5800" s="66">
        <v>1070</v>
      </c>
      <c r="CG5800" s="65" t="s">
        <v>178</v>
      </c>
      <c r="CM5800" s="65">
        <v>0.53</v>
      </c>
      <c r="CN5800" s="65">
        <v>0.52</v>
      </c>
      <c r="CQ5800" s="65" t="s">
        <v>6894</v>
      </c>
      <c r="DB5800" s="65">
        <v>0.25</v>
      </c>
      <c r="DC5800" s="65">
        <v>0.62</v>
      </c>
      <c r="DF5800" s="65" t="s">
        <v>165</v>
      </c>
      <c r="FJ5800" s="65">
        <v>1.8824000000000001</v>
      </c>
      <c r="FK5800" s="65">
        <v>3.4592999999999998</v>
      </c>
      <c r="FN5800" s="65" t="s">
        <v>206</v>
      </c>
      <c r="FO5800" s="65">
        <v>24.768000000000001</v>
      </c>
      <c r="FP5800" s="65">
        <v>9.7810000000000006</v>
      </c>
      <c r="FS5800" s="65" t="s">
        <v>637</v>
      </c>
      <c r="GP5800" s="292" t="s">
        <v>7494</v>
      </c>
    </row>
    <row r="5801" spans="1:280" x14ac:dyDescent="0.25">
      <c r="A5801" s="55">
        <v>5800</v>
      </c>
      <c r="B5801" s="12" t="s">
        <v>7067</v>
      </c>
      <c r="C5801" s="155" t="s">
        <v>6889</v>
      </c>
      <c r="D5801" s="55" t="s">
        <v>6890</v>
      </c>
      <c r="E5801" s="90" t="s">
        <v>6409</v>
      </c>
      <c r="G5801" s="55" t="s">
        <v>6468</v>
      </c>
      <c r="H5801" s="55" t="s">
        <v>5888</v>
      </c>
      <c r="I5801" s="55" t="s">
        <v>6505</v>
      </c>
      <c r="J5801" s="55" t="s">
        <v>6627</v>
      </c>
      <c r="K5801" s="55" t="s">
        <v>6892</v>
      </c>
      <c r="L5801" s="55" t="s">
        <v>3377</v>
      </c>
      <c r="M5801" s="90">
        <v>38.840000000000003</v>
      </c>
      <c r="N5801" s="90">
        <v>110.5</v>
      </c>
      <c r="P5801" s="90"/>
      <c r="Q5801" s="55" t="s">
        <v>5573</v>
      </c>
      <c r="S5801" s="90" t="s">
        <v>6891</v>
      </c>
      <c r="U5801" s="55" t="s">
        <v>1682</v>
      </c>
      <c r="V5801" s="55" t="s">
        <v>1682</v>
      </c>
      <c r="AO5801" s="185" t="s">
        <v>5150</v>
      </c>
      <c r="AR5801" s="55" t="s">
        <v>3646</v>
      </c>
      <c r="AS5801" s="55" t="s">
        <v>227</v>
      </c>
      <c r="AU5801" s="181" t="s">
        <v>7494</v>
      </c>
      <c r="AV5801" s="185" t="s">
        <v>176</v>
      </c>
      <c r="AX5801" s="185" t="s">
        <v>176</v>
      </c>
      <c r="AZ5801" s="55" t="s">
        <v>2081</v>
      </c>
      <c r="BK5801" s="55" t="s">
        <v>6502</v>
      </c>
      <c r="BN5801" s="55" t="s">
        <v>1805</v>
      </c>
      <c r="BO5801" s="55" t="s">
        <v>1805</v>
      </c>
      <c r="CB5801" s="66">
        <v>543</v>
      </c>
      <c r="CC5801" s="66">
        <v>1560</v>
      </c>
      <c r="CG5801" s="65" t="s">
        <v>178</v>
      </c>
      <c r="CM5801" s="65">
        <v>0.53</v>
      </c>
      <c r="CN5801" s="65">
        <v>0.4</v>
      </c>
      <c r="CQ5801" s="65" t="s">
        <v>6894</v>
      </c>
      <c r="DB5801" s="65">
        <v>0.25</v>
      </c>
      <c r="DC5801" s="65">
        <v>0.19</v>
      </c>
      <c r="DF5801" s="65" t="s">
        <v>165</v>
      </c>
      <c r="FJ5801" s="65">
        <v>1.8824000000000001</v>
      </c>
      <c r="FK5801" s="65">
        <v>1.1102000000000001</v>
      </c>
      <c r="FN5801" s="65" t="s">
        <v>206</v>
      </c>
      <c r="FO5801" s="65">
        <v>24.768000000000001</v>
      </c>
      <c r="FP5801" s="65">
        <v>3.7170000000000001</v>
      </c>
      <c r="FS5801" s="65" t="s">
        <v>637</v>
      </c>
      <c r="GP5801" s="292" t="s">
        <v>7494</v>
      </c>
    </row>
    <row r="5802" spans="1:280" x14ac:dyDescent="0.25">
      <c r="A5802" s="55">
        <v>5801</v>
      </c>
      <c r="B5802" s="12" t="s">
        <v>7067</v>
      </c>
      <c r="C5802" s="155" t="s">
        <v>6889</v>
      </c>
      <c r="D5802" s="55" t="s">
        <v>6890</v>
      </c>
      <c r="E5802" s="90" t="s">
        <v>6409</v>
      </c>
      <c r="G5802" s="55" t="s">
        <v>6468</v>
      </c>
      <c r="H5802" s="55" t="s">
        <v>5888</v>
      </c>
      <c r="I5802" s="55" t="s">
        <v>6505</v>
      </c>
      <c r="J5802" s="55" t="s">
        <v>6627</v>
      </c>
      <c r="K5802" s="55" t="s">
        <v>6892</v>
      </c>
      <c r="L5802" s="55" t="s">
        <v>3377</v>
      </c>
      <c r="M5802" s="90">
        <v>38.840000000000003</v>
      </c>
      <c r="N5802" s="90">
        <v>110.5</v>
      </c>
      <c r="P5802" s="90"/>
      <c r="Q5802" s="55" t="s">
        <v>5573</v>
      </c>
      <c r="S5802" s="90" t="s">
        <v>6891</v>
      </c>
      <c r="U5802" s="55" t="s">
        <v>1682</v>
      </c>
      <c r="V5802" s="55" t="s">
        <v>1682</v>
      </c>
      <c r="AO5802" s="185" t="s">
        <v>5150</v>
      </c>
      <c r="AR5802" s="55" t="s">
        <v>3646</v>
      </c>
      <c r="AS5802" s="55" t="s">
        <v>227</v>
      </c>
      <c r="AU5802" s="181" t="s">
        <v>7494</v>
      </c>
      <c r="AV5802" s="185" t="s">
        <v>176</v>
      </c>
      <c r="AX5802" s="185" t="s">
        <v>176</v>
      </c>
      <c r="AZ5802" s="55" t="s">
        <v>2081</v>
      </c>
      <c r="BK5802" s="55" t="s">
        <v>6504</v>
      </c>
      <c r="BN5802" s="55" t="s">
        <v>1805</v>
      </c>
      <c r="BO5802" s="55" t="s">
        <v>1805</v>
      </c>
      <c r="CB5802" s="66">
        <v>543</v>
      </c>
      <c r="CC5802" s="66">
        <v>78.58</v>
      </c>
      <c r="CG5802" s="65" t="s">
        <v>178</v>
      </c>
      <c r="CM5802" s="65">
        <v>0.53</v>
      </c>
      <c r="CN5802" s="65">
        <v>0.65</v>
      </c>
      <c r="CQ5802" s="65" t="s">
        <v>6894</v>
      </c>
      <c r="DB5802" s="65">
        <v>0.25</v>
      </c>
      <c r="DC5802" s="65">
        <v>0.42</v>
      </c>
      <c r="DF5802" s="65" t="s">
        <v>165</v>
      </c>
      <c r="FJ5802" s="65">
        <v>1.8824000000000001</v>
      </c>
      <c r="FK5802" s="65">
        <v>8.9999999999999993E-3</v>
      </c>
      <c r="FN5802" s="65" t="s">
        <v>206</v>
      </c>
      <c r="FO5802" s="65">
        <v>24.768000000000001</v>
      </c>
      <c r="FP5802" s="65">
        <v>2.323</v>
      </c>
      <c r="FS5802" s="65" t="s">
        <v>637</v>
      </c>
      <c r="GP5802" s="292" t="s">
        <v>7494</v>
      </c>
    </row>
    <row r="5803" spans="1:280" x14ac:dyDescent="0.25">
      <c r="A5803" s="55">
        <v>5802</v>
      </c>
      <c r="B5803" s="12" t="s">
        <v>7067</v>
      </c>
      <c r="C5803" s="155" t="s">
        <v>6889</v>
      </c>
      <c r="D5803" s="55" t="s">
        <v>6890</v>
      </c>
      <c r="E5803" s="90" t="s">
        <v>6409</v>
      </c>
      <c r="G5803" s="55" t="s">
        <v>6468</v>
      </c>
      <c r="H5803" s="55" t="s">
        <v>5888</v>
      </c>
      <c r="I5803" s="55" t="s">
        <v>5490</v>
      </c>
      <c r="J5803" s="55" t="s">
        <v>6627</v>
      </c>
      <c r="K5803" s="55" t="s">
        <v>6892</v>
      </c>
      <c r="L5803" s="55" t="s">
        <v>3377</v>
      </c>
      <c r="M5803" s="90">
        <v>38.840000000000003</v>
      </c>
      <c r="N5803" s="90">
        <v>110.5</v>
      </c>
      <c r="P5803" s="90"/>
      <c r="Q5803" s="55" t="s">
        <v>5573</v>
      </c>
      <c r="S5803" s="90" t="s">
        <v>6891</v>
      </c>
      <c r="U5803" s="55" t="s">
        <v>1935</v>
      </c>
      <c r="V5803" s="55" t="s">
        <v>1682</v>
      </c>
      <c r="AO5803" s="185" t="s">
        <v>5150</v>
      </c>
      <c r="AR5803" s="55" t="s">
        <v>3646</v>
      </c>
      <c r="AS5803" s="55" t="s">
        <v>227</v>
      </c>
      <c r="AU5803" s="181" t="s">
        <v>7494</v>
      </c>
      <c r="AV5803" s="185" t="s">
        <v>176</v>
      </c>
      <c r="AX5803" s="185" t="s">
        <v>176</v>
      </c>
      <c r="AZ5803" s="55" t="s">
        <v>2081</v>
      </c>
      <c r="BA5803" s="55" t="s">
        <v>2082</v>
      </c>
      <c r="BK5803" s="55" t="s">
        <v>2082</v>
      </c>
      <c r="BN5803" s="55" t="s">
        <v>1805</v>
      </c>
      <c r="BO5803" s="55" t="s">
        <v>1805</v>
      </c>
      <c r="CB5803" s="66">
        <v>1490</v>
      </c>
      <c r="CC5803" s="66">
        <v>1510</v>
      </c>
      <c r="CG5803" s="65" t="s">
        <v>178</v>
      </c>
      <c r="CM5803" s="65">
        <v>0.55000000000000004</v>
      </c>
      <c r="CN5803" s="65">
        <v>0.37</v>
      </c>
      <c r="CQ5803" s="65" t="s">
        <v>6894</v>
      </c>
      <c r="DB5803" s="65">
        <v>0.2</v>
      </c>
      <c r="DC5803" s="65">
        <v>0.34</v>
      </c>
      <c r="DF5803" s="65" t="s">
        <v>165</v>
      </c>
      <c r="GP5803" s="292" t="s">
        <v>7494</v>
      </c>
    </row>
    <row r="5804" spans="1:280" x14ac:dyDescent="0.25">
      <c r="A5804" s="55">
        <v>5803</v>
      </c>
      <c r="B5804" s="12" t="s">
        <v>7067</v>
      </c>
      <c r="C5804" s="155" t="s">
        <v>6889</v>
      </c>
      <c r="D5804" s="55" t="s">
        <v>6890</v>
      </c>
      <c r="E5804" s="90" t="s">
        <v>6409</v>
      </c>
      <c r="G5804" s="55" t="s">
        <v>6468</v>
      </c>
      <c r="H5804" s="55" t="s">
        <v>5888</v>
      </c>
      <c r="I5804" s="55" t="s">
        <v>5490</v>
      </c>
      <c r="J5804" s="55" t="s">
        <v>6627</v>
      </c>
      <c r="K5804" s="55" t="s">
        <v>6892</v>
      </c>
      <c r="L5804" s="55" t="s">
        <v>3377</v>
      </c>
      <c r="M5804" s="90">
        <v>38.840000000000003</v>
      </c>
      <c r="N5804" s="90">
        <v>110.5</v>
      </c>
      <c r="P5804" s="90"/>
      <c r="Q5804" s="55" t="s">
        <v>5573</v>
      </c>
      <c r="S5804" s="90" t="s">
        <v>6891</v>
      </c>
      <c r="U5804" s="55" t="s">
        <v>1935</v>
      </c>
      <c r="V5804" s="55" t="s">
        <v>1682</v>
      </c>
      <c r="AO5804" s="185" t="s">
        <v>5150</v>
      </c>
      <c r="AR5804" s="55" t="s">
        <v>3646</v>
      </c>
      <c r="AS5804" s="55" t="s">
        <v>227</v>
      </c>
      <c r="AU5804" s="181" t="s">
        <v>7494</v>
      </c>
      <c r="AV5804" s="185" t="s">
        <v>176</v>
      </c>
      <c r="AX5804" s="185" t="s">
        <v>176</v>
      </c>
      <c r="AZ5804" s="55" t="s">
        <v>2081</v>
      </c>
      <c r="BK5804" s="55" t="s">
        <v>5981</v>
      </c>
      <c r="BN5804" s="55" t="s">
        <v>1805</v>
      </c>
      <c r="BO5804" s="55" t="s">
        <v>1805</v>
      </c>
      <c r="CB5804" s="66">
        <v>1490</v>
      </c>
      <c r="CC5804" s="66">
        <v>1420</v>
      </c>
      <c r="CG5804" s="65" t="s">
        <v>178</v>
      </c>
      <c r="CM5804" s="65">
        <v>0.55000000000000004</v>
      </c>
      <c r="CN5804" s="65">
        <v>0.38</v>
      </c>
      <c r="CQ5804" s="65" t="s">
        <v>6894</v>
      </c>
      <c r="DB5804" s="65">
        <v>0.2</v>
      </c>
      <c r="DC5804" s="65">
        <v>0.35</v>
      </c>
      <c r="DF5804" s="65" t="s">
        <v>165</v>
      </c>
      <c r="GP5804" s="292" t="s">
        <v>7494</v>
      </c>
    </row>
    <row r="5805" spans="1:280" x14ac:dyDescent="0.25">
      <c r="A5805" s="55">
        <v>5804</v>
      </c>
      <c r="B5805" s="12" t="s">
        <v>7067</v>
      </c>
      <c r="C5805" s="155" t="s">
        <v>6889</v>
      </c>
      <c r="D5805" s="55" t="s">
        <v>6890</v>
      </c>
      <c r="E5805" s="90" t="s">
        <v>6409</v>
      </c>
      <c r="G5805" s="55" t="s">
        <v>6468</v>
      </c>
      <c r="H5805" s="55" t="s">
        <v>5888</v>
      </c>
      <c r="I5805" s="55" t="s">
        <v>5490</v>
      </c>
      <c r="J5805" s="55" t="s">
        <v>6627</v>
      </c>
      <c r="K5805" s="55" t="s">
        <v>6892</v>
      </c>
      <c r="L5805" s="55" t="s">
        <v>3377</v>
      </c>
      <c r="M5805" s="90">
        <v>38.840000000000003</v>
      </c>
      <c r="N5805" s="90">
        <v>110.5</v>
      </c>
      <c r="P5805" s="90"/>
      <c r="Q5805" s="55" t="s">
        <v>5573</v>
      </c>
      <c r="S5805" s="90" t="s">
        <v>6891</v>
      </c>
      <c r="U5805" s="55" t="s">
        <v>1935</v>
      </c>
      <c r="V5805" s="55" t="s">
        <v>1682</v>
      </c>
      <c r="AO5805" s="185" t="s">
        <v>5150</v>
      </c>
      <c r="AR5805" s="55" t="s">
        <v>3646</v>
      </c>
      <c r="AS5805" s="55" t="s">
        <v>227</v>
      </c>
      <c r="AU5805" s="181" t="s">
        <v>7494</v>
      </c>
      <c r="AV5805" s="185" t="s">
        <v>176</v>
      </c>
      <c r="AX5805" s="185" t="s">
        <v>176</v>
      </c>
      <c r="AZ5805" s="55" t="s">
        <v>2081</v>
      </c>
      <c r="BK5805" s="55" t="s">
        <v>6503</v>
      </c>
      <c r="BN5805" s="55" t="s">
        <v>1805</v>
      </c>
      <c r="BO5805" s="55" t="s">
        <v>1805</v>
      </c>
      <c r="CB5805" s="66">
        <v>1490</v>
      </c>
      <c r="CC5805" s="66">
        <v>1850</v>
      </c>
      <c r="CG5805" s="65" t="s">
        <v>178</v>
      </c>
      <c r="CM5805" s="65">
        <v>0.55000000000000004</v>
      </c>
      <c r="CN5805" s="65">
        <v>0.41</v>
      </c>
      <c r="CQ5805" s="65" t="s">
        <v>6894</v>
      </c>
      <c r="DB5805" s="65">
        <v>0.2</v>
      </c>
      <c r="DC5805" s="65">
        <v>0.24</v>
      </c>
      <c r="DF5805" s="65" t="s">
        <v>165</v>
      </c>
      <c r="GP5805" s="292" t="s">
        <v>7494</v>
      </c>
    </row>
    <row r="5806" spans="1:280" x14ac:dyDescent="0.25">
      <c r="A5806" s="55">
        <v>5805</v>
      </c>
      <c r="B5806" s="12" t="s">
        <v>7067</v>
      </c>
      <c r="C5806" s="155" t="s">
        <v>6889</v>
      </c>
      <c r="D5806" s="55" t="s">
        <v>6890</v>
      </c>
      <c r="E5806" s="90" t="s">
        <v>6409</v>
      </c>
      <c r="G5806" s="55" t="s">
        <v>6468</v>
      </c>
      <c r="H5806" s="55" t="s">
        <v>5888</v>
      </c>
      <c r="I5806" s="55" t="s">
        <v>5490</v>
      </c>
      <c r="J5806" s="55" t="s">
        <v>6627</v>
      </c>
      <c r="K5806" s="55" t="s">
        <v>6892</v>
      </c>
      <c r="L5806" s="55" t="s">
        <v>3377</v>
      </c>
      <c r="M5806" s="90">
        <v>38.840000000000003</v>
      </c>
      <c r="N5806" s="90">
        <v>110.5</v>
      </c>
      <c r="P5806" s="90"/>
      <c r="Q5806" s="55" t="s">
        <v>5573</v>
      </c>
      <c r="S5806" s="90" t="s">
        <v>6891</v>
      </c>
      <c r="U5806" s="55" t="s">
        <v>1935</v>
      </c>
      <c r="V5806" s="55" t="s">
        <v>1682</v>
      </c>
      <c r="AO5806" s="185" t="s">
        <v>5150</v>
      </c>
      <c r="AR5806" s="55" t="s">
        <v>3646</v>
      </c>
      <c r="AS5806" s="55" t="s">
        <v>227</v>
      </c>
      <c r="AU5806" s="181" t="s">
        <v>7494</v>
      </c>
      <c r="AV5806" s="185" t="s">
        <v>176</v>
      </c>
      <c r="AX5806" s="185" t="s">
        <v>176</v>
      </c>
      <c r="AZ5806" s="55" t="s">
        <v>2081</v>
      </c>
      <c r="BK5806" s="55" t="s">
        <v>6502</v>
      </c>
      <c r="BN5806" s="55" t="s">
        <v>1805</v>
      </c>
      <c r="BO5806" s="55" t="s">
        <v>1805</v>
      </c>
      <c r="CB5806" s="66">
        <v>1490</v>
      </c>
      <c r="CC5806" s="66">
        <v>1850</v>
      </c>
      <c r="CG5806" s="65" t="s">
        <v>178</v>
      </c>
      <c r="CM5806" s="65">
        <v>0.55000000000000004</v>
      </c>
      <c r="CN5806" s="65">
        <v>0.23</v>
      </c>
      <c r="CQ5806" s="65" t="s">
        <v>6894</v>
      </c>
      <c r="DB5806" s="65">
        <v>0.2</v>
      </c>
      <c r="DC5806" s="65">
        <v>0.28000000000000003</v>
      </c>
      <c r="DF5806" s="65" t="s">
        <v>165</v>
      </c>
      <c r="GP5806" s="292" t="s">
        <v>7494</v>
      </c>
    </row>
    <row r="5807" spans="1:280" x14ac:dyDescent="0.25">
      <c r="A5807" s="55">
        <v>5806</v>
      </c>
      <c r="B5807" s="12" t="s">
        <v>7067</v>
      </c>
      <c r="C5807" s="155" t="s">
        <v>6889</v>
      </c>
      <c r="D5807" s="55" t="s">
        <v>6890</v>
      </c>
      <c r="E5807" s="90" t="s">
        <v>6409</v>
      </c>
      <c r="G5807" s="55" t="s">
        <v>6468</v>
      </c>
      <c r="H5807" s="55" t="s">
        <v>5888</v>
      </c>
      <c r="I5807" s="55" t="s">
        <v>5490</v>
      </c>
      <c r="J5807" s="55" t="s">
        <v>6627</v>
      </c>
      <c r="K5807" s="55" t="s">
        <v>6892</v>
      </c>
      <c r="L5807" s="55" t="s">
        <v>3377</v>
      </c>
      <c r="M5807" s="90">
        <v>38.840000000000003</v>
      </c>
      <c r="N5807" s="90">
        <v>110.5</v>
      </c>
      <c r="P5807" s="90"/>
      <c r="Q5807" s="55" t="s">
        <v>5573</v>
      </c>
      <c r="S5807" s="90" t="s">
        <v>6891</v>
      </c>
      <c r="U5807" s="55" t="s">
        <v>1935</v>
      </c>
      <c r="V5807" s="55" t="s">
        <v>1682</v>
      </c>
      <c r="AO5807" s="185" t="s">
        <v>5150</v>
      </c>
      <c r="AR5807" s="55" t="s">
        <v>3646</v>
      </c>
      <c r="AS5807" s="55" t="s">
        <v>227</v>
      </c>
      <c r="AU5807" s="181" t="s">
        <v>7494</v>
      </c>
      <c r="AV5807" s="185" t="s">
        <v>176</v>
      </c>
      <c r="AX5807" s="185" t="s">
        <v>176</v>
      </c>
      <c r="AZ5807" s="55" t="s">
        <v>2081</v>
      </c>
      <c r="BK5807" s="55" t="s">
        <v>6504</v>
      </c>
      <c r="BN5807" s="55" t="s">
        <v>1805</v>
      </c>
      <c r="BO5807" s="55" t="s">
        <v>1805</v>
      </c>
      <c r="CB5807" s="66">
        <v>1490</v>
      </c>
      <c r="CG5807" s="65" t="s">
        <v>178</v>
      </c>
      <c r="CM5807" s="65">
        <v>0.55000000000000004</v>
      </c>
      <c r="CN5807" s="65">
        <v>0.38</v>
      </c>
      <c r="CQ5807" s="65" t="s">
        <v>6894</v>
      </c>
      <c r="DB5807" s="65">
        <v>0.2</v>
      </c>
      <c r="DC5807" s="65">
        <v>0.38</v>
      </c>
      <c r="DF5807" s="65" t="s">
        <v>165</v>
      </c>
      <c r="GP5807" s="292" t="s">
        <v>7494</v>
      </c>
    </row>
    <row r="5808" spans="1:280" x14ac:dyDescent="0.25">
      <c r="A5808" s="55">
        <v>5807</v>
      </c>
      <c r="B5808" s="12" t="s">
        <v>7067</v>
      </c>
      <c r="C5808" s="155" t="s">
        <v>6889</v>
      </c>
      <c r="D5808" s="55" t="s">
        <v>6890</v>
      </c>
      <c r="E5808" s="90" t="s">
        <v>6409</v>
      </c>
      <c r="G5808" s="55" t="s">
        <v>6468</v>
      </c>
      <c r="H5808" s="55" t="s">
        <v>5888</v>
      </c>
      <c r="I5808" s="55" t="s">
        <v>5864</v>
      </c>
      <c r="J5808" s="55" t="s">
        <v>6627</v>
      </c>
      <c r="K5808" s="55" t="s">
        <v>6892</v>
      </c>
      <c r="L5808" s="55" t="s">
        <v>3377</v>
      </c>
      <c r="M5808" s="90">
        <v>38.840000000000003</v>
      </c>
      <c r="N5808" s="90">
        <v>110.5</v>
      </c>
      <c r="P5808" s="90"/>
      <c r="Q5808" s="55" t="s">
        <v>5573</v>
      </c>
      <c r="S5808" s="90" t="s">
        <v>6891</v>
      </c>
      <c r="U5808" s="55" t="s">
        <v>1805</v>
      </c>
      <c r="V5808" s="55" t="s">
        <v>1682</v>
      </c>
      <c r="AO5808" s="185" t="s">
        <v>5150</v>
      </c>
      <c r="AR5808" s="55" t="s">
        <v>3646</v>
      </c>
      <c r="AS5808" s="55" t="s">
        <v>227</v>
      </c>
      <c r="AU5808" s="181" t="s">
        <v>7494</v>
      </c>
      <c r="AV5808" s="185" t="s">
        <v>176</v>
      </c>
      <c r="AX5808" s="185" t="s">
        <v>176</v>
      </c>
      <c r="AZ5808" s="55" t="s">
        <v>2081</v>
      </c>
      <c r="BA5808" s="55" t="s">
        <v>2082</v>
      </c>
      <c r="BK5808" s="55" t="s">
        <v>2082</v>
      </c>
      <c r="BN5808" s="55" t="s">
        <v>1805</v>
      </c>
      <c r="BO5808" s="55" t="s">
        <v>1805</v>
      </c>
      <c r="CB5808" s="66">
        <v>1120</v>
      </c>
      <c r="CC5808" s="66">
        <v>1110</v>
      </c>
      <c r="CG5808" s="65" t="s">
        <v>178</v>
      </c>
      <c r="CM5808" s="65">
        <v>0.35</v>
      </c>
      <c r="CN5808" s="65">
        <v>0.41</v>
      </c>
      <c r="CQ5808" s="65" t="s">
        <v>6894</v>
      </c>
      <c r="DB5808" s="65">
        <v>0.34</v>
      </c>
      <c r="DC5808" s="65">
        <v>0.22</v>
      </c>
      <c r="DF5808" s="65" t="s">
        <v>165</v>
      </c>
      <c r="GP5808" s="292" t="s">
        <v>7494</v>
      </c>
    </row>
    <row r="5809" spans="1:279" x14ac:dyDescent="0.25">
      <c r="A5809" s="55">
        <v>5808</v>
      </c>
      <c r="B5809" s="12" t="s">
        <v>7067</v>
      </c>
      <c r="C5809" s="155" t="s">
        <v>6889</v>
      </c>
      <c r="D5809" s="55" t="s">
        <v>6890</v>
      </c>
      <c r="E5809" s="90" t="s">
        <v>6409</v>
      </c>
      <c r="G5809" s="55" t="s">
        <v>6468</v>
      </c>
      <c r="H5809" s="55" t="s">
        <v>5888</v>
      </c>
      <c r="I5809" s="55" t="s">
        <v>5864</v>
      </c>
      <c r="J5809" s="55" t="s">
        <v>6627</v>
      </c>
      <c r="K5809" s="55" t="s">
        <v>6892</v>
      </c>
      <c r="L5809" s="55" t="s">
        <v>3377</v>
      </c>
      <c r="M5809" s="90">
        <v>38.840000000000003</v>
      </c>
      <c r="N5809" s="90">
        <v>110.5</v>
      </c>
      <c r="P5809" s="90"/>
      <c r="Q5809" s="55" t="s">
        <v>5573</v>
      </c>
      <c r="S5809" s="90" t="s">
        <v>6891</v>
      </c>
      <c r="U5809" s="55" t="s">
        <v>1805</v>
      </c>
      <c r="V5809" s="55" t="s">
        <v>1682</v>
      </c>
      <c r="AO5809" s="185" t="s">
        <v>5150</v>
      </c>
      <c r="AR5809" s="55" t="s">
        <v>3646</v>
      </c>
      <c r="AS5809" s="55" t="s">
        <v>227</v>
      </c>
      <c r="AU5809" s="181" t="s">
        <v>7494</v>
      </c>
      <c r="AV5809" s="185" t="s">
        <v>176</v>
      </c>
      <c r="AX5809" s="185" t="s">
        <v>176</v>
      </c>
      <c r="AZ5809" s="55" t="s">
        <v>2081</v>
      </c>
      <c r="BK5809" s="55" t="s">
        <v>5981</v>
      </c>
      <c r="BN5809" s="55" t="s">
        <v>1805</v>
      </c>
      <c r="BO5809" s="55" t="s">
        <v>1805</v>
      </c>
      <c r="CB5809" s="66">
        <v>1120</v>
      </c>
      <c r="CC5809" s="66">
        <v>1140</v>
      </c>
      <c r="CG5809" s="65" t="s">
        <v>178</v>
      </c>
      <c r="CM5809" s="65">
        <v>0.35</v>
      </c>
      <c r="CN5809" s="65">
        <v>0.43</v>
      </c>
      <c r="CQ5809" s="65" t="s">
        <v>6894</v>
      </c>
      <c r="DB5809" s="65">
        <v>0.34</v>
      </c>
      <c r="DC5809" s="65">
        <v>0.24</v>
      </c>
      <c r="DF5809" s="65" t="s">
        <v>165</v>
      </c>
      <c r="GP5809" s="292" t="s">
        <v>7494</v>
      </c>
    </row>
    <row r="5810" spans="1:279" x14ac:dyDescent="0.25">
      <c r="A5810" s="55">
        <v>5809</v>
      </c>
      <c r="B5810" s="12" t="s">
        <v>7067</v>
      </c>
      <c r="C5810" s="155" t="s">
        <v>6889</v>
      </c>
      <c r="D5810" s="55" t="s">
        <v>6890</v>
      </c>
      <c r="E5810" s="90" t="s">
        <v>6409</v>
      </c>
      <c r="G5810" s="55" t="s">
        <v>6468</v>
      </c>
      <c r="H5810" s="55" t="s">
        <v>5888</v>
      </c>
      <c r="I5810" s="55" t="s">
        <v>5864</v>
      </c>
      <c r="J5810" s="55" t="s">
        <v>6627</v>
      </c>
      <c r="K5810" s="55" t="s">
        <v>6892</v>
      </c>
      <c r="L5810" s="55" t="s">
        <v>3377</v>
      </c>
      <c r="M5810" s="90">
        <v>38.840000000000003</v>
      </c>
      <c r="N5810" s="90">
        <v>110.5</v>
      </c>
      <c r="P5810" s="90"/>
      <c r="Q5810" s="55" t="s">
        <v>5573</v>
      </c>
      <c r="S5810" s="90" t="s">
        <v>6891</v>
      </c>
      <c r="U5810" s="55" t="s">
        <v>1805</v>
      </c>
      <c r="V5810" s="55" t="s">
        <v>1682</v>
      </c>
      <c r="AO5810" s="185" t="s">
        <v>5150</v>
      </c>
      <c r="AR5810" s="55" t="s">
        <v>3646</v>
      </c>
      <c r="AS5810" s="55" t="s">
        <v>227</v>
      </c>
      <c r="AU5810" s="181" t="s">
        <v>7494</v>
      </c>
      <c r="AV5810" s="185" t="s">
        <v>176</v>
      </c>
      <c r="AX5810" s="185" t="s">
        <v>176</v>
      </c>
      <c r="AZ5810" s="55" t="s">
        <v>2081</v>
      </c>
      <c r="BK5810" s="55" t="s">
        <v>6503</v>
      </c>
      <c r="BN5810" s="55" t="s">
        <v>1805</v>
      </c>
      <c r="BO5810" s="55" t="s">
        <v>1805</v>
      </c>
      <c r="CB5810" s="66">
        <v>1120</v>
      </c>
      <c r="CC5810" s="66">
        <v>1120</v>
      </c>
      <c r="CG5810" s="65" t="s">
        <v>178</v>
      </c>
      <c r="CM5810" s="65">
        <v>0.35</v>
      </c>
      <c r="CN5810" s="65">
        <v>0.54</v>
      </c>
      <c r="CQ5810" s="65" t="s">
        <v>6894</v>
      </c>
      <c r="DB5810" s="65">
        <v>0.34</v>
      </c>
      <c r="DC5810" s="65">
        <v>0.14000000000000001</v>
      </c>
      <c r="DF5810" s="65" t="s">
        <v>165</v>
      </c>
      <c r="GP5810" s="292" t="s">
        <v>7494</v>
      </c>
    </row>
    <row r="5811" spans="1:279" x14ac:dyDescent="0.25">
      <c r="A5811" s="55">
        <v>5810</v>
      </c>
      <c r="B5811" s="12" t="s">
        <v>7067</v>
      </c>
      <c r="C5811" s="155" t="s">
        <v>6889</v>
      </c>
      <c r="D5811" s="55" t="s">
        <v>6890</v>
      </c>
      <c r="E5811" s="90" t="s">
        <v>6409</v>
      </c>
      <c r="G5811" s="55" t="s">
        <v>6468</v>
      </c>
      <c r="H5811" s="55" t="s">
        <v>5888</v>
      </c>
      <c r="I5811" s="55" t="s">
        <v>5864</v>
      </c>
      <c r="J5811" s="55" t="s">
        <v>6627</v>
      </c>
      <c r="K5811" s="55" t="s">
        <v>6892</v>
      </c>
      <c r="L5811" s="55" t="s">
        <v>3377</v>
      </c>
      <c r="M5811" s="90">
        <v>38.840000000000003</v>
      </c>
      <c r="N5811" s="90">
        <v>110.5</v>
      </c>
      <c r="P5811" s="90"/>
      <c r="Q5811" s="55" t="s">
        <v>5573</v>
      </c>
      <c r="S5811" s="90" t="s">
        <v>6891</v>
      </c>
      <c r="U5811" s="55" t="s">
        <v>1805</v>
      </c>
      <c r="V5811" s="55" t="s">
        <v>1682</v>
      </c>
      <c r="AO5811" s="185" t="s">
        <v>5150</v>
      </c>
      <c r="AR5811" s="55" t="s">
        <v>3646</v>
      </c>
      <c r="AS5811" s="55" t="s">
        <v>227</v>
      </c>
      <c r="AU5811" s="181" t="s">
        <v>7494</v>
      </c>
      <c r="AV5811" s="185" t="s">
        <v>176</v>
      </c>
      <c r="AX5811" s="185" t="s">
        <v>176</v>
      </c>
      <c r="AZ5811" s="55" t="s">
        <v>2081</v>
      </c>
      <c r="BK5811" s="55" t="s">
        <v>6502</v>
      </c>
      <c r="BN5811" s="55" t="s">
        <v>1805</v>
      </c>
      <c r="BO5811" s="55" t="s">
        <v>1805</v>
      </c>
      <c r="CB5811" s="66">
        <v>1120</v>
      </c>
      <c r="CC5811" s="66">
        <v>1440</v>
      </c>
      <c r="CG5811" s="65" t="s">
        <v>178</v>
      </c>
      <c r="CM5811" s="65">
        <v>0.35</v>
      </c>
      <c r="CN5811" s="65">
        <v>0.33</v>
      </c>
      <c r="CQ5811" s="65" t="s">
        <v>6894</v>
      </c>
      <c r="DB5811" s="65">
        <v>0.34</v>
      </c>
      <c r="DC5811" s="65">
        <v>0.16</v>
      </c>
      <c r="DF5811" s="65" t="s">
        <v>165</v>
      </c>
      <c r="GP5811" s="292" t="s">
        <v>7494</v>
      </c>
    </row>
    <row r="5812" spans="1:279" x14ac:dyDescent="0.25">
      <c r="A5812" s="55">
        <v>5811</v>
      </c>
      <c r="B5812" s="12" t="s">
        <v>7067</v>
      </c>
      <c r="C5812" s="155" t="s">
        <v>6889</v>
      </c>
      <c r="D5812" s="55" t="s">
        <v>6890</v>
      </c>
      <c r="E5812" s="90" t="s">
        <v>6409</v>
      </c>
      <c r="G5812" s="55" t="s">
        <v>6468</v>
      </c>
      <c r="H5812" s="55" t="s">
        <v>5888</v>
      </c>
      <c r="I5812" s="55" t="s">
        <v>5864</v>
      </c>
      <c r="J5812" s="55" t="s">
        <v>6627</v>
      </c>
      <c r="K5812" s="55" t="s">
        <v>6892</v>
      </c>
      <c r="L5812" s="55" t="s">
        <v>3377</v>
      </c>
      <c r="M5812" s="90">
        <v>38.840000000000003</v>
      </c>
      <c r="N5812" s="90">
        <v>110.5</v>
      </c>
      <c r="P5812" s="90"/>
      <c r="Q5812" s="55" t="s">
        <v>5573</v>
      </c>
      <c r="S5812" s="90" t="s">
        <v>6891</v>
      </c>
      <c r="U5812" s="55" t="s">
        <v>1805</v>
      </c>
      <c r="V5812" s="55" t="s">
        <v>1682</v>
      </c>
      <c r="AO5812" s="185" t="s">
        <v>5150</v>
      </c>
      <c r="AR5812" s="55" t="s">
        <v>3646</v>
      </c>
      <c r="AS5812" s="55" t="s">
        <v>227</v>
      </c>
      <c r="AU5812" s="181" t="s">
        <v>7494</v>
      </c>
      <c r="AV5812" s="185" t="s">
        <v>176</v>
      </c>
      <c r="AX5812" s="185" t="s">
        <v>176</v>
      </c>
      <c r="AZ5812" s="55" t="s">
        <v>2081</v>
      </c>
      <c r="BK5812" s="55" t="s">
        <v>6504</v>
      </c>
      <c r="BN5812" s="55" t="s">
        <v>1805</v>
      </c>
      <c r="BO5812" s="55" t="s">
        <v>1805</v>
      </c>
      <c r="CB5812" s="66">
        <v>1120</v>
      </c>
      <c r="CC5812" s="66">
        <v>753.37</v>
      </c>
      <c r="CG5812" s="65" t="s">
        <v>178</v>
      </c>
      <c r="CM5812" s="65">
        <v>0.35</v>
      </c>
      <c r="CN5812" s="65">
        <v>0.43</v>
      </c>
      <c r="CQ5812" s="65" t="s">
        <v>6894</v>
      </c>
      <c r="DB5812" s="65">
        <v>0.34</v>
      </c>
      <c r="DC5812" s="65">
        <v>0.2</v>
      </c>
      <c r="DF5812" s="65" t="s">
        <v>165</v>
      </c>
      <c r="GP5812" s="292" t="s">
        <v>7494</v>
      </c>
    </row>
    <row r="5813" spans="1:279" x14ac:dyDescent="0.25">
      <c r="A5813" s="55">
        <v>5812</v>
      </c>
      <c r="B5813" s="12" t="s">
        <v>7067</v>
      </c>
      <c r="C5813" s="155" t="s">
        <v>6889</v>
      </c>
      <c r="D5813" s="55" t="s">
        <v>6890</v>
      </c>
      <c r="E5813" s="90" t="s">
        <v>6409</v>
      </c>
      <c r="G5813" s="55" t="s">
        <v>6468</v>
      </c>
      <c r="H5813" s="55" t="s">
        <v>5888</v>
      </c>
      <c r="I5813" s="55" t="s">
        <v>5532</v>
      </c>
      <c r="J5813" s="55" t="s">
        <v>6627</v>
      </c>
      <c r="K5813" s="55" t="s">
        <v>6892</v>
      </c>
      <c r="L5813" s="55" t="s">
        <v>3377</v>
      </c>
      <c r="M5813" s="90">
        <v>38.840000000000003</v>
      </c>
      <c r="N5813" s="90">
        <v>110.5</v>
      </c>
      <c r="P5813" s="90"/>
      <c r="Q5813" s="55" t="s">
        <v>5573</v>
      </c>
      <c r="S5813" s="90" t="s">
        <v>6891</v>
      </c>
      <c r="U5813" s="55" t="s">
        <v>1688</v>
      </c>
      <c r="V5813" s="55" t="s">
        <v>1682</v>
      </c>
      <c r="AO5813" s="185" t="s">
        <v>5150</v>
      </c>
      <c r="AR5813" s="55" t="s">
        <v>3646</v>
      </c>
      <c r="AS5813" s="55" t="s">
        <v>227</v>
      </c>
      <c r="AU5813" s="181" t="s">
        <v>7494</v>
      </c>
      <c r="AV5813" s="185" t="s">
        <v>176</v>
      </c>
      <c r="AX5813" s="185" t="s">
        <v>176</v>
      </c>
      <c r="AZ5813" s="55" t="s">
        <v>2081</v>
      </c>
      <c r="BA5813" s="55" t="s">
        <v>2082</v>
      </c>
      <c r="BK5813" s="55" t="s">
        <v>2082</v>
      </c>
      <c r="BN5813" s="55" t="s">
        <v>1805</v>
      </c>
      <c r="BO5813" s="55" t="s">
        <v>1805</v>
      </c>
      <c r="CB5813" s="66">
        <v>1220</v>
      </c>
      <c r="CC5813" s="66">
        <v>1150</v>
      </c>
      <c r="CG5813" s="65" t="s">
        <v>178</v>
      </c>
      <c r="CM5813" s="65">
        <v>0.52</v>
      </c>
      <c r="CN5813" s="65">
        <v>0.6</v>
      </c>
      <c r="CQ5813" s="65" t="s">
        <v>6894</v>
      </c>
      <c r="DB5813" s="65">
        <v>0.43</v>
      </c>
      <c r="DC5813" s="65">
        <v>0.21</v>
      </c>
      <c r="DF5813" s="65" t="s">
        <v>165</v>
      </c>
      <c r="GP5813" s="292" t="s">
        <v>7494</v>
      </c>
    </row>
    <row r="5814" spans="1:279" x14ac:dyDescent="0.25">
      <c r="A5814" s="55">
        <v>5813</v>
      </c>
      <c r="B5814" s="12" t="s">
        <v>7067</v>
      </c>
      <c r="C5814" s="155" t="s">
        <v>6889</v>
      </c>
      <c r="D5814" s="55" t="s">
        <v>6890</v>
      </c>
      <c r="E5814" s="90" t="s">
        <v>6409</v>
      </c>
      <c r="G5814" s="55" t="s">
        <v>6468</v>
      </c>
      <c r="H5814" s="55" t="s">
        <v>5888</v>
      </c>
      <c r="I5814" s="55" t="s">
        <v>5532</v>
      </c>
      <c r="J5814" s="55" t="s">
        <v>6627</v>
      </c>
      <c r="K5814" s="55" t="s">
        <v>6892</v>
      </c>
      <c r="L5814" s="55" t="s">
        <v>3377</v>
      </c>
      <c r="M5814" s="90">
        <v>38.840000000000003</v>
      </c>
      <c r="N5814" s="90">
        <v>110.5</v>
      </c>
      <c r="P5814" s="90"/>
      <c r="Q5814" s="55" t="s">
        <v>5573</v>
      </c>
      <c r="S5814" s="90" t="s">
        <v>6891</v>
      </c>
      <c r="U5814" s="55" t="s">
        <v>1688</v>
      </c>
      <c r="V5814" s="55" t="s">
        <v>1682</v>
      </c>
      <c r="AO5814" s="185" t="s">
        <v>5150</v>
      </c>
      <c r="AR5814" s="55" t="s">
        <v>3646</v>
      </c>
      <c r="AS5814" s="55" t="s">
        <v>227</v>
      </c>
      <c r="AU5814" s="181" t="s">
        <v>7494</v>
      </c>
      <c r="AV5814" s="185" t="s">
        <v>176</v>
      </c>
      <c r="AX5814" s="185" t="s">
        <v>176</v>
      </c>
      <c r="AZ5814" s="55" t="s">
        <v>2081</v>
      </c>
      <c r="BK5814" s="55" t="s">
        <v>5981</v>
      </c>
      <c r="BN5814" s="55" t="s">
        <v>1805</v>
      </c>
      <c r="BO5814" s="55" t="s">
        <v>1805</v>
      </c>
      <c r="CB5814" s="66">
        <v>1220</v>
      </c>
      <c r="CC5814" s="66">
        <v>1220</v>
      </c>
      <c r="CG5814" s="65" t="s">
        <v>178</v>
      </c>
      <c r="CM5814" s="65">
        <v>0.52</v>
      </c>
      <c r="CN5814" s="65">
        <v>0.53</v>
      </c>
      <c r="CQ5814" s="65" t="s">
        <v>6894</v>
      </c>
      <c r="DB5814" s="65">
        <v>0.43</v>
      </c>
      <c r="DC5814" s="65">
        <v>0.27</v>
      </c>
      <c r="DF5814" s="65" t="s">
        <v>165</v>
      </c>
      <c r="GP5814" s="292" t="s">
        <v>7494</v>
      </c>
    </row>
    <row r="5815" spans="1:279" x14ac:dyDescent="0.25">
      <c r="A5815" s="55">
        <v>5814</v>
      </c>
      <c r="B5815" s="12" t="s">
        <v>7067</v>
      </c>
      <c r="C5815" s="155" t="s">
        <v>6889</v>
      </c>
      <c r="D5815" s="55" t="s">
        <v>6890</v>
      </c>
      <c r="E5815" s="90" t="s">
        <v>6409</v>
      </c>
      <c r="G5815" s="55" t="s">
        <v>6468</v>
      </c>
      <c r="H5815" s="55" t="s">
        <v>5888</v>
      </c>
      <c r="I5815" s="55" t="s">
        <v>5532</v>
      </c>
      <c r="J5815" s="55" t="s">
        <v>6627</v>
      </c>
      <c r="K5815" s="55" t="s">
        <v>6892</v>
      </c>
      <c r="L5815" s="55" t="s">
        <v>3377</v>
      </c>
      <c r="M5815" s="90">
        <v>38.840000000000003</v>
      </c>
      <c r="N5815" s="90">
        <v>110.5</v>
      </c>
      <c r="P5815" s="90"/>
      <c r="Q5815" s="55" t="s">
        <v>5573</v>
      </c>
      <c r="S5815" s="90" t="s">
        <v>6891</v>
      </c>
      <c r="U5815" s="55" t="s">
        <v>1688</v>
      </c>
      <c r="V5815" s="55" t="s">
        <v>1682</v>
      </c>
      <c r="AO5815" s="185" t="s">
        <v>5150</v>
      </c>
      <c r="AR5815" s="55" t="s">
        <v>3646</v>
      </c>
      <c r="AS5815" s="55" t="s">
        <v>227</v>
      </c>
      <c r="AU5815" s="181" t="s">
        <v>7494</v>
      </c>
      <c r="AV5815" s="185" t="s">
        <v>176</v>
      </c>
      <c r="AX5815" s="185" t="s">
        <v>176</v>
      </c>
      <c r="AZ5815" s="55" t="s">
        <v>2081</v>
      </c>
      <c r="BK5815" s="55" t="s">
        <v>6503</v>
      </c>
      <c r="BN5815" s="55" t="s">
        <v>1805</v>
      </c>
      <c r="BO5815" s="55" t="s">
        <v>1805</v>
      </c>
      <c r="CB5815" s="66">
        <v>1220</v>
      </c>
      <c r="CC5815" s="66">
        <v>1300</v>
      </c>
      <c r="CG5815" s="65" t="s">
        <v>178</v>
      </c>
      <c r="CM5815" s="65">
        <v>0.52</v>
      </c>
      <c r="CN5815" s="65">
        <v>0.48</v>
      </c>
      <c r="CQ5815" s="65" t="s">
        <v>6894</v>
      </c>
      <c r="DB5815" s="65">
        <v>0.43</v>
      </c>
      <c r="DC5815" s="65">
        <v>0.43</v>
      </c>
      <c r="DF5815" s="65" t="s">
        <v>165</v>
      </c>
      <c r="GP5815" s="292" t="s">
        <v>7494</v>
      </c>
    </row>
    <row r="5816" spans="1:279" x14ac:dyDescent="0.25">
      <c r="A5816" s="55">
        <v>5815</v>
      </c>
      <c r="B5816" s="12" t="s">
        <v>7067</v>
      </c>
      <c r="C5816" s="155" t="s">
        <v>6889</v>
      </c>
      <c r="D5816" s="55" t="s">
        <v>6890</v>
      </c>
      <c r="E5816" s="90" t="s">
        <v>6409</v>
      </c>
      <c r="G5816" s="55" t="s">
        <v>6468</v>
      </c>
      <c r="H5816" s="55" t="s">
        <v>5888</v>
      </c>
      <c r="I5816" s="55" t="s">
        <v>5532</v>
      </c>
      <c r="J5816" s="55" t="s">
        <v>6627</v>
      </c>
      <c r="K5816" s="55" t="s">
        <v>6892</v>
      </c>
      <c r="L5816" s="55" t="s">
        <v>3377</v>
      </c>
      <c r="M5816" s="90">
        <v>38.840000000000003</v>
      </c>
      <c r="N5816" s="90">
        <v>110.5</v>
      </c>
      <c r="P5816" s="90"/>
      <c r="Q5816" s="55" t="s">
        <v>5573</v>
      </c>
      <c r="S5816" s="90" t="s">
        <v>6891</v>
      </c>
      <c r="U5816" s="55" t="s">
        <v>1688</v>
      </c>
      <c r="V5816" s="55" t="s">
        <v>1682</v>
      </c>
      <c r="AO5816" s="185" t="s">
        <v>5150</v>
      </c>
      <c r="AR5816" s="55" t="s">
        <v>3646</v>
      </c>
      <c r="AS5816" s="55" t="s">
        <v>227</v>
      </c>
      <c r="AU5816" s="181" t="s">
        <v>7494</v>
      </c>
      <c r="AV5816" s="185" t="s">
        <v>176</v>
      </c>
      <c r="AX5816" s="185" t="s">
        <v>176</v>
      </c>
      <c r="AZ5816" s="55" t="s">
        <v>2081</v>
      </c>
      <c r="BK5816" s="55" t="s">
        <v>6502</v>
      </c>
      <c r="BN5816" s="55" t="s">
        <v>1805</v>
      </c>
      <c r="BO5816" s="55" t="s">
        <v>1805</v>
      </c>
      <c r="CB5816" s="66">
        <v>1220</v>
      </c>
      <c r="CC5816" s="66">
        <v>1600</v>
      </c>
      <c r="CG5816" s="65" t="s">
        <v>178</v>
      </c>
      <c r="CM5816" s="65">
        <v>0.52</v>
      </c>
      <c r="CN5816" s="65">
        <v>0.42</v>
      </c>
      <c r="CQ5816" s="65" t="s">
        <v>6894</v>
      </c>
      <c r="DB5816" s="65">
        <v>0.43</v>
      </c>
      <c r="DC5816" s="65">
        <v>0.31</v>
      </c>
      <c r="DF5816" s="65" t="s">
        <v>165</v>
      </c>
      <c r="GP5816" s="292" t="s">
        <v>7494</v>
      </c>
    </row>
    <row r="5817" spans="1:279" x14ac:dyDescent="0.25">
      <c r="A5817" s="55">
        <v>5816</v>
      </c>
      <c r="B5817" s="12" t="s">
        <v>7067</v>
      </c>
      <c r="C5817" s="155" t="s">
        <v>6889</v>
      </c>
      <c r="D5817" s="55" t="s">
        <v>6890</v>
      </c>
      <c r="E5817" s="90" t="s">
        <v>6409</v>
      </c>
      <c r="G5817" s="55" t="s">
        <v>6468</v>
      </c>
      <c r="H5817" s="55" t="s">
        <v>5888</v>
      </c>
      <c r="I5817" s="55" t="s">
        <v>5532</v>
      </c>
      <c r="J5817" s="55" t="s">
        <v>6627</v>
      </c>
      <c r="K5817" s="55" t="s">
        <v>6892</v>
      </c>
      <c r="L5817" s="55" t="s">
        <v>3377</v>
      </c>
      <c r="M5817" s="90">
        <v>38.840000000000003</v>
      </c>
      <c r="N5817" s="90">
        <v>110.5</v>
      </c>
      <c r="P5817" s="90"/>
      <c r="Q5817" s="55" t="s">
        <v>5573</v>
      </c>
      <c r="S5817" s="90" t="s">
        <v>6891</v>
      </c>
      <c r="U5817" s="55" t="s">
        <v>1688</v>
      </c>
      <c r="V5817" s="55" t="s">
        <v>1682</v>
      </c>
      <c r="AO5817" s="185" t="s">
        <v>5150</v>
      </c>
      <c r="AR5817" s="55" t="s">
        <v>3646</v>
      </c>
      <c r="AS5817" s="55" t="s">
        <v>227</v>
      </c>
      <c r="AU5817" s="181" t="s">
        <v>7494</v>
      </c>
      <c r="AV5817" s="185" t="s">
        <v>176</v>
      </c>
      <c r="AX5817" s="185" t="s">
        <v>176</v>
      </c>
      <c r="AZ5817" s="55" t="s">
        <v>2081</v>
      </c>
      <c r="BK5817" s="55" t="s">
        <v>6504</v>
      </c>
      <c r="BN5817" s="55" t="s">
        <v>1805</v>
      </c>
      <c r="BO5817" s="55" t="s">
        <v>1805</v>
      </c>
      <c r="CB5817" s="66">
        <v>1220</v>
      </c>
      <c r="CC5817" s="66">
        <v>216.63</v>
      </c>
      <c r="CG5817" s="65" t="s">
        <v>178</v>
      </c>
      <c r="CM5817" s="65">
        <v>0.52</v>
      </c>
      <c r="CN5817" s="65">
        <v>0.52</v>
      </c>
      <c r="CQ5817" s="65" t="s">
        <v>6894</v>
      </c>
      <c r="DB5817" s="65">
        <v>0.43</v>
      </c>
      <c r="DC5817" s="65">
        <v>0.39</v>
      </c>
      <c r="DF5817" s="65" t="s">
        <v>165</v>
      </c>
      <c r="GP5817" s="292" t="s">
        <v>7494</v>
      </c>
    </row>
    <row r="5818" spans="1:279" x14ac:dyDescent="0.25">
      <c r="A5818" s="55">
        <v>5817</v>
      </c>
      <c r="B5818" s="12" t="s">
        <v>7067</v>
      </c>
      <c r="C5818" s="155" t="s">
        <v>6889</v>
      </c>
      <c r="D5818" s="55" t="s">
        <v>6890</v>
      </c>
      <c r="E5818" s="90" t="s">
        <v>6409</v>
      </c>
      <c r="G5818" s="55" t="s">
        <v>6468</v>
      </c>
      <c r="H5818" s="55" t="s">
        <v>5888</v>
      </c>
      <c r="I5818" s="55" t="s">
        <v>6434</v>
      </c>
      <c r="J5818" s="55" t="s">
        <v>6627</v>
      </c>
      <c r="K5818" s="55" t="s">
        <v>6892</v>
      </c>
      <c r="L5818" s="55" t="s">
        <v>3377</v>
      </c>
      <c r="M5818" s="90">
        <v>38.840000000000003</v>
      </c>
      <c r="N5818" s="90">
        <v>110.5</v>
      </c>
      <c r="P5818" s="90"/>
      <c r="Q5818" s="55" t="s">
        <v>5573</v>
      </c>
      <c r="S5818" s="90" t="s">
        <v>6891</v>
      </c>
      <c r="U5818" s="55" t="s">
        <v>1816</v>
      </c>
      <c r="V5818" s="55" t="s">
        <v>1682</v>
      </c>
      <c r="AO5818" s="185" t="s">
        <v>5150</v>
      </c>
      <c r="AR5818" s="55" t="s">
        <v>3646</v>
      </c>
      <c r="AS5818" s="55" t="s">
        <v>227</v>
      </c>
      <c r="AU5818" s="181" t="s">
        <v>7494</v>
      </c>
      <c r="AV5818" s="185" t="s">
        <v>176</v>
      </c>
      <c r="AX5818" s="185" t="s">
        <v>176</v>
      </c>
      <c r="AZ5818" s="55" t="s">
        <v>2081</v>
      </c>
      <c r="BA5818" s="55" t="s">
        <v>2082</v>
      </c>
      <c r="BK5818" s="55" t="s">
        <v>2082</v>
      </c>
      <c r="BN5818" s="55" t="s">
        <v>1805</v>
      </c>
      <c r="BO5818" s="55" t="s">
        <v>1805</v>
      </c>
      <c r="CB5818" s="66">
        <v>908</v>
      </c>
      <c r="CC5818" s="66">
        <v>916.2</v>
      </c>
      <c r="CG5818" s="65" t="s">
        <v>178</v>
      </c>
      <c r="CM5818" s="65">
        <v>0.73</v>
      </c>
      <c r="CN5818" s="65">
        <v>0.42</v>
      </c>
      <c r="CQ5818" s="65" t="s">
        <v>6894</v>
      </c>
      <c r="DB5818" s="65">
        <v>0.18</v>
      </c>
      <c r="DC5818" s="65">
        <v>0.14000000000000001</v>
      </c>
      <c r="DF5818" s="65" t="s">
        <v>165</v>
      </c>
      <c r="GP5818" s="292" t="s">
        <v>7494</v>
      </c>
    </row>
    <row r="5819" spans="1:279" x14ac:dyDescent="0.25">
      <c r="A5819" s="55">
        <v>5818</v>
      </c>
      <c r="B5819" s="12" t="s">
        <v>7067</v>
      </c>
      <c r="C5819" s="155" t="s">
        <v>6889</v>
      </c>
      <c r="D5819" s="55" t="s">
        <v>6890</v>
      </c>
      <c r="E5819" s="90" t="s">
        <v>6409</v>
      </c>
      <c r="G5819" s="55" t="s">
        <v>6468</v>
      </c>
      <c r="H5819" s="55" t="s">
        <v>5888</v>
      </c>
      <c r="I5819" s="55" t="s">
        <v>6434</v>
      </c>
      <c r="J5819" s="55" t="s">
        <v>6627</v>
      </c>
      <c r="K5819" s="55" t="s">
        <v>6892</v>
      </c>
      <c r="L5819" s="55" t="s">
        <v>3377</v>
      </c>
      <c r="M5819" s="90">
        <v>38.840000000000003</v>
      </c>
      <c r="N5819" s="90">
        <v>110.5</v>
      </c>
      <c r="P5819" s="90"/>
      <c r="Q5819" s="55" t="s">
        <v>5573</v>
      </c>
      <c r="S5819" s="90" t="s">
        <v>6891</v>
      </c>
      <c r="U5819" s="55" t="s">
        <v>1816</v>
      </c>
      <c r="V5819" s="55" t="s">
        <v>1682</v>
      </c>
      <c r="AO5819" s="185" t="s">
        <v>5150</v>
      </c>
      <c r="AR5819" s="55" t="s">
        <v>3646</v>
      </c>
      <c r="AS5819" s="55" t="s">
        <v>227</v>
      </c>
      <c r="AU5819" s="181" t="s">
        <v>7494</v>
      </c>
      <c r="AV5819" s="185" t="s">
        <v>176</v>
      </c>
      <c r="AX5819" s="185" t="s">
        <v>176</v>
      </c>
      <c r="AZ5819" s="55" t="s">
        <v>2081</v>
      </c>
      <c r="BK5819" s="55" t="s">
        <v>5981</v>
      </c>
      <c r="BN5819" s="55" t="s">
        <v>1805</v>
      </c>
      <c r="BO5819" s="55" t="s">
        <v>1805</v>
      </c>
      <c r="CB5819" s="66">
        <v>908</v>
      </c>
      <c r="CC5819" s="66">
        <v>1050</v>
      </c>
      <c r="CG5819" s="65" t="s">
        <v>178</v>
      </c>
      <c r="CM5819" s="65">
        <v>0.73</v>
      </c>
      <c r="CN5819" s="65">
        <v>0.41</v>
      </c>
      <c r="CQ5819" s="65" t="s">
        <v>6894</v>
      </c>
      <c r="DB5819" s="65">
        <v>0.18</v>
      </c>
      <c r="DC5819" s="65">
        <v>0.17</v>
      </c>
      <c r="DF5819" s="65" t="s">
        <v>165</v>
      </c>
      <c r="GP5819" s="292" t="s">
        <v>7494</v>
      </c>
    </row>
    <row r="5820" spans="1:279" x14ac:dyDescent="0.25">
      <c r="A5820" s="55">
        <v>5819</v>
      </c>
      <c r="B5820" s="12" t="s">
        <v>7067</v>
      </c>
      <c r="C5820" s="155" t="s">
        <v>6889</v>
      </c>
      <c r="D5820" s="55" t="s">
        <v>6890</v>
      </c>
      <c r="E5820" s="90" t="s">
        <v>6409</v>
      </c>
      <c r="G5820" s="55" t="s">
        <v>6468</v>
      </c>
      <c r="H5820" s="55" t="s">
        <v>5888</v>
      </c>
      <c r="I5820" s="55" t="s">
        <v>6434</v>
      </c>
      <c r="J5820" s="55" t="s">
        <v>6627</v>
      </c>
      <c r="K5820" s="55" t="s">
        <v>6892</v>
      </c>
      <c r="L5820" s="55" t="s">
        <v>3377</v>
      </c>
      <c r="M5820" s="90">
        <v>38.840000000000003</v>
      </c>
      <c r="N5820" s="90">
        <v>110.5</v>
      </c>
      <c r="P5820" s="90"/>
      <c r="Q5820" s="55" t="s">
        <v>5573</v>
      </c>
      <c r="S5820" s="90" t="s">
        <v>6891</v>
      </c>
      <c r="U5820" s="55" t="s">
        <v>1816</v>
      </c>
      <c r="V5820" s="55" t="s">
        <v>1682</v>
      </c>
      <c r="AO5820" s="185" t="s">
        <v>5150</v>
      </c>
      <c r="AR5820" s="55" t="s">
        <v>3646</v>
      </c>
      <c r="AS5820" s="55" t="s">
        <v>227</v>
      </c>
      <c r="AU5820" s="181" t="s">
        <v>7494</v>
      </c>
      <c r="AV5820" s="185" t="s">
        <v>176</v>
      </c>
      <c r="AX5820" s="185" t="s">
        <v>176</v>
      </c>
      <c r="AZ5820" s="55" t="s">
        <v>2081</v>
      </c>
      <c r="BK5820" s="55" t="s">
        <v>6503</v>
      </c>
      <c r="BN5820" s="55" t="s">
        <v>1805</v>
      </c>
      <c r="BO5820" s="55" t="s">
        <v>1805</v>
      </c>
      <c r="CB5820" s="66">
        <v>908</v>
      </c>
      <c r="CC5820" s="66">
        <v>1190</v>
      </c>
      <c r="CG5820" s="65" t="s">
        <v>178</v>
      </c>
      <c r="CM5820" s="65">
        <v>0.73</v>
      </c>
      <c r="CN5820" s="65">
        <v>0.43</v>
      </c>
      <c r="CQ5820" s="65" t="s">
        <v>6894</v>
      </c>
      <c r="DB5820" s="65">
        <v>0.18</v>
      </c>
      <c r="DC5820" s="65">
        <v>0.15</v>
      </c>
      <c r="DF5820" s="65" t="s">
        <v>165</v>
      </c>
      <c r="GP5820" s="292" t="s">
        <v>7494</v>
      </c>
    </row>
    <row r="5821" spans="1:279" x14ac:dyDescent="0.25">
      <c r="A5821" s="55">
        <v>5820</v>
      </c>
      <c r="B5821" s="12" t="s">
        <v>7067</v>
      </c>
      <c r="C5821" s="155" t="s">
        <v>6889</v>
      </c>
      <c r="D5821" s="55" t="s">
        <v>6890</v>
      </c>
      <c r="E5821" s="90" t="s">
        <v>6409</v>
      </c>
      <c r="G5821" s="55" t="s">
        <v>6468</v>
      </c>
      <c r="H5821" s="55" t="s">
        <v>5888</v>
      </c>
      <c r="I5821" s="55" t="s">
        <v>6434</v>
      </c>
      <c r="J5821" s="55" t="s">
        <v>6627</v>
      </c>
      <c r="K5821" s="55" t="s">
        <v>6892</v>
      </c>
      <c r="L5821" s="55" t="s">
        <v>3377</v>
      </c>
      <c r="M5821" s="90">
        <v>38.840000000000003</v>
      </c>
      <c r="N5821" s="90">
        <v>110.5</v>
      </c>
      <c r="P5821" s="90"/>
      <c r="Q5821" s="55" t="s">
        <v>5573</v>
      </c>
      <c r="S5821" s="90" t="s">
        <v>6891</v>
      </c>
      <c r="U5821" s="55" t="s">
        <v>1816</v>
      </c>
      <c r="V5821" s="55" t="s">
        <v>1682</v>
      </c>
      <c r="AO5821" s="185" t="s">
        <v>5150</v>
      </c>
      <c r="AR5821" s="55" t="s">
        <v>3646</v>
      </c>
      <c r="AS5821" s="55" t="s">
        <v>227</v>
      </c>
      <c r="AU5821" s="181" t="s">
        <v>7494</v>
      </c>
      <c r="AV5821" s="185" t="s">
        <v>176</v>
      </c>
      <c r="AX5821" s="185" t="s">
        <v>176</v>
      </c>
      <c r="AZ5821" s="55" t="s">
        <v>2081</v>
      </c>
      <c r="BK5821" s="55" t="s">
        <v>6502</v>
      </c>
      <c r="BN5821" s="55" t="s">
        <v>1805</v>
      </c>
      <c r="BO5821" s="55" t="s">
        <v>1805</v>
      </c>
      <c r="CB5821" s="66">
        <v>908</v>
      </c>
      <c r="CC5821" s="66">
        <v>1590</v>
      </c>
      <c r="CG5821" s="65" t="s">
        <v>178</v>
      </c>
      <c r="CM5821" s="65">
        <v>0.73</v>
      </c>
      <c r="CN5821" s="65">
        <v>0.35</v>
      </c>
      <c r="CQ5821" s="65" t="s">
        <v>6894</v>
      </c>
      <c r="DB5821" s="65">
        <v>0.18</v>
      </c>
      <c r="DC5821" s="65">
        <v>9.7600000000000006E-2</v>
      </c>
      <c r="DF5821" s="65" t="s">
        <v>165</v>
      </c>
      <c r="GP5821" s="292" t="s">
        <v>7494</v>
      </c>
    </row>
    <row r="5822" spans="1:279" x14ac:dyDescent="0.25">
      <c r="A5822" s="55">
        <v>5821</v>
      </c>
      <c r="B5822" s="12" t="s">
        <v>7067</v>
      </c>
      <c r="C5822" s="155" t="s">
        <v>6889</v>
      </c>
      <c r="D5822" s="55" t="s">
        <v>6890</v>
      </c>
      <c r="E5822" s="90" t="s">
        <v>6409</v>
      </c>
      <c r="G5822" s="55" t="s">
        <v>6468</v>
      </c>
      <c r="H5822" s="55" t="s">
        <v>5888</v>
      </c>
      <c r="I5822" s="55" t="s">
        <v>6434</v>
      </c>
      <c r="J5822" s="55" t="s">
        <v>6627</v>
      </c>
      <c r="K5822" s="55" t="s">
        <v>6892</v>
      </c>
      <c r="L5822" s="55" t="s">
        <v>3377</v>
      </c>
      <c r="M5822" s="90">
        <v>38.840000000000003</v>
      </c>
      <c r="N5822" s="90">
        <v>110.5</v>
      </c>
      <c r="P5822" s="90"/>
      <c r="Q5822" s="55" t="s">
        <v>5573</v>
      </c>
      <c r="S5822" s="90" t="s">
        <v>6891</v>
      </c>
      <c r="U5822" s="55" t="s">
        <v>1816</v>
      </c>
      <c r="V5822" s="55" t="s">
        <v>1682</v>
      </c>
      <c r="AO5822" s="185" t="s">
        <v>5150</v>
      </c>
      <c r="AR5822" s="55" t="s">
        <v>3646</v>
      </c>
      <c r="AS5822" s="55" t="s">
        <v>227</v>
      </c>
      <c r="AU5822" s="181" t="s">
        <v>7494</v>
      </c>
      <c r="AV5822" s="185" t="s">
        <v>176</v>
      </c>
      <c r="AX5822" s="185" t="s">
        <v>176</v>
      </c>
      <c r="AZ5822" s="55" t="s">
        <v>2081</v>
      </c>
      <c r="BK5822" s="55" t="s">
        <v>6504</v>
      </c>
      <c r="BN5822" s="55" t="s">
        <v>1805</v>
      </c>
      <c r="BO5822" s="55" t="s">
        <v>1805</v>
      </c>
      <c r="CB5822" s="66">
        <v>908</v>
      </c>
      <c r="CC5822" s="66">
        <v>870.4</v>
      </c>
      <c r="CG5822" s="65" t="s">
        <v>178</v>
      </c>
      <c r="CM5822" s="65">
        <v>0.73</v>
      </c>
      <c r="CN5822" s="65">
        <v>0.47</v>
      </c>
      <c r="CQ5822" s="65" t="s">
        <v>6894</v>
      </c>
      <c r="DB5822" s="65">
        <v>0.18</v>
      </c>
      <c r="DC5822" s="65">
        <v>0.17</v>
      </c>
      <c r="DF5822" s="65" t="s">
        <v>165</v>
      </c>
      <c r="GP5822" s="292" t="s">
        <v>7494</v>
      </c>
    </row>
    <row r="5823" spans="1:279" x14ac:dyDescent="0.25">
      <c r="A5823" s="55">
        <v>5822</v>
      </c>
      <c r="B5823" s="12" t="s">
        <v>7067</v>
      </c>
      <c r="C5823" s="155" t="s">
        <v>6895</v>
      </c>
      <c r="D5823" s="55" t="s">
        <v>6896</v>
      </c>
      <c r="E5823" s="90" t="s">
        <v>1105</v>
      </c>
      <c r="G5823" s="55" t="s">
        <v>4424</v>
      </c>
      <c r="H5823" s="55" t="s">
        <v>5599</v>
      </c>
      <c r="I5823" s="55" t="s">
        <v>2847</v>
      </c>
      <c r="J5823" s="55" t="s">
        <v>6897</v>
      </c>
      <c r="K5823" s="55" t="s">
        <v>6898</v>
      </c>
      <c r="L5823" s="55" t="s">
        <v>3377</v>
      </c>
      <c r="M5823" s="90">
        <f>31+16/60</f>
        <v>31.266666666666666</v>
      </c>
      <c r="N5823" s="90">
        <f>105+27/60</f>
        <v>105.45</v>
      </c>
      <c r="U5823" s="55" t="s">
        <v>1935</v>
      </c>
      <c r="V5823" s="55" t="s">
        <v>1935</v>
      </c>
      <c r="AO5823" s="185" t="s">
        <v>7494</v>
      </c>
      <c r="AR5823" s="55" t="s">
        <v>132</v>
      </c>
      <c r="AS5823" s="55" t="s">
        <v>132</v>
      </c>
      <c r="AU5823" s="181" t="s">
        <v>7494</v>
      </c>
      <c r="AV5823" s="185" t="s">
        <v>176</v>
      </c>
      <c r="AX5823" s="185" t="s">
        <v>176</v>
      </c>
      <c r="AZ5823" s="55" t="s">
        <v>2081</v>
      </c>
      <c r="BK5823" s="55" t="s">
        <v>6502</v>
      </c>
      <c r="BL5823" s="55" t="s">
        <v>6902</v>
      </c>
      <c r="CB5823" s="66">
        <v>13800</v>
      </c>
      <c r="CC5823" s="66">
        <v>13807</v>
      </c>
      <c r="CG5823" s="65" t="s">
        <v>178</v>
      </c>
      <c r="FJ5823" s="65">
        <v>8.6</v>
      </c>
      <c r="FK5823" s="65">
        <v>2.8</v>
      </c>
      <c r="FN5823" s="65" t="s">
        <v>206</v>
      </c>
      <c r="GP5823" s="292" t="s">
        <v>7494</v>
      </c>
      <c r="JS5823" s="65" t="s">
        <v>6887</v>
      </c>
    </row>
    <row r="5824" spans="1:279" x14ac:dyDescent="0.25">
      <c r="A5824" s="55">
        <v>5823</v>
      </c>
      <c r="B5824" s="12" t="s">
        <v>7067</v>
      </c>
      <c r="C5824" s="155" t="s">
        <v>6895</v>
      </c>
      <c r="D5824" s="55" t="s">
        <v>6899</v>
      </c>
      <c r="E5824" s="90" t="s">
        <v>1105</v>
      </c>
      <c r="G5824" s="55" t="s">
        <v>4424</v>
      </c>
      <c r="H5824" s="55" t="s">
        <v>5599</v>
      </c>
      <c r="I5824" s="55" t="s">
        <v>2847</v>
      </c>
      <c r="J5824" s="55" t="s">
        <v>6897</v>
      </c>
      <c r="K5824" s="55" t="s">
        <v>6898</v>
      </c>
      <c r="L5824" s="55" t="s">
        <v>3377</v>
      </c>
      <c r="M5824" s="90">
        <f>31+16/60</f>
        <v>31.266666666666666</v>
      </c>
      <c r="N5824" s="90">
        <f>105+27/60</f>
        <v>105.45</v>
      </c>
      <c r="U5824" s="55" t="s">
        <v>1935</v>
      </c>
      <c r="V5824" s="55" t="s">
        <v>1935</v>
      </c>
      <c r="AO5824" s="185" t="s">
        <v>7494</v>
      </c>
      <c r="AR5824" s="55" t="s">
        <v>132</v>
      </c>
      <c r="AS5824" s="55" t="s">
        <v>132</v>
      </c>
      <c r="AU5824" s="181" t="s">
        <v>7494</v>
      </c>
      <c r="AV5824" s="185" t="s">
        <v>176</v>
      </c>
      <c r="AX5824" s="185" t="s">
        <v>176</v>
      </c>
      <c r="AZ5824" s="55" t="s">
        <v>2081</v>
      </c>
      <c r="BK5824" s="55" t="s">
        <v>6502</v>
      </c>
      <c r="CB5824" s="66">
        <v>13800</v>
      </c>
      <c r="CC5824" s="66">
        <v>13710</v>
      </c>
      <c r="CG5824" s="65" t="s">
        <v>178</v>
      </c>
      <c r="FJ5824" s="65">
        <v>8.6</v>
      </c>
      <c r="FK5824" s="65">
        <v>0.5</v>
      </c>
      <c r="FN5824" s="65" t="s">
        <v>206</v>
      </c>
      <c r="GP5824" s="292" t="s">
        <v>7494</v>
      </c>
      <c r="JS5824" s="65" t="s">
        <v>6887</v>
      </c>
    </row>
    <row r="5825" spans="1:279" x14ac:dyDescent="0.25">
      <c r="A5825" s="55">
        <v>5824</v>
      </c>
      <c r="B5825" s="12" t="s">
        <v>7067</v>
      </c>
      <c r="C5825" s="155" t="s">
        <v>6895</v>
      </c>
      <c r="D5825" s="55" t="s">
        <v>6900</v>
      </c>
      <c r="E5825" s="90" t="s">
        <v>1105</v>
      </c>
      <c r="G5825" s="55" t="s">
        <v>4424</v>
      </c>
      <c r="H5825" s="55" t="s">
        <v>5599</v>
      </c>
      <c r="I5825" s="55" t="s">
        <v>2847</v>
      </c>
      <c r="J5825" s="55" t="s">
        <v>6897</v>
      </c>
      <c r="K5825" s="55" t="s">
        <v>6898</v>
      </c>
      <c r="L5825" s="55" t="s">
        <v>3377</v>
      </c>
      <c r="M5825" s="90">
        <f>31+16/60</f>
        <v>31.266666666666666</v>
      </c>
      <c r="N5825" s="90">
        <f>105+27/60</f>
        <v>105.45</v>
      </c>
      <c r="U5825" s="55" t="s">
        <v>1935</v>
      </c>
      <c r="V5825" s="55" t="s">
        <v>1935</v>
      </c>
      <c r="AO5825" s="185" t="s">
        <v>7494</v>
      </c>
      <c r="AR5825" s="55" t="s">
        <v>132</v>
      </c>
      <c r="AS5825" s="55" t="s">
        <v>132</v>
      </c>
      <c r="AU5825" s="181" t="s">
        <v>7494</v>
      </c>
      <c r="AV5825" s="185" t="s">
        <v>176</v>
      </c>
      <c r="AX5825" s="185" t="s">
        <v>176</v>
      </c>
      <c r="AZ5825" s="55" t="s">
        <v>2081</v>
      </c>
      <c r="BK5825" s="55" t="s">
        <v>6502</v>
      </c>
      <c r="BL5825" s="55" t="s">
        <v>6901</v>
      </c>
      <c r="CB5825" s="66">
        <v>13800</v>
      </c>
      <c r="CC5825" s="66">
        <v>15788</v>
      </c>
      <c r="CG5825" s="65" t="s">
        <v>178</v>
      </c>
      <c r="FJ5825" s="65">
        <v>8.6</v>
      </c>
      <c r="FK5825" s="65">
        <v>0.3</v>
      </c>
      <c r="FN5825" s="65" t="s">
        <v>206</v>
      </c>
      <c r="GP5825" s="292" t="s">
        <v>7494</v>
      </c>
      <c r="JS5825" s="65" t="s">
        <v>6887</v>
      </c>
    </row>
    <row r="5826" spans="1:279" x14ac:dyDescent="0.25">
      <c r="A5826" s="55">
        <v>5825</v>
      </c>
      <c r="B5826" s="12" t="s">
        <v>7067</v>
      </c>
      <c r="C5826" s="155" t="s">
        <v>6895</v>
      </c>
      <c r="D5826" s="55" t="s">
        <v>6896</v>
      </c>
      <c r="E5826" s="90" t="s">
        <v>1105</v>
      </c>
      <c r="G5826" s="55" t="s">
        <v>4424</v>
      </c>
      <c r="H5826" s="55" t="s">
        <v>5599</v>
      </c>
      <c r="I5826" s="55" t="s">
        <v>2847</v>
      </c>
      <c r="J5826" s="55" t="s">
        <v>6897</v>
      </c>
      <c r="K5826" s="55" t="s">
        <v>6898</v>
      </c>
      <c r="L5826" s="55" t="s">
        <v>3377</v>
      </c>
      <c r="M5826" s="90">
        <f>31+16/60</f>
        <v>31.266666666666666</v>
      </c>
      <c r="N5826" s="90">
        <f>105+27/60</f>
        <v>105.45</v>
      </c>
      <c r="U5826" s="55" t="s">
        <v>1935</v>
      </c>
      <c r="V5826" s="55" t="s">
        <v>1935</v>
      </c>
      <c r="AO5826" s="185" t="s">
        <v>7494</v>
      </c>
      <c r="AR5826" s="55" t="s">
        <v>6903</v>
      </c>
      <c r="AS5826" s="55" t="s">
        <v>6407</v>
      </c>
      <c r="AU5826" s="181" t="s">
        <v>7494</v>
      </c>
      <c r="AV5826" s="185" t="s">
        <v>176</v>
      </c>
      <c r="AX5826" s="185" t="s">
        <v>176</v>
      </c>
      <c r="AZ5826" s="55" t="s">
        <v>2081</v>
      </c>
      <c r="BK5826" s="55" t="s">
        <v>6502</v>
      </c>
      <c r="BL5826" s="55" t="s">
        <v>6902</v>
      </c>
      <c r="CB5826" s="66">
        <v>3000</v>
      </c>
      <c r="CC5826" s="66">
        <v>3536</v>
      </c>
      <c r="CG5826" s="65" t="s">
        <v>178</v>
      </c>
      <c r="GP5826" s="292" t="s">
        <v>7494</v>
      </c>
    </row>
    <row r="5827" spans="1:279" x14ac:dyDescent="0.25">
      <c r="A5827" s="55">
        <v>5826</v>
      </c>
      <c r="B5827" s="12" t="s">
        <v>7067</v>
      </c>
      <c r="C5827" s="155" t="s">
        <v>6895</v>
      </c>
      <c r="D5827" s="55" t="s">
        <v>6899</v>
      </c>
      <c r="E5827" s="90" t="s">
        <v>1105</v>
      </c>
      <c r="G5827" s="55" t="s">
        <v>4424</v>
      </c>
      <c r="H5827" s="55" t="s">
        <v>5599</v>
      </c>
      <c r="I5827" s="55" t="s">
        <v>2847</v>
      </c>
      <c r="J5827" s="55" t="s">
        <v>6897</v>
      </c>
      <c r="K5827" s="55" t="s">
        <v>6898</v>
      </c>
      <c r="L5827" s="55" t="s">
        <v>3377</v>
      </c>
      <c r="M5827" s="90">
        <f>31+16/60</f>
        <v>31.266666666666666</v>
      </c>
      <c r="N5827" s="90">
        <f>105+27/60</f>
        <v>105.45</v>
      </c>
      <c r="U5827" s="55" t="s">
        <v>1935</v>
      </c>
      <c r="V5827" s="55" t="s">
        <v>1935</v>
      </c>
      <c r="AO5827" s="185" t="s">
        <v>7494</v>
      </c>
      <c r="AR5827" s="55" t="s">
        <v>6903</v>
      </c>
      <c r="AS5827" s="55" t="s">
        <v>6407</v>
      </c>
      <c r="AU5827" s="181" t="s">
        <v>7494</v>
      </c>
      <c r="AV5827" s="185" t="s">
        <v>176</v>
      </c>
      <c r="AX5827" s="185" t="s">
        <v>176</v>
      </c>
      <c r="AZ5827" s="55" t="s">
        <v>2081</v>
      </c>
      <c r="BK5827" s="55" t="s">
        <v>6502</v>
      </c>
      <c r="CB5827" s="66">
        <v>3000</v>
      </c>
      <c r="CC5827" s="66">
        <v>4000</v>
      </c>
      <c r="CG5827" s="65" t="s">
        <v>178</v>
      </c>
      <c r="GP5827" s="292" t="s">
        <v>7494</v>
      </c>
    </row>
    <row r="5828" spans="1:279" x14ac:dyDescent="0.25">
      <c r="A5828" s="55">
        <v>5827</v>
      </c>
      <c r="B5828" s="12" t="s">
        <v>7067</v>
      </c>
      <c r="C5828" s="155" t="s">
        <v>6895</v>
      </c>
      <c r="D5828" s="55" t="s">
        <v>6900</v>
      </c>
      <c r="E5828" s="90" t="s">
        <v>1105</v>
      </c>
      <c r="G5828" s="55" t="s">
        <v>4424</v>
      </c>
      <c r="H5828" s="55" t="s">
        <v>5599</v>
      </c>
      <c r="I5828" s="55" t="s">
        <v>2847</v>
      </c>
      <c r="J5828" s="55" t="s">
        <v>6897</v>
      </c>
      <c r="K5828" s="55" t="s">
        <v>6898</v>
      </c>
      <c r="L5828" s="55" t="s">
        <v>3377</v>
      </c>
      <c r="M5828" s="90">
        <f>31+16/60</f>
        <v>31.266666666666666</v>
      </c>
      <c r="N5828" s="90">
        <f>105+27/60</f>
        <v>105.45</v>
      </c>
      <c r="U5828" s="55" t="s">
        <v>1935</v>
      </c>
      <c r="V5828" s="55" t="s">
        <v>1935</v>
      </c>
      <c r="AO5828" s="185" t="s">
        <v>7494</v>
      </c>
      <c r="AR5828" s="55" t="s">
        <v>6903</v>
      </c>
      <c r="AS5828" s="55" t="s">
        <v>6407</v>
      </c>
      <c r="AU5828" s="181" t="s">
        <v>7494</v>
      </c>
      <c r="AV5828" s="185" t="s">
        <v>176</v>
      </c>
      <c r="AX5828" s="185" t="s">
        <v>176</v>
      </c>
      <c r="AZ5828" s="55" t="s">
        <v>2081</v>
      </c>
      <c r="BK5828" s="55" t="s">
        <v>6502</v>
      </c>
      <c r="BL5828" s="55" t="s">
        <v>6901</v>
      </c>
      <c r="CB5828" s="66">
        <v>3000</v>
      </c>
      <c r="CC5828" s="66">
        <v>4500</v>
      </c>
      <c r="CG5828" s="65" t="s">
        <v>178</v>
      </c>
      <c r="GP5828" s="292" t="s">
        <v>7494</v>
      </c>
    </row>
    <row r="5829" spans="1:279" x14ac:dyDescent="0.25">
      <c r="A5829" s="55">
        <v>5828</v>
      </c>
      <c r="B5829" s="12" t="s">
        <v>7067</v>
      </c>
      <c r="C5829" s="155" t="s">
        <v>6904</v>
      </c>
      <c r="D5829" s="55" t="s">
        <v>6905</v>
      </c>
      <c r="E5829" s="90" t="s">
        <v>6409</v>
      </c>
      <c r="G5829" s="55" t="s">
        <v>6707</v>
      </c>
      <c r="H5829" s="55" t="s">
        <v>6505</v>
      </c>
      <c r="I5829" s="55" t="s">
        <v>5864</v>
      </c>
      <c r="J5829" s="55" t="s">
        <v>6627</v>
      </c>
      <c r="K5829" s="55" t="s">
        <v>6530</v>
      </c>
      <c r="L5829" s="55" t="s">
        <v>3377</v>
      </c>
      <c r="M5829" s="90">
        <v>35.58</v>
      </c>
      <c r="N5829" s="90">
        <v>104.63</v>
      </c>
      <c r="O5829" s="90">
        <v>2000</v>
      </c>
      <c r="Q5829" s="55" t="s">
        <v>5826</v>
      </c>
      <c r="S5829" s="90" t="s">
        <v>6492</v>
      </c>
      <c r="U5829" s="55" t="s">
        <v>1935</v>
      </c>
      <c r="V5829" s="55" t="s">
        <v>1935</v>
      </c>
      <c r="Z5829" s="55" t="s">
        <v>6915</v>
      </c>
      <c r="AA5829" s="90">
        <v>5</v>
      </c>
      <c r="AD5829" s="90">
        <v>1.17</v>
      </c>
      <c r="AO5829" s="185" t="s">
        <v>7494</v>
      </c>
      <c r="AR5829" s="55" t="s">
        <v>6906</v>
      </c>
      <c r="AS5829" s="55" t="s">
        <v>116</v>
      </c>
      <c r="AU5829" s="181" t="s">
        <v>7494</v>
      </c>
      <c r="AV5829" s="185" t="s">
        <v>176</v>
      </c>
      <c r="AX5829" s="185" t="s">
        <v>176</v>
      </c>
      <c r="AZ5829" s="55" t="s">
        <v>2081</v>
      </c>
      <c r="BA5829" s="55" t="s">
        <v>2082</v>
      </c>
      <c r="BK5829" s="55" t="s">
        <v>2082</v>
      </c>
      <c r="BN5829" s="55" t="s">
        <v>1688</v>
      </c>
      <c r="BO5829" s="55" t="s">
        <v>1688</v>
      </c>
      <c r="CH5829" s="90">
        <v>1.2</v>
      </c>
      <c r="CI5829" s="90">
        <v>1.17</v>
      </c>
      <c r="CJ5829" s="65">
        <v>0.2</v>
      </c>
      <c r="CK5829" s="65">
        <v>0.2</v>
      </c>
      <c r="EK5829" s="90">
        <v>8.26</v>
      </c>
      <c r="EL5829" s="90">
        <v>7.81</v>
      </c>
      <c r="EO5829" s="65" t="s">
        <v>6865</v>
      </c>
      <c r="EP5829" s="65">
        <v>54.686</v>
      </c>
      <c r="EQ5829" s="65">
        <v>55.938000000000002</v>
      </c>
      <c r="FE5829" s="65">
        <v>77.44</v>
      </c>
      <c r="FF5829" s="65">
        <v>90.14</v>
      </c>
      <c r="FG5829" s="65">
        <f>86.21-FE5829</f>
        <v>8.769999999999996</v>
      </c>
      <c r="FH5829" s="65">
        <f>95.56-FF5829</f>
        <v>5.4200000000000017</v>
      </c>
      <c r="FI5829" s="65" t="s">
        <v>6616</v>
      </c>
      <c r="FJ5829" s="65">
        <v>5.13</v>
      </c>
      <c r="FK5829" s="65">
        <v>3.12</v>
      </c>
      <c r="FL5829" s="65">
        <v>0.7</v>
      </c>
      <c r="FM5829" s="65">
        <v>0.7</v>
      </c>
      <c r="FN5829" s="65" t="s">
        <v>206</v>
      </c>
      <c r="FO5829" s="65">
        <v>3.2639999999999998</v>
      </c>
      <c r="FP5829" s="65">
        <v>3.4710000000000001</v>
      </c>
      <c r="FS5829" s="65" t="s">
        <v>637</v>
      </c>
      <c r="FT5829" s="65">
        <v>55.29</v>
      </c>
      <c r="FU5829" s="65">
        <v>38.96</v>
      </c>
      <c r="FX5829" s="65" t="s">
        <v>6921</v>
      </c>
      <c r="GP5829" s="292" t="s">
        <v>7494</v>
      </c>
    </row>
    <row r="5830" spans="1:279" x14ac:dyDescent="0.25">
      <c r="A5830" s="55">
        <v>5829</v>
      </c>
      <c r="B5830" s="12" t="s">
        <v>7067</v>
      </c>
      <c r="C5830" s="155" t="s">
        <v>6904</v>
      </c>
      <c r="D5830" s="55" t="s">
        <v>6908</v>
      </c>
      <c r="E5830" s="90" t="s">
        <v>6409</v>
      </c>
      <c r="G5830" s="55" t="s">
        <v>6707</v>
      </c>
      <c r="H5830" s="55" t="s">
        <v>6505</v>
      </c>
      <c r="I5830" s="55" t="s">
        <v>5864</v>
      </c>
      <c r="J5830" s="55" t="s">
        <v>6627</v>
      </c>
      <c r="K5830" s="55" t="s">
        <v>6530</v>
      </c>
      <c r="L5830" s="55" t="s">
        <v>3377</v>
      </c>
      <c r="M5830" s="90">
        <v>35.58</v>
      </c>
      <c r="N5830" s="90">
        <v>104.63</v>
      </c>
      <c r="O5830" s="90">
        <v>2000</v>
      </c>
      <c r="Q5830" s="55" t="s">
        <v>5826</v>
      </c>
      <c r="S5830" s="90" t="s">
        <v>6492</v>
      </c>
      <c r="U5830" s="55" t="s">
        <v>1935</v>
      </c>
      <c r="V5830" s="55" t="s">
        <v>1935</v>
      </c>
      <c r="Z5830" s="55" t="s">
        <v>6606</v>
      </c>
      <c r="AA5830" s="90">
        <v>5</v>
      </c>
      <c r="AD5830" s="90">
        <v>1.17</v>
      </c>
      <c r="AO5830" s="185" t="s">
        <v>7494</v>
      </c>
      <c r="AR5830" s="55" t="s">
        <v>6906</v>
      </c>
      <c r="AS5830" s="55" t="s">
        <v>116</v>
      </c>
      <c r="AU5830" s="181" t="s">
        <v>7494</v>
      </c>
      <c r="AV5830" s="185" t="s">
        <v>176</v>
      </c>
      <c r="AX5830" s="185" t="s">
        <v>176</v>
      </c>
      <c r="AZ5830" s="55" t="s">
        <v>2081</v>
      </c>
      <c r="BA5830" s="55" t="s">
        <v>2082</v>
      </c>
      <c r="BK5830" s="55" t="s">
        <v>2082</v>
      </c>
      <c r="BN5830" s="55" t="s">
        <v>1688</v>
      </c>
      <c r="BO5830" s="55" t="s">
        <v>1688</v>
      </c>
      <c r="CH5830" s="90">
        <v>1.22</v>
      </c>
      <c r="CI5830" s="90">
        <v>1.2</v>
      </c>
      <c r="CJ5830" s="65">
        <v>0.2</v>
      </c>
      <c r="CK5830" s="65">
        <v>0.2</v>
      </c>
      <c r="EP5830" s="65">
        <v>53.930999999999997</v>
      </c>
      <c r="EQ5830" s="65">
        <v>54.808</v>
      </c>
      <c r="GP5830" s="292" t="s">
        <v>7494</v>
      </c>
    </row>
    <row r="5831" spans="1:279" x14ac:dyDescent="0.25">
      <c r="A5831" s="55">
        <v>5830</v>
      </c>
      <c r="B5831" s="12" t="s">
        <v>7067</v>
      </c>
      <c r="C5831" s="155" t="s">
        <v>6904</v>
      </c>
      <c r="D5831" s="55" t="s">
        <v>6909</v>
      </c>
      <c r="E5831" s="90" t="s">
        <v>6409</v>
      </c>
      <c r="G5831" s="55" t="s">
        <v>6707</v>
      </c>
      <c r="H5831" s="55" t="s">
        <v>6505</v>
      </c>
      <c r="I5831" s="55" t="s">
        <v>5864</v>
      </c>
      <c r="J5831" s="55" t="s">
        <v>6627</v>
      </c>
      <c r="K5831" s="55" t="s">
        <v>6530</v>
      </c>
      <c r="L5831" s="55" t="s">
        <v>3377</v>
      </c>
      <c r="M5831" s="90">
        <v>35.58</v>
      </c>
      <c r="N5831" s="90">
        <v>104.63</v>
      </c>
      <c r="O5831" s="90">
        <v>2000</v>
      </c>
      <c r="Q5831" s="55" t="s">
        <v>5826</v>
      </c>
      <c r="S5831" s="90" t="s">
        <v>6492</v>
      </c>
      <c r="U5831" s="55" t="s">
        <v>1935</v>
      </c>
      <c r="V5831" s="55" t="s">
        <v>1935</v>
      </c>
      <c r="Z5831" s="55" t="s">
        <v>6607</v>
      </c>
      <c r="AA5831" s="90">
        <v>20</v>
      </c>
      <c r="AD5831" s="90">
        <v>1.17</v>
      </c>
      <c r="AO5831" s="185" t="s">
        <v>7494</v>
      </c>
      <c r="AR5831" s="55" t="s">
        <v>6906</v>
      </c>
      <c r="AS5831" s="55" t="s">
        <v>116</v>
      </c>
      <c r="AU5831" s="181" t="s">
        <v>7494</v>
      </c>
      <c r="AV5831" s="185" t="s">
        <v>176</v>
      </c>
      <c r="AX5831" s="185" t="s">
        <v>176</v>
      </c>
      <c r="AZ5831" s="55" t="s">
        <v>2081</v>
      </c>
      <c r="BA5831" s="55" t="s">
        <v>2082</v>
      </c>
      <c r="BK5831" s="55" t="s">
        <v>2082</v>
      </c>
      <c r="BN5831" s="55" t="s">
        <v>1688</v>
      </c>
      <c r="BO5831" s="55" t="s">
        <v>1688</v>
      </c>
      <c r="CH5831" s="90">
        <v>1.24</v>
      </c>
      <c r="CI5831" s="90">
        <v>1.23</v>
      </c>
      <c r="CJ5831" s="65">
        <v>0.3</v>
      </c>
      <c r="CK5831" s="65">
        <v>0.2</v>
      </c>
      <c r="EP5831" s="65">
        <v>53.171999999999997</v>
      </c>
      <c r="EQ5831" s="65">
        <v>53.676000000000002</v>
      </c>
      <c r="GP5831" s="292" t="s">
        <v>7494</v>
      </c>
    </row>
    <row r="5832" spans="1:279" x14ac:dyDescent="0.25">
      <c r="A5832" s="55">
        <v>5831</v>
      </c>
      <c r="B5832" s="12" t="s">
        <v>7067</v>
      </c>
      <c r="C5832" s="155" t="s">
        <v>6904</v>
      </c>
      <c r="D5832" s="55" t="s">
        <v>6910</v>
      </c>
      <c r="E5832" s="90" t="s">
        <v>6409</v>
      </c>
      <c r="G5832" s="55" t="s">
        <v>6707</v>
      </c>
      <c r="H5832" s="55" t="s">
        <v>6505</v>
      </c>
      <c r="I5832" s="55" t="s">
        <v>5864</v>
      </c>
      <c r="J5832" s="55" t="s">
        <v>6627</v>
      </c>
      <c r="K5832" s="55" t="s">
        <v>6530</v>
      </c>
      <c r="L5832" s="55" t="s">
        <v>3377</v>
      </c>
      <c r="M5832" s="90">
        <v>35.58</v>
      </c>
      <c r="N5832" s="90">
        <v>104.63</v>
      </c>
      <c r="O5832" s="90">
        <v>2000</v>
      </c>
      <c r="Q5832" s="55" t="s">
        <v>5826</v>
      </c>
      <c r="S5832" s="90" t="s">
        <v>6492</v>
      </c>
      <c r="U5832" s="55" t="s">
        <v>1935</v>
      </c>
      <c r="V5832" s="55" t="s">
        <v>1935</v>
      </c>
      <c r="Z5832" s="55" t="s">
        <v>6915</v>
      </c>
      <c r="AA5832" s="90">
        <v>5</v>
      </c>
      <c r="AD5832" s="90">
        <v>1.17</v>
      </c>
      <c r="AO5832" s="185" t="s">
        <v>7494</v>
      </c>
      <c r="AR5832" s="55" t="s">
        <v>116</v>
      </c>
      <c r="AS5832" s="55" t="s">
        <v>116</v>
      </c>
      <c r="AU5832" s="181" t="s">
        <v>7494</v>
      </c>
      <c r="AV5832" s="185" t="s">
        <v>176</v>
      </c>
      <c r="AX5832" s="185" t="s">
        <v>176</v>
      </c>
      <c r="AZ5832" s="55" t="s">
        <v>2081</v>
      </c>
      <c r="BA5832" s="55" t="s">
        <v>2082</v>
      </c>
      <c r="BK5832" s="55" t="s">
        <v>6920</v>
      </c>
      <c r="BN5832" s="55" t="s">
        <v>1688</v>
      </c>
      <c r="BO5832" s="55" t="s">
        <v>1688</v>
      </c>
      <c r="CH5832" s="90">
        <v>1.2</v>
      </c>
      <c r="CI5832" s="90">
        <v>1.19</v>
      </c>
      <c r="CJ5832" s="65">
        <v>0.2</v>
      </c>
      <c r="CK5832" s="65">
        <v>0.1</v>
      </c>
      <c r="EK5832" s="90">
        <v>8.26</v>
      </c>
      <c r="EL5832" s="90">
        <v>7.46</v>
      </c>
      <c r="EO5832" s="65" t="s">
        <v>6865</v>
      </c>
      <c r="EP5832" s="65">
        <v>54.686</v>
      </c>
      <c r="EQ5832" s="65">
        <v>55.267000000000003</v>
      </c>
      <c r="FE5832" s="65">
        <v>77.44</v>
      </c>
      <c r="FF5832" s="65">
        <v>69.19</v>
      </c>
      <c r="FG5832" s="65">
        <v>8.77</v>
      </c>
      <c r="FH5832" s="65">
        <f>80-FF5832</f>
        <v>10.810000000000002</v>
      </c>
      <c r="FI5832" s="65" t="s">
        <v>6616</v>
      </c>
      <c r="FJ5832" s="65">
        <v>5.13</v>
      </c>
      <c r="FK5832" s="65">
        <v>4.26</v>
      </c>
      <c r="FL5832" s="65">
        <v>0.7</v>
      </c>
      <c r="FM5832" s="65">
        <v>0.7</v>
      </c>
      <c r="FN5832" s="65" t="s">
        <v>206</v>
      </c>
      <c r="FO5832" s="65">
        <v>3.2639999999999998</v>
      </c>
      <c r="FP5832" s="65">
        <v>3.371</v>
      </c>
      <c r="FS5832" s="65" t="s">
        <v>637</v>
      </c>
      <c r="FT5832" s="65">
        <v>55.29</v>
      </c>
      <c r="FU5832" s="65">
        <v>48.52</v>
      </c>
      <c r="FX5832" s="65" t="s">
        <v>6921</v>
      </c>
      <c r="GP5832" s="292" t="s">
        <v>7494</v>
      </c>
    </row>
    <row r="5833" spans="1:279" x14ac:dyDescent="0.25">
      <c r="A5833" s="55">
        <v>5832</v>
      </c>
      <c r="B5833" s="12" t="s">
        <v>7067</v>
      </c>
      <c r="C5833" s="155" t="s">
        <v>6904</v>
      </c>
      <c r="D5833" s="55" t="s">
        <v>6911</v>
      </c>
      <c r="E5833" s="90" t="s">
        <v>6409</v>
      </c>
      <c r="G5833" s="55" t="s">
        <v>6707</v>
      </c>
      <c r="H5833" s="55" t="s">
        <v>6505</v>
      </c>
      <c r="I5833" s="55" t="s">
        <v>5864</v>
      </c>
      <c r="J5833" s="55" t="s">
        <v>6627</v>
      </c>
      <c r="K5833" s="55" t="s">
        <v>6530</v>
      </c>
      <c r="L5833" s="55" t="s">
        <v>3377</v>
      </c>
      <c r="M5833" s="90">
        <v>35.58</v>
      </c>
      <c r="N5833" s="90">
        <v>104.63</v>
      </c>
      <c r="O5833" s="90">
        <v>2000</v>
      </c>
      <c r="Q5833" s="55" t="s">
        <v>5826</v>
      </c>
      <c r="S5833" s="90" t="s">
        <v>6492</v>
      </c>
      <c r="U5833" s="55" t="s">
        <v>1935</v>
      </c>
      <c r="V5833" s="55" t="s">
        <v>1935</v>
      </c>
      <c r="Z5833" s="55" t="s">
        <v>6606</v>
      </c>
      <c r="AA5833" s="90">
        <v>5</v>
      </c>
      <c r="AD5833" s="90">
        <v>1.17</v>
      </c>
      <c r="AO5833" s="185" t="s">
        <v>7494</v>
      </c>
      <c r="AR5833" s="55" t="s">
        <v>116</v>
      </c>
      <c r="AS5833" s="55" t="s">
        <v>116</v>
      </c>
      <c r="AU5833" s="181" t="s">
        <v>7494</v>
      </c>
      <c r="AV5833" s="185" t="s">
        <v>176</v>
      </c>
      <c r="AX5833" s="185" t="s">
        <v>176</v>
      </c>
      <c r="AZ5833" s="55" t="s">
        <v>2081</v>
      </c>
      <c r="BA5833" s="55" t="s">
        <v>2082</v>
      </c>
      <c r="BK5833" s="55" t="s">
        <v>6920</v>
      </c>
      <c r="BN5833" s="55" t="s">
        <v>1688</v>
      </c>
      <c r="BO5833" s="55" t="s">
        <v>1688</v>
      </c>
      <c r="CH5833" s="90">
        <v>1.22</v>
      </c>
      <c r="CI5833" s="90">
        <v>1.22</v>
      </c>
      <c r="CJ5833" s="65">
        <v>0.2</v>
      </c>
      <c r="CK5833" s="65">
        <v>0.2</v>
      </c>
      <c r="EP5833" s="65">
        <v>53.930999999999997</v>
      </c>
      <c r="EQ5833" s="65">
        <v>54.000999999999998</v>
      </c>
      <c r="GP5833" s="292" t="s">
        <v>7494</v>
      </c>
    </row>
    <row r="5834" spans="1:279" x14ac:dyDescent="0.25">
      <c r="A5834" s="55">
        <v>5833</v>
      </c>
      <c r="B5834" s="12" t="s">
        <v>7067</v>
      </c>
      <c r="C5834" s="155" t="s">
        <v>6904</v>
      </c>
      <c r="D5834" s="55" t="s">
        <v>6912</v>
      </c>
      <c r="E5834" s="90" t="s">
        <v>6409</v>
      </c>
      <c r="G5834" s="55" t="s">
        <v>6707</v>
      </c>
      <c r="H5834" s="55" t="s">
        <v>6505</v>
      </c>
      <c r="I5834" s="55" t="s">
        <v>5864</v>
      </c>
      <c r="J5834" s="55" t="s">
        <v>6627</v>
      </c>
      <c r="K5834" s="55" t="s">
        <v>6530</v>
      </c>
      <c r="L5834" s="55" t="s">
        <v>3377</v>
      </c>
      <c r="M5834" s="90">
        <v>35.58</v>
      </c>
      <c r="N5834" s="90">
        <v>104.63</v>
      </c>
      <c r="O5834" s="90">
        <v>2000</v>
      </c>
      <c r="Q5834" s="55" t="s">
        <v>5826</v>
      </c>
      <c r="S5834" s="90" t="s">
        <v>6492</v>
      </c>
      <c r="U5834" s="55" t="s">
        <v>1935</v>
      </c>
      <c r="V5834" s="55" t="s">
        <v>1935</v>
      </c>
      <c r="Z5834" s="55" t="s">
        <v>6607</v>
      </c>
      <c r="AA5834" s="90">
        <v>20</v>
      </c>
      <c r="AD5834" s="90">
        <v>1.17</v>
      </c>
      <c r="AO5834" s="185" t="s">
        <v>7494</v>
      </c>
      <c r="AR5834" s="55" t="s">
        <v>116</v>
      </c>
      <c r="AS5834" s="55" t="s">
        <v>116</v>
      </c>
      <c r="AU5834" s="181" t="s">
        <v>7494</v>
      </c>
      <c r="AV5834" s="185" t="s">
        <v>176</v>
      </c>
      <c r="AX5834" s="185" t="s">
        <v>176</v>
      </c>
      <c r="AZ5834" s="55" t="s">
        <v>2081</v>
      </c>
      <c r="BA5834" s="55" t="s">
        <v>2082</v>
      </c>
      <c r="BK5834" s="55" t="s">
        <v>6920</v>
      </c>
      <c r="BN5834" s="55" t="s">
        <v>1688</v>
      </c>
      <c r="BO5834" s="55" t="s">
        <v>1688</v>
      </c>
      <c r="CH5834" s="90">
        <v>1.24</v>
      </c>
      <c r="CI5834" s="90">
        <v>1.25</v>
      </c>
      <c r="CJ5834" s="65">
        <v>0.3</v>
      </c>
      <c r="CK5834" s="65">
        <v>0.2</v>
      </c>
      <c r="EP5834" s="65">
        <v>53.171999999999997</v>
      </c>
      <c r="EQ5834" s="65">
        <v>52.707999999999998</v>
      </c>
      <c r="GP5834" s="292" t="s">
        <v>7494</v>
      </c>
    </row>
    <row r="5835" spans="1:279" x14ac:dyDescent="0.25">
      <c r="A5835" s="55">
        <v>5834</v>
      </c>
      <c r="B5835" s="12" t="s">
        <v>7067</v>
      </c>
      <c r="C5835" s="155" t="s">
        <v>6904</v>
      </c>
      <c r="D5835" s="55" t="s">
        <v>6913</v>
      </c>
      <c r="E5835" s="90" t="s">
        <v>6409</v>
      </c>
      <c r="G5835" s="55" t="s">
        <v>6707</v>
      </c>
      <c r="H5835" s="55" t="s">
        <v>6505</v>
      </c>
      <c r="I5835" s="55" t="s">
        <v>5864</v>
      </c>
      <c r="J5835" s="55" t="s">
        <v>6627</v>
      </c>
      <c r="K5835" s="55" t="s">
        <v>6530</v>
      </c>
      <c r="L5835" s="55" t="s">
        <v>3377</v>
      </c>
      <c r="M5835" s="90">
        <v>35.58</v>
      </c>
      <c r="N5835" s="90">
        <v>104.63</v>
      </c>
      <c r="O5835" s="90">
        <v>2000</v>
      </c>
      <c r="Q5835" s="55" t="s">
        <v>5826</v>
      </c>
      <c r="S5835" s="90" t="s">
        <v>6492</v>
      </c>
      <c r="U5835" s="55" t="s">
        <v>1935</v>
      </c>
      <c r="V5835" s="55" t="s">
        <v>1935</v>
      </c>
      <c r="Z5835" s="55" t="s">
        <v>6915</v>
      </c>
      <c r="AA5835" s="90">
        <v>5</v>
      </c>
      <c r="AD5835" s="90">
        <v>1.17</v>
      </c>
      <c r="AO5835" s="185" t="s">
        <v>7494</v>
      </c>
      <c r="AR5835" s="55" t="s">
        <v>6907</v>
      </c>
      <c r="AS5835" s="55" t="s">
        <v>227</v>
      </c>
      <c r="AU5835" s="181" t="s">
        <v>7494</v>
      </c>
      <c r="AV5835" s="185" t="s">
        <v>176</v>
      </c>
      <c r="AX5835" s="185" t="s">
        <v>176</v>
      </c>
      <c r="AZ5835" s="55" t="s">
        <v>2081</v>
      </c>
      <c r="BA5835" s="55" t="s">
        <v>2082</v>
      </c>
      <c r="BK5835" s="55" t="s">
        <v>2082</v>
      </c>
      <c r="BN5835" s="55" t="s">
        <v>1688</v>
      </c>
      <c r="BO5835" s="55" t="s">
        <v>1688</v>
      </c>
      <c r="CH5835" s="90">
        <v>1.21</v>
      </c>
      <c r="CI5835" s="90">
        <v>1.19</v>
      </c>
      <c r="CJ5835" s="65">
        <v>0.5</v>
      </c>
      <c r="CK5835" s="65">
        <v>0.3</v>
      </c>
      <c r="EK5835" s="90">
        <v>9.17</v>
      </c>
      <c r="EL5835" s="90">
        <v>7.15</v>
      </c>
      <c r="EO5835" s="65" t="s">
        <v>6865</v>
      </c>
      <c r="EP5835" s="65">
        <v>54.15</v>
      </c>
      <c r="EQ5835" s="65">
        <v>54.978000000000002</v>
      </c>
      <c r="FE5835" s="65">
        <v>72.58</v>
      </c>
      <c r="FF5835" s="65">
        <v>84.85</v>
      </c>
      <c r="FG5835" s="65">
        <v>5</v>
      </c>
      <c r="FH5835" s="65">
        <f>99-FF5835</f>
        <v>14.150000000000006</v>
      </c>
      <c r="FI5835" s="65" t="s">
        <v>6616</v>
      </c>
      <c r="FJ5835" s="65">
        <v>2.2200000000000002</v>
      </c>
      <c r="FK5835" s="65">
        <v>1.0900000000000001</v>
      </c>
      <c r="FL5835" s="65">
        <v>0.6</v>
      </c>
      <c r="FM5835" s="65">
        <v>0.6</v>
      </c>
      <c r="FN5835" s="65" t="s">
        <v>206</v>
      </c>
      <c r="FO5835" s="65">
        <v>3.2789999999999999</v>
      </c>
      <c r="FP5835" s="65">
        <v>3.4940000000000002</v>
      </c>
      <c r="FS5835" s="65" t="s">
        <v>637</v>
      </c>
      <c r="FT5835" s="65">
        <v>31.49</v>
      </c>
      <c r="FU5835" s="65">
        <v>40.590000000000003</v>
      </c>
      <c r="FX5835" s="65" t="s">
        <v>6921</v>
      </c>
      <c r="GP5835" s="292" t="s">
        <v>7494</v>
      </c>
    </row>
    <row r="5836" spans="1:279" x14ac:dyDescent="0.25">
      <c r="A5836" s="55">
        <v>5835</v>
      </c>
      <c r="B5836" s="12" t="s">
        <v>7067</v>
      </c>
      <c r="C5836" s="155" t="s">
        <v>6904</v>
      </c>
      <c r="D5836" s="55" t="s">
        <v>6914</v>
      </c>
      <c r="E5836" s="90" t="s">
        <v>6409</v>
      </c>
      <c r="G5836" s="55" t="s">
        <v>6707</v>
      </c>
      <c r="H5836" s="55" t="s">
        <v>6505</v>
      </c>
      <c r="I5836" s="55" t="s">
        <v>5864</v>
      </c>
      <c r="J5836" s="55" t="s">
        <v>6627</v>
      </c>
      <c r="K5836" s="55" t="s">
        <v>6530</v>
      </c>
      <c r="L5836" s="55" t="s">
        <v>3377</v>
      </c>
      <c r="M5836" s="90">
        <v>35.58</v>
      </c>
      <c r="N5836" s="90">
        <v>104.63</v>
      </c>
      <c r="O5836" s="90">
        <v>2000</v>
      </c>
      <c r="Q5836" s="55" t="s">
        <v>5826</v>
      </c>
      <c r="S5836" s="90" t="s">
        <v>6492</v>
      </c>
      <c r="U5836" s="55" t="s">
        <v>1935</v>
      </c>
      <c r="V5836" s="55" t="s">
        <v>1935</v>
      </c>
      <c r="Z5836" s="55" t="s">
        <v>6606</v>
      </c>
      <c r="AA5836" s="90">
        <v>5</v>
      </c>
      <c r="AD5836" s="90">
        <v>1.17</v>
      </c>
      <c r="AO5836" s="185" t="s">
        <v>7494</v>
      </c>
      <c r="AR5836" s="55" t="s">
        <v>6907</v>
      </c>
      <c r="AS5836" s="55" t="s">
        <v>227</v>
      </c>
      <c r="AU5836" s="181" t="s">
        <v>7494</v>
      </c>
      <c r="AV5836" s="185" t="s">
        <v>176</v>
      </c>
      <c r="AX5836" s="185" t="s">
        <v>176</v>
      </c>
      <c r="AZ5836" s="55" t="s">
        <v>2081</v>
      </c>
      <c r="BA5836" s="55" t="s">
        <v>2082</v>
      </c>
      <c r="BK5836" s="55" t="s">
        <v>2082</v>
      </c>
      <c r="BN5836" s="55" t="s">
        <v>1688</v>
      </c>
      <c r="BO5836" s="55" t="s">
        <v>1688</v>
      </c>
      <c r="CH5836" s="90">
        <v>1.23</v>
      </c>
      <c r="CI5836" s="90">
        <v>1.22</v>
      </c>
      <c r="CJ5836" s="65">
        <v>0.2</v>
      </c>
      <c r="CK5836" s="65">
        <v>0.3</v>
      </c>
      <c r="EP5836" s="65">
        <v>53.749000000000002</v>
      </c>
      <c r="EQ5836" s="65">
        <v>54.113999999999997</v>
      </c>
      <c r="GP5836" s="292" t="s">
        <v>7494</v>
      </c>
    </row>
    <row r="5837" spans="1:279" x14ac:dyDescent="0.25">
      <c r="A5837" s="55">
        <v>5836</v>
      </c>
      <c r="B5837" s="12" t="s">
        <v>7067</v>
      </c>
      <c r="C5837" s="155" t="s">
        <v>6904</v>
      </c>
      <c r="D5837" s="55" t="s">
        <v>6916</v>
      </c>
      <c r="E5837" s="90" t="s">
        <v>6409</v>
      </c>
      <c r="G5837" s="55" t="s">
        <v>6707</v>
      </c>
      <c r="H5837" s="55" t="s">
        <v>6505</v>
      </c>
      <c r="I5837" s="55" t="s">
        <v>5864</v>
      </c>
      <c r="J5837" s="55" t="s">
        <v>6627</v>
      </c>
      <c r="K5837" s="55" t="s">
        <v>6530</v>
      </c>
      <c r="L5837" s="55" t="s">
        <v>3377</v>
      </c>
      <c r="M5837" s="90">
        <v>35.58</v>
      </c>
      <c r="N5837" s="90">
        <v>104.63</v>
      </c>
      <c r="O5837" s="90">
        <v>2000</v>
      </c>
      <c r="Q5837" s="55" t="s">
        <v>5826</v>
      </c>
      <c r="S5837" s="90" t="s">
        <v>6492</v>
      </c>
      <c r="U5837" s="55" t="s">
        <v>1935</v>
      </c>
      <c r="V5837" s="55" t="s">
        <v>1935</v>
      </c>
      <c r="Z5837" s="55" t="s">
        <v>6607</v>
      </c>
      <c r="AA5837" s="90">
        <v>20</v>
      </c>
      <c r="AD5837" s="90">
        <v>1.17</v>
      </c>
      <c r="AO5837" s="185" t="s">
        <v>7494</v>
      </c>
      <c r="AR5837" s="55" t="s">
        <v>6907</v>
      </c>
      <c r="AS5837" s="55" t="s">
        <v>227</v>
      </c>
      <c r="AU5837" s="181" t="s">
        <v>7494</v>
      </c>
      <c r="AV5837" s="185" t="s">
        <v>176</v>
      </c>
      <c r="AX5837" s="185" t="s">
        <v>176</v>
      </c>
      <c r="AZ5837" s="55" t="s">
        <v>2081</v>
      </c>
      <c r="BA5837" s="55" t="s">
        <v>2082</v>
      </c>
      <c r="BK5837" s="55" t="s">
        <v>2082</v>
      </c>
      <c r="BN5837" s="55" t="s">
        <v>1688</v>
      </c>
      <c r="BO5837" s="55" t="s">
        <v>1688</v>
      </c>
      <c r="CH5837" s="90">
        <v>1.26</v>
      </c>
      <c r="CI5837" s="90">
        <v>1.24</v>
      </c>
      <c r="CJ5837" s="65">
        <v>0.3</v>
      </c>
      <c r="CK5837" s="65">
        <v>0.3</v>
      </c>
      <c r="EP5837" s="65">
        <v>52.362000000000002</v>
      </c>
      <c r="EQ5837" s="65">
        <v>53.057000000000002</v>
      </c>
      <c r="GP5837" s="292" t="s">
        <v>7494</v>
      </c>
    </row>
    <row r="5838" spans="1:279" x14ac:dyDescent="0.25">
      <c r="A5838" s="55">
        <v>5837</v>
      </c>
      <c r="B5838" s="12" t="s">
        <v>7067</v>
      </c>
      <c r="C5838" s="155" t="s">
        <v>6904</v>
      </c>
      <c r="D5838" s="55" t="s">
        <v>6917</v>
      </c>
      <c r="E5838" s="90" t="s">
        <v>6409</v>
      </c>
      <c r="G5838" s="55" t="s">
        <v>6707</v>
      </c>
      <c r="H5838" s="55" t="s">
        <v>6505</v>
      </c>
      <c r="I5838" s="55" t="s">
        <v>5864</v>
      </c>
      <c r="J5838" s="55" t="s">
        <v>6627</v>
      </c>
      <c r="K5838" s="55" t="s">
        <v>6530</v>
      </c>
      <c r="L5838" s="55" t="s">
        <v>3377</v>
      </c>
      <c r="M5838" s="90">
        <v>35.58</v>
      </c>
      <c r="N5838" s="90">
        <v>104.63</v>
      </c>
      <c r="O5838" s="90">
        <v>2000</v>
      </c>
      <c r="Q5838" s="55" t="s">
        <v>5826</v>
      </c>
      <c r="S5838" s="90" t="s">
        <v>6492</v>
      </c>
      <c r="U5838" s="55" t="s">
        <v>1935</v>
      </c>
      <c r="V5838" s="55" t="s">
        <v>1935</v>
      </c>
      <c r="Z5838" s="55" t="s">
        <v>6915</v>
      </c>
      <c r="AA5838" s="90">
        <v>5</v>
      </c>
      <c r="AD5838" s="90">
        <v>1.17</v>
      </c>
      <c r="AO5838" s="185" t="s">
        <v>7494</v>
      </c>
      <c r="AR5838" s="55" t="s">
        <v>6623</v>
      </c>
      <c r="AS5838" s="55" t="s">
        <v>227</v>
      </c>
      <c r="AU5838" s="181" t="s">
        <v>7494</v>
      </c>
      <c r="AV5838" s="185" t="s">
        <v>176</v>
      </c>
      <c r="AX5838" s="185" t="s">
        <v>176</v>
      </c>
      <c r="AZ5838" s="55" t="s">
        <v>2081</v>
      </c>
      <c r="BA5838" s="55" t="s">
        <v>2082</v>
      </c>
      <c r="BK5838" s="55" t="s">
        <v>6920</v>
      </c>
      <c r="BN5838" s="55" t="s">
        <v>1688</v>
      </c>
      <c r="BO5838" s="55" t="s">
        <v>1688</v>
      </c>
      <c r="CH5838" s="90">
        <v>1.21</v>
      </c>
      <c r="CI5838" s="90">
        <v>1.21</v>
      </c>
      <c r="CJ5838" s="65">
        <v>0.5</v>
      </c>
      <c r="CK5838" s="65">
        <v>0.3</v>
      </c>
      <c r="EK5838" s="90">
        <v>9.17</v>
      </c>
      <c r="EL5838" s="90">
        <v>8.17</v>
      </c>
      <c r="EO5838" s="65" t="s">
        <v>6865</v>
      </c>
      <c r="EP5838" s="65">
        <v>54.15</v>
      </c>
      <c r="EQ5838" s="65">
        <v>54.375</v>
      </c>
      <c r="FE5838" s="65">
        <v>72.58</v>
      </c>
      <c r="FF5838" s="65">
        <v>66.010000000000005</v>
      </c>
      <c r="FG5838" s="65">
        <v>5</v>
      </c>
      <c r="FH5838" s="65">
        <f>72.7-FF5838</f>
        <v>6.6899999999999977</v>
      </c>
      <c r="FI5838" s="65" t="s">
        <v>6616</v>
      </c>
      <c r="FJ5838" s="65">
        <v>2.2200000000000002</v>
      </c>
      <c r="FK5838" s="65">
        <v>1.34</v>
      </c>
      <c r="FL5838" s="65">
        <v>0.6</v>
      </c>
      <c r="FM5838" s="65">
        <v>0.6</v>
      </c>
      <c r="FN5838" s="65" t="s">
        <v>206</v>
      </c>
      <c r="FO5838" s="65">
        <v>3.2789999999999999</v>
      </c>
      <c r="FP5838" s="65">
        <v>3.431</v>
      </c>
      <c r="FS5838" s="65" t="s">
        <v>637</v>
      </c>
      <c r="FT5838" s="65">
        <v>31.49</v>
      </c>
      <c r="FU5838" s="65">
        <v>36.159999999999997</v>
      </c>
      <c r="FX5838" s="65" t="s">
        <v>6921</v>
      </c>
      <c r="GP5838" s="292" t="s">
        <v>7494</v>
      </c>
    </row>
    <row r="5839" spans="1:279" x14ac:dyDescent="0.25">
      <c r="A5839" s="55">
        <v>5838</v>
      </c>
      <c r="B5839" s="12" t="s">
        <v>7067</v>
      </c>
      <c r="C5839" s="155" t="s">
        <v>6904</v>
      </c>
      <c r="D5839" s="55" t="s">
        <v>6918</v>
      </c>
      <c r="E5839" s="90" t="s">
        <v>6409</v>
      </c>
      <c r="G5839" s="55" t="s">
        <v>6707</v>
      </c>
      <c r="H5839" s="55" t="s">
        <v>6505</v>
      </c>
      <c r="I5839" s="55" t="s">
        <v>5864</v>
      </c>
      <c r="J5839" s="55" t="s">
        <v>6627</v>
      </c>
      <c r="K5839" s="55" t="s">
        <v>6530</v>
      </c>
      <c r="L5839" s="55" t="s">
        <v>3377</v>
      </c>
      <c r="M5839" s="90">
        <v>35.58</v>
      </c>
      <c r="N5839" s="90">
        <v>104.63</v>
      </c>
      <c r="O5839" s="90">
        <v>2000</v>
      </c>
      <c r="Q5839" s="55" t="s">
        <v>5826</v>
      </c>
      <c r="S5839" s="90" t="s">
        <v>6492</v>
      </c>
      <c r="U5839" s="55" t="s">
        <v>1935</v>
      </c>
      <c r="V5839" s="55" t="s">
        <v>1935</v>
      </c>
      <c r="Z5839" s="55" t="s">
        <v>6606</v>
      </c>
      <c r="AA5839" s="90">
        <v>5</v>
      </c>
      <c r="AD5839" s="90">
        <v>1.17</v>
      </c>
      <c r="AO5839" s="185" t="s">
        <v>7494</v>
      </c>
      <c r="AR5839" s="55" t="s">
        <v>6623</v>
      </c>
      <c r="AS5839" s="55" t="s">
        <v>227</v>
      </c>
      <c r="AU5839" s="181" t="s">
        <v>7494</v>
      </c>
      <c r="AV5839" s="185" t="s">
        <v>176</v>
      </c>
      <c r="AX5839" s="185" t="s">
        <v>176</v>
      </c>
      <c r="AZ5839" s="55" t="s">
        <v>2081</v>
      </c>
      <c r="BA5839" s="55" t="s">
        <v>2082</v>
      </c>
      <c r="BK5839" s="55" t="s">
        <v>6920</v>
      </c>
      <c r="BN5839" s="55" t="s">
        <v>1688</v>
      </c>
      <c r="BO5839" s="55" t="s">
        <v>1688</v>
      </c>
      <c r="CH5839" s="90">
        <v>1.23</v>
      </c>
      <c r="CI5839" s="90">
        <v>1.22</v>
      </c>
      <c r="CJ5839" s="65">
        <v>0.2</v>
      </c>
      <c r="CK5839" s="65">
        <v>0.2</v>
      </c>
      <c r="EP5839" s="65">
        <v>53.749000000000002</v>
      </c>
      <c r="EQ5839" s="65">
        <v>53.780999999999999</v>
      </c>
      <c r="GP5839" s="292" t="s">
        <v>7494</v>
      </c>
    </row>
    <row r="5840" spans="1:279" x14ac:dyDescent="0.25">
      <c r="A5840" s="55">
        <v>5839</v>
      </c>
      <c r="B5840" s="12" t="s">
        <v>7067</v>
      </c>
      <c r="C5840" s="155" t="s">
        <v>6904</v>
      </c>
      <c r="D5840" s="55" t="s">
        <v>6919</v>
      </c>
      <c r="E5840" s="90" t="s">
        <v>6409</v>
      </c>
      <c r="G5840" s="55" t="s">
        <v>6707</v>
      </c>
      <c r="H5840" s="55" t="s">
        <v>6505</v>
      </c>
      <c r="I5840" s="55" t="s">
        <v>5864</v>
      </c>
      <c r="J5840" s="55" t="s">
        <v>6627</v>
      </c>
      <c r="K5840" s="55" t="s">
        <v>6530</v>
      </c>
      <c r="L5840" s="55" t="s">
        <v>3377</v>
      </c>
      <c r="M5840" s="90">
        <v>35.58</v>
      </c>
      <c r="N5840" s="90">
        <v>104.63</v>
      </c>
      <c r="O5840" s="90">
        <v>2000</v>
      </c>
      <c r="Q5840" s="55" t="s">
        <v>5826</v>
      </c>
      <c r="S5840" s="90" t="s">
        <v>6492</v>
      </c>
      <c r="U5840" s="55" t="s">
        <v>1935</v>
      </c>
      <c r="V5840" s="55" t="s">
        <v>1935</v>
      </c>
      <c r="Z5840" s="55" t="s">
        <v>6607</v>
      </c>
      <c r="AA5840" s="90">
        <v>20</v>
      </c>
      <c r="AD5840" s="90">
        <v>1.17</v>
      </c>
      <c r="AO5840" s="185" t="s">
        <v>7494</v>
      </c>
      <c r="AR5840" s="55" t="s">
        <v>6623</v>
      </c>
      <c r="AS5840" s="55" t="s">
        <v>227</v>
      </c>
      <c r="AU5840" s="181" t="s">
        <v>7494</v>
      </c>
      <c r="AV5840" s="185" t="s">
        <v>176</v>
      </c>
      <c r="AX5840" s="185" t="s">
        <v>176</v>
      </c>
      <c r="AZ5840" s="55" t="s">
        <v>2081</v>
      </c>
      <c r="BA5840" s="55" t="s">
        <v>2082</v>
      </c>
      <c r="BK5840" s="55" t="s">
        <v>6920</v>
      </c>
      <c r="BN5840" s="55" t="s">
        <v>1688</v>
      </c>
      <c r="BO5840" s="55" t="s">
        <v>1688</v>
      </c>
      <c r="CH5840" s="90">
        <v>1.26</v>
      </c>
      <c r="CI5840" s="90">
        <v>1.26</v>
      </c>
      <c r="CJ5840" s="65">
        <v>0.3</v>
      </c>
      <c r="CK5840" s="65">
        <v>0.2</v>
      </c>
      <c r="EP5840" s="65">
        <v>52.362000000000002</v>
      </c>
      <c r="EQ5840" s="65">
        <v>52.585000000000001</v>
      </c>
      <c r="GP5840" s="292" t="s">
        <v>7494</v>
      </c>
    </row>
    <row r="5841" spans="1:198" x14ac:dyDescent="0.25">
      <c r="A5841" s="55">
        <v>5840</v>
      </c>
      <c r="B5841" s="12" t="s">
        <v>7067</v>
      </c>
      <c r="C5841" s="155" t="s">
        <v>6922</v>
      </c>
      <c r="D5841" s="55" t="s">
        <v>6923</v>
      </c>
      <c r="E5841" s="90" t="s">
        <v>6488</v>
      </c>
      <c r="G5841" s="55" t="s">
        <v>6489</v>
      </c>
      <c r="H5841" s="55" t="s">
        <v>5608</v>
      </c>
      <c r="I5841" s="55" t="s">
        <v>5564</v>
      </c>
      <c r="J5841" s="55" t="s">
        <v>6627</v>
      </c>
      <c r="K5841" s="55" t="s">
        <v>6924</v>
      </c>
      <c r="L5841" s="55" t="s">
        <v>3377</v>
      </c>
      <c r="M5841" s="90">
        <v>35.58</v>
      </c>
      <c r="N5841" s="90">
        <v>104.61</v>
      </c>
      <c r="O5841" s="90">
        <v>2000</v>
      </c>
      <c r="Q5841" s="55" t="s">
        <v>5826</v>
      </c>
      <c r="S5841" s="90" t="s">
        <v>6925</v>
      </c>
      <c r="U5841" s="55" t="s">
        <v>1801</v>
      </c>
      <c r="V5841" s="55" t="s">
        <v>1801</v>
      </c>
      <c r="Z5841" s="55" t="s">
        <v>6605</v>
      </c>
      <c r="AA5841" s="90">
        <v>5</v>
      </c>
      <c r="AD5841" s="90">
        <v>1.17</v>
      </c>
      <c r="AO5841" s="185" t="s">
        <v>7494</v>
      </c>
      <c r="AR5841" s="55" t="s">
        <v>116</v>
      </c>
      <c r="AS5841" s="55" t="s">
        <v>116</v>
      </c>
      <c r="AT5841" s="181" t="s">
        <v>6926</v>
      </c>
      <c r="AU5841" s="181" t="s">
        <v>5150</v>
      </c>
      <c r="AV5841" s="185" t="s">
        <v>176</v>
      </c>
      <c r="AW5841" s="55" t="s">
        <v>6926</v>
      </c>
      <c r="AX5841" s="185" t="s">
        <v>176</v>
      </c>
      <c r="AY5841" s="55" t="s">
        <v>176</v>
      </c>
      <c r="AZ5841" s="55" t="s">
        <v>2081</v>
      </c>
      <c r="BA5841" s="55" t="s">
        <v>2082</v>
      </c>
      <c r="BK5841" s="55" t="s">
        <v>2082</v>
      </c>
      <c r="BN5841" s="55" t="s">
        <v>1805</v>
      </c>
      <c r="BO5841" s="55" t="s">
        <v>1805</v>
      </c>
      <c r="CM5841" s="65">
        <v>1.5629999999999999</v>
      </c>
      <c r="CN5841" s="65">
        <v>1.6479999999999999</v>
      </c>
      <c r="EK5841" s="90">
        <v>14.63</v>
      </c>
      <c r="EL5841" s="90">
        <v>16.309999999999999</v>
      </c>
      <c r="EO5841" s="65" t="s">
        <v>6928</v>
      </c>
      <c r="EU5841" s="65">
        <v>326</v>
      </c>
      <c r="EV5841" s="65">
        <v>62</v>
      </c>
      <c r="EY5841" s="65" t="s">
        <v>6929</v>
      </c>
      <c r="FJ5841" s="65">
        <v>70.8</v>
      </c>
      <c r="FK5841" s="65">
        <v>28.02</v>
      </c>
      <c r="FN5841" s="65" t="s">
        <v>206</v>
      </c>
      <c r="FO5841" s="65">
        <v>60.32</v>
      </c>
      <c r="FP5841" s="65">
        <v>45.89</v>
      </c>
      <c r="FS5841" s="65" t="s">
        <v>6616</v>
      </c>
      <c r="GP5841" s="292" t="s">
        <v>7494</v>
      </c>
    </row>
    <row r="5842" spans="1:198" x14ac:dyDescent="0.25">
      <c r="A5842" s="55">
        <v>5841</v>
      </c>
      <c r="B5842" s="12" t="s">
        <v>7067</v>
      </c>
      <c r="C5842" s="155" t="s">
        <v>6922</v>
      </c>
      <c r="D5842" s="55" t="s">
        <v>6932</v>
      </c>
      <c r="E5842" s="90" t="s">
        <v>6488</v>
      </c>
      <c r="G5842" s="55" t="s">
        <v>6489</v>
      </c>
      <c r="H5842" s="55" t="s">
        <v>5608</v>
      </c>
      <c r="I5842" s="55" t="s">
        <v>5564</v>
      </c>
      <c r="J5842" s="55" t="s">
        <v>6627</v>
      </c>
      <c r="K5842" s="55" t="s">
        <v>6924</v>
      </c>
      <c r="L5842" s="55" t="s">
        <v>3377</v>
      </c>
      <c r="M5842" s="90">
        <v>35.58</v>
      </c>
      <c r="N5842" s="90">
        <v>104.61</v>
      </c>
      <c r="O5842" s="90">
        <v>2000</v>
      </c>
      <c r="Q5842" s="55" t="s">
        <v>5826</v>
      </c>
      <c r="S5842" s="90" t="s">
        <v>6925</v>
      </c>
      <c r="U5842" s="55" t="s">
        <v>1801</v>
      </c>
      <c r="V5842" s="55" t="s">
        <v>1801</v>
      </c>
      <c r="Z5842" s="55" t="s">
        <v>6605</v>
      </c>
      <c r="AA5842" s="90">
        <v>5</v>
      </c>
      <c r="AD5842" s="90">
        <v>1.17</v>
      </c>
      <c r="AO5842" s="185" t="s">
        <v>7494</v>
      </c>
      <c r="AR5842" s="55" t="s">
        <v>116</v>
      </c>
      <c r="AS5842" s="55" t="s">
        <v>116</v>
      </c>
      <c r="AT5842" s="181" t="s">
        <v>6926</v>
      </c>
      <c r="AU5842" s="181" t="s">
        <v>5150</v>
      </c>
      <c r="AV5842" s="185" t="s">
        <v>176</v>
      </c>
      <c r="AW5842" s="55" t="s">
        <v>6926</v>
      </c>
      <c r="AX5842" s="185" t="s">
        <v>176</v>
      </c>
      <c r="AY5842" s="55" t="s">
        <v>176</v>
      </c>
      <c r="AZ5842" s="55" t="s">
        <v>2081</v>
      </c>
      <c r="BA5842" s="55" t="s">
        <v>2082</v>
      </c>
      <c r="BK5842" s="55" t="s">
        <v>6452</v>
      </c>
      <c r="BN5842" s="55" t="s">
        <v>1805</v>
      </c>
      <c r="BO5842" s="55" t="s">
        <v>1805</v>
      </c>
      <c r="CM5842" s="65">
        <v>1.5629999999999999</v>
      </c>
      <c r="CN5842" s="65">
        <v>1.93</v>
      </c>
      <c r="EK5842" s="90">
        <v>14.63</v>
      </c>
      <c r="EL5842" s="90">
        <v>20.79</v>
      </c>
      <c r="EO5842" s="65" t="s">
        <v>6928</v>
      </c>
      <c r="EU5842" s="65">
        <v>326</v>
      </c>
      <c r="EV5842" s="65">
        <v>181</v>
      </c>
      <c r="EY5842" s="65" t="s">
        <v>6929</v>
      </c>
      <c r="FJ5842" s="65">
        <v>70.8</v>
      </c>
      <c r="FK5842" s="65">
        <v>26.57</v>
      </c>
      <c r="FN5842" s="65" t="s">
        <v>206</v>
      </c>
      <c r="FO5842" s="65">
        <v>60.32</v>
      </c>
      <c r="FP5842" s="65">
        <v>44.78</v>
      </c>
      <c r="FS5842" s="65" t="s">
        <v>6616</v>
      </c>
      <c r="GP5842" s="292" t="s">
        <v>7494</v>
      </c>
    </row>
    <row r="5843" spans="1:198" x14ac:dyDescent="0.25">
      <c r="A5843" s="55">
        <v>5842</v>
      </c>
      <c r="B5843" s="12" t="s">
        <v>7067</v>
      </c>
      <c r="C5843" s="155" t="s">
        <v>6922</v>
      </c>
      <c r="D5843" s="55" t="s">
        <v>6933</v>
      </c>
      <c r="E5843" s="90" t="s">
        <v>6488</v>
      </c>
      <c r="G5843" s="55" t="s">
        <v>6489</v>
      </c>
      <c r="H5843" s="55" t="s">
        <v>5608</v>
      </c>
      <c r="I5843" s="55" t="s">
        <v>5564</v>
      </c>
      <c r="J5843" s="55" t="s">
        <v>6627</v>
      </c>
      <c r="K5843" s="55" t="s">
        <v>6924</v>
      </c>
      <c r="L5843" s="55" t="s">
        <v>3377</v>
      </c>
      <c r="M5843" s="90">
        <v>35.58</v>
      </c>
      <c r="N5843" s="90">
        <v>104.61</v>
      </c>
      <c r="O5843" s="90">
        <v>2000</v>
      </c>
      <c r="Q5843" s="55" t="s">
        <v>5826</v>
      </c>
      <c r="S5843" s="90" t="s">
        <v>6925</v>
      </c>
      <c r="U5843" s="55" t="s">
        <v>1801</v>
      </c>
      <c r="V5843" s="55" t="s">
        <v>1801</v>
      </c>
      <c r="Z5843" s="55" t="s">
        <v>6605</v>
      </c>
      <c r="AA5843" s="90">
        <v>5</v>
      </c>
      <c r="AD5843" s="90">
        <v>1.17</v>
      </c>
      <c r="AO5843" s="185" t="s">
        <v>7494</v>
      </c>
      <c r="AR5843" s="55" t="s">
        <v>116</v>
      </c>
      <c r="AS5843" s="55" t="s">
        <v>116</v>
      </c>
      <c r="AT5843" s="181" t="s">
        <v>6926</v>
      </c>
      <c r="AU5843" s="181" t="s">
        <v>5150</v>
      </c>
      <c r="AV5843" s="185" t="s">
        <v>176</v>
      </c>
      <c r="AW5843" s="55" t="s">
        <v>6926</v>
      </c>
      <c r="AX5843" s="185" t="s">
        <v>176</v>
      </c>
      <c r="AY5843" s="55" t="s">
        <v>176</v>
      </c>
      <c r="AZ5843" s="55" t="s">
        <v>2081</v>
      </c>
      <c r="BK5843" s="55" t="s">
        <v>5981</v>
      </c>
      <c r="BN5843" s="55" t="s">
        <v>1805</v>
      </c>
      <c r="BO5843" s="55" t="s">
        <v>1805</v>
      </c>
      <c r="CM5843" s="65">
        <v>1.5629999999999999</v>
      </c>
      <c r="CN5843" s="65">
        <v>1.917</v>
      </c>
      <c r="EK5843" s="90">
        <v>14.63</v>
      </c>
      <c r="EL5843" s="90">
        <v>15.87</v>
      </c>
      <c r="EO5843" s="65" t="s">
        <v>6928</v>
      </c>
      <c r="EU5843" s="65">
        <v>326</v>
      </c>
      <c r="EV5843" s="65">
        <v>501</v>
      </c>
      <c r="EY5843" s="65" t="s">
        <v>6929</v>
      </c>
      <c r="FJ5843" s="65">
        <v>70.8</v>
      </c>
      <c r="FK5843" s="65">
        <v>32.11</v>
      </c>
      <c r="FN5843" s="65" t="s">
        <v>206</v>
      </c>
      <c r="FO5843" s="65">
        <v>60.32</v>
      </c>
      <c r="FP5843" s="65">
        <v>50.23</v>
      </c>
      <c r="FS5843" s="65" t="s">
        <v>6616</v>
      </c>
      <c r="GP5843" s="292" t="s">
        <v>7494</v>
      </c>
    </row>
    <row r="5844" spans="1:198" x14ac:dyDescent="0.25">
      <c r="A5844" s="55">
        <v>5843</v>
      </c>
      <c r="B5844" s="12" t="s">
        <v>7067</v>
      </c>
      <c r="C5844" s="155" t="s">
        <v>6922</v>
      </c>
      <c r="D5844" s="55" t="s">
        <v>6934</v>
      </c>
      <c r="E5844" s="90" t="s">
        <v>6488</v>
      </c>
      <c r="G5844" s="55" t="s">
        <v>6489</v>
      </c>
      <c r="H5844" s="55" t="s">
        <v>5608</v>
      </c>
      <c r="I5844" s="55" t="s">
        <v>5564</v>
      </c>
      <c r="J5844" s="55" t="s">
        <v>6627</v>
      </c>
      <c r="K5844" s="55" t="s">
        <v>6924</v>
      </c>
      <c r="L5844" s="55" t="s">
        <v>3377</v>
      </c>
      <c r="M5844" s="90">
        <v>35.58</v>
      </c>
      <c r="N5844" s="90">
        <v>104.61</v>
      </c>
      <c r="O5844" s="90">
        <v>2000</v>
      </c>
      <c r="Q5844" s="55" t="s">
        <v>5826</v>
      </c>
      <c r="S5844" s="90" t="s">
        <v>6925</v>
      </c>
      <c r="U5844" s="55" t="s">
        <v>1801</v>
      </c>
      <c r="V5844" s="55" t="s">
        <v>1801</v>
      </c>
      <c r="Z5844" s="55" t="s">
        <v>6605</v>
      </c>
      <c r="AA5844" s="90">
        <v>5</v>
      </c>
      <c r="AD5844" s="90">
        <v>1.17</v>
      </c>
      <c r="AO5844" s="185" t="s">
        <v>7494</v>
      </c>
      <c r="AR5844" s="55" t="s">
        <v>116</v>
      </c>
      <c r="AS5844" s="55" t="s">
        <v>116</v>
      </c>
      <c r="AT5844" s="181" t="s">
        <v>6927</v>
      </c>
      <c r="AU5844" s="181" t="s">
        <v>5150</v>
      </c>
      <c r="AV5844" s="185" t="s">
        <v>176</v>
      </c>
      <c r="AW5844" s="55" t="s">
        <v>6927</v>
      </c>
      <c r="AX5844" s="185" t="s">
        <v>176</v>
      </c>
      <c r="AY5844" s="55" t="s">
        <v>176</v>
      </c>
      <c r="AZ5844" s="55" t="s">
        <v>2081</v>
      </c>
      <c r="BA5844" s="55" t="s">
        <v>2082</v>
      </c>
      <c r="BK5844" s="55" t="s">
        <v>2082</v>
      </c>
      <c r="BN5844" s="55" t="s">
        <v>1805</v>
      </c>
      <c r="BO5844" s="55" t="s">
        <v>1805</v>
      </c>
      <c r="CM5844" s="65">
        <v>1.875</v>
      </c>
      <c r="CN5844" s="65">
        <v>1.972</v>
      </c>
      <c r="EK5844" s="90">
        <v>16.809999999999999</v>
      </c>
      <c r="EL5844" s="90">
        <v>20.03</v>
      </c>
      <c r="EO5844" s="65" t="s">
        <v>6928</v>
      </c>
      <c r="EU5844" s="65">
        <v>1000</v>
      </c>
      <c r="EV5844" s="65">
        <v>519</v>
      </c>
      <c r="EY5844" s="65" t="s">
        <v>6929</v>
      </c>
      <c r="FJ5844" s="65">
        <v>27.77</v>
      </c>
      <c r="FK5844" s="65">
        <v>32.729999999999997</v>
      </c>
      <c r="FN5844" s="65" t="s">
        <v>206</v>
      </c>
      <c r="FO5844" s="65">
        <v>53.1</v>
      </c>
      <c r="FP5844" s="65">
        <v>62.9</v>
      </c>
      <c r="FS5844" s="65" t="s">
        <v>6616</v>
      </c>
      <c r="GP5844" s="292" t="s">
        <v>7494</v>
      </c>
    </row>
    <row r="5845" spans="1:198" x14ac:dyDescent="0.25">
      <c r="A5845" s="55">
        <v>5844</v>
      </c>
      <c r="B5845" s="12" t="s">
        <v>7067</v>
      </c>
      <c r="C5845" s="155" t="s">
        <v>6922</v>
      </c>
      <c r="D5845" s="55" t="s">
        <v>6935</v>
      </c>
      <c r="E5845" s="90" t="s">
        <v>6488</v>
      </c>
      <c r="G5845" s="55" t="s">
        <v>6489</v>
      </c>
      <c r="H5845" s="55" t="s">
        <v>5608</v>
      </c>
      <c r="I5845" s="55" t="s">
        <v>5564</v>
      </c>
      <c r="J5845" s="55" t="s">
        <v>6627</v>
      </c>
      <c r="K5845" s="55" t="s">
        <v>6924</v>
      </c>
      <c r="L5845" s="55" t="s">
        <v>3377</v>
      </c>
      <c r="M5845" s="90">
        <v>35.58</v>
      </c>
      <c r="N5845" s="90">
        <v>104.61</v>
      </c>
      <c r="O5845" s="90">
        <v>2000</v>
      </c>
      <c r="Q5845" s="55" t="s">
        <v>5826</v>
      </c>
      <c r="S5845" s="90" t="s">
        <v>6925</v>
      </c>
      <c r="U5845" s="55" t="s">
        <v>1801</v>
      </c>
      <c r="V5845" s="55" t="s">
        <v>1801</v>
      </c>
      <c r="Z5845" s="55" t="s">
        <v>6605</v>
      </c>
      <c r="AA5845" s="90">
        <v>5</v>
      </c>
      <c r="AD5845" s="90">
        <v>1.17</v>
      </c>
      <c r="AO5845" s="185" t="s">
        <v>7494</v>
      </c>
      <c r="AR5845" s="55" t="s">
        <v>116</v>
      </c>
      <c r="AS5845" s="55" t="s">
        <v>116</v>
      </c>
      <c r="AT5845" s="181" t="s">
        <v>6927</v>
      </c>
      <c r="AU5845" s="181" t="s">
        <v>5150</v>
      </c>
      <c r="AV5845" s="185" t="s">
        <v>176</v>
      </c>
      <c r="AW5845" s="55" t="s">
        <v>6927</v>
      </c>
      <c r="AX5845" s="185" t="s">
        <v>176</v>
      </c>
      <c r="AY5845" s="55" t="s">
        <v>176</v>
      </c>
      <c r="AZ5845" s="55" t="s">
        <v>2081</v>
      </c>
      <c r="BA5845" s="55" t="s">
        <v>2082</v>
      </c>
      <c r="BK5845" s="55" t="s">
        <v>6452</v>
      </c>
      <c r="BN5845" s="55" t="s">
        <v>1805</v>
      </c>
      <c r="BO5845" s="55" t="s">
        <v>1805</v>
      </c>
      <c r="CM5845" s="65">
        <v>1.875</v>
      </c>
      <c r="CN5845" s="65">
        <v>1.9930000000000001</v>
      </c>
      <c r="EK5845" s="90">
        <v>16.809999999999999</v>
      </c>
      <c r="EL5845" s="90">
        <v>19.45</v>
      </c>
      <c r="EO5845" s="65" t="s">
        <v>6928</v>
      </c>
      <c r="EU5845" s="65">
        <v>1000</v>
      </c>
      <c r="EV5845" s="65">
        <v>659</v>
      </c>
      <c r="EY5845" s="65" t="s">
        <v>6929</v>
      </c>
      <c r="FJ5845" s="65">
        <v>27.77</v>
      </c>
      <c r="FK5845" s="65">
        <v>14.89</v>
      </c>
      <c r="FN5845" s="65" t="s">
        <v>206</v>
      </c>
      <c r="FO5845" s="65">
        <v>53.1</v>
      </c>
      <c r="FP5845" s="65">
        <v>44.85</v>
      </c>
      <c r="FS5845" s="65" t="s">
        <v>6616</v>
      </c>
      <c r="GP5845" s="292" t="s">
        <v>7494</v>
      </c>
    </row>
    <row r="5846" spans="1:198" x14ac:dyDescent="0.25">
      <c r="A5846" s="55">
        <v>5845</v>
      </c>
      <c r="B5846" s="12" t="s">
        <v>7067</v>
      </c>
      <c r="C5846" s="155" t="s">
        <v>6922</v>
      </c>
      <c r="D5846" s="55" t="s">
        <v>6936</v>
      </c>
      <c r="E5846" s="90" t="s">
        <v>6488</v>
      </c>
      <c r="G5846" s="55" t="s">
        <v>6489</v>
      </c>
      <c r="H5846" s="55" t="s">
        <v>5608</v>
      </c>
      <c r="I5846" s="55" t="s">
        <v>5564</v>
      </c>
      <c r="J5846" s="55" t="s">
        <v>6627</v>
      </c>
      <c r="K5846" s="55" t="s">
        <v>6924</v>
      </c>
      <c r="L5846" s="55" t="s">
        <v>3377</v>
      </c>
      <c r="M5846" s="90">
        <v>35.58</v>
      </c>
      <c r="N5846" s="90">
        <v>104.61</v>
      </c>
      <c r="O5846" s="90">
        <v>2000</v>
      </c>
      <c r="Q5846" s="55" t="s">
        <v>5826</v>
      </c>
      <c r="S5846" s="90" t="s">
        <v>6925</v>
      </c>
      <c r="U5846" s="55" t="s">
        <v>1801</v>
      </c>
      <c r="V5846" s="55" t="s">
        <v>1801</v>
      </c>
      <c r="Z5846" s="55" t="s">
        <v>6605</v>
      </c>
      <c r="AA5846" s="90">
        <v>5</v>
      </c>
      <c r="AD5846" s="90">
        <v>1.17</v>
      </c>
      <c r="AO5846" s="185" t="s">
        <v>7494</v>
      </c>
      <c r="AR5846" s="55" t="s">
        <v>116</v>
      </c>
      <c r="AS5846" s="55" t="s">
        <v>116</v>
      </c>
      <c r="AT5846" s="181" t="s">
        <v>6927</v>
      </c>
      <c r="AU5846" s="181" t="s">
        <v>5150</v>
      </c>
      <c r="AV5846" s="185" t="s">
        <v>176</v>
      </c>
      <c r="AW5846" s="55" t="s">
        <v>6927</v>
      </c>
      <c r="AX5846" s="185" t="s">
        <v>176</v>
      </c>
      <c r="AY5846" s="55" t="s">
        <v>176</v>
      </c>
      <c r="AZ5846" s="55" t="s">
        <v>2081</v>
      </c>
      <c r="BK5846" s="55" t="s">
        <v>5981</v>
      </c>
      <c r="BN5846" s="55" t="s">
        <v>1805</v>
      </c>
      <c r="BO5846" s="55" t="s">
        <v>1805</v>
      </c>
      <c r="CM5846" s="65">
        <v>1.875</v>
      </c>
      <c r="CN5846" s="65">
        <v>1.925</v>
      </c>
      <c r="EK5846" s="90">
        <v>16.809999999999999</v>
      </c>
      <c r="EL5846" s="90">
        <v>20.51</v>
      </c>
      <c r="EO5846" s="65" t="s">
        <v>6928</v>
      </c>
      <c r="EU5846" s="65">
        <v>1000</v>
      </c>
      <c r="EV5846" s="65">
        <v>520</v>
      </c>
      <c r="EY5846" s="65" t="s">
        <v>6929</v>
      </c>
      <c r="FJ5846" s="65">
        <v>27.77</v>
      </c>
      <c r="FK5846" s="65">
        <v>23.79</v>
      </c>
      <c r="FN5846" s="65" t="s">
        <v>206</v>
      </c>
      <c r="FO5846" s="65">
        <v>53.1</v>
      </c>
      <c r="FP5846" s="65">
        <v>66.260000000000005</v>
      </c>
      <c r="FS5846" s="65" t="s">
        <v>6616</v>
      </c>
      <c r="GP5846" s="292" t="s">
        <v>7494</v>
      </c>
    </row>
    <row r="5847" spans="1:198" x14ac:dyDescent="0.25">
      <c r="A5847" s="55">
        <v>5846</v>
      </c>
      <c r="B5847" s="12" t="s">
        <v>7067</v>
      </c>
      <c r="C5847" s="155" t="s">
        <v>6922</v>
      </c>
      <c r="D5847" s="55" t="s">
        <v>6937</v>
      </c>
      <c r="E5847" s="90" t="s">
        <v>6488</v>
      </c>
      <c r="G5847" s="55" t="s">
        <v>6489</v>
      </c>
      <c r="H5847" s="55" t="s">
        <v>5608</v>
      </c>
      <c r="I5847" s="55" t="s">
        <v>5564</v>
      </c>
      <c r="J5847" s="55" t="s">
        <v>6627</v>
      </c>
      <c r="K5847" s="55" t="s">
        <v>6924</v>
      </c>
      <c r="L5847" s="55" t="s">
        <v>3377</v>
      </c>
      <c r="M5847" s="90">
        <v>35.58</v>
      </c>
      <c r="N5847" s="90">
        <v>104.61</v>
      </c>
      <c r="O5847" s="90">
        <v>2000</v>
      </c>
      <c r="Q5847" s="55" t="s">
        <v>5826</v>
      </c>
      <c r="S5847" s="90" t="s">
        <v>6925</v>
      </c>
      <c r="U5847" s="55" t="s">
        <v>1801</v>
      </c>
      <c r="V5847" s="55" t="s">
        <v>1801</v>
      </c>
      <c r="Z5847" s="55" t="s">
        <v>6606</v>
      </c>
      <c r="AA5847" s="90">
        <v>5</v>
      </c>
      <c r="AO5847" s="185" t="s">
        <v>7494</v>
      </c>
      <c r="AR5847" s="55" t="s">
        <v>116</v>
      </c>
      <c r="AS5847" s="55" t="s">
        <v>116</v>
      </c>
      <c r="AT5847" s="181" t="s">
        <v>6926</v>
      </c>
      <c r="AU5847" s="181" t="s">
        <v>5150</v>
      </c>
      <c r="AV5847" s="185" t="s">
        <v>176</v>
      </c>
      <c r="AW5847" s="55" t="s">
        <v>6926</v>
      </c>
      <c r="AX5847" s="185" t="s">
        <v>176</v>
      </c>
      <c r="AY5847" s="55" t="s">
        <v>176</v>
      </c>
      <c r="AZ5847" s="55" t="s">
        <v>2081</v>
      </c>
      <c r="BA5847" s="55" t="s">
        <v>2082</v>
      </c>
      <c r="BK5847" s="55" t="s">
        <v>2082</v>
      </c>
      <c r="BN5847" s="55" t="s">
        <v>1805</v>
      </c>
      <c r="BO5847" s="55" t="s">
        <v>1805</v>
      </c>
      <c r="CM5847" s="65">
        <v>1.526</v>
      </c>
      <c r="CN5847" s="65">
        <v>1.5660000000000001</v>
      </c>
      <c r="EU5847" s="65">
        <v>2020</v>
      </c>
      <c r="EV5847" s="65">
        <v>161</v>
      </c>
      <c r="EY5847" s="65" t="s">
        <v>6929</v>
      </c>
      <c r="GP5847" s="292" t="s">
        <v>7494</v>
      </c>
    </row>
    <row r="5848" spans="1:198" x14ac:dyDescent="0.25">
      <c r="A5848" s="55">
        <v>5847</v>
      </c>
      <c r="B5848" s="12" t="s">
        <v>7067</v>
      </c>
      <c r="C5848" s="155" t="s">
        <v>6922</v>
      </c>
      <c r="D5848" s="55" t="s">
        <v>6938</v>
      </c>
      <c r="E5848" s="90" t="s">
        <v>6488</v>
      </c>
      <c r="G5848" s="55" t="s">
        <v>6489</v>
      </c>
      <c r="H5848" s="55" t="s">
        <v>5608</v>
      </c>
      <c r="I5848" s="55" t="s">
        <v>5564</v>
      </c>
      <c r="J5848" s="55" t="s">
        <v>6627</v>
      </c>
      <c r="K5848" s="55" t="s">
        <v>6924</v>
      </c>
      <c r="L5848" s="55" t="s">
        <v>3377</v>
      </c>
      <c r="M5848" s="90">
        <v>35.58</v>
      </c>
      <c r="N5848" s="90">
        <v>104.61</v>
      </c>
      <c r="O5848" s="90">
        <v>2000</v>
      </c>
      <c r="Q5848" s="55" t="s">
        <v>5826</v>
      </c>
      <c r="S5848" s="90" t="s">
        <v>6925</v>
      </c>
      <c r="U5848" s="55" t="s">
        <v>1801</v>
      </c>
      <c r="V5848" s="55" t="s">
        <v>1801</v>
      </c>
      <c r="Z5848" s="55" t="s">
        <v>6606</v>
      </c>
      <c r="AA5848" s="90">
        <v>5</v>
      </c>
      <c r="AO5848" s="185" t="s">
        <v>7494</v>
      </c>
      <c r="AR5848" s="55" t="s">
        <v>116</v>
      </c>
      <c r="AS5848" s="55" t="s">
        <v>116</v>
      </c>
      <c r="AT5848" s="181" t="s">
        <v>6926</v>
      </c>
      <c r="AU5848" s="181" t="s">
        <v>5150</v>
      </c>
      <c r="AV5848" s="185" t="s">
        <v>176</v>
      </c>
      <c r="AW5848" s="55" t="s">
        <v>6926</v>
      </c>
      <c r="AX5848" s="185" t="s">
        <v>176</v>
      </c>
      <c r="AY5848" s="55" t="s">
        <v>176</v>
      </c>
      <c r="AZ5848" s="55" t="s">
        <v>2081</v>
      </c>
      <c r="BA5848" s="55" t="s">
        <v>2082</v>
      </c>
      <c r="BK5848" s="55" t="s">
        <v>6452</v>
      </c>
      <c r="BN5848" s="55" t="s">
        <v>1805</v>
      </c>
      <c r="BO5848" s="55" t="s">
        <v>1805</v>
      </c>
      <c r="CM5848" s="65">
        <v>1.526</v>
      </c>
      <c r="CN5848" s="65">
        <v>1.7749999999999999</v>
      </c>
      <c r="EU5848" s="65">
        <v>2020</v>
      </c>
      <c r="EV5848" s="65">
        <v>351</v>
      </c>
      <c r="EY5848" s="65" t="s">
        <v>6929</v>
      </c>
      <c r="GP5848" s="292" t="s">
        <v>7494</v>
      </c>
    </row>
    <row r="5849" spans="1:198" x14ac:dyDescent="0.25">
      <c r="A5849" s="55">
        <v>5848</v>
      </c>
      <c r="B5849" s="12" t="s">
        <v>7067</v>
      </c>
      <c r="C5849" s="155" t="s">
        <v>6922</v>
      </c>
      <c r="D5849" s="55" t="s">
        <v>6939</v>
      </c>
      <c r="E5849" s="90" t="s">
        <v>6488</v>
      </c>
      <c r="G5849" s="55" t="s">
        <v>6489</v>
      </c>
      <c r="H5849" s="55" t="s">
        <v>5608</v>
      </c>
      <c r="I5849" s="55" t="s">
        <v>5564</v>
      </c>
      <c r="J5849" s="55" t="s">
        <v>6627</v>
      </c>
      <c r="K5849" s="55" t="s">
        <v>6924</v>
      </c>
      <c r="L5849" s="55" t="s">
        <v>3377</v>
      </c>
      <c r="M5849" s="90">
        <v>35.58</v>
      </c>
      <c r="N5849" s="90">
        <v>104.61</v>
      </c>
      <c r="O5849" s="90">
        <v>2000</v>
      </c>
      <c r="Q5849" s="55" t="s">
        <v>5826</v>
      </c>
      <c r="S5849" s="90" t="s">
        <v>6925</v>
      </c>
      <c r="U5849" s="55" t="s">
        <v>1801</v>
      </c>
      <c r="V5849" s="55" t="s">
        <v>1801</v>
      </c>
      <c r="Z5849" s="55" t="s">
        <v>6606</v>
      </c>
      <c r="AA5849" s="90">
        <v>5</v>
      </c>
      <c r="AO5849" s="185" t="s">
        <v>7494</v>
      </c>
      <c r="AR5849" s="55" t="s">
        <v>116</v>
      </c>
      <c r="AS5849" s="55" t="s">
        <v>116</v>
      </c>
      <c r="AT5849" s="181" t="s">
        <v>6926</v>
      </c>
      <c r="AU5849" s="181" t="s">
        <v>5150</v>
      </c>
      <c r="AV5849" s="185" t="s">
        <v>176</v>
      </c>
      <c r="AW5849" s="55" t="s">
        <v>6926</v>
      </c>
      <c r="AX5849" s="185" t="s">
        <v>176</v>
      </c>
      <c r="AY5849" s="55" t="s">
        <v>176</v>
      </c>
      <c r="AZ5849" s="55" t="s">
        <v>2081</v>
      </c>
      <c r="BK5849" s="55" t="s">
        <v>5981</v>
      </c>
      <c r="BN5849" s="55" t="s">
        <v>1805</v>
      </c>
      <c r="BO5849" s="55" t="s">
        <v>1805</v>
      </c>
      <c r="CM5849" s="65">
        <v>1.526</v>
      </c>
      <c r="CN5849" s="65">
        <v>1.6140000000000001</v>
      </c>
      <c r="EU5849" s="65">
        <v>2020</v>
      </c>
      <c r="EV5849" s="65">
        <v>919</v>
      </c>
      <c r="EY5849" s="65" t="s">
        <v>6929</v>
      </c>
      <c r="GP5849" s="292" t="s">
        <v>7494</v>
      </c>
    </row>
    <row r="5850" spans="1:198" x14ac:dyDescent="0.25">
      <c r="A5850" s="55">
        <v>5849</v>
      </c>
      <c r="B5850" s="12" t="s">
        <v>7067</v>
      </c>
      <c r="C5850" s="155" t="s">
        <v>6922</v>
      </c>
      <c r="D5850" s="55" t="s">
        <v>6940</v>
      </c>
      <c r="E5850" s="90" t="s">
        <v>6488</v>
      </c>
      <c r="G5850" s="55" t="s">
        <v>6489</v>
      </c>
      <c r="H5850" s="55" t="s">
        <v>5608</v>
      </c>
      <c r="I5850" s="55" t="s">
        <v>5564</v>
      </c>
      <c r="J5850" s="55" t="s">
        <v>6627</v>
      </c>
      <c r="K5850" s="55" t="s">
        <v>6924</v>
      </c>
      <c r="L5850" s="55" t="s">
        <v>3377</v>
      </c>
      <c r="M5850" s="90">
        <v>35.58</v>
      </c>
      <c r="N5850" s="90">
        <v>104.61</v>
      </c>
      <c r="O5850" s="90">
        <v>2000</v>
      </c>
      <c r="Q5850" s="55" t="s">
        <v>5826</v>
      </c>
      <c r="S5850" s="90" t="s">
        <v>6925</v>
      </c>
      <c r="U5850" s="55" t="s">
        <v>1801</v>
      </c>
      <c r="V5850" s="55" t="s">
        <v>1801</v>
      </c>
      <c r="Z5850" s="55" t="s">
        <v>6606</v>
      </c>
      <c r="AA5850" s="90">
        <v>5</v>
      </c>
      <c r="AO5850" s="185" t="s">
        <v>7494</v>
      </c>
      <c r="AR5850" s="55" t="s">
        <v>116</v>
      </c>
      <c r="AS5850" s="55" t="s">
        <v>116</v>
      </c>
      <c r="AT5850" s="181" t="s">
        <v>6927</v>
      </c>
      <c r="AU5850" s="181" t="s">
        <v>5150</v>
      </c>
      <c r="AV5850" s="185" t="s">
        <v>176</v>
      </c>
      <c r="AW5850" s="55" t="s">
        <v>6927</v>
      </c>
      <c r="AX5850" s="185" t="s">
        <v>176</v>
      </c>
      <c r="AY5850" s="55" t="s">
        <v>176</v>
      </c>
      <c r="AZ5850" s="55" t="s">
        <v>2081</v>
      </c>
      <c r="BA5850" s="55" t="s">
        <v>2082</v>
      </c>
      <c r="BK5850" s="55" t="s">
        <v>2082</v>
      </c>
      <c r="BN5850" s="55" t="s">
        <v>1805</v>
      </c>
      <c r="BO5850" s="55" t="s">
        <v>1805</v>
      </c>
      <c r="CM5850" s="65">
        <v>1.73</v>
      </c>
      <c r="CN5850" s="65">
        <v>1.7290000000000001</v>
      </c>
      <c r="EU5850" s="65">
        <v>1190</v>
      </c>
      <c r="EV5850" s="65">
        <v>948</v>
      </c>
      <c r="EY5850" s="65" t="s">
        <v>6929</v>
      </c>
      <c r="GP5850" s="292" t="s">
        <v>7494</v>
      </c>
    </row>
    <row r="5851" spans="1:198" x14ac:dyDescent="0.25">
      <c r="A5851" s="55">
        <v>5850</v>
      </c>
      <c r="B5851" s="12" t="s">
        <v>7067</v>
      </c>
      <c r="C5851" s="155" t="s">
        <v>6922</v>
      </c>
      <c r="D5851" s="55" t="s">
        <v>6941</v>
      </c>
      <c r="E5851" s="90" t="s">
        <v>6488</v>
      </c>
      <c r="G5851" s="55" t="s">
        <v>6489</v>
      </c>
      <c r="H5851" s="55" t="s">
        <v>5608</v>
      </c>
      <c r="I5851" s="55" t="s">
        <v>5564</v>
      </c>
      <c r="J5851" s="55" t="s">
        <v>6627</v>
      </c>
      <c r="K5851" s="55" t="s">
        <v>6924</v>
      </c>
      <c r="L5851" s="55" t="s">
        <v>3377</v>
      </c>
      <c r="M5851" s="90">
        <v>35.58</v>
      </c>
      <c r="N5851" s="90">
        <v>104.61</v>
      </c>
      <c r="O5851" s="90">
        <v>2000</v>
      </c>
      <c r="Q5851" s="55" t="s">
        <v>5826</v>
      </c>
      <c r="S5851" s="90" t="s">
        <v>6925</v>
      </c>
      <c r="U5851" s="55" t="s">
        <v>1801</v>
      </c>
      <c r="V5851" s="55" t="s">
        <v>1801</v>
      </c>
      <c r="Z5851" s="55" t="s">
        <v>6606</v>
      </c>
      <c r="AA5851" s="90">
        <v>5</v>
      </c>
      <c r="AO5851" s="185" t="s">
        <v>7494</v>
      </c>
      <c r="AR5851" s="55" t="s">
        <v>116</v>
      </c>
      <c r="AS5851" s="55" t="s">
        <v>116</v>
      </c>
      <c r="AT5851" s="181" t="s">
        <v>6927</v>
      </c>
      <c r="AU5851" s="181" t="s">
        <v>5150</v>
      </c>
      <c r="AV5851" s="185" t="s">
        <v>176</v>
      </c>
      <c r="AW5851" s="55" t="s">
        <v>6927</v>
      </c>
      <c r="AX5851" s="185" t="s">
        <v>176</v>
      </c>
      <c r="AY5851" s="55" t="s">
        <v>176</v>
      </c>
      <c r="AZ5851" s="55" t="s">
        <v>2081</v>
      </c>
      <c r="BA5851" s="55" t="s">
        <v>2082</v>
      </c>
      <c r="BK5851" s="55" t="s">
        <v>6452</v>
      </c>
      <c r="BN5851" s="55" t="s">
        <v>1805</v>
      </c>
      <c r="BO5851" s="55" t="s">
        <v>1805</v>
      </c>
      <c r="CM5851" s="65">
        <v>1.73</v>
      </c>
      <c r="CN5851" s="65">
        <v>1.762</v>
      </c>
      <c r="EU5851" s="65">
        <v>1190</v>
      </c>
      <c r="EV5851" s="65">
        <v>1710</v>
      </c>
      <c r="EY5851" s="65" t="s">
        <v>6929</v>
      </c>
      <c r="GP5851" s="292" t="s">
        <v>7494</v>
      </c>
    </row>
    <row r="5852" spans="1:198" x14ac:dyDescent="0.25">
      <c r="A5852" s="55">
        <v>5851</v>
      </c>
      <c r="B5852" s="12" t="s">
        <v>7067</v>
      </c>
      <c r="C5852" s="155" t="s">
        <v>6922</v>
      </c>
      <c r="D5852" s="55" t="s">
        <v>6942</v>
      </c>
      <c r="E5852" s="90" t="s">
        <v>6488</v>
      </c>
      <c r="G5852" s="55" t="s">
        <v>6489</v>
      </c>
      <c r="H5852" s="55" t="s">
        <v>5608</v>
      </c>
      <c r="I5852" s="55" t="s">
        <v>5564</v>
      </c>
      <c r="J5852" s="55" t="s">
        <v>6627</v>
      </c>
      <c r="K5852" s="55" t="s">
        <v>6924</v>
      </c>
      <c r="L5852" s="55" t="s">
        <v>3377</v>
      </c>
      <c r="M5852" s="90">
        <v>35.58</v>
      </c>
      <c r="N5852" s="90">
        <v>104.61</v>
      </c>
      <c r="O5852" s="90">
        <v>2000</v>
      </c>
      <c r="Q5852" s="55" t="s">
        <v>5826</v>
      </c>
      <c r="S5852" s="90" t="s">
        <v>6925</v>
      </c>
      <c r="U5852" s="55" t="s">
        <v>1801</v>
      </c>
      <c r="V5852" s="55" t="s">
        <v>1801</v>
      </c>
      <c r="Z5852" s="55" t="s">
        <v>6606</v>
      </c>
      <c r="AA5852" s="90">
        <v>5</v>
      </c>
      <c r="AO5852" s="185" t="s">
        <v>7494</v>
      </c>
      <c r="AR5852" s="55" t="s">
        <v>116</v>
      </c>
      <c r="AS5852" s="55" t="s">
        <v>116</v>
      </c>
      <c r="AT5852" s="181" t="s">
        <v>6927</v>
      </c>
      <c r="AU5852" s="181" t="s">
        <v>5150</v>
      </c>
      <c r="AV5852" s="185" t="s">
        <v>176</v>
      </c>
      <c r="AW5852" s="55" t="s">
        <v>6927</v>
      </c>
      <c r="AX5852" s="185" t="s">
        <v>176</v>
      </c>
      <c r="AY5852" s="55" t="s">
        <v>176</v>
      </c>
      <c r="AZ5852" s="55" t="s">
        <v>2081</v>
      </c>
      <c r="BK5852" s="55" t="s">
        <v>5981</v>
      </c>
      <c r="BN5852" s="55" t="s">
        <v>1805</v>
      </c>
      <c r="BO5852" s="55" t="s">
        <v>1805</v>
      </c>
      <c r="CM5852" s="65">
        <v>1.73</v>
      </c>
      <c r="CN5852" s="65">
        <v>1.7509999999999999</v>
      </c>
      <c r="EU5852" s="65">
        <v>1190</v>
      </c>
      <c r="EV5852" s="65">
        <v>1370</v>
      </c>
      <c r="EY5852" s="65" t="s">
        <v>6929</v>
      </c>
      <c r="GP5852" s="292" t="s">
        <v>7494</v>
      </c>
    </row>
    <row r="5853" spans="1:198" x14ac:dyDescent="0.25">
      <c r="A5853" s="55">
        <v>5852</v>
      </c>
      <c r="B5853" s="12" t="s">
        <v>7067</v>
      </c>
      <c r="C5853" s="155" t="s">
        <v>6930</v>
      </c>
      <c r="D5853" s="55" t="s">
        <v>6931</v>
      </c>
      <c r="E5853" s="90" t="s">
        <v>6409</v>
      </c>
      <c r="G5853" s="55" t="s">
        <v>6943</v>
      </c>
      <c r="H5853" s="55" t="s">
        <v>6390</v>
      </c>
      <c r="I5853" s="55" t="s">
        <v>5888</v>
      </c>
      <c r="J5853" s="55" t="s">
        <v>6627</v>
      </c>
      <c r="K5853" s="55" t="s">
        <v>6944</v>
      </c>
      <c r="L5853" s="55" t="s">
        <v>3377</v>
      </c>
      <c r="M5853" s="90">
        <v>45.75</v>
      </c>
      <c r="N5853" s="90">
        <v>127.47</v>
      </c>
      <c r="O5853" s="90">
        <v>450</v>
      </c>
      <c r="Q5853" s="55" t="s">
        <v>6945</v>
      </c>
      <c r="S5853" s="90" t="s">
        <v>6946</v>
      </c>
      <c r="U5853" s="55" t="s">
        <v>1935</v>
      </c>
      <c r="V5853" s="55" t="s">
        <v>1935</v>
      </c>
      <c r="Z5853" s="55" t="s">
        <v>6605</v>
      </c>
      <c r="AA5853" s="90">
        <v>5</v>
      </c>
      <c r="AJ5853" s="90">
        <v>4</v>
      </c>
      <c r="AM5853" s="55" t="s">
        <v>6739</v>
      </c>
      <c r="AO5853" s="185" t="s">
        <v>7494</v>
      </c>
      <c r="AR5853" s="55" t="s">
        <v>132</v>
      </c>
      <c r="AS5853" s="55" t="s">
        <v>132</v>
      </c>
      <c r="AU5853" s="181" t="s">
        <v>7494</v>
      </c>
      <c r="AV5853" s="185" t="s">
        <v>176</v>
      </c>
      <c r="AX5853" s="185" t="s">
        <v>176</v>
      </c>
      <c r="AZ5853" s="55" t="s">
        <v>2081</v>
      </c>
      <c r="BK5853" s="55" t="s">
        <v>6568</v>
      </c>
      <c r="BN5853" s="55" t="s">
        <v>1816</v>
      </c>
      <c r="BO5853" s="55" t="s">
        <v>1816</v>
      </c>
      <c r="BV5853" s="55" t="s">
        <v>6953</v>
      </c>
      <c r="CH5853" s="90">
        <v>1.27</v>
      </c>
      <c r="CI5853" s="90">
        <v>1.28</v>
      </c>
      <c r="EZ5853" s="65">
        <v>0.44</v>
      </c>
      <c r="FA5853" s="65">
        <v>0.43</v>
      </c>
      <c r="FB5853" s="65">
        <v>0.01</v>
      </c>
      <c r="FC5853" s="65">
        <v>0.04</v>
      </c>
      <c r="FD5853" s="65" t="s">
        <v>6759</v>
      </c>
      <c r="FJ5853" s="65">
        <v>11.78</v>
      </c>
      <c r="FK5853" s="65">
        <v>9.4600000000000009</v>
      </c>
      <c r="FN5853" s="65" t="s">
        <v>6952</v>
      </c>
      <c r="FO5853" s="65">
        <v>349.76</v>
      </c>
      <c r="FP5853" s="65">
        <v>488</v>
      </c>
      <c r="FQ5853" s="65">
        <v>10</v>
      </c>
      <c r="FR5853" s="65">
        <v>40</v>
      </c>
      <c r="FS5853" s="65" t="s">
        <v>637</v>
      </c>
      <c r="GD5853" s="65">
        <v>21.2</v>
      </c>
      <c r="GE5853" s="65">
        <v>24.35</v>
      </c>
      <c r="GH5853" s="65" t="s">
        <v>164</v>
      </c>
      <c r="GP5853" s="292" t="s">
        <v>7494</v>
      </c>
    </row>
    <row r="5854" spans="1:198" x14ac:dyDescent="0.25">
      <c r="A5854" s="55">
        <v>5853</v>
      </c>
      <c r="B5854" s="12" t="s">
        <v>7067</v>
      </c>
      <c r="C5854" s="155" t="s">
        <v>6930</v>
      </c>
      <c r="D5854" s="55" t="s">
        <v>6948</v>
      </c>
      <c r="E5854" s="90" t="s">
        <v>6409</v>
      </c>
      <c r="G5854" s="55" t="s">
        <v>6943</v>
      </c>
      <c r="H5854" s="55" t="s">
        <v>6390</v>
      </c>
      <c r="I5854" s="55" t="s">
        <v>5888</v>
      </c>
      <c r="J5854" s="55" t="s">
        <v>6627</v>
      </c>
      <c r="K5854" s="55" t="s">
        <v>6944</v>
      </c>
      <c r="L5854" s="55" t="s">
        <v>3377</v>
      </c>
      <c r="M5854" s="90">
        <v>45.75</v>
      </c>
      <c r="N5854" s="90">
        <v>127.47</v>
      </c>
      <c r="O5854" s="90">
        <v>450</v>
      </c>
      <c r="Q5854" s="55" t="s">
        <v>6945</v>
      </c>
      <c r="S5854" s="90" t="s">
        <v>6946</v>
      </c>
      <c r="U5854" s="55" t="s">
        <v>1935</v>
      </c>
      <c r="V5854" s="55" t="s">
        <v>1935</v>
      </c>
      <c r="Z5854" s="55" t="s">
        <v>6605</v>
      </c>
      <c r="AA5854" s="90">
        <v>5</v>
      </c>
      <c r="AJ5854" s="90">
        <v>4</v>
      </c>
      <c r="AM5854" s="55" t="s">
        <v>6739</v>
      </c>
      <c r="AO5854" s="185" t="s">
        <v>7494</v>
      </c>
      <c r="AR5854" s="55" t="s">
        <v>132</v>
      </c>
      <c r="AS5854" s="55" t="s">
        <v>132</v>
      </c>
      <c r="AU5854" s="181" t="s">
        <v>7494</v>
      </c>
      <c r="AV5854" s="185" t="s">
        <v>176</v>
      </c>
      <c r="AX5854" s="185" t="s">
        <v>176</v>
      </c>
      <c r="AZ5854" s="55" t="s">
        <v>2081</v>
      </c>
      <c r="BK5854" s="55" t="s">
        <v>6568</v>
      </c>
      <c r="BN5854" s="55" t="s">
        <v>1816</v>
      </c>
      <c r="BO5854" s="55" t="s">
        <v>1816</v>
      </c>
      <c r="BV5854" s="55" t="s">
        <v>6953</v>
      </c>
      <c r="CH5854" s="90">
        <v>1.27</v>
      </c>
      <c r="CI5854" s="90">
        <v>1.43</v>
      </c>
      <c r="EZ5854" s="65">
        <v>0.44</v>
      </c>
      <c r="FA5854" s="65">
        <v>0.53</v>
      </c>
      <c r="FB5854" s="65">
        <v>0.01</v>
      </c>
      <c r="FC5854" s="65">
        <v>0.04</v>
      </c>
      <c r="FD5854" s="65" t="s">
        <v>6759</v>
      </c>
      <c r="FJ5854" s="65">
        <v>11.78</v>
      </c>
      <c r="FK5854" s="65">
        <v>11.36</v>
      </c>
      <c r="FN5854" s="65" t="s">
        <v>6952</v>
      </c>
      <c r="FO5854" s="65">
        <v>349.76</v>
      </c>
      <c r="FP5854" s="65">
        <v>373</v>
      </c>
      <c r="FQ5854" s="65">
        <v>10</v>
      </c>
      <c r="FR5854" s="65">
        <v>45</v>
      </c>
      <c r="FS5854" s="65" t="s">
        <v>637</v>
      </c>
      <c r="GD5854" s="65">
        <v>21.2</v>
      </c>
      <c r="GE5854" s="65">
        <v>26.05</v>
      </c>
      <c r="GH5854" s="65" t="s">
        <v>164</v>
      </c>
      <c r="GP5854" s="292" t="s">
        <v>7494</v>
      </c>
    </row>
    <row r="5855" spans="1:198" x14ac:dyDescent="0.25">
      <c r="A5855" s="55">
        <v>5854</v>
      </c>
      <c r="B5855" s="12" t="s">
        <v>7067</v>
      </c>
      <c r="C5855" s="155" t="s">
        <v>6930</v>
      </c>
      <c r="D5855" s="55" t="s">
        <v>6949</v>
      </c>
      <c r="E5855" s="90" t="s">
        <v>6409</v>
      </c>
      <c r="G5855" s="55" t="s">
        <v>6943</v>
      </c>
      <c r="H5855" s="55" t="s">
        <v>6390</v>
      </c>
      <c r="I5855" s="55" t="s">
        <v>5888</v>
      </c>
      <c r="J5855" s="55" t="s">
        <v>6627</v>
      </c>
      <c r="K5855" s="55" t="s">
        <v>6944</v>
      </c>
      <c r="L5855" s="55" t="s">
        <v>3377</v>
      </c>
      <c r="M5855" s="90">
        <v>45.75</v>
      </c>
      <c r="N5855" s="90">
        <v>127.47</v>
      </c>
      <c r="O5855" s="90">
        <v>450</v>
      </c>
      <c r="Q5855" s="55" t="s">
        <v>6945</v>
      </c>
      <c r="S5855" s="90" t="s">
        <v>6946</v>
      </c>
      <c r="U5855" s="55" t="s">
        <v>1935</v>
      </c>
      <c r="V5855" s="55" t="s">
        <v>1935</v>
      </c>
      <c r="Z5855" s="55" t="s">
        <v>6605</v>
      </c>
      <c r="AA5855" s="90">
        <v>5</v>
      </c>
      <c r="AJ5855" s="90">
        <v>4</v>
      </c>
      <c r="AM5855" s="55" t="s">
        <v>6739</v>
      </c>
      <c r="AO5855" s="185" t="s">
        <v>7494</v>
      </c>
      <c r="AR5855" s="55" t="s">
        <v>132</v>
      </c>
      <c r="AS5855" s="55" t="s">
        <v>132</v>
      </c>
      <c r="AU5855" s="181" t="s">
        <v>7494</v>
      </c>
      <c r="AV5855" s="185" t="s">
        <v>176</v>
      </c>
      <c r="AX5855" s="185" t="s">
        <v>176</v>
      </c>
      <c r="AZ5855" s="55" t="s">
        <v>2081</v>
      </c>
      <c r="BK5855" s="55" t="s">
        <v>6502</v>
      </c>
      <c r="BN5855" s="55" t="s">
        <v>1816</v>
      </c>
      <c r="BO5855" s="55" t="s">
        <v>1816</v>
      </c>
      <c r="BV5855" s="55" t="s">
        <v>6953</v>
      </c>
      <c r="CH5855" s="90">
        <v>1.27</v>
      </c>
      <c r="CI5855" s="90">
        <v>1.26</v>
      </c>
      <c r="EZ5855" s="65">
        <v>0.44</v>
      </c>
      <c r="FA5855" s="65">
        <v>0.43</v>
      </c>
      <c r="FB5855" s="65">
        <v>0.01</v>
      </c>
      <c r="FC5855" s="65">
        <v>0.04</v>
      </c>
      <c r="FD5855" s="65" t="s">
        <v>6759</v>
      </c>
      <c r="FJ5855" s="65">
        <v>11.78</v>
      </c>
      <c r="FK5855" s="65">
        <v>9.5299999999999994</v>
      </c>
      <c r="FN5855" s="65" t="s">
        <v>6952</v>
      </c>
      <c r="FO5855" s="65">
        <v>349.76</v>
      </c>
      <c r="FP5855" s="65">
        <v>328</v>
      </c>
      <c r="FQ5855" s="65">
        <v>10</v>
      </c>
      <c r="FR5855" s="65">
        <v>30</v>
      </c>
      <c r="FS5855" s="65" t="s">
        <v>637</v>
      </c>
      <c r="GD5855" s="65">
        <v>21.2</v>
      </c>
      <c r="GE5855" s="65">
        <v>21.25</v>
      </c>
      <c r="GH5855" s="65" t="s">
        <v>164</v>
      </c>
      <c r="GP5855" s="292" t="s">
        <v>7494</v>
      </c>
    </row>
    <row r="5856" spans="1:198" x14ac:dyDescent="0.25">
      <c r="A5856" s="55">
        <v>5855</v>
      </c>
      <c r="B5856" s="12" t="s">
        <v>7067</v>
      </c>
      <c r="C5856" s="155" t="s">
        <v>6930</v>
      </c>
      <c r="D5856" s="55" t="s">
        <v>6950</v>
      </c>
      <c r="E5856" s="90" t="s">
        <v>6409</v>
      </c>
      <c r="G5856" s="55" t="s">
        <v>6943</v>
      </c>
      <c r="H5856" s="55" t="s">
        <v>6390</v>
      </c>
      <c r="I5856" s="55" t="s">
        <v>5888</v>
      </c>
      <c r="J5856" s="55" t="s">
        <v>6627</v>
      </c>
      <c r="K5856" s="55" t="s">
        <v>6944</v>
      </c>
      <c r="L5856" s="55" t="s">
        <v>3377</v>
      </c>
      <c r="M5856" s="90">
        <v>45.75</v>
      </c>
      <c r="N5856" s="90">
        <v>127.47</v>
      </c>
      <c r="O5856" s="90">
        <v>450</v>
      </c>
      <c r="Q5856" s="55" t="s">
        <v>6945</v>
      </c>
      <c r="S5856" s="90" t="s">
        <v>6946</v>
      </c>
      <c r="U5856" s="55" t="s">
        <v>1935</v>
      </c>
      <c r="V5856" s="55" t="s">
        <v>1935</v>
      </c>
      <c r="Z5856" s="55" t="s">
        <v>6605</v>
      </c>
      <c r="AA5856" s="90">
        <v>5</v>
      </c>
      <c r="AJ5856" s="90">
        <v>4</v>
      </c>
      <c r="AM5856" s="55" t="s">
        <v>6739</v>
      </c>
      <c r="AO5856" s="185" t="s">
        <v>7494</v>
      </c>
      <c r="AR5856" s="55" t="s">
        <v>132</v>
      </c>
      <c r="AS5856" s="55" t="s">
        <v>132</v>
      </c>
      <c r="AU5856" s="181" t="s">
        <v>7494</v>
      </c>
      <c r="AV5856" s="185" t="s">
        <v>176</v>
      </c>
      <c r="AX5856" s="185" t="s">
        <v>176</v>
      </c>
      <c r="AZ5856" s="55" t="s">
        <v>2081</v>
      </c>
      <c r="BK5856" s="55" t="s">
        <v>5981</v>
      </c>
      <c r="BN5856" s="55" t="s">
        <v>1816</v>
      </c>
      <c r="BO5856" s="55" t="s">
        <v>1816</v>
      </c>
      <c r="BV5856" s="55" t="s">
        <v>6953</v>
      </c>
      <c r="CH5856" s="90">
        <v>1.27</v>
      </c>
      <c r="CI5856" s="90">
        <v>1.39</v>
      </c>
      <c r="EZ5856" s="65">
        <v>0.44</v>
      </c>
      <c r="FA5856" s="65">
        <v>0.53</v>
      </c>
      <c r="FB5856" s="65">
        <v>0.01</v>
      </c>
      <c r="FC5856" s="65">
        <v>0.04</v>
      </c>
      <c r="FD5856" s="65" t="s">
        <v>6759</v>
      </c>
      <c r="FJ5856" s="65">
        <v>11.78</v>
      </c>
      <c r="FK5856" s="65">
        <v>10.31</v>
      </c>
      <c r="FN5856" s="65" t="s">
        <v>6952</v>
      </c>
      <c r="FO5856" s="65">
        <v>349.76</v>
      </c>
      <c r="FP5856" s="65">
        <v>78</v>
      </c>
      <c r="FQ5856" s="65">
        <v>10</v>
      </c>
      <c r="FR5856" s="65">
        <v>10</v>
      </c>
      <c r="FS5856" s="65" t="s">
        <v>637</v>
      </c>
      <c r="GD5856" s="65">
        <v>21.2</v>
      </c>
      <c r="GE5856" s="65">
        <v>28.3</v>
      </c>
      <c r="GH5856" s="65" t="s">
        <v>164</v>
      </c>
      <c r="GP5856" s="292" t="s">
        <v>7494</v>
      </c>
    </row>
    <row r="5857" spans="1:198" x14ac:dyDescent="0.25">
      <c r="A5857" s="55">
        <v>5856</v>
      </c>
      <c r="B5857" s="12" t="s">
        <v>7067</v>
      </c>
      <c r="C5857" s="155" t="s">
        <v>6930</v>
      </c>
      <c r="D5857" s="55" t="s">
        <v>6951</v>
      </c>
      <c r="E5857" s="90" t="s">
        <v>6409</v>
      </c>
      <c r="G5857" s="55" t="s">
        <v>6943</v>
      </c>
      <c r="H5857" s="55" t="s">
        <v>6390</v>
      </c>
      <c r="I5857" s="55" t="s">
        <v>5888</v>
      </c>
      <c r="J5857" s="55" t="s">
        <v>6627</v>
      </c>
      <c r="K5857" s="55" t="s">
        <v>6944</v>
      </c>
      <c r="L5857" s="55" t="s">
        <v>3377</v>
      </c>
      <c r="M5857" s="90">
        <v>45.75</v>
      </c>
      <c r="N5857" s="90">
        <v>127.47</v>
      </c>
      <c r="O5857" s="90">
        <v>450</v>
      </c>
      <c r="Q5857" s="55" t="s">
        <v>6945</v>
      </c>
      <c r="S5857" s="90" t="s">
        <v>6946</v>
      </c>
      <c r="U5857" s="55" t="s">
        <v>1935</v>
      </c>
      <c r="V5857" s="55" t="s">
        <v>1935</v>
      </c>
      <c r="Z5857" s="55" t="s">
        <v>6605</v>
      </c>
      <c r="AA5857" s="90">
        <v>5</v>
      </c>
      <c r="AJ5857" s="90">
        <v>4</v>
      </c>
      <c r="AM5857" s="55" t="s">
        <v>6739</v>
      </c>
      <c r="AO5857" s="185" t="s">
        <v>7494</v>
      </c>
      <c r="AR5857" s="55" t="s">
        <v>132</v>
      </c>
      <c r="AS5857" s="55" t="s">
        <v>132</v>
      </c>
      <c r="AU5857" s="181" t="s">
        <v>7494</v>
      </c>
      <c r="AV5857" s="185" t="s">
        <v>176</v>
      </c>
      <c r="AX5857" s="185" t="s">
        <v>176</v>
      </c>
      <c r="AZ5857" s="55" t="s">
        <v>2081</v>
      </c>
      <c r="BK5857" s="55" t="s">
        <v>6947</v>
      </c>
      <c r="BN5857" s="55" t="s">
        <v>1816</v>
      </c>
      <c r="BO5857" s="55" t="s">
        <v>1816</v>
      </c>
      <c r="BV5857" s="55" t="s">
        <v>6953</v>
      </c>
      <c r="CH5857" s="90">
        <v>1.27</v>
      </c>
      <c r="CI5857" s="90">
        <v>1.37</v>
      </c>
      <c r="EZ5857" s="65">
        <v>0.44</v>
      </c>
      <c r="FA5857" s="65">
        <v>0.54</v>
      </c>
      <c r="FB5857" s="65">
        <v>0.01</v>
      </c>
      <c r="FC5857" s="65">
        <v>0.08</v>
      </c>
      <c r="FD5857" s="65" t="s">
        <v>6759</v>
      </c>
      <c r="FJ5857" s="65">
        <v>11.78</v>
      </c>
      <c r="FK5857" s="65">
        <v>6.93</v>
      </c>
      <c r="FN5857" s="65" t="s">
        <v>6952</v>
      </c>
      <c r="FO5857" s="65">
        <v>349.76</v>
      </c>
      <c r="FP5857" s="65">
        <v>121</v>
      </c>
      <c r="FQ5857" s="65">
        <v>10</v>
      </c>
      <c r="FR5857" s="65">
        <v>10</v>
      </c>
      <c r="FS5857" s="65" t="s">
        <v>637</v>
      </c>
      <c r="GD5857" s="65">
        <v>21.2</v>
      </c>
      <c r="GE5857" s="65">
        <v>26.07</v>
      </c>
      <c r="GH5857" s="65" t="s">
        <v>164</v>
      </c>
      <c r="GP5857" s="292" t="s">
        <v>7494</v>
      </c>
    </row>
    <row r="5858" spans="1:198" x14ac:dyDescent="0.25">
      <c r="A5858" s="55">
        <v>5857</v>
      </c>
      <c r="B5858" s="12" t="s">
        <v>7067</v>
      </c>
      <c r="C5858" s="155" t="s">
        <v>6930</v>
      </c>
      <c r="D5858" s="55" t="s">
        <v>6931</v>
      </c>
      <c r="E5858" s="90" t="s">
        <v>6409</v>
      </c>
      <c r="G5858" s="55" t="s">
        <v>6943</v>
      </c>
      <c r="H5858" s="55" t="s">
        <v>6390</v>
      </c>
      <c r="I5858" s="55" t="s">
        <v>5888</v>
      </c>
      <c r="J5858" s="55" t="s">
        <v>6627</v>
      </c>
      <c r="K5858" s="55" t="s">
        <v>6944</v>
      </c>
      <c r="L5858" s="55" t="s">
        <v>3377</v>
      </c>
      <c r="M5858" s="90">
        <v>45.75</v>
      </c>
      <c r="N5858" s="90">
        <v>127.47</v>
      </c>
      <c r="O5858" s="90">
        <v>450</v>
      </c>
      <c r="Q5858" s="55" t="s">
        <v>6945</v>
      </c>
      <c r="S5858" s="90" t="s">
        <v>6946</v>
      </c>
      <c r="U5858" s="55" t="s">
        <v>1935</v>
      </c>
      <c r="V5858" s="55" t="s">
        <v>1935</v>
      </c>
      <c r="Z5858" s="55" t="s">
        <v>6605</v>
      </c>
      <c r="AA5858" s="90">
        <v>5</v>
      </c>
      <c r="AJ5858" s="90">
        <v>4</v>
      </c>
      <c r="AM5858" s="55" t="s">
        <v>6739</v>
      </c>
      <c r="AO5858" s="185" t="s">
        <v>7494</v>
      </c>
      <c r="AR5858" s="55" t="s">
        <v>132</v>
      </c>
      <c r="AS5858" s="55" t="s">
        <v>132</v>
      </c>
      <c r="AU5858" s="181" t="s">
        <v>7494</v>
      </c>
      <c r="AV5858" s="185" t="s">
        <v>176</v>
      </c>
      <c r="AX5858" s="185" t="s">
        <v>176</v>
      </c>
      <c r="AZ5858" s="55" t="s">
        <v>2081</v>
      </c>
      <c r="BK5858" s="55" t="s">
        <v>6568</v>
      </c>
      <c r="BN5858" s="55" t="s">
        <v>1816</v>
      </c>
      <c r="BO5858" s="55" t="s">
        <v>1816</v>
      </c>
      <c r="BV5858" s="55" t="s">
        <v>6954</v>
      </c>
      <c r="CH5858" s="90">
        <v>1.27</v>
      </c>
      <c r="CI5858" s="90">
        <v>1.26</v>
      </c>
      <c r="EZ5858" s="65">
        <v>0.63</v>
      </c>
      <c r="FA5858" s="65">
        <v>0.63</v>
      </c>
      <c r="FB5858" s="65">
        <v>0.04</v>
      </c>
      <c r="FC5858" s="65">
        <v>0.01</v>
      </c>
      <c r="FD5858" s="65" t="s">
        <v>6759</v>
      </c>
      <c r="FJ5858" s="65">
        <v>12.62</v>
      </c>
      <c r="FK5858" s="65">
        <v>13.45</v>
      </c>
      <c r="FN5858" s="65" t="s">
        <v>6952</v>
      </c>
      <c r="FO5858" s="65">
        <v>767</v>
      </c>
      <c r="FP5858" s="65">
        <v>851</v>
      </c>
      <c r="FQ5858" s="65">
        <f>815-FO5858</f>
        <v>48</v>
      </c>
      <c r="FR5858" s="65">
        <f>991-FP5858</f>
        <v>140</v>
      </c>
      <c r="FS5858" s="65" t="s">
        <v>637</v>
      </c>
      <c r="GD5858" s="65">
        <v>25.46</v>
      </c>
      <c r="GE5858" s="65">
        <v>25.6</v>
      </c>
      <c r="GH5858" s="65" t="s">
        <v>164</v>
      </c>
      <c r="GP5858" s="292" t="s">
        <v>7494</v>
      </c>
    </row>
    <row r="5859" spans="1:198" x14ac:dyDescent="0.25">
      <c r="A5859" s="55">
        <v>5858</v>
      </c>
      <c r="B5859" s="12" t="s">
        <v>7067</v>
      </c>
      <c r="C5859" s="155" t="s">
        <v>6930</v>
      </c>
      <c r="D5859" s="55" t="s">
        <v>6948</v>
      </c>
      <c r="E5859" s="90" t="s">
        <v>6409</v>
      </c>
      <c r="G5859" s="55" t="s">
        <v>6943</v>
      </c>
      <c r="H5859" s="55" t="s">
        <v>6390</v>
      </c>
      <c r="I5859" s="55" t="s">
        <v>5888</v>
      </c>
      <c r="J5859" s="55" t="s">
        <v>6627</v>
      </c>
      <c r="K5859" s="55" t="s">
        <v>6944</v>
      </c>
      <c r="L5859" s="55" t="s">
        <v>3377</v>
      </c>
      <c r="M5859" s="90">
        <v>45.75</v>
      </c>
      <c r="N5859" s="90">
        <v>127.47</v>
      </c>
      <c r="O5859" s="90">
        <v>450</v>
      </c>
      <c r="Q5859" s="55" t="s">
        <v>6945</v>
      </c>
      <c r="S5859" s="90" t="s">
        <v>6946</v>
      </c>
      <c r="U5859" s="55" t="s">
        <v>1935</v>
      </c>
      <c r="V5859" s="55" t="s">
        <v>1935</v>
      </c>
      <c r="Z5859" s="55" t="s">
        <v>6605</v>
      </c>
      <c r="AA5859" s="90">
        <v>5</v>
      </c>
      <c r="AJ5859" s="90">
        <v>4</v>
      </c>
      <c r="AM5859" s="55" t="s">
        <v>6739</v>
      </c>
      <c r="AO5859" s="185" t="s">
        <v>7494</v>
      </c>
      <c r="AR5859" s="55" t="s">
        <v>132</v>
      </c>
      <c r="AS5859" s="55" t="s">
        <v>132</v>
      </c>
      <c r="AU5859" s="181" t="s">
        <v>7494</v>
      </c>
      <c r="AV5859" s="185" t="s">
        <v>176</v>
      </c>
      <c r="AX5859" s="185" t="s">
        <v>176</v>
      </c>
      <c r="AZ5859" s="55" t="s">
        <v>2081</v>
      </c>
      <c r="BK5859" s="55" t="s">
        <v>6568</v>
      </c>
      <c r="BN5859" s="55" t="s">
        <v>1816</v>
      </c>
      <c r="BO5859" s="55" t="s">
        <v>1816</v>
      </c>
      <c r="BV5859" s="55" t="s">
        <v>6954</v>
      </c>
      <c r="CH5859" s="90">
        <v>1.27</v>
      </c>
      <c r="CI5859" s="90">
        <v>1.41</v>
      </c>
      <c r="EZ5859" s="65">
        <v>0.63</v>
      </c>
      <c r="FA5859" s="65">
        <v>0.74</v>
      </c>
      <c r="FB5859" s="65">
        <v>0.04</v>
      </c>
      <c r="FC5859" s="65">
        <v>0.05</v>
      </c>
      <c r="FD5859" s="65" t="s">
        <v>6759</v>
      </c>
      <c r="FJ5859" s="65">
        <v>12.62</v>
      </c>
      <c r="FK5859" s="65">
        <v>8.4700000000000006</v>
      </c>
      <c r="FN5859" s="65" t="s">
        <v>6952</v>
      </c>
      <c r="FO5859" s="65">
        <v>767</v>
      </c>
      <c r="FP5859" s="65">
        <v>723</v>
      </c>
      <c r="FQ5859" s="65">
        <f>815-FO5859</f>
        <v>48</v>
      </c>
      <c r="FR5859" s="65">
        <f>815-FP5859</f>
        <v>92</v>
      </c>
      <c r="FS5859" s="65" t="s">
        <v>637</v>
      </c>
      <c r="GD5859" s="65">
        <v>25.46</v>
      </c>
      <c r="GE5859" s="65">
        <v>27.96</v>
      </c>
      <c r="GH5859" s="65" t="s">
        <v>164</v>
      </c>
      <c r="GP5859" s="292" t="s">
        <v>7494</v>
      </c>
    </row>
    <row r="5860" spans="1:198" x14ac:dyDescent="0.25">
      <c r="A5860" s="55">
        <v>5859</v>
      </c>
      <c r="B5860" s="12" t="s">
        <v>7067</v>
      </c>
      <c r="C5860" s="155" t="s">
        <v>6930</v>
      </c>
      <c r="D5860" s="55" t="s">
        <v>6949</v>
      </c>
      <c r="E5860" s="90" t="s">
        <v>6409</v>
      </c>
      <c r="G5860" s="55" t="s">
        <v>6943</v>
      </c>
      <c r="H5860" s="55" t="s">
        <v>6390</v>
      </c>
      <c r="I5860" s="55" t="s">
        <v>5888</v>
      </c>
      <c r="J5860" s="55" t="s">
        <v>6627</v>
      </c>
      <c r="K5860" s="55" t="s">
        <v>6944</v>
      </c>
      <c r="L5860" s="55" t="s">
        <v>3377</v>
      </c>
      <c r="M5860" s="90">
        <v>45.75</v>
      </c>
      <c r="N5860" s="90">
        <v>127.47</v>
      </c>
      <c r="O5860" s="90">
        <v>450</v>
      </c>
      <c r="Q5860" s="55" t="s">
        <v>6945</v>
      </c>
      <c r="S5860" s="90" t="s">
        <v>6946</v>
      </c>
      <c r="U5860" s="55" t="s">
        <v>1935</v>
      </c>
      <c r="V5860" s="55" t="s">
        <v>1935</v>
      </c>
      <c r="Z5860" s="55" t="s">
        <v>6605</v>
      </c>
      <c r="AA5860" s="90">
        <v>5</v>
      </c>
      <c r="AJ5860" s="90">
        <v>4</v>
      </c>
      <c r="AM5860" s="55" t="s">
        <v>6739</v>
      </c>
      <c r="AO5860" s="185" t="s">
        <v>7494</v>
      </c>
      <c r="AR5860" s="55" t="s">
        <v>132</v>
      </c>
      <c r="AS5860" s="55" t="s">
        <v>132</v>
      </c>
      <c r="AU5860" s="181" t="s">
        <v>7494</v>
      </c>
      <c r="AV5860" s="185" t="s">
        <v>176</v>
      </c>
      <c r="AX5860" s="185" t="s">
        <v>176</v>
      </c>
      <c r="AZ5860" s="55" t="s">
        <v>2081</v>
      </c>
      <c r="BK5860" s="55" t="s">
        <v>6502</v>
      </c>
      <c r="BN5860" s="55" t="s">
        <v>1816</v>
      </c>
      <c r="BO5860" s="55" t="s">
        <v>1816</v>
      </c>
      <c r="BV5860" s="55" t="s">
        <v>6954</v>
      </c>
      <c r="CH5860" s="90">
        <v>1.27</v>
      </c>
      <c r="CI5860" s="90">
        <v>1.28</v>
      </c>
      <c r="EZ5860" s="65">
        <v>0.63</v>
      </c>
      <c r="FA5860" s="65">
        <v>0.6</v>
      </c>
      <c r="FB5860" s="65">
        <v>0.04</v>
      </c>
      <c r="FC5860" s="65">
        <v>0.05</v>
      </c>
      <c r="FD5860" s="65" t="s">
        <v>6759</v>
      </c>
      <c r="FJ5860" s="65">
        <v>12.62</v>
      </c>
      <c r="FK5860" s="65">
        <v>15.51</v>
      </c>
      <c r="FN5860" s="65" t="s">
        <v>6952</v>
      </c>
      <c r="FO5860" s="65">
        <v>767</v>
      </c>
      <c r="FP5860" s="65">
        <v>671</v>
      </c>
      <c r="FQ5860" s="65">
        <f>815-FO5860</f>
        <v>48</v>
      </c>
      <c r="FR5860" s="65">
        <v>50</v>
      </c>
      <c r="FS5860" s="65" t="s">
        <v>637</v>
      </c>
      <c r="GD5860" s="65">
        <v>25.46</v>
      </c>
      <c r="GE5860" s="65">
        <v>24.88</v>
      </c>
      <c r="GH5860" s="65" t="s">
        <v>164</v>
      </c>
      <c r="GP5860" s="292" t="s">
        <v>7494</v>
      </c>
    </row>
    <row r="5861" spans="1:198" x14ac:dyDescent="0.25">
      <c r="A5861" s="55">
        <v>5860</v>
      </c>
      <c r="B5861" s="12" t="s">
        <v>7067</v>
      </c>
      <c r="C5861" s="155" t="s">
        <v>6930</v>
      </c>
      <c r="D5861" s="55" t="s">
        <v>6950</v>
      </c>
      <c r="E5861" s="90" t="s">
        <v>6409</v>
      </c>
      <c r="G5861" s="55" t="s">
        <v>6943</v>
      </c>
      <c r="H5861" s="55" t="s">
        <v>6390</v>
      </c>
      <c r="I5861" s="55" t="s">
        <v>5888</v>
      </c>
      <c r="J5861" s="55" t="s">
        <v>6627</v>
      </c>
      <c r="K5861" s="55" t="s">
        <v>6944</v>
      </c>
      <c r="L5861" s="55" t="s">
        <v>3377</v>
      </c>
      <c r="M5861" s="90">
        <v>45.75</v>
      </c>
      <c r="N5861" s="90">
        <v>127.47</v>
      </c>
      <c r="O5861" s="90">
        <v>450</v>
      </c>
      <c r="Q5861" s="55" t="s">
        <v>6945</v>
      </c>
      <c r="S5861" s="90" t="s">
        <v>6946</v>
      </c>
      <c r="U5861" s="55" t="s">
        <v>1935</v>
      </c>
      <c r="V5861" s="55" t="s">
        <v>1935</v>
      </c>
      <c r="Z5861" s="55" t="s">
        <v>6605</v>
      </c>
      <c r="AA5861" s="90">
        <v>5</v>
      </c>
      <c r="AJ5861" s="90">
        <v>4</v>
      </c>
      <c r="AM5861" s="55" t="s">
        <v>6739</v>
      </c>
      <c r="AO5861" s="185" t="s">
        <v>7494</v>
      </c>
      <c r="AR5861" s="55" t="s">
        <v>132</v>
      </c>
      <c r="AS5861" s="55" t="s">
        <v>132</v>
      </c>
      <c r="AU5861" s="181" t="s">
        <v>7494</v>
      </c>
      <c r="AV5861" s="185" t="s">
        <v>176</v>
      </c>
      <c r="AX5861" s="185" t="s">
        <v>176</v>
      </c>
      <c r="AZ5861" s="55" t="s">
        <v>2081</v>
      </c>
      <c r="BK5861" s="55" t="s">
        <v>5981</v>
      </c>
      <c r="BN5861" s="55" t="s">
        <v>1816</v>
      </c>
      <c r="BO5861" s="55" t="s">
        <v>1816</v>
      </c>
      <c r="BV5861" s="55" t="s">
        <v>6954</v>
      </c>
      <c r="CH5861" s="90">
        <v>1.27</v>
      </c>
      <c r="CI5861" s="90">
        <v>1.41</v>
      </c>
      <c r="EZ5861" s="65">
        <v>0.63</v>
      </c>
      <c r="FA5861" s="65">
        <v>0.76</v>
      </c>
      <c r="FB5861" s="65">
        <v>0.04</v>
      </c>
      <c r="FC5861" s="65">
        <v>0.05</v>
      </c>
      <c r="FD5861" s="65" t="s">
        <v>6759</v>
      </c>
      <c r="FJ5861" s="65">
        <v>12.62</v>
      </c>
      <c r="FK5861" s="65">
        <v>14.01</v>
      </c>
      <c r="FN5861" s="65" t="s">
        <v>6952</v>
      </c>
      <c r="FO5861" s="65">
        <v>767</v>
      </c>
      <c r="FP5861" s="65">
        <v>557</v>
      </c>
      <c r="FQ5861" s="65">
        <f>815-FO5861</f>
        <v>48</v>
      </c>
      <c r="FR5861" s="65">
        <v>80</v>
      </c>
      <c r="FS5861" s="65" t="s">
        <v>637</v>
      </c>
      <c r="GD5861" s="65">
        <v>25.46</v>
      </c>
      <c r="GE5861" s="65">
        <v>28.48</v>
      </c>
      <c r="GH5861" s="65" t="s">
        <v>164</v>
      </c>
      <c r="GP5861" s="292" t="s">
        <v>7494</v>
      </c>
    </row>
    <row r="5862" spans="1:198" x14ac:dyDescent="0.25">
      <c r="A5862" s="55">
        <v>5861</v>
      </c>
      <c r="B5862" s="12" t="s">
        <v>7067</v>
      </c>
      <c r="C5862" s="155" t="s">
        <v>6930</v>
      </c>
      <c r="D5862" s="55" t="s">
        <v>6951</v>
      </c>
      <c r="E5862" s="90" t="s">
        <v>6409</v>
      </c>
      <c r="G5862" s="55" t="s">
        <v>6943</v>
      </c>
      <c r="H5862" s="55" t="s">
        <v>6390</v>
      </c>
      <c r="I5862" s="55" t="s">
        <v>5888</v>
      </c>
      <c r="J5862" s="55" t="s">
        <v>6627</v>
      </c>
      <c r="K5862" s="55" t="s">
        <v>6944</v>
      </c>
      <c r="L5862" s="55" t="s">
        <v>3377</v>
      </c>
      <c r="M5862" s="90">
        <v>45.75</v>
      </c>
      <c r="N5862" s="90">
        <v>127.47</v>
      </c>
      <c r="O5862" s="90">
        <v>450</v>
      </c>
      <c r="Q5862" s="55" t="s">
        <v>6945</v>
      </c>
      <c r="S5862" s="90" t="s">
        <v>6946</v>
      </c>
      <c r="U5862" s="55" t="s">
        <v>1935</v>
      </c>
      <c r="V5862" s="55" t="s">
        <v>1935</v>
      </c>
      <c r="Z5862" s="55" t="s">
        <v>6605</v>
      </c>
      <c r="AA5862" s="90">
        <v>5</v>
      </c>
      <c r="AJ5862" s="90">
        <v>4</v>
      </c>
      <c r="AM5862" s="55" t="s">
        <v>6739</v>
      </c>
      <c r="AO5862" s="185" t="s">
        <v>7494</v>
      </c>
      <c r="AR5862" s="55" t="s">
        <v>132</v>
      </c>
      <c r="AS5862" s="55" t="s">
        <v>132</v>
      </c>
      <c r="AU5862" s="181" t="s">
        <v>7494</v>
      </c>
      <c r="AV5862" s="185" t="s">
        <v>176</v>
      </c>
      <c r="AX5862" s="185" t="s">
        <v>176</v>
      </c>
      <c r="AZ5862" s="55" t="s">
        <v>2081</v>
      </c>
      <c r="BK5862" s="55" t="s">
        <v>6947</v>
      </c>
      <c r="BN5862" s="55" t="s">
        <v>1816</v>
      </c>
      <c r="BO5862" s="55" t="s">
        <v>1816</v>
      </c>
      <c r="BV5862" s="55" t="s">
        <v>6954</v>
      </c>
      <c r="CH5862" s="90">
        <v>1.27</v>
      </c>
      <c r="CI5862" s="90">
        <v>1.39</v>
      </c>
      <c r="EZ5862" s="65">
        <v>0.63</v>
      </c>
      <c r="FA5862" s="65">
        <v>0.78</v>
      </c>
      <c r="FB5862" s="65">
        <v>0.04</v>
      </c>
      <c r="FC5862" s="65">
        <v>0.05</v>
      </c>
      <c r="FD5862" s="65" t="s">
        <v>6759</v>
      </c>
      <c r="FJ5862" s="65">
        <v>12.62</v>
      </c>
      <c r="FK5862" s="65">
        <v>17.79</v>
      </c>
      <c r="FN5862" s="65" t="s">
        <v>6952</v>
      </c>
      <c r="FO5862" s="65">
        <v>767</v>
      </c>
      <c r="FP5862" s="65">
        <v>218</v>
      </c>
      <c r="FQ5862" s="65">
        <f>815-FO5862</f>
        <v>48</v>
      </c>
      <c r="FR5862" s="65">
        <v>40</v>
      </c>
      <c r="FS5862" s="65" t="s">
        <v>637</v>
      </c>
      <c r="GD5862" s="65">
        <v>25.46</v>
      </c>
      <c r="GE5862" s="65">
        <v>27.09</v>
      </c>
      <c r="GH5862" s="65" t="s">
        <v>164</v>
      </c>
      <c r="GP5862" s="292" t="s">
        <v>7494</v>
      </c>
    </row>
    <row r="5863" spans="1:198" x14ac:dyDescent="0.25">
      <c r="A5863" s="55">
        <v>5862</v>
      </c>
      <c r="B5863" s="12" t="s">
        <v>7067</v>
      </c>
      <c r="C5863" s="155" t="s">
        <v>6930</v>
      </c>
      <c r="D5863" s="55" t="s">
        <v>6931</v>
      </c>
      <c r="E5863" s="90" t="s">
        <v>6409</v>
      </c>
      <c r="G5863" s="55" t="s">
        <v>6943</v>
      </c>
      <c r="H5863" s="55" t="s">
        <v>6390</v>
      </c>
      <c r="I5863" s="55" t="s">
        <v>5888</v>
      </c>
      <c r="J5863" s="55" t="s">
        <v>6627</v>
      </c>
      <c r="K5863" s="55" t="s">
        <v>6944</v>
      </c>
      <c r="L5863" s="55" t="s">
        <v>3377</v>
      </c>
      <c r="M5863" s="90">
        <v>45.75</v>
      </c>
      <c r="N5863" s="90">
        <v>127.47</v>
      </c>
      <c r="O5863" s="90">
        <v>450</v>
      </c>
      <c r="Q5863" s="55" t="s">
        <v>6945</v>
      </c>
      <c r="S5863" s="90" t="s">
        <v>6946</v>
      </c>
      <c r="U5863" s="55" t="s">
        <v>1935</v>
      </c>
      <c r="V5863" s="55" t="s">
        <v>1935</v>
      </c>
      <c r="Z5863" s="55" t="s">
        <v>6605</v>
      </c>
      <c r="AA5863" s="90">
        <v>5</v>
      </c>
      <c r="AJ5863" s="90">
        <v>4</v>
      </c>
      <c r="AM5863" s="55" t="s">
        <v>6739</v>
      </c>
      <c r="AO5863" s="185" t="s">
        <v>7494</v>
      </c>
      <c r="AR5863" s="55" t="s">
        <v>132</v>
      </c>
      <c r="AS5863" s="55" t="s">
        <v>132</v>
      </c>
      <c r="AU5863" s="181" t="s">
        <v>7494</v>
      </c>
      <c r="AV5863" s="185" t="s">
        <v>176</v>
      </c>
      <c r="AX5863" s="185" t="s">
        <v>176</v>
      </c>
      <c r="AZ5863" s="55" t="s">
        <v>2081</v>
      </c>
      <c r="BK5863" s="55" t="s">
        <v>6568</v>
      </c>
      <c r="BN5863" s="55" t="s">
        <v>1816</v>
      </c>
      <c r="BO5863" s="55" t="s">
        <v>1816</v>
      </c>
      <c r="BV5863" s="55" t="s">
        <v>6955</v>
      </c>
      <c r="CH5863" s="90">
        <v>1.31</v>
      </c>
      <c r="CI5863" s="90">
        <v>1.32</v>
      </c>
      <c r="FJ5863" s="65">
        <v>11.47</v>
      </c>
      <c r="FK5863" s="65">
        <v>15.98</v>
      </c>
      <c r="FN5863" s="65" t="s">
        <v>6952</v>
      </c>
      <c r="FO5863" s="65">
        <v>457</v>
      </c>
      <c r="FP5863" s="65">
        <v>523</v>
      </c>
      <c r="FQ5863" s="65">
        <f>506-FO5863</f>
        <v>49</v>
      </c>
      <c r="FR5863" s="65">
        <v>60</v>
      </c>
      <c r="FS5863" s="65" t="s">
        <v>637</v>
      </c>
      <c r="GP5863" s="292" t="s">
        <v>7494</v>
      </c>
    </row>
    <row r="5864" spans="1:198" x14ac:dyDescent="0.25">
      <c r="A5864" s="55">
        <v>5863</v>
      </c>
      <c r="B5864" s="12" t="s">
        <v>7067</v>
      </c>
      <c r="C5864" s="155" t="s">
        <v>6930</v>
      </c>
      <c r="D5864" s="55" t="s">
        <v>6948</v>
      </c>
      <c r="E5864" s="90" t="s">
        <v>6409</v>
      </c>
      <c r="G5864" s="55" t="s">
        <v>6943</v>
      </c>
      <c r="H5864" s="55" t="s">
        <v>6390</v>
      </c>
      <c r="I5864" s="55" t="s">
        <v>5888</v>
      </c>
      <c r="J5864" s="55" t="s">
        <v>6627</v>
      </c>
      <c r="K5864" s="55" t="s">
        <v>6944</v>
      </c>
      <c r="L5864" s="55" t="s">
        <v>3377</v>
      </c>
      <c r="M5864" s="90">
        <v>45.75</v>
      </c>
      <c r="N5864" s="90">
        <v>127.47</v>
      </c>
      <c r="O5864" s="90">
        <v>450</v>
      </c>
      <c r="Q5864" s="55" t="s">
        <v>6945</v>
      </c>
      <c r="S5864" s="90" t="s">
        <v>6946</v>
      </c>
      <c r="U5864" s="55" t="s">
        <v>1935</v>
      </c>
      <c r="V5864" s="55" t="s">
        <v>1935</v>
      </c>
      <c r="Z5864" s="55" t="s">
        <v>6605</v>
      </c>
      <c r="AA5864" s="90">
        <v>5</v>
      </c>
      <c r="AJ5864" s="90">
        <v>4</v>
      </c>
      <c r="AM5864" s="55" t="s">
        <v>6739</v>
      </c>
      <c r="AO5864" s="185" t="s">
        <v>7494</v>
      </c>
      <c r="AR5864" s="55" t="s">
        <v>132</v>
      </c>
      <c r="AS5864" s="55" t="s">
        <v>132</v>
      </c>
      <c r="AU5864" s="181" t="s">
        <v>7494</v>
      </c>
      <c r="AV5864" s="185" t="s">
        <v>176</v>
      </c>
      <c r="AX5864" s="185" t="s">
        <v>176</v>
      </c>
      <c r="AZ5864" s="55" t="s">
        <v>2081</v>
      </c>
      <c r="BK5864" s="55" t="s">
        <v>6568</v>
      </c>
      <c r="BN5864" s="55" t="s">
        <v>1816</v>
      </c>
      <c r="BO5864" s="55" t="s">
        <v>1816</v>
      </c>
      <c r="BV5864" s="55" t="s">
        <v>6955</v>
      </c>
      <c r="CH5864" s="90">
        <v>1.31</v>
      </c>
      <c r="CI5864" s="90">
        <v>1.44</v>
      </c>
      <c r="FJ5864" s="65">
        <v>11.47</v>
      </c>
      <c r="FK5864" s="65">
        <v>5.22</v>
      </c>
      <c r="FN5864" s="65" t="s">
        <v>6952</v>
      </c>
      <c r="FO5864" s="65">
        <v>457</v>
      </c>
      <c r="FP5864" s="65">
        <v>446</v>
      </c>
      <c r="FQ5864" s="65">
        <f>506-FO5864</f>
        <v>49</v>
      </c>
      <c r="FR5864" s="65">
        <v>40</v>
      </c>
      <c r="FS5864" s="65" t="s">
        <v>637</v>
      </c>
      <c r="GP5864" s="292" t="s">
        <v>7494</v>
      </c>
    </row>
    <row r="5865" spans="1:198" x14ac:dyDescent="0.25">
      <c r="A5865" s="55">
        <v>5864</v>
      </c>
      <c r="B5865" s="12" t="s">
        <v>7067</v>
      </c>
      <c r="C5865" s="155" t="s">
        <v>6930</v>
      </c>
      <c r="D5865" s="55" t="s">
        <v>6949</v>
      </c>
      <c r="E5865" s="90" t="s">
        <v>6409</v>
      </c>
      <c r="G5865" s="55" t="s">
        <v>6943</v>
      </c>
      <c r="H5865" s="55" t="s">
        <v>6390</v>
      </c>
      <c r="I5865" s="55" t="s">
        <v>5888</v>
      </c>
      <c r="J5865" s="55" t="s">
        <v>6627</v>
      </c>
      <c r="K5865" s="55" t="s">
        <v>6944</v>
      </c>
      <c r="L5865" s="55" t="s">
        <v>3377</v>
      </c>
      <c r="M5865" s="90">
        <v>45.75</v>
      </c>
      <c r="N5865" s="90">
        <v>127.47</v>
      </c>
      <c r="O5865" s="90">
        <v>450</v>
      </c>
      <c r="Q5865" s="55" t="s">
        <v>6945</v>
      </c>
      <c r="S5865" s="90" t="s">
        <v>6946</v>
      </c>
      <c r="U5865" s="55" t="s">
        <v>1935</v>
      </c>
      <c r="V5865" s="55" t="s">
        <v>1935</v>
      </c>
      <c r="Z5865" s="55" t="s">
        <v>6605</v>
      </c>
      <c r="AA5865" s="90">
        <v>5</v>
      </c>
      <c r="AJ5865" s="90">
        <v>4</v>
      </c>
      <c r="AM5865" s="55" t="s">
        <v>6739</v>
      </c>
      <c r="AO5865" s="185" t="s">
        <v>7494</v>
      </c>
      <c r="AR5865" s="55" t="s">
        <v>132</v>
      </c>
      <c r="AS5865" s="55" t="s">
        <v>132</v>
      </c>
      <c r="AU5865" s="181" t="s">
        <v>7494</v>
      </c>
      <c r="AV5865" s="185" t="s">
        <v>176</v>
      </c>
      <c r="AX5865" s="185" t="s">
        <v>176</v>
      </c>
      <c r="AZ5865" s="55" t="s">
        <v>2081</v>
      </c>
      <c r="BK5865" s="55" t="s">
        <v>6502</v>
      </c>
      <c r="BN5865" s="55" t="s">
        <v>1816</v>
      </c>
      <c r="BO5865" s="55" t="s">
        <v>1816</v>
      </c>
      <c r="BV5865" s="55" t="s">
        <v>6955</v>
      </c>
      <c r="CH5865" s="90">
        <v>1.31</v>
      </c>
      <c r="CI5865" s="90">
        <v>1.29</v>
      </c>
      <c r="FJ5865" s="65">
        <v>11.47</v>
      </c>
      <c r="FK5865" s="65">
        <v>9.39</v>
      </c>
      <c r="FN5865" s="65" t="s">
        <v>6952</v>
      </c>
      <c r="FO5865" s="65">
        <v>457</v>
      </c>
      <c r="FP5865" s="65">
        <v>391</v>
      </c>
      <c r="FQ5865" s="65">
        <f>506-FO5865</f>
        <v>49</v>
      </c>
      <c r="FR5865" s="65">
        <v>45</v>
      </c>
      <c r="FS5865" s="65" t="s">
        <v>637</v>
      </c>
      <c r="GP5865" s="292" t="s">
        <v>7494</v>
      </c>
    </row>
    <row r="5866" spans="1:198" x14ac:dyDescent="0.25">
      <c r="A5866" s="55">
        <v>5865</v>
      </c>
      <c r="B5866" s="12" t="s">
        <v>7067</v>
      </c>
      <c r="C5866" s="155" t="s">
        <v>6930</v>
      </c>
      <c r="D5866" s="55" t="s">
        <v>6950</v>
      </c>
      <c r="E5866" s="90" t="s">
        <v>6409</v>
      </c>
      <c r="G5866" s="55" t="s">
        <v>6943</v>
      </c>
      <c r="H5866" s="55" t="s">
        <v>6390</v>
      </c>
      <c r="I5866" s="55" t="s">
        <v>5888</v>
      </c>
      <c r="J5866" s="55" t="s">
        <v>6627</v>
      </c>
      <c r="K5866" s="55" t="s">
        <v>6944</v>
      </c>
      <c r="L5866" s="55" t="s">
        <v>3377</v>
      </c>
      <c r="M5866" s="90">
        <v>45.75</v>
      </c>
      <c r="N5866" s="90">
        <v>127.47</v>
      </c>
      <c r="O5866" s="90">
        <v>450</v>
      </c>
      <c r="Q5866" s="55" t="s">
        <v>6945</v>
      </c>
      <c r="S5866" s="90" t="s">
        <v>6946</v>
      </c>
      <c r="U5866" s="55" t="s">
        <v>1935</v>
      </c>
      <c r="V5866" s="55" t="s">
        <v>1935</v>
      </c>
      <c r="Z5866" s="55" t="s">
        <v>6605</v>
      </c>
      <c r="AA5866" s="90">
        <v>5</v>
      </c>
      <c r="AJ5866" s="90">
        <v>4</v>
      </c>
      <c r="AM5866" s="55" t="s">
        <v>6739</v>
      </c>
      <c r="AO5866" s="185" t="s">
        <v>7494</v>
      </c>
      <c r="AR5866" s="55" t="s">
        <v>132</v>
      </c>
      <c r="AS5866" s="55" t="s">
        <v>132</v>
      </c>
      <c r="AU5866" s="181" t="s">
        <v>7494</v>
      </c>
      <c r="AV5866" s="185" t="s">
        <v>176</v>
      </c>
      <c r="AX5866" s="185" t="s">
        <v>176</v>
      </c>
      <c r="AZ5866" s="55" t="s">
        <v>2081</v>
      </c>
      <c r="BK5866" s="55" t="s">
        <v>5981</v>
      </c>
      <c r="BN5866" s="55" t="s">
        <v>1816</v>
      </c>
      <c r="BO5866" s="55" t="s">
        <v>1816</v>
      </c>
      <c r="BV5866" s="55" t="s">
        <v>6955</v>
      </c>
      <c r="CH5866" s="90">
        <v>1.31</v>
      </c>
      <c r="CI5866" s="90">
        <v>1.41</v>
      </c>
      <c r="FJ5866" s="65">
        <v>11.47</v>
      </c>
      <c r="FK5866" s="65">
        <v>5.16</v>
      </c>
      <c r="FN5866" s="65" t="s">
        <v>6952</v>
      </c>
      <c r="FO5866" s="65">
        <v>457</v>
      </c>
      <c r="FP5866" s="65">
        <v>152</v>
      </c>
      <c r="FQ5866" s="65">
        <f>506-FO5866</f>
        <v>49</v>
      </c>
      <c r="FR5866" s="65">
        <v>45</v>
      </c>
      <c r="FS5866" s="65" t="s">
        <v>637</v>
      </c>
      <c r="GP5866" s="292" t="s">
        <v>7494</v>
      </c>
    </row>
    <row r="5867" spans="1:198" x14ac:dyDescent="0.25">
      <c r="A5867" s="55">
        <v>5866</v>
      </c>
      <c r="B5867" s="12" t="s">
        <v>7067</v>
      </c>
      <c r="C5867" s="155" t="s">
        <v>6930</v>
      </c>
      <c r="D5867" s="55" t="s">
        <v>6951</v>
      </c>
      <c r="E5867" s="90" t="s">
        <v>6409</v>
      </c>
      <c r="G5867" s="55" t="s">
        <v>6943</v>
      </c>
      <c r="H5867" s="55" t="s">
        <v>6390</v>
      </c>
      <c r="I5867" s="55" t="s">
        <v>5888</v>
      </c>
      <c r="J5867" s="55" t="s">
        <v>6627</v>
      </c>
      <c r="K5867" s="55" t="s">
        <v>6944</v>
      </c>
      <c r="L5867" s="55" t="s">
        <v>3377</v>
      </c>
      <c r="M5867" s="90">
        <v>45.75</v>
      </c>
      <c r="N5867" s="90">
        <v>127.47</v>
      </c>
      <c r="O5867" s="90">
        <v>450</v>
      </c>
      <c r="Q5867" s="55" t="s">
        <v>6945</v>
      </c>
      <c r="S5867" s="90" t="s">
        <v>6946</v>
      </c>
      <c r="U5867" s="55" t="s">
        <v>1935</v>
      </c>
      <c r="V5867" s="55" t="s">
        <v>1935</v>
      </c>
      <c r="Z5867" s="55" t="s">
        <v>6605</v>
      </c>
      <c r="AA5867" s="90">
        <v>5</v>
      </c>
      <c r="AJ5867" s="90">
        <v>4</v>
      </c>
      <c r="AM5867" s="55" t="s">
        <v>6739</v>
      </c>
      <c r="AO5867" s="185" t="s">
        <v>7494</v>
      </c>
      <c r="AR5867" s="55" t="s">
        <v>132</v>
      </c>
      <c r="AS5867" s="55" t="s">
        <v>132</v>
      </c>
      <c r="AU5867" s="181" t="s">
        <v>7494</v>
      </c>
      <c r="AV5867" s="185" t="s">
        <v>176</v>
      </c>
      <c r="AX5867" s="185" t="s">
        <v>176</v>
      </c>
      <c r="AZ5867" s="55" t="s">
        <v>2081</v>
      </c>
      <c r="BK5867" s="55" t="s">
        <v>6947</v>
      </c>
      <c r="BN5867" s="55" t="s">
        <v>1816</v>
      </c>
      <c r="BO5867" s="55" t="s">
        <v>1816</v>
      </c>
      <c r="BV5867" s="55" t="s">
        <v>6955</v>
      </c>
      <c r="CH5867" s="90">
        <v>1.31</v>
      </c>
      <c r="CI5867" s="90">
        <v>1.38</v>
      </c>
      <c r="FJ5867" s="65">
        <v>11.47</v>
      </c>
      <c r="FK5867" s="65">
        <v>16.97</v>
      </c>
      <c r="FN5867" s="65" t="s">
        <v>6952</v>
      </c>
      <c r="FO5867" s="65">
        <v>457</v>
      </c>
      <c r="FP5867" s="65">
        <v>107</v>
      </c>
      <c r="FQ5867" s="65">
        <f>506-FO5867</f>
        <v>49</v>
      </c>
      <c r="FR5867" s="65">
        <v>30</v>
      </c>
      <c r="FS5867" s="65" t="s">
        <v>637</v>
      </c>
      <c r="GP5867" s="292" t="s">
        <v>7494</v>
      </c>
    </row>
    <row r="5868" spans="1:198" x14ac:dyDescent="0.25">
      <c r="A5868" s="55">
        <v>5867</v>
      </c>
      <c r="B5868" s="12" t="s">
        <v>7067</v>
      </c>
      <c r="C5868" s="155" t="s">
        <v>6930</v>
      </c>
      <c r="D5868" s="55" t="s">
        <v>6931</v>
      </c>
      <c r="E5868" s="90" t="s">
        <v>6409</v>
      </c>
      <c r="G5868" s="55" t="s">
        <v>6943</v>
      </c>
      <c r="H5868" s="55" t="s">
        <v>6390</v>
      </c>
      <c r="I5868" s="55" t="s">
        <v>5888</v>
      </c>
      <c r="J5868" s="55" t="s">
        <v>6627</v>
      </c>
      <c r="K5868" s="55" t="s">
        <v>6944</v>
      </c>
      <c r="L5868" s="55" t="s">
        <v>3377</v>
      </c>
      <c r="M5868" s="90">
        <v>45.75</v>
      </c>
      <c r="N5868" s="90">
        <v>127.47</v>
      </c>
      <c r="O5868" s="90">
        <v>450</v>
      </c>
      <c r="Q5868" s="55" t="s">
        <v>6945</v>
      </c>
      <c r="S5868" s="90" t="s">
        <v>6946</v>
      </c>
      <c r="U5868" s="55" t="s">
        <v>1935</v>
      </c>
      <c r="V5868" s="55" t="s">
        <v>1935</v>
      </c>
      <c r="Z5868" s="55" t="s">
        <v>6605</v>
      </c>
      <c r="AA5868" s="90">
        <v>5</v>
      </c>
      <c r="AJ5868" s="90">
        <v>4</v>
      </c>
      <c r="AM5868" s="55" t="s">
        <v>6739</v>
      </c>
      <c r="AO5868" s="185" t="s">
        <v>7494</v>
      </c>
      <c r="AR5868" s="55" t="s">
        <v>132</v>
      </c>
      <c r="AS5868" s="55" t="s">
        <v>132</v>
      </c>
      <c r="AU5868" s="181" t="s">
        <v>7494</v>
      </c>
      <c r="AV5868" s="185" t="s">
        <v>176</v>
      </c>
      <c r="AX5868" s="185" t="s">
        <v>176</v>
      </c>
      <c r="AZ5868" s="55" t="s">
        <v>2081</v>
      </c>
      <c r="BK5868" s="55" t="s">
        <v>6568</v>
      </c>
      <c r="BN5868" s="55" t="s">
        <v>1816</v>
      </c>
      <c r="BO5868" s="55" t="s">
        <v>1816</v>
      </c>
      <c r="BV5868" s="55" t="s">
        <v>6956</v>
      </c>
      <c r="CH5868" s="90">
        <v>1.28</v>
      </c>
      <c r="CI5868" s="90">
        <v>1.29</v>
      </c>
      <c r="FJ5868" s="65">
        <v>16.309999999999999</v>
      </c>
      <c r="FK5868" s="65">
        <v>13.42</v>
      </c>
      <c r="FN5868" s="65" t="s">
        <v>6952</v>
      </c>
      <c r="FO5868" s="65">
        <v>569</v>
      </c>
      <c r="FP5868" s="65">
        <v>621</v>
      </c>
      <c r="FQ5868" s="65">
        <f>608-FO5868</f>
        <v>39</v>
      </c>
      <c r="FR5868" s="65">
        <v>60</v>
      </c>
      <c r="FS5868" s="65" t="s">
        <v>637</v>
      </c>
      <c r="GP5868" s="292" t="s">
        <v>7494</v>
      </c>
    </row>
    <row r="5869" spans="1:198" x14ac:dyDescent="0.25">
      <c r="A5869" s="55">
        <v>5868</v>
      </c>
      <c r="B5869" s="12" t="s">
        <v>7067</v>
      </c>
      <c r="C5869" s="155" t="s">
        <v>6930</v>
      </c>
      <c r="D5869" s="55" t="s">
        <v>6948</v>
      </c>
      <c r="E5869" s="90" t="s">
        <v>6409</v>
      </c>
      <c r="G5869" s="55" t="s">
        <v>6943</v>
      </c>
      <c r="H5869" s="55" t="s">
        <v>6390</v>
      </c>
      <c r="I5869" s="55" t="s">
        <v>5888</v>
      </c>
      <c r="J5869" s="55" t="s">
        <v>6627</v>
      </c>
      <c r="K5869" s="55" t="s">
        <v>6944</v>
      </c>
      <c r="L5869" s="55" t="s">
        <v>3377</v>
      </c>
      <c r="M5869" s="90">
        <v>45.75</v>
      </c>
      <c r="N5869" s="90">
        <v>127.47</v>
      </c>
      <c r="O5869" s="90">
        <v>450</v>
      </c>
      <c r="Q5869" s="55" t="s">
        <v>6945</v>
      </c>
      <c r="S5869" s="90" t="s">
        <v>6946</v>
      </c>
      <c r="U5869" s="55" t="s">
        <v>1935</v>
      </c>
      <c r="V5869" s="55" t="s">
        <v>1935</v>
      </c>
      <c r="Z5869" s="55" t="s">
        <v>6605</v>
      </c>
      <c r="AA5869" s="90">
        <v>5</v>
      </c>
      <c r="AJ5869" s="90">
        <v>4</v>
      </c>
      <c r="AM5869" s="55" t="s">
        <v>6739</v>
      </c>
      <c r="AO5869" s="185" t="s">
        <v>7494</v>
      </c>
      <c r="AR5869" s="55" t="s">
        <v>132</v>
      </c>
      <c r="AS5869" s="55" t="s">
        <v>132</v>
      </c>
      <c r="AU5869" s="181" t="s">
        <v>7494</v>
      </c>
      <c r="AV5869" s="185" t="s">
        <v>176</v>
      </c>
      <c r="AX5869" s="185" t="s">
        <v>176</v>
      </c>
      <c r="AZ5869" s="55" t="s">
        <v>2081</v>
      </c>
      <c r="BK5869" s="55" t="s">
        <v>6568</v>
      </c>
      <c r="BN5869" s="55" t="s">
        <v>1816</v>
      </c>
      <c r="BO5869" s="55" t="s">
        <v>1816</v>
      </c>
      <c r="BV5869" s="55" t="s">
        <v>6956</v>
      </c>
      <c r="CH5869" s="90">
        <v>1.28</v>
      </c>
      <c r="CI5869" s="90">
        <v>1.4</v>
      </c>
      <c r="FJ5869" s="65">
        <v>16.309999999999999</v>
      </c>
      <c r="FK5869" s="65">
        <v>6.27</v>
      </c>
      <c r="FN5869" s="65" t="s">
        <v>6952</v>
      </c>
      <c r="FO5869" s="65">
        <v>569</v>
      </c>
      <c r="FP5869" s="65">
        <v>515</v>
      </c>
      <c r="FQ5869" s="65">
        <f>608-FO5869</f>
        <v>39</v>
      </c>
      <c r="FR5869" s="65">
        <v>60</v>
      </c>
      <c r="FS5869" s="65" t="s">
        <v>637</v>
      </c>
      <c r="GP5869" s="292" t="s">
        <v>7494</v>
      </c>
    </row>
    <row r="5870" spans="1:198" x14ac:dyDescent="0.25">
      <c r="A5870" s="55">
        <v>5869</v>
      </c>
      <c r="B5870" s="12" t="s">
        <v>7067</v>
      </c>
      <c r="C5870" s="155" t="s">
        <v>6930</v>
      </c>
      <c r="D5870" s="55" t="s">
        <v>6949</v>
      </c>
      <c r="E5870" s="90" t="s">
        <v>6409</v>
      </c>
      <c r="G5870" s="55" t="s">
        <v>6943</v>
      </c>
      <c r="H5870" s="55" t="s">
        <v>6390</v>
      </c>
      <c r="I5870" s="55" t="s">
        <v>5888</v>
      </c>
      <c r="J5870" s="55" t="s">
        <v>6627</v>
      </c>
      <c r="K5870" s="55" t="s">
        <v>6944</v>
      </c>
      <c r="L5870" s="55" t="s">
        <v>3377</v>
      </c>
      <c r="M5870" s="90">
        <v>45.75</v>
      </c>
      <c r="N5870" s="90">
        <v>127.47</v>
      </c>
      <c r="O5870" s="90">
        <v>450</v>
      </c>
      <c r="Q5870" s="55" t="s">
        <v>6945</v>
      </c>
      <c r="S5870" s="90" t="s">
        <v>6946</v>
      </c>
      <c r="U5870" s="55" t="s">
        <v>1935</v>
      </c>
      <c r="V5870" s="55" t="s">
        <v>1935</v>
      </c>
      <c r="Z5870" s="55" t="s">
        <v>6605</v>
      </c>
      <c r="AA5870" s="90">
        <v>5</v>
      </c>
      <c r="AJ5870" s="90">
        <v>4</v>
      </c>
      <c r="AM5870" s="55" t="s">
        <v>6739</v>
      </c>
      <c r="AO5870" s="185" t="s">
        <v>7494</v>
      </c>
      <c r="AR5870" s="55" t="s">
        <v>132</v>
      </c>
      <c r="AS5870" s="55" t="s">
        <v>132</v>
      </c>
      <c r="AU5870" s="181" t="s">
        <v>7494</v>
      </c>
      <c r="AV5870" s="185" t="s">
        <v>176</v>
      </c>
      <c r="AX5870" s="185" t="s">
        <v>176</v>
      </c>
      <c r="AZ5870" s="55" t="s">
        <v>2081</v>
      </c>
      <c r="BK5870" s="55" t="s">
        <v>6502</v>
      </c>
      <c r="BN5870" s="55" t="s">
        <v>1816</v>
      </c>
      <c r="BO5870" s="55" t="s">
        <v>1816</v>
      </c>
      <c r="BV5870" s="55" t="s">
        <v>6956</v>
      </c>
      <c r="CH5870" s="90">
        <v>1.28</v>
      </c>
      <c r="CI5870" s="90">
        <v>1.31</v>
      </c>
      <c r="FJ5870" s="65">
        <v>16.309999999999999</v>
      </c>
      <c r="FK5870" s="65">
        <v>9.9499999999999993</v>
      </c>
      <c r="FN5870" s="65" t="s">
        <v>6952</v>
      </c>
      <c r="FO5870" s="65">
        <v>569</v>
      </c>
      <c r="FP5870" s="65">
        <v>482</v>
      </c>
      <c r="FQ5870" s="65">
        <f>608-FO5870</f>
        <v>39</v>
      </c>
      <c r="FR5870" s="65">
        <v>45</v>
      </c>
      <c r="FS5870" s="65" t="s">
        <v>637</v>
      </c>
      <c r="GP5870" s="292" t="s">
        <v>7494</v>
      </c>
    </row>
    <row r="5871" spans="1:198" x14ac:dyDescent="0.25">
      <c r="A5871" s="55">
        <v>5870</v>
      </c>
      <c r="B5871" s="12" t="s">
        <v>7067</v>
      </c>
      <c r="C5871" s="155" t="s">
        <v>6930</v>
      </c>
      <c r="D5871" s="55" t="s">
        <v>6950</v>
      </c>
      <c r="E5871" s="90" t="s">
        <v>6409</v>
      </c>
      <c r="G5871" s="55" t="s">
        <v>6943</v>
      </c>
      <c r="H5871" s="55" t="s">
        <v>6390</v>
      </c>
      <c r="I5871" s="55" t="s">
        <v>5888</v>
      </c>
      <c r="J5871" s="55" t="s">
        <v>6627</v>
      </c>
      <c r="K5871" s="55" t="s">
        <v>6944</v>
      </c>
      <c r="L5871" s="55" t="s">
        <v>3377</v>
      </c>
      <c r="M5871" s="90">
        <v>45.75</v>
      </c>
      <c r="N5871" s="90">
        <v>127.47</v>
      </c>
      <c r="O5871" s="90">
        <v>450</v>
      </c>
      <c r="Q5871" s="55" t="s">
        <v>6945</v>
      </c>
      <c r="S5871" s="90" t="s">
        <v>6946</v>
      </c>
      <c r="U5871" s="55" t="s">
        <v>1935</v>
      </c>
      <c r="V5871" s="55" t="s">
        <v>1935</v>
      </c>
      <c r="Z5871" s="55" t="s">
        <v>6605</v>
      </c>
      <c r="AA5871" s="90">
        <v>5</v>
      </c>
      <c r="AJ5871" s="90">
        <v>4</v>
      </c>
      <c r="AM5871" s="55" t="s">
        <v>6739</v>
      </c>
      <c r="AO5871" s="185" t="s">
        <v>7494</v>
      </c>
      <c r="AR5871" s="55" t="s">
        <v>132</v>
      </c>
      <c r="AS5871" s="55" t="s">
        <v>132</v>
      </c>
      <c r="AU5871" s="181" t="s">
        <v>7494</v>
      </c>
      <c r="AV5871" s="185" t="s">
        <v>176</v>
      </c>
      <c r="AX5871" s="185" t="s">
        <v>176</v>
      </c>
      <c r="AZ5871" s="55" t="s">
        <v>2081</v>
      </c>
      <c r="BK5871" s="55" t="s">
        <v>5981</v>
      </c>
      <c r="BN5871" s="55" t="s">
        <v>1816</v>
      </c>
      <c r="BO5871" s="55" t="s">
        <v>1816</v>
      </c>
      <c r="BV5871" s="55" t="s">
        <v>6956</v>
      </c>
      <c r="CH5871" s="90">
        <v>1.28</v>
      </c>
      <c r="CI5871" s="90">
        <v>1.4</v>
      </c>
      <c r="FJ5871" s="65">
        <v>16.309999999999999</v>
      </c>
      <c r="FK5871" s="65">
        <v>8.65</v>
      </c>
      <c r="FN5871" s="65" t="s">
        <v>6952</v>
      </c>
      <c r="FO5871" s="65">
        <v>569</v>
      </c>
      <c r="FP5871" s="65">
        <v>377</v>
      </c>
      <c r="FQ5871" s="65">
        <f>608-FO5871</f>
        <v>39</v>
      </c>
      <c r="FR5871" s="65">
        <v>50</v>
      </c>
      <c r="FS5871" s="65" t="s">
        <v>637</v>
      </c>
      <c r="GP5871" s="292" t="s">
        <v>7494</v>
      </c>
    </row>
    <row r="5872" spans="1:198" x14ac:dyDescent="0.25">
      <c r="A5872" s="55">
        <v>5871</v>
      </c>
      <c r="B5872" s="12" t="s">
        <v>7067</v>
      </c>
      <c r="C5872" s="155" t="s">
        <v>6930</v>
      </c>
      <c r="D5872" s="55" t="s">
        <v>6951</v>
      </c>
      <c r="E5872" s="90" t="s">
        <v>6409</v>
      </c>
      <c r="G5872" s="55" t="s">
        <v>6943</v>
      </c>
      <c r="H5872" s="55" t="s">
        <v>6390</v>
      </c>
      <c r="I5872" s="55" t="s">
        <v>5888</v>
      </c>
      <c r="J5872" s="55" t="s">
        <v>6627</v>
      </c>
      <c r="K5872" s="55" t="s">
        <v>6944</v>
      </c>
      <c r="L5872" s="55" t="s">
        <v>3377</v>
      </c>
      <c r="M5872" s="90">
        <v>45.75</v>
      </c>
      <c r="N5872" s="90">
        <v>127.47</v>
      </c>
      <c r="O5872" s="90">
        <v>450</v>
      </c>
      <c r="Q5872" s="55" t="s">
        <v>6945</v>
      </c>
      <c r="S5872" s="90" t="s">
        <v>6946</v>
      </c>
      <c r="U5872" s="55" t="s">
        <v>1935</v>
      </c>
      <c r="V5872" s="55" t="s">
        <v>1935</v>
      </c>
      <c r="Z5872" s="55" t="s">
        <v>6605</v>
      </c>
      <c r="AA5872" s="90">
        <v>5</v>
      </c>
      <c r="AJ5872" s="90">
        <v>4</v>
      </c>
      <c r="AM5872" s="55" t="s">
        <v>6739</v>
      </c>
      <c r="AO5872" s="185" t="s">
        <v>7494</v>
      </c>
      <c r="AR5872" s="55" t="s">
        <v>132</v>
      </c>
      <c r="AS5872" s="55" t="s">
        <v>132</v>
      </c>
      <c r="AU5872" s="181" t="s">
        <v>7494</v>
      </c>
      <c r="AV5872" s="185" t="s">
        <v>176</v>
      </c>
      <c r="AX5872" s="185" t="s">
        <v>176</v>
      </c>
      <c r="AZ5872" s="55" t="s">
        <v>2081</v>
      </c>
      <c r="BK5872" s="55" t="s">
        <v>6947</v>
      </c>
      <c r="BN5872" s="55" t="s">
        <v>1816</v>
      </c>
      <c r="BO5872" s="55" t="s">
        <v>1816</v>
      </c>
      <c r="BV5872" s="55" t="s">
        <v>6956</v>
      </c>
      <c r="CH5872" s="90">
        <v>1.28</v>
      </c>
      <c r="CI5872" s="90">
        <v>1.39</v>
      </c>
      <c r="FJ5872" s="65">
        <v>16.309999999999999</v>
      </c>
      <c r="FK5872" s="65">
        <v>11.86</v>
      </c>
      <c r="FN5872" s="65" t="s">
        <v>6952</v>
      </c>
      <c r="FO5872" s="65">
        <v>569</v>
      </c>
      <c r="FP5872" s="65">
        <v>343</v>
      </c>
      <c r="FQ5872" s="65">
        <f>608-FO5872</f>
        <v>39</v>
      </c>
      <c r="FR5872" s="65">
        <v>30</v>
      </c>
      <c r="FS5872" s="65" t="s">
        <v>637</v>
      </c>
      <c r="GP5872" s="292" t="s">
        <v>7494</v>
      </c>
    </row>
    <row r="5873" spans="1:198" x14ac:dyDescent="0.25">
      <c r="A5873" s="55">
        <v>5872</v>
      </c>
      <c r="B5873" s="12" t="s">
        <v>7067</v>
      </c>
      <c r="C5873" s="155" t="s">
        <v>6957</v>
      </c>
      <c r="D5873" s="55" t="s">
        <v>6958</v>
      </c>
      <c r="E5873" s="90" t="s">
        <v>3675</v>
      </c>
      <c r="G5873" s="55" t="s">
        <v>6735</v>
      </c>
      <c r="H5873" s="55" t="s">
        <v>5864</v>
      </c>
      <c r="I5873" s="55" t="s">
        <v>5608</v>
      </c>
      <c r="J5873" s="55" t="s">
        <v>6627</v>
      </c>
      <c r="K5873" s="55" t="s">
        <v>6959</v>
      </c>
      <c r="L5873" s="55" t="s">
        <v>3377</v>
      </c>
      <c r="M5873" s="90">
        <v>47.92</v>
      </c>
      <c r="N5873" s="90">
        <v>123.51</v>
      </c>
      <c r="Q5873" s="55" t="s">
        <v>6960</v>
      </c>
      <c r="S5873" s="90" t="s">
        <v>6961</v>
      </c>
      <c r="U5873" s="55" t="s">
        <v>1935</v>
      </c>
      <c r="V5873" s="55" t="s">
        <v>1805</v>
      </c>
      <c r="AO5873" s="185" t="s">
        <v>7494</v>
      </c>
      <c r="AU5873" s="181" t="s">
        <v>7494</v>
      </c>
      <c r="AV5873" s="185" t="s">
        <v>176</v>
      </c>
      <c r="AX5873" s="185" t="s">
        <v>176</v>
      </c>
      <c r="AZ5873" s="55" t="s">
        <v>2081</v>
      </c>
      <c r="BA5873" s="55" t="s">
        <v>4499</v>
      </c>
      <c r="BK5873" s="55" t="s">
        <v>6967</v>
      </c>
      <c r="FJ5873" s="65">
        <v>7.43</v>
      </c>
      <c r="FK5873" s="65">
        <v>0.1</v>
      </c>
      <c r="FN5873" s="65" t="s">
        <v>206</v>
      </c>
      <c r="FO5873" s="65">
        <v>50.8</v>
      </c>
      <c r="FP5873" s="65">
        <v>1.9</v>
      </c>
      <c r="GD5873" s="65">
        <v>239.67</v>
      </c>
      <c r="GE5873" s="65">
        <v>275.39999999999998</v>
      </c>
      <c r="GH5873" s="65" t="s">
        <v>637</v>
      </c>
      <c r="GP5873" s="292" t="s">
        <v>7494</v>
      </c>
    </row>
    <row r="5874" spans="1:198" x14ac:dyDescent="0.25">
      <c r="A5874" s="55">
        <v>5873</v>
      </c>
      <c r="B5874" s="12" t="s">
        <v>7067</v>
      </c>
      <c r="C5874" s="155" t="s">
        <v>6957</v>
      </c>
      <c r="D5874" s="55" t="s">
        <v>6962</v>
      </c>
      <c r="E5874" s="90" t="s">
        <v>3675</v>
      </c>
      <c r="G5874" s="55" t="s">
        <v>6735</v>
      </c>
      <c r="H5874" s="55" t="s">
        <v>5864</v>
      </c>
      <c r="I5874" s="55" t="s">
        <v>5608</v>
      </c>
      <c r="J5874" s="55" t="s">
        <v>6627</v>
      </c>
      <c r="K5874" s="55" t="s">
        <v>6959</v>
      </c>
      <c r="L5874" s="55" t="s">
        <v>3377</v>
      </c>
      <c r="M5874" s="90">
        <v>47.92</v>
      </c>
      <c r="N5874" s="90">
        <v>123.51</v>
      </c>
      <c r="Q5874" s="55" t="s">
        <v>6960</v>
      </c>
      <c r="S5874" s="90" t="s">
        <v>6961</v>
      </c>
      <c r="U5874" s="55" t="s">
        <v>1935</v>
      </c>
      <c r="V5874" s="55" t="s">
        <v>1805</v>
      </c>
      <c r="AO5874" s="185" t="s">
        <v>7494</v>
      </c>
      <c r="AU5874" s="181" t="s">
        <v>7494</v>
      </c>
      <c r="AV5874" s="185" t="s">
        <v>176</v>
      </c>
      <c r="AX5874" s="185" t="s">
        <v>176</v>
      </c>
      <c r="AZ5874" s="55" t="s">
        <v>2081</v>
      </c>
      <c r="BA5874" s="55" t="s">
        <v>4499</v>
      </c>
      <c r="BK5874" s="55" t="s">
        <v>6968</v>
      </c>
      <c r="FJ5874" s="65">
        <v>7.43</v>
      </c>
      <c r="FK5874" s="65">
        <v>0.06</v>
      </c>
      <c r="FN5874" s="65" t="s">
        <v>206</v>
      </c>
      <c r="FO5874" s="65">
        <v>50.8</v>
      </c>
      <c r="FP5874" s="65">
        <v>4.5</v>
      </c>
      <c r="GD5874" s="65">
        <v>239.67</v>
      </c>
      <c r="GE5874" s="65">
        <v>267.94</v>
      </c>
      <c r="GH5874" s="65" t="s">
        <v>637</v>
      </c>
      <c r="GP5874" s="292" t="s">
        <v>7494</v>
      </c>
    </row>
    <row r="5875" spans="1:198" x14ac:dyDescent="0.25">
      <c r="A5875" s="55">
        <v>5874</v>
      </c>
      <c r="B5875" s="12" t="s">
        <v>7067</v>
      </c>
      <c r="C5875" s="155" t="s">
        <v>6957</v>
      </c>
      <c r="D5875" s="55" t="s">
        <v>6963</v>
      </c>
      <c r="E5875" s="90" t="s">
        <v>3675</v>
      </c>
      <c r="G5875" s="55" t="s">
        <v>6735</v>
      </c>
      <c r="H5875" s="55" t="s">
        <v>5864</v>
      </c>
      <c r="I5875" s="55" t="s">
        <v>5608</v>
      </c>
      <c r="J5875" s="55" t="s">
        <v>6627</v>
      </c>
      <c r="K5875" s="55" t="s">
        <v>6959</v>
      </c>
      <c r="L5875" s="55" t="s">
        <v>3377</v>
      </c>
      <c r="M5875" s="90">
        <v>47.92</v>
      </c>
      <c r="N5875" s="90">
        <v>123.51</v>
      </c>
      <c r="Q5875" s="55" t="s">
        <v>6960</v>
      </c>
      <c r="S5875" s="90" t="s">
        <v>6961</v>
      </c>
      <c r="U5875" s="55" t="s">
        <v>1935</v>
      </c>
      <c r="V5875" s="55" t="s">
        <v>1805</v>
      </c>
      <c r="AO5875" s="185" t="s">
        <v>7494</v>
      </c>
      <c r="AU5875" s="181" t="s">
        <v>7494</v>
      </c>
      <c r="AV5875" s="185" t="s">
        <v>176</v>
      </c>
      <c r="AX5875" s="185" t="s">
        <v>176</v>
      </c>
      <c r="AZ5875" s="55" t="s">
        <v>2081</v>
      </c>
      <c r="BK5875" s="55" t="s">
        <v>6969</v>
      </c>
      <c r="EZ5875" s="65">
        <v>0.41499999999999998</v>
      </c>
      <c r="FA5875" s="65">
        <v>0.39100000000000001</v>
      </c>
      <c r="FD5875" s="65" t="s">
        <v>6759</v>
      </c>
      <c r="FJ5875" s="65">
        <v>7.43</v>
      </c>
      <c r="FK5875" s="65">
        <v>3.08</v>
      </c>
      <c r="FN5875" s="65" t="s">
        <v>206</v>
      </c>
      <c r="FO5875" s="65">
        <v>50.8</v>
      </c>
      <c r="FP5875" s="65">
        <v>41.5</v>
      </c>
      <c r="GD5875" s="65">
        <v>239.67</v>
      </c>
      <c r="GE5875" s="65">
        <v>269.55</v>
      </c>
      <c r="GH5875" s="65" t="s">
        <v>637</v>
      </c>
      <c r="GP5875" s="292" t="s">
        <v>7494</v>
      </c>
    </row>
    <row r="5876" spans="1:198" x14ac:dyDescent="0.25">
      <c r="A5876" s="55">
        <v>5875</v>
      </c>
      <c r="B5876" s="12" t="s">
        <v>7067</v>
      </c>
      <c r="C5876" s="155" t="s">
        <v>6957</v>
      </c>
      <c r="D5876" s="55" t="s">
        <v>6964</v>
      </c>
      <c r="E5876" s="90" t="s">
        <v>3675</v>
      </c>
      <c r="G5876" s="55" t="s">
        <v>6735</v>
      </c>
      <c r="H5876" s="55" t="s">
        <v>5864</v>
      </c>
      <c r="I5876" s="55" t="s">
        <v>5608</v>
      </c>
      <c r="J5876" s="55" t="s">
        <v>6627</v>
      </c>
      <c r="K5876" s="55" t="s">
        <v>6959</v>
      </c>
      <c r="L5876" s="55" t="s">
        <v>3377</v>
      </c>
      <c r="M5876" s="90">
        <v>47.92</v>
      </c>
      <c r="N5876" s="90">
        <v>123.51</v>
      </c>
      <c r="Q5876" s="55" t="s">
        <v>6960</v>
      </c>
      <c r="S5876" s="90" t="s">
        <v>6961</v>
      </c>
      <c r="U5876" s="55" t="s">
        <v>1935</v>
      </c>
      <c r="V5876" s="55" t="s">
        <v>1805</v>
      </c>
      <c r="AO5876" s="185" t="s">
        <v>7494</v>
      </c>
      <c r="AU5876" s="181" t="s">
        <v>7494</v>
      </c>
      <c r="AV5876" s="185" t="s">
        <v>176</v>
      </c>
      <c r="AX5876" s="185" t="s">
        <v>176</v>
      </c>
      <c r="AZ5876" s="55" t="s">
        <v>2081</v>
      </c>
      <c r="BK5876" s="55" t="s">
        <v>6502</v>
      </c>
      <c r="EZ5876" s="65">
        <v>0.41499999999999998</v>
      </c>
      <c r="FA5876" s="65">
        <v>0.68300000000000005</v>
      </c>
      <c r="FD5876" s="65" t="s">
        <v>6759</v>
      </c>
      <c r="FJ5876" s="65">
        <v>7.43</v>
      </c>
      <c r="FK5876" s="65">
        <v>0.83</v>
      </c>
      <c r="FN5876" s="65" t="s">
        <v>206</v>
      </c>
      <c r="FO5876" s="65">
        <v>50.8</v>
      </c>
      <c r="FP5876" s="65">
        <v>14.2</v>
      </c>
      <c r="GD5876" s="65">
        <v>239.67</v>
      </c>
      <c r="GE5876" s="65">
        <v>253.16</v>
      </c>
      <c r="GH5876" s="65" t="s">
        <v>637</v>
      </c>
      <c r="GP5876" s="292" t="s">
        <v>7494</v>
      </c>
    </row>
    <row r="5877" spans="1:198" x14ac:dyDescent="0.25">
      <c r="A5877" s="55">
        <v>5876</v>
      </c>
      <c r="B5877" s="12" t="s">
        <v>7067</v>
      </c>
      <c r="C5877" s="155" t="s">
        <v>6957</v>
      </c>
      <c r="D5877" s="55" t="s">
        <v>6965</v>
      </c>
      <c r="E5877" s="90" t="s">
        <v>3675</v>
      </c>
      <c r="G5877" s="55" t="s">
        <v>6735</v>
      </c>
      <c r="H5877" s="55" t="s">
        <v>5864</v>
      </c>
      <c r="I5877" s="55" t="s">
        <v>5608</v>
      </c>
      <c r="J5877" s="55" t="s">
        <v>6627</v>
      </c>
      <c r="K5877" s="55" t="s">
        <v>6959</v>
      </c>
      <c r="L5877" s="55" t="s">
        <v>3377</v>
      </c>
      <c r="M5877" s="90">
        <v>47.92</v>
      </c>
      <c r="N5877" s="90">
        <v>123.51</v>
      </c>
      <c r="Q5877" s="55" t="s">
        <v>6960</v>
      </c>
      <c r="S5877" s="90" t="s">
        <v>6961</v>
      </c>
      <c r="U5877" s="55" t="s">
        <v>1935</v>
      </c>
      <c r="V5877" s="55" t="s">
        <v>1805</v>
      </c>
      <c r="AO5877" s="185" t="s">
        <v>7494</v>
      </c>
      <c r="AU5877" s="181" t="s">
        <v>7494</v>
      </c>
      <c r="AV5877" s="185" t="s">
        <v>176</v>
      </c>
      <c r="AX5877" s="185" t="s">
        <v>176</v>
      </c>
      <c r="AZ5877" s="55" t="s">
        <v>2081</v>
      </c>
      <c r="BK5877" s="55" t="s">
        <v>5981</v>
      </c>
      <c r="EZ5877" s="65">
        <v>0.41499999999999998</v>
      </c>
      <c r="FA5877" s="65">
        <v>0.46</v>
      </c>
      <c r="FD5877" s="65" t="s">
        <v>6759</v>
      </c>
      <c r="FJ5877" s="65">
        <v>7.43</v>
      </c>
      <c r="FK5877" s="65">
        <v>4.5</v>
      </c>
      <c r="FN5877" s="65" t="s">
        <v>206</v>
      </c>
      <c r="FO5877" s="65">
        <v>50.8</v>
      </c>
      <c r="FP5877" s="65">
        <v>11.9</v>
      </c>
      <c r="GD5877" s="65">
        <v>239.67</v>
      </c>
      <c r="GE5877" s="65">
        <v>251</v>
      </c>
      <c r="GH5877" s="65" t="s">
        <v>637</v>
      </c>
      <c r="GP5877" s="292" t="s">
        <v>7494</v>
      </c>
    </row>
    <row r="5878" spans="1:198" x14ac:dyDescent="0.25">
      <c r="A5878" s="55">
        <v>5877</v>
      </c>
      <c r="B5878" s="12" t="s">
        <v>7067</v>
      </c>
      <c r="C5878" s="155" t="s">
        <v>6957</v>
      </c>
      <c r="D5878" s="55" t="s">
        <v>6966</v>
      </c>
      <c r="E5878" s="90" t="s">
        <v>3675</v>
      </c>
      <c r="G5878" s="55" t="s">
        <v>6735</v>
      </c>
      <c r="H5878" s="55" t="s">
        <v>5864</v>
      </c>
      <c r="I5878" s="55" t="s">
        <v>5608</v>
      </c>
      <c r="J5878" s="55" t="s">
        <v>6627</v>
      </c>
      <c r="K5878" s="55" t="s">
        <v>6959</v>
      </c>
      <c r="L5878" s="55" t="s">
        <v>3377</v>
      </c>
      <c r="M5878" s="90">
        <v>47.92</v>
      </c>
      <c r="N5878" s="90">
        <v>123.51</v>
      </c>
      <c r="Q5878" s="55" t="s">
        <v>6960</v>
      </c>
      <c r="S5878" s="90" t="s">
        <v>6961</v>
      </c>
      <c r="U5878" s="55" t="s">
        <v>1935</v>
      </c>
      <c r="V5878" s="55" t="s">
        <v>1805</v>
      </c>
      <c r="AO5878" s="185" t="s">
        <v>7494</v>
      </c>
      <c r="AU5878" s="181" t="s">
        <v>7494</v>
      </c>
      <c r="AV5878" s="185" t="s">
        <v>176</v>
      </c>
      <c r="AX5878" s="185" t="s">
        <v>176</v>
      </c>
      <c r="AZ5878" s="55" t="s">
        <v>2081</v>
      </c>
      <c r="BK5878" s="55" t="s">
        <v>4499</v>
      </c>
      <c r="EZ5878" s="65">
        <v>0.41499999999999998</v>
      </c>
      <c r="FA5878" s="65">
        <v>0.497</v>
      </c>
      <c r="FD5878" s="65" t="s">
        <v>6759</v>
      </c>
      <c r="FJ5878" s="65">
        <v>7.43</v>
      </c>
      <c r="FK5878" s="65">
        <v>3.13</v>
      </c>
      <c r="FN5878" s="65" t="s">
        <v>206</v>
      </c>
      <c r="FO5878" s="65">
        <v>50.8</v>
      </c>
      <c r="FP5878" s="65">
        <v>41.1</v>
      </c>
      <c r="GD5878" s="65">
        <v>239.67</v>
      </c>
      <c r="GE5878" s="65">
        <v>250.84</v>
      </c>
      <c r="GH5878" s="65" t="s">
        <v>637</v>
      </c>
      <c r="GP5878" s="292" t="s">
        <v>7494</v>
      </c>
    </row>
    <row r="5879" spans="1:198" x14ac:dyDescent="0.25">
      <c r="A5879" s="55">
        <v>5878</v>
      </c>
      <c r="B5879" s="12" t="s">
        <v>7067</v>
      </c>
      <c r="C5879" s="155" t="s">
        <v>6957</v>
      </c>
      <c r="D5879" s="55" t="s">
        <v>6958</v>
      </c>
      <c r="E5879" s="90" t="s">
        <v>3675</v>
      </c>
      <c r="G5879" s="55" t="s">
        <v>6735</v>
      </c>
      <c r="H5879" s="55" t="s">
        <v>5864</v>
      </c>
      <c r="I5879" s="55" t="s">
        <v>5490</v>
      </c>
      <c r="J5879" s="55" t="s">
        <v>6627</v>
      </c>
      <c r="K5879" s="55" t="s">
        <v>6959</v>
      </c>
      <c r="L5879" s="55" t="s">
        <v>3377</v>
      </c>
      <c r="M5879" s="90">
        <v>47.92</v>
      </c>
      <c r="N5879" s="90">
        <v>123.51</v>
      </c>
      <c r="Q5879" s="55" t="s">
        <v>6960</v>
      </c>
      <c r="S5879" s="90" t="s">
        <v>6961</v>
      </c>
      <c r="U5879" s="55" t="s">
        <v>1805</v>
      </c>
      <c r="V5879" s="55" t="s">
        <v>1805</v>
      </c>
      <c r="AO5879" s="185" t="s">
        <v>7494</v>
      </c>
      <c r="AU5879" s="181" t="s">
        <v>7494</v>
      </c>
      <c r="AV5879" s="185" t="s">
        <v>176</v>
      </c>
      <c r="AX5879" s="185" t="s">
        <v>176</v>
      </c>
      <c r="AZ5879" s="55" t="s">
        <v>2081</v>
      </c>
      <c r="BA5879" s="55" t="s">
        <v>4499</v>
      </c>
      <c r="BK5879" s="55" t="s">
        <v>6967</v>
      </c>
      <c r="FO5879" s="65">
        <v>59.5</v>
      </c>
      <c r="FP5879" s="65">
        <v>3.5</v>
      </c>
      <c r="GP5879" s="292" t="s">
        <v>7494</v>
      </c>
    </row>
    <row r="5880" spans="1:198" x14ac:dyDescent="0.25">
      <c r="A5880" s="55">
        <v>5879</v>
      </c>
      <c r="B5880" s="12" t="s">
        <v>7067</v>
      </c>
      <c r="C5880" s="155" t="s">
        <v>6957</v>
      </c>
      <c r="D5880" s="55" t="s">
        <v>6962</v>
      </c>
      <c r="E5880" s="90" t="s">
        <v>3675</v>
      </c>
      <c r="G5880" s="55" t="s">
        <v>6735</v>
      </c>
      <c r="H5880" s="55" t="s">
        <v>5864</v>
      </c>
      <c r="I5880" s="55" t="s">
        <v>5490</v>
      </c>
      <c r="J5880" s="55" t="s">
        <v>6627</v>
      </c>
      <c r="K5880" s="55" t="s">
        <v>6959</v>
      </c>
      <c r="L5880" s="55" t="s">
        <v>3377</v>
      </c>
      <c r="M5880" s="90">
        <v>47.92</v>
      </c>
      <c r="N5880" s="90">
        <v>123.51</v>
      </c>
      <c r="Q5880" s="55" t="s">
        <v>6960</v>
      </c>
      <c r="S5880" s="90" t="s">
        <v>6961</v>
      </c>
      <c r="U5880" s="55" t="s">
        <v>1805</v>
      </c>
      <c r="V5880" s="55" t="s">
        <v>1805</v>
      </c>
      <c r="AO5880" s="185" t="s">
        <v>7494</v>
      </c>
      <c r="AU5880" s="181" t="s">
        <v>7494</v>
      </c>
      <c r="AV5880" s="185" t="s">
        <v>176</v>
      </c>
      <c r="AX5880" s="185" t="s">
        <v>176</v>
      </c>
      <c r="AZ5880" s="55" t="s">
        <v>2081</v>
      </c>
      <c r="BA5880" s="55" t="s">
        <v>4499</v>
      </c>
      <c r="BK5880" s="55" t="s">
        <v>6968</v>
      </c>
      <c r="FO5880" s="65">
        <v>59.5</v>
      </c>
      <c r="FP5880" s="65">
        <v>5.0999999999999996</v>
      </c>
      <c r="GP5880" s="292" t="s">
        <v>7494</v>
      </c>
    </row>
    <row r="5881" spans="1:198" x14ac:dyDescent="0.25">
      <c r="A5881" s="55">
        <v>5880</v>
      </c>
      <c r="B5881" s="12" t="s">
        <v>7067</v>
      </c>
      <c r="C5881" s="155" t="s">
        <v>6957</v>
      </c>
      <c r="D5881" s="55" t="s">
        <v>6963</v>
      </c>
      <c r="E5881" s="90" t="s">
        <v>3675</v>
      </c>
      <c r="G5881" s="55" t="s">
        <v>6735</v>
      </c>
      <c r="H5881" s="55" t="s">
        <v>5864</v>
      </c>
      <c r="I5881" s="55" t="s">
        <v>5490</v>
      </c>
      <c r="J5881" s="55" t="s">
        <v>6627</v>
      </c>
      <c r="K5881" s="55" t="s">
        <v>6959</v>
      </c>
      <c r="L5881" s="55" t="s">
        <v>3377</v>
      </c>
      <c r="M5881" s="90">
        <v>47.92</v>
      </c>
      <c r="N5881" s="90">
        <v>123.51</v>
      </c>
      <c r="Q5881" s="55" t="s">
        <v>6960</v>
      </c>
      <c r="S5881" s="90" t="s">
        <v>6961</v>
      </c>
      <c r="U5881" s="55" t="s">
        <v>1805</v>
      </c>
      <c r="V5881" s="55" t="s">
        <v>1805</v>
      </c>
      <c r="AO5881" s="185" t="s">
        <v>7494</v>
      </c>
      <c r="AU5881" s="181" t="s">
        <v>7494</v>
      </c>
      <c r="AV5881" s="185" t="s">
        <v>176</v>
      </c>
      <c r="AX5881" s="185" t="s">
        <v>176</v>
      </c>
      <c r="AZ5881" s="55" t="s">
        <v>2081</v>
      </c>
      <c r="BK5881" s="55" t="s">
        <v>6969</v>
      </c>
      <c r="FJ5881" s="65">
        <v>9.64</v>
      </c>
      <c r="FK5881" s="65">
        <v>1.9</v>
      </c>
      <c r="FN5881" s="65" t="s">
        <v>6970</v>
      </c>
      <c r="FO5881" s="65">
        <v>59.5</v>
      </c>
      <c r="FP5881" s="65">
        <v>48.9</v>
      </c>
      <c r="GP5881" s="292" t="s">
        <v>7494</v>
      </c>
    </row>
    <row r="5882" spans="1:198" x14ac:dyDescent="0.25">
      <c r="A5882" s="55">
        <v>5881</v>
      </c>
      <c r="B5882" s="12" t="s">
        <v>7067</v>
      </c>
      <c r="C5882" s="155" t="s">
        <v>6957</v>
      </c>
      <c r="D5882" s="55" t="s">
        <v>6964</v>
      </c>
      <c r="E5882" s="90" t="s">
        <v>3675</v>
      </c>
      <c r="G5882" s="55" t="s">
        <v>6735</v>
      </c>
      <c r="H5882" s="55" t="s">
        <v>5864</v>
      </c>
      <c r="I5882" s="55" t="s">
        <v>5490</v>
      </c>
      <c r="J5882" s="55" t="s">
        <v>6627</v>
      </c>
      <c r="K5882" s="55" t="s">
        <v>6959</v>
      </c>
      <c r="L5882" s="55" t="s">
        <v>3377</v>
      </c>
      <c r="M5882" s="90">
        <v>47.92</v>
      </c>
      <c r="N5882" s="90">
        <v>123.51</v>
      </c>
      <c r="Q5882" s="55" t="s">
        <v>6960</v>
      </c>
      <c r="S5882" s="90" t="s">
        <v>6961</v>
      </c>
      <c r="U5882" s="55" t="s">
        <v>1805</v>
      </c>
      <c r="V5882" s="55" t="s">
        <v>1805</v>
      </c>
      <c r="AO5882" s="185" t="s">
        <v>7494</v>
      </c>
      <c r="AU5882" s="181" t="s">
        <v>7494</v>
      </c>
      <c r="AV5882" s="185" t="s">
        <v>176</v>
      </c>
      <c r="AX5882" s="185" t="s">
        <v>176</v>
      </c>
      <c r="AZ5882" s="55" t="s">
        <v>2081</v>
      </c>
      <c r="BK5882" s="55" t="s">
        <v>6502</v>
      </c>
      <c r="FJ5882" s="65">
        <v>9.64</v>
      </c>
      <c r="FK5882" s="65">
        <v>3.57</v>
      </c>
      <c r="FN5882" s="65" t="s">
        <v>6970</v>
      </c>
      <c r="FO5882" s="65">
        <v>59.5</v>
      </c>
      <c r="FP5882" s="65">
        <v>17.3</v>
      </c>
      <c r="GP5882" s="292" t="s">
        <v>7494</v>
      </c>
    </row>
    <row r="5883" spans="1:198" x14ac:dyDescent="0.25">
      <c r="A5883" s="55">
        <v>5882</v>
      </c>
      <c r="B5883" s="12" t="s">
        <v>7067</v>
      </c>
      <c r="C5883" s="155" t="s">
        <v>6957</v>
      </c>
      <c r="D5883" s="55" t="s">
        <v>6965</v>
      </c>
      <c r="E5883" s="90" t="s">
        <v>3675</v>
      </c>
      <c r="G5883" s="55" t="s">
        <v>6735</v>
      </c>
      <c r="H5883" s="55" t="s">
        <v>5864</v>
      </c>
      <c r="I5883" s="55" t="s">
        <v>5490</v>
      </c>
      <c r="J5883" s="55" t="s">
        <v>6627</v>
      </c>
      <c r="K5883" s="55" t="s">
        <v>6959</v>
      </c>
      <c r="L5883" s="55" t="s">
        <v>3377</v>
      </c>
      <c r="M5883" s="90">
        <v>47.92</v>
      </c>
      <c r="N5883" s="90">
        <v>123.51</v>
      </c>
      <c r="Q5883" s="55" t="s">
        <v>6960</v>
      </c>
      <c r="S5883" s="90" t="s">
        <v>6961</v>
      </c>
      <c r="U5883" s="55" t="s">
        <v>1805</v>
      </c>
      <c r="V5883" s="55" t="s">
        <v>1805</v>
      </c>
      <c r="AO5883" s="185" t="s">
        <v>7494</v>
      </c>
      <c r="AU5883" s="181" t="s">
        <v>7494</v>
      </c>
      <c r="AV5883" s="185" t="s">
        <v>176</v>
      </c>
      <c r="AX5883" s="185" t="s">
        <v>176</v>
      </c>
      <c r="AZ5883" s="55" t="s">
        <v>2081</v>
      </c>
      <c r="BK5883" s="55" t="s">
        <v>5981</v>
      </c>
      <c r="FJ5883" s="65">
        <v>9.64</v>
      </c>
      <c r="FK5883" s="65">
        <v>4.68</v>
      </c>
      <c r="FN5883" s="65" t="s">
        <v>6970</v>
      </c>
      <c r="FO5883" s="65">
        <v>59.5</v>
      </c>
      <c r="FP5883" s="65">
        <v>14.3</v>
      </c>
      <c r="GP5883" s="292" t="s">
        <v>7494</v>
      </c>
    </row>
    <row r="5884" spans="1:198" x14ac:dyDescent="0.25">
      <c r="A5884" s="55">
        <v>5883</v>
      </c>
      <c r="B5884" s="12" t="s">
        <v>7067</v>
      </c>
      <c r="C5884" s="155" t="s">
        <v>6957</v>
      </c>
      <c r="D5884" s="55" t="s">
        <v>6966</v>
      </c>
      <c r="E5884" s="90" t="s">
        <v>3675</v>
      </c>
      <c r="G5884" s="55" t="s">
        <v>6735</v>
      </c>
      <c r="H5884" s="55" t="s">
        <v>5864</v>
      </c>
      <c r="I5884" s="55" t="s">
        <v>5490</v>
      </c>
      <c r="J5884" s="55" t="s">
        <v>6627</v>
      </c>
      <c r="K5884" s="55" t="s">
        <v>6959</v>
      </c>
      <c r="L5884" s="55" t="s">
        <v>3377</v>
      </c>
      <c r="M5884" s="90">
        <v>47.92</v>
      </c>
      <c r="N5884" s="90">
        <v>123.51</v>
      </c>
      <c r="Q5884" s="55" t="s">
        <v>6960</v>
      </c>
      <c r="S5884" s="90" t="s">
        <v>6961</v>
      </c>
      <c r="U5884" s="55" t="s">
        <v>1805</v>
      </c>
      <c r="V5884" s="55" t="s">
        <v>1805</v>
      </c>
      <c r="AO5884" s="185" t="s">
        <v>7494</v>
      </c>
      <c r="AU5884" s="181" t="s">
        <v>7494</v>
      </c>
      <c r="AV5884" s="185" t="s">
        <v>176</v>
      </c>
      <c r="AX5884" s="185" t="s">
        <v>176</v>
      </c>
      <c r="AZ5884" s="55" t="s">
        <v>2081</v>
      </c>
      <c r="BK5884" s="55" t="s">
        <v>4499</v>
      </c>
      <c r="FJ5884" s="65">
        <v>9.64</v>
      </c>
      <c r="FK5884" s="65">
        <v>6.19</v>
      </c>
      <c r="FN5884" s="65" t="s">
        <v>6970</v>
      </c>
      <c r="FO5884" s="65">
        <v>59.5</v>
      </c>
      <c r="FP5884" s="65">
        <v>48.2</v>
      </c>
      <c r="GP5884" s="292" t="s">
        <v>7494</v>
      </c>
    </row>
    <row r="5885" spans="1:198" x14ac:dyDescent="0.25">
      <c r="A5885" s="55">
        <v>5884</v>
      </c>
      <c r="B5885" s="12" t="s">
        <v>7067</v>
      </c>
      <c r="C5885" s="155" t="s">
        <v>6971</v>
      </c>
      <c r="D5885" s="55" t="s">
        <v>6972</v>
      </c>
      <c r="E5885" s="90" t="s">
        <v>6978</v>
      </c>
      <c r="G5885" s="55" t="s">
        <v>6979</v>
      </c>
      <c r="H5885" s="55" t="s">
        <v>6893</v>
      </c>
      <c r="I5885" s="55" t="s">
        <v>5564</v>
      </c>
      <c r="J5885" s="55" t="s">
        <v>1050</v>
      </c>
      <c r="K5885" s="55" t="s">
        <v>6980</v>
      </c>
      <c r="L5885" s="55" t="s">
        <v>2741</v>
      </c>
      <c r="M5885" s="90">
        <f>44+40/60</f>
        <v>44.666666666666664</v>
      </c>
      <c r="N5885" s="90">
        <f>8+37/60</f>
        <v>8.6166666666666671</v>
      </c>
      <c r="O5885" s="90">
        <v>296</v>
      </c>
      <c r="Q5885" s="55" t="s">
        <v>6981</v>
      </c>
      <c r="S5885" s="90">
        <v>849</v>
      </c>
      <c r="U5885" s="55" t="s">
        <v>1801</v>
      </c>
      <c r="V5885" s="55" t="s">
        <v>1875</v>
      </c>
      <c r="AH5885" s="55" t="s">
        <v>645</v>
      </c>
      <c r="AM5885" s="55" t="s">
        <v>6984</v>
      </c>
      <c r="AN5885" s="185" t="s">
        <v>1545</v>
      </c>
      <c r="AO5885" s="185" t="s">
        <v>5150</v>
      </c>
      <c r="AQ5885" s="55" t="s">
        <v>1545</v>
      </c>
      <c r="AS5885" s="55" t="s">
        <v>3471</v>
      </c>
      <c r="AU5885" s="181" t="s">
        <v>7494</v>
      </c>
      <c r="AV5885" s="185" t="s">
        <v>176</v>
      </c>
      <c r="AX5885" s="185" t="s">
        <v>176</v>
      </c>
      <c r="AZ5885" s="55" t="s">
        <v>4499</v>
      </c>
      <c r="BK5885" s="55" t="s">
        <v>4499</v>
      </c>
      <c r="BV5885" s="55" t="s">
        <v>6982</v>
      </c>
      <c r="CH5885" s="90">
        <v>1.42</v>
      </c>
      <c r="CI5885" s="90">
        <v>1.47</v>
      </c>
      <c r="CJ5885" s="65">
        <f>CH5885*0.064</f>
        <v>9.0880000000000002E-2</v>
      </c>
      <c r="CK5885" s="65">
        <f>CI5885*0.049</f>
        <v>7.2029999999999997E-2</v>
      </c>
      <c r="EU5885" s="65">
        <v>2.25</v>
      </c>
      <c r="EV5885" s="65">
        <v>2.4500000000000002</v>
      </c>
      <c r="EW5885" s="65">
        <f>EU5885*0.397</f>
        <v>0.8932500000000001</v>
      </c>
      <c r="EX5885" s="65">
        <f>EV5885*0.312</f>
        <v>0.76440000000000008</v>
      </c>
      <c r="EY5885" s="65" t="s">
        <v>2366</v>
      </c>
      <c r="FE5885" s="65">
        <v>204.3</v>
      </c>
      <c r="FF5885" s="65">
        <v>107.6</v>
      </c>
      <c r="FG5885" s="65">
        <f>FE5885*0.573</f>
        <v>117.0639</v>
      </c>
      <c r="FH5885" s="65">
        <f>FF5885*0.814</f>
        <v>87.586399999999983</v>
      </c>
      <c r="FI5885" s="65" t="s">
        <v>6616</v>
      </c>
      <c r="FO5885" s="65">
        <v>166.3</v>
      </c>
      <c r="FP5885" s="65">
        <v>147.1</v>
      </c>
      <c r="FQ5885" s="65">
        <v>121.2</v>
      </c>
      <c r="FR5885" s="65">
        <v>94.9</v>
      </c>
      <c r="FS5885" s="65" t="s">
        <v>637</v>
      </c>
      <c r="FT5885" s="65">
        <v>12.1</v>
      </c>
      <c r="FU5885" s="65">
        <v>7.5</v>
      </c>
      <c r="FX5885" s="65" t="s">
        <v>6985</v>
      </c>
      <c r="GP5885" s="292" t="s">
        <v>7494</v>
      </c>
    </row>
    <row r="5886" spans="1:198" x14ac:dyDescent="0.25">
      <c r="A5886" s="55">
        <v>5885</v>
      </c>
      <c r="B5886" s="12" t="s">
        <v>7067</v>
      </c>
      <c r="C5886" s="155" t="s">
        <v>6971</v>
      </c>
      <c r="D5886" s="55" t="s">
        <v>6974</v>
      </c>
      <c r="E5886" s="90" t="s">
        <v>6978</v>
      </c>
      <c r="G5886" s="55" t="s">
        <v>6979</v>
      </c>
      <c r="H5886" s="55" t="s">
        <v>6893</v>
      </c>
      <c r="I5886" s="55" t="s">
        <v>5564</v>
      </c>
      <c r="J5886" s="55" t="s">
        <v>1050</v>
      </c>
      <c r="K5886" s="55" t="s">
        <v>6980</v>
      </c>
      <c r="L5886" s="55" t="s">
        <v>2741</v>
      </c>
      <c r="M5886" s="90">
        <f>44+40/60</f>
        <v>44.666666666666664</v>
      </c>
      <c r="N5886" s="90">
        <f>8+37/60</f>
        <v>8.6166666666666671</v>
      </c>
      <c r="O5886" s="90">
        <v>296</v>
      </c>
      <c r="Q5886" s="55" t="s">
        <v>6981</v>
      </c>
      <c r="S5886" s="90">
        <v>849</v>
      </c>
      <c r="U5886" s="55" t="s">
        <v>1801</v>
      </c>
      <c r="V5886" s="55" t="s">
        <v>1875</v>
      </c>
      <c r="AH5886" s="55" t="s">
        <v>645</v>
      </c>
      <c r="AM5886" s="55" t="s">
        <v>6984</v>
      </c>
      <c r="AN5886" s="185" t="s">
        <v>1545</v>
      </c>
      <c r="AO5886" s="185" t="s">
        <v>5150</v>
      </c>
      <c r="AQ5886" s="55" t="s">
        <v>1545</v>
      </c>
      <c r="AS5886" s="55" t="s">
        <v>3471</v>
      </c>
      <c r="AU5886" s="181" t="s">
        <v>7494</v>
      </c>
      <c r="AV5886" s="185" t="s">
        <v>176</v>
      </c>
      <c r="AX5886" s="185" t="s">
        <v>176</v>
      </c>
      <c r="AZ5886" s="55" t="s">
        <v>4499</v>
      </c>
      <c r="BK5886" s="55" t="s">
        <v>6983</v>
      </c>
      <c r="BV5886" s="55" t="s">
        <v>6982</v>
      </c>
      <c r="CH5886" s="90">
        <v>1.42</v>
      </c>
      <c r="CI5886" s="90">
        <v>1.39</v>
      </c>
      <c r="CJ5886" s="65">
        <f>CH5886*0.064</f>
        <v>9.0880000000000002E-2</v>
      </c>
      <c r="CK5886" s="65">
        <f>CI5886*0.049</f>
        <v>6.8110000000000004E-2</v>
      </c>
      <c r="EU5886" s="65">
        <v>2.25</v>
      </c>
      <c r="EV5886" s="65">
        <v>3.01</v>
      </c>
      <c r="EW5886" s="65">
        <f>EU5886*0.397</f>
        <v>0.8932500000000001</v>
      </c>
      <c r="EX5886" s="65">
        <f>EV5886*0.2</f>
        <v>0.60199999999999998</v>
      </c>
      <c r="EY5886" s="65" t="s">
        <v>2366</v>
      </c>
      <c r="FO5886" s="65">
        <v>166.3</v>
      </c>
      <c r="FP5886" s="65">
        <v>93.3</v>
      </c>
      <c r="FQ5886" s="65">
        <v>12.12</v>
      </c>
      <c r="FR5886" s="65">
        <v>67.8</v>
      </c>
      <c r="FS5886" s="65" t="s">
        <v>637</v>
      </c>
      <c r="FT5886" s="65">
        <v>12.1</v>
      </c>
      <c r="FU5886" s="65">
        <v>4.7</v>
      </c>
      <c r="FX5886" s="65" t="s">
        <v>6985</v>
      </c>
      <c r="GP5886" s="292" t="s">
        <v>7494</v>
      </c>
    </row>
    <row r="5887" spans="1:198" x14ac:dyDescent="0.25">
      <c r="A5887" s="55">
        <v>5886</v>
      </c>
      <c r="B5887" s="12" t="s">
        <v>7067</v>
      </c>
      <c r="C5887" s="155" t="s">
        <v>6976</v>
      </c>
      <c r="D5887" s="55" t="s">
        <v>6977</v>
      </c>
      <c r="E5887" s="90" t="s">
        <v>6991</v>
      </c>
      <c r="G5887" s="55" t="s">
        <v>6992</v>
      </c>
      <c r="H5887" s="55" t="s">
        <v>6390</v>
      </c>
      <c r="I5887" s="55" t="s">
        <v>5490</v>
      </c>
      <c r="J5887" s="55" t="s">
        <v>6987</v>
      </c>
      <c r="K5887" s="55" t="s">
        <v>6986</v>
      </c>
      <c r="L5887" s="55" t="s">
        <v>2744</v>
      </c>
      <c r="M5887" s="90">
        <f>7+14/60</f>
        <v>7.2333333333333334</v>
      </c>
      <c r="N5887" s="90">
        <f>3+26/60</f>
        <v>3.4333333333333336</v>
      </c>
      <c r="Q5887" s="55" t="s">
        <v>1877</v>
      </c>
      <c r="S5887" s="90">
        <v>1320</v>
      </c>
      <c r="U5887" s="55" t="s">
        <v>1935</v>
      </c>
      <c r="V5887" s="55" t="s">
        <v>1805</v>
      </c>
      <c r="AB5887" s="65">
        <v>6.31</v>
      </c>
      <c r="AC5887" s="65" t="s">
        <v>7001</v>
      </c>
      <c r="AD5887" s="90">
        <v>1.24</v>
      </c>
      <c r="AH5887" s="55" t="s">
        <v>6988</v>
      </c>
      <c r="AO5887" s="185" t="s">
        <v>5150</v>
      </c>
      <c r="AR5887" s="55" t="s">
        <v>132</v>
      </c>
      <c r="AS5887" s="55" t="s">
        <v>132</v>
      </c>
      <c r="AU5887" s="181" t="s">
        <v>7494</v>
      </c>
      <c r="AV5887" s="185" t="s">
        <v>176</v>
      </c>
      <c r="AX5887" s="185" t="s">
        <v>176</v>
      </c>
      <c r="AZ5887" s="55" t="s">
        <v>4499</v>
      </c>
      <c r="BK5887" s="55" t="s">
        <v>4499</v>
      </c>
      <c r="CR5887" s="65">
        <v>1.65</v>
      </c>
      <c r="CS5887" s="65">
        <v>1.98</v>
      </c>
      <c r="CV5887" s="65" t="s">
        <v>164</v>
      </c>
      <c r="DB5887" s="65">
        <v>1.38</v>
      </c>
      <c r="DC5887" s="65">
        <v>1.52</v>
      </c>
      <c r="DF5887" s="65" t="s">
        <v>6866</v>
      </c>
      <c r="DG5887" s="65">
        <v>26.64</v>
      </c>
      <c r="DH5887" s="65">
        <v>24.33</v>
      </c>
      <c r="DK5887" s="65" t="s">
        <v>6989</v>
      </c>
      <c r="DQ5887" s="165">
        <v>6</v>
      </c>
      <c r="DR5887" s="165">
        <v>6.2</v>
      </c>
      <c r="DV5887" s="65">
        <v>6.31</v>
      </c>
      <c r="DW5887" s="65">
        <v>6.24</v>
      </c>
      <c r="DZ5887" s="65" t="s">
        <v>6990</v>
      </c>
      <c r="EZ5887" s="65">
        <v>9.5299999999999994</v>
      </c>
      <c r="FA5887" s="65">
        <v>11.34</v>
      </c>
      <c r="FD5887" s="65" t="s">
        <v>902</v>
      </c>
      <c r="FE5887" s="65">
        <v>8.5</v>
      </c>
      <c r="FF5887" s="65">
        <v>10.25</v>
      </c>
      <c r="FI5887" s="65" t="s">
        <v>902</v>
      </c>
      <c r="GP5887" s="292" t="s">
        <v>7494</v>
      </c>
    </row>
    <row r="5888" spans="1:198" x14ac:dyDescent="0.25">
      <c r="A5888" s="55">
        <v>5887</v>
      </c>
      <c r="B5888" s="12" t="s">
        <v>7067</v>
      </c>
      <c r="C5888" s="155" t="s">
        <v>6976</v>
      </c>
      <c r="D5888" s="55" t="s">
        <v>6977</v>
      </c>
      <c r="E5888" s="90" t="s">
        <v>6991</v>
      </c>
      <c r="G5888" s="55" t="s">
        <v>6992</v>
      </c>
      <c r="H5888" s="55" t="s">
        <v>6390</v>
      </c>
      <c r="I5888" s="55" t="s">
        <v>5490</v>
      </c>
      <c r="J5888" s="55" t="s">
        <v>6987</v>
      </c>
      <c r="K5888" s="55" t="s">
        <v>6986</v>
      </c>
      <c r="L5888" s="55" t="s">
        <v>2744</v>
      </c>
      <c r="M5888" s="90">
        <f>7+14/60</f>
        <v>7.2333333333333334</v>
      </c>
      <c r="N5888" s="90">
        <f>3+26/60</f>
        <v>3.4333333333333336</v>
      </c>
      <c r="Q5888" s="55" t="s">
        <v>1877</v>
      </c>
      <c r="S5888" s="90">
        <v>1320</v>
      </c>
      <c r="U5888" s="55" t="s">
        <v>1935</v>
      </c>
      <c r="V5888" s="55" t="s">
        <v>1805</v>
      </c>
      <c r="AB5888" s="65">
        <v>6.31</v>
      </c>
      <c r="AC5888" s="65" t="s">
        <v>7001</v>
      </c>
      <c r="AD5888" s="90">
        <v>1.24</v>
      </c>
      <c r="AH5888" s="55" t="s">
        <v>6988</v>
      </c>
      <c r="AO5888" s="185" t="s">
        <v>5150</v>
      </c>
      <c r="AR5888" s="55" t="s">
        <v>132</v>
      </c>
      <c r="AS5888" s="55" t="s">
        <v>132</v>
      </c>
      <c r="AU5888" s="181" t="s">
        <v>7494</v>
      </c>
      <c r="AV5888" s="185" t="s">
        <v>176</v>
      </c>
      <c r="AX5888" s="185" t="s">
        <v>176</v>
      </c>
      <c r="AZ5888" s="55" t="s">
        <v>2082</v>
      </c>
      <c r="BK5888" s="55" t="s">
        <v>2082</v>
      </c>
      <c r="CR5888" s="65">
        <v>1.65</v>
      </c>
      <c r="CS5888" s="65">
        <v>2.12</v>
      </c>
      <c r="CV5888" s="65" t="s">
        <v>164</v>
      </c>
      <c r="DB5888" s="65">
        <v>1.38</v>
      </c>
      <c r="DC5888" s="65">
        <v>1.58</v>
      </c>
      <c r="DF5888" s="65" t="s">
        <v>6866</v>
      </c>
      <c r="DG5888" s="65">
        <v>26.64</v>
      </c>
      <c r="DH5888" s="65">
        <v>33.28</v>
      </c>
      <c r="DK5888" s="65" t="s">
        <v>6989</v>
      </c>
      <c r="DQ5888" s="165">
        <v>6</v>
      </c>
      <c r="DR5888" s="165">
        <v>6.1</v>
      </c>
      <c r="DV5888" s="65">
        <v>6.31</v>
      </c>
      <c r="DW5888" s="65">
        <v>7.36</v>
      </c>
      <c r="DZ5888" s="65" t="s">
        <v>6990</v>
      </c>
      <c r="EZ5888" s="65">
        <v>9.5299999999999994</v>
      </c>
      <c r="FA5888" s="65">
        <v>8.5</v>
      </c>
      <c r="FD5888" s="65" t="s">
        <v>902</v>
      </c>
      <c r="FE5888" s="65">
        <v>8.5</v>
      </c>
      <c r="FF5888" s="65">
        <v>7.59</v>
      </c>
      <c r="FI5888" s="65" t="s">
        <v>902</v>
      </c>
      <c r="GP5888" s="292" t="s">
        <v>7494</v>
      </c>
    </row>
    <row r="5889" spans="1:198" x14ac:dyDescent="0.25">
      <c r="A5889" s="55">
        <v>5888</v>
      </c>
      <c r="B5889" s="12" t="s">
        <v>7067</v>
      </c>
      <c r="C5889" s="155" t="s">
        <v>6976</v>
      </c>
      <c r="D5889" s="55" t="s">
        <v>6977</v>
      </c>
      <c r="E5889" s="90" t="s">
        <v>6991</v>
      </c>
      <c r="G5889" s="55" t="s">
        <v>6992</v>
      </c>
      <c r="H5889" s="55" t="s">
        <v>6390</v>
      </c>
      <c r="I5889" s="55" t="s">
        <v>5864</v>
      </c>
      <c r="J5889" s="55" t="s">
        <v>6987</v>
      </c>
      <c r="K5889" s="55" t="s">
        <v>6986</v>
      </c>
      <c r="L5889" s="55" t="s">
        <v>2744</v>
      </c>
      <c r="M5889" s="90">
        <f>7+14/60</f>
        <v>7.2333333333333334</v>
      </c>
      <c r="N5889" s="90">
        <f>3+26/60</f>
        <v>3.4333333333333336</v>
      </c>
      <c r="Q5889" s="55" t="s">
        <v>1877</v>
      </c>
      <c r="S5889" s="90">
        <v>1320</v>
      </c>
      <c r="U5889" s="55" t="s">
        <v>1805</v>
      </c>
      <c r="V5889" s="55" t="s">
        <v>1805</v>
      </c>
      <c r="AB5889" s="65">
        <v>8.0500000000000007</v>
      </c>
      <c r="AC5889" s="65" t="s">
        <v>7001</v>
      </c>
      <c r="AD5889" s="90">
        <v>1.24</v>
      </c>
      <c r="AH5889" s="55" t="s">
        <v>6988</v>
      </c>
      <c r="AO5889" s="185" t="s">
        <v>5150</v>
      </c>
      <c r="AR5889" s="55" t="s">
        <v>132</v>
      </c>
      <c r="AS5889" s="55" t="s">
        <v>132</v>
      </c>
      <c r="AU5889" s="181" t="s">
        <v>7494</v>
      </c>
      <c r="AV5889" s="185" t="s">
        <v>176</v>
      </c>
      <c r="AX5889" s="185" t="s">
        <v>176</v>
      </c>
      <c r="AZ5889" s="55" t="s">
        <v>4499</v>
      </c>
      <c r="BK5889" s="55" t="s">
        <v>4499</v>
      </c>
      <c r="CR5889" s="65">
        <v>0.27900000000000003</v>
      </c>
      <c r="CS5889" s="65">
        <v>0.45900000000000002</v>
      </c>
      <c r="CV5889" s="65" t="s">
        <v>164</v>
      </c>
      <c r="DB5889" s="65">
        <v>0.32</v>
      </c>
      <c r="DC5889" s="65">
        <v>0.55000000000000004</v>
      </c>
      <c r="DF5889" s="65" t="s">
        <v>6866</v>
      </c>
      <c r="DG5889" s="65">
        <v>65.59</v>
      </c>
      <c r="DH5889" s="65">
        <v>40.47</v>
      </c>
      <c r="DK5889" s="65" t="s">
        <v>6989</v>
      </c>
      <c r="DQ5889" s="165">
        <v>6.69</v>
      </c>
      <c r="DR5889" s="165">
        <v>6.79</v>
      </c>
      <c r="DV5889" s="65">
        <v>8.0500000000000007</v>
      </c>
      <c r="DW5889" s="65">
        <v>8.51</v>
      </c>
      <c r="DZ5889" s="65" t="s">
        <v>6990</v>
      </c>
      <c r="EZ5889" s="65">
        <v>7.12</v>
      </c>
      <c r="FA5889" s="65">
        <v>7.79</v>
      </c>
      <c r="FD5889" s="65" t="s">
        <v>902</v>
      </c>
      <c r="FE5889" s="65">
        <v>6.09</v>
      </c>
      <c r="FF5889" s="65">
        <v>6.69</v>
      </c>
      <c r="FI5889" s="65" t="s">
        <v>902</v>
      </c>
      <c r="GP5889" s="292" t="s">
        <v>7494</v>
      </c>
    </row>
    <row r="5890" spans="1:198" x14ac:dyDescent="0.25">
      <c r="A5890" s="55">
        <v>5889</v>
      </c>
      <c r="B5890" s="12" t="s">
        <v>7067</v>
      </c>
      <c r="C5890" s="155" t="s">
        <v>6976</v>
      </c>
      <c r="D5890" s="55" t="s">
        <v>6977</v>
      </c>
      <c r="E5890" s="90" t="s">
        <v>6991</v>
      </c>
      <c r="G5890" s="55" t="s">
        <v>6992</v>
      </c>
      <c r="H5890" s="55" t="s">
        <v>6390</v>
      </c>
      <c r="I5890" s="55" t="s">
        <v>5864</v>
      </c>
      <c r="J5890" s="55" t="s">
        <v>6987</v>
      </c>
      <c r="K5890" s="55" t="s">
        <v>6986</v>
      </c>
      <c r="L5890" s="55" t="s">
        <v>2744</v>
      </c>
      <c r="M5890" s="90">
        <f>7+14/60</f>
        <v>7.2333333333333334</v>
      </c>
      <c r="N5890" s="90">
        <f>3+26/60</f>
        <v>3.4333333333333336</v>
      </c>
      <c r="Q5890" s="55" t="s">
        <v>1877</v>
      </c>
      <c r="S5890" s="90">
        <v>1320</v>
      </c>
      <c r="U5890" s="55" t="s">
        <v>1805</v>
      </c>
      <c r="V5890" s="55" t="s">
        <v>1805</v>
      </c>
      <c r="AB5890" s="65">
        <v>8.0500000000000007</v>
      </c>
      <c r="AC5890" s="65" t="s">
        <v>7001</v>
      </c>
      <c r="AD5890" s="90">
        <v>1.24</v>
      </c>
      <c r="AH5890" s="55" t="s">
        <v>6988</v>
      </c>
      <c r="AO5890" s="185" t="s">
        <v>5150</v>
      </c>
      <c r="AR5890" s="55" t="s">
        <v>132</v>
      </c>
      <c r="AS5890" s="55" t="s">
        <v>132</v>
      </c>
      <c r="AU5890" s="181" t="s">
        <v>7494</v>
      </c>
      <c r="AV5890" s="185" t="s">
        <v>176</v>
      </c>
      <c r="AX5890" s="185" t="s">
        <v>176</v>
      </c>
      <c r="AZ5890" s="55" t="s">
        <v>2082</v>
      </c>
      <c r="BK5890" s="55" t="s">
        <v>2082</v>
      </c>
      <c r="CR5890" s="65">
        <v>0.27900000000000003</v>
      </c>
      <c r="CS5890" s="65">
        <v>0.5</v>
      </c>
      <c r="CV5890" s="65" t="s">
        <v>164</v>
      </c>
      <c r="DB5890" s="65">
        <v>0.32</v>
      </c>
      <c r="DC5890" s="65">
        <v>0.53</v>
      </c>
      <c r="DF5890" s="65" t="s">
        <v>6866</v>
      </c>
      <c r="DG5890" s="65">
        <v>65.59</v>
      </c>
      <c r="DH5890" s="65">
        <v>61.13</v>
      </c>
      <c r="DK5890" s="65" t="s">
        <v>6989</v>
      </c>
      <c r="DQ5890" s="165">
        <v>6.69</v>
      </c>
      <c r="DR5890" s="165">
        <v>6.64</v>
      </c>
      <c r="DV5890" s="65">
        <v>8.0500000000000007</v>
      </c>
      <c r="DW5890" s="65">
        <v>9.39</v>
      </c>
      <c r="DZ5890" s="65" t="s">
        <v>6990</v>
      </c>
      <c r="EZ5890" s="65">
        <v>7.12</v>
      </c>
      <c r="FA5890" s="65">
        <v>7.35</v>
      </c>
      <c r="FD5890" s="65" t="s">
        <v>902</v>
      </c>
      <c r="FE5890" s="65">
        <v>6.09</v>
      </c>
      <c r="FF5890" s="65">
        <v>6.46</v>
      </c>
      <c r="FI5890" s="65" t="s">
        <v>902</v>
      </c>
      <c r="GP5890" s="292" t="s">
        <v>7494</v>
      </c>
    </row>
    <row r="5891" spans="1:198" x14ac:dyDescent="0.25">
      <c r="A5891" s="55">
        <v>5890</v>
      </c>
      <c r="B5891" s="12" t="s">
        <v>7067</v>
      </c>
      <c r="C5891" s="155" t="s">
        <v>7044</v>
      </c>
      <c r="D5891" s="55" t="s">
        <v>7053</v>
      </c>
      <c r="E5891" s="90" t="s">
        <v>2761</v>
      </c>
      <c r="G5891" s="55" t="s">
        <v>2762</v>
      </c>
      <c r="H5891" s="55" t="s">
        <v>2905</v>
      </c>
      <c r="I5891" s="55" t="s">
        <v>7046</v>
      </c>
      <c r="J5891" s="55" t="s">
        <v>7047</v>
      </c>
      <c r="K5891" s="55" t="s">
        <v>7048</v>
      </c>
      <c r="L5891" s="55" t="s">
        <v>2748</v>
      </c>
      <c r="M5891" s="90">
        <f>-14-47/60</f>
        <v>-14.783333333333333</v>
      </c>
      <c r="N5891" s="90">
        <f>34+36/60</f>
        <v>34.6</v>
      </c>
      <c r="O5891" s="90">
        <v>1260</v>
      </c>
      <c r="Q5891" s="55" t="s">
        <v>6973</v>
      </c>
      <c r="S5891" s="90">
        <f>(1400+850)/2</f>
        <v>1125</v>
      </c>
      <c r="U5891" s="55" t="s">
        <v>1935</v>
      </c>
      <c r="V5891" s="55" t="s">
        <v>1801</v>
      </c>
      <c r="AH5891" s="55" t="s">
        <v>238</v>
      </c>
      <c r="AM5891" s="55" t="s">
        <v>7049</v>
      </c>
      <c r="AN5891" s="185" t="s">
        <v>2753</v>
      </c>
      <c r="AO5891" s="185" t="s">
        <v>5150</v>
      </c>
      <c r="AQ5891" s="55" t="s">
        <v>2955</v>
      </c>
      <c r="AR5891" s="55" t="s">
        <v>1607</v>
      </c>
      <c r="AS5891" s="55" t="s">
        <v>132</v>
      </c>
      <c r="AU5891" s="181" t="s">
        <v>7494</v>
      </c>
      <c r="AV5891" s="185" t="s">
        <v>176</v>
      </c>
      <c r="AX5891" s="185" t="s">
        <v>176</v>
      </c>
      <c r="BK5891" s="55" t="s">
        <v>6333</v>
      </c>
      <c r="BM5891" s="192" t="s">
        <v>7052</v>
      </c>
      <c r="BN5891" s="55" t="s">
        <v>1816</v>
      </c>
      <c r="BO5891" s="55" t="s">
        <v>1816</v>
      </c>
      <c r="CB5891" s="66">
        <v>815</v>
      </c>
      <c r="CC5891" s="66">
        <v>2479</v>
      </c>
      <c r="FJ5891" s="65">
        <v>78</v>
      </c>
      <c r="FK5891" s="65">
        <v>3</v>
      </c>
      <c r="GP5891" s="292" t="s">
        <v>7494</v>
      </c>
    </row>
    <row r="5892" spans="1:198" x14ac:dyDescent="0.25">
      <c r="A5892" s="55">
        <v>5891</v>
      </c>
      <c r="B5892" s="12" t="s">
        <v>7067</v>
      </c>
      <c r="C5892" s="155" t="s">
        <v>7044</v>
      </c>
      <c r="D5892" s="55" t="s">
        <v>7054</v>
      </c>
      <c r="E5892" s="90" t="s">
        <v>2761</v>
      </c>
      <c r="G5892" s="55" t="s">
        <v>2762</v>
      </c>
      <c r="H5892" s="55" t="s">
        <v>2905</v>
      </c>
      <c r="I5892" s="55" t="s">
        <v>7046</v>
      </c>
      <c r="J5892" s="55" t="s">
        <v>7047</v>
      </c>
      <c r="K5892" s="55" t="s">
        <v>7048</v>
      </c>
      <c r="L5892" s="55" t="s">
        <v>2748</v>
      </c>
      <c r="M5892" s="90">
        <f>-14-47/60</f>
        <v>-14.783333333333333</v>
      </c>
      <c r="N5892" s="90">
        <f>34+36/60</f>
        <v>34.6</v>
      </c>
      <c r="O5892" s="90">
        <v>1260</v>
      </c>
      <c r="Q5892" s="55" t="s">
        <v>6973</v>
      </c>
      <c r="S5892" s="90">
        <f>(1400+850)/2</f>
        <v>1125</v>
      </c>
      <c r="U5892" s="55" t="s">
        <v>1935</v>
      </c>
      <c r="V5892" s="55" t="s">
        <v>1801</v>
      </c>
      <c r="AH5892" s="55" t="s">
        <v>238</v>
      </c>
      <c r="AM5892" s="55" t="s">
        <v>7049</v>
      </c>
      <c r="AN5892" s="185" t="s">
        <v>7050</v>
      </c>
      <c r="AO5892" s="185" t="s">
        <v>5150</v>
      </c>
      <c r="AQ5892" s="55" t="s">
        <v>2955</v>
      </c>
      <c r="AR5892" s="55" t="s">
        <v>1607</v>
      </c>
      <c r="AS5892" s="55" t="s">
        <v>132</v>
      </c>
      <c r="AU5892" s="181" t="s">
        <v>7494</v>
      </c>
      <c r="AV5892" s="185" t="s">
        <v>176</v>
      </c>
      <c r="AX5892" s="185" t="s">
        <v>176</v>
      </c>
      <c r="BK5892" s="55" t="s">
        <v>6333</v>
      </c>
      <c r="BM5892" s="192" t="s">
        <v>7052</v>
      </c>
      <c r="BN5892" s="55" t="s">
        <v>1816</v>
      </c>
      <c r="BO5892" s="55" t="s">
        <v>1816</v>
      </c>
      <c r="CB5892" s="66">
        <v>815</v>
      </c>
      <c r="CC5892" s="66">
        <v>2033</v>
      </c>
      <c r="FJ5892" s="65">
        <v>78</v>
      </c>
      <c r="FK5892" s="65">
        <v>3.1</v>
      </c>
      <c r="GP5892" s="292" t="s">
        <v>7494</v>
      </c>
    </row>
    <row r="5893" spans="1:198" x14ac:dyDescent="0.25">
      <c r="A5893" s="55">
        <v>5892</v>
      </c>
      <c r="B5893" s="12" t="s">
        <v>7067</v>
      </c>
      <c r="C5893" s="155" t="s">
        <v>7044</v>
      </c>
      <c r="D5893" s="55" t="s">
        <v>7055</v>
      </c>
      <c r="E5893" s="90" t="s">
        <v>2761</v>
      </c>
      <c r="G5893" s="55" t="s">
        <v>2762</v>
      </c>
      <c r="H5893" s="55" t="s">
        <v>2905</v>
      </c>
      <c r="I5893" s="55" t="s">
        <v>7046</v>
      </c>
      <c r="J5893" s="55" t="s">
        <v>7047</v>
      </c>
      <c r="K5893" s="55" t="s">
        <v>7048</v>
      </c>
      <c r="L5893" s="55" t="s">
        <v>2748</v>
      </c>
      <c r="M5893" s="90">
        <f>-14-47/60</f>
        <v>-14.783333333333333</v>
      </c>
      <c r="N5893" s="90">
        <f>34+36/60</f>
        <v>34.6</v>
      </c>
      <c r="O5893" s="90">
        <v>1260</v>
      </c>
      <c r="Q5893" s="55" t="s">
        <v>6973</v>
      </c>
      <c r="S5893" s="90">
        <f>(1400+850)/2</f>
        <v>1125</v>
      </c>
      <c r="U5893" s="55" t="s">
        <v>1935</v>
      </c>
      <c r="V5893" s="55" t="s">
        <v>1801</v>
      </c>
      <c r="AH5893" s="55" t="s">
        <v>238</v>
      </c>
      <c r="AM5893" s="55" t="s">
        <v>7049</v>
      </c>
      <c r="AN5893" s="185" t="s">
        <v>7051</v>
      </c>
      <c r="AO5893" s="185" t="s">
        <v>5150</v>
      </c>
      <c r="AQ5893" s="55" t="s">
        <v>2955</v>
      </c>
      <c r="AR5893" s="55" t="s">
        <v>1607</v>
      </c>
      <c r="AS5893" s="55" t="s">
        <v>132</v>
      </c>
      <c r="AU5893" s="181" t="s">
        <v>7494</v>
      </c>
      <c r="AV5893" s="185" t="s">
        <v>176</v>
      </c>
      <c r="AX5893" s="185" t="s">
        <v>176</v>
      </c>
      <c r="BK5893" s="55" t="s">
        <v>6333</v>
      </c>
      <c r="BM5893" s="192" t="s">
        <v>7052</v>
      </c>
      <c r="BN5893" s="55" t="s">
        <v>1816</v>
      </c>
      <c r="BO5893" s="55" t="s">
        <v>1816</v>
      </c>
      <c r="CB5893" s="66">
        <v>815</v>
      </c>
      <c r="CC5893" s="66">
        <v>1639</v>
      </c>
      <c r="FJ5893" s="65">
        <v>78</v>
      </c>
      <c r="FK5893" s="65">
        <v>5.3</v>
      </c>
      <c r="GP5893" s="292" t="s">
        <v>7494</v>
      </c>
    </row>
    <row r="5894" spans="1:198" x14ac:dyDescent="0.25">
      <c r="A5894" s="55">
        <v>5893</v>
      </c>
      <c r="B5894" s="12" t="s">
        <v>7067</v>
      </c>
      <c r="C5894" s="155" t="s">
        <v>7044</v>
      </c>
      <c r="D5894" s="55" t="s">
        <v>7053</v>
      </c>
      <c r="E5894" s="90" t="s">
        <v>2761</v>
      </c>
      <c r="G5894" s="55" t="s">
        <v>2762</v>
      </c>
      <c r="H5894" s="55" t="s">
        <v>2905</v>
      </c>
      <c r="I5894" s="55" t="s">
        <v>7046</v>
      </c>
      <c r="J5894" s="55" t="s">
        <v>7047</v>
      </c>
      <c r="K5894" s="55" t="s">
        <v>7048</v>
      </c>
      <c r="L5894" s="55" t="s">
        <v>2748</v>
      </c>
      <c r="M5894" s="90">
        <f>-14-47/60</f>
        <v>-14.783333333333333</v>
      </c>
      <c r="N5894" s="90">
        <f>34+36/60</f>
        <v>34.6</v>
      </c>
      <c r="O5894" s="90">
        <v>1260</v>
      </c>
      <c r="Q5894" s="55" t="s">
        <v>6973</v>
      </c>
      <c r="S5894" s="90">
        <f>(1400+850)/2</f>
        <v>1125</v>
      </c>
      <c r="U5894" s="55" t="s">
        <v>1805</v>
      </c>
      <c r="V5894" s="55" t="s">
        <v>1801</v>
      </c>
      <c r="AH5894" s="55" t="s">
        <v>238</v>
      </c>
      <c r="AM5894" s="55" t="s">
        <v>7049</v>
      </c>
      <c r="AN5894" s="185" t="s">
        <v>2753</v>
      </c>
      <c r="AO5894" s="185" t="s">
        <v>5150</v>
      </c>
      <c r="AQ5894" s="55" t="s">
        <v>2955</v>
      </c>
      <c r="AR5894" s="55" t="s">
        <v>1607</v>
      </c>
      <c r="AS5894" s="55" t="s">
        <v>132</v>
      </c>
      <c r="AU5894" s="181" t="s">
        <v>7494</v>
      </c>
      <c r="AV5894" s="185" t="s">
        <v>176</v>
      </c>
      <c r="AX5894" s="185" t="s">
        <v>176</v>
      </c>
      <c r="BK5894" s="55" t="s">
        <v>6333</v>
      </c>
      <c r="BM5894" s="192" t="s">
        <v>7052</v>
      </c>
      <c r="BN5894" s="55" t="s">
        <v>1816</v>
      </c>
      <c r="BO5894" s="55" t="s">
        <v>1816</v>
      </c>
      <c r="CB5894" s="66">
        <v>455</v>
      </c>
      <c r="CC5894" s="66">
        <v>3818</v>
      </c>
      <c r="FJ5894" s="65">
        <v>81.3</v>
      </c>
      <c r="FK5894" s="65">
        <v>1.6</v>
      </c>
      <c r="GP5894" s="292" t="s">
        <v>7494</v>
      </c>
    </row>
    <row r="5895" spans="1:198" x14ac:dyDescent="0.25">
      <c r="A5895" s="55">
        <v>5894</v>
      </c>
      <c r="B5895" s="12" t="s">
        <v>7067</v>
      </c>
      <c r="C5895" s="155" t="s">
        <v>7044</v>
      </c>
      <c r="D5895" s="55" t="s">
        <v>7054</v>
      </c>
      <c r="E5895" s="90" t="s">
        <v>2761</v>
      </c>
      <c r="G5895" s="55" t="s">
        <v>2762</v>
      </c>
      <c r="H5895" s="55" t="s">
        <v>2905</v>
      </c>
      <c r="I5895" s="55" t="s">
        <v>7046</v>
      </c>
      <c r="J5895" s="55" t="s">
        <v>7047</v>
      </c>
      <c r="K5895" s="55" t="s">
        <v>7048</v>
      </c>
      <c r="L5895" s="55" t="s">
        <v>2748</v>
      </c>
      <c r="M5895" s="90">
        <f>-14-47/60</f>
        <v>-14.783333333333333</v>
      </c>
      <c r="N5895" s="90">
        <f>34+36/60</f>
        <v>34.6</v>
      </c>
      <c r="O5895" s="90">
        <v>1260</v>
      </c>
      <c r="Q5895" s="55" t="s">
        <v>6973</v>
      </c>
      <c r="S5895" s="90">
        <f>(1400+850)/2</f>
        <v>1125</v>
      </c>
      <c r="U5895" s="55" t="s">
        <v>1805</v>
      </c>
      <c r="V5895" s="55" t="s">
        <v>1801</v>
      </c>
      <c r="AH5895" s="55" t="s">
        <v>238</v>
      </c>
      <c r="AM5895" s="55" t="s">
        <v>7049</v>
      </c>
      <c r="AN5895" s="185" t="s">
        <v>7050</v>
      </c>
      <c r="AO5895" s="185" t="s">
        <v>5150</v>
      </c>
      <c r="AQ5895" s="55" t="s">
        <v>2955</v>
      </c>
      <c r="AR5895" s="55" t="s">
        <v>1607</v>
      </c>
      <c r="AS5895" s="55" t="s">
        <v>132</v>
      </c>
      <c r="AU5895" s="181" t="s">
        <v>7494</v>
      </c>
      <c r="AV5895" s="185" t="s">
        <v>176</v>
      </c>
      <c r="AX5895" s="185" t="s">
        <v>176</v>
      </c>
      <c r="BK5895" s="55" t="s">
        <v>6333</v>
      </c>
      <c r="BM5895" s="192" t="s">
        <v>7052</v>
      </c>
      <c r="BN5895" s="55" t="s">
        <v>1816</v>
      </c>
      <c r="BO5895" s="55" t="s">
        <v>1816</v>
      </c>
      <c r="CB5895" s="66">
        <v>455</v>
      </c>
      <c r="CC5895" s="66">
        <v>1530</v>
      </c>
      <c r="FJ5895" s="65">
        <v>81.3</v>
      </c>
      <c r="FK5895" s="65">
        <v>2.1</v>
      </c>
      <c r="GP5895" s="292" t="s">
        <v>7494</v>
      </c>
    </row>
    <row r="5896" spans="1:198" x14ac:dyDescent="0.25">
      <c r="A5896" s="55">
        <v>5895</v>
      </c>
      <c r="B5896" s="12" t="s">
        <v>7067</v>
      </c>
      <c r="C5896" s="155" t="s">
        <v>7044</v>
      </c>
      <c r="D5896" s="55" t="s">
        <v>7055</v>
      </c>
      <c r="E5896" s="90" t="s">
        <v>2761</v>
      </c>
      <c r="G5896" s="55" t="s">
        <v>2762</v>
      </c>
      <c r="H5896" s="55" t="s">
        <v>2905</v>
      </c>
      <c r="I5896" s="55" t="s">
        <v>7046</v>
      </c>
      <c r="J5896" s="55" t="s">
        <v>7047</v>
      </c>
      <c r="K5896" s="55" t="s">
        <v>7048</v>
      </c>
      <c r="L5896" s="55" t="s">
        <v>2748</v>
      </c>
      <c r="M5896" s="90">
        <f>-14-47/60</f>
        <v>-14.783333333333333</v>
      </c>
      <c r="N5896" s="90">
        <f>34+36/60</f>
        <v>34.6</v>
      </c>
      <c r="O5896" s="90">
        <v>1260</v>
      </c>
      <c r="Q5896" s="55" t="s">
        <v>6973</v>
      </c>
      <c r="S5896" s="90">
        <f>(1400+850)/2</f>
        <v>1125</v>
      </c>
      <c r="U5896" s="55" t="s">
        <v>1805</v>
      </c>
      <c r="V5896" s="55" t="s">
        <v>1801</v>
      </c>
      <c r="AH5896" s="55" t="s">
        <v>238</v>
      </c>
      <c r="AM5896" s="55" t="s">
        <v>7049</v>
      </c>
      <c r="AN5896" s="185" t="s">
        <v>7051</v>
      </c>
      <c r="AO5896" s="185" t="s">
        <v>5150</v>
      </c>
      <c r="AQ5896" s="55" t="s">
        <v>2955</v>
      </c>
      <c r="AR5896" s="55" t="s">
        <v>1607</v>
      </c>
      <c r="AS5896" s="55" t="s">
        <v>132</v>
      </c>
      <c r="AU5896" s="181" t="s">
        <v>7494</v>
      </c>
      <c r="AV5896" s="185" t="s">
        <v>176</v>
      </c>
      <c r="AX5896" s="185" t="s">
        <v>176</v>
      </c>
      <c r="BK5896" s="55" t="s">
        <v>6333</v>
      </c>
      <c r="BM5896" s="192" t="s">
        <v>7052</v>
      </c>
      <c r="BN5896" s="55" t="s">
        <v>1816</v>
      </c>
      <c r="BO5896" s="55" t="s">
        <v>1816</v>
      </c>
      <c r="CB5896" s="66">
        <v>455</v>
      </c>
      <c r="CC5896" s="66">
        <v>1936</v>
      </c>
      <c r="FJ5896" s="65">
        <v>81.3</v>
      </c>
      <c r="FK5896" s="65">
        <v>2.4</v>
      </c>
      <c r="GP5896" s="292" t="s">
        <v>7494</v>
      </c>
    </row>
    <row r="5897" spans="1:198" x14ac:dyDescent="0.25">
      <c r="A5897" s="55">
        <v>5896</v>
      </c>
      <c r="B5897" s="12" t="s">
        <v>7067</v>
      </c>
      <c r="C5897" s="155" t="s">
        <v>7044</v>
      </c>
      <c r="D5897" s="55" t="s">
        <v>7053</v>
      </c>
      <c r="E5897" s="90" t="s">
        <v>2761</v>
      </c>
      <c r="G5897" s="55" t="s">
        <v>2762</v>
      </c>
      <c r="H5897" s="55" t="s">
        <v>2905</v>
      </c>
      <c r="I5897" s="55" t="s">
        <v>7046</v>
      </c>
      <c r="J5897" s="55" t="s">
        <v>7047</v>
      </c>
      <c r="K5897" s="55" t="s">
        <v>7048</v>
      </c>
      <c r="L5897" s="55" t="s">
        <v>2748</v>
      </c>
      <c r="M5897" s="90">
        <f>-14-47/60</f>
        <v>-14.783333333333333</v>
      </c>
      <c r="N5897" s="90">
        <f>34+36/60</f>
        <v>34.6</v>
      </c>
      <c r="O5897" s="90">
        <v>1260</v>
      </c>
      <c r="Q5897" s="55" t="s">
        <v>6973</v>
      </c>
      <c r="S5897" s="90">
        <f>(1400+850)/2</f>
        <v>1125</v>
      </c>
      <c r="U5897" s="55" t="s">
        <v>1688</v>
      </c>
      <c r="V5897" s="55" t="s">
        <v>1801</v>
      </c>
      <c r="AH5897" s="55" t="s">
        <v>238</v>
      </c>
      <c r="AM5897" s="55" t="s">
        <v>7049</v>
      </c>
      <c r="AN5897" s="185" t="s">
        <v>2753</v>
      </c>
      <c r="AO5897" s="185" t="s">
        <v>5150</v>
      </c>
      <c r="AQ5897" s="55" t="s">
        <v>2955</v>
      </c>
      <c r="AR5897" s="55" t="s">
        <v>1607</v>
      </c>
      <c r="AS5897" s="55" t="s">
        <v>132</v>
      </c>
      <c r="AU5897" s="181" t="s">
        <v>7494</v>
      </c>
      <c r="AV5897" s="185" t="s">
        <v>176</v>
      </c>
      <c r="AX5897" s="185" t="s">
        <v>176</v>
      </c>
      <c r="BK5897" s="55" t="s">
        <v>6333</v>
      </c>
      <c r="BM5897" s="192" t="s">
        <v>7052</v>
      </c>
      <c r="BN5897" s="55" t="s">
        <v>1816</v>
      </c>
      <c r="BO5897" s="55" t="s">
        <v>1816</v>
      </c>
      <c r="CB5897" s="13"/>
      <c r="CC5897" s="13"/>
      <c r="CD5897" s="13"/>
      <c r="FJ5897" s="65">
        <v>30.4</v>
      </c>
      <c r="FK5897" s="65">
        <v>0.8</v>
      </c>
      <c r="GP5897" s="292" t="s">
        <v>7494</v>
      </c>
    </row>
    <row r="5898" spans="1:198" x14ac:dyDescent="0.25">
      <c r="A5898" s="55">
        <v>5897</v>
      </c>
      <c r="B5898" s="12" t="s">
        <v>7067</v>
      </c>
      <c r="C5898" s="155" t="s">
        <v>7044</v>
      </c>
      <c r="D5898" s="55" t="s">
        <v>7054</v>
      </c>
      <c r="E5898" s="90" t="s">
        <v>2761</v>
      </c>
      <c r="G5898" s="55" t="s">
        <v>2762</v>
      </c>
      <c r="H5898" s="55" t="s">
        <v>2905</v>
      </c>
      <c r="I5898" s="55" t="s">
        <v>7046</v>
      </c>
      <c r="J5898" s="55" t="s">
        <v>7047</v>
      </c>
      <c r="K5898" s="55" t="s">
        <v>7048</v>
      </c>
      <c r="L5898" s="55" t="s">
        <v>2748</v>
      </c>
      <c r="M5898" s="90">
        <f>-14-47/60</f>
        <v>-14.783333333333333</v>
      </c>
      <c r="N5898" s="90">
        <f>34+36/60</f>
        <v>34.6</v>
      </c>
      <c r="O5898" s="90">
        <v>1260</v>
      </c>
      <c r="Q5898" s="55" t="s">
        <v>6973</v>
      </c>
      <c r="S5898" s="90">
        <f>(1400+850)/2</f>
        <v>1125</v>
      </c>
      <c r="U5898" s="55" t="s">
        <v>1688</v>
      </c>
      <c r="V5898" s="55" t="s">
        <v>1801</v>
      </c>
      <c r="AH5898" s="55" t="s">
        <v>238</v>
      </c>
      <c r="AM5898" s="55" t="s">
        <v>7049</v>
      </c>
      <c r="AN5898" s="185" t="s">
        <v>7050</v>
      </c>
      <c r="AO5898" s="185" t="s">
        <v>5150</v>
      </c>
      <c r="AQ5898" s="55" t="s">
        <v>2955</v>
      </c>
      <c r="AR5898" s="55" t="s">
        <v>1607</v>
      </c>
      <c r="AS5898" s="55" t="s">
        <v>132</v>
      </c>
      <c r="AU5898" s="181" t="s">
        <v>7494</v>
      </c>
      <c r="AV5898" s="185" t="s">
        <v>176</v>
      </c>
      <c r="AX5898" s="185" t="s">
        <v>176</v>
      </c>
      <c r="BK5898" s="55" t="s">
        <v>6333</v>
      </c>
      <c r="BM5898" s="192" t="s">
        <v>7052</v>
      </c>
      <c r="BN5898" s="55" t="s">
        <v>1816</v>
      </c>
      <c r="BO5898" s="55" t="s">
        <v>1816</v>
      </c>
      <c r="CB5898" s="13"/>
      <c r="CC5898" s="13"/>
      <c r="CD5898" s="13"/>
      <c r="FJ5898" s="65">
        <v>30.4</v>
      </c>
      <c r="FK5898" s="65">
        <v>1.2</v>
      </c>
      <c r="GP5898" s="292" t="s">
        <v>7494</v>
      </c>
    </row>
    <row r="5899" spans="1:198" x14ac:dyDescent="0.25">
      <c r="A5899" s="55">
        <v>5898</v>
      </c>
      <c r="B5899" s="12" t="s">
        <v>7067</v>
      </c>
      <c r="C5899" s="155" t="s">
        <v>7044</v>
      </c>
      <c r="D5899" s="55" t="s">
        <v>7055</v>
      </c>
      <c r="E5899" s="90" t="s">
        <v>2761</v>
      </c>
      <c r="G5899" s="55" t="s">
        <v>2762</v>
      </c>
      <c r="H5899" s="55" t="s">
        <v>2905</v>
      </c>
      <c r="I5899" s="55" t="s">
        <v>7046</v>
      </c>
      <c r="J5899" s="55" t="s">
        <v>7047</v>
      </c>
      <c r="K5899" s="55" t="s">
        <v>7048</v>
      </c>
      <c r="L5899" s="55" t="s">
        <v>2748</v>
      </c>
      <c r="M5899" s="90">
        <f>-14-47/60</f>
        <v>-14.783333333333333</v>
      </c>
      <c r="N5899" s="90">
        <f>34+36/60</f>
        <v>34.6</v>
      </c>
      <c r="O5899" s="90">
        <v>1260</v>
      </c>
      <c r="Q5899" s="55" t="s">
        <v>6973</v>
      </c>
      <c r="S5899" s="90">
        <f>(1400+850)/2</f>
        <v>1125</v>
      </c>
      <c r="U5899" s="55" t="s">
        <v>1688</v>
      </c>
      <c r="V5899" s="55" t="s">
        <v>1801</v>
      </c>
      <c r="AH5899" s="55" t="s">
        <v>238</v>
      </c>
      <c r="AM5899" s="55" t="s">
        <v>7049</v>
      </c>
      <c r="AN5899" s="185" t="s">
        <v>7051</v>
      </c>
      <c r="AO5899" s="185" t="s">
        <v>5150</v>
      </c>
      <c r="AQ5899" s="55" t="s">
        <v>2955</v>
      </c>
      <c r="AR5899" s="55" t="s">
        <v>1607</v>
      </c>
      <c r="AS5899" s="55" t="s">
        <v>132</v>
      </c>
      <c r="AU5899" s="181" t="s">
        <v>7494</v>
      </c>
      <c r="AV5899" s="185" t="s">
        <v>176</v>
      </c>
      <c r="AX5899" s="185" t="s">
        <v>176</v>
      </c>
      <c r="BK5899" s="55" t="s">
        <v>6333</v>
      </c>
      <c r="BM5899" s="192" t="s">
        <v>7052</v>
      </c>
      <c r="BN5899" s="55" t="s">
        <v>1816</v>
      </c>
      <c r="BO5899" s="55" t="s">
        <v>1816</v>
      </c>
      <c r="CB5899" s="13"/>
      <c r="CC5899" s="13"/>
      <c r="CD5899" s="13"/>
      <c r="FJ5899" s="65">
        <v>30.4</v>
      </c>
      <c r="FK5899" s="65">
        <v>1.3</v>
      </c>
      <c r="GP5899" s="292" t="s">
        <v>7494</v>
      </c>
    </row>
    <row r="5900" spans="1:198" x14ac:dyDescent="0.25">
      <c r="A5900" s="55">
        <v>5899</v>
      </c>
      <c r="B5900" s="12" t="s">
        <v>7067</v>
      </c>
      <c r="C5900" s="155" t="s">
        <v>7044</v>
      </c>
      <c r="D5900" s="55" t="s">
        <v>7053</v>
      </c>
      <c r="E5900" s="90" t="s">
        <v>2761</v>
      </c>
      <c r="G5900" s="55" t="s">
        <v>2762</v>
      </c>
      <c r="H5900" s="55" t="s">
        <v>2905</v>
      </c>
      <c r="I5900" s="55" t="s">
        <v>7046</v>
      </c>
      <c r="J5900" s="55" t="s">
        <v>7047</v>
      </c>
      <c r="K5900" s="55" t="s">
        <v>7048</v>
      </c>
      <c r="L5900" s="55" t="s">
        <v>2748</v>
      </c>
      <c r="M5900" s="90">
        <f>-14-47/60</f>
        <v>-14.783333333333333</v>
      </c>
      <c r="N5900" s="90">
        <f>34+36/60</f>
        <v>34.6</v>
      </c>
      <c r="O5900" s="90">
        <v>1260</v>
      </c>
      <c r="Q5900" s="55" t="s">
        <v>6973</v>
      </c>
      <c r="S5900" s="90">
        <f>(1400+850)/2</f>
        <v>1125</v>
      </c>
      <c r="U5900" s="55" t="s">
        <v>1816</v>
      </c>
      <c r="V5900" s="55" t="s">
        <v>1801</v>
      </c>
      <c r="AH5900" s="55" t="s">
        <v>238</v>
      </c>
      <c r="AM5900" s="55" t="s">
        <v>7049</v>
      </c>
      <c r="AN5900" s="185" t="s">
        <v>2753</v>
      </c>
      <c r="AO5900" s="185" t="s">
        <v>5150</v>
      </c>
      <c r="AQ5900" s="55" t="s">
        <v>2955</v>
      </c>
      <c r="AR5900" s="55" t="s">
        <v>1607</v>
      </c>
      <c r="AS5900" s="55" t="s">
        <v>132</v>
      </c>
      <c r="AU5900" s="181" t="s">
        <v>7494</v>
      </c>
      <c r="AV5900" s="185" t="s">
        <v>176</v>
      </c>
      <c r="AX5900" s="185" t="s">
        <v>176</v>
      </c>
      <c r="BK5900" s="55" t="s">
        <v>6333</v>
      </c>
      <c r="BM5900" s="192" t="s">
        <v>7052</v>
      </c>
      <c r="BN5900" s="55" t="s">
        <v>1816</v>
      </c>
      <c r="BO5900" s="55" t="s">
        <v>1816</v>
      </c>
      <c r="CB5900" s="66">
        <v>318</v>
      </c>
      <c r="CC5900" s="66">
        <v>4106</v>
      </c>
      <c r="FJ5900" s="65">
        <v>23.2</v>
      </c>
      <c r="FK5900" s="65">
        <v>0.8</v>
      </c>
      <c r="GP5900" s="292" t="s">
        <v>7494</v>
      </c>
    </row>
    <row r="5901" spans="1:198" x14ac:dyDescent="0.25">
      <c r="A5901" s="55">
        <v>5900</v>
      </c>
      <c r="B5901" s="12" t="s">
        <v>7067</v>
      </c>
      <c r="C5901" s="155" t="s">
        <v>7044</v>
      </c>
      <c r="D5901" s="55" t="s">
        <v>7054</v>
      </c>
      <c r="E5901" s="90" t="s">
        <v>2761</v>
      </c>
      <c r="G5901" s="55" t="s">
        <v>2762</v>
      </c>
      <c r="H5901" s="55" t="s">
        <v>2905</v>
      </c>
      <c r="I5901" s="55" t="s">
        <v>7046</v>
      </c>
      <c r="J5901" s="55" t="s">
        <v>7047</v>
      </c>
      <c r="K5901" s="55" t="s">
        <v>7048</v>
      </c>
      <c r="L5901" s="55" t="s">
        <v>2748</v>
      </c>
      <c r="M5901" s="90">
        <f>-14-47/60</f>
        <v>-14.783333333333333</v>
      </c>
      <c r="N5901" s="90">
        <f>34+36/60</f>
        <v>34.6</v>
      </c>
      <c r="O5901" s="90">
        <v>1260</v>
      </c>
      <c r="Q5901" s="55" t="s">
        <v>6973</v>
      </c>
      <c r="S5901" s="90">
        <f>(1400+850)/2</f>
        <v>1125</v>
      </c>
      <c r="U5901" s="55" t="s">
        <v>1816</v>
      </c>
      <c r="V5901" s="55" t="s">
        <v>1801</v>
      </c>
      <c r="AH5901" s="55" t="s">
        <v>238</v>
      </c>
      <c r="AM5901" s="55" t="s">
        <v>7049</v>
      </c>
      <c r="AN5901" s="185" t="s">
        <v>7050</v>
      </c>
      <c r="AO5901" s="185" t="s">
        <v>5150</v>
      </c>
      <c r="AQ5901" s="55" t="s">
        <v>2955</v>
      </c>
      <c r="AR5901" s="55" t="s">
        <v>1607</v>
      </c>
      <c r="AS5901" s="55" t="s">
        <v>132</v>
      </c>
      <c r="AU5901" s="181" t="s">
        <v>7494</v>
      </c>
      <c r="AV5901" s="185" t="s">
        <v>176</v>
      </c>
      <c r="AX5901" s="185" t="s">
        <v>176</v>
      </c>
      <c r="BK5901" s="55" t="s">
        <v>6333</v>
      </c>
      <c r="BM5901" s="192" t="s">
        <v>7052</v>
      </c>
      <c r="BN5901" s="55" t="s">
        <v>1816</v>
      </c>
      <c r="BO5901" s="55" t="s">
        <v>1816</v>
      </c>
      <c r="CB5901" s="66">
        <v>318</v>
      </c>
      <c r="CC5901" s="66">
        <v>3652</v>
      </c>
      <c r="FJ5901" s="65">
        <v>23.2</v>
      </c>
      <c r="FK5901" s="65">
        <v>3</v>
      </c>
      <c r="GP5901" s="292" t="s">
        <v>7494</v>
      </c>
    </row>
    <row r="5902" spans="1:198" x14ac:dyDescent="0.25">
      <c r="A5902" s="55">
        <v>5901</v>
      </c>
      <c r="B5902" s="12" t="s">
        <v>7067</v>
      </c>
      <c r="C5902" s="155" t="s">
        <v>7044</v>
      </c>
      <c r="D5902" s="55" t="s">
        <v>7055</v>
      </c>
      <c r="E5902" s="90" t="s">
        <v>2761</v>
      </c>
      <c r="G5902" s="55" t="s">
        <v>2762</v>
      </c>
      <c r="H5902" s="55" t="s">
        <v>2905</v>
      </c>
      <c r="I5902" s="55" t="s">
        <v>7046</v>
      </c>
      <c r="J5902" s="55" t="s">
        <v>7047</v>
      </c>
      <c r="K5902" s="55" t="s">
        <v>7048</v>
      </c>
      <c r="L5902" s="55" t="s">
        <v>2748</v>
      </c>
      <c r="M5902" s="90">
        <f>-14-47/60</f>
        <v>-14.783333333333333</v>
      </c>
      <c r="N5902" s="90">
        <f>34+36/60</f>
        <v>34.6</v>
      </c>
      <c r="O5902" s="90">
        <v>1260</v>
      </c>
      <c r="Q5902" s="55" t="s">
        <v>6973</v>
      </c>
      <c r="S5902" s="90">
        <f>(1400+850)/2</f>
        <v>1125</v>
      </c>
      <c r="U5902" s="55" t="s">
        <v>1816</v>
      </c>
      <c r="V5902" s="55" t="s">
        <v>1801</v>
      </c>
      <c r="AH5902" s="55" t="s">
        <v>238</v>
      </c>
      <c r="AM5902" s="55" t="s">
        <v>7049</v>
      </c>
      <c r="AN5902" s="185" t="s">
        <v>7051</v>
      </c>
      <c r="AO5902" s="185" t="s">
        <v>5150</v>
      </c>
      <c r="AQ5902" s="55" t="s">
        <v>2955</v>
      </c>
      <c r="AR5902" s="55" t="s">
        <v>1607</v>
      </c>
      <c r="AS5902" s="55" t="s">
        <v>132</v>
      </c>
      <c r="AU5902" s="181" t="s">
        <v>7494</v>
      </c>
      <c r="AV5902" s="185" t="s">
        <v>176</v>
      </c>
      <c r="AX5902" s="185" t="s">
        <v>176</v>
      </c>
      <c r="BK5902" s="55" t="s">
        <v>6333</v>
      </c>
      <c r="BM5902" s="192" t="s">
        <v>7052</v>
      </c>
      <c r="BN5902" s="55" t="s">
        <v>1816</v>
      </c>
      <c r="BO5902" s="55" t="s">
        <v>1816</v>
      </c>
      <c r="CB5902" s="66">
        <v>318</v>
      </c>
      <c r="CC5902" s="66">
        <v>2136</v>
      </c>
      <c r="FJ5902" s="65">
        <v>23.2</v>
      </c>
      <c r="FK5902" s="65">
        <v>2</v>
      </c>
      <c r="GP5902" s="292" t="s">
        <v>7494</v>
      </c>
    </row>
    <row r="5903" spans="1:198" x14ac:dyDescent="0.25">
      <c r="A5903" s="55">
        <v>5902</v>
      </c>
      <c r="B5903" s="12" t="s">
        <v>7067</v>
      </c>
      <c r="C5903" s="155" t="s">
        <v>7044</v>
      </c>
      <c r="D5903" s="55" t="s">
        <v>7053</v>
      </c>
      <c r="E5903" s="90" t="s">
        <v>2761</v>
      </c>
      <c r="G5903" s="55" t="s">
        <v>2762</v>
      </c>
      <c r="H5903" s="55" t="s">
        <v>2905</v>
      </c>
      <c r="I5903" s="55" t="s">
        <v>7046</v>
      </c>
      <c r="J5903" s="55" t="s">
        <v>7047</v>
      </c>
      <c r="K5903" s="55" t="s">
        <v>7048</v>
      </c>
      <c r="L5903" s="55" t="s">
        <v>2748</v>
      </c>
      <c r="M5903" s="90">
        <f>-14-47/60</f>
        <v>-14.783333333333333</v>
      </c>
      <c r="N5903" s="90">
        <f>34+36/60</f>
        <v>34.6</v>
      </c>
      <c r="O5903" s="90">
        <v>1260</v>
      </c>
      <c r="Q5903" s="55" t="s">
        <v>6973</v>
      </c>
      <c r="S5903" s="90">
        <f>(1400+850)/2</f>
        <v>1125</v>
      </c>
      <c r="U5903" s="55" t="s">
        <v>1682</v>
      </c>
      <c r="V5903" s="55" t="s">
        <v>1801</v>
      </c>
      <c r="AH5903" s="55" t="s">
        <v>238</v>
      </c>
      <c r="AM5903" s="55" t="s">
        <v>7049</v>
      </c>
      <c r="AN5903" s="185" t="s">
        <v>2753</v>
      </c>
      <c r="AO5903" s="185" t="s">
        <v>5150</v>
      </c>
      <c r="AQ5903" s="55" t="s">
        <v>2955</v>
      </c>
      <c r="AR5903" s="55" t="s">
        <v>1607</v>
      </c>
      <c r="AS5903" s="55" t="s">
        <v>132</v>
      </c>
      <c r="AU5903" s="181" t="s">
        <v>7494</v>
      </c>
      <c r="AV5903" s="185" t="s">
        <v>176</v>
      </c>
      <c r="AX5903" s="185" t="s">
        <v>176</v>
      </c>
      <c r="BK5903" s="55" t="s">
        <v>6333</v>
      </c>
      <c r="BM5903" s="192" t="s">
        <v>7052</v>
      </c>
      <c r="BN5903" s="55" t="s">
        <v>1816</v>
      </c>
      <c r="BO5903" s="55" t="s">
        <v>1816</v>
      </c>
      <c r="CB5903" s="66">
        <v>309</v>
      </c>
      <c r="CC5903" s="66">
        <v>2143</v>
      </c>
      <c r="FJ5903" s="65">
        <v>32</v>
      </c>
      <c r="FK5903" s="65">
        <v>1.7</v>
      </c>
      <c r="GP5903" s="292" t="s">
        <v>7494</v>
      </c>
    </row>
    <row r="5904" spans="1:198" x14ac:dyDescent="0.25">
      <c r="A5904" s="55">
        <v>5903</v>
      </c>
      <c r="B5904" s="12" t="s">
        <v>7067</v>
      </c>
      <c r="C5904" s="155" t="s">
        <v>7044</v>
      </c>
      <c r="D5904" s="55" t="s">
        <v>7054</v>
      </c>
      <c r="E5904" s="90" t="s">
        <v>2761</v>
      </c>
      <c r="G5904" s="55" t="s">
        <v>2762</v>
      </c>
      <c r="H5904" s="55" t="s">
        <v>2905</v>
      </c>
      <c r="I5904" s="55" t="s">
        <v>7046</v>
      </c>
      <c r="J5904" s="55" t="s">
        <v>7047</v>
      </c>
      <c r="K5904" s="55" t="s">
        <v>7048</v>
      </c>
      <c r="L5904" s="55" t="s">
        <v>2748</v>
      </c>
      <c r="M5904" s="90">
        <f>-14-47/60</f>
        <v>-14.783333333333333</v>
      </c>
      <c r="N5904" s="90">
        <f>34+36/60</f>
        <v>34.6</v>
      </c>
      <c r="O5904" s="90">
        <v>1260</v>
      </c>
      <c r="Q5904" s="55" t="s">
        <v>6973</v>
      </c>
      <c r="S5904" s="90">
        <f>(1400+850)/2</f>
        <v>1125</v>
      </c>
      <c r="U5904" s="55" t="s">
        <v>1682</v>
      </c>
      <c r="V5904" s="55" t="s">
        <v>1801</v>
      </c>
      <c r="AH5904" s="55" t="s">
        <v>238</v>
      </c>
      <c r="AM5904" s="55" t="s">
        <v>7049</v>
      </c>
      <c r="AN5904" s="185" t="s">
        <v>7050</v>
      </c>
      <c r="AO5904" s="185" t="s">
        <v>5150</v>
      </c>
      <c r="AQ5904" s="55" t="s">
        <v>2955</v>
      </c>
      <c r="AR5904" s="55" t="s">
        <v>1607</v>
      </c>
      <c r="AS5904" s="55" t="s">
        <v>132</v>
      </c>
      <c r="AU5904" s="181" t="s">
        <v>7494</v>
      </c>
      <c r="AV5904" s="185" t="s">
        <v>176</v>
      </c>
      <c r="AX5904" s="185" t="s">
        <v>176</v>
      </c>
      <c r="BK5904" s="55" t="s">
        <v>6333</v>
      </c>
      <c r="BM5904" s="192" t="s">
        <v>7052</v>
      </c>
      <c r="BN5904" s="55" t="s">
        <v>1816</v>
      </c>
      <c r="BO5904" s="55" t="s">
        <v>1816</v>
      </c>
      <c r="CB5904" s="66">
        <v>309</v>
      </c>
      <c r="CC5904" s="66">
        <v>1571</v>
      </c>
      <c r="FJ5904" s="65">
        <v>32</v>
      </c>
      <c r="FK5904" s="65">
        <v>1.6</v>
      </c>
      <c r="GP5904" s="292" t="s">
        <v>7494</v>
      </c>
    </row>
    <row r="5905" spans="1:283" x14ac:dyDescent="0.25">
      <c r="A5905" s="55">
        <v>5904</v>
      </c>
      <c r="B5905" s="12" t="s">
        <v>7067</v>
      </c>
      <c r="C5905" s="155" t="s">
        <v>7044</v>
      </c>
      <c r="D5905" s="55" t="s">
        <v>7055</v>
      </c>
      <c r="E5905" s="90" t="s">
        <v>2761</v>
      </c>
      <c r="G5905" s="55" t="s">
        <v>2762</v>
      </c>
      <c r="H5905" s="55" t="s">
        <v>2905</v>
      </c>
      <c r="I5905" s="55" t="s">
        <v>7046</v>
      </c>
      <c r="J5905" s="55" t="s">
        <v>7047</v>
      </c>
      <c r="K5905" s="55" t="s">
        <v>7048</v>
      </c>
      <c r="L5905" s="55" t="s">
        <v>2748</v>
      </c>
      <c r="M5905" s="90">
        <f>-14-47/60</f>
        <v>-14.783333333333333</v>
      </c>
      <c r="N5905" s="90">
        <f>34+36/60</f>
        <v>34.6</v>
      </c>
      <c r="O5905" s="90">
        <v>1260</v>
      </c>
      <c r="Q5905" s="55" t="s">
        <v>6973</v>
      </c>
      <c r="S5905" s="90">
        <f>(1400+850)/2</f>
        <v>1125</v>
      </c>
      <c r="U5905" s="55" t="s">
        <v>1682</v>
      </c>
      <c r="V5905" s="55" t="s">
        <v>1801</v>
      </c>
      <c r="AH5905" s="55" t="s">
        <v>238</v>
      </c>
      <c r="AM5905" s="55" t="s">
        <v>7049</v>
      </c>
      <c r="AN5905" s="185" t="s">
        <v>7051</v>
      </c>
      <c r="AO5905" s="185" t="s">
        <v>5150</v>
      </c>
      <c r="AQ5905" s="55" t="s">
        <v>2955</v>
      </c>
      <c r="AR5905" s="55" t="s">
        <v>1607</v>
      </c>
      <c r="AS5905" s="55" t="s">
        <v>132</v>
      </c>
      <c r="AU5905" s="181" t="s">
        <v>7494</v>
      </c>
      <c r="AV5905" s="185" t="s">
        <v>176</v>
      </c>
      <c r="AX5905" s="185" t="s">
        <v>176</v>
      </c>
      <c r="BK5905" s="55" t="s">
        <v>6333</v>
      </c>
      <c r="BM5905" s="192" t="s">
        <v>7052</v>
      </c>
      <c r="BN5905" s="55" t="s">
        <v>1816</v>
      </c>
      <c r="BO5905" s="55" t="s">
        <v>1816</v>
      </c>
      <c r="CB5905" s="66">
        <v>309</v>
      </c>
      <c r="CC5905" s="66">
        <v>1558</v>
      </c>
      <c r="FJ5905" s="65">
        <v>32</v>
      </c>
      <c r="FK5905" s="65">
        <v>2.2999999999999998</v>
      </c>
      <c r="GP5905" s="292" t="s">
        <v>7494</v>
      </c>
    </row>
    <row r="5906" spans="1:283" x14ac:dyDescent="0.25">
      <c r="A5906" s="55">
        <v>5905</v>
      </c>
      <c r="B5906" s="12" t="s">
        <v>7067</v>
      </c>
      <c r="C5906" s="155" t="s">
        <v>7044</v>
      </c>
      <c r="D5906" s="55" t="s">
        <v>7053</v>
      </c>
      <c r="E5906" s="90" t="s">
        <v>2761</v>
      </c>
      <c r="G5906" s="55" t="s">
        <v>2762</v>
      </c>
      <c r="H5906" s="55" t="s">
        <v>2905</v>
      </c>
      <c r="I5906" s="55" t="s">
        <v>7046</v>
      </c>
      <c r="J5906" s="55" t="s">
        <v>7047</v>
      </c>
      <c r="K5906" s="55" t="s">
        <v>7048</v>
      </c>
      <c r="L5906" s="55" t="s">
        <v>2748</v>
      </c>
      <c r="M5906" s="90">
        <f>-14-47/60</f>
        <v>-14.783333333333333</v>
      </c>
      <c r="N5906" s="90">
        <f>34+36/60</f>
        <v>34.6</v>
      </c>
      <c r="O5906" s="90">
        <v>1260</v>
      </c>
      <c r="Q5906" s="55" t="s">
        <v>6973</v>
      </c>
      <c r="S5906" s="90">
        <f>(1400+850)/2</f>
        <v>1125</v>
      </c>
      <c r="U5906" s="55" t="s">
        <v>1801</v>
      </c>
      <c r="V5906" s="55" t="s">
        <v>1801</v>
      </c>
      <c r="AH5906" s="55" t="s">
        <v>238</v>
      </c>
      <c r="AM5906" s="55" t="s">
        <v>7049</v>
      </c>
      <c r="AN5906" s="185" t="s">
        <v>2753</v>
      </c>
      <c r="AO5906" s="185" t="s">
        <v>5150</v>
      </c>
      <c r="AQ5906" s="55" t="s">
        <v>2955</v>
      </c>
      <c r="AR5906" s="55" t="s">
        <v>1607</v>
      </c>
      <c r="AS5906" s="55" t="s">
        <v>132</v>
      </c>
      <c r="AU5906" s="181" t="s">
        <v>7494</v>
      </c>
      <c r="AV5906" s="185" t="s">
        <v>176</v>
      </c>
      <c r="AX5906" s="185" t="s">
        <v>176</v>
      </c>
      <c r="BK5906" s="55" t="s">
        <v>6333</v>
      </c>
      <c r="BM5906" s="192" t="s">
        <v>7052</v>
      </c>
      <c r="BN5906" s="55" t="s">
        <v>1816</v>
      </c>
      <c r="BO5906" s="55" t="s">
        <v>1816</v>
      </c>
      <c r="CB5906" s="66">
        <v>152</v>
      </c>
      <c r="CC5906" s="66">
        <v>2295</v>
      </c>
      <c r="FJ5906" s="65">
        <v>21.6</v>
      </c>
      <c r="FK5906" s="65">
        <v>1.7</v>
      </c>
      <c r="GP5906" s="292" t="s">
        <v>7494</v>
      </c>
    </row>
    <row r="5907" spans="1:283" x14ac:dyDescent="0.25">
      <c r="A5907" s="55">
        <v>5906</v>
      </c>
      <c r="B5907" s="12" t="s">
        <v>7067</v>
      </c>
      <c r="C5907" s="155" t="s">
        <v>7044</v>
      </c>
      <c r="D5907" s="55" t="s">
        <v>7054</v>
      </c>
      <c r="E5907" s="90" t="s">
        <v>2761</v>
      </c>
      <c r="G5907" s="55" t="s">
        <v>2762</v>
      </c>
      <c r="H5907" s="55" t="s">
        <v>2905</v>
      </c>
      <c r="I5907" s="55" t="s">
        <v>7046</v>
      </c>
      <c r="J5907" s="55" t="s">
        <v>7047</v>
      </c>
      <c r="K5907" s="55" t="s">
        <v>7048</v>
      </c>
      <c r="L5907" s="55" t="s">
        <v>2748</v>
      </c>
      <c r="M5907" s="90">
        <f>-14-47/60</f>
        <v>-14.783333333333333</v>
      </c>
      <c r="N5907" s="90">
        <f>34+36/60</f>
        <v>34.6</v>
      </c>
      <c r="O5907" s="90">
        <v>1260</v>
      </c>
      <c r="Q5907" s="55" t="s">
        <v>6973</v>
      </c>
      <c r="S5907" s="90">
        <f>(1400+850)/2</f>
        <v>1125</v>
      </c>
      <c r="U5907" s="55" t="s">
        <v>1801</v>
      </c>
      <c r="V5907" s="55" t="s">
        <v>1801</v>
      </c>
      <c r="AH5907" s="55" t="s">
        <v>238</v>
      </c>
      <c r="AM5907" s="55" t="s">
        <v>7049</v>
      </c>
      <c r="AN5907" s="185" t="s">
        <v>7050</v>
      </c>
      <c r="AO5907" s="185" t="s">
        <v>5150</v>
      </c>
      <c r="AQ5907" s="55" t="s">
        <v>2955</v>
      </c>
      <c r="AR5907" s="55" t="s">
        <v>1607</v>
      </c>
      <c r="AS5907" s="55" t="s">
        <v>132</v>
      </c>
      <c r="AU5907" s="181" t="s">
        <v>7494</v>
      </c>
      <c r="AV5907" s="185" t="s">
        <v>176</v>
      </c>
      <c r="AX5907" s="185" t="s">
        <v>176</v>
      </c>
      <c r="BK5907" s="55" t="s">
        <v>6333</v>
      </c>
      <c r="BM5907" s="192" t="s">
        <v>7052</v>
      </c>
      <c r="BN5907" s="55" t="s">
        <v>1816</v>
      </c>
      <c r="BO5907" s="55" t="s">
        <v>1816</v>
      </c>
      <c r="CB5907" s="66">
        <v>152</v>
      </c>
      <c r="CC5907" s="66">
        <v>1369</v>
      </c>
      <c r="FJ5907" s="65">
        <v>21.6</v>
      </c>
      <c r="FK5907" s="65">
        <v>1.3</v>
      </c>
      <c r="GP5907" s="292" t="s">
        <v>7494</v>
      </c>
    </row>
    <row r="5908" spans="1:283" x14ac:dyDescent="0.25">
      <c r="A5908" s="55">
        <v>5907</v>
      </c>
      <c r="B5908" s="12" t="s">
        <v>7067</v>
      </c>
      <c r="C5908" s="155" t="s">
        <v>7044</v>
      </c>
      <c r="D5908" s="55" t="s">
        <v>7055</v>
      </c>
      <c r="E5908" s="90" t="s">
        <v>2761</v>
      </c>
      <c r="G5908" s="55" t="s">
        <v>2762</v>
      </c>
      <c r="H5908" s="55" t="s">
        <v>2905</v>
      </c>
      <c r="I5908" s="55" t="s">
        <v>7046</v>
      </c>
      <c r="J5908" s="55" t="s">
        <v>7047</v>
      </c>
      <c r="K5908" s="55" t="s">
        <v>7048</v>
      </c>
      <c r="L5908" s="55" t="s">
        <v>2748</v>
      </c>
      <c r="M5908" s="90">
        <f>-14-47/60</f>
        <v>-14.783333333333333</v>
      </c>
      <c r="N5908" s="90">
        <f>34+36/60</f>
        <v>34.6</v>
      </c>
      <c r="O5908" s="90">
        <v>1260</v>
      </c>
      <c r="Q5908" s="55" t="s">
        <v>6973</v>
      </c>
      <c r="S5908" s="90">
        <f>(1400+850)/2</f>
        <v>1125</v>
      </c>
      <c r="U5908" s="55" t="s">
        <v>1801</v>
      </c>
      <c r="V5908" s="55" t="s">
        <v>1801</v>
      </c>
      <c r="AH5908" s="55" t="s">
        <v>238</v>
      </c>
      <c r="AM5908" s="55" t="s">
        <v>7049</v>
      </c>
      <c r="AN5908" s="185" t="s">
        <v>7051</v>
      </c>
      <c r="AO5908" s="185" t="s">
        <v>5150</v>
      </c>
      <c r="AQ5908" s="55" t="s">
        <v>2955</v>
      </c>
      <c r="AR5908" s="55" t="s">
        <v>1607</v>
      </c>
      <c r="AS5908" s="55" t="s">
        <v>132</v>
      </c>
      <c r="AU5908" s="181" t="s">
        <v>7494</v>
      </c>
      <c r="AV5908" s="185" t="s">
        <v>176</v>
      </c>
      <c r="AX5908" s="185" t="s">
        <v>176</v>
      </c>
      <c r="BK5908" s="55" t="s">
        <v>6333</v>
      </c>
      <c r="BM5908" s="192" t="s">
        <v>7052</v>
      </c>
      <c r="BN5908" s="55" t="s">
        <v>1816</v>
      </c>
      <c r="BO5908" s="55" t="s">
        <v>1816</v>
      </c>
      <c r="CB5908" s="66">
        <v>152</v>
      </c>
      <c r="CC5908" s="66">
        <v>1832</v>
      </c>
      <c r="FJ5908" s="65">
        <v>21.6</v>
      </c>
      <c r="FK5908" s="65">
        <v>1.6</v>
      </c>
      <c r="GP5908" s="292" t="s">
        <v>7494</v>
      </c>
    </row>
    <row r="5909" spans="1:283" s="193" customFormat="1" x14ac:dyDescent="0.25">
      <c r="A5909" s="192"/>
      <c r="C5909" s="194"/>
      <c r="D5909" s="192"/>
      <c r="E5909" s="195"/>
      <c r="F5909" s="195"/>
      <c r="G5909" s="192"/>
      <c r="H5909" s="192"/>
      <c r="I5909" s="192"/>
      <c r="J5909" s="192"/>
      <c r="K5909" s="192"/>
      <c r="L5909" s="192"/>
      <c r="M5909" s="195"/>
      <c r="N5909" s="195"/>
      <c r="O5909" s="195"/>
      <c r="P5909" s="192"/>
      <c r="Q5909" s="192"/>
      <c r="R5909" s="192"/>
      <c r="S5909" s="195"/>
      <c r="T5909" s="192"/>
      <c r="U5909" s="192"/>
      <c r="V5909" s="192"/>
      <c r="W5909" s="192"/>
      <c r="X5909" s="192"/>
      <c r="Y5909" s="192"/>
      <c r="Z5909" s="192"/>
      <c r="AA5909" s="195"/>
      <c r="AB5909" s="196"/>
      <c r="AC5909" s="196"/>
      <c r="AD5909" s="195"/>
      <c r="AE5909" s="195"/>
      <c r="AF5909" s="195"/>
      <c r="AG5909" s="195"/>
      <c r="AH5909" s="192"/>
      <c r="AI5909" s="192"/>
      <c r="AJ5909" s="195"/>
      <c r="AK5909" s="195"/>
      <c r="AL5909" s="192"/>
      <c r="AM5909" s="192"/>
      <c r="AN5909" s="192"/>
      <c r="AO5909" s="192"/>
      <c r="AP5909" s="192"/>
      <c r="AQ5909" s="192"/>
      <c r="AR5909" s="192"/>
      <c r="AS5909" s="192"/>
      <c r="AT5909" s="192"/>
      <c r="AU5909" s="192"/>
      <c r="AV5909" s="192"/>
      <c r="AW5909" s="192"/>
      <c r="AX5909" s="192"/>
      <c r="AY5909" s="192"/>
      <c r="AZ5909" s="192"/>
      <c r="BA5909" s="192"/>
      <c r="BB5909" s="192"/>
      <c r="BC5909" s="192"/>
      <c r="BD5909" s="192"/>
      <c r="BE5909" s="192"/>
      <c r="BF5909" s="192"/>
      <c r="BG5909" s="192"/>
      <c r="BH5909" s="192"/>
      <c r="BI5909" s="192"/>
      <c r="BJ5909" s="192"/>
      <c r="BK5909" s="192"/>
      <c r="BL5909" s="192"/>
      <c r="BM5909" s="192"/>
      <c r="BN5909" s="192"/>
      <c r="BO5909" s="192"/>
      <c r="BP5909" s="192"/>
      <c r="BQ5909" s="192"/>
      <c r="BR5909" s="192"/>
      <c r="BS5909" s="192"/>
      <c r="BT5909" s="192"/>
      <c r="BU5909" s="192"/>
      <c r="BV5909" s="192"/>
      <c r="BW5909" s="196"/>
      <c r="BX5909" s="196"/>
      <c r="BY5909" s="196"/>
      <c r="BZ5909" s="196"/>
      <c r="CA5909" s="196"/>
      <c r="CB5909" s="254"/>
      <c r="CC5909" s="254"/>
      <c r="CD5909" s="254"/>
      <c r="CE5909" s="196"/>
      <c r="CF5909" s="196"/>
      <c r="CG5909" s="196"/>
      <c r="CH5909" s="195"/>
      <c r="CI5909" s="195"/>
      <c r="CJ5909" s="196"/>
      <c r="CK5909" s="196"/>
      <c r="CL5909" s="196"/>
      <c r="CM5909" s="196"/>
      <c r="CN5909" s="196"/>
      <c r="CO5909" s="196"/>
      <c r="CP5909" s="196"/>
      <c r="CQ5909" s="196"/>
      <c r="CR5909" s="196"/>
      <c r="CS5909" s="196"/>
      <c r="CT5909" s="196"/>
      <c r="CU5909" s="196"/>
      <c r="CV5909" s="196"/>
      <c r="CW5909" s="196"/>
      <c r="CX5909" s="196"/>
      <c r="CY5909" s="196"/>
      <c r="CZ5909" s="196"/>
      <c r="DA5909" s="196"/>
      <c r="DB5909" s="196"/>
      <c r="DC5909" s="196"/>
      <c r="DD5909" s="196"/>
      <c r="DE5909" s="196"/>
      <c r="DF5909" s="196"/>
      <c r="DG5909" s="196"/>
      <c r="DH5909" s="196"/>
      <c r="DI5909" s="196"/>
      <c r="DJ5909" s="196"/>
      <c r="DK5909" s="196"/>
      <c r="DL5909" s="196"/>
      <c r="DM5909" s="196"/>
      <c r="DN5909" s="196"/>
      <c r="DO5909" s="196"/>
      <c r="DP5909" s="196"/>
      <c r="DQ5909" s="197"/>
      <c r="DR5909" s="197"/>
      <c r="DS5909" s="196"/>
      <c r="DT5909" s="196"/>
      <c r="DU5909" s="196"/>
      <c r="DV5909" s="196"/>
      <c r="DW5909" s="196"/>
      <c r="DX5909" s="196"/>
      <c r="DY5909" s="196"/>
      <c r="DZ5909" s="196"/>
      <c r="EA5909" s="196"/>
      <c r="EB5909" s="196"/>
      <c r="EC5909" s="196"/>
      <c r="ED5909" s="196"/>
      <c r="EE5909" s="196"/>
      <c r="EF5909" s="196"/>
      <c r="EG5909" s="196"/>
      <c r="EH5909" s="196"/>
      <c r="EI5909" s="196"/>
      <c r="EJ5909" s="196"/>
      <c r="EK5909" s="195"/>
      <c r="EL5909" s="195"/>
      <c r="EM5909" s="196"/>
      <c r="EN5909" s="196"/>
      <c r="EO5909" s="196"/>
      <c r="EP5909" s="196"/>
      <c r="EQ5909" s="196"/>
      <c r="ER5909" s="196"/>
      <c r="ES5909" s="196"/>
      <c r="ET5909" s="196"/>
      <c r="EU5909" s="196"/>
      <c r="EV5909" s="196"/>
      <c r="EW5909" s="196"/>
      <c r="EX5909" s="196"/>
      <c r="EY5909" s="196"/>
      <c r="EZ5909" s="196"/>
      <c r="FA5909" s="196"/>
      <c r="FB5909" s="196"/>
      <c r="FC5909" s="196"/>
      <c r="FD5909" s="196"/>
      <c r="FE5909" s="196"/>
      <c r="FF5909" s="196"/>
      <c r="FG5909" s="196"/>
      <c r="FH5909" s="196"/>
      <c r="FI5909" s="196"/>
      <c r="FJ5909" s="196"/>
      <c r="FK5909" s="196"/>
      <c r="FL5909" s="196"/>
      <c r="FM5909" s="196"/>
      <c r="FN5909" s="196"/>
      <c r="FO5909" s="196"/>
      <c r="FP5909" s="196"/>
      <c r="FQ5909" s="196"/>
      <c r="FR5909" s="196"/>
      <c r="FS5909" s="196"/>
      <c r="FT5909" s="196"/>
      <c r="FU5909" s="196"/>
      <c r="FV5909" s="196"/>
      <c r="FW5909" s="196"/>
      <c r="FX5909" s="196"/>
      <c r="FY5909" s="196"/>
      <c r="FZ5909" s="196"/>
      <c r="GA5909" s="196"/>
      <c r="GB5909" s="196"/>
      <c r="GC5909" s="196"/>
      <c r="GD5909" s="196"/>
      <c r="GE5909" s="196"/>
      <c r="GF5909" s="196"/>
      <c r="GG5909" s="196"/>
      <c r="GH5909" s="196"/>
      <c r="GI5909" s="196"/>
      <c r="GJ5909" s="196"/>
      <c r="GK5909" s="196"/>
      <c r="GL5909" s="196"/>
      <c r="GM5909" s="196"/>
      <c r="GN5909" s="294"/>
      <c r="GO5909" s="294"/>
      <c r="GP5909" s="294"/>
      <c r="GQ5909" s="196"/>
      <c r="GR5909" s="196"/>
      <c r="GS5909" s="196"/>
      <c r="GT5909" s="196"/>
      <c r="GU5909" s="196"/>
      <c r="GV5909" s="196"/>
      <c r="GW5909" s="196"/>
      <c r="GX5909" s="196"/>
      <c r="GY5909" s="196"/>
      <c r="GZ5909" s="196"/>
      <c r="HA5909" s="196"/>
      <c r="HB5909" s="196"/>
      <c r="HC5909" s="196"/>
      <c r="HD5909" s="196"/>
      <c r="HE5909" s="196"/>
      <c r="HF5909" s="196"/>
      <c r="HG5909" s="196"/>
      <c r="HH5909" s="196"/>
      <c r="HI5909" s="196"/>
      <c r="HJ5909" s="196"/>
      <c r="HK5909" s="196"/>
      <c r="HL5909" s="196"/>
      <c r="HM5909" s="196"/>
      <c r="HN5909" s="196"/>
      <c r="HO5909" s="196"/>
      <c r="HP5909" s="196"/>
      <c r="HQ5909" s="196"/>
      <c r="HR5909" s="196"/>
      <c r="HS5909" s="196"/>
      <c r="HT5909" s="196"/>
      <c r="HU5909" s="196"/>
      <c r="HV5909" s="196"/>
      <c r="HW5909" s="196"/>
      <c r="HX5909" s="196"/>
      <c r="HY5909" s="196"/>
      <c r="HZ5909" s="196"/>
      <c r="IA5909" s="196"/>
      <c r="IB5909" s="196"/>
      <c r="IC5909" s="196"/>
      <c r="ID5909" s="196"/>
      <c r="IE5909" s="196"/>
      <c r="IF5909" s="196"/>
      <c r="IG5909" s="196"/>
      <c r="IH5909" s="196"/>
      <c r="II5909" s="196"/>
      <c r="IJ5909" s="196"/>
      <c r="IK5909" s="196"/>
      <c r="IL5909" s="196"/>
      <c r="IM5909" s="196"/>
      <c r="IN5909" s="196"/>
      <c r="IO5909" s="196"/>
      <c r="IP5909" s="196"/>
      <c r="IQ5909" s="196"/>
      <c r="IR5909" s="196"/>
      <c r="IS5909" s="196"/>
      <c r="IT5909" s="196"/>
      <c r="IU5909" s="196"/>
      <c r="IV5909" s="196"/>
      <c r="IW5909" s="196"/>
      <c r="IX5909" s="196"/>
      <c r="IY5909" s="196"/>
      <c r="IZ5909" s="196"/>
      <c r="JA5909" s="196"/>
      <c r="JB5909" s="196"/>
      <c r="JC5909" s="196"/>
      <c r="JD5909" s="196"/>
      <c r="JE5909" s="196"/>
      <c r="JF5909" s="196"/>
      <c r="JG5909" s="196"/>
      <c r="JH5909" s="196"/>
      <c r="JI5909" s="196"/>
      <c r="JJ5909" s="196"/>
      <c r="JK5909" s="196"/>
      <c r="JL5909" s="196"/>
      <c r="JM5909" s="196"/>
      <c r="JN5909" s="196"/>
      <c r="JO5909" s="196"/>
      <c r="JP5909" s="196"/>
      <c r="JQ5909" s="196"/>
      <c r="JR5909" s="196"/>
      <c r="JS5909" s="196"/>
      <c r="JT5909" s="196"/>
      <c r="JU5909" s="192"/>
      <c r="JV5909" s="192"/>
      <c r="JW5909" s="192"/>
    </row>
  </sheetData>
  <autoFilter ref="A1:JZ1" xr:uid="{00000000-0001-0000-0000-000000000000}">
    <sortState xmlns:xlrd2="http://schemas.microsoft.com/office/spreadsheetml/2017/richdata2" ref="A2:JZ5908">
      <sortCondition ref="A1"/>
    </sortState>
  </autoFilter>
  <phoneticPr fontId="2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selection activeCell="B8" sqref="B8"/>
    </sheetView>
  </sheetViews>
  <sheetFormatPr defaultColWidth="8.85546875" defaultRowHeight="15" x14ac:dyDescent="0.25"/>
  <cols>
    <col min="1" max="1" width="18.42578125" style="2" customWidth="1"/>
    <col min="2" max="2" width="88" customWidth="1"/>
  </cols>
  <sheetData>
    <row r="1" spans="1:5" ht="93" customHeight="1" x14ac:dyDescent="0.25">
      <c r="A1" s="295" t="s">
        <v>7056</v>
      </c>
      <c r="B1" s="295"/>
      <c r="C1" s="295"/>
      <c r="D1" s="295"/>
      <c r="E1" s="295"/>
    </row>
    <row r="2" spans="1:5" s="1" customFormat="1" x14ac:dyDescent="0.25">
      <c r="A2" s="1" t="s">
        <v>6315</v>
      </c>
      <c r="B2" s="1" t="s">
        <v>1385</v>
      </c>
    </row>
    <row r="3" spans="1:5" x14ac:dyDescent="0.25">
      <c r="A3" s="2" t="s">
        <v>6295</v>
      </c>
      <c r="B3" t="s">
        <v>6296</v>
      </c>
    </row>
    <row r="4" spans="1:5" x14ac:dyDescent="0.25">
      <c r="A4" s="2" t="s">
        <v>6297</v>
      </c>
      <c r="B4" t="s">
        <v>6298</v>
      </c>
    </row>
    <row r="5" spans="1:5" x14ac:dyDescent="0.25">
      <c r="A5" s="2" t="s">
        <v>3042</v>
      </c>
      <c r="B5" t="s">
        <v>6299</v>
      </c>
    </row>
    <row r="6" spans="1:5" x14ac:dyDescent="0.25">
      <c r="A6" s="2" t="s">
        <v>6300</v>
      </c>
      <c r="B6" t="s">
        <v>6301</v>
      </c>
    </row>
    <row r="7" spans="1:5" x14ac:dyDescent="0.25">
      <c r="A7" s="2" t="s">
        <v>6347</v>
      </c>
      <c r="B7" t="s">
        <v>6302</v>
      </c>
    </row>
    <row r="8" spans="1:5" x14ac:dyDescent="0.25">
      <c r="A8" s="2" t="s">
        <v>6303</v>
      </c>
      <c r="B8" t="s">
        <v>6304</v>
      </c>
    </row>
    <row r="9" spans="1:5" x14ac:dyDescent="0.25">
      <c r="A9" s="2" t="s">
        <v>6348</v>
      </c>
      <c r="B9" t="s">
        <v>6349</v>
      </c>
    </row>
    <row r="10" spans="1:5" x14ac:dyDescent="0.25">
      <c r="A10" s="2" t="s">
        <v>1465</v>
      </c>
      <c r="B10" t="s">
        <v>6350</v>
      </c>
    </row>
    <row r="11" spans="1:5" x14ac:dyDescent="0.25">
      <c r="A11" s="2" t="s">
        <v>1464</v>
      </c>
      <c r="B11" t="s">
        <v>6305</v>
      </c>
    </row>
    <row r="12" spans="1:5" x14ac:dyDescent="0.25">
      <c r="A12" s="2" t="s">
        <v>6306</v>
      </c>
      <c r="B12" t="s">
        <v>6307</v>
      </c>
    </row>
    <row r="13" spans="1:5" x14ac:dyDescent="0.25">
      <c r="A13" s="2" t="s">
        <v>6308</v>
      </c>
      <c r="B13" t="s">
        <v>6309</v>
      </c>
    </row>
    <row r="14" spans="1:5" x14ac:dyDescent="0.25">
      <c r="A14" s="2" t="s">
        <v>6310</v>
      </c>
      <c r="B14" t="s">
        <v>6311</v>
      </c>
    </row>
    <row r="15" spans="1:5" x14ac:dyDescent="0.25">
      <c r="A15" s="2" t="s">
        <v>6312</v>
      </c>
      <c r="B15" t="s">
        <v>6313</v>
      </c>
    </row>
    <row r="16" spans="1:5" x14ac:dyDescent="0.25">
      <c r="A16" s="2" t="s">
        <v>41</v>
      </c>
      <c r="B16" t="s">
        <v>6314</v>
      </c>
    </row>
    <row r="17" spans="1:1" x14ac:dyDescent="0.25">
      <c r="A17" s="139"/>
    </row>
  </sheetData>
  <mergeCells count="1">
    <mergeCell ref="A1:E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5"/>
  <sheetViews>
    <sheetView topLeftCell="B1" workbookViewId="0">
      <selection activeCell="B1" sqref="B1:C15"/>
    </sheetView>
  </sheetViews>
  <sheetFormatPr defaultColWidth="8.85546875" defaultRowHeight="15" x14ac:dyDescent="0.25"/>
  <cols>
    <col min="1" max="1" width="14.28515625" style="77" bestFit="1" customWidth="1"/>
    <col min="2" max="2" width="39.28515625" customWidth="1"/>
    <col min="3" max="3" width="13.28515625" customWidth="1"/>
    <col min="4" max="4" width="11.85546875" customWidth="1"/>
  </cols>
  <sheetData>
    <row r="1" spans="1:4" s="1" customFormat="1" ht="22.5" customHeight="1" x14ac:dyDescent="0.25">
      <c r="A1" s="79" t="s">
        <v>1384</v>
      </c>
      <c r="B1" s="1" t="s">
        <v>5978</v>
      </c>
      <c r="C1" s="1" t="s">
        <v>5977</v>
      </c>
      <c r="D1" s="1" t="s">
        <v>1595</v>
      </c>
    </row>
    <row r="2" spans="1:4" x14ac:dyDescent="0.25">
      <c r="A2" s="77">
        <v>1</v>
      </c>
      <c r="B2" t="s">
        <v>5975</v>
      </c>
      <c r="C2" t="s">
        <v>6333</v>
      </c>
    </row>
    <row r="3" spans="1:4" ht="32.1" customHeight="1" x14ac:dyDescent="0.25">
      <c r="A3" s="77">
        <v>2</v>
      </c>
      <c r="B3" t="s">
        <v>5973</v>
      </c>
      <c r="C3" t="s">
        <v>5976</v>
      </c>
    </row>
    <row r="4" spans="1:4" x14ac:dyDescent="0.25">
      <c r="A4" s="77">
        <v>3</v>
      </c>
      <c r="B4" t="s">
        <v>156</v>
      </c>
      <c r="C4" t="s">
        <v>2082</v>
      </c>
    </row>
    <row r="5" spans="1:4" x14ac:dyDescent="0.25">
      <c r="A5" s="77">
        <v>4</v>
      </c>
      <c r="B5" t="s">
        <v>4486</v>
      </c>
      <c r="C5" t="s">
        <v>4499</v>
      </c>
      <c r="D5" t="s">
        <v>6481</v>
      </c>
    </row>
    <row r="6" spans="1:4" x14ac:dyDescent="0.25">
      <c r="A6" s="77">
        <v>5</v>
      </c>
      <c r="B6" t="s">
        <v>5974</v>
      </c>
      <c r="C6" t="s">
        <v>6334</v>
      </c>
    </row>
    <row r="7" spans="1:4" x14ac:dyDescent="0.25">
      <c r="A7" s="77">
        <v>6</v>
      </c>
      <c r="B7" t="s">
        <v>5982</v>
      </c>
      <c r="C7" t="s">
        <v>5981</v>
      </c>
    </row>
    <row r="8" spans="1:4" x14ac:dyDescent="0.25">
      <c r="A8" s="77">
        <v>7</v>
      </c>
      <c r="B8" t="s">
        <v>6567</v>
      </c>
      <c r="C8" t="s">
        <v>6568</v>
      </c>
    </row>
    <row r="9" spans="1:4" x14ac:dyDescent="0.25">
      <c r="A9" s="77">
        <v>8</v>
      </c>
      <c r="B9" t="s">
        <v>6499</v>
      </c>
      <c r="C9" t="s">
        <v>6502</v>
      </c>
      <c r="D9" t="s">
        <v>6676</v>
      </c>
    </row>
    <row r="10" spans="1:4" x14ac:dyDescent="0.25">
      <c r="A10" s="77">
        <v>9</v>
      </c>
      <c r="B10" t="s">
        <v>6565</v>
      </c>
      <c r="C10" t="s">
        <v>6566</v>
      </c>
    </row>
    <row r="11" spans="1:4" x14ac:dyDescent="0.25">
      <c r="A11" s="77">
        <v>10</v>
      </c>
      <c r="B11" t="s">
        <v>6500</v>
      </c>
      <c r="C11" t="s">
        <v>6503</v>
      </c>
    </row>
    <row r="12" spans="1:4" x14ac:dyDescent="0.25">
      <c r="A12" s="77">
        <v>11</v>
      </c>
      <c r="B12" t="s">
        <v>6501</v>
      </c>
      <c r="C12" t="s">
        <v>6504</v>
      </c>
    </row>
    <row r="13" spans="1:4" x14ac:dyDescent="0.25">
      <c r="A13" s="77">
        <v>12</v>
      </c>
      <c r="B13" t="s">
        <v>7057</v>
      </c>
      <c r="C13" t="s">
        <v>6467</v>
      </c>
    </row>
    <row r="14" spans="1:4" x14ac:dyDescent="0.25">
      <c r="A14" s="77">
        <v>13</v>
      </c>
      <c r="B14" t="s">
        <v>5979</v>
      </c>
      <c r="C14" t="s">
        <v>6335</v>
      </c>
    </row>
    <row r="15" spans="1:4" x14ac:dyDescent="0.25">
      <c r="A15" s="77">
        <v>14</v>
      </c>
      <c r="B15" t="s">
        <v>5980</v>
      </c>
      <c r="C15" t="s">
        <v>6336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7"/>
  <sheetViews>
    <sheetView topLeftCell="A32" workbookViewId="0">
      <selection activeCell="B41" sqref="B41"/>
    </sheetView>
  </sheetViews>
  <sheetFormatPr defaultColWidth="8.85546875" defaultRowHeight="15" x14ac:dyDescent="0.25"/>
  <cols>
    <col min="1" max="1" width="12.5703125" style="76" customWidth="1"/>
    <col min="2" max="2" width="28.5703125" customWidth="1"/>
    <col min="3" max="3" width="103.7109375" customWidth="1"/>
    <col min="4" max="4" width="91.7109375" customWidth="1"/>
    <col min="5" max="5" width="41" customWidth="1"/>
  </cols>
  <sheetData>
    <row r="1" spans="1:4" x14ac:dyDescent="0.25">
      <c r="A1" s="71" t="s">
        <v>5</v>
      </c>
      <c r="B1" s="1" t="s">
        <v>109</v>
      </c>
      <c r="C1" t="s">
        <v>556</v>
      </c>
    </row>
    <row r="2" spans="1:4" x14ac:dyDescent="0.25">
      <c r="A2" s="71"/>
      <c r="B2" s="1" t="s">
        <v>3042</v>
      </c>
      <c r="C2" t="s">
        <v>3371</v>
      </c>
    </row>
    <row r="3" spans="1:4" x14ac:dyDescent="0.25">
      <c r="A3" s="71" t="s">
        <v>5</v>
      </c>
      <c r="B3" s="1" t="s">
        <v>43</v>
      </c>
      <c r="C3" s="2" t="s">
        <v>91</v>
      </c>
    </row>
    <row r="4" spans="1:4" x14ac:dyDescent="0.25">
      <c r="A4" s="71"/>
      <c r="B4" s="1" t="s">
        <v>44</v>
      </c>
      <c r="C4" s="2" t="s">
        <v>45</v>
      </c>
    </row>
    <row r="5" spans="1:4" x14ac:dyDescent="0.25">
      <c r="A5" s="71"/>
      <c r="B5" s="1" t="s">
        <v>6</v>
      </c>
      <c r="C5" s="2" t="s">
        <v>46</v>
      </c>
    </row>
    <row r="6" spans="1:4" x14ac:dyDescent="0.25">
      <c r="A6" s="71"/>
      <c r="B6" s="1" t="s">
        <v>184</v>
      </c>
      <c r="C6" s="2" t="s">
        <v>2421</v>
      </c>
    </row>
    <row r="7" spans="1:4" x14ac:dyDescent="0.25">
      <c r="A7" s="71"/>
      <c r="B7" s="1" t="s">
        <v>87</v>
      </c>
      <c r="C7" s="2" t="s">
        <v>88</v>
      </c>
    </row>
    <row r="8" spans="1:4" x14ac:dyDescent="0.25">
      <c r="A8" s="71"/>
      <c r="B8" s="1" t="s">
        <v>4</v>
      </c>
      <c r="C8" s="2" t="s">
        <v>47</v>
      </c>
      <c r="D8" t="s">
        <v>2430</v>
      </c>
    </row>
    <row r="9" spans="1:4" x14ac:dyDescent="0.25">
      <c r="A9" s="71"/>
      <c r="B9" s="1" t="s">
        <v>2735</v>
      </c>
      <c r="C9" s="2" t="s">
        <v>2736</v>
      </c>
    </row>
    <row r="10" spans="1:4" x14ac:dyDescent="0.25">
      <c r="A10" s="71"/>
      <c r="B10" s="1" t="s">
        <v>3</v>
      </c>
      <c r="C10" s="2" t="s">
        <v>2422</v>
      </c>
      <c r="D10" t="s">
        <v>2455</v>
      </c>
    </row>
    <row r="11" spans="1:4" x14ac:dyDescent="0.25">
      <c r="A11" s="71"/>
      <c r="B11" s="1" t="s">
        <v>2</v>
      </c>
      <c r="C11" s="2" t="s">
        <v>2423</v>
      </c>
      <c r="D11" t="s">
        <v>2455</v>
      </c>
    </row>
    <row r="12" spans="1:4" x14ac:dyDescent="0.25">
      <c r="A12" s="71"/>
      <c r="B12" s="1" t="s">
        <v>86</v>
      </c>
      <c r="C12" s="2" t="s">
        <v>2424</v>
      </c>
      <c r="D12" t="s">
        <v>129</v>
      </c>
    </row>
    <row r="13" spans="1:4" x14ac:dyDescent="0.25">
      <c r="A13" s="71"/>
      <c r="B13" s="1" t="s">
        <v>35</v>
      </c>
      <c r="C13" s="2" t="s">
        <v>2425</v>
      </c>
      <c r="D13" t="s">
        <v>2431</v>
      </c>
    </row>
    <row r="14" spans="1:4" x14ac:dyDescent="0.25">
      <c r="A14" s="71"/>
      <c r="B14" s="1" t="s">
        <v>16</v>
      </c>
      <c r="C14" s="2" t="s">
        <v>2426</v>
      </c>
      <c r="D14" t="s">
        <v>2431</v>
      </c>
    </row>
    <row r="15" spans="1:4" x14ac:dyDescent="0.25">
      <c r="A15" s="71"/>
      <c r="B15" s="1" t="s">
        <v>36</v>
      </c>
      <c r="C15" s="2" t="s">
        <v>48</v>
      </c>
      <c r="D15" t="s">
        <v>134</v>
      </c>
    </row>
    <row r="16" spans="1:4" x14ac:dyDescent="0.25">
      <c r="A16" s="71"/>
      <c r="B16" s="1" t="s">
        <v>17</v>
      </c>
      <c r="C16" s="2" t="s">
        <v>2427</v>
      </c>
      <c r="D16" t="s">
        <v>134</v>
      </c>
    </row>
    <row r="17" spans="1:4" x14ac:dyDescent="0.25">
      <c r="A17" s="71"/>
      <c r="B17" s="1" t="s">
        <v>18</v>
      </c>
      <c r="C17" s="2" t="s">
        <v>2428</v>
      </c>
      <c r="D17" t="s">
        <v>2432</v>
      </c>
    </row>
    <row r="18" spans="1:4" x14ac:dyDescent="0.25">
      <c r="A18" s="71"/>
      <c r="B18" s="1" t="s">
        <v>8</v>
      </c>
      <c r="C18" s="2" t="s">
        <v>2429</v>
      </c>
    </row>
    <row r="19" spans="1:4" x14ac:dyDescent="0.25">
      <c r="A19" s="71"/>
      <c r="B19" s="37" t="s">
        <v>1717</v>
      </c>
      <c r="C19" s="2" t="s">
        <v>1718</v>
      </c>
    </row>
    <row r="20" spans="1:4" x14ac:dyDescent="0.25">
      <c r="A20" s="71"/>
      <c r="B20" s="1" t="s">
        <v>6337</v>
      </c>
      <c r="C20" s="2" t="s">
        <v>6339</v>
      </c>
    </row>
    <row r="21" spans="1:4" x14ac:dyDescent="0.25">
      <c r="A21" s="71"/>
      <c r="B21" s="1" t="s">
        <v>6338</v>
      </c>
      <c r="C21" s="2" t="s">
        <v>6340</v>
      </c>
    </row>
    <row r="22" spans="1:4" x14ac:dyDescent="0.25">
      <c r="A22" s="71"/>
      <c r="B22" s="1" t="s">
        <v>839</v>
      </c>
      <c r="C22" s="2" t="s">
        <v>2433</v>
      </c>
    </row>
    <row r="23" spans="1:4" x14ac:dyDescent="0.25">
      <c r="A23" s="71"/>
      <c r="B23" s="1" t="s">
        <v>7</v>
      </c>
      <c r="C23" s="2" t="s">
        <v>2435</v>
      </c>
      <c r="D23" t="s">
        <v>155</v>
      </c>
    </row>
    <row r="24" spans="1:4" x14ac:dyDescent="0.25">
      <c r="A24" s="71"/>
      <c r="B24" s="1" t="s">
        <v>1674</v>
      </c>
      <c r="C24" s="2" t="s">
        <v>2434</v>
      </c>
    </row>
    <row r="25" spans="1:4" x14ac:dyDescent="0.25">
      <c r="A25" s="71"/>
      <c r="B25" s="1" t="s">
        <v>6996</v>
      </c>
      <c r="C25" s="2" t="s">
        <v>6999</v>
      </c>
    </row>
    <row r="26" spans="1:4" x14ac:dyDescent="0.25">
      <c r="A26" s="71"/>
      <c r="B26" s="1" t="s">
        <v>6998</v>
      </c>
      <c r="C26" s="2" t="s">
        <v>7000</v>
      </c>
    </row>
    <row r="27" spans="1:4" x14ac:dyDescent="0.25">
      <c r="A27" s="71"/>
      <c r="B27" s="1" t="s">
        <v>263</v>
      </c>
      <c r="C27" s="2" t="s">
        <v>264</v>
      </c>
    </row>
    <row r="28" spans="1:4" x14ac:dyDescent="0.25">
      <c r="A28" s="71"/>
      <c r="B28" s="1" t="s">
        <v>121</v>
      </c>
      <c r="C28" s="2" t="s">
        <v>123</v>
      </c>
    </row>
    <row r="29" spans="1:4" x14ac:dyDescent="0.25">
      <c r="A29" s="71"/>
      <c r="B29" s="1" t="s">
        <v>122</v>
      </c>
      <c r="C29" s="2" t="s">
        <v>124</v>
      </c>
    </row>
    <row r="30" spans="1:4" x14ac:dyDescent="0.25">
      <c r="A30" s="71"/>
      <c r="B30" s="1" t="s">
        <v>15</v>
      </c>
      <c r="C30" s="2" t="s">
        <v>49</v>
      </c>
    </row>
    <row r="31" spans="1:4" x14ac:dyDescent="0.25">
      <c r="A31" s="71"/>
      <c r="B31" s="1" t="s">
        <v>188</v>
      </c>
      <c r="C31" s="2" t="s">
        <v>191</v>
      </c>
    </row>
    <row r="32" spans="1:4" x14ac:dyDescent="0.25">
      <c r="A32" s="71"/>
      <c r="B32" s="1" t="s">
        <v>189</v>
      </c>
      <c r="C32" s="2" t="s">
        <v>2436</v>
      </c>
      <c r="D32" t="s">
        <v>66</v>
      </c>
    </row>
    <row r="33" spans="1:4" x14ac:dyDescent="0.25">
      <c r="A33" s="71"/>
      <c r="B33" s="158" t="s">
        <v>4654</v>
      </c>
      <c r="C33" s="159" t="s">
        <v>4655</v>
      </c>
      <c r="D33" t="s">
        <v>66</v>
      </c>
    </row>
    <row r="34" spans="1:4" x14ac:dyDescent="0.25">
      <c r="A34" s="71"/>
      <c r="B34" s="1" t="s">
        <v>190</v>
      </c>
      <c r="C34" s="2" t="s">
        <v>192</v>
      </c>
      <c r="D34" t="s">
        <v>3147</v>
      </c>
    </row>
    <row r="35" spans="1:4" x14ac:dyDescent="0.25">
      <c r="A35" s="71"/>
      <c r="B35" s="1" t="s">
        <v>1273</v>
      </c>
      <c r="C35" s="2" t="s">
        <v>7068</v>
      </c>
    </row>
    <row r="36" spans="1:4" x14ac:dyDescent="0.25">
      <c r="A36" s="71"/>
      <c r="B36" s="1" t="s">
        <v>0</v>
      </c>
      <c r="C36" s="2" t="s">
        <v>2440</v>
      </c>
    </row>
    <row r="37" spans="1:4" x14ac:dyDescent="0.25">
      <c r="A37" s="71"/>
      <c r="B37" s="1" t="s">
        <v>1465</v>
      </c>
      <c r="C37" s="2" t="s">
        <v>2437</v>
      </c>
      <c r="D37" t="s">
        <v>1659</v>
      </c>
    </row>
    <row r="38" spans="1:4" x14ac:dyDescent="0.25">
      <c r="A38" s="71"/>
      <c r="B38" s="1" t="s">
        <v>1</v>
      </c>
      <c r="C38" s="2" t="s">
        <v>2439</v>
      </c>
    </row>
    <row r="39" spans="1:4" x14ac:dyDescent="0.25">
      <c r="A39" s="71"/>
      <c r="B39" s="1" t="s">
        <v>1464</v>
      </c>
      <c r="C39" s="2" t="s">
        <v>2438</v>
      </c>
      <c r="D39" t="s">
        <v>1660</v>
      </c>
    </row>
    <row r="40" spans="1:4" x14ac:dyDescent="0.25">
      <c r="A40" s="71"/>
      <c r="B40" s="1" t="s">
        <v>5132</v>
      </c>
      <c r="C40" s="2" t="s">
        <v>5140</v>
      </c>
    </row>
    <row r="41" spans="1:4" x14ac:dyDescent="0.25">
      <c r="A41" s="71"/>
      <c r="B41" s="1" t="s">
        <v>508</v>
      </c>
      <c r="C41" s="2" t="s">
        <v>542</v>
      </c>
    </row>
    <row r="42" spans="1:4" x14ac:dyDescent="0.25">
      <c r="A42" s="71"/>
      <c r="B42" s="1" t="s">
        <v>507</v>
      </c>
      <c r="C42" s="2" t="s">
        <v>541</v>
      </c>
    </row>
    <row r="43" spans="1:4" x14ac:dyDescent="0.25">
      <c r="A43" s="71"/>
      <c r="B43" s="1" t="s">
        <v>509</v>
      </c>
      <c r="C43" s="2" t="s">
        <v>2444</v>
      </c>
    </row>
    <row r="44" spans="1:4" x14ac:dyDescent="0.25">
      <c r="A44" s="71"/>
      <c r="B44" s="1" t="s">
        <v>511</v>
      </c>
      <c r="C44" s="2" t="s">
        <v>514</v>
      </c>
    </row>
    <row r="45" spans="1:4" x14ac:dyDescent="0.25">
      <c r="A45" s="71"/>
      <c r="B45" s="1" t="s">
        <v>510</v>
      </c>
      <c r="C45" s="2" t="s">
        <v>513</v>
      </c>
    </row>
    <row r="46" spans="1:4" x14ac:dyDescent="0.25">
      <c r="A46" s="71"/>
      <c r="B46" s="1" t="s">
        <v>512</v>
      </c>
      <c r="C46" s="2" t="s">
        <v>2443</v>
      </c>
    </row>
    <row r="47" spans="1:4" x14ac:dyDescent="0.25">
      <c r="A47" s="71"/>
      <c r="B47" s="1" t="s">
        <v>215</v>
      </c>
      <c r="C47" s="2" t="s">
        <v>2441</v>
      </c>
    </row>
    <row r="48" spans="1:4" x14ac:dyDescent="0.25">
      <c r="A48" s="71"/>
      <c r="B48" s="1" t="s">
        <v>214</v>
      </c>
      <c r="C48" s="2" t="s">
        <v>2442</v>
      </c>
    </row>
    <row r="49" spans="1:4" x14ac:dyDescent="0.25">
      <c r="A49" s="71"/>
      <c r="B49" s="1" t="s">
        <v>478</v>
      </c>
      <c r="C49" s="2" t="s">
        <v>7069</v>
      </c>
    </row>
    <row r="50" spans="1:4" x14ac:dyDescent="0.25">
      <c r="A50" s="71"/>
      <c r="B50" s="15" t="s">
        <v>65</v>
      </c>
      <c r="C50" s="2" t="s">
        <v>2445</v>
      </c>
    </row>
    <row r="51" spans="1:4" x14ac:dyDescent="0.25">
      <c r="A51" s="71"/>
      <c r="B51" s="4" t="s">
        <v>5136</v>
      </c>
      <c r="C51" t="s">
        <v>5138</v>
      </c>
    </row>
    <row r="52" spans="1:4" x14ac:dyDescent="0.25">
      <c r="A52" s="71"/>
      <c r="B52" s="4" t="s">
        <v>5137</v>
      </c>
      <c r="C52" t="s">
        <v>5139</v>
      </c>
    </row>
    <row r="53" spans="1:4" s="27" customFormat="1" x14ac:dyDescent="0.25">
      <c r="A53" s="189"/>
      <c r="B53" s="190" t="s">
        <v>2060</v>
      </c>
      <c r="C53" s="27" t="s">
        <v>2446</v>
      </c>
    </row>
    <row r="54" spans="1:4" x14ac:dyDescent="0.25">
      <c r="A54" s="71"/>
      <c r="B54" s="4" t="s">
        <v>140</v>
      </c>
      <c r="C54" t="s">
        <v>2447</v>
      </c>
    </row>
    <row r="55" spans="1:4" x14ac:dyDescent="0.25">
      <c r="A55" s="71"/>
      <c r="B55" s="6" t="s">
        <v>68</v>
      </c>
      <c r="C55" s="2" t="s">
        <v>69</v>
      </c>
      <c r="D55" t="s">
        <v>2514</v>
      </c>
    </row>
    <row r="56" spans="1:4" x14ac:dyDescent="0.25">
      <c r="A56" s="71"/>
      <c r="B56" s="6" t="s">
        <v>67</v>
      </c>
      <c r="C56" s="2" t="s">
        <v>70</v>
      </c>
      <c r="D56" t="s">
        <v>2514</v>
      </c>
    </row>
    <row r="57" spans="1:4" x14ac:dyDescent="0.25">
      <c r="A57" s="71"/>
      <c r="B57" s="6" t="s">
        <v>943</v>
      </c>
      <c r="C57" s="2" t="s">
        <v>2448</v>
      </c>
      <c r="D57" t="s">
        <v>66</v>
      </c>
    </row>
    <row r="58" spans="1:4" x14ac:dyDescent="0.25">
      <c r="A58" s="71"/>
      <c r="B58" s="6" t="s">
        <v>588</v>
      </c>
      <c r="C58" s="2" t="s">
        <v>2449</v>
      </c>
    </row>
    <row r="59" spans="1:4" x14ac:dyDescent="0.25">
      <c r="A59" s="71"/>
      <c r="B59" s="37" t="s">
        <v>5480</v>
      </c>
      <c r="C59" s="2" t="s">
        <v>5485</v>
      </c>
    </row>
    <row r="60" spans="1:4" x14ac:dyDescent="0.25">
      <c r="A60" s="71"/>
      <c r="B60" s="37" t="s">
        <v>5486</v>
      </c>
      <c r="C60" s="2" t="s">
        <v>5487</v>
      </c>
    </row>
    <row r="61" spans="1:4" x14ac:dyDescent="0.25">
      <c r="A61" s="71"/>
      <c r="B61" s="37" t="s">
        <v>142</v>
      </c>
      <c r="C61" s="2" t="s">
        <v>2450</v>
      </c>
    </row>
    <row r="62" spans="1:4" x14ac:dyDescent="0.25">
      <c r="A62" s="72"/>
      <c r="B62" s="1"/>
      <c r="C62" s="2"/>
    </row>
    <row r="63" spans="1:4" x14ac:dyDescent="0.25">
      <c r="A63" s="73">
        <v>1</v>
      </c>
      <c r="B63" s="1" t="s">
        <v>781</v>
      </c>
      <c r="C63" s="2" t="s">
        <v>2355</v>
      </c>
      <c r="D63" t="s">
        <v>2513</v>
      </c>
    </row>
    <row r="64" spans="1:4" x14ac:dyDescent="0.25">
      <c r="A64" s="73"/>
      <c r="B64" s="1" t="s">
        <v>782</v>
      </c>
      <c r="C64" s="2" t="s">
        <v>2356</v>
      </c>
      <c r="D64" t="s">
        <v>2513</v>
      </c>
    </row>
    <row r="65" spans="1:4" x14ac:dyDescent="0.25">
      <c r="A65" s="73"/>
      <c r="B65" s="1" t="s">
        <v>806</v>
      </c>
      <c r="C65" s="2" t="s">
        <v>2451</v>
      </c>
      <c r="D65" t="s">
        <v>2515</v>
      </c>
    </row>
    <row r="66" spans="1:4" s="210" customFormat="1" x14ac:dyDescent="0.25">
      <c r="A66" s="208">
        <v>2</v>
      </c>
      <c r="B66" s="209" t="s">
        <v>14</v>
      </c>
      <c r="C66" s="210" t="s">
        <v>2452</v>
      </c>
      <c r="D66" s="210" t="s">
        <v>2514</v>
      </c>
    </row>
    <row r="67" spans="1:4" s="210" customFormat="1" x14ac:dyDescent="0.25">
      <c r="A67" s="208" t="s">
        <v>42</v>
      </c>
      <c r="B67" s="209" t="s">
        <v>13</v>
      </c>
      <c r="C67" s="210" t="s">
        <v>2453</v>
      </c>
      <c r="D67" s="210" t="s">
        <v>2514</v>
      </c>
    </row>
    <row r="68" spans="1:4" x14ac:dyDescent="0.25">
      <c r="A68" s="73"/>
      <c r="B68" s="1" t="s">
        <v>802</v>
      </c>
      <c r="C68" t="s">
        <v>2454</v>
      </c>
      <c r="D68" t="s">
        <v>2515</v>
      </c>
    </row>
    <row r="69" spans="1:4" x14ac:dyDescent="0.25">
      <c r="A69" s="73">
        <v>3</v>
      </c>
      <c r="B69" s="1" t="s">
        <v>24</v>
      </c>
      <c r="C69" t="s">
        <v>2456</v>
      </c>
      <c r="D69" t="s">
        <v>2516</v>
      </c>
    </row>
    <row r="70" spans="1:4" x14ac:dyDescent="0.25">
      <c r="A70" s="73"/>
      <c r="B70" s="1" t="s">
        <v>23</v>
      </c>
      <c r="C70" t="s">
        <v>2457</v>
      </c>
      <c r="D70" t="s">
        <v>2516</v>
      </c>
    </row>
    <row r="71" spans="1:4" x14ac:dyDescent="0.25">
      <c r="A71" s="73"/>
      <c r="B71" s="1" t="s">
        <v>785</v>
      </c>
      <c r="C71" t="s">
        <v>2458</v>
      </c>
      <c r="D71" t="s">
        <v>2517</v>
      </c>
    </row>
    <row r="72" spans="1:4" x14ac:dyDescent="0.25">
      <c r="A72" s="73">
        <v>4</v>
      </c>
      <c r="B72" s="1" t="s">
        <v>10</v>
      </c>
      <c r="C72" t="s">
        <v>1627</v>
      </c>
      <c r="D72" t="s">
        <v>2459</v>
      </c>
    </row>
    <row r="73" spans="1:4" x14ac:dyDescent="0.25">
      <c r="A73" s="73"/>
      <c r="B73" s="1" t="s">
        <v>9</v>
      </c>
      <c r="C73" t="s">
        <v>1628</v>
      </c>
      <c r="D73" t="s">
        <v>2459</v>
      </c>
    </row>
    <row r="74" spans="1:4" x14ac:dyDescent="0.25">
      <c r="A74" s="73"/>
      <c r="B74" s="1" t="s">
        <v>3043</v>
      </c>
      <c r="C74" t="s">
        <v>3045</v>
      </c>
    </row>
    <row r="75" spans="1:4" x14ac:dyDescent="0.25">
      <c r="A75" s="73"/>
      <c r="B75" s="1" t="s">
        <v>3044</v>
      </c>
      <c r="C75" t="s">
        <v>3046</v>
      </c>
    </row>
    <row r="76" spans="1:4" x14ac:dyDescent="0.25">
      <c r="A76" s="73"/>
      <c r="B76" s="1" t="s">
        <v>733</v>
      </c>
      <c r="C76" t="s">
        <v>4580</v>
      </c>
      <c r="D76" t="s">
        <v>4591</v>
      </c>
    </row>
    <row r="77" spans="1:4" x14ac:dyDescent="0.25">
      <c r="A77" s="73"/>
      <c r="B77" s="1" t="s">
        <v>4577</v>
      </c>
      <c r="C77" t="s">
        <v>4580</v>
      </c>
      <c r="D77" t="s">
        <v>4591</v>
      </c>
    </row>
    <row r="78" spans="1:4" x14ac:dyDescent="0.25">
      <c r="A78" s="73"/>
      <c r="B78" s="1" t="s">
        <v>4578</v>
      </c>
      <c r="C78" t="s">
        <v>4581</v>
      </c>
      <c r="D78" t="s">
        <v>4591</v>
      </c>
    </row>
    <row r="79" spans="1:4" x14ac:dyDescent="0.25">
      <c r="A79" s="73"/>
      <c r="B79" s="1" t="s">
        <v>4579</v>
      </c>
    </row>
    <row r="80" spans="1:4" x14ac:dyDescent="0.25">
      <c r="A80" s="73">
        <v>5</v>
      </c>
      <c r="B80" s="1" t="s">
        <v>230</v>
      </c>
      <c r="C80" t="s">
        <v>2461</v>
      </c>
      <c r="D80" t="s">
        <v>2520</v>
      </c>
    </row>
    <row r="81" spans="1:8" x14ac:dyDescent="0.25">
      <c r="A81" s="73"/>
      <c r="B81" s="1" t="s">
        <v>231</v>
      </c>
      <c r="C81" t="s">
        <v>2460</v>
      </c>
      <c r="D81" t="s">
        <v>2520</v>
      </c>
    </row>
    <row r="82" spans="1:8" x14ac:dyDescent="0.25">
      <c r="A82" s="73"/>
      <c r="B82" s="1" t="s">
        <v>734</v>
      </c>
      <c r="C82" t="s">
        <v>2462</v>
      </c>
      <c r="D82" t="s">
        <v>2515</v>
      </c>
      <c r="H82" s="10"/>
    </row>
    <row r="83" spans="1:8" x14ac:dyDescent="0.25">
      <c r="A83" s="73">
        <v>6</v>
      </c>
      <c r="B83" s="1" t="s">
        <v>20</v>
      </c>
      <c r="C83" t="s">
        <v>51</v>
      </c>
      <c r="D83" t="s">
        <v>2520</v>
      </c>
    </row>
    <row r="84" spans="1:8" x14ac:dyDescent="0.25">
      <c r="A84" s="73"/>
      <c r="B84" s="1" t="s">
        <v>19</v>
      </c>
      <c r="C84" t="s">
        <v>50</v>
      </c>
      <c r="D84" t="s">
        <v>2520</v>
      </c>
    </row>
    <row r="85" spans="1:8" x14ac:dyDescent="0.25">
      <c r="A85" s="73"/>
      <c r="B85" s="1" t="s">
        <v>735</v>
      </c>
      <c r="C85" t="s">
        <v>2463</v>
      </c>
      <c r="D85" t="s">
        <v>2515</v>
      </c>
    </row>
    <row r="86" spans="1:8" x14ac:dyDescent="0.25">
      <c r="A86" s="73">
        <v>7</v>
      </c>
      <c r="B86" s="1" t="s">
        <v>22</v>
      </c>
      <c r="C86" t="s">
        <v>53</v>
      </c>
      <c r="D86" t="s">
        <v>2520</v>
      </c>
    </row>
    <row r="87" spans="1:8" x14ac:dyDescent="0.25">
      <c r="A87" s="73"/>
      <c r="B87" s="1" t="s">
        <v>21</v>
      </c>
      <c r="C87" t="s">
        <v>52</v>
      </c>
      <c r="D87" t="s">
        <v>2520</v>
      </c>
    </row>
    <row r="88" spans="1:8" x14ac:dyDescent="0.25">
      <c r="A88" s="73"/>
      <c r="B88" s="1" t="s">
        <v>803</v>
      </c>
      <c r="C88" t="s">
        <v>2464</v>
      </c>
      <c r="D88" t="s">
        <v>2515</v>
      </c>
    </row>
    <row r="89" spans="1:8" x14ac:dyDescent="0.25">
      <c r="A89" s="73">
        <v>8</v>
      </c>
      <c r="B89" s="1" t="s">
        <v>12</v>
      </c>
      <c r="C89" t="s">
        <v>55</v>
      </c>
      <c r="D89" t="s">
        <v>2518</v>
      </c>
    </row>
    <row r="90" spans="1:8" x14ac:dyDescent="0.25">
      <c r="A90" s="73"/>
      <c r="B90" s="1" t="s">
        <v>11</v>
      </c>
      <c r="C90" t="s">
        <v>54</v>
      </c>
      <c r="D90" t="s">
        <v>2518</v>
      </c>
    </row>
    <row r="91" spans="1:8" x14ac:dyDescent="0.25">
      <c r="A91" s="73"/>
      <c r="B91" s="1" t="s">
        <v>787</v>
      </c>
      <c r="C91" t="s">
        <v>2465</v>
      </c>
      <c r="D91" t="s">
        <v>2517</v>
      </c>
    </row>
    <row r="92" spans="1:8" x14ac:dyDescent="0.25">
      <c r="A92" s="73">
        <v>9</v>
      </c>
      <c r="B92" s="1" t="s">
        <v>30</v>
      </c>
      <c r="C92" t="s">
        <v>57</v>
      </c>
      <c r="D92" t="s">
        <v>2521</v>
      </c>
    </row>
    <row r="93" spans="1:8" x14ac:dyDescent="0.25">
      <c r="A93" s="73"/>
      <c r="B93" s="1" t="s">
        <v>29</v>
      </c>
      <c r="C93" t="s">
        <v>56</v>
      </c>
      <c r="D93" t="s">
        <v>2521</v>
      </c>
    </row>
    <row r="94" spans="1:8" x14ac:dyDescent="0.25">
      <c r="A94" s="73"/>
      <c r="B94" s="1" t="s">
        <v>790</v>
      </c>
      <c r="C94" t="s">
        <v>2466</v>
      </c>
      <c r="D94" t="s">
        <v>2515</v>
      </c>
    </row>
    <row r="95" spans="1:8" x14ac:dyDescent="0.25">
      <c r="A95" s="73">
        <v>10</v>
      </c>
      <c r="B95" s="1" t="s">
        <v>32</v>
      </c>
      <c r="C95" t="s">
        <v>1054</v>
      </c>
      <c r="D95" t="s">
        <v>2522</v>
      </c>
    </row>
    <row r="96" spans="1:8" x14ac:dyDescent="0.25">
      <c r="A96" s="73"/>
      <c r="B96" s="1" t="s">
        <v>31</v>
      </c>
      <c r="C96" t="s">
        <v>1055</v>
      </c>
      <c r="D96" t="s">
        <v>2522</v>
      </c>
    </row>
    <row r="97" spans="1:4" x14ac:dyDescent="0.25">
      <c r="A97" s="73"/>
      <c r="B97" s="1" t="s">
        <v>737</v>
      </c>
      <c r="C97" t="s">
        <v>2467</v>
      </c>
      <c r="D97" t="s">
        <v>2515</v>
      </c>
    </row>
    <row r="98" spans="1:4" x14ac:dyDescent="0.25">
      <c r="A98" s="73">
        <v>11</v>
      </c>
      <c r="B98" s="1" t="s">
        <v>34</v>
      </c>
      <c r="C98" t="s">
        <v>1056</v>
      </c>
      <c r="D98" t="s">
        <v>2520</v>
      </c>
    </row>
    <row r="99" spans="1:4" x14ac:dyDescent="0.25">
      <c r="A99" s="73"/>
      <c r="B99" s="1" t="s">
        <v>33</v>
      </c>
      <c r="C99" t="s">
        <v>89</v>
      </c>
      <c r="D99" t="s">
        <v>2520</v>
      </c>
    </row>
    <row r="100" spans="1:4" x14ac:dyDescent="0.25">
      <c r="A100" s="73"/>
      <c r="B100" s="1" t="s">
        <v>791</v>
      </c>
      <c r="C100" t="s">
        <v>2468</v>
      </c>
      <c r="D100" t="s">
        <v>2515</v>
      </c>
    </row>
    <row r="101" spans="1:4" ht="16.5" customHeight="1" x14ac:dyDescent="0.25">
      <c r="A101" s="73">
        <v>12</v>
      </c>
      <c r="B101" s="1" t="s">
        <v>26</v>
      </c>
      <c r="C101" s="43" t="s">
        <v>4472</v>
      </c>
      <c r="D101" t="s">
        <v>2523</v>
      </c>
    </row>
    <row r="102" spans="1:4" x14ac:dyDescent="0.25">
      <c r="A102" s="73"/>
      <c r="B102" s="1" t="s">
        <v>25</v>
      </c>
      <c r="C102" t="s">
        <v>2469</v>
      </c>
      <c r="D102" t="s">
        <v>2523</v>
      </c>
    </row>
    <row r="103" spans="1:4" x14ac:dyDescent="0.25">
      <c r="A103" s="73"/>
      <c r="B103" s="1" t="s">
        <v>736</v>
      </c>
      <c r="C103" t="s">
        <v>2470</v>
      </c>
      <c r="D103" t="s">
        <v>2515</v>
      </c>
    </row>
    <row r="104" spans="1:4" x14ac:dyDescent="0.25">
      <c r="A104" s="73">
        <v>13</v>
      </c>
      <c r="B104" s="1" t="s">
        <v>884</v>
      </c>
      <c r="C104" t="s">
        <v>887</v>
      </c>
      <c r="D104" t="s">
        <v>2524</v>
      </c>
    </row>
    <row r="105" spans="1:4" x14ac:dyDescent="0.25">
      <c r="A105" s="73"/>
      <c r="B105" s="1" t="s">
        <v>885</v>
      </c>
      <c r="C105" t="s">
        <v>888</v>
      </c>
      <c r="D105" t="s">
        <v>2524</v>
      </c>
    </row>
    <row r="106" spans="1:4" x14ac:dyDescent="0.25">
      <c r="A106" s="73"/>
      <c r="B106" s="1" t="s">
        <v>886</v>
      </c>
      <c r="C106" t="s">
        <v>2471</v>
      </c>
      <c r="D106" t="s">
        <v>2515</v>
      </c>
    </row>
    <row r="107" spans="1:4" x14ac:dyDescent="0.25">
      <c r="A107" s="73">
        <v>14</v>
      </c>
      <c r="B107" s="1" t="s">
        <v>28</v>
      </c>
      <c r="C107" t="s">
        <v>4471</v>
      </c>
      <c r="D107" t="s">
        <v>2525</v>
      </c>
    </row>
    <row r="108" spans="1:4" x14ac:dyDescent="0.25">
      <c r="A108" s="73"/>
      <c r="B108" s="1" t="s">
        <v>27</v>
      </c>
      <c r="C108" t="s">
        <v>828</v>
      </c>
      <c r="D108" t="s">
        <v>2525</v>
      </c>
    </row>
    <row r="109" spans="1:4" x14ac:dyDescent="0.25">
      <c r="A109" s="73"/>
      <c r="B109" s="1" t="s">
        <v>789</v>
      </c>
      <c r="C109" t="s">
        <v>2472</v>
      </c>
      <c r="D109" t="s">
        <v>2515</v>
      </c>
    </row>
    <row r="110" spans="1:4" x14ac:dyDescent="0.25">
      <c r="A110" s="73">
        <v>15</v>
      </c>
      <c r="B110" s="1" t="s">
        <v>40</v>
      </c>
      <c r="C110" t="s">
        <v>826</v>
      </c>
      <c r="D110" t="s">
        <v>2526</v>
      </c>
    </row>
    <row r="111" spans="1:4" x14ac:dyDescent="0.25">
      <c r="A111" s="73"/>
      <c r="B111" s="1" t="s">
        <v>39</v>
      </c>
      <c r="C111" t="s">
        <v>827</v>
      </c>
      <c r="D111" t="s">
        <v>2526</v>
      </c>
    </row>
    <row r="112" spans="1:4" x14ac:dyDescent="0.25">
      <c r="A112" s="73"/>
      <c r="B112" s="1" t="s">
        <v>738</v>
      </c>
      <c r="C112" t="s">
        <v>2473</v>
      </c>
      <c r="D112" t="s">
        <v>2515</v>
      </c>
    </row>
    <row r="113" spans="1:4" x14ac:dyDescent="0.25">
      <c r="A113" s="73">
        <v>16</v>
      </c>
      <c r="B113" s="1" t="s">
        <v>1750</v>
      </c>
      <c r="C113" t="s">
        <v>108</v>
      </c>
      <c r="D113" t="s">
        <v>2527</v>
      </c>
    </row>
    <row r="114" spans="1:4" x14ac:dyDescent="0.25">
      <c r="A114" s="73"/>
      <c r="B114" s="1" t="s">
        <v>1751</v>
      </c>
      <c r="C114" t="s">
        <v>107</v>
      </c>
      <c r="D114" t="s">
        <v>2527</v>
      </c>
    </row>
    <row r="115" spans="1:4" x14ac:dyDescent="0.25">
      <c r="A115" s="73"/>
      <c r="B115" s="1" t="s">
        <v>1754</v>
      </c>
      <c r="C115" t="s">
        <v>2474</v>
      </c>
      <c r="D115" t="s">
        <v>2515</v>
      </c>
    </row>
    <row r="116" spans="1:4" x14ac:dyDescent="0.25">
      <c r="A116" s="73">
        <v>17</v>
      </c>
      <c r="B116" s="1" t="s">
        <v>981</v>
      </c>
      <c r="C116" t="s">
        <v>984</v>
      </c>
      <c r="D116" t="s">
        <v>2528</v>
      </c>
    </row>
    <row r="117" spans="1:4" x14ac:dyDescent="0.25">
      <c r="A117" s="73"/>
      <c r="B117" s="1" t="s">
        <v>982</v>
      </c>
      <c r="C117" t="s">
        <v>985</v>
      </c>
      <c r="D117" t="s">
        <v>2528</v>
      </c>
    </row>
    <row r="118" spans="1:4" x14ac:dyDescent="0.25">
      <c r="A118" s="73"/>
      <c r="B118" s="1" t="s">
        <v>983</v>
      </c>
      <c r="C118" t="s">
        <v>986</v>
      </c>
      <c r="D118" t="s">
        <v>2515</v>
      </c>
    </row>
    <row r="119" spans="1:4" x14ac:dyDescent="0.25">
      <c r="A119" s="73">
        <v>18</v>
      </c>
      <c r="B119" s="1" t="s">
        <v>1459</v>
      </c>
      <c r="C119" t="s">
        <v>2476</v>
      </c>
      <c r="D119" t="s">
        <v>2529</v>
      </c>
    </row>
    <row r="120" spans="1:4" x14ac:dyDescent="0.25">
      <c r="A120" s="73"/>
      <c r="B120" s="1" t="s">
        <v>2475</v>
      </c>
      <c r="C120" t="s">
        <v>2477</v>
      </c>
      <c r="D120" t="s">
        <v>2529</v>
      </c>
    </row>
    <row r="121" spans="1:4" x14ac:dyDescent="0.25">
      <c r="A121" s="73"/>
      <c r="B121" s="1" t="s">
        <v>1461</v>
      </c>
      <c r="C121" t="s">
        <v>2478</v>
      </c>
      <c r="D121" t="s">
        <v>2515</v>
      </c>
    </row>
    <row r="122" spans="1:4" x14ac:dyDescent="0.25">
      <c r="A122" s="73">
        <v>19</v>
      </c>
      <c r="B122" s="1" t="s">
        <v>1462</v>
      </c>
      <c r="C122" t="s">
        <v>4606</v>
      </c>
      <c r="D122" t="s">
        <v>862</v>
      </c>
    </row>
    <row r="123" spans="1:4" x14ac:dyDescent="0.25">
      <c r="A123" s="73"/>
      <c r="B123" s="1" t="s">
        <v>1463</v>
      </c>
      <c r="C123" t="s">
        <v>4607</v>
      </c>
      <c r="D123" t="s">
        <v>862</v>
      </c>
    </row>
    <row r="124" spans="1:4" x14ac:dyDescent="0.25">
      <c r="A124" s="73"/>
      <c r="B124" s="1" t="s">
        <v>1460</v>
      </c>
      <c r="C124" t="s">
        <v>4608</v>
      </c>
      <c r="D124" t="s">
        <v>2515</v>
      </c>
    </row>
    <row r="125" spans="1:4" x14ac:dyDescent="0.25">
      <c r="A125" s="73">
        <v>20</v>
      </c>
      <c r="B125" s="1" t="s">
        <v>59</v>
      </c>
      <c r="C125" t="s">
        <v>63</v>
      </c>
      <c r="D125" t="s">
        <v>2431</v>
      </c>
    </row>
    <row r="126" spans="1:4" x14ac:dyDescent="0.25">
      <c r="A126" s="73"/>
      <c r="B126" s="1" t="s">
        <v>60</v>
      </c>
      <c r="C126" t="s">
        <v>64</v>
      </c>
      <c r="D126" t="s">
        <v>2431</v>
      </c>
    </row>
    <row r="127" spans="1:4" x14ac:dyDescent="0.25">
      <c r="A127" s="73"/>
      <c r="B127" s="1" t="s">
        <v>793</v>
      </c>
      <c r="C127" t="s">
        <v>2479</v>
      </c>
      <c r="D127" t="s">
        <v>2517</v>
      </c>
    </row>
    <row r="128" spans="1:4" x14ac:dyDescent="0.25">
      <c r="A128" s="73">
        <v>21</v>
      </c>
      <c r="B128" s="1" t="s">
        <v>61</v>
      </c>
      <c r="C128" t="s">
        <v>2481</v>
      </c>
      <c r="D128" t="s">
        <v>2530</v>
      </c>
    </row>
    <row r="129" spans="1:8" x14ac:dyDescent="0.25">
      <c r="A129" s="73"/>
      <c r="B129" s="1" t="s">
        <v>62</v>
      </c>
      <c r="C129" t="s">
        <v>2480</v>
      </c>
      <c r="D129" t="s">
        <v>2530</v>
      </c>
    </row>
    <row r="130" spans="1:8" x14ac:dyDescent="0.25">
      <c r="A130" s="73"/>
      <c r="B130" s="1" t="s">
        <v>794</v>
      </c>
      <c r="C130" t="s">
        <v>2482</v>
      </c>
      <c r="D130" t="s">
        <v>2515</v>
      </c>
    </row>
    <row r="131" spans="1:8" ht="15.75" customHeight="1" x14ac:dyDescent="0.25">
      <c r="A131" s="73">
        <v>22</v>
      </c>
      <c r="B131" s="1" t="s">
        <v>38</v>
      </c>
      <c r="C131" s="43" t="s">
        <v>4470</v>
      </c>
      <c r="D131" t="s">
        <v>2531</v>
      </c>
      <c r="E131" s="1">
        <f>1/3*100</f>
        <v>33.333333333333329</v>
      </c>
      <c r="F131" s="1">
        <f>15*100</f>
        <v>1500</v>
      </c>
      <c r="G131" s="1" t="s">
        <v>824</v>
      </c>
      <c r="H131" s="1"/>
    </row>
    <row r="132" spans="1:8" x14ac:dyDescent="0.25">
      <c r="A132" s="73"/>
      <c r="B132" s="1" t="s">
        <v>37</v>
      </c>
      <c r="C132" t="s">
        <v>58</v>
      </c>
      <c r="D132" t="s">
        <v>2531</v>
      </c>
    </row>
    <row r="133" spans="1:8" x14ac:dyDescent="0.25">
      <c r="A133" s="73"/>
      <c r="B133" s="1" t="s">
        <v>792</v>
      </c>
      <c r="C133" t="s">
        <v>2483</v>
      </c>
      <c r="D133" t="s">
        <v>2515</v>
      </c>
    </row>
    <row r="134" spans="1:8" x14ac:dyDescent="0.25">
      <c r="A134" s="74">
        <v>23</v>
      </c>
      <c r="B134" s="1" t="s">
        <v>146</v>
      </c>
      <c r="C134" t="s">
        <v>148</v>
      </c>
      <c r="D134" t="s">
        <v>2532</v>
      </c>
    </row>
    <row r="135" spans="1:8" x14ac:dyDescent="0.25">
      <c r="A135" s="74"/>
      <c r="B135" s="1" t="s">
        <v>145</v>
      </c>
      <c r="C135" t="s">
        <v>147</v>
      </c>
      <c r="D135" t="s">
        <v>2532</v>
      </c>
    </row>
    <row r="136" spans="1:8" x14ac:dyDescent="0.25">
      <c r="A136" s="74"/>
      <c r="B136" s="1" t="s">
        <v>795</v>
      </c>
      <c r="C136" t="s">
        <v>2484</v>
      </c>
      <c r="D136" t="s">
        <v>2515</v>
      </c>
    </row>
    <row r="137" spans="1:8" x14ac:dyDescent="0.25">
      <c r="A137" s="74">
        <v>24</v>
      </c>
      <c r="B137" s="1" t="s">
        <v>342</v>
      </c>
      <c r="C137" t="s">
        <v>2485</v>
      </c>
      <c r="D137" t="s">
        <v>2519</v>
      </c>
    </row>
    <row r="138" spans="1:8" x14ac:dyDescent="0.25">
      <c r="A138" s="74"/>
      <c r="B138" s="1" t="s">
        <v>341</v>
      </c>
      <c r="C138" t="s">
        <v>2486</v>
      </c>
      <c r="D138" t="s">
        <v>2519</v>
      </c>
    </row>
    <row r="139" spans="1:8" x14ac:dyDescent="0.25">
      <c r="A139" s="74"/>
      <c r="B139" s="1" t="s">
        <v>796</v>
      </c>
      <c r="C139" t="s">
        <v>2487</v>
      </c>
      <c r="D139" t="s">
        <v>2515</v>
      </c>
    </row>
    <row r="140" spans="1:8" x14ac:dyDescent="0.25">
      <c r="A140" s="74">
        <v>25</v>
      </c>
      <c r="B140" s="1" t="s">
        <v>1651</v>
      </c>
      <c r="C140" t="s">
        <v>2489</v>
      </c>
      <c r="D140" t="s">
        <v>2533</v>
      </c>
    </row>
    <row r="141" spans="1:8" x14ac:dyDescent="0.25">
      <c r="A141" s="74"/>
      <c r="B141" s="1" t="s">
        <v>1652</v>
      </c>
      <c r="C141" t="s">
        <v>2490</v>
      </c>
      <c r="D141" t="s">
        <v>2533</v>
      </c>
    </row>
    <row r="142" spans="1:8" x14ac:dyDescent="0.25">
      <c r="A142" s="74"/>
      <c r="B142" s="1" t="s">
        <v>1653</v>
      </c>
      <c r="C142" t="s">
        <v>2488</v>
      </c>
      <c r="D142" t="s">
        <v>2515</v>
      </c>
    </row>
    <row r="143" spans="1:8" x14ac:dyDescent="0.25">
      <c r="A143" s="74">
        <v>26</v>
      </c>
      <c r="B143" s="1" t="s">
        <v>1668</v>
      </c>
      <c r="C143" t="s">
        <v>6345</v>
      </c>
      <c r="D143" t="s">
        <v>2519</v>
      </c>
    </row>
    <row r="144" spans="1:8" x14ac:dyDescent="0.25">
      <c r="A144" s="74"/>
      <c r="B144" s="1" t="s">
        <v>1669</v>
      </c>
      <c r="C144" t="s">
        <v>2491</v>
      </c>
      <c r="D144" t="s">
        <v>2519</v>
      </c>
    </row>
    <row r="145" spans="1:5" x14ac:dyDescent="0.25">
      <c r="A145" s="74"/>
      <c r="B145" s="1" t="s">
        <v>1670</v>
      </c>
      <c r="C145" t="s">
        <v>2492</v>
      </c>
      <c r="D145" t="s">
        <v>2515</v>
      </c>
    </row>
    <row r="146" spans="1:5" x14ac:dyDescent="0.25">
      <c r="A146" s="74">
        <v>27</v>
      </c>
      <c r="B146" s="1" t="s">
        <v>1654</v>
      </c>
      <c r="C146" t="s">
        <v>2493</v>
      </c>
      <c r="D146" t="s">
        <v>2519</v>
      </c>
    </row>
    <row r="147" spans="1:5" x14ac:dyDescent="0.25">
      <c r="A147" s="74"/>
      <c r="B147" s="1" t="s">
        <v>1655</v>
      </c>
      <c r="C147" t="s">
        <v>2494</v>
      </c>
      <c r="D147" t="s">
        <v>2519</v>
      </c>
    </row>
    <row r="148" spans="1:5" x14ac:dyDescent="0.25">
      <c r="A148" s="74"/>
      <c r="B148" s="1" t="s">
        <v>1656</v>
      </c>
      <c r="C148" t="s">
        <v>2495</v>
      </c>
      <c r="D148" t="s">
        <v>2515</v>
      </c>
    </row>
    <row r="149" spans="1:5" x14ac:dyDescent="0.25">
      <c r="A149" s="74">
        <v>28</v>
      </c>
      <c r="B149" s="1" t="s">
        <v>1671</v>
      </c>
      <c r="C149" t="s">
        <v>2496</v>
      </c>
      <c r="D149" t="s">
        <v>2534</v>
      </c>
    </row>
    <row r="150" spans="1:5" x14ac:dyDescent="0.25">
      <c r="A150" s="74"/>
      <c r="B150" s="1" t="s">
        <v>1672</v>
      </c>
      <c r="C150" t="s">
        <v>2497</v>
      </c>
      <c r="D150" t="s">
        <v>2534</v>
      </c>
    </row>
    <row r="151" spans="1:5" x14ac:dyDescent="0.25">
      <c r="A151" s="74"/>
      <c r="B151" s="1" t="s">
        <v>1673</v>
      </c>
      <c r="C151" t="s">
        <v>2498</v>
      </c>
      <c r="D151" t="s">
        <v>2515</v>
      </c>
    </row>
    <row r="152" spans="1:5" x14ac:dyDescent="0.25">
      <c r="A152" s="74">
        <v>29</v>
      </c>
      <c r="B152" s="1" t="s">
        <v>1691</v>
      </c>
      <c r="C152" t="s">
        <v>2499</v>
      </c>
      <c r="D152" t="s">
        <v>2519</v>
      </c>
    </row>
    <row r="153" spans="1:5" x14ac:dyDescent="0.25">
      <c r="A153" s="74"/>
      <c r="B153" s="1" t="s">
        <v>1692</v>
      </c>
      <c r="C153" t="s">
        <v>2500</v>
      </c>
      <c r="D153" t="s">
        <v>2519</v>
      </c>
    </row>
    <row r="154" spans="1:5" x14ac:dyDescent="0.25">
      <c r="A154" s="74"/>
      <c r="B154" s="1" t="s">
        <v>1693</v>
      </c>
      <c r="C154" t="s">
        <v>2501</v>
      </c>
      <c r="D154" t="s">
        <v>2515</v>
      </c>
    </row>
    <row r="155" spans="1:5" x14ac:dyDescent="0.25">
      <c r="A155" s="74">
        <v>30</v>
      </c>
      <c r="B155" s="1" t="s">
        <v>93</v>
      </c>
      <c r="C155" t="s">
        <v>1622</v>
      </c>
      <c r="D155" t="s">
        <v>2535</v>
      </c>
      <c r="E155" t="s">
        <v>4473</v>
      </c>
    </row>
    <row r="156" spans="1:5" x14ac:dyDescent="0.25">
      <c r="A156" s="74"/>
      <c r="B156" s="1" t="s">
        <v>92</v>
      </c>
      <c r="C156" t="s">
        <v>1623</v>
      </c>
      <c r="D156" t="s">
        <v>2535</v>
      </c>
    </row>
    <row r="157" spans="1:5" x14ac:dyDescent="0.25">
      <c r="A157" s="74"/>
      <c r="B157" s="1" t="s">
        <v>797</v>
      </c>
      <c r="C157" t="s">
        <v>2502</v>
      </c>
      <c r="D157" t="s">
        <v>2515</v>
      </c>
    </row>
    <row r="158" spans="1:5" x14ac:dyDescent="0.25">
      <c r="A158" s="74">
        <v>31</v>
      </c>
      <c r="B158" s="1" t="s">
        <v>95</v>
      </c>
      <c r="C158" t="s">
        <v>1624</v>
      </c>
      <c r="D158" t="s">
        <v>2536</v>
      </c>
      <c r="E158" t="s">
        <v>4474</v>
      </c>
    </row>
    <row r="159" spans="1:5" x14ac:dyDescent="0.25">
      <c r="A159" s="74"/>
      <c r="B159" s="1" t="s">
        <v>94</v>
      </c>
      <c r="C159" t="s">
        <v>1625</v>
      </c>
      <c r="D159" t="s">
        <v>2536</v>
      </c>
    </row>
    <row r="160" spans="1:5" x14ac:dyDescent="0.25">
      <c r="A160" s="74"/>
      <c r="B160" s="1" t="s">
        <v>801</v>
      </c>
      <c r="C160" t="s">
        <v>2503</v>
      </c>
      <c r="D160" t="s">
        <v>2515</v>
      </c>
    </row>
    <row r="161" spans="1:4" x14ac:dyDescent="0.25">
      <c r="A161" s="74">
        <v>32</v>
      </c>
      <c r="B161" s="1" t="s">
        <v>1326</v>
      </c>
      <c r="C161" t="s">
        <v>1334</v>
      </c>
      <c r="D161" t="s">
        <v>3636</v>
      </c>
    </row>
    <row r="162" spans="1:4" x14ac:dyDescent="0.25">
      <c r="A162" s="74"/>
      <c r="B162" s="1" t="s">
        <v>1327</v>
      </c>
      <c r="C162" t="s">
        <v>1335</v>
      </c>
      <c r="D162" t="s">
        <v>3636</v>
      </c>
    </row>
    <row r="163" spans="1:4" x14ac:dyDescent="0.25">
      <c r="A163" s="74"/>
      <c r="B163" s="1" t="s">
        <v>1336</v>
      </c>
      <c r="C163" t="s">
        <v>1337</v>
      </c>
      <c r="D163" t="s">
        <v>2515</v>
      </c>
    </row>
    <row r="164" spans="1:4" x14ac:dyDescent="0.25">
      <c r="A164" s="74">
        <v>33</v>
      </c>
      <c r="B164" s="1" t="s">
        <v>97</v>
      </c>
      <c r="C164" t="s">
        <v>102</v>
      </c>
      <c r="D164" t="s">
        <v>2537</v>
      </c>
    </row>
    <row r="165" spans="1:4" x14ac:dyDescent="0.25">
      <c r="A165" s="74"/>
      <c r="B165" s="1" t="s">
        <v>96</v>
      </c>
      <c r="C165" t="s">
        <v>101</v>
      </c>
      <c r="D165" t="s">
        <v>2537</v>
      </c>
    </row>
    <row r="166" spans="1:4" x14ac:dyDescent="0.25">
      <c r="A166" s="74"/>
      <c r="B166" s="1" t="s">
        <v>798</v>
      </c>
      <c r="C166" t="s">
        <v>2504</v>
      </c>
      <c r="D166" t="s">
        <v>2515</v>
      </c>
    </row>
    <row r="167" spans="1:4" x14ac:dyDescent="0.25">
      <c r="A167" s="74">
        <v>34</v>
      </c>
      <c r="B167" s="1" t="s">
        <v>99</v>
      </c>
      <c r="C167" t="s">
        <v>104</v>
      </c>
      <c r="D167" t="s">
        <v>2538</v>
      </c>
    </row>
    <row r="168" spans="1:4" x14ac:dyDescent="0.25">
      <c r="A168" s="74"/>
      <c r="B168" s="1" t="s">
        <v>98</v>
      </c>
      <c r="C168" t="s">
        <v>103</v>
      </c>
      <c r="D168" t="s">
        <v>2538</v>
      </c>
    </row>
    <row r="169" spans="1:4" x14ac:dyDescent="0.25">
      <c r="A169" s="74"/>
      <c r="B169" s="1" t="s">
        <v>799</v>
      </c>
      <c r="C169" t="s">
        <v>2505</v>
      </c>
      <c r="D169" t="s">
        <v>2515</v>
      </c>
    </row>
    <row r="170" spans="1:4" x14ac:dyDescent="0.25">
      <c r="A170" s="74">
        <v>35</v>
      </c>
      <c r="B170" s="1" t="s">
        <v>1328</v>
      </c>
      <c r="C170" t="s">
        <v>2506</v>
      </c>
      <c r="D170" t="s">
        <v>2539</v>
      </c>
    </row>
    <row r="171" spans="1:4" x14ac:dyDescent="0.25">
      <c r="A171" s="74"/>
      <c r="B171" s="1" t="s">
        <v>1329</v>
      </c>
      <c r="C171" t="s">
        <v>2507</v>
      </c>
      <c r="D171" t="s">
        <v>2539</v>
      </c>
    </row>
    <row r="172" spans="1:4" x14ac:dyDescent="0.25">
      <c r="A172" s="74"/>
      <c r="B172" s="1" t="s">
        <v>1338</v>
      </c>
      <c r="C172" t="s">
        <v>1339</v>
      </c>
      <c r="D172" t="s">
        <v>2515</v>
      </c>
    </row>
    <row r="173" spans="1:4" x14ac:dyDescent="0.25">
      <c r="A173" s="74">
        <v>36</v>
      </c>
      <c r="B173" s="1" t="s">
        <v>1330</v>
      </c>
      <c r="C173" t="s">
        <v>1340</v>
      </c>
      <c r="D173" t="s">
        <v>3636</v>
      </c>
    </row>
    <row r="174" spans="1:4" x14ac:dyDescent="0.25">
      <c r="A174" s="74"/>
      <c r="B174" s="1" t="s">
        <v>1331</v>
      </c>
      <c r="C174" t="s">
        <v>1341</v>
      </c>
      <c r="D174" t="s">
        <v>3636</v>
      </c>
    </row>
    <row r="175" spans="1:4" x14ac:dyDescent="0.25">
      <c r="A175" s="74"/>
      <c r="B175" s="1" t="s">
        <v>1342</v>
      </c>
      <c r="C175" t="s">
        <v>1343</v>
      </c>
      <c r="D175" t="s">
        <v>2515</v>
      </c>
    </row>
    <row r="176" spans="1:4" x14ac:dyDescent="0.25">
      <c r="A176" s="74">
        <v>37</v>
      </c>
      <c r="B176" s="1" t="s">
        <v>153</v>
      </c>
      <c r="C176" t="s">
        <v>106</v>
      </c>
      <c r="D176" t="s">
        <v>2520</v>
      </c>
    </row>
    <row r="177" spans="1:4" x14ac:dyDescent="0.25">
      <c r="A177" s="74"/>
      <c r="B177" s="1" t="s">
        <v>100</v>
      </c>
      <c r="C177" t="s">
        <v>105</v>
      </c>
      <c r="D177" t="s">
        <v>2520</v>
      </c>
    </row>
    <row r="178" spans="1:4" x14ac:dyDescent="0.25">
      <c r="A178" s="74"/>
      <c r="B178" s="1" t="s">
        <v>800</v>
      </c>
      <c r="C178" t="s">
        <v>2508</v>
      </c>
      <c r="D178" t="s">
        <v>2515</v>
      </c>
    </row>
    <row r="179" spans="1:4" x14ac:dyDescent="0.25">
      <c r="A179" s="74">
        <v>38</v>
      </c>
      <c r="B179" s="1" t="s">
        <v>1057</v>
      </c>
      <c r="C179" t="s">
        <v>1060</v>
      </c>
      <c r="D179" t="s">
        <v>2520</v>
      </c>
    </row>
    <row r="180" spans="1:4" x14ac:dyDescent="0.25">
      <c r="A180" s="74"/>
      <c r="B180" s="1" t="s">
        <v>1058</v>
      </c>
      <c r="C180" t="s">
        <v>1061</v>
      </c>
      <c r="D180" t="s">
        <v>2520</v>
      </c>
    </row>
    <row r="181" spans="1:4" x14ac:dyDescent="0.25">
      <c r="A181" s="74"/>
      <c r="B181" s="1" t="s">
        <v>1059</v>
      </c>
      <c r="C181" t="s">
        <v>2509</v>
      </c>
      <c r="D181" t="s">
        <v>2515</v>
      </c>
    </row>
    <row r="182" spans="1:4" s="7" customFormat="1" x14ac:dyDescent="0.25">
      <c r="A182" s="74">
        <v>39</v>
      </c>
      <c r="B182" s="8" t="s">
        <v>1115</v>
      </c>
      <c r="C182" s="7" t="s">
        <v>2510</v>
      </c>
      <c r="D182" s="7" t="s">
        <v>1798</v>
      </c>
    </row>
    <row r="183" spans="1:4" x14ac:dyDescent="0.25">
      <c r="A183" s="74">
        <v>40</v>
      </c>
      <c r="B183" s="1" t="s">
        <v>1333</v>
      </c>
      <c r="C183" t="s">
        <v>2511</v>
      </c>
      <c r="D183" s="7" t="s">
        <v>1798</v>
      </c>
    </row>
    <row r="184" spans="1:4" x14ac:dyDescent="0.25">
      <c r="A184" s="74">
        <v>41</v>
      </c>
      <c r="B184" s="1" t="s">
        <v>1332</v>
      </c>
      <c r="C184" t="s">
        <v>2512</v>
      </c>
      <c r="D184" s="7" t="s">
        <v>1798</v>
      </c>
    </row>
    <row r="185" spans="1:4" x14ac:dyDescent="0.25">
      <c r="A185" s="74">
        <v>42</v>
      </c>
      <c r="B185" s="1" t="s">
        <v>1458</v>
      </c>
      <c r="C185" t="s">
        <v>1799</v>
      </c>
      <c r="D185" s="7" t="s">
        <v>1798</v>
      </c>
    </row>
    <row r="186" spans="1:4" x14ac:dyDescent="0.25">
      <c r="A186" s="75" t="s">
        <v>804</v>
      </c>
      <c r="B186" s="1" t="s">
        <v>804</v>
      </c>
      <c r="C186" t="s">
        <v>805</v>
      </c>
    </row>
    <row r="187" spans="1:4" x14ac:dyDescent="0.25">
      <c r="A187" s="75" t="s">
        <v>681</v>
      </c>
      <c r="B187" s="1" t="s">
        <v>681</v>
      </c>
      <c r="C187" t="s">
        <v>689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10" workbookViewId="0">
      <selection activeCell="M18" sqref="M18"/>
    </sheetView>
  </sheetViews>
  <sheetFormatPr defaultColWidth="8.85546875" defaultRowHeight="15" x14ac:dyDescent="0.25"/>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10242" r:id="rId4">
          <objectPr defaultSize="0" r:id="rId5">
            <anchor moveWithCells="1">
              <from>
                <xdr:col>2</xdr:col>
                <xdr:colOff>76200</xdr:colOff>
                <xdr:row>1</xdr:row>
                <xdr:rowOff>114300</xdr:rowOff>
              </from>
              <to>
                <xdr:col>9</xdr:col>
                <xdr:colOff>571500</xdr:colOff>
                <xdr:row>35</xdr:row>
                <xdr:rowOff>38100</xdr:rowOff>
              </to>
            </anchor>
          </objectPr>
        </oleObject>
      </mc:Choice>
      <mc:Fallback>
        <oleObject progId="Visio.Drawing.11" shapeId="10242"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109"/>
  <sheetViews>
    <sheetView topLeftCell="A25" workbookViewId="0">
      <selection activeCell="K40" sqref="K40"/>
    </sheetView>
  </sheetViews>
  <sheetFormatPr defaultColWidth="8.85546875" defaultRowHeight="15" x14ac:dyDescent="0.25"/>
  <cols>
    <col min="2" max="2" width="22.42578125" style="78" customWidth="1"/>
    <col min="3" max="3" width="16" style="78" bestFit="1" customWidth="1"/>
    <col min="4" max="4" width="9.42578125" style="142" bestFit="1" customWidth="1"/>
    <col min="5" max="5" width="12.42578125" style="78" customWidth="1"/>
    <col min="6" max="6" width="10.28515625" style="78" customWidth="1"/>
    <col min="7" max="7" width="13.140625" style="78" customWidth="1"/>
    <col min="8" max="8" width="9.28515625" style="78" bestFit="1" customWidth="1"/>
    <col min="9" max="9" width="15.28515625" style="78" customWidth="1"/>
    <col min="10" max="10" width="10.42578125" style="78" bestFit="1" customWidth="1"/>
    <col min="11" max="11" width="11.42578125" style="78" bestFit="1" customWidth="1"/>
    <col min="12" max="12" width="11.140625" style="78" bestFit="1" customWidth="1"/>
    <col min="13" max="13" width="10.140625" style="78" bestFit="1" customWidth="1"/>
    <col min="14" max="14" width="10.42578125" style="78" bestFit="1" customWidth="1"/>
    <col min="15" max="15" width="9.28515625" style="78" bestFit="1" customWidth="1"/>
    <col min="16" max="19" width="9.140625" style="78"/>
  </cols>
  <sheetData>
    <row r="1" spans="2:8" x14ac:dyDescent="0.25">
      <c r="B1" s="77"/>
      <c r="C1" s="77"/>
      <c r="D1" s="64"/>
      <c r="E1" s="77"/>
      <c r="F1" s="77"/>
      <c r="G1" s="77"/>
      <c r="H1" s="77"/>
    </row>
    <row r="2" spans="2:8" x14ac:dyDescent="0.25">
      <c r="B2" s="77"/>
      <c r="C2" s="77"/>
      <c r="D2" s="64"/>
      <c r="E2" s="77"/>
      <c r="F2" s="77"/>
      <c r="G2" s="77"/>
      <c r="H2" s="77"/>
    </row>
    <row r="3" spans="2:8" x14ac:dyDescent="0.25">
      <c r="B3" s="79" t="s">
        <v>82</v>
      </c>
      <c r="C3" s="77"/>
      <c r="D3" s="64"/>
      <c r="E3" s="77"/>
      <c r="F3" s="77"/>
      <c r="G3" s="77"/>
      <c r="H3" s="77"/>
    </row>
    <row r="4" spans="2:8" x14ac:dyDescent="0.25">
      <c r="B4" s="80" t="s">
        <v>79</v>
      </c>
      <c r="C4" s="80" t="s">
        <v>71</v>
      </c>
      <c r="D4" s="140" t="s">
        <v>72</v>
      </c>
      <c r="E4" s="80" t="s">
        <v>73</v>
      </c>
      <c r="F4" s="80" t="s">
        <v>41</v>
      </c>
      <c r="G4" s="77"/>
      <c r="H4" s="77"/>
    </row>
    <row r="5" spans="2:8" x14ac:dyDescent="0.25">
      <c r="B5" s="5" t="s">
        <v>74</v>
      </c>
      <c r="C5" s="5" t="s">
        <v>75</v>
      </c>
      <c r="D5" s="141">
        <v>1</v>
      </c>
      <c r="E5" s="5" t="s">
        <v>76</v>
      </c>
      <c r="F5" s="77" t="s">
        <v>84</v>
      </c>
      <c r="G5" s="77"/>
      <c r="H5" s="77"/>
    </row>
    <row r="6" spans="2:8" x14ac:dyDescent="0.25">
      <c r="B6" s="5" t="s">
        <v>77</v>
      </c>
      <c r="C6" s="5" t="s">
        <v>75</v>
      </c>
      <c r="D6" s="141">
        <v>1</v>
      </c>
      <c r="E6" s="5" t="s">
        <v>76</v>
      </c>
      <c r="F6" s="77" t="s">
        <v>90</v>
      </c>
      <c r="G6" s="77"/>
      <c r="H6" s="77"/>
    </row>
    <row r="7" spans="2:8" x14ac:dyDescent="0.25">
      <c r="B7" s="5" t="s">
        <v>637</v>
      </c>
      <c r="C7" s="5">
        <f>100/300</f>
        <v>0.33333333333333331</v>
      </c>
      <c r="D7" s="141"/>
      <c r="E7" s="5"/>
      <c r="F7" s="77" t="s">
        <v>679</v>
      </c>
      <c r="G7" s="77" t="s">
        <v>423</v>
      </c>
      <c r="H7" s="77"/>
    </row>
    <row r="8" spans="2:8" x14ac:dyDescent="0.25">
      <c r="B8" s="5"/>
      <c r="C8" s="5"/>
      <c r="D8" s="141"/>
      <c r="E8" s="5"/>
      <c r="F8" s="77"/>
      <c r="G8" s="77"/>
      <c r="H8" s="77"/>
    </row>
    <row r="9" spans="2:8" x14ac:dyDescent="0.25">
      <c r="B9" s="5" t="s">
        <v>182</v>
      </c>
      <c r="C9" s="5"/>
      <c r="D9" s="141"/>
      <c r="E9" s="5"/>
      <c r="F9" s="77"/>
      <c r="G9" s="77"/>
      <c r="H9" s="77"/>
    </row>
    <row r="10" spans="2:8" x14ac:dyDescent="0.25">
      <c r="B10" s="77"/>
      <c r="C10" s="77"/>
      <c r="D10" s="64"/>
      <c r="E10" s="77"/>
      <c r="F10" s="77"/>
      <c r="G10" s="77"/>
      <c r="H10" s="77"/>
    </row>
    <row r="11" spans="2:8" x14ac:dyDescent="0.25">
      <c r="B11" s="77"/>
      <c r="C11" s="77"/>
      <c r="D11" s="64"/>
      <c r="E11" s="77"/>
      <c r="F11" s="77"/>
      <c r="G11" s="77"/>
      <c r="H11" s="77"/>
    </row>
    <row r="12" spans="2:8" x14ac:dyDescent="0.25">
      <c r="B12" s="77"/>
      <c r="C12" s="77"/>
      <c r="D12" s="64"/>
      <c r="E12" s="77"/>
      <c r="F12" s="77"/>
      <c r="G12" s="77"/>
      <c r="H12" s="77"/>
    </row>
    <row r="13" spans="2:8" x14ac:dyDescent="0.25">
      <c r="B13" s="79" t="s">
        <v>83</v>
      </c>
      <c r="C13" s="77"/>
      <c r="D13" s="64"/>
      <c r="E13" s="77"/>
      <c r="F13" s="77"/>
      <c r="G13" s="77"/>
      <c r="H13" s="77"/>
    </row>
    <row r="14" spans="2:8" x14ac:dyDescent="0.25">
      <c r="B14" s="80" t="s">
        <v>79</v>
      </c>
      <c r="C14" s="80" t="s">
        <v>71</v>
      </c>
      <c r="D14" s="140" t="s">
        <v>78</v>
      </c>
      <c r="E14" s="80" t="s">
        <v>74</v>
      </c>
      <c r="F14" s="80" t="s">
        <v>41</v>
      </c>
      <c r="G14" s="77"/>
      <c r="H14" s="77"/>
    </row>
    <row r="15" spans="2:8" x14ac:dyDescent="0.25">
      <c r="B15" s="5" t="s">
        <v>80</v>
      </c>
      <c r="C15" s="5">
        <v>1</v>
      </c>
      <c r="D15" s="141">
        <v>1</v>
      </c>
      <c r="E15" s="5">
        <v>1</v>
      </c>
      <c r="F15" s="77" t="s">
        <v>81</v>
      </c>
      <c r="G15" s="77"/>
      <c r="H15" s="77"/>
    </row>
    <row r="16" spans="2:8" x14ac:dyDescent="0.25">
      <c r="B16" s="5"/>
      <c r="C16" s="5"/>
      <c r="D16" s="141"/>
      <c r="E16" s="5"/>
      <c r="F16" s="77"/>
      <c r="G16" s="77"/>
      <c r="H16" s="77"/>
    </row>
    <row r="17" spans="2:17" x14ac:dyDescent="0.25">
      <c r="B17" s="5"/>
      <c r="C17" s="5"/>
      <c r="D17" s="141"/>
      <c r="E17" s="5"/>
      <c r="F17" s="77"/>
      <c r="G17" s="77"/>
      <c r="H17" s="77"/>
    </row>
    <row r="18" spans="2:17" x14ac:dyDescent="0.25">
      <c r="B18" s="5" t="s">
        <v>85</v>
      </c>
      <c r="C18" s="5"/>
      <c r="D18" s="141"/>
      <c r="E18" s="5"/>
      <c r="F18" s="77"/>
      <c r="G18" s="77"/>
      <c r="H18" s="77"/>
    </row>
    <row r="21" spans="2:17" x14ac:dyDescent="0.25">
      <c r="B21" s="81" t="s">
        <v>1414</v>
      </c>
    </row>
    <row r="22" spans="2:17" x14ac:dyDescent="0.25">
      <c r="B22" s="80" t="s">
        <v>79</v>
      </c>
      <c r="C22" s="80" t="s">
        <v>71</v>
      </c>
      <c r="D22" s="140" t="s">
        <v>78</v>
      </c>
      <c r="E22" s="80" t="s">
        <v>178</v>
      </c>
      <c r="F22" s="80" t="s">
        <v>41</v>
      </c>
      <c r="G22" s="77"/>
      <c r="M22" s="82"/>
      <c r="N22" s="83"/>
      <c r="O22" s="83"/>
      <c r="P22" s="83"/>
      <c r="Q22" s="83"/>
    </row>
    <row r="23" spans="2:17" x14ac:dyDescent="0.25">
      <c r="B23" s="5" t="s">
        <v>177</v>
      </c>
      <c r="C23" s="5">
        <v>10</v>
      </c>
      <c r="D23" s="141">
        <v>1</v>
      </c>
      <c r="E23" s="5">
        <f>C23*D23</f>
        <v>10</v>
      </c>
      <c r="F23" s="77" t="s">
        <v>179</v>
      </c>
      <c r="G23" s="77"/>
      <c r="M23" s="84"/>
      <c r="N23" s="84"/>
      <c r="O23" s="84"/>
      <c r="P23" s="84"/>
      <c r="Q23" s="83"/>
    </row>
    <row r="24" spans="2:17" x14ac:dyDescent="0.25">
      <c r="B24" s="5" t="s">
        <v>180</v>
      </c>
      <c r="C24" s="5">
        <v>1000</v>
      </c>
      <c r="D24" s="141">
        <v>1</v>
      </c>
      <c r="E24" s="5">
        <f>C24*D24</f>
        <v>1000</v>
      </c>
      <c r="F24" s="77" t="s">
        <v>181</v>
      </c>
      <c r="G24" s="77"/>
      <c r="M24" s="85"/>
      <c r="N24" s="85"/>
      <c r="O24" s="85"/>
      <c r="P24" s="85"/>
      <c r="Q24" s="83"/>
    </row>
    <row r="25" spans="2:17" x14ac:dyDescent="0.25">
      <c r="B25" s="5" t="s">
        <v>206</v>
      </c>
      <c r="C25" s="5">
        <v>1000</v>
      </c>
      <c r="D25" s="141">
        <v>1</v>
      </c>
      <c r="E25" s="5">
        <f>C25*D25</f>
        <v>1000</v>
      </c>
      <c r="F25" s="77"/>
      <c r="G25" s="77"/>
      <c r="M25" s="85"/>
      <c r="N25" s="85"/>
      <c r="O25" s="85"/>
      <c r="P25" s="85"/>
      <c r="Q25" s="83"/>
    </row>
    <row r="26" spans="2:17" x14ac:dyDescent="0.25">
      <c r="B26" s="5" t="s">
        <v>1415</v>
      </c>
      <c r="C26" s="5">
        <f>0.4536/0.4047</f>
        <v>1.1208302446256486</v>
      </c>
      <c r="D26" s="141">
        <v>1</v>
      </c>
      <c r="E26" s="5"/>
      <c r="F26" s="77" t="s">
        <v>1416</v>
      </c>
      <c r="G26" s="77"/>
      <c r="H26" s="78" t="s">
        <v>1417</v>
      </c>
      <c r="M26" s="85"/>
      <c r="N26" s="85"/>
      <c r="O26" s="85"/>
      <c r="P26" s="85"/>
      <c r="Q26" s="83"/>
    </row>
    <row r="27" spans="2:17" x14ac:dyDescent="0.25">
      <c r="B27" s="5"/>
      <c r="C27" s="5"/>
      <c r="D27" s="141"/>
      <c r="E27" s="5"/>
      <c r="F27" s="77"/>
      <c r="G27" s="77"/>
      <c r="M27" s="85"/>
      <c r="N27" s="85"/>
      <c r="O27" s="85"/>
      <c r="P27" s="85"/>
      <c r="Q27" s="83"/>
    </row>
    <row r="28" spans="2:17" x14ac:dyDescent="0.25">
      <c r="B28" s="5" t="s">
        <v>182</v>
      </c>
      <c r="C28" s="86"/>
      <c r="D28" s="143"/>
      <c r="E28" s="86"/>
      <c r="M28" s="85"/>
      <c r="N28" s="85"/>
      <c r="O28" s="85"/>
      <c r="P28" s="85"/>
      <c r="Q28" s="83"/>
    </row>
    <row r="29" spans="2:17" x14ac:dyDescent="0.25">
      <c r="B29" s="85"/>
      <c r="C29" s="83"/>
      <c r="D29" s="144"/>
      <c r="E29" s="83"/>
      <c r="M29" s="85"/>
      <c r="N29" s="85"/>
      <c r="O29" s="85"/>
      <c r="P29" s="85"/>
      <c r="Q29" s="83"/>
    </row>
    <row r="30" spans="2:17" x14ac:dyDescent="0.25">
      <c r="B30" s="87"/>
      <c r="M30" s="83"/>
      <c r="N30" s="83"/>
      <c r="O30" s="83"/>
      <c r="P30" s="83"/>
      <c r="Q30" s="83"/>
    </row>
    <row r="32" spans="2:17" x14ac:dyDescent="0.25">
      <c r="B32" s="81" t="s">
        <v>163</v>
      </c>
    </row>
    <row r="33" spans="2:15" x14ac:dyDescent="0.25">
      <c r="B33" s="80" t="s">
        <v>79</v>
      </c>
      <c r="C33" s="80" t="s">
        <v>71</v>
      </c>
      <c r="D33" s="140" t="s">
        <v>78</v>
      </c>
      <c r="E33" s="80" t="s">
        <v>164</v>
      </c>
    </row>
    <row r="34" spans="2:15" x14ac:dyDescent="0.25">
      <c r="B34" s="5" t="s">
        <v>165</v>
      </c>
      <c r="C34" s="148">
        <v>0.1</v>
      </c>
      <c r="D34" s="141">
        <v>1</v>
      </c>
      <c r="E34" s="5">
        <f>D34*C34</f>
        <v>0.1</v>
      </c>
      <c r="F34" s="78" t="s">
        <v>169</v>
      </c>
      <c r="M34" s="78" t="s">
        <v>565</v>
      </c>
      <c r="N34" s="78" t="s">
        <v>566</v>
      </c>
    </row>
    <row r="35" spans="2:15" x14ac:dyDescent="0.25">
      <c r="B35" s="5" t="s">
        <v>206</v>
      </c>
      <c r="C35" s="148">
        <f>1000/1627500*100</f>
        <v>6.1443932411674347E-2</v>
      </c>
      <c r="D35" s="141">
        <v>1</v>
      </c>
      <c r="E35" s="5">
        <f>D35*C35</f>
        <v>6.1443932411674347E-2</v>
      </c>
      <c r="F35" s="78" t="s">
        <v>563</v>
      </c>
      <c r="I35" s="78" t="s">
        <v>266</v>
      </c>
      <c r="M35" s="78">
        <f>(100*100*0.1*1.37)</f>
        <v>1370</v>
      </c>
      <c r="N35" s="78">
        <f>M35*1000</f>
        <v>1370000</v>
      </c>
    </row>
    <row r="36" spans="2:15" x14ac:dyDescent="0.25">
      <c r="B36" s="5" t="s">
        <v>178</v>
      </c>
      <c r="C36" s="148">
        <f>1/N35*100</f>
        <v>7.2992700729927014E-5</v>
      </c>
      <c r="D36" s="141">
        <v>1</v>
      </c>
      <c r="E36" s="5">
        <f t="shared" ref="E36:E37" si="0">D36*C36</f>
        <v>7.2992700729927014E-5</v>
      </c>
      <c r="F36" s="78" t="s">
        <v>564</v>
      </c>
    </row>
    <row r="37" spans="2:15" x14ac:dyDescent="0.25">
      <c r="B37" s="5" t="s">
        <v>873</v>
      </c>
      <c r="C37" s="148">
        <f>1/M35*100</f>
        <v>7.2992700729927001E-2</v>
      </c>
      <c r="D37" s="141">
        <v>1</v>
      </c>
      <c r="E37" s="5">
        <f t="shared" si="0"/>
        <v>7.2992700729927001E-2</v>
      </c>
      <c r="F37" s="78" t="s">
        <v>564</v>
      </c>
      <c r="M37" s="78">
        <f>1/(100*100*0.05*1.35)*100</f>
        <v>0.14814814814814814</v>
      </c>
      <c r="N37" s="78">
        <f>1/(100*100*0.1*1.57)*100</f>
        <v>6.3694267515923567E-2</v>
      </c>
      <c r="O37" s="78">
        <f>1/(100*100*0.15*1.59)*100</f>
        <v>4.1928721174004188E-2</v>
      </c>
    </row>
    <row r="38" spans="2:15" x14ac:dyDescent="0.25">
      <c r="B38" s="5" t="s">
        <v>978</v>
      </c>
      <c r="C38" s="148">
        <v>0.1</v>
      </c>
      <c r="D38" s="141">
        <v>1</v>
      </c>
      <c r="E38" s="5">
        <f>D38*C38</f>
        <v>0.1</v>
      </c>
      <c r="M38" s="78">
        <f>1/(100*100*0.05*1.39)*100</f>
        <v>0.14388489208633093</v>
      </c>
      <c r="N38" s="78">
        <f>1/(100*100*0.1*1.62)*100</f>
        <v>6.1728395061728392E-2</v>
      </c>
      <c r="O38" s="78">
        <f>1/(100*100*0.15*1.57)*100</f>
        <v>4.2462845010615716E-2</v>
      </c>
    </row>
    <row r="39" spans="2:15" x14ac:dyDescent="0.25">
      <c r="B39" s="5" t="s">
        <v>177</v>
      </c>
      <c r="C39" s="148"/>
      <c r="D39" s="141"/>
      <c r="E39" s="5"/>
      <c r="F39" s="78" t="s">
        <v>6839</v>
      </c>
      <c r="G39" s="78" t="s">
        <v>6840</v>
      </c>
      <c r="H39" s="78" t="s">
        <v>6841</v>
      </c>
    </row>
    <row r="40" spans="2:15" x14ac:dyDescent="0.25">
      <c r="B40" s="5" t="s">
        <v>1630</v>
      </c>
      <c r="C40" s="148">
        <f>1/1.72</f>
        <v>0.58139534883720934</v>
      </c>
      <c r="D40" s="141"/>
      <c r="E40" s="5"/>
    </row>
    <row r="41" spans="2:15" x14ac:dyDescent="0.25">
      <c r="B41" s="5" t="s">
        <v>182</v>
      </c>
      <c r="C41" s="86"/>
      <c r="D41" s="143"/>
      <c r="E41" s="86"/>
    </row>
    <row r="43" spans="2:15" x14ac:dyDescent="0.25">
      <c r="B43" s="81" t="s">
        <v>1053</v>
      </c>
      <c r="J43" s="78" t="s">
        <v>1090</v>
      </c>
      <c r="K43" s="78" t="s">
        <v>1091</v>
      </c>
    </row>
    <row r="44" spans="2:15" x14ac:dyDescent="0.25">
      <c r="B44" s="80" t="s">
        <v>79</v>
      </c>
      <c r="C44" s="80" t="s">
        <v>71</v>
      </c>
      <c r="D44" s="140" t="s">
        <v>78</v>
      </c>
      <c r="E44" s="80" t="s">
        <v>244</v>
      </c>
      <c r="I44" s="78" t="s">
        <v>304</v>
      </c>
      <c r="J44" s="78" t="s">
        <v>305</v>
      </c>
      <c r="K44" s="78" t="s">
        <v>305</v>
      </c>
    </row>
    <row r="45" spans="2:15" x14ac:dyDescent="0.25">
      <c r="B45" s="5" t="s">
        <v>178</v>
      </c>
      <c r="C45" s="5">
        <f>1000000/K45</f>
        <v>5.6003584229390682E-2</v>
      </c>
      <c r="D45" s="141">
        <v>1</v>
      </c>
      <c r="E45" s="5">
        <f>D45*C45</f>
        <v>5.6003584229390682E-2</v>
      </c>
      <c r="I45" s="78">
        <f>100*100*0.6*1.5</f>
        <v>9000</v>
      </c>
      <c r="J45" s="78">
        <f>I45*1000</f>
        <v>9000000</v>
      </c>
      <c r="K45" s="78">
        <f>100*100*1.2*1.488*1000</f>
        <v>17856000</v>
      </c>
    </row>
    <row r="46" spans="2:15" x14ac:dyDescent="0.25">
      <c r="B46" s="5" t="s">
        <v>164</v>
      </c>
      <c r="C46" s="5">
        <v>10000</v>
      </c>
      <c r="D46" s="141">
        <v>1</v>
      </c>
      <c r="E46" s="5">
        <f t="shared" ref="E46:E47" si="1">D46*C46</f>
        <v>10000</v>
      </c>
      <c r="F46" s="78" t="s">
        <v>321</v>
      </c>
      <c r="G46" s="78" t="s">
        <v>322</v>
      </c>
      <c r="H46" s="78" t="s">
        <v>323</v>
      </c>
    </row>
    <row r="47" spans="2:15" x14ac:dyDescent="0.25">
      <c r="B47" s="5" t="s">
        <v>165</v>
      </c>
      <c r="C47" s="5">
        <v>1000</v>
      </c>
      <c r="D47" s="141">
        <v>1</v>
      </c>
      <c r="E47" s="5">
        <f t="shared" si="1"/>
        <v>1000</v>
      </c>
    </row>
    <row r="48" spans="2:15" x14ac:dyDescent="0.25">
      <c r="B48" s="5" t="s">
        <v>325</v>
      </c>
      <c r="C48" s="5">
        <v>1</v>
      </c>
      <c r="D48" s="141">
        <v>1</v>
      </c>
      <c r="E48" s="5">
        <f t="shared" ref="E48" si="2">D48*C48</f>
        <v>1</v>
      </c>
      <c r="F48" s="78" t="s">
        <v>326</v>
      </c>
    </row>
    <row r="49" spans="2:14" x14ac:dyDescent="0.25">
      <c r="B49" s="5" t="s">
        <v>360</v>
      </c>
      <c r="C49" s="5">
        <v>1</v>
      </c>
      <c r="D49" s="141">
        <v>1</v>
      </c>
      <c r="E49" s="5">
        <f t="shared" ref="E49" si="3">D49*C49</f>
        <v>1</v>
      </c>
    </row>
    <row r="50" spans="2:14" x14ac:dyDescent="0.25">
      <c r="B50" s="5" t="s">
        <v>177</v>
      </c>
      <c r="C50" s="5">
        <f>1000/G50</f>
        <v>1.5220700152207001</v>
      </c>
      <c r="D50" s="141">
        <v>1</v>
      </c>
      <c r="E50" s="5">
        <f t="shared" ref="E50" si="4">D50*C50</f>
        <v>1.5220700152207001</v>
      </c>
      <c r="F50" s="78" t="s">
        <v>1042</v>
      </c>
      <c r="G50" s="78">
        <f>1.46*100*100*45/1000</f>
        <v>657</v>
      </c>
      <c r="I50" s="81" t="s">
        <v>1040</v>
      </c>
    </row>
    <row r="51" spans="2:14" x14ac:dyDescent="0.25">
      <c r="B51" s="5" t="s">
        <v>182</v>
      </c>
      <c r="C51" s="86"/>
      <c r="D51" s="143"/>
      <c r="E51" s="86"/>
    </row>
    <row r="53" spans="2:14" x14ac:dyDescent="0.25">
      <c r="B53" s="81" t="s">
        <v>243</v>
      </c>
    </row>
    <row r="54" spans="2:14" x14ac:dyDescent="0.25">
      <c r="B54" s="80" t="s">
        <v>193</v>
      </c>
      <c r="C54" s="80" t="s">
        <v>71</v>
      </c>
      <c r="D54" s="140" t="s">
        <v>78</v>
      </c>
      <c r="E54" s="80" t="s">
        <v>194</v>
      </c>
    </row>
    <row r="55" spans="2:14" x14ac:dyDescent="0.25">
      <c r="B55" s="5" t="s">
        <v>625</v>
      </c>
      <c r="C55" s="5">
        <f>1/22.7273</f>
        <v>4.3999947200063359E-2</v>
      </c>
      <c r="D55" s="141">
        <v>1</v>
      </c>
      <c r="E55" s="5">
        <f>D55*C55</f>
        <v>4.3999947200063359E-2</v>
      </c>
      <c r="F55" s="78" t="s">
        <v>195</v>
      </c>
      <c r="G55" s="78" t="s">
        <v>626</v>
      </c>
      <c r="I55" s="78">
        <f>1/1000000*44*1000</f>
        <v>4.3999999999999997E-2</v>
      </c>
    </row>
    <row r="56" spans="2:14" x14ac:dyDescent="0.25">
      <c r="B56" s="5" t="s">
        <v>242</v>
      </c>
      <c r="C56" s="5">
        <v>4.3999999999999997E-2</v>
      </c>
      <c r="D56" s="141">
        <v>1</v>
      </c>
      <c r="E56" s="5">
        <f t="shared" ref="E56:E58" si="5">D56*C56</f>
        <v>4.3999999999999997E-2</v>
      </c>
      <c r="F56" s="78" t="s">
        <v>627</v>
      </c>
      <c r="I56" s="78">
        <f>1/1000000000*44*1000*1000</f>
        <v>4.4000000000000004E-2</v>
      </c>
    </row>
    <row r="57" spans="2:14" x14ac:dyDescent="0.25">
      <c r="B57" s="5" t="s">
        <v>262</v>
      </c>
      <c r="C57" s="5">
        <f>1000000/L57</f>
        <v>0.61443932411674351</v>
      </c>
      <c r="D57" s="141">
        <v>1</v>
      </c>
      <c r="E57" s="5">
        <f t="shared" si="5"/>
        <v>0.61443932411674351</v>
      </c>
      <c r="F57" s="78" t="s">
        <v>265</v>
      </c>
      <c r="H57" s="78" t="s">
        <v>271</v>
      </c>
      <c r="L57" s="78">
        <f>100*100*0.15*1.085*1000</f>
        <v>1627500</v>
      </c>
      <c r="N57" s="81" t="s">
        <v>307</v>
      </c>
    </row>
    <row r="58" spans="2:14" x14ac:dyDescent="0.25">
      <c r="B58" s="5" t="s">
        <v>311</v>
      </c>
      <c r="C58" s="5">
        <f>1/1000000*1000*1000</f>
        <v>1</v>
      </c>
      <c r="D58" s="141">
        <v>1</v>
      </c>
      <c r="E58" s="5">
        <f t="shared" si="5"/>
        <v>1</v>
      </c>
    </row>
    <row r="59" spans="2:14" x14ac:dyDescent="0.25">
      <c r="B59" s="5"/>
      <c r="C59" s="5"/>
      <c r="D59" s="141"/>
      <c r="E59" s="5"/>
    </row>
    <row r="60" spans="2:14" x14ac:dyDescent="0.25">
      <c r="B60" s="5" t="s">
        <v>182</v>
      </c>
      <c r="C60" s="86"/>
      <c r="D60" s="143"/>
      <c r="E60" s="86"/>
    </row>
    <row r="62" spans="2:14" x14ac:dyDescent="0.25">
      <c r="B62" s="81" t="s">
        <v>1116</v>
      </c>
    </row>
    <row r="63" spans="2:14" x14ac:dyDescent="0.25">
      <c r="B63" s="80" t="s">
        <v>193</v>
      </c>
      <c r="C63" s="80" t="s">
        <v>71</v>
      </c>
      <c r="D63" s="140" t="s">
        <v>78</v>
      </c>
      <c r="E63" s="80" t="s">
        <v>244</v>
      </c>
    </row>
    <row r="64" spans="2:14" x14ac:dyDescent="0.25">
      <c r="B64" s="5" t="s">
        <v>242</v>
      </c>
      <c r="C64" s="5">
        <f>1/1000000000*12*1000*1000</f>
        <v>1.2000000000000002E-2</v>
      </c>
      <c r="D64" s="141">
        <v>1</v>
      </c>
      <c r="E64" s="5">
        <f>C64*D64</f>
        <v>1.2000000000000002E-2</v>
      </c>
      <c r="F64" s="78" t="s">
        <v>620</v>
      </c>
      <c r="I64" s="78" t="s">
        <v>621</v>
      </c>
      <c r="J64" s="88" t="s">
        <v>623</v>
      </c>
    </row>
    <row r="65" spans="2:10" x14ac:dyDescent="0.25">
      <c r="B65" s="5" t="s">
        <v>617</v>
      </c>
      <c r="C65" s="5">
        <f>0.01*12*1000</f>
        <v>120</v>
      </c>
      <c r="D65" s="141">
        <v>1</v>
      </c>
      <c r="E65" s="5">
        <f>C65*D65</f>
        <v>120</v>
      </c>
      <c r="F65" s="78" t="s">
        <v>622</v>
      </c>
      <c r="J65" s="78" t="s">
        <v>619</v>
      </c>
    </row>
    <row r="66" spans="2:10" x14ac:dyDescent="0.25">
      <c r="B66" s="5" t="s">
        <v>178</v>
      </c>
      <c r="C66" s="5">
        <f>1000000/1627500</f>
        <v>0.61443932411674351</v>
      </c>
      <c r="D66" s="141">
        <v>1</v>
      </c>
      <c r="E66" s="5">
        <f>D66*C66</f>
        <v>0.61443932411674351</v>
      </c>
      <c r="F66" s="78" t="s">
        <v>307</v>
      </c>
      <c r="G66" s="78" t="s">
        <v>624</v>
      </c>
      <c r="H66" s="78">
        <f>100*100*0.15*1.085</f>
        <v>1627.5</v>
      </c>
    </row>
    <row r="67" spans="2:10" x14ac:dyDescent="0.25">
      <c r="B67" s="5" t="s">
        <v>164</v>
      </c>
      <c r="C67" s="5">
        <f>1000000/100</f>
        <v>10000</v>
      </c>
      <c r="D67" s="141">
        <v>1</v>
      </c>
      <c r="E67" s="5">
        <f>D67*C67</f>
        <v>10000</v>
      </c>
    </row>
    <row r="68" spans="2:10" x14ac:dyDescent="0.25">
      <c r="B68" s="5" t="s">
        <v>182</v>
      </c>
      <c r="C68" s="86"/>
      <c r="D68" s="143"/>
      <c r="E68" s="86"/>
    </row>
    <row r="71" spans="2:10" x14ac:dyDescent="0.25">
      <c r="B71" s="81" t="s">
        <v>682</v>
      </c>
    </row>
    <row r="72" spans="2:10" x14ac:dyDescent="0.25">
      <c r="B72" s="80" t="s">
        <v>193</v>
      </c>
      <c r="C72" s="80" t="s">
        <v>71</v>
      </c>
      <c r="D72" s="140" t="s">
        <v>78</v>
      </c>
      <c r="E72" s="80" t="s">
        <v>631</v>
      </c>
    </row>
    <row r="73" spans="2:10" x14ac:dyDescent="0.25">
      <c r="B73" s="5" t="s">
        <v>242</v>
      </c>
      <c r="C73" s="5">
        <f>1/1000000000*12*1000*1000</f>
        <v>1.2000000000000002E-2</v>
      </c>
      <c r="D73" s="141">
        <v>1</v>
      </c>
      <c r="E73" s="5">
        <f>C73*D73</f>
        <v>1.2000000000000002E-2</v>
      </c>
      <c r="G73" s="78">
        <f>1/1000000000*12*1000000</f>
        <v>1.2000000000000002E-2</v>
      </c>
    </row>
    <row r="74" spans="2:10" x14ac:dyDescent="0.25">
      <c r="B74" s="5" t="s">
        <v>1007</v>
      </c>
      <c r="C74" s="5">
        <f>C73/1000</f>
        <v>1.2000000000000002E-5</v>
      </c>
      <c r="D74" s="141"/>
      <c r="E74" s="5"/>
    </row>
    <row r="75" spans="2:10" x14ac:dyDescent="0.25">
      <c r="B75" s="5"/>
      <c r="C75" s="5"/>
      <c r="D75" s="141"/>
      <c r="E75" s="5"/>
    </row>
    <row r="76" spans="2:10" x14ac:dyDescent="0.25">
      <c r="B76" s="5"/>
      <c r="C76" s="5"/>
      <c r="D76" s="141"/>
      <c r="E76" s="5"/>
    </row>
    <row r="77" spans="2:10" x14ac:dyDescent="0.25">
      <c r="B77" s="5" t="s">
        <v>182</v>
      </c>
      <c r="C77" s="86"/>
      <c r="D77" s="143"/>
      <c r="E77" s="86"/>
    </row>
    <row r="80" spans="2:10" x14ac:dyDescent="0.25">
      <c r="B80" s="81" t="s">
        <v>880</v>
      </c>
    </row>
    <row r="81" spans="2:5" x14ac:dyDescent="0.25">
      <c r="B81" s="80" t="s">
        <v>193</v>
      </c>
      <c r="C81" s="80" t="s">
        <v>71</v>
      </c>
      <c r="D81" s="140" t="s">
        <v>78</v>
      </c>
      <c r="E81" s="80" t="s">
        <v>902</v>
      </c>
    </row>
    <row r="82" spans="2:5" x14ac:dyDescent="0.25">
      <c r="B82" s="5" t="s">
        <v>881</v>
      </c>
      <c r="C82" s="5">
        <f>3600/10</f>
        <v>360</v>
      </c>
      <c r="D82" s="141">
        <v>1</v>
      </c>
      <c r="E82" s="5">
        <f>C82*D82</f>
        <v>360</v>
      </c>
    </row>
    <row r="83" spans="2:5" x14ac:dyDescent="0.25">
      <c r="B83" s="5" t="s">
        <v>3264</v>
      </c>
      <c r="C83" s="5">
        <f>60/10</f>
        <v>6</v>
      </c>
      <c r="D83" s="141">
        <v>1</v>
      </c>
      <c r="E83" s="5">
        <f>C83*D83</f>
        <v>6</v>
      </c>
    </row>
    <row r="84" spans="2:5" x14ac:dyDescent="0.25">
      <c r="B84" s="5" t="s">
        <v>3162</v>
      </c>
      <c r="C84" s="5">
        <f>10/24</f>
        <v>0.41666666666666669</v>
      </c>
      <c r="D84" s="141">
        <v>1</v>
      </c>
      <c r="E84" s="5">
        <f>D84*C84</f>
        <v>0.41666666666666669</v>
      </c>
    </row>
    <row r="85" spans="2:5" x14ac:dyDescent="0.25">
      <c r="B85" s="5"/>
      <c r="C85" s="5"/>
      <c r="D85" s="141"/>
      <c r="E85" s="5"/>
    </row>
    <row r="86" spans="2:5" x14ac:dyDescent="0.25">
      <c r="B86" s="5"/>
      <c r="C86" s="5"/>
      <c r="D86" s="141"/>
      <c r="E86" s="5"/>
    </row>
    <row r="87" spans="2:5" x14ac:dyDescent="0.25">
      <c r="B87" s="5" t="s">
        <v>182</v>
      </c>
      <c r="C87" s="86"/>
      <c r="D87" s="143"/>
      <c r="E87" s="86"/>
    </row>
    <row r="90" spans="2:5" x14ac:dyDescent="0.25">
      <c r="B90" s="81" t="s">
        <v>6358</v>
      </c>
    </row>
    <row r="91" spans="2:5" x14ac:dyDescent="0.25">
      <c r="B91" s="80" t="s">
        <v>193</v>
      </c>
      <c r="C91" s="80" t="s">
        <v>71</v>
      </c>
      <c r="D91" s="140" t="s">
        <v>78</v>
      </c>
      <c r="E91" s="80" t="s">
        <v>206</v>
      </c>
    </row>
    <row r="92" spans="2:5" x14ac:dyDescent="0.25">
      <c r="B92" s="5" t="s">
        <v>178</v>
      </c>
      <c r="C92" s="5">
        <v>1000</v>
      </c>
      <c r="D92" s="141">
        <f>1/1000</f>
        <v>1E-3</v>
      </c>
      <c r="E92" s="5">
        <f>C92*D92</f>
        <v>1</v>
      </c>
    </row>
    <row r="93" spans="2:5" x14ac:dyDescent="0.25">
      <c r="B93" s="5" t="s">
        <v>6359</v>
      </c>
      <c r="C93" s="5">
        <v>1000</v>
      </c>
      <c r="D93" s="141">
        <f>0.4536/0.4/1000</f>
        <v>1.1339999999999998E-3</v>
      </c>
      <c r="E93" s="5">
        <f>C93*D93</f>
        <v>1.1339999999999999</v>
      </c>
    </row>
    <row r="94" spans="2:5" x14ac:dyDescent="0.25">
      <c r="B94" s="5" t="s">
        <v>180</v>
      </c>
      <c r="C94" s="5">
        <v>1</v>
      </c>
      <c r="D94" s="141">
        <v>1</v>
      </c>
      <c r="E94" s="5">
        <f>D94*C94</f>
        <v>1</v>
      </c>
    </row>
    <row r="95" spans="2:5" x14ac:dyDescent="0.25">
      <c r="B95" s="5" t="s">
        <v>177</v>
      </c>
      <c r="C95" s="5">
        <f>10000/1000000</f>
        <v>0.01</v>
      </c>
      <c r="D95" s="141">
        <v>1</v>
      </c>
      <c r="E95" s="5">
        <f>D95*C95</f>
        <v>0.01</v>
      </c>
    </row>
    <row r="96" spans="2:5" x14ac:dyDescent="0.25">
      <c r="B96" s="5"/>
      <c r="C96" s="5"/>
      <c r="D96" s="141"/>
      <c r="E96" s="5"/>
    </row>
    <row r="97" spans="2:5" x14ac:dyDescent="0.25">
      <c r="B97" s="5" t="s">
        <v>182</v>
      </c>
      <c r="C97" s="86"/>
      <c r="D97" s="143"/>
      <c r="E97" s="86"/>
    </row>
    <row r="100" spans="2:5" x14ac:dyDescent="0.25">
      <c r="B100" s="81" t="s">
        <v>6365</v>
      </c>
    </row>
    <row r="101" spans="2:5" x14ac:dyDescent="0.25">
      <c r="B101" s="80" t="s">
        <v>193</v>
      </c>
      <c r="C101" s="80" t="s">
        <v>71</v>
      </c>
      <c r="D101" s="140" t="s">
        <v>78</v>
      </c>
      <c r="E101" s="80" t="s">
        <v>4534</v>
      </c>
    </row>
    <row r="102" spans="2:5" x14ac:dyDescent="0.25">
      <c r="B102" s="5" t="s">
        <v>6366</v>
      </c>
      <c r="C102" s="5"/>
      <c r="D102" s="141"/>
      <c r="E102" s="5" t="s">
        <v>6367</v>
      </c>
    </row>
    <row r="103" spans="2:5" x14ac:dyDescent="0.25">
      <c r="B103" s="5" t="s">
        <v>6374</v>
      </c>
      <c r="C103" s="5">
        <v>1</v>
      </c>
      <c r="D103" s="141">
        <v>1</v>
      </c>
      <c r="E103" s="5">
        <f>C103*D103</f>
        <v>1</v>
      </c>
    </row>
    <row r="104" spans="2:5" x14ac:dyDescent="0.25">
      <c r="B104" s="5" t="s">
        <v>6443</v>
      </c>
      <c r="C104" s="5">
        <v>1</v>
      </c>
      <c r="D104" s="141">
        <v>1</v>
      </c>
      <c r="E104" s="5">
        <f>C104*D104</f>
        <v>1</v>
      </c>
    </row>
    <row r="105" spans="2:5" x14ac:dyDescent="0.25">
      <c r="B105" s="5" t="s">
        <v>6506</v>
      </c>
      <c r="C105" s="5">
        <v>0.1</v>
      </c>
      <c r="D105" s="141">
        <v>1</v>
      </c>
      <c r="E105" s="5">
        <f>C105*D105</f>
        <v>0.1</v>
      </c>
    </row>
    <row r="106" spans="2:5" x14ac:dyDescent="0.25">
      <c r="B106" s="5" t="s">
        <v>2228</v>
      </c>
      <c r="C106" s="5"/>
      <c r="D106" s="141"/>
      <c r="E106" s="5" t="s">
        <v>6375</v>
      </c>
    </row>
    <row r="107" spans="2:5" x14ac:dyDescent="0.25">
      <c r="B107" s="5" t="s">
        <v>6376</v>
      </c>
      <c r="C107" s="5"/>
      <c r="D107" s="141">
        <v>1</v>
      </c>
      <c r="E107" s="5"/>
    </row>
    <row r="108" spans="2:5" x14ac:dyDescent="0.25">
      <c r="B108" s="5"/>
      <c r="C108" s="5"/>
      <c r="D108" s="141"/>
      <c r="E108" s="5"/>
    </row>
    <row r="109" spans="2:5" x14ac:dyDescent="0.25">
      <c r="B109" s="5" t="s">
        <v>182</v>
      </c>
      <c r="C109" s="86"/>
      <c r="D109" s="143"/>
      <c r="E109" s="86"/>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22"/>
  <sheetViews>
    <sheetView topLeftCell="A16" workbookViewId="0">
      <selection activeCell="H31" sqref="H31"/>
    </sheetView>
  </sheetViews>
  <sheetFormatPr defaultColWidth="8.85546875" defaultRowHeight="15" x14ac:dyDescent="0.25"/>
  <cols>
    <col min="1" max="1" width="9.140625" style="96"/>
    <col min="2" max="2" width="19.85546875" style="77" customWidth="1"/>
    <col min="3" max="3" width="14.28515625" style="77" customWidth="1"/>
    <col min="4" max="4" width="13.42578125" style="77" customWidth="1"/>
    <col min="5" max="5" width="24.42578125" style="77" customWidth="1"/>
    <col min="6" max="12" width="9.140625" style="78"/>
  </cols>
  <sheetData>
    <row r="2" spans="1:12" s="1" customFormat="1" x14ac:dyDescent="0.25">
      <c r="A2" s="108" t="s">
        <v>1384</v>
      </c>
      <c r="B2" s="79" t="s">
        <v>193</v>
      </c>
      <c r="C2" s="79" t="s">
        <v>6273</v>
      </c>
      <c r="D2" s="79" t="s">
        <v>6293</v>
      </c>
      <c r="E2" s="79" t="s">
        <v>6294</v>
      </c>
      <c r="F2" s="81"/>
      <c r="G2" s="81"/>
      <c r="H2" s="81"/>
      <c r="I2" s="81"/>
      <c r="J2" s="81"/>
      <c r="K2" s="81"/>
      <c r="L2" s="81"/>
    </row>
    <row r="3" spans="1:12" x14ac:dyDescent="0.25">
      <c r="A3" s="96">
        <v>1</v>
      </c>
      <c r="B3" s="77" t="s">
        <v>6274</v>
      </c>
      <c r="C3" s="77">
        <v>0.96450617299999997</v>
      </c>
      <c r="D3" s="77">
        <v>1</v>
      </c>
      <c r="E3" s="77">
        <f>D3*C3</f>
        <v>0.96450617299999997</v>
      </c>
    </row>
    <row r="4" spans="1:12" x14ac:dyDescent="0.25">
      <c r="A4" s="96">
        <v>2</v>
      </c>
      <c r="B4" s="77" t="s">
        <v>6275</v>
      </c>
      <c r="C4" s="77">
        <v>23.148148150000001</v>
      </c>
      <c r="D4" s="77">
        <v>1</v>
      </c>
      <c r="E4" s="77">
        <f t="shared" ref="E4:E22" si="0">D4*C4</f>
        <v>23.148148150000001</v>
      </c>
    </row>
    <row r="5" spans="1:12" x14ac:dyDescent="0.25">
      <c r="A5" s="96">
        <v>3</v>
      </c>
      <c r="B5" s="77" t="s">
        <v>6276</v>
      </c>
      <c r="C5" s="77">
        <v>2.6424830000000002E-3</v>
      </c>
      <c r="D5" s="77">
        <v>1</v>
      </c>
      <c r="E5" s="77">
        <f t="shared" si="0"/>
        <v>2.6424830000000002E-3</v>
      </c>
    </row>
    <row r="6" spans="1:12" x14ac:dyDescent="0.25">
      <c r="A6" s="96">
        <v>4</v>
      </c>
      <c r="B6" s="77" t="s">
        <v>6277</v>
      </c>
      <c r="C6" s="77">
        <v>0.26304713800000001</v>
      </c>
      <c r="D6" s="77">
        <v>1</v>
      </c>
      <c r="E6" s="77">
        <f t="shared" si="0"/>
        <v>0.26304713800000001</v>
      </c>
    </row>
    <row r="7" spans="1:12" x14ac:dyDescent="0.25">
      <c r="A7" s="96">
        <v>5</v>
      </c>
      <c r="B7" s="77" t="s">
        <v>6278</v>
      </c>
      <c r="C7" s="77">
        <v>6.3131313130000004</v>
      </c>
      <c r="D7" s="77">
        <v>1</v>
      </c>
      <c r="E7" s="77">
        <f t="shared" si="0"/>
        <v>6.3131313130000004</v>
      </c>
    </row>
    <row r="8" spans="1:12" x14ac:dyDescent="0.25">
      <c r="A8" s="96">
        <v>6</v>
      </c>
      <c r="B8" s="77" t="s">
        <v>6279</v>
      </c>
      <c r="C8" s="77">
        <v>9.6450617000000002E-2</v>
      </c>
      <c r="D8" s="77">
        <v>1</v>
      </c>
      <c r="E8" s="77">
        <f t="shared" si="0"/>
        <v>9.6450617000000002E-2</v>
      </c>
    </row>
    <row r="9" spans="1:12" x14ac:dyDescent="0.25">
      <c r="A9" s="96">
        <v>7</v>
      </c>
      <c r="B9" s="77" t="s">
        <v>6280</v>
      </c>
      <c r="C9" s="77">
        <v>9.6450599999999996E-4</v>
      </c>
      <c r="D9" s="77">
        <v>1</v>
      </c>
      <c r="E9" s="77">
        <f t="shared" si="0"/>
        <v>9.6450599999999996E-4</v>
      </c>
    </row>
    <row r="10" spans="1:12" x14ac:dyDescent="0.25">
      <c r="A10" s="96">
        <v>8</v>
      </c>
      <c r="B10" s="77" t="s">
        <v>6281</v>
      </c>
      <c r="C10" s="77">
        <v>2.3148148E-2</v>
      </c>
      <c r="D10" s="77">
        <v>1</v>
      </c>
      <c r="E10" s="77">
        <f t="shared" si="0"/>
        <v>2.3148148E-2</v>
      </c>
    </row>
    <row r="11" spans="1:12" x14ac:dyDescent="0.25">
      <c r="A11" s="96">
        <v>9</v>
      </c>
      <c r="B11" s="77" t="s">
        <v>6282</v>
      </c>
      <c r="C11" s="77">
        <v>2.6304699999999998E-4</v>
      </c>
      <c r="D11" s="77">
        <v>1</v>
      </c>
      <c r="E11" s="77">
        <f t="shared" si="0"/>
        <v>2.6304699999999998E-4</v>
      </c>
    </row>
    <row r="12" spans="1:12" x14ac:dyDescent="0.25">
      <c r="A12" s="96">
        <v>10</v>
      </c>
      <c r="B12" s="77" t="s">
        <v>6283</v>
      </c>
      <c r="C12" s="77">
        <v>6.3131309999999996E-3</v>
      </c>
      <c r="D12" s="77">
        <v>1</v>
      </c>
      <c r="E12" s="77">
        <f t="shared" si="0"/>
        <v>6.3131309999999996E-3</v>
      </c>
    </row>
    <row r="13" spans="1:12" x14ac:dyDescent="0.25">
      <c r="A13" s="96">
        <v>11</v>
      </c>
      <c r="B13" s="77" t="s">
        <v>618</v>
      </c>
      <c r="C13" s="77">
        <v>22.727272729999999</v>
      </c>
      <c r="D13" s="77">
        <v>1</v>
      </c>
      <c r="E13" s="77">
        <f t="shared" si="0"/>
        <v>22.727272729999999</v>
      </c>
    </row>
    <row r="14" spans="1:12" x14ac:dyDescent="0.25">
      <c r="A14" s="96">
        <v>12</v>
      </c>
      <c r="B14" s="77" t="s">
        <v>6284</v>
      </c>
      <c r="C14" s="77">
        <v>1.1574074E-2</v>
      </c>
      <c r="D14" s="77">
        <v>1</v>
      </c>
      <c r="E14" s="77">
        <f t="shared" si="0"/>
        <v>1.1574074E-2</v>
      </c>
    </row>
    <row r="15" spans="1:12" x14ac:dyDescent="0.25">
      <c r="A15" s="96">
        <v>13</v>
      </c>
      <c r="B15" s="77" t="s">
        <v>6285</v>
      </c>
      <c r="C15" s="77">
        <v>0.27777777799999998</v>
      </c>
      <c r="D15" s="77">
        <v>1</v>
      </c>
      <c r="E15" s="77">
        <f t="shared" si="0"/>
        <v>0.27777777799999998</v>
      </c>
    </row>
    <row r="16" spans="1:12" x14ac:dyDescent="0.25">
      <c r="A16" s="96">
        <v>14</v>
      </c>
      <c r="B16" s="77" t="s">
        <v>6286</v>
      </c>
      <c r="C16" s="77">
        <v>1E-3</v>
      </c>
      <c r="D16" s="77">
        <v>1</v>
      </c>
      <c r="E16" s="77">
        <f t="shared" si="0"/>
        <v>1E-3</v>
      </c>
    </row>
    <row r="17" spans="1:5" x14ac:dyDescent="0.25">
      <c r="A17" s="96">
        <v>15</v>
      </c>
      <c r="B17" s="77" t="s">
        <v>6287</v>
      </c>
      <c r="C17" s="77">
        <v>3.1709792000000001E-2</v>
      </c>
      <c r="D17" s="77">
        <v>1</v>
      </c>
      <c r="E17" s="77">
        <f t="shared" si="0"/>
        <v>3.1709792000000001E-2</v>
      </c>
    </row>
    <row r="18" spans="1:5" x14ac:dyDescent="0.25">
      <c r="A18" s="96">
        <v>16</v>
      </c>
      <c r="B18" s="77" t="s">
        <v>6288</v>
      </c>
      <c r="C18" s="77">
        <v>11.57407407</v>
      </c>
      <c r="D18" s="77">
        <v>1</v>
      </c>
      <c r="E18" s="77">
        <f t="shared" si="0"/>
        <v>11.57407407</v>
      </c>
    </row>
    <row r="19" spans="1:5" x14ac:dyDescent="0.25">
      <c r="A19" s="96">
        <v>17</v>
      </c>
      <c r="B19" s="77" t="s">
        <v>6289</v>
      </c>
      <c r="C19" s="77">
        <v>1E-3</v>
      </c>
      <c r="D19" s="77">
        <v>1</v>
      </c>
      <c r="E19" s="77">
        <f t="shared" si="0"/>
        <v>1E-3</v>
      </c>
    </row>
    <row r="20" spans="1:5" x14ac:dyDescent="0.25">
      <c r="A20" s="96">
        <v>18</v>
      </c>
      <c r="B20" s="77" t="s">
        <v>6290</v>
      </c>
      <c r="C20" s="77">
        <v>8.3333332999999996E-2</v>
      </c>
      <c r="D20" s="77">
        <v>1</v>
      </c>
      <c r="E20" s="77">
        <f t="shared" si="0"/>
        <v>8.3333332999999996E-2</v>
      </c>
    </row>
    <row r="21" spans="1:5" x14ac:dyDescent="0.25">
      <c r="A21" s="96">
        <v>19</v>
      </c>
      <c r="B21" s="77" t="s">
        <v>6291</v>
      </c>
      <c r="C21" s="77">
        <v>2.2727272999999999E-2</v>
      </c>
      <c r="D21" s="77">
        <v>1</v>
      </c>
      <c r="E21" s="77">
        <f t="shared" si="0"/>
        <v>2.2727272999999999E-2</v>
      </c>
    </row>
    <row r="22" spans="1:5" x14ac:dyDescent="0.25">
      <c r="A22" s="96">
        <v>20</v>
      </c>
      <c r="B22" s="77" t="s">
        <v>6292</v>
      </c>
      <c r="C22" s="77">
        <v>1</v>
      </c>
      <c r="D22" s="77">
        <v>1</v>
      </c>
      <c r="E22" s="77">
        <f t="shared" si="0"/>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100"/>
  <sheetViews>
    <sheetView topLeftCell="B1" workbookViewId="0">
      <selection activeCell="G21" sqref="G21"/>
    </sheetView>
  </sheetViews>
  <sheetFormatPr defaultColWidth="9.140625" defaultRowHeight="15" x14ac:dyDescent="0.2"/>
  <cols>
    <col min="1" max="1" width="9.140625" style="131"/>
    <col min="2" max="2" width="23.28515625" style="131" customWidth="1"/>
    <col min="3" max="3" width="33.85546875" style="131" customWidth="1"/>
    <col min="4" max="4" width="24.42578125" style="131" customWidth="1"/>
    <col min="5" max="5" width="22.140625" style="131" customWidth="1"/>
    <col min="6" max="6" width="15.7109375" style="131" customWidth="1"/>
    <col min="7" max="7" width="26.28515625" style="131" customWidth="1"/>
    <col min="8" max="16384" width="9.140625" style="131"/>
  </cols>
  <sheetData>
    <row r="2" spans="2:5" s="130" customFormat="1" ht="16.5" thickBot="1" x14ac:dyDescent="0.3">
      <c r="B2" s="130" t="s">
        <v>6317</v>
      </c>
    </row>
    <row r="3" spans="2:5" ht="15.75" thickTop="1" x14ac:dyDescent="0.2">
      <c r="B3" s="109" t="s">
        <v>1127</v>
      </c>
      <c r="C3" s="110" t="s">
        <v>1128</v>
      </c>
      <c r="D3" s="111" t="s">
        <v>1129</v>
      </c>
      <c r="E3" s="112" t="s">
        <v>1130</v>
      </c>
    </row>
    <row r="4" spans="2:5" ht="15.75" x14ac:dyDescent="0.2">
      <c r="B4" s="113" t="s">
        <v>1131</v>
      </c>
      <c r="C4" s="116"/>
      <c r="D4" s="116"/>
      <c r="E4" s="117"/>
    </row>
    <row r="5" spans="2:5" x14ac:dyDescent="0.2">
      <c r="B5" s="132"/>
      <c r="C5" s="114" t="s">
        <v>1132</v>
      </c>
      <c r="D5" s="114" t="s">
        <v>1133</v>
      </c>
      <c r="E5" s="115" t="s">
        <v>1134</v>
      </c>
    </row>
    <row r="6" spans="2:5" ht="30" x14ac:dyDescent="0.2">
      <c r="B6" s="132"/>
      <c r="C6" s="114" t="s">
        <v>1135</v>
      </c>
      <c r="D6" s="114" t="s">
        <v>1136</v>
      </c>
      <c r="E6" s="115" t="s">
        <v>1137</v>
      </c>
    </row>
    <row r="7" spans="2:5" ht="30" x14ac:dyDescent="0.2">
      <c r="B7" s="132"/>
      <c r="C7" s="114" t="s">
        <v>1138</v>
      </c>
      <c r="D7" s="114" t="s">
        <v>1139</v>
      </c>
      <c r="E7" s="115" t="s">
        <v>1140</v>
      </c>
    </row>
    <row r="8" spans="2:5" ht="15.75" x14ac:dyDescent="0.2">
      <c r="B8" s="113" t="s">
        <v>1141</v>
      </c>
      <c r="C8" s="116"/>
      <c r="D8" s="116"/>
      <c r="E8" s="117"/>
    </row>
    <row r="9" spans="2:5" ht="30.75" customHeight="1" x14ac:dyDescent="0.2">
      <c r="B9" s="132"/>
      <c r="C9" s="114" t="s">
        <v>1142</v>
      </c>
      <c r="D9" s="114" t="s">
        <v>1143</v>
      </c>
      <c r="E9" s="115" t="s">
        <v>1144</v>
      </c>
    </row>
    <row r="10" spans="2:5" ht="30" x14ac:dyDescent="0.2">
      <c r="B10" s="132"/>
      <c r="C10" s="114" t="s">
        <v>1145</v>
      </c>
      <c r="D10" s="114" t="s">
        <v>1146</v>
      </c>
      <c r="E10" s="115" t="s">
        <v>1147</v>
      </c>
    </row>
    <row r="11" spans="2:5" ht="30" x14ac:dyDescent="0.2">
      <c r="B11" s="132"/>
      <c r="C11" s="114" t="s">
        <v>1148</v>
      </c>
      <c r="D11" s="114" t="s">
        <v>1149</v>
      </c>
      <c r="E11" s="115" t="s">
        <v>1150</v>
      </c>
    </row>
    <row r="12" spans="2:5" ht="30" x14ac:dyDescent="0.2">
      <c r="B12" s="132"/>
      <c r="C12" s="114" t="s">
        <v>1151</v>
      </c>
      <c r="D12" s="114" t="s">
        <v>1143</v>
      </c>
      <c r="E12" s="115" t="s">
        <v>1152</v>
      </c>
    </row>
    <row r="13" spans="2:5" ht="30" x14ac:dyDescent="0.2">
      <c r="B13" s="132"/>
      <c r="C13" s="114" t="s">
        <v>1153</v>
      </c>
      <c r="D13" s="114" t="s">
        <v>1154</v>
      </c>
      <c r="E13" s="115" t="s">
        <v>1155</v>
      </c>
    </row>
    <row r="14" spans="2:5" ht="31.5" customHeight="1" x14ac:dyDescent="0.2">
      <c r="B14" s="132"/>
      <c r="C14" s="114" t="s">
        <v>1156</v>
      </c>
      <c r="D14" s="114" t="s">
        <v>1157</v>
      </c>
      <c r="E14" s="115" t="s">
        <v>1158</v>
      </c>
    </row>
    <row r="15" spans="2:5" ht="31.5" customHeight="1" x14ac:dyDescent="0.2">
      <c r="B15" s="132"/>
      <c r="C15" s="114" t="s">
        <v>1159</v>
      </c>
      <c r="D15" s="114" t="s">
        <v>1154</v>
      </c>
      <c r="E15" s="115" t="s">
        <v>1158</v>
      </c>
    </row>
    <row r="16" spans="2:5" ht="30" x14ac:dyDescent="0.2">
      <c r="B16" s="132"/>
      <c r="C16" s="114" t="s">
        <v>1160</v>
      </c>
      <c r="D16" s="114" t="s">
        <v>1154</v>
      </c>
      <c r="E16" s="115" t="s">
        <v>1161</v>
      </c>
    </row>
    <row r="17" spans="2:5" x14ac:dyDescent="0.2">
      <c r="B17" s="132"/>
      <c r="C17" s="114" t="s">
        <v>1162</v>
      </c>
      <c r="D17" s="114" t="s">
        <v>1163</v>
      </c>
      <c r="E17" s="115" t="s">
        <v>1161</v>
      </c>
    </row>
    <row r="18" spans="2:5" ht="15.75" x14ac:dyDescent="0.2">
      <c r="B18" s="113" t="s">
        <v>1164</v>
      </c>
      <c r="C18" s="116"/>
      <c r="D18" s="116"/>
      <c r="E18" s="117"/>
    </row>
    <row r="19" spans="2:5" ht="30" x14ac:dyDescent="0.2">
      <c r="B19" s="132"/>
      <c r="C19" s="114" t="s">
        <v>1165</v>
      </c>
      <c r="D19" s="114" t="s">
        <v>1166</v>
      </c>
      <c r="E19" s="115" t="s">
        <v>1167</v>
      </c>
    </row>
    <row r="20" spans="2:5" ht="31.5" customHeight="1" x14ac:dyDescent="0.2">
      <c r="B20" s="132"/>
      <c r="C20" s="114" t="s">
        <v>1168</v>
      </c>
      <c r="D20" s="114" t="s">
        <v>1169</v>
      </c>
      <c r="E20" s="115" t="s">
        <v>1170</v>
      </c>
    </row>
    <row r="21" spans="2:5" ht="31.5" customHeight="1" x14ac:dyDescent="0.2">
      <c r="B21" s="132"/>
      <c r="C21" s="114" t="s">
        <v>1171</v>
      </c>
      <c r="D21" s="114" t="s">
        <v>610</v>
      </c>
      <c r="E21" s="115" t="s">
        <v>1172</v>
      </c>
    </row>
    <row r="22" spans="2:5" ht="30" x14ac:dyDescent="0.2">
      <c r="B22" s="132"/>
      <c r="C22" s="114" t="s">
        <v>1173</v>
      </c>
      <c r="D22" s="114" t="s">
        <v>1174</v>
      </c>
      <c r="E22" s="115" t="s">
        <v>1175</v>
      </c>
    </row>
    <row r="23" spans="2:5" x14ac:dyDescent="0.2">
      <c r="B23" s="132"/>
      <c r="C23" s="116"/>
      <c r="D23" s="116"/>
      <c r="E23" s="117"/>
    </row>
    <row r="24" spans="2:5" ht="30" x14ac:dyDescent="0.2">
      <c r="B24" s="132"/>
      <c r="C24" s="114" t="s">
        <v>1176</v>
      </c>
      <c r="D24" s="114" t="s">
        <v>1177</v>
      </c>
      <c r="E24" s="115" t="s">
        <v>1178</v>
      </c>
    </row>
    <row r="25" spans="2:5" ht="47.25" customHeight="1" x14ac:dyDescent="0.2">
      <c r="B25" s="113" t="s">
        <v>1179</v>
      </c>
      <c r="C25" s="116"/>
      <c r="D25" s="116"/>
      <c r="E25" s="117"/>
    </row>
    <row r="26" spans="2:5" ht="47.25" customHeight="1" x14ac:dyDescent="0.2">
      <c r="B26" s="132"/>
      <c r="C26" s="114" t="s">
        <v>1180</v>
      </c>
      <c r="D26" s="116"/>
      <c r="E26" s="115" t="s">
        <v>1181</v>
      </c>
    </row>
    <row r="27" spans="2:5" ht="15.75" x14ac:dyDescent="0.2">
      <c r="B27" s="113" t="s">
        <v>1182</v>
      </c>
      <c r="C27" s="116"/>
      <c r="D27" s="116"/>
      <c r="E27" s="117"/>
    </row>
    <row r="28" spans="2:5" ht="31.5" customHeight="1" x14ac:dyDescent="0.2">
      <c r="B28" s="132"/>
      <c r="C28" s="114" t="s">
        <v>1183</v>
      </c>
      <c r="D28" s="114" t="s">
        <v>1184</v>
      </c>
      <c r="E28" s="115" t="s">
        <v>1185</v>
      </c>
    </row>
    <row r="29" spans="2:5" ht="31.5" customHeight="1" x14ac:dyDescent="0.2">
      <c r="B29" s="132"/>
      <c r="C29" s="114" t="s">
        <v>1186</v>
      </c>
      <c r="D29" s="114" t="s">
        <v>1187</v>
      </c>
      <c r="E29" s="115" t="s">
        <v>1188</v>
      </c>
    </row>
    <row r="30" spans="2:5" ht="30" x14ac:dyDescent="0.2">
      <c r="B30" s="132"/>
      <c r="C30" s="114" t="s">
        <v>1189</v>
      </c>
      <c r="D30" s="114" t="s">
        <v>1190</v>
      </c>
      <c r="E30" s="115" t="s">
        <v>1188</v>
      </c>
    </row>
    <row r="31" spans="2:5" x14ac:dyDescent="0.2">
      <c r="B31" s="132"/>
      <c r="C31" s="114" t="s">
        <v>1191</v>
      </c>
      <c r="D31" s="114" t="s">
        <v>1192</v>
      </c>
      <c r="E31" s="115" t="s">
        <v>1193</v>
      </c>
    </row>
    <row r="32" spans="2:5" x14ac:dyDescent="0.2">
      <c r="B32" s="132"/>
      <c r="C32" s="114" t="s">
        <v>1194</v>
      </c>
      <c r="D32" s="114" t="s">
        <v>1195</v>
      </c>
      <c r="E32" s="115" t="s">
        <v>1196</v>
      </c>
    </row>
    <row r="33" spans="2:5" x14ac:dyDescent="0.2">
      <c r="B33" s="132"/>
      <c r="C33" s="114" t="s">
        <v>1197</v>
      </c>
      <c r="D33" s="114" t="s">
        <v>1198</v>
      </c>
      <c r="E33" s="115" t="s">
        <v>1199</v>
      </c>
    </row>
    <row r="34" spans="2:5" x14ac:dyDescent="0.2">
      <c r="B34" s="132"/>
      <c r="C34" s="114" t="s">
        <v>1200</v>
      </c>
      <c r="D34" s="114" t="s">
        <v>1198</v>
      </c>
      <c r="E34" s="115" t="s">
        <v>1201</v>
      </c>
    </row>
    <row r="35" spans="2:5" x14ac:dyDescent="0.2">
      <c r="B35" s="132"/>
      <c r="C35" s="114" t="s">
        <v>1202</v>
      </c>
      <c r="D35" s="114" t="s">
        <v>1203</v>
      </c>
      <c r="E35" s="115" t="s">
        <v>1201</v>
      </c>
    </row>
    <row r="36" spans="2:5" ht="30" x14ac:dyDescent="0.2">
      <c r="B36" s="132"/>
      <c r="C36" s="114" t="s">
        <v>1204</v>
      </c>
      <c r="D36" s="114" t="s">
        <v>1205</v>
      </c>
      <c r="E36" s="115" t="s">
        <v>1206</v>
      </c>
    </row>
    <row r="37" spans="2:5" ht="30" x14ac:dyDescent="0.2">
      <c r="B37" s="132"/>
      <c r="C37" s="114" t="s">
        <v>1207</v>
      </c>
      <c r="D37" s="114" t="s">
        <v>1205</v>
      </c>
      <c r="E37" s="115" t="s">
        <v>1208</v>
      </c>
    </row>
    <row r="38" spans="2:5" ht="45" x14ac:dyDescent="0.2">
      <c r="B38" s="132"/>
      <c r="C38" s="114" t="s">
        <v>1209</v>
      </c>
      <c r="D38" s="116" t="s">
        <v>1210</v>
      </c>
      <c r="E38" s="115" t="s">
        <v>1208</v>
      </c>
    </row>
    <row r="39" spans="2:5" ht="30" x14ac:dyDescent="0.2">
      <c r="B39" s="132"/>
      <c r="C39" s="114" t="s">
        <v>1211</v>
      </c>
      <c r="D39" s="114" t="s">
        <v>1212</v>
      </c>
      <c r="E39" s="115" t="s">
        <v>1213</v>
      </c>
    </row>
    <row r="40" spans="2:5" x14ac:dyDescent="0.2">
      <c r="B40" s="132"/>
      <c r="C40" s="114" t="s">
        <v>1214</v>
      </c>
      <c r="D40" s="114" t="s">
        <v>1198</v>
      </c>
      <c r="E40" s="115" t="s">
        <v>1215</v>
      </c>
    </row>
    <row r="41" spans="2:5" x14ac:dyDescent="0.2">
      <c r="B41" s="132"/>
      <c r="C41" s="114" t="s">
        <v>1216</v>
      </c>
      <c r="D41" s="114" t="s">
        <v>1217</v>
      </c>
      <c r="E41" s="115" t="s">
        <v>1218</v>
      </c>
    </row>
    <row r="42" spans="2:5" ht="15.75" x14ac:dyDescent="0.2">
      <c r="B42" s="113" t="s">
        <v>1219</v>
      </c>
      <c r="C42" s="116"/>
      <c r="D42" s="116"/>
      <c r="E42" s="117"/>
    </row>
    <row r="43" spans="2:5" ht="30" x14ac:dyDescent="0.2">
      <c r="B43" s="132"/>
      <c r="C43" s="114" t="s">
        <v>1220</v>
      </c>
      <c r="D43" s="114" t="s">
        <v>1149</v>
      </c>
      <c r="E43" s="115" t="s">
        <v>1221</v>
      </c>
    </row>
    <row r="44" spans="2:5" ht="30" x14ac:dyDescent="0.2">
      <c r="B44" s="132"/>
      <c r="C44" s="114" t="s">
        <v>1222</v>
      </c>
      <c r="D44" s="114" t="s">
        <v>1212</v>
      </c>
      <c r="E44" s="115" t="s">
        <v>1221</v>
      </c>
    </row>
    <row r="45" spans="2:5" ht="30" x14ac:dyDescent="0.2">
      <c r="B45" s="132"/>
      <c r="C45" s="114" t="s">
        <v>1223</v>
      </c>
      <c r="D45" s="114" t="s">
        <v>1143</v>
      </c>
      <c r="E45" s="115" t="s">
        <v>1224</v>
      </c>
    </row>
    <row r="46" spans="2:5" x14ac:dyDescent="0.2">
      <c r="B46" s="132"/>
      <c r="C46" s="114" t="s">
        <v>1225</v>
      </c>
      <c r="D46" s="114" t="s">
        <v>1203</v>
      </c>
      <c r="E46" s="115" t="s">
        <v>1226</v>
      </c>
    </row>
    <row r="47" spans="2:5" ht="30" x14ac:dyDescent="0.2">
      <c r="B47" s="132"/>
      <c r="C47" s="114" t="s">
        <v>1227</v>
      </c>
      <c r="D47" s="114" t="s">
        <v>1203</v>
      </c>
      <c r="E47" s="115" t="s">
        <v>1228</v>
      </c>
    </row>
    <row r="48" spans="2:5" x14ac:dyDescent="0.2">
      <c r="B48" s="132"/>
      <c r="C48" s="114" t="s">
        <v>1229</v>
      </c>
      <c r="D48" s="114" t="s">
        <v>1230</v>
      </c>
      <c r="E48" s="115" t="s">
        <v>1231</v>
      </c>
    </row>
    <row r="49" spans="2:5" x14ac:dyDescent="0.2">
      <c r="B49" s="132"/>
      <c r="C49" s="114" t="s">
        <v>1232</v>
      </c>
      <c r="D49" s="114" t="s">
        <v>1233</v>
      </c>
      <c r="E49" s="115" t="s">
        <v>1234</v>
      </c>
    </row>
    <row r="50" spans="2:5" x14ac:dyDescent="0.2">
      <c r="B50" s="132"/>
      <c r="C50" s="114" t="s">
        <v>1235</v>
      </c>
      <c r="D50" s="114" t="s">
        <v>1203</v>
      </c>
      <c r="E50" s="115" t="s">
        <v>1236</v>
      </c>
    </row>
    <row r="51" spans="2:5" ht="30" x14ac:dyDescent="0.2">
      <c r="B51" s="132"/>
      <c r="C51" s="114" t="s">
        <v>1237</v>
      </c>
      <c r="D51" s="114" t="s">
        <v>1238</v>
      </c>
      <c r="E51" s="115" t="s">
        <v>1239</v>
      </c>
    </row>
    <row r="52" spans="2:5" ht="30" x14ac:dyDescent="0.2">
      <c r="B52" s="132"/>
      <c r="C52" s="114" t="s">
        <v>1240</v>
      </c>
      <c r="D52" s="114" t="s">
        <v>1143</v>
      </c>
      <c r="E52" s="115" t="s">
        <v>1241</v>
      </c>
    </row>
    <row r="53" spans="2:5" ht="30" x14ac:dyDescent="0.2">
      <c r="B53" s="132"/>
      <c r="C53" s="114" t="s">
        <v>1242</v>
      </c>
      <c r="D53" s="114" t="s">
        <v>1243</v>
      </c>
      <c r="E53" s="115" t="s">
        <v>1244</v>
      </c>
    </row>
    <row r="54" spans="2:5" ht="30" x14ac:dyDescent="0.2">
      <c r="B54" s="132"/>
      <c r="C54" s="114" t="s">
        <v>1245</v>
      </c>
      <c r="D54" s="114" t="s">
        <v>1246</v>
      </c>
      <c r="E54" s="115" t="s">
        <v>1247</v>
      </c>
    </row>
    <row r="55" spans="2:5" ht="30" x14ac:dyDescent="0.2">
      <c r="B55" s="132"/>
      <c r="C55" s="114" t="s">
        <v>1248</v>
      </c>
      <c r="D55" s="114" t="s">
        <v>1246</v>
      </c>
      <c r="E55" s="115" t="s">
        <v>1247</v>
      </c>
    </row>
    <row r="56" spans="2:5" ht="30" x14ac:dyDescent="0.2">
      <c r="B56" s="132"/>
      <c r="C56" s="114" t="s">
        <v>1249</v>
      </c>
      <c r="D56" s="114" t="s">
        <v>1136</v>
      </c>
      <c r="E56" s="115" t="s">
        <v>1250</v>
      </c>
    </row>
    <row r="57" spans="2:5" ht="30" x14ac:dyDescent="0.2">
      <c r="B57" s="132"/>
      <c r="C57" s="114" t="s">
        <v>1251</v>
      </c>
      <c r="D57" s="114" t="s">
        <v>1252</v>
      </c>
      <c r="E57" s="115" t="s">
        <v>1253</v>
      </c>
    </row>
    <row r="58" spans="2:5" ht="30" x14ac:dyDescent="0.2">
      <c r="B58" s="132"/>
      <c r="C58" s="114" t="s">
        <v>1254</v>
      </c>
      <c r="D58" s="114" t="s">
        <v>1255</v>
      </c>
      <c r="E58" s="115" t="s">
        <v>1256</v>
      </c>
    </row>
    <row r="59" spans="2:5" ht="30" x14ac:dyDescent="0.2">
      <c r="B59" s="132"/>
      <c r="C59" s="114" t="s">
        <v>1257</v>
      </c>
      <c r="D59" s="114" t="s">
        <v>1205</v>
      </c>
      <c r="E59" s="115" t="s">
        <v>1258</v>
      </c>
    </row>
    <row r="60" spans="2:5" ht="30" x14ac:dyDescent="0.2">
      <c r="B60" s="132"/>
      <c r="C60" s="114" t="s">
        <v>1259</v>
      </c>
      <c r="D60" s="114" t="s">
        <v>1149</v>
      </c>
      <c r="E60" s="115" t="s">
        <v>1260</v>
      </c>
    </row>
    <row r="61" spans="2:5" ht="15.75" x14ac:dyDescent="0.2">
      <c r="B61" s="113" t="s">
        <v>1261</v>
      </c>
      <c r="C61" s="116"/>
      <c r="D61" s="116"/>
      <c r="E61" s="117"/>
    </row>
    <row r="62" spans="2:5" x14ac:dyDescent="0.2">
      <c r="B62" s="132"/>
      <c r="C62" s="114" t="s">
        <v>1262</v>
      </c>
      <c r="D62" s="114" t="s">
        <v>1217</v>
      </c>
      <c r="E62" s="115" t="s">
        <v>1263</v>
      </c>
    </row>
    <row r="63" spans="2:5" ht="15.75" x14ac:dyDescent="0.2">
      <c r="B63" s="113" t="s">
        <v>1264</v>
      </c>
      <c r="C63" s="116"/>
      <c r="D63" s="116"/>
      <c r="E63" s="117"/>
    </row>
    <row r="64" spans="2:5" ht="30" x14ac:dyDescent="0.2">
      <c r="B64" s="132"/>
      <c r="C64" s="114" t="s">
        <v>1265</v>
      </c>
      <c r="D64" s="114" t="s">
        <v>1212</v>
      </c>
      <c r="E64" s="115" t="s">
        <v>1266</v>
      </c>
    </row>
    <row r="65" spans="2:5" ht="30" x14ac:dyDescent="0.2">
      <c r="B65" s="132"/>
      <c r="C65" s="114" t="s">
        <v>1267</v>
      </c>
      <c r="D65" s="114" t="s">
        <v>1268</v>
      </c>
      <c r="E65" s="117" t="s">
        <v>1266</v>
      </c>
    </row>
    <row r="66" spans="2:5" ht="30.75" thickBot="1" x14ac:dyDescent="0.25">
      <c r="B66" s="133"/>
      <c r="C66" s="118" t="s">
        <v>1269</v>
      </c>
      <c r="D66" s="118" t="s">
        <v>1270</v>
      </c>
      <c r="E66" s="119" t="s">
        <v>1271</v>
      </c>
    </row>
    <row r="67" spans="2:5" ht="15.75" thickTop="1" x14ac:dyDescent="0.2">
      <c r="B67" s="134"/>
      <c r="C67" s="120"/>
      <c r="D67" s="120"/>
      <c r="E67" s="120"/>
    </row>
    <row r="69" spans="2:5" s="130" customFormat="1" ht="15.75" x14ac:dyDescent="0.25">
      <c r="B69" s="130" t="s">
        <v>2540</v>
      </c>
      <c r="C69" s="135" t="s">
        <v>2594</v>
      </c>
    </row>
    <row r="70" spans="2:5" ht="15.75" x14ac:dyDescent="0.2">
      <c r="B70" s="121" t="s">
        <v>2555</v>
      </c>
      <c r="C70" s="122" t="s">
        <v>2556</v>
      </c>
      <c r="D70" s="123" t="s">
        <v>2557</v>
      </c>
    </row>
    <row r="71" spans="2:5" ht="60" x14ac:dyDescent="0.2">
      <c r="B71" s="121" t="s">
        <v>2558</v>
      </c>
      <c r="C71" s="122" t="s">
        <v>6318</v>
      </c>
      <c r="D71" s="123" t="s">
        <v>2559</v>
      </c>
    </row>
    <row r="72" spans="2:5" ht="45" x14ac:dyDescent="0.2">
      <c r="B72" s="296" t="s">
        <v>2560</v>
      </c>
      <c r="C72" s="124" t="s">
        <v>6319</v>
      </c>
      <c r="D72" s="125" t="s">
        <v>2561</v>
      </c>
    </row>
    <row r="73" spans="2:5" ht="30" x14ac:dyDescent="0.2">
      <c r="B73" s="297"/>
      <c r="C73" s="126" t="s">
        <v>6320</v>
      </c>
      <c r="D73" s="127" t="s">
        <v>2562</v>
      </c>
    </row>
    <row r="74" spans="2:5" ht="30" x14ac:dyDescent="0.2">
      <c r="B74" s="297"/>
      <c r="C74" s="126" t="s">
        <v>6321</v>
      </c>
      <c r="D74" s="127" t="s">
        <v>1264</v>
      </c>
    </row>
    <row r="75" spans="2:5" ht="30" x14ac:dyDescent="0.2">
      <c r="B75" s="298"/>
      <c r="C75" s="128" t="s">
        <v>6322</v>
      </c>
      <c r="D75" s="136"/>
    </row>
    <row r="76" spans="2:5" ht="60" x14ac:dyDescent="0.2">
      <c r="B76" s="296" t="s">
        <v>2563</v>
      </c>
      <c r="C76" s="124" t="s">
        <v>6323</v>
      </c>
      <c r="D76" s="125" t="s">
        <v>2564</v>
      </c>
    </row>
    <row r="77" spans="2:5" ht="30" x14ac:dyDescent="0.2">
      <c r="B77" s="297"/>
      <c r="C77" s="126" t="s">
        <v>6324</v>
      </c>
      <c r="D77" s="127" t="s">
        <v>2565</v>
      </c>
    </row>
    <row r="78" spans="2:5" ht="30" x14ac:dyDescent="0.2">
      <c r="B78" s="297"/>
      <c r="C78" s="126" t="s">
        <v>6325</v>
      </c>
      <c r="D78" s="127" t="s">
        <v>2566</v>
      </c>
    </row>
    <row r="79" spans="2:5" x14ac:dyDescent="0.2">
      <c r="B79" s="298"/>
      <c r="C79" s="136"/>
      <c r="D79" s="129" t="s">
        <v>2567</v>
      </c>
    </row>
    <row r="80" spans="2:5" ht="60" x14ac:dyDescent="0.2">
      <c r="B80" s="121" t="s">
        <v>2568</v>
      </c>
      <c r="C80" s="122" t="s">
        <v>6326</v>
      </c>
      <c r="D80" s="123" t="s">
        <v>2569</v>
      </c>
    </row>
    <row r="81" spans="2:4" x14ac:dyDescent="0.2">
      <c r="B81" s="296" t="s">
        <v>2570</v>
      </c>
      <c r="C81" s="299" t="s">
        <v>6327</v>
      </c>
      <c r="D81" s="125" t="s">
        <v>2571</v>
      </c>
    </row>
    <row r="82" spans="2:4" x14ac:dyDescent="0.2">
      <c r="B82" s="297"/>
      <c r="C82" s="300"/>
      <c r="D82" s="127" t="s">
        <v>2572</v>
      </c>
    </row>
    <row r="83" spans="2:4" x14ac:dyDescent="0.2">
      <c r="B83" s="297"/>
      <c r="C83" s="300"/>
      <c r="D83" s="127" t="s">
        <v>2573</v>
      </c>
    </row>
    <row r="84" spans="2:4" x14ac:dyDescent="0.2">
      <c r="B84" s="297"/>
      <c r="C84" s="300"/>
      <c r="D84" s="127" t="s">
        <v>2574</v>
      </c>
    </row>
    <row r="85" spans="2:4" x14ac:dyDescent="0.2">
      <c r="B85" s="297"/>
      <c r="C85" s="300"/>
      <c r="D85" s="127" t="s">
        <v>2575</v>
      </c>
    </row>
    <row r="86" spans="2:4" x14ac:dyDescent="0.2">
      <c r="B86" s="298"/>
      <c r="C86" s="301"/>
      <c r="D86" s="129" t="s">
        <v>2576</v>
      </c>
    </row>
    <row r="87" spans="2:4" x14ac:dyDescent="0.2">
      <c r="B87" s="296" t="s">
        <v>2577</v>
      </c>
      <c r="C87" s="299" t="s">
        <v>6328</v>
      </c>
      <c r="D87" s="125" t="s">
        <v>2578</v>
      </c>
    </row>
    <row r="88" spans="2:4" x14ac:dyDescent="0.2">
      <c r="B88" s="297"/>
      <c r="C88" s="300"/>
      <c r="D88" s="127" t="s">
        <v>2579</v>
      </c>
    </row>
    <row r="89" spans="2:4" x14ac:dyDescent="0.2">
      <c r="B89" s="297"/>
      <c r="C89" s="300"/>
      <c r="D89" s="127" t="s">
        <v>2580</v>
      </c>
    </row>
    <row r="90" spans="2:4" x14ac:dyDescent="0.2">
      <c r="B90" s="297"/>
      <c r="C90" s="300"/>
      <c r="D90" s="127" t="s">
        <v>2581</v>
      </c>
    </row>
    <row r="91" spans="2:4" x14ac:dyDescent="0.2">
      <c r="B91" s="298"/>
      <c r="C91" s="301"/>
      <c r="D91" s="129" t="s">
        <v>2582</v>
      </c>
    </row>
    <row r="92" spans="2:4" x14ac:dyDescent="0.2">
      <c r="B92" s="296" t="s">
        <v>2583</v>
      </c>
      <c r="C92" s="299" t="s">
        <v>6329</v>
      </c>
      <c r="D92" s="125" t="s">
        <v>2584</v>
      </c>
    </row>
    <row r="93" spans="2:4" x14ac:dyDescent="0.2">
      <c r="B93" s="297"/>
      <c r="C93" s="300"/>
      <c r="D93" s="127" t="s">
        <v>2585</v>
      </c>
    </row>
    <row r="94" spans="2:4" x14ac:dyDescent="0.2">
      <c r="B94" s="298"/>
      <c r="C94" s="301"/>
      <c r="D94" s="129" t="s">
        <v>2586</v>
      </c>
    </row>
    <row r="95" spans="2:4" x14ac:dyDescent="0.2">
      <c r="B95" s="296" t="s">
        <v>2587</v>
      </c>
      <c r="C95" s="299" t="s">
        <v>6330</v>
      </c>
      <c r="D95" s="125" t="s">
        <v>2588</v>
      </c>
    </row>
    <row r="96" spans="2:4" x14ac:dyDescent="0.2">
      <c r="B96" s="297"/>
      <c r="C96" s="300"/>
      <c r="D96" s="127" t="s">
        <v>2589</v>
      </c>
    </row>
    <row r="97" spans="2:4" x14ac:dyDescent="0.2">
      <c r="B97" s="297"/>
      <c r="C97" s="300"/>
      <c r="D97" s="127" t="s">
        <v>2590</v>
      </c>
    </row>
    <row r="98" spans="2:4" x14ac:dyDescent="0.2">
      <c r="B98" s="297"/>
      <c r="C98" s="300"/>
      <c r="D98" s="127" t="s">
        <v>2591</v>
      </c>
    </row>
    <row r="99" spans="2:4" x14ac:dyDescent="0.2">
      <c r="B99" s="298"/>
      <c r="C99" s="301"/>
      <c r="D99" s="129" t="s">
        <v>2592</v>
      </c>
    </row>
    <row r="100" spans="2:4" ht="45" x14ac:dyDescent="0.2">
      <c r="B100" s="121" t="s">
        <v>2593</v>
      </c>
      <c r="C100" s="122" t="s">
        <v>6331</v>
      </c>
      <c r="D100" s="137"/>
    </row>
  </sheetData>
  <mergeCells count="10">
    <mergeCell ref="B92:B94"/>
    <mergeCell ref="C92:C94"/>
    <mergeCell ref="B95:B99"/>
    <mergeCell ref="C95:C99"/>
    <mergeCell ref="B72:B75"/>
    <mergeCell ref="B76:B79"/>
    <mergeCell ref="B81:B86"/>
    <mergeCell ref="C81:C86"/>
    <mergeCell ref="B87:B91"/>
    <mergeCell ref="C87:C91"/>
  </mergeCells>
  <hyperlinks>
    <hyperlink ref="C69" r:id="rId1" xr:uid="{00000000-0004-0000-06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130" zoomScaleNormal="130" workbookViewId="0">
      <selection activeCell="J14" sqref="J14"/>
    </sheetView>
  </sheetViews>
  <sheetFormatPr defaultColWidth="8.85546875"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61"/>
  <sheetViews>
    <sheetView topLeftCell="A45" workbookViewId="0">
      <selection activeCell="H14" sqref="H14"/>
    </sheetView>
  </sheetViews>
  <sheetFormatPr defaultColWidth="8.85546875" defaultRowHeight="15" x14ac:dyDescent="0.25"/>
  <cols>
    <col min="1" max="1" width="12.85546875" customWidth="1"/>
    <col min="2" max="2" width="25.42578125" style="27" customWidth="1"/>
    <col min="3" max="3" width="19" style="24" customWidth="1"/>
    <col min="4" max="4" width="12.7109375" style="29" customWidth="1"/>
    <col min="5" max="5" width="37.28515625" style="31" customWidth="1"/>
  </cols>
  <sheetData>
    <row r="1" spans="2:5" s="1" customFormat="1" ht="19.5" customHeight="1" x14ac:dyDescent="0.25">
      <c r="B1" s="25" t="s">
        <v>0</v>
      </c>
      <c r="C1" s="18" t="s">
        <v>1594</v>
      </c>
      <c r="D1" s="28" t="s">
        <v>1593</v>
      </c>
      <c r="E1" s="30" t="s">
        <v>1595</v>
      </c>
    </row>
    <row r="2" spans="2:5" x14ac:dyDescent="0.25">
      <c r="B2" s="26" t="s">
        <v>1097</v>
      </c>
      <c r="C2" s="302" t="s">
        <v>1097</v>
      </c>
      <c r="D2" s="303" t="s">
        <v>1550</v>
      </c>
      <c r="E2" s="31" t="s">
        <v>1596</v>
      </c>
    </row>
    <row r="3" spans="2:5" x14ac:dyDescent="0.25">
      <c r="B3" s="26" t="s">
        <v>609</v>
      </c>
      <c r="C3" s="302"/>
      <c r="D3" s="303"/>
      <c r="E3" s="31" t="s">
        <v>1596</v>
      </c>
    </row>
    <row r="4" spans="2:5" x14ac:dyDescent="0.25">
      <c r="B4" s="26" t="s">
        <v>2186</v>
      </c>
      <c r="C4" s="302"/>
      <c r="D4" s="303"/>
      <c r="E4" s="31" t="s">
        <v>1596</v>
      </c>
    </row>
    <row r="5" spans="2:5" x14ac:dyDescent="0.25">
      <c r="B5" s="26" t="s">
        <v>499</v>
      </c>
      <c r="C5" s="302"/>
      <c r="D5" s="303"/>
      <c r="E5" s="31" t="s">
        <v>1596</v>
      </c>
    </row>
    <row r="6" spans="2:5" x14ac:dyDescent="0.25">
      <c r="B6" s="26" t="s">
        <v>6271</v>
      </c>
      <c r="C6" s="302"/>
      <c r="D6" s="303"/>
      <c r="E6" s="31" t="s">
        <v>1596</v>
      </c>
    </row>
    <row r="7" spans="2:5" x14ac:dyDescent="0.25">
      <c r="B7" s="26" t="s">
        <v>117</v>
      </c>
      <c r="C7" s="34"/>
      <c r="D7" s="303"/>
      <c r="E7" s="31" t="s">
        <v>1596</v>
      </c>
    </row>
    <row r="8" spans="2:5" x14ac:dyDescent="0.25">
      <c r="B8" s="26" t="s">
        <v>6272</v>
      </c>
      <c r="C8" s="107"/>
      <c r="D8" s="303"/>
      <c r="E8" s="31" t="s">
        <v>1596</v>
      </c>
    </row>
    <row r="9" spans="2:5" x14ac:dyDescent="0.25">
      <c r="B9" s="26" t="s">
        <v>6270</v>
      </c>
      <c r="C9" s="107"/>
      <c r="D9" s="303"/>
      <c r="E9" s="31" t="s">
        <v>1596</v>
      </c>
    </row>
    <row r="10" spans="2:5" x14ac:dyDescent="0.25">
      <c r="B10" s="26" t="s">
        <v>1475</v>
      </c>
      <c r="C10" s="107"/>
      <c r="D10" s="303"/>
      <c r="E10" s="31" t="s">
        <v>1596</v>
      </c>
    </row>
    <row r="11" spans="2:5" x14ac:dyDescent="0.25">
      <c r="B11" s="16" t="s">
        <v>527</v>
      </c>
      <c r="C11" s="304" t="s">
        <v>1550</v>
      </c>
      <c r="D11" s="303"/>
      <c r="E11" s="31" t="s">
        <v>1596</v>
      </c>
    </row>
    <row r="12" spans="2:5" x14ac:dyDescent="0.25">
      <c r="B12" s="16" t="s">
        <v>1034</v>
      </c>
      <c r="C12" s="304"/>
      <c r="D12" s="303"/>
      <c r="E12" s="31" t="s">
        <v>1596</v>
      </c>
    </row>
    <row r="13" spans="2:5" x14ac:dyDescent="0.25">
      <c r="B13" s="26" t="s">
        <v>1023</v>
      </c>
      <c r="C13" s="302" t="s">
        <v>1545</v>
      </c>
      <c r="D13" s="303" t="s">
        <v>1545</v>
      </c>
      <c r="E13" s="31" t="s">
        <v>1596</v>
      </c>
    </row>
    <row r="14" spans="2:5" x14ac:dyDescent="0.25">
      <c r="B14" s="26" t="s">
        <v>228</v>
      </c>
      <c r="C14" s="302"/>
      <c r="D14" s="303"/>
      <c r="E14" s="31" t="s">
        <v>1596</v>
      </c>
    </row>
    <row r="15" spans="2:5" x14ac:dyDescent="0.25">
      <c r="B15" s="26" t="s">
        <v>1506</v>
      </c>
      <c r="C15" s="302"/>
      <c r="D15" s="303"/>
      <c r="E15" s="31" t="s">
        <v>1596</v>
      </c>
    </row>
    <row r="16" spans="2:5" x14ac:dyDescent="0.25">
      <c r="B16" s="26" t="s">
        <v>1505</v>
      </c>
      <c r="C16" s="302"/>
      <c r="D16" s="303"/>
      <c r="E16" s="31" t="s">
        <v>1596</v>
      </c>
    </row>
    <row r="17" spans="2:5" x14ac:dyDescent="0.25">
      <c r="B17" s="26" t="s">
        <v>440</v>
      </c>
      <c r="C17" s="302"/>
      <c r="D17" s="303"/>
      <c r="E17" s="31" t="s">
        <v>1596</v>
      </c>
    </row>
    <row r="18" spans="2:5" x14ac:dyDescent="0.25">
      <c r="B18" s="26" t="s">
        <v>159</v>
      </c>
      <c r="C18" s="302"/>
      <c r="D18" s="303"/>
      <c r="E18" s="31" t="s">
        <v>1596</v>
      </c>
    </row>
    <row r="19" spans="2:5" x14ac:dyDescent="0.25">
      <c r="B19" s="26" t="s">
        <v>503</v>
      </c>
      <c r="C19" s="302"/>
      <c r="D19" s="303"/>
      <c r="E19" s="31" t="s">
        <v>1596</v>
      </c>
    </row>
    <row r="20" spans="2:5" x14ac:dyDescent="0.25">
      <c r="B20" s="26" t="s">
        <v>2386</v>
      </c>
      <c r="C20" s="302"/>
      <c r="D20" s="303"/>
      <c r="E20" s="31" t="s">
        <v>1596</v>
      </c>
    </row>
    <row r="21" spans="2:5" x14ac:dyDescent="0.25">
      <c r="B21" s="26" t="s">
        <v>1486</v>
      </c>
      <c r="C21" s="302"/>
      <c r="D21" s="303"/>
      <c r="E21" s="31" t="s">
        <v>1596</v>
      </c>
    </row>
    <row r="22" spans="2:5" x14ac:dyDescent="0.25">
      <c r="B22" s="26" t="s">
        <v>764</v>
      </c>
      <c r="C22" s="302"/>
      <c r="D22" s="303"/>
      <c r="E22" s="31" t="s">
        <v>1596</v>
      </c>
    </row>
    <row r="23" spans="2:5" x14ac:dyDescent="0.25">
      <c r="B23" s="26" t="s">
        <v>1597</v>
      </c>
      <c r="C23" s="302"/>
      <c r="D23" s="303"/>
      <c r="E23" s="31" t="s">
        <v>1596</v>
      </c>
    </row>
    <row r="24" spans="2:5" x14ac:dyDescent="0.25">
      <c r="B24" s="26" t="s">
        <v>116</v>
      </c>
      <c r="C24" s="302"/>
      <c r="D24" s="303"/>
      <c r="E24" s="31" t="s">
        <v>1596</v>
      </c>
    </row>
    <row r="25" spans="2:5" x14ac:dyDescent="0.25">
      <c r="B25" s="16" t="s">
        <v>1023</v>
      </c>
      <c r="C25" s="304" t="s">
        <v>131</v>
      </c>
      <c r="D25" s="303"/>
      <c r="E25" s="31" t="s">
        <v>1596</v>
      </c>
    </row>
    <row r="26" spans="2:5" x14ac:dyDescent="0.25">
      <c r="B26" s="16" t="s">
        <v>592</v>
      </c>
      <c r="C26" s="304"/>
      <c r="D26" s="303"/>
      <c r="E26" s="31" t="s">
        <v>1596</v>
      </c>
    </row>
    <row r="27" spans="2:5" x14ac:dyDescent="0.25">
      <c r="B27" s="16" t="s">
        <v>1507</v>
      </c>
      <c r="C27" s="304"/>
      <c r="D27" s="303"/>
      <c r="E27" s="31" t="s">
        <v>1596</v>
      </c>
    </row>
    <row r="28" spans="2:5" x14ac:dyDescent="0.25">
      <c r="B28" s="16" t="s">
        <v>1598</v>
      </c>
      <c r="C28" s="304"/>
      <c r="D28" s="303"/>
      <c r="E28" s="31" t="s">
        <v>1596</v>
      </c>
    </row>
    <row r="29" spans="2:5" x14ac:dyDescent="0.25">
      <c r="B29" s="16" t="s">
        <v>131</v>
      </c>
      <c r="C29" s="304"/>
      <c r="D29" s="303"/>
      <c r="E29" s="31" t="s">
        <v>1596</v>
      </c>
    </row>
    <row r="30" spans="2:5" x14ac:dyDescent="0.25">
      <c r="B30" s="16" t="s">
        <v>1599</v>
      </c>
      <c r="C30" s="304"/>
      <c r="D30" s="303"/>
      <c r="E30" s="31" t="s">
        <v>1596</v>
      </c>
    </row>
    <row r="31" spans="2:5" x14ac:dyDescent="0.25">
      <c r="B31" s="26" t="s">
        <v>114</v>
      </c>
      <c r="C31" s="302" t="s">
        <v>553</v>
      </c>
      <c r="D31" s="303" t="s">
        <v>553</v>
      </c>
      <c r="E31" s="31" t="s">
        <v>1596</v>
      </c>
    </row>
    <row r="32" spans="2:5" x14ac:dyDescent="0.25">
      <c r="B32" s="26" t="s">
        <v>1501</v>
      </c>
      <c r="C32" s="302"/>
      <c r="D32" s="303"/>
      <c r="E32" s="31" t="s">
        <v>1596</v>
      </c>
    </row>
    <row r="33" spans="2:5" x14ac:dyDescent="0.25">
      <c r="B33" s="26" t="s">
        <v>376</v>
      </c>
      <c r="C33" s="302"/>
      <c r="D33" s="303"/>
      <c r="E33" s="31" t="s">
        <v>1596</v>
      </c>
    </row>
    <row r="34" spans="2:5" x14ac:dyDescent="0.25">
      <c r="B34" s="26" t="s">
        <v>1497</v>
      </c>
      <c r="C34" s="302"/>
      <c r="D34" s="303"/>
      <c r="E34" s="31" t="s">
        <v>1596</v>
      </c>
    </row>
    <row r="35" spans="2:5" x14ac:dyDescent="0.25">
      <c r="B35" s="26" t="s">
        <v>1485</v>
      </c>
      <c r="C35" s="302"/>
      <c r="D35" s="303"/>
      <c r="E35" s="31" t="s">
        <v>1596</v>
      </c>
    </row>
    <row r="36" spans="2:5" x14ac:dyDescent="0.25">
      <c r="B36" s="26" t="s">
        <v>1478</v>
      </c>
      <c r="C36" s="302"/>
      <c r="D36" s="303"/>
      <c r="E36" s="31" t="s">
        <v>1596</v>
      </c>
    </row>
    <row r="37" spans="2:5" x14ac:dyDescent="0.25">
      <c r="B37" s="26" t="s">
        <v>1504</v>
      </c>
      <c r="C37" s="302"/>
      <c r="D37" s="303"/>
      <c r="E37" s="31" t="s">
        <v>1596</v>
      </c>
    </row>
    <row r="38" spans="2:5" x14ac:dyDescent="0.25">
      <c r="B38" s="26" t="s">
        <v>1508</v>
      </c>
      <c r="C38" s="302"/>
      <c r="D38" s="303"/>
      <c r="E38" s="31" t="s">
        <v>1596</v>
      </c>
    </row>
    <row r="39" spans="2:5" x14ac:dyDescent="0.25">
      <c r="B39" s="26" t="s">
        <v>1499</v>
      </c>
      <c r="C39" s="302"/>
      <c r="D39" s="303"/>
      <c r="E39" s="31" t="s">
        <v>1596</v>
      </c>
    </row>
    <row r="40" spans="2:5" x14ac:dyDescent="0.25">
      <c r="B40" s="26" t="s">
        <v>553</v>
      </c>
      <c r="C40" s="302"/>
      <c r="D40" s="303"/>
      <c r="E40" s="31" t="s">
        <v>1596</v>
      </c>
    </row>
    <row r="41" spans="2:5" x14ac:dyDescent="0.25">
      <c r="B41" s="26" t="s">
        <v>538</v>
      </c>
      <c r="C41" s="302"/>
      <c r="D41" s="303"/>
      <c r="E41" s="31" t="s">
        <v>1596</v>
      </c>
    </row>
    <row r="42" spans="2:5" x14ac:dyDescent="0.25">
      <c r="B42" s="26" t="s">
        <v>812</v>
      </c>
      <c r="C42" s="302"/>
      <c r="D42" s="303"/>
      <c r="E42" s="31" t="s">
        <v>1596</v>
      </c>
    </row>
    <row r="43" spans="2:5" x14ac:dyDescent="0.25">
      <c r="B43" s="26" t="s">
        <v>375</v>
      </c>
      <c r="C43" s="302"/>
      <c r="D43" s="303"/>
      <c r="E43" s="31" t="s">
        <v>1596</v>
      </c>
    </row>
    <row r="44" spans="2:5" x14ac:dyDescent="0.25">
      <c r="B44" s="26" t="s">
        <v>1498</v>
      </c>
      <c r="C44" s="302"/>
      <c r="D44" s="303"/>
      <c r="E44" s="31" t="s">
        <v>1596</v>
      </c>
    </row>
    <row r="45" spans="2:5" x14ac:dyDescent="0.25">
      <c r="B45" s="26" t="s">
        <v>1503</v>
      </c>
      <c r="C45" s="302"/>
      <c r="D45" s="303"/>
      <c r="E45" s="31" t="s">
        <v>1596</v>
      </c>
    </row>
    <row r="46" spans="2:5" x14ac:dyDescent="0.25">
      <c r="B46" s="26" t="s">
        <v>158</v>
      </c>
      <c r="C46" s="302"/>
      <c r="D46" s="303"/>
      <c r="E46" s="31" t="s">
        <v>1596</v>
      </c>
    </row>
    <row r="47" spans="2:5" x14ac:dyDescent="0.25">
      <c r="B47" s="26" t="s">
        <v>1496</v>
      </c>
      <c r="C47" s="302"/>
      <c r="D47" s="303"/>
      <c r="E47" s="31" t="s">
        <v>1596</v>
      </c>
    </row>
    <row r="48" spans="2:5" x14ac:dyDescent="0.25">
      <c r="B48" s="26" t="s">
        <v>1494</v>
      </c>
      <c r="C48" s="302"/>
      <c r="D48" s="303"/>
      <c r="E48" s="31" t="s">
        <v>1596</v>
      </c>
    </row>
    <row r="49" spans="2:5" x14ac:dyDescent="0.25">
      <c r="B49" s="26" t="s">
        <v>258</v>
      </c>
      <c r="C49" s="302"/>
      <c r="D49" s="303"/>
      <c r="E49" s="31" t="s">
        <v>1596</v>
      </c>
    </row>
    <row r="50" spans="2:5" x14ac:dyDescent="0.25">
      <c r="B50" s="26" t="s">
        <v>241</v>
      </c>
      <c r="C50" s="302"/>
      <c r="D50" s="303"/>
      <c r="E50" s="31" t="s">
        <v>1596</v>
      </c>
    </row>
    <row r="51" spans="2:5" x14ac:dyDescent="0.25">
      <c r="B51" s="26" t="s">
        <v>1474</v>
      </c>
      <c r="C51" s="302"/>
      <c r="D51" s="303"/>
      <c r="E51" s="31" t="s">
        <v>1596</v>
      </c>
    </row>
    <row r="52" spans="2:5" x14ac:dyDescent="0.25">
      <c r="B52" s="26" t="s">
        <v>2620</v>
      </c>
      <c r="C52" s="38" t="s">
        <v>4233</v>
      </c>
      <c r="D52" s="39"/>
      <c r="E52" s="31" t="s">
        <v>1596</v>
      </c>
    </row>
    <row r="53" spans="2:5" x14ac:dyDescent="0.25">
      <c r="B53" s="26" t="s">
        <v>2693</v>
      </c>
      <c r="C53" s="50" t="s">
        <v>4233</v>
      </c>
      <c r="D53" s="51"/>
      <c r="E53" s="31" t="s">
        <v>1596</v>
      </c>
    </row>
    <row r="54" spans="2:5" x14ac:dyDescent="0.25">
      <c r="B54" s="26"/>
      <c r="C54" s="50"/>
      <c r="D54" s="51"/>
    </row>
    <row r="55" spans="2:5" x14ac:dyDescent="0.25">
      <c r="B55" s="26" t="s">
        <v>610</v>
      </c>
      <c r="C55" s="35" t="s">
        <v>2218</v>
      </c>
      <c r="D55" s="36"/>
      <c r="E55" s="31" t="s">
        <v>2219</v>
      </c>
    </row>
    <row r="56" spans="2:5" x14ac:dyDescent="0.25">
      <c r="B56" s="26" t="s">
        <v>610</v>
      </c>
      <c r="C56" s="32" t="s">
        <v>1549</v>
      </c>
      <c r="D56" s="303" t="s">
        <v>610</v>
      </c>
      <c r="E56" s="31" t="s">
        <v>1600</v>
      </c>
    </row>
    <row r="57" spans="2:5" x14ac:dyDescent="0.25">
      <c r="B57" s="26" t="s">
        <v>610</v>
      </c>
      <c r="C57" s="33" t="s">
        <v>1546</v>
      </c>
      <c r="D57" s="303"/>
      <c r="E57" s="31" t="s">
        <v>1601</v>
      </c>
    </row>
    <row r="58" spans="2:5" x14ac:dyDescent="0.25">
      <c r="B58" s="26" t="s">
        <v>610</v>
      </c>
      <c r="C58" s="32" t="s">
        <v>1547</v>
      </c>
      <c r="D58" s="303"/>
      <c r="E58" s="31" t="s">
        <v>1602</v>
      </c>
    </row>
    <row r="59" spans="2:5" x14ac:dyDescent="0.25">
      <c r="B59" s="26" t="s">
        <v>5348</v>
      </c>
      <c r="C59" s="32" t="s">
        <v>3136</v>
      </c>
      <c r="D59" s="303"/>
      <c r="E59" s="31" t="s">
        <v>5986</v>
      </c>
    </row>
    <row r="60" spans="2:5" x14ac:dyDescent="0.25">
      <c r="B60" s="26" t="s">
        <v>610</v>
      </c>
      <c r="C60" s="33" t="s">
        <v>1603</v>
      </c>
      <c r="D60" s="303"/>
      <c r="E60" s="31" t="s">
        <v>1604</v>
      </c>
    </row>
    <row r="61" spans="2:5" x14ac:dyDescent="0.25">
      <c r="B61" s="26" t="s">
        <v>4586</v>
      </c>
      <c r="C61" s="47" t="s">
        <v>4584</v>
      </c>
      <c r="D61" s="48" t="s">
        <v>4584</v>
      </c>
      <c r="E61" s="31" t="s">
        <v>5484</v>
      </c>
    </row>
  </sheetData>
  <mergeCells count="9">
    <mergeCell ref="C31:C51"/>
    <mergeCell ref="D31:D51"/>
    <mergeCell ref="D56:D60"/>
    <mergeCell ref="C2:C6"/>
    <mergeCell ref="D2:D12"/>
    <mergeCell ref="C11:C12"/>
    <mergeCell ref="C13:C24"/>
    <mergeCell ref="D13:D30"/>
    <mergeCell ref="C25:C3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49"/>
  <sheetViews>
    <sheetView topLeftCell="A9" workbookViewId="0">
      <selection activeCell="B49" sqref="B49"/>
    </sheetView>
  </sheetViews>
  <sheetFormatPr defaultColWidth="8.85546875" defaultRowHeight="15" x14ac:dyDescent="0.25"/>
  <cols>
    <col min="2" max="2" width="34.7109375" style="3" customWidth="1"/>
    <col min="3" max="3" width="27.140625" style="3" customWidth="1"/>
    <col min="4" max="4" width="35.42578125" style="3" customWidth="1"/>
    <col min="5" max="5" width="24" style="3" customWidth="1"/>
  </cols>
  <sheetData>
    <row r="1" spans="2:5" s="1" customFormat="1" ht="21" customHeight="1" x14ac:dyDescent="0.25">
      <c r="B1" s="9" t="s">
        <v>1605</v>
      </c>
      <c r="C1" s="9" t="s">
        <v>1594</v>
      </c>
      <c r="D1" s="9" t="s">
        <v>1593</v>
      </c>
      <c r="E1" s="9" t="s">
        <v>1595</v>
      </c>
    </row>
    <row r="2" spans="2:5" x14ac:dyDescent="0.25">
      <c r="B2" s="17" t="s">
        <v>132</v>
      </c>
      <c r="C2" s="306" t="s">
        <v>132</v>
      </c>
      <c r="D2" s="307" t="s">
        <v>1606</v>
      </c>
      <c r="E2" s="3" t="s">
        <v>1606</v>
      </c>
    </row>
    <row r="3" spans="2:5" x14ac:dyDescent="0.25">
      <c r="B3" s="17" t="s">
        <v>770</v>
      </c>
      <c r="C3" s="306"/>
      <c r="D3" s="307"/>
      <c r="E3" s="3" t="s">
        <v>1606</v>
      </c>
    </row>
    <row r="4" spans="2:5" x14ac:dyDescent="0.25">
      <c r="B4" s="17" t="s">
        <v>1607</v>
      </c>
      <c r="C4" s="306"/>
      <c r="D4" s="307"/>
      <c r="E4" s="3" t="s">
        <v>1606</v>
      </c>
    </row>
    <row r="5" spans="2:5" x14ac:dyDescent="0.25">
      <c r="B5" s="11" t="s">
        <v>158</v>
      </c>
      <c r="C5" s="19" t="s">
        <v>158</v>
      </c>
      <c r="D5" s="307"/>
      <c r="E5" s="3" t="s">
        <v>1606</v>
      </c>
    </row>
    <row r="6" spans="2:5" x14ac:dyDescent="0.25">
      <c r="B6" s="11"/>
      <c r="C6" s="19"/>
      <c r="D6" s="307"/>
      <c r="E6" s="3" t="s">
        <v>1606</v>
      </c>
    </row>
    <row r="7" spans="2:5" x14ac:dyDescent="0.25">
      <c r="B7" s="20" t="s">
        <v>116</v>
      </c>
      <c r="C7" s="21" t="s">
        <v>116</v>
      </c>
      <c r="D7" s="307"/>
      <c r="E7" s="3" t="s">
        <v>1606</v>
      </c>
    </row>
    <row r="8" spans="2:5" x14ac:dyDescent="0.25">
      <c r="B8" s="20"/>
      <c r="C8" s="20"/>
      <c r="D8" s="307"/>
      <c r="E8" s="3" t="s">
        <v>1606</v>
      </c>
    </row>
    <row r="9" spans="2:5" x14ac:dyDescent="0.25">
      <c r="B9" s="53" t="s">
        <v>4583</v>
      </c>
      <c r="C9" s="54" t="s">
        <v>4584</v>
      </c>
      <c r="D9" s="307"/>
      <c r="E9" s="3" t="s">
        <v>1606</v>
      </c>
    </row>
    <row r="10" spans="2:5" x14ac:dyDescent="0.25">
      <c r="B10" s="14" t="s">
        <v>218</v>
      </c>
      <c r="C10" s="308" t="s">
        <v>5133</v>
      </c>
      <c r="D10" s="307"/>
      <c r="E10" s="3" t="s">
        <v>1606</v>
      </c>
    </row>
    <row r="11" spans="2:5" x14ac:dyDescent="0.25">
      <c r="B11" s="14" t="s">
        <v>560</v>
      </c>
      <c r="C11" s="308"/>
      <c r="D11" s="307"/>
      <c r="E11" s="3" t="s">
        <v>1606</v>
      </c>
    </row>
    <row r="12" spans="2:5" x14ac:dyDescent="0.25">
      <c r="B12" s="14" t="s">
        <v>2283</v>
      </c>
      <c r="C12" s="308"/>
      <c r="D12" s="307"/>
      <c r="E12" s="3" t="s">
        <v>1606</v>
      </c>
    </row>
    <row r="13" spans="2:5" x14ac:dyDescent="0.25">
      <c r="B13" s="14" t="s">
        <v>496</v>
      </c>
      <c r="C13" s="41"/>
      <c r="D13" s="40"/>
      <c r="E13" s="3" t="s">
        <v>1606</v>
      </c>
    </row>
    <row r="14" spans="2:5" x14ac:dyDescent="0.25">
      <c r="B14" s="14" t="s">
        <v>1096</v>
      </c>
      <c r="C14" s="41"/>
      <c r="D14" s="40"/>
      <c r="E14" s="3" t="s">
        <v>1606</v>
      </c>
    </row>
    <row r="15" spans="2:5" x14ac:dyDescent="0.25">
      <c r="B15" s="14" t="s">
        <v>1023</v>
      </c>
      <c r="C15" s="41"/>
      <c r="D15" s="40"/>
      <c r="E15" s="3" t="s">
        <v>1606</v>
      </c>
    </row>
    <row r="16" spans="2:5" x14ac:dyDescent="0.25">
      <c r="B16" s="14" t="s">
        <v>3234</v>
      </c>
      <c r="C16" s="41"/>
      <c r="D16" s="40"/>
      <c r="E16" s="3" t="s">
        <v>1606</v>
      </c>
    </row>
    <row r="17" spans="2:5" x14ac:dyDescent="0.25">
      <c r="B17" s="22"/>
      <c r="C17" s="22" t="s">
        <v>658</v>
      </c>
      <c r="D17" s="309" t="s">
        <v>1608</v>
      </c>
      <c r="E17" s="3" t="s">
        <v>5983</v>
      </c>
    </row>
    <row r="18" spans="2:5" x14ac:dyDescent="0.25">
      <c r="B18" s="22"/>
      <c r="C18" s="22" t="s">
        <v>1609</v>
      </c>
      <c r="D18" s="309"/>
      <c r="E18" s="3" t="s">
        <v>5983</v>
      </c>
    </row>
    <row r="19" spans="2:5" x14ac:dyDescent="0.25">
      <c r="B19" s="22"/>
      <c r="C19" s="22" t="s">
        <v>1610</v>
      </c>
      <c r="D19" s="309"/>
      <c r="E19" s="3" t="s">
        <v>5983</v>
      </c>
    </row>
    <row r="20" spans="2:5" x14ac:dyDescent="0.25">
      <c r="B20" s="22"/>
      <c r="C20" s="22" t="s">
        <v>1611</v>
      </c>
      <c r="D20" s="309"/>
      <c r="E20" s="3" t="s">
        <v>5983</v>
      </c>
    </row>
    <row r="21" spans="2:5" x14ac:dyDescent="0.25">
      <c r="B21" s="22"/>
      <c r="C21" s="22" t="s">
        <v>1612</v>
      </c>
      <c r="D21" s="309" t="s">
        <v>1613</v>
      </c>
      <c r="E21" s="3" t="s">
        <v>5983</v>
      </c>
    </row>
    <row r="22" spans="2:5" x14ac:dyDescent="0.25">
      <c r="B22" s="22"/>
      <c r="C22" s="22" t="s">
        <v>1614</v>
      </c>
      <c r="D22" s="309"/>
      <c r="E22" s="3" t="s">
        <v>1577</v>
      </c>
    </row>
    <row r="23" spans="2:5" x14ac:dyDescent="0.25">
      <c r="B23" s="22"/>
      <c r="C23" s="22" t="s">
        <v>1615</v>
      </c>
      <c r="D23" s="309"/>
      <c r="E23" s="3" t="s">
        <v>1577</v>
      </c>
    </row>
    <row r="24" spans="2:5" x14ac:dyDescent="0.25">
      <c r="B24" s="14" t="s">
        <v>3401</v>
      </c>
      <c r="C24" s="41" t="s">
        <v>3471</v>
      </c>
      <c r="D24" s="97"/>
      <c r="E24" s="14" t="s">
        <v>3471</v>
      </c>
    </row>
    <row r="25" spans="2:5" x14ac:dyDescent="0.25">
      <c r="B25" s="14" t="s">
        <v>3379</v>
      </c>
      <c r="C25" s="52"/>
      <c r="D25" s="97"/>
      <c r="E25" s="14" t="s">
        <v>3471</v>
      </c>
    </row>
    <row r="26" spans="2:5" x14ac:dyDescent="0.25">
      <c r="B26" s="14" t="s">
        <v>5447</v>
      </c>
      <c r="C26" s="52"/>
      <c r="D26" s="97"/>
      <c r="E26" s="14" t="s">
        <v>3471</v>
      </c>
    </row>
    <row r="27" spans="2:5" x14ac:dyDescent="0.25">
      <c r="B27" s="14" t="s">
        <v>3470</v>
      </c>
      <c r="C27" s="41"/>
      <c r="D27" s="97"/>
      <c r="E27" s="14" t="s">
        <v>3471</v>
      </c>
    </row>
    <row r="28" spans="2:5" x14ac:dyDescent="0.25">
      <c r="B28" s="14" t="s">
        <v>3680</v>
      </c>
      <c r="C28" s="42"/>
      <c r="D28" s="97"/>
      <c r="E28" s="14" t="s">
        <v>3471</v>
      </c>
    </row>
    <row r="29" spans="2:5" x14ac:dyDescent="0.25">
      <c r="B29" s="14" t="s">
        <v>4520</v>
      </c>
      <c r="C29" s="49"/>
      <c r="D29" s="97"/>
      <c r="E29" s="14" t="s">
        <v>3471</v>
      </c>
    </row>
    <row r="30" spans="2:5" x14ac:dyDescent="0.25">
      <c r="B30" s="14" t="s">
        <v>4545</v>
      </c>
      <c r="C30" s="49"/>
      <c r="D30" s="97"/>
      <c r="E30" s="14" t="s">
        <v>3471</v>
      </c>
    </row>
    <row r="31" spans="2:5" x14ac:dyDescent="0.25">
      <c r="B31" s="14" t="s">
        <v>6611</v>
      </c>
      <c r="C31" s="146"/>
      <c r="D31" s="146"/>
      <c r="E31" s="14" t="s">
        <v>3471</v>
      </c>
    </row>
    <row r="32" spans="2:5" x14ac:dyDescent="0.25">
      <c r="B32" s="14" t="s">
        <v>6709</v>
      </c>
      <c r="C32" s="147"/>
      <c r="D32" s="147"/>
      <c r="E32" s="14" t="s">
        <v>3471</v>
      </c>
    </row>
    <row r="33" spans="2:5" x14ac:dyDescent="0.25">
      <c r="B33" s="98" t="s">
        <v>5134</v>
      </c>
      <c r="C33" s="99" t="s">
        <v>5529</v>
      </c>
      <c r="D33" s="99"/>
      <c r="E33" s="98" t="s">
        <v>5529</v>
      </c>
    </row>
    <row r="34" spans="2:5" x14ac:dyDescent="0.25">
      <c r="B34" s="101" t="s">
        <v>3469</v>
      </c>
      <c r="C34" s="305" t="s">
        <v>227</v>
      </c>
      <c r="D34" s="100"/>
      <c r="E34" s="101" t="s">
        <v>227</v>
      </c>
    </row>
    <row r="35" spans="2:5" x14ac:dyDescent="0.25">
      <c r="B35" s="101" t="s">
        <v>2282</v>
      </c>
      <c r="C35" s="305"/>
      <c r="D35" s="100"/>
      <c r="E35" s="101" t="s">
        <v>227</v>
      </c>
    </row>
    <row r="36" spans="2:5" x14ac:dyDescent="0.25">
      <c r="B36" s="101" t="s">
        <v>3472</v>
      </c>
      <c r="C36" s="305"/>
      <c r="D36" s="100"/>
      <c r="E36" s="101" t="s">
        <v>227</v>
      </c>
    </row>
    <row r="37" spans="2:5" x14ac:dyDescent="0.25">
      <c r="B37" s="101" t="s">
        <v>375</v>
      </c>
      <c r="C37" s="305"/>
      <c r="D37" s="100"/>
      <c r="E37" s="101" t="s">
        <v>227</v>
      </c>
    </row>
    <row r="38" spans="2:5" x14ac:dyDescent="0.25">
      <c r="B38" s="101" t="s">
        <v>6623</v>
      </c>
      <c r="C38" s="305"/>
      <c r="D38" s="145"/>
      <c r="E38" s="101" t="s">
        <v>227</v>
      </c>
    </row>
    <row r="39" spans="2:5" x14ac:dyDescent="0.25">
      <c r="B39" s="101" t="s">
        <v>3476</v>
      </c>
      <c r="C39" s="305"/>
      <c r="D39" s="100"/>
      <c r="E39" s="101" t="s">
        <v>227</v>
      </c>
    </row>
    <row r="40" spans="2:5" x14ac:dyDescent="0.25">
      <c r="B40" s="101" t="s">
        <v>240</v>
      </c>
      <c r="C40" s="305"/>
      <c r="D40" s="100"/>
      <c r="E40" s="101" t="s">
        <v>227</v>
      </c>
    </row>
    <row r="41" spans="2:5" x14ac:dyDescent="0.25">
      <c r="B41" s="101" t="s">
        <v>1445</v>
      </c>
      <c r="C41" s="305"/>
      <c r="D41" s="100"/>
      <c r="E41" s="101" t="s">
        <v>227</v>
      </c>
    </row>
    <row r="42" spans="2:5" x14ac:dyDescent="0.25">
      <c r="B42" s="101" t="s">
        <v>3474</v>
      </c>
      <c r="C42" s="305"/>
      <c r="D42" s="100"/>
      <c r="E42" s="101" t="s">
        <v>227</v>
      </c>
    </row>
    <row r="43" spans="2:5" x14ac:dyDescent="0.25">
      <c r="B43" s="101" t="s">
        <v>3475</v>
      </c>
      <c r="C43" s="305"/>
      <c r="D43" s="100"/>
      <c r="E43" s="101" t="s">
        <v>227</v>
      </c>
    </row>
    <row r="44" spans="2:5" x14ac:dyDescent="0.25">
      <c r="B44" s="101" t="s">
        <v>3531</v>
      </c>
      <c r="C44" s="305"/>
      <c r="D44" s="100"/>
      <c r="E44" s="101" t="s">
        <v>227</v>
      </c>
    </row>
    <row r="45" spans="2:5" x14ac:dyDescent="0.25">
      <c r="B45" s="101" t="s">
        <v>3673</v>
      </c>
      <c r="C45" s="305"/>
      <c r="D45" s="100"/>
      <c r="E45" s="101" t="s">
        <v>227</v>
      </c>
    </row>
    <row r="46" spans="2:5" x14ac:dyDescent="0.25">
      <c r="B46" s="101" t="s">
        <v>345</v>
      </c>
      <c r="C46" s="305"/>
      <c r="D46" s="100"/>
      <c r="E46" s="101" t="s">
        <v>227</v>
      </c>
    </row>
    <row r="47" spans="2:5" x14ac:dyDescent="0.25">
      <c r="B47" s="101" t="s">
        <v>5373</v>
      </c>
      <c r="C47" s="305"/>
      <c r="D47" s="100"/>
      <c r="E47" s="101" t="s">
        <v>227</v>
      </c>
    </row>
    <row r="48" spans="2:5" x14ac:dyDescent="0.25">
      <c r="B48" s="101" t="s">
        <v>5592</v>
      </c>
      <c r="C48" s="305"/>
      <c r="D48" s="100"/>
      <c r="E48" s="101" t="s">
        <v>227</v>
      </c>
    </row>
    <row r="49" spans="2:5" x14ac:dyDescent="0.25">
      <c r="B49" s="138" t="s">
        <v>6332</v>
      </c>
      <c r="C49" s="138" t="s">
        <v>4584</v>
      </c>
      <c r="D49" s="138" t="s">
        <v>4584</v>
      </c>
      <c r="E49" s="138" t="s">
        <v>6332</v>
      </c>
    </row>
  </sheetData>
  <mergeCells count="6">
    <mergeCell ref="C34:C48"/>
    <mergeCell ref="C2:C4"/>
    <mergeCell ref="D2:D12"/>
    <mergeCell ref="C10:C12"/>
    <mergeCell ref="D17:D20"/>
    <mergeCell ref="D21:D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F18"/>
  <sheetViews>
    <sheetView workbookViewId="0">
      <selection activeCell="I21" sqref="I21"/>
    </sheetView>
  </sheetViews>
  <sheetFormatPr defaultColWidth="8.85546875" defaultRowHeight="15" x14ac:dyDescent="0.25"/>
  <cols>
    <col min="3" max="3" width="24.85546875" customWidth="1"/>
    <col min="4" max="4" width="19.42578125" customWidth="1"/>
    <col min="5" max="5" width="21.28515625" customWidth="1"/>
    <col min="6" max="6" width="13" customWidth="1"/>
  </cols>
  <sheetData>
    <row r="1" spans="3:6" x14ac:dyDescent="0.25">
      <c r="C1" s="9" t="s">
        <v>4482</v>
      </c>
      <c r="D1" s="9" t="s">
        <v>1594</v>
      </c>
      <c r="E1" s="9" t="s">
        <v>1593</v>
      </c>
      <c r="F1" s="9" t="s">
        <v>1595</v>
      </c>
    </row>
    <row r="2" spans="3:6" x14ac:dyDescent="0.25">
      <c r="C2" s="44" t="s">
        <v>4483</v>
      </c>
      <c r="D2" s="44" t="s">
        <v>229</v>
      </c>
      <c r="E2" t="s">
        <v>2081</v>
      </c>
    </row>
    <row r="3" spans="3:6" x14ac:dyDescent="0.25">
      <c r="C3" s="46" t="s">
        <v>278</v>
      </c>
      <c r="D3" s="44" t="s">
        <v>229</v>
      </c>
      <c r="E3" t="s">
        <v>2081</v>
      </c>
    </row>
    <row r="4" spans="3:6" x14ac:dyDescent="0.25">
      <c r="C4" s="44" t="s">
        <v>536</v>
      </c>
      <c r="D4" s="44" t="s">
        <v>229</v>
      </c>
      <c r="E4" t="s">
        <v>2081</v>
      </c>
    </row>
    <row r="5" spans="3:6" x14ac:dyDescent="0.25">
      <c r="C5" s="44" t="s">
        <v>4487</v>
      </c>
      <c r="D5" s="44" t="s">
        <v>229</v>
      </c>
      <c r="E5" t="s">
        <v>2081</v>
      </c>
    </row>
    <row r="6" spans="3:6" x14ac:dyDescent="0.25">
      <c r="C6" s="44" t="s">
        <v>4488</v>
      </c>
      <c r="D6" s="44" t="s">
        <v>229</v>
      </c>
      <c r="E6" t="s">
        <v>2081</v>
      </c>
    </row>
    <row r="7" spans="3:6" x14ac:dyDescent="0.25">
      <c r="C7" s="44" t="s">
        <v>2261</v>
      </c>
      <c r="D7" s="44" t="s">
        <v>229</v>
      </c>
      <c r="E7" t="s">
        <v>2081</v>
      </c>
    </row>
    <row r="8" spans="3:6" x14ac:dyDescent="0.25">
      <c r="C8" s="44" t="s">
        <v>2354</v>
      </c>
      <c r="D8" s="44" t="s">
        <v>229</v>
      </c>
      <c r="E8" t="s">
        <v>2081</v>
      </c>
    </row>
    <row r="9" spans="3:6" x14ac:dyDescent="0.25">
      <c r="C9" s="44" t="s">
        <v>6632</v>
      </c>
      <c r="D9" s="44" t="s">
        <v>229</v>
      </c>
      <c r="E9" t="s">
        <v>2081</v>
      </c>
    </row>
    <row r="10" spans="3:6" x14ac:dyDescent="0.25">
      <c r="C10" s="44" t="s">
        <v>2976</v>
      </c>
      <c r="D10" s="44" t="s">
        <v>229</v>
      </c>
      <c r="E10" t="s">
        <v>2081</v>
      </c>
    </row>
    <row r="11" spans="3:6" x14ac:dyDescent="0.25">
      <c r="C11" s="44" t="s">
        <v>5513</v>
      </c>
      <c r="D11" s="44" t="s">
        <v>229</v>
      </c>
      <c r="E11" t="s">
        <v>2081</v>
      </c>
    </row>
    <row r="12" spans="3:6" x14ac:dyDescent="0.25">
      <c r="C12" s="45" t="s">
        <v>4485</v>
      </c>
      <c r="D12" s="45" t="s">
        <v>4486</v>
      </c>
      <c r="E12" t="s">
        <v>4499</v>
      </c>
    </row>
    <row r="13" spans="3:6" x14ac:dyDescent="0.25">
      <c r="C13" s="45" t="s">
        <v>454</v>
      </c>
      <c r="D13" s="45" t="s">
        <v>4486</v>
      </c>
      <c r="E13" t="s">
        <v>4499</v>
      </c>
    </row>
    <row r="14" spans="3:6" x14ac:dyDescent="0.25">
      <c r="C14" s="45" t="s">
        <v>497</v>
      </c>
      <c r="D14" s="45" t="s">
        <v>4486</v>
      </c>
      <c r="E14" t="s">
        <v>4499</v>
      </c>
    </row>
    <row r="15" spans="3:6" x14ac:dyDescent="0.25">
      <c r="C15" s="45" t="s">
        <v>439</v>
      </c>
      <c r="D15" s="45" t="s">
        <v>4486</v>
      </c>
      <c r="E15" t="s">
        <v>4499</v>
      </c>
    </row>
    <row r="16" spans="3:6" x14ac:dyDescent="0.25">
      <c r="C16" s="45" t="s">
        <v>4484</v>
      </c>
      <c r="D16" s="45" t="s">
        <v>4486</v>
      </c>
      <c r="E16" t="s">
        <v>4499</v>
      </c>
    </row>
    <row r="17" spans="3:5" x14ac:dyDescent="0.25">
      <c r="C17" s="45" t="s">
        <v>6733</v>
      </c>
      <c r="D17" s="45" t="s">
        <v>4486</v>
      </c>
      <c r="E17" t="s">
        <v>4499</v>
      </c>
    </row>
    <row r="18" spans="3:5" x14ac:dyDescent="0.25">
      <c r="C18" s="45" t="s">
        <v>216</v>
      </c>
      <c r="D18" s="45" t="s">
        <v>216</v>
      </c>
      <c r="E18" t="s">
        <v>2082</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C5"/>
  <sheetViews>
    <sheetView workbookViewId="0">
      <selection activeCell="D11" sqref="D11"/>
    </sheetView>
  </sheetViews>
  <sheetFormatPr defaultColWidth="8.85546875" defaultRowHeight="15" x14ac:dyDescent="0.25"/>
  <cols>
    <col min="2" max="2" width="28.42578125" customWidth="1"/>
    <col min="3" max="3" width="35.42578125" customWidth="1"/>
  </cols>
  <sheetData>
    <row r="1" spans="2:3" s="1" customFormat="1" ht="28.5" customHeight="1" x14ac:dyDescent="0.25">
      <c r="B1" s="1" t="s">
        <v>1648</v>
      </c>
      <c r="C1" s="1" t="s">
        <v>1595</v>
      </c>
    </row>
    <row r="2" spans="2:3" x14ac:dyDescent="0.25">
      <c r="B2" t="s">
        <v>1646</v>
      </c>
      <c r="C2" t="s">
        <v>1649</v>
      </c>
    </row>
    <row r="3" spans="2:3" x14ac:dyDescent="0.25">
      <c r="B3" t="s">
        <v>1647</v>
      </c>
      <c r="C3" t="s">
        <v>1649</v>
      </c>
    </row>
    <row r="4" spans="2:3" x14ac:dyDescent="0.25">
      <c r="B4" t="s">
        <v>5713</v>
      </c>
      <c r="C4" t="s">
        <v>6351</v>
      </c>
    </row>
    <row r="5" spans="2:3" x14ac:dyDescent="0.25">
      <c r="B5" t="s">
        <v>6353</v>
      </c>
      <c r="C5" t="s">
        <v>6352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
  <sheetViews>
    <sheetView workbookViewId="0">
      <selection activeCell="F37" sqref="F37"/>
    </sheetView>
  </sheetViews>
  <sheetFormatPr defaultColWidth="8.85546875" defaultRowHeight="15" x14ac:dyDescent="0.25"/>
  <cols>
    <col min="1" max="1" width="9.140625" style="56"/>
    <col min="2" max="2" width="64.140625" style="3" customWidth="1"/>
    <col min="3" max="3" width="10.140625" style="56" customWidth="1"/>
    <col min="4" max="4" width="10" style="3" customWidth="1"/>
    <col min="5" max="6" width="70.28515625" style="3" customWidth="1"/>
    <col min="7" max="9" width="9.140625" style="3"/>
  </cols>
  <sheetData>
    <row r="1" spans="1:9" s="1" customFormat="1" x14ac:dyDescent="0.25">
      <c r="A1" s="89" t="s">
        <v>1384</v>
      </c>
      <c r="B1" s="4" t="s">
        <v>1385</v>
      </c>
      <c r="C1" s="89" t="s">
        <v>109</v>
      </c>
      <c r="D1" s="4" t="s">
        <v>1386</v>
      </c>
      <c r="E1" s="4" t="s">
        <v>4478</v>
      </c>
      <c r="F1" s="4" t="s">
        <v>4479</v>
      </c>
      <c r="G1" s="4"/>
      <c r="H1" s="4"/>
      <c r="I1" s="4"/>
    </row>
    <row r="2" spans="1:9" x14ac:dyDescent="0.25">
      <c r="A2" s="56">
        <v>1</v>
      </c>
      <c r="B2" s="3" t="s">
        <v>1407</v>
      </c>
      <c r="C2" s="56">
        <v>60</v>
      </c>
      <c r="D2" s="3" t="s">
        <v>1430</v>
      </c>
      <c r="E2" s="3" t="s">
        <v>1431</v>
      </c>
    </row>
    <row r="3" spans="1:9" x14ac:dyDescent="0.25">
      <c r="A3" s="56">
        <v>2</v>
      </c>
      <c r="B3" s="3" t="s">
        <v>1455</v>
      </c>
    </row>
    <row r="4" spans="1:9" x14ac:dyDescent="0.25">
      <c r="A4" s="56">
        <v>3</v>
      </c>
      <c r="B4" s="3" t="s">
        <v>2360</v>
      </c>
    </row>
    <row r="5" spans="1:9" x14ac:dyDescent="0.25">
      <c r="A5" s="56">
        <v>4</v>
      </c>
      <c r="B5" s="3" t="s">
        <v>2362</v>
      </c>
    </row>
    <row r="6" spans="1:9" x14ac:dyDescent="0.25">
      <c r="A6" s="56">
        <v>5</v>
      </c>
      <c r="B6" s="3" t="s">
        <v>2363</v>
      </c>
    </row>
    <row r="7" spans="1:9" x14ac:dyDescent="0.25">
      <c r="A7" s="56">
        <v>6</v>
      </c>
      <c r="B7" s="3" t="s">
        <v>2368</v>
      </c>
    </row>
    <row r="8" spans="1:9" x14ac:dyDescent="0.25">
      <c r="A8" s="56">
        <v>7</v>
      </c>
      <c r="B8" s="3" t="s">
        <v>2377</v>
      </c>
    </row>
    <row r="9" spans="1:9" x14ac:dyDescent="0.25">
      <c r="A9" s="56">
        <v>8</v>
      </c>
      <c r="B9" s="3" t="s">
        <v>3370</v>
      </c>
    </row>
    <row r="10" spans="1:9" x14ac:dyDescent="0.25">
      <c r="A10" s="56">
        <v>9</v>
      </c>
      <c r="B10" s="3" t="s">
        <v>3372</v>
      </c>
    </row>
    <row r="11" spans="1:9" s="149" customFormat="1" ht="30" x14ac:dyDescent="0.25">
      <c r="A11" s="150">
        <v>10</v>
      </c>
      <c r="B11" s="149" t="s">
        <v>4475</v>
      </c>
      <c r="C11" s="150"/>
      <c r="E11" s="151" t="s">
        <v>4476</v>
      </c>
      <c r="F11" s="149" t="s">
        <v>4477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22"/>
  <sheetViews>
    <sheetView zoomScale="93" zoomScaleNormal="93" workbookViewId="0">
      <selection sqref="A1:B1048576"/>
    </sheetView>
  </sheetViews>
  <sheetFormatPr defaultColWidth="8.85546875" defaultRowHeight="15" x14ac:dyDescent="0.25"/>
  <cols>
    <col min="1" max="1" width="9.42578125" style="76" customWidth="1"/>
    <col min="2" max="2" width="253" style="103" customWidth="1"/>
  </cols>
  <sheetData>
    <row r="1" spans="1:2" s="1" customFormat="1" x14ac:dyDescent="0.25">
      <c r="A1" s="102" t="s">
        <v>109</v>
      </c>
      <c r="B1" s="106" t="s">
        <v>6268</v>
      </c>
    </row>
    <row r="2" spans="1:2" x14ac:dyDescent="0.25">
      <c r="A2" s="76">
        <v>1</v>
      </c>
      <c r="B2" s="103" t="s">
        <v>5987</v>
      </c>
    </row>
    <row r="3" spans="1:2" x14ac:dyDescent="0.25">
      <c r="A3" s="76">
        <v>2</v>
      </c>
      <c r="B3" s="103" t="s">
        <v>5988</v>
      </c>
    </row>
    <row r="4" spans="1:2" x14ac:dyDescent="0.25">
      <c r="A4" s="76">
        <v>3</v>
      </c>
      <c r="B4" s="103" t="s">
        <v>5989</v>
      </c>
    </row>
    <row r="5" spans="1:2" x14ac:dyDescent="0.25">
      <c r="A5" s="76">
        <v>4</v>
      </c>
      <c r="B5" s="103" t="s">
        <v>5990</v>
      </c>
    </row>
    <row r="6" spans="1:2" x14ac:dyDescent="0.25">
      <c r="A6" s="76">
        <v>5</v>
      </c>
      <c r="B6" s="103" t="s">
        <v>5991</v>
      </c>
    </row>
    <row r="7" spans="1:2" x14ac:dyDescent="0.25">
      <c r="A7" s="76">
        <v>6</v>
      </c>
      <c r="B7" s="103" t="s">
        <v>5992</v>
      </c>
    </row>
    <row r="8" spans="1:2" x14ac:dyDescent="0.25">
      <c r="A8" s="76">
        <v>7</v>
      </c>
      <c r="B8" s="103" t="s">
        <v>5993</v>
      </c>
    </row>
    <row r="9" spans="1:2" ht="15.75" x14ac:dyDescent="0.25">
      <c r="A9" s="76">
        <v>8</v>
      </c>
      <c r="B9" s="104" t="s">
        <v>5995</v>
      </c>
    </row>
    <row r="10" spans="1:2" x14ac:dyDescent="0.25">
      <c r="A10" s="76">
        <v>9</v>
      </c>
      <c r="B10" s="103" t="s">
        <v>5994</v>
      </c>
    </row>
    <row r="11" spans="1:2" ht="15.75" x14ac:dyDescent="0.25">
      <c r="A11" s="76">
        <v>10</v>
      </c>
      <c r="B11" s="104" t="s">
        <v>5996</v>
      </c>
    </row>
    <row r="12" spans="1:2" ht="15.75" x14ac:dyDescent="0.25">
      <c r="A12" s="76">
        <v>11</v>
      </c>
      <c r="B12" s="105" t="s">
        <v>5997</v>
      </c>
    </row>
    <row r="13" spans="1:2" ht="15.75" x14ac:dyDescent="0.25">
      <c r="A13" s="76">
        <v>12</v>
      </c>
      <c r="B13" s="105" t="s">
        <v>5998</v>
      </c>
    </row>
    <row r="14" spans="1:2" ht="15.75" x14ac:dyDescent="0.25">
      <c r="A14" s="76">
        <v>13</v>
      </c>
      <c r="B14" s="105" t="s">
        <v>5999</v>
      </c>
    </row>
    <row r="15" spans="1:2" ht="15.75" x14ac:dyDescent="0.25">
      <c r="A15" s="76">
        <v>14</v>
      </c>
      <c r="B15" s="105" t="s">
        <v>6000</v>
      </c>
    </row>
    <row r="16" spans="1:2" ht="15.75" x14ac:dyDescent="0.25">
      <c r="A16" s="76">
        <v>15</v>
      </c>
      <c r="B16" s="105" t="s">
        <v>6001</v>
      </c>
    </row>
    <row r="17" spans="1:2" ht="15.75" x14ac:dyDescent="0.25">
      <c r="A17" s="76">
        <v>16</v>
      </c>
      <c r="B17" s="105" t="s">
        <v>6002</v>
      </c>
    </row>
    <row r="18" spans="1:2" ht="15.75" x14ac:dyDescent="0.25">
      <c r="A18" s="76">
        <v>17</v>
      </c>
      <c r="B18" s="105" t="s">
        <v>6003</v>
      </c>
    </row>
    <row r="19" spans="1:2" ht="15.75" x14ac:dyDescent="0.25">
      <c r="A19" s="76">
        <v>18</v>
      </c>
      <c r="B19" s="105" t="s">
        <v>6004</v>
      </c>
    </row>
    <row r="20" spans="1:2" ht="15.75" x14ac:dyDescent="0.25">
      <c r="A20" s="76">
        <v>19</v>
      </c>
      <c r="B20" s="105" t="s">
        <v>6005</v>
      </c>
    </row>
    <row r="21" spans="1:2" ht="15.75" x14ac:dyDescent="0.25">
      <c r="A21" s="76">
        <v>20</v>
      </c>
      <c r="B21" s="105" t="s">
        <v>6006</v>
      </c>
    </row>
    <row r="22" spans="1:2" ht="15.75" x14ac:dyDescent="0.25">
      <c r="A22" s="76">
        <v>21</v>
      </c>
      <c r="B22" s="105" t="s">
        <v>6007</v>
      </c>
    </row>
    <row r="23" spans="1:2" ht="15.75" x14ac:dyDescent="0.25">
      <c r="A23" s="76">
        <v>22</v>
      </c>
      <c r="B23" s="105" t="s">
        <v>6008</v>
      </c>
    </row>
    <row r="24" spans="1:2" ht="15.75" x14ac:dyDescent="0.25">
      <c r="A24" s="76">
        <v>23</v>
      </c>
      <c r="B24" s="105" t="s">
        <v>6009</v>
      </c>
    </row>
    <row r="25" spans="1:2" ht="15.75" x14ac:dyDescent="0.25">
      <c r="A25" s="76">
        <v>24</v>
      </c>
      <c r="B25" s="104" t="s">
        <v>6010</v>
      </c>
    </row>
    <row r="26" spans="1:2" ht="15.75" x14ac:dyDescent="0.25">
      <c r="A26" s="76">
        <v>25</v>
      </c>
      <c r="B26" s="104" t="s">
        <v>6011</v>
      </c>
    </row>
    <row r="27" spans="1:2" ht="15.75" x14ac:dyDescent="0.25">
      <c r="A27" s="76">
        <v>26</v>
      </c>
      <c r="B27" s="104" t="s">
        <v>6012</v>
      </c>
    </row>
    <row r="28" spans="1:2" ht="15.75" x14ac:dyDescent="0.25">
      <c r="A28" s="76">
        <v>27</v>
      </c>
      <c r="B28" s="104" t="s">
        <v>6013</v>
      </c>
    </row>
    <row r="29" spans="1:2" ht="15.75" x14ac:dyDescent="0.25">
      <c r="A29" s="76">
        <v>28</v>
      </c>
      <c r="B29" s="104" t="s">
        <v>6014</v>
      </c>
    </row>
    <row r="30" spans="1:2" ht="15.75" x14ac:dyDescent="0.25">
      <c r="A30" s="76">
        <v>29</v>
      </c>
      <c r="B30" s="104" t="s">
        <v>6015</v>
      </c>
    </row>
    <row r="31" spans="1:2" ht="15.75" x14ac:dyDescent="0.25">
      <c r="A31" s="76">
        <v>30</v>
      </c>
      <c r="B31" s="104" t="s">
        <v>6016</v>
      </c>
    </row>
    <row r="32" spans="1:2" ht="15.75" x14ac:dyDescent="0.25">
      <c r="A32" s="76">
        <v>31</v>
      </c>
      <c r="B32" s="104" t="s">
        <v>6017</v>
      </c>
    </row>
    <row r="33" spans="1:2" ht="15.75" x14ac:dyDescent="0.25">
      <c r="A33" s="76">
        <v>32</v>
      </c>
      <c r="B33" s="104" t="s">
        <v>6018</v>
      </c>
    </row>
    <row r="34" spans="1:2" ht="15.75" x14ac:dyDescent="0.25">
      <c r="A34" s="76">
        <v>33</v>
      </c>
      <c r="B34" s="104" t="s">
        <v>6019</v>
      </c>
    </row>
    <row r="35" spans="1:2" ht="15.75" x14ac:dyDescent="0.25">
      <c r="A35" s="76">
        <v>34</v>
      </c>
      <c r="B35" s="104" t="s">
        <v>6020</v>
      </c>
    </row>
    <row r="36" spans="1:2" ht="15.75" x14ac:dyDescent="0.25">
      <c r="A36" s="76">
        <v>35</v>
      </c>
      <c r="B36" s="104" t="s">
        <v>6021</v>
      </c>
    </row>
    <row r="37" spans="1:2" ht="15.75" x14ac:dyDescent="0.25">
      <c r="A37" s="76">
        <v>36</v>
      </c>
      <c r="B37" s="104" t="s">
        <v>6022</v>
      </c>
    </row>
    <row r="38" spans="1:2" ht="15.75" x14ac:dyDescent="0.25">
      <c r="A38" s="76">
        <v>37</v>
      </c>
      <c r="B38" s="104" t="s">
        <v>6023</v>
      </c>
    </row>
    <row r="39" spans="1:2" ht="15.75" x14ac:dyDescent="0.25">
      <c r="A39" s="76">
        <v>38</v>
      </c>
      <c r="B39" s="104" t="s">
        <v>6024</v>
      </c>
    </row>
    <row r="40" spans="1:2" ht="15.75" x14ac:dyDescent="0.25">
      <c r="A40" s="76">
        <v>39</v>
      </c>
      <c r="B40" s="104" t="s">
        <v>6025</v>
      </c>
    </row>
    <row r="41" spans="1:2" ht="15.75" x14ac:dyDescent="0.25">
      <c r="A41" s="76">
        <v>40</v>
      </c>
      <c r="B41" s="104" t="s">
        <v>6026</v>
      </c>
    </row>
    <row r="42" spans="1:2" ht="15.75" x14ac:dyDescent="0.25">
      <c r="A42" s="76">
        <v>41</v>
      </c>
      <c r="B42" s="104" t="s">
        <v>6027</v>
      </c>
    </row>
    <row r="43" spans="1:2" ht="15.75" x14ac:dyDescent="0.25">
      <c r="A43" s="76">
        <v>42</v>
      </c>
      <c r="B43" s="104" t="s">
        <v>6028</v>
      </c>
    </row>
    <row r="44" spans="1:2" ht="15.75" x14ac:dyDescent="0.25">
      <c r="A44" s="76">
        <v>43</v>
      </c>
      <c r="B44" s="105" t="s">
        <v>6029</v>
      </c>
    </row>
    <row r="45" spans="1:2" ht="15.75" x14ac:dyDescent="0.25">
      <c r="A45" s="76">
        <v>44</v>
      </c>
      <c r="B45" s="104" t="s">
        <v>6030</v>
      </c>
    </row>
    <row r="46" spans="1:2" ht="15.75" x14ac:dyDescent="0.25">
      <c r="A46" s="76">
        <v>45</v>
      </c>
      <c r="B46" s="104" t="s">
        <v>6031</v>
      </c>
    </row>
    <row r="47" spans="1:2" ht="15.75" x14ac:dyDescent="0.25">
      <c r="A47" s="76">
        <v>46</v>
      </c>
      <c r="B47" s="104" t="s">
        <v>6032</v>
      </c>
    </row>
    <row r="48" spans="1:2" ht="15.75" x14ac:dyDescent="0.25">
      <c r="A48" s="76">
        <v>47</v>
      </c>
      <c r="B48" s="104" t="s">
        <v>6033</v>
      </c>
    </row>
    <row r="49" spans="1:2" ht="15.75" x14ac:dyDescent="0.25">
      <c r="A49" s="76">
        <v>48</v>
      </c>
      <c r="B49" s="104" t="s">
        <v>6034</v>
      </c>
    </row>
    <row r="50" spans="1:2" ht="15.75" x14ac:dyDescent="0.25">
      <c r="A50" s="76">
        <v>49</v>
      </c>
      <c r="B50" s="104" t="s">
        <v>6035</v>
      </c>
    </row>
    <row r="51" spans="1:2" ht="15.75" x14ac:dyDescent="0.25">
      <c r="A51" s="76">
        <v>50</v>
      </c>
      <c r="B51" s="104" t="s">
        <v>6036</v>
      </c>
    </row>
    <row r="52" spans="1:2" ht="15.75" x14ac:dyDescent="0.25">
      <c r="A52" s="76">
        <v>51</v>
      </c>
      <c r="B52" s="104" t="s">
        <v>6037</v>
      </c>
    </row>
    <row r="53" spans="1:2" ht="15.75" x14ac:dyDescent="0.25">
      <c r="A53" s="76">
        <v>52</v>
      </c>
      <c r="B53" s="104" t="s">
        <v>6038</v>
      </c>
    </row>
    <row r="54" spans="1:2" ht="15.75" x14ac:dyDescent="0.25">
      <c r="A54" s="76">
        <v>53</v>
      </c>
      <c r="B54" s="104" t="s">
        <v>6039</v>
      </c>
    </row>
    <row r="55" spans="1:2" ht="15.75" x14ac:dyDescent="0.25">
      <c r="A55" s="76">
        <v>54</v>
      </c>
      <c r="B55" s="104" t="s">
        <v>6040</v>
      </c>
    </row>
    <row r="56" spans="1:2" ht="15.75" x14ac:dyDescent="0.25">
      <c r="A56" s="76">
        <v>55</v>
      </c>
      <c r="B56" s="104" t="s">
        <v>6041</v>
      </c>
    </row>
    <row r="57" spans="1:2" ht="15.75" x14ac:dyDescent="0.25">
      <c r="A57" s="76">
        <v>56</v>
      </c>
      <c r="B57" s="104" t="s">
        <v>6042</v>
      </c>
    </row>
    <row r="58" spans="1:2" ht="15.75" x14ac:dyDescent="0.25">
      <c r="A58" s="76">
        <v>57</v>
      </c>
      <c r="B58" s="104" t="s">
        <v>6043</v>
      </c>
    </row>
    <row r="59" spans="1:2" ht="15.75" x14ac:dyDescent="0.25">
      <c r="A59" s="76">
        <v>58</v>
      </c>
      <c r="B59" s="104" t="s">
        <v>6044</v>
      </c>
    </row>
    <row r="60" spans="1:2" ht="15.75" x14ac:dyDescent="0.25">
      <c r="A60" s="76">
        <v>59</v>
      </c>
      <c r="B60" s="104" t="s">
        <v>6045</v>
      </c>
    </row>
    <row r="61" spans="1:2" ht="15.75" x14ac:dyDescent="0.25">
      <c r="A61" s="76">
        <v>60</v>
      </c>
      <c r="B61" s="104" t="s">
        <v>6046</v>
      </c>
    </row>
    <row r="62" spans="1:2" ht="15.75" x14ac:dyDescent="0.25">
      <c r="A62" s="76">
        <v>61</v>
      </c>
      <c r="B62" s="104" t="s">
        <v>6047</v>
      </c>
    </row>
    <row r="63" spans="1:2" ht="15.75" x14ac:dyDescent="0.25">
      <c r="A63" s="76">
        <v>62</v>
      </c>
      <c r="B63" s="104" t="s">
        <v>6048</v>
      </c>
    </row>
    <row r="64" spans="1:2" ht="15.75" x14ac:dyDescent="0.25">
      <c r="A64" s="76">
        <v>63</v>
      </c>
      <c r="B64" s="104" t="s">
        <v>6049</v>
      </c>
    </row>
    <row r="65" spans="1:2" ht="15.75" x14ac:dyDescent="0.25">
      <c r="A65" s="76">
        <v>64</v>
      </c>
      <c r="B65" s="104" t="s">
        <v>6050</v>
      </c>
    </row>
    <row r="66" spans="1:2" ht="15.75" x14ac:dyDescent="0.25">
      <c r="A66" s="76">
        <v>65</v>
      </c>
      <c r="B66" s="104" t="s">
        <v>6051</v>
      </c>
    </row>
    <row r="67" spans="1:2" ht="15.75" x14ac:dyDescent="0.25">
      <c r="A67" s="76">
        <v>66</v>
      </c>
      <c r="B67" s="104" t="s">
        <v>6052</v>
      </c>
    </row>
    <row r="68" spans="1:2" ht="15.75" x14ac:dyDescent="0.25">
      <c r="A68" s="76">
        <v>67</v>
      </c>
      <c r="B68" s="104" t="s">
        <v>6053</v>
      </c>
    </row>
    <row r="69" spans="1:2" ht="15.75" x14ac:dyDescent="0.25">
      <c r="A69" s="76">
        <v>68</v>
      </c>
      <c r="B69" s="104" t="s">
        <v>6054</v>
      </c>
    </row>
    <row r="70" spans="1:2" ht="15.75" x14ac:dyDescent="0.25">
      <c r="A70" s="76">
        <v>69</v>
      </c>
      <c r="B70" s="104" t="s">
        <v>6055</v>
      </c>
    </row>
    <row r="71" spans="1:2" ht="15.75" x14ac:dyDescent="0.25">
      <c r="A71" s="76">
        <v>70</v>
      </c>
      <c r="B71" s="104" t="s">
        <v>6056</v>
      </c>
    </row>
    <row r="72" spans="1:2" ht="15.75" x14ac:dyDescent="0.25">
      <c r="A72" s="76">
        <v>71</v>
      </c>
      <c r="B72" s="104" t="s">
        <v>6057</v>
      </c>
    </row>
    <row r="73" spans="1:2" ht="15.75" x14ac:dyDescent="0.25">
      <c r="A73" s="76">
        <v>72</v>
      </c>
      <c r="B73" s="104" t="s">
        <v>6058</v>
      </c>
    </row>
    <row r="74" spans="1:2" ht="15.75" x14ac:dyDescent="0.25">
      <c r="A74" s="76">
        <v>73</v>
      </c>
      <c r="B74" s="104" t="s">
        <v>6059</v>
      </c>
    </row>
    <row r="75" spans="1:2" ht="15.75" x14ac:dyDescent="0.25">
      <c r="A75" s="76">
        <v>74</v>
      </c>
      <c r="B75" s="105" t="s">
        <v>6060</v>
      </c>
    </row>
    <row r="76" spans="1:2" ht="15.75" x14ac:dyDescent="0.25">
      <c r="A76" s="76">
        <v>75</v>
      </c>
      <c r="B76" s="104" t="s">
        <v>6061</v>
      </c>
    </row>
    <row r="77" spans="1:2" ht="15.75" x14ac:dyDescent="0.25">
      <c r="A77" s="76">
        <v>76</v>
      </c>
      <c r="B77" s="104" t="s">
        <v>6062</v>
      </c>
    </row>
    <row r="78" spans="1:2" ht="15.75" x14ac:dyDescent="0.25">
      <c r="A78" s="76">
        <v>77</v>
      </c>
      <c r="B78" s="104" t="s">
        <v>6063</v>
      </c>
    </row>
    <row r="79" spans="1:2" ht="15.75" x14ac:dyDescent="0.25">
      <c r="A79" s="76">
        <v>78</v>
      </c>
      <c r="B79" s="104" t="s">
        <v>6064</v>
      </c>
    </row>
    <row r="80" spans="1:2" ht="15.75" x14ac:dyDescent="0.25">
      <c r="A80" s="76">
        <v>79</v>
      </c>
      <c r="B80" s="104" t="s">
        <v>6065</v>
      </c>
    </row>
    <row r="81" spans="1:2" ht="15.75" x14ac:dyDescent="0.25">
      <c r="A81" s="76">
        <v>80</v>
      </c>
      <c r="B81" s="104" t="s">
        <v>6066</v>
      </c>
    </row>
    <row r="82" spans="1:2" ht="15.75" x14ac:dyDescent="0.25">
      <c r="A82" s="76">
        <v>81</v>
      </c>
      <c r="B82" s="104" t="s">
        <v>6067</v>
      </c>
    </row>
    <row r="83" spans="1:2" ht="15.75" x14ac:dyDescent="0.25">
      <c r="A83" s="76">
        <v>82</v>
      </c>
      <c r="B83" s="104" t="s">
        <v>6068</v>
      </c>
    </row>
    <row r="84" spans="1:2" ht="15.75" x14ac:dyDescent="0.25">
      <c r="A84" s="76">
        <v>83</v>
      </c>
      <c r="B84" s="104" t="s">
        <v>6069</v>
      </c>
    </row>
    <row r="85" spans="1:2" ht="15.75" x14ac:dyDescent="0.25">
      <c r="A85" s="76">
        <v>84</v>
      </c>
      <c r="B85" s="104" t="s">
        <v>6070</v>
      </c>
    </row>
    <row r="86" spans="1:2" ht="15.75" x14ac:dyDescent="0.25">
      <c r="A86" s="76">
        <v>85</v>
      </c>
      <c r="B86" s="104" t="s">
        <v>6071</v>
      </c>
    </row>
    <row r="87" spans="1:2" ht="15.75" x14ac:dyDescent="0.25">
      <c r="A87" s="76">
        <v>86</v>
      </c>
      <c r="B87" s="104" t="s">
        <v>6072</v>
      </c>
    </row>
    <row r="88" spans="1:2" ht="15.75" x14ac:dyDescent="0.25">
      <c r="A88" s="76">
        <v>87</v>
      </c>
      <c r="B88" s="104" t="s">
        <v>6073</v>
      </c>
    </row>
    <row r="89" spans="1:2" ht="15.75" x14ac:dyDescent="0.25">
      <c r="A89" s="76">
        <v>88</v>
      </c>
      <c r="B89" s="104" t="s">
        <v>6074</v>
      </c>
    </row>
    <row r="90" spans="1:2" ht="15.75" x14ac:dyDescent="0.25">
      <c r="A90" s="76">
        <v>89</v>
      </c>
      <c r="B90" s="104" t="s">
        <v>6075</v>
      </c>
    </row>
    <row r="91" spans="1:2" ht="15.75" x14ac:dyDescent="0.25">
      <c r="A91" s="76">
        <v>90</v>
      </c>
      <c r="B91" s="104" t="s">
        <v>6076</v>
      </c>
    </row>
    <row r="92" spans="1:2" ht="15.75" x14ac:dyDescent="0.25">
      <c r="A92" s="76">
        <v>91</v>
      </c>
      <c r="B92" s="104" t="s">
        <v>6077</v>
      </c>
    </row>
    <row r="93" spans="1:2" ht="15.75" x14ac:dyDescent="0.25">
      <c r="A93" s="76">
        <v>92</v>
      </c>
      <c r="B93" s="104" t="s">
        <v>6078</v>
      </c>
    </row>
    <row r="94" spans="1:2" ht="15.75" x14ac:dyDescent="0.25">
      <c r="A94" s="76">
        <v>93</v>
      </c>
      <c r="B94" s="104" t="s">
        <v>6079</v>
      </c>
    </row>
    <row r="95" spans="1:2" ht="15.75" x14ac:dyDescent="0.25">
      <c r="A95" s="76">
        <v>94</v>
      </c>
      <c r="B95" s="104" t="s">
        <v>6080</v>
      </c>
    </row>
    <row r="96" spans="1:2" ht="15.75" x14ac:dyDescent="0.25">
      <c r="A96" s="76">
        <v>95</v>
      </c>
      <c r="B96" s="104" t="s">
        <v>6081</v>
      </c>
    </row>
    <row r="97" spans="1:2" ht="15.75" x14ac:dyDescent="0.25">
      <c r="A97" s="76">
        <v>96</v>
      </c>
      <c r="B97" s="104" t="s">
        <v>6082</v>
      </c>
    </row>
    <row r="98" spans="1:2" ht="15.75" x14ac:dyDescent="0.25">
      <c r="A98" s="76">
        <v>97</v>
      </c>
      <c r="B98" s="104" t="s">
        <v>6083</v>
      </c>
    </row>
    <row r="99" spans="1:2" ht="15.75" x14ac:dyDescent="0.25">
      <c r="A99" s="76">
        <v>98</v>
      </c>
      <c r="B99" s="104" t="s">
        <v>6084</v>
      </c>
    </row>
    <row r="100" spans="1:2" ht="15.75" x14ac:dyDescent="0.25">
      <c r="A100" s="76">
        <v>99</v>
      </c>
      <c r="B100" s="104" t="s">
        <v>6085</v>
      </c>
    </row>
    <row r="101" spans="1:2" ht="15.75" x14ac:dyDescent="0.25">
      <c r="A101" s="76">
        <v>100</v>
      </c>
      <c r="B101" s="104" t="s">
        <v>6086</v>
      </c>
    </row>
    <row r="102" spans="1:2" ht="15.75" x14ac:dyDescent="0.25">
      <c r="A102" s="76">
        <v>101</v>
      </c>
      <c r="B102" s="104" t="s">
        <v>6087</v>
      </c>
    </row>
    <row r="103" spans="1:2" ht="15.75" x14ac:dyDescent="0.25">
      <c r="A103" s="76">
        <v>102</v>
      </c>
      <c r="B103" s="104" t="s">
        <v>6088</v>
      </c>
    </row>
    <row r="104" spans="1:2" ht="15.75" x14ac:dyDescent="0.25">
      <c r="A104" s="76">
        <v>103</v>
      </c>
      <c r="B104" s="104" t="s">
        <v>6089</v>
      </c>
    </row>
    <row r="105" spans="1:2" ht="15.75" x14ac:dyDescent="0.25">
      <c r="A105" s="76">
        <v>104</v>
      </c>
      <c r="B105" s="104" t="s">
        <v>6090</v>
      </c>
    </row>
    <row r="106" spans="1:2" ht="15.75" x14ac:dyDescent="0.25">
      <c r="A106" s="76">
        <v>105</v>
      </c>
      <c r="B106" s="104" t="s">
        <v>6091</v>
      </c>
    </row>
    <row r="107" spans="1:2" ht="15.75" x14ac:dyDescent="0.25">
      <c r="A107" s="76">
        <v>106</v>
      </c>
      <c r="B107" s="104" t="s">
        <v>6092</v>
      </c>
    </row>
    <row r="108" spans="1:2" ht="15.75" x14ac:dyDescent="0.25">
      <c r="A108" s="76">
        <v>107</v>
      </c>
      <c r="B108" s="104" t="s">
        <v>6093</v>
      </c>
    </row>
    <row r="109" spans="1:2" ht="15.75" x14ac:dyDescent="0.25">
      <c r="A109" s="76">
        <v>108</v>
      </c>
      <c r="B109" s="104" t="s">
        <v>6094</v>
      </c>
    </row>
    <row r="110" spans="1:2" ht="15.75" x14ac:dyDescent="0.25">
      <c r="A110" s="76">
        <v>109</v>
      </c>
      <c r="B110" s="104" t="s">
        <v>6095</v>
      </c>
    </row>
    <row r="111" spans="1:2" ht="15.75" x14ac:dyDescent="0.25">
      <c r="A111" s="76">
        <v>110</v>
      </c>
      <c r="B111" s="104" t="s">
        <v>6096</v>
      </c>
    </row>
    <row r="112" spans="1:2" ht="15.75" x14ac:dyDescent="0.25">
      <c r="A112" s="76">
        <v>111</v>
      </c>
      <c r="B112" s="104" t="s">
        <v>6097</v>
      </c>
    </row>
    <row r="113" spans="1:2" ht="15.75" x14ac:dyDescent="0.25">
      <c r="A113" s="76">
        <v>112</v>
      </c>
      <c r="B113" s="104" t="s">
        <v>6098</v>
      </c>
    </row>
    <row r="114" spans="1:2" ht="15.75" x14ac:dyDescent="0.25">
      <c r="A114" s="76">
        <v>113</v>
      </c>
      <c r="B114" s="104" t="s">
        <v>6099</v>
      </c>
    </row>
    <row r="115" spans="1:2" ht="15.75" x14ac:dyDescent="0.25">
      <c r="A115" s="76">
        <v>114</v>
      </c>
      <c r="B115" s="104" t="s">
        <v>6100</v>
      </c>
    </row>
    <row r="116" spans="1:2" ht="15.75" x14ac:dyDescent="0.25">
      <c r="A116" s="76">
        <v>115</v>
      </c>
      <c r="B116" s="104" t="s">
        <v>6101</v>
      </c>
    </row>
    <row r="117" spans="1:2" ht="15.75" x14ac:dyDescent="0.25">
      <c r="A117" s="76">
        <v>116</v>
      </c>
      <c r="B117" s="104" t="s">
        <v>6102</v>
      </c>
    </row>
    <row r="118" spans="1:2" ht="15.75" x14ac:dyDescent="0.25">
      <c r="A118" s="76">
        <v>117</v>
      </c>
      <c r="B118" s="104" t="s">
        <v>6103</v>
      </c>
    </row>
    <row r="119" spans="1:2" ht="15.75" x14ac:dyDescent="0.25">
      <c r="A119" s="76">
        <v>118</v>
      </c>
      <c r="B119" s="104" t="s">
        <v>6104</v>
      </c>
    </row>
    <row r="120" spans="1:2" ht="15.75" x14ac:dyDescent="0.25">
      <c r="A120" s="76">
        <v>119</v>
      </c>
      <c r="B120" s="104" t="s">
        <v>6105</v>
      </c>
    </row>
    <row r="121" spans="1:2" ht="15.75" x14ac:dyDescent="0.25">
      <c r="A121" s="76">
        <v>120</v>
      </c>
      <c r="B121" s="104" t="s">
        <v>6106</v>
      </c>
    </row>
    <row r="122" spans="1:2" ht="15.75" x14ac:dyDescent="0.25">
      <c r="A122" s="76">
        <v>121</v>
      </c>
      <c r="B122" s="104" t="s">
        <v>6107</v>
      </c>
    </row>
    <row r="123" spans="1:2" ht="15.75" x14ac:dyDescent="0.25">
      <c r="A123" s="76">
        <v>122</v>
      </c>
      <c r="B123" s="104" t="s">
        <v>6108</v>
      </c>
    </row>
    <row r="124" spans="1:2" ht="15.75" x14ac:dyDescent="0.25">
      <c r="A124" s="76">
        <v>123</v>
      </c>
      <c r="B124" s="104" t="s">
        <v>6109</v>
      </c>
    </row>
    <row r="125" spans="1:2" ht="15.75" x14ac:dyDescent="0.25">
      <c r="A125" s="76">
        <v>124</v>
      </c>
      <c r="B125" s="104" t="s">
        <v>6110</v>
      </c>
    </row>
    <row r="126" spans="1:2" ht="15.75" x14ac:dyDescent="0.25">
      <c r="A126" s="76">
        <v>125</v>
      </c>
      <c r="B126" s="104" t="s">
        <v>6111</v>
      </c>
    </row>
    <row r="127" spans="1:2" ht="15.75" x14ac:dyDescent="0.25">
      <c r="A127" s="76">
        <v>126</v>
      </c>
      <c r="B127" s="104" t="s">
        <v>6112</v>
      </c>
    </row>
    <row r="128" spans="1:2" ht="15.75" x14ac:dyDescent="0.25">
      <c r="A128" s="76">
        <v>127</v>
      </c>
      <c r="B128" s="104" t="s">
        <v>6113</v>
      </c>
    </row>
    <row r="129" spans="1:2" ht="15.75" x14ac:dyDescent="0.25">
      <c r="A129" s="76">
        <v>128</v>
      </c>
      <c r="B129" s="104" t="s">
        <v>6114</v>
      </c>
    </row>
    <row r="130" spans="1:2" ht="15.75" x14ac:dyDescent="0.25">
      <c r="A130" s="76">
        <v>129</v>
      </c>
      <c r="B130" s="104" t="s">
        <v>6115</v>
      </c>
    </row>
    <row r="131" spans="1:2" ht="15.75" x14ac:dyDescent="0.25">
      <c r="A131" s="76">
        <v>130</v>
      </c>
      <c r="B131" s="104" t="s">
        <v>6116</v>
      </c>
    </row>
    <row r="132" spans="1:2" ht="15.75" x14ac:dyDescent="0.25">
      <c r="A132" s="76">
        <v>131</v>
      </c>
      <c r="B132" s="104" t="s">
        <v>6117</v>
      </c>
    </row>
    <row r="133" spans="1:2" ht="15.75" x14ac:dyDescent="0.25">
      <c r="A133" s="76">
        <v>132</v>
      </c>
      <c r="B133" s="104" t="s">
        <v>6118</v>
      </c>
    </row>
    <row r="134" spans="1:2" ht="15.75" x14ac:dyDescent="0.25">
      <c r="A134" s="76">
        <v>133</v>
      </c>
      <c r="B134" s="104" t="s">
        <v>6119</v>
      </c>
    </row>
    <row r="135" spans="1:2" ht="15.75" x14ac:dyDescent="0.25">
      <c r="A135" s="76">
        <v>134</v>
      </c>
      <c r="B135" s="104" t="s">
        <v>6120</v>
      </c>
    </row>
    <row r="136" spans="1:2" ht="15.75" x14ac:dyDescent="0.25">
      <c r="A136" s="76">
        <v>135</v>
      </c>
      <c r="B136" s="104" t="s">
        <v>6121</v>
      </c>
    </row>
    <row r="137" spans="1:2" ht="15.75" x14ac:dyDescent="0.25">
      <c r="A137" s="76">
        <v>136</v>
      </c>
      <c r="B137" s="104" t="s">
        <v>6122</v>
      </c>
    </row>
    <row r="138" spans="1:2" ht="15.75" x14ac:dyDescent="0.25">
      <c r="A138" s="76">
        <v>137</v>
      </c>
      <c r="B138" s="105" t="s">
        <v>6123</v>
      </c>
    </row>
    <row r="139" spans="1:2" ht="15.75" x14ac:dyDescent="0.25">
      <c r="A139" s="76">
        <v>138</v>
      </c>
      <c r="B139" s="105" t="s">
        <v>6124</v>
      </c>
    </row>
    <row r="140" spans="1:2" ht="15.75" x14ac:dyDescent="0.25">
      <c r="A140" s="76">
        <v>139</v>
      </c>
      <c r="B140" s="105" t="s">
        <v>6125</v>
      </c>
    </row>
    <row r="141" spans="1:2" ht="15.75" x14ac:dyDescent="0.25">
      <c r="A141" s="76">
        <v>140</v>
      </c>
      <c r="B141" s="105" t="s">
        <v>6126</v>
      </c>
    </row>
    <row r="142" spans="1:2" ht="15.75" x14ac:dyDescent="0.25">
      <c r="A142" s="76">
        <v>141</v>
      </c>
      <c r="B142" s="105" t="s">
        <v>6127</v>
      </c>
    </row>
    <row r="143" spans="1:2" ht="15.75" x14ac:dyDescent="0.25">
      <c r="A143" s="76">
        <v>142</v>
      </c>
      <c r="B143" s="104" t="s">
        <v>6128</v>
      </c>
    </row>
    <row r="144" spans="1:2" ht="15.75" x14ac:dyDescent="0.25">
      <c r="A144" s="76">
        <v>143</v>
      </c>
      <c r="B144" s="105" t="s">
        <v>6129</v>
      </c>
    </row>
    <row r="145" spans="1:2" ht="15.75" x14ac:dyDescent="0.25">
      <c r="A145" s="76">
        <v>144</v>
      </c>
      <c r="B145" s="104" t="s">
        <v>6130</v>
      </c>
    </row>
    <row r="146" spans="1:2" ht="15.75" x14ac:dyDescent="0.25">
      <c r="A146" s="76">
        <v>145</v>
      </c>
      <c r="B146" s="104" t="s">
        <v>6131</v>
      </c>
    </row>
    <row r="147" spans="1:2" ht="15.75" x14ac:dyDescent="0.25">
      <c r="A147" s="76">
        <v>146</v>
      </c>
      <c r="B147" s="105" t="s">
        <v>6132</v>
      </c>
    </row>
    <row r="148" spans="1:2" ht="15.75" x14ac:dyDescent="0.25">
      <c r="A148" s="76">
        <v>147</v>
      </c>
      <c r="B148" s="104" t="s">
        <v>6133</v>
      </c>
    </row>
    <row r="149" spans="1:2" ht="15.75" x14ac:dyDescent="0.25">
      <c r="A149" s="76">
        <v>148</v>
      </c>
      <c r="B149" s="105" t="s">
        <v>6134</v>
      </c>
    </row>
    <row r="150" spans="1:2" ht="15.75" x14ac:dyDescent="0.25">
      <c r="A150" s="76">
        <v>149</v>
      </c>
      <c r="B150" s="104" t="s">
        <v>6135</v>
      </c>
    </row>
    <row r="151" spans="1:2" ht="15.75" x14ac:dyDescent="0.25">
      <c r="A151" s="76">
        <v>150</v>
      </c>
      <c r="B151" s="105" t="s">
        <v>6136</v>
      </c>
    </row>
    <row r="152" spans="1:2" ht="15.75" x14ac:dyDescent="0.25">
      <c r="A152" s="76">
        <v>151</v>
      </c>
      <c r="B152" s="105" t="s">
        <v>6137</v>
      </c>
    </row>
    <row r="153" spans="1:2" ht="15.75" x14ac:dyDescent="0.25">
      <c r="A153" s="76">
        <v>152</v>
      </c>
      <c r="B153" s="105" t="s">
        <v>6138</v>
      </c>
    </row>
    <row r="154" spans="1:2" ht="15.75" x14ac:dyDescent="0.25">
      <c r="A154" s="76">
        <v>153</v>
      </c>
      <c r="B154" s="105" t="s">
        <v>6139</v>
      </c>
    </row>
    <row r="155" spans="1:2" ht="15.75" x14ac:dyDescent="0.25">
      <c r="A155" s="76">
        <v>154</v>
      </c>
      <c r="B155" s="105" t="s">
        <v>6140</v>
      </c>
    </row>
    <row r="156" spans="1:2" ht="15.75" x14ac:dyDescent="0.25">
      <c r="A156" s="76">
        <v>155</v>
      </c>
      <c r="B156" s="105" t="s">
        <v>6141</v>
      </c>
    </row>
    <row r="157" spans="1:2" ht="15.75" x14ac:dyDescent="0.25">
      <c r="A157" s="76">
        <v>156</v>
      </c>
      <c r="B157" s="104" t="s">
        <v>6142</v>
      </c>
    </row>
    <row r="158" spans="1:2" ht="15.75" x14ac:dyDescent="0.25">
      <c r="A158" s="76">
        <v>157</v>
      </c>
      <c r="B158" s="105" t="s">
        <v>6143</v>
      </c>
    </row>
    <row r="159" spans="1:2" ht="15.75" x14ac:dyDescent="0.25">
      <c r="A159" s="76">
        <v>158</v>
      </c>
      <c r="B159" s="105" t="s">
        <v>6144</v>
      </c>
    </row>
    <row r="160" spans="1:2" ht="15.75" x14ac:dyDescent="0.25">
      <c r="A160" s="76">
        <v>159</v>
      </c>
      <c r="B160" s="105" t="s">
        <v>6145</v>
      </c>
    </row>
    <row r="161" spans="1:2" ht="15.75" x14ac:dyDescent="0.25">
      <c r="A161" s="76">
        <v>160</v>
      </c>
      <c r="B161" s="105" t="s">
        <v>6146</v>
      </c>
    </row>
    <row r="162" spans="1:2" ht="15.75" x14ac:dyDescent="0.25">
      <c r="A162" s="76">
        <v>161</v>
      </c>
      <c r="B162" s="104" t="s">
        <v>6147</v>
      </c>
    </row>
    <row r="163" spans="1:2" ht="15.75" x14ac:dyDescent="0.25">
      <c r="A163" s="76">
        <v>162</v>
      </c>
      <c r="B163" s="104" t="s">
        <v>6148</v>
      </c>
    </row>
    <row r="164" spans="1:2" ht="15.75" x14ac:dyDescent="0.25">
      <c r="A164" s="76">
        <v>163</v>
      </c>
      <c r="B164" s="105" t="s">
        <v>6149</v>
      </c>
    </row>
    <row r="165" spans="1:2" ht="15.75" x14ac:dyDescent="0.25">
      <c r="A165" s="76">
        <v>164</v>
      </c>
      <c r="B165" s="105" t="s">
        <v>6150</v>
      </c>
    </row>
    <row r="166" spans="1:2" ht="15.75" x14ac:dyDescent="0.25">
      <c r="A166" s="76">
        <v>165</v>
      </c>
      <c r="B166" s="105" t="s">
        <v>6151</v>
      </c>
    </row>
    <row r="167" spans="1:2" ht="15.75" x14ac:dyDescent="0.25">
      <c r="A167" s="76">
        <v>166</v>
      </c>
      <c r="B167" s="105" t="s">
        <v>6152</v>
      </c>
    </row>
    <row r="168" spans="1:2" ht="15.75" x14ac:dyDescent="0.25">
      <c r="A168" s="76">
        <v>167</v>
      </c>
      <c r="B168" s="105" t="s">
        <v>6153</v>
      </c>
    </row>
    <row r="169" spans="1:2" ht="15.75" x14ac:dyDescent="0.25">
      <c r="A169" s="76">
        <v>168</v>
      </c>
      <c r="B169" s="105" t="s">
        <v>6154</v>
      </c>
    </row>
    <row r="170" spans="1:2" ht="15.75" x14ac:dyDescent="0.25">
      <c r="A170" s="76">
        <v>169</v>
      </c>
      <c r="B170" s="105" t="s">
        <v>6155</v>
      </c>
    </row>
    <row r="171" spans="1:2" ht="15.75" x14ac:dyDescent="0.25">
      <c r="A171" s="76">
        <v>170</v>
      </c>
      <c r="B171" s="104" t="s">
        <v>6156</v>
      </c>
    </row>
    <row r="172" spans="1:2" ht="15.75" x14ac:dyDescent="0.25">
      <c r="A172" s="76">
        <v>171</v>
      </c>
      <c r="B172" s="104" t="s">
        <v>6157</v>
      </c>
    </row>
    <row r="173" spans="1:2" ht="15.75" x14ac:dyDescent="0.25">
      <c r="A173" s="76">
        <v>172</v>
      </c>
      <c r="B173" s="105" t="s">
        <v>6158</v>
      </c>
    </row>
    <row r="174" spans="1:2" ht="15.75" x14ac:dyDescent="0.25">
      <c r="A174" s="76">
        <v>173</v>
      </c>
      <c r="B174" s="105" t="s">
        <v>6159</v>
      </c>
    </row>
    <row r="175" spans="1:2" ht="15.75" x14ac:dyDescent="0.25">
      <c r="A175" s="76">
        <v>174</v>
      </c>
      <c r="B175" s="104" t="s">
        <v>6160</v>
      </c>
    </row>
    <row r="176" spans="1:2" ht="15.75" x14ac:dyDescent="0.25">
      <c r="A176" s="76">
        <v>175</v>
      </c>
      <c r="B176" s="104" t="s">
        <v>6161</v>
      </c>
    </row>
    <row r="177" spans="1:2" ht="15.75" x14ac:dyDescent="0.25">
      <c r="A177" s="76">
        <v>176</v>
      </c>
      <c r="B177" s="105" t="s">
        <v>6162</v>
      </c>
    </row>
    <row r="178" spans="1:2" ht="15.75" x14ac:dyDescent="0.25">
      <c r="A178" s="76">
        <v>177</v>
      </c>
      <c r="B178" s="104" t="s">
        <v>6163</v>
      </c>
    </row>
    <row r="179" spans="1:2" ht="15.75" x14ac:dyDescent="0.25">
      <c r="A179" s="76">
        <v>178</v>
      </c>
      <c r="B179" s="105" t="s">
        <v>6164</v>
      </c>
    </row>
    <row r="180" spans="1:2" ht="15.75" x14ac:dyDescent="0.25">
      <c r="A180" s="76">
        <v>179</v>
      </c>
      <c r="B180" s="104" t="s">
        <v>6165</v>
      </c>
    </row>
    <row r="181" spans="1:2" ht="15.75" x14ac:dyDescent="0.25">
      <c r="A181" s="76">
        <v>180</v>
      </c>
      <c r="B181" s="105" t="s">
        <v>6166</v>
      </c>
    </row>
    <row r="182" spans="1:2" ht="15.75" x14ac:dyDescent="0.25">
      <c r="A182" s="76">
        <v>181</v>
      </c>
      <c r="B182" s="104" t="s">
        <v>6167</v>
      </c>
    </row>
    <row r="183" spans="1:2" ht="15.75" x14ac:dyDescent="0.25">
      <c r="A183" s="76">
        <v>182</v>
      </c>
      <c r="B183" s="104" t="s">
        <v>6168</v>
      </c>
    </row>
    <row r="184" spans="1:2" ht="15.75" x14ac:dyDescent="0.25">
      <c r="A184" s="76">
        <v>183</v>
      </c>
      <c r="B184" s="104" t="s">
        <v>6169</v>
      </c>
    </row>
    <row r="185" spans="1:2" ht="15.75" x14ac:dyDescent="0.25">
      <c r="A185" s="76">
        <v>184</v>
      </c>
      <c r="B185" s="104" t="s">
        <v>6170</v>
      </c>
    </row>
    <row r="186" spans="1:2" ht="15.75" x14ac:dyDescent="0.25">
      <c r="A186" s="76">
        <v>185</v>
      </c>
      <c r="B186" s="104" t="s">
        <v>6171</v>
      </c>
    </row>
    <row r="187" spans="1:2" ht="15.75" x14ac:dyDescent="0.25">
      <c r="A187" s="76">
        <v>186</v>
      </c>
      <c r="B187" s="104" t="s">
        <v>6172</v>
      </c>
    </row>
    <row r="188" spans="1:2" ht="15.75" x14ac:dyDescent="0.25">
      <c r="A188" s="76">
        <v>187</v>
      </c>
      <c r="B188" s="104" t="s">
        <v>6173</v>
      </c>
    </row>
    <row r="189" spans="1:2" ht="15.75" x14ac:dyDescent="0.25">
      <c r="A189" s="76">
        <v>188</v>
      </c>
      <c r="B189" s="104" t="s">
        <v>6174</v>
      </c>
    </row>
    <row r="190" spans="1:2" ht="15.75" x14ac:dyDescent="0.25">
      <c r="A190" s="76">
        <v>189</v>
      </c>
      <c r="B190" s="105" t="s">
        <v>6175</v>
      </c>
    </row>
    <row r="191" spans="1:2" ht="15.75" x14ac:dyDescent="0.25">
      <c r="A191" s="76">
        <v>190</v>
      </c>
      <c r="B191" s="104" t="s">
        <v>6176</v>
      </c>
    </row>
    <row r="192" spans="1:2" ht="15.75" x14ac:dyDescent="0.25">
      <c r="A192" s="76">
        <v>191</v>
      </c>
      <c r="B192" s="104" t="s">
        <v>6177</v>
      </c>
    </row>
    <row r="193" spans="1:2" ht="15.75" x14ac:dyDescent="0.25">
      <c r="A193" s="76">
        <v>192</v>
      </c>
      <c r="B193" s="104" t="s">
        <v>6178</v>
      </c>
    </row>
    <row r="194" spans="1:2" ht="15.75" x14ac:dyDescent="0.25">
      <c r="A194" s="76">
        <v>193</v>
      </c>
      <c r="B194" s="104" t="s">
        <v>6179</v>
      </c>
    </row>
    <row r="195" spans="1:2" ht="15.75" x14ac:dyDescent="0.25">
      <c r="A195" s="76">
        <v>194</v>
      </c>
      <c r="B195" s="104" t="s">
        <v>6180</v>
      </c>
    </row>
    <row r="196" spans="1:2" ht="15.75" x14ac:dyDescent="0.25">
      <c r="A196" s="76">
        <v>195</v>
      </c>
      <c r="B196" s="104" t="s">
        <v>6181</v>
      </c>
    </row>
    <row r="197" spans="1:2" ht="15.75" x14ac:dyDescent="0.25">
      <c r="A197" s="76">
        <v>196</v>
      </c>
      <c r="B197" s="104" t="s">
        <v>6182</v>
      </c>
    </row>
    <row r="198" spans="1:2" ht="15.75" x14ac:dyDescent="0.25">
      <c r="A198" s="76">
        <v>197</v>
      </c>
      <c r="B198" s="104" t="s">
        <v>6183</v>
      </c>
    </row>
    <row r="199" spans="1:2" ht="15.75" x14ac:dyDescent="0.25">
      <c r="A199" s="76">
        <v>198</v>
      </c>
      <c r="B199" s="104" t="s">
        <v>6184</v>
      </c>
    </row>
    <row r="200" spans="1:2" ht="15.75" x14ac:dyDescent="0.25">
      <c r="A200" s="76">
        <v>199</v>
      </c>
      <c r="B200" s="105" t="s">
        <v>6185</v>
      </c>
    </row>
    <row r="201" spans="1:2" ht="15.75" x14ac:dyDescent="0.25">
      <c r="A201" s="76">
        <v>200</v>
      </c>
      <c r="B201" s="104" t="s">
        <v>6186</v>
      </c>
    </row>
    <row r="202" spans="1:2" ht="15.75" x14ac:dyDescent="0.25">
      <c r="A202" s="76">
        <v>201</v>
      </c>
      <c r="B202" s="104" t="s">
        <v>6187</v>
      </c>
    </row>
    <row r="203" spans="1:2" ht="15.75" x14ac:dyDescent="0.25">
      <c r="A203" s="76">
        <v>202</v>
      </c>
      <c r="B203" s="104" t="s">
        <v>6188</v>
      </c>
    </row>
    <row r="204" spans="1:2" ht="15.75" x14ac:dyDescent="0.25">
      <c r="A204" s="76">
        <v>203</v>
      </c>
      <c r="B204" s="104" t="s">
        <v>6189</v>
      </c>
    </row>
    <row r="205" spans="1:2" ht="15.75" x14ac:dyDescent="0.25">
      <c r="A205" s="76">
        <v>204</v>
      </c>
      <c r="B205" s="104" t="s">
        <v>6191</v>
      </c>
    </row>
    <row r="206" spans="1:2" ht="15.75" x14ac:dyDescent="0.25">
      <c r="A206" s="76">
        <v>205</v>
      </c>
      <c r="B206" s="104" t="s">
        <v>6190</v>
      </c>
    </row>
    <row r="207" spans="1:2" ht="15.75" x14ac:dyDescent="0.25">
      <c r="A207" s="76">
        <v>206</v>
      </c>
      <c r="B207" s="104" t="s">
        <v>6192</v>
      </c>
    </row>
    <row r="208" spans="1:2" ht="15.75" x14ac:dyDescent="0.25">
      <c r="A208" s="76">
        <v>207</v>
      </c>
      <c r="B208" s="104" t="s">
        <v>6193</v>
      </c>
    </row>
    <row r="209" spans="1:2" ht="15.75" x14ac:dyDescent="0.25">
      <c r="A209" s="76">
        <v>208</v>
      </c>
      <c r="B209" s="104" t="s">
        <v>6194</v>
      </c>
    </row>
    <row r="210" spans="1:2" ht="15.75" x14ac:dyDescent="0.25">
      <c r="A210" s="76">
        <v>209</v>
      </c>
      <c r="B210" s="104" t="s">
        <v>6195</v>
      </c>
    </row>
    <row r="211" spans="1:2" ht="15.75" x14ac:dyDescent="0.25">
      <c r="A211" s="76">
        <v>210</v>
      </c>
      <c r="B211" s="104" t="s">
        <v>6196</v>
      </c>
    </row>
    <row r="212" spans="1:2" ht="15.75" x14ac:dyDescent="0.25">
      <c r="A212" s="76">
        <v>211</v>
      </c>
      <c r="B212" s="104" t="s">
        <v>6197</v>
      </c>
    </row>
    <row r="213" spans="1:2" ht="15.75" x14ac:dyDescent="0.25">
      <c r="A213" s="76">
        <v>212</v>
      </c>
      <c r="B213" s="104" t="s">
        <v>6198</v>
      </c>
    </row>
    <row r="214" spans="1:2" ht="15.75" x14ac:dyDescent="0.25">
      <c r="A214" s="76">
        <v>213</v>
      </c>
      <c r="B214" s="104" t="s">
        <v>6199</v>
      </c>
    </row>
    <row r="215" spans="1:2" ht="15.75" x14ac:dyDescent="0.25">
      <c r="A215" s="76">
        <v>214</v>
      </c>
      <c r="B215" s="104" t="s">
        <v>6200</v>
      </c>
    </row>
    <row r="216" spans="1:2" ht="15.75" x14ac:dyDescent="0.25">
      <c r="A216" s="76">
        <v>215</v>
      </c>
      <c r="B216" s="104" t="s">
        <v>6201</v>
      </c>
    </row>
    <row r="217" spans="1:2" ht="15.75" x14ac:dyDescent="0.25">
      <c r="A217" s="76">
        <v>216</v>
      </c>
      <c r="B217" s="104" t="s">
        <v>6202</v>
      </c>
    </row>
    <row r="218" spans="1:2" ht="15.75" x14ac:dyDescent="0.25">
      <c r="A218" s="76">
        <v>217</v>
      </c>
      <c r="B218" s="104" t="s">
        <v>6203</v>
      </c>
    </row>
    <row r="219" spans="1:2" ht="15.75" x14ac:dyDescent="0.25">
      <c r="A219" s="76">
        <v>218</v>
      </c>
      <c r="B219" s="104" t="s">
        <v>6204</v>
      </c>
    </row>
    <row r="220" spans="1:2" ht="15.75" x14ac:dyDescent="0.25">
      <c r="A220" s="76">
        <v>219</v>
      </c>
      <c r="B220" s="104" t="s">
        <v>6205</v>
      </c>
    </row>
    <row r="221" spans="1:2" ht="15.75" x14ac:dyDescent="0.25">
      <c r="A221" s="76">
        <v>220</v>
      </c>
      <c r="B221" s="104" t="s">
        <v>6206</v>
      </c>
    </row>
    <row r="222" spans="1:2" ht="15.75" x14ac:dyDescent="0.25">
      <c r="A222" s="76">
        <v>221</v>
      </c>
      <c r="B222" s="104" t="s">
        <v>6207</v>
      </c>
    </row>
    <row r="223" spans="1:2" ht="15.75" x14ac:dyDescent="0.25">
      <c r="A223" s="76">
        <v>222</v>
      </c>
      <c r="B223" s="104" t="s">
        <v>6208</v>
      </c>
    </row>
    <row r="224" spans="1:2" ht="15.75" x14ac:dyDescent="0.25">
      <c r="A224" s="76">
        <v>223</v>
      </c>
      <c r="B224" s="104" t="s">
        <v>6209</v>
      </c>
    </row>
    <row r="225" spans="1:2" ht="15.75" x14ac:dyDescent="0.25">
      <c r="A225" s="76">
        <v>224</v>
      </c>
      <c r="B225" s="104" t="s">
        <v>6210</v>
      </c>
    </row>
    <row r="226" spans="1:2" ht="15.75" x14ac:dyDescent="0.25">
      <c r="A226" s="76">
        <v>225</v>
      </c>
      <c r="B226" s="104" t="s">
        <v>6211</v>
      </c>
    </row>
    <row r="227" spans="1:2" ht="15.75" x14ac:dyDescent="0.25">
      <c r="A227" s="76">
        <v>226</v>
      </c>
      <c r="B227" s="104" t="s">
        <v>6212</v>
      </c>
    </row>
    <row r="228" spans="1:2" ht="15.75" x14ac:dyDescent="0.25">
      <c r="A228" s="76">
        <v>227</v>
      </c>
      <c r="B228" s="104" t="s">
        <v>6213</v>
      </c>
    </row>
    <row r="229" spans="1:2" ht="15.75" x14ac:dyDescent="0.25">
      <c r="A229" s="76">
        <v>228</v>
      </c>
      <c r="B229" s="104" t="s">
        <v>6214</v>
      </c>
    </row>
    <row r="230" spans="1:2" ht="15.75" x14ac:dyDescent="0.25">
      <c r="A230" s="76">
        <v>229</v>
      </c>
      <c r="B230" s="104" t="s">
        <v>6215</v>
      </c>
    </row>
    <row r="231" spans="1:2" ht="15.75" x14ac:dyDescent="0.25">
      <c r="A231" s="76">
        <v>230</v>
      </c>
      <c r="B231" s="104" t="s">
        <v>6216</v>
      </c>
    </row>
    <row r="232" spans="1:2" ht="15.75" x14ac:dyDescent="0.25">
      <c r="A232" s="76">
        <v>231</v>
      </c>
      <c r="B232" s="104" t="s">
        <v>6217</v>
      </c>
    </row>
    <row r="233" spans="1:2" ht="15.75" x14ac:dyDescent="0.25">
      <c r="A233" s="76">
        <v>232</v>
      </c>
      <c r="B233" s="104" t="s">
        <v>6218</v>
      </c>
    </row>
    <row r="234" spans="1:2" ht="15.75" x14ac:dyDescent="0.25">
      <c r="A234" s="76">
        <v>233</v>
      </c>
      <c r="B234" s="104" t="s">
        <v>6219</v>
      </c>
    </row>
    <row r="235" spans="1:2" ht="15.75" x14ac:dyDescent="0.25">
      <c r="A235" s="76">
        <v>234</v>
      </c>
      <c r="B235" s="104" t="s">
        <v>6220</v>
      </c>
    </row>
    <row r="236" spans="1:2" ht="15.75" x14ac:dyDescent="0.25">
      <c r="A236" s="76">
        <v>235</v>
      </c>
      <c r="B236" s="104" t="s">
        <v>6221</v>
      </c>
    </row>
    <row r="237" spans="1:2" ht="15.75" x14ac:dyDescent="0.25">
      <c r="A237" s="76">
        <v>236</v>
      </c>
      <c r="B237" s="104" t="s">
        <v>6222</v>
      </c>
    </row>
    <row r="238" spans="1:2" ht="15.75" x14ac:dyDescent="0.25">
      <c r="A238" s="76">
        <v>237</v>
      </c>
      <c r="B238" s="104" t="s">
        <v>6223</v>
      </c>
    </row>
    <row r="239" spans="1:2" ht="15.75" x14ac:dyDescent="0.25">
      <c r="A239" s="76">
        <v>238</v>
      </c>
      <c r="B239" s="104" t="s">
        <v>6224</v>
      </c>
    </row>
    <row r="240" spans="1:2" ht="15.75" x14ac:dyDescent="0.25">
      <c r="A240" s="76">
        <v>239</v>
      </c>
      <c r="B240" s="104" t="s">
        <v>6225</v>
      </c>
    </row>
    <row r="241" spans="1:2" ht="15.75" x14ac:dyDescent="0.25">
      <c r="A241" s="76">
        <v>240</v>
      </c>
      <c r="B241" s="104" t="s">
        <v>6226</v>
      </c>
    </row>
    <row r="242" spans="1:2" ht="15.75" x14ac:dyDescent="0.25">
      <c r="A242" s="76">
        <v>241</v>
      </c>
      <c r="B242" s="104" t="s">
        <v>6227</v>
      </c>
    </row>
    <row r="243" spans="1:2" ht="15.75" x14ac:dyDescent="0.25">
      <c r="A243" s="76">
        <v>242</v>
      </c>
      <c r="B243" s="104" t="s">
        <v>6228</v>
      </c>
    </row>
    <row r="244" spans="1:2" ht="15.75" x14ac:dyDescent="0.25">
      <c r="A244" s="76">
        <v>243</v>
      </c>
      <c r="B244" s="104" t="s">
        <v>6229</v>
      </c>
    </row>
    <row r="245" spans="1:2" ht="15.75" x14ac:dyDescent="0.25">
      <c r="A245" s="76">
        <v>244</v>
      </c>
      <c r="B245" s="104" t="s">
        <v>6230</v>
      </c>
    </row>
    <row r="246" spans="1:2" ht="15.75" x14ac:dyDescent="0.25">
      <c r="A246" s="76">
        <v>245</v>
      </c>
      <c r="B246" s="104" t="s">
        <v>6231</v>
      </c>
    </row>
    <row r="247" spans="1:2" ht="15.75" x14ac:dyDescent="0.25">
      <c r="A247" s="76">
        <v>246</v>
      </c>
      <c r="B247" s="104" t="s">
        <v>6232</v>
      </c>
    </row>
    <row r="248" spans="1:2" ht="15.75" x14ac:dyDescent="0.25">
      <c r="A248" s="76">
        <v>247</v>
      </c>
      <c r="B248" s="104" t="s">
        <v>6233</v>
      </c>
    </row>
    <row r="249" spans="1:2" ht="15.75" x14ac:dyDescent="0.25">
      <c r="A249" s="76">
        <v>248</v>
      </c>
      <c r="B249" s="104" t="s">
        <v>6234</v>
      </c>
    </row>
    <row r="250" spans="1:2" ht="15.75" x14ac:dyDescent="0.25">
      <c r="A250" s="76">
        <v>249</v>
      </c>
      <c r="B250" s="104" t="s">
        <v>6235</v>
      </c>
    </row>
    <row r="251" spans="1:2" ht="15.75" x14ac:dyDescent="0.25">
      <c r="A251" s="76">
        <v>250</v>
      </c>
      <c r="B251" s="104" t="s">
        <v>6236</v>
      </c>
    </row>
    <row r="252" spans="1:2" ht="15.75" x14ac:dyDescent="0.25">
      <c r="A252" s="76">
        <v>251</v>
      </c>
      <c r="B252" s="104" t="s">
        <v>6237</v>
      </c>
    </row>
    <row r="253" spans="1:2" ht="15.75" x14ac:dyDescent="0.25">
      <c r="A253" s="76">
        <v>252</v>
      </c>
      <c r="B253" s="104" t="s">
        <v>6238</v>
      </c>
    </row>
    <row r="254" spans="1:2" ht="15.75" x14ac:dyDescent="0.25">
      <c r="A254" s="76">
        <v>253</v>
      </c>
      <c r="B254" s="104" t="s">
        <v>6239</v>
      </c>
    </row>
    <row r="255" spans="1:2" ht="15.75" x14ac:dyDescent="0.25">
      <c r="A255" s="76">
        <v>254</v>
      </c>
      <c r="B255" s="104" t="s">
        <v>6240</v>
      </c>
    </row>
    <row r="256" spans="1:2" ht="15.75" x14ac:dyDescent="0.25">
      <c r="A256" s="76">
        <v>255</v>
      </c>
      <c r="B256" s="104" t="s">
        <v>6241</v>
      </c>
    </row>
    <row r="257" spans="1:2" ht="15.75" x14ac:dyDescent="0.25">
      <c r="A257" s="76">
        <v>256</v>
      </c>
      <c r="B257" s="104" t="s">
        <v>6242</v>
      </c>
    </row>
    <row r="258" spans="1:2" ht="15.75" x14ac:dyDescent="0.25">
      <c r="A258" s="76">
        <v>257</v>
      </c>
      <c r="B258" s="104" t="s">
        <v>6243</v>
      </c>
    </row>
    <row r="259" spans="1:2" ht="15.75" x14ac:dyDescent="0.25">
      <c r="A259" s="76">
        <v>258</v>
      </c>
      <c r="B259" s="104" t="s">
        <v>6244</v>
      </c>
    </row>
    <row r="260" spans="1:2" ht="15.75" x14ac:dyDescent="0.25">
      <c r="A260" s="76">
        <v>259</v>
      </c>
      <c r="B260" s="104" t="s">
        <v>6245</v>
      </c>
    </row>
    <row r="261" spans="1:2" ht="15.75" x14ac:dyDescent="0.25">
      <c r="A261" s="76">
        <v>260</v>
      </c>
      <c r="B261" s="104" t="s">
        <v>6246</v>
      </c>
    </row>
    <row r="262" spans="1:2" ht="15.75" x14ac:dyDescent="0.25">
      <c r="A262" s="76">
        <v>261</v>
      </c>
      <c r="B262" s="104" t="s">
        <v>6247</v>
      </c>
    </row>
    <row r="263" spans="1:2" ht="15.75" x14ac:dyDescent="0.25">
      <c r="A263" s="76">
        <v>262</v>
      </c>
      <c r="B263" s="104" t="s">
        <v>6248</v>
      </c>
    </row>
    <row r="264" spans="1:2" ht="15.75" x14ac:dyDescent="0.25">
      <c r="A264" s="76">
        <v>263</v>
      </c>
      <c r="B264" s="104" t="s">
        <v>6249</v>
      </c>
    </row>
    <row r="265" spans="1:2" ht="15.75" x14ac:dyDescent="0.25">
      <c r="A265" s="76">
        <v>264</v>
      </c>
      <c r="B265" s="104" t="s">
        <v>6250</v>
      </c>
    </row>
    <row r="266" spans="1:2" ht="15.75" x14ac:dyDescent="0.25">
      <c r="A266" s="76">
        <v>265</v>
      </c>
      <c r="B266" s="104" t="s">
        <v>6251</v>
      </c>
    </row>
    <row r="267" spans="1:2" ht="15.75" x14ac:dyDescent="0.25">
      <c r="A267" s="76">
        <v>266</v>
      </c>
      <c r="B267" s="104" t="s">
        <v>6252</v>
      </c>
    </row>
    <row r="268" spans="1:2" ht="15.75" x14ac:dyDescent="0.25">
      <c r="A268" s="76">
        <v>267</v>
      </c>
      <c r="B268" s="104" t="s">
        <v>6253</v>
      </c>
    </row>
    <row r="269" spans="1:2" ht="15.75" x14ac:dyDescent="0.25">
      <c r="A269" s="76">
        <v>268</v>
      </c>
      <c r="B269" s="104" t="s">
        <v>6254</v>
      </c>
    </row>
    <row r="270" spans="1:2" ht="15.75" x14ac:dyDescent="0.25">
      <c r="A270" s="76">
        <v>269</v>
      </c>
      <c r="B270" s="104" t="s">
        <v>6255</v>
      </c>
    </row>
    <row r="271" spans="1:2" ht="15.75" x14ac:dyDescent="0.25">
      <c r="A271" s="76">
        <v>270</v>
      </c>
      <c r="B271" s="104" t="s">
        <v>6256</v>
      </c>
    </row>
    <row r="272" spans="1:2" ht="15.75" x14ac:dyDescent="0.25">
      <c r="A272" s="76">
        <v>271</v>
      </c>
      <c r="B272" s="104" t="s">
        <v>6257</v>
      </c>
    </row>
    <row r="273" spans="1:2" ht="15.75" x14ac:dyDescent="0.25">
      <c r="A273" s="76">
        <v>272</v>
      </c>
      <c r="B273" s="104" t="s">
        <v>6258</v>
      </c>
    </row>
    <row r="274" spans="1:2" ht="15.75" x14ac:dyDescent="0.25">
      <c r="A274" s="76">
        <v>273</v>
      </c>
      <c r="B274" s="104" t="s">
        <v>6259</v>
      </c>
    </row>
    <row r="275" spans="1:2" ht="15.75" x14ac:dyDescent="0.25">
      <c r="A275" s="76">
        <v>274</v>
      </c>
      <c r="B275" s="104" t="s">
        <v>6260</v>
      </c>
    </row>
    <row r="276" spans="1:2" ht="15.75" x14ac:dyDescent="0.25">
      <c r="A276" s="76">
        <v>275</v>
      </c>
      <c r="B276" s="104" t="s">
        <v>6261</v>
      </c>
    </row>
    <row r="277" spans="1:2" ht="15.75" x14ac:dyDescent="0.25">
      <c r="A277" s="76">
        <v>276</v>
      </c>
      <c r="B277" s="104" t="s">
        <v>6262</v>
      </c>
    </row>
    <row r="278" spans="1:2" ht="15.75" x14ac:dyDescent="0.25">
      <c r="A278" s="76">
        <v>277</v>
      </c>
      <c r="B278" s="104" t="s">
        <v>6263</v>
      </c>
    </row>
    <row r="279" spans="1:2" ht="15.75" x14ac:dyDescent="0.25">
      <c r="A279" s="76">
        <v>278</v>
      </c>
      <c r="B279" s="104" t="s">
        <v>6264</v>
      </c>
    </row>
    <row r="280" spans="1:2" ht="15.75" x14ac:dyDescent="0.25">
      <c r="A280" s="76">
        <v>279</v>
      </c>
      <c r="B280" s="104" t="s">
        <v>6266</v>
      </c>
    </row>
    <row r="281" spans="1:2" ht="15.75" x14ac:dyDescent="0.25">
      <c r="A281" s="76">
        <v>280</v>
      </c>
      <c r="B281" s="104" t="s">
        <v>6265</v>
      </c>
    </row>
    <row r="282" spans="1:2" ht="15.75" x14ac:dyDescent="0.25">
      <c r="A282" s="76">
        <v>281</v>
      </c>
      <c r="B282" s="104" t="s">
        <v>6267</v>
      </c>
    </row>
    <row r="283" spans="1:2" ht="15.75" x14ac:dyDescent="0.25">
      <c r="A283" s="76" t="s">
        <v>6402</v>
      </c>
      <c r="B283" s="104" t="s">
        <v>7005</v>
      </c>
    </row>
    <row r="284" spans="1:2" ht="15.75" x14ac:dyDescent="0.25">
      <c r="A284" s="76" t="s">
        <v>6403</v>
      </c>
      <c r="B284" s="104" t="s">
        <v>7006</v>
      </c>
    </row>
    <row r="285" spans="1:2" ht="15.75" x14ac:dyDescent="0.25">
      <c r="A285" s="76" t="s">
        <v>6404</v>
      </c>
      <c r="B285" s="104" t="s">
        <v>7007</v>
      </c>
    </row>
    <row r="286" spans="1:2" ht="15.75" x14ac:dyDescent="0.25">
      <c r="A286" s="76" t="s">
        <v>6427</v>
      </c>
      <c r="B286" s="104" t="s">
        <v>7008</v>
      </c>
    </row>
    <row r="287" spans="1:2" ht="15.75" x14ac:dyDescent="0.25">
      <c r="A287" s="76" t="s">
        <v>6428</v>
      </c>
      <c r="B287" s="104" t="s">
        <v>7009</v>
      </c>
    </row>
    <row r="288" spans="1:2" ht="15.75" x14ac:dyDescent="0.25">
      <c r="A288" s="76" t="s">
        <v>6429</v>
      </c>
      <c r="B288" s="104" t="s">
        <v>7010</v>
      </c>
    </row>
    <row r="289" spans="1:2" ht="15.75" x14ac:dyDescent="0.25">
      <c r="A289" s="76" t="s">
        <v>6430</v>
      </c>
      <c r="B289" s="104" t="s">
        <v>7011</v>
      </c>
    </row>
    <row r="290" spans="1:2" ht="15.75" x14ac:dyDescent="0.25">
      <c r="A290" s="76" t="s">
        <v>6431</v>
      </c>
      <c r="B290" s="104" t="s">
        <v>7012</v>
      </c>
    </row>
    <row r="291" spans="1:2" ht="15.75" x14ac:dyDescent="0.25">
      <c r="A291" s="76" t="s">
        <v>6432</v>
      </c>
      <c r="B291" s="104" t="s">
        <v>7013</v>
      </c>
    </row>
    <row r="292" spans="1:2" ht="15.75" x14ac:dyDescent="0.25">
      <c r="A292" s="76" t="s">
        <v>6433</v>
      </c>
      <c r="B292" s="104" t="s">
        <v>7014</v>
      </c>
    </row>
    <row r="293" spans="1:2" ht="15.75" x14ac:dyDescent="0.25">
      <c r="A293" s="76" t="s">
        <v>6528</v>
      </c>
      <c r="B293" s="104" t="s">
        <v>7015</v>
      </c>
    </row>
    <row r="294" spans="1:2" ht="15.75" x14ac:dyDescent="0.25">
      <c r="A294" s="76" t="s">
        <v>6538</v>
      </c>
      <c r="B294" s="104" t="s">
        <v>7016</v>
      </c>
    </row>
    <row r="295" spans="1:2" ht="15.75" x14ac:dyDescent="0.25">
      <c r="A295" s="76" t="s">
        <v>6600</v>
      </c>
      <c r="B295" s="104" t="s">
        <v>7017</v>
      </c>
    </row>
    <row r="296" spans="1:2" ht="15.75" x14ac:dyDescent="0.25">
      <c r="A296" s="76" t="s">
        <v>6624</v>
      </c>
      <c r="B296" s="104" t="s">
        <v>7018</v>
      </c>
    </row>
    <row r="297" spans="1:2" ht="15.75" x14ac:dyDescent="0.25">
      <c r="A297" s="76" t="s">
        <v>6663</v>
      </c>
      <c r="B297" s="104" t="s">
        <v>7019</v>
      </c>
    </row>
    <row r="298" spans="1:2" ht="15.75" x14ac:dyDescent="0.25">
      <c r="A298" s="76" t="s">
        <v>6671</v>
      </c>
      <c r="B298" s="104" t="s">
        <v>7020</v>
      </c>
    </row>
    <row r="299" spans="1:2" ht="15.75" x14ac:dyDescent="0.25">
      <c r="A299" s="76" t="s">
        <v>6692</v>
      </c>
      <c r="B299" s="104" t="s">
        <v>7021</v>
      </c>
    </row>
    <row r="300" spans="1:2" ht="15.75" x14ac:dyDescent="0.25">
      <c r="A300" s="76" t="s">
        <v>6698</v>
      </c>
      <c r="B300" s="104" t="s">
        <v>7022</v>
      </c>
    </row>
    <row r="301" spans="1:2" ht="15.75" x14ac:dyDescent="0.25">
      <c r="A301" s="76" t="s">
        <v>6706</v>
      </c>
      <c r="B301" s="198" t="s">
        <v>7023</v>
      </c>
    </row>
    <row r="302" spans="1:2" ht="15.75" x14ac:dyDescent="0.25">
      <c r="A302" s="76" t="s">
        <v>6734</v>
      </c>
      <c r="B302" s="104" t="s">
        <v>7024</v>
      </c>
    </row>
    <row r="303" spans="1:2" ht="15.75" x14ac:dyDescent="0.25">
      <c r="A303" s="76" t="s">
        <v>6747</v>
      </c>
      <c r="B303" s="104" t="s">
        <v>7025</v>
      </c>
    </row>
    <row r="304" spans="1:2" ht="15.75" x14ac:dyDescent="0.25">
      <c r="A304" s="76" t="s">
        <v>6760</v>
      </c>
      <c r="B304" s="104" t="s">
        <v>7026</v>
      </c>
    </row>
    <row r="305" spans="1:2" ht="15.75" x14ac:dyDescent="0.25">
      <c r="A305" s="76" t="s">
        <v>6772</v>
      </c>
      <c r="B305" s="104" t="s">
        <v>7027</v>
      </c>
    </row>
    <row r="306" spans="1:2" ht="15.75" x14ac:dyDescent="0.25">
      <c r="A306" s="76" t="s">
        <v>6781</v>
      </c>
      <c r="B306" s="104" t="s">
        <v>7028</v>
      </c>
    </row>
    <row r="307" spans="1:2" ht="15.75" x14ac:dyDescent="0.25">
      <c r="A307" s="76" t="s">
        <v>6795</v>
      </c>
      <c r="B307" s="104" t="s">
        <v>7029</v>
      </c>
    </row>
    <row r="308" spans="1:2" ht="15.75" x14ac:dyDescent="0.25">
      <c r="A308" s="76" t="s">
        <v>6803</v>
      </c>
      <c r="B308" s="104" t="s">
        <v>7030</v>
      </c>
    </row>
    <row r="309" spans="1:2" ht="15.75" x14ac:dyDescent="0.25">
      <c r="A309" s="76" t="s">
        <v>6819</v>
      </c>
      <c r="B309" s="104" t="s">
        <v>7031</v>
      </c>
    </row>
    <row r="310" spans="1:2" ht="15.75" x14ac:dyDescent="0.25">
      <c r="A310" s="76" t="s">
        <v>6824</v>
      </c>
      <c r="B310" s="104" t="s">
        <v>7032</v>
      </c>
    </row>
    <row r="311" spans="1:2" ht="15.75" x14ac:dyDescent="0.25">
      <c r="A311" s="76" t="s">
        <v>6842</v>
      </c>
      <c r="B311" s="104" t="s">
        <v>7033</v>
      </c>
    </row>
    <row r="312" spans="1:2" ht="15.75" x14ac:dyDescent="0.25">
      <c r="A312" s="76" t="s">
        <v>6855</v>
      </c>
      <c r="B312" s="198" t="s">
        <v>7034</v>
      </c>
    </row>
    <row r="313" spans="1:2" ht="15.75" x14ac:dyDescent="0.25">
      <c r="A313" s="76" t="s">
        <v>6868</v>
      </c>
      <c r="B313" s="104" t="s">
        <v>7035</v>
      </c>
    </row>
    <row r="314" spans="1:2" ht="15.75" x14ac:dyDescent="0.25">
      <c r="A314" s="76" t="s">
        <v>6889</v>
      </c>
      <c r="B314" s="104" t="s">
        <v>7036</v>
      </c>
    </row>
    <row r="315" spans="1:2" ht="15.75" x14ac:dyDescent="0.25">
      <c r="A315" s="76" t="s">
        <v>6895</v>
      </c>
      <c r="B315" s="104" t="s">
        <v>7037</v>
      </c>
    </row>
    <row r="316" spans="1:2" ht="15.75" x14ac:dyDescent="0.25">
      <c r="A316" s="76" t="s">
        <v>6904</v>
      </c>
      <c r="B316" s="104" t="s">
        <v>7038</v>
      </c>
    </row>
    <row r="317" spans="1:2" ht="15.75" x14ac:dyDescent="0.25">
      <c r="A317" s="76" t="s">
        <v>6922</v>
      </c>
      <c r="B317" s="104" t="s">
        <v>7039</v>
      </c>
    </row>
    <row r="318" spans="1:2" ht="15.75" x14ac:dyDescent="0.25">
      <c r="A318" s="76" t="s">
        <v>6930</v>
      </c>
      <c r="B318" s="104" t="s">
        <v>7040</v>
      </c>
    </row>
    <row r="319" spans="1:2" ht="15.75" x14ac:dyDescent="0.25">
      <c r="A319" s="76" t="s">
        <v>6957</v>
      </c>
      <c r="B319" s="104" t="s">
        <v>7041</v>
      </c>
    </row>
    <row r="320" spans="1:2" ht="15.75" x14ac:dyDescent="0.25">
      <c r="A320" s="76" t="s">
        <v>6971</v>
      </c>
      <c r="B320" s="104" t="s">
        <v>7042</v>
      </c>
    </row>
    <row r="321" spans="1:2" ht="15.75" x14ac:dyDescent="0.25">
      <c r="A321" s="76" t="s">
        <v>6976</v>
      </c>
      <c r="B321" s="104" t="s">
        <v>7043</v>
      </c>
    </row>
    <row r="322" spans="1:2" x14ac:dyDescent="0.25">
      <c r="A322" s="76" t="s">
        <v>7044</v>
      </c>
      <c r="B322" s="103" t="s">
        <v>7045</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5AAE-23BA-456B-A203-F9BB157FB734}">
  <dimension ref="A1:D414"/>
  <sheetViews>
    <sheetView workbookViewId="0">
      <pane xSplit="12525" ySplit="5655" topLeftCell="D35" activePane="bottomLeft"/>
      <selection activeCell="B1" sqref="B1"/>
      <selection pane="topRight" activeCell="D9" sqref="D9"/>
      <selection pane="bottomLeft" activeCell="C50" sqref="C50"/>
      <selection pane="bottomRight" activeCell="D22" sqref="D22"/>
    </sheetView>
  </sheetViews>
  <sheetFormatPr defaultRowHeight="15" x14ac:dyDescent="0.25"/>
  <cols>
    <col min="1" max="1" width="21.5703125" customWidth="1"/>
    <col min="2" max="2" width="77" style="103" customWidth="1"/>
    <col min="3" max="3" width="17" style="76" customWidth="1"/>
    <col min="4" max="4" width="253" style="103" customWidth="1"/>
  </cols>
  <sheetData>
    <row r="1" spans="1:4" x14ac:dyDescent="0.25">
      <c r="A1" s="102" t="s">
        <v>109</v>
      </c>
      <c r="B1" s="106" t="s">
        <v>7488</v>
      </c>
      <c r="C1" s="102" t="s">
        <v>109</v>
      </c>
      <c r="D1" s="106" t="s">
        <v>7489</v>
      </c>
    </row>
    <row r="2" spans="1:4" s="203" customFormat="1" ht="15.75" x14ac:dyDescent="0.25">
      <c r="A2" s="200">
        <v>1</v>
      </c>
      <c r="B2" s="201" t="s">
        <v>7075</v>
      </c>
      <c r="C2" s="200">
        <v>1</v>
      </c>
      <c r="D2" s="202" t="s">
        <v>5987</v>
      </c>
    </row>
    <row r="3" spans="1:4" ht="15.75" x14ac:dyDescent="0.25">
      <c r="A3" s="200">
        <v>2</v>
      </c>
      <c r="B3" s="201" t="s">
        <v>7076</v>
      </c>
      <c r="C3" s="76">
        <v>2</v>
      </c>
      <c r="D3" s="205" t="s">
        <v>5988</v>
      </c>
    </row>
    <row r="4" spans="1:4" ht="15.75" x14ac:dyDescent="0.25">
      <c r="A4" s="200">
        <v>3</v>
      </c>
      <c r="B4" s="201" t="s">
        <v>7077</v>
      </c>
      <c r="C4" s="76">
        <v>3</v>
      </c>
      <c r="D4" s="205" t="s">
        <v>5989</v>
      </c>
    </row>
    <row r="5" spans="1:4" ht="15.75" x14ac:dyDescent="0.25">
      <c r="A5" s="200">
        <v>4</v>
      </c>
      <c r="B5" s="201" t="s">
        <v>7078</v>
      </c>
      <c r="C5" s="76">
        <v>4</v>
      </c>
      <c r="D5" s="205" t="s">
        <v>5990</v>
      </c>
    </row>
    <row r="6" spans="1:4" ht="15.75" x14ac:dyDescent="0.25">
      <c r="A6" s="200">
        <v>5</v>
      </c>
      <c r="B6" s="201" t="s">
        <v>7079</v>
      </c>
      <c r="C6" s="76">
        <v>5</v>
      </c>
      <c r="D6" s="205" t="s">
        <v>5991</v>
      </c>
    </row>
    <row r="7" spans="1:4" ht="15.75" x14ac:dyDescent="0.25">
      <c r="A7" s="200">
        <v>6</v>
      </c>
      <c r="B7" s="201" t="s">
        <v>7080</v>
      </c>
      <c r="C7" s="76">
        <v>6</v>
      </c>
      <c r="D7" s="205" t="s">
        <v>5992</v>
      </c>
    </row>
    <row r="8" spans="1:4" ht="15.75" x14ac:dyDescent="0.25">
      <c r="A8" s="200">
        <v>7</v>
      </c>
      <c r="B8" s="201" t="s">
        <v>7081</v>
      </c>
      <c r="C8" s="76">
        <v>7</v>
      </c>
      <c r="D8" s="205" t="s">
        <v>5993</v>
      </c>
    </row>
    <row r="9" spans="1:4" ht="15.75" x14ac:dyDescent="0.25">
      <c r="A9" s="200">
        <v>8</v>
      </c>
      <c r="B9" s="201" t="s">
        <v>7082</v>
      </c>
      <c r="C9" s="76">
        <v>8</v>
      </c>
      <c r="D9" s="206" t="s">
        <v>5995</v>
      </c>
    </row>
    <row r="10" spans="1:4" ht="15.75" x14ac:dyDescent="0.25">
      <c r="A10" s="200">
        <v>9</v>
      </c>
      <c r="B10" s="201" t="s">
        <v>7083</v>
      </c>
      <c r="C10" s="76">
        <v>9</v>
      </c>
      <c r="D10" s="205" t="s">
        <v>5994</v>
      </c>
    </row>
    <row r="11" spans="1:4" ht="15.75" x14ac:dyDescent="0.25">
      <c r="A11" s="200">
        <v>10</v>
      </c>
      <c r="B11" s="201" t="s">
        <v>7084</v>
      </c>
      <c r="C11" s="76">
        <v>10</v>
      </c>
      <c r="D11" s="206" t="s">
        <v>5996</v>
      </c>
    </row>
    <row r="12" spans="1:4" ht="15.75" x14ac:dyDescent="0.25">
      <c r="A12" s="200">
        <v>11</v>
      </c>
      <c r="B12" s="201" t="s">
        <v>7085</v>
      </c>
      <c r="C12" s="76">
        <v>11</v>
      </c>
      <c r="D12" s="207" t="s">
        <v>5997</v>
      </c>
    </row>
    <row r="13" spans="1:4" ht="15.75" x14ac:dyDescent="0.25">
      <c r="A13" s="200">
        <v>12</v>
      </c>
      <c r="B13" s="201" t="s">
        <v>7086</v>
      </c>
      <c r="C13" s="76">
        <v>12</v>
      </c>
      <c r="D13" s="105" t="s">
        <v>5998</v>
      </c>
    </row>
    <row r="14" spans="1:4" ht="15.75" x14ac:dyDescent="0.25">
      <c r="A14" s="200">
        <v>13</v>
      </c>
      <c r="B14" s="201" t="s">
        <v>7087</v>
      </c>
      <c r="C14" s="76">
        <v>13</v>
      </c>
      <c r="D14" s="105" t="s">
        <v>5999</v>
      </c>
    </row>
    <row r="15" spans="1:4" ht="15.75" x14ac:dyDescent="0.25">
      <c r="A15" s="200">
        <v>14</v>
      </c>
      <c r="B15" s="201" t="s">
        <v>7088</v>
      </c>
      <c r="C15" s="76">
        <v>14</v>
      </c>
      <c r="D15" s="105" t="s">
        <v>6000</v>
      </c>
    </row>
    <row r="16" spans="1:4" ht="15.75" x14ac:dyDescent="0.25">
      <c r="A16" s="200">
        <v>15</v>
      </c>
      <c r="B16" s="201" t="s">
        <v>7089</v>
      </c>
      <c r="C16" s="76">
        <v>15</v>
      </c>
      <c r="D16" s="105" t="s">
        <v>6001</v>
      </c>
    </row>
    <row r="17" spans="1:4" ht="15.75" x14ac:dyDescent="0.25">
      <c r="A17" s="200">
        <v>16</v>
      </c>
      <c r="B17" s="201" t="s">
        <v>7090</v>
      </c>
      <c r="C17" s="76">
        <v>16</v>
      </c>
      <c r="D17" s="105" t="s">
        <v>6002</v>
      </c>
    </row>
    <row r="18" spans="1:4" ht="15.75" x14ac:dyDescent="0.25">
      <c r="A18" s="200">
        <v>17</v>
      </c>
      <c r="B18" s="201" t="s">
        <v>7091</v>
      </c>
      <c r="C18" s="76">
        <v>17</v>
      </c>
      <c r="D18" s="105" t="s">
        <v>6003</v>
      </c>
    </row>
    <row r="19" spans="1:4" ht="15.75" x14ac:dyDescent="0.25">
      <c r="A19" s="200">
        <v>18</v>
      </c>
      <c r="B19" s="201" t="s">
        <v>7092</v>
      </c>
      <c r="C19" s="76">
        <v>18</v>
      </c>
      <c r="D19" s="105" t="s">
        <v>6004</v>
      </c>
    </row>
    <row r="20" spans="1:4" ht="15.75" x14ac:dyDescent="0.25">
      <c r="A20" s="200">
        <v>19</v>
      </c>
      <c r="B20" s="201" t="s">
        <v>7093</v>
      </c>
      <c r="C20" s="76">
        <v>19</v>
      </c>
      <c r="D20" s="105" t="s">
        <v>6005</v>
      </c>
    </row>
    <row r="21" spans="1:4" ht="15.75" x14ac:dyDescent="0.25">
      <c r="A21" s="200">
        <v>20</v>
      </c>
      <c r="B21" s="201" t="s">
        <v>7094</v>
      </c>
      <c r="C21" s="76">
        <v>20</v>
      </c>
      <c r="D21" s="105" t="s">
        <v>6006</v>
      </c>
    </row>
    <row r="22" spans="1:4" ht="15.75" x14ac:dyDescent="0.25">
      <c r="A22" s="200">
        <v>21</v>
      </c>
      <c r="B22" s="201" t="s">
        <v>7095</v>
      </c>
      <c r="C22" s="76">
        <v>21</v>
      </c>
      <c r="D22" s="105" t="s">
        <v>6007</v>
      </c>
    </row>
    <row r="23" spans="1:4" ht="15.75" x14ac:dyDescent="0.25">
      <c r="A23" s="200">
        <v>22</v>
      </c>
      <c r="B23" s="201" t="s">
        <v>7096</v>
      </c>
      <c r="C23" s="76">
        <v>22</v>
      </c>
      <c r="D23" s="105" t="s">
        <v>6008</v>
      </c>
    </row>
    <row r="24" spans="1:4" ht="15.75" x14ac:dyDescent="0.25">
      <c r="A24" s="76">
        <v>23</v>
      </c>
      <c r="B24" s="204" t="s">
        <v>7097</v>
      </c>
      <c r="C24" s="76">
        <v>23</v>
      </c>
      <c r="D24" s="105" t="s">
        <v>6009</v>
      </c>
    </row>
    <row r="25" spans="1:4" ht="15.75" x14ac:dyDescent="0.25">
      <c r="A25" s="76">
        <v>24</v>
      </c>
      <c r="B25" s="204" t="s">
        <v>7098</v>
      </c>
      <c r="C25" s="76">
        <v>24</v>
      </c>
      <c r="D25" s="104" t="s">
        <v>6010</v>
      </c>
    </row>
    <row r="26" spans="1:4" ht="15.75" x14ac:dyDescent="0.25">
      <c r="A26" s="76">
        <v>25</v>
      </c>
      <c r="B26" s="204" t="s">
        <v>7099</v>
      </c>
      <c r="C26" s="76">
        <v>25</v>
      </c>
      <c r="D26" s="104" t="s">
        <v>6011</v>
      </c>
    </row>
    <row r="27" spans="1:4" ht="15.75" x14ac:dyDescent="0.25">
      <c r="A27" s="76">
        <v>26</v>
      </c>
      <c r="B27" s="204" t="s">
        <v>7100</v>
      </c>
      <c r="C27" s="76">
        <v>26</v>
      </c>
      <c r="D27" s="104" t="s">
        <v>6012</v>
      </c>
    </row>
    <row r="28" spans="1:4" ht="15.75" x14ac:dyDescent="0.25">
      <c r="A28" s="76">
        <v>27</v>
      </c>
      <c r="B28" s="204" t="s">
        <v>7101</v>
      </c>
      <c r="C28" s="76">
        <v>27</v>
      </c>
      <c r="D28" s="104" t="s">
        <v>6013</v>
      </c>
    </row>
    <row r="29" spans="1:4" ht="15.75" x14ac:dyDescent="0.25">
      <c r="A29" s="76">
        <v>28</v>
      </c>
      <c r="B29" s="204" t="s">
        <v>7102</v>
      </c>
      <c r="C29" s="76">
        <v>28</v>
      </c>
      <c r="D29" s="104" t="s">
        <v>6014</v>
      </c>
    </row>
    <row r="30" spans="1:4" ht="15.75" x14ac:dyDescent="0.25">
      <c r="A30" s="76">
        <v>29</v>
      </c>
      <c r="B30" s="204" t="s">
        <v>7103</v>
      </c>
      <c r="C30" s="76">
        <v>29</v>
      </c>
      <c r="D30" s="104" t="s">
        <v>6015</v>
      </c>
    </row>
    <row r="31" spans="1:4" ht="15.75" x14ac:dyDescent="0.25">
      <c r="A31" s="76">
        <v>30</v>
      </c>
      <c r="B31" s="204" t="s">
        <v>7104</v>
      </c>
      <c r="C31" s="76">
        <v>30</v>
      </c>
      <c r="D31" s="104" t="s">
        <v>6016</v>
      </c>
    </row>
    <row r="32" spans="1:4" ht="15.75" x14ac:dyDescent="0.25">
      <c r="A32" s="76">
        <v>31</v>
      </c>
      <c r="B32" s="204" t="s">
        <v>7105</v>
      </c>
      <c r="C32" s="76">
        <v>31</v>
      </c>
      <c r="D32" s="104" t="s">
        <v>6017</v>
      </c>
    </row>
    <row r="33" spans="1:4" ht="15.75" x14ac:dyDescent="0.25">
      <c r="A33" s="76">
        <v>32</v>
      </c>
      <c r="B33" s="204" t="s">
        <v>7106</v>
      </c>
      <c r="C33" s="76">
        <v>32</v>
      </c>
      <c r="D33" s="104" t="s">
        <v>6018</v>
      </c>
    </row>
    <row r="34" spans="1:4" ht="15.75" x14ac:dyDescent="0.25">
      <c r="A34" s="76">
        <v>33</v>
      </c>
      <c r="B34" s="204" t="s">
        <v>7107</v>
      </c>
      <c r="C34" s="76">
        <v>33</v>
      </c>
      <c r="D34" s="104" t="s">
        <v>6019</v>
      </c>
    </row>
    <row r="35" spans="1:4" ht="15.75" x14ac:dyDescent="0.25">
      <c r="A35" s="76">
        <v>34</v>
      </c>
      <c r="B35" s="204" t="s">
        <v>7108</v>
      </c>
      <c r="C35" s="76">
        <v>34</v>
      </c>
      <c r="D35" s="104" t="s">
        <v>6020</v>
      </c>
    </row>
    <row r="36" spans="1:4" ht="15.75" x14ac:dyDescent="0.25">
      <c r="A36" s="76">
        <v>35</v>
      </c>
      <c r="B36" s="204" t="s">
        <v>7109</v>
      </c>
      <c r="C36" s="76">
        <v>35</v>
      </c>
      <c r="D36" s="104" t="s">
        <v>6021</v>
      </c>
    </row>
    <row r="37" spans="1:4" ht="15.75" x14ac:dyDescent="0.25">
      <c r="A37" s="76">
        <v>36</v>
      </c>
      <c r="B37" s="204" t="s">
        <v>7110</v>
      </c>
      <c r="C37" s="76">
        <v>36</v>
      </c>
      <c r="D37" s="104" t="s">
        <v>6022</v>
      </c>
    </row>
    <row r="38" spans="1:4" ht="15.75" x14ac:dyDescent="0.25">
      <c r="A38" s="76">
        <v>37</v>
      </c>
      <c r="B38" s="204" t="s">
        <v>7111</v>
      </c>
      <c r="C38" s="76">
        <v>37</v>
      </c>
      <c r="D38" s="104" t="s">
        <v>6023</v>
      </c>
    </row>
    <row r="39" spans="1:4" ht="15.75" x14ac:dyDescent="0.25">
      <c r="A39" s="76">
        <v>38</v>
      </c>
      <c r="B39" s="204" t="s">
        <v>7112</v>
      </c>
      <c r="C39" s="76">
        <v>38</v>
      </c>
      <c r="D39" s="104" t="s">
        <v>6024</v>
      </c>
    </row>
    <row r="40" spans="1:4" ht="15.75" x14ac:dyDescent="0.25">
      <c r="A40" s="76">
        <v>39</v>
      </c>
      <c r="B40" s="204" t="s">
        <v>7113</v>
      </c>
      <c r="C40" s="76">
        <v>39</v>
      </c>
      <c r="D40" s="104" t="s">
        <v>6025</v>
      </c>
    </row>
    <row r="41" spans="1:4" ht="15.75" x14ac:dyDescent="0.25">
      <c r="A41" s="76">
        <v>40</v>
      </c>
      <c r="B41" s="204" t="s">
        <v>7114</v>
      </c>
      <c r="C41" s="76">
        <v>40</v>
      </c>
      <c r="D41" s="104" t="s">
        <v>6026</v>
      </c>
    </row>
    <row r="42" spans="1:4" ht="15.75" x14ac:dyDescent="0.25">
      <c r="A42" s="76">
        <v>41</v>
      </c>
      <c r="B42" s="204" t="s">
        <v>7115</v>
      </c>
      <c r="C42" s="76">
        <v>41</v>
      </c>
      <c r="D42" s="104" t="s">
        <v>6027</v>
      </c>
    </row>
    <row r="43" spans="1:4" ht="15.75" x14ac:dyDescent="0.25">
      <c r="A43" s="76">
        <v>42</v>
      </c>
      <c r="B43" s="204" t="s">
        <v>7116</v>
      </c>
      <c r="C43" s="76">
        <v>42</v>
      </c>
      <c r="D43" s="104" t="s">
        <v>6028</v>
      </c>
    </row>
    <row r="44" spans="1:4" ht="15.75" x14ac:dyDescent="0.25">
      <c r="A44" s="76">
        <v>43</v>
      </c>
      <c r="B44" s="204" t="s">
        <v>7117</v>
      </c>
      <c r="C44" s="76">
        <v>43</v>
      </c>
      <c r="D44" s="105" t="s">
        <v>6029</v>
      </c>
    </row>
    <row r="45" spans="1:4" ht="15.75" x14ac:dyDescent="0.25">
      <c r="A45" s="76">
        <v>44</v>
      </c>
      <c r="B45" s="204" t="s">
        <v>7118</v>
      </c>
      <c r="C45" s="76">
        <v>44</v>
      </c>
      <c r="D45" s="104" t="s">
        <v>6030</v>
      </c>
    </row>
    <row r="46" spans="1:4" ht="15.75" x14ac:dyDescent="0.25">
      <c r="A46" s="76">
        <v>45</v>
      </c>
      <c r="B46" s="204" t="s">
        <v>7119</v>
      </c>
      <c r="C46" s="76">
        <v>45</v>
      </c>
      <c r="D46" s="104" t="s">
        <v>6031</v>
      </c>
    </row>
    <row r="47" spans="1:4" ht="15.75" x14ac:dyDescent="0.25">
      <c r="A47" s="76">
        <v>46</v>
      </c>
      <c r="B47" s="204" t="s">
        <v>7120</v>
      </c>
      <c r="C47" s="76">
        <v>46</v>
      </c>
      <c r="D47" s="104" t="s">
        <v>6032</v>
      </c>
    </row>
    <row r="48" spans="1:4" ht="15.75" x14ac:dyDescent="0.25">
      <c r="A48" s="76">
        <v>47</v>
      </c>
      <c r="B48" s="204" t="s">
        <v>7121</v>
      </c>
      <c r="C48" s="76">
        <v>47</v>
      </c>
      <c r="D48" s="104" t="s">
        <v>6033</v>
      </c>
    </row>
    <row r="49" spans="1:4" ht="15.75" x14ac:dyDescent="0.25">
      <c r="A49" s="76">
        <v>48</v>
      </c>
      <c r="B49" s="204" t="s">
        <v>7122</v>
      </c>
      <c r="C49" s="76">
        <v>48</v>
      </c>
      <c r="D49" s="104" t="s">
        <v>6034</v>
      </c>
    </row>
    <row r="50" spans="1:4" ht="15.75" x14ac:dyDescent="0.25">
      <c r="A50" s="76">
        <v>49</v>
      </c>
      <c r="B50" s="204" t="s">
        <v>7123</v>
      </c>
      <c r="C50" s="76">
        <v>49</v>
      </c>
      <c r="D50" s="104" t="s">
        <v>6035</v>
      </c>
    </row>
    <row r="51" spans="1:4" ht="15.75" x14ac:dyDescent="0.25">
      <c r="A51" s="76">
        <v>50</v>
      </c>
      <c r="B51" s="204" t="s">
        <v>7124</v>
      </c>
      <c r="C51" s="76">
        <v>50</v>
      </c>
      <c r="D51" s="104" t="s">
        <v>6036</v>
      </c>
    </row>
    <row r="52" spans="1:4" ht="15.75" x14ac:dyDescent="0.25">
      <c r="A52" s="76">
        <v>51</v>
      </c>
      <c r="B52" s="199" t="s">
        <v>7125</v>
      </c>
      <c r="C52" s="76">
        <v>51</v>
      </c>
      <c r="D52" s="104" t="s">
        <v>6037</v>
      </c>
    </row>
    <row r="53" spans="1:4" ht="15.75" x14ac:dyDescent="0.25">
      <c r="A53" s="76">
        <v>52</v>
      </c>
      <c r="B53" s="199" t="s">
        <v>7126</v>
      </c>
      <c r="C53" s="76">
        <v>52</v>
      </c>
      <c r="D53" s="104" t="s">
        <v>6038</v>
      </c>
    </row>
    <row r="54" spans="1:4" ht="15.75" x14ac:dyDescent="0.25">
      <c r="A54" s="76">
        <v>53</v>
      </c>
      <c r="B54" s="199" t="s">
        <v>7127</v>
      </c>
      <c r="C54" s="76">
        <v>53</v>
      </c>
      <c r="D54" s="104" t="s">
        <v>6039</v>
      </c>
    </row>
    <row r="55" spans="1:4" ht="15.75" x14ac:dyDescent="0.25">
      <c r="A55" s="76">
        <v>54</v>
      </c>
      <c r="B55" s="199" t="s">
        <v>7128</v>
      </c>
      <c r="C55" s="76">
        <v>54</v>
      </c>
      <c r="D55" s="104" t="s">
        <v>6040</v>
      </c>
    </row>
    <row r="56" spans="1:4" ht="15.75" x14ac:dyDescent="0.25">
      <c r="A56" s="76">
        <v>55</v>
      </c>
      <c r="B56" s="199" t="s">
        <v>7129</v>
      </c>
      <c r="C56" s="76">
        <v>55</v>
      </c>
      <c r="D56" s="104" t="s">
        <v>6041</v>
      </c>
    </row>
    <row r="57" spans="1:4" ht="15.75" x14ac:dyDescent="0.25">
      <c r="A57" s="76">
        <v>56</v>
      </c>
      <c r="B57" s="199" t="s">
        <v>7130</v>
      </c>
      <c r="C57" s="76">
        <v>56</v>
      </c>
      <c r="D57" s="104" t="s">
        <v>6042</v>
      </c>
    </row>
    <row r="58" spans="1:4" ht="15.75" x14ac:dyDescent="0.25">
      <c r="A58" s="76">
        <v>57</v>
      </c>
      <c r="B58" s="199" t="s">
        <v>7131</v>
      </c>
      <c r="C58" s="76">
        <v>57</v>
      </c>
      <c r="D58" s="104" t="s">
        <v>6043</v>
      </c>
    </row>
    <row r="59" spans="1:4" ht="15.75" x14ac:dyDescent="0.25">
      <c r="A59" s="76">
        <v>58</v>
      </c>
      <c r="B59" s="199" t="s">
        <v>7132</v>
      </c>
      <c r="C59" s="76">
        <v>58</v>
      </c>
      <c r="D59" s="104" t="s">
        <v>6044</v>
      </c>
    </row>
    <row r="60" spans="1:4" ht="15.75" x14ac:dyDescent="0.25">
      <c r="A60" s="76">
        <v>59</v>
      </c>
      <c r="B60" s="199" t="s">
        <v>7133</v>
      </c>
      <c r="C60" s="76">
        <v>59</v>
      </c>
      <c r="D60" s="104" t="s">
        <v>6045</v>
      </c>
    </row>
    <row r="61" spans="1:4" ht="15.75" x14ac:dyDescent="0.25">
      <c r="A61" s="76">
        <v>60</v>
      </c>
      <c r="B61" s="199" t="s">
        <v>7134</v>
      </c>
      <c r="C61" s="76">
        <v>60</v>
      </c>
      <c r="D61" s="104" t="s">
        <v>6046</v>
      </c>
    </row>
    <row r="62" spans="1:4" ht="15.75" x14ac:dyDescent="0.25">
      <c r="A62" s="76">
        <v>61</v>
      </c>
      <c r="B62" s="199" t="s">
        <v>7135</v>
      </c>
      <c r="C62" s="76">
        <v>61</v>
      </c>
      <c r="D62" s="104" t="s">
        <v>6047</v>
      </c>
    </row>
    <row r="63" spans="1:4" ht="15.75" x14ac:dyDescent="0.25">
      <c r="A63" s="76">
        <v>62</v>
      </c>
      <c r="B63" s="199" t="s">
        <v>7136</v>
      </c>
      <c r="C63" s="76">
        <v>62</v>
      </c>
      <c r="D63" s="104" t="s">
        <v>6048</v>
      </c>
    </row>
    <row r="64" spans="1:4" ht="15.75" x14ac:dyDescent="0.25">
      <c r="A64" s="76">
        <v>63</v>
      </c>
      <c r="B64" s="199" t="s">
        <v>7137</v>
      </c>
      <c r="C64" s="76">
        <v>63</v>
      </c>
      <c r="D64" s="104" t="s">
        <v>6049</v>
      </c>
    </row>
    <row r="65" spans="1:4" ht="15.75" x14ac:dyDescent="0.25">
      <c r="A65" s="76">
        <v>64</v>
      </c>
      <c r="B65" s="199" t="s">
        <v>7138</v>
      </c>
      <c r="C65" s="76">
        <v>64</v>
      </c>
      <c r="D65" s="104" t="s">
        <v>6050</v>
      </c>
    </row>
    <row r="66" spans="1:4" ht="15.75" x14ac:dyDescent="0.25">
      <c r="A66" s="76">
        <v>65</v>
      </c>
      <c r="B66" s="199" t="s">
        <v>7139</v>
      </c>
      <c r="C66" s="76">
        <v>65</v>
      </c>
      <c r="D66" s="104" t="s">
        <v>6051</v>
      </c>
    </row>
    <row r="67" spans="1:4" ht="15.75" x14ac:dyDescent="0.25">
      <c r="A67" s="76">
        <v>66</v>
      </c>
      <c r="B67" s="199" t="s">
        <v>7140</v>
      </c>
      <c r="C67" s="76">
        <v>66</v>
      </c>
      <c r="D67" s="104" t="s">
        <v>6052</v>
      </c>
    </row>
    <row r="68" spans="1:4" ht="15.75" x14ac:dyDescent="0.25">
      <c r="A68" s="76">
        <v>67</v>
      </c>
      <c r="B68" s="199" t="s">
        <v>7141</v>
      </c>
      <c r="C68" s="76">
        <v>67</v>
      </c>
      <c r="D68" s="104" t="s">
        <v>6053</v>
      </c>
    </row>
    <row r="69" spans="1:4" ht="15.75" x14ac:dyDescent="0.25">
      <c r="A69" s="76">
        <v>68</v>
      </c>
      <c r="B69" s="199" t="s">
        <v>7142</v>
      </c>
      <c r="C69" s="76">
        <v>68</v>
      </c>
      <c r="D69" s="104" t="s">
        <v>6054</v>
      </c>
    </row>
    <row r="70" spans="1:4" ht="15.75" x14ac:dyDescent="0.25">
      <c r="A70" s="76">
        <v>69</v>
      </c>
      <c r="B70" s="199" t="s">
        <v>7143</v>
      </c>
      <c r="C70" s="76">
        <v>69</v>
      </c>
      <c r="D70" s="104" t="s">
        <v>6055</v>
      </c>
    </row>
    <row r="71" spans="1:4" ht="15.75" x14ac:dyDescent="0.25">
      <c r="A71" s="76">
        <v>70</v>
      </c>
      <c r="B71" s="199" t="s">
        <v>7144</v>
      </c>
      <c r="C71" s="76">
        <v>70</v>
      </c>
      <c r="D71" s="104" t="s">
        <v>6056</v>
      </c>
    </row>
    <row r="72" spans="1:4" ht="15.75" x14ac:dyDescent="0.25">
      <c r="A72" s="76">
        <v>71</v>
      </c>
      <c r="B72" s="199" t="s">
        <v>7145</v>
      </c>
      <c r="C72" s="76">
        <v>71</v>
      </c>
      <c r="D72" s="104" t="s">
        <v>6057</v>
      </c>
    </row>
    <row r="73" spans="1:4" ht="15.75" x14ac:dyDescent="0.25">
      <c r="A73" s="76">
        <v>72</v>
      </c>
      <c r="B73" s="199" t="s">
        <v>7146</v>
      </c>
      <c r="C73" s="76">
        <v>72</v>
      </c>
      <c r="D73" s="104" t="s">
        <v>6058</v>
      </c>
    </row>
    <row r="74" spans="1:4" ht="15.75" x14ac:dyDescent="0.25">
      <c r="A74" s="76">
        <v>73</v>
      </c>
      <c r="B74" s="199" t="s">
        <v>7147</v>
      </c>
      <c r="C74" s="76">
        <v>73</v>
      </c>
      <c r="D74" s="104" t="s">
        <v>6059</v>
      </c>
    </row>
    <row r="75" spans="1:4" ht="15.75" x14ac:dyDescent="0.25">
      <c r="A75" s="76">
        <v>74</v>
      </c>
      <c r="B75" s="199" t="s">
        <v>7148</v>
      </c>
      <c r="C75" s="76">
        <v>74</v>
      </c>
      <c r="D75" s="105" t="s">
        <v>6060</v>
      </c>
    </row>
    <row r="76" spans="1:4" ht="15.75" x14ac:dyDescent="0.25">
      <c r="A76" s="76">
        <v>75</v>
      </c>
      <c r="B76" s="199" t="s">
        <v>7149</v>
      </c>
      <c r="C76" s="76">
        <v>75</v>
      </c>
      <c r="D76" s="104" t="s">
        <v>6061</v>
      </c>
    </row>
    <row r="77" spans="1:4" ht="15.75" x14ac:dyDescent="0.25">
      <c r="A77" s="76">
        <v>76</v>
      </c>
      <c r="B77" s="199" t="s">
        <v>7150</v>
      </c>
      <c r="C77" s="76">
        <v>76</v>
      </c>
      <c r="D77" s="104" t="s">
        <v>6062</v>
      </c>
    </row>
    <row r="78" spans="1:4" ht="15.75" x14ac:dyDescent="0.25">
      <c r="A78" s="76">
        <v>77</v>
      </c>
      <c r="B78" s="199" t="s">
        <v>7151</v>
      </c>
      <c r="C78" s="76">
        <v>77</v>
      </c>
      <c r="D78" s="104" t="s">
        <v>6063</v>
      </c>
    </row>
    <row r="79" spans="1:4" ht="15.75" x14ac:dyDescent="0.25">
      <c r="A79" s="76">
        <v>78</v>
      </c>
      <c r="B79" s="199" t="s">
        <v>7152</v>
      </c>
      <c r="C79" s="76">
        <v>78</v>
      </c>
      <c r="D79" s="104" t="s">
        <v>6064</v>
      </c>
    </row>
    <row r="80" spans="1:4" ht="15.75" x14ac:dyDescent="0.25">
      <c r="A80" s="76">
        <v>79</v>
      </c>
      <c r="B80" s="199" t="s">
        <v>7153</v>
      </c>
      <c r="C80" s="76">
        <v>79</v>
      </c>
      <c r="D80" s="104" t="s">
        <v>6065</v>
      </c>
    </row>
    <row r="81" spans="1:4" ht="15.75" x14ac:dyDescent="0.25">
      <c r="A81" s="76">
        <v>80</v>
      </c>
      <c r="B81" s="199" t="s">
        <v>7154</v>
      </c>
      <c r="C81" s="76">
        <v>80</v>
      </c>
      <c r="D81" s="104" t="s">
        <v>6066</v>
      </c>
    </row>
    <row r="82" spans="1:4" ht="15.75" x14ac:dyDescent="0.25">
      <c r="A82" s="76">
        <v>81</v>
      </c>
      <c r="B82" s="199" t="s">
        <v>7155</v>
      </c>
      <c r="C82" s="76">
        <v>81</v>
      </c>
      <c r="D82" s="104" t="s">
        <v>6067</v>
      </c>
    </row>
    <row r="83" spans="1:4" ht="15.75" x14ac:dyDescent="0.25">
      <c r="A83" s="76">
        <v>82</v>
      </c>
      <c r="B83" s="199" t="s">
        <v>7156</v>
      </c>
      <c r="C83" s="76">
        <v>82</v>
      </c>
      <c r="D83" s="104" t="s">
        <v>6068</v>
      </c>
    </row>
    <row r="84" spans="1:4" ht="15.75" x14ac:dyDescent="0.25">
      <c r="A84" s="76">
        <v>83</v>
      </c>
      <c r="B84" s="199" t="s">
        <v>7157</v>
      </c>
      <c r="C84" s="76">
        <v>83</v>
      </c>
      <c r="D84" s="104" t="s">
        <v>6069</v>
      </c>
    </row>
    <row r="85" spans="1:4" ht="15.75" x14ac:dyDescent="0.25">
      <c r="A85" s="76">
        <v>84</v>
      </c>
      <c r="B85" s="199" t="s">
        <v>7158</v>
      </c>
      <c r="C85" s="76">
        <v>84</v>
      </c>
      <c r="D85" s="104" t="s">
        <v>6070</v>
      </c>
    </row>
    <row r="86" spans="1:4" ht="15.75" x14ac:dyDescent="0.25">
      <c r="A86" s="76">
        <v>85</v>
      </c>
      <c r="B86" s="199" t="s">
        <v>7159</v>
      </c>
      <c r="C86" s="76">
        <v>85</v>
      </c>
      <c r="D86" s="104" t="s">
        <v>6071</v>
      </c>
    </row>
    <row r="87" spans="1:4" ht="15.75" x14ac:dyDescent="0.25">
      <c r="A87" s="76">
        <v>86</v>
      </c>
      <c r="B87" s="199" t="s">
        <v>7160</v>
      </c>
      <c r="C87" s="76">
        <v>86</v>
      </c>
      <c r="D87" s="104" t="s">
        <v>6072</v>
      </c>
    </row>
    <row r="88" spans="1:4" ht="15.75" x14ac:dyDescent="0.25">
      <c r="A88" s="76">
        <v>87</v>
      </c>
      <c r="B88" s="199" t="s">
        <v>7161</v>
      </c>
      <c r="C88" s="76">
        <v>87</v>
      </c>
      <c r="D88" s="104" t="s">
        <v>6073</v>
      </c>
    </row>
    <row r="89" spans="1:4" ht="15.75" x14ac:dyDescent="0.25">
      <c r="A89" s="76">
        <v>88</v>
      </c>
      <c r="B89" s="199" t="s">
        <v>7162</v>
      </c>
      <c r="C89" s="76">
        <v>88</v>
      </c>
      <c r="D89" s="104" t="s">
        <v>6074</v>
      </c>
    </row>
    <row r="90" spans="1:4" ht="15.75" x14ac:dyDescent="0.25">
      <c r="A90" s="76">
        <v>89</v>
      </c>
      <c r="B90" s="199" t="s">
        <v>7163</v>
      </c>
      <c r="C90" s="76">
        <v>89</v>
      </c>
      <c r="D90" s="104" t="s">
        <v>6075</v>
      </c>
    </row>
    <row r="91" spans="1:4" ht="15.75" x14ac:dyDescent="0.25">
      <c r="A91" s="76">
        <v>90</v>
      </c>
      <c r="B91" s="199" t="s">
        <v>7164</v>
      </c>
      <c r="C91" s="76">
        <v>90</v>
      </c>
      <c r="D91" s="104" t="s">
        <v>6076</v>
      </c>
    </row>
    <row r="92" spans="1:4" ht="15.75" x14ac:dyDescent="0.25">
      <c r="A92" s="76">
        <v>91</v>
      </c>
      <c r="B92" s="199" t="s">
        <v>7165</v>
      </c>
      <c r="C92" s="76">
        <v>91</v>
      </c>
      <c r="D92" s="104" t="s">
        <v>6077</v>
      </c>
    </row>
    <row r="93" spans="1:4" ht="15.75" x14ac:dyDescent="0.25">
      <c r="A93" s="76">
        <v>92</v>
      </c>
      <c r="B93" s="199" t="s">
        <v>7166</v>
      </c>
      <c r="C93" s="76">
        <v>92</v>
      </c>
      <c r="D93" s="104" t="s">
        <v>6078</v>
      </c>
    </row>
    <row r="94" spans="1:4" ht="15.75" x14ac:dyDescent="0.25">
      <c r="A94" s="76">
        <v>93</v>
      </c>
      <c r="B94" s="199" t="s">
        <v>7167</v>
      </c>
      <c r="C94" s="76">
        <v>93</v>
      </c>
      <c r="D94" s="104" t="s">
        <v>6079</v>
      </c>
    </row>
    <row r="95" spans="1:4" ht="15.75" x14ac:dyDescent="0.25">
      <c r="A95" s="76">
        <v>94</v>
      </c>
      <c r="B95" s="199" t="s">
        <v>7168</v>
      </c>
      <c r="C95" s="76">
        <v>94</v>
      </c>
      <c r="D95" s="104" t="s">
        <v>6080</v>
      </c>
    </row>
    <row r="96" spans="1:4" ht="15.75" x14ac:dyDescent="0.25">
      <c r="A96" s="76">
        <v>95</v>
      </c>
      <c r="B96" s="199" t="s">
        <v>7169</v>
      </c>
      <c r="C96" s="76">
        <v>95</v>
      </c>
      <c r="D96" s="104" t="s">
        <v>6081</v>
      </c>
    </row>
    <row r="97" spans="1:4" ht="15.75" x14ac:dyDescent="0.25">
      <c r="A97" s="76">
        <v>96</v>
      </c>
      <c r="B97" s="199" t="s">
        <v>7170</v>
      </c>
      <c r="C97" s="76">
        <v>96</v>
      </c>
      <c r="D97" s="104" t="s">
        <v>6082</v>
      </c>
    </row>
    <row r="98" spans="1:4" ht="15.75" x14ac:dyDescent="0.25">
      <c r="A98" s="76">
        <v>97</v>
      </c>
      <c r="B98" s="199" t="s">
        <v>7171</v>
      </c>
      <c r="C98" s="76">
        <v>97</v>
      </c>
      <c r="D98" s="104" t="s">
        <v>6083</v>
      </c>
    </row>
    <row r="99" spans="1:4" ht="15.75" x14ac:dyDescent="0.25">
      <c r="A99" s="76">
        <v>98</v>
      </c>
      <c r="B99" s="199" t="s">
        <v>7172</v>
      </c>
      <c r="C99" s="76">
        <v>98</v>
      </c>
      <c r="D99" s="104" t="s">
        <v>6084</v>
      </c>
    </row>
    <row r="100" spans="1:4" ht="15.75" x14ac:dyDescent="0.25">
      <c r="A100" s="76">
        <v>99</v>
      </c>
      <c r="B100" s="199" t="s">
        <v>7173</v>
      </c>
      <c r="C100" s="76">
        <v>99</v>
      </c>
      <c r="D100" s="104" t="s">
        <v>6085</v>
      </c>
    </row>
    <row r="101" spans="1:4" ht="15.75" x14ac:dyDescent="0.25">
      <c r="A101" s="76">
        <v>100</v>
      </c>
      <c r="B101" s="199" t="s">
        <v>7174</v>
      </c>
      <c r="C101" s="76">
        <v>100</v>
      </c>
      <c r="D101" s="104" t="s">
        <v>6086</v>
      </c>
    </row>
    <row r="102" spans="1:4" ht="15.75" x14ac:dyDescent="0.25">
      <c r="A102" s="76">
        <v>101</v>
      </c>
      <c r="B102" s="199" t="s">
        <v>7175</v>
      </c>
      <c r="C102" s="76">
        <v>101</v>
      </c>
      <c r="D102" s="104" t="s">
        <v>6087</v>
      </c>
    </row>
    <row r="103" spans="1:4" ht="15.75" x14ac:dyDescent="0.25">
      <c r="A103" s="76">
        <v>102</v>
      </c>
      <c r="B103" s="199" t="s">
        <v>7176</v>
      </c>
      <c r="C103" s="76">
        <v>102</v>
      </c>
      <c r="D103" s="104" t="s">
        <v>6088</v>
      </c>
    </row>
    <row r="104" spans="1:4" ht="15.75" x14ac:dyDescent="0.25">
      <c r="A104" s="76">
        <v>103</v>
      </c>
      <c r="B104" s="199" t="s">
        <v>7177</v>
      </c>
      <c r="C104" s="76">
        <v>103</v>
      </c>
      <c r="D104" s="104" t="s">
        <v>6089</v>
      </c>
    </row>
    <row r="105" spans="1:4" ht="15.75" x14ac:dyDescent="0.25">
      <c r="A105" s="76">
        <v>104</v>
      </c>
      <c r="B105" s="199" t="s">
        <v>7178</v>
      </c>
      <c r="C105" s="76">
        <v>104</v>
      </c>
      <c r="D105" s="104" t="s">
        <v>6090</v>
      </c>
    </row>
    <row r="106" spans="1:4" ht="15.75" x14ac:dyDescent="0.25">
      <c r="A106" s="76">
        <v>105</v>
      </c>
      <c r="B106" s="199" t="s">
        <v>7179</v>
      </c>
      <c r="C106" s="76">
        <v>105</v>
      </c>
      <c r="D106" s="104" t="s">
        <v>6091</v>
      </c>
    </row>
    <row r="107" spans="1:4" ht="15.75" x14ac:dyDescent="0.25">
      <c r="A107" s="76">
        <v>106</v>
      </c>
      <c r="B107" s="199" t="s">
        <v>7180</v>
      </c>
      <c r="C107" s="76">
        <v>106</v>
      </c>
      <c r="D107" s="104" t="s">
        <v>6092</v>
      </c>
    </row>
    <row r="108" spans="1:4" ht="15.75" x14ac:dyDescent="0.25">
      <c r="A108" s="76">
        <v>107</v>
      </c>
      <c r="B108" s="199" t="s">
        <v>7181</v>
      </c>
      <c r="C108" s="76">
        <v>107</v>
      </c>
      <c r="D108" s="104" t="s">
        <v>6093</v>
      </c>
    </row>
    <row r="109" spans="1:4" ht="15.75" x14ac:dyDescent="0.25">
      <c r="A109" s="76">
        <v>108</v>
      </c>
      <c r="B109" s="199" t="s">
        <v>7182</v>
      </c>
      <c r="C109" s="76">
        <v>108</v>
      </c>
      <c r="D109" s="104" t="s">
        <v>6094</v>
      </c>
    </row>
    <row r="110" spans="1:4" ht="15.75" x14ac:dyDescent="0.25">
      <c r="A110" s="76">
        <v>109</v>
      </c>
      <c r="B110" s="199" t="s">
        <v>7183</v>
      </c>
      <c r="C110" s="76">
        <v>109</v>
      </c>
      <c r="D110" s="104" t="s">
        <v>6095</v>
      </c>
    </row>
    <row r="111" spans="1:4" ht="15.75" x14ac:dyDescent="0.25">
      <c r="A111" s="76">
        <v>110</v>
      </c>
      <c r="B111" s="199" t="s">
        <v>7184</v>
      </c>
      <c r="C111" s="76">
        <v>110</v>
      </c>
      <c r="D111" s="104" t="s">
        <v>6096</v>
      </c>
    </row>
    <row r="112" spans="1:4" ht="15.75" x14ac:dyDescent="0.25">
      <c r="A112" s="76">
        <v>111</v>
      </c>
      <c r="B112" s="199" t="s">
        <v>7185</v>
      </c>
      <c r="C112" s="76">
        <v>111</v>
      </c>
      <c r="D112" s="104" t="s">
        <v>6097</v>
      </c>
    </row>
    <row r="113" spans="1:4" ht="15.75" x14ac:dyDescent="0.25">
      <c r="A113" s="76">
        <v>112</v>
      </c>
      <c r="B113" s="199" t="s">
        <v>7186</v>
      </c>
      <c r="C113" s="76">
        <v>112</v>
      </c>
      <c r="D113" s="104" t="s">
        <v>6098</v>
      </c>
    </row>
    <row r="114" spans="1:4" ht="15.75" x14ac:dyDescent="0.25">
      <c r="A114" s="76">
        <v>113</v>
      </c>
      <c r="B114" s="199" t="s">
        <v>7187</v>
      </c>
      <c r="C114" s="76">
        <v>113</v>
      </c>
      <c r="D114" s="104" t="s">
        <v>6099</v>
      </c>
    </row>
    <row r="115" spans="1:4" ht="15.75" x14ac:dyDescent="0.25">
      <c r="A115" s="76">
        <v>114</v>
      </c>
      <c r="B115" s="199" t="s">
        <v>7188</v>
      </c>
      <c r="C115" s="76">
        <v>114</v>
      </c>
      <c r="D115" s="104" t="s">
        <v>6100</v>
      </c>
    </row>
    <row r="116" spans="1:4" ht="15.75" x14ac:dyDescent="0.25">
      <c r="A116" s="76">
        <v>115</v>
      </c>
      <c r="B116" s="199" t="s">
        <v>7189</v>
      </c>
      <c r="C116" s="76">
        <v>115</v>
      </c>
      <c r="D116" s="104" t="s">
        <v>6101</v>
      </c>
    </row>
    <row r="117" spans="1:4" ht="15.75" x14ac:dyDescent="0.25">
      <c r="A117" s="76">
        <v>116</v>
      </c>
      <c r="B117" s="199" t="s">
        <v>7190</v>
      </c>
      <c r="C117" s="76">
        <v>116</v>
      </c>
      <c r="D117" s="104" t="s">
        <v>6102</v>
      </c>
    </row>
    <row r="118" spans="1:4" ht="15.75" x14ac:dyDescent="0.25">
      <c r="A118" s="76">
        <v>117</v>
      </c>
      <c r="B118" s="199" t="s">
        <v>7191</v>
      </c>
      <c r="C118" s="76">
        <v>117</v>
      </c>
      <c r="D118" s="104" t="s">
        <v>6103</v>
      </c>
    </row>
    <row r="119" spans="1:4" ht="15.75" x14ac:dyDescent="0.25">
      <c r="A119" s="76">
        <v>118</v>
      </c>
      <c r="B119" s="199" t="s">
        <v>7192</v>
      </c>
      <c r="C119" s="76">
        <v>118</v>
      </c>
      <c r="D119" s="104" t="s">
        <v>6104</v>
      </c>
    </row>
    <row r="120" spans="1:4" ht="15.75" x14ac:dyDescent="0.25">
      <c r="A120" s="76">
        <v>119</v>
      </c>
      <c r="B120" s="199" t="s">
        <v>7193</v>
      </c>
      <c r="C120" s="76">
        <v>119</v>
      </c>
      <c r="D120" s="104" t="s">
        <v>6105</v>
      </c>
    </row>
    <row r="121" spans="1:4" ht="15.75" x14ac:dyDescent="0.25">
      <c r="A121" s="76">
        <v>120</v>
      </c>
      <c r="B121" s="199" t="s">
        <v>7194</v>
      </c>
      <c r="C121" s="76">
        <v>120</v>
      </c>
      <c r="D121" s="104" t="s">
        <v>6106</v>
      </c>
    </row>
    <row r="122" spans="1:4" ht="15.75" x14ac:dyDescent="0.25">
      <c r="A122" s="76">
        <v>121</v>
      </c>
      <c r="B122" s="199" t="s">
        <v>7195</v>
      </c>
      <c r="C122" s="76">
        <v>121</v>
      </c>
      <c r="D122" s="104" t="s">
        <v>6107</v>
      </c>
    </row>
    <row r="123" spans="1:4" ht="15.75" x14ac:dyDescent="0.25">
      <c r="A123" s="76">
        <v>122</v>
      </c>
      <c r="B123" s="199" t="s">
        <v>7196</v>
      </c>
      <c r="C123" s="76">
        <v>122</v>
      </c>
      <c r="D123" s="104" t="s">
        <v>6108</v>
      </c>
    </row>
    <row r="124" spans="1:4" ht="15.75" x14ac:dyDescent="0.25">
      <c r="A124" s="76">
        <v>123</v>
      </c>
      <c r="B124" s="199" t="s">
        <v>7197</v>
      </c>
      <c r="C124" s="76">
        <v>123</v>
      </c>
      <c r="D124" s="104" t="s">
        <v>6109</v>
      </c>
    </row>
    <row r="125" spans="1:4" ht="15.75" x14ac:dyDescent="0.25">
      <c r="A125" s="76">
        <v>124</v>
      </c>
      <c r="B125" s="199" t="s">
        <v>7198</v>
      </c>
      <c r="C125" s="76">
        <v>124</v>
      </c>
      <c r="D125" s="104" t="s">
        <v>6110</v>
      </c>
    </row>
    <row r="126" spans="1:4" ht="15.75" x14ac:dyDescent="0.25">
      <c r="A126" s="76">
        <v>125</v>
      </c>
      <c r="B126" s="199" t="s">
        <v>7199</v>
      </c>
      <c r="C126" s="76">
        <v>125</v>
      </c>
      <c r="D126" s="104" t="s">
        <v>6111</v>
      </c>
    </row>
    <row r="127" spans="1:4" ht="15.75" x14ac:dyDescent="0.25">
      <c r="A127" s="76">
        <v>126</v>
      </c>
      <c r="B127" s="199" t="s">
        <v>7200</v>
      </c>
      <c r="C127" s="76">
        <v>126</v>
      </c>
      <c r="D127" s="104" t="s">
        <v>6112</v>
      </c>
    </row>
    <row r="128" spans="1:4" ht="15.75" x14ac:dyDescent="0.25">
      <c r="A128" s="76">
        <v>127</v>
      </c>
      <c r="B128" s="199" t="s">
        <v>7201</v>
      </c>
      <c r="C128" s="76">
        <v>127</v>
      </c>
      <c r="D128" s="104" t="s">
        <v>6113</v>
      </c>
    </row>
    <row r="129" spans="1:4" ht="15.75" x14ac:dyDescent="0.25">
      <c r="A129" s="76">
        <v>128</v>
      </c>
      <c r="B129" s="199" t="s">
        <v>7202</v>
      </c>
      <c r="C129" s="76">
        <v>128</v>
      </c>
      <c r="D129" s="104" t="s">
        <v>6114</v>
      </c>
    </row>
    <row r="130" spans="1:4" ht="15.75" x14ac:dyDescent="0.25">
      <c r="A130" s="76">
        <v>129</v>
      </c>
      <c r="B130" s="199" t="s">
        <v>7203</v>
      </c>
      <c r="C130" s="76">
        <v>129</v>
      </c>
      <c r="D130" s="104" t="s">
        <v>6115</v>
      </c>
    </row>
    <row r="131" spans="1:4" ht="15.75" x14ac:dyDescent="0.25">
      <c r="A131" s="76">
        <v>130</v>
      </c>
      <c r="B131" s="199" t="s">
        <v>7204</v>
      </c>
      <c r="C131" s="76">
        <v>130</v>
      </c>
      <c r="D131" s="104" t="s">
        <v>6116</v>
      </c>
    </row>
    <row r="132" spans="1:4" ht="15.75" x14ac:dyDescent="0.25">
      <c r="A132" s="76">
        <v>131</v>
      </c>
      <c r="B132" s="199" t="s">
        <v>7205</v>
      </c>
      <c r="C132" s="76">
        <v>131</v>
      </c>
      <c r="D132" s="104" t="s">
        <v>6117</v>
      </c>
    </row>
    <row r="133" spans="1:4" ht="15.75" x14ac:dyDescent="0.25">
      <c r="A133" s="76">
        <v>132</v>
      </c>
      <c r="B133" s="199" t="s">
        <v>7206</v>
      </c>
      <c r="C133" s="76">
        <v>132</v>
      </c>
      <c r="D133" s="104" t="s">
        <v>6118</v>
      </c>
    </row>
    <row r="134" spans="1:4" ht="15.75" x14ac:dyDescent="0.25">
      <c r="A134" s="76">
        <v>133</v>
      </c>
      <c r="B134" s="199" t="s">
        <v>7207</v>
      </c>
      <c r="C134" s="76">
        <v>133</v>
      </c>
      <c r="D134" s="104" t="s">
        <v>6119</v>
      </c>
    </row>
    <row r="135" spans="1:4" ht="15.75" x14ac:dyDescent="0.25">
      <c r="A135" s="76">
        <v>134</v>
      </c>
      <c r="B135" s="199" t="s">
        <v>7208</v>
      </c>
      <c r="C135" s="76">
        <v>134</v>
      </c>
      <c r="D135" s="104" t="s">
        <v>6120</v>
      </c>
    </row>
    <row r="136" spans="1:4" ht="15.75" x14ac:dyDescent="0.25">
      <c r="A136" s="76">
        <v>135</v>
      </c>
      <c r="B136" s="199" t="s">
        <v>7209</v>
      </c>
      <c r="C136" s="76">
        <v>135</v>
      </c>
      <c r="D136" s="104" t="s">
        <v>6121</v>
      </c>
    </row>
    <row r="137" spans="1:4" ht="15.75" x14ac:dyDescent="0.25">
      <c r="A137" s="76">
        <v>136</v>
      </c>
      <c r="B137" s="199" t="s">
        <v>7210</v>
      </c>
      <c r="C137" s="76">
        <v>136</v>
      </c>
      <c r="D137" s="104" t="s">
        <v>6122</v>
      </c>
    </row>
    <row r="138" spans="1:4" ht="15.75" x14ac:dyDescent="0.25">
      <c r="A138" s="76">
        <v>137</v>
      </c>
      <c r="B138" s="199" t="s">
        <v>7211</v>
      </c>
      <c r="C138" s="76">
        <v>137</v>
      </c>
      <c r="D138" s="105" t="s">
        <v>6123</v>
      </c>
    </row>
    <row r="139" spans="1:4" ht="15.75" x14ac:dyDescent="0.25">
      <c r="A139" s="76">
        <v>138</v>
      </c>
      <c r="B139" s="199" t="s">
        <v>7212</v>
      </c>
      <c r="C139" s="76">
        <v>138</v>
      </c>
      <c r="D139" s="105" t="s">
        <v>6124</v>
      </c>
    </row>
    <row r="140" spans="1:4" ht="15.75" x14ac:dyDescent="0.25">
      <c r="A140" s="76">
        <v>139</v>
      </c>
      <c r="B140" s="199" t="s">
        <v>7213</v>
      </c>
      <c r="C140" s="76">
        <v>139</v>
      </c>
      <c r="D140" s="105" t="s">
        <v>6125</v>
      </c>
    </row>
    <row r="141" spans="1:4" ht="15.75" x14ac:dyDescent="0.25">
      <c r="A141" s="76">
        <v>140</v>
      </c>
      <c r="B141" s="199" t="s">
        <v>7214</v>
      </c>
      <c r="C141" s="76">
        <v>140</v>
      </c>
      <c r="D141" s="105" t="s">
        <v>6126</v>
      </c>
    </row>
    <row r="142" spans="1:4" ht="15.75" x14ac:dyDescent="0.25">
      <c r="A142" s="76">
        <v>141</v>
      </c>
      <c r="B142" s="199" t="s">
        <v>7215</v>
      </c>
      <c r="C142" s="76">
        <v>141</v>
      </c>
      <c r="D142" s="105" t="s">
        <v>6127</v>
      </c>
    </row>
    <row r="143" spans="1:4" ht="15.75" x14ac:dyDescent="0.25">
      <c r="A143" s="76">
        <v>142</v>
      </c>
      <c r="B143" s="199" t="s">
        <v>7216</v>
      </c>
      <c r="C143" s="76">
        <v>142</v>
      </c>
      <c r="D143" s="104" t="s">
        <v>6128</v>
      </c>
    </row>
    <row r="144" spans="1:4" ht="15.75" x14ac:dyDescent="0.25">
      <c r="A144" s="76">
        <v>143</v>
      </c>
      <c r="B144" s="199" t="s">
        <v>7217</v>
      </c>
      <c r="C144" s="76">
        <v>143</v>
      </c>
      <c r="D144" s="105" t="s">
        <v>6129</v>
      </c>
    </row>
    <row r="145" spans="1:4" ht="15.75" x14ac:dyDescent="0.25">
      <c r="A145" s="76">
        <v>144</v>
      </c>
      <c r="B145" s="199" t="s">
        <v>7218</v>
      </c>
      <c r="C145" s="76">
        <v>144</v>
      </c>
      <c r="D145" s="104" t="s">
        <v>6130</v>
      </c>
    </row>
    <row r="146" spans="1:4" ht="15.75" x14ac:dyDescent="0.25">
      <c r="A146" s="76">
        <v>145</v>
      </c>
      <c r="B146" s="199" t="s">
        <v>7219</v>
      </c>
      <c r="C146" s="76">
        <v>145</v>
      </c>
      <c r="D146" s="104" t="s">
        <v>6131</v>
      </c>
    </row>
    <row r="147" spans="1:4" ht="15.75" x14ac:dyDescent="0.25">
      <c r="A147" s="76">
        <v>146</v>
      </c>
      <c r="B147" s="199" t="s">
        <v>7220</v>
      </c>
      <c r="C147" s="76">
        <v>146</v>
      </c>
      <c r="D147" s="105" t="s">
        <v>6132</v>
      </c>
    </row>
    <row r="148" spans="1:4" ht="15.75" x14ac:dyDescent="0.25">
      <c r="A148" s="76">
        <v>147</v>
      </c>
      <c r="B148" s="199" t="s">
        <v>7221</v>
      </c>
      <c r="C148" s="76">
        <v>147</v>
      </c>
      <c r="D148" s="104" t="s">
        <v>6133</v>
      </c>
    </row>
    <row r="149" spans="1:4" ht="15.75" x14ac:dyDescent="0.25">
      <c r="A149" s="76">
        <v>148</v>
      </c>
      <c r="B149" s="199" t="s">
        <v>7222</v>
      </c>
      <c r="C149" s="76">
        <v>148</v>
      </c>
      <c r="D149" s="105" t="s">
        <v>6134</v>
      </c>
    </row>
    <row r="150" spans="1:4" ht="15.75" x14ac:dyDescent="0.25">
      <c r="A150" s="76">
        <v>149</v>
      </c>
      <c r="B150" s="199" t="s">
        <v>7223</v>
      </c>
      <c r="C150" s="76">
        <v>149</v>
      </c>
      <c r="D150" s="104" t="s">
        <v>6135</v>
      </c>
    </row>
    <row r="151" spans="1:4" ht="15.75" x14ac:dyDescent="0.25">
      <c r="A151" s="76">
        <v>150</v>
      </c>
      <c r="B151" s="199" t="s">
        <v>7224</v>
      </c>
      <c r="C151" s="76">
        <v>150</v>
      </c>
      <c r="D151" s="105" t="s">
        <v>6136</v>
      </c>
    </row>
    <row r="152" spans="1:4" ht="15.75" x14ac:dyDescent="0.25">
      <c r="A152" s="76">
        <v>151</v>
      </c>
      <c r="B152" s="199" t="s">
        <v>7225</v>
      </c>
      <c r="C152" s="76">
        <v>151</v>
      </c>
      <c r="D152" s="105" t="s">
        <v>6137</v>
      </c>
    </row>
    <row r="153" spans="1:4" ht="15.75" x14ac:dyDescent="0.25">
      <c r="A153" s="76">
        <v>152</v>
      </c>
      <c r="B153" s="199" t="s">
        <v>7226</v>
      </c>
      <c r="C153" s="76">
        <v>152</v>
      </c>
      <c r="D153" s="105" t="s">
        <v>6138</v>
      </c>
    </row>
    <row r="154" spans="1:4" ht="15.75" x14ac:dyDescent="0.25">
      <c r="A154" s="76">
        <v>153</v>
      </c>
      <c r="B154" s="199" t="s">
        <v>7227</v>
      </c>
      <c r="C154" s="76">
        <v>153</v>
      </c>
      <c r="D154" s="105" t="s">
        <v>6139</v>
      </c>
    </row>
    <row r="155" spans="1:4" ht="15.75" x14ac:dyDescent="0.25">
      <c r="A155" s="76">
        <v>154</v>
      </c>
      <c r="B155" s="199" t="s">
        <v>7228</v>
      </c>
      <c r="C155" s="76">
        <v>154</v>
      </c>
      <c r="D155" s="105" t="s">
        <v>6140</v>
      </c>
    </row>
    <row r="156" spans="1:4" ht="15.75" x14ac:dyDescent="0.25">
      <c r="A156" s="76">
        <v>155</v>
      </c>
      <c r="B156" s="199" t="s">
        <v>7229</v>
      </c>
      <c r="C156" s="76">
        <v>155</v>
      </c>
      <c r="D156" s="105" t="s">
        <v>6141</v>
      </c>
    </row>
    <row r="157" spans="1:4" ht="15.75" x14ac:dyDescent="0.25">
      <c r="A157" s="76">
        <v>156</v>
      </c>
      <c r="B157" s="199" t="s">
        <v>7230</v>
      </c>
      <c r="C157" s="76">
        <v>156</v>
      </c>
      <c r="D157" s="104" t="s">
        <v>6142</v>
      </c>
    </row>
    <row r="158" spans="1:4" ht="15.75" x14ac:dyDescent="0.25">
      <c r="A158" s="76">
        <v>157</v>
      </c>
      <c r="B158" s="199" t="s">
        <v>7231</v>
      </c>
      <c r="C158" s="76">
        <v>157</v>
      </c>
      <c r="D158" s="105" t="s">
        <v>6143</v>
      </c>
    </row>
    <row r="159" spans="1:4" ht="15.75" x14ac:dyDescent="0.25">
      <c r="A159" s="76">
        <v>158</v>
      </c>
      <c r="B159" s="199" t="s">
        <v>7232</v>
      </c>
      <c r="C159" s="76">
        <v>158</v>
      </c>
      <c r="D159" s="105" t="s">
        <v>6144</v>
      </c>
    </row>
    <row r="160" spans="1:4" ht="15.75" x14ac:dyDescent="0.25">
      <c r="A160" s="76">
        <v>159</v>
      </c>
      <c r="B160" s="199" t="s">
        <v>7233</v>
      </c>
      <c r="C160" s="76">
        <v>159</v>
      </c>
      <c r="D160" s="105" t="s">
        <v>6145</v>
      </c>
    </row>
    <row r="161" spans="1:4" ht="15.75" x14ac:dyDescent="0.25">
      <c r="A161" s="76">
        <v>160</v>
      </c>
      <c r="B161" s="199" t="s">
        <v>7234</v>
      </c>
      <c r="C161" s="76">
        <v>160</v>
      </c>
      <c r="D161" s="105" t="s">
        <v>6146</v>
      </c>
    </row>
    <row r="162" spans="1:4" ht="15.75" x14ac:dyDescent="0.25">
      <c r="A162" s="76">
        <v>161</v>
      </c>
      <c r="B162" s="199" t="s">
        <v>7235</v>
      </c>
      <c r="C162" s="76">
        <v>161</v>
      </c>
      <c r="D162" s="104" t="s">
        <v>6147</v>
      </c>
    </row>
    <row r="163" spans="1:4" ht="15.75" x14ac:dyDescent="0.25">
      <c r="A163" s="76">
        <v>162</v>
      </c>
      <c r="B163" s="199" t="s">
        <v>7236</v>
      </c>
      <c r="C163" s="76">
        <v>162</v>
      </c>
      <c r="D163" s="104" t="s">
        <v>6148</v>
      </c>
    </row>
    <row r="164" spans="1:4" ht="15.75" x14ac:dyDescent="0.25">
      <c r="A164" s="76">
        <v>163</v>
      </c>
      <c r="B164" s="199" t="s">
        <v>7237</v>
      </c>
      <c r="C164" s="76">
        <v>163</v>
      </c>
      <c r="D164" s="105" t="s">
        <v>6149</v>
      </c>
    </row>
    <row r="165" spans="1:4" ht="15.75" x14ac:dyDescent="0.25">
      <c r="A165" s="76">
        <v>164</v>
      </c>
      <c r="B165" s="199" t="s">
        <v>7238</v>
      </c>
      <c r="C165" s="76">
        <v>164</v>
      </c>
      <c r="D165" s="105" t="s">
        <v>6150</v>
      </c>
    </row>
    <row r="166" spans="1:4" ht="15.75" x14ac:dyDescent="0.25">
      <c r="A166" s="76">
        <v>165</v>
      </c>
      <c r="B166" s="199" t="s">
        <v>7239</v>
      </c>
      <c r="C166" s="76">
        <v>165</v>
      </c>
      <c r="D166" s="105" t="s">
        <v>6151</v>
      </c>
    </row>
    <row r="167" spans="1:4" ht="15.75" x14ac:dyDescent="0.25">
      <c r="A167" s="76">
        <v>166</v>
      </c>
      <c r="B167" s="199" t="s">
        <v>7240</v>
      </c>
      <c r="C167" s="76">
        <v>166</v>
      </c>
      <c r="D167" s="105" t="s">
        <v>6152</v>
      </c>
    </row>
    <row r="168" spans="1:4" ht="15.75" x14ac:dyDescent="0.25">
      <c r="A168" s="76">
        <v>167</v>
      </c>
      <c r="B168" s="199" t="s">
        <v>7241</v>
      </c>
      <c r="C168" s="76">
        <v>167</v>
      </c>
      <c r="D168" s="105" t="s">
        <v>6153</v>
      </c>
    </row>
    <row r="169" spans="1:4" ht="15.75" x14ac:dyDescent="0.25">
      <c r="A169" s="76">
        <v>168</v>
      </c>
      <c r="B169" s="199" t="s">
        <v>7242</v>
      </c>
      <c r="C169" s="76">
        <v>168</v>
      </c>
      <c r="D169" s="105" t="s">
        <v>6154</v>
      </c>
    </row>
    <row r="170" spans="1:4" ht="15.75" x14ac:dyDescent="0.25">
      <c r="A170" s="76">
        <v>169</v>
      </c>
      <c r="B170" s="199" t="s">
        <v>7243</v>
      </c>
      <c r="C170" s="76">
        <v>169</v>
      </c>
      <c r="D170" s="105" t="s">
        <v>6155</v>
      </c>
    </row>
    <row r="171" spans="1:4" ht="15.75" x14ac:dyDescent="0.25">
      <c r="A171" s="76">
        <v>170</v>
      </c>
      <c r="B171" s="199" t="s">
        <v>7244</v>
      </c>
      <c r="C171" s="76">
        <v>170</v>
      </c>
      <c r="D171" s="104" t="s">
        <v>6156</v>
      </c>
    </row>
    <row r="172" spans="1:4" ht="15.75" x14ac:dyDescent="0.25">
      <c r="A172" s="76">
        <v>171</v>
      </c>
      <c r="B172" s="199" t="s">
        <v>7245</v>
      </c>
      <c r="C172" s="76">
        <v>171</v>
      </c>
      <c r="D172" s="104" t="s">
        <v>6157</v>
      </c>
    </row>
    <row r="173" spans="1:4" ht="15.75" x14ac:dyDescent="0.25">
      <c r="A173" s="76">
        <v>172</v>
      </c>
      <c r="B173" s="199" t="s">
        <v>7246</v>
      </c>
      <c r="C173" s="76">
        <v>172</v>
      </c>
      <c r="D173" s="105" t="s">
        <v>6158</v>
      </c>
    </row>
    <row r="174" spans="1:4" ht="15.75" x14ac:dyDescent="0.25">
      <c r="A174" s="76">
        <v>173</v>
      </c>
      <c r="B174" s="199" t="s">
        <v>7247</v>
      </c>
      <c r="C174" s="76">
        <v>173</v>
      </c>
      <c r="D174" s="105" t="s">
        <v>6159</v>
      </c>
    </row>
    <row r="175" spans="1:4" ht="15.75" x14ac:dyDescent="0.25">
      <c r="A175" s="76">
        <v>174</v>
      </c>
      <c r="B175" s="199" t="s">
        <v>7248</v>
      </c>
      <c r="C175" s="76">
        <v>174</v>
      </c>
      <c r="D175" s="104" t="s">
        <v>6160</v>
      </c>
    </row>
    <row r="176" spans="1:4" ht="15.75" x14ac:dyDescent="0.25">
      <c r="A176" s="76">
        <v>175</v>
      </c>
      <c r="B176" s="199" t="s">
        <v>7249</v>
      </c>
      <c r="C176" s="76">
        <v>175</v>
      </c>
      <c r="D176" s="104" t="s">
        <v>6161</v>
      </c>
    </row>
    <row r="177" spans="1:4" ht="15.75" x14ac:dyDescent="0.25">
      <c r="A177" s="76">
        <v>176</v>
      </c>
      <c r="B177" s="199" t="s">
        <v>7250</v>
      </c>
      <c r="C177" s="76">
        <v>176</v>
      </c>
      <c r="D177" s="105" t="s">
        <v>6162</v>
      </c>
    </row>
    <row r="178" spans="1:4" ht="15.75" x14ac:dyDescent="0.25">
      <c r="A178" s="76">
        <v>177</v>
      </c>
      <c r="B178" s="199" t="s">
        <v>7251</v>
      </c>
      <c r="C178" s="76">
        <v>177</v>
      </c>
      <c r="D178" s="104" t="s">
        <v>6163</v>
      </c>
    </row>
    <row r="179" spans="1:4" ht="15.75" x14ac:dyDescent="0.25">
      <c r="A179" s="76">
        <v>178</v>
      </c>
      <c r="B179" s="199" t="s">
        <v>7252</v>
      </c>
      <c r="C179" s="76">
        <v>178</v>
      </c>
      <c r="D179" s="105" t="s">
        <v>6164</v>
      </c>
    </row>
    <row r="180" spans="1:4" ht="15.75" x14ac:dyDescent="0.25">
      <c r="A180" s="76">
        <v>179</v>
      </c>
      <c r="B180" s="199" t="s">
        <v>7253</v>
      </c>
      <c r="C180" s="76">
        <v>179</v>
      </c>
      <c r="D180" s="104" t="s">
        <v>6165</v>
      </c>
    </row>
    <row r="181" spans="1:4" ht="15.75" x14ac:dyDescent="0.25">
      <c r="A181" s="76">
        <v>180</v>
      </c>
      <c r="B181" s="199" t="s">
        <v>7254</v>
      </c>
      <c r="C181" s="76">
        <v>180</v>
      </c>
      <c r="D181" s="105" t="s">
        <v>6166</v>
      </c>
    </row>
    <row r="182" spans="1:4" ht="15.75" x14ac:dyDescent="0.25">
      <c r="A182" s="76">
        <v>181</v>
      </c>
      <c r="B182" s="199" t="s">
        <v>7255</v>
      </c>
      <c r="C182" s="76">
        <v>181</v>
      </c>
      <c r="D182" s="104" t="s">
        <v>6167</v>
      </c>
    </row>
    <row r="183" spans="1:4" ht="15.75" x14ac:dyDescent="0.25">
      <c r="A183" s="76">
        <v>182</v>
      </c>
      <c r="B183" s="199" t="s">
        <v>7256</v>
      </c>
      <c r="C183" s="76">
        <v>182</v>
      </c>
      <c r="D183" s="104" t="s">
        <v>6168</v>
      </c>
    </row>
    <row r="184" spans="1:4" ht="15.75" x14ac:dyDescent="0.25">
      <c r="A184" s="76">
        <v>183</v>
      </c>
      <c r="B184" s="199" t="s">
        <v>7257</v>
      </c>
      <c r="C184" s="76">
        <v>183</v>
      </c>
      <c r="D184" s="104" t="s">
        <v>6169</v>
      </c>
    </row>
    <row r="185" spans="1:4" ht="15.75" x14ac:dyDescent="0.25">
      <c r="A185" s="76">
        <v>184</v>
      </c>
      <c r="B185" s="199" t="s">
        <v>7258</v>
      </c>
      <c r="C185" s="76">
        <v>184</v>
      </c>
      <c r="D185" s="104" t="s">
        <v>6170</v>
      </c>
    </row>
    <row r="186" spans="1:4" ht="15.75" x14ac:dyDescent="0.25">
      <c r="A186" s="76">
        <v>185</v>
      </c>
      <c r="B186" s="199" t="s">
        <v>7259</v>
      </c>
      <c r="C186" s="76">
        <v>185</v>
      </c>
      <c r="D186" s="104" t="s">
        <v>6171</v>
      </c>
    </row>
    <row r="187" spans="1:4" ht="15.75" x14ac:dyDescent="0.25">
      <c r="A187" s="76">
        <v>186</v>
      </c>
      <c r="B187" s="199" t="s">
        <v>7260</v>
      </c>
      <c r="C187" s="76">
        <v>186</v>
      </c>
      <c r="D187" s="104" t="s">
        <v>6172</v>
      </c>
    </row>
    <row r="188" spans="1:4" ht="15.75" x14ac:dyDescent="0.25">
      <c r="A188" s="76">
        <v>187</v>
      </c>
      <c r="B188" s="199" t="s">
        <v>7261</v>
      </c>
      <c r="C188" s="76">
        <v>187</v>
      </c>
      <c r="D188" s="104" t="s">
        <v>6173</v>
      </c>
    </row>
    <row r="189" spans="1:4" ht="15.75" x14ac:dyDescent="0.25">
      <c r="A189" s="76">
        <v>188</v>
      </c>
      <c r="B189" s="199" t="s">
        <v>7262</v>
      </c>
      <c r="C189" s="76">
        <v>188</v>
      </c>
      <c r="D189" s="104" t="s">
        <v>6174</v>
      </c>
    </row>
    <row r="190" spans="1:4" ht="15.75" x14ac:dyDescent="0.25">
      <c r="A190" s="76">
        <v>189</v>
      </c>
      <c r="B190" s="199" t="s">
        <v>7263</v>
      </c>
      <c r="C190" s="76">
        <v>189</v>
      </c>
      <c r="D190" s="105" t="s">
        <v>6175</v>
      </c>
    </row>
    <row r="191" spans="1:4" ht="15.75" x14ac:dyDescent="0.25">
      <c r="A191" s="76">
        <v>190</v>
      </c>
      <c r="B191" s="199" t="s">
        <v>7264</v>
      </c>
      <c r="C191" s="76">
        <v>190</v>
      </c>
      <c r="D191" s="104" t="s">
        <v>6176</v>
      </c>
    </row>
    <row r="192" spans="1:4" ht="15.75" x14ac:dyDescent="0.25">
      <c r="A192" s="76">
        <v>191</v>
      </c>
      <c r="B192" s="199" t="s">
        <v>7265</v>
      </c>
      <c r="C192" s="76">
        <v>191</v>
      </c>
      <c r="D192" s="104" t="s">
        <v>6177</v>
      </c>
    </row>
    <row r="193" spans="1:4" ht="15.75" x14ac:dyDescent="0.25">
      <c r="A193" s="76">
        <v>192</v>
      </c>
      <c r="B193" s="199" t="s">
        <v>7266</v>
      </c>
      <c r="C193" s="76">
        <v>192</v>
      </c>
      <c r="D193" s="104" t="s">
        <v>6178</v>
      </c>
    </row>
    <row r="194" spans="1:4" ht="15.75" x14ac:dyDescent="0.25">
      <c r="A194" s="76">
        <v>193</v>
      </c>
      <c r="B194" s="199" t="s">
        <v>7267</v>
      </c>
      <c r="C194" s="76">
        <v>193</v>
      </c>
      <c r="D194" s="104" t="s">
        <v>6179</v>
      </c>
    </row>
    <row r="195" spans="1:4" ht="15.75" x14ac:dyDescent="0.25">
      <c r="A195" s="76">
        <v>194</v>
      </c>
      <c r="B195" s="199" t="s">
        <v>7268</v>
      </c>
      <c r="C195" s="76">
        <v>194</v>
      </c>
      <c r="D195" s="104" t="s">
        <v>6180</v>
      </c>
    </row>
    <row r="196" spans="1:4" ht="15.75" x14ac:dyDescent="0.25">
      <c r="A196" s="76">
        <v>195</v>
      </c>
      <c r="B196" s="199" t="s">
        <v>7269</v>
      </c>
      <c r="C196" s="76">
        <v>195</v>
      </c>
      <c r="D196" s="104" t="s">
        <v>6181</v>
      </c>
    </row>
    <row r="197" spans="1:4" ht="15.75" x14ac:dyDescent="0.25">
      <c r="A197" s="76">
        <v>196</v>
      </c>
      <c r="B197" s="199" t="s">
        <v>7270</v>
      </c>
      <c r="C197" s="76">
        <v>196</v>
      </c>
      <c r="D197" s="104" t="s">
        <v>6182</v>
      </c>
    </row>
    <row r="198" spans="1:4" ht="15.75" x14ac:dyDescent="0.25">
      <c r="A198" s="76">
        <v>197</v>
      </c>
      <c r="B198" s="199" t="s">
        <v>7271</v>
      </c>
      <c r="C198" s="76">
        <v>197</v>
      </c>
      <c r="D198" s="104" t="s">
        <v>6183</v>
      </c>
    </row>
    <row r="199" spans="1:4" ht="15.75" x14ac:dyDescent="0.25">
      <c r="A199" s="76">
        <v>198</v>
      </c>
      <c r="B199" s="199" t="s">
        <v>7272</v>
      </c>
      <c r="C199" s="76">
        <v>198</v>
      </c>
      <c r="D199" s="104" t="s">
        <v>6184</v>
      </c>
    </row>
    <row r="200" spans="1:4" ht="15.75" x14ac:dyDescent="0.25">
      <c r="A200" s="76">
        <v>199</v>
      </c>
      <c r="B200" s="199" t="s">
        <v>7273</v>
      </c>
      <c r="C200" s="76">
        <v>199</v>
      </c>
      <c r="D200" s="105" t="s">
        <v>6185</v>
      </c>
    </row>
    <row r="201" spans="1:4" ht="15.75" x14ac:dyDescent="0.25">
      <c r="A201" s="76">
        <v>200</v>
      </c>
      <c r="B201" s="199" t="s">
        <v>7274</v>
      </c>
      <c r="C201" s="76">
        <v>200</v>
      </c>
      <c r="D201" s="104" t="s">
        <v>6186</v>
      </c>
    </row>
    <row r="202" spans="1:4" ht="15.75" x14ac:dyDescent="0.25">
      <c r="A202" s="76">
        <v>201</v>
      </c>
      <c r="B202" s="199" t="s">
        <v>7275</v>
      </c>
      <c r="C202" s="76">
        <v>201</v>
      </c>
      <c r="D202" s="104" t="s">
        <v>6187</v>
      </c>
    </row>
    <row r="203" spans="1:4" ht="15.75" x14ac:dyDescent="0.25">
      <c r="A203" s="76">
        <v>202</v>
      </c>
      <c r="B203" s="199" t="s">
        <v>7276</v>
      </c>
      <c r="C203" s="76">
        <v>202</v>
      </c>
      <c r="D203" s="104" t="s">
        <v>6188</v>
      </c>
    </row>
    <row r="204" spans="1:4" ht="15.75" x14ac:dyDescent="0.25">
      <c r="A204" s="76">
        <v>203</v>
      </c>
      <c r="B204" s="199" t="s">
        <v>7277</v>
      </c>
      <c r="C204" s="76">
        <v>203</v>
      </c>
      <c r="D204" s="104" t="s">
        <v>6189</v>
      </c>
    </row>
    <row r="205" spans="1:4" ht="15.75" x14ac:dyDescent="0.25">
      <c r="A205" s="76">
        <v>204</v>
      </c>
      <c r="B205" s="199" t="s">
        <v>7278</v>
      </c>
      <c r="C205" s="76">
        <v>204</v>
      </c>
      <c r="D205" s="104" t="s">
        <v>6191</v>
      </c>
    </row>
    <row r="206" spans="1:4" ht="15.75" x14ac:dyDescent="0.25">
      <c r="A206" s="76">
        <v>205</v>
      </c>
      <c r="B206" s="199" t="s">
        <v>7279</v>
      </c>
      <c r="C206" s="76">
        <v>205</v>
      </c>
      <c r="D206" s="104" t="s">
        <v>6190</v>
      </c>
    </row>
    <row r="207" spans="1:4" ht="15.75" x14ac:dyDescent="0.25">
      <c r="A207" s="76">
        <v>206</v>
      </c>
      <c r="B207" s="199" t="s">
        <v>7280</v>
      </c>
      <c r="C207" s="76">
        <v>206</v>
      </c>
      <c r="D207" s="104" t="s">
        <v>6192</v>
      </c>
    </row>
    <row r="208" spans="1:4" ht="15.75" x14ac:dyDescent="0.25">
      <c r="A208" s="76">
        <v>207</v>
      </c>
      <c r="B208" s="199" t="s">
        <v>7281</v>
      </c>
      <c r="C208" s="76">
        <v>207</v>
      </c>
      <c r="D208" s="104" t="s">
        <v>6193</v>
      </c>
    </row>
    <row r="209" spans="1:4" ht="15.75" x14ac:dyDescent="0.25">
      <c r="A209" s="76">
        <v>208</v>
      </c>
      <c r="B209" s="199" t="s">
        <v>7282</v>
      </c>
      <c r="C209" s="76">
        <v>208</v>
      </c>
      <c r="D209" s="104" t="s">
        <v>6194</v>
      </c>
    </row>
    <row r="210" spans="1:4" ht="15.75" x14ac:dyDescent="0.25">
      <c r="A210" s="76">
        <v>209</v>
      </c>
      <c r="B210" s="199" t="s">
        <v>7283</v>
      </c>
      <c r="C210" s="76">
        <v>209</v>
      </c>
      <c r="D210" s="104" t="s">
        <v>6195</v>
      </c>
    </row>
    <row r="211" spans="1:4" ht="15.75" x14ac:dyDescent="0.25">
      <c r="A211" s="76">
        <v>210</v>
      </c>
      <c r="B211" s="199" t="s">
        <v>7284</v>
      </c>
      <c r="C211" s="76">
        <v>210</v>
      </c>
      <c r="D211" s="104" t="s">
        <v>6196</v>
      </c>
    </row>
    <row r="212" spans="1:4" ht="15.75" x14ac:dyDescent="0.25">
      <c r="A212" s="76">
        <v>211</v>
      </c>
      <c r="B212" s="199" t="s">
        <v>7285</v>
      </c>
      <c r="C212" s="76">
        <v>211</v>
      </c>
      <c r="D212" s="104" t="s">
        <v>6197</v>
      </c>
    </row>
    <row r="213" spans="1:4" ht="15.75" x14ac:dyDescent="0.25">
      <c r="A213" s="76">
        <v>212</v>
      </c>
      <c r="B213" s="199" t="s">
        <v>7286</v>
      </c>
      <c r="C213" s="76">
        <v>212</v>
      </c>
      <c r="D213" s="104" t="s">
        <v>6198</v>
      </c>
    </row>
    <row r="214" spans="1:4" ht="15.75" x14ac:dyDescent="0.25">
      <c r="A214" s="76">
        <v>213</v>
      </c>
      <c r="B214" s="199" t="s">
        <v>7287</v>
      </c>
      <c r="C214" s="76">
        <v>213</v>
      </c>
      <c r="D214" s="104" t="s">
        <v>6199</v>
      </c>
    </row>
    <row r="215" spans="1:4" ht="15.75" x14ac:dyDescent="0.25">
      <c r="A215" s="76">
        <v>214</v>
      </c>
      <c r="B215" s="199" t="s">
        <v>7288</v>
      </c>
      <c r="C215" s="76">
        <v>214</v>
      </c>
      <c r="D215" s="104" t="s">
        <v>6200</v>
      </c>
    </row>
    <row r="216" spans="1:4" ht="15.75" x14ac:dyDescent="0.25">
      <c r="A216" s="76">
        <v>215</v>
      </c>
      <c r="B216" s="199" t="s">
        <v>7289</v>
      </c>
      <c r="C216" s="76">
        <v>215</v>
      </c>
      <c r="D216" s="104" t="s">
        <v>6201</v>
      </c>
    </row>
    <row r="217" spans="1:4" ht="15.75" x14ac:dyDescent="0.25">
      <c r="A217" s="76">
        <v>216</v>
      </c>
      <c r="B217" s="199" t="s">
        <v>7290</v>
      </c>
      <c r="C217" s="76">
        <v>216</v>
      </c>
      <c r="D217" s="104" t="s">
        <v>6202</v>
      </c>
    </row>
    <row r="218" spans="1:4" ht="15.75" x14ac:dyDescent="0.25">
      <c r="A218" s="76">
        <v>217</v>
      </c>
      <c r="B218" s="199" t="s">
        <v>7291</v>
      </c>
      <c r="C218" s="76">
        <v>217</v>
      </c>
      <c r="D218" s="104" t="s">
        <v>6203</v>
      </c>
    </row>
    <row r="219" spans="1:4" ht="15.75" x14ac:dyDescent="0.25">
      <c r="A219" s="76">
        <v>218</v>
      </c>
      <c r="B219" s="199" t="s">
        <v>7292</v>
      </c>
      <c r="C219" s="76">
        <v>218</v>
      </c>
      <c r="D219" s="104" t="s">
        <v>6204</v>
      </c>
    </row>
    <row r="220" spans="1:4" ht="15.75" x14ac:dyDescent="0.25">
      <c r="A220" s="76">
        <v>219</v>
      </c>
      <c r="B220" s="199" t="s">
        <v>7293</v>
      </c>
      <c r="C220" s="76">
        <v>219</v>
      </c>
      <c r="D220" s="104" t="s">
        <v>6205</v>
      </c>
    </row>
    <row r="221" spans="1:4" ht="15.75" x14ac:dyDescent="0.25">
      <c r="A221" s="76">
        <v>220</v>
      </c>
      <c r="B221" s="199" t="s">
        <v>7294</v>
      </c>
      <c r="C221" s="76">
        <v>220</v>
      </c>
      <c r="D221" s="104" t="s">
        <v>6206</v>
      </c>
    </row>
    <row r="222" spans="1:4" ht="15.75" x14ac:dyDescent="0.25">
      <c r="A222" s="76">
        <v>221</v>
      </c>
      <c r="B222" s="199" t="s">
        <v>7295</v>
      </c>
      <c r="C222" s="76">
        <v>221</v>
      </c>
      <c r="D222" s="104" t="s">
        <v>6207</v>
      </c>
    </row>
    <row r="223" spans="1:4" ht="15.75" x14ac:dyDescent="0.25">
      <c r="A223" s="76">
        <v>222</v>
      </c>
      <c r="B223" s="199" t="s">
        <v>7296</v>
      </c>
      <c r="C223" s="76">
        <v>222</v>
      </c>
      <c r="D223" s="104" t="s">
        <v>6208</v>
      </c>
    </row>
    <row r="224" spans="1:4" ht="15.75" x14ac:dyDescent="0.25">
      <c r="A224" s="76">
        <v>223</v>
      </c>
      <c r="B224" s="199" t="s">
        <v>7297</v>
      </c>
      <c r="C224" s="76">
        <v>223</v>
      </c>
      <c r="D224" s="104" t="s">
        <v>6209</v>
      </c>
    </row>
    <row r="225" spans="1:4" ht="15.75" x14ac:dyDescent="0.25">
      <c r="A225" s="76">
        <v>224</v>
      </c>
      <c r="B225" s="199" t="s">
        <v>7298</v>
      </c>
      <c r="C225" s="76">
        <v>224</v>
      </c>
      <c r="D225" s="104" t="s">
        <v>6210</v>
      </c>
    </row>
    <row r="226" spans="1:4" ht="15.75" x14ac:dyDescent="0.25">
      <c r="A226" s="76">
        <v>225</v>
      </c>
      <c r="B226" s="199" t="s">
        <v>7299</v>
      </c>
      <c r="C226" s="76">
        <v>225</v>
      </c>
      <c r="D226" s="104" t="s">
        <v>6211</v>
      </c>
    </row>
    <row r="227" spans="1:4" ht="15.75" x14ac:dyDescent="0.25">
      <c r="A227" s="76">
        <v>226</v>
      </c>
      <c r="B227" s="199" t="s">
        <v>7300</v>
      </c>
      <c r="C227" s="76">
        <v>226</v>
      </c>
      <c r="D227" s="104" t="s">
        <v>6212</v>
      </c>
    </row>
    <row r="228" spans="1:4" ht="15.75" x14ac:dyDescent="0.25">
      <c r="A228" s="76">
        <v>227</v>
      </c>
      <c r="B228" s="199" t="s">
        <v>7301</v>
      </c>
      <c r="C228" s="76">
        <v>227</v>
      </c>
      <c r="D228" s="104" t="s">
        <v>6213</v>
      </c>
    </row>
    <row r="229" spans="1:4" ht="15.75" x14ac:dyDescent="0.25">
      <c r="A229" s="76">
        <v>228</v>
      </c>
      <c r="B229" s="199" t="s">
        <v>7302</v>
      </c>
      <c r="C229" s="76">
        <v>228</v>
      </c>
      <c r="D229" s="104" t="s">
        <v>6214</v>
      </c>
    </row>
    <row r="230" spans="1:4" ht="15.75" x14ac:dyDescent="0.25">
      <c r="A230" s="76">
        <v>229</v>
      </c>
      <c r="B230" s="199" t="s">
        <v>7303</v>
      </c>
      <c r="C230" s="76">
        <v>229</v>
      </c>
      <c r="D230" s="104" t="s">
        <v>6215</v>
      </c>
    </row>
    <row r="231" spans="1:4" ht="15.75" x14ac:dyDescent="0.25">
      <c r="A231" s="76">
        <v>230</v>
      </c>
      <c r="B231" s="199" t="s">
        <v>7304</v>
      </c>
      <c r="C231" s="76">
        <v>230</v>
      </c>
      <c r="D231" s="104" t="s">
        <v>6216</v>
      </c>
    </row>
    <row r="232" spans="1:4" ht="15.75" x14ac:dyDescent="0.25">
      <c r="A232" s="76">
        <v>231</v>
      </c>
      <c r="B232" s="199" t="s">
        <v>7305</v>
      </c>
      <c r="C232" s="76">
        <v>231</v>
      </c>
      <c r="D232" s="104" t="s">
        <v>6217</v>
      </c>
    </row>
    <row r="233" spans="1:4" ht="15.75" x14ac:dyDescent="0.25">
      <c r="A233" s="76">
        <v>232</v>
      </c>
      <c r="B233" s="199" t="s">
        <v>7306</v>
      </c>
      <c r="C233" s="76">
        <v>232</v>
      </c>
      <c r="D233" s="104" t="s">
        <v>6218</v>
      </c>
    </row>
    <row r="234" spans="1:4" ht="15.75" x14ac:dyDescent="0.25">
      <c r="A234" s="76">
        <v>233</v>
      </c>
      <c r="B234" s="199" t="s">
        <v>7307</v>
      </c>
      <c r="C234" s="76">
        <v>233</v>
      </c>
      <c r="D234" s="104" t="s">
        <v>6219</v>
      </c>
    </row>
    <row r="235" spans="1:4" ht="15.75" x14ac:dyDescent="0.25">
      <c r="A235" s="76">
        <v>234</v>
      </c>
      <c r="B235" s="199" t="s">
        <v>7308</v>
      </c>
      <c r="C235" s="76">
        <v>234</v>
      </c>
      <c r="D235" s="104" t="s">
        <v>6220</v>
      </c>
    </row>
    <row r="236" spans="1:4" ht="15.75" x14ac:dyDescent="0.25">
      <c r="A236" s="76">
        <v>235</v>
      </c>
      <c r="B236" s="199" t="s">
        <v>7309</v>
      </c>
      <c r="C236" s="76">
        <v>235</v>
      </c>
      <c r="D236" s="104" t="s">
        <v>6221</v>
      </c>
    </row>
    <row r="237" spans="1:4" ht="15.75" x14ac:dyDescent="0.25">
      <c r="A237" s="76">
        <v>236</v>
      </c>
      <c r="B237" s="199" t="s">
        <v>7310</v>
      </c>
      <c r="C237" s="76">
        <v>236</v>
      </c>
      <c r="D237" s="104" t="s">
        <v>6222</v>
      </c>
    </row>
    <row r="238" spans="1:4" ht="15.75" x14ac:dyDescent="0.25">
      <c r="A238" s="76">
        <v>237</v>
      </c>
      <c r="B238" s="199" t="s">
        <v>7311</v>
      </c>
      <c r="C238" s="76">
        <v>237</v>
      </c>
      <c r="D238" s="104" t="s">
        <v>6223</v>
      </c>
    </row>
    <row r="239" spans="1:4" ht="15.75" x14ac:dyDescent="0.25">
      <c r="A239" s="76">
        <v>238</v>
      </c>
      <c r="B239" s="199" t="s">
        <v>7312</v>
      </c>
      <c r="C239" s="76">
        <v>238</v>
      </c>
      <c r="D239" s="104" t="s">
        <v>6224</v>
      </c>
    </row>
    <row r="240" spans="1:4" ht="15.75" x14ac:dyDescent="0.25">
      <c r="A240" s="76">
        <v>239</v>
      </c>
      <c r="B240" s="199" t="s">
        <v>7313</v>
      </c>
      <c r="C240" s="76">
        <v>239</v>
      </c>
      <c r="D240" s="104" t="s">
        <v>6225</v>
      </c>
    </row>
    <row r="241" spans="1:4" ht="15.75" x14ac:dyDescent="0.25">
      <c r="A241" s="76">
        <v>240</v>
      </c>
      <c r="B241" s="199" t="s">
        <v>7314</v>
      </c>
      <c r="C241" s="76">
        <v>240</v>
      </c>
      <c r="D241" s="104" t="s">
        <v>6226</v>
      </c>
    </row>
    <row r="242" spans="1:4" ht="15.75" x14ac:dyDescent="0.25">
      <c r="A242" s="76">
        <v>241</v>
      </c>
      <c r="B242" s="199" t="s">
        <v>7315</v>
      </c>
      <c r="C242" s="76">
        <v>241</v>
      </c>
      <c r="D242" s="104" t="s">
        <v>6227</v>
      </c>
    </row>
    <row r="243" spans="1:4" ht="15.75" x14ac:dyDescent="0.25">
      <c r="A243" s="76">
        <v>242</v>
      </c>
      <c r="B243" s="199" t="s">
        <v>7316</v>
      </c>
      <c r="C243" s="76">
        <v>242</v>
      </c>
      <c r="D243" s="104" t="s">
        <v>6228</v>
      </c>
    </row>
    <row r="244" spans="1:4" ht="15.75" x14ac:dyDescent="0.25">
      <c r="A244" s="76">
        <v>243</v>
      </c>
      <c r="B244" s="199" t="s">
        <v>7317</v>
      </c>
      <c r="C244" s="76">
        <v>243</v>
      </c>
      <c r="D244" s="104" t="s">
        <v>6229</v>
      </c>
    </row>
    <row r="245" spans="1:4" ht="15.75" x14ac:dyDescent="0.25">
      <c r="A245" s="76">
        <v>244</v>
      </c>
      <c r="B245" s="199" t="s">
        <v>7318</v>
      </c>
      <c r="C245" s="76">
        <v>244</v>
      </c>
      <c r="D245" s="104" t="s">
        <v>6230</v>
      </c>
    </row>
    <row r="246" spans="1:4" ht="15.75" x14ac:dyDescent="0.25">
      <c r="A246" s="76">
        <v>245</v>
      </c>
      <c r="B246" s="199" t="s">
        <v>7319</v>
      </c>
      <c r="C246" s="76">
        <v>245</v>
      </c>
      <c r="D246" s="104" t="s">
        <v>6231</v>
      </c>
    </row>
    <row r="247" spans="1:4" ht="15.75" x14ac:dyDescent="0.25">
      <c r="A247" s="76">
        <v>246</v>
      </c>
      <c r="B247" s="199" t="s">
        <v>7320</v>
      </c>
      <c r="C247" s="76">
        <v>246</v>
      </c>
      <c r="D247" s="104" t="s">
        <v>6232</v>
      </c>
    </row>
    <row r="248" spans="1:4" ht="15.75" x14ac:dyDescent="0.25">
      <c r="A248" s="76">
        <v>247</v>
      </c>
      <c r="B248" s="199" t="s">
        <v>7321</v>
      </c>
      <c r="C248" s="76">
        <v>247</v>
      </c>
      <c r="D248" s="104" t="s">
        <v>6233</v>
      </c>
    </row>
    <row r="249" spans="1:4" ht="15.75" x14ac:dyDescent="0.25">
      <c r="A249" s="76">
        <v>248</v>
      </c>
      <c r="B249" s="199" t="s">
        <v>7322</v>
      </c>
      <c r="C249" s="76">
        <v>248</v>
      </c>
      <c r="D249" s="104" t="s">
        <v>6234</v>
      </c>
    </row>
    <row r="250" spans="1:4" ht="15.75" x14ac:dyDescent="0.25">
      <c r="A250" s="76">
        <v>249</v>
      </c>
      <c r="B250" s="199" t="s">
        <v>7323</v>
      </c>
      <c r="C250" s="76">
        <v>249</v>
      </c>
      <c r="D250" s="104" t="s">
        <v>6235</v>
      </c>
    </row>
    <row r="251" spans="1:4" ht="15.75" x14ac:dyDescent="0.25">
      <c r="A251" s="76">
        <v>250</v>
      </c>
      <c r="B251" s="199" t="s">
        <v>7324</v>
      </c>
      <c r="C251" s="76">
        <v>250</v>
      </c>
      <c r="D251" s="104" t="s">
        <v>6236</v>
      </c>
    </row>
    <row r="252" spans="1:4" ht="15.75" x14ac:dyDescent="0.25">
      <c r="A252" s="76">
        <v>251</v>
      </c>
      <c r="B252" s="199" t="s">
        <v>7325</v>
      </c>
      <c r="C252" s="76">
        <v>251</v>
      </c>
      <c r="D252" s="104" t="s">
        <v>6237</v>
      </c>
    </row>
    <row r="253" spans="1:4" ht="15.75" x14ac:dyDescent="0.25">
      <c r="A253" s="76">
        <v>252</v>
      </c>
      <c r="B253" s="199" t="s">
        <v>7326</v>
      </c>
      <c r="C253" s="76">
        <v>252</v>
      </c>
      <c r="D253" s="104" t="s">
        <v>6238</v>
      </c>
    </row>
    <row r="254" spans="1:4" ht="15.75" x14ac:dyDescent="0.25">
      <c r="A254" s="76">
        <v>253</v>
      </c>
      <c r="B254" s="199" t="s">
        <v>7327</v>
      </c>
      <c r="C254" s="76">
        <v>253</v>
      </c>
      <c r="D254" s="104" t="s">
        <v>6239</v>
      </c>
    </row>
    <row r="255" spans="1:4" ht="15.75" x14ac:dyDescent="0.25">
      <c r="A255" s="76">
        <v>254</v>
      </c>
      <c r="B255" s="199" t="s">
        <v>7328</v>
      </c>
      <c r="C255" s="76">
        <v>254</v>
      </c>
      <c r="D255" s="104" t="s">
        <v>6240</v>
      </c>
    </row>
    <row r="256" spans="1:4" ht="15.75" x14ac:dyDescent="0.25">
      <c r="A256" s="76">
        <v>255</v>
      </c>
      <c r="B256" s="199" t="s">
        <v>7329</v>
      </c>
      <c r="C256" s="76">
        <v>255</v>
      </c>
      <c r="D256" s="104" t="s">
        <v>6241</v>
      </c>
    </row>
    <row r="257" spans="1:4" ht="15.75" x14ac:dyDescent="0.25">
      <c r="A257" s="76">
        <v>256</v>
      </c>
      <c r="B257" s="199" t="s">
        <v>7330</v>
      </c>
      <c r="C257" s="76">
        <v>256</v>
      </c>
      <c r="D257" s="104" t="s">
        <v>6242</v>
      </c>
    </row>
    <row r="258" spans="1:4" ht="15.75" x14ac:dyDescent="0.25">
      <c r="A258" s="76">
        <v>257</v>
      </c>
      <c r="B258" s="199" t="s">
        <v>7331</v>
      </c>
      <c r="C258" s="76">
        <v>257</v>
      </c>
      <c r="D258" s="104" t="s">
        <v>6243</v>
      </c>
    </row>
    <row r="259" spans="1:4" ht="15.75" x14ac:dyDescent="0.25">
      <c r="A259" s="76">
        <v>258</v>
      </c>
      <c r="B259" s="199" t="s">
        <v>7332</v>
      </c>
      <c r="C259" s="76">
        <v>258</v>
      </c>
      <c r="D259" s="104" t="s">
        <v>6244</v>
      </c>
    </row>
    <row r="260" spans="1:4" ht="15.75" x14ac:dyDescent="0.25">
      <c r="A260" s="76">
        <v>259</v>
      </c>
      <c r="B260" s="199" t="s">
        <v>7333</v>
      </c>
      <c r="C260" s="76">
        <v>259</v>
      </c>
      <c r="D260" s="104" t="s">
        <v>6245</v>
      </c>
    </row>
    <row r="261" spans="1:4" ht="15.75" x14ac:dyDescent="0.25">
      <c r="A261" s="76">
        <v>260</v>
      </c>
      <c r="B261" s="199" t="s">
        <v>7334</v>
      </c>
      <c r="C261" s="76">
        <v>260</v>
      </c>
      <c r="D261" s="104" t="s">
        <v>6246</v>
      </c>
    </row>
    <row r="262" spans="1:4" ht="15.75" x14ac:dyDescent="0.25">
      <c r="A262" s="76">
        <v>261</v>
      </c>
      <c r="B262" s="199" t="s">
        <v>7335</v>
      </c>
      <c r="C262" s="76">
        <v>261</v>
      </c>
      <c r="D262" s="104" t="s">
        <v>6247</v>
      </c>
    </row>
    <row r="263" spans="1:4" ht="15.75" x14ac:dyDescent="0.25">
      <c r="A263" s="76">
        <v>262</v>
      </c>
      <c r="B263" s="199" t="s">
        <v>7336</v>
      </c>
      <c r="C263" s="76">
        <v>262</v>
      </c>
      <c r="D263" s="104" t="s">
        <v>6248</v>
      </c>
    </row>
    <row r="264" spans="1:4" ht="15.75" x14ac:dyDescent="0.25">
      <c r="A264" s="76">
        <v>263</v>
      </c>
      <c r="B264" s="199" t="s">
        <v>7337</v>
      </c>
      <c r="C264" s="76">
        <v>263</v>
      </c>
      <c r="D264" s="104" t="s">
        <v>6249</v>
      </c>
    </row>
    <row r="265" spans="1:4" ht="15.75" x14ac:dyDescent="0.25">
      <c r="A265" s="76">
        <v>264</v>
      </c>
      <c r="B265" s="199" t="s">
        <v>7338</v>
      </c>
      <c r="C265" s="76">
        <v>264</v>
      </c>
      <c r="D265" s="104" t="s">
        <v>6250</v>
      </c>
    </row>
    <row r="266" spans="1:4" ht="15.75" x14ac:dyDescent="0.25">
      <c r="A266" s="76">
        <v>265</v>
      </c>
      <c r="B266" s="199" t="s">
        <v>7339</v>
      </c>
      <c r="C266" s="76">
        <v>265</v>
      </c>
      <c r="D266" s="104" t="s">
        <v>6251</v>
      </c>
    </row>
    <row r="267" spans="1:4" ht="15.75" x14ac:dyDescent="0.25">
      <c r="A267" s="76">
        <v>266</v>
      </c>
      <c r="B267" s="199" t="s">
        <v>7340</v>
      </c>
      <c r="C267" s="76">
        <v>266</v>
      </c>
      <c r="D267" s="104" t="s">
        <v>6252</v>
      </c>
    </row>
    <row r="268" spans="1:4" ht="15.75" x14ac:dyDescent="0.25">
      <c r="A268" s="76">
        <v>267</v>
      </c>
      <c r="B268" s="199" t="s">
        <v>7341</v>
      </c>
      <c r="C268" s="76">
        <v>267</v>
      </c>
      <c r="D268" s="104" t="s">
        <v>6253</v>
      </c>
    </row>
    <row r="269" spans="1:4" ht="15.75" x14ac:dyDescent="0.25">
      <c r="A269" s="76">
        <v>268</v>
      </c>
      <c r="B269" s="199" t="s">
        <v>7342</v>
      </c>
      <c r="C269" s="76">
        <v>268</v>
      </c>
      <c r="D269" s="104" t="s">
        <v>6254</v>
      </c>
    </row>
    <row r="270" spans="1:4" ht="15.75" x14ac:dyDescent="0.25">
      <c r="A270" s="76">
        <v>269</v>
      </c>
      <c r="B270" s="199" t="s">
        <v>7343</v>
      </c>
      <c r="C270" s="76">
        <v>269</v>
      </c>
      <c r="D270" s="104" t="s">
        <v>6255</v>
      </c>
    </row>
    <row r="271" spans="1:4" ht="15.75" x14ac:dyDescent="0.25">
      <c r="A271" s="76">
        <v>270</v>
      </c>
      <c r="B271" s="199" t="s">
        <v>7344</v>
      </c>
      <c r="C271" s="76">
        <v>270</v>
      </c>
      <c r="D271" s="104" t="s">
        <v>6256</v>
      </c>
    </row>
    <row r="272" spans="1:4" ht="15.75" x14ac:dyDescent="0.25">
      <c r="A272" s="76">
        <v>271</v>
      </c>
      <c r="B272" s="199" t="s">
        <v>7345</v>
      </c>
      <c r="C272" s="76">
        <v>271</v>
      </c>
      <c r="D272" s="104" t="s">
        <v>6257</v>
      </c>
    </row>
    <row r="273" spans="1:4" ht="15.75" x14ac:dyDescent="0.25">
      <c r="A273" s="76">
        <v>272</v>
      </c>
      <c r="B273" s="199" t="s">
        <v>7346</v>
      </c>
      <c r="C273" s="76">
        <v>272</v>
      </c>
      <c r="D273" s="104" t="s">
        <v>6258</v>
      </c>
    </row>
    <row r="274" spans="1:4" ht="15.75" x14ac:dyDescent="0.25">
      <c r="A274" s="76">
        <v>273</v>
      </c>
      <c r="B274" s="199" t="s">
        <v>7347</v>
      </c>
      <c r="C274" s="76">
        <v>273</v>
      </c>
      <c r="D274" s="104" t="s">
        <v>6259</v>
      </c>
    </row>
    <row r="275" spans="1:4" ht="15.75" x14ac:dyDescent="0.25">
      <c r="A275" s="76">
        <v>274</v>
      </c>
      <c r="B275" s="199" t="s">
        <v>7348</v>
      </c>
      <c r="C275" s="76">
        <v>274</v>
      </c>
      <c r="D275" s="104" t="s">
        <v>6260</v>
      </c>
    </row>
    <row r="276" spans="1:4" ht="15.75" x14ac:dyDescent="0.25">
      <c r="A276" s="76">
        <v>275</v>
      </c>
      <c r="B276" s="199" t="s">
        <v>7349</v>
      </c>
      <c r="C276" s="76">
        <v>275</v>
      </c>
      <c r="D276" s="104" t="s">
        <v>6261</v>
      </c>
    </row>
    <row r="277" spans="1:4" ht="15.75" x14ac:dyDescent="0.25">
      <c r="A277" s="76">
        <v>276</v>
      </c>
      <c r="B277" s="199" t="s">
        <v>7350</v>
      </c>
      <c r="C277" s="76">
        <v>276</v>
      </c>
      <c r="D277" s="104" t="s">
        <v>6262</v>
      </c>
    </row>
    <row r="278" spans="1:4" ht="15.75" x14ac:dyDescent="0.25">
      <c r="A278" s="76">
        <v>277</v>
      </c>
      <c r="B278" s="199" t="s">
        <v>7351</v>
      </c>
      <c r="C278" s="76">
        <v>277</v>
      </c>
      <c r="D278" s="104" t="s">
        <v>6263</v>
      </c>
    </row>
    <row r="279" spans="1:4" ht="15.75" x14ac:dyDescent="0.25">
      <c r="A279" s="76">
        <v>278</v>
      </c>
      <c r="B279" s="199" t="s">
        <v>7352</v>
      </c>
      <c r="C279" s="76">
        <v>278</v>
      </c>
      <c r="D279" s="104" t="s">
        <v>6264</v>
      </c>
    </row>
    <row r="280" spans="1:4" ht="15.75" x14ac:dyDescent="0.25">
      <c r="A280" s="76">
        <v>279</v>
      </c>
      <c r="B280" s="199" t="s">
        <v>7353</v>
      </c>
      <c r="C280" s="76">
        <v>279</v>
      </c>
      <c r="D280" s="104" t="s">
        <v>6266</v>
      </c>
    </row>
    <row r="281" spans="1:4" ht="15.75" x14ac:dyDescent="0.25">
      <c r="A281" s="76">
        <v>280</v>
      </c>
      <c r="B281" s="199" t="s">
        <v>7354</v>
      </c>
      <c r="C281" s="76">
        <v>280</v>
      </c>
      <c r="D281" s="104" t="s">
        <v>6265</v>
      </c>
    </row>
    <row r="282" spans="1:4" ht="15.75" x14ac:dyDescent="0.25">
      <c r="A282" s="76">
        <v>281</v>
      </c>
      <c r="B282" s="199" t="s">
        <v>7355</v>
      </c>
      <c r="C282" s="76">
        <v>281</v>
      </c>
      <c r="D282" s="104" t="s">
        <v>6267</v>
      </c>
    </row>
    <row r="283" spans="1:4" ht="15.75" x14ac:dyDescent="0.25">
      <c r="A283" s="76">
        <v>282</v>
      </c>
      <c r="B283" s="199" t="s">
        <v>7356</v>
      </c>
      <c r="C283" s="76" t="s">
        <v>6402</v>
      </c>
      <c r="D283" s="104" t="s">
        <v>7005</v>
      </c>
    </row>
    <row r="284" spans="1:4" ht="15.75" x14ac:dyDescent="0.25">
      <c r="A284" s="76">
        <v>283</v>
      </c>
      <c r="B284" s="199" t="s">
        <v>7357</v>
      </c>
      <c r="C284" s="76" t="s">
        <v>6403</v>
      </c>
      <c r="D284" s="104" t="s">
        <v>7006</v>
      </c>
    </row>
    <row r="285" spans="1:4" ht="15.75" x14ac:dyDescent="0.25">
      <c r="A285" s="76">
        <v>284</v>
      </c>
      <c r="B285" s="199" t="s">
        <v>7358</v>
      </c>
      <c r="C285" s="76" t="s">
        <v>6404</v>
      </c>
      <c r="D285" s="104" t="s">
        <v>7007</v>
      </c>
    </row>
    <row r="286" spans="1:4" ht="15.75" x14ac:dyDescent="0.25">
      <c r="A286" s="76">
        <v>285</v>
      </c>
      <c r="B286" s="199" t="s">
        <v>7359</v>
      </c>
      <c r="C286" s="76" t="s">
        <v>6427</v>
      </c>
      <c r="D286" s="104" t="s">
        <v>7008</v>
      </c>
    </row>
    <row r="287" spans="1:4" ht="15.75" x14ac:dyDescent="0.25">
      <c r="A287" s="76">
        <v>286</v>
      </c>
      <c r="B287" s="199" t="s">
        <v>7360</v>
      </c>
      <c r="C287" s="76" t="s">
        <v>6428</v>
      </c>
      <c r="D287" s="104" t="s">
        <v>7009</v>
      </c>
    </row>
    <row r="288" spans="1:4" ht="15.75" x14ac:dyDescent="0.25">
      <c r="A288" s="76">
        <v>287</v>
      </c>
      <c r="B288" s="199" t="s">
        <v>7361</v>
      </c>
      <c r="C288" s="76" t="s">
        <v>6429</v>
      </c>
      <c r="D288" s="104" t="s">
        <v>7010</v>
      </c>
    </row>
    <row r="289" spans="1:4" ht="15.75" x14ac:dyDescent="0.25">
      <c r="A289" s="76">
        <v>288</v>
      </c>
      <c r="B289" s="199" t="s">
        <v>7362</v>
      </c>
      <c r="C289" s="76" t="s">
        <v>6430</v>
      </c>
      <c r="D289" s="104" t="s">
        <v>7011</v>
      </c>
    </row>
    <row r="290" spans="1:4" ht="15.75" x14ac:dyDescent="0.25">
      <c r="A290" s="76">
        <v>289</v>
      </c>
      <c r="B290" s="199" t="s">
        <v>7363</v>
      </c>
      <c r="C290" s="76" t="s">
        <v>6431</v>
      </c>
      <c r="D290" s="104" t="s">
        <v>7012</v>
      </c>
    </row>
    <row r="291" spans="1:4" ht="15.75" x14ac:dyDescent="0.25">
      <c r="A291" s="76">
        <v>290</v>
      </c>
      <c r="B291" s="199" t="s">
        <v>7364</v>
      </c>
      <c r="C291" s="76" t="s">
        <v>6432</v>
      </c>
      <c r="D291" s="104" t="s">
        <v>7013</v>
      </c>
    </row>
    <row r="292" spans="1:4" ht="15.75" x14ac:dyDescent="0.25">
      <c r="A292" s="76">
        <v>291</v>
      </c>
      <c r="B292" s="199" t="s">
        <v>7365</v>
      </c>
      <c r="C292" s="76" t="s">
        <v>6433</v>
      </c>
      <c r="D292" s="104" t="s">
        <v>7014</v>
      </c>
    </row>
    <row r="293" spans="1:4" ht="15.75" x14ac:dyDescent="0.25">
      <c r="A293" s="76">
        <v>292</v>
      </c>
      <c r="B293" s="199" t="s">
        <v>7366</v>
      </c>
      <c r="C293" s="76" t="s">
        <v>6528</v>
      </c>
      <c r="D293" s="104" t="s">
        <v>7015</v>
      </c>
    </row>
    <row r="294" spans="1:4" ht="15.75" x14ac:dyDescent="0.25">
      <c r="A294" s="76">
        <v>293</v>
      </c>
      <c r="B294" s="199" t="s">
        <v>7367</v>
      </c>
      <c r="C294" s="76" t="s">
        <v>6538</v>
      </c>
      <c r="D294" s="104" t="s">
        <v>7016</v>
      </c>
    </row>
    <row r="295" spans="1:4" ht="15.75" x14ac:dyDescent="0.25">
      <c r="A295" s="76">
        <v>294</v>
      </c>
      <c r="B295" s="199" t="s">
        <v>7368</v>
      </c>
      <c r="C295" s="76" t="s">
        <v>6600</v>
      </c>
      <c r="D295" s="104" t="s">
        <v>7017</v>
      </c>
    </row>
    <row r="296" spans="1:4" ht="15.75" x14ac:dyDescent="0.25">
      <c r="A296" s="76">
        <v>295</v>
      </c>
      <c r="B296" s="199" t="s">
        <v>7369</v>
      </c>
      <c r="C296" s="76" t="s">
        <v>6624</v>
      </c>
      <c r="D296" s="104" t="s">
        <v>7018</v>
      </c>
    </row>
    <row r="297" spans="1:4" ht="15.75" x14ac:dyDescent="0.25">
      <c r="A297" s="76">
        <v>296</v>
      </c>
      <c r="B297" s="199" t="s">
        <v>7370</v>
      </c>
      <c r="C297" s="76" t="s">
        <v>6663</v>
      </c>
      <c r="D297" s="104" t="s">
        <v>7019</v>
      </c>
    </row>
    <row r="298" spans="1:4" ht="15.75" x14ac:dyDescent="0.25">
      <c r="A298" s="76">
        <v>297</v>
      </c>
      <c r="B298" s="199" t="s">
        <v>7371</v>
      </c>
      <c r="C298" s="76" t="s">
        <v>6671</v>
      </c>
      <c r="D298" s="104" t="s">
        <v>7020</v>
      </c>
    </row>
    <row r="299" spans="1:4" ht="15.75" x14ac:dyDescent="0.25">
      <c r="A299" s="76">
        <v>298</v>
      </c>
      <c r="B299" s="199" t="s">
        <v>7372</v>
      </c>
      <c r="C299" s="76" t="s">
        <v>6692</v>
      </c>
      <c r="D299" s="104" t="s">
        <v>7021</v>
      </c>
    </row>
    <row r="300" spans="1:4" ht="15.75" x14ac:dyDescent="0.25">
      <c r="A300" s="76">
        <v>299</v>
      </c>
      <c r="B300" s="199" t="s">
        <v>7373</v>
      </c>
      <c r="C300" s="76" t="s">
        <v>6698</v>
      </c>
      <c r="D300" s="104" t="s">
        <v>7022</v>
      </c>
    </row>
    <row r="301" spans="1:4" ht="15.75" x14ac:dyDescent="0.25">
      <c r="A301" s="76">
        <v>300</v>
      </c>
      <c r="B301" s="199" t="s">
        <v>7374</v>
      </c>
      <c r="C301" s="76" t="s">
        <v>6706</v>
      </c>
      <c r="D301" s="198" t="s">
        <v>7023</v>
      </c>
    </row>
    <row r="302" spans="1:4" ht="15.75" x14ac:dyDescent="0.25">
      <c r="A302" s="76">
        <v>301</v>
      </c>
      <c r="B302" s="199" t="s">
        <v>7375</v>
      </c>
      <c r="C302" s="76" t="s">
        <v>6734</v>
      </c>
      <c r="D302" s="104" t="s">
        <v>7024</v>
      </c>
    </row>
    <row r="303" spans="1:4" ht="15.75" x14ac:dyDescent="0.25">
      <c r="A303" s="76">
        <v>302</v>
      </c>
      <c r="B303" s="199" t="s">
        <v>7376</v>
      </c>
      <c r="C303" s="76" t="s">
        <v>6747</v>
      </c>
      <c r="D303" s="104" t="s">
        <v>7025</v>
      </c>
    </row>
    <row r="304" spans="1:4" ht="15.75" x14ac:dyDescent="0.25">
      <c r="A304" s="76">
        <v>303</v>
      </c>
      <c r="B304" s="199" t="s">
        <v>7377</v>
      </c>
      <c r="C304" s="76" t="s">
        <v>6760</v>
      </c>
      <c r="D304" s="104" t="s">
        <v>7026</v>
      </c>
    </row>
    <row r="305" spans="1:4" ht="15.75" x14ac:dyDescent="0.25">
      <c r="A305" s="76">
        <v>304</v>
      </c>
      <c r="B305" s="199" t="s">
        <v>7378</v>
      </c>
      <c r="C305" s="76" t="s">
        <v>6772</v>
      </c>
      <c r="D305" s="104" t="s">
        <v>7027</v>
      </c>
    </row>
    <row r="306" spans="1:4" ht="15.75" x14ac:dyDescent="0.25">
      <c r="A306" s="76">
        <v>305</v>
      </c>
      <c r="B306" s="199" t="s">
        <v>7379</v>
      </c>
      <c r="C306" s="76" t="s">
        <v>6781</v>
      </c>
      <c r="D306" s="104" t="s">
        <v>7028</v>
      </c>
    </row>
    <row r="307" spans="1:4" ht="15.75" x14ac:dyDescent="0.25">
      <c r="A307" s="76">
        <v>306</v>
      </c>
      <c r="B307" s="199" t="s">
        <v>7380</v>
      </c>
      <c r="C307" s="76" t="s">
        <v>6795</v>
      </c>
      <c r="D307" s="104" t="s">
        <v>7029</v>
      </c>
    </row>
    <row r="308" spans="1:4" ht="15.75" x14ac:dyDescent="0.25">
      <c r="A308" s="76">
        <v>307</v>
      </c>
      <c r="B308" s="199" t="s">
        <v>7381</v>
      </c>
      <c r="C308" s="76" t="s">
        <v>6803</v>
      </c>
      <c r="D308" s="104" t="s">
        <v>7030</v>
      </c>
    </row>
    <row r="309" spans="1:4" ht="15.75" x14ac:dyDescent="0.25">
      <c r="A309" s="76">
        <v>308</v>
      </c>
      <c r="B309" s="199" t="s">
        <v>7382</v>
      </c>
      <c r="C309" s="76" t="s">
        <v>6819</v>
      </c>
      <c r="D309" s="104" t="s">
        <v>7031</v>
      </c>
    </row>
    <row r="310" spans="1:4" ht="15.75" x14ac:dyDescent="0.25">
      <c r="A310" s="76">
        <v>309</v>
      </c>
      <c r="B310" s="199" t="s">
        <v>7383</v>
      </c>
      <c r="C310" s="76" t="s">
        <v>6824</v>
      </c>
      <c r="D310" s="104" t="s">
        <v>7032</v>
      </c>
    </row>
    <row r="311" spans="1:4" ht="15.75" x14ac:dyDescent="0.25">
      <c r="A311" s="76">
        <v>310</v>
      </c>
      <c r="B311" s="199" t="s">
        <v>7384</v>
      </c>
      <c r="C311" s="76" t="s">
        <v>6842</v>
      </c>
      <c r="D311" s="104" t="s">
        <v>7033</v>
      </c>
    </row>
    <row r="312" spans="1:4" ht="15.75" x14ac:dyDescent="0.25">
      <c r="A312" s="76">
        <v>311</v>
      </c>
      <c r="B312" s="199" t="s">
        <v>7385</v>
      </c>
      <c r="C312" s="76" t="s">
        <v>6855</v>
      </c>
      <c r="D312" s="198" t="s">
        <v>7034</v>
      </c>
    </row>
    <row r="313" spans="1:4" ht="15.75" x14ac:dyDescent="0.25">
      <c r="A313" s="76">
        <v>312</v>
      </c>
      <c r="B313" s="199" t="s">
        <v>7386</v>
      </c>
      <c r="C313" s="76" t="s">
        <v>6868</v>
      </c>
      <c r="D313" s="104" t="s">
        <v>7035</v>
      </c>
    </row>
    <row r="314" spans="1:4" ht="15.75" x14ac:dyDescent="0.25">
      <c r="A314" s="76">
        <v>313</v>
      </c>
      <c r="B314" s="199" t="s">
        <v>7387</v>
      </c>
      <c r="C314" s="76" t="s">
        <v>6889</v>
      </c>
      <c r="D314" s="104" t="s">
        <v>7036</v>
      </c>
    </row>
    <row r="315" spans="1:4" ht="15.75" x14ac:dyDescent="0.25">
      <c r="A315" s="76">
        <v>314</v>
      </c>
      <c r="B315" s="199" t="s">
        <v>7388</v>
      </c>
      <c r="C315" s="76" t="s">
        <v>6895</v>
      </c>
      <c r="D315" s="104" t="s">
        <v>7037</v>
      </c>
    </row>
    <row r="316" spans="1:4" ht="15.75" x14ac:dyDescent="0.25">
      <c r="A316" s="76">
        <v>315</v>
      </c>
      <c r="B316" s="199" t="s">
        <v>7389</v>
      </c>
      <c r="C316" s="76" t="s">
        <v>6904</v>
      </c>
      <c r="D316" s="104" t="s">
        <v>7038</v>
      </c>
    </row>
    <row r="317" spans="1:4" ht="15.75" x14ac:dyDescent="0.25">
      <c r="A317" s="76">
        <v>316</v>
      </c>
      <c r="B317" s="199" t="s">
        <v>7390</v>
      </c>
      <c r="C317" s="76" t="s">
        <v>6922</v>
      </c>
      <c r="D317" s="104" t="s">
        <v>7039</v>
      </c>
    </row>
    <row r="318" spans="1:4" ht="15.75" x14ac:dyDescent="0.25">
      <c r="A318" s="76">
        <v>317</v>
      </c>
      <c r="B318" s="199" t="s">
        <v>7391</v>
      </c>
      <c r="C318" s="76" t="s">
        <v>6930</v>
      </c>
      <c r="D318" s="104" t="s">
        <v>7040</v>
      </c>
    </row>
    <row r="319" spans="1:4" ht="15.75" x14ac:dyDescent="0.25">
      <c r="A319" s="76">
        <v>318</v>
      </c>
      <c r="B319" s="199" t="s">
        <v>7392</v>
      </c>
      <c r="C319" s="76" t="s">
        <v>6957</v>
      </c>
      <c r="D319" s="104" t="s">
        <v>7041</v>
      </c>
    </row>
    <row r="320" spans="1:4" ht="15.75" x14ac:dyDescent="0.25">
      <c r="A320" s="76">
        <v>319</v>
      </c>
      <c r="B320" s="199" t="s">
        <v>7393</v>
      </c>
      <c r="C320" s="76" t="s">
        <v>6971</v>
      </c>
      <c r="D320" s="104" t="s">
        <v>7042</v>
      </c>
    </row>
    <row r="321" spans="1:4" ht="15.75" x14ac:dyDescent="0.25">
      <c r="A321" s="76">
        <v>320</v>
      </c>
      <c r="B321" s="199" t="s">
        <v>7394</v>
      </c>
      <c r="C321" s="76" t="s">
        <v>6976</v>
      </c>
      <c r="D321" s="104" t="s">
        <v>7043</v>
      </c>
    </row>
    <row r="322" spans="1:4" ht="15.75" x14ac:dyDescent="0.25">
      <c r="A322" s="76">
        <v>321</v>
      </c>
      <c r="B322" s="199" t="s">
        <v>7395</v>
      </c>
      <c r="C322" s="76" t="s">
        <v>7044</v>
      </c>
      <c r="D322" s="103" t="s">
        <v>7045</v>
      </c>
    </row>
    <row r="323" spans="1:4" ht="15.75" x14ac:dyDescent="0.25">
      <c r="A323" s="76">
        <v>322</v>
      </c>
      <c r="B323" s="199" t="s">
        <v>7396</v>
      </c>
    </row>
    <row r="324" spans="1:4" ht="15.75" x14ac:dyDescent="0.25">
      <c r="A324" s="76">
        <v>323</v>
      </c>
      <c r="B324" s="199" t="s">
        <v>7397</v>
      </c>
    </row>
    <row r="325" spans="1:4" ht="15.75" x14ac:dyDescent="0.25">
      <c r="A325" s="76">
        <v>324</v>
      </c>
      <c r="B325" s="199" t="s">
        <v>7398</v>
      </c>
    </row>
    <row r="326" spans="1:4" ht="15.75" x14ac:dyDescent="0.25">
      <c r="A326" s="76">
        <v>325</v>
      </c>
      <c r="B326" s="199" t="s">
        <v>7399</v>
      </c>
    </row>
    <row r="327" spans="1:4" ht="15.75" x14ac:dyDescent="0.25">
      <c r="A327" s="76">
        <v>326</v>
      </c>
      <c r="B327" s="199" t="s">
        <v>7400</v>
      </c>
    </row>
    <row r="328" spans="1:4" ht="15.75" x14ac:dyDescent="0.25">
      <c r="A328" s="76">
        <v>327</v>
      </c>
      <c r="B328" s="199" t="s">
        <v>7401</v>
      </c>
    </row>
    <row r="329" spans="1:4" ht="15.75" x14ac:dyDescent="0.25">
      <c r="A329" s="76">
        <v>328</v>
      </c>
      <c r="B329" s="199" t="s">
        <v>7402</v>
      </c>
    </row>
    <row r="330" spans="1:4" ht="15.75" x14ac:dyDescent="0.25">
      <c r="A330" s="76">
        <v>329</v>
      </c>
      <c r="B330" s="199" t="s">
        <v>7403</v>
      </c>
    </row>
    <row r="331" spans="1:4" ht="15.75" x14ac:dyDescent="0.25">
      <c r="A331" s="76">
        <v>330</v>
      </c>
      <c r="B331" s="199" t="s">
        <v>7404</v>
      </c>
    </row>
    <row r="332" spans="1:4" ht="15.75" x14ac:dyDescent="0.25">
      <c r="A332" s="76">
        <v>331</v>
      </c>
      <c r="B332" s="199" t="s">
        <v>7405</v>
      </c>
    </row>
    <row r="333" spans="1:4" ht="15.75" x14ac:dyDescent="0.25">
      <c r="A333" s="76">
        <v>332</v>
      </c>
      <c r="B333" s="199" t="s">
        <v>7406</v>
      </c>
    </row>
    <row r="334" spans="1:4" ht="15.75" x14ac:dyDescent="0.25">
      <c r="A334" s="76">
        <v>333</v>
      </c>
      <c r="B334" s="199" t="s">
        <v>7407</v>
      </c>
    </row>
    <row r="335" spans="1:4" ht="15.75" x14ac:dyDescent="0.25">
      <c r="A335" s="76">
        <v>334</v>
      </c>
      <c r="B335" s="199" t="s">
        <v>7408</v>
      </c>
    </row>
    <row r="336" spans="1:4" ht="15.75" x14ac:dyDescent="0.25">
      <c r="A336" s="76">
        <v>335</v>
      </c>
      <c r="B336" s="199" t="s">
        <v>7409</v>
      </c>
    </row>
    <row r="337" spans="1:2" ht="15.75" x14ac:dyDescent="0.25">
      <c r="A337" s="76">
        <v>336</v>
      </c>
      <c r="B337" s="199" t="s">
        <v>7410</v>
      </c>
    </row>
    <row r="338" spans="1:2" ht="15.75" x14ac:dyDescent="0.25">
      <c r="A338" s="76">
        <v>337</v>
      </c>
      <c r="B338" s="199" t="s">
        <v>7411</v>
      </c>
    </row>
    <row r="339" spans="1:2" ht="15.75" x14ac:dyDescent="0.25">
      <c r="A339" s="76">
        <v>338</v>
      </c>
      <c r="B339" s="199" t="s">
        <v>7412</v>
      </c>
    </row>
    <row r="340" spans="1:2" ht="15.75" x14ac:dyDescent="0.25">
      <c r="A340" s="76">
        <v>339</v>
      </c>
      <c r="B340" s="199" t="s">
        <v>7413</v>
      </c>
    </row>
    <row r="341" spans="1:2" ht="15.75" x14ac:dyDescent="0.25">
      <c r="A341" s="76">
        <v>340</v>
      </c>
      <c r="B341" s="199" t="s">
        <v>7414</v>
      </c>
    </row>
    <row r="342" spans="1:2" ht="15.75" x14ac:dyDescent="0.25">
      <c r="A342" s="76">
        <v>341</v>
      </c>
      <c r="B342" s="199" t="s">
        <v>7415</v>
      </c>
    </row>
    <row r="343" spans="1:2" ht="15.75" x14ac:dyDescent="0.25">
      <c r="A343" s="76">
        <v>342</v>
      </c>
      <c r="B343" s="199" t="s">
        <v>7416</v>
      </c>
    </row>
    <row r="344" spans="1:2" ht="15.75" x14ac:dyDescent="0.25">
      <c r="A344" s="76">
        <v>343</v>
      </c>
      <c r="B344" s="199" t="s">
        <v>7417</v>
      </c>
    </row>
    <row r="345" spans="1:2" ht="15.75" x14ac:dyDescent="0.25">
      <c r="A345" s="76">
        <v>344</v>
      </c>
      <c r="B345" s="199" t="s">
        <v>7418</v>
      </c>
    </row>
    <row r="346" spans="1:2" ht="15.75" x14ac:dyDescent="0.25">
      <c r="A346" s="76">
        <v>345</v>
      </c>
      <c r="B346" s="199" t="s">
        <v>7419</v>
      </c>
    </row>
    <row r="347" spans="1:2" ht="15.75" x14ac:dyDescent="0.25">
      <c r="A347" s="76">
        <v>346</v>
      </c>
      <c r="B347" s="199" t="s">
        <v>7420</v>
      </c>
    </row>
    <row r="348" spans="1:2" ht="15.75" x14ac:dyDescent="0.25">
      <c r="A348" s="76">
        <v>347</v>
      </c>
      <c r="B348" s="199" t="s">
        <v>7421</v>
      </c>
    </row>
    <row r="349" spans="1:2" ht="15.75" x14ac:dyDescent="0.25">
      <c r="A349" s="76">
        <v>348</v>
      </c>
      <c r="B349" s="199" t="s">
        <v>7422</v>
      </c>
    </row>
    <row r="350" spans="1:2" ht="15.75" x14ac:dyDescent="0.25">
      <c r="A350" s="76">
        <v>349</v>
      </c>
      <c r="B350" s="199" t="s">
        <v>7423</v>
      </c>
    </row>
    <row r="351" spans="1:2" ht="15.75" x14ac:dyDescent="0.25">
      <c r="A351" s="76">
        <v>350</v>
      </c>
      <c r="B351" s="199" t="s">
        <v>7424</v>
      </c>
    </row>
    <row r="352" spans="1:2" ht="15.75" x14ac:dyDescent="0.25">
      <c r="A352" s="76">
        <v>351</v>
      </c>
      <c r="B352" s="199" t="s">
        <v>7425</v>
      </c>
    </row>
    <row r="353" spans="1:2" ht="15.75" x14ac:dyDescent="0.25">
      <c r="A353" s="76">
        <v>352</v>
      </c>
      <c r="B353" s="199" t="s">
        <v>7426</v>
      </c>
    </row>
    <row r="354" spans="1:2" ht="15.75" x14ac:dyDescent="0.25">
      <c r="A354" s="76">
        <v>353</v>
      </c>
      <c r="B354" s="199" t="s">
        <v>7427</v>
      </c>
    </row>
    <row r="355" spans="1:2" ht="15.75" x14ac:dyDescent="0.25">
      <c r="A355" s="76">
        <v>354</v>
      </c>
      <c r="B355" s="199" t="s">
        <v>7428</v>
      </c>
    </row>
    <row r="356" spans="1:2" ht="15.75" x14ac:dyDescent="0.25">
      <c r="A356" s="76">
        <v>355</v>
      </c>
      <c r="B356" s="199" t="s">
        <v>7429</v>
      </c>
    </row>
    <row r="357" spans="1:2" ht="15.75" x14ac:dyDescent="0.25">
      <c r="A357" s="76">
        <v>356</v>
      </c>
      <c r="B357" s="199" t="s">
        <v>7430</v>
      </c>
    </row>
    <row r="358" spans="1:2" ht="15.75" x14ac:dyDescent="0.25">
      <c r="A358" s="76">
        <v>357</v>
      </c>
      <c r="B358" s="199" t="s">
        <v>7431</v>
      </c>
    </row>
    <row r="359" spans="1:2" ht="15.75" x14ac:dyDescent="0.25">
      <c r="A359" s="76">
        <v>358</v>
      </c>
      <c r="B359" s="199" t="s">
        <v>7432</v>
      </c>
    </row>
    <row r="360" spans="1:2" ht="15.75" x14ac:dyDescent="0.25">
      <c r="A360" s="76">
        <v>359</v>
      </c>
      <c r="B360" s="199" t="s">
        <v>7433</v>
      </c>
    </row>
    <row r="361" spans="1:2" ht="15.75" x14ac:dyDescent="0.25">
      <c r="A361" s="76">
        <v>360</v>
      </c>
      <c r="B361" s="199" t="s">
        <v>7434</v>
      </c>
    </row>
    <row r="362" spans="1:2" ht="15.75" x14ac:dyDescent="0.25">
      <c r="A362" s="76">
        <v>361</v>
      </c>
      <c r="B362" s="199" t="s">
        <v>7435</v>
      </c>
    </row>
    <row r="363" spans="1:2" ht="15.75" x14ac:dyDescent="0.25">
      <c r="A363" s="76">
        <v>362</v>
      </c>
      <c r="B363" s="199" t="s">
        <v>7436</v>
      </c>
    </row>
    <row r="364" spans="1:2" ht="15.75" x14ac:dyDescent="0.25">
      <c r="A364" s="76">
        <v>363</v>
      </c>
      <c r="B364" s="199" t="s">
        <v>7437</v>
      </c>
    </row>
    <row r="365" spans="1:2" ht="15.75" x14ac:dyDescent="0.25">
      <c r="A365" s="76">
        <v>364</v>
      </c>
      <c r="B365" s="199" t="s">
        <v>7438</v>
      </c>
    </row>
    <row r="366" spans="1:2" ht="15.75" x14ac:dyDescent="0.25">
      <c r="A366" s="76">
        <v>365</v>
      </c>
      <c r="B366" s="199" t="s">
        <v>7439</v>
      </c>
    </row>
    <row r="367" spans="1:2" ht="15.75" x14ac:dyDescent="0.25">
      <c r="A367" s="76">
        <v>366</v>
      </c>
      <c r="B367" s="199" t="s">
        <v>7440</v>
      </c>
    </row>
    <row r="368" spans="1:2" ht="15.75" x14ac:dyDescent="0.25">
      <c r="A368" s="76">
        <v>367</v>
      </c>
      <c r="B368" s="199" t="s">
        <v>7441</v>
      </c>
    </row>
    <row r="369" spans="1:2" ht="15.75" x14ac:dyDescent="0.25">
      <c r="A369" s="76">
        <v>368</v>
      </c>
      <c r="B369" s="199" t="s">
        <v>7442</v>
      </c>
    </row>
    <row r="370" spans="1:2" ht="15.75" x14ac:dyDescent="0.25">
      <c r="A370" s="76">
        <v>369</v>
      </c>
      <c r="B370" s="199" t="s">
        <v>7443</v>
      </c>
    </row>
    <row r="371" spans="1:2" ht="15.75" x14ac:dyDescent="0.25">
      <c r="A371" s="76">
        <v>370</v>
      </c>
      <c r="B371" s="199" t="s">
        <v>7444</v>
      </c>
    </row>
    <row r="372" spans="1:2" ht="15.75" x14ac:dyDescent="0.25">
      <c r="A372" s="76">
        <v>371</v>
      </c>
      <c r="B372" s="199" t="s">
        <v>7445</v>
      </c>
    </row>
    <row r="373" spans="1:2" ht="15.75" x14ac:dyDescent="0.25">
      <c r="A373" s="76">
        <v>372</v>
      </c>
      <c r="B373" s="199" t="s">
        <v>7446</v>
      </c>
    </row>
    <row r="374" spans="1:2" ht="15.75" x14ac:dyDescent="0.25">
      <c r="A374" s="76">
        <v>373</v>
      </c>
      <c r="B374" s="199" t="s">
        <v>7447</v>
      </c>
    </row>
    <row r="375" spans="1:2" ht="15.75" x14ac:dyDescent="0.25">
      <c r="A375" s="76">
        <v>374</v>
      </c>
      <c r="B375" s="199" t="s">
        <v>7448</v>
      </c>
    </row>
    <row r="376" spans="1:2" ht="15.75" x14ac:dyDescent="0.25">
      <c r="A376" s="76">
        <v>375</v>
      </c>
      <c r="B376" s="199" t="s">
        <v>7449</v>
      </c>
    </row>
    <row r="377" spans="1:2" ht="15.75" x14ac:dyDescent="0.25">
      <c r="A377" s="76">
        <v>376</v>
      </c>
      <c r="B377" s="199" t="s">
        <v>7450</v>
      </c>
    </row>
    <row r="378" spans="1:2" ht="15.75" x14ac:dyDescent="0.25">
      <c r="A378" s="76">
        <v>377</v>
      </c>
      <c r="B378" s="199" t="s">
        <v>7451</v>
      </c>
    </row>
    <row r="379" spans="1:2" ht="15.75" x14ac:dyDescent="0.25">
      <c r="A379" s="76">
        <v>378</v>
      </c>
      <c r="B379" s="199" t="s">
        <v>7452</v>
      </c>
    </row>
    <row r="380" spans="1:2" ht="15.75" x14ac:dyDescent="0.25">
      <c r="A380" s="76">
        <v>379</v>
      </c>
      <c r="B380" s="199" t="s">
        <v>7453</v>
      </c>
    </row>
    <row r="381" spans="1:2" ht="15.75" x14ac:dyDescent="0.25">
      <c r="A381" s="76">
        <v>380</v>
      </c>
      <c r="B381" s="199" t="s">
        <v>7454</v>
      </c>
    </row>
    <row r="382" spans="1:2" ht="15.75" x14ac:dyDescent="0.25">
      <c r="A382" s="76">
        <v>381</v>
      </c>
      <c r="B382" s="199" t="s">
        <v>7455</v>
      </c>
    </row>
    <row r="383" spans="1:2" ht="15.75" x14ac:dyDescent="0.25">
      <c r="A383" s="76">
        <v>382</v>
      </c>
      <c r="B383" s="199" t="s">
        <v>7456</v>
      </c>
    </row>
    <row r="384" spans="1:2" ht="15.75" x14ac:dyDescent="0.25">
      <c r="A384" s="76">
        <v>383</v>
      </c>
      <c r="B384" s="199" t="s">
        <v>7457</v>
      </c>
    </row>
    <row r="385" spans="1:2" ht="15.75" x14ac:dyDescent="0.25">
      <c r="A385" s="76">
        <v>384</v>
      </c>
      <c r="B385" s="199" t="s">
        <v>7458</v>
      </c>
    </row>
    <row r="386" spans="1:2" ht="15.75" x14ac:dyDescent="0.25">
      <c r="A386" s="76">
        <v>385</v>
      </c>
      <c r="B386" s="199" t="s">
        <v>7459</v>
      </c>
    </row>
    <row r="387" spans="1:2" ht="15.75" x14ac:dyDescent="0.25">
      <c r="A387" s="76">
        <v>386</v>
      </c>
      <c r="B387" s="199" t="s">
        <v>7460</v>
      </c>
    </row>
    <row r="388" spans="1:2" ht="15.75" x14ac:dyDescent="0.25">
      <c r="A388" s="76">
        <v>387</v>
      </c>
      <c r="B388" s="199" t="s">
        <v>7461</v>
      </c>
    </row>
    <row r="389" spans="1:2" ht="15.75" x14ac:dyDescent="0.25">
      <c r="A389" s="76">
        <v>388</v>
      </c>
      <c r="B389" s="199" t="s">
        <v>7462</v>
      </c>
    </row>
    <row r="390" spans="1:2" ht="15.75" x14ac:dyDescent="0.25">
      <c r="A390" s="76">
        <v>389</v>
      </c>
      <c r="B390" s="199" t="s">
        <v>7463</v>
      </c>
    </row>
    <row r="391" spans="1:2" ht="15.75" x14ac:dyDescent="0.25">
      <c r="A391" s="76">
        <v>390</v>
      </c>
      <c r="B391" s="199" t="s">
        <v>7464</v>
      </c>
    </row>
    <row r="392" spans="1:2" ht="15.75" x14ac:dyDescent="0.25">
      <c r="A392" s="76">
        <v>391</v>
      </c>
      <c r="B392" s="199" t="s">
        <v>7465</v>
      </c>
    </row>
    <row r="393" spans="1:2" ht="15.75" x14ac:dyDescent="0.25">
      <c r="A393" s="76">
        <v>392</v>
      </c>
      <c r="B393" s="199" t="s">
        <v>7466</v>
      </c>
    </row>
    <row r="394" spans="1:2" ht="15.75" x14ac:dyDescent="0.25">
      <c r="A394" s="76">
        <v>393</v>
      </c>
      <c r="B394" s="199" t="s">
        <v>7467</v>
      </c>
    </row>
    <row r="395" spans="1:2" ht="15.75" x14ac:dyDescent="0.25">
      <c r="A395" s="76">
        <v>394</v>
      </c>
      <c r="B395" s="199" t="s">
        <v>7468</v>
      </c>
    </row>
    <row r="396" spans="1:2" ht="15.75" x14ac:dyDescent="0.25">
      <c r="A396" s="76">
        <v>395</v>
      </c>
      <c r="B396" s="199" t="s">
        <v>7469</v>
      </c>
    </row>
    <row r="397" spans="1:2" ht="15.75" x14ac:dyDescent="0.25">
      <c r="A397" s="76">
        <v>396</v>
      </c>
      <c r="B397" s="199" t="s">
        <v>7470</v>
      </c>
    </row>
    <row r="398" spans="1:2" ht="15.75" x14ac:dyDescent="0.25">
      <c r="A398" s="76">
        <v>397</v>
      </c>
      <c r="B398" s="199" t="s">
        <v>7471</v>
      </c>
    </row>
    <row r="399" spans="1:2" ht="15.75" x14ac:dyDescent="0.25">
      <c r="A399" s="76">
        <v>398</v>
      </c>
      <c r="B399" s="199" t="s">
        <v>7472</v>
      </c>
    </row>
    <row r="400" spans="1:2" ht="15.75" x14ac:dyDescent="0.25">
      <c r="A400" s="76">
        <v>399</v>
      </c>
      <c r="B400" s="199" t="s">
        <v>7473</v>
      </c>
    </row>
    <row r="401" spans="1:2" ht="15.75" x14ac:dyDescent="0.25">
      <c r="A401" s="76">
        <v>400</v>
      </c>
      <c r="B401" s="199" t="s">
        <v>7474</v>
      </c>
    </row>
    <row r="402" spans="1:2" ht="15.75" x14ac:dyDescent="0.25">
      <c r="A402" s="76">
        <v>401</v>
      </c>
      <c r="B402" s="199" t="s">
        <v>7475</v>
      </c>
    </row>
    <row r="403" spans="1:2" ht="15.75" x14ac:dyDescent="0.25">
      <c r="A403" s="76">
        <v>402</v>
      </c>
      <c r="B403" s="199" t="s">
        <v>7476</v>
      </c>
    </row>
    <row r="404" spans="1:2" ht="15.75" x14ac:dyDescent="0.25">
      <c r="A404" s="76">
        <v>403</v>
      </c>
      <c r="B404" s="199" t="s">
        <v>7477</v>
      </c>
    </row>
    <row r="405" spans="1:2" ht="15.75" x14ac:dyDescent="0.25">
      <c r="A405" s="76">
        <v>404</v>
      </c>
      <c r="B405" s="199" t="s">
        <v>7478</v>
      </c>
    </row>
    <row r="406" spans="1:2" ht="15.75" x14ac:dyDescent="0.25">
      <c r="A406" s="76">
        <v>405</v>
      </c>
      <c r="B406" s="199" t="s">
        <v>7479</v>
      </c>
    </row>
    <row r="407" spans="1:2" ht="15.75" x14ac:dyDescent="0.25">
      <c r="A407" s="76">
        <v>406</v>
      </c>
      <c r="B407" s="199" t="s">
        <v>7480</v>
      </c>
    </row>
    <row r="408" spans="1:2" ht="15.75" x14ac:dyDescent="0.25">
      <c r="A408" s="76">
        <v>407</v>
      </c>
      <c r="B408" s="199" t="s">
        <v>7481</v>
      </c>
    </row>
    <row r="409" spans="1:2" ht="15.75" x14ac:dyDescent="0.25">
      <c r="A409" s="76">
        <v>408</v>
      </c>
      <c r="B409" s="199" t="s">
        <v>7482</v>
      </c>
    </row>
    <row r="410" spans="1:2" ht="15.75" x14ac:dyDescent="0.25">
      <c r="A410" s="76">
        <v>409</v>
      </c>
      <c r="B410" s="199" t="s">
        <v>7483</v>
      </c>
    </row>
    <row r="411" spans="1:2" ht="15.75" x14ac:dyDescent="0.25">
      <c r="A411" s="76">
        <v>410</v>
      </c>
      <c r="B411" s="199" t="s">
        <v>7484</v>
      </c>
    </row>
    <row r="412" spans="1:2" ht="15.75" x14ac:dyDescent="0.25">
      <c r="A412" s="76">
        <v>411</v>
      </c>
      <c r="B412" s="199" t="s">
        <v>7485</v>
      </c>
    </row>
    <row r="413" spans="1:2" ht="15.75" x14ac:dyDescent="0.25">
      <c r="A413" s="76">
        <v>412</v>
      </c>
      <c r="B413" s="199" t="s">
        <v>7486</v>
      </c>
    </row>
    <row r="414" spans="1:2" ht="15.75" x14ac:dyDescent="0.25">
      <c r="A414" s="76">
        <v>413</v>
      </c>
      <c r="B414" s="199" t="s">
        <v>7487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8</vt:i4>
      </vt:variant>
    </vt:vector>
  </HeadingPairs>
  <TitlesOfParts>
    <vt:vector size="24" baseType="lpstr">
      <vt:lpstr>Sheet1</vt:lpstr>
      <vt:lpstr>ReadMe</vt:lpstr>
      <vt:lpstr>ConservationType</vt:lpstr>
      <vt:lpstr>Explanation</vt:lpstr>
      <vt:lpstr>ExperimentID</vt:lpstr>
      <vt:lpstr>UnitsConvertion</vt:lpstr>
      <vt:lpstr>RsUnitsConvertion</vt:lpstr>
      <vt:lpstr>SoilClassfication</vt:lpstr>
      <vt:lpstr>SoilDepth</vt:lpstr>
      <vt:lpstr>CoverCropGroup</vt:lpstr>
      <vt:lpstr>GrainCropGroup</vt:lpstr>
      <vt:lpstr>TillageGroup</vt:lpstr>
      <vt:lpstr>SD_SE</vt:lpstr>
      <vt:lpstr>Notes</vt:lpstr>
      <vt:lpstr>References</vt:lpstr>
      <vt:lpstr>Sheet2</vt:lpstr>
      <vt:lpstr>Sheet1!_0raw</vt:lpstr>
      <vt:lpstr>Sheet1!_0raw_1</vt:lpstr>
      <vt:lpstr>Sheet1!_0raw_2</vt:lpstr>
      <vt:lpstr>Sheet1!_0raw_3</vt:lpstr>
      <vt:lpstr>Sheet1!_0raw_5</vt:lpstr>
      <vt:lpstr>Sheet1!_0raw_6</vt:lpstr>
      <vt:lpstr>Sheet1!_0raw_7</vt:lpstr>
      <vt:lpstr>Sheet1!_0raw_8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2025-11-15T16:29:33Z</dcterms:modified>
</cp:coreProperties>
</file>